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omments6.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codeName="{AE6600E7-7A62-396C-DE95-9942FA9DD81E}"/>
  <workbookPr codeName="ThisWorkbook"/>
  <mc:AlternateContent xmlns:mc="http://schemas.openxmlformats.org/markup-compatibility/2006">
    <mc:Choice Requires="x15">
      <x15ac:absPath xmlns:x15ac="http://schemas.microsoft.com/office/spreadsheetml/2010/11/ac" url="R:\Library\Regulatory Accounts - Annual Reporting RINs\Qld - SA\Qld Light Regulation\FINALforWebsite\April2023\Finals for Website\"/>
    </mc:Choice>
  </mc:AlternateContent>
  <xr:revisionPtr revIDLastSave="0" documentId="13_ncr:1_{1CBD7A33-D7D2-4035-BE8D-2267B4A8E67A}" xr6:coauthVersionLast="47" xr6:coauthVersionMax="47" xr10:uidLastSave="{00000000-0000-0000-0000-000000000000}"/>
  <bookViews>
    <workbookView xWindow="-120" yWindow="-120" windowWidth="29040" windowHeight="15840" firstSheet="4" activeTab="5" xr2:uid="{00000000-000D-0000-FFFF-FFFF00000000}"/>
  </bookViews>
  <sheets>
    <sheet name="AER NRs" sheetId="7960" state="veryHidden" r:id="rId1"/>
    <sheet name="AER lookups" sheetId="7961" state="veryHidden" r:id="rId2"/>
    <sheet name="AER ETL" sheetId="7962" state="veryHidden" r:id="rId3"/>
    <sheet name="Business &amp; other details" sheetId="7963" state="veryHidden" r:id="rId4"/>
    <sheet name="Intro" sheetId="7958" r:id="rId5"/>
    <sheet name="DMS input" sheetId="7951" r:id="rId6"/>
    <sheet name="RFM input" sheetId="1" r:id="rId7"/>
    <sheet name="Adjustment for previous period" sheetId="7942" r:id="rId8"/>
    <sheet name="Capital Base roll forward" sheetId="18" r:id="rId9"/>
    <sheet name="Total RAB roll forward" sheetId="7941" r:id="rId10"/>
    <sheet name="TAB roll forward" sheetId="7944" r:id="rId11"/>
    <sheet name="RAB remaining lives" sheetId="7949" r:id="rId12"/>
    <sheet name="TAB remaining lives" sheetId="7950" r:id="rId13"/>
    <sheet name="PTRM input summary" sheetId="7946" r:id="rId14"/>
    <sheet name="Inputs working" sheetId="7959" r:id="rId15"/>
  </sheets>
  <externalReferences>
    <externalReference r:id="rId16"/>
  </externalReferences>
  <definedNames>
    <definedName name="_xlnm._FilterDatabase" localSheetId="7" hidden="1">'Adjustment for previous period'!#REF!</definedName>
    <definedName name="_xlnm._FilterDatabase" localSheetId="8" hidden="1">'Capital Base roll forward'!$C$63:$Q$715</definedName>
    <definedName name="_xlnm._FilterDatabase" localSheetId="11" hidden="1">'RAB remaining lives'!$A$13:$W$2711</definedName>
    <definedName name="_xlnm._FilterDatabase" localSheetId="6" hidden="1">'RFM input'!$E$5:$AA$57</definedName>
    <definedName name="_xlnm._FilterDatabase" localSheetId="12" hidden="1">'TAB remaining lives'!$A$8:$W$2706</definedName>
    <definedName name="_xlnm._FilterDatabase" localSheetId="10" hidden="1">'TAB roll forward'!$B$111:$Q$761</definedName>
    <definedName name="A10remlife">'RFM input'!$J$16</definedName>
    <definedName name="A10stdlife">'RFM input'!$K$16</definedName>
    <definedName name="A10taxremlife">'RFM input'!$S$16</definedName>
    <definedName name="A10taxstdlife">'RFM input'!$T$16</definedName>
    <definedName name="A10taxvalue">'TAB roll forward'!$H$17</definedName>
    <definedName name="A10value">'Capital Base roll forward'!$H$727</definedName>
    <definedName name="A11remlife">'RFM input'!$J$17</definedName>
    <definedName name="A11stdlife">'RFM input'!$K$17</definedName>
    <definedName name="A11taxremlife">'RFM input'!$S$17</definedName>
    <definedName name="A11taxstdlife">'RFM input'!$T$17</definedName>
    <definedName name="A11taxvalue">'TAB roll forward'!$H$18</definedName>
    <definedName name="A11value">'Capital Base roll forward'!$H$728</definedName>
    <definedName name="A12remlife">'RFM input'!$J$18</definedName>
    <definedName name="A12stdlife">'RFM input'!$K$18</definedName>
    <definedName name="A12taxremlife">'RFM input'!$S$18</definedName>
    <definedName name="A12taxstdlife">'RFM input'!$T$18</definedName>
    <definedName name="A12taxvalue">'TAB roll forward'!$H$19</definedName>
    <definedName name="A12value">'Capital Base roll forward'!$H$729</definedName>
    <definedName name="A13remlife">'RFM input'!$J$19</definedName>
    <definedName name="A13stdlife">'RFM input'!$K$19</definedName>
    <definedName name="A13taxremlife">'RFM input'!$S$19</definedName>
    <definedName name="A13taxstdlife">'RFM input'!$T$19</definedName>
    <definedName name="A13taxvalue">'TAB roll forward'!$H$20</definedName>
    <definedName name="A13value">'Capital Base roll forward'!$H$730</definedName>
    <definedName name="A14remlife">'RFM input'!$J$20</definedName>
    <definedName name="A14stdlife">'RFM input'!$K$20</definedName>
    <definedName name="A14taxremlife">'RFM input'!$S$20</definedName>
    <definedName name="A14taxstdlife">'RFM input'!$T$20</definedName>
    <definedName name="A14taxvalue">'TAB roll forward'!$H$21</definedName>
    <definedName name="A14value">'Capital Base roll forward'!$H$731</definedName>
    <definedName name="A15remlife">'RFM input'!$J$21</definedName>
    <definedName name="A15stdlife">'RFM input'!$K$21</definedName>
    <definedName name="A15taxremlife">'RFM input'!$S$21</definedName>
    <definedName name="A15taxstdlife">'RFM input'!$T$21</definedName>
    <definedName name="A15taxvalue">'TAB roll forward'!$H$22</definedName>
    <definedName name="A15value">'Capital Base roll forward'!$H$732</definedName>
    <definedName name="A16remlife">'RFM input'!$J$22</definedName>
    <definedName name="A16stdlife">'RFM input'!$K$22</definedName>
    <definedName name="A16taxremlife">'RFM input'!$S$22</definedName>
    <definedName name="A16taxstdlife">'RFM input'!$T$22</definedName>
    <definedName name="A16taxvalue">'TAB roll forward'!$H$23</definedName>
    <definedName name="A16value">'Capital Base roll forward'!$H$733</definedName>
    <definedName name="A17remlife">'RFM input'!$J$23</definedName>
    <definedName name="A17stdlife">'RFM input'!$K$23</definedName>
    <definedName name="A17taxremlife">'RFM input'!$S$23</definedName>
    <definedName name="A17taxstdlife">'RFM input'!$T$23</definedName>
    <definedName name="A17taxvalue">'TAB roll forward'!$H$24</definedName>
    <definedName name="A17value">'Capital Base roll forward'!$H$734</definedName>
    <definedName name="A18remlife">'RFM input'!$J$24</definedName>
    <definedName name="A18stdlife">'RFM input'!$K$24</definedName>
    <definedName name="A18taxremlife">'RFM input'!$S$24</definedName>
    <definedName name="A18taxstdlife">'RFM input'!$T$24</definedName>
    <definedName name="A18taxvalue">'TAB roll forward'!$H$25</definedName>
    <definedName name="A18value">'Capital Base roll forward'!$H$735</definedName>
    <definedName name="A19remlife">'RFM input'!$J$25</definedName>
    <definedName name="A19stdlife">'RFM input'!$K$25</definedName>
    <definedName name="A19taxremlife">'RFM input'!$S$25</definedName>
    <definedName name="A19taxstdlife">'RFM input'!$T$25</definedName>
    <definedName name="A19taxvalue">'TAB roll forward'!$H$26</definedName>
    <definedName name="A19value">'Capital Base roll forward'!$H$736</definedName>
    <definedName name="A1remlife">'RFM input'!$J$7</definedName>
    <definedName name="A1stdlife">'RFM input'!$K$7</definedName>
    <definedName name="A1taxremlife">'RFM input'!$S$7</definedName>
    <definedName name="A1taxstdlife">'RFM input'!$T$7</definedName>
    <definedName name="A1taxvalue">'TAB roll forward'!$H$8</definedName>
    <definedName name="A1value">'Capital Base roll forward'!$H$718</definedName>
    <definedName name="A20remlife">'RFM input'!$J$26</definedName>
    <definedName name="A20stdlife">'RFM input'!$K$26</definedName>
    <definedName name="A20taxremlife">'RFM input'!$S$26</definedName>
    <definedName name="A20taxstdlife">'RFM input'!$T$26</definedName>
    <definedName name="A20taxvalue">'TAB roll forward'!$H$27</definedName>
    <definedName name="A20value">'Capital Base roll forward'!$H$737</definedName>
    <definedName name="A21remlife">'RFM input'!$J$27</definedName>
    <definedName name="A21stdlife">'RFM input'!$K$27</definedName>
    <definedName name="A21taxremlife">'RFM input'!$S$27</definedName>
    <definedName name="A21taxstdlife">'RFM input'!$T$27</definedName>
    <definedName name="A21taxvalue">'TAB roll forward'!$H$28</definedName>
    <definedName name="A21value">'Capital Base roll forward'!$H$738</definedName>
    <definedName name="A22remlife">'RFM input'!$J$28</definedName>
    <definedName name="A22stdlife">'RFM input'!$K$28</definedName>
    <definedName name="A22taxremlife">'RFM input'!$S$28</definedName>
    <definedName name="A22taxstdlife">'RFM input'!$T$28</definedName>
    <definedName name="A22taxvalue">'TAB roll forward'!$H$29</definedName>
    <definedName name="A22value">'Capital Base roll forward'!$H$739</definedName>
    <definedName name="A23remlife">'RFM input'!$J$29</definedName>
    <definedName name="A23stdlife">'RFM input'!$K$29</definedName>
    <definedName name="A23taxremlife">'RFM input'!$S$29</definedName>
    <definedName name="A23taxstdlife">'RFM input'!$T$29</definedName>
    <definedName name="A23taxvalue">'TAB roll forward'!$H$30</definedName>
    <definedName name="A23value">'Capital Base roll forward'!$H$740</definedName>
    <definedName name="A24remlife">'RFM input'!$J$30</definedName>
    <definedName name="A24stdlife">'RFM input'!$K$30</definedName>
    <definedName name="A24taxremlife">'RFM input'!$S$30</definedName>
    <definedName name="A24taxstdlife">'RFM input'!$T$30</definedName>
    <definedName name="A24taxvalue">'TAB roll forward'!$H$31</definedName>
    <definedName name="A24value">'Capital Base roll forward'!$H$741</definedName>
    <definedName name="A25remlife">'RFM input'!$J$31</definedName>
    <definedName name="A25stdlife">'RFM input'!$K$31</definedName>
    <definedName name="A25taxremlife">'RFM input'!$S$31</definedName>
    <definedName name="A25taxstdlife">'RFM input'!$T$31</definedName>
    <definedName name="A25taxvalue">'TAB roll forward'!$H$32</definedName>
    <definedName name="A25value">'Capital Base roll forward'!$H$742</definedName>
    <definedName name="A26remlife">'RFM input'!$J$32</definedName>
    <definedName name="A26stdlife">'RFM input'!$K$32</definedName>
    <definedName name="A26taxremlife">'RFM input'!$S$32</definedName>
    <definedName name="A26taxstdlife">'RFM input'!$T$32</definedName>
    <definedName name="A26taxvalue">'TAB roll forward'!$H$33</definedName>
    <definedName name="A26value">'Capital Base roll forward'!$H$743</definedName>
    <definedName name="A27remlife">'RFM input'!$J$33</definedName>
    <definedName name="A27stdlife">'RFM input'!$K$33</definedName>
    <definedName name="A27taxremlife">'RFM input'!$S$33</definedName>
    <definedName name="A27taxstdlife">'RFM input'!$T$33</definedName>
    <definedName name="A27taxvalue">'TAB roll forward'!$H$34</definedName>
    <definedName name="A27value">'Capital Base roll forward'!$H$744</definedName>
    <definedName name="A28remlife">'RFM input'!$J$34</definedName>
    <definedName name="A28stdlife">'RFM input'!$K$34</definedName>
    <definedName name="A28taxremlife">'RFM input'!$S$34</definedName>
    <definedName name="A28taxstdlife">'RFM input'!$T$34</definedName>
    <definedName name="A28taxvalue">'TAB roll forward'!$H$35</definedName>
    <definedName name="A28value">'Capital Base roll forward'!$H$745</definedName>
    <definedName name="A29remlife">'RFM input'!$J$35</definedName>
    <definedName name="A29stdlife">'RFM input'!$K$35</definedName>
    <definedName name="A29taxremlife">'RFM input'!$S$35</definedName>
    <definedName name="A29taxstdlife">'RFM input'!$T$35</definedName>
    <definedName name="A29taxvalue">'TAB roll forward'!$H$36</definedName>
    <definedName name="A29value">'Capital Base roll forward'!$H$746</definedName>
    <definedName name="A2remlife">'RFM input'!$J$8</definedName>
    <definedName name="A2stdlife">'RFM input'!$K$8</definedName>
    <definedName name="A2taxremlife">'RFM input'!$S$8</definedName>
    <definedName name="A2taxstdlife">'RFM input'!$T$8</definedName>
    <definedName name="A2taxvalue">'TAB roll forward'!$H$9</definedName>
    <definedName name="A2value">'Capital Base roll forward'!$H$719</definedName>
    <definedName name="A30remlife">'RFM input'!$J$36</definedName>
    <definedName name="A30stdlife">'RFM input'!$K$36</definedName>
    <definedName name="A30taxremlife">'RFM input'!$S$36</definedName>
    <definedName name="A30taxstdlife">'RFM input'!$T$36</definedName>
    <definedName name="A30taxvalue">'TAB roll forward'!$H$37</definedName>
    <definedName name="A30value">'Capital Base roll forward'!$H$747</definedName>
    <definedName name="A31remlife">'RFM input'!$J$37</definedName>
    <definedName name="A31stdlife">'RFM input'!$K$37</definedName>
    <definedName name="A31taxremlife">'RFM input'!$S$37</definedName>
    <definedName name="A31taxstdlife">'RFM input'!$T$37</definedName>
    <definedName name="A31taxvalue">'TAB roll forward'!$H$38</definedName>
    <definedName name="A31value">'Capital Base roll forward'!$H$748</definedName>
    <definedName name="A32remlife">'RFM input'!$J$38</definedName>
    <definedName name="A32stdlife">'RFM input'!$K$38</definedName>
    <definedName name="A32taxremlife">'RFM input'!$S$38</definedName>
    <definedName name="A32taxstdlife">'RFM input'!$T$38</definedName>
    <definedName name="A32taxvalue">'TAB roll forward'!$H$39</definedName>
    <definedName name="A32value">'Capital Base roll forward'!$H$749</definedName>
    <definedName name="A33remlife">'RFM input'!$J$39</definedName>
    <definedName name="A33stdlife">'RFM input'!$K$39</definedName>
    <definedName name="A33taxremlife">'RFM input'!$S$39</definedName>
    <definedName name="A33taxstdlife">'RFM input'!$T$39</definedName>
    <definedName name="A33taxvalue">'TAB roll forward'!$H$40</definedName>
    <definedName name="A33value">'Capital Base roll forward'!$H$750</definedName>
    <definedName name="A34remlife">'RFM input'!$J$40</definedName>
    <definedName name="A34stdlife">'RFM input'!$K$40</definedName>
    <definedName name="A34taxremlife">'RFM input'!$S$40</definedName>
    <definedName name="A34taxstdlife">'RFM input'!$T$40</definedName>
    <definedName name="A34taxvalue">'TAB roll forward'!$H$41</definedName>
    <definedName name="A34value">'Capital Base roll forward'!$H$751</definedName>
    <definedName name="A35remlife">'RFM input'!$J$41</definedName>
    <definedName name="A35stdlife">'RFM input'!$K$41</definedName>
    <definedName name="A35taxremlife">'RFM input'!$S$41</definedName>
    <definedName name="A35taxstdlife">'RFM input'!$T$41</definedName>
    <definedName name="A35taxvalue">'TAB roll forward'!$H$42</definedName>
    <definedName name="A35value">'Capital Base roll forward'!$H$752</definedName>
    <definedName name="A36remlife">'RFM input'!$J$42</definedName>
    <definedName name="A36stdlife">'RFM input'!$K$42</definedName>
    <definedName name="A36taxremlife">'RFM input'!$S$42</definedName>
    <definedName name="A36taxstdlife">'RFM input'!$T$42</definedName>
    <definedName name="A36taxvalue">'TAB roll forward'!$H$43</definedName>
    <definedName name="A36value">'Capital Base roll forward'!$H$753</definedName>
    <definedName name="A37remlife">'RFM input'!$J$43</definedName>
    <definedName name="A37stdlife">'RFM input'!$K$43</definedName>
    <definedName name="A37taxremlife">'RFM input'!$S$43</definedName>
    <definedName name="A37taxstdlife">'RFM input'!$T$43</definedName>
    <definedName name="A37taxvalue">'TAB roll forward'!$H$44</definedName>
    <definedName name="A37value">'Capital Base roll forward'!$H$754</definedName>
    <definedName name="A38remlife">'RFM input'!$J$44</definedName>
    <definedName name="A38stdlife">'RFM input'!$K$44</definedName>
    <definedName name="A38taxremlife">'RFM input'!$S$44</definedName>
    <definedName name="A38taxstdlife">'RFM input'!$T$44</definedName>
    <definedName name="A38taxvalue">'TAB roll forward'!$H$45</definedName>
    <definedName name="A38value">'Capital Base roll forward'!$H$755</definedName>
    <definedName name="A39remlife">'RFM input'!$J$45</definedName>
    <definedName name="A39stdlife">'RFM input'!$K$45</definedName>
    <definedName name="A39taxremlife">'RFM input'!$S$45</definedName>
    <definedName name="A39taxstdlife">'RFM input'!$T$45</definedName>
    <definedName name="A39taxvalue">'TAB roll forward'!$H$46</definedName>
    <definedName name="A39value">'Capital Base roll forward'!$H$756</definedName>
    <definedName name="A3remlife">'RFM input'!$J$9</definedName>
    <definedName name="A3stdlife">'RFM input'!$K$9</definedName>
    <definedName name="A3taxremlife">'RFM input'!$S$9</definedName>
    <definedName name="A3taxstdlife">'RFM input'!$T$9</definedName>
    <definedName name="A3taxvalue">'TAB roll forward'!$H$10</definedName>
    <definedName name="A3value">'Capital Base roll forward'!$H$720</definedName>
    <definedName name="A40remlife">'RFM input'!$J$46</definedName>
    <definedName name="A40stdlife">'RFM input'!$K$46</definedName>
    <definedName name="A40taxremlife">'RFM input'!$S$46</definedName>
    <definedName name="A40taxstdlife">'RFM input'!$T$46</definedName>
    <definedName name="A40taxvalue">'TAB roll forward'!$H$47</definedName>
    <definedName name="A40value">'Capital Base roll forward'!$H$757</definedName>
    <definedName name="A41remlife">'RFM input'!$J$47</definedName>
    <definedName name="A41stdlife">'RFM input'!$K$47</definedName>
    <definedName name="A41taxremlife">'RFM input'!$S$47</definedName>
    <definedName name="A41taxstdlife">'RFM input'!$T$47</definedName>
    <definedName name="A41taxvalue">'TAB roll forward'!$H$48</definedName>
    <definedName name="A41value">'Capital Base roll forward'!$H$758</definedName>
    <definedName name="A42remlife">'RFM input'!$J$48</definedName>
    <definedName name="A42stdlife">'RFM input'!$K$48</definedName>
    <definedName name="A42taxremlife">'RFM input'!$S$48</definedName>
    <definedName name="A42taxstdlife">'RFM input'!$T$48</definedName>
    <definedName name="A42taxvalue">'TAB roll forward'!$H$49</definedName>
    <definedName name="A42value">'Capital Base roll forward'!$H$759</definedName>
    <definedName name="A43remlife">'RFM input'!$J$49</definedName>
    <definedName name="A43stdlife">'RFM input'!$K$49</definedName>
    <definedName name="A43taxremlife">'RFM input'!$S$49</definedName>
    <definedName name="A43taxstdlife">'RFM input'!$T$49</definedName>
    <definedName name="A43taxvalue">'TAB roll forward'!$H$50</definedName>
    <definedName name="A43value">'Capital Base roll forward'!$H$760</definedName>
    <definedName name="A44remlife">'RFM input'!$J$50</definedName>
    <definedName name="A44stdlife">'RFM input'!$K$50</definedName>
    <definedName name="A44taxremlife">'RFM input'!$S$50</definedName>
    <definedName name="A44taxstdlife">'RFM input'!$T$50</definedName>
    <definedName name="A44taxvalue">'TAB roll forward'!$H$51</definedName>
    <definedName name="A44value">'Capital Base roll forward'!$H$761</definedName>
    <definedName name="A45remlife">'RFM input'!$J$51</definedName>
    <definedName name="A45stdlife">'RFM input'!$K$51</definedName>
    <definedName name="A45taxremlife">'RFM input'!$S$51</definedName>
    <definedName name="A45taxstdlife">'RFM input'!$T$51</definedName>
    <definedName name="A45taxvalue">'TAB roll forward'!$H$52</definedName>
    <definedName name="A45value">'Capital Base roll forward'!$H$762</definedName>
    <definedName name="A46remlife">'RFM input'!$J$52</definedName>
    <definedName name="A46stdlife">'RFM input'!$K$52</definedName>
    <definedName name="A46taxremlife">'RFM input'!$S$52</definedName>
    <definedName name="A46taxstdlife">'RFM input'!$T$52</definedName>
    <definedName name="A46taxvalue">'TAB roll forward'!$H$53</definedName>
    <definedName name="A46value">'Capital Base roll forward'!$H$763</definedName>
    <definedName name="A47remlife">'RFM input'!$J$53</definedName>
    <definedName name="A47stdlife">'RFM input'!$K$53</definedName>
    <definedName name="A47taxremlife">'RFM input'!$S$53</definedName>
    <definedName name="A47taxstdlife">'RFM input'!$T$53</definedName>
    <definedName name="A47taxvalue">'TAB roll forward'!$H$54</definedName>
    <definedName name="A47value">'Capital Base roll forward'!$H$764</definedName>
    <definedName name="A48remlife">'RFM input'!$J$54</definedName>
    <definedName name="A48stdlife">'RFM input'!$K$54</definedName>
    <definedName name="A48taxremlife">'RFM input'!$S$54</definedName>
    <definedName name="A48taxstdlife">'RFM input'!$T$54</definedName>
    <definedName name="A48taxvalue">'TAB roll forward'!$H$55</definedName>
    <definedName name="A48value">'Capital Base roll forward'!$H$765</definedName>
    <definedName name="A49remlife">'RFM input'!$J$55</definedName>
    <definedName name="A49stdlife">'RFM input'!$K$55</definedName>
    <definedName name="A49taxremlife">'RFM input'!$S$55</definedName>
    <definedName name="A49taxstdlife">'RFM input'!$T$55</definedName>
    <definedName name="A49taxvalue">'TAB roll forward'!$H$56</definedName>
    <definedName name="A49value">'Capital Base roll forward'!$H$766</definedName>
    <definedName name="A4remlife">'RFM input'!$J$10</definedName>
    <definedName name="A4stdlife">'RFM input'!$K$10</definedName>
    <definedName name="A4taxremlife">'RFM input'!$S$10</definedName>
    <definedName name="A4taxstdlife">'RFM input'!$T$10</definedName>
    <definedName name="A4taxvalue">'TAB roll forward'!$H$11</definedName>
    <definedName name="A4value">'Capital Base roll forward'!$H$721</definedName>
    <definedName name="A50remlife">'RFM input'!$J$56</definedName>
    <definedName name="A50stdlife">'RFM input'!$K$56</definedName>
    <definedName name="A50taxremlife">'RFM input'!$S$56</definedName>
    <definedName name="A50taxstdlife">'RFM input'!$T$56</definedName>
    <definedName name="A50taxvalue">'TAB roll forward'!$H$57</definedName>
    <definedName name="A50value">'Capital Base roll forward'!$H$767</definedName>
    <definedName name="A5remlife">'RFM input'!$J$11</definedName>
    <definedName name="A5stdlife">'RFM input'!$K$11</definedName>
    <definedName name="A5taxremlife">'RFM input'!$S$11</definedName>
    <definedName name="A5taxstdlife">'RFM input'!$T$11</definedName>
    <definedName name="A5taxvalue">'TAB roll forward'!$H$12</definedName>
    <definedName name="A5value">'Capital Base roll forward'!$H$722</definedName>
    <definedName name="A6remlife">'RFM input'!$J$12</definedName>
    <definedName name="A6stdlife">'RFM input'!$K$12</definedName>
    <definedName name="A6taxremlife">'RFM input'!$S$12</definedName>
    <definedName name="A6taxstdlife">'RFM input'!$T$12</definedName>
    <definedName name="A6taxvalue">'TAB roll forward'!$H$13</definedName>
    <definedName name="A6value">'Capital Base roll forward'!$H$723</definedName>
    <definedName name="A7remlife">'RFM input'!$J$13</definedName>
    <definedName name="A7stdlife">'RFM input'!$K$13</definedName>
    <definedName name="A7taxremlife">'RFM input'!$S$13</definedName>
    <definedName name="A7taxstdlife">'RFM input'!$T$13</definedName>
    <definedName name="A7taxvalue">'TAB roll forward'!$H$14</definedName>
    <definedName name="A7value">'Capital Base roll forward'!$H$724</definedName>
    <definedName name="A8remlife">'RFM input'!$J$14</definedName>
    <definedName name="A8stdlife">'RFM input'!$K$14</definedName>
    <definedName name="A8taxremlife">'RFM input'!$S$14</definedName>
    <definedName name="A8taxstdlife">'RFM input'!$T$14</definedName>
    <definedName name="A8taxvalue">'TAB roll forward'!$H$15</definedName>
    <definedName name="A8value">'Capital Base roll forward'!$H$725</definedName>
    <definedName name="A9remlife">'RFM input'!$J$15</definedName>
    <definedName name="A9stdlife">'RFM input'!$K$15</definedName>
    <definedName name="A9taxremlife">'RFM input'!$S$15</definedName>
    <definedName name="A9taxstdlife">'RFM input'!$T$15</definedName>
    <definedName name="A9taxvalue">'TAB roll forward'!$H$16</definedName>
    <definedName name="A9value">'Capital Base roll forward'!$H$726</definedName>
    <definedName name="anscount" hidden="1">1</definedName>
    <definedName name="ARR">'AER lookups'!$C$40</definedName>
    <definedName name="ARR_Fmt2">'AER lookups'!$D$40</definedName>
    <definedName name="Asset1">'RFM input'!$F$7</definedName>
    <definedName name="Asset10">'RFM input'!$F$16</definedName>
    <definedName name="Asset11">'RFM input'!$F$17</definedName>
    <definedName name="Asset12">'RFM input'!$F$18</definedName>
    <definedName name="Asset13">'RFM input'!$F$19</definedName>
    <definedName name="Asset14">'RFM input'!$F$20</definedName>
    <definedName name="Asset15">'RFM input'!$F$21</definedName>
    <definedName name="Asset16">'RFM input'!$F$22</definedName>
    <definedName name="Asset17">'RFM input'!$F$23</definedName>
    <definedName name="Asset18">'RFM input'!$F$24</definedName>
    <definedName name="Asset19">'RFM input'!$F$25</definedName>
    <definedName name="Asset2">'RFM input'!$F$8</definedName>
    <definedName name="Asset20">'RFM input'!$F$26</definedName>
    <definedName name="Asset21">'RFM input'!$F$27</definedName>
    <definedName name="Asset22">'RFM input'!$F$28</definedName>
    <definedName name="Asset23">'RFM input'!$F$29</definedName>
    <definedName name="Asset24">'RFM input'!$F$30</definedName>
    <definedName name="Asset25">'RFM input'!$F$31</definedName>
    <definedName name="Asset26">'RFM input'!$F$32</definedName>
    <definedName name="Asset27">'RFM input'!$F$33</definedName>
    <definedName name="Asset28">'RFM input'!$F$34</definedName>
    <definedName name="Asset29">'RFM input'!$F$35</definedName>
    <definedName name="Asset3">'RFM input'!$F$9</definedName>
    <definedName name="Asset30">'RFM input'!$F$36</definedName>
    <definedName name="Asset31">'RFM input'!$F$37</definedName>
    <definedName name="Asset32">'RFM input'!$F$38</definedName>
    <definedName name="Asset33">'RFM input'!$F$39</definedName>
    <definedName name="Asset34">'RFM input'!$F$40</definedName>
    <definedName name="Asset35">'RFM input'!$F$41</definedName>
    <definedName name="Asset36">'RFM input'!$F$42</definedName>
    <definedName name="Asset37">'RFM input'!$F$43</definedName>
    <definedName name="Asset38">'RFM input'!$F$44</definedName>
    <definedName name="Asset39">'RFM input'!$F$45</definedName>
    <definedName name="Asset4">'RFM input'!$F$10</definedName>
    <definedName name="Asset40">'RFM input'!$F$46</definedName>
    <definedName name="Asset41">'RFM input'!$F$47</definedName>
    <definedName name="Asset42">'RFM input'!$F$48</definedName>
    <definedName name="Asset43">'RFM input'!$F$49</definedName>
    <definedName name="Asset44">'RFM input'!$F$50</definedName>
    <definedName name="Asset45">'RFM input'!$F$51</definedName>
    <definedName name="Asset46">'RFM input'!$F$52</definedName>
    <definedName name="Asset47">'RFM input'!$F$53</definedName>
    <definedName name="Asset48">'RFM input'!$F$54</definedName>
    <definedName name="Asset49">'RFM input'!$F$55</definedName>
    <definedName name="Asset5">'RFM input'!$F$11</definedName>
    <definedName name="Asset50">'RFM input'!$F$56</definedName>
    <definedName name="Asset6">'RFM input'!$F$12</definedName>
    <definedName name="Asset7">'RFM input'!$F$13</definedName>
    <definedName name="Asset8">'RFM input'!$F$14</definedName>
    <definedName name="Asset9">'RFM input'!$F$15</definedName>
    <definedName name="CA">'AER lookups'!$C$41</definedName>
    <definedName name="CA_Fmt2">'AER lookups'!$D$41</definedName>
    <definedName name="Calendar">'AER lookups'!$C$54:$C$103</definedName>
    <definedName name="CESS">'AER lookups'!$C$42</definedName>
    <definedName name="CESS_Fmt2">'AER lookups'!$D$42</definedName>
    <definedName name="CPI">'AER lookups'!$C$43</definedName>
    <definedName name="CPI_Fmt2">'AER lookups'!$D$43</definedName>
    <definedName name="CRCP_final_year">'AER ETL'!$C$47</definedName>
    <definedName name="CRCP_span" comment="Generic cover sheet">CONCATENATE(CRCP_y1, " to ",CRCP_y5)</definedName>
    <definedName name="CRCP_start_year">'AER ETL'!$C$44</definedName>
    <definedName name="CRCP_y1">'AER lookups'!$G$54</definedName>
    <definedName name="CRCP_y10">'AER lookups'!$G$63</definedName>
    <definedName name="CRCP_y11">'AER lookups'!$G$64</definedName>
    <definedName name="CRCP_y12">'AER lookups'!$G$65</definedName>
    <definedName name="CRCP_y13">'AER lookups'!$G$66</definedName>
    <definedName name="CRCP_y14">'AER lookups'!$G$67</definedName>
    <definedName name="CRCP_y15">'AER lookups'!$G$68</definedName>
    <definedName name="CRCP_y16">'AER lookups'!$G$69</definedName>
    <definedName name="CRCP_y2">'AER lookups'!$G$55</definedName>
    <definedName name="CRCP_y3">'AER lookups'!$G$56</definedName>
    <definedName name="CRCP_y4">'AER lookups'!$G$57</definedName>
    <definedName name="CRCP_y5">'AER lookups'!$G$58</definedName>
    <definedName name="CRCP_y6">'AER lookups'!$G$59</definedName>
    <definedName name="CRCP_y7">'AER lookups'!$G$60</definedName>
    <definedName name="CRCP_y8">'AER lookups'!$G$61</definedName>
    <definedName name="CRCP_y9">'AER lookups'!$G$62</definedName>
    <definedName name="dms_020303_01_UOM">'AER NRs'!$C$76:$C$82</definedName>
    <definedName name="dms_020501_01_UOM">'AER NRs'!$D$76:$D$88</definedName>
    <definedName name="dms_020501_02_UOM">'AER NRs'!$E$76:$E$84</definedName>
    <definedName name="dms_020501_03_UOM">'AER NRs'!$F$76:$F$85</definedName>
    <definedName name="dms_020501_04_UOM">'AER NRs'!$G$76:$G$84</definedName>
    <definedName name="dms_020603_01_UOM">'AER NRs'!$C$102:$C$106</definedName>
    <definedName name="dms_020701_01_Rows">'AER NRs'!$J$76:$J$81</definedName>
    <definedName name="dms_020701_01_UOM">'AER NRs'!$H$76:$H$81</definedName>
    <definedName name="dms_020701_02_UOM">'AER NRs'!$I$76:$I$81</definedName>
    <definedName name="dms_0306_Year">'AER ETL'!$C$86</definedName>
    <definedName name="dms_030601_01_UOM">'AER NRs'!$C$110:$C$113</definedName>
    <definedName name="dms_030601_02_UOM">'AER NRs'!$D$110:$D$113</definedName>
    <definedName name="dms_030605_UOM">'AER NRs'!$C$152:$C$165</definedName>
    <definedName name="dms_03060703_UOM">'AER NRs'!$D$152:$D$156</definedName>
    <definedName name="dms_030701_01_UOM">'AER NRs'!$E$110:$E$112</definedName>
    <definedName name="dms_030702_01_UOM">'AER NRs'!$F$110:$F$123</definedName>
    <definedName name="dms_030703_01_UOM">'AER NRs'!$G$110</definedName>
    <definedName name="dms_040102_01_UOM">'AER NRs'!$K$76:$K$79</definedName>
    <definedName name="dms_040102_04_UOM">'AER NRs'!$L$76:$L$79</definedName>
    <definedName name="dms_0502_Inst_Year">'AER ETL'!$C$65</definedName>
    <definedName name="dms_060101_Rows">'AER NRs'!$C$187</definedName>
    <definedName name="dms_060101_StartDateTxt">'AER NRs'!$E$187</definedName>
    <definedName name="dms_060101_StartDateVal">'AER ETL'!$C$107</definedName>
    <definedName name="dms_060102_Rows">'AER NRs'!$D$187</definedName>
    <definedName name="dms_0603_FeederList">'AER NRs'!$D$204:$H$204</definedName>
    <definedName name="dms_060301_Avg_Duration_Sustained_Int_Row">'AER NRs'!$D$183</definedName>
    <definedName name="dms_060301_checkvalue">'AER ETL'!$C$90</definedName>
    <definedName name="dms_060301_CustNo_Affected_Row">'AER NRs'!$C$183</definedName>
    <definedName name="dms_060301_Effect_unplanned_SAIDI_Row">'AER NRs'!$E$183</definedName>
    <definedName name="dms_060301_Effect_unplanned_SAIFI_Row">'AER NRs'!$F$183</definedName>
    <definedName name="dms_060301_LastRow">'AER ETL'!$C$92</definedName>
    <definedName name="dms_060301_MaxRows">'AER ETL'!$C$93</definedName>
    <definedName name="dms_060701_ARR_MaxRows">'AER ETL'!$C$100</definedName>
    <definedName name="dms_060701_Feeder_Header_Lvl4">'AER NRs'!$D$199:$O$199</definedName>
    <definedName name="dms_060701_MaxCols">'AER ETL'!$C$103</definedName>
    <definedName name="dms_060701_MaxRows">'AER ETL'!$C$101</definedName>
    <definedName name="dms_060701_OffsetRows">'AER ETL'!$C$104</definedName>
    <definedName name="dms_060701_Reset_MaxRows">'AER ETL'!$C$99</definedName>
    <definedName name="dms_060701_Rows">'AER NRs'!$D$201:$O$201</definedName>
    <definedName name="dms_060701_StartDateTxt">'AER ETL'!$C$106</definedName>
    <definedName name="dms_060701_StartDateVal">'AER ETL'!$C$107</definedName>
    <definedName name="dms_0608_LastRow">'AER ETL'!$C$112</definedName>
    <definedName name="dms_0608_OffsetRows">'AER ETL'!$C$111</definedName>
    <definedName name="dms_060801_01_Rows">'AER NRs'!$C$191</definedName>
    <definedName name="dms_060801_02_Rows">'AER NRs'!$D$191</definedName>
    <definedName name="dms_060801_03_Rows">'AER NRs'!$E$191</definedName>
    <definedName name="dms_060801_04_Rows">'AER NRs'!$F$191</definedName>
    <definedName name="dms_060801_MaxRows">'AER ETL'!$C$113</definedName>
    <definedName name="dms_070904_01_Rows">'AER NRs'!$D$194:$E$194</definedName>
    <definedName name="dms_070904_Start_Year">'AER ETL'!$C$116</definedName>
    <definedName name="dms_663">'AER ETL'!$C$94</definedName>
    <definedName name="dms_663_List">'AER lookups'!$N$17:$N$33</definedName>
    <definedName name="dms_AAD_AC_VALUES">'RFM input'!#REF!</definedName>
    <definedName name="dms_AAD_AI_VALUES">'RFM input'!$H$115:$L$164</definedName>
    <definedName name="dms_ABN">'Business &amp; other details'!$AL$17</definedName>
    <definedName name="dms_ABN_List">'AER lookups'!$D$17:$D$33</definedName>
    <definedName name="dms_ACC_AI_VALUES">'RFM input'!$H$169:$L$218</definedName>
    <definedName name="dms_ACE_AC_VALUES">'RFM input'!#REF!</definedName>
    <definedName name="dms_ACE_AI_VALUES">'RFM input'!$H$61:$L$110</definedName>
    <definedName name="dms_Addr1">'Business &amp; other details'!$AL$23</definedName>
    <definedName name="dms_Addr1_List">'AER lookups'!$P$17:$P$33</definedName>
    <definedName name="dms_Addr2">'Business &amp; other details'!$AL$24</definedName>
    <definedName name="dms_Addr2_List">'AER lookups'!$Q$17:$Q$33</definedName>
    <definedName name="dms_Amendment_Text">'Business &amp; other details'!$AL$64</definedName>
    <definedName name="dms_AmendmentReason">'AER ETL'!$C$15</definedName>
    <definedName name="dms_ANC_VALUES">'TAB roll forward'!$H$60:$L$109</definedName>
    <definedName name="dms_ARR">'AER ETL'!$C$74</definedName>
    <definedName name="DMS_Asset1_values">'TAB roll forward'!$H$124:$L$124</definedName>
    <definedName name="DMS_Asset10_values">'TAB roll forward'!$H$241:$L$241</definedName>
    <definedName name="DMS_Asset11_values">'TAB roll forward'!$H$254:$L$254</definedName>
    <definedName name="DMS_Asset12_values">'TAB roll forward'!$H$267:$L$267</definedName>
    <definedName name="DMS_Asset13_values">'TAB roll forward'!$H$280:$L$280</definedName>
    <definedName name="DMS_Asset14_values">'TAB roll forward'!$H$293:$L$293</definedName>
    <definedName name="DMS_Asset15_values">'TAB roll forward'!$H$306:$L$306</definedName>
    <definedName name="DMS_Asset16_values">'TAB roll forward'!$H$319:$L$319</definedName>
    <definedName name="DMS_Asset17_values">'TAB roll forward'!$H$332:$L$332</definedName>
    <definedName name="DMS_Asset18_values">'TAB roll forward'!$H$345:$L$345</definedName>
    <definedName name="DMS_Asset19_values">'TAB roll forward'!$H$358:$L$358</definedName>
    <definedName name="DMS_Asset2_values">'TAB roll forward'!$H$137:$L$137</definedName>
    <definedName name="DMS_Asset20_values">'TAB roll forward'!$H$371:$L$371</definedName>
    <definedName name="DMS_Asset21_values">'TAB roll forward'!$H$384:$L$384</definedName>
    <definedName name="DMS_Asset22_values">'TAB roll forward'!$H$397:$L$397</definedName>
    <definedName name="DMS_Asset23_values">'TAB roll forward'!$H$410:$L$410</definedName>
    <definedName name="DMS_Asset24_values">'TAB roll forward'!$H$423:$L$423</definedName>
    <definedName name="DMS_Asset25_values">'TAB roll forward'!$H$436:$L$436</definedName>
    <definedName name="DMS_Asset26_values">'TAB roll forward'!$H$449:$L$449</definedName>
    <definedName name="DMS_Asset27_values">'TAB roll forward'!$H$462:$L$462</definedName>
    <definedName name="DMS_Asset28_values">'TAB roll forward'!$H$475:$L$475</definedName>
    <definedName name="DMS_Asset29_values">'TAB roll forward'!$H$488:$L$488</definedName>
    <definedName name="DMS_Asset3_values">'TAB roll forward'!$H$150:$L$150</definedName>
    <definedName name="DMS_Asset30_values">'TAB roll forward'!$H$501:$L$501</definedName>
    <definedName name="DMS_Asset31_values">'TAB roll forward'!$H$514:$L$514</definedName>
    <definedName name="DMS_Asset32_values">'TAB roll forward'!$H$527:$L$527</definedName>
    <definedName name="DMS_Asset33_values">'TAB roll forward'!$H$540:$L$540</definedName>
    <definedName name="DMS_Asset34_values">'TAB roll forward'!$H$553:$L$553</definedName>
    <definedName name="DMS_Asset35_values">'TAB roll forward'!$H$566:$L$566</definedName>
    <definedName name="DMS_Asset36_values">'TAB roll forward'!$H$579:$L$579</definedName>
    <definedName name="DMS_Asset37_values">'TAB roll forward'!$H$592:$L$592</definedName>
    <definedName name="DMS_Asset38_values">'TAB roll forward'!$H$605:$L$605</definedName>
    <definedName name="DMS_Asset39_values">'TAB roll forward'!$H$618:$L$618</definedName>
    <definedName name="DMS_Asset4_values">'TAB roll forward'!$H$163:$L$163</definedName>
    <definedName name="DMS_Asset40_values">'TAB roll forward'!$H$631:$L$631</definedName>
    <definedName name="DMS_Asset41_values">'TAB roll forward'!$H$644:$L$644</definedName>
    <definedName name="DMS_Asset42_values">'TAB roll forward'!$H$657:$L$657</definedName>
    <definedName name="DMS_Asset43_values">'TAB roll forward'!$H$670:$L$670</definedName>
    <definedName name="DMS_Asset44_values">'TAB roll forward'!$H$683:$L$683</definedName>
    <definedName name="DMS_Asset45_values">'TAB roll forward'!$H$696:$L$696</definedName>
    <definedName name="DMS_Asset46_values">'TAB roll forward'!$H$709:$L$709</definedName>
    <definedName name="DMS_Asset47_values">'TAB roll forward'!$H$722:$L$722</definedName>
    <definedName name="DMS_Asset48_values">'TAB roll forward'!$H$735:$L$735</definedName>
    <definedName name="DMS_Asset49_values">'TAB roll forward'!$H$748:$L$748</definedName>
    <definedName name="DMS_Asset5_values">'TAB roll forward'!$H$176:$L$176</definedName>
    <definedName name="DMS_Asset50_values">'TAB roll forward'!$H$761:$L$761</definedName>
    <definedName name="DMS_Asset6_values">'TAB roll forward'!$H$189:$L$189</definedName>
    <definedName name="DMS_Asset7_values">'TAB roll forward'!$H$202:$L$202</definedName>
    <definedName name="DMS_Asset8_values">'TAB roll forward'!$H$215:$L$215</definedName>
    <definedName name="DMS_Asset9_values">'TAB roll forward'!$H$228:$L$228</definedName>
    <definedName name="DMS_assetlife_desc">'PTRM input summary'!$L$6:$M$6</definedName>
    <definedName name="DMS_assetlife_values">'PTRM input summary'!$L$7:$M$56</definedName>
    <definedName name="dms_ATD_DESC">'TAB roll forward'!$B$111</definedName>
    <definedName name="dms_ATD_VALUES">'TAB roll forward'!$H$111:$L$111</definedName>
    <definedName name="dms_Beg">'AER NRs'!$C$168</definedName>
    <definedName name="dms_CA">'AER ETL'!$C$73</definedName>
    <definedName name="dms_Cal_Year_B4_CRY">'AER ETL'!$C$29</definedName>
    <definedName name="dms_CBD_flag">'AER lookups'!$Z$17:$Z$33</definedName>
    <definedName name="dms_CBD_flag_NSP">'AER ETL'!$C$121</definedName>
    <definedName name="dms_CF_8.1_Neg">'[1]AER CF'!$U$7:$U$34</definedName>
    <definedName name="dms_CF_TradingName">'[1]AER CF'!$B$7:$B$34</definedName>
    <definedName name="dms_Classification">'AER ETL'!$C$25</definedName>
    <definedName name="dms_Confid_status_List">'AER NRs'!$D$6:$D$8</definedName>
    <definedName name="dms_ContactEmail">'Business &amp; other details'!$AL$34</definedName>
    <definedName name="dms_ContactEmail2">'Business &amp; other details'!$BQ$34</definedName>
    <definedName name="dms_ContactName1">'Business &amp; other details'!$AL$32</definedName>
    <definedName name="dms_ContactName2">'Business &amp; other details'!$BQ$32</definedName>
    <definedName name="dms_ContactPh1">'Business &amp; other details'!$AL$33</definedName>
    <definedName name="dms_ContactPh2">'Business &amp; other details'!$BQ$33</definedName>
    <definedName name="dms_CRAB_DESC">'RFM input'!$F$7:$F$56</definedName>
    <definedName name="dms_CRAB_VALUES">'Total RAB roll forward'!$L$634:$L$683</definedName>
    <definedName name="dms_CRCP_FinalYear_Result">'AER ETL'!$C$80</definedName>
    <definedName name="dms_CRCP_start_row">'AER ETL'!$C$40</definedName>
    <definedName name="dms_CRCPlength_List">'AER lookups'!$K$17:$K$33</definedName>
    <definedName name="dms_CRCPlength_Num">'AER ETL'!$C$69</definedName>
    <definedName name="dms_CRY_RYE">'AER ETL'!$C$53</definedName>
    <definedName name="dms_CRY_start_row">'AER ETL'!$C$38</definedName>
    <definedName name="dms_CRY_start_year">'AER ETL'!$C$37</definedName>
    <definedName name="dms_DataQuality">'AER ETL'!$C$19</definedName>
    <definedName name="dms_DataQuality_List">'AER NRs'!$C$6:$C$9</definedName>
    <definedName name="dms_DBAFNC_DESC">'Total RAB roll forward'!$C$373</definedName>
    <definedName name="dms_DBAFNC_VALUES">'Total RAB roll forward'!$L$373</definedName>
    <definedName name="dms_Defined_Names_Used">'AER ETL'!$C$3</definedName>
    <definedName name="dms_DeterminationRef">'AER ETL'!$C$119</definedName>
    <definedName name="dms_DeterminationRef_List">'AER lookups'!$O$17:$O$33</definedName>
    <definedName name="dms_DISCARD">'AER ETL'!$C$128</definedName>
    <definedName name="dms_DNSP_020301_ProjectTrigger">'AER NRs'!$E$24:$E$30</definedName>
    <definedName name="dms_DNSP_020301_ProjectType">'AER NRs'!$D$24:$D$27</definedName>
    <definedName name="dms_DNSP_020301_SubstationType">'AER NRs'!$C$24:$C$27</definedName>
    <definedName name="dms_DNSP_020302_ProjectTrigger">'AER NRs'!$G$24:$G$31</definedName>
    <definedName name="dms_DNSP_020302_ProjectType">'AER NRs'!$F$24:$F$36</definedName>
    <definedName name="dms_dollar_nom_UOM">'AER ETL'!$C$24</definedName>
    <definedName name="dms_DollarReal">'AER ETL'!$C$31</definedName>
    <definedName name="dms_DollarReal_Prev">'AER ETL'!$C$32</definedName>
    <definedName name="dms_DollarReal_year">'AER ETL'!$C$51</definedName>
    <definedName name="dms_DQ_1">'AER ETL'!$C$13</definedName>
    <definedName name="dms_DQ_2">'AER ETL'!$C$14</definedName>
    <definedName name="dms_E020202_UOM">'AER NRs'!$E$152:$E$153</definedName>
    <definedName name="dms_E050201_UOM">'AER NRs'!$O$76:$O$78</definedName>
    <definedName name="dms_E050202_UOM">'AER NRs'!$P$76:$P$78</definedName>
    <definedName name="dms_EB">'AER ETL'!$C$72</definedName>
    <definedName name="dms_EB_RAB_PIT">'AER NRs'!$C$144:$C$149</definedName>
    <definedName name="dms_End">'AER NRs'!$E$168</definedName>
    <definedName name="dms_FeederName_1">'AER lookups'!$AE$17:$AE$33</definedName>
    <definedName name="dms_FeederName_2">'AER lookups'!$AF$17:$AF$33</definedName>
    <definedName name="dms_FeederName_3">'AER lookups'!$AG$17:$AG$33</definedName>
    <definedName name="dms_FeederName_4">'AER lookups'!$AH$17:$AH$33</definedName>
    <definedName name="dms_FeederName_5">'AER lookups'!$AI$17:$AI$33</definedName>
    <definedName name="dms_FeederType_5_flag">'AER lookups'!$AD$17:$AD$33</definedName>
    <definedName name="dms_FifthFeeder_flag_NSP">'AER ETL'!$C$125</definedName>
    <definedName name="dms_FormControl">'AER ETL'!$C$34</definedName>
    <definedName name="dms_FormControl_Choices">'AER NRs'!$D$14:$D$16</definedName>
    <definedName name="dms_FormControl_List">'AER lookups'!$H$17:$H$33</definedName>
    <definedName name="dms_FRCP_start_row">'AER ETL'!$C$39</definedName>
    <definedName name="dms_FRCP_y1">'AER lookups'!$H$54</definedName>
    <definedName name="dms_FRCPlength_List">'AER lookups'!$L$17:$L$33</definedName>
    <definedName name="dms_FRCPlength_Num">'AER ETL'!$C$70</definedName>
    <definedName name="dms_FYAA_DESC">'Total RAB roll forward'!$C$581</definedName>
    <definedName name="dms_FYAA_VALUES">'Total RAB roll forward'!$L$581</definedName>
    <definedName name="dms_Header_Span">'AER ETL'!$C$60</definedName>
    <definedName name="dms_InputSource">'DMS input'!$C$22</definedName>
    <definedName name="dms_Jurisdiction">'AER ETL'!$C$26</definedName>
    <definedName name="dms_JurisdictionList">'AER lookups'!$E$17:$E$33</definedName>
    <definedName name="dms_LeapYear_Result">'AER ETL'!$C$98</definedName>
    <definedName name="dms_LongRural_flag">'AER lookups'!$AC$17:$AC$33</definedName>
    <definedName name="dms_LongRural_flag_NSP">'AER ETL'!$C$124</definedName>
    <definedName name="dms_Mid">'AER NRs'!$D$168</definedName>
    <definedName name="dms_Model">'AER ETL'!$C$11</definedName>
    <definedName name="dms_Model_List">'AER lookups'!$B$40:$B$49</definedName>
    <definedName name="dms_Model_Name_Format1">'AER lookups'!$C$40:$C$49</definedName>
    <definedName name="dms_Model_Span">'AER ETL'!$C$56</definedName>
    <definedName name="dms_Model_Span_List">'AER lookups'!$E$40:$E$49</definedName>
    <definedName name="dms_Multi_RYE_flag">'AER ETL'!$C$135</definedName>
    <definedName name="dms_MultiYear_ABC_RIN">'AER ETL'!$C$82</definedName>
    <definedName name="dms_MultiYear_FinalYear_Result">'AER ETL'!$C$80</definedName>
    <definedName name="dms_MultiYear_Flag">'AER ETL'!$C$63</definedName>
    <definedName name="dms_MultiYear_ResponseFlag">'AER ETL'!$C$62</definedName>
    <definedName name="dms_N0205_AssetType">'AER NRs'!$N$24:$N$34</definedName>
    <definedName name="dms_NANC_DESC">'Total RAB roll forward'!$C$59</definedName>
    <definedName name="dms_NANC_VALUES">'Total RAB roll forward'!$H$59:$L$59</definedName>
    <definedName name="dms_NARD_DESC">'Total RAB roll forward'!$C$111</definedName>
    <definedName name="dms_NARD_VALUES">'Total RAB roll forward'!$H$111:$L$111</definedName>
    <definedName name="dms_NORAB_DESC">'Total RAB roll forward'!$C$7</definedName>
    <definedName name="dms_NORAB_VALUES">'Total RAB roll forward'!$H$7:$L$7</definedName>
    <definedName name="DMS_oassetvalue_desc">'PTRM input summary'!$J$6</definedName>
    <definedName name="DMS_oassetvalue_values">'PTRM input summary'!$J$7:$J$56</definedName>
    <definedName name="dms_OTAV_VALUES">'TAB roll forward'!$H$8:$L$57</definedName>
    <definedName name="DMS_otaxvalue_desc">'PTRM input summary'!$N$6</definedName>
    <definedName name="DMS_otaxvalue_values">'PTRM input summary'!$N$7:$N$56</definedName>
    <definedName name="dms_PAddr1">'Business &amp; other details'!$BQ$23</definedName>
    <definedName name="dms_PAddr1_List">'AER lookups'!$U$17:$U$33</definedName>
    <definedName name="dms_PAddr2">'Business &amp; other details'!$BQ$24</definedName>
    <definedName name="dms_PAddr2_List">'AER lookups'!$V$17:$V$33</definedName>
    <definedName name="dms_Partial">'AER ETL'!$C$131</definedName>
    <definedName name="dms_PostCode">'Business &amp; other details'!$AX$26</definedName>
    <definedName name="dms_PostCode_List">'AER lookups'!$T$17:$T$33</definedName>
    <definedName name="dms_PPostCode">'Business &amp; other details'!$CC$26</definedName>
    <definedName name="dms_PPostCode_List">'AER lookups'!$Y$17:$Y$33</definedName>
    <definedName name="dms_PRCP_start_row">'AER ETL'!$C$41</definedName>
    <definedName name="dms_PRCPlength_List">'AER lookups'!$M$17:$M$33</definedName>
    <definedName name="dms_PRCPlength_Num">'AER ETL'!$C$68</definedName>
    <definedName name="dms_Previous_DollarReal_year">'AER ETL'!$C$52</definedName>
    <definedName name="dms_PState">'Business &amp; other details'!$BQ$26</definedName>
    <definedName name="dms_PState_List">'AER lookups'!$X$17:$X$33</definedName>
    <definedName name="dms_PSuburb">'Business &amp; other details'!$BQ$25</definedName>
    <definedName name="dms_PSuburb_List">'AER lookups'!$W$17:$W$33</definedName>
    <definedName name="dms_PTRM_RAB_PIT">'AER NRs'!$C$171:$C$175</definedName>
    <definedName name="dms_PTRM_TAB_PIT">'AER NRs'!$D$171:$D$174</definedName>
    <definedName name="dms_Public_Lighting">'AER ETL'!$C$120</definedName>
    <definedName name="dms_Public_Lighting_List">'AER lookups'!$AJ$17:$AJ$33</definedName>
    <definedName name="dms_RDNC_DESC">'Total RAB roll forward'!$C$425</definedName>
    <definedName name="dms_RDNC_VALUES">'Total RAB roll forward'!$L$425</definedName>
    <definedName name="dms_Reason_Interruption">'AER NRs'!$I$24:$I$39</definedName>
    <definedName name="dms_Reset_final_year">'AER ETL'!$C$49</definedName>
    <definedName name="dms_Reset_RYE">'AER ETL'!$C$54</definedName>
    <definedName name="dms_Reset_Span">'AER ETL'!$C$58</definedName>
    <definedName name="dms_RPT">'AER ETL'!$C$23</definedName>
    <definedName name="dms_RPT_List">'AER lookups'!$I$17:$I$33</definedName>
    <definedName name="dms_RPTMonth">'AER ETL'!$C$30</definedName>
    <definedName name="dms_RPTMonth_List">'AER lookups'!$J$17:$J$33</definedName>
    <definedName name="dms_RYE">'AER ETL'!$C$22</definedName>
    <definedName name="dms_RYE_01">'AER ETL'!$C$137</definedName>
    <definedName name="dms_RYE_02">'AER ETL'!$C$138</definedName>
    <definedName name="dms_RYE_03">'AER ETL'!$C$139</definedName>
    <definedName name="dms_RYE_04">'AER ETL'!$C$140</definedName>
    <definedName name="dms_RYE_05">'AER ETL'!$C$141</definedName>
    <definedName name="dms_RYE_06">'AER ETL'!$C$142</definedName>
    <definedName name="dms_RYE_07">'AER ETL'!$C$143</definedName>
    <definedName name="dms_RYE_08">'AER ETL'!$C$144</definedName>
    <definedName name="dms_RYE_09">'AER ETL'!$C$145</definedName>
    <definedName name="dms_RYE_result">'AER ETL'!$C$57</definedName>
    <definedName name="dms_RYE_start_row">'AER ETL'!$C$42</definedName>
    <definedName name="dms_S140101_UOM">'AER NRs'!$M$76:$M$79</definedName>
    <definedName name="dms_S140201_UOM">'AER NRs'!$N$76:$N$78</definedName>
    <definedName name="dms_Sector">'AER ETL'!$C$20</definedName>
    <definedName name="dms_Sector_List">'AER lookups'!$F$17:$F$33</definedName>
    <definedName name="dms_Segment">'AER ETL'!$C$21</definedName>
    <definedName name="dms_Segment_List">'AER lookups'!$G$17:$G$33</definedName>
    <definedName name="dms_Selected_Quality">'Business &amp; other details'!$AL$60</definedName>
    <definedName name="dms_Selected_Source">'Business &amp; other details'!$AL$58</definedName>
    <definedName name="dms_Selected_Status">'Business &amp; other details'!$AL$62</definedName>
    <definedName name="dms_ShortRural_flag">'AER lookups'!$AB$17:$AB$33</definedName>
    <definedName name="dms_ShortRural_flag_NSP">'AER ETL'!$C$123</definedName>
    <definedName name="dms_SingleYear_FinalYear_Result">'AER ETL'!$C$76</definedName>
    <definedName name="dms_SingleYear_Model">'AER ETL'!$C$72:$C$74</definedName>
    <definedName name="dms_SingleYearModel">'AER ETL'!$C$75</definedName>
    <definedName name="dms_Source">'AER ETL'!$C$12</definedName>
    <definedName name="dms_SourceList">'AER NRs'!$C$14:$C$19</definedName>
    <definedName name="dms_Specified_FinalYear">'AER ETL'!$C$64</definedName>
    <definedName name="dms_Specified_RYE">'AER ETL'!$C$55</definedName>
    <definedName name="dms_SpecifiedYear_final_year">'AER ETL'!$C$50</definedName>
    <definedName name="dms_SpecifiedYear_Span">'AER ETL'!$C$59</definedName>
    <definedName name="dms_start_year">'AER ETL'!$C$36</definedName>
    <definedName name="dms_State">'Business &amp; other details'!$AL$26</definedName>
    <definedName name="dms_State_List">'AER lookups'!$S$17:$S$33</definedName>
    <definedName name="dms_STPIS_Exclusion_List">'AER NRs'!$H$24:$H$33</definedName>
    <definedName name="dms_SubmissionDate">'AER ETL'!$C$16</definedName>
    <definedName name="dms_Suburb">'Business &amp; other details'!$AL$25</definedName>
    <definedName name="dms_Suburb_List">'AER lookups'!$R$17:$R$33</definedName>
    <definedName name="DMS_taxassetlife_desc">'PTRM input summary'!$O$6:$P$6</definedName>
    <definedName name="DMS_taxassetlife_values">'PTRM input summary'!$O$7:$P$56</definedName>
    <definedName name="dms_TemplateNumber">'AER lookups'!$D$9</definedName>
    <definedName name="dms_TNSP_0203_ProjectTrigger">'AER NRs'!$G$57:$G$64</definedName>
    <definedName name="dms_TNSP_0203_SubstationType">'AER NRs'!$C$57:$C$60</definedName>
    <definedName name="dms_TNSP_020301_ProjectTrigger">'AER NRs'!$E$57:$E$64</definedName>
    <definedName name="dms_TNSP_020301_ProjectType">'AER NRs'!$D$57:$D$60</definedName>
    <definedName name="dms_TNSP_020302_ProjectType">'AER NRs'!$F$57:$F$69</definedName>
    <definedName name="dms_Today">'AER lookups'!$A$15</definedName>
    <definedName name="dms_TradingName">'Business &amp; other details'!$AL$16</definedName>
    <definedName name="dms_TradingName_List">'AER lookups'!$B$17:$B$33</definedName>
    <definedName name="dms_TradingNameFull">'AER ETL'!$C$9</definedName>
    <definedName name="dms_TradingNameFull_List">'AER lookups'!$C$17:$C$33</definedName>
    <definedName name="dms_Typed_Submission_Date">'Business &amp; other details'!$AL$68</definedName>
    <definedName name="dms_Urban_flag">'AER lookups'!$AA$17:$AA$33</definedName>
    <definedName name="dms_Urban_flag_NSP">'AER ETL'!$C$122</definedName>
    <definedName name="dms_Worksheet_List">'AER lookups'!$D$40:$D$49</definedName>
    <definedName name="DMS_Xfactor">'AER NRs'!$E$171</definedName>
    <definedName name="dms_y1">'AER lookups'!$E$73</definedName>
    <definedName name="dms_y10">'AER lookups'!$E$82</definedName>
    <definedName name="dms_y11">'AER lookups'!$E$83</definedName>
    <definedName name="dms_y12">'AER lookups'!$E$84</definedName>
    <definedName name="dms_y13">'AER lookups'!$E$85</definedName>
    <definedName name="dms_y14">'AER lookups'!$E$86</definedName>
    <definedName name="dms_y15">'AER lookups'!$E$87</definedName>
    <definedName name="dms_y16">'AER lookups'!$E$88</definedName>
    <definedName name="dms_y2">'AER lookups'!$E$74</definedName>
    <definedName name="dms_y3">'AER lookups'!$E$75</definedName>
    <definedName name="dms_y4">'AER lookups'!$E$76</definedName>
    <definedName name="dms_y5">'AER lookups'!$E$77</definedName>
    <definedName name="dms_y6">'AER lookups'!$E$78</definedName>
    <definedName name="dms_y7">'AER lookups'!$E$79</definedName>
    <definedName name="dms_y8">'AER lookups'!$E$80</definedName>
    <definedName name="dms_y9">'AER lookups'!$E$81</definedName>
    <definedName name="EB">'AER lookups'!$C$44</definedName>
    <definedName name="EB_Fmt2">'AER lookups'!$D$44</definedName>
    <definedName name="Financial">'AER lookups'!$B$54:$B$103</definedName>
    <definedName name="FRCP_final_year">'AER ETL'!$C$46</definedName>
    <definedName name="FRCP_start_year">'AER ETL'!$C$43</definedName>
    <definedName name="FRCP_y1">'Business &amp; other details'!$AL$42</definedName>
    <definedName name="FRCP_y10">'AER lookups'!$I$63</definedName>
    <definedName name="FRCP_y11">'AER lookups'!$I$64</definedName>
    <definedName name="FRCP_y12">'AER lookups'!$I$65</definedName>
    <definedName name="FRCP_y13">'AER lookups'!$I$66</definedName>
    <definedName name="FRCP_y14">'AER lookups'!$I$67</definedName>
    <definedName name="FRCP_y15">'AER lookups'!$I$68</definedName>
    <definedName name="FRCP_y16">'AER lookups'!$I$69</definedName>
    <definedName name="FRCP_y2">'AER lookups'!$I$55</definedName>
    <definedName name="FRCP_y3">'AER lookups'!$I$56</definedName>
    <definedName name="FRCP_y4">'AER lookups'!$I$57</definedName>
    <definedName name="FRCP_y5">'AER lookups'!$I$58</definedName>
    <definedName name="FRCP_y6">'AER lookups'!$I$59</definedName>
    <definedName name="FRCP_y7">'AER lookups'!$I$60</definedName>
    <definedName name="FRCP_y8">'AER lookups'!$I$61</definedName>
    <definedName name="FRCP_y9">'AER lookups'!$I$62</definedName>
    <definedName name="PRCP_final_year">'AER ETL'!$C$48</definedName>
    <definedName name="PRCP_start_year">'AER ETL'!$C$45</definedName>
    <definedName name="PRCP_y1">'AER lookups'!$E$54</definedName>
    <definedName name="PRCP_y10">'AER lookups'!$E$63</definedName>
    <definedName name="PRCP_y11">'AER lookups'!$E$64</definedName>
    <definedName name="PRCP_y12">'AER lookups'!$E$65</definedName>
    <definedName name="PRCP_y13">'AER lookups'!$E$66</definedName>
    <definedName name="PRCP_y14">'AER lookups'!$E$67</definedName>
    <definedName name="PRCP_y15">'AER lookups'!$E$68</definedName>
    <definedName name="PRCP_y16">'AER lookups'!$E$69</definedName>
    <definedName name="PRCP_y2">'AER lookups'!$E$55</definedName>
    <definedName name="PRCP_y3">'AER lookups'!$E$56</definedName>
    <definedName name="PRCP_y4">'AER lookups'!$E$57</definedName>
    <definedName name="PRCP_y5">'AER lookups'!$E$58</definedName>
    <definedName name="PRCP_y6">'AER lookups'!$E$59</definedName>
    <definedName name="PRCP_y7">'AER lookups'!$E$60</definedName>
    <definedName name="PRCP_y8">'AER lookups'!$E$61</definedName>
    <definedName name="PRCP_y9">'AER lookups'!$E$62</definedName>
    <definedName name="previous_vanilla">'RFM input'!$G$289</definedName>
    <definedName name="Pricing">'AER lookups'!$C$45</definedName>
    <definedName name="Pricing_Fmt2">'AER lookups'!$D$45</definedName>
    <definedName name="_xlnm.Print_Area" localSheetId="7">'Adjustment for previous period'!$A$1:$R$533</definedName>
    <definedName name="_xlnm.Print_Area" localSheetId="8">'Capital Base roll forward'!$A$1:$S$1136</definedName>
    <definedName name="_xlnm.Print_Area" localSheetId="4">Intro!$A$1:$S$44</definedName>
    <definedName name="_xlnm.Print_Area" localSheetId="13">'PTRM input summary'!$A$1:$R$57</definedName>
    <definedName name="_xlnm.Print_Area" localSheetId="11">'RAB remaining lives'!$A$1:$W$2712</definedName>
    <definedName name="_xlnm.Print_Area" localSheetId="6">'RFM input'!$A$1:$AA$463</definedName>
    <definedName name="_xlnm.Print_Area" localSheetId="12">'TAB remaining lives'!$A$1:$W$2707</definedName>
    <definedName name="_xlnm.Print_Area" localSheetId="10">'TAB roll forward'!$A$1:$R$762</definedName>
    <definedName name="_xlnm.Print_Area" localSheetId="9">'Total RAB roll forward'!$A$1:$R$683</definedName>
    <definedName name="PTRM">'AER lookups'!$C$46</definedName>
    <definedName name="PTRM_Fmt2">'AER lookups'!$D$46</definedName>
    <definedName name="RAB">'RFM input'!#REF!</definedName>
    <definedName name="Reset">'AER lookups'!$C$47</definedName>
    <definedName name="Reset_Fmt2">'AER lookups'!$D$47</definedName>
    <definedName name="RFM">'AER lookups'!$C$48</definedName>
    <definedName name="RFM_Fmt2">'AER lookups'!$D$48</definedName>
    <definedName name="RLcapex1">'RAB remaining lives'!$B$18:$B$39</definedName>
    <definedName name="RLcapex10">'RAB remaining lives'!$B$504:$B$525</definedName>
    <definedName name="RLcapex11">'RAB remaining lives'!$B$558:$B$579</definedName>
    <definedName name="RLcapex12">'RAB remaining lives'!$B$612:$B$633</definedName>
    <definedName name="RLcapex13">'RAB remaining lives'!$B$666:$B$687</definedName>
    <definedName name="RLcapex14">'RAB remaining lives'!$B$720:$B$741</definedName>
    <definedName name="RLcapex15">'RAB remaining lives'!$B$774:$B$795</definedName>
    <definedName name="RLcapex16">'RAB remaining lives'!$B$828:$B$849</definedName>
    <definedName name="RLcapex17">'RAB remaining lives'!$B$882:$B$903</definedName>
    <definedName name="RLcapex18">'RAB remaining lives'!$B$936:$B$957</definedName>
    <definedName name="RLcapex19">'RAB remaining lives'!$B$990:$B$1011</definedName>
    <definedName name="RLcapex2">'RAB remaining lives'!$B$72:$B$93</definedName>
    <definedName name="RLcapex20">'RAB remaining lives'!$B$1044:$B$1065</definedName>
    <definedName name="RLcapex21">'RAB remaining lives'!$B$1098:$B$1119</definedName>
    <definedName name="RLcapex22">'RAB remaining lives'!$B$1152:$B$1173</definedName>
    <definedName name="RLcapex23">'RAB remaining lives'!$B$1206:$B$1227</definedName>
    <definedName name="RLcapex24">'RAB remaining lives'!$B$1260:$B$1281</definedName>
    <definedName name="RLcapex25">'RAB remaining lives'!$B$1314:$B$1335</definedName>
    <definedName name="RLcapex26">'RAB remaining lives'!$B$1368:$B$1389</definedName>
    <definedName name="RLcapex27">'RAB remaining lives'!$B$1422:$B$1443</definedName>
    <definedName name="RLcapex28">'RAB remaining lives'!$B$1476:$B$1497</definedName>
    <definedName name="RLcapex29">'RAB remaining lives'!$B$1530:$B$1551</definedName>
    <definedName name="RLcapex3">'RAB remaining lives'!$B$126:$B$147</definedName>
    <definedName name="RLcapex30">'RAB remaining lives'!$B$1584:$B$1605</definedName>
    <definedName name="RLcapex31">'RAB remaining lives'!$B$1638:$B$1659</definedName>
    <definedName name="RLcapex32">'RAB remaining lives'!$B$1692:$B$1713</definedName>
    <definedName name="RLcapex33">'RAB remaining lives'!$B$1746:$B$1767</definedName>
    <definedName name="RLcapex34">'RAB remaining lives'!$B$1800:$B$1821</definedName>
    <definedName name="RLcapex35">'RAB remaining lives'!$B$1854:$B$1875</definedName>
    <definedName name="RLcapex36">'RAB remaining lives'!$B$1908:$B$1929</definedName>
    <definedName name="RLcapex37">'RAB remaining lives'!$B$1962:$B$1983</definedName>
    <definedName name="RLcapex38">'RAB remaining lives'!$B$2016:$B$2037</definedName>
    <definedName name="RLcapex39">'RAB remaining lives'!$B$2070:$B$2091</definedName>
    <definedName name="RLcapex4">'RAB remaining lives'!$B$180:$B$201</definedName>
    <definedName name="RLcapex40">'RAB remaining lives'!$B$2124:$B$2145</definedName>
    <definedName name="RLcapex41">'RAB remaining lives'!$B$2178:$B$2199</definedName>
    <definedName name="RLcapex42">'RAB remaining lives'!$B$2232:$B$2253</definedName>
    <definedName name="RLcapex43">'RAB remaining lives'!$B$2286:$B$2307</definedName>
    <definedName name="RLcapex44">'RAB remaining lives'!$B$2340:$B$2361</definedName>
    <definedName name="RLcapex45">'RAB remaining lives'!$B$2394:$B$2415</definedName>
    <definedName name="RLcapex46">'RAB remaining lives'!$B$2448:$B$2469</definedName>
    <definedName name="RLcapex47">'RAB remaining lives'!$B$2502:$B$2523</definedName>
    <definedName name="RLcapex48">'RAB remaining lives'!$B$2556:$B$2577</definedName>
    <definedName name="RLcapex49">'RAB remaining lives'!$B$2610:$B$2631</definedName>
    <definedName name="RLcapex5">'RAB remaining lives'!$B$234:$B$255</definedName>
    <definedName name="RLcapex50">'RAB remaining lives'!$B$2664:$B$2685</definedName>
    <definedName name="RLcapex6">'RAB remaining lives'!$B$288:$B$309</definedName>
    <definedName name="RLcapex7">'RAB remaining lives'!$B$342:$B$363</definedName>
    <definedName name="RLcapex8">'RAB remaining lives'!$B$396:$B$417</definedName>
    <definedName name="RLcapex9">'RAB remaining lives'!$B$450:$B$471</definedName>
    <definedName name="RLives1">'RAB remaining lives'!$B$42:$B$63</definedName>
    <definedName name="RLives10">'RAB remaining lives'!$B$528:$B$549</definedName>
    <definedName name="RLives11">'RAB remaining lives'!$B$582:$B$603</definedName>
    <definedName name="RLives12">'RAB remaining lives'!$B$636:$B$657</definedName>
    <definedName name="RLives13">'RAB remaining lives'!$B$690:$B$711</definedName>
    <definedName name="RLives14">'RAB remaining lives'!$B$744:$B$765</definedName>
    <definedName name="RLives15">'RAB remaining lives'!$B$798:$B$819</definedName>
    <definedName name="RLives16">'RAB remaining lives'!$B$852:$B$873</definedName>
    <definedName name="RLives17">'RAB remaining lives'!$B$906:$B$927</definedName>
    <definedName name="RLives18">'RAB remaining lives'!$B$960:$B$981</definedName>
    <definedName name="RLives19">'RAB remaining lives'!$B$1014:$B$1035</definedName>
    <definedName name="RLives2">'RAB remaining lives'!$B$96:$B$117</definedName>
    <definedName name="RLives20">'RAB remaining lives'!$B$1068:$B$1089</definedName>
    <definedName name="RLives21">'RAB remaining lives'!$B$1122:$B$1143</definedName>
    <definedName name="RLives22">'RAB remaining lives'!$B$1176:$B$1197</definedName>
    <definedName name="RLives23">'RAB remaining lives'!$B$1230:$B$1251</definedName>
    <definedName name="RLives24">'RAB remaining lives'!$B$1284:$B$1305</definedName>
    <definedName name="RLives25">'RAB remaining lives'!$B$1338:$B$1359</definedName>
    <definedName name="RLives26">'RAB remaining lives'!$B$1392:$B$1413</definedName>
    <definedName name="RLives27">'RAB remaining lives'!$B$1446:$B$1467</definedName>
    <definedName name="RLives28">'RAB remaining lives'!$B$1500:$B$1521</definedName>
    <definedName name="RLives29">'RAB remaining lives'!$B$1554:$B$1575</definedName>
    <definedName name="RLives3">'RAB remaining lives'!$B$150:$B$171</definedName>
    <definedName name="RLives30">'RAB remaining lives'!$B$1608:$B$1629</definedName>
    <definedName name="RLives31">'RAB remaining lives'!$B$1662:$B$1683</definedName>
    <definedName name="RLives32">'RAB remaining lives'!$B$1716:$B$1737</definedName>
    <definedName name="RLives33">'RAB remaining lives'!$B$1770:$B$1791</definedName>
    <definedName name="RLives34">'RAB remaining lives'!$B$1824:$B$1845</definedName>
    <definedName name="RLives35">'RAB remaining lives'!$B$1878:$B$1899</definedName>
    <definedName name="RLives36">'RAB remaining lives'!$B$1932:$B$1953</definedName>
    <definedName name="RLives37">'RAB remaining lives'!$B$1986:$B$2007</definedName>
    <definedName name="RLives38">'RAB remaining lives'!$B$2040:$B$2061</definedName>
    <definedName name="RLives39">'RAB remaining lives'!$B$2094:$B$2115</definedName>
    <definedName name="RLives4">'RAB remaining lives'!$B$204:$B$225</definedName>
    <definedName name="RLives40">'RAB remaining lives'!$B$2148:$B$2169</definedName>
    <definedName name="RLives41">'RAB remaining lives'!$B$2202:$B$2223</definedName>
    <definedName name="RLives42">'RAB remaining lives'!$B$2256:$B$2277</definedName>
    <definedName name="RLives43">'RAB remaining lives'!$B$2310:$B$2331</definedName>
    <definedName name="RLives44">'RAB remaining lives'!$B$2364:$B$2385</definedName>
    <definedName name="RLives45">'RAB remaining lives'!$B$2418:$B$2439</definedName>
    <definedName name="RLives46">'RAB remaining lives'!$B$2472:$B$2493</definedName>
    <definedName name="RLives47">'RAB remaining lives'!$B$2526:$B$2547</definedName>
    <definedName name="RLives48">'RAB remaining lives'!$B$2580:$B$2601</definedName>
    <definedName name="RLives49">'RAB remaining lives'!$B$2634:$B$2655</definedName>
    <definedName name="RLives5">'RAB remaining lives'!$B$258:$B$279</definedName>
    <definedName name="RLives50">'RAB remaining lives'!$B$2688:$B$2709</definedName>
    <definedName name="RLives6">'RAB remaining lives'!$B$312:$B$333</definedName>
    <definedName name="RLives7">'RAB remaining lives'!$B$366:$B$387</definedName>
    <definedName name="RLives8">'RAB remaining lives'!$B$420:$B$441</definedName>
    <definedName name="RLives9">'RAB remaining lives'!$B$474:$B$495</definedName>
    <definedName name="TLcapex1">'TAB remaining lives'!$B$13:$B$34</definedName>
    <definedName name="TLcapex10">'TAB remaining lives'!$B$499:$B$520</definedName>
    <definedName name="TLcapex11">'TAB remaining lives'!$B$553:$B$574</definedName>
    <definedName name="TLcapex12">'TAB remaining lives'!$B$607:$B$628</definedName>
    <definedName name="TLcapex13">'TAB remaining lives'!$B$661:$B$682</definedName>
    <definedName name="TLcapex14">'TAB remaining lives'!$B$715:$B$736</definedName>
    <definedName name="TLcapex15">'TAB remaining lives'!$B$769:$B$790</definedName>
    <definedName name="TLcapex16">'TAB remaining lives'!$B$823:$B$844</definedName>
    <definedName name="TLcapex17">'TAB remaining lives'!$B$877:$B$898</definedName>
    <definedName name="TLcapex18">'TAB remaining lives'!$B$931:$B$952</definedName>
    <definedName name="TLcapex19">'TAB remaining lives'!$B$985:$B$1006</definedName>
    <definedName name="TLcapex2">'TAB remaining lives'!$B$67:$B$88</definedName>
    <definedName name="TLcapex20">'TAB remaining lives'!$B$1039:$B$1060</definedName>
    <definedName name="TLcapex21">'TAB remaining lives'!$B$1093:$B$1114</definedName>
    <definedName name="TLcapex22">'TAB remaining lives'!$B$1147:$B$1168</definedName>
    <definedName name="TLcapex23">'TAB remaining lives'!$B$1201:$B$1222</definedName>
    <definedName name="TLcapex24">'TAB remaining lives'!$B$1255:$B$1276</definedName>
    <definedName name="TLcapex25">'TAB remaining lives'!$B$1309:$B$1330</definedName>
    <definedName name="TLcapex26">'TAB remaining lives'!$B$1363:$B$1384</definedName>
    <definedName name="TLcapex27">'TAB remaining lives'!$B$1417:$B$1438</definedName>
    <definedName name="TLcapex28">'TAB remaining lives'!$B$1471:$B$1492</definedName>
    <definedName name="TLcapex29">'TAB remaining lives'!$B$1525:$B$1546</definedName>
    <definedName name="TLcapex3">'TAB remaining lives'!$B$121:$B$142</definedName>
    <definedName name="TLcapex30">'TAB remaining lives'!$B$1579:$B$1600</definedName>
    <definedName name="TLcapex31">'TAB remaining lives'!$B$1633:$B$1654</definedName>
    <definedName name="TLcapex32">'TAB remaining lives'!$B$1687:$B$1708</definedName>
    <definedName name="TLcapex33">'TAB remaining lives'!$B$1741:$B$1762</definedName>
    <definedName name="TLcapex34">'TAB remaining lives'!$B$1795:$B$1816</definedName>
    <definedName name="TLcapex35">'TAB remaining lives'!$B$1849:$B$1870</definedName>
    <definedName name="TLcapex36">'TAB remaining lives'!$B$1903:$B$1924</definedName>
    <definedName name="TLcapex37">'TAB remaining lives'!$B$1957:$B$1978</definedName>
    <definedName name="TLcapex38">'TAB remaining lives'!$B$2011:$B$2032</definedName>
    <definedName name="TLcapex39">'TAB remaining lives'!$B$2065:$B$2086</definedName>
    <definedName name="TLcapex4">'TAB remaining lives'!$B$175:$B$196</definedName>
    <definedName name="TLcapex40">'TAB remaining lives'!$B$2119:$B$2140</definedName>
    <definedName name="TLcapex41">'TAB remaining lives'!$B$2173:$B$2194</definedName>
    <definedName name="TLcapex42">'TAB remaining lives'!$B$2227:$B$2248</definedName>
    <definedName name="TLcapex43">'TAB remaining lives'!$B$2281:$B$2302</definedName>
    <definedName name="TLcapex44">'TAB remaining lives'!$B$2335:$B$2356</definedName>
    <definedName name="TLcapex45">'TAB remaining lives'!$B$2389:$B$2410</definedName>
    <definedName name="TLcapex46">'TAB remaining lives'!$B$2443:$B$2464</definedName>
    <definedName name="TLcapex47">'TAB remaining lives'!$B$2497:$B$2518</definedName>
    <definedName name="TLcapex48">'TAB remaining lives'!$B$2551:$B$2572</definedName>
    <definedName name="TLcapex49">'TAB remaining lives'!$B$2605:$B$2626</definedName>
    <definedName name="TLcapex5">'TAB remaining lives'!$B$229:$B$250</definedName>
    <definedName name="TLcapex50">'TAB remaining lives'!$B$2659:$B$2680</definedName>
    <definedName name="TLcapex6">'TAB remaining lives'!$B$283:$B$304</definedName>
    <definedName name="TLcapex7">'TAB remaining lives'!$B$337:$B$358</definedName>
    <definedName name="TLcapex8">'TAB remaining lives'!$B$391:$B$412</definedName>
    <definedName name="TLcapex9">'TAB remaining lives'!$B$445:$B$466</definedName>
    <definedName name="TLives1">'TAB remaining lives'!$B$37:$B$58</definedName>
    <definedName name="TLives10">'TAB remaining lives'!$B$523:$B$544</definedName>
    <definedName name="TLives11">'TAB remaining lives'!$B$577:$B$598</definedName>
    <definedName name="TLives12">'TAB remaining lives'!$B$631:$B$652</definedName>
    <definedName name="TLives13">'TAB remaining lives'!$B$685:$B$706</definedName>
    <definedName name="TLives14">'TAB remaining lives'!$B$739:$B$760</definedName>
    <definedName name="TLives15">'TAB remaining lives'!$B$793:$B$814</definedName>
    <definedName name="TLives16">'TAB remaining lives'!$B$847:$B$868</definedName>
    <definedName name="TLives17">'TAB remaining lives'!$B$901:$B$922</definedName>
    <definedName name="TLives18">'TAB remaining lives'!$B$955:$B$976</definedName>
    <definedName name="TLives19">'TAB remaining lives'!$B$1009:$B$1030</definedName>
    <definedName name="TLives2">'TAB remaining lives'!$B$91:$B$112</definedName>
    <definedName name="TLives20">'TAB remaining lives'!$B$1063:$B$1084</definedName>
    <definedName name="TLives21">'TAB remaining lives'!$B$1117:$B$1138</definedName>
    <definedName name="TLives22">'TAB remaining lives'!$B$1171:$B$1192</definedName>
    <definedName name="TLives23">'TAB remaining lives'!$B$1225:$B$1246</definedName>
    <definedName name="TLives24">'TAB remaining lives'!$B$1279:$B$1300</definedName>
    <definedName name="TLives25">'TAB remaining lives'!$B$1333:$B$1354</definedName>
    <definedName name="TLives26">'TAB remaining lives'!$B$1387:$B$1408</definedName>
    <definedName name="TLives27">'TAB remaining lives'!$B$1441:$B$1462</definedName>
    <definedName name="TLives28">'TAB remaining lives'!$B$1495:$B$1516</definedName>
    <definedName name="TLives29">'TAB remaining lives'!$B$1549:$B$1570</definedName>
    <definedName name="TLives3">'TAB remaining lives'!$B$145:$B$166</definedName>
    <definedName name="TLives30">'TAB remaining lives'!$B$1603:$B$1624</definedName>
    <definedName name="TLives31">'TAB remaining lives'!$B$1657:$B$1678</definedName>
    <definedName name="TLives32">'TAB remaining lives'!$B$1711:$B$1732</definedName>
    <definedName name="TLives33">'TAB remaining lives'!$B$1765:$B$1786</definedName>
    <definedName name="TLives34">'TAB remaining lives'!$B$1819:$B$1840</definedName>
    <definedName name="TLives35">'TAB remaining lives'!$B$1873:$B$1894</definedName>
    <definedName name="TLives36">'TAB remaining lives'!$B$1927:$B$1948</definedName>
    <definedName name="TLives37">'TAB remaining lives'!$B$1981:$B$2002</definedName>
    <definedName name="TLives38">'TAB remaining lives'!$B$2035:$B$2056</definedName>
    <definedName name="TLives39">'TAB remaining lives'!$B$2089:$B$2110</definedName>
    <definedName name="TLives4">'TAB remaining lives'!$B$199:$B$220</definedName>
    <definedName name="TLives40">'TAB remaining lives'!$B$2143:$B$2164</definedName>
    <definedName name="TLives41">'TAB remaining lives'!$B$2197:$B$2218</definedName>
    <definedName name="TLives42">'TAB remaining lives'!$B$2251:$B$2272</definedName>
    <definedName name="TLives43">'TAB remaining lives'!$B$2305:$B$2326</definedName>
    <definedName name="TLives44">'TAB remaining lives'!$B$2359:$B$2380</definedName>
    <definedName name="TLives45">'TAB remaining lives'!$B$2413:$B$2434</definedName>
    <definedName name="TLives46">'TAB remaining lives'!$B$2467:$B$2488</definedName>
    <definedName name="TLives47">'TAB remaining lives'!$B$2521:$B$2542</definedName>
    <definedName name="TLives48">'TAB remaining lives'!$B$2575:$B$2596</definedName>
    <definedName name="TLives49">'TAB remaining lives'!$B$2629:$B$2650</definedName>
    <definedName name="TLives5">'TAB remaining lives'!$B$253:$B$274</definedName>
    <definedName name="TLives50">'TAB remaining lives'!$B$2683:$B$2704</definedName>
    <definedName name="TLives6">'TAB remaining lives'!$B$307:$B$328</definedName>
    <definedName name="TLives7">'TAB remaining lives'!$B$361:$B$382</definedName>
    <definedName name="TLives8">'TAB remaining lives'!$B$415:$B$436</definedName>
    <definedName name="TLives9">'TAB remaining lives'!$B$469:$B$490</definedName>
    <definedName name="vanilla1">'RFM input'!$H$289</definedName>
    <definedName name="vanilla10">'RFM input'!$Q$289</definedName>
    <definedName name="vanilla2">'RFM input'!$I$289</definedName>
    <definedName name="vanilla3">'RFM input'!$J$289</definedName>
    <definedName name="vanilla4">'RFM input'!$K$289</definedName>
    <definedName name="vanilla5">'RFM input'!$L$289</definedName>
    <definedName name="vanilla6">'RFM input'!$M$289</definedName>
    <definedName name="vanilla7">'RFM input'!$N$289</definedName>
    <definedName name="vanilla8">'RFM input'!$O$289</definedName>
    <definedName name="vanilla9">'RFM input'!$P$289</definedName>
    <definedName name="WACC">'AER lookups'!$C$49</definedName>
    <definedName name="WACC_Fmt2">'AER lookups'!$D$49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6" i="7959" l="1"/>
  <c r="N166" i="7959" l="1"/>
  <c r="M166" i="7959"/>
  <c r="L166" i="7959"/>
  <c r="K166" i="7959"/>
  <c r="J166" i="7959"/>
  <c r="N111" i="7959"/>
  <c r="M111" i="7959"/>
  <c r="L111" i="7959"/>
  <c r="K111" i="7959"/>
  <c r="J111" i="7959"/>
  <c r="I111" i="7959"/>
  <c r="H111" i="7959"/>
  <c r="G111" i="7959"/>
  <c r="F111" i="7959"/>
  <c r="E111" i="7959"/>
  <c r="D111" i="7959"/>
  <c r="E56" i="7959"/>
  <c r="F56" i="7959"/>
  <c r="G56" i="7959"/>
  <c r="H56" i="7959"/>
  <c r="J56" i="7959"/>
  <c r="K56" i="7959"/>
  <c r="L56" i="7959"/>
  <c r="M56" i="7959"/>
  <c r="N56" i="7959"/>
  <c r="D56" i="7959"/>
  <c r="AL16" i="7963" l="1"/>
  <c r="V2" i="7963" s="1"/>
  <c r="C12" i="7962"/>
  <c r="V1" i="7963"/>
  <c r="C15" i="7962"/>
  <c r="C16" i="7962"/>
  <c r="C23" i="7962"/>
  <c r="C29" i="7962" s="1"/>
  <c r="C28" i="7962"/>
  <c r="C36" i="7962"/>
  <c r="C53" i="7962"/>
  <c r="C56" i="7962"/>
  <c r="C63" i="7962"/>
  <c r="C65" i="7962" s="1"/>
  <c r="C68" i="7962"/>
  <c r="C69" i="7962"/>
  <c r="C72" i="7962"/>
  <c r="C73" i="7962"/>
  <c r="C74" i="7962"/>
  <c r="C79" i="7962"/>
  <c r="C89" i="7962"/>
  <c r="C90" i="7962"/>
  <c r="C91" i="7962" s="1"/>
  <c r="C92" i="7962"/>
  <c r="C93" i="7962"/>
  <c r="C94" i="7962"/>
  <c r="C97" i="7962"/>
  <c r="C98" i="7962"/>
  <c r="C99" i="7962" s="1"/>
  <c r="C101" i="7962"/>
  <c r="C104" i="7962"/>
  <c r="C113" i="7962"/>
  <c r="C119" i="7962"/>
  <c r="C120" i="7962"/>
  <c r="C121" i="7962"/>
  <c r="C122" i="7962"/>
  <c r="C123" i="7962"/>
  <c r="C124" i="7962"/>
  <c r="C125" i="7962"/>
  <c r="C102" i="7962" s="1"/>
  <c r="AK16" i="7961"/>
  <c r="AK17" i="7961"/>
  <c r="AK18" i="7961"/>
  <c r="AK19" i="7961"/>
  <c r="AK20" i="7961"/>
  <c r="AK21" i="7961"/>
  <c r="AK22" i="7961"/>
  <c r="AK23" i="7961"/>
  <c r="AK24" i="7961"/>
  <c r="AK25" i="7961"/>
  <c r="AK26" i="7961"/>
  <c r="AK27" i="7961"/>
  <c r="AK28" i="7961"/>
  <c r="AK29" i="7961"/>
  <c r="AK30" i="7961"/>
  <c r="AK31" i="7961"/>
  <c r="AK32" i="7961"/>
  <c r="AK33" i="7961"/>
  <c r="D40" i="7961"/>
  <c r="D41" i="7961"/>
  <c r="D44" i="7961"/>
  <c r="AL56" i="7963"/>
  <c r="C39" i="7962"/>
  <c r="C26" i="7962" l="1"/>
  <c r="C10" i="7962"/>
  <c r="C34" i="7962"/>
  <c r="C9" i="7962"/>
  <c r="C70" i="7962"/>
  <c r="C30" i="7962"/>
  <c r="BQ25" i="7963"/>
  <c r="AL25" i="7963"/>
  <c r="C100" i="7962"/>
  <c r="C21" i="7962"/>
  <c r="C86" i="7962" s="1"/>
  <c r="BQ24" i="7963"/>
  <c r="C20" i="7962"/>
  <c r="AL24" i="7963"/>
  <c r="BQ23" i="7963"/>
  <c r="AL23" i="7963"/>
  <c r="BQ26" i="7963"/>
  <c r="AL17" i="7963"/>
  <c r="AL26" i="7963"/>
  <c r="C83" i="7962"/>
  <c r="C75" i="7962"/>
  <c r="C76" i="7962" s="1"/>
  <c r="C103" i="7962"/>
  <c r="C40" i="7962"/>
  <c r="C41" i="7962"/>
  <c r="C82" i="7962"/>
  <c r="C42" i="7962"/>
  <c r="C64" i="7962"/>
  <c r="C55" i="7962" s="1"/>
  <c r="C59" i="7962" s="1"/>
  <c r="H54" i="7961"/>
  <c r="I54" i="7961"/>
  <c r="I64" i="7961"/>
  <c r="I69" i="7961"/>
  <c r="I67" i="7961"/>
  <c r="I57" i="7961"/>
  <c r="I60" i="7961"/>
  <c r="I65" i="7961"/>
  <c r="I63" i="7961"/>
  <c r="I61" i="7961"/>
  <c r="I68" i="7961"/>
  <c r="I56" i="7961"/>
  <c r="C46" i="7962"/>
  <c r="I62" i="7961"/>
  <c r="I66" i="7961"/>
  <c r="I55" i="7961"/>
  <c r="C49" i="7962"/>
  <c r="C43" i="7962"/>
  <c r="I59" i="7961"/>
  <c r="I58" i="7961"/>
  <c r="G62" i="7961"/>
  <c r="E65" i="7961"/>
  <c r="BV44" i="7963" l="1"/>
  <c r="BM44" i="7963"/>
  <c r="BD44" i="7963"/>
  <c r="AU44" i="7963"/>
  <c r="AL44" i="7963"/>
  <c r="BV43" i="7963"/>
  <c r="BM43" i="7963"/>
  <c r="BM47" i="7963"/>
  <c r="BD43" i="7963"/>
  <c r="AU43" i="7963"/>
  <c r="AL43" i="7963"/>
  <c r="BV42" i="7963"/>
  <c r="C50" i="7962" s="1"/>
  <c r="BM42" i="7963"/>
  <c r="BD42" i="7963"/>
  <c r="AU42" i="7963"/>
  <c r="C80" i="7962"/>
  <c r="D199" i="7960"/>
  <c r="E199" i="7960"/>
  <c r="F199" i="7960"/>
  <c r="G199" i="7960"/>
  <c r="H199" i="7960"/>
  <c r="I199" i="7960"/>
  <c r="J199" i="7960"/>
  <c r="K199" i="7960"/>
  <c r="L199" i="7960"/>
  <c r="M199" i="7960"/>
  <c r="D204" i="7960"/>
  <c r="E204" i="7960"/>
  <c r="F204" i="7960"/>
  <c r="G204" i="7960"/>
  <c r="G61" i="7961"/>
  <c r="E57" i="7961"/>
  <c r="E54" i="7961"/>
  <c r="C47" i="7962"/>
  <c r="E56" i="7961"/>
  <c r="E68" i="7961"/>
  <c r="E64" i="7961"/>
  <c r="G55" i="7961"/>
  <c r="E55" i="7961"/>
  <c r="C48" i="7962"/>
  <c r="C45" i="7962"/>
  <c r="E62" i="7961"/>
  <c r="G58" i="7961"/>
  <c r="G54" i="7961"/>
  <c r="G56" i="7961"/>
  <c r="G67" i="7961"/>
  <c r="G68" i="7961"/>
  <c r="G59" i="7961"/>
  <c r="G63" i="7961"/>
  <c r="E58" i="7961"/>
  <c r="G69" i="7961"/>
  <c r="G64" i="7961"/>
  <c r="G60" i="7961"/>
  <c r="E67" i="7961"/>
  <c r="E59" i="7961"/>
  <c r="G66" i="7961"/>
  <c r="E66" i="7961"/>
  <c r="C44" i="7962"/>
  <c r="G65" i="7961"/>
  <c r="G57" i="7961"/>
  <c r="E61" i="7961"/>
  <c r="E60" i="7961"/>
  <c r="E69" i="7961"/>
  <c r="E63" i="7961"/>
  <c r="AU46" i="7963" l="1"/>
  <c r="AL50" i="7963"/>
  <c r="BV51" i="7963"/>
  <c r="AU51" i="7963"/>
  <c r="C116" i="7962"/>
  <c r="BD50" i="7963"/>
  <c r="BM51" i="7963"/>
  <c r="AU50" i="7963"/>
  <c r="BD51" i="7963"/>
  <c r="BM50" i="7963"/>
  <c r="C106" i="7962"/>
  <c r="C107" i="7962" s="1"/>
  <c r="C52" i="7962"/>
  <c r="C32" i="7962" s="1"/>
  <c r="BV50" i="7963"/>
  <c r="AL51" i="7963"/>
  <c r="AU47" i="7963"/>
  <c r="AU48" i="7963"/>
  <c r="AL47" i="7963"/>
  <c r="AL46" i="7963"/>
  <c r="BD47" i="7963"/>
  <c r="BM48" i="7963"/>
  <c r="BV48" i="7963"/>
  <c r="BV46" i="7963"/>
  <c r="C51" i="7962"/>
  <c r="C31" i="7962" s="1"/>
  <c r="AL48" i="7963"/>
  <c r="BD46" i="7963"/>
  <c r="BV47" i="7963"/>
  <c r="BM46" i="7963"/>
  <c r="C37" i="7962"/>
  <c r="BD48" i="7963"/>
  <c r="C8" i="7949"/>
  <c r="C38" i="7962"/>
  <c r="C54" i="7962" l="1"/>
  <c r="C58" i="7962" s="1"/>
  <c r="E187" i="7960"/>
  <c r="E297" i="1"/>
  <c r="E77" i="7961"/>
  <c r="E78" i="7961"/>
  <c r="E85" i="7961"/>
  <c r="E76" i="7961"/>
  <c r="E82" i="7961"/>
  <c r="E73" i="7961"/>
  <c r="E84" i="7961"/>
  <c r="E75" i="7961"/>
  <c r="E88" i="7961"/>
  <c r="E79" i="7961"/>
  <c r="E83" i="7961"/>
  <c r="E80" i="7961"/>
  <c r="E81" i="7961"/>
  <c r="E74" i="7961"/>
  <c r="E86" i="7961"/>
  <c r="E87" i="7961"/>
  <c r="C57" i="7962" l="1"/>
  <c r="C22" i="7962" s="1"/>
  <c r="C60" i="7962"/>
  <c r="V3" i="7963" s="1"/>
  <c r="A2665" i="7949"/>
  <c r="A2666" i="7949" s="1"/>
  <c r="A2667" i="7949" s="1"/>
  <c r="A2668" i="7949" s="1"/>
  <c r="A2669" i="7949" s="1"/>
  <c r="A2670" i="7949" s="1"/>
  <c r="A2671" i="7949" s="1"/>
  <c r="A2672" i="7949" s="1"/>
  <c r="A2673" i="7949" s="1"/>
  <c r="A2674" i="7949" s="1"/>
  <c r="A2675" i="7949" s="1"/>
  <c r="A2676" i="7949" s="1"/>
  <c r="A2677" i="7949" s="1"/>
  <c r="A2678" i="7949" s="1"/>
  <c r="A2679" i="7949" s="1"/>
  <c r="A2680" i="7949" s="1"/>
  <c r="A2681" i="7949" s="1"/>
  <c r="A2682" i="7949" s="1"/>
  <c r="A2683" i="7949" s="1"/>
  <c r="A2684" i="7949" s="1"/>
  <c r="A2685" i="7949" s="1"/>
  <c r="A2611" i="7949"/>
  <c r="A2612" i="7949" s="1"/>
  <c r="A2613" i="7949" s="1"/>
  <c r="A2614" i="7949" s="1"/>
  <c r="A2615" i="7949" s="1"/>
  <c r="A2616" i="7949" s="1"/>
  <c r="A2617" i="7949" s="1"/>
  <c r="A2618" i="7949" s="1"/>
  <c r="A2619" i="7949" s="1"/>
  <c r="A2620" i="7949" s="1"/>
  <c r="A2621" i="7949" s="1"/>
  <c r="A2622" i="7949" s="1"/>
  <c r="A2623" i="7949" s="1"/>
  <c r="A2624" i="7949" s="1"/>
  <c r="A2625" i="7949" s="1"/>
  <c r="A2626" i="7949" s="1"/>
  <c r="A2627" i="7949" s="1"/>
  <c r="A2628" i="7949" s="1"/>
  <c r="A2629" i="7949" s="1"/>
  <c r="A2630" i="7949" s="1"/>
  <c r="A2631" i="7949" s="1"/>
  <c r="A2557" i="7949"/>
  <c r="A2558" i="7949" s="1"/>
  <c r="A2559" i="7949" s="1"/>
  <c r="A2560" i="7949" s="1"/>
  <c r="A2561" i="7949" s="1"/>
  <c r="A2562" i="7949" s="1"/>
  <c r="A2563" i="7949" s="1"/>
  <c r="A2564" i="7949" s="1"/>
  <c r="A2565" i="7949" s="1"/>
  <c r="A2566" i="7949" s="1"/>
  <c r="A2567" i="7949" s="1"/>
  <c r="A2568" i="7949" s="1"/>
  <c r="A2569" i="7949" s="1"/>
  <c r="A2570" i="7949" s="1"/>
  <c r="A2571" i="7949" s="1"/>
  <c r="A2572" i="7949" s="1"/>
  <c r="A2573" i="7949" s="1"/>
  <c r="A2574" i="7949" s="1"/>
  <c r="A2575" i="7949" s="1"/>
  <c r="A2576" i="7949" s="1"/>
  <c r="A2577" i="7949" s="1"/>
  <c r="A2503" i="7949"/>
  <c r="A2504" i="7949" s="1"/>
  <c r="A2505" i="7949" s="1"/>
  <c r="A2506" i="7949" s="1"/>
  <c r="A2507" i="7949" s="1"/>
  <c r="A2508" i="7949" s="1"/>
  <c r="A2509" i="7949" s="1"/>
  <c r="A2510" i="7949" s="1"/>
  <c r="A2511" i="7949" s="1"/>
  <c r="A2512" i="7949" s="1"/>
  <c r="A2513" i="7949" s="1"/>
  <c r="A2514" i="7949" s="1"/>
  <c r="A2515" i="7949" s="1"/>
  <c r="A2516" i="7949" s="1"/>
  <c r="A2517" i="7949" s="1"/>
  <c r="A2518" i="7949" s="1"/>
  <c r="A2519" i="7949" s="1"/>
  <c r="A2520" i="7949" s="1"/>
  <c r="A2521" i="7949" s="1"/>
  <c r="A2522" i="7949" s="1"/>
  <c r="A2523" i="7949" s="1"/>
  <c r="A2449" i="7949"/>
  <c r="A2450" i="7949" s="1"/>
  <c r="A2451" i="7949" s="1"/>
  <c r="A2452" i="7949" s="1"/>
  <c r="A2453" i="7949" s="1"/>
  <c r="A2454" i="7949" s="1"/>
  <c r="A2455" i="7949" s="1"/>
  <c r="A2456" i="7949" s="1"/>
  <c r="A2457" i="7949" s="1"/>
  <c r="A2458" i="7949" s="1"/>
  <c r="A2459" i="7949" s="1"/>
  <c r="A2460" i="7949" s="1"/>
  <c r="A2461" i="7949" s="1"/>
  <c r="A2462" i="7949" s="1"/>
  <c r="A2463" i="7949" s="1"/>
  <c r="A2464" i="7949" s="1"/>
  <c r="A2465" i="7949" s="1"/>
  <c r="A2466" i="7949" s="1"/>
  <c r="A2467" i="7949" s="1"/>
  <c r="A2468" i="7949" s="1"/>
  <c r="A2469" i="7949" s="1"/>
  <c r="A2395" i="7949"/>
  <c r="A2396" i="7949" s="1"/>
  <c r="A2397" i="7949" s="1"/>
  <c r="A2398" i="7949" s="1"/>
  <c r="A2399" i="7949" s="1"/>
  <c r="A2400" i="7949" s="1"/>
  <c r="A2401" i="7949" s="1"/>
  <c r="A2402" i="7949" s="1"/>
  <c r="A2403" i="7949" s="1"/>
  <c r="A2404" i="7949" s="1"/>
  <c r="A2405" i="7949" s="1"/>
  <c r="A2406" i="7949" s="1"/>
  <c r="A2407" i="7949" s="1"/>
  <c r="A2408" i="7949" s="1"/>
  <c r="A2409" i="7949" s="1"/>
  <c r="A2410" i="7949" s="1"/>
  <c r="A2411" i="7949" s="1"/>
  <c r="A2412" i="7949" s="1"/>
  <c r="A2413" i="7949" s="1"/>
  <c r="A2414" i="7949" s="1"/>
  <c r="A2415" i="7949" s="1"/>
  <c r="A2341" i="7949"/>
  <c r="A2342" i="7949" s="1"/>
  <c r="A2343" i="7949" s="1"/>
  <c r="A2344" i="7949" s="1"/>
  <c r="A2345" i="7949" s="1"/>
  <c r="A2346" i="7949" s="1"/>
  <c r="A2347" i="7949" s="1"/>
  <c r="A2348" i="7949" s="1"/>
  <c r="A2349" i="7949" s="1"/>
  <c r="A2350" i="7949" s="1"/>
  <c r="A2351" i="7949" s="1"/>
  <c r="A2352" i="7949" s="1"/>
  <c r="A2353" i="7949" s="1"/>
  <c r="A2354" i="7949" s="1"/>
  <c r="A2355" i="7949" s="1"/>
  <c r="A2356" i="7949" s="1"/>
  <c r="A2357" i="7949" s="1"/>
  <c r="A2358" i="7949" s="1"/>
  <c r="A2359" i="7949" s="1"/>
  <c r="A2360" i="7949" s="1"/>
  <c r="A2361" i="7949" s="1"/>
  <c r="A2287" i="7949"/>
  <c r="A2288" i="7949" s="1"/>
  <c r="A2289" i="7949" s="1"/>
  <c r="A2290" i="7949" s="1"/>
  <c r="A2291" i="7949" s="1"/>
  <c r="A2292" i="7949" s="1"/>
  <c r="A2293" i="7949" s="1"/>
  <c r="A2294" i="7949" s="1"/>
  <c r="A2295" i="7949" s="1"/>
  <c r="A2296" i="7949" s="1"/>
  <c r="A2297" i="7949" s="1"/>
  <c r="A2298" i="7949" s="1"/>
  <c r="A2299" i="7949" s="1"/>
  <c r="A2300" i="7949" s="1"/>
  <c r="A2301" i="7949" s="1"/>
  <c r="A2302" i="7949" s="1"/>
  <c r="A2303" i="7949" s="1"/>
  <c r="A2304" i="7949" s="1"/>
  <c r="A2305" i="7949" s="1"/>
  <c r="A2306" i="7949" s="1"/>
  <c r="A2307" i="7949" s="1"/>
  <c r="A2233" i="7949"/>
  <c r="A2234" i="7949" s="1"/>
  <c r="A2235" i="7949" s="1"/>
  <c r="A2236" i="7949" s="1"/>
  <c r="A2237" i="7949" s="1"/>
  <c r="A2238" i="7949" s="1"/>
  <c r="A2239" i="7949" s="1"/>
  <c r="A2240" i="7949" s="1"/>
  <c r="A2241" i="7949" s="1"/>
  <c r="A2242" i="7949" s="1"/>
  <c r="A2243" i="7949" s="1"/>
  <c r="A2244" i="7949" s="1"/>
  <c r="A2245" i="7949" s="1"/>
  <c r="A2246" i="7949" s="1"/>
  <c r="A2247" i="7949" s="1"/>
  <c r="A2248" i="7949" s="1"/>
  <c r="A2249" i="7949" s="1"/>
  <c r="A2250" i="7949" s="1"/>
  <c r="A2251" i="7949" s="1"/>
  <c r="A2252" i="7949" s="1"/>
  <c r="A2253" i="7949" s="1"/>
  <c r="A2179" i="7949"/>
  <c r="A2180" i="7949" s="1"/>
  <c r="A2181" i="7949" s="1"/>
  <c r="A2182" i="7949" s="1"/>
  <c r="A2183" i="7949" s="1"/>
  <c r="A2184" i="7949" s="1"/>
  <c r="A2185" i="7949" s="1"/>
  <c r="A2186" i="7949" s="1"/>
  <c r="A2187" i="7949" s="1"/>
  <c r="A2188" i="7949" s="1"/>
  <c r="A2189" i="7949" s="1"/>
  <c r="A2190" i="7949" s="1"/>
  <c r="A2191" i="7949" s="1"/>
  <c r="A2192" i="7949" s="1"/>
  <c r="A2193" i="7949" s="1"/>
  <c r="A2194" i="7949" s="1"/>
  <c r="A2195" i="7949" s="1"/>
  <c r="A2196" i="7949" s="1"/>
  <c r="A2197" i="7949" s="1"/>
  <c r="A2198" i="7949" s="1"/>
  <c r="A2199" i="7949" s="1"/>
  <c r="A2125" i="7949"/>
  <c r="A2126" i="7949" s="1"/>
  <c r="A2127" i="7949" s="1"/>
  <c r="A2128" i="7949" s="1"/>
  <c r="A2129" i="7949" s="1"/>
  <c r="A2130" i="7949" s="1"/>
  <c r="A2131" i="7949" s="1"/>
  <c r="A2132" i="7949" s="1"/>
  <c r="A2133" i="7949" s="1"/>
  <c r="A2134" i="7949" s="1"/>
  <c r="A2135" i="7949" s="1"/>
  <c r="A2136" i="7949" s="1"/>
  <c r="A2137" i="7949" s="1"/>
  <c r="A2138" i="7949" s="1"/>
  <c r="A2139" i="7949" s="1"/>
  <c r="A2140" i="7949" s="1"/>
  <c r="A2141" i="7949" s="1"/>
  <c r="A2142" i="7949" s="1"/>
  <c r="A2143" i="7949" s="1"/>
  <c r="A2144" i="7949" s="1"/>
  <c r="A2145" i="7949" s="1"/>
  <c r="A2071" i="7949"/>
  <c r="A2072" i="7949" s="1"/>
  <c r="A2073" i="7949" s="1"/>
  <c r="A2074" i="7949" s="1"/>
  <c r="A2075" i="7949" s="1"/>
  <c r="A2076" i="7949" s="1"/>
  <c r="A2077" i="7949" s="1"/>
  <c r="A2078" i="7949" s="1"/>
  <c r="A2079" i="7949" s="1"/>
  <c r="A2080" i="7949" s="1"/>
  <c r="A2081" i="7949" s="1"/>
  <c r="A2082" i="7949" s="1"/>
  <c r="A2083" i="7949" s="1"/>
  <c r="A2084" i="7949" s="1"/>
  <c r="A2085" i="7949" s="1"/>
  <c r="A2086" i="7949" s="1"/>
  <c r="A2087" i="7949" s="1"/>
  <c r="A2088" i="7949" s="1"/>
  <c r="A2089" i="7949" s="1"/>
  <c r="A2090" i="7949" s="1"/>
  <c r="A2091" i="7949" s="1"/>
  <c r="A2017" i="7949"/>
  <c r="A2018" i="7949" s="1"/>
  <c r="A2019" i="7949" s="1"/>
  <c r="A2020" i="7949" s="1"/>
  <c r="A2021" i="7949" s="1"/>
  <c r="A2022" i="7949" s="1"/>
  <c r="A2023" i="7949" s="1"/>
  <c r="A2024" i="7949" s="1"/>
  <c r="A2025" i="7949" s="1"/>
  <c r="A2026" i="7949" s="1"/>
  <c r="A2027" i="7949" s="1"/>
  <c r="A2028" i="7949" s="1"/>
  <c r="A2029" i="7949" s="1"/>
  <c r="A2030" i="7949" s="1"/>
  <c r="A2031" i="7949" s="1"/>
  <c r="A2032" i="7949" s="1"/>
  <c r="A2033" i="7949" s="1"/>
  <c r="A2034" i="7949" s="1"/>
  <c r="A2035" i="7949" s="1"/>
  <c r="A2036" i="7949" s="1"/>
  <c r="A2037" i="7949" s="1"/>
  <c r="A1963" i="7949"/>
  <c r="A1964" i="7949" s="1"/>
  <c r="A1965" i="7949" s="1"/>
  <c r="A1966" i="7949" s="1"/>
  <c r="A1967" i="7949" s="1"/>
  <c r="A1968" i="7949" s="1"/>
  <c r="A1969" i="7949" s="1"/>
  <c r="A1970" i="7949" s="1"/>
  <c r="A1971" i="7949" s="1"/>
  <c r="A1972" i="7949" s="1"/>
  <c r="A1973" i="7949" s="1"/>
  <c r="A1974" i="7949" s="1"/>
  <c r="A1975" i="7949" s="1"/>
  <c r="A1976" i="7949" s="1"/>
  <c r="A1977" i="7949" s="1"/>
  <c r="A1978" i="7949" s="1"/>
  <c r="A1979" i="7949" s="1"/>
  <c r="A1980" i="7949" s="1"/>
  <c r="A1981" i="7949" s="1"/>
  <c r="A1982" i="7949" s="1"/>
  <c r="A1983" i="7949" s="1"/>
  <c r="A1909" i="7949"/>
  <c r="A1910" i="7949" s="1"/>
  <c r="A1911" i="7949" s="1"/>
  <c r="A1912" i="7949" s="1"/>
  <c r="A1913" i="7949" s="1"/>
  <c r="A1914" i="7949" s="1"/>
  <c r="A1915" i="7949" s="1"/>
  <c r="A1916" i="7949" s="1"/>
  <c r="A1917" i="7949" s="1"/>
  <c r="A1918" i="7949" s="1"/>
  <c r="A1919" i="7949" s="1"/>
  <c r="A1920" i="7949" s="1"/>
  <c r="A1921" i="7949" s="1"/>
  <c r="A1922" i="7949" s="1"/>
  <c r="A1923" i="7949" s="1"/>
  <c r="A1924" i="7949" s="1"/>
  <c r="A1925" i="7949" s="1"/>
  <c r="A1926" i="7949" s="1"/>
  <c r="A1927" i="7949" s="1"/>
  <c r="A1928" i="7949" s="1"/>
  <c r="A1929" i="7949" s="1"/>
  <c r="A1855" i="7949"/>
  <c r="A1856" i="7949" s="1"/>
  <c r="A1857" i="7949" s="1"/>
  <c r="A1858" i="7949" s="1"/>
  <c r="A1859" i="7949" s="1"/>
  <c r="A1860" i="7949" s="1"/>
  <c r="A1861" i="7949" s="1"/>
  <c r="A1862" i="7949" s="1"/>
  <c r="A1863" i="7949" s="1"/>
  <c r="A1864" i="7949" s="1"/>
  <c r="A1865" i="7949" s="1"/>
  <c r="A1866" i="7949" s="1"/>
  <c r="A1867" i="7949" s="1"/>
  <c r="A1868" i="7949" s="1"/>
  <c r="A1869" i="7949" s="1"/>
  <c r="A1870" i="7949" s="1"/>
  <c r="A1871" i="7949" s="1"/>
  <c r="A1872" i="7949" s="1"/>
  <c r="A1873" i="7949" s="1"/>
  <c r="A1874" i="7949" s="1"/>
  <c r="A1875" i="7949" s="1"/>
  <c r="A1801" i="7949"/>
  <c r="A1802" i="7949" s="1"/>
  <c r="A1803" i="7949" s="1"/>
  <c r="A1804" i="7949" s="1"/>
  <c r="A1805" i="7949" s="1"/>
  <c r="A1806" i="7949" s="1"/>
  <c r="A1807" i="7949" s="1"/>
  <c r="A1808" i="7949" s="1"/>
  <c r="A1809" i="7949" s="1"/>
  <c r="A1810" i="7949" s="1"/>
  <c r="A1811" i="7949" s="1"/>
  <c r="A1812" i="7949" s="1"/>
  <c r="A1813" i="7949" s="1"/>
  <c r="A1814" i="7949" s="1"/>
  <c r="A1815" i="7949" s="1"/>
  <c r="A1816" i="7949" s="1"/>
  <c r="A1817" i="7949" s="1"/>
  <c r="A1818" i="7949" s="1"/>
  <c r="A1819" i="7949" s="1"/>
  <c r="A1820" i="7949" s="1"/>
  <c r="A1821" i="7949" s="1"/>
  <c r="A1747" i="7949"/>
  <c r="A1748" i="7949" s="1"/>
  <c r="A1749" i="7949" s="1"/>
  <c r="A1750" i="7949" s="1"/>
  <c r="A1751" i="7949" s="1"/>
  <c r="A1752" i="7949" s="1"/>
  <c r="A1753" i="7949" s="1"/>
  <c r="A1754" i="7949" s="1"/>
  <c r="A1755" i="7949" s="1"/>
  <c r="A1756" i="7949" s="1"/>
  <c r="A1757" i="7949" s="1"/>
  <c r="A1758" i="7949" s="1"/>
  <c r="A1759" i="7949" s="1"/>
  <c r="A1760" i="7949" s="1"/>
  <c r="A1761" i="7949" s="1"/>
  <c r="A1762" i="7949" s="1"/>
  <c r="A1763" i="7949" s="1"/>
  <c r="A1764" i="7949" s="1"/>
  <c r="A1765" i="7949" s="1"/>
  <c r="A1766" i="7949" s="1"/>
  <c r="A1767" i="7949" s="1"/>
  <c r="A1693" i="7949"/>
  <c r="A1694" i="7949" s="1"/>
  <c r="A1695" i="7949" s="1"/>
  <c r="A1696" i="7949" s="1"/>
  <c r="A1697" i="7949" s="1"/>
  <c r="A1698" i="7949" s="1"/>
  <c r="A1699" i="7949" s="1"/>
  <c r="A1700" i="7949" s="1"/>
  <c r="A1701" i="7949" s="1"/>
  <c r="A1702" i="7949" s="1"/>
  <c r="A1703" i="7949" s="1"/>
  <c r="A1704" i="7949" s="1"/>
  <c r="A1705" i="7949" s="1"/>
  <c r="A1706" i="7949" s="1"/>
  <c r="A1707" i="7949" s="1"/>
  <c r="A1708" i="7949" s="1"/>
  <c r="A1709" i="7949" s="1"/>
  <c r="A1710" i="7949" s="1"/>
  <c r="A1711" i="7949" s="1"/>
  <c r="A1712" i="7949" s="1"/>
  <c r="A1713" i="7949" s="1"/>
  <c r="A1639" i="7949"/>
  <c r="A1640" i="7949" s="1"/>
  <c r="A1641" i="7949" s="1"/>
  <c r="A1642" i="7949" s="1"/>
  <c r="A1643" i="7949" s="1"/>
  <c r="A1644" i="7949" s="1"/>
  <c r="A1645" i="7949" s="1"/>
  <c r="A1646" i="7949" s="1"/>
  <c r="A1647" i="7949" s="1"/>
  <c r="A1648" i="7949" s="1"/>
  <c r="A1649" i="7949" s="1"/>
  <c r="A1650" i="7949" s="1"/>
  <c r="A1651" i="7949" s="1"/>
  <c r="A1652" i="7949" s="1"/>
  <c r="A1653" i="7949" s="1"/>
  <c r="A1654" i="7949" s="1"/>
  <c r="A1655" i="7949" s="1"/>
  <c r="A1656" i="7949" s="1"/>
  <c r="A1657" i="7949" s="1"/>
  <c r="A1658" i="7949" s="1"/>
  <c r="A1659" i="7949" s="1"/>
  <c r="A1585" i="7949"/>
  <c r="A1586" i="7949" s="1"/>
  <c r="A1587" i="7949" s="1"/>
  <c r="A1588" i="7949" s="1"/>
  <c r="A1589" i="7949" s="1"/>
  <c r="A1590" i="7949" s="1"/>
  <c r="A1591" i="7949" s="1"/>
  <c r="A1592" i="7949" s="1"/>
  <c r="A1593" i="7949" s="1"/>
  <c r="A1594" i="7949" s="1"/>
  <c r="A1595" i="7949" s="1"/>
  <c r="A1596" i="7949" s="1"/>
  <c r="A1597" i="7949" s="1"/>
  <c r="A1598" i="7949" s="1"/>
  <c r="A1599" i="7949" s="1"/>
  <c r="A1600" i="7949" s="1"/>
  <c r="A1601" i="7949" s="1"/>
  <c r="A1602" i="7949" s="1"/>
  <c r="A1603" i="7949" s="1"/>
  <c r="A1604" i="7949" s="1"/>
  <c r="A1605" i="7949" s="1"/>
  <c r="A1531" i="7949"/>
  <c r="A1532" i="7949" s="1"/>
  <c r="A1533" i="7949" s="1"/>
  <c r="A1534" i="7949" s="1"/>
  <c r="A1535" i="7949" s="1"/>
  <c r="A1536" i="7949" s="1"/>
  <c r="A1537" i="7949" s="1"/>
  <c r="A1538" i="7949" s="1"/>
  <c r="A1539" i="7949" s="1"/>
  <c r="A1540" i="7949" s="1"/>
  <c r="A1541" i="7949" s="1"/>
  <c r="A1542" i="7949" s="1"/>
  <c r="A1543" i="7949" s="1"/>
  <c r="A1544" i="7949" s="1"/>
  <c r="A1545" i="7949" s="1"/>
  <c r="A1546" i="7949" s="1"/>
  <c r="A1547" i="7949" s="1"/>
  <c r="A1548" i="7949" s="1"/>
  <c r="A1549" i="7949" s="1"/>
  <c r="A1550" i="7949" s="1"/>
  <c r="A1551" i="7949" s="1"/>
  <c r="A1477" i="7949"/>
  <c r="A1478" i="7949" s="1"/>
  <c r="A1479" i="7949" s="1"/>
  <c r="A1480" i="7949" s="1"/>
  <c r="A1481" i="7949" s="1"/>
  <c r="A1482" i="7949" s="1"/>
  <c r="A1483" i="7949" s="1"/>
  <c r="A1484" i="7949" s="1"/>
  <c r="A1485" i="7949" s="1"/>
  <c r="A1486" i="7949" s="1"/>
  <c r="A1487" i="7949" s="1"/>
  <c r="A1488" i="7949" s="1"/>
  <c r="A1489" i="7949" s="1"/>
  <c r="A1490" i="7949" s="1"/>
  <c r="A1491" i="7949" s="1"/>
  <c r="A1492" i="7949" s="1"/>
  <c r="A1493" i="7949" s="1"/>
  <c r="A1494" i="7949" s="1"/>
  <c r="A1495" i="7949" s="1"/>
  <c r="A1496" i="7949" s="1"/>
  <c r="A1497" i="7949" s="1"/>
  <c r="A1423" i="7949"/>
  <c r="A1424" i="7949" s="1"/>
  <c r="A1425" i="7949" s="1"/>
  <c r="A1426" i="7949" s="1"/>
  <c r="A1427" i="7949" s="1"/>
  <c r="A1428" i="7949" s="1"/>
  <c r="A1429" i="7949" s="1"/>
  <c r="A1430" i="7949" s="1"/>
  <c r="A1431" i="7949" s="1"/>
  <c r="A1432" i="7949" s="1"/>
  <c r="A1433" i="7949" s="1"/>
  <c r="A1434" i="7949" s="1"/>
  <c r="A1435" i="7949" s="1"/>
  <c r="A1436" i="7949" s="1"/>
  <c r="A1437" i="7949" s="1"/>
  <c r="A1438" i="7949" s="1"/>
  <c r="A1439" i="7949" s="1"/>
  <c r="A1440" i="7949" s="1"/>
  <c r="A1441" i="7949" s="1"/>
  <c r="A1442" i="7949" s="1"/>
  <c r="A1443" i="7949" s="1"/>
  <c r="A1369" i="7949"/>
  <c r="A1370" i="7949" s="1"/>
  <c r="A1371" i="7949" s="1"/>
  <c r="A1372" i="7949" s="1"/>
  <c r="A1373" i="7949" s="1"/>
  <c r="A1374" i="7949" s="1"/>
  <c r="A1375" i="7949" s="1"/>
  <c r="A1376" i="7949" s="1"/>
  <c r="A1377" i="7949" s="1"/>
  <c r="A1378" i="7949" s="1"/>
  <c r="A1379" i="7949" s="1"/>
  <c r="A1380" i="7949" s="1"/>
  <c r="A1381" i="7949" s="1"/>
  <c r="A1382" i="7949" s="1"/>
  <c r="A1383" i="7949" s="1"/>
  <c r="A1384" i="7949" s="1"/>
  <c r="A1385" i="7949" s="1"/>
  <c r="A1386" i="7949" s="1"/>
  <c r="A1387" i="7949" s="1"/>
  <c r="A1388" i="7949" s="1"/>
  <c r="A1389" i="7949" s="1"/>
  <c r="A1315" i="7949"/>
  <c r="A1316" i="7949" s="1"/>
  <c r="A1317" i="7949" s="1"/>
  <c r="A1318" i="7949" s="1"/>
  <c r="A1319" i="7949" s="1"/>
  <c r="A1320" i="7949" s="1"/>
  <c r="A1321" i="7949" s="1"/>
  <c r="A1322" i="7949" s="1"/>
  <c r="A1323" i="7949" s="1"/>
  <c r="A1324" i="7949" s="1"/>
  <c r="A1325" i="7949" s="1"/>
  <c r="A1326" i="7949" s="1"/>
  <c r="A1327" i="7949" s="1"/>
  <c r="A1328" i="7949" s="1"/>
  <c r="A1329" i="7949" s="1"/>
  <c r="A1330" i="7949" s="1"/>
  <c r="A1331" i="7949" s="1"/>
  <c r="A1332" i="7949" s="1"/>
  <c r="A1333" i="7949" s="1"/>
  <c r="A1334" i="7949" s="1"/>
  <c r="A1335" i="7949" s="1"/>
  <c r="A1261" i="7949"/>
  <c r="A1262" i="7949" s="1"/>
  <c r="A1263" i="7949" s="1"/>
  <c r="A1264" i="7949" s="1"/>
  <c r="A1265" i="7949" s="1"/>
  <c r="A1266" i="7949" s="1"/>
  <c r="A1267" i="7949" s="1"/>
  <c r="A1268" i="7949" s="1"/>
  <c r="A1269" i="7949" s="1"/>
  <c r="A1270" i="7949" s="1"/>
  <c r="A1271" i="7949" s="1"/>
  <c r="A1272" i="7949" s="1"/>
  <c r="A1273" i="7949" s="1"/>
  <c r="A1274" i="7949" s="1"/>
  <c r="A1275" i="7949" s="1"/>
  <c r="A1276" i="7949" s="1"/>
  <c r="A1277" i="7949" s="1"/>
  <c r="A1278" i="7949" s="1"/>
  <c r="A1279" i="7949" s="1"/>
  <c r="A1280" i="7949" s="1"/>
  <c r="A1281" i="7949" s="1"/>
  <c r="A1207" i="7949"/>
  <c r="A1208" i="7949" s="1"/>
  <c r="A1209" i="7949" s="1"/>
  <c r="A1210" i="7949" s="1"/>
  <c r="A1211" i="7949" s="1"/>
  <c r="A1212" i="7949" s="1"/>
  <c r="A1213" i="7949" s="1"/>
  <c r="A1214" i="7949" s="1"/>
  <c r="A1215" i="7949" s="1"/>
  <c r="A1216" i="7949" s="1"/>
  <c r="A1217" i="7949" s="1"/>
  <c r="A1218" i="7949" s="1"/>
  <c r="A1219" i="7949" s="1"/>
  <c r="A1220" i="7949" s="1"/>
  <c r="A1221" i="7949" s="1"/>
  <c r="A1222" i="7949" s="1"/>
  <c r="A1223" i="7949" s="1"/>
  <c r="A1224" i="7949" s="1"/>
  <c r="A1225" i="7949" s="1"/>
  <c r="A1226" i="7949" s="1"/>
  <c r="A1227" i="7949" s="1"/>
  <c r="A1153" i="7949"/>
  <c r="A1154" i="7949" s="1"/>
  <c r="A1155" i="7949" s="1"/>
  <c r="A1156" i="7949" s="1"/>
  <c r="A1157" i="7949" s="1"/>
  <c r="A1158" i="7949" s="1"/>
  <c r="A1159" i="7949" s="1"/>
  <c r="A1160" i="7949" s="1"/>
  <c r="A1161" i="7949" s="1"/>
  <c r="A1162" i="7949" s="1"/>
  <c r="A1163" i="7949" s="1"/>
  <c r="A1164" i="7949" s="1"/>
  <c r="A1165" i="7949" s="1"/>
  <c r="A1166" i="7949" s="1"/>
  <c r="A1167" i="7949" s="1"/>
  <c r="A1168" i="7949" s="1"/>
  <c r="A1169" i="7949" s="1"/>
  <c r="A1170" i="7949" s="1"/>
  <c r="A1171" i="7949" s="1"/>
  <c r="A1172" i="7949" s="1"/>
  <c r="A1173" i="7949" s="1"/>
  <c r="A1099" i="7949"/>
  <c r="A1100" i="7949" s="1"/>
  <c r="A1101" i="7949" s="1"/>
  <c r="A1102" i="7949" s="1"/>
  <c r="A1103" i="7949" s="1"/>
  <c r="A1104" i="7949" s="1"/>
  <c r="A1105" i="7949" s="1"/>
  <c r="A1106" i="7949" s="1"/>
  <c r="A1107" i="7949" s="1"/>
  <c r="A1108" i="7949" s="1"/>
  <c r="A1109" i="7949" s="1"/>
  <c r="A1110" i="7949" s="1"/>
  <c r="A1111" i="7949" s="1"/>
  <c r="A1112" i="7949" s="1"/>
  <c r="A1113" i="7949" s="1"/>
  <c r="A1114" i="7949" s="1"/>
  <c r="A1115" i="7949" s="1"/>
  <c r="A1116" i="7949" s="1"/>
  <c r="A1117" i="7949" s="1"/>
  <c r="A1118" i="7949" s="1"/>
  <c r="A1119" i="7949" s="1"/>
  <c r="A1045" i="7949"/>
  <c r="A1046" i="7949" s="1"/>
  <c r="A1047" i="7949" s="1"/>
  <c r="A1048" i="7949" s="1"/>
  <c r="A1049" i="7949" s="1"/>
  <c r="A1050" i="7949" s="1"/>
  <c r="A1051" i="7949" s="1"/>
  <c r="A1052" i="7949" s="1"/>
  <c r="A1053" i="7949" s="1"/>
  <c r="A1054" i="7949" s="1"/>
  <c r="A1055" i="7949" s="1"/>
  <c r="A1056" i="7949" s="1"/>
  <c r="A1057" i="7949" s="1"/>
  <c r="A1058" i="7949" s="1"/>
  <c r="A1059" i="7949" s="1"/>
  <c r="A1060" i="7949" s="1"/>
  <c r="A1061" i="7949" s="1"/>
  <c r="A1062" i="7949" s="1"/>
  <c r="A1063" i="7949" s="1"/>
  <c r="A1064" i="7949" s="1"/>
  <c r="A1065" i="7949" s="1"/>
  <c r="A991" i="7949"/>
  <c r="A992" i="7949" s="1"/>
  <c r="A993" i="7949" s="1"/>
  <c r="A994" i="7949" s="1"/>
  <c r="A995" i="7949" s="1"/>
  <c r="A996" i="7949" s="1"/>
  <c r="A997" i="7949" s="1"/>
  <c r="A998" i="7949" s="1"/>
  <c r="A999" i="7949" s="1"/>
  <c r="A1000" i="7949" s="1"/>
  <c r="A1001" i="7949" s="1"/>
  <c r="A1002" i="7949" s="1"/>
  <c r="A1003" i="7949" s="1"/>
  <c r="A1004" i="7949" s="1"/>
  <c r="A1005" i="7949" s="1"/>
  <c r="A1006" i="7949" s="1"/>
  <c r="A1007" i="7949" s="1"/>
  <c r="A1008" i="7949" s="1"/>
  <c r="A1009" i="7949" s="1"/>
  <c r="A1010" i="7949" s="1"/>
  <c r="A1011" i="7949" s="1"/>
  <c r="A937" i="7949"/>
  <c r="A938" i="7949" s="1"/>
  <c r="A939" i="7949" s="1"/>
  <c r="A940" i="7949" s="1"/>
  <c r="A941" i="7949" s="1"/>
  <c r="A942" i="7949" s="1"/>
  <c r="A943" i="7949" s="1"/>
  <c r="A944" i="7949" s="1"/>
  <c r="A945" i="7949" s="1"/>
  <c r="A946" i="7949" s="1"/>
  <c r="A947" i="7949" s="1"/>
  <c r="A948" i="7949" s="1"/>
  <c r="A949" i="7949" s="1"/>
  <c r="A950" i="7949" s="1"/>
  <c r="A951" i="7949" s="1"/>
  <c r="A952" i="7949" s="1"/>
  <c r="A953" i="7949" s="1"/>
  <c r="A954" i="7949" s="1"/>
  <c r="A955" i="7949" s="1"/>
  <c r="A956" i="7949" s="1"/>
  <c r="A957" i="7949" s="1"/>
  <c r="A883" i="7949"/>
  <c r="A884" i="7949" s="1"/>
  <c r="A885" i="7949" s="1"/>
  <c r="A886" i="7949" s="1"/>
  <c r="A887" i="7949" s="1"/>
  <c r="A888" i="7949" s="1"/>
  <c r="A889" i="7949" s="1"/>
  <c r="A890" i="7949" s="1"/>
  <c r="A891" i="7949" s="1"/>
  <c r="A892" i="7949" s="1"/>
  <c r="A893" i="7949" s="1"/>
  <c r="A894" i="7949" s="1"/>
  <c r="A895" i="7949" s="1"/>
  <c r="A896" i="7949" s="1"/>
  <c r="A897" i="7949" s="1"/>
  <c r="A898" i="7949" s="1"/>
  <c r="A899" i="7949" s="1"/>
  <c r="A900" i="7949" s="1"/>
  <c r="A901" i="7949" s="1"/>
  <c r="A902" i="7949" s="1"/>
  <c r="A903" i="7949" s="1"/>
  <c r="A829" i="7949"/>
  <c r="A830" i="7949" s="1"/>
  <c r="A831" i="7949" s="1"/>
  <c r="A832" i="7949" s="1"/>
  <c r="A833" i="7949" s="1"/>
  <c r="A834" i="7949" s="1"/>
  <c r="A835" i="7949" s="1"/>
  <c r="A836" i="7949" s="1"/>
  <c r="A837" i="7949" s="1"/>
  <c r="A838" i="7949" s="1"/>
  <c r="A839" i="7949" s="1"/>
  <c r="A840" i="7949" s="1"/>
  <c r="A841" i="7949" s="1"/>
  <c r="A842" i="7949" s="1"/>
  <c r="A843" i="7949" s="1"/>
  <c r="A844" i="7949" s="1"/>
  <c r="A845" i="7949" s="1"/>
  <c r="A846" i="7949" s="1"/>
  <c r="A847" i="7949" s="1"/>
  <c r="A848" i="7949" s="1"/>
  <c r="A849" i="7949" s="1"/>
  <c r="A775" i="7949"/>
  <c r="A776" i="7949" s="1"/>
  <c r="A777" i="7949" s="1"/>
  <c r="A778" i="7949" s="1"/>
  <c r="A779" i="7949" s="1"/>
  <c r="A780" i="7949" s="1"/>
  <c r="A781" i="7949" s="1"/>
  <c r="A782" i="7949" s="1"/>
  <c r="A783" i="7949" s="1"/>
  <c r="A784" i="7949" s="1"/>
  <c r="A785" i="7949" s="1"/>
  <c r="A786" i="7949" s="1"/>
  <c r="A787" i="7949" s="1"/>
  <c r="A788" i="7949" s="1"/>
  <c r="A789" i="7949" s="1"/>
  <c r="A790" i="7949" s="1"/>
  <c r="A791" i="7949" s="1"/>
  <c r="A792" i="7949" s="1"/>
  <c r="A793" i="7949" s="1"/>
  <c r="A794" i="7949" s="1"/>
  <c r="A795" i="7949" s="1"/>
  <c r="A721" i="7949"/>
  <c r="A722" i="7949" s="1"/>
  <c r="A723" i="7949" s="1"/>
  <c r="A724" i="7949" s="1"/>
  <c r="A725" i="7949" s="1"/>
  <c r="A726" i="7949" s="1"/>
  <c r="A727" i="7949" s="1"/>
  <c r="A728" i="7949" s="1"/>
  <c r="A729" i="7949" s="1"/>
  <c r="A730" i="7949" s="1"/>
  <c r="A731" i="7949" s="1"/>
  <c r="A732" i="7949" s="1"/>
  <c r="A733" i="7949" s="1"/>
  <c r="A734" i="7949" s="1"/>
  <c r="A735" i="7949" s="1"/>
  <c r="A736" i="7949" s="1"/>
  <c r="A737" i="7949" s="1"/>
  <c r="A738" i="7949" s="1"/>
  <c r="A739" i="7949" s="1"/>
  <c r="A740" i="7949" s="1"/>
  <c r="A741" i="7949" s="1"/>
  <c r="A667" i="7949"/>
  <c r="A668" i="7949" s="1"/>
  <c r="A669" i="7949" s="1"/>
  <c r="A670" i="7949" s="1"/>
  <c r="A671" i="7949" s="1"/>
  <c r="A672" i="7949" s="1"/>
  <c r="A673" i="7949" s="1"/>
  <c r="A674" i="7949" s="1"/>
  <c r="A675" i="7949" s="1"/>
  <c r="A676" i="7949" s="1"/>
  <c r="A677" i="7949" s="1"/>
  <c r="A678" i="7949" s="1"/>
  <c r="A679" i="7949" s="1"/>
  <c r="A680" i="7949" s="1"/>
  <c r="A681" i="7949" s="1"/>
  <c r="A682" i="7949" s="1"/>
  <c r="A683" i="7949" s="1"/>
  <c r="A684" i="7949" s="1"/>
  <c r="A685" i="7949" s="1"/>
  <c r="A686" i="7949" s="1"/>
  <c r="A687" i="7949" s="1"/>
  <c r="A613" i="7949"/>
  <c r="A614" i="7949" s="1"/>
  <c r="A615" i="7949" s="1"/>
  <c r="A616" i="7949" s="1"/>
  <c r="A617" i="7949" s="1"/>
  <c r="A618" i="7949" s="1"/>
  <c r="A619" i="7949" s="1"/>
  <c r="A620" i="7949" s="1"/>
  <c r="A621" i="7949" s="1"/>
  <c r="A622" i="7949" s="1"/>
  <c r="A623" i="7949" s="1"/>
  <c r="A624" i="7949" s="1"/>
  <c r="A625" i="7949" s="1"/>
  <c r="A626" i="7949" s="1"/>
  <c r="A627" i="7949" s="1"/>
  <c r="A628" i="7949" s="1"/>
  <c r="A629" i="7949" s="1"/>
  <c r="A630" i="7949" s="1"/>
  <c r="A631" i="7949" s="1"/>
  <c r="A632" i="7949" s="1"/>
  <c r="A633" i="7949" s="1"/>
  <c r="A559" i="7949"/>
  <c r="A560" i="7949" s="1"/>
  <c r="A561" i="7949" s="1"/>
  <c r="A562" i="7949" s="1"/>
  <c r="A563" i="7949" s="1"/>
  <c r="A564" i="7949" s="1"/>
  <c r="A565" i="7949" s="1"/>
  <c r="A566" i="7949" s="1"/>
  <c r="A567" i="7949" s="1"/>
  <c r="A568" i="7949" s="1"/>
  <c r="A569" i="7949" s="1"/>
  <c r="A570" i="7949" s="1"/>
  <c r="A571" i="7949" s="1"/>
  <c r="A572" i="7949" s="1"/>
  <c r="A573" i="7949" s="1"/>
  <c r="A574" i="7949" s="1"/>
  <c r="A575" i="7949" s="1"/>
  <c r="A576" i="7949" s="1"/>
  <c r="A577" i="7949" s="1"/>
  <c r="A578" i="7949" s="1"/>
  <c r="A579" i="7949" s="1"/>
  <c r="A505" i="7949"/>
  <c r="A506" i="7949" s="1"/>
  <c r="A507" i="7949" s="1"/>
  <c r="A508" i="7949" s="1"/>
  <c r="A509" i="7949" s="1"/>
  <c r="A510" i="7949" s="1"/>
  <c r="A511" i="7949" s="1"/>
  <c r="A512" i="7949" s="1"/>
  <c r="A513" i="7949" s="1"/>
  <c r="A514" i="7949" s="1"/>
  <c r="A515" i="7949" s="1"/>
  <c r="A516" i="7949" s="1"/>
  <c r="A517" i="7949" s="1"/>
  <c r="A518" i="7949" s="1"/>
  <c r="A519" i="7949" s="1"/>
  <c r="A520" i="7949" s="1"/>
  <c r="A521" i="7949" s="1"/>
  <c r="A522" i="7949" s="1"/>
  <c r="A523" i="7949" s="1"/>
  <c r="A524" i="7949" s="1"/>
  <c r="A525" i="7949" s="1"/>
  <c r="A451" i="7949"/>
  <c r="A452" i="7949" s="1"/>
  <c r="A453" i="7949" s="1"/>
  <c r="A454" i="7949" s="1"/>
  <c r="A455" i="7949" s="1"/>
  <c r="A456" i="7949" s="1"/>
  <c r="A457" i="7949" s="1"/>
  <c r="A458" i="7949" s="1"/>
  <c r="A459" i="7949" s="1"/>
  <c r="A460" i="7949" s="1"/>
  <c r="A461" i="7949" s="1"/>
  <c r="A462" i="7949" s="1"/>
  <c r="A463" i="7949" s="1"/>
  <c r="A464" i="7949" s="1"/>
  <c r="A465" i="7949" s="1"/>
  <c r="A466" i="7949" s="1"/>
  <c r="A467" i="7949" s="1"/>
  <c r="A468" i="7949" s="1"/>
  <c r="A469" i="7949" s="1"/>
  <c r="A470" i="7949" s="1"/>
  <c r="A471" i="7949" s="1"/>
  <c r="A397" i="7949"/>
  <c r="A398" i="7949" s="1"/>
  <c r="A399" i="7949" s="1"/>
  <c r="A400" i="7949" s="1"/>
  <c r="A401" i="7949" s="1"/>
  <c r="A402" i="7949" s="1"/>
  <c r="A403" i="7949" s="1"/>
  <c r="A404" i="7949" s="1"/>
  <c r="A405" i="7949" s="1"/>
  <c r="A406" i="7949" s="1"/>
  <c r="A407" i="7949" s="1"/>
  <c r="A408" i="7949" s="1"/>
  <c r="A409" i="7949" s="1"/>
  <c r="A410" i="7949" s="1"/>
  <c r="A411" i="7949" s="1"/>
  <c r="A412" i="7949" s="1"/>
  <c r="A413" i="7949" s="1"/>
  <c r="A414" i="7949" s="1"/>
  <c r="A415" i="7949" s="1"/>
  <c r="A416" i="7949" s="1"/>
  <c r="A417" i="7949" s="1"/>
  <c r="A343" i="7949"/>
  <c r="A344" i="7949" s="1"/>
  <c r="A345" i="7949" s="1"/>
  <c r="A346" i="7949" s="1"/>
  <c r="A347" i="7949" s="1"/>
  <c r="A348" i="7949" s="1"/>
  <c r="A349" i="7949" s="1"/>
  <c r="A350" i="7949" s="1"/>
  <c r="A351" i="7949" s="1"/>
  <c r="A352" i="7949" s="1"/>
  <c r="A353" i="7949" s="1"/>
  <c r="A354" i="7949" s="1"/>
  <c r="A355" i="7949" s="1"/>
  <c r="A356" i="7949" s="1"/>
  <c r="A357" i="7949" s="1"/>
  <c r="A358" i="7949" s="1"/>
  <c r="A359" i="7949" s="1"/>
  <c r="A360" i="7949" s="1"/>
  <c r="A361" i="7949" s="1"/>
  <c r="A362" i="7949" s="1"/>
  <c r="A363" i="7949" s="1"/>
  <c r="A289" i="7949"/>
  <c r="A290" i="7949" s="1"/>
  <c r="A291" i="7949" s="1"/>
  <c r="A292" i="7949" s="1"/>
  <c r="A293" i="7949" s="1"/>
  <c r="A294" i="7949" s="1"/>
  <c r="A295" i="7949" s="1"/>
  <c r="A296" i="7949" s="1"/>
  <c r="A297" i="7949" s="1"/>
  <c r="A298" i="7949" s="1"/>
  <c r="A299" i="7949" s="1"/>
  <c r="A300" i="7949" s="1"/>
  <c r="A301" i="7949" s="1"/>
  <c r="A302" i="7949" s="1"/>
  <c r="A303" i="7949" s="1"/>
  <c r="A304" i="7949" s="1"/>
  <c r="A305" i="7949" s="1"/>
  <c r="A306" i="7949" s="1"/>
  <c r="A307" i="7949" s="1"/>
  <c r="A308" i="7949" s="1"/>
  <c r="A309" i="7949" s="1"/>
  <c r="A235" i="7949"/>
  <c r="A236" i="7949" s="1"/>
  <c r="A237" i="7949" s="1"/>
  <c r="A238" i="7949" s="1"/>
  <c r="A239" i="7949" s="1"/>
  <c r="A240" i="7949" s="1"/>
  <c r="A241" i="7949" s="1"/>
  <c r="A242" i="7949" s="1"/>
  <c r="A243" i="7949" s="1"/>
  <c r="A244" i="7949" s="1"/>
  <c r="A245" i="7949" s="1"/>
  <c r="A246" i="7949" s="1"/>
  <c r="A247" i="7949" s="1"/>
  <c r="A248" i="7949" s="1"/>
  <c r="A249" i="7949" s="1"/>
  <c r="A250" i="7949" s="1"/>
  <c r="A251" i="7949" s="1"/>
  <c r="A252" i="7949" s="1"/>
  <c r="A253" i="7949" s="1"/>
  <c r="A254" i="7949" s="1"/>
  <c r="A255" i="7949" s="1"/>
  <c r="A181" i="7949"/>
  <c r="A182" i="7949" s="1"/>
  <c r="A183" i="7949" s="1"/>
  <c r="A184" i="7949" s="1"/>
  <c r="A185" i="7949" s="1"/>
  <c r="A186" i="7949" s="1"/>
  <c r="A187" i="7949" s="1"/>
  <c r="A188" i="7949" s="1"/>
  <c r="A189" i="7949" s="1"/>
  <c r="A190" i="7949" s="1"/>
  <c r="A191" i="7949" s="1"/>
  <c r="A192" i="7949" s="1"/>
  <c r="A193" i="7949" s="1"/>
  <c r="A194" i="7949" s="1"/>
  <c r="A195" i="7949" s="1"/>
  <c r="A196" i="7949" s="1"/>
  <c r="A197" i="7949" s="1"/>
  <c r="A198" i="7949" s="1"/>
  <c r="A199" i="7949" s="1"/>
  <c r="A200" i="7949" s="1"/>
  <c r="A201" i="7949" s="1"/>
  <c r="A127" i="7949"/>
  <c r="A128" i="7949" s="1"/>
  <c r="A129" i="7949" s="1"/>
  <c r="A130" i="7949" s="1"/>
  <c r="A131" i="7949" s="1"/>
  <c r="A132" i="7949" s="1"/>
  <c r="A133" i="7949" s="1"/>
  <c r="A134" i="7949" s="1"/>
  <c r="A135" i="7949" s="1"/>
  <c r="A136" i="7949" s="1"/>
  <c r="A137" i="7949" s="1"/>
  <c r="A138" i="7949" s="1"/>
  <c r="A139" i="7949" s="1"/>
  <c r="A140" i="7949" s="1"/>
  <c r="A141" i="7949" s="1"/>
  <c r="A142" i="7949" s="1"/>
  <c r="A143" i="7949" s="1"/>
  <c r="A144" i="7949" s="1"/>
  <c r="A145" i="7949" s="1"/>
  <c r="A146" i="7949" s="1"/>
  <c r="A147" i="7949" s="1"/>
  <c r="A176" i="7949"/>
  <c r="A73" i="7949"/>
  <c r="A74" i="7949" s="1"/>
  <c r="A75" i="7949" s="1"/>
  <c r="A76" i="7949" s="1"/>
  <c r="A77" i="7949" s="1"/>
  <c r="A78" i="7949" s="1"/>
  <c r="A79" i="7949" s="1"/>
  <c r="A80" i="7949" s="1"/>
  <c r="A81" i="7949" s="1"/>
  <c r="A82" i="7949" s="1"/>
  <c r="A83" i="7949" s="1"/>
  <c r="A84" i="7949" s="1"/>
  <c r="A85" i="7949" s="1"/>
  <c r="A86" i="7949" s="1"/>
  <c r="A87" i="7949" s="1"/>
  <c r="A88" i="7949" s="1"/>
  <c r="A89" i="7949" s="1"/>
  <c r="A90" i="7949" s="1"/>
  <c r="A91" i="7949" s="1"/>
  <c r="A92" i="7949" s="1"/>
  <c r="A93" i="7949" s="1"/>
  <c r="A19" i="7949"/>
  <c r="A20" i="7949" s="1"/>
  <c r="A21" i="7949" s="1"/>
  <c r="A22" i="7949" s="1"/>
  <c r="A23" i="7949" s="1"/>
  <c r="A24" i="7949" s="1"/>
  <c r="A25" i="7949" s="1"/>
  <c r="A26" i="7949" s="1"/>
  <c r="A27" i="7949" s="1"/>
  <c r="A28" i="7949" s="1"/>
  <c r="A29" i="7949" s="1"/>
  <c r="A30" i="7949" s="1"/>
  <c r="A31" i="7949" s="1"/>
  <c r="A32" i="7949" s="1"/>
  <c r="A33" i="7949" s="1"/>
  <c r="A34" i="7949" s="1"/>
  <c r="A35" i="7949" s="1"/>
  <c r="A36" i="7949" s="1"/>
  <c r="A37" i="7949" s="1"/>
  <c r="A38" i="7949" s="1"/>
  <c r="A39" i="7949" s="1"/>
  <c r="A2660" i="7950"/>
  <c r="A2661" i="7950" s="1"/>
  <c r="A2662" i="7950" s="1"/>
  <c r="A2663" i="7950" s="1"/>
  <c r="A2664" i="7950" s="1"/>
  <c r="A2665" i="7950" s="1"/>
  <c r="A2666" i="7950" s="1"/>
  <c r="A2667" i="7950" s="1"/>
  <c r="A2668" i="7950" s="1"/>
  <c r="A2669" i="7950" s="1"/>
  <c r="A2670" i="7950" s="1"/>
  <c r="A2671" i="7950" s="1"/>
  <c r="A2672" i="7950" s="1"/>
  <c r="A2673" i="7950" s="1"/>
  <c r="A2674" i="7950" s="1"/>
  <c r="A2675" i="7950" s="1"/>
  <c r="A2676" i="7950" s="1"/>
  <c r="A2677" i="7950" s="1"/>
  <c r="A2678" i="7950" s="1"/>
  <c r="A2679" i="7950" s="1"/>
  <c r="A2680" i="7950" s="1"/>
  <c r="A2606" i="7950"/>
  <c r="A2607" i="7950" s="1"/>
  <c r="A2608" i="7950" s="1"/>
  <c r="A2609" i="7950" s="1"/>
  <c r="A2610" i="7950" s="1"/>
  <c r="A2611" i="7950" s="1"/>
  <c r="A2612" i="7950" s="1"/>
  <c r="A2613" i="7950" s="1"/>
  <c r="A2614" i="7950" s="1"/>
  <c r="A2615" i="7950" s="1"/>
  <c r="A2616" i="7950" s="1"/>
  <c r="A2617" i="7950" s="1"/>
  <c r="A2618" i="7950" s="1"/>
  <c r="A2619" i="7950" s="1"/>
  <c r="A2620" i="7950" s="1"/>
  <c r="A2621" i="7950" s="1"/>
  <c r="A2622" i="7950" s="1"/>
  <c r="A2623" i="7950" s="1"/>
  <c r="A2624" i="7950" s="1"/>
  <c r="A2625" i="7950" s="1"/>
  <c r="A2626" i="7950" s="1"/>
  <c r="A2552" i="7950"/>
  <c r="A2553" i="7950" s="1"/>
  <c r="A2554" i="7950" s="1"/>
  <c r="A2555" i="7950" s="1"/>
  <c r="A2556" i="7950" s="1"/>
  <c r="A2557" i="7950" s="1"/>
  <c r="A2558" i="7950" s="1"/>
  <c r="A2559" i="7950" s="1"/>
  <c r="A2560" i="7950" s="1"/>
  <c r="A2561" i="7950" s="1"/>
  <c r="A2562" i="7950" s="1"/>
  <c r="A2563" i="7950" s="1"/>
  <c r="A2564" i="7950" s="1"/>
  <c r="A2565" i="7950" s="1"/>
  <c r="A2566" i="7950" s="1"/>
  <c r="A2567" i="7950" s="1"/>
  <c r="A2568" i="7950" s="1"/>
  <c r="A2569" i="7950" s="1"/>
  <c r="A2570" i="7950" s="1"/>
  <c r="A2571" i="7950" s="1"/>
  <c r="A2572" i="7950" s="1"/>
  <c r="A2498" i="7950"/>
  <c r="A2499" i="7950" s="1"/>
  <c r="A2500" i="7950" s="1"/>
  <c r="A2501" i="7950" s="1"/>
  <c r="A2502" i="7950" s="1"/>
  <c r="A2503" i="7950" s="1"/>
  <c r="A2504" i="7950" s="1"/>
  <c r="A2505" i="7950" s="1"/>
  <c r="A2506" i="7950" s="1"/>
  <c r="A2507" i="7950" s="1"/>
  <c r="A2508" i="7950" s="1"/>
  <c r="A2509" i="7950" s="1"/>
  <c r="A2510" i="7950" s="1"/>
  <c r="A2511" i="7950" s="1"/>
  <c r="A2512" i="7950" s="1"/>
  <c r="A2513" i="7950" s="1"/>
  <c r="A2514" i="7950" s="1"/>
  <c r="A2515" i="7950" s="1"/>
  <c r="A2516" i="7950" s="1"/>
  <c r="A2517" i="7950" s="1"/>
  <c r="A2518" i="7950" s="1"/>
  <c r="A2444" i="7950"/>
  <c r="A2445" i="7950" s="1"/>
  <c r="A2446" i="7950" s="1"/>
  <c r="A2447" i="7950" s="1"/>
  <c r="A2448" i="7950" s="1"/>
  <c r="A2449" i="7950" s="1"/>
  <c r="A2450" i="7950" s="1"/>
  <c r="A2451" i="7950" s="1"/>
  <c r="A2452" i="7950" s="1"/>
  <c r="A2453" i="7950" s="1"/>
  <c r="A2454" i="7950" s="1"/>
  <c r="A2455" i="7950" s="1"/>
  <c r="A2456" i="7950" s="1"/>
  <c r="A2457" i="7950" s="1"/>
  <c r="A2458" i="7950" s="1"/>
  <c r="A2459" i="7950" s="1"/>
  <c r="A2460" i="7950" s="1"/>
  <c r="A2461" i="7950" s="1"/>
  <c r="A2462" i="7950" s="1"/>
  <c r="A2463" i="7950" s="1"/>
  <c r="A2464" i="7950" s="1"/>
  <c r="A2390" i="7950"/>
  <c r="A2391" i="7950" s="1"/>
  <c r="A2392" i="7950" s="1"/>
  <c r="A2393" i="7950" s="1"/>
  <c r="A2394" i="7950" s="1"/>
  <c r="A2395" i="7950" s="1"/>
  <c r="A2396" i="7950" s="1"/>
  <c r="A2397" i="7950" s="1"/>
  <c r="A2398" i="7950" s="1"/>
  <c r="A2399" i="7950" s="1"/>
  <c r="A2400" i="7950" s="1"/>
  <c r="A2401" i="7950" s="1"/>
  <c r="A2402" i="7950" s="1"/>
  <c r="A2403" i="7950" s="1"/>
  <c r="A2404" i="7950" s="1"/>
  <c r="A2405" i="7950" s="1"/>
  <c r="A2406" i="7950" s="1"/>
  <c r="A2407" i="7950" s="1"/>
  <c r="A2408" i="7950" s="1"/>
  <c r="A2409" i="7950" s="1"/>
  <c r="A2410" i="7950" s="1"/>
  <c r="A2336" i="7950"/>
  <c r="A2337" i="7950" s="1"/>
  <c r="A2338" i="7950" s="1"/>
  <c r="A2339" i="7950" s="1"/>
  <c r="A2340" i="7950" s="1"/>
  <c r="A2341" i="7950" s="1"/>
  <c r="A2342" i="7950" s="1"/>
  <c r="A2343" i="7950" s="1"/>
  <c r="A2344" i="7950" s="1"/>
  <c r="A2345" i="7950" s="1"/>
  <c r="A2346" i="7950" s="1"/>
  <c r="A2347" i="7950" s="1"/>
  <c r="A2348" i="7950" s="1"/>
  <c r="A2349" i="7950" s="1"/>
  <c r="A2350" i="7950" s="1"/>
  <c r="A2351" i="7950" s="1"/>
  <c r="A2352" i="7950" s="1"/>
  <c r="A2353" i="7950" s="1"/>
  <c r="A2354" i="7950" s="1"/>
  <c r="A2355" i="7950" s="1"/>
  <c r="A2356" i="7950" s="1"/>
  <c r="A2282" i="7950"/>
  <c r="A2283" i="7950" s="1"/>
  <c r="A2284" i="7950" s="1"/>
  <c r="A2285" i="7950" s="1"/>
  <c r="A2286" i="7950" s="1"/>
  <c r="A2287" i="7950" s="1"/>
  <c r="A2288" i="7950" s="1"/>
  <c r="A2289" i="7950" s="1"/>
  <c r="A2290" i="7950" s="1"/>
  <c r="A2291" i="7950" s="1"/>
  <c r="A2292" i="7950" s="1"/>
  <c r="A2293" i="7950" s="1"/>
  <c r="A2294" i="7950" s="1"/>
  <c r="A2295" i="7950" s="1"/>
  <c r="A2296" i="7950" s="1"/>
  <c r="A2297" i="7950" s="1"/>
  <c r="A2298" i="7950" s="1"/>
  <c r="A2299" i="7950" s="1"/>
  <c r="A2300" i="7950" s="1"/>
  <c r="A2301" i="7950" s="1"/>
  <c r="A2302" i="7950" s="1"/>
  <c r="A2228" i="7950"/>
  <c r="A2229" i="7950" s="1"/>
  <c r="A2230" i="7950" s="1"/>
  <c r="A2231" i="7950" s="1"/>
  <c r="A2232" i="7950" s="1"/>
  <c r="A2233" i="7950" s="1"/>
  <c r="A2234" i="7950" s="1"/>
  <c r="A2235" i="7950" s="1"/>
  <c r="A2236" i="7950" s="1"/>
  <c r="A2237" i="7950" s="1"/>
  <c r="A2238" i="7950" s="1"/>
  <c r="A2239" i="7950" s="1"/>
  <c r="A2240" i="7950" s="1"/>
  <c r="A2241" i="7950" s="1"/>
  <c r="A2242" i="7950" s="1"/>
  <c r="A2243" i="7950" s="1"/>
  <c r="A2244" i="7950" s="1"/>
  <c r="A2245" i="7950" s="1"/>
  <c r="A2246" i="7950" s="1"/>
  <c r="A2247" i="7950" s="1"/>
  <c r="A2248" i="7950" s="1"/>
  <c r="A2174" i="7950"/>
  <c r="A2175" i="7950" s="1"/>
  <c r="A2176" i="7950" s="1"/>
  <c r="A2177" i="7950" s="1"/>
  <c r="A2178" i="7950" s="1"/>
  <c r="A2179" i="7950" s="1"/>
  <c r="A2180" i="7950" s="1"/>
  <c r="A2181" i="7950" s="1"/>
  <c r="A2182" i="7950" s="1"/>
  <c r="A2183" i="7950" s="1"/>
  <c r="A2184" i="7950" s="1"/>
  <c r="A2185" i="7950" s="1"/>
  <c r="A2186" i="7950" s="1"/>
  <c r="A2187" i="7950" s="1"/>
  <c r="A2188" i="7950" s="1"/>
  <c r="A2189" i="7950" s="1"/>
  <c r="A2190" i="7950" s="1"/>
  <c r="A2191" i="7950" s="1"/>
  <c r="A2192" i="7950" s="1"/>
  <c r="A2193" i="7950" s="1"/>
  <c r="A2194" i="7950" s="1"/>
  <c r="A2120" i="7950"/>
  <c r="A2121" i="7950" s="1"/>
  <c r="A2122" i="7950" s="1"/>
  <c r="A2123" i="7950" s="1"/>
  <c r="A2124" i="7950" s="1"/>
  <c r="A2125" i="7950" s="1"/>
  <c r="A2126" i="7950" s="1"/>
  <c r="A2127" i="7950" s="1"/>
  <c r="A2128" i="7950" s="1"/>
  <c r="A2129" i="7950" s="1"/>
  <c r="A2130" i="7950" s="1"/>
  <c r="A2131" i="7950" s="1"/>
  <c r="A2132" i="7950" s="1"/>
  <c r="A2133" i="7950" s="1"/>
  <c r="A2134" i="7950" s="1"/>
  <c r="A2135" i="7950" s="1"/>
  <c r="A2136" i="7950" s="1"/>
  <c r="A2137" i="7950" s="1"/>
  <c r="A2138" i="7950" s="1"/>
  <c r="A2139" i="7950" s="1"/>
  <c r="A2140" i="7950" s="1"/>
  <c r="A2066" i="7950"/>
  <c r="A2067" i="7950" s="1"/>
  <c r="A2068" i="7950" s="1"/>
  <c r="A2069" i="7950" s="1"/>
  <c r="A2070" i="7950" s="1"/>
  <c r="A2071" i="7950" s="1"/>
  <c r="A2072" i="7950" s="1"/>
  <c r="A2073" i="7950" s="1"/>
  <c r="A2074" i="7950" s="1"/>
  <c r="A2075" i="7950" s="1"/>
  <c r="A2076" i="7950" s="1"/>
  <c r="A2077" i="7950" s="1"/>
  <c r="A2078" i="7950" s="1"/>
  <c r="A2079" i="7950" s="1"/>
  <c r="A2080" i="7950" s="1"/>
  <c r="A2081" i="7950" s="1"/>
  <c r="A2082" i="7950" s="1"/>
  <c r="A2083" i="7950" s="1"/>
  <c r="A2084" i="7950" s="1"/>
  <c r="A2085" i="7950" s="1"/>
  <c r="A2086" i="7950" s="1"/>
  <c r="A2012" i="7950"/>
  <c r="A2013" i="7950" s="1"/>
  <c r="A2014" i="7950" s="1"/>
  <c r="A2015" i="7950" s="1"/>
  <c r="A2016" i="7950" s="1"/>
  <c r="A2017" i="7950" s="1"/>
  <c r="A2018" i="7950" s="1"/>
  <c r="A2019" i="7950" s="1"/>
  <c r="A2020" i="7950" s="1"/>
  <c r="A2021" i="7950" s="1"/>
  <c r="A2022" i="7950" s="1"/>
  <c r="A2023" i="7950" s="1"/>
  <c r="A2024" i="7950" s="1"/>
  <c r="A2025" i="7950" s="1"/>
  <c r="A2026" i="7950" s="1"/>
  <c r="A2027" i="7950" s="1"/>
  <c r="A2028" i="7950" s="1"/>
  <c r="A2029" i="7950" s="1"/>
  <c r="A2030" i="7950" s="1"/>
  <c r="A2031" i="7950" s="1"/>
  <c r="A2032" i="7950" s="1"/>
  <c r="A1958" i="7950"/>
  <c r="A1959" i="7950" s="1"/>
  <c r="A1960" i="7950" s="1"/>
  <c r="A1961" i="7950" s="1"/>
  <c r="A1962" i="7950" s="1"/>
  <c r="A1963" i="7950" s="1"/>
  <c r="A1964" i="7950" s="1"/>
  <c r="A1965" i="7950" s="1"/>
  <c r="A1966" i="7950" s="1"/>
  <c r="A1967" i="7950" s="1"/>
  <c r="A1968" i="7950" s="1"/>
  <c r="A1969" i="7950" s="1"/>
  <c r="A1970" i="7950" s="1"/>
  <c r="A1971" i="7950" s="1"/>
  <c r="A1972" i="7950" s="1"/>
  <c r="A1973" i="7950" s="1"/>
  <c r="A1974" i="7950" s="1"/>
  <c r="A1975" i="7950" s="1"/>
  <c r="A1976" i="7950" s="1"/>
  <c r="A1977" i="7950" s="1"/>
  <c r="A1978" i="7950" s="1"/>
  <c r="A1904" i="7950"/>
  <c r="A1905" i="7950" s="1"/>
  <c r="A1906" i="7950" s="1"/>
  <c r="A1907" i="7950" s="1"/>
  <c r="A1908" i="7950" s="1"/>
  <c r="A1909" i="7950" s="1"/>
  <c r="A1910" i="7950" s="1"/>
  <c r="A1911" i="7950" s="1"/>
  <c r="A1912" i="7950" s="1"/>
  <c r="A1913" i="7950" s="1"/>
  <c r="A1914" i="7950" s="1"/>
  <c r="A1915" i="7950" s="1"/>
  <c r="A1916" i="7950" s="1"/>
  <c r="A1917" i="7950" s="1"/>
  <c r="A1918" i="7950" s="1"/>
  <c r="A1919" i="7950" s="1"/>
  <c r="A1920" i="7950" s="1"/>
  <c r="A1921" i="7950" s="1"/>
  <c r="A1922" i="7950" s="1"/>
  <c r="A1923" i="7950" s="1"/>
  <c r="A1924" i="7950" s="1"/>
  <c r="A1850" i="7950"/>
  <c r="A1851" i="7950" s="1"/>
  <c r="A1852" i="7950" s="1"/>
  <c r="A1853" i="7950" s="1"/>
  <c r="A1854" i="7950" s="1"/>
  <c r="A1855" i="7950" s="1"/>
  <c r="A1856" i="7950" s="1"/>
  <c r="A1857" i="7950" s="1"/>
  <c r="A1858" i="7950" s="1"/>
  <c r="A1859" i="7950" s="1"/>
  <c r="A1860" i="7950" s="1"/>
  <c r="A1861" i="7950" s="1"/>
  <c r="A1862" i="7950" s="1"/>
  <c r="A1863" i="7950" s="1"/>
  <c r="A1864" i="7950" s="1"/>
  <c r="A1865" i="7950" s="1"/>
  <c r="A1866" i="7950" s="1"/>
  <c r="A1867" i="7950" s="1"/>
  <c r="A1868" i="7950" s="1"/>
  <c r="A1869" i="7950" s="1"/>
  <c r="A1870" i="7950" s="1"/>
  <c r="A1796" i="7950"/>
  <c r="A1797" i="7950" s="1"/>
  <c r="A1798" i="7950" s="1"/>
  <c r="A1799" i="7950" s="1"/>
  <c r="A1800" i="7950" s="1"/>
  <c r="A1801" i="7950" s="1"/>
  <c r="A1802" i="7950" s="1"/>
  <c r="A1803" i="7950" s="1"/>
  <c r="A1804" i="7950" s="1"/>
  <c r="A1805" i="7950" s="1"/>
  <c r="A1806" i="7950" s="1"/>
  <c r="A1807" i="7950" s="1"/>
  <c r="A1808" i="7950" s="1"/>
  <c r="A1809" i="7950" s="1"/>
  <c r="A1810" i="7950" s="1"/>
  <c r="A1811" i="7950" s="1"/>
  <c r="A1812" i="7950" s="1"/>
  <c r="A1813" i="7950" s="1"/>
  <c r="A1814" i="7950" s="1"/>
  <c r="A1815" i="7950" s="1"/>
  <c r="A1816" i="7950" s="1"/>
  <c r="A1742" i="7950"/>
  <c r="A1743" i="7950" s="1"/>
  <c r="A1744" i="7950" s="1"/>
  <c r="A1745" i="7950" s="1"/>
  <c r="A1746" i="7950" s="1"/>
  <c r="A1747" i="7950" s="1"/>
  <c r="A1748" i="7950" s="1"/>
  <c r="A1749" i="7950" s="1"/>
  <c r="A1750" i="7950" s="1"/>
  <c r="A1751" i="7950" s="1"/>
  <c r="A1752" i="7950" s="1"/>
  <c r="A1753" i="7950" s="1"/>
  <c r="A1754" i="7950" s="1"/>
  <c r="A1755" i="7950" s="1"/>
  <c r="A1756" i="7950" s="1"/>
  <c r="A1757" i="7950" s="1"/>
  <c r="A1758" i="7950" s="1"/>
  <c r="A1759" i="7950" s="1"/>
  <c r="A1760" i="7950" s="1"/>
  <c r="A1761" i="7950" s="1"/>
  <c r="A1762" i="7950" s="1"/>
  <c r="A1688" i="7950"/>
  <c r="A1689" i="7950" s="1"/>
  <c r="A1690" i="7950" s="1"/>
  <c r="A1691" i="7950" s="1"/>
  <c r="A1692" i="7950" s="1"/>
  <c r="A1693" i="7950" s="1"/>
  <c r="A1694" i="7950" s="1"/>
  <c r="A1695" i="7950" s="1"/>
  <c r="A1696" i="7950" s="1"/>
  <c r="A1697" i="7950" s="1"/>
  <c r="A1698" i="7950" s="1"/>
  <c r="A1699" i="7950" s="1"/>
  <c r="A1700" i="7950" s="1"/>
  <c r="A1701" i="7950" s="1"/>
  <c r="A1702" i="7950" s="1"/>
  <c r="A1703" i="7950" s="1"/>
  <c r="A1704" i="7950" s="1"/>
  <c r="A1705" i="7950" s="1"/>
  <c r="A1706" i="7950" s="1"/>
  <c r="A1707" i="7950" s="1"/>
  <c r="A1708" i="7950" s="1"/>
  <c r="A1634" i="7950"/>
  <c r="A1635" i="7950" s="1"/>
  <c r="A1636" i="7950" s="1"/>
  <c r="A1637" i="7950" s="1"/>
  <c r="A1638" i="7950" s="1"/>
  <c r="A1639" i="7950" s="1"/>
  <c r="A1640" i="7950" s="1"/>
  <c r="A1641" i="7950" s="1"/>
  <c r="A1642" i="7950" s="1"/>
  <c r="A1643" i="7950" s="1"/>
  <c r="A1644" i="7950" s="1"/>
  <c r="A1645" i="7950" s="1"/>
  <c r="A1646" i="7950" s="1"/>
  <c r="A1647" i="7950" s="1"/>
  <c r="A1648" i="7950" s="1"/>
  <c r="A1649" i="7950" s="1"/>
  <c r="A1650" i="7950" s="1"/>
  <c r="A1651" i="7950" s="1"/>
  <c r="A1652" i="7950" s="1"/>
  <c r="A1653" i="7950" s="1"/>
  <c r="A1654" i="7950" s="1"/>
  <c r="A1580" i="7950"/>
  <c r="A1581" i="7950" s="1"/>
  <c r="A1582" i="7950" s="1"/>
  <c r="A1583" i="7950" s="1"/>
  <c r="A1584" i="7950" s="1"/>
  <c r="A1585" i="7950" s="1"/>
  <c r="A1586" i="7950" s="1"/>
  <c r="A1587" i="7950" s="1"/>
  <c r="A1588" i="7950" s="1"/>
  <c r="A1589" i="7950" s="1"/>
  <c r="A1590" i="7950" s="1"/>
  <c r="A1591" i="7950" s="1"/>
  <c r="A1592" i="7950" s="1"/>
  <c r="A1593" i="7950" s="1"/>
  <c r="A1594" i="7950" s="1"/>
  <c r="A1595" i="7950" s="1"/>
  <c r="A1596" i="7950" s="1"/>
  <c r="A1597" i="7950" s="1"/>
  <c r="A1598" i="7950" s="1"/>
  <c r="A1599" i="7950" s="1"/>
  <c r="A1600" i="7950" s="1"/>
  <c r="A1526" i="7950"/>
  <c r="A1527" i="7950" s="1"/>
  <c r="A1528" i="7950" s="1"/>
  <c r="A1529" i="7950" s="1"/>
  <c r="A1530" i="7950" s="1"/>
  <c r="A1531" i="7950" s="1"/>
  <c r="A1532" i="7950" s="1"/>
  <c r="A1533" i="7950" s="1"/>
  <c r="A1534" i="7950" s="1"/>
  <c r="A1535" i="7950" s="1"/>
  <c r="A1536" i="7950" s="1"/>
  <c r="A1537" i="7950" s="1"/>
  <c r="A1538" i="7950" s="1"/>
  <c r="A1539" i="7950" s="1"/>
  <c r="A1540" i="7950" s="1"/>
  <c r="A1541" i="7950" s="1"/>
  <c r="A1542" i="7950" s="1"/>
  <c r="A1543" i="7950" s="1"/>
  <c r="A1544" i="7950" s="1"/>
  <c r="A1545" i="7950" s="1"/>
  <c r="A1546" i="7950" s="1"/>
  <c r="A1472" i="7950"/>
  <c r="A1473" i="7950" s="1"/>
  <c r="A1474" i="7950" s="1"/>
  <c r="A1475" i="7950" s="1"/>
  <c r="A1476" i="7950" s="1"/>
  <c r="A1477" i="7950" s="1"/>
  <c r="A1478" i="7950" s="1"/>
  <c r="A1479" i="7950" s="1"/>
  <c r="A1480" i="7950" s="1"/>
  <c r="A1481" i="7950" s="1"/>
  <c r="A1482" i="7950" s="1"/>
  <c r="A1483" i="7950" s="1"/>
  <c r="A1484" i="7950" s="1"/>
  <c r="A1485" i="7950" s="1"/>
  <c r="A1486" i="7950" s="1"/>
  <c r="A1487" i="7950" s="1"/>
  <c r="A1488" i="7950" s="1"/>
  <c r="A1489" i="7950" s="1"/>
  <c r="A1490" i="7950" s="1"/>
  <c r="A1491" i="7950" s="1"/>
  <c r="A1492" i="7950" s="1"/>
  <c r="A1418" i="7950"/>
  <c r="A1419" i="7950" s="1"/>
  <c r="A1420" i="7950" s="1"/>
  <c r="A1421" i="7950" s="1"/>
  <c r="A1422" i="7950" s="1"/>
  <c r="A1423" i="7950" s="1"/>
  <c r="A1424" i="7950" s="1"/>
  <c r="A1425" i="7950" s="1"/>
  <c r="A1426" i="7950" s="1"/>
  <c r="A1427" i="7950" s="1"/>
  <c r="A1428" i="7950" s="1"/>
  <c r="A1429" i="7950" s="1"/>
  <c r="A1430" i="7950" s="1"/>
  <c r="A1431" i="7950" s="1"/>
  <c r="A1432" i="7950" s="1"/>
  <c r="A1433" i="7950" s="1"/>
  <c r="A1434" i="7950" s="1"/>
  <c r="A1435" i="7950" s="1"/>
  <c r="A1436" i="7950" s="1"/>
  <c r="A1437" i="7950" s="1"/>
  <c r="A1438" i="7950" s="1"/>
  <c r="A1364" i="7950"/>
  <c r="A1365" i="7950" s="1"/>
  <c r="A1366" i="7950" s="1"/>
  <c r="A1367" i="7950" s="1"/>
  <c r="A1368" i="7950" s="1"/>
  <c r="A1369" i="7950" s="1"/>
  <c r="A1370" i="7950" s="1"/>
  <c r="A1371" i="7950" s="1"/>
  <c r="A1372" i="7950" s="1"/>
  <c r="A1373" i="7950" s="1"/>
  <c r="A1374" i="7950" s="1"/>
  <c r="A1375" i="7950" s="1"/>
  <c r="A1376" i="7950" s="1"/>
  <c r="A1377" i="7950" s="1"/>
  <c r="A1378" i="7950" s="1"/>
  <c r="A1379" i="7950" s="1"/>
  <c r="A1380" i="7950" s="1"/>
  <c r="A1381" i="7950" s="1"/>
  <c r="A1382" i="7950" s="1"/>
  <c r="A1383" i="7950" s="1"/>
  <c r="A1384" i="7950" s="1"/>
  <c r="A1310" i="7950"/>
  <c r="A1311" i="7950" s="1"/>
  <c r="A1312" i="7950" s="1"/>
  <c r="A1313" i="7950" s="1"/>
  <c r="A1314" i="7950" s="1"/>
  <c r="A1315" i="7950" s="1"/>
  <c r="A1316" i="7950" s="1"/>
  <c r="A1317" i="7950" s="1"/>
  <c r="A1318" i="7950" s="1"/>
  <c r="A1319" i="7950" s="1"/>
  <c r="A1320" i="7950" s="1"/>
  <c r="A1321" i="7950" s="1"/>
  <c r="A1322" i="7950" s="1"/>
  <c r="A1323" i="7950" s="1"/>
  <c r="A1324" i="7950" s="1"/>
  <c r="A1325" i="7950" s="1"/>
  <c r="A1326" i="7950" s="1"/>
  <c r="A1327" i="7950" s="1"/>
  <c r="A1328" i="7950" s="1"/>
  <c r="A1329" i="7950" s="1"/>
  <c r="A1330" i="7950" s="1"/>
  <c r="A1256" i="7950"/>
  <c r="A1257" i="7950" s="1"/>
  <c r="A1258" i="7950" s="1"/>
  <c r="A1259" i="7950" s="1"/>
  <c r="A1260" i="7950" s="1"/>
  <c r="A1261" i="7950" s="1"/>
  <c r="A1262" i="7950" s="1"/>
  <c r="A1263" i="7950" s="1"/>
  <c r="A1264" i="7950" s="1"/>
  <c r="A1265" i="7950" s="1"/>
  <c r="A1266" i="7950" s="1"/>
  <c r="A1267" i="7950" s="1"/>
  <c r="A1268" i="7950" s="1"/>
  <c r="A1269" i="7950" s="1"/>
  <c r="A1270" i="7950" s="1"/>
  <c r="A1271" i="7950" s="1"/>
  <c r="A1272" i="7950" s="1"/>
  <c r="A1273" i="7950" s="1"/>
  <c r="A1274" i="7950" s="1"/>
  <c r="A1275" i="7950" s="1"/>
  <c r="A1276" i="7950" s="1"/>
  <c r="A1202" i="7950"/>
  <c r="A1203" i="7950" s="1"/>
  <c r="A1204" i="7950" s="1"/>
  <c r="A1205" i="7950" s="1"/>
  <c r="A1206" i="7950" s="1"/>
  <c r="A1207" i="7950" s="1"/>
  <c r="A1208" i="7950" s="1"/>
  <c r="A1209" i="7950" s="1"/>
  <c r="A1210" i="7950" s="1"/>
  <c r="A1211" i="7950" s="1"/>
  <c r="A1212" i="7950" s="1"/>
  <c r="A1213" i="7950" s="1"/>
  <c r="A1214" i="7950" s="1"/>
  <c r="A1215" i="7950" s="1"/>
  <c r="A1216" i="7950" s="1"/>
  <c r="A1217" i="7950" s="1"/>
  <c r="A1218" i="7950" s="1"/>
  <c r="A1219" i="7950" s="1"/>
  <c r="A1220" i="7950" s="1"/>
  <c r="A1221" i="7950" s="1"/>
  <c r="A1222" i="7950" s="1"/>
  <c r="A1148" i="7950"/>
  <c r="A1149" i="7950" s="1"/>
  <c r="A1150" i="7950" s="1"/>
  <c r="A1151" i="7950" s="1"/>
  <c r="A1152" i="7950" s="1"/>
  <c r="A1153" i="7950" s="1"/>
  <c r="A1154" i="7950" s="1"/>
  <c r="A1155" i="7950" s="1"/>
  <c r="A1156" i="7950" s="1"/>
  <c r="A1157" i="7950" s="1"/>
  <c r="A1158" i="7950" s="1"/>
  <c r="A1159" i="7950" s="1"/>
  <c r="A1160" i="7950" s="1"/>
  <c r="A1161" i="7950" s="1"/>
  <c r="A1162" i="7950" s="1"/>
  <c r="A1163" i="7950" s="1"/>
  <c r="A1164" i="7950" s="1"/>
  <c r="A1165" i="7950" s="1"/>
  <c r="A1166" i="7950" s="1"/>
  <c r="A1167" i="7950" s="1"/>
  <c r="A1168" i="7950" s="1"/>
  <c r="A1094" i="7950"/>
  <c r="A1095" i="7950" s="1"/>
  <c r="A1096" i="7950" s="1"/>
  <c r="A1097" i="7950" s="1"/>
  <c r="A1098" i="7950" s="1"/>
  <c r="A1099" i="7950" s="1"/>
  <c r="A1100" i="7950" s="1"/>
  <c r="A1101" i="7950" s="1"/>
  <c r="A1102" i="7950" s="1"/>
  <c r="A1103" i="7950" s="1"/>
  <c r="A1104" i="7950" s="1"/>
  <c r="A1105" i="7950" s="1"/>
  <c r="A1106" i="7950" s="1"/>
  <c r="A1107" i="7950" s="1"/>
  <c r="A1108" i="7950" s="1"/>
  <c r="A1109" i="7950" s="1"/>
  <c r="A1110" i="7950" s="1"/>
  <c r="A1111" i="7950" s="1"/>
  <c r="A1112" i="7950" s="1"/>
  <c r="A1113" i="7950" s="1"/>
  <c r="A1114" i="7950" s="1"/>
  <c r="A1040" i="7950"/>
  <c r="A1041" i="7950" s="1"/>
  <c r="A1042" i="7950" s="1"/>
  <c r="A1043" i="7950" s="1"/>
  <c r="A1044" i="7950" s="1"/>
  <c r="A1045" i="7950" s="1"/>
  <c r="A1046" i="7950" s="1"/>
  <c r="A1047" i="7950" s="1"/>
  <c r="A1048" i="7950" s="1"/>
  <c r="A1049" i="7950" s="1"/>
  <c r="A1050" i="7950" s="1"/>
  <c r="A1051" i="7950" s="1"/>
  <c r="A1052" i="7950" s="1"/>
  <c r="A1053" i="7950" s="1"/>
  <c r="A1054" i="7950" s="1"/>
  <c r="A1055" i="7950" s="1"/>
  <c r="A1056" i="7950" s="1"/>
  <c r="A1057" i="7950" s="1"/>
  <c r="A1058" i="7950" s="1"/>
  <c r="A1059" i="7950" s="1"/>
  <c r="A1060" i="7950" s="1"/>
  <c r="A986" i="7950"/>
  <c r="A987" i="7950" s="1"/>
  <c r="A988" i="7950" s="1"/>
  <c r="A989" i="7950" s="1"/>
  <c r="A990" i="7950" s="1"/>
  <c r="A991" i="7950" s="1"/>
  <c r="A992" i="7950" s="1"/>
  <c r="A993" i="7950" s="1"/>
  <c r="A994" i="7950" s="1"/>
  <c r="A995" i="7950" s="1"/>
  <c r="A996" i="7950" s="1"/>
  <c r="A997" i="7950" s="1"/>
  <c r="A998" i="7950" s="1"/>
  <c r="A999" i="7950" s="1"/>
  <c r="A1000" i="7950" s="1"/>
  <c r="A1001" i="7950" s="1"/>
  <c r="A1002" i="7950" s="1"/>
  <c r="A1003" i="7950" s="1"/>
  <c r="A1004" i="7950" s="1"/>
  <c r="A1005" i="7950" s="1"/>
  <c r="A1006" i="7950" s="1"/>
  <c r="A932" i="7950"/>
  <c r="A933" i="7950" s="1"/>
  <c r="A934" i="7950" s="1"/>
  <c r="A935" i="7950" s="1"/>
  <c r="A936" i="7950" s="1"/>
  <c r="A937" i="7950" s="1"/>
  <c r="A938" i="7950" s="1"/>
  <c r="A939" i="7950" s="1"/>
  <c r="A940" i="7950" s="1"/>
  <c r="A941" i="7950" s="1"/>
  <c r="A942" i="7950" s="1"/>
  <c r="A943" i="7950" s="1"/>
  <c r="A944" i="7950" s="1"/>
  <c r="A945" i="7950" s="1"/>
  <c r="A946" i="7950" s="1"/>
  <c r="A947" i="7950" s="1"/>
  <c r="A948" i="7950" s="1"/>
  <c r="A949" i="7950" s="1"/>
  <c r="A950" i="7950" s="1"/>
  <c r="A951" i="7950" s="1"/>
  <c r="A952" i="7950" s="1"/>
  <c r="A878" i="7950"/>
  <c r="A879" i="7950" s="1"/>
  <c r="A880" i="7950" s="1"/>
  <c r="A881" i="7950" s="1"/>
  <c r="A882" i="7950" s="1"/>
  <c r="A883" i="7950" s="1"/>
  <c r="A884" i="7950" s="1"/>
  <c r="A885" i="7950" s="1"/>
  <c r="A886" i="7950" s="1"/>
  <c r="A887" i="7950" s="1"/>
  <c r="A888" i="7950" s="1"/>
  <c r="A889" i="7950" s="1"/>
  <c r="A890" i="7950" s="1"/>
  <c r="A891" i="7950" s="1"/>
  <c r="A892" i="7950" s="1"/>
  <c r="A893" i="7950" s="1"/>
  <c r="A894" i="7950" s="1"/>
  <c r="A895" i="7950" s="1"/>
  <c r="A896" i="7950" s="1"/>
  <c r="A897" i="7950" s="1"/>
  <c r="A898" i="7950" s="1"/>
  <c r="A824" i="7950"/>
  <c r="A825" i="7950" s="1"/>
  <c r="A826" i="7950" s="1"/>
  <c r="A827" i="7950" s="1"/>
  <c r="A828" i="7950" s="1"/>
  <c r="A829" i="7950" s="1"/>
  <c r="A830" i="7950" s="1"/>
  <c r="A831" i="7950" s="1"/>
  <c r="A832" i="7950" s="1"/>
  <c r="A833" i="7950" s="1"/>
  <c r="A834" i="7950" s="1"/>
  <c r="A835" i="7950" s="1"/>
  <c r="A836" i="7950" s="1"/>
  <c r="A837" i="7950" s="1"/>
  <c r="A838" i="7950" s="1"/>
  <c r="A839" i="7950" s="1"/>
  <c r="A840" i="7950" s="1"/>
  <c r="A841" i="7950" s="1"/>
  <c r="A842" i="7950" s="1"/>
  <c r="A843" i="7950" s="1"/>
  <c r="A844" i="7950" s="1"/>
  <c r="A770" i="7950"/>
  <c r="A771" i="7950" s="1"/>
  <c r="A772" i="7950" s="1"/>
  <c r="A773" i="7950" s="1"/>
  <c r="A774" i="7950" s="1"/>
  <c r="A775" i="7950" s="1"/>
  <c r="A776" i="7950" s="1"/>
  <c r="A777" i="7950" s="1"/>
  <c r="A778" i="7950" s="1"/>
  <c r="A779" i="7950" s="1"/>
  <c r="A780" i="7950" s="1"/>
  <c r="A781" i="7950" s="1"/>
  <c r="A782" i="7950" s="1"/>
  <c r="A783" i="7950" s="1"/>
  <c r="A784" i="7950" s="1"/>
  <c r="A785" i="7950" s="1"/>
  <c r="A786" i="7950" s="1"/>
  <c r="A787" i="7950" s="1"/>
  <c r="A788" i="7950" s="1"/>
  <c r="A789" i="7950" s="1"/>
  <c r="A790" i="7950" s="1"/>
  <c r="A716" i="7950"/>
  <c r="A717" i="7950" s="1"/>
  <c r="A718" i="7950" s="1"/>
  <c r="A719" i="7950" s="1"/>
  <c r="A720" i="7950" s="1"/>
  <c r="A721" i="7950" s="1"/>
  <c r="A722" i="7950" s="1"/>
  <c r="A723" i="7950" s="1"/>
  <c r="A724" i="7950" s="1"/>
  <c r="A725" i="7950" s="1"/>
  <c r="A726" i="7950" s="1"/>
  <c r="A727" i="7950" s="1"/>
  <c r="A728" i="7950" s="1"/>
  <c r="A729" i="7950" s="1"/>
  <c r="A730" i="7950" s="1"/>
  <c r="A731" i="7950" s="1"/>
  <c r="A732" i="7950" s="1"/>
  <c r="A733" i="7950" s="1"/>
  <c r="A734" i="7950" s="1"/>
  <c r="A735" i="7950" s="1"/>
  <c r="A736" i="7950" s="1"/>
  <c r="A662" i="7950"/>
  <c r="A663" i="7950" s="1"/>
  <c r="A664" i="7950" s="1"/>
  <c r="A665" i="7950" s="1"/>
  <c r="A666" i="7950" s="1"/>
  <c r="A667" i="7950" s="1"/>
  <c r="A668" i="7950" s="1"/>
  <c r="A669" i="7950" s="1"/>
  <c r="A670" i="7950" s="1"/>
  <c r="A671" i="7950" s="1"/>
  <c r="A672" i="7950" s="1"/>
  <c r="A673" i="7950" s="1"/>
  <c r="A674" i="7950" s="1"/>
  <c r="A675" i="7950" s="1"/>
  <c r="A676" i="7950" s="1"/>
  <c r="A677" i="7950" s="1"/>
  <c r="A678" i="7950" s="1"/>
  <c r="A679" i="7950" s="1"/>
  <c r="A680" i="7950" s="1"/>
  <c r="A681" i="7950" s="1"/>
  <c r="A682" i="7950" s="1"/>
  <c r="A608" i="7950"/>
  <c r="A609" i="7950" s="1"/>
  <c r="A610" i="7950" s="1"/>
  <c r="A611" i="7950" s="1"/>
  <c r="A612" i="7950" s="1"/>
  <c r="A613" i="7950" s="1"/>
  <c r="A614" i="7950" s="1"/>
  <c r="A615" i="7950" s="1"/>
  <c r="A616" i="7950" s="1"/>
  <c r="A617" i="7950" s="1"/>
  <c r="A618" i="7950" s="1"/>
  <c r="A619" i="7950" s="1"/>
  <c r="A620" i="7950" s="1"/>
  <c r="A621" i="7950" s="1"/>
  <c r="A622" i="7950" s="1"/>
  <c r="A623" i="7950" s="1"/>
  <c r="A624" i="7950" s="1"/>
  <c r="A625" i="7950" s="1"/>
  <c r="A626" i="7950" s="1"/>
  <c r="A627" i="7950" s="1"/>
  <c r="A628" i="7950" s="1"/>
  <c r="A554" i="7950"/>
  <c r="A555" i="7950" s="1"/>
  <c r="A556" i="7950" s="1"/>
  <c r="A557" i="7950" s="1"/>
  <c r="A558" i="7950" s="1"/>
  <c r="A559" i="7950" s="1"/>
  <c r="A560" i="7950" s="1"/>
  <c r="A561" i="7950" s="1"/>
  <c r="A562" i="7950" s="1"/>
  <c r="A563" i="7950" s="1"/>
  <c r="A564" i="7950" s="1"/>
  <c r="A565" i="7950" s="1"/>
  <c r="A566" i="7950" s="1"/>
  <c r="A567" i="7950" s="1"/>
  <c r="A568" i="7950" s="1"/>
  <c r="A569" i="7950" s="1"/>
  <c r="A570" i="7950" s="1"/>
  <c r="A571" i="7950" s="1"/>
  <c r="A572" i="7950" s="1"/>
  <c r="A573" i="7950" s="1"/>
  <c r="A574" i="7950" s="1"/>
  <c r="A500" i="7950"/>
  <c r="A501" i="7950" s="1"/>
  <c r="A502" i="7950" s="1"/>
  <c r="A503" i="7950" s="1"/>
  <c r="A504" i="7950" s="1"/>
  <c r="A505" i="7950" s="1"/>
  <c r="A506" i="7950" s="1"/>
  <c r="A507" i="7950" s="1"/>
  <c r="A508" i="7950" s="1"/>
  <c r="A509" i="7950" s="1"/>
  <c r="A510" i="7950" s="1"/>
  <c r="A511" i="7950" s="1"/>
  <c r="A512" i="7950" s="1"/>
  <c r="A513" i="7950" s="1"/>
  <c r="A514" i="7950" s="1"/>
  <c r="A515" i="7950" s="1"/>
  <c r="A516" i="7950" s="1"/>
  <c r="A517" i="7950" s="1"/>
  <c r="A518" i="7950" s="1"/>
  <c r="A519" i="7950" s="1"/>
  <c r="A520" i="7950" s="1"/>
  <c r="A446" i="7950"/>
  <c r="A447" i="7950" s="1"/>
  <c r="A448" i="7950" s="1"/>
  <c r="A449" i="7950" s="1"/>
  <c r="A450" i="7950" s="1"/>
  <c r="A451" i="7950" s="1"/>
  <c r="A452" i="7950" s="1"/>
  <c r="A453" i="7950" s="1"/>
  <c r="A454" i="7950" s="1"/>
  <c r="A455" i="7950" s="1"/>
  <c r="A456" i="7950" s="1"/>
  <c r="A457" i="7950" s="1"/>
  <c r="A458" i="7950" s="1"/>
  <c r="A459" i="7950" s="1"/>
  <c r="A460" i="7950" s="1"/>
  <c r="A461" i="7950" s="1"/>
  <c r="A462" i="7950" s="1"/>
  <c r="A463" i="7950" s="1"/>
  <c r="A464" i="7950" s="1"/>
  <c r="A465" i="7950" s="1"/>
  <c r="A466" i="7950" s="1"/>
  <c r="A392" i="7950"/>
  <c r="A393" i="7950" s="1"/>
  <c r="A394" i="7950" s="1"/>
  <c r="A395" i="7950" s="1"/>
  <c r="A396" i="7950" s="1"/>
  <c r="A397" i="7950" s="1"/>
  <c r="A398" i="7950" s="1"/>
  <c r="A399" i="7950" s="1"/>
  <c r="A400" i="7950" s="1"/>
  <c r="A401" i="7950" s="1"/>
  <c r="A402" i="7950" s="1"/>
  <c r="A403" i="7950" s="1"/>
  <c r="A404" i="7950" s="1"/>
  <c r="A405" i="7950" s="1"/>
  <c r="A406" i="7950" s="1"/>
  <c r="A407" i="7950" s="1"/>
  <c r="A408" i="7950" s="1"/>
  <c r="A409" i="7950" s="1"/>
  <c r="A410" i="7950" s="1"/>
  <c r="A411" i="7950" s="1"/>
  <c r="A412" i="7950" s="1"/>
  <c r="A338" i="7950"/>
  <c r="A339" i="7950" s="1"/>
  <c r="A340" i="7950" s="1"/>
  <c r="A341" i="7950" s="1"/>
  <c r="A342" i="7950" s="1"/>
  <c r="A343" i="7950" s="1"/>
  <c r="A344" i="7950" s="1"/>
  <c r="A345" i="7950" s="1"/>
  <c r="A346" i="7950" s="1"/>
  <c r="A347" i="7950" s="1"/>
  <c r="A348" i="7950" s="1"/>
  <c r="A349" i="7950" s="1"/>
  <c r="A350" i="7950" s="1"/>
  <c r="A351" i="7950" s="1"/>
  <c r="A352" i="7950" s="1"/>
  <c r="A353" i="7950" s="1"/>
  <c r="A354" i="7950" s="1"/>
  <c r="A355" i="7950" s="1"/>
  <c r="A356" i="7950" s="1"/>
  <c r="A357" i="7950" s="1"/>
  <c r="A358" i="7950" s="1"/>
  <c r="A284" i="7950"/>
  <c r="A285" i="7950" s="1"/>
  <c r="A286" i="7950" s="1"/>
  <c r="A287" i="7950" s="1"/>
  <c r="A288" i="7950" s="1"/>
  <c r="A289" i="7950" s="1"/>
  <c r="A290" i="7950" s="1"/>
  <c r="A291" i="7950" s="1"/>
  <c r="A292" i="7950" s="1"/>
  <c r="A293" i="7950" s="1"/>
  <c r="A294" i="7950" s="1"/>
  <c r="A295" i="7950" s="1"/>
  <c r="A296" i="7950" s="1"/>
  <c r="A297" i="7950" s="1"/>
  <c r="A298" i="7950" s="1"/>
  <c r="A299" i="7950" s="1"/>
  <c r="A300" i="7950" s="1"/>
  <c r="A301" i="7950" s="1"/>
  <c r="A302" i="7950" s="1"/>
  <c r="A303" i="7950" s="1"/>
  <c r="A304" i="7950" s="1"/>
  <c r="A230" i="7950"/>
  <c r="A231" i="7950" s="1"/>
  <c r="A232" i="7950" s="1"/>
  <c r="A233" i="7950" s="1"/>
  <c r="A234" i="7950" s="1"/>
  <c r="A235" i="7950" s="1"/>
  <c r="A236" i="7950" s="1"/>
  <c r="A237" i="7950" s="1"/>
  <c r="A238" i="7950" s="1"/>
  <c r="A239" i="7950" s="1"/>
  <c r="A240" i="7950" s="1"/>
  <c r="A241" i="7950" s="1"/>
  <c r="A242" i="7950" s="1"/>
  <c r="A243" i="7950" s="1"/>
  <c r="A244" i="7950" s="1"/>
  <c r="A245" i="7950" s="1"/>
  <c r="A246" i="7950" s="1"/>
  <c r="A247" i="7950" s="1"/>
  <c r="A248" i="7950" s="1"/>
  <c r="A249" i="7950" s="1"/>
  <c r="A250" i="7950" s="1"/>
  <c r="A176" i="7950"/>
  <c r="A177" i="7950" s="1"/>
  <c r="A178" i="7950" s="1"/>
  <c r="A179" i="7950" s="1"/>
  <c r="A180" i="7950" s="1"/>
  <c r="A181" i="7950" s="1"/>
  <c r="A182" i="7950" s="1"/>
  <c r="A183" i="7950" s="1"/>
  <c r="A184" i="7950" s="1"/>
  <c r="A185" i="7950" s="1"/>
  <c r="A186" i="7950" s="1"/>
  <c r="A187" i="7950" s="1"/>
  <c r="A188" i="7950" s="1"/>
  <c r="A189" i="7950" s="1"/>
  <c r="A190" i="7950" s="1"/>
  <c r="A191" i="7950" s="1"/>
  <c r="A192" i="7950" s="1"/>
  <c r="A193" i="7950" s="1"/>
  <c r="A194" i="7950" s="1"/>
  <c r="A195" i="7950" s="1"/>
  <c r="A196" i="7950" s="1"/>
  <c r="A122" i="7950"/>
  <c r="A123" i="7950" s="1"/>
  <c r="A124" i="7950" s="1"/>
  <c r="A125" i="7950" s="1"/>
  <c r="A126" i="7950" s="1"/>
  <c r="A127" i="7950" s="1"/>
  <c r="A128" i="7950" s="1"/>
  <c r="A129" i="7950" s="1"/>
  <c r="A130" i="7950" s="1"/>
  <c r="A131" i="7950" s="1"/>
  <c r="A132" i="7950" s="1"/>
  <c r="A133" i="7950" s="1"/>
  <c r="A134" i="7950" s="1"/>
  <c r="A135" i="7950" s="1"/>
  <c r="A136" i="7950" s="1"/>
  <c r="A137" i="7950" s="1"/>
  <c r="A138" i="7950" s="1"/>
  <c r="A139" i="7950" s="1"/>
  <c r="A140" i="7950" s="1"/>
  <c r="A141" i="7950" s="1"/>
  <c r="A142" i="7950" s="1"/>
  <c r="A68" i="7950"/>
  <c r="A69" i="7950" s="1"/>
  <c r="A70" i="7950" s="1"/>
  <c r="A71" i="7950" s="1"/>
  <c r="A72" i="7950" s="1"/>
  <c r="A73" i="7950" s="1"/>
  <c r="A74" i="7950" s="1"/>
  <c r="A75" i="7950" s="1"/>
  <c r="A76" i="7950" s="1"/>
  <c r="A77" i="7950" s="1"/>
  <c r="A78" i="7950" s="1"/>
  <c r="A79" i="7950" s="1"/>
  <c r="A80" i="7950" s="1"/>
  <c r="A81" i="7950" s="1"/>
  <c r="A82" i="7950" s="1"/>
  <c r="A83" i="7950" s="1"/>
  <c r="A84" i="7950" s="1"/>
  <c r="A85" i="7950" s="1"/>
  <c r="A86" i="7950" s="1"/>
  <c r="A87" i="7950" s="1"/>
  <c r="A88" i="7950" s="1"/>
  <c r="A14" i="7950" l="1"/>
  <c r="A15" i="7950" s="1"/>
  <c r="A16" i="7950" s="1"/>
  <c r="A17" i="7950" s="1"/>
  <c r="A18" i="7950" s="1"/>
  <c r="A19" i="7950" s="1"/>
  <c r="A20" i="7950" s="1"/>
  <c r="A21" i="7950" s="1"/>
  <c r="A22" i="7950" s="1"/>
  <c r="A23" i="7950" s="1"/>
  <c r="A24" i="7950" s="1"/>
  <c r="A25" i="7950" s="1"/>
  <c r="A26" i="7950" s="1"/>
  <c r="A27" i="7950" s="1"/>
  <c r="A28" i="7950" s="1"/>
  <c r="A29" i="7950" s="1"/>
  <c r="A30" i="7950" s="1"/>
  <c r="A31" i="7950" s="1"/>
  <c r="A32" i="7950" s="1"/>
  <c r="A33" i="7950" s="1"/>
  <c r="A34" i="7950" s="1"/>
  <c r="B2" i="7959" l="1"/>
  <c r="B165" i="7959"/>
  <c r="B164" i="7959"/>
  <c r="B163" i="7959"/>
  <c r="B162" i="7959"/>
  <c r="B161" i="7959"/>
  <c r="B160" i="7959"/>
  <c r="B159" i="7959"/>
  <c r="B158" i="7959"/>
  <c r="B157" i="7959"/>
  <c r="B156" i="7959"/>
  <c r="B155" i="7959"/>
  <c r="B154" i="7959"/>
  <c r="B153" i="7959"/>
  <c r="B152" i="7959"/>
  <c r="B151" i="7959"/>
  <c r="B150" i="7959"/>
  <c r="B149" i="7959"/>
  <c r="B148" i="7959"/>
  <c r="B147" i="7959"/>
  <c r="B146" i="7959"/>
  <c r="B145" i="7959"/>
  <c r="B144" i="7959"/>
  <c r="B143" i="7959"/>
  <c r="B142" i="7959"/>
  <c r="B141" i="7959"/>
  <c r="B140" i="7959"/>
  <c r="B139" i="7959"/>
  <c r="B138" i="7959"/>
  <c r="B137" i="7959"/>
  <c r="B136" i="7959"/>
  <c r="B135" i="7959"/>
  <c r="B134" i="7959"/>
  <c r="B133" i="7959"/>
  <c r="B132" i="7959"/>
  <c r="B131" i="7959"/>
  <c r="B130" i="7959"/>
  <c r="B129" i="7959"/>
  <c r="B128" i="7959"/>
  <c r="B127" i="7959"/>
  <c r="B126" i="7959"/>
  <c r="B125" i="7959"/>
  <c r="B124" i="7959"/>
  <c r="B123" i="7959"/>
  <c r="B122" i="7959"/>
  <c r="B121" i="7959"/>
  <c r="B120" i="7959"/>
  <c r="B119" i="7959"/>
  <c r="B118" i="7959"/>
  <c r="B117" i="7959"/>
  <c r="B116" i="7959"/>
  <c r="B110" i="7959"/>
  <c r="B109" i="7959"/>
  <c r="B108" i="7959"/>
  <c r="B107" i="7959"/>
  <c r="B106" i="7959"/>
  <c r="B105" i="7959"/>
  <c r="B104" i="7959"/>
  <c r="B103" i="7959"/>
  <c r="B102" i="7959"/>
  <c r="B101" i="7959"/>
  <c r="B100" i="7959"/>
  <c r="B99" i="7959"/>
  <c r="B98" i="7959"/>
  <c r="B97" i="7959"/>
  <c r="B96" i="7959"/>
  <c r="B95" i="7959"/>
  <c r="B94" i="7959"/>
  <c r="B93" i="7959"/>
  <c r="B92" i="7959"/>
  <c r="B91" i="7959"/>
  <c r="B90" i="7959"/>
  <c r="B89" i="7959"/>
  <c r="B88" i="7959"/>
  <c r="B87" i="7959"/>
  <c r="B86" i="7959"/>
  <c r="B85" i="7959"/>
  <c r="B84" i="7959"/>
  <c r="B83" i="7959"/>
  <c r="B82" i="7959"/>
  <c r="B81" i="7959"/>
  <c r="B80" i="7959"/>
  <c r="B79" i="7959"/>
  <c r="B78" i="7959"/>
  <c r="B77" i="7959"/>
  <c r="B76" i="7959"/>
  <c r="B75" i="7959"/>
  <c r="B74" i="7959"/>
  <c r="B73" i="7959"/>
  <c r="B72" i="7959"/>
  <c r="B71" i="7959"/>
  <c r="B70" i="7959"/>
  <c r="B69" i="7959"/>
  <c r="B68" i="7959"/>
  <c r="B67" i="7959"/>
  <c r="B66" i="7959"/>
  <c r="B65" i="7959"/>
  <c r="B64" i="7959"/>
  <c r="B63" i="7959"/>
  <c r="B62" i="7959"/>
  <c r="B61" i="7959"/>
  <c r="B55" i="7959"/>
  <c r="B54" i="7959"/>
  <c r="B53" i="7959"/>
  <c r="B52" i="7959"/>
  <c r="B51" i="7959"/>
  <c r="B50" i="7959"/>
  <c r="B49" i="7959"/>
  <c r="B48" i="7959"/>
  <c r="B47" i="7959"/>
  <c r="B46" i="7959"/>
  <c r="B45" i="7959"/>
  <c r="B44" i="7959"/>
  <c r="B43" i="7959"/>
  <c r="B42" i="7959"/>
  <c r="B41" i="7959"/>
  <c r="B40" i="7959"/>
  <c r="B39" i="7959"/>
  <c r="B38" i="7959"/>
  <c r="B37" i="7959"/>
  <c r="B36" i="7959"/>
  <c r="B35" i="7959"/>
  <c r="B34" i="7959"/>
  <c r="B33" i="7959"/>
  <c r="B32" i="7959"/>
  <c r="B31" i="7959"/>
  <c r="B30" i="7959"/>
  <c r="B29" i="7959"/>
  <c r="B28" i="7959"/>
  <c r="B27" i="7959"/>
  <c r="B26" i="7959"/>
  <c r="B25" i="7959"/>
  <c r="B24" i="7959"/>
  <c r="B23" i="7959"/>
  <c r="B22" i="7959"/>
  <c r="B21" i="7959"/>
  <c r="B20" i="7959"/>
  <c r="B19" i="7959"/>
  <c r="B18" i="7959"/>
  <c r="B17" i="7959"/>
  <c r="B16" i="7959"/>
  <c r="B15" i="7959"/>
  <c r="B14" i="7959"/>
  <c r="B13" i="7959"/>
  <c r="B12" i="7959"/>
  <c r="B11" i="7959"/>
  <c r="B10" i="7959"/>
  <c r="B9" i="7959"/>
  <c r="B8" i="7959"/>
  <c r="B7" i="7959"/>
  <c r="B6" i="7959"/>
  <c r="I165" i="7959"/>
  <c r="H165" i="7959"/>
  <c r="G165" i="7959"/>
  <c r="F165" i="7959"/>
  <c r="E165" i="7959"/>
  <c r="D165" i="7959"/>
  <c r="I164" i="7959"/>
  <c r="H164" i="7959"/>
  <c r="G164" i="7959"/>
  <c r="F164" i="7959"/>
  <c r="E164" i="7959"/>
  <c r="D164" i="7959"/>
  <c r="I163" i="7959"/>
  <c r="H163" i="7959"/>
  <c r="G163" i="7959"/>
  <c r="F163" i="7959"/>
  <c r="E163" i="7959"/>
  <c r="D163" i="7959"/>
  <c r="I162" i="7959"/>
  <c r="H162" i="7959"/>
  <c r="G162" i="7959"/>
  <c r="F162" i="7959"/>
  <c r="E162" i="7959"/>
  <c r="D162" i="7959"/>
  <c r="I161" i="7959"/>
  <c r="H161" i="7959"/>
  <c r="G161" i="7959"/>
  <c r="F161" i="7959"/>
  <c r="E161" i="7959"/>
  <c r="D161" i="7959"/>
  <c r="I160" i="7959"/>
  <c r="H160" i="7959"/>
  <c r="G160" i="7959"/>
  <c r="F160" i="7959"/>
  <c r="E160" i="7959"/>
  <c r="D160" i="7959"/>
  <c r="I159" i="7959"/>
  <c r="H159" i="7959"/>
  <c r="G159" i="7959"/>
  <c r="F159" i="7959"/>
  <c r="E159" i="7959"/>
  <c r="D159" i="7959"/>
  <c r="I158" i="7959"/>
  <c r="H158" i="7959"/>
  <c r="G158" i="7959"/>
  <c r="F158" i="7959"/>
  <c r="E158" i="7959"/>
  <c r="D158" i="7959"/>
  <c r="I157" i="7959"/>
  <c r="H157" i="7959"/>
  <c r="G157" i="7959"/>
  <c r="F157" i="7959"/>
  <c r="E157" i="7959"/>
  <c r="D157" i="7959"/>
  <c r="I156" i="7959"/>
  <c r="H156" i="7959"/>
  <c r="G156" i="7959"/>
  <c r="F156" i="7959"/>
  <c r="E156" i="7959"/>
  <c r="D156" i="7959"/>
  <c r="I155" i="7959"/>
  <c r="H155" i="7959"/>
  <c r="G155" i="7959"/>
  <c r="F155" i="7959"/>
  <c r="E155" i="7959"/>
  <c r="D155" i="7959"/>
  <c r="I154" i="7959"/>
  <c r="H154" i="7959"/>
  <c r="G154" i="7959"/>
  <c r="F154" i="7959"/>
  <c r="E154" i="7959"/>
  <c r="D154" i="7959"/>
  <c r="I153" i="7959"/>
  <c r="H153" i="7959"/>
  <c r="G153" i="7959"/>
  <c r="F153" i="7959"/>
  <c r="E153" i="7959"/>
  <c r="D153" i="7959"/>
  <c r="I152" i="7959"/>
  <c r="H152" i="7959"/>
  <c r="G152" i="7959"/>
  <c r="F152" i="7959"/>
  <c r="E152" i="7959"/>
  <c r="D152" i="7959"/>
  <c r="I151" i="7959"/>
  <c r="H151" i="7959"/>
  <c r="G151" i="7959"/>
  <c r="F151" i="7959"/>
  <c r="E151" i="7959"/>
  <c r="D151" i="7959"/>
  <c r="I150" i="7959"/>
  <c r="H150" i="7959"/>
  <c r="G150" i="7959"/>
  <c r="F150" i="7959"/>
  <c r="E150" i="7959"/>
  <c r="D150" i="7959"/>
  <c r="I149" i="7959"/>
  <c r="H149" i="7959"/>
  <c r="G149" i="7959"/>
  <c r="F149" i="7959"/>
  <c r="E149" i="7959"/>
  <c r="D149" i="7959"/>
  <c r="I148" i="7959"/>
  <c r="H148" i="7959"/>
  <c r="G148" i="7959"/>
  <c r="F148" i="7959"/>
  <c r="E148" i="7959"/>
  <c r="D148" i="7959"/>
  <c r="I147" i="7959"/>
  <c r="H147" i="7959"/>
  <c r="G147" i="7959"/>
  <c r="F147" i="7959"/>
  <c r="E147" i="7959"/>
  <c r="D147" i="7959"/>
  <c r="I146" i="7959"/>
  <c r="H146" i="7959"/>
  <c r="G146" i="7959"/>
  <c r="F146" i="7959"/>
  <c r="E146" i="7959"/>
  <c r="D146" i="7959"/>
  <c r="I145" i="7959"/>
  <c r="H145" i="7959"/>
  <c r="G145" i="7959"/>
  <c r="F145" i="7959"/>
  <c r="E145" i="7959"/>
  <c r="D145" i="7959"/>
  <c r="I144" i="7959"/>
  <c r="H144" i="7959"/>
  <c r="G144" i="7959"/>
  <c r="F144" i="7959"/>
  <c r="E144" i="7959"/>
  <c r="D144" i="7959"/>
  <c r="I143" i="7959"/>
  <c r="H143" i="7959"/>
  <c r="G143" i="7959"/>
  <c r="F143" i="7959"/>
  <c r="E143" i="7959"/>
  <c r="D143" i="7959"/>
  <c r="I142" i="7959"/>
  <c r="H142" i="7959"/>
  <c r="G142" i="7959"/>
  <c r="F142" i="7959"/>
  <c r="E142" i="7959"/>
  <c r="D142" i="7959"/>
  <c r="I141" i="7959"/>
  <c r="H141" i="7959"/>
  <c r="G141" i="7959"/>
  <c r="F141" i="7959"/>
  <c r="E141" i="7959"/>
  <c r="D141" i="7959"/>
  <c r="I140" i="7959"/>
  <c r="H140" i="7959"/>
  <c r="G140" i="7959"/>
  <c r="F140" i="7959"/>
  <c r="E140" i="7959"/>
  <c r="D140" i="7959"/>
  <c r="I139" i="7959"/>
  <c r="H139" i="7959"/>
  <c r="G139" i="7959"/>
  <c r="F139" i="7959"/>
  <c r="E139" i="7959"/>
  <c r="D139" i="7959"/>
  <c r="I138" i="7959"/>
  <c r="H138" i="7959"/>
  <c r="G138" i="7959"/>
  <c r="F138" i="7959"/>
  <c r="E138" i="7959"/>
  <c r="D138" i="7959"/>
  <c r="I137" i="7959"/>
  <c r="H137" i="7959"/>
  <c r="G137" i="7959"/>
  <c r="F137" i="7959"/>
  <c r="E137" i="7959"/>
  <c r="D137" i="7959"/>
  <c r="I136" i="7959"/>
  <c r="H136" i="7959"/>
  <c r="G136" i="7959"/>
  <c r="F136" i="7959"/>
  <c r="E136" i="7959"/>
  <c r="D136" i="7959"/>
  <c r="I135" i="7959"/>
  <c r="H135" i="7959"/>
  <c r="G135" i="7959"/>
  <c r="F135" i="7959"/>
  <c r="E135" i="7959"/>
  <c r="D135" i="7959"/>
  <c r="I134" i="7959"/>
  <c r="H134" i="7959"/>
  <c r="G134" i="7959"/>
  <c r="F134" i="7959"/>
  <c r="E134" i="7959"/>
  <c r="D134" i="7959"/>
  <c r="I133" i="7959"/>
  <c r="H133" i="7959"/>
  <c r="G133" i="7959"/>
  <c r="F133" i="7959"/>
  <c r="E133" i="7959"/>
  <c r="D133" i="7959"/>
  <c r="I132" i="7959"/>
  <c r="H132" i="7959"/>
  <c r="G132" i="7959"/>
  <c r="F132" i="7959"/>
  <c r="E132" i="7959"/>
  <c r="D132" i="7959"/>
  <c r="I131" i="7959"/>
  <c r="H131" i="7959"/>
  <c r="G131" i="7959"/>
  <c r="F131" i="7959"/>
  <c r="E131" i="7959"/>
  <c r="D131" i="7959"/>
  <c r="I130" i="7959"/>
  <c r="H130" i="7959"/>
  <c r="G130" i="7959"/>
  <c r="F130" i="7959"/>
  <c r="E130" i="7959"/>
  <c r="D130" i="7959"/>
  <c r="I129" i="7959"/>
  <c r="H129" i="7959"/>
  <c r="G129" i="7959"/>
  <c r="F129" i="7959"/>
  <c r="E129" i="7959"/>
  <c r="D129" i="7959"/>
  <c r="I128" i="7959"/>
  <c r="H128" i="7959"/>
  <c r="G128" i="7959"/>
  <c r="F128" i="7959"/>
  <c r="E128" i="7959"/>
  <c r="D128" i="7959"/>
  <c r="I127" i="7959"/>
  <c r="H127" i="7959"/>
  <c r="G127" i="7959"/>
  <c r="F127" i="7959"/>
  <c r="E127" i="7959"/>
  <c r="D127" i="7959"/>
  <c r="I126" i="7959"/>
  <c r="H126" i="7959"/>
  <c r="G126" i="7959"/>
  <c r="F126" i="7959"/>
  <c r="E126" i="7959"/>
  <c r="D126" i="7959"/>
  <c r="I125" i="7959"/>
  <c r="H125" i="7959"/>
  <c r="G125" i="7959"/>
  <c r="F125" i="7959"/>
  <c r="E125" i="7959"/>
  <c r="D125" i="7959"/>
  <c r="I124" i="7959"/>
  <c r="H124" i="7959"/>
  <c r="G124" i="7959"/>
  <c r="F124" i="7959"/>
  <c r="E124" i="7959"/>
  <c r="D124" i="7959"/>
  <c r="I123" i="7959"/>
  <c r="H123" i="7959"/>
  <c r="G123" i="7959"/>
  <c r="F123" i="7959"/>
  <c r="E123" i="7959"/>
  <c r="D123" i="7959"/>
  <c r="I122" i="7959"/>
  <c r="H122" i="7959"/>
  <c r="G122" i="7959"/>
  <c r="F122" i="7959"/>
  <c r="E122" i="7959"/>
  <c r="D122" i="7959"/>
  <c r="I121" i="7959"/>
  <c r="H121" i="7959"/>
  <c r="G121" i="7959"/>
  <c r="F121" i="7959"/>
  <c r="E121" i="7959"/>
  <c r="D121" i="7959"/>
  <c r="I120" i="7959"/>
  <c r="H120" i="7959"/>
  <c r="G120" i="7959"/>
  <c r="F120" i="7959"/>
  <c r="E120" i="7959"/>
  <c r="D120" i="7959"/>
  <c r="I119" i="7959"/>
  <c r="H119" i="7959"/>
  <c r="G119" i="7959"/>
  <c r="F119" i="7959"/>
  <c r="E119" i="7959"/>
  <c r="D119" i="7959"/>
  <c r="I118" i="7959"/>
  <c r="H118" i="7959"/>
  <c r="G118" i="7959"/>
  <c r="F118" i="7959"/>
  <c r="E118" i="7959"/>
  <c r="D118" i="7959"/>
  <c r="I117" i="7959"/>
  <c r="H117" i="7959"/>
  <c r="G117" i="7959"/>
  <c r="F117" i="7959"/>
  <c r="E117" i="7959"/>
  <c r="D117" i="7959"/>
  <c r="H116" i="7959"/>
  <c r="G116" i="7959"/>
  <c r="F116" i="7959"/>
  <c r="E116" i="7959"/>
  <c r="D116" i="7959"/>
  <c r="I116" i="7959"/>
  <c r="E166" i="7959" l="1"/>
  <c r="F166" i="7959"/>
  <c r="I166" i="7959"/>
  <c r="G166" i="7959"/>
  <c r="D166" i="7959"/>
  <c r="H166" i="7959"/>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G473" i="1"/>
  <c r="L473" i="1"/>
  <c r="J473" i="1"/>
  <c r="K473" i="1"/>
  <c r="H473" i="1"/>
  <c r="M474" i="1"/>
  <c r="L474" i="1"/>
  <c r="K474" i="1"/>
  <c r="G474" i="1"/>
  <c r="G354" i="1" l="1"/>
  <c r="M349" i="1" l="1"/>
  <c r="N349" i="1"/>
  <c r="O349" i="1"/>
  <c r="P349" i="1"/>
  <c r="Q349" i="1"/>
  <c r="G230" i="1" l="1"/>
  <c r="G231" i="1"/>
  <c r="G232" i="1"/>
  <c r="G233" i="1"/>
  <c r="G234" i="1"/>
  <c r="G235" i="1"/>
  <c r="G236" i="1"/>
  <c r="G237" i="1"/>
  <c r="G238" i="1"/>
  <c r="G239" i="1"/>
  <c r="G240" i="1"/>
  <c r="G241" i="1"/>
  <c r="G242" i="1"/>
  <c r="G243" i="1"/>
  <c r="G244" i="1"/>
  <c r="N219" i="1"/>
  <c r="O219" i="1"/>
  <c r="P219" i="1"/>
  <c r="Q219" i="1"/>
  <c r="K353" i="1" l="1"/>
  <c r="G295" i="1" l="1"/>
  <c r="B2" i="7950"/>
  <c r="B2" i="7949"/>
  <c r="B2" i="7944"/>
  <c r="C2" i="7941"/>
  <c r="C2" i="18"/>
  <c r="B2" i="7942"/>
  <c r="B2" i="7951"/>
  <c r="E2" i="7946"/>
  <c r="L525" i="1" l="1"/>
  <c r="E2" i="1" l="1"/>
  <c r="K57" i="7946" l="1"/>
  <c r="E282" i="1" l="1"/>
  <c r="G373" i="7942" l="1"/>
  <c r="G372" i="7942"/>
  <c r="G371" i="7942"/>
  <c r="G370" i="7942"/>
  <c r="G369" i="7942"/>
  <c r="G368" i="7942"/>
  <c r="G367" i="7942"/>
  <c r="G366" i="7942"/>
  <c r="G365" i="7942"/>
  <c r="G364" i="7942"/>
  <c r="G363" i="7942"/>
  <c r="G362" i="7942"/>
  <c r="G361" i="7942"/>
  <c r="G360" i="7942"/>
  <c r="G359" i="7942"/>
  <c r="G358" i="7942"/>
  <c r="G357" i="7942"/>
  <c r="G356" i="7942"/>
  <c r="G355" i="7942"/>
  <c r="G354" i="7942"/>
  <c r="G353" i="7942"/>
  <c r="G352" i="7942"/>
  <c r="G351" i="7942"/>
  <c r="G350" i="7942"/>
  <c r="G349" i="7942"/>
  <c r="G348" i="7942"/>
  <c r="G347" i="7942"/>
  <c r="G346" i="7942"/>
  <c r="G345" i="7942"/>
  <c r="G344" i="7942"/>
  <c r="G343" i="7942"/>
  <c r="G342" i="7942"/>
  <c r="G341" i="7942"/>
  <c r="G340" i="7942"/>
  <c r="G339" i="7942"/>
  <c r="G338" i="7942"/>
  <c r="G337" i="7942"/>
  <c r="G336" i="7942"/>
  <c r="G335" i="7942"/>
  <c r="G334" i="7942"/>
  <c r="B8" i="7946"/>
  <c r="B9" i="7946" s="1"/>
  <c r="B10" i="7946" s="1"/>
  <c r="B11" i="7946" s="1"/>
  <c r="B12" i="7946" s="1"/>
  <c r="B13" i="7946" s="1"/>
  <c r="B14" i="7946" s="1"/>
  <c r="B15" i="7946" s="1"/>
  <c r="B16" i="7946" s="1"/>
  <c r="B17" i="7946" s="1"/>
  <c r="B18" i="7946" s="1"/>
  <c r="B19" i="7946" s="1"/>
  <c r="B20" i="7946" s="1"/>
  <c r="B21" i="7946" s="1"/>
  <c r="B22" i="7946" s="1"/>
  <c r="B23" i="7946" s="1"/>
  <c r="B24" i="7946" s="1"/>
  <c r="B25" i="7946" s="1"/>
  <c r="B26" i="7946" s="1"/>
  <c r="B27" i="7946" s="1"/>
  <c r="B28" i="7946" s="1"/>
  <c r="B29" i="7946" s="1"/>
  <c r="B30" i="7946" s="1"/>
  <c r="B31" i="7946" s="1"/>
  <c r="B32" i="7946" s="1"/>
  <c r="B33" i="7946" s="1"/>
  <c r="B34" i="7946" s="1"/>
  <c r="B35" i="7946" s="1"/>
  <c r="B36" i="7946" s="1"/>
  <c r="B37" i="7946" s="1"/>
  <c r="B38" i="7946" s="1"/>
  <c r="B39" i="7946" s="1"/>
  <c r="B40" i="7946" s="1"/>
  <c r="B41" i="7946" s="1"/>
  <c r="B42" i="7946" s="1"/>
  <c r="B43" i="7946" s="1"/>
  <c r="B44" i="7946" s="1"/>
  <c r="B45" i="7946" s="1"/>
  <c r="B46" i="7946" s="1"/>
  <c r="B47" i="7946" s="1"/>
  <c r="B48" i="7946" s="1"/>
  <c r="B49" i="7946" s="1"/>
  <c r="B50" i="7946" s="1"/>
  <c r="B51" i="7946" s="1"/>
  <c r="B52" i="7946" s="1"/>
  <c r="B53" i="7946" s="1"/>
  <c r="B54" i="7946" s="1"/>
  <c r="B55" i="7946" s="1"/>
  <c r="B56" i="7946" s="1"/>
  <c r="A8" i="7946"/>
  <c r="A9" i="7946" s="1"/>
  <c r="A10" i="7946" s="1"/>
  <c r="A11" i="7946" s="1"/>
  <c r="A12" i="7946" s="1"/>
  <c r="A13" i="7946" s="1"/>
  <c r="A14" i="7946" s="1"/>
  <c r="A15" i="7946" s="1"/>
  <c r="A16" i="7946" s="1"/>
  <c r="A17" i="7946" s="1"/>
  <c r="A18" i="7946" s="1"/>
  <c r="A19" i="7946" s="1"/>
  <c r="A20" i="7946" s="1"/>
  <c r="A21" i="7946" s="1"/>
  <c r="A22" i="7946" s="1"/>
  <c r="A23" i="7946" s="1"/>
  <c r="A24" i="7946" s="1"/>
  <c r="A25" i="7946" s="1"/>
  <c r="A26" i="7946" s="1"/>
  <c r="A27" i="7946" s="1"/>
  <c r="A28" i="7946" s="1"/>
  <c r="A29" i="7946" s="1"/>
  <c r="A30" i="7946" s="1"/>
  <c r="A31" i="7946" s="1"/>
  <c r="A32" i="7946" s="1"/>
  <c r="A33" i="7946" s="1"/>
  <c r="A34" i="7946" s="1"/>
  <c r="A35" i="7946" s="1"/>
  <c r="A36" i="7946" s="1"/>
  <c r="A37" i="7946" s="1"/>
  <c r="A38" i="7946" s="1"/>
  <c r="A39" i="7946" s="1"/>
  <c r="A40" i="7946" s="1"/>
  <c r="A41" i="7946" s="1"/>
  <c r="A42" i="7946" s="1"/>
  <c r="A43" i="7946" s="1"/>
  <c r="A44" i="7946" s="1"/>
  <c r="A45" i="7946" s="1"/>
  <c r="A46" i="7946" s="1"/>
  <c r="A47" i="7946" s="1"/>
  <c r="A48" i="7946" s="1"/>
  <c r="A49" i="7946" s="1"/>
  <c r="A50" i="7946" s="1"/>
  <c r="A51" i="7946" s="1"/>
  <c r="A52" i="7946" s="1"/>
  <c r="A53" i="7946" s="1"/>
  <c r="A54" i="7946" s="1"/>
  <c r="A55" i="7946" s="1"/>
  <c r="A56" i="7946" s="1"/>
  <c r="G272" i="1" l="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Q109" i="7944" l="1"/>
  <c r="P109" i="7944"/>
  <c r="O109" i="7944"/>
  <c r="N109" i="7944"/>
  <c r="M109" i="7944"/>
  <c r="L109" i="7944"/>
  <c r="K109" i="7944"/>
  <c r="J109" i="7944"/>
  <c r="I109" i="7944"/>
  <c r="H109" i="7944"/>
  <c r="Q108" i="7944"/>
  <c r="P108" i="7944"/>
  <c r="O108" i="7944"/>
  <c r="N108" i="7944"/>
  <c r="M108" i="7944"/>
  <c r="L108" i="7944"/>
  <c r="K108" i="7944"/>
  <c r="J108" i="7944"/>
  <c r="I108" i="7944"/>
  <c r="H108" i="7944"/>
  <c r="Q107" i="7944"/>
  <c r="P107" i="7944"/>
  <c r="O107" i="7944"/>
  <c r="N107" i="7944"/>
  <c r="M107" i="7944"/>
  <c r="L107" i="7944"/>
  <c r="K107" i="7944"/>
  <c r="J107" i="7944"/>
  <c r="I107" i="7944"/>
  <c r="H107" i="7944"/>
  <c r="Q106" i="7944"/>
  <c r="P106" i="7944"/>
  <c r="O106" i="7944"/>
  <c r="N106" i="7944"/>
  <c r="M106" i="7944"/>
  <c r="L106" i="7944"/>
  <c r="K106" i="7944"/>
  <c r="J106" i="7944"/>
  <c r="I106" i="7944"/>
  <c r="H106" i="7944"/>
  <c r="Q105" i="7944"/>
  <c r="P105" i="7944"/>
  <c r="O105" i="7944"/>
  <c r="N105" i="7944"/>
  <c r="M105" i="7944"/>
  <c r="L105" i="7944"/>
  <c r="K105" i="7944"/>
  <c r="J105" i="7944"/>
  <c r="I105" i="7944"/>
  <c r="H105" i="7944"/>
  <c r="Q104" i="7944"/>
  <c r="P104" i="7944"/>
  <c r="O104" i="7944"/>
  <c r="N104" i="7944"/>
  <c r="M104" i="7944"/>
  <c r="L104" i="7944"/>
  <c r="K104" i="7944"/>
  <c r="J104" i="7944"/>
  <c r="I104" i="7944"/>
  <c r="H104" i="7944"/>
  <c r="Q103" i="7944"/>
  <c r="P103" i="7944"/>
  <c r="O103" i="7944"/>
  <c r="N103" i="7944"/>
  <c r="M103" i="7944"/>
  <c r="L103" i="7944"/>
  <c r="K103" i="7944"/>
  <c r="J103" i="7944"/>
  <c r="I103" i="7944"/>
  <c r="H103" i="7944"/>
  <c r="Q102" i="7944"/>
  <c r="P102" i="7944"/>
  <c r="O102" i="7944"/>
  <c r="N102" i="7944"/>
  <c r="M102" i="7944"/>
  <c r="L102" i="7944"/>
  <c r="K102" i="7944"/>
  <c r="J102" i="7944"/>
  <c r="I102" i="7944"/>
  <c r="H102" i="7944"/>
  <c r="Q101" i="7944"/>
  <c r="P101" i="7944"/>
  <c r="O101" i="7944"/>
  <c r="N101" i="7944"/>
  <c r="M101" i="7944"/>
  <c r="L101" i="7944"/>
  <c r="K101" i="7944"/>
  <c r="J101" i="7944"/>
  <c r="I101" i="7944"/>
  <c r="H101" i="7944"/>
  <c r="Q100" i="7944"/>
  <c r="P100" i="7944"/>
  <c r="O100" i="7944"/>
  <c r="N100" i="7944"/>
  <c r="M100" i="7944"/>
  <c r="L100" i="7944"/>
  <c r="K100" i="7944"/>
  <c r="J100" i="7944"/>
  <c r="I100" i="7944"/>
  <c r="H100" i="7944"/>
  <c r="Q99" i="7944"/>
  <c r="P99" i="7944"/>
  <c r="O99" i="7944"/>
  <c r="N99" i="7944"/>
  <c r="M99" i="7944"/>
  <c r="L99" i="7944"/>
  <c r="K99" i="7944"/>
  <c r="J99" i="7944"/>
  <c r="I99" i="7944"/>
  <c r="H99" i="7944"/>
  <c r="Q98" i="7944"/>
  <c r="P98" i="7944"/>
  <c r="O98" i="7944"/>
  <c r="N98" i="7944"/>
  <c r="M98" i="7944"/>
  <c r="L98" i="7944"/>
  <c r="K98" i="7944"/>
  <c r="J98" i="7944"/>
  <c r="I98" i="7944"/>
  <c r="H98" i="7944"/>
  <c r="Q97" i="7944"/>
  <c r="P97" i="7944"/>
  <c r="O97" i="7944"/>
  <c r="N97" i="7944"/>
  <c r="M97" i="7944"/>
  <c r="L97" i="7944"/>
  <c r="K97" i="7944"/>
  <c r="J97" i="7944"/>
  <c r="I97" i="7944"/>
  <c r="H97" i="7944"/>
  <c r="Q96" i="7944"/>
  <c r="P96" i="7944"/>
  <c r="O96" i="7944"/>
  <c r="N96" i="7944"/>
  <c r="M96" i="7944"/>
  <c r="L96" i="7944"/>
  <c r="K96" i="7944"/>
  <c r="J96" i="7944"/>
  <c r="I96" i="7944"/>
  <c r="H96" i="7944"/>
  <c r="Q95" i="7944"/>
  <c r="P95" i="7944"/>
  <c r="O95" i="7944"/>
  <c r="N95" i="7944"/>
  <c r="M95" i="7944"/>
  <c r="L95" i="7944"/>
  <c r="K95" i="7944"/>
  <c r="J95" i="7944"/>
  <c r="I95" i="7944"/>
  <c r="H95" i="7944"/>
  <c r="Q94" i="7944"/>
  <c r="P94" i="7944"/>
  <c r="O94" i="7944"/>
  <c r="N94" i="7944"/>
  <c r="M94" i="7944"/>
  <c r="L94" i="7944"/>
  <c r="K94" i="7944"/>
  <c r="J94" i="7944"/>
  <c r="I94" i="7944"/>
  <c r="H94" i="7944"/>
  <c r="Q93" i="7944"/>
  <c r="P93" i="7944"/>
  <c r="O93" i="7944"/>
  <c r="N93" i="7944"/>
  <c r="M93" i="7944"/>
  <c r="L93" i="7944"/>
  <c r="K93" i="7944"/>
  <c r="J93" i="7944"/>
  <c r="I93" i="7944"/>
  <c r="H93" i="7944"/>
  <c r="Q92" i="7944"/>
  <c r="P92" i="7944"/>
  <c r="O92" i="7944"/>
  <c r="N92" i="7944"/>
  <c r="M92" i="7944"/>
  <c r="L92" i="7944"/>
  <c r="K92" i="7944"/>
  <c r="J92" i="7944"/>
  <c r="I92" i="7944"/>
  <c r="H92" i="7944"/>
  <c r="Q91" i="7944"/>
  <c r="P91" i="7944"/>
  <c r="O91" i="7944"/>
  <c r="N91" i="7944"/>
  <c r="M91" i="7944"/>
  <c r="L91" i="7944"/>
  <c r="K91" i="7944"/>
  <c r="J91" i="7944"/>
  <c r="I91" i="7944"/>
  <c r="H91" i="7944"/>
  <c r="Q90" i="7944"/>
  <c r="P90" i="7944"/>
  <c r="O90" i="7944"/>
  <c r="N90" i="7944"/>
  <c r="M90" i="7944"/>
  <c r="L90" i="7944"/>
  <c r="K90" i="7944"/>
  <c r="J90" i="7944"/>
  <c r="I90" i="7944"/>
  <c r="H90" i="7944"/>
  <c r="Q89" i="7944"/>
  <c r="P89" i="7944"/>
  <c r="O89" i="7944"/>
  <c r="N89" i="7944"/>
  <c r="M89" i="7944"/>
  <c r="L89" i="7944"/>
  <c r="K89" i="7944"/>
  <c r="J89" i="7944"/>
  <c r="I89" i="7944"/>
  <c r="H89" i="7944"/>
  <c r="Q88" i="7944"/>
  <c r="P88" i="7944"/>
  <c r="O88" i="7944"/>
  <c r="N88" i="7944"/>
  <c r="M88" i="7944"/>
  <c r="L88" i="7944"/>
  <c r="K88" i="7944"/>
  <c r="J88" i="7944"/>
  <c r="I88" i="7944"/>
  <c r="H88" i="7944"/>
  <c r="Q87" i="7944"/>
  <c r="P87" i="7944"/>
  <c r="O87" i="7944"/>
  <c r="N87" i="7944"/>
  <c r="M87" i="7944"/>
  <c r="L87" i="7944"/>
  <c r="K87" i="7944"/>
  <c r="J87" i="7944"/>
  <c r="I87" i="7944"/>
  <c r="H87" i="7944"/>
  <c r="Q86" i="7944"/>
  <c r="P86" i="7944"/>
  <c r="O86" i="7944"/>
  <c r="N86" i="7944"/>
  <c r="M86" i="7944"/>
  <c r="L86" i="7944"/>
  <c r="K86" i="7944"/>
  <c r="J86" i="7944"/>
  <c r="I86" i="7944"/>
  <c r="H86" i="7944"/>
  <c r="Q85" i="7944"/>
  <c r="P85" i="7944"/>
  <c r="O85" i="7944"/>
  <c r="N85" i="7944"/>
  <c r="M85" i="7944"/>
  <c r="L85" i="7944"/>
  <c r="K85" i="7944"/>
  <c r="J85" i="7944"/>
  <c r="I85" i="7944"/>
  <c r="H85" i="7944"/>
  <c r="Q84" i="7944"/>
  <c r="P84" i="7944"/>
  <c r="O84" i="7944"/>
  <c r="N84" i="7944"/>
  <c r="M84" i="7944"/>
  <c r="L84" i="7944"/>
  <c r="K84" i="7944"/>
  <c r="J84" i="7944"/>
  <c r="I84" i="7944"/>
  <c r="H84" i="7944"/>
  <c r="Q83" i="7944"/>
  <c r="P83" i="7944"/>
  <c r="O83" i="7944"/>
  <c r="N83" i="7944"/>
  <c r="M83" i="7944"/>
  <c r="L83" i="7944"/>
  <c r="K83" i="7944"/>
  <c r="J83" i="7944"/>
  <c r="I83" i="7944"/>
  <c r="H83" i="7944"/>
  <c r="Q82" i="7944"/>
  <c r="P82" i="7944"/>
  <c r="O82" i="7944"/>
  <c r="N82" i="7944"/>
  <c r="M82" i="7944"/>
  <c r="L82" i="7944"/>
  <c r="K82" i="7944"/>
  <c r="J82" i="7944"/>
  <c r="I82" i="7944"/>
  <c r="H82" i="7944"/>
  <c r="Q81" i="7944"/>
  <c r="P81" i="7944"/>
  <c r="O81" i="7944"/>
  <c r="N81" i="7944"/>
  <c r="M81" i="7944"/>
  <c r="L81" i="7944"/>
  <c r="K81" i="7944"/>
  <c r="J81" i="7944"/>
  <c r="I81" i="7944"/>
  <c r="H81" i="7944"/>
  <c r="Q80" i="7944"/>
  <c r="P80" i="7944"/>
  <c r="O80" i="7944"/>
  <c r="N80" i="7944"/>
  <c r="M80" i="7944"/>
  <c r="L80" i="7944"/>
  <c r="K80" i="7944"/>
  <c r="J80" i="7944"/>
  <c r="I80" i="7944"/>
  <c r="H80" i="7944"/>
  <c r="Q79" i="7944"/>
  <c r="P79" i="7944"/>
  <c r="O79" i="7944"/>
  <c r="N79" i="7944"/>
  <c r="M79" i="7944"/>
  <c r="L79" i="7944"/>
  <c r="K79" i="7944"/>
  <c r="J79" i="7944"/>
  <c r="I79" i="7944"/>
  <c r="H79" i="7944"/>
  <c r="Q78" i="7944"/>
  <c r="P78" i="7944"/>
  <c r="O78" i="7944"/>
  <c r="N78" i="7944"/>
  <c r="M78" i="7944"/>
  <c r="L78" i="7944"/>
  <c r="K78" i="7944"/>
  <c r="J78" i="7944"/>
  <c r="I78" i="7944"/>
  <c r="H78" i="7944"/>
  <c r="Q77" i="7944"/>
  <c r="P77" i="7944"/>
  <c r="O77" i="7944"/>
  <c r="N77" i="7944"/>
  <c r="M77" i="7944"/>
  <c r="L77" i="7944"/>
  <c r="K77" i="7944"/>
  <c r="J77" i="7944"/>
  <c r="I77" i="7944"/>
  <c r="H77" i="7944"/>
  <c r="Q76" i="7944"/>
  <c r="P76" i="7944"/>
  <c r="O76" i="7944"/>
  <c r="N76" i="7944"/>
  <c r="M76" i="7944"/>
  <c r="L76" i="7944"/>
  <c r="K76" i="7944"/>
  <c r="J76" i="7944"/>
  <c r="I76" i="7944"/>
  <c r="H76" i="7944"/>
  <c r="Q75" i="7944"/>
  <c r="P75" i="7944"/>
  <c r="O75" i="7944"/>
  <c r="N75" i="7944"/>
  <c r="M75" i="7944"/>
  <c r="L75" i="7944"/>
  <c r="K75" i="7944"/>
  <c r="J75" i="7944"/>
  <c r="I75" i="7944"/>
  <c r="H75" i="7944"/>
  <c r="Q74" i="7944"/>
  <c r="P74" i="7944"/>
  <c r="O74" i="7944"/>
  <c r="N74" i="7944"/>
  <c r="M74" i="7944"/>
  <c r="L74" i="7944"/>
  <c r="K74" i="7944"/>
  <c r="J74" i="7944"/>
  <c r="I74" i="7944"/>
  <c r="H74" i="7944"/>
  <c r="Q73" i="7944"/>
  <c r="P73" i="7944"/>
  <c r="O73" i="7944"/>
  <c r="N73" i="7944"/>
  <c r="M73" i="7944"/>
  <c r="L73" i="7944"/>
  <c r="K73" i="7944"/>
  <c r="J73" i="7944"/>
  <c r="I73" i="7944"/>
  <c r="H73" i="7944"/>
  <c r="Q72" i="7944"/>
  <c r="P72" i="7944"/>
  <c r="O72" i="7944"/>
  <c r="N72" i="7944"/>
  <c r="M72" i="7944"/>
  <c r="L72" i="7944"/>
  <c r="K72" i="7944"/>
  <c r="J72" i="7944"/>
  <c r="I72" i="7944"/>
  <c r="H72" i="7944"/>
  <c r="Q71" i="7944"/>
  <c r="P71" i="7944"/>
  <c r="O71" i="7944"/>
  <c r="N71" i="7944"/>
  <c r="M71" i="7944"/>
  <c r="L71" i="7944"/>
  <c r="K71" i="7944"/>
  <c r="J71" i="7944"/>
  <c r="I71" i="7944"/>
  <c r="H71" i="7944"/>
  <c r="Q70" i="7944"/>
  <c r="P70" i="7944"/>
  <c r="O70" i="7944"/>
  <c r="N70" i="7944"/>
  <c r="M70" i="7944"/>
  <c r="L70" i="7944"/>
  <c r="K70" i="7944"/>
  <c r="J70" i="7944"/>
  <c r="I70" i="7944"/>
  <c r="H70" i="7944"/>
  <c r="Q69" i="7944"/>
  <c r="P69" i="7944"/>
  <c r="O69" i="7944"/>
  <c r="N69" i="7944"/>
  <c r="M69" i="7944"/>
  <c r="L69" i="7944"/>
  <c r="K69" i="7944"/>
  <c r="J69" i="7944"/>
  <c r="I69" i="7944"/>
  <c r="H69" i="7944"/>
  <c r="Q68" i="7944"/>
  <c r="P68" i="7944"/>
  <c r="O68" i="7944"/>
  <c r="N68" i="7944"/>
  <c r="M68" i="7944"/>
  <c r="L68" i="7944"/>
  <c r="K68" i="7944"/>
  <c r="J68" i="7944"/>
  <c r="I68" i="7944"/>
  <c r="H68" i="7944"/>
  <c r="Q67" i="7944"/>
  <c r="P67" i="7944"/>
  <c r="O67" i="7944"/>
  <c r="N67" i="7944"/>
  <c r="M67" i="7944"/>
  <c r="L67" i="7944"/>
  <c r="K67" i="7944"/>
  <c r="J67" i="7944"/>
  <c r="I67" i="7944"/>
  <c r="H67" i="7944"/>
  <c r="Q66" i="7944"/>
  <c r="P66" i="7944"/>
  <c r="O66" i="7944"/>
  <c r="N66" i="7944"/>
  <c r="Q65" i="7944"/>
  <c r="P65" i="7944"/>
  <c r="O65" i="7944"/>
  <c r="N65" i="7944"/>
  <c r="Q64" i="7944"/>
  <c r="P64" i="7944"/>
  <c r="O64" i="7944"/>
  <c r="N64" i="7944"/>
  <c r="Q63" i="7944"/>
  <c r="P63" i="7944"/>
  <c r="O63" i="7944"/>
  <c r="N63" i="7944"/>
  <c r="Q62" i="7944"/>
  <c r="P62" i="7944"/>
  <c r="O62" i="7944"/>
  <c r="N62" i="7944"/>
  <c r="Q61" i="7944"/>
  <c r="P61" i="7944"/>
  <c r="O61" i="7944"/>
  <c r="N61" i="7944"/>
  <c r="Q60" i="7944"/>
  <c r="P60" i="7944"/>
  <c r="O60" i="7944"/>
  <c r="N60" i="7944"/>
  <c r="E221"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524" i="1" l="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C428" i="7942" l="1"/>
  <c r="C427" i="7942"/>
  <c r="C426" i="7942"/>
  <c r="C425" i="7942"/>
  <c r="C424" i="7942"/>
  <c r="C423" i="7942"/>
  <c r="C422" i="7942"/>
  <c r="C421" i="7942"/>
  <c r="C420" i="7942"/>
  <c r="C419" i="7942"/>
  <c r="C418" i="7942"/>
  <c r="C417" i="7942"/>
  <c r="C416" i="7942"/>
  <c r="C415" i="7942"/>
  <c r="C414" i="7942"/>
  <c r="C413" i="7942"/>
  <c r="C412" i="7942"/>
  <c r="C411" i="7942"/>
  <c r="C410" i="7942"/>
  <c r="C409" i="7942"/>
  <c r="C408" i="7942"/>
  <c r="C407" i="7942"/>
  <c r="C406" i="7942"/>
  <c r="C405" i="7942"/>
  <c r="C404" i="7942"/>
  <c r="C403" i="7942"/>
  <c r="C402" i="7942"/>
  <c r="C401" i="7942"/>
  <c r="C400" i="7942"/>
  <c r="C399" i="7942"/>
  <c r="C398" i="7942"/>
  <c r="C397" i="7942"/>
  <c r="C396" i="7942"/>
  <c r="C395" i="7942"/>
  <c r="C394" i="7942"/>
  <c r="C393" i="7942"/>
  <c r="C392" i="7942"/>
  <c r="C391" i="7942"/>
  <c r="C390" i="7942"/>
  <c r="C389" i="7942"/>
  <c r="C388" i="7942"/>
  <c r="C387" i="7942"/>
  <c r="C386" i="7942"/>
  <c r="C385" i="7942"/>
  <c r="C384" i="7942"/>
  <c r="C383" i="7942"/>
  <c r="C382" i="7942"/>
  <c r="C381" i="7942"/>
  <c r="C380" i="7942"/>
  <c r="C379" i="7942"/>
  <c r="C376" i="7942" l="1"/>
  <c r="C375" i="7942"/>
  <c r="C374" i="7942"/>
  <c r="C373" i="7942"/>
  <c r="C372" i="7942"/>
  <c r="C371" i="7942"/>
  <c r="C370" i="7942"/>
  <c r="C369" i="7942"/>
  <c r="C368" i="7942"/>
  <c r="C367" i="7942"/>
  <c r="C366" i="7942"/>
  <c r="C365" i="7942"/>
  <c r="C364" i="7942"/>
  <c r="C363" i="7942"/>
  <c r="C362" i="7942"/>
  <c r="C361" i="7942"/>
  <c r="C360" i="7942"/>
  <c r="C359" i="7942"/>
  <c r="C358" i="7942"/>
  <c r="C357" i="7942"/>
  <c r="C356" i="7942"/>
  <c r="C355" i="7942"/>
  <c r="C354" i="7942"/>
  <c r="C353" i="7942"/>
  <c r="C352" i="7942"/>
  <c r="C351" i="7942"/>
  <c r="C350" i="7942"/>
  <c r="C349" i="7942"/>
  <c r="C348" i="7942"/>
  <c r="C347" i="7942"/>
  <c r="C346" i="7942"/>
  <c r="C345" i="7942"/>
  <c r="C344" i="7942"/>
  <c r="C343" i="7942"/>
  <c r="C342" i="7942"/>
  <c r="C341" i="7942"/>
  <c r="C340" i="7942"/>
  <c r="C339" i="7942"/>
  <c r="C338" i="7942"/>
  <c r="C337" i="7942"/>
  <c r="C336" i="7942"/>
  <c r="C335" i="7942"/>
  <c r="C334" i="7942"/>
  <c r="C333" i="7942"/>
  <c r="C332" i="7942"/>
  <c r="C331" i="7942"/>
  <c r="C330" i="7942"/>
  <c r="C329" i="7942"/>
  <c r="C328" i="7942"/>
  <c r="C327" i="7942"/>
  <c r="K525" i="1" l="1"/>
  <c r="D579" i="7941" l="1"/>
  <c r="D578" i="7941"/>
  <c r="D577" i="7941"/>
  <c r="D576" i="7941"/>
  <c r="D575" i="7941"/>
  <c r="D574" i="7941"/>
  <c r="D573" i="7941"/>
  <c r="D572" i="7941"/>
  <c r="D571" i="7941"/>
  <c r="D570" i="7941"/>
  <c r="D569" i="7941"/>
  <c r="D568" i="7941"/>
  <c r="D567" i="7941"/>
  <c r="D566" i="7941"/>
  <c r="D565" i="7941"/>
  <c r="D564" i="7941"/>
  <c r="D563" i="7941"/>
  <c r="D562" i="7941"/>
  <c r="D561" i="7941"/>
  <c r="D560" i="7941"/>
  <c r="D559" i="7941"/>
  <c r="D558" i="7941"/>
  <c r="D557" i="7941"/>
  <c r="D556" i="7941"/>
  <c r="D555" i="7941"/>
  <c r="D554" i="7941"/>
  <c r="D553" i="7941"/>
  <c r="D552" i="7941"/>
  <c r="D551" i="7941"/>
  <c r="D550" i="7941"/>
  <c r="D549" i="7941"/>
  <c r="D548" i="7941"/>
  <c r="D547" i="7941"/>
  <c r="D546" i="7941"/>
  <c r="D545" i="7941"/>
  <c r="D544" i="7941"/>
  <c r="D543" i="7941"/>
  <c r="D542" i="7941"/>
  <c r="D541" i="7941"/>
  <c r="D540" i="7941"/>
  <c r="D539" i="7941"/>
  <c r="D538" i="7941"/>
  <c r="D537" i="7941"/>
  <c r="D536" i="7941"/>
  <c r="D535" i="7941"/>
  <c r="D534" i="7941"/>
  <c r="D533" i="7941"/>
  <c r="D532" i="7941"/>
  <c r="D531" i="7941"/>
  <c r="D530" i="7941"/>
  <c r="D527" i="7941"/>
  <c r="D526" i="7941"/>
  <c r="D525" i="7941"/>
  <c r="D524" i="7941"/>
  <c r="D523" i="7941"/>
  <c r="D522" i="7941"/>
  <c r="D521" i="7941"/>
  <c r="D520" i="7941"/>
  <c r="D519" i="7941"/>
  <c r="D518" i="7941"/>
  <c r="D517" i="7941"/>
  <c r="D516" i="7941"/>
  <c r="D515" i="7941"/>
  <c r="D514" i="7941"/>
  <c r="D513" i="7941"/>
  <c r="D512" i="7941"/>
  <c r="D511" i="7941"/>
  <c r="D510" i="7941"/>
  <c r="D509" i="7941"/>
  <c r="D508" i="7941"/>
  <c r="D507" i="7941"/>
  <c r="D506" i="7941"/>
  <c r="D505" i="7941"/>
  <c r="D504" i="7941"/>
  <c r="D503" i="7941"/>
  <c r="D502" i="7941"/>
  <c r="D501" i="7941"/>
  <c r="D500" i="7941"/>
  <c r="D499" i="7941"/>
  <c r="D498" i="7941"/>
  <c r="D497" i="7941"/>
  <c r="D496" i="7941"/>
  <c r="D495" i="7941"/>
  <c r="D494" i="7941"/>
  <c r="D493" i="7941"/>
  <c r="D492" i="7941"/>
  <c r="D491" i="7941"/>
  <c r="D490" i="7941"/>
  <c r="D489" i="7941"/>
  <c r="D488" i="7941"/>
  <c r="D487" i="7941"/>
  <c r="D486" i="7941"/>
  <c r="D485" i="7941"/>
  <c r="D484" i="7941"/>
  <c r="D483" i="7941"/>
  <c r="D482" i="7941"/>
  <c r="D481" i="7941"/>
  <c r="D480" i="7941"/>
  <c r="D479" i="7941"/>
  <c r="D478" i="7941"/>
  <c r="A433" i="7942" l="1"/>
  <c r="F6" i="7942"/>
  <c r="F288" i="1"/>
  <c r="F289" i="1" s="1"/>
  <c r="F8" i="7942" s="1"/>
  <c r="F324" i="7942" l="1"/>
  <c r="F320" i="7942"/>
  <c r="F316" i="7942"/>
  <c r="F312" i="7942"/>
  <c r="F308" i="7942"/>
  <c r="F304" i="7942"/>
  <c r="F300" i="7942"/>
  <c r="F296" i="7942"/>
  <c r="F292" i="7942"/>
  <c r="F288" i="7942"/>
  <c r="F284" i="7942"/>
  <c r="F280" i="7942"/>
  <c r="F276" i="7942"/>
  <c r="F279" i="7942"/>
  <c r="F323" i="7942"/>
  <c r="F319" i="7942"/>
  <c r="F315" i="7942"/>
  <c r="F311" i="7942"/>
  <c r="F307" i="7942"/>
  <c r="F303" i="7942"/>
  <c r="F299" i="7942"/>
  <c r="F295" i="7942"/>
  <c r="F291" i="7942"/>
  <c r="F287" i="7942"/>
  <c r="F283" i="7942"/>
  <c r="F322" i="7942"/>
  <c r="F318" i="7942"/>
  <c r="F314" i="7942"/>
  <c r="F310" i="7942"/>
  <c r="F306" i="7942"/>
  <c r="F302" i="7942"/>
  <c r="F298" i="7942"/>
  <c r="F294" i="7942"/>
  <c r="F290" i="7942"/>
  <c r="F286" i="7942"/>
  <c r="F282" i="7942"/>
  <c r="F278" i="7942"/>
  <c r="F321" i="7942"/>
  <c r="F317" i="7942"/>
  <c r="F313" i="7942"/>
  <c r="F309" i="7942"/>
  <c r="F305" i="7942"/>
  <c r="F301" i="7942"/>
  <c r="F297" i="7942"/>
  <c r="F293" i="7942"/>
  <c r="F289" i="7942"/>
  <c r="F285" i="7942"/>
  <c r="F281" i="7942"/>
  <c r="F277" i="7942"/>
  <c r="F275" i="7942"/>
  <c r="A435" i="7942"/>
  <c r="A437" i="7942" l="1"/>
  <c r="C529" i="7942"/>
  <c r="C527" i="7942"/>
  <c r="C525" i="7942"/>
  <c r="C523" i="7942"/>
  <c r="C521" i="7942"/>
  <c r="C519" i="7942"/>
  <c r="C517" i="7942"/>
  <c r="C515" i="7942"/>
  <c r="C513" i="7942"/>
  <c r="C511" i="7942"/>
  <c r="C509" i="7942"/>
  <c r="C507" i="7942"/>
  <c r="C505" i="7942"/>
  <c r="C503" i="7942"/>
  <c r="C501" i="7942"/>
  <c r="C499" i="7942"/>
  <c r="C497" i="7942"/>
  <c r="C495" i="7942"/>
  <c r="C493" i="7942"/>
  <c r="C491" i="7942"/>
  <c r="C489" i="7942"/>
  <c r="C487" i="7942"/>
  <c r="C485" i="7942"/>
  <c r="C483" i="7942"/>
  <c r="C481" i="7942"/>
  <c r="C479" i="7942"/>
  <c r="C477" i="7942"/>
  <c r="C475" i="7942"/>
  <c r="C473" i="7942"/>
  <c r="C471" i="7942"/>
  <c r="C469" i="7942"/>
  <c r="C467" i="7942"/>
  <c r="C465" i="7942"/>
  <c r="C463" i="7942"/>
  <c r="C461" i="7942"/>
  <c r="C459" i="7942"/>
  <c r="C457" i="7942"/>
  <c r="C455" i="7942"/>
  <c r="C453" i="7942"/>
  <c r="C451" i="7942"/>
  <c r="C449" i="7942"/>
  <c r="C447" i="7942"/>
  <c r="C445" i="7942"/>
  <c r="C443" i="7942"/>
  <c r="C441" i="7942"/>
  <c r="C439" i="7942"/>
  <c r="C437" i="7942"/>
  <c r="C435" i="7942"/>
  <c r="C433" i="7942"/>
  <c r="C431" i="7942"/>
  <c r="C324" i="7942"/>
  <c r="C323" i="7942"/>
  <c r="C322" i="7942"/>
  <c r="C321" i="7942"/>
  <c r="C320" i="7942"/>
  <c r="C319" i="7942"/>
  <c r="C318" i="7942"/>
  <c r="C317" i="7942"/>
  <c r="C316" i="7942"/>
  <c r="C315" i="7942"/>
  <c r="C314" i="7942"/>
  <c r="C313" i="7942"/>
  <c r="C312" i="7942"/>
  <c r="C311" i="7942"/>
  <c r="C310" i="7942"/>
  <c r="C309" i="7942"/>
  <c r="C308" i="7942"/>
  <c r="C307" i="7942"/>
  <c r="C306" i="7942"/>
  <c r="C305" i="7942"/>
  <c r="C304" i="7942"/>
  <c r="C303" i="7942"/>
  <c r="C302" i="7942"/>
  <c r="C301" i="7942"/>
  <c r="C300" i="7942"/>
  <c r="C299" i="7942"/>
  <c r="C298" i="7942"/>
  <c r="C297" i="7942"/>
  <c r="C296" i="7942"/>
  <c r="C295" i="7942"/>
  <c r="C294" i="7942"/>
  <c r="C293" i="7942"/>
  <c r="C292" i="7942"/>
  <c r="C291" i="7942"/>
  <c r="C290" i="7942"/>
  <c r="C289" i="7942"/>
  <c r="C288" i="7942"/>
  <c r="C287" i="7942"/>
  <c r="C286" i="7942"/>
  <c r="C285" i="7942"/>
  <c r="C284" i="7942"/>
  <c r="C283" i="7942"/>
  <c r="C282" i="7942"/>
  <c r="C281" i="7942"/>
  <c r="C280" i="7942"/>
  <c r="C279" i="7942"/>
  <c r="C278" i="7942"/>
  <c r="C277" i="7942"/>
  <c r="C276" i="7942"/>
  <c r="C275" i="7942"/>
  <c r="A439" i="7942" l="1"/>
  <c r="F283" i="1"/>
  <c r="F7" i="7942" s="1"/>
  <c r="A441" i="7942" l="1"/>
  <c r="Q408" i="1"/>
  <c r="P408" i="1"/>
  <c r="O408" i="1"/>
  <c r="N408" i="1"/>
  <c r="M408" i="1"/>
  <c r="L408" i="1"/>
  <c r="K408" i="1"/>
  <c r="J408" i="1"/>
  <c r="I408" i="1"/>
  <c r="H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H283" i="1"/>
  <c r="B9" i="7949"/>
  <c r="G278" i="1"/>
  <c r="R409" i="1" l="1"/>
  <c r="H272" i="1"/>
  <c r="H269" i="1"/>
  <c r="H265" i="1"/>
  <c r="H270" i="1"/>
  <c r="H266" i="1"/>
  <c r="H262" i="1"/>
  <c r="H271" i="1"/>
  <c r="H267" i="1"/>
  <c r="H263" i="1"/>
  <c r="H260" i="1"/>
  <c r="H256" i="1"/>
  <c r="H252" i="1"/>
  <c r="H248" i="1"/>
  <c r="H244" i="1"/>
  <c r="H240" i="1"/>
  <c r="H261" i="1"/>
  <c r="H257" i="1"/>
  <c r="H253" i="1"/>
  <c r="H249" i="1"/>
  <c r="H245" i="1"/>
  <c r="H241" i="1"/>
  <c r="H268" i="1"/>
  <c r="H264" i="1"/>
  <c r="H258" i="1"/>
  <c r="H254" i="1"/>
  <c r="H250" i="1"/>
  <c r="H246" i="1"/>
  <c r="H242" i="1"/>
  <c r="H259" i="1"/>
  <c r="H251" i="1"/>
  <c r="H243" i="1"/>
  <c r="H238" i="1"/>
  <c r="H234" i="1"/>
  <c r="H230" i="1"/>
  <c r="H237" i="1"/>
  <c r="H235" i="1"/>
  <c r="H231" i="1"/>
  <c r="H255" i="1"/>
  <c r="H247" i="1"/>
  <c r="H239" i="1"/>
  <c r="H236" i="1"/>
  <c r="H232" i="1"/>
  <c r="H233" i="1"/>
  <c r="A443" i="7942"/>
  <c r="I283" i="1"/>
  <c r="I270" i="1" l="1"/>
  <c r="I266" i="1"/>
  <c r="I262" i="1"/>
  <c r="I271" i="1"/>
  <c r="I267" i="1"/>
  <c r="I263" i="1"/>
  <c r="I272" i="1"/>
  <c r="I261" i="1"/>
  <c r="I257" i="1"/>
  <c r="I253" i="1"/>
  <c r="I249" i="1"/>
  <c r="I245" i="1"/>
  <c r="I241" i="1"/>
  <c r="I268" i="1"/>
  <c r="I264" i="1"/>
  <c r="I258" i="1"/>
  <c r="I254" i="1"/>
  <c r="I250" i="1"/>
  <c r="I246" i="1"/>
  <c r="I242" i="1"/>
  <c r="I259" i="1"/>
  <c r="I255" i="1"/>
  <c r="I251" i="1"/>
  <c r="I247" i="1"/>
  <c r="I243" i="1"/>
  <c r="I239" i="1"/>
  <c r="I260" i="1"/>
  <c r="I252" i="1"/>
  <c r="I244" i="1"/>
  <c r="I235" i="1"/>
  <c r="I231" i="1"/>
  <c r="I238" i="1"/>
  <c r="I230" i="1"/>
  <c r="I236" i="1"/>
  <c r="I232" i="1"/>
  <c r="I269" i="1"/>
  <c r="I256" i="1"/>
  <c r="I248" i="1"/>
  <c r="I240" i="1"/>
  <c r="I237" i="1"/>
  <c r="I233" i="1"/>
  <c r="I265" i="1"/>
  <c r="I234" i="1"/>
  <c r="A445" i="7942"/>
  <c r="J283" i="1"/>
  <c r="J271" i="1" l="1"/>
  <c r="J267" i="1"/>
  <c r="J263" i="1"/>
  <c r="J272" i="1"/>
  <c r="J268" i="1"/>
  <c r="J264" i="1"/>
  <c r="J258" i="1"/>
  <c r="J254" i="1"/>
  <c r="J250" i="1"/>
  <c r="J246" i="1"/>
  <c r="J242" i="1"/>
  <c r="J270" i="1"/>
  <c r="J266" i="1"/>
  <c r="J262" i="1"/>
  <c r="J259" i="1"/>
  <c r="J255" i="1"/>
  <c r="J251" i="1"/>
  <c r="J247" i="1"/>
  <c r="J243" i="1"/>
  <c r="J239" i="1"/>
  <c r="J269" i="1"/>
  <c r="J265" i="1"/>
  <c r="J260" i="1"/>
  <c r="J256" i="1"/>
  <c r="J252" i="1"/>
  <c r="J248" i="1"/>
  <c r="J244" i="1"/>
  <c r="J240" i="1"/>
  <c r="J261" i="1"/>
  <c r="J253" i="1"/>
  <c r="J245" i="1"/>
  <c r="J236" i="1"/>
  <c r="J232" i="1"/>
  <c r="J231" i="1"/>
  <c r="J237" i="1"/>
  <c r="J233" i="1"/>
  <c r="J235" i="1"/>
  <c r="J257" i="1"/>
  <c r="J249" i="1"/>
  <c r="J241" i="1"/>
  <c r="J238" i="1"/>
  <c r="J234" i="1"/>
  <c r="J230" i="1"/>
  <c r="A447" i="7942"/>
  <c r="K283" i="1"/>
  <c r="A1305" i="7950"/>
  <c r="K271" i="1" l="1"/>
  <c r="K272" i="1"/>
  <c r="K268" i="1"/>
  <c r="K264" i="1"/>
  <c r="K269" i="1"/>
  <c r="K265" i="1"/>
  <c r="K270" i="1"/>
  <c r="K266" i="1"/>
  <c r="K262" i="1"/>
  <c r="K259" i="1"/>
  <c r="K255" i="1"/>
  <c r="K251" i="1"/>
  <c r="K247" i="1"/>
  <c r="K243" i="1"/>
  <c r="K239" i="1"/>
  <c r="K260" i="1"/>
  <c r="K256" i="1"/>
  <c r="K252" i="1"/>
  <c r="K248" i="1"/>
  <c r="K244" i="1"/>
  <c r="K240" i="1"/>
  <c r="K261" i="1"/>
  <c r="K257" i="1"/>
  <c r="K253" i="1"/>
  <c r="K249" i="1"/>
  <c r="K245" i="1"/>
  <c r="K241" i="1"/>
  <c r="K237" i="1"/>
  <c r="K233" i="1"/>
  <c r="K250" i="1"/>
  <c r="K232" i="1"/>
  <c r="K254" i="1"/>
  <c r="K246" i="1"/>
  <c r="K238" i="1"/>
  <c r="K234" i="1"/>
  <c r="K230" i="1"/>
  <c r="K263" i="1"/>
  <c r="K242" i="1"/>
  <c r="K267" i="1"/>
  <c r="K235" i="1"/>
  <c r="K231" i="1"/>
  <c r="K258" i="1"/>
  <c r="K236" i="1"/>
  <c r="A449" i="7942"/>
  <c r="L283" i="1"/>
  <c r="L272" i="1" l="1"/>
  <c r="L269" i="1"/>
  <c r="L265" i="1"/>
  <c r="L261" i="1"/>
  <c r="L270" i="1"/>
  <c r="L266" i="1"/>
  <c r="L262" i="1"/>
  <c r="L268" i="1"/>
  <c r="L264" i="1"/>
  <c r="L260" i="1"/>
  <c r="L256" i="1"/>
  <c r="L252" i="1"/>
  <c r="L248" i="1"/>
  <c r="L244" i="1"/>
  <c r="L240" i="1"/>
  <c r="L257" i="1"/>
  <c r="L253" i="1"/>
  <c r="L249" i="1"/>
  <c r="L245" i="1"/>
  <c r="L241" i="1"/>
  <c r="L267" i="1"/>
  <c r="L263" i="1"/>
  <c r="L258" i="1"/>
  <c r="L254" i="1"/>
  <c r="L250" i="1"/>
  <c r="L246" i="1"/>
  <c r="L242" i="1"/>
  <c r="L238" i="1"/>
  <c r="L234" i="1"/>
  <c r="L230" i="1"/>
  <c r="L243" i="1"/>
  <c r="L233" i="1"/>
  <c r="L271" i="1"/>
  <c r="L255" i="1"/>
  <c r="L247" i="1"/>
  <c r="L239" i="1"/>
  <c r="L235" i="1"/>
  <c r="L231" i="1"/>
  <c r="L259" i="1"/>
  <c r="L236" i="1"/>
  <c r="L232" i="1"/>
  <c r="L251" i="1"/>
  <c r="L237" i="1"/>
  <c r="A451" i="7942"/>
  <c r="M283" i="1"/>
  <c r="N283" i="1" s="1"/>
  <c r="O283" i="1" s="1"/>
  <c r="P283" i="1" s="1"/>
  <c r="Q283" i="1" s="1"/>
  <c r="M270" i="1" l="1"/>
  <c r="M266" i="1"/>
  <c r="M262" i="1"/>
  <c r="M271" i="1"/>
  <c r="M267" i="1"/>
  <c r="M263" i="1"/>
  <c r="M257" i="1"/>
  <c r="M253" i="1"/>
  <c r="M249" i="1"/>
  <c r="M245" i="1"/>
  <c r="M241" i="1"/>
  <c r="M269" i="1"/>
  <c r="M265" i="1"/>
  <c r="M261" i="1"/>
  <c r="M258" i="1"/>
  <c r="M254" i="1"/>
  <c r="M250" i="1"/>
  <c r="M246" i="1"/>
  <c r="M242" i="1"/>
  <c r="M259" i="1"/>
  <c r="M255" i="1"/>
  <c r="M251" i="1"/>
  <c r="M247" i="1"/>
  <c r="M243" i="1"/>
  <c r="M239" i="1"/>
  <c r="M268" i="1"/>
  <c r="M235" i="1"/>
  <c r="M231" i="1"/>
  <c r="M272" i="1"/>
  <c r="M234" i="1"/>
  <c r="M264" i="1"/>
  <c r="M256" i="1"/>
  <c r="M248" i="1"/>
  <c r="M240" i="1"/>
  <c r="M236" i="1"/>
  <c r="M232" i="1"/>
  <c r="M252" i="1"/>
  <c r="M230" i="1"/>
  <c r="M237" i="1"/>
  <c r="M233" i="1"/>
  <c r="M260" i="1"/>
  <c r="M244" i="1"/>
  <c r="M238" i="1"/>
  <c r="A453" i="7942"/>
  <c r="N271" i="1" l="1"/>
  <c r="N267" i="1"/>
  <c r="N263" i="1"/>
  <c r="N272" i="1"/>
  <c r="N268" i="1"/>
  <c r="N264" i="1"/>
  <c r="N269" i="1"/>
  <c r="N265" i="1"/>
  <c r="N261" i="1"/>
  <c r="N258" i="1"/>
  <c r="N254" i="1"/>
  <c r="N250" i="1"/>
  <c r="N246" i="1"/>
  <c r="N242" i="1"/>
  <c r="N259" i="1"/>
  <c r="N255" i="1"/>
  <c r="N251" i="1"/>
  <c r="N247" i="1"/>
  <c r="N243" i="1"/>
  <c r="N239" i="1"/>
  <c r="N260" i="1"/>
  <c r="N256" i="1"/>
  <c r="N252" i="1"/>
  <c r="N248" i="1"/>
  <c r="N244" i="1"/>
  <c r="N240" i="1"/>
  <c r="N266" i="1"/>
  <c r="N236" i="1"/>
  <c r="N232" i="1"/>
  <c r="N228" i="1"/>
  <c r="N224" i="1"/>
  <c r="N253" i="1"/>
  <c r="N235" i="1"/>
  <c r="N227" i="1"/>
  <c r="N262" i="1"/>
  <c r="N257" i="1"/>
  <c r="N249" i="1"/>
  <c r="N241" i="1"/>
  <c r="N237" i="1"/>
  <c r="N233" i="1"/>
  <c r="N229" i="1"/>
  <c r="N225" i="1"/>
  <c r="N270" i="1"/>
  <c r="N245" i="1"/>
  <c r="N231" i="1"/>
  <c r="N223" i="1"/>
  <c r="N238" i="1"/>
  <c r="N234" i="1"/>
  <c r="N230" i="1"/>
  <c r="N226" i="1"/>
  <c r="A455" i="7942"/>
  <c r="O271" i="1" l="1"/>
  <c r="O272" i="1"/>
  <c r="O268" i="1"/>
  <c r="O264" i="1"/>
  <c r="O269" i="1"/>
  <c r="O265" i="1"/>
  <c r="O261" i="1"/>
  <c r="O259" i="1"/>
  <c r="O255" i="1"/>
  <c r="O251" i="1"/>
  <c r="O247" i="1"/>
  <c r="O243" i="1"/>
  <c r="O239" i="1"/>
  <c r="O267" i="1"/>
  <c r="O263" i="1"/>
  <c r="O260" i="1"/>
  <c r="O256" i="1"/>
  <c r="O252" i="1"/>
  <c r="O248" i="1"/>
  <c r="O244" i="1"/>
  <c r="O240" i="1"/>
  <c r="O270" i="1"/>
  <c r="O266" i="1"/>
  <c r="O262" i="1"/>
  <c r="O257" i="1"/>
  <c r="O253" i="1"/>
  <c r="O249" i="1"/>
  <c r="O245" i="1"/>
  <c r="O241" i="1"/>
  <c r="O254" i="1"/>
  <c r="O246" i="1"/>
  <c r="O237" i="1"/>
  <c r="O233" i="1"/>
  <c r="O229" i="1"/>
  <c r="O225" i="1"/>
  <c r="O238" i="1"/>
  <c r="O234" i="1"/>
  <c r="O230" i="1"/>
  <c r="O226" i="1"/>
  <c r="O236" i="1"/>
  <c r="O232" i="1"/>
  <c r="O224" i="1"/>
  <c r="O258" i="1"/>
  <c r="O250" i="1"/>
  <c r="O242" i="1"/>
  <c r="O235" i="1"/>
  <c r="O231" i="1"/>
  <c r="O227" i="1"/>
  <c r="O223" i="1"/>
  <c r="O228" i="1"/>
  <c r="N273" i="1"/>
  <c r="A457" i="7942"/>
  <c r="P272" i="1" l="1"/>
  <c r="P269" i="1"/>
  <c r="P265" i="1"/>
  <c r="P261" i="1"/>
  <c r="P270" i="1"/>
  <c r="P266" i="1"/>
  <c r="P262" i="1"/>
  <c r="P267" i="1"/>
  <c r="P263" i="1"/>
  <c r="P260" i="1"/>
  <c r="P256" i="1"/>
  <c r="P252" i="1"/>
  <c r="P248" i="1"/>
  <c r="P244" i="1"/>
  <c r="P240" i="1"/>
  <c r="P257" i="1"/>
  <c r="P253" i="1"/>
  <c r="P249" i="1"/>
  <c r="P245" i="1"/>
  <c r="P241" i="1"/>
  <c r="P271" i="1"/>
  <c r="P268" i="1"/>
  <c r="P264" i="1"/>
  <c r="P258" i="1"/>
  <c r="P254" i="1"/>
  <c r="P250" i="1"/>
  <c r="P246" i="1"/>
  <c r="P242" i="1"/>
  <c r="P255" i="1"/>
  <c r="P247" i="1"/>
  <c r="P239" i="1"/>
  <c r="P238" i="1"/>
  <c r="P234" i="1"/>
  <c r="P230" i="1"/>
  <c r="P226" i="1"/>
  <c r="P235" i="1"/>
  <c r="P231" i="1"/>
  <c r="P227" i="1"/>
  <c r="P223" i="1"/>
  <c r="P237" i="1"/>
  <c r="P233" i="1"/>
  <c r="P225" i="1"/>
  <c r="P259" i="1"/>
  <c r="P251" i="1"/>
  <c r="P243" i="1"/>
  <c r="P236" i="1"/>
  <c r="P232" i="1"/>
  <c r="P228" i="1"/>
  <c r="P224" i="1"/>
  <c r="P229" i="1"/>
  <c r="O273" i="1"/>
  <c r="A459" i="7942"/>
  <c r="Q270" i="1" l="1"/>
  <c r="Q266" i="1"/>
  <c r="Q262" i="1"/>
  <c r="Q271" i="1"/>
  <c r="Q267" i="1"/>
  <c r="Q263" i="1"/>
  <c r="Q257" i="1"/>
  <c r="Q253" i="1"/>
  <c r="Q249" i="1"/>
  <c r="Q245" i="1"/>
  <c r="Q241" i="1"/>
  <c r="Q268" i="1"/>
  <c r="Q264" i="1"/>
  <c r="Q258" i="1"/>
  <c r="Q254" i="1"/>
  <c r="Q250" i="1"/>
  <c r="Q246" i="1"/>
  <c r="Q242" i="1"/>
  <c r="Q238" i="1"/>
  <c r="Q272" i="1"/>
  <c r="Q259" i="1"/>
  <c r="Q255" i="1"/>
  <c r="Q251" i="1"/>
  <c r="Q247" i="1"/>
  <c r="Q243" i="1"/>
  <c r="Q239" i="1"/>
  <c r="Q256" i="1"/>
  <c r="Q248" i="1"/>
  <c r="Q240" i="1"/>
  <c r="Q235" i="1"/>
  <c r="Q231" i="1"/>
  <c r="Q227" i="1"/>
  <c r="Q223" i="1"/>
  <c r="Q261" i="1"/>
  <c r="Q269" i="1"/>
  <c r="Q236" i="1"/>
  <c r="Q232" i="1"/>
  <c r="Q228" i="1"/>
  <c r="Q224" i="1"/>
  <c r="Q226" i="1"/>
  <c r="Q265" i="1"/>
  <c r="Q260" i="1"/>
  <c r="Q252" i="1"/>
  <c r="Q244" i="1"/>
  <c r="Q237" i="1"/>
  <c r="Q233" i="1"/>
  <c r="Q229" i="1"/>
  <c r="Q225" i="1"/>
  <c r="Q234" i="1"/>
  <c r="Q230" i="1"/>
  <c r="P273" i="1"/>
  <c r="A461" i="7942"/>
  <c r="Q273" i="1" l="1"/>
  <c r="A463" i="7942"/>
  <c r="A465" i="7942" l="1"/>
  <c r="A68" i="7949"/>
  <c r="A467" i="7942" l="1"/>
  <c r="H6" i="7942"/>
  <c r="Q6" i="7942"/>
  <c r="A469" i="7942" l="1"/>
  <c r="B121" i="7949"/>
  <c r="B67" i="7949"/>
  <c r="B13" i="7949"/>
  <c r="N111" i="1"/>
  <c r="O111" i="1"/>
  <c r="P111" i="1"/>
  <c r="Q111" i="1"/>
  <c r="A471" i="7942" l="1"/>
  <c r="A473" i="7942" l="1"/>
  <c r="B2654" i="7950"/>
  <c r="B2600" i="7950"/>
  <c r="B2546" i="7950"/>
  <c r="B2492" i="7950"/>
  <c r="B2438" i="7950"/>
  <c r="B2384" i="7950"/>
  <c r="B2330" i="7950"/>
  <c r="B2276" i="7950"/>
  <c r="B2222" i="7950"/>
  <c r="B2168" i="7950"/>
  <c r="B2114" i="7950"/>
  <c r="B2060" i="7950"/>
  <c r="B2006" i="7950"/>
  <c r="B1952" i="7950"/>
  <c r="B1898" i="7950"/>
  <c r="B1844" i="7950"/>
  <c r="B1790" i="7950"/>
  <c r="B1736" i="7950"/>
  <c r="B1682" i="7950"/>
  <c r="B1628" i="7950"/>
  <c r="B116" i="7950"/>
  <c r="B62" i="7950"/>
  <c r="B2659" i="7949"/>
  <c r="B2605" i="7949"/>
  <c r="B2551" i="7949"/>
  <c r="B2497" i="7949"/>
  <c r="B2443" i="7949"/>
  <c r="B2389" i="7949"/>
  <c r="B2335" i="7949"/>
  <c r="B2281" i="7949"/>
  <c r="B2227" i="7949"/>
  <c r="B2173" i="7949"/>
  <c r="B2119" i="7949"/>
  <c r="B2065" i="7949"/>
  <c r="B2011" i="7949"/>
  <c r="B1957" i="7949"/>
  <c r="B1903" i="7949"/>
  <c r="B1849" i="7949"/>
  <c r="B1795" i="7949"/>
  <c r="B1741" i="7949"/>
  <c r="B1687" i="7949"/>
  <c r="B1633" i="7949"/>
  <c r="A475" i="7942" l="1"/>
  <c r="H462" i="1"/>
  <c r="A477" i="7942" l="1"/>
  <c r="A2655" i="7950"/>
  <c r="A2601" i="7950"/>
  <c r="A2547" i="7950"/>
  <c r="A2493" i="7950"/>
  <c r="A2439" i="7950"/>
  <c r="A2385" i="7950"/>
  <c r="A2331" i="7950"/>
  <c r="A2277" i="7950"/>
  <c r="A2223" i="7950"/>
  <c r="A2169" i="7950"/>
  <c r="A2115" i="7950"/>
  <c r="A2061" i="7950"/>
  <c r="A2007" i="7950"/>
  <c r="A1953" i="7950"/>
  <c r="A1899" i="7950"/>
  <c r="A1845" i="7950"/>
  <c r="A1791" i="7950"/>
  <c r="A1737" i="7950"/>
  <c r="A1683" i="7950"/>
  <c r="A1629" i="7950"/>
  <c r="A1575" i="7950"/>
  <c r="A1521" i="7950"/>
  <c r="A1467" i="7950"/>
  <c r="A1413" i="7950"/>
  <c r="A1359" i="7950"/>
  <c r="A1251" i="7950"/>
  <c r="A1197" i="7950"/>
  <c r="A1143" i="7950"/>
  <c r="A1089" i="7950"/>
  <c r="A1035" i="7950"/>
  <c r="A981" i="7950"/>
  <c r="A927" i="7950"/>
  <c r="A873" i="7950"/>
  <c r="A819" i="7950"/>
  <c r="A765" i="7950"/>
  <c r="A711" i="7950"/>
  <c r="A657" i="7950"/>
  <c r="A603" i="7950"/>
  <c r="A549" i="7950"/>
  <c r="A495" i="7950"/>
  <c r="A441" i="7950"/>
  <c r="A387" i="7950"/>
  <c r="A333" i="7950"/>
  <c r="A279" i="7950"/>
  <c r="A225" i="7950"/>
  <c r="A171" i="7950"/>
  <c r="A117" i="7950"/>
  <c r="A63" i="7950"/>
  <c r="A9" i="7950"/>
  <c r="B8" i="7950"/>
  <c r="A230" i="7949"/>
  <c r="A479" i="7942" l="1"/>
  <c r="B1525" i="7949"/>
  <c r="B1520" i="7950"/>
  <c r="B1574" i="7950"/>
  <c r="B1579" i="7949"/>
  <c r="B1471" i="7949"/>
  <c r="B1466" i="7950"/>
  <c r="A2660" i="7949"/>
  <c r="A2606" i="7949"/>
  <c r="A2552" i="7949"/>
  <c r="A2498" i="7949"/>
  <c r="A2444" i="7949"/>
  <c r="A2390" i="7949"/>
  <c r="A2336" i="7949"/>
  <c r="A2282" i="7949"/>
  <c r="A2228" i="7949"/>
  <c r="A2174" i="7949"/>
  <c r="A2120" i="7949"/>
  <c r="A2066" i="7949"/>
  <c r="A2012" i="7949"/>
  <c r="A1958" i="7949"/>
  <c r="A1904" i="7949"/>
  <c r="A1850" i="7949"/>
  <c r="A1796" i="7949"/>
  <c r="A1742" i="7949"/>
  <c r="A1688" i="7949"/>
  <c r="A1634" i="7949"/>
  <c r="A1580" i="7949"/>
  <c r="A1526" i="7949"/>
  <c r="A1472" i="7949"/>
  <c r="A1418" i="7949"/>
  <c r="A1364" i="7949"/>
  <c r="A1310" i="7949"/>
  <c r="A1256" i="7949"/>
  <c r="A1202" i="7949"/>
  <c r="A1148" i="7949"/>
  <c r="A1094" i="7949"/>
  <c r="A1040" i="7949"/>
  <c r="A986" i="7949"/>
  <c r="A932" i="7949"/>
  <c r="A878" i="7949"/>
  <c r="A824" i="7949"/>
  <c r="A770" i="7949"/>
  <c r="A716" i="7949"/>
  <c r="A662" i="7949"/>
  <c r="A608" i="7949"/>
  <c r="A554" i="7949"/>
  <c r="A500" i="7949"/>
  <c r="A446" i="7949"/>
  <c r="A392" i="7949"/>
  <c r="A338" i="7949"/>
  <c r="A284" i="7949"/>
  <c r="A122" i="7949"/>
  <c r="A14" i="7949"/>
  <c r="A481" i="7942" l="1"/>
  <c r="B170" i="7950"/>
  <c r="B175" i="7949"/>
  <c r="B1358" i="7950"/>
  <c r="B1363" i="7949"/>
  <c r="B1255" i="7949"/>
  <c r="B1250" i="7950"/>
  <c r="B1142" i="7950"/>
  <c r="B1147" i="7949"/>
  <c r="B1034" i="7950"/>
  <c r="B1039" i="7949"/>
  <c r="B931" i="7949"/>
  <c r="B926" i="7950"/>
  <c r="B818" i="7950"/>
  <c r="B823" i="7949"/>
  <c r="B715" i="7949"/>
  <c r="B710" i="7950"/>
  <c r="B602" i="7950"/>
  <c r="B607" i="7949"/>
  <c r="B499" i="7949"/>
  <c r="B494" i="7950"/>
  <c r="B386" i="7950"/>
  <c r="B391" i="7949"/>
  <c r="B283" i="7949"/>
  <c r="B278" i="7950"/>
  <c r="B1412" i="7950"/>
  <c r="B1417" i="7949"/>
  <c r="B1309" i="7949"/>
  <c r="B1304" i="7950"/>
  <c r="B1196" i="7950"/>
  <c r="B1201" i="7949"/>
  <c r="B1093" i="7949"/>
  <c r="B1088" i="7950"/>
  <c r="B980" i="7950"/>
  <c r="B985" i="7949"/>
  <c r="B877" i="7949"/>
  <c r="B872" i="7950"/>
  <c r="B769" i="7949"/>
  <c r="B764" i="7950"/>
  <c r="B656" i="7950"/>
  <c r="B661" i="7949"/>
  <c r="B553" i="7949"/>
  <c r="B548" i="7950"/>
  <c r="B440" i="7950"/>
  <c r="B445" i="7949"/>
  <c r="B337" i="7949"/>
  <c r="B332" i="7950"/>
  <c r="B224" i="7950"/>
  <c r="B229" i="7949"/>
  <c r="D6" i="7949"/>
  <c r="A483" i="7942" l="1"/>
  <c r="B2690" i="7949"/>
  <c r="B2666" i="7949"/>
  <c r="B2528" i="7949"/>
  <c r="B2504" i="7949"/>
  <c r="B2420" i="7949"/>
  <c r="B2396" i="7949"/>
  <c r="B2366" i="7949"/>
  <c r="B2342" i="7949"/>
  <c r="B2312" i="7949"/>
  <c r="B2288" i="7949"/>
  <c r="B2150" i="7949"/>
  <c r="B2126" i="7949"/>
  <c r="B2096" i="7949"/>
  <c r="B2072" i="7949"/>
  <c r="B2636" i="7949"/>
  <c r="B2612" i="7949"/>
  <c r="B2582" i="7949"/>
  <c r="B2558" i="7949"/>
  <c r="B2474" i="7949"/>
  <c r="B2450" i="7949"/>
  <c r="B2258" i="7949"/>
  <c r="B2234" i="7949"/>
  <c r="B2204" i="7949"/>
  <c r="B2180" i="7949"/>
  <c r="B1988" i="7949"/>
  <c r="B1964" i="7949"/>
  <c r="B1880" i="7949"/>
  <c r="B1856" i="7949"/>
  <c r="B1826" i="7949"/>
  <c r="B1802" i="7949"/>
  <c r="B1772" i="7949"/>
  <c r="B1748" i="7949"/>
  <c r="B1556" i="7949"/>
  <c r="B1532" i="7949"/>
  <c r="B1502" i="7949"/>
  <c r="B1478" i="7949"/>
  <c r="B1448" i="7949"/>
  <c r="B1424" i="7949"/>
  <c r="B2042" i="7949"/>
  <c r="B2018" i="7949"/>
  <c r="B1934" i="7949"/>
  <c r="B1910" i="7949"/>
  <c r="B1718" i="7949"/>
  <c r="B1694" i="7949"/>
  <c r="B1664" i="7949"/>
  <c r="B1640" i="7949"/>
  <c r="B1610" i="7949"/>
  <c r="B1586" i="7949"/>
  <c r="B1340" i="7949"/>
  <c r="B1316" i="7949"/>
  <c r="B1286" i="7949"/>
  <c r="B1262" i="7949"/>
  <c r="B1232" i="7949"/>
  <c r="B1208" i="7949"/>
  <c r="B1178" i="7949"/>
  <c r="B1154" i="7949"/>
  <c r="B1100" i="7949"/>
  <c r="B1070" i="7949"/>
  <c r="B1046" i="7949"/>
  <c r="B992" i="7949"/>
  <c r="B938" i="7949"/>
  <c r="B638" i="7949"/>
  <c r="B614" i="7949"/>
  <c r="B530" i="7949"/>
  <c r="B506" i="7949"/>
  <c r="B476" i="7949"/>
  <c r="B452" i="7949"/>
  <c r="B422" i="7949"/>
  <c r="B398" i="7949"/>
  <c r="B368" i="7949"/>
  <c r="B344" i="7949"/>
  <c r="B260" i="7949"/>
  <c r="B236" i="7949"/>
  <c r="B1394" i="7949"/>
  <c r="B1370" i="7949"/>
  <c r="B1124" i="7949"/>
  <c r="B1016" i="7949"/>
  <c r="B962" i="7949"/>
  <c r="B908" i="7949"/>
  <c r="B884" i="7949"/>
  <c r="B854" i="7949"/>
  <c r="B830" i="7949"/>
  <c r="B800" i="7949"/>
  <c r="B776" i="7949"/>
  <c r="B746" i="7949"/>
  <c r="B722" i="7949"/>
  <c r="B692" i="7949"/>
  <c r="B668" i="7949"/>
  <c r="B584" i="7949"/>
  <c r="B560" i="7949"/>
  <c r="B314" i="7949"/>
  <c r="B290" i="7949"/>
  <c r="B206" i="7949"/>
  <c r="B182" i="7949"/>
  <c r="B152" i="7949"/>
  <c r="B128" i="7949"/>
  <c r="D6" i="7950"/>
  <c r="B74" i="7949"/>
  <c r="B98" i="7949"/>
  <c r="E6" i="7949"/>
  <c r="B44" i="7949"/>
  <c r="B20" i="7949"/>
  <c r="B2685" i="7950" l="1"/>
  <c r="A485" i="7942"/>
  <c r="B15" i="7950"/>
  <c r="B2091" i="7950"/>
  <c r="B1203" i="7950"/>
  <c r="B123" i="7950"/>
  <c r="B525" i="7950"/>
  <c r="B1311" i="7950"/>
  <c r="B2175" i="7950"/>
  <c r="B849" i="7950"/>
  <c r="B339" i="7950"/>
  <c r="B903" i="7950"/>
  <c r="B1551" i="7950"/>
  <c r="B2013" i="7950"/>
  <c r="B417" i="7950"/>
  <c r="B633" i="7950"/>
  <c r="B1473" i="7950"/>
  <c r="B2661" i="7950"/>
  <c r="B717" i="7950"/>
  <c r="B1659" i="7950"/>
  <c r="B1095" i="7950"/>
  <c r="B1365" i="7950"/>
  <c r="B1767" i="7950"/>
  <c r="B1797" i="7950"/>
  <c r="B2361" i="7950"/>
  <c r="B69" i="7950"/>
  <c r="B201" i="7950"/>
  <c r="B231" i="7950"/>
  <c r="B471" i="7950"/>
  <c r="B579" i="7950"/>
  <c r="B771" i="7950"/>
  <c r="B933" i="7950"/>
  <c r="B1821" i="7950"/>
  <c r="B2253" i="7950"/>
  <c r="B285" i="7950"/>
  <c r="B663" i="7950"/>
  <c r="B957" i="7950"/>
  <c r="B1497" i="7950"/>
  <c r="B1905" i="7950"/>
  <c r="B1011" i="7950"/>
  <c r="B1149" i="7950"/>
  <c r="B1257" i="7950"/>
  <c r="B1443" i="7950"/>
  <c r="B1689" i="7950"/>
  <c r="B2067" i="7950"/>
  <c r="B2415" i="7950"/>
  <c r="B1875" i="7950"/>
  <c r="B2283" i="7950"/>
  <c r="B2631" i="7950"/>
  <c r="B2691" i="7949"/>
  <c r="B2613" i="7949"/>
  <c r="B2559" i="7949"/>
  <c r="B2529" i="7949"/>
  <c r="B2451" i="7949"/>
  <c r="B2421" i="7949"/>
  <c r="B2367" i="7949"/>
  <c r="B2313" i="7949"/>
  <c r="B2235" i="7949"/>
  <c r="B2181" i="7949"/>
  <c r="B2151" i="7949"/>
  <c r="B2097" i="7949"/>
  <c r="B2667" i="7949"/>
  <c r="B2637" i="7949"/>
  <c r="B2583" i="7949"/>
  <c r="B2505" i="7949"/>
  <c r="B2475" i="7949"/>
  <c r="B2397" i="7949"/>
  <c r="B2343" i="7949"/>
  <c r="B2289" i="7949"/>
  <c r="B2259" i="7949"/>
  <c r="B2205" i="7949"/>
  <c r="B2127" i="7949"/>
  <c r="B2073" i="7949"/>
  <c r="B2019" i="7949"/>
  <c r="B1989" i="7949"/>
  <c r="B1911" i="7949"/>
  <c r="B1881" i="7949"/>
  <c r="B1827" i="7949"/>
  <c r="B1773" i="7949"/>
  <c r="B1695" i="7949"/>
  <c r="B1641" i="7949"/>
  <c r="B1587" i="7949"/>
  <c r="B1557" i="7949"/>
  <c r="B1503" i="7949"/>
  <c r="B1449" i="7949"/>
  <c r="B2043" i="7949"/>
  <c r="B1965" i="7949"/>
  <c r="B1935" i="7949"/>
  <c r="B1857" i="7949"/>
  <c r="B1803" i="7949"/>
  <c r="B1749" i="7949"/>
  <c r="B1719" i="7949"/>
  <c r="B1665" i="7949"/>
  <c r="B1611" i="7949"/>
  <c r="B1533" i="7949"/>
  <c r="B1425" i="7949"/>
  <c r="B1371" i="7949"/>
  <c r="B1341" i="7949"/>
  <c r="B1287" i="7949"/>
  <c r="B1233" i="7949"/>
  <c r="B1179" i="7949"/>
  <c r="B1071" i="7949"/>
  <c r="B885" i="7949"/>
  <c r="B831" i="7949"/>
  <c r="B777" i="7949"/>
  <c r="B723" i="7949"/>
  <c r="B669" i="7949"/>
  <c r="B639" i="7949"/>
  <c r="B561" i="7949"/>
  <c r="B531" i="7949"/>
  <c r="B477" i="7949"/>
  <c r="B423" i="7949"/>
  <c r="B369" i="7949"/>
  <c r="B291" i="7949"/>
  <c r="B261" i="7949"/>
  <c r="B1479" i="7949"/>
  <c r="B1395" i="7949"/>
  <c r="B1317" i="7949"/>
  <c r="B1263" i="7949"/>
  <c r="B1209" i="7949"/>
  <c r="B1155" i="7949"/>
  <c r="B1125" i="7949"/>
  <c r="B1101" i="7949"/>
  <c r="B1047" i="7949"/>
  <c r="B1017" i="7949"/>
  <c r="B993" i="7949"/>
  <c r="B963" i="7949"/>
  <c r="B939" i="7949"/>
  <c r="B909" i="7949"/>
  <c r="B855" i="7949"/>
  <c r="B801" i="7949"/>
  <c r="B747" i="7949"/>
  <c r="B693" i="7949"/>
  <c r="B615" i="7949"/>
  <c r="B585" i="7949"/>
  <c r="B507" i="7949"/>
  <c r="B453" i="7949"/>
  <c r="B399" i="7949"/>
  <c r="B345" i="7949"/>
  <c r="B207" i="7949"/>
  <c r="B183" i="7949"/>
  <c r="B129" i="7949"/>
  <c r="B315" i="7949"/>
  <c r="B237" i="7949"/>
  <c r="B153" i="7949"/>
  <c r="B39" i="7950"/>
  <c r="B93" i="7950"/>
  <c r="B147" i="7950"/>
  <c r="B177" i="7950"/>
  <c r="B393" i="7950"/>
  <c r="B447" i="7950"/>
  <c r="B501" i="7950"/>
  <c r="B555" i="7950"/>
  <c r="B609" i="7950"/>
  <c r="B741" i="7950"/>
  <c r="B825" i="7950"/>
  <c r="B879" i="7950"/>
  <c r="B1335" i="7950"/>
  <c r="B1635" i="7950"/>
  <c r="B1959" i="7950"/>
  <c r="B2199" i="7950"/>
  <c r="B2307" i="7950"/>
  <c r="B255" i="7950"/>
  <c r="B309" i="7950"/>
  <c r="B363" i="7950"/>
  <c r="B687" i="7950"/>
  <c r="B795" i="7950"/>
  <c r="B1041" i="7950"/>
  <c r="B1419" i="7950"/>
  <c r="B1581" i="7950"/>
  <c r="B1743" i="7950"/>
  <c r="B2121" i="7950"/>
  <c r="B987" i="7950"/>
  <c r="B1065" i="7950"/>
  <c r="B1119" i="7950"/>
  <c r="B1173" i="7950"/>
  <c r="B1227" i="7950"/>
  <c r="B1281" i="7950"/>
  <c r="B1389" i="7950"/>
  <c r="B1527" i="7950"/>
  <c r="B1605" i="7950"/>
  <c r="B1713" i="7950"/>
  <c r="B1929" i="7950"/>
  <c r="B2145" i="7950"/>
  <c r="B2229" i="7950"/>
  <c r="B2499" i="7950"/>
  <c r="B1851" i="7950"/>
  <c r="B1983" i="7950"/>
  <c r="B2037" i="7950"/>
  <c r="B2445" i="7950"/>
  <c r="B2523" i="7950"/>
  <c r="B2607" i="7950"/>
  <c r="B2391" i="7950"/>
  <c r="B2337" i="7950"/>
  <c r="B2469" i="7950"/>
  <c r="B2577" i="7950"/>
  <c r="B2553" i="7950"/>
  <c r="E6" i="7950"/>
  <c r="B99" i="7949"/>
  <c r="B75" i="7949"/>
  <c r="F6" i="7949"/>
  <c r="B21" i="7949"/>
  <c r="B45" i="7949"/>
  <c r="B2662" i="7950" l="1"/>
  <c r="A487" i="7942"/>
  <c r="B148" i="7950"/>
  <c r="B70" i="7950"/>
  <c r="B178" i="7950"/>
  <c r="B472" i="7950"/>
  <c r="B94" i="7950"/>
  <c r="B202" i="7950"/>
  <c r="B1690" i="7950"/>
  <c r="B16" i="7950"/>
  <c r="B124" i="7950"/>
  <c r="B742" i="7950"/>
  <c r="B1042" i="7950"/>
  <c r="B256" i="7950"/>
  <c r="B1660" i="7950"/>
  <c r="B988" i="7950"/>
  <c r="B2176" i="7950"/>
  <c r="B1852" i="7950"/>
  <c r="B1150" i="7950"/>
  <c r="B364" i="7950"/>
  <c r="B1204" i="7950"/>
  <c r="B232" i="7950"/>
  <c r="B580" i="7950"/>
  <c r="B1366" i="7950"/>
  <c r="B1876" i="7950"/>
  <c r="B850" i="7950"/>
  <c r="B1474" i="7950"/>
  <c r="B1822" i="7950"/>
  <c r="B2308" i="7950"/>
  <c r="B2068" i="7950"/>
  <c r="B2470" i="7950"/>
  <c r="B2500" i="7950"/>
  <c r="B310" i="7950"/>
  <c r="B688" i="7950"/>
  <c r="B1096" i="7950"/>
  <c r="B1528" i="7950"/>
  <c r="B2038" i="7950"/>
  <c r="B418" i="7950"/>
  <c r="B526" i="7950"/>
  <c r="B634" i="7950"/>
  <c r="B1258" i="7950"/>
  <c r="B1444" i="7950"/>
  <c r="B1768" i="7950"/>
  <c r="B2338" i="7950"/>
  <c r="B796" i="7950"/>
  <c r="B934" i="7950"/>
  <c r="B1336" i="7950"/>
  <c r="B1582" i="7950"/>
  <c r="B2362" i="7950"/>
  <c r="B1930" i="7950"/>
  <c r="B2122" i="7950"/>
  <c r="B2230" i="7950"/>
  <c r="B2608" i="7950"/>
  <c r="B2416" i="7950"/>
  <c r="B40" i="7950"/>
  <c r="B286" i="7950"/>
  <c r="B340" i="7950"/>
  <c r="B664" i="7950"/>
  <c r="B904" i="7950"/>
  <c r="B1012" i="7950"/>
  <c r="B1120" i="7950"/>
  <c r="B1228" i="7950"/>
  <c r="B1552" i="7950"/>
  <c r="B1984" i="7950"/>
  <c r="B2524" i="7950"/>
  <c r="B394" i="7950"/>
  <c r="B448" i="7950"/>
  <c r="B502" i="7950"/>
  <c r="B556" i="7950"/>
  <c r="B610" i="7950"/>
  <c r="B1066" i="7950"/>
  <c r="B1174" i="7950"/>
  <c r="B1282" i="7950"/>
  <c r="B1390" i="7950"/>
  <c r="B1606" i="7950"/>
  <c r="B1714" i="7950"/>
  <c r="B1798" i="7950"/>
  <c r="B2014" i="7950"/>
  <c r="B718" i="7950"/>
  <c r="B772" i="7950"/>
  <c r="B826" i="7950"/>
  <c r="B880" i="7950"/>
  <c r="B958" i="7950"/>
  <c r="B1312" i="7950"/>
  <c r="B1420" i="7950"/>
  <c r="B1498" i="7950"/>
  <c r="B1636" i="7950"/>
  <c r="B1744" i="7950"/>
  <c r="B2632" i="7950"/>
  <c r="B1906" i="7950"/>
  <c r="B1960" i="7950"/>
  <c r="B2092" i="7950"/>
  <c r="B2146" i="7950"/>
  <c r="B2200" i="7950"/>
  <c r="B2254" i="7950"/>
  <c r="B2554" i="7950"/>
  <c r="B2284" i="7950"/>
  <c r="B2392" i="7950"/>
  <c r="B2446" i="7950"/>
  <c r="B2578" i="7950"/>
  <c r="B2686" i="7950"/>
  <c r="B2692" i="7949"/>
  <c r="B2668" i="7949"/>
  <c r="B2530" i="7949"/>
  <c r="B2506" i="7949"/>
  <c r="B2422" i="7949"/>
  <c r="B2398" i="7949"/>
  <c r="B2368" i="7949"/>
  <c r="B2344" i="7949"/>
  <c r="B2314" i="7949"/>
  <c r="B2290" i="7949"/>
  <c r="B2152" i="7949"/>
  <c r="B2128" i="7949"/>
  <c r="B2098" i="7949"/>
  <c r="B2074" i="7949"/>
  <c r="B2638" i="7949"/>
  <c r="B2614" i="7949"/>
  <c r="B2584" i="7949"/>
  <c r="B2560" i="7949"/>
  <c r="B2476" i="7949"/>
  <c r="B2452" i="7949"/>
  <c r="B2260" i="7949"/>
  <c r="B2236" i="7949"/>
  <c r="B2206" i="7949"/>
  <c r="B2182" i="7949"/>
  <c r="B1990" i="7949"/>
  <c r="B1966" i="7949"/>
  <c r="B1882" i="7949"/>
  <c r="B1858" i="7949"/>
  <c r="B1828" i="7949"/>
  <c r="B1804" i="7949"/>
  <c r="B1774" i="7949"/>
  <c r="B1750" i="7949"/>
  <c r="B1558" i="7949"/>
  <c r="B1534" i="7949"/>
  <c r="B1504" i="7949"/>
  <c r="B1480" i="7949"/>
  <c r="B1450" i="7949"/>
  <c r="B1426" i="7949"/>
  <c r="B2044" i="7949"/>
  <c r="B2020" i="7949"/>
  <c r="B1936" i="7949"/>
  <c r="B1912" i="7949"/>
  <c r="B1720" i="7949"/>
  <c r="B1696" i="7949"/>
  <c r="B1666" i="7949"/>
  <c r="B1642" i="7949"/>
  <c r="B1612" i="7949"/>
  <c r="B1588" i="7949"/>
  <c r="B1342" i="7949"/>
  <c r="B1318" i="7949"/>
  <c r="B1288" i="7949"/>
  <c r="B1264" i="7949"/>
  <c r="B1234" i="7949"/>
  <c r="B1210" i="7949"/>
  <c r="B1180" i="7949"/>
  <c r="B1156" i="7949"/>
  <c r="B1102" i="7949"/>
  <c r="B1072" i="7949"/>
  <c r="B1048" i="7949"/>
  <c r="B994" i="7949"/>
  <c r="B940" i="7949"/>
  <c r="B640" i="7949"/>
  <c r="B616" i="7949"/>
  <c r="B532" i="7949"/>
  <c r="B508" i="7949"/>
  <c r="B478" i="7949"/>
  <c r="B454" i="7949"/>
  <c r="B424" i="7949"/>
  <c r="B400" i="7949"/>
  <c r="B370" i="7949"/>
  <c r="B346" i="7949"/>
  <c r="B262" i="7949"/>
  <c r="B238" i="7949"/>
  <c r="B1396" i="7949"/>
  <c r="B1372" i="7949"/>
  <c r="B1126" i="7949"/>
  <c r="B1018" i="7949"/>
  <c r="B964" i="7949"/>
  <c r="B910" i="7949"/>
  <c r="B886" i="7949"/>
  <c r="B856" i="7949"/>
  <c r="B832" i="7949"/>
  <c r="B802" i="7949"/>
  <c r="B778" i="7949"/>
  <c r="B748" i="7949"/>
  <c r="B724" i="7949"/>
  <c r="B694" i="7949"/>
  <c r="B670" i="7949"/>
  <c r="B586" i="7949"/>
  <c r="B562" i="7949"/>
  <c r="B316" i="7949"/>
  <c r="B292" i="7949"/>
  <c r="B208" i="7949"/>
  <c r="B184" i="7949"/>
  <c r="B154" i="7949"/>
  <c r="B130" i="7949"/>
  <c r="F6" i="7950"/>
  <c r="B100" i="7949"/>
  <c r="B76" i="7949"/>
  <c r="G6" i="7949"/>
  <c r="B46" i="7949"/>
  <c r="B22" i="7949"/>
  <c r="B2525" i="7950" l="1"/>
  <c r="A489" i="7942"/>
  <c r="B41" i="7950"/>
  <c r="B149" i="7950"/>
  <c r="B395" i="7950"/>
  <c r="B2285" i="7950"/>
  <c r="B203" i="7950"/>
  <c r="B71" i="7950"/>
  <c r="B179" i="7950"/>
  <c r="B257" i="7950"/>
  <c r="B95" i="7950"/>
  <c r="B17" i="7950"/>
  <c r="B125" i="7950"/>
  <c r="B2069" i="7950"/>
  <c r="B1367" i="7950"/>
  <c r="B611" i="7950"/>
  <c r="B2555" i="7950"/>
  <c r="B1499" i="7950"/>
  <c r="B773" i="7950"/>
  <c r="B1097" i="7950"/>
  <c r="B1769" i="7950"/>
  <c r="B2417" i="7950"/>
  <c r="B503" i="7950"/>
  <c r="B959" i="7950"/>
  <c r="B1931" i="7950"/>
  <c r="B365" i="7950"/>
  <c r="B935" i="7950"/>
  <c r="B905" i="7950"/>
  <c r="B1205" i="7950"/>
  <c r="B1553" i="7950"/>
  <c r="B2093" i="7950"/>
  <c r="B1985" i="7950"/>
  <c r="B2363" i="7950"/>
  <c r="B449" i="7950"/>
  <c r="B557" i="7950"/>
  <c r="B719" i="7950"/>
  <c r="B1313" i="7950"/>
  <c r="B1661" i="7950"/>
  <c r="B2393" i="7950"/>
  <c r="B311" i="7950"/>
  <c r="B689" i="7950"/>
  <c r="B851" i="7950"/>
  <c r="B1475" i="7950"/>
  <c r="B2231" i="7950"/>
  <c r="B1013" i="7950"/>
  <c r="B1151" i="7950"/>
  <c r="B1259" i="7950"/>
  <c r="B1445" i="7950"/>
  <c r="B1691" i="7950"/>
  <c r="B1907" i="7950"/>
  <c r="B2201" i="7950"/>
  <c r="B1853" i="7950"/>
  <c r="B2039" i="7950"/>
  <c r="B2687" i="7950"/>
  <c r="B2633" i="7950"/>
  <c r="B2693" i="7949"/>
  <c r="B2615" i="7949"/>
  <c r="B2561" i="7949"/>
  <c r="B2531" i="7949"/>
  <c r="B2453" i="7949"/>
  <c r="B2423" i="7949"/>
  <c r="B2369" i="7949"/>
  <c r="B2315" i="7949"/>
  <c r="B2237" i="7949"/>
  <c r="B2183" i="7949"/>
  <c r="B2153" i="7949"/>
  <c r="B2099" i="7949"/>
  <c r="B2669" i="7949"/>
  <c r="B2639" i="7949"/>
  <c r="B2585" i="7949"/>
  <c r="B2507" i="7949"/>
  <c r="B2477" i="7949"/>
  <c r="B2399" i="7949"/>
  <c r="B2345" i="7949"/>
  <c r="B2291" i="7949"/>
  <c r="B2261" i="7949"/>
  <c r="B2207" i="7949"/>
  <c r="B2129" i="7949"/>
  <c r="B2075" i="7949"/>
  <c r="B2021" i="7949"/>
  <c r="B1991" i="7949"/>
  <c r="B1913" i="7949"/>
  <c r="B1883" i="7949"/>
  <c r="B1829" i="7949"/>
  <c r="B1775" i="7949"/>
  <c r="B1697" i="7949"/>
  <c r="B1643" i="7949"/>
  <c r="B1589" i="7949"/>
  <c r="B1559" i="7949"/>
  <c r="B1505" i="7949"/>
  <c r="B1451" i="7949"/>
  <c r="B2045" i="7949"/>
  <c r="B1967" i="7949"/>
  <c r="B1937" i="7949"/>
  <c r="B1859" i="7949"/>
  <c r="B1805" i="7949"/>
  <c r="B1751" i="7949"/>
  <c r="B1721" i="7949"/>
  <c r="B1667" i="7949"/>
  <c r="B1613" i="7949"/>
  <c r="B1535" i="7949"/>
  <c r="B1481" i="7949"/>
  <c r="B1373" i="7949"/>
  <c r="B1343" i="7949"/>
  <c r="B1289" i="7949"/>
  <c r="B1235" i="7949"/>
  <c r="B1181" i="7949"/>
  <c r="B1073" i="7949"/>
  <c r="B887" i="7949"/>
  <c r="B833" i="7949"/>
  <c r="B779" i="7949"/>
  <c r="B725" i="7949"/>
  <c r="B671" i="7949"/>
  <c r="B641" i="7949"/>
  <c r="B563" i="7949"/>
  <c r="B533" i="7949"/>
  <c r="B479" i="7949"/>
  <c r="B425" i="7949"/>
  <c r="B371" i="7949"/>
  <c r="B293" i="7949"/>
  <c r="B263" i="7949"/>
  <c r="B1427" i="7949"/>
  <c r="B1397" i="7949"/>
  <c r="B1319" i="7949"/>
  <c r="B1265" i="7949"/>
  <c r="B1211" i="7949"/>
  <c r="B1157" i="7949"/>
  <c r="B1127" i="7949"/>
  <c r="B1103" i="7949"/>
  <c r="B1049" i="7949"/>
  <c r="B1019" i="7949"/>
  <c r="B995" i="7949"/>
  <c r="B965" i="7949"/>
  <c r="B941" i="7949"/>
  <c r="B911" i="7949"/>
  <c r="B857" i="7949"/>
  <c r="B803" i="7949"/>
  <c r="B749" i="7949"/>
  <c r="B695" i="7949"/>
  <c r="B617" i="7949"/>
  <c r="B587" i="7949"/>
  <c r="B509" i="7949"/>
  <c r="B455" i="7949"/>
  <c r="B401" i="7949"/>
  <c r="B239" i="7949"/>
  <c r="B209" i="7949"/>
  <c r="B185" i="7949"/>
  <c r="B131" i="7949"/>
  <c r="B347" i="7949"/>
  <c r="B317" i="7949"/>
  <c r="B155" i="7949"/>
  <c r="B233" i="7950"/>
  <c r="B419" i="7950"/>
  <c r="B473" i="7950"/>
  <c r="B527" i="7950"/>
  <c r="B581" i="7950"/>
  <c r="B635" i="7950"/>
  <c r="B797" i="7950"/>
  <c r="B1043" i="7950"/>
  <c r="B1421" i="7950"/>
  <c r="B1583" i="7950"/>
  <c r="B1745" i="7950"/>
  <c r="B2147" i="7950"/>
  <c r="B2447" i="7950"/>
  <c r="B287" i="7950"/>
  <c r="B341" i="7950"/>
  <c r="B665" i="7950"/>
  <c r="B743" i="7950"/>
  <c r="B827" i="7950"/>
  <c r="B881" i="7950"/>
  <c r="B1337" i="7950"/>
  <c r="B1637" i="7950"/>
  <c r="B2177" i="7950"/>
  <c r="B2579" i="7950"/>
  <c r="B989" i="7950"/>
  <c r="B1067" i="7950"/>
  <c r="B1121" i="7950"/>
  <c r="B1175" i="7950"/>
  <c r="B1229" i="7950"/>
  <c r="B1283" i="7950"/>
  <c r="B1391" i="7950"/>
  <c r="B1529" i="7950"/>
  <c r="B1607" i="7950"/>
  <c r="B1715" i="7950"/>
  <c r="B1823" i="7950"/>
  <c r="B1961" i="7950"/>
  <c r="B2123" i="7950"/>
  <c r="B2255" i="7950"/>
  <c r="B1799" i="7950"/>
  <c r="B1877" i="7950"/>
  <c r="B2015" i="7950"/>
  <c r="B2309" i="7950"/>
  <c r="B2501" i="7950"/>
  <c r="B2339" i="7950"/>
  <c r="B2471" i="7950"/>
  <c r="B2663" i="7950"/>
  <c r="B2609" i="7950"/>
  <c r="G6" i="7950"/>
  <c r="B101" i="7949"/>
  <c r="B77" i="7949"/>
  <c r="H6" i="7949"/>
  <c r="B47" i="7949"/>
  <c r="B23" i="7949"/>
  <c r="B2580" i="7950" l="1"/>
  <c r="B150" i="7950"/>
  <c r="B2688" i="7950"/>
  <c r="B18" i="7950"/>
  <c r="A491" i="7942"/>
  <c r="B612" i="7950"/>
  <c r="B96" i="7950"/>
  <c r="B204" i="7950"/>
  <c r="B1854" i="7950"/>
  <c r="B42" i="7950"/>
  <c r="B72" i="7950"/>
  <c r="B126" i="7950"/>
  <c r="B180" i="7950"/>
  <c r="B1284" i="7950"/>
  <c r="B828" i="7950"/>
  <c r="B2232" i="7950"/>
  <c r="B342" i="7950"/>
  <c r="B396" i="7950"/>
  <c r="B1230" i="7950"/>
  <c r="B1422" i="7950"/>
  <c r="B1932" i="7950"/>
  <c r="B2418" i="7950"/>
  <c r="B1068" i="7950"/>
  <c r="B1608" i="7950"/>
  <c r="B504" i="7950"/>
  <c r="B1014" i="7950"/>
  <c r="B720" i="7950"/>
  <c r="B960" i="7950"/>
  <c r="B1638" i="7950"/>
  <c r="B2040" i="7950"/>
  <c r="B2124" i="7950"/>
  <c r="B2526" i="7950"/>
  <c r="B2610" i="7950"/>
  <c r="B288" i="7950"/>
  <c r="B666" i="7950"/>
  <c r="B1176" i="7950"/>
  <c r="B1392" i="7950"/>
  <c r="B1716" i="7950"/>
  <c r="B450" i="7950"/>
  <c r="B558" i="7950"/>
  <c r="B906" i="7950"/>
  <c r="B1122" i="7950"/>
  <c r="B1554" i="7950"/>
  <c r="B774" i="7950"/>
  <c r="B882" i="7950"/>
  <c r="B1314" i="7950"/>
  <c r="B1500" i="7950"/>
  <c r="B1746" i="7950"/>
  <c r="B1986" i="7950"/>
  <c r="B1824" i="7950"/>
  <c r="B2070" i="7950"/>
  <c r="B2178" i="7950"/>
  <c r="B2340" i="7950"/>
  <c r="B2310" i="7950"/>
  <c r="B2502" i="7950"/>
  <c r="B2664" i="7950"/>
  <c r="B2694" i="7949"/>
  <c r="B2670" i="7949"/>
  <c r="B2532" i="7949"/>
  <c r="B2508" i="7949"/>
  <c r="B2424" i="7949"/>
  <c r="B2400" i="7949"/>
  <c r="B2370" i="7949"/>
  <c r="B2346" i="7949"/>
  <c r="B2316" i="7949"/>
  <c r="B2292" i="7949"/>
  <c r="B2154" i="7949"/>
  <c r="B2130" i="7949"/>
  <c r="B2100" i="7949"/>
  <c r="B2076" i="7949"/>
  <c r="B2640" i="7949"/>
  <c r="B2616" i="7949"/>
  <c r="B2586" i="7949"/>
  <c r="B2562" i="7949"/>
  <c r="B2478" i="7949"/>
  <c r="B2454" i="7949"/>
  <c r="B2262" i="7949"/>
  <c r="B2238" i="7949"/>
  <c r="B2208" i="7949"/>
  <c r="B2184" i="7949"/>
  <c r="B1992" i="7949"/>
  <c r="B1968" i="7949"/>
  <c r="B1884" i="7949"/>
  <c r="B1860" i="7949"/>
  <c r="B1830" i="7949"/>
  <c r="B1806" i="7949"/>
  <c r="B1776" i="7949"/>
  <c r="B1752" i="7949"/>
  <c r="B1560" i="7949"/>
  <c r="B1536" i="7949"/>
  <c r="B1506" i="7949"/>
  <c r="B1482" i="7949"/>
  <c r="B1452" i="7949"/>
  <c r="B1428" i="7949"/>
  <c r="B2046" i="7949"/>
  <c r="B2022" i="7949"/>
  <c r="B1938" i="7949"/>
  <c r="B1914" i="7949"/>
  <c r="B1722" i="7949"/>
  <c r="B1698" i="7949"/>
  <c r="B1668" i="7949"/>
  <c r="B1644" i="7949"/>
  <c r="B1614" i="7949"/>
  <c r="B1590" i="7949"/>
  <c r="B1344" i="7949"/>
  <c r="B1320" i="7949"/>
  <c r="B1290" i="7949"/>
  <c r="B1266" i="7949"/>
  <c r="B1236" i="7949"/>
  <c r="B1212" i="7949"/>
  <c r="B1182" i="7949"/>
  <c r="B1158" i="7949"/>
  <c r="B1104" i="7949"/>
  <c r="B1074" i="7949"/>
  <c r="B1050" i="7949"/>
  <c r="B996" i="7949"/>
  <c r="B942" i="7949"/>
  <c r="B642" i="7949"/>
  <c r="B618" i="7949"/>
  <c r="B534" i="7949"/>
  <c r="B510" i="7949"/>
  <c r="B480" i="7949"/>
  <c r="B456" i="7949"/>
  <c r="B426" i="7949"/>
  <c r="B402" i="7949"/>
  <c r="B372" i="7949"/>
  <c r="B348" i="7949"/>
  <c r="B264" i="7949"/>
  <c r="B240" i="7949"/>
  <c r="B1398" i="7949"/>
  <c r="B1374" i="7949"/>
  <c r="B1128" i="7949"/>
  <c r="B1020" i="7949"/>
  <c r="B966" i="7949"/>
  <c r="B912" i="7949"/>
  <c r="B888" i="7949"/>
  <c r="B858" i="7949"/>
  <c r="B834" i="7949"/>
  <c r="B804" i="7949"/>
  <c r="B780" i="7949"/>
  <c r="B750" i="7949"/>
  <c r="B726" i="7949"/>
  <c r="B696" i="7949"/>
  <c r="B672" i="7949"/>
  <c r="B588" i="7949"/>
  <c r="B564" i="7949"/>
  <c r="B318" i="7949"/>
  <c r="B294" i="7949"/>
  <c r="B210" i="7949"/>
  <c r="B186" i="7949"/>
  <c r="B156" i="7949"/>
  <c r="B132" i="7949"/>
  <c r="B258" i="7950"/>
  <c r="B312" i="7950"/>
  <c r="B366" i="7950"/>
  <c r="B690" i="7950"/>
  <c r="B1152" i="7950"/>
  <c r="B1260" i="7950"/>
  <c r="B1368" i="7950"/>
  <c r="B1446" i="7950"/>
  <c r="B1692" i="7950"/>
  <c r="B234" i="7950"/>
  <c r="B420" i="7950"/>
  <c r="B474" i="7950"/>
  <c r="B528" i="7950"/>
  <c r="B582" i="7950"/>
  <c r="B636" i="7950"/>
  <c r="B990" i="7950"/>
  <c r="B1098" i="7950"/>
  <c r="B1206" i="7950"/>
  <c r="B1530" i="7950"/>
  <c r="B2472" i="7950"/>
  <c r="B744" i="7950"/>
  <c r="B798" i="7950"/>
  <c r="B852" i="7950"/>
  <c r="B936" i="7950"/>
  <c r="B1044" i="7950"/>
  <c r="B1338" i="7950"/>
  <c r="B1476" i="7950"/>
  <c r="B1584" i="7950"/>
  <c r="B1662" i="7950"/>
  <c r="B1800" i="7950"/>
  <c r="B1878" i="7950"/>
  <c r="B2016" i="7950"/>
  <c r="B1770" i="7950"/>
  <c r="B1908" i="7950"/>
  <c r="B1962" i="7950"/>
  <c r="B2094" i="7950"/>
  <c r="B2148" i="7950"/>
  <c r="B2202" i="7950"/>
  <c r="B2256" i="7950"/>
  <c r="B2364" i="7950"/>
  <c r="B2286" i="7950"/>
  <c r="B2394" i="7950"/>
  <c r="B2448" i="7950"/>
  <c r="B2556" i="7950"/>
  <c r="B2634" i="7950"/>
  <c r="B78" i="7949"/>
  <c r="B102" i="7949"/>
  <c r="H6" i="7950"/>
  <c r="I6" i="7949"/>
  <c r="B24" i="7949"/>
  <c r="B48" i="7949"/>
  <c r="A493" i="7942" l="1"/>
  <c r="B2695" i="7949"/>
  <c r="B2617" i="7949"/>
  <c r="B2563" i="7949"/>
  <c r="B2533" i="7949"/>
  <c r="B2455" i="7949"/>
  <c r="B2425" i="7949"/>
  <c r="B2371" i="7949"/>
  <c r="B2317" i="7949"/>
  <c r="B2239" i="7949"/>
  <c r="B2185" i="7949"/>
  <c r="B2155" i="7949"/>
  <c r="B2101" i="7949"/>
  <c r="B2047" i="7949"/>
  <c r="B2671" i="7949"/>
  <c r="B2641" i="7949"/>
  <c r="B2587" i="7949"/>
  <c r="B2509" i="7949"/>
  <c r="B2479" i="7949"/>
  <c r="B2401" i="7949"/>
  <c r="B2347" i="7949"/>
  <c r="B2293" i="7949"/>
  <c r="B2263" i="7949"/>
  <c r="B2209" i="7949"/>
  <c r="B2131" i="7949"/>
  <c r="B2077" i="7949"/>
  <c r="B2023" i="7949"/>
  <c r="B1993" i="7949"/>
  <c r="B1915" i="7949"/>
  <c r="B1885" i="7949"/>
  <c r="B1831" i="7949"/>
  <c r="B1777" i="7949"/>
  <c r="B1699" i="7949"/>
  <c r="B1645" i="7949"/>
  <c r="B1591" i="7949"/>
  <c r="B1561" i="7949"/>
  <c r="B1507" i="7949"/>
  <c r="B1453" i="7949"/>
  <c r="B1969" i="7949"/>
  <c r="B1939" i="7949"/>
  <c r="B1861" i="7949"/>
  <c r="B1807" i="7949"/>
  <c r="B1753" i="7949"/>
  <c r="B1723" i="7949"/>
  <c r="B1669" i="7949"/>
  <c r="B1615" i="7949"/>
  <c r="B1537" i="7949"/>
  <c r="B1429" i="7949"/>
  <c r="B1375" i="7949"/>
  <c r="B1345" i="7949"/>
  <c r="B1291" i="7949"/>
  <c r="B1237" i="7949"/>
  <c r="B1183" i="7949"/>
  <c r="B1075" i="7949"/>
  <c r="B889" i="7949"/>
  <c r="B835" i="7949"/>
  <c r="B781" i="7949"/>
  <c r="B727" i="7949"/>
  <c r="B673" i="7949"/>
  <c r="B643" i="7949"/>
  <c r="B565" i="7949"/>
  <c r="B535" i="7949"/>
  <c r="B481" i="7949"/>
  <c r="B427" i="7949"/>
  <c r="B373" i="7949"/>
  <c r="B295" i="7949"/>
  <c r="B265" i="7949"/>
  <c r="B1483" i="7949"/>
  <c r="B1399" i="7949"/>
  <c r="B1321" i="7949"/>
  <c r="B1267" i="7949"/>
  <c r="B1213" i="7949"/>
  <c r="B1159" i="7949"/>
  <c r="B1129" i="7949"/>
  <c r="B1105" i="7949"/>
  <c r="B1051" i="7949"/>
  <c r="B1021" i="7949"/>
  <c r="B997" i="7949"/>
  <c r="B967" i="7949"/>
  <c r="B943" i="7949"/>
  <c r="B913" i="7949"/>
  <c r="B859" i="7949"/>
  <c r="B805" i="7949"/>
  <c r="B751" i="7949"/>
  <c r="B697" i="7949"/>
  <c r="B619" i="7949"/>
  <c r="B589" i="7949"/>
  <c r="B511" i="7949"/>
  <c r="B457" i="7949"/>
  <c r="B403" i="7949"/>
  <c r="B349" i="7949"/>
  <c r="B211" i="7949"/>
  <c r="B187" i="7949"/>
  <c r="B133" i="7949"/>
  <c r="B319" i="7949"/>
  <c r="B241" i="7949"/>
  <c r="B157" i="7949"/>
  <c r="I6" i="7950"/>
  <c r="B103" i="7949"/>
  <c r="B79" i="7949"/>
  <c r="B2635" i="7950"/>
  <c r="B2611" i="7950"/>
  <c r="B2557" i="7950"/>
  <c r="B2689" i="7950"/>
  <c r="B2581" i="7950"/>
  <c r="B2527" i="7950"/>
  <c r="B2473" i="7950"/>
  <c r="B2365" i="7950"/>
  <c r="B2341" i="7950"/>
  <c r="B2665" i="7950"/>
  <c r="B2449" i="7950"/>
  <c r="B2395" i="7950"/>
  <c r="B2287" i="7950"/>
  <c r="B2041" i="7950"/>
  <c r="B2017" i="7950"/>
  <c r="B1987" i="7950"/>
  <c r="B1879" i="7950"/>
  <c r="B1855" i="7950"/>
  <c r="B1801" i="7950"/>
  <c r="B2311" i="7950"/>
  <c r="B2233" i="7950"/>
  <c r="B2179" i="7950"/>
  <c r="B2149" i="7950"/>
  <c r="B2071" i="7950"/>
  <c r="B1933" i="7950"/>
  <c r="B1717" i="7950"/>
  <c r="B1693" i="7950"/>
  <c r="B1609" i="7950"/>
  <c r="B1555" i="7950"/>
  <c r="B1531" i="7950"/>
  <c r="B1447" i="7950"/>
  <c r="B1393" i="7950"/>
  <c r="B1369" i="7950"/>
  <c r="B1285" i="7950"/>
  <c r="B1261" i="7950"/>
  <c r="B1231" i="7950"/>
  <c r="B1207" i="7950"/>
  <c r="B1177" i="7950"/>
  <c r="B1153" i="7950"/>
  <c r="B1123" i="7950"/>
  <c r="B1099" i="7950"/>
  <c r="B1069" i="7950"/>
  <c r="B1015" i="7950"/>
  <c r="B991" i="7950"/>
  <c r="B907" i="7950"/>
  <c r="B2503" i="7950"/>
  <c r="B2419" i="7950"/>
  <c r="B2257" i="7950"/>
  <c r="B2203" i="7950"/>
  <c r="B2095" i="7950"/>
  <c r="B1963" i="7950"/>
  <c r="B1825" i="7950"/>
  <c r="B1747" i="7950"/>
  <c r="B1663" i="7950"/>
  <c r="B1585" i="7950"/>
  <c r="B1501" i="7950"/>
  <c r="B1423" i="7950"/>
  <c r="B1315" i="7950"/>
  <c r="B1045" i="7950"/>
  <c r="B961" i="7950"/>
  <c r="B799" i="7950"/>
  <c r="B721" i="7950"/>
  <c r="B691" i="7950"/>
  <c r="B667" i="7950"/>
  <c r="B367" i="7950"/>
  <c r="B343" i="7950"/>
  <c r="B313" i="7950"/>
  <c r="B289" i="7950"/>
  <c r="B259" i="7950"/>
  <c r="B2125" i="7950"/>
  <c r="B1909" i="7950"/>
  <c r="B1771" i="7950"/>
  <c r="B1639" i="7950"/>
  <c r="B1477" i="7950"/>
  <c r="B1339" i="7950"/>
  <c r="B937" i="7950"/>
  <c r="B883" i="7950"/>
  <c r="B853" i="7950"/>
  <c r="B829" i="7950"/>
  <c r="B775" i="7950"/>
  <c r="B745" i="7950"/>
  <c r="B637" i="7950"/>
  <c r="B613" i="7950"/>
  <c r="B583" i="7950"/>
  <c r="B559" i="7950"/>
  <c r="B529" i="7950"/>
  <c r="B505" i="7950"/>
  <c r="B475" i="7950"/>
  <c r="B451" i="7950"/>
  <c r="B421" i="7950"/>
  <c r="B397" i="7950"/>
  <c r="B235" i="7950"/>
  <c r="B181" i="7950"/>
  <c r="B205" i="7950"/>
  <c r="B151" i="7950"/>
  <c r="B127" i="7950"/>
  <c r="B73" i="7950"/>
  <c r="B97" i="7950"/>
  <c r="B43" i="7950"/>
  <c r="B19" i="7950"/>
  <c r="J6" i="7949"/>
  <c r="B49" i="7949"/>
  <c r="B25" i="7949"/>
  <c r="B2690" i="7950" l="1"/>
  <c r="A495" i="7942"/>
  <c r="B44" i="7950"/>
  <c r="B206" i="7950"/>
  <c r="B1532" i="7950"/>
  <c r="B1694" i="7950"/>
  <c r="B692" i="7950"/>
  <c r="B1502" i="7950"/>
  <c r="B476" i="7950"/>
  <c r="B74" i="7950"/>
  <c r="B128" i="7950"/>
  <c r="B314" i="7950"/>
  <c r="B1100" i="7950"/>
  <c r="B2018" i="7950"/>
  <c r="B1154" i="7950"/>
  <c r="B776" i="7950"/>
  <c r="B2150" i="7950"/>
  <c r="B20" i="7950"/>
  <c r="B98" i="7950"/>
  <c r="B152" i="7950"/>
  <c r="B182" i="7950"/>
  <c r="B260" i="7950"/>
  <c r="B368" i="7950"/>
  <c r="B992" i="7950"/>
  <c r="B1208" i="7950"/>
  <c r="B1802" i="7950"/>
  <c r="B236" i="7950"/>
  <c r="B584" i="7950"/>
  <c r="B1370" i="7950"/>
  <c r="B2042" i="7950"/>
  <c r="B884" i="7950"/>
  <c r="B1772" i="7950"/>
  <c r="B2312" i="7950"/>
  <c r="B422" i="7950"/>
  <c r="B530" i="7950"/>
  <c r="B638" i="7950"/>
  <c r="B1262" i="7950"/>
  <c r="B1448" i="7950"/>
  <c r="B1856" i="7950"/>
  <c r="B722" i="7950"/>
  <c r="B830" i="7950"/>
  <c r="B1316" i="7950"/>
  <c r="B1748" i="7950"/>
  <c r="B1964" i="7950"/>
  <c r="B2258" i="7950"/>
  <c r="B2504" i="7950"/>
  <c r="B290" i="7950"/>
  <c r="B344" i="7950"/>
  <c r="B668" i="7950"/>
  <c r="B908" i="7950"/>
  <c r="B1016" i="7950"/>
  <c r="B1124" i="7950"/>
  <c r="B1232" i="7950"/>
  <c r="B1556" i="7950"/>
  <c r="B1880" i="7950"/>
  <c r="B2366" i="7950"/>
  <c r="B398" i="7950"/>
  <c r="B452" i="7950"/>
  <c r="B506" i="7950"/>
  <c r="B560" i="7950"/>
  <c r="B614" i="7950"/>
  <c r="B1070" i="7950"/>
  <c r="B1178" i="7950"/>
  <c r="B1286" i="7950"/>
  <c r="B1394" i="7950"/>
  <c r="B1610" i="7950"/>
  <c r="B1718" i="7950"/>
  <c r="B1988" i="7950"/>
  <c r="B2612" i="7950"/>
  <c r="B746" i="7950"/>
  <c r="B800" i="7950"/>
  <c r="B854" i="7950"/>
  <c r="B962" i="7950"/>
  <c r="B1424" i="7950"/>
  <c r="B1640" i="7950"/>
  <c r="B2528" i="7950"/>
  <c r="B1910" i="7950"/>
  <c r="B2096" i="7950"/>
  <c r="B2204" i="7950"/>
  <c r="B2636" i="7950"/>
  <c r="B2420" i="7950"/>
  <c r="B2666" i="7950"/>
  <c r="B938" i="7950"/>
  <c r="B1046" i="7950"/>
  <c r="B1340" i="7950"/>
  <c r="B1478" i="7950"/>
  <c r="B1586" i="7950"/>
  <c r="B1664" i="7950"/>
  <c r="B2342" i="7950"/>
  <c r="B2558" i="7950"/>
  <c r="B1826" i="7950"/>
  <c r="B1934" i="7950"/>
  <c r="B2072" i="7950"/>
  <c r="B2126" i="7950"/>
  <c r="B2180" i="7950"/>
  <c r="B2234" i="7950"/>
  <c r="B2474" i="7950"/>
  <c r="B2288" i="7950"/>
  <c r="B2396" i="7950"/>
  <c r="B2450" i="7950"/>
  <c r="B2582" i="7950"/>
  <c r="B2696" i="7949"/>
  <c r="B2672" i="7949"/>
  <c r="B2534" i="7949"/>
  <c r="B2510" i="7949"/>
  <c r="B2426" i="7949"/>
  <c r="B2402" i="7949"/>
  <c r="B2372" i="7949"/>
  <c r="B2348" i="7949"/>
  <c r="B2318" i="7949"/>
  <c r="B2294" i="7949"/>
  <c r="B2156" i="7949"/>
  <c r="B2132" i="7949"/>
  <c r="B2102" i="7949"/>
  <c r="B2078" i="7949"/>
  <c r="B2048" i="7949"/>
  <c r="B2642" i="7949"/>
  <c r="B2618" i="7949"/>
  <c r="B2588" i="7949"/>
  <c r="B2564" i="7949"/>
  <c r="B2480" i="7949"/>
  <c r="B2456" i="7949"/>
  <c r="B2264" i="7949"/>
  <c r="B2240" i="7949"/>
  <c r="B2210" i="7949"/>
  <c r="B2186" i="7949"/>
  <c r="B1994" i="7949"/>
  <c r="B1970" i="7949"/>
  <c r="B1886" i="7949"/>
  <c r="B1862" i="7949"/>
  <c r="B1832" i="7949"/>
  <c r="B1808" i="7949"/>
  <c r="B1778" i="7949"/>
  <c r="B1754" i="7949"/>
  <c r="B1562" i="7949"/>
  <c r="B1538" i="7949"/>
  <c r="B1508" i="7949"/>
  <c r="B1484" i="7949"/>
  <c r="B1454" i="7949"/>
  <c r="B1430" i="7949"/>
  <c r="B2024" i="7949"/>
  <c r="B1940" i="7949"/>
  <c r="B1916" i="7949"/>
  <c r="B1724" i="7949"/>
  <c r="B1700" i="7949"/>
  <c r="B1670" i="7949"/>
  <c r="B1646" i="7949"/>
  <c r="B1616" i="7949"/>
  <c r="B1592" i="7949"/>
  <c r="B1346" i="7949"/>
  <c r="B1322" i="7949"/>
  <c r="B1292" i="7949"/>
  <c r="B1268" i="7949"/>
  <c r="B1238" i="7949"/>
  <c r="B1214" i="7949"/>
  <c r="B1184" i="7949"/>
  <c r="B1160" i="7949"/>
  <c r="B1106" i="7949"/>
  <c r="B1076" i="7949"/>
  <c r="B1052" i="7949"/>
  <c r="B998" i="7949"/>
  <c r="B944" i="7949"/>
  <c r="B644" i="7949"/>
  <c r="B620" i="7949"/>
  <c r="B536" i="7949"/>
  <c r="B512" i="7949"/>
  <c r="B482" i="7949"/>
  <c r="B458" i="7949"/>
  <c r="B428" i="7949"/>
  <c r="B404" i="7949"/>
  <c r="B374" i="7949"/>
  <c r="B350" i="7949"/>
  <c r="B266" i="7949"/>
  <c r="B242" i="7949"/>
  <c r="B1400" i="7949"/>
  <c r="B1376" i="7949"/>
  <c r="B1130" i="7949"/>
  <c r="B1022" i="7949"/>
  <c r="B968" i="7949"/>
  <c r="B914" i="7949"/>
  <c r="B890" i="7949"/>
  <c r="B860" i="7949"/>
  <c r="B836" i="7949"/>
  <c r="B806" i="7949"/>
  <c r="B782" i="7949"/>
  <c r="B752" i="7949"/>
  <c r="B728" i="7949"/>
  <c r="B698" i="7949"/>
  <c r="B674" i="7949"/>
  <c r="B590" i="7949"/>
  <c r="B566" i="7949"/>
  <c r="B320" i="7949"/>
  <c r="B296" i="7949"/>
  <c r="B212" i="7949"/>
  <c r="B188" i="7949"/>
  <c r="B158" i="7949"/>
  <c r="B134" i="7949"/>
  <c r="J6" i="7950"/>
  <c r="B104" i="7949"/>
  <c r="B80" i="7949"/>
  <c r="K6" i="7949"/>
  <c r="B50" i="7949"/>
  <c r="B26" i="7949"/>
  <c r="G825" i="18"/>
  <c r="G826" i="18"/>
  <c r="G827" i="18"/>
  <c r="G828" i="18"/>
  <c r="G829" i="18"/>
  <c r="G830" i="18"/>
  <c r="G831" i="18"/>
  <c r="G832" i="18"/>
  <c r="G833" i="18"/>
  <c r="G834" i="18"/>
  <c r="G835" i="18"/>
  <c r="G836" i="18"/>
  <c r="G837" i="18"/>
  <c r="G838" i="18"/>
  <c r="G839" i="18"/>
  <c r="G840" i="18"/>
  <c r="G841" i="18"/>
  <c r="G842" i="18"/>
  <c r="G843" i="18"/>
  <c r="G844" i="18"/>
  <c r="G845" i="18"/>
  <c r="G846" i="18"/>
  <c r="G847" i="18"/>
  <c r="G848" i="18"/>
  <c r="G849" i="18"/>
  <c r="G850" i="18"/>
  <c r="G851" i="18"/>
  <c r="G852" i="18"/>
  <c r="G853" i="18"/>
  <c r="G854" i="18"/>
  <c r="G855" i="18"/>
  <c r="G856" i="18"/>
  <c r="G857" i="18"/>
  <c r="G858" i="18"/>
  <c r="G859" i="18"/>
  <c r="G860" i="18"/>
  <c r="G861" i="18"/>
  <c r="G862" i="18"/>
  <c r="G863" i="18"/>
  <c r="G864" i="18"/>
  <c r="G865" i="18"/>
  <c r="G866" i="18"/>
  <c r="G867" i="18"/>
  <c r="G868" i="18"/>
  <c r="G869" i="18"/>
  <c r="G870" i="18"/>
  <c r="G871" i="18"/>
  <c r="B207" i="7950" l="1"/>
  <c r="B99" i="7950"/>
  <c r="B2667" i="7950"/>
  <c r="A497" i="7942"/>
  <c r="B2613" i="7950"/>
  <c r="B45" i="7950"/>
  <c r="B315" i="7950"/>
  <c r="B423" i="7950"/>
  <c r="B2289" i="7950"/>
  <c r="B639" i="7950"/>
  <c r="B1533" i="7950"/>
  <c r="B1587" i="7950"/>
  <c r="B1803" i="7950"/>
  <c r="B129" i="7950"/>
  <c r="B531" i="7950"/>
  <c r="B1047" i="7950"/>
  <c r="B2181" i="7950"/>
  <c r="B855" i="7950"/>
  <c r="B1179" i="7950"/>
  <c r="B1965" i="7950"/>
  <c r="B2505" i="7950"/>
  <c r="B21" i="7950"/>
  <c r="B75" i="7950"/>
  <c r="B153" i="7950"/>
  <c r="B183" i="7950"/>
  <c r="B237" i="7950"/>
  <c r="B477" i="7950"/>
  <c r="B585" i="7950"/>
  <c r="B801" i="7950"/>
  <c r="B1425" i="7950"/>
  <c r="B1749" i="7950"/>
  <c r="B261" i="7950"/>
  <c r="B693" i="7950"/>
  <c r="B1479" i="7950"/>
  <c r="B1071" i="7950"/>
  <c r="B1287" i="7950"/>
  <c r="B1719" i="7950"/>
  <c r="B2259" i="7950"/>
  <c r="B2019" i="7950"/>
  <c r="B2475" i="7950"/>
  <c r="B369" i="7950"/>
  <c r="B777" i="7950"/>
  <c r="B939" i="7950"/>
  <c r="B1935" i="7950"/>
  <c r="B993" i="7950"/>
  <c r="B1125" i="7950"/>
  <c r="B1233" i="7950"/>
  <c r="B1395" i="7950"/>
  <c r="B1611" i="7950"/>
  <c r="B1827" i="7950"/>
  <c r="B2127" i="7950"/>
  <c r="B2451" i="7950"/>
  <c r="B1881" i="7950"/>
  <c r="B2313" i="7950"/>
  <c r="B2343" i="7950"/>
  <c r="B2637" i="7950"/>
  <c r="B2697" i="7949"/>
  <c r="B2619" i="7949"/>
  <c r="B2565" i="7949"/>
  <c r="B2535" i="7949"/>
  <c r="B2457" i="7949"/>
  <c r="B2427" i="7949"/>
  <c r="B2373" i="7949"/>
  <c r="B2319" i="7949"/>
  <c r="B2241" i="7949"/>
  <c r="B2187" i="7949"/>
  <c r="B2157" i="7949"/>
  <c r="B2103" i="7949"/>
  <c r="B2049" i="7949"/>
  <c r="B2673" i="7949"/>
  <c r="B2643" i="7949"/>
  <c r="B2589" i="7949"/>
  <c r="B2511" i="7949"/>
  <c r="B2481" i="7949"/>
  <c r="B2403" i="7949"/>
  <c r="B2349" i="7949"/>
  <c r="B2295" i="7949"/>
  <c r="B2265" i="7949"/>
  <c r="B2211" i="7949"/>
  <c r="B2133" i="7949"/>
  <c r="B2079" i="7949"/>
  <c r="B2025" i="7949"/>
  <c r="B1995" i="7949"/>
  <c r="B1917" i="7949"/>
  <c r="B1887" i="7949"/>
  <c r="B1833" i="7949"/>
  <c r="B1779" i="7949"/>
  <c r="B1701" i="7949"/>
  <c r="B1647" i="7949"/>
  <c r="B1593" i="7949"/>
  <c r="B1563" i="7949"/>
  <c r="B1509" i="7949"/>
  <c r="B1455" i="7949"/>
  <c r="B1971" i="7949"/>
  <c r="B1941" i="7949"/>
  <c r="B1863" i="7949"/>
  <c r="B1809" i="7949"/>
  <c r="B1755" i="7949"/>
  <c r="B1725" i="7949"/>
  <c r="B1671" i="7949"/>
  <c r="B1617" i="7949"/>
  <c r="B1539" i="7949"/>
  <c r="B1485" i="7949"/>
  <c r="B1377" i="7949"/>
  <c r="B1347" i="7949"/>
  <c r="B1293" i="7949"/>
  <c r="B1239" i="7949"/>
  <c r="B1185" i="7949"/>
  <c r="B1077" i="7949"/>
  <c r="B891" i="7949"/>
  <c r="B837" i="7949"/>
  <c r="B783" i="7949"/>
  <c r="B729" i="7949"/>
  <c r="B675" i="7949"/>
  <c r="B645" i="7949"/>
  <c r="B567" i="7949"/>
  <c r="B537" i="7949"/>
  <c r="B483" i="7949"/>
  <c r="B429" i="7949"/>
  <c r="B375" i="7949"/>
  <c r="B297" i="7949"/>
  <c r="B267" i="7949"/>
  <c r="B1431" i="7949"/>
  <c r="B1401" i="7949"/>
  <c r="B1323" i="7949"/>
  <c r="B1269" i="7949"/>
  <c r="B1215" i="7949"/>
  <c r="B1161" i="7949"/>
  <c r="B1131" i="7949"/>
  <c r="B1107" i="7949"/>
  <c r="B1053" i="7949"/>
  <c r="B1023" i="7949"/>
  <c r="B999" i="7949"/>
  <c r="B969" i="7949"/>
  <c r="B945" i="7949"/>
  <c r="B915" i="7949"/>
  <c r="B861" i="7949"/>
  <c r="B807" i="7949"/>
  <c r="B753" i="7949"/>
  <c r="B699" i="7949"/>
  <c r="B621" i="7949"/>
  <c r="B591" i="7949"/>
  <c r="B513" i="7949"/>
  <c r="B459" i="7949"/>
  <c r="B405" i="7949"/>
  <c r="B243" i="7949"/>
  <c r="B213" i="7949"/>
  <c r="B189" i="7949"/>
  <c r="B135" i="7949"/>
  <c r="B351" i="7949"/>
  <c r="B321" i="7949"/>
  <c r="B159" i="7949"/>
  <c r="B399" i="7950"/>
  <c r="B453" i="7950"/>
  <c r="B507" i="7950"/>
  <c r="B561" i="7950"/>
  <c r="B615" i="7950"/>
  <c r="B723" i="7950"/>
  <c r="B963" i="7950"/>
  <c r="B1317" i="7950"/>
  <c r="B1503" i="7950"/>
  <c r="B1665" i="7950"/>
  <c r="B2073" i="7950"/>
  <c r="B2235" i="7950"/>
  <c r="B291" i="7950"/>
  <c r="B345" i="7950"/>
  <c r="B669" i="7950"/>
  <c r="B747" i="7950"/>
  <c r="B831" i="7950"/>
  <c r="B885" i="7950"/>
  <c r="B1341" i="7950"/>
  <c r="B1641" i="7950"/>
  <c r="B2151" i="7950"/>
  <c r="B909" i="7950"/>
  <c r="B1017" i="7950"/>
  <c r="B1101" i="7950"/>
  <c r="B1155" i="7950"/>
  <c r="B1209" i="7950"/>
  <c r="B1263" i="7950"/>
  <c r="B1371" i="7950"/>
  <c r="B1449" i="7950"/>
  <c r="B1557" i="7950"/>
  <c r="B1695" i="7950"/>
  <c r="B1773" i="7950"/>
  <c r="B1911" i="7950"/>
  <c r="B2097" i="7950"/>
  <c r="B2205" i="7950"/>
  <c r="B2397" i="7950"/>
  <c r="B2691" i="7950"/>
  <c r="B1857" i="7950"/>
  <c r="B1989" i="7950"/>
  <c r="B2043" i="7950"/>
  <c r="B2421" i="7950"/>
  <c r="B2583" i="7950"/>
  <c r="B2367" i="7950"/>
  <c r="B2529" i="7950"/>
  <c r="B2559" i="7950"/>
  <c r="K6" i="7950"/>
  <c r="B81" i="7949"/>
  <c r="B105" i="7949"/>
  <c r="L6" i="7949"/>
  <c r="B51" i="7949"/>
  <c r="B27" i="7949"/>
  <c r="D631" i="7941"/>
  <c r="D630" i="7941"/>
  <c r="D629" i="7941"/>
  <c r="D628" i="7941"/>
  <c r="D627" i="7941"/>
  <c r="D626" i="7941"/>
  <c r="D625" i="7941"/>
  <c r="D624" i="7941"/>
  <c r="D623" i="7941"/>
  <c r="D622" i="7941"/>
  <c r="D621" i="7941"/>
  <c r="D620" i="7941"/>
  <c r="D619" i="7941"/>
  <c r="D618" i="7941"/>
  <c r="D617" i="7941"/>
  <c r="D616" i="7941"/>
  <c r="D615" i="7941"/>
  <c r="D614" i="7941"/>
  <c r="D613" i="7941"/>
  <c r="D612" i="7941"/>
  <c r="D611" i="7941"/>
  <c r="D610" i="7941"/>
  <c r="D609" i="7941"/>
  <c r="D608" i="7941"/>
  <c r="D607" i="7941"/>
  <c r="D606" i="7941"/>
  <c r="D605" i="7941"/>
  <c r="D604" i="7941"/>
  <c r="D603" i="7941"/>
  <c r="D602" i="7941"/>
  <c r="D601" i="7941"/>
  <c r="D600" i="7941"/>
  <c r="D599" i="7941"/>
  <c r="D598" i="7941"/>
  <c r="D597" i="7941"/>
  <c r="D596" i="7941"/>
  <c r="D595" i="7941"/>
  <c r="D594" i="7941"/>
  <c r="D593" i="7941"/>
  <c r="D592" i="7941"/>
  <c r="D591" i="7941"/>
  <c r="D590" i="7941"/>
  <c r="D589" i="7941"/>
  <c r="D588" i="7941"/>
  <c r="D587" i="7941"/>
  <c r="D586" i="7941"/>
  <c r="D585" i="7941"/>
  <c r="D584" i="7941"/>
  <c r="D583" i="7941"/>
  <c r="D582" i="7941"/>
  <c r="D634" i="7941"/>
  <c r="D635" i="7941"/>
  <c r="D636" i="7941"/>
  <c r="D637" i="7941"/>
  <c r="D638" i="7941"/>
  <c r="D639" i="7941"/>
  <c r="D640" i="7941"/>
  <c r="D641" i="7941"/>
  <c r="D642" i="7941"/>
  <c r="D643" i="7941"/>
  <c r="D644" i="7941"/>
  <c r="D645" i="7941"/>
  <c r="D646" i="7941"/>
  <c r="D647" i="7941"/>
  <c r="D648" i="7941"/>
  <c r="D649" i="7941"/>
  <c r="D650" i="7941"/>
  <c r="D651" i="7941"/>
  <c r="D652" i="7941"/>
  <c r="D653" i="7941"/>
  <c r="D654" i="7941"/>
  <c r="D655" i="7941"/>
  <c r="D656" i="7941"/>
  <c r="D657" i="7941"/>
  <c r="D658" i="7941"/>
  <c r="D659" i="7941"/>
  <c r="D660" i="7941"/>
  <c r="D661" i="7941"/>
  <c r="D662" i="7941"/>
  <c r="D663" i="7941"/>
  <c r="D664" i="7941"/>
  <c r="D665" i="7941"/>
  <c r="D666" i="7941"/>
  <c r="D667" i="7941"/>
  <c r="D668" i="7941"/>
  <c r="D669" i="7941"/>
  <c r="D670" i="7941"/>
  <c r="D671" i="7941"/>
  <c r="D672" i="7941"/>
  <c r="D673" i="7941"/>
  <c r="D674" i="7941"/>
  <c r="D675" i="7941"/>
  <c r="D676" i="7941"/>
  <c r="D677" i="7941"/>
  <c r="D678" i="7941"/>
  <c r="D679" i="7941"/>
  <c r="D680" i="7941"/>
  <c r="D681" i="7941"/>
  <c r="E410" i="1"/>
  <c r="E5" i="1"/>
  <c r="G462"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B2692" i="7950" l="1"/>
  <c r="B208" i="7950"/>
  <c r="B130" i="7950"/>
  <c r="B46" i="7950"/>
  <c r="B22" i="7950"/>
  <c r="A499" i="7942"/>
  <c r="B778" i="7950"/>
  <c r="B2152" i="7950"/>
  <c r="B370" i="7950"/>
  <c r="B1372" i="7950"/>
  <c r="B424" i="7950"/>
  <c r="B76" i="7950"/>
  <c r="B184" i="7950"/>
  <c r="B694" i="7950"/>
  <c r="B1450" i="7950"/>
  <c r="B478" i="7950"/>
  <c r="B886" i="7950"/>
  <c r="B2452" i="7950"/>
  <c r="B100" i="7950"/>
  <c r="B154" i="7950"/>
  <c r="B262" i="7950"/>
  <c r="B1156" i="7950"/>
  <c r="B1696" i="7950"/>
  <c r="B532" i="7950"/>
  <c r="B1750" i="7950"/>
  <c r="B316" i="7950"/>
  <c r="B1264" i="7950"/>
  <c r="B238" i="7950"/>
  <c r="B640" i="7950"/>
  <c r="B1990" i="7950"/>
  <c r="B1102" i="7950"/>
  <c r="B1318" i="7950"/>
  <c r="B1774" i="7950"/>
  <c r="B2638" i="7950"/>
  <c r="B1534" i="7950"/>
  <c r="B1504" i="7950"/>
  <c r="B1966" i="7950"/>
  <c r="B2260" i="7950"/>
  <c r="B2290" i="7950"/>
  <c r="B586" i="7950"/>
  <c r="B994" i="7950"/>
  <c r="B1210" i="7950"/>
  <c r="B724" i="7950"/>
  <c r="B832" i="7950"/>
  <c r="B964" i="7950"/>
  <c r="B1426" i="7950"/>
  <c r="B1642" i="7950"/>
  <c r="B1858" i="7950"/>
  <c r="B2044" i="7950"/>
  <c r="B1912" i="7950"/>
  <c r="B2098" i="7950"/>
  <c r="B2206" i="7950"/>
  <c r="B2368" i="7950"/>
  <c r="B2398" i="7950"/>
  <c r="B2560" i="7950"/>
  <c r="B2668" i="7950"/>
  <c r="B292" i="7950"/>
  <c r="B346" i="7950"/>
  <c r="B670" i="7950"/>
  <c r="B1072" i="7950"/>
  <c r="B1180" i="7950"/>
  <c r="B1288" i="7950"/>
  <c r="B1396" i="7950"/>
  <c r="B1612" i="7950"/>
  <c r="B1720" i="7950"/>
  <c r="B400" i="7950"/>
  <c r="B454" i="7950"/>
  <c r="B508" i="7950"/>
  <c r="B562" i="7950"/>
  <c r="B616" i="7950"/>
  <c r="B910" i="7950"/>
  <c r="B1018" i="7950"/>
  <c r="B1126" i="7950"/>
  <c r="B1234" i="7950"/>
  <c r="B1558" i="7950"/>
  <c r="B748" i="7950"/>
  <c r="B802" i="7950"/>
  <c r="B856" i="7950"/>
  <c r="B940" i="7950"/>
  <c r="B1048" i="7950"/>
  <c r="B1342" i="7950"/>
  <c r="B1480" i="7950"/>
  <c r="B1588" i="7950"/>
  <c r="B1666" i="7950"/>
  <c r="B1804" i="7950"/>
  <c r="B1882" i="7950"/>
  <c r="B2020" i="7950"/>
  <c r="B2476" i="7950"/>
  <c r="B1828" i="7950"/>
  <c r="B1936" i="7950"/>
  <c r="B2074" i="7950"/>
  <c r="B2128" i="7950"/>
  <c r="B2182" i="7950"/>
  <c r="B2236" i="7950"/>
  <c r="B2344" i="7950"/>
  <c r="B2530" i="7950"/>
  <c r="B2314" i="7950"/>
  <c r="B2422" i="7950"/>
  <c r="B2506" i="7950"/>
  <c r="B2614" i="7950"/>
  <c r="B2584" i="7950"/>
  <c r="B2698" i="7949"/>
  <c r="B2674" i="7949"/>
  <c r="B2536" i="7949"/>
  <c r="B2512" i="7949"/>
  <c r="B2428" i="7949"/>
  <c r="B2404" i="7949"/>
  <c r="B2374" i="7949"/>
  <c r="B2350" i="7949"/>
  <c r="B2320" i="7949"/>
  <c r="B2296" i="7949"/>
  <c r="B2158" i="7949"/>
  <c r="B2134" i="7949"/>
  <c r="B2104" i="7949"/>
  <c r="B2080" i="7949"/>
  <c r="B2050" i="7949"/>
  <c r="B2644" i="7949"/>
  <c r="B2620" i="7949"/>
  <c r="B2590" i="7949"/>
  <c r="B2566" i="7949"/>
  <c r="B2482" i="7949"/>
  <c r="B2458" i="7949"/>
  <c r="B2266" i="7949"/>
  <c r="B2242" i="7949"/>
  <c r="B2212" i="7949"/>
  <c r="B2188" i="7949"/>
  <c r="B1996" i="7949"/>
  <c r="B1972" i="7949"/>
  <c r="B1888" i="7949"/>
  <c r="B1864" i="7949"/>
  <c r="B1834" i="7949"/>
  <c r="B1810" i="7949"/>
  <c r="B1780" i="7949"/>
  <c r="B1756" i="7949"/>
  <c r="B1564" i="7949"/>
  <c r="B1540" i="7949"/>
  <c r="B1510" i="7949"/>
  <c r="B1486" i="7949"/>
  <c r="B1456" i="7949"/>
  <c r="B1432" i="7949"/>
  <c r="B2026" i="7949"/>
  <c r="B1942" i="7949"/>
  <c r="B1918" i="7949"/>
  <c r="B1726" i="7949"/>
  <c r="B1702" i="7949"/>
  <c r="B1672" i="7949"/>
  <c r="B1648" i="7949"/>
  <c r="B1618" i="7949"/>
  <c r="B1594" i="7949"/>
  <c r="B1348" i="7949"/>
  <c r="B1324" i="7949"/>
  <c r="B1294" i="7949"/>
  <c r="B1270" i="7949"/>
  <c r="B1240" i="7949"/>
  <c r="B1216" i="7949"/>
  <c r="B1186" i="7949"/>
  <c r="B1162" i="7949"/>
  <c r="B1108" i="7949"/>
  <c r="B1078" i="7949"/>
  <c r="B1054" i="7949"/>
  <c r="B1000" i="7949"/>
  <c r="B946" i="7949"/>
  <c r="B646" i="7949"/>
  <c r="B622" i="7949"/>
  <c r="B538" i="7949"/>
  <c r="B514" i="7949"/>
  <c r="B484" i="7949"/>
  <c r="B460" i="7949"/>
  <c r="B430" i="7949"/>
  <c r="B406" i="7949"/>
  <c r="B376" i="7949"/>
  <c r="B352" i="7949"/>
  <c r="B268" i="7949"/>
  <c r="B244" i="7949"/>
  <c r="B1402" i="7949"/>
  <c r="B1378" i="7949"/>
  <c r="B1132" i="7949"/>
  <c r="B1024" i="7949"/>
  <c r="B970" i="7949"/>
  <c r="B916" i="7949"/>
  <c r="B892" i="7949"/>
  <c r="B862" i="7949"/>
  <c r="B838" i="7949"/>
  <c r="B808" i="7949"/>
  <c r="B784" i="7949"/>
  <c r="B754" i="7949"/>
  <c r="B730" i="7949"/>
  <c r="B700" i="7949"/>
  <c r="B676" i="7949"/>
  <c r="B592" i="7949"/>
  <c r="B568" i="7949"/>
  <c r="B322" i="7949"/>
  <c r="B298" i="7949"/>
  <c r="B214" i="7949"/>
  <c r="B190" i="7949"/>
  <c r="B160" i="7949"/>
  <c r="B136" i="7949"/>
  <c r="L6" i="7950"/>
  <c r="B82" i="7949"/>
  <c r="B106" i="7949"/>
  <c r="M6" i="7949"/>
  <c r="B28" i="7949"/>
  <c r="B52" i="7949"/>
  <c r="B131" i="7950" l="1"/>
  <c r="B77" i="7950"/>
  <c r="B2615" i="7950"/>
  <c r="A501" i="7942"/>
  <c r="B587" i="7950"/>
  <c r="B2639" i="7950"/>
  <c r="B23" i="7950"/>
  <c r="B155" i="7950"/>
  <c r="B941" i="7950"/>
  <c r="B239" i="7950"/>
  <c r="B2099" i="7950"/>
  <c r="B47" i="7950"/>
  <c r="B209" i="7950"/>
  <c r="B101" i="7950"/>
  <c r="B185" i="7950"/>
  <c r="B533" i="7950"/>
  <c r="B2261" i="7950"/>
  <c r="B1913" i="7950"/>
  <c r="B1589" i="7950"/>
  <c r="B1859" i="7950"/>
  <c r="B1397" i="7950"/>
  <c r="B725" i="7950"/>
  <c r="B2423" i="7950"/>
  <c r="B857" i="7950"/>
  <c r="B671" i="7950"/>
  <c r="B1235" i="7950"/>
  <c r="B2585" i="7950"/>
  <c r="B425" i="7950"/>
  <c r="B1481" i="7950"/>
  <c r="B965" i="7950"/>
  <c r="B1613" i="7950"/>
  <c r="B479" i="7950"/>
  <c r="B1829" i="7950"/>
  <c r="B1319" i="7950"/>
  <c r="B2075" i="7950"/>
  <c r="B641" i="7950"/>
  <c r="B293" i="7950"/>
  <c r="B995" i="7950"/>
  <c r="B2045" i="7950"/>
  <c r="B779" i="7950"/>
  <c r="B347" i="7950"/>
  <c r="B1127" i="7950"/>
  <c r="B2345" i="7950"/>
  <c r="B401" i="7950"/>
  <c r="B455" i="7950"/>
  <c r="B509" i="7950"/>
  <c r="B563" i="7950"/>
  <c r="B617" i="7950"/>
  <c r="B749" i="7950"/>
  <c r="B833" i="7950"/>
  <c r="B887" i="7950"/>
  <c r="B1343" i="7950"/>
  <c r="B1643" i="7950"/>
  <c r="B1967" i="7950"/>
  <c r="B2207" i="7950"/>
  <c r="B263" i="7950"/>
  <c r="B317" i="7950"/>
  <c r="B371" i="7950"/>
  <c r="B695" i="7950"/>
  <c r="B803" i="7950"/>
  <c r="B1049" i="7950"/>
  <c r="B1427" i="7950"/>
  <c r="B1751" i="7950"/>
  <c r="B2315" i="7950"/>
  <c r="B1073" i="7950"/>
  <c r="B1181" i="7950"/>
  <c r="B1289" i="7950"/>
  <c r="B1535" i="7950"/>
  <c r="B1721" i="7950"/>
  <c r="B2183" i="7950"/>
  <c r="B2669" i="7950"/>
  <c r="B1991" i="7950"/>
  <c r="B2399" i="7950"/>
  <c r="B2477" i="7950"/>
  <c r="B2561" i="7950"/>
  <c r="B1505" i="7950"/>
  <c r="B1667" i="7950"/>
  <c r="B1775" i="7950"/>
  <c r="B2129" i="7950"/>
  <c r="B911" i="7950"/>
  <c r="B1019" i="7950"/>
  <c r="B1103" i="7950"/>
  <c r="B1157" i="7950"/>
  <c r="B1211" i="7950"/>
  <c r="B1265" i="7950"/>
  <c r="B1373" i="7950"/>
  <c r="B1451" i="7950"/>
  <c r="B1559" i="7950"/>
  <c r="B1697" i="7950"/>
  <c r="B1937" i="7950"/>
  <c r="B2153" i="7950"/>
  <c r="B2237" i="7950"/>
  <c r="B2507" i="7950"/>
  <c r="B1805" i="7950"/>
  <c r="B1883" i="7950"/>
  <c r="B2021" i="7950"/>
  <c r="B2291" i="7950"/>
  <c r="B2453" i="7950"/>
  <c r="B2369" i="7950"/>
  <c r="B2531" i="7950"/>
  <c r="B2693" i="7950"/>
  <c r="B2699" i="7949"/>
  <c r="B2621" i="7949"/>
  <c r="B2567" i="7949"/>
  <c r="B2537" i="7949"/>
  <c r="B2459" i="7949"/>
  <c r="B2429" i="7949"/>
  <c r="B2375" i="7949"/>
  <c r="B2321" i="7949"/>
  <c r="B2243" i="7949"/>
  <c r="B2189" i="7949"/>
  <c r="B2159" i="7949"/>
  <c r="B2105" i="7949"/>
  <c r="B2051" i="7949"/>
  <c r="B2675" i="7949"/>
  <c r="B2645" i="7949"/>
  <c r="B2591" i="7949"/>
  <c r="B2513" i="7949"/>
  <c r="B2483" i="7949"/>
  <c r="B2405" i="7949"/>
  <c r="B2351" i="7949"/>
  <c r="B2297" i="7949"/>
  <c r="B2267" i="7949"/>
  <c r="B2213" i="7949"/>
  <c r="B2135" i="7949"/>
  <c r="B2081" i="7949"/>
  <c r="B2027" i="7949"/>
  <c r="B1997" i="7949"/>
  <c r="B1919" i="7949"/>
  <c r="B1889" i="7949"/>
  <c r="B1835" i="7949"/>
  <c r="B1781" i="7949"/>
  <c r="B1703" i="7949"/>
  <c r="B1649" i="7949"/>
  <c r="B1595" i="7949"/>
  <c r="B1565" i="7949"/>
  <c r="B1511" i="7949"/>
  <c r="B1457" i="7949"/>
  <c r="B1973" i="7949"/>
  <c r="B1943" i="7949"/>
  <c r="B1865" i="7949"/>
  <c r="B1811" i="7949"/>
  <c r="B1757" i="7949"/>
  <c r="B1727" i="7949"/>
  <c r="B1673" i="7949"/>
  <c r="B1619" i="7949"/>
  <c r="B1541" i="7949"/>
  <c r="B1433" i="7949"/>
  <c r="B1379" i="7949"/>
  <c r="B1349" i="7949"/>
  <c r="B1295" i="7949"/>
  <c r="B1241" i="7949"/>
  <c r="B1187" i="7949"/>
  <c r="B1079" i="7949"/>
  <c r="B893" i="7949"/>
  <c r="B839" i="7949"/>
  <c r="B785" i="7949"/>
  <c r="B731" i="7949"/>
  <c r="B677" i="7949"/>
  <c r="B647" i="7949"/>
  <c r="B569" i="7949"/>
  <c r="B539" i="7949"/>
  <c r="B485" i="7949"/>
  <c r="B431" i="7949"/>
  <c r="B377" i="7949"/>
  <c r="B299" i="7949"/>
  <c r="B269" i="7949"/>
  <c r="B1487" i="7949"/>
  <c r="B1403" i="7949"/>
  <c r="B1325" i="7949"/>
  <c r="B1271" i="7949"/>
  <c r="B1217" i="7949"/>
  <c r="B1163" i="7949"/>
  <c r="B1133" i="7949"/>
  <c r="B1109" i="7949"/>
  <c r="B1055" i="7949"/>
  <c r="B1025" i="7949"/>
  <c r="B1001" i="7949"/>
  <c r="B971" i="7949"/>
  <c r="B947" i="7949"/>
  <c r="B917" i="7949"/>
  <c r="B863" i="7949"/>
  <c r="B809" i="7949"/>
  <c r="B755" i="7949"/>
  <c r="B701" i="7949"/>
  <c r="B623" i="7949"/>
  <c r="B593" i="7949"/>
  <c r="B515" i="7949"/>
  <c r="B461" i="7949"/>
  <c r="B407" i="7949"/>
  <c r="B353" i="7949"/>
  <c r="B215" i="7949"/>
  <c r="B191" i="7949"/>
  <c r="B137" i="7949"/>
  <c r="B323" i="7949"/>
  <c r="B245" i="7949"/>
  <c r="B161" i="7949"/>
  <c r="B83" i="7949"/>
  <c r="B107" i="7949"/>
  <c r="M6" i="7950"/>
  <c r="N6" i="7949"/>
  <c r="B29" i="7949"/>
  <c r="B53" i="7949"/>
  <c r="I56" i="7946"/>
  <c r="H56" i="7946"/>
  <c r="G56" i="7946"/>
  <c r="E56" i="7946"/>
  <c r="I55" i="7946"/>
  <c r="H55" i="7946"/>
  <c r="G55" i="7946"/>
  <c r="E55" i="7946"/>
  <c r="I54" i="7946"/>
  <c r="H54" i="7946"/>
  <c r="G54" i="7946"/>
  <c r="E54" i="7946"/>
  <c r="I53" i="7946"/>
  <c r="H53" i="7946"/>
  <c r="G53" i="7946"/>
  <c r="E53" i="7946"/>
  <c r="I52" i="7946"/>
  <c r="H52" i="7946"/>
  <c r="G52" i="7946"/>
  <c r="E52" i="7946"/>
  <c r="I51" i="7946"/>
  <c r="H51" i="7946"/>
  <c r="G51" i="7946"/>
  <c r="E51" i="7946"/>
  <c r="I50" i="7946"/>
  <c r="H50" i="7946"/>
  <c r="G50" i="7946"/>
  <c r="E50" i="7946"/>
  <c r="I49" i="7946"/>
  <c r="H49" i="7946"/>
  <c r="G49" i="7946"/>
  <c r="E49" i="7946"/>
  <c r="I48" i="7946"/>
  <c r="H48" i="7946"/>
  <c r="G48" i="7946"/>
  <c r="E48" i="7946"/>
  <c r="I47" i="7946"/>
  <c r="H47" i="7946"/>
  <c r="G47" i="7946"/>
  <c r="E47" i="7946"/>
  <c r="I46" i="7946"/>
  <c r="H46" i="7946"/>
  <c r="G46" i="7946"/>
  <c r="E46" i="7946"/>
  <c r="I45" i="7946"/>
  <c r="H45" i="7946"/>
  <c r="G45" i="7946"/>
  <c r="E45" i="7946"/>
  <c r="I44" i="7946"/>
  <c r="H44" i="7946"/>
  <c r="G44" i="7946"/>
  <c r="E44" i="7946"/>
  <c r="I43" i="7946"/>
  <c r="H43" i="7946"/>
  <c r="G43" i="7946"/>
  <c r="E43" i="7946"/>
  <c r="I42" i="7946"/>
  <c r="H42" i="7946"/>
  <c r="G42" i="7946"/>
  <c r="E42" i="7946"/>
  <c r="I41" i="7946"/>
  <c r="H41" i="7946"/>
  <c r="G41" i="7946"/>
  <c r="E41" i="7946"/>
  <c r="I40" i="7946"/>
  <c r="H40" i="7946"/>
  <c r="G40" i="7946"/>
  <c r="E40" i="7946"/>
  <c r="I39" i="7946"/>
  <c r="H39" i="7946"/>
  <c r="G39" i="7946"/>
  <c r="E39" i="7946"/>
  <c r="I38" i="7946"/>
  <c r="H38" i="7946"/>
  <c r="G38" i="7946"/>
  <c r="E38" i="7946"/>
  <c r="I37" i="7946"/>
  <c r="H37" i="7946"/>
  <c r="G37" i="7946"/>
  <c r="E37" i="7946"/>
  <c r="G36" i="7946"/>
  <c r="E36" i="7946"/>
  <c r="G35" i="7946"/>
  <c r="E35" i="7946"/>
  <c r="G34" i="7946"/>
  <c r="E34" i="7946"/>
  <c r="G33" i="7946"/>
  <c r="E33" i="7946"/>
  <c r="G32" i="7946"/>
  <c r="E32" i="7946"/>
  <c r="G31" i="7946"/>
  <c r="E31" i="7946"/>
  <c r="G30" i="7946"/>
  <c r="E30" i="7946"/>
  <c r="G29" i="7946"/>
  <c r="E29" i="7946"/>
  <c r="G28" i="7946"/>
  <c r="E28" i="7946"/>
  <c r="G27" i="7946"/>
  <c r="E27" i="7946"/>
  <c r="G26" i="7946"/>
  <c r="E26" i="7946"/>
  <c r="G25" i="7946"/>
  <c r="E25" i="7946"/>
  <c r="G24" i="7946"/>
  <c r="E24" i="7946"/>
  <c r="G23" i="7946"/>
  <c r="E23" i="7946"/>
  <c r="G22" i="7946"/>
  <c r="E22" i="7946"/>
  <c r="G21" i="7946"/>
  <c r="E21" i="7946"/>
  <c r="G20" i="7946"/>
  <c r="E20" i="7946"/>
  <c r="G19" i="7946"/>
  <c r="E19" i="7946"/>
  <c r="G18" i="7946"/>
  <c r="E18" i="7946"/>
  <c r="G17" i="7946"/>
  <c r="E17" i="7946"/>
  <c r="G16" i="7946"/>
  <c r="E16" i="7946"/>
  <c r="G15" i="7946"/>
  <c r="E15" i="7946"/>
  <c r="G14" i="7946"/>
  <c r="E14" i="7946"/>
  <c r="G13" i="7946"/>
  <c r="E13" i="7946"/>
  <c r="G12" i="7946"/>
  <c r="E12" i="7946"/>
  <c r="G11" i="7946"/>
  <c r="E11" i="7946"/>
  <c r="G10" i="7946"/>
  <c r="E10" i="7946"/>
  <c r="G9" i="7946"/>
  <c r="E9" i="7946"/>
  <c r="G8" i="7946"/>
  <c r="E8" i="7946"/>
  <c r="G7" i="7946"/>
  <c r="E7" i="7946"/>
  <c r="C761" i="7944"/>
  <c r="B749" i="7944"/>
  <c r="C748" i="7944"/>
  <c r="B736" i="7944"/>
  <c r="C735" i="7944"/>
  <c r="B723" i="7944"/>
  <c r="C722" i="7944"/>
  <c r="B710" i="7944"/>
  <c r="C709" i="7944"/>
  <c r="B697" i="7944"/>
  <c r="C696" i="7944"/>
  <c r="B684" i="7944"/>
  <c r="C683" i="7944"/>
  <c r="B671" i="7944"/>
  <c r="C670" i="7944"/>
  <c r="B658" i="7944"/>
  <c r="C657" i="7944"/>
  <c r="B645" i="7944"/>
  <c r="C644" i="7944"/>
  <c r="B632" i="7944"/>
  <c r="C631" i="7944"/>
  <c r="B619" i="7944"/>
  <c r="C618" i="7944"/>
  <c r="B606" i="7944"/>
  <c r="C605" i="7944"/>
  <c r="B593" i="7944"/>
  <c r="C592" i="7944"/>
  <c r="B580" i="7944"/>
  <c r="C579" i="7944"/>
  <c r="B567" i="7944"/>
  <c r="C566" i="7944"/>
  <c r="B554" i="7944"/>
  <c r="C553" i="7944"/>
  <c r="B541" i="7944"/>
  <c r="C540" i="7944"/>
  <c r="B528" i="7944"/>
  <c r="C527" i="7944"/>
  <c r="B515" i="7944"/>
  <c r="C514" i="7944"/>
  <c r="B502" i="7944"/>
  <c r="C501" i="7944"/>
  <c r="B489" i="7944"/>
  <c r="C488" i="7944"/>
  <c r="B476" i="7944"/>
  <c r="C475" i="7944"/>
  <c r="B463" i="7944"/>
  <c r="C462" i="7944"/>
  <c r="B450" i="7944"/>
  <c r="C449" i="7944"/>
  <c r="B437" i="7944"/>
  <c r="C436" i="7944"/>
  <c r="B424" i="7944"/>
  <c r="C423" i="7944"/>
  <c r="B411" i="7944"/>
  <c r="C410" i="7944"/>
  <c r="B398" i="7944"/>
  <c r="C397" i="7944"/>
  <c r="B385" i="7944"/>
  <c r="C384" i="7944"/>
  <c r="B372" i="7944"/>
  <c r="C371" i="7944"/>
  <c r="B359" i="7944"/>
  <c r="C358" i="7944"/>
  <c r="B346" i="7944"/>
  <c r="C345" i="7944"/>
  <c r="B333" i="7944"/>
  <c r="C332" i="7944"/>
  <c r="B320" i="7944"/>
  <c r="C319" i="7944"/>
  <c r="B307" i="7944"/>
  <c r="C306" i="7944"/>
  <c r="B294" i="7944"/>
  <c r="C293" i="7944"/>
  <c r="B281" i="7944"/>
  <c r="C280" i="7944"/>
  <c r="B268" i="7944"/>
  <c r="C267" i="7944"/>
  <c r="B255" i="7944"/>
  <c r="C254" i="7944"/>
  <c r="B242" i="7944"/>
  <c r="C241" i="7944"/>
  <c r="B229" i="7944"/>
  <c r="C228" i="7944"/>
  <c r="B216" i="7944"/>
  <c r="C215" i="7944"/>
  <c r="B203" i="7944"/>
  <c r="C202" i="7944"/>
  <c r="B190" i="7944"/>
  <c r="C189" i="7944"/>
  <c r="B177" i="7944"/>
  <c r="C176" i="7944"/>
  <c r="B164" i="7944"/>
  <c r="C163" i="7944"/>
  <c r="B151" i="7944"/>
  <c r="C150" i="7944"/>
  <c r="B138" i="7944"/>
  <c r="C137" i="7944"/>
  <c r="B125" i="7944"/>
  <c r="C124" i="7944"/>
  <c r="B112" i="7944"/>
  <c r="C109" i="7944"/>
  <c r="C108" i="7944"/>
  <c r="C107" i="7944"/>
  <c r="C106" i="7944"/>
  <c r="C105" i="7944"/>
  <c r="C104" i="7944"/>
  <c r="C103" i="7944"/>
  <c r="C102" i="7944"/>
  <c r="C101" i="7944"/>
  <c r="C100" i="7944"/>
  <c r="C99" i="7944"/>
  <c r="C98" i="7944"/>
  <c r="C97" i="7944"/>
  <c r="C96" i="7944"/>
  <c r="C95" i="7944"/>
  <c r="C94" i="7944"/>
  <c r="C93" i="7944"/>
  <c r="C92" i="7944"/>
  <c r="C91" i="7944"/>
  <c r="C90" i="7944"/>
  <c r="C89" i="7944"/>
  <c r="C88" i="7944"/>
  <c r="C87" i="7944"/>
  <c r="C86" i="7944"/>
  <c r="C85" i="7944"/>
  <c r="C84" i="7944"/>
  <c r="C83" i="7944"/>
  <c r="C82" i="7944"/>
  <c r="C81" i="7944"/>
  <c r="C80" i="7944"/>
  <c r="C79" i="7944"/>
  <c r="C78" i="7944"/>
  <c r="C77" i="7944"/>
  <c r="C76" i="7944"/>
  <c r="C75" i="7944"/>
  <c r="C74" i="7944"/>
  <c r="C73" i="7944"/>
  <c r="C72" i="7944"/>
  <c r="C71" i="7944"/>
  <c r="C70" i="7944"/>
  <c r="C69" i="7944"/>
  <c r="C68" i="7944"/>
  <c r="C67" i="7944"/>
  <c r="C66" i="7944"/>
  <c r="C65" i="7944"/>
  <c r="C64" i="7944"/>
  <c r="C63" i="7944"/>
  <c r="C62" i="7944"/>
  <c r="C61" i="7944"/>
  <c r="C60" i="7944"/>
  <c r="C57" i="7944"/>
  <c r="C56" i="7944"/>
  <c r="C55" i="7944"/>
  <c r="C54" i="7944"/>
  <c r="C53" i="7944"/>
  <c r="C52" i="7944"/>
  <c r="C51" i="7944"/>
  <c r="C50" i="7944"/>
  <c r="C49" i="7944"/>
  <c r="C48" i="7944"/>
  <c r="C47" i="7944"/>
  <c r="C46" i="7944"/>
  <c r="C45" i="7944"/>
  <c r="C44" i="7944"/>
  <c r="C43" i="7944"/>
  <c r="C42" i="7944"/>
  <c r="C41" i="7944"/>
  <c r="C40" i="7944"/>
  <c r="C39" i="7944"/>
  <c r="C38" i="7944"/>
  <c r="C37" i="7944"/>
  <c r="C36" i="7944"/>
  <c r="C35" i="7944"/>
  <c r="C34" i="7944"/>
  <c r="C33" i="7944"/>
  <c r="C32" i="7944"/>
  <c r="C31" i="7944"/>
  <c r="C30" i="7944"/>
  <c r="C29" i="7944"/>
  <c r="C28" i="7944"/>
  <c r="C27" i="7944"/>
  <c r="C26" i="7944"/>
  <c r="C25" i="7944"/>
  <c r="C24" i="7944"/>
  <c r="C23" i="7944"/>
  <c r="C22" i="7944"/>
  <c r="C21" i="7944"/>
  <c r="C20" i="7944"/>
  <c r="C19" i="7944"/>
  <c r="C18" i="7944"/>
  <c r="C17" i="7944"/>
  <c r="C16" i="7944"/>
  <c r="C15" i="7944"/>
  <c r="C14" i="7944"/>
  <c r="C13" i="7944"/>
  <c r="C12" i="7944"/>
  <c r="C11" i="7944"/>
  <c r="C10" i="7944"/>
  <c r="C9" i="7944"/>
  <c r="C8" i="7944"/>
  <c r="H3" i="7944"/>
  <c r="I3" i="7944" s="1"/>
  <c r="D683" i="7941"/>
  <c r="D682" i="7941"/>
  <c r="D475" i="7941"/>
  <c r="D474" i="7941"/>
  <c r="D473" i="7941"/>
  <c r="D472" i="7941"/>
  <c r="D471" i="7941"/>
  <c r="D470" i="7941"/>
  <c r="D469" i="7941"/>
  <c r="D468" i="7941"/>
  <c r="D467" i="7941"/>
  <c r="D466" i="7941"/>
  <c r="D465" i="7941"/>
  <c r="D464" i="7941"/>
  <c r="D463" i="7941"/>
  <c r="D462" i="7941"/>
  <c r="D461" i="7941"/>
  <c r="D460" i="7941"/>
  <c r="D459" i="7941"/>
  <c r="D458" i="7941"/>
  <c r="D457" i="7941"/>
  <c r="D456" i="7941"/>
  <c r="D455" i="7941"/>
  <c r="D454" i="7941"/>
  <c r="D453" i="7941"/>
  <c r="D452" i="7941"/>
  <c r="D451" i="7941"/>
  <c r="D450" i="7941"/>
  <c r="D449" i="7941"/>
  <c r="D448" i="7941"/>
  <c r="D447" i="7941"/>
  <c r="D446" i="7941"/>
  <c r="D445" i="7941"/>
  <c r="D444" i="7941"/>
  <c r="D443" i="7941"/>
  <c r="D442" i="7941"/>
  <c r="D441" i="7941"/>
  <c r="D440" i="7941"/>
  <c r="D439" i="7941"/>
  <c r="D438" i="7941"/>
  <c r="D437" i="7941"/>
  <c r="D436" i="7941"/>
  <c r="D435" i="7941"/>
  <c r="D434" i="7941"/>
  <c r="D433" i="7941"/>
  <c r="D432" i="7941"/>
  <c r="D431" i="7941"/>
  <c r="D430" i="7941"/>
  <c r="D429" i="7941"/>
  <c r="D428" i="7941"/>
  <c r="D427" i="7941"/>
  <c r="D426" i="7941"/>
  <c r="D423" i="7941"/>
  <c r="D422" i="7941"/>
  <c r="D421" i="7941"/>
  <c r="D420" i="7941"/>
  <c r="D419" i="7941"/>
  <c r="D418" i="7941"/>
  <c r="D417" i="7941"/>
  <c r="D416" i="7941"/>
  <c r="D415" i="7941"/>
  <c r="D414" i="7941"/>
  <c r="D413" i="7941"/>
  <c r="D412" i="7941"/>
  <c r="D411" i="7941"/>
  <c r="D410" i="7941"/>
  <c r="D409" i="7941"/>
  <c r="D408" i="7941"/>
  <c r="D407" i="7941"/>
  <c r="D406" i="7941"/>
  <c r="D405" i="7941"/>
  <c r="D404" i="7941"/>
  <c r="D403" i="7941"/>
  <c r="D402" i="7941"/>
  <c r="D401" i="7941"/>
  <c r="D400" i="7941"/>
  <c r="D399" i="7941"/>
  <c r="D398" i="7941"/>
  <c r="D397" i="7941"/>
  <c r="D396" i="7941"/>
  <c r="D395" i="7941"/>
  <c r="D394" i="7941"/>
  <c r="D393" i="7941"/>
  <c r="D392" i="7941"/>
  <c r="D391" i="7941"/>
  <c r="D390" i="7941"/>
  <c r="D389" i="7941"/>
  <c r="D388" i="7941"/>
  <c r="D387" i="7941"/>
  <c r="D386" i="7941"/>
  <c r="D385" i="7941"/>
  <c r="D384" i="7941"/>
  <c r="D383" i="7941"/>
  <c r="D382" i="7941"/>
  <c r="D381" i="7941"/>
  <c r="D380" i="7941"/>
  <c r="D379" i="7941"/>
  <c r="D378" i="7941"/>
  <c r="D377" i="7941"/>
  <c r="D376" i="7941"/>
  <c r="D375" i="7941"/>
  <c r="D374" i="7941"/>
  <c r="D371" i="7941"/>
  <c r="D370" i="7941"/>
  <c r="D369" i="7941"/>
  <c r="D368" i="7941"/>
  <c r="D367" i="7941"/>
  <c r="D366" i="7941"/>
  <c r="D365" i="7941"/>
  <c r="D364" i="7941"/>
  <c r="D363" i="7941"/>
  <c r="D362" i="7941"/>
  <c r="D361" i="7941"/>
  <c r="D360" i="7941"/>
  <c r="D359" i="7941"/>
  <c r="D358" i="7941"/>
  <c r="D357" i="7941"/>
  <c r="D356" i="7941"/>
  <c r="D355" i="7941"/>
  <c r="D354" i="7941"/>
  <c r="D353" i="7941"/>
  <c r="D352" i="7941"/>
  <c r="D351" i="7941"/>
  <c r="D350" i="7941"/>
  <c r="D349" i="7941"/>
  <c r="D348" i="7941"/>
  <c r="D347" i="7941"/>
  <c r="D346" i="7941"/>
  <c r="D345" i="7941"/>
  <c r="D344" i="7941"/>
  <c r="D343" i="7941"/>
  <c r="D342" i="7941"/>
  <c r="D341" i="7941"/>
  <c r="D340" i="7941"/>
  <c r="D339" i="7941"/>
  <c r="D338" i="7941"/>
  <c r="D337" i="7941"/>
  <c r="D336" i="7941"/>
  <c r="D335" i="7941"/>
  <c r="D334" i="7941"/>
  <c r="D333" i="7941"/>
  <c r="D332" i="7941"/>
  <c r="D331" i="7941"/>
  <c r="D330" i="7941"/>
  <c r="D329" i="7941"/>
  <c r="D328" i="7941"/>
  <c r="D327" i="7941"/>
  <c r="D326" i="7941"/>
  <c r="D325" i="7941"/>
  <c r="D324" i="7941"/>
  <c r="D323" i="7941"/>
  <c r="D322" i="7941"/>
  <c r="R321" i="7941"/>
  <c r="D317" i="7941"/>
  <c r="D316" i="7941"/>
  <c r="D315" i="7941"/>
  <c r="D314" i="7941"/>
  <c r="D313" i="7941"/>
  <c r="D312" i="7941"/>
  <c r="D311" i="7941"/>
  <c r="D310" i="7941"/>
  <c r="D309" i="7941"/>
  <c r="D308" i="7941"/>
  <c r="D307" i="7941"/>
  <c r="D306" i="7941"/>
  <c r="D305" i="7941"/>
  <c r="D304" i="7941"/>
  <c r="D303" i="7941"/>
  <c r="D302" i="7941"/>
  <c r="D301" i="7941"/>
  <c r="D300" i="7941"/>
  <c r="D299" i="7941"/>
  <c r="D298" i="7941"/>
  <c r="D297" i="7941"/>
  <c r="D296" i="7941"/>
  <c r="D295" i="7941"/>
  <c r="D294" i="7941"/>
  <c r="D293" i="7941"/>
  <c r="D292" i="7941"/>
  <c r="D291" i="7941"/>
  <c r="D290" i="7941"/>
  <c r="D289" i="7941"/>
  <c r="D288" i="7941"/>
  <c r="D287" i="7941"/>
  <c r="D286" i="7941"/>
  <c r="D285" i="7941"/>
  <c r="D284" i="7941"/>
  <c r="D283" i="7941"/>
  <c r="D282" i="7941"/>
  <c r="D281" i="7941"/>
  <c r="D280" i="7941"/>
  <c r="D279" i="7941"/>
  <c r="D278" i="7941"/>
  <c r="D277" i="7941"/>
  <c r="D276" i="7941"/>
  <c r="D275" i="7941"/>
  <c r="D274" i="7941"/>
  <c r="D273" i="7941"/>
  <c r="D272" i="7941"/>
  <c r="D271" i="7941"/>
  <c r="D270" i="7941"/>
  <c r="D269" i="7941"/>
  <c r="D268" i="7941"/>
  <c r="D265" i="7941"/>
  <c r="D264" i="7941"/>
  <c r="D263" i="7941"/>
  <c r="D262" i="7941"/>
  <c r="D261" i="7941"/>
  <c r="D260" i="7941"/>
  <c r="D259" i="7941"/>
  <c r="D258" i="7941"/>
  <c r="D257" i="7941"/>
  <c r="D256" i="7941"/>
  <c r="D255" i="7941"/>
  <c r="D254" i="7941"/>
  <c r="D253" i="7941"/>
  <c r="D252" i="7941"/>
  <c r="D251" i="7941"/>
  <c r="D250" i="7941"/>
  <c r="D249" i="7941"/>
  <c r="D248" i="7941"/>
  <c r="D247" i="7941"/>
  <c r="D246" i="7941"/>
  <c r="D245" i="7941"/>
  <c r="D244" i="7941"/>
  <c r="D243" i="7941"/>
  <c r="D242" i="7941"/>
  <c r="D241" i="7941"/>
  <c r="D240" i="7941"/>
  <c r="D239" i="7941"/>
  <c r="D238" i="7941"/>
  <c r="D237" i="7941"/>
  <c r="D236" i="7941"/>
  <c r="D235" i="7941"/>
  <c r="D234" i="7941"/>
  <c r="D233" i="7941"/>
  <c r="D232" i="7941"/>
  <c r="D231" i="7941"/>
  <c r="D230" i="7941"/>
  <c r="D229" i="7941"/>
  <c r="D228" i="7941"/>
  <c r="D227" i="7941"/>
  <c r="D226" i="7941"/>
  <c r="D225" i="7941"/>
  <c r="D224" i="7941"/>
  <c r="D223" i="7941"/>
  <c r="D222" i="7941"/>
  <c r="D221" i="7941"/>
  <c r="D220" i="7941"/>
  <c r="D219" i="7941"/>
  <c r="D218" i="7941"/>
  <c r="D217" i="7941"/>
  <c r="D216" i="7941"/>
  <c r="D213" i="7941"/>
  <c r="D212" i="7941"/>
  <c r="D211" i="7941"/>
  <c r="D210" i="7941"/>
  <c r="D209" i="7941"/>
  <c r="D208" i="7941"/>
  <c r="D207" i="7941"/>
  <c r="D206" i="7941"/>
  <c r="D205" i="7941"/>
  <c r="D204" i="7941"/>
  <c r="D203" i="7941"/>
  <c r="D202" i="7941"/>
  <c r="D201" i="7941"/>
  <c r="D200" i="7941"/>
  <c r="D199" i="7941"/>
  <c r="D198" i="7941"/>
  <c r="D197" i="7941"/>
  <c r="D196" i="7941"/>
  <c r="D195" i="7941"/>
  <c r="D194" i="7941"/>
  <c r="D193" i="7941"/>
  <c r="D192" i="7941"/>
  <c r="D191" i="7941"/>
  <c r="D190" i="7941"/>
  <c r="D189" i="7941"/>
  <c r="D188" i="7941"/>
  <c r="D187" i="7941"/>
  <c r="D186" i="7941"/>
  <c r="D185" i="7941"/>
  <c r="D184" i="7941"/>
  <c r="D183" i="7941"/>
  <c r="D182" i="7941"/>
  <c r="D181" i="7941"/>
  <c r="D180" i="7941"/>
  <c r="D179" i="7941"/>
  <c r="D178" i="7941"/>
  <c r="D177" i="7941"/>
  <c r="D176" i="7941"/>
  <c r="D175" i="7941"/>
  <c r="D174" i="7941"/>
  <c r="D173" i="7941"/>
  <c r="D172" i="7941"/>
  <c r="D171" i="7941"/>
  <c r="D170" i="7941"/>
  <c r="D169" i="7941"/>
  <c r="D168" i="7941"/>
  <c r="D167" i="7941"/>
  <c r="D166" i="7941"/>
  <c r="D165" i="7941"/>
  <c r="D164" i="7941"/>
  <c r="D161" i="7941"/>
  <c r="D160" i="7941"/>
  <c r="D159" i="7941"/>
  <c r="D158" i="7941"/>
  <c r="D157" i="7941"/>
  <c r="D156" i="7941"/>
  <c r="D155" i="7941"/>
  <c r="D154" i="7941"/>
  <c r="D153" i="7941"/>
  <c r="D152" i="7941"/>
  <c r="D151" i="7941"/>
  <c r="D150" i="7941"/>
  <c r="D149" i="7941"/>
  <c r="D148" i="7941"/>
  <c r="D147" i="7941"/>
  <c r="D146" i="7941"/>
  <c r="D145" i="7941"/>
  <c r="D144" i="7941"/>
  <c r="D143" i="7941"/>
  <c r="D142" i="7941"/>
  <c r="D141" i="7941"/>
  <c r="D140" i="7941"/>
  <c r="D139" i="7941"/>
  <c r="D138" i="7941"/>
  <c r="D137" i="7941"/>
  <c r="D136" i="7941"/>
  <c r="D135" i="7941"/>
  <c r="D134" i="7941"/>
  <c r="D133" i="7941"/>
  <c r="D132" i="7941"/>
  <c r="D131" i="7941"/>
  <c r="D130" i="7941"/>
  <c r="D129" i="7941"/>
  <c r="D128" i="7941"/>
  <c r="D127" i="7941"/>
  <c r="D126" i="7941"/>
  <c r="D125" i="7941"/>
  <c r="D124" i="7941"/>
  <c r="D123" i="7941"/>
  <c r="D122" i="7941"/>
  <c r="D121" i="7941"/>
  <c r="D120" i="7941"/>
  <c r="D119" i="7941"/>
  <c r="D118" i="7941"/>
  <c r="D117" i="7941"/>
  <c r="D116" i="7941"/>
  <c r="D115" i="7941"/>
  <c r="D114" i="7941"/>
  <c r="D113" i="7941"/>
  <c r="D112" i="7941"/>
  <c r="D109" i="7941"/>
  <c r="D108" i="7941"/>
  <c r="D107" i="7941"/>
  <c r="D106" i="7941"/>
  <c r="D105" i="7941"/>
  <c r="D104" i="7941"/>
  <c r="D103" i="7941"/>
  <c r="D102" i="7941"/>
  <c r="D101" i="7941"/>
  <c r="D100" i="7941"/>
  <c r="D99" i="7941"/>
  <c r="D98" i="7941"/>
  <c r="D97" i="7941"/>
  <c r="D96" i="7941"/>
  <c r="D95" i="7941"/>
  <c r="D94" i="7941"/>
  <c r="D93" i="7941"/>
  <c r="D92" i="7941"/>
  <c r="D91" i="7941"/>
  <c r="D90" i="7941"/>
  <c r="D89" i="7941"/>
  <c r="D88" i="7941"/>
  <c r="D87" i="7941"/>
  <c r="D86" i="7941"/>
  <c r="D85" i="7941"/>
  <c r="D84" i="7941"/>
  <c r="D83" i="7941"/>
  <c r="D82" i="7941"/>
  <c r="D81" i="7941"/>
  <c r="D80" i="7941"/>
  <c r="D79" i="7941"/>
  <c r="D78" i="7941"/>
  <c r="D77" i="7941"/>
  <c r="D76" i="7941"/>
  <c r="D75" i="7941"/>
  <c r="D74" i="7941"/>
  <c r="D73" i="7941"/>
  <c r="D72" i="7941"/>
  <c r="D71" i="7941"/>
  <c r="D70" i="7941"/>
  <c r="D69" i="7941"/>
  <c r="D68" i="7941"/>
  <c r="D67" i="7941"/>
  <c r="D66" i="7941"/>
  <c r="D65" i="7941"/>
  <c r="D64" i="7941"/>
  <c r="D63" i="7941"/>
  <c r="D62" i="7941"/>
  <c r="D61" i="7941"/>
  <c r="D60" i="7941"/>
  <c r="D57" i="7941"/>
  <c r="D56" i="7941"/>
  <c r="D55" i="7941"/>
  <c r="D54" i="7941"/>
  <c r="D53" i="7941"/>
  <c r="D52" i="7941"/>
  <c r="D51" i="7941"/>
  <c r="D50" i="7941"/>
  <c r="D49" i="7941"/>
  <c r="D48" i="7941"/>
  <c r="D47" i="7941"/>
  <c r="D46" i="7941"/>
  <c r="D45" i="7941"/>
  <c r="D44" i="7941"/>
  <c r="D43" i="7941"/>
  <c r="D42" i="7941"/>
  <c r="D41" i="7941"/>
  <c r="D40" i="7941"/>
  <c r="D39" i="7941"/>
  <c r="D38" i="7941"/>
  <c r="D37" i="7941"/>
  <c r="D36" i="7941"/>
  <c r="D35" i="7941"/>
  <c r="D34" i="7941"/>
  <c r="D33" i="7941"/>
  <c r="D32" i="7941"/>
  <c r="D31" i="7941"/>
  <c r="D30" i="7941"/>
  <c r="D29" i="7941"/>
  <c r="D28" i="7941"/>
  <c r="D27" i="7941"/>
  <c r="D26" i="7941"/>
  <c r="D25" i="7941"/>
  <c r="D24" i="7941"/>
  <c r="D23" i="7941"/>
  <c r="D22" i="7941"/>
  <c r="D21" i="7941"/>
  <c r="D20" i="7941"/>
  <c r="D19" i="7941"/>
  <c r="D18" i="7941"/>
  <c r="D17" i="7941"/>
  <c r="D16" i="7941"/>
  <c r="D15" i="7941"/>
  <c r="D14" i="7941"/>
  <c r="D13" i="7941"/>
  <c r="D12" i="7941"/>
  <c r="D11" i="7941"/>
  <c r="D10" i="7941"/>
  <c r="D9" i="7941"/>
  <c r="D8" i="7941"/>
  <c r="H3" i="7941"/>
  <c r="I3" i="7941" s="1"/>
  <c r="J3" i="7941" s="1"/>
  <c r="K3" i="7941" s="1"/>
  <c r="L3" i="7941" s="1"/>
  <c r="M3" i="7941" s="1"/>
  <c r="D1133" i="18"/>
  <c r="D1132" i="18"/>
  <c r="D1131" i="18"/>
  <c r="D1130" i="18"/>
  <c r="D1129" i="18"/>
  <c r="D1128" i="18"/>
  <c r="D1127" i="18"/>
  <c r="D1126" i="18"/>
  <c r="D1125" i="18"/>
  <c r="D1124" i="18"/>
  <c r="D1123" i="18"/>
  <c r="D1122" i="18"/>
  <c r="D1121" i="18"/>
  <c r="D1120" i="18"/>
  <c r="D1119" i="18"/>
  <c r="D1118" i="18"/>
  <c r="D1117" i="18"/>
  <c r="D1116" i="18"/>
  <c r="D1115" i="18"/>
  <c r="D1114" i="18"/>
  <c r="D1113" i="18"/>
  <c r="D1112" i="18"/>
  <c r="D1111" i="18"/>
  <c r="D1110" i="18"/>
  <c r="D1109" i="18"/>
  <c r="D1108" i="18"/>
  <c r="D1107" i="18"/>
  <c r="D1106" i="18"/>
  <c r="D1105" i="18"/>
  <c r="D1104" i="18"/>
  <c r="D1103" i="18"/>
  <c r="D1102" i="18"/>
  <c r="D1101" i="18"/>
  <c r="D1100" i="18"/>
  <c r="D1099" i="18"/>
  <c r="D1098" i="18"/>
  <c r="D1097" i="18"/>
  <c r="D1096" i="18"/>
  <c r="D1095" i="18"/>
  <c r="D1094" i="18"/>
  <c r="D1093" i="18"/>
  <c r="D1092" i="18"/>
  <c r="D1091" i="18"/>
  <c r="D1090" i="18"/>
  <c r="D1089" i="18"/>
  <c r="D1088" i="18"/>
  <c r="D1087" i="18"/>
  <c r="D1086" i="18"/>
  <c r="D1085" i="18"/>
  <c r="D1084" i="18"/>
  <c r="D1081" i="18"/>
  <c r="D1080" i="18"/>
  <c r="D1079" i="18"/>
  <c r="D1078" i="18"/>
  <c r="D1077" i="18"/>
  <c r="D1076" i="18"/>
  <c r="D1075" i="18"/>
  <c r="D1074" i="18"/>
  <c r="D1073" i="18"/>
  <c r="D1072" i="18"/>
  <c r="D1071" i="18"/>
  <c r="D1070" i="18"/>
  <c r="D1069" i="18"/>
  <c r="D1068" i="18"/>
  <c r="D1067" i="18"/>
  <c r="D1066" i="18"/>
  <c r="D1065" i="18"/>
  <c r="D1064" i="18"/>
  <c r="D1063" i="18"/>
  <c r="D1062" i="18"/>
  <c r="D1061" i="18"/>
  <c r="D1060" i="18"/>
  <c r="D1059" i="18"/>
  <c r="D1058" i="18"/>
  <c r="D1057" i="18"/>
  <c r="D1056" i="18"/>
  <c r="D1055" i="18"/>
  <c r="D1054" i="18"/>
  <c r="D1053" i="18"/>
  <c r="D1052" i="18"/>
  <c r="D1051" i="18"/>
  <c r="D1050" i="18"/>
  <c r="D1049" i="18"/>
  <c r="D1048" i="18"/>
  <c r="D1047" i="18"/>
  <c r="D1046" i="18"/>
  <c r="D1045" i="18"/>
  <c r="D1044" i="18"/>
  <c r="D1043" i="18"/>
  <c r="D1042" i="18"/>
  <c r="D1041" i="18"/>
  <c r="D1040" i="18"/>
  <c r="D1039" i="18"/>
  <c r="D1038" i="18"/>
  <c r="D1037" i="18"/>
  <c r="D1036" i="18"/>
  <c r="D1035" i="18"/>
  <c r="D1034" i="18"/>
  <c r="D1033" i="18"/>
  <c r="D1032" i="18"/>
  <c r="G1027" i="18"/>
  <c r="G317" i="7941" s="1"/>
  <c r="D1027" i="18"/>
  <c r="G1026" i="18"/>
  <c r="G316" i="7941" s="1"/>
  <c r="D1026" i="18"/>
  <c r="G1025" i="18"/>
  <c r="G315" i="7941" s="1"/>
  <c r="D1025" i="18"/>
  <c r="G1024" i="18"/>
  <c r="G314" i="7941" s="1"/>
  <c r="D1024" i="18"/>
  <c r="G1023" i="18"/>
  <c r="G313" i="7941" s="1"/>
  <c r="D1023" i="18"/>
  <c r="G1022" i="18"/>
  <c r="G312" i="7941" s="1"/>
  <c r="D1022" i="18"/>
  <c r="G1021" i="18"/>
  <c r="G311" i="7941" s="1"/>
  <c r="D1021" i="18"/>
  <c r="G1020" i="18"/>
  <c r="G310" i="7941" s="1"/>
  <c r="D1020" i="18"/>
  <c r="G1019" i="18"/>
  <c r="G309" i="7941" s="1"/>
  <c r="D1019" i="18"/>
  <c r="G1018" i="18"/>
  <c r="G308" i="7941" s="1"/>
  <c r="D1018" i="18"/>
  <c r="G1017" i="18"/>
  <c r="G307" i="7941" s="1"/>
  <c r="D1017" i="18"/>
  <c r="G1016" i="18"/>
  <c r="G306" i="7941" s="1"/>
  <c r="D1016" i="18"/>
  <c r="G1015" i="18"/>
  <c r="G305" i="7941" s="1"/>
  <c r="D1015" i="18"/>
  <c r="G1014" i="18"/>
  <c r="G304" i="7941" s="1"/>
  <c r="D1014" i="18"/>
  <c r="G1013" i="18"/>
  <c r="G303" i="7941" s="1"/>
  <c r="D1013" i="18"/>
  <c r="G1012" i="18"/>
  <c r="G302" i="7941" s="1"/>
  <c r="D1012" i="18"/>
  <c r="G1011" i="18"/>
  <c r="G301" i="7941" s="1"/>
  <c r="D1011" i="18"/>
  <c r="G1010" i="18"/>
  <c r="G300" i="7941" s="1"/>
  <c r="D1010" i="18"/>
  <c r="G1009" i="18"/>
  <c r="G299" i="7941" s="1"/>
  <c r="D1009" i="18"/>
  <c r="G1008" i="18"/>
  <c r="G298" i="7941" s="1"/>
  <c r="D1008" i="18"/>
  <c r="G1007" i="18"/>
  <c r="G297" i="7941" s="1"/>
  <c r="D1007" i="18"/>
  <c r="G1006" i="18"/>
  <c r="G296" i="7941" s="1"/>
  <c r="D1006" i="18"/>
  <c r="G1005" i="18"/>
  <c r="G295" i="7941" s="1"/>
  <c r="D1005" i="18"/>
  <c r="G1004" i="18"/>
  <c r="G294" i="7941" s="1"/>
  <c r="D1004" i="18"/>
  <c r="G1003" i="18"/>
  <c r="G293" i="7941" s="1"/>
  <c r="D1003" i="18"/>
  <c r="G1002" i="18"/>
  <c r="G292" i="7941" s="1"/>
  <c r="D1002" i="18"/>
  <c r="G1001" i="18"/>
  <c r="G291" i="7941" s="1"/>
  <c r="D1001" i="18"/>
  <c r="G1000" i="18"/>
  <c r="G290" i="7941" s="1"/>
  <c r="D1000" i="18"/>
  <c r="G999" i="18"/>
  <c r="G289" i="7941" s="1"/>
  <c r="D999" i="18"/>
  <c r="G998" i="18"/>
  <c r="G288" i="7941" s="1"/>
  <c r="D998" i="18"/>
  <c r="G997" i="18"/>
  <c r="G287" i="7941" s="1"/>
  <c r="D997" i="18"/>
  <c r="G996" i="18"/>
  <c r="G286" i="7941" s="1"/>
  <c r="D996" i="18"/>
  <c r="G995" i="18"/>
  <c r="G285" i="7941" s="1"/>
  <c r="D995" i="18"/>
  <c r="G994" i="18"/>
  <c r="G284" i="7941" s="1"/>
  <c r="D994" i="18"/>
  <c r="G993" i="18"/>
  <c r="G283" i="7941" s="1"/>
  <c r="D993" i="18"/>
  <c r="G992" i="18"/>
  <c r="G282" i="7941" s="1"/>
  <c r="D992" i="18"/>
  <c r="G991" i="18"/>
  <c r="G281" i="7941" s="1"/>
  <c r="D991" i="18"/>
  <c r="G990" i="18"/>
  <c r="G280" i="7941" s="1"/>
  <c r="D990" i="18"/>
  <c r="G989" i="18"/>
  <c r="G279" i="7941" s="1"/>
  <c r="D989" i="18"/>
  <c r="G988" i="18"/>
  <c r="G278" i="7941" s="1"/>
  <c r="D988" i="18"/>
  <c r="G987" i="18"/>
  <c r="G277" i="7941" s="1"/>
  <c r="D987" i="18"/>
  <c r="G986" i="18"/>
  <c r="G276" i="7941" s="1"/>
  <c r="D986" i="18"/>
  <c r="G985" i="18"/>
  <c r="G275" i="7941" s="1"/>
  <c r="D985" i="18"/>
  <c r="G984" i="18"/>
  <c r="G274" i="7941" s="1"/>
  <c r="D984" i="18"/>
  <c r="G983" i="18"/>
  <c r="G273" i="7941" s="1"/>
  <c r="D983" i="18"/>
  <c r="G982" i="18"/>
  <c r="G272" i="7941" s="1"/>
  <c r="D982" i="18"/>
  <c r="G981" i="18"/>
  <c r="G271" i="7941" s="1"/>
  <c r="D981" i="18"/>
  <c r="D980" i="18"/>
  <c r="D979" i="18"/>
  <c r="D978" i="18"/>
  <c r="G975" i="18"/>
  <c r="G265" i="7941" s="1"/>
  <c r="D975" i="18"/>
  <c r="G974" i="18"/>
  <c r="G264" i="7941" s="1"/>
  <c r="D974" i="18"/>
  <c r="G973" i="18"/>
  <c r="G263" i="7941" s="1"/>
  <c r="D973" i="18"/>
  <c r="G972" i="18"/>
  <c r="G262" i="7941" s="1"/>
  <c r="D972" i="18"/>
  <c r="G971" i="18"/>
  <c r="G261" i="7941" s="1"/>
  <c r="D971" i="18"/>
  <c r="G970" i="18"/>
  <c r="G260" i="7941" s="1"/>
  <c r="D970" i="18"/>
  <c r="G969" i="18"/>
  <c r="G259" i="7941" s="1"/>
  <c r="D969" i="18"/>
  <c r="G968" i="18"/>
  <c r="G258" i="7941" s="1"/>
  <c r="D968" i="18"/>
  <c r="G967" i="18"/>
  <c r="G257" i="7941" s="1"/>
  <c r="D967" i="18"/>
  <c r="G966" i="18"/>
  <c r="G256" i="7941" s="1"/>
  <c r="D966" i="18"/>
  <c r="G965" i="18"/>
  <c r="G255" i="7941" s="1"/>
  <c r="D965" i="18"/>
  <c r="G964" i="18"/>
  <c r="G254" i="7941" s="1"/>
  <c r="D964" i="18"/>
  <c r="G963" i="18"/>
  <c r="G253" i="7941" s="1"/>
  <c r="D963" i="18"/>
  <c r="G962" i="18"/>
  <c r="G252" i="7941" s="1"/>
  <c r="D962" i="18"/>
  <c r="G961" i="18"/>
  <c r="G251" i="7941" s="1"/>
  <c r="D961" i="18"/>
  <c r="G960" i="18"/>
  <c r="G250" i="7941" s="1"/>
  <c r="D960" i="18"/>
  <c r="G959" i="18"/>
  <c r="G249" i="7941" s="1"/>
  <c r="D959" i="18"/>
  <c r="G958" i="18"/>
  <c r="G248" i="7941" s="1"/>
  <c r="D958" i="18"/>
  <c r="G957" i="18"/>
  <c r="G247" i="7941" s="1"/>
  <c r="D957" i="18"/>
  <c r="G956" i="18"/>
  <c r="G246" i="7941" s="1"/>
  <c r="D956" i="18"/>
  <c r="G955" i="18"/>
  <c r="G245" i="7941" s="1"/>
  <c r="D955" i="18"/>
  <c r="G954" i="18"/>
  <c r="G244" i="7941" s="1"/>
  <c r="D954" i="18"/>
  <c r="G953" i="18"/>
  <c r="G243" i="7941" s="1"/>
  <c r="D953" i="18"/>
  <c r="G952" i="18"/>
  <c r="G242" i="7941" s="1"/>
  <c r="D952" i="18"/>
  <c r="G951" i="18"/>
  <c r="G241" i="7941" s="1"/>
  <c r="D951" i="18"/>
  <c r="G950" i="18"/>
  <c r="G240" i="7941" s="1"/>
  <c r="D950" i="18"/>
  <c r="G949" i="18"/>
  <c r="G239" i="7941" s="1"/>
  <c r="D949" i="18"/>
  <c r="G948" i="18"/>
  <c r="G238" i="7941" s="1"/>
  <c r="D948" i="18"/>
  <c r="G947" i="18"/>
  <c r="G237" i="7941" s="1"/>
  <c r="D947" i="18"/>
  <c r="G946" i="18"/>
  <c r="G236" i="7941" s="1"/>
  <c r="D946" i="18"/>
  <c r="G945" i="18"/>
  <c r="G235" i="7941" s="1"/>
  <c r="D945" i="18"/>
  <c r="G944" i="18"/>
  <c r="G234" i="7941" s="1"/>
  <c r="D944" i="18"/>
  <c r="G943" i="18"/>
  <c r="G233" i="7941" s="1"/>
  <c r="D943" i="18"/>
  <c r="G942" i="18"/>
  <c r="G232" i="7941" s="1"/>
  <c r="D942" i="18"/>
  <c r="G941" i="18"/>
  <c r="G231" i="7941" s="1"/>
  <c r="D941" i="18"/>
  <c r="G940" i="18"/>
  <c r="G230" i="7941" s="1"/>
  <c r="D940" i="18"/>
  <c r="G939" i="18"/>
  <c r="G229" i="7941" s="1"/>
  <c r="D939" i="18"/>
  <c r="G938" i="18"/>
  <c r="G228" i="7941" s="1"/>
  <c r="D938" i="18"/>
  <c r="G937" i="18"/>
  <c r="G227" i="7941" s="1"/>
  <c r="D937" i="18"/>
  <c r="G936" i="18"/>
  <c r="G226" i="7941" s="1"/>
  <c r="D936" i="18"/>
  <c r="G935" i="18"/>
  <c r="G225" i="7941" s="1"/>
  <c r="D935" i="18"/>
  <c r="G934" i="18"/>
  <c r="G224" i="7941" s="1"/>
  <c r="D934" i="18"/>
  <c r="G933" i="18"/>
  <c r="G223" i="7941" s="1"/>
  <c r="D933" i="18"/>
  <c r="G932" i="18"/>
  <c r="G222" i="7941" s="1"/>
  <c r="D932" i="18"/>
  <c r="G931" i="18"/>
  <c r="G221" i="7941" s="1"/>
  <c r="D931" i="18"/>
  <c r="G930" i="18"/>
  <c r="G220" i="7941" s="1"/>
  <c r="D930" i="18"/>
  <c r="G929" i="18"/>
  <c r="G219" i="7941" s="1"/>
  <c r="D929" i="18"/>
  <c r="D928" i="18"/>
  <c r="D927" i="18"/>
  <c r="D926" i="18"/>
  <c r="G923" i="18"/>
  <c r="G213" i="7941" s="1"/>
  <c r="D923" i="18"/>
  <c r="G922" i="18"/>
  <c r="G212" i="7941" s="1"/>
  <c r="D922" i="18"/>
  <c r="G921" i="18"/>
  <c r="G211" i="7941" s="1"/>
  <c r="D921" i="18"/>
  <c r="G920" i="18"/>
  <c r="G210" i="7941" s="1"/>
  <c r="D920" i="18"/>
  <c r="G919" i="18"/>
  <c r="G209" i="7941" s="1"/>
  <c r="D919" i="18"/>
  <c r="G918" i="18"/>
  <c r="G208" i="7941" s="1"/>
  <c r="D918" i="18"/>
  <c r="G917" i="18"/>
  <c r="G207" i="7941" s="1"/>
  <c r="D917" i="18"/>
  <c r="G916" i="18"/>
  <c r="G206" i="7941" s="1"/>
  <c r="D916" i="18"/>
  <c r="G915" i="18"/>
  <c r="G205" i="7941" s="1"/>
  <c r="D915" i="18"/>
  <c r="G914" i="18"/>
  <c r="G204" i="7941" s="1"/>
  <c r="D914" i="18"/>
  <c r="G913" i="18"/>
  <c r="G203" i="7941" s="1"/>
  <c r="D913" i="18"/>
  <c r="G912" i="18"/>
  <c r="G202" i="7941" s="1"/>
  <c r="D912" i="18"/>
  <c r="G911" i="18"/>
  <c r="G201" i="7941" s="1"/>
  <c r="D911" i="18"/>
  <c r="G910" i="18"/>
  <c r="G200" i="7941" s="1"/>
  <c r="D910" i="18"/>
  <c r="G909" i="18"/>
  <c r="G199" i="7941" s="1"/>
  <c r="D909" i="18"/>
  <c r="G908" i="18"/>
  <c r="G198" i="7941" s="1"/>
  <c r="D908" i="18"/>
  <c r="G907" i="18"/>
  <c r="G197" i="7941" s="1"/>
  <c r="D907" i="18"/>
  <c r="G906" i="18"/>
  <c r="G196" i="7941" s="1"/>
  <c r="D906" i="18"/>
  <c r="G905" i="18"/>
  <c r="G195" i="7941" s="1"/>
  <c r="D905" i="18"/>
  <c r="G904" i="18"/>
  <c r="G194" i="7941" s="1"/>
  <c r="D904" i="18"/>
  <c r="G903" i="18"/>
  <c r="G193" i="7941" s="1"/>
  <c r="D903" i="18"/>
  <c r="G902" i="18"/>
  <c r="G192" i="7941" s="1"/>
  <c r="D902" i="18"/>
  <c r="G901" i="18"/>
  <c r="G191" i="7941" s="1"/>
  <c r="D901" i="18"/>
  <c r="G900" i="18"/>
  <c r="G190" i="7941" s="1"/>
  <c r="D900" i="18"/>
  <c r="G899" i="18"/>
  <c r="G189" i="7941" s="1"/>
  <c r="D899" i="18"/>
  <c r="G898" i="18"/>
  <c r="G188" i="7941" s="1"/>
  <c r="D898" i="18"/>
  <c r="G897" i="18"/>
  <c r="G187" i="7941" s="1"/>
  <c r="D897" i="18"/>
  <c r="G896" i="18"/>
  <c r="G186" i="7941" s="1"/>
  <c r="D896" i="18"/>
  <c r="G895" i="18"/>
  <c r="G185" i="7941" s="1"/>
  <c r="D895" i="18"/>
  <c r="G894" i="18"/>
  <c r="G184" i="7941" s="1"/>
  <c r="D894" i="18"/>
  <c r="G893" i="18"/>
  <c r="G183" i="7941" s="1"/>
  <c r="D893" i="18"/>
  <c r="G892" i="18"/>
  <c r="G182" i="7941" s="1"/>
  <c r="D892" i="18"/>
  <c r="G891" i="18"/>
  <c r="G181" i="7941" s="1"/>
  <c r="D891" i="18"/>
  <c r="G890" i="18"/>
  <c r="G180" i="7941" s="1"/>
  <c r="D890" i="18"/>
  <c r="G889" i="18"/>
  <c r="G179" i="7941" s="1"/>
  <c r="D889" i="18"/>
  <c r="G888" i="18"/>
  <c r="G178" i="7941" s="1"/>
  <c r="D888" i="18"/>
  <c r="G887" i="18"/>
  <c r="G177" i="7941" s="1"/>
  <c r="D887" i="18"/>
  <c r="G886" i="18"/>
  <c r="G176" i="7941" s="1"/>
  <c r="D886" i="18"/>
  <c r="G885" i="18"/>
  <c r="G175" i="7941" s="1"/>
  <c r="D885" i="18"/>
  <c r="G884" i="18"/>
  <c r="G174" i="7941" s="1"/>
  <c r="D884" i="18"/>
  <c r="G883" i="18"/>
  <c r="G173" i="7941" s="1"/>
  <c r="D883" i="18"/>
  <c r="G882" i="18"/>
  <c r="G172" i="7941" s="1"/>
  <c r="D882" i="18"/>
  <c r="G881" i="18"/>
  <c r="G171" i="7941" s="1"/>
  <c r="D881" i="18"/>
  <c r="G880" i="18"/>
  <c r="G170" i="7941" s="1"/>
  <c r="D880" i="18"/>
  <c r="G879" i="18"/>
  <c r="G169" i="7941" s="1"/>
  <c r="D879" i="18"/>
  <c r="G878" i="18"/>
  <c r="G168" i="7941" s="1"/>
  <c r="D878" i="18"/>
  <c r="G877" i="18"/>
  <c r="G167" i="7941" s="1"/>
  <c r="D877" i="18"/>
  <c r="D876" i="18"/>
  <c r="D875" i="18"/>
  <c r="D874" i="18"/>
  <c r="G161" i="7941"/>
  <c r="D871" i="18"/>
  <c r="G160" i="7941"/>
  <c r="D870" i="18"/>
  <c r="G159" i="7941"/>
  <c r="D869" i="18"/>
  <c r="G158" i="7941"/>
  <c r="D868" i="18"/>
  <c r="G157" i="7941"/>
  <c r="D867" i="18"/>
  <c r="G156" i="7941"/>
  <c r="D866" i="18"/>
  <c r="G155" i="7941"/>
  <c r="D865" i="18"/>
  <c r="G154" i="7941"/>
  <c r="D864" i="18"/>
  <c r="G153" i="7941"/>
  <c r="D863" i="18"/>
  <c r="G152" i="7941"/>
  <c r="D862" i="18"/>
  <c r="G151" i="7941"/>
  <c r="D861" i="18"/>
  <c r="G150" i="7941"/>
  <c r="D860" i="18"/>
  <c r="G149" i="7941"/>
  <c r="D859" i="18"/>
  <c r="G148" i="7941"/>
  <c r="D858" i="18"/>
  <c r="G147" i="7941"/>
  <c r="D857" i="18"/>
  <c r="G146" i="7941"/>
  <c r="D856" i="18"/>
  <c r="G145" i="7941"/>
  <c r="D855" i="18"/>
  <c r="G144" i="7941"/>
  <c r="D854" i="18"/>
  <c r="G143" i="7941"/>
  <c r="D853" i="18"/>
  <c r="G142" i="7941"/>
  <c r="D852" i="18"/>
  <c r="G141" i="7941"/>
  <c r="D851" i="18"/>
  <c r="G140" i="7941"/>
  <c r="D850" i="18"/>
  <c r="G139" i="7941"/>
  <c r="D849" i="18"/>
  <c r="G138" i="7941"/>
  <c r="D848" i="18"/>
  <c r="G137" i="7941"/>
  <c r="D847" i="18"/>
  <c r="G136" i="7941"/>
  <c r="D846" i="18"/>
  <c r="G135" i="7941"/>
  <c r="D845" i="18"/>
  <c r="G134" i="7941"/>
  <c r="D844" i="18"/>
  <c r="G133" i="7941"/>
  <c r="D843" i="18"/>
  <c r="G132" i="7941"/>
  <c r="D842" i="18"/>
  <c r="G131" i="7941"/>
  <c r="D841" i="18"/>
  <c r="G130" i="7941"/>
  <c r="D840" i="18"/>
  <c r="G129" i="7941"/>
  <c r="D839" i="18"/>
  <c r="G128" i="7941"/>
  <c r="D838" i="18"/>
  <c r="G127" i="7941"/>
  <c r="D837" i="18"/>
  <c r="G126" i="7941"/>
  <c r="D836" i="18"/>
  <c r="G125" i="7941"/>
  <c r="D835" i="18"/>
  <c r="G124" i="7941"/>
  <c r="D834" i="18"/>
  <c r="G123" i="7941"/>
  <c r="D833" i="18"/>
  <c r="G122" i="7941"/>
  <c r="D832" i="18"/>
  <c r="G121" i="7941"/>
  <c r="D831" i="18"/>
  <c r="G120" i="7941"/>
  <c r="D830" i="18"/>
  <c r="G119" i="7941"/>
  <c r="D829" i="18"/>
  <c r="G118" i="7941"/>
  <c r="D828" i="18"/>
  <c r="G117" i="7941"/>
  <c r="D827" i="18"/>
  <c r="G116" i="7941"/>
  <c r="D826" i="18"/>
  <c r="G115" i="7941"/>
  <c r="D825" i="18"/>
  <c r="D824" i="18"/>
  <c r="D823" i="18"/>
  <c r="D822" i="18"/>
  <c r="G819" i="18"/>
  <c r="G109" i="7941" s="1"/>
  <c r="D819" i="18"/>
  <c r="G818" i="18"/>
  <c r="G108" i="7941" s="1"/>
  <c r="D818" i="18"/>
  <c r="G817" i="18"/>
  <c r="G107" i="7941" s="1"/>
  <c r="D817" i="18"/>
  <c r="G816" i="18"/>
  <c r="G106" i="7941" s="1"/>
  <c r="D816" i="18"/>
  <c r="G815" i="18"/>
  <c r="G105" i="7941" s="1"/>
  <c r="D815" i="18"/>
  <c r="G814" i="18"/>
  <c r="G104" i="7941" s="1"/>
  <c r="D814" i="18"/>
  <c r="G813" i="18"/>
  <c r="G103" i="7941" s="1"/>
  <c r="D813" i="18"/>
  <c r="G812" i="18"/>
  <c r="G102" i="7941" s="1"/>
  <c r="D812" i="18"/>
  <c r="G811" i="18"/>
  <c r="G101" i="7941" s="1"/>
  <c r="D811" i="18"/>
  <c r="G810" i="18"/>
  <c r="G100" i="7941" s="1"/>
  <c r="D810" i="18"/>
  <c r="G809" i="18"/>
  <c r="G99" i="7941" s="1"/>
  <c r="D809" i="18"/>
  <c r="G808" i="18"/>
  <c r="G98" i="7941" s="1"/>
  <c r="D808" i="18"/>
  <c r="G807" i="18"/>
  <c r="G97" i="7941" s="1"/>
  <c r="D807" i="18"/>
  <c r="G806" i="18"/>
  <c r="G96" i="7941" s="1"/>
  <c r="D806" i="18"/>
  <c r="G805" i="18"/>
  <c r="G95" i="7941" s="1"/>
  <c r="D805" i="18"/>
  <c r="G804" i="18"/>
  <c r="G94" i="7941" s="1"/>
  <c r="D804" i="18"/>
  <c r="G803" i="18"/>
  <c r="G93" i="7941" s="1"/>
  <c r="D803" i="18"/>
  <c r="G802" i="18"/>
  <c r="G92" i="7941" s="1"/>
  <c r="D802" i="18"/>
  <c r="G801" i="18"/>
  <c r="G91" i="7941" s="1"/>
  <c r="D801" i="18"/>
  <c r="G800" i="18"/>
  <c r="G90" i="7941" s="1"/>
  <c r="D800" i="18"/>
  <c r="G799" i="18"/>
  <c r="G89" i="7941" s="1"/>
  <c r="D799" i="18"/>
  <c r="G798" i="18"/>
  <c r="G88" i="7941" s="1"/>
  <c r="D798" i="18"/>
  <c r="G797" i="18"/>
  <c r="G87" i="7941" s="1"/>
  <c r="D797" i="18"/>
  <c r="G796" i="18"/>
  <c r="G86" i="7941" s="1"/>
  <c r="D796" i="18"/>
  <c r="G795" i="18"/>
  <c r="G85" i="7941" s="1"/>
  <c r="D795" i="18"/>
  <c r="G794" i="18"/>
  <c r="G84" i="7941" s="1"/>
  <c r="D794" i="18"/>
  <c r="G793" i="18"/>
  <c r="G83" i="7941" s="1"/>
  <c r="D793" i="18"/>
  <c r="G792" i="18"/>
  <c r="G82" i="7941" s="1"/>
  <c r="D792" i="18"/>
  <c r="G791" i="18"/>
  <c r="G81" i="7941" s="1"/>
  <c r="D791" i="18"/>
  <c r="G790" i="18"/>
  <c r="G80" i="7941" s="1"/>
  <c r="D790" i="18"/>
  <c r="G789" i="18"/>
  <c r="G79" i="7941" s="1"/>
  <c r="D789" i="18"/>
  <c r="G788" i="18"/>
  <c r="G78" i="7941" s="1"/>
  <c r="D788" i="18"/>
  <c r="G787" i="18"/>
  <c r="G77" i="7941" s="1"/>
  <c r="D787" i="18"/>
  <c r="G786" i="18"/>
  <c r="G76" i="7941" s="1"/>
  <c r="D786" i="18"/>
  <c r="G785" i="18"/>
  <c r="G75" i="7941" s="1"/>
  <c r="D785" i="18"/>
  <c r="G784" i="18"/>
  <c r="G74" i="7941" s="1"/>
  <c r="D784" i="18"/>
  <c r="G783" i="18"/>
  <c r="G73" i="7941" s="1"/>
  <c r="D783" i="18"/>
  <c r="G782" i="18"/>
  <c r="G72" i="7941" s="1"/>
  <c r="D782" i="18"/>
  <c r="G781" i="18"/>
  <c r="G71" i="7941" s="1"/>
  <c r="D781" i="18"/>
  <c r="G780" i="18"/>
  <c r="G70" i="7941" s="1"/>
  <c r="D780" i="18"/>
  <c r="G779" i="18"/>
  <c r="G69" i="7941" s="1"/>
  <c r="D779" i="18"/>
  <c r="G778" i="18"/>
  <c r="G68" i="7941" s="1"/>
  <c r="D778" i="18"/>
  <c r="G777" i="18"/>
  <c r="G67" i="7941" s="1"/>
  <c r="D777" i="18"/>
  <c r="G776" i="18"/>
  <c r="G66" i="7941" s="1"/>
  <c r="D776" i="18"/>
  <c r="G775" i="18"/>
  <c r="G65" i="7941" s="1"/>
  <c r="D775" i="18"/>
  <c r="G774" i="18"/>
  <c r="G64" i="7941" s="1"/>
  <c r="D774" i="18"/>
  <c r="G773" i="18"/>
  <c r="G63" i="7941" s="1"/>
  <c r="D773" i="18"/>
  <c r="D772" i="18"/>
  <c r="D771" i="18"/>
  <c r="D770" i="18"/>
  <c r="G767" i="18"/>
  <c r="D767" i="18"/>
  <c r="G766" i="18"/>
  <c r="D766" i="18"/>
  <c r="G765" i="18"/>
  <c r="D765" i="18"/>
  <c r="G764" i="18"/>
  <c r="D764" i="18"/>
  <c r="G763" i="18"/>
  <c r="D763" i="18"/>
  <c r="G762" i="18"/>
  <c r="D762" i="18"/>
  <c r="G761" i="18"/>
  <c r="D761" i="18"/>
  <c r="G760" i="18"/>
  <c r="D760" i="18"/>
  <c r="G759" i="18"/>
  <c r="D759" i="18"/>
  <c r="G758" i="18"/>
  <c r="D758" i="18"/>
  <c r="G757" i="18"/>
  <c r="D757" i="18"/>
  <c r="G756" i="18"/>
  <c r="D756" i="18"/>
  <c r="G755" i="18"/>
  <c r="D755" i="18"/>
  <c r="G754" i="18"/>
  <c r="D754" i="18"/>
  <c r="G753" i="18"/>
  <c r="D753" i="18"/>
  <c r="G752" i="18"/>
  <c r="D752" i="18"/>
  <c r="G751" i="18"/>
  <c r="D751" i="18"/>
  <c r="G750" i="18"/>
  <c r="D750" i="18"/>
  <c r="G749" i="18"/>
  <c r="D749" i="18"/>
  <c r="G748" i="18"/>
  <c r="D748" i="18"/>
  <c r="G747" i="18"/>
  <c r="D747" i="18"/>
  <c r="G746" i="18"/>
  <c r="D746" i="18"/>
  <c r="G745" i="18"/>
  <c r="D745" i="18"/>
  <c r="G744" i="18"/>
  <c r="D744" i="18"/>
  <c r="G743" i="18"/>
  <c r="D743" i="18"/>
  <c r="G742" i="18"/>
  <c r="D742" i="18"/>
  <c r="G741" i="18"/>
  <c r="D741" i="18"/>
  <c r="G740" i="18"/>
  <c r="D740" i="18"/>
  <c r="G739" i="18"/>
  <c r="D739" i="18"/>
  <c r="G738" i="18"/>
  <c r="D738" i="18"/>
  <c r="G737" i="18"/>
  <c r="D737" i="18"/>
  <c r="G736" i="18"/>
  <c r="D736" i="18"/>
  <c r="G735" i="18"/>
  <c r="D735" i="18"/>
  <c r="G734" i="18"/>
  <c r="D734" i="18"/>
  <c r="G733" i="18"/>
  <c r="D733" i="18"/>
  <c r="G732" i="18"/>
  <c r="D732" i="18"/>
  <c r="G731" i="18"/>
  <c r="D731" i="18"/>
  <c r="G730" i="18"/>
  <c r="D730" i="18"/>
  <c r="G729" i="18"/>
  <c r="D729" i="18"/>
  <c r="G728" i="18"/>
  <c r="D728" i="18"/>
  <c r="G727" i="18"/>
  <c r="D727" i="18"/>
  <c r="G726" i="18"/>
  <c r="D726" i="18"/>
  <c r="G725" i="18"/>
  <c r="D725" i="18"/>
  <c r="D724" i="18"/>
  <c r="D723" i="18"/>
  <c r="D722" i="18"/>
  <c r="D721" i="18"/>
  <c r="D720" i="18"/>
  <c r="D719" i="18"/>
  <c r="D718" i="18"/>
  <c r="D713" i="18"/>
  <c r="C701" i="18"/>
  <c r="D700" i="18"/>
  <c r="C688" i="18"/>
  <c r="D687" i="18"/>
  <c r="C675" i="18"/>
  <c r="D674" i="18"/>
  <c r="C662" i="18"/>
  <c r="D661" i="18"/>
  <c r="C649" i="18"/>
  <c r="D648" i="18"/>
  <c r="C636" i="18"/>
  <c r="D635" i="18"/>
  <c r="C623" i="18"/>
  <c r="D622" i="18"/>
  <c r="C610" i="18"/>
  <c r="D609" i="18"/>
  <c r="C597" i="18"/>
  <c r="D596" i="18"/>
  <c r="C584" i="18"/>
  <c r="D583" i="18"/>
  <c r="C571" i="18"/>
  <c r="D570" i="18"/>
  <c r="C558" i="18"/>
  <c r="D557" i="18"/>
  <c r="C545" i="18"/>
  <c r="D544" i="18"/>
  <c r="C532" i="18"/>
  <c r="D531" i="18"/>
  <c r="C519" i="18"/>
  <c r="D518" i="18"/>
  <c r="C506" i="18"/>
  <c r="D505" i="18"/>
  <c r="C493" i="18"/>
  <c r="D492" i="18"/>
  <c r="C480" i="18"/>
  <c r="D479" i="18"/>
  <c r="C467" i="18"/>
  <c r="D466" i="18"/>
  <c r="C454" i="18"/>
  <c r="D453" i="18"/>
  <c r="C441" i="18"/>
  <c r="D440" i="18"/>
  <c r="C428" i="18"/>
  <c r="D427" i="18"/>
  <c r="C415" i="18"/>
  <c r="D414" i="18"/>
  <c r="C402" i="18"/>
  <c r="D401" i="18"/>
  <c r="C389" i="18"/>
  <c r="D388" i="18"/>
  <c r="C376" i="18"/>
  <c r="D375" i="18"/>
  <c r="C363" i="18"/>
  <c r="D362" i="18"/>
  <c r="C350" i="18"/>
  <c r="D349" i="18"/>
  <c r="C337" i="18"/>
  <c r="D336" i="18"/>
  <c r="C324" i="18"/>
  <c r="D323" i="18"/>
  <c r="C311" i="18"/>
  <c r="D310" i="18"/>
  <c r="C298" i="18"/>
  <c r="D297" i="18"/>
  <c r="C285" i="18"/>
  <c r="D284" i="18"/>
  <c r="C272" i="18"/>
  <c r="D271" i="18"/>
  <c r="C259" i="18"/>
  <c r="D258" i="18"/>
  <c r="C246" i="18"/>
  <c r="D245" i="18"/>
  <c r="C233" i="18"/>
  <c r="D232" i="18"/>
  <c r="C220" i="18"/>
  <c r="D219" i="18"/>
  <c r="C207" i="18"/>
  <c r="D206" i="18"/>
  <c r="C194" i="18"/>
  <c r="D193" i="18"/>
  <c r="C181" i="18"/>
  <c r="D180" i="18"/>
  <c r="C168" i="18"/>
  <c r="D167" i="18"/>
  <c r="C155" i="18"/>
  <c r="D154" i="18"/>
  <c r="C142" i="18"/>
  <c r="D141" i="18"/>
  <c r="C129" i="18"/>
  <c r="D128" i="18"/>
  <c r="C116" i="18"/>
  <c r="D115" i="18"/>
  <c r="C103" i="18"/>
  <c r="D102" i="18"/>
  <c r="C90" i="18"/>
  <c r="D89" i="18"/>
  <c r="C77" i="18"/>
  <c r="D76" i="18"/>
  <c r="C64"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G7" i="18"/>
  <c r="Q6" i="18"/>
  <c r="P6" i="18"/>
  <c r="O6" i="18"/>
  <c r="N6" i="18"/>
  <c r="M6" i="18"/>
  <c r="L6" i="18"/>
  <c r="K6" i="18"/>
  <c r="J6" i="18"/>
  <c r="I6" i="18"/>
  <c r="H6" i="18"/>
  <c r="G6" i="18"/>
  <c r="H3" i="18"/>
  <c r="C268" i="7942"/>
  <c r="C266" i="7942"/>
  <c r="C264" i="7942"/>
  <c r="C262" i="7942"/>
  <c r="C260" i="7942"/>
  <c r="C258" i="7942"/>
  <c r="C256" i="7942"/>
  <c r="C254" i="7942"/>
  <c r="C252" i="7942"/>
  <c r="C250" i="7942"/>
  <c r="C248" i="7942"/>
  <c r="C246" i="7942"/>
  <c r="C244" i="7942"/>
  <c r="C242" i="7942"/>
  <c r="C240" i="7942"/>
  <c r="C238" i="7942"/>
  <c r="C236" i="7942"/>
  <c r="C234" i="7942"/>
  <c r="C232" i="7942"/>
  <c r="C230" i="7942"/>
  <c r="C228" i="7942"/>
  <c r="C226" i="7942"/>
  <c r="C224" i="7942"/>
  <c r="C222" i="7942"/>
  <c r="C220" i="7942"/>
  <c r="C218" i="7942"/>
  <c r="C216" i="7942"/>
  <c r="C214" i="7942"/>
  <c r="C212" i="7942"/>
  <c r="C210" i="7942"/>
  <c r="C208" i="7942"/>
  <c r="C206" i="7942"/>
  <c r="C204" i="7942"/>
  <c r="C202" i="7942"/>
  <c r="C200" i="7942"/>
  <c r="C198" i="7942"/>
  <c r="C196" i="7942"/>
  <c r="C194" i="7942"/>
  <c r="C192" i="7942"/>
  <c r="C190" i="7942"/>
  <c r="C188" i="7942"/>
  <c r="C186" i="7942"/>
  <c r="C184" i="7942"/>
  <c r="C182" i="7942"/>
  <c r="C180" i="7942"/>
  <c r="C178" i="7942"/>
  <c r="C176" i="7942"/>
  <c r="C174" i="7942"/>
  <c r="C172" i="7942"/>
  <c r="C170" i="7942"/>
  <c r="C167" i="7942"/>
  <c r="C166" i="7942"/>
  <c r="C165" i="7942"/>
  <c r="C164" i="7942"/>
  <c r="C163" i="7942"/>
  <c r="C162" i="7942"/>
  <c r="C161" i="7942"/>
  <c r="C160" i="7942"/>
  <c r="C159" i="7942"/>
  <c r="C158" i="7942"/>
  <c r="C157" i="7942"/>
  <c r="C156" i="7942"/>
  <c r="C155" i="7942"/>
  <c r="C154" i="7942"/>
  <c r="C153" i="7942"/>
  <c r="C152" i="7942"/>
  <c r="C151" i="7942"/>
  <c r="C150" i="7942"/>
  <c r="C149" i="7942"/>
  <c r="C148" i="7942"/>
  <c r="C147" i="7942"/>
  <c r="C146" i="7942"/>
  <c r="C145" i="7942"/>
  <c r="C144" i="7942"/>
  <c r="C143" i="7942"/>
  <c r="C142" i="7942"/>
  <c r="C141" i="7942"/>
  <c r="C140" i="7942"/>
  <c r="C139" i="7942"/>
  <c r="C138" i="7942"/>
  <c r="C137" i="7942"/>
  <c r="C136" i="7942"/>
  <c r="C135" i="7942"/>
  <c r="C134" i="7942"/>
  <c r="C133" i="7942"/>
  <c r="C132" i="7942"/>
  <c r="C131" i="7942"/>
  <c r="C130" i="7942"/>
  <c r="C129" i="7942"/>
  <c r="C128" i="7942"/>
  <c r="C127" i="7942"/>
  <c r="C126" i="7942"/>
  <c r="C125" i="7942"/>
  <c r="C124" i="7942"/>
  <c r="C123" i="7942"/>
  <c r="C122" i="7942"/>
  <c r="C121" i="7942"/>
  <c r="C120" i="7942"/>
  <c r="C119" i="7942"/>
  <c r="C118" i="7942"/>
  <c r="C115" i="7942"/>
  <c r="C114" i="7942"/>
  <c r="C113" i="7942"/>
  <c r="C112" i="7942"/>
  <c r="C111" i="7942"/>
  <c r="C110" i="7942"/>
  <c r="C109" i="7942"/>
  <c r="C108" i="7942"/>
  <c r="C107" i="7942"/>
  <c r="C106" i="7942"/>
  <c r="C105" i="7942"/>
  <c r="C104" i="7942"/>
  <c r="C103" i="7942"/>
  <c r="C102" i="7942"/>
  <c r="C101" i="7942"/>
  <c r="C100" i="7942"/>
  <c r="C99" i="7942"/>
  <c r="C98" i="7942"/>
  <c r="C97" i="7942"/>
  <c r="C96" i="7942"/>
  <c r="C95" i="7942"/>
  <c r="C94" i="7942"/>
  <c r="C93" i="7942"/>
  <c r="C92" i="7942"/>
  <c r="C91" i="7942"/>
  <c r="C90" i="7942"/>
  <c r="C89" i="7942"/>
  <c r="C88" i="7942"/>
  <c r="C87" i="7942"/>
  <c r="C86" i="7942"/>
  <c r="C85" i="7942"/>
  <c r="C84" i="7942"/>
  <c r="C83" i="7942"/>
  <c r="C82" i="7942"/>
  <c r="C81" i="7942"/>
  <c r="C80" i="7942"/>
  <c r="C79" i="7942"/>
  <c r="C78" i="7942"/>
  <c r="C77" i="7942"/>
  <c r="C76" i="7942"/>
  <c r="C75" i="7942"/>
  <c r="C74" i="7942"/>
  <c r="C73" i="7942"/>
  <c r="C72" i="7942"/>
  <c r="C71" i="7942"/>
  <c r="C70" i="7942"/>
  <c r="C69" i="7942"/>
  <c r="C68" i="7942"/>
  <c r="C67" i="7942"/>
  <c r="C66" i="7942"/>
  <c r="G63" i="7942"/>
  <c r="C63" i="7942"/>
  <c r="G62" i="7942"/>
  <c r="C62" i="7942"/>
  <c r="G61" i="7942"/>
  <c r="C61" i="7942"/>
  <c r="G60" i="7942"/>
  <c r="C60" i="7942"/>
  <c r="G59" i="7942"/>
  <c r="C59" i="7942"/>
  <c r="G58" i="7942"/>
  <c r="C58" i="7942"/>
  <c r="G57" i="7942"/>
  <c r="C57" i="7942"/>
  <c r="G56" i="7942"/>
  <c r="C56" i="7942"/>
  <c r="G55" i="7942"/>
  <c r="C55" i="7942"/>
  <c r="G54" i="7942"/>
  <c r="C54" i="7942"/>
  <c r="G53" i="7942"/>
  <c r="C53" i="7942"/>
  <c r="G52" i="7942"/>
  <c r="C52" i="7942"/>
  <c r="G51" i="7942"/>
  <c r="C51" i="7942"/>
  <c r="G50" i="7942"/>
  <c r="C50" i="7942"/>
  <c r="G49" i="7942"/>
  <c r="C49" i="7942"/>
  <c r="G48" i="7942"/>
  <c r="C48" i="7942"/>
  <c r="G47" i="7942"/>
  <c r="C47" i="7942"/>
  <c r="G46" i="7942"/>
  <c r="C46" i="7942"/>
  <c r="G45" i="7942"/>
  <c r="C45" i="7942"/>
  <c r="G44" i="7942"/>
  <c r="C44" i="7942"/>
  <c r="G43" i="7942"/>
  <c r="C43" i="7942"/>
  <c r="G42" i="7942"/>
  <c r="C42" i="7942"/>
  <c r="G41" i="7942"/>
  <c r="C41" i="7942"/>
  <c r="G40" i="7942"/>
  <c r="C40" i="7942"/>
  <c r="G39" i="7942"/>
  <c r="C39" i="7942"/>
  <c r="G38" i="7942"/>
  <c r="C38" i="7942"/>
  <c r="G37" i="7942"/>
  <c r="C37" i="7942"/>
  <c r="G36" i="7942"/>
  <c r="C36" i="7942"/>
  <c r="G35" i="7942"/>
  <c r="C35" i="7942"/>
  <c r="G34" i="7942"/>
  <c r="C34" i="7942"/>
  <c r="G33" i="7942"/>
  <c r="C33" i="7942"/>
  <c r="G32" i="7942"/>
  <c r="C32" i="7942"/>
  <c r="G31" i="7942"/>
  <c r="C31" i="7942"/>
  <c r="G30" i="7942"/>
  <c r="C30" i="7942"/>
  <c r="G29" i="7942"/>
  <c r="C29" i="7942"/>
  <c r="G28" i="7942"/>
  <c r="C28" i="7942"/>
  <c r="G27" i="7942"/>
  <c r="C27" i="7942"/>
  <c r="G26" i="7942"/>
  <c r="C26" i="7942"/>
  <c r="G25" i="7942"/>
  <c r="C25" i="7942"/>
  <c r="G24" i="7942"/>
  <c r="C24" i="7942"/>
  <c r="G23" i="7942"/>
  <c r="C23" i="7942"/>
  <c r="G22" i="7942"/>
  <c r="C22" i="7942"/>
  <c r="G21" i="7942"/>
  <c r="C21" i="7942"/>
  <c r="G20" i="7942"/>
  <c r="C20" i="7942"/>
  <c r="G19" i="7942"/>
  <c r="C19" i="7942"/>
  <c r="G18" i="7942"/>
  <c r="C18" i="7942"/>
  <c r="G17" i="7942"/>
  <c r="C17" i="7942"/>
  <c r="C16" i="7942"/>
  <c r="C15" i="7942"/>
  <c r="C14" i="7942"/>
  <c r="G7" i="7942"/>
  <c r="P6" i="7942"/>
  <c r="O6" i="7942"/>
  <c r="N6" i="7942"/>
  <c r="M6" i="7942"/>
  <c r="L6" i="7942"/>
  <c r="K6" i="7942"/>
  <c r="J6" i="7942"/>
  <c r="I6" i="7942"/>
  <c r="G6" i="7942"/>
  <c r="G275" i="7942" s="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C821" i="18"/>
  <c r="H288" i="1"/>
  <c r="G288" i="1"/>
  <c r="H285" i="1"/>
  <c r="Q165" i="1"/>
  <c r="P165" i="1"/>
  <c r="O165" i="1"/>
  <c r="N165" i="1"/>
  <c r="M165" i="1"/>
  <c r="L165" i="1"/>
  <c r="K165" i="1"/>
  <c r="J165" i="1"/>
  <c r="I165" i="1"/>
  <c r="H165" i="1"/>
  <c r="G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H60" i="1"/>
  <c r="E5" i="7959" s="1"/>
  <c r="G333" i="7942" l="1"/>
  <c r="G374" i="7942"/>
  <c r="G376" i="7942"/>
  <c r="G375" i="7942"/>
  <c r="G332" i="7942"/>
  <c r="G331" i="7942"/>
  <c r="G330" i="7942"/>
  <c r="R166" i="1"/>
  <c r="H168" i="1"/>
  <c r="H222" i="1"/>
  <c r="G1114" i="18"/>
  <c r="G1116" i="18"/>
  <c r="G1064" i="18" s="1"/>
  <c r="G1118" i="18"/>
  <c r="G1066" i="18" s="1"/>
  <c r="G1120" i="18"/>
  <c r="G1068" i="18" s="1"/>
  <c r="G1122" i="18"/>
  <c r="G1070" i="18" s="1"/>
  <c r="G1124" i="18"/>
  <c r="G1072" i="18" s="1"/>
  <c r="G1126" i="18"/>
  <c r="G1074" i="18" s="1"/>
  <c r="G1128" i="18"/>
  <c r="G1076" i="18" s="1"/>
  <c r="G1130" i="18"/>
  <c r="G1078" i="18" s="1"/>
  <c r="G1132" i="18"/>
  <c r="G1080" i="18" s="1"/>
  <c r="G18" i="7941"/>
  <c r="H18" i="7941" s="1"/>
  <c r="G1094" i="18"/>
  <c r="G1042" i="18" s="1"/>
  <c r="G22" i="7941"/>
  <c r="H22" i="7941" s="1"/>
  <c r="G1098" i="18"/>
  <c r="G1046" i="18" s="1"/>
  <c r="G26" i="7941"/>
  <c r="H26" i="7941" s="1"/>
  <c r="G1102" i="18"/>
  <c r="G1050" i="18" s="1"/>
  <c r="G30" i="7941"/>
  <c r="H30" i="7941" s="1"/>
  <c r="G1106" i="18"/>
  <c r="G1054" i="18" s="1"/>
  <c r="G34" i="7941"/>
  <c r="H34" i="7941" s="1"/>
  <c r="G1110" i="18"/>
  <c r="G1058" i="18" s="1"/>
  <c r="G15" i="7941"/>
  <c r="G329" i="7941" s="1"/>
  <c r="G1091" i="18"/>
  <c r="G1039" i="18" s="1"/>
  <c r="G17" i="7941"/>
  <c r="H17" i="7941" s="1"/>
  <c r="G1093" i="18"/>
  <c r="G1041" i="18" s="1"/>
  <c r="G19" i="7941"/>
  <c r="G333" i="7941" s="1"/>
  <c r="G1095" i="18"/>
  <c r="G1043" i="18" s="1"/>
  <c r="G21" i="7941"/>
  <c r="H21" i="7941" s="1"/>
  <c r="G1097" i="18"/>
  <c r="G1045" i="18" s="1"/>
  <c r="G23" i="7941"/>
  <c r="G337" i="7941" s="1"/>
  <c r="G1099" i="18"/>
  <c r="G1047" i="18" s="1"/>
  <c r="G25" i="7941"/>
  <c r="H25" i="7941" s="1"/>
  <c r="G1101" i="18"/>
  <c r="G1049" i="18" s="1"/>
  <c r="G27" i="7941"/>
  <c r="G341" i="7941" s="1"/>
  <c r="G1103" i="18"/>
  <c r="G1051" i="18" s="1"/>
  <c r="G29" i="7941"/>
  <c r="H29" i="7941" s="1"/>
  <c r="G1105" i="18"/>
  <c r="G1053" i="18" s="1"/>
  <c r="G31" i="7941"/>
  <c r="G345" i="7941" s="1"/>
  <c r="G1107" i="18"/>
  <c r="G1055" i="18" s="1"/>
  <c r="G33" i="7941"/>
  <c r="H33" i="7941" s="1"/>
  <c r="G1109" i="18"/>
  <c r="G1057" i="18" s="1"/>
  <c r="G35" i="7941"/>
  <c r="G349" i="7941" s="1"/>
  <c r="G1111" i="18"/>
  <c r="G1059" i="18" s="1"/>
  <c r="G37" i="7941"/>
  <c r="H37" i="7941" s="1"/>
  <c r="G1113" i="18"/>
  <c r="G1061" i="18" s="1"/>
  <c r="G39" i="7941"/>
  <c r="H39" i="7941" s="1"/>
  <c r="G1115" i="18"/>
  <c r="G1063" i="18" s="1"/>
  <c r="G41" i="7941"/>
  <c r="G355" i="7941" s="1"/>
  <c r="G1117" i="18"/>
  <c r="G1065" i="18" s="1"/>
  <c r="G43" i="7941"/>
  <c r="H43" i="7941" s="1"/>
  <c r="G1119" i="18"/>
  <c r="G1067" i="18" s="1"/>
  <c r="G45" i="7941"/>
  <c r="G359" i="7941" s="1"/>
  <c r="G1121" i="18"/>
  <c r="G1069" i="18" s="1"/>
  <c r="G47" i="7941"/>
  <c r="H47" i="7941" s="1"/>
  <c r="G1123" i="18"/>
  <c r="G1071" i="18" s="1"/>
  <c r="G49" i="7941"/>
  <c r="G363" i="7941" s="1"/>
  <c r="G1125" i="18"/>
  <c r="G1073" i="18" s="1"/>
  <c r="G51" i="7941"/>
  <c r="H51" i="7941" s="1"/>
  <c r="G1127" i="18"/>
  <c r="G1075" i="18" s="1"/>
  <c r="G53" i="7941"/>
  <c r="G367" i="7941" s="1"/>
  <c r="G1129" i="18"/>
  <c r="G1077" i="18" s="1"/>
  <c r="G55" i="7941"/>
  <c r="H55" i="7941" s="1"/>
  <c r="G1131" i="18"/>
  <c r="G1079" i="18" s="1"/>
  <c r="G57" i="7941"/>
  <c r="G371" i="7941" s="1"/>
  <c r="G1133" i="18"/>
  <c r="G1081" i="18" s="1"/>
  <c r="G16" i="7941"/>
  <c r="H16" i="7941" s="1"/>
  <c r="G1092" i="18"/>
  <c r="G1040" i="18" s="1"/>
  <c r="G20" i="7941"/>
  <c r="G334" i="7941" s="1"/>
  <c r="G1096" i="18"/>
  <c r="G1044" i="18" s="1"/>
  <c r="G24" i="7941"/>
  <c r="H24" i="7941" s="1"/>
  <c r="G1100" i="18"/>
  <c r="G1048" i="18" s="1"/>
  <c r="G28" i="7941"/>
  <c r="G342" i="7941" s="1"/>
  <c r="G1104" i="18"/>
  <c r="G1052" i="18" s="1"/>
  <c r="G32" i="7941"/>
  <c r="H32" i="7941" s="1"/>
  <c r="G1108" i="18"/>
  <c r="G1056" i="18" s="1"/>
  <c r="G36" i="7941"/>
  <c r="G350" i="7941" s="1"/>
  <c r="G1112" i="18"/>
  <c r="G1060" i="18" s="1"/>
  <c r="A503" i="7942"/>
  <c r="G307" i="7942"/>
  <c r="G411" i="7942" s="1"/>
  <c r="G299" i="7942"/>
  <c r="G403" i="7942" s="1"/>
  <c r="G319" i="7942"/>
  <c r="G423" i="7942" s="1"/>
  <c r="G315" i="7942"/>
  <c r="G419" i="7942" s="1"/>
  <c r="G311" i="7942"/>
  <c r="G415" i="7942" s="1"/>
  <c r="G282" i="7942"/>
  <c r="G386" i="7942" s="1"/>
  <c r="G292" i="7942"/>
  <c r="G396" i="7942" s="1"/>
  <c r="G281" i="7942"/>
  <c r="G286" i="7942"/>
  <c r="G390" i="7942" s="1"/>
  <c r="G280" i="7942"/>
  <c r="G285" i="7942"/>
  <c r="G389" i="7942" s="1"/>
  <c r="G290" i="7942"/>
  <c r="G394" i="7942" s="1"/>
  <c r="G284" i="7942"/>
  <c r="G388" i="7942" s="1"/>
  <c r="G289" i="7942"/>
  <c r="G393" i="7942" s="1"/>
  <c r="G278" i="7942"/>
  <c r="G288" i="7942"/>
  <c r="G392" i="7942" s="1"/>
  <c r="G293" i="7942"/>
  <c r="G397" i="7942" s="1"/>
  <c r="G298" i="7942"/>
  <c r="G402" i="7942" s="1"/>
  <c r="G308" i="7942"/>
  <c r="G412" i="7942" s="1"/>
  <c r="G297" i="7942"/>
  <c r="G401" i="7942" s="1"/>
  <c r="G302" i="7942"/>
  <c r="G406" i="7942" s="1"/>
  <c r="G296" i="7942"/>
  <c r="G400" i="7942" s="1"/>
  <c r="G301" i="7942"/>
  <c r="G405" i="7942" s="1"/>
  <c r="G306" i="7942"/>
  <c r="G410" i="7942" s="1"/>
  <c r="G300" i="7942"/>
  <c r="G404" i="7942" s="1"/>
  <c r="G305" i="7942"/>
  <c r="G409" i="7942" s="1"/>
  <c r="G294" i="7942"/>
  <c r="G398" i="7942" s="1"/>
  <c r="G304" i="7942"/>
  <c r="G408" i="7942" s="1"/>
  <c r="G309" i="7942"/>
  <c r="G413" i="7942" s="1"/>
  <c r="G314" i="7942"/>
  <c r="G418" i="7942" s="1"/>
  <c r="G324" i="7942"/>
  <c r="G313" i="7942"/>
  <c r="G417" i="7942" s="1"/>
  <c r="G318" i="7942"/>
  <c r="G422" i="7942" s="1"/>
  <c r="G312" i="7942"/>
  <c r="G416" i="7942" s="1"/>
  <c r="G317" i="7942"/>
  <c r="G421" i="7942" s="1"/>
  <c r="G322" i="7942"/>
  <c r="G316" i="7942"/>
  <c r="G420" i="7942" s="1"/>
  <c r="G321" i="7942"/>
  <c r="G425" i="7942" s="1"/>
  <c r="G310" i="7942"/>
  <c r="G414" i="7942" s="1"/>
  <c r="G320" i="7942"/>
  <c r="G424" i="7942" s="1"/>
  <c r="G279" i="7942"/>
  <c r="G283" i="7942"/>
  <c r="G387" i="7942" s="1"/>
  <c r="G323" i="7942"/>
  <c r="G291" i="7942"/>
  <c r="G395" i="7942" s="1"/>
  <c r="G295" i="7942"/>
  <c r="G399" i="7942" s="1"/>
  <c r="G287" i="7942"/>
  <c r="G391" i="7942" s="1"/>
  <c r="G303" i="7942"/>
  <c r="G407" i="7942" s="1"/>
  <c r="G289" i="1"/>
  <c r="G77" i="7942" s="1"/>
  <c r="H357" i="1"/>
  <c r="B2700" i="7949"/>
  <c r="B2676" i="7949"/>
  <c r="B2538" i="7949"/>
  <c r="B2514" i="7949"/>
  <c r="B2430" i="7949"/>
  <c r="B2406" i="7949"/>
  <c r="B2376" i="7949"/>
  <c r="B2352" i="7949"/>
  <c r="B2322" i="7949"/>
  <c r="B2298" i="7949"/>
  <c r="B2160" i="7949"/>
  <c r="B2136" i="7949"/>
  <c r="B2106" i="7949"/>
  <c r="B2082" i="7949"/>
  <c r="B2052" i="7949"/>
  <c r="B2646" i="7949"/>
  <c r="B2622" i="7949"/>
  <c r="B2592" i="7949"/>
  <c r="B2568" i="7949"/>
  <c r="B2484" i="7949"/>
  <c r="B2460" i="7949"/>
  <c r="B2268" i="7949"/>
  <c r="B2244" i="7949"/>
  <c r="B2214" i="7949"/>
  <c r="B2190" i="7949"/>
  <c r="B1998" i="7949"/>
  <c r="B1974" i="7949"/>
  <c r="B1890" i="7949"/>
  <c r="B1866" i="7949"/>
  <c r="B1836" i="7949"/>
  <c r="B1812" i="7949"/>
  <c r="B1782" i="7949"/>
  <c r="B1758" i="7949"/>
  <c r="B1566" i="7949"/>
  <c r="B1542" i="7949"/>
  <c r="B1512" i="7949"/>
  <c r="B1488" i="7949"/>
  <c r="B1458" i="7949"/>
  <c r="B1434" i="7949"/>
  <c r="B2028" i="7949"/>
  <c r="B1944" i="7949"/>
  <c r="B1920" i="7949"/>
  <c r="B1728" i="7949"/>
  <c r="B1704" i="7949"/>
  <c r="B1674" i="7949"/>
  <c r="B1650" i="7949"/>
  <c r="B1620" i="7949"/>
  <c r="B1596" i="7949"/>
  <c r="B1350" i="7949"/>
  <c r="B1326" i="7949"/>
  <c r="B1296" i="7949"/>
  <c r="B1272" i="7949"/>
  <c r="B1242" i="7949"/>
  <c r="B1218" i="7949"/>
  <c r="B1188" i="7949"/>
  <c r="B1164" i="7949"/>
  <c r="B1110" i="7949"/>
  <c r="B1080" i="7949"/>
  <c r="B1056" i="7949"/>
  <c r="B1002" i="7949"/>
  <c r="B948" i="7949"/>
  <c r="B648" i="7949"/>
  <c r="B624" i="7949"/>
  <c r="B540" i="7949"/>
  <c r="B516" i="7949"/>
  <c r="B486" i="7949"/>
  <c r="B462" i="7949"/>
  <c r="B432" i="7949"/>
  <c r="B408" i="7949"/>
  <c r="B378" i="7949"/>
  <c r="B354" i="7949"/>
  <c r="B270" i="7949"/>
  <c r="B246" i="7949"/>
  <c r="B1404" i="7949"/>
  <c r="B1380" i="7949"/>
  <c r="B1134" i="7949"/>
  <c r="B1026" i="7949"/>
  <c r="B972" i="7949"/>
  <c r="B918" i="7949"/>
  <c r="B894" i="7949"/>
  <c r="B864" i="7949"/>
  <c r="B840" i="7949"/>
  <c r="B810" i="7949"/>
  <c r="B786" i="7949"/>
  <c r="B756" i="7949"/>
  <c r="B732" i="7949"/>
  <c r="B702" i="7949"/>
  <c r="B678" i="7949"/>
  <c r="B594" i="7949"/>
  <c r="B570" i="7949"/>
  <c r="B324" i="7949"/>
  <c r="B300" i="7949"/>
  <c r="B216" i="7949"/>
  <c r="B192" i="7949"/>
  <c r="B162" i="7949"/>
  <c r="B138" i="7949"/>
  <c r="N6" i="7950"/>
  <c r="B108" i="7949"/>
  <c r="B84" i="7949"/>
  <c r="B2694" i="7950"/>
  <c r="B2670" i="7950"/>
  <c r="B2586" i="7950"/>
  <c r="B2508" i="7950"/>
  <c r="B2454" i="7950"/>
  <c r="B2424" i="7950"/>
  <c r="B2400" i="7950"/>
  <c r="B2316" i="7950"/>
  <c r="B2292" i="7950"/>
  <c r="B2616" i="7950"/>
  <c r="B2562" i="7950"/>
  <c r="B2478" i="7950"/>
  <c r="B2262" i="7950"/>
  <c r="B2238" i="7950"/>
  <c r="B2208" i="7950"/>
  <c r="B2184" i="7950"/>
  <c r="B2154" i="7950"/>
  <c r="B2130" i="7950"/>
  <c r="B2100" i="7950"/>
  <c r="B2076" i="7950"/>
  <c r="B1968" i="7950"/>
  <c r="B1938" i="7950"/>
  <c r="B1914" i="7950"/>
  <c r="B1830" i="7950"/>
  <c r="B1776" i="7950"/>
  <c r="B2370" i="7950"/>
  <c r="B1752" i="7950"/>
  <c r="B1668" i="7950"/>
  <c r="B1644" i="7950"/>
  <c r="B1590" i="7950"/>
  <c r="B1506" i="7950"/>
  <c r="B1482" i="7950"/>
  <c r="B1428" i="7950"/>
  <c r="B1344" i="7950"/>
  <c r="B1320" i="7950"/>
  <c r="B1050" i="7950"/>
  <c r="B966" i="7950"/>
  <c r="B942" i="7950"/>
  <c r="B888" i="7950"/>
  <c r="B858" i="7950"/>
  <c r="B834" i="7950"/>
  <c r="B804" i="7950"/>
  <c r="B780" i="7950"/>
  <c r="B750" i="7950"/>
  <c r="B726" i="7950"/>
  <c r="B2532" i="7950"/>
  <c r="B2022" i="7950"/>
  <c r="B1884" i="7950"/>
  <c r="B1806" i="7950"/>
  <c r="B1722" i="7950"/>
  <c r="B1698" i="7950"/>
  <c r="B1614" i="7950"/>
  <c r="B1452" i="7950"/>
  <c r="B1398" i="7950"/>
  <c r="B1374" i="7950"/>
  <c r="B1290" i="7950"/>
  <c r="B1266" i="7950"/>
  <c r="B1182" i="7950"/>
  <c r="B1158" i="7950"/>
  <c r="B1074" i="7950"/>
  <c r="B642" i="7950"/>
  <c r="B618" i="7950"/>
  <c r="B588" i="7950"/>
  <c r="B564" i="7950"/>
  <c r="B534" i="7950"/>
  <c r="B510" i="7950"/>
  <c r="B480" i="7950"/>
  <c r="B456" i="7950"/>
  <c r="B426" i="7950"/>
  <c r="B402" i="7950"/>
  <c r="B240" i="7950"/>
  <c r="B2640" i="7950"/>
  <c r="B2346" i="7950"/>
  <c r="B2046" i="7950"/>
  <c r="B1992" i="7950"/>
  <c r="B1860" i="7950"/>
  <c r="B1560" i="7950"/>
  <c r="B1536" i="7950"/>
  <c r="B1236" i="7950"/>
  <c r="B1212" i="7950"/>
  <c r="B1128" i="7950"/>
  <c r="B1104" i="7950"/>
  <c r="B1020" i="7950"/>
  <c r="B996" i="7950"/>
  <c r="B912" i="7950"/>
  <c r="B696" i="7950"/>
  <c r="B672" i="7950"/>
  <c r="B372" i="7950"/>
  <c r="B348" i="7950"/>
  <c r="B318" i="7950"/>
  <c r="B294" i="7950"/>
  <c r="B264" i="7950"/>
  <c r="B210" i="7950"/>
  <c r="B156" i="7950"/>
  <c r="B186" i="7950"/>
  <c r="B132" i="7950"/>
  <c r="B48" i="7950"/>
  <c r="B102" i="7950"/>
  <c r="B78" i="7950"/>
  <c r="B24" i="7950"/>
  <c r="O6" i="7949"/>
  <c r="B30" i="7949"/>
  <c r="B54" i="7949"/>
  <c r="H740" i="18"/>
  <c r="H732" i="18"/>
  <c r="I3" i="18"/>
  <c r="H281" i="1"/>
  <c r="H114" i="1"/>
  <c r="H728" i="18"/>
  <c r="H736" i="18"/>
  <c r="H744" i="18"/>
  <c r="H748" i="18"/>
  <c r="H764" i="18"/>
  <c r="H750" i="18"/>
  <c r="H752" i="18"/>
  <c r="H754" i="18"/>
  <c r="H756" i="18"/>
  <c r="I60" i="1"/>
  <c r="F5" i="7959" s="1"/>
  <c r="G60" i="1"/>
  <c r="H726" i="18"/>
  <c r="H730" i="18"/>
  <c r="H734" i="18"/>
  <c r="H738" i="18"/>
  <c r="H742" i="18"/>
  <c r="H746" i="18"/>
  <c r="H758" i="18"/>
  <c r="H760" i="18"/>
  <c r="H762" i="18"/>
  <c r="H766" i="18"/>
  <c r="H4" i="7944"/>
  <c r="H4" i="7941"/>
  <c r="H4" i="18"/>
  <c r="H298" i="1"/>
  <c r="I288" i="1"/>
  <c r="I285" i="1"/>
  <c r="H289" i="1"/>
  <c r="H4" i="7942"/>
  <c r="H7" i="7942"/>
  <c r="H7" i="18"/>
  <c r="H725" i="18"/>
  <c r="H727" i="18"/>
  <c r="H729" i="18"/>
  <c r="H731" i="18"/>
  <c r="H733" i="18"/>
  <c r="H735" i="18"/>
  <c r="H737" i="18"/>
  <c r="H739" i="18"/>
  <c r="H741" i="18"/>
  <c r="H743" i="18"/>
  <c r="H745" i="18"/>
  <c r="H747" i="18"/>
  <c r="C111" i="7941"/>
  <c r="C63" i="18"/>
  <c r="C1031" i="18"/>
  <c r="G38" i="7941"/>
  <c r="H749" i="18"/>
  <c r="G40" i="7941"/>
  <c r="H751" i="18"/>
  <c r="G42" i="7941"/>
  <c r="H753" i="18"/>
  <c r="G44" i="7941"/>
  <c r="H755" i="18"/>
  <c r="G46" i="7941"/>
  <c r="H757" i="18"/>
  <c r="G48" i="7941"/>
  <c r="H759" i="18"/>
  <c r="G50" i="7941"/>
  <c r="H761" i="18"/>
  <c r="G52" i="7941"/>
  <c r="H763" i="18"/>
  <c r="G54" i="7941"/>
  <c r="H765" i="18"/>
  <c r="G56" i="7941"/>
  <c r="H767" i="18"/>
  <c r="N59" i="7944"/>
  <c r="P59" i="7944"/>
  <c r="O59" i="7944"/>
  <c r="Q59" i="7944"/>
  <c r="G384" i="7942" l="1"/>
  <c r="I157" i="18"/>
  <c r="H27" i="7944"/>
  <c r="H43" i="7944"/>
  <c r="C1899" i="7950" s="1"/>
  <c r="H18" i="7944"/>
  <c r="H24" i="7944"/>
  <c r="H40" i="7944"/>
  <c r="C1737" i="7950" s="1"/>
  <c r="H56" i="7944"/>
  <c r="C2601" i="7950" s="1"/>
  <c r="H46" i="7944"/>
  <c r="C2061" i="7950" s="1"/>
  <c r="H21" i="7944"/>
  <c r="H37" i="7944"/>
  <c r="C1575" i="7950" s="1"/>
  <c r="H53" i="7944"/>
  <c r="C2439" i="7950" s="1"/>
  <c r="H57" i="7944"/>
  <c r="H54" i="7944"/>
  <c r="H39" i="7944"/>
  <c r="C1683" i="7950" s="1"/>
  <c r="H50" i="7944"/>
  <c r="C2277" i="7950" s="1"/>
  <c r="H36" i="7944"/>
  <c r="C1521" i="7950" s="1"/>
  <c r="H17" i="7944"/>
  <c r="H49" i="7944"/>
  <c r="C2223" i="7950" s="1"/>
  <c r="H30" i="7944"/>
  <c r="C1197" i="7950" s="1"/>
  <c r="H15" i="7944"/>
  <c r="C387" i="7950" s="1"/>
  <c r="H31" i="7944"/>
  <c r="H47" i="7944"/>
  <c r="C2115" i="7950" s="1"/>
  <c r="H26" i="7944"/>
  <c r="C981" i="7950" s="1"/>
  <c r="H28" i="7944"/>
  <c r="H44" i="7944"/>
  <c r="C1953" i="7950" s="1"/>
  <c r="H25" i="7944"/>
  <c r="H41" i="7944"/>
  <c r="C1791" i="7950" s="1"/>
  <c r="H23" i="7944"/>
  <c r="C819" i="7950" s="1"/>
  <c r="H55" i="7944"/>
  <c r="C2547" i="7950" s="1"/>
  <c r="H20" i="7944"/>
  <c r="C657" i="7950" s="1"/>
  <c r="H52" i="7944"/>
  <c r="C2385" i="7950" s="1"/>
  <c r="H34" i="7944"/>
  <c r="C1413" i="7950" s="1"/>
  <c r="H33" i="7944"/>
  <c r="C1359" i="7950" s="1"/>
  <c r="H42" i="7944"/>
  <c r="H19" i="7944"/>
  <c r="C603" i="7950" s="1"/>
  <c r="H35" i="7944"/>
  <c r="C1467" i="7950" s="1"/>
  <c r="H51" i="7944"/>
  <c r="C2331" i="7950" s="1"/>
  <c r="H38" i="7944"/>
  <c r="H16" i="7944"/>
  <c r="C441" i="7950" s="1"/>
  <c r="H32" i="7944"/>
  <c r="C1305" i="7950" s="1"/>
  <c r="H48" i="7944"/>
  <c r="C2169" i="7950" s="1"/>
  <c r="H22" i="7944"/>
  <c r="H29" i="7944"/>
  <c r="C1143" i="7950" s="1"/>
  <c r="H45" i="7944"/>
  <c r="C2007" i="7950" s="1"/>
  <c r="D5" i="7959"/>
  <c r="C1900" i="7950"/>
  <c r="C1252" i="7950"/>
  <c r="C604" i="7950"/>
  <c r="C2170" i="7950"/>
  <c r="C1090" i="7950"/>
  <c r="C1144" i="7950"/>
  <c r="C874" i="7950"/>
  <c r="C1846" i="7950"/>
  <c r="C1035" i="7950"/>
  <c r="C766" i="7950"/>
  <c r="C1792" i="7950"/>
  <c r="C712" i="7950"/>
  <c r="C2493" i="7950"/>
  <c r="C2655" i="7950"/>
  <c r="C2440" i="7950"/>
  <c r="C927" i="7950"/>
  <c r="C1629" i="7950"/>
  <c r="C1522" i="7950"/>
  <c r="C2548" i="7950"/>
  <c r="C1360" i="7950"/>
  <c r="C1468" i="7950"/>
  <c r="C1251" i="7950"/>
  <c r="C2116" i="7950"/>
  <c r="C1630" i="7950"/>
  <c r="C2062" i="7950"/>
  <c r="C1845" i="7950"/>
  <c r="C658" i="7950"/>
  <c r="C388" i="7950"/>
  <c r="C820" i="7950"/>
  <c r="C2008" i="7950"/>
  <c r="C1089" i="7950"/>
  <c r="C1738" i="7950"/>
  <c r="C1576" i="7950"/>
  <c r="C765" i="7950"/>
  <c r="C496" i="7950"/>
  <c r="C711" i="7950"/>
  <c r="C1198" i="7950"/>
  <c r="C2656" i="7950"/>
  <c r="C495" i="7950"/>
  <c r="C2386" i="7950"/>
  <c r="C1306" i="7950"/>
  <c r="C1036" i="7950"/>
  <c r="C442" i="7950"/>
  <c r="C2332" i="7950"/>
  <c r="C549" i="7950"/>
  <c r="C2602" i="7950"/>
  <c r="C2494" i="7950"/>
  <c r="C2278" i="7950"/>
  <c r="C1414" i="7950"/>
  <c r="C1954" i="7950"/>
  <c r="C928" i="7950"/>
  <c r="C550" i="7950"/>
  <c r="C1684" i="7950"/>
  <c r="C982" i="7950"/>
  <c r="C2224" i="7950"/>
  <c r="C873" i="7950"/>
  <c r="C2661" i="7949"/>
  <c r="C2445" i="7949"/>
  <c r="C2229" i="7949"/>
  <c r="C2013" i="7949"/>
  <c r="C1797" i="7949"/>
  <c r="C1581" i="7949"/>
  <c r="C1365" i="7949"/>
  <c r="C1149" i="7949"/>
  <c r="C933" i="7949"/>
  <c r="C717" i="7949"/>
  <c r="C501" i="7949"/>
  <c r="C69" i="7949"/>
  <c r="C2498" i="7949"/>
  <c r="C2282" i="7949"/>
  <c r="C2066" i="7949"/>
  <c r="C1850" i="7949"/>
  <c r="C1634" i="7949"/>
  <c r="C1418" i="7949"/>
  <c r="C1202" i="7949"/>
  <c r="C986" i="7949"/>
  <c r="C770" i="7949"/>
  <c r="C554" i="7949"/>
  <c r="C2499" i="7949"/>
  <c r="C1851" i="7949"/>
  <c r="C1419" i="7949"/>
  <c r="C987" i="7949"/>
  <c r="C555" i="7949"/>
  <c r="C2552" i="7949"/>
  <c r="C2120" i="7949"/>
  <c r="C1688" i="7949"/>
  <c r="C1256" i="7949"/>
  <c r="C824" i="7949"/>
  <c r="C392" i="7949"/>
  <c r="C2607" i="7949"/>
  <c r="C2391" i="7949"/>
  <c r="C2175" i="7949"/>
  <c r="C1959" i="7949"/>
  <c r="C1743" i="7949"/>
  <c r="C1527" i="7949"/>
  <c r="C1311" i="7949"/>
  <c r="C1095" i="7949"/>
  <c r="C879" i="7949"/>
  <c r="C663" i="7949"/>
  <c r="C447" i="7949"/>
  <c r="C2660" i="7949"/>
  <c r="C2444" i="7949"/>
  <c r="C2228" i="7949"/>
  <c r="C2012" i="7949"/>
  <c r="C1796" i="7949"/>
  <c r="C1580" i="7949"/>
  <c r="C1364" i="7949"/>
  <c r="C1148" i="7949"/>
  <c r="C932" i="7949"/>
  <c r="C716" i="7949"/>
  <c r="C500" i="7949"/>
  <c r="C2553" i="7949"/>
  <c r="C2337" i="7949"/>
  <c r="C2121" i="7949"/>
  <c r="C1905" i="7949"/>
  <c r="C1689" i="7949"/>
  <c r="C1473" i="7949"/>
  <c r="C1257" i="7949"/>
  <c r="C1041" i="7949"/>
  <c r="C825" i="7949"/>
  <c r="C609" i="7949"/>
  <c r="C393" i="7949"/>
  <c r="C2606" i="7949"/>
  <c r="C2390" i="7949"/>
  <c r="C2174" i="7949"/>
  <c r="C1958" i="7949"/>
  <c r="C1742" i="7949"/>
  <c r="C1526" i="7949"/>
  <c r="C1310" i="7949"/>
  <c r="C1094" i="7949"/>
  <c r="C878" i="7949"/>
  <c r="C662" i="7949"/>
  <c r="C446" i="7949"/>
  <c r="C2283" i="7949"/>
  <c r="C2067" i="7949"/>
  <c r="C1635" i="7949"/>
  <c r="C1203" i="7949"/>
  <c r="C771" i="7949"/>
  <c r="C339" i="7949"/>
  <c r="C2336" i="7949"/>
  <c r="C1904" i="7949"/>
  <c r="C1472" i="7949"/>
  <c r="C1040" i="7949"/>
  <c r="C608" i="7949"/>
  <c r="C15" i="7949"/>
  <c r="G427" i="7942"/>
  <c r="G428" i="7942"/>
  <c r="G426" i="7942"/>
  <c r="G385" i="7942"/>
  <c r="G383" i="7942"/>
  <c r="I170" i="18"/>
  <c r="I495" i="18"/>
  <c r="I690" i="18"/>
  <c r="I183" i="18"/>
  <c r="I651" i="18"/>
  <c r="I456" i="18"/>
  <c r="I235" i="18"/>
  <c r="I508" i="18"/>
  <c r="I625" i="18"/>
  <c r="I274" i="18"/>
  <c r="I248" i="18"/>
  <c r="I560" i="18"/>
  <c r="I196" i="18"/>
  <c r="I209" i="18"/>
  <c r="I222" i="18"/>
  <c r="I547" i="18"/>
  <c r="I378" i="18"/>
  <c r="I365" i="18"/>
  <c r="I404" i="18"/>
  <c r="I469" i="18"/>
  <c r="I391" i="18"/>
  <c r="I313" i="18"/>
  <c r="I521" i="18"/>
  <c r="I352" i="18"/>
  <c r="I326" i="18"/>
  <c r="I482" i="18"/>
  <c r="I339" i="18"/>
  <c r="I664" i="18"/>
  <c r="I599" i="18"/>
  <c r="I287" i="18"/>
  <c r="I612" i="18"/>
  <c r="I430" i="18"/>
  <c r="I573" i="18"/>
  <c r="I586" i="18"/>
  <c r="I261" i="18"/>
  <c r="I443" i="18"/>
  <c r="I638" i="18"/>
  <c r="I677" i="18"/>
  <c r="I417" i="18"/>
  <c r="I534" i="18"/>
  <c r="I300" i="18"/>
  <c r="I703" i="18"/>
  <c r="G382" i="7942"/>
  <c r="B2641" i="7950"/>
  <c r="I738" i="7944"/>
  <c r="I686" i="7944"/>
  <c r="I634" i="7944"/>
  <c r="I582" i="7944"/>
  <c r="I530" i="7944"/>
  <c r="I478" i="7944"/>
  <c r="I426" i="7944"/>
  <c r="I374" i="7944"/>
  <c r="I322" i="7944"/>
  <c r="I725" i="7944"/>
  <c r="I673" i="7944"/>
  <c r="I621" i="7944"/>
  <c r="I569" i="7944"/>
  <c r="I517" i="7944"/>
  <c r="I465" i="7944"/>
  <c r="I413" i="7944"/>
  <c r="I361" i="7944"/>
  <c r="I309" i="7944"/>
  <c r="I712" i="7944"/>
  <c r="I660" i="7944"/>
  <c r="I608" i="7944"/>
  <c r="I556" i="7944"/>
  <c r="I504" i="7944"/>
  <c r="I452" i="7944"/>
  <c r="I400" i="7944"/>
  <c r="I348" i="7944"/>
  <c r="I296" i="7944"/>
  <c r="I751" i="7944"/>
  <c r="I699" i="7944"/>
  <c r="I647" i="7944"/>
  <c r="I595" i="7944"/>
  <c r="I543" i="7944"/>
  <c r="I491" i="7944"/>
  <c r="I439" i="7944"/>
  <c r="I387" i="7944"/>
  <c r="I335" i="7944"/>
  <c r="I283" i="7944"/>
  <c r="I257" i="7944"/>
  <c r="I205" i="7944"/>
  <c r="I244" i="7944"/>
  <c r="I231" i="7944"/>
  <c r="I270" i="7944"/>
  <c r="I218" i="7944"/>
  <c r="H28" i="18"/>
  <c r="H786" i="18" s="1"/>
  <c r="H41" i="18"/>
  <c r="H799" i="18" s="1"/>
  <c r="H35" i="18"/>
  <c r="H793" i="18" s="1"/>
  <c r="H21" i="18"/>
  <c r="H779" i="18" s="1"/>
  <c r="H42" i="18"/>
  <c r="H800" i="18" s="1"/>
  <c r="H58" i="18"/>
  <c r="H816" i="18" s="1"/>
  <c r="H47" i="18"/>
  <c r="H805" i="18" s="1"/>
  <c r="H20" i="18"/>
  <c r="H778" i="18" s="1"/>
  <c r="H60" i="18"/>
  <c r="H818" i="18" s="1"/>
  <c r="H40" i="18"/>
  <c r="H798" i="18" s="1"/>
  <c r="H30" i="18"/>
  <c r="H788" i="18" s="1"/>
  <c r="H55" i="18"/>
  <c r="H813" i="18" s="1"/>
  <c r="H29" i="18"/>
  <c r="H787" i="18" s="1"/>
  <c r="H24" i="18"/>
  <c r="H782" i="18" s="1"/>
  <c r="H43" i="18"/>
  <c r="H801" i="18" s="1"/>
  <c r="H91" i="7941" s="1"/>
  <c r="H52" i="18"/>
  <c r="H810" i="18" s="1"/>
  <c r="H26" i="18"/>
  <c r="H784" i="18" s="1"/>
  <c r="H59" i="18"/>
  <c r="H817" i="18" s="1"/>
  <c r="H107" i="7941" s="1"/>
  <c r="H38" i="18"/>
  <c r="H796" i="18" s="1"/>
  <c r="H19" i="18"/>
  <c r="H777" i="18" s="1"/>
  <c r="H33" i="18"/>
  <c r="H791" i="18" s="1"/>
  <c r="H50" i="18"/>
  <c r="H808" i="18" s="1"/>
  <c r="H32" i="18"/>
  <c r="H790" i="18" s="1"/>
  <c r="H22" i="18"/>
  <c r="H780" i="18" s="1"/>
  <c r="H23" i="18"/>
  <c r="H781" i="18" s="1"/>
  <c r="H46" i="18"/>
  <c r="H804" i="18" s="1"/>
  <c r="H61" i="18"/>
  <c r="H819" i="18" s="1"/>
  <c r="H109" i="7941" s="1"/>
  <c r="H31" i="18"/>
  <c r="H789" i="18" s="1"/>
  <c r="H36" i="18"/>
  <c r="H794" i="18" s="1"/>
  <c r="H45" i="18"/>
  <c r="H803" i="18" s="1"/>
  <c r="H39" i="18"/>
  <c r="H797" i="18" s="1"/>
  <c r="H49" i="18"/>
  <c r="H807" i="18" s="1"/>
  <c r="H97" i="7941" s="1"/>
  <c r="H56" i="18"/>
  <c r="H814" i="18" s="1"/>
  <c r="H53" i="18"/>
  <c r="H811" i="18" s="1"/>
  <c r="H44" i="18"/>
  <c r="H802" i="18" s="1"/>
  <c r="H25" i="18"/>
  <c r="H783" i="18" s="1"/>
  <c r="H48" i="18"/>
  <c r="H806" i="18" s="1"/>
  <c r="H37" i="18"/>
  <c r="H795" i="18" s="1"/>
  <c r="H34" i="18"/>
  <c r="H792" i="18" s="1"/>
  <c r="H54" i="18"/>
  <c r="H812" i="18" s="1"/>
  <c r="H57" i="18"/>
  <c r="H815" i="18" s="1"/>
  <c r="H105" i="7941" s="1"/>
  <c r="H51" i="18"/>
  <c r="H809" i="18" s="1"/>
  <c r="H99" i="7941" s="1"/>
  <c r="H27" i="18"/>
  <c r="H785" i="18" s="1"/>
  <c r="H57" i="7941"/>
  <c r="I168" i="1"/>
  <c r="G168" i="1"/>
  <c r="G369" i="7941"/>
  <c r="H31" i="7941"/>
  <c r="G365" i="7941"/>
  <c r="H27" i="7941"/>
  <c r="H20" i="7941"/>
  <c r="G353" i="7941"/>
  <c r="H15" i="7941"/>
  <c r="H36" i="7941"/>
  <c r="G344" i="7941"/>
  <c r="G361" i="7941"/>
  <c r="H23" i="7941"/>
  <c r="G357" i="7941"/>
  <c r="H35" i="7941"/>
  <c r="H19" i="7941"/>
  <c r="H28" i="7941"/>
  <c r="G336" i="7941"/>
  <c r="H1101" i="18"/>
  <c r="H285" i="18"/>
  <c r="H1132" i="18"/>
  <c r="H688" i="18"/>
  <c r="H700" i="18" s="1"/>
  <c r="H1126" i="18"/>
  <c r="H610" i="18"/>
  <c r="H622" i="18" s="1"/>
  <c r="H1104" i="18"/>
  <c r="H324" i="18"/>
  <c r="H336" i="18" s="1"/>
  <c r="H1122" i="18"/>
  <c r="H558" i="18"/>
  <c r="H1130" i="18"/>
  <c r="H662" i="18"/>
  <c r="H674" i="18" s="1"/>
  <c r="H1094" i="18"/>
  <c r="H194" i="18"/>
  <c r="H206" i="18" s="1"/>
  <c r="H1098" i="18"/>
  <c r="H246" i="18"/>
  <c r="H258" i="18" s="1"/>
  <c r="H1123" i="18"/>
  <c r="H571" i="18"/>
  <c r="H583" i="18" s="1"/>
  <c r="H1133" i="18"/>
  <c r="H701" i="18"/>
  <c r="H1129" i="18"/>
  <c r="H649" i="18"/>
  <c r="H1119" i="18"/>
  <c r="H519" i="18"/>
  <c r="H531" i="18" s="1"/>
  <c r="H1067" i="18" s="1"/>
  <c r="H1111" i="18"/>
  <c r="H415" i="18"/>
  <c r="H1105" i="18"/>
  <c r="H337" i="18"/>
  <c r="H349" i="18" s="1"/>
  <c r="H1099" i="18"/>
  <c r="H259" i="18"/>
  <c r="H1095" i="18"/>
  <c r="H207" i="18"/>
  <c r="H1124" i="18"/>
  <c r="H584" i="18"/>
  <c r="H1100" i="18"/>
  <c r="H272" i="18"/>
  <c r="H284" i="18" s="1"/>
  <c r="H1120" i="18"/>
  <c r="H532" i="18"/>
  <c r="H1114" i="18"/>
  <c r="H454" i="18"/>
  <c r="H1117" i="18"/>
  <c r="H493" i="18"/>
  <c r="H1125" i="18"/>
  <c r="H597" i="18"/>
  <c r="H1115" i="18"/>
  <c r="H467" i="18"/>
  <c r="H479" i="18" s="1"/>
  <c r="H1109" i="18"/>
  <c r="H389" i="18"/>
  <c r="H1093" i="18"/>
  <c r="H181" i="18"/>
  <c r="H1112" i="18"/>
  <c r="H428" i="18"/>
  <c r="H440" i="18" s="1"/>
  <c r="H1096" i="18"/>
  <c r="H220" i="18"/>
  <c r="H232" i="18" s="1"/>
  <c r="H1118" i="18"/>
  <c r="H506" i="18"/>
  <c r="H1110" i="18"/>
  <c r="H402" i="18"/>
  <c r="H414" i="18" s="1"/>
  <c r="H142" i="18"/>
  <c r="H1131" i="18"/>
  <c r="H675" i="18"/>
  <c r="H687" i="18" s="1"/>
  <c r="H1127" i="18"/>
  <c r="H623" i="18"/>
  <c r="H1121" i="18"/>
  <c r="H545" i="18"/>
  <c r="H557" i="18" s="1"/>
  <c r="H1113" i="18"/>
  <c r="H441" i="18"/>
  <c r="H1107" i="18"/>
  <c r="H363" i="18"/>
  <c r="H1103" i="18"/>
  <c r="H311" i="18"/>
  <c r="H1097" i="18"/>
  <c r="H233" i="18"/>
  <c r="H1091" i="18"/>
  <c r="H155" i="18"/>
  <c r="H167" i="18" s="1"/>
  <c r="H1128" i="18"/>
  <c r="H636" i="18"/>
  <c r="H648" i="18" s="1"/>
  <c r="H1108" i="18"/>
  <c r="H376" i="18"/>
  <c r="H388" i="18" s="1"/>
  <c r="H1092" i="18"/>
  <c r="H168" i="18"/>
  <c r="H1116" i="18"/>
  <c r="H480" i="18"/>
  <c r="H492" i="18" s="1"/>
  <c r="H1102" i="18"/>
  <c r="H298" i="18"/>
  <c r="H310" i="18" s="1"/>
  <c r="H1106" i="18"/>
  <c r="H350" i="18"/>
  <c r="H362" i="18" s="1"/>
  <c r="G347" i="7941"/>
  <c r="G331" i="7941"/>
  <c r="G351" i="7941"/>
  <c r="G335" i="7941"/>
  <c r="H41" i="7941"/>
  <c r="G339" i="7941"/>
  <c r="G346" i="7941"/>
  <c r="H53" i="7941"/>
  <c r="G343" i="7941"/>
  <c r="H45" i="7941"/>
  <c r="G338" i="7941"/>
  <c r="H49" i="7941"/>
  <c r="G330" i="7941"/>
  <c r="G222" i="1"/>
  <c r="I222" i="1"/>
  <c r="G348" i="7941"/>
  <c r="G340" i="7941"/>
  <c r="G332" i="7941"/>
  <c r="G100" i="7942"/>
  <c r="G152" i="7942" s="1"/>
  <c r="G96" i="7942"/>
  <c r="G148" i="7942" s="1"/>
  <c r="G90" i="7942"/>
  <c r="G142" i="7942" s="1"/>
  <c r="G109" i="7942"/>
  <c r="G161" i="7942" s="1"/>
  <c r="G85" i="7942"/>
  <c r="G137" i="7942" s="1"/>
  <c r="G82" i="7942"/>
  <c r="G134" i="7942" s="1"/>
  <c r="G99" i="7942"/>
  <c r="G151" i="7942" s="1"/>
  <c r="G108" i="7942"/>
  <c r="G160" i="7942" s="1"/>
  <c r="G74" i="7942"/>
  <c r="G126" i="7942" s="1"/>
  <c r="G91" i="7942"/>
  <c r="G143" i="7942" s="1"/>
  <c r="G73" i="7942"/>
  <c r="G125" i="7942" s="1"/>
  <c r="G81" i="7942"/>
  <c r="G133" i="7942" s="1"/>
  <c r="G114" i="7942"/>
  <c r="G166" i="7942" s="1"/>
  <c r="G106" i="7942"/>
  <c r="G158" i="7942" s="1"/>
  <c r="G98" i="7942"/>
  <c r="G150" i="7942" s="1"/>
  <c r="G88" i="7942"/>
  <c r="G140" i="7942" s="1"/>
  <c r="G80" i="7942"/>
  <c r="G132" i="7942" s="1"/>
  <c r="G105" i="7942"/>
  <c r="G157" i="7942" s="1"/>
  <c r="G97" i="7942"/>
  <c r="G149" i="7942" s="1"/>
  <c r="G89" i="7942"/>
  <c r="G141" i="7942" s="1"/>
  <c r="G115" i="7942"/>
  <c r="G167" i="7942" s="1"/>
  <c r="G79" i="7942"/>
  <c r="G131" i="7942" s="1"/>
  <c r="G112" i="7942"/>
  <c r="G164" i="7942" s="1"/>
  <c r="G104" i="7942"/>
  <c r="G156" i="7942" s="1"/>
  <c r="G94" i="7942"/>
  <c r="G146" i="7942" s="1"/>
  <c r="G86" i="7942"/>
  <c r="G138" i="7942" s="1"/>
  <c r="G78" i="7942"/>
  <c r="G130" i="7942" s="1"/>
  <c r="G113" i="7942"/>
  <c r="G165" i="7942" s="1"/>
  <c r="G103" i="7942"/>
  <c r="G155" i="7942" s="1"/>
  <c r="G95" i="7942"/>
  <c r="G147" i="7942" s="1"/>
  <c r="G87" i="7942"/>
  <c r="G139" i="7942" s="1"/>
  <c r="G107" i="7942"/>
  <c r="G159" i="7942" s="1"/>
  <c r="G110" i="7942"/>
  <c r="G162" i="7942" s="1"/>
  <c r="G102" i="7942"/>
  <c r="G154" i="7942" s="1"/>
  <c r="G92" i="7942"/>
  <c r="G144" i="7942" s="1"/>
  <c r="G84" i="7942"/>
  <c r="G136" i="7942" s="1"/>
  <c r="G76" i="7942"/>
  <c r="G128" i="7942" s="1"/>
  <c r="G111" i="7942"/>
  <c r="G163" i="7942" s="1"/>
  <c r="G101" i="7942"/>
  <c r="G153" i="7942" s="1"/>
  <c r="G93" i="7942"/>
  <c r="G145" i="7942" s="1"/>
  <c r="G83" i="7942"/>
  <c r="G135" i="7942" s="1"/>
  <c r="G75" i="7942"/>
  <c r="A505" i="7942"/>
  <c r="G8" i="7942"/>
  <c r="B889" i="7950"/>
  <c r="B427" i="7950"/>
  <c r="B133" i="7950"/>
  <c r="B535" i="7950"/>
  <c r="B2185" i="7950"/>
  <c r="B1591" i="7950"/>
  <c r="B79" i="7950"/>
  <c r="B2155" i="7950"/>
  <c r="B1777" i="7950"/>
  <c r="I357" i="1"/>
  <c r="B2293" i="7950"/>
  <c r="B643" i="7950"/>
  <c r="B349" i="7950"/>
  <c r="B1105" i="7950"/>
  <c r="B2317" i="7950"/>
  <c r="B1051" i="7950"/>
  <c r="B751" i="7950"/>
  <c r="B1375" i="7950"/>
  <c r="I4" i="7941"/>
  <c r="I4" i="7944"/>
  <c r="B2671" i="7950"/>
  <c r="G4" i="7942"/>
  <c r="B157" i="7950"/>
  <c r="B457" i="7950"/>
  <c r="B565" i="7950"/>
  <c r="B727" i="7950"/>
  <c r="B1321" i="7950"/>
  <c r="B1669" i="7950"/>
  <c r="B265" i="7950"/>
  <c r="B373" i="7950"/>
  <c r="B781" i="7950"/>
  <c r="B943" i="7950"/>
  <c r="B2401" i="7950"/>
  <c r="B1159" i="7950"/>
  <c r="B1453" i="7950"/>
  <c r="B1915" i="7950"/>
  <c r="B1807" i="7950"/>
  <c r="B2509" i="7950"/>
  <c r="B2617" i="7950"/>
  <c r="B25" i="7950"/>
  <c r="B211" i="7950"/>
  <c r="B241" i="7950"/>
  <c r="B481" i="7950"/>
  <c r="B589" i="7950"/>
  <c r="B805" i="7950"/>
  <c r="B1429" i="7950"/>
  <c r="B1753" i="7950"/>
  <c r="B295" i="7950"/>
  <c r="B673" i="7950"/>
  <c r="B835" i="7950"/>
  <c r="B1345" i="7950"/>
  <c r="B913" i="7950"/>
  <c r="B1213" i="7950"/>
  <c r="B1561" i="7950"/>
  <c r="B2101" i="7950"/>
  <c r="B1885" i="7950"/>
  <c r="B2347" i="7950"/>
  <c r="B49" i="7950"/>
  <c r="B103" i="7950"/>
  <c r="B187" i="7950"/>
  <c r="B403" i="7950"/>
  <c r="B511" i="7950"/>
  <c r="B619" i="7950"/>
  <c r="B967" i="7950"/>
  <c r="B1507" i="7950"/>
  <c r="B1939" i="7950"/>
  <c r="B319" i="7950"/>
  <c r="B697" i="7950"/>
  <c r="B859" i="7950"/>
  <c r="B1645" i="7950"/>
  <c r="B1021" i="7950"/>
  <c r="B1267" i="7950"/>
  <c r="B1699" i="7950"/>
  <c r="B2209" i="7950"/>
  <c r="B2023" i="7950"/>
  <c r="B2479" i="7950"/>
  <c r="B1483" i="7950"/>
  <c r="B2077" i="7950"/>
  <c r="B2239" i="7950"/>
  <c r="B2455" i="7950"/>
  <c r="B997" i="7950"/>
  <c r="B1075" i="7950"/>
  <c r="B1129" i="7950"/>
  <c r="B1183" i="7950"/>
  <c r="B1237" i="7950"/>
  <c r="B1291" i="7950"/>
  <c r="B1399" i="7950"/>
  <c r="B1537" i="7950"/>
  <c r="B1615" i="7950"/>
  <c r="B1723" i="7950"/>
  <c r="B1831" i="7950"/>
  <c r="B1969" i="7950"/>
  <c r="B2131" i="7950"/>
  <c r="B2263" i="7950"/>
  <c r="B2587" i="7950"/>
  <c r="B1861" i="7950"/>
  <c r="B1993" i="7950"/>
  <c r="B2047" i="7950"/>
  <c r="B2425" i="7950"/>
  <c r="B2695" i="7950"/>
  <c r="B2371" i="7950"/>
  <c r="B2533" i="7950"/>
  <c r="B2563" i="7950"/>
  <c r="B2701" i="7949"/>
  <c r="B2647" i="7949"/>
  <c r="B2623" i="7949"/>
  <c r="B2569" i="7949"/>
  <c r="B2539" i="7949"/>
  <c r="B2461" i="7949"/>
  <c r="B2377" i="7949"/>
  <c r="B2245" i="7949"/>
  <c r="B2191" i="7949"/>
  <c r="B2161" i="7949"/>
  <c r="B2107" i="7949"/>
  <c r="B2053" i="7949"/>
  <c r="B2677" i="7949"/>
  <c r="B2593" i="7949"/>
  <c r="B2515" i="7949"/>
  <c r="B2485" i="7949"/>
  <c r="B2431" i="7949"/>
  <c r="B2407" i="7949"/>
  <c r="B2353" i="7949"/>
  <c r="B2323" i="7949"/>
  <c r="B2299" i="7949"/>
  <c r="B2269" i="7949"/>
  <c r="B2215" i="7949"/>
  <c r="B2137" i="7949"/>
  <c r="B2083" i="7949"/>
  <c r="B2029" i="7949"/>
  <c r="B1999" i="7949"/>
  <c r="B1945" i="7949"/>
  <c r="B1921" i="7949"/>
  <c r="B1837" i="7949"/>
  <c r="B1783" i="7949"/>
  <c r="B1705" i="7949"/>
  <c r="B1651" i="7949"/>
  <c r="B1597" i="7949"/>
  <c r="B1567" i="7949"/>
  <c r="B1513" i="7949"/>
  <c r="B1459" i="7949"/>
  <c r="B1975" i="7949"/>
  <c r="B1891" i="7949"/>
  <c r="B1867" i="7949"/>
  <c r="B1813" i="7949"/>
  <c r="B1759" i="7949"/>
  <c r="B1729" i="7949"/>
  <c r="B1675" i="7949"/>
  <c r="B1621" i="7949"/>
  <c r="B1543" i="7949"/>
  <c r="B1489" i="7949"/>
  <c r="B1405" i="7949"/>
  <c r="B1381" i="7949"/>
  <c r="B1351" i="7949"/>
  <c r="B1297" i="7949"/>
  <c r="B1243" i="7949"/>
  <c r="B1189" i="7949"/>
  <c r="B895" i="7949"/>
  <c r="B841" i="7949"/>
  <c r="B787" i="7949"/>
  <c r="B733" i="7949"/>
  <c r="B679" i="7949"/>
  <c r="B571" i="7949"/>
  <c r="B541" i="7949"/>
  <c r="B487" i="7949"/>
  <c r="B433" i="7949"/>
  <c r="B379" i="7949"/>
  <c r="B301" i="7949"/>
  <c r="B271" i="7949"/>
  <c r="B1435" i="7949"/>
  <c r="B1327" i="7949"/>
  <c r="B1273" i="7949"/>
  <c r="B1219" i="7949"/>
  <c r="B1165" i="7949"/>
  <c r="B1135" i="7949"/>
  <c r="B1111" i="7949"/>
  <c r="B1081" i="7949"/>
  <c r="B1057" i="7949"/>
  <c r="B1027" i="7949"/>
  <c r="B1003" i="7949"/>
  <c r="B973" i="7949"/>
  <c r="B949" i="7949"/>
  <c r="B919" i="7949"/>
  <c r="B865" i="7949"/>
  <c r="B811" i="7949"/>
  <c r="B757" i="7949"/>
  <c r="B703" i="7949"/>
  <c r="B649" i="7949"/>
  <c r="B625" i="7949"/>
  <c r="B595" i="7949"/>
  <c r="B517" i="7949"/>
  <c r="B463" i="7949"/>
  <c r="B409" i="7949"/>
  <c r="B247" i="7949"/>
  <c r="B193" i="7949"/>
  <c r="B163" i="7949"/>
  <c r="B139" i="7949"/>
  <c r="B355" i="7949"/>
  <c r="B325" i="7949"/>
  <c r="B217" i="7949"/>
  <c r="O6" i="7950"/>
  <c r="B109" i="7949"/>
  <c r="B85" i="7949"/>
  <c r="I298" i="1"/>
  <c r="I4" i="18"/>
  <c r="G4" i="18"/>
  <c r="C9" i="18" s="1"/>
  <c r="I4" i="7942"/>
  <c r="J60" i="1"/>
  <c r="G5" i="7959" s="1"/>
  <c r="G4" i="7941"/>
  <c r="P6" i="7949"/>
  <c r="B55" i="7949"/>
  <c r="B31" i="7949"/>
  <c r="H8" i="7942"/>
  <c r="H501" i="7942" s="1"/>
  <c r="G129" i="7942"/>
  <c r="J3" i="7944"/>
  <c r="J3" i="18"/>
  <c r="G281" i="1"/>
  <c r="C9" i="7949" s="1"/>
  <c r="G114" i="1"/>
  <c r="I114" i="1"/>
  <c r="I281" i="1"/>
  <c r="J285" i="1"/>
  <c r="I289" i="1"/>
  <c r="I7" i="18"/>
  <c r="I7" i="7942"/>
  <c r="J288" i="1"/>
  <c r="G370" i="7941"/>
  <c r="H56" i="7941"/>
  <c r="G366" i="7941"/>
  <c r="H52" i="7941"/>
  <c r="G362" i="7941"/>
  <c r="H48" i="7941"/>
  <c r="G358" i="7941"/>
  <c r="H44" i="7941"/>
  <c r="G354" i="7941"/>
  <c r="H40" i="7941"/>
  <c r="G1062" i="18"/>
  <c r="G368" i="7941"/>
  <c r="H54" i="7941"/>
  <c r="G364" i="7941"/>
  <c r="H50" i="7941"/>
  <c r="G360" i="7941"/>
  <c r="H46" i="7941"/>
  <c r="G356" i="7941"/>
  <c r="H42" i="7941"/>
  <c r="G352" i="7941"/>
  <c r="H38" i="7941"/>
  <c r="J157" i="18" l="1"/>
  <c r="J158" i="18"/>
  <c r="J300" i="18"/>
  <c r="J417" i="18"/>
  <c r="J573" i="18"/>
  <c r="J599" i="18"/>
  <c r="J313" i="18"/>
  <c r="J404" i="18"/>
  <c r="J677" i="18"/>
  <c r="J209" i="18"/>
  <c r="J560" i="18"/>
  <c r="J274" i="18"/>
  <c r="J508" i="18"/>
  <c r="J170" i="18"/>
  <c r="J638" i="18"/>
  <c r="J586" i="18"/>
  <c r="J365" i="18"/>
  <c r="J235" i="18"/>
  <c r="J456" i="18"/>
  <c r="J690" i="18"/>
  <c r="J196" i="18"/>
  <c r="J651" i="18"/>
  <c r="J261" i="18"/>
  <c r="J521" i="18"/>
  <c r="J703" i="18"/>
  <c r="J469" i="18"/>
  <c r="J183" i="18"/>
  <c r="J495" i="18"/>
  <c r="J625" i="18"/>
  <c r="J248" i="18"/>
  <c r="J612" i="18"/>
  <c r="J352" i="18"/>
  <c r="J378" i="18"/>
  <c r="J547" i="18"/>
  <c r="J222" i="18"/>
  <c r="J534" i="18"/>
  <c r="J664" i="18"/>
  <c r="J339" i="18"/>
  <c r="J482" i="18"/>
  <c r="J171" i="18"/>
  <c r="J483" i="18"/>
  <c r="J652" i="18"/>
  <c r="J457" i="18"/>
  <c r="J184" i="18"/>
  <c r="J470" i="18"/>
  <c r="J678" i="18"/>
  <c r="J405" i="18"/>
  <c r="J613" i="18"/>
  <c r="J379" i="18"/>
  <c r="J431" i="18"/>
  <c r="J509" i="18"/>
  <c r="J353" i="18"/>
  <c r="J691" i="18"/>
  <c r="J262" i="18"/>
  <c r="J223" i="18"/>
  <c r="J600" i="18"/>
  <c r="J197" i="18"/>
  <c r="J340" i="18"/>
  <c r="J301" i="18"/>
  <c r="J249" i="18"/>
  <c r="J574" i="18"/>
  <c r="J275" i="18"/>
  <c r="J639" i="18"/>
  <c r="J288" i="18"/>
  <c r="J522" i="18"/>
  <c r="J366" i="18"/>
  <c r="J704" i="18"/>
  <c r="J418" i="18"/>
  <c r="J587" i="18"/>
  <c r="J496" i="18"/>
  <c r="J327" i="18"/>
  <c r="J665" i="18"/>
  <c r="J314" i="18"/>
  <c r="J561" i="18"/>
  <c r="J392" i="18"/>
  <c r="J626" i="18"/>
  <c r="J210" i="18"/>
  <c r="J535" i="18"/>
  <c r="J548" i="18"/>
  <c r="J236" i="18"/>
  <c r="J444" i="18"/>
  <c r="J430" i="18"/>
  <c r="J443" i="18"/>
  <c r="J326" i="18"/>
  <c r="J391" i="18"/>
  <c r="J287" i="18"/>
  <c r="F281" i="1"/>
  <c r="B2618" i="7950"/>
  <c r="J543" i="7944"/>
  <c r="J660" i="7944"/>
  <c r="J413" i="7944"/>
  <c r="J218" i="7944"/>
  <c r="J595" i="7944"/>
  <c r="J465" i="7944"/>
  <c r="J673" i="7944"/>
  <c r="J634" i="7944"/>
  <c r="J726" i="7944"/>
  <c r="J674" i="7944"/>
  <c r="J622" i="7944"/>
  <c r="J570" i="7944"/>
  <c r="J518" i="7944"/>
  <c r="J466" i="7944"/>
  <c r="J414" i="7944"/>
  <c r="J362" i="7944"/>
  <c r="J310" i="7944"/>
  <c r="J713" i="7944"/>
  <c r="J661" i="7944"/>
  <c r="J609" i="7944"/>
  <c r="J557" i="7944"/>
  <c r="J505" i="7944"/>
  <c r="J453" i="7944"/>
  <c r="J401" i="7944"/>
  <c r="J349" i="7944"/>
  <c r="J297" i="7944"/>
  <c r="J752" i="7944"/>
  <c r="J700" i="7944"/>
  <c r="J648" i="7944"/>
  <c r="J596" i="7944"/>
  <c r="J544" i="7944"/>
  <c r="J492" i="7944"/>
  <c r="J440" i="7944"/>
  <c r="J388" i="7944"/>
  <c r="J336" i="7944"/>
  <c r="J284" i="7944"/>
  <c r="J739" i="7944"/>
  <c r="J687" i="7944"/>
  <c r="J635" i="7944"/>
  <c r="J583" i="7944"/>
  <c r="J531" i="7944"/>
  <c r="J479" i="7944"/>
  <c r="J427" i="7944"/>
  <c r="J375" i="7944"/>
  <c r="J323" i="7944"/>
  <c r="J245" i="7944"/>
  <c r="J232" i="7944"/>
  <c r="J271" i="7944"/>
  <c r="J219" i="7944"/>
  <c r="J258" i="7944"/>
  <c r="J206" i="7944"/>
  <c r="J257" i="7944"/>
  <c r="J452" i="7944"/>
  <c r="J296" i="7944"/>
  <c r="J491" i="7944"/>
  <c r="J374" i="7944"/>
  <c r="J426" i="7944"/>
  <c r="J478" i="7944"/>
  <c r="J621" i="7944"/>
  <c r="J556" i="7944"/>
  <c r="J608" i="7944"/>
  <c r="J361" i="7944"/>
  <c r="J309" i="7944"/>
  <c r="J348" i="7944"/>
  <c r="J504" i="7944"/>
  <c r="J387" i="7944"/>
  <c r="J686" i="7944"/>
  <c r="J738" i="7944"/>
  <c r="J751" i="7944"/>
  <c r="J205" i="7944"/>
  <c r="J582" i="7944"/>
  <c r="J400" i="7944"/>
  <c r="J439" i="7944"/>
  <c r="J530" i="7944"/>
  <c r="J231" i="7944"/>
  <c r="J699" i="7944"/>
  <c r="J244" i="7944"/>
  <c r="J283" i="7944"/>
  <c r="J335" i="7944"/>
  <c r="J569" i="7944"/>
  <c r="J647" i="7944"/>
  <c r="J712" i="7944"/>
  <c r="J270" i="7944"/>
  <c r="J517" i="7944"/>
  <c r="J725" i="7944"/>
  <c r="J322" i="7944"/>
  <c r="J4" i="18"/>
  <c r="H359" i="7944"/>
  <c r="H371" i="7944" s="1"/>
  <c r="H723" i="7944"/>
  <c r="H735" i="7944" s="1"/>
  <c r="H320" i="7944"/>
  <c r="H332" i="7944" s="1"/>
  <c r="H528" i="7944"/>
  <c r="H540" i="7944" s="1"/>
  <c r="H736" i="7944"/>
  <c r="H748" i="7944" s="1"/>
  <c r="H411" i="7944"/>
  <c r="H423" i="7944" s="1"/>
  <c r="H229" i="7944"/>
  <c r="H241" i="7944" s="1"/>
  <c r="H437" i="7944"/>
  <c r="H449" i="7944" s="1"/>
  <c r="H697" i="7944"/>
  <c r="H709" i="7944" s="1"/>
  <c r="H294" i="7944"/>
  <c r="H306" i="7944" s="1"/>
  <c r="H502" i="7944"/>
  <c r="H514" i="7944" s="1"/>
  <c r="H710" i="7944"/>
  <c r="H722" i="7944" s="1"/>
  <c r="I23" i="18"/>
  <c r="I781" i="18" s="1"/>
  <c r="I71" i="7941" s="1"/>
  <c r="I43" i="18"/>
  <c r="I801" i="18" s="1"/>
  <c r="I91" i="7941" s="1"/>
  <c r="I59" i="18"/>
  <c r="I817" i="18" s="1"/>
  <c r="I107" i="7941" s="1"/>
  <c r="I25" i="18"/>
  <c r="I783" i="18" s="1"/>
  <c r="I73" i="7941" s="1"/>
  <c r="I31" i="18"/>
  <c r="I789" i="18" s="1"/>
  <c r="I79" i="7941" s="1"/>
  <c r="I60" i="18"/>
  <c r="I818" i="18" s="1"/>
  <c r="I108" i="7941" s="1"/>
  <c r="I28" i="18"/>
  <c r="I786" i="18" s="1"/>
  <c r="I76" i="7941" s="1"/>
  <c r="I52" i="18"/>
  <c r="I810" i="18" s="1"/>
  <c r="I100" i="7941" s="1"/>
  <c r="I40" i="18"/>
  <c r="I798" i="18" s="1"/>
  <c r="I88" i="7941" s="1"/>
  <c r="I61" i="18"/>
  <c r="I819" i="18" s="1"/>
  <c r="I109" i="7941" s="1"/>
  <c r="I45" i="18"/>
  <c r="I803" i="18" s="1"/>
  <c r="I93" i="7941" s="1"/>
  <c r="I32" i="18"/>
  <c r="I790" i="18" s="1"/>
  <c r="I80" i="7941" s="1"/>
  <c r="I46" i="18"/>
  <c r="I804" i="18" s="1"/>
  <c r="I94" i="7941" s="1"/>
  <c r="I26" i="18"/>
  <c r="I784" i="18" s="1"/>
  <c r="I74" i="7941" s="1"/>
  <c r="I41" i="18"/>
  <c r="I799" i="18" s="1"/>
  <c r="I89" i="7941" s="1"/>
  <c r="I34" i="18"/>
  <c r="I792" i="18" s="1"/>
  <c r="I82" i="7941" s="1"/>
  <c r="I39" i="18"/>
  <c r="I797" i="18" s="1"/>
  <c r="I87" i="7941" s="1"/>
  <c r="I53" i="18"/>
  <c r="I811" i="18" s="1"/>
  <c r="I101" i="7941" s="1"/>
  <c r="I21" i="18"/>
  <c r="I779" i="18" s="1"/>
  <c r="I69" i="7941" s="1"/>
  <c r="I48" i="18"/>
  <c r="I806" i="18" s="1"/>
  <c r="I96" i="7941" s="1"/>
  <c r="I56" i="18"/>
  <c r="I814" i="18" s="1"/>
  <c r="I104" i="7941" s="1"/>
  <c r="I58" i="18"/>
  <c r="I816" i="18" s="1"/>
  <c r="I106" i="7941" s="1"/>
  <c r="I50" i="18"/>
  <c r="I808" i="18" s="1"/>
  <c r="I98" i="7941" s="1"/>
  <c r="I42" i="18"/>
  <c r="I800" i="18" s="1"/>
  <c r="I90" i="7941" s="1"/>
  <c r="I29" i="18"/>
  <c r="I787" i="18" s="1"/>
  <c r="I77" i="7941" s="1"/>
  <c r="I38" i="18"/>
  <c r="I796" i="18" s="1"/>
  <c r="I86" i="7941" s="1"/>
  <c r="I22" i="18"/>
  <c r="I780" i="18" s="1"/>
  <c r="I70" i="7941" s="1"/>
  <c r="I33" i="18"/>
  <c r="I791" i="18" s="1"/>
  <c r="I81" i="7941" s="1"/>
  <c r="I30" i="18"/>
  <c r="I788" i="18" s="1"/>
  <c r="I78" i="7941" s="1"/>
  <c r="I54" i="18"/>
  <c r="I812" i="18" s="1"/>
  <c r="I102" i="7941" s="1"/>
  <c r="I47" i="18"/>
  <c r="I805" i="18" s="1"/>
  <c r="I95" i="7941" s="1"/>
  <c r="I44" i="18"/>
  <c r="I802" i="18" s="1"/>
  <c r="I92" i="7941" s="1"/>
  <c r="I55" i="18"/>
  <c r="I813" i="18" s="1"/>
  <c r="I103" i="7941" s="1"/>
  <c r="I19" i="18"/>
  <c r="I777" i="18" s="1"/>
  <c r="I67" i="7941" s="1"/>
  <c r="I35" i="18"/>
  <c r="I793" i="18" s="1"/>
  <c r="I83" i="7941" s="1"/>
  <c r="I51" i="18"/>
  <c r="I809" i="18" s="1"/>
  <c r="I99" i="7941" s="1"/>
  <c r="I24" i="18"/>
  <c r="I782" i="18" s="1"/>
  <c r="I72" i="7941" s="1"/>
  <c r="I37" i="18"/>
  <c r="I795" i="18" s="1"/>
  <c r="I85" i="7941" s="1"/>
  <c r="I20" i="18"/>
  <c r="I778" i="18" s="1"/>
  <c r="I68" i="7941" s="1"/>
  <c r="I57" i="18"/>
  <c r="I815" i="18" s="1"/>
  <c r="I105" i="7941" s="1"/>
  <c r="I36" i="18"/>
  <c r="I794" i="18" s="1"/>
  <c r="I84" i="7941" s="1"/>
  <c r="I27" i="18"/>
  <c r="I785" i="18" s="1"/>
  <c r="I75" i="7941" s="1"/>
  <c r="I49" i="18"/>
  <c r="I807" i="18" s="1"/>
  <c r="I97" i="7941" s="1"/>
  <c r="H255" i="7944"/>
  <c r="H267" i="7944" s="1"/>
  <c r="H268" i="7944"/>
  <c r="H684" i="7944"/>
  <c r="H696" i="7944" s="1"/>
  <c r="H645" i="7944"/>
  <c r="H657" i="7944" s="1"/>
  <c r="H450" i="7944"/>
  <c r="H462" i="7944" s="1"/>
  <c r="H463" i="7944"/>
  <c r="H475" i="7944" s="1"/>
  <c r="H372" i="7944"/>
  <c r="H384" i="7944" s="1"/>
  <c r="H580" i="7944"/>
  <c r="H592" i="7944" s="1"/>
  <c r="H489" i="7944"/>
  <c r="H501" i="7944" s="1"/>
  <c r="H515" i="7944"/>
  <c r="H527" i="7944" s="1"/>
  <c r="H281" i="7944"/>
  <c r="H293" i="7944" s="1"/>
  <c r="H541" i="7944"/>
  <c r="H553" i="7944" s="1"/>
  <c r="H749" i="7944"/>
  <c r="H761" i="7944" s="1"/>
  <c r="H346" i="7944"/>
  <c r="H358" i="7944" s="1"/>
  <c r="H554" i="7944"/>
  <c r="H566" i="7944" s="1"/>
  <c r="H671" i="7944"/>
  <c r="H683" i="7944" s="1"/>
  <c r="H476" i="7944"/>
  <c r="H488" i="7944" s="1"/>
  <c r="H307" i="7944"/>
  <c r="H319" i="7944" s="1"/>
  <c r="H385" i="7944"/>
  <c r="H397" i="7944" s="1"/>
  <c r="H242" i="7944"/>
  <c r="H254" i="7944" s="1"/>
  <c r="H658" i="7944"/>
  <c r="H670" i="7944" s="1"/>
  <c r="H203" i="7944"/>
  <c r="H215" i="7944" s="1"/>
  <c r="H567" i="7944"/>
  <c r="H579" i="7944" s="1"/>
  <c r="H216" i="7944"/>
  <c r="H228" i="7944" s="1"/>
  <c r="H424" i="7944"/>
  <c r="H436" i="7944" s="1"/>
  <c r="H632" i="7944"/>
  <c r="H619" i="7944"/>
  <c r="H631" i="7944" s="1"/>
  <c r="H333" i="7944"/>
  <c r="H345" i="7944" s="1"/>
  <c r="H593" i="7944"/>
  <c r="H605" i="7944" s="1"/>
  <c r="H398" i="7944"/>
  <c r="H410" i="7944" s="1"/>
  <c r="H606" i="7944"/>
  <c r="H618" i="7944" s="1"/>
  <c r="J168" i="1"/>
  <c r="H857" i="18"/>
  <c r="H147" i="7941" s="1"/>
  <c r="I428" i="18"/>
  <c r="J428" i="18" s="1"/>
  <c r="I376" i="18"/>
  <c r="J376" i="18" s="1"/>
  <c r="I246" i="18"/>
  <c r="I258" i="18" s="1"/>
  <c r="I298" i="18"/>
  <c r="I310" i="18" s="1"/>
  <c r="I675" i="18"/>
  <c r="I687" i="18" s="1"/>
  <c r="I155" i="18"/>
  <c r="J155" i="18" s="1"/>
  <c r="I337" i="18"/>
  <c r="J337" i="18" s="1"/>
  <c r="I480" i="18"/>
  <c r="J480" i="18" s="1"/>
  <c r="I220" i="18"/>
  <c r="J220" i="18" s="1"/>
  <c r="I519" i="18"/>
  <c r="J519" i="18" s="1"/>
  <c r="I194" i="18"/>
  <c r="J194" i="18" s="1"/>
  <c r="I662" i="18"/>
  <c r="J662" i="18" s="1"/>
  <c r="I324" i="18"/>
  <c r="J324" i="18" s="1"/>
  <c r="I168" i="18"/>
  <c r="J168" i="18" s="1"/>
  <c r="H180" i="18"/>
  <c r="H1040" i="18" s="1"/>
  <c r="H830" i="18" s="1"/>
  <c r="H120" i="7941" s="1"/>
  <c r="I311" i="18"/>
  <c r="I323" i="18" s="1"/>
  <c r="H323" i="18"/>
  <c r="H1051" i="18" s="1"/>
  <c r="H841" i="18" s="1"/>
  <c r="H131" i="7941" s="1"/>
  <c r="I142" i="18"/>
  <c r="H154" i="18"/>
  <c r="H1038" i="18" s="1"/>
  <c r="I506" i="18"/>
  <c r="I518" i="18" s="1"/>
  <c r="H518" i="18"/>
  <c r="H1066" i="18" s="1"/>
  <c r="H856" i="18" s="1"/>
  <c r="H146" i="7941" s="1"/>
  <c r="I571" i="18"/>
  <c r="I583" i="18" s="1"/>
  <c r="I610" i="18"/>
  <c r="I622" i="18" s="1"/>
  <c r="I350" i="18"/>
  <c r="I362" i="18" s="1"/>
  <c r="I402" i="18"/>
  <c r="I414" i="18" s="1"/>
  <c r="I467" i="18"/>
  <c r="I479" i="18" s="1"/>
  <c r="I597" i="18"/>
  <c r="I609" i="18" s="1"/>
  <c r="H609" i="18"/>
  <c r="I584" i="18"/>
  <c r="I596" i="18" s="1"/>
  <c r="H596" i="18"/>
  <c r="I259" i="18"/>
  <c r="H271" i="18"/>
  <c r="H1047" i="18" s="1"/>
  <c r="H837" i="18" s="1"/>
  <c r="H127" i="7941" s="1"/>
  <c r="I233" i="18"/>
  <c r="J233" i="18" s="1"/>
  <c r="H245" i="18"/>
  <c r="H1045" i="18" s="1"/>
  <c r="H835" i="18" s="1"/>
  <c r="H125" i="7941" s="1"/>
  <c r="I441" i="18"/>
  <c r="H453" i="18"/>
  <c r="H1061" i="18" s="1"/>
  <c r="H851" i="18" s="1"/>
  <c r="H141" i="7941" s="1"/>
  <c r="I623" i="18"/>
  <c r="H635" i="18"/>
  <c r="I493" i="18"/>
  <c r="H505" i="18"/>
  <c r="I454" i="18"/>
  <c r="H466" i="18"/>
  <c r="H1062" i="18" s="1"/>
  <c r="H852" i="18" s="1"/>
  <c r="H142" i="7941" s="1"/>
  <c r="I207" i="18"/>
  <c r="I219" i="18" s="1"/>
  <c r="H219" i="18"/>
  <c r="H1043" i="18" s="1"/>
  <c r="H833" i="18" s="1"/>
  <c r="H123" i="7941" s="1"/>
  <c r="I701" i="18"/>
  <c r="I713" i="18" s="1"/>
  <c r="H713" i="18"/>
  <c r="I558" i="18"/>
  <c r="H570" i="18"/>
  <c r="I688" i="18"/>
  <c r="I285" i="18"/>
  <c r="H297" i="18"/>
  <c r="I636" i="18"/>
  <c r="I648" i="18" s="1"/>
  <c r="I363" i="18"/>
  <c r="I375" i="18" s="1"/>
  <c r="H375" i="18"/>
  <c r="H1055" i="18" s="1"/>
  <c r="H845" i="18" s="1"/>
  <c r="H135" i="7941" s="1"/>
  <c r="I545" i="18"/>
  <c r="I557" i="18" s="1"/>
  <c r="I181" i="18"/>
  <c r="I193" i="18" s="1"/>
  <c r="H193" i="18"/>
  <c r="H1041" i="18" s="1"/>
  <c r="H831" i="18" s="1"/>
  <c r="H121" i="7941" s="1"/>
  <c r="I389" i="18"/>
  <c r="I401" i="18" s="1"/>
  <c r="H401" i="18"/>
  <c r="I532" i="18"/>
  <c r="I544" i="18" s="1"/>
  <c r="H544" i="18"/>
  <c r="H1068" i="18" s="1"/>
  <c r="H858" i="18" s="1"/>
  <c r="I272" i="18"/>
  <c r="I415" i="18"/>
  <c r="H427" i="18"/>
  <c r="H1059" i="18" s="1"/>
  <c r="H849" i="18" s="1"/>
  <c r="H139" i="7941" s="1"/>
  <c r="I649" i="18"/>
  <c r="I661" i="18" s="1"/>
  <c r="H661" i="18"/>
  <c r="H1077" i="18" s="1"/>
  <c r="H867" i="18" s="1"/>
  <c r="I763" i="18" s="1"/>
  <c r="I1129" i="18" s="1"/>
  <c r="J222" i="1"/>
  <c r="H1053" i="18"/>
  <c r="H843" i="18" s="1"/>
  <c r="H133" i="7941" s="1"/>
  <c r="H1074" i="18"/>
  <c r="H864" i="18" s="1"/>
  <c r="H1058" i="18"/>
  <c r="H848" i="18" s="1"/>
  <c r="G127" i="7942"/>
  <c r="H451" i="7942"/>
  <c r="H469" i="7942"/>
  <c r="H457" i="7942"/>
  <c r="H463" i="7942"/>
  <c r="H467" i="7942"/>
  <c r="H439" i="7942"/>
  <c r="H441" i="7942"/>
  <c r="H491" i="7942"/>
  <c r="H437" i="7942"/>
  <c r="H487" i="7942"/>
  <c r="H475" i="7942"/>
  <c r="H495" i="7942"/>
  <c r="H485" i="7942"/>
  <c r="H471" i="7942"/>
  <c r="H459" i="7942"/>
  <c r="H447" i="7942"/>
  <c r="H503" i="7942"/>
  <c r="H497" i="7942"/>
  <c r="H443" i="7942"/>
  <c r="H493" i="7942"/>
  <c r="H453" i="7942"/>
  <c r="H481" i="7942"/>
  <c r="H479" i="7942"/>
  <c r="H477" i="7942"/>
  <c r="H455" i="7942"/>
  <c r="H465" i="7942"/>
  <c r="H483" i="7942"/>
  <c r="H461" i="7942"/>
  <c r="H489" i="7942"/>
  <c r="H449" i="7942"/>
  <c r="H499" i="7942"/>
  <c r="H445" i="7942"/>
  <c r="H473" i="7942"/>
  <c r="A507" i="7942"/>
  <c r="H505" i="7942"/>
  <c r="B80" i="7950"/>
  <c r="B134" i="7950"/>
  <c r="H194" i="7942"/>
  <c r="H1071" i="18"/>
  <c r="H861" i="18" s="1"/>
  <c r="I757" i="18" s="1"/>
  <c r="I1123" i="18" s="1"/>
  <c r="H212" i="7942"/>
  <c r="H214" i="7942"/>
  <c r="J357" i="1"/>
  <c r="B212" i="7950"/>
  <c r="B50" i="7950"/>
  <c r="B26" i="7950"/>
  <c r="H228" i="7942"/>
  <c r="H200" i="7942"/>
  <c r="B674" i="7950"/>
  <c r="H198" i="7942"/>
  <c r="B296" i="7950"/>
  <c r="B1616" i="7950"/>
  <c r="B890" i="7950"/>
  <c r="B968" i="7950"/>
  <c r="B2024" i="7950"/>
  <c r="B482" i="7950"/>
  <c r="B2132" i="7950"/>
  <c r="B1322" i="7950"/>
  <c r="B1292" i="7950"/>
  <c r="B2210" i="7950"/>
  <c r="B2294" i="7950"/>
  <c r="B590" i="7950"/>
  <c r="B1646" i="7950"/>
  <c r="B266" i="7950"/>
  <c r="B860" i="7950"/>
  <c r="B1970" i="7950"/>
  <c r="B1130" i="7950"/>
  <c r="B1454" i="7950"/>
  <c r="B1832" i="7950"/>
  <c r="B1808" i="7950"/>
  <c r="B2426" i="7950"/>
  <c r="B2534" i="7950"/>
  <c r="J4" i="7942"/>
  <c r="J4" i="7944"/>
  <c r="J281" i="1"/>
  <c r="B428" i="7950"/>
  <c r="B536" i="7950"/>
  <c r="B644" i="7950"/>
  <c r="B998" i="7950"/>
  <c r="B1916" i="7950"/>
  <c r="B2510" i="7950"/>
  <c r="B350" i="7950"/>
  <c r="B728" i="7950"/>
  <c r="B1238" i="7950"/>
  <c r="B1592" i="7950"/>
  <c r="B836" i="7950"/>
  <c r="B1076" i="7950"/>
  <c r="B1184" i="7950"/>
  <c r="B1376" i="7950"/>
  <c r="B1538" i="7950"/>
  <c r="B1724" i="7950"/>
  <c r="B2102" i="7950"/>
  <c r="B2264" i="7950"/>
  <c r="B1886" i="7950"/>
  <c r="B2318" i="7950"/>
  <c r="B2672" i="7950"/>
  <c r="B2372" i="7950"/>
  <c r="B2642" i="7950"/>
  <c r="B2678" i="7949"/>
  <c r="B2648" i="7949"/>
  <c r="B2594" i="7949"/>
  <c r="B2516" i="7949"/>
  <c r="B2486" i="7949"/>
  <c r="B2432" i="7949"/>
  <c r="B2408" i="7949"/>
  <c r="B2354" i="7949"/>
  <c r="B2324" i="7949"/>
  <c r="B2300" i="7949"/>
  <c r="B2270" i="7949"/>
  <c r="B2216" i="7949"/>
  <c r="B2138" i="7949"/>
  <c r="B2108" i="7949"/>
  <c r="B2084" i="7949"/>
  <c r="B2702" i="7949"/>
  <c r="B2624" i="7949"/>
  <c r="B2570" i="7949"/>
  <c r="B2540" i="7949"/>
  <c r="B2462" i="7949"/>
  <c r="B2378" i="7949"/>
  <c r="B2246" i="7949"/>
  <c r="B2192" i="7949"/>
  <c r="B2162" i="7949"/>
  <c r="B1976" i="7949"/>
  <c r="B1946" i="7949"/>
  <c r="B1892" i="7949"/>
  <c r="B1868" i="7949"/>
  <c r="B1814" i="7949"/>
  <c r="B1760" i="7949"/>
  <c r="B1730" i="7949"/>
  <c r="B1676" i="7949"/>
  <c r="B1622" i="7949"/>
  <c r="B1544" i="7949"/>
  <c r="B1490" i="7949"/>
  <c r="B1436" i="7949"/>
  <c r="B2054" i="7949"/>
  <c r="B2030" i="7949"/>
  <c r="B2000" i="7949"/>
  <c r="B1922" i="7949"/>
  <c r="B1838" i="7949"/>
  <c r="B1784" i="7949"/>
  <c r="B1706" i="7949"/>
  <c r="B1652" i="7949"/>
  <c r="B1598" i="7949"/>
  <c r="B1568" i="7949"/>
  <c r="B1514" i="7949"/>
  <c r="B1460" i="7949"/>
  <c r="B1328" i="7949"/>
  <c r="B1274" i="7949"/>
  <c r="B1220" i="7949"/>
  <c r="B1166" i="7949"/>
  <c r="B1136" i="7949"/>
  <c r="B1112" i="7949"/>
  <c r="B1082" i="7949"/>
  <c r="B1058" i="7949"/>
  <c r="B1028" i="7949"/>
  <c r="B1004" i="7949"/>
  <c r="B974" i="7949"/>
  <c r="B950" i="7949"/>
  <c r="B920" i="7949"/>
  <c r="B866" i="7949"/>
  <c r="B812" i="7949"/>
  <c r="B758" i="7949"/>
  <c r="B704" i="7949"/>
  <c r="B626" i="7949"/>
  <c r="B596" i="7949"/>
  <c r="B518" i="7949"/>
  <c r="B464" i="7949"/>
  <c r="B410" i="7949"/>
  <c r="B356" i="7949"/>
  <c r="B326" i="7949"/>
  <c r="B248" i="7949"/>
  <c r="B1406" i="7949"/>
  <c r="B1382" i="7949"/>
  <c r="B1352" i="7949"/>
  <c r="B1298" i="7949"/>
  <c r="B1244" i="7949"/>
  <c r="B1190" i="7949"/>
  <c r="B896" i="7949"/>
  <c r="B842" i="7949"/>
  <c r="B788" i="7949"/>
  <c r="B734" i="7949"/>
  <c r="B680" i="7949"/>
  <c r="B650" i="7949"/>
  <c r="B572" i="7949"/>
  <c r="B542" i="7949"/>
  <c r="B488" i="7949"/>
  <c r="B434" i="7949"/>
  <c r="B380" i="7949"/>
  <c r="B272" i="7949"/>
  <c r="B164" i="7949"/>
  <c r="B302" i="7949"/>
  <c r="B218" i="7949"/>
  <c r="B194" i="7949"/>
  <c r="B140" i="7949"/>
  <c r="B104" i="7950"/>
  <c r="B158" i="7950"/>
  <c r="B188" i="7950"/>
  <c r="B242" i="7950"/>
  <c r="B404" i="7950"/>
  <c r="B458" i="7950"/>
  <c r="B512" i="7950"/>
  <c r="B566" i="7950"/>
  <c r="B620" i="7950"/>
  <c r="B782" i="7950"/>
  <c r="B944" i="7950"/>
  <c r="B1484" i="7950"/>
  <c r="B1670" i="7950"/>
  <c r="B1940" i="7950"/>
  <c r="B2156" i="7950"/>
  <c r="B2564" i="7950"/>
  <c r="B320" i="7950"/>
  <c r="B374" i="7950"/>
  <c r="B698" i="7950"/>
  <c r="B752" i="7950"/>
  <c r="B1052" i="7950"/>
  <c r="B1268" i="7950"/>
  <c r="B1430" i="7950"/>
  <c r="B1754" i="7950"/>
  <c r="B806" i="7950"/>
  <c r="B914" i="7950"/>
  <c r="B1022" i="7950"/>
  <c r="B1106" i="7950"/>
  <c r="B1160" i="7950"/>
  <c r="B1214" i="7950"/>
  <c r="B1346" i="7950"/>
  <c r="B1400" i="7950"/>
  <c r="B1508" i="7950"/>
  <c r="B1562" i="7950"/>
  <c r="B1700" i="7950"/>
  <c r="B1778" i="7950"/>
  <c r="B2078" i="7950"/>
  <c r="B2186" i="7950"/>
  <c r="B2240" i="7950"/>
  <c r="B2588" i="7950"/>
  <c r="B1862" i="7950"/>
  <c r="B1994" i="7950"/>
  <c r="B2048" i="7950"/>
  <c r="B2402" i="7950"/>
  <c r="B2456" i="7950"/>
  <c r="B2696" i="7950"/>
  <c r="B2348" i="7950"/>
  <c r="B2480" i="7950"/>
  <c r="P6" i="7950"/>
  <c r="B86" i="7949"/>
  <c r="B110" i="7949"/>
  <c r="K60" i="1"/>
  <c r="H5" i="7959" s="1"/>
  <c r="J298" i="1"/>
  <c r="J4" i="7941"/>
  <c r="H268" i="7942"/>
  <c r="J114" i="1"/>
  <c r="H258" i="7942"/>
  <c r="H264" i="7942"/>
  <c r="H266" i="7942"/>
  <c r="H1044" i="18"/>
  <c r="H834" i="18" s="1"/>
  <c r="H124" i="7941" s="1"/>
  <c r="H1048" i="18"/>
  <c r="H838" i="18" s="1"/>
  <c r="H128" i="7941" s="1"/>
  <c r="H1080" i="18"/>
  <c r="H870" i="18" s="1"/>
  <c r="H160" i="7941" s="1"/>
  <c r="H1078" i="18"/>
  <c r="H868" i="18" s="1"/>
  <c r="H158" i="7941" s="1"/>
  <c r="H1060" i="18"/>
  <c r="H850" i="18" s="1"/>
  <c r="H140" i="7941" s="1"/>
  <c r="H234" i="7942"/>
  <c r="H238" i="7942"/>
  <c r="Q6" i="7949"/>
  <c r="B56" i="7949"/>
  <c r="B32" i="7949"/>
  <c r="H236" i="7942"/>
  <c r="H256" i="7942"/>
  <c r="H192" i="7942"/>
  <c r="H220" i="7942"/>
  <c r="H190" i="7942"/>
  <c r="H206" i="7942"/>
  <c r="H222" i="7942"/>
  <c r="I8" i="7942"/>
  <c r="I501" i="7942" s="1"/>
  <c r="H184" i="7942"/>
  <c r="H196" i="7942"/>
  <c r="H202" i="7942"/>
  <c r="H204" i="7942"/>
  <c r="H210" i="7942"/>
  <c r="H232" i="7942"/>
  <c r="H246" i="7942"/>
  <c r="H248" i="7942"/>
  <c r="H260" i="7942"/>
  <c r="H186" i="7942"/>
  <c r="H208" i="7942"/>
  <c r="H216" i="7942"/>
  <c r="H218" i="7942"/>
  <c r="H224" i="7942"/>
  <c r="H226" i="7942"/>
  <c r="H240" i="7942"/>
  <c r="H254" i="7942"/>
  <c r="H262" i="7942"/>
  <c r="H244" i="7942"/>
  <c r="H242" i="7942"/>
  <c r="H250" i="7942"/>
  <c r="H252" i="7942"/>
  <c r="H90" i="7941"/>
  <c r="K3" i="7944"/>
  <c r="K3" i="18"/>
  <c r="K157" i="18" s="1"/>
  <c r="H69" i="7941"/>
  <c r="H75" i="7941"/>
  <c r="H79" i="7941"/>
  <c r="H83" i="7941"/>
  <c r="H88" i="7941"/>
  <c r="H94" i="7941"/>
  <c r="J289" i="1"/>
  <c r="H67" i="7941"/>
  <c r="H98" i="7941"/>
  <c r="H102" i="7941"/>
  <c r="H106" i="7941"/>
  <c r="H70" i="7941"/>
  <c r="H76" i="7941"/>
  <c r="H80" i="7941"/>
  <c r="H84" i="7941"/>
  <c r="H89" i="7941"/>
  <c r="H95" i="7941"/>
  <c r="H71" i="7941"/>
  <c r="H92" i="7941"/>
  <c r="H103" i="7941"/>
  <c r="H72" i="7941"/>
  <c r="H77" i="7941"/>
  <c r="H81" i="7941"/>
  <c r="H86" i="7941"/>
  <c r="K288" i="1"/>
  <c r="H73" i="7941"/>
  <c r="H96" i="7941"/>
  <c r="H100" i="7941"/>
  <c r="H104" i="7941"/>
  <c r="H108" i="7941"/>
  <c r="J7" i="7942"/>
  <c r="J7" i="18"/>
  <c r="H68" i="7941"/>
  <c r="H74" i="7941"/>
  <c r="H78" i="7941"/>
  <c r="H82" i="7941"/>
  <c r="H87" i="7941"/>
  <c r="H93" i="7941"/>
  <c r="K285" i="1"/>
  <c r="H85" i="7941"/>
  <c r="H101" i="7941"/>
  <c r="H230" i="7942"/>
  <c r="K158" i="18" l="1"/>
  <c r="K159" i="18"/>
  <c r="K703" i="18"/>
  <c r="K677" i="18"/>
  <c r="K690" i="18"/>
  <c r="K209" i="18"/>
  <c r="K300" i="18"/>
  <c r="K535" i="18"/>
  <c r="K626" i="18"/>
  <c r="K327" i="18"/>
  <c r="K288" i="18"/>
  <c r="K275" i="18"/>
  <c r="K379" i="18"/>
  <c r="K405" i="18"/>
  <c r="K171" i="18"/>
  <c r="K417" i="18"/>
  <c r="K573" i="18"/>
  <c r="K547" i="18"/>
  <c r="K469" i="18"/>
  <c r="K196" i="18"/>
  <c r="K261" i="18"/>
  <c r="K313" i="18"/>
  <c r="K495" i="18"/>
  <c r="K365" i="18"/>
  <c r="K508" i="18"/>
  <c r="K352" i="18"/>
  <c r="K586" i="18"/>
  <c r="K236" i="18"/>
  <c r="K561" i="18"/>
  <c r="K665" i="18"/>
  <c r="K639" i="18"/>
  <c r="K301" i="18"/>
  <c r="K223" i="18"/>
  <c r="K509" i="18"/>
  <c r="K457" i="18"/>
  <c r="K339" i="18"/>
  <c r="K170" i="18"/>
  <c r="K560" i="18"/>
  <c r="K248" i="18"/>
  <c r="K625" i="18"/>
  <c r="K391" i="18"/>
  <c r="K430" i="18"/>
  <c r="K314" i="18"/>
  <c r="K587" i="18"/>
  <c r="K249" i="18"/>
  <c r="K340" i="18"/>
  <c r="K600" i="18"/>
  <c r="K262" i="18"/>
  <c r="K353" i="18"/>
  <c r="K431" i="18"/>
  <c r="K184" i="18"/>
  <c r="K652" i="18"/>
  <c r="K704" i="18"/>
  <c r="K664" i="18"/>
  <c r="K222" i="18"/>
  <c r="K612" i="18"/>
  <c r="K638" i="18"/>
  <c r="K183" i="18"/>
  <c r="K521" i="18"/>
  <c r="K326" i="18"/>
  <c r="K443" i="18"/>
  <c r="K691" i="18"/>
  <c r="K418" i="18"/>
  <c r="K678" i="18"/>
  <c r="K613" i="18"/>
  <c r="K470" i="18"/>
  <c r="K483" i="18"/>
  <c r="K482" i="18"/>
  <c r="K534" i="18"/>
  <c r="K235" i="18"/>
  <c r="K404" i="18"/>
  <c r="K456" i="18"/>
  <c r="K274" i="18"/>
  <c r="K651" i="18"/>
  <c r="K599" i="18"/>
  <c r="H188" i="7942"/>
  <c r="I188" i="7942" s="1"/>
  <c r="F4" i="7942"/>
  <c r="C11" i="7949"/>
  <c r="K4" i="7941"/>
  <c r="K366" i="18"/>
  <c r="K287" i="18"/>
  <c r="K197" i="18"/>
  <c r="K522" i="18"/>
  <c r="K444" i="18"/>
  <c r="K210" i="18"/>
  <c r="K392" i="18"/>
  <c r="K496" i="18"/>
  <c r="K548" i="18"/>
  <c r="K574" i="18"/>
  <c r="K172" i="18"/>
  <c r="K198" i="18"/>
  <c r="K354" i="18"/>
  <c r="K341" i="18"/>
  <c r="K237" i="18"/>
  <c r="K393" i="18"/>
  <c r="K614" i="18"/>
  <c r="K289" i="18"/>
  <c r="K276" i="18"/>
  <c r="K302" i="18"/>
  <c r="K562" i="18"/>
  <c r="K445" i="18"/>
  <c r="K484" i="18"/>
  <c r="K588" i="18"/>
  <c r="K458" i="18"/>
  <c r="K549" i="18"/>
  <c r="K328" i="18"/>
  <c r="K497" i="18"/>
  <c r="K705" i="18"/>
  <c r="K380" i="18"/>
  <c r="K601" i="18"/>
  <c r="K640" i="18"/>
  <c r="K471" i="18"/>
  <c r="K666" i="18"/>
  <c r="K211" i="18"/>
  <c r="K315" i="18"/>
  <c r="K406" i="18"/>
  <c r="K653" i="18"/>
  <c r="K536" i="18"/>
  <c r="K679" i="18"/>
  <c r="K263" i="18"/>
  <c r="K224" i="18"/>
  <c r="K250" i="18"/>
  <c r="K575" i="18"/>
  <c r="K367" i="18"/>
  <c r="K432" i="18"/>
  <c r="K419" i="18"/>
  <c r="K692" i="18"/>
  <c r="K510" i="18"/>
  <c r="K523" i="18"/>
  <c r="K185" i="18"/>
  <c r="K627" i="18"/>
  <c r="K378" i="18"/>
  <c r="K428" i="18"/>
  <c r="H644" i="7944"/>
  <c r="H280" i="7944"/>
  <c r="J506" i="18"/>
  <c r="J518" i="18" s="1"/>
  <c r="J311" i="18"/>
  <c r="K311" i="18" s="1"/>
  <c r="J298" i="18"/>
  <c r="J310" i="18" s="1"/>
  <c r="I531" i="18"/>
  <c r="I1067" i="18" s="1"/>
  <c r="B2643" i="7950"/>
  <c r="B81" i="7950"/>
  <c r="B27" i="7950"/>
  <c r="B51" i="7950"/>
  <c r="B135" i="7950"/>
  <c r="B159" i="7950"/>
  <c r="B105" i="7950"/>
  <c r="B213" i="7950"/>
  <c r="B189" i="7950"/>
  <c r="K714" i="7944"/>
  <c r="K662" i="7944"/>
  <c r="K610" i="7944"/>
  <c r="K558" i="7944"/>
  <c r="K506" i="7944"/>
  <c r="K454" i="7944"/>
  <c r="K402" i="7944"/>
  <c r="K350" i="7944"/>
  <c r="K298" i="7944"/>
  <c r="K753" i="7944"/>
  <c r="K701" i="7944"/>
  <c r="K649" i="7944"/>
  <c r="K597" i="7944"/>
  <c r="K545" i="7944"/>
  <c r="K493" i="7944"/>
  <c r="K441" i="7944"/>
  <c r="K389" i="7944"/>
  <c r="K337" i="7944"/>
  <c r="K285" i="7944"/>
  <c r="K740" i="7944"/>
  <c r="K688" i="7944"/>
  <c r="K636" i="7944"/>
  <c r="K584" i="7944"/>
  <c r="K532" i="7944"/>
  <c r="K480" i="7944"/>
  <c r="K428" i="7944"/>
  <c r="K376" i="7944"/>
  <c r="K324" i="7944"/>
  <c r="K727" i="7944"/>
  <c r="K675" i="7944"/>
  <c r="K623" i="7944"/>
  <c r="K571" i="7944"/>
  <c r="K519" i="7944"/>
  <c r="K467" i="7944"/>
  <c r="K415" i="7944"/>
  <c r="K363" i="7944"/>
  <c r="K311" i="7944"/>
  <c r="K233" i="7944"/>
  <c r="K272" i="7944"/>
  <c r="K220" i="7944"/>
  <c r="K259" i="7944"/>
  <c r="K207" i="7944"/>
  <c r="K246" i="7944"/>
  <c r="K218" i="7944"/>
  <c r="K518" i="7944"/>
  <c r="K362" i="7944"/>
  <c r="K414" i="7944"/>
  <c r="K635" i="7944"/>
  <c r="K401" i="7944"/>
  <c r="K453" i="7944"/>
  <c r="K544" i="7944"/>
  <c r="K726" i="7944"/>
  <c r="K725" i="7944"/>
  <c r="K700" i="7944"/>
  <c r="K466" i="7944"/>
  <c r="K219" i="7944"/>
  <c r="K245" i="7944"/>
  <c r="K297" i="7944"/>
  <c r="K349" i="7944"/>
  <c r="K543" i="7944"/>
  <c r="K674" i="7944"/>
  <c r="K583" i="7944"/>
  <c r="K660" i="7944"/>
  <c r="K752" i="7944"/>
  <c r="K596" i="7944"/>
  <c r="K271" i="7944"/>
  <c r="K258" i="7944"/>
  <c r="K465" i="7944"/>
  <c r="K517" i="7944"/>
  <c r="K595" i="7944"/>
  <c r="K388" i="7944"/>
  <c r="K440" i="7944"/>
  <c r="K492" i="7944"/>
  <c r="K570" i="7944"/>
  <c r="K634" i="7944"/>
  <c r="K661" i="7944"/>
  <c r="K673" i="7944"/>
  <c r="K323" i="7944"/>
  <c r="K206" i="7944"/>
  <c r="K322" i="7944"/>
  <c r="K270" i="7944"/>
  <c r="K310" i="7944"/>
  <c r="K413" i="7944"/>
  <c r="K609" i="7944"/>
  <c r="K712" i="7944"/>
  <c r="K686" i="7944"/>
  <c r="K426" i="7944"/>
  <c r="K283" i="7944"/>
  <c r="K647" i="7944"/>
  <c r="K621" i="7944"/>
  <c r="K530" i="7944"/>
  <c r="K374" i="7944"/>
  <c r="K582" i="7944"/>
  <c r="K556" i="7944"/>
  <c r="K738" i="7944"/>
  <c r="K257" i="7944"/>
  <c r="K478" i="7944"/>
  <c r="K335" i="7944"/>
  <c r="K309" i="7944"/>
  <c r="K244" i="7944"/>
  <c r="K569" i="7944"/>
  <c r="K439" i="7944"/>
  <c r="K751" i="7944"/>
  <c r="K504" i="7944"/>
  <c r="K608" i="7944"/>
  <c r="K479" i="7944"/>
  <c r="K687" i="7944"/>
  <c r="K505" i="7944"/>
  <c r="K713" i="7944"/>
  <c r="K699" i="7944"/>
  <c r="K400" i="7944"/>
  <c r="K348" i="7944"/>
  <c r="K452" i="7944"/>
  <c r="K531" i="7944"/>
  <c r="K739" i="7944"/>
  <c r="K648" i="7944"/>
  <c r="K557" i="7944"/>
  <c r="K231" i="7944"/>
  <c r="K491" i="7944"/>
  <c r="K232" i="7944"/>
  <c r="K375" i="7944"/>
  <c r="K284" i="7944"/>
  <c r="K205" i="7944"/>
  <c r="K387" i="7944"/>
  <c r="K361" i="7944"/>
  <c r="K296" i="7944"/>
  <c r="K427" i="7944"/>
  <c r="K336" i="7944"/>
  <c r="K622" i="7944"/>
  <c r="I753" i="18"/>
  <c r="I1119" i="18" s="1"/>
  <c r="I49" i="7944"/>
  <c r="I19" i="7944"/>
  <c r="I29" i="7944"/>
  <c r="I26" i="7944"/>
  <c r="I17" i="7944"/>
  <c r="I24" i="7944"/>
  <c r="I15" i="7944"/>
  <c r="I23" i="7944"/>
  <c r="J571" i="18"/>
  <c r="K571" i="18" s="1"/>
  <c r="I606" i="7944"/>
  <c r="I618" i="7944" s="1"/>
  <c r="I281" i="7944"/>
  <c r="I293" i="7944" s="1"/>
  <c r="I229" i="7944"/>
  <c r="I241" i="7944" s="1"/>
  <c r="I736" i="7944"/>
  <c r="I748" i="7944" s="1"/>
  <c r="I723" i="7944"/>
  <c r="I735" i="7944" s="1"/>
  <c r="I619" i="7944"/>
  <c r="I631" i="7944" s="1"/>
  <c r="I203" i="7944"/>
  <c r="I215" i="7944" s="1"/>
  <c r="I385" i="7944"/>
  <c r="I397" i="7944" s="1"/>
  <c r="I554" i="7944"/>
  <c r="I566" i="7944" s="1"/>
  <c r="I320" i="7944"/>
  <c r="I332" i="7944" s="1"/>
  <c r="I359" i="7944"/>
  <c r="I371" i="7944" s="1"/>
  <c r="I333" i="7944"/>
  <c r="I345" i="7944" s="1"/>
  <c r="I697" i="7944"/>
  <c r="I709" i="7944" s="1"/>
  <c r="I528" i="7944"/>
  <c r="I540" i="7944" s="1"/>
  <c r="I307" i="7944"/>
  <c r="I319" i="7944" s="1"/>
  <c r="I658" i="7944"/>
  <c r="I670" i="7944" s="1"/>
  <c r="I476" i="7944"/>
  <c r="I488" i="7944" s="1"/>
  <c r="I749" i="7944"/>
  <c r="I761" i="7944" s="1"/>
  <c r="I541" i="7944"/>
  <c r="I553" i="7944" s="1"/>
  <c r="I450" i="7944"/>
  <c r="I462" i="7944" s="1"/>
  <c r="I645" i="7944"/>
  <c r="I657" i="7944" s="1"/>
  <c r="J27" i="18"/>
  <c r="J785" i="18" s="1"/>
  <c r="J75" i="7941" s="1"/>
  <c r="J35" i="18"/>
  <c r="J793" i="18" s="1"/>
  <c r="J83" i="7941" s="1"/>
  <c r="J50" i="18"/>
  <c r="J808" i="18" s="1"/>
  <c r="J98" i="7941" s="1"/>
  <c r="J19" i="18"/>
  <c r="J777" i="18" s="1"/>
  <c r="J67" i="7941" s="1"/>
  <c r="J25" i="18"/>
  <c r="J783" i="18" s="1"/>
  <c r="J73" i="7941" s="1"/>
  <c r="J44" i="18"/>
  <c r="J802" i="18" s="1"/>
  <c r="J92" i="7941" s="1"/>
  <c r="J54" i="18"/>
  <c r="J812" i="18" s="1"/>
  <c r="J102" i="7941" s="1"/>
  <c r="J55" i="18"/>
  <c r="J813" i="18" s="1"/>
  <c r="J103" i="7941" s="1"/>
  <c r="J22" i="18"/>
  <c r="J780" i="18" s="1"/>
  <c r="J70" i="7941" s="1"/>
  <c r="J49" i="18"/>
  <c r="J807" i="18" s="1"/>
  <c r="J97" i="7941" s="1"/>
  <c r="J47" i="18"/>
  <c r="J805" i="18" s="1"/>
  <c r="J95" i="7941" s="1"/>
  <c r="J26" i="18"/>
  <c r="J784" i="18" s="1"/>
  <c r="J74" i="7941" s="1"/>
  <c r="J56" i="18"/>
  <c r="J814" i="18" s="1"/>
  <c r="J104" i="7941" s="1"/>
  <c r="J40" i="18"/>
  <c r="J798" i="18" s="1"/>
  <c r="J88" i="7941" s="1"/>
  <c r="J38" i="18"/>
  <c r="J796" i="18" s="1"/>
  <c r="J86" i="7941" s="1"/>
  <c r="J29" i="18"/>
  <c r="J787" i="18" s="1"/>
  <c r="J77" i="7941" s="1"/>
  <c r="J59" i="18"/>
  <c r="J817" i="18" s="1"/>
  <c r="J107" i="7941" s="1"/>
  <c r="J24" i="18"/>
  <c r="J782" i="18" s="1"/>
  <c r="J72" i="7941" s="1"/>
  <c r="J51" i="18"/>
  <c r="J809" i="18" s="1"/>
  <c r="J99" i="7941" s="1"/>
  <c r="J21" i="18"/>
  <c r="J779" i="18" s="1"/>
  <c r="J69" i="7941" s="1"/>
  <c r="J57" i="18"/>
  <c r="J815" i="18" s="1"/>
  <c r="J105" i="7941" s="1"/>
  <c r="J32" i="18"/>
  <c r="J790" i="18" s="1"/>
  <c r="J80" i="7941" s="1"/>
  <c r="J52" i="18"/>
  <c r="J810" i="18" s="1"/>
  <c r="J100" i="7941" s="1"/>
  <c r="J37" i="18"/>
  <c r="J795" i="18" s="1"/>
  <c r="J85" i="7941" s="1"/>
  <c r="J39" i="18"/>
  <c r="J797" i="18" s="1"/>
  <c r="J87" i="7941" s="1"/>
  <c r="J45" i="18"/>
  <c r="J803" i="18" s="1"/>
  <c r="J93" i="7941" s="1"/>
  <c r="J43" i="18"/>
  <c r="J801" i="18" s="1"/>
  <c r="J91" i="7941" s="1"/>
  <c r="J41" i="18"/>
  <c r="J799" i="18" s="1"/>
  <c r="J89" i="7941" s="1"/>
  <c r="J23" i="18"/>
  <c r="J781" i="18" s="1"/>
  <c r="J71" i="7941" s="1"/>
  <c r="J48" i="18"/>
  <c r="J806" i="18" s="1"/>
  <c r="J96" i="7941" s="1"/>
  <c r="J42" i="18"/>
  <c r="J800" i="18" s="1"/>
  <c r="J90" i="7941" s="1"/>
  <c r="J58" i="18"/>
  <c r="J816" i="18" s="1"/>
  <c r="J106" i="7941" s="1"/>
  <c r="J33" i="18"/>
  <c r="J791" i="18" s="1"/>
  <c r="J81" i="7941" s="1"/>
  <c r="J30" i="18"/>
  <c r="J788" i="18" s="1"/>
  <c r="J78" i="7941" s="1"/>
  <c r="J53" i="18"/>
  <c r="J811" i="18" s="1"/>
  <c r="J101" i="7941" s="1"/>
  <c r="J34" i="18"/>
  <c r="J792" i="18" s="1"/>
  <c r="J82" i="7941" s="1"/>
  <c r="J36" i="18"/>
  <c r="J794" i="18" s="1"/>
  <c r="J84" i="7941" s="1"/>
  <c r="J60" i="18"/>
  <c r="J818" i="18" s="1"/>
  <c r="J108" i="7941" s="1"/>
  <c r="J20" i="18"/>
  <c r="J778" i="18" s="1"/>
  <c r="J68" i="7941" s="1"/>
  <c r="J28" i="18"/>
  <c r="J786" i="18" s="1"/>
  <c r="J76" i="7941" s="1"/>
  <c r="J61" i="18"/>
  <c r="J819" i="18" s="1"/>
  <c r="J109" i="7941" s="1"/>
  <c r="J46" i="18"/>
  <c r="J804" i="18" s="1"/>
  <c r="J94" i="7941" s="1"/>
  <c r="J31" i="18"/>
  <c r="J789" i="18" s="1"/>
  <c r="J79" i="7941" s="1"/>
  <c r="I440" i="18"/>
  <c r="J440" i="18" s="1"/>
  <c r="K376" i="18"/>
  <c r="I398" i="7944"/>
  <c r="I410" i="7944" s="1"/>
  <c r="I632" i="7944"/>
  <c r="I644" i="7944" s="1"/>
  <c r="I216" i="7944"/>
  <c r="I228" i="7944" s="1"/>
  <c r="I346" i="7944"/>
  <c r="I358" i="7944" s="1"/>
  <c r="I515" i="7944"/>
  <c r="I527" i="7944" s="1"/>
  <c r="I489" i="7944"/>
  <c r="I501" i="7944" s="1"/>
  <c r="I580" i="7944"/>
  <c r="I592" i="7944" s="1"/>
  <c r="I463" i="7944"/>
  <c r="I475" i="7944" s="1"/>
  <c r="I684" i="7944"/>
  <c r="I696" i="7944" s="1"/>
  <c r="I268" i="7944"/>
  <c r="I280" i="7944" s="1"/>
  <c r="I502" i="7944"/>
  <c r="I514" i="7944" s="1"/>
  <c r="I294" i="7944"/>
  <c r="I306" i="7944" s="1"/>
  <c r="I437" i="7944"/>
  <c r="I449" i="7944" s="1"/>
  <c r="I411" i="7944"/>
  <c r="I423" i="7944" s="1"/>
  <c r="I593" i="7944"/>
  <c r="I605" i="7944" s="1"/>
  <c r="I424" i="7944"/>
  <c r="I436" i="7944" s="1"/>
  <c r="I567" i="7944"/>
  <c r="I579" i="7944" s="1"/>
  <c r="I242" i="7944"/>
  <c r="I254" i="7944" s="1"/>
  <c r="I671" i="7944"/>
  <c r="I683" i="7944" s="1"/>
  <c r="I372" i="7944"/>
  <c r="I384" i="7944" s="1"/>
  <c r="I255" i="7944"/>
  <c r="I267" i="7944" s="1"/>
  <c r="I710" i="7944"/>
  <c r="I722" i="7944" s="1"/>
  <c r="I28" i="7944"/>
  <c r="K168" i="1"/>
  <c r="I27" i="7944"/>
  <c r="I180" i="18"/>
  <c r="J180" i="18" s="1"/>
  <c r="I336" i="18"/>
  <c r="J336" i="18" s="1"/>
  <c r="K662" i="18"/>
  <c r="K324" i="18"/>
  <c r="I39" i="7944"/>
  <c r="I57" i="7944"/>
  <c r="J246" i="18"/>
  <c r="J258" i="18" s="1"/>
  <c r="J1046" i="18" s="1"/>
  <c r="I34" i="7944"/>
  <c r="I36" i="7944"/>
  <c r="I30" i="7944"/>
  <c r="I47" i="7944"/>
  <c r="I25" i="7944"/>
  <c r="I37" i="7944"/>
  <c r="I51" i="7944"/>
  <c r="I43" i="7944"/>
  <c r="K519" i="18"/>
  <c r="I35" i="7944"/>
  <c r="I54" i="7944"/>
  <c r="I38" i="7944"/>
  <c r="I33" i="7944"/>
  <c r="I31" i="7944"/>
  <c r="I40" i="7944"/>
  <c r="I55" i="7944"/>
  <c r="I52" i="7944"/>
  <c r="I46" i="7944"/>
  <c r="J675" i="18"/>
  <c r="J687" i="18" s="1"/>
  <c r="J142" i="18"/>
  <c r="K142" i="18" s="1"/>
  <c r="I232" i="18"/>
  <c r="J232" i="18" s="1"/>
  <c r="I492" i="18"/>
  <c r="J492" i="18" s="1"/>
  <c r="I206" i="18"/>
  <c r="J206" i="18" s="1"/>
  <c r="I167" i="18"/>
  <c r="J167" i="18" s="1"/>
  <c r="K194" i="18"/>
  <c r="K337" i="18"/>
  <c r="I388" i="18"/>
  <c r="J388" i="18" s="1"/>
  <c r="K155" i="18"/>
  <c r="I349" i="18"/>
  <c r="J349" i="18" s="1"/>
  <c r="I674" i="18"/>
  <c r="J674" i="18" s="1"/>
  <c r="J181" i="18"/>
  <c r="K181" i="18" s="1"/>
  <c r="J636" i="18"/>
  <c r="K636" i="18" s="1"/>
  <c r="J558" i="18"/>
  <c r="K558" i="18" s="1"/>
  <c r="I570" i="18"/>
  <c r="J649" i="18"/>
  <c r="K649" i="18" s="1"/>
  <c r="K168" i="18"/>
  <c r="I284" i="18"/>
  <c r="I453" i="18"/>
  <c r="I505" i="18"/>
  <c r="J285" i="18"/>
  <c r="K285" i="18" s="1"/>
  <c r="K480" i="18"/>
  <c r="I245" i="18"/>
  <c r="I1045" i="18" s="1"/>
  <c r="J597" i="18"/>
  <c r="K597" i="18" s="1"/>
  <c r="J402" i="18"/>
  <c r="J414" i="18" s="1"/>
  <c r="J415" i="18"/>
  <c r="J389" i="18"/>
  <c r="J401" i="18" s="1"/>
  <c r="J363" i="18"/>
  <c r="J375" i="18" s="1"/>
  <c r="I427" i="18"/>
  <c r="I1059" i="18" s="1"/>
  <c r="J688" i="18"/>
  <c r="J272" i="18"/>
  <c r="K233" i="18"/>
  <c r="J467" i="18"/>
  <c r="J479" i="18" s="1"/>
  <c r="J350" i="18"/>
  <c r="I466" i="18"/>
  <c r="I1062" i="18" s="1"/>
  <c r="J610" i="18"/>
  <c r="J454" i="18"/>
  <c r="J623" i="18"/>
  <c r="K623" i="18" s="1"/>
  <c r="J532" i="18"/>
  <c r="K532" i="18" s="1"/>
  <c r="J545" i="18"/>
  <c r="K545" i="18" s="1"/>
  <c r="J701" i="18"/>
  <c r="J713" i="18" s="1"/>
  <c r="J207" i="18"/>
  <c r="J493" i="18"/>
  <c r="K493" i="18" s="1"/>
  <c r="I700" i="18"/>
  <c r="I635" i="18"/>
  <c r="I1075" i="18" s="1"/>
  <c r="J584" i="18"/>
  <c r="I297" i="18"/>
  <c r="I1049" i="18" s="1"/>
  <c r="J323" i="18"/>
  <c r="I271" i="18"/>
  <c r="J259" i="18"/>
  <c r="K220" i="18"/>
  <c r="J441" i="18"/>
  <c r="K222" i="1"/>
  <c r="H1072" i="18"/>
  <c r="H862" i="18" s="1"/>
  <c r="H152" i="7941" s="1"/>
  <c r="H362" i="7941" s="1"/>
  <c r="H1039" i="18"/>
  <c r="H829" i="18" s="1"/>
  <c r="H119" i="7941" s="1"/>
  <c r="I15" i="7941" s="1"/>
  <c r="H154" i="7941"/>
  <c r="H364" i="7941" s="1"/>
  <c r="I760" i="18"/>
  <c r="I1126" i="18" s="1"/>
  <c r="H148" i="7941"/>
  <c r="H358" i="7941" s="1"/>
  <c r="I754" i="18"/>
  <c r="I1120" i="18" s="1"/>
  <c r="H138" i="7941"/>
  <c r="I34" i="7941" s="1"/>
  <c r="I744" i="18"/>
  <c r="I1110" i="18" s="1"/>
  <c r="H1054" i="18"/>
  <c r="H844" i="18" s="1"/>
  <c r="I1071" i="18"/>
  <c r="H1052" i="18"/>
  <c r="H842" i="18" s="1"/>
  <c r="H1056" i="18"/>
  <c r="H846" i="18" s="1"/>
  <c r="H1049" i="18"/>
  <c r="H839" i="18" s="1"/>
  <c r="H1075" i="18"/>
  <c r="H865" i="18" s="1"/>
  <c r="I1073" i="18"/>
  <c r="I1066" i="18"/>
  <c r="H1079" i="18"/>
  <c r="H869" i="18" s="1"/>
  <c r="H1069" i="18"/>
  <c r="H859" i="18" s="1"/>
  <c r="I755" i="18" s="1"/>
  <c r="I1121" i="18" s="1"/>
  <c r="H1073" i="18"/>
  <c r="H863" i="18" s="1"/>
  <c r="H153" i="7941" s="1"/>
  <c r="I49" i="7941" s="1"/>
  <c r="H1057" i="18"/>
  <c r="H847" i="18" s="1"/>
  <c r="H137" i="7941" s="1"/>
  <c r="I33" i="7941" s="1"/>
  <c r="I1076" i="18"/>
  <c r="I1043" i="18"/>
  <c r="I1058" i="18"/>
  <c r="H1070" i="18"/>
  <c r="H860" i="18" s="1"/>
  <c r="H150" i="7941" s="1"/>
  <c r="I46" i="7941" s="1"/>
  <c r="H1081" i="18"/>
  <c r="H871" i="18" s="1"/>
  <c r="H161" i="7941" s="1"/>
  <c r="H371" i="7941" s="1"/>
  <c r="H1063" i="18"/>
  <c r="H853" i="18" s="1"/>
  <c r="H1042" i="18"/>
  <c r="H832" i="18" s="1"/>
  <c r="H1046" i="18"/>
  <c r="H836" i="18" s="1"/>
  <c r="H1050" i="18"/>
  <c r="H840" i="18" s="1"/>
  <c r="H1064" i="18"/>
  <c r="H854" i="18" s="1"/>
  <c r="H1076" i="18"/>
  <c r="H866" i="18" s="1"/>
  <c r="H1065" i="18"/>
  <c r="H855" i="18" s="1"/>
  <c r="I726" i="18"/>
  <c r="I1092" i="18" s="1"/>
  <c r="I503" i="7942"/>
  <c r="I499" i="7942"/>
  <c r="I500" i="7942" s="1"/>
  <c r="I483" i="7942"/>
  <c r="I484" i="7942" s="1"/>
  <c r="I479" i="7942"/>
  <c r="I480" i="7942" s="1"/>
  <c r="I443" i="7942"/>
  <c r="I444" i="7942" s="1"/>
  <c r="I459" i="7942"/>
  <c r="I460" i="7942" s="1"/>
  <c r="I475" i="7942"/>
  <c r="I476" i="7942" s="1"/>
  <c r="I441" i="7942"/>
  <c r="I442" i="7942" s="1"/>
  <c r="I457" i="7942"/>
  <c r="I458" i="7942" s="1"/>
  <c r="I449" i="7942"/>
  <c r="I450" i="7942" s="1"/>
  <c r="I465" i="7942"/>
  <c r="I466" i="7942" s="1"/>
  <c r="I481" i="7942"/>
  <c r="I497" i="7942"/>
  <c r="I498" i="7942" s="1"/>
  <c r="I471" i="7942"/>
  <c r="I487" i="7942"/>
  <c r="I488" i="7942" s="1"/>
  <c r="I439" i="7942"/>
  <c r="I469" i="7942"/>
  <c r="I470" i="7942" s="1"/>
  <c r="I473" i="7942"/>
  <c r="I474" i="7942" s="1"/>
  <c r="I489" i="7942"/>
  <c r="I490" i="7942" s="1"/>
  <c r="I455" i="7942"/>
  <c r="I456" i="7942" s="1"/>
  <c r="I453" i="7942"/>
  <c r="I454" i="7942" s="1"/>
  <c r="I485" i="7942"/>
  <c r="I486" i="7942" s="1"/>
  <c r="I437" i="7942"/>
  <c r="I438" i="7942" s="1"/>
  <c r="I467" i="7942"/>
  <c r="I468" i="7942" s="1"/>
  <c r="I451" i="7942"/>
  <c r="I445" i="7942"/>
  <c r="I446" i="7942" s="1"/>
  <c r="I461" i="7942"/>
  <c r="I477" i="7942"/>
  <c r="I478" i="7942" s="1"/>
  <c r="I493" i="7942"/>
  <c r="I447" i="7942"/>
  <c r="I448" i="7942" s="1"/>
  <c r="I495" i="7942"/>
  <c r="I496" i="7942" s="1"/>
  <c r="I491" i="7942"/>
  <c r="I492" i="7942" s="1"/>
  <c r="I463" i="7942"/>
  <c r="I464" i="7942" s="1"/>
  <c r="I505" i="7942"/>
  <c r="I506" i="7942" s="1"/>
  <c r="A509" i="7942"/>
  <c r="H507" i="7942"/>
  <c r="I748" i="18"/>
  <c r="I1114" i="18" s="1"/>
  <c r="H151" i="7941"/>
  <c r="H361" i="7941" s="1"/>
  <c r="I38" i="7941"/>
  <c r="B429" i="7950"/>
  <c r="K357" i="1"/>
  <c r="I741" i="18"/>
  <c r="I1107" i="18" s="1"/>
  <c r="B699" i="7950"/>
  <c r="B243" i="7950"/>
  <c r="B807" i="7950"/>
  <c r="I739" i="18"/>
  <c r="I1105" i="18" s="1"/>
  <c r="B1131" i="7950"/>
  <c r="B1323" i="7950"/>
  <c r="B1401" i="7950"/>
  <c r="L60" i="1"/>
  <c r="I5" i="7959" s="1"/>
  <c r="B513" i="7950"/>
  <c r="B2049" i="7950"/>
  <c r="B999" i="7950"/>
  <c r="B1917" i="7950"/>
  <c r="B621" i="7950"/>
  <c r="B2241" i="7950"/>
  <c r="B1455" i="7950"/>
  <c r="B1647" i="7950"/>
  <c r="B2403" i="7950"/>
  <c r="B1161" i="7950"/>
  <c r="B2481" i="7950"/>
  <c r="B729" i="7950"/>
  <c r="B321" i="7950"/>
  <c r="B1539" i="7950"/>
  <c r="B1725" i="7950"/>
  <c r="B351" i="7950"/>
  <c r="B1431" i="7950"/>
  <c r="B783" i="7950"/>
  <c r="B915" i="7950"/>
  <c r="B1941" i="7950"/>
  <c r="B459" i="7950"/>
  <c r="B1671" i="7950"/>
  <c r="B891" i="7950"/>
  <c r="B1023" i="7950"/>
  <c r="B2211" i="7950"/>
  <c r="B567" i="7950"/>
  <c r="B2157" i="7950"/>
  <c r="B1185" i="7950"/>
  <c r="B1293" i="7950"/>
  <c r="B2349" i="7950"/>
  <c r="K4" i="18"/>
  <c r="K114" i="1"/>
  <c r="B297" i="7950"/>
  <c r="B405" i="7950"/>
  <c r="B483" i="7950"/>
  <c r="B537" i="7950"/>
  <c r="B591" i="7950"/>
  <c r="B675" i="7950"/>
  <c r="B1053" i="7950"/>
  <c r="B1269" i="7950"/>
  <c r="B1377" i="7950"/>
  <c r="B1593" i="7950"/>
  <c r="B1755" i="7950"/>
  <c r="B2079" i="7950"/>
  <c r="B2187" i="7950"/>
  <c r="B267" i="7950"/>
  <c r="B375" i="7950"/>
  <c r="B645" i="7950"/>
  <c r="B753" i="7950"/>
  <c r="B861" i="7950"/>
  <c r="B945" i="7950"/>
  <c r="B1107" i="7950"/>
  <c r="B1239" i="7950"/>
  <c r="B1485" i="7950"/>
  <c r="B1617" i="7950"/>
  <c r="B2535" i="7950"/>
  <c r="B837" i="7950"/>
  <c r="B969" i="7950"/>
  <c r="B1077" i="7950"/>
  <c r="B1215" i="7950"/>
  <c r="B1347" i="7950"/>
  <c r="B1563" i="7950"/>
  <c r="B1833" i="7950"/>
  <c r="B2133" i="7950"/>
  <c r="B1809" i="7950"/>
  <c r="B2025" i="7950"/>
  <c r="B2319" i="7950"/>
  <c r="B2697" i="7950"/>
  <c r="B2619" i="7950"/>
  <c r="B2589" i="7950"/>
  <c r="B1509" i="7950"/>
  <c r="B1701" i="7950"/>
  <c r="B1779" i="7950"/>
  <c r="B1863" i="7950"/>
  <c r="B1971" i="7950"/>
  <c r="B2373" i="7950"/>
  <c r="B2457" i="7950"/>
  <c r="B1887" i="7950"/>
  <c r="B1995" i="7950"/>
  <c r="B2103" i="7950"/>
  <c r="B2265" i="7950"/>
  <c r="B2427" i="7950"/>
  <c r="B2511" i="7950"/>
  <c r="B2295" i="7950"/>
  <c r="B2565" i="7950"/>
  <c r="B2673" i="7950"/>
  <c r="I733" i="18"/>
  <c r="I1099" i="18" s="1"/>
  <c r="H157" i="7941"/>
  <c r="I53" i="7941" s="1"/>
  <c r="B2703" i="7949"/>
  <c r="B2649" i="7949"/>
  <c r="B2625" i="7949"/>
  <c r="B2571" i="7949"/>
  <c r="B2541" i="7949"/>
  <c r="B2463" i="7949"/>
  <c r="B2379" i="7949"/>
  <c r="B2247" i="7949"/>
  <c r="B2193" i="7949"/>
  <c r="B2163" i="7949"/>
  <c r="B2109" i="7949"/>
  <c r="B2055" i="7949"/>
  <c r="B2679" i="7949"/>
  <c r="B2595" i="7949"/>
  <c r="B2517" i="7949"/>
  <c r="B2487" i="7949"/>
  <c r="B2433" i="7949"/>
  <c r="B2409" i="7949"/>
  <c r="B2355" i="7949"/>
  <c r="B2325" i="7949"/>
  <c r="B2301" i="7949"/>
  <c r="B2271" i="7949"/>
  <c r="B2217" i="7949"/>
  <c r="B2139" i="7949"/>
  <c r="B2085" i="7949"/>
  <c r="B2031" i="7949"/>
  <c r="B2001" i="7949"/>
  <c r="B1947" i="7949"/>
  <c r="B1923" i="7949"/>
  <c r="B1839" i="7949"/>
  <c r="B1785" i="7949"/>
  <c r="B1707" i="7949"/>
  <c r="B1653" i="7949"/>
  <c r="B1599" i="7949"/>
  <c r="B1569" i="7949"/>
  <c r="B1515" i="7949"/>
  <c r="B1461" i="7949"/>
  <c r="B1977" i="7949"/>
  <c r="B1893" i="7949"/>
  <c r="B1869" i="7949"/>
  <c r="B1815" i="7949"/>
  <c r="B1761" i="7949"/>
  <c r="B1731" i="7949"/>
  <c r="B1677" i="7949"/>
  <c r="B1623" i="7949"/>
  <c r="B1545" i="7949"/>
  <c r="B1437" i="7949"/>
  <c r="B1407" i="7949"/>
  <c r="B1383" i="7949"/>
  <c r="B1353" i="7949"/>
  <c r="B1299" i="7949"/>
  <c r="B1245" i="7949"/>
  <c r="B1191" i="7949"/>
  <c r="B897" i="7949"/>
  <c r="B843" i="7949"/>
  <c r="B789" i="7949"/>
  <c r="B735" i="7949"/>
  <c r="B681" i="7949"/>
  <c r="B597" i="7949"/>
  <c r="B573" i="7949"/>
  <c r="B543" i="7949"/>
  <c r="B489" i="7949"/>
  <c r="B435" i="7949"/>
  <c r="B381" i="7949"/>
  <c r="B303" i="7949"/>
  <c r="B273" i="7949"/>
  <c r="B219" i="7949"/>
  <c r="B1491" i="7949"/>
  <c r="B1329" i="7949"/>
  <c r="B1275" i="7949"/>
  <c r="B1221" i="7949"/>
  <c r="B1167" i="7949"/>
  <c r="B1137" i="7949"/>
  <c r="B1113" i="7949"/>
  <c r="B1083" i="7949"/>
  <c r="B1059" i="7949"/>
  <c r="B1029" i="7949"/>
  <c r="B1005" i="7949"/>
  <c r="B975" i="7949"/>
  <c r="B951" i="7949"/>
  <c r="B921" i="7949"/>
  <c r="B867" i="7949"/>
  <c r="B813" i="7949"/>
  <c r="B759" i="7949"/>
  <c r="B705" i="7949"/>
  <c r="B651" i="7949"/>
  <c r="B627" i="7949"/>
  <c r="B519" i="7949"/>
  <c r="B465" i="7949"/>
  <c r="B411" i="7949"/>
  <c r="B357" i="7949"/>
  <c r="B195" i="7949"/>
  <c r="B165" i="7949"/>
  <c r="B141" i="7949"/>
  <c r="B327" i="7949"/>
  <c r="B249" i="7949"/>
  <c r="Q6" i="7950"/>
  <c r="B111" i="7949"/>
  <c r="B87" i="7949"/>
  <c r="I764" i="18"/>
  <c r="I1130" i="18" s="1"/>
  <c r="I745" i="18"/>
  <c r="I1111" i="18" s="1"/>
  <c r="I729" i="18"/>
  <c r="I1095" i="18" s="1"/>
  <c r="I752" i="18"/>
  <c r="I1118" i="18" s="1"/>
  <c r="I731" i="18"/>
  <c r="I1097" i="18" s="1"/>
  <c r="K298" i="1"/>
  <c r="K4" i="7942"/>
  <c r="K4" i="7944"/>
  <c r="K281" i="1"/>
  <c r="I1074" i="18"/>
  <c r="I730" i="18"/>
  <c r="I1096" i="18" s="1"/>
  <c r="I737" i="18"/>
  <c r="I1103" i="18" s="1"/>
  <c r="I727" i="18"/>
  <c r="I1093" i="18" s="1"/>
  <c r="I766" i="18"/>
  <c r="I1132" i="18" s="1"/>
  <c r="I746" i="18"/>
  <c r="I1112" i="18" s="1"/>
  <c r="I747" i="18"/>
  <c r="I1113" i="18" s="1"/>
  <c r="I734" i="18"/>
  <c r="I1100" i="18" s="1"/>
  <c r="I244" i="7942"/>
  <c r="I245" i="7942" s="1"/>
  <c r="I1046" i="18"/>
  <c r="I1079" i="18"/>
  <c r="I224" i="7942"/>
  <c r="I225" i="7942" s="1"/>
  <c r="I204" i="7942"/>
  <c r="I205" i="7942" s="1"/>
  <c r="I208" i="7942"/>
  <c r="I209" i="7942" s="1"/>
  <c r="I254" i="7942"/>
  <c r="I255" i="7942" s="1"/>
  <c r="I266" i="7942"/>
  <c r="I250" i="7942"/>
  <c r="I222" i="7942"/>
  <c r="I223" i="7942" s="1"/>
  <c r="I190" i="7942"/>
  <c r="I191" i="7942" s="1"/>
  <c r="I220" i="7942"/>
  <c r="I221" i="7942" s="1"/>
  <c r="I236" i="7942"/>
  <c r="I192" i="7942"/>
  <c r="I193" i="7942" s="1"/>
  <c r="R6" i="7949"/>
  <c r="B57" i="7949"/>
  <c r="B33" i="7949"/>
  <c r="I216" i="7942"/>
  <c r="I217" i="7942" s="1"/>
  <c r="I186" i="7942"/>
  <c r="I187" i="7942" s="1"/>
  <c r="I196" i="7942"/>
  <c r="I197" i="7942" s="1"/>
  <c r="I268" i="7942"/>
  <c r="I194" i="7942"/>
  <c r="I264" i="7942"/>
  <c r="I258" i="7942"/>
  <c r="I260" i="7942"/>
  <c r="I261" i="7942" s="1"/>
  <c r="I240" i="7942"/>
  <c r="I241" i="7942" s="1"/>
  <c r="I232" i="7942"/>
  <c r="I233" i="7942" s="1"/>
  <c r="I206" i="7942"/>
  <c r="I207" i="7942" s="1"/>
  <c r="I248" i="7942"/>
  <c r="I249" i="7942" s="1"/>
  <c r="I234" i="7942"/>
  <c r="I235" i="7942" s="1"/>
  <c r="I230" i="7942"/>
  <c r="I231" i="7942" s="1"/>
  <c r="I262" i="7942"/>
  <c r="I263" i="7942" s="1"/>
  <c r="I246" i="7942"/>
  <c r="I247" i="7942" s="1"/>
  <c r="I228" i="7942"/>
  <c r="I212" i="7942"/>
  <c r="L285" i="1"/>
  <c r="I242" i="7942"/>
  <c r="I200" i="7942"/>
  <c r="I184" i="7942"/>
  <c r="I185" i="7942" s="1"/>
  <c r="J8" i="7942"/>
  <c r="I252" i="7942"/>
  <c r="I198" i="7942"/>
  <c r="I214" i="7942"/>
  <c r="I226" i="7942"/>
  <c r="I227" i="7942" s="1"/>
  <c r="I218" i="7942"/>
  <c r="I219" i="7942" s="1"/>
  <c r="I210" i="7942"/>
  <c r="I211" i="7942" s="1"/>
  <c r="I202" i="7942"/>
  <c r="I203" i="7942" s="1"/>
  <c r="I256" i="7942"/>
  <c r="I257" i="7942" s="1"/>
  <c r="I238" i="7942"/>
  <c r="I239" i="7942" s="1"/>
  <c r="H352" i="7941"/>
  <c r="I1063" i="18"/>
  <c r="L3" i="7944"/>
  <c r="I1050" i="18"/>
  <c r="I1051" i="18"/>
  <c r="L3" i="18"/>
  <c r="L158" i="18" s="1"/>
  <c r="I35" i="7941"/>
  <c r="H349" i="7941"/>
  <c r="I16" i="7941"/>
  <c r="H330" i="7941"/>
  <c r="K7" i="18"/>
  <c r="K7" i="7942"/>
  <c r="I56" i="7941"/>
  <c r="H370" i="7941"/>
  <c r="L288" i="1"/>
  <c r="I29" i="7941"/>
  <c r="H343" i="7941"/>
  <c r="I20" i="7941"/>
  <c r="H334" i="7941"/>
  <c r="I19" i="7941"/>
  <c r="H333" i="7941"/>
  <c r="H357" i="7941"/>
  <c r="I43" i="7941"/>
  <c r="I37" i="7941"/>
  <c r="H351" i="7941"/>
  <c r="I24" i="7941"/>
  <c r="H338" i="7941"/>
  <c r="H356" i="7941"/>
  <c r="I42" i="7941"/>
  <c r="I21" i="7941"/>
  <c r="H335" i="7941"/>
  <c r="K289" i="1"/>
  <c r="I54" i="7941"/>
  <c r="H368" i="7941"/>
  <c r="I36" i="7941"/>
  <c r="H350" i="7941"/>
  <c r="I31" i="7941"/>
  <c r="H345" i="7941"/>
  <c r="I27" i="7941"/>
  <c r="H341" i="7941"/>
  <c r="H337" i="7941"/>
  <c r="I23" i="7941"/>
  <c r="I17" i="7941"/>
  <c r="H331" i="7941"/>
  <c r="L159" i="18" l="1"/>
  <c r="L157" i="18"/>
  <c r="L160" i="18"/>
  <c r="L664" i="18"/>
  <c r="L275" i="18"/>
  <c r="L419" i="18"/>
  <c r="L380" i="18"/>
  <c r="L315" i="18"/>
  <c r="L666" i="18"/>
  <c r="L588" i="18"/>
  <c r="L692" i="18"/>
  <c r="L276" i="18"/>
  <c r="L393" i="18"/>
  <c r="L237" i="18"/>
  <c r="L222" i="18"/>
  <c r="L314" i="18"/>
  <c r="L444" i="18"/>
  <c r="L379" i="18"/>
  <c r="L223" i="18"/>
  <c r="L288" i="18"/>
  <c r="L366" i="18"/>
  <c r="L236" i="18"/>
  <c r="L456" i="18"/>
  <c r="L443" i="18"/>
  <c r="L638" i="18"/>
  <c r="L508" i="18"/>
  <c r="L261" i="18"/>
  <c r="L573" i="18"/>
  <c r="L405" i="18"/>
  <c r="L430" i="18"/>
  <c r="L523" i="18"/>
  <c r="L263" i="18"/>
  <c r="L289" i="18"/>
  <c r="L341" i="18"/>
  <c r="L172" i="18"/>
  <c r="L561" i="18"/>
  <c r="L496" i="18"/>
  <c r="L418" i="18"/>
  <c r="L469" i="18"/>
  <c r="L482" i="18"/>
  <c r="L599" i="18"/>
  <c r="L404" i="18"/>
  <c r="L326" i="18"/>
  <c r="L612" i="18"/>
  <c r="L652" i="18"/>
  <c r="L353" i="18"/>
  <c r="L249" i="18"/>
  <c r="L457" i="18"/>
  <c r="L196" i="18"/>
  <c r="L417" i="18"/>
  <c r="L209" i="18"/>
  <c r="L535" i="18"/>
  <c r="L586" i="18"/>
  <c r="L627" i="18"/>
  <c r="L367" i="18"/>
  <c r="L653" i="18"/>
  <c r="L211" i="18"/>
  <c r="L640" i="18"/>
  <c r="L484" i="18"/>
  <c r="L562" i="18"/>
  <c r="L302" i="18"/>
  <c r="L354" i="18"/>
  <c r="L574" i="18"/>
  <c r="L197" i="18"/>
  <c r="L287" i="18"/>
  <c r="L327" i="18"/>
  <c r="L587" i="18"/>
  <c r="L560" i="18"/>
  <c r="L483" i="18"/>
  <c r="L521" i="18"/>
  <c r="L184" i="18"/>
  <c r="L262" i="18"/>
  <c r="L391" i="18"/>
  <c r="L170" i="18"/>
  <c r="L495" i="18"/>
  <c r="L626" i="18"/>
  <c r="L690" i="18"/>
  <c r="L677" i="18"/>
  <c r="L703" i="18"/>
  <c r="L651" i="18"/>
  <c r="L691" i="18"/>
  <c r="L183" i="18"/>
  <c r="L365" i="18"/>
  <c r="L704" i="18"/>
  <c r="L678" i="18"/>
  <c r="L575" i="18"/>
  <c r="L705" i="18"/>
  <c r="L536" i="18"/>
  <c r="L471" i="18"/>
  <c r="L601" i="18"/>
  <c r="L679" i="18"/>
  <c r="L549" i="18"/>
  <c r="L300" i="18"/>
  <c r="L548" i="18"/>
  <c r="L639" i="18"/>
  <c r="L235" i="18"/>
  <c r="L665" i="18"/>
  <c r="L613" i="18"/>
  <c r="L509" i="18"/>
  <c r="L301" i="18"/>
  <c r="L171" i="18"/>
  <c r="L340" i="18"/>
  <c r="L431" i="18"/>
  <c r="L248" i="18"/>
  <c r="L274" i="18"/>
  <c r="L534" i="18"/>
  <c r="L470" i="18"/>
  <c r="L600" i="18"/>
  <c r="L625" i="18"/>
  <c r="L339" i="18"/>
  <c r="L352" i="18"/>
  <c r="L313" i="18"/>
  <c r="L547" i="18"/>
  <c r="L522" i="18"/>
  <c r="L406" i="18"/>
  <c r="L392" i="18"/>
  <c r="L378" i="18"/>
  <c r="L224" i="18"/>
  <c r="L510" i="18"/>
  <c r="L589" i="18"/>
  <c r="L459" i="18"/>
  <c r="L628" i="18"/>
  <c r="L511" i="18"/>
  <c r="L485" i="18"/>
  <c r="L186" i="18"/>
  <c r="L290" i="18"/>
  <c r="L446" i="18"/>
  <c r="L329" i="18"/>
  <c r="L537" i="18"/>
  <c r="L615" i="18"/>
  <c r="L706" i="18"/>
  <c r="L212" i="18"/>
  <c r="L368" i="18"/>
  <c r="L420" i="18"/>
  <c r="L251" i="18"/>
  <c r="L602" i="18"/>
  <c r="L524" i="18"/>
  <c r="L667" i="18"/>
  <c r="L303" i="18"/>
  <c r="L563" i="18"/>
  <c r="L225" i="18"/>
  <c r="L576" i="18"/>
  <c r="L264" i="18"/>
  <c r="L199" i="18"/>
  <c r="L498" i="18"/>
  <c r="L680" i="18"/>
  <c r="L238" i="18"/>
  <c r="L173" i="18"/>
  <c r="L355" i="18"/>
  <c r="L407" i="18"/>
  <c r="L641" i="18"/>
  <c r="L342" i="18"/>
  <c r="L550" i="18"/>
  <c r="L433" i="18"/>
  <c r="L693" i="18"/>
  <c r="L472" i="18"/>
  <c r="L394" i="18"/>
  <c r="L277" i="18"/>
  <c r="L654" i="18"/>
  <c r="L381" i="18"/>
  <c r="L316" i="18"/>
  <c r="L445" i="18"/>
  <c r="L614" i="18"/>
  <c r="L198" i="18"/>
  <c r="L250" i="18"/>
  <c r="L185" i="18"/>
  <c r="L458" i="18"/>
  <c r="L210" i="18"/>
  <c r="L497" i="18"/>
  <c r="L328" i="18"/>
  <c r="L432" i="18"/>
  <c r="K298" i="18"/>
  <c r="L298" i="18" s="1"/>
  <c r="K506" i="18"/>
  <c r="K518" i="18" s="1"/>
  <c r="J583" i="18"/>
  <c r="K583" i="18" s="1"/>
  <c r="K1071" i="18" s="1"/>
  <c r="J531" i="18"/>
  <c r="K531" i="18" s="1"/>
  <c r="I20" i="7944"/>
  <c r="I48" i="7944"/>
  <c r="J749" i="7944"/>
  <c r="J761" i="7944" s="1"/>
  <c r="L194" i="18"/>
  <c r="L597" i="18"/>
  <c r="L311" i="18"/>
  <c r="L233" i="18"/>
  <c r="L519" i="18"/>
  <c r="B2674" i="7950"/>
  <c r="J281" i="7944"/>
  <c r="J293" i="7944" s="1"/>
  <c r="J619" i="7944"/>
  <c r="J631" i="7944" s="1"/>
  <c r="L621" i="7944"/>
  <c r="L310" i="7944"/>
  <c r="L323" i="7944"/>
  <c r="L271" i="7944"/>
  <c r="L219" i="7944"/>
  <c r="L453" i="7944"/>
  <c r="L362" i="7944"/>
  <c r="L740" i="7944"/>
  <c r="L649" i="7944"/>
  <c r="L558" i="7944"/>
  <c r="L754" i="7944"/>
  <c r="L702" i="7944"/>
  <c r="L650" i="7944"/>
  <c r="L598" i="7944"/>
  <c r="L546" i="7944"/>
  <c r="L494" i="7944"/>
  <c r="L442" i="7944"/>
  <c r="L390" i="7944"/>
  <c r="L338" i="7944"/>
  <c r="L286" i="7944"/>
  <c r="L741" i="7944"/>
  <c r="L689" i="7944"/>
  <c r="L637" i="7944"/>
  <c r="L585" i="7944"/>
  <c r="L533" i="7944"/>
  <c r="L481" i="7944"/>
  <c r="L429" i="7944"/>
  <c r="L377" i="7944"/>
  <c r="L325" i="7944"/>
  <c r="L728" i="7944"/>
  <c r="L676" i="7944"/>
  <c r="L624" i="7944"/>
  <c r="L572" i="7944"/>
  <c r="L520" i="7944"/>
  <c r="L468" i="7944"/>
  <c r="L416" i="7944"/>
  <c r="L364" i="7944"/>
  <c r="L312" i="7944"/>
  <c r="L715" i="7944"/>
  <c r="L663" i="7944"/>
  <c r="L611" i="7944"/>
  <c r="L559" i="7944"/>
  <c r="L507" i="7944"/>
  <c r="L455" i="7944"/>
  <c r="L403" i="7944"/>
  <c r="L351" i="7944"/>
  <c r="L299" i="7944"/>
  <c r="L273" i="7944"/>
  <c r="L221" i="7944"/>
  <c r="L260" i="7944"/>
  <c r="L208" i="7944"/>
  <c r="L247" i="7944"/>
  <c r="L234" i="7944"/>
  <c r="L207" i="7944"/>
  <c r="L324" i="7944"/>
  <c r="L648" i="7944"/>
  <c r="L311" i="7944"/>
  <c r="L532" i="7944"/>
  <c r="L505" i="7944"/>
  <c r="L610" i="7944"/>
  <c r="L701" i="7944"/>
  <c r="L479" i="7944"/>
  <c r="L531" i="7944"/>
  <c r="L363" i="7944"/>
  <c r="L402" i="7944"/>
  <c r="L454" i="7944"/>
  <c r="L636" i="7944"/>
  <c r="L622" i="7944"/>
  <c r="L727" i="7944"/>
  <c r="L687" i="7944"/>
  <c r="L713" i="7944"/>
  <c r="L220" i="7944"/>
  <c r="L284" i="7944"/>
  <c r="L336" i="7944"/>
  <c r="L415" i="7944"/>
  <c r="L246" i="7944"/>
  <c r="L298" i="7944"/>
  <c r="L350" i="7944"/>
  <c r="L375" i="7944"/>
  <c r="L545" i="7944"/>
  <c r="L413" i="7944"/>
  <c r="L584" i="7944"/>
  <c r="L675" i="7944"/>
  <c r="L753" i="7944"/>
  <c r="L232" i="7944"/>
  <c r="L272" i="7944"/>
  <c r="L427" i="7944"/>
  <c r="L259" i="7944"/>
  <c r="L467" i="7944"/>
  <c r="L519" i="7944"/>
  <c r="L557" i="7944"/>
  <c r="L597" i="7944"/>
  <c r="L389" i="7944"/>
  <c r="L441" i="7944"/>
  <c r="L493" i="7944"/>
  <c r="L571" i="7944"/>
  <c r="L662" i="7944"/>
  <c r="L739" i="7944"/>
  <c r="L596" i="7944"/>
  <c r="L466" i="7944"/>
  <c r="L751" i="7944"/>
  <c r="L752" i="7944"/>
  <c r="L439" i="7944"/>
  <c r="L296" i="7944"/>
  <c r="L609" i="7944"/>
  <c r="L387" i="7944"/>
  <c r="L388" i="7944"/>
  <c r="L517" i="7944"/>
  <c r="L635" i="7944"/>
  <c r="L699" i="7944"/>
  <c r="L297" i="7944"/>
  <c r="L570" i="7944"/>
  <c r="L569" i="7944"/>
  <c r="L504" i="7944"/>
  <c r="L400" i="7944"/>
  <c r="L361" i="7944"/>
  <c r="L452" i="7944"/>
  <c r="L660" i="7944"/>
  <c r="L608" i="7944"/>
  <c r="L700" i="7944"/>
  <c r="L491" i="7944"/>
  <c r="L492" i="7944"/>
  <c r="L348" i="7944"/>
  <c r="L725" i="7944"/>
  <c r="L349" i="7944"/>
  <c r="L245" i="7944"/>
  <c r="L661" i="7944"/>
  <c r="L634" i="7944"/>
  <c r="L544" i="7944"/>
  <c r="L595" i="7944"/>
  <c r="L440" i="7944"/>
  <c r="L647" i="7944"/>
  <c r="L335" i="7944"/>
  <c r="L244" i="7944"/>
  <c r="L686" i="7944"/>
  <c r="L309" i="7944"/>
  <c r="L257" i="7944"/>
  <c r="L556" i="7944"/>
  <c r="L283" i="7944"/>
  <c r="L582" i="7944"/>
  <c r="L231" i="7944"/>
  <c r="L478" i="7944"/>
  <c r="L712" i="7944"/>
  <c r="L270" i="7944"/>
  <c r="L673" i="7944"/>
  <c r="L583" i="7944"/>
  <c r="L401" i="7944"/>
  <c r="L518" i="7944"/>
  <c r="L623" i="7944"/>
  <c r="L376" i="7944"/>
  <c r="L285" i="7944"/>
  <c r="L374" i="7944"/>
  <c r="L322" i="7944"/>
  <c r="L465" i="7944"/>
  <c r="L674" i="7944"/>
  <c r="L726" i="7944"/>
  <c r="L218" i="7944"/>
  <c r="L233" i="7944"/>
  <c r="L428" i="7944"/>
  <c r="L337" i="7944"/>
  <c r="L205" i="7944"/>
  <c r="L738" i="7944"/>
  <c r="L530" i="7944"/>
  <c r="L426" i="7944"/>
  <c r="L206" i="7944"/>
  <c r="L258" i="7944"/>
  <c r="L543" i="7944"/>
  <c r="L414" i="7944"/>
  <c r="L480" i="7944"/>
  <c r="L688" i="7944"/>
  <c r="L506" i="7944"/>
  <c r="L714" i="7944"/>
  <c r="I1060" i="18"/>
  <c r="I850" i="18" s="1"/>
  <c r="I140" i="7941" s="1"/>
  <c r="I350" i="7941" s="1"/>
  <c r="L558" i="18"/>
  <c r="L155" i="18"/>
  <c r="L545" i="18"/>
  <c r="L480" i="18"/>
  <c r="L662" i="18"/>
  <c r="L571" i="18"/>
  <c r="L324" i="18"/>
  <c r="L181" i="18"/>
  <c r="L337" i="18"/>
  <c r="L376" i="18"/>
  <c r="L428" i="18"/>
  <c r="J658" i="7944"/>
  <c r="J670" i="7944" s="1"/>
  <c r="J541" i="7944"/>
  <c r="J553" i="7944" s="1"/>
  <c r="I44" i="7944"/>
  <c r="I50" i="7944"/>
  <c r="I42" i="7944"/>
  <c r="J528" i="7944"/>
  <c r="J540" i="7944" s="1"/>
  <c r="I45" i="7944"/>
  <c r="J671" i="7944"/>
  <c r="J683" i="7944" s="1"/>
  <c r="J632" i="7944"/>
  <c r="J644" i="7944" s="1"/>
  <c r="J645" i="7944"/>
  <c r="J657" i="7944" s="1"/>
  <c r="J736" i="7944"/>
  <c r="J748" i="7944" s="1"/>
  <c r="I53" i="7944"/>
  <c r="I41" i="7944"/>
  <c r="J216" i="7944"/>
  <c r="J228" i="7944" s="1"/>
  <c r="J476" i="7944"/>
  <c r="J488" i="7944" s="1"/>
  <c r="J29" i="7944"/>
  <c r="I18" i="7944"/>
  <c r="J450" i="7944"/>
  <c r="J462" i="7944" s="1"/>
  <c r="J359" i="7944"/>
  <c r="J371" i="7944" s="1"/>
  <c r="J346" i="7944"/>
  <c r="J358" i="7944" s="1"/>
  <c r="I32" i="7944"/>
  <c r="I22" i="7944"/>
  <c r="I21" i="7944"/>
  <c r="J21" i="7944" s="1"/>
  <c r="I16" i="7944"/>
  <c r="J229" i="7944"/>
  <c r="J241" i="7944" s="1"/>
  <c r="J606" i="7944"/>
  <c r="J618" i="7944" s="1"/>
  <c r="J55" i="7944"/>
  <c r="J697" i="7944"/>
  <c r="J709" i="7944" s="1"/>
  <c r="J723" i="7944"/>
  <c r="J735" i="7944" s="1"/>
  <c r="J554" i="7944"/>
  <c r="J566" i="7944" s="1"/>
  <c r="I1056" i="18"/>
  <c r="J203" i="7944"/>
  <c r="J215" i="7944" s="1"/>
  <c r="J307" i="7944"/>
  <c r="J319" i="7944" s="1"/>
  <c r="M60" i="1"/>
  <c r="J5" i="7959" s="1"/>
  <c r="K246" i="18"/>
  <c r="K258" i="18" s="1"/>
  <c r="J385" i="7944"/>
  <c r="J397" i="7944" s="1"/>
  <c r="J320" i="7944"/>
  <c r="J332" i="7944" s="1"/>
  <c r="K675" i="18"/>
  <c r="L675" i="18" s="1"/>
  <c r="J333" i="7944"/>
  <c r="J345" i="7944" s="1"/>
  <c r="K31" i="18"/>
  <c r="K789" i="18" s="1"/>
  <c r="K79" i="7941" s="1"/>
  <c r="K54" i="18"/>
  <c r="K812" i="18" s="1"/>
  <c r="K102" i="7941" s="1"/>
  <c r="K29" i="18"/>
  <c r="K787" i="18" s="1"/>
  <c r="K77" i="7941" s="1"/>
  <c r="K20" i="18"/>
  <c r="K778" i="18" s="1"/>
  <c r="K68" i="7941" s="1"/>
  <c r="K41" i="18"/>
  <c r="K799" i="18" s="1"/>
  <c r="K89" i="7941" s="1"/>
  <c r="K27" i="18"/>
  <c r="K785" i="18" s="1"/>
  <c r="K75" i="7941" s="1"/>
  <c r="K51" i="18"/>
  <c r="K809" i="18" s="1"/>
  <c r="K99" i="7941" s="1"/>
  <c r="K42" i="18"/>
  <c r="K800" i="18" s="1"/>
  <c r="K90" i="7941" s="1"/>
  <c r="K55" i="18"/>
  <c r="K813" i="18" s="1"/>
  <c r="K103" i="7941" s="1"/>
  <c r="K19" i="18"/>
  <c r="K777" i="18" s="1"/>
  <c r="K67" i="7941" s="1"/>
  <c r="K46" i="18"/>
  <c r="K804" i="18" s="1"/>
  <c r="K94" i="7941" s="1"/>
  <c r="K59" i="18"/>
  <c r="K817" i="18" s="1"/>
  <c r="K107" i="7941" s="1"/>
  <c r="K34" i="18"/>
  <c r="K792" i="18" s="1"/>
  <c r="K82" i="7941" s="1"/>
  <c r="K60" i="18"/>
  <c r="K818" i="18" s="1"/>
  <c r="K108" i="7941" s="1"/>
  <c r="K61" i="18"/>
  <c r="K819" i="18" s="1"/>
  <c r="K109" i="7941" s="1"/>
  <c r="K38" i="18"/>
  <c r="K796" i="18" s="1"/>
  <c r="K86" i="7941" s="1"/>
  <c r="K39" i="18"/>
  <c r="K797" i="18" s="1"/>
  <c r="K87" i="7941" s="1"/>
  <c r="K28" i="18"/>
  <c r="K786" i="18" s="1"/>
  <c r="K76" i="7941" s="1"/>
  <c r="K32" i="18"/>
  <c r="K790" i="18" s="1"/>
  <c r="K80" i="7941" s="1"/>
  <c r="K25" i="18"/>
  <c r="K783" i="18" s="1"/>
  <c r="K73" i="7941" s="1"/>
  <c r="K50" i="18"/>
  <c r="K808" i="18" s="1"/>
  <c r="K98" i="7941" s="1"/>
  <c r="K24" i="18"/>
  <c r="K782" i="18" s="1"/>
  <c r="K72" i="7941" s="1"/>
  <c r="K45" i="18"/>
  <c r="K803" i="18" s="1"/>
  <c r="K93" i="7941" s="1"/>
  <c r="K26" i="18"/>
  <c r="K784" i="18" s="1"/>
  <c r="K74" i="7941" s="1"/>
  <c r="K40" i="18"/>
  <c r="K798" i="18" s="1"/>
  <c r="K88" i="7941" s="1"/>
  <c r="K30" i="18"/>
  <c r="K788" i="18" s="1"/>
  <c r="K78" i="7941" s="1"/>
  <c r="K47" i="18"/>
  <c r="K805" i="18" s="1"/>
  <c r="K95" i="7941" s="1"/>
  <c r="K36" i="18"/>
  <c r="K794" i="18" s="1"/>
  <c r="K84" i="7941" s="1"/>
  <c r="K23" i="18"/>
  <c r="K781" i="18" s="1"/>
  <c r="K71" i="7941" s="1"/>
  <c r="K48" i="18"/>
  <c r="K806" i="18" s="1"/>
  <c r="K96" i="7941" s="1"/>
  <c r="K22" i="18"/>
  <c r="K780" i="18" s="1"/>
  <c r="K70" i="7941" s="1"/>
  <c r="K58" i="18"/>
  <c r="K816" i="18" s="1"/>
  <c r="K106" i="7941" s="1"/>
  <c r="K35" i="18"/>
  <c r="K793" i="18" s="1"/>
  <c r="K83" i="7941" s="1"/>
  <c r="K33" i="18"/>
  <c r="K791" i="18" s="1"/>
  <c r="K81" i="7941" s="1"/>
  <c r="K53" i="18"/>
  <c r="K811" i="18" s="1"/>
  <c r="K101" i="7941" s="1"/>
  <c r="K43" i="18"/>
  <c r="K801" i="18" s="1"/>
  <c r="K91" i="7941" s="1"/>
  <c r="K37" i="18"/>
  <c r="K795" i="18" s="1"/>
  <c r="K85" i="7941" s="1"/>
  <c r="K57" i="18"/>
  <c r="K815" i="18" s="1"/>
  <c r="K105" i="7941" s="1"/>
  <c r="K52" i="18"/>
  <c r="K810" i="18" s="1"/>
  <c r="K100" i="7941" s="1"/>
  <c r="K49" i="18"/>
  <c r="K807" i="18" s="1"/>
  <c r="K97" i="7941" s="1"/>
  <c r="K21" i="18"/>
  <c r="K779" i="18" s="1"/>
  <c r="K69" i="7941" s="1"/>
  <c r="K56" i="18"/>
  <c r="K814" i="18" s="1"/>
  <c r="K104" i="7941" s="1"/>
  <c r="K44" i="18"/>
  <c r="K802" i="18" s="1"/>
  <c r="K92" i="7941" s="1"/>
  <c r="J372" i="7944"/>
  <c r="J384" i="7944" s="1"/>
  <c r="J593" i="7944"/>
  <c r="J605" i="7944" s="1"/>
  <c r="J437" i="7944"/>
  <c r="J449" i="7944" s="1"/>
  <c r="J463" i="7944"/>
  <c r="J475" i="7944" s="1"/>
  <c r="J684" i="7944"/>
  <c r="J696" i="7944" s="1"/>
  <c r="J489" i="7944"/>
  <c r="J501" i="7944" s="1"/>
  <c r="I1040" i="18"/>
  <c r="I830" i="18" s="1"/>
  <c r="I120" i="7941" s="1"/>
  <c r="I330" i="7941" s="1"/>
  <c r="J710" i="7944"/>
  <c r="J722" i="7944" s="1"/>
  <c r="J502" i="7944"/>
  <c r="J514" i="7944" s="1"/>
  <c r="J398" i="7944"/>
  <c r="J410" i="7944" s="1"/>
  <c r="J51" i="7944"/>
  <c r="J255" i="7944"/>
  <c r="J267" i="7944" s="1"/>
  <c r="J242" i="7944"/>
  <c r="J254" i="7944" s="1"/>
  <c r="J268" i="7944"/>
  <c r="J280" i="7944" s="1"/>
  <c r="J567" i="7944"/>
  <c r="J579" i="7944" s="1"/>
  <c r="J424" i="7944"/>
  <c r="J436" i="7944" s="1"/>
  <c r="J36" i="7944"/>
  <c r="J294" i="7944"/>
  <c r="J306" i="7944" s="1"/>
  <c r="J580" i="7944"/>
  <c r="J592" i="7944" s="1"/>
  <c r="J515" i="7944"/>
  <c r="J527" i="7944" s="1"/>
  <c r="J43" i="7944"/>
  <c r="J411" i="7944"/>
  <c r="J423" i="7944" s="1"/>
  <c r="J31" i="7944"/>
  <c r="I1039" i="18"/>
  <c r="I1064" i="18"/>
  <c r="I1053" i="18"/>
  <c r="I843" i="18" s="1"/>
  <c r="J739" i="18" s="1"/>
  <c r="J1105" i="18" s="1"/>
  <c r="I56" i="7944"/>
  <c r="J40" i="7944"/>
  <c r="I1044" i="18"/>
  <c r="I834" i="18" s="1"/>
  <c r="I124" i="7941" s="1"/>
  <c r="J20" i="7941" s="1"/>
  <c r="I1042" i="18"/>
  <c r="L142" i="18"/>
  <c r="H149" i="7941"/>
  <c r="H359" i="7941" s="1"/>
  <c r="K389" i="18"/>
  <c r="L389" i="18" s="1"/>
  <c r="I1078" i="18"/>
  <c r="I868" i="18" s="1"/>
  <c r="I158" i="7941" s="1"/>
  <c r="I368" i="7941" s="1"/>
  <c r="J570" i="18"/>
  <c r="K570" i="18" s="1"/>
  <c r="K584" i="18"/>
  <c r="L584" i="18" s="1"/>
  <c r="L636" i="18"/>
  <c r="K323" i="18"/>
  <c r="K363" i="18"/>
  <c r="K375" i="18" s="1"/>
  <c r="L649" i="18"/>
  <c r="L493" i="18"/>
  <c r="J700" i="18"/>
  <c r="J1080" i="18" s="1"/>
  <c r="K207" i="18"/>
  <c r="L207" i="18" s="1"/>
  <c r="K610" i="18"/>
  <c r="L610" i="18" s="1"/>
  <c r="K350" i="18"/>
  <c r="J219" i="18"/>
  <c r="J1043" i="18" s="1"/>
  <c r="L285" i="18"/>
  <c r="J609" i="18"/>
  <c r="K336" i="18"/>
  <c r="K388" i="18"/>
  <c r="K1056" i="18" s="1"/>
  <c r="J661" i="18"/>
  <c r="J193" i="18"/>
  <c r="J1041" i="18" s="1"/>
  <c r="J427" i="18"/>
  <c r="J297" i="18"/>
  <c r="K297" i="18" s="1"/>
  <c r="K674" i="18"/>
  <c r="L623" i="18"/>
  <c r="K272" i="18"/>
  <c r="L220" i="18"/>
  <c r="J245" i="18"/>
  <c r="K245" i="18" s="1"/>
  <c r="J271" i="18"/>
  <c r="J1047" i="18" s="1"/>
  <c r="K492" i="18"/>
  <c r="J622" i="18"/>
  <c r="J1074" i="18" s="1"/>
  <c r="J557" i="18"/>
  <c r="K441" i="18"/>
  <c r="L441" i="18" s="1"/>
  <c r="K180" i="18"/>
  <c r="K701" i="18"/>
  <c r="K454" i="18"/>
  <c r="L454" i="18" s="1"/>
  <c r="J284" i="18"/>
  <c r="J635" i="18"/>
  <c r="J1075" i="18" s="1"/>
  <c r="L168" i="18"/>
  <c r="K349" i="18"/>
  <c r="J362" i="18"/>
  <c r="J466" i="18"/>
  <c r="K688" i="18"/>
  <c r="L688" i="18" s="1"/>
  <c r="J544" i="18"/>
  <c r="J1068" i="18" s="1"/>
  <c r="J648" i="18"/>
  <c r="J1076" i="18" s="1"/>
  <c r="K467" i="18"/>
  <c r="L532" i="18"/>
  <c r="J596" i="18"/>
  <c r="J1072" i="18" s="1"/>
  <c r="J453" i="18"/>
  <c r="J1061" i="18" s="1"/>
  <c r="J505" i="18"/>
  <c r="J1065" i="18" s="1"/>
  <c r="K402" i="18"/>
  <c r="K259" i="18"/>
  <c r="L259" i="18" s="1"/>
  <c r="K415" i="18"/>
  <c r="K167" i="18"/>
  <c r="K440" i="18"/>
  <c r="K232" i="18"/>
  <c r="K206" i="18"/>
  <c r="I767" i="18"/>
  <c r="I1133" i="18" s="1"/>
  <c r="I57" i="7941"/>
  <c r="I743" i="18"/>
  <c r="I1109" i="18" s="1"/>
  <c r="H360" i="7941"/>
  <c r="I756" i="18"/>
  <c r="I1122" i="18" s="1"/>
  <c r="I48" i="7941"/>
  <c r="I758" i="18"/>
  <c r="I1124" i="18" s="1"/>
  <c r="I44" i="7941"/>
  <c r="L168" i="1"/>
  <c r="L4" i="7944"/>
  <c r="H329" i="7941"/>
  <c r="L298" i="1"/>
  <c r="L114" i="1"/>
  <c r="I725" i="18"/>
  <c r="I1091" i="18" s="1"/>
  <c r="L222" i="1"/>
  <c r="L4" i="7941"/>
  <c r="L4" i="7942"/>
  <c r="L281" i="1"/>
  <c r="L4" i="18"/>
  <c r="J1055" i="18"/>
  <c r="J1040" i="18"/>
  <c r="I1081" i="18"/>
  <c r="I1065" i="18"/>
  <c r="I1072" i="18"/>
  <c r="H363" i="7941"/>
  <c r="I50" i="7941"/>
  <c r="H348" i="7941"/>
  <c r="J1057" i="18"/>
  <c r="I759" i="18"/>
  <c r="I1125" i="18" s="1"/>
  <c r="I1057" i="18"/>
  <c r="H347" i="7941"/>
  <c r="J1053" i="18"/>
  <c r="J1050" i="18"/>
  <c r="H130" i="7941"/>
  <c r="I736" i="18"/>
  <c r="I1102" i="18" s="1"/>
  <c r="I840" i="18" s="1"/>
  <c r="J736" i="18" s="1"/>
  <c r="J1102" i="18" s="1"/>
  <c r="H129" i="7941"/>
  <c r="I735" i="18"/>
  <c r="I1101" i="18" s="1"/>
  <c r="I1054" i="18"/>
  <c r="I1070" i="18"/>
  <c r="H145" i="7941"/>
  <c r="I751" i="18"/>
  <c r="I1117" i="18" s="1"/>
  <c r="H126" i="7941"/>
  <c r="I732" i="18"/>
  <c r="I1048" i="18"/>
  <c r="I838" i="18" s="1"/>
  <c r="H155" i="7941"/>
  <c r="I761" i="18"/>
  <c r="H136" i="7941"/>
  <c r="I742" i="18"/>
  <c r="I1108" i="18" s="1"/>
  <c r="H156" i="7941"/>
  <c r="I762" i="18"/>
  <c r="H144" i="7941"/>
  <c r="I750" i="18"/>
  <c r="H122" i="7941"/>
  <c r="I728" i="18"/>
  <c r="H143" i="7941"/>
  <c r="I749" i="18"/>
  <c r="I1068" i="18"/>
  <c r="I858" i="18" s="1"/>
  <c r="I1080" i="18"/>
  <c r="I870" i="18" s="1"/>
  <c r="I1061" i="18"/>
  <c r="I851" i="18" s="1"/>
  <c r="H132" i="7941"/>
  <c r="I738" i="18"/>
  <c r="I1104" i="18" s="1"/>
  <c r="H159" i="7941"/>
  <c r="I765" i="18"/>
  <c r="I1131" i="18" s="1"/>
  <c r="I1041" i="18"/>
  <c r="I831" i="18" s="1"/>
  <c r="I1055" i="18"/>
  <c r="I845" i="18" s="1"/>
  <c r="H134" i="7941"/>
  <c r="I740" i="18"/>
  <c r="I1106" i="18" s="1"/>
  <c r="I47" i="7941"/>
  <c r="J481" i="7942"/>
  <c r="J459" i="7942"/>
  <c r="J453" i="7942"/>
  <c r="J469" i="7942"/>
  <c r="J495" i="7942"/>
  <c r="J439" i="7942"/>
  <c r="J440" i="7942" s="1"/>
  <c r="J449" i="7942"/>
  <c r="J457" i="7942"/>
  <c r="J441" i="7942"/>
  <c r="J475" i="7942"/>
  <c r="J499" i="7942"/>
  <c r="J505" i="7942"/>
  <c r="J461" i="7942"/>
  <c r="J462" i="7942" s="1"/>
  <c r="J445" i="7942"/>
  <c r="J455" i="7942"/>
  <c r="J487" i="7942"/>
  <c r="J471" i="7942"/>
  <c r="J465" i="7942"/>
  <c r="J503" i="7942"/>
  <c r="J489" i="7942"/>
  <c r="J473" i="7942"/>
  <c r="J497" i="7942"/>
  <c r="J443" i="7942"/>
  <c r="J483" i="7942"/>
  <c r="J463" i="7942"/>
  <c r="J491" i="7942"/>
  <c r="J447" i="7942"/>
  <c r="J493" i="7942"/>
  <c r="J477" i="7942"/>
  <c r="J451" i="7942"/>
  <c r="J452" i="7942" s="1"/>
  <c r="J467" i="7942"/>
  <c r="J437" i="7942"/>
  <c r="J485" i="7942"/>
  <c r="J479" i="7942"/>
  <c r="J501" i="7942"/>
  <c r="J502" i="7942" s="1"/>
  <c r="I507" i="7942"/>
  <c r="I508" i="7942" s="1"/>
  <c r="A511" i="7942"/>
  <c r="H509" i="7942"/>
  <c r="I494" i="7942"/>
  <c r="I452" i="7942"/>
  <c r="I502" i="7942"/>
  <c r="I440" i="7942"/>
  <c r="I462" i="7942"/>
  <c r="I472" i="7942"/>
  <c r="I504" i="7942"/>
  <c r="I482" i="7942"/>
  <c r="L357" i="1"/>
  <c r="H367" i="7941"/>
  <c r="I1047" i="18"/>
  <c r="I837" i="18" s="1"/>
  <c r="I127" i="7941" s="1"/>
  <c r="J23" i="7941" s="1"/>
  <c r="B28" i="7950"/>
  <c r="I1069" i="18"/>
  <c r="B730" i="7950"/>
  <c r="I1077" i="18"/>
  <c r="I867" i="18" s="1"/>
  <c r="I157" i="7941" s="1"/>
  <c r="J53" i="7941" s="1"/>
  <c r="I1052" i="18"/>
  <c r="B136" i="7950"/>
  <c r="B1702" i="7950"/>
  <c r="B1132" i="7950"/>
  <c r="B808" i="7950"/>
  <c r="B2266" i="7950"/>
  <c r="B592" i="7950"/>
  <c r="B322" i="7950"/>
  <c r="B1456" i="7950"/>
  <c r="B1216" i="7950"/>
  <c r="B1810" i="7950"/>
  <c r="B2296" i="7950"/>
  <c r="B352" i="7950"/>
  <c r="B892" i="7950"/>
  <c r="B1972" i="7950"/>
  <c r="B514" i="7950"/>
  <c r="B1270" i="7950"/>
  <c r="B1918" i="7950"/>
  <c r="B970" i="7950"/>
  <c r="B1510" i="7950"/>
  <c r="B2080" i="7950"/>
  <c r="B2026" i="7950"/>
  <c r="B2482" i="7950"/>
  <c r="B2644" i="7950"/>
  <c r="B82" i="7950"/>
  <c r="B214" i="7950"/>
  <c r="B244" i="7950"/>
  <c r="B460" i="7950"/>
  <c r="B676" i="7950"/>
  <c r="B1000" i="7950"/>
  <c r="B1540" i="7950"/>
  <c r="B2158" i="7950"/>
  <c r="B430" i="7950"/>
  <c r="B646" i="7950"/>
  <c r="B1186" i="7950"/>
  <c r="B1378" i="7950"/>
  <c r="B1618" i="7950"/>
  <c r="B2536" i="7950"/>
  <c r="B862" i="7950"/>
  <c r="B1078" i="7950"/>
  <c r="B1348" i="7950"/>
  <c r="B1648" i="7950"/>
  <c r="B1780" i="7950"/>
  <c r="B2374" i="7950"/>
  <c r="B1888" i="7950"/>
  <c r="B2188" i="7950"/>
  <c r="B2404" i="7950"/>
  <c r="B2620" i="7950"/>
  <c r="B2428" i="7950"/>
  <c r="I852" i="18"/>
  <c r="J748" i="18" s="1"/>
  <c r="J1114" i="18" s="1"/>
  <c r="I857" i="18"/>
  <c r="J753" i="18" s="1"/>
  <c r="J1119" i="18" s="1"/>
  <c r="I849" i="18"/>
  <c r="J745" i="18" s="1"/>
  <c r="J1111" i="18" s="1"/>
  <c r="B2704" i="7949"/>
  <c r="B2680" i="7949"/>
  <c r="B2542" i="7949"/>
  <c r="B2518" i="7949"/>
  <c r="B2434" i="7949"/>
  <c r="B2410" i="7949"/>
  <c r="B2380" i="7949"/>
  <c r="B2356" i="7949"/>
  <c r="B2302" i="7949"/>
  <c r="B2164" i="7949"/>
  <c r="B2140" i="7949"/>
  <c r="B2110" i="7949"/>
  <c r="B2086" i="7949"/>
  <c r="B2056" i="7949"/>
  <c r="B2650" i="7949"/>
  <c r="B2626" i="7949"/>
  <c r="B2596" i="7949"/>
  <c r="B2572" i="7949"/>
  <c r="B2488" i="7949"/>
  <c r="B2464" i="7949"/>
  <c r="B2326" i="7949"/>
  <c r="B2272" i="7949"/>
  <c r="B2248" i="7949"/>
  <c r="B2218" i="7949"/>
  <c r="B2194" i="7949"/>
  <c r="B2002" i="7949"/>
  <c r="B1978" i="7949"/>
  <c r="B1894" i="7949"/>
  <c r="B1870" i="7949"/>
  <c r="B1840" i="7949"/>
  <c r="B1816" i="7949"/>
  <c r="B1786" i="7949"/>
  <c r="B1762" i="7949"/>
  <c r="B1570" i="7949"/>
  <c r="B1546" i="7949"/>
  <c r="B1516" i="7949"/>
  <c r="B1492" i="7949"/>
  <c r="B1462" i="7949"/>
  <c r="B1438" i="7949"/>
  <c r="B2032" i="7949"/>
  <c r="B1948" i="7949"/>
  <c r="B1924" i="7949"/>
  <c r="B1732" i="7949"/>
  <c r="B1708" i="7949"/>
  <c r="B1678" i="7949"/>
  <c r="B1654" i="7949"/>
  <c r="B1624" i="7949"/>
  <c r="B1600" i="7949"/>
  <c r="B1354" i="7949"/>
  <c r="B1330" i="7949"/>
  <c r="B1300" i="7949"/>
  <c r="B1276" i="7949"/>
  <c r="B1246" i="7949"/>
  <c r="B1222" i="7949"/>
  <c r="B1192" i="7949"/>
  <c r="B1168" i="7949"/>
  <c r="B1114" i="7949"/>
  <c r="B1060" i="7949"/>
  <c r="B1006" i="7949"/>
  <c r="B952" i="7949"/>
  <c r="B652" i="7949"/>
  <c r="B628" i="7949"/>
  <c r="B598" i="7949"/>
  <c r="B544" i="7949"/>
  <c r="B520" i="7949"/>
  <c r="B490" i="7949"/>
  <c r="B466" i="7949"/>
  <c r="B436" i="7949"/>
  <c r="B412" i="7949"/>
  <c r="B382" i="7949"/>
  <c r="B358" i="7949"/>
  <c r="B274" i="7949"/>
  <c r="B250" i="7949"/>
  <c r="B220" i="7949"/>
  <c r="B1408" i="7949"/>
  <c r="B1384" i="7949"/>
  <c r="B1138" i="7949"/>
  <c r="B1084" i="7949"/>
  <c r="B1030" i="7949"/>
  <c r="B976" i="7949"/>
  <c r="B922" i="7949"/>
  <c r="B898" i="7949"/>
  <c r="B868" i="7949"/>
  <c r="B844" i="7949"/>
  <c r="B814" i="7949"/>
  <c r="B790" i="7949"/>
  <c r="B760" i="7949"/>
  <c r="B736" i="7949"/>
  <c r="B706" i="7949"/>
  <c r="B682" i="7949"/>
  <c r="B574" i="7949"/>
  <c r="B328" i="7949"/>
  <c r="B304" i="7949"/>
  <c r="B196" i="7949"/>
  <c r="B166" i="7949"/>
  <c r="B142" i="7949"/>
  <c r="B52" i="7950"/>
  <c r="B106" i="7950"/>
  <c r="B160" i="7950"/>
  <c r="B190" i="7950"/>
  <c r="B298" i="7950"/>
  <c r="B406" i="7950"/>
  <c r="B568" i="7950"/>
  <c r="B622" i="7950"/>
  <c r="B784" i="7950"/>
  <c r="B946" i="7950"/>
  <c r="B1108" i="7950"/>
  <c r="B1486" i="7950"/>
  <c r="B1864" i="7950"/>
  <c r="B2050" i="7950"/>
  <c r="B268" i="7950"/>
  <c r="B376" i="7950"/>
  <c r="B484" i="7950"/>
  <c r="B538" i="7950"/>
  <c r="B700" i="7950"/>
  <c r="B1054" i="7950"/>
  <c r="B1240" i="7950"/>
  <c r="B1324" i="7950"/>
  <c r="B1432" i="7950"/>
  <c r="B1594" i="7950"/>
  <c r="B1756" i="7950"/>
  <c r="B2134" i="7950"/>
  <c r="B754" i="7950"/>
  <c r="B838" i="7950"/>
  <c r="B916" i="7950"/>
  <c r="B1024" i="7950"/>
  <c r="B1162" i="7950"/>
  <c r="B1294" i="7950"/>
  <c r="B1402" i="7950"/>
  <c r="B1564" i="7950"/>
  <c r="B1672" i="7950"/>
  <c r="B1726" i="7950"/>
  <c r="B1996" i="7950"/>
  <c r="B2242" i="7950"/>
  <c r="B2512" i="7950"/>
  <c r="B1834" i="7950"/>
  <c r="B1942" i="7950"/>
  <c r="B2104" i="7950"/>
  <c r="B2212" i="7950"/>
  <c r="B2320" i="7950"/>
  <c r="B2458" i="7950"/>
  <c r="B2566" i="7950"/>
  <c r="B2698" i="7950"/>
  <c r="B2350" i="7950"/>
  <c r="B2590" i="7950"/>
  <c r="B112" i="7949"/>
  <c r="B88" i="7949"/>
  <c r="R6" i="7950"/>
  <c r="J1056" i="18"/>
  <c r="I861" i="18"/>
  <c r="I151" i="7941" s="1"/>
  <c r="I864" i="18"/>
  <c r="I154" i="7941" s="1"/>
  <c r="I856" i="18"/>
  <c r="I146" i="7941" s="1"/>
  <c r="J42" i="7941" s="1"/>
  <c r="I848" i="18"/>
  <c r="J744" i="18" s="1"/>
  <c r="J1110" i="18" s="1"/>
  <c r="I841" i="18"/>
  <c r="I131" i="7941" s="1"/>
  <c r="J27" i="7941" s="1"/>
  <c r="I833" i="18"/>
  <c r="I123" i="7941" s="1"/>
  <c r="J19" i="7941" s="1"/>
  <c r="J1081" i="18"/>
  <c r="J1063" i="18"/>
  <c r="I835" i="18"/>
  <c r="J731" i="18" s="1"/>
  <c r="J1097" i="18" s="1"/>
  <c r="J1079" i="18"/>
  <c r="J252" i="7942"/>
  <c r="J253" i="7942" s="1"/>
  <c r="J242" i="7942"/>
  <c r="J243" i="7942" s="1"/>
  <c r="J236" i="7942"/>
  <c r="J237" i="7942" s="1"/>
  <c r="J250" i="7942"/>
  <c r="J251" i="7942" s="1"/>
  <c r="I199" i="7942"/>
  <c r="J198" i="7942"/>
  <c r="J199" i="7942" s="1"/>
  <c r="I201" i="7942"/>
  <c r="J200" i="7942"/>
  <c r="J201" i="7942" s="1"/>
  <c r="I229" i="7942"/>
  <c r="J228" i="7942"/>
  <c r="J229" i="7942" s="1"/>
  <c r="I195" i="7942"/>
  <c r="J194" i="7942"/>
  <c r="J195" i="7942" s="1"/>
  <c r="J220" i="7942"/>
  <c r="J221" i="7942" s="1"/>
  <c r="J204" i="7942"/>
  <c r="J205" i="7942" s="1"/>
  <c r="J186" i="7942"/>
  <c r="J187" i="7942" s="1"/>
  <c r="J224" i="7942"/>
  <c r="J225" i="7942" s="1"/>
  <c r="J190" i="7942"/>
  <c r="J191" i="7942" s="1"/>
  <c r="J184" i="7942"/>
  <c r="J185" i="7942" s="1"/>
  <c r="J208" i="7942"/>
  <c r="J209" i="7942" s="1"/>
  <c r="I215" i="7942"/>
  <c r="J214" i="7942"/>
  <c r="J215" i="7942" s="1"/>
  <c r="I213" i="7942"/>
  <c r="J212" i="7942"/>
  <c r="J213" i="7942" s="1"/>
  <c r="I189" i="7942"/>
  <c r="J188" i="7942"/>
  <c r="J189" i="7942" s="1"/>
  <c r="J210" i="7942"/>
  <c r="J211" i="7942" s="1"/>
  <c r="J218" i="7942"/>
  <c r="J219" i="7942" s="1"/>
  <c r="J192" i="7942"/>
  <c r="J193" i="7942" s="1"/>
  <c r="J206" i="7942"/>
  <c r="J207" i="7942" s="1"/>
  <c r="J196" i="7942"/>
  <c r="J197" i="7942" s="1"/>
  <c r="J216" i="7942"/>
  <c r="J217" i="7942" s="1"/>
  <c r="J222" i="7942"/>
  <c r="J223" i="7942" s="1"/>
  <c r="J202" i="7942"/>
  <c r="J203" i="7942" s="1"/>
  <c r="J226" i="7942"/>
  <c r="J227" i="7942" s="1"/>
  <c r="J244" i="7942"/>
  <c r="J245" i="7942" s="1"/>
  <c r="I265" i="7942"/>
  <c r="J264" i="7942"/>
  <c r="J265" i="7942" s="1"/>
  <c r="I269" i="7942"/>
  <c r="J268" i="7942"/>
  <c r="J269" i="7942" s="1"/>
  <c r="I259" i="7942"/>
  <c r="J258" i="7942"/>
  <c r="J259" i="7942" s="1"/>
  <c r="I267" i="7942"/>
  <c r="J266" i="7942"/>
  <c r="J267" i="7942" s="1"/>
  <c r="J256" i="7942"/>
  <c r="J257" i="7942" s="1"/>
  <c r="J232" i="7942"/>
  <c r="J233" i="7942" s="1"/>
  <c r="J248" i="7942"/>
  <c r="J249" i="7942" s="1"/>
  <c r="J240" i="7942"/>
  <c r="J241" i="7942" s="1"/>
  <c r="J262" i="7942"/>
  <c r="J263" i="7942" s="1"/>
  <c r="I243" i="7942"/>
  <c r="J230" i="7942"/>
  <c r="I237" i="7942"/>
  <c r="J246" i="7942"/>
  <c r="J247" i="7942" s="1"/>
  <c r="J260" i="7942"/>
  <c r="J254" i="7942"/>
  <c r="J255" i="7942" s="1"/>
  <c r="J238" i="7942"/>
  <c r="J239" i="7942" s="1"/>
  <c r="I251" i="7942"/>
  <c r="I253" i="7942"/>
  <c r="J234" i="7942"/>
  <c r="J235" i="7942" s="1"/>
  <c r="S6" i="7949"/>
  <c r="B34" i="7949"/>
  <c r="B58" i="7949"/>
  <c r="K8" i="7942"/>
  <c r="M285" i="1"/>
  <c r="N285" i="1" s="1"/>
  <c r="O285" i="1" s="1"/>
  <c r="P285" i="1" s="1"/>
  <c r="Q285" i="1" s="1"/>
  <c r="M3" i="7944"/>
  <c r="M3" i="18"/>
  <c r="M157" i="18" s="1"/>
  <c r="L289" i="1"/>
  <c r="M4" i="18"/>
  <c r="M288" i="1"/>
  <c r="L7" i="7942"/>
  <c r="L7" i="18"/>
  <c r="M160" i="18" l="1"/>
  <c r="M159" i="18"/>
  <c r="M158" i="18"/>
  <c r="M161" i="18"/>
  <c r="M379" i="18"/>
  <c r="M548" i="18"/>
  <c r="M432" i="18"/>
  <c r="M430" i="18"/>
  <c r="M210" i="18"/>
  <c r="M523" i="18"/>
  <c r="M354" i="18"/>
  <c r="M654" i="18"/>
  <c r="M550" i="18"/>
  <c r="M563" i="18"/>
  <c r="M693" i="18"/>
  <c r="M251" i="18"/>
  <c r="M212" i="18"/>
  <c r="M537" i="18"/>
  <c r="M680" i="18"/>
  <c r="M263" i="18"/>
  <c r="M535" i="18"/>
  <c r="M392" i="18"/>
  <c r="M406" i="18"/>
  <c r="M484" i="18"/>
  <c r="M340" i="18"/>
  <c r="M613" i="18"/>
  <c r="M549" i="18"/>
  <c r="M521" i="18"/>
  <c r="M327" i="18"/>
  <c r="M640" i="18"/>
  <c r="M627" i="18"/>
  <c r="M418" i="18"/>
  <c r="M236" i="18"/>
  <c r="M237" i="18"/>
  <c r="M588" i="18"/>
  <c r="M690" i="18"/>
  <c r="M677" i="18"/>
  <c r="M703" i="18"/>
  <c r="M704" i="18"/>
  <c r="M691" i="18"/>
  <c r="M678" i="18"/>
  <c r="M508" i="18"/>
  <c r="M495" i="18"/>
  <c r="M470" i="18"/>
  <c r="M404" i="18"/>
  <c r="M417" i="18"/>
  <c r="M170" i="18"/>
  <c r="M679" i="18"/>
  <c r="M692" i="18"/>
  <c r="M652" i="18"/>
  <c r="M405" i="18"/>
  <c r="M600" i="18"/>
  <c r="M196" i="18"/>
  <c r="M352" i="18"/>
  <c r="M353" i="18"/>
  <c r="M209" i="18"/>
  <c r="M184" i="18"/>
  <c r="M326" i="18"/>
  <c r="M705" i="18"/>
  <c r="M339" i="18"/>
  <c r="M626" i="18"/>
  <c r="M457" i="18"/>
  <c r="M483" i="18"/>
  <c r="M638" i="18"/>
  <c r="M262" i="18"/>
  <c r="M534" i="18"/>
  <c r="M249" i="18"/>
  <c r="M574" i="18"/>
  <c r="M328" i="18"/>
  <c r="M458" i="18"/>
  <c r="M198" i="18"/>
  <c r="M342" i="18"/>
  <c r="M498" i="18"/>
  <c r="M329" i="18"/>
  <c r="M485" i="18"/>
  <c r="M628" i="18"/>
  <c r="M496" i="18"/>
  <c r="M419" i="18"/>
  <c r="M653" i="18"/>
  <c r="M276" i="18"/>
  <c r="M366" i="18"/>
  <c r="M547" i="18"/>
  <c r="M625" i="18"/>
  <c r="M274" i="18"/>
  <c r="M171" i="18"/>
  <c r="M665" i="18"/>
  <c r="M300" i="18"/>
  <c r="M391" i="18"/>
  <c r="M287" i="18"/>
  <c r="M302" i="18"/>
  <c r="M586" i="18"/>
  <c r="M599" i="18"/>
  <c r="M444" i="18"/>
  <c r="M197" i="18"/>
  <c r="M315" i="18"/>
  <c r="M497" i="18"/>
  <c r="M185" i="18"/>
  <c r="M341" i="18"/>
  <c r="M277" i="18"/>
  <c r="M225" i="18"/>
  <c r="M303" i="18"/>
  <c r="M368" i="18"/>
  <c r="M706" i="18"/>
  <c r="M446" i="18"/>
  <c r="M290" i="18"/>
  <c r="M511" i="18"/>
  <c r="M459" i="18"/>
  <c r="M589" i="18"/>
  <c r="M510" i="18"/>
  <c r="M224" i="18"/>
  <c r="M393" i="18"/>
  <c r="M587" i="18"/>
  <c r="M560" i="18"/>
  <c r="M313" i="18"/>
  <c r="M248" i="18"/>
  <c r="M301" i="18"/>
  <c r="M235" i="18"/>
  <c r="M601" i="18"/>
  <c r="M365" i="18"/>
  <c r="M612" i="18"/>
  <c r="M482" i="18"/>
  <c r="M561" i="18"/>
  <c r="M573" i="18"/>
  <c r="M443" i="18"/>
  <c r="M288" i="18"/>
  <c r="M314" i="18"/>
  <c r="M275" i="18"/>
  <c r="M367" i="18"/>
  <c r="M471" i="18"/>
  <c r="M211" i="18"/>
  <c r="M380" i="18"/>
  <c r="M562" i="18"/>
  <c r="M264" i="18"/>
  <c r="M576" i="18"/>
  <c r="M602" i="18"/>
  <c r="M186" i="18"/>
  <c r="M666" i="18"/>
  <c r="M222" i="18"/>
  <c r="M289" i="18"/>
  <c r="M536" i="18"/>
  <c r="M522" i="18"/>
  <c r="M575" i="18"/>
  <c r="M431" i="18"/>
  <c r="M509" i="18"/>
  <c r="M639" i="18"/>
  <c r="M183" i="18"/>
  <c r="M651" i="18"/>
  <c r="M469" i="18"/>
  <c r="M172" i="18"/>
  <c r="M261" i="18"/>
  <c r="M456" i="18"/>
  <c r="M223" i="18"/>
  <c r="M664" i="18"/>
  <c r="L506" i="18"/>
  <c r="M506" i="18" s="1"/>
  <c r="M4" i="7944"/>
  <c r="K310" i="18"/>
  <c r="K1050" i="18" s="1"/>
  <c r="J1067" i="18"/>
  <c r="J857" i="18" s="1"/>
  <c r="K753" i="18" s="1"/>
  <c r="K1119" i="18" s="1"/>
  <c r="K281" i="7944"/>
  <c r="L281" i="7944" s="1"/>
  <c r="M381" i="18"/>
  <c r="M199" i="18"/>
  <c r="M238" i="18"/>
  <c r="M250" i="18"/>
  <c r="M615" i="18"/>
  <c r="M316" i="18"/>
  <c r="M394" i="18"/>
  <c r="M472" i="18"/>
  <c r="M407" i="18"/>
  <c r="M378" i="18"/>
  <c r="M226" i="18"/>
  <c r="M590" i="18"/>
  <c r="M668" i="18"/>
  <c r="M382" i="18"/>
  <c r="M642" i="18"/>
  <c r="M707" i="18"/>
  <c r="M473" i="18"/>
  <c r="M655" i="18"/>
  <c r="M525" i="18"/>
  <c r="M291" i="18"/>
  <c r="M278" i="18"/>
  <c r="M369" i="18"/>
  <c r="M343" i="18"/>
  <c r="M629" i="18"/>
  <c r="M499" i="18"/>
  <c r="M239" i="18"/>
  <c r="M421" i="18"/>
  <c r="M603" i="18"/>
  <c r="M681" i="18"/>
  <c r="M486" i="18"/>
  <c r="M265" i="18"/>
  <c r="M694" i="18"/>
  <c r="M174" i="18"/>
  <c r="M304" i="18"/>
  <c r="M317" i="18"/>
  <c r="M187" i="18"/>
  <c r="M408" i="18"/>
  <c r="M356" i="18"/>
  <c r="M213" i="18"/>
  <c r="M577" i="18"/>
  <c r="M447" i="18"/>
  <c r="M564" i="18"/>
  <c r="M616" i="18"/>
  <c r="M252" i="18"/>
  <c r="M551" i="18"/>
  <c r="M538" i="18"/>
  <c r="M434" i="18"/>
  <c r="M200" i="18"/>
  <c r="M460" i="18"/>
  <c r="M395" i="18"/>
  <c r="M330" i="18"/>
  <c r="M512" i="18"/>
  <c r="M667" i="18"/>
  <c r="M524" i="18"/>
  <c r="M420" i="18"/>
  <c r="M173" i="18"/>
  <c r="M433" i="18"/>
  <c r="M641" i="18"/>
  <c r="M614" i="18"/>
  <c r="M445" i="18"/>
  <c r="M355" i="18"/>
  <c r="J1071" i="18"/>
  <c r="K216" i="7944"/>
  <c r="L216" i="7944" s="1"/>
  <c r="K687" i="18"/>
  <c r="L687" i="18" s="1"/>
  <c r="L1079" i="18" s="1"/>
  <c r="K645" i="7944"/>
  <c r="K657" i="7944" s="1"/>
  <c r="K528" i="7944"/>
  <c r="K540" i="7944" s="1"/>
  <c r="K229" i="7944"/>
  <c r="K241" i="7944" s="1"/>
  <c r="M281" i="1"/>
  <c r="M4" i="7942"/>
  <c r="M222" i="1"/>
  <c r="M298" i="1"/>
  <c r="M357" i="1"/>
  <c r="N60" i="1"/>
  <c r="K5" i="7959" s="1"/>
  <c r="M4" i="7941"/>
  <c r="M114" i="1"/>
  <c r="K294" i="7944"/>
  <c r="K306" i="7944" s="1"/>
  <c r="K398" i="7944"/>
  <c r="K410" i="7944" s="1"/>
  <c r="K593" i="7944"/>
  <c r="K605" i="7944" s="1"/>
  <c r="K736" i="7944"/>
  <c r="K748" i="7944" s="1"/>
  <c r="K346" i="7944"/>
  <c r="K358" i="7944" s="1"/>
  <c r="K541" i="7944"/>
  <c r="K553" i="7944" s="1"/>
  <c r="K489" i="7944"/>
  <c r="K501" i="7944" s="1"/>
  <c r="K320" i="7944"/>
  <c r="K332" i="7944" s="1"/>
  <c r="K359" i="7944"/>
  <c r="K371" i="7944" s="1"/>
  <c r="K476" i="7944"/>
  <c r="K488" i="7944" s="1"/>
  <c r="K632" i="7944"/>
  <c r="K644" i="7944" s="1"/>
  <c r="K658" i="7944"/>
  <c r="K670" i="7944" s="1"/>
  <c r="K424" i="7944"/>
  <c r="K436" i="7944" s="1"/>
  <c r="K710" i="7944"/>
  <c r="K722" i="7944" s="1"/>
  <c r="K437" i="7944"/>
  <c r="K449" i="7944" s="1"/>
  <c r="K333" i="7944"/>
  <c r="K345" i="7944" s="1"/>
  <c r="K450" i="7944"/>
  <c r="K462" i="7944" s="1"/>
  <c r="K671" i="7944"/>
  <c r="K683" i="7944" s="1"/>
  <c r="K749" i="7944"/>
  <c r="K761" i="7944" s="1"/>
  <c r="K606" i="7944"/>
  <c r="K618" i="7944" s="1"/>
  <c r="K619" i="7944"/>
  <c r="K631" i="7944" s="1"/>
  <c r="J42" i="7944"/>
  <c r="M309" i="7944"/>
  <c r="M349" i="7944"/>
  <c r="M491" i="7944"/>
  <c r="M452" i="7944"/>
  <c r="M569" i="7944"/>
  <c r="M635" i="7944"/>
  <c r="M609" i="7944"/>
  <c r="M751" i="7944"/>
  <c r="M272" i="7944"/>
  <c r="M545" i="7944"/>
  <c r="M284" i="7944"/>
  <c r="M402" i="7944"/>
  <c r="M207" i="7944"/>
  <c r="M468" i="7944"/>
  <c r="M676" i="7944"/>
  <c r="M637" i="7944"/>
  <c r="M546" i="7944"/>
  <c r="M742" i="7944"/>
  <c r="M690" i="7944"/>
  <c r="M638" i="7944"/>
  <c r="M586" i="7944"/>
  <c r="M534" i="7944"/>
  <c r="M482" i="7944"/>
  <c r="M430" i="7944"/>
  <c r="M378" i="7944"/>
  <c r="M326" i="7944"/>
  <c r="M729" i="7944"/>
  <c r="M677" i="7944"/>
  <c r="M625" i="7944"/>
  <c r="M573" i="7944"/>
  <c r="M521" i="7944"/>
  <c r="M469" i="7944"/>
  <c r="M417" i="7944"/>
  <c r="M365" i="7944"/>
  <c r="M313" i="7944"/>
  <c r="M716" i="7944"/>
  <c r="M664" i="7944"/>
  <c r="M612" i="7944"/>
  <c r="M560" i="7944"/>
  <c r="M508" i="7944"/>
  <c r="M456" i="7944"/>
  <c r="M404" i="7944"/>
  <c r="M352" i="7944"/>
  <c r="M300" i="7944"/>
  <c r="M755" i="7944"/>
  <c r="M703" i="7944"/>
  <c r="M651" i="7944"/>
  <c r="M599" i="7944"/>
  <c r="M547" i="7944"/>
  <c r="M495" i="7944"/>
  <c r="M443" i="7944"/>
  <c r="M391" i="7944"/>
  <c r="M339" i="7944"/>
  <c r="M287" i="7944"/>
  <c r="M261" i="7944"/>
  <c r="M209" i="7944"/>
  <c r="M248" i="7944"/>
  <c r="M235" i="7944"/>
  <c r="M274" i="7944"/>
  <c r="M222" i="7944"/>
  <c r="M702" i="7944"/>
  <c r="M455" i="7944"/>
  <c r="M428" i="7944"/>
  <c r="M285" i="7944"/>
  <c r="M234" i="7944"/>
  <c r="M286" i="7944"/>
  <c r="M338" i="7944"/>
  <c r="M572" i="7944"/>
  <c r="M650" i="7944"/>
  <c r="M741" i="7944"/>
  <c r="M689" i="7944"/>
  <c r="M260" i="7944"/>
  <c r="M533" i="7944"/>
  <c r="M299" i="7944"/>
  <c r="M494" i="7944"/>
  <c r="M377" i="7944"/>
  <c r="M429" i="7944"/>
  <c r="M481" i="7944"/>
  <c r="M506" i="7944"/>
  <c r="M559" i="7944"/>
  <c r="M714" i="7944"/>
  <c r="M611" i="7944"/>
  <c r="M312" i="7944"/>
  <c r="M247" i="7944"/>
  <c r="M585" i="7944"/>
  <c r="M337" i="7944"/>
  <c r="M364" i="7944"/>
  <c r="M351" i="7944"/>
  <c r="M480" i="7944"/>
  <c r="M740" i="7944"/>
  <c r="M390" i="7944"/>
  <c r="M649" i="7944"/>
  <c r="M715" i="7944"/>
  <c r="M623" i="7944"/>
  <c r="M688" i="7944"/>
  <c r="M754" i="7944"/>
  <c r="M208" i="7944"/>
  <c r="M233" i="7944"/>
  <c r="M507" i="7944"/>
  <c r="M558" i="7944"/>
  <c r="M403" i="7944"/>
  <c r="M376" i="7944"/>
  <c r="M624" i="7944"/>
  <c r="M442" i="7944"/>
  <c r="M218" i="7944"/>
  <c r="M258" i="7944"/>
  <c r="M584" i="7944"/>
  <c r="M583" i="7944"/>
  <c r="M493" i="7944"/>
  <c r="M414" i="7944"/>
  <c r="M350" i="7944"/>
  <c r="M206" i="7944"/>
  <c r="M205" i="7944"/>
  <c r="M413" i="7944"/>
  <c r="M753" i="7944"/>
  <c r="M727" i="7944"/>
  <c r="M739" i="7944"/>
  <c r="M401" i="7944"/>
  <c r="M518" i="7944"/>
  <c r="M726" i="7944"/>
  <c r="M441" i="7944"/>
  <c r="M674" i="7944"/>
  <c r="M519" i="7944"/>
  <c r="M622" i="7944"/>
  <c r="M298" i="7944"/>
  <c r="M322" i="7944"/>
  <c r="M543" i="7944"/>
  <c r="M662" i="7944"/>
  <c r="M610" i="7944"/>
  <c r="M505" i="7944"/>
  <c r="M571" i="7944"/>
  <c r="M389" i="7944"/>
  <c r="M532" i="7944"/>
  <c r="M246" i="7944"/>
  <c r="M427" i="7944"/>
  <c r="M323" i="7944"/>
  <c r="M271" i="7944"/>
  <c r="M270" i="7944"/>
  <c r="M648" i="7944"/>
  <c r="M713" i="7944"/>
  <c r="M675" i="7944"/>
  <c r="M701" i="7944"/>
  <c r="M453" i="7944"/>
  <c r="M310" i="7944"/>
  <c r="M687" i="7944"/>
  <c r="M362" i="7944"/>
  <c r="M621" i="7944"/>
  <c r="M388" i="7944"/>
  <c r="M440" i="7944"/>
  <c r="M570" i="7944"/>
  <c r="M400" i="7944"/>
  <c r="M478" i="7944"/>
  <c r="M426" i="7944"/>
  <c r="M245" i="7944"/>
  <c r="M348" i="7944"/>
  <c r="M661" i="7944"/>
  <c r="M544" i="7944"/>
  <c r="M725" i="7944"/>
  <c r="M738" i="7944"/>
  <c r="M595" i="7944"/>
  <c r="M608" i="7944"/>
  <c r="M517" i="7944"/>
  <c r="M504" i="7944"/>
  <c r="M492" i="7944"/>
  <c r="M361" i="7944"/>
  <c r="M283" i="7944"/>
  <c r="M582" i="7944"/>
  <c r="M647" i="7944"/>
  <c r="M335" i="7944"/>
  <c r="M257" i="7944"/>
  <c r="M374" i="7944"/>
  <c r="M712" i="7944"/>
  <c r="M686" i="7944"/>
  <c r="M634" i="7944"/>
  <c r="M700" i="7944"/>
  <c r="M296" i="7944"/>
  <c r="M466" i="7944"/>
  <c r="M467" i="7944"/>
  <c r="M232" i="7944"/>
  <c r="M375" i="7944"/>
  <c r="M415" i="7944"/>
  <c r="M220" i="7944"/>
  <c r="M363" i="7944"/>
  <c r="M311" i="7944"/>
  <c r="M520" i="7944"/>
  <c r="M728" i="7944"/>
  <c r="M598" i="7944"/>
  <c r="M530" i="7944"/>
  <c r="M556" i="7944"/>
  <c r="M244" i="7944"/>
  <c r="M297" i="7944"/>
  <c r="M439" i="7944"/>
  <c r="M596" i="7944"/>
  <c r="M597" i="7944"/>
  <c r="M259" i="7944"/>
  <c r="M336" i="7944"/>
  <c r="M636" i="7944"/>
  <c r="M531" i="7944"/>
  <c r="M221" i="7944"/>
  <c r="M325" i="7944"/>
  <c r="M219" i="7944"/>
  <c r="M465" i="7944"/>
  <c r="M673" i="7944"/>
  <c r="M231" i="7944"/>
  <c r="M660" i="7944"/>
  <c r="M699" i="7944"/>
  <c r="M387" i="7944"/>
  <c r="M752" i="7944"/>
  <c r="M557" i="7944"/>
  <c r="M454" i="7944"/>
  <c r="M479" i="7944"/>
  <c r="M324" i="7944"/>
  <c r="M273" i="7944"/>
  <c r="M663" i="7944"/>
  <c r="M416" i="7944"/>
  <c r="M428" i="18"/>
  <c r="M519" i="18"/>
  <c r="M480" i="18"/>
  <c r="M558" i="18"/>
  <c r="M233" i="18"/>
  <c r="M597" i="18"/>
  <c r="M337" i="18"/>
  <c r="M194" i="18"/>
  <c r="M311" i="18"/>
  <c r="M649" i="18"/>
  <c r="M181" i="18"/>
  <c r="M571" i="18"/>
  <c r="M532" i="18"/>
  <c r="M220" i="18"/>
  <c r="M376" i="18"/>
  <c r="M324" i="18"/>
  <c r="M662" i="18"/>
  <c r="M545" i="18"/>
  <c r="M142" i="18"/>
  <c r="M285" i="18"/>
  <c r="M493" i="18"/>
  <c r="M636" i="18"/>
  <c r="M389" i="18"/>
  <c r="M623" i="18"/>
  <c r="M207" i="18"/>
  <c r="M675" i="18"/>
  <c r="M155" i="18"/>
  <c r="K567" i="7944"/>
  <c r="K579" i="7944" s="1"/>
  <c r="K684" i="7944"/>
  <c r="K696" i="7944" s="1"/>
  <c r="M168" i="1"/>
  <c r="K203" i="7944"/>
  <c r="K215" i="7944" s="1"/>
  <c r="K307" i="7944"/>
  <c r="K319" i="7944" s="1"/>
  <c r="I45" i="7941"/>
  <c r="K554" i="7944"/>
  <c r="K566" i="7944" s="1"/>
  <c r="I829" i="18"/>
  <c r="J725" i="18" s="1"/>
  <c r="J1091" i="18" s="1"/>
  <c r="J1070" i="18"/>
  <c r="I846" i="18"/>
  <c r="I136" i="7941" s="1"/>
  <c r="L363" i="18"/>
  <c r="M363" i="18" s="1"/>
  <c r="K723" i="7944"/>
  <c r="K735" i="7944" s="1"/>
  <c r="K697" i="7944"/>
  <c r="K709" i="7944" s="1"/>
  <c r="L246" i="18"/>
  <c r="M246" i="18" s="1"/>
  <c r="I871" i="18"/>
  <c r="J767" i="18" s="1"/>
  <c r="J1133" i="18" s="1"/>
  <c r="K385" i="7944"/>
  <c r="K397" i="7944" s="1"/>
  <c r="K463" i="7944"/>
  <c r="K475" i="7944" s="1"/>
  <c r="J24" i="7944"/>
  <c r="K580" i="7944"/>
  <c r="K592" i="7944" s="1"/>
  <c r="K242" i="7944"/>
  <c r="K254" i="7944" s="1"/>
  <c r="J38" i="7944"/>
  <c r="J41" i="7944"/>
  <c r="K268" i="7944"/>
  <c r="K280" i="7944" s="1"/>
  <c r="L21" i="18"/>
  <c r="L779" i="18" s="1"/>
  <c r="L69" i="7941" s="1"/>
  <c r="L33" i="18"/>
  <c r="L791" i="18" s="1"/>
  <c r="L81" i="7941" s="1"/>
  <c r="L23" i="18"/>
  <c r="L781" i="18" s="1"/>
  <c r="L71" i="7941" s="1"/>
  <c r="L46" i="18"/>
  <c r="L804" i="18" s="1"/>
  <c r="L94" i="7941" s="1"/>
  <c r="L49" i="18"/>
  <c r="L807" i="18" s="1"/>
  <c r="L97" i="7941" s="1"/>
  <c r="L22" i="18"/>
  <c r="L780" i="18" s="1"/>
  <c r="L70" i="7941" s="1"/>
  <c r="L59" i="18"/>
  <c r="L817" i="18" s="1"/>
  <c r="L107" i="7941" s="1"/>
  <c r="L43" i="18"/>
  <c r="L801" i="18" s="1"/>
  <c r="L91" i="7941" s="1"/>
  <c r="L24" i="18"/>
  <c r="L782" i="18" s="1"/>
  <c r="L72" i="7941" s="1"/>
  <c r="L47" i="18"/>
  <c r="L805" i="18" s="1"/>
  <c r="L95" i="7941" s="1"/>
  <c r="L51" i="18"/>
  <c r="L809" i="18" s="1"/>
  <c r="L99" i="7941" s="1"/>
  <c r="L29" i="18"/>
  <c r="L787" i="18" s="1"/>
  <c r="L77" i="7941" s="1"/>
  <c r="L28" i="18"/>
  <c r="L786" i="18" s="1"/>
  <c r="L76" i="7941" s="1"/>
  <c r="L55" i="18"/>
  <c r="L813" i="18" s="1"/>
  <c r="L103" i="7941" s="1"/>
  <c r="L56" i="18"/>
  <c r="L814" i="18" s="1"/>
  <c r="L104" i="7941" s="1"/>
  <c r="L44" i="18"/>
  <c r="L802" i="18" s="1"/>
  <c r="L92" i="7941" s="1"/>
  <c r="L57" i="18"/>
  <c r="L815" i="18" s="1"/>
  <c r="L105" i="7941" s="1"/>
  <c r="L58" i="18"/>
  <c r="L816" i="18" s="1"/>
  <c r="L106" i="7941" s="1"/>
  <c r="L39" i="18"/>
  <c r="L797" i="18" s="1"/>
  <c r="L87" i="7941" s="1"/>
  <c r="L41" i="18"/>
  <c r="L799" i="18" s="1"/>
  <c r="L89" i="7941" s="1"/>
  <c r="L60" i="18"/>
  <c r="L818" i="18" s="1"/>
  <c r="L108" i="7941" s="1"/>
  <c r="L34" i="18"/>
  <c r="L792" i="18" s="1"/>
  <c r="L82" i="7941" s="1"/>
  <c r="L54" i="18"/>
  <c r="L812" i="18" s="1"/>
  <c r="L102" i="7941" s="1"/>
  <c r="L19" i="18"/>
  <c r="L777" i="18" s="1"/>
  <c r="L67" i="7941" s="1"/>
  <c r="L25" i="18"/>
  <c r="L783" i="18" s="1"/>
  <c r="L73" i="7941" s="1"/>
  <c r="L37" i="18"/>
  <c r="L795" i="18" s="1"/>
  <c r="L85" i="7941" s="1"/>
  <c r="L27" i="18"/>
  <c r="L785" i="18" s="1"/>
  <c r="L75" i="7941" s="1"/>
  <c r="L50" i="18"/>
  <c r="L808" i="18" s="1"/>
  <c r="L98" i="7941" s="1"/>
  <c r="L35" i="18"/>
  <c r="L793" i="18" s="1"/>
  <c r="L83" i="7941" s="1"/>
  <c r="L40" i="18"/>
  <c r="L798" i="18" s="1"/>
  <c r="L88" i="7941" s="1"/>
  <c r="L42" i="18"/>
  <c r="L800" i="18" s="1"/>
  <c r="L90" i="7941" s="1"/>
  <c r="L20" i="18"/>
  <c r="L778" i="18" s="1"/>
  <c r="L68" i="7941" s="1"/>
  <c r="L52" i="18"/>
  <c r="L810" i="18" s="1"/>
  <c r="L100" i="7941" s="1"/>
  <c r="L36" i="18"/>
  <c r="L794" i="18" s="1"/>
  <c r="L84" i="7941" s="1"/>
  <c r="L61" i="18"/>
  <c r="L819" i="18" s="1"/>
  <c r="L109" i="7941" s="1"/>
  <c r="L30" i="18"/>
  <c r="L788" i="18" s="1"/>
  <c r="L78" i="7941" s="1"/>
  <c r="L26" i="18"/>
  <c r="L784" i="18" s="1"/>
  <c r="L74" i="7941" s="1"/>
  <c r="L38" i="18"/>
  <c r="L796" i="18" s="1"/>
  <c r="L86" i="7941" s="1"/>
  <c r="L53" i="18"/>
  <c r="L811" i="18" s="1"/>
  <c r="L101" i="7941" s="1"/>
  <c r="L32" i="18"/>
  <c r="L790" i="18" s="1"/>
  <c r="L80" i="7941" s="1"/>
  <c r="L48" i="18"/>
  <c r="L806" i="18" s="1"/>
  <c r="L96" i="7941" s="1"/>
  <c r="L31" i="18"/>
  <c r="L789" i="18" s="1"/>
  <c r="L79" i="7941" s="1"/>
  <c r="L45" i="18"/>
  <c r="L803" i="18" s="1"/>
  <c r="L93" i="7941" s="1"/>
  <c r="J49" i="7944"/>
  <c r="J16" i="7944"/>
  <c r="K502" i="7944"/>
  <c r="K514" i="7944" s="1"/>
  <c r="K255" i="7944"/>
  <c r="K267" i="7944" s="1"/>
  <c r="K515" i="7944"/>
  <c r="K527" i="7944" s="1"/>
  <c r="K411" i="7944"/>
  <c r="K423" i="7944" s="1"/>
  <c r="J33" i="7944"/>
  <c r="K372" i="7944"/>
  <c r="K384" i="7944" s="1"/>
  <c r="J23" i="7944"/>
  <c r="J17" i="7944"/>
  <c r="J28" i="7944"/>
  <c r="J44" i="7944"/>
  <c r="L323" i="18"/>
  <c r="J19" i="7944"/>
  <c r="J57" i="7944"/>
  <c r="J30" i="7944"/>
  <c r="J37" i="7944"/>
  <c r="J27" i="7944"/>
  <c r="J54" i="7944"/>
  <c r="J18" i="7944"/>
  <c r="J34" i="7944"/>
  <c r="J20" i="7944"/>
  <c r="J46" i="7944"/>
  <c r="J53" i="7944"/>
  <c r="J45" i="7944"/>
  <c r="J39" i="7944"/>
  <c r="J25" i="7944"/>
  <c r="J22" i="7944"/>
  <c r="J47" i="7944"/>
  <c r="J50" i="7944"/>
  <c r="J48" i="7944"/>
  <c r="J56" i="7944"/>
  <c r="J32" i="7944"/>
  <c r="J26" i="7944"/>
  <c r="J52" i="7944"/>
  <c r="J15" i="7944"/>
  <c r="J35" i="7944"/>
  <c r="M454" i="18"/>
  <c r="K284" i="18"/>
  <c r="K1048" i="18" s="1"/>
  <c r="L583" i="18"/>
  <c r="K401" i="18"/>
  <c r="L401" i="18" s="1"/>
  <c r="M584" i="18"/>
  <c r="L206" i="18"/>
  <c r="K453" i="18"/>
  <c r="L453" i="18" s="1"/>
  <c r="L570" i="18"/>
  <c r="M168" i="18"/>
  <c r="M259" i="18"/>
  <c r="K466" i="18"/>
  <c r="K1062" i="18" s="1"/>
  <c r="M688" i="18"/>
  <c r="L674" i="18"/>
  <c r="K193" i="18"/>
  <c r="K1041" i="18" s="1"/>
  <c r="L531" i="18"/>
  <c r="L232" i="18"/>
  <c r="L1044" i="18" s="1"/>
  <c r="L245" i="18"/>
  <c r="L402" i="18"/>
  <c r="M402" i="18" s="1"/>
  <c r="K596" i="18"/>
  <c r="L596" i="18" s="1"/>
  <c r="K362" i="18"/>
  <c r="L349" i="18"/>
  <c r="L701" i="18"/>
  <c r="M441" i="18"/>
  <c r="K557" i="18"/>
  <c r="L557" i="18" s="1"/>
  <c r="K635" i="18"/>
  <c r="L635" i="18" s="1"/>
  <c r="K271" i="18"/>
  <c r="K219" i="18"/>
  <c r="L219" i="18" s="1"/>
  <c r="M298" i="18"/>
  <c r="K713" i="18"/>
  <c r="K1081" i="18" s="1"/>
  <c r="L167" i="18"/>
  <c r="L415" i="18"/>
  <c r="M415" i="18" s="1"/>
  <c r="L297" i="18"/>
  <c r="K622" i="18"/>
  <c r="L622" i="18" s="1"/>
  <c r="L492" i="18"/>
  <c r="L388" i="18"/>
  <c r="K609" i="18"/>
  <c r="L609" i="18" s="1"/>
  <c r="M610" i="18"/>
  <c r="L272" i="18"/>
  <c r="M272" i="18" s="1"/>
  <c r="K414" i="18"/>
  <c r="L440" i="18"/>
  <c r="M440" i="18" s="1"/>
  <c r="K505" i="18"/>
  <c r="L505" i="18" s="1"/>
  <c r="L467" i="18"/>
  <c r="M467" i="18" s="1"/>
  <c r="K648" i="18"/>
  <c r="L648" i="18" s="1"/>
  <c r="K544" i="18"/>
  <c r="L544" i="18" s="1"/>
  <c r="L180" i="18"/>
  <c r="K427" i="18"/>
  <c r="K1059" i="18" s="1"/>
  <c r="K661" i="18"/>
  <c r="L661" i="18" s="1"/>
  <c r="L336" i="18"/>
  <c r="L350" i="18"/>
  <c r="M350" i="18" s="1"/>
  <c r="K700" i="18"/>
  <c r="K479" i="18"/>
  <c r="K1063" i="18" s="1"/>
  <c r="I862" i="18"/>
  <c r="I152" i="7941" s="1"/>
  <c r="J48" i="7941" s="1"/>
  <c r="I847" i="18"/>
  <c r="I137" i="7941" s="1"/>
  <c r="J33" i="7941" s="1"/>
  <c r="I860" i="18"/>
  <c r="I150" i="7941" s="1"/>
  <c r="I360" i="7941" s="1"/>
  <c r="I334" i="7941"/>
  <c r="J1045" i="18"/>
  <c r="J835" i="18" s="1"/>
  <c r="K731" i="18" s="1"/>
  <c r="K1097" i="18" s="1"/>
  <c r="K1055" i="18"/>
  <c r="J1052" i="18"/>
  <c r="J730" i="18"/>
  <c r="J1096" i="18" s="1"/>
  <c r="J1069" i="18"/>
  <c r="I1115" i="18"/>
  <c r="I869" i="18"/>
  <c r="I159" i="7941" s="1"/>
  <c r="I863" i="18"/>
  <c r="J759" i="18" s="1"/>
  <c r="J1125" i="18" s="1"/>
  <c r="I1116" i="18"/>
  <c r="I854" i="18" s="1"/>
  <c r="I839" i="18"/>
  <c r="I129" i="7941" s="1"/>
  <c r="I1094" i="18"/>
  <c r="I832" i="18" s="1"/>
  <c r="I1128" i="18"/>
  <c r="I866" i="18" s="1"/>
  <c r="I1098" i="18"/>
  <c r="I836" i="18" s="1"/>
  <c r="I1127" i="18"/>
  <c r="I855" i="18"/>
  <c r="I145" i="7941" s="1"/>
  <c r="I844" i="18"/>
  <c r="I134" i="7941" s="1"/>
  <c r="J766" i="18"/>
  <c r="J1132" i="18" s="1"/>
  <c r="J870" i="18" s="1"/>
  <c r="K766" i="18" s="1"/>
  <c r="I160" i="7941"/>
  <c r="I370" i="7941" s="1"/>
  <c r="J50" i="7941"/>
  <c r="J1044" i="18"/>
  <c r="I842" i="18"/>
  <c r="J738" i="18" s="1"/>
  <c r="J734" i="18"/>
  <c r="J1100" i="18" s="1"/>
  <c r="I128" i="7941"/>
  <c r="I338" i="7941" s="1"/>
  <c r="I148" i="7941"/>
  <c r="J754" i="18"/>
  <c r="J1120" i="18" s="1"/>
  <c r="J858" i="18" s="1"/>
  <c r="K754" i="18" s="1"/>
  <c r="I121" i="7941"/>
  <c r="J727" i="18"/>
  <c r="J1093" i="18" s="1"/>
  <c r="J831" i="18" s="1"/>
  <c r="K727" i="18" s="1"/>
  <c r="J741" i="18"/>
  <c r="J1107" i="18" s="1"/>
  <c r="J845" i="18" s="1"/>
  <c r="K741" i="18" s="1"/>
  <c r="I135" i="7941"/>
  <c r="J31" i="7941" s="1"/>
  <c r="I141" i="7941"/>
  <c r="J747" i="18"/>
  <c r="H342" i="7941"/>
  <c r="I28" i="7941"/>
  <c r="K1039" i="18"/>
  <c r="J1039" i="18"/>
  <c r="H353" i="7941"/>
  <c r="I39" i="7941"/>
  <c r="H354" i="7941"/>
  <c r="I40" i="7941"/>
  <c r="J1058" i="18"/>
  <c r="J848" i="18" s="1"/>
  <c r="K744" i="18" s="1"/>
  <c r="K1110" i="18" s="1"/>
  <c r="H355" i="7941"/>
  <c r="I41" i="7941"/>
  <c r="H339" i="7941"/>
  <c r="I25" i="7941"/>
  <c r="J1064" i="18"/>
  <c r="I51" i="7941"/>
  <c r="H365" i="7941"/>
  <c r="K1070" i="18"/>
  <c r="J1078" i="18"/>
  <c r="J1059" i="18"/>
  <c r="J849" i="18" s="1"/>
  <c r="K745" i="18" s="1"/>
  <c r="K1111" i="18" s="1"/>
  <c r="K1051" i="18"/>
  <c r="J1051" i="18"/>
  <c r="H369" i="7941"/>
  <c r="I55" i="7941"/>
  <c r="K1066" i="18"/>
  <c r="H332" i="7941"/>
  <c r="I18" i="7941"/>
  <c r="H366" i="7941"/>
  <c r="I52" i="7941"/>
  <c r="I22" i="7941"/>
  <c r="H336" i="7941"/>
  <c r="J1054" i="18"/>
  <c r="I26" i="7941"/>
  <c r="H340" i="7941"/>
  <c r="J1066" i="18"/>
  <c r="I30" i="7941"/>
  <c r="H344" i="7941"/>
  <c r="J1062" i="18"/>
  <c r="K1078" i="18"/>
  <c r="H346" i="7941"/>
  <c r="I32" i="7941"/>
  <c r="J1048" i="18"/>
  <c r="J47" i="7941"/>
  <c r="K457" i="7942"/>
  <c r="K458" i="7942" s="1"/>
  <c r="K489" i="7942"/>
  <c r="K490" i="7942" s="1"/>
  <c r="K443" i="7942"/>
  <c r="K444" i="7942" s="1"/>
  <c r="K497" i="7942"/>
  <c r="K463" i="7942"/>
  <c r="K473" i="7942"/>
  <c r="K501" i="7942"/>
  <c r="K485" i="7942"/>
  <c r="K486" i="7942" s="1"/>
  <c r="K477" i="7942"/>
  <c r="K453" i="7942"/>
  <c r="K454" i="7942" s="1"/>
  <c r="K445" i="7942"/>
  <c r="K475" i="7942"/>
  <c r="K439" i="7942"/>
  <c r="K440" i="7942" s="1"/>
  <c r="K503" i="7942"/>
  <c r="K437" i="7942"/>
  <c r="K438" i="7942" s="1"/>
  <c r="K483" i="7942"/>
  <c r="K484" i="7942" s="1"/>
  <c r="K481" i="7942"/>
  <c r="K482" i="7942" s="1"/>
  <c r="K469" i="7942"/>
  <c r="K471" i="7942"/>
  <c r="K472" i="7942" s="1"/>
  <c r="K461" i="7942"/>
  <c r="K499" i="7942"/>
  <c r="K505" i="7942"/>
  <c r="K441" i="7942"/>
  <c r="K467" i="7942"/>
  <c r="K468" i="7942" s="1"/>
  <c r="K465" i="7942"/>
  <c r="K487" i="7942"/>
  <c r="K488" i="7942" s="1"/>
  <c r="K455" i="7942"/>
  <c r="K456" i="7942" s="1"/>
  <c r="K493" i="7942"/>
  <c r="K494" i="7942" s="1"/>
  <c r="K459" i="7942"/>
  <c r="K447" i="7942"/>
  <c r="K451" i="7942"/>
  <c r="K452" i="7942" s="1"/>
  <c r="K449" i="7942"/>
  <c r="K495" i="7942"/>
  <c r="K496" i="7942" s="1"/>
  <c r="K479" i="7942"/>
  <c r="K480" i="7942" s="1"/>
  <c r="K491" i="7942"/>
  <c r="K492" i="7942" s="1"/>
  <c r="J507" i="7942"/>
  <c r="I509" i="7942"/>
  <c r="A513" i="7942"/>
  <c r="H511" i="7942"/>
  <c r="J746" i="18"/>
  <c r="J1112" i="18" s="1"/>
  <c r="J36" i="7941"/>
  <c r="J1049" i="18"/>
  <c r="I364" i="7941"/>
  <c r="J478" i="7942"/>
  <c r="J490" i="7942"/>
  <c r="J480" i="7942"/>
  <c r="J438" i="7942"/>
  <c r="J506" i="7942"/>
  <c r="J464" i="7942"/>
  <c r="J468" i="7942"/>
  <c r="J454" i="7942"/>
  <c r="J450" i="7942"/>
  <c r="J448" i="7942"/>
  <c r="J444" i="7942"/>
  <c r="J486" i="7942"/>
  <c r="J504" i="7942"/>
  <c r="J498" i="7942"/>
  <c r="J500" i="7942"/>
  <c r="J488" i="7942"/>
  <c r="J458" i="7942"/>
  <c r="J484" i="7942"/>
  <c r="J476" i="7942"/>
  <c r="J496" i="7942"/>
  <c r="J494" i="7942"/>
  <c r="J482" i="7942"/>
  <c r="J472" i="7942"/>
  <c r="J466" i="7942"/>
  <c r="J456" i="7942"/>
  <c r="J446" i="7942"/>
  <c r="J470" i="7942"/>
  <c r="J442" i="7942"/>
  <c r="J460" i="7942"/>
  <c r="J474" i="7942"/>
  <c r="J492" i="7942"/>
  <c r="K1049" i="18"/>
  <c r="J1073" i="18"/>
  <c r="J1060" i="18"/>
  <c r="I142" i="7941"/>
  <c r="J38" i="7941" s="1"/>
  <c r="J16" i="7941"/>
  <c r="I139" i="7941"/>
  <c r="J35" i="7941" s="1"/>
  <c r="I147" i="7941"/>
  <c r="J43" i="7941" s="1"/>
  <c r="I859" i="18"/>
  <c r="I149" i="7941" s="1"/>
  <c r="J54" i="7941"/>
  <c r="J726" i="18"/>
  <c r="I138" i="7941"/>
  <c r="I348" i="7941" s="1"/>
  <c r="I356" i="7941"/>
  <c r="I341" i="7941"/>
  <c r="K1067" i="18"/>
  <c r="I361" i="7941"/>
  <c r="J752" i="18"/>
  <c r="J1077" i="18"/>
  <c r="J757" i="18"/>
  <c r="J764" i="18"/>
  <c r="J1042" i="18"/>
  <c r="I337" i="7941"/>
  <c r="I125" i="7941"/>
  <c r="I335" i="7941" s="1"/>
  <c r="B2627" i="7949"/>
  <c r="B2573" i="7949"/>
  <c r="B2543" i="7949"/>
  <c r="B2465" i="7949"/>
  <c r="B2435" i="7949"/>
  <c r="B2249" i="7949"/>
  <c r="B2195" i="7949"/>
  <c r="B2165" i="7949"/>
  <c r="B2705" i="7949"/>
  <c r="B2681" i="7949"/>
  <c r="B2651" i="7949"/>
  <c r="B2597" i="7949"/>
  <c r="B2519" i="7949"/>
  <c r="B2489" i="7949"/>
  <c r="B2411" i="7949"/>
  <c r="B2381" i="7949"/>
  <c r="B2357" i="7949"/>
  <c r="B2327" i="7949"/>
  <c r="B2303" i="7949"/>
  <c r="B2273" i="7949"/>
  <c r="B2219" i="7949"/>
  <c r="B2141" i="7949"/>
  <c r="B2111" i="7949"/>
  <c r="B2087" i="7949"/>
  <c r="B2033" i="7949"/>
  <c r="B2003" i="7949"/>
  <c r="B1949" i="7949"/>
  <c r="B1925" i="7949"/>
  <c r="B1895" i="7949"/>
  <c r="B1709" i="7949"/>
  <c r="B1679" i="7949"/>
  <c r="B1655" i="7949"/>
  <c r="B1625" i="7949"/>
  <c r="B1601" i="7949"/>
  <c r="B1571" i="7949"/>
  <c r="B1463" i="7949"/>
  <c r="B2057" i="7949"/>
  <c r="B1979" i="7949"/>
  <c r="B1871" i="7949"/>
  <c r="B1841" i="7949"/>
  <c r="B1817" i="7949"/>
  <c r="B1787" i="7949"/>
  <c r="B1763" i="7949"/>
  <c r="B1733" i="7949"/>
  <c r="B1547" i="7949"/>
  <c r="B1517" i="7949"/>
  <c r="B1493" i="7949"/>
  <c r="B1385" i="7949"/>
  <c r="B1355" i="7949"/>
  <c r="B1139" i="7949"/>
  <c r="B977" i="7949"/>
  <c r="B899" i="7949"/>
  <c r="B845" i="7949"/>
  <c r="B815" i="7949"/>
  <c r="B791" i="7949"/>
  <c r="B761" i="7949"/>
  <c r="B737" i="7949"/>
  <c r="B683" i="7949"/>
  <c r="B599" i="7949"/>
  <c r="B575" i="7949"/>
  <c r="B545" i="7949"/>
  <c r="B305" i="7949"/>
  <c r="B275" i="7949"/>
  <c r="B221" i="7949"/>
  <c r="B1439" i="7949"/>
  <c r="B1409" i="7949"/>
  <c r="B1331" i="7949"/>
  <c r="B1301" i="7949"/>
  <c r="B1277" i="7949"/>
  <c r="B1247" i="7949"/>
  <c r="B1223" i="7949"/>
  <c r="B1193" i="7949"/>
  <c r="B1169" i="7949"/>
  <c r="B1115" i="7949"/>
  <c r="B1085" i="7949"/>
  <c r="B1061" i="7949"/>
  <c r="B1031" i="7949"/>
  <c r="B1007" i="7949"/>
  <c r="B953" i="7949"/>
  <c r="B923" i="7949"/>
  <c r="B869" i="7949"/>
  <c r="B707" i="7949"/>
  <c r="B653" i="7949"/>
  <c r="B629" i="7949"/>
  <c r="B521" i="7949"/>
  <c r="B491" i="7949"/>
  <c r="B467" i="7949"/>
  <c r="B437" i="7949"/>
  <c r="B413" i="7949"/>
  <c r="B383" i="7949"/>
  <c r="B251" i="7949"/>
  <c r="B197" i="7949"/>
  <c r="B143" i="7949"/>
  <c r="B359" i="7949"/>
  <c r="B329" i="7949"/>
  <c r="B167" i="7949"/>
  <c r="S6" i="7950"/>
  <c r="B89" i="7949"/>
  <c r="B113" i="7949"/>
  <c r="B2675" i="7950"/>
  <c r="B2645" i="7950"/>
  <c r="B2591" i="7950"/>
  <c r="B2567" i="7950"/>
  <c r="B2621" i="7950"/>
  <c r="B2429" i="7950"/>
  <c r="B2405" i="7950"/>
  <c r="B2297" i="7950"/>
  <c r="B2699" i="7950"/>
  <c r="B2513" i="7950"/>
  <c r="B2483" i="7950"/>
  <c r="B2351" i="7950"/>
  <c r="B2321" i="7950"/>
  <c r="B2267" i="7950"/>
  <c r="B2213" i="7950"/>
  <c r="B2189" i="7950"/>
  <c r="B2135" i="7950"/>
  <c r="B1943" i="7950"/>
  <c r="B1889" i="7950"/>
  <c r="B1835" i="7950"/>
  <c r="B1811" i="7950"/>
  <c r="B2375" i="7950"/>
  <c r="B2105" i="7950"/>
  <c r="B2027" i="7950"/>
  <c r="B1997" i="7950"/>
  <c r="B1973" i="7950"/>
  <c r="B1919" i="7950"/>
  <c r="B1865" i="7950"/>
  <c r="B1781" i="7950"/>
  <c r="B1727" i="7950"/>
  <c r="B1673" i="7950"/>
  <c r="B1649" i="7950"/>
  <c r="B1565" i="7950"/>
  <c r="B1511" i="7950"/>
  <c r="B1403" i="7950"/>
  <c r="B1349" i="7950"/>
  <c r="B1295" i="7950"/>
  <c r="B1241" i="7950"/>
  <c r="B1217" i="7950"/>
  <c r="B1163" i="7950"/>
  <c r="B1079" i="7950"/>
  <c r="B1025" i="7950"/>
  <c r="B971" i="7950"/>
  <c r="B917" i="7950"/>
  <c r="B863" i="7950"/>
  <c r="B839" i="7950"/>
  <c r="B785" i="7950"/>
  <c r="B755" i="7950"/>
  <c r="B2537" i="7950"/>
  <c r="B2243" i="7950"/>
  <c r="B2081" i="7950"/>
  <c r="B1619" i="7950"/>
  <c r="B1541" i="7950"/>
  <c r="B1487" i="7950"/>
  <c r="B1457" i="7950"/>
  <c r="B1187" i="7950"/>
  <c r="B1109" i="7950"/>
  <c r="B1001" i="7950"/>
  <c r="B947" i="7950"/>
  <c r="B893" i="7950"/>
  <c r="B809" i="7950"/>
  <c r="B701" i="7950"/>
  <c r="B647" i="7950"/>
  <c r="B593" i="7950"/>
  <c r="B539" i="7950"/>
  <c r="B515" i="7950"/>
  <c r="B485" i="7950"/>
  <c r="B431" i="7950"/>
  <c r="B377" i="7950"/>
  <c r="B323" i="7950"/>
  <c r="B269" i="7950"/>
  <c r="B2459" i="7950"/>
  <c r="B2159" i="7950"/>
  <c r="B2051" i="7950"/>
  <c r="B1757" i="7950"/>
  <c r="B1703" i="7950"/>
  <c r="B1595" i="7950"/>
  <c r="B1433" i="7950"/>
  <c r="B1379" i="7950"/>
  <c r="B1325" i="7950"/>
  <c r="B1271" i="7950"/>
  <c r="B1133" i="7950"/>
  <c r="B1055" i="7950"/>
  <c r="B731" i="7950"/>
  <c r="B677" i="7950"/>
  <c r="B623" i="7950"/>
  <c r="B569" i="7950"/>
  <c r="B461" i="7950"/>
  <c r="B407" i="7950"/>
  <c r="B353" i="7950"/>
  <c r="B299" i="7950"/>
  <c r="B245" i="7950"/>
  <c r="B53" i="7950"/>
  <c r="B191" i="7950"/>
  <c r="B215" i="7950"/>
  <c r="B161" i="7950"/>
  <c r="B137" i="7950"/>
  <c r="B83" i="7950"/>
  <c r="B107" i="7950"/>
  <c r="B29" i="7950"/>
  <c r="J760" i="18"/>
  <c r="J733" i="18"/>
  <c r="I333" i="7941"/>
  <c r="K1045" i="18"/>
  <c r="I133" i="7941"/>
  <c r="I343" i="7941" s="1"/>
  <c r="K198" i="7942"/>
  <c r="K199" i="7942" s="1"/>
  <c r="J729" i="18"/>
  <c r="J737" i="18"/>
  <c r="J1103" i="18" s="1"/>
  <c r="K1052" i="18"/>
  <c r="I367" i="7941"/>
  <c r="J763" i="18"/>
  <c r="J1129" i="18" s="1"/>
  <c r="M289" i="1"/>
  <c r="K230" i="7942"/>
  <c r="K231" i="7942" s="1"/>
  <c r="K1053" i="18"/>
  <c r="K210" i="7942"/>
  <c r="K211" i="7942" s="1"/>
  <c r="K252" i="7942"/>
  <c r="K253" i="7942" s="1"/>
  <c r="K260" i="7942"/>
  <c r="K261" i="7942" s="1"/>
  <c r="K258" i="7942"/>
  <c r="K226" i="7942"/>
  <c r="K227" i="7942" s="1"/>
  <c r="K206" i="7942"/>
  <c r="K207" i="7942" s="1"/>
  <c r="K232" i="7942"/>
  <c r="K233" i="7942" s="1"/>
  <c r="K264" i="7942"/>
  <c r="K265" i="7942" s="1"/>
  <c r="K212" i="7942"/>
  <c r="K213" i="7942" s="1"/>
  <c r="K208" i="7942"/>
  <c r="K209" i="7942" s="1"/>
  <c r="K240" i="7942"/>
  <c r="K241" i="7942" s="1"/>
  <c r="K204" i="7942"/>
  <c r="K205" i="7942" s="1"/>
  <c r="K224" i="7942"/>
  <c r="K225" i="7942" s="1"/>
  <c r="K186" i="7942"/>
  <c r="K187" i="7942" s="1"/>
  <c r="K194" i="7942"/>
  <c r="K195" i="7942" s="1"/>
  <c r="K190" i="7942"/>
  <c r="K191" i="7942" s="1"/>
  <c r="K234" i="7942"/>
  <c r="K235" i="7942" s="1"/>
  <c r="J231" i="7942"/>
  <c r="K216" i="7942"/>
  <c r="K242" i="7942"/>
  <c r="K243" i="7942" s="1"/>
  <c r="J261" i="7942"/>
  <c r="T6" i="7949"/>
  <c r="B59" i="7949"/>
  <c r="B35" i="7949"/>
  <c r="K184" i="7942"/>
  <c r="K185" i="7942" s="1"/>
  <c r="K244" i="7942"/>
  <c r="K245" i="7942" s="1"/>
  <c r="K262" i="7942"/>
  <c r="L8" i="7942"/>
  <c r="K220" i="7942"/>
  <c r="K221" i="7942" s="1"/>
  <c r="K214" i="7942"/>
  <c r="K215" i="7942" s="1"/>
  <c r="K238" i="7942"/>
  <c r="K239" i="7942" s="1"/>
  <c r="K250" i="7942"/>
  <c r="K188" i="7942"/>
  <c r="K189" i="7942" s="1"/>
  <c r="K192" i="7942"/>
  <c r="K246" i="7942"/>
  <c r="K247" i="7942" s="1"/>
  <c r="K256" i="7942"/>
  <c r="K257" i="7942" s="1"/>
  <c r="K196" i="7942"/>
  <c r="K197" i="7942" s="1"/>
  <c r="K228" i="7942"/>
  <c r="K202" i="7942"/>
  <c r="K203" i="7942" s="1"/>
  <c r="K254" i="7942"/>
  <c r="K255" i="7942" s="1"/>
  <c r="K266" i="7942"/>
  <c r="K200" i="7942"/>
  <c r="K201" i="7942" s="1"/>
  <c r="K218" i="7942"/>
  <c r="K219" i="7942" s="1"/>
  <c r="K222" i="7942"/>
  <c r="K236" i="7942"/>
  <c r="K237" i="7942" s="1"/>
  <c r="K268" i="7942"/>
  <c r="K269" i="7942" s="1"/>
  <c r="K248" i="7942"/>
  <c r="K249" i="7942" s="1"/>
  <c r="N3" i="7944"/>
  <c r="K1046" i="18"/>
  <c r="J840" i="18"/>
  <c r="K736" i="18" s="1"/>
  <c r="K1102" i="18" s="1"/>
  <c r="I130" i="7941"/>
  <c r="N3" i="18"/>
  <c r="M7" i="18"/>
  <c r="M7" i="7942"/>
  <c r="N288" i="1"/>
  <c r="J843" i="18"/>
  <c r="K739" i="18" s="1"/>
  <c r="K1105" i="18" s="1"/>
  <c r="M206" i="18" l="1"/>
  <c r="M388" i="18"/>
  <c r="M167" i="18"/>
  <c r="M492" i="18"/>
  <c r="M336" i="18"/>
  <c r="M297" i="18"/>
  <c r="M570" i="18"/>
  <c r="M323" i="18"/>
  <c r="M648" i="18"/>
  <c r="M583" i="18"/>
  <c r="M180" i="18"/>
  <c r="M349" i="18"/>
  <c r="M245" i="18"/>
  <c r="K228" i="7944"/>
  <c r="L518" i="18"/>
  <c r="M518" i="18" s="1"/>
  <c r="N157" i="18"/>
  <c r="N159" i="18"/>
  <c r="N161" i="18"/>
  <c r="N158" i="18"/>
  <c r="N160" i="18"/>
  <c r="N162" i="18"/>
  <c r="K293" i="7944"/>
  <c r="L293" i="7944" s="1"/>
  <c r="N628" i="18"/>
  <c r="N614" i="18"/>
  <c r="N420" i="18"/>
  <c r="N681" i="18"/>
  <c r="N538" i="18"/>
  <c r="N694" i="18"/>
  <c r="N187" i="18"/>
  <c r="N421" i="18"/>
  <c r="N369" i="18"/>
  <c r="N291" i="18"/>
  <c r="N473" i="18"/>
  <c r="N642" i="18"/>
  <c r="N224" i="18"/>
  <c r="N496" i="18"/>
  <c r="N509" i="18"/>
  <c r="N536" i="18"/>
  <c r="N186" i="18"/>
  <c r="N264" i="18"/>
  <c r="N471" i="18"/>
  <c r="N288" i="18"/>
  <c r="N482" i="18"/>
  <c r="N560" i="18"/>
  <c r="N510" i="18"/>
  <c r="N290" i="18"/>
  <c r="N277" i="18"/>
  <c r="N315" i="18"/>
  <c r="N586" i="18"/>
  <c r="N300" i="18"/>
  <c r="N485" i="18"/>
  <c r="N483" i="18"/>
  <c r="N184" i="18"/>
  <c r="N600" i="18"/>
  <c r="N495" i="18"/>
  <c r="N588" i="18"/>
  <c r="N406" i="18"/>
  <c r="N430" i="18"/>
  <c r="N703" i="18"/>
  <c r="N677" i="18"/>
  <c r="N678" i="18"/>
  <c r="N625" i="18"/>
  <c r="N690" i="18"/>
  <c r="N704" i="18"/>
  <c r="N599" i="18"/>
  <c r="N691" i="18"/>
  <c r="N573" i="18"/>
  <c r="N547" i="18"/>
  <c r="N261" i="18"/>
  <c r="N692" i="18"/>
  <c r="N183" i="18"/>
  <c r="N391" i="18"/>
  <c r="N326" i="18"/>
  <c r="N456" i="18"/>
  <c r="N274" i="18"/>
  <c r="N705" i="18"/>
  <c r="N679" i="18"/>
  <c r="N443" i="18"/>
  <c r="N613" i="18"/>
  <c r="N444" i="18"/>
  <c r="N693" i="18"/>
  <c r="N680" i="18"/>
  <c r="N706" i="18"/>
  <c r="N287" i="18"/>
  <c r="N627" i="18"/>
  <c r="N171" i="18"/>
  <c r="N327" i="18"/>
  <c r="N393" i="18"/>
  <c r="N549" i="18"/>
  <c r="N561" i="18"/>
  <c r="N404" i="18"/>
  <c r="N248" i="18"/>
  <c r="N301" i="18"/>
  <c r="N275" i="18"/>
  <c r="N601" i="18"/>
  <c r="N223" i="18"/>
  <c r="N235" i="18"/>
  <c r="N237" i="18"/>
  <c r="N314" i="18"/>
  <c r="N469" i="18"/>
  <c r="N431" i="18"/>
  <c r="N665" i="18"/>
  <c r="N339" i="18"/>
  <c r="N172" i="18"/>
  <c r="N197" i="18"/>
  <c r="N641" i="18"/>
  <c r="N367" i="18"/>
  <c r="N395" i="18"/>
  <c r="N551" i="18"/>
  <c r="N616" i="18"/>
  <c r="N213" i="18"/>
  <c r="N408" i="18"/>
  <c r="N317" i="18"/>
  <c r="N265" i="18"/>
  <c r="N382" i="18"/>
  <c r="N590" i="18"/>
  <c r="N185" i="18"/>
  <c r="N654" i="18"/>
  <c r="N651" i="18"/>
  <c r="N289" i="18"/>
  <c r="N602" i="18"/>
  <c r="N562" i="18"/>
  <c r="N612" i="18"/>
  <c r="N587" i="18"/>
  <c r="N589" i="18"/>
  <c r="N446" i="18"/>
  <c r="N303" i="18"/>
  <c r="N341" i="18"/>
  <c r="N302" i="18"/>
  <c r="N419" i="18"/>
  <c r="N329" i="18"/>
  <c r="N342" i="18"/>
  <c r="N328" i="18"/>
  <c r="N534" i="18"/>
  <c r="N457" i="18"/>
  <c r="N209" i="18"/>
  <c r="N405" i="18"/>
  <c r="N470" i="18"/>
  <c r="N640" i="18"/>
  <c r="N537" i="18"/>
  <c r="N354" i="18"/>
  <c r="N432" i="18"/>
  <c r="N355" i="18"/>
  <c r="N497" i="18"/>
  <c r="N667" i="18"/>
  <c r="N512" i="18"/>
  <c r="N434" i="18"/>
  <c r="N486" i="18"/>
  <c r="N239" i="18"/>
  <c r="N629" i="18"/>
  <c r="N278" i="18"/>
  <c r="N525" i="18"/>
  <c r="N226" i="18"/>
  <c r="N653" i="18"/>
  <c r="N615" i="18"/>
  <c r="N199" i="18"/>
  <c r="N381" i="18"/>
  <c r="N210" i="18"/>
  <c r="N563" i="18"/>
  <c r="N392" i="18"/>
  <c r="N575" i="18"/>
  <c r="N222" i="18"/>
  <c r="N380" i="18"/>
  <c r="N365" i="18"/>
  <c r="N459" i="18"/>
  <c r="N225" i="18"/>
  <c r="N366" i="18"/>
  <c r="N498" i="18"/>
  <c r="N574" i="18"/>
  <c r="N262" i="18"/>
  <c r="N626" i="18"/>
  <c r="N353" i="18"/>
  <c r="N652" i="18"/>
  <c r="N170" i="18"/>
  <c r="N236" i="18"/>
  <c r="N340" i="18"/>
  <c r="N535" i="18"/>
  <c r="N212" i="18"/>
  <c r="N523" i="18"/>
  <c r="N548" i="18"/>
  <c r="N445" i="18"/>
  <c r="N173" i="18"/>
  <c r="N330" i="18"/>
  <c r="N200" i="18"/>
  <c r="N447" i="18"/>
  <c r="N577" i="18"/>
  <c r="N707" i="18"/>
  <c r="N356" i="18"/>
  <c r="N174" i="18"/>
  <c r="N603" i="18"/>
  <c r="N499" i="18"/>
  <c r="N343" i="18"/>
  <c r="N655" i="18"/>
  <c r="N407" i="18"/>
  <c r="N250" i="18"/>
  <c r="N550" i="18"/>
  <c r="N238" i="18"/>
  <c r="N458" i="18"/>
  <c r="N664" i="18"/>
  <c r="N639" i="18"/>
  <c r="N522" i="18"/>
  <c r="N666" i="18"/>
  <c r="N576" i="18"/>
  <c r="N211" i="18"/>
  <c r="N313" i="18"/>
  <c r="N511" i="18"/>
  <c r="N368" i="18"/>
  <c r="N276" i="18"/>
  <c r="N198" i="18"/>
  <c r="N249" i="18"/>
  <c r="N638" i="18"/>
  <c r="N352" i="18"/>
  <c r="N196" i="18"/>
  <c r="N417" i="18"/>
  <c r="N508" i="18"/>
  <c r="N418" i="18"/>
  <c r="N521" i="18"/>
  <c r="N484" i="18"/>
  <c r="N263" i="18"/>
  <c r="N251" i="18"/>
  <c r="N379" i="18"/>
  <c r="L294" i="7944"/>
  <c r="M294" i="7944" s="1"/>
  <c r="N294" i="7944" s="1"/>
  <c r="L310" i="18"/>
  <c r="M310" i="18" s="1"/>
  <c r="N4" i="7942"/>
  <c r="N4" i="18"/>
  <c r="N4" i="7944"/>
  <c r="N357" i="1"/>
  <c r="N168" i="1"/>
  <c r="O60" i="1"/>
  <c r="N4" i="7941"/>
  <c r="N298" i="1"/>
  <c r="N281" i="1"/>
  <c r="N114" i="1"/>
  <c r="N222" i="1"/>
  <c r="N252" i="18"/>
  <c r="N304" i="18"/>
  <c r="N668" i="18"/>
  <c r="N564" i="18"/>
  <c r="N472" i="18"/>
  <c r="N433" i="18"/>
  <c r="N460" i="18"/>
  <c r="N378" i="18"/>
  <c r="N394" i="18"/>
  <c r="N188" i="18"/>
  <c r="N604" i="18"/>
  <c r="N656" i="18"/>
  <c r="N708" i="18"/>
  <c r="N344" i="18"/>
  <c r="N682" i="18"/>
  <c r="N331" i="18"/>
  <c r="N695" i="18"/>
  <c r="N318" i="18"/>
  <c r="N253" i="18"/>
  <c r="N539" i="18"/>
  <c r="N461" i="18"/>
  <c r="N448" i="18"/>
  <c r="N240" i="18"/>
  <c r="N435" i="18"/>
  <c r="N591" i="18"/>
  <c r="N383" i="18"/>
  <c r="N305" i="18"/>
  <c r="N487" i="18"/>
  <c r="N617" i="18"/>
  <c r="N643" i="18"/>
  <c r="N500" i="18"/>
  <c r="N175" i="18"/>
  <c r="N552" i="18"/>
  <c r="N669" i="18"/>
  <c r="N578" i="18"/>
  <c r="N266" i="18"/>
  <c r="N370" i="18"/>
  <c r="N565" i="18"/>
  <c r="N357" i="18"/>
  <c r="N630" i="18"/>
  <c r="N292" i="18"/>
  <c r="N279" i="18"/>
  <c r="N422" i="18"/>
  <c r="N409" i="18"/>
  <c r="N513" i="18"/>
  <c r="N396" i="18"/>
  <c r="N214" i="18"/>
  <c r="N474" i="18"/>
  <c r="N227" i="18"/>
  <c r="N526" i="18"/>
  <c r="N201" i="18"/>
  <c r="N524" i="18"/>
  <c r="N316" i="18"/>
  <c r="K1079" i="18"/>
  <c r="L346" i="7944"/>
  <c r="M346" i="7944" s="1"/>
  <c r="L645" i="7944"/>
  <c r="L657" i="7944" s="1"/>
  <c r="L528" i="7944"/>
  <c r="M528" i="7944" s="1"/>
  <c r="L228" i="7944"/>
  <c r="N636" i="18"/>
  <c r="N259" i="18"/>
  <c r="N155" i="18"/>
  <c r="N532" i="18"/>
  <c r="N272" i="18"/>
  <c r="L359" i="7944"/>
  <c r="M359" i="7944" s="1"/>
  <c r="N359" i="7944" s="1"/>
  <c r="L476" i="7944"/>
  <c r="L488" i="7944" s="1"/>
  <c r="L229" i="7944"/>
  <c r="M229" i="7944" s="1"/>
  <c r="L736" i="7944"/>
  <c r="L748" i="7944" s="1"/>
  <c r="L437" i="7944"/>
  <c r="L449" i="7944" s="1"/>
  <c r="L398" i="7944"/>
  <c r="L410" i="7944" s="1"/>
  <c r="K1043" i="18"/>
  <c r="L333" i="7944"/>
  <c r="L345" i="7944" s="1"/>
  <c r="L320" i="7944"/>
  <c r="L332" i="7944" s="1"/>
  <c r="L502" i="7944"/>
  <c r="L514" i="7944" s="1"/>
  <c r="L684" i="7944"/>
  <c r="L696" i="7944" s="1"/>
  <c r="L268" i="7944"/>
  <c r="L280" i="7944" s="1"/>
  <c r="L242" i="7944"/>
  <c r="L254" i="7944" s="1"/>
  <c r="L697" i="7944"/>
  <c r="L709" i="7944" s="1"/>
  <c r="L307" i="7944"/>
  <c r="L319" i="7944" s="1"/>
  <c r="L567" i="7944"/>
  <c r="L579" i="7944" s="1"/>
  <c r="L671" i="7944"/>
  <c r="L683" i="7944" s="1"/>
  <c r="L710" i="7944"/>
  <c r="L722" i="7944" s="1"/>
  <c r="L658" i="7944"/>
  <c r="L670" i="7944" s="1"/>
  <c r="L541" i="7944"/>
  <c r="L553" i="7944" s="1"/>
  <c r="L580" i="7944"/>
  <c r="L592" i="7944" s="1"/>
  <c r="L463" i="7944"/>
  <c r="L475" i="7944" s="1"/>
  <c r="L723" i="7944"/>
  <c r="L735" i="7944" s="1"/>
  <c r="L203" i="7944"/>
  <c r="L215" i="7944" s="1"/>
  <c r="L411" i="7944"/>
  <c r="L423" i="7944" s="1"/>
  <c r="M281" i="7944"/>
  <c r="L554" i="7944"/>
  <c r="L566" i="7944" s="1"/>
  <c r="L619" i="7944"/>
  <c r="L631" i="7944" s="1"/>
  <c r="L749" i="7944"/>
  <c r="L761" i="7944" s="1"/>
  <c r="L450" i="7944"/>
  <c r="L462" i="7944" s="1"/>
  <c r="L424" i="7944"/>
  <c r="L436" i="7944" s="1"/>
  <c r="L632" i="7944"/>
  <c r="L644" i="7944" s="1"/>
  <c r="L489" i="7944"/>
  <c r="L501" i="7944" s="1"/>
  <c r="L593" i="7944"/>
  <c r="L605" i="7944" s="1"/>
  <c r="L606" i="7944"/>
  <c r="L618" i="7944" s="1"/>
  <c r="N246" i="18"/>
  <c r="L375" i="18"/>
  <c r="M375" i="18" s="1"/>
  <c r="N194" i="18"/>
  <c r="B2676" i="7950"/>
  <c r="N673" i="7944"/>
  <c r="N504" i="7944"/>
  <c r="N348" i="7944"/>
  <c r="N400" i="7944"/>
  <c r="N310" i="7944"/>
  <c r="N713" i="7944"/>
  <c r="N389" i="7944"/>
  <c r="N662" i="7944"/>
  <c r="N622" i="7944"/>
  <c r="N726" i="7944"/>
  <c r="N727" i="7944"/>
  <c r="N414" i="7944"/>
  <c r="N258" i="7944"/>
  <c r="N624" i="7944"/>
  <c r="N507" i="7944"/>
  <c r="N754" i="7944"/>
  <c r="N247" i="7944"/>
  <c r="N714" i="7944"/>
  <c r="N429" i="7944"/>
  <c r="N428" i="7944"/>
  <c r="N495" i="7944"/>
  <c r="N703" i="7944"/>
  <c r="N404" i="7944"/>
  <c r="N612" i="7944"/>
  <c r="N573" i="7944"/>
  <c r="N491" i="7944"/>
  <c r="N730" i="7944"/>
  <c r="N678" i="7944"/>
  <c r="N626" i="7944"/>
  <c r="N574" i="7944"/>
  <c r="N522" i="7944"/>
  <c r="N470" i="7944"/>
  <c r="N418" i="7944"/>
  <c r="N366" i="7944"/>
  <c r="N314" i="7944"/>
  <c r="N717" i="7944"/>
  <c r="N665" i="7944"/>
  <c r="N613" i="7944"/>
  <c r="N561" i="7944"/>
  <c r="N509" i="7944"/>
  <c r="N457" i="7944"/>
  <c r="N405" i="7944"/>
  <c r="N353" i="7944"/>
  <c r="N301" i="7944"/>
  <c r="N756" i="7944"/>
  <c r="N704" i="7944"/>
  <c r="N652" i="7944"/>
  <c r="N600" i="7944"/>
  <c r="N548" i="7944"/>
  <c r="N496" i="7944"/>
  <c r="N444" i="7944"/>
  <c r="N392" i="7944"/>
  <c r="N340" i="7944"/>
  <c r="N288" i="7944"/>
  <c r="N743" i="7944"/>
  <c r="N691" i="7944"/>
  <c r="N639" i="7944"/>
  <c r="N587" i="7944"/>
  <c r="N535" i="7944"/>
  <c r="N483" i="7944"/>
  <c r="N431" i="7944"/>
  <c r="N379" i="7944"/>
  <c r="N327" i="7944"/>
  <c r="N275" i="7944"/>
  <c r="N249" i="7944"/>
  <c r="N236" i="7944"/>
  <c r="N223" i="7944"/>
  <c r="N262" i="7944"/>
  <c r="N210" i="7944"/>
  <c r="N287" i="7944"/>
  <c r="N235" i="7944"/>
  <c r="N430" i="7944"/>
  <c r="N378" i="7944"/>
  <c r="N416" i="7944"/>
  <c r="N547" i="7944"/>
  <c r="N599" i="7944"/>
  <c r="N663" i="7944"/>
  <c r="N534" i="7944"/>
  <c r="N729" i="7944"/>
  <c r="N274" i="7944"/>
  <c r="N560" i="7944"/>
  <c r="N664" i="7944"/>
  <c r="N690" i="7944"/>
  <c r="N728" i="7944"/>
  <c r="N222" i="7944"/>
  <c r="N468" i="7944"/>
  <c r="N546" i="7944"/>
  <c r="N326" i="7944"/>
  <c r="N520" i="7944"/>
  <c r="N598" i="7944"/>
  <c r="N742" i="7944"/>
  <c r="N521" i="7944"/>
  <c r="N469" i="7944"/>
  <c r="N339" i="7944"/>
  <c r="N365" i="7944"/>
  <c r="N482" i="7944"/>
  <c r="N417" i="7944"/>
  <c r="N651" i="7944"/>
  <c r="N637" i="7944"/>
  <c r="N676" i="7944"/>
  <c r="N558" i="7944"/>
  <c r="N597" i="7944"/>
  <c r="N688" i="7944"/>
  <c r="N531" i="7944"/>
  <c r="N338" i="7944"/>
  <c r="N232" i="7944"/>
  <c r="N636" i="7944"/>
  <c r="N336" i="7944"/>
  <c r="N572" i="7944"/>
  <c r="N311" i="7944"/>
  <c r="N364" i="7944"/>
  <c r="N220" i="7944"/>
  <c r="N741" i="7944"/>
  <c r="N413" i="7944"/>
  <c r="N467" i="7944"/>
  <c r="N234" i="7944"/>
  <c r="N402" i="7944"/>
  <c r="N351" i="7944"/>
  <c r="N259" i="7944"/>
  <c r="N219" i="7944"/>
  <c r="N231" i="7944"/>
  <c r="N272" i="7944"/>
  <c r="N533" i="7944"/>
  <c r="N494" i="7944"/>
  <c r="N286" i="7944"/>
  <c r="N363" i="7944"/>
  <c r="N375" i="7944"/>
  <c r="N284" i="7944"/>
  <c r="N415" i="7944"/>
  <c r="N559" i="7944"/>
  <c r="N454" i="7944"/>
  <c r="N557" i="7944"/>
  <c r="N715" i="7944"/>
  <c r="N324" i="7944"/>
  <c r="N403" i="7944"/>
  <c r="N689" i="7944"/>
  <c r="N545" i="7944"/>
  <c r="N299" i="7944"/>
  <c r="N442" i="7944"/>
  <c r="N649" i="7944"/>
  <c r="N480" i="7944"/>
  <c r="N207" i="7944"/>
  <c r="N699" i="7944"/>
  <c r="N700" i="7944"/>
  <c r="N387" i="7944"/>
  <c r="N206" i="7944"/>
  <c r="N751" i="7944"/>
  <c r="N739" i="7944"/>
  <c r="N596" i="7944"/>
  <c r="N752" i="7944"/>
  <c r="N569" i="7944"/>
  <c r="N675" i="7944"/>
  <c r="N634" i="7944"/>
  <c r="N441" i="7944"/>
  <c r="N323" i="7944"/>
  <c r="N452" i="7944"/>
  <c r="N298" i="7944"/>
  <c r="N530" i="7944"/>
  <c r="N583" i="7944"/>
  <c r="N519" i="7944"/>
  <c r="N296" i="7944"/>
  <c r="N439" i="7944"/>
  <c r="N571" i="7944"/>
  <c r="N374" i="7944"/>
  <c r="N518" i="7944"/>
  <c r="N687" i="7944"/>
  <c r="N609" i="7944"/>
  <c r="N245" i="7944"/>
  <c r="N621" i="7944"/>
  <c r="N244" i="7944"/>
  <c r="N738" i="7944"/>
  <c r="N544" i="7944"/>
  <c r="N492" i="7944"/>
  <c r="N361" i="7944"/>
  <c r="N661" i="7944"/>
  <c r="N570" i="7944"/>
  <c r="N686" i="7944"/>
  <c r="N440" i="7944"/>
  <c r="N556" i="7944"/>
  <c r="N478" i="7944"/>
  <c r="N388" i="7944"/>
  <c r="N725" i="7944"/>
  <c r="N608" i="7944"/>
  <c r="N309" i="7944"/>
  <c r="N582" i="7944"/>
  <c r="N647" i="7944"/>
  <c r="N479" i="7944"/>
  <c r="N465" i="7944"/>
  <c r="N325" i="7944"/>
  <c r="N257" i="7944"/>
  <c r="N283" i="7944"/>
  <c r="N517" i="7944"/>
  <c r="N453" i="7944"/>
  <c r="N648" i="7944"/>
  <c r="N427" i="7944"/>
  <c r="N543" i="7944"/>
  <c r="N753" i="7944"/>
  <c r="N493" i="7944"/>
  <c r="N376" i="7944"/>
  <c r="N233" i="7944"/>
  <c r="N390" i="7944"/>
  <c r="N377" i="7944"/>
  <c r="N755" i="7944"/>
  <c r="N456" i="7944"/>
  <c r="N625" i="7944"/>
  <c r="N586" i="7944"/>
  <c r="N635" i="7944"/>
  <c r="N349" i="7944"/>
  <c r="N660" i="7944"/>
  <c r="N221" i="7944"/>
  <c r="N297" i="7944"/>
  <c r="N466" i="7944"/>
  <c r="N335" i="7944"/>
  <c r="N426" i="7944"/>
  <c r="N362" i="7944"/>
  <c r="N701" i="7944"/>
  <c r="N270" i="7944"/>
  <c r="N246" i="7944"/>
  <c r="N505" i="7944"/>
  <c r="N322" i="7944"/>
  <c r="N674" i="7944"/>
  <c r="N401" i="7944"/>
  <c r="N218" i="7944"/>
  <c r="N623" i="7944"/>
  <c r="N740" i="7944"/>
  <c r="N337" i="7944"/>
  <c r="N312" i="7944"/>
  <c r="N506" i="7944"/>
  <c r="N260" i="7944"/>
  <c r="N650" i="7944"/>
  <c r="N455" i="7944"/>
  <c r="N248" i="7944"/>
  <c r="N209" i="7944"/>
  <c r="N391" i="7944"/>
  <c r="N300" i="7944"/>
  <c r="N508" i="7944"/>
  <c r="N716" i="7944"/>
  <c r="N677" i="7944"/>
  <c r="N638" i="7944"/>
  <c r="N273" i="7944"/>
  <c r="N712" i="7944"/>
  <c r="N595" i="7944"/>
  <c r="N271" i="7944"/>
  <c r="N532" i="7944"/>
  <c r="N610" i="7944"/>
  <c r="N205" i="7944"/>
  <c r="N350" i="7944"/>
  <c r="N584" i="7944"/>
  <c r="N208" i="7944"/>
  <c r="N585" i="7944"/>
  <c r="N611" i="7944"/>
  <c r="N481" i="7944"/>
  <c r="N285" i="7944"/>
  <c r="N702" i="7944"/>
  <c r="N261" i="7944"/>
  <c r="N443" i="7944"/>
  <c r="N352" i="7944"/>
  <c r="N313" i="7944"/>
  <c r="J45" i="7941"/>
  <c r="N571" i="18"/>
  <c r="N311" i="18"/>
  <c r="N181" i="18"/>
  <c r="N545" i="18"/>
  <c r="N597" i="18"/>
  <c r="N506" i="18"/>
  <c r="N233" i="18"/>
  <c r="N675" i="18"/>
  <c r="N519" i="18"/>
  <c r="N220" i="18"/>
  <c r="N610" i="18"/>
  <c r="N415" i="18"/>
  <c r="N298" i="18"/>
  <c r="L258" i="18"/>
  <c r="M258" i="18" s="1"/>
  <c r="N441" i="18"/>
  <c r="N168" i="18"/>
  <c r="N389" i="18"/>
  <c r="N454" i="18"/>
  <c r="N324" i="18"/>
  <c r="N558" i="18"/>
  <c r="N350" i="18"/>
  <c r="N207" i="18"/>
  <c r="N623" i="18"/>
  <c r="N376" i="18"/>
  <c r="N337" i="18"/>
  <c r="N428" i="18"/>
  <c r="J742" i="18"/>
  <c r="J1108" i="18" s="1"/>
  <c r="J846" i="18" s="1"/>
  <c r="J32" i="7941"/>
  <c r="N493" i="18"/>
  <c r="N402" i="18"/>
  <c r="N285" i="18"/>
  <c r="N649" i="18"/>
  <c r="N363" i="18"/>
  <c r="N142" i="18"/>
  <c r="N662" i="18"/>
  <c r="N480" i="18"/>
  <c r="K1068" i="18"/>
  <c r="K1069" i="18"/>
  <c r="M232" i="18"/>
  <c r="I119" i="7941"/>
  <c r="I329" i="7941" s="1"/>
  <c r="J829" i="18"/>
  <c r="K725" i="18" s="1"/>
  <c r="K1091" i="18" s="1"/>
  <c r="L1056" i="18"/>
  <c r="I161" i="7941"/>
  <c r="J57" i="7941" s="1"/>
  <c r="K1077" i="18"/>
  <c r="K1061" i="18"/>
  <c r="L1052" i="18"/>
  <c r="L385" i="7944"/>
  <c r="L397" i="7944" s="1"/>
  <c r="L255" i="7944"/>
  <c r="L267" i="7944" s="1"/>
  <c r="M216" i="7944"/>
  <c r="M27" i="18"/>
  <c r="M785" i="18" s="1"/>
  <c r="M75" i="7941" s="1"/>
  <c r="M53" i="18"/>
  <c r="M811" i="18" s="1"/>
  <c r="M101" i="7941" s="1"/>
  <c r="M35" i="18"/>
  <c r="M793" i="18" s="1"/>
  <c r="M83" i="7941" s="1"/>
  <c r="M55" i="18"/>
  <c r="M813" i="18" s="1"/>
  <c r="M103" i="7941" s="1"/>
  <c r="M38" i="18"/>
  <c r="M796" i="18" s="1"/>
  <c r="M86" i="7941" s="1"/>
  <c r="M26" i="18"/>
  <c r="M784" i="18" s="1"/>
  <c r="M74" i="7941" s="1"/>
  <c r="M20" i="18"/>
  <c r="M778" i="18" s="1"/>
  <c r="M68" i="7941" s="1"/>
  <c r="M58" i="18"/>
  <c r="M816" i="18" s="1"/>
  <c r="M106" i="7941" s="1"/>
  <c r="M21" i="18"/>
  <c r="M779" i="18" s="1"/>
  <c r="M69" i="7941" s="1"/>
  <c r="M36" i="18"/>
  <c r="M794" i="18" s="1"/>
  <c r="M84" i="7941" s="1"/>
  <c r="M46" i="18"/>
  <c r="M804" i="18" s="1"/>
  <c r="M94" i="7941" s="1"/>
  <c r="M41" i="18"/>
  <c r="M799" i="18" s="1"/>
  <c r="M89" i="7941" s="1"/>
  <c r="M57" i="18"/>
  <c r="M815" i="18" s="1"/>
  <c r="M105" i="7941" s="1"/>
  <c r="M34" i="18"/>
  <c r="M792" i="18" s="1"/>
  <c r="M82" i="7941" s="1"/>
  <c r="M22" i="18"/>
  <c r="M780" i="18" s="1"/>
  <c r="M70" i="7941" s="1"/>
  <c r="M44" i="18"/>
  <c r="M802" i="18" s="1"/>
  <c r="M92" i="7941" s="1"/>
  <c r="M59" i="18"/>
  <c r="M817" i="18" s="1"/>
  <c r="M107" i="7941" s="1"/>
  <c r="M48" i="18"/>
  <c r="M806" i="18" s="1"/>
  <c r="M96" i="7941" s="1"/>
  <c r="M60" i="18"/>
  <c r="M818" i="18" s="1"/>
  <c r="M108" i="7941" s="1"/>
  <c r="M61" i="18"/>
  <c r="M819" i="18" s="1"/>
  <c r="M109" i="7941" s="1"/>
  <c r="M25" i="18"/>
  <c r="M783" i="18" s="1"/>
  <c r="M73" i="7941" s="1"/>
  <c r="M40" i="18"/>
  <c r="M798" i="18" s="1"/>
  <c r="M88" i="7941" s="1"/>
  <c r="M52" i="18"/>
  <c r="M810" i="18" s="1"/>
  <c r="M100" i="7941" s="1"/>
  <c r="M49" i="18"/>
  <c r="M807" i="18" s="1"/>
  <c r="M97" i="7941" s="1"/>
  <c r="M23" i="18"/>
  <c r="M781" i="18" s="1"/>
  <c r="M71" i="7941" s="1"/>
  <c r="M43" i="18"/>
  <c r="M801" i="18" s="1"/>
  <c r="M91" i="7941" s="1"/>
  <c r="M29" i="18"/>
  <c r="M787" i="18" s="1"/>
  <c r="M77" i="7941" s="1"/>
  <c r="M19" i="18"/>
  <c r="M777" i="18" s="1"/>
  <c r="M67" i="7941" s="1"/>
  <c r="M30" i="18"/>
  <c r="M788" i="18" s="1"/>
  <c r="M78" i="7941" s="1"/>
  <c r="M50" i="18"/>
  <c r="M808" i="18" s="1"/>
  <c r="M98" i="7941" s="1"/>
  <c r="M33" i="18"/>
  <c r="M791" i="18" s="1"/>
  <c r="M81" i="7941" s="1"/>
  <c r="M28" i="18"/>
  <c r="M786" i="18" s="1"/>
  <c r="M76" i="7941" s="1"/>
  <c r="M56" i="18"/>
  <c r="M814" i="18" s="1"/>
  <c r="M104" i="7941" s="1"/>
  <c r="M32" i="18"/>
  <c r="M790" i="18" s="1"/>
  <c r="M80" i="7941" s="1"/>
  <c r="M42" i="18"/>
  <c r="M800" i="18" s="1"/>
  <c r="M90" i="7941" s="1"/>
  <c r="M39" i="18"/>
  <c r="M797" i="18" s="1"/>
  <c r="M87" i="7941" s="1"/>
  <c r="M45" i="18"/>
  <c r="M803" i="18" s="1"/>
  <c r="M93" i="7941" s="1"/>
  <c r="M31" i="18"/>
  <c r="M789" i="18" s="1"/>
  <c r="M79" i="7941" s="1"/>
  <c r="M51" i="18"/>
  <c r="M809" i="18" s="1"/>
  <c r="M99" i="7941" s="1"/>
  <c r="M37" i="18"/>
  <c r="M795" i="18" s="1"/>
  <c r="M85" i="7941" s="1"/>
  <c r="M47" i="18"/>
  <c r="M805" i="18" s="1"/>
  <c r="M95" i="7941" s="1"/>
  <c r="M54" i="18"/>
  <c r="M812" i="18" s="1"/>
  <c r="M102" i="7941" s="1"/>
  <c r="M24" i="18"/>
  <c r="M782" i="18" s="1"/>
  <c r="M72" i="7941" s="1"/>
  <c r="L515" i="7944"/>
  <c r="L527" i="7944" s="1"/>
  <c r="L372" i="7944"/>
  <c r="L384" i="7944" s="1"/>
  <c r="O168" i="1"/>
  <c r="K1072" i="18"/>
  <c r="L1049" i="18"/>
  <c r="J863" i="18"/>
  <c r="K759" i="18" s="1"/>
  <c r="K1125" i="18" s="1"/>
  <c r="I362" i="7941"/>
  <c r="K1076" i="18"/>
  <c r="J758" i="18"/>
  <c r="J1124" i="18" s="1"/>
  <c r="J862" i="18" s="1"/>
  <c r="J756" i="18"/>
  <c r="J1122" i="18" s="1"/>
  <c r="J743" i="18"/>
  <c r="J1109" i="18" s="1"/>
  <c r="J847" i="18" s="1"/>
  <c r="J137" i="7941" s="1"/>
  <c r="K1065" i="18"/>
  <c r="M453" i="18"/>
  <c r="M544" i="18"/>
  <c r="M505" i="18"/>
  <c r="M635" i="18"/>
  <c r="N206" i="18"/>
  <c r="O206" i="18" s="1"/>
  <c r="P206" i="18" s="1"/>
  <c r="Q206" i="18" s="1"/>
  <c r="M557" i="18"/>
  <c r="N584" i="18"/>
  <c r="L479" i="18"/>
  <c r="M479" i="18" s="1"/>
  <c r="L414" i="18"/>
  <c r="L1058" i="18" s="1"/>
  <c r="M219" i="18"/>
  <c r="M701" i="18"/>
  <c r="M401" i="18"/>
  <c r="M531" i="18"/>
  <c r="L700" i="18"/>
  <c r="L1080" i="18" s="1"/>
  <c r="L713" i="18"/>
  <c r="L1081" i="18" s="1"/>
  <c r="L271" i="18"/>
  <c r="M271" i="18" s="1"/>
  <c r="M1047" i="18" s="1"/>
  <c r="K1047" i="18"/>
  <c r="M687" i="18"/>
  <c r="N467" i="18"/>
  <c r="N688" i="18"/>
  <c r="M661" i="18"/>
  <c r="L427" i="18"/>
  <c r="M427" i="18" s="1"/>
  <c r="M609" i="18"/>
  <c r="M622" i="18"/>
  <c r="M596" i="18"/>
  <c r="L193" i="18"/>
  <c r="L1041" i="18" s="1"/>
  <c r="L466" i="18"/>
  <c r="L284" i="18"/>
  <c r="L362" i="18"/>
  <c r="M362" i="18" s="1"/>
  <c r="M674" i="18"/>
  <c r="I153" i="7941"/>
  <c r="J49" i="7941" s="1"/>
  <c r="J46" i="7941"/>
  <c r="J740" i="18"/>
  <c r="J1106" i="18" s="1"/>
  <c r="J844" i="18" s="1"/>
  <c r="J735" i="18"/>
  <c r="J1101" i="18" s="1"/>
  <c r="J839" i="18" s="1"/>
  <c r="K735" i="18" s="1"/>
  <c r="K1101" i="18" s="1"/>
  <c r="I344" i="7941"/>
  <c r="K1040" i="18"/>
  <c r="K1044" i="18"/>
  <c r="J751" i="18"/>
  <c r="J1117" i="18" s="1"/>
  <c r="J855" i="18" s="1"/>
  <c r="J56" i="7941"/>
  <c r="J834" i="18"/>
  <c r="K730" i="18" s="1"/>
  <c r="K1096" i="18" s="1"/>
  <c r="O222" i="1"/>
  <c r="J838" i="18"/>
  <c r="J128" i="7941" s="1"/>
  <c r="J55" i="7941"/>
  <c r="I345" i="7941"/>
  <c r="J765" i="18"/>
  <c r="J1131" i="18" s="1"/>
  <c r="J869" i="18" s="1"/>
  <c r="I369" i="7941"/>
  <c r="I347" i="7941"/>
  <c r="K1073" i="18"/>
  <c r="J25" i="7941"/>
  <c r="I132" i="7941"/>
  <c r="J28" i="7941" s="1"/>
  <c r="I339" i="7941"/>
  <c r="J24" i="7941"/>
  <c r="I122" i="7941"/>
  <c r="I332" i="7941" s="1"/>
  <c r="J728" i="18"/>
  <c r="J1094" i="18" s="1"/>
  <c r="J832" i="18" s="1"/>
  <c r="K728" i="18" s="1"/>
  <c r="K1094" i="18" s="1"/>
  <c r="M1052" i="18"/>
  <c r="J732" i="18"/>
  <c r="J1098" i="18" s="1"/>
  <c r="J836" i="18" s="1"/>
  <c r="K732" i="18" s="1"/>
  <c r="I126" i="7941"/>
  <c r="J22" i="7941" s="1"/>
  <c r="J762" i="18"/>
  <c r="J1128" i="18" s="1"/>
  <c r="J866" i="18" s="1"/>
  <c r="K762" i="18" s="1"/>
  <c r="K1128" i="18" s="1"/>
  <c r="I156" i="7941"/>
  <c r="I366" i="7941" s="1"/>
  <c r="I144" i="7941"/>
  <c r="J40" i="7941" s="1"/>
  <c r="J750" i="18"/>
  <c r="J1116" i="18" s="1"/>
  <c r="J854" i="18" s="1"/>
  <c r="J1118" i="18"/>
  <c r="K1093" i="18"/>
  <c r="J1099" i="18"/>
  <c r="J837" i="18" s="1"/>
  <c r="J1130" i="18"/>
  <c r="J868" i="18" s="1"/>
  <c r="J1104" i="18"/>
  <c r="J842" i="18" s="1"/>
  <c r="K1132" i="18"/>
  <c r="J1095" i="18"/>
  <c r="J1123" i="18"/>
  <c r="J861" i="18" s="1"/>
  <c r="K1107" i="18"/>
  <c r="I853" i="18"/>
  <c r="J1126" i="18"/>
  <c r="J864" i="18" s="1"/>
  <c r="J1092" i="18"/>
  <c r="J830" i="18" s="1"/>
  <c r="J1113" i="18"/>
  <c r="J851" i="18" s="1"/>
  <c r="K1120" i="18"/>
  <c r="I865" i="18"/>
  <c r="I346" i="7941"/>
  <c r="M1039" i="18"/>
  <c r="I355" i="7941"/>
  <c r="J30" i="7941"/>
  <c r="J41" i="7941"/>
  <c r="L457" i="7942"/>
  <c r="J841" i="18"/>
  <c r="K737" i="18" s="1"/>
  <c r="K1103" i="18" s="1"/>
  <c r="J26" i="7941"/>
  <c r="K1058" i="18"/>
  <c r="K1080" i="18"/>
  <c r="L1061" i="18"/>
  <c r="J44" i="7941"/>
  <c r="I358" i="7941"/>
  <c r="K1054" i="18"/>
  <c r="K1057" i="18"/>
  <c r="K1064" i="18"/>
  <c r="J37" i="7941"/>
  <c r="I351" i="7941"/>
  <c r="J17" i="7941"/>
  <c r="I331" i="7941"/>
  <c r="K1075" i="18"/>
  <c r="K1074" i="18"/>
  <c r="L1070" i="18"/>
  <c r="L467" i="7942"/>
  <c r="L485" i="7942"/>
  <c r="L501" i="7942"/>
  <c r="L479" i="7942"/>
  <c r="L449" i="7942"/>
  <c r="L447" i="7942"/>
  <c r="L459" i="7942"/>
  <c r="L499" i="7942"/>
  <c r="L481" i="7942"/>
  <c r="L475" i="7942"/>
  <c r="L491" i="7942"/>
  <c r="L495" i="7942"/>
  <c r="L477" i="7942"/>
  <c r="L465" i="7942"/>
  <c r="L445" i="7942"/>
  <c r="L461" i="7942"/>
  <c r="L462" i="7942" s="1"/>
  <c r="L439" i="7942"/>
  <c r="L463" i="7942"/>
  <c r="L451" i="7942"/>
  <c r="L471" i="7942"/>
  <c r="L437" i="7942"/>
  <c r="L493" i="7942"/>
  <c r="L487" i="7942"/>
  <c r="L441" i="7942"/>
  <c r="L483" i="7942"/>
  <c r="L443" i="7942"/>
  <c r="L455" i="7942"/>
  <c r="L473" i="7942"/>
  <c r="L474" i="7942" s="1"/>
  <c r="L505" i="7942"/>
  <c r="L469" i="7942"/>
  <c r="L503" i="7942"/>
  <c r="L453" i="7942"/>
  <c r="L497" i="7942"/>
  <c r="L489" i="7942"/>
  <c r="I511" i="7942"/>
  <c r="J511" i="7942" s="1"/>
  <c r="I510" i="7942"/>
  <c r="J509" i="7942"/>
  <c r="A515" i="7942"/>
  <c r="H513" i="7942"/>
  <c r="K507" i="7942"/>
  <c r="K508" i="7942" s="1"/>
  <c r="J508" i="7942"/>
  <c r="J850" i="18"/>
  <c r="K746" i="18" s="1"/>
  <c r="K1112" i="18" s="1"/>
  <c r="I357" i="7941"/>
  <c r="I352" i="7941"/>
  <c r="J34" i="7941"/>
  <c r="I359" i="7941"/>
  <c r="J755" i="18"/>
  <c r="B30" i="7950"/>
  <c r="B594" i="7950"/>
  <c r="K1042" i="18"/>
  <c r="B2406" i="7950"/>
  <c r="B756" i="7950"/>
  <c r="B2592" i="7950"/>
  <c r="B216" i="7950"/>
  <c r="B246" i="7950"/>
  <c r="B1488" i="7950"/>
  <c r="L1073" i="18"/>
  <c r="B192" i="7950"/>
  <c r="B948" i="7950"/>
  <c r="B1998" i="7950"/>
  <c r="O357" i="1"/>
  <c r="B84" i="7950"/>
  <c r="B270" i="7950"/>
  <c r="B918" i="7950"/>
  <c r="B2052" i="7950"/>
  <c r="B462" i="7950"/>
  <c r="B1164" i="7950"/>
  <c r="B2460" i="7950"/>
  <c r="K478" i="7942"/>
  <c r="K470" i="7942"/>
  <c r="K466" i="7942"/>
  <c r="K476" i="7942"/>
  <c r="K500" i="7942"/>
  <c r="K460" i="7942"/>
  <c r="K464" i="7942"/>
  <c r="K498" i="7942"/>
  <c r="K474" i="7942"/>
  <c r="K442" i="7942"/>
  <c r="K446" i="7942"/>
  <c r="K502" i="7942"/>
  <c r="K448" i="7942"/>
  <c r="K450" i="7942"/>
  <c r="K506" i="7942"/>
  <c r="K462" i="7942"/>
  <c r="K504" i="7942"/>
  <c r="B1542" i="7950"/>
  <c r="B1380" i="7950"/>
  <c r="B1326" i="7950"/>
  <c r="B2190" i="7950"/>
  <c r="I349" i="7941"/>
  <c r="K1060" i="18"/>
  <c r="O114" i="1"/>
  <c r="B570" i="7950"/>
  <c r="B1758" i="7950"/>
  <c r="B1812" i="7950"/>
  <c r="B810" i="7950"/>
  <c r="B1650" i="7950"/>
  <c r="J867" i="18"/>
  <c r="K763" i="18" s="1"/>
  <c r="K1129" i="18" s="1"/>
  <c r="B354" i="7950"/>
  <c r="B678" i="7950"/>
  <c r="B1110" i="7950"/>
  <c r="B2028" i="7950"/>
  <c r="B378" i="7950"/>
  <c r="B516" i="7950"/>
  <c r="B702" i="7950"/>
  <c r="B1188" i="7950"/>
  <c r="B1596" i="7950"/>
  <c r="B1974" i="7950"/>
  <c r="B840" i="7950"/>
  <c r="B1026" i="7950"/>
  <c r="B1242" i="7950"/>
  <c r="B1404" i="7950"/>
  <c r="B1566" i="7950"/>
  <c r="B1728" i="7950"/>
  <c r="B2244" i="7950"/>
  <c r="B1890" i="7950"/>
  <c r="B2136" i="7950"/>
  <c r="B2268" i="7950"/>
  <c r="B2298" i="7950"/>
  <c r="B2484" i="7950"/>
  <c r="B2646" i="7950"/>
  <c r="L222" i="7942"/>
  <c r="L223" i="7942" s="1"/>
  <c r="L266" i="7942"/>
  <c r="L267" i="7942" s="1"/>
  <c r="L228" i="7942"/>
  <c r="L229" i="7942" s="1"/>
  <c r="L192" i="7942"/>
  <c r="L193" i="7942" s="1"/>
  <c r="L250" i="7942"/>
  <c r="L251" i="7942" s="1"/>
  <c r="J21" i="7941"/>
  <c r="B54" i="7950"/>
  <c r="B108" i="7950"/>
  <c r="B138" i="7950"/>
  <c r="B162" i="7950"/>
  <c r="B300" i="7950"/>
  <c r="B408" i="7950"/>
  <c r="B624" i="7950"/>
  <c r="B894" i="7950"/>
  <c r="B1002" i="7950"/>
  <c r="B1134" i="7950"/>
  <c r="B1920" i="7950"/>
  <c r="B2622" i="7950"/>
  <c r="B324" i="7950"/>
  <c r="B432" i="7950"/>
  <c r="B486" i="7950"/>
  <c r="B540" i="7950"/>
  <c r="B648" i="7950"/>
  <c r="B732" i="7950"/>
  <c r="B1056" i="7950"/>
  <c r="B1272" i="7950"/>
  <c r="B1434" i="7950"/>
  <c r="B1704" i="7950"/>
  <c r="B1866" i="7950"/>
  <c r="B2514" i="7950"/>
  <c r="B786" i="7950"/>
  <c r="B864" i="7950"/>
  <c r="B972" i="7950"/>
  <c r="B1080" i="7950"/>
  <c r="B1218" i="7950"/>
  <c r="B1296" i="7950"/>
  <c r="B1350" i="7950"/>
  <c r="B1458" i="7950"/>
  <c r="B1512" i="7950"/>
  <c r="B1620" i="7950"/>
  <c r="B1674" i="7950"/>
  <c r="B1782" i="7950"/>
  <c r="B2106" i="7950"/>
  <c r="B2352" i="7950"/>
  <c r="B1836" i="7950"/>
  <c r="B1944" i="7950"/>
  <c r="B2082" i="7950"/>
  <c r="B2160" i="7950"/>
  <c r="B2214" i="7950"/>
  <c r="B2322" i="7950"/>
  <c r="B2700" i="7950"/>
  <c r="B2376" i="7950"/>
  <c r="B2430" i="7950"/>
  <c r="B2538" i="7950"/>
  <c r="B2568" i="7950"/>
  <c r="L1067" i="18"/>
  <c r="J29" i="7941"/>
  <c r="L234" i="7942"/>
  <c r="L235" i="7942" s="1"/>
  <c r="B2682" i="7949"/>
  <c r="B2598" i="7949"/>
  <c r="B2520" i="7949"/>
  <c r="B2490" i="7949"/>
  <c r="B2436" i="7949"/>
  <c r="B2412" i="7949"/>
  <c r="B2358" i="7949"/>
  <c r="B2328" i="7949"/>
  <c r="B2304" i="7949"/>
  <c r="B2274" i="7949"/>
  <c r="B2220" i="7949"/>
  <c r="B2142" i="7949"/>
  <c r="B2112" i="7949"/>
  <c r="B2088" i="7949"/>
  <c r="B2706" i="7949"/>
  <c r="B2652" i="7949"/>
  <c r="B2628" i="7949"/>
  <c r="B2574" i="7949"/>
  <c r="B2544" i="7949"/>
  <c r="B2466" i="7949"/>
  <c r="B2382" i="7949"/>
  <c r="B2250" i="7949"/>
  <c r="B2196" i="7949"/>
  <c r="B2166" i="7949"/>
  <c r="B2058" i="7949"/>
  <c r="B1980" i="7949"/>
  <c r="B1950" i="7949"/>
  <c r="B1896" i="7949"/>
  <c r="B1872" i="7949"/>
  <c r="B1818" i="7949"/>
  <c r="B1764" i="7949"/>
  <c r="B1734" i="7949"/>
  <c r="B1680" i="7949"/>
  <c r="B1626" i="7949"/>
  <c r="B1548" i="7949"/>
  <c r="B1494" i="7949"/>
  <c r="B1440" i="7949"/>
  <c r="B2034" i="7949"/>
  <c r="B2004" i="7949"/>
  <c r="B1926" i="7949"/>
  <c r="B1842" i="7949"/>
  <c r="B1788" i="7949"/>
  <c r="B1710" i="7949"/>
  <c r="B1656" i="7949"/>
  <c r="B1602" i="7949"/>
  <c r="B1572" i="7949"/>
  <c r="B1518" i="7949"/>
  <c r="B1464" i="7949"/>
  <c r="B1410" i="7949"/>
  <c r="B1332" i="7949"/>
  <c r="B1278" i="7949"/>
  <c r="B1224" i="7949"/>
  <c r="B1170" i="7949"/>
  <c r="B1140" i="7949"/>
  <c r="B1116" i="7949"/>
  <c r="B1086" i="7949"/>
  <c r="B1062" i="7949"/>
  <c r="B1032" i="7949"/>
  <c r="B1008" i="7949"/>
  <c r="B978" i="7949"/>
  <c r="B954" i="7949"/>
  <c r="B924" i="7949"/>
  <c r="B870" i="7949"/>
  <c r="B816" i="7949"/>
  <c r="B762" i="7949"/>
  <c r="B708" i="7949"/>
  <c r="B630" i="7949"/>
  <c r="B522" i="7949"/>
  <c r="B468" i="7949"/>
  <c r="B414" i="7949"/>
  <c r="B360" i="7949"/>
  <c r="B330" i="7949"/>
  <c r="B252" i="7949"/>
  <c r="B222" i="7949"/>
  <c r="B1386" i="7949"/>
  <c r="B1356" i="7949"/>
  <c r="B1302" i="7949"/>
  <c r="B1248" i="7949"/>
  <c r="B1194" i="7949"/>
  <c r="B900" i="7949"/>
  <c r="B846" i="7949"/>
  <c r="B792" i="7949"/>
  <c r="B738" i="7949"/>
  <c r="B684" i="7949"/>
  <c r="B654" i="7949"/>
  <c r="B600" i="7949"/>
  <c r="B576" i="7949"/>
  <c r="B546" i="7949"/>
  <c r="B492" i="7949"/>
  <c r="B438" i="7949"/>
  <c r="B384" i="7949"/>
  <c r="B276" i="7949"/>
  <c r="B306" i="7949"/>
  <c r="B198" i="7949"/>
  <c r="B168" i="7949"/>
  <c r="B144" i="7949"/>
  <c r="T6" i="7950"/>
  <c r="B90" i="7949"/>
  <c r="B114" i="7949"/>
  <c r="L1077" i="18"/>
  <c r="L198" i="7942"/>
  <c r="L199" i="7942" s="1"/>
  <c r="L230" i="7942"/>
  <c r="L231" i="7942" s="1"/>
  <c r="L212" i="7942"/>
  <c r="L213" i="7942" s="1"/>
  <c r="L242" i="7942"/>
  <c r="L243" i="7942" s="1"/>
  <c r="N289" i="1"/>
  <c r="M8" i="7942"/>
  <c r="L194" i="7942"/>
  <c r="L195" i="7942" s="1"/>
  <c r="L224" i="7942"/>
  <c r="L225" i="7942" s="1"/>
  <c r="L1075" i="18"/>
  <c r="L260" i="7942"/>
  <c r="L264" i="7942"/>
  <c r="L206" i="7942"/>
  <c r="L207" i="7942" s="1"/>
  <c r="L210" i="7942"/>
  <c r="L211" i="7942" s="1"/>
  <c r="L262" i="7942"/>
  <c r="L263" i="7942" s="1"/>
  <c r="L216" i="7942"/>
  <c r="L204" i="7942"/>
  <c r="L205" i="7942" s="1"/>
  <c r="L240" i="7942"/>
  <c r="L258" i="7942"/>
  <c r="L259" i="7942" s="1"/>
  <c r="L190" i="7942"/>
  <c r="L186" i="7942"/>
  <c r="L187" i="7942" s="1"/>
  <c r="L226" i="7942"/>
  <c r="L227" i="7942" s="1"/>
  <c r="K217" i="7942"/>
  <c r="L232" i="7942"/>
  <c r="L233" i="7942" s="1"/>
  <c r="K229" i="7942"/>
  <c r="L200" i="7942"/>
  <c r="L220" i="7942"/>
  <c r="L221" i="7942" s="1"/>
  <c r="K193" i="7942"/>
  <c r="K223" i="7942"/>
  <c r="K259" i="7942"/>
  <c r="L256" i="7942"/>
  <c r="L257" i="7942" s="1"/>
  <c r="L244" i="7942"/>
  <c r="L245" i="7942" s="1"/>
  <c r="K267" i="7942"/>
  <c r="K251" i="7942"/>
  <c r="K263" i="7942"/>
  <c r="L208" i="7942"/>
  <c r="L209" i="7942" s="1"/>
  <c r="L184" i="7942"/>
  <c r="L196" i="7942"/>
  <c r="L197" i="7942" s="1"/>
  <c r="U6" i="7949"/>
  <c r="B36" i="7949"/>
  <c r="B60" i="7949"/>
  <c r="L236" i="7942"/>
  <c r="L218" i="7942"/>
  <c r="L219" i="7942" s="1"/>
  <c r="L254" i="7942"/>
  <c r="L202" i="7942"/>
  <c r="L203" i="7942" s="1"/>
  <c r="L246" i="7942"/>
  <c r="L188" i="7942"/>
  <c r="L238" i="7942"/>
  <c r="M238" i="7942" s="1"/>
  <c r="M239" i="7942" s="1"/>
  <c r="L214" i="7942"/>
  <c r="L215" i="7942" s="1"/>
  <c r="L1040" i="18"/>
  <c r="L268" i="7942"/>
  <c r="L269" i="7942" s="1"/>
  <c r="L248" i="7942"/>
  <c r="L252" i="7942"/>
  <c r="L1076" i="18"/>
  <c r="O3" i="7944"/>
  <c r="I340" i="7941"/>
  <c r="L1045" i="18"/>
  <c r="L1064" i="18"/>
  <c r="L1051" i="18"/>
  <c r="L1071" i="18"/>
  <c r="O3" i="18"/>
  <c r="O281" i="1"/>
  <c r="N7" i="7942"/>
  <c r="N7" i="18"/>
  <c r="O4" i="7944"/>
  <c r="O4" i="7941"/>
  <c r="O4" i="7942"/>
  <c r="O4" i="18"/>
  <c r="O298" i="1"/>
  <c r="P60" i="1"/>
  <c r="M5" i="7959" s="1"/>
  <c r="O288" i="1"/>
  <c r="J121" i="7941"/>
  <c r="J125" i="7941"/>
  <c r="J133" i="7941"/>
  <c r="J130" i="7941"/>
  <c r="J138" i="7941"/>
  <c r="J135" i="7941"/>
  <c r="J139" i="7941"/>
  <c r="J148" i="7941"/>
  <c r="J160" i="7941"/>
  <c r="J852" i="18"/>
  <c r="K748" i="18" s="1"/>
  <c r="K1114" i="18" s="1"/>
  <c r="J147" i="7941"/>
  <c r="N167" i="18" l="1"/>
  <c r="O167" i="18" s="1"/>
  <c r="P167" i="18" s="1"/>
  <c r="Q167" i="18" s="1"/>
  <c r="M216" i="7942"/>
  <c r="N388" i="18"/>
  <c r="O388" i="18" s="1"/>
  <c r="N505" i="18"/>
  <c r="N622" i="18"/>
  <c r="N544" i="18"/>
  <c r="O544" i="18" s="1"/>
  <c r="N674" i="18"/>
  <c r="N661" i="18"/>
  <c r="O661" i="18" s="1"/>
  <c r="P661" i="18" s="1"/>
  <c r="N531" i="18"/>
  <c r="O531" i="18" s="1"/>
  <c r="N232" i="18"/>
  <c r="O232" i="18" s="1"/>
  <c r="N570" i="18"/>
  <c r="O570" i="18" s="1"/>
  <c r="N609" i="18"/>
  <c r="N401" i="18"/>
  <c r="N557" i="18"/>
  <c r="N258" i="18"/>
  <c r="O258" i="18" s="1"/>
  <c r="N219" i="18"/>
  <c r="N1043" i="18" s="1"/>
  <c r="N635" i="18"/>
  <c r="O635" i="18" s="1"/>
  <c r="P635" i="18" s="1"/>
  <c r="Q635" i="18" s="1"/>
  <c r="N479" i="18"/>
  <c r="O479" i="18" s="1"/>
  <c r="P479" i="18" s="1"/>
  <c r="Q479" i="18" s="1"/>
  <c r="N492" i="18"/>
  <c r="O492" i="18" s="1"/>
  <c r="P492" i="18" s="1"/>
  <c r="Q492" i="18" s="1"/>
  <c r="N440" i="18"/>
  <c r="O440" i="18" s="1"/>
  <c r="N583" i="18"/>
  <c r="O583" i="18" s="1"/>
  <c r="N648" i="18"/>
  <c r="O648" i="18" s="1"/>
  <c r="P648" i="18" s="1"/>
  <c r="Q648" i="18" s="1"/>
  <c r="N323" i="18"/>
  <c r="O323" i="18" s="1"/>
  <c r="P323" i="18" s="1"/>
  <c r="Q323" i="18" s="1"/>
  <c r="N310" i="18"/>
  <c r="O310" i="18" s="1"/>
  <c r="P310" i="18" s="1"/>
  <c r="Q310" i="18" s="1"/>
  <c r="N518" i="18"/>
  <c r="O518" i="18" s="1"/>
  <c r="P518" i="18" s="1"/>
  <c r="N297" i="18"/>
  <c r="O297" i="18" s="1"/>
  <c r="N245" i="18"/>
  <c r="O245" i="18" s="1"/>
  <c r="P245" i="18" s="1"/>
  <c r="Q245" i="18" s="1"/>
  <c r="N336" i="18"/>
  <c r="O336" i="18" s="1"/>
  <c r="N349" i="18"/>
  <c r="O349" i="18" s="1"/>
  <c r="N180" i="18"/>
  <c r="O180" i="18" s="1"/>
  <c r="M246" i="7942"/>
  <c r="M247" i="7942" s="1"/>
  <c r="M254" i="7942"/>
  <c r="M255" i="7942" s="1"/>
  <c r="M190" i="7942"/>
  <c r="M191" i="7942" s="1"/>
  <c r="M475" i="7942"/>
  <c r="M485" i="7942"/>
  <c r="M469" i="7942"/>
  <c r="M493" i="7942"/>
  <c r="M465" i="7942"/>
  <c r="M447" i="7942"/>
  <c r="M293" i="7944"/>
  <c r="M228" i="7944"/>
  <c r="M505" i="7942"/>
  <c r="M483" i="7942"/>
  <c r="M484" i="7942" s="1"/>
  <c r="M437" i="7942"/>
  <c r="M439" i="7942"/>
  <c r="M477" i="7942"/>
  <c r="M481" i="7942"/>
  <c r="M467" i="7942"/>
  <c r="M236" i="7942"/>
  <c r="M237" i="7942" s="1"/>
  <c r="M200" i="7942"/>
  <c r="M201" i="7942" s="1"/>
  <c r="M453" i="7942"/>
  <c r="M454" i="7942" s="1"/>
  <c r="M441" i="7942"/>
  <c r="M471" i="7942"/>
  <c r="M495" i="7942"/>
  <c r="M499" i="7942"/>
  <c r="M479" i="7942"/>
  <c r="P336" i="18"/>
  <c r="Q336" i="18" s="1"/>
  <c r="M503" i="7942"/>
  <c r="M455" i="7942"/>
  <c r="M451" i="7942"/>
  <c r="M491" i="7942"/>
  <c r="M459" i="7942"/>
  <c r="M501" i="7942"/>
  <c r="M457" i="7942"/>
  <c r="M1071" i="18"/>
  <c r="O162" i="18"/>
  <c r="O163" i="18"/>
  <c r="O157" i="18"/>
  <c r="O160" i="18"/>
  <c r="O158" i="18"/>
  <c r="O161" i="18"/>
  <c r="O159" i="18"/>
  <c r="L371" i="7944"/>
  <c r="M371" i="7944" s="1"/>
  <c r="N371" i="7944" s="1"/>
  <c r="O371" i="7944" s="1"/>
  <c r="L306" i="7944"/>
  <c r="M306" i="7944" s="1"/>
  <c r="N306" i="7944" s="1"/>
  <c r="O306" i="7944" s="1"/>
  <c r="P306" i="7944" s="1"/>
  <c r="O316" i="18"/>
  <c r="O201" i="18"/>
  <c r="O214" i="18"/>
  <c r="O383" i="18"/>
  <c r="O565" i="18"/>
  <c r="O526" i="18"/>
  <c r="O677" i="18"/>
  <c r="O703" i="18"/>
  <c r="O704" i="18"/>
  <c r="O521" i="18"/>
  <c r="O678" i="18"/>
  <c r="O692" i="18"/>
  <c r="O691" i="18"/>
  <c r="O495" i="18"/>
  <c r="O705" i="18"/>
  <c r="O508" i="18"/>
  <c r="O313" i="18"/>
  <c r="O365" i="18"/>
  <c r="O679" i="18"/>
  <c r="O470" i="18"/>
  <c r="O547" i="18"/>
  <c r="O352" i="18"/>
  <c r="O706" i="18"/>
  <c r="O536" i="18"/>
  <c r="O639" i="18"/>
  <c r="O353" i="18"/>
  <c r="O236" i="18"/>
  <c r="O302" i="18"/>
  <c r="O170" i="18"/>
  <c r="O600" i="18"/>
  <c r="O509" i="18"/>
  <c r="O405" i="18"/>
  <c r="O664" i="18"/>
  <c r="O640" i="18"/>
  <c r="O326" i="18"/>
  <c r="O288" i="18"/>
  <c r="O680" i="18"/>
  <c r="O588" i="18"/>
  <c r="O417" i="18"/>
  <c r="O626" i="18"/>
  <c r="O457" i="18"/>
  <c r="O693" i="18"/>
  <c r="O184" i="18"/>
  <c r="O511" i="18"/>
  <c r="O366" i="18"/>
  <c r="O587" i="18"/>
  <c r="O380" i="18"/>
  <c r="O681" i="18"/>
  <c r="O225" i="18"/>
  <c r="O277" i="18"/>
  <c r="O471" i="18"/>
  <c r="O575" i="18"/>
  <c r="O198" i="18"/>
  <c r="O560" i="18"/>
  <c r="O186" i="18"/>
  <c r="O523" i="18"/>
  <c r="O694" i="18"/>
  <c r="O485" i="18"/>
  <c r="O432" i="18"/>
  <c r="O290" i="18"/>
  <c r="O251" i="18"/>
  <c r="O276" i="18"/>
  <c r="O212" i="18"/>
  <c r="O263" i="18"/>
  <c r="O431" i="18"/>
  <c r="O368" i="18"/>
  <c r="O707" i="18"/>
  <c r="O303" i="18"/>
  <c r="O459" i="18"/>
  <c r="O589" i="18"/>
  <c r="O522" i="18"/>
  <c r="O342" i="18"/>
  <c r="O264" i="18"/>
  <c r="O287" i="18"/>
  <c r="O446" i="18"/>
  <c r="O406" i="18"/>
  <c r="O562" i="18"/>
  <c r="O328" i="18"/>
  <c r="O628" i="18"/>
  <c r="O667" i="18"/>
  <c r="O317" i="18"/>
  <c r="O616" i="18"/>
  <c r="O420" i="18"/>
  <c r="O695" i="18"/>
  <c r="O382" i="18"/>
  <c r="O614" i="18"/>
  <c r="O355" i="18"/>
  <c r="O278" i="18"/>
  <c r="O434" i="18"/>
  <c r="O381" i="18"/>
  <c r="O590" i="18"/>
  <c r="O512" i="18"/>
  <c r="O213" i="18"/>
  <c r="O407" i="18"/>
  <c r="O486" i="18"/>
  <c r="O591" i="18"/>
  <c r="O409" i="18"/>
  <c r="O174" i="18"/>
  <c r="O642" i="18"/>
  <c r="O226" i="18"/>
  <c r="O525" i="18"/>
  <c r="O330" i="18"/>
  <c r="O250" i="18"/>
  <c r="O708" i="18"/>
  <c r="O538" i="18"/>
  <c r="O173" i="18"/>
  <c r="O238" i="18"/>
  <c r="O200" i="18"/>
  <c r="O615" i="18"/>
  <c r="O461" i="18"/>
  <c r="O682" i="18"/>
  <c r="O638" i="18"/>
  <c r="O356" i="18"/>
  <c r="O535" i="18"/>
  <c r="O652" i="18"/>
  <c r="O239" i="18"/>
  <c r="O651" i="18"/>
  <c r="O197" i="18"/>
  <c r="O404" i="18"/>
  <c r="O261" i="18"/>
  <c r="O599" i="18"/>
  <c r="O625" i="18"/>
  <c r="O510" i="18"/>
  <c r="O421" i="18"/>
  <c r="O396" i="18"/>
  <c r="O370" i="18"/>
  <c r="O578" i="18"/>
  <c r="O643" i="18"/>
  <c r="O240" i="18"/>
  <c r="O539" i="18"/>
  <c r="O344" i="18"/>
  <c r="O433" i="18"/>
  <c r="O252" i="18"/>
  <c r="O484" i="18"/>
  <c r="O249" i="18"/>
  <c r="O666" i="18"/>
  <c r="O458" i="18"/>
  <c r="O499" i="18"/>
  <c r="O548" i="18"/>
  <c r="O340" i="18"/>
  <c r="O498" i="18"/>
  <c r="O392" i="18"/>
  <c r="O199" i="18"/>
  <c r="O534" i="18"/>
  <c r="O419" i="18"/>
  <c r="O654" i="18"/>
  <c r="O408" i="18"/>
  <c r="O395" i="18"/>
  <c r="O172" i="18"/>
  <c r="O665" i="18"/>
  <c r="O237" i="18"/>
  <c r="O275" i="18"/>
  <c r="O561" i="18"/>
  <c r="O171" i="18"/>
  <c r="O613" i="18"/>
  <c r="O456" i="18"/>
  <c r="O690" i="18"/>
  <c r="O483" i="18"/>
  <c r="O315" i="18"/>
  <c r="O496" i="18"/>
  <c r="O291" i="18"/>
  <c r="O187" i="18"/>
  <c r="O576" i="18"/>
  <c r="O343" i="18"/>
  <c r="O445" i="18"/>
  <c r="O574" i="18"/>
  <c r="O329" i="18"/>
  <c r="O612" i="18"/>
  <c r="O551" i="18"/>
  <c r="O314" i="18"/>
  <c r="O601" i="18"/>
  <c r="O327" i="18"/>
  <c r="O444" i="18"/>
  <c r="O183" i="18"/>
  <c r="O586" i="18"/>
  <c r="O473" i="18"/>
  <c r="O524" i="18"/>
  <c r="O630" i="18"/>
  <c r="O669" i="18"/>
  <c r="O617" i="18"/>
  <c r="O448" i="18"/>
  <c r="O253" i="18"/>
  <c r="O331" i="18"/>
  <c r="O394" i="18"/>
  <c r="O564" i="18"/>
  <c r="O379" i="18"/>
  <c r="O196" i="18"/>
  <c r="O603" i="18"/>
  <c r="O577" i="18"/>
  <c r="O563" i="18"/>
  <c r="O354" i="18"/>
  <c r="O602" i="18"/>
  <c r="O185" i="18"/>
  <c r="O367" i="18"/>
  <c r="O339" i="18"/>
  <c r="O235" i="18"/>
  <c r="O301" i="18"/>
  <c r="O549" i="18"/>
  <c r="O627" i="18"/>
  <c r="O443" i="18"/>
  <c r="O573" i="18"/>
  <c r="O482" i="18"/>
  <c r="O224" i="18"/>
  <c r="O369" i="18"/>
  <c r="O460" i="18"/>
  <c r="O274" i="18"/>
  <c r="O474" i="18"/>
  <c r="O357" i="18"/>
  <c r="O552" i="18"/>
  <c r="O487" i="18"/>
  <c r="O305" i="18"/>
  <c r="O435" i="18"/>
  <c r="O318" i="18"/>
  <c r="O656" i="18"/>
  <c r="O188" i="18"/>
  <c r="O378" i="18"/>
  <c r="O472" i="18"/>
  <c r="O668" i="18"/>
  <c r="O304" i="18"/>
  <c r="O418" i="18"/>
  <c r="O211" i="18"/>
  <c r="O550" i="18"/>
  <c r="O655" i="18"/>
  <c r="O447" i="18"/>
  <c r="O262" i="18"/>
  <c r="O222" i="18"/>
  <c r="O210" i="18"/>
  <c r="O653" i="18"/>
  <c r="O629" i="18"/>
  <c r="O497" i="18"/>
  <c r="O537" i="18"/>
  <c r="O209" i="18"/>
  <c r="O341" i="18"/>
  <c r="O289" i="18"/>
  <c r="O265" i="18"/>
  <c r="O641" i="18"/>
  <c r="O469" i="18"/>
  <c r="O223" i="18"/>
  <c r="O248" i="18"/>
  <c r="O393" i="18"/>
  <c r="O391" i="18"/>
  <c r="O430" i="18"/>
  <c r="O300" i="18"/>
  <c r="L1050" i="18"/>
  <c r="L358" i="7944"/>
  <c r="M358" i="7944" s="1"/>
  <c r="L5" i="7959"/>
  <c r="M645" i="7944"/>
  <c r="N645" i="7944" s="1"/>
  <c r="O645" i="7944" s="1"/>
  <c r="O604" i="18"/>
  <c r="O266" i="18"/>
  <c r="O227" i="18"/>
  <c r="O292" i="18"/>
  <c r="O553" i="18"/>
  <c r="O540" i="18"/>
  <c r="O605" i="18"/>
  <c r="O657" i="18"/>
  <c r="O371" i="18"/>
  <c r="O566" i="18"/>
  <c r="O358" i="18"/>
  <c r="O631" i="18"/>
  <c r="O345" i="18"/>
  <c r="O423" i="18"/>
  <c r="O410" i="18"/>
  <c r="O332" i="18"/>
  <c r="O397" i="18"/>
  <c r="O527" i="18"/>
  <c r="O449" i="18"/>
  <c r="O436" i="18"/>
  <c r="O592" i="18"/>
  <c r="O384" i="18"/>
  <c r="O488" i="18"/>
  <c r="O618" i="18"/>
  <c r="O644" i="18"/>
  <c r="O501" i="18"/>
  <c r="O319" i="18"/>
  <c r="O670" i="18"/>
  <c r="O462" i="18"/>
  <c r="O579" i="18"/>
  <c r="O514" i="18"/>
  <c r="O475" i="18"/>
  <c r="O176" i="18"/>
  <c r="O124" i="18"/>
  <c r="O202" i="18"/>
  <c r="O241" i="18"/>
  <c r="O306" i="18"/>
  <c r="O137" i="18"/>
  <c r="O267" i="18"/>
  <c r="O683" i="18"/>
  <c r="O85" i="18"/>
  <c r="O111" i="18"/>
  <c r="O150" i="18"/>
  <c r="O228" i="18"/>
  <c r="O293" i="18"/>
  <c r="O254" i="18"/>
  <c r="O189" i="18"/>
  <c r="O696" i="18"/>
  <c r="O709" i="18"/>
  <c r="O215" i="18"/>
  <c r="O98" i="18"/>
  <c r="O280" i="18"/>
  <c r="O72" i="18"/>
  <c r="O175" i="18"/>
  <c r="O422" i="18"/>
  <c r="O513" i="18"/>
  <c r="O500" i="18"/>
  <c r="O279" i="18"/>
  <c r="M307" i="7944"/>
  <c r="N307" i="7944" s="1"/>
  <c r="L540" i="7944"/>
  <c r="M540" i="7944" s="1"/>
  <c r="M476" i="7944"/>
  <c r="N476" i="7944" s="1"/>
  <c r="M554" i="7944"/>
  <c r="N554" i="7944" s="1"/>
  <c r="M736" i="7944"/>
  <c r="N736" i="7944" s="1"/>
  <c r="O736" i="7944" s="1"/>
  <c r="O146" i="7944"/>
  <c r="L1063" i="18"/>
  <c r="M437" i="7944"/>
  <c r="N437" i="7944" s="1"/>
  <c r="M320" i="7944"/>
  <c r="N320" i="7944" s="1"/>
  <c r="O320" i="7944" s="1"/>
  <c r="L241" i="7944"/>
  <c r="M502" i="7944"/>
  <c r="M514" i="7944" s="1"/>
  <c r="I371" i="7941"/>
  <c r="M580" i="7944"/>
  <c r="N580" i="7944" s="1"/>
  <c r="O580" i="7944" s="1"/>
  <c r="J119" i="7941"/>
  <c r="M398" i="7944"/>
  <c r="N398" i="7944" s="1"/>
  <c r="M333" i="7944"/>
  <c r="N333" i="7944" s="1"/>
  <c r="J124" i="7941"/>
  <c r="J334" i="7941" s="1"/>
  <c r="J15" i="7941"/>
  <c r="L1047" i="18"/>
  <c r="M411" i="7944"/>
  <c r="N411" i="7944" s="1"/>
  <c r="M567" i="7944"/>
  <c r="M579" i="7944" s="1"/>
  <c r="M203" i="7944"/>
  <c r="N203" i="7944" s="1"/>
  <c r="O203" i="7944" s="1"/>
  <c r="M697" i="7944"/>
  <c r="M709" i="7944" s="1"/>
  <c r="N281" i="7944"/>
  <c r="O281" i="7944" s="1"/>
  <c r="N229" i="7944"/>
  <c r="M463" i="7944"/>
  <c r="N463" i="7944" s="1"/>
  <c r="N528" i="7944"/>
  <c r="M619" i="7944"/>
  <c r="M631" i="7944" s="1"/>
  <c r="M515" i="7944"/>
  <c r="M527" i="7944" s="1"/>
  <c r="N216" i="7944"/>
  <c r="M593" i="7944"/>
  <c r="M605" i="7944" s="1"/>
  <c r="M632" i="7944"/>
  <c r="M644" i="7944" s="1"/>
  <c r="M450" i="7944"/>
  <c r="M462" i="7944" s="1"/>
  <c r="M541" i="7944"/>
  <c r="M553" i="7944" s="1"/>
  <c r="M710" i="7944"/>
  <c r="M722" i="7944" s="1"/>
  <c r="M242" i="7944"/>
  <c r="M254" i="7944" s="1"/>
  <c r="M684" i="7944"/>
  <c r="M696" i="7944" s="1"/>
  <c r="N346" i="7944"/>
  <c r="O346" i="7944" s="1"/>
  <c r="M606" i="7944"/>
  <c r="M618" i="7944" s="1"/>
  <c r="M749" i="7944"/>
  <c r="M761" i="7944" s="1"/>
  <c r="M372" i="7944"/>
  <c r="M384" i="7944" s="1"/>
  <c r="M255" i="7944"/>
  <c r="N255" i="7944" s="1"/>
  <c r="M385" i="7944"/>
  <c r="M397" i="7944" s="1"/>
  <c r="M489" i="7944"/>
  <c r="M501" i="7944" s="1"/>
  <c r="M424" i="7944"/>
  <c r="M436" i="7944" s="1"/>
  <c r="M723" i="7944"/>
  <c r="M735" i="7944" s="1"/>
  <c r="M658" i="7944"/>
  <c r="M670" i="7944" s="1"/>
  <c r="M671" i="7944"/>
  <c r="M683" i="7944" s="1"/>
  <c r="M268" i="7944"/>
  <c r="M280" i="7944" s="1"/>
  <c r="N375" i="18"/>
  <c r="O375" i="18" s="1"/>
  <c r="M1055" i="18"/>
  <c r="L1046" i="18"/>
  <c r="M1077" i="18"/>
  <c r="B2647" i="7950"/>
  <c r="O718" i="7944"/>
  <c r="O666" i="7944"/>
  <c r="O614" i="7944"/>
  <c r="O562" i="7944"/>
  <c r="O510" i="7944"/>
  <c r="O458" i="7944"/>
  <c r="O406" i="7944"/>
  <c r="O354" i="7944"/>
  <c r="O302" i="7944"/>
  <c r="O757" i="7944"/>
  <c r="O705" i="7944"/>
  <c r="O653" i="7944"/>
  <c r="O601" i="7944"/>
  <c r="O549" i="7944"/>
  <c r="O497" i="7944"/>
  <c r="O445" i="7944"/>
  <c r="O393" i="7944"/>
  <c r="O341" i="7944"/>
  <c r="O289" i="7944"/>
  <c r="O744" i="7944"/>
  <c r="O692" i="7944"/>
  <c r="O640" i="7944"/>
  <c r="O588" i="7944"/>
  <c r="O536" i="7944"/>
  <c r="O484" i="7944"/>
  <c r="O432" i="7944"/>
  <c r="O380" i="7944"/>
  <c r="O328" i="7944"/>
  <c r="O276" i="7944"/>
  <c r="O731" i="7944"/>
  <c r="O679" i="7944"/>
  <c r="O627" i="7944"/>
  <c r="O575" i="7944"/>
  <c r="O523" i="7944"/>
  <c r="O471" i="7944"/>
  <c r="O419" i="7944"/>
  <c r="O367" i="7944"/>
  <c r="O315" i="7944"/>
  <c r="O237" i="7944"/>
  <c r="O185" i="7944"/>
  <c r="O120" i="7944"/>
  <c r="O224" i="7944"/>
  <c r="O172" i="7944"/>
  <c r="O263" i="7944"/>
  <c r="O211" i="7944"/>
  <c r="O159" i="7944"/>
  <c r="O250" i="7944"/>
  <c r="O198" i="7944"/>
  <c r="O133" i="7944"/>
  <c r="O716" i="7944"/>
  <c r="O600" i="7944"/>
  <c r="O508" i="7944"/>
  <c r="O665" i="7944"/>
  <c r="O353" i="7944"/>
  <c r="O444" i="7944"/>
  <c r="O273" i="7944"/>
  <c r="O495" i="7944"/>
  <c r="O496" i="7944"/>
  <c r="O391" i="7944"/>
  <c r="O431" i="7944"/>
  <c r="O612" i="7944"/>
  <c r="O755" i="7944"/>
  <c r="O626" i="7944"/>
  <c r="O677" i="7944"/>
  <c r="O301" i="7944"/>
  <c r="O221" i="7944"/>
  <c r="O313" i="7944"/>
  <c r="O325" i="7944"/>
  <c r="O392" i="7944"/>
  <c r="O443" i="7944"/>
  <c r="O573" i="7944"/>
  <c r="O561" i="7944"/>
  <c r="O209" i="7944"/>
  <c r="O638" i="7944"/>
  <c r="O691" i="7944"/>
  <c r="O236" i="7944"/>
  <c r="O288" i="7944"/>
  <c r="O483" i="7944"/>
  <c r="O586" i="7944"/>
  <c r="O704" i="7944"/>
  <c r="O249" i="7944"/>
  <c r="O340" i="7944"/>
  <c r="O574" i="7944"/>
  <c r="O379" i="7944"/>
  <c r="O613" i="7944"/>
  <c r="O756" i="7944"/>
  <c r="O703" i="7944"/>
  <c r="O430" i="7944"/>
  <c r="O599" i="7944"/>
  <c r="O417" i="7944"/>
  <c r="O274" i="7944"/>
  <c r="O506" i="7944"/>
  <c r="O547" i="7944"/>
  <c r="O651" i="7944"/>
  <c r="O260" i="7944"/>
  <c r="O208" i="7944"/>
  <c r="O233" i="7944"/>
  <c r="O287" i="7944"/>
  <c r="O754" i="7944"/>
  <c r="O312" i="7944"/>
  <c r="O585" i="7944"/>
  <c r="O702" i="7944"/>
  <c r="O663" i="7944"/>
  <c r="O376" i="7944"/>
  <c r="O560" i="7944"/>
  <c r="O337" i="7944"/>
  <c r="O455" i="7944"/>
  <c r="O222" i="7944"/>
  <c r="O611" i="7944"/>
  <c r="O714" i="7944"/>
  <c r="O676" i="7944"/>
  <c r="O650" i="7944"/>
  <c r="O429" i="7944"/>
  <c r="O326" i="7944"/>
  <c r="O247" i="7944"/>
  <c r="O482" i="7944"/>
  <c r="O378" i="7944"/>
  <c r="O740" i="7944"/>
  <c r="O428" i="7944"/>
  <c r="O673" i="7944"/>
  <c r="O623" i="7944"/>
  <c r="O479" i="7944"/>
  <c r="O390" i="7944"/>
  <c r="O377" i="7944"/>
  <c r="O481" i="7944"/>
  <c r="O365" i="7944"/>
  <c r="O465" i="7944"/>
  <c r="O286" i="7944"/>
  <c r="O610" i="7944"/>
  <c r="O297" i="7944"/>
  <c r="O259" i="7944"/>
  <c r="O636" i="7944"/>
  <c r="O466" i="7944"/>
  <c r="O727" i="7944"/>
  <c r="O234" i="7944"/>
  <c r="O505" i="7944"/>
  <c r="O454" i="7944"/>
  <c r="O205" i="7944"/>
  <c r="O622" i="7944"/>
  <c r="O310" i="7944"/>
  <c r="O533" i="7944"/>
  <c r="O453" i="7944"/>
  <c r="O322" i="7944"/>
  <c r="O660" i="7944"/>
  <c r="O713" i="7944"/>
  <c r="O349" i="7944"/>
  <c r="O701" i="7944"/>
  <c r="O218" i="7944"/>
  <c r="O531" i="7944"/>
  <c r="O414" i="7944"/>
  <c r="O572" i="7944"/>
  <c r="O543" i="7944"/>
  <c r="O648" i="7944"/>
  <c r="O558" i="7944"/>
  <c r="O246" i="7944"/>
  <c r="O662" i="7944"/>
  <c r="O375" i="7944"/>
  <c r="O415" i="7944"/>
  <c r="O258" i="7944"/>
  <c r="O480" i="7944"/>
  <c r="O336" i="7944"/>
  <c r="O362" i="7944"/>
  <c r="O649" i="7944"/>
  <c r="O741" i="7944"/>
  <c r="O712" i="7944"/>
  <c r="O532" i="7944"/>
  <c r="O271" i="7944"/>
  <c r="O584" i="7944"/>
  <c r="O350" i="7944"/>
  <c r="O491" i="7944"/>
  <c r="O493" i="7944"/>
  <c r="O284" i="7944"/>
  <c r="O401" i="7944"/>
  <c r="O753" i="7944"/>
  <c r="O427" i="7944"/>
  <c r="O569" i="7944"/>
  <c r="O517" i="7944"/>
  <c r="O739" i="7944"/>
  <c r="O296" i="7944"/>
  <c r="O687" i="7944"/>
  <c r="O530" i="7944"/>
  <c r="O518" i="7944"/>
  <c r="O519" i="7944"/>
  <c r="O348" i="7944"/>
  <c r="O323" i="7944"/>
  <c r="O583" i="7944"/>
  <c r="O387" i="7944"/>
  <c r="O478" i="7944"/>
  <c r="O751" i="7944"/>
  <c r="O675" i="7944"/>
  <c r="O426" i="7944"/>
  <c r="O400" i="7944"/>
  <c r="O570" i="7944"/>
  <c r="O608" i="7944"/>
  <c r="O661" i="7944"/>
  <c r="O725" i="7944"/>
  <c r="O257" i="7944"/>
  <c r="O361" i="7944"/>
  <c r="O388" i="7944"/>
  <c r="O544" i="7944"/>
  <c r="O440" i="7944"/>
  <c r="O283" i="7944"/>
  <c r="O352" i="7944"/>
  <c r="O285" i="7944"/>
  <c r="O595" i="7944"/>
  <c r="O625" i="7944"/>
  <c r="O294" i="7944"/>
  <c r="O309" i="7944"/>
  <c r="O245" i="7944"/>
  <c r="O374" i="7944"/>
  <c r="O298" i="7944"/>
  <c r="O634" i="7944"/>
  <c r="O596" i="7944"/>
  <c r="O545" i="7944"/>
  <c r="O403" i="7944"/>
  <c r="O557" i="7944"/>
  <c r="O494" i="7944"/>
  <c r="O467" i="7944"/>
  <c r="O364" i="7944"/>
  <c r="O688" i="7944"/>
  <c r="O637" i="7944"/>
  <c r="O521" i="7944"/>
  <c r="O728" i="7944"/>
  <c r="O210" i="7944"/>
  <c r="O639" i="7944"/>
  <c r="O548" i="7944"/>
  <c r="O457" i="7944"/>
  <c r="O418" i="7944"/>
  <c r="O624" i="7944"/>
  <c r="O726" i="7944"/>
  <c r="O504" i="7944"/>
  <c r="O248" i="7944"/>
  <c r="O674" i="7944"/>
  <c r="O270" i="7944"/>
  <c r="O335" i="7944"/>
  <c r="O456" i="7944"/>
  <c r="O359" i="7944"/>
  <c r="O556" i="7944"/>
  <c r="O738" i="7944"/>
  <c r="O609" i="7944"/>
  <c r="O571" i="7944"/>
  <c r="O452" i="7944"/>
  <c r="O700" i="7944"/>
  <c r="O689" i="7944"/>
  <c r="O272" i="7944"/>
  <c r="O351" i="7944"/>
  <c r="O413" i="7944"/>
  <c r="O311" i="7944"/>
  <c r="O232" i="7944"/>
  <c r="O597" i="7944"/>
  <c r="O339" i="7944"/>
  <c r="O742" i="7944"/>
  <c r="O546" i="7944"/>
  <c r="O690" i="7944"/>
  <c r="O262" i="7944"/>
  <c r="O275" i="7944"/>
  <c r="O509" i="7944"/>
  <c r="O717" i="7944"/>
  <c r="O470" i="7944"/>
  <c r="O678" i="7944"/>
  <c r="O261" i="7944"/>
  <c r="O300" i="7944"/>
  <c r="O635" i="7944"/>
  <c r="O647" i="7944"/>
  <c r="O244" i="7944"/>
  <c r="O439" i="7944"/>
  <c r="O699" i="7944"/>
  <c r="O442" i="7944"/>
  <c r="O324" i="7944"/>
  <c r="O559" i="7944"/>
  <c r="O363" i="7944"/>
  <c r="O231" i="7944"/>
  <c r="O402" i="7944"/>
  <c r="O338" i="7944"/>
  <c r="O598" i="7944"/>
  <c r="O468" i="7944"/>
  <c r="O664" i="7944"/>
  <c r="O729" i="7944"/>
  <c r="O235" i="7944"/>
  <c r="O223" i="7944"/>
  <c r="O327" i="7944"/>
  <c r="O535" i="7944"/>
  <c r="O743" i="7944"/>
  <c r="O652" i="7944"/>
  <c r="O314" i="7944"/>
  <c r="O522" i="7944"/>
  <c r="O730" i="7944"/>
  <c r="O404" i="7944"/>
  <c r="O582" i="7944"/>
  <c r="O686" i="7944"/>
  <c r="O492" i="7944"/>
  <c r="O621" i="7944"/>
  <c r="O441" i="7944"/>
  <c r="O752" i="7944"/>
  <c r="O206" i="7944"/>
  <c r="O207" i="7944"/>
  <c r="O299" i="7944"/>
  <c r="O715" i="7944"/>
  <c r="O219" i="7944"/>
  <c r="O220" i="7944"/>
  <c r="O469" i="7944"/>
  <c r="O520" i="7944"/>
  <c r="O534" i="7944"/>
  <c r="O416" i="7944"/>
  <c r="O587" i="7944"/>
  <c r="O405" i="7944"/>
  <c r="O366" i="7944"/>
  <c r="O507" i="7944"/>
  <c r="O389" i="7944"/>
  <c r="O194" i="18"/>
  <c r="O662" i="18"/>
  <c r="O376" i="18"/>
  <c r="O545" i="18"/>
  <c r="O506" i="18"/>
  <c r="O558" i="18"/>
  <c r="O246" i="18"/>
  <c r="O155" i="18"/>
  <c r="O363" i="18"/>
  <c r="O259" i="18"/>
  <c r="O493" i="18"/>
  <c r="O532" i="18"/>
  <c r="O272" i="18"/>
  <c r="O207" i="18"/>
  <c r="O402" i="18"/>
  <c r="O636" i="18"/>
  <c r="O584" i="18"/>
  <c r="O480" i="18"/>
  <c r="O623" i="18"/>
  <c r="O441" i="18"/>
  <c r="O610" i="18"/>
  <c r="O233" i="18"/>
  <c r="O688" i="18"/>
  <c r="O649" i="18"/>
  <c r="O428" i="18"/>
  <c r="O337" i="18"/>
  <c r="O454" i="18"/>
  <c r="O220" i="18"/>
  <c r="O519" i="18"/>
  <c r="O597" i="18"/>
  <c r="O181" i="18"/>
  <c r="O467" i="18"/>
  <c r="O142" i="18"/>
  <c r="O285" i="18"/>
  <c r="O324" i="18"/>
  <c r="O389" i="18"/>
  <c r="O298" i="18"/>
  <c r="O675" i="18"/>
  <c r="O311" i="18"/>
  <c r="O571" i="18"/>
  <c r="O350" i="18"/>
  <c r="O168" i="18"/>
  <c r="O415" i="18"/>
  <c r="K743" i="18"/>
  <c r="K1109" i="18" s="1"/>
  <c r="J153" i="7941"/>
  <c r="K49" i="7941" s="1"/>
  <c r="I363" i="7941"/>
  <c r="N15" i="18"/>
  <c r="N773" i="18" s="1"/>
  <c r="N63" i="7941" s="1"/>
  <c r="N36" i="18"/>
  <c r="N794" i="18" s="1"/>
  <c r="N84" i="7941" s="1"/>
  <c r="N18" i="18"/>
  <c r="N776" i="18" s="1"/>
  <c r="N66" i="7941" s="1"/>
  <c r="N35" i="18"/>
  <c r="N793" i="18" s="1"/>
  <c r="N83" i="7941" s="1"/>
  <c r="N46" i="18"/>
  <c r="N804" i="18" s="1"/>
  <c r="N94" i="7941" s="1"/>
  <c r="N28" i="18"/>
  <c r="N786" i="18" s="1"/>
  <c r="N76" i="7941" s="1"/>
  <c r="N61" i="18"/>
  <c r="N819" i="18" s="1"/>
  <c r="N109" i="7941" s="1"/>
  <c r="N45" i="18"/>
  <c r="N803" i="18" s="1"/>
  <c r="N93" i="7941" s="1"/>
  <c r="N38" i="18"/>
  <c r="N796" i="18" s="1"/>
  <c r="N86" i="7941" s="1"/>
  <c r="N60" i="18"/>
  <c r="N818" i="18" s="1"/>
  <c r="N108" i="7941" s="1"/>
  <c r="N26" i="18"/>
  <c r="N784" i="18" s="1"/>
  <c r="N74" i="7941" s="1"/>
  <c r="N41" i="18"/>
  <c r="N799" i="18" s="1"/>
  <c r="N89" i="7941" s="1"/>
  <c r="N58" i="18"/>
  <c r="N816" i="18" s="1"/>
  <c r="N106" i="7941" s="1"/>
  <c r="N16" i="18"/>
  <c r="N774" i="18" s="1"/>
  <c r="N64" i="7941" s="1"/>
  <c r="N56" i="18"/>
  <c r="N814" i="18" s="1"/>
  <c r="N104" i="7941" s="1"/>
  <c r="N23" i="18"/>
  <c r="N781" i="18" s="1"/>
  <c r="N71" i="7941" s="1"/>
  <c r="N25" i="18"/>
  <c r="N783" i="18" s="1"/>
  <c r="N73" i="7941" s="1"/>
  <c r="N39" i="18"/>
  <c r="N797" i="18" s="1"/>
  <c r="N87" i="7941" s="1"/>
  <c r="N53" i="18"/>
  <c r="N811" i="18" s="1"/>
  <c r="N101" i="7941" s="1"/>
  <c r="N27" i="18"/>
  <c r="N785" i="18" s="1"/>
  <c r="N75" i="7941" s="1"/>
  <c r="N48" i="18"/>
  <c r="N806" i="18" s="1"/>
  <c r="N96" i="7941" s="1"/>
  <c r="N29" i="18"/>
  <c r="N787" i="18" s="1"/>
  <c r="N77" i="7941" s="1"/>
  <c r="N49" i="18"/>
  <c r="N807" i="18" s="1"/>
  <c r="N97" i="7941" s="1"/>
  <c r="N37" i="18"/>
  <c r="N795" i="18" s="1"/>
  <c r="N85" i="7941" s="1"/>
  <c r="N17" i="18"/>
  <c r="N775" i="18" s="1"/>
  <c r="N65" i="7941" s="1"/>
  <c r="N50" i="18"/>
  <c r="N808" i="18" s="1"/>
  <c r="N98" i="7941" s="1"/>
  <c r="N55" i="18"/>
  <c r="N813" i="18" s="1"/>
  <c r="N103" i="7941" s="1"/>
  <c r="N14" i="18"/>
  <c r="N772" i="18" s="1"/>
  <c r="N62" i="7941" s="1"/>
  <c r="N47" i="18"/>
  <c r="N805" i="18" s="1"/>
  <c r="N95" i="7941" s="1"/>
  <c r="N24" i="18"/>
  <c r="N782" i="18" s="1"/>
  <c r="N72" i="7941" s="1"/>
  <c r="N57" i="18"/>
  <c r="N815" i="18" s="1"/>
  <c r="N105" i="7941" s="1"/>
  <c r="N42" i="18"/>
  <c r="N800" i="18" s="1"/>
  <c r="N90" i="7941" s="1"/>
  <c r="N44" i="18"/>
  <c r="N802" i="18" s="1"/>
  <c r="N92" i="7941" s="1"/>
  <c r="N12" i="18"/>
  <c r="N31" i="18"/>
  <c r="N789" i="18" s="1"/>
  <c r="N79" i="7941" s="1"/>
  <c r="N33" i="18"/>
  <c r="N791" i="18" s="1"/>
  <c r="N81" i="7941" s="1"/>
  <c r="N22" i="18"/>
  <c r="N780" i="18" s="1"/>
  <c r="N70" i="7941" s="1"/>
  <c r="N51" i="18"/>
  <c r="N809" i="18" s="1"/>
  <c r="N99" i="7941" s="1"/>
  <c r="N32" i="18"/>
  <c r="N790" i="18" s="1"/>
  <c r="N80" i="7941" s="1"/>
  <c r="N52" i="18"/>
  <c r="N810" i="18" s="1"/>
  <c r="N100" i="7941" s="1"/>
  <c r="N21" i="18"/>
  <c r="N779" i="18" s="1"/>
  <c r="N69" i="7941" s="1"/>
  <c r="N30" i="18"/>
  <c r="N788" i="18" s="1"/>
  <c r="N78" i="7941" s="1"/>
  <c r="N40" i="18"/>
  <c r="N798" i="18" s="1"/>
  <c r="N88" i="7941" s="1"/>
  <c r="N13" i="18"/>
  <c r="N771" i="18" s="1"/>
  <c r="N61" i="7941" s="1"/>
  <c r="N19" i="18"/>
  <c r="N777" i="18" s="1"/>
  <c r="N67" i="7941" s="1"/>
  <c r="N34" i="18"/>
  <c r="N792" i="18" s="1"/>
  <c r="N82" i="7941" s="1"/>
  <c r="N54" i="18"/>
  <c r="N812" i="18" s="1"/>
  <c r="N102" i="7941" s="1"/>
  <c r="N20" i="18"/>
  <c r="N778" i="18" s="1"/>
  <c r="N68" i="7941" s="1"/>
  <c r="N59" i="18"/>
  <c r="N817" i="18" s="1"/>
  <c r="N107" i="7941" s="1"/>
  <c r="N43" i="18"/>
  <c r="N801" i="18" s="1"/>
  <c r="N91" i="7941" s="1"/>
  <c r="P168" i="1"/>
  <c r="I342" i="7941"/>
  <c r="L1054" i="18"/>
  <c r="M1043" i="18"/>
  <c r="P544" i="18"/>
  <c r="Q544" i="18" s="1"/>
  <c r="P349" i="18"/>
  <c r="Q349" i="18" s="1"/>
  <c r="L484" i="7942"/>
  <c r="N427" i="18"/>
  <c r="O427" i="18" s="1"/>
  <c r="O505" i="18"/>
  <c r="O401" i="18"/>
  <c r="P401" i="18" s="1"/>
  <c r="M1065" i="18"/>
  <c r="N453" i="18"/>
  <c r="O453" i="18" s="1"/>
  <c r="P531" i="18"/>
  <c r="Q531" i="18" s="1"/>
  <c r="N687" i="18"/>
  <c r="O609" i="18"/>
  <c r="P609" i="18" s="1"/>
  <c r="Q609" i="18" s="1"/>
  <c r="M414" i="18"/>
  <c r="N414" i="18" s="1"/>
  <c r="O414" i="18" s="1"/>
  <c r="P414" i="18" s="1"/>
  <c r="Q414" i="18" s="1"/>
  <c r="P388" i="18"/>
  <c r="Q388" i="18" s="1"/>
  <c r="M284" i="18"/>
  <c r="N284" i="18" s="1"/>
  <c r="O284" i="18" s="1"/>
  <c r="N271" i="18"/>
  <c r="O271" i="18" s="1"/>
  <c r="M193" i="18"/>
  <c r="N193" i="18" s="1"/>
  <c r="O193" i="18" s="1"/>
  <c r="O674" i="18"/>
  <c r="P674" i="18" s="1"/>
  <c r="P258" i="18"/>
  <c r="Q258" i="18" s="1"/>
  <c r="M713" i="18"/>
  <c r="N713" i="18" s="1"/>
  <c r="O622" i="18"/>
  <c r="P622" i="18" s="1"/>
  <c r="Q622" i="18" s="1"/>
  <c r="N362" i="18"/>
  <c r="O362" i="18" s="1"/>
  <c r="P362" i="18" s="1"/>
  <c r="Q362" i="18" s="1"/>
  <c r="M466" i="18"/>
  <c r="M1062" i="18" s="1"/>
  <c r="N596" i="18"/>
  <c r="O596" i="18" s="1"/>
  <c r="O557" i="18"/>
  <c r="P557" i="18" s="1"/>
  <c r="Q557" i="18" s="1"/>
  <c r="M700" i="18"/>
  <c r="N701" i="18"/>
  <c r="O701" i="18" s="1"/>
  <c r="J370" i="7941"/>
  <c r="J156" i="7941"/>
  <c r="K1098" i="18"/>
  <c r="I354" i="7941"/>
  <c r="J357" i="7941"/>
  <c r="K734" i="18"/>
  <c r="K1100" i="18" s="1"/>
  <c r="L1055" i="18"/>
  <c r="L1062" i="18"/>
  <c r="J52" i="7941"/>
  <c r="I336" i="7941"/>
  <c r="P222" i="1"/>
  <c r="M260" i="7942"/>
  <c r="M264" i="7942"/>
  <c r="M265" i="7942" s="1"/>
  <c r="M240" i="7942"/>
  <c r="M241" i="7942" s="1"/>
  <c r="L1043" i="18"/>
  <c r="J338" i="7941"/>
  <c r="L1065" i="18"/>
  <c r="J140" i="7941"/>
  <c r="J350" i="7941" s="1"/>
  <c r="J345" i="7941"/>
  <c r="J358" i="7941"/>
  <c r="J347" i="7941"/>
  <c r="L1059" i="18"/>
  <c r="L1039" i="18"/>
  <c r="J126" i="7941"/>
  <c r="K750" i="18"/>
  <c r="K1116" i="18" s="1"/>
  <c r="J144" i="7941"/>
  <c r="J18" i="7941"/>
  <c r="N1069" i="18"/>
  <c r="K765" i="18"/>
  <c r="K1131" i="18" s="1"/>
  <c r="J159" i="7941"/>
  <c r="J369" i="7941" s="1"/>
  <c r="K757" i="18"/>
  <c r="K1123" i="18" s="1"/>
  <c r="J151" i="7941"/>
  <c r="J361" i="7941" s="1"/>
  <c r="K764" i="18"/>
  <c r="K1130" i="18" s="1"/>
  <c r="J158" i="7941"/>
  <c r="J368" i="7941" s="1"/>
  <c r="K758" i="18"/>
  <c r="K1124" i="18" s="1"/>
  <c r="J152" i="7941"/>
  <c r="J362" i="7941" s="1"/>
  <c r="K740" i="18"/>
  <c r="K1106" i="18" s="1"/>
  <c r="J134" i="7941"/>
  <c r="J344" i="7941" s="1"/>
  <c r="K726" i="18"/>
  <c r="K1092" i="18" s="1"/>
  <c r="J120" i="7941"/>
  <c r="J330" i="7941" s="1"/>
  <c r="K733" i="18"/>
  <c r="K1099" i="18" s="1"/>
  <c r="J127" i="7941"/>
  <c r="J337" i="7941" s="1"/>
  <c r="K760" i="18"/>
  <c r="K1126" i="18" s="1"/>
  <c r="J154" i="7941"/>
  <c r="J364" i="7941" s="1"/>
  <c r="K738" i="18"/>
  <c r="K1104" i="18" s="1"/>
  <c r="J132" i="7941"/>
  <c r="K28" i="7941" s="1"/>
  <c r="K742" i="18"/>
  <c r="K1108" i="18" s="1"/>
  <c r="J136" i="7941"/>
  <c r="J346" i="7941" s="1"/>
  <c r="K747" i="18"/>
  <c r="K1113" i="18" s="1"/>
  <c r="J141" i="7941"/>
  <c r="J351" i="7941" s="1"/>
  <c r="K751" i="18"/>
  <c r="K1117" i="18" s="1"/>
  <c r="J145" i="7941"/>
  <c r="J355" i="7941" s="1"/>
  <c r="J1121" i="18"/>
  <c r="J761" i="18"/>
  <c r="J1127" i="18" s="1"/>
  <c r="I155" i="7941"/>
  <c r="J833" i="18"/>
  <c r="J856" i="18"/>
  <c r="I143" i="7941"/>
  <c r="J749" i="18"/>
  <c r="J860" i="18"/>
  <c r="M1059" i="18"/>
  <c r="J131" i="7941"/>
  <c r="J341" i="7941" s="1"/>
  <c r="J348" i="7941"/>
  <c r="L1048" i="18"/>
  <c r="L476" i="7942"/>
  <c r="J331" i="7941"/>
  <c r="M1079" i="18"/>
  <c r="L460" i="7942"/>
  <c r="L494" i="7942"/>
  <c r="J129" i="7941"/>
  <c r="J339" i="7941" s="1"/>
  <c r="L1078" i="18"/>
  <c r="N1066" i="18"/>
  <c r="L1066" i="18"/>
  <c r="L1057" i="18"/>
  <c r="L1072" i="18"/>
  <c r="M1068" i="18"/>
  <c r="L1068" i="18"/>
  <c r="M1074" i="18"/>
  <c r="L1074" i="18"/>
  <c r="M1070" i="18"/>
  <c r="M1053" i="18"/>
  <c r="L1053" i="18"/>
  <c r="L454" i="7942"/>
  <c r="L492" i="7942"/>
  <c r="L468" i="7942"/>
  <c r="L472" i="7942"/>
  <c r="L440" i="7942"/>
  <c r="L478" i="7942"/>
  <c r="M461" i="7942"/>
  <c r="M489" i="7942"/>
  <c r="M443" i="7942"/>
  <c r="M487" i="7942"/>
  <c r="M445" i="7942"/>
  <c r="M497" i="7942"/>
  <c r="M449" i="7942"/>
  <c r="M473" i="7942"/>
  <c r="M463" i="7942"/>
  <c r="L507" i="7942"/>
  <c r="L508" i="7942" s="1"/>
  <c r="I512" i="7942"/>
  <c r="K511" i="7942"/>
  <c r="I513" i="7942"/>
  <c r="I514" i="7942" s="1"/>
  <c r="A517" i="7942"/>
  <c r="H515" i="7942"/>
  <c r="K509" i="7942"/>
  <c r="K510" i="7942" s="1"/>
  <c r="J510" i="7942"/>
  <c r="J512" i="7942"/>
  <c r="L1069" i="18"/>
  <c r="L1060" i="18"/>
  <c r="J157" i="7941"/>
  <c r="J367" i="7941" s="1"/>
  <c r="J335" i="7941"/>
  <c r="J349" i="7941"/>
  <c r="M1073" i="18"/>
  <c r="M476" i="7942"/>
  <c r="P357" i="1"/>
  <c r="L458" i="7942"/>
  <c r="L470" i="7942"/>
  <c r="M442" i="7942"/>
  <c r="L448" i="7942"/>
  <c r="L506" i="7942"/>
  <c r="M506" i="7942"/>
  <c r="M456" i="7942"/>
  <c r="L456" i="7942"/>
  <c r="L446" i="7942"/>
  <c r="L438" i="7942"/>
  <c r="L444" i="7942"/>
  <c r="L502" i="7942"/>
  <c r="L496" i="7942"/>
  <c r="M504" i="7942"/>
  <c r="L504" i="7942"/>
  <c r="L450" i="7942"/>
  <c r="L486" i="7942"/>
  <c r="M502" i="7942"/>
  <c r="L488" i="7942"/>
  <c r="L466" i="7942"/>
  <c r="L442" i="7942"/>
  <c r="L480" i="7942"/>
  <c r="L500" i="7942"/>
  <c r="L452" i="7942"/>
  <c r="L464" i="7942"/>
  <c r="L482" i="7942"/>
  <c r="L490" i="7942"/>
  <c r="L498" i="7942"/>
  <c r="L265" i="7942"/>
  <c r="M1042" i="18"/>
  <c r="L1042" i="18"/>
  <c r="J122" i="7941"/>
  <c r="J343" i="7941"/>
  <c r="M266" i="7942"/>
  <c r="M267" i="7942" s="1"/>
  <c r="P114" i="1"/>
  <c r="B1705" i="7950"/>
  <c r="B973" i="7950"/>
  <c r="B139" i="7950"/>
  <c r="B1621" i="7950"/>
  <c r="B31" i="7950"/>
  <c r="B679" i="7950"/>
  <c r="B517" i="7950"/>
  <c r="B757" i="7950"/>
  <c r="B2083" i="7950"/>
  <c r="B85" i="7950"/>
  <c r="B193" i="7950"/>
  <c r="B355" i="7950"/>
  <c r="B1273" i="7950"/>
  <c r="B379" i="7950"/>
  <c r="B703" i="7950"/>
  <c r="B1189" i="7950"/>
  <c r="B1297" i="7950"/>
  <c r="B2107" i="7950"/>
  <c r="B2515" i="7950"/>
  <c r="M210" i="7942"/>
  <c r="M211" i="7942" s="1"/>
  <c r="B271" i="7950"/>
  <c r="B625" i="7950"/>
  <c r="B1057" i="7950"/>
  <c r="B1435" i="7950"/>
  <c r="B2245" i="7950"/>
  <c r="B463" i="7950"/>
  <c r="B571" i="7950"/>
  <c r="B895" i="7950"/>
  <c r="B1081" i="7950"/>
  <c r="B1729" i="7950"/>
  <c r="B1027" i="7950"/>
  <c r="B1459" i="7950"/>
  <c r="B1921" i="7950"/>
  <c r="B1837" i="7950"/>
  <c r="B2215" i="7950"/>
  <c r="B2593" i="7950"/>
  <c r="B55" i="7950"/>
  <c r="B109" i="7950"/>
  <c r="B163" i="7950"/>
  <c r="B217" i="7950"/>
  <c r="B247" i="7950"/>
  <c r="B301" i="7950"/>
  <c r="B409" i="7950"/>
  <c r="B649" i="7950"/>
  <c r="B919" i="7950"/>
  <c r="B1135" i="7950"/>
  <c r="B1381" i="7950"/>
  <c r="B1597" i="7950"/>
  <c r="B1759" i="7950"/>
  <c r="B325" i="7950"/>
  <c r="B433" i="7950"/>
  <c r="B487" i="7950"/>
  <c r="B541" i="7950"/>
  <c r="B595" i="7950"/>
  <c r="B811" i="7950"/>
  <c r="B949" i="7950"/>
  <c r="B1003" i="7950"/>
  <c r="B1111" i="7950"/>
  <c r="B1543" i="7950"/>
  <c r="B733" i="7950"/>
  <c r="B841" i="7950"/>
  <c r="B1219" i="7950"/>
  <c r="B1351" i="7950"/>
  <c r="B1513" i="7950"/>
  <c r="B1675" i="7950"/>
  <c r="B1999" i="7950"/>
  <c r="B1783" i="7950"/>
  <c r="B1945" i="7950"/>
  <c r="B2161" i="7950"/>
  <c r="B2323" i="7950"/>
  <c r="B2407" i="7950"/>
  <c r="B2677" i="7950"/>
  <c r="M1069" i="18"/>
  <c r="L191" i="7942"/>
  <c r="M208" i="7942"/>
  <c r="M209" i="7942" s="1"/>
  <c r="M232" i="7942"/>
  <c r="M233" i="7942" s="1"/>
  <c r="M212" i="7942"/>
  <c r="M213" i="7942" s="1"/>
  <c r="B2629" i="7949"/>
  <c r="B2575" i="7949"/>
  <c r="B2545" i="7949"/>
  <c r="B2467" i="7949"/>
  <c r="B2437" i="7949"/>
  <c r="B2251" i="7949"/>
  <c r="B2221" i="7949"/>
  <c r="B2197" i="7949"/>
  <c r="B2167" i="7949"/>
  <c r="B2707" i="7949"/>
  <c r="B2683" i="7949"/>
  <c r="B2653" i="7949"/>
  <c r="B2599" i="7949"/>
  <c r="B2521" i="7949"/>
  <c r="B2491" i="7949"/>
  <c r="B2413" i="7949"/>
  <c r="B2383" i="7949"/>
  <c r="B2359" i="7949"/>
  <c r="B2329" i="7949"/>
  <c r="B2305" i="7949"/>
  <c r="B2275" i="7949"/>
  <c r="B2143" i="7949"/>
  <c r="B2113" i="7949"/>
  <c r="B2089" i="7949"/>
  <c r="B2059" i="7949"/>
  <c r="B2035" i="7949"/>
  <c r="B2005" i="7949"/>
  <c r="B1951" i="7949"/>
  <c r="B1927" i="7949"/>
  <c r="B1897" i="7949"/>
  <c r="B1711" i="7949"/>
  <c r="B1681" i="7949"/>
  <c r="B1657" i="7949"/>
  <c r="B1627" i="7949"/>
  <c r="B1603" i="7949"/>
  <c r="B1573" i="7949"/>
  <c r="B1981" i="7949"/>
  <c r="B1873" i="7949"/>
  <c r="B1843" i="7949"/>
  <c r="B1819" i="7949"/>
  <c r="B1789" i="7949"/>
  <c r="B1765" i="7949"/>
  <c r="B1735" i="7949"/>
  <c r="B1549" i="7949"/>
  <c r="B1519" i="7949"/>
  <c r="B1465" i="7949"/>
  <c r="B1441" i="7949"/>
  <c r="B1387" i="7949"/>
  <c r="B1357" i="7949"/>
  <c r="B1141" i="7949"/>
  <c r="B979" i="7949"/>
  <c r="B901" i="7949"/>
  <c r="B871" i="7949"/>
  <c r="B847" i="7949"/>
  <c r="B817" i="7949"/>
  <c r="B793" i="7949"/>
  <c r="B763" i="7949"/>
  <c r="B739" i="7949"/>
  <c r="B709" i="7949"/>
  <c r="B685" i="7949"/>
  <c r="B577" i="7949"/>
  <c r="B547" i="7949"/>
  <c r="B307" i="7949"/>
  <c r="B277" i="7949"/>
  <c r="B1495" i="7949"/>
  <c r="B1411" i="7949"/>
  <c r="B1333" i="7949"/>
  <c r="B1303" i="7949"/>
  <c r="B1279" i="7949"/>
  <c r="B1249" i="7949"/>
  <c r="B1225" i="7949"/>
  <c r="B1195" i="7949"/>
  <c r="B1171" i="7949"/>
  <c r="B1117" i="7949"/>
  <c r="B1087" i="7949"/>
  <c r="B1063" i="7949"/>
  <c r="B1033" i="7949"/>
  <c r="B1009" i="7949"/>
  <c r="B955" i="7949"/>
  <c r="B925" i="7949"/>
  <c r="B655" i="7949"/>
  <c r="B631" i="7949"/>
  <c r="B601" i="7949"/>
  <c r="B523" i="7949"/>
  <c r="B493" i="7949"/>
  <c r="B469" i="7949"/>
  <c r="B439" i="7949"/>
  <c r="B415" i="7949"/>
  <c r="B385" i="7949"/>
  <c r="B361" i="7949"/>
  <c r="B223" i="7949"/>
  <c r="B199" i="7949"/>
  <c r="B145" i="7949"/>
  <c r="B331" i="7949"/>
  <c r="B253" i="7949"/>
  <c r="B169" i="7949"/>
  <c r="B2299" i="7950"/>
  <c r="B2485" i="7950"/>
  <c r="B2569" i="7950"/>
  <c r="U6" i="7950"/>
  <c r="B2540" i="7950" s="1"/>
  <c r="B91" i="7949"/>
  <c r="B115" i="7949"/>
  <c r="B787" i="7950"/>
  <c r="B865" i="7950"/>
  <c r="B1165" i="7950"/>
  <c r="B1243" i="7950"/>
  <c r="B1327" i="7950"/>
  <c r="B1405" i="7950"/>
  <c r="B1489" i="7950"/>
  <c r="B1567" i="7950"/>
  <c r="B1651" i="7950"/>
  <c r="B1867" i="7950"/>
  <c r="B1975" i="7950"/>
  <c r="B2029" i="7950"/>
  <c r="B2461" i="7950"/>
  <c r="B1813" i="7950"/>
  <c r="B1891" i="7950"/>
  <c r="B2053" i="7950"/>
  <c r="B2137" i="7950"/>
  <c r="B2191" i="7950"/>
  <c r="B2269" i="7950"/>
  <c r="B2353" i="7950"/>
  <c r="B2701" i="7950"/>
  <c r="B2377" i="7950"/>
  <c r="B2431" i="7950"/>
  <c r="B2539" i="7950"/>
  <c r="B2623" i="7950"/>
  <c r="M256" i="7942"/>
  <c r="M198" i="7942"/>
  <c r="M1076" i="18"/>
  <c r="M1067" i="18"/>
  <c r="M1075" i="18"/>
  <c r="M206" i="7942"/>
  <c r="M207" i="7942" s="1"/>
  <c r="L261" i="7942"/>
  <c r="L241" i="7942"/>
  <c r="M244" i="7942"/>
  <c r="M245" i="7942" s="1"/>
  <c r="M196" i="7942"/>
  <c r="M197" i="7942" s="1"/>
  <c r="M224" i="7942"/>
  <c r="M225" i="7942" s="1"/>
  <c r="M188" i="7942"/>
  <c r="M189" i="7942" s="1"/>
  <c r="M184" i="7942"/>
  <c r="M185" i="7942" s="1"/>
  <c r="M220" i="7942"/>
  <c r="M221" i="7942" s="1"/>
  <c r="M204" i="7942"/>
  <c r="M205" i="7942" s="1"/>
  <c r="L217" i="7942"/>
  <c r="M226" i="7942"/>
  <c r="M194" i="7942"/>
  <c r="M195" i="7942" s="1"/>
  <c r="J340" i="7941"/>
  <c r="O289" i="1"/>
  <c r="N8" i="7942"/>
  <c r="N481" i="7942" s="1"/>
  <c r="O481" i="7942" s="1"/>
  <c r="P481" i="7942" s="1"/>
  <c r="Q481" i="7942" s="1"/>
  <c r="M250" i="7942"/>
  <c r="M228" i="7942"/>
  <c r="M222" i="7942"/>
  <c r="M230" i="7942"/>
  <c r="M234" i="7942"/>
  <c r="M192" i="7942"/>
  <c r="M242" i="7942"/>
  <c r="M186" i="7942"/>
  <c r="M187" i="7942" s="1"/>
  <c r="L201" i="7942"/>
  <c r="M262" i="7942"/>
  <c r="M263" i="7942" s="1"/>
  <c r="M258" i="7942"/>
  <c r="M268" i="7942"/>
  <c r="M269" i="7942" s="1"/>
  <c r="L185" i="7942"/>
  <c r="L255" i="7942"/>
  <c r="L239" i="7942"/>
  <c r="M202" i="7942"/>
  <c r="M203" i="7942" s="1"/>
  <c r="M218" i="7942"/>
  <c r="L189" i="7942"/>
  <c r="L247" i="7942"/>
  <c r="L237" i="7942"/>
  <c r="V6" i="7949"/>
  <c r="B37" i="7949"/>
  <c r="B61" i="7949"/>
  <c r="M214" i="7942"/>
  <c r="M215" i="7942" s="1"/>
  <c r="M1056" i="18"/>
  <c r="L249" i="7942"/>
  <c r="M248" i="7942"/>
  <c r="M249" i="7942" s="1"/>
  <c r="M1060" i="18"/>
  <c r="M1049" i="18"/>
  <c r="L253" i="7942"/>
  <c r="M252" i="7942"/>
  <c r="M1046" i="18"/>
  <c r="M1050" i="18"/>
  <c r="M1044" i="18"/>
  <c r="P3" i="7944"/>
  <c r="M1057" i="18"/>
  <c r="M1045" i="18"/>
  <c r="M1064" i="18"/>
  <c r="M1040" i="18"/>
  <c r="M1063" i="18"/>
  <c r="P3" i="18"/>
  <c r="P281" i="1"/>
  <c r="P4" i="7944"/>
  <c r="P4" i="7941"/>
  <c r="P4" i="18"/>
  <c r="P298" i="1"/>
  <c r="Q60" i="1"/>
  <c r="T2550" i="7950" s="1"/>
  <c r="P4" i="7942"/>
  <c r="M217" i="7942"/>
  <c r="P288" i="1"/>
  <c r="Q288" i="1"/>
  <c r="N216" i="7942"/>
  <c r="O7" i="18"/>
  <c r="O7" i="7942"/>
  <c r="K24" i="7941"/>
  <c r="K35" i="7941"/>
  <c r="K31" i="7941"/>
  <c r="K34" i="7941"/>
  <c r="K26" i="7941"/>
  <c r="K33" i="7941"/>
  <c r="K29" i="7941"/>
  <c r="K21" i="7941"/>
  <c r="K17" i="7941"/>
  <c r="J871" i="18"/>
  <c r="K43" i="7941"/>
  <c r="J142" i="7941"/>
  <c r="J352" i="7941" s="1"/>
  <c r="K56" i="7941"/>
  <c r="K44" i="7941"/>
  <c r="O219" i="18" l="1"/>
  <c r="P219" i="18" s="1"/>
  <c r="N238" i="7942"/>
  <c r="N239" i="7942" s="1"/>
  <c r="N1063" i="18"/>
  <c r="Q518" i="18"/>
  <c r="P232" i="18"/>
  <c r="Q232" i="18" s="1"/>
  <c r="P371" i="7944"/>
  <c r="Q371" i="7944" s="1"/>
  <c r="P297" i="18"/>
  <c r="Q297" i="18" s="1"/>
  <c r="N246" i="7942"/>
  <c r="N258" i="7942"/>
  <c r="P570" i="18"/>
  <c r="Q570" i="18" s="1"/>
  <c r="N254" i="7942"/>
  <c r="N255" i="7942" s="1"/>
  <c r="N218" i="7942"/>
  <c r="N1067" i="18"/>
  <c r="M449" i="7944"/>
  <c r="N449" i="7944" s="1"/>
  <c r="P440" i="18"/>
  <c r="Q440" i="18" s="1"/>
  <c r="N228" i="7944"/>
  <c r="O228" i="7944" s="1"/>
  <c r="P228" i="7944" s="1"/>
  <c r="Q228" i="7944" s="1"/>
  <c r="P583" i="18"/>
  <c r="Q583" i="18" s="1"/>
  <c r="N293" i="7944"/>
  <c r="N226" i="7942"/>
  <c r="N358" i="7944"/>
  <c r="O358" i="7944" s="1"/>
  <c r="P358" i="7944" s="1"/>
  <c r="Q358" i="7944" s="1"/>
  <c r="N200" i="7942"/>
  <c r="N201" i="7942" s="1"/>
  <c r="P180" i="18"/>
  <c r="Q180" i="18" s="1"/>
  <c r="N473" i="7942"/>
  <c r="O473" i="7942" s="1"/>
  <c r="P473" i="7942" s="1"/>
  <c r="Q473" i="7942" s="1"/>
  <c r="N443" i="7942"/>
  <c r="N451" i="7942"/>
  <c r="O451" i="7942" s="1"/>
  <c r="P451" i="7942" s="1"/>
  <c r="Q451" i="7942" s="1"/>
  <c r="N441" i="7942"/>
  <c r="O441" i="7942" s="1"/>
  <c r="P441" i="7942" s="1"/>
  <c r="Q441" i="7942" s="1"/>
  <c r="N437" i="7942"/>
  <c r="O437" i="7942" s="1"/>
  <c r="P437" i="7942" s="1"/>
  <c r="Q437" i="7942" s="1"/>
  <c r="N469" i="7942"/>
  <c r="N495" i="7942"/>
  <c r="O495" i="7942" s="1"/>
  <c r="P495" i="7942" s="1"/>
  <c r="Q495" i="7942" s="1"/>
  <c r="N489" i="7942"/>
  <c r="N453" i="7942"/>
  <c r="O453" i="7942" s="1"/>
  <c r="P453" i="7942" s="1"/>
  <c r="Q453" i="7942" s="1"/>
  <c r="N483" i="7942"/>
  <c r="O483" i="7942" s="1"/>
  <c r="P483" i="7942" s="1"/>
  <c r="Q483" i="7942" s="1"/>
  <c r="N485" i="7942"/>
  <c r="O485" i="7942" s="1"/>
  <c r="P485" i="7942" s="1"/>
  <c r="Q485" i="7942" s="1"/>
  <c r="N455" i="7942"/>
  <c r="O455" i="7942" s="1"/>
  <c r="P455" i="7942" s="1"/>
  <c r="N499" i="7942"/>
  <c r="O499" i="7942" s="1"/>
  <c r="N503" i="7942"/>
  <c r="O503" i="7942" s="1"/>
  <c r="P503" i="7942" s="1"/>
  <c r="Q503" i="7942" s="1"/>
  <c r="N505" i="7942"/>
  <c r="N475" i="7942"/>
  <c r="N449" i="7942"/>
  <c r="O449" i="7942" s="1"/>
  <c r="P449" i="7942" s="1"/>
  <c r="Q449" i="7942" s="1"/>
  <c r="N461" i="7942"/>
  <c r="N497" i="7942"/>
  <c r="O497" i="7942" s="1"/>
  <c r="N447" i="7942"/>
  <c r="O447" i="7942" s="1"/>
  <c r="P447" i="7942" s="1"/>
  <c r="Q447" i="7942" s="1"/>
  <c r="N457" i="7942"/>
  <c r="O457" i="7942" s="1"/>
  <c r="P457" i="7942" s="1"/>
  <c r="Q457" i="7942" s="1"/>
  <c r="N479" i="7942"/>
  <c r="O479" i="7942" s="1"/>
  <c r="P479" i="7942" s="1"/>
  <c r="Q479" i="7942" s="1"/>
  <c r="N467" i="7942"/>
  <c r="O467" i="7942" s="1"/>
  <c r="P467" i="7942" s="1"/>
  <c r="Q467" i="7942" s="1"/>
  <c r="N459" i="7942"/>
  <c r="O459" i="7942" s="1"/>
  <c r="N501" i="7942"/>
  <c r="O501" i="7942" s="1"/>
  <c r="N445" i="7942"/>
  <c r="O445" i="7942" s="1"/>
  <c r="P445" i="7942" s="1"/>
  <c r="Q445" i="7942" s="1"/>
  <c r="N477" i="7942"/>
  <c r="O477" i="7942" s="1"/>
  <c r="P477" i="7942" s="1"/>
  <c r="Q477" i="7942" s="1"/>
  <c r="N465" i="7942"/>
  <c r="O465" i="7942" s="1"/>
  <c r="N487" i="7942"/>
  <c r="N260" i="7942"/>
  <c r="N491" i="7942"/>
  <c r="O491" i="7942" s="1"/>
  <c r="P491" i="7942" s="1"/>
  <c r="Q491" i="7942" s="1"/>
  <c r="N471" i="7942"/>
  <c r="O471" i="7942" s="1"/>
  <c r="P471" i="7942" s="1"/>
  <c r="Q471" i="7942" s="1"/>
  <c r="N439" i="7942"/>
  <c r="O439" i="7942" s="1"/>
  <c r="N493" i="7942"/>
  <c r="O493" i="7942" s="1"/>
  <c r="P493" i="7942" s="1"/>
  <c r="Q493" i="7942" s="1"/>
  <c r="M470" i="7942"/>
  <c r="O469" i="7942"/>
  <c r="P469" i="7942" s="1"/>
  <c r="Q469" i="7942" s="1"/>
  <c r="M748" i="7944"/>
  <c r="N748" i="7944" s="1"/>
  <c r="O748" i="7944" s="1"/>
  <c r="M332" i="7944"/>
  <c r="N332" i="7944" s="1"/>
  <c r="M410" i="7944"/>
  <c r="N410" i="7944" s="1"/>
  <c r="O410" i="7944" s="1"/>
  <c r="P410" i="7944" s="1"/>
  <c r="N492" i="7942"/>
  <c r="N472" i="7942"/>
  <c r="M468" i="7942"/>
  <c r="M480" i="7942"/>
  <c r="M345" i="7944"/>
  <c r="N345" i="7944" s="1"/>
  <c r="M319" i="7944"/>
  <c r="N319" i="7944" s="1"/>
  <c r="O319" i="7944" s="1"/>
  <c r="M592" i="7944"/>
  <c r="N592" i="7944" s="1"/>
  <c r="M423" i="7944"/>
  <c r="N423" i="7944" s="1"/>
  <c r="O423" i="7944" s="1"/>
  <c r="M657" i="7944"/>
  <c r="N657" i="7944" s="1"/>
  <c r="M566" i="7944"/>
  <c r="N566" i="7944" s="1"/>
  <c r="M475" i="7944"/>
  <c r="N475" i="7944" s="1"/>
  <c r="O475" i="7944" s="1"/>
  <c r="P475" i="7944" s="1"/>
  <c r="M488" i="7944"/>
  <c r="N488" i="7944" s="1"/>
  <c r="M267" i="7944"/>
  <c r="M215" i="7944"/>
  <c r="N215" i="7944" s="1"/>
  <c r="O215" i="7944" s="1"/>
  <c r="P215" i="7944" s="1"/>
  <c r="Q215" i="7944" s="1"/>
  <c r="M440" i="7942"/>
  <c r="N236" i="7942"/>
  <c r="N237" i="7942" s="1"/>
  <c r="M458" i="7942"/>
  <c r="P159" i="18"/>
  <c r="P201" i="18"/>
  <c r="P158" i="18"/>
  <c r="P161" i="18"/>
  <c r="P160" i="18"/>
  <c r="P157" i="18"/>
  <c r="P163" i="18"/>
  <c r="P164" i="18"/>
  <c r="P162" i="18"/>
  <c r="U11" i="7949"/>
  <c r="U448" i="7949"/>
  <c r="U1310" i="7949"/>
  <c r="U879" i="7949"/>
  <c r="U925" i="7949" s="1"/>
  <c r="V925" i="7949" s="1"/>
  <c r="W925" i="7949" s="1"/>
  <c r="U501" i="7949"/>
  <c r="U547" i="7949" s="1"/>
  <c r="V547" i="7949" s="1"/>
  <c r="W547" i="7949" s="1"/>
  <c r="U70" i="7949"/>
  <c r="U1259" i="7949"/>
  <c r="U2120" i="7949"/>
  <c r="U2012" i="7949"/>
  <c r="U824" i="7949"/>
  <c r="U1904" i="7949"/>
  <c r="U393" i="7949"/>
  <c r="U439" i="7949" s="1"/>
  <c r="V439" i="7949" s="1"/>
  <c r="W439" i="7949" s="1"/>
  <c r="U2229" i="7949"/>
  <c r="U2275" i="7949" s="1"/>
  <c r="V2275" i="7949" s="1"/>
  <c r="W2275" i="7949" s="1"/>
  <c r="U1366" i="7949"/>
  <c r="U2066" i="7949"/>
  <c r="U555" i="7949"/>
  <c r="U601" i="7949" s="1"/>
  <c r="V601" i="7949" s="1"/>
  <c r="W601" i="7949" s="1"/>
  <c r="U340" i="7949"/>
  <c r="U1959" i="7949"/>
  <c r="U2005" i="7949" s="1"/>
  <c r="V2005" i="7949" s="1"/>
  <c r="W2005" i="7949" s="1"/>
  <c r="U1042" i="7949"/>
  <c r="U125" i="7949"/>
  <c r="U2500" i="7949"/>
  <c r="U449" i="7949"/>
  <c r="U827" i="7949"/>
  <c r="U1691" i="7949"/>
  <c r="U1961" i="7949"/>
  <c r="T9" i="7950"/>
  <c r="T31" i="7950" s="1"/>
  <c r="T2548" i="7950"/>
  <c r="T2593" i="7950" s="1"/>
  <c r="U2593" i="7950" s="1"/>
  <c r="V2593" i="7950" s="1"/>
  <c r="W2593" i="7950" s="1"/>
  <c r="T2547" i="7950"/>
  <c r="T2569" i="7950" s="1"/>
  <c r="T388" i="7950"/>
  <c r="T433" i="7950" s="1"/>
  <c r="U433" i="7950" s="1"/>
  <c r="V433" i="7950" s="1"/>
  <c r="W433" i="7950" s="1"/>
  <c r="T1737" i="7950"/>
  <c r="T1759" i="7950" s="1"/>
  <c r="T63" i="7950"/>
  <c r="T85" i="7950" s="1"/>
  <c r="T2440" i="7950"/>
  <c r="T2485" i="7950" s="1"/>
  <c r="U2485" i="7950" s="1"/>
  <c r="V2485" i="7950" s="1"/>
  <c r="W2485" i="7950" s="1"/>
  <c r="T1035" i="7950"/>
  <c r="T1057" i="7950" s="1"/>
  <c r="T1198" i="7950"/>
  <c r="T1243" i="7950" s="1"/>
  <c r="U1243" i="7950" s="1"/>
  <c r="V1243" i="7950" s="1"/>
  <c r="W1243" i="7950" s="1"/>
  <c r="T1575" i="7950"/>
  <c r="T1597" i="7950" s="1"/>
  <c r="T658" i="7950"/>
  <c r="T703" i="7950" s="1"/>
  <c r="U703" i="7950" s="1"/>
  <c r="V703" i="7950" s="1"/>
  <c r="W703" i="7950" s="1"/>
  <c r="T2386" i="7950"/>
  <c r="T2431" i="7950" s="1"/>
  <c r="U2431" i="7950" s="1"/>
  <c r="V2431" i="7950" s="1"/>
  <c r="W2431" i="7950" s="1"/>
  <c r="T2279" i="7950"/>
  <c r="T765" i="7950"/>
  <c r="T787" i="7950" s="1"/>
  <c r="T2331" i="7950"/>
  <c r="T2353" i="7950" s="1"/>
  <c r="T1414" i="7950"/>
  <c r="T1459" i="7950" s="1"/>
  <c r="U1459" i="7950" s="1"/>
  <c r="V1459" i="7950" s="1"/>
  <c r="W1459" i="7950" s="1"/>
  <c r="T551" i="7950"/>
  <c r="T1362" i="7950"/>
  <c r="T2657" i="7950"/>
  <c r="T2441" i="7950"/>
  <c r="T1091" i="7950"/>
  <c r="T552" i="7950"/>
  <c r="T498" i="7950"/>
  <c r="T1308" i="7950"/>
  <c r="T2604" i="7950"/>
  <c r="U17" i="7949"/>
  <c r="U1420" i="7949"/>
  <c r="U1418" i="7949"/>
  <c r="U1311" i="7949"/>
  <c r="U1357" i="7949" s="1"/>
  <c r="V1357" i="7949" s="1"/>
  <c r="W1357" i="7949" s="1"/>
  <c r="U717" i="7949"/>
  <c r="U763" i="7949" s="1"/>
  <c r="V763" i="7949" s="1"/>
  <c r="W763" i="7949" s="1"/>
  <c r="U556" i="7949"/>
  <c r="U1421" i="7949"/>
  <c r="U231" i="7949"/>
  <c r="U277" i="7949" s="1"/>
  <c r="V277" i="7949" s="1"/>
  <c r="W277" i="7949" s="1"/>
  <c r="U68" i="7949"/>
  <c r="U932" i="7949"/>
  <c r="U2336" i="7949"/>
  <c r="U609" i="7949"/>
  <c r="U655" i="7949" s="1"/>
  <c r="V655" i="7949" s="1"/>
  <c r="W655" i="7949" s="1"/>
  <c r="U2283" i="7949"/>
  <c r="U2329" i="7949" s="1"/>
  <c r="V2329" i="7949" s="1"/>
  <c r="W2329" i="7949" s="1"/>
  <c r="U1582" i="7949"/>
  <c r="U2174" i="7949"/>
  <c r="U771" i="7949"/>
  <c r="U817" i="7949" s="1"/>
  <c r="V817" i="7949" s="1"/>
  <c r="W817" i="7949" s="1"/>
  <c r="U718" i="7949"/>
  <c r="U2175" i="7949"/>
  <c r="U2221" i="7949" s="1"/>
  <c r="V2221" i="7949" s="1"/>
  <c r="W2221" i="7949" s="1"/>
  <c r="U1258" i="7949"/>
  <c r="U341" i="7949"/>
  <c r="U2608" i="7949"/>
  <c r="U665" i="7949"/>
  <c r="U1043" i="7949"/>
  <c r="U1745" i="7949"/>
  <c r="U2177" i="7949"/>
  <c r="T10" i="7950"/>
  <c r="T55" i="7950" s="1"/>
  <c r="U55" i="7950" s="1"/>
  <c r="T444" i="7950"/>
  <c r="T2494" i="7950"/>
  <c r="T2539" i="7950" s="1"/>
  <c r="U2539" i="7950" s="1"/>
  <c r="V2539" i="7950" s="1"/>
  <c r="W2539" i="7950" s="1"/>
  <c r="T1306" i="7950"/>
  <c r="T1351" i="7950" s="1"/>
  <c r="U1351" i="7950" s="1"/>
  <c r="V1351" i="7950" s="1"/>
  <c r="T1684" i="7950"/>
  <c r="T1729" i="7950" s="1"/>
  <c r="U1729" i="7950" s="1"/>
  <c r="V1729" i="7950" s="1"/>
  <c r="W1729" i="7950" s="1"/>
  <c r="T927" i="7950"/>
  <c r="T949" i="7950" s="1"/>
  <c r="T1145" i="7950"/>
  <c r="T2061" i="7950"/>
  <c r="T2083" i="7950" s="1"/>
  <c r="T1631" i="7950"/>
  <c r="T2385" i="7950"/>
  <c r="T2407" i="7950" s="1"/>
  <c r="T1468" i="7950"/>
  <c r="T1513" i="7950" s="1"/>
  <c r="U1513" i="7950" s="1"/>
  <c r="V1513" i="7950" s="1"/>
  <c r="W1513" i="7950" s="1"/>
  <c r="T605" i="7950"/>
  <c r="T225" i="7950"/>
  <c r="T247" i="7950" s="1"/>
  <c r="T1413" i="7950"/>
  <c r="T1435" i="7950" s="1"/>
  <c r="U1435" i="7950" s="1"/>
  <c r="V1435" i="7950" s="1"/>
  <c r="W1435" i="7950" s="1"/>
  <c r="T496" i="7950"/>
  <c r="T541" i="7950" s="1"/>
  <c r="U541" i="7950" s="1"/>
  <c r="V541" i="7950" s="1"/>
  <c r="W541" i="7950" s="1"/>
  <c r="T2224" i="7950"/>
  <c r="T2269" i="7950" s="1"/>
  <c r="U2269" i="7950" s="1"/>
  <c r="V2269" i="7950" s="1"/>
  <c r="W2269" i="7950" s="1"/>
  <c r="T2549" i="7950"/>
  <c r="T1361" i="7950"/>
  <c r="T821" i="7950"/>
  <c r="T984" i="7950"/>
  <c r="T1739" i="7950"/>
  <c r="T1470" i="7950"/>
  <c r="T1038" i="7950"/>
  <c r="T2658" i="7950"/>
  <c r="T2334" i="7950"/>
  <c r="U1796" i="7949"/>
  <c r="U878" i="7949"/>
  <c r="U1688" i="7949"/>
  <c r="U1960" i="7949"/>
  <c r="U1365" i="7949"/>
  <c r="U1411" i="7949" s="1"/>
  <c r="V1411" i="7949" s="1"/>
  <c r="W1411" i="7949" s="1"/>
  <c r="U2499" i="7949"/>
  <c r="U2545" i="7949" s="1"/>
  <c r="V2545" i="7949" s="1"/>
  <c r="W2545" i="7949" s="1"/>
  <c r="U446" i="7949"/>
  <c r="U1743" i="7949"/>
  <c r="U1789" i="7949" s="1"/>
  <c r="V1789" i="7949" s="1"/>
  <c r="W1789" i="7949" s="1"/>
  <c r="U392" i="7949"/>
  <c r="U1256" i="7949"/>
  <c r="U286" i="7949"/>
  <c r="U1257" i="7949"/>
  <c r="U1303" i="7949" s="1"/>
  <c r="V1303" i="7949" s="1"/>
  <c r="W1303" i="7949" s="1"/>
  <c r="U124" i="7949"/>
  <c r="U989" i="7949"/>
  <c r="U2498" i="7949"/>
  <c r="U1419" i="7949"/>
  <c r="U1465" i="7949" s="1"/>
  <c r="V1465" i="7949" s="1"/>
  <c r="W1465" i="7949" s="1"/>
  <c r="U1744" i="7949"/>
  <c r="U178" i="7949"/>
  <c r="U1906" i="7949"/>
  <c r="U1853" i="7949"/>
  <c r="U1583" i="7949"/>
  <c r="U1637" i="7949"/>
  <c r="U1313" i="7949"/>
  <c r="U2015" i="7949"/>
  <c r="U1907" i="7949"/>
  <c r="T1791" i="7950"/>
  <c r="T1813" i="7950" s="1"/>
  <c r="T606" i="7950"/>
  <c r="T1305" i="7950"/>
  <c r="T1327" i="7950" s="1"/>
  <c r="T2116" i="7950"/>
  <c r="T2161" i="7950" s="1"/>
  <c r="U2161" i="7950" s="1"/>
  <c r="V2161" i="7950" s="1"/>
  <c r="W2161" i="7950" s="1"/>
  <c r="T2602" i="7950"/>
  <c r="T2647" i="7950" s="1"/>
  <c r="U2647" i="7950" s="1"/>
  <c r="V2647" i="7950" s="1"/>
  <c r="W2647" i="7950" s="1"/>
  <c r="T1629" i="7950"/>
  <c r="T1651" i="7950" s="1"/>
  <c r="T171" i="7950"/>
  <c r="T193" i="7950" s="1"/>
  <c r="T2115" i="7950"/>
  <c r="T2137" i="7950" s="1"/>
  <c r="T2117" i="7950"/>
  <c r="T2439" i="7950"/>
  <c r="T2461" i="7950" s="1"/>
  <c r="T1522" i="7950"/>
  <c r="T1567" i="7950" s="1"/>
  <c r="U1567" i="7950" s="1"/>
  <c r="V1567" i="7950" s="1"/>
  <c r="W1567" i="7950" s="1"/>
  <c r="T767" i="7950"/>
  <c r="T333" i="7950"/>
  <c r="T355" i="7950" s="1"/>
  <c r="T1467" i="7950"/>
  <c r="T1489" i="7950" s="1"/>
  <c r="T550" i="7950"/>
  <c r="T595" i="7950" s="1"/>
  <c r="U595" i="7950" s="1"/>
  <c r="V595" i="7950" s="1"/>
  <c r="W595" i="7950" s="1"/>
  <c r="T2278" i="7950"/>
  <c r="T2323" i="7950" s="1"/>
  <c r="U2323" i="7950" s="1"/>
  <c r="V2323" i="7950" s="1"/>
  <c r="W2323" i="7950" s="1"/>
  <c r="T228" i="7950"/>
  <c r="T1469" i="7950"/>
  <c r="T1199" i="7950"/>
  <c r="T227" i="7950"/>
  <c r="T1955" i="7950"/>
  <c r="T1632" i="7950"/>
  <c r="T1416" i="7950"/>
  <c r="T1740" i="7950"/>
  <c r="D1961" i="7949"/>
  <c r="D1043" i="7949"/>
  <c r="D2608" i="7949"/>
  <c r="D2634" i="7949" s="1"/>
  <c r="D1042" i="7949"/>
  <c r="D1068" i="7949" s="1"/>
  <c r="D340" i="7949"/>
  <c r="D366" i="7949" s="1"/>
  <c r="D179" i="7949"/>
  <c r="D663" i="7949"/>
  <c r="D69" i="7949"/>
  <c r="D557" i="7949"/>
  <c r="D2230" i="7949"/>
  <c r="D2256" i="7949" s="1"/>
  <c r="D1745" i="7949"/>
  <c r="D2392" i="7949"/>
  <c r="D2418" i="7949" s="1"/>
  <c r="D1041" i="7949"/>
  <c r="D1365" i="7949"/>
  <c r="D2123" i="7949"/>
  <c r="D2662" i="7949"/>
  <c r="D2688" i="7949" s="1"/>
  <c r="D2176" i="7949"/>
  <c r="D2202" i="7949" s="1"/>
  <c r="D1799" i="7949"/>
  <c r="D1637" i="7949"/>
  <c r="D1636" i="7949"/>
  <c r="D1662" i="7949" s="1"/>
  <c r="D2661" i="7949"/>
  <c r="D2067" i="7949"/>
  <c r="D2338" i="7949"/>
  <c r="D2364" i="7949" s="1"/>
  <c r="D447" i="7949"/>
  <c r="D1635" i="7949"/>
  <c r="D448" i="7949"/>
  <c r="D474" i="7949" s="1"/>
  <c r="D2069" i="7949"/>
  <c r="D1259" i="7949"/>
  <c r="D1905" i="7949"/>
  <c r="D1095" i="7949"/>
  <c r="D70" i="7949"/>
  <c r="D96" i="7949" s="1"/>
  <c r="D1691" i="7949"/>
  <c r="D773" i="7949"/>
  <c r="D1582" i="7949"/>
  <c r="D1608" i="7949" s="1"/>
  <c r="D1149" i="7949"/>
  <c r="D2499" i="7949"/>
  <c r="D2607" i="7949"/>
  <c r="D989" i="7949"/>
  <c r="D1794" i="7950"/>
  <c r="D1632" i="7950"/>
  <c r="D497" i="7950"/>
  <c r="D1092" i="7950"/>
  <c r="D1415" i="7950"/>
  <c r="D1307" i="7950"/>
  <c r="D1198" i="7950"/>
  <c r="D2224" i="7950"/>
  <c r="D226" i="7950"/>
  <c r="D2064" i="7950"/>
  <c r="D1470" i="7950"/>
  <c r="D281" i="7950"/>
  <c r="D660" i="7950"/>
  <c r="D1199" i="7950"/>
  <c r="D659" i="7950"/>
  <c r="D766" i="7950"/>
  <c r="D2332" i="7950"/>
  <c r="D64" i="7950"/>
  <c r="D1576" i="7950"/>
  <c r="D2226" i="7950"/>
  <c r="D929" i="7950"/>
  <c r="D2387" i="7950"/>
  <c r="D820" i="7950"/>
  <c r="D1846" i="7950"/>
  <c r="D930" i="7950"/>
  <c r="D65" i="7950"/>
  <c r="D1577" i="7950"/>
  <c r="D1522" i="7950"/>
  <c r="D2010" i="7950"/>
  <c r="D713" i="7950"/>
  <c r="D1901" i="7950"/>
  <c r="D604" i="7950"/>
  <c r="D1578" i="7950"/>
  <c r="D1037" i="7950"/>
  <c r="D1360" i="7950"/>
  <c r="D119" i="7950"/>
  <c r="D2656" i="7950"/>
  <c r="D2015" i="7949"/>
  <c r="D1853" i="7949"/>
  <c r="D1852" i="7949"/>
  <c r="D1878" i="7949" s="1"/>
  <c r="D178" i="7949"/>
  <c r="D204" i="7949" s="1"/>
  <c r="D2121" i="7949"/>
  <c r="D1366" i="7949"/>
  <c r="D1392" i="7949" s="1"/>
  <c r="D1150" i="7949"/>
  <c r="D1176" i="7949" s="1"/>
  <c r="D1851" i="7949"/>
  <c r="D934" i="7949"/>
  <c r="D960" i="7949" s="1"/>
  <c r="D123" i="7949"/>
  <c r="D611" i="7949"/>
  <c r="D610" i="7949"/>
  <c r="D636" i="7949" s="1"/>
  <c r="D1151" i="7949"/>
  <c r="D1798" i="7949"/>
  <c r="D1824" i="7949" s="1"/>
  <c r="D2231" i="7949"/>
  <c r="D2068" i="7949"/>
  <c r="D2094" i="7949" s="1"/>
  <c r="D2555" i="7949"/>
  <c r="D2285" i="7949"/>
  <c r="D449" i="7949"/>
  <c r="D125" i="7949"/>
  <c r="D719" i="7949"/>
  <c r="D1257" i="7949"/>
  <c r="D988" i="7949"/>
  <c r="D1014" i="7949" s="1"/>
  <c r="D664" i="7949"/>
  <c r="D690" i="7949" s="1"/>
  <c r="D231" i="7949"/>
  <c r="D286" i="7949"/>
  <c r="D312" i="7949" s="1"/>
  <c r="D2501" i="7949"/>
  <c r="D1474" i="7949"/>
  <c r="D1500" i="7949" s="1"/>
  <c r="D177" i="7949"/>
  <c r="D2337" i="7949"/>
  <c r="D2175" i="7949"/>
  <c r="D1367" i="7949"/>
  <c r="D1258" i="7949"/>
  <c r="D1284" i="7949" s="1"/>
  <c r="D1528" i="7949"/>
  <c r="D1554" i="7949" s="1"/>
  <c r="D825" i="7949"/>
  <c r="D502" i="7949"/>
  <c r="D528" i="7949" s="1"/>
  <c r="D1689" i="7949"/>
  <c r="D2550" i="7950"/>
  <c r="D1146" i="7950"/>
  <c r="D444" i="7950"/>
  <c r="D1955" i="7950"/>
  <c r="D2657" i="7950"/>
  <c r="D551" i="7950"/>
  <c r="D335" i="7950"/>
  <c r="D2548" i="7950"/>
  <c r="D2494" i="7950"/>
  <c r="D2334" i="7950"/>
  <c r="D1686" i="7950"/>
  <c r="D66" i="7950"/>
  <c r="D1847" i="7950"/>
  <c r="D2495" i="7950"/>
  <c r="D389" i="7950"/>
  <c r="D173" i="7950"/>
  <c r="D1036" i="7950"/>
  <c r="D874" i="7950"/>
  <c r="D2062" i="7950"/>
  <c r="D2278" i="7950"/>
  <c r="D1308" i="7950"/>
  <c r="D1469" i="7950"/>
  <c r="D2171" i="7950"/>
  <c r="D442" i="7950"/>
  <c r="D1414" i="7950"/>
  <c r="D1793" i="7950"/>
  <c r="D334" i="7950"/>
  <c r="D174" i="7950"/>
  <c r="D2170" i="7950"/>
  <c r="D1200" i="7950"/>
  <c r="D1091" i="7950"/>
  <c r="D1685" i="7950"/>
  <c r="D1954" i="7950"/>
  <c r="D552" i="7950"/>
  <c r="D606" i="7950"/>
  <c r="D1362" i="7950"/>
  <c r="D714" i="7950"/>
  <c r="D550" i="7950"/>
  <c r="D1475" i="7949"/>
  <c r="D665" i="7949"/>
  <c r="D341" i="7949"/>
  <c r="D2013" i="7949"/>
  <c r="D1473" i="7949"/>
  <c r="D124" i="7949"/>
  <c r="D150" i="7949" s="1"/>
  <c r="D1797" i="7949"/>
  <c r="D339" i="7949"/>
  <c r="D772" i="7949"/>
  <c r="D798" i="7949" s="1"/>
  <c r="D2339" i="7949"/>
  <c r="D233" i="7949"/>
  <c r="D2554" i="7949"/>
  <c r="D2580" i="7949" s="1"/>
  <c r="D880" i="7949"/>
  <c r="D906" i="7949" s="1"/>
  <c r="D1419" i="7949"/>
  <c r="D1529" i="7949"/>
  <c r="D2122" i="7949"/>
  <c r="D2148" i="7949" s="1"/>
  <c r="D2609" i="7949"/>
  <c r="D1097" i="7949"/>
  <c r="D1583" i="7949"/>
  <c r="D1690" i="7949"/>
  <c r="D1716" i="7949" s="1"/>
  <c r="D1204" i="7949"/>
  <c r="D1230" i="7949" s="1"/>
  <c r="D393" i="7949"/>
  <c r="D2391" i="7949"/>
  <c r="D1581" i="7949"/>
  <c r="D556" i="7949"/>
  <c r="D582" i="7949" s="1"/>
  <c r="D17" i="7949"/>
  <c r="D1205" i="7949"/>
  <c r="D2445" i="7949"/>
  <c r="D2014" i="7949"/>
  <c r="D2040" i="7949" s="1"/>
  <c r="D501" i="7949"/>
  <c r="D15" i="7949"/>
  <c r="D881" i="7949"/>
  <c r="D2229" i="7949"/>
  <c r="D1960" i="7949"/>
  <c r="D1986" i="7949" s="1"/>
  <c r="D879" i="7949"/>
  <c r="D2283" i="7949"/>
  <c r="D1743" i="7949"/>
  <c r="D2604" i="7950"/>
  <c r="D984" i="7950"/>
  <c r="D2225" i="7950"/>
  <c r="D983" i="7950"/>
  <c r="D1631" i="7950"/>
  <c r="D1253" i="7950"/>
  <c r="D2602" i="7950"/>
  <c r="D982" i="7950"/>
  <c r="D712" i="7950"/>
  <c r="D2388" i="7950"/>
  <c r="D768" i="7950"/>
  <c r="D2009" i="7950"/>
  <c r="D605" i="7950"/>
  <c r="D1038" i="7950"/>
  <c r="D767" i="7950"/>
  <c r="D2116" i="7950"/>
  <c r="D2386" i="7950"/>
  <c r="D1468" i="7950"/>
  <c r="D1792" i="7950"/>
  <c r="D10" i="7950"/>
  <c r="D2280" i="7950"/>
  <c r="D1416" i="7950"/>
  <c r="D1523" i="7950"/>
  <c r="D1684" i="7950"/>
  <c r="D11" i="7950"/>
  <c r="D227" i="7950"/>
  <c r="D1956" i="7950"/>
  <c r="D875" i="7950"/>
  <c r="D2440" i="7950"/>
  <c r="D1848" i="7950"/>
  <c r="D1254" i="7950"/>
  <c r="D2063" i="7950"/>
  <c r="D496" i="7950"/>
  <c r="D282" i="7950"/>
  <c r="D1738" i="7950"/>
  <c r="D822" i="7950"/>
  <c r="D2496" i="7950"/>
  <c r="D12" i="7950"/>
  <c r="D1907" i="7949"/>
  <c r="D1313" i="7949"/>
  <c r="D2446" i="7949"/>
  <c r="D2472" i="7949" s="1"/>
  <c r="D1906" i="7949"/>
  <c r="D1932" i="7949" s="1"/>
  <c r="D1744" i="7949"/>
  <c r="D1770" i="7949" s="1"/>
  <c r="D609" i="7949"/>
  <c r="D1527" i="7949"/>
  <c r="D933" i="7949"/>
  <c r="D1312" i="7949"/>
  <c r="D1338" i="7949" s="1"/>
  <c r="D555" i="7949"/>
  <c r="D2447" i="7949"/>
  <c r="D2284" i="7949"/>
  <c r="D2310" i="7949" s="1"/>
  <c r="D2553" i="7949"/>
  <c r="D287" i="7949"/>
  <c r="D16" i="7949"/>
  <c r="D42" i="7949" s="1"/>
  <c r="D395" i="7949"/>
  <c r="D394" i="7949"/>
  <c r="D420" i="7949" s="1"/>
  <c r="D2663" i="7949"/>
  <c r="D827" i="7949"/>
  <c r="D2500" i="7949"/>
  <c r="D2526" i="7949" s="1"/>
  <c r="D826" i="7949"/>
  <c r="D852" i="7949" s="1"/>
  <c r="D232" i="7949"/>
  <c r="D258" i="7949" s="1"/>
  <c r="D1421" i="7949"/>
  <c r="D1311" i="7949"/>
  <c r="D717" i="7949"/>
  <c r="D71" i="7949"/>
  <c r="D2393" i="7949"/>
  <c r="D935" i="7949"/>
  <c r="D1096" i="7949"/>
  <c r="D1122" i="7949" s="1"/>
  <c r="D1959" i="7949"/>
  <c r="D1203" i="7949"/>
  <c r="D2177" i="7949"/>
  <c r="D503" i="7949"/>
  <c r="D718" i="7949"/>
  <c r="D744" i="7949" s="1"/>
  <c r="D987" i="7949"/>
  <c r="D285" i="7949"/>
  <c r="D771" i="7949"/>
  <c r="D1420" i="7949"/>
  <c r="D1446" i="7949" s="1"/>
  <c r="D2658" i="7950"/>
  <c r="D120" i="7950"/>
  <c r="D1361" i="7950"/>
  <c r="D1740" i="7950"/>
  <c r="D390" i="7950"/>
  <c r="D2279" i="7950"/>
  <c r="D1900" i="7950"/>
  <c r="D172" i="7950"/>
  <c r="D1630" i="7950"/>
  <c r="D2442" i="7950"/>
  <c r="D2549" i="7950"/>
  <c r="D1145" i="7950"/>
  <c r="D1524" i="7950"/>
  <c r="D228" i="7950"/>
  <c r="D443" i="7950"/>
  <c r="D658" i="7950"/>
  <c r="D388" i="7950"/>
  <c r="D1090" i="7950"/>
  <c r="D1144" i="7950"/>
  <c r="D2118" i="7950"/>
  <c r="D2603" i="7950"/>
  <c r="D2117" i="7950"/>
  <c r="D1306" i="7950"/>
  <c r="D280" i="7950"/>
  <c r="D2172" i="7950"/>
  <c r="D876" i="7950"/>
  <c r="D336" i="7950"/>
  <c r="D821" i="7950"/>
  <c r="D1902" i="7950"/>
  <c r="D2441" i="7950"/>
  <c r="D1739" i="7950"/>
  <c r="D118" i="7950"/>
  <c r="D2008" i="7950"/>
  <c r="D498" i="7950"/>
  <c r="D1252" i="7950"/>
  <c r="D2333" i="7950"/>
  <c r="D928" i="7950"/>
  <c r="U2228" i="7949"/>
  <c r="U986" i="7949"/>
  <c r="U2552" i="7949"/>
  <c r="U2444" i="7949"/>
  <c r="U1581" i="7949"/>
  <c r="U1627" i="7949" s="1"/>
  <c r="V1627" i="7949" s="1"/>
  <c r="W1627" i="7949" s="1"/>
  <c r="U934" i="7949"/>
  <c r="U554" i="7949"/>
  <c r="U2013" i="7949"/>
  <c r="U2059" i="7949" s="1"/>
  <c r="V2059" i="7949" s="1"/>
  <c r="W2059" i="7949" s="1"/>
  <c r="U500" i="7949"/>
  <c r="U1364" i="7949"/>
  <c r="U772" i="7949"/>
  <c r="U1473" i="7949"/>
  <c r="U1519" i="7949" s="1"/>
  <c r="V1519" i="7949" s="1"/>
  <c r="W1519" i="7949" s="1"/>
  <c r="U502" i="7949"/>
  <c r="U1742" i="7949"/>
  <c r="U2606" i="7949"/>
  <c r="U1635" i="7949"/>
  <c r="U1681" i="7949" s="1"/>
  <c r="V1681" i="7949" s="1"/>
  <c r="W1681" i="7949" s="1"/>
  <c r="U2176" i="7949"/>
  <c r="U394" i="7949"/>
  <c r="U2122" i="7949"/>
  <c r="U1636" i="7949"/>
  <c r="U2446" i="7949"/>
  <c r="U179" i="7949"/>
  <c r="U1529" i="7949"/>
  <c r="U2231" i="7949"/>
  <c r="U2123" i="7949"/>
  <c r="T1738" i="7950"/>
  <c r="T1783" i="7950" s="1"/>
  <c r="U1783" i="7950" s="1"/>
  <c r="V1783" i="7950" s="1"/>
  <c r="W1783" i="7950" s="1"/>
  <c r="T1683" i="7950"/>
  <c r="T1705" i="7950" s="1"/>
  <c r="T2223" i="7950"/>
  <c r="T2245" i="7950" s="1"/>
  <c r="U2245" i="7950" s="1"/>
  <c r="V2245" i="7950" s="1"/>
  <c r="W2245" i="7950" s="1"/>
  <c r="T2442" i="7950"/>
  <c r="T2603" i="7950"/>
  <c r="T1630" i="7950"/>
  <c r="T1675" i="7950" s="1"/>
  <c r="U1675" i="7950" s="1"/>
  <c r="V1675" i="7950" s="1"/>
  <c r="W1675" i="7950" s="1"/>
  <c r="T819" i="7950"/>
  <c r="T841" i="7950" s="1"/>
  <c r="T1144" i="7950"/>
  <c r="T1189" i="7950" s="1"/>
  <c r="U1189" i="7950" s="1"/>
  <c r="V1189" i="7950" s="1"/>
  <c r="W1189" i="7950" s="1"/>
  <c r="T1521" i="7950"/>
  <c r="T1543" i="7950" s="1"/>
  <c r="T604" i="7950"/>
  <c r="T649" i="7950" s="1"/>
  <c r="U649" i="7950" s="1"/>
  <c r="V649" i="7950" s="1"/>
  <c r="W649" i="7950" s="1"/>
  <c r="T2332" i="7950"/>
  <c r="T2377" i="7950" s="1"/>
  <c r="U2377" i="7950" s="1"/>
  <c r="V2377" i="7950" s="1"/>
  <c r="W2377" i="7950" s="1"/>
  <c r="T1793" i="7950"/>
  <c r="T657" i="7950"/>
  <c r="T679" i="7950" s="1"/>
  <c r="T2277" i="7950"/>
  <c r="T2299" i="7950" s="1"/>
  <c r="T1360" i="7950"/>
  <c r="T1405" i="7950" s="1"/>
  <c r="U1405" i="7950" s="1"/>
  <c r="V1405" i="7950" s="1"/>
  <c r="W1405" i="7950" s="1"/>
  <c r="T389" i="7950"/>
  <c r="T1200" i="7950"/>
  <c r="T2333" i="7950"/>
  <c r="T2063" i="7950"/>
  <c r="T875" i="7950"/>
  <c r="T174" i="7950"/>
  <c r="T282" i="7950"/>
  <c r="T1092" i="7950"/>
  <c r="T2388" i="7950"/>
  <c r="T2496" i="7950"/>
  <c r="P316" i="18"/>
  <c r="P513" i="18"/>
  <c r="P293" i="18"/>
  <c r="P241" i="18"/>
  <c r="P475" i="18"/>
  <c r="P670" i="18"/>
  <c r="P618" i="18"/>
  <c r="P436" i="18"/>
  <c r="P332" i="18"/>
  <c r="P631" i="18"/>
  <c r="P657" i="18"/>
  <c r="P433" i="18"/>
  <c r="P266" i="18"/>
  <c r="P188" i="18"/>
  <c r="P85" i="18"/>
  <c r="P267" i="18"/>
  <c r="P472" i="18"/>
  <c r="P300" i="18"/>
  <c r="P305" i="18"/>
  <c r="P224" i="18"/>
  <c r="P331" i="18"/>
  <c r="P586" i="18"/>
  <c r="P329" i="18"/>
  <c r="P613" i="18"/>
  <c r="P344" i="18"/>
  <c r="P404" i="18"/>
  <c r="P200" i="18"/>
  <c r="P525" i="18"/>
  <c r="P486" i="18"/>
  <c r="P590" i="18"/>
  <c r="P355" i="18"/>
  <c r="P317" i="18"/>
  <c r="P562" i="18"/>
  <c r="P589" i="18"/>
  <c r="P263" i="18"/>
  <c r="P290" i="18"/>
  <c r="P560" i="18"/>
  <c r="P277" i="18"/>
  <c r="P511" i="18"/>
  <c r="P626" i="18"/>
  <c r="P326" i="18"/>
  <c r="P302" i="18"/>
  <c r="P383" i="18"/>
  <c r="P210" i="18"/>
  <c r="P304" i="18"/>
  <c r="P339" i="18"/>
  <c r="P669" i="18"/>
  <c r="P279" i="18"/>
  <c r="P318" i="18"/>
  <c r="P630" i="18"/>
  <c r="P214" i="18"/>
  <c r="P396" i="18"/>
  <c r="P175" i="18"/>
  <c r="P709" i="18"/>
  <c r="P72" i="18"/>
  <c r="P189" i="18"/>
  <c r="P254" i="18"/>
  <c r="P98" i="18"/>
  <c r="P202" i="18"/>
  <c r="P410" i="18"/>
  <c r="P514" i="18"/>
  <c r="P319" i="18"/>
  <c r="P488" i="18"/>
  <c r="P449" i="18"/>
  <c r="P358" i="18"/>
  <c r="P605" i="18"/>
  <c r="P394" i="18"/>
  <c r="P604" i="18"/>
  <c r="P430" i="18"/>
  <c r="P223" i="18"/>
  <c r="P222" i="18"/>
  <c r="P550" i="18"/>
  <c r="P668" i="18"/>
  <c r="P487" i="18"/>
  <c r="P482" i="18"/>
  <c r="P367" i="18"/>
  <c r="P563" i="18"/>
  <c r="P379" i="18"/>
  <c r="P253" i="18"/>
  <c r="P183" i="18"/>
  <c r="P574" i="18"/>
  <c r="P483" i="18"/>
  <c r="P171" i="18"/>
  <c r="P392" i="18"/>
  <c r="P484" i="18"/>
  <c r="P539" i="18"/>
  <c r="P370" i="18"/>
  <c r="P625" i="18"/>
  <c r="P197" i="18"/>
  <c r="P535" i="18"/>
  <c r="P238" i="18"/>
  <c r="P226" i="18"/>
  <c r="P407" i="18"/>
  <c r="P381" i="18"/>
  <c r="P614" i="18"/>
  <c r="P667" i="18"/>
  <c r="P406" i="18"/>
  <c r="P264" i="18"/>
  <c r="P459" i="18"/>
  <c r="P212" i="18"/>
  <c r="P432" i="18"/>
  <c r="P198" i="18"/>
  <c r="P225" i="18"/>
  <c r="P380" i="18"/>
  <c r="P184" i="18"/>
  <c r="P417" i="18"/>
  <c r="P640" i="18"/>
  <c r="P509" i="18"/>
  <c r="P236" i="18"/>
  <c r="P352" i="18"/>
  <c r="P508" i="18"/>
  <c r="P521" i="18"/>
  <c r="P703" i="18"/>
  <c r="P677" i="18"/>
  <c r="P704" i="18"/>
  <c r="P678" i="18"/>
  <c r="P651" i="18"/>
  <c r="P679" i="18"/>
  <c r="P652" i="18"/>
  <c r="P612" i="18"/>
  <c r="P705" i="18"/>
  <c r="P262" i="18"/>
  <c r="P261" i="18"/>
  <c r="P274" i="18"/>
  <c r="P391" i="18"/>
  <c r="P249" i="18"/>
  <c r="P196" i="18"/>
  <c r="P692" i="18"/>
  <c r="P418" i="18"/>
  <c r="P680" i="18"/>
  <c r="P706" i="18"/>
  <c r="P693" i="18"/>
  <c r="P627" i="18"/>
  <c r="P548" i="18"/>
  <c r="P602" i="18"/>
  <c r="P549" i="18"/>
  <c r="P694" i="18"/>
  <c r="P537" i="18"/>
  <c r="P419" i="18"/>
  <c r="P666" i="18"/>
  <c r="P314" i="18"/>
  <c r="P707" i="18"/>
  <c r="P510" i="18"/>
  <c r="P248" i="18"/>
  <c r="P469" i="18"/>
  <c r="P211" i="18"/>
  <c r="P354" i="18"/>
  <c r="P315" i="18"/>
  <c r="P289" i="18"/>
  <c r="P393" i="18"/>
  <c r="P327" i="18"/>
  <c r="P237" i="18"/>
  <c r="P576" i="18"/>
  <c r="P498" i="18"/>
  <c r="P665" i="18"/>
  <c r="P341" i="18"/>
  <c r="P601" i="18"/>
  <c r="P681" i="18"/>
  <c r="P536" i="18"/>
  <c r="P497" i="18"/>
  <c r="P575" i="18"/>
  <c r="P603" i="18"/>
  <c r="P291" i="18"/>
  <c r="P408" i="18"/>
  <c r="P695" i="18"/>
  <c r="P641" i="18"/>
  <c r="P653" i="18"/>
  <c r="P356" i="18"/>
  <c r="P551" i="18"/>
  <c r="P499" i="18"/>
  <c r="P343" i="18"/>
  <c r="P187" i="18"/>
  <c r="P199" i="18"/>
  <c r="P369" i="18"/>
  <c r="P239" i="18"/>
  <c r="P265" i="18"/>
  <c r="P577" i="18"/>
  <c r="P395" i="18"/>
  <c r="P708" i="18"/>
  <c r="P682" i="18"/>
  <c r="P447" i="18"/>
  <c r="P654" i="18"/>
  <c r="P655" i="18"/>
  <c r="P474" i="18"/>
  <c r="P656" i="18"/>
  <c r="P683" i="18"/>
  <c r="P280" i="18"/>
  <c r="P150" i="18"/>
  <c r="P306" i="18"/>
  <c r="P696" i="18"/>
  <c r="P176" i="18"/>
  <c r="P579" i="18"/>
  <c r="P501" i="18"/>
  <c r="P384" i="18"/>
  <c r="P527" i="18"/>
  <c r="P423" i="18"/>
  <c r="P566" i="18"/>
  <c r="P540" i="18"/>
  <c r="P461" i="18"/>
  <c r="P629" i="18"/>
  <c r="P552" i="18"/>
  <c r="P460" i="18"/>
  <c r="P573" i="18"/>
  <c r="P301" i="18"/>
  <c r="P185" i="18"/>
  <c r="P448" i="18"/>
  <c r="P524" i="18"/>
  <c r="P444" i="18"/>
  <c r="P445" i="18"/>
  <c r="P690" i="18"/>
  <c r="P561" i="18"/>
  <c r="P172" i="18"/>
  <c r="P458" i="18"/>
  <c r="P252" i="18"/>
  <c r="P240" i="18"/>
  <c r="P599" i="18"/>
  <c r="P173" i="18"/>
  <c r="P250" i="18"/>
  <c r="P642" i="18"/>
  <c r="P213" i="18"/>
  <c r="P434" i="18"/>
  <c r="P382" i="18"/>
  <c r="P420" i="18"/>
  <c r="P628" i="18"/>
  <c r="P446" i="18"/>
  <c r="P342" i="18"/>
  <c r="P303" i="18"/>
  <c r="P368" i="18"/>
  <c r="P276" i="18"/>
  <c r="P485" i="18"/>
  <c r="P523" i="18"/>
  <c r="P587" i="18"/>
  <c r="P588" i="18"/>
  <c r="P664" i="18"/>
  <c r="P600" i="18"/>
  <c r="P353" i="18"/>
  <c r="P547" i="18"/>
  <c r="P365" i="18"/>
  <c r="P495" i="18"/>
  <c r="P526" i="18"/>
  <c r="P500" i="18"/>
  <c r="P564" i="18"/>
  <c r="P422" i="18"/>
  <c r="P137" i="18"/>
  <c r="P124" i="18"/>
  <c r="P215" i="18"/>
  <c r="P228" i="18"/>
  <c r="P111" i="18"/>
  <c r="P462" i="18"/>
  <c r="P644" i="18"/>
  <c r="P592" i="18"/>
  <c r="P397" i="18"/>
  <c r="P345" i="18"/>
  <c r="P371" i="18"/>
  <c r="P553" i="18"/>
  <c r="P578" i="18"/>
  <c r="P292" i="18"/>
  <c r="P227" i="18"/>
  <c r="P409" i="18"/>
  <c r="P209" i="18"/>
  <c r="P378" i="18"/>
  <c r="P435" i="18"/>
  <c r="P357" i="18"/>
  <c r="P443" i="18"/>
  <c r="P235" i="18"/>
  <c r="P617" i="18"/>
  <c r="P473" i="18"/>
  <c r="P496" i="18"/>
  <c r="P456" i="18"/>
  <c r="P275" i="18"/>
  <c r="P534" i="18"/>
  <c r="P340" i="18"/>
  <c r="P643" i="18"/>
  <c r="P421" i="18"/>
  <c r="P638" i="18"/>
  <c r="P615" i="18"/>
  <c r="P538" i="18"/>
  <c r="P330" i="18"/>
  <c r="P174" i="18"/>
  <c r="P591" i="18"/>
  <c r="P512" i="18"/>
  <c r="P278" i="18"/>
  <c r="P616" i="18"/>
  <c r="P328" i="18"/>
  <c r="P287" i="18"/>
  <c r="P522" i="18"/>
  <c r="P431" i="18"/>
  <c r="P251" i="18"/>
  <c r="P186" i="18"/>
  <c r="P471" i="18"/>
  <c r="P366" i="18"/>
  <c r="P457" i="18"/>
  <c r="P288" i="18"/>
  <c r="P405" i="18"/>
  <c r="P170" i="18"/>
  <c r="P639" i="18"/>
  <c r="P470" i="18"/>
  <c r="P313" i="18"/>
  <c r="P691" i="18"/>
  <c r="P565" i="18"/>
  <c r="N5" i="7959"/>
  <c r="M2172" i="7950"/>
  <c r="M2442" i="7950"/>
  <c r="M2064" i="7950"/>
  <c r="M120" i="7950"/>
  <c r="M2441" i="7950"/>
  <c r="M713" i="7950"/>
  <c r="M1037" i="7950"/>
  <c r="M1038" i="7950"/>
  <c r="M389" i="7950"/>
  <c r="M1631" i="7950"/>
  <c r="M1955" i="7950"/>
  <c r="M228" i="7950"/>
  <c r="M388" i="7950"/>
  <c r="M426" i="7950" s="1"/>
  <c r="M2548" i="7950"/>
  <c r="M2586" i="7950" s="1"/>
  <c r="M1468" i="7950"/>
  <c r="M1506" i="7950" s="1"/>
  <c r="M496" i="7950"/>
  <c r="M765" i="7950"/>
  <c r="M780" i="7950" s="1"/>
  <c r="M873" i="7950"/>
  <c r="M888" i="7950" s="1"/>
  <c r="M225" i="7950"/>
  <c r="M240" i="7950" s="1"/>
  <c r="M1953" i="7950"/>
  <c r="M1968" i="7950" s="1"/>
  <c r="M1575" i="7950"/>
  <c r="M1590" i="7950" s="1"/>
  <c r="M2439" i="7950"/>
  <c r="M2454" i="7950" s="1"/>
  <c r="M2115" i="7950"/>
  <c r="M2130" i="7950" s="1"/>
  <c r="M2223" i="7950"/>
  <c r="M2238" i="7950" s="1"/>
  <c r="M2061" i="7950"/>
  <c r="M2076" i="7950" s="1"/>
  <c r="N2447" i="7949"/>
  <c r="N1529" i="7949"/>
  <c r="N1151" i="7949"/>
  <c r="N1475" i="7949"/>
  <c r="N1421" i="7949"/>
  <c r="N1690" i="7949"/>
  <c r="N1744" i="7949"/>
  <c r="N1799" i="7949"/>
  <c r="N934" i="7949"/>
  <c r="N1204" i="7949"/>
  <c r="N1366" i="7949"/>
  <c r="N1097" i="7949"/>
  <c r="N69" i="7949"/>
  <c r="N108" i="7949" s="1"/>
  <c r="O108" i="7949" s="1"/>
  <c r="P108" i="7949" s="1"/>
  <c r="Q108" i="7949" s="1"/>
  <c r="R108" i="7949" s="1"/>
  <c r="S108" i="7949" s="1"/>
  <c r="T108" i="7949" s="1"/>
  <c r="U108" i="7949" s="1"/>
  <c r="V108" i="7949" s="1"/>
  <c r="W108" i="7949" s="1"/>
  <c r="N2337" i="7949"/>
  <c r="N2376" i="7949" s="1"/>
  <c r="O2376" i="7949" s="1"/>
  <c r="P2376" i="7949" s="1"/>
  <c r="Q2376" i="7949" s="1"/>
  <c r="R2376" i="7949" s="1"/>
  <c r="S2376" i="7949" s="1"/>
  <c r="T2376" i="7949" s="1"/>
  <c r="U2376" i="7949" s="1"/>
  <c r="V2376" i="7949" s="1"/>
  <c r="W2376" i="7949" s="1"/>
  <c r="N2660" i="7949"/>
  <c r="N1257" i="7949"/>
  <c r="N1296" i="7949" s="1"/>
  <c r="O1296" i="7949" s="1"/>
  <c r="P1296" i="7949" s="1"/>
  <c r="Q1296" i="7949" s="1"/>
  <c r="R1296" i="7949" s="1"/>
  <c r="S1296" i="7949" s="1"/>
  <c r="T1296" i="7949" s="1"/>
  <c r="U1296" i="7949" s="1"/>
  <c r="V1296" i="7949" s="1"/>
  <c r="W1296" i="7949" s="1"/>
  <c r="N1364" i="7949"/>
  <c r="N2607" i="7949"/>
  <c r="N2646" i="7949" s="1"/>
  <c r="O2646" i="7949" s="1"/>
  <c r="P2646" i="7949" s="1"/>
  <c r="Q2646" i="7949" s="1"/>
  <c r="R2646" i="7949" s="1"/>
  <c r="S2646" i="7949" s="1"/>
  <c r="T2646" i="7949" s="1"/>
  <c r="U2646" i="7949" s="1"/>
  <c r="V2646" i="7949" s="1"/>
  <c r="W2646" i="7949" s="1"/>
  <c r="N986" i="7949"/>
  <c r="N1851" i="7949"/>
  <c r="N1890" i="7949" s="1"/>
  <c r="O1890" i="7949" s="1"/>
  <c r="P1890" i="7949" s="1"/>
  <c r="Q1890" i="7949" s="1"/>
  <c r="R1890" i="7949" s="1"/>
  <c r="S1890" i="7949" s="1"/>
  <c r="T1890" i="7949" s="1"/>
  <c r="U1890" i="7949" s="1"/>
  <c r="V1890" i="7949" s="1"/>
  <c r="W1890" i="7949" s="1"/>
  <c r="N1365" i="7949"/>
  <c r="N1404" i="7949" s="1"/>
  <c r="O1404" i="7949" s="1"/>
  <c r="P1404" i="7949" s="1"/>
  <c r="Q1404" i="7949" s="1"/>
  <c r="R1404" i="7949" s="1"/>
  <c r="S1404" i="7949" s="1"/>
  <c r="T1404" i="7949" s="1"/>
  <c r="U1404" i="7949" s="1"/>
  <c r="V1404" i="7949" s="1"/>
  <c r="W1404" i="7949" s="1"/>
  <c r="N284" i="7949"/>
  <c r="N2553" i="7949"/>
  <c r="N2592" i="7949" s="1"/>
  <c r="O2592" i="7949" s="1"/>
  <c r="P2592" i="7949" s="1"/>
  <c r="Q2592" i="7949" s="1"/>
  <c r="R2592" i="7949" s="1"/>
  <c r="S2592" i="7949" s="1"/>
  <c r="T2592" i="7949" s="1"/>
  <c r="U2592" i="7949" s="1"/>
  <c r="V2592" i="7949" s="1"/>
  <c r="W2592" i="7949" s="1"/>
  <c r="N2552" i="7949"/>
  <c r="N17" i="7949"/>
  <c r="M1956" i="7950"/>
  <c r="M2226" i="7950"/>
  <c r="M1848" i="7950"/>
  <c r="M2549" i="7950"/>
  <c r="M2225" i="7950"/>
  <c r="M497" i="7950"/>
  <c r="M1901" i="7950"/>
  <c r="M1524" i="7950"/>
  <c r="M2333" i="7950"/>
  <c r="M282" i="7950"/>
  <c r="M443" i="7950"/>
  <c r="M335" i="7950"/>
  <c r="M1305" i="7950"/>
  <c r="M1320" i="7950" s="1"/>
  <c r="M550" i="7950"/>
  <c r="M874" i="7950"/>
  <c r="M912" i="7950" s="1"/>
  <c r="M2116" i="7950"/>
  <c r="M2154" i="7950" s="1"/>
  <c r="M1846" i="7950"/>
  <c r="M1884" i="7950" s="1"/>
  <c r="M1737" i="7950"/>
  <c r="M1752" i="7950" s="1"/>
  <c r="M64" i="7950"/>
  <c r="M102" i="7950" s="1"/>
  <c r="M2547" i="7950"/>
  <c r="M2562" i="7950" s="1"/>
  <c r="M2278" i="7950"/>
  <c r="M2316" i="7950" s="1"/>
  <c r="M2602" i="7950"/>
  <c r="M2277" i="7950"/>
  <c r="M2292" i="7950" s="1"/>
  <c r="M1414" i="7950"/>
  <c r="M1452" i="7950" s="1"/>
  <c r="M1359" i="7950"/>
  <c r="M1374" i="7950" s="1"/>
  <c r="N1961" i="7949"/>
  <c r="N2069" i="7949"/>
  <c r="N1637" i="7949"/>
  <c r="N1043" i="7949"/>
  <c r="N1205" i="7949"/>
  <c r="N1474" i="7949"/>
  <c r="N1528" i="7949"/>
  <c r="N1313" i="7949"/>
  <c r="N556" i="7949"/>
  <c r="N826" i="7949"/>
  <c r="N610" i="7949"/>
  <c r="N1636" i="7949"/>
  <c r="N68" i="7949"/>
  <c r="N717" i="7949"/>
  <c r="N756" i="7949" s="1"/>
  <c r="O756" i="7949" s="1"/>
  <c r="P756" i="7949" s="1"/>
  <c r="Q756" i="7949" s="1"/>
  <c r="R756" i="7949" s="1"/>
  <c r="S756" i="7949" s="1"/>
  <c r="T756" i="7949" s="1"/>
  <c r="U756" i="7949" s="1"/>
  <c r="V756" i="7949" s="1"/>
  <c r="W756" i="7949" s="1"/>
  <c r="N770" i="7949"/>
  <c r="N1689" i="7949"/>
  <c r="N1728" i="7949" s="1"/>
  <c r="O1728" i="7949" s="1"/>
  <c r="P1728" i="7949" s="1"/>
  <c r="Q1728" i="7949" s="1"/>
  <c r="R1728" i="7949" s="1"/>
  <c r="S1728" i="7949" s="1"/>
  <c r="T1728" i="7949" s="1"/>
  <c r="U1728" i="7949" s="1"/>
  <c r="V1728" i="7949" s="1"/>
  <c r="W1728" i="7949" s="1"/>
  <c r="N2228" i="7949"/>
  <c r="N1311" i="7949"/>
  <c r="N1350" i="7949" s="1"/>
  <c r="O1350" i="7949" s="1"/>
  <c r="P1350" i="7949" s="1"/>
  <c r="Q1350" i="7949" s="1"/>
  <c r="R1350" i="7949" s="1"/>
  <c r="S1350" i="7949" s="1"/>
  <c r="T1350" i="7949" s="1"/>
  <c r="U1350" i="7949" s="1"/>
  <c r="V1350" i="7949" s="1"/>
  <c r="W1350" i="7949" s="1"/>
  <c r="N716" i="7949"/>
  <c r="N987" i="7949"/>
  <c r="N1026" i="7949" s="1"/>
  <c r="O1026" i="7949" s="1"/>
  <c r="P1026" i="7949" s="1"/>
  <c r="Q1026" i="7949" s="1"/>
  <c r="R1026" i="7949" s="1"/>
  <c r="S1026" i="7949" s="1"/>
  <c r="T1026" i="7949" s="1"/>
  <c r="U1026" i="7949" s="1"/>
  <c r="V1026" i="7949" s="1"/>
  <c r="W1026" i="7949" s="1"/>
  <c r="N1959" i="7949"/>
  <c r="N1998" i="7949" s="1"/>
  <c r="O1998" i="7949" s="1"/>
  <c r="P1998" i="7949" s="1"/>
  <c r="Q1998" i="7949" s="1"/>
  <c r="R1998" i="7949" s="1"/>
  <c r="S1998" i="7949" s="1"/>
  <c r="T1998" i="7949" s="1"/>
  <c r="U1998" i="7949" s="1"/>
  <c r="V1998" i="7949" s="1"/>
  <c r="W1998" i="7949" s="1"/>
  <c r="N662" i="7949"/>
  <c r="N122" i="7949"/>
  <c r="N1419" i="7949"/>
  <c r="N1458" i="7949" s="1"/>
  <c r="O1458" i="7949" s="1"/>
  <c r="P1458" i="7949" s="1"/>
  <c r="Q1458" i="7949" s="1"/>
  <c r="R1458" i="7949" s="1"/>
  <c r="S1458" i="7949" s="1"/>
  <c r="T1458" i="7949" s="1"/>
  <c r="U1458" i="7949" s="1"/>
  <c r="V1458" i="7949" s="1"/>
  <c r="W1458" i="7949" s="1"/>
  <c r="N879" i="7949"/>
  <c r="N918" i="7949" s="1"/>
  <c r="O918" i="7949" s="1"/>
  <c r="P918" i="7949" s="1"/>
  <c r="Q918" i="7949" s="1"/>
  <c r="R918" i="7949" s="1"/>
  <c r="S918" i="7949" s="1"/>
  <c r="T918" i="7949" s="1"/>
  <c r="U918" i="7949" s="1"/>
  <c r="V918" i="7949" s="1"/>
  <c r="W918" i="7949" s="1"/>
  <c r="N14" i="7949"/>
  <c r="M2118" i="7950"/>
  <c r="M2496" i="7950"/>
  <c r="M984" i="7950"/>
  <c r="M876" i="7950"/>
  <c r="M1577" i="7950"/>
  <c r="M822" i="7950"/>
  <c r="M2279" i="7950"/>
  <c r="M1686" i="7950"/>
  <c r="M1685" i="7950"/>
  <c r="M444" i="7950"/>
  <c r="M605" i="7950"/>
  <c r="M821" i="7950"/>
  <c r="M1306" i="7950"/>
  <c r="M1344" i="7950" s="1"/>
  <c r="M1360" i="7950"/>
  <c r="M1398" i="7950" s="1"/>
  <c r="M658" i="7950"/>
  <c r="M696" i="7950" s="1"/>
  <c r="M118" i="7950"/>
  <c r="M156" i="7950" s="1"/>
  <c r="M280" i="7950"/>
  <c r="M318" i="7950" s="1"/>
  <c r="M1521" i="7950"/>
  <c r="M1536" i="7950" s="1"/>
  <c r="M2440" i="7950"/>
  <c r="M1683" i="7950"/>
  <c r="M1698" i="7950" s="1"/>
  <c r="M2386" i="7950"/>
  <c r="M2424" i="7950" s="1"/>
  <c r="M927" i="7950"/>
  <c r="M942" i="7950" s="1"/>
  <c r="M1413" i="7950"/>
  <c r="M1428" i="7950" s="1"/>
  <c r="M712" i="7950"/>
  <c r="M750" i="7950" s="1"/>
  <c r="M10" i="7950"/>
  <c r="M48" i="7950" s="1"/>
  <c r="N2177" i="7949"/>
  <c r="N2285" i="7949"/>
  <c r="N665" i="7949"/>
  <c r="N503" i="7949"/>
  <c r="N2446" i="7949"/>
  <c r="N179" i="7949"/>
  <c r="N880" i="7949"/>
  <c r="N2014" i="7949"/>
  <c r="N827" i="7949"/>
  <c r="N2339" i="7949"/>
  <c r="N2662" i="7949"/>
  <c r="N1798" i="7949"/>
  <c r="N609" i="7949"/>
  <c r="N648" i="7949" s="1"/>
  <c r="O648" i="7949" s="1"/>
  <c r="P648" i="7949" s="1"/>
  <c r="Q648" i="7949" s="1"/>
  <c r="R648" i="7949" s="1"/>
  <c r="S648" i="7949" s="1"/>
  <c r="T648" i="7949" s="1"/>
  <c r="U648" i="7949" s="1"/>
  <c r="V648" i="7949" s="1"/>
  <c r="W648" i="7949" s="1"/>
  <c r="N1526" i="7949"/>
  <c r="N608" i="7949"/>
  <c r="N446" i="7949"/>
  <c r="N123" i="7949"/>
  <c r="N162" i="7949" s="1"/>
  <c r="O162" i="7949" s="1"/>
  <c r="P162" i="7949" s="1"/>
  <c r="Q162" i="7949" s="1"/>
  <c r="R162" i="7949" s="1"/>
  <c r="S162" i="7949" s="1"/>
  <c r="T162" i="7949" s="1"/>
  <c r="U162" i="7949" s="1"/>
  <c r="V162" i="7949" s="1"/>
  <c r="W162" i="7949" s="1"/>
  <c r="N447" i="7949"/>
  <c r="N486" i="7949" s="1"/>
  <c r="O486" i="7949" s="1"/>
  <c r="P486" i="7949" s="1"/>
  <c r="Q486" i="7949" s="1"/>
  <c r="R486" i="7949" s="1"/>
  <c r="S486" i="7949" s="1"/>
  <c r="T486" i="7949" s="1"/>
  <c r="U486" i="7949" s="1"/>
  <c r="V486" i="7949" s="1"/>
  <c r="W486" i="7949" s="1"/>
  <c r="N2606" i="7949"/>
  <c r="N555" i="7949"/>
  <c r="N594" i="7949" s="1"/>
  <c r="O594" i="7949" s="1"/>
  <c r="P594" i="7949" s="1"/>
  <c r="Q594" i="7949" s="1"/>
  <c r="R594" i="7949" s="1"/>
  <c r="S594" i="7949" s="1"/>
  <c r="T594" i="7949" s="1"/>
  <c r="U594" i="7949" s="1"/>
  <c r="V594" i="7949" s="1"/>
  <c r="W594" i="7949" s="1"/>
  <c r="N1527" i="7949"/>
  <c r="N1566" i="7949" s="1"/>
  <c r="O1566" i="7949" s="1"/>
  <c r="P1566" i="7949" s="1"/>
  <c r="Q1566" i="7949" s="1"/>
  <c r="R1566" i="7949" s="1"/>
  <c r="S1566" i="7949" s="1"/>
  <c r="T1566" i="7949" s="1"/>
  <c r="U1566" i="7949" s="1"/>
  <c r="V1566" i="7949" s="1"/>
  <c r="W1566" i="7949" s="1"/>
  <c r="N176" i="7949"/>
  <c r="N2066" i="7949"/>
  <c r="N2067" i="7949"/>
  <c r="N2106" i="7949" s="1"/>
  <c r="O2106" i="7949" s="1"/>
  <c r="P2106" i="7949" s="1"/>
  <c r="Q2106" i="7949" s="1"/>
  <c r="R2106" i="7949" s="1"/>
  <c r="S2106" i="7949" s="1"/>
  <c r="T2106" i="7949" s="1"/>
  <c r="U2106" i="7949" s="1"/>
  <c r="V2106" i="7949" s="1"/>
  <c r="W2106" i="7949" s="1"/>
  <c r="N554" i="7949"/>
  <c r="M1902" i="7950"/>
  <c r="M1578" i="7950"/>
  <c r="M768" i="7950"/>
  <c r="M498" i="7950"/>
  <c r="M1361" i="7950"/>
  <c r="M660" i="7950"/>
  <c r="M659" i="7950"/>
  <c r="M2495" i="7950"/>
  <c r="M227" i="7950"/>
  <c r="M1253" i="7950"/>
  <c r="M1469" i="7950"/>
  <c r="M66" i="7950"/>
  <c r="M1252" i="7950"/>
  <c r="M1036" i="7950"/>
  <c r="M1074" i="7950" s="1"/>
  <c r="M2332" i="7950"/>
  <c r="M2370" i="7950" s="1"/>
  <c r="M928" i="7950"/>
  <c r="M966" i="7950" s="1"/>
  <c r="M1899" i="7950"/>
  <c r="M1914" i="7950" s="1"/>
  <c r="M2007" i="7950"/>
  <c r="M2022" i="7950" s="1"/>
  <c r="M333" i="7950"/>
  <c r="M348" i="7950" s="1"/>
  <c r="M2169" i="7950"/>
  <c r="M2184" i="7950" s="1"/>
  <c r="M2655" i="7950"/>
  <c r="M2670" i="7950" s="1"/>
  <c r="M63" i="7950"/>
  <c r="M78" i="7950" s="1"/>
  <c r="M1089" i="7950"/>
  <c r="M1104" i="7950" s="1"/>
  <c r="M441" i="7950"/>
  <c r="M456" i="7950" s="1"/>
  <c r="M11" i="7950"/>
  <c r="N2231" i="7949"/>
  <c r="N2123" i="7949"/>
  <c r="N449" i="7949"/>
  <c r="N287" i="7949"/>
  <c r="N2338" i="7949"/>
  <c r="N2608" i="7949"/>
  <c r="N664" i="7949"/>
  <c r="N1582" i="7949"/>
  <c r="N2554" i="7949"/>
  <c r="N989" i="7949"/>
  <c r="N2068" i="7949"/>
  <c r="N502" i="7949"/>
  <c r="N1041" i="7949"/>
  <c r="N1080" i="7949" s="1"/>
  <c r="O1080" i="7949" s="1"/>
  <c r="P1080" i="7949" s="1"/>
  <c r="Q1080" i="7949" s="1"/>
  <c r="R1080" i="7949" s="1"/>
  <c r="S1080" i="7949" s="1"/>
  <c r="T1080" i="7949" s="1"/>
  <c r="U1080" i="7949" s="1"/>
  <c r="V1080" i="7949" s="1"/>
  <c r="W1080" i="7949" s="1"/>
  <c r="N2390" i="7949"/>
  <c r="N1472" i="7949"/>
  <c r="N1094" i="7949"/>
  <c r="N1635" i="7949"/>
  <c r="N1674" i="7949" s="1"/>
  <c r="O1674" i="7949" s="1"/>
  <c r="P1674" i="7949" s="1"/>
  <c r="Q1674" i="7949" s="1"/>
  <c r="R1674" i="7949" s="1"/>
  <c r="S1674" i="7949" s="1"/>
  <c r="T1674" i="7949" s="1"/>
  <c r="U1674" i="7949" s="1"/>
  <c r="V1674" i="7949" s="1"/>
  <c r="W1674" i="7949" s="1"/>
  <c r="N1581" i="7949"/>
  <c r="N1620" i="7949" s="1"/>
  <c r="O1620" i="7949" s="1"/>
  <c r="P1620" i="7949" s="1"/>
  <c r="Q1620" i="7949" s="1"/>
  <c r="R1620" i="7949" s="1"/>
  <c r="S1620" i="7949" s="1"/>
  <c r="T1620" i="7949" s="1"/>
  <c r="U1620" i="7949" s="1"/>
  <c r="V1620" i="7949" s="1"/>
  <c r="W1620" i="7949" s="1"/>
  <c r="N1634" i="7949"/>
  <c r="N2283" i="7949"/>
  <c r="N2322" i="7949" s="1"/>
  <c r="O2322" i="7949" s="1"/>
  <c r="P2322" i="7949" s="1"/>
  <c r="Q2322" i="7949" s="1"/>
  <c r="R2322" i="7949" s="1"/>
  <c r="S2322" i="7949" s="1"/>
  <c r="T2322" i="7949" s="1"/>
  <c r="U2322" i="7949" s="1"/>
  <c r="V2322" i="7949" s="1"/>
  <c r="W2322" i="7949" s="1"/>
  <c r="N1797" i="7949"/>
  <c r="N1836" i="7949" s="1"/>
  <c r="O1836" i="7949" s="1"/>
  <c r="P1836" i="7949" s="1"/>
  <c r="Q1836" i="7949" s="1"/>
  <c r="R1836" i="7949" s="1"/>
  <c r="S1836" i="7949" s="1"/>
  <c r="T1836" i="7949" s="1"/>
  <c r="U1836" i="7949" s="1"/>
  <c r="V1836" i="7949" s="1"/>
  <c r="W1836" i="7949" s="1"/>
  <c r="N1580" i="7949"/>
  <c r="N338" i="7949"/>
  <c r="N2498" i="7949"/>
  <c r="D2120" i="7949"/>
  <c r="D1094" i="7949"/>
  <c r="D716" i="7949"/>
  <c r="D1850" i="7949"/>
  <c r="D500" i="7949"/>
  <c r="D2444" i="7949"/>
  <c r="D1418" i="7949"/>
  <c r="D2498" i="7949"/>
  <c r="D1148" i="7949"/>
  <c r="D2174" i="7949"/>
  <c r="D1472" i="7949"/>
  <c r="D2228" i="7949"/>
  <c r="D387" i="7950"/>
  <c r="E2501" i="7949"/>
  <c r="E665" i="7949"/>
  <c r="D1791" i="7950"/>
  <c r="D1845" i="7950"/>
  <c r="D1629" i="7950"/>
  <c r="D441" i="7950"/>
  <c r="E2285" i="7949"/>
  <c r="E449" i="7949"/>
  <c r="D1683" i="7950"/>
  <c r="E1529" i="7949"/>
  <c r="E2122" i="7949"/>
  <c r="E232" i="7949"/>
  <c r="E2445" i="7949"/>
  <c r="E1852" i="7949"/>
  <c r="E1798" i="7949"/>
  <c r="E1040" i="7949"/>
  <c r="E1688" i="7949"/>
  <c r="E2066" i="7949"/>
  <c r="E393" i="7949"/>
  <c r="E69" i="7949"/>
  <c r="D1575" i="7950"/>
  <c r="E71" i="7949"/>
  <c r="E1474" i="7949"/>
  <c r="E2337" i="7949"/>
  <c r="E2661" i="7949"/>
  <c r="E1473" i="7949"/>
  <c r="D1197" i="7950"/>
  <c r="E1799" i="7949"/>
  <c r="E2067" i="7949"/>
  <c r="E772" i="7949"/>
  <c r="E1148" i="7949"/>
  <c r="E608" i="7949"/>
  <c r="E1202" i="7949"/>
  <c r="D2169" i="7950"/>
  <c r="D927" i="7950"/>
  <c r="E881" i="7949"/>
  <c r="E2662" i="7949"/>
  <c r="E989" i="7949"/>
  <c r="E1527" i="7949"/>
  <c r="E286" i="7949"/>
  <c r="E2229" i="7949"/>
  <c r="E718" i="7949"/>
  <c r="E1042" i="7949"/>
  <c r="E770" i="7949"/>
  <c r="E1634" i="7949"/>
  <c r="D2007" i="7950"/>
  <c r="D2331" i="7950"/>
  <c r="E2554" i="7949"/>
  <c r="E1311" i="7949"/>
  <c r="E1904" i="7949"/>
  <c r="E987" i="7949"/>
  <c r="E1526" i="7949"/>
  <c r="D873" i="7950"/>
  <c r="E1853" i="7949"/>
  <c r="E448" i="7949"/>
  <c r="E2284" i="7949"/>
  <c r="E500" i="7949"/>
  <c r="E2444" i="7949"/>
  <c r="E1310" i="7949"/>
  <c r="E2658" i="7950"/>
  <c r="E1092" i="7950"/>
  <c r="E1847" i="7950"/>
  <c r="E660" i="7950"/>
  <c r="E552" i="7950"/>
  <c r="E1793" i="7950"/>
  <c r="E334" i="7950"/>
  <c r="E1252" i="7950"/>
  <c r="E387" i="7950"/>
  <c r="E226" i="7950"/>
  <c r="E1737" i="7950"/>
  <c r="E1899" i="7950"/>
  <c r="F1907" i="7949"/>
  <c r="F1259" i="7949"/>
  <c r="F1313" i="7949"/>
  <c r="F2553" i="7949"/>
  <c r="F1365" i="7949"/>
  <c r="F665" i="7949"/>
  <c r="F1419" i="7949"/>
  <c r="F1364" i="7949"/>
  <c r="F1312" i="7949"/>
  <c r="F879" i="7949"/>
  <c r="F554" i="7949"/>
  <c r="E2226" i="7950"/>
  <c r="E2279" i="7950"/>
  <c r="E1901" i="7950"/>
  <c r="E1468" i="7950"/>
  <c r="E550" i="7950"/>
  <c r="E657" i="7950"/>
  <c r="E10" i="7950"/>
  <c r="F773" i="7949"/>
  <c r="F2121" i="7949"/>
  <c r="F2122" i="7949"/>
  <c r="F1148" i="7949"/>
  <c r="F1096" i="7949"/>
  <c r="F2336" i="7949"/>
  <c r="E2118" i="7950"/>
  <c r="E1253" i="7950"/>
  <c r="E768" i="7950"/>
  <c r="E1090" i="7950"/>
  <c r="E2223" i="7950"/>
  <c r="E2334" i="7950"/>
  <c r="E1146" i="7950"/>
  <c r="E2550" i="7950"/>
  <c r="E497" i="7950"/>
  <c r="E1955" i="7950"/>
  <c r="E282" i="7950"/>
  <c r="E2116" i="7950"/>
  <c r="E2224" i="7950"/>
  <c r="E928" i="7950"/>
  <c r="E711" i="7950"/>
  <c r="E2601" i="7950"/>
  <c r="E1197" i="7950"/>
  <c r="F2501" i="7949"/>
  <c r="F1097" i="7949"/>
  <c r="F611" i="7949"/>
  <c r="F1366" i="7949"/>
  <c r="F1852" i="7949"/>
  <c r="F2390" i="7949"/>
  <c r="F2661" i="7949"/>
  <c r="F1204" i="7949"/>
  <c r="F392" i="7949"/>
  <c r="F1526" i="7949"/>
  <c r="F232" i="7949"/>
  <c r="F2445" i="7949"/>
  <c r="F15" i="7949"/>
  <c r="E714" i="7950"/>
  <c r="E389" i="7950"/>
  <c r="E930" i="7950"/>
  <c r="E442" i="7950"/>
  <c r="E2007" i="7950"/>
  <c r="E1629" i="7950"/>
  <c r="F1421" i="7949"/>
  <c r="F2014" i="7949"/>
  <c r="F69" i="7949"/>
  <c r="F827" i="7949"/>
  <c r="F2660" i="7949"/>
  <c r="F447" i="7949"/>
  <c r="E1956" i="7950"/>
  <c r="E1199" i="7950"/>
  <c r="E2171" i="7950"/>
  <c r="E2332" i="7950"/>
  <c r="E1198" i="7950"/>
  <c r="E495" i="7950"/>
  <c r="F2176" i="7949"/>
  <c r="F2283" i="7949"/>
  <c r="F1959" i="7949"/>
  <c r="F1367" i="7949"/>
  <c r="F1040" i="7949"/>
  <c r="F2338" i="7949"/>
  <c r="F826" i="7949"/>
  <c r="F2123" i="7949"/>
  <c r="F1581" i="7949"/>
  <c r="F1636" i="7949"/>
  <c r="E1845" i="7950"/>
  <c r="F1690" i="7949"/>
  <c r="E2547" i="7950"/>
  <c r="F556" i="7949"/>
  <c r="F2658" i="7950"/>
  <c r="F1254" i="7950"/>
  <c r="F2117" i="7950"/>
  <c r="F1092" i="7950"/>
  <c r="F390" i="7950"/>
  <c r="F119" i="7950"/>
  <c r="F227" i="7950"/>
  <c r="F2602" i="7950"/>
  <c r="F550" i="7950"/>
  <c r="F496" i="7950"/>
  <c r="F928" i="7950"/>
  <c r="F2169" i="7950"/>
  <c r="F2655" i="7950"/>
  <c r="G2609" i="7949"/>
  <c r="G557" i="7949"/>
  <c r="G2554" i="7949"/>
  <c r="G1204" i="7949"/>
  <c r="G286" i="7949"/>
  <c r="G935" i="7949"/>
  <c r="G393" i="7949"/>
  <c r="G2120" i="7949"/>
  <c r="G125" i="7949"/>
  <c r="G2336" i="7949"/>
  <c r="G15" i="7949"/>
  <c r="F120" i="7950"/>
  <c r="F714" i="7950"/>
  <c r="F713" i="7950"/>
  <c r="F2656" i="7950"/>
  <c r="F1575" i="7950"/>
  <c r="F2547" i="7950"/>
  <c r="G989" i="7949"/>
  <c r="G1636" i="7949"/>
  <c r="G123" i="7949"/>
  <c r="G663" i="7949"/>
  <c r="G880" i="7949"/>
  <c r="F1902" i="7950"/>
  <c r="F1578" i="7950"/>
  <c r="F929" i="7950"/>
  <c r="F118" i="7950"/>
  <c r="F1953" i="7950"/>
  <c r="F2334" i="7950"/>
  <c r="F2657" i="7950"/>
  <c r="F173" i="7950"/>
  <c r="F1145" i="7950"/>
  <c r="F1955" i="7950"/>
  <c r="F2603" i="7950"/>
  <c r="F442" i="7950"/>
  <c r="F2548" i="7950"/>
  <c r="F1197" i="7950"/>
  <c r="F387" i="7950"/>
  <c r="F1683" i="7950"/>
  <c r="F1359" i="7950"/>
  <c r="G2285" i="7949"/>
  <c r="G1799" i="7949"/>
  <c r="G2608" i="7949"/>
  <c r="G71" i="7949"/>
  <c r="G1959" i="7949"/>
  <c r="G1203" i="7949"/>
  <c r="G1905" i="7949"/>
  <c r="G879" i="7949"/>
  <c r="G1310" i="7949"/>
  <c r="G1366" i="7949"/>
  <c r="G662" i="7949"/>
  <c r="G392" i="7949"/>
  <c r="G1364" i="7949"/>
  <c r="F1956" i="7950"/>
  <c r="F336" i="7950"/>
  <c r="F768" i="7950"/>
  <c r="F766" i="7950"/>
  <c r="F1414" i="7950"/>
  <c r="F2008" i="7950"/>
  <c r="G2177" i="7949"/>
  <c r="G2230" i="7949"/>
  <c r="G2661" i="7949"/>
  <c r="G718" i="7949"/>
  <c r="G1850" i="7949"/>
  <c r="G1040" i="7949"/>
  <c r="F1848" i="7950"/>
  <c r="F605" i="7950"/>
  <c r="F2172" i="7950"/>
  <c r="F2332" i="7950"/>
  <c r="F2494" i="7950"/>
  <c r="F873" i="7950"/>
  <c r="G719" i="7949"/>
  <c r="G1311" i="7949"/>
  <c r="G824" i="7949"/>
  <c r="G773" i="7949"/>
  <c r="G1367" i="7949"/>
  <c r="G1583" i="7949"/>
  <c r="G502" i="7949"/>
  <c r="F1845" i="7950"/>
  <c r="G2284" i="7949"/>
  <c r="G447" i="7949"/>
  <c r="G1581" i="7949"/>
  <c r="G449" i="7949"/>
  <c r="G2067" i="7949"/>
  <c r="G2014" i="7949"/>
  <c r="G285" i="7949"/>
  <c r="G2010" i="7950"/>
  <c r="G1362" i="7950"/>
  <c r="G443" i="7950"/>
  <c r="G65" i="7950"/>
  <c r="G336" i="7950"/>
  <c r="G713" i="7950"/>
  <c r="G1090" i="7950"/>
  <c r="G2008" i="7950"/>
  <c r="G1036" i="7950"/>
  <c r="G2224" i="7950"/>
  <c r="G711" i="7950"/>
  <c r="G720" i="7950" s="1"/>
  <c r="H2609" i="7949"/>
  <c r="H1853" i="7949"/>
  <c r="H719" i="7949"/>
  <c r="H1690" i="7949"/>
  <c r="H1528" i="7949"/>
  <c r="H393" i="7949"/>
  <c r="H1311" i="7949"/>
  <c r="H987" i="7949"/>
  <c r="H1150" i="7949"/>
  <c r="H2336" i="7949"/>
  <c r="H1850" i="7949"/>
  <c r="G498" i="7950"/>
  <c r="G1793" i="7950"/>
  <c r="G120" i="7950"/>
  <c r="G1954" i="7950"/>
  <c r="G1467" i="7950"/>
  <c r="G1476" i="7950" s="1"/>
  <c r="G1144" i="7950"/>
  <c r="H1691" i="7949"/>
  <c r="H989" i="7949"/>
  <c r="H1689" i="7949"/>
  <c r="H1367" i="7949"/>
  <c r="H286" i="7949"/>
  <c r="H1796" i="7949"/>
  <c r="G2550" i="7950"/>
  <c r="G2387" i="7950"/>
  <c r="G1469" i="7950"/>
  <c r="G2548" i="7950"/>
  <c r="G1683" i="7950"/>
  <c r="G1692" i="7950" s="1"/>
  <c r="G1251" i="7950"/>
  <c r="G1260" i="7950" s="1"/>
  <c r="G10" i="7950"/>
  <c r="H665" i="7949"/>
  <c r="H2013" i="7949"/>
  <c r="H2499" i="7949"/>
  <c r="H124" i="7949"/>
  <c r="H1580" i="7949"/>
  <c r="H986" i="7949"/>
  <c r="G2172" i="7950"/>
  <c r="G2495" i="7950"/>
  <c r="G1091" i="7950"/>
  <c r="G929" i="7950"/>
  <c r="G984" i="7950"/>
  <c r="G1847" i="7950"/>
  <c r="G604" i="7950"/>
  <c r="G1738" i="7950"/>
  <c r="G603" i="7950"/>
  <c r="G612" i="7950" s="1"/>
  <c r="G1953" i="7950"/>
  <c r="G1962" i="7950" s="1"/>
  <c r="G1089" i="7950"/>
  <c r="G1098" i="7950" s="1"/>
  <c r="G2115" i="7950"/>
  <c r="G2124" i="7950" s="1"/>
  <c r="H2339" i="7949"/>
  <c r="H1529" i="7949"/>
  <c r="D1688" i="7949"/>
  <c r="D662" i="7949"/>
  <c r="D1364" i="7949"/>
  <c r="D878" i="7949"/>
  <c r="D2012" i="7949"/>
  <c r="D986" i="7949"/>
  <c r="D392" i="7949"/>
  <c r="D1310" i="7949"/>
  <c r="D1040" i="7949"/>
  <c r="D770" i="7949"/>
  <c r="D2390" i="7949"/>
  <c r="D1359" i="7950"/>
  <c r="D2223" i="7950"/>
  <c r="E2339" i="7949"/>
  <c r="E1475" i="7949"/>
  <c r="D981" i="7950"/>
  <c r="E1745" i="7949"/>
  <c r="E1097" i="7949"/>
  <c r="D1413" i="7950"/>
  <c r="E1205" i="7949"/>
  <c r="E611" i="7949"/>
  <c r="E1421" i="7949"/>
  <c r="E1743" i="7949"/>
  <c r="E394" i="7949"/>
  <c r="E2553" i="7949"/>
  <c r="E392" i="7949"/>
  <c r="E1204" i="7949"/>
  <c r="E2282" i="7949"/>
  <c r="E1796" i="7949"/>
  <c r="E1690" i="7949"/>
  <c r="E2013" i="7949"/>
  <c r="E285" i="7949"/>
  <c r="E2606" i="7949"/>
  <c r="E1905" i="7949"/>
  <c r="E15" i="7949"/>
  <c r="E2500" i="7949"/>
  <c r="E2338" i="7949"/>
  <c r="E933" i="7949"/>
  <c r="E2446" i="7949"/>
  <c r="E1636" i="7949"/>
  <c r="D765" i="7950"/>
  <c r="E719" i="7949"/>
  <c r="E1744" i="7949"/>
  <c r="E1582" i="7949"/>
  <c r="E663" i="7949"/>
  <c r="E1365" i="7949"/>
  <c r="E1958" i="7949"/>
  <c r="E556" i="7949"/>
  <c r="E1203" i="7949"/>
  <c r="E2174" i="7949"/>
  <c r="E2660" i="7949"/>
  <c r="D2061" i="7950"/>
  <c r="E2069" i="7949"/>
  <c r="E664" i="7949"/>
  <c r="E1150" i="7949"/>
  <c r="E716" i="7949"/>
  <c r="E932" i="7949"/>
  <c r="E1418" i="7949"/>
  <c r="D711" i="7950"/>
  <c r="E2123" i="7949"/>
  <c r="E1366" i="7949"/>
  <c r="E1797" i="7949"/>
  <c r="E2607" i="7949"/>
  <c r="E177" i="7949"/>
  <c r="E609" i="7949"/>
  <c r="E1794" i="7950"/>
  <c r="E390" i="7950"/>
  <c r="E983" i="7950"/>
  <c r="E2117" i="7950"/>
  <c r="E1685" i="7950"/>
  <c r="E659" i="7950"/>
  <c r="E820" i="7950"/>
  <c r="E2440" i="7950"/>
  <c r="E2548" i="7950"/>
  <c r="E819" i="7950"/>
  <c r="E2656" i="7950"/>
  <c r="F2663" i="7949"/>
  <c r="F1961" i="7949"/>
  <c r="F341" i="7949"/>
  <c r="F2446" i="7949"/>
  <c r="F1691" i="7949"/>
  <c r="F501" i="7949"/>
  <c r="F1420" i="7949"/>
  <c r="F555" i="7949"/>
  <c r="F932" i="7949"/>
  <c r="F825" i="7949"/>
  <c r="F124" i="7949"/>
  <c r="F177" i="7949"/>
  <c r="F233" i="7949"/>
  <c r="E1632" i="7950"/>
  <c r="E1740" i="7950"/>
  <c r="E227" i="7950"/>
  <c r="E604" i="7950"/>
  <c r="E2062" i="7950"/>
  <c r="F2285" i="7949"/>
  <c r="F2662" i="7949"/>
  <c r="F1258" i="7949"/>
  <c r="F2607" i="7949"/>
  <c r="F2499" i="7949"/>
  <c r="E2010" i="7950"/>
  <c r="E2063" i="7950"/>
  <c r="E1523" i="7950"/>
  <c r="E1305" i="7950"/>
  <c r="E2331" i="7950"/>
  <c r="E2388" i="7950"/>
  <c r="E1902" i="7950"/>
  <c r="E2495" i="7950"/>
  <c r="E1362" i="7950"/>
  <c r="E2009" i="7950"/>
  <c r="E605" i="7950"/>
  <c r="E1577" i="7950"/>
  <c r="E766" i="7950"/>
  <c r="E2278" i="7950"/>
  <c r="E1089" i="7950"/>
  <c r="E1684" i="7950"/>
  <c r="E2439" i="7950"/>
  <c r="F2555" i="7949"/>
  <c r="F287" i="7949"/>
  <c r="F1744" i="7949"/>
  <c r="F502" i="7949"/>
  <c r="F394" i="7949"/>
  <c r="F1958" i="7949"/>
  <c r="F2175" i="7949"/>
  <c r="F2012" i="7949"/>
  <c r="F2120" i="7949"/>
  <c r="F1094" i="7949"/>
  <c r="F1527" i="7949"/>
  <c r="F2228" i="7949"/>
  <c r="E2172" i="7950"/>
  <c r="E1415" i="7950"/>
  <c r="E2549" i="7950"/>
  <c r="E1306" i="7950"/>
  <c r="E1467" i="7950"/>
  <c r="E1683" i="7950"/>
  <c r="E1413" i="7950"/>
  <c r="F2393" i="7949"/>
  <c r="F286" i="7949"/>
  <c r="F1850" i="7949"/>
  <c r="F1580" i="7949"/>
  <c r="F986" i="7949"/>
  <c r="F1473" i="7949"/>
  <c r="E1416" i="7950"/>
  <c r="E1686" i="7950"/>
  <c r="E1091" i="7950"/>
  <c r="E1522" i="7950"/>
  <c r="E1953" i="7950"/>
  <c r="F934" i="7949"/>
  <c r="F2013" i="7949"/>
  <c r="F1041" i="7949"/>
  <c r="F179" i="7949"/>
  <c r="F610" i="7949"/>
  <c r="F2608" i="7949"/>
  <c r="E1035" i="7950"/>
  <c r="F1745" i="7949"/>
  <c r="F1742" i="7949"/>
  <c r="F878" i="7949"/>
  <c r="E11" i="7950"/>
  <c r="F1257" i="7949"/>
  <c r="F1205" i="7949"/>
  <c r="F608" i="7949"/>
  <c r="F2496" i="7950"/>
  <c r="F1362" i="7950"/>
  <c r="F1253" i="7950"/>
  <c r="F2495" i="7950"/>
  <c r="F2171" i="7950"/>
  <c r="F2063" i="7950"/>
  <c r="F334" i="7950"/>
  <c r="F604" i="7950"/>
  <c r="F2440" i="7950"/>
  <c r="F1143" i="7950"/>
  <c r="F549" i="7950"/>
  <c r="F12" i="7950"/>
  <c r="G1745" i="7949"/>
  <c r="G1151" i="7949"/>
  <c r="G1798" i="7949"/>
  <c r="G340" i="7949"/>
  <c r="G2283" i="7949"/>
  <c r="G1312" i="7949"/>
  <c r="G2499" i="7949"/>
  <c r="G2174" i="7949"/>
  <c r="G69" i="7949"/>
  <c r="G2445" i="7949"/>
  <c r="G1472" i="7949"/>
  <c r="G933" i="7949"/>
  <c r="F2064" i="7950"/>
  <c r="F821" i="7950"/>
  <c r="F1415" i="7950"/>
  <c r="F1468" i="7950"/>
  <c r="F1630" i="7950"/>
  <c r="F2277" i="7950"/>
  <c r="F11" i="7950"/>
  <c r="G611" i="7949"/>
  <c r="G2607" i="7949"/>
  <c r="G826" i="7949"/>
  <c r="G1688" i="7949"/>
  <c r="G2660" i="7949"/>
  <c r="G1365" i="7949"/>
  <c r="F1740" i="7950"/>
  <c r="F174" i="7950"/>
  <c r="F282" i="7950"/>
  <c r="F1900" i="7950"/>
  <c r="F2278" i="7950"/>
  <c r="F1794" i="7950"/>
  <c r="F498" i="7950"/>
  <c r="F1308" i="7950"/>
  <c r="F1038" i="7950"/>
  <c r="F2225" i="7950"/>
  <c r="F875" i="7950"/>
  <c r="F2116" i="7950"/>
  <c r="F1792" i="7950"/>
  <c r="F172" i="7950"/>
  <c r="F657" i="7950"/>
  <c r="F495" i="7950"/>
  <c r="F1467" i="7950"/>
  <c r="G2339" i="7949"/>
  <c r="G1043" i="7949"/>
  <c r="G1313" i="7949"/>
  <c r="G1852" i="7949"/>
  <c r="G1150" i="7949"/>
  <c r="G339" i="7949"/>
  <c r="G1041" i="7949"/>
  <c r="G177" i="7949"/>
  <c r="G878" i="7949"/>
  <c r="G2013" i="7949"/>
  <c r="G1906" i="7949"/>
  <c r="G1148" i="7949"/>
  <c r="G11" i="7949"/>
  <c r="F1524" i="7950"/>
  <c r="F767" i="7950"/>
  <c r="F1847" i="7950"/>
  <c r="F2170" i="7950"/>
  <c r="F1035" i="7950"/>
  <c r="F441" i="7950"/>
  <c r="G1691" i="7949"/>
  <c r="G2338" i="7949"/>
  <c r="G987" i="7949"/>
  <c r="G2552" i="7949"/>
  <c r="G1797" i="7949"/>
  <c r="G716" i="7949"/>
  <c r="F1470" i="7950"/>
  <c r="F1146" i="7950"/>
  <c r="F1307" i="7950"/>
  <c r="F1738" i="7950"/>
  <c r="F2224" i="7950"/>
  <c r="G2391" i="7949"/>
  <c r="G1634" i="7949"/>
  <c r="G1958" i="7949"/>
  <c r="G1420" i="7949"/>
  <c r="G16" i="7949"/>
  <c r="G556" i="7949"/>
  <c r="G501" i="7949"/>
  <c r="G1853" i="7949"/>
  <c r="G2122" i="7949"/>
  <c r="G1094" i="7949"/>
  <c r="G2012" i="7949"/>
  <c r="G664" i="7949"/>
  <c r="G500" i="7949"/>
  <c r="G2337" i="7949"/>
  <c r="G2496" i="7950"/>
  <c r="G2442" i="7950"/>
  <c r="G390" i="7950"/>
  <c r="G1848" i="7950"/>
  <c r="G1685" i="7950"/>
  <c r="G983" i="7950"/>
  <c r="G389" i="7950"/>
  <c r="G1468" i="7950"/>
  <c r="G2602" i="7950"/>
  <c r="G496" i="7950"/>
  <c r="G387" i="7950"/>
  <c r="G396" i="7950" s="1"/>
  <c r="G280" i="7950"/>
  <c r="H2663" i="7949"/>
  <c r="H1151" i="7949"/>
  <c r="H2338" i="7949"/>
  <c r="H826" i="7949"/>
  <c r="H556" i="7949"/>
  <c r="H1798" i="7949"/>
  <c r="H447" i="7949"/>
  <c r="H123" i="7949"/>
  <c r="H2014" i="7949"/>
  <c r="H932" i="7949"/>
  <c r="H1904" i="7949"/>
  <c r="H1094" i="7949"/>
  <c r="H17" i="7949"/>
  <c r="G876" i="7950"/>
  <c r="G2441" i="7950"/>
  <c r="G1631" i="7950"/>
  <c r="G928" i="7950"/>
  <c r="G2655" i="7950"/>
  <c r="G2664" i="7950" s="1"/>
  <c r="G1845" i="7950"/>
  <c r="G1854" i="7950" s="1"/>
  <c r="H1583" i="7949"/>
  <c r="H1258" i="7949"/>
  <c r="H825" i="7949"/>
  <c r="H1419" i="7949"/>
  <c r="H1526" i="7949"/>
  <c r="H500" i="7949"/>
  <c r="G1092" i="7950"/>
  <c r="G659" i="7950"/>
  <c r="G1145" i="7950"/>
  <c r="G982" i="7950"/>
  <c r="G2440" i="7950"/>
  <c r="H1961" i="7949"/>
  <c r="H71" i="7949"/>
  <c r="H934" i="7949"/>
  <c r="H663" i="7949"/>
  <c r="H1582" i="7949"/>
  <c r="H1472" i="7949"/>
  <c r="H1418" i="7949"/>
  <c r="G1524" i="7950"/>
  <c r="G1200" i="7950"/>
  <c r="G227" i="7950"/>
  <c r="G228" i="7950"/>
  <c r="G174" i="7950"/>
  <c r="G1578" i="7950"/>
  <c r="G1360" i="7950"/>
  <c r="G64" i="7950"/>
  <c r="G2386" i="7950"/>
  <c r="G2601" i="7950"/>
  <c r="G2610" i="7950" s="1"/>
  <c r="G1143" i="7950"/>
  <c r="G1152" i="7950" s="1"/>
  <c r="G927" i="7950"/>
  <c r="G936" i="7950" s="1"/>
  <c r="H2393" i="7949"/>
  <c r="H1745" i="7949"/>
  <c r="D1526" i="7949"/>
  <c r="D932" i="7949"/>
  <c r="D11" i="7949"/>
  <c r="D2336" i="7949"/>
  <c r="D554" i="7949"/>
  <c r="D1256" i="7949"/>
  <c r="D2660" i="7949"/>
  <c r="D1305" i="7950"/>
  <c r="D549" i="7950"/>
  <c r="D657" i="7950"/>
  <c r="E2663" i="7949"/>
  <c r="E1907" i="7949"/>
  <c r="D1467" i="7950"/>
  <c r="E1313" i="7949"/>
  <c r="E2231" i="7949"/>
  <c r="E1096" i="7949"/>
  <c r="E1691" i="7949"/>
  <c r="E1472" i="7949"/>
  <c r="E555" i="7949"/>
  <c r="E1094" i="7949"/>
  <c r="E1151" i="7949"/>
  <c r="E2608" i="7949"/>
  <c r="E2498" i="7949"/>
  <c r="D1899" i="7950"/>
  <c r="E1043" i="7949"/>
  <c r="E178" i="7949"/>
  <c r="D1251" i="7950"/>
  <c r="E2555" i="7949"/>
  <c r="E2499" i="7949"/>
  <c r="E1258" i="7949"/>
  <c r="E824" i="7949"/>
  <c r="E1580" i="7949"/>
  <c r="E2228" i="7949"/>
  <c r="D2439" i="7950"/>
  <c r="E502" i="7949"/>
  <c r="E827" i="7949"/>
  <c r="E2176" i="7949"/>
  <c r="E2012" i="7949"/>
  <c r="E825" i="7949"/>
  <c r="E1200" i="7950"/>
  <c r="E1524" i="7950"/>
  <c r="E929" i="7950"/>
  <c r="E2386" i="7950"/>
  <c r="E2115" i="7950"/>
  <c r="E1143" i="7950"/>
  <c r="F1853" i="7949"/>
  <c r="F1960" i="7949"/>
  <c r="F772" i="7949"/>
  <c r="F2229" i="7949"/>
  <c r="F1743" i="7949"/>
  <c r="E1361" i="7950"/>
  <c r="E712" i="7950"/>
  <c r="E603" i="7950"/>
  <c r="F1150" i="7949"/>
  <c r="F448" i="7949"/>
  <c r="F770" i="7949"/>
  <c r="E984" i="7950"/>
  <c r="E388" i="7950"/>
  <c r="E2496" i="7950"/>
  <c r="E767" i="7950"/>
  <c r="E713" i="7950"/>
  <c r="E1738" i="7950"/>
  <c r="E1954" i="7950"/>
  <c r="E2494" i="7950"/>
  <c r="F2447" i="7949"/>
  <c r="F125" i="7949"/>
  <c r="F1151" i="7949"/>
  <c r="F1042" i="7949"/>
  <c r="F824" i="7949"/>
  <c r="F2391" i="7949"/>
  <c r="F2500" i="7949"/>
  <c r="E2657" i="7950"/>
  <c r="E1900" i="7950"/>
  <c r="E1846" i="7950"/>
  <c r="F1528" i="7949"/>
  <c r="F1851" i="7949"/>
  <c r="F1311" i="7949"/>
  <c r="E336" i="7950"/>
  <c r="E2333" i="7950"/>
  <c r="E280" i="7950"/>
  <c r="F2174" i="7949"/>
  <c r="E2655" i="7950"/>
  <c r="F2015" i="7949"/>
  <c r="E2277" i="7950"/>
  <c r="F1472" i="7949"/>
  <c r="F717" i="7949"/>
  <c r="F2606" i="7949"/>
  <c r="F2604" i="7950"/>
  <c r="F1416" i="7950"/>
  <c r="F443" i="7950"/>
  <c r="F982" i="7950"/>
  <c r="F1791" i="7950"/>
  <c r="G2555" i="7949"/>
  <c r="G1529" i="7949"/>
  <c r="G1690" i="7949"/>
  <c r="G1257" i="7949"/>
  <c r="G986" i="7949"/>
  <c r="G2500" i="7949"/>
  <c r="G17" i="7949"/>
  <c r="F2009" i="7950"/>
  <c r="F1252" i="7950"/>
  <c r="F1521" i="7950"/>
  <c r="G1097" i="7949"/>
  <c r="G1527" i="7949"/>
  <c r="G1149" i="7949"/>
  <c r="F1469" i="7950"/>
  <c r="F1306" i="7950"/>
  <c r="F2280" i="7950"/>
  <c r="F1037" i="7950"/>
  <c r="F1793" i="7950"/>
  <c r="F1198" i="7950"/>
  <c r="F712" i="7950"/>
  <c r="F1413" i="7950"/>
  <c r="F10" i="7950"/>
  <c r="G827" i="7949"/>
  <c r="G124" i="7949"/>
  <c r="G934" i="7949"/>
  <c r="G1796" i="7949"/>
  <c r="G2121" i="7949"/>
  <c r="G2390" i="7949"/>
  <c r="F1632" i="7950"/>
  <c r="F874" i="7950"/>
  <c r="F2331" i="7950"/>
  <c r="G2392" i="7949"/>
  <c r="G1689" i="7949"/>
  <c r="G1096" i="7949"/>
  <c r="F2333" i="7950"/>
  <c r="F551" i="7950"/>
  <c r="F1846" i="7950"/>
  <c r="G448" i="7949"/>
  <c r="F2007" i="7950"/>
  <c r="F2493" i="7950"/>
  <c r="F2223" i="7950"/>
  <c r="G1473" i="7949"/>
  <c r="G1907" i="7949"/>
  <c r="G1961" i="7949"/>
  <c r="G2388" i="7950"/>
  <c r="G1307" i="7950"/>
  <c r="G119" i="7950"/>
  <c r="G388" i="7950"/>
  <c r="G2547" i="7950"/>
  <c r="G2556" i="7950" s="1"/>
  <c r="G1521" i="7950"/>
  <c r="G1530" i="7950" s="1"/>
  <c r="H2555" i="7949"/>
  <c r="H449" i="7949"/>
  <c r="H1205" i="7949"/>
  <c r="H2121" i="7949"/>
  <c r="H285" i="7949"/>
  <c r="H1202" i="7949"/>
  <c r="H2606" i="7949"/>
  <c r="G2658" i="7950"/>
  <c r="G2170" i="7950"/>
  <c r="G1900" i="7950"/>
  <c r="H179" i="7949"/>
  <c r="H1743" i="7949"/>
  <c r="H824" i="7949"/>
  <c r="G1686" i="7950"/>
  <c r="G1416" i="7950"/>
  <c r="G441" i="7950"/>
  <c r="G450" i="7950" s="1"/>
  <c r="H1259" i="7949"/>
  <c r="H2230" i="7949"/>
  <c r="G2118" i="7950"/>
  <c r="G1955" i="7950"/>
  <c r="G767" i="7950"/>
  <c r="G1198" i="7950"/>
  <c r="G2494" i="7950"/>
  <c r="G549" i="7950"/>
  <c r="G558" i="7950" s="1"/>
  <c r="H1043" i="7949"/>
  <c r="H2069" i="7949"/>
  <c r="H2445" i="7949"/>
  <c r="H1905" i="7949"/>
  <c r="H232" i="7949"/>
  <c r="H988" i="7949"/>
  <c r="H1581" i="7949"/>
  <c r="H1366" i="7949"/>
  <c r="H2228" i="7949"/>
  <c r="H2552" i="7949"/>
  <c r="G1956" i="7950"/>
  <c r="G875" i="7950"/>
  <c r="G822" i="7950"/>
  <c r="G334" i="7950"/>
  <c r="G2169" i="7950"/>
  <c r="G2178" i="7950" s="1"/>
  <c r="G1359" i="7950"/>
  <c r="G1368" i="7950" s="1"/>
  <c r="H2123" i="7949"/>
  <c r="H2662" i="7949"/>
  <c r="H2392" i="7949"/>
  <c r="H879" i="7949"/>
  <c r="H2554" i="7949"/>
  <c r="H15" i="7949"/>
  <c r="G768" i="7950"/>
  <c r="G2063" i="7950"/>
  <c r="G1199" i="7950"/>
  <c r="G658" i="7950"/>
  <c r="G1791" i="7950"/>
  <c r="G1800" i="7950" s="1"/>
  <c r="G1575" i="7950"/>
  <c r="G1584" i="7950" s="1"/>
  <c r="H1097" i="7949"/>
  <c r="H1906" i="7949"/>
  <c r="H609" i="7949"/>
  <c r="H339" i="7949"/>
  <c r="H2390" i="7949"/>
  <c r="H1256" i="7949"/>
  <c r="H551" i="7950"/>
  <c r="H2441" i="7950"/>
  <c r="H442" i="7950"/>
  <c r="H2010" i="7950"/>
  <c r="H1469" i="7950"/>
  <c r="H2657" i="7950"/>
  <c r="H876" i="7950"/>
  <c r="H1792" i="7950"/>
  <c r="H1794" i="7950"/>
  <c r="H657" i="7950"/>
  <c r="H667" i="7950" s="1"/>
  <c r="H1845" i="7950"/>
  <c r="H1855" i="7950" s="1"/>
  <c r="H172" i="7950"/>
  <c r="H11" i="7950"/>
  <c r="I1853" i="7949"/>
  <c r="I1313" i="7949"/>
  <c r="I1475" i="7949"/>
  <c r="I2662" i="7949"/>
  <c r="I124" i="7949"/>
  <c r="I70" i="7949"/>
  <c r="I177" i="7949"/>
  <c r="I211" i="7949" s="1"/>
  <c r="J211" i="7949" s="1"/>
  <c r="K211" i="7949" s="1"/>
  <c r="L211" i="7949" s="1"/>
  <c r="M211" i="7949" s="1"/>
  <c r="N211" i="7949" s="1"/>
  <c r="O211" i="7949" s="1"/>
  <c r="P211" i="7949" s="1"/>
  <c r="Q211" i="7949" s="1"/>
  <c r="R211" i="7949" s="1"/>
  <c r="S211" i="7949" s="1"/>
  <c r="T211" i="7949" s="1"/>
  <c r="U211" i="7949" s="1"/>
  <c r="V211" i="7949" s="1"/>
  <c r="W211" i="7949" s="1"/>
  <c r="I1473" i="7949"/>
  <c r="I1507" i="7949" s="1"/>
  <c r="J1507" i="7949" s="1"/>
  <c r="K1507" i="7949" s="1"/>
  <c r="L1507" i="7949" s="1"/>
  <c r="M1507" i="7949" s="1"/>
  <c r="N1507" i="7949" s="1"/>
  <c r="O1507" i="7949" s="1"/>
  <c r="P1507" i="7949" s="1"/>
  <c r="Q1507" i="7949" s="1"/>
  <c r="R1507" i="7949" s="1"/>
  <c r="S1507" i="7949" s="1"/>
  <c r="T1507" i="7949" s="1"/>
  <c r="U1507" i="7949" s="1"/>
  <c r="V1507" i="7949" s="1"/>
  <c r="W1507" i="7949" s="1"/>
  <c r="I1095" i="7949"/>
  <c r="I1129" i="7949" s="1"/>
  <c r="J1129" i="7949" s="1"/>
  <c r="K1129" i="7949" s="1"/>
  <c r="L1129" i="7949" s="1"/>
  <c r="M1129" i="7949" s="1"/>
  <c r="N1129" i="7949" s="1"/>
  <c r="O1129" i="7949" s="1"/>
  <c r="P1129" i="7949" s="1"/>
  <c r="Q1129" i="7949" s="1"/>
  <c r="R1129" i="7949" s="1"/>
  <c r="S1129" i="7949" s="1"/>
  <c r="T1129" i="7949" s="1"/>
  <c r="U1129" i="7949" s="1"/>
  <c r="V1129" i="7949" s="1"/>
  <c r="W1129" i="7949" s="1"/>
  <c r="I1851" i="7949"/>
  <c r="I1885" i="7949" s="1"/>
  <c r="J1885" i="7949" s="1"/>
  <c r="K1885" i="7949" s="1"/>
  <c r="L1885" i="7949" s="1"/>
  <c r="M1885" i="7949" s="1"/>
  <c r="N1885" i="7949" s="1"/>
  <c r="O1885" i="7949" s="1"/>
  <c r="P1885" i="7949" s="1"/>
  <c r="Q1885" i="7949" s="1"/>
  <c r="R1885" i="7949" s="1"/>
  <c r="S1885" i="7949" s="1"/>
  <c r="T1885" i="7949" s="1"/>
  <c r="U1885" i="7949" s="1"/>
  <c r="V1885" i="7949" s="1"/>
  <c r="W1885" i="7949" s="1"/>
  <c r="I2606" i="7949"/>
  <c r="I1743" i="7949"/>
  <c r="I1777" i="7949" s="1"/>
  <c r="J1777" i="7949" s="1"/>
  <c r="K1777" i="7949" s="1"/>
  <c r="L1777" i="7949" s="1"/>
  <c r="M1777" i="7949" s="1"/>
  <c r="N1777" i="7949" s="1"/>
  <c r="O1777" i="7949" s="1"/>
  <c r="P1777" i="7949" s="1"/>
  <c r="Q1777" i="7949" s="1"/>
  <c r="R1777" i="7949" s="1"/>
  <c r="S1777" i="7949" s="1"/>
  <c r="T1777" i="7949" s="1"/>
  <c r="U1777" i="7949" s="1"/>
  <c r="V1777" i="7949" s="1"/>
  <c r="W1777" i="7949" s="1"/>
  <c r="H2549" i="7950"/>
  <c r="H2118" i="7950"/>
  <c r="H119" i="7950"/>
  <c r="H1146" i="7950"/>
  <c r="H2064" i="7950"/>
  <c r="H1359" i="7950"/>
  <c r="H1369" i="7950" s="1"/>
  <c r="H12" i="7950"/>
  <c r="I935" i="7949"/>
  <c r="I1798" i="7949"/>
  <c r="I1582" i="7949"/>
  <c r="I2337" i="7949"/>
  <c r="I2371" i="7949" s="1"/>
  <c r="J2371" i="7949" s="1"/>
  <c r="K2371" i="7949" s="1"/>
  <c r="L2371" i="7949" s="1"/>
  <c r="M2371" i="7949" s="1"/>
  <c r="N2371" i="7949" s="1"/>
  <c r="O2371" i="7949" s="1"/>
  <c r="P2371" i="7949" s="1"/>
  <c r="Q2371" i="7949" s="1"/>
  <c r="R2371" i="7949" s="1"/>
  <c r="S2371" i="7949" s="1"/>
  <c r="T2371" i="7949" s="1"/>
  <c r="U2371" i="7949" s="1"/>
  <c r="V2371" i="7949" s="1"/>
  <c r="W2371" i="7949" s="1"/>
  <c r="I663" i="7949"/>
  <c r="I697" i="7949" s="1"/>
  <c r="J697" i="7949" s="1"/>
  <c r="K697" i="7949" s="1"/>
  <c r="L697" i="7949" s="1"/>
  <c r="M697" i="7949" s="1"/>
  <c r="N697" i="7949" s="1"/>
  <c r="O697" i="7949" s="1"/>
  <c r="P697" i="7949" s="1"/>
  <c r="Q697" i="7949" s="1"/>
  <c r="R697" i="7949" s="1"/>
  <c r="S697" i="7949" s="1"/>
  <c r="T697" i="7949" s="1"/>
  <c r="U697" i="7949" s="1"/>
  <c r="V697" i="7949" s="1"/>
  <c r="W697" i="7949" s="1"/>
  <c r="I933" i="7949"/>
  <c r="I967" i="7949" s="1"/>
  <c r="J967" i="7949" s="1"/>
  <c r="K967" i="7949" s="1"/>
  <c r="L967" i="7949" s="1"/>
  <c r="M967" i="7949" s="1"/>
  <c r="N967" i="7949" s="1"/>
  <c r="O967" i="7949" s="1"/>
  <c r="P967" i="7949" s="1"/>
  <c r="Q967" i="7949" s="1"/>
  <c r="R967" i="7949" s="1"/>
  <c r="S967" i="7949" s="1"/>
  <c r="T967" i="7949" s="1"/>
  <c r="U967" i="7949" s="1"/>
  <c r="V967" i="7949" s="1"/>
  <c r="W967" i="7949" s="1"/>
  <c r="H2009" i="7950"/>
  <c r="H1578" i="7950"/>
  <c r="H2225" i="7950"/>
  <c r="H1846" i="7950"/>
  <c r="H714" i="7950"/>
  <c r="H765" i="7950"/>
  <c r="H775" i="7950" s="1"/>
  <c r="I1529" i="7949"/>
  <c r="I125" i="7949"/>
  <c r="I772" i="7949"/>
  <c r="I1149" i="7949"/>
  <c r="I1183" i="7949" s="1"/>
  <c r="J1183" i="7949" s="1"/>
  <c r="K1183" i="7949" s="1"/>
  <c r="L1183" i="7949" s="1"/>
  <c r="M1183" i="7949" s="1"/>
  <c r="N1183" i="7949" s="1"/>
  <c r="O1183" i="7949" s="1"/>
  <c r="P1183" i="7949" s="1"/>
  <c r="Q1183" i="7949" s="1"/>
  <c r="R1183" i="7949" s="1"/>
  <c r="S1183" i="7949" s="1"/>
  <c r="T1183" i="7949" s="1"/>
  <c r="U1183" i="7949" s="1"/>
  <c r="V1183" i="7949" s="1"/>
  <c r="W1183" i="7949" s="1"/>
  <c r="I2444" i="7949"/>
  <c r="H1308" i="7950"/>
  <c r="H1091" i="7950"/>
  <c r="H1252" i="7950"/>
  <c r="H660" i="7950"/>
  <c r="H2170" i="7950"/>
  <c r="H1361" i="7950"/>
  <c r="H1470" i="7950"/>
  <c r="H1632" i="7950"/>
  <c r="H120" i="7950"/>
  <c r="H2547" i="7950"/>
  <c r="H2557" i="7950" s="1"/>
  <c r="H1629" i="7950"/>
  <c r="H1639" i="7950" s="1"/>
  <c r="H496" i="7950"/>
  <c r="H1360" i="7950"/>
  <c r="I2501" i="7949"/>
  <c r="I449" i="7949"/>
  <c r="I1906" i="7949"/>
  <c r="I448" i="7949"/>
  <c r="I988" i="7949"/>
  <c r="I2284" i="7949"/>
  <c r="I1689" i="7949"/>
  <c r="I1723" i="7949" s="1"/>
  <c r="J1723" i="7949" s="1"/>
  <c r="K1723" i="7949" s="1"/>
  <c r="L1723" i="7949" s="1"/>
  <c r="M1723" i="7949" s="1"/>
  <c r="N1723" i="7949" s="1"/>
  <c r="O1723" i="7949" s="1"/>
  <c r="P1723" i="7949" s="1"/>
  <c r="Q1723" i="7949" s="1"/>
  <c r="R1723" i="7949" s="1"/>
  <c r="S1723" i="7949" s="1"/>
  <c r="T1723" i="7949" s="1"/>
  <c r="U1723" i="7949" s="1"/>
  <c r="V1723" i="7949" s="1"/>
  <c r="W1723" i="7949" s="1"/>
  <c r="I1688" i="7949"/>
  <c r="I2067" i="7949"/>
  <c r="I2101" i="7949" s="1"/>
  <c r="J2101" i="7949" s="1"/>
  <c r="K2101" i="7949" s="1"/>
  <c r="L2101" i="7949" s="1"/>
  <c r="M2101" i="7949" s="1"/>
  <c r="N2101" i="7949" s="1"/>
  <c r="O2101" i="7949" s="1"/>
  <c r="P2101" i="7949" s="1"/>
  <c r="Q2101" i="7949" s="1"/>
  <c r="R2101" i="7949" s="1"/>
  <c r="S2101" i="7949" s="1"/>
  <c r="T2101" i="7949" s="1"/>
  <c r="U2101" i="7949" s="1"/>
  <c r="V2101" i="7949" s="1"/>
  <c r="W2101" i="7949" s="1"/>
  <c r="I123" i="7949"/>
  <c r="I157" i="7949" s="1"/>
  <c r="J157" i="7949" s="1"/>
  <c r="K157" i="7949" s="1"/>
  <c r="L157" i="7949" s="1"/>
  <c r="M157" i="7949" s="1"/>
  <c r="N157" i="7949" s="1"/>
  <c r="O157" i="7949" s="1"/>
  <c r="P157" i="7949" s="1"/>
  <c r="Q157" i="7949" s="1"/>
  <c r="R157" i="7949" s="1"/>
  <c r="S157" i="7949" s="1"/>
  <c r="T157" i="7949" s="1"/>
  <c r="U157" i="7949" s="1"/>
  <c r="V157" i="7949" s="1"/>
  <c r="W157" i="7949" s="1"/>
  <c r="I1742" i="7949"/>
  <c r="I1256" i="7949"/>
  <c r="H1306" i="7950"/>
  <c r="H1522" i="7950"/>
  <c r="H226" i="7950"/>
  <c r="H390" i="7950"/>
  <c r="H1254" i="7950"/>
  <c r="H2439" i="7950"/>
  <c r="H2449" i="7950" s="1"/>
  <c r="H819" i="7950"/>
  <c r="H829" i="7950" s="1"/>
  <c r="I233" i="7949"/>
  <c r="I232" i="7949"/>
  <c r="I1042" i="7949"/>
  <c r="I2552" i="7949"/>
  <c r="I825" i="7949"/>
  <c r="I859" i="7949" s="1"/>
  <c r="J859" i="7949" s="1"/>
  <c r="K859" i="7949" s="1"/>
  <c r="L859" i="7949" s="1"/>
  <c r="M859" i="7949" s="1"/>
  <c r="N859" i="7949" s="1"/>
  <c r="O859" i="7949" s="1"/>
  <c r="P859" i="7949" s="1"/>
  <c r="Q859" i="7949" s="1"/>
  <c r="R859" i="7949" s="1"/>
  <c r="S859" i="7949" s="1"/>
  <c r="T859" i="7949" s="1"/>
  <c r="U859" i="7949" s="1"/>
  <c r="V859" i="7949" s="1"/>
  <c r="W859" i="7949" s="1"/>
  <c r="I2120" i="7949"/>
  <c r="H497" i="7950"/>
  <c r="H66" i="7950"/>
  <c r="H713" i="7950"/>
  <c r="H1738" i="7950"/>
  <c r="H2169" i="7950"/>
  <c r="H2179" i="7950" s="1"/>
  <c r="H444" i="7950"/>
  <c r="I2069" i="7949"/>
  <c r="I1474" i="7949"/>
  <c r="I502" i="7949"/>
  <c r="I2553" i="7949"/>
  <c r="I2587" i="7949" s="1"/>
  <c r="J2587" i="7949" s="1"/>
  <c r="K2587" i="7949" s="1"/>
  <c r="L2587" i="7949" s="1"/>
  <c r="M2587" i="7949" s="1"/>
  <c r="N2587" i="7949" s="1"/>
  <c r="O2587" i="7949" s="1"/>
  <c r="P2587" i="7949" s="1"/>
  <c r="Q2587" i="7949" s="1"/>
  <c r="R2587" i="7949" s="1"/>
  <c r="S2587" i="7949" s="1"/>
  <c r="T2587" i="7949" s="1"/>
  <c r="U2587" i="7949" s="1"/>
  <c r="V2587" i="7949" s="1"/>
  <c r="W2587" i="7949" s="1"/>
  <c r="I879" i="7949"/>
  <c r="I913" i="7949" s="1"/>
  <c r="J913" i="7949" s="1"/>
  <c r="K913" i="7949" s="1"/>
  <c r="L913" i="7949" s="1"/>
  <c r="M913" i="7949" s="1"/>
  <c r="N913" i="7949" s="1"/>
  <c r="O913" i="7949" s="1"/>
  <c r="P913" i="7949" s="1"/>
  <c r="Q913" i="7949" s="1"/>
  <c r="R913" i="7949" s="1"/>
  <c r="S913" i="7949" s="1"/>
  <c r="T913" i="7949" s="1"/>
  <c r="U913" i="7949" s="1"/>
  <c r="V913" i="7949" s="1"/>
  <c r="W913" i="7949" s="1"/>
  <c r="I2174" i="7949"/>
  <c r="I2550" i="7950"/>
  <c r="I1362" i="7950"/>
  <c r="I2225" i="7950"/>
  <c r="I2171" i="7950"/>
  <c r="I822" i="7950"/>
  <c r="I2117" i="7950"/>
  <c r="I1253" i="7950"/>
  <c r="I1090" i="7950"/>
  <c r="I1124" i="7950" s="1"/>
  <c r="I496" i="7950"/>
  <c r="I530" i="7950" s="1"/>
  <c r="I819" i="7950"/>
  <c r="I830" i="7950" s="1"/>
  <c r="I1467" i="7950"/>
  <c r="I1478" i="7950" s="1"/>
  <c r="I1413" i="7950"/>
  <c r="I1424" i="7950" s="1"/>
  <c r="J1853" i="7949"/>
  <c r="J935" i="7949"/>
  <c r="J2500" i="7949"/>
  <c r="J1150" i="7949"/>
  <c r="J881" i="7949"/>
  <c r="J1204" i="7949"/>
  <c r="J339" i="7949"/>
  <c r="J374" i="7949" s="1"/>
  <c r="K374" i="7949" s="1"/>
  <c r="L374" i="7949" s="1"/>
  <c r="M374" i="7949" s="1"/>
  <c r="N374" i="7949" s="1"/>
  <c r="O374" i="7949" s="1"/>
  <c r="P374" i="7949" s="1"/>
  <c r="Q374" i="7949" s="1"/>
  <c r="R374" i="7949" s="1"/>
  <c r="S374" i="7949" s="1"/>
  <c r="T374" i="7949" s="1"/>
  <c r="U374" i="7949" s="1"/>
  <c r="V374" i="7949" s="1"/>
  <c r="W374" i="7949" s="1"/>
  <c r="J1742" i="7949"/>
  <c r="J2283" i="7949"/>
  <c r="J2318" i="7949" s="1"/>
  <c r="K2318" i="7949" s="1"/>
  <c r="L2318" i="7949" s="1"/>
  <c r="M2318" i="7949" s="1"/>
  <c r="N2318" i="7949" s="1"/>
  <c r="O2318" i="7949" s="1"/>
  <c r="P2318" i="7949" s="1"/>
  <c r="Q2318" i="7949" s="1"/>
  <c r="R2318" i="7949" s="1"/>
  <c r="S2318" i="7949" s="1"/>
  <c r="T2318" i="7949" s="1"/>
  <c r="U2318" i="7949" s="1"/>
  <c r="V2318" i="7949" s="1"/>
  <c r="W2318" i="7949" s="1"/>
  <c r="J446" i="7949"/>
  <c r="J1526" i="7949"/>
  <c r="J1580" i="7949"/>
  <c r="J14" i="7949"/>
  <c r="I174" i="7950"/>
  <c r="D1958" i="7949"/>
  <c r="D608" i="7949"/>
  <c r="D446" i="7949"/>
  <c r="D2066" i="7949"/>
  <c r="D1521" i="7950"/>
  <c r="D1143" i="7950"/>
  <c r="E1583" i="7949"/>
  <c r="E2393" i="7949"/>
  <c r="E287" i="7949"/>
  <c r="D1035" i="7950"/>
  <c r="E935" i="7949"/>
  <c r="E2014" i="7949"/>
  <c r="E1581" i="7949"/>
  <c r="E2230" i="7949"/>
  <c r="E2552" i="7949"/>
  <c r="E986" i="7949"/>
  <c r="E1528" i="7949"/>
  <c r="E2175" i="7949"/>
  <c r="E554" i="7949"/>
  <c r="E1312" i="7949"/>
  <c r="E2390" i="7949"/>
  <c r="D495" i="7950"/>
  <c r="E341" i="7949"/>
  <c r="E610" i="7949"/>
  <c r="E501" i="7949"/>
  <c r="E123" i="7949"/>
  <c r="E340" i="7949"/>
  <c r="E233" i="7949"/>
  <c r="E1149" i="7949"/>
  <c r="E2120" i="7949"/>
  <c r="E1959" i="7949"/>
  <c r="E1742" i="7949"/>
  <c r="E11" i="7949"/>
  <c r="E1308" i="7950"/>
  <c r="E875" i="7950"/>
  <c r="E444" i="7950"/>
  <c r="E1360" i="7950"/>
  <c r="E441" i="7950"/>
  <c r="E765" i="7950"/>
  <c r="F1475" i="7949"/>
  <c r="F1582" i="7949"/>
  <c r="F2498" i="7949"/>
  <c r="F2068" i="7949"/>
  <c r="F1634" i="7949"/>
  <c r="F340" i="7949"/>
  <c r="E1578" i="7950"/>
  <c r="E1145" i="7950"/>
  <c r="F1583" i="7949"/>
  <c r="F933" i="7949"/>
  <c r="F1689" i="7949"/>
  <c r="E2064" i="7950"/>
  <c r="E65" i="7950"/>
  <c r="E2008" i="7950"/>
  <c r="E1038" i="7950"/>
  <c r="E498" i="7950"/>
  <c r="E1307" i="7950"/>
  <c r="E2170" i="7950"/>
  <c r="E1792" i="7950"/>
  <c r="E1251" i="7950"/>
  <c r="F2609" i="7949"/>
  <c r="F881" i="7949"/>
  <c r="F1149" i="7949"/>
  <c r="F1203" i="7949"/>
  <c r="F1905" i="7949"/>
  <c r="F663" i="7949"/>
  <c r="E2280" i="7950"/>
  <c r="E1469" i="7950"/>
  <c r="E172" i="7950"/>
  <c r="F2231" i="7949"/>
  <c r="F395" i="7949"/>
  <c r="F716" i="7949"/>
  <c r="E2225" i="7950"/>
  <c r="E1576" i="7950"/>
  <c r="F2069" i="7949"/>
  <c r="F2177" i="7949"/>
  <c r="F71" i="7949"/>
  <c r="F1529" i="7949"/>
  <c r="F1095" i="7949"/>
  <c r="F231" i="7949"/>
  <c r="F1474" i="7949"/>
  <c r="F228" i="7950"/>
  <c r="F1523" i="7950"/>
  <c r="F335" i="7950"/>
  <c r="F2386" i="7950"/>
  <c r="F2115" i="7950"/>
  <c r="F1089" i="7950"/>
  <c r="G2231" i="7949"/>
  <c r="G287" i="7949"/>
  <c r="G1419" i="7949"/>
  <c r="G1095" i="7949"/>
  <c r="G2176" i="7949"/>
  <c r="G608" i="7949"/>
  <c r="F1686" i="7950"/>
  <c r="F1739" i="7950"/>
  <c r="F658" i="7950"/>
  <c r="G2123" i="7949"/>
  <c r="G1042" i="7949"/>
  <c r="G1202" i="7949"/>
  <c r="G932" i="7949"/>
  <c r="F659" i="7950"/>
  <c r="F1090" i="7950"/>
  <c r="F2388" i="7950"/>
  <c r="F822" i="7950"/>
  <c r="F930" i="7950"/>
  <c r="F226" i="7950"/>
  <c r="F1144" i="7950"/>
  <c r="F711" i="7950"/>
  <c r="G2393" i="7949"/>
  <c r="G2446" i="7949"/>
  <c r="G178" i="7949"/>
  <c r="G1474" i="7949"/>
  <c r="G1904" i="7949"/>
  <c r="F2226" i="7950"/>
  <c r="F2549" i="7950"/>
  <c r="F388" i="7950"/>
  <c r="F1629" i="7950"/>
  <c r="G772" i="7949"/>
  <c r="G1742" i="7949"/>
  <c r="G717" i="7949"/>
  <c r="F1631" i="7950"/>
  <c r="F1522" i="7950"/>
  <c r="G1421" i="7949"/>
  <c r="G503" i="7949"/>
  <c r="G1205" i="7949"/>
  <c r="G1528" i="7949"/>
  <c r="G1475" i="7949"/>
  <c r="G394" i="7949"/>
  <c r="G609" i="7949"/>
  <c r="G232" i="7949"/>
  <c r="G930" i="7950"/>
  <c r="G2279" i="7950"/>
  <c r="G606" i="7950"/>
  <c r="G226" i="7950"/>
  <c r="G981" i="7950"/>
  <c r="G990" i="7950" s="1"/>
  <c r="G1413" i="7950"/>
  <c r="G1422" i="7950" s="1"/>
  <c r="H1799" i="7949"/>
  <c r="H1636" i="7949"/>
  <c r="H2175" i="7949"/>
  <c r="H1744" i="7949"/>
  <c r="H2176" i="7949"/>
  <c r="H1688" i="7949"/>
  <c r="G1902" i="7950"/>
  <c r="G605" i="7950"/>
  <c r="G12" i="7950"/>
  <c r="H2229" i="7949"/>
  <c r="H880" i="7949"/>
  <c r="H716" i="7949"/>
  <c r="G552" i="7950"/>
  <c r="G2116" i="7950"/>
  <c r="G2062" i="7950"/>
  <c r="H557" i="7949"/>
  <c r="H1959" i="7949"/>
  <c r="H2282" i="7949"/>
  <c r="G1632" i="7950"/>
  <c r="G1470" i="7950"/>
  <c r="G821" i="7950"/>
  <c r="G2332" i="7950"/>
  <c r="G1414" i="7950"/>
  <c r="G1035" i="7950"/>
  <c r="G1044" i="7950" s="1"/>
  <c r="H2447" i="7949"/>
  <c r="H233" i="7949"/>
  <c r="H2500" i="7949"/>
  <c r="H935" i="7949"/>
  <c r="H1041" i="7949"/>
  <c r="H2067" i="7949"/>
  <c r="H1635" i="7949"/>
  <c r="H773" i="7949"/>
  <c r="H501" i="7949"/>
  <c r="H2066" i="7949"/>
  <c r="H2660" i="7949"/>
  <c r="G1254" i="7950"/>
  <c r="G1038" i="7950"/>
  <c r="G497" i="7950"/>
  <c r="G118" i="7950"/>
  <c r="G2278" i="7950"/>
  <c r="G2385" i="7950"/>
  <c r="G2394" i="7950" s="1"/>
  <c r="H2231" i="7949"/>
  <c r="H2068" i="7949"/>
  <c r="H70" i="7949"/>
  <c r="H502" i="7949"/>
  <c r="H1797" i="7949"/>
  <c r="H446" i="7949"/>
  <c r="G2604" i="7950"/>
  <c r="G1523" i="7950"/>
  <c r="G281" i="7950"/>
  <c r="G1306" i="7950"/>
  <c r="G712" i="7950"/>
  <c r="G1846" i="7950"/>
  <c r="G2493" i="7950"/>
  <c r="G2502" i="7950" s="1"/>
  <c r="H395" i="7949"/>
  <c r="H178" i="7949"/>
  <c r="H718" i="7949"/>
  <c r="H717" i="7949"/>
  <c r="H554" i="7949"/>
  <c r="H1742" i="7949"/>
  <c r="H173" i="7950"/>
  <c r="H929" i="7950"/>
  <c r="H984" i="7950"/>
  <c r="H498" i="7950"/>
  <c r="H389" i="7950"/>
  <c r="H1145" i="7950"/>
  <c r="H2602" i="7950"/>
  <c r="H1576" i="7950"/>
  <c r="H1144" i="7950"/>
  <c r="H2115" i="7950"/>
  <c r="H2125" i="7950" s="1"/>
  <c r="H2331" i="7950"/>
  <c r="H2341" i="7950" s="1"/>
  <c r="I2609" i="7949"/>
  <c r="I1907" i="7949"/>
  <c r="I503" i="7949"/>
  <c r="I2392" i="7949"/>
  <c r="I826" i="7949"/>
  <c r="I286" i="7949"/>
  <c r="I394" i="7949"/>
  <c r="I662" i="7949"/>
  <c r="I878" i="7949"/>
  <c r="I2445" i="7949"/>
  <c r="I2479" i="7949" s="1"/>
  <c r="J2479" i="7949" s="1"/>
  <c r="K2479" i="7949" s="1"/>
  <c r="L2479" i="7949" s="1"/>
  <c r="M2479" i="7949" s="1"/>
  <c r="N2479" i="7949" s="1"/>
  <c r="O2479" i="7949" s="1"/>
  <c r="P2479" i="7949" s="1"/>
  <c r="Q2479" i="7949" s="1"/>
  <c r="R2479" i="7949" s="1"/>
  <c r="S2479" i="7949" s="1"/>
  <c r="T2479" i="7949" s="1"/>
  <c r="U2479" i="7949" s="1"/>
  <c r="V2479" i="7949" s="1"/>
  <c r="W2479" i="7949" s="1"/>
  <c r="I1959" i="7949"/>
  <c r="I1993" i="7949" s="1"/>
  <c r="J1993" i="7949" s="1"/>
  <c r="K1993" i="7949" s="1"/>
  <c r="L1993" i="7949" s="1"/>
  <c r="M1993" i="7949" s="1"/>
  <c r="N1993" i="7949" s="1"/>
  <c r="O1993" i="7949" s="1"/>
  <c r="P1993" i="7949" s="1"/>
  <c r="Q1993" i="7949" s="1"/>
  <c r="R1993" i="7949" s="1"/>
  <c r="S1993" i="7949" s="1"/>
  <c r="T1993" i="7949" s="1"/>
  <c r="U1993" i="7949" s="1"/>
  <c r="V1993" i="7949" s="1"/>
  <c r="W1993" i="7949" s="1"/>
  <c r="I554" i="7949"/>
  <c r="I2013" i="7949"/>
  <c r="I2047" i="7949" s="1"/>
  <c r="J2047" i="7949" s="1"/>
  <c r="K2047" i="7949" s="1"/>
  <c r="L2047" i="7949" s="1"/>
  <c r="M2047" i="7949" s="1"/>
  <c r="N2047" i="7949" s="1"/>
  <c r="O2047" i="7949" s="1"/>
  <c r="P2047" i="7949" s="1"/>
  <c r="Q2047" i="7949" s="1"/>
  <c r="R2047" i="7949" s="1"/>
  <c r="S2047" i="7949" s="1"/>
  <c r="T2047" i="7949" s="1"/>
  <c r="U2047" i="7949" s="1"/>
  <c r="V2047" i="7949" s="1"/>
  <c r="W2047" i="7949" s="1"/>
  <c r="H767" i="7950"/>
  <c r="H2388" i="7950"/>
  <c r="H1901" i="7950"/>
  <c r="H2604" i="7950"/>
  <c r="H1413" i="7950"/>
  <c r="H1423" i="7950" s="1"/>
  <c r="I2447" i="7949"/>
  <c r="I557" i="7949"/>
  <c r="I2068" i="7949"/>
  <c r="I555" i="7949"/>
  <c r="I589" i="7949" s="1"/>
  <c r="J589" i="7949" s="1"/>
  <c r="K589" i="7949" s="1"/>
  <c r="L589" i="7949" s="1"/>
  <c r="M589" i="7949" s="1"/>
  <c r="N589" i="7949" s="1"/>
  <c r="O589" i="7949" s="1"/>
  <c r="P589" i="7949" s="1"/>
  <c r="Q589" i="7949" s="1"/>
  <c r="R589" i="7949" s="1"/>
  <c r="S589" i="7949" s="1"/>
  <c r="T589" i="7949" s="1"/>
  <c r="U589" i="7949" s="1"/>
  <c r="V589" i="7949" s="1"/>
  <c r="W589" i="7949" s="1"/>
  <c r="I1419" i="7949"/>
  <c r="I1453" i="7949" s="1"/>
  <c r="J1453" i="7949" s="1"/>
  <c r="K1453" i="7949" s="1"/>
  <c r="L1453" i="7949" s="1"/>
  <c r="M1453" i="7949" s="1"/>
  <c r="N1453" i="7949" s="1"/>
  <c r="O1453" i="7949" s="1"/>
  <c r="P1453" i="7949" s="1"/>
  <c r="Q1453" i="7949" s="1"/>
  <c r="R1453" i="7949" s="1"/>
  <c r="S1453" i="7949" s="1"/>
  <c r="T1453" i="7949" s="1"/>
  <c r="U1453" i="7949" s="1"/>
  <c r="V1453" i="7949" s="1"/>
  <c r="W1453" i="7949" s="1"/>
  <c r="I446" i="7949"/>
  <c r="I17" i="7949"/>
  <c r="H2279" i="7950"/>
  <c r="H1848" i="7950"/>
  <c r="H2495" i="7950"/>
  <c r="H873" i="7950"/>
  <c r="H883" i="7950" s="1"/>
  <c r="H495" i="7950"/>
  <c r="H505" i="7950" s="1"/>
  <c r="H2226" i="7950"/>
  <c r="I881" i="7949"/>
  <c r="I880" i="7949"/>
  <c r="I179" i="7949"/>
  <c r="I2282" i="7949"/>
  <c r="I1904" i="7949"/>
  <c r="I717" i="7949"/>
  <c r="I751" i="7949" s="1"/>
  <c r="J751" i="7949" s="1"/>
  <c r="K751" i="7949" s="1"/>
  <c r="L751" i="7949" s="1"/>
  <c r="M751" i="7949" s="1"/>
  <c r="N751" i="7949" s="1"/>
  <c r="O751" i="7949" s="1"/>
  <c r="P751" i="7949" s="1"/>
  <c r="Q751" i="7949" s="1"/>
  <c r="R751" i="7949" s="1"/>
  <c r="S751" i="7949" s="1"/>
  <c r="T751" i="7949" s="1"/>
  <c r="U751" i="7949" s="1"/>
  <c r="V751" i="7949" s="1"/>
  <c r="W751" i="7949" s="1"/>
  <c r="H2117" i="7950"/>
  <c r="H335" i="7950"/>
  <c r="H552" i="7950"/>
  <c r="H2442" i="7950"/>
  <c r="H2333" i="7950"/>
  <c r="H1199" i="7950"/>
  <c r="H2658" i="7950"/>
  <c r="H2656" i="7950"/>
  <c r="H282" i="7950"/>
  <c r="H1575" i="7950"/>
  <c r="H1585" i="7950" s="1"/>
  <c r="H1740" i="7950"/>
  <c r="H2224" i="7950"/>
  <c r="I2555" i="7949"/>
  <c r="I1205" i="7949"/>
  <c r="I827" i="7949"/>
  <c r="I2230" i="7949"/>
  <c r="I2014" i="7949"/>
  <c r="I1637" i="7949"/>
  <c r="I447" i="7949"/>
  <c r="I481" i="7949" s="1"/>
  <c r="J481" i="7949" s="1"/>
  <c r="K481" i="7949" s="1"/>
  <c r="L481" i="7949" s="1"/>
  <c r="M481" i="7949" s="1"/>
  <c r="N481" i="7949" s="1"/>
  <c r="O481" i="7949" s="1"/>
  <c r="P481" i="7949" s="1"/>
  <c r="Q481" i="7949" s="1"/>
  <c r="R481" i="7949" s="1"/>
  <c r="S481" i="7949" s="1"/>
  <c r="T481" i="7949" s="1"/>
  <c r="U481" i="7949" s="1"/>
  <c r="V481" i="7949" s="1"/>
  <c r="W481" i="7949" s="1"/>
  <c r="I1905" i="7949"/>
  <c r="I1939" i="7949" s="1"/>
  <c r="J1939" i="7949" s="1"/>
  <c r="K1939" i="7949" s="1"/>
  <c r="L1939" i="7949" s="1"/>
  <c r="M1939" i="7949" s="1"/>
  <c r="N1939" i="7949" s="1"/>
  <c r="O1939" i="7949" s="1"/>
  <c r="P1939" i="7949" s="1"/>
  <c r="Q1939" i="7949" s="1"/>
  <c r="R1939" i="7949" s="1"/>
  <c r="S1939" i="7949" s="1"/>
  <c r="T1939" i="7949" s="1"/>
  <c r="U1939" i="7949" s="1"/>
  <c r="V1939" i="7949" s="1"/>
  <c r="W1939" i="7949" s="1"/>
  <c r="I1311" i="7949"/>
  <c r="I1345" i="7949" s="1"/>
  <c r="J1345" i="7949" s="1"/>
  <c r="K1345" i="7949" s="1"/>
  <c r="L1345" i="7949" s="1"/>
  <c r="M1345" i="7949" s="1"/>
  <c r="N1345" i="7949" s="1"/>
  <c r="O1345" i="7949" s="1"/>
  <c r="P1345" i="7949" s="1"/>
  <c r="Q1345" i="7949" s="1"/>
  <c r="R1345" i="7949" s="1"/>
  <c r="S1345" i="7949" s="1"/>
  <c r="T1345" i="7949" s="1"/>
  <c r="U1345" i="7949" s="1"/>
  <c r="V1345" i="7949" s="1"/>
  <c r="W1345" i="7949" s="1"/>
  <c r="I2283" i="7949"/>
  <c r="I2317" i="7949" s="1"/>
  <c r="J2317" i="7949" s="1"/>
  <c r="K2317" i="7949" s="1"/>
  <c r="L2317" i="7949" s="1"/>
  <c r="M2317" i="7949" s="1"/>
  <c r="N2317" i="7949" s="1"/>
  <c r="O2317" i="7949" s="1"/>
  <c r="P2317" i="7949" s="1"/>
  <c r="Q2317" i="7949" s="1"/>
  <c r="R2317" i="7949" s="1"/>
  <c r="S2317" i="7949" s="1"/>
  <c r="T2317" i="7949" s="1"/>
  <c r="U2317" i="7949" s="1"/>
  <c r="V2317" i="7949" s="1"/>
  <c r="W2317" i="7949" s="1"/>
  <c r="I2607" i="7949"/>
  <c r="I2641" i="7949" s="1"/>
  <c r="J2641" i="7949" s="1"/>
  <c r="K2641" i="7949" s="1"/>
  <c r="L2641" i="7949" s="1"/>
  <c r="M2641" i="7949" s="1"/>
  <c r="N2641" i="7949" s="1"/>
  <c r="O2641" i="7949" s="1"/>
  <c r="P2641" i="7949" s="1"/>
  <c r="Q2641" i="7949" s="1"/>
  <c r="R2641" i="7949" s="1"/>
  <c r="S2641" i="7949" s="1"/>
  <c r="T2641" i="7949" s="1"/>
  <c r="U2641" i="7949" s="1"/>
  <c r="V2641" i="7949" s="1"/>
  <c r="W2641" i="7949" s="1"/>
  <c r="H1037" i="7950"/>
  <c r="H606" i="7950"/>
  <c r="H1253" i="7950"/>
  <c r="H280" i="7950"/>
  <c r="H712" i="7950"/>
  <c r="H2496" i="7950"/>
  <c r="I2177" i="7949"/>
  <c r="I71" i="7949"/>
  <c r="I340" i="7949"/>
  <c r="I69" i="7949"/>
  <c r="I103" i="7949" s="1"/>
  <c r="J103" i="7949" s="1"/>
  <c r="K103" i="7949" s="1"/>
  <c r="L103" i="7949" s="1"/>
  <c r="M103" i="7949" s="1"/>
  <c r="N103" i="7949" s="1"/>
  <c r="O103" i="7949" s="1"/>
  <c r="P103" i="7949" s="1"/>
  <c r="Q103" i="7949" s="1"/>
  <c r="R103" i="7949" s="1"/>
  <c r="S103" i="7949" s="1"/>
  <c r="T103" i="7949" s="1"/>
  <c r="U103" i="7949" s="1"/>
  <c r="V103" i="7949" s="1"/>
  <c r="W103" i="7949" s="1"/>
  <c r="I2228" i="7949"/>
  <c r="I1365" i="7949"/>
  <c r="I1399" i="7949" s="1"/>
  <c r="J1399" i="7949" s="1"/>
  <c r="K1399" i="7949" s="1"/>
  <c r="L1399" i="7949" s="1"/>
  <c r="M1399" i="7949" s="1"/>
  <c r="N1399" i="7949" s="1"/>
  <c r="O1399" i="7949" s="1"/>
  <c r="P1399" i="7949" s="1"/>
  <c r="Q1399" i="7949" s="1"/>
  <c r="R1399" i="7949" s="1"/>
  <c r="S1399" i="7949" s="1"/>
  <c r="T1399" i="7949" s="1"/>
  <c r="U1399" i="7949" s="1"/>
  <c r="V1399" i="7949" s="1"/>
  <c r="W1399" i="7949" s="1"/>
  <c r="I2012" i="7949"/>
  <c r="H604" i="7950"/>
  <c r="H2548" i="7950"/>
  <c r="H2332" i="7950"/>
  <c r="H1035" i="7950"/>
  <c r="H1045" i="7950" s="1"/>
  <c r="H1467" i="7950"/>
  <c r="H1477" i="7950" s="1"/>
  <c r="H441" i="7950"/>
  <c r="H451" i="7950" s="1"/>
  <c r="I1151" i="7949"/>
  <c r="I1744" i="7949"/>
  <c r="I1420" i="7949"/>
  <c r="I1796" i="7949"/>
  <c r="I986" i="7949"/>
  <c r="I1040" i="7949"/>
  <c r="I2604" i="7950"/>
  <c r="I1416" i="7950"/>
  <c r="I1361" i="7950"/>
  <c r="I1199" i="7950"/>
  <c r="I2657" i="7950"/>
  <c r="I1091" i="7950"/>
  <c r="I118" i="7950"/>
  <c r="I152" i="7950" s="1"/>
  <c r="I1684" i="7950"/>
  <c r="I1718" i="7950" s="1"/>
  <c r="I2115" i="7950"/>
  <c r="I2126" i="7950" s="1"/>
  <c r="I873" i="7950"/>
  <c r="I884" i="7950" s="1"/>
  <c r="I1576" i="7950"/>
  <c r="I1610" i="7950" s="1"/>
  <c r="I1738" i="7950"/>
  <c r="I1772" i="7950" s="1"/>
  <c r="J1907" i="7949"/>
  <c r="J1529" i="7949"/>
  <c r="J1744" i="7949"/>
  <c r="J286" i="7949"/>
  <c r="J1258" i="7949"/>
  <c r="J1312" i="7949"/>
  <c r="J2499" i="7949"/>
  <c r="J2534" i="7949" s="1"/>
  <c r="K2534" i="7949" s="1"/>
  <c r="L2534" i="7949" s="1"/>
  <c r="M2534" i="7949" s="1"/>
  <c r="N2534" i="7949" s="1"/>
  <c r="O2534" i="7949" s="1"/>
  <c r="P2534" i="7949" s="1"/>
  <c r="Q2534" i="7949" s="1"/>
  <c r="R2534" i="7949" s="1"/>
  <c r="S2534" i="7949" s="1"/>
  <c r="T2534" i="7949" s="1"/>
  <c r="U2534" i="7949" s="1"/>
  <c r="V2534" i="7949" s="1"/>
  <c r="W2534" i="7949" s="1"/>
  <c r="J2012" i="7949"/>
  <c r="J933" i="7949"/>
  <c r="J968" i="7949" s="1"/>
  <c r="K968" i="7949" s="1"/>
  <c r="L968" i="7949" s="1"/>
  <c r="M968" i="7949" s="1"/>
  <c r="N968" i="7949" s="1"/>
  <c r="O968" i="7949" s="1"/>
  <c r="P968" i="7949" s="1"/>
  <c r="Q968" i="7949" s="1"/>
  <c r="R968" i="7949" s="1"/>
  <c r="S968" i="7949" s="1"/>
  <c r="T968" i="7949" s="1"/>
  <c r="U968" i="7949" s="1"/>
  <c r="V968" i="7949" s="1"/>
  <c r="W968" i="7949" s="1"/>
  <c r="J1850" i="7949"/>
  <c r="J2660" i="7949"/>
  <c r="J1257" i="7949"/>
  <c r="J1292" i="7949" s="1"/>
  <c r="K1292" i="7949" s="1"/>
  <c r="L1292" i="7949" s="1"/>
  <c r="M1292" i="7949" s="1"/>
  <c r="N1292" i="7949" s="1"/>
  <c r="O1292" i="7949" s="1"/>
  <c r="P1292" i="7949" s="1"/>
  <c r="Q1292" i="7949" s="1"/>
  <c r="R1292" i="7949" s="1"/>
  <c r="S1292" i="7949" s="1"/>
  <c r="T1292" i="7949" s="1"/>
  <c r="U1292" i="7949" s="1"/>
  <c r="V1292" i="7949" s="1"/>
  <c r="W1292" i="7949" s="1"/>
  <c r="I2118" i="7950"/>
  <c r="I929" i="7950"/>
  <c r="I2279" i="7950"/>
  <c r="I604" i="7950"/>
  <c r="I638" i="7950" s="1"/>
  <c r="I2062" i="7950"/>
  <c r="I2096" i="7950" s="1"/>
  <c r="I2223" i="7950"/>
  <c r="I2234" i="7950" s="1"/>
  <c r="I1414" i="7950"/>
  <c r="I1448" i="7950" s="1"/>
  <c r="J989" i="7949"/>
  <c r="D1580" i="7949"/>
  <c r="D2282" i="7949"/>
  <c r="D1904" i="7949"/>
  <c r="D1796" i="7949"/>
  <c r="D824" i="7949"/>
  <c r="D1953" i="7950"/>
  <c r="E1637" i="7949"/>
  <c r="D2601" i="7950"/>
  <c r="E2447" i="7949"/>
  <c r="E1960" i="7949"/>
  <c r="E2336" i="7949"/>
  <c r="E1041" i="7949"/>
  <c r="E447" i="7949"/>
  <c r="D2115" i="7950"/>
  <c r="E124" i="7949"/>
  <c r="E1906" i="7949"/>
  <c r="E1420" i="7949"/>
  <c r="E1850" i="7949"/>
  <c r="E125" i="7949"/>
  <c r="E446" i="7949"/>
  <c r="E1635" i="7949"/>
  <c r="E228" i="7950"/>
  <c r="E1037" i="7950"/>
  <c r="E1630" i="7950"/>
  <c r="F503" i="7949"/>
  <c r="F2066" i="7949"/>
  <c r="F1202" i="7949"/>
  <c r="E2603" i="7950"/>
  <c r="E2061" i="7950"/>
  <c r="F2282" i="7949"/>
  <c r="E1470" i="7950"/>
  <c r="E1036" i="7950"/>
  <c r="E1739" i="7950"/>
  <c r="E64" i="7950"/>
  <c r="E927" i="7950"/>
  <c r="F2230" i="7949"/>
  <c r="F339" i="7949"/>
  <c r="F123" i="7949"/>
  <c r="E443" i="7950"/>
  <c r="F2339" i="7949"/>
  <c r="F1688" i="7949"/>
  <c r="E876" i="7950"/>
  <c r="F719" i="7949"/>
  <c r="F771" i="7949"/>
  <c r="F70" i="7949"/>
  <c r="F606" i="7950"/>
  <c r="F1199" i="7950"/>
  <c r="F2601" i="7950"/>
  <c r="G1259" i="7949"/>
  <c r="G555" i="7949"/>
  <c r="G2553" i="7949"/>
  <c r="F660" i="7950"/>
  <c r="F981" i="7950"/>
  <c r="G1851" i="7949"/>
  <c r="F2010" i="7950"/>
  <c r="F1576" i="7950"/>
  <c r="F2387" i="7950"/>
  <c r="F1036" i="7950"/>
  <c r="F1251" i="7950"/>
  <c r="G1582" i="7949"/>
  <c r="G1743" i="7949"/>
  <c r="G1256" i="7949"/>
  <c r="F1091" i="7950"/>
  <c r="G2069" i="7949"/>
  <c r="G770" i="7949"/>
  <c r="F552" i="7950"/>
  <c r="G395" i="7949"/>
  <c r="G2498" i="7949"/>
  <c r="G2447" i="7949"/>
  <c r="G446" i="7949"/>
  <c r="G66" i="7950"/>
  <c r="G2333" i="7950"/>
  <c r="G819" i="7950"/>
  <c r="G828" i="7950" s="1"/>
  <c r="H2501" i="7949"/>
  <c r="H1257" i="7949"/>
  <c r="H933" i="7949"/>
  <c r="G1308" i="7950"/>
  <c r="G1576" i="7950"/>
  <c r="H1312" i="7949"/>
  <c r="H770" i="7949"/>
  <c r="G1252" i="7950"/>
  <c r="H1042" i="7949"/>
  <c r="G1901" i="7950"/>
  <c r="G874" i="7950"/>
  <c r="G2277" i="7950"/>
  <c r="G2286" i="7950" s="1"/>
  <c r="H287" i="7949"/>
  <c r="H1420" i="7949"/>
  <c r="H1095" i="7949"/>
  <c r="H664" i="7949"/>
  <c r="H2120" i="7949"/>
  <c r="H11" i="7949"/>
  <c r="G551" i="7950"/>
  <c r="G766" i="7950"/>
  <c r="G1737" i="7950"/>
  <c r="G1746" i="7950" s="1"/>
  <c r="H2122" i="7949"/>
  <c r="H555" i="7949"/>
  <c r="H1040" i="7949"/>
  <c r="G2226" i="7950"/>
  <c r="G442" i="7950"/>
  <c r="G2439" i="7950"/>
  <c r="G2448" i="7950" s="1"/>
  <c r="H2446" i="7949"/>
  <c r="H1527" i="7949"/>
  <c r="H1634" i="7949"/>
  <c r="H1955" i="7950"/>
  <c r="H1524" i="7950"/>
  <c r="H2171" i="7950"/>
  <c r="H2334" i="7950"/>
  <c r="H2494" i="7950"/>
  <c r="H2655" i="7950"/>
  <c r="H2665" i="7950" s="1"/>
  <c r="I1745" i="7949"/>
  <c r="I1097" i="7949"/>
  <c r="I611" i="7949"/>
  <c r="I1850" i="7949"/>
  <c r="I2229" i="7949"/>
  <c r="I2263" i="7949" s="1"/>
  <c r="J2263" i="7949" s="1"/>
  <c r="K2263" i="7949" s="1"/>
  <c r="L2263" i="7949" s="1"/>
  <c r="M2263" i="7949" s="1"/>
  <c r="N2263" i="7949" s="1"/>
  <c r="O2263" i="7949" s="1"/>
  <c r="P2263" i="7949" s="1"/>
  <c r="Q2263" i="7949" s="1"/>
  <c r="R2263" i="7949" s="1"/>
  <c r="S2263" i="7949" s="1"/>
  <c r="T2263" i="7949" s="1"/>
  <c r="U2263" i="7949" s="1"/>
  <c r="V2263" i="7949" s="1"/>
  <c r="W2263" i="7949" s="1"/>
  <c r="I15" i="7949"/>
  <c r="I49" i="7949" s="1"/>
  <c r="J49" i="7949" s="1"/>
  <c r="K49" i="7949" s="1"/>
  <c r="L49" i="7949" s="1"/>
  <c r="M49" i="7949" s="1"/>
  <c r="N49" i="7949" s="1"/>
  <c r="O49" i="7949" s="1"/>
  <c r="P49" i="7949" s="1"/>
  <c r="Q49" i="7949" s="1"/>
  <c r="R49" i="7949" s="1"/>
  <c r="S49" i="7949" s="1"/>
  <c r="T49" i="7949" s="1"/>
  <c r="U49" i="7949" s="1"/>
  <c r="V49" i="7949" s="1"/>
  <c r="W49" i="7949" s="1"/>
  <c r="H336" i="7950"/>
  <c r="H64" i="7950"/>
  <c r="H2278" i="7950"/>
  <c r="I395" i="7949"/>
  <c r="I501" i="7949"/>
  <c r="I535" i="7949" s="1"/>
  <c r="J535" i="7949" s="1"/>
  <c r="K535" i="7949" s="1"/>
  <c r="L535" i="7949" s="1"/>
  <c r="M535" i="7949" s="1"/>
  <c r="N535" i="7949" s="1"/>
  <c r="O535" i="7949" s="1"/>
  <c r="P535" i="7949" s="1"/>
  <c r="Q535" i="7949" s="1"/>
  <c r="R535" i="7949" s="1"/>
  <c r="S535" i="7949" s="1"/>
  <c r="T535" i="7949" s="1"/>
  <c r="U535" i="7949" s="1"/>
  <c r="V535" i="7949" s="1"/>
  <c r="W535" i="7949" s="1"/>
  <c r="I1580" i="7949"/>
  <c r="H2386" i="7950"/>
  <c r="H2172" i="7950"/>
  <c r="H2062" i="7950"/>
  <c r="I719" i="7949"/>
  <c r="I1150" i="7949"/>
  <c r="I1527" i="7949"/>
  <c r="I1561" i="7949" s="1"/>
  <c r="J1561" i="7949" s="1"/>
  <c r="K1561" i="7949" s="1"/>
  <c r="L1561" i="7949" s="1"/>
  <c r="M1561" i="7949" s="1"/>
  <c r="N1561" i="7949" s="1"/>
  <c r="O1561" i="7949" s="1"/>
  <c r="P1561" i="7949" s="1"/>
  <c r="Q1561" i="7949" s="1"/>
  <c r="R1561" i="7949" s="1"/>
  <c r="S1561" i="7949" s="1"/>
  <c r="T1561" i="7949" s="1"/>
  <c r="U1561" i="7949" s="1"/>
  <c r="V1561" i="7949" s="1"/>
  <c r="W1561" i="7949" s="1"/>
  <c r="H605" i="7950"/>
  <c r="H174" i="7950"/>
  <c r="H821" i="7950"/>
  <c r="H2008" i="7950"/>
  <c r="H2440" i="7950"/>
  <c r="H1737" i="7950"/>
  <c r="H1747" i="7950" s="1"/>
  <c r="I2393" i="7949"/>
  <c r="I287" i="7949"/>
  <c r="I718" i="7949"/>
  <c r="I1852" i="7949"/>
  <c r="I932" i="7949"/>
  <c r="I2391" i="7949"/>
  <c r="I2425" i="7949" s="1"/>
  <c r="J2425" i="7949" s="1"/>
  <c r="K2425" i="7949" s="1"/>
  <c r="L2425" i="7949" s="1"/>
  <c r="M2425" i="7949" s="1"/>
  <c r="N2425" i="7949" s="1"/>
  <c r="O2425" i="7949" s="1"/>
  <c r="P2425" i="7949" s="1"/>
  <c r="Q2425" i="7949" s="1"/>
  <c r="R2425" i="7949" s="1"/>
  <c r="S2425" i="7949" s="1"/>
  <c r="T2425" i="7949" s="1"/>
  <c r="U2425" i="7949" s="1"/>
  <c r="V2425" i="7949" s="1"/>
  <c r="W2425" i="7949" s="1"/>
  <c r="I716" i="7949"/>
  <c r="H1092" i="7950"/>
  <c r="H2116" i="7950"/>
  <c r="H549" i="7950"/>
  <c r="H559" i="7950" s="1"/>
  <c r="I1690" i="7949"/>
  <c r="I2121" i="7949"/>
  <c r="I2155" i="7949" s="1"/>
  <c r="J2155" i="7949" s="1"/>
  <c r="K2155" i="7949" s="1"/>
  <c r="L2155" i="7949" s="1"/>
  <c r="M2155" i="7949" s="1"/>
  <c r="N2155" i="7949" s="1"/>
  <c r="O2155" i="7949" s="1"/>
  <c r="P2155" i="7949" s="1"/>
  <c r="Q2155" i="7949" s="1"/>
  <c r="R2155" i="7949" s="1"/>
  <c r="S2155" i="7949" s="1"/>
  <c r="T2155" i="7949" s="1"/>
  <c r="U2155" i="7949" s="1"/>
  <c r="V2155" i="7949" s="1"/>
  <c r="W2155" i="7949" s="1"/>
  <c r="I1958" i="7949"/>
  <c r="H2550" i="7950"/>
  <c r="H334" i="7950"/>
  <c r="H711" i="7950"/>
  <c r="H721" i="7950" s="1"/>
  <c r="I1691" i="7949"/>
  <c r="I556" i="7949"/>
  <c r="I1203" i="7949"/>
  <c r="I1237" i="7949" s="1"/>
  <c r="J1237" i="7949" s="1"/>
  <c r="K1237" i="7949" s="1"/>
  <c r="L1237" i="7949" s="1"/>
  <c r="M1237" i="7949" s="1"/>
  <c r="N1237" i="7949" s="1"/>
  <c r="O1237" i="7949" s="1"/>
  <c r="P1237" i="7949" s="1"/>
  <c r="Q1237" i="7949" s="1"/>
  <c r="R1237" i="7949" s="1"/>
  <c r="S1237" i="7949" s="1"/>
  <c r="T1237" i="7949" s="1"/>
  <c r="U1237" i="7949" s="1"/>
  <c r="V1237" i="7949" s="1"/>
  <c r="W1237" i="7949" s="1"/>
  <c r="I1740" i="7950"/>
  <c r="I497" i="7950"/>
  <c r="I659" i="7950"/>
  <c r="I2386" i="7950"/>
  <c r="I2420" i="7950" s="1"/>
  <c r="I820" i="7950"/>
  <c r="I854" i="7950" s="1"/>
  <c r="I2331" i="7950"/>
  <c r="I2342" i="7950" s="1"/>
  <c r="J2663" i="7949"/>
  <c r="J557" i="7949"/>
  <c r="J2446" i="7949"/>
  <c r="J2608" i="7949"/>
  <c r="J2498" i="7949"/>
  <c r="J609" i="7949"/>
  <c r="J644" i="7949" s="1"/>
  <c r="K644" i="7949" s="1"/>
  <c r="L644" i="7949" s="1"/>
  <c r="M644" i="7949" s="1"/>
  <c r="N644" i="7949" s="1"/>
  <c r="O644" i="7949" s="1"/>
  <c r="P644" i="7949" s="1"/>
  <c r="Q644" i="7949" s="1"/>
  <c r="R644" i="7949" s="1"/>
  <c r="S644" i="7949" s="1"/>
  <c r="T644" i="7949" s="1"/>
  <c r="U644" i="7949" s="1"/>
  <c r="V644" i="7949" s="1"/>
  <c r="W644" i="7949" s="1"/>
  <c r="J932" i="7949"/>
  <c r="I228" i="7950"/>
  <c r="I119" i="7950"/>
  <c r="I226" i="7950"/>
  <c r="I260" i="7950" s="1"/>
  <c r="I1575" i="7950"/>
  <c r="I1586" i="7950" s="1"/>
  <c r="J1583" i="7949"/>
  <c r="J1582" i="7949"/>
  <c r="J178" i="7949"/>
  <c r="J2013" i="7949"/>
  <c r="J2048" i="7949" s="1"/>
  <c r="K2048" i="7949" s="1"/>
  <c r="L2048" i="7949" s="1"/>
  <c r="M2048" i="7949" s="1"/>
  <c r="N2048" i="7949" s="1"/>
  <c r="O2048" i="7949" s="1"/>
  <c r="P2048" i="7949" s="1"/>
  <c r="Q2048" i="7949" s="1"/>
  <c r="R2048" i="7949" s="1"/>
  <c r="S2048" i="7949" s="1"/>
  <c r="T2048" i="7949" s="1"/>
  <c r="U2048" i="7949" s="1"/>
  <c r="V2048" i="7949" s="1"/>
  <c r="W2048" i="7949" s="1"/>
  <c r="J1689" i="7949"/>
  <c r="J1724" i="7949" s="1"/>
  <c r="K1724" i="7949" s="1"/>
  <c r="L1724" i="7949" s="1"/>
  <c r="M1724" i="7949" s="1"/>
  <c r="N1724" i="7949" s="1"/>
  <c r="O1724" i="7949" s="1"/>
  <c r="P1724" i="7949" s="1"/>
  <c r="Q1724" i="7949" s="1"/>
  <c r="R1724" i="7949" s="1"/>
  <c r="S1724" i="7949" s="1"/>
  <c r="T1724" i="7949" s="1"/>
  <c r="U1724" i="7949" s="1"/>
  <c r="V1724" i="7949" s="1"/>
  <c r="W1724" i="7949" s="1"/>
  <c r="J2174" i="7949"/>
  <c r="I1578" i="7950"/>
  <c r="I66" i="7950"/>
  <c r="I1037" i="7950"/>
  <c r="I388" i="7950"/>
  <c r="I422" i="7950" s="1"/>
  <c r="I280" i="7950"/>
  <c r="I314" i="7950" s="1"/>
  <c r="I2655" i="7950"/>
  <c r="I2666" i="7950" s="1"/>
  <c r="J2015" i="7949"/>
  <c r="J2554" i="7949"/>
  <c r="J1096" i="7949"/>
  <c r="J68" i="7949"/>
  <c r="J555" i="7949"/>
  <c r="J590" i="7949" s="1"/>
  <c r="K590" i="7949" s="1"/>
  <c r="L590" i="7949" s="1"/>
  <c r="M590" i="7949" s="1"/>
  <c r="N590" i="7949" s="1"/>
  <c r="O590" i="7949" s="1"/>
  <c r="P590" i="7949" s="1"/>
  <c r="Q590" i="7949" s="1"/>
  <c r="R590" i="7949" s="1"/>
  <c r="S590" i="7949" s="1"/>
  <c r="T590" i="7949" s="1"/>
  <c r="U590" i="7949" s="1"/>
  <c r="V590" i="7949" s="1"/>
  <c r="W590" i="7949" s="1"/>
  <c r="J1905" i="7949"/>
  <c r="J1940" i="7949" s="1"/>
  <c r="K1940" i="7949" s="1"/>
  <c r="L1940" i="7949" s="1"/>
  <c r="M1940" i="7949" s="1"/>
  <c r="N1940" i="7949" s="1"/>
  <c r="O1940" i="7949" s="1"/>
  <c r="P1940" i="7949" s="1"/>
  <c r="Q1940" i="7949" s="1"/>
  <c r="R1940" i="7949" s="1"/>
  <c r="S1940" i="7949" s="1"/>
  <c r="T1940" i="7949" s="1"/>
  <c r="U1940" i="7949" s="1"/>
  <c r="V1940" i="7949" s="1"/>
  <c r="W1940" i="7949" s="1"/>
  <c r="J1688" i="7949"/>
  <c r="I1794" i="7950"/>
  <c r="I282" i="7950"/>
  <c r="I390" i="7950"/>
  <c r="I1955" i="7950"/>
  <c r="I551" i="7950"/>
  <c r="I1415" i="7950"/>
  <c r="I2170" i="7950"/>
  <c r="I2204" i="7950" s="1"/>
  <c r="I1144" i="7950"/>
  <c r="I1178" i="7950" s="1"/>
  <c r="I1035" i="7950"/>
  <c r="I1046" i="7950" s="1"/>
  <c r="I927" i="7950"/>
  <c r="I938" i="7950" s="1"/>
  <c r="I2439" i="7950"/>
  <c r="I2450" i="7950" s="1"/>
  <c r="J2501" i="7949"/>
  <c r="J2393" i="7949"/>
  <c r="J1475" i="7949"/>
  <c r="J1798" i="7949"/>
  <c r="J610" i="7949"/>
  <c r="J664" i="7949"/>
  <c r="J230" i="7949"/>
  <c r="J1581" i="7949"/>
  <c r="J1616" i="7949" s="1"/>
  <c r="K1616" i="7949" s="1"/>
  <c r="L1616" i="7949" s="1"/>
  <c r="M1616" i="7949" s="1"/>
  <c r="N1616" i="7949" s="1"/>
  <c r="O1616" i="7949" s="1"/>
  <c r="P1616" i="7949" s="1"/>
  <c r="Q1616" i="7949" s="1"/>
  <c r="R1616" i="7949" s="1"/>
  <c r="S1616" i="7949" s="1"/>
  <c r="T1616" i="7949" s="1"/>
  <c r="U1616" i="7949" s="1"/>
  <c r="V1616" i="7949" s="1"/>
  <c r="W1616" i="7949" s="1"/>
  <c r="J825" i="7949"/>
  <c r="J860" i="7949" s="1"/>
  <c r="K860" i="7949" s="1"/>
  <c r="L860" i="7949" s="1"/>
  <c r="M860" i="7949" s="1"/>
  <c r="N860" i="7949" s="1"/>
  <c r="O860" i="7949" s="1"/>
  <c r="P860" i="7949" s="1"/>
  <c r="Q860" i="7949" s="1"/>
  <c r="R860" i="7949" s="1"/>
  <c r="S860" i="7949" s="1"/>
  <c r="T860" i="7949" s="1"/>
  <c r="U860" i="7949" s="1"/>
  <c r="V860" i="7949" s="1"/>
  <c r="W860" i="7949" s="1"/>
  <c r="J393" i="7949"/>
  <c r="J428" i="7949" s="1"/>
  <c r="K428" i="7949" s="1"/>
  <c r="L428" i="7949" s="1"/>
  <c r="M428" i="7949" s="1"/>
  <c r="N428" i="7949" s="1"/>
  <c r="O428" i="7949" s="1"/>
  <c r="P428" i="7949" s="1"/>
  <c r="Q428" i="7949" s="1"/>
  <c r="R428" i="7949" s="1"/>
  <c r="S428" i="7949" s="1"/>
  <c r="T428" i="7949" s="1"/>
  <c r="U428" i="7949" s="1"/>
  <c r="V428" i="7949" s="1"/>
  <c r="W428" i="7949" s="1"/>
  <c r="J879" i="7949"/>
  <c r="J914" i="7949" s="1"/>
  <c r="K914" i="7949" s="1"/>
  <c r="L914" i="7949" s="1"/>
  <c r="M914" i="7949" s="1"/>
  <c r="N914" i="7949" s="1"/>
  <c r="O914" i="7949" s="1"/>
  <c r="P914" i="7949" s="1"/>
  <c r="Q914" i="7949" s="1"/>
  <c r="R914" i="7949" s="1"/>
  <c r="S914" i="7949" s="1"/>
  <c r="T914" i="7949" s="1"/>
  <c r="U914" i="7949" s="1"/>
  <c r="V914" i="7949" s="1"/>
  <c r="W914" i="7949" s="1"/>
  <c r="J1310" i="7949"/>
  <c r="J11" i="7949"/>
  <c r="I2549" i="7950"/>
  <c r="I444" i="7950"/>
  <c r="I1092" i="7950"/>
  <c r="I172" i="7950"/>
  <c r="I206" i="7950" s="1"/>
  <c r="I1737" i="7950"/>
  <c r="I1748" i="7950" s="1"/>
  <c r="I711" i="7950"/>
  <c r="I722" i="7950" s="1"/>
  <c r="J1637" i="7949"/>
  <c r="J2662" i="7949"/>
  <c r="J1042" i="7949"/>
  <c r="J2607" i="7949"/>
  <c r="J2642" i="7949" s="1"/>
  <c r="K2642" i="7949" s="1"/>
  <c r="L2642" i="7949" s="1"/>
  <c r="M2642" i="7949" s="1"/>
  <c r="N2642" i="7949" s="1"/>
  <c r="O2642" i="7949" s="1"/>
  <c r="P2642" i="7949" s="1"/>
  <c r="Q2642" i="7949" s="1"/>
  <c r="R2642" i="7949" s="1"/>
  <c r="S2642" i="7949" s="1"/>
  <c r="T2642" i="7949" s="1"/>
  <c r="U2642" i="7949" s="1"/>
  <c r="V2642" i="7949" s="1"/>
  <c r="W2642" i="7949" s="1"/>
  <c r="J2444" i="7949"/>
  <c r="J1095" i="7949"/>
  <c r="J1130" i="7949" s="1"/>
  <c r="K1130" i="7949" s="1"/>
  <c r="L1130" i="7949" s="1"/>
  <c r="M1130" i="7949" s="1"/>
  <c r="N1130" i="7949" s="1"/>
  <c r="O1130" i="7949" s="1"/>
  <c r="P1130" i="7949" s="1"/>
  <c r="Q1130" i="7949" s="1"/>
  <c r="R1130" i="7949" s="1"/>
  <c r="S1130" i="7949" s="1"/>
  <c r="T1130" i="7949" s="1"/>
  <c r="U1130" i="7949" s="1"/>
  <c r="V1130" i="7949" s="1"/>
  <c r="W1130" i="7949" s="1"/>
  <c r="I2226" i="7950"/>
  <c r="I876" i="7950"/>
  <c r="I227" i="7950"/>
  <c r="I658" i="7950"/>
  <c r="I692" i="7950" s="1"/>
  <c r="I1899" i="7950"/>
  <c r="I1910" i="7950" s="1"/>
  <c r="I2493" i="7950"/>
  <c r="I2504" i="7950" s="1"/>
  <c r="J2069" i="7949"/>
  <c r="J395" i="7949"/>
  <c r="J124" i="7949"/>
  <c r="J123" i="7949"/>
  <c r="J158" i="7949" s="1"/>
  <c r="K158" i="7949" s="1"/>
  <c r="L158" i="7949" s="1"/>
  <c r="M158" i="7949" s="1"/>
  <c r="N158" i="7949" s="1"/>
  <c r="O158" i="7949" s="1"/>
  <c r="P158" i="7949" s="1"/>
  <c r="Q158" i="7949" s="1"/>
  <c r="R158" i="7949" s="1"/>
  <c r="S158" i="7949" s="1"/>
  <c r="T158" i="7949" s="1"/>
  <c r="U158" i="7949" s="1"/>
  <c r="V158" i="7949" s="1"/>
  <c r="W158" i="7949" s="1"/>
  <c r="J1851" i="7949"/>
  <c r="J1886" i="7949" s="1"/>
  <c r="K1886" i="7949" s="1"/>
  <c r="L1886" i="7949" s="1"/>
  <c r="M1886" i="7949" s="1"/>
  <c r="N1886" i="7949" s="1"/>
  <c r="O1886" i="7949" s="1"/>
  <c r="P1886" i="7949" s="1"/>
  <c r="Q1886" i="7949" s="1"/>
  <c r="R1886" i="7949" s="1"/>
  <c r="S1886" i="7949" s="1"/>
  <c r="T1886" i="7949" s="1"/>
  <c r="U1886" i="7949" s="1"/>
  <c r="V1886" i="7949" s="1"/>
  <c r="W1886" i="7949" s="1"/>
  <c r="J878" i="7949"/>
  <c r="J15" i="7949"/>
  <c r="J50" i="7949" s="1"/>
  <c r="K50" i="7949" s="1"/>
  <c r="L50" i="7949" s="1"/>
  <c r="M50" i="7949" s="1"/>
  <c r="N50" i="7949" s="1"/>
  <c r="O50" i="7949" s="1"/>
  <c r="P50" i="7949" s="1"/>
  <c r="Q50" i="7949" s="1"/>
  <c r="R50" i="7949" s="1"/>
  <c r="S50" i="7949" s="1"/>
  <c r="T50" i="7949" s="1"/>
  <c r="U50" i="7949" s="1"/>
  <c r="V50" i="7949" s="1"/>
  <c r="W50" i="7949" s="1"/>
  <c r="J1848" i="7950"/>
  <c r="J1092" i="7950"/>
  <c r="J2334" i="7950"/>
  <c r="J2225" i="7950"/>
  <c r="J497" i="7950"/>
  <c r="J443" i="7950"/>
  <c r="J766" i="7950"/>
  <c r="J801" i="7950" s="1"/>
  <c r="J1198" i="7950"/>
  <c r="J1233" i="7950" s="1"/>
  <c r="J2601" i="7950"/>
  <c r="J2613" i="7950" s="1"/>
  <c r="J1846" i="7950"/>
  <c r="J1881" i="7950" s="1"/>
  <c r="J603" i="7950"/>
  <c r="J615" i="7950" s="1"/>
  <c r="J2169" i="7950"/>
  <c r="J2181" i="7950" s="1"/>
  <c r="K1907" i="7949"/>
  <c r="K1205" i="7949"/>
  <c r="K233" i="7949"/>
  <c r="K1204" i="7949"/>
  <c r="K1583" i="7949"/>
  <c r="K70" i="7949"/>
  <c r="K1257" i="7949"/>
  <c r="K1293" i="7949" s="1"/>
  <c r="L1293" i="7949" s="1"/>
  <c r="M1293" i="7949" s="1"/>
  <c r="N1293" i="7949" s="1"/>
  <c r="O1293" i="7949" s="1"/>
  <c r="P1293" i="7949" s="1"/>
  <c r="Q1293" i="7949" s="1"/>
  <c r="R1293" i="7949" s="1"/>
  <c r="S1293" i="7949" s="1"/>
  <c r="T1293" i="7949" s="1"/>
  <c r="U1293" i="7949" s="1"/>
  <c r="V1293" i="7949" s="1"/>
  <c r="W1293" i="7949" s="1"/>
  <c r="K2282" i="7949"/>
  <c r="K2660" i="7949"/>
  <c r="K1256" i="7949"/>
  <c r="K1149" i="7949"/>
  <c r="K1185" i="7949" s="1"/>
  <c r="L1185" i="7949" s="1"/>
  <c r="M1185" i="7949" s="1"/>
  <c r="N1185" i="7949" s="1"/>
  <c r="O1185" i="7949" s="1"/>
  <c r="P1185" i="7949" s="1"/>
  <c r="Q1185" i="7949" s="1"/>
  <c r="R1185" i="7949" s="1"/>
  <c r="S1185" i="7949" s="1"/>
  <c r="T1185" i="7949" s="1"/>
  <c r="U1185" i="7949" s="1"/>
  <c r="V1185" i="7949" s="1"/>
  <c r="W1185" i="7949" s="1"/>
  <c r="K393" i="7949"/>
  <c r="K429" i="7949" s="1"/>
  <c r="L429" i="7949" s="1"/>
  <c r="M429" i="7949" s="1"/>
  <c r="N429" i="7949" s="1"/>
  <c r="O429" i="7949" s="1"/>
  <c r="P429" i="7949" s="1"/>
  <c r="Q429" i="7949" s="1"/>
  <c r="R429" i="7949" s="1"/>
  <c r="S429" i="7949" s="1"/>
  <c r="T429" i="7949" s="1"/>
  <c r="U429" i="7949" s="1"/>
  <c r="V429" i="7949" s="1"/>
  <c r="W429" i="7949" s="1"/>
  <c r="K15" i="7949"/>
  <c r="K51" i="7949" s="1"/>
  <c r="L51" i="7949" s="1"/>
  <c r="M51" i="7949" s="1"/>
  <c r="N51" i="7949" s="1"/>
  <c r="O51" i="7949" s="1"/>
  <c r="P51" i="7949" s="1"/>
  <c r="Q51" i="7949" s="1"/>
  <c r="R51" i="7949" s="1"/>
  <c r="S51" i="7949" s="1"/>
  <c r="T51" i="7949" s="1"/>
  <c r="U51" i="7949" s="1"/>
  <c r="V51" i="7949" s="1"/>
  <c r="W51" i="7949" s="1"/>
  <c r="J552" i="7950"/>
  <c r="J1739" i="7950"/>
  <c r="J1524" i="7950"/>
  <c r="J1954" i="7950"/>
  <c r="J1989" i="7950" s="1"/>
  <c r="J495" i="7950"/>
  <c r="J507" i="7950" s="1"/>
  <c r="J117" i="7950"/>
  <c r="J129" i="7950" s="1"/>
  <c r="K989" i="7949"/>
  <c r="K772" i="7949"/>
  <c r="K934" i="7949"/>
  <c r="K392" i="7949"/>
  <c r="K987" i="7949"/>
  <c r="K1023" i="7949" s="1"/>
  <c r="L1023" i="7949" s="1"/>
  <c r="M1023" i="7949" s="1"/>
  <c r="N1023" i="7949" s="1"/>
  <c r="O1023" i="7949" s="1"/>
  <c r="P1023" i="7949" s="1"/>
  <c r="Q1023" i="7949" s="1"/>
  <c r="R1023" i="7949" s="1"/>
  <c r="S1023" i="7949" s="1"/>
  <c r="T1023" i="7949" s="1"/>
  <c r="U1023" i="7949" s="1"/>
  <c r="V1023" i="7949" s="1"/>
  <c r="W1023" i="7949" s="1"/>
  <c r="K2067" i="7949"/>
  <c r="K2103" i="7949" s="1"/>
  <c r="L2103" i="7949" s="1"/>
  <c r="M2103" i="7949" s="1"/>
  <c r="N2103" i="7949" s="1"/>
  <c r="O2103" i="7949" s="1"/>
  <c r="P2103" i="7949" s="1"/>
  <c r="Q2103" i="7949" s="1"/>
  <c r="R2103" i="7949" s="1"/>
  <c r="S2103" i="7949" s="1"/>
  <c r="T2103" i="7949" s="1"/>
  <c r="U2103" i="7949" s="1"/>
  <c r="V2103" i="7949" s="1"/>
  <c r="W2103" i="7949" s="1"/>
  <c r="J1037" i="7950"/>
  <c r="J1252" i="7950"/>
  <c r="J1287" i="7950" s="1"/>
  <c r="J334" i="7950"/>
  <c r="J369" i="7950" s="1"/>
  <c r="J1791" i="7950"/>
  <c r="J1803" i="7950" s="1"/>
  <c r="K2069" i="7949"/>
  <c r="K179" i="7949"/>
  <c r="K1258" i="7949"/>
  <c r="K69" i="7949"/>
  <c r="K105" i="7949" s="1"/>
  <c r="L105" i="7949" s="1"/>
  <c r="M105" i="7949" s="1"/>
  <c r="N105" i="7949" s="1"/>
  <c r="O105" i="7949" s="1"/>
  <c r="P105" i="7949" s="1"/>
  <c r="Q105" i="7949" s="1"/>
  <c r="R105" i="7949" s="1"/>
  <c r="S105" i="7949" s="1"/>
  <c r="T105" i="7949" s="1"/>
  <c r="U105" i="7949" s="1"/>
  <c r="V105" i="7949" s="1"/>
  <c r="W105" i="7949" s="1"/>
  <c r="K1041" i="7949"/>
  <c r="K1077" i="7949" s="1"/>
  <c r="L1077" i="7949" s="1"/>
  <c r="M1077" i="7949" s="1"/>
  <c r="N1077" i="7949" s="1"/>
  <c r="O1077" i="7949" s="1"/>
  <c r="P1077" i="7949" s="1"/>
  <c r="Q1077" i="7949" s="1"/>
  <c r="R1077" i="7949" s="1"/>
  <c r="S1077" i="7949" s="1"/>
  <c r="T1077" i="7949" s="1"/>
  <c r="U1077" i="7949" s="1"/>
  <c r="V1077" i="7949" s="1"/>
  <c r="W1077" i="7949" s="1"/>
  <c r="K2283" i="7949"/>
  <c r="K2319" i="7949" s="1"/>
  <c r="L2319" i="7949" s="1"/>
  <c r="M2319" i="7949" s="1"/>
  <c r="N2319" i="7949" s="1"/>
  <c r="O2319" i="7949" s="1"/>
  <c r="P2319" i="7949" s="1"/>
  <c r="Q2319" i="7949" s="1"/>
  <c r="R2319" i="7949" s="1"/>
  <c r="S2319" i="7949" s="1"/>
  <c r="T2319" i="7949" s="1"/>
  <c r="U2319" i="7949" s="1"/>
  <c r="V2319" i="7949" s="1"/>
  <c r="W2319" i="7949" s="1"/>
  <c r="K1365" i="7949"/>
  <c r="K1401" i="7949" s="1"/>
  <c r="L1401" i="7949" s="1"/>
  <c r="M1401" i="7949" s="1"/>
  <c r="N1401" i="7949" s="1"/>
  <c r="O1401" i="7949" s="1"/>
  <c r="P1401" i="7949" s="1"/>
  <c r="Q1401" i="7949" s="1"/>
  <c r="R1401" i="7949" s="1"/>
  <c r="S1401" i="7949" s="1"/>
  <c r="T1401" i="7949" s="1"/>
  <c r="U1401" i="7949" s="1"/>
  <c r="V1401" i="7949" s="1"/>
  <c r="W1401" i="7949" s="1"/>
  <c r="J2496" i="7950"/>
  <c r="J2603" i="7950"/>
  <c r="J551" i="7950"/>
  <c r="J768" i="7950"/>
  <c r="J1145" i="7950"/>
  <c r="J228" i="7950"/>
  <c r="J2602" i="7950"/>
  <c r="J2637" i="7950" s="1"/>
  <c r="J1576" i="7950"/>
  <c r="J1611" i="7950" s="1"/>
  <c r="J2331" i="7950"/>
  <c r="J2343" i="7950" s="1"/>
  <c r="J2385" i="7950"/>
  <c r="J2397" i="7950" s="1"/>
  <c r="J2494" i="7950"/>
  <c r="J2529" i="7950" s="1"/>
  <c r="J1899" i="7950"/>
  <c r="J1911" i="7950" s="1"/>
  <c r="K2501" i="7949"/>
  <c r="K2447" i="7949"/>
  <c r="K611" i="7949"/>
  <c r="K2554" i="7949"/>
  <c r="K1474" i="7949"/>
  <c r="K286" i="7949"/>
  <c r="K610" i="7949"/>
  <c r="K1958" i="7949"/>
  <c r="K1905" i="7949"/>
  <c r="K1941" i="7949" s="1"/>
  <c r="L1941" i="7949" s="1"/>
  <c r="M1941" i="7949" s="1"/>
  <c r="N1941" i="7949" s="1"/>
  <c r="O1941" i="7949" s="1"/>
  <c r="P1941" i="7949" s="1"/>
  <c r="Q1941" i="7949" s="1"/>
  <c r="R1941" i="7949" s="1"/>
  <c r="S1941" i="7949" s="1"/>
  <c r="T1941" i="7949" s="1"/>
  <c r="U1941" i="7949" s="1"/>
  <c r="V1941" i="7949" s="1"/>
  <c r="W1941" i="7949" s="1"/>
  <c r="K1797" i="7949"/>
  <c r="K1833" i="7949" s="1"/>
  <c r="L1833" i="7949" s="1"/>
  <c r="M1833" i="7949" s="1"/>
  <c r="N1833" i="7949" s="1"/>
  <c r="O1833" i="7949" s="1"/>
  <c r="P1833" i="7949" s="1"/>
  <c r="Q1833" i="7949" s="1"/>
  <c r="R1833" i="7949" s="1"/>
  <c r="S1833" i="7949" s="1"/>
  <c r="T1833" i="7949" s="1"/>
  <c r="U1833" i="7949" s="1"/>
  <c r="V1833" i="7949" s="1"/>
  <c r="W1833" i="7949" s="1"/>
  <c r="K447" i="7949"/>
  <c r="K483" i="7949" s="1"/>
  <c r="L483" i="7949" s="1"/>
  <c r="M483" i="7949" s="1"/>
  <c r="N483" i="7949" s="1"/>
  <c r="O483" i="7949" s="1"/>
  <c r="P483" i="7949" s="1"/>
  <c r="Q483" i="7949" s="1"/>
  <c r="R483" i="7949" s="1"/>
  <c r="S483" i="7949" s="1"/>
  <c r="T483" i="7949" s="1"/>
  <c r="U483" i="7949" s="1"/>
  <c r="V483" i="7949" s="1"/>
  <c r="W483" i="7949" s="1"/>
  <c r="K986" i="7949"/>
  <c r="K1310" i="7949"/>
  <c r="J2280" i="7950"/>
  <c r="J335" i="7950"/>
  <c r="J821" i="7950"/>
  <c r="J172" i="7950"/>
  <c r="J207" i="7950" s="1"/>
  <c r="J387" i="7950"/>
  <c r="J399" i="7950" s="1"/>
  <c r="J1413" i="7950"/>
  <c r="J1425" i="7950" s="1"/>
  <c r="J10" i="7950"/>
  <c r="J45" i="7950" s="1"/>
  <c r="K2015" i="7949"/>
  <c r="K881" i="7949"/>
  <c r="K719" i="7949"/>
  <c r="K555" i="7949"/>
  <c r="K591" i="7949" s="1"/>
  <c r="L591" i="7949" s="1"/>
  <c r="M591" i="7949" s="1"/>
  <c r="N591" i="7949" s="1"/>
  <c r="O591" i="7949" s="1"/>
  <c r="P591" i="7949" s="1"/>
  <c r="Q591" i="7949" s="1"/>
  <c r="R591" i="7949" s="1"/>
  <c r="S591" i="7949" s="1"/>
  <c r="T591" i="7949" s="1"/>
  <c r="U591" i="7949" s="1"/>
  <c r="V591" i="7949" s="1"/>
  <c r="W591" i="7949" s="1"/>
  <c r="K1851" i="7949"/>
  <c r="K1887" i="7949" s="1"/>
  <c r="L1887" i="7949" s="1"/>
  <c r="M1887" i="7949" s="1"/>
  <c r="N1887" i="7949" s="1"/>
  <c r="O1887" i="7949" s="1"/>
  <c r="P1887" i="7949" s="1"/>
  <c r="Q1887" i="7949" s="1"/>
  <c r="R1887" i="7949" s="1"/>
  <c r="S1887" i="7949" s="1"/>
  <c r="T1887" i="7949" s="1"/>
  <c r="U1887" i="7949" s="1"/>
  <c r="V1887" i="7949" s="1"/>
  <c r="W1887" i="7949" s="1"/>
  <c r="K2391" i="7949"/>
  <c r="K2427" i="7949" s="1"/>
  <c r="L2427" i="7949" s="1"/>
  <c r="M2427" i="7949" s="1"/>
  <c r="N2427" i="7949" s="1"/>
  <c r="O2427" i="7949" s="1"/>
  <c r="P2427" i="7949" s="1"/>
  <c r="Q2427" i="7949" s="1"/>
  <c r="R2427" i="7949" s="1"/>
  <c r="S2427" i="7949" s="1"/>
  <c r="T2427" i="7949" s="1"/>
  <c r="U2427" i="7949" s="1"/>
  <c r="V2427" i="7949" s="1"/>
  <c r="W2427" i="7949" s="1"/>
  <c r="J2064" i="7950"/>
  <c r="J444" i="7950"/>
  <c r="J2549" i="7950"/>
  <c r="J1361" i="7950"/>
  <c r="J929" i="7950"/>
  <c r="J712" i="7950"/>
  <c r="J747" i="7950" s="1"/>
  <c r="J1359" i="7950"/>
  <c r="J1371" i="7950" s="1"/>
  <c r="J279" i="7950"/>
  <c r="J291" i="7950" s="1"/>
  <c r="K1529" i="7949"/>
  <c r="K1420" i="7949"/>
  <c r="K826" i="7949"/>
  <c r="K1904" i="7949"/>
  <c r="K609" i="7949"/>
  <c r="K645" i="7949" s="1"/>
  <c r="L645" i="7949" s="1"/>
  <c r="M645" i="7949" s="1"/>
  <c r="N645" i="7949" s="1"/>
  <c r="O645" i="7949" s="1"/>
  <c r="P645" i="7949" s="1"/>
  <c r="Q645" i="7949" s="1"/>
  <c r="R645" i="7949" s="1"/>
  <c r="S645" i="7949" s="1"/>
  <c r="T645" i="7949" s="1"/>
  <c r="U645" i="7949" s="1"/>
  <c r="V645" i="7949" s="1"/>
  <c r="W645" i="7949" s="1"/>
  <c r="K2499" i="7949"/>
  <c r="K2535" i="7949" s="1"/>
  <c r="L2535" i="7949" s="1"/>
  <c r="M2535" i="7949" s="1"/>
  <c r="N2535" i="7949" s="1"/>
  <c r="O2535" i="7949" s="1"/>
  <c r="P2535" i="7949" s="1"/>
  <c r="Q2535" i="7949" s="1"/>
  <c r="R2535" i="7949" s="1"/>
  <c r="S2535" i="7949" s="1"/>
  <c r="T2535" i="7949" s="1"/>
  <c r="U2535" i="7949" s="1"/>
  <c r="V2535" i="7949" s="1"/>
  <c r="W2535" i="7949" s="1"/>
  <c r="K2550" i="7950"/>
  <c r="K2657" i="7950"/>
  <c r="K605" i="7950"/>
  <c r="K984" i="7950"/>
  <c r="K551" i="7950"/>
  <c r="K390" i="7950"/>
  <c r="K1954" i="7950"/>
  <c r="K1990" i="7950" s="1"/>
  <c r="K1684" i="7950"/>
  <c r="K1720" i="7950" s="1"/>
  <c r="K1953" i="7950"/>
  <c r="K1966" i="7950" s="1"/>
  <c r="K2601" i="7950"/>
  <c r="K2614" i="7950" s="1"/>
  <c r="K2548" i="7950"/>
  <c r="K2584" i="7950" s="1"/>
  <c r="K2655" i="7950"/>
  <c r="K2668" i="7950" s="1"/>
  <c r="L2555" i="7949"/>
  <c r="L1475" i="7949"/>
  <c r="L449" i="7949"/>
  <c r="L71" i="7949"/>
  <c r="L1744" i="7949"/>
  <c r="L1960" i="7949"/>
  <c r="L1204" i="7949"/>
  <c r="L716" i="7949"/>
  <c r="L2660" i="7949"/>
  <c r="L1472" i="7949"/>
  <c r="L2013" i="7949"/>
  <c r="L2050" i="7949" s="1"/>
  <c r="M2050" i="7949" s="1"/>
  <c r="N2050" i="7949" s="1"/>
  <c r="O2050" i="7949" s="1"/>
  <c r="P2050" i="7949" s="1"/>
  <c r="Q2050" i="7949" s="1"/>
  <c r="R2050" i="7949" s="1"/>
  <c r="S2050" i="7949" s="1"/>
  <c r="T2050" i="7949" s="1"/>
  <c r="U2050" i="7949" s="1"/>
  <c r="V2050" i="7949" s="1"/>
  <c r="W2050" i="7949" s="1"/>
  <c r="L2282" i="7949"/>
  <c r="L2066" i="7949"/>
  <c r="K2118" i="7950"/>
  <c r="K173" i="7950"/>
  <c r="K65" i="7950"/>
  <c r="K226" i="7950"/>
  <c r="K262" i="7950" s="1"/>
  <c r="K1791" i="7950"/>
  <c r="K1804" i="7950" s="1"/>
  <c r="K2494" i="7950"/>
  <c r="K2530" i="7950" s="1"/>
  <c r="L2123" i="7949"/>
  <c r="L2662" i="7949"/>
  <c r="L772" i="7949"/>
  <c r="L68" i="7949"/>
  <c r="L2606" i="7949"/>
  <c r="L1149" i="7949"/>
  <c r="L1186" i="7949" s="1"/>
  <c r="M1186" i="7949" s="1"/>
  <c r="N1186" i="7949" s="1"/>
  <c r="O1186" i="7949" s="1"/>
  <c r="P1186" i="7949" s="1"/>
  <c r="Q1186" i="7949" s="1"/>
  <c r="R1186" i="7949" s="1"/>
  <c r="S1186" i="7949" s="1"/>
  <c r="T1186" i="7949" s="1"/>
  <c r="U1186" i="7949" s="1"/>
  <c r="V1186" i="7949" s="1"/>
  <c r="W1186" i="7949" s="1"/>
  <c r="L1580" i="7949"/>
  <c r="K1092" i="7950"/>
  <c r="K1361" i="7950"/>
  <c r="K929" i="7950"/>
  <c r="K1900" i="7950"/>
  <c r="K1936" i="7950" s="1"/>
  <c r="K1737" i="7950"/>
  <c r="K1750" i="7950" s="1"/>
  <c r="K1683" i="7950"/>
  <c r="K1696" i="7950" s="1"/>
  <c r="L2015" i="7949"/>
  <c r="L1636" i="7949"/>
  <c r="L934" i="7949"/>
  <c r="L717" i="7949"/>
  <c r="L754" i="7949" s="1"/>
  <c r="M754" i="7949" s="1"/>
  <c r="N754" i="7949" s="1"/>
  <c r="O754" i="7949" s="1"/>
  <c r="P754" i="7949" s="1"/>
  <c r="Q754" i="7949" s="1"/>
  <c r="R754" i="7949" s="1"/>
  <c r="S754" i="7949" s="1"/>
  <c r="T754" i="7949" s="1"/>
  <c r="U754" i="7949" s="1"/>
  <c r="V754" i="7949" s="1"/>
  <c r="W754" i="7949" s="1"/>
  <c r="L446" i="7949"/>
  <c r="L392" i="7949"/>
  <c r="L16" i="7949"/>
  <c r="K1686" i="7950"/>
  <c r="K336" i="7950"/>
  <c r="K606" i="7950"/>
  <c r="K1523" i="7950"/>
  <c r="K1308" i="7950"/>
  <c r="K1307" i="7950"/>
  <c r="K2116" i="7950"/>
  <c r="K2152" i="7950" s="1"/>
  <c r="K1576" i="7950"/>
  <c r="K1612" i="7950" s="1"/>
  <c r="K1090" i="7950"/>
  <c r="K1126" i="7950" s="1"/>
  <c r="L1126" i="7950" s="1"/>
  <c r="M1126" i="7950" s="1"/>
  <c r="N1126" i="7950" s="1"/>
  <c r="O1126" i="7950" s="1"/>
  <c r="P1126" i="7950" s="1"/>
  <c r="Q1126" i="7950" s="1"/>
  <c r="K1899" i="7950"/>
  <c r="K1912" i="7950" s="1"/>
  <c r="K2169" i="7950"/>
  <c r="K2182" i="7950" s="1"/>
  <c r="K495" i="7950"/>
  <c r="K508" i="7950" s="1"/>
  <c r="L2393" i="7949"/>
  <c r="L1367" i="7949"/>
  <c r="L935" i="7949"/>
  <c r="L1474" i="7949"/>
  <c r="L557" i="7949"/>
  <c r="L718" i="7949"/>
  <c r="L231" i="7949"/>
  <c r="L268" i="7949" s="1"/>
  <c r="M268" i="7949" s="1"/>
  <c r="N268" i="7949" s="1"/>
  <c r="O268" i="7949" s="1"/>
  <c r="P268" i="7949" s="1"/>
  <c r="Q268" i="7949" s="1"/>
  <c r="R268" i="7949" s="1"/>
  <c r="S268" i="7949" s="1"/>
  <c r="T268" i="7949" s="1"/>
  <c r="U268" i="7949" s="1"/>
  <c r="V268" i="7949" s="1"/>
  <c r="W268" i="7949" s="1"/>
  <c r="L2120" i="7949"/>
  <c r="L771" i="7949"/>
  <c r="L808" i="7949" s="1"/>
  <c r="M808" i="7949" s="1"/>
  <c r="N808" i="7949" s="1"/>
  <c r="O808" i="7949" s="1"/>
  <c r="P808" i="7949" s="1"/>
  <c r="Q808" i="7949" s="1"/>
  <c r="R808" i="7949" s="1"/>
  <c r="S808" i="7949" s="1"/>
  <c r="T808" i="7949" s="1"/>
  <c r="U808" i="7949" s="1"/>
  <c r="V808" i="7949" s="1"/>
  <c r="W808" i="7949" s="1"/>
  <c r="L2067" i="7949"/>
  <c r="L2104" i="7949" s="1"/>
  <c r="M2104" i="7949" s="1"/>
  <c r="N2104" i="7949" s="1"/>
  <c r="O2104" i="7949" s="1"/>
  <c r="P2104" i="7949" s="1"/>
  <c r="Q2104" i="7949" s="1"/>
  <c r="R2104" i="7949" s="1"/>
  <c r="S2104" i="7949" s="1"/>
  <c r="T2104" i="7949" s="1"/>
  <c r="U2104" i="7949" s="1"/>
  <c r="V2104" i="7949" s="1"/>
  <c r="W2104" i="7949" s="1"/>
  <c r="L932" i="7949"/>
  <c r="L1311" i="7949"/>
  <c r="L1348" i="7949" s="1"/>
  <c r="M1348" i="7949" s="1"/>
  <c r="N1348" i="7949" s="1"/>
  <c r="O1348" i="7949" s="1"/>
  <c r="P1348" i="7949" s="1"/>
  <c r="Q1348" i="7949" s="1"/>
  <c r="R1348" i="7949" s="1"/>
  <c r="S1348" i="7949" s="1"/>
  <c r="T1348" i="7949" s="1"/>
  <c r="U1348" i="7949" s="1"/>
  <c r="V1348" i="7949" s="1"/>
  <c r="W1348" i="7949" s="1"/>
  <c r="L17" i="7949"/>
  <c r="K2603" i="7950"/>
  <c r="K2604" i="7950"/>
  <c r="K1145" i="7950"/>
  <c r="K2440" i="7950"/>
  <c r="K2476" i="7950" s="1"/>
  <c r="L2476" i="7950" s="1"/>
  <c r="M2476" i="7950" s="1"/>
  <c r="K1251" i="7950"/>
  <c r="K1264" i="7950" s="1"/>
  <c r="K1629" i="7950"/>
  <c r="K1642" i="7950" s="1"/>
  <c r="L827" i="7949"/>
  <c r="L1258" i="7949"/>
  <c r="L232" i="7949"/>
  <c r="L2121" i="7949"/>
  <c r="L2158" i="7949" s="1"/>
  <c r="M2158" i="7949" s="1"/>
  <c r="N2158" i="7949" s="1"/>
  <c r="O2158" i="7949" s="1"/>
  <c r="P2158" i="7949" s="1"/>
  <c r="Q2158" i="7949" s="1"/>
  <c r="R2158" i="7949" s="1"/>
  <c r="S2158" i="7949" s="1"/>
  <c r="T2158" i="7949" s="1"/>
  <c r="U2158" i="7949" s="1"/>
  <c r="V2158" i="7949" s="1"/>
  <c r="W2158" i="7949" s="1"/>
  <c r="L1527" i="7949"/>
  <c r="L1564" i="7949" s="1"/>
  <c r="M1564" i="7949" s="1"/>
  <c r="N1564" i="7949" s="1"/>
  <c r="O1564" i="7949" s="1"/>
  <c r="P1564" i="7949" s="1"/>
  <c r="Q1564" i="7949" s="1"/>
  <c r="R1564" i="7949" s="1"/>
  <c r="S1564" i="7949" s="1"/>
  <c r="T1564" i="7949" s="1"/>
  <c r="U1564" i="7949" s="1"/>
  <c r="V1564" i="7949" s="1"/>
  <c r="W1564" i="7949" s="1"/>
  <c r="L1365" i="7949"/>
  <c r="L1402" i="7949" s="1"/>
  <c r="M1402" i="7949" s="1"/>
  <c r="N1402" i="7949" s="1"/>
  <c r="O1402" i="7949" s="1"/>
  <c r="P1402" i="7949" s="1"/>
  <c r="Q1402" i="7949" s="1"/>
  <c r="R1402" i="7949" s="1"/>
  <c r="S1402" i="7949" s="1"/>
  <c r="T1402" i="7949" s="1"/>
  <c r="U1402" i="7949" s="1"/>
  <c r="V1402" i="7949" s="1"/>
  <c r="W1402" i="7949" s="1"/>
  <c r="K228" i="7950"/>
  <c r="K119" i="7950"/>
  <c r="K552" i="7950"/>
  <c r="K2386" i="7950"/>
  <c r="K2422" i="7950" s="1"/>
  <c r="K765" i="7950"/>
  <c r="K778" i="7950" s="1"/>
  <c r="K2061" i="7950"/>
  <c r="K2074" i="7950" s="1"/>
  <c r="L1691" i="7949"/>
  <c r="L341" i="7949"/>
  <c r="L719" i="7949"/>
  <c r="L2174" i="7949"/>
  <c r="L1202" i="7949"/>
  <c r="L770" i="7949"/>
  <c r="L2334" i="7950"/>
  <c r="L930" i="7950"/>
  <c r="L1739" i="7950"/>
  <c r="L767" i="7950"/>
  <c r="L713" i="7950"/>
  <c r="L876" i="7950"/>
  <c r="L1198" i="7950"/>
  <c r="L1235" i="7950" s="1"/>
  <c r="M1235" i="7950" s="1"/>
  <c r="N1235" i="7950" s="1"/>
  <c r="L820" i="7950"/>
  <c r="L857" i="7950" s="1"/>
  <c r="L1630" i="7950"/>
  <c r="L1667" i="7950" s="1"/>
  <c r="M1667" i="7950" s="1"/>
  <c r="N1667" i="7950" s="1"/>
  <c r="O1667" i="7950" s="1"/>
  <c r="P1667" i="7950" s="1"/>
  <c r="L1414" i="7950"/>
  <c r="L1451" i="7950" s="1"/>
  <c r="M1451" i="7950" s="1"/>
  <c r="L1359" i="7950"/>
  <c r="L1373" i="7950" s="1"/>
  <c r="L927" i="7950"/>
  <c r="L941" i="7950" s="1"/>
  <c r="L10" i="7950"/>
  <c r="L47" i="7950" s="1"/>
  <c r="M47" i="7950" s="1"/>
  <c r="N47" i="7950" s="1"/>
  <c r="O47" i="7950" s="1"/>
  <c r="P47" i="7950" s="1"/>
  <c r="Q47" i="7950" s="1"/>
  <c r="R47" i="7950" s="1"/>
  <c r="S47" i="7950" s="1"/>
  <c r="T47" i="7950" s="1"/>
  <c r="U47" i="7950" s="1"/>
  <c r="V47" i="7950" s="1"/>
  <c r="W47" i="7950" s="1"/>
  <c r="M1798" i="7949"/>
  <c r="M2554" i="7949"/>
  <c r="M1310" i="7949"/>
  <c r="M2446" i="7949"/>
  <c r="M1042" i="7949"/>
  <c r="M716" i="7949"/>
  <c r="M1475" i="7949"/>
  <c r="M1583" i="7949"/>
  <c r="M1367" i="7949"/>
  <c r="M662" i="7949"/>
  <c r="M1148" i="7949"/>
  <c r="M2606" i="7949"/>
  <c r="L1956" i="7950"/>
  <c r="L443" i="7950"/>
  <c r="L1847" i="7950"/>
  <c r="L1090" i="7950"/>
  <c r="L1127" i="7950" s="1"/>
  <c r="M1127" i="7950" s="1"/>
  <c r="N1127" i="7950" s="1"/>
  <c r="L2547" i="7950"/>
  <c r="L2561" i="7950" s="1"/>
  <c r="L495" i="7950"/>
  <c r="L509" i="7950" s="1"/>
  <c r="M233" i="7949"/>
  <c r="M663" i="7949"/>
  <c r="M701" i="7949" s="1"/>
  <c r="N701" i="7949" s="1"/>
  <c r="O701" i="7949" s="1"/>
  <c r="P701" i="7949" s="1"/>
  <c r="Q701" i="7949" s="1"/>
  <c r="R701" i="7949" s="1"/>
  <c r="S701" i="7949" s="1"/>
  <c r="T701" i="7949" s="1"/>
  <c r="U701" i="7949" s="1"/>
  <c r="V701" i="7949" s="1"/>
  <c r="W701" i="7949" s="1"/>
  <c r="M772" i="7949"/>
  <c r="M2015" i="7949"/>
  <c r="M1799" i="7949"/>
  <c r="M608" i="7949"/>
  <c r="M2282" i="7949"/>
  <c r="L1632" i="7950"/>
  <c r="L2657" i="7950"/>
  <c r="L1469" i="7950"/>
  <c r="L2656" i="7950"/>
  <c r="L2693" i="7950" s="1"/>
  <c r="M2693" i="7950" s="1"/>
  <c r="N2693" i="7950" s="1"/>
  <c r="O2693" i="7950" s="1"/>
  <c r="P2693" i="7950" s="1"/>
  <c r="Q2693" i="7950" s="1"/>
  <c r="L981" i="7950"/>
  <c r="L995" i="7950" s="1"/>
  <c r="L1629" i="7950"/>
  <c r="L1643" i="7950" s="1"/>
  <c r="M502" i="7949"/>
  <c r="M1094" i="7949"/>
  <c r="M610" i="7949"/>
  <c r="M1043" i="7949"/>
  <c r="M287" i="7949"/>
  <c r="M878" i="7949"/>
  <c r="L2280" i="7950"/>
  <c r="L2010" i="7950"/>
  <c r="L2387" i="7950"/>
  <c r="L1631" i="7950"/>
  <c r="L1577" i="7950"/>
  <c r="L1578" i="7950"/>
  <c r="L2225" i="7950"/>
  <c r="L874" i="7950"/>
  <c r="L911" i="7950" s="1"/>
  <c r="L1576" i="7950"/>
  <c r="L1613" i="7950" s="1"/>
  <c r="M1613" i="7950" s="1"/>
  <c r="L64" i="7950"/>
  <c r="L101" i="7950" s="1"/>
  <c r="L2115" i="7950"/>
  <c r="L2129" i="7950" s="1"/>
  <c r="L2439" i="7950"/>
  <c r="L2453" i="7950" s="1"/>
  <c r="L1899" i="7950"/>
  <c r="L1913" i="7950" s="1"/>
  <c r="M664" i="7949"/>
  <c r="M286" i="7949"/>
  <c r="M2391" i="7949"/>
  <c r="M2429" i="7949" s="1"/>
  <c r="N2429" i="7949" s="1"/>
  <c r="O2429" i="7949" s="1"/>
  <c r="P2429" i="7949" s="1"/>
  <c r="Q2429" i="7949" s="1"/>
  <c r="R2429" i="7949" s="1"/>
  <c r="S2429" i="7949" s="1"/>
  <c r="T2429" i="7949" s="1"/>
  <c r="U2429" i="7949" s="1"/>
  <c r="V2429" i="7949" s="1"/>
  <c r="W2429" i="7949" s="1"/>
  <c r="M2066" i="7949"/>
  <c r="M2068" i="7949"/>
  <c r="M2175" i="7949"/>
  <c r="M2213" i="7949" s="1"/>
  <c r="N2213" i="7949" s="1"/>
  <c r="O2213" i="7949" s="1"/>
  <c r="P2213" i="7949" s="1"/>
  <c r="Q2213" i="7949" s="1"/>
  <c r="R2213" i="7949" s="1"/>
  <c r="S2213" i="7949" s="1"/>
  <c r="T2213" i="7949" s="1"/>
  <c r="U2213" i="7949" s="1"/>
  <c r="V2213" i="7949" s="1"/>
  <c r="W2213" i="7949" s="1"/>
  <c r="M773" i="7949"/>
  <c r="M2390" i="7949"/>
  <c r="M1421" i="7949"/>
  <c r="M1473" i="7949"/>
  <c r="M1511" i="7949" s="1"/>
  <c r="N1511" i="7949" s="1"/>
  <c r="O1511" i="7949" s="1"/>
  <c r="P1511" i="7949" s="1"/>
  <c r="Q1511" i="7949" s="1"/>
  <c r="R1511" i="7949" s="1"/>
  <c r="S1511" i="7949" s="1"/>
  <c r="T1511" i="7949" s="1"/>
  <c r="U1511" i="7949" s="1"/>
  <c r="V1511" i="7949" s="1"/>
  <c r="W1511" i="7949" s="1"/>
  <c r="M934" i="7949"/>
  <c r="M881" i="7949"/>
  <c r="L606" i="7950"/>
  <c r="L1793" i="7950"/>
  <c r="L497" i="7950"/>
  <c r="L1036" i="7950"/>
  <c r="L1073" i="7950" s="1"/>
  <c r="L2062" i="7950"/>
  <c r="L2099" i="7950" s="1"/>
  <c r="M2099" i="7950" s="1"/>
  <c r="N2099" i="7950" s="1"/>
  <c r="O2099" i="7950" s="1"/>
  <c r="P2099" i="7950" s="1"/>
  <c r="L2601" i="7950"/>
  <c r="L2615" i="7950" s="1"/>
  <c r="M988" i="7949"/>
  <c r="M1958" i="7949"/>
  <c r="M1906" i="7949"/>
  <c r="M555" i="7949"/>
  <c r="M593" i="7949" s="1"/>
  <c r="N593" i="7949" s="1"/>
  <c r="O593" i="7949" s="1"/>
  <c r="P593" i="7949" s="1"/>
  <c r="Q593" i="7949" s="1"/>
  <c r="R593" i="7949" s="1"/>
  <c r="S593" i="7949" s="1"/>
  <c r="T593" i="7949" s="1"/>
  <c r="U593" i="7949" s="1"/>
  <c r="V593" i="7949" s="1"/>
  <c r="W593" i="7949" s="1"/>
  <c r="M827" i="7949"/>
  <c r="M719" i="7949"/>
  <c r="L1308" i="7950"/>
  <c r="L2117" i="7950"/>
  <c r="L2441" i="7950"/>
  <c r="L1954" i="7950"/>
  <c r="L1991" i="7950" s="1"/>
  <c r="M1991" i="7950" s="1"/>
  <c r="L1144" i="7950"/>
  <c r="L1181" i="7950" s="1"/>
  <c r="M1181" i="7950" s="1"/>
  <c r="N1181" i="7950" s="1"/>
  <c r="L63" i="7950"/>
  <c r="L77" i="7950" s="1"/>
  <c r="M2230" i="7949"/>
  <c r="M1797" i="7949"/>
  <c r="M1835" i="7949" s="1"/>
  <c r="N1835" i="7949" s="1"/>
  <c r="O1835" i="7949" s="1"/>
  <c r="P1835" i="7949" s="1"/>
  <c r="Q1835" i="7949" s="1"/>
  <c r="R1835" i="7949" s="1"/>
  <c r="S1835" i="7949" s="1"/>
  <c r="T1835" i="7949" s="1"/>
  <c r="U1835" i="7949" s="1"/>
  <c r="V1835" i="7949" s="1"/>
  <c r="W1835" i="7949" s="1"/>
  <c r="M880" i="7949"/>
  <c r="M2069" i="7949"/>
  <c r="M2285" i="7949"/>
  <c r="M1635" i="7949"/>
  <c r="N2336" i="7949"/>
  <c r="N501" i="7949"/>
  <c r="N540" i="7949" s="1"/>
  <c r="O540" i="7949" s="1"/>
  <c r="P540" i="7949" s="1"/>
  <c r="Q540" i="7949" s="1"/>
  <c r="R540" i="7949" s="1"/>
  <c r="S540" i="7949" s="1"/>
  <c r="T540" i="7949" s="1"/>
  <c r="U540" i="7949" s="1"/>
  <c r="V540" i="7949" s="1"/>
  <c r="W540" i="7949" s="1"/>
  <c r="N2012" i="7949"/>
  <c r="N1904" i="7949"/>
  <c r="N2282" i="7949"/>
  <c r="N230" i="7949"/>
  <c r="N988" i="7949"/>
  <c r="N70" i="7949"/>
  <c r="N1096" i="7949"/>
  <c r="N341" i="7949"/>
  <c r="N881" i="7949"/>
  <c r="N2663" i="7949"/>
  <c r="M1467" i="7950"/>
  <c r="M1482" i="7950" s="1"/>
  <c r="M2224" i="7950"/>
  <c r="M2262" i="7950" s="1"/>
  <c r="M1035" i="7950"/>
  <c r="M1050" i="7950" s="1"/>
  <c r="M2601" i="7950"/>
  <c r="M2616" i="7950" s="1"/>
  <c r="M2008" i="7950"/>
  <c r="M2046" i="7950" s="1"/>
  <c r="M1684" i="7950"/>
  <c r="M1722" i="7950" s="1"/>
  <c r="M714" i="7950"/>
  <c r="M2117" i="7950"/>
  <c r="M1200" i="7950"/>
  <c r="M65" i="7950"/>
  <c r="M1308" i="7950"/>
  <c r="M1794" i="7950"/>
  <c r="N15" i="7949"/>
  <c r="N54" i="7949" s="1"/>
  <c r="O54" i="7949" s="1"/>
  <c r="P54" i="7949" s="1"/>
  <c r="Q54" i="7949" s="1"/>
  <c r="R54" i="7949" s="1"/>
  <c r="S54" i="7949" s="1"/>
  <c r="T54" i="7949" s="1"/>
  <c r="U54" i="7949" s="1"/>
  <c r="V54" i="7949" s="1"/>
  <c r="W54" i="7949" s="1"/>
  <c r="N1850" i="7949"/>
  <c r="N2229" i="7949"/>
  <c r="N2268" i="7949" s="1"/>
  <c r="O2268" i="7949" s="1"/>
  <c r="P2268" i="7949" s="1"/>
  <c r="Q2268" i="7949" s="1"/>
  <c r="R2268" i="7949" s="1"/>
  <c r="S2268" i="7949" s="1"/>
  <c r="T2268" i="7949" s="1"/>
  <c r="U2268" i="7949" s="1"/>
  <c r="V2268" i="7949" s="1"/>
  <c r="W2268" i="7949" s="1"/>
  <c r="N824" i="7949"/>
  <c r="N2499" i="7949"/>
  <c r="N2538" i="7949" s="1"/>
  <c r="O2538" i="7949" s="1"/>
  <c r="P2538" i="7949" s="1"/>
  <c r="Q2538" i="7949" s="1"/>
  <c r="R2538" i="7949" s="1"/>
  <c r="S2538" i="7949" s="1"/>
  <c r="T2538" i="7949" s="1"/>
  <c r="U2538" i="7949" s="1"/>
  <c r="V2538" i="7949" s="1"/>
  <c r="W2538" i="7949" s="1"/>
  <c r="N2120" i="7949"/>
  <c r="N1473" i="7949"/>
  <c r="N1512" i="7949" s="1"/>
  <c r="O1512" i="7949" s="1"/>
  <c r="P1512" i="7949" s="1"/>
  <c r="Q1512" i="7949" s="1"/>
  <c r="R1512" i="7949" s="1"/>
  <c r="S1512" i="7949" s="1"/>
  <c r="T1512" i="7949" s="1"/>
  <c r="U1512" i="7949" s="1"/>
  <c r="V1512" i="7949" s="1"/>
  <c r="W1512" i="7949" s="1"/>
  <c r="N772" i="7949"/>
  <c r="N2284" i="7949"/>
  <c r="N448" i="7949"/>
  <c r="N2122" i="7949"/>
  <c r="N233" i="7949"/>
  <c r="N2015" i="7949"/>
  <c r="M279" i="7950"/>
  <c r="M294" i="7950" s="1"/>
  <c r="M711" i="7950"/>
  <c r="M726" i="7950" s="1"/>
  <c r="M657" i="7950"/>
  <c r="M672" i="7950" s="1"/>
  <c r="M226" i="7950"/>
  <c r="M264" i="7950" s="1"/>
  <c r="M1792" i="7950"/>
  <c r="M1830" i="7950" s="1"/>
  <c r="M1954" i="7950"/>
  <c r="M1992" i="7950" s="1"/>
  <c r="M1739" i="7950"/>
  <c r="M1091" i="7950"/>
  <c r="M2171" i="7950"/>
  <c r="M174" i="7950"/>
  <c r="M390" i="7950"/>
  <c r="M1362" i="7950"/>
  <c r="M2550" i="7950"/>
  <c r="N1956" i="7950"/>
  <c r="N2010" i="7950"/>
  <c r="N2064" i="7950"/>
  <c r="N1416" i="7950"/>
  <c r="N1524" i="7950"/>
  <c r="N606" i="7950"/>
  <c r="N2334" i="7950"/>
  <c r="N660" i="7950"/>
  <c r="N2063" i="7950"/>
  <c r="N1199" i="7950"/>
  <c r="N335" i="7950"/>
  <c r="N336" i="7950"/>
  <c r="N1793" i="7950"/>
  <c r="N821" i="7950"/>
  <c r="N1470" i="7950"/>
  <c r="N1092" i="7950"/>
  <c r="N228" i="7950"/>
  <c r="N1955" i="7950"/>
  <c r="N444" i="7950"/>
  <c r="N1091" i="7950"/>
  <c r="N2224" i="7950"/>
  <c r="N2263" i="7950" s="1"/>
  <c r="N1360" i="7950"/>
  <c r="N1399" i="7950" s="1"/>
  <c r="N496" i="7950"/>
  <c r="N535" i="7950" s="1"/>
  <c r="N2277" i="7950"/>
  <c r="N2293" i="7950" s="1"/>
  <c r="N1413" i="7950"/>
  <c r="N1429" i="7950" s="1"/>
  <c r="N819" i="7950"/>
  <c r="N835" i="7950" s="1"/>
  <c r="N387" i="7950"/>
  <c r="N403" i="7950" s="1"/>
  <c r="N2387" i="7950"/>
  <c r="N2278" i="7950"/>
  <c r="N2317" i="7950" s="1"/>
  <c r="N1414" i="7950"/>
  <c r="N1453" i="7950" s="1"/>
  <c r="N550" i="7950"/>
  <c r="N589" i="7950" s="1"/>
  <c r="N2331" i="7950"/>
  <c r="N2347" i="7950" s="1"/>
  <c r="N1467" i="7950"/>
  <c r="N1483" i="7950" s="1"/>
  <c r="N173" i="7950"/>
  <c r="N1522" i="7950"/>
  <c r="N1561" i="7950" s="1"/>
  <c r="N2439" i="7950"/>
  <c r="N2455" i="7950" s="1"/>
  <c r="N765" i="7950"/>
  <c r="N781" i="7950" s="1"/>
  <c r="N2225" i="7950"/>
  <c r="N280" i="7950"/>
  <c r="N319" i="7950" s="1"/>
  <c r="N873" i="7950"/>
  <c r="N889" i="7950" s="1"/>
  <c r="N1252" i="7950"/>
  <c r="N1291" i="7950" s="1"/>
  <c r="N1251" i="7950"/>
  <c r="N1267" i="7950" s="1"/>
  <c r="N2494" i="7950"/>
  <c r="N2533" i="7950" s="1"/>
  <c r="N766" i="7950"/>
  <c r="N805" i="7950" s="1"/>
  <c r="N1683" i="7950"/>
  <c r="N1699" i="7950" s="1"/>
  <c r="N1197" i="7950"/>
  <c r="N1213" i="7950" s="1"/>
  <c r="N117" i="7950"/>
  <c r="N133" i="7950" s="1"/>
  <c r="N227" i="7950"/>
  <c r="N2169" i="7950"/>
  <c r="N2185" i="7950" s="1"/>
  <c r="N9" i="7950"/>
  <c r="N25" i="7950" s="1"/>
  <c r="O2015" i="7949"/>
  <c r="O2069" i="7949"/>
  <c r="O2123" i="7949"/>
  <c r="D1634" i="7949"/>
  <c r="D1742" i="7949"/>
  <c r="D1202" i="7949"/>
  <c r="D1089" i="7950"/>
  <c r="E503" i="7949"/>
  <c r="E1367" i="7949"/>
  <c r="E988" i="7949"/>
  <c r="E2121" i="7949"/>
  <c r="E16" i="7949"/>
  <c r="D2385" i="7950"/>
  <c r="E1256" i="7949"/>
  <c r="E1095" i="7949"/>
  <c r="D819" i="7950"/>
  <c r="E880" i="7949"/>
  <c r="E1364" i="7949"/>
  <c r="E878" i="7949"/>
  <c r="E179" i="7949"/>
  <c r="E17" i="7949"/>
  <c r="D1737" i="7950"/>
  <c r="E2392" i="7949"/>
  <c r="E1257" i="7949"/>
  <c r="E119" i="7950"/>
  <c r="E118" i="7950"/>
  <c r="E1521" i="7950"/>
  <c r="F1043" i="7949"/>
  <c r="F178" i="7949"/>
  <c r="F988" i="7949"/>
  <c r="E1254" i="7950"/>
  <c r="E873" i="7950"/>
  <c r="F987" i="7949"/>
  <c r="E335" i="7950"/>
  <c r="E2442" i="7950"/>
  <c r="E66" i="7950"/>
  <c r="E1575" i="7950"/>
  <c r="E12" i="7950"/>
  <c r="F2337" i="7949"/>
  <c r="F1256" i="7949"/>
  <c r="F446" i="7949"/>
  <c r="E2602" i="7950"/>
  <c r="F2554" i="7949"/>
  <c r="F2067" i="7949"/>
  <c r="E821" i="7950"/>
  <c r="F880" i="7949"/>
  <c r="E2493" i="7950"/>
  <c r="F1635" i="7949"/>
  <c r="F1798" i="7949"/>
  <c r="F389" i="7950"/>
  <c r="F1954" i="7950"/>
  <c r="G179" i="7949"/>
  <c r="G70" i="7949"/>
  <c r="G1526" i="7949"/>
  <c r="F1200" i="7950"/>
  <c r="F2061" i="7950"/>
  <c r="G825" i="7949"/>
  <c r="F984" i="7950"/>
  <c r="F2442" i="7950"/>
  <c r="F66" i="7950"/>
  <c r="F1684" i="7950"/>
  <c r="G988" i="7949"/>
  <c r="G2066" i="7949"/>
  <c r="F1305" i="7950"/>
  <c r="G2663" i="7949"/>
  <c r="G1258" i="7949"/>
  <c r="F497" i="7950"/>
  <c r="G1635" i="7949"/>
  <c r="F2062" i="7950"/>
  <c r="G771" i="7949"/>
  <c r="F927" i="7950"/>
  <c r="G2171" i="7950"/>
  <c r="G550" i="7950"/>
  <c r="H1421" i="7949"/>
  <c r="H340" i="7949"/>
  <c r="H2012" i="7949"/>
  <c r="G1739" i="7950"/>
  <c r="G1899" i="7950"/>
  <c r="G1908" i="7950" s="1"/>
  <c r="H1096" i="7949"/>
  <c r="G1146" i="7950"/>
  <c r="G2331" i="7950"/>
  <c r="G2340" i="7950" s="1"/>
  <c r="H1473" i="7949"/>
  <c r="G2280" i="7950"/>
  <c r="G1577" i="7950"/>
  <c r="G1792" i="7950"/>
  <c r="G657" i="7950"/>
  <c r="G666" i="7950" s="1"/>
  <c r="H2284" i="7949"/>
  <c r="H448" i="7949"/>
  <c r="H231" i="7949"/>
  <c r="H772" i="7949"/>
  <c r="H878" i="7949"/>
  <c r="G2064" i="7950"/>
  <c r="G2225" i="7950"/>
  <c r="G2656" i="7950"/>
  <c r="G495" i="7950"/>
  <c r="G504" i="7950" s="1"/>
  <c r="H394" i="7949"/>
  <c r="H1149" i="7949"/>
  <c r="H392" i="7949"/>
  <c r="G1415" i="7950"/>
  <c r="G172" i="7950"/>
  <c r="G2223" i="7950"/>
  <c r="G2232" i="7950" s="1"/>
  <c r="H1852" i="7949"/>
  <c r="H125" i="7949"/>
  <c r="H1310" i="7949"/>
  <c r="H659" i="7950"/>
  <c r="H228" i="7950"/>
  <c r="H875" i="7950"/>
  <c r="H1200" i="7950"/>
  <c r="H1683" i="7950"/>
  <c r="H1693" i="7950" s="1"/>
  <c r="H874" i="7950"/>
  <c r="I2015" i="7949"/>
  <c r="I2122" i="7949"/>
  <c r="I1366" i="7949"/>
  <c r="I1257" i="7949"/>
  <c r="I1291" i="7949" s="1"/>
  <c r="J1291" i="7949" s="1"/>
  <c r="K1291" i="7949" s="1"/>
  <c r="L1291" i="7949" s="1"/>
  <c r="M1291" i="7949" s="1"/>
  <c r="N1291" i="7949" s="1"/>
  <c r="O1291" i="7949" s="1"/>
  <c r="P1291" i="7949" s="1"/>
  <c r="Q1291" i="7949" s="1"/>
  <c r="R1291" i="7949" s="1"/>
  <c r="S1291" i="7949" s="1"/>
  <c r="T1291" i="7949" s="1"/>
  <c r="U1291" i="7949" s="1"/>
  <c r="V1291" i="7949" s="1"/>
  <c r="W1291" i="7949" s="1"/>
  <c r="I771" i="7949"/>
  <c r="I805" i="7949" s="1"/>
  <c r="J805" i="7949" s="1"/>
  <c r="K805" i="7949" s="1"/>
  <c r="L805" i="7949" s="1"/>
  <c r="M805" i="7949" s="1"/>
  <c r="N805" i="7949" s="1"/>
  <c r="O805" i="7949" s="1"/>
  <c r="P805" i="7949" s="1"/>
  <c r="Q805" i="7949" s="1"/>
  <c r="R805" i="7949" s="1"/>
  <c r="S805" i="7949" s="1"/>
  <c r="T805" i="7949" s="1"/>
  <c r="U805" i="7949" s="1"/>
  <c r="V805" i="7949" s="1"/>
  <c r="W805" i="7949" s="1"/>
  <c r="I1310" i="7949"/>
  <c r="H1684" i="7950"/>
  <c r="H2385" i="7950"/>
  <c r="H2395" i="7950" s="1"/>
  <c r="H2061" i="7950"/>
  <c r="H2071" i="7950" s="1"/>
  <c r="I1096" i="7949"/>
  <c r="I1418" i="7949"/>
  <c r="I285" i="7949"/>
  <c r="I319" i="7949" s="1"/>
  <c r="J319" i="7949" s="1"/>
  <c r="K319" i="7949" s="1"/>
  <c r="L319" i="7949" s="1"/>
  <c r="M319" i="7949" s="1"/>
  <c r="N319" i="7949" s="1"/>
  <c r="O319" i="7949" s="1"/>
  <c r="P319" i="7949" s="1"/>
  <c r="Q319" i="7949" s="1"/>
  <c r="R319" i="7949" s="1"/>
  <c r="S319" i="7949" s="1"/>
  <c r="T319" i="7949" s="1"/>
  <c r="U319" i="7949" s="1"/>
  <c r="V319" i="7949" s="1"/>
  <c r="W319" i="7949" s="1"/>
  <c r="H1038" i="7950"/>
  <c r="H1362" i="7950"/>
  <c r="H2277" i="7950"/>
  <c r="H2287" i="7950" s="1"/>
  <c r="I2608" i="7949"/>
  <c r="I609" i="7949"/>
  <c r="I643" i="7949" s="1"/>
  <c r="J643" i="7949" s="1"/>
  <c r="K643" i="7949" s="1"/>
  <c r="L643" i="7949" s="1"/>
  <c r="M643" i="7949" s="1"/>
  <c r="N643" i="7949" s="1"/>
  <c r="O643" i="7949" s="1"/>
  <c r="P643" i="7949" s="1"/>
  <c r="Q643" i="7949" s="1"/>
  <c r="R643" i="7949" s="1"/>
  <c r="S643" i="7949" s="1"/>
  <c r="T643" i="7949" s="1"/>
  <c r="U643" i="7949" s="1"/>
  <c r="V643" i="7949" s="1"/>
  <c r="W643" i="7949" s="1"/>
  <c r="I1094" i="7949"/>
  <c r="H2387" i="7950"/>
  <c r="H1956" i="7950"/>
  <c r="H2603" i="7950"/>
  <c r="H822" i="7950"/>
  <c r="I2663" i="7949"/>
  <c r="I989" i="7949"/>
  <c r="I2446" i="7949"/>
  <c r="I231" i="7949"/>
  <c r="I265" i="7949" s="1"/>
  <c r="J265" i="7949" s="1"/>
  <c r="K265" i="7949" s="1"/>
  <c r="L265" i="7949" s="1"/>
  <c r="M265" i="7949" s="1"/>
  <c r="N265" i="7949" s="1"/>
  <c r="O265" i="7949" s="1"/>
  <c r="P265" i="7949" s="1"/>
  <c r="Q265" i="7949" s="1"/>
  <c r="R265" i="7949" s="1"/>
  <c r="S265" i="7949" s="1"/>
  <c r="T265" i="7949" s="1"/>
  <c r="U265" i="7949" s="1"/>
  <c r="V265" i="7949" s="1"/>
  <c r="W265" i="7949" s="1"/>
  <c r="I392" i="7949"/>
  <c r="I2661" i="7949"/>
  <c r="I2695" i="7949" s="1"/>
  <c r="J2695" i="7949" s="1"/>
  <c r="K2695" i="7949" s="1"/>
  <c r="L2695" i="7949" s="1"/>
  <c r="M2695" i="7949" s="1"/>
  <c r="N2695" i="7949" s="1"/>
  <c r="O2695" i="7949" s="1"/>
  <c r="P2695" i="7949" s="1"/>
  <c r="Q2695" i="7949" s="1"/>
  <c r="R2695" i="7949" s="1"/>
  <c r="S2695" i="7949" s="1"/>
  <c r="T2695" i="7949" s="1"/>
  <c r="U2695" i="7949" s="1"/>
  <c r="V2695" i="7949" s="1"/>
  <c r="W2695" i="7949" s="1"/>
  <c r="I16" i="7949"/>
  <c r="H1416" i="7950"/>
  <c r="H1899" i="7950"/>
  <c r="H1909" i="7950" s="1"/>
  <c r="H2223" i="7950"/>
  <c r="H2233" i="7950" s="1"/>
  <c r="I1960" i="7949"/>
  <c r="I500" i="7949"/>
  <c r="I2066" i="7949"/>
  <c r="H768" i="7950"/>
  <c r="H928" i="7950"/>
  <c r="H2007" i="7950"/>
  <c r="H2017" i="7950" s="1"/>
  <c r="I2500" i="7949"/>
  <c r="I1797" i="7949"/>
  <c r="I1831" i="7949" s="1"/>
  <c r="J1831" i="7949" s="1"/>
  <c r="K1831" i="7949" s="1"/>
  <c r="L1831" i="7949" s="1"/>
  <c r="M1831" i="7949" s="1"/>
  <c r="N1831" i="7949" s="1"/>
  <c r="O1831" i="7949" s="1"/>
  <c r="P1831" i="7949" s="1"/>
  <c r="Q1831" i="7949" s="1"/>
  <c r="R1831" i="7949" s="1"/>
  <c r="S1831" i="7949" s="1"/>
  <c r="T1831" i="7949" s="1"/>
  <c r="U1831" i="7949" s="1"/>
  <c r="V1831" i="7949" s="1"/>
  <c r="W1831" i="7949" s="1"/>
  <c r="I2010" i="7950"/>
  <c r="I714" i="7950"/>
  <c r="I875" i="7950"/>
  <c r="I1252" i="7950"/>
  <c r="I1286" i="7950" s="1"/>
  <c r="I1846" i="7950"/>
  <c r="I1880" i="7950" s="1"/>
  <c r="I495" i="7950"/>
  <c r="I506" i="7950" s="1"/>
  <c r="J1799" i="7949"/>
  <c r="J2338" i="7949"/>
  <c r="J988" i="7949"/>
  <c r="J231" i="7949"/>
  <c r="J266" i="7949" s="1"/>
  <c r="K266" i="7949" s="1"/>
  <c r="L266" i="7949" s="1"/>
  <c r="M266" i="7949" s="1"/>
  <c r="N266" i="7949" s="1"/>
  <c r="O266" i="7949" s="1"/>
  <c r="P266" i="7949" s="1"/>
  <c r="Q266" i="7949" s="1"/>
  <c r="R266" i="7949" s="1"/>
  <c r="S266" i="7949" s="1"/>
  <c r="T266" i="7949" s="1"/>
  <c r="U266" i="7949" s="1"/>
  <c r="V266" i="7949" s="1"/>
  <c r="W266" i="7949" s="1"/>
  <c r="J987" i="7949"/>
  <c r="J1022" i="7949" s="1"/>
  <c r="K1022" i="7949" s="1"/>
  <c r="L1022" i="7949" s="1"/>
  <c r="M1022" i="7949" s="1"/>
  <c r="N1022" i="7949" s="1"/>
  <c r="O1022" i="7949" s="1"/>
  <c r="P1022" i="7949" s="1"/>
  <c r="Q1022" i="7949" s="1"/>
  <c r="R1022" i="7949" s="1"/>
  <c r="S1022" i="7949" s="1"/>
  <c r="T1022" i="7949" s="1"/>
  <c r="U1022" i="7949" s="1"/>
  <c r="V1022" i="7949" s="1"/>
  <c r="W1022" i="7949" s="1"/>
  <c r="J2337" i="7949"/>
  <c r="J2372" i="7949" s="1"/>
  <c r="K2372" i="7949" s="1"/>
  <c r="L2372" i="7949" s="1"/>
  <c r="M2372" i="7949" s="1"/>
  <c r="N2372" i="7949" s="1"/>
  <c r="O2372" i="7949" s="1"/>
  <c r="P2372" i="7949" s="1"/>
  <c r="Q2372" i="7949" s="1"/>
  <c r="R2372" i="7949" s="1"/>
  <c r="S2372" i="7949" s="1"/>
  <c r="T2372" i="7949" s="1"/>
  <c r="U2372" i="7949" s="1"/>
  <c r="V2372" i="7949" s="1"/>
  <c r="W2372" i="7949" s="1"/>
  <c r="J16" i="7949"/>
  <c r="I443" i="7950"/>
  <c r="I1848" i="7950"/>
  <c r="I2656" i="7950"/>
  <c r="I2690" i="7950" s="1"/>
  <c r="I2061" i="7950"/>
  <c r="I2072" i="7950" s="1"/>
  <c r="J1691" i="7949"/>
  <c r="J1259" i="7949"/>
  <c r="J340" i="7949"/>
  <c r="J986" i="7949"/>
  <c r="J2336" i="7949"/>
  <c r="J2553" i="7949"/>
  <c r="J2588" i="7949" s="1"/>
  <c r="K2588" i="7949" s="1"/>
  <c r="L2588" i="7949" s="1"/>
  <c r="M2588" i="7949" s="1"/>
  <c r="N2588" i="7949" s="1"/>
  <c r="O2588" i="7949" s="1"/>
  <c r="P2588" i="7949" s="1"/>
  <c r="Q2588" i="7949" s="1"/>
  <c r="R2588" i="7949" s="1"/>
  <c r="S2588" i="7949" s="1"/>
  <c r="T2588" i="7949" s="1"/>
  <c r="U2588" i="7949" s="1"/>
  <c r="V2588" i="7949" s="1"/>
  <c r="W2588" i="7949" s="1"/>
  <c r="I552" i="7950"/>
  <c r="I335" i="7950"/>
  <c r="I1254" i="7950"/>
  <c r="I1198" i="7950"/>
  <c r="I1232" i="7950" s="1"/>
  <c r="I2385" i="7950"/>
  <c r="I2396" i="7950" s="1"/>
  <c r="I334" i="7950"/>
  <c r="I368" i="7950" s="1"/>
  <c r="J2123" i="7949"/>
  <c r="J1960" i="7949"/>
  <c r="J1474" i="7949"/>
  <c r="J2067" i="7949"/>
  <c r="J2102" i="7949" s="1"/>
  <c r="K2102" i="7949" s="1"/>
  <c r="L2102" i="7949" s="1"/>
  <c r="M2102" i="7949" s="1"/>
  <c r="N2102" i="7949" s="1"/>
  <c r="O2102" i="7949" s="1"/>
  <c r="P2102" i="7949" s="1"/>
  <c r="Q2102" i="7949" s="1"/>
  <c r="R2102" i="7949" s="1"/>
  <c r="S2102" i="7949" s="1"/>
  <c r="T2102" i="7949" s="1"/>
  <c r="U2102" i="7949" s="1"/>
  <c r="V2102" i="7949" s="1"/>
  <c r="W2102" i="7949" s="1"/>
  <c r="J2391" i="7949"/>
  <c r="J2426" i="7949" s="1"/>
  <c r="K2426" i="7949" s="1"/>
  <c r="L2426" i="7949" s="1"/>
  <c r="M2426" i="7949" s="1"/>
  <c r="N2426" i="7949" s="1"/>
  <c r="O2426" i="7949" s="1"/>
  <c r="P2426" i="7949" s="1"/>
  <c r="Q2426" i="7949" s="1"/>
  <c r="R2426" i="7949" s="1"/>
  <c r="S2426" i="7949" s="1"/>
  <c r="T2426" i="7949" s="1"/>
  <c r="U2426" i="7949" s="1"/>
  <c r="V2426" i="7949" s="1"/>
  <c r="W2426" i="7949" s="1"/>
  <c r="J1796" i="7949"/>
  <c r="I2334" i="7950"/>
  <c r="I1146" i="7950"/>
  <c r="I2009" i="7950"/>
  <c r="I2063" i="7950"/>
  <c r="I1739" i="7950"/>
  <c r="I1631" i="7950"/>
  <c r="I605" i="7950"/>
  <c r="I1360" i="7950"/>
  <c r="I1394" i="7950" s="1"/>
  <c r="I928" i="7950"/>
  <c r="I962" i="7950" s="1"/>
  <c r="I1251" i="7950"/>
  <c r="I1262" i="7950" s="1"/>
  <c r="I1845" i="7950"/>
  <c r="I1856" i="7950" s="1"/>
  <c r="I2277" i="7950"/>
  <c r="I2288" i="7950" s="1"/>
  <c r="J2555" i="7949"/>
  <c r="J719" i="7949"/>
  <c r="J2392" i="7949"/>
  <c r="J934" i="7949"/>
  <c r="J71" i="7949"/>
  <c r="J448" i="7949"/>
  <c r="J771" i="7949"/>
  <c r="J806" i="7949" s="1"/>
  <c r="K806" i="7949" s="1"/>
  <c r="L806" i="7949" s="1"/>
  <c r="M806" i="7949" s="1"/>
  <c r="N806" i="7949" s="1"/>
  <c r="O806" i="7949" s="1"/>
  <c r="P806" i="7949" s="1"/>
  <c r="Q806" i="7949" s="1"/>
  <c r="R806" i="7949" s="1"/>
  <c r="S806" i="7949" s="1"/>
  <c r="T806" i="7949" s="1"/>
  <c r="U806" i="7949" s="1"/>
  <c r="V806" i="7949" s="1"/>
  <c r="W806" i="7949" s="1"/>
  <c r="J2606" i="7949"/>
  <c r="J663" i="7949"/>
  <c r="J698" i="7949" s="1"/>
  <c r="K698" i="7949" s="1"/>
  <c r="L698" i="7949" s="1"/>
  <c r="M698" i="7949" s="1"/>
  <c r="N698" i="7949" s="1"/>
  <c r="O698" i="7949" s="1"/>
  <c r="P698" i="7949" s="1"/>
  <c r="Q698" i="7949" s="1"/>
  <c r="R698" i="7949" s="1"/>
  <c r="S698" i="7949" s="1"/>
  <c r="T698" i="7949" s="1"/>
  <c r="U698" i="7949" s="1"/>
  <c r="V698" i="7949" s="1"/>
  <c r="W698" i="7949" s="1"/>
  <c r="J1958" i="7949"/>
  <c r="J2390" i="7949"/>
  <c r="J1202" i="7949"/>
  <c r="I2172" i="7950"/>
  <c r="I1793" i="7950"/>
  <c r="I983" i="7950"/>
  <c r="I1305" i="7950"/>
  <c r="I1316" i="7950" s="1"/>
  <c r="I1089" i="7950"/>
  <c r="I1100" i="7950" s="1"/>
  <c r="I10" i="7950"/>
  <c r="I44" i="7950" s="1"/>
  <c r="J503" i="7949"/>
  <c r="J718" i="7949"/>
  <c r="J449" i="7949"/>
  <c r="J716" i="7949"/>
  <c r="J1364" i="7949"/>
  <c r="J2066" i="7949"/>
  <c r="I1524" i="7950"/>
  <c r="I1307" i="7950"/>
  <c r="I1632" i="7950"/>
  <c r="I1954" i="7950"/>
  <c r="I1988" i="7950" s="1"/>
  <c r="I2332" i="7950"/>
  <c r="I2366" i="7950" s="1"/>
  <c r="I1197" i="7950"/>
  <c r="I1208" i="7950" s="1"/>
  <c r="J1367" i="7949"/>
  <c r="J1151" i="7949"/>
  <c r="J394" i="7949"/>
  <c r="J1311" i="7949"/>
  <c r="J1346" i="7949" s="1"/>
  <c r="K1346" i="7949" s="1"/>
  <c r="L1346" i="7949" s="1"/>
  <c r="M1346" i="7949" s="1"/>
  <c r="N1346" i="7949" s="1"/>
  <c r="O1346" i="7949" s="1"/>
  <c r="P1346" i="7949" s="1"/>
  <c r="Q1346" i="7949" s="1"/>
  <c r="R1346" i="7949" s="1"/>
  <c r="S1346" i="7949" s="1"/>
  <c r="T1346" i="7949" s="1"/>
  <c r="U1346" i="7949" s="1"/>
  <c r="V1346" i="7949" s="1"/>
  <c r="W1346" i="7949" s="1"/>
  <c r="J2229" i="7949"/>
  <c r="J2264" i="7949" s="1"/>
  <c r="K2264" i="7949" s="1"/>
  <c r="L2264" i="7949" s="1"/>
  <c r="M2264" i="7949" s="1"/>
  <c r="N2264" i="7949" s="1"/>
  <c r="O2264" i="7949" s="1"/>
  <c r="P2264" i="7949" s="1"/>
  <c r="Q2264" i="7949" s="1"/>
  <c r="R2264" i="7949" s="1"/>
  <c r="S2264" i="7949" s="1"/>
  <c r="T2264" i="7949" s="1"/>
  <c r="U2264" i="7949" s="1"/>
  <c r="V2264" i="7949" s="1"/>
  <c r="W2264" i="7949" s="1"/>
  <c r="J392" i="7949"/>
  <c r="J2604" i="7950"/>
  <c r="J1416" i="7950"/>
  <c r="J66" i="7950"/>
  <c r="J2441" i="7950"/>
  <c r="J984" i="7950"/>
  <c r="J875" i="7950"/>
  <c r="J1146" i="7950"/>
  <c r="J1522" i="7950"/>
  <c r="J1557" i="7950" s="1"/>
  <c r="J2224" i="7950"/>
  <c r="J2259" i="7950" s="1"/>
  <c r="J1468" i="7950"/>
  <c r="J2223" i="7950"/>
  <c r="J2235" i="7950" s="1"/>
  <c r="J1845" i="7950"/>
  <c r="J1857" i="7950" s="1"/>
  <c r="J1629" i="7950"/>
  <c r="J1641" i="7950" s="1"/>
  <c r="K1961" i="7949"/>
  <c r="K557" i="7949"/>
  <c r="K2014" i="7949"/>
  <c r="K340" i="7949"/>
  <c r="K2176" i="7949"/>
  <c r="K718" i="7949"/>
  <c r="K339" i="7949"/>
  <c r="K375" i="7949" s="1"/>
  <c r="L375" i="7949" s="1"/>
  <c r="M375" i="7949" s="1"/>
  <c r="N375" i="7949" s="1"/>
  <c r="O375" i="7949" s="1"/>
  <c r="P375" i="7949" s="1"/>
  <c r="Q375" i="7949" s="1"/>
  <c r="R375" i="7949" s="1"/>
  <c r="S375" i="7949" s="1"/>
  <c r="T375" i="7949" s="1"/>
  <c r="U375" i="7949" s="1"/>
  <c r="V375" i="7949" s="1"/>
  <c r="W375" i="7949" s="1"/>
  <c r="K1688" i="7949"/>
  <c r="K1472" i="7949"/>
  <c r="K771" i="7949"/>
  <c r="K807" i="7949" s="1"/>
  <c r="L807" i="7949" s="1"/>
  <c r="M807" i="7949" s="1"/>
  <c r="N807" i="7949" s="1"/>
  <c r="O807" i="7949" s="1"/>
  <c r="P807" i="7949" s="1"/>
  <c r="Q807" i="7949" s="1"/>
  <c r="R807" i="7949" s="1"/>
  <c r="S807" i="7949" s="1"/>
  <c r="T807" i="7949" s="1"/>
  <c r="U807" i="7949" s="1"/>
  <c r="V807" i="7949" s="1"/>
  <c r="W807" i="7949" s="1"/>
  <c r="K1742" i="7949"/>
  <c r="K879" i="7949"/>
  <c r="K915" i="7949" s="1"/>
  <c r="L915" i="7949" s="1"/>
  <c r="M915" i="7949" s="1"/>
  <c r="N915" i="7949" s="1"/>
  <c r="O915" i="7949" s="1"/>
  <c r="P915" i="7949" s="1"/>
  <c r="Q915" i="7949" s="1"/>
  <c r="R915" i="7949" s="1"/>
  <c r="S915" i="7949" s="1"/>
  <c r="T915" i="7949" s="1"/>
  <c r="U915" i="7949" s="1"/>
  <c r="V915" i="7949" s="1"/>
  <c r="W915" i="7949" s="1"/>
  <c r="J2226" i="7950"/>
  <c r="J1199" i="7950"/>
  <c r="J2009" i="7950"/>
  <c r="J2116" i="7950"/>
  <c r="J2151" i="7950" s="1"/>
  <c r="J981" i="7950"/>
  <c r="J993" i="7950" s="1"/>
  <c r="J225" i="7950"/>
  <c r="J237" i="7950" s="1"/>
  <c r="K2285" i="7949"/>
  <c r="K395" i="7949"/>
  <c r="K1366" i="7949"/>
  <c r="K448" i="7949"/>
  <c r="K501" i="7949"/>
  <c r="K537" i="7949" s="1"/>
  <c r="L537" i="7949" s="1"/>
  <c r="M537" i="7949" s="1"/>
  <c r="N537" i="7949" s="1"/>
  <c r="O537" i="7949" s="1"/>
  <c r="P537" i="7949" s="1"/>
  <c r="Q537" i="7949" s="1"/>
  <c r="R537" i="7949" s="1"/>
  <c r="S537" i="7949" s="1"/>
  <c r="T537" i="7949" s="1"/>
  <c r="U537" i="7949" s="1"/>
  <c r="V537" i="7949" s="1"/>
  <c r="W537" i="7949" s="1"/>
  <c r="K663" i="7949"/>
  <c r="K699" i="7949" s="1"/>
  <c r="L699" i="7949" s="1"/>
  <c r="M699" i="7949" s="1"/>
  <c r="N699" i="7949" s="1"/>
  <c r="O699" i="7949" s="1"/>
  <c r="P699" i="7949" s="1"/>
  <c r="Q699" i="7949" s="1"/>
  <c r="R699" i="7949" s="1"/>
  <c r="S699" i="7949" s="1"/>
  <c r="T699" i="7949" s="1"/>
  <c r="U699" i="7949" s="1"/>
  <c r="V699" i="7949" s="1"/>
  <c r="W699" i="7949" s="1"/>
  <c r="K2174" i="7949"/>
  <c r="J876" i="7950"/>
  <c r="J2170" i="7950"/>
  <c r="J2205" i="7950" s="1"/>
  <c r="J1251" i="7950"/>
  <c r="J1263" i="7950" s="1"/>
  <c r="J2656" i="7950"/>
  <c r="J2691" i="7950" s="1"/>
  <c r="K2177" i="7949"/>
  <c r="K2230" i="7949"/>
  <c r="K2500" i="7949"/>
  <c r="K123" i="7949"/>
  <c r="K159" i="7949" s="1"/>
  <c r="L159" i="7949" s="1"/>
  <c r="M159" i="7949" s="1"/>
  <c r="N159" i="7949" s="1"/>
  <c r="O159" i="7949" s="1"/>
  <c r="P159" i="7949" s="1"/>
  <c r="Q159" i="7949" s="1"/>
  <c r="R159" i="7949" s="1"/>
  <c r="S159" i="7949" s="1"/>
  <c r="T159" i="7949" s="1"/>
  <c r="U159" i="7949" s="1"/>
  <c r="V159" i="7949" s="1"/>
  <c r="W159" i="7949" s="1"/>
  <c r="K1796" i="7949"/>
  <c r="K933" i="7949"/>
  <c r="K969" i="7949" s="1"/>
  <c r="L969" i="7949" s="1"/>
  <c r="M969" i="7949" s="1"/>
  <c r="N969" i="7949" s="1"/>
  <c r="O969" i="7949" s="1"/>
  <c r="P969" i="7949" s="1"/>
  <c r="Q969" i="7949" s="1"/>
  <c r="R969" i="7949" s="1"/>
  <c r="S969" i="7949" s="1"/>
  <c r="T969" i="7949" s="1"/>
  <c r="U969" i="7949" s="1"/>
  <c r="V969" i="7949" s="1"/>
  <c r="W969" i="7949" s="1"/>
  <c r="K14" i="7949"/>
  <c r="J2550" i="7950"/>
  <c r="J930" i="7950"/>
  <c r="J2118" i="7950"/>
  <c r="J2117" i="7950"/>
  <c r="J173" i="7950"/>
  <c r="J281" i="7950"/>
  <c r="J1900" i="7950"/>
  <c r="J1935" i="7950" s="1"/>
  <c r="J2332" i="7950"/>
  <c r="J2367" i="7950" s="1"/>
  <c r="J873" i="7950"/>
  <c r="J885" i="7950" s="1"/>
  <c r="J333" i="7950"/>
  <c r="J345" i="7950" s="1"/>
  <c r="J1953" i="7950"/>
  <c r="J1965" i="7950" s="1"/>
  <c r="J2007" i="7950"/>
  <c r="J2019" i="7950" s="1"/>
  <c r="K2555" i="7949"/>
  <c r="K1043" i="7949"/>
  <c r="K2392" i="7949"/>
  <c r="K1852" i="7949"/>
  <c r="K502" i="7949"/>
  <c r="K1690" i="7949"/>
  <c r="K230" i="7949"/>
  <c r="K554" i="7949"/>
  <c r="K2390" i="7949"/>
  <c r="K2444" i="7949"/>
  <c r="K2175" i="7949"/>
  <c r="K2211" i="7949" s="1"/>
  <c r="L2211" i="7949" s="1"/>
  <c r="M2211" i="7949" s="1"/>
  <c r="N2211" i="7949" s="1"/>
  <c r="O2211" i="7949" s="1"/>
  <c r="P2211" i="7949" s="1"/>
  <c r="Q2211" i="7949" s="1"/>
  <c r="R2211" i="7949" s="1"/>
  <c r="S2211" i="7949" s="1"/>
  <c r="T2211" i="7949" s="1"/>
  <c r="U2211" i="7949" s="1"/>
  <c r="V2211" i="7949" s="1"/>
  <c r="W2211" i="7949" s="1"/>
  <c r="K932" i="7949"/>
  <c r="K17" i="7949"/>
  <c r="J1686" i="7950"/>
  <c r="J1955" i="7950"/>
  <c r="J2387" i="7950"/>
  <c r="J550" i="7950"/>
  <c r="J2008" i="7950"/>
  <c r="J2043" i="7950" s="1"/>
  <c r="J657" i="7950"/>
  <c r="J669" i="7950" s="1"/>
  <c r="K2339" i="7949"/>
  <c r="K1151" i="7949"/>
  <c r="K394" i="7949"/>
  <c r="K231" i="7949"/>
  <c r="K267" i="7949" s="1"/>
  <c r="L267" i="7949" s="1"/>
  <c r="M267" i="7949" s="1"/>
  <c r="N267" i="7949" s="1"/>
  <c r="O267" i="7949" s="1"/>
  <c r="P267" i="7949" s="1"/>
  <c r="Q267" i="7949" s="1"/>
  <c r="R267" i="7949" s="1"/>
  <c r="S267" i="7949" s="1"/>
  <c r="T267" i="7949" s="1"/>
  <c r="U267" i="7949" s="1"/>
  <c r="V267" i="7949" s="1"/>
  <c r="W267" i="7949" s="1"/>
  <c r="K284" i="7949"/>
  <c r="K2607" i="7949"/>
  <c r="K2643" i="7949" s="1"/>
  <c r="L2643" i="7949" s="1"/>
  <c r="M2643" i="7949" s="1"/>
  <c r="N2643" i="7949" s="1"/>
  <c r="O2643" i="7949" s="1"/>
  <c r="P2643" i="7949" s="1"/>
  <c r="Q2643" i="7949" s="1"/>
  <c r="R2643" i="7949" s="1"/>
  <c r="S2643" i="7949" s="1"/>
  <c r="T2643" i="7949" s="1"/>
  <c r="U2643" i="7949" s="1"/>
  <c r="V2643" i="7949" s="1"/>
  <c r="W2643" i="7949" s="1"/>
  <c r="K11" i="7949"/>
  <c r="J1632" i="7950"/>
  <c r="J1847" i="7950"/>
  <c r="J1577" i="7950"/>
  <c r="J336" i="7950"/>
  <c r="J1305" i="7950"/>
  <c r="J1317" i="7950" s="1"/>
  <c r="J1414" i="7950"/>
  <c r="J1449" i="7950" s="1"/>
  <c r="J711" i="7950"/>
  <c r="J723" i="7950" s="1"/>
  <c r="J11" i="7950"/>
  <c r="K1367" i="7949"/>
  <c r="K71" i="7949"/>
  <c r="K1960" i="7949"/>
  <c r="K717" i="7949"/>
  <c r="K753" i="7949" s="1"/>
  <c r="L753" i="7949" s="1"/>
  <c r="M753" i="7949" s="1"/>
  <c r="N753" i="7949" s="1"/>
  <c r="O753" i="7949" s="1"/>
  <c r="P753" i="7949" s="1"/>
  <c r="Q753" i="7949" s="1"/>
  <c r="R753" i="7949" s="1"/>
  <c r="S753" i="7949" s="1"/>
  <c r="T753" i="7949" s="1"/>
  <c r="U753" i="7949" s="1"/>
  <c r="V753" i="7949" s="1"/>
  <c r="W753" i="7949" s="1"/>
  <c r="K1311" i="7949"/>
  <c r="K1347" i="7949" s="1"/>
  <c r="L1347" i="7949" s="1"/>
  <c r="M1347" i="7949" s="1"/>
  <c r="N1347" i="7949" s="1"/>
  <c r="O1347" i="7949" s="1"/>
  <c r="P1347" i="7949" s="1"/>
  <c r="Q1347" i="7949" s="1"/>
  <c r="R1347" i="7949" s="1"/>
  <c r="S1347" i="7949" s="1"/>
  <c r="T1347" i="7949" s="1"/>
  <c r="U1347" i="7949" s="1"/>
  <c r="V1347" i="7949" s="1"/>
  <c r="W1347" i="7949" s="1"/>
  <c r="K500" i="7949"/>
  <c r="K1956" i="7950"/>
  <c r="K714" i="7950"/>
  <c r="K768" i="7950"/>
  <c r="K1631" i="7950"/>
  <c r="K1524" i="7950"/>
  <c r="K1955" i="7950"/>
  <c r="K334" i="7950"/>
  <c r="K370" i="7950" s="1"/>
  <c r="K604" i="7950"/>
  <c r="K640" i="7950" s="1"/>
  <c r="K442" i="7950"/>
  <c r="K478" i="7950" s="1"/>
  <c r="K549" i="7950"/>
  <c r="K562" i="7950" s="1"/>
  <c r="K819" i="7950"/>
  <c r="K832" i="7950" s="1"/>
  <c r="K2223" i="7950"/>
  <c r="K2236" i="7950" s="1"/>
  <c r="L2609" i="7949"/>
  <c r="L1097" i="7949"/>
  <c r="L2069" i="7949"/>
  <c r="L1690" i="7949"/>
  <c r="L286" i="7949"/>
  <c r="L1528" i="7949"/>
  <c r="L230" i="7949"/>
  <c r="L1256" i="7949"/>
  <c r="L987" i="7949"/>
  <c r="L1024" i="7949" s="1"/>
  <c r="M1024" i="7949" s="1"/>
  <c r="N1024" i="7949" s="1"/>
  <c r="O1024" i="7949" s="1"/>
  <c r="P1024" i="7949" s="1"/>
  <c r="Q1024" i="7949" s="1"/>
  <c r="R1024" i="7949" s="1"/>
  <c r="S1024" i="7949" s="1"/>
  <c r="T1024" i="7949" s="1"/>
  <c r="U1024" i="7949" s="1"/>
  <c r="V1024" i="7949" s="1"/>
  <c r="W1024" i="7949" s="1"/>
  <c r="L1635" i="7949"/>
  <c r="L1672" i="7949" s="1"/>
  <c r="M1672" i="7949" s="1"/>
  <c r="N1672" i="7949" s="1"/>
  <c r="O1672" i="7949" s="1"/>
  <c r="P1672" i="7949" s="1"/>
  <c r="Q1672" i="7949" s="1"/>
  <c r="R1672" i="7949" s="1"/>
  <c r="S1672" i="7949" s="1"/>
  <c r="T1672" i="7949" s="1"/>
  <c r="U1672" i="7949" s="1"/>
  <c r="V1672" i="7949" s="1"/>
  <c r="W1672" i="7949" s="1"/>
  <c r="L1958" i="7949"/>
  <c r="L2283" i="7949"/>
  <c r="L2320" i="7949" s="1"/>
  <c r="M2320" i="7949" s="1"/>
  <c r="N2320" i="7949" s="1"/>
  <c r="O2320" i="7949" s="1"/>
  <c r="P2320" i="7949" s="1"/>
  <c r="Q2320" i="7949" s="1"/>
  <c r="R2320" i="7949" s="1"/>
  <c r="S2320" i="7949" s="1"/>
  <c r="T2320" i="7949" s="1"/>
  <c r="U2320" i="7949" s="1"/>
  <c r="V2320" i="7949" s="1"/>
  <c r="W2320" i="7949" s="1"/>
  <c r="L14" i="7949"/>
  <c r="K1200" i="7950"/>
  <c r="K1739" i="7950"/>
  <c r="K1091" i="7950"/>
  <c r="K766" i="7950"/>
  <c r="K802" i="7950" s="1"/>
  <c r="K2062" i="7950"/>
  <c r="K2098" i="7950" s="1"/>
  <c r="L2098" i="7950" s="1"/>
  <c r="M2098" i="7950" s="1"/>
  <c r="K1845" i="7950"/>
  <c r="K1858" i="7950" s="1"/>
  <c r="L2231" i="7949"/>
  <c r="L1852" i="7949"/>
  <c r="L1312" i="7949"/>
  <c r="L2337" i="7949"/>
  <c r="L2374" i="7949" s="1"/>
  <c r="M2374" i="7949" s="1"/>
  <c r="N2374" i="7949" s="1"/>
  <c r="O2374" i="7949" s="1"/>
  <c r="P2374" i="7949" s="1"/>
  <c r="Q2374" i="7949" s="1"/>
  <c r="R2374" i="7949" s="1"/>
  <c r="S2374" i="7949" s="1"/>
  <c r="T2374" i="7949" s="1"/>
  <c r="U2374" i="7949" s="1"/>
  <c r="V2374" i="7949" s="1"/>
  <c r="W2374" i="7949" s="1"/>
  <c r="L1851" i="7949"/>
  <c r="L1888" i="7949" s="1"/>
  <c r="M1888" i="7949" s="1"/>
  <c r="N1888" i="7949" s="1"/>
  <c r="O1888" i="7949" s="1"/>
  <c r="P1888" i="7949" s="1"/>
  <c r="Q1888" i="7949" s="1"/>
  <c r="R1888" i="7949" s="1"/>
  <c r="S1888" i="7949" s="1"/>
  <c r="T1888" i="7949" s="1"/>
  <c r="U1888" i="7949" s="1"/>
  <c r="V1888" i="7949" s="1"/>
  <c r="W1888" i="7949" s="1"/>
  <c r="L1148" i="7949"/>
  <c r="L15" i="7949"/>
  <c r="L52" i="7949" s="1"/>
  <c r="M52" i="7949" s="1"/>
  <c r="N52" i="7949" s="1"/>
  <c r="O52" i="7949" s="1"/>
  <c r="P52" i="7949" s="1"/>
  <c r="Q52" i="7949" s="1"/>
  <c r="R52" i="7949" s="1"/>
  <c r="S52" i="7949" s="1"/>
  <c r="T52" i="7949" s="1"/>
  <c r="U52" i="7949" s="1"/>
  <c r="V52" i="7949" s="1"/>
  <c r="W52" i="7949" s="1"/>
  <c r="K822" i="7950"/>
  <c r="K2009" i="7950"/>
  <c r="K2441" i="7950"/>
  <c r="K712" i="7950"/>
  <c r="K748" i="7950" s="1"/>
  <c r="K1521" i="7950"/>
  <c r="K1534" i="7950" s="1"/>
  <c r="K2385" i="7950"/>
  <c r="K2398" i="7950" s="1"/>
  <c r="L1313" i="7949"/>
  <c r="L1906" i="7949"/>
  <c r="L1043" i="7949"/>
  <c r="L608" i="7949"/>
  <c r="L339" i="7949"/>
  <c r="L376" i="7949" s="1"/>
  <c r="M376" i="7949" s="1"/>
  <c r="N376" i="7949" s="1"/>
  <c r="O376" i="7949" s="1"/>
  <c r="P376" i="7949" s="1"/>
  <c r="Q376" i="7949" s="1"/>
  <c r="R376" i="7949" s="1"/>
  <c r="S376" i="7949" s="1"/>
  <c r="T376" i="7949" s="1"/>
  <c r="U376" i="7949" s="1"/>
  <c r="V376" i="7949" s="1"/>
  <c r="W376" i="7949" s="1"/>
  <c r="L1203" i="7949"/>
  <c r="L1240" i="7949" s="1"/>
  <c r="M1240" i="7949" s="1"/>
  <c r="N1240" i="7949" s="1"/>
  <c r="O1240" i="7949" s="1"/>
  <c r="P1240" i="7949" s="1"/>
  <c r="Q1240" i="7949" s="1"/>
  <c r="R1240" i="7949" s="1"/>
  <c r="S1240" i="7949" s="1"/>
  <c r="T1240" i="7949" s="1"/>
  <c r="U1240" i="7949" s="1"/>
  <c r="V1240" i="7949" s="1"/>
  <c r="W1240" i="7949" s="1"/>
  <c r="K2442" i="7950"/>
  <c r="K1578" i="7950"/>
  <c r="K2117" i="7950"/>
  <c r="K1847" i="7950"/>
  <c r="K2279" i="7950"/>
  <c r="K2171" i="7950"/>
  <c r="K2549" i="7950"/>
  <c r="K118" i="7950"/>
  <c r="K154" i="7950" s="1"/>
  <c r="K2278" i="7950"/>
  <c r="K2314" i="7950" s="1"/>
  <c r="K1144" i="7950"/>
  <c r="K1180" i="7950" s="1"/>
  <c r="K1089" i="7950"/>
  <c r="K1102" i="7950" s="1"/>
  <c r="K1413" i="7950"/>
  <c r="K1426" i="7950" s="1"/>
  <c r="K1630" i="7950"/>
  <c r="K1666" i="7950" s="1"/>
  <c r="L2447" i="7949"/>
  <c r="L179" i="7949"/>
  <c r="L2068" i="7949"/>
  <c r="L610" i="7949"/>
  <c r="L1420" i="7949"/>
  <c r="L989" i="7949"/>
  <c r="L1905" i="7949"/>
  <c r="L1942" i="7949" s="1"/>
  <c r="M1942" i="7949" s="1"/>
  <c r="N1942" i="7949" s="1"/>
  <c r="O1942" i="7949" s="1"/>
  <c r="P1942" i="7949" s="1"/>
  <c r="Q1942" i="7949" s="1"/>
  <c r="R1942" i="7949" s="1"/>
  <c r="S1942" i="7949" s="1"/>
  <c r="T1942" i="7949" s="1"/>
  <c r="U1942" i="7949" s="1"/>
  <c r="V1942" i="7949" s="1"/>
  <c r="W1942" i="7949" s="1"/>
  <c r="L1689" i="7949"/>
  <c r="L1726" i="7949" s="1"/>
  <c r="M1726" i="7949" s="1"/>
  <c r="N1726" i="7949" s="1"/>
  <c r="O1726" i="7949" s="1"/>
  <c r="P1726" i="7949" s="1"/>
  <c r="Q1726" i="7949" s="1"/>
  <c r="R1726" i="7949" s="1"/>
  <c r="S1726" i="7949" s="1"/>
  <c r="T1726" i="7949" s="1"/>
  <c r="U1726" i="7949" s="1"/>
  <c r="V1726" i="7949" s="1"/>
  <c r="W1726" i="7949" s="1"/>
  <c r="L2229" i="7949"/>
  <c r="L2266" i="7949" s="1"/>
  <c r="M2266" i="7949" s="1"/>
  <c r="N2266" i="7949" s="1"/>
  <c r="O2266" i="7949" s="1"/>
  <c r="P2266" i="7949" s="1"/>
  <c r="Q2266" i="7949" s="1"/>
  <c r="R2266" i="7949" s="1"/>
  <c r="S2266" i="7949" s="1"/>
  <c r="T2266" i="7949" s="1"/>
  <c r="U2266" i="7949" s="1"/>
  <c r="V2266" i="7949" s="1"/>
  <c r="W2266" i="7949" s="1"/>
  <c r="L1095" i="7949"/>
  <c r="L1132" i="7949" s="1"/>
  <c r="M1132" i="7949" s="1"/>
  <c r="N1132" i="7949" s="1"/>
  <c r="O1132" i="7949" s="1"/>
  <c r="P1132" i="7949" s="1"/>
  <c r="Q1132" i="7949" s="1"/>
  <c r="R1132" i="7949" s="1"/>
  <c r="S1132" i="7949" s="1"/>
  <c r="T1132" i="7949" s="1"/>
  <c r="U1132" i="7949" s="1"/>
  <c r="V1132" i="7949" s="1"/>
  <c r="W1132" i="7949" s="1"/>
  <c r="L2498" i="7949"/>
  <c r="L501" i="7949"/>
  <c r="L538" i="7949" s="1"/>
  <c r="M538" i="7949" s="1"/>
  <c r="N538" i="7949" s="1"/>
  <c r="O538" i="7949" s="1"/>
  <c r="P538" i="7949" s="1"/>
  <c r="Q538" i="7949" s="1"/>
  <c r="R538" i="7949" s="1"/>
  <c r="S538" i="7949" s="1"/>
  <c r="T538" i="7949" s="1"/>
  <c r="U538" i="7949" s="1"/>
  <c r="V538" i="7949" s="1"/>
  <c r="W538" i="7949" s="1"/>
  <c r="K2226" i="7950"/>
  <c r="K1037" i="7950"/>
  <c r="K1199" i="7950"/>
  <c r="K1468" i="7950"/>
  <c r="K1504" i="7950" s="1"/>
  <c r="K1467" i="7950"/>
  <c r="K1480" i="7950" s="1"/>
  <c r="K1143" i="7950"/>
  <c r="K1156" i="7950" s="1"/>
  <c r="K12" i="7950"/>
  <c r="L881" i="7949"/>
  <c r="L2500" i="7949"/>
  <c r="L124" i="7949"/>
  <c r="L1688" i="7949"/>
  <c r="L176" i="7949"/>
  <c r="L1040" i="7949"/>
  <c r="K2495" i="7950"/>
  <c r="K2388" i="7950"/>
  <c r="K659" i="7950"/>
  <c r="K496" i="7950"/>
  <c r="K532" i="7950" s="1"/>
  <c r="K1846" i="7950"/>
  <c r="K1882" i="7950" s="1"/>
  <c r="K2493" i="7950"/>
  <c r="K2506" i="7950" s="1"/>
  <c r="L611" i="7949"/>
  <c r="L1042" i="7949"/>
  <c r="L1798" i="7949"/>
  <c r="L609" i="7949"/>
  <c r="L646" i="7949" s="1"/>
  <c r="M646" i="7949" s="1"/>
  <c r="N646" i="7949" s="1"/>
  <c r="O646" i="7949" s="1"/>
  <c r="P646" i="7949" s="1"/>
  <c r="Q646" i="7949" s="1"/>
  <c r="R646" i="7949" s="1"/>
  <c r="S646" i="7949" s="1"/>
  <c r="T646" i="7949" s="1"/>
  <c r="U646" i="7949" s="1"/>
  <c r="V646" i="7949" s="1"/>
  <c r="W646" i="7949" s="1"/>
  <c r="L177" i="7949"/>
  <c r="L214" i="7949" s="1"/>
  <c r="M214" i="7949" s="1"/>
  <c r="N214" i="7949" s="1"/>
  <c r="O214" i="7949" s="1"/>
  <c r="P214" i="7949" s="1"/>
  <c r="Q214" i="7949" s="1"/>
  <c r="R214" i="7949" s="1"/>
  <c r="S214" i="7949" s="1"/>
  <c r="T214" i="7949" s="1"/>
  <c r="U214" i="7949" s="1"/>
  <c r="V214" i="7949" s="1"/>
  <c r="W214" i="7949" s="1"/>
  <c r="L2175" i="7949"/>
  <c r="L2212" i="7949" s="1"/>
  <c r="M2212" i="7949" s="1"/>
  <c r="N2212" i="7949" s="1"/>
  <c r="O2212" i="7949" s="1"/>
  <c r="P2212" i="7949" s="1"/>
  <c r="Q2212" i="7949" s="1"/>
  <c r="R2212" i="7949" s="1"/>
  <c r="S2212" i="7949" s="1"/>
  <c r="T2212" i="7949" s="1"/>
  <c r="U2212" i="7949" s="1"/>
  <c r="V2212" i="7949" s="1"/>
  <c r="W2212" i="7949" s="1"/>
  <c r="L2388" i="7950"/>
  <c r="L66" i="7950"/>
  <c r="L875" i="7950"/>
  <c r="L660" i="7950"/>
  <c r="L768" i="7950"/>
  <c r="L1685" i="7950"/>
  <c r="L2170" i="7950"/>
  <c r="L2207" i="7950" s="1"/>
  <c r="M2207" i="7950" s="1"/>
  <c r="L1252" i="7950"/>
  <c r="L1289" i="7950" s="1"/>
  <c r="M1289" i="7950" s="1"/>
  <c r="L1197" i="7950"/>
  <c r="L1211" i="7950" s="1"/>
  <c r="L1467" i="7950"/>
  <c r="L1481" i="7950" s="1"/>
  <c r="L2277" i="7950"/>
  <c r="L2291" i="7950" s="1"/>
  <c r="L2493" i="7950"/>
  <c r="L2507" i="7950" s="1"/>
  <c r="M69" i="7949"/>
  <c r="M107" i="7949" s="1"/>
  <c r="N107" i="7949" s="1"/>
  <c r="O107" i="7949" s="1"/>
  <c r="P107" i="7949" s="1"/>
  <c r="Q107" i="7949" s="1"/>
  <c r="R107" i="7949" s="1"/>
  <c r="S107" i="7949" s="1"/>
  <c r="T107" i="7949" s="1"/>
  <c r="U107" i="7949" s="1"/>
  <c r="V107" i="7949" s="1"/>
  <c r="W107" i="7949" s="1"/>
  <c r="M1852" i="7949"/>
  <c r="M1851" i="7949"/>
  <c r="M1889" i="7949" s="1"/>
  <c r="N1889" i="7949" s="1"/>
  <c r="O1889" i="7949" s="1"/>
  <c r="P1889" i="7949" s="1"/>
  <c r="Q1889" i="7949" s="1"/>
  <c r="R1889" i="7949" s="1"/>
  <c r="S1889" i="7949" s="1"/>
  <c r="T1889" i="7949" s="1"/>
  <c r="U1889" i="7949" s="1"/>
  <c r="V1889" i="7949" s="1"/>
  <c r="W1889" i="7949" s="1"/>
  <c r="M284" i="7949"/>
  <c r="M1150" i="7949"/>
  <c r="M1419" i="7949"/>
  <c r="M1457" i="7949" s="1"/>
  <c r="N1457" i="7949" s="1"/>
  <c r="O1457" i="7949" s="1"/>
  <c r="P1457" i="7949" s="1"/>
  <c r="Q1457" i="7949" s="1"/>
  <c r="R1457" i="7949" s="1"/>
  <c r="S1457" i="7949" s="1"/>
  <c r="T1457" i="7949" s="1"/>
  <c r="U1457" i="7949" s="1"/>
  <c r="V1457" i="7949" s="1"/>
  <c r="W1457" i="7949" s="1"/>
  <c r="M2498" i="7949"/>
  <c r="M1257" i="7949"/>
  <c r="M1295" i="7949" s="1"/>
  <c r="N1295" i="7949" s="1"/>
  <c r="O1295" i="7949" s="1"/>
  <c r="P1295" i="7949" s="1"/>
  <c r="Q1295" i="7949" s="1"/>
  <c r="R1295" i="7949" s="1"/>
  <c r="S1295" i="7949" s="1"/>
  <c r="T1295" i="7949" s="1"/>
  <c r="U1295" i="7949" s="1"/>
  <c r="V1295" i="7949" s="1"/>
  <c r="W1295" i="7949" s="1"/>
  <c r="M1961" i="7949"/>
  <c r="M1691" i="7949"/>
  <c r="M338" i="7949"/>
  <c r="M449" i="7949"/>
  <c r="M2552" i="7949"/>
  <c r="L1470" i="7950"/>
  <c r="L1253" i="7950"/>
  <c r="L1254" i="7950"/>
  <c r="L334" i="7950"/>
  <c r="L371" i="7950" s="1"/>
  <c r="M371" i="7950" s="1"/>
  <c r="L712" i="7950"/>
  <c r="L749" i="7950" s="1"/>
  <c r="M749" i="7950" s="1"/>
  <c r="L441" i="7950"/>
  <c r="L455" i="7950" s="1"/>
  <c r="M1960" i="7949"/>
  <c r="M446" i="7949"/>
  <c r="M124" i="7949"/>
  <c r="M125" i="7949"/>
  <c r="M2177" i="7949"/>
  <c r="M176" i="7949"/>
  <c r="L2550" i="7950"/>
  <c r="L1955" i="7950"/>
  <c r="L1037" i="7950"/>
  <c r="L1306" i="7950"/>
  <c r="L1343" i="7950" s="1"/>
  <c r="M1343" i="7950" s="1"/>
  <c r="N1343" i="7950" s="1"/>
  <c r="O1343" i="7950" s="1"/>
  <c r="P1343" i="7950" s="1"/>
  <c r="Q1343" i="7950" s="1"/>
  <c r="R1343" i="7950" s="1"/>
  <c r="S1343" i="7950" s="1"/>
  <c r="T1343" i="7950" s="1"/>
  <c r="U1343" i="7950" s="1"/>
  <c r="V1343" i="7950" s="1"/>
  <c r="W1343" i="7950" s="1"/>
  <c r="L280" i="7950"/>
  <c r="L317" i="7950" s="1"/>
  <c r="M317" i="7950" s="1"/>
  <c r="L117" i="7950"/>
  <c r="L131" i="7950" s="1"/>
  <c r="L2008" i="7950"/>
  <c r="L2045" i="7950" s="1"/>
  <c r="M2045" i="7950" s="1"/>
  <c r="M1312" i="7949"/>
  <c r="M554" i="7949"/>
  <c r="M1311" i="7949"/>
  <c r="M1349" i="7949" s="1"/>
  <c r="N1349" i="7949" s="1"/>
  <c r="O1349" i="7949" s="1"/>
  <c r="P1349" i="7949" s="1"/>
  <c r="Q1349" i="7949" s="1"/>
  <c r="R1349" i="7949" s="1"/>
  <c r="S1349" i="7949" s="1"/>
  <c r="T1349" i="7949" s="1"/>
  <c r="U1349" i="7949" s="1"/>
  <c r="V1349" i="7949" s="1"/>
  <c r="W1349" i="7949" s="1"/>
  <c r="M501" i="7949"/>
  <c r="M539" i="7949" s="1"/>
  <c r="N539" i="7949" s="1"/>
  <c r="O539" i="7949" s="1"/>
  <c r="P539" i="7949" s="1"/>
  <c r="Q539" i="7949" s="1"/>
  <c r="R539" i="7949" s="1"/>
  <c r="S539" i="7949" s="1"/>
  <c r="T539" i="7949" s="1"/>
  <c r="U539" i="7949" s="1"/>
  <c r="V539" i="7949" s="1"/>
  <c r="W539" i="7949" s="1"/>
  <c r="M123" i="7949"/>
  <c r="M161" i="7949" s="1"/>
  <c r="N161" i="7949" s="1"/>
  <c r="O161" i="7949" s="1"/>
  <c r="P161" i="7949" s="1"/>
  <c r="Q161" i="7949" s="1"/>
  <c r="R161" i="7949" s="1"/>
  <c r="S161" i="7949" s="1"/>
  <c r="T161" i="7949" s="1"/>
  <c r="U161" i="7949" s="1"/>
  <c r="V161" i="7949" s="1"/>
  <c r="W161" i="7949" s="1"/>
  <c r="M1637" i="7949"/>
  <c r="L2118" i="7950"/>
  <c r="L714" i="7950"/>
  <c r="L1523" i="7950"/>
  <c r="L389" i="7950"/>
  <c r="L551" i="7950"/>
  <c r="L552" i="7950"/>
  <c r="L1684" i="7950"/>
  <c r="L1721" i="7950" s="1"/>
  <c r="M1721" i="7950" s="1"/>
  <c r="N1721" i="7950" s="1"/>
  <c r="O1721" i="7950" s="1"/>
  <c r="P1721" i="7950" s="1"/>
  <c r="L1738" i="7950"/>
  <c r="L1775" i="7950" s="1"/>
  <c r="M1775" i="7950" s="1"/>
  <c r="N1775" i="7950" s="1"/>
  <c r="L2494" i="7950"/>
  <c r="L2531" i="7950" s="1"/>
  <c r="L2278" i="7950"/>
  <c r="L2315" i="7950" s="1"/>
  <c r="M2315" i="7950" s="1"/>
  <c r="N2315" i="7950" s="1"/>
  <c r="L2655" i="7950"/>
  <c r="L2669" i="7950" s="1"/>
  <c r="L2061" i="7950"/>
  <c r="L2075" i="7950" s="1"/>
  <c r="L11" i="7950"/>
  <c r="M1096" i="7949"/>
  <c r="M1258" i="7949"/>
  <c r="M2661" i="7949"/>
  <c r="M2699" i="7949" s="1"/>
  <c r="N2699" i="7949" s="1"/>
  <c r="O2699" i="7949" s="1"/>
  <c r="P2699" i="7949" s="1"/>
  <c r="Q2699" i="7949" s="1"/>
  <c r="R2699" i="7949" s="1"/>
  <c r="S2699" i="7949" s="1"/>
  <c r="T2699" i="7949" s="1"/>
  <c r="U2699" i="7949" s="1"/>
  <c r="V2699" i="7949" s="1"/>
  <c r="W2699" i="7949" s="1"/>
  <c r="M1256" i="7949"/>
  <c r="M2608" i="7949"/>
  <c r="M1581" i="7949"/>
  <c r="M1619" i="7949" s="1"/>
  <c r="N1619" i="7949" s="1"/>
  <c r="O1619" i="7949" s="1"/>
  <c r="P1619" i="7949" s="1"/>
  <c r="Q1619" i="7949" s="1"/>
  <c r="R1619" i="7949" s="1"/>
  <c r="S1619" i="7949" s="1"/>
  <c r="T1619" i="7949" s="1"/>
  <c r="U1619" i="7949" s="1"/>
  <c r="V1619" i="7949" s="1"/>
  <c r="W1619" i="7949" s="1"/>
  <c r="M935" i="7949"/>
  <c r="M1418" i="7949"/>
  <c r="M1313" i="7949"/>
  <c r="M1095" i="7949"/>
  <c r="M1133" i="7949" s="1"/>
  <c r="N1133" i="7949" s="1"/>
  <c r="O1133" i="7949" s="1"/>
  <c r="P1133" i="7949" s="1"/>
  <c r="Q1133" i="7949" s="1"/>
  <c r="R1133" i="7949" s="1"/>
  <c r="S1133" i="7949" s="1"/>
  <c r="T1133" i="7949" s="1"/>
  <c r="U1133" i="7949" s="1"/>
  <c r="V1133" i="7949" s="1"/>
  <c r="W1133" i="7949" s="1"/>
  <c r="M879" i="7949"/>
  <c r="M917" i="7949" s="1"/>
  <c r="N917" i="7949" s="1"/>
  <c r="O917" i="7949" s="1"/>
  <c r="P917" i="7949" s="1"/>
  <c r="Q917" i="7949" s="1"/>
  <c r="R917" i="7949" s="1"/>
  <c r="S917" i="7949" s="1"/>
  <c r="T917" i="7949" s="1"/>
  <c r="U917" i="7949" s="1"/>
  <c r="V917" i="7949" s="1"/>
  <c r="W917" i="7949" s="1"/>
  <c r="M2121" i="7949"/>
  <c r="M2159" i="7949" s="1"/>
  <c r="N2159" i="7949" s="1"/>
  <c r="O2159" i="7949" s="1"/>
  <c r="P2159" i="7949" s="1"/>
  <c r="Q2159" i="7949" s="1"/>
  <c r="R2159" i="7949" s="1"/>
  <c r="S2159" i="7949" s="1"/>
  <c r="T2159" i="7949" s="1"/>
  <c r="U2159" i="7949" s="1"/>
  <c r="V2159" i="7949" s="1"/>
  <c r="W2159" i="7949" s="1"/>
  <c r="L2064" i="7950"/>
  <c r="L1307" i="7950"/>
  <c r="L65" i="7950"/>
  <c r="L2548" i="7950"/>
  <c r="L2585" i="7950" s="1"/>
  <c r="M2585" i="7950" s="1"/>
  <c r="L225" i="7950"/>
  <c r="L239" i="7950" s="1"/>
  <c r="L279" i="7950"/>
  <c r="L293" i="7950" s="1"/>
  <c r="L9" i="7950"/>
  <c r="L23" i="7950" s="1"/>
  <c r="M1366" i="7949"/>
  <c r="M1040" i="7949"/>
  <c r="M2607" i="7949"/>
  <c r="M2645" i="7949" s="1"/>
  <c r="N2645" i="7949" s="1"/>
  <c r="O2645" i="7949" s="1"/>
  <c r="P2645" i="7949" s="1"/>
  <c r="Q2645" i="7949" s="1"/>
  <c r="R2645" i="7949" s="1"/>
  <c r="S2645" i="7949" s="1"/>
  <c r="T2645" i="7949" s="1"/>
  <c r="U2645" i="7949" s="1"/>
  <c r="V2645" i="7949" s="1"/>
  <c r="W2645" i="7949" s="1"/>
  <c r="M500" i="7949"/>
  <c r="M1905" i="7949"/>
  <c r="M1943" i="7949" s="1"/>
  <c r="N1943" i="7949" s="1"/>
  <c r="O1943" i="7949" s="1"/>
  <c r="P1943" i="7949" s="1"/>
  <c r="Q1943" i="7949" s="1"/>
  <c r="R1943" i="7949" s="1"/>
  <c r="S1943" i="7949" s="1"/>
  <c r="T1943" i="7949" s="1"/>
  <c r="U1943" i="7949" s="1"/>
  <c r="V1943" i="7949" s="1"/>
  <c r="W1943" i="7949" s="1"/>
  <c r="M2609" i="7949"/>
  <c r="L282" i="7950"/>
  <c r="L822" i="7950"/>
  <c r="L2549" i="7950"/>
  <c r="L604" i="7950"/>
  <c r="L641" i="7950" s="1"/>
  <c r="M641" i="7950" s="1"/>
  <c r="N641" i="7950" s="1"/>
  <c r="L1791" i="7950"/>
  <c r="L1805" i="7950" s="1"/>
  <c r="L1575" i="7950"/>
  <c r="L1589" i="7950" s="1"/>
  <c r="M1420" i="7949"/>
  <c r="M2174" i="7949"/>
  <c r="M2338" i="7949"/>
  <c r="M609" i="7949"/>
  <c r="M647" i="7949" s="1"/>
  <c r="N647" i="7949" s="1"/>
  <c r="O647" i="7949" s="1"/>
  <c r="P647" i="7949" s="1"/>
  <c r="Q647" i="7949" s="1"/>
  <c r="R647" i="7949" s="1"/>
  <c r="S647" i="7949" s="1"/>
  <c r="T647" i="7949" s="1"/>
  <c r="U647" i="7949" s="1"/>
  <c r="V647" i="7949" s="1"/>
  <c r="W647" i="7949" s="1"/>
  <c r="M1259" i="7949"/>
  <c r="M2447" i="7949"/>
  <c r="N2445" i="7949"/>
  <c r="N2484" i="7949" s="1"/>
  <c r="O2484" i="7949" s="1"/>
  <c r="P2484" i="7949" s="1"/>
  <c r="Q2484" i="7949" s="1"/>
  <c r="R2484" i="7949" s="1"/>
  <c r="S2484" i="7949" s="1"/>
  <c r="T2484" i="7949" s="1"/>
  <c r="U2484" i="7949" s="1"/>
  <c r="V2484" i="7949" s="1"/>
  <c r="W2484" i="7949" s="1"/>
  <c r="N1202" i="7949"/>
  <c r="N1095" i="7949"/>
  <c r="N1134" i="7949" s="1"/>
  <c r="O1134" i="7949" s="1"/>
  <c r="P1134" i="7949" s="1"/>
  <c r="Q1134" i="7949" s="1"/>
  <c r="R1134" i="7949" s="1"/>
  <c r="S1134" i="7949" s="1"/>
  <c r="T1134" i="7949" s="1"/>
  <c r="U1134" i="7949" s="1"/>
  <c r="V1134" i="7949" s="1"/>
  <c r="W1134" i="7949" s="1"/>
  <c r="N1742" i="7949"/>
  <c r="N932" i="7949"/>
  <c r="N1796" i="7949"/>
  <c r="N1258" i="7949"/>
  <c r="N2230" i="7949"/>
  <c r="N1042" i="7949"/>
  <c r="N1960" i="7949"/>
  <c r="N2500" i="7949"/>
  <c r="N1367" i="7949"/>
  <c r="N2393" i="7949"/>
  <c r="M604" i="7950"/>
  <c r="M642" i="7950" s="1"/>
  <c r="M2493" i="7950"/>
  <c r="M2508" i="7950" s="1"/>
  <c r="M1197" i="7950"/>
  <c r="M1212" i="7950" s="1"/>
  <c r="M1251" i="7950"/>
  <c r="M1266" i="7950" s="1"/>
  <c r="M1738" i="7950"/>
  <c r="M1776" i="7950" s="1"/>
  <c r="M1090" i="7950"/>
  <c r="M1128" i="7950" s="1"/>
  <c r="M983" i="7950"/>
  <c r="M606" i="7950"/>
  <c r="M173" i="7950"/>
  <c r="M929" i="7950"/>
  <c r="M336" i="7950"/>
  <c r="M2658" i="7950"/>
  <c r="N16" i="7949"/>
  <c r="N392" i="7949"/>
  <c r="N2391" i="7949"/>
  <c r="N2430" i="7949" s="1"/>
  <c r="O2430" i="7949" s="1"/>
  <c r="P2430" i="7949" s="1"/>
  <c r="Q2430" i="7949" s="1"/>
  <c r="R2430" i="7949" s="1"/>
  <c r="S2430" i="7949" s="1"/>
  <c r="T2430" i="7949" s="1"/>
  <c r="U2430" i="7949" s="1"/>
  <c r="V2430" i="7949" s="1"/>
  <c r="W2430" i="7949" s="1"/>
  <c r="N1148" i="7949"/>
  <c r="N1688" i="7949"/>
  <c r="N1418" i="7949"/>
  <c r="N231" i="7949"/>
  <c r="N270" i="7949" s="1"/>
  <c r="O270" i="7949" s="1"/>
  <c r="P270" i="7949" s="1"/>
  <c r="Q270" i="7949" s="1"/>
  <c r="R270" i="7949" s="1"/>
  <c r="S270" i="7949" s="1"/>
  <c r="T270" i="7949" s="1"/>
  <c r="U270" i="7949" s="1"/>
  <c r="V270" i="7949" s="1"/>
  <c r="W270" i="7949" s="1"/>
  <c r="N124" i="7949"/>
  <c r="N178" i="7949"/>
  <c r="N1312" i="7949"/>
  <c r="N773" i="7949"/>
  <c r="N1259" i="7949"/>
  <c r="N1745" i="7949"/>
  <c r="M981" i="7950"/>
  <c r="M996" i="7950" s="1"/>
  <c r="M442" i="7950"/>
  <c r="M480" i="7950" s="1"/>
  <c r="M603" i="7950"/>
  <c r="M618" i="7950" s="1"/>
  <c r="M2385" i="7950"/>
  <c r="M2400" i="7950" s="1"/>
  <c r="M1522" i="7950"/>
  <c r="M1560" i="7950" s="1"/>
  <c r="M1198" i="7950"/>
  <c r="M1236" i="7950" s="1"/>
  <c r="M2280" i="7950"/>
  <c r="M2603" i="7950"/>
  <c r="M1416" i="7950"/>
  <c r="M281" i="7950"/>
  <c r="M1470" i="7950"/>
  <c r="M2010" i="7950"/>
  <c r="N2604" i="7950"/>
  <c r="N2658" i="7950"/>
  <c r="N1794" i="7950"/>
  <c r="N1848" i="7950"/>
  <c r="N1200" i="7950"/>
  <c r="N1146" i="7950"/>
  <c r="N390" i="7950"/>
  <c r="N1740" i="7950"/>
  <c r="N282" i="7950"/>
  <c r="N1847" i="7950"/>
  <c r="N983" i="7950"/>
  <c r="N119" i="7950"/>
  <c r="N2657" i="7950"/>
  <c r="N1685" i="7950"/>
  <c r="N443" i="7950"/>
  <c r="N1362" i="7950"/>
  <c r="N876" i="7950"/>
  <c r="N66" i="7950"/>
  <c r="N1577" i="7950"/>
  <c r="N2117" i="7950"/>
  <c r="N605" i="7950"/>
  <c r="N2170" i="7950"/>
  <c r="N2209" i="7950" s="1"/>
  <c r="N1306" i="7950"/>
  <c r="N1345" i="7950" s="1"/>
  <c r="N442" i="7950"/>
  <c r="N481" i="7950" s="1"/>
  <c r="N2223" i="7950"/>
  <c r="N2239" i="7950" s="1"/>
  <c r="N1359" i="7950"/>
  <c r="N1375" i="7950" s="1"/>
  <c r="N711" i="7950"/>
  <c r="N727" i="7950" s="1"/>
  <c r="N279" i="7950"/>
  <c r="N295" i="7950" s="1"/>
  <c r="N1901" i="7950"/>
  <c r="N1900" i="7950"/>
  <c r="N1939" i="7950" s="1"/>
  <c r="N1036" i="7950"/>
  <c r="N1075" i="7950" s="1"/>
  <c r="N172" i="7950"/>
  <c r="N211" i="7950" s="1"/>
  <c r="N1953" i="7950"/>
  <c r="N1969" i="7950" s="1"/>
  <c r="N1145" i="7950"/>
  <c r="N2440" i="7950"/>
  <c r="N2479" i="7950" s="1"/>
  <c r="N712" i="7950"/>
  <c r="N751" i="7950" s="1"/>
  <c r="N1629" i="7950"/>
  <c r="N1645" i="7950" s="1"/>
  <c r="N549" i="7950"/>
  <c r="N565" i="7950" s="1"/>
  <c r="N1739" i="7950"/>
  <c r="N2061" i="7950"/>
  <c r="N2077" i="7950" s="1"/>
  <c r="N225" i="7950"/>
  <c r="N241" i="7950" s="1"/>
  <c r="N334" i="7950"/>
  <c r="N373" i="7950" s="1"/>
  <c r="N2009" i="7950"/>
  <c r="N1684" i="7950"/>
  <c r="N1723" i="7950" s="1"/>
  <c r="N2601" i="7950"/>
  <c r="N2617" i="7950" s="1"/>
  <c r="N1954" i="7950"/>
  <c r="N1993" i="7950" s="1"/>
  <c r="N1089" i="7950"/>
  <c r="N1105" i="7950" s="1"/>
  <c r="N1037" i="7950"/>
  <c r="N2116" i="7950"/>
  <c r="N2155" i="7950" s="1"/>
  <c r="N12" i="7950"/>
  <c r="O2663" i="7949"/>
  <c r="O1799" i="7949"/>
  <c r="O1853" i="7949"/>
  <c r="O1907" i="7949"/>
  <c r="O2393" i="7949"/>
  <c r="O1475" i="7949"/>
  <c r="O719" i="7949"/>
  <c r="O989" i="7949"/>
  <c r="O125" i="7949"/>
  <c r="O1691" i="7949"/>
  <c r="O2608" i="7949"/>
  <c r="O1528" i="7949"/>
  <c r="O449" i="7949"/>
  <c r="O2014" i="7949"/>
  <c r="O1150" i="7949"/>
  <c r="O286" i="7949"/>
  <c r="O1852" i="7949"/>
  <c r="O448" i="7949"/>
  <c r="O1690" i="7949"/>
  <c r="O232" i="7949"/>
  <c r="O880" i="7949"/>
  <c r="O1961" i="7949"/>
  <c r="O1906" i="7949"/>
  <c r="O395" i="7949"/>
  <c r="O1042" i="7949"/>
  <c r="O231" i="7949"/>
  <c r="O271" i="7949" s="1"/>
  <c r="P271" i="7949" s="1"/>
  <c r="Q271" i="7949" s="1"/>
  <c r="R271" i="7949" s="1"/>
  <c r="S271" i="7949" s="1"/>
  <c r="T271" i="7949" s="1"/>
  <c r="U271" i="7949" s="1"/>
  <c r="V271" i="7949" s="1"/>
  <c r="W271" i="7949" s="1"/>
  <c r="O771" i="7949"/>
  <c r="O811" i="7949" s="1"/>
  <c r="P811" i="7949" s="1"/>
  <c r="Q811" i="7949" s="1"/>
  <c r="R811" i="7949" s="1"/>
  <c r="S811" i="7949" s="1"/>
  <c r="T811" i="7949" s="1"/>
  <c r="U811" i="7949" s="1"/>
  <c r="V811" i="7949" s="1"/>
  <c r="W811" i="7949" s="1"/>
  <c r="O177" i="7949"/>
  <c r="O217" i="7949" s="1"/>
  <c r="P217" i="7949" s="1"/>
  <c r="Q217" i="7949" s="1"/>
  <c r="R217" i="7949" s="1"/>
  <c r="S217" i="7949" s="1"/>
  <c r="T217" i="7949" s="1"/>
  <c r="U217" i="7949" s="1"/>
  <c r="V217" i="7949" s="1"/>
  <c r="W217" i="7949" s="1"/>
  <c r="O1743" i="7949"/>
  <c r="O1783" i="7949" s="1"/>
  <c r="P1783" i="7949" s="1"/>
  <c r="Q1783" i="7949" s="1"/>
  <c r="R1783" i="7949" s="1"/>
  <c r="S1783" i="7949" s="1"/>
  <c r="T1783" i="7949" s="1"/>
  <c r="U1783" i="7949" s="1"/>
  <c r="V1783" i="7949" s="1"/>
  <c r="W1783" i="7949" s="1"/>
  <c r="O1581" i="7949"/>
  <c r="O1621" i="7949" s="1"/>
  <c r="P1621" i="7949" s="1"/>
  <c r="Q1621" i="7949" s="1"/>
  <c r="R1621" i="7949" s="1"/>
  <c r="S1621" i="7949" s="1"/>
  <c r="T1621" i="7949" s="1"/>
  <c r="U1621" i="7949" s="1"/>
  <c r="V1621" i="7949" s="1"/>
  <c r="W1621" i="7949" s="1"/>
  <c r="O2606" i="7949"/>
  <c r="O1688" i="7949"/>
  <c r="O393" i="7949"/>
  <c r="O433" i="7949" s="1"/>
  <c r="P433" i="7949" s="1"/>
  <c r="Q433" i="7949" s="1"/>
  <c r="R433" i="7949" s="1"/>
  <c r="S433" i="7949" s="1"/>
  <c r="T433" i="7949" s="1"/>
  <c r="U433" i="7949" s="1"/>
  <c r="V433" i="7949" s="1"/>
  <c r="W433" i="7949" s="1"/>
  <c r="O1959" i="7949"/>
  <c r="O1999" i="7949" s="1"/>
  <c r="P1999" i="7949" s="1"/>
  <c r="Q1999" i="7949" s="1"/>
  <c r="R1999" i="7949" s="1"/>
  <c r="S1999" i="7949" s="1"/>
  <c r="T1999" i="7949" s="1"/>
  <c r="U1999" i="7949" s="1"/>
  <c r="V1999" i="7949" s="1"/>
  <c r="W1999" i="7949" s="1"/>
  <c r="O1580" i="7949"/>
  <c r="O1850" i="7949"/>
  <c r="O1257" i="7949"/>
  <c r="O1297" i="7949" s="1"/>
  <c r="P1297" i="7949" s="1"/>
  <c r="Q1297" i="7949" s="1"/>
  <c r="R1297" i="7949" s="1"/>
  <c r="S1297" i="7949" s="1"/>
  <c r="T1297" i="7949" s="1"/>
  <c r="U1297" i="7949" s="1"/>
  <c r="V1297" i="7949" s="1"/>
  <c r="W1297" i="7949" s="1"/>
  <c r="O1094" i="7949"/>
  <c r="O1634" i="7949"/>
  <c r="O1473" i="7949"/>
  <c r="O1513" i="7949" s="1"/>
  <c r="P1513" i="7949" s="1"/>
  <c r="Q1513" i="7949" s="1"/>
  <c r="R1513" i="7949" s="1"/>
  <c r="S1513" i="7949" s="1"/>
  <c r="T1513" i="7949" s="1"/>
  <c r="U1513" i="7949" s="1"/>
  <c r="V1513" i="7949" s="1"/>
  <c r="W1513" i="7949" s="1"/>
  <c r="E879" i="7949"/>
  <c r="E2283" i="7949"/>
  <c r="D2655" i="7950"/>
  <c r="E395" i="7949"/>
  <c r="D2493" i="7950"/>
  <c r="E1848" i="7950"/>
  <c r="E496" i="7950"/>
  <c r="F2284" i="7949"/>
  <c r="F16" i="7949"/>
  <c r="F449" i="7949"/>
  <c r="E658" i="7950"/>
  <c r="E982" i="7950"/>
  <c r="F989" i="7949"/>
  <c r="F1906" i="7949"/>
  <c r="E981" i="7950"/>
  <c r="E606" i="7950"/>
  <c r="F11" i="7949"/>
  <c r="F557" i="7949"/>
  <c r="F2441" i="7950"/>
  <c r="G2501" i="7949"/>
  <c r="G1418" i="7949"/>
  <c r="F820" i="7950"/>
  <c r="G554" i="7949"/>
  <c r="F1901" i="7950"/>
  <c r="F2385" i="7950"/>
  <c r="G2662" i="7949"/>
  <c r="F1685" i="7950"/>
  <c r="G1960" i="7949"/>
  <c r="F1899" i="7950"/>
  <c r="F1737" i="7950"/>
  <c r="G2334" i="7950"/>
  <c r="G1630" i="7950"/>
  <c r="H2661" i="7949"/>
  <c r="H2498" i="7949"/>
  <c r="H881" i="7949"/>
  <c r="G2603" i="7950"/>
  <c r="H69" i="7949"/>
  <c r="G2117" i="7950"/>
  <c r="H827" i="7949"/>
  <c r="H1204" i="7949"/>
  <c r="H1148" i="7949"/>
  <c r="G2549" i="7950"/>
  <c r="G1522" i="7950"/>
  <c r="H2553" i="7949"/>
  <c r="G282" i="7950"/>
  <c r="H2607" i="7949"/>
  <c r="H1307" i="7950"/>
  <c r="H388" i="7950"/>
  <c r="H1089" i="7950"/>
  <c r="H1099" i="7950" s="1"/>
  <c r="H820" i="7950"/>
  <c r="I664" i="7949"/>
  <c r="I824" i="7949"/>
  <c r="I1364" i="7949"/>
  <c r="H1468" i="7950"/>
  <c r="I1043" i="7949"/>
  <c r="I608" i="7949"/>
  <c r="H1739" i="7950"/>
  <c r="I2231" i="7949"/>
  <c r="I393" i="7949"/>
  <c r="I427" i="7949" s="1"/>
  <c r="J427" i="7949" s="1"/>
  <c r="K427" i="7949" s="1"/>
  <c r="L427" i="7949" s="1"/>
  <c r="M427" i="7949" s="1"/>
  <c r="N427" i="7949" s="1"/>
  <c r="O427" i="7949" s="1"/>
  <c r="P427" i="7949" s="1"/>
  <c r="Q427" i="7949" s="1"/>
  <c r="R427" i="7949" s="1"/>
  <c r="S427" i="7949" s="1"/>
  <c r="T427" i="7949" s="1"/>
  <c r="U427" i="7949" s="1"/>
  <c r="V427" i="7949" s="1"/>
  <c r="W427" i="7949" s="1"/>
  <c r="H766" i="7950"/>
  <c r="H982" i="7950"/>
  <c r="H1791" i="7950"/>
  <c r="H1801" i="7950" s="1"/>
  <c r="I1421" i="7949"/>
  <c r="I178" i="7949"/>
  <c r="H1847" i="7950"/>
  <c r="H981" i="7950"/>
  <c r="H991" i="7950" s="1"/>
  <c r="I2554" i="7949"/>
  <c r="H227" i="7950"/>
  <c r="H1630" i="7950"/>
  <c r="I1259" i="7949"/>
  <c r="I1634" i="7949"/>
  <c r="I2333" i="7950"/>
  <c r="I712" i="7950"/>
  <c r="I746" i="7950" s="1"/>
  <c r="I1791" i="7950"/>
  <c r="I1802" i="7950" s="1"/>
  <c r="J2014" i="7949"/>
  <c r="J1149" i="7949"/>
  <c r="J1184" i="7949" s="1"/>
  <c r="K1184" i="7949" s="1"/>
  <c r="L1184" i="7949" s="1"/>
  <c r="M1184" i="7949" s="1"/>
  <c r="N1184" i="7949" s="1"/>
  <c r="O1184" i="7949" s="1"/>
  <c r="P1184" i="7949" s="1"/>
  <c r="Q1184" i="7949" s="1"/>
  <c r="R1184" i="7949" s="1"/>
  <c r="S1184" i="7949" s="1"/>
  <c r="T1184" i="7949" s="1"/>
  <c r="U1184" i="7949" s="1"/>
  <c r="V1184" i="7949" s="1"/>
  <c r="W1184" i="7949" s="1"/>
  <c r="J662" i="7949"/>
  <c r="I389" i="7950"/>
  <c r="I1630" i="7950"/>
  <c r="I1664" i="7950" s="1"/>
  <c r="J2609" i="7949"/>
  <c r="J447" i="7949"/>
  <c r="J482" i="7949" s="1"/>
  <c r="K482" i="7949" s="1"/>
  <c r="L482" i="7949" s="1"/>
  <c r="M482" i="7949" s="1"/>
  <c r="N482" i="7949" s="1"/>
  <c r="O482" i="7949" s="1"/>
  <c r="P482" i="7949" s="1"/>
  <c r="Q482" i="7949" s="1"/>
  <c r="R482" i="7949" s="1"/>
  <c r="S482" i="7949" s="1"/>
  <c r="T482" i="7949" s="1"/>
  <c r="U482" i="7949" s="1"/>
  <c r="V482" i="7949" s="1"/>
  <c r="W482" i="7949" s="1"/>
  <c r="J2282" i="7949"/>
  <c r="I713" i="7950"/>
  <c r="I1306" i="7950"/>
  <c r="I1340" i="7950" s="1"/>
  <c r="I441" i="7950"/>
  <c r="I452" i="7950" s="1"/>
  <c r="J287" i="7949"/>
  <c r="J1690" i="7949"/>
  <c r="J2228" i="7949"/>
  <c r="I2658" i="7950"/>
  <c r="I281" i="7950"/>
  <c r="I173" i="7950"/>
  <c r="I766" i="7950"/>
  <c r="I800" i="7950" s="1"/>
  <c r="I1792" i="7950"/>
  <c r="I1826" i="7950" s="1"/>
  <c r="I387" i="7950"/>
  <c r="I398" i="7950" s="1"/>
  <c r="J2447" i="7949"/>
  <c r="J341" i="7949"/>
  <c r="J2068" i="7949"/>
  <c r="J2122" i="7949"/>
  <c r="J122" i="7949"/>
  <c r="J1041" i="7949"/>
  <c r="J1076" i="7949" s="1"/>
  <c r="K1076" i="7949" s="1"/>
  <c r="L1076" i="7949" s="1"/>
  <c r="M1076" i="7949" s="1"/>
  <c r="N1076" i="7949" s="1"/>
  <c r="O1076" i="7949" s="1"/>
  <c r="P1076" i="7949" s="1"/>
  <c r="Q1076" i="7949" s="1"/>
  <c r="R1076" i="7949" s="1"/>
  <c r="S1076" i="7949" s="1"/>
  <c r="T1076" i="7949" s="1"/>
  <c r="U1076" i="7949" s="1"/>
  <c r="V1076" i="7949" s="1"/>
  <c r="W1076" i="7949" s="1"/>
  <c r="J824" i="7949"/>
  <c r="I1685" i="7950"/>
  <c r="I550" i="7950"/>
  <c r="I584" i="7950" s="1"/>
  <c r="I2494" i="7950"/>
  <c r="I2528" i="7950" s="1"/>
  <c r="J2176" i="7949"/>
  <c r="J1635" i="7949"/>
  <c r="J1670" i="7949" s="1"/>
  <c r="K1670" i="7949" s="1"/>
  <c r="L1670" i="7949" s="1"/>
  <c r="M1670" i="7949" s="1"/>
  <c r="N1670" i="7949" s="1"/>
  <c r="O1670" i="7949" s="1"/>
  <c r="P1670" i="7949" s="1"/>
  <c r="Q1670" i="7949" s="1"/>
  <c r="R1670" i="7949" s="1"/>
  <c r="S1670" i="7949" s="1"/>
  <c r="T1670" i="7949" s="1"/>
  <c r="U1670" i="7949" s="1"/>
  <c r="V1670" i="7949" s="1"/>
  <c r="W1670" i="7949" s="1"/>
  <c r="J500" i="7949"/>
  <c r="I1577" i="7950"/>
  <c r="I1522" i="7950"/>
  <c r="I1556" i="7950" s="1"/>
  <c r="I981" i="7950"/>
  <c r="I992" i="7950" s="1"/>
  <c r="J773" i="7949"/>
  <c r="J1420" i="7949"/>
  <c r="J2552" i="7949"/>
  <c r="J1794" i="7950"/>
  <c r="J767" i="7950"/>
  <c r="J1307" i="7950"/>
  <c r="J1738" i="7950"/>
  <c r="J1773" i="7950" s="1"/>
  <c r="J2115" i="7950"/>
  <c r="J2127" i="7950" s="1"/>
  <c r="J64" i="7950"/>
  <c r="J99" i="7950" s="1"/>
  <c r="K1853" i="7949"/>
  <c r="K2608" i="7949"/>
  <c r="K880" i="7949"/>
  <c r="K68" i="7949"/>
  <c r="K878" i="7949"/>
  <c r="K1743" i="7949"/>
  <c r="K1779" i="7949" s="1"/>
  <c r="L1779" i="7949" s="1"/>
  <c r="M1779" i="7949" s="1"/>
  <c r="N1779" i="7949" s="1"/>
  <c r="O1779" i="7949" s="1"/>
  <c r="P1779" i="7949" s="1"/>
  <c r="Q1779" i="7949" s="1"/>
  <c r="R1779" i="7949" s="1"/>
  <c r="S1779" i="7949" s="1"/>
  <c r="T1779" i="7949" s="1"/>
  <c r="U1779" i="7949" s="1"/>
  <c r="V1779" i="7949" s="1"/>
  <c r="W1779" i="7949" s="1"/>
  <c r="K608" i="7949"/>
  <c r="J713" i="7950"/>
  <c r="J604" i="7950"/>
  <c r="J639" i="7950" s="1"/>
  <c r="J2547" i="7950"/>
  <c r="J2559" i="7950" s="1"/>
  <c r="K2446" i="7949"/>
  <c r="K716" i="7949"/>
  <c r="K1202" i="7949"/>
  <c r="J820" i="7950"/>
  <c r="J855" i="7950" s="1"/>
  <c r="J1090" i="7950"/>
  <c r="J1125" i="7950" s="1"/>
  <c r="K773" i="7949"/>
  <c r="K1528" i="7949"/>
  <c r="K1850" i="7949"/>
  <c r="J2442" i="7950"/>
  <c r="J1415" i="7950"/>
  <c r="J2495" i="7950"/>
  <c r="J982" i="7950"/>
  <c r="J1017" i="7950" s="1"/>
  <c r="J765" i="7950"/>
  <c r="J777" i="7950" s="1"/>
  <c r="J2061" i="7950"/>
  <c r="J2073" i="7950" s="1"/>
  <c r="J12" i="7950"/>
  <c r="K341" i="7949"/>
  <c r="K124" i="7949"/>
  <c r="K232" i="7949"/>
  <c r="K2552" i="7949"/>
  <c r="K1203" i="7949"/>
  <c r="K1239" i="7949" s="1"/>
  <c r="L1239" i="7949" s="1"/>
  <c r="M1239" i="7949" s="1"/>
  <c r="N1239" i="7949" s="1"/>
  <c r="O1239" i="7949" s="1"/>
  <c r="P1239" i="7949" s="1"/>
  <c r="Q1239" i="7949" s="1"/>
  <c r="R1239" i="7949" s="1"/>
  <c r="S1239" i="7949" s="1"/>
  <c r="T1239" i="7949" s="1"/>
  <c r="U1239" i="7949" s="1"/>
  <c r="V1239" i="7949" s="1"/>
  <c r="W1239" i="7949" s="1"/>
  <c r="K1527" i="7949"/>
  <c r="K1563" i="7949" s="1"/>
  <c r="L1563" i="7949" s="1"/>
  <c r="M1563" i="7949" s="1"/>
  <c r="N1563" i="7949" s="1"/>
  <c r="O1563" i="7949" s="1"/>
  <c r="P1563" i="7949" s="1"/>
  <c r="Q1563" i="7949" s="1"/>
  <c r="R1563" i="7949" s="1"/>
  <c r="S1563" i="7949" s="1"/>
  <c r="T1563" i="7949" s="1"/>
  <c r="U1563" i="7949" s="1"/>
  <c r="V1563" i="7949" s="1"/>
  <c r="W1563" i="7949" s="1"/>
  <c r="J2063" i="7950"/>
  <c r="J1306" i="7950"/>
  <c r="J1341" i="7950" s="1"/>
  <c r="J1683" i="7950"/>
  <c r="J1695" i="7950" s="1"/>
  <c r="K2663" i="7949"/>
  <c r="K1312" i="7949"/>
  <c r="K770" i="7949"/>
  <c r="J2010" i="7950"/>
  <c r="J119" i="7950"/>
  <c r="J1901" i="7950"/>
  <c r="J280" i="7950"/>
  <c r="J315" i="7950" s="1"/>
  <c r="K1637" i="7949"/>
  <c r="K1042" i="7949"/>
  <c r="K2661" i="7949"/>
  <c r="K2697" i="7949" s="1"/>
  <c r="L2697" i="7949" s="1"/>
  <c r="M2697" i="7949" s="1"/>
  <c r="N2697" i="7949" s="1"/>
  <c r="O2697" i="7949" s="1"/>
  <c r="P2697" i="7949" s="1"/>
  <c r="Q2697" i="7949" s="1"/>
  <c r="R2697" i="7949" s="1"/>
  <c r="S2697" i="7949" s="1"/>
  <c r="T2697" i="7949" s="1"/>
  <c r="U2697" i="7949" s="1"/>
  <c r="V2697" i="7949" s="1"/>
  <c r="W2697" i="7949" s="1"/>
  <c r="K2496" i="7950"/>
  <c r="K1469" i="7950"/>
  <c r="K2063" i="7950"/>
  <c r="K550" i="7950"/>
  <c r="K586" i="7950" s="1"/>
  <c r="K981" i="7950"/>
  <c r="K994" i="7950" s="1"/>
  <c r="K441" i="7950"/>
  <c r="K454" i="7950" s="1"/>
  <c r="K11" i="7950"/>
  <c r="L1259" i="7949"/>
  <c r="L1583" i="7949"/>
  <c r="L1366" i="7949"/>
  <c r="L662" i="7949"/>
  <c r="L2391" i="7949"/>
  <c r="L2428" i="7949" s="1"/>
  <c r="M2428" i="7949" s="1"/>
  <c r="N2428" i="7949" s="1"/>
  <c r="O2428" i="7949" s="1"/>
  <c r="P2428" i="7949" s="1"/>
  <c r="Q2428" i="7949" s="1"/>
  <c r="R2428" i="7949" s="1"/>
  <c r="S2428" i="7949" s="1"/>
  <c r="T2428" i="7949" s="1"/>
  <c r="U2428" i="7949" s="1"/>
  <c r="V2428" i="7949" s="1"/>
  <c r="W2428" i="7949" s="1"/>
  <c r="L2390" i="7949"/>
  <c r="K1901" i="7950"/>
  <c r="K1305" i="7950"/>
  <c r="K1318" i="7950" s="1"/>
  <c r="K1359" i="7950"/>
  <c r="K1372" i="7950" s="1"/>
  <c r="L2285" i="7949"/>
  <c r="L2392" i="7949"/>
  <c r="L2499" i="7949"/>
  <c r="L2536" i="7949" s="1"/>
  <c r="M2536" i="7949" s="1"/>
  <c r="N2536" i="7949" s="1"/>
  <c r="O2536" i="7949" s="1"/>
  <c r="P2536" i="7949" s="1"/>
  <c r="Q2536" i="7949" s="1"/>
  <c r="R2536" i="7949" s="1"/>
  <c r="S2536" i="7949" s="1"/>
  <c r="T2536" i="7949" s="1"/>
  <c r="U2536" i="7949" s="1"/>
  <c r="V2536" i="7949" s="1"/>
  <c r="W2536" i="7949" s="1"/>
  <c r="K1902" i="7950"/>
  <c r="K1632" i="7950"/>
  <c r="K388" i="7950"/>
  <c r="K424" i="7950" s="1"/>
  <c r="L1907" i="7949"/>
  <c r="L664" i="7949"/>
  <c r="L2552" i="7949"/>
  <c r="L2336" i="7949"/>
  <c r="K2172" i="7950"/>
  <c r="K498" i="7950"/>
  <c r="K66" i="7950"/>
  <c r="K1792" i="7950"/>
  <c r="K1828" i="7950" s="1"/>
  <c r="K1575" i="7950"/>
  <c r="K1588" i="7950" s="1"/>
  <c r="K658" i="7950"/>
  <c r="K694" i="7950" s="1"/>
  <c r="L1853" i="7949"/>
  <c r="L2338" i="7949"/>
  <c r="L1096" i="7949"/>
  <c r="L338" i="7949"/>
  <c r="L1419" i="7949"/>
  <c r="L1456" i="7949" s="1"/>
  <c r="M1456" i="7949" s="1"/>
  <c r="N1456" i="7949" s="1"/>
  <c r="O1456" i="7949" s="1"/>
  <c r="P1456" i="7949" s="1"/>
  <c r="Q1456" i="7949" s="1"/>
  <c r="R1456" i="7949" s="1"/>
  <c r="S1456" i="7949" s="1"/>
  <c r="T1456" i="7949" s="1"/>
  <c r="U1456" i="7949" s="1"/>
  <c r="V1456" i="7949" s="1"/>
  <c r="W1456" i="7949" s="1"/>
  <c r="L555" i="7949"/>
  <c r="L592" i="7949" s="1"/>
  <c r="M592" i="7949" s="1"/>
  <c r="N592" i="7949" s="1"/>
  <c r="O592" i="7949" s="1"/>
  <c r="P592" i="7949" s="1"/>
  <c r="Q592" i="7949" s="1"/>
  <c r="R592" i="7949" s="1"/>
  <c r="S592" i="7949" s="1"/>
  <c r="T592" i="7949" s="1"/>
  <c r="U592" i="7949" s="1"/>
  <c r="V592" i="7949" s="1"/>
  <c r="W592" i="7949" s="1"/>
  <c r="K444" i="7950"/>
  <c r="K1038" i="7950"/>
  <c r="K603" i="7950"/>
  <c r="K616" i="7950" s="1"/>
  <c r="L1745" i="7949"/>
  <c r="L70" i="7949"/>
  <c r="L123" i="7949"/>
  <c r="L160" i="7949" s="1"/>
  <c r="M160" i="7949" s="1"/>
  <c r="N160" i="7949" s="1"/>
  <c r="O160" i="7949" s="1"/>
  <c r="P160" i="7949" s="1"/>
  <c r="Q160" i="7949" s="1"/>
  <c r="R160" i="7949" s="1"/>
  <c r="S160" i="7949" s="1"/>
  <c r="T160" i="7949" s="1"/>
  <c r="U160" i="7949" s="1"/>
  <c r="V160" i="7949" s="1"/>
  <c r="W160" i="7949" s="1"/>
  <c r="K1254" i="7950"/>
  <c r="K1362" i="7950"/>
  <c r="K2224" i="7950"/>
  <c r="K2260" i="7950" s="1"/>
  <c r="L1961" i="7949"/>
  <c r="L2014" i="7949"/>
  <c r="L447" i="7949"/>
  <c r="L484" i="7949" s="1"/>
  <c r="M484" i="7949" s="1"/>
  <c r="N484" i="7949" s="1"/>
  <c r="O484" i="7949" s="1"/>
  <c r="P484" i="7949" s="1"/>
  <c r="Q484" i="7949" s="1"/>
  <c r="R484" i="7949" s="1"/>
  <c r="S484" i="7949" s="1"/>
  <c r="T484" i="7949" s="1"/>
  <c r="U484" i="7949" s="1"/>
  <c r="V484" i="7949" s="1"/>
  <c r="W484" i="7949" s="1"/>
  <c r="L2496" i="7950"/>
  <c r="L120" i="7950"/>
  <c r="L2063" i="7950"/>
  <c r="L173" i="7950"/>
  <c r="L658" i="7950"/>
  <c r="L695" i="7950" s="1"/>
  <c r="M695" i="7950" s="1"/>
  <c r="N695" i="7950" s="1"/>
  <c r="L765" i="7950"/>
  <c r="L779" i="7950" s="1"/>
  <c r="L1846" i="7950"/>
  <c r="L1883" i="7950" s="1"/>
  <c r="M1883" i="7950" s="1"/>
  <c r="N1883" i="7950" s="1"/>
  <c r="M826" i="7949"/>
  <c r="M2336" i="7949"/>
  <c r="M1149" i="7949"/>
  <c r="M1187" i="7949" s="1"/>
  <c r="N1187" i="7949" s="1"/>
  <c r="O1187" i="7949" s="1"/>
  <c r="P1187" i="7949" s="1"/>
  <c r="Q1187" i="7949" s="1"/>
  <c r="R1187" i="7949" s="1"/>
  <c r="S1187" i="7949" s="1"/>
  <c r="T1187" i="7949" s="1"/>
  <c r="U1187" i="7949" s="1"/>
  <c r="V1187" i="7949" s="1"/>
  <c r="W1187" i="7949" s="1"/>
  <c r="M770" i="7949"/>
  <c r="M339" i="7949"/>
  <c r="M377" i="7949" s="1"/>
  <c r="N377" i="7949" s="1"/>
  <c r="O377" i="7949" s="1"/>
  <c r="P377" i="7949" s="1"/>
  <c r="Q377" i="7949" s="1"/>
  <c r="R377" i="7949" s="1"/>
  <c r="S377" i="7949" s="1"/>
  <c r="T377" i="7949" s="1"/>
  <c r="U377" i="7949" s="1"/>
  <c r="V377" i="7949" s="1"/>
  <c r="W377" i="7949" s="1"/>
  <c r="M1907" i="7949"/>
  <c r="L2171" i="7950"/>
  <c r="L1305" i="7950"/>
  <c r="L1319" i="7950" s="1"/>
  <c r="L387" i="7950"/>
  <c r="L401" i="7950" s="1"/>
  <c r="M1690" i="7949"/>
  <c r="M2013" i="7949"/>
  <c r="M285" i="7949"/>
  <c r="M323" i="7949" s="1"/>
  <c r="N323" i="7949" s="1"/>
  <c r="O323" i="7949" s="1"/>
  <c r="P323" i="7949" s="1"/>
  <c r="Q323" i="7949" s="1"/>
  <c r="R323" i="7949" s="1"/>
  <c r="S323" i="7949" s="1"/>
  <c r="T323" i="7949" s="1"/>
  <c r="U323" i="7949" s="1"/>
  <c r="V323" i="7949" s="1"/>
  <c r="W323" i="7949" s="1"/>
  <c r="L1362" i="7950"/>
  <c r="L1038" i="7950"/>
  <c r="L1360" i="7950"/>
  <c r="L1397" i="7950" s="1"/>
  <c r="M1397" i="7950" s="1"/>
  <c r="N1397" i="7950" s="1"/>
  <c r="O1397" i="7950" s="1"/>
  <c r="P1397" i="7950" s="1"/>
  <c r="Q1397" i="7950" s="1"/>
  <c r="M231" i="7949"/>
  <c r="M269" i="7949" s="1"/>
  <c r="N269" i="7949" s="1"/>
  <c r="O269" i="7949" s="1"/>
  <c r="P269" i="7949" s="1"/>
  <c r="Q269" i="7949" s="1"/>
  <c r="R269" i="7949" s="1"/>
  <c r="S269" i="7949" s="1"/>
  <c r="T269" i="7949" s="1"/>
  <c r="U269" i="7949" s="1"/>
  <c r="V269" i="7949" s="1"/>
  <c r="W269" i="7949" s="1"/>
  <c r="M1204" i="7949"/>
  <c r="M557" i="7949"/>
  <c r="M16" i="7949"/>
  <c r="L984" i="7950"/>
  <c r="L1901" i="7950"/>
  <c r="L821" i="7950"/>
  <c r="L766" i="7950"/>
  <c r="L803" i="7950" s="1"/>
  <c r="M803" i="7950" s="1"/>
  <c r="L496" i="7950"/>
  <c r="L533" i="7950" s="1"/>
  <c r="L1143" i="7950"/>
  <c r="L1157" i="7950" s="1"/>
  <c r="M2284" i="7949"/>
  <c r="M1580" i="7949"/>
  <c r="M393" i="7949"/>
  <c r="M431" i="7949" s="1"/>
  <c r="N431" i="7949" s="1"/>
  <c r="O431" i="7949" s="1"/>
  <c r="P431" i="7949" s="1"/>
  <c r="Q431" i="7949" s="1"/>
  <c r="R431" i="7949" s="1"/>
  <c r="S431" i="7949" s="1"/>
  <c r="T431" i="7949" s="1"/>
  <c r="U431" i="7949" s="1"/>
  <c r="V431" i="7949" s="1"/>
  <c r="W431" i="7949" s="1"/>
  <c r="M1689" i="7949"/>
  <c r="M1727" i="7949" s="1"/>
  <c r="N1727" i="7949" s="1"/>
  <c r="O1727" i="7949" s="1"/>
  <c r="P1727" i="7949" s="1"/>
  <c r="Q1727" i="7949" s="1"/>
  <c r="R1727" i="7949" s="1"/>
  <c r="S1727" i="7949" s="1"/>
  <c r="T1727" i="7949" s="1"/>
  <c r="U1727" i="7949" s="1"/>
  <c r="V1727" i="7949" s="1"/>
  <c r="W1727" i="7949" s="1"/>
  <c r="M2123" i="7949"/>
  <c r="M1529" i="7949"/>
  <c r="L498" i="7950"/>
  <c r="L390" i="7950"/>
  <c r="L171" i="7950"/>
  <c r="L185" i="7950" s="1"/>
  <c r="M1582" i="7949"/>
  <c r="M2500" i="7949"/>
  <c r="M1853" i="7949"/>
  <c r="L2604" i="7950"/>
  <c r="L1794" i="7950"/>
  <c r="L2169" i="7950"/>
  <c r="L2183" i="7950" s="1"/>
  <c r="M68" i="7949"/>
  <c r="M2392" i="7949"/>
  <c r="M1097" i="7949"/>
  <c r="M392" i="7949"/>
  <c r="N2661" i="7949"/>
  <c r="N2700" i="7949" s="1"/>
  <c r="O2700" i="7949" s="1"/>
  <c r="P2700" i="7949" s="1"/>
  <c r="Q2700" i="7949" s="1"/>
  <c r="R2700" i="7949" s="1"/>
  <c r="S2700" i="7949" s="1"/>
  <c r="T2700" i="7949" s="1"/>
  <c r="U2700" i="7949" s="1"/>
  <c r="V2700" i="7949" s="1"/>
  <c r="W2700" i="7949" s="1"/>
  <c r="N177" i="7949"/>
  <c r="N216" i="7949" s="1"/>
  <c r="O216" i="7949" s="1"/>
  <c r="P216" i="7949" s="1"/>
  <c r="Q216" i="7949" s="1"/>
  <c r="R216" i="7949" s="1"/>
  <c r="S216" i="7949" s="1"/>
  <c r="T216" i="7949" s="1"/>
  <c r="U216" i="7949" s="1"/>
  <c r="V216" i="7949" s="1"/>
  <c r="W216" i="7949" s="1"/>
  <c r="N1905" i="7949"/>
  <c r="N1944" i="7949" s="1"/>
  <c r="O1944" i="7949" s="1"/>
  <c r="P1944" i="7949" s="1"/>
  <c r="Q1944" i="7949" s="1"/>
  <c r="R1944" i="7949" s="1"/>
  <c r="S1944" i="7949" s="1"/>
  <c r="T1944" i="7949" s="1"/>
  <c r="U1944" i="7949" s="1"/>
  <c r="V1944" i="7949" s="1"/>
  <c r="W1944" i="7949" s="1"/>
  <c r="N1852" i="7949"/>
  <c r="N1906" i="7949"/>
  <c r="N2501" i="7949"/>
  <c r="M1143" i="7950"/>
  <c r="M1158" i="7950" s="1"/>
  <c r="M1576" i="7950"/>
  <c r="M1614" i="7950" s="1"/>
  <c r="M172" i="7950"/>
  <c r="M210" i="7950" s="1"/>
  <c r="M767" i="7950"/>
  <c r="M2387" i="7950"/>
  <c r="M1146" i="7950"/>
  <c r="N339" i="7949"/>
  <c r="N378" i="7949" s="1"/>
  <c r="O378" i="7949" s="1"/>
  <c r="P378" i="7949" s="1"/>
  <c r="Q378" i="7949" s="1"/>
  <c r="R378" i="7949" s="1"/>
  <c r="S378" i="7949" s="1"/>
  <c r="T378" i="7949" s="1"/>
  <c r="U378" i="7949" s="1"/>
  <c r="V378" i="7949" s="1"/>
  <c r="W378" i="7949" s="1"/>
  <c r="N825" i="7949"/>
  <c r="N864" i="7949" s="1"/>
  <c r="O864" i="7949" s="1"/>
  <c r="P864" i="7949" s="1"/>
  <c r="Q864" i="7949" s="1"/>
  <c r="R864" i="7949" s="1"/>
  <c r="S864" i="7949" s="1"/>
  <c r="T864" i="7949" s="1"/>
  <c r="U864" i="7949" s="1"/>
  <c r="V864" i="7949" s="1"/>
  <c r="W864" i="7949" s="1"/>
  <c r="N2121" i="7949"/>
  <c r="N2160" i="7949" s="1"/>
  <c r="O2160" i="7949" s="1"/>
  <c r="P2160" i="7949" s="1"/>
  <c r="Q2160" i="7949" s="1"/>
  <c r="R2160" i="7949" s="1"/>
  <c r="S2160" i="7949" s="1"/>
  <c r="T2160" i="7949" s="1"/>
  <c r="U2160" i="7949" s="1"/>
  <c r="V2160" i="7949" s="1"/>
  <c r="W2160" i="7949" s="1"/>
  <c r="N1150" i="7949"/>
  <c r="N557" i="7949"/>
  <c r="N935" i="7949"/>
  <c r="M9" i="7950"/>
  <c r="M24" i="7950" s="1"/>
  <c r="M2331" i="7950"/>
  <c r="M2346" i="7950" s="1"/>
  <c r="M171" i="7950"/>
  <c r="M186" i="7950" s="1"/>
  <c r="M766" i="7950"/>
  <c r="M804" i="7950" s="1"/>
  <c r="M1847" i="7950"/>
  <c r="M2009" i="7950"/>
  <c r="M2604" i="7950"/>
  <c r="N2226" i="7950"/>
  <c r="N1632" i="7950"/>
  <c r="N822" i="7950"/>
  <c r="N768" i="7950"/>
  <c r="N1415" i="7950"/>
  <c r="N498" i="7950"/>
  <c r="N929" i="7950"/>
  <c r="N1254" i="7950"/>
  <c r="N2333" i="7950"/>
  <c r="N1253" i="7950"/>
  <c r="N1738" i="7950"/>
  <c r="N1777" i="7950" s="1"/>
  <c r="N2655" i="7950"/>
  <c r="N2671" i="7950" s="1"/>
  <c r="N927" i="7950"/>
  <c r="N943" i="7950" s="1"/>
  <c r="N120" i="7950"/>
  <c r="N1468" i="7950"/>
  <c r="N1507" i="7950" s="1"/>
  <c r="N2385" i="7950"/>
  <c r="N2401" i="7950" s="1"/>
  <c r="N497" i="7950"/>
  <c r="N2493" i="7950"/>
  <c r="N2509" i="7950" s="1"/>
  <c r="N63" i="7950"/>
  <c r="N79" i="7950" s="1"/>
  <c r="N1143" i="7950"/>
  <c r="N1159" i="7950" s="1"/>
  <c r="N1305" i="7950"/>
  <c r="N1321" i="7950" s="1"/>
  <c r="N820" i="7950"/>
  <c r="N859" i="7950" s="1"/>
  <c r="O859" i="7950" s="1"/>
  <c r="P859" i="7950" s="1"/>
  <c r="Q859" i="7950" s="1"/>
  <c r="R859" i="7950" s="1"/>
  <c r="S859" i="7950" s="1"/>
  <c r="T859" i="7950" s="1"/>
  <c r="U859" i="7950" s="1"/>
  <c r="V859" i="7950" s="1"/>
  <c r="W859" i="7950" s="1"/>
  <c r="N226" i="7950"/>
  <c r="N265" i="7950" s="1"/>
  <c r="N389" i="7950"/>
  <c r="N11" i="7950"/>
  <c r="O2285" i="7949"/>
  <c r="O1583" i="7949"/>
  <c r="O1205" i="7949"/>
  <c r="O503" i="7949"/>
  <c r="O557" i="7949"/>
  <c r="O2609" i="7949"/>
  <c r="O2176" i="7949"/>
  <c r="O1259" i="7949"/>
  <c r="O2230" i="7949"/>
  <c r="O934" i="7949"/>
  <c r="O827" i="7949"/>
  <c r="O826" i="7949"/>
  <c r="O1096" i="7949"/>
  <c r="O1097" i="7949"/>
  <c r="O772" i="7949"/>
  <c r="O1420" i="7949"/>
  <c r="O1258" i="7949"/>
  <c r="O68" i="7949"/>
  <c r="O1203" i="7949"/>
  <c r="O1243" i="7949" s="1"/>
  <c r="P1243" i="7949" s="1"/>
  <c r="Q1243" i="7949" s="1"/>
  <c r="R1243" i="7949" s="1"/>
  <c r="S1243" i="7949" s="1"/>
  <c r="T1243" i="7949" s="1"/>
  <c r="U1243" i="7949" s="1"/>
  <c r="V1243" i="7949" s="1"/>
  <c r="W1243" i="7949" s="1"/>
  <c r="O879" i="7949"/>
  <c r="O919" i="7949" s="1"/>
  <c r="P919" i="7949" s="1"/>
  <c r="Q919" i="7949" s="1"/>
  <c r="R919" i="7949" s="1"/>
  <c r="S919" i="7949" s="1"/>
  <c r="T919" i="7949" s="1"/>
  <c r="U919" i="7949" s="1"/>
  <c r="V919" i="7949" s="1"/>
  <c r="W919" i="7949" s="1"/>
  <c r="O1149" i="7949"/>
  <c r="O1189" i="7949" s="1"/>
  <c r="P1189" i="7949" s="1"/>
  <c r="Q1189" i="7949" s="1"/>
  <c r="R1189" i="7949" s="1"/>
  <c r="S1189" i="7949" s="1"/>
  <c r="T1189" i="7949" s="1"/>
  <c r="U1189" i="7949" s="1"/>
  <c r="V1189" i="7949" s="1"/>
  <c r="W1189" i="7949" s="1"/>
  <c r="O1148" i="7949"/>
  <c r="O2336" i="7949"/>
  <c r="O2499" i="7949"/>
  <c r="O2539" i="7949" s="1"/>
  <c r="P2539" i="7949" s="1"/>
  <c r="Q2539" i="7949" s="1"/>
  <c r="R2539" i="7949" s="1"/>
  <c r="S2539" i="7949" s="1"/>
  <c r="T2539" i="7949" s="1"/>
  <c r="U2539" i="7949" s="1"/>
  <c r="V2539" i="7949" s="1"/>
  <c r="W2539" i="7949" s="1"/>
  <c r="O770" i="7949"/>
  <c r="O2120" i="7949"/>
  <c r="O339" i="7949"/>
  <c r="O379" i="7949" s="1"/>
  <c r="P379" i="7949" s="1"/>
  <c r="Q379" i="7949" s="1"/>
  <c r="R379" i="7949" s="1"/>
  <c r="S379" i="7949" s="1"/>
  <c r="T379" i="7949" s="1"/>
  <c r="U379" i="7949" s="1"/>
  <c r="V379" i="7949" s="1"/>
  <c r="W379" i="7949" s="1"/>
  <c r="O392" i="7949"/>
  <c r="O2337" i="7949"/>
  <c r="O2377" i="7949" s="1"/>
  <c r="P2377" i="7949" s="1"/>
  <c r="Q2377" i="7949" s="1"/>
  <c r="R2377" i="7949" s="1"/>
  <c r="S2377" i="7949" s="1"/>
  <c r="T2377" i="7949" s="1"/>
  <c r="U2377" i="7949" s="1"/>
  <c r="V2377" i="7949" s="1"/>
  <c r="W2377" i="7949" s="1"/>
  <c r="O878" i="7949"/>
  <c r="O1796" i="7949"/>
  <c r="O2066" i="7949"/>
  <c r="O1472" i="7949"/>
  <c r="O2391" i="7949"/>
  <c r="O2431" i="7949" s="1"/>
  <c r="P2431" i="7949" s="1"/>
  <c r="Q2431" i="7949" s="1"/>
  <c r="R2431" i="7949" s="1"/>
  <c r="S2431" i="7949" s="1"/>
  <c r="T2431" i="7949" s="1"/>
  <c r="U2431" i="7949" s="1"/>
  <c r="V2431" i="7949" s="1"/>
  <c r="W2431" i="7949" s="1"/>
  <c r="O2229" i="7949"/>
  <c r="O2269" i="7949" s="1"/>
  <c r="P2269" i="7949" s="1"/>
  <c r="Q2269" i="7949" s="1"/>
  <c r="R2269" i="7949" s="1"/>
  <c r="S2269" i="7949" s="1"/>
  <c r="T2269" i="7949" s="1"/>
  <c r="U2269" i="7949" s="1"/>
  <c r="V2269" i="7949" s="1"/>
  <c r="W2269" i="7949" s="1"/>
  <c r="O1689" i="7949"/>
  <c r="O1729" i="7949" s="1"/>
  <c r="P1729" i="7949" s="1"/>
  <c r="Q1729" i="7949" s="1"/>
  <c r="R1729" i="7949" s="1"/>
  <c r="S1729" i="7949" s="1"/>
  <c r="T1729" i="7949" s="1"/>
  <c r="U1729" i="7949" s="1"/>
  <c r="V1729" i="7949" s="1"/>
  <c r="W1729" i="7949" s="1"/>
  <c r="O1958" i="7949"/>
  <c r="O122" i="7949"/>
  <c r="O16" i="7949"/>
  <c r="E9" i="7949"/>
  <c r="K1418" i="7949"/>
  <c r="L2446" i="7949"/>
  <c r="K2334" i="7950"/>
  <c r="K172" i="7950"/>
  <c r="K208" i="7950" s="1"/>
  <c r="L2339" i="7949"/>
  <c r="L1150" i="7949"/>
  <c r="L2445" i="7949"/>
  <c r="L2482" i="7949" s="1"/>
  <c r="M2482" i="7949" s="1"/>
  <c r="N2482" i="7949" s="1"/>
  <c r="O2482" i="7949" s="1"/>
  <c r="P2482" i="7949" s="1"/>
  <c r="Q2482" i="7949" s="1"/>
  <c r="R2482" i="7949" s="1"/>
  <c r="S2482" i="7949" s="1"/>
  <c r="T2482" i="7949" s="1"/>
  <c r="U2482" i="7949" s="1"/>
  <c r="V2482" i="7949" s="1"/>
  <c r="W2482" i="7949" s="1"/>
  <c r="K497" i="7950"/>
  <c r="K333" i="7950"/>
  <c r="K346" i="7950" s="1"/>
  <c r="L1850" i="7949"/>
  <c r="K1738" i="7950"/>
  <c r="K1774" i="7950" s="1"/>
  <c r="L1041" i="7949"/>
  <c r="L1078" i="7949" s="1"/>
  <c r="M1078" i="7949" s="1"/>
  <c r="N1078" i="7949" s="1"/>
  <c r="O1078" i="7949" s="1"/>
  <c r="P1078" i="7949" s="1"/>
  <c r="Q1078" i="7949" s="1"/>
  <c r="R1078" i="7949" s="1"/>
  <c r="S1078" i="7949" s="1"/>
  <c r="T1078" i="7949" s="1"/>
  <c r="U1078" i="7949" s="1"/>
  <c r="V1078" i="7949" s="1"/>
  <c r="W1078" i="7949" s="1"/>
  <c r="L1092" i="7950"/>
  <c r="L172" i="7950"/>
  <c r="L209" i="7950" s="1"/>
  <c r="M209" i="7950" s="1"/>
  <c r="N209" i="7950" s="1"/>
  <c r="O209" i="7950" s="1"/>
  <c r="P209" i="7950" s="1"/>
  <c r="L2223" i="7950"/>
  <c r="L2237" i="7950" s="1"/>
  <c r="M1744" i="7949"/>
  <c r="M179" i="7949"/>
  <c r="L1199" i="7950"/>
  <c r="L1521" i="7950"/>
  <c r="L1535" i="7950" s="1"/>
  <c r="M177" i="7949"/>
  <c r="M215" i="7949" s="1"/>
  <c r="N215" i="7949" s="1"/>
  <c r="O215" i="7949" s="1"/>
  <c r="P215" i="7949" s="1"/>
  <c r="Q215" i="7949" s="1"/>
  <c r="R215" i="7949" s="1"/>
  <c r="S215" i="7949" s="1"/>
  <c r="T215" i="7949" s="1"/>
  <c r="U215" i="7949" s="1"/>
  <c r="V215" i="7949" s="1"/>
  <c r="W215" i="7949" s="1"/>
  <c r="L2385" i="7950"/>
  <c r="L2399" i="7950" s="1"/>
  <c r="M2393" i="7949"/>
  <c r="L444" i="7950"/>
  <c r="L1468" i="7950"/>
  <c r="L1505" i="7950" s="1"/>
  <c r="M1505" i="7950" s="1"/>
  <c r="M232" i="7949"/>
  <c r="M340" i="7949"/>
  <c r="M1850" i="7949"/>
  <c r="L281" i="7950"/>
  <c r="M1365" i="7949"/>
  <c r="M1403" i="7949" s="1"/>
  <c r="N1403" i="7949" s="1"/>
  <c r="O1403" i="7949" s="1"/>
  <c r="P1403" i="7949" s="1"/>
  <c r="Q1403" i="7949" s="1"/>
  <c r="R1403" i="7949" s="1"/>
  <c r="S1403" i="7949" s="1"/>
  <c r="T1403" i="7949" s="1"/>
  <c r="U1403" i="7949" s="1"/>
  <c r="V1403" i="7949" s="1"/>
  <c r="W1403" i="7949" s="1"/>
  <c r="M771" i="7949"/>
  <c r="M809" i="7949" s="1"/>
  <c r="N809" i="7949" s="1"/>
  <c r="O809" i="7949" s="1"/>
  <c r="P809" i="7949" s="1"/>
  <c r="Q809" i="7949" s="1"/>
  <c r="R809" i="7949" s="1"/>
  <c r="S809" i="7949" s="1"/>
  <c r="T809" i="7949" s="1"/>
  <c r="U809" i="7949" s="1"/>
  <c r="V809" i="7949" s="1"/>
  <c r="W809" i="7949" s="1"/>
  <c r="L928" i="7950"/>
  <c r="L965" i="7950" s="1"/>
  <c r="M965" i="7950" s="1"/>
  <c r="N965" i="7950" s="1"/>
  <c r="O965" i="7950" s="1"/>
  <c r="P965" i="7950" s="1"/>
  <c r="M1203" i="7949"/>
  <c r="M1241" i="7949" s="1"/>
  <c r="N1241" i="7949" s="1"/>
  <c r="O1241" i="7949" s="1"/>
  <c r="P1241" i="7949" s="1"/>
  <c r="Q1241" i="7949" s="1"/>
  <c r="R1241" i="7949" s="1"/>
  <c r="S1241" i="7949" s="1"/>
  <c r="T1241" i="7949" s="1"/>
  <c r="U1241" i="7949" s="1"/>
  <c r="V1241" i="7949" s="1"/>
  <c r="W1241" i="7949" s="1"/>
  <c r="M1634" i="7949"/>
  <c r="N1256" i="7949"/>
  <c r="N393" i="7949"/>
  <c r="N432" i="7949" s="1"/>
  <c r="O432" i="7949" s="1"/>
  <c r="P432" i="7949" s="1"/>
  <c r="Q432" i="7949" s="1"/>
  <c r="R432" i="7949" s="1"/>
  <c r="S432" i="7949" s="1"/>
  <c r="T432" i="7949" s="1"/>
  <c r="U432" i="7949" s="1"/>
  <c r="V432" i="7949" s="1"/>
  <c r="W432" i="7949" s="1"/>
  <c r="N2555" i="7949"/>
  <c r="M1791" i="7950"/>
  <c r="M1806" i="7950" s="1"/>
  <c r="M2063" i="7950"/>
  <c r="M2334" i="7950"/>
  <c r="N1310" i="7949"/>
  <c r="N718" i="7949"/>
  <c r="N1853" i="7949"/>
  <c r="M1630" i="7950"/>
  <c r="M1668" i="7950" s="1"/>
  <c r="M1523" i="7950"/>
  <c r="N2280" i="7950"/>
  <c r="N2603" i="7950"/>
  <c r="N2171" i="7950"/>
  <c r="N552" i="7950"/>
  <c r="N2602" i="7950"/>
  <c r="N2641" i="7950" s="1"/>
  <c r="N495" i="7950"/>
  <c r="N511" i="7950" s="1"/>
  <c r="N604" i="7950"/>
  <c r="N643" i="7950" s="1"/>
  <c r="N981" i="7950"/>
  <c r="N997" i="7950" s="1"/>
  <c r="N2548" i="7950"/>
  <c r="N2587" i="7950" s="1"/>
  <c r="N441" i="7950"/>
  <c r="N457" i="7950" s="1"/>
  <c r="O2339" i="7949"/>
  <c r="O1313" i="7949"/>
  <c r="O179" i="7949"/>
  <c r="O1582" i="7949"/>
  <c r="O1312" i="7949"/>
  <c r="O394" i="7949"/>
  <c r="O178" i="7949"/>
  <c r="O2283" i="7949"/>
  <c r="O2323" i="7949" s="1"/>
  <c r="P2323" i="7949" s="1"/>
  <c r="Q2323" i="7949" s="1"/>
  <c r="R2323" i="7949" s="1"/>
  <c r="S2323" i="7949" s="1"/>
  <c r="T2323" i="7949" s="1"/>
  <c r="U2323" i="7949" s="1"/>
  <c r="V2323" i="7949" s="1"/>
  <c r="W2323" i="7949" s="1"/>
  <c r="O2445" i="7949"/>
  <c r="O2485" i="7949" s="1"/>
  <c r="P2485" i="7949" s="1"/>
  <c r="Q2485" i="7949" s="1"/>
  <c r="R2485" i="7949" s="1"/>
  <c r="S2485" i="7949" s="1"/>
  <c r="T2485" i="7949" s="1"/>
  <c r="U2485" i="7949" s="1"/>
  <c r="V2485" i="7949" s="1"/>
  <c r="W2485" i="7949" s="1"/>
  <c r="O1310" i="7949"/>
  <c r="O2121" i="7949"/>
  <c r="O2161" i="7949" s="1"/>
  <c r="P2161" i="7949" s="1"/>
  <c r="Q2161" i="7949" s="1"/>
  <c r="R2161" i="7949" s="1"/>
  <c r="S2161" i="7949" s="1"/>
  <c r="T2161" i="7949" s="1"/>
  <c r="U2161" i="7949" s="1"/>
  <c r="V2161" i="7949" s="1"/>
  <c r="W2161" i="7949" s="1"/>
  <c r="O1041" i="7949"/>
  <c r="O1081" i="7949" s="1"/>
  <c r="P1081" i="7949" s="1"/>
  <c r="Q1081" i="7949" s="1"/>
  <c r="R1081" i="7949" s="1"/>
  <c r="S1081" i="7949" s="1"/>
  <c r="T1081" i="7949" s="1"/>
  <c r="U1081" i="7949" s="1"/>
  <c r="V1081" i="7949" s="1"/>
  <c r="W1081" i="7949" s="1"/>
  <c r="O554" i="7949"/>
  <c r="O1095" i="7949"/>
  <c r="O1135" i="7949" s="1"/>
  <c r="P1135" i="7949" s="1"/>
  <c r="Q1135" i="7949" s="1"/>
  <c r="R1135" i="7949" s="1"/>
  <c r="S1135" i="7949" s="1"/>
  <c r="T1135" i="7949" s="1"/>
  <c r="U1135" i="7949" s="1"/>
  <c r="V1135" i="7949" s="1"/>
  <c r="W1135" i="7949" s="1"/>
  <c r="O176" i="7949"/>
  <c r="O15" i="7949"/>
  <c r="O55" i="7949" s="1"/>
  <c r="P55" i="7949" s="1"/>
  <c r="Q55" i="7949" s="1"/>
  <c r="R55" i="7949" s="1"/>
  <c r="S55" i="7949" s="1"/>
  <c r="T55" i="7949" s="1"/>
  <c r="U55" i="7949" s="1"/>
  <c r="V55" i="7949" s="1"/>
  <c r="W55" i="7949" s="1"/>
  <c r="D603" i="7950"/>
  <c r="E2391" i="7949"/>
  <c r="E1414" i="7950"/>
  <c r="F935" i="7949"/>
  <c r="E173" i="7950"/>
  <c r="E1359" i="7950"/>
  <c r="F662" i="7949"/>
  <c r="G231" i="7949"/>
  <c r="G2229" i="7949"/>
  <c r="G665" i="7949"/>
  <c r="G610" i="7949"/>
  <c r="H2608" i="7949"/>
  <c r="H2177" i="7949"/>
  <c r="H1203" i="7949"/>
  <c r="H177" i="7949"/>
  <c r="G873" i="7950"/>
  <c r="G882" i="7950" s="1"/>
  <c r="G1740" i="7950"/>
  <c r="H1960" i="7949"/>
  <c r="H1251" i="7950"/>
  <c r="H1261" i="7950" s="1"/>
  <c r="I1528" i="7949"/>
  <c r="H281" i="7950"/>
  <c r="I2175" i="7949"/>
  <c r="I2209" i="7949" s="1"/>
  <c r="J2209" i="7949" s="1"/>
  <c r="K2209" i="7949" s="1"/>
  <c r="L2209" i="7949" s="1"/>
  <c r="M2209" i="7949" s="1"/>
  <c r="N2209" i="7949" s="1"/>
  <c r="O2209" i="7949" s="1"/>
  <c r="P2209" i="7949" s="1"/>
  <c r="Q2209" i="7949" s="1"/>
  <c r="R2209" i="7949" s="1"/>
  <c r="S2209" i="7949" s="1"/>
  <c r="T2209" i="7949" s="1"/>
  <c r="U2209" i="7949" s="1"/>
  <c r="V2209" i="7949" s="1"/>
  <c r="W2209" i="7949" s="1"/>
  <c r="H10" i="7950"/>
  <c r="H1631" i="7950"/>
  <c r="I1583" i="7949"/>
  <c r="I1526" i="7949"/>
  <c r="I610" i="7949"/>
  <c r="H1902" i="7950"/>
  <c r="I930" i="7950"/>
  <c r="I2547" i="7950"/>
  <c r="I2558" i="7950" s="1"/>
  <c r="J608" i="7949"/>
  <c r="J827" i="7949"/>
  <c r="J717" i="7949"/>
  <c r="J752" i="7949" s="1"/>
  <c r="K752" i="7949" s="1"/>
  <c r="L752" i="7949" s="1"/>
  <c r="M752" i="7949" s="1"/>
  <c r="N752" i="7949" s="1"/>
  <c r="O752" i="7949" s="1"/>
  <c r="P752" i="7949" s="1"/>
  <c r="Q752" i="7949" s="1"/>
  <c r="R752" i="7949" s="1"/>
  <c r="S752" i="7949" s="1"/>
  <c r="T752" i="7949" s="1"/>
  <c r="U752" i="7949" s="1"/>
  <c r="V752" i="7949" s="1"/>
  <c r="W752" i="7949" s="1"/>
  <c r="I2387" i="7950"/>
  <c r="J1421" i="7949"/>
  <c r="I2388" i="7950"/>
  <c r="I2495" i="7950"/>
  <c r="I2169" i="7950"/>
  <c r="I2180" i="7950" s="1"/>
  <c r="J1097" i="7949"/>
  <c r="J770" i="7949"/>
  <c r="I65" i="7950"/>
  <c r="I1629" i="7950"/>
  <c r="I1640" i="7950" s="1"/>
  <c r="J1473" i="7949"/>
  <c r="J1508" i="7949" s="1"/>
  <c r="K1508" i="7949" s="1"/>
  <c r="L1508" i="7949" s="1"/>
  <c r="M1508" i="7949" s="1"/>
  <c r="N1508" i="7949" s="1"/>
  <c r="O1508" i="7949" s="1"/>
  <c r="P1508" i="7949" s="1"/>
  <c r="Q1508" i="7949" s="1"/>
  <c r="R1508" i="7949" s="1"/>
  <c r="S1508" i="7949" s="1"/>
  <c r="T1508" i="7949" s="1"/>
  <c r="U1508" i="7949" s="1"/>
  <c r="V1508" i="7949" s="1"/>
  <c r="W1508" i="7949" s="1"/>
  <c r="I657" i="7950"/>
  <c r="I668" i="7950" s="1"/>
  <c r="J1043" i="7949"/>
  <c r="J1631" i="7950"/>
  <c r="J118" i="7950"/>
  <c r="J153" i="7950" s="1"/>
  <c r="J9" i="7950"/>
  <c r="J21" i="7950" s="1"/>
  <c r="K1096" i="7949"/>
  <c r="K177" i="7949"/>
  <c r="K213" i="7949" s="1"/>
  <c r="L213" i="7949" s="1"/>
  <c r="M213" i="7949" s="1"/>
  <c r="N213" i="7949" s="1"/>
  <c r="O213" i="7949" s="1"/>
  <c r="P213" i="7949" s="1"/>
  <c r="Q213" i="7949" s="1"/>
  <c r="R213" i="7949" s="1"/>
  <c r="S213" i="7949" s="1"/>
  <c r="T213" i="7949" s="1"/>
  <c r="U213" i="7949" s="1"/>
  <c r="V213" i="7949" s="1"/>
  <c r="W213" i="7949" s="1"/>
  <c r="J1902" i="7950"/>
  <c r="K2662" i="7949"/>
  <c r="K2013" i="7949"/>
  <c r="K2049" i="7949" s="1"/>
  <c r="L2049" i="7949" s="1"/>
  <c r="M2049" i="7949" s="1"/>
  <c r="N2049" i="7949" s="1"/>
  <c r="O2049" i="7949" s="1"/>
  <c r="P2049" i="7949" s="1"/>
  <c r="Q2049" i="7949" s="1"/>
  <c r="R2049" i="7949" s="1"/>
  <c r="S2049" i="7949" s="1"/>
  <c r="T2049" i="7949" s="1"/>
  <c r="U2049" i="7949" s="1"/>
  <c r="V2049" i="7949" s="1"/>
  <c r="W2049" i="7949" s="1"/>
  <c r="K1475" i="7949"/>
  <c r="J2388" i="7950"/>
  <c r="J660" i="7950"/>
  <c r="J496" i="7950"/>
  <c r="J531" i="7950" s="1"/>
  <c r="J2493" i="7950"/>
  <c r="J2505" i="7950" s="1"/>
  <c r="K2122" i="7949"/>
  <c r="K2120" i="7949"/>
  <c r="J2171" i="7950"/>
  <c r="K1150" i="7949"/>
  <c r="J1956" i="7950"/>
  <c r="J659" i="7950"/>
  <c r="K1799" i="7949"/>
  <c r="K2658" i="7950"/>
  <c r="K767" i="7950"/>
  <c r="K873" i="7950"/>
  <c r="K886" i="7950" s="1"/>
  <c r="L826" i="7949"/>
  <c r="L1257" i="7949"/>
  <c r="L1294" i="7949" s="1"/>
  <c r="M1294" i="7949" s="1"/>
  <c r="N1294" i="7949" s="1"/>
  <c r="O1294" i="7949" s="1"/>
  <c r="P1294" i="7949" s="1"/>
  <c r="Q1294" i="7949" s="1"/>
  <c r="R1294" i="7949" s="1"/>
  <c r="S1294" i="7949" s="1"/>
  <c r="T1294" i="7949" s="1"/>
  <c r="U1294" i="7949" s="1"/>
  <c r="V1294" i="7949" s="1"/>
  <c r="W1294" i="7949" s="1"/>
  <c r="K1416" i="7950"/>
  <c r="K64" i="7950"/>
  <c r="K100" i="7950" s="1"/>
  <c r="L554" i="7949"/>
  <c r="K117" i="7950"/>
  <c r="K130" i="7950" s="1"/>
  <c r="L178" i="7949"/>
  <c r="K660" i="7950"/>
  <c r="K281" i="7950"/>
  <c r="K2170" i="7950"/>
  <c r="K2206" i="7950" s="1"/>
  <c r="L1205" i="7949"/>
  <c r="L2444" i="7949"/>
  <c r="K1470" i="7950"/>
  <c r="K1360" i="7950"/>
  <c r="K1396" i="7950" s="1"/>
  <c r="L125" i="7949"/>
  <c r="K713" i="7950"/>
  <c r="K10" i="7950"/>
  <c r="K46" i="7950" s="1"/>
  <c r="L2228" i="7949"/>
  <c r="L2279" i="7950"/>
  <c r="L2007" i="7950"/>
  <c r="L2021" i="7950" s="1"/>
  <c r="M2176" i="7949"/>
  <c r="M1742" i="7949"/>
  <c r="M2501" i="7949"/>
  <c r="L1953" i="7950"/>
  <c r="L1967" i="7950" s="1"/>
  <c r="M2067" i="7949"/>
  <c r="M2105" i="7949" s="1"/>
  <c r="N2105" i="7949" s="1"/>
  <c r="O2105" i="7949" s="1"/>
  <c r="P2105" i="7949" s="1"/>
  <c r="Q2105" i="7949" s="1"/>
  <c r="R2105" i="7949" s="1"/>
  <c r="S2105" i="7949" s="1"/>
  <c r="T2105" i="7949" s="1"/>
  <c r="U2105" i="7949" s="1"/>
  <c r="V2105" i="7949" s="1"/>
  <c r="W2105" i="7949" s="1"/>
  <c r="L1361" i="7950"/>
  <c r="L12" i="7950"/>
  <c r="M447" i="7949"/>
  <c r="M485" i="7949" s="1"/>
  <c r="N485" i="7949" s="1"/>
  <c r="O485" i="7949" s="1"/>
  <c r="P485" i="7949" s="1"/>
  <c r="Q485" i="7949" s="1"/>
  <c r="R485" i="7949" s="1"/>
  <c r="S485" i="7949" s="1"/>
  <c r="T485" i="7949" s="1"/>
  <c r="U485" i="7949" s="1"/>
  <c r="V485" i="7949" s="1"/>
  <c r="W485" i="7949" s="1"/>
  <c r="L605" i="7950"/>
  <c r="L2331" i="7950"/>
  <c r="L2345" i="7950" s="1"/>
  <c r="M556" i="7949"/>
  <c r="M2339" i="7949"/>
  <c r="M1904" i="7949"/>
  <c r="L1522" i="7950"/>
  <c r="L1559" i="7950" s="1"/>
  <c r="M1559" i="7950" s="1"/>
  <c r="N1559" i="7950" s="1"/>
  <c r="M2663" i="7949"/>
  <c r="L1415" i="7950"/>
  <c r="L1089" i="7950"/>
  <c r="L1103" i="7950" s="1"/>
  <c r="M2660" i="7949"/>
  <c r="N2175" i="7949"/>
  <c r="N2214" i="7949" s="1"/>
  <c r="O2214" i="7949" s="1"/>
  <c r="P2214" i="7949" s="1"/>
  <c r="Q2214" i="7949" s="1"/>
  <c r="R2214" i="7949" s="1"/>
  <c r="S2214" i="7949" s="1"/>
  <c r="T2214" i="7949" s="1"/>
  <c r="U2214" i="7949" s="1"/>
  <c r="V2214" i="7949" s="1"/>
  <c r="W2214" i="7949" s="1"/>
  <c r="N340" i="7949"/>
  <c r="M2062" i="7950"/>
  <c r="M2100" i="7950" s="1"/>
  <c r="M982" i="7950"/>
  <c r="M1020" i="7950" s="1"/>
  <c r="M1254" i="7950"/>
  <c r="N663" i="7949"/>
  <c r="N702" i="7949" s="1"/>
  <c r="O702" i="7949" s="1"/>
  <c r="P702" i="7949" s="1"/>
  <c r="Q702" i="7949" s="1"/>
  <c r="R702" i="7949" s="1"/>
  <c r="S702" i="7949" s="1"/>
  <c r="T702" i="7949" s="1"/>
  <c r="U702" i="7949" s="1"/>
  <c r="V702" i="7949" s="1"/>
  <c r="W702" i="7949" s="1"/>
  <c r="N1420" i="7949"/>
  <c r="N2609" i="7949"/>
  <c r="M2170" i="7950"/>
  <c r="M2208" i="7950" s="1"/>
  <c r="M1740" i="7950"/>
  <c r="N1902" i="7950"/>
  <c r="N1631" i="7950"/>
  <c r="N1308" i="7950"/>
  <c r="N1361" i="7950"/>
  <c r="N64" i="7950"/>
  <c r="N103" i="7950" s="1"/>
  <c r="N171" i="7950"/>
  <c r="N187" i="7950" s="1"/>
  <c r="N659" i="7950"/>
  <c r="N2007" i="7950"/>
  <c r="N2023" i="7950" s="1"/>
  <c r="N1630" i="7950"/>
  <c r="N1669" i="7950" s="1"/>
  <c r="N10" i="7950"/>
  <c r="N49" i="7950" s="1"/>
  <c r="O2177" i="7949"/>
  <c r="O935" i="7949"/>
  <c r="O2338" i="7949"/>
  <c r="O2392" i="7949"/>
  <c r="O1204" i="7949"/>
  <c r="O124" i="7949"/>
  <c r="O2068" i="7949"/>
  <c r="O663" i="7949"/>
  <c r="O703" i="7949" s="1"/>
  <c r="P703" i="7949" s="1"/>
  <c r="Q703" i="7949" s="1"/>
  <c r="R703" i="7949" s="1"/>
  <c r="S703" i="7949" s="1"/>
  <c r="T703" i="7949" s="1"/>
  <c r="U703" i="7949" s="1"/>
  <c r="V703" i="7949" s="1"/>
  <c r="W703" i="7949" s="1"/>
  <c r="O1742" i="7949"/>
  <c r="O1635" i="7949"/>
  <c r="O1675" i="7949" s="1"/>
  <c r="P1675" i="7949" s="1"/>
  <c r="Q1675" i="7949" s="1"/>
  <c r="R1675" i="7949" s="1"/>
  <c r="S1675" i="7949" s="1"/>
  <c r="T1675" i="7949" s="1"/>
  <c r="U1675" i="7949" s="1"/>
  <c r="V1675" i="7949" s="1"/>
  <c r="W1675" i="7949" s="1"/>
  <c r="O2553" i="7949"/>
  <c r="O2593" i="7949" s="1"/>
  <c r="P2593" i="7949" s="1"/>
  <c r="Q2593" i="7949" s="1"/>
  <c r="R2593" i="7949" s="1"/>
  <c r="S2593" i="7949" s="1"/>
  <c r="T2593" i="7949" s="1"/>
  <c r="U2593" i="7949" s="1"/>
  <c r="V2593" i="7949" s="1"/>
  <c r="W2593" i="7949" s="1"/>
  <c r="O1905" i="7949"/>
  <c r="O1945" i="7949" s="1"/>
  <c r="P1945" i="7949" s="1"/>
  <c r="Q1945" i="7949" s="1"/>
  <c r="R1945" i="7949" s="1"/>
  <c r="S1945" i="7949" s="1"/>
  <c r="T1945" i="7949" s="1"/>
  <c r="U1945" i="7949" s="1"/>
  <c r="V1945" i="7949" s="1"/>
  <c r="W1945" i="7949" s="1"/>
  <c r="O1418" i="7949"/>
  <c r="O1797" i="7949"/>
  <c r="O1837" i="7949" s="1"/>
  <c r="P1837" i="7949" s="1"/>
  <c r="Q1837" i="7949" s="1"/>
  <c r="R1837" i="7949" s="1"/>
  <c r="S1837" i="7949" s="1"/>
  <c r="T1837" i="7949" s="1"/>
  <c r="U1837" i="7949" s="1"/>
  <c r="V1837" i="7949" s="1"/>
  <c r="W1837" i="7949" s="1"/>
  <c r="O446" i="7949"/>
  <c r="D9" i="7949"/>
  <c r="D2606" i="7949"/>
  <c r="E2609" i="7949"/>
  <c r="D2547" i="7950"/>
  <c r="E717" i="7949"/>
  <c r="E1851" i="7949"/>
  <c r="E1961" i="7949"/>
  <c r="D2277" i="7950"/>
  <c r="E1689" i="7949"/>
  <c r="E934" i="7949"/>
  <c r="E231" i="7949"/>
  <c r="E2387" i="7950"/>
  <c r="E1791" i="7950"/>
  <c r="F2444" i="7949"/>
  <c r="E120" i="7950"/>
  <c r="F1418" i="7949"/>
  <c r="E174" i="7950"/>
  <c r="E2169" i="7950"/>
  <c r="F285" i="7949"/>
  <c r="E822" i="7950"/>
  <c r="F1797" i="7949"/>
  <c r="E1144" i="7950"/>
  <c r="F1796" i="7949"/>
  <c r="F1904" i="7949"/>
  <c r="F1360" i="7950"/>
  <c r="G2068" i="7949"/>
  <c r="G2444" i="7949"/>
  <c r="G1637" i="7949"/>
  <c r="F2279" i="7950"/>
  <c r="F1577" i="7950"/>
  <c r="G2015" i="7949"/>
  <c r="G2282" i="7949"/>
  <c r="F603" i="7950"/>
  <c r="G2606" i="7949"/>
  <c r="G233" i="7949"/>
  <c r="G1037" i="7950"/>
  <c r="G765" i="7950"/>
  <c r="G774" i="7950" s="1"/>
  <c r="H1851" i="7949"/>
  <c r="G2009" i="7950"/>
  <c r="H2337" i="7949"/>
  <c r="G2061" i="7950"/>
  <c r="G2070" i="7950" s="1"/>
  <c r="G714" i="7950"/>
  <c r="G1197" i="7950"/>
  <c r="G1206" i="7950" s="1"/>
  <c r="H1474" i="7949"/>
  <c r="H771" i="7949"/>
  <c r="H608" i="7949"/>
  <c r="G1361" i="7950"/>
  <c r="H1313" i="7949"/>
  <c r="H1637" i="7949"/>
  <c r="G660" i="7950"/>
  <c r="H1907" i="7949"/>
  <c r="H2283" i="7949"/>
  <c r="H118" i="7950"/>
  <c r="H550" i="7950"/>
  <c r="H603" i="7950"/>
  <c r="H613" i="7950" s="1"/>
  <c r="I2123" i="7949"/>
  <c r="I934" i="7949"/>
  <c r="I2498" i="7949"/>
  <c r="H65" i="7950"/>
  <c r="H1686" i="7950"/>
  <c r="I1258" i="7949"/>
  <c r="H1305" i="7950"/>
  <c r="H1315" i="7950" s="1"/>
  <c r="H658" i="7950"/>
  <c r="I1204" i="7949"/>
  <c r="I1581" i="7949"/>
  <c r="I1615" i="7949" s="1"/>
  <c r="J1615" i="7949" s="1"/>
  <c r="K1615" i="7949" s="1"/>
  <c r="L1615" i="7949" s="1"/>
  <c r="M1615" i="7949" s="1"/>
  <c r="N1615" i="7949" s="1"/>
  <c r="O1615" i="7949" s="1"/>
  <c r="P1615" i="7949" s="1"/>
  <c r="Q1615" i="7949" s="1"/>
  <c r="R1615" i="7949" s="1"/>
  <c r="S1615" i="7949" s="1"/>
  <c r="T1615" i="7949" s="1"/>
  <c r="U1615" i="7949" s="1"/>
  <c r="V1615" i="7949" s="1"/>
  <c r="W1615" i="7949" s="1"/>
  <c r="H930" i="7950"/>
  <c r="H1953" i="7950"/>
  <c r="H1963" i="7950" s="1"/>
  <c r="I2176" i="7949"/>
  <c r="I2390" i="7949"/>
  <c r="I1202" i="7949"/>
  <c r="H1793" i="7950"/>
  <c r="I2285" i="7949"/>
  <c r="I2499" i="7949"/>
  <c r="I2533" i="7949" s="1"/>
  <c r="J2533" i="7949" s="1"/>
  <c r="K2533" i="7949" s="1"/>
  <c r="L2533" i="7949" s="1"/>
  <c r="M2533" i="7949" s="1"/>
  <c r="N2533" i="7949" s="1"/>
  <c r="O2533" i="7949" s="1"/>
  <c r="P2533" i="7949" s="1"/>
  <c r="Q2533" i="7949" s="1"/>
  <c r="R2533" i="7949" s="1"/>
  <c r="S2533" i="7949" s="1"/>
  <c r="T2533" i="7949" s="1"/>
  <c r="U2533" i="7949" s="1"/>
  <c r="V2533" i="7949" s="1"/>
  <c r="W2533" i="7949" s="1"/>
  <c r="H1685" i="7950"/>
  <c r="H2601" i="7950"/>
  <c r="H2611" i="7950" s="1"/>
  <c r="I1041" i="7949"/>
  <c r="I1075" i="7949" s="1"/>
  <c r="J1075" i="7949" s="1"/>
  <c r="K1075" i="7949" s="1"/>
  <c r="L1075" i="7949" s="1"/>
  <c r="M1075" i="7949" s="1"/>
  <c r="N1075" i="7949" s="1"/>
  <c r="O1075" i="7949" s="1"/>
  <c r="P1075" i="7949" s="1"/>
  <c r="Q1075" i="7949" s="1"/>
  <c r="R1075" i="7949" s="1"/>
  <c r="S1075" i="7949" s="1"/>
  <c r="T1075" i="7949" s="1"/>
  <c r="U1075" i="7949" s="1"/>
  <c r="V1075" i="7949" s="1"/>
  <c r="W1075" i="7949" s="1"/>
  <c r="I336" i="7950"/>
  <c r="I1308" i="7950"/>
  <c r="I874" i="7950"/>
  <c r="I908" i="7950" s="1"/>
  <c r="J2177" i="7949"/>
  <c r="J179" i="7949"/>
  <c r="J2661" i="7949"/>
  <c r="J2696" i="7949" s="1"/>
  <c r="K2696" i="7949" s="1"/>
  <c r="L2696" i="7949" s="1"/>
  <c r="M2696" i="7949" s="1"/>
  <c r="N2696" i="7949" s="1"/>
  <c r="O2696" i="7949" s="1"/>
  <c r="P2696" i="7949" s="1"/>
  <c r="Q2696" i="7949" s="1"/>
  <c r="R2696" i="7949" s="1"/>
  <c r="S2696" i="7949" s="1"/>
  <c r="T2696" i="7949" s="1"/>
  <c r="U2696" i="7949" s="1"/>
  <c r="V2696" i="7949" s="1"/>
  <c r="W2696" i="7949" s="1"/>
  <c r="I2280" i="7950"/>
  <c r="I442" i="7950"/>
  <c r="I476" i="7950" s="1"/>
  <c r="I1953" i="7950"/>
  <c r="I1964" i="7950" s="1"/>
  <c r="J232" i="7949"/>
  <c r="J1203" i="7949"/>
  <c r="J1238" i="7949" s="1"/>
  <c r="K1238" i="7949" s="1"/>
  <c r="L1238" i="7949" s="1"/>
  <c r="M1238" i="7949" s="1"/>
  <c r="N1238" i="7949" s="1"/>
  <c r="O1238" i="7949" s="1"/>
  <c r="P1238" i="7949" s="1"/>
  <c r="Q1238" i="7949" s="1"/>
  <c r="R1238" i="7949" s="1"/>
  <c r="S1238" i="7949" s="1"/>
  <c r="T1238" i="7949" s="1"/>
  <c r="U1238" i="7949" s="1"/>
  <c r="V1238" i="7949" s="1"/>
  <c r="W1238" i="7949" s="1"/>
  <c r="J17" i="7949"/>
  <c r="I2603" i="7950"/>
  <c r="I2224" i="7950"/>
  <c r="I2258" i="7950" s="1"/>
  <c r="I2601" i="7950"/>
  <c r="I2612" i="7950" s="1"/>
  <c r="J2230" i="7949"/>
  <c r="J501" i="7949"/>
  <c r="J536" i="7949" s="1"/>
  <c r="K536" i="7949" s="1"/>
  <c r="L536" i="7949" s="1"/>
  <c r="M536" i="7949" s="1"/>
  <c r="N536" i="7949" s="1"/>
  <c r="O536" i="7949" s="1"/>
  <c r="P536" i="7949" s="1"/>
  <c r="Q536" i="7949" s="1"/>
  <c r="R536" i="7949" s="1"/>
  <c r="S536" i="7949" s="1"/>
  <c r="T536" i="7949" s="1"/>
  <c r="U536" i="7949" s="1"/>
  <c r="V536" i="7949" s="1"/>
  <c r="W536" i="7949" s="1"/>
  <c r="J1959" i="7949"/>
  <c r="J1994" i="7949" s="1"/>
  <c r="K1994" i="7949" s="1"/>
  <c r="L1994" i="7949" s="1"/>
  <c r="M1994" i="7949" s="1"/>
  <c r="N1994" i="7949" s="1"/>
  <c r="O1994" i="7949" s="1"/>
  <c r="P1994" i="7949" s="1"/>
  <c r="Q1994" i="7949" s="1"/>
  <c r="R1994" i="7949" s="1"/>
  <c r="S1994" i="7949" s="1"/>
  <c r="T1994" i="7949" s="1"/>
  <c r="U1994" i="7949" s="1"/>
  <c r="V1994" i="7949" s="1"/>
  <c r="W1994" i="7949" s="1"/>
  <c r="I984" i="7950"/>
  <c r="I821" i="7950"/>
  <c r="I767" i="7950"/>
  <c r="I2548" i="7950"/>
  <c r="I2582" i="7950" s="1"/>
  <c r="I2007" i="7950"/>
  <c r="I2018" i="7950" s="1"/>
  <c r="I64" i="7950"/>
  <c r="I98" i="7950" s="1"/>
  <c r="J1961" i="7949"/>
  <c r="J1528" i="7949"/>
  <c r="J880" i="7949"/>
  <c r="J177" i="7949"/>
  <c r="J212" i="7949" s="1"/>
  <c r="K212" i="7949" s="1"/>
  <c r="L212" i="7949" s="1"/>
  <c r="M212" i="7949" s="1"/>
  <c r="N212" i="7949" s="1"/>
  <c r="O212" i="7949" s="1"/>
  <c r="P212" i="7949" s="1"/>
  <c r="Q212" i="7949" s="1"/>
  <c r="R212" i="7949" s="1"/>
  <c r="S212" i="7949" s="1"/>
  <c r="T212" i="7949" s="1"/>
  <c r="U212" i="7949" s="1"/>
  <c r="V212" i="7949" s="1"/>
  <c r="W212" i="7949" s="1"/>
  <c r="J1365" i="7949"/>
  <c r="J1400" i="7949" s="1"/>
  <c r="K1400" i="7949" s="1"/>
  <c r="L1400" i="7949" s="1"/>
  <c r="M1400" i="7949" s="1"/>
  <c r="N1400" i="7949" s="1"/>
  <c r="O1400" i="7949" s="1"/>
  <c r="P1400" i="7949" s="1"/>
  <c r="Q1400" i="7949" s="1"/>
  <c r="R1400" i="7949" s="1"/>
  <c r="S1400" i="7949" s="1"/>
  <c r="T1400" i="7949" s="1"/>
  <c r="U1400" i="7949" s="1"/>
  <c r="V1400" i="7949" s="1"/>
  <c r="W1400" i="7949" s="1"/>
  <c r="J1418" i="7949"/>
  <c r="I2442" i="7950"/>
  <c r="I2064" i="7950"/>
  <c r="I765" i="7950"/>
  <c r="I776" i="7950" s="1"/>
  <c r="J2285" i="7949"/>
  <c r="J1636" i="7949"/>
  <c r="J1040" i="7949"/>
  <c r="J1472" i="7949"/>
  <c r="I1469" i="7950"/>
  <c r="I2008" i="7950"/>
  <c r="I2042" i="7950" s="1"/>
  <c r="I1143" i="7950"/>
  <c r="I1154" i="7950" s="1"/>
  <c r="J1366" i="7949"/>
  <c r="J2445" i="7949"/>
  <c r="J2480" i="7949" s="1"/>
  <c r="K2480" i="7949" s="1"/>
  <c r="L2480" i="7949" s="1"/>
  <c r="M2480" i="7949" s="1"/>
  <c r="N2480" i="7949" s="1"/>
  <c r="O2480" i="7949" s="1"/>
  <c r="P2480" i="7949" s="1"/>
  <c r="Q2480" i="7949" s="1"/>
  <c r="R2480" i="7949" s="1"/>
  <c r="S2480" i="7949" s="1"/>
  <c r="T2480" i="7949" s="1"/>
  <c r="U2480" i="7949" s="1"/>
  <c r="V2480" i="7949" s="1"/>
  <c r="W2480" i="7949" s="1"/>
  <c r="J284" i="7949"/>
  <c r="J1038" i="7950"/>
  <c r="J1469" i="7950"/>
  <c r="J65" i="7950"/>
  <c r="J2548" i="7950"/>
  <c r="J2583" i="7950" s="1"/>
  <c r="J928" i="7950"/>
  <c r="J963" i="7950" s="1"/>
  <c r="J441" i="7950"/>
  <c r="J453" i="7950" s="1"/>
  <c r="K1421" i="7949"/>
  <c r="K503" i="7949"/>
  <c r="K664" i="7949"/>
  <c r="K1094" i="7949"/>
  <c r="K1959" i="7949"/>
  <c r="K1995" i="7949" s="1"/>
  <c r="L1995" i="7949" s="1"/>
  <c r="M1995" i="7949" s="1"/>
  <c r="N1995" i="7949" s="1"/>
  <c r="O1995" i="7949" s="1"/>
  <c r="P1995" i="7949" s="1"/>
  <c r="Q1995" i="7949" s="1"/>
  <c r="R1995" i="7949" s="1"/>
  <c r="S1995" i="7949" s="1"/>
  <c r="T1995" i="7949" s="1"/>
  <c r="U1995" i="7949" s="1"/>
  <c r="V1995" i="7949" s="1"/>
  <c r="W1995" i="7949" s="1"/>
  <c r="K338" i="7949"/>
  <c r="J1740" i="7950"/>
  <c r="J1793" i="7950"/>
  <c r="J1575" i="7950"/>
  <c r="J1587" i="7950" s="1"/>
  <c r="K2393" i="7949"/>
  <c r="K287" i="7949"/>
  <c r="K824" i="7949"/>
  <c r="J1308" i="7950"/>
  <c r="J658" i="7950"/>
  <c r="J693" i="7950" s="1"/>
  <c r="J819" i="7950"/>
  <c r="J831" i="7950" s="1"/>
  <c r="K2284" i="7949"/>
  <c r="K446" i="7949"/>
  <c r="K2012" i="7949"/>
  <c r="J1200" i="7950"/>
  <c r="J2333" i="7950"/>
  <c r="J389" i="7950"/>
  <c r="J2386" i="7950"/>
  <c r="J2421" i="7950" s="1"/>
  <c r="J874" i="7950"/>
  <c r="J909" i="7950" s="1"/>
  <c r="J1792" i="7950"/>
  <c r="J1827" i="7950" s="1"/>
  <c r="K2609" i="7949"/>
  <c r="K125" i="7949"/>
  <c r="K1313" i="7949"/>
  <c r="K1689" i="7949"/>
  <c r="K1725" i="7949" s="1"/>
  <c r="L1725" i="7949" s="1"/>
  <c r="M1725" i="7949" s="1"/>
  <c r="N1725" i="7949" s="1"/>
  <c r="O1725" i="7949" s="1"/>
  <c r="P1725" i="7949" s="1"/>
  <c r="Q1725" i="7949" s="1"/>
  <c r="R1725" i="7949" s="1"/>
  <c r="S1725" i="7949" s="1"/>
  <c r="T1725" i="7949" s="1"/>
  <c r="U1725" i="7949" s="1"/>
  <c r="V1725" i="7949" s="1"/>
  <c r="W1725" i="7949" s="1"/>
  <c r="K122" i="7949"/>
  <c r="K1581" i="7949"/>
  <c r="K1617" i="7949" s="1"/>
  <c r="L1617" i="7949" s="1"/>
  <c r="M1617" i="7949" s="1"/>
  <c r="N1617" i="7949" s="1"/>
  <c r="O1617" i="7949" s="1"/>
  <c r="P1617" i="7949" s="1"/>
  <c r="Q1617" i="7949" s="1"/>
  <c r="R1617" i="7949" s="1"/>
  <c r="S1617" i="7949" s="1"/>
  <c r="T1617" i="7949" s="1"/>
  <c r="U1617" i="7949" s="1"/>
  <c r="V1617" i="7949" s="1"/>
  <c r="W1617" i="7949" s="1"/>
  <c r="K16" i="7949"/>
  <c r="J282" i="7950"/>
  <c r="J2440" i="7950"/>
  <c r="J2475" i="7950" s="1"/>
  <c r="J1360" i="7950"/>
  <c r="J1395" i="7950" s="1"/>
  <c r="K1582" i="7949"/>
  <c r="K176" i="7949"/>
  <c r="K1148" i="7949"/>
  <c r="J390" i="7950"/>
  <c r="J605" i="7950"/>
  <c r="J226" i="7950"/>
  <c r="J261" i="7950" s="1"/>
  <c r="J1197" i="7950"/>
  <c r="J1209" i="7950" s="1"/>
  <c r="K665" i="7949"/>
  <c r="K2553" i="7949"/>
  <c r="K2589" i="7949" s="1"/>
  <c r="L2589" i="7949" s="1"/>
  <c r="M2589" i="7949" s="1"/>
  <c r="N2589" i="7949" s="1"/>
  <c r="O2589" i="7949" s="1"/>
  <c r="P2589" i="7949" s="1"/>
  <c r="Q2589" i="7949" s="1"/>
  <c r="R2589" i="7949" s="1"/>
  <c r="S2589" i="7949" s="1"/>
  <c r="T2589" i="7949" s="1"/>
  <c r="U2589" i="7949" s="1"/>
  <c r="V2589" i="7949" s="1"/>
  <c r="W2589" i="7949" s="1"/>
  <c r="K2445" i="7949"/>
  <c r="K2481" i="7949" s="1"/>
  <c r="L2481" i="7949" s="1"/>
  <c r="M2481" i="7949" s="1"/>
  <c r="N2481" i="7949" s="1"/>
  <c r="O2481" i="7949" s="1"/>
  <c r="P2481" i="7949" s="1"/>
  <c r="Q2481" i="7949" s="1"/>
  <c r="R2481" i="7949" s="1"/>
  <c r="S2481" i="7949" s="1"/>
  <c r="T2481" i="7949" s="1"/>
  <c r="U2481" i="7949" s="1"/>
  <c r="V2481" i="7949" s="1"/>
  <c r="W2481" i="7949" s="1"/>
  <c r="K1794" i="7950"/>
  <c r="K2225" i="7950"/>
  <c r="K1146" i="7950"/>
  <c r="K2602" i="7950"/>
  <c r="K2638" i="7950" s="1"/>
  <c r="K280" i="7950"/>
  <c r="K316" i="7950" s="1"/>
  <c r="K927" i="7950"/>
  <c r="K940" i="7950" s="1"/>
  <c r="L2663" i="7949"/>
  <c r="L2284" i="7949"/>
  <c r="L1582" i="7949"/>
  <c r="L1473" i="7949"/>
  <c r="L1510" i="7949" s="1"/>
  <c r="M1510" i="7949" s="1"/>
  <c r="N1510" i="7949" s="1"/>
  <c r="O1510" i="7949" s="1"/>
  <c r="P1510" i="7949" s="1"/>
  <c r="Q1510" i="7949" s="1"/>
  <c r="R1510" i="7949" s="1"/>
  <c r="S1510" i="7949" s="1"/>
  <c r="T1510" i="7949" s="1"/>
  <c r="U1510" i="7949" s="1"/>
  <c r="V1510" i="7949" s="1"/>
  <c r="W1510" i="7949" s="1"/>
  <c r="L663" i="7949"/>
  <c r="L700" i="7949" s="1"/>
  <c r="M700" i="7949" s="1"/>
  <c r="N700" i="7949" s="1"/>
  <c r="O700" i="7949" s="1"/>
  <c r="P700" i="7949" s="1"/>
  <c r="Q700" i="7949" s="1"/>
  <c r="R700" i="7949" s="1"/>
  <c r="S700" i="7949" s="1"/>
  <c r="T700" i="7949" s="1"/>
  <c r="U700" i="7949" s="1"/>
  <c r="V700" i="7949" s="1"/>
  <c r="W700" i="7949" s="1"/>
  <c r="L1634" i="7949"/>
  <c r="K2387" i="7950"/>
  <c r="K2656" i="7950"/>
  <c r="K2692" i="7950" s="1"/>
  <c r="K1035" i="7950"/>
  <c r="K1048" i="7950" s="1"/>
  <c r="L2122" i="7949"/>
  <c r="L1310" i="7949"/>
  <c r="L2012" i="7949"/>
  <c r="K1685" i="7950"/>
  <c r="K1306" i="7950"/>
  <c r="K1342" i="7950" s="1"/>
  <c r="K1198" i="7950"/>
  <c r="K1234" i="7950" s="1"/>
  <c r="L1637" i="7949"/>
  <c r="L2230" i="7949"/>
  <c r="L1959" i="7949"/>
  <c r="L1996" i="7949" s="1"/>
  <c r="M1996" i="7949" s="1"/>
  <c r="N1996" i="7949" s="1"/>
  <c r="O1996" i="7949" s="1"/>
  <c r="P1996" i="7949" s="1"/>
  <c r="Q1996" i="7949" s="1"/>
  <c r="R1996" i="7949" s="1"/>
  <c r="S1996" i="7949" s="1"/>
  <c r="T1996" i="7949" s="1"/>
  <c r="U1996" i="7949" s="1"/>
  <c r="V1996" i="7949" s="1"/>
  <c r="W1996" i="7949" s="1"/>
  <c r="K2280" i="7950"/>
  <c r="K1253" i="7950"/>
  <c r="K1577" i="7950"/>
  <c r="K982" i="7950"/>
  <c r="K1018" i="7950" s="1"/>
  <c r="L1018" i="7950" s="1"/>
  <c r="M1018" i="7950" s="1"/>
  <c r="N1018" i="7950" s="1"/>
  <c r="O1018" i="7950" s="1"/>
  <c r="P1018" i="7950" s="1"/>
  <c r="Q1018" i="7950" s="1"/>
  <c r="K1197" i="7950"/>
  <c r="K1210" i="7950" s="1"/>
  <c r="K63" i="7950"/>
  <c r="K76" i="7950" s="1"/>
  <c r="K9" i="7950"/>
  <c r="K22" i="7950" s="1"/>
  <c r="L1151" i="7949"/>
  <c r="L287" i="7949"/>
  <c r="L880" i="7949"/>
  <c r="L1742" i="7949"/>
  <c r="L285" i="7949"/>
  <c r="L322" i="7949" s="1"/>
  <c r="M322" i="7949" s="1"/>
  <c r="N322" i="7949" s="1"/>
  <c r="O322" i="7949" s="1"/>
  <c r="P322" i="7949" s="1"/>
  <c r="Q322" i="7949" s="1"/>
  <c r="R322" i="7949" s="1"/>
  <c r="S322" i="7949" s="1"/>
  <c r="T322" i="7949" s="1"/>
  <c r="U322" i="7949" s="1"/>
  <c r="V322" i="7949" s="1"/>
  <c r="W322" i="7949" s="1"/>
  <c r="L1364" i="7949"/>
  <c r="K282" i="7950"/>
  <c r="K820" i="7950"/>
  <c r="K856" i="7950" s="1"/>
  <c r="K2007" i="7950"/>
  <c r="K2020" i="7950" s="1"/>
  <c r="L503" i="7949"/>
  <c r="L393" i="7949"/>
  <c r="L430" i="7949" s="1"/>
  <c r="M430" i="7949" s="1"/>
  <c r="N430" i="7949" s="1"/>
  <c r="O430" i="7949" s="1"/>
  <c r="P430" i="7949" s="1"/>
  <c r="Q430" i="7949" s="1"/>
  <c r="R430" i="7949" s="1"/>
  <c r="S430" i="7949" s="1"/>
  <c r="T430" i="7949" s="1"/>
  <c r="U430" i="7949" s="1"/>
  <c r="V430" i="7949" s="1"/>
  <c r="W430" i="7949" s="1"/>
  <c r="L122" i="7949"/>
  <c r="K821" i="7950"/>
  <c r="K2332" i="7950"/>
  <c r="K2368" i="7950" s="1"/>
  <c r="K2439" i="7950"/>
  <c r="K2452" i="7950" s="1"/>
  <c r="L665" i="7949"/>
  <c r="L2608" i="7949"/>
  <c r="L1581" i="7949"/>
  <c r="L1618" i="7949" s="1"/>
  <c r="M1618" i="7949" s="1"/>
  <c r="N1618" i="7949" s="1"/>
  <c r="O1618" i="7949" s="1"/>
  <c r="P1618" i="7949" s="1"/>
  <c r="Q1618" i="7949" s="1"/>
  <c r="R1618" i="7949" s="1"/>
  <c r="S1618" i="7949" s="1"/>
  <c r="T1618" i="7949" s="1"/>
  <c r="U1618" i="7949" s="1"/>
  <c r="V1618" i="7949" s="1"/>
  <c r="W1618" i="7949" s="1"/>
  <c r="L2226" i="7950"/>
  <c r="L2442" i="7950"/>
  <c r="L929" i="7950"/>
  <c r="L982" i="7950"/>
  <c r="L1019" i="7950" s="1"/>
  <c r="M1019" i="7950" s="1"/>
  <c r="L657" i="7950"/>
  <c r="L671" i="7950" s="1"/>
  <c r="L549" i="7950"/>
  <c r="L563" i="7950" s="1"/>
  <c r="M230" i="7949"/>
  <c r="M1959" i="7949"/>
  <c r="M1997" i="7949" s="1"/>
  <c r="N1997" i="7949" s="1"/>
  <c r="O1997" i="7949" s="1"/>
  <c r="P1997" i="7949" s="1"/>
  <c r="Q1997" i="7949" s="1"/>
  <c r="R1997" i="7949" s="1"/>
  <c r="S1997" i="7949" s="1"/>
  <c r="T1997" i="7949" s="1"/>
  <c r="U1997" i="7949" s="1"/>
  <c r="V1997" i="7949" s="1"/>
  <c r="W1997" i="7949" s="1"/>
  <c r="M1636" i="7949"/>
  <c r="M1151" i="7949"/>
  <c r="M989" i="7949"/>
  <c r="M2120" i="7949"/>
  <c r="M17" i="7949"/>
  <c r="L174" i="7950"/>
  <c r="L1792" i="7950"/>
  <c r="L1829" i="7950" s="1"/>
  <c r="M1829" i="7950" s="1"/>
  <c r="N1829" i="7950" s="1"/>
  <c r="O1829" i="7950" s="1"/>
  <c r="P1829" i="7950" s="1"/>
  <c r="L1845" i="7950"/>
  <c r="L1859" i="7950" s="1"/>
  <c r="M2444" i="7949"/>
  <c r="M2553" i="7949"/>
  <c r="M2591" i="7949" s="1"/>
  <c r="N2591" i="7949" s="1"/>
  <c r="O2591" i="7949" s="1"/>
  <c r="P2591" i="7949" s="1"/>
  <c r="Q2591" i="7949" s="1"/>
  <c r="R2591" i="7949" s="1"/>
  <c r="S2591" i="7949" s="1"/>
  <c r="T2591" i="7949" s="1"/>
  <c r="U2591" i="7949" s="1"/>
  <c r="V2591" i="7949" s="1"/>
  <c r="W2591" i="7949" s="1"/>
  <c r="M341" i="7949"/>
  <c r="L227" i="7950"/>
  <c r="L550" i="7950"/>
  <c r="L587" i="7950" s="1"/>
  <c r="M587" i="7950" s="1"/>
  <c r="N587" i="7950" s="1"/>
  <c r="L1413" i="7950"/>
  <c r="L1427" i="7950" s="1"/>
  <c r="M2122" i="7949"/>
  <c r="M2445" i="7949"/>
  <c r="M2483" i="7949" s="1"/>
  <c r="N2483" i="7949" s="1"/>
  <c r="O2483" i="7949" s="1"/>
  <c r="P2483" i="7949" s="1"/>
  <c r="Q2483" i="7949" s="1"/>
  <c r="R2483" i="7949" s="1"/>
  <c r="S2483" i="7949" s="1"/>
  <c r="T2483" i="7949" s="1"/>
  <c r="U2483" i="7949" s="1"/>
  <c r="V2483" i="7949" s="1"/>
  <c r="W2483" i="7949" s="1"/>
  <c r="M717" i="7949"/>
  <c r="M755" i="7949" s="1"/>
  <c r="N755" i="7949" s="1"/>
  <c r="O755" i="7949" s="1"/>
  <c r="P755" i="7949" s="1"/>
  <c r="Q755" i="7949" s="1"/>
  <c r="R755" i="7949" s="1"/>
  <c r="S755" i="7949" s="1"/>
  <c r="T755" i="7949" s="1"/>
  <c r="U755" i="7949" s="1"/>
  <c r="V755" i="7949" s="1"/>
  <c r="W755" i="7949" s="1"/>
  <c r="L2172" i="7950"/>
  <c r="L659" i="7950"/>
  <c r="L2333" i="7950"/>
  <c r="L226" i="7950"/>
  <c r="L263" i="7950" s="1"/>
  <c r="M263" i="7950" s="1"/>
  <c r="L1683" i="7950"/>
  <c r="L1697" i="7950" s="1"/>
  <c r="L1251" i="7950"/>
  <c r="L1265" i="7950" s="1"/>
  <c r="M70" i="7949"/>
  <c r="M987" i="7949"/>
  <c r="M1025" i="7949" s="1"/>
  <c r="N1025" i="7949" s="1"/>
  <c r="O1025" i="7949" s="1"/>
  <c r="P1025" i="7949" s="1"/>
  <c r="Q1025" i="7949" s="1"/>
  <c r="R1025" i="7949" s="1"/>
  <c r="S1025" i="7949" s="1"/>
  <c r="T1025" i="7949" s="1"/>
  <c r="U1025" i="7949" s="1"/>
  <c r="V1025" i="7949" s="1"/>
  <c r="W1025" i="7949" s="1"/>
  <c r="M448" i="7949"/>
  <c r="M2012" i="7949"/>
  <c r="M2231" i="7949"/>
  <c r="M932" i="7949"/>
  <c r="M1796" i="7949"/>
  <c r="L2603" i="7950"/>
  <c r="L2332" i="7950"/>
  <c r="L2369" i="7950" s="1"/>
  <c r="M2369" i="7950" s="1"/>
  <c r="N2369" i="7950" s="1"/>
  <c r="L1035" i="7950"/>
  <c r="L1049" i="7950" s="1"/>
  <c r="M825" i="7949"/>
  <c r="M863" i="7949" s="1"/>
  <c r="N863" i="7949" s="1"/>
  <c r="O863" i="7949" s="1"/>
  <c r="P863" i="7949" s="1"/>
  <c r="Q863" i="7949" s="1"/>
  <c r="R863" i="7949" s="1"/>
  <c r="S863" i="7949" s="1"/>
  <c r="T863" i="7949" s="1"/>
  <c r="U863" i="7949" s="1"/>
  <c r="V863" i="7949" s="1"/>
  <c r="W863" i="7949" s="1"/>
  <c r="M986" i="7949"/>
  <c r="M1364" i="7949"/>
  <c r="L228" i="7950"/>
  <c r="L335" i="7950"/>
  <c r="L1737" i="7950"/>
  <c r="L1751" i="7950" s="1"/>
  <c r="M394" i="7949"/>
  <c r="M933" i="7949"/>
  <c r="M971" i="7949" s="1"/>
  <c r="N971" i="7949" s="1"/>
  <c r="O971" i="7949" s="1"/>
  <c r="P971" i="7949" s="1"/>
  <c r="Q971" i="7949" s="1"/>
  <c r="R971" i="7949" s="1"/>
  <c r="S971" i="7949" s="1"/>
  <c r="T971" i="7949" s="1"/>
  <c r="U971" i="7949" s="1"/>
  <c r="V971" i="7949" s="1"/>
  <c r="W971" i="7949" s="1"/>
  <c r="M2337" i="7949"/>
  <c r="M2375" i="7949" s="1"/>
  <c r="N2375" i="7949" s="1"/>
  <c r="O2375" i="7949" s="1"/>
  <c r="P2375" i="7949" s="1"/>
  <c r="Q2375" i="7949" s="1"/>
  <c r="R2375" i="7949" s="1"/>
  <c r="S2375" i="7949" s="1"/>
  <c r="T2375" i="7949" s="1"/>
  <c r="U2375" i="7949" s="1"/>
  <c r="V2375" i="7949" s="1"/>
  <c r="W2375" i="7949" s="1"/>
  <c r="N771" i="7949"/>
  <c r="N810" i="7949" s="1"/>
  <c r="O810" i="7949" s="1"/>
  <c r="P810" i="7949" s="1"/>
  <c r="Q810" i="7949" s="1"/>
  <c r="R810" i="7949" s="1"/>
  <c r="S810" i="7949" s="1"/>
  <c r="T810" i="7949" s="1"/>
  <c r="U810" i="7949" s="1"/>
  <c r="V810" i="7949" s="1"/>
  <c r="W810" i="7949" s="1"/>
  <c r="N1203" i="7949"/>
  <c r="N1242" i="7949" s="1"/>
  <c r="O1242" i="7949" s="1"/>
  <c r="P1242" i="7949" s="1"/>
  <c r="Q1242" i="7949" s="1"/>
  <c r="R1242" i="7949" s="1"/>
  <c r="S1242" i="7949" s="1"/>
  <c r="T1242" i="7949" s="1"/>
  <c r="U1242" i="7949" s="1"/>
  <c r="V1242" i="7949" s="1"/>
  <c r="W1242" i="7949" s="1"/>
  <c r="N285" i="7949"/>
  <c r="N324" i="7949" s="1"/>
  <c r="O324" i="7949" s="1"/>
  <c r="P324" i="7949" s="1"/>
  <c r="Q324" i="7949" s="1"/>
  <c r="R324" i="7949" s="1"/>
  <c r="S324" i="7949" s="1"/>
  <c r="T324" i="7949" s="1"/>
  <c r="U324" i="7949" s="1"/>
  <c r="V324" i="7949" s="1"/>
  <c r="W324" i="7949" s="1"/>
  <c r="N394" i="7949"/>
  <c r="N125" i="7949"/>
  <c r="N719" i="7949"/>
  <c r="M12" i="7950"/>
  <c r="M387" i="7950"/>
  <c r="M402" i="7950" s="1"/>
  <c r="M117" i="7950"/>
  <c r="M132" i="7950" s="1"/>
  <c r="M1900" i="7950"/>
  <c r="M1938" i="7950" s="1"/>
  <c r="M875" i="7950"/>
  <c r="M1793" i="7950"/>
  <c r="M2388" i="7950"/>
  <c r="N2444" i="7949"/>
  <c r="N2013" i="7949"/>
  <c r="N2052" i="7949" s="1"/>
  <c r="O2052" i="7949" s="1"/>
  <c r="P2052" i="7949" s="1"/>
  <c r="Q2052" i="7949" s="1"/>
  <c r="R2052" i="7949" s="1"/>
  <c r="S2052" i="7949" s="1"/>
  <c r="T2052" i="7949" s="1"/>
  <c r="U2052" i="7949" s="1"/>
  <c r="V2052" i="7949" s="1"/>
  <c r="W2052" i="7949" s="1"/>
  <c r="N500" i="7949"/>
  <c r="N2392" i="7949"/>
  <c r="N2176" i="7949"/>
  <c r="N1583" i="7949"/>
  <c r="M1845" i="7950"/>
  <c r="M1860" i="7950" s="1"/>
  <c r="M549" i="7950"/>
  <c r="M564" i="7950" s="1"/>
  <c r="M820" i="7950"/>
  <c r="M858" i="7950" s="1"/>
  <c r="M1307" i="7950"/>
  <c r="M551" i="7950"/>
  <c r="M552" i="7950"/>
  <c r="N2388" i="7950"/>
  <c r="N2496" i="7950"/>
  <c r="N2550" i="7950"/>
  <c r="N174" i="7950"/>
  <c r="N2549" i="7950"/>
  <c r="N767" i="7950"/>
  <c r="N2495" i="7950"/>
  <c r="N65" i="7950"/>
  <c r="N714" i="7950"/>
  <c r="N1469" i="7950"/>
  <c r="N2656" i="7950"/>
  <c r="N2695" i="7950" s="1"/>
  <c r="N928" i="7950"/>
  <c r="N967" i="7950" s="1"/>
  <c r="N1845" i="7950"/>
  <c r="N1861" i="7950" s="1"/>
  <c r="N603" i="7950"/>
  <c r="N619" i="7950" s="1"/>
  <c r="N281" i="7950"/>
  <c r="N982" i="7950"/>
  <c r="N1021" i="7950" s="1"/>
  <c r="N1899" i="7950"/>
  <c r="N1915" i="7950" s="1"/>
  <c r="N2386" i="7950"/>
  <c r="N2425" i="7950" s="1"/>
  <c r="N1575" i="7950"/>
  <c r="N1591" i="7950" s="1"/>
  <c r="N2008" i="7950"/>
  <c r="N2047" i="7950" s="1"/>
  <c r="N713" i="7950"/>
  <c r="N1523" i="7950"/>
  <c r="N2547" i="7950"/>
  <c r="N2563" i="7950" s="1"/>
  <c r="N657" i="7950"/>
  <c r="N673" i="7950" s="1"/>
  <c r="N1198" i="7950"/>
  <c r="N1237" i="7950" s="1"/>
  <c r="O2447" i="7949"/>
  <c r="O2555" i="7949"/>
  <c r="O1367" i="7949"/>
  <c r="O1151" i="7949"/>
  <c r="O287" i="7949"/>
  <c r="O341" i="7949"/>
  <c r="O611" i="7949"/>
  <c r="O1960" i="7949"/>
  <c r="O881" i="7949"/>
  <c r="O1798" i="7949"/>
  <c r="O718" i="7949"/>
  <c r="O2284" i="7949"/>
  <c r="O340" i="7949"/>
  <c r="O988" i="7949"/>
  <c r="O1636" i="7949"/>
  <c r="O665" i="7949"/>
  <c r="O664" i="7949"/>
  <c r="O1474" i="7949"/>
  <c r="O230" i="7949"/>
  <c r="O1851" i="7949"/>
  <c r="O1891" i="7949" s="1"/>
  <c r="P1891" i="7949" s="1"/>
  <c r="Q1891" i="7949" s="1"/>
  <c r="R1891" i="7949" s="1"/>
  <c r="S1891" i="7949" s="1"/>
  <c r="T1891" i="7949" s="1"/>
  <c r="U1891" i="7949" s="1"/>
  <c r="V1891" i="7949" s="1"/>
  <c r="W1891" i="7949" s="1"/>
  <c r="O1311" i="7949"/>
  <c r="O1351" i="7949" s="1"/>
  <c r="P1351" i="7949" s="1"/>
  <c r="Q1351" i="7949" s="1"/>
  <c r="R1351" i="7949" s="1"/>
  <c r="S1351" i="7949" s="1"/>
  <c r="T1351" i="7949" s="1"/>
  <c r="U1351" i="7949" s="1"/>
  <c r="V1351" i="7949" s="1"/>
  <c r="W1351" i="7949" s="1"/>
  <c r="O2013" i="7949"/>
  <c r="O2053" i="7949" s="1"/>
  <c r="P2053" i="7949" s="1"/>
  <c r="Q2053" i="7949" s="1"/>
  <c r="R2053" i="7949" s="1"/>
  <c r="S2053" i="7949" s="1"/>
  <c r="T2053" i="7949" s="1"/>
  <c r="U2053" i="7949" s="1"/>
  <c r="V2053" i="7949" s="1"/>
  <c r="W2053" i="7949" s="1"/>
  <c r="O2012" i="7949"/>
  <c r="O1419" i="7949"/>
  <c r="O1459" i="7949" s="1"/>
  <c r="P1459" i="7949" s="1"/>
  <c r="Q1459" i="7949" s="1"/>
  <c r="R1459" i="7949" s="1"/>
  <c r="S1459" i="7949" s="1"/>
  <c r="T1459" i="7949" s="1"/>
  <c r="U1459" i="7949" s="1"/>
  <c r="V1459" i="7949" s="1"/>
  <c r="W1459" i="7949" s="1"/>
  <c r="O662" i="7949"/>
  <c r="O986" i="7949"/>
  <c r="O123" i="7949"/>
  <c r="O163" i="7949" s="1"/>
  <c r="P163" i="7949" s="1"/>
  <c r="Q163" i="7949" s="1"/>
  <c r="R163" i="7949" s="1"/>
  <c r="S163" i="7949" s="1"/>
  <c r="T163" i="7949" s="1"/>
  <c r="U163" i="7949" s="1"/>
  <c r="V163" i="7949" s="1"/>
  <c r="W163" i="7949" s="1"/>
  <c r="O716" i="7949"/>
  <c r="O555" i="7949"/>
  <c r="O595" i="7949" s="1"/>
  <c r="P595" i="7949" s="1"/>
  <c r="Q595" i="7949" s="1"/>
  <c r="R595" i="7949" s="1"/>
  <c r="S595" i="7949" s="1"/>
  <c r="T595" i="7949" s="1"/>
  <c r="U595" i="7949" s="1"/>
  <c r="V595" i="7949" s="1"/>
  <c r="W595" i="7949" s="1"/>
  <c r="O447" i="7949"/>
  <c r="O487" i="7949" s="1"/>
  <c r="P487" i="7949" s="1"/>
  <c r="Q487" i="7949" s="1"/>
  <c r="R487" i="7949" s="1"/>
  <c r="S487" i="7949" s="1"/>
  <c r="T487" i="7949" s="1"/>
  <c r="U487" i="7949" s="1"/>
  <c r="V487" i="7949" s="1"/>
  <c r="W487" i="7949" s="1"/>
  <c r="O1526" i="7949"/>
  <c r="O2660" i="7949"/>
  <c r="O2282" i="7949"/>
  <c r="O2067" i="7949"/>
  <c r="O2107" i="7949" s="1"/>
  <c r="P2107" i="7949" s="1"/>
  <c r="Q2107" i="7949" s="1"/>
  <c r="R2107" i="7949" s="1"/>
  <c r="S2107" i="7949" s="1"/>
  <c r="T2107" i="7949" s="1"/>
  <c r="U2107" i="7949" s="1"/>
  <c r="V2107" i="7949" s="1"/>
  <c r="W2107" i="7949" s="1"/>
  <c r="O933" i="7949"/>
  <c r="O973" i="7949" s="1"/>
  <c r="P973" i="7949" s="1"/>
  <c r="Q973" i="7949" s="1"/>
  <c r="R973" i="7949" s="1"/>
  <c r="S973" i="7949" s="1"/>
  <c r="T973" i="7949" s="1"/>
  <c r="U973" i="7949" s="1"/>
  <c r="V973" i="7949" s="1"/>
  <c r="W973" i="7949" s="1"/>
  <c r="O2661" i="7949"/>
  <c r="O2701" i="7949" s="1"/>
  <c r="P2701" i="7949" s="1"/>
  <c r="Q2701" i="7949" s="1"/>
  <c r="R2701" i="7949" s="1"/>
  <c r="S2701" i="7949" s="1"/>
  <c r="T2701" i="7949" s="1"/>
  <c r="U2701" i="7949" s="1"/>
  <c r="V2701" i="7949" s="1"/>
  <c r="W2701" i="7949" s="1"/>
  <c r="O285" i="7949"/>
  <c r="O325" i="7949" s="1"/>
  <c r="P325" i="7949" s="1"/>
  <c r="Q325" i="7949" s="1"/>
  <c r="R325" i="7949" s="1"/>
  <c r="S325" i="7949" s="1"/>
  <c r="T325" i="7949" s="1"/>
  <c r="U325" i="7949" s="1"/>
  <c r="V325" i="7949" s="1"/>
  <c r="W325" i="7949" s="1"/>
  <c r="O284" i="7949"/>
  <c r="O1904" i="7949"/>
  <c r="O14" i="7949"/>
  <c r="F9" i="7949"/>
  <c r="D2552" i="7949"/>
  <c r="E1259" i="7949"/>
  <c r="E1419" i="7949"/>
  <c r="E662" i="7949"/>
  <c r="E2068" i="7949"/>
  <c r="E2015" i="7949"/>
  <c r="E339" i="7949"/>
  <c r="E70" i="7949"/>
  <c r="E557" i="7949"/>
  <c r="E2441" i="7950"/>
  <c r="F1799" i="7949"/>
  <c r="F500" i="7949"/>
  <c r="E874" i="7950"/>
  <c r="F2552" i="7949"/>
  <c r="E1631" i="7950"/>
  <c r="E2385" i="7950"/>
  <c r="F2392" i="7949"/>
  <c r="E551" i="7950"/>
  <c r="F664" i="7949"/>
  <c r="E549" i="7950"/>
  <c r="F2550" i="7950"/>
  <c r="G2175" i="7949"/>
  <c r="G1580" i="7949"/>
  <c r="G881" i="7949"/>
  <c r="F1361" i="7950"/>
  <c r="F65" i="7950"/>
  <c r="G341" i="7949"/>
  <c r="G1744" i="7949"/>
  <c r="F2439" i="7950"/>
  <c r="F444" i="7950"/>
  <c r="F280" i="7950"/>
  <c r="F819" i="7950"/>
  <c r="G1253" i="7950"/>
  <c r="G11" i="7950"/>
  <c r="H2391" i="7949"/>
  <c r="G1684" i="7950"/>
  <c r="H1364" i="7949"/>
  <c r="H1475" i="7949"/>
  <c r="G2657" i="7950"/>
  <c r="G1629" i="7950"/>
  <c r="G1638" i="7950" s="1"/>
  <c r="H610" i="7949"/>
  <c r="H503" i="7949"/>
  <c r="H1958" i="7949"/>
  <c r="G1305" i="7950"/>
  <c r="G1314" i="7950" s="1"/>
  <c r="H611" i="7949"/>
  <c r="H2444" i="7949"/>
  <c r="G335" i="7950"/>
  <c r="H2015" i="7949"/>
  <c r="H1365" i="7949"/>
  <c r="H1036" i="7950"/>
  <c r="H1954" i="7950"/>
  <c r="H1143" i="7950"/>
  <c r="H1153" i="7950" s="1"/>
  <c r="I665" i="7949"/>
  <c r="I2338" i="7949"/>
  <c r="I987" i="7949"/>
  <c r="I1021" i="7949" s="1"/>
  <c r="J1021" i="7949" s="1"/>
  <c r="K1021" i="7949" s="1"/>
  <c r="L1021" i="7949" s="1"/>
  <c r="M1021" i="7949" s="1"/>
  <c r="N1021" i="7949" s="1"/>
  <c r="O1021" i="7949" s="1"/>
  <c r="P1021" i="7949" s="1"/>
  <c r="Q1021" i="7949" s="1"/>
  <c r="R1021" i="7949" s="1"/>
  <c r="S1021" i="7949" s="1"/>
  <c r="T1021" i="7949" s="1"/>
  <c r="U1021" i="7949" s="1"/>
  <c r="V1021" i="7949" s="1"/>
  <c r="W1021" i="7949" s="1"/>
  <c r="H1900" i="7950"/>
  <c r="H2493" i="7950"/>
  <c r="H2503" i="7950" s="1"/>
  <c r="I2339" i="7949"/>
  <c r="H1523" i="7950"/>
  <c r="H1197" i="7950"/>
  <c r="H1207" i="7950" s="1"/>
  <c r="I1636" i="7949"/>
  <c r="I11" i="7949"/>
  <c r="H1198" i="7950"/>
  <c r="H1521" i="7950"/>
  <c r="H1531" i="7950" s="1"/>
  <c r="H927" i="7950"/>
  <c r="H937" i="7950" s="1"/>
  <c r="I1312" i="7949"/>
  <c r="I770" i="7949"/>
  <c r="I2336" i="7949"/>
  <c r="H2063" i="7950"/>
  <c r="I1367" i="7949"/>
  <c r="I1148" i="7949"/>
  <c r="H443" i="7950"/>
  <c r="I1961" i="7949"/>
  <c r="I660" i="7950"/>
  <c r="I1901" i="7950"/>
  <c r="I1683" i="7950"/>
  <c r="I1694" i="7950" s="1"/>
  <c r="J1205" i="7949"/>
  <c r="J1852" i="7949"/>
  <c r="J554" i="7949"/>
  <c r="I768" i="7950"/>
  <c r="I1036" i="7950"/>
  <c r="I1070" i="7950" s="1"/>
  <c r="J2231" i="7949"/>
  <c r="J772" i="7949"/>
  <c r="J1797" i="7949"/>
  <c r="J1832" i="7949" s="1"/>
  <c r="K1832" i="7949" s="1"/>
  <c r="L1832" i="7949" s="1"/>
  <c r="M1832" i="7949" s="1"/>
  <c r="N1832" i="7949" s="1"/>
  <c r="O1832" i="7949" s="1"/>
  <c r="P1832" i="7949" s="1"/>
  <c r="Q1832" i="7949" s="1"/>
  <c r="R1832" i="7949" s="1"/>
  <c r="S1832" i="7949" s="1"/>
  <c r="T1832" i="7949" s="1"/>
  <c r="U1832" i="7949" s="1"/>
  <c r="V1832" i="7949" s="1"/>
  <c r="W1832" i="7949" s="1"/>
  <c r="I1956" i="7950"/>
  <c r="I498" i="7950"/>
  <c r="I549" i="7950"/>
  <c r="I560" i="7950" s="1"/>
  <c r="J502" i="7949"/>
  <c r="J1148" i="7949"/>
  <c r="J2120" i="7949"/>
  <c r="I120" i="7950"/>
  <c r="I606" i="7950"/>
  <c r="I1200" i="7950"/>
  <c r="I2602" i="7950"/>
  <c r="I2636" i="7950" s="1"/>
  <c r="I2440" i="7950"/>
  <c r="I2474" i="7950" s="1"/>
  <c r="I603" i="7950"/>
  <c r="I614" i="7950" s="1"/>
  <c r="J1745" i="7949"/>
  <c r="J233" i="7949"/>
  <c r="J2284" i="7949"/>
  <c r="J2175" i="7949"/>
  <c r="J2210" i="7949" s="1"/>
  <c r="K2210" i="7949" s="1"/>
  <c r="L2210" i="7949" s="1"/>
  <c r="M2210" i="7949" s="1"/>
  <c r="N2210" i="7949" s="1"/>
  <c r="O2210" i="7949" s="1"/>
  <c r="P2210" i="7949" s="1"/>
  <c r="Q2210" i="7949" s="1"/>
  <c r="R2210" i="7949" s="1"/>
  <c r="S2210" i="7949" s="1"/>
  <c r="T2210" i="7949" s="1"/>
  <c r="U2210" i="7949" s="1"/>
  <c r="V2210" i="7949" s="1"/>
  <c r="W2210" i="7949" s="1"/>
  <c r="J176" i="7949"/>
  <c r="J1256" i="7949"/>
  <c r="I2496" i="7950"/>
  <c r="I1470" i="7950"/>
  <c r="I982" i="7950"/>
  <c r="I1016" i="7950" s="1"/>
  <c r="J2339" i="7949"/>
  <c r="J1906" i="7949"/>
  <c r="J1527" i="7949"/>
  <c r="J1562" i="7949" s="1"/>
  <c r="K1562" i="7949" s="1"/>
  <c r="L1562" i="7949" s="1"/>
  <c r="M1562" i="7949" s="1"/>
  <c r="N1562" i="7949" s="1"/>
  <c r="O1562" i="7949" s="1"/>
  <c r="P1562" i="7949" s="1"/>
  <c r="Q1562" i="7949" s="1"/>
  <c r="R1562" i="7949" s="1"/>
  <c r="S1562" i="7949" s="1"/>
  <c r="T1562" i="7949" s="1"/>
  <c r="U1562" i="7949" s="1"/>
  <c r="V1562" i="7949" s="1"/>
  <c r="W1562" i="7949" s="1"/>
  <c r="I1902" i="7950"/>
  <c r="I1523" i="7950"/>
  <c r="I1359" i="7950"/>
  <c r="I1370" i="7950" s="1"/>
  <c r="I11" i="7950"/>
  <c r="J611" i="7949"/>
  <c r="J1634" i="7949"/>
  <c r="J1094" i="7949"/>
  <c r="J174" i="7950"/>
  <c r="J227" i="7950"/>
  <c r="J714" i="7950"/>
  <c r="J442" i="7950"/>
  <c r="J477" i="7950" s="1"/>
  <c r="J1521" i="7950"/>
  <c r="J1533" i="7950" s="1"/>
  <c r="J171" i="7950"/>
  <c r="J183" i="7950" s="1"/>
  <c r="K1259" i="7949"/>
  <c r="K2068" i="7949"/>
  <c r="K2338" i="7949"/>
  <c r="K2228" i="7949"/>
  <c r="K1580" i="7949"/>
  <c r="K1526" i="7949"/>
  <c r="J606" i="7950"/>
  <c r="J1253" i="7950"/>
  <c r="J549" i="7950"/>
  <c r="J561" i="7950" s="1"/>
  <c r="K1691" i="7949"/>
  <c r="K178" i="7949"/>
  <c r="K2229" i="7949"/>
  <c r="K2265" i="7949" s="1"/>
  <c r="L2265" i="7949" s="1"/>
  <c r="M2265" i="7949" s="1"/>
  <c r="N2265" i="7949" s="1"/>
  <c r="O2265" i="7949" s="1"/>
  <c r="P2265" i="7949" s="1"/>
  <c r="Q2265" i="7949" s="1"/>
  <c r="R2265" i="7949" s="1"/>
  <c r="S2265" i="7949" s="1"/>
  <c r="T2265" i="7949" s="1"/>
  <c r="U2265" i="7949" s="1"/>
  <c r="V2265" i="7949" s="1"/>
  <c r="W2265" i="7949" s="1"/>
  <c r="J1523" i="7950"/>
  <c r="J1467" i="7950"/>
  <c r="J1479" i="7950" s="1"/>
  <c r="J1143" i="7950"/>
  <c r="J1155" i="7950" s="1"/>
  <c r="K556" i="7949"/>
  <c r="K1634" i="7949"/>
  <c r="K1419" i="7949"/>
  <c r="K1455" i="7949" s="1"/>
  <c r="L1455" i="7949" s="1"/>
  <c r="M1455" i="7949" s="1"/>
  <c r="N1455" i="7949" s="1"/>
  <c r="O1455" i="7949" s="1"/>
  <c r="P1455" i="7949" s="1"/>
  <c r="Q1455" i="7949" s="1"/>
  <c r="R1455" i="7949" s="1"/>
  <c r="S1455" i="7949" s="1"/>
  <c r="T1455" i="7949" s="1"/>
  <c r="U1455" i="7949" s="1"/>
  <c r="V1455" i="7949" s="1"/>
  <c r="W1455" i="7949" s="1"/>
  <c r="J822" i="7950"/>
  <c r="J1091" i="7950"/>
  <c r="J1470" i="7950"/>
  <c r="J388" i="7950"/>
  <c r="J423" i="7950" s="1"/>
  <c r="J2062" i="7950"/>
  <c r="J2097" i="7950" s="1"/>
  <c r="J2277" i="7950"/>
  <c r="J2289" i="7950" s="1"/>
  <c r="K1745" i="7949"/>
  <c r="K1798" i="7949"/>
  <c r="K1744" i="7949"/>
  <c r="K285" i="7949"/>
  <c r="K321" i="7949" s="1"/>
  <c r="L321" i="7949" s="1"/>
  <c r="M321" i="7949" s="1"/>
  <c r="N321" i="7949" s="1"/>
  <c r="O321" i="7949" s="1"/>
  <c r="P321" i="7949" s="1"/>
  <c r="Q321" i="7949" s="1"/>
  <c r="R321" i="7949" s="1"/>
  <c r="S321" i="7949" s="1"/>
  <c r="T321" i="7949" s="1"/>
  <c r="U321" i="7949" s="1"/>
  <c r="V321" i="7949" s="1"/>
  <c r="W321" i="7949" s="1"/>
  <c r="K2336" i="7949"/>
  <c r="K2606" i="7949"/>
  <c r="J2172" i="7950"/>
  <c r="J498" i="7950"/>
  <c r="J1144" i="7950"/>
  <c r="J1179" i="7950" s="1"/>
  <c r="J2655" i="7950"/>
  <c r="J2667" i="7950" s="1"/>
  <c r="K1636" i="7949"/>
  <c r="K2066" i="7949"/>
  <c r="J1254" i="7950"/>
  <c r="J120" i="7950"/>
  <c r="J1684" i="7950"/>
  <c r="J1719" i="7950" s="1"/>
  <c r="J2439" i="7950"/>
  <c r="J2451" i="7950" s="1"/>
  <c r="K935" i="7949"/>
  <c r="K1364" i="7949"/>
  <c r="K2337" i="7949"/>
  <c r="K2373" i="7949" s="1"/>
  <c r="L2373" i="7949" s="1"/>
  <c r="M2373" i="7949" s="1"/>
  <c r="N2373" i="7949" s="1"/>
  <c r="O2373" i="7949" s="1"/>
  <c r="P2373" i="7949" s="1"/>
  <c r="Q2373" i="7949" s="1"/>
  <c r="R2373" i="7949" s="1"/>
  <c r="S2373" i="7949" s="1"/>
  <c r="T2373" i="7949" s="1"/>
  <c r="U2373" i="7949" s="1"/>
  <c r="V2373" i="7949" s="1"/>
  <c r="W2373" i="7949" s="1"/>
  <c r="K876" i="7950"/>
  <c r="K983" i="7950"/>
  <c r="K443" i="7950"/>
  <c r="K1036" i="7950"/>
  <c r="K1072" i="7950" s="1"/>
  <c r="K2115" i="7950"/>
  <c r="K2128" i="7950" s="1"/>
  <c r="K2277" i="7950"/>
  <c r="K2290" i="7950" s="1"/>
  <c r="L1799" i="7949"/>
  <c r="L1421" i="7949"/>
  <c r="L556" i="7949"/>
  <c r="L933" i="7949"/>
  <c r="L970" i="7949" s="1"/>
  <c r="M970" i="7949" s="1"/>
  <c r="N970" i="7949" s="1"/>
  <c r="O970" i="7949" s="1"/>
  <c r="P970" i="7949" s="1"/>
  <c r="Q970" i="7949" s="1"/>
  <c r="R970" i="7949" s="1"/>
  <c r="S970" i="7949" s="1"/>
  <c r="T970" i="7949" s="1"/>
  <c r="U970" i="7949" s="1"/>
  <c r="V970" i="7949" s="1"/>
  <c r="W970" i="7949" s="1"/>
  <c r="L1526" i="7949"/>
  <c r="L284" i="7949"/>
  <c r="K2064" i="7950"/>
  <c r="K1793" i="7950"/>
  <c r="K225" i="7950"/>
  <c r="K238" i="7950" s="1"/>
  <c r="K171" i="7950"/>
  <c r="K184" i="7950" s="1"/>
  <c r="L394" i="7949"/>
  <c r="L1904" i="7949"/>
  <c r="L1743" i="7949"/>
  <c r="L1780" i="7949" s="1"/>
  <c r="M1780" i="7949" s="1"/>
  <c r="N1780" i="7949" s="1"/>
  <c r="O1780" i="7949" s="1"/>
  <c r="P1780" i="7949" s="1"/>
  <c r="Q1780" i="7949" s="1"/>
  <c r="R1780" i="7949" s="1"/>
  <c r="S1780" i="7949" s="1"/>
  <c r="T1780" i="7949" s="1"/>
  <c r="U1780" i="7949" s="1"/>
  <c r="V1780" i="7949" s="1"/>
  <c r="W1780" i="7949" s="1"/>
  <c r="K930" i="7950"/>
  <c r="K874" i="7950"/>
  <c r="K910" i="7950" s="1"/>
  <c r="K711" i="7950"/>
  <c r="K724" i="7950" s="1"/>
  <c r="L69" i="7949"/>
  <c r="L106" i="7949" s="1"/>
  <c r="M106" i="7949" s="1"/>
  <c r="N106" i="7949" s="1"/>
  <c r="O106" i="7949" s="1"/>
  <c r="P106" i="7949" s="1"/>
  <c r="Q106" i="7949" s="1"/>
  <c r="R106" i="7949" s="1"/>
  <c r="S106" i="7949" s="1"/>
  <c r="T106" i="7949" s="1"/>
  <c r="U106" i="7949" s="1"/>
  <c r="V106" i="7949" s="1"/>
  <c r="W106" i="7949" s="1"/>
  <c r="L1094" i="7949"/>
  <c r="K389" i="7950"/>
  <c r="K227" i="7950"/>
  <c r="K657" i="7950"/>
  <c r="K670" i="7950" s="1"/>
  <c r="K2008" i="7950"/>
  <c r="K2044" i="7950" s="1"/>
  <c r="L233" i="7949"/>
  <c r="L988" i="7949"/>
  <c r="L1418" i="7949"/>
  <c r="L824" i="7949"/>
  <c r="K1522" i="7950"/>
  <c r="K1558" i="7950" s="1"/>
  <c r="L773" i="7949"/>
  <c r="L825" i="7949"/>
  <c r="L862" i="7949" s="1"/>
  <c r="M862" i="7949" s="1"/>
  <c r="N862" i="7949" s="1"/>
  <c r="O862" i="7949" s="1"/>
  <c r="P862" i="7949" s="1"/>
  <c r="Q862" i="7949" s="1"/>
  <c r="R862" i="7949" s="1"/>
  <c r="S862" i="7949" s="1"/>
  <c r="T862" i="7949" s="1"/>
  <c r="U862" i="7949" s="1"/>
  <c r="V862" i="7949" s="1"/>
  <c r="W862" i="7949" s="1"/>
  <c r="K120" i="7950"/>
  <c r="K2547" i="7950"/>
  <c r="K2560" i="7950" s="1"/>
  <c r="L2554" i="7949"/>
  <c r="L986" i="7949"/>
  <c r="L2009" i="7950"/>
  <c r="L1686" i="7950"/>
  <c r="L2224" i="7950"/>
  <c r="L2261" i="7950" s="1"/>
  <c r="M2261" i="7950" s="1"/>
  <c r="N2261" i="7950" s="1"/>
  <c r="M2662" i="7949"/>
  <c r="M2229" i="7949"/>
  <c r="M2267" i="7949" s="1"/>
  <c r="N2267" i="7949" s="1"/>
  <c r="O2267" i="7949" s="1"/>
  <c r="P2267" i="7949" s="1"/>
  <c r="Q2267" i="7949" s="1"/>
  <c r="R2267" i="7949" s="1"/>
  <c r="S2267" i="7949" s="1"/>
  <c r="T2267" i="7949" s="1"/>
  <c r="U2267" i="7949" s="1"/>
  <c r="V2267" i="7949" s="1"/>
  <c r="W2267" i="7949" s="1"/>
  <c r="M1745" i="7949"/>
  <c r="M2499" i="7949"/>
  <c r="M2537" i="7949" s="1"/>
  <c r="N2537" i="7949" s="1"/>
  <c r="O2537" i="7949" s="1"/>
  <c r="P2537" i="7949" s="1"/>
  <c r="Q2537" i="7949" s="1"/>
  <c r="R2537" i="7949" s="1"/>
  <c r="S2537" i="7949" s="1"/>
  <c r="T2537" i="7949" s="1"/>
  <c r="U2537" i="7949" s="1"/>
  <c r="V2537" i="7949" s="1"/>
  <c r="W2537" i="7949" s="1"/>
  <c r="L1902" i="7950"/>
  <c r="L2440" i="7950"/>
  <c r="L2477" i="7950" s="1"/>
  <c r="M2477" i="7950" s="1"/>
  <c r="M718" i="7949"/>
  <c r="M1688" i="7949"/>
  <c r="L1145" i="7950"/>
  <c r="L2116" i="7950"/>
  <c r="L2153" i="7950" s="1"/>
  <c r="M2153" i="7950" s="1"/>
  <c r="N2153" i="7950" s="1"/>
  <c r="O2153" i="7950" s="1"/>
  <c r="P2153" i="7950" s="1"/>
  <c r="M1527" i="7949"/>
  <c r="M1565" i="7949" s="1"/>
  <c r="N1565" i="7949" s="1"/>
  <c r="O1565" i="7949" s="1"/>
  <c r="P1565" i="7949" s="1"/>
  <c r="Q1565" i="7949" s="1"/>
  <c r="R1565" i="7949" s="1"/>
  <c r="S1565" i="7949" s="1"/>
  <c r="T1565" i="7949" s="1"/>
  <c r="U1565" i="7949" s="1"/>
  <c r="V1565" i="7949" s="1"/>
  <c r="W1565" i="7949" s="1"/>
  <c r="M824" i="7949"/>
  <c r="L1848" i="7950"/>
  <c r="L1416" i="7950"/>
  <c r="L1900" i="7950"/>
  <c r="L1937" i="7950" s="1"/>
  <c r="L603" i="7950"/>
  <c r="L617" i="7950" s="1"/>
  <c r="M2283" i="7949"/>
  <c r="M2321" i="7949" s="1"/>
  <c r="N2321" i="7949" s="1"/>
  <c r="O2321" i="7949" s="1"/>
  <c r="P2321" i="7949" s="1"/>
  <c r="Q2321" i="7949" s="1"/>
  <c r="R2321" i="7949" s="1"/>
  <c r="S2321" i="7949" s="1"/>
  <c r="T2321" i="7949" s="1"/>
  <c r="U2321" i="7949" s="1"/>
  <c r="V2321" i="7949" s="1"/>
  <c r="W2321" i="7949" s="1"/>
  <c r="M122" i="7949"/>
  <c r="M503" i="7949"/>
  <c r="M15" i="7949"/>
  <c r="M53" i="7949" s="1"/>
  <c r="N53" i="7949" s="1"/>
  <c r="O53" i="7949" s="1"/>
  <c r="P53" i="7949" s="1"/>
  <c r="Q53" i="7949" s="1"/>
  <c r="R53" i="7949" s="1"/>
  <c r="S53" i="7949" s="1"/>
  <c r="T53" i="7949" s="1"/>
  <c r="U53" i="7949" s="1"/>
  <c r="V53" i="7949" s="1"/>
  <c r="W53" i="7949" s="1"/>
  <c r="L2602" i="7950"/>
  <c r="L2639" i="7950" s="1"/>
  <c r="M2639" i="7950" s="1"/>
  <c r="N2639" i="7950" s="1"/>
  <c r="O2639" i="7950" s="1"/>
  <c r="P2639" i="7950" s="1"/>
  <c r="L873" i="7950"/>
  <c r="L887" i="7950" s="1"/>
  <c r="M1205" i="7949"/>
  <c r="L1091" i="7950"/>
  <c r="L388" i="7950"/>
  <c r="L425" i="7950" s="1"/>
  <c r="M425" i="7950" s="1"/>
  <c r="N425" i="7950" s="1"/>
  <c r="O425" i="7950" s="1"/>
  <c r="P425" i="7950" s="1"/>
  <c r="Q425" i="7950" s="1"/>
  <c r="M2228" i="7949"/>
  <c r="N1040" i="7949"/>
  <c r="N286" i="7949"/>
  <c r="N232" i="7949"/>
  <c r="M495" i="7950"/>
  <c r="M510" i="7950" s="1"/>
  <c r="M2656" i="7950"/>
  <c r="M2694" i="7950" s="1"/>
  <c r="M1199" i="7950"/>
  <c r="M2657" i="7950"/>
  <c r="N1743" i="7949"/>
  <c r="N1782" i="7949" s="1"/>
  <c r="O1782" i="7949" s="1"/>
  <c r="P1782" i="7949" s="1"/>
  <c r="Q1782" i="7949" s="1"/>
  <c r="R1782" i="7949" s="1"/>
  <c r="S1782" i="7949" s="1"/>
  <c r="T1782" i="7949" s="1"/>
  <c r="U1782" i="7949" s="1"/>
  <c r="V1782" i="7949" s="1"/>
  <c r="W1782" i="7949" s="1"/>
  <c r="N933" i="7949"/>
  <c r="N972" i="7949" s="1"/>
  <c r="O972" i="7949" s="1"/>
  <c r="P972" i="7949" s="1"/>
  <c r="Q972" i="7949" s="1"/>
  <c r="R972" i="7949" s="1"/>
  <c r="S972" i="7949" s="1"/>
  <c r="T972" i="7949" s="1"/>
  <c r="U972" i="7949" s="1"/>
  <c r="V972" i="7949" s="1"/>
  <c r="W972" i="7949" s="1"/>
  <c r="N1691" i="7949"/>
  <c r="M1144" i="7950"/>
  <c r="M1182" i="7950" s="1"/>
  <c r="M334" i="7950"/>
  <c r="M372" i="7950" s="1"/>
  <c r="M119" i="7950"/>
  <c r="M1632" i="7950"/>
  <c r="N2172" i="7950"/>
  <c r="N2118" i="7950"/>
  <c r="N2279" i="7950"/>
  <c r="N551" i="7950"/>
  <c r="N1578" i="7950"/>
  <c r="N930" i="7950"/>
  <c r="N874" i="7950"/>
  <c r="N913" i="7950" s="1"/>
  <c r="N1791" i="7950"/>
  <c r="N1807" i="7950" s="1"/>
  <c r="N2332" i="7950"/>
  <c r="N2371" i="7950" s="1"/>
  <c r="N1521" i="7950"/>
  <c r="N1537" i="7950" s="1"/>
  <c r="N1576" i="7950"/>
  <c r="N1615" i="7950" s="1"/>
  <c r="N1090" i="7950"/>
  <c r="N1129" i="7950" s="1"/>
  <c r="N2062" i="7950"/>
  <c r="N2101" i="7950" s="1"/>
  <c r="N1737" i="7950"/>
  <c r="N1753" i="7950" s="1"/>
  <c r="N388" i="7950"/>
  <c r="N427" i="7950" s="1"/>
  <c r="O2231" i="7949"/>
  <c r="O1637" i="7949"/>
  <c r="O1043" i="7949"/>
  <c r="O2554" i="7949"/>
  <c r="O1744" i="7949"/>
  <c r="O2500" i="7949"/>
  <c r="O502" i="7949"/>
  <c r="O233" i="7949"/>
  <c r="O610" i="7949"/>
  <c r="O1529" i="7949"/>
  <c r="O556" i="7949"/>
  <c r="O987" i="7949"/>
  <c r="O1027" i="7949" s="1"/>
  <c r="P1027" i="7949" s="1"/>
  <c r="Q1027" i="7949" s="1"/>
  <c r="R1027" i="7949" s="1"/>
  <c r="S1027" i="7949" s="1"/>
  <c r="T1027" i="7949" s="1"/>
  <c r="U1027" i="7949" s="1"/>
  <c r="V1027" i="7949" s="1"/>
  <c r="W1027" i="7949" s="1"/>
  <c r="O2175" i="7949"/>
  <c r="O2215" i="7949" s="1"/>
  <c r="P2215" i="7949" s="1"/>
  <c r="Q2215" i="7949" s="1"/>
  <c r="R2215" i="7949" s="1"/>
  <c r="S2215" i="7949" s="1"/>
  <c r="T2215" i="7949" s="1"/>
  <c r="U2215" i="7949" s="1"/>
  <c r="V2215" i="7949" s="1"/>
  <c r="W2215" i="7949" s="1"/>
  <c r="O338" i="7949"/>
  <c r="O825" i="7949"/>
  <c r="O865" i="7949" s="1"/>
  <c r="P865" i="7949" s="1"/>
  <c r="Q865" i="7949" s="1"/>
  <c r="R865" i="7949" s="1"/>
  <c r="S865" i="7949" s="1"/>
  <c r="T865" i="7949" s="1"/>
  <c r="U865" i="7949" s="1"/>
  <c r="V865" i="7949" s="1"/>
  <c r="W865" i="7949" s="1"/>
  <c r="O1202" i="7949"/>
  <c r="O932" i="7949"/>
  <c r="O501" i="7949"/>
  <c r="O541" i="7949" s="1"/>
  <c r="P541" i="7949" s="1"/>
  <c r="Q541" i="7949" s="1"/>
  <c r="R541" i="7949" s="1"/>
  <c r="S541" i="7949" s="1"/>
  <c r="T541" i="7949" s="1"/>
  <c r="U541" i="7949" s="1"/>
  <c r="V541" i="7949" s="1"/>
  <c r="W541" i="7949" s="1"/>
  <c r="O2390" i="7949"/>
  <c r="O824" i="7949"/>
  <c r="O1365" i="7949"/>
  <c r="O1405" i="7949" s="1"/>
  <c r="P1405" i="7949" s="1"/>
  <c r="Q1405" i="7949" s="1"/>
  <c r="R1405" i="7949" s="1"/>
  <c r="S1405" i="7949" s="1"/>
  <c r="T1405" i="7949" s="1"/>
  <c r="U1405" i="7949" s="1"/>
  <c r="V1405" i="7949" s="1"/>
  <c r="W1405" i="7949" s="1"/>
  <c r="O2444" i="7949"/>
  <c r="O1364" i="7949"/>
  <c r="O17" i="7949"/>
  <c r="G9" i="7949"/>
  <c r="E773" i="7949"/>
  <c r="E826" i="7949"/>
  <c r="E2177" i="7949"/>
  <c r="E771" i="7949"/>
  <c r="E2604" i="7950"/>
  <c r="F718" i="7949"/>
  <c r="F609" i="7949"/>
  <c r="E281" i="7950"/>
  <c r="F1637" i="7949"/>
  <c r="F393" i="7949"/>
  <c r="F17" i="7949"/>
  <c r="F1310" i="7949"/>
  <c r="F281" i="7950"/>
  <c r="F983" i="7950"/>
  <c r="F876" i="7950"/>
  <c r="F765" i="7950"/>
  <c r="F2118" i="7950"/>
  <c r="F64" i="7950"/>
  <c r="G2228" i="7949"/>
  <c r="G820" i="7950"/>
  <c r="H2174" i="7949"/>
  <c r="G173" i="7950"/>
  <c r="G444" i="7950"/>
  <c r="H2285" i="7949"/>
  <c r="H662" i="7949"/>
  <c r="G1794" i="7950"/>
  <c r="H341" i="7949"/>
  <c r="G2007" i="7950"/>
  <c r="G2016" i="7950" s="1"/>
  <c r="H16" i="7949"/>
  <c r="H2280" i="7950"/>
  <c r="I2660" i="7949"/>
  <c r="I1472" i="7949"/>
  <c r="I1799" i="7949"/>
  <c r="H1090" i="7950"/>
  <c r="I339" i="7949"/>
  <c r="I373" i="7949" s="1"/>
  <c r="J373" i="7949" s="1"/>
  <c r="K373" i="7949" s="1"/>
  <c r="L373" i="7949" s="1"/>
  <c r="M373" i="7949" s="1"/>
  <c r="N373" i="7949" s="1"/>
  <c r="O373" i="7949" s="1"/>
  <c r="P373" i="7949" s="1"/>
  <c r="Q373" i="7949" s="1"/>
  <c r="R373" i="7949" s="1"/>
  <c r="S373" i="7949" s="1"/>
  <c r="T373" i="7949" s="1"/>
  <c r="U373" i="7949" s="1"/>
  <c r="V373" i="7949" s="1"/>
  <c r="W373" i="7949" s="1"/>
  <c r="H1415" i="7950"/>
  <c r="H1414" i="7950"/>
  <c r="I773" i="7949"/>
  <c r="H1577" i="7950"/>
  <c r="H387" i="7950"/>
  <c r="H397" i="7950" s="1"/>
  <c r="H983" i="7950"/>
  <c r="I341" i="7949"/>
  <c r="I1635" i="7949"/>
  <c r="I1669" i="7949" s="1"/>
  <c r="J1669" i="7949" s="1"/>
  <c r="K1669" i="7949" s="1"/>
  <c r="L1669" i="7949" s="1"/>
  <c r="M1669" i="7949" s="1"/>
  <c r="N1669" i="7949" s="1"/>
  <c r="O1669" i="7949" s="1"/>
  <c r="P1669" i="7949" s="1"/>
  <c r="Q1669" i="7949" s="1"/>
  <c r="R1669" i="7949" s="1"/>
  <c r="S1669" i="7949" s="1"/>
  <c r="T1669" i="7949" s="1"/>
  <c r="U1669" i="7949" s="1"/>
  <c r="V1669" i="7949" s="1"/>
  <c r="W1669" i="7949" s="1"/>
  <c r="I1468" i="7950"/>
  <c r="I1502" i="7950" s="1"/>
  <c r="J665" i="7949"/>
  <c r="J1743" i="7949"/>
  <c r="J1778" i="7949" s="1"/>
  <c r="K1778" i="7949" s="1"/>
  <c r="L1778" i="7949" s="1"/>
  <c r="M1778" i="7949" s="1"/>
  <c r="N1778" i="7949" s="1"/>
  <c r="O1778" i="7949" s="1"/>
  <c r="P1778" i="7949" s="1"/>
  <c r="Q1778" i="7949" s="1"/>
  <c r="R1778" i="7949" s="1"/>
  <c r="S1778" i="7949" s="1"/>
  <c r="T1778" i="7949" s="1"/>
  <c r="U1778" i="7949" s="1"/>
  <c r="V1778" i="7949" s="1"/>
  <c r="W1778" i="7949" s="1"/>
  <c r="I1847" i="7950"/>
  <c r="I1521" i="7950"/>
  <c r="I1532" i="7950" s="1"/>
  <c r="J1419" i="7949"/>
  <c r="J1454" i="7949" s="1"/>
  <c r="K1454" i="7949" s="1"/>
  <c r="L1454" i="7949" s="1"/>
  <c r="M1454" i="7949" s="1"/>
  <c r="N1454" i="7949" s="1"/>
  <c r="O1454" i="7949" s="1"/>
  <c r="P1454" i="7949" s="1"/>
  <c r="Q1454" i="7949" s="1"/>
  <c r="R1454" i="7949" s="1"/>
  <c r="S1454" i="7949" s="1"/>
  <c r="T1454" i="7949" s="1"/>
  <c r="U1454" i="7949" s="1"/>
  <c r="V1454" i="7949" s="1"/>
  <c r="W1454" i="7949" s="1"/>
  <c r="I2441" i="7950"/>
  <c r="J556" i="7949"/>
  <c r="J338" i="7949"/>
  <c r="I1145" i="7950"/>
  <c r="I2116" i="7950"/>
  <c r="I2150" i="7950" s="1"/>
  <c r="I2278" i="7950"/>
  <c r="I2312" i="7950" s="1"/>
  <c r="I12" i="7950"/>
  <c r="J70" i="7949"/>
  <c r="J826" i="7949"/>
  <c r="J1904" i="7949"/>
  <c r="J2121" i="7949"/>
  <c r="J2156" i="7949" s="1"/>
  <c r="K2156" i="7949" s="1"/>
  <c r="L2156" i="7949" s="1"/>
  <c r="M2156" i="7949" s="1"/>
  <c r="N2156" i="7949" s="1"/>
  <c r="O2156" i="7949" s="1"/>
  <c r="P2156" i="7949" s="1"/>
  <c r="Q2156" i="7949" s="1"/>
  <c r="R2156" i="7949" s="1"/>
  <c r="S2156" i="7949" s="1"/>
  <c r="T2156" i="7949" s="1"/>
  <c r="U2156" i="7949" s="1"/>
  <c r="V2156" i="7949" s="1"/>
  <c r="W2156" i="7949" s="1"/>
  <c r="I1900" i="7950"/>
  <c r="I1934" i="7950" s="1"/>
  <c r="J125" i="7949"/>
  <c r="J69" i="7949"/>
  <c r="J104" i="7949" s="1"/>
  <c r="K104" i="7949" s="1"/>
  <c r="L104" i="7949" s="1"/>
  <c r="M104" i="7949" s="1"/>
  <c r="N104" i="7949" s="1"/>
  <c r="O104" i="7949" s="1"/>
  <c r="P104" i="7949" s="1"/>
  <c r="Q104" i="7949" s="1"/>
  <c r="R104" i="7949" s="1"/>
  <c r="S104" i="7949" s="1"/>
  <c r="T104" i="7949" s="1"/>
  <c r="U104" i="7949" s="1"/>
  <c r="V104" i="7949" s="1"/>
  <c r="W104" i="7949" s="1"/>
  <c r="I1038" i="7950"/>
  <c r="I1686" i="7950"/>
  <c r="J1313" i="7949"/>
  <c r="J285" i="7949"/>
  <c r="J320" i="7949" s="1"/>
  <c r="K320" i="7949" s="1"/>
  <c r="L320" i="7949" s="1"/>
  <c r="M320" i="7949" s="1"/>
  <c r="N320" i="7949" s="1"/>
  <c r="O320" i="7949" s="1"/>
  <c r="P320" i="7949" s="1"/>
  <c r="Q320" i="7949" s="1"/>
  <c r="R320" i="7949" s="1"/>
  <c r="S320" i="7949" s="1"/>
  <c r="T320" i="7949" s="1"/>
  <c r="U320" i="7949" s="1"/>
  <c r="V320" i="7949" s="1"/>
  <c r="W320" i="7949" s="1"/>
  <c r="J2658" i="7950"/>
  <c r="J2657" i="7950"/>
  <c r="J2278" i="7950"/>
  <c r="J2313" i="7950" s="1"/>
  <c r="J927" i="7950"/>
  <c r="J939" i="7950" s="1"/>
  <c r="K827" i="7949"/>
  <c r="K1906" i="7949"/>
  <c r="K1473" i="7949"/>
  <c r="K1509" i="7949" s="1"/>
  <c r="L1509" i="7949" s="1"/>
  <c r="M1509" i="7949" s="1"/>
  <c r="N1509" i="7949" s="1"/>
  <c r="O1509" i="7949" s="1"/>
  <c r="P1509" i="7949" s="1"/>
  <c r="Q1509" i="7949" s="1"/>
  <c r="R1509" i="7949" s="1"/>
  <c r="S1509" i="7949" s="1"/>
  <c r="T1509" i="7949" s="1"/>
  <c r="U1509" i="7949" s="1"/>
  <c r="V1509" i="7949" s="1"/>
  <c r="W1509" i="7949" s="1"/>
  <c r="K662" i="7949"/>
  <c r="J1036" i="7950"/>
  <c r="J1071" i="7950" s="1"/>
  <c r="J1630" i="7950"/>
  <c r="J1665" i="7950" s="1"/>
  <c r="K2121" i="7949"/>
  <c r="K2157" i="7949" s="1"/>
  <c r="L2157" i="7949" s="1"/>
  <c r="M2157" i="7949" s="1"/>
  <c r="N2157" i="7949" s="1"/>
  <c r="O2157" i="7949" s="1"/>
  <c r="P2157" i="7949" s="1"/>
  <c r="Q2157" i="7949" s="1"/>
  <c r="R2157" i="7949" s="1"/>
  <c r="S2157" i="7949" s="1"/>
  <c r="T2157" i="7949" s="1"/>
  <c r="U2157" i="7949" s="1"/>
  <c r="V2157" i="7949" s="1"/>
  <c r="W2157" i="7949" s="1"/>
  <c r="J1362" i="7950"/>
  <c r="J1035" i="7950"/>
  <c r="J1047" i="7950" s="1"/>
  <c r="K449" i="7949"/>
  <c r="K1095" i="7949"/>
  <c r="K1131" i="7949" s="1"/>
  <c r="L1131" i="7949" s="1"/>
  <c r="M1131" i="7949" s="1"/>
  <c r="N1131" i="7949" s="1"/>
  <c r="O1131" i="7949" s="1"/>
  <c r="P1131" i="7949" s="1"/>
  <c r="Q1131" i="7949" s="1"/>
  <c r="R1131" i="7949" s="1"/>
  <c r="S1131" i="7949" s="1"/>
  <c r="T1131" i="7949" s="1"/>
  <c r="U1131" i="7949" s="1"/>
  <c r="V1131" i="7949" s="1"/>
  <c r="W1131" i="7949" s="1"/>
  <c r="J2279" i="7950"/>
  <c r="J1685" i="7950"/>
  <c r="J63" i="7950"/>
  <c r="J75" i="7950" s="1"/>
  <c r="K1097" i="7949"/>
  <c r="K988" i="7949"/>
  <c r="K2498" i="7949"/>
  <c r="K825" i="7949"/>
  <c r="K861" i="7949" s="1"/>
  <c r="L861" i="7949" s="1"/>
  <c r="M861" i="7949" s="1"/>
  <c r="N861" i="7949" s="1"/>
  <c r="O861" i="7949" s="1"/>
  <c r="P861" i="7949" s="1"/>
  <c r="Q861" i="7949" s="1"/>
  <c r="R861" i="7949" s="1"/>
  <c r="S861" i="7949" s="1"/>
  <c r="T861" i="7949" s="1"/>
  <c r="U861" i="7949" s="1"/>
  <c r="V861" i="7949" s="1"/>
  <c r="W861" i="7949" s="1"/>
  <c r="J1578" i="7950"/>
  <c r="J1089" i="7950"/>
  <c r="J1101" i="7950" s="1"/>
  <c r="K2231" i="7949"/>
  <c r="K1635" i="7949"/>
  <c r="K1671" i="7949" s="1"/>
  <c r="L1671" i="7949" s="1"/>
  <c r="M1671" i="7949" s="1"/>
  <c r="N1671" i="7949" s="1"/>
  <c r="O1671" i="7949" s="1"/>
  <c r="P1671" i="7949" s="1"/>
  <c r="Q1671" i="7949" s="1"/>
  <c r="R1671" i="7949" s="1"/>
  <c r="S1671" i="7949" s="1"/>
  <c r="T1671" i="7949" s="1"/>
  <c r="U1671" i="7949" s="1"/>
  <c r="V1671" i="7949" s="1"/>
  <c r="W1671" i="7949" s="1"/>
  <c r="J983" i="7950"/>
  <c r="J1737" i="7950"/>
  <c r="J1749" i="7950" s="1"/>
  <c r="K2123" i="7949"/>
  <c r="K1040" i="7949"/>
  <c r="K2333" i="7950"/>
  <c r="K174" i="7950"/>
  <c r="K1414" i="7950"/>
  <c r="K1450" i="7950" s="1"/>
  <c r="K928" i="7950"/>
  <c r="K964" i="7950" s="1"/>
  <c r="L395" i="7949"/>
  <c r="L502" i="7949"/>
  <c r="L879" i="7949"/>
  <c r="L916" i="7949" s="1"/>
  <c r="M916" i="7949" s="1"/>
  <c r="N916" i="7949" s="1"/>
  <c r="O916" i="7949" s="1"/>
  <c r="P916" i="7949" s="1"/>
  <c r="Q916" i="7949" s="1"/>
  <c r="R916" i="7949" s="1"/>
  <c r="S916" i="7949" s="1"/>
  <c r="T916" i="7949" s="1"/>
  <c r="U916" i="7949" s="1"/>
  <c r="V916" i="7949" s="1"/>
  <c r="W916" i="7949" s="1"/>
  <c r="L2607" i="7949"/>
  <c r="L2644" i="7949" s="1"/>
  <c r="M2644" i="7949" s="1"/>
  <c r="N2644" i="7949" s="1"/>
  <c r="O2644" i="7949" s="1"/>
  <c r="P2644" i="7949" s="1"/>
  <c r="Q2644" i="7949" s="1"/>
  <c r="R2644" i="7949" s="1"/>
  <c r="S2644" i="7949" s="1"/>
  <c r="T2644" i="7949" s="1"/>
  <c r="U2644" i="7949" s="1"/>
  <c r="V2644" i="7949" s="1"/>
  <c r="W2644" i="7949" s="1"/>
  <c r="K1740" i="7950"/>
  <c r="L1529" i="7949"/>
  <c r="L340" i="7949"/>
  <c r="K1848" i="7950"/>
  <c r="K335" i="7950"/>
  <c r="K279" i="7950"/>
  <c r="K292" i="7950" s="1"/>
  <c r="L2553" i="7949"/>
  <c r="L2590" i="7949" s="1"/>
  <c r="M2590" i="7949" s="1"/>
  <c r="N2590" i="7949" s="1"/>
  <c r="O2590" i="7949" s="1"/>
  <c r="P2590" i="7949" s="1"/>
  <c r="Q2590" i="7949" s="1"/>
  <c r="R2590" i="7949" s="1"/>
  <c r="S2590" i="7949" s="1"/>
  <c r="T2590" i="7949" s="1"/>
  <c r="U2590" i="7949" s="1"/>
  <c r="V2590" i="7949" s="1"/>
  <c r="W2590" i="7949" s="1"/>
  <c r="L1797" i="7949"/>
  <c r="L1834" i="7949" s="1"/>
  <c r="M1834" i="7949" s="1"/>
  <c r="N1834" i="7949" s="1"/>
  <c r="O1834" i="7949" s="1"/>
  <c r="P1834" i="7949" s="1"/>
  <c r="Q1834" i="7949" s="1"/>
  <c r="R1834" i="7949" s="1"/>
  <c r="S1834" i="7949" s="1"/>
  <c r="T1834" i="7949" s="1"/>
  <c r="U1834" i="7949" s="1"/>
  <c r="V1834" i="7949" s="1"/>
  <c r="W1834" i="7949" s="1"/>
  <c r="K875" i="7950"/>
  <c r="K1252" i="7950"/>
  <c r="K1288" i="7950" s="1"/>
  <c r="K387" i="7950"/>
  <c r="K400" i="7950" s="1"/>
  <c r="L2501" i="7949"/>
  <c r="L448" i="7949"/>
  <c r="L878" i="7949"/>
  <c r="L500" i="7949"/>
  <c r="K1415" i="7950"/>
  <c r="L2177" i="7949"/>
  <c r="L2661" i="7949"/>
  <c r="L2698" i="7949" s="1"/>
  <c r="M2698" i="7949" s="1"/>
  <c r="N2698" i="7949" s="1"/>
  <c r="O2698" i="7949" s="1"/>
  <c r="P2698" i="7949" s="1"/>
  <c r="Q2698" i="7949" s="1"/>
  <c r="R2698" i="7949" s="1"/>
  <c r="S2698" i="7949" s="1"/>
  <c r="T2698" i="7949" s="1"/>
  <c r="U2698" i="7949" s="1"/>
  <c r="V2698" i="7949" s="1"/>
  <c r="W2698" i="7949" s="1"/>
  <c r="K2010" i="7950"/>
  <c r="K2331" i="7950"/>
  <c r="K2344" i="7950" s="1"/>
  <c r="L2176" i="7949"/>
  <c r="L1796" i="7949"/>
  <c r="L1146" i="7950"/>
  <c r="L983" i="7950"/>
  <c r="L118" i="7950"/>
  <c r="L155" i="7950" s="1"/>
  <c r="M155" i="7950" s="1"/>
  <c r="N155" i="7950" s="1"/>
  <c r="O155" i="7950" s="1"/>
  <c r="L711" i="7950"/>
  <c r="L725" i="7950" s="1"/>
  <c r="M1202" i="7949"/>
  <c r="M1743" i="7949"/>
  <c r="M1781" i="7949" s="1"/>
  <c r="N1781" i="7949" s="1"/>
  <c r="O1781" i="7949" s="1"/>
  <c r="P1781" i="7949" s="1"/>
  <c r="Q1781" i="7949" s="1"/>
  <c r="R1781" i="7949" s="1"/>
  <c r="S1781" i="7949" s="1"/>
  <c r="T1781" i="7949" s="1"/>
  <c r="U1781" i="7949" s="1"/>
  <c r="V1781" i="7949" s="1"/>
  <c r="W1781" i="7949" s="1"/>
  <c r="M1041" i="7949"/>
  <c r="M1079" i="7949" s="1"/>
  <c r="N1079" i="7949" s="1"/>
  <c r="O1079" i="7949" s="1"/>
  <c r="P1079" i="7949" s="1"/>
  <c r="Q1079" i="7949" s="1"/>
  <c r="R1079" i="7949" s="1"/>
  <c r="S1079" i="7949" s="1"/>
  <c r="T1079" i="7949" s="1"/>
  <c r="U1079" i="7949" s="1"/>
  <c r="V1079" i="7949" s="1"/>
  <c r="W1079" i="7949" s="1"/>
  <c r="L2658" i="7950"/>
  <c r="L119" i="7950"/>
  <c r="M178" i="7949"/>
  <c r="M2555" i="7949"/>
  <c r="L1740" i="7950"/>
  <c r="L333" i="7950"/>
  <c r="L347" i="7950" s="1"/>
  <c r="M2014" i="7949"/>
  <c r="M665" i="7949"/>
  <c r="L2495" i="7950"/>
  <c r="L336" i="7950"/>
  <c r="L442" i="7950"/>
  <c r="L479" i="7950" s="1"/>
  <c r="M479" i="7950" s="1"/>
  <c r="L819" i="7950"/>
  <c r="L833" i="7950" s="1"/>
  <c r="M1526" i="7949"/>
  <c r="M1474" i="7949"/>
  <c r="M395" i="7949"/>
  <c r="L1524" i="7950"/>
  <c r="L1200" i="7950"/>
  <c r="M71" i="7949"/>
  <c r="M1528" i="7949"/>
  <c r="M14" i="7949"/>
  <c r="L2386" i="7950"/>
  <c r="L2423" i="7950" s="1"/>
  <c r="M2423" i="7950" s="1"/>
  <c r="N2423" i="7950" s="1"/>
  <c r="M1472" i="7949"/>
  <c r="M611" i="7949"/>
  <c r="N2174" i="7949"/>
  <c r="N878" i="7949"/>
  <c r="N611" i="7949"/>
  <c r="N1907" i="7949"/>
  <c r="M2494" i="7950"/>
  <c r="M2532" i="7950" s="1"/>
  <c r="M1092" i="7950"/>
  <c r="M1415" i="7950"/>
  <c r="N1149" i="7949"/>
  <c r="N1188" i="7949" s="1"/>
  <c r="O1188" i="7949" s="1"/>
  <c r="P1188" i="7949" s="1"/>
  <c r="Q1188" i="7949" s="1"/>
  <c r="R1188" i="7949" s="1"/>
  <c r="S1188" i="7949" s="1"/>
  <c r="T1188" i="7949" s="1"/>
  <c r="U1188" i="7949" s="1"/>
  <c r="V1188" i="7949" s="1"/>
  <c r="W1188" i="7949" s="1"/>
  <c r="N1958" i="7949"/>
  <c r="N395" i="7949"/>
  <c r="N71" i="7949"/>
  <c r="M1629" i="7950"/>
  <c r="M1644" i="7950" s="1"/>
  <c r="M819" i="7950"/>
  <c r="M834" i="7950" s="1"/>
  <c r="M930" i="7950"/>
  <c r="M1145" i="7950"/>
  <c r="N2442" i="7950"/>
  <c r="N1038" i="7950"/>
  <c r="N1686" i="7950"/>
  <c r="N984" i="7950"/>
  <c r="N1307" i="7950"/>
  <c r="N2441" i="7950"/>
  <c r="N1792" i="7950"/>
  <c r="N1831" i="7950" s="1"/>
  <c r="O1831" i="7950" s="1"/>
  <c r="P1831" i="7950" s="1"/>
  <c r="Q1831" i="7950" s="1"/>
  <c r="R1831" i="7950" s="1"/>
  <c r="S1831" i="7950" s="1"/>
  <c r="T1831" i="7950" s="1"/>
  <c r="U1831" i="7950" s="1"/>
  <c r="V1831" i="7950" s="1"/>
  <c r="W1831" i="7950" s="1"/>
  <c r="N1035" i="7950"/>
  <c r="N1051" i="7950" s="1"/>
  <c r="N1846" i="7950"/>
  <c r="N1885" i="7950" s="1"/>
  <c r="N118" i="7950"/>
  <c r="N157" i="7950" s="1"/>
  <c r="N658" i="7950"/>
  <c r="N697" i="7950" s="1"/>
  <c r="N333" i="7950"/>
  <c r="N349" i="7950" s="1"/>
  <c r="N2115" i="7950"/>
  <c r="N2131" i="7950" s="1"/>
  <c r="N1144" i="7950"/>
  <c r="N1183" i="7950" s="1"/>
  <c r="N875" i="7950"/>
  <c r="O2501" i="7949"/>
  <c r="O1421" i="7949"/>
  <c r="O773" i="7949"/>
  <c r="O71" i="7949"/>
  <c r="O1745" i="7949"/>
  <c r="O1366" i="7949"/>
  <c r="O70" i="7949"/>
  <c r="O2122" i="7949"/>
  <c r="O2662" i="7949"/>
  <c r="O2446" i="7949"/>
  <c r="O69" i="7949"/>
  <c r="O109" i="7949" s="1"/>
  <c r="P109" i="7949" s="1"/>
  <c r="Q109" i="7949" s="1"/>
  <c r="R109" i="7949" s="1"/>
  <c r="S109" i="7949" s="1"/>
  <c r="T109" i="7949" s="1"/>
  <c r="U109" i="7949" s="1"/>
  <c r="V109" i="7949" s="1"/>
  <c r="W109" i="7949" s="1"/>
  <c r="O609" i="7949"/>
  <c r="O649" i="7949" s="1"/>
  <c r="P649" i="7949" s="1"/>
  <c r="Q649" i="7949" s="1"/>
  <c r="R649" i="7949" s="1"/>
  <c r="S649" i="7949" s="1"/>
  <c r="T649" i="7949" s="1"/>
  <c r="U649" i="7949" s="1"/>
  <c r="V649" i="7949" s="1"/>
  <c r="W649" i="7949" s="1"/>
  <c r="O2607" i="7949"/>
  <c r="O2647" i="7949" s="1"/>
  <c r="P2647" i="7949" s="1"/>
  <c r="Q2647" i="7949" s="1"/>
  <c r="R2647" i="7949" s="1"/>
  <c r="S2647" i="7949" s="1"/>
  <c r="T2647" i="7949" s="1"/>
  <c r="U2647" i="7949" s="1"/>
  <c r="V2647" i="7949" s="1"/>
  <c r="W2647" i="7949" s="1"/>
  <c r="O2552" i="7949"/>
  <c r="O2174" i="7949"/>
  <c r="O1256" i="7949"/>
  <c r="O2228" i="7949"/>
  <c r="O717" i="7949"/>
  <c r="O757" i="7949" s="1"/>
  <c r="P757" i="7949" s="1"/>
  <c r="Q757" i="7949" s="1"/>
  <c r="R757" i="7949" s="1"/>
  <c r="S757" i="7949" s="1"/>
  <c r="T757" i="7949" s="1"/>
  <c r="U757" i="7949" s="1"/>
  <c r="V757" i="7949" s="1"/>
  <c r="W757" i="7949" s="1"/>
  <c r="O500" i="7949"/>
  <c r="O1040" i="7949"/>
  <c r="O1527" i="7949"/>
  <c r="O1567" i="7949" s="1"/>
  <c r="P1567" i="7949" s="1"/>
  <c r="Q1567" i="7949" s="1"/>
  <c r="R1567" i="7949" s="1"/>
  <c r="S1567" i="7949" s="1"/>
  <c r="T1567" i="7949" s="1"/>
  <c r="U1567" i="7949" s="1"/>
  <c r="V1567" i="7949" s="1"/>
  <c r="W1567" i="7949" s="1"/>
  <c r="O608" i="7949"/>
  <c r="O2498" i="7949"/>
  <c r="O11" i="7949"/>
  <c r="O2010" i="7950"/>
  <c r="O1848" i="7950"/>
  <c r="O1902" i="7950"/>
  <c r="O1470" i="7950"/>
  <c r="O1416" i="7950"/>
  <c r="O444" i="7950"/>
  <c r="O1362" i="7950"/>
  <c r="O174" i="7950"/>
  <c r="O1901" i="7950"/>
  <c r="O1037" i="7950"/>
  <c r="O173" i="7950"/>
  <c r="O2441" i="7950"/>
  <c r="O1199" i="7950"/>
  <c r="O227" i="7950"/>
  <c r="O2332" i="7950"/>
  <c r="O2372" i="7950" s="1"/>
  <c r="O1900" i="7950"/>
  <c r="O1940" i="7950" s="1"/>
  <c r="O1468" i="7950"/>
  <c r="O1508" i="7950" s="1"/>
  <c r="O1036" i="7950"/>
  <c r="O1076" i="7950" s="1"/>
  <c r="O604" i="7950"/>
  <c r="O644" i="7950" s="1"/>
  <c r="O172" i="7950"/>
  <c r="O212" i="7950" s="1"/>
  <c r="O2385" i="7950"/>
  <c r="O2402" i="7950" s="1"/>
  <c r="O1953" i="7950"/>
  <c r="O1970" i="7950" s="1"/>
  <c r="O1521" i="7950"/>
  <c r="O1538" i="7950" s="1"/>
  <c r="O2388" i="7950"/>
  <c r="O2549" i="7950"/>
  <c r="O1361" i="7950"/>
  <c r="O282" i="7950"/>
  <c r="O1631" i="7950"/>
  <c r="O281" i="7950"/>
  <c r="O1414" i="7950"/>
  <c r="O1454" i="7950" s="1"/>
  <c r="O2331" i="7950"/>
  <c r="O2348" i="7950" s="1"/>
  <c r="O1415" i="7950"/>
  <c r="O659" i="7950"/>
  <c r="O1522" i="7950"/>
  <c r="O1562" i="7950" s="1"/>
  <c r="O2439" i="7950"/>
  <c r="O2456" i="7950" s="1"/>
  <c r="O1089" i="7950"/>
  <c r="O1106" i="7950" s="1"/>
  <c r="O657" i="7950"/>
  <c r="O674" i="7950" s="1"/>
  <c r="O225" i="7950"/>
  <c r="O242" i="7950" s="1"/>
  <c r="O2494" i="7950"/>
  <c r="O2534" i="7950" s="1"/>
  <c r="O1683" i="7950"/>
  <c r="O1700" i="7950" s="1"/>
  <c r="O2279" i="7950"/>
  <c r="O2223" i="7950"/>
  <c r="O2240" i="7950" s="1"/>
  <c r="O822" i="7950"/>
  <c r="O2602" i="7950"/>
  <c r="O2642" i="7950" s="1"/>
  <c r="O1791" i="7950"/>
  <c r="O1808" i="7950" s="1"/>
  <c r="O279" i="7950"/>
  <c r="O296" i="7950" s="1"/>
  <c r="O2115" i="7950"/>
  <c r="O2132" i="7950" s="1"/>
  <c r="O1359" i="7950"/>
  <c r="O1376" i="7950" s="1"/>
  <c r="O63" i="7950"/>
  <c r="O80" i="7950" s="1"/>
  <c r="O10" i="7950"/>
  <c r="O50" i="7950" s="1"/>
  <c r="P1853" i="7949"/>
  <c r="P1907" i="7949"/>
  <c r="P1961" i="7949"/>
  <c r="P1421" i="7949"/>
  <c r="P1475" i="7949"/>
  <c r="P1313" i="7949"/>
  <c r="P341" i="7949"/>
  <c r="P827" i="7949"/>
  <c r="P2608" i="7949"/>
  <c r="P2500" i="7949"/>
  <c r="P1582" i="7949"/>
  <c r="P287" i="7949"/>
  <c r="P2068" i="7949"/>
  <c r="P1204" i="7949"/>
  <c r="P340" i="7949"/>
  <c r="P2122" i="7949"/>
  <c r="P610" i="7949"/>
  <c r="P1960" i="7949"/>
  <c r="P880" i="7949"/>
  <c r="P2446" i="7949"/>
  <c r="P178" i="7949"/>
  <c r="P1151" i="7949"/>
  <c r="P2176" i="7949"/>
  <c r="P71" i="7949"/>
  <c r="P68" i="7949"/>
  <c r="P123" i="7949"/>
  <c r="P164" i="7949" s="1"/>
  <c r="Q164" i="7949" s="1"/>
  <c r="R164" i="7949" s="1"/>
  <c r="S164" i="7949" s="1"/>
  <c r="T164" i="7949" s="1"/>
  <c r="U164" i="7949" s="1"/>
  <c r="V164" i="7949" s="1"/>
  <c r="W164" i="7949" s="1"/>
  <c r="P2067" i="7949"/>
  <c r="P2108" i="7949" s="1"/>
  <c r="Q2108" i="7949" s="1"/>
  <c r="R2108" i="7949" s="1"/>
  <c r="S2108" i="7949" s="1"/>
  <c r="T2108" i="7949" s="1"/>
  <c r="U2108" i="7949" s="1"/>
  <c r="V2108" i="7949" s="1"/>
  <c r="W2108" i="7949" s="1"/>
  <c r="P1959" i="7949"/>
  <c r="P2000" i="7949" s="1"/>
  <c r="Q2000" i="7949" s="1"/>
  <c r="R2000" i="7949" s="1"/>
  <c r="S2000" i="7949" s="1"/>
  <c r="T2000" i="7949" s="1"/>
  <c r="U2000" i="7949" s="1"/>
  <c r="V2000" i="7949" s="1"/>
  <c r="W2000" i="7949" s="1"/>
  <c r="P1581" i="7949"/>
  <c r="P1622" i="7949" s="1"/>
  <c r="Q1622" i="7949" s="1"/>
  <c r="R1622" i="7949" s="1"/>
  <c r="S1622" i="7949" s="1"/>
  <c r="T1622" i="7949" s="1"/>
  <c r="U1622" i="7949" s="1"/>
  <c r="V1622" i="7949" s="1"/>
  <c r="W1622" i="7949" s="1"/>
  <c r="P1094" i="7949"/>
  <c r="P986" i="7949"/>
  <c r="P392" i="7949"/>
  <c r="P987" i="7949"/>
  <c r="P1028" i="7949" s="1"/>
  <c r="Q1028" i="7949" s="1"/>
  <c r="R1028" i="7949" s="1"/>
  <c r="S1028" i="7949" s="1"/>
  <c r="T1028" i="7949" s="1"/>
  <c r="U1028" i="7949" s="1"/>
  <c r="V1028" i="7949" s="1"/>
  <c r="W1028" i="7949" s="1"/>
  <c r="P879" i="7949"/>
  <c r="P920" i="7949" s="1"/>
  <c r="Q920" i="7949" s="1"/>
  <c r="R920" i="7949" s="1"/>
  <c r="S920" i="7949" s="1"/>
  <c r="T920" i="7949" s="1"/>
  <c r="U920" i="7949" s="1"/>
  <c r="V920" i="7949" s="1"/>
  <c r="W920" i="7949" s="1"/>
  <c r="P2607" i="7949"/>
  <c r="P2648" i="7949" s="1"/>
  <c r="Q2648" i="7949" s="1"/>
  <c r="R2648" i="7949" s="1"/>
  <c r="S2648" i="7949" s="1"/>
  <c r="T2648" i="7949" s="1"/>
  <c r="U2648" i="7949" s="1"/>
  <c r="V2648" i="7949" s="1"/>
  <c r="W2648" i="7949" s="1"/>
  <c r="P1148" i="7949"/>
  <c r="P1040" i="7949"/>
  <c r="P1473" i="7949"/>
  <c r="P1514" i="7949" s="1"/>
  <c r="Q1514" i="7949" s="1"/>
  <c r="R1514" i="7949" s="1"/>
  <c r="S1514" i="7949" s="1"/>
  <c r="T1514" i="7949" s="1"/>
  <c r="U1514" i="7949" s="1"/>
  <c r="V1514" i="7949" s="1"/>
  <c r="W1514" i="7949" s="1"/>
  <c r="P2174" i="7949"/>
  <c r="P1257" i="7949"/>
  <c r="P1298" i="7949" s="1"/>
  <c r="Q1298" i="7949" s="1"/>
  <c r="R1298" i="7949" s="1"/>
  <c r="S1298" i="7949" s="1"/>
  <c r="T1298" i="7949" s="1"/>
  <c r="U1298" i="7949" s="1"/>
  <c r="V1298" i="7949" s="1"/>
  <c r="W1298" i="7949" s="1"/>
  <c r="P177" i="7949"/>
  <c r="P218" i="7949" s="1"/>
  <c r="Q218" i="7949" s="1"/>
  <c r="R218" i="7949" s="1"/>
  <c r="S218" i="7949" s="1"/>
  <c r="T218" i="7949" s="1"/>
  <c r="U218" i="7949" s="1"/>
  <c r="V218" i="7949" s="1"/>
  <c r="W218" i="7949" s="1"/>
  <c r="P1364" i="7949"/>
  <c r="P2660" i="7949"/>
  <c r="P1688" i="7949"/>
  <c r="P663" i="7949"/>
  <c r="P704" i="7949" s="1"/>
  <c r="Q704" i="7949" s="1"/>
  <c r="R704" i="7949" s="1"/>
  <c r="S704" i="7949" s="1"/>
  <c r="T704" i="7949" s="1"/>
  <c r="U704" i="7949" s="1"/>
  <c r="V704" i="7949" s="1"/>
  <c r="W704" i="7949" s="1"/>
  <c r="P2661" i="7949"/>
  <c r="P2702" i="7949" s="1"/>
  <c r="Q2702" i="7949" s="1"/>
  <c r="R2702" i="7949" s="1"/>
  <c r="S2702" i="7949" s="1"/>
  <c r="T2702" i="7949" s="1"/>
  <c r="U2702" i="7949" s="1"/>
  <c r="V2702" i="7949" s="1"/>
  <c r="W2702" i="7949" s="1"/>
  <c r="P824" i="7949"/>
  <c r="P878" i="7949"/>
  <c r="P2120" i="7949"/>
  <c r="P11" i="7949"/>
  <c r="O65" i="7950"/>
  <c r="P2662" i="7949"/>
  <c r="P1096" i="7949"/>
  <c r="P1366" i="7949"/>
  <c r="P1042" i="7949"/>
  <c r="P448" i="7949"/>
  <c r="P339" i="7949"/>
  <c r="P380" i="7949" s="1"/>
  <c r="Q380" i="7949" s="1"/>
  <c r="R380" i="7949" s="1"/>
  <c r="S380" i="7949" s="1"/>
  <c r="T380" i="7949" s="1"/>
  <c r="U380" i="7949" s="1"/>
  <c r="V380" i="7949" s="1"/>
  <c r="W380" i="7949" s="1"/>
  <c r="P285" i="7949"/>
  <c r="P326" i="7949" s="1"/>
  <c r="Q326" i="7949" s="1"/>
  <c r="R326" i="7949" s="1"/>
  <c r="S326" i="7949" s="1"/>
  <c r="T326" i="7949" s="1"/>
  <c r="U326" i="7949" s="1"/>
  <c r="V326" i="7949" s="1"/>
  <c r="W326" i="7949" s="1"/>
  <c r="P2498" i="7949"/>
  <c r="P1743" i="7949"/>
  <c r="P1784" i="7949" s="1"/>
  <c r="Q1784" i="7949" s="1"/>
  <c r="R1784" i="7949" s="1"/>
  <c r="S1784" i="7949" s="1"/>
  <c r="T1784" i="7949" s="1"/>
  <c r="U1784" i="7949" s="1"/>
  <c r="V1784" i="7949" s="1"/>
  <c r="W1784" i="7949" s="1"/>
  <c r="P1202" i="7949"/>
  <c r="P608" i="7949"/>
  <c r="P2606" i="7949"/>
  <c r="P1851" i="7949"/>
  <c r="P1892" i="7949" s="1"/>
  <c r="Q1892" i="7949" s="1"/>
  <c r="R1892" i="7949" s="1"/>
  <c r="S1892" i="7949" s="1"/>
  <c r="T1892" i="7949" s="1"/>
  <c r="U1892" i="7949" s="1"/>
  <c r="V1892" i="7949" s="1"/>
  <c r="W1892" i="7949" s="1"/>
  <c r="P717" i="7949"/>
  <c r="P758" i="7949" s="1"/>
  <c r="Q758" i="7949" s="1"/>
  <c r="R758" i="7949" s="1"/>
  <c r="S758" i="7949" s="1"/>
  <c r="T758" i="7949" s="1"/>
  <c r="U758" i="7949" s="1"/>
  <c r="V758" i="7949" s="1"/>
  <c r="W758" i="7949" s="1"/>
  <c r="O2604" i="7950"/>
  <c r="O552" i="7950"/>
  <c r="O389" i="7950"/>
  <c r="O1577" i="7950"/>
  <c r="O2008" i="7950"/>
  <c r="O2048" i="7950" s="1"/>
  <c r="O712" i="7950"/>
  <c r="O752" i="7950" s="1"/>
  <c r="O2493" i="7950"/>
  <c r="O2510" i="7950" s="1"/>
  <c r="O1197" i="7950"/>
  <c r="O1214" i="7950" s="1"/>
  <c r="O1739" i="7950"/>
  <c r="O443" i="7950"/>
  <c r="O118" i="7950"/>
  <c r="O158" i="7950" s="1"/>
  <c r="O1954" i="7950"/>
  <c r="O1994" i="7950" s="1"/>
  <c r="O765" i="7950"/>
  <c r="O782" i="7950" s="1"/>
  <c r="O2547" i="7950"/>
  <c r="O2564" i="7950" s="1"/>
  <c r="O442" i="7950"/>
  <c r="O482" i="7950" s="1"/>
  <c r="O2495" i="7950"/>
  <c r="O495" i="7950"/>
  <c r="O512" i="7950" s="1"/>
  <c r="O171" i="7950"/>
  <c r="O188" i="7950" s="1"/>
  <c r="P2123" i="7949"/>
  <c r="P1637" i="7949"/>
  <c r="P2015" i="7949"/>
  <c r="P1097" i="7949"/>
  <c r="P719" i="7949"/>
  <c r="P1420" i="7949"/>
  <c r="P718" i="7949"/>
  <c r="P1529" i="7949"/>
  <c r="P286" i="7949"/>
  <c r="P1474" i="7949"/>
  <c r="P1635" i="7949"/>
  <c r="P1676" i="7949" s="1"/>
  <c r="Q1676" i="7949" s="1"/>
  <c r="R1676" i="7949" s="1"/>
  <c r="S1676" i="7949" s="1"/>
  <c r="T1676" i="7949" s="1"/>
  <c r="U1676" i="7949" s="1"/>
  <c r="V1676" i="7949" s="1"/>
  <c r="W1676" i="7949" s="1"/>
  <c r="P176" i="7949"/>
  <c r="P555" i="7949"/>
  <c r="P596" i="7949" s="1"/>
  <c r="Q596" i="7949" s="1"/>
  <c r="R596" i="7949" s="1"/>
  <c r="S596" i="7949" s="1"/>
  <c r="T596" i="7949" s="1"/>
  <c r="U596" i="7949" s="1"/>
  <c r="V596" i="7949" s="1"/>
  <c r="W596" i="7949" s="1"/>
  <c r="P2175" i="7949"/>
  <c r="P2216" i="7949" s="1"/>
  <c r="Q2216" i="7949" s="1"/>
  <c r="R2216" i="7949" s="1"/>
  <c r="S2216" i="7949" s="1"/>
  <c r="T2216" i="7949" s="1"/>
  <c r="U2216" i="7949" s="1"/>
  <c r="V2216" i="7949" s="1"/>
  <c r="W2216" i="7949" s="1"/>
  <c r="P1041" i="7949"/>
  <c r="P1082" i="7949" s="1"/>
  <c r="Q1082" i="7949" s="1"/>
  <c r="R1082" i="7949" s="1"/>
  <c r="S1082" i="7949" s="1"/>
  <c r="T1082" i="7949" s="1"/>
  <c r="U1082" i="7949" s="1"/>
  <c r="V1082" i="7949" s="1"/>
  <c r="W1082" i="7949" s="1"/>
  <c r="P609" i="7949"/>
  <c r="P650" i="7949" s="1"/>
  <c r="Q650" i="7949" s="1"/>
  <c r="R650" i="7949" s="1"/>
  <c r="S650" i="7949" s="1"/>
  <c r="T650" i="7949" s="1"/>
  <c r="U650" i="7949" s="1"/>
  <c r="V650" i="7949" s="1"/>
  <c r="W650" i="7949" s="1"/>
  <c r="P2228" i="7949"/>
  <c r="P2229" i="7949"/>
  <c r="P2270" i="7949" s="1"/>
  <c r="Q2270" i="7949" s="1"/>
  <c r="R2270" i="7949" s="1"/>
  <c r="S2270" i="7949" s="1"/>
  <c r="T2270" i="7949" s="1"/>
  <c r="U2270" i="7949" s="1"/>
  <c r="V2270" i="7949" s="1"/>
  <c r="W2270" i="7949" s="1"/>
  <c r="P1256" i="7949"/>
  <c r="O2658" i="7950"/>
  <c r="O2496" i="7950"/>
  <c r="O2550" i="7950"/>
  <c r="O2172" i="7950"/>
  <c r="O1254" i="7950"/>
  <c r="O1308" i="7950"/>
  <c r="O228" i="7950"/>
  <c r="O1200" i="7950"/>
  <c r="O66" i="7950"/>
  <c r="O1685" i="7950"/>
  <c r="O821" i="7950"/>
  <c r="O1578" i="7950"/>
  <c r="O2063" i="7950"/>
  <c r="O1091" i="7950"/>
  <c r="O2656" i="7950"/>
  <c r="O2696" i="7950" s="1"/>
  <c r="O2224" i="7950"/>
  <c r="O2264" i="7950" s="1"/>
  <c r="O1792" i="7950"/>
  <c r="O1832" i="7950" s="1"/>
  <c r="O1360" i="7950"/>
  <c r="O1400" i="7950" s="1"/>
  <c r="O928" i="7950"/>
  <c r="O968" i="7950" s="1"/>
  <c r="O496" i="7950"/>
  <c r="O536" i="7950" s="1"/>
  <c r="O64" i="7950"/>
  <c r="O104" i="7950" s="1"/>
  <c r="O2277" i="7950"/>
  <c r="O2294" i="7950" s="1"/>
  <c r="O1845" i="7950"/>
  <c r="O1862" i="7950" s="1"/>
  <c r="O1413" i="7950"/>
  <c r="O1430" i="7950" s="1"/>
  <c r="O1632" i="7950"/>
  <c r="O2225" i="7950"/>
  <c r="O1956" i="7950"/>
  <c r="O120" i="7950"/>
  <c r="O929" i="7950"/>
  <c r="O119" i="7950"/>
  <c r="O982" i="7950"/>
  <c r="O1022" i="7950" s="1"/>
  <c r="O1899" i="7950"/>
  <c r="O1916" i="7950" s="1"/>
  <c r="O1307" i="7950"/>
  <c r="O497" i="7950"/>
  <c r="O1090" i="7950"/>
  <c r="O1130" i="7950" s="1"/>
  <c r="O2007" i="7950"/>
  <c r="O2024" i="7950" s="1"/>
  <c r="O981" i="7950"/>
  <c r="O998" i="7950" s="1"/>
  <c r="O549" i="7950"/>
  <c r="O566" i="7950" s="1"/>
  <c r="O1740" i="7950"/>
  <c r="O1630" i="7950"/>
  <c r="O1670" i="7950" s="1"/>
  <c r="O875" i="7950"/>
  <c r="O551" i="7950"/>
  <c r="O819" i="7950"/>
  <c r="O836" i="7950" s="1"/>
  <c r="O498" i="7950"/>
  <c r="O1738" i="7950"/>
  <c r="O1778" i="7950" s="1"/>
  <c r="O927" i="7950"/>
  <c r="O944" i="7950" s="1"/>
  <c r="O117" i="7950"/>
  <c r="O134" i="7950" s="1"/>
  <c r="O1793" i="7950"/>
  <c r="O1035" i="7950"/>
  <c r="O1052" i="7950" s="1"/>
  <c r="O12" i="7950"/>
  <c r="P2501" i="7949"/>
  <c r="P2555" i="7949"/>
  <c r="P2609" i="7949"/>
  <c r="P1745" i="7949"/>
  <c r="P2663" i="7949"/>
  <c r="P1259" i="7949"/>
  <c r="P989" i="7949"/>
  <c r="P1583" i="7949"/>
  <c r="P611" i="7949"/>
  <c r="P2392" i="7949"/>
  <c r="P2230" i="7949"/>
  <c r="P2231" i="7949"/>
  <c r="P125" i="7949"/>
  <c r="P1852" i="7949"/>
  <c r="P988" i="7949"/>
  <c r="P124" i="7949"/>
  <c r="P1690" i="7949"/>
  <c r="P232" i="7949"/>
  <c r="P1528" i="7949"/>
  <c r="P502" i="7949"/>
  <c r="P1906" i="7949"/>
  <c r="P665" i="7949"/>
  <c r="P935" i="7949"/>
  <c r="P934" i="7949"/>
  <c r="P1312" i="7949"/>
  <c r="P231" i="7949"/>
  <c r="P272" i="7949" s="1"/>
  <c r="Q272" i="7949" s="1"/>
  <c r="R272" i="7949" s="1"/>
  <c r="S272" i="7949" s="1"/>
  <c r="T272" i="7949" s="1"/>
  <c r="U272" i="7949" s="1"/>
  <c r="V272" i="7949" s="1"/>
  <c r="W272" i="7949" s="1"/>
  <c r="P393" i="7949"/>
  <c r="P434" i="7949" s="1"/>
  <c r="Q434" i="7949" s="1"/>
  <c r="R434" i="7949" s="1"/>
  <c r="S434" i="7949" s="1"/>
  <c r="T434" i="7949" s="1"/>
  <c r="U434" i="7949" s="1"/>
  <c r="V434" i="7949" s="1"/>
  <c r="W434" i="7949" s="1"/>
  <c r="P2499" i="7949"/>
  <c r="P2540" i="7949" s="1"/>
  <c r="Q2540" i="7949" s="1"/>
  <c r="R2540" i="7949" s="1"/>
  <c r="S2540" i="7949" s="1"/>
  <c r="T2540" i="7949" s="1"/>
  <c r="U2540" i="7949" s="1"/>
  <c r="V2540" i="7949" s="1"/>
  <c r="W2540" i="7949" s="1"/>
  <c r="P2391" i="7949"/>
  <c r="P2432" i="7949" s="1"/>
  <c r="Q2432" i="7949" s="1"/>
  <c r="R2432" i="7949" s="1"/>
  <c r="S2432" i="7949" s="1"/>
  <c r="T2432" i="7949" s="1"/>
  <c r="U2432" i="7949" s="1"/>
  <c r="V2432" i="7949" s="1"/>
  <c r="W2432" i="7949" s="1"/>
  <c r="P2013" i="7949"/>
  <c r="P2054" i="7949" s="1"/>
  <c r="Q2054" i="7949" s="1"/>
  <c r="R2054" i="7949" s="1"/>
  <c r="S2054" i="7949" s="1"/>
  <c r="T2054" i="7949" s="1"/>
  <c r="U2054" i="7949" s="1"/>
  <c r="V2054" i="7949" s="1"/>
  <c r="W2054" i="7949" s="1"/>
  <c r="P1958" i="7949"/>
  <c r="P1634" i="7949"/>
  <c r="P1904" i="7949"/>
  <c r="P825" i="7949"/>
  <c r="P866" i="7949" s="1"/>
  <c r="Q866" i="7949" s="1"/>
  <c r="R866" i="7949" s="1"/>
  <c r="S866" i="7949" s="1"/>
  <c r="T866" i="7949" s="1"/>
  <c r="U866" i="7949" s="1"/>
  <c r="V866" i="7949" s="1"/>
  <c r="W866" i="7949" s="1"/>
  <c r="P1311" i="7949"/>
  <c r="P1352" i="7949" s="1"/>
  <c r="Q1352" i="7949" s="1"/>
  <c r="R1352" i="7949" s="1"/>
  <c r="S1352" i="7949" s="1"/>
  <c r="T1352" i="7949" s="1"/>
  <c r="U1352" i="7949" s="1"/>
  <c r="V1352" i="7949" s="1"/>
  <c r="W1352" i="7949" s="1"/>
  <c r="P1365" i="7949"/>
  <c r="P1406" i="7949" s="1"/>
  <c r="Q1406" i="7949" s="1"/>
  <c r="R1406" i="7949" s="1"/>
  <c r="S1406" i="7949" s="1"/>
  <c r="T1406" i="7949" s="1"/>
  <c r="U1406" i="7949" s="1"/>
  <c r="V1406" i="7949" s="1"/>
  <c r="W1406" i="7949" s="1"/>
  <c r="P1580" i="7949"/>
  <c r="P1472" i="7949"/>
  <c r="P2337" i="7949"/>
  <c r="P2378" i="7949" s="1"/>
  <c r="Q2378" i="7949" s="1"/>
  <c r="R2378" i="7949" s="1"/>
  <c r="S2378" i="7949" s="1"/>
  <c r="T2378" i="7949" s="1"/>
  <c r="U2378" i="7949" s="1"/>
  <c r="V2378" i="7949" s="1"/>
  <c r="W2378" i="7949" s="1"/>
  <c r="P338" i="7949"/>
  <c r="P1689" i="7949"/>
  <c r="P1730" i="7949" s="1"/>
  <c r="Q1730" i="7949" s="1"/>
  <c r="R1730" i="7949" s="1"/>
  <c r="S1730" i="7949" s="1"/>
  <c r="T1730" i="7949" s="1"/>
  <c r="U1730" i="7949" s="1"/>
  <c r="V1730" i="7949" s="1"/>
  <c r="W1730" i="7949" s="1"/>
  <c r="P1742" i="7949"/>
  <c r="P1796" i="7949"/>
  <c r="P770" i="7949"/>
  <c r="P1203" i="7949"/>
  <c r="P1244" i="7949" s="1"/>
  <c r="Q1244" i="7949" s="1"/>
  <c r="R1244" i="7949" s="1"/>
  <c r="S1244" i="7949" s="1"/>
  <c r="T1244" i="7949" s="1"/>
  <c r="U1244" i="7949" s="1"/>
  <c r="V1244" i="7949" s="1"/>
  <c r="W1244" i="7949" s="1"/>
  <c r="P501" i="7949"/>
  <c r="P542" i="7949" s="1"/>
  <c r="Q542" i="7949" s="1"/>
  <c r="R542" i="7949" s="1"/>
  <c r="S542" i="7949" s="1"/>
  <c r="T542" i="7949" s="1"/>
  <c r="U542" i="7949" s="1"/>
  <c r="V542" i="7949" s="1"/>
  <c r="W542" i="7949" s="1"/>
  <c r="P446" i="7949"/>
  <c r="P1905" i="7949"/>
  <c r="P1946" i="7949" s="1"/>
  <c r="Q1946" i="7949" s="1"/>
  <c r="R1946" i="7949" s="1"/>
  <c r="S1946" i="7949" s="1"/>
  <c r="T1946" i="7949" s="1"/>
  <c r="U1946" i="7949" s="1"/>
  <c r="V1946" i="7949" s="1"/>
  <c r="W1946" i="7949" s="1"/>
  <c r="P932" i="7949"/>
  <c r="P14" i="7949"/>
  <c r="P16" i="7949"/>
  <c r="O2442" i="7950"/>
  <c r="O2280" i="7950"/>
  <c r="O2334" i="7950"/>
  <c r="O1794" i="7950"/>
  <c r="O1038" i="7950"/>
  <c r="O876" i="7950"/>
  <c r="O2657" i="7950"/>
  <c r="O930" i="7950"/>
  <c r="O2333" i="7950"/>
  <c r="O1469" i="7950"/>
  <c r="O605" i="7950"/>
  <c r="O1092" i="7950"/>
  <c r="O1955" i="7950"/>
  <c r="O713" i="7950"/>
  <c r="O2548" i="7950"/>
  <c r="O2588" i="7950" s="1"/>
  <c r="O2116" i="7950"/>
  <c r="O2156" i="7950" s="1"/>
  <c r="O1684" i="7950"/>
  <c r="O1724" i="7950" s="1"/>
  <c r="O1252" i="7950"/>
  <c r="O1292" i="7950" s="1"/>
  <c r="O820" i="7950"/>
  <c r="O860" i="7950" s="1"/>
  <c r="O388" i="7950"/>
  <c r="O428" i="7950" s="1"/>
  <c r="O2601" i="7950"/>
  <c r="O2618" i="7950" s="1"/>
  <c r="O2169" i="7950"/>
  <c r="O2186" i="7950" s="1"/>
  <c r="O1737" i="7950"/>
  <c r="O1754" i="7950" s="1"/>
  <c r="O1305" i="7950"/>
  <c r="O1322" i="7950" s="1"/>
  <c r="O1146" i="7950"/>
  <c r="O1847" i="7950"/>
  <c r="O768" i="7950"/>
  <c r="O2603" i="7950"/>
  <c r="O767" i="7950"/>
  <c r="O2278" i="7950"/>
  <c r="O2318" i="7950" s="1"/>
  <c r="O550" i="7950"/>
  <c r="O590" i="7950" s="1"/>
  <c r="O1467" i="7950"/>
  <c r="O1484" i="7950" s="1"/>
  <c r="O1145" i="7950"/>
  <c r="O2386" i="7950"/>
  <c r="O2426" i="7950" s="1"/>
  <c r="O658" i="7950"/>
  <c r="O698" i="7950" s="1"/>
  <c r="O1575" i="7950"/>
  <c r="O1592" i="7950" s="1"/>
  <c r="O873" i="7950"/>
  <c r="O890" i="7950" s="1"/>
  <c r="O441" i="7950"/>
  <c r="O458" i="7950" s="1"/>
  <c r="O2009" i="7950"/>
  <c r="O766" i="7950"/>
  <c r="O806" i="7950" s="1"/>
  <c r="O1198" i="7950"/>
  <c r="O1238" i="7950" s="1"/>
  <c r="O2170" i="7950"/>
  <c r="O2210" i="7950" s="1"/>
  <c r="O387" i="7950"/>
  <c r="O404" i="7950" s="1"/>
  <c r="O336" i="7950"/>
  <c r="O874" i="7950"/>
  <c r="O914" i="7950" s="1"/>
  <c r="O711" i="7950"/>
  <c r="O728" i="7950" s="1"/>
  <c r="O2062" i="7950"/>
  <c r="O2102" i="7950" s="1"/>
  <c r="O603" i="7950"/>
  <c r="O620" i="7950" s="1"/>
  <c r="O9" i="7950"/>
  <c r="O26" i="7950" s="1"/>
  <c r="P2285" i="7949"/>
  <c r="P2339" i="7949"/>
  <c r="P2393" i="7949"/>
  <c r="P2447" i="7949"/>
  <c r="P1799" i="7949"/>
  <c r="P1043" i="7949"/>
  <c r="P773" i="7949"/>
  <c r="P1205" i="7949"/>
  <c r="P395" i="7949"/>
  <c r="P881" i="7949"/>
  <c r="P2014" i="7949"/>
  <c r="P1367" i="7949"/>
  <c r="P1636" i="7949"/>
  <c r="P772" i="7949"/>
  <c r="P233" i="7949"/>
  <c r="P503" i="7949"/>
  <c r="P394" i="7949"/>
  <c r="P1150" i="7949"/>
  <c r="P1744" i="7949"/>
  <c r="P70" i="7949"/>
  <c r="P230" i="7949"/>
  <c r="P1095" i="7949"/>
  <c r="P1136" i="7949" s="1"/>
  <c r="Q1136" i="7949" s="1"/>
  <c r="R1136" i="7949" s="1"/>
  <c r="S1136" i="7949" s="1"/>
  <c r="T1136" i="7949" s="1"/>
  <c r="U1136" i="7949" s="1"/>
  <c r="V1136" i="7949" s="1"/>
  <c r="W1136" i="7949" s="1"/>
  <c r="P2445" i="7949"/>
  <c r="P2486" i="7949" s="1"/>
  <c r="Q2486" i="7949" s="1"/>
  <c r="R2486" i="7949" s="1"/>
  <c r="S2486" i="7949" s="1"/>
  <c r="T2486" i="7949" s="1"/>
  <c r="U2486" i="7949" s="1"/>
  <c r="V2486" i="7949" s="1"/>
  <c r="W2486" i="7949" s="1"/>
  <c r="P284" i="7949"/>
  <c r="P2552" i="7949"/>
  <c r="P771" i="7949"/>
  <c r="P812" i="7949" s="1"/>
  <c r="Q812" i="7949" s="1"/>
  <c r="R812" i="7949" s="1"/>
  <c r="S812" i="7949" s="1"/>
  <c r="T812" i="7949" s="1"/>
  <c r="U812" i="7949" s="1"/>
  <c r="V812" i="7949" s="1"/>
  <c r="W812" i="7949" s="1"/>
  <c r="P1526" i="7949"/>
  <c r="P2336" i="7949"/>
  <c r="P933" i="7949"/>
  <c r="P974" i="7949" s="1"/>
  <c r="Q974" i="7949" s="1"/>
  <c r="R974" i="7949" s="1"/>
  <c r="S974" i="7949" s="1"/>
  <c r="T974" i="7949" s="1"/>
  <c r="U974" i="7949" s="1"/>
  <c r="V974" i="7949" s="1"/>
  <c r="W974" i="7949" s="1"/>
  <c r="P2121" i="7949"/>
  <c r="P2162" i="7949" s="1"/>
  <c r="Q2162" i="7949" s="1"/>
  <c r="R2162" i="7949" s="1"/>
  <c r="S2162" i="7949" s="1"/>
  <c r="T2162" i="7949" s="1"/>
  <c r="U2162" i="7949" s="1"/>
  <c r="V2162" i="7949" s="1"/>
  <c r="W2162" i="7949" s="1"/>
  <c r="P2012" i="7949"/>
  <c r="P1418" i="7949"/>
  <c r="P1797" i="7949"/>
  <c r="P1838" i="7949" s="1"/>
  <c r="Q1838" i="7949" s="1"/>
  <c r="R1838" i="7949" s="1"/>
  <c r="S1838" i="7949" s="1"/>
  <c r="T1838" i="7949" s="1"/>
  <c r="U1838" i="7949" s="1"/>
  <c r="V1838" i="7949" s="1"/>
  <c r="W1838" i="7949" s="1"/>
  <c r="P2444" i="7949"/>
  <c r="P1850" i="7949"/>
  <c r="P17" i="7949"/>
  <c r="O2226" i="7950"/>
  <c r="O2064" i="7950"/>
  <c r="O2118" i="7950"/>
  <c r="O1686" i="7950"/>
  <c r="O660" i="7950"/>
  <c r="O1524" i="7950"/>
  <c r="O2117" i="7950"/>
  <c r="O1253" i="7950"/>
  <c r="O714" i="7950"/>
  <c r="O335" i="7950"/>
  <c r="O2440" i="7950"/>
  <c r="O2480" i="7950" s="1"/>
  <c r="O1576" i="7950"/>
  <c r="O1616" i="7950" s="1"/>
  <c r="O1144" i="7950"/>
  <c r="O1184" i="7950" s="1"/>
  <c r="O280" i="7950"/>
  <c r="O320" i="7950" s="1"/>
  <c r="O2061" i="7950"/>
  <c r="O2078" i="7950" s="1"/>
  <c r="O1629" i="7950"/>
  <c r="O1646" i="7950" s="1"/>
  <c r="O390" i="7950"/>
  <c r="O606" i="7950"/>
  <c r="O2387" i="7950"/>
  <c r="O1846" i="7950"/>
  <c r="O1886" i="7950" s="1"/>
  <c r="O2171" i="7950"/>
  <c r="O983" i="7950"/>
  <c r="O226" i="7950"/>
  <c r="O266" i="7950" s="1"/>
  <c r="O1143" i="7950"/>
  <c r="O1160" i="7950" s="1"/>
  <c r="O333" i="7950"/>
  <c r="O350" i="7950" s="1"/>
  <c r="O1523" i="7950"/>
  <c r="O1251" i="7950"/>
  <c r="O1268" i="7950" s="1"/>
  <c r="O984" i="7950"/>
  <c r="O2655" i="7950"/>
  <c r="O2672" i="7950" s="1"/>
  <c r="O334" i="7950"/>
  <c r="O374" i="7950" s="1"/>
  <c r="O1306" i="7950"/>
  <c r="O1346" i="7950" s="1"/>
  <c r="O11" i="7950"/>
  <c r="P2069" i="7949"/>
  <c r="P2177" i="7949"/>
  <c r="P1691" i="7949"/>
  <c r="P557" i="7949"/>
  <c r="P179" i="7949"/>
  <c r="P449" i="7949"/>
  <c r="P1798" i="7949"/>
  <c r="P2284" i="7949"/>
  <c r="P556" i="7949"/>
  <c r="P2554" i="7949"/>
  <c r="P2338" i="7949"/>
  <c r="P1258" i="7949"/>
  <c r="P664" i="7949"/>
  <c r="P826" i="7949"/>
  <c r="P69" i="7949"/>
  <c r="P110" i="7949" s="1"/>
  <c r="Q110" i="7949" s="1"/>
  <c r="R110" i="7949" s="1"/>
  <c r="S110" i="7949" s="1"/>
  <c r="T110" i="7949" s="1"/>
  <c r="U110" i="7949" s="1"/>
  <c r="V110" i="7949" s="1"/>
  <c r="W110" i="7949" s="1"/>
  <c r="P1419" i="7949"/>
  <c r="P1460" i="7949" s="1"/>
  <c r="Q1460" i="7949" s="1"/>
  <c r="R1460" i="7949" s="1"/>
  <c r="S1460" i="7949" s="1"/>
  <c r="T1460" i="7949" s="1"/>
  <c r="U1460" i="7949" s="1"/>
  <c r="V1460" i="7949" s="1"/>
  <c r="W1460" i="7949" s="1"/>
  <c r="P1527" i="7949"/>
  <c r="P1568" i="7949" s="1"/>
  <c r="Q1568" i="7949" s="1"/>
  <c r="R1568" i="7949" s="1"/>
  <c r="S1568" i="7949" s="1"/>
  <c r="T1568" i="7949" s="1"/>
  <c r="U1568" i="7949" s="1"/>
  <c r="V1568" i="7949" s="1"/>
  <c r="W1568" i="7949" s="1"/>
  <c r="P1149" i="7949"/>
  <c r="P1190" i="7949" s="1"/>
  <c r="Q1190" i="7949" s="1"/>
  <c r="R1190" i="7949" s="1"/>
  <c r="S1190" i="7949" s="1"/>
  <c r="T1190" i="7949" s="1"/>
  <c r="U1190" i="7949" s="1"/>
  <c r="V1190" i="7949" s="1"/>
  <c r="W1190" i="7949" s="1"/>
  <c r="P500" i="7949"/>
  <c r="P122" i="7949"/>
  <c r="P447" i="7949"/>
  <c r="P488" i="7949" s="1"/>
  <c r="Q488" i="7949" s="1"/>
  <c r="R488" i="7949" s="1"/>
  <c r="S488" i="7949" s="1"/>
  <c r="T488" i="7949" s="1"/>
  <c r="U488" i="7949" s="1"/>
  <c r="V488" i="7949" s="1"/>
  <c r="W488" i="7949" s="1"/>
  <c r="P2390" i="7949"/>
  <c r="P2066" i="7949"/>
  <c r="P1310" i="7949"/>
  <c r="P2553" i="7949"/>
  <c r="P2594" i="7949" s="1"/>
  <c r="Q2594" i="7949" s="1"/>
  <c r="R2594" i="7949" s="1"/>
  <c r="S2594" i="7949" s="1"/>
  <c r="T2594" i="7949" s="1"/>
  <c r="U2594" i="7949" s="1"/>
  <c r="V2594" i="7949" s="1"/>
  <c r="W2594" i="7949" s="1"/>
  <c r="P716" i="7949"/>
  <c r="P2282" i="7949"/>
  <c r="P2283" i="7949"/>
  <c r="P2324" i="7949" s="1"/>
  <c r="Q2324" i="7949" s="1"/>
  <c r="R2324" i="7949" s="1"/>
  <c r="S2324" i="7949" s="1"/>
  <c r="T2324" i="7949" s="1"/>
  <c r="U2324" i="7949" s="1"/>
  <c r="V2324" i="7949" s="1"/>
  <c r="W2324" i="7949" s="1"/>
  <c r="P554" i="7949"/>
  <c r="P662" i="7949"/>
  <c r="P15" i="7949"/>
  <c r="P56" i="7949" s="1"/>
  <c r="Q56" i="7949" s="1"/>
  <c r="R56" i="7949" s="1"/>
  <c r="S56" i="7949" s="1"/>
  <c r="T56" i="7949" s="1"/>
  <c r="U56" i="7949" s="1"/>
  <c r="V56" i="7949" s="1"/>
  <c r="W56" i="7949" s="1"/>
  <c r="P2064" i="7950"/>
  <c r="P1902" i="7950"/>
  <c r="P1956" i="7950"/>
  <c r="P1308" i="7950"/>
  <c r="P1578" i="7950"/>
  <c r="P498" i="7950"/>
  <c r="P2010" i="7950"/>
  <c r="P336" i="7950"/>
  <c r="P1955" i="7950"/>
  <c r="P1091" i="7950"/>
  <c r="P227" i="7950"/>
  <c r="P1362" i="7950"/>
  <c r="P552" i="7950"/>
  <c r="P2333" i="7950"/>
  <c r="P1361" i="7950"/>
  <c r="P119" i="7950"/>
  <c r="P2117" i="7950"/>
  <c r="P1901" i="7950"/>
  <c r="P2332" i="7950"/>
  <c r="P2373" i="7950" s="1"/>
  <c r="Q2373" i="7950" s="1"/>
  <c r="R2373" i="7950" s="1"/>
  <c r="S2373" i="7950" s="1"/>
  <c r="T2373" i="7950" s="1"/>
  <c r="U2373" i="7950" s="1"/>
  <c r="V2373" i="7950" s="1"/>
  <c r="W2373" i="7950" s="1"/>
  <c r="P1468" i="7950"/>
  <c r="P1509" i="7950" s="1"/>
  <c r="P604" i="7950"/>
  <c r="P645" i="7950" s="1"/>
  <c r="P2385" i="7950"/>
  <c r="P2403" i="7950" s="1"/>
  <c r="P1521" i="7950"/>
  <c r="P1539" i="7950" s="1"/>
  <c r="P873" i="7950"/>
  <c r="P891" i="7950" s="1"/>
  <c r="P441" i="7950"/>
  <c r="P459" i="7950" s="1"/>
  <c r="P2441" i="7950"/>
  <c r="P173" i="7950"/>
  <c r="P2008" i="7950"/>
  <c r="P2049" i="7950" s="1"/>
  <c r="P1144" i="7950"/>
  <c r="P1185" i="7950" s="1"/>
  <c r="P280" i="7950"/>
  <c r="P321" i="7950" s="1"/>
  <c r="P2061" i="7950"/>
  <c r="P2079" i="7950" s="1"/>
  <c r="P1197" i="7950"/>
  <c r="P1215" i="7950" s="1"/>
  <c r="P1738" i="7950"/>
  <c r="P1779" i="7950" s="1"/>
  <c r="P2655" i="7950"/>
  <c r="P2673" i="7950" s="1"/>
  <c r="P927" i="7950"/>
  <c r="P945" i="7950" s="1"/>
  <c r="P1848" i="7950"/>
  <c r="P1037" i="7950"/>
  <c r="P65" i="7950"/>
  <c r="P2169" i="7950"/>
  <c r="P2187" i="7950" s="1"/>
  <c r="P2226" i="7950"/>
  <c r="P2331" i="7950"/>
  <c r="P2349" i="7950" s="1"/>
  <c r="P2657" i="7950"/>
  <c r="P929" i="7950"/>
  <c r="P1846" i="7950"/>
  <c r="P1887" i="7950" s="1"/>
  <c r="P118" i="7950"/>
  <c r="P159" i="7950" s="1"/>
  <c r="P2170" i="7950"/>
  <c r="P2211" i="7950" s="1"/>
  <c r="P1359" i="7950"/>
  <c r="P1377" i="7950" s="1"/>
  <c r="P63" i="7950"/>
  <c r="P81" i="7950" s="1"/>
  <c r="P2277" i="7950"/>
  <c r="P2295" i="7950" s="1"/>
  <c r="P10" i="7950"/>
  <c r="P51" i="7950" s="1"/>
  <c r="Q2123" i="7949"/>
  <c r="Q2177" i="7949"/>
  <c r="Q2231" i="7949"/>
  <c r="Q1691" i="7949"/>
  <c r="Q1313" i="7949"/>
  <c r="Q1205" i="7949"/>
  <c r="Q179" i="7949"/>
  <c r="Q449" i="7949"/>
  <c r="Q1745" i="7949"/>
  <c r="Q287" i="7949"/>
  <c r="Q2068" i="7949"/>
  <c r="Q1043" i="7949"/>
  <c r="Q2122" i="7949"/>
  <c r="Q1258" i="7949"/>
  <c r="Q394" i="7949"/>
  <c r="Q1960" i="7949"/>
  <c r="Q880" i="7949"/>
  <c r="Q773" i="7949"/>
  <c r="Q1150" i="7949"/>
  <c r="Q2176" i="7949"/>
  <c r="Q1151" i="7949"/>
  <c r="Q340" i="7949"/>
  <c r="Q1204" i="7949"/>
  <c r="Q1312" i="7949"/>
  <c r="Q68" i="7949"/>
  <c r="Q1041" i="7949"/>
  <c r="Q1083" i="7949" s="1"/>
  <c r="R1083" i="7949" s="1"/>
  <c r="S1083" i="7949" s="1"/>
  <c r="T1083" i="7949" s="1"/>
  <c r="U1083" i="7949" s="1"/>
  <c r="V1083" i="7949" s="1"/>
  <c r="W1083" i="7949" s="1"/>
  <c r="Q879" i="7949"/>
  <c r="Q921" i="7949" s="1"/>
  <c r="R921" i="7949" s="1"/>
  <c r="S921" i="7949" s="1"/>
  <c r="T921" i="7949" s="1"/>
  <c r="U921" i="7949" s="1"/>
  <c r="V921" i="7949" s="1"/>
  <c r="W921" i="7949" s="1"/>
  <c r="Q446" i="7949"/>
  <c r="Q338" i="7949"/>
  <c r="Q2120" i="7949"/>
  <c r="Q1689" i="7949"/>
  <c r="Q1731" i="7949" s="1"/>
  <c r="R1731" i="7949" s="1"/>
  <c r="S1731" i="7949" s="1"/>
  <c r="T1731" i="7949" s="1"/>
  <c r="U1731" i="7949" s="1"/>
  <c r="V1731" i="7949" s="1"/>
  <c r="W1731" i="7949" s="1"/>
  <c r="Q1742" i="7949"/>
  <c r="Q2282" i="7949"/>
  <c r="Q825" i="7949"/>
  <c r="Q867" i="7949" s="1"/>
  <c r="R867" i="7949" s="1"/>
  <c r="S867" i="7949" s="1"/>
  <c r="T867" i="7949" s="1"/>
  <c r="U867" i="7949" s="1"/>
  <c r="V867" i="7949" s="1"/>
  <c r="W867" i="7949" s="1"/>
  <c r="Q1959" i="7949"/>
  <c r="Q2001" i="7949" s="1"/>
  <c r="R2001" i="7949" s="1"/>
  <c r="S2001" i="7949" s="1"/>
  <c r="T2001" i="7949" s="1"/>
  <c r="U2001" i="7949" s="1"/>
  <c r="V2001" i="7949" s="1"/>
  <c r="W2001" i="7949" s="1"/>
  <c r="Q176" i="7949"/>
  <c r="Q284" i="7949"/>
  <c r="Q1419" i="7949"/>
  <c r="Q1461" i="7949" s="1"/>
  <c r="R1461" i="7949" s="1"/>
  <c r="S1461" i="7949" s="1"/>
  <c r="T1461" i="7949" s="1"/>
  <c r="U1461" i="7949" s="1"/>
  <c r="V1461" i="7949" s="1"/>
  <c r="W1461" i="7949" s="1"/>
  <c r="Q1635" i="7949"/>
  <c r="Q1677" i="7949" s="1"/>
  <c r="R1677" i="7949" s="1"/>
  <c r="S1677" i="7949" s="1"/>
  <c r="T1677" i="7949" s="1"/>
  <c r="U1677" i="7949" s="1"/>
  <c r="V1677" i="7949" s="1"/>
  <c r="W1677" i="7949" s="1"/>
  <c r="Q1743" i="7949"/>
  <c r="Q1785" i="7949" s="1"/>
  <c r="R1785" i="7949" s="1"/>
  <c r="S1785" i="7949" s="1"/>
  <c r="T1785" i="7949" s="1"/>
  <c r="U1785" i="7949" s="1"/>
  <c r="V1785" i="7949" s="1"/>
  <c r="W1785" i="7949" s="1"/>
  <c r="Q1149" i="7949"/>
  <c r="Q1191" i="7949" s="1"/>
  <c r="R1191" i="7949" s="1"/>
  <c r="S1191" i="7949" s="1"/>
  <c r="T1191" i="7949" s="1"/>
  <c r="U1191" i="7949" s="1"/>
  <c r="V1191" i="7949" s="1"/>
  <c r="W1191" i="7949" s="1"/>
  <c r="Q878" i="7949"/>
  <c r="Q986" i="7949"/>
  <c r="Q1904" i="7949"/>
  <c r="Q1526" i="7949"/>
  <c r="Q2660" i="7949"/>
  <c r="Q2552" i="7949"/>
  <c r="Q2229" i="7949"/>
  <c r="Q2271" i="7949" s="1"/>
  <c r="R2271" i="7949" s="1"/>
  <c r="S2271" i="7949" s="1"/>
  <c r="T2271" i="7949" s="1"/>
  <c r="U2271" i="7949" s="1"/>
  <c r="V2271" i="7949" s="1"/>
  <c r="W2271" i="7949" s="1"/>
  <c r="Q1202" i="7949"/>
  <c r="Q16" i="7949"/>
  <c r="P1793" i="7950"/>
  <c r="Q2285" i="7949"/>
  <c r="Q2662" i="7949"/>
  <c r="Q2392" i="7949"/>
  <c r="Q1690" i="7949"/>
  <c r="Q503" i="7949"/>
  <c r="Q124" i="7949"/>
  <c r="Q664" i="7949"/>
  <c r="Q2500" i="7949"/>
  <c r="Q70" i="7949"/>
  <c r="Q1905" i="7949"/>
  <c r="Q1947" i="7949" s="1"/>
  <c r="R1947" i="7949" s="1"/>
  <c r="S1947" i="7949" s="1"/>
  <c r="T1947" i="7949" s="1"/>
  <c r="U1947" i="7949" s="1"/>
  <c r="V1947" i="7949" s="1"/>
  <c r="W1947" i="7949" s="1"/>
  <c r="Q1364" i="7949"/>
  <c r="Q177" i="7949"/>
  <c r="Q219" i="7949" s="1"/>
  <c r="R219" i="7949" s="1"/>
  <c r="S219" i="7949" s="1"/>
  <c r="T219" i="7949" s="1"/>
  <c r="U219" i="7949" s="1"/>
  <c r="V219" i="7949" s="1"/>
  <c r="W219" i="7949" s="1"/>
  <c r="Q2283" i="7949"/>
  <c r="Q2325" i="7949" s="1"/>
  <c r="R2325" i="7949" s="1"/>
  <c r="S2325" i="7949" s="1"/>
  <c r="T2325" i="7949" s="1"/>
  <c r="U2325" i="7949" s="1"/>
  <c r="V2325" i="7949" s="1"/>
  <c r="W2325" i="7949" s="1"/>
  <c r="Q1310" i="7949"/>
  <c r="Q2499" i="7949"/>
  <c r="Q2541" i="7949" s="1"/>
  <c r="R2541" i="7949" s="1"/>
  <c r="S2541" i="7949" s="1"/>
  <c r="T2541" i="7949" s="1"/>
  <c r="U2541" i="7949" s="1"/>
  <c r="V2541" i="7949" s="1"/>
  <c r="W2541" i="7949" s="1"/>
  <c r="Q2013" i="7949"/>
  <c r="Q2055" i="7949" s="1"/>
  <c r="R2055" i="7949" s="1"/>
  <c r="S2055" i="7949" s="1"/>
  <c r="T2055" i="7949" s="1"/>
  <c r="U2055" i="7949" s="1"/>
  <c r="V2055" i="7949" s="1"/>
  <c r="W2055" i="7949" s="1"/>
  <c r="Q2498" i="7949"/>
  <c r="Q1040" i="7949"/>
  <c r="Q15" i="7949"/>
  <c r="Q57" i="7949" s="1"/>
  <c r="R57" i="7949" s="1"/>
  <c r="S57" i="7949" s="1"/>
  <c r="T57" i="7949" s="1"/>
  <c r="U57" i="7949" s="1"/>
  <c r="V57" i="7949" s="1"/>
  <c r="W57" i="7949" s="1"/>
  <c r="P2280" i="7950"/>
  <c r="P444" i="7950"/>
  <c r="P443" i="7950"/>
  <c r="P876" i="7950"/>
  <c r="P1469" i="7950"/>
  <c r="P120" i="7950"/>
  <c r="P1522" i="7950"/>
  <c r="P1563" i="7950" s="1"/>
  <c r="P2439" i="7950"/>
  <c r="P2457" i="7950" s="1"/>
  <c r="P549" i="7950"/>
  <c r="P567" i="7950" s="1"/>
  <c r="P335" i="7950"/>
  <c r="P334" i="7950"/>
  <c r="P375" i="7950" s="1"/>
  <c r="P1251" i="7950"/>
  <c r="P1269" i="7950" s="1"/>
  <c r="P820" i="7950"/>
  <c r="P861" i="7950" s="1"/>
  <c r="P1199" i="7950"/>
  <c r="P388" i="7950"/>
  <c r="P429" i="7950" s="1"/>
  <c r="P550" i="7950"/>
  <c r="P591" i="7950" s="1"/>
  <c r="Q591" i="7950" s="1"/>
  <c r="R591" i="7950" s="1"/>
  <c r="S591" i="7950" s="1"/>
  <c r="T591" i="7950" s="1"/>
  <c r="U591" i="7950" s="1"/>
  <c r="V591" i="7950" s="1"/>
  <c r="W591" i="7950" s="1"/>
  <c r="P2656" i="7950"/>
  <c r="P2697" i="7950" s="1"/>
  <c r="P1845" i="7950"/>
  <c r="P1863" i="7950" s="1"/>
  <c r="P496" i="7950"/>
  <c r="P537" i="7950" s="1"/>
  <c r="Q2339" i="7949"/>
  <c r="Q2447" i="7949"/>
  <c r="Q1583" i="7949"/>
  <c r="Q665" i="7949"/>
  <c r="Q2284" i="7949"/>
  <c r="Q2554" i="7949"/>
  <c r="Q2338" i="7949"/>
  <c r="Q2501" i="7949"/>
  <c r="Q286" i="7949"/>
  <c r="Q2014" i="7949"/>
  <c r="Q1096" i="7949"/>
  <c r="Q2337" i="7949"/>
  <c r="Q2379" i="7949" s="1"/>
  <c r="R2379" i="7949" s="1"/>
  <c r="S2379" i="7949" s="1"/>
  <c r="T2379" i="7949" s="1"/>
  <c r="U2379" i="7949" s="1"/>
  <c r="V2379" i="7949" s="1"/>
  <c r="W2379" i="7949" s="1"/>
  <c r="Q2228" i="7949"/>
  <c r="Q1257" i="7949"/>
  <c r="Q1299" i="7949" s="1"/>
  <c r="R1299" i="7949" s="1"/>
  <c r="S1299" i="7949" s="1"/>
  <c r="T1299" i="7949" s="1"/>
  <c r="U1299" i="7949" s="1"/>
  <c r="V1299" i="7949" s="1"/>
  <c r="W1299" i="7949" s="1"/>
  <c r="Q987" i="7949"/>
  <c r="Q1029" i="7949" s="1"/>
  <c r="R1029" i="7949" s="1"/>
  <c r="S1029" i="7949" s="1"/>
  <c r="T1029" i="7949" s="1"/>
  <c r="U1029" i="7949" s="1"/>
  <c r="V1029" i="7949" s="1"/>
  <c r="W1029" i="7949" s="1"/>
  <c r="Q1797" i="7949"/>
  <c r="Q1839" i="7949" s="1"/>
  <c r="R1839" i="7949" s="1"/>
  <c r="S1839" i="7949" s="1"/>
  <c r="T1839" i="7949" s="1"/>
  <c r="U1839" i="7949" s="1"/>
  <c r="V1839" i="7949" s="1"/>
  <c r="W1839" i="7949" s="1"/>
  <c r="Q771" i="7949"/>
  <c r="Q813" i="7949" s="1"/>
  <c r="R813" i="7949" s="1"/>
  <c r="S813" i="7949" s="1"/>
  <c r="T813" i="7949" s="1"/>
  <c r="U813" i="7949" s="1"/>
  <c r="V813" i="7949" s="1"/>
  <c r="W813" i="7949" s="1"/>
  <c r="Q933" i="7949"/>
  <c r="Q975" i="7949" s="1"/>
  <c r="R975" i="7949" s="1"/>
  <c r="S975" i="7949" s="1"/>
  <c r="T975" i="7949" s="1"/>
  <c r="U975" i="7949" s="1"/>
  <c r="V975" i="7949" s="1"/>
  <c r="W975" i="7949" s="1"/>
  <c r="Q2012" i="7949"/>
  <c r="Q1094" i="7949"/>
  <c r="Q1688" i="7949"/>
  <c r="Q11" i="7949"/>
  <c r="P2550" i="7950"/>
  <c r="P2604" i="7950"/>
  <c r="P1740" i="7950"/>
  <c r="P1092" i="7950"/>
  <c r="P1200" i="7950"/>
  <c r="P282" i="7950"/>
  <c r="P1038" i="7950"/>
  <c r="P2603" i="7950"/>
  <c r="P1739" i="7950"/>
  <c r="P875" i="7950"/>
  <c r="P1632" i="7950"/>
  <c r="P1254" i="7950"/>
  <c r="P390" i="7950"/>
  <c r="P2225" i="7950"/>
  <c r="P983" i="7950"/>
  <c r="P768" i="7950"/>
  <c r="P2009" i="7950"/>
  <c r="P1415" i="7950"/>
  <c r="P1954" i="7950"/>
  <c r="P1995" i="7950" s="1"/>
  <c r="P1090" i="7950"/>
  <c r="P1131" i="7950" s="1"/>
  <c r="P226" i="7950"/>
  <c r="P267" i="7950" s="1"/>
  <c r="P2007" i="7950"/>
  <c r="P2025" i="7950" s="1"/>
  <c r="P1143" i="7950"/>
  <c r="P1161" i="7950" s="1"/>
  <c r="P765" i="7950"/>
  <c r="P783" i="7950" s="1"/>
  <c r="P333" i="7950"/>
  <c r="P351" i="7950" s="1"/>
  <c r="P1685" i="7950"/>
  <c r="P2494" i="7950"/>
  <c r="P2535" i="7950" s="1"/>
  <c r="P1630" i="7950"/>
  <c r="P1671" i="7950" s="1"/>
  <c r="P766" i="7950"/>
  <c r="P807" i="7950" s="1"/>
  <c r="P2547" i="7950"/>
  <c r="P2565" i="7950" s="1"/>
  <c r="P1683" i="7950"/>
  <c r="P1701" i="7950" s="1"/>
  <c r="P984" i="7950"/>
  <c r="P1684" i="7950"/>
  <c r="P1725" i="7950" s="1"/>
  <c r="P2601" i="7950"/>
  <c r="P2619" i="7950" s="1"/>
  <c r="P711" i="7950"/>
  <c r="P729" i="7950" s="1"/>
  <c r="P2279" i="7950"/>
  <c r="P713" i="7950"/>
  <c r="P2116" i="7950"/>
  <c r="P2157" i="7950" s="1"/>
  <c r="P1035" i="7950"/>
  <c r="P1053" i="7950" s="1"/>
  <c r="P2278" i="7950"/>
  <c r="P2319" i="7950" s="1"/>
  <c r="P1413" i="7950"/>
  <c r="P1431" i="7950" s="1"/>
  <c r="P2063" i="7950"/>
  <c r="P767" i="7950"/>
  <c r="P1792" i="7950"/>
  <c r="P1833" i="7950" s="1"/>
  <c r="P64" i="7950"/>
  <c r="P105" i="7950" s="1"/>
  <c r="P1252" i="7950"/>
  <c r="P1293" i="7950" s="1"/>
  <c r="P1305" i="7950"/>
  <c r="P1323" i="7950" s="1"/>
  <c r="P2224" i="7950"/>
  <c r="P2265" i="7950" s="1"/>
  <c r="P1467" i="7950"/>
  <c r="P1485" i="7950" s="1"/>
  <c r="P9" i="7950"/>
  <c r="P27" i="7950" s="1"/>
  <c r="Q1907" i="7949"/>
  <c r="Q1961" i="7949"/>
  <c r="Q2015" i="7949"/>
  <c r="Q1475" i="7949"/>
  <c r="Q1097" i="7949"/>
  <c r="Q827" i="7949"/>
  <c r="Q1421" i="7949"/>
  <c r="Q233" i="7949"/>
  <c r="Q1367" i="7949"/>
  <c r="Q125" i="7949"/>
  <c r="Q1852" i="7949"/>
  <c r="Q989" i="7949"/>
  <c r="Q1906" i="7949"/>
  <c r="Q1042" i="7949"/>
  <c r="Q178" i="7949"/>
  <c r="Q1528" i="7949"/>
  <c r="Q502" i="7949"/>
  <c r="Q2608" i="7949"/>
  <c r="Q772" i="7949"/>
  <c r="Q1420" i="7949"/>
  <c r="Q935" i="7949"/>
  <c r="Q341" i="7949"/>
  <c r="Q718" i="7949"/>
  <c r="Q556" i="7949"/>
  <c r="Q69" i="7949"/>
  <c r="Q111" i="7949" s="1"/>
  <c r="R111" i="7949" s="1"/>
  <c r="S111" i="7949" s="1"/>
  <c r="T111" i="7949" s="1"/>
  <c r="U111" i="7949" s="1"/>
  <c r="V111" i="7949" s="1"/>
  <c r="W111" i="7949" s="1"/>
  <c r="Q1473" i="7949"/>
  <c r="Q1515" i="7949" s="1"/>
  <c r="R1515" i="7949" s="1"/>
  <c r="S1515" i="7949" s="1"/>
  <c r="T1515" i="7949" s="1"/>
  <c r="U1515" i="7949" s="1"/>
  <c r="V1515" i="7949" s="1"/>
  <c r="W1515" i="7949" s="1"/>
  <c r="Q1095" i="7949"/>
  <c r="Q1137" i="7949" s="1"/>
  <c r="R1137" i="7949" s="1"/>
  <c r="S1137" i="7949" s="1"/>
  <c r="T1137" i="7949" s="1"/>
  <c r="U1137" i="7949" s="1"/>
  <c r="V1137" i="7949" s="1"/>
  <c r="W1137" i="7949" s="1"/>
  <c r="Q932" i="7949"/>
  <c r="Q1850" i="7949"/>
  <c r="Q123" i="7949"/>
  <c r="Q165" i="7949" s="1"/>
  <c r="R165" i="7949" s="1"/>
  <c r="S165" i="7949" s="1"/>
  <c r="T165" i="7949" s="1"/>
  <c r="U165" i="7949" s="1"/>
  <c r="V165" i="7949" s="1"/>
  <c r="W165" i="7949" s="1"/>
  <c r="Q2553" i="7949"/>
  <c r="Q2595" i="7949" s="1"/>
  <c r="R2595" i="7949" s="1"/>
  <c r="S2595" i="7949" s="1"/>
  <c r="T2595" i="7949" s="1"/>
  <c r="U2595" i="7949" s="1"/>
  <c r="V2595" i="7949" s="1"/>
  <c r="W2595" i="7949" s="1"/>
  <c r="Q2606" i="7949"/>
  <c r="Q392" i="7949"/>
  <c r="Q1203" i="7949"/>
  <c r="Q1245" i="7949" s="1"/>
  <c r="R1245" i="7949" s="1"/>
  <c r="S1245" i="7949" s="1"/>
  <c r="T1245" i="7949" s="1"/>
  <c r="U1245" i="7949" s="1"/>
  <c r="V1245" i="7949" s="1"/>
  <c r="W1245" i="7949" s="1"/>
  <c r="Q2391" i="7949"/>
  <c r="Q2433" i="7949" s="1"/>
  <c r="R2433" i="7949" s="1"/>
  <c r="S2433" i="7949" s="1"/>
  <c r="T2433" i="7949" s="1"/>
  <c r="U2433" i="7949" s="1"/>
  <c r="V2433" i="7949" s="1"/>
  <c r="W2433" i="7949" s="1"/>
  <c r="Q662" i="7949"/>
  <c r="Q1580" i="7949"/>
  <c r="Q393" i="7949"/>
  <c r="Q435" i="7949" s="1"/>
  <c r="R435" i="7949" s="1"/>
  <c r="S435" i="7949" s="1"/>
  <c r="T435" i="7949" s="1"/>
  <c r="U435" i="7949" s="1"/>
  <c r="V435" i="7949" s="1"/>
  <c r="W435" i="7949" s="1"/>
  <c r="Q2067" i="7949"/>
  <c r="Q2109" i="7949" s="1"/>
  <c r="R2109" i="7949" s="1"/>
  <c r="S2109" i="7949" s="1"/>
  <c r="T2109" i="7949" s="1"/>
  <c r="U2109" i="7949" s="1"/>
  <c r="V2109" i="7949" s="1"/>
  <c r="W2109" i="7949" s="1"/>
  <c r="Q2175" i="7949"/>
  <c r="Q2217" i="7949" s="1"/>
  <c r="R2217" i="7949" s="1"/>
  <c r="S2217" i="7949" s="1"/>
  <c r="T2217" i="7949" s="1"/>
  <c r="U2217" i="7949" s="1"/>
  <c r="V2217" i="7949" s="1"/>
  <c r="W2217" i="7949" s="1"/>
  <c r="Q1581" i="7949"/>
  <c r="Q1623" i="7949" s="1"/>
  <c r="R1623" i="7949" s="1"/>
  <c r="S1623" i="7949" s="1"/>
  <c r="T1623" i="7949" s="1"/>
  <c r="U1623" i="7949" s="1"/>
  <c r="V1623" i="7949" s="1"/>
  <c r="W1623" i="7949" s="1"/>
  <c r="Q716" i="7949"/>
  <c r="Q1634" i="7949"/>
  <c r="Q2121" i="7949"/>
  <c r="Q2163" i="7949" s="1"/>
  <c r="R2163" i="7949" s="1"/>
  <c r="S2163" i="7949" s="1"/>
  <c r="T2163" i="7949" s="1"/>
  <c r="U2163" i="7949" s="1"/>
  <c r="V2163" i="7949" s="1"/>
  <c r="W2163" i="7949" s="1"/>
  <c r="Q1958" i="7949"/>
  <c r="Q1418" i="7949"/>
  <c r="Q555" i="7949"/>
  <c r="Q597" i="7949" s="1"/>
  <c r="R597" i="7949" s="1"/>
  <c r="S597" i="7949" s="1"/>
  <c r="T597" i="7949" s="1"/>
  <c r="U597" i="7949" s="1"/>
  <c r="V597" i="7949" s="1"/>
  <c r="W597" i="7949" s="1"/>
  <c r="Q2661" i="7949"/>
  <c r="Q2703" i="7949" s="1"/>
  <c r="R2703" i="7949" s="1"/>
  <c r="S2703" i="7949" s="1"/>
  <c r="T2703" i="7949" s="1"/>
  <c r="U2703" i="7949" s="1"/>
  <c r="V2703" i="7949" s="1"/>
  <c r="W2703" i="7949" s="1"/>
  <c r="Q1472" i="7949"/>
  <c r="Q14" i="7949"/>
  <c r="P2496" i="7950"/>
  <c r="P2334" i="7950"/>
  <c r="P2388" i="7950"/>
  <c r="P2442" i="7950"/>
  <c r="P2658" i="7950"/>
  <c r="P930" i="7950"/>
  <c r="P66" i="7950"/>
  <c r="P822" i="7950"/>
  <c r="P2387" i="7950"/>
  <c r="P1523" i="7950"/>
  <c r="P659" i="7950"/>
  <c r="P1470" i="7950"/>
  <c r="P1146" i="7950"/>
  <c r="P228" i="7950"/>
  <c r="P1847" i="7950"/>
  <c r="P605" i="7950"/>
  <c r="P606" i="7950"/>
  <c r="P1631" i="7950"/>
  <c r="P1145" i="7950"/>
  <c r="P1900" i="7950"/>
  <c r="P1941" i="7950" s="1"/>
  <c r="Q1941" i="7950" s="1"/>
  <c r="R1941" i="7950" s="1"/>
  <c r="S1941" i="7950" s="1"/>
  <c r="T1941" i="7950" s="1"/>
  <c r="U1941" i="7950" s="1"/>
  <c r="V1941" i="7950" s="1"/>
  <c r="W1941" i="7950" s="1"/>
  <c r="P1036" i="7950"/>
  <c r="P1077" i="7950" s="1"/>
  <c r="P172" i="7950"/>
  <c r="P213" i="7950" s="1"/>
  <c r="P1953" i="7950"/>
  <c r="P1971" i="7950" s="1"/>
  <c r="P1089" i="7950"/>
  <c r="P1107" i="7950" s="1"/>
  <c r="P657" i="7950"/>
  <c r="P675" i="7950" s="1"/>
  <c r="P225" i="7950"/>
  <c r="P243" i="7950" s="1"/>
  <c r="P821" i="7950"/>
  <c r="P2440" i="7950"/>
  <c r="P2481" i="7950" s="1"/>
  <c r="P1576" i="7950"/>
  <c r="P1617" i="7950" s="1"/>
  <c r="P712" i="7950"/>
  <c r="P753" i="7950" s="1"/>
  <c r="P2493" i="7950"/>
  <c r="P2511" i="7950" s="1"/>
  <c r="P1629" i="7950"/>
  <c r="P1647" i="7950" s="1"/>
  <c r="P2602" i="7950"/>
  <c r="P2643" i="7950" s="1"/>
  <c r="P874" i="7950"/>
  <c r="P915" i="7950" s="1"/>
  <c r="P1791" i="7950"/>
  <c r="P1809" i="7950" s="1"/>
  <c r="P495" i="7950"/>
  <c r="P513" i="7950" s="1"/>
  <c r="P551" i="7950"/>
  <c r="P1306" i="7950"/>
  <c r="P1347" i="7950" s="1"/>
  <c r="P603" i="7950"/>
  <c r="P621" i="7950" s="1"/>
  <c r="P1360" i="7950"/>
  <c r="P1401" i="7950" s="1"/>
  <c r="P660" i="7950"/>
  <c r="P1577" i="7950"/>
  <c r="P281" i="7950"/>
  <c r="P982" i="7950"/>
  <c r="P1023" i="7950" s="1"/>
  <c r="P1899" i="7950"/>
  <c r="P1917" i="7950" s="1"/>
  <c r="P442" i="7950"/>
  <c r="P483" i="7950" s="1"/>
  <c r="P819" i="7950"/>
  <c r="P837" i="7950" s="1"/>
  <c r="P1414" i="7950"/>
  <c r="P1455" i="7950" s="1"/>
  <c r="P12" i="7950"/>
  <c r="Q2555" i="7949"/>
  <c r="Q2609" i="7949"/>
  <c r="Q2663" i="7949"/>
  <c r="Q1799" i="7949"/>
  <c r="Q2069" i="7949"/>
  <c r="Q611" i="7949"/>
  <c r="Q881" i="7949"/>
  <c r="Q1259" i="7949"/>
  <c r="Q1636" i="7949"/>
  <c r="Q557" i="7949"/>
  <c r="Q826" i="7949"/>
  <c r="Q1366" i="7949"/>
  <c r="Q2230" i="7949"/>
  <c r="Q934" i="7949"/>
  <c r="Q1744" i="7949"/>
  <c r="Q232" i="7949"/>
  <c r="Q231" i="7949"/>
  <c r="Q273" i="7949" s="1"/>
  <c r="R273" i="7949" s="1"/>
  <c r="S273" i="7949" s="1"/>
  <c r="T273" i="7949" s="1"/>
  <c r="U273" i="7949" s="1"/>
  <c r="V273" i="7949" s="1"/>
  <c r="W273" i="7949" s="1"/>
  <c r="Q285" i="7949"/>
  <c r="Q327" i="7949" s="1"/>
  <c r="R327" i="7949" s="1"/>
  <c r="S327" i="7949" s="1"/>
  <c r="T327" i="7949" s="1"/>
  <c r="U327" i="7949" s="1"/>
  <c r="V327" i="7949" s="1"/>
  <c r="W327" i="7949" s="1"/>
  <c r="Q824" i="7949"/>
  <c r="Q609" i="7949"/>
  <c r="Q651" i="7949" s="1"/>
  <c r="R651" i="7949" s="1"/>
  <c r="S651" i="7949" s="1"/>
  <c r="T651" i="7949" s="1"/>
  <c r="U651" i="7949" s="1"/>
  <c r="V651" i="7949" s="1"/>
  <c r="W651" i="7949" s="1"/>
  <c r="Q500" i="7949"/>
  <c r="Q608" i="7949"/>
  <c r="Q1365" i="7949"/>
  <c r="Q1407" i="7949" s="1"/>
  <c r="R1407" i="7949" s="1"/>
  <c r="S1407" i="7949" s="1"/>
  <c r="T1407" i="7949" s="1"/>
  <c r="U1407" i="7949" s="1"/>
  <c r="V1407" i="7949" s="1"/>
  <c r="W1407" i="7949" s="1"/>
  <c r="Q2066" i="7949"/>
  <c r="Q339" i="7949"/>
  <c r="Q381" i="7949" s="1"/>
  <c r="R381" i="7949" s="1"/>
  <c r="S381" i="7949" s="1"/>
  <c r="T381" i="7949" s="1"/>
  <c r="U381" i="7949" s="1"/>
  <c r="V381" i="7949" s="1"/>
  <c r="W381" i="7949" s="1"/>
  <c r="Q2607" i="7949"/>
  <c r="Q2649" i="7949" s="1"/>
  <c r="R2649" i="7949" s="1"/>
  <c r="S2649" i="7949" s="1"/>
  <c r="T2649" i="7949" s="1"/>
  <c r="U2649" i="7949" s="1"/>
  <c r="V2649" i="7949" s="1"/>
  <c r="W2649" i="7949" s="1"/>
  <c r="Q1148" i="7949"/>
  <c r="Q447" i="7949"/>
  <c r="Q489" i="7949" s="1"/>
  <c r="R489" i="7949" s="1"/>
  <c r="S489" i="7949" s="1"/>
  <c r="T489" i="7949" s="1"/>
  <c r="U489" i="7949" s="1"/>
  <c r="V489" i="7949" s="1"/>
  <c r="W489" i="7949" s="1"/>
  <c r="Q2390" i="7949"/>
  <c r="Q1851" i="7949"/>
  <c r="Q1893" i="7949" s="1"/>
  <c r="R1893" i="7949" s="1"/>
  <c r="S1893" i="7949" s="1"/>
  <c r="T1893" i="7949" s="1"/>
  <c r="U1893" i="7949" s="1"/>
  <c r="V1893" i="7949" s="1"/>
  <c r="W1893" i="7949" s="1"/>
  <c r="Q2444" i="7949"/>
  <c r="Q17" i="7949"/>
  <c r="P2118" i="7950"/>
  <c r="P2172" i="7950"/>
  <c r="P1524" i="7950"/>
  <c r="P1686" i="7950"/>
  <c r="P714" i="7950"/>
  <c r="P2495" i="7950"/>
  <c r="P2171" i="7950"/>
  <c r="P1307" i="7950"/>
  <c r="P1416" i="7950"/>
  <c r="P2549" i="7950"/>
  <c r="P497" i="7950"/>
  <c r="P1794" i="7950"/>
  <c r="P2386" i="7950"/>
  <c r="P2427" i="7950" s="1"/>
  <c r="P658" i="7950"/>
  <c r="P699" i="7950" s="1"/>
  <c r="P1575" i="7950"/>
  <c r="P1593" i="7950" s="1"/>
  <c r="P981" i="7950"/>
  <c r="P999" i="7950" s="1"/>
  <c r="P117" i="7950"/>
  <c r="P135" i="7950" s="1"/>
  <c r="P2062" i="7950"/>
  <c r="P2103" i="7950" s="1"/>
  <c r="P1198" i="7950"/>
  <c r="P1239" i="7950" s="1"/>
  <c r="P2115" i="7950"/>
  <c r="P2133" i="7950" s="1"/>
  <c r="P2548" i="7950"/>
  <c r="P2589" i="7950" s="1"/>
  <c r="Q2589" i="7950" s="1"/>
  <c r="R2589" i="7950" s="1"/>
  <c r="S2589" i="7950" s="1"/>
  <c r="T2589" i="7950" s="1"/>
  <c r="U2589" i="7950" s="1"/>
  <c r="V2589" i="7950" s="1"/>
  <c r="W2589" i="7950" s="1"/>
  <c r="P1737" i="7950"/>
  <c r="P1755" i="7950" s="1"/>
  <c r="P279" i="7950"/>
  <c r="P297" i="7950" s="1"/>
  <c r="P389" i="7950"/>
  <c r="P387" i="7950"/>
  <c r="P405" i="7950" s="1"/>
  <c r="P174" i="7950"/>
  <c r="P1253" i="7950"/>
  <c r="P928" i="7950"/>
  <c r="P969" i="7950" s="1"/>
  <c r="P2223" i="7950"/>
  <c r="P2241" i="7950" s="1"/>
  <c r="P171" i="7950"/>
  <c r="P189" i="7950" s="1"/>
  <c r="P11" i="7950"/>
  <c r="Q2393" i="7949"/>
  <c r="Q1853" i="7949"/>
  <c r="Q1529" i="7949"/>
  <c r="Q395" i="7949"/>
  <c r="Q2446" i="7949"/>
  <c r="Q719" i="7949"/>
  <c r="Q1637" i="7949"/>
  <c r="Q1474" i="7949"/>
  <c r="Q610" i="7949"/>
  <c r="Q988" i="7949"/>
  <c r="Q1798" i="7949"/>
  <c r="Q448" i="7949"/>
  <c r="Q1582" i="7949"/>
  <c r="Q71" i="7949"/>
  <c r="Q230" i="7949"/>
  <c r="Q717" i="7949"/>
  <c r="Q759" i="7949" s="1"/>
  <c r="R759" i="7949" s="1"/>
  <c r="S759" i="7949" s="1"/>
  <c r="T759" i="7949" s="1"/>
  <c r="U759" i="7949" s="1"/>
  <c r="V759" i="7949" s="1"/>
  <c r="W759" i="7949" s="1"/>
  <c r="Q1256" i="7949"/>
  <c r="Q501" i="7949"/>
  <c r="Q543" i="7949" s="1"/>
  <c r="R543" i="7949" s="1"/>
  <c r="S543" i="7949" s="1"/>
  <c r="T543" i="7949" s="1"/>
  <c r="U543" i="7949" s="1"/>
  <c r="V543" i="7949" s="1"/>
  <c r="W543" i="7949" s="1"/>
  <c r="Q770" i="7949"/>
  <c r="Q1527" i="7949"/>
  <c r="Q1569" i="7949" s="1"/>
  <c r="R1569" i="7949" s="1"/>
  <c r="S1569" i="7949" s="1"/>
  <c r="T1569" i="7949" s="1"/>
  <c r="U1569" i="7949" s="1"/>
  <c r="V1569" i="7949" s="1"/>
  <c r="W1569" i="7949" s="1"/>
  <c r="Q2174" i="7949"/>
  <c r="Q2336" i="7949"/>
  <c r="Q1311" i="7949"/>
  <c r="Q1353" i="7949" s="1"/>
  <c r="R1353" i="7949" s="1"/>
  <c r="S1353" i="7949" s="1"/>
  <c r="T1353" i="7949" s="1"/>
  <c r="U1353" i="7949" s="1"/>
  <c r="V1353" i="7949" s="1"/>
  <c r="W1353" i="7949" s="1"/>
  <c r="Q2445" i="7949"/>
  <c r="Q2487" i="7949" s="1"/>
  <c r="R2487" i="7949" s="1"/>
  <c r="S2487" i="7949" s="1"/>
  <c r="T2487" i="7949" s="1"/>
  <c r="U2487" i="7949" s="1"/>
  <c r="V2487" i="7949" s="1"/>
  <c r="W2487" i="7949" s="1"/>
  <c r="Q122" i="7949"/>
  <c r="Q1796" i="7949"/>
  <c r="Q663" i="7949"/>
  <c r="Q705" i="7949" s="1"/>
  <c r="R705" i="7949" s="1"/>
  <c r="S705" i="7949" s="1"/>
  <c r="T705" i="7949" s="1"/>
  <c r="U705" i="7949" s="1"/>
  <c r="V705" i="7949" s="1"/>
  <c r="W705" i="7949" s="1"/>
  <c r="Q554" i="7949"/>
  <c r="Q2334" i="7950"/>
  <c r="Q2388" i="7950"/>
  <c r="Q2658" i="7950"/>
  <c r="Q1794" i="7950"/>
  <c r="Q1470" i="7950"/>
  <c r="Q552" i="7950"/>
  <c r="Q2496" i="7950"/>
  <c r="Q714" i="7950"/>
  <c r="Q2441" i="7950"/>
  <c r="Q1577" i="7950"/>
  <c r="Q713" i="7950"/>
  <c r="Q1686" i="7950"/>
  <c r="Q1038" i="7950"/>
  <c r="Q1631" i="7950"/>
  <c r="Q389" i="7950"/>
  <c r="Q2278" i="7950"/>
  <c r="Q2320" i="7950" s="1"/>
  <c r="Q1846" i="7950"/>
  <c r="Q1888" i="7950" s="1"/>
  <c r="Q1414" i="7950"/>
  <c r="Q1456" i="7950" s="1"/>
  <c r="Q982" i="7950"/>
  <c r="Q1024" i="7950" s="1"/>
  <c r="Q550" i="7950"/>
  <c r="Q592" i="7950" s="1"/>
  <c r="Q118" i="7950"/>
  <c r="Q160" i="7950" s="1"/>
  <c r="Q2331" i="7950"/>
  <c r="Q2350" i="7950" s="1"/>
  <c r="Q1899" i="7950"/>
  <c r="Q1918" i="7950" s="1"/>
  <c r="Q1467" i="7950"/>
  <c r="Q1486" i="7950" s="1"/>
  <c r="Q2280" i="7950"/>
  <c r="Q282" i="7950"/>
  <c r="Q1901" i="7950"/>
  <c r="Q1685" i="7950"/>
  <c r="Q659" i="7950"/>
  <c r="Q2008" i="7950"/>
  <c r="Q2050" i="7950" s="1"/>
  <c r="Q280" i="7950"/>
  <c r="Q322" i="7950" s="1"/>
  <c r="Q1197" i="7950"/>
  <c r="Q1216" i="7950" s="1"/>
  <c r="Q1955" i="7950"/>
  <c r="Q551" i="7950"/>
  <c r="Q1252" i="7950"/>
  <c r="Q1294" i="7950" s="1"/>
  <c r="Q2169" i="7950"/>
  <c r="Q2188" i="7950" s="1"/>
  <c r="Q927" i="7950"/>
  <c r="Q946" i="7950" s="1"/>
  <c r="Q495" i="7950"/>
  <c r="Q514" i="7950" s="1"/>
  <c r="Q822" i="7950"/>
  <c r="Q2657" i="7950"/>
  <c r="Q928" i="7950"/>
  <c r="Q970" i="7950" s="1"/>
  <c r="Q227" i="7950"/>
  <c r="Q1413" i="7950"/>
  <c r="Q1432" i="7950" s="1"/>
  <c r="Q549" i="7950"/>
  <c r="Q568" i="7950" s="1"/>
  <c r="Q119" i="7950"/>
  <c r="Q1953" i="7950"/>
  <c r="Q1972" i="7950" s="1"/>
  <c r="Q441" i="7950"/>
  <c r="Q460" i="7950" s="1"/>
  <c r="Q2333" i="7950"/>
  <c r="Q2385" i="7950"/>
  <c r="Q2404" i="7950" s="1"/>
  <c r="Q11" i="7950"/>
  <c r="R2393" i="7949"/>
  <c r="R2663" i="7949"/>
  <c r="R1799" i="7949"/>
  <c r="R1853" i="7949"/>
  <c r="R2339" i="7949"/>
  <c r="R2555" i="7949"/>
  <c r="R665" i="7949"/>
  <c r="R1691" i="7949"/>
  <c r="R503" i="7949"/>
  <c r="R2284" i="7949"/>
  <c r="R557" i="7949"/>
  <c r="R1906" i="7949"/>
  <c r="R395" i="7949"/>
  <c r="R1960" i="7949"/>
  <c r="R1096" i="7949"/>
  <c r="R232" i="7949"/>
  <c r="R1798" i="7949"/>
  <c r="R394" i="7949"/>
  <c r="R2392" i="7949"/>
  <c r="R1042" i="7949"/>
  <c r="R70" i="7949"/>
  <c r="R718" i="7949"/>
  <c r="R611" i="7949"/>
  <c r="R826" i="7949"/>
  <c r="R124" i="7949"/>
  <c r="R230" i="7949"/>
  <c r="R1203" i="7949"/>
  <c r="R1246" i="7949" s="1"/>
  <c r="S1246" i="7949" s="1"/>
  <c r="T1246" i="7949" s="1"/>
  <c r="U1246" i="7949" s="1"/>
  <c r="V1246" i="7949" s="1"/>
  <c r="W1246" i="7949" s="1"/>
  <c r="R1095" i="7949"/>
  <c r="R1138" i="7949" s="1"/>
  <c r="S1138" i="7949" s="1"/>
  <c r="T1138" i="7949" s="1"/>
  <c r="U1138" i="7949" s="1"/>
  <c r="V1138" i="7949" s="1"/>
  <c r="W1138" i="7949" s="1"/>
  <c r="R1365" i="7949"/>
  <c r="R1408" i="7949" s="1"/>
  <c r="S1408" i="7949" s="1"/>
  <c r="T1408" i="7949" s="1"/>
  <c r="U1408" i="7949" s="1"/>
  <c r="V1408" i="7949" s="1"/>
  <c r="W1408" i="7949" s="1"/>
  <c r="R662" i="7949"/>
  <c r="R1580" i="7949"/>
  <c r="R392" i="7949"/>
  <c r="R1688" i="7949"/>
  <c r="R1904" i="7949"/>
  <c r="R1635" i="7949"/>
  <c r="R1678" i="7949" s="1"/>
  <c r="S1678" i="7949" s="1"/>
  <c r="T1678" i="7949" s="1"/>
  <c r="U1678" i="7949" s="1"/>
  <c r="V1678" i="7949" s="1"/>
  <c r="W1678" i="7949" s="1"/>
  <c r="R879" i="7949"/>
  <c r="R922" i="7949" s="1"/>
  <c r="S922" i="7949" s="1"/>
  <c r="T922" i="7949" s="1"/>
  <c r="U922" i="7949" s="1"/>
  <c r="V922" i="7949" s="1"/>
  <c r="W922" i="7949" s="1"/>
  <c r="R1148" i="7949"/>
  <c r="R717" i="7949"/>
  <c r="R760" i="7949" s="1"/>
  <c r="S760" i="7949" s="1"/>
  <c r="T760" i="7949" s="1"/>
  <c r="U760" i="7949" s="1"/>
  <c r="V760" i="7949" s="1"/>
  <c r="W760" i="7949" s="1"/>
  <c r="R500" i="7949"/>
  <c r="R122" i="7949"/>
  <c r="R1689" i="7949"/>
  <c r="R1732" i="7949" s="1"/>
  <c r="S1732" i="7949" s="1"/>
  <c r="T1732" i="7949" s="1"/>
  <c r="U1732" i="7949" s="1"/>
  <c r="V1732" i="7949" s="1"/>
  <c r="W1732" i="7949" s="1"/>
  <c r="R176" i="7949"/>
  <c r="R932" i="7949"/>
  <c r="R770" i="7949"/>
  <c r="R1311" i="7949"/>
  <c r="R1354" i="7949" s="1"/>
  <c r="S1354" i="7949" s="1"/>
  <c r="T1354" i="7949" s="1"/>
  <c r="U1354" i="7949" s="1"/>
  <c r="V1354" i="7949" s="1"/>
  <c r="W1354" i="7949" s="1"/>
  <c r="R1149" i="7949"/>
  <c r="R1192" i="7949" s="1"/>
  <c r="S1192" i="7949" s="1"/>
  <c r="T1192" i="7949" s="1"/>
  <c r="U1192" i="7949" s="1"/>
  <c r="V1192" i="7949" s="1"/>
  <c r="W1192" i="7949" s="1"/>
  <c r="R2012" i="7949"/>
  <c r="R1041" i="7949"/>
  <c r="R1084" i="7949" s="1"/>
  <c r="S1084" i="7949" s="1"/>
  <c r="T1084" i="7949" s="1"/>
  <c r="U1084" i="7949" s="1"/>
  <c r="V1084" i="7949" s="1"/>
  <c r="W1084" i="7949" s="1"/>
  <c r="R2660" i="7949"/>
  <c r="R15" i="7949"/>
  <c r="R58" i="7949" s="1"/>
  <c r="S58" i="7949" s="1"/>
  <c r="T58" i="7949" s="1"/>
  <c r="U58" i="7949" s="1"/>
  <c r="V58" i="7949" s="1"/>
  <c r="W58" i="7949" s="1"/>
  <c r="Q1144" i="7950"/>
  <c r="Q1186" i="7950" s="1"/>
  <c r="R1961" i="7949"/>
  <c r="R1529" i="7949"/>
  <c r="R233" i="7949"/>
  <c r="R71" i="7949"/>
  <c r="R2554" i="7949"/>
  <c r="R1528" i="7949"/>
  <c r="R2608" i="7949"/>
  <c r="R1475" i="7949"/>
  <c r="R1582" i="7949"/>
  <c r="R988" i="7949"/>
  <c r="R987" i="7949"/>
  <c r="R1030" i="7949" s="1"/>
  <c r="S1030" i="7949" s="1"/>
  <c r="T1030" i="7949" s="1"/>
  <c r="U1030" i="7949" s="1"/>
  <c r="V1030" i="7949" s="1"/>
  <c r="W1030" i="7949" s="1"/>
  <c r="R1959" i="7949"/>
  <c r="R2002" i="7949" s="1"/>
  <c r="S2002" i="7949" s="1"/>
  <c r="T2002" i="7949" s="1"/>
  <c r="U2002" i="7949" s="1"/>
  <c r="V2002" i="7949" s="1"/>
  <c r="W2002" i="7949" s="1"/>
  <c r="R1202" i="7949"/>
  <c r="R2336" i="7949"/>
  <c r="R2445" i="7949"/>
  <c r="R2488" i="7949" s="1"/>
  <c r="S2488" i="7949" s="1"/>
  <c r="T2488" i="7949" s="1"/>
  <c r="U2488" i="7949" s="1"/>
  <c r="V2488" i="7949" s="1"/>
  <c r="W2488" i="7949" s="1"/>
  <c r="R878" i="7949"/>
  <c r="R2553" i="7949"/>
  <c r="R2596" i="7949" s="1"/>
  <c r="S2596" i="7949" s="1"/>
  <c r="T2596" i="7949" s="1"/>
  <c r="U2596" i="7949" s="1"/>
  <c r="V2596" i="7949" s="1"/>
  <c r="W2596" i="7949" s="1"/>
  <c r="R2228" i="7949"/>
  <c r="R1742" i="7949"/>
  <c r="R2337" i="7949"/>
  <c r="R2380" i="7949" s="1"/>
  <c r="S2380" i="7949" s="1"/>
  <c r="T2380" i="7949" s="1"/>
  <c r="U2380" i="7949" s="1"/>
  <c r="V2380" i="7949" s="1"/>
  <c r="W2380" i="7949" s="1"/>
  <c r="R11" i="7949"/>
  <c r="Q2550" i="7950"/>
  <c r="Q2604" i="7950"/>
  <c r="Q1740" i="7950"/>
  <c r="Q2010" i="7950"/>
  <c r="Q1146" i="7950"/>
  <c r="Q768" i="7950"/>
  <c r="Q2549" i="7950"/>
  <c r="Q1254" i="7950"/>
  <c r="Q2495" i="7950"/>
  <c r="Q929" i="7950"/>
  <c r="Q65" i="7950"/>
  <c r="Q1200" i="7950"/>
  <c r="Q767" i="7950"/>
  <c r="Q1954" i="7950"/>
  <c r="Q1996" i="7950" s="1"/>
  <c r="Q658" i="7950"/>
  <c r="Q700" i="7950" s="1"/>
  <c r="Q2439" i="7950"/>
  <c r="Q2458" i="7950" s="1"/>
  <c r="Q1143" i="7950"/>
  <c r="Q1162" i="7950" s="1"/>
  <c r="Q2279" i="7950"/>
  <c r="Q821" i="7950"/>
  <c r="Q712" i="7950"/>
  <c r="Q754" i="7950" s="1"/>
  <c r="Q390" i="7950"/>
  <c r="Q2601" i="7950"/>
  <c r="Q2620" i="7950" s="1"/>
  <c r="Q603" i="7950"/>
  <c r="Q622" i="7950" s="1"/>
  <c r="Q1792" i="7950"/>
  <c r="Q1834" i="7950" s="1"/>
  <c r="Q2277" i="7950"/>
  <c r="Q2296" i="7950" s="1"/>
  <c r="Q443" i="7950"/>
  <c r="Q1360" i="7950"/>
  <c r="Q1402" i="7950" s="1"/>
  <c r="Q12" i="7950"/>
  <c r="R1745" i="7949"/>
  <c r="R2069" i="7949"/>
  <c r="R881" i="7949"/>
  <c r="R719" i="7949"/>
  <c r="R989" i="7949"/>
  <c r="R2176" i="7949"/>
  <c r="R448" i="7949"/>
  <c r="R772" i="7949"/>
  <c r="R178" i="7949"/>
  <c r="R1205" i="7949"/>
  <c r="R610" i="7949"/>
  <c r="R663" i="7949"/>
  <c r="R706" i="7949" s="1"/>
  <c r="S706" i="7949" s="1"/>
  <c r="T706" i="7949" s="1"/>
  <c r="U706" i="7949" s="1"/>
  <c r="V706" i="7949" s="1"/>
  <c r="W706" i="7949" s="1"/>
  <c r="R2661" i="7949"/>
  <c r="R2704" i="7949" s="1"/>
  <c r="S2704" i="7949" s="1"/>
  <c r="T2704" i="7949" s="1"/>
  <c r="U2704" i="7949" s="1"/>
  <c r="V2704" i="7949" s="1"/>
  <c r="W2704" i="7949" s="1"/>
  <c r="R1472" i="7949"/>
  <c r="R771" i="7949"/>
  <c r="R814" i="7949" s="1"/>
  <c r="S814" i="7949" s="1"/>
  <c r="T814" i="7949" s="1"/>
  <c r="U814" i="7949" s="1"/>
  <c r="V814" i="7949" s="1"/>
  <c r="W814" i="7949" s="1"/>
  <c r="R716" i="7949"/>
  <c r="R2390" i="7949"/>
  <c r="R285" i="7949"/>
  <c r="R328" i="7949" s="1"/>
  <c r="S328" i="7949" s="1"/>
  <c r="T328" i="7949" s="1"/>
  <c r="U328" i="7949" s="1"/>
  <c r="V328" i="7949" s="1"/>
  <c r="W328" i="7949" s="1"/>
  <c r="R554" i="7949"/>
  <c r="R2606" i="7949"/>
  <c r="R1526" i="7949"/>
  <c r="Q2118" i="7950"/>
  <c r="Q2172" i="7950"/>
  <c r="Q2442" i="7950"/>
  <c r="Q1578" i="7950"/>
  <c r="Q1092" i="7950"/>
  <c r="Q336" i="7950"/>
  <c r="Q1848" i="7950"/>
  <c r="Q606" i="7950"/>
  <c r="Q2225" i="7950"/>
  <c r="Q1361" i="7950"/>
  <c r="Q497" i="7950"/>
  <c r="Q1524" i="7950"/>
  <c r="Q66" i="7950"/>
  <c r="Q1253" i="7950"/>
  <c r="Q2602" i="7950"/>
  <c r="Q2644" i="7950" s="1"/>
  <c r="Q2170" i="7950"/>
  <c r="Q2212" i="7950" s="1"/>
  <c r="Q1738" i="7950"/>
  <c r="Q1780" i="7950" s="1"/>
  <c r="Q1306" i="7950"/>
  <c r="Q1348" i="7950" s="1"/>
  <c r="Q874" i="7950"/>
  <c r="Q916" i="7950" s="1"/>
  <c r="Q442" i="7950"/>
  <c r="Q484" i="7950" s="1"/>
  <c r="Q2655" i="7950"/>
  <c r="Q2674" i="7950" s="1"/>
  <c r="Q2223" i="7950"/>
  <c r="Q2242" i="7950" s="1"/>
  <c r="Q1791" i="7950"/>
  <c r="Q1810" i="7950" s="1"/>
  <c r="Q1359" i="7950"/>
  <c r="Q1378" i="7950" s="1"/>
  <c r="Q2064" i="7950"/>
  <c r="Q2603" i="7950"/>
  <c r="Q1523" i="7950"/>
  <c r="Q1307" i="7950"/>
  <c r="Q335" i="7950"/>
  <c r="Q1576" i="7950"/>
  <c r="Q1618" i="7950" s="1"/>
  <c r="Q2493" i="7950"/>
  <c r="Q2512" i="7950" s="1"/>
  <c r="Q1632" i="7950"/>
  <c r="Q1469" i="7950"/>
  <c r="Q2548" i="7950"/>
  <c r="Q2590" i="7950" s="1"/>
  <c r="Q820" i="7950"/>
  <c r="Q862" i="7950" s="1"/>
  <c r="Q1737" i="7950"/>
  <c r="Q1756" i="7950" s="1"/>
  <c r="Q819" i="7950"/>
  <c r="Q838" i="7950" s="1"/>
  <c r="Q387" i="7950"/>
  <c r="Q406" i="7950" s="1"/>
  <c r="Q660" i="7950"/>
  <c r="Q2063" i="7950"/>
  <c r="Q64" i="7950"/>
  <c r="Q106" i="7950" s="1"/>
  <c r="Q2224" i="7950"/>
  <c r="Q2266" i="7950" s="1"/>
  <c r="Q1468" i="7950"/>
  <c r="Q1510" i="7950" s="1"/>
  <c r="Q1091" i="7950"/>
  <c r="Q1900" i="7950"/>
  <c r="Q1942" i="7950" s="1"/>
  <c r="Q1089" i="7950"/>
  <c r="Q1108" i="7950" s="1"/>
  <c r="Q225" i="7950"/>
  <c r="Q244" i="7950" s="1"/>
  <c r="Q1847" i="7950"/>
  <c r="Q765" i="7950"/>
  <c r="Q784" i="7950" s="1"/>
  <c r="Q10" i="7950"/>
  <c r="Q52" i="7950" s="1"/>
  <c r="R2177" i="7949"/>
  <c r="R2447" i="7949"/>
  <c r="R2501" i="7949"/>
  <c r="R2123" i="7949"/>
  <c r="R1583" i="7949"/>
  <c r="R1421" i="7949"/>
  <c r="R449" i="7949"/>
  <c r="R1259" i="7949"/>
  <c r="R287" i="7949"/>
  <c r="R1637" i="7949"/>
  <c r="R2662" i="7949"/>
  <c r="R1690" i="7949"/>
  <c r="R2446" i="7949"/>
  <c r="R1744" i="7949"/>
  <c r="R880" i="7949"/>
  <c r="R773" i="7949"/>
  <c r="R1258" i="7949"/>
  <c r="R286" i="7949"/>
  <c r="R2068" i="7949"/>
  <c r="R934" i="7949"/>
  <c r="R341" i="7949"/>
  <c r="R2014" i="7949"/>
  <c r="R1852" i="7949"/>
  <c r="R340" i="7949"/>
  <c r="R69" i="7949"/>
  <c r="R112" i="7949" s="1"/>
  <c r="S112" i="7949" s="1"/>
  <c r="T112" i="7949" s="1"/>
  <c r="U112" i="7949" s="1"/>
  <c r="V112" i="7949" s="1"/>
  <c r="W112" i="7949" s="1"/>
  <c r="R555" i="7949"/>
  <c r="R598" i="7949" s="1"/>
  <c r="S598" i="7949" s="1"/>
  <c r="T598" i="7949" s="1"/>
  <c r="U598" i="7949" s="1"/>
  <c r="V598" i="7949" s="1"/>
  <c r="W598" i="7949" s="1"/>
  <c r="R1851" i="7949"/>
  <c r="R1894" i="7949" s="1"/>
  <c r="S1894" i="7949" s="1"/>
  <c r="T1894" i="7949" s="1"/>
  <c r="U1894" i="7949" s="1"/>
  <c r="V1894" i="7949" s="1"/>
  <c r="W1894" i="7949" s="1"/>
  <c r="R1527" i="7949"/>
  <c r="R1570" i="7949" s="1"/>
  <c r="S1570" i="7949" s="1"/>
  <c r="T1570" i="7949" s="1"/>
  <c r="U1570" i="7949" s="1"/>
  <c r="V1570" i="7949" s="1"/>
  <c r="W1570" i="7949" s="1"/>
  <c r="R1797" i="7949"/>
  <c r="R1840" i="7949" s="1"/>
  <c r="S1840" i="7949" s="1"/>
  <c r="T1840" i="7949" s="1"/>
  <c r="U1840" i="7949" s="1"/>
  <c r="V1840" i="7949" s="1"/>
  <c r="W1840" i="7949" s="1"/>
  <c r="R1310" i="7949"/>
  <c r="R2444" i="7949"/>
  <c r="R608" i="7949"/>
  <c r="R2120" i="7949"/>
  <c r="R1419" i="7949"/>
  <c r="R1462" i="7949" s="1"/>
  <c r="S1462" i="7949" s="1"/>
  <c r="T1462" i="7949" s="1"/>
  <c r="U1462" i="7949" s="1"/>
  <c r="V1462" i="7949" s="1"/>
  <c r="W1462" i="7949" s="1"/>
  <c r="R2067" i="7949"/>
  <c r="R2110" i="7949" s="1"/>
  <c r="S2110" i="7949" s="1"/>
  <c r="T2110" i="7949" s="1"/>
  <c r="U2110" i="7949" s="1"/>
  <c r="V2110" i="7949" s="1"/>
  <c r="W2110" i="7949" s="1"/>
  <c r="R2013" i="7949"/>
  <c r="R2056" i="7949" s="1"/>
  <c r="S2056" i="7949" s="1"/>
  <c r="T2056" i="7949" s="1"/>
  <c r="U2056" i="7949" s="1"/>
  <c r="V2056" i="7949" s="1"/>
  <c r="W2056" i="7949" s="1"/>
  <c r="R2498" i="7949"/>
  <c r="R933" i="7949"/>
  <c r="R976" i="7949" s="1"/>
  <c r="S976" i="7949" s="1"/>
  <c r="T976" i="7949" s="1"/>
  <c r="U976" i="7949" s="1"/>
  <c r="V976" i="7949" s="1"/>
  <c r="W976" i="7949" s="1"/>
  <c r="R1796" i="7949"/>
  <c r="R1040" i="7949"/>
  <c r="R2121" i="7949"/>
  <c r="R2164" i="7949" s="1"/>
  <c r="S2164" i="7949" s="1"/>
  <c r="T2164" i="7949" s="1"/>
  <c r="U2164" i="7949" s="1"/>
  <c r="V2164" i="7949" s="1"/>
  <c r="W2164" i="7949" s="1"/>
  <c r="R446" i="7949"/>
  <c r="R1364" i="7949"/>
  <c r="R1850" i="7949"/>
  <c r="R1743" i="7949"/>
  <c r="R1786" i="7949" s="1"/>
  <c r="S1786" i="7949" s="1"/>
  <c r="T1786" i="7949" s="1"/>
  <c r="U1786" i="7949" s="1"/>
  <c r="V1786" i="7949" s="1"/>
  <c r="W1786" i="7949" s="1"/>
  <c r="R1581" i="7949"/>
  <c r="R1624" i="7949" s="1"/>
  <c r="S1624" i="7949" s="1"/>
  <c r="T1624" i="7949" s="1"/>
  <c r="U1624" i="7949" s="1"/>
  <c r="V1624" i="7949" s="1"/>
  <c r="W1624" i="7949" s="1"/>
  <c r="R1634" i="7949"/>
  <c r="R1473" i="7949"/>
  <c r="R1516" i="7949" s="1"/>
  <c r="S1516" i="7949" s="1"/>
  <c r="T1516" i="7949" s="1"/>
  <c r="U1516" i="7949" s="1"/>
  <c r="V1516" i="7949" s="1"/>
  <c r="W1516" i="7949" s="1"/>
  <c r="R986" i="7949"/>
  <c r="R17" i="7949"/>
  <c r="Q1902" i="7950"/>
  <c r="Q1956" i="7950"/>
  <c r="Q2226" i="7950"/>
  <c r="Q1362" i="7950"/>
  <c r="Q984" i="7950"/>
  <c r="Q120" i="7950"/>
  <c r="Q1416" i="7950"/>
  <c r="Q228" i="7950"/>
  <c r="Q2009" i="7950"/>
  <c r="Q1145" i="7950"/>
  <c r="Q281" i="7950"/>
  <c r="Q1308" i="7950"/>
  <c r="Q2117" i="7950"/>
  <c r="Q875" i="7950"/>
  <c r="Q2494" i="7950"/>
  <c r="Q2536" i="7950" s="1"/>
  <c r="Q2062" i="7950"/>
  <c r="Q2104" i="7950" s="1"/>
  <c r="Q1630" i="7950"/>
  <c r="Q1672" i="7950" s="1"/>
  <c r="R1672" i="7950" s="1"/>
  <c r="S1672" i="7950" s="1"/>
  <c r="T1672" i="7950" s="1"/>
  <c r="U1672" i="7950" s="1"/>
  <c r="V1672" i="7950" s="1"/>
  <c r="W1672" i="7950" s="1"/>
  <c r="Q1198" i="7950"/>
  <c r="Q1240" i="7950" s="1"/>
  <c r="Q766" i="7950"/>
  <c r="Q808" i="7950" s="1"/>
  <c r="Q334" i="7950"/>
  <c r="Q376" i="7950" s="1"/>
  <c r="Q2547" i="7950"/>
  <c r="Q2566" i="7950" s="1"/>
  <c r="Q2115" i="7950"/>
  <c r="Q2134" i="7950" s="1"/>
  <c r="Q1683" i="7950"/>
  <c r="Q1702" i="7950" s="1"/>
  <c r="Q1251" i="7950"/>
  <c r="Q1270" i="7950" s="1"/>
  <c r="Q930" i="7950"/>
  <c r="Q2387" i="7950"/>
  <c r="Q1415" i="7950"/>
  <c r="Q983" i="7950"/>
  <c r="Q173" i="7950"/>
  <c r="Q2061" i="7950"/>
  <c r="Q2080" i="7950" s="1"/>
  <c r="Q876" i="7950"/>
  <c r="Q1199" i="7950"/>
  <c r="Q2116" i="7950"/>
  <c r="Q2158" i="7950" s="1"/>
  <c r="Q388" i="7950"/>
  <c r="Q430" i="7950" s="1"/>
  <c r="Q1305" i="7950"/>
  <c r="Q1324" i="7950" s="1"/>
  <c r="Q711" i="7950"/>
  <c r="Q730" i="7950" s="1"/>
  <c r="Q279" i="7950"/>
  <c r="Q298" i="7950" s="1"/>
  <c r="Q498" i="7950"/>
  <c r="Q2656" i="7950"/>
  <c r="Q2698" i="7950" s="1"/>
  <c r="Q1845" i="7950"/>
  <c r="Q1864" i="7950" s="1"/>
  <c r="Q496" i="7950"/>
  <c r="Q538" i="7950" s="1"/>
  <c r="R538" i="7950" s="1"/>
  <c r="S538" i="7950" s="1"/>
  <c r="T538" i="7950" s="1"/>
  <c r="U538" i="7950" s="1"/>
  <c r="V538" i="7950" s="1"/>
  <c r="W538" i="7950" s="1"/>
  <c r="Q1521" i="7950"/>
  <c r="Q1540" i="7950" s="1"/>
  <c r="Q605" i="7950"/>
  <c r="Q1036" i="7950"/>
  <c r="Q1078" i="7950" s="1"/>
  <c r="Q873" i="7950"/>
  <c r="Q892" i="7950" s="1"/>
  <c r="Q63" i="7950"/>
  <c r="Q82" i="7950" s="1"/>
  <c r="Q2332" i="7950"/>
  <c r="Q2374" i="7950" s="1"/>
  <c r="Q333" i="7950"/>
  <c r="Q352" i="7950" s="1"/>
  <c r="Q9" i="7950"/>
  <c r="Q28" i="7950" s="1"/>
  <c r="R2231" i="7949"/>
  <c r="R2285" i="7949"/>
  <c r="R1367" i="7949"/>
  <c r="R1097" i="7949"/>
  <c r="R935" i="7949"/>
  <c r="R1043" i="7949"/>
  <c r="R1474" i="7949"/>
  <c r="R2338" i="7949"/>
  <c r="R664" i="7949"/>
  <c r="R1150" i="7949"/>
  <c r="R1636" i="7949"/>
  <c r="R556" i="7949"/>
  <c r="R125" i="7949"/>
  <c r="R1366" i="7949"/>
  <c r="R68" i="7949"/>
  <c r="R2283" i="7949"/>
  <c r="R2326" i="7949" s="1"/>
  <c r="S2326" i="7949" s="1"/>
  <c r="T2326" i="7949" s="1"/>
  <c r="U2326" i="7949" s="1"/>
  <c r="V2326" i="7949" s="1"/>
  <c r="W2326" i="7949" s="1"/>
  <c r="R2229" i="7949"/>
  <c r="R2272" i="7949" s="1"/>
  <c r="S2272" i="7949" s="1"/>
  <c r="T2272" i="7949" s="1"/>
  <c r="U2272" i="7949" s="1"/>
  <c r="V2272" i="7949" s="1"/>
  <c r="W2272" i="7949" s="1"/>
  <c r="R2174" i="7949"/>
  <c r="R1256" i="7949"/>
  <c r="R123" i="7949"/>
  <c r="R166" i="7949" s="1"/>
  <c r="S166" i="7949" s="1"/>
  <c r="T166" i="7949" s="1"/>
  <c r="U166" i="7949" s="1"/>
  <c r="V166" i="7949" s="1"/>
  <c r="W166" i="7949" s="1"/>
  <c r="R2499" i="7949"/>
  <c r="R2542" i="7949" s="1"/>
  <c r="S2542" i="7949" s="1"/>
  <c r="T2542" i="7949" s="1"/>
  <c r="U2542" i="7949" s="1"/>
  <c r="V2542" i="7949" s="1"/>
  <c r="W2542" i="7949" s="1"/>
  <c r="R1905" i="7949"/>
  <c r="R1948" i="7949" s="1"/>
  <c r="S1948" i="7949" s="1"/>
  <c r="T1948" i="7949" s="1"/>
  <c r="U1948" i="7949" s="1"/>
  <c r="V1948" i="7949" s="1"/>
  <c r="W1948" i="7949" s="1"/>
  <c r="R338" i="7949"/>
  <c r="R393" i="7949"/>
  <c r="R436" i="7949" s="1"/>
  <c r="S436" i="7949" s="1"/>
  <c r="T436" i="7949" s="1"/>
  <c r="U436" i="7949" s="1"/>
  <c r="V436" i="7949" s="1"/>
  <c r="W436" i="7949" s="1"/>
  <c r="R1094" i="7949"/>
  <c r="R339" i="7949"/>
  <c r="R382" i="7949" s="1"/>
  <c r="S382" i="7949" s="1"/>
  <c r="T382" i="7949" s="1"/>
  <c r="U382" i="7949" s="1"/>
  <c r="V382" i="7949" s="1"/>
  <c r="W382" i="7949" s="1"/>
  <c r="R2175" i="7949"/>
  <c r="R2218" i="7949" s="1"/>
  <c r="S2218" i="7949" s="1"/>
  <c r="T2218" i="7949" s="1"/>
  <c r="U2218" i="7949" s="1"/>
  <c r="V2218" i="7949" s="1"/>
  <c r="W2218" i="7949" s="1"/>
  <c r="R824" i="7949"/>
  <c r="R1418" i="7949"/>
  <c r="Q1793" i="7950"/>
  <c r="Q1739" i="7950"/>
  <c r="Q2386" i="7950"/>
  <c r="Q2428" i="7950" s="1"/>
  <c r="Q1522" i="7950"/>
  <c r="Q1564" i="7950" s="1"/>
  <c r="Q1090" i="7950"/>
  <c r="Q1132" i="7950" s="1"/>
  <c r="Q226" i="7950"/>
  <c r="Q268" i="7950" s="1"/>
  <c r="Q2007" i="7950"/>
  <c r="Q2026" i="7950" s="1"/>
  <c r="Q1575" i="7950"/>
  <c r="Q1594" i="7950" s="1"/>
  <c r="Q444" i="7950"/>
  <c r="Q2171" i="7950"/>
  <c r="Q2440" i="7950"/>
  <c r="Q2482" i="7950" s="1"/>
  <c r="Q1629" i="7950"/>
  <c r="Q1648" i="7950" s="1"/>
  <c r="Q1037" i="7950"/>
  <c r="Q1684" i="7950"/>
  <c r="Q1726" i="7950" s="1"/>
  <c r="Q1035" i="7950"/>
  <c r="Q1054" i="7950" s="1"/>
  <c r="Q171" i="7950"/>
  <c r="Q190" i="7950" s="1"/>
  <c r="Q174" i="7950"/>
  <c r="Q117" i="7950"/>
  <c r="Q136" i="7950" s="1"/>
  <c r="Q981" i="7950"/>
  <c r="Q1000" i="7950" s="1"/>
  <c r="Q172" i="7950"/>
  <c r="Q214" i="7950" s="1"/>
  <c r="Q657" i="7950"/>
  <c r="Q676" i="7950" s="1"/>
  <c r="Q604" i="7950"/>
  <c r="Q646" i="7950" s="1"/>
  <c r="R2609" i="7949"/>
  <c r="R2015" i="7949"/>
  <c r="R1313" i="7949"/>
  <c r="R1151" i="7949"/>
  <c r="R1907" i="7949"/>
  <c r="R2500" i="7949"/>
  <c r="R2122" i="7949"/>
  <c r="R827" i="7949"/>
  <c r="R1312" i="7949"/>
  <c r="R2230" i="7949"/>
  <c r="R179" i="7949"/>
  <c r="R1420" i="7949"/>
  <c r="R1204" i="7949"/>
  <c r="R502" i="7949"/>
  <c r="R231" i="7949"/>
  <c r="R274" i="7949" s="1"/>
  <c r="S274" i="7949" s="1"/>
  <c r="T274" i="7949" s="1"/>
  <c r="U274" i="7949" s="1"/>
  <c r="V274" i="7949" s="1"/>
  <c r="W274" i="7949" s="1"/>
  <c r="R825" i="7949"/>
  <c r="R868" i="7949" s="1"/>
  <c r="S868" i="7949" s="1"/>
  <c r="T868" i="7949" s="1"/>
  <c r="U868" i="7949" s="1"/>
  <c r="V868" i="7949" s="1"/>
  <c r="W868" i="7949" s="1"/>
  <c r="R2391" i="7949"/>
  <c r="R2434" i="7949" s="1"/>
  <c r="S2434" i="7949" s="1"/>
  <c r="T2434" i="7949" s="1"/>
  <c r="U2434" i="7949" s="1"/>
  <c r="V2434" i="7949" s="1"/>
  <c r="W2434" i="7949" s="1"/>
  <c r="R284" i="7949"/>
  <c r="R2066" i="7949"/>
  <c r="R2552" i="7949"/>
  <c r="R447" i="7949"/>
  <c r="R490" i="7949" s="1"/>
  <c r="S490" i="7949" s="1"/>
  <c r="T490" i="7949" s="1"/>
  <c r="U490" i="7949" s="1"/>
  <c r="V490" i="7949" s="1"/>
  <c r="W490" i="7949" s="1"/>
  <c r="R501" i="7949"/>
  <c r="R544" i="7949" s="1"/>
  <c r="S544" i="7949" s="1"/>
  <c r="T544" i="7949" s="1"/>
  <c r="U544" i="7949" s="1"/>
  <c r="V544" i="7949" s="1"/>
  <c r="W544" i="7949" s="1"/>
  <c r="R2282" i="7949"/>
  <c r="R1257" i="7949"/>
  <c r="R1300" i="7949" s="1"/>
  <c r="S1300" i="7949" s="1"/>
  <c r="T1300" i="7949" s="1"/>
  <c r="U1300" i="7949" s="1"/>
  <c r="V1300" i="7949" s="1"/>
  <c r="W1300" i="7949" s="1"/>
  <c r="R1958" i="7949"/>
  <c r="R177" i="7949"/>
  <c r="R220" i="7949" s="1"/>
  <c r="S220" i="7949" s="1"/>
  <c r="T220" i="7949" s="1"/>
  <c r="U220" i="7949" s="1"/>
  <c r="V220" i="7949" s="1"/>
  <c r="W220" i="7949" s="1"/>
  <c r="R2607" i="7949"/>
  <c r="R2650" i="7949" s="1"/>
  <c r="S2650" i="7949" s="1"/>
  <c r="T2650" i="7949" s="1"/>
  <c r="U2650" i="7949" s="1"/>
  <c r="V2650" i="7949" s="1"/>
  <c r="W2650" i="7949" s="1"/>
  <c r="R609" i="7949"/>
  <c r="R652" i="7949" s="1"/>
  <c r="S652" i="7949" s="1"/>
  <c r="T652" i="7949" s="1"/>
  <c r="U652" i="7949" s="1"/>
  <c r="V652" i="7949" s="1"/>
  <c r="W652" i="7949" s="1"/>
  <c r="R16" i="7949"/>
  <c r="R14" i="7949"/>
  <c r="R2388" i="7950"/>
  <c r="R2442" i="7950"/>
  <c r="R2496" i="7950"/>
  <c r="R2118" i="7950"/>
  <c r="R1200" i="7950"/>
  <c r="R606" i="7950"/>
  <c r="R1578" i="7950"/>
  <c r="R498" i="7950"/>
  <c r="R2063" i="7950"/>
  <c r="R1199" i="7950"/>
  <c r="R335" i="7950"/>
  <c r="R444" i="7950"/>
  <c r="R1901" i="7950"/>
  <c r="R659" i="7950"/>
  <c r="R2171" i="7950"/>
  <c r="R1955" i="7950"/>
  <c r="R2494" i="7950"/>
  <c r="R2537" i="7950" s="1"/>
  <c r="R1630" i="7950"/>
  <c r="R1673" i="7950" s="1"/>
  <c r="R766" i="7950"/>
  <c r="R809" i="7950" s="1"/>
  <c r="R2547" i="7950"/>
  <c r="R2567" i="7950" s="1"/>
  <c r="R1683" i="7950"/>
  <c r="R1703" i="7950" s="1"/>
  <c r="R927" i="7950"/>
  <c r="R947" i="7950" s="1"/>
  <c r="R495" i="7950"/>
  <c r="R515" i="7950" s="1"/>
  <c r="R2550" i="7950"/>
  <c r="R1524" i="7950"/>
  <c r="R1038" i="7950"/>
  <c r="R66" i="7950"/>
  <c r="R875" i="7950"/>
  <c r="R65" i="7950"/>
  <c r="R2170" i="7950"/>
  <c r="R2213" i="7950" s="1"/>
  <c r="R1306" i="7950"/>
  <c r="R1349" i="7950" s="1"/>
  <c r="R442" i="7950"/>
  <c r="R485" i="7950" s="1"/>
  <c r="R2223" i="7950"/>
  <c r="R2243" i="7950" s="1"/>
  <c r="R1359" i="7950"/>
  <c r="R1379" i="7950" s="1"/>
  <c r="R1253" i="7950"/>
  <c r="R443" i="7950"/>
  <c r="R982" i="7950"/>
  <c r="R1025" i="7950" s="1"/>
  <c r="R1899" i="7950"/>
  <c r="R1919" i="7950" s="1"/>
  <c r="R441" i="7950"/>
  <c r="R461" i="7950" s="1"/>
  <c r="R2332" i="7950"/>
  <c r="R2375" i="7950" s="1"/>
  <c r="R1521" i="7950"/>
  <c r="R1541" i="7950" s="1"/>
  <c r="R2386" i="7950"/>
  <c r="R2429" i="7950" s="1"/>
  <c r="R1629" i="7950"/>
  <c r="R1649" i="7950" s="1"/>
  <c r="R1954" i="7950"/>
  <c r="R1997" i="7950" s="1"/>
  <c r="R226" i="7950"/>
  <c r="R269" i="7950" s="1"/>
  <c r="R1143" i="7950"/>
  <c r="R1163" i="7950" s="1"/>
  <c r="R2331" i="7950"/>
  <c r="R2351" i="7950" s="1"/>
  <c r="R333" i="7950"/>
  <c r="R353" i="7950" s="1"/>
  <c r="R712" i="7950"/>
  <c r="R755" i="7950" s="1"/>
  <c r="R10" i="7950"/>
  <c r="R53" i="7950" s="1"/>
  <c r="S2447" i="7949"/>
  <c r="S2501" i="7949"/>
  <c r="S2555" i="7949"/>
  <c r="S2393" i="7949"/>
  <c r="S1745" i="7949"/>
  <c r="S1691" i="7949"/>
  <c r="S503" i="7949"/>
  <c r="S1151" i="7949"/>
  <c r="S557" i="7949"/>
  <c r="S2338" i="7949"/>
  <c r="S2176" i="7949"/>
  <c r="S1313" i="7949"/>
  <c r="S71" i="7949"/>
  <c r="S1798" i="7949"/>
  <c r="S934" i="7949"/>
  <c r="S70" i="7949"/>
  <c r="S1475" i="7949"/>
  <c r="S1636" i="7949"/>
  <c r="S556" i="7949"/>
  <c r="S1743" i="7949"/>
  <c r="S1787" i="7949" s="1"/>
  <c r="T1787" i="7949" s="1"/>
  <c r="U1787" i="7949" s="1"/>
  <c r="V1787" i="7949" s="1"/>
  <c r="W1787" i="7949" s="1"/>
  <c r="S879" i="7949"/>
  <c r="S923" i="7949" s="1"/>
  <c r="T923" i="7949" s="1"/>
  <c r="U923" i="7949" s="1"/>
  <c r="V923" i="7949" s="1"/>
  <c r="W923" i="7949" s="1"/>
  <c r="S2660" i="7949"/>
  <c r="S2228" i="7949"/>
  <c r="S1796" i="7949"/>
  <c r="S1906" i="7949"/>
  <c r="S826" i="7949"/>
  <c r="S2391" i="7949"/>
  <c r="S2435" i="7949" s="1"/>
  <c r="T2435" i="7949" s="1"/>
  <c r="U2435" i="7949" s="1"/>
  <c r="V2435" i="7949" s="1"/>
  <c r="W2435" i="7949" s="1"/>
  <c r="S1581" i="7949"/>
  <c r="S1625" i="7949" s="1"/>
  <c r="T1625" i="7949" s="1"/>
  <c r="U1625" i="7949" s="1"/>
  <c r="V1625" i="7949" s="1"/>
  <c r="W1625" i="7949" s="1"/>
  <c r="S717" i="7949"/>
  <c r="S761" i="7949" s="1"/>
  <c r="T761" i="7949" s="1"/>
  <c r="U761" i="7949" s="1"/>
  <c r="V761" i="7949" s="1"/>
  <c r="W761" i="7949" s="1"/>
  <c r="S2500" i="7949"/>
  <c r="S69" i="7949"/>
  <c r="S113" i="7949" s="1"/>
  <c r="T113" i="7949" s="1"/>
  <c r="U113" i="7949" s="1"/>
  <c r="V113" i="7949" s="1"/>
  <c r="W113" i="7949" s="1"/>
  <c r="S1634" i="7949"/>
  <c r="S1202" i="7949"/>
  <c r="S770" i="7949"/>
  <c r="S338" i="7949"/>
  <c r="S1961" i="7949"/>
  <c r="S1256" i="7949"/>
  <c r="S824" i="7949"/>
  <c r="S68" i="7949"/>
  <c r="S881" i="7949"/>
  <c r="S2661" i="7949"/>
  <c r="S2705" i="7949" s="1"/>
  <c r="T2705" i="7949" s="1"/>
  <c r="U2705" i="7949" s="1"/>
  <c r="V2705" i="7949" s="1"/>
  <c r="W2705" i="7949" s="1"/>
  <c r="S1473" i="7949"/>
  <c r="S1517" i="7949" s="1"/>
  <c r="T1517" i="7949" s="1"/>
  <c r="U1517" i="7949" s="1"/>
  <c r="V1517" i="7949" s="1"/>
  <c r="W1517" i="7949" s="1"/>
  <c r="S609" i="7949"/>
  <c r="S653" i="7949" s="1"/>
  <c r="T653" i="7949" s="1"/>
  <c r="U653" i="7949" s="1"/>
  <c r="V653" i="7949" s="1"/>
  <c r="W653" i="7949" s="1"/>
  <c r="S124" i="7949"/>
  <c r="S1364" i="7949"/>
  <c r="S2284" i="7949"/>
  <c r="S1635" i="7949"/>
  <c r="S1679" i="7949" s="1"/>
  <c r="T1679" i="7949" s="1"/>
  <c r="U1679" i="7949" s="1"/>
  <c r="V1679" i="7949" s="1"/>
  <c r="W1679" i="7949" s="1"/>
  <c r="S1203" i="7949"/>
  <c r="S1247" i="7949" s="1"/>
  <c r="T1247" i="7949" s="1"/>
  <c r="U1247" i="7949" s="1"/>
  <c r="V1247" i="7949" s="1"/>
  <c r="W1247" i="7949" s="1"/>
  <c r="S555" i="7949"/>
  <c r="S599" i="7949" s="1"/>
  <c r="T599" i="7949" s="1"/>
  <c r="U599" i="7949" s="1"/>
  <c r="V599" i="7949" s="1"/>
  <c r="W599" i="7949" s="1"/>
  <c r="S11" i="7949"/>
  <c r="R1902" i="7950"/>
  <c r="R118" i="7950"/>
  <c r="R161" i="7950" s="1"/>
  <c r="R604" i="7950"/>
  <c r="R647" i="7950" s="1"/>
  <c r="R658" i="7950"/>
  <c r="R701" i="7950" s="1"/>
  <c r="R1090" i="7950"/>
  <c r="R1133" i="7950" s="1"/>
  <c r="R981" i="7950"/>
  <c r="R1001" i="7950" s="1"/>
  <c r="R1575" i="7950"/>
  <c r="R1595" i="7950" s="1"/>
  <c r="S2069" i="7949"/>
  <c r="S1367" i="7949"/>
  <c r="S935" i="7949"/>
  <c r="S989" i="7949"/>
  <c r="S395" i="7949"/>
  <c r="S665" i="7949"/>
  <c r="S502" i="7949"/>
  <c r="S2392" i="7949"/>
  <c r="S2553" i="7949"/>
  <c r="S2597" i="7949" s="1"/>
  <c r="T2597" i="7949" s="1"/>
  <c r="U2597" i="7949" s="1"/>
  <c r="V2597" i="7949" s="1"/>
  <c r="W2597" i="7949" s="1"/>
  <c r="S447" i="7949"/>
  <c r="S491" i="7949" s="1"/>
  <c r="T491" i="7949" s="1"/>
  <c r="U491" i="7949" s="1"/>
  <c r="V491" i="7949" s="1"/>
  <c r="W491" i="7949" s="1"/>
  <c r="S449" i="7949"/>
  <c r="S340" i="7949"/>
  <c r="S1149" i="7949"/>
  <c r="S1193" i="7949" s="1"/>
  <c r="T1193" i="7949" s="1"/>
  <c r="U1193" i="7949" s="1"/>
  <c r="V1193" i="7949" s="1"/>
  <c r="W1193" i="7949" s="1"/>
  <c r="S988" i="7949"/>
  <c r="S986" i="7949"/>
  <c r="S122" i="7949"/>
  <c r="S1040" i="7949"/>
  <c r="S1258" i="7949"/>
  <c r="S1041" i="7949"/>
  <c r="S1085" i="7949" s="1"/>
  <c r="T1085" i="7949" s="1"/>
  <c r="U1085" i="7949" s="1"/>
  <c r="V1085" i="7949" s="1"/>
  <c r="W1085" i="7949" s="1"/>
  <c r="S1580" i="7949"/>
  <c r="S177" i="7949"/>
  <c r="S221" i="7949" s="1"/>
  <c r="T221" i="7949" s="1"/>
  <c r="U221" i="7949" s="1"/>
  <c r="V221" i="7949" s="1"/>
  <c r="W221" i="7949" s="1"/>
  <c r="S987" i="7949"/>
  <c r="S1031" i="7949" s="1"/>
  <c r="T1031" i="7949" s="1"/>
  <c r="U1031" i="7949" s="1"/>
  <c r="V1031" i="7949" s="1"/>
  <c r="W1031" i="7949" s="1"/>
  <c r="R2658" i="7950"/>
  <c r="R876" i="7950"/>
  <c r="R1415" i="7950"/>
  <c r="R2009" i="7950"/>
  <c r="R660" i="7950"/>
  <c r="R2548" i="7950"/>
  <c r="R2591" i="7950" s="1"/>
  <c r="R820" i="7950"/>
  <c r="R863" i="7950" s="1"/>
  <c r="R1035" i="7950"/>
  <c r="R1055" i="7950" s="1"/>
  <c r="R1686" i="7950"/>
  <c r="R228" i="7950"/>
  <c r="R227" i="7950"/>
  <c r="R1360" i="7950"/>
  <c r="R1403" i="7950" s="1"/>
  <c r="R1413" i="7950"/>
  <c r="R1433" i="7950" s="1"/>
  <c r="R605" i="7950"/>
  <c r="R1953" i="7950"/>
  <c r="R1973" i="7950" s="1"/>
  <c r="R2385" i="7950"/>
  <c r="R2405" i="7950" s="1"/>
  <c r="R2008" i="7950"/>
  <c r="R2051" i="7950" s="1"/>
  <c r="R1197" i="7950"/>
  <c r="R1217" i="7950" s="1"/>
  <c r="R549" i="7950"/>
  <c r="R569" i="7950" s="1"/>
  <c r="S2663" i="7949"/>
  <c r="S1853" i="7949"/>
  <c r="S1205" i="7949"/>
  <c r="S1529" i="7949"/>
  <c r="S2554" i="7949"/>
  <c r="S233" i="7949"/>
  <c r="S1150" i="7949"/>
  <c r="S2067" i="7949"/>
  <c r="S2111" i="7949" s="1"/>
  <c r="T2111" i="7949" s="1"/>
  <c r="U2111" i="7949" s="1"/>
  <c r="V2111" i="7949" s="1"/>
  <c r="W2111" i="7949" s="1"/>
  <c r="S664" i="7949"/>
  <c r="S1095" i="7949"/>
  <c r="S1139" i="7949" s="1"/>
  <c r="T1139" i="7949" s="1"/>
  <c r="U1139" i="7949" s="1"/>
  <c r="V1139" i="7949" s="1"/>
  <c r="W1139" i="7949" s="1"/>
  <c r="S231" i="7949"/>
  <c r="S275" i="7949" s="1"/>
  <c r="T275" i="7949" s="1"/>
  <c r="U275" i="7949" s="1"/>
  <c r="V275" i="7949" s="1"/>
  <c r="W275" i="7949" s="1"/>
  <c r="S1904" i="7949"/>
  <c r="S1204" i="7949"/>
  <c r="S1797" i="7949"/>
  <c r="S1841" i="7949" s="1"/>
  <c r="T1841" i="7949" s="1"/>
  <c r="U1841" i="7949" s="1"/>
  <c r="V1841" i="7949" s="1"/>
  <c r="W1841" i="7949" s="1"/>
  <c r="S611" i="7949"/>
  <c r="S232" i="7949"/>
  <c r="S1310" i="7949"/>
  <c r="S446" i="7949"/>
  <c r="S1958" i="7949"/>
  <c r="S284" i="7949"/>
  <c r="S1851" i="7949"/>
  <c r="S1895" i="7949" s="1"/>
  <c r="T1895" i="7949" s="1"/>
  <c r="U1895" i="7949" s="1"/>
  <c r="V1895" i="7949" s="1"/>
  <c r="W1895" i="7949" s="1"/>
  <c r="S1689" i="7949"/>
  <c r="S1733" i="7949" s="1"/>
  <c r="T1733" i="7949" s="1"/>
  <c r="U1733" i="7949" s="1"/>
  <c r="V1733" i="7949" s="1"/>
  <c r="W1733" i="7949" s="1"/>
  <c r="S610" i="7949"/>
  <c r="S176" i="7949"/>
  <c r="S2498" i="7949"/>
  <c r="S17" i="7949"/>
  <c r="R2172" i="7950"/>
  <c r="R2226" i="7950"/>
  <c r="R2280" i="7950"/>
  <c r="R1740" i="7950"/>
  <c r="R1362" i="7950"/>
  <c r="R390" i="7950"/>
  <c r="R1092" i="7950"/>
  <c r="R120" i="7950"/>
  <c r="R1847" i="7950"/>
  <c r="R983" i="7950"/>
  <c r="R119" i="7950"/>
  <c r="R282" i="7950"/>
  <c r="R1523" i="7950"/>
  <c r="R281" i="7950"/>
  <c r="R1793" i="7950"/>
  <c r="R1469" i="7950"/>
  <c r="R2116" i="7950"/>
  <c r="R2159" i="7950" s="1"/>
  <c r="R1252" i="7950"/>
  <c r="R1295" i="7950" s="1"/>
  <c r="R388" i="7950"/>
  <c r="R431" i="7950" s="1"/>
  <c r="R2169" i="7950"/>
  <c r="R2189" i="7950" s="1"/>
  <c r="R1305" i="7950"/>
  <c r="R1325" i="7950" s="1"/>
  <c r="R819" i="7950"/>
  <c r="R839" i="7950" s="1"/>
  <c r="R387" i="7950"/>
  <c r="R407" i="7950" s="1"/>
  <c r="R2334" i="7950"/>
  <c r="R1470" i="7950"/>
  <c r="R714" i="7950"/>
  <c r="R2549" i="7950"/>
  <c r="R713" i="7950"/>
  <c r="R2656" i="7950"/>
  <c r="R2699" i="7950" s="1"/>
  <c r="R1792" i="7950"/>
  <c r="R1835" i="7950" s="1"/>
  <c r="R928" i="7950"/>
  <c r="R971" i="7950" s="1"/>
  <c r="R64" i="7950"/>
  <c r="R107" i="7950" s="1"/>
  <c r="R1845" i="7950"/>
  <c r="R1865" i="7950" s="1"/>
  <c r="R336" i="7950"/>
  <c r="R1091" i="7950"/>
  <c r="R1900" i="7950"/>
  <c r="R1943" i="7950" s="1"/>
  <c r="R172" i="7950"/>
  <c r="R215" i="7950" s="1"/>
  <c r="R1089" i="7950"/>
  <c r="R1109" i="7950" s="1"/>
  <c r="R225" i="7950"/>
  <c r="R245" i="7950" s="1"/>
  <c r="R1414" i="7950"/>
  <c r="R1457" i="7950" s="1"/>
  <c r="R765" i="7950"/>
  <c r="R785" i="7950" s="1"/>
  <c r="R1576" i="7950"/>
  <c r="R1619" i="7950" s="1"/>
  <c r="R117" i="7950"/>
  <c r="R137" i="7950" s="1"/>
  <c r="R1144" i="7950"/>
  <c r="R1187" i="7950" s="1"/>
  <c r="R2061" i="7950"/>
  <c r="R2081" i="7950" s="1"/>
  <c r="R2278" i="7950"/>
  <c r="R2321" i="7950" s="1"/>
  <c r="R1467" i="7950"/>
  <c r="R1487" i="7950" s="1"/>
  <c r="R1307" i="7950"/>
  <c r="R2493" i="7950"/>
  <c r="R2513" i="7950" s="1"/>
  <c r="R9" i="7950"/>
  <c r="R29" i="7950" s="1"/>
  <c r="S2231" i="7949"/>
  <c r="S2285" i="7949"/>
  <c r="S2339" i="7949"/>
  <c r="S1583" i="7949"/>
  <c r="S1637" i="7949"/>
  <c r="S1259" i="7949"/>
  <c r="S287" i="7949"/>
  <c r="S1043" i="7949"/>
  <c r="S341" i="7949"/>
  <c r="S827" i="7949"/>
  <c r="S1960" i="7949"/>
  <c r="S1097" i="7949"/>
  <c r="S2608" i="7949"/>
  <c r="S1582" i="7949"/>
  <c r="S718" i="7949"/>
  <c r="S2499" i="7949"/>
  <c r="S2543" i="7949" s="1"/>
  <c r="T2543" i="7949" s="1"/>
  <c r="U2543" i="7949" s="1"/>
  <c r="V2543" i="7949" s="1"/>
  <c r="W2543" i="7949" s="1"/>
  <c r="S179" i="7949"/>
  <c r="S1420" i="7949"/>
  <c r="S178" i="7949"/>
  <c r="S1527" i="7949"/>
  <c r="S1571" i="7949" s="1"/>
  <c r="T1571" i="7949" s="1"/>
  <c r="U1571" i="7949" s="1"/>
  <c r="V1571" i="7949" s="1"/>
  <c r="W1571" i="7949" s="1"/>
  <c r="S663" i="7949"/>
  <c r="S707" i="7949" s="1"/>
  <c r="T707" i="7949" s="1"/>
  <c r="U707" i="7949" s="1"/>
  <c r="V707" i="7949" s="1"/>
  <c r="W707" i="7949" s="1"/>
  <c r="S2552" i="7949"/>
  <c r="S2120" i="7949"/>
  <c r="S1688" i="7949"/>
  <c r="S1474" i="7949"/>
  <c r="S448" i="7949"/>
  <c r="S2013" i="7949"/>
  <c r="S2057" i="7949" s="1"/>
  <c r="T2057" i="7949" s="1"/>
  <c r="U2057" i="7949" s="1"/>
  <c r="V2057" i="7949" s="1"/>
  <c r="W2057" i="7949" s="1"/>
  <c r="S1365" i="7949"/>
  <c r="S1409" i="7949" s="1"/>
  <c r="T1409" i="7949" s="1"/>
  <c r="U1409" i="7949" s="1"/>
  <c r="V1409" i="7949" s="1"/>
  <c r="W1409" i="7949" s="1"/>
  <c r="S501" i="7949"/>
  <c r="S545" i="7949" s="1"/>
  <c r="T545" i="7949" s="1"/>
  <c r="U545" i="7949" s="1"/>
  <c r="V545" i="7949" s="1"/>
  <c r="W545" i="7949" s="1"/>
  <c r="S1852" i="7949"/>
  <c r="S2606" i="7949"/>
  <c r="S1526" i="7949"/>
  <c r="S1094" i="7949"/>
  <c r="S662" i="7949"/>
  <c r="S230" i="7949"/>
  <c r="S1096" i="7949"/>
  <c r="S1148" i="7949"/>
  <c r="S716" i="7949"/>
  <c r="S2229" i="7949"/>
  <c r="S2273" i="7949" s="1"/>
  <c r="T2273" i="7949" s="1"/>
  <c r="U2273" i="7949" s="1"/>
  <c r="V2273" i="7949" s="1"/>
  <c r="W2273" i="7949" s="1"/>
  <c r="S2122" i="7949"/>
  <c r="S2607" i="7949"/>
  <c r="S2651" i="7949" s="1"/>
  <c r="T2651" i="7949" s="1"/>
  <c r="U2651" i="7949" s="1"/>
  <c r="V2651" i="7949" s="1"/>
  <c r="W2651" i="7949" s="1"/>
  <c r="S1257" i="7949"/>
  <c r="S1301" i="7949" s="1"/>
  <c r="T1301" i="7949" s="1"/>
  <c r="U1301" i="7949" s="1"/>
  <c r="V1301" i="7949" s="1"/>
  <c r="W1301" i="7949" s="1"/>
  <c r="S393" i="7949"/>
  <c r="S437" i="7949" s="1"/>
  <c r="T437" i="7949" s="1"/>
  <c r="U437" i="7949" s="1"/>
  <c r="V437" i="7949" s="1"/>
  <c r="W437" i="7949" s="1"/>
  <c r="S2337" i="7949"/>
  <c r="S2381" i="7949" s="1"/>
  <c r="T2381" i="7949" s="1"/>
  <c r="U2381" i="7949" s="1"/>
  <c r="V2381" i="7949" s="1"/>
  <c r="W2381" i="7949" s="1"/>
  <c r="S608" i="7949"/>
  <c r="S1690" i="7949"/>
  <c r="S771" i="7949"/>
  <c r="S815" i="7949" s="1"/>
  <c r="T815" i="7949" s="1"/>
  <c r="U815" i="7949" s="1"/>
  <c r="V815" i="7949" s="1"/>
  <c r="W815" i="7949" s="1"/>
  <c r="S339" i="7949"/>
  <c r="S383" i="7949" s="1"/>
  <c r="T383" i="7949" s="1"/>
  <c r="U383" i="7949" s="1"/>
  <c r="V383" i="7949" s="1"/>
  <c r="W383" i="7949" s="1"/>
  <c r="S2066" i="7949"/>
  <c r="S14" i="7949"/>
  <c r="R1956" i="7950"/>
  <c r="R2010" i="7950"/>
  <c r="R2064" i="7950"/>
  <c r="R1632" i="7950"/>
  <c r="R1254" i="7950"/>
  <c r="R174" i="7950"/>
  <c r="R984" i="7950"/>
  <c r="R2657" i="7950"/>
  <c r="R1631" i="7950"/>
  <c r="R767" i="7950"/>
  <c r="R930" i="7950"/>
  <c r="R2387" i="7950"/>
  <c r="R1145" i="7950"/>
  <c r="R173" i="7950"/>
  <c r="R1685" i="7950"/>
  <c r="R497" i="7950"/>
  <c r="R2062" i="7950"/>
  <c r="R2105" i="7950" s="1"/>
  <c r="R1198" i="7950"/>
  <c r="R1241" i="7950" s="1"/>
  <c r="R334" i="7950"/>
  <c r="R377" i="7950" s="1"/>
  <c r="R2115" i="7950"/>
  <c r="R2135" i="7950" s="1"/>
  <c r="R1251" i="7950"/>
  <c r="R1271" i="7950" s="1"/>
  <c r="R711" i="7950"/>
  <c r="R731" i="7950" s="1"/>
  <c r="R279" i="7950"/>
  <c r="R299" i="7950" s="1"/>
  <c r="R1308" i="7950"/>
  <c r="R552" i="7950"/>
  <c r="R2225" i="7950"/>
  <c r="R389" i="7950"/>
  <c r="R2602" i="7950"/>
  <c r="R2645" i="7950" s="1"/>
  <c r="R1738" i="7950"/>
  <c r="R1781" i="7950" s="1"/>
  <c r="R874" i="7950"/>
  <c r="R917" i="7950" s="1"/>
  <c r="R2655" i="7950"/>
  <c r="R2675" i="7950" s="1"/>
  <c r="R1791" i="7950"/>
  <c r="R1811" i="7950" s="1"/>
  <c r="R2495" i="7950"/>
  <c r="R929" i="7950"/>
  <c r="R1846" i="7950"/>
  <c r="R1889" i="7950" s="1"/>
  <c r="R873" i="7950"/>
  <c r="R893" i="7950" s="1"/>
  <c r="R63" i="7950"/>
  <c r="R83" i="7950" s="1"/>
  <c r="R1361" i="7950"/>
  <c r="R2117" i="7950"/>
  <c r="R2007" i="7950"/>
  <c r="R2027" i="7950" s="1"/>
  <c r="R1468" i="7950"/>
  <c r="R1511" i="7950" s="1"/>
  <c r="R2440" i="7950"/>
  <c r="R2483" i="7950" s="1"/>
  <c r="R12" i="7950"/>
  <c r="S2015" i="7949"/>
  <c r="S2123" i="7949"/>
  <c r="S1421" i="7949"/>
  <c r="S2177" i="7949"/>
  <c r="S125" i="7949"/>
  <c r="S1744" i="7949"/>
  <c r="S2230" i="7949"/>
  <c r="S1366" i="7949"/>
  <c r="S2283" i="7949"/>
  <c r="S2327" i="7949" s="1"/>
  <c r="T2327" i="7949" s="1"/>
  <c r="U2327" i="7949" s="1"/>
  <c r="V2327" i="7949" s="1"/>
  <c r="W2327" i="7949" s="1"/>
  <c r="S1042" i="7949"/>
  <c r="S1311" i="7949"/>
  <c r="S1355" i="7949" s="1"/>
  <c r="T1355" i="7949" s="1"/>
  <c r="U1355" i="7949" s="1"/>
  <c r="V1355" i="7949" s="1"/>
  <c r="W1355" i="7949" s="1"/>
  <c r="S2444" i="7949"/>
  <c r="S2012" i="7949"/>
  <c r="S1312" i="7949"/>
  <c r="S1959" i="7949"/>
  <c r="S2003" i="7949" s="1"/>
  <c r="T2003" i="7949" s="1"/>
  <c r="U2003" i="7949" s="1"/>
  <c r="V2003" i="7949" s="1"/>
  <c r="W2003" i="7949" s="1"/>
  <c r="S285" i="7949"/>
  <c r="S329" i="7949" s="1"/>
  <c r="T329" i="7949" s="1"/>
  <c r="U329" i="7949" s="1"/>
  <c r="V329" i="7949" s="1"/>
  <c r="W329" i="7949" s="1"/>
  <c r="S2174" i="7949"/>
  <c r="S1418" i="7949"/>
  <c r="S554" i="7949"/>
  <c r="S2390" i="7949"/>
  <c r="S392" i="7949"/>
  <c r="S2175" i="7949"/>
  <c r="S2219" i="7949" s="1"/>
  <c r="T2219" i="7949" s="1"/>
  <c r="U2219" i="7949" s="1"/>
  <c r="V2219" i="7949" s="1"/>
  <c r="W2219" i="7949" s="1"/>
  <c r="S1905" i="7949"/>
  <c r="S1949" i="7949" s="1"/>
  <c r="T1949" i="7949" s="1"/>
  <c r="U1949" i="7949" s="1"/>
  <c r="V1949" i="7949" s="1"/>
  <c r="W1949" i="7949" s="1"/>
  <c r="S1850" i="7949"/>
  <c r="S500" i="7949"/>
  <c r="S880" i="7949"/>
  <c r="S123" i="7949"/>
  <c r="S167" i="7949" s="1"/>
  <c r="T167" i="7949" s="1"/>
  <c r="U167" i="7949" s="1"/>
  <c r="V167" i="7949" s="1"/>
  <c r="W167" i="7949" s="1"/>
  <c r="S15" i="7949"/>
  <c r="S59" i="7949" s="1"/>
  <c r="T59" i="7949" s="1"/>
  <c r="U59" i="7949" s="1"/>
  <c r="V59" i="7949" s="1"/>
  <c r="W59" i="7949" s="1"/>
  <c r="R2604" i="7950"/>
  <c r="R1794" i="7950"/>
  <c r="R1848" i="7950"/>
  <c r="R1416" i="7950"/>
  <c r="R822" i="7950"/>
  <c r="R2603" i="7950"/>
  <c r="R2279" i="7950"/>
  <c r="R551" i="7950"/>
  <c r="R768" i="7950"/>
  <c r="R1037" i="7950"/>
  <c r="R2441" i="7950"/>
  <c r="R1684" i="7950"/>
  <c r="R1727" i="7950" s="1"/>
  <c r="R2601" i="7950"/>
  <c r="R2621" i="7950" s="1"/>
  <c r="R1737" i="7950"/>
  <c r="R1757" i="7950" s="1"/>
  <c r="R603" i="7950"/>
  <c r="R623" i="7950" s="1"/>
  <c r="R171" i="7950"/>
  <c r="R191" i="7950" s="1"/>
  <c r="R1146" i="7950"/>
  <c r="R1739" i="7950"/>
  <c r="R2224" i="7950"/>
  <c r="R2267" i="7950" s="1"/>
  <c r="R496" i="7950"/>
  <c r="R539" i="7950" s="1"/>
  <c r="S539" i="7950" s="1"/>
  <c r="T539" i="7950" s="1"/>
  <c r="U539" i="7950" s="1"/>
  <c r="V539" i="7950" s="1"/>
  <c r="W539" i="7950" s="1"/>
  <c r="R2277" i="7950"/>
  <c r="R2297" i="7950" s="1"/>
  <c r="R1577" i="7950"/>
  <c r="R1036" i="7950"/>
  <c r="R1079" i="7950" s="1"/>
  <c r="R657" i="7950"/>
  <c r="R677" i="7950" s="1"/>
  <c r="R2333" i="7950"/>
  <c r="R821" i="7950"/>
  <c r="R2439" i="7950"/>
  <c r="R2459" i="7950" s="1"/>
  <c r="R280" i="7950"/>
  <c r="R323" i="7950" s="1"/>
  <c r="R550" i="7950"/>
  <c r="R593" i="7950" s="1"/>
  <c r="R1522" i="7950"/>
  <c r="R1565" i="7950" s="1"/>
  <c r="R11" i="7950"/>
  <c r="S1799" i="7949"/>
  <c r="S1907" i="7949"/>
  <c r="S2609" i="7949"/>
  <c r="S719" i="7949"/>
  <c r="S773" i="7949"/>
  <c r="S2446" i="7949"/>
  <c r="S1528" i="7949"/>
  <c r="S2014" i="7949"/>
  <c r="S286" i="7949"/>
  <c r="S2068" i="7949"/>
  <c r="S2121" i="7949"/>
  <c r="S2165" i="7949" s="1"/>
  <c r="T2165" i="7949" s="1"/>
  <c r="U2165" i="7949" s="1"/>
  <c r="V2165" i="7949" s="1"/>
  <c r="W2165" i="7949" s="1"/>
  <c r="S2336" i="7949"/>
  <c r="S2662" i="7949"/>
  <c r="S2445" i="7949"/>
  <c r="S2489" i="7949" s="1"/>
  <c r="T2489" i="7949" s="1"/>
  <c r="U2489" i="7949" s="1"/>
  <c r="V2489" i="7949" s="1"/>
  <c r="W2489" i="7949" s="1"/>
  <c r="S933" i="7949"/>
  <c r="S977" i="7949" s="1"/>
  <c r="T977" i="7949" s="1"/>
  <c r="U977" i="7949" s="1"/>
  <c r="V977" i="7949" s="1"/>
  <c r="W977" i="7949" s="1"/>
  <c r="S1742" i="7949"/>
  <c r="S878" i="7949"/>
  <c r="S2282" i="7949"/>
  <c r="S932" i="7949"/>
  <c r="S772" i="7949"/>
  <c r="S825" i="7949"/>
  <c r="S869" i="7949" s="1"/>
  <c r="T869" i="7949" s="1"/>
  <c r="U869" i="7949" s="1"/>
  <c r="V869" i="7949" s="1"/>
  <c r="W869" i="7949" s="1"/>
  <c r="S1472" i="7949"/>
  <c r="S394" i="7949"/>
  <c r="S1419" i="7949"/>
  <c r="S1463" i="7949" s="1"/>
  <c r="T1463" i="7949" s="1"/>
  <c r="U1463" i="7949" s="1"/>
  <c r="V1463" i="7949" s="1"/>
  <c r="W1463" i="7949" s="1"/>
  <c r="S16" i="7949"/>
  <c r="S2226" i="7950"/>
  <c r="S2064" i="7950"/>
  <c r="S2118" i="7950"/>
  <c r="S1470" i="7950"/>
  <c r="S1740" i="7950"/>
  <c r="S876" i="7950"/>
  <c r="S2657" i="7950"/>
  <c r="S282" i="7950"/>
  <c r="S1901" i="7950"/>
  <c r="S1037" i="7950"/>
  <c r="S173" i="7950"/>
  <c r="S2279" i="7950"/>
  <c r="S1307" i="7950"/>
  <c r="S65" i="7950"/>
  <c r="S2332" i="7950"/>
  <c r="S2376" i="7950" s="1"/>
  <c r="S1900" i="7950"/>
  <c r="S1944" i="7950" s="1"/>
  <c r="S1468" i="7950"/>
  <c r="S1512" i="7950" s="1"/>
  <c r="S1036" i="7950"/>
  <c r="S1080" i="7950" s="1"/>
  <c r="S604" i="7950"/>
  <c r="S648" i="7950" s="1"/>
  <c r="S172" i="7950"/>
  <c r="S216" i="7950" s="1"/>
  <c r="S2385" i="7950"/>
  <c r="S2406" i="7950" s="1"/>
  <c r="S1953" i="7950"/>
  <c r="S1974" i="7950" s="1"/>
  <c r="S1521" i="7950"/>
  <c r="S1542" i="7950" s="1"/>
  <c r="S1089" i="7950"/>
  <c r="S1110" i="7950" s="1"/>
  <c r="S984" i="7950"/>
  <c r="S174" i="7950"/>
  <c r="S1955" i="7950"/>
  <c r="S66" i="7950"/>
  <c r="S875" i="7950"/>
  <c r="S2170" i="7950"/>
  <c r="S2214" i="7950" s="1"/>
  <c r="S442" i="7950"/>
  <c r="S486" i="7950" s="1"/>
  <c r="S1359" i="7950"/>
  <c r="S1380" i="7950" s="1"/>
  <c r="S1200" i="7950"/>
  <c r="S1091" i="7950"/>
  <c r="S982" i="7950"/>
  <c r="S1026" i="7950" s="1"/>
  <c r="S1899" i="7950"/>
  <c r="S1920" i="7950" s="1"/>
  <c r="S765" i="7950"/>
  <c r="S786" i="7950" s="1"/>
  <c r="S333" i="7950"/>
  <c r="S354" i="7950" s="1"/>
  <c r="S119" i="7950"/>
  <c r="S2007" i="7950"/>
  <c r="S2028" i="7950" s="1"/>
  <c r="S1522" i="7950"/>
  <c r="S1566" i="7950" s="1"/>
  <c r="S497" i="7950"/>
  <c r="S2547" i="7950"/>
  <c r="S2568" i="7950" s="1"/>
  <c r="S1631" i="7950"/>
  <c r="S2115" i="7950"/>
  <c r="S2136" i="7950" s="1"/>
  <c r="S603" i="7950"/>
  <c r="S624" i="7950" s="1"/>
  <c r="S658" i="7950"/>
  <c r="S702" i="7950" s="1"/>
  <c r="S2387" i="7950"/>
  <c r="S927" i="7950"/>
  <c r="S948" i="7950" s="1"/>
  <c r="S11" i="7950"/>
  <c r="T2501" i="7949"/>
  <c r="T2555" i="7949"/>
  <c r="T2609" i="7949"/>
  <c r="T1745" i="7949"/>
  <c r="T1421" i="7949"/>
  <c r="T1259" i="7949"/>
  <c r="T989" i="7949"/>
  <c r="T2447" i="7949"/>
  <c r="T395" i="7949"/>
  <c r="T2231" i="7949"/>
  <c r="T233" i="7949"/>
  <c r="T2014" i="7949"/>
  <c r="T935" i="7949"/>
  <c r="T1852" i="7949"/>
  <c r="T988" i="7949"/>
  <c r="T124" i="7949"/>
  <c r="T449" i="7949"/>
  <c r="T1312" i="7949"/>
  <c r="T70" i="7949"/>
  <c r="T2067" i="7949"/>
  <c r="T2112" i="7949" s="1"/>
  <c r="U2112" i="7949" s="1"/>
  <c r="V2112" i="7949" s="1"/>
  <c r="W2112" i="7949" s="1"/>
  <c r="T1581" i="7949"/>
  <c r="T1626" i="7949" s="1"/>
  <c r="U1626" i="7949" s="1"/>
  <c r="V1626" i="7949" s="1"/>
  <c r="W1626" i="7949" s="1"/>
  <c r="T717" i="7949"/>
  <c r="T762" i="7949" s="1"/>
  <c r="U762" i="7949" s="1"/>
  <c r="V762" i="7949" s="1"/>
  <c r="W762" i="7949" s="1"/>
  <c r="T719" i="7949"/>
  <c r="T1096" i="7949"/>
  <c r="T1851" i="7949"/>
  <c r="T1896" i="7949" s="1"/>
  <c r="U1896" i="7949" s="1"/>
  <c r="V1896" i="7949" s="1"/>
  <c r="W1896" i="7949" s="1"/>
  <c r="T987" i="7949"/>
  <c r="T1032" i="7949" s="1"/>
  <c r="U1032" i="7949" s="1"/>
  <c r="V1032" i="7949" s="1"/>
  <c r="W1032" i="7949" s="1"/>
  <c r="T1205" i="7949"/>
  <c r="T502" i="7949"/>
  <c r="T1689" i="7949"/>
  <c r="T1734" i="7949" s="1"/>
  <c r="U1734" i="7949" s="1"/>
  <c r="V1734" i="7949" s="1"/>
  <c r="W1734" i="7949" s="1"/>
  <c r="T825" i="7949"/>
  <c r="T870" i="7949" s="1"/>
  <c r="U870" i="7949" s="1"/>
  <c r="V870" i="7949" s="1"/>
  <c r="W870" i="7949" s="1"/>
  <c r="T2282" i="7949"/>
  <c r="T1472" i="7949"/>
  <c r="T500" i="7949"/>
  <c r="T2284" i="7949"/>
  <c r="T2175" i="7949"/>
  <c r="T2220" i="7949" s="1"/>
  <c r="U2220" i="7949" s="1"/>
  <c r="V2220" i="7949" s="1"/>
  <c r="W2220" i="7949" s="1"/>
  <c r="T2444" i="7949"/>
  <c r="T1960" i="7949"/>
  <c r="T1042" i="7949"/>
  <c r="T1958" i="7949"/>
  <c r="T1148" i="7949"/>
  <c r="T392" i="7949"/>
  <c r="T2229" i="7949"/>
  <c r="T2274" i="7949" s="1"/>
  <c r="U2274" i="7949" s="1"/>
  <c r="V2274" i="7949" s="1"/>
  <c r="W2274" i="7949" s="1"/>
  <c r="T1527" i="7949"/>
  <c r="T1572" i="7949" s="1"/>
  <c r="U1572" i="7949" s="1"/>
  <c r="V1572" i="7949" s="1"/>
  <c r="W1572" i="7949" s="1"/>
  <c r="T1526" i="7949"/>
  <c r="T662" i="7949"/>
  <c r="T1311" i="7949"/>
  <c r="T1356" i="7949" s="1"/>
  <c r="U1356" i="7949" s="1"/>
  <c r="V1356" i="7949" s="1"/>
  <c r="W1356" i="7949" s="1"/>
  <c r="T231" i="7949"/>
  <c r="T276" i="7949" s="1"/>
  <c r="U276" i="7949" s="1"/>
  <c r="V276" i="7949" s="1"/>
  <c r="W276" i="7949" s="1"/>
  <c r="T1202" i="7949"/>
  <c r="T338" i="7949"/>
  <c r="T14" i="7949"/>
  <c r="T11" i="7949"/>
  <c r="S714" i="7950"/>
  <c r="S2223" i="7950"/>
  <c r="S2244" i="7950" s="1"/>
  <c r="S2009" i="7950"/>
  <c r="S118" i="7950"/>
  <c r="S162" i="7950" s="1"/>
  <c r="S549" i="7950"/>
  <c r="S570" i="7950" s="1"/>
  <c r="S1090" i="7950"/>
  <c r="S1134" i="7950" s="1"/>
  <c r="S1145" i="7950"/>
  <c r="S279" i="7950"/>
  <c r="S300" i="7950" s="1"/>
  <c r="S1035" i="7950"/>
  <c r="S1056" i="7950" s="1"/>
  <c r="S1575" i="7950"/>
  <c r="S1596" i="7950" s="1"/>
  <c r="S9" i="7950"/>
  <c r="S30" i="7950" s="1"/>
  <c r="T2177" i="7949"/>
  <c r="T1529" i="7949"/>
  <c r="T827" i="7949"/>
  <c r="T2338" i="7949"/>
  <c r="T2500" i="7949"/>
  <c r="T556" i="7949"/>
  <c r="T826" i="7949"/>
  <c r="T1959" i="7949"/>
  <c r="T2004" i="7949" s="1"/>
  <c r="U2004" i="7949" s="1"/>
  <c r="V2004" i="7949" s="1"/>
  <c r="W2004" i="7949" s="1"/>
  <c r="T2176" i="7949"/>
  <c r="T1419" i="7949"/>
  <c r="T1464" i="7949" s="1"/>
  <c r="U1464" i="7949" s="1"/>
  <c r="V1464" i="7949" s="1"/>
  <c r="W1464" i="7949" s="1"/>
  <c r="T2607" i="7949"/>
  <c r="T2652" i="7949" s="1"/>
  <c r="U2652" i="7949" s="1"/>
  <c r="V2652" i="7949" s="1"/>
  <c r="W2652" i="7949" s="1"/>
  <c r="T393" i="7949"/>
  <c r="T438" i="7949" s="1"/>
  <c r="U438" i="7949" s="1"/>
  <c r="V438" i="7949" s="1"/>
  <c r="W438" i="7949" s="1"/>
  <c r="T68" i="7949"/>
  <c r="T123" i="7949"/>
  <c r="T168" i="7949" s="1"/>
  <c r="U168" i="7949" s="1"/>
  <c r="V168" i="7949" s="1"/>
  <c r="W168" i="7949" s="1"/>
  <c r="T2390" i="7949"/>
  <c r="T1690" i="7949"/>
  <c r="T2174" i="7949"/>
  <c r="T1742" i="7949"/>
  <c r="T770" i="7949"/>
  <c r="S2280" i="7950"/>
  <c r="S2172" i="7950"/>
  <c r="S228" i="7950"/>
  <c r="S1253" i="7950"/>
  <c r="S2603" i="7950"/>
  <c r="S2440" i="7950"/>
  <c r="S2484" i="7950" s="1"/>
  <c r="S1576" i="7950"/>
  <c r="S1620" i="7950" s="1"/>
  <c r="S280" i="7950"/>
  <c r="S324" i="7950" s="1"/>
  <c r="S2061" i="7950"/>
  <c r="S2082" i="7950" s="1"/>
  <c r="S1794" i="7950"/>
  <c r="S552" i="7950"/>
  <c r="S2602" i="7950"/>
  <c r="S2646" i="7950" s="1"/>
  <c r="S1362" i="7950"/>
  <c r="S1414" i="7950"/>
  <c r="S1458" i="7950" s="1"/>
  <c r="S873" i="7950"/>
  <c r="S894" i="7950" s="1"/>
  <c r="S226" i="7950"/>
  <c r="S270" i="7950" s="1"/>
  <c r="S766" i="7950"/>
  <c r="S810" i="7950" s="1"/>
  <c r="S334" i="7950"/>
  <c r="S378" i="7950" s="1"/>
  <c r="S930" i="7950"/>
  <c r="T1853" i="7949"/>
  <c r="T1637" i="7949"/>
  <c r="T1151" i="7949"/>
  <c r="T611" i="7949"/>
  <c r="T2230" i="7949"/>
  <c r="T2068" i="7949"/>
  <c r="T340" i="7949"/>
  <c r="T1474" i="7949"/>
  <c r="T2391" i="7949"/>
  <c r="T2436" i="7949" s="1"/>
  <c r="U2436" i="7949" s="1"/>
  <c r="V2436" i="7949" s="1"/>
  <c r="W2436" i="7949" s="1"/>
  <c r="T933" i="7949"/>
  <c r="T978" i="7949" s="1"/>
  <c r="U978" i="7949" s="1"/>
  <c r="V978" i="7949" s="1"/>
  <c r="W978" i="7949" s="1"/>
  <c r="T1744" i="7949"/>
  <c r="T1203" i="7949"/>
  <c r="T1248" i="7949" s="1"/>
  <c r="U1248" i="7949" s="1"/>
  <c r="V1248" i="7949" s="1"/>
  <c r="W1248" i="7949" s="1"/>
  <c r="T1258" i="7949"/>
  <c r="T1041" i="7949"/>
  <c r="T1086" i="7949" s="1"/>
  <c r="U1086" i="7949" s="1"/>
  <c r="V1086" i="7949" s="1"/>
  <c r="W1086" i="7949" s="1"/>
  <c r="T824" i="7949"/>
  <c r="T2498" i="7949"/>
  <c r="T1528" i="7949"/>
  <c r="T1364" i="7949"/>
  <c r="T178" i="7949"/>
  <c r="T878" i="7949"/>
  <c r="T1418" i="7949"/>
  <c r="T17" i="7949"/>
  <c r="S2010" i="7950"/>
  <c r="S1848" i="7950"/>
  <c r="S1902" i="7950"/>
  <c r="S1254" i="7950"/>
  <c r="S1632" i="7950"/>
  <c r="S660" i="7950"/>
  <c r="S1308" i="7950"/>
  <c r="S2549" i="7950"/>
  <c r="S1685" i="7950"/>
  <c r="S821" i="7950"/>
  <c r="S606" i="7950"/>
  <c r="S2171" i="7950"/>
  <c r="S929" i="7950"/>
  <c r="S2656" i="7950"/>
  <c r="S2700" i="7950" s="1"/>
  <c r="S2224" i="7950"/>
  <c r="S2268" i="7950" s="1"/>
  <c r="S1792" i="7950"/>
  <c r="S1836" i="7950" s="1"/>
  <c r="S1360" i="7950"/>
  <c r="S1404" i="7950" s="1"/>
  <c r="S928" i="7950"/>
  <c r="S972" i="7950" s="1"/>
  <c r="S496" i="7950"/>
  <c r="S540" i="7950" s="1"/>
  <c r="S64" i="7950"/>
  <c r="S108" i="7950" s="1"/>
  <c r="S2277" i="7950"/>
  <c r="S2298" i="7950" s="1"/>
  <c r="S1845" i="7950"/>
  <c r="S1866" i="7950" s="1"/>
  <c r="S1413" i="7950"/>
  <c r="S1434" i="7950" s="1"/>
  <c r="S2604" i="7950"/>
  <c r="S822" i="7950"/>
  <c r="S2495" i="7950"/>
  <c r="S1577" i="7950"/>
  <c r="S2225" i="7950"/>
  <c r="S713" i="7950"/>
  <c r="S1738" i="7950"/>
  <c r="S1782" i="7950" s="1"/>
  <c r="S2655" i="7950"/>
  <c r="S2676" i="7950" s="1"/>
  <c r="S1578" i="7950"/>
  <c r="S1092" i="7950"/>
  <c r="S2278" i="7950"/>
  <c r="S2322" i="7950" s="1"/>
  <c r="S550" i="7950"/>
  <c r="S594" i="7950" s="1"/>
  <c r="S1467" i="7950"/>
  <c r="S1488" i="7950" s="1"/>
  <c r="S657" i="7950"/>
  <c r="S678" i="7950" s="1"/>
  <c r="S225" i="7950"/>
  <c r="S246" i="7950" s="1"/>
  <c r="S1954" i="7950"/>
  <c r="S1998" i="7950" s="1"/>
  <c r="S1143" i="7950"/>
  <c r="S1164" i="7950" s="1"/>
  <c r="S117" i="7950"/>
  <c r="S138" i="7950" s="1"/>
  <c r="S335" i="7950"/>
  <c r="S711" i="7950"/>
  <c r="S732" i="7950" s="1"/>
  <c r="S2062" i="7950"/>
  <c r="S2106" i="7950" s="1"/>
  <c r="S1251" i="7950"/>
  <c r="S1272" i="7950" s="1"/>
  <c r="S387" i="7950"/>
  <c r="S408" i="7950" s="1"/>
  <c r="S2439" i="7950"/>
  <c r="S2460" i="7950" s="1"/>
  <c r="S659" i="7950"/>
  <c r="S495" i="7950"/>
  <c r="S516" i="7950" s="1"/>
  <c r="S10" i="7950"/>
  <c r="S54" i="7950" s="1"/>
  <c r="T2285" i="7949"/>
  <c r="T2339" i="7949"/>
  <c r="T2393" i="7949"/>
  <c r="T2663" i="7949"/>
  <c r="T2015" i="7949"/>
  <c r="T1043" i="7949"/>
  <c r="T773" i="7949"/>
  <c r="T1367" i="7949"/>
  <c r="T179" i="7949"/>
  <c r="T1313" i="7949"/>
  <c r="T71" i="7949"/>
  <c r="T1798" i="7949"/>
  <c r="T503" i="7949"/>
  <c r="T1636" i="7949"/>
  <c r="T772" i="7949"/>
  <c r="T2553" i="7949"/>
  <c r="T2598" i="7949" s="1"/>
  <c r="U2598" i="7949" s="1"/>
  <c r="V2598" i="7949" s="1"/>
  <c r="W2598" i="7949" s="1"/>
  <c r="T2662" i="7949"/>
  <c r="T934" i="7949"/>
  <c r="T2499" i="7949"/>
  <c r="T2544" i="7949" s="1"/>
  <c r="U2544" i="7949" s="1"/>
  <c r="V2544" i="7949" s="1"/>
  <c r="W2544" i="7949" s="1"/>
  <c r="T2013" i="7949"/>
  <c r="T2058" i="7949" s="1"/>
  <c r="U2058" i="7949" s="1"/>
  <c r="V2058" i="7949" s="1"/>
  <c r="W2058" i="7949" s="1"/>
  <c r="T1365" i="7949"/>
  <c r="T1410" i="7949" s="1"/>
  <c r="U1410" i="7949" s="1"/>
  <c r="V1410" i="7949" s="1"/>
  <c r="W1410" i="7949" s="1"/>
  <c r="T501" i="7949"/>
  <c r="T546" i="7949" s="1"/>
  <c r="U546" i="7949" s="1"/>
  <c r="V546" i="7949" s="1"/>
  <c r="W546" i="7949" s="1"/>
  <c r="T2446" i="7949"/>
  <c r="T718" i="7949"/>
  <c r="T1635" i="7949"/>
  <c r="T1680" i="7949" s="1"/>
  <c r="U1680" i="7949" s="1"/>
  <c r="V1680" i="7949" s="1"/>
  <c r="W1680" i="7949" s="1"/>
  <c r="T771" i="7949"/>
  <c r="T816" i="7949" s="1"/>
  <c r="U816" i="7949" s="1"/>
  <c r="V816" i="7949" s="1"/>
  <c r="W816" i="7949" s="1"/>
  <c r="T881" i="7949"/>
  <c r="T2661" i="7949"/>
  <c r="T2706" i="7949" s="1"/>
  <c r="U2706" i="7949" s="1"/>
  <c r="V2706" i="7949" s="1"/>
  <c r="W2706" i="7949" s="1"/>
  <c r="T1473" i="7949"/>
  <c r="T1518" i="7949" s="1"/>
  <c r="U1518" i="7949" s="1"/>
  <c r="V1518" i="7949" s="1"/>
  <c r="W1518" i="7949" s="1"/>
  <c r="T609" i="7949"/>
  <c r="T654" i="7949" s="1"/>
  <c r="U654" i="7949" s="1"/>
  <c r="V654" i="7949" s="1"/>
  <c r="W654" i="7949" s="1"/>
  <c r="T2228" i="7949"/>
  <c r="T1256" i="7949"/>
  <c r="T284" i="7949"/>
  <c r="T1366" i="7949"/>
  <c r="T177" i="7949"/>
  <c r="T222" i="7949" s="1"/>
  <c r="U222" i="7949" s="1"/>
  <c r="V222" i="7949" s="1"/>
  <c r="W222" i="7949" s="1"/>
  <c r="T2066" i="7949"/>
  <c r="T1743" i="7949"/>
  <c r="T1788" i="7949" s="1"/>
  <c r="U1788" i="7949" s="1"/>
  <c r="V1788" i="7949" s="1"/>
  <c r="W1788" i="7949" s="1"/>
  <c r="T286" i="7949"/>
  <c r="T1904" i="7949"/>
  <c r="T932" i="7949"/>
  <c r="T176" i="7949"/>
  <c r="T1150" i="7949"/>
  <c r="T663" i="7949"/>
  <c r="T708" i="7949" s="1"/>
  <c r="U708" i="7949" s="1"/>
  <c r="V708" i="7949" s="1"/>
  <c r="W708" i="7949" s="1"/>
  <c r="T1310" i="7949"/>
  <c r="T446" i="7949"/>
  <c r="T447" i="7949"/>
  <c r="T492" i="7949" s="1"/>
  <c r="U492" i="7949" s="1"/>
  <c r="V492" i="7949" s="1"/>
  <c r="W492" i="7949" s="1"/>
  <c r="T2552" i="7949"/>
  <c r="T986" i="7949"/>
  <c r="T122" i="7949"/>
  <c r="T15" i="7949"/>
  <c r="T60" i="7949" s="1"/>
  <c r="U60" i="7949" s="1"/>
  <c r="V60" i="7949" s="1"/>
  <c r="W60" i="7949" s="1"/>
  <c r="S2658" i="7950"/>
  <c r="S2496" i="7950"/>
  <c r="S2550" i="7950"/>
  <c r="S2388" i="7950"/>
  <c r="S1038" i="7950"/>
  <c r="S1524" i="7950"/>
  <c r="S444" i="7950"/>
  <c r="S768" i="7950"/>
  <c r="S2333" i="7950"/>
  <c r="S1469" i="7950"/>
  <c r="S605" i="7950"/>
  <c r="S120" i="7950"/>
  <c r="S1793" i="7950"/>
  <c r="S551" i="7950"/>
  <c r="S2548" i="7950"/>
  <c r="S2592" i="7950" s="1"/>
  <c r="S2116" i="7950"/>
  <c r="S2160" i="7950" s="1"/>
  <c r="S1684" i="7950"/>
  <c r="S1728" i="7950" s="1"/>
  <c r="S1252" i="7950"/>
  <c r="S1296" i="7950" s="1"/>
  <c r="S820" i="7950"/>
  <c r="S864" i="7950" s="1"/>
  <c r="S388" i="7950"/>
  <c r="S432" i="7950" s="1"/>
  <c r="S2601" i="7950"/>
  <c r="S2622" i="7950" s="1"/>
  <c r="S2169" i="7950"/>
  <c r="S2190" i="7950" s="1"/>
  <c r="S1737" i="7950"/>
  <c r="S1758" i="7950" s="1"/>
  <c r="S1305" i="7950"/>
  <c r="S1326" i="7950" s="1"/>
  <c r="S1956" i="7950"/>
  <c r="S498" i="7950"/>
  <c r="S2441" i="7950"/>
  <c r="S1739" i="7950"/>
  <c r="S227" i="7950"/>
  <c r="S1306" i="7950"/>
  <c r="S1350" i="7950" s="1"/>
  <c r="S1416" i="7950"/>
  <c r="S1846" i="7950"/>
  <c r="S1890" i="7950" s="1"/>
  <c r="S981" i="7950"/>
  <c r="S1002" i="7950" s="1"/>
  <c r="S767" i="7950"/>
  <c r="S1847" i="7950"/>
  <c r="S2494" i="7950"/>
  <c r="S2538" i="7950" s="1"/>
  <c r="S1198" i="7950"/>
  <c r="S1242" i="7950" s="1"/>
  <c r="S171" i="7950"/>
  <c r="S192" i="7950" s="1"/>
  <c r="S1630" i="7950"/>
  <c r="S1674" i="7950" s="1"/>
  <c r="T2069" i="7949"/>
  <c r="T2123" i="7949"/>
  <c r="T1799" i="7949"/>
  <c r="T1691" i="7949"/>
  <c r="T557" i="7949"/>
  <c r="T2608" i="7949"/>
  <c r="T1097" i="7949"/>
  <c r="T1582" i="7949"/>
  <c r="T1420" i="7949"/>
  <c r="T2337" i="7949"/>
  <c r="T2382" i="7949" s="1"/>
  <c r="U2382" i="7949" s="1"/>
  <c r="V2382" i="7949" s="1"/>
  <c r="W2382" i="7949" s="1"/>
  <c r="T1906" i="7949"/>
  <c r="T2445" i="7949"/>
  <c r="T2490" i="7949" s="1"/>
  <c r="U2490" i="7949" s="1"/>
  <c r="V2490" i="7949" s="1"/>
  <c r="W2490" i="7949" s="1"/>
  <c r="T1149" i="7949"/>
  <c r="T1194" i="7949" s="1"/>
  <c r="U1194" i="7949" s="1"/>
  <c r="V1194" i="7949" s="1"/>
  <c r="W1194" i="7949" s="1"/>
  <c r="T285" i="7949"/>
  <c r="T330" i="7949" s="1"/>
  <c r="U330" i="7949" s="1"/>
  <c r="V330" i="7949" s="1"/>
  <c r="W330" i="7949" s="1"/>
  <c r="T610" i="7949"/>
  <c r="T555" i="7949"/>
  <c r="T600" i="7949" s="1"/>
  <c r="U600" i="7949" s="1"/>
  <c r="V600" i="7949" s="1"/>
  <c r="W600" i="7949" s="1"/>
  <c r="T2122" i="7949"/>
  <c r="T1257" i="7949"/>
  <c r="T1302" i="7949" s="1"/>
  <c r="U1302" i="7949" s="1"/>
  <c r="V1302" i="7949" s="1"/>
  <c r="W1302" i="7949" s="1"/>
  <c r="T1850" i="7949"/>
  <c r="T1040" i="7949"/>
  <c r="T394" i="7949"/>
  <c r="T2012" i="7949"/>
  <c r="T2554" i="7949"/>
  <c r="T1580" i="7949"/>
  <c r="T716" i="7949"/>
  <c r="T664" i="7949"/>
  <c r="T1094" i="7949"/>
  <c r="T230" i="7949"/>
  <c r="T1634" i="7949"/>
  <c r="T2606" i="7949"/>
  <c r="T16" i="7949"/>
  <c r="S2442" i="7950"/>
  <c r="S2334" i="7950"/>
  <c r="S1686" i="7950"/>
  <c r="S1146" i="7950"/>
  <c r="S390" i="7950"/>
  <c r="S2117" i="7950"/>
  <c r="S389" i="7950"/>
  <c r="S1415" i="7950"/>
  <c r="S443" i="7950"/>
  <c r="S2008" i="7950"/>
  <c r="S2052" i="7950" s="1"/>
  <c r="S1144" i="7950"/>
  <c r="S1188" i="7950" s="1"/>
  <c r="S712" i="7950"/>
  <c r="S756" i="7950" s="1"/>
  <c r="S2493" i="7950"/>
  <c r="S2514" i="7950" s="1"/>
  <c r="S1629" i="7950"/>
  <c r="S1650" i="7950" s="1"/>
  <c r="S1197" i="7950"/>
  <c r="S1218" i="7950" s="1"/>
  <c r="S336" i="7950"/>
  <c r="S2063" i="7950"/>
  <c r="S1199" i="7950"/>
  <c r="S874" i="7950"/>
  <c r="S918" i="7950" s="1"/>
  <c r="S1791" i="7950"/>
  <c r="S1812" i="7950" s="1"/>
  <c r="S1523" i="7950"/>
  <c r="S2331" i="7950"/>
  <c r="S2352" i="7950" s="1"/>
  <c r="S441" i="7950"/>
  <c r="S462" i="7950" s="1"/>
  <c r="S281" i="7950"/>
  <c r="S1361" i="7950"/>
  <c r="S983" i="7950"/>
  <c r="S63" i="7950"/>
  <c r="S84" i="7950" s="1"/>
  <c r="S819" i="7950"/>
  <c r="S840" i="7950" s="1"/>
  <c r="S2386" i="7950"/>
  <c r="S2430" i="7950" s="1"/>
  <c r="S1683" i="7950"/>
  <c r="S1704" i="7950" s="1"/>
  <c r="S12" i="7950"/>
  <c r="T1907" i="7949"/>
  <c r="T1961" i="7949"/>
  <c r="T1475" i="7949"/>
  <c r="T341" i="7949"/>
  <c r="T2392" i="7949"/>
  <c r="T665" i="7949"/>
  <c r="T1583" i="7949"/>
  <c r="T1204" i="7949"/>
  <c r="T2121" i="7949"/>
  <c r="T2166" i="7949" s="1"/>
  <c r="U2166" i="7949" s="1"/>
  <c r="V2166" i="7949" s="1"/>
  <c r="W2166" i="7949" s="1"/>
  <c r="T448" i="7949"/>
  <c r="T1797" i="7949"/>
  <c r="T1842" i="7949" s="1"/>
  <c r="U1842" i="7949" s="1"/>
  <c r="V1842" i="7949" s="1"/>
  <c r="W1842" i="7949" s="1"/>
  <c r="T69" i="7949"/>
  <c r="T114" i="7949" s="1"/>
  <c r="U114" i="7949" s="1"/>
  <c r="V114" i="7949" s="1"/>
  <c r="W114" i="7949" s="1"/>
  <c r="T232" i="7949"/>
  <c r="T339" i="7949"/>
  <c r="T384" i="7949" s="1"/>
  <c r="U384" i="7949" s="1"/>
  <c r="V384" i="7949" s="1"/>
  <c r="W384" i="7949" s="1"/>
  <c r="T1905" i="7949"/>
  <c r="T1950" i="7949" s="1"/>
  <c r="U1950" i="7949" s="1"/>
  <c r="V1950" i="7949" s="1"/>
  <c r="W1950" i="7949" s="1"/>
  <c r="T2660" i="7949"/>
  <c r="T1796" i="7949"/>
  <c r="T125" i="7949"/>
  <c r="T2283" i="7949"/>
  <c r="T2328" i="7949" s="1"/>
  <c r="U2328" i="7949" s="1"/>
  <c r="V2328" i="7949" s="1"/>
  <c r="W2328" i="7949" s="1"/>
  <c r="T287" i="7949"/>
  <c r="T2336" i="7949"/>
  <c r="T608" i="7949"/>
  <c r="T880" i="7949"/>
  <c r="T1688" i="7949"/>
  <c r="T879" i="7949"/>
  <c r="T924" i="7949" s="1"/>
  <c r="U924" i="7949" s="1"/>
  <c r="V924" i="7949" s="1"/>
  <c r="W924" i="7949" s="1"/>
  <c r="T1095" i="7949"/>
  <c r="T1140" i="7949" s="1"/>
  <c r="U1140" i="7949" s="1"/>
  <c r="V1140" i="7949" s="1"/>
  <c r="W1140" i="7949" s="1"/>
  <c r="T554" i="7949"/>
  <c r="T2120" i="7949"/>
  <c r="U16" i="7949"/>
  <c r="U69" i="7949"/>
  <c r="U115" i="7949" s="1"/>
  <c r="V115" i="7949" s="1"/>
  <c r="W115" i="7949" s="1"/>
  <c r="U557" i="7949"/>
  <c r="U1094" i="7949"/>
  <c r="U1526" i="7949"/>
  <c r="U447" i="7949"/>
  <c r="U493" i="7949" s="1"/>
  <c r="V493" i="7949" s="1"/>
  <c r="W493" i="7949" s="1"/>
  <c r="U2553" i="7949"/>
  <c r="U2599" i="7949" s="1"/>
  <c r="V2599" i="7949" s="1"/>
  <c r="W2599" i="7949" s="1"/>
  <c r="U177" i="7949"/>
  <c r="U223" i="7949" s="1"/>
  <c r="V223" i="7949" s="1"/>
  <c r="W223" i="7949" s="1"/>
  <c r="U933" i="7949"/>
  <c r="U979" i="7949" s="1"/>
  <c r="V979" i="7949" s="1"/>
  <c r="W979" i="7949" s="1"/>
  <c r="U1797" i="7949"/>
  <c r="U1843" i="7949" s="1"/>
  <c r="V1843" i="7949" s="1"/>
  <c r="W1843" i="7949" s="1"/>
  <c r="U1312" i="7949"/>
  <c r="U2230" i="7949"/>
  <c r="U230" i="7949"/>
  <c r="U662" i="7949"/>
  <c r="U1095" i="7949"/>
  <c r="U1141" i="7949" s="1"/>
  <c r="V1141" i="7949" s="1"/>
  <c r="W1141" i="7949" s="1"/>
  <c r="U1150" i="7949"/>
  <c r="U176" i="7949"/>
  <c r="U608" i="7949"/>
  <c r="U1040" i="7949"/>
  <c r="U1472" i="7949"/>
  <c r="U2121" i="7949"/>
  <c r="U2167" i="7949" s="1"/>
  <c r="V2167" i="7949" s="1"/>
  <c r="W2167" i="7949" s="1"/>
  <c r="U1528" i="7949"/>
  <c r="U825" i="7949"/>
  <c r="U871" i="7949" s="1"/>
  <c r="V871" i="7949" s="1"/>
  <c r="W871" i="7949" s="1"/>
  <c r="U1689" i="7949"/>
  <c r="U1735" i="7949" s="1"/>
  <c r="V1735" i="7949" s="1"/>
  <c r="W1735" i="7949" s="1"/>
  <c r="U2337" i="7949"/>
  <c r="U2383" i="7949" s="1"/>
  <c r="V2383" i="7949" s="1"/>
  <c r="W2383" i="7949" s="1"/>
  <c r="U880" i="7949"/>
  <c r="U2014" i="7949"/>
  <c r="U1850" i="7949"/>
  <c r="U2282" i="7949"/>
  <c r="U123" i="7949"/>
  <c r="U169" i="7949" s="1"/>
  <c r="V169" i="7949" s="1"/>
  <c r="W169" i="7949" s="1"/>
  <c r="U987" i="7949"/>
  <c r="U1033" i="7949" s="1"/>
  <c r="V1033" i="7949" s="1"/>
  <c r="W1033" i="7949" s="1"/>
  <c r="U1851" i="7949"/>
  <c r="U1897" i="7949" s="1"/>
  <c r="V1897" i="7949" s="1"/>
  <c r="W1897" i="7949" s="1"/>
  <c r="U1096" i="7949"/>
  <c r="U719" i="7949"/>
  <c r="U2391" i="7949"/>
  <c r="U2437" i="7949" s="1"/>
  <c r="V2437" i="7949" s="1"/>
  <c r="W2437" i="7949" s="1"/>
  <c r="U610" i="7949"/>
  <c r="U1474" i="7949"/>
  <c r="U2284" i="7949"/>
  <c r="U773" i="7949"/>
  <c r="U1852" i="7949"/>
  <c r="U503" i="7949"/>
  <c r="U2662" i="7949"/>
  <c r="U881" i="7949"/>
  <c r="U395" i="7949"/>
  <c r="U1367" i="7949"/>
  <c r="U2285" i="7949"/>
  <c r="U2069" i="7949"/>
  <c r="U2447" i="7949"/>
  <c r="U2393" i="7949"/>
  <c r="U2339" i="7949"/>
  <c r="T11" i="7950"/>
  <c r="T2601" i="7950"/>
  <c r="T2623" i="7950" s="1"/>
  <c r="U2623" i="7950" s="1"/>
  <c r="V2623" i="7950" s="1"/>
  <c r="W2623" i="7950" s="1"/>
  <c r="T1415" i="7950"/>
  <c r="T768" i="7950"/>
  <c r="T766" i="7950"/>
  <c r="T811" i="7950" s="1"/>
  <c r="U811" i="7950" s="1"/>
  <c r="V811" i="7950" s="1"/>
  <c r="W811" i="7950" s="1"/>
  <c r="T1359" i="7950"/>
  <c r="T1381" i="7950" s="1"/>
  <c r="U1381" i="7950" s="1"/>
  <c r="V1381" i="7950" s="1"/>
  <c r="W1381" i="7950" s="1"/>
  <c r="T442" i="7950"/>
  <c r="T487" i="7950" s="1"/>
  <c r="U487" i="7950" s="1"/>
  <c r="V487" i="7950" s="1"/>
  <c r="W487" i="7950" s="1"/>
  <c r="T2170" i="7950"/>
  <c r="T2215" i="7950" s="1"/>
  <c r="U2215" i="7950" s="1"/>
  <c r="V2215" i="7950" s="1"/>
  <c r="W2215" i="7950" s="1"/>
  <c r="T2655" i="7950"/>
  <c r="T2677" i="7950" s="1"/>
  <c r="T173" i="7950"/>
  <c r="T279" i="7950"/>
  <c r="T301" i="7950" s="1"/>
  <c r="T2493" i="7950"/>
  <c r="T2515" i="7950" s="1"/>
  <c r="U2515" i="7950" s="1"/>
  <c r="V2515" i="7950" s="1"/>
  <c r="W2515" i="7950" s="1"/>
  <c r="T497" i="7950"/>
  <c r="T387" i="7950"/>
  <c r="T409" i="7950" s="1"/>
  <c r="T1197" i="7950"/>
  <c r="T1219" i="7950" s="1"/>
  <c r="U1219" i="7950" s="1"/>
  <c r="V1219" i="7950" s="1"/>
  <c r="W1219" i="7950" s="1"/>
  <c r="T280" i="7950"/>
  <c r="T325" i="7950" s="1"/>
  <c r="U325" i="7950" s="1"/>
  <c r="V325" i="7950" s="1"/>
  <c r="W325" i="7950" s="1"/>
  <c r="T2008" i="7950"/>
  <c r="T2053" i="7950" s="1"/>
  <c r="U2053" i="7950" s="1"/>
  <c r="V2053" i="7950" s="1"/>
  <c r="W2053" i="7950" s="1"/>
  <c r="T1089" i="7950"/>
  <c r="T1111" i="7950" s="1"/>
  <c r="T1953" i="7950"/>
  <c r="T1975" i="7950" s="1"/>
  <c r="T172" i="7950"/>
  <c r="T217" i="7950" s="1"/>
  <c r="U217" i="7950" s="1"/>
  <c r="V217" i="7950" s="1"/>
  <c r="W217" i="7950" s="1"/>
  <c r="T1036" i="7950"/>
  <c r="T1081" i="7950" s="1"/>
  <c r="U1081" i="7950" s="1"/>
  <c r="V1081" i="7950" s="1"/>
  <c r="W1081" i="7950" s="1"/>
  <c r="T1900" i="7950"/>
  <c r="T1945" i="7950" s="1"/>
  <c r="U1945" i="7950" s="1"/>
  <c r="V1945" i="7950" s="1"/>
  <c r="W1945" i="7950" s="1"/>
  <c r="T119" i="7950"/>
  <c r="T929" i="7950"/>
  <c r="T1254" i="7950"/>
  <c r="T441" i="7950"/>
  <c r="T463" i="7950" s="1"/>
  <c r="T873" i="7950"/>
  <c r="T895" i="7950" s="1"/>
  <c r="T1845" i="7950"/>
  <c r="T1867" i="7950" s="1"/>
  <c r="T64" i="7950"/>
  <c r="T109" i="7950" s="1"/>
  <c r="U109" i="7950" s="1"/>
  <c r="V109" i="7950" s="1"/>
  <c r="W109" i="7950" s="1"/>
  <c r="T928" i="7950"/>
  <c r="T973" i="7950" s="1"/>
  <c r="U973" i="7950" s="1"/>
  <c r="V973" i="7950" s="1"/>
  <c r="W973" i="7950" s="1"/>
  <c r="T1792" i="7950"/>
  <c r="T1837" i="7950" s="1"/>
  <c r="U1837" i="7950" s="1"/>
  <c r="V1837" i="7950" s="1"/>
  <c r="W1837" i="7950" s="1"/>
  <c r="T2656" i="7950"/>
  <c r="T2701" i="7950" s="1"/>
  <c r="U2701" i="7950" s="1"/>
  <c r="V2701" i="7950" s="1"/>
  <c r="W2701" i="7950" s="1"/>
  <c r="T1037" i="7950"/>
  <c r="T390" i="7950"/>
  <c r="T1578" i="7950"/>
  <c r="T1847" i="7950"/>
  <c r="T335" i="7950"/>
  <c r="T1577" i="7950"/>
  <c r="T336" i="7950"/>
  <c r="T443" i="7950"/>
  <c r="T1307" i="7950"/>
  <c r="T2171" i="7950"/>
  <c r="T660" i="7950"/>
  <c r="T2495" i="7950"/>
  <c r="T714" i="7950"/>
  <c r="T1794" i="7950"/>
  <c r="T1524" i="7950"/>
  <c r="T1956" i="7950"/>
  <c r="T1902" i="7950"/>
  <c r="T2064" i="7950"/>
  <c r="U14" i="7949"/>
  <c r="U15" i="7949"/>
  <c r="U61" i="7949" s="1"/>
  <c r="V61" i="7949" s="1"/>
  <c r="W61" i="7949" s="1"/>
  <c r="U2660" i="7949"/>
  <c r="U122" i="7949"/>
  <c r="U1202" i="7949"/>
  <c r="U1634" i="7949"/>
  <c r="U663" i="7949"/>
  <c r="U709" i="7949" s="1"/>
  <c r="V709" i="7949" s="1"/>
  <c r="W709" i="7949" s="1"/>
  <c r="U664" i="7949"/>
  <c r="U285" i="7949"/>
  <c r="U331" i="7949" s="1"/>
  <c r="V331" i="7949" s="1"/>
  <c r="W331" i="7949" s="1"/>
  <c r="U1149" i="7949"/>
  <c r="U1195" i="7949" s="1"/>
  <c r="V1195" i="7949" s="1"/>
  <c r="W1195" i="7949" s="1"/>
  <c r="U2067" i="7949"/>
  <c r="U2113" i="7949" s="1"/>
  <c r="V2113" i="7949" s="1"/>
  <c r="W2113" i="7949" s="1"/>
  <c r="U1798" i="7949"/>
  <c r="U2338" i="7949"/>
  <c r="U338" i="7949"/>
  <c r="U770" i="7949"/>
  <c r="U1527" i="7949"/>
  <c r="U1573" i="7949" s="1"/>
  <c r="V1573" i="7949" s="1"/>
  <c r="W1573" i="7949" s="1"/>
  <c r="U287" i="7949"/>
  <c r="U284" i="7949"/>
  <c r="U716" i="7949"/>
  <c r="U1148" i="7949"/>
  <c r="U1580" i="7949"/>
  <c r="U2445" i="7949"/>
  <c r="U2491" i="7949" s="1"/>
  <c r="V2491" i="7949" s="1"/>
  <c r="W2491" i="7949" s="1"/>
  <c r="U2554" i="7949"/>
  <c r="U1041" i="7949"/>
  <c r="U1087" i="7949" s="1"/>
  <c r="V1087" i="7949" s="1"/>
  <c r="W1087" i="7949" s="1"/>
  <c r="U1905" i="7949"/>
  <c r="U1951" i="7949" s="1"/>
  <c r="V1951" i="7949" s="1"/>
  <c r="W1951" i="7949" s="1"/>
  <c r="U2661" i="7949"/>
  <c r="U2707" i="7949" s="1"/>
  <c r="V2707" i="7949" s="1"/>
  <c r="W2707" i="7949" s="1"/>
  <c r="U988" i="7949"/>
  <c r="U71" i="7949"/>
  <c r="U1958" i="7949"/>
  <c r="U2390" i="7949"/>
  <c r="U339" i="7949"/>
  <c r="U385" i="7949" s="1"/>
  <c r="V385" i="7949" s="1"/>
  <c r="W385" i="7949" s="1"/>
  <c r="U1203" i="7949"/>
  <c r="U1249" i="7949" s="1"/>
  <c r="V1249" i="7949" s="1"/>
  <c r="W1249" i="7949" s="1"/>
  <c r="U232" i="7949"/>
  <c r="U1204" i="7949"/>
  <c r="U2501" i="7949"/>
  <c r="U2607" i="7949"/>
  <c r="U2653" i="7949" s="1"/>
  <c r="V2653" i="7949" s="1"/>
  <c r="W2653" i="7949" s="1"/>
  <c r="U826" i="7949"/>
  <c r="U1690" i="7949"/>
  <c r="U2392" i="7949"/>
  <c r="U1151" i="7949"/>
  <c r="U2068" i="7949"/>
  <c r="U935" i="7949"/>
  <c r="U233" i="7949"/>
  <c r="U1205" i="7949"/>
  <c r="U611" i="7949"/>
  <c r="U1097" i="7949"/>
  <c r="U1475" i="7949"/>
  <c r="U1799" i="7949"/>
  <c r="U2663" i="7949"/>
  <c r="U2609" i="7949"/>
  <c r="U2555" i="7949"/>
  <c r="T12" i="7950"/>
  <c r="T820" i="7950"/>
  <c r="T865" i="7950" s="1"/>
  <c r="T120" i="7950"/>
  <c r="T711" i="7950"/>
  <c r="T733" i="7950" s="1"/>
  <c r="T1576" i="7950"/>
  <c r="T1621" i="7950" s="1"/>
  <c r="U1621" i="7950" s="1"/>
  <c r="V1621" i="7950" s="1"/>
  <c r="W1621" i="7950" s="1"/>
  <c r="T2169" i="7950"/>
  <c r="T2191" i="7950" s="1"/>
  <c r="T1252" i="7950"/>
  <c r="T1297" i="7950" s="1"/>
  <c r="U1297" i="7950" s="1"/>
  <c r="V1297" i="7950" s="1"/>
  <c r="W1297" i="7950" s="1"/>
  <c r="T2010" i="7950"/>
  <c r="T874" i="7950"/>
  <c r="T919" i="7950" s="1"/>
  <c r="U919" i="7950" s="1"/>
  <c r="V919" i="7950" s="1"/>
  <c r="W919" i="7950" s="1"/>
  <c r="T1901" i="7950"/>
  <c r="T495" i="7950"/>
  <c r="T517" i="7950" s="1"/>
  <c r="U517" i="7950" s="1"/>
  <c r="V517" i="7950" s="1"/>
  <c r="W517" i="7950" s="1"/>
  <c r="T712" i="7950"/>
  <c r="T757" i="7950" s="1"/>
  <c r="U757" i="7950" s="1"/>
  <c r="V757" i="7950" s="1"/>
  <c r="W757" i="7950" s="1"/>
  <c r="T983" i="7950"/>
  <c r="T603" i="7950"/>
  <c r="T625" i="7950" s="1"/>
  <c r="T1251" i="7950"/>
  <c r="T1273" i="7950" s="1"/>
  <c r="T334" i="7950"/>
  <c r="T379" i="7950" s="1"/>
  <c r="U379" i="7950" s="1"/>
  <c r="V379" i="7950" s="1"/>
  <c r="W379" i="7950" s="1"/>
  <c r="T2062" i="7950"/>
  <c r="T2107" i="7950" s="1"/>
  <c r="U2107" i="7950" s="1"/>
  <c r="V2107" i="7950" s="1"/>
  <c r="W2107" i="7950" s="1"/>
  <c r="T1143" i="7950"/>
  <c r="T1165" i="7950" s="1"/>
  <c r="U1165" i="7950" s="1"/>
  <c r="V1165" i="7950" s="1"/>
  <c r="W1165" i="7950" s="1"/>
  <c r="T2007" i="7950"/>
  <c r="T2029" i="7950" s="1"/>
  <c r="T226" i="7950"/>
  <c r="T271" i="7950" s="1"/>
  <c r="U271" i="7950" s="1"/>
  <c r="V271" i="7950" s="1"/>
  <c r="W271" i="7950" s="1"/>
  <c r="T1090" i="7950"/>
  <c r="T1135" i="7950" s="1"/>
  <c r="U1135" i="7950" s="1"/>
  <c r="V1135" i="7950" s="1"/>
  <c r="W1135" i="7950" s="1"/>
  <c r="T1954" i="7950"/>
  <c r="T1999" i="7950" s="1"/>
  <c r="U1999" i="7950" s="1"/>
  <c r="V1999" i="7950" s="1"/>
  <c r="W1999" i="7950" s="1"/>
  <c r="T281" i="7950"/>
  <c r="T1253" i="7950"/>
  <c r="T117" i="7950"/>
  <c r="T139" i="7950" s="1"/>
  <c r="T549" i="7950"/>
  <c r="T571" i="7950" s="1"/>
  <c r="T981" i="7950"/>
  <c r="T1003" i="7950" s="1"/>
  <c r="T1899" i="7950"/>
  <c r="T1921" i="7950" s="1"/>
  <c r="T118" i="7950"/>
  <c r="T163" i="7950" s="1"/>
  <c r="U163" i="7950" s="1"/>
  <c r="V163" i="7950" s="1"/>
  <c r="W163" i="7950" s="1"/>
  <c r="T982" i="7950"/>
  <c r="T1027" i="7950" s="1"/>
  <c r="U1027" i="7950" s="1"/>
  <c r="V1027" i="7950" s="1"/>
  <c r="W1027" i="7950" s="1"/>
  <c r="T1846" i="7950"/>
  <c r="T1891" i="7950" s="1"/>
  <c r="U1891" i="7950" s="1"/>
  <c r="V1891" i="7950" s="1"/>
  <c r="W1891" i="7950" s="1"/>
  <c r="T65" i="7950"/>
  <c r="T2009" i="7950"/>
  <c r="T876" i="7950"/>
  <c r="T1686" i="7950"/>
  <c r="T2225" i="7950"/>
  <c r="T713" i="7950"/>
  <c r="T1685" i="7950"/>
  <c r="T822" i="7950"/>
  <c r="T659" i="7950"/>
  <c r="T1523" i="7950"/>
  <c r="T2387" i="7950"/>
  <c r="T1146" i="7950"/>
  <c r="T66" i="7950"/>
  <c r="T930" i="7950"/>
  <c r="T2226" i="7950"/>
  <c r="T1848" i="7950"/>
  <c r="T2172" i="7950"/>
  <c r="T2118" i="7950"/>
  <c r="T2280" i="7950"/>
  <c r="U2550" i="7950"/>
  <c r="U2334" i="7950"/>
  <c r="U2118" i="7950"/>
  <c r="U1902" i="7950"/>
  <c r="U2604" i="7950"/>
  <c r="U2388" i="7950"/>
  <c r="U2172" i="7950"/>
  <c r="U1956" i="7950"/>
  <c r="U1740" i="7950"/>
  <c r="U2658" i="7950"/>
  <c r="U2442" i="7950"/>
  <c r="U2226" i="7950"/>
  <c r="U2010" i="7950"/>
  <c r="U1794" i="7950"/>
  <c r="U2064" i="7950"/>
  <c r="U1578" i="7950"/>
  <c r="U1362" i="7950"/>
  <c r="U1146" i="7950"/>
  <c r="U2280" i="7950"/>
  <c r="U1686" i="7950"/>
  <c r="U1308" i="7950"/>
  <c r="U1200" i="7950"/>
  <c r="U984" i="7950"/>
  <c r="U768" i="7950"/>
  <c r="U552" i="7950"/>
  <c r="U336" i="7950"/>
  <c r="U120" i="7950"/>
  <c r="U2549" i="7950"/>
  <c r="U930" i="7950"/>
  <c r="U822" i="7950"/>
  <c r="U444" i="7950"/>
  <c r="U66" i="7950"/>
  <c r="U2603" i="7950"/>
  <c r="U2441" i="7950"/>
  <c r="U2225" i="7950"/>
  <c r="U2009" i="7950"/>
  <c r="U1793" i="7950"/>
  <c r="U1577" i="7950"/>
  <c r="U1361" i="7950"/>
  <c r="U1145" i="7950"/>
  <c r="U929" i="7950"/>
  <c r="U713" i="7950"/>
  <c r="U497" i="7950"/>
  <c r="U281" i="7950"/>
  <c r="U65" i="7950"/>
  <c r="U660" i="7950"/>
  <c r="U498" i="7950"/>
  <c r="U174" i="7950"/>
  <c r="U2657" i="7950"/>
  <c r="U2495" i="7950"/>
  <c r="U2333" i="7950"/>
  <c r="U1955" i="7950"/>
  <c r="U1847" i="7950"/>
  <c r="U1469" i="7950"/>
  <c r="U1091" i="7950"/>
  <c r="U983" i="7950"/>
  <c r="U605" i="7950"/>
  <c r="U227" i="7950"/>
  <c r="U119" i="7950"/>
  <c r="U2602" i="7950"/>
  <c r="U2648" i="7950" s="1"/>
  <c r="V2648" i="7950" s="1"/>
  <c r="W2648" i="7950" s="1"/>
  <c r="U2494" i="7950"/>
  <c r="U2540" i="7950" s="1"/>
  <c r="V2540" i="7950" s="1"/>
  <c r="W2540" i="7950" s="1"/>
  <c r="U2386" i="7950"/>
  <c r="U2432" i="7950" s="1"/>
  <c r="V2432" i="7950" s="1"/>
  <c r="W2432" i="7950" s="1"/>
  <c r="U2278" i="7950"/>
  <c r="U2324" i="7950" s="1"/>
  <c r="V2324" i="7950" s="1"/>
  <c r="W2324" i="7950" s="1"/>
  <c r="U2170" i="7950"/>
  <c r="U2216" i="7950" s="1"/>
  <c r="V2216" i="7950" s="1"/>
  <c r="W2216" i="7950" s="1"/>
  <c r="U2062" i="7950"/>
  <c r="U2108" i="7950" s="1"/>
  <c r="V2108" i="7950" s="1"/>
  <c r="W2108" i="7950" s="1"/>
  <c r="U1954" i="7950"/>
  <c r="U2000" i="7950" s="1"/>
  <c r="V2000" i="7950" s="1"/>
  <c r="W2000" i="7950" s="1"/>
  <c r="U1846" i="7950"/>
  <c r="U1892" i="7950" s="1"/>
  <c r="V1892" i="7950" s="1"/>
  <c r="W1892" i="7950" s="1"/>
  <c r="U1738" i="7950"/>
  <c r="U1784" i="7950" s="1"/>
  <c r="V1784" i="7950" s="1"/>
  <c r="W1784" i="7950" s="1"/>
  <c r="U1630" i="7950"/>
  <c r="U1676" i="7950" s="1"/>
  <c r="V1676" i="7950" s="1"/>
  <c r="W1676" i="7950" s="1"/>
  <c r="U1522" i="7950"/>
  <c r="U1568" i="7950" s="1"/>
  <c r="V1568" i="7950" s="1"/>
  <c r="W1568" i="7950" s="1"/>
  <c r="U1414" i="7950"/>
  <c r="U1460" i="7950" s="1"/>
  <c r="V1460" i="7950" s="1"/>
  <c r="W1460" i="7950" s="1"/>
  <c r="U1306" i="7950"/>
  <c r="U1352" i="7950" s="1"/>
  <c r="V1352" i="7950" s="1"/>
  <c r="W1352" i="7950" s="1"/>
  <c r="U1198" i="7950"/>
  <c r="U1244" i="7950" s="1"/>
  <c r="V1244" i="7950" s="1"/>
  <c r="W1244" i="7950" s="1"/>
  <c r="U1090" i="7950"/>
  <c r="U1136" i="7950" s="1"/>
  <c r="V1136" i="7950" s="1"/>
  <c r="W1136" i="7950" s="1"/>
  <c r="U982" i="7950"/>
  <c r="U1028" i="7950" s="1"/>
  <c r="V1028" i="7950" s="1"/>
  <c r="W1028" i="7950" s="1"/>
  <c r="U874" i="7950"/>
  <c r="U920" i="7950" s="1"/>
  <c r="V920" i="7950" s="1"/>
  <c r="W920" i="7950" s="1"/>
  <c r="U766" i="7950"/>
  <c r="U812" i="7950" s="1"/>
  <c r="V812" i="7950" s="1"/>
  <c r="W812" i="7950" s="1"/>
  <c r="U658" i="7950"/>
  <c r="U704" i="7950" s="1"/>
  <c r="V704" i="7950" s="1"/>
  <c r="W704" i="7950" s="1"/>
  <c r="U550" i="7950"/>
  <c r="U596" i="7950" s="1"/>
  <c r="V596" i="7950" s="1"/>
  <c r="W596" i="7950" s="1"/>
  <c r="U442" i="7950"/>
  <c r="U488" i="7950" s="1"/>
  <c r="V488" i="7950" s="1"/>
  <c r="W488" i="7950" s="1"/>
  <c r="U334" i="7950"/>
  <c r="U380" i="7950" s="1"/>
  <c r="V380" i="7950" s="1"/>
  <c r="W380" i="7950" s="1"/>
  <c r="U226" i="7950"/>
  <c r="U272" i="7950" s="1"/>
  <c r="V272" i="7950" s="1"/>
  <c r="W272" i="7950" s="1"/>
  <c r="U118" i="7950"/>
  <c r="U164" i="7950" s="1"/>
  <c r="V164" i="7950" s="1"/>
  <c r="W164" i="7950" s="1"/>
  <c r="U2655" i="7950"/>
  <c r="U2678" i="7950" s="1"/>
  <c r="U2547" i="7950"/>
  <c r="U2570" i="7950" s="1"/>
  <c r="U2439" i="7950"/>
  <c r="U2462" i="7950" s="1"/>
  <c r="U2331" i="7950"/>
  <c r="U2354" i="7950" s="1"/>
  <c r="U2223" i="7950"/>
  <c r="U2246" i="7950" s="1"/>
  <c r="U2115" i="7950"/>
  <c r="U2138" i="7950" s="1"/>
  <c r="U2007" i="7950"/>
  <c r="U2030" i="7950" s="1"/>
  <c r="U1899" i="7950"/>
  <c r="U1922" i="7950" s="1"/>
  <c r="U1791" i="7950"/>
  <c r="U1814" i="7950" s="1"/>
  <c r="U1683" i="7950"/>
  <c r="U1706" i="7950" s="1"/>
  <c r="U1575" i="7950"/>
  <c r="U1598" i="7950" s="1"/>
  <c r="U1467" i="7950"/>
  <c r="U1490" i="7950" s="1"/>
  <c r="U1359" i="7950"/>
  <c r="U1382" i="7950" s="1"/>
  <c r="U1251" i="7950"/>
  <c r="U1274" i="7950" s="1"/>
  <c r="U1143" i="7950"/>
  <c r="U1166" i="7950" s="1"/>
  <c r="U2496" i="7950"/>
  <c r="U1848" i="7950"/>
  <c r="U876" i="7950"/>
  <c r="U714" i="7950"/>
  <c r="U390" i="7950"/>
  <c r="U228" i="7950"/>
  <c r="U2117" i="7950"/>
  <c r="U1739" i="7950"/>
  <c r="U1631" i="7950"/>
  <c r="U1632" i="7950"/>
  <c r="U1524" i="7950"/>
  <c r="U1470" i="7950"/>
  <c r="U1416" i="7950"/>
  <c r="U1254" i="7950"/>
  <c r="U1092" i="7950"/>
  <c r="U1038" i="7950"/>
  <c r="U2279" i="7950"/>
  <c r="U1523" i="7950"/>
  <c r="U1253" i="7950"/>
  <c r="U767" i="7950"/>
  <c r="U2332" i="7950"/>
  <c r="U2378" i="7950" s="1"/>
  <c r="V2378" i="7950" s="1"/>
  <c r="W2378" i="7950" s="1"/>
  <c r="U1900" i="7950"/>
  <c r="U1946" i="7950" s="1"/>
  <c r="V1946" i="7950" s="1"/>
  <c r="W1946" i="7950" s="1"/>
  <c r="U1468" i="7950"/>
  <c r="U1514" i="7950" s="1"/>
  <c r="V1514" i="7950" s="1"/>
  <c r="W1514" i="7950" s="1"/>
  <c r="U1036" i="7950"/>
  <c r="U1082" i="7950" s="1"/>
  <c r="V1082" i="7950" s="1"/>
  <c r="W1082" i="7950" s="1"/>
  <c r="U604" i="7950"/>
  <c r="U650" i="7950" s="1"/>
  <c r="V650" i="7950" s="1"/>
  <c r="W650" i="7950" s="1"/>
  <c r="U172" i="7950"/>
  <c r="U218" i="7950" s="1"/>
  <c r="V218" i="7950" s="1"/>
  <c r="W218" i="7950" s="1"/>
  <c r="U2385" i="7950"/>
  <c r="U2408" i="7950" s="1"/>
  <c r="U1953" i="7950"/>
  <c r="U1976" i="7950" s="1"/>
  <c r="U1521" i="7950"/>
  <c r="U1544" i="7950" s="1"/>
  <c r="U1089" i="7950"/>
  <c r="U1112" i="7950" s="1"/>
  <c r="U2063" i="7950"/>
  <c r="U443" i="7950"/>
  <c r="U2440" i="7950"/>
  <c r="U2486" i="7950" s="1"/>
  <c r="V2486" i="7950" s="1"/>
  <c r="W2486" i="7950" s="1"/>
  <c r="U2008" i="7950"/>
  <c r="U2054" i="7950" s="1"/>
  <c r="V2054" i="7950" s="1"/>
  <c r="W2054" i="7950" s="1"/>
  <c r="U1576" i="7950"/>
  <c r="U1622" i="7950" s="1"/>
  <c r="V1622" i="7950" s="1"/>
  <c r="W1622" i="7950" s="1"/>
  <c r="U1144" i="7950"/>
  <c r="U1190" i="7950" s="1"/>
  <c r="V1190" i="7950" s="1"/>
  <c r="W1190" i="7950" s="1"/>
  <c r="U712" i="7950"/>
  <c r="U758" i="7950" s="1"/>
  <c r="V758" i="7950" s="1"/>
  <c r="W758" i="7950" s="1"/>
  <c r="U280" i="7950"/>
  <c r="U326" i="7950" s="1"/>
  <c r="V326" i="7950" s="1"/>
  <c r="W326" i="7950" s="1"/>
  <c r="U2493" i="7950"/>
  <c r="U2516" i="7950" s="1"/>
  <c r="U2061" i="7950"/>
  <c r="U2084" i="7950" s="1"/>
  <c r="U1629" i="7950"/>
  <c r="U1652" i="7950" s="1"/>
  <c r="U1197" i="7950"/>
  <c r="U1220" i="7950" s="1"/>
  <c r="U1035" i="7950"/>
  <c r="U1058" i="7950" s="1"/>
  <c r="U927" i="7950"/>
  <c r="U950" i="7950" s="1"/>
  <c r="U819" i="7950"/>
  <c r="U842" i="7950" s="1"/>
  <c r="U711" i="7950"/>
  <c r="U734" i="7950" s="1"/>
  <c r="U603" i="7950"/>
  <c r="U626" i="7950" s="1"/>
  <c r="U495" i="7950"/>
  <c r="U518" i="7950" s="1"/>
  <c r="U387" i="7950"/>
  <c r="U410" i="7950" s="1"/>
  <c r="U279" i="7950"/>
  <c r="U302" i="7950" s="1"/>
  <c r="U171" i="7950"/>
  <c r="U194" i="7950" s="1"/>
  <c r="U2116" i="7950"/>
  <c r="U2162" i="7950" s="1"/>
  <c r="V2162" i="7950" s="1"/>
  <c r="W2162" i="7950" s="1"/>
  <c r="U1252" i="7950"/>
  <c r="U1298" i="7950" s="1"/>
  <c r="V1298" i="7950" s="1"/>
  <c r="W1298" i="7950" s="1"/>
  <c r="U388" i="7950"/>
  <c r="U434" i="7950" s="1"/>
  <c r="V434" i="7950" s="1"/>
  <c r="W434" i="7950" s="1"/>
  <c r="U2169" i="7950"/>
  <c r="U2192" i="7950" s="1"/>
  <c r="U1305" i="7950"/>
  <c r="U1328" i="7950" s="1"/>
  <c r="U606" i="7950"/>
  <c r="U2387" i="7950"/>
  <c r="U1901" i="7950"/>
  <c r="U1415" i="7950"/>
  <c r="U1307" i="7950"/>
  <c r="U821" i="7950"/>
  <c r="U659" i="7950"/>
  <c r="U335" i="7950"/>
  <c r="U173" i="7950"/>
  <c r="U2548" i="7950"/>
  <c r="U2594" i="7950" s="1"/>
  <c r="V2594" i="7950" s="1"/>
  <c r="W2594" i="7950" s="1"/>
  <c r="U820" i="7950"/>
  <c r="U866" i="7950" s="1"/>
  <c r="V866" i="7950" s="1"/>
  <c r="W866" i="7950" s="1"/>
  <c r="U2601" i="7950"/>
  <c r="U2624" i="7950" s="1"/>
  <c r="U1737" i="7950"/>
  <c r="U1760" i="7950" s="1"/>
  <c r="U2656" i="7950"/>
  <c r="U2702" i="7950" s="1"/>
  <c r="V2702" i="7950" s="1"/>
  <c r="W2702" i="7950" s="1"/>
  <c r="U1792" i="7950"/>
  <c r="U1838" i="7950" s="1"/>
  <c r="V1838" i="7950" s="1"/>
  <c r="W1838" i="7950" s="1"/>
  <c r="U1845" i="7950"/>
  <c r="U1868" i="7950" s="1"/>
  <c r="U873" i="7950"/>
  <c r="U896" i="7950" s="1"/>
  <c r="U441" i="7950"/>
  <c r="U464" i="7950" s="1"/>
  <c r="U2171" i="7950"/>
  <c r="U1685" i="7950"/>
  <c r="U1199" i="7950"/>
  <c r="U1037" i="7950"/>
  <c r="U875" i="7950"/>
  <c r="U551" i="7950"/>
  <c r="U389" i="7950"/>
  <c r="U2224" i="7950"/>
  <c r="U2270" i="7950" s="1"/>
  <c r="V2270" i="7950" s="1"/>
  <c r="W2270" i="7950" s="1"/>
  <c r="U1360" i="7950"/>
  <c r="U1406" i="7950" s="1"/>
  <c r="V1406" i="7950" s="1"/>
  <c r="W1406" i="7950" s="1"/>
  <c r="U496" i="7950"/>
  <c r="U542" i="7950" s="1"/>
  <c r="V542" i="7950" s="1"/>
  <c r="W542" i="7950" s="1"/>
  <c r="U2277" i="7950"/>
  <c r="U2300" i="7950" s="1"/>
  <c r="U1413" i="7950"/>
  <c r="U1436" i="7950" s="1"/>
  <c r="U981" i="7950"/>
  <c r="U1004" i="7950" s="1"/>
  <c r="U765" i="7950"/>
  <c r="U788" i="7950" s="1"/>
  <c r="U549" i="7950"/>
  <c r="U572" i="7950" s="1"/>
  <c r="U333" i="7950"/>
  <c r="U356" i="7950" s="1"/>
  <c r="U117" i="7950"/>
  <c r="U140" i="7950" s="1"/>
  <c r="U63" i="7950"/>
  <c r="U86" i="7950" s="1"/>
  <c r="U1684" i="7950"/>
  <c r="U1730" i="7950" s="1"/>
  <c r="V1730" i="7950" s="1"/>
  <c r="W1730" i="7950" s="1"/>
  <c r="U282" i="7950"/>
  <c r="U928" i="7950"/>
  <c r="U974" i="7950" s="1"/>
  <c r="V974" i="7950" s="1"/>
  <c r="W974" i="7950" s="1"/>
  <c r="U64" i="7950"/>
  <c r="U110" i="7950" s="1"/>
  <c r="V110" i="7950" s="1"/>
  <c r="W110" i="7950" s="1"/>
  <c r="U657" i="7950"/>
  <c r="U680" i="7950" s="1"/>
  <c r="U225" i="7950"/>
  <c r="U248" i="7950" s="1"/>
  <c r="U12" i="7950"/>
  <c r="U11" i="7950"/>
  <c r="U10" i="7950"/>
  <c r="U56" i="7950" s="1"/>
  <c r="U9" i="7950"/>
  <c r="U32" i="7950" s="1"/>
  <c r="V2609" i="7949"/>
  <c r="V2393" i="7949"/>
  <c r="V2177" i="7949"/>
  <c r="V1961" i="7949"/>
  <c r="V1745" i="7949"/>
  <c r="V2663" i="7949"/>
  <c r="V2447" i="7949"/>
  <c r="V2231" i="7949"/>
  <c r="V2015" i="7949"/>
  <c r="V1799" i="7949"/>
  <c r="V2501" i="7949"/>
  <c r="V2285" i="7949"/>
  <c r="V2069" i="7949"/>
  <c r="V1853" i="7949"/>
  <c r="V2339" i="7949"/>
  <c r="V1529" i="7949"/>
  <c r="V1313" i="7949"/>
  <c r="V2555" i="7949"/>
  <c r="V1583" i="7949"/>
  <c r="V1367" i="7949"/>
  <c r="V1151" i="7949"/>
  <c r="V1907" i="7949"/>
  <c r="V1637" i="7949"/>
  <c r="V1205" i="7949"/>
  <c r="V881" i="7949"/>
  <c r="V665" i="7949"/>
  <c r="V449" i="7949"/>
  <c r="V233" i="7949"/>
  <c r="V1475" i="7949"/>
  <c r="V1097" i="7949"/>
  <c r="V935" i="7949"/>
  <c r="V719" i="7949"/>
  <c r="V503" i="7949"/>
  <c r="V287" i="7949"/>
  <c r="V71" i="7949"/>
  <c r="V2500" i="7949"/>
  <c r="V2284" i="7949"/>
  <c r="V773" i="7949"/>
  <c r="V341" i="7949"/>
  <c r="V125" i="7949"/>
  <c r="V2392" i="7949"/>
  <c r="V2122" i="7949"/>
  <c r="V1906" i="7949"/>
  <c r="V1690" i="7949"/>
  <c r="V1474" i="7949"/>
  <c r="V611" i="7949"/>
  <c r="V179" i="7949"/>
  <c r="V2662" i="7949"/>
  <c r="V2554" i="7949"/>
  <c r="V2176" i="7949"/>
  <c r="V1960" i="7949"/>
  <c r="V1744" i="7949"/>
  <c r="V1528" i="7949"/>
  <c r="V1312" i="7949"/>
  <c r="V1096" i="7949"/>
  <c r="V880" i="7949"/>
  <c r="V664" i="7949"/>
  <c r="V448" i="7949"/>
  <c r="V232" i="7949"/>
  <c r="V2661" i="7949"/>
  <c r="V2708" i="7949" s="1"/>
  <c r="W2708" i="7949" s="1"/>
  <c r="V2445" i="7949"/>
  <c r="V2492" i="7949" s="1"/>
  <c r="W2492" i="7949" s="1"/>
  <c r="V2229" i="7949"/>
  <c r="V2276" i="7949" s="1"/>
  <c r="W2276" i="7949" s="1"/>
  <c r="V2013" i="7949"/>
  <c r="V2060" i="7949" s="1"/>
  <c r="W2060" i="7949" s="1"/>
  <c r="V989" i="7949"/>
  <c r="V2446" i="7949"/>
  <c r="V2014" i="7949"/>
  <c r="V1582" i="7949"/>
  <c r="V1366" i="7949"/>
  <c r="V988" i="7949"/>
  <c r="V610" i="7949"/>
  <c r="V502" i="7949"/>
  <c r="V124" i="7949"/>
  <c r="V2337" i="7949"/>
  <c r="V2384" i="7949" s="1"/>
  <c r="W2384" i="7949" s="1"/>
  <c r="V2283" i="7949"/>
  <c r="V2330" i="7949" s="1"/>
  <c r="W2330" i="7949" s="1"/>
  <c r="V1905" i="7949"/>
  <c r="V1952" i="7949" s="1"/>
  <c r="W1952" i="7949" s="1"/>
  <c r="V1689" i="7949"/>
  <c r="V1736" i="7949" s="1"/>
  <c r="W1736" i="7949" s="1"/>
  <c r="V1473" i="7949"/>
  <c r="V1520" i="7949" s="1"/>
  <c r="W1520" i="7949" s="1"/>
  <c r="V1257" i="7949"/>
  <c r="V1304" i="7949" s="1"/>
  <c r="W1304" i="7949" s="1"/>
  <c r="V1041" i="7949"/>
  <c r="V1088" i="7949" s="1"/>
  <c r="W1088" i="7949" s="1"/>
  <c r="V825" i="7949"/>
  <c r="V872" i="7949" s="1"/>
  <c r="W872" i="7949" s="1"/>
  <c r="V609" i="7949"/>
  <c r="V656" i="7949" s="1"/>
  <c r="W656" i="7949" s="1"/>
  <c r="V393" i="7949"/>
  <c r="V440" i="7949" s="1"/>
  <c r="W440" i="7949" s="1"/>
  <c r="V177" i="7949"/>
  <c r="V224" i="7949" s="1"/>
  <c r="W224" i="7949" s="1"/>
  <c r="V2123" i="7949"/>
  <c r="V1043" i="7949"/>
  <c r="V395" i="7949"/>
  <c r="V1852" i="7949"/>
  <c r="V1258" i="7949"/>
  <c r="V1150" i="7949"/>
  <c r="V772" i="7949"/>
  <c r="V394" i="7949"/>
  <c r="V286" i="7949"/>
  <c r="V2607" i="7949"/>
  <c r="V2654" i="7949" s="1"/>
  <c r="W2654" i="7949" s="1"/>
  <c r="V2175" i="7949"/>
  <c r="V2222" i="7949" s="1"/>
  <c r="W2222" i="7949" s="1"/>
  <c r="V1743" i="7949"/>
  <c r="V1790" i="7949" s="1"/>
  <c r="W1790" i="7949" s="1"/>
  <c r="V1527" i="7949"/>
  <c r="V1574" i="7949" s="1"/>
  <c r="W1574" i="7949" s="1"/>
  <c r="V1311" i="7949"/>
  <c r="V1358" i="7949" s="1"/>
  <c r="W1358" i="7949" s="1"/>
  <c r="V1095" i="7949"/>
  <c r="V1142" i="7949" s="1"/>
  <c r="W1142" i="7949" s="1"/>
  <c r="V879" i="7949"/>
  <c r="V926" i="7949" s="1"/>
  <c r="W926" i="7949" s="1"/>
  <c r="V663" i="7949"/>
  <c r="V710" i="7949" s="1"/>
  <c r="W710" i="7949" s="1"/>
  <c r="V447" i="7949"/>
  <c r="V494" i="7949" s="1"/>
  <c r="W494" i="7949" s="1"/>
  <c r="V231" i="7949"/>
  <c r="V278" i="7949" s="1"/>
  <c r="W278" i="7949" s="1"/>
  <c r="V1798" i="7949"/>
  <c r="V1042" i="7949"/>
  <c r="V556" i="7949"/>
  <c r="V70" i="7949"/>
  <c r="V2067" i="7949"/>
  <c r="V2114" i="7949" s="1"/>
  <c r="W2114" i="7949" s="1"/>
  <c r="V1797" i="7949"/>
  <c r="V1844" i="7949" s="1"/>
  <c r="W1844" i="7949" s="1"/>
  <c r="V1581" i="7949"/>
  <c r="V1628" i="7949" s="1"/>
  <c r="W1628" i="7949" s="1"/>
  <c r="V1365" i="7949"/>
  <c r="V1412" i="7949" s="1"/>
  <c r="W1412" i="7949" s="1"/>
  <c r="V1149" i="7949"/>
  <c r="V1196" i="7949" s="1"/>
  <c r="W1196" i="7949" s="1"/>
  <c r="V933" i="7949"/>
  <c r="V980" i="7949" s="1"/>
  <c r="W980" i="7949" s="1"/>
  <c r="V717" i="7949"/>
  <c r="V764" i="7949" s="1"/>
  <c r="W764" i="7949" s="1"/>
  <c r="V501" i="7949"/>
  <c r="V548" i="7949" s="1"/>
  <c r="W548" i="7949" s="1"/>
  <c r="V285" i="7949"/>
  <c r="V332" i="7949" s="1"/>
  <c r="W332" i="7949" s="1"/>
  <c r="V2444" i="7949"/>
  <c r="V2390" i="7949"/>
  <c r="V2012" i="7949"/>
  <c r="V1958" i="7949"/>
  <c r="V2066" i="7949"/>
  <c r="V1688" i="7949"/>
  <c r="V1418" i="7949"/>
  <c r="V1310" i="7949"/>
  <c r="V1202" i="7949"/>
  <c r="V1094" i="7949"/>
  <c r="V986" i="7949"/>
  <c r="V878" i="7949"/>
  <c r="V770" i="7949"/>
  <c r="V446" i="7949"/>
  <c r="V230" i="7949"/>
  <c r="V1421" i="7949"/>
  <c r="V1259" i="7949"/>
  <c r="V557" i="7949"/>
  <c r="V1420" i="7949"/>
  <c r="V2499" i="7949"/>
  <c r="V2546" i="7949" s="1"/>
  <c r="W2546" i="7949" s="1"/>
  <c r="V1635" i="7949"/>
  <c r="V1682" i="7949" s="1"/>
  <c r="W1682" i="7949" s="1"/>
  <c r="V1203" i="7949"/>
  <c r="V1250" i="7949" s="1"/>
  <c r="W1250" i="7949" s="1"/>
  <c r="V771" i="7949"/>
  <c r="V818" i="7949" s="1"/>
  <c r="W818" i="7949" s="1"/>
  <c r="V339" i="7949"/>
  <c r="V386" i="7949" s="1"/>
  <c r="W386" i="7949" s="1"/>
  <c r="V2174" i="7949"/>
  <c r="V1636" i="7949"/>
  <c r="V1204" i="7949"/>
  <c r="V2121" i="7949"/>
  <c r="V2168" i="7949" s="1"/>
  <c r="W2168" i="7949" s="1"/>
  <c r="V1959" i="7949"/>
  <c r="V2006" i="7949" s="1"/>
  <c r="W2006" i="7949" s="1"/>
  <c r="V1691" i="7949"/>
  <c r="V2608" i="7949"/>
  <c r="V2068" i="7949"/>
  <c r="V826" i="7949"/>
  <c r="V340" i="7949"/>
  <c r="V2553" i="7949"/>
  <c r="V2600" i="7949" s="1"/>
  <c r="W2600" i="7949" s="1"/>
  <c r="V2391" i="7949"/>
  <c r="V2438" i="7949" s="1"/>
  <c r="W2438" i="7949" s="1"/>
  <c r="V123" i="7949"/>
  <c r="V170" i="7949" s="1"/>
  <c r="W170" i="7949" s="1"/>
  <c r="V2552" i="7949"/>
  <c r="V2498" i="7949"/>
  <c r="V2120" i="7949"/>
  <c r="V1634" i="7949"/>
  <c r="V1526" i="7949"/>
  <c r="V662" i="7949"/>
  <c r="V554" i="7949"/>
  <c r="V338" i="7949"/>
  <c r="V122" i="7949"/>
  <c r="V2338" i="7949"/>
  <c r="V2230" i="7949"/>
  <c r="V934" i="7949"/>
  <c r="V178" i="7949"/>
  <c r="V1851" i="7949"/>
  <c r="V1898" i="7949" s="1"/>
  <c r="W1898" i="7949" s="1"/>
  <c r="V1419" i="7949"/>
  <c r="V1466" i="7949" s="1"/>
  <c r="W1466" i="7949" s="1"/>
  <c r="V987" i="7949"/>
  <c r="V1034" i="7949" s="1"/>
  <c r="W1034" i="7949" s="1"/>
  <c r="V555" i="7949"/>
  <c r="V602" i="7949" s="1"/>
  <c r="W602" i="7949" s="1"/>
  <c r="V69" i="7949"/>
  <c r="V116" i="7949" s="1"/>
  <c r="W116" i="7949" s="1"/>
  <c r="V2660" i="7949"/>
  <c r="V2606" i="7949"/>
  <c r="V2228" i="7949"/>
  <c r="V1796" i="7949"/>
  <c r="V1742" i="7949"/>
  <c r="V827" i="7949"/>
  <c r="V718" i="7949"/>
  <c r="V1904" i="7949"/>
  <c r="V500" i="7949"/>
  <c r="V68" i="7949"/>
  <c r="V2282" i="7949"/>
  <c r="V1850" i="7949"/>
  <c r="V1256" i="7949"/>
  <c r="V824" i="7949"/>
  <c r="V608" i="7949"/>
  <c r="V176" i="7949"/>
  <c r="V1580" i="7949"/>
  <c r="V1364" i="7949"/>
  <c r="V1148" i="7949"/>
  <c r="V932" i="7949"/>
  <c r="V716" i="7949"/>
  <c r="V284" i="7949"/>
  <c r="V2336" i="7949"/>
  <c r="V1472" i="7949"/>
  <c r="V1040" i="7949"/>
  <c r="V392" i="7949"/>
  <c r="V16" i="7949"/>
  <c r="V11" i="7949"/>
  <c r="V17" i="7949"/>
  <c r="V14" i="7949"/>
  <c r="V15" i="7949"/>
  <c r="V62" i="7949" s="1"/>
  <c r="W62" i="7949" s="1"/>
  <c r="U9" i="7949"/>
  <c r="J9" i="7949"/>
  <c r="O9" i="7949"/>
  <c r="K9" i="7949"/>
  <c r="H9" i="7949"/>
  <c r="L9" i="7949"/>
  <c r="I9" i="7949"/>
  <c r="P9" i="7949"/>
  <c r="Q9" i="7949"/>
  <c r="S9" i="7949"/>
  <c r="T9" i="7949"/>
  <c r="V9" i="7949"/>
  <c r="N540" i="7944"/>
  <c r="O540" i="7944" s="1"/>
  <c r="P540" i="7944" s="1"/>
  <c r="P242" i="18"/>
  <c r="P333" i="18"/>
  <c r="P528" i="18"/>
  <c r="P398" i="18"/>
  <c r="P658" i="18"/>
  <c r="P359" i="18"/>
  <c r="P229" i="18"/>
  <c r="P619" i="18"/>
  <c r="P216" i="18"/>
  <c r="P294" i="18"/>
  <c r="P671" i="18"/>
  <c r="P255" i="18"/>
  <c r="P541" i="18"/>
  <c r="P372" i="18"/>
  <c r="P593" i="18"/>
  <c r="P346" i="18"/>
  <c r="P476" i="18"/>
  <c r="P450" i="18"/>
  <c r="P710" i="18"/>
  <c r="P73" i="18"/>
  <c r="P203" i="18"/>
  <c r="P502" i="18"/>
  <c r="P580" i="18"/>
  <c r="P606" i="18"/>
  <c r="P112" i="18"/>
  <c r="P411" i="18"/>
  <c r="P385" i="18"/>
  <c r="P125" i="18"/>
  <c r="P86" i="18"/>
  <c r="P463" i="18"/>
  <c r="P645" i="18"/>
  <c r="P320" i="18"/>
  <c r="P307" i="18"/>
  <c r="P281" i="18"/>
  <c r="P697" i="18"/>
  <c r="P554" i="18"/>
  <c r="P177" i="18"/>
  <c r="P99" i="18"/>
  <c r="P632" i="18"/>
  <c r="P567" i="18"/>
  <c r="P268" i="18"/>
  <c r="P138" i="18"/>
  <c r="P151" i="18"/>
  <c r="P684" i="18"/>
  <c r="P437" i="18"/>
  <c r="P424" i="18"/>
  <c r="P190" i="18"/>
  <c r="P515" i="18"/>
  <c r="P489" i="18"/>
  <c r="K20" i="7941"/>
  <c r="P147" i="7944"/>
  <c r="P146" i="7944"/>
  <c r="P423" i="7944"/>
  <c r="Q423" i="7944" s="1"/>
  <c r="O332" i="7944"/>
  <c r="P332" i="7944" s="1"/>
  <c r="Q332" i="7944" s="1"/>
  <c r="Q475" i="7944"/>
  <c r="O345" i="7944"/>
  <c r="P345" i="7944" s="1"/>
  <c r="Q345" i="7944" s="1"/>
  <c r="O449" i="7944"/>
  <c r="P449" i="7944" s="1"/>
  <c r="M241" i="7944"/>
  <c r="N241" i="7944" s="1"/>
  <c r="O241" i="7944" s="1"/>
  <c r="P748" i="7944"/>
  <c r="Q748" i="7944" s="1"/>
  <c r="O592" i="7944"/>
  <c r="P592" i="7944" s="1"/>
  <c r="Q592" i="7944" s="1"/>
  <c r="O657" i="7944"/>
  <c r="P657" i="7944" s="1"/>
  <c r="Q410" i="7944"/>
  <c r="P319" i="7944"/>
  <c r="Q319" i="7944" s="1"/>
  <c r="Q306" i="7944"/>
  <c r="O488" i="7944"/>
  <c r="P488" i="7944" s="1"/>
  <c r="Q488" i="7944" s="1"/>
  <c r="O476" i="7944"/>
  <c r="P476" i="7944" s="1"/>
  <c r="K15" i="7941"/>
  <c r="N502" i="7944"/>
  <c r="N514" i="7944" s="1"/>
  <c r="O463" i="7944"/>
  <c r="J329" i="7941"/>
  <c r="N567" i="7944"/>
  <c r="N579" i="7944" s="1"/>
  <c r="O579" i="7944" s="1"/>
  <c r="P375" i="18"/>
  <c r="Q375" i="18" s="1"/>
  <c r="O333" i="7944"/>
  <c r="N1055" i="18"/>
  <c r="O437" i="7944"/>
  <c r="P437" i="7944" s="1"/>
  <c r="M1673" i="7949"/>
  <c r="N1673" i="7949" s="1"/>
  <c r="O1673" i="7949" s="1"/>
  <c r="P1673" i="7949" s="1"/>
  <c r="Q1673" i="7949" s="1"/>
  <c r="R1673" i="7949" s="1"/>
  <c r="S1673" i="7949" s="1"/>
  <c r="T1673" i="7949" s="1"/>
  <c r="U1673" i="7949" s="1"/>
  <c r="V1673" i="7949" s="1"/>
  <c r="W1673" i="7949" s="1"/>
  <c r="M2051" i="7949"/>
  <c r="N2051" i="7949" s="1"/>
  <c r="O2051" i="7949" s="1"/>
  <c r="P2051" i="7949" s="1"/>
  <c r="Q2051" i="7949" s="1"/>
  <c r="R2051" i="7949" s="1"/>
  <c r="S2051" i="7949" s="1"/>
  <c r="T2051" i="7949" s="1"/>
  <c r="U2051" i="7949" s="1"/>
  <c r="V2051" i="7949" s="1"/>
  <c r="W2051" i="7949" s="1"/>
  <c r="Q168" i="1"/>
  <c r="J1503" i="7950"/>
  <c r="J585" i="7950"/>
  <c r="M1290" i="7950"/>
  <c r="M534" i="7950"/>
  <c r="M2478" i="7950"/>
  <c r="M2640" i="7950"/>
  <c r="M588" i="7950"/>
  <c r="O411" i="7944"/>
  <c r="O528" i="7944"/>
  <c r="P528" i="7944" s="1"/>
  <c r="O229" i="7944"/>
  <c r="N697" i="7944"/>
  <c r="N709" i="7944" s="1"/>
  <c r="O709" i="7944" s="1"/>
  <c r="P709" i="7944" s="1"/>
  <c r="Q709" i="7944" s="1"/>
  <c r="O216" i="7944"/>
  <c r="O307" i="7944"/>
  <c r="O554" i="7944"/>
  <c r="N619" i="7944"/>
  <c r="N631" i="7944" s="1"/>
  <c r="O631" i="7944" s="1"/>
  <c r="P631" i="7944" s="1"/>
  <c r="Q631" i="7944" s="1"/>
  <c r="N658" i="7944"/>
  <c r="N670" i="7944" s="1"/>
  <c r="N424" i="7944"/>
  <c r="N436" i="7944" s="1"/>
  <c r="O436" i="7944" s="1"/>
  <c r="P436" i="7944" s="1"/>
  <c r="Q436" i="7944" s="1"/>
  <c r="N710" i="7944"/>
  <c r="N722" i="7944" s="1"/>
  <c r="O722" i="7944" s="1"/>
  <c r="P722" i="7944" s="1"/>
  <c r="Q722" i="7944" s="1"/>
  <c r="N450" i="7944"/>
  <c r="N462" i="7944" s="1"/>
  <c r="N593" i="7944"/>
  <c r="N605" i="7944" s="1"/>
  <c r="O255" i="7944"/>
  <c r="N268" i="7944"/>
  <c r="N280" i="7944" s="1"/>
  <c r="O280" i="7944" s="1"/>
  <c r="P280" i="7944" s="1"/>
  <c r="Q280" i="7944" s="1"/>
  <c r="N385" i="7944"/>
  <c r="N397" i="7944" s="1"/>
  <c r="O397" i="7944" s="1"/>
  <c r="P397" i="7944" s="1"/>
  <c r="Q397" i="7944" s="1"/>
  <c r="N372" i="7944"/>
  <c r="N384" i="7944" s="1"/>
  <c r="N606" i="7944"/>
  <c r="N618" i="7944" s="1"/>
  <c r="O618" i="7944" s="1"/>
  <c r="P618" i="7944" s="1"/>
  <c r="Q618" i="7944" s="1"/>
  <c r="N684" i="7944"/>
  <c r="N696" i="7944" s="1"/>
  <c r="O696" i="7944" s="1"/>
  <c r="P696" i="7944" s="1"/>
  <c r="Q696" i="7944" s="1"/>
  <c r="N515" i="7944"/>
  <c r="N527" i="7944" s="1"/>
  <c r="N671" i="7944"/>
  <c r="N683" i="7944" s="1"/>
  <c r="O683" i="7944" s="1"/>
  <c r="P683" i="7944" s="1"/>
  <c r="Q683" i="7944" s="1"/>
  <c r="N489" i="7944"/>
  <c r="N501" i="7944" s="1"/>
  <c r="N749" i="7944"/>
  <c r="N761" i="7944" s="1"/>
  <c r="N541" i="7944"/>
  <c r="N553" i="7944" s="1"/>
  <c r="O553" i="7944" s="1"/>
  <c r="P553" i="7944" s="1"/>
  <c r="Q553" i="7944" s="1"/>
  <c r="N632" i="7944"/>
  <c r="N644" i="7944" s="1"/>
  <c r="O644" i="7944" s="1"/>
  <c r="O398" i="7944"/>
  <c r="N723" i="7944"/>
  <c r="N735" i="7944" s="1"/>
  <c r="O735" i="7944" s="1"/>
  <c r="P735" i="7944" s="1"/>
  <c r="Q735" i="7944" s="1"/>
  <c r="N242" i="7944"/>
  <c r="N254" i="7944" s="1"/>
  <c r="O254" i="7944" s="1"/>
  <c r="P254" i="7944" s="1"/>
  <c r="Q254" i="7944" s="1"/>
  <c r="B2648" i="7950"/>
  <c r="P621" i="7944"/>
  <c r="P235" i="7944"/>
  <c r="P231" i="7944"/>
  <c r="P736" i="7944"/>
  <c r="P645" i="7944"/>
  <c r="P678" i="7944"/>
  <c r="P272" i="7944"/>
  <c r="P298" i="7944"/>
  <c r="P294" i="7944"/>
  <c r="P388" i="7944"/>
  <c r="P661" i="7944"/>
  <c r="P387" i="7944"/>
  <c r="P296" i="7944"/>
  <c r="P427" i="7944"/>
  <c r="P271" i="7944"/>
  <c r="P662" i="7944"/>
  <c r="P543" i="7944"/>
  <c r="P531" i="7944"/>
  <c r="P713" i="7944"/>
  <c r="P533" i="7944"/>
  <c r="P466" i="7944"/>
  <c r="P623" i="7944"/>
  <c r="P740" i="7944"/>
  <c r="P326" i="7944"/>
  <c r="P714" i="7944"/>
  <c r="P455" i="7944"/>
  <c r="P663" i="7944"/>
  <c r="P208" i="7944"/>
  <c r="P506" i="7944"/>
  <c r="P430" i="7944"/>
  <c r="P704" i="7944"/>
  <c r="P443" i="7944"/>
  <c r="P221" i="7944"/>
  <c r="P508" i="7944"/>
  <c r="P159" i="7944"/>
  <c r="P419" i="7944"/>
  <c r="P627" i="7944"/>
  <c r="P328" i="7944"/>
  <c r="P536" i="7944"/>
  <c r="P744" i="7944"/>
  <c r="P758" i="7944"/>
  <c r="P706" i="7944"/>
  <c r="P654" i="7944"/>
  <c r="P602" i="7944"/>
  <c r="P550" i="7944"/>
  <c r="P498" i="7944"/>
  <c r="P446" i="7944"/>
  <c r="P394" i="7944"/>
  <c r="P342" i="7944"/>
  <c r="P290" i="7944"/>
  <c r="P745" i="7944"/>
  <c r="P693" i="7944"/>
  <c r="P641" i="7944"/>
  <c r="P589" i="7944"/>
  <c r="P537" i="7944"/>
  <c r="P485" i="7944"/>
  <c r="P433" i="7944"/>
  <c r="P381" i="7944"/>
  <c r="P329" i="7944"/>
  <c r="P277" i="7944"/>
  <c r="P732" i="7944"/>
  <c r="P680" i="7944"/>
  <c r="P628" i="7944"/>
  <c r="P576" i="7944"/>
  <c r="P524" i="7944"/>
  <c r="P472" i="7944"/>
  <c r="P420" i="7944"/>
  <c r="P368" i="7944"/>
  <c r="P316" i="7944"/>
  <c r="P719" i="7944"/>
  <c r="P667" i="7944"/>
  <c r="P615" i="7944"/>
  <c r="P563" i="7944"/>
  <c r="P511" i="7944"/>
  <c r="P459" i="7944"/>
  <c r="P407" i="7944"/>
  <c r="P355" i="7944"/>
  <c r="P303" i="7944"/>
  <c r="P225" i="7944"/>
  <c r="P173" i="7944"/>
  <c r="P134" i="7944"/>
  <c r="P264" i="7944"/>
  <c r="P212" i="7944"/>
  <c r="P160" i="7944"/>
  <c r="P121" i="7944"/>
  <c r="P251" i="7944"/>
  <c r="P199" i="7944"/>
  <c r="P133" i="7944"/>
  <c r="P238" i="7944"/>
  <c r="P186" i="7944"/>
  <c r="P120" i="7944"/>
  <c r="P366" i="7944"/>
  <c r="P172" i="7944"/>
  <c r="P692" i="7944"/>
  <c r="P250" i="7944"/>
  <c r="P445" i="7944"/>
  <c r="P341" i="7944"/>
  <c r="P548" i="7944"/>
  <c r="P575" i="7944"/>
  <c r="P380" i="7944"/>
  <c r="P522" i="7944"/>
  <c r="P730" i="7944"/>
  <c r="P198" i="7944"/>
  <c r="P237" i="7944"/>
  <c r="P327" i="7944"/>
  <c r="P497" i="7944"/>
  <c r="P457" i="7944"/>
  <c r="P248" i="7944"/>
  <c r="P509" i="7944"/>
  <c r="P404" i="7944"/>
  <c r="P587" i="7944"/>
  <c r="P432" i="7944"/>
  <c r="P614" i="7944"/>
  <c r="P625" i="7944"/>
  <c r="P757" i="7944"/>
  <c r="P275" i="7944"/>
  <c r="P224" i="7944"/>
  <c r="P406" i="7944"/>
  <c r="P300" i="7944"/>
  <c r="P405" i="7944"/>
  <c r="P456" i="7944"/>
  <c r="P562" i="7944"/>
  <c r="P653" i="7944"/>
  <c r="P652" i="7944"/>
  <c r="P743" i="7944"/>
  <c r="P302" i="7944"/>
  <c r="P185" i="7944"/>
  <c r="P393" i="7944"/>
  <c r="P354" i="7944"/>
  <c r="P289" i="7944"/>
  <c r="P352" i="7944"/>
  <c r="P391" i="7944"/>
  <c r="P484" i="7944"/>
  <c r="P705" i="7944"/>
  <c r="P717" i="7944"/>
  <c r="P534" i="7944"/>
  <c r="P546" i="7944"/>
  <c r="P755" i="7944"/>
  <c r="P728" i="7944"/>
  <c r="P561" i="7944"/>
  <c r="P392" i="7944"/>
  <c r="P285" i="7944"/>
  <c r="P431" i="7944"/>
  <c r="P325" i="7944"/>
  <c r="P236" i="7944"/>
  <c r="P703" i="7944"/>
  <c r="P520" i="7944"/>
  <c r="P612" i="7944"/>
  <c r="P288" i="7944"/>
  <c r="P379" i="7944"/>
  <c r="P729" i="7944"/>
  <c r="P339" i="7944"/>
  <c r="P249" i="7944"/>
  <c r="P573" i="7944"/>
  <c r="P624" i="7944"/>
  <c r="P468" i="7944"/>
  <c r="P637" i="7944"/>
  <c r="P496" i="7944"/>
  <c r="P353" i="7944"/>
  <c r="P521" i="7944"/>
  <c r="P598" i="7944"/>
  <c r="P742" i="7944"/>
  <c r="P586" i="7944"/>
  <c r="P273" i="7944"/>
  <c r="P416" i="7944"/>
  <c r="P664" i="7944"/>
  <c r="P340" i="7944"/>
  <c r="P597" i="7944"/>
  <c r="P403" i="7944"/>
  <c r="P311" i="7944"/>
  <c r="P207" i="7944"/>
  <c r="P402" i="7944"/>
  <c r="P557" i="7944"/>
  <c r="P299" i="7944"/>
  <c r="P220" i="7944"/>
  <c r="P389" i="7944"/>
  <c r="P413" i="7944"/>
  <c r="P689" i="7944"/>
  <c r="P481" i="7944"/>
  <c r="P390" i="7944"/>
  <c r="P363" i="7944"/>
  <c r="P494" i="7944"/>
  <c r="P465" i="7944"/>
  <c r="P715" i="7944"/>
  <c r="P442" i="7944"/>
  <c r="P365" i="7944"/>
  <c r="P287" i="7944"/>
  <c r="P324" i="7944"/>
  <c r="P364" i="7944"/>
  <c r="P274" i="7944"/>
  <c r="P726" i="7944"/>
  <c r="P270" i="7944"/>
  <c r="P702" i="7944"/>
  <c r="P232" i="7944"/>
  <c r="P635" i="7944"/>
  <c r="P674" i="7944"/>
  <c r="P559" i="7944"/>
  <c r="P351" i="7944"/>
  <c r="P571" i="7944"/>
  <c r="P595" i="7944"/>
  <c r="P493" i="7944"/>
  <c r="P701" i="7944"/>
  <c r="P739" i="7944"/>
  <c r="P532" i="7944"/>
  <c r="P350" i="7944"/>
  <c r="P258" i="7944"/>
  <c r="P452" i="7944"/>
  <c r="P439" i="7944"/>
  <c r="P558" i="7944"/>
  <c r="P206" i="7944"/>
  <c r="P569" i="7944"/>
  <c r="P414" i="7944"/>
  <c r="P234" i="7944"/>
  <c r="P648" i="7944"/>
  <c r="P505" i="7944"/>
  <c r="P454" i="7944"/>
  <c r="P649" i="7944"/>
  <c r="P310" i="7944"/>
  <c r="P634" i="7944"/>
  <c r="P504" i="7944"/>
  <c r="P609" i="7944"/>
  <c r="P556" i="7944"/>
  <c r="P686" i="7944"/>
  <c r="P335" i="7944"/>
  <c r="P738" i="7944"/>
  <c r="P245" i="7944"/>
  <c r="P492" i="7944"/>
  <c r="P519" i="7944"/>
  <c r="P426" i="7944"/>
  <c r="P608" i="7944"/>
  <c r="P647" i="7944"/>
  <c r="P281" i="7944"/>
  <c r="P507" i="7944"/>
  <c r="P469" i="7944"/>
  <c r="P752" i="7944"/>
  <c r="P535" i="7944"/>
  <c r="P244" i="7944"/>
  <c r="P261" i="7944"/>
  <c r="P470" i="7944"/>
  <c r="P359" i="7944"/>
  <c r="P467" i="7944"/>
  <c r="P545" i="7944"/>
  <c r="P374" i="7944"/>
  <c r="P203" i="7944"/>
  <c r="P283" i="7944"/>
  <c r="P361" i="7944"/>
  <c r="P675" i="7944"/>
  <c r="P583" i="7944"/>
  <c r="P518" i="7944"/>
  <c r="P753" i="7944"/>
  <c r="P491" i="7944"/>
  <c r="P362" i="7944"/>
  <c r="P415" i="7944"/>
  <c r="P246" i="7944"/>
  <c r="P572" i="7944"/>
  <c r="P218" i="7944"/>
  <c r="P660" i="7944"/>
  <c r="P636" i="7944"/>
  <c r="P610" i="7944"/>
  <c r="P377" i="7944"/>
  <c r="P673" i="7944"/>
  <c r="P378" i="7944"/>
  <c r="P429" i="7944"/>
  <c r="P611" i="7944"/>
  <c r="P337" i="7944"/>
  <c r="P754" i="7944"/>
  <c r="P260" i="7944"/>
  <c r="P574" i="7944"/>
  <c r="P209" i="7944"/>
  <c r="P301" i="7944"/>
  <c r="P495" i="7944"/>
  <c r="P600" i="7944"/>
  <c r="P211" i="7944"/>
  <c r="P471" i="7944"/>
  <c r="P679" i="7944"/>
  <c r="P588" i="7944"/>
  <c r="P441" i="7944"/>
  <c r="P314" i="7944"/>
  <c r="P338" i="7944"/>
  <c r="P320" i="7944"/>
  <c r="P262" i="7944"/>
  <c r="P639" i="7944"/>
  <c r="P596" i="7944"/>
  <c r="P440" i="7944"/>
  <c r="P257" i="7944"/>
  <c r="P570" i="7944"/>
  <c r="P751" i="7944"/>
  <c r="P323" i="7944"/>
  <c r="P530" i="7944"/>
  <c r="P517" i="7944"/>
  <c r="P401" i="7944"/>
  <c r="P712" i="7944"/>
  <c r="P336" i="7944"/>
  <c r="P375" i="7944"/>
  <c r="P322" i="7944"/>
  <c r="P622" i="7944"/>
  <c r="P259" i="7944"/>
  <c r="P286" i="7944"/>
  <c r="P482" i="7944"/>
  <c r="P650" i="7944"/>
  <c r="P560" i="7944"/>
  <c r="P585" i="7944"/>
  <c r="P651" i="7944"/>
  <c r="P417" i="7944"/>
  <c r="P756" i="7944"/>
  <c r="P483" i="7944"/>
  <c r="P691" i="7944"/>
  <c r="P677" i="7944"/>
  <c r="P716" i="7944"/>
  <c r="P263" i="7944"/>
  <c r="P315" i="7944"/>
  <c r="P523" i="7944"/>
  <c r="P731" i="7944"/>
  <c r="P640" i="7944"/>
  <c r="P549" i="7944"/>
  <c r="P458" i="7944"/>
  <c r="P666" i="7944"/>
  <c r="P580" i="7944"/>
  <c r="P346" i="7944"/>
  <c r="P219" i="7944"/>
  <c r="P582" i="7944"/>
  <c r="P223" i="7944"/>
  <c r="P699" i="7944"/>
  <c r="P690" i="7944"/>
  <c r="P700" i="7944"/>
  <c r="P418" i="7944"/>
  <c r="P210" i="7944"/>
  <c r="P688" i="7944"/>
  <c r="P309" i="7944"/>
  <c r="P544" i="7944"/>
  <c r="P725" i="7944"/>
  <c r="P400" i="7944"/>
  <c r="P478" i="7944"/>
  <c r="P348" i="7944"/>
  <c r="P687" i="7944"/>
  <c r="P284" i="7944"/>
  <c r="P584" i="7944"/>
  <c r="P741" i="7944"/>
  <c r="P480" i="7944"/>
  <c r="P349" i="7944"/>
  <c r="P453" i="7944"/>
  <c r="P205" i="7944"/>
  <c r="P727" i="7944"/>
  <c r="P297" i="7944"/>
  <c r="P479" i="7944"/>
  <c r="P428" i="7944"/>
  <c r="P247" i="7944"/>
  <c r="P676" i="7944"/>
  <c r="P222" i="7944"/>
  <c r="P376" i="7944"/>
  <c r="P312" i="7944"/>
  <c r="P233" i="7944"/>
  <c r="P547" i="7944"/>
  <c r="P599" i="7944"/>
  <c r="P613" i="7944"/>
  <c r="P638" i="7944"/>
  <c r="P313" i="7944"/>
  <c r="P626" i="7944"/>
  <c r="P444" i="7944"/>
  <c r="P665" i="7944"/>
  <c r="P367" i="7944"/>
  <c r="P276" i="7944"/>
  <c r="P601" i="7944"/>
  <c r="P510" i="7944"/>
  <c r="P718" i="7944"/>
  <c r="P324" i="18"/>
  <c r="P532" i="18"/>
  <c r="P337" i="18"/>
  <c r="P454" i="18"/>
  <c r="P701" i="18"/>
  <c r="P415" i="18"/>
  <c r="P571" i="18"/>
  <c r="P675" i="18"/>
  <c r="P181" i="18"/>
  <c r="P649" i="18"/>
  <c r="P441" i="18"/>
  <c r="P207" i="18"/>
  <c r="P168" i="18"/>
  <c r="P350" i="18"/>
  <c r="P298" i="18"/>
  <c r="P142" i="18"/>
  <c r="P597" i="18"/>
  <c r="P636" i="18"/>
  <c r="P272" i="18"/>
  <c r="P363" i="18"/>
  <c r="P246" i="18"/>
  <c r="P376" i="18"/>
  <c r="P389" i="18"/>
  <c r="P623" i="18"/>
  <c r="P584" i="18"/>
  <c r="P493" i="18"/>
  <c r="P155" i="18"/>
  <c r="P558" i="18"/>
  <c r="P545" i="18"/>
  <c r="P662" i="18"/>
  <c r="P311" i="18"/>
  <c r="P285" i="18"/>
  <c r="P467" i="18"/>
  <c r="P519" i="18"/>
  <c r="P220" i="18"/>
  <c r="P428" i="18"/>
  <c r="P688" i="18"/>
  <c r="P233" i="18"/>
  <c r="P610" i="18"/>
  <c r="P480" i="18"/>
  <c r="P402" i="18"/>
  <c r="P259" i="18"/>
  <c r="P506" i="18"/>
  <c r="P194" i="18"/>
  <c r="M1041" i="18"/>
  <c r="M261" i="7942"/>
  <c r="K52" i="7941"/>
  <c r="J363" i="7941"/>
  <c r="N1041" i="18"/>
  <c r="O17" i="18"/>
  <c r="O775" i="18" s="1"/>
  <c r="O65" i="7941" s="1"/>
  <c r="O41" i="18"/>
  <c r="O799" i="18" s="1"/>
  <c r="O89" i="7941" s="1"/>
  <c r="O22" i="18"/>
  <c r="O780" i="18" s="1"/>
  <c r="O70" i="7941" s="1"/>
  <c r="O60" i="18"/>
  <c r="O818" i="18" s="1"/>
  <c r="O108" i="7941" s="1"/>
  <c r="O51" i="18"/>
  <c r="O809" i="18" s="1"/>
  <c r="O99" i="7941" s="1"/>
  <c r="O53" i="18"/>
  <c r="O811" i="18" s="1"/>
  <c r="O101" i="7941" s="1"/>
  <c r="O59" i="18"/>
  <c r="O817" i="18" s="1"/>
  <c r="O107" i="7941" s="1"/>
  <c r="O21" i="18"/>
  <c r="O779" i="18" s="1"/>
  <c r="O69" i="7941" s="1"/>
  <c r="O28" i="18"/>
  <c r="O786" i="18" s="1"/>
  <c r="O76" i="7941" s="1"/>
  <c r="O34" i="18"/>
  <c r="O792" i="18" s="1"/>
  <c r="O82" i="7941" s="1"/>
  <c r="O15" i="18"/>
  <c r="O773" i="18" s="1"/>
  <c r="O63" i="7941" s="1"/>
  <c r="O55" i="18"/>
  <c r="O813" i="18" s="1"/>
  <c r="O103" i="7941" s="1"/>
  <c r="O50" i="18"/>
  <c r="O808" i="18" s="1"/>
  <c r="O98" i="7941" s="1"/>
  <c r="O24" i="18"/>
  <c r="O782" i="18" s="1"/>
  <c r="O72" i="7941" s="1"/>
  <c r="O40" i="18"/>
  <c r="O798" i="18" s="1"/>
  <c r="O88" i="7941" s="1"/>
  <c r="O46" i="18"/>
  <c r="O804" i="18" s="1"/>
  <c r="O94" i="7941" s="1"/>
  <c r="O16" i="18"/>
  <c r="O774" i="18" s="1"/>
  <c r="O64" i="7941" s="1"/>
  <c r="O33" i="18"/>
  <c r="O791" i="18" s="1"/>
  <c r="O81" i="7941" s="1"/>
  <c r="O13" i="18"/>
  <c r="O771" i="18" s="1"/>
  <c r="O61" i="7941" s="1"/>
  <c r="O56" i="18"/>
  <c r="O814" i="18" s="1"/>
  <c r="O104" i="7941" s="1"/>
  <c r="O23" i="18"/>
  <c r="O781" i="18" s="1"/>
  <c r="O71" i="7941" s="1"/>
  <c r="O58" i="18"/>
  <c r="O816" i="18" s="1"/>
  <c r="O106" i="7941" s="1"/>
  <c r="O32" i="18"/>
  <c r="O790" i="18" s="1"/>
  <c r="O80" i="7941" s="1"/>
  <c r="O14" i="18"/>
  <c r="O772" i="18" s="1"/>
  <c r="O62" i="7941" s="1"/>
  <c r="O37" i="18"/>
  <c r="O795" i="18" s="1"/>
  <c r="O85" i="7941" s="1"/>
  <c r="O57" i="18"/>
  <c r="O815" i="18" s="1"/>
  <c r="O105" i="7941" s="1"/>
  <c r="O44" i="18"/>
  <c r="O802" i="18" s="1"/>
  <c r="O92" i="7941" s="1"/>
  <c r="O29" i="18"/>
  <c r="O787" i="18" s="1"/>
  <c r="O77" i="7941" s="1"/>
  <c r="O47" i="18"/>
  <c r="O805" i="18" s="1"/>
  <c r="O95" i="7941" s="1"/>
  <c r="O36" i="18"/>
  <c r="O794" i="18" s="1"/>
  <c r="O84" i="7941" s="1"/>
  <c r="O18" i="18"/>
  <c r="O776" i="18" s="1"/>
  <c r="O66" i="7941" s="1"/>
  <c r="O54" i="18"/>
  <c r="O812" i="18" s="1"/>
  <c r="O102" i="7941" s="1"/>
  <c r="O45" i="18"/>
  <c r="O803" i="18" s="1"/>
  <c r="O93" i="7941" s="1"/>
  <c r="O25" i="18"/>
  <c r="O783" i="18" s="1"/>
  <c r="O73" i="7941" s="1"/>
  <c r="O49" i="18"/>
  <c r="O807" i="18" s="1"/>
  <c r="O97" i="7941" s="1"/>
  <c r="O19" i="18"/>
  <c r="O777" i="18" s="1"/>
  <c r="O67" i="7941" s="1"/>
  <c r="O61" i="18"/>
  <c r="O819" i="18" s="1"/>
  <c r="O109" i="7941" s="1"/>
  <c r="O30" i="18"/>
  <c r="O788" i="18" s="1"/>
  <c r="O78" i="7941" s="1"/>
  <c r="O39" i="18"/>
  <c r="O797" i="18" s="1"/>
  <c r="O87" i="7941" s="1"/>
  <c r="O20" i="18"/>
  <c r="O778" i="18" s="1"/>
  <c r="O68" i="7941" s="1"/>
  <c r="O35" i="18"/>
  <c r="O793" i="18" s="1"/>
  <c r="O83" i="7941" s="1"/>
  <c r="O52" i="18"/>
  <c r="O810" i="18" s="1"/>
  <c r="O100" i="7941" s="1"/>
  <c r="O42" i="18"/>
  <c r="O800" i="18" s="1"/>
  <c r="O90" i="7941" s="1"/>
  <c r="O31" i="18"/>
  <c r="O789" i="18" s="1"/>
  <c r="O79" i="7941" s="1"/>
  <c r="O26" i="18"/>
  <c r="O784" i="18" s="1"/>
  <c r="O74" i="7941" s="1"/>
  <c r="O48" i="18"/>
  <c r="O806" i="18" s="1"/>
  <c r="O96" i="7941" s="1"/>
  <c r="O43" i="18"/>
  <c r="O801" i="18" s="1"/>
  <c r="O91" i="7941" s="1"/>
  <c r="O12" i="18"/>
  <c r="O27" i="18"/>
  <c r="O785" i="18" s="1"/>
  <c r="O75" i="7941" s="1"/>
  <c r="O38" i="18"/>
  <c r="O796" i="18" s="1"/>
  <c r="O86" i="7941" s="1"/>
  <c r="N1047" i="18"/>
  <c r="Q401" i="18"/>
  <c r="M1058" i="18"/>
  <c r="O713" i="18"/>
  <c r="P713" i="18" s="1"/>
  <c r="Q713" i="18" s="1"/>
  <c r="N1081" i="18"/>
  <c r="P427" i="18"/>
  <c r="Q427" i="18" s="1"/>
  <c r="P271" i="18"/>
  <c r="Q271" i="18" s="1"/>
  <c r="P505" i="18"/>
  <c r="Q505" i="18" s="1"/>
  <c r="N1072" i="18"/>
  <c r="Q219" i="18"/>
  <c r="M1048" i="18"/>
  <c r="N1048" i="18"/>
  <c r="P453" i="18"/>
  <c r="Q453" i="18" s="1"/>
  <c r="N240" i="7942"/>
  <c r="N241" i="7942" s="1"/>
  <c r="P596" i="18"/>
  <c r="Q596" i="18" s="1"/>
  <c r="M1081" i="18"/>
  <c r="P284" i="18"/>
  <c r="Q284" i="18" s="1"/>
  <c r="P193" i="18"/>
  <c r="Q193" i="18" s="1"/>
  <c r="Q674" i="18"/>
  <c r="O687" i="18"/>
  <c r="P687" i="18" s="1"/>
  <c r="Q661" i="18"/>
  <c r="N466" i="18"/>
  <c r="O466" i="18" s="1"/>
  <c r="P466" i="18" s="1"/>
  <c r="Q466" i="18" s="1"/>
  <c r="N700" i="18"/>
  <c r="O700" i="18" s="1"/>
  <c r="O1080" i="18" s="1"/>
  <c r="J354" i="7941"/>
  <c r="J366" i="7941"/>
  <c r="K36" i="7941"/>
  <c r="K40" i="7941"/>
  <c r="J336" i="7941"/>
  <c r="K30" i="7941"/>
  <c r="K23" i="7941"/>
  <c r="N264" i="7942"/>
  <c r="N265" i="7942" s="1"/>
  <c r="K54" i="7941"/>
  <c r="Q222" i="1"/>
  <c r="N198" i="7942"/>
  <c r="N199" i="7942" s="1"/>
  <c r="N256" i="7942"/>
  <c r="N257" i="7942" s="1"/>
  <c r="N210" i="7942"/>
  <c r="N211" i="7942" s="1"/>
  <c r="K37" i="7941"/>
  <c r="K27" i="7941"/>
  <c r="J342" i="7941"/>
  <c r="J332" i="7941"/>
  <c r="K55" i="7941"/>
  <c r="M1080" i="18"/>
  <c r="K16" i="7941"/>
  <c r="K32" i="7941"/>
  <c r="K22" i="7941"/>
  <c r="M1054" i="18"/>
  <c r="O1063" i="18"/>
  <c r="O1040" i="18"/>
  <c r="O1043" i="18"/>
  <c r="O1060" i="18"/>
  <c r="O1059" i="18"/>
  <c r="O1067" i="18"/>
  <c r="O1041" i="18"/>
  <c r="O1072" i="18"/>
  <c r="O1049" i="18"/>
  <c r="K50" i="7941"/>
  <c r="M1066" i="18"/>
  <c r="K48" i="7941"/>
  <c r="K47" i="7941"/>
  <c r="M1072" i="18"/>
  <c r="K41" i="7941"/>
  <c r="M450" i="7942"/>
  <c r="K752" i="18"/>
  <c r="K1118" i="18" s="1"/>
  <c r="K856" i="18" s="1"/>
  <c r="J146" i="7941"/>
  <c r="K756" i="18"/>
  <c r="K1122" i="18" s="1"/>
  <c r="K860" i="18" s="1"/>
  <c r="J150" i="7941"/>
  <c r="K729" i="18"/>
  <c r="K1095" i="18" s="1"/>
  <c r="K833" i="18" s="1"/>
  <c r="J123" i="7941"/>
  <c r="I365" i="7941"/>
  <c r="J51" i="7941"/>
  <c r="J1115" i="18"/>
  <c r="J865" i="18"/>
  <c r="J859" i="18"/>
  <c r="I353" i="7941"/>
  <c r="J39" i="7941"/>
  <c r="N1058" i="18"/>
  <c r="M462" i="7942"/>
  <c r="K25" i="7941"/>
  <c r="N1075" i="18"/>
  <c r="N1061" i="18"/>
  <c r="M1061" i="18"/>
  <c r="M507" i="7942"/>
  <c r="N507" i="7942" s="1"/>
  <c r="O507" i="7942" s="1"/>
  <c r="N1074" i="18"/>
  <c r="M1051" i="18"/>
  <c r="M1078" i="18"/>
  <c r="K53" i="7941"/>
  <c r="M490" i="7942"/>
  <c r="P499" i="7942"/>
  <c r="Q499" i="7942" s="1"/>
  <c r="N463" i="7942"/>
  <c r="N464" i="7942" s="1"/>
  <c r="P497" i="7942"/>
  <c r="Q497" i="7942" s="1"/>
  <c r="O443" i="7942"/>
  <c r="P443" i="7942" s="1"/>
  <c r="Q443" i="7942" s="1"/>
  <c r="O489" i="7942"/>
  <c r="P489" i="7942" s="1"/>
  <c r="Q489" i="7942" s="1"/>
  <c r="Q455" i="7942"/>
  <c r="O487" i="7942"/>
  <c r="P487" i="7942" s="1"/>
  <c r="Q487" i="7942" s="1"/>
  <c r="O461" i="7942"/>
  <c r="P461" i="7942" s="1"/>
  <c r="Q461" i="7942" s="1"/>
  <c r="P459" i="7942"/>
  <c r="Q459" i="7942" s="1"/>
  <c r="A519" i="7942"/>
  <c r="H517" i="7942"/>
  <c r="J513" i="7942"/>
  <c r="L509" i="7942"/>
  <c r="L510" i="7942" s="1"/>
  <c r="L511" i="7942"/>
  <c r="M511" i="7942" s="1"/>
  <c r="K512" i="7942"/>
  <c r="I515" i="7942"/>
  <c r="J515" i="7942" s="1"/>
  <c r="N266" i="7942"/>
  <c r="N267" i="7942" s="1"/>
  <c r="B194" i="7950"/>
  <c r="N206" i="7942"/>
  <c r="N224" i="7942"/>
  <c r="N225" i="7942" s="1"/>
  <c r="K18" i="7941"/>
  <c r="N478" i="7942"/>
  <c r="N1077" i="18"/>
  <c r="N1059" i="18"/>
  <c r="Q478" i="7942"/>
  <c r="Q553" i="7941" s="1"/>
  <c r="O478" i="7942"/>
  <c r="B32" i="7950"/>
  <c r="B164" i="7950"/>
  <c r="B680" i="7950"/>
  <c r="M472" i="7942"/>
  <c r="B1112" i="7950"/>
  <c r="B2030" i="7950"/>
  <c r="B1352" i="7950"/>
  <c r="N454" i="7942"/>
  <c r="M486" i="7942"/>
  <c r="N480" i="7942"/>
  <c r="Q357" i="1"/>
  <c r="M478" i="7942"/>
  <c r="M199" i="7942"/>
  <c r="O442" i="7942"/>
  <c r="M466" i="7942"/>
  <c r="M474" i="7942"/>
  <c r="N458" i="7942"/>
  <c r="P458" i="7942"/>
  <c r="O458" i="7942"/>
  <c r="N456" i="7942"/>
  <c r="M488" i="7942"/>
  <c r="N470" i="7942"/>
  <c r="N474" i="7942"/>
  <c r="N450" i="7942"/>
  <c r="P504" i="7942"/>
  <c r="O504" i="7942"/>
  <c r="N444" i="7942"/>
  <c r="N460" i="7942"/>
  <c r="N466" i="7942"/>
  <c r="M452" i="7942"/>
  <c r="O482" i="7942"/>
  <c r="M500" i="7942"/>
  <c r="N488" i="7942"/>
  <c r="M460" i="7942"/>
  <c r="O460" i="7942"/>
  <c r="M444" i="7942"/>
  <c r="N506" i="7942"/>
  <c r="M482" i="7942"/>
  <c r="N486" i="7942"/>
  <c r="N438" i="7942"/>
  <c r="N446" i="7942"/>
  <c r="O496" i="7942"/>
  <c r="M448" i="7942"/>
  <c r="N452" i="7942"/>
  <c r="N504" i="7942"/>
  <c r="M492" i="7942"/>
  <c r="O494" i="7942"/>
  <c r="M494" i="7942"/>
  <c r="M464" i="7942"/>
  <c r="M498" i="7942"/>
  <c r="N498" i="7942"/>
  <c r="M438" i="7942"/>
  <c r="M496" i="7942"/>
  <c r="M446" i="7942"/>
  <c r="N500" i="7942"/>
  <c r="N188" i="7942"/>
  <c r="N189" i="7942" s="1"/>
  <c r="B518" i="7950"/>
  <c r="B2108" i="7950"/>
  <c r="B110" i="7950"/>
  <c r="B1706" i="7950"/>
  <c r="B2216" i="7950"/>
  <c r="N1051" i="18"/>
  <c r="Q114" i="1"/>
  <c r="B1868" i="7950"/>
  <c r="B788" i="7950"/>
  <c r="B2462" i="7950"/>
  <c r="B380" i="7950"/>
  <c r="B1220" i="7950"/>
  <c r="B2300" i="7950"/>
  <c r="B812" i="7950"/>
  <c r="B1514" i="7950"/>
  <c r="B2678" i="7950"/>
  <c r="B1082" i="7950"/>
  <c r="B2000" i="7950"/>
  <c r="B356" i="7950"/>
  <c r="B1382" i="7950"/>
  <c r="B1892" i="7950"/>
  <c r="B56" i="7950"/>
  <c r="B86" i="7950"/>
  <c r="B140" i="7950"/>
  <c r="B218" i="7950"/>
  <c r="B272" i="7950"/>
  <c r="B626" i="7950"/>
  <c r="B920" i="7950"/>
  <c r="B1544" i="7950"/>
  <c r="B2354" i="7950"/>
  <c r="B464" i="7950"/>
  <c r="B572" i="7950"/>
  <c r="B1028" i="7950"/>
  <c r="B1190" i="7950"/>
  <c r="B1568" i="7950"/>
  <c r="B1760" i="7950"/>
  <c r="B734" i="7950"/>
  <c r="B866" i="7950"/>
  <c r="B1298" i="7950"/>
  <c r="B1460" i="7950"/>
  <c r="B1652" i="7950"/>
  <c r="B1784" i="7950"/>
  <c r="B2054" i="7950"/>
  <c r="B2162" i="7950"/>
  <c r="B2324" i="7950"/>
  <c r="B2702" i="7950"/>
  <c r="B2408" i="7950"/>
  <c r="B2570" i="7950"/>
  <c r="N208" i="7942"/>
  <c r="N209" i="7942" s="1"/>
  <c r="N1039" i="18"/>
  <c r="N1065" i="18"/>
  <c r="M257" i="7942"/>
  <c r="N1073" i="18"/>
  <c r="N1042" i="18"/>
  <c r="N186" i="7942"/>
  <c r="N187" i="7942" s="1"/>
  <c r="M227" i="7942"/>
  <c r="N196" i="7942"/>
  <c r="N197" i="7942" s="1"/>
  <c r="B2708" i="7949"/>
  <c r="B2684" i="7949"/>
  <c r="B2546" i="7949"/>
  <c r="B2522" i="7949"/>
  <c r="B2438" i="7949"/>
  <c r="B2414" i="7949"/>
  <c r="B2384" i="7949"/>
  <c r="B2360" i="7949"/>
  <c r="B2306" i="7949"/>
  <c r="B2222" i="7949"/>
  <c r="B2168" i="7949"/>
  <c r="B2144" i="7949"/>
  <c r="B2090" i="7949"/>
  <c r="B2060" i="7949"/>
  <c r="B2654" i="7949"/>
  <c r="B2630" i="7949"/>
  <c r="B2600" i="7949"/>
  <c r="B2576" i="7949"/>
  <c r="B2492" i="7949"/>
  <c r="B2468" i="7949"/>
  <c r="B2330" i="7949"/>
  <c r="B2276" i="7949"/>
  <c r="B2252" i="7949"/>
  <c r="B2198" i="7949"/>
  <c r="B2114" i="7949"/>
  <c r="B2006" i="7949"/>
  <c r="B1982" i="7949"/>
  <c r="B1898" i="7949"/>
  <c r="B1874" i="7949"/>
  <c r="B1844" i="7949"/>
  <c r="B1820" i="7949"/>
  <c r="B1790" i="7949"/>
  <c r="B1766" i="7949"/>
  <c r="B1574" i="7949"/>
  <c r="B1550" i="7949"/>
  <c r="B1520" i="7949"/>
  <c r="B1496" i="7949"/>
  <c r="B1442" i="7949"/>
  <c r="B2036" i="7949"/>
  <c r="B1952" i="7949"/>
  <c r="B1928" i="7949"/>
  <c r="B1736" i="7949"/>
  <c r="B1712" i="7949"/>
  <c r="B1682" i="7949"/>
  <c r="B1658" i="7949"/>
  <c r="B1628" i="7949"/>
  <c r="B1604" i="7949"/>
  <c r="B1466" i="7949"/>
  <c r="B1358" i="7949"/>
  <c r="B1334" i="7949"/>
  <c r="B1304" i="7949"/>
  <c r="B1280" i="7949"/>
  <c r="B1250" i="7949"/>
  <c r="B1226" i="7949"/>
  <c r="B1196" i="7949"/>
  <c r="B1172" i="7949"/>
  <c r="B1118" i="7949"/>
  <c r="B1064" i="7949"/>
  <c r="B1010" i="7949"/>
  <c r="B956" i="7949"/>
  <c r="B926" i="7949"/>
  <c r="B872" i="7949"/>
  <c r="B710" i="7949"/>
  <c r="B656" i="7949"/>
  <c r="B632" i="7949"/>
  <c r="B548" i="7949"/>
  <c r="B524" i="7949"/>
  <c r="B494" i="7949"/>
  <c r="B470" i="7949"/>
  <c r="B440" i="7949"/>
  <c r="B416" i="7949"/>
  <c r="B386" i="7949"/>
  <c r="B362" i="7949"/>
  <c r="B332" i="7949"/>
  <c r="B254" i="7949"/>
  <c r="B1412" i="7949"/>
  <c r="B1388" i="7949"/>
  <c r="B1142" i="7949"/>
  <c r="B1088" i="7949"/>
  <c r="B1034" i="7949"/>
  <c r="B980" i="7949"/>
  <c r="B902" i="7949"/>
  <c r="B848" i="7949"/>
  <c r="B818" i="7949"/>
  <c r="B794" i="7949"/>
  <c r="B764" i="7949"/>
  <c r="B740" i="7949"/>
  <c r="B686" i="7949"/>
  <c r="B602" i="7949"/>
  <c r="B578" i="7949"/>
  <c r="B308" i="7949"/>
  <c r="B278" i="7949"/>
  <c r="B224" i="7949"/>
  <c r="B170" i="7949"/>
  <c r="B200" i="7949"/>
  <c r="B146" i="7949"/>
  <c r="B248" i="7950"/>
  <c r="B302" i="7950"/>
  <c r="B410" i="7950"/>
  <c r="B650" i="7950"/>
  <c r="B896" i="7950"/>
  <c r="B1004" i="7950"/>
  <c r="B1136" i="7950"/>
  <c r="B1676" i="7950"/>
  <c r="B1976" i="7950"/>
  <c r="B326" i="7950"/>
  <c r="B434" i="7950"/>
  <c r="B488" i="7950"/>
  <c r="B542" i="7950"/>
  <c r="B596" i="7950"/>
  <c r="B974" i="7950"/>
  <c r="B1058" i="7950"/>
  <c r="B1166" i="7950"/>
  <c r="B1274" i="7950"/>
  <c r="B1436" i="7950"/>
  <c r="B1598" i="7950"/>
  <c r="B1730" i="7950"/>
  <c r="B1922" i="7950"/>
  <c r="B704" i="7950"/>
  <c r="B758" i="7950"/>
  <c r="B842" i="7950"/>
  <c r="B950" i="7950"/>
  <c r="B1244" i="7950"/>
  <c r="B1328" i="7950"/>
  <c r="B1406" i="7950"/>
  <c r="B1490" i="7950"/>
  <c r="B1622" i="7950"/>
  <c r="B1838" i="7950"/>
  <c r="B2516" i="7950"/>
  <c r="B1814" i="7950"/>
  <c r="B1946" i="7950"/>
  <c r="B2084" i="7950"/>
  <c r="B2138" i="7950"/>
  <c r="B2192" i="7950"/>
  <c r="B2246" i="7950"/>
  <c r="B2432" i="7950"/>
  <c r="B2624" i="7950"/>
  <c r="B2270" i="7950"/>
  <c r="B2378" i="7950"/>
  <c r="B2486" i="7950"/>
  <c r="B2594" i="7950"/>
  <c r="B116" i="7949"/>
  <c r="B92" i="7949"/>
  <c r="N1049" i="18"/>
  <c r="N1057" i="18"/>
  <c r="N1050" i="18"/>
  <c r="N1079" i="18"/>
  <c r="N1076" i="18"/>
  <c r="N262" i="7942"/>
  <c r="N263" i="7942" s="1"/>
  <c r="N212" i="7942"/>
  <c r="N213" i="7942" s="1"/>
  <c r="N184" i="7942"/>
  <c r="N185" i="7942" s="1"/>
  <c r="V6" i="7950"/>
  <c r="N1060" i="18"/>
  <c r="N1070" i="18"/>
  <c r="N1052" i="18"/>
  <c r="N1064" i="18"/>
  <c r="O1066" i="18"/>
  <c r="N194" i="7942"/>
  <c r="N195" i="7942" s="1"/>
  <c r="N268" i="7942"/>
  <c r="N269" i="7942" s="1"/>
  <c r="N1040" i="18"/>
  <c r="N1044" i="18"/>
  <c r="N244" i="7942"/>
  <c r="N245" i="7942" s="1"/>
  <c r="Q289" i="1"/>
  <c r="P289" i="1"/>
  <c r="O8" i="7942"/>
  <c r="N204" i="7942"/>
  <c r="N220" i="7942"/>
  <c r="N232" i="7942"/>
  <c r="N190" i="7942"/>
  <c r="N234" i="7942"/>
  <c r="M235" i="7942"/>
  <c r="M223" i="7942"/>
  <c r="N222" i="7942"/>
  <c r="M251" i="7942"/>
  <c r="N250" i="7942"/>
  <c r="M243" i="7942"/>
  <c r="N242" i="7942"/>
  <c r="N192" i="7942"/>
  <c r="O192" i="7942" s="1"/>
  <c r="M193" i="7942"/>
  <c r="M231" i="7942"/>
  <c r="N230" i="7942"/>
  <c r="N228" i="7942"/>
  <c r="N229" i="7942" s="1"/>
  <c r="M229" i="7942"/>
  <c r="N1045" i="18"/>
  <c r="O254" i="7942"/>
  <c r="O255" i="7942" s="1"/>
  <c r="N1071" i="18"/>
  <c r="N1056" i="18"/>
  <c r="N1054" i="18"/>
  <c r="O238" i="7942"/>
  <c r="O239" i="7942" s="1"/>
  <c r="O1042" i="18"/>
  <c r="M259" i="7942"/>
  <c r="N219" i="7942"/>
  <c r="O258" i="7942"/>
  <c r="O1047" i="18"/>
  <c r="N202" i="7942"/>
  <c r="N203" i="7942" s="1"/>
  <c r="M219" i="7942"/>
  <c r="K767" i="18"/>
  <c r="K1133" i="18" s="1"/>
  <c r="N247" i="7942"/>
  <c r="W6" i="7949"/>
  <c r="B38" i="7949"/>
  <c r="B62" i="7949"/>
  <c r="N214" i="7942"/>
  <c r="O214" i="7942" s="1"/>
  <c r="O215" i="7942" s="1"/>
  <c r="N248" i="7942"/>
  <c r="O248" i="7942" s="1"/>
  <c r="O249" i="7942" s="1"/>
  <c r="N252" i="7942"/>
  <c r="M253" i="7942"/>
  <c r="N1053" i="18"/>
  <c r="Q3" i="7944"/>
  <c r="N1068" i="18"/>
  <c r="N1046" i="18"/>
  <c r="Q3" i="18"/>
  <c r="Q281" i="1"/>
  <c r="M9" i="7949" s="1"/>
  <c r="N259" i="7942"/>
  <c r="N227" i="7942"/>
  <c r="N770" i="18"/>
  <c r="N11" i="18"/>
  <c r="Q4" i="7944"/>
  <c r="R4" i="7944" s="1"/>
  <c r="Q7" i="7946" s="1"/>
  <c r="Q4" i="7941"/>
  <c r="Q4" i="7942"/>
  <c r="Q298" i="1"/>
  <c r="K293" i="1" s="1"/>
  <c r="Q4" i="18"/>
  <c r="R4" i="18" s="1"/>
  <c r="P7" i="7942"/>
  <c r="P7" i="18"/>
  <c r="N217" i="7942"/>
  <c r="O260" i="7942"/>
  <c r="N261" i="7942"/>
  <c r="K831" i="18"/>
  <c r="K835" i="18"/>
  <c r="K839" i="18"/>
  <c r="K843" i="18"/>
  <c r="K847" i="18"/>
  <c r="K851" i="18"/>
  <c r="K832" i="18"/>
  <c r="K836" i="18"/>
  <c r="K840" i="18"/>
  <c r="K844" i="18"/>
  <c r="K848" i="18"/>
  <c r="K829" i="18"/>
  <c r="K837" i="18"/>
  <c r="K841" i="18"/>
  <c r="K845" i="18"/>
  <c r="K849" i="18"/>
  <c r="K830" i="18"/>
  <c r="K834" i="18"/>
  <c r="K838" i="18"/>
  <c r="K842" i="18"/>
  <c r="K846" i="18"/>
  <c r="K850" i="18"/>
  <c r="J161" i="7941"/>
  <c r="K868" i="18"/>
  <c r="K854" i="18"/>
  <c r="K857" i="18"/>
  <c r="K866" i="18"/>
  <c r="K862" i="18"/>
  <c r="K870" i="18"/>
  <c r="K855" i="18"/>
  <c r="K869" i="18"/>
  <c r="K864" i="18"/>
  <c r="K867" i="18"/>
  <c r="K861" i="18"/>
  <c r="K863" i="18"/>
  <c r="K858" i="18"/>
  <c r="K38" i="7941"/>
  <c r="U2137" i="7950" l="1"/>
  <c r="V2137" i="7950" s="1"/>
  <c r="W2137" i="7950" s="1"/>
  <c r="P501" i="7942"/>
  <c r="O527" i="7944"/>
  <c r="P527" i="7944"/>
  <c r="Q527" i="7944" s="1"/>
  <c r="O462" i="7944"/>
  <c r="P462" i="7944" s="1"/>
  <c r="O384" i="7944"/>
  <c r="P384" i="7944"/>
  <c r="Q384" i="7944" s="1"/>
  <c r="O670" i="7944"/>
  <c r="P670" i="7944" s="1"/>
  <c r="Q670" i="7944" s="1"/>
  <c r="O761" i="7944"/>
  <c r="P761" i="7944" s="1"/>
  <c r="Q761" i="7944" s="1"/>
  <c r="O501" i="7944"/>
  <c r="P501" i="7944" s="1"/>
  <c r="Q501" i="7944"/>
  <c r="O514" i="7944"/>
  <c r="P514" i="7944"/>
  <c r="Q514" i="7944" s="1"/>
  <c r="O605" i="7944"/>
  <c r="P605" i="7944" s="1"/>
  <c r="Q605" i="7944" s="1"/>
  <c r="O293" i="7944"/>
  <c r="P293" i="7944" s="1"/>
  <c r="Q293" i="7944" s="1"/>
  <c r="P439" i="7942"/>
  <c r="Q439" i="7942" s="1"/>
  <c r="P465" i="7942"/>
  <c r="Q465" i="7942" s="1"/>
  <c r="Q466" i="7942" s="1"/>
  <c r="Q547" i="7941" s="1"/>
  <c r="O475" i="7942"/>
  <c r="P475" i="7942" s="1"/>
  <c r="O505" i="7942"/>
  <c r="P505" i="7942" s="1"/>
  <c r="Q505" i="7942" s="1"/>
  <c r="N267" i="7944"/>
  <c r="O267" i="7944" s="1"/>
  <c r="P267" i="7944" s="1"/>
  <c r="O566" i="7944"/>
  <c r="P566" i="7944" s="1"/>
  <c r="Q566" i="7944" s="1"/>
  <c r="U1759" i="7950"/>
  <c r="V1759" i="7950" s="1"/>
  <c r="W1759" i="7950" s="1"/>
  <c r="U2407" i="7950"/>
  <c r="V2407" i="7950" s="1"/>
  <c r="W2407" i="7950" s="1"/>
  <c r="U409" i="7950"/>
  <c r="V409" i="7950" s="1"/>
  <c r="W409" i="7950" s="1"/>
  <c r="U1489" i="7950"/>
  <c r="V1489" i="7950" s="1"/>
  <c r="W1489" i="7950" s="1"/>
  <c r="U2299" i="7950"/>
  <c r="V2299" i="7950" s="1"/>
  <c r="W2299" i="7950" s="1"/>
  <c r="Q332" i="18"/>
  <c r="Q158" i="18"/>
  <c r="Q164" i="18"/>
  <c r="Q163" i="18"/>
  <c r="Q157" i="18"/>
  <c r="Q160" i="18"/>
  <c r="Q161" i="18"/>
  <c r="Q162" i="18"/>
  <c r="Q159" i="18"/>
  <c r="L11" i="7949"/>
  <c r="Q165" i="18"/>
  <c r="V2516" i="7950"/>
  <c r="W2516" i="7950" s="1"/>
  <c r="M2615" i="7950"/>
  <c r="N2615" i="7950" s="1"/>
  <c r="O2615" i="7950" s="1"/>
  <c r="P2615" i="7950" s="1"/>
  <c r="Q2615" i="7950" s="1"/>
  <c r="U1327" i="7950"/>
  <c r="V1327" i="7950" s="1"/>
  <c r="W1327" i="7950" s="1"/>
  <c r="U2353" i="7950"/>
  <c r="V2353" i="7950" s="1"/>
  <c r="W2353" i="7950" s="1"/>
  <c r="U2569" i="7950"/>
  <c r="V2569" i="7950" s="1"/>
  <c r="W2569" i="7950" s="1"/>
  <c r="M2669" i="7950"/>
  <c r="N2669" i="7950" s="1"/>
  <c r="O2669" i="7950" s="1"/>
  <c r="P2669" i="7950" s="1"/>
  <c r="Q2669" i="7950" s="1"/>
  <c r="R2669" i="7950" s="1"/>
  <c r="U2461" i="7950"/>
  <c r="V2461" i="7950" s="1"/>
  <c r="W2461" i="7950" s="1"/>
  <c r="U1651" i="7950"/>
  <c r="V1651" i="7950" s="1"/>
  <c r="W1651" i="7950" s="1"/>
  <c r="U679" i="7950"/>
  <c r="V679" i="7950" s="1"/>
  <c r="W679" i="7950" s="1"/>
  <c r="U31" i="7950"/>
  <c r="V31" i="7950" s="1"/>
  <c r="U571" i="7950"/>
  <c r="V571" i="7950" s="1"/>
  <c r="W571" i="7950" s="1"/>
  <c r="U625" i="7950"/>
  <c r="V625" i="7950" s="1"/>
  <c r="W625" i="7950" s="1"/>
  <c r="U193" i="7950"/>
  <c r="V193" i="7950" s="1"/>
  <c r="W193" i="7950" s="1"/>
  <c r="U1705" i="7950"/>
  <c r="V1705" i="7950" s="1"/>
  <c r="W1705" i="7950" s="1"/>
  <c r="U1543" i="7950"/>
  <c r="V1543" i="7950" s="1"/>
  <c r="W1543" i="7950" s="1"/>
  <c r="D2335" i="7950"/>
  <c r="E2335" i="7950" s="1"/>
  <c r="F2335" i="7950" s="1"/>
  <c r="G2335" i="7950" s="1"/>
  <c r="H2335" i="7950" s="1"/>
  <c r="I2335" i="7950" s="1"/>
  <c r="D2359" i="7950"/>
  <c r="D823" i="7950"/>
  <c r="E823" i="7950" s="1"/>
  <c r="F823" i="7950" s="1"/>
  <c r="G823" i="7950" s="1"/>
  <c r="H823" i="7950" s="1"/>
  <c r="I823" i="7950" s="1"/>
  <c r="D847" i="7950"/>
  <c r="D1147" i="7950"/>
  <c r="E1147" i="7950" s="1"/>
  <c r="F1147" i="7950" s="1"/>
  <c r="G1147" i="7950" s="1"/>
  <c r="H1147" i="7950" s="1"/>
  <c r="I1147" i="7950" s="1"/>
  <c r="D1171" i="7950"/>
  <c r="D2089" i="7950"/>
  <c r="D2065" i="7950"/>
  <c r="E2065" i="7950" s="1"/>
  <c r="F2065" i="7950" s="1"/>
  <c r="G2065" i="7950" s="1"/>
  <c r="H2065" i="7950" s="1"/>
  <c r="I2065" i="7950" s="1"/>
  <c r="D901" i="7950"/>
  <c r="D877" i="7950"/>
  <c r="E877" i="7950" s="1"/>
  <c r="F877" i="7950" s="1"/>
  <c r="G877" i="7950" s="1"/>
  <c r="H877" i="7950" s="1"/>
  <c r="I877" i="7950" s="1"/>
  <c r="D2035" i="7950"/>
  <c r="D2011" i="7950"/>
  <c r="E2011" i="7950" s="1"/>
  <c r="D985" i="7950"/>
  <c r="E985" i="7950" s="1"/>
  <c r="D1009" i="7950"/>
  <c r="D1117" i="7950"/>
  <c r="D1093" i="7950"/>
  <c r="E1093" i="7950" s="1"/>
  <c r="F1093" i="7950" s="1"/>
  <c r="G1093" i="7950" s="1"/>
  <c r="H1093" i="7950" s="1"/>
  <c r="I1093" i="7950" s="1"/>
  <c r="D2173" i="7950"/>
  <c r="E2173" i="7950" s="1"/>
  <c r="F2173" i="7950" s="1"/>
  <c r="G2173" i="7950" s="1"/>
  <c r="H2173" i="7950" s="1"/>
  <c r="I2173" i="7950" s="1"/>
  <c r="D2197" i="7950"/>
  <c r="D391" i="7950"/>
  <c r="E391" i="7950" s="1"/>
  <c r="D415" i="7950"/>
  <c r="D337" i="7950"/>
  <c r="E337" i="7950" s="1"/>
  <c r="D361" i="7950"/>
  <c r="D955" i="7950"/>
  <c r="D931" i="7950"/>
  <c r="E931" i="7950" s="1"/>
  <c r="D1417" i="7950"/>
  <c r="E1417" i="7950" s="1"/>
  <c r="D1441" i="7950"/>
  <c r="D1765" i="7950"/>
  <c r="D1741" i="7950"/>
  <c r="E1741" i="7950" s="1"/>
  <c r="F1741" i="7950" s="1"/>
  <c r="G1741" i="7950" s="1"/>
  <c r="H1741" i="7950" s="1"/>
  <c r="I1741" i="7950" s="1"/>
  <c r="D469" i="7950"/>
  <c r="D445" i="7950"/>
  <c r="E445" i="7950" s="1"/>
  <c r="D2551" i="7950"/>
  <c r="E2551" i="7950" s="1"/>
  <c r="F2551" i="7950" s="1"/>
  <c r="G2551" i="7950" s="1"/>
  <c r="H2551" i="7950" s="1"/>
  <c r="I2551" i="7950" s="1"/>
  <c r="D2575" i="7950"/>
  <c r="D1387" i="7950"/>
  <c r="D1363" i="7950"/>
  <c r="E1363" i="7950" s="1"/>
  <c r="F1363" i="7950" s="1"/>
  <c r="G1363" i="7950" s="1"/>
  <c r="H1363" i="7950" s="1"/>
  <c r="I1363" i="7950" s="1"/>
  <c r="D1549" i="7950"/>
  <c r="D1525" i="7950"/>
  <c r="E1525" i="7950" s="1"/>
  <c r="F1525" i="7950" s="1"/>
  <c r="G1525" i="7950" s="1"/>
  <c r="H1525" i="7950" s="1"/>
  <c r="I1525" i="7950" s="1"/>
  <c r="D793" i="7950"/>
  <c r="D769" i="7950"/>
  <c r="E769" i="7950" s="1"/>
  <c r="F769" i="7950" s="1"/>
  <c r="G769" i="7950" s="1"/>
  <c r="H769" i="7950" s="1"/>
  <c r="I769" i="7950" s="1"/>
  <c r="D2251" i="7950"/>
  <c r="D2227" i="7950"/>
  <c r="E2227" i="7950" s="1"/>
  <c r="F2227" i="7950" s="1"/>
  <c r="G2227" i="7950" s="1"/>
  <c r="H2227" i="7950" s="1"/>
  <c r="I2227" i="7950" s="1"/>
  <c r="D1819" i="7950"/>
  <c r="D1795" i="7950"/>
  <c r="E1795" i="7950" s="1"/>
  <c r="F1795" i="7950" s="1"/>
  <c r="G1795" i="7950" s="1"/>
  <c r="H1795" i="7950" s="1"/>
  <c r="I1795" i="7950" s="1"/>
  <c r="D1495" i="7950"/>
  <c r="D1471" i="7950"/>
  <c r="E1471" i="7950" s="1"/>
  <c r="F1471" i="7950" s="1"/>
  <c r="G1471" i="7950" s="1"/>
  <c r="H1471" i="7950" s="1"/>
  <c r="I1471" i="7950" s="1"/>
  <c r="D2521" i="7950"/>
  <c r="D2497" i="7950"/>
  <c r="E2497" i="7950" s="1"/>
  <c r="F2497" i="7950" s="1"/>
  <c r="G2497" i="7950" s="1"/>
  <c r="H2497" i="7950" s="1"/>
  <c r="I2497" i="7950" s="1"/>
  <c r="D553" i="7950"/>
  <c r="E553" i="7950" s="1"/>
  <c r="F553" i="7950" s="1"/>
  <c r="G553" i="7950" s="1"/>
  <c r="H553" i="7950" s="1"/>
  <c r="I553" i="7950" s="1"/>
  <c r="D577" i="7950"/>
  <c r="D145" i="7950"/>
  <c r="D121" i="7950"/>
  <c r="E121" i="7950" s="1"/>
  <c r="F121" i="7950" s="1"/>
  <c r="G121" i="7950" s="1"/>
  <c r="H121" i="7950" s="1"/>
  <c r="D283" i="7950"/>
  <c r="E283" i="7950" s="1"/>
  <c r="F283" i="7950" s="1"/>
  <c r="G283" i="7950" s="1"/>
  <c r="H283" i="7950" s="1"/>
  <c r="I283" i="7950" s="1"/>
  <c r="D307" i="7950"/>
  <c r="M11" i="7949"/>
  <c r="D2467" i="7950"/>
  <c r="D2443" i="7950"/>
  <c r="E2443" i="7950" s="1"/>
  <c r="F2443" i="7950" s="1"/>
  <c r="G2443" i="7950" s="1"/>
  <c r="H2443" i="7950" s="1"/>
  <c r="I2443" i="7950" s="1"/>
  <c r="D2119" i="7950"/>
  <c r="E2119" i="7950" s="1"/>
  <c r="D2143" i="7950"/>
  <c r="D2281" i="7950"/>
  <c r="E2281" i="7950" s="1"/>
  <c r="F2281" i="7950" s="1"/>
  <c r="G2281" i="7950" s="1"/>
  <c r="H2281" i="7950" s="1"/>
  <c r="I2281" i="7950" s="1"/>
  <c r="D2305" i="7950"/>
  <c r="D253" i="7950"/>
  <c r="D229" i="7950"/>
  <c r="E229" i="7950" s="1"/>
  <c r="D1255" i="7950"/>
  <c r="E1255" i="7950" s="1"/>
  <c r="D1279" i="7950"/>
  <c r="D1873" i="7950"/>
  <c r="D1849" i="7950"/>
  <c r="E1849" i="7950" s="1"/>
  <c r="F1849" i="7950" s="1"/>
  <c r="G1849" i="7950" s="1"/>
  <c r="H1849" i="7950" s="1"/>
  <c r="I1849" i="7950" s="1"/>
  <c r="D2683" i="7950"/>
  <c r="D2659" i="7950"/>
  <c r="E2659" i="7950" s="1"/>
  <c r="D1903" i="7950"/>
  <c r="E1903" i="7950" s="1"/>
  <c r="F1903" i="7950" s="1"/>
  <c r="G1903" i="7950" s="1"/>
  <c r="H1903" i="7950" s="1"/>
  <c r="I1903" i="7950" s="1"/>
  <c r="D1927" i="7950"/>
  <c r="E1927" i="7950" s="1"/>
  <c r="F1927" i="7950" s="1"/>
  <c r="G1927" i="7950" s="1"/>
  <c r="H1927" i="7950" s="1"/>
  <c r="I1927" i="7950" s="1"/>
  <c r="D1603" i="7950"/>
  <c r="D1579" i="7950"/>
  <c r="E1579" i="7950" s="1"/>
  <c r="F1579" i="7950" s="1"/>
  <c r="G1579" i="7950" s="1"/>
  <c r="H1579" i="7950" s="1"/>
  <c r="I1579" i="7950" s="1"/>
  <c r="D685" i="7950"/>
  <c r="D661" i="7950"/>
  <c r="E661" i="7950" s="1"/>
  <c r="F661" i="7950" s="1"/>
  <c r="G661" i="7950" s="1"/>
  <c r="H661" i="7950" s="1"/>
  <c r="I661" i="7950" s="1"/>
  <c r="D523" i="7950"/>
  <c r="D499" i="7950"/>
  <c r="E499" i="7950" s="1"/>
  <c r="F499" i="7950" s="1"/>
  <c r="G499" i="7950" s="1"/>
  <c r="H499" i="7950" s="1"/>
  <c r="I499" i="7950" s="1"/>
  <c r="D2605" i="7950"/>
  <c r="E2605" i="7950" s="1"/>
  <c r="F2605" i="7950" s="1"/>
  <c r="G2605" i="7950" s="1"/>
  <c r="H2605" i="7950" s="1"/>
  <c r="I2605" i="7950" s="1"/>
  <c r="D2629" i="7950"/>
  <c r="D13" i="7950"/>
  <c r="E13" i="7950" s="1"/>
  <c r="F13" i="7950" s="1"/>
  <c r="G13" i="7950" s="1"/>
  <c r="H13" i="7950" s="1"/>
  <c r="D37" i="7950"/>
  <c r="D631" i="7950"/>
  <c r="D607" i="7950"/>
  <c r="E607" i="7950" s="1"/>
  <c r="F607" i="7950" s="1"/>
  <c r="G607" i="7950" s="1"/>
  <c r="H607" i="7950" s="1"/>
  <c r="I607" i="7950" s="1"/>
  <c r="D1657" i="7950"/>
  <c r="E1657" i="7950" s="1"/>
  <c r="F1657" i="7950" s="1"/>
  <c r="G1657" i="7950" s="1"/>
  <c r="H1657" i="7950" s="1"/>
  <c r="I1657" i="7950" s="1"/>
  <c r="D1633" i="7950"/>
  <c r="E1633" i="7950" s="1"/>
  <c r="F1633" i="7950" s="1"/>
  <c r="G1633" i="7950" s="1"/>
  <c r="H1633" i="7950" s="1"/>
  <c r="I1633" i="7950" s="1"/>
  <c r="D1711" i="7950"/>
  <c r="D1687" i="7950"/>
  <c r="E1687" i="7950" s="1"/>
  <c r="F1687" i="7950" s="1"/>
  <c r="G1687" i="7950" s="1"/>
  <c r="H1687" i="7950" s="1"/>
  <c r="I1687" i="7950" s="1"/>
  <c r="D175" i="7950"/>
  <c r="E175" i="7950" s="1"/>
  <c r="D199" i="7950"/>
  <c r="D1957" i="7950"/>
  <c r="E1957" i="7950" s="1"/>
  <c r="F1957" i="7950" s="1"/>
  <c r="G1957" i="7950" s="1"/>
  <c r="H1957" i="7950" s="1"/>
  <c r="I1957" i="7950" s="1"/>
  <c r="D1981" i="7950"/>
  <c r="D1063" i="7950"/>
  <c r="D1039" i="7950"/>
  <c r="E1039" i="7950" s="1"/>
  <c r="D739" i="7950"/>
  <c r="D715" i="7950"/>
  <c r="E715" i="7950" s="1"/>
  <c r="F715" i="7950" s="1"/>
  <c r="G715" i="7950" s="1"/>
  <c r="H715" i="7950" s="1"/>
  <c r="I715" i="7950" s="1"/>
  <c r="D91" i="7950"/>
  <c r="D67" i="7950"/>
  <c r="E67" i="7950" s="1"/>
  <c r="F67" i="7950" s="1"/>
  <c r="G67" i="7950" s="1"/>
  <c r="H67" i="7950" s="1"/>
  <c r="D2389" i="7950"/>
  <c r="E2389" i="7950" s="1"/>
  <c r="D2413" i="7950"/>
  <c r="D1201" i="7950"/>
  <c r="E1201" i="7950" s="1"/>
  <c r="F1201" i="7950" s="1"/>
  <c r="G1201" i="7950" s="1"/>
  <c r="H1201" i="7950" s="1"/>
  <c r="I1201" i="7950" s="1"/>
  <c r="D1225" i="7950"/>
  <c r="D1333" i="7950"/>
  <c r="D1309" i="7950"/>
  <c r="E1309" i="7950" s="1"/>
  <c r="U1813" i="7950"/>
  <c r="V1813" i="7950" s="1"/>
  <c r="W1813" i="7950" s="1"/>
  <c r="M2075" i="7950"/>
  <c r="N2075" i="7950" s="1"/>
  <c r="O2075" i="7950" s="1"/>
  <c r="P2075" i="7950" s="1"/>
  <c r="Q2075" i="7950" s="1"/>
  <c r="M1697" i="7950"/>
  <c r="N1697" i="7950" s="1"/>
  <c r="O1697" i="7950" s="1"/>
  <c r="P1697" i="7950" s="1"/>
  <c r="Q1697" i="7950" s="1"/>
  <c r="M401" i="7950"/>
  <c r="N401" i="7950" s="1"/>
  <c r="O401" i="7950" s="1"/>
  <c r="P401" i="7950" s="1"/>
  <c r="Q401" i="7950" s="1"/>
  <c r="R401" i="7950" s="1"/>
  <c r="M941" i="7950"/>
  <c r="N941" i="7950" s="1"/>
  <c r="O941" i="7950" s="1"/>
  <c r="P941" i="7950" s="1"/>
  <c r="Q941" i="7950" s="1"/>
  <c r="U1921" i="7950"/>
  <c r="V1921" i="7950" s="1"/>
  <c r="W1921" i="7950" s="1"/>
  <c r="Q489" i="18"/>
  <c r="Q437" i="18"/>
  <c r="Q268" i="18"/>
  <c r="Q177" i="18"/>
  <c r="Q307" i="18"/>
  <c r="Q463" i="18"/>
  <c r="Q385" i="18"/>
  <c r="Q580" i="18"/>
  <c r="Q86" i="18"/>
  <c r="Q372" i="18"/>
  <c r="Q671" i="18"/>
  <c r="Q619" i="18"/>
  <c r="Q359" i="18"/>
  <c r="Q528" i="18"/>
  <c r="Q513" i="18"/>
  <c r="Q639" i="18"/>
  <c r="Q457" i="18"/>
  <c r="Q251" i="18"/>
  <c r="Q328" i="18"/>
  <c r="Q615" i="18"/>
  <c r="Q443" i="18"/>
  <c r="Q209" i="18"/>
  <c r="Q578" i="18"/>
  <c r="Q397" i="18"/>
  <c r="Q266" i="18"/>
  <c r="Q353" i="18"/>
  <c r="Q587" i="18"/>
  <c r="Q368" i="18"/>
  <c r="Q628" i="18"/>
  <c r="Q213" i="18"/>
  <c r="Q172" i="18"/>
  <c r="Q444" i="18"/>
  <c r="Q301" i="18"/>
  <c r="Q629" i="18"/>
  <c r="Q423" i="18"/>
  <c r="Q579" i="18"/>
  <c r="Q474" i="18"/>
  <c r="Q239" i="18"/>
  <c r="Q199" i="18"/>
  <c r="Q551" i="18"/>
  <c r="Q291" i="18"/>
  <c r="Q536" i="18"/>
  <c r="Q601" i="18"/>
  <c r="Q576" i="18"/>
  <c r="Q289" i="18"/>
  <c r="Q510" i="18"/>
  <c r="Q314" i="18"/>
  <c r="Q548" i="18"/>
  <c r="Q196" i="18"/>
  <c r="Q391" i="18"/>
  <c r="Q352" i="18"/>
  <c r="Q417" i="18"/>
  <c r="Q264" i="18"/>
  <c r="Q381" i="18"/>
  <c r="Q535" i="18"/>
  <c r="Q539" i="18"/>
  <c r="Q483" i="18"/>
  <c r="Q223" i="18"/>
  <c r="Q605" i="18"/>
  <c r="Q319" i="18"/>
  <c r="Q630" i="18"/>
  <c r="Q339" i="18"/>
  <c r="Q631" i="18"/>
  <c r="Q316" i="18"/>
  <c r="Q626" i="18"/>
  <c r="Q290" i="18"/>
  <c r="Q317" i="18"/>
  <c r="Q525" i="18"/>
  <c r="Q224" i="18"/>
  <c r="Q677" i="18"/>
  <c r="Q703" i="18"/>
  <c r="Q678" i="18"/>
  <c r="Q704" i="18"/>
  <c r="Q599" i="18"/>
  <c r="Q705" i="18"/>
  <c r="Q679" i="18"/>
  <c r="Q340" i="18"/>
  <c r="Q495" i="18"/>
  <c r="Q456" i="18"/>
  <c r="Q706" i="18"/>
  <c r="Q680" i="18"/>
  <c r="Q693" i="18"/>
  <c r="Q547" i="18"/>
  <c r="Q681" i="18"/>
  <c r="Q707" i="18"/>
  <c r="Q329" i="18"/>
  <c r="Q235" i="18"/>
  <c r="Q613" i="18"/>
  <c r="Q379" i="18"/>
  <c r="Q694" i="18"/>
  <c r="Q470" i="18"/>
  <c r="Q210" i="18"/>
  <c r="Q431" i="18"/>
  <c r="Q392" i="18"/>
  <c r="Q432" i="18"/>
  <c r="Q198" i="18"/>
  <c r="Q695" i="18"/>
  <c r="Q523" i="18"/>
  <c r="Q276" i="18"/>
  <c r="Q186" i="18"/>
  <c r="Q406" i="18"/>
  <c r="Q708" i="18"/>
  <c r="Q212" i="18"/>
  <c r="Q458" i="18"/>
  <c r="Q496" i="18"/>
  <c r="Q225" i="18"/>
  <c r="Q682" i="18"/>
  <c r="Q278" i="18"/>
  <c r="Q98" i="18"/>
  <c r="Q709" i="18"/>
  <c r="Q72" i="18"/>
  <c r="Q111" i="18"/>
  <c r="Q124" i="18"/>
  <c r="Q460" i="18"/>
  <c r="Q526" i="18"/>
  <c r="Q173" i="18"/>
  <c r="Q382" i="18"/>
  <c r="Q137" i="18"/>
  <c r="Q240" i="18"/>
  <c r="Q487" i="18"/>
  <c r="Q304" i="18"/>
  <c r="Q591" i="18"/>
  <c r="Q683" i="18"/>
  <c r="Q669" i="18"/>
  <c r="Q305" i="18"/>
  <c r="Q616" i="18"/>
  <c r="Q253" i="18"/>
  <c r="Q357" i="18"/>
  <c r="Q448" i="18"/>
  <c r="Q150" i="18"/>
  <c r="Q85" i="18"/>
  <c r="Q643" i="18"/>
  <c r="Q696" i="18"/>
  <c r="Q552" i="18"/>
  <c r="Q565" i="18"/>
  <c r="Q383" i="18"/>
  <c r="Q617" i="18"/>
  <c r="Q435" i="18"/>
  <c r="Q422" i="18"/>
  <c r="Q515" i="18"/>
  <c r="Q567" i="18"/>
  <c r="Q554" i="18"/>
  <c r="Q320" i="18"/>
  <c r="Q411" i="18"/>
  <c r="Q697" i="18"/>
  <c r="Q346" i="18"/>
  <c r="Q112" i="18"/>
  <c r="Q294" i="18"/>
  <c r="Q684" i="18"/>
  <c r="Q658" i="18"/>
  <c r="Q333" i="18"/>
  <c r="Q267" i="18"/>
  <c r="Q691" i="18"/>
  <c r="Q170" i="18"/>
  <c r="Q366" i="18"/>
  <c r="Q174" i="18"/>
  <c r="Q638" i="18"/>
  <c r="Q534" i="18"/>
  <c r="Q473" i="18"/>
  <c r="Q409" i="18"/>
  <c r="Q553" i="18"/>
  <c r="Q592" i="18"/>
  <c r="Q228" i="18"/>
  <c r="Q657" i="18"/>
  <c r="Q600" i="18"/>
  <c r="Q303" i="18"/>
  <c r="Q420" i="18"/>
  <c r="Q642" i="18"/>
  <c r="Q561" i="18"/>
  <c r="Q524" i="18"/>
  <c r="Q573" i="18"/>
  <c r="Q461" i="18"/>
  <c r="Q527" i="18"/>
  <c r="Q176" i="18"/>
  <c r="Q280" i="18"/>
  <c r="Q655" i="18"/>
  <c r="Q654" i="18"/>
  <c r="Q395" i="18"/>
  <c r="Q369" i="18"/>
  <c r="Q187" i="18"/>
  <c r="Q356" i="18"/>
  <c r="Q603" i="18"/>
  <c r="Q341" i="18"/>
  <c r="Q237" i="18"/>
  <c r="Q315" i="18"/>
  <c r="Q211" i="18"/>
  <c r="Q666" i="18"/>
  <c r="Q627" i="18"/>
  <c r="Q274" i="18"/>
  <c r="Q236" i="18"/>
  <c r="Q184" i="18"/>
  <c r="Q407" i="18"/>
  <c r="Q197" i="18"/>
  <c r="Q484" i="18"/>
  <c r="Q574" i="18"/>
  <c r="Q563" i="18"/>
  <c r="Q668" i="18"/>
  <c r="Q430" i="18"/>
  <c r="Q358" i="18"/>
  <c r="Q514" i="18"/>
  <c r="Q254" i="18"/>
  <c r="Q318" i="18"/>
  <c r="Q618" i="18"/>
  <c r="Q511" i="18"/>
  <c r="Q263" i="18"/>
  <c r="Q355" i="18"/>
  <c r="Q200" i="18"/>
  <c r="Q670" i="18"/>
  <c r="Q175" i="18"/>
  <c r="Q190" i="18"/>
  <c r="Q632" i="18"/>
  <c r="Q710" i="18"/>
  <c r="Q138" i="18"/>
  <c r="Q502" i="18"/>
  <c r="Q450" i="18"/>
  <c r="Q125" i="18"/>
  <c r="Q541" i="18"/>
  <c r="Q216" i="18"/>
  <c r="Q151" i="18"/>
  <c r="Q398" i="18"/>
  <c r="Q242" i="18"/>
  <c r="Q215" i="18"/>
  <c r="Q313" i="18"/>
  <c r="Q405" i="18"/>
  <c r="Q471" i="18"/>
  <c r="Q522" i="18"/>
  <c r="Q330" i="18"/>
  <c r="Q421" i="18"/>
  <c r="Q275" i="18"/>
  <c r="Q371" i="18"/>
  <c r="Q644" i="18"/>
  <c r="Q564" i="18"/>
  <c r="Q436" i="18"/>
  <c r="Q365" i="18"/>
  <c r="Q664" i="18"/>
  <c r="Q485" i="18"/>
  <c r="Q342" i="18"/>
  <c r="Q250" i="18"/>
  <c r="Q252" i="18"/>
  <c r="Q690" i="18"/>
  <c r="Q540" i="18"/>
  <c r="Q384" i="18"/>
  <c r="Q447" i="18"/>
  <c r="Q577" i="18"/>
  <c r="Q343" i="18"/>
  <c r="Q653" i="18"/>
  <c r="Q575" i="18"/>
  <c r="Q665" i="18"/>
  <c r="Q327" i="18"/>
  <c r="Q354" i="18"/>
  <c r="Q469" i="18"/>
  <c r="Q419" i="18"/>
  <c r="Q549" i="18"/>
  <c r="Q418" i="18"/>
  <c r="Q261" i="18"/>
  <c r="Q612" i="18"/>
  <c r="Q521" i="18"/>
  <c r="Q509" i="18"/>
  <c r="Q380" i="18"/>
  <c r="Q667" i="18"/>
  <c r="Q226" i="18"/>
  <c r="Q625" i="18"/>
  <c r="Q183" i="18"/>
  <c r="Q367" i="18"/>
  <c r="Q550" i="18"/>
  <c r="Q604" i="18"/>
  <c r="Q449" i="18"/>
  <c r="Q410" i="18"/>
  <c r="Q189" i="18"/>
  <c r="Q396" i="18"/>
  <c r="Q241" i="18"/>
  <c r="Q302" i="18"/>
  <c r="Q277" i="18"/>
  <c r="Q589" i="18"/>
  <c r="Q590" i="18"/>
  <c r="Q404" i="18"/>
  <c r="Q586" i="18"/>
  <c r="Q300" i="18"/>
  <c r="Q188" i="18"/>
  <c r="Q279" i="18"/>
  <c r="Q424" i="18"/>
  <c r="Q281" i="18"/>
  <c r="Q645" i="18"/>
  <c r="Q606" i="18"/>
  <c r="Q203" i="18"/>
  <c r="Q476" i="18"/>
  <c r="Q593" i="18"/>
  <c r="Q255" i="18"/>
  <c r="Q73" i="18"/>
  <c r="Q229" i="18"/>
  <c r="Q99" i="18"/>
  <c r="Q227" i="18"/>
  <c r="Q288" i="18"/>
  <c r="Q287" i="18"/>
  <c r="Q512" i="18"/>
  <c r="Q538" i="18"/>
  <c r="Q378" i="18"/>
  <c r="Q292" i="18"/>
  <c r="Q345" i="18"/>
  <c r="Q462" i="18"/>
  <c r="Q500" i="18"/>
  <c r="Q475" i="18"/>
  <c r="Q588" i="18"/>
  <c r="Q446" i="18"/>
  <c r="Q434" i="18"/>
  <c r="Q445" i="18"/>
  <c r="Q185" i="18"/>
  <c r="Q566" i="18"/>
  <c r="Q501" i="18"/>
  <c r="Q306" i="18"/>
  <c r="Q656" i="18"/>
  <c r="Q265" i="18"/>
  <c r="Q499" i="18"/>
  <c r="Q641" i="18"/>
  <c r="Q408" i="18"/>
  <c r="Q497" i="18"/>
  <c r="Q498" i="18"/>
  <c r="Q393" i="18"/>
  <c r="Q248" i="18"/>
  <c r="Q537" i="18"/>
  <c r="Q602" i="18"/>
  <c r="Q692" i="18"/>
  <c r="Q249" i="18"/>
  <c r="Q262" i="18"/>
  <c r="Q652" i="18"/>
  <c r="Q651" i="18"/>
  <c r="Q508" i="18"/>
  <c r="Q640" i="18"/>
  <c r="Q459" i="18"/>
  <c r="Q614" i="18"/>
  <c r="Q238" i="18"/>
  <c r="Q370" i="18"/>
  <c r="Q171" i="18"/>
  <c r="Q482" i="18"/>
  <c r="Q222" i="18"/>
  <c r="Q394" i="18"/>
  <c r="Q488" i="18"/>
  <c r="Q202" i="18"/>
  <c r="Q214" i="18"/>
  <c r="Q433" i="18"/>
  <c r="Q293" i="18"/>
  <c r="Q326" i="18"/>
  <c r="Q560" i="18"/>
  <c r="Q562" i="18"/>
  <c r="Q486" i="18"/>
  <c r="Q344" i="18"/>
  <c r="Q331" i="18"/>
  <c r="Q472" i="18"/>
  <c r="Q201" i="18"/>
  <c r="U1975" i="7950"/>
  <c r="V1975" i="7950" s="1"/>
  <c r="W1975" i="7950" s="1"/>
  <c r="M1643" i="7950"/>
  <c r="N1643" i="7950" s="1"/>
  <c r="O1643" i="7950" s="1"/>
  <c r="P1643" i="7950" s="1"/>
  <c r="Q1643" i="7950" s="1"/>
  <c r="U1111" i="7950"/>
  <c r="V1111" i="7950" s="1"/>
  <c r="W1111" i="7950" s="1"/>
  <c r="U301" i="7950"/>
  <c r="V301" i="7950" s="1"/>
  <c r="W301" i="7950" s="1"/>
  <c r="U2677" i="7950"/>
  <c r="V2677" i="7950" s="1"/>
  <c r="W2677" i="7950" s="1"/>
  <c r="M1373" i="7950"/>
  <c r="N1373" i="7950" s="1"/>
  <c r="O1373" i="7950" s="1"/>
  <c r="P1373" i="7950" s="1"/>
  <c r="Q1373" i="7950" s="1"/>
  <c r="R1373" i="7950" s="1"/>
  <c r="U1273" i="7950"/>
  <c r="V1273" i="7950" s="1"/>
  <c r="W1273" i="7950" s="1"/>
  <c r="U733" i="7950"/>
  <c r="V733" i="7950" s="1"/>
  <c r="W733" i="7950" s="1"/>
  <c r="U139" i="7950"/>
  <c r="V139" i="7950" s="1"/>
  <c r="W139" i="7950" s="1"/>
  <c r="M2129" i="7950"/>
  <c r="N2129" i="7950" s="1"/>
  <c r="O2129" i="7950" s="1"/>
  <c r="P2129" i="7950" s="1"/>
  <c r="Q2129" i="7950" s="1"/>
  <c r="U787" i="7950"/>
  <c r="V787" i="7950" s="1"/>
  <c r="W787" i="7950" s="1"/>
  <c r="U2083" i="7950"/>
  <c r="V2083" i="7950" s="1"/>
  <c r="W2083" i="7950" s="1"/>
  <c r="U1057" i="7950"/>
  <c r="V1057" i="7950" s="1"/>
  <c r="W1057" i="7950" s="1"/>
  <c r="U895" i="7950"/>
  <c r="V895" i="7950" s="1"/>
  <c r="W895" i="7950" s="1"/>
  <c r="U1597" i="7950"/>
  <c r="V1597" i="7950" s="1"/>
  <c r="W1597" i="7950" s="1"/>
  <c r="U949" i="7950"/>
  <c r="V949" i="7950" s="1"/>
  <c r="W949" i="7950" s="1"/>
  <c r="M2399" i="7950"/>
  <c r="N2399" i="7950" s="1"/>
  <c r="O2399" i="7950" s="1"/>
  <c r="M1103" i="7950"/>
  <c r="N1103" i="7950" s="1"/>
  <c r="O1103" i="7950" s="1"/>
  <c r="M185" i="7950"/>
  <c r="N185" i="7950" s="1"/>
  <c r="O185" i="7950" s="1"/>
  <c r="P185" i="7950" s="1"/>
  <c r="Q185" i="7950" s="1"/>
  <c r="U247" i="7950"/>
  <c r="V247" i="7950" s="1"/>
  <c r="W247" i="7950" s="1"/>
  <c r="U2029" i="7950"/>
  <c r="V2029" i="7950" s="1"/>
  <c r="W2029" i="7950" s="1"/>
  <c r="U2191" i="7950"/>
  <c r="V2191" i="7950" s="1"/>
  <c r="W2191" i="7950" s="1"/>
  <c r="S515" i="7950"/>
  <c r="T515" i="7950" s="1"/>
  <c r="U515" i="7950" s="1"/>
  <c r="V515" i="7950" s="1"/>
  <c r="W515" i="7950" s="1"/>
  <c r="Q567" i="7950"/>
  <c r="R567" i="7950" s="1"/>
  <c r="S567" i="7950" s="1"/>
  <c r="T567" i="7950" s="1"/>
  <c r="U567" i="7950" s="1"/>
  <c r="V567" i="7950" s="1"/>
  <c r="W567" i="7950" s="1"/>
  <c r="Q2349" i="7950"/>
  <c r="R2349" i="7950" s="1"/>
  <c r="S2349" i="7950" s="1"/>
  <c r="T2349" i="7950" s="1"/>
  <c r="U2349" i="7950" s="1"/>
  <c r="V2349" i="7950" s="1"/>
  <c r="W2349" i="7950" s="1"/>
  <c r="O1807" i="7950"/>
  <c r="P1807" i="7950" s="1"/>
  <c r="Q1807" i="7950" s="1"/>
  <c r="R1807" i="7950" s="1"/>
  <c r="S1807" i="7950" s="1"/>
  <c r="T1807" i="7950" s="1"/>
  <c r="U1807" i="7950" s="1"/>
  <c r="V1807" i="7950" s="1"/>
  <c r="W1807" i="7950" s="1"/>
  <c r="U85" i="7950"/>
  <c r="V85" i="7950" s="1"/>
  <c r="W85" i="7950" s="1"/>
  <c r="U355" i="7950"/>
  <c r="V355" i="7950" s="1"/>
  <c r="W355" i="7950" s="1"/>
  <c r="N9" i="7949"/>
  <c r="N11" i="7949"/>
  <c r="J1154" i="7950"/>
  <c r="J1178" i="7950"/>
  <c r="J314" i="7950"/>
  <c r="J260" i="7950"/>
  <c r="J2396" i="7950"/>
  <c r="J2420" i="7950"/>
  <c r="J1448" i="7950"/>
  <c r="J1424" i="7950"/>
  <c r="J1772" i="7950"/>
  <c r="J1748" i="7950"/>
  <c r="J1718" i="7950"/>
  <c r="J1694" i="7950"/>
  <c r="U865" i="7950"/>
  <c r="V865" i="7950" s="1"/>
  <c r="W865" i="7950" s="1"/>
  <c r="U841" i="7950"/>
  <c r="T1296" i="7950"/>
  <c r="U1296" i="7950" s="1"/>
  <c r="V1296" i="7950" s="1"/>
  <c r="W1296" i="7950" s="1"/>
  <c r="T1272" i="7950"/>
  <c r="T1782" i="7950"/>
  <c r="U1782" i="7950" s="1"/>
  <c r="V1782" i="7950" s="1"/>
  <c r="W1782" i="7950" s="1"/>
  <c r="T1758" i="7950"/>
  <c r="T2700" i="7950"/>
  <c r="U2700" i="7950" s="1"/>
  <c r="V2700" i="7950" s="1"/>
  <c r="W2700" i="7950" s="1"/>
  <c r="T2676" i="7950"/>
  <c r="T2214" i="7950"/>
  <c r="U2214" i="7950" s="1"/>
  <c r="V2214" i="7950" s="1"/>
  <c r="W2214" i="7950" s="1"/>
  <c r="T2190" i="7950"/>
  <c r="S1565" i="7950"/>
  <c r="T1565" i="7950" s="1"/>
  <c r="U1565" i="7950" s="1"/>
  <c r="V1565" i="7950" s="1"/>
  <c r="W1565" i="7950" s="1"/>
  <c r="S1541" i="7950"/>
  <c r="S1511" i="7950"/>
  <c r="T1511" i="7950" s="1"/>
  <c r="U1511" i="7950" s="1"/>
  <c r="V1511" i="7950" s="1"/>
  <c r="W1511" i="7950" s="1"/>
  <c r="S1487" i="7950"/>
  <c r="S2105" i="7950"/>
  <c r="S2081" i="7950"/>
  <c r="S215" i="7950"/>
  <c r="T215" i="7950" s="1"/>
  <c r="U215" i="7950" s="1"/>
  <c r="V215" i="7950" s="1"/>
  <c r="W215" i="7950" s="1"/>
  <c r="S191" i="7950"/>
  <c r="S2699" i="7950"/>
  <c r="T2699" i="7950" s="1"/>
  <c r="U2699" i="7950" s="1"/>
  <c r="V2699" i="7950" s="1"/>
  <c r="W2699" i="7950" s="1"/>
  <c r="S2675" i="7950"/>
  <c r="S2591" i="7950"/>
  <c r="T2591" i="7950" s="1"/>
  <c r="U2591" i="7950" s="1"/>
  <c r="V2591" i="7950" s="1"/>
  <c r="W2591" i="7950" s="1"/>
  <c r="S2567" i="7950"/>
  <c r="S647" i="7950"/>
  <c r="T647" i="7950" s="1"/>
  <c r="U647" i="7950" s="1"/>
  <c r="V647" i="7950" s="1"/>
  <c r="W647" i="7950" s="1"/>
  <c r="S623" i="7950"/>
  <c r="R2482" i="7950"/>
  <c r="S2482" i="7950" s="1"/>
  <c r="T2482" i="7950" s="1"/>
  <c r="U2482" i="7950" s="1"/>
  <c r="V2482" i="7950" s="1"/>
  <c r="W2482" i="7950" s="1"/>
  <c r="R2458" i="7950"/>
  <c r="R2158" i="7950"/>
  <c r="S2158" i="7950" s="1"/>
  <c r="T2158" i="7950" s="1"/>
  <c r="U2158" i="7950" s="1"/>
  <c r="V2158" i="7950" s="1"/>
  <c r="W2158" i="7950" s="1"/>
  <c r="R2134" i="7950"/>
  <c r="R1918" i="7950"/>
  <c r="R1942" i="7950"/>
  <c r="R1996" i="7950"/>
  <c r="S1996" i="7950" s="1"/>
  <c r="T1996" i="7950" s="1"/>
  <c r="U1996" i="7950" s="1"/>
  <c r="V1996" i="7950" s="1"/>
  <c r="W1996" i="7950" s="1"/>
  <c r="R1972" i="7950"/>
  <c r="R2320" i="7950"/>
  <c r="S2320" i="7950" s="1"/>
  <c r="T2320" i="7950" s="1"/>
  <c r="U2320" i="7950" s="1"/>
  <c r="V2320" i="7950" s="1"/>
  <c r="W2320" i="7950" s="1"/>
  <c r="R2296" i="7950"/>
  <c r="Q1239" i="7950"/>
  <c r="R1239" i="7950" s="1"/>
  <c r="S1239" i="7950" s="1"/>
  <c r="T1239" i="7950" s="1"/>
  <c r="U1239" i="7950" s="1"/>
  <c r="V1239" i="7950" s="1"/>
  <c r="W1239" i="7950" s="1"/>
  <c r="Q1215" i="7950"/>
  <c r="Q1455" i="7950"/>
  <c r="Q1431" i="7950"/>
  <c r="Q1401" i="7950"/>
  <c r="R1401" i="7950" s="1"/>
  <c r="S1401" i="7950" s="1"/>
  <c r="T1401" i="7950" s="1"/>
  <c r="U1401" i="7950" s="1"/>
  <c r="V1401" i="7950" s="1"/>
  <c r="W1401" i="7950" s="1"/>
  <c r="Q1377" i="7950"/>
  <c r="Q1833" i="7950"/>
  <c r="R1833" i="7950" s="1"/>
  <c r="S1833" i="7950" s="1"/>
  <c r="T1833" i="7950" s="1"/>
  <c r="U1833" i="7950" s="1"/>
  <c r="V1833" i="7950" s="1"/>
  <c r="W1833" i="7950" s="1"/>
  <c r="Q1809" i="7950"/>
  <c r="Q1647" i="7950"/>
  <c r="Q1671" i="7950"/>
  <c r="Q1131" i="7950"/>
  <c r="R1131" i="7950" s="1"/>
  <c r="S1131" i="7950" s="1"/>
  <c r="T1131" i="7950" s="1"/>
  <c r="U1131" i="7950" s="1"/>
  <c r="V1131" i="7950" s="1"/>
  <c r="W1131" i="7950" s="1"/>
  <c r="Q1107" i="7950"/>
  <c r="Q2697" i="7950"/>
  <c r="R2697" i="7950" s="1"/>
  <c r="S2697" i="7950" s="1"/>
  <c r="T2697" i="7950" s="1"/>
  <c r="U2697" i="7950" s="1"/>
  <c r="V2697" i="7950" s="1"/>
  <c r="W2697" i="7950" s="1"/>
  <c r="Q2673" i="7950"/>
  <c r="Q861" i="7950"/>
  <c r="R861" i="7950" s="1"/>
  <c r="S861" i="7950" s="1"/>
  <c r="T861" i="7950" s="1"/>
  <c r="U861" i="7950" s="1"/>
  <c r="V861" i="7950" s="1"/>
  <c r="W861" i="7950" s="1"/>
  <c r="Q837" i="7950"/>
  <c r="Q159" i="7950"/>
  <c r="R159" i="7950" s="1"/>
  <c r="S159" i="7950" s="1"/>
  <c r="T159" i="7950" s="1"/>
  <c r="U159" i="7950" s="1"/>
  <c r="V159" i="7950" s="1"/>
  <c r="W159" i="7950" s="1"/>
  <c r="Q135" i="7950"/>
  <c r="Q1185" i="7950"/>
  <c r="Q1161" i="7950"/>
  <c r="Q645" i="7950"/>
  <c r="Q621" i="7950"/>
  <c r="P1886" i="7950"/>
  <c r="P1862" i="7950"/>
  <c r="P1616" i="7950"/>
  <c r="Q1616" i="7950" s="1"/>
  <c r="R1616" i="7950" s="1"/>
  <c r="S1616" i="7950" s="1"/>
  <c r="T1616" i="7950" s="1"/>
  <c r="U1616" i="7950" s="1"/>
  <c r="V1616" i="7950" s="1"/>
  <c r="W1616" i="7950" s="1"/>
  <c r="P1592" i="7950"/>
  <c r="P1238" i="7950"/>
  <c r="P1214" i="7950"/>
  <c r="P1724" i="7950"/>
  <c r="P1700" i="7950"/>
  <c r="P1400" i="7950"/>
  <c r="Q1400" i="7950" s="1"/>
  <c r="R1400" i="7950" s="1"/>
  <c r="S1400" i="7950" s="1"/>
  <c r="T1400" i="7950" s="1"/>
  <c r="U1400" i="7950" s="1"/>
  <c r="V1400" i="7950" s="1"/>
  <c r="W1400" i="7950" s="1"/>
  <c r="P1376" i="7950"/>
  <c r="P482" i="7950"/>
  <c r="Q482" i="7950" s="1"/>
  <c r="R482" i="7950" s="1"/>
  <c r="S482" i="7950" s="1"/>
  <c r="T482" i="7950" s="1"/>
  <c r="U482" i="7950" s="1"/>
  <c r="V482" i="7950" s="1"/>
  <c r="W482" i="7950" s="1"/>
  <c r="P458" i="7950"/>
  <c r="P50" i="7950"/>
  <c r="P26" i="7950"/>
  <c r="P1562" i="7950"/>
  <c r="Q1562" i="7950" s="1"/>
  <c r="R1562" i="7950" s="1"/>
  <c r="S1562" i="7950" s="1"/>
  <c r="T1562" i="7950" s="1"/>
  <c r="U1562" i="7950" s="1"/>
  <c r="V1562" i="7950" s="1"/>
  <c r="W1562" i="7950" s="1"/>
  <c r="P1538" i="7950"/>
  <c r="P1076" i="7950"/>
  <c r="Q1076" i="7950" s="1"/>
  <c r="R1076" i="7950" s="1"/>
  <c r="S1076" i="7950" s="1"/>
  <c r="T1076" i="7950" s="1"/>
  <c r="U1076" i="7950" s="1"/>
  <c r="V1076" i="7950" s="1"/>
  <c r="W1076" i="7950" s="1"/>
  <c r="P1052" i="7950"/>
  <c r="O1861" i="7950"/>
  <c r="O1885" i="7950"/>
  <c r="J1934" i="7950"/>
  <c r="J1910" i="7950"/>
  <c r="O1129" i="7950"/>
  <c r="O1105" i="7950"/>
  <c r="O2047" i="7950"/>
  <c r="O2023" i="7950"/>
  <c r="O967" i="7950"/>
  <c r="P967" i="7950" s="1"/>
  <c r="Q967" i="7950" s="1"/>
  <c r="R967" i="7950" s="1"/>
  <c r="S967" i="7950" s="1"/>
  <c r="T967" i="7950" s="1"/>
  <c r="U967" i="7950" s="1"/>
  <c r="V967" i="7950" s="1"/>
  <c r="W967" i="7950" s="1"/>
  <c r="O943" i="7950"/>
  <c r="K2475" i="7950"/>
  <c r="L2475" i="7950" s="1"/>
  <c r="M2475" i="7950" s="1"/>
  <c r="N2475" i="7950" s="1"/>
  <c r="O2475" i="7950" s="1"/>
  <c r="K2451" i="7950"/>
  <c r="J2258" i="7950"/>
  <c r="J2234" i="7950"/>
  <c r="O1669" i="7950"/>
  <c r="P1669" i="7950" s="1"/>
  <c r="Q1669" i="7950" s="1"/>
  <c r="R1669" i="7950" s="1"/>
  <c r="S1669" i="7950" s="1"/>
  <c r="T1669" i="7950" s="1"/>
  <c r="U1669" i="7950" s="1"/>
  <c r="V1669" i="7950" s="1"/>
  <c r="W1669" i="7950" s="1"/>
  <c r="O1645" i="7950"/>
  <c r="L46" i="7950"/>
  <c r="M46" i="7950" s="1"/>
  <c r="N46" i="7950" s="1"/>
  <c r="O46" i="7950" s="1"/>
  <c r="P46" i="7950" s="1"/>
  <c r="Q46" i="7950" s="1"/>
  <c r="R46" i="7950" s="1"/>
  <c r="S46" i="7950" s="1"/>
  <c r="T46" i="7950" s="1"/>
  <c r="U46" i="7950" s="1"/>
  <c r="V46" i="7950" s="1"/>
  <c r="W46" i="7950" s="1"/>
  <c r="L22" i="7950"/>
  <c r="L208" i="7950"/>
  <c r="M208" i="7950" s="1"/>
  <c r="N208" i="7950" s="1"/>
  <c r="O208" i="7950" s="1"/>
  <c r="P208" i="7950" s="1"/>
  <c r="L184" i="7950"/>
  <c r="L2260" i="7950"/>
  <c r="M2260" i="7950" s="1"/>
  <c r="N2260" i="7950" s="1"/>
  <c r="O2260" i="7950" s="1"/>
  <c r="P2260" i="7950" s="1"/>
  <c r="L2236" i="7950"/>
  <c r="O1993" i="7950"/>
  <c r="O1969" i="7950"/>
  <c r="O373" i="7950"/>
  <c r="O349" i="7950"/>
  <c r="L640" i="7950"/>
  <c r="M640" i="7950" s="1"/>
  <c r="N640" i="7950" s="1"/>
  <c r="L616" i="7950"/>
  <c r="K1449" i="7950"/>
  <c r="L1449" i="7950" s="1"/>
  <c r="M1449" i="7950" s="1"/>
  <c r="N1449" i="7950" s="1"/>
  <c r="O1449" i="7950" s="1"/>
  <c r="K1425" i="7950"/>
  <c r="K2367" i="7950"/>
  <c r="L2367" i="7950" s="1"/>
  <c r="M2367" i="7950" s="1"/>
  <c r="N2367" i="7950" s="1"/>
  <c r="O2367" i="7950" s="1"/>
  <c r="K2343" i="7950"/>
  <c r="K2151" i="7950"/>
  <c r="L2151" i="7950" s="1"/>
  <c r="M2151" i="7950" s="1"/>
  <c r="K2127" i="7950"/>
  <c r="K2259" i="7950"/>
  <c r="L2259" i="7950" s="1"/>
  <c r="M2259" i="7950" s="1"/>
  <c r="K2235" i="7950"/>
  <c r="J2342" i="7950"/>
  <c r="J2366" i="7950"/>
  <c r="O2533" i="7950"/>
  <c r="P2533" i="7950" s="1"/>
  <c r="Q2533" i="7950" s="1"/>
  <c r="R2533" i="7950" s="1"/>
  <c r="S2533" i="7950" s="1"/>
  <c r="T2533" i="7950" s="1"/>
  <c r="U2533" i="7950" s="1"/>
  <c r="V2533" i="7950" s="1"/>
  <c r="W2533" i="7950" s="1"/>
  <c r="O2509" i="7950"/>
  <c r="O319" i="7950"/>
  <c r="P319" i="7950" s="1"/>
  <c r="Q319" i="7950" s="1"/>
  <c r="R319" i="7950" s="1"/>
  <c r="S319" i="7950" s="1"/>
  <c r="T319" i="7950" s="1"/>
  <c r="U319" i="7950" s="1"/>
  <c r="V319" i="7950" s="1"/>
  <c r="W319" i="7950" s="1"/>
  <c r="O295" i="7950"/>
  <c r="O1537" i="7950"/>
  <c r="O1561" i="7950"/>
  <c r="O565" i="7950"/>
  <c r="O589" i="7950"/>
  <c r="O535" i="7950"/>
  <c r="O511" i="7950"/>
  <c r="T756" i="7950"/>
  <c r="U756" i="7950" s="1"/>
  <c r="V756" i="7950" s="1"/>
  <c r="W756" i="7950" s="1"/>
  <c r="T732" i="7950"/>
  <c r="T1350" i="7950"/>
  <c r="U1350" i="7950" s="1"/>
  <c r="T1326" i="7950"/>
  <c r="T54" i="7950"/>
  <c r="T30" i="7950"/>
  <c r="T2322" i="7950"/>
  <c r="U2322" i="7950" s="1"/>
  <c r="V2322" i="7950" s="1"/>
  <c r="W2322" i="7950" s="1"/>
  <c r="T2298" i="7950"/>
  <c r="T972" i="7950"/>
  <c r="U972" i="7950" s="1"/>
  <c r="V972" i="7950" s="1"/>
  <c r="W972" i="7950" s="1"/>
  <c r="T948" i="7950"/>
  <c r="T1620" i="7950"/>
  <c r="U1620" i="7950" s="1"/>
  <c r="V1620" i="7950" s="1"/>
  <c r="W1620" i="7950" s="1"/>
  <c r="T1596" i="7950"/>
  <c r="T1080" i="7950"/>
  <c r="U1080" i="7950" s="1"/>
  <c r="V1080" i="7950" s="1"/>
  <c r="W1080" i="7950" s="1"/>
  <c r="T1056" i="7950"/>
  <c r="S1781" i="7950"/>
  <c r="T1781" i="7950" s="1"/>
  <c r="U1781" i="7950" s="1"/>
  <c r="V1781" i="7950" s="1"/>
  <c r="W1781" i="7950" s="1"/>
  <c r="S1757" i="7950"/>
  <c r="S2159" i="7950"/>
  <c r="T2159" i="7950" s="1"/>
  <c r="U2159" i="7950" s="1"/>
  <c r="V2159" i="7950" s="1"/>
  <c r="W2159" i="7950" s="1"/>
  <c r="S2135" i="7950"/>
  <c r="S1349" i="7950"/>
  <c r="S1325" i="7950"/>
  <c r="S809" i="7950"/>
  <c r="T809" i="7950" s="1"/>
  <c r="U809" i="7950" s="1"/>
  <c r="V809" i="7950" s="1"/>
  <c r="W809" i="7950" s="1"/>
  <c r="S785" i="7950"/>
  <c r="R2428" i="7950"/>
  <c r="S2428" i="7950" s="1"/>
  <c r="T2428" i="7950" s="1"/>
  <c r="U2428" i="7950" s="1"/>
  <c r="V2428" i="7950" s="1"/>
  <c r="W2428" i="7950" s="1"/>
  <c r="R2404" i="7950"/>
  <c r="R106" i="7950"/>
  <c r="S106" i="7950" s="1"/>
  <c r="T106" i="7950" s="1"/>
  <c r="U106" i="7950" s="1"/>
  <c r="V106" i="7950" s="1"/>
  <c r="W106" i="7950" s="1"/>
  <c r="R82" i="7950"/>
  <c r="R1756" i="7950"/>
  <c r="R1780" i="7950"/>
  <c r="R592" i="7950"/>
  <c r="S592" i="7950" s="1"/>
  <c r="T592" i="7950" s="1"/>
  <c r="U592" i="7950" s="1"/>
  <c r="V592" i="7950" s="1"/>
  <c r="W592" i="7950" s="1"/>
  <c r="R568" i="7950"/>
  <c r="Q1023" i="7950"/>
  <c r="R1023" i="7950" s="1"/>
  <c r="S1023" i="7950" s="1"/>
  <c r="T1023" i="7950" s="1"/>
  <c r="U1023" i="7950" s="1"/>
  <c r="V1023" i="7950" s="1"/>
  <c r="W1023" i="7950" s="1"/>
  <c r="Q999" i="7950"/>
  <c r="Q2481" i="7950"/>
  <c r="R2481" i="7950" s="1"/>
  <c r="S2481" i="7950" s="1"/>
  <c r="T2481" i="7950" s="1"/>
  <c r="U2481" i="7950" s="1"/>
  <c r="V2481" i="7950" s="1"/>
  <c r="W2481" i="7950" s="1"/>
  <c r="Q2457" i="7950"/>
  <c r="Q2265" i="7950"/>
  <c r="R2265" i="7950" s="1"/>
  <c r="S2265" i="7950" s="1"/>
  <c r="T2265" i="7950" s="1"/>
  <c r="U2265" i="7950" s="1"/>
  <c r="V2265" i="7950" s="1"/>
  <c r="Q2241" i="7950"/>
  <c r="Q2319" i="7950"/>
  <c r="R2319" i="7950" s="1"/>
  <c r="S2319" i="7950" s="1"/>
  <c r="T2319" i="7950" s="1"/>
  <c r="U2319" i="7950" s="1"/>
  <c r="V2319" i="7950" s="1"/>
  <c r="W2319" i="7950" s="1"/>
  <c r="Q2295" i="7950"/>
  <c r="Q1779" i="7950"/>
  <c r="R1779" i="7950" s="1"/>
  <c r="S1779" i="7950" s="1"/>
  <c r="T1779" i="7950" s="1"/>
  <c r="U1779" i="7950" s="1"/>
  <c r="V1779" i="7950" s="1"/>
  <c r="W1779" i="7950" s="1"/>
  <c r="Q1755" i="7950"/>
  <c r="P914" i="7950"/>
  <c r="P890" i="7950"/>
  <c r="P158" i="7950"/>
  <c r="Q158" i="7950" s="1"/>
  <c r="R158" i="7950" s="1"/>
  <c r="S158" i="7950" s="1"/>
  <c r="T158" i="7950" s="1"/>
  <c r="U158" i="7950" s="1"/>
  <c r="V158" i="7950" s="1"/>
  <c r="W158" i="7950" s="1"/>
  <c r="P134" i="7950"/>
  <c r="P1430" i="7950"/>
  <c r="P1454" i="7950"/>
  <c r="J2636" i="7950"/>
  <c r="J2612" i="7950"/>
  <c r="O1021" i="7950"/>
  <c r="P1021" i="7950" s="1"/>
  <c r="Q1021" i="7950" s="1"/>
  <c r="R1021" i="7950" s="1"/>
  <c r="S1021" i="7950" s="1"/>
  <c r="T1021" i="7950" s="1"/>
  <c r="U1021" i="7950" s="1"/>
  <c r="V1021" i="7950" s="1"/>
  <c r="W1021" i="7950" s="1"/>
  <c r="O997" i="7950"/>
  <c r="L316" i="7950"/>
  <c r="M316" i="7950" s="1"/>
  <c r="N316" i="7950" s="1"/>
  <c r="O316" i="7950" s="1"/>
  <c r="P316" i="7950" s="1"/>
  <c r="L292" i="7950"/>
  <c r="O103" i="7950"/>
  <c r="P103" i="7950" s="1"/>
  <c r="Q103" i="7950" s="1"/>
  <c r="R103" i="7950" s="1"/>
  <c r="S103" i="7950" s="1"/>
  <c r="T103" i="7950" s="1"/>
  <c r="U103" i="7950" s="1"/>
  <c r="V103" i="7950" s="1"/>
  <c r="W103" i="7950" s="1"/>
  <c r="O79" i="7950"/>
  <c r="K1125" i="7950"/>
  <c r="L1125" i="7950" s="1"/>
  <c r="M1125" i="7950" s="1"/>
  <c r="K1101" i="7950"/>
  <c r="O1939" i="7950"/>
  <c r="O1915" i="7950"/>
  <c r="O2209" i="7950"/>
  <c r="P2209" i="7950" s="1"/>
  <c r="Q2209" i="7950" s="1"/>
  <c r="R2209" i="7950" s="1"/>
  <c r="S2209" i="7950" s="1"/>
  <c r="T2209" i="7950" s="1"/>
  <c r="U2209" i="7950" s="1"/>
  <c r="V2209" i="7950" s="1"/>
  <c r="W2209" i="7950" s="1"/>
  <c r="O2185" i="7950"/>
  <c r="U1003" i="7950"/>
  <c r="V1003" i="7950" s="1"/>
  <c r="W1003" i="7950" s="1"/>
  <c r="U463" i="7950"/>
  <c r="V463" i="7950" s="1"/>
  <c r="W463" i="7950" s="1"/>
  <c r="U1867" i="7950"/>
  <c r="V1867" i="7950" s="1"/>
  <c r="W1867" i="7950" s="1"/>
  <c r="M1805" i="7950"/>
  <c r="N1805" i="7950" s="1"/>
  <c r="O1805" i="7950" s="1"/>
  <c r="P1805" i="7950" s="1"/>
  <c r="Q1805" i="7950" s="1"/>
  <c r="T918" i="7950"/>
  <c r="U918" i="7950" s="1"/>
  <c r="V918" i="7950" s="1"/>
  <c r="W918" i="7950" s="1"/>
  <c r="T894" i="7950"/>
  <c r="T1188" i="7950"/>
  <c r="U1188" i="7950" s="1"/>
  <c r="V1188" i="7950" s="1"/>
  <c r="W1188" i="7950" s="1"/>
  <c r="T1164" i="7950"/>
  <c r="T1242" i="7950"/>
  <c r="U1242" i="7950" s="1"/>
  <c r="V1242" i="7950" s="1"/>
  <c r="W1242" i="7950" s="1"/>
  <c r="T1218" i="7950"/>
  <c r="T1728" i="7950"/>
  <c r="U1728" i="7950" s="1"/>
  <c r="V1728" i="7950" s="1"/>
  <c r="W1728" i="7950" s="1"/>
  <c r="T1704" i="7950"/>
  <c r="T1404" i="7950"/>
  <c r="U1404" i="7950" s="1"/>
  <c r="V1404" i="7950" s="1"/>
  <c r="W1404" i="7950" s="1"/>
  <c r="T1380" i="7950"/>
  <c r="T378" i="7950"/>
  <c r="U378" i="7950" s="1"/>
  <c r="V378" i="7950" s="1"/>
  <c r="W378" i="7950" s="1"/>
  <c r="T354" i="7950"/>
  <c r="T1458" i="7950"/>
  <c r="U1458" i="7950" s="1"/>
  <c r="V1458" i="7950" s="1"/>
  <c r="W1458" i="7950" s="1"/>
  <c r="T1434" i="7950"/>
  <c r="T2484" i="7950"/>
  <c r="U2484" i="7950" s="1"/>
  <c r="V2484" i="7950" s="1"/>
  <c r="W2484" i="7950" s="1"/>
  <c r="T2460" i="7950"/>
  <c r="T162" i="7950"/>
  <c r="U162" i="7950" s="1"/>
  <c r="V162" i="7950" s="1"/>
  <c r="W162" i="7950" s="1"/>
  <c r="T138" i="7950"/>
  <c r="T1566" i="7950"/>
  <c r="U1566" i="7950" s="1"/>
  <c r="V1566" i="7950" s="1"/>
  <c r="W1566" i="7950" s="1"/>
  <c r="T1542" i="7950"/>
  <c r="T1512" i="7950"/>
  <c r="U1512" i="7950" s="1"/>
  <c r="V1512" i="7950" s="1"/>
  <c r="W1512" i="7950" s="1"/>
  <c r="T1488" i="7950"/>
  <c r="S593" i="7950"/>
  <c r="S569" i="7950"/>
  <c r="S2645" i="7950"/>
  <c r="T2645" i="7950" s="1"/>
  <c r="U2645" i="7950" s="1"/>
  <c r="V2645" i="7950" s="1"/>
  <c r="W2645" i="7950" s="1"/>
  <c r="S2621" i="7950"/>
  <c r="S1187" i="7950"/>
  <c r="T1187" i="7950" s="1"/>
  <c r="U1187" i="7950" s="1"/>
  <c r="V1187" i="7950" s="1"/>
  <c r="W1187" i="7950" s="1"/>
  <c r="S1163" i="7950"/>
  <c r="S1457" i="7950"/>
  <c r="T1457" i="7950" s="1"/>
  <c r="U1457" i="7950" s="1"/>
  <c r="V1457" i="7950" s="1"/>
  <c r="W1457" i="7950" s="1"/>
  <c r="S1433" i="7950"/>
  <c r="S1943" i="7950"/>
  <c r="S1919" i="7950"/>
  <c r="S107" i="7950"/>
  <c r="T107" i="7950" s="1"/>
  <c r="U107" i="7950" s="1"/>
  <c r="V107" i="7950" s="1"/>
  <c r="W107" i="7950" s="1"/>
  <c r="S83" i="7950"/>
  <c r="S2051" i="7950"/>
  <c r="S2027" i="7950"/>
  <c r="S161" i="7950"/>
  <c r="T161" i="7950" s="1"/>
  <c r="U161" i="7950" s="1"/>
  <c r="V161" i="7950" s="1"/>
  <c r="W161" i="7950" s="1"/>
  <c r="S137" i="7950"/>
  <c r="S53" i="7950"/>
  <c r="S29" i="7950"/>
  <c r="S2429" i="7950"/>
  <c r="T2429" i="7950" s="1"/>
  <c r="U2429" i="7950" s="1"/>
  <c r="V2429" i="7950" s="1"/>
  <c r="W2429" i="7950" s="1"/>
  <c r="S2405" i="7950"/>
  <c r="S2213" i="7950"/>
  <c r="T2213" i="7950" s="1"/>
  <c r="U2213" i="7950" s="1"/>
  <c r="V2213" i="7950" s="1"/>
  <c r="W2213" i="7950" s="1"/>
  <c r="S2189" i="7950"/>
  <c r="S1673" i="7950"/>
  <c r="T1673" i="7950" s="1"/>
  <c r="U1673" i="7950" s="1"/>
  <c r="V1673" i="7950" s="1"/>
  <c r="W1673" i="7950" s="1"/>
  <c r="S1649" i="7950"/>
  <c r="R646" i="7950"/>
  <c r="S646" i="7950" s="1"/>
  <c r="T646" i="7950" s="1"/>
  <c r="U646" i="7950" s="1"/>
  <c r="V646" i="7950" s="1"/>
  <c r="W646" i="7950" s="1"/>
  <c r="R622" i="7950"/>
  <c r="R1726" i="7950"/>
  <c r="S1726" i="7950" s="1"/>
  <c r="T1726" i="7950" s="1"/>
  <c r="U1726" i="7950" s="1"/>
  <c r="V1726" i="7950" s="1"/>
  <c r="W1726" i="7950" s="1"/>
  <c r="R1702" i="7950"/>
  <c r="R268" i="7950"/>
  <c r="S268" i="7950" s="1"/>
  <c r="T268" i="7950" s="1"/>
  <c r="U268" i="7950" s="1"/>
  <c r="V268" i="7950" s="1"/>
  <c r="W268" i="7950" s="1"/>
  <c r="R244" i="7950"/>
  <c r="R1054" i="7950"/>
  <c r="R1078" i="7950"/>
  <c r="R352" i="7950"/>
  <c r="R376" i="7950"/>
  <c r="R2104" i="7950"/>
  <c r="S2104" i="7950" s="1"/>
  <c r="T2104" i="7950" s="1"/>
  <c r="U2104" i="7950" s="1"/>
  <c r="V2104" i="7950" s="1"/>
  <c r="W2104" i="7950" s="1"/>
  <c r="R2080" i="7950"/>
  <c r="R460" i="7950"/>
  <c r="R484" i="7950"/>
  <c r="R2212" i="7950"/>
  <c r="S2212" i="7950" s="1"/>
  <c r="T2212" i="7950" s="1"/>
  <c r="U2212" i="7950" s="1"/>
  <c r="V2212" i="7950" s="1"/>
  <c r="W2212" i="7950" s="1"/>
  <c r="R2188" i="7950"/>
  <c r="R1294" i="7950"/>
  <c r="R1270" i="7950"/>
  <c r="R322" i="7950"/>
  <c r="S322" i="7950" s="1"/>
  <c r="T322" i="7950" s="1"/>
  <c r="U322" i="7950" s="1"/>
  <c r="V322" i="7950" s="1"/>
  <c r="W322" i="7950" s="1"/>
  <c r="R298" i="7950"/>
  <c r="R1024" i="7950"/>
  <c r="S1024" i="7950" s="1"/>
  <c r="T1024" i="7950" s="1"/>
  <c r="U1024" i="7950" s="1"/>
  <c r="V1024" i="7950" s="1"/>
  <c r="W1024" i="7950" s="1"/>
  <c r="R1000" i="7950"/>
  <c r="Q2103" i="7950"/>
  <c r="Q2079" i="7950"/>
  <c r="Q699" i="7950"/>
  <c r="R699" i="7950" s="1"/>
  <c r="S699" i="7950" s="1"/>
  <c r="T699" i="7950" s="1"/>
  <c r="U699" i="7950" s="1"/>
  <c r="V699" i="7950" s="1"/>
  <c r="W699" i="7950" s="1"/>
  <c r="Q675" i="7950"/>
  <c r="Q2535" i="7950"/>
  <c r="Q2511" i="7950"/>
  <c r="Q1995" i="7950"/>
  <c r="Q1971" i="7950"/>
  <c r="Q1887" i="7950"/>
  <c r="Q1863" i="7950"/>
  <c r="Q2049" i="7950"/>
  <c r="R2049" i="7950" s="1"/>
  <c r="S2049" i="7950" s="1"/>
  <c r="T2049" i="7950" s="1"/>
  <c r="U2049" i="7950" s="1"/>
  <c r="V2049" i="7950" s="1"/>
  <c r="W2049" i="7950" s="1"/>
  <c r="Q2025" i="7950"/>
  <c r="Q1509" i="7950"/>
  <c r="Q1485" i="7950"/>
  <c r="P1346" i="7950"/>
  <c r="P1322" i="7950"/>
  <c r="P266" i="7950"/>
  <c r="Q266" i="7950" s="1"/>
  <c r="R266" i="7950" s="1"/>
  <c r="S266" i="7950" s="1"/>
  <c r="T266" i="7950" s="1"/>
  <c r="U266" i="7950" s="1"/>
  <c r="V266" i="7950" s="1"/>
  <c r="W266" i="7950" s="1"/>
  <c r="P242" i="7950"/>
  <c r="P2480" i="7950"/>
  <c r="Q2480" i="7950" s="1"/>
  <c r="R2480" i="7950" s="1"/>
  <c r="S2480" i="7950" s="1"/>
  <c r="T2480" i="7950" s="1"/>
  <c r="U2480" i="7950" s="1"/>
  <c r="V2480" i="7950" s="1"/>
  <c r="W2480" i="7950" s="1"/>
  <c r="P2456" i="7950"/>
  <c r="P806" i="7950"/>
  <c r="Q806" i="7950" s="1"/>
  <c r="R806" i="7950" s="1"/>
  <c r="S806" i="7950" s="1"/>
  <c r="T806" i="7950" s="1"/>
  <c r="U806" i="7950" s="1"/>
  <c r="V806" i="7950" s="1"/>
  <c r="W806" i="7950" s="1"/>
  <c r="P782" i="7950"/>
  <c r="P428" i="7950"/>
  <c r="Q428" i="7950" s="1"/>
  <c r="R428" i="7950" s="1"/>
  <c r="S428" i="7950" s="1"/>
  <c r="T428" i="7950" s="1"/>
  <c r="U428" i="7950" s="1"/>
  <c r="V428" i="7950" s="1"/>
  <c r="W428" i="7950" s="1"/>
  <c r="P404" i="7950"/>
  <c r="P2156" i="7950"/>
  <c r="Q2156" i="7950" s="1"/>
  <c r="R2156" i="7950" s="1"/>
  <c r="S2156" i="7950" s="1"/>
  <c r="T2156" i="7950" s="1"/>
  <c r="U2156" i="7950" s="1"/>
  <c r="V2156" i="7950" s="1"/>
  <c r="W2156" i="7950" s="1"/>
  <c r="P2132" i="7950"/>
  <c r="P1778" i="7950"/>
  <c r="P1754" i="7950"/>
  <c r="P104" i="7950"/>
  <c r="Q104" i="7950" s="1"/>
  <c r="R104" i="7950" s="1"/>
  <c r="S104" i="7950" s="1"/>
  <c r="T104" i="7950" s="1"/>
  <c r="U104" i="7950" s="1"/>
  <c r="V104" i="7950" s="1"/>
  <c r="W104" i="7950" s="1"/>
  <c r="P80" i="7950"/>
  <c r="P1832" i="7950"/>
  <c r="P1808" i="7950"/>
  <c r="P752" i="7950"/>
  <c r="P728" i="7950"/>
  <c r="P1508" i="7950"/>
  <c r="Q1508" i="7950" s="1"/>
  <c r="R1508" i="7950" s="1"/>
  <c r="S1508" i="7950" s="1"/>
  <c r="T1508" i="7950" s="1"/>
  <c r="U1508" i="7950" s="1"/>
  <c r="V1508" i="7950" s="1"/>
  <c r="W1508" i="7950" s="1"/>
  <c r="P1484" i="7950"/>
  <c r="O427" i="7950"/>
  <c r="P427" i="7950" s="1"/>
  <c r="Q427" i="7950" s="1"/>
  <c r="R427" i="7950" s="1"/>
  <c r="S427" i="7950" s="1"/>
  <c r="T427" i="7950" s="1"/>
  <c r="U427" i="7950" s="1"/>
  <c r="V427" i="7950" s="1"/>
  <c r="W427" i="7950" s="1"/>
  <c r="O403" i="7950"/>
  <c r="O1615" i="7950"/>
  <c r="P1615" i="7950" s="1"/>
  <c r="Q1615" i="7950" s="1"/>
  <c r="R1615" i="7950" s="1"/>
  <c r="S1615" i="7950" s="1"/>
  <c r="T1615" i="7950" s="1"/>
  <c r="U1615" i="7950" s="1"/>
  <c r="V1615" i="7950" s="1"/>
  <c r="W1615" i="7950" s="1"/>
  <c r="O1591" i="7950"/>
  <c r="O913" i="7950"/>
  <c r="P913" i="7950" s="1"/>
  <c r="Q913" i="7950" s="1"/>
  <c r="R913" i="7950" s="1"/>
  <c r="S913" i="7950" s="1"/>
  <c r="T913" i="7950" s="1"/>
  <c r="U913" i="7950" s="1"/>
  <c r="V913" i="7950" s="1"/>
  <c r="W913" i="7950" s="1"/>
  <c r="O889" i="7950"/>
  <c r="L1558" i="7950"/>
  <c r="M1558" i="7950" s="1"/>
  <c r="N1558" i="7950" s="1"/>
  <c r="O1558" i="7950" s="1"/>
  <c r="P1558" i="7950" s="1"/>
  <c r="L1534" i="7950"/>
  <c r="L910" i="7950"/>
  <c r="M910" i="7950" s="1"/>
  <c r="N910" i="7950" s="1"/>
  <c r="L886" i="7950"/>
  <c r="J1016" i="7950"/>
  <c r="J992" i="7950"/>
  <c r="O2695" i="7950"/>
  <c r="P2695" i="7950" s="1"/>
  <c r="Q2695" i="7950" s="1"/>
  <c r="R2695" i="7950" s="1"/>
  <c r="S2695" i="7950" s="1"/>
  <c r="T2695" i="7950" s="1"/>
  <c r="U2695" i="7950" s="1"/>
  <c r="V2695" i="7950" s="1"/>
  <c r="W2695" i="7950" s="1"/>
  <c r="O2671" i="7950"/>
  <c r="L856" i="7950"/>
  <c r="M856" i="7950" s="1"/>
  <c r="N856" i="7950" s="1"/>
  <c r="L832" i="7950"/>
  <c r="O643" i="7950"/>
  <c r="P643" i="7950" s="1"/>
  <c r="Q643" i="7950" s="1"/>
  <c r="R643" i="7950" s="1"/>
  <c r="S643" i="7950" s="1"/>
  <c r="T643" i="7950" s="1"/>
  <c r="U643" i="7950" s="1"/>
  <c r="V643" i="7950" s="1"/>
  <c r="W643" i="7950" s="1"/>
  <c r="O619" i="7950"/>
  <c r="L1774" i="7950"/>
  <c r="M1774" i="7950" s="1"/>
  <c r="N1774" i="7950" s="1"/>
  <c r="L1750" i="7950"/>
  <c r="L424" i="7950"/>
  <c r="M424" i="7950" s="1"/>
  <c r="N424" i="7950" s="1"/>
  <c r="O424" i="7950" s="1"/>
  <c r="P424" i="7950" s="1"/>
  <c r="L400" i="7950"/>
  <c r="K1017" i="7950"/>
  <c r="L1017" i="7950" s="1"/>
  <c r="M1017" i="7950" s="1"/>
  <c r="K993" i="7950"/>
  <c r="K1773" i="7950"/>
  <c r="L1773" i="7950" s="1"/>
  <c r="M1773" i="7950" s="1"/>
  <c r="N1773" i="7950" s="1"/>
  <c r="O1773" i="7950" s="1"/>
  <c r="K1749" i="7950"/>
  <c r="J1532" i="7950"/>
  <c r="J1556" i="7950"/>
  <c r="J1826" i="7950"/>
  <c r="J1802" i="7950"/>
  <c r="J746" i="7950"/>
  <c r="J722" i="7950"/>
  <c r="O2155" i="7950"/>
  <c r="P2155" i="7950" s="1"/>
  <c r="Q2155" i="7950" s="1"/>
  <c r="R2155" i="7950" s="1"/>
  <c r="S2155" i="7950" s="1"/>
  <c r="T2155" i="7950" s="1"/>
  <c r="U2155" i="7950" s="1"/>
  <c r="V2155" i="7950" s="1"/>
  <c r="W2155" i="7950" s="1"/>
  <c r="O2131" i="7950"/>
  <c r="L1666" i="7950"/>
  <c r="M1666" i="7950" s="1"/>
  <c r="N1666" i="7950" s="1"/>
  <c r="O1666" i="7950" s="1"/>
  <c r="P1666" i="7950" s="1"/>
  <c r="L1642" i="7950"/>
  <c r="L2314" i="7950"/>
  <c r="M2314" i="7950" s="1"/>
  <c r="N2314" i="7950" s="1"/>
  <c r="O2314" i="7950" s="1"/>
  <c r="P2314" i="7950" s="1"/>
  <c r="L2290" i="7950"/>
  <c r="K1935" i="7950"/>
  <c r="L1935" i="7950" s="1"/>
  <c r="M1935" i="7950" s="1"/>
  <c r="N1935" i="7950" s="1"/>
  <c r="O1935" i="7950" s="1"/>
  <c r="K1911" i="7950"/>
  <c r="J1988" i="7950"/>
  <c r="J1964" i="7950"/>
  <c r="J368" i="7950"/>
  <c r="J1880" i="7950"/>
  <c r="J1856" i="7950"/>
  <c r="O1453" i="7950"/>
  <c r="O1429" i="7950"/>
  <c r="O835" i="7950"/>
  <c r="P835" i="7950" s="1"/>
  <c r="Q835" i="7950" s="1"/>
  <c r="R835" i="7950" s="1"/>
  <c r="S835" i="7950" s="1"/>
  <c r="T835" i="7950" s="1"/>
  <c r="U835" i="7950" s="1"/>
  <c r="V835" i="7950" s="1"/>
  <c r="W835" i="7950" s="1"/>
  <c r="O1399" i="7950"/>
  <c r="P1399" i="7950" s="1"/>
  <c r="Q1399" i="7950" s="1"/>
  <c r="R1399" i="7950" s="1"/>
  <c r="S1399" i="7950" s="1"/>
  <c r="T1399" i="7950" s="1"/>
  <c r="U1399" i="7950" s="1"/>
  <c r="V1399" i="7950" s="1"/>
  <c r="W1399" i="7950" s="1"/>
  <c r="O1375" i="7950"/>
  <c r="L262" i="7950"/>
  <c r="M262" i="7950" s="1"/>
  <c r="N262" i="7950" s="1"/>
  <c r="O262" i="7950" s="1"/>
  <c r="L238" i="7950"/>
  <c r="K207" i="7950"/>
  <c r="L207" i="7950" s="1"/>
  <c r="M207" i="7950" s="1"/>
  <c r="K183" i="7950"/>
  <c r="K1989" i="7950"/>
  <c r="L1989" i="7950" s="1"/>
  <c r="M1989" i="7950" s="1"/>
  <c r="K1965" i="7950"/>
  <c r="J2204" i="7950"/>
  <c r="J2180" i="7950"/>
  <c r="J398" i="7950"/>
  <c r="J422" i="7950"/>
  <c r="J1610" i="7950"/>
  <c r="J1586" i="7950"/>
  <c r="J152" i="7950"/>
  <c r="K152" i="7950" s="1"/>
  <c r="L152" i="7950" s="1"/>
  <c r="M152" i="7950" s="1"/>
  <c r="N152" i="7950" s="1"/>
  <c r="T2052" i="7950"/>
  <c r="U2052" i="7950" s="1"/>
  <c r="V2052" i="7950" s="1"/>
  <c r="W2052" i="7950" s="1"/>
  <c r="T2028" i="7950"/>
  <c r="T2538" i="7950"/>
  <c r="U2538" i="7950" s="1"/>
  <c r="V2538" i="7950" s="1"/>
  <c r="W2538" i="7950" s="1"/>
  <c r="T2514" i="7950"/>
  <c r="T1890" i="7950"/>
  <c r="U1890" i="7950" s="1"/>
  <c r="V1890" i="7950" s="1"/>
  <c r="W1890" i="7950" s="1"/>
  <c r="T1866" i="7950"/>
  <c r="T432" i="7950"/>
  <c r="U432" i="7950" s="1"/>
  <c r="V432" i="7950" s="1"/>
  <c r="W432" i="7950" s="1"/>
  <c r="T408" i="7950"/>
  <c r="T2160" i="7950"/>
  <c r="U2160" i="7950" s="1"/>
  <c r="V2160" i="7950" s="1"/>
  <c r="W2160" i="7950" s="1"/>
  <c r="T2136" i="7950"/>
  <c r="T2106" i="7950"/>
  <c r="U2106" i="7950" s="1"/>
  <c r="V2106" i="7950" s="1"/>
  <c r="W2106" i="7950" s="1"/>
  <c r="T2082" i="7950"/>
  <c r="T108" i="7950"/>
  <c r="U108" i="7950" s="1"/>
  <c r="V108" i="7950" s="1"/>
  <c r="W108" i="7950" s="1"/>
  <c r="T84" i="7950"/>
  <c r="T1836" i="7950"/>
  <c r="U1836" i="7950" s="1"/>
  <c r="V1836" i="7950" s="1"/>
  <c r="W1836" i="7950" s="1"/>
  <c r="T1812" i="7950"/>
  <c r="T810" i="7950"/>
  <c r="U810" i="7950" s="1"/>
  <c r="V810" i="7950" s="1"/>
  <c r="W810" i="7950" s="1"/>
  <c r="T786" i="7950"/>
  <c r="T216" i="7950"/>
  <c r="U216" i="7950" s="1"/>
  <c r="V216" i="7950" s="1"/>
  <c r="W216" i="7950" s="1"/>
  <c r="T192" i="7950"/>
  <c r="T1944" i="7950"/>
  <c r="U1944" i="7950" s="1"/>
  <c r="V1944" i="7950" s="1"/>
  <c r="W1944" i="7950" s="1"/>
  <c r="T1920" i="7950"/>
  <c r="S299" i="7950"/>
  <c r="S323" i="7950"/>
  <c r="S1727" i="7950"/>
  <c r="T1727" i="7950" s="1"/>
  <c r="U1727" i="7950" s="1"/>
  <c r="V1727" i="7950" s="1"/>
  <c r="W1727" i="7950" s="1"/>
  <c r="S1703" i="7950"/>
  <c r="S1889" i="7950"/>
  <c r="S1865" i="7950"/>
  <c r="S377" i="7950"/>
  <c r="S353" i="7950"/>
  <c r="S971" i="7950"/>
  <c r="T971" i="7950" s="1"/>
  <c r="U971" i="7950" s="1"/>
  <c r="V971" i="7950" s="1"/>
  <c r="W971" i="7950" s="1"/>
  <c r="S947" i="7950"/>
  <c r="S407" i="7950"/>
  <c r="S431" i="7950"/>
  <c r="S1403" i="7950"/>
  <c r="T1403" i="7950" s="1"/>
  <c r="U1403" i="7950" s="1"/>
  <c r="V1403" i="7950" s="1"/>
  <c r="W1403" i="7950" s="1"/>
  <c r="S1379" i="7950"/>
  <c r="S1133" i="7950"/>
  <c r="T1133" i="7950" s="1"/>
  <c r="U1133" i="7950" s="1"/>
  <c r="V1133" i="7950" s="1"/>
  <c r="W1133" i="7950" s="1"/>
  <c r="S1109" i="7950"/>
  <c r="S755" i="7950"/>
  <c r="S731" i="7950"/>
  <c r="S269" i="7950"/>
  <c r="T269" i="7950" s="1"/>
  <c r="U269" i="7950" s="1"/>
  <c r="V269" i="7950" s="1"/>
  <c r="W269" i="7950" s="1"/>
  <c r="S245" i="7950"/>
  <c r="S1025" i="7950"/>
  <c r="S1001" i="7950"/>
  <c r="S2513" i="7950"/>
  <c r="S2537" i="7950"/>
  <c r="R1132" i="7950"/>
  <c r="S1132" i="7950" s="1"/>
  <c r="T1132" i="7950" s="1"/>
  <c r="U1132" i="7950" s="1"/>
  <c r="V1132" i="7950" s="1"/>
  <c r="W1132" i="7950" s="1"/>
  <c r="R1108" i="7950"/>
  <c r="R2350" i="7950"/>
  <c r="R2374" i="7950"/>
  <c r="R2698" i="7950"/>
  <c r="R2674" i="7950"/>
  <c r="R808" i="7950"/>
  <c r="S808" i="7950" s="1"/>
  <c r="T808" i="7950" s="1"/>
  <c r="U808" i="7950" s="1"/>
  <c r="V808" i="7950" s="1"/>
  <c r="W808" i="7950" s="1"/>
  <c r="R784" i="7950"/>
  <c r="R2512" i="7950"/>
  <c r="R2536" i="7950"/>
  <c r="R1510" i="7950"/>
  <c r="S1510" i="7950" s="1"/>
  <c r="T1510" i="7950" s="1"/>
  <c r="U1510" i="7950" s="1"/>
  <c r="V1510" i="7950" s="1"/>
  <c r="W1510" i="7950" s="1"/>
  <c r="R1486" i="7950"/>
  <c r="R862" i="7950"/>
  <c r="S862" i="7950" s="1"/>
  <c r="T862" i="7950" s="1"/>
  <c r="U862" i="7950" s="1"/>
  <c r="V862" i="7950" s="1"/>
  <c r="W862" i="7950" s="1"/>
  <c r="R838" i="7950"/>
  <c r="R916" i="7950"/>
  <c r="S916" i="7950" s="1"/>
  <c r="T916" i="7950" s="1"/>
  <c r="U916" i="7950" s="1"/>
  <c r="V916" i="7950" s="1"/>
  <c r="W916" i="7950" s="1"/>
  <c r="R892" i="7950"/>
  <c r="R2644" i="7950"/>
  <c r="R2620" i="7950"/>
  <c r="R1810" i="7950"/>
  <c r="R1834" i="7950"/>
  <c r="R730" i="7950"/>
  <c r="R754" i="7950"/>
  <c r="R514" i="7950"/>
  <c r="S514" i="7950" s="1"/>
  <c r="T514" i="7950" s="1"/>
  <c r="U514" i="7950" s="1"/>
  <c r="V514" i="7950" s="1"/>
  <c r="W514" i="7950" s="1"/>
  <c r="R2050" i="7950"/>
  <c r="S2050" i="7950" s="1"/>
  <c r="T2050" i="7950" s="1"/>
  <c r="U2050" i="7950" s="1"/>
  <c r="V2050" i="7950" s="1"/>
  <c r="W2050" i="7950" s="1"/>
  <c r="R2026" i="7950"/>
  <c r="R1456" i="7950"/>
  <c r="S1456" i="7950" s="1"/>
  <c r="T1456" i="7950" s="1"/>
  <c r="U1456" i="7950" s="1"/>
  <c r="V1456" i="7950" s="1"/>
  <c r="W1456" i="7950" s="1"/>
  <c r="R1432" i="7950"/>
  <c r="Q2427" i="7950"/>
  <c r="Q2403" i="7950"/>
  <c r="Q459" i="7950"/>
  <c r="Q483" i="7950"/>
  <c r="Q1347" i="7950"/>
  <c r="R1347" i="7950" s="1"/>
  <c r="S1347" i="7950" s="1"/>
  <c r="T1347" i="7950" s="1"/>
  <c r="Q1323" i="7950"/>
  <c r="Q915" i="7950"/>
  <c r="R915" i="7950" s="1"/>
  <c r="S915" i="7950" s="1"/>
  <c r="T915" i="7950" s="1"/>
  <c r="U915" i="7950" s="1"/>
  <c r="V915" i="7950" s="1"/>
  <c r="W915" i="7950" s="1"/>
  <c r="Q891" i="7950"/>
  <c r="Q753" i="7950"/>
  <c r="R753" i="7950" s="1"/>
  <c r="S753" i="7950" s="1"/>
  <c r="T753" i="7950" s="1"/>
  <c r="U753" i="7950" s="1"/>
  <c r="V753" i="7950" s="1"/>
  <c r="W753" i="7950" s="1"/>
  <c r="Q729" i="7950"/>
  <c r="Q213" i="7950"/>
  <c r="R213" i="7950" s="1"/>
  <c r="S213" i="7950" s="1"/>
  <c r="T213" i="7950" s="1"/>
  <c r="U213" i="7950" s="1"/>
  <c r="V213" i="7950" s="1"/>
  <c r="W213" i="7950" s="1"/>
  <c r="Q189" i="7950"/>
  <c r="Q1293" i="7950"/>
  <c r="R1293" i="7950" s="1"/>
  <c r="S1293" i="7950" s="1"/>
  <c r="T1293" i="7950" s="1"/>
  <c r="U1293" i="7950" s="1"/>
  <c r="V1293" i="7950" s="1"/>
  <c r="W1293" i="7950" s="1"/>
  <c r="Q1269" i="7950"/>
  <c r="Q2157" i="7950"/>
  <c r="R2157" i="7950" s="1"/>
  <c r="S2157" i="7950" s="1"/>
  <c r="T2157" i="7950" s="1"/>
  <c r="U2157" i="7950" s="1"/>
  <c r="V2157" i="7950" s="1"/>
  <c r="W2157" i="7950" s="1"/>
  <c r="Q2133" i="7950"/>
  <c r="Q2565" i="7950"/>
  <c r="R2565" i="7950" s="1"/>
  <c r="S2565" i="7950" s="1"/>
  <c r="T2565" i="7950" s="1"/>
  <c r="U2565" i="7950" s="1"/>
  <c r="V2565" i="7950" s="1"/>
  <c r="W2565" i="7950" s="1"/>
  <c r="Q513" i="7950"/>
  <c r="Q537" i="7950"/>
  <c r="Q429" i="7950"/>
  <c r="R429" i="7950" s="1"/>
  <c r="S429" i="7950" s="1"/>
  <c r="T429" i="7950" s="1"/>
  <c r="U429" i="7950" s="1"/>
  <c r="V429" i="7950" s="1"/>
  <c r="W429" i="7950" s="1"/>
  <c r="Q405" i="7950"/>
  <c r="Q375" i="7950"/>
  <c r="Q351" i="7950"/>
  <c r="Q1563" i="7950"/>
  <c r="R1563" i="7950" s="1"/>
  <c r="S1563" i="7950" s="1"/>
  <c r="T1563" i="7950" s="1"/>
  <c r="U1563" i="7950" s="1"/>
  <c r="V1563" i="7950" s="1"/>
  <c r="W1563" i="7950" s="1"/>
  <c r="Q1539" i="7950"/>
  <c r="P374" i="7950"/>
  <c r="Q374" i="7950" s="1"/>
  <c r="R374" i="7950" s="1"/>
  <c r="S374" i="7950" s="1"/>
  <c r="T374" i="7950" s="1"/>
  <c r="U374" i="7950" s="1"/>
  <c r="V374" i="7950" s="1"/>
  <c r="W374" i="7950" s="1"/>
  <c r="P350" i="7950"/>
  <c r="P320" i="7950"/>
  <c r="Q320" i="7950" s="1"/>
  <c r="R320" i="7950" s="1"/>
  <c r="S320" i="7950" s="1"/>
  <c r="T320" i="7950" s="1"/>
  <c r="U320" i="7950" s="1"/>
  <c r="V320" i="7950" s="1"/>
  <c r="W320" i="7950" s="1"/>
  <c r="P296" i="7950"/>
  <c r="P2102" i="7950"/>
  <c r="P2078" i="7950"/>
  <c r="P698" i="7950"/>
  <c r="Q698" i="7950" s="1"/>
  <c r="R698" i="7950" s="1"/>
  <c r="S698" i="7950" s="1"/>
  <c r="T698" i="7950" s="1"/>
  <c r="U698" i="7950" s="1"/>
  <c r="V698" i="7950" s="1"/>
  <c r="W698" i="7950" s="1"/>
  <c r="P674" i="7950"/>
  <c r="P590" i="7950"/>
  <c r="Q590" i="7950" s="1"/>
  <c r="R590" i="7950" s="1"/>
  <c r="S590" i="7950" s="1"/>
  <c r="T590" i="7950" s="1"/>
  <c r="U590" i="7950" s="1"/>
  <c r="V590" i="7950" s="1"/>
  <c r="W590" i="7950" s="1"/>
  <c r="P566" i="7950"/>
  <c r="P860" i="7950"/>
  <c r="P836" i="7950"/>
  <c r="P2588" i="7950"/>
  <c r="P2564" i="7950"/>
  <c r="P1670" i="7950"/>
  <c r="Q1670" i="7950" s="1"/>
  <c r="R1670" i="7950" s="1"/>
  <c r="S1670" i="7950" s="1"/>
  <c r="T1670" i="7950" s="1"/>
  <c r="U1670" i="7950" s="1"/>
  <c r="V1670" i="7950" s="1"/>
  <c r="W1670" i="7950" s="1"/>
  <c r="P1646" i="7950"/>
  <c r="P536" i="7950"/>
  <c r="Q536" i="7950" s="1"/>
  <c r="R536" i="7950" s="1"/>
  <c r="S536" i="7950" s="1"/>
  <c r="T536" i="7950" s="1"/>
  <c r="U536" i="7950" s="1"/>
  <c r="V536" i="7950" s="1"/>
  <c r="W536" i="7950" s="1"/>
  <c r="P512" i="7950"/>
  <c r="P2264" i="7950"/>
  <c r="Q2264" i="7950" s="1"/>
  <c r="R2264" i="7950" s="1"/>
  <c r="S2264" i="7950" s="1"/>
  <c r="T2264" i="7950" s="1"/>
  <c r="U2264" i="7950" s="1"/>
  <c r="V2264" i="7950" s="1"/>
  <c r="W2264" i="7950" s="1"/>
  <c r="P2240" i="7950"/>
  <c r="P2048" i="7950"/>
  <c r="Q2048" i="7950" s="1"/>
  <c r="R2048" i="7950" s="1"/>
  <c r="S2048" i="7950" s="1"/>
  <c r="T2048" i="7950" s="1"/>
  <c r="U2048" i="7950" s="1"/>
  <c r="V2048" i="7950" s="1"/>
  <c r="W2048" i="7950" s="1"/>
  <c r="P2024" i="7950"/>
  <c r="P2642" i="7950"/>
  <c r="P2618" i="7950"/>
  <c r="P212" i="7950"/>
  <c r="Q212" i="7950" s="1"/>
  <c r="R212" i="7950" s="1"/>
  <c r="S212" i="7950" s="1"/>
  <c r="T212" i="7950" s="1"/>
  <c r="U212" i="7950" s="1"/>
  <c r="V212" i="7950" s="1"/>
  <c r="W212" i="7950" s="1"/>
  <c r="P188" i="7950"/>
  <c r="P1940" i="7950"/>
  <c r="Q1940" i="7950" s="1"/>
  <c r="R1940" i="7950" s="1"/>
  <c r="S1940" i="7950" s="1"/>
  <c r="T1940" i="7950" s="1"/>
  <c r="U1940" i="7950" s="1"/>
  <c r="V1940" i="7950" s="1"/>
  <c r="W1940" i="7950" s="1"/>
  <c r="P1916" i="7950"/>
  <c r="O697" i="7950"/>
  <c r="P697" i="7950" s="1"/>
  <c r="Q697" i="7950" s="1"/>
  <c r="R697" i="7950" s="1"/>
  <c r="S697" i="7950" s="1"/>
  <c r="T697" i="7950" s="1"/>
  <c r="U697" i="7950" s="1"/>
  <c r="V697" i="7950" s="1"/>
  <c r="W697" i="7950" s="1"/>
  <c r="O673" i="7950"/>
  <c r="L1288" i="7950"/>
  <c r="M1288" i="7950" s="1"/>
  <c r="L1264" i="7950"/>
  <c r="J2312" i="7950"/>
  <c r="J2288" i="7950"/>
  <c r="J1502" i="7950"/>
  <c r="J1478" i="7950"/>
  <c r="L2044" i="7950"/>
  <c r="M2044" i="7950" s="1"/>
  <c r="N2044" i="7950" s="1"/>
  <c r="L2020" i="7950"/>
  <c r="K2097" i="7950"/>
  <c r="L2097" i="7950" s="1"/>
  <c r="M2097" i="7950" s="1"/>
  <c r="N2097" i="7950" s="1"/>
  <c r="O2097" i="7950" s="1"/>
  <c r="K2073" i="7950"/>
  <c r="J1046" i="7950"/>
  <c r="J1070" i="7950"/>
  <c r="O2425" i="7950"/>
  <c r="P2425" i="7950" s="1"/>
  <c r="Q2425" i="7950" s="1"/>
  <c r="R2425" i="7950" s="1"/>
  <c r="S2425" i="7950" s="1"/>
  <c r="T2425" i="7950" s="1"/>
  <c r="U2425" i="7950" s="1"/>
  <c r="V2425" i="7950" s="1"/>
  <c r="W2425" i="7950" s="1"/>
  <c r="O2401" i="7950"/>
  <c r="L2692" i="7950"/>
  <c r="M2692" i="7950" s="1"/>
  <c r="N2692" i="7950" s="1"/>
  <c r="O2692" i="7950" s="1"/>
  <c r="P2692" i="7950" s="1"/>
  <c r="L2668" i="7950"/>
  <c r="K909" i="7950"/>
  <c r="L909" i="7950" s="1"/>
  <c r="M909" i="7950" s="1"/>
  <c r="N909" i="7950" s="1"/>
  <c r="O909" i="7950" s="1"/>
  <c r="K885" i="7950"/>
  <c r="J98" i="7950"/>
  <c r="J476" i="7950"/>
  <c r="J452" i="7950"/>
  <c r="K153" i="7950"/>
  <c r="L153" i="7950" s="1"/>
  <c r="M153" i="7950" s="1"/>
  <c r="N153" i="7950" s="1"/>
  <c r="O153" i="7950" s="1"/>
  <c r="K129" i="7950"/>
  <c r="O265" i="7950"/>
  <c r="O241" i="7950"/>
  <c r="O1507" i="7950"/>
  <c r="O1483" i="7950"/>
  <c r="O1777" i="7950"/>
  <c r="O1753" i="7950"/>
  <c r="K1341" i="7950"/>
  <c r="L1341" i="7950" s="1"/>
  <c r="M1341" i="7950" s="1"/>
  <c r="N1341" i="7950" s="1"/>
  <c r="O1341" i="7950" s="1"/>
  <c r="P1341" i="7950" s="1"/>
  <c r="Q1341" i="7950" s="1"/>
  <c r="R1341" i="7950" s="1"/>
  <c r="S1341" i="7950" s="1"/>
  <c r="T1341" i="7950" s="1"/>
  <c r="U1341" i="7950" s="1"/>
  <c r="V1341" i="7950" s="1"/>
  <c r="W1341" i="7950" s="1"/>
  <c r="K1317" i="7950"/>
  <c r="J2504" i="7950"/>
  <c r="J2528" i="7950"/>
  <c r="J800" i="7950"/>
  <c r="J776" i="7950"/>
  <c r="J1340" i="7950"/>
  <c r="K1340" i="7950" s="1"/>
  <c r="L1340" i="7950" s="1"/>
  <c r="M1340" i="7950" s="1"/>
  <c r="N1340" i="7950" s="1"/>
  <c r="O1340" i="7950" s="1"/>
  <c r="P1340" i="7950" s="1"/>
  <c r="Q1340" i="7950" s="1"/>
  <c r="R1340" i="7950" s="1"/>
  <c r="S1340" i="7950" s="1"/>
  <c r="T1340" i="7950" s="1"/>
  <c r="U1340" i="7950" s="1"/>
  <c r="V1340" i="7950" s="1"/>
  <c r="W1340" i="7950" s="1"/>
  <c r="J1316" i="7950"/>
  <c r="O1723" i="7950"/>
  <c r="P1723" i="7950" s="1"/>
  <c r="Q1723" i="7950" s="1"/>
  <c r="R1723" i="7950" s="1"/>
  <c r="S1723" i="7950" s="1"/>
  <c r="T1723" i="7950" s="1"/>
  <c r="U1723" i="7950" s="1"/>
  <c r="V1723" i="7950" s="1"/>
  <c r="W1723" i="7950" s="1"/>
  <c r="O1699" i="7950"/>
  <c r="O751" i="7950"/>
  <c r="P751" i="7950" s="1"/>
  <c r="Q751" i="7950" s="1"/>
  <c r="R751" i="7950" s="1"/>
  <c r="S751" i="7950" s="1"/>
  <c r="T751" i="7950" s="1"/>
  <c r="U751" i="7950" s="1"/>
  <c r="V751" i="7950" s="1"/>
  <c r="W751" i="7950" s="1"/>
  <c r="O727" i="7950"/>
  <c r="O211" i="7950"/>
  <c r="O187" i="7950"/>
  <c r="O481" i="7950"/>
  <c r="P481" i="7950" s="1"/>
  <c r="Q481" i="7950" s="1"/>
  <c r="R481" i="7950" s="1"/>
  <c r="S481" i="7950" s="1"/>
  <c r="T481" i="7950" s="1"/>
  <c r="U481" i="7950" s="1"/>
  <c r="V481" i="7950" s="1"/>
  <c r="W481" i="7950" s="1"/>
  <c r="O457" i="7950"/>
  <c r="L154" i="7950"/>
  <c r="M154" i="7950" s="1"/>
  <c r="N154" i="7950" s="1"/>
  <c r="O154" i="7950" s="1"/>
  <c r="P154" i="7950" s="1"/>
  <c r="L130" i="7950"/>
  <c r="L748" i="7950"/>
  <c r="M748" i="7950" s="1"/>
  <c r="N748" i="7950" s="1"/>
  <c r="O748" i="7950" s="1"/>
  <c r="P748" i="7950" s="1"/>
  <c r="L724" i="7950"/>
  <c r="J2690" i="7950"/>
  <c r="J2666" i="7950"/>
  <c r="J1262" i="7950"/>
  <c r="J1286" i="7950"/>
  <c r="O1291" i="7950"/>
  <c r="P1291" i="7950" s="1"/>
  <c r="Q1291" i="7950" s="1"/>
  <c r="R1291" i="7950" s="1"/>
  <c r="S1291" i="7950" s="1"/>
  <c r="T1291" i="7950" s="1"/>
  <c r="U1291" i="7950" s="1"/>
  <c r="V1291" i="7950" s="1"/>
  <c r="W1291" i="7950" s="1"/>
  <c r="O1267" i="7950"/>
  <c r="O2317" i="7950"/>
  <c r="O2293" i="7950"/>
  <c r="O2263" i="7950"/>
  <c r="P2263" i="7950" s="1"/>
  <c r="Q2263" i="7950" s="1"/>
  <c r="R2263" i="7950" s="1"/>
  <c r="S2263" i="7950" s="1"/>
  <c r="T2263" i="7950" s="1"/>
  <c r="U2263" i="7950" s="1"/>
  <c r="V2263" i="7950" s="1"/>
  <c r="W2263" i="7950" s="1"/>
  <c r="O2239" i="7950"/>
  <c r="L2422" i="7950"/>
  <c r="M2422" i="7950" s="1"/>
  <c r="N2422" i="7950" s="1"/>
  <c r="O2422" i="7950" s="1"/>
  <c r="P2422" i="7950" s="1"/>
  <c r="L2398" i="7950"/>
  <c r="K45" i="7950"/>
  <c r="L45" i="7950" s="1"/>
  <c r="M45" i="7950" s="1"/>
  <c r="N45" i="7950" s="1"/>
  <c r="O45" i="7950" s="1"/>
  <c r="P45" i="7950" s="1"/>
  <c r="Q45" i="7950" s="1"/>
  <c r="R45" i="7950" s="1"/>
  <c r="S45" i="7950" s="1"/>
  <c r="T45" i="7950" s="1"/>
  <c r="U45" i="7950" s="1"/>
  <c r="V45" i="7950" s="1"/>
  <c r="W45" i="7950" s="1"/>
  <c r="K21" i="7950"/>
  <c r="K1611" i="7950"/>
  <c r="L1611" i="7950" s="1"/>
  <c r="M1611" i="7950" s="1"/>
  <c r="N1611" i="7950" s="1"/>
  <c r="O1611" i="7950" s="1"/>
  <c r="K1587" i="7950"/>
  <c r="K369" i="7950"/>
  <c r="L369" i="7950" s="1"/>
  <c r="M369" i="7950" s="1"/>
  <c r="N369" i="7950" s="1"/>
  <c r="O369" i="7950" s="1"/>
  <c r="K345" i="7950"/>
  <c r="K1233" i="7950"/>
  <c r="L1233" i="7950" s="1"/>
  <c r="M1233" i="7950" s="1"/>
  <c r="K1209" i="7950"/>
  <c r="J2096" i="7950"/>
  <c r="J2072" i="7950"/>
  <c r="J506" i="7950"/>
  <c r="J530" i="7950"/>
  <c r="T2430" i="7950"/>
  <c r="U2430" i="7950" s="1"/>
  <c r="V2430" i="7950" s="1"/>
  <c r="W2430" i="7950" s="1"/>
  <c r="T2406" i="7950"/>
  <c r="T1674" i="7950"/>
  <c r="U1674" i="7950" s="1"/>
  <c r="V1674" i="7950" s="1"/>
  <c r="W1674" i="7950" s="1"/>
  <c r="T1650" i="7950"/>
  <c r="T864" i="7950"/>
  <c r="U864" i="7950" s="1"/>
  <c r="V864" i="7950" s="1"/>
  <c r="W864" i="7950" s="1"/>
  <c r="T840" i="7950"/>
  <c r="T2592" i="7950"/>
  <c r="U2592" i="7950" s="1"/>
  <c r="V2592" i="7950" s="1"/>
  <c r="W2592" i="7950" s="1"/>
  <c r="T2568" i="7950"/>
  <c r="T1998" i="7950"/>
  <c r="U1998" i="7950" s="1"/>
  <c r="V1998" i="7950" s="1"/>
  <c r="W1998" i="7950" s="1"/>
  <c r="T1974" i="7950"/>
  <c r="T594" i="7950"/>
  <c r="U594" i="7950" s="1"/>
  <c r="V594" i="7950" s="1"/>
  <c r="W594" i="7950" s="1"/>
  <c r="T570" i="7950"/>
  <c r="T540" i="7950"/>
  <c r="U540" i="7950" s="1"/>
  <c r="V540" i="7950" s="1"/>
  <c r="W540" i="7950" s="1"/>
  <c r="T516" i="7950"/>
  <c r="T2268" i="7950"/>
  <c r="U2268" i="7950" s="1"/>
  <c r="V2268" i="7950" s="1"/>
  <c r="W2268" i="7950" s="1"/>
  <c r="T2244" i="7950"/>
  <c r="T270" i="7950"/>
  <c r="U270" i="7950" s="1"/>
  <c r="V270" i="7950" s="1"/>
  <c r="W270" i="7950" s="1"/>
  <c r="T246" i="7950"/>
  <c r="T2646" i="7950"/>
  <c r="U2646" i="7950" s="1"/>
  <c r="V2646" i="7950" s="1"/>
  <c r="W2646" i="7950" s="1"/>
  <c r="T2622" i="7950"/>
  <c r="T324" i="7950"/>
  <c r="U324" i="7950" s="1"/>
  <c r="V324" i="7950" s="1"/>
  <c r="W324" i="7950" s="1"/>
  <c r="T300" i="7950"/>
  <c r="T1134" i="7950"/>
  <c r="U1134" i="7950" s="1"/>
  <c r="V1134" i="7950" s="1"/>
  <c r="W1134" i="7950" s="1"/>
  <c r="T1110" i="7950"/>
  <c r="T702" i="7950"/>
  <c r="U702" i="7950" s="1"/>
  <c r="V702" i="7950" s="1"/>
  <c r="W702" i="7950" s="1"/>
  <c r="T678" i="7950"/>
  <c r="T1026" i="7950"/>
  <c r="U1026" i="7950" s="1"/>
  <c r="V1026" i="7950" s="1"/>
  <c r="W1026" i="7950" s="1"/>
  <c r="T1002" i="7950"/>
  <c r="T486" i="7950"/>
  <c r="U486" i="7950" s="1"/>
  <c r="V486" i="7950" s="1"/>
  <c r="W486" i="7950" s="1"/>
  <c r="T462" i="7950"/>
  <c r="T648" i="7950"/>
  <c r="U648" i="7950" s="1"/>
  <c r="V648" i="7950" s="1"/>
  <c r="W648" i="7950" s="1"/>
  <c r="T624" i="7950"/>
  <c r="T2376" i="7950"/>
  <c r="U2376" i="7950" s="1"/>
  <c r="V2376" i="7950" s="1"/>
  <c r="W2376" i="7950" s="1"/>
  <c r="T2352" i="7950"/>
  <c r="S1079" i="7950"/>
  <c r="T1079" i="7950" s="1"/>
  <c r="U1079" i="7950" s="1"/>
  <c r="V1079" i="7950" s="1"/>
  <c r="W1079" i="7950" s="1"/>
  <c r="S1055" i="7950"/>
  <c r="S2267" i="7950"/>
  <c r="T2267" i="7950" s="1"/>
  <c r="U2267" i="7950" s="1"/>
  <c r="V2267" i="7950" s="1"/>
  <c r="W2267" i="7950" s="1"/>
  <c r="S2243" i="7950"/>
  <c r="S2483" i="7950"/>
  <c r="T2483" i="7950" s="1"/>
  <c r="U2483" i="7950" s="1"/>
  <c r="V2483" i="7950" s="1"/>
  <c r="W2483" i="7950" s="1"/>
  <c r="S2459" i="7950"/>
  <c r="S917" i="7950"/>
  <c r="T917" i="7950" s="1"/>
  <c r="U917" i="7950" s="1"/>
  <c r="V917" i="7950" s="1"/>
  <c r="W917" i="7950" s="1"/>
  <c r="S893" i="7950"/>
  <c r="S1241" i="7950"/>
  <c r="S1217" i="7950"/>
  <c r="S2321" i="7950"/>
  <c r="T2321" i="7950" s="1"/>
  <c r="U2321" i="7950" s="1"/>
  <c r="V2321" i="7950" s="1"/>
  <c r="W2321" i="7950" s="1"/>
  <c r="S2297" i="7950"/>
  <c r="S1619" i="7950"/>
  <c r="T1619" i="7950" s="1"/>
  <c r="U1619" i="7950" s="1"/>
  <c r="V1619" i="7950" s="1"/>
  <c r="W1619" i="7950" s="1"/>
  <c r="S1595" i="7950"/>
  <c r="S1835" i="7950"/>
  <c r="T1835" i="7950" s="1"/>
  <c r="U1835" i="7950" s="1"/>
  <c r="V1835" i="7950" s="1"/>
  <c r="W1835" i="7950" s="1"/>
  <c r="S1811" i="7950"/>
  <c r="S1295" i="7950"/>
  <c r="T1295" i="7950" s="1"/>
  <c r="U1295" i="7950" s="1"/>
  <c r="V1295" i="7950" s="1"/>
  <c r="W1295" i="7950" s="1"/>
  <c r="S1271" i="7950"/>
  <c r="S863" i="7950"/>
  <c r="T863" i="7950" s="1"/>
  <c r="U863" i="7950" s="1"/>
  <c r="V863" i="7950" s="1"/>
  <c r="W863" i="7950" s="1"/>
  <c r="S839" i="7950"/>
  <c r="S701" i="7950"/>
  <c r="T701" i="7950" s="1"/>
  <c r="U701" i="7950" s="1"/>
  <c r="V701" i="7950" s="1"/>
  <c r="W701" i="7950" s="1"/>
  <c r="S677" i="7950"/>
  <c r="S1997" i="7950"/>
  <c r="T1997" i="7950" s="1"/>
  <c r="U1997" i="7950" s="1"/>
  <c r="V1997" i="7950" s="1"/>
  <c r="W1997" i="7950" s="1"/>
  <c r="S1973" i="7950"/>
  <c r="S2375" i="7950"/>
  <c r="T2375" i="7950" s="1"/>
  <c r="U2375" i="7950" s="1"/>
  <c r="V2375" i="7950" s="1"/>
  <c r="W2375" i="7950" s="1"/>
  <c r="S2351" i="7950"/>
  <c r="S485" i="7950"/>
  <c r="T485" i="7950" s="1"/>
  <c r="U485" i="7950" s="1"/>
  <c r="V485" i="7950" s="1"/>
  <c r="W485" i="7950" s="1"/>
  <c r="S461" i="7950"/>
  <c r="R190" i="7950"/>
  <c r="R214" i="7950"/>
  <c r="R1648" i="7950"/>
  <c r="S1648" i="7950" s="1"/>
  <c r="T1648" i="7950" s="1"/>
  <c r="U1648" i="7950" s="1"/>
  <c r="V1648" i="7950" s="1"/>
  <c r="W1648" i="7950" s="1"/>
  <c r="R1564" i="7950"/>
  <c r="S1564" i="7950" s="1"/>
  <c r="T1564" i="7950" s="1"/>
  <c r="U1564" i="7950" s="1"/>
  <c r="V1564" i="7950" s="1"/>
  <c r="W1564" i="7950" s="1"/>
  <c r="R1540" i="7950"/>
  <c r="R430" i="7950"/>
  <c r="S430" i="7950" s="1"/>
  <c r="T430" i="7950" s="1"/>
  <c r="U430" i="7950" s="1"/>
  <c r="V430" i="7950" s="1"/>
  <c r="W430" i="7950" s="1"/>
  <c r="R406" i="7950"/>
  <c r="R1216" i="7950"/>
  <c r="R1240" i="7950"/>
  <c r="R28" i="7950"/>
  <c r="R52" i="7950"/>
  <c r="R2242" i="7950"/>
  <c r="R2266" i="7950"/>
  <c r="R2590" i="7950"/>
  <c r="R2566" i="7950"/>
  <c r="R1618" i="7950"/>
  <c r="S1618" i="7950" s="1"/>
  <c r="T1618" i="7950" s="1"/>
  <c r="U1618" i="7950" s="1"/>
  <c r="V1618" i="7950" s="1"/>
  <c r="W1618" i="7950" s="1"/>
  <c r="R1594" i="7950"/>
  <c r="R1348" i="7950"/>
  <c r="R1324" i="7950"/>
  <c r="R1378" i="7950"/>
  <c r="R1402" i="7950"/>
  <c r="R700" i="7950"/>
  <c r="S700" i="7950" s="1"/>
  <c r="T700" i="7950" s="1"/>
  <c r="U700" i="7950" s="1"/>
  <c r="V700" i="7950" s="1"/>
  <c r="W700" i="7950" s="1"/>
  <c r="R676" i="7950"/>
  <c r="R1162" i="7950"/>
  <c r="R1186" i="7950"/>
  <c r="R970" i="7950"/>
  <c r="S970" i="7950" s="1"/>
  <c r="T970" i="7950" s="1"/>
  <c r="U970" i="7950" s="1"/>
  <c r="V970" i="7950" s="1"/>
  <c r="W970" i="7950" s="1"/>
  <c r="R946" i="7950"/>
  <c r="R160" i="7950"/>
  <c r="S160" i="7950" s="1"/>
  <c r="T160" i="7950" s="1"/>
  <c r="U160" i="7950" s="1"/>
  <c r="V160" i="7950" s="1"/>
  <c r="W160" i="7950" s="1"/>
  <c r="R136" i="7950"/>
  <c r="R1888" i="7950"/>
  <c r="S1888" i="7950" s="1"/>
  <c r="T1888" i="7950" s="1"/>
  <c r="U1888" i="7950" s="1"/>
  <c r="V1888" i="7950" s="1"/>
  <c r="W1888" i="7950" s="1"/>
  <c r="R1864" i="7950"/>
  <c r="Q969" i="7950"/>
  <c r="Q945" i="7950"/>
  <c r="Q1917" i="7950"/>
  <c r="R1917" i="7950" s="1"/>
  <c r="S1917" i="7950" s="1"/>
  <c r="T1917" i="7950" s="1"/>
  <c r="U1917" i="7950" s="1"/>
  <c r="V1917" i="7950" s="1"/>
  <c r="W1917" i="7950" s="1"/>
  <c r="Q2643" i="7950"/>
  <c r="R2643" i="7950" s="1"/>
  <c r="S2643" i="7950" s="1"/>
  <c r="T2643" i="7950" s="1"/>
  <c r="U2643" i="7950" s="1"/>
  <c r="V2643" i="7950" s="1"/>
  <c r="W2643" i="7950" s="1"/>
  <c r="Q2619" i="7950"/>
  <c r="Q1617" i="7950"/>
  <c r="R1617" i="7950" s="1"/>
  <c r="S1617" i="7950" s="1"/>
  <c r="T1617" i="7950" s="1"/>
  <c r="U1617" i="7950" s="1"/>
  <c r="V1617" i="7950" s="1"/>
  <c r="W1617" i="7950" s="1"/>
  <c r="Q1593" i="7950"/>
  <c r="Q1077" i="7950"/>
  <c r="R1077" i="7950" s="1"/>
  <c r="S1077" i="7950" s="1"/>
  <c r="T1077" i="7950" s="1"/>
  <c r="U1077" i="7950" s="1"/>
  <c r="V1077" i="7950" s="1"/>
  <c r="W1077" i="7950" s="1"/>
  <c r="Q1053" i="7950"/>
  <c r="Q105" i="7950"/>
  <c r="R105" i="7950" s="1"/>
  <c r="S105" i="7950" s="1"/>
  <c r="T105" i="7950" s="1"/>
  <c r="U105" i="7950" s="1"/>
  <c r="V105" i="7950" s="1"/>
  <c r="W105" i="7950" s="1"/>
  <c r="Q81" i="7950"/>
  <c r="Q1725" i="7950"/>
  <c r="R1725" i="7950" s="1"/>
  <c r="S1725" i="7950" s="1"/>
  <c r="T1725" i="7950" s="1"/>
  <c r="U1725" i="7950" s="1"/>
  <c r="V1725" i="7950" s="1"/>
  <c r="W1725" i="7950" s="1"/>
  <c r="Q1701" i="7950"/>
  <c r="Q807" i="7950"/>
  <c r="R807" i="7950" s="1"/>
  <c r="S807" i="7950" s="1"/>
  <c r="T807" i="7950" s="1"/>
  <c r="U807" i="7950" s="1"/>
  <c r="V807" i="7950" s="1"/>
  <c r="W807" i="7950" s="1"/>
  <c r="Q783" i="7950"/>
  <c r="Q267" i="7950"/>
  <c r="R267" i="7950" s="1"/>
  <c r="S267" i="7950" s="1"/>
  <c r="T267" i="7950" s="1"/>
  <c r="U267" i="7950" s="1"/>
  <c r="V267" i="7950" s="1"/>
  <c r="W267" i="7950" s="1"/>
  <c r="Q243" i="7950"/>
  <c r="Q27" i="7950"/>
  <c r="Q51" i="7950"/>
  <c r="Q2211" i="7950"/>
  <c r="R2211" i="7950" s="1"/>
  <c r="S2211" i="7950" s="1"/>
  <c r="T2211" i="7950" s="1"/>
  <c r="U2211" i="7950" s="1"/>
  <c r="V2211" i="7950" s="1"/>
  <c r="W2211" i="7950" s="1"/>
  <c r="Q2187" i="7950"/>
  <c r="Q321" i="7950"/>
  <c r="R321" i="7950" s="1"/>
  <c r="S321" i="7950" s="1"/>
  <c r="T321" i="7950" s="1"/>
  <c r="U321" i="7950" s="1"/>
  <c r="V321" i="7950" s="1"/>
  <c r="W321" i="7950" s="1"/>
  <c r="Q297" i="7950"/>
  <c r="P1184" i="7950"/>
  <c r="Q1184" i="7950" s="1"/>
  <c r="R1184" i="7950" s="1"/>
  <c r="S1184" i="7950" s="1"/>
  <c r="T1184" i="7950" s="1"/>
  <c r="U1184" i="7950" s="1"/>
  <c r="V1184" i="7950" s="1"/>
  <c r="W1184" i="7950" s="1"/>
  <c r="P1160" i="7950"/>
  <c r="P2210" i="7950"/>
  <c r="P2186" i="7950"/>
  <c r="P2426" i="7950"/>
  <c r="Q2426" i="7950" s="1"/>
  <c r="R2426" i="7950" s="1"/>
  <c r="S2426" i="7950" s="1"/>
  <c r="T2426" i="7950" s="1"/>
  <c r="U2426" i="7950" s="1"/>
  <c r="V2426" i="7950" s="1"/>
  <c r="W2426" i="7950" s="1"/>
  <c r="P2402" i="7950"/>
  <c r="P2318" i="7950"/>
  <c r="Q2318" i="7950" s="1"/>
  <c r="R2318" i="7950" s="1"/>
  <c r="S2318" i="7950" s="1"/>
  <c r="T2318" i="7950" s="1"/>
  <c r="U2318" i="7950" s="1"/>
  <c r="V2318" i="7950" s="1"/>
  <c r="W2318" i="7950" s="1"/>
  <c r="P2294" i="7950"/>
  <c r="P1292" i="7950"/>
  <c r="Q1292" i="7950" s="1"/>
  <c r="R1292" i="7950" s="1"/>
  <c r="S1292" i="7950" s="1"/>
  <c r="T1292" i="7950" s="1"/>
  <c r="U1292" i="7950" s="1"/>
  <c r="V1292" i="7950" s="1"/>
  <c r="W1292" i="7950" s="1"/>
  <c r="P1268" i="7950"/>
  <c r="P1130" i="7950"/>
  <c r="Q1130" i="7950" s="1"/>
  <c r="R1130" i="7950" s="1"/>
  <c r="S1130" i="7950" s="1"/>
  <c r="T1130" i="7950" s="1"/>
  <c r="U1130" i="7950" s="1"/>
  <c r="V1130" i="7950" s="1"/>
  <c r="W1130" i="7950" s="1"/>
  <c r="P1106" i="7950"/>
  <c r="P1022" i="7950"/>
  <c r="P998" i="7950"/>
  <c r="P968" i="7950"/>
  <c r="Q968" i="7950" s="1"/>
  <c r="R968" i="7950" s="1"/>
  <c r="S968" i="7950" s="1"/>
  <c r="T968" i="7950" s="1"/>
  <c r="U968" i="7950" s="1"/>
  <c r="V968" i="7950" s="1"/>
  <c r="W968" i="7950" s="1"/>
  <c r="P944" i="7950"/>
  <c r="P2696" i="7950"/>
  <c r="P2672" i="7950"/>
  <c r="P1994" i="7950"/>
  <c r="P1970" i="7950"/>
  <c r="P2534" i="7950"/>
  <c r="Q2534" i="7950" s="1"/>
  <c r="R2534" i="7950" s="1"/>
  <c r="S2534" i="7950" s="1"/>
  <c r="T2534" i="7950" s="1"/>
  <c r="U2534" i="7950" s="1"/>
  <c r="V2534" i="7950" s="1"/>
  <c r="W2534" i="7950" s="1"/>
  <c r="P2510" i="7950"/>
  <c r="P644" i="7950"/>
  <c r="Q644" i="7950" s="1"/>
  <c r="R644" i="7950" s="1"/>
  <c r="S644" i="7950" s="1"/>
  <c r="T644" i="7950" s="1"/>
  <c r="U644" i="7950" s="1"/>
  <c r="V644" i="7950" s="1"/>
  <c r="W644" i="7950" s="1"/>
  <c r="P620" i="7950"/>
  <c r="P2372" i="7950"/>
  <c r="Q2372" i="7950" s="1"/>
  <c r="R2372" i="7950" s="1"/>
  <c r="S2372" i="7950" s="1"/>
  <c r="T2372" i="7950" s="1"/>
  <c r="U2372" i="7950" s="1"/>
  <c r="V2372" i="7950" s="1"/>
  <c r="W2372" i="7950" s="1"/>
  <c r="P2348" i="7950"/>
  <c r="O1183" i="7950"/>
  <c r="P1183" i="7950" s="1"/>
  <c r="Q1183" i="7950" s="1"/>
  <c r="R1183" i="7950" s="1"/>
  <c r="S1183" i="7950" s="1"/>
  <c r="T1183" i="7950" s="1"/>
  <c r="O1159" i="7950"/>
  <c r="O133" i="7950"/>
  <c r="O157" i="7950"/>
  <c r="K2313" i="7950"/>
  <c r="L2313" i="7950" s="1"/>
  <c r="M2313" i="7950" s="1"/>
  <c r="N2313" i="7950" s="1"/>
  <c r="O2313" i="7950" s="1"/>
  <c r="K2289" i="7950"/>
  <c r="J2150" i="7950"/>
  <c r="J2126" i="7950"/>
  <c r="O2101" i="7950"/>
  <c r="P2101" i="7950" s="1"/>
  <c r="Q2101" i="7950" s="1"/>
  <c r="R2101" i="7950" s="1"/>
  <c r="S2101" i="7950" s="1"/>
  <c r="T2101" i="7950" s="1"/>
  <c r="U2101" i="7950" s="1"/>
  <c r="V2101" i="7950" s="1"/>
  <c r="W2101" i="7950" s="1"/>
  <c r="O2077" i="7950"/>
  <c r="O2371" i="7950"/>
  <c r="P2371" i="7950" s="1"/>
  <c r="Q2371" i="7950" s="1"/>
  <c r="R2371" i="7950" s="1"/>
  <c r="S2371" i="7950" s="1"/>
  <c r="T2371" i="7950" s="1"/>
  <c r="U2371" i="7950" s="1"/>
  <c r="V2371" i="7950" s="1"/>
  <c r="W2371" i="7950" s="1"/>
  <c r="O2347" i="7950"/>
  <c r="K477" i="7950"/>
  <c r="L477" i="7950" s="1"/>
  <c r="M477" i="7950" s="1"/>
  <c r="N477" i="7950" s="1"/>
  <c r="O477" i="7950" s="1"/>
  <c r="K453" i="7950"/>
  <c r="J2474" i="7950"/>
  <c r="J2450" i="7950"/>
  <c r="O1237" i="7950"/>
  <c r="P1237" i="7950" s="1"/>
  <c r="Q1237" i="7950" s="1"/>
  <c r="R1237" i="7950" s="1"/>
  <c r="S1237" i="7950" s="1"/>
  <c r="T1237" i="7950" s="1"/>
  <c r="U1237" i="7950" s="1"/>
  <c r="V1237" i="7950" s="1"/>
  <c r="W1237" i="7950" s="1"/>
  <c r="O1213" i="7950"/>
  <c r="L2368" i="7950"/>
  <c r="M2368" i="7950" s="1"/>
  <c r="N2368" i="7950" s="1"/>
  <c r="L2344" i="7950"/>
  <c r="L1234" i="7950"/>
  <c r="M1234" i="7950" s="1"/>
  <c r="N1234" i="7950" s="1"/>
  <c r="O1234" i="7950" s="1"/>
  <c r="P1234" i="7950" s="1"/>
  <c r="L1210" i="7950"/>
  <c r="K1395" i="7950"/>
  <c r="L1395" i="7950" s="1"/>
  <c r="M1395" i="7950" s="1"/>
  <c r="N1395" i="7950" s="1"/>
  <c r="O1395" i="7950" s="1"/>
  <c r="K1371" i="7950"/>
  <c r="K693" i="7950"/>
  <c r="L693" i="7950" s="1"/>
  <c r="M693" i="7950" s="1"/>
  <c r="K669" i="7950"/>
  <c r="J2042" i="7950"/>
  <c r="J2018" i="7950"/>
  <c r="J908" i="7950"/>
  <c r="J884" i="7950"/>
  <c r="O49" i="7950"/>
  <c r="O25" i="7950"/>
  <c r="L2206" i="7950"/>
  <c r="M2206" i="7950" s="1"/>
  <c r="N2206" i="7950" s="1"/>
  <c r="O2206" i="7950" s="1"/>
  <c r="P2206" i="7950" s="1"/>
  <c r="L2182" i="7950"/>
  <c r="O2587" i="7950"/>
  <c r="P2587" i="7950" s="1"/>
  <c r="Q2587" i="7950" s="1"/>
  <c r="R2587" i="7950" s="1"/>
  <c r="S2587" i="7950" s="1"/>
  <c r="T2587" i="7950" s="1"/>
  <c r="U2587" i="7950" s="1"/>
  <c r="V2587" i="7950" s="1"/>
  <c r="W2587" i="7950" s="1"/>
  <c r="O2563" i="7950"/>
  <c r="O2641" i="7950"/>
  <c r="P2641" i="7950" s="1"/>
  <c r="Q2641" i="7950" s="1"/>
  <c r="R2641" i="7950" s="1"/>
  <c r="S2641" i="7950" s="1"/>
  <c r="T2641" i="7950" s="1"/>
  <c r="U2641" i="7950" s="1"/>
  <c r="V2641" i="7950" s="1"/>
  <c r="W2641" i="7950" s="1"/>
  <c r="O2617" i="7950"/>
  <c r="K99" i="7950"/>
  <c r="L99" i="7950" s="1"/>
  <c r="M99" i="7950" s="1"/>
  <c r="N99" i="7950" s="1"/>
  <c r="K75" i="7950"/>
  <c r="J584" i="7950"/>
  <c r="J560" i="7950"/>
  <c r="J1664" i="7950"/>
  <c r="J1640" i="7950"/>
  <c r="O2479" i="7950"/>
  <c r="P2479" i="7950" s="1"/>
  <c r="Q2479" i="7950" s="1"/>
  <c r="R2479" i="7950" s="1"/>
  <c r="S2479" i="7950" s="1"/>
  <c r="T2479" i="7950" s="1"/>
  <c r="U2479" i="7950" s="1"/>
  <c r="V2479" i="7950" s="1"/>
  <c r="W2479" i="7950" s="1"/>
  <c r="O2455" i="7950"/>
  <c r="O1075" i="7950"/>
  <c r="O1051" i="7950"/>
  <c r="O1345" i="7950"/>
  <c r="P1345" i="7950" s="1"/>
  <c r="Q1345" i="7950" s="1"/>
  <c r="R1345" i="7950" s="1"/>
  <c r="S1345" i="7950" s="1"/>
  <c r="O1321" i="7950"/>
  <c r="L802" i="7950"/>
  <c r="M802" i="7950" s="1"/>
  <c r="N802" i="7950" s="1"/>
  <c r="O802" i="7950" s="1"/>
  <c r="P802" i="7950" s="1"/>
  <c r="L778" i="7950"/>
  <c r="L478" i="7950"/>
  <c r="M478" i="7950" s="1"/>
  <c r="N478" i="7950" s="1"/>
  <c r="O478" i="7950" s="1"/>
  <c r="P478" i="7950" s="1"/>
  <c r="L454" i="7950"/>
  <c r="K2691" i="7950"/>
  <c r="L2691" i="7950" s="1"/>
  <c r="M2691" i="7950" s="1"/>
  <c r="K2667" i="7950"/>
  <c r="J44" i="7950"/>
  <c r="K44" i="7950" s="1"/>
  <c r="L44" i="7950" s="1"/>
  <c r="M44" i="7950" s="1"/>
  <c r="N44" i="7950" s="1"/>
  <c r="O44" i="7950" s="1"/>
  <c r="P44" i="7950" s="1"/>
  <c r="Q44" i="7950" s="1"/>
  <c r="R44" i="7950" s="1"/>
  <c r="S44" i="7950" s="1"/>
  <c r="T44" i="7950" s="1"/>
  <c r="U44" i="7950" s="1"/>
  <c r="V44" i="7950" s="1"/>
  <c r="W44" i="7950" s="1"/>
  <c r="J1394" i="7950"/>
  <c r="J1370" i="7950"/>
  <c r="J1232" i="7950"/>
  <c r="J1208" i="7950"/>
  <c r="O805" i="7950"/>
  <c r="P805" i="7950" s="1"/>
  <c r="Q805" i="7950" s="1"/>
  <c r="R805" i="7950" s="1"/>
  <c r="S805" i="7950" s="1"/>
  <c r="T805" i="7950" s="1"/>
  <c r="U805" i="7950" s="1"/>
  <c r="V805" i="7950" s="1"/>
  <c r="W805" i="7950" s="1"/>
  <c r="O781" i="7950"/>
  <c r="L1612" i="7950"/>
  <c r="M1612" i="7950" s="1"/>
  <c r="N1612" i="7950" s="1"/>
  <c r="L1588" i="7950"/>
  <c r="L2530" i="7950"/>
  <c r="M2530" i="7950" s="1"/>
  <c r="N2530" i="7950" s="1"/>
  <c r="L2506" i="7950"/>
  <c r="L2584" i="7950"/>
  <c r="M2584" i="7950" s="1"/>
  <c r="N2584" i="7950" s="1"/>
  <c r="L2560" i="7950"/>
  <c r="K2529" i="7950"/>
  <c r="L2529" i="7950" s="1"/>
  <c r="M2529" i="7950" s="1"/>
  <c r="N2529" i="7950" s="1"/>
  <c r="O2529" i="7950" s="1"/>
  <c r="K2505" i="7950"/>
  <c r="K2637" i="7950"/>
  <c r="L2637" i="7950" s="1"/>
  <c r="M2637" i="7950" s="1"/>
  <c r="N2637" i="7950" s="1"/>
  <c r="O2637" i="7950" s="1"/>
  <c r="K2613" i="7950"/>
  <c r="K1287" i="7950"/>
  <c r="L1287" i="7950" s="1"/>
  <c r="M1287" i="7950" s="1"/>
  <c r="N1287" i="7950" s="1"/>
  <c r="O1287" i="7950" s="1"/>
  <c r="K1263" i="7950"/>
  <c r="J668" i="7950"/>
  <c r="J692" i="7950"/>
  <c r="J206" i="7950"/>
  <c r="J854" i="7950"/>
  <c r="J830" i="7950"/>
  <c r="J638" i="7950"/>
  <c r="J614" i="7950"/>
  <c r="J1124" i="7950"/>
  <c r="J1100" i="7950"/>
  <c r="V1112" i="7950"/>
  <c r="W1112" i="7950" s="1"/>
  <c r="V2570" i="7950"/>
  <c r="W2570" i="7950" s="1"/>
  <c r="V2246" i="7950"/>
  <c r="W2246" i="7950" s="1"/>
  <c r="V1328" i="7950"/>
  <c r="W1328" i="7950" s="1"/>
  <c r="V1814" i="7950"/>
  <c r="W1814" i="7950" s="1"/>
  <c r="V1166" i="7950"/>
  <c r="W1166" i="7950" s="1"/>
  <c r="V626" i="7950"/>
  <c r="W626" i="7950" s="1"/>
  <c r="V2624" i="7950"/>
  <c r="W2624" i="7950" s="1"/>
  <c r="V2604" i="7950"/>
  <c r="V2388" i="7950"/>
  <c r="V2172" i="7950"/>
  <c r="V1956" i="7950"/>
  <c r="V2658" i="7950"/>
  <c r="V2442" i="7950"/>
  <c r="V2226" i="7950"/>
  <c r="V2010" i="7950"/>
  <c r="V1794" i="7950"/>
  <c r="V2496" i="7950"/>
  <c r="V2280" i="7950"/>
  <c r="V2064" i="7950"/>
  <c r="V1848" i="7950"/>
  <c r="V2334" i="7950"/>
  <c r="V1632" i="7950"/>
  <c r="V1416" i="7950"/>
  <c r="V1200" i="7950"/>
  <c r="V1578" i="7950"/>
  <c r="V1470" i="7950"/>
  <c r="V1092" i="7950"/>
  <c r="V822" i="7950"/>
  <c r="V606" i="7950"/>
  <c r="V390" i="7950"/>
  <c r="V174" i="7950"/>
  <c r="V2603" i="7950"/>
  <c r="V2550" i="7950"/>
  <c r="V1902" i="7950"/>
  <c r="V1686" i="7950"/>
  <c r="V1524" i="7950"/>
  <c r="V1362" i="7950"/>
  <c r="V1038" i="7950"/>
  <c r="V714" i="7950"/>
  <c r="V336" i="7950"/>
  <c r="V228" i="7950"/>
  <c r="V2495" i="7950"/>
  <c r="V2279" i="7950"/>
  <c r="V2063" i="7950"/>
  <c r="V1847" i="7950"/>
  <c r="V1631" i="7950"/>
  <c r="V1415" i="7950"/>
  <c r="V1199" i="7950"/>
  <c r="V983" i="7950"/>
  <c r="V767" i="7950"/>
  <c r="V551" i="7950"/>
  <c r="V335" i="7950"/>
  <c r="V119" i="7950"/>
  <c r="V876" i="7950"/>
  <c r="V2225" i="7950"/>
  <c r="V2117" i="7950"/>
  <c r="V1739" i="7950"/>
  <c r="V1361" i="7950"/>
  <c r="V1253" i="7950"/>
  <c r="V875" i="7950"/>
  <c r="V497" i="7950"/>
  <c r="V389" i="7950"/>
  <c r="V1740" i="7950"/>
  <c r="V1254" i="7950"/>
  <c r="V552" i="7950"/>
  <c r="V66" i="7950"/>
  <c r="V2549" i="7950"/>
  <c r="V2387" i="7950"/>
  <c r="V2009" i="7950"/>
  <c r="V1901" i="7950"/>
  <c r="V1523" i="7950"/>
  <c r="V1308" i="7950"/>
  <c r="V1146" i="7950"/>
  <c r="V1793" i="7950"/>
  <c r="V1091" i="7950"/>
  <c r="V929" i="7950"/>
  <c r="V605" i="7950"/>
  <c r="V443" i="7950"/>
  <c r="V281" i="7950"/>
  <c r="V2440" i="7950"/>
  <c r="V2487" i="7950" s="1"/>
  <c r="W2487" i="7950" s="1"/>
  <c r="V2386" i="7950"/>
  <c r="V2433" i="7950" s="1"/>
  <c r="W2433" i="7950" s="1"/>
  <c r="V2008" i="7950"/>
  <c r="V2055" i="7950" s="1"/>
  <c r="W2055" i="7950" s="1"/>
  <c r="V1954" i="7950"/>
  <c r="V2001" i="7950" s="1"/>
  <c r="W2001" i="7950" s="1"/>
  <c r="V1576" i="7950"/>
  <c r="V1623" i="7950" s="1"/>
  <c r="W1623" i="7950" s="1"/>
  <c r="V1522" i="7950"/>
  <c r="V1569" i="7950" s="1"/>
  <c r="W1569" i="7950" s="1"/>
  <c r="V1144" i="7950"/>
  <c r="V1191" i="7950" s="1"/>
  <c r="W1191" i="7950" s="1"/>
  <c r="V1090" i="7950"/>
  <c r="V1137" i="7950" s="1"/>
  <c r="W1137" i="7950" s="1"/>
  <c r="V712" i="7950"/>
  <c r="V759" i="7950" s="1"/>
  <c r="W759" i="7950" s="1"/>
  <c r="V658" i="7950"/>
  <c r="V705" i="7950" s="1"/>
  <c r="W705" i="7950" s="1"/>
  <c r="V280" i="7950"/>
  <c r="V327" i="7950" s="1"/>
  <c r="W327" i="7950" s="1"/>
  <c r="V226" i="7950"/>
  <c r="V273" i="7950" s="1"/>
  <c r="W273" i="7950" s="1"/>
  <c r="V2493" i="7950"/>
  <c r="V2517" i="7950" s="1"/>
  <c r="V2439" i="7950"/>
  <c r="V2463" i="7950" s="1"/>
  <c r="V2061" i="7950"/>
  <c r="V2085" i="7950" s="1"/>
  <c r="V2007" i="7950"/>
  <c r="V2031" i="7950" s="1"/>
  <c r="V1629" i="7950"/>
  <c r="V1653" i="7950" s="1"/>
  <c r="V1575" i="7950"/>
  <c r="V1599" i="7950" s="1"/>
  <c r="V1197" i="7950"/>
  <c r="V1221" i="7950" s="1"/>
  <c r="V1143" i="7950"/>
  <c r="V1167" i="7950" s="1"/>
  <c r="V1035" i="7950"/>
  <c r="V1059" i="7950" s="1"/>
  <c r="V927" i="7950"/>
  <c r="V951" i="7950" s="1"/>
  <c r="V819" i="7950"/>
  <c r="V843" i="7950" s="1"/>
  <c r="V711" i="7950"/>
  <c r="V735" i="7950" s="1"/>
  <c r="V603" i="7950"/>
  <c r="V627" i="7950" s="1"/>
  <c r="V495" i="7950"/>
  <c r="V519" i="7950" s="1"/>
  <c r="V387" i="7950"/>
  <c r="V411" i="7950" s="1"/>
  <c r="V279" i="7950"/>
  <c r="V303" i="7950" s="1"/>
  <c r="V171" i="7950"/>
  <c r="V195" i="7950" s="1"/>
  <c r="V2118" i="7950"/>
  <c r="V984" i="7950"/>
  <c r="V660" i="7950"/>
  <c r="V498" i="7950"/>
  <c r="V2657" i="7950"/>
  <c r="V2333" i="7950"/>
  <c r="V1577" i="7950"/>
  <c r="V1307" i="7950"/>
  <c r="V1145" i="7950"/>
  <c r="V821" i="7950"/>
  <c r="V659" i="7950"/>
  <c r="V173" i="7950"/>
  <c r="V2548" i="7950"/>
  <c r="V2595" i="7950" s="1"/>
  <c r="W2595" i="7950" s="1"/>
  <c r="V2494" i="7950"/>
  <c r="V2541" i="7950" s="1"/>
  <c r="W2541" i="7950" s="1"/>
  <c r="V2116" i="7950"/>
  <c r="V2163" i="7950" s="1"/>
  <c r="W2163" i="7950" s="1"/>
  <c r="V2062" i="7950"/>
  <c r="V2109" i="7950" s="1"/>
  <c r="W2109" i="7950" s="1"/>
  <c r="V1684" i="7950"/>
  <c r="V1731" i="7950" s="1"/>
  <c r="W1731" i="7950" s="1"/>
  <c r="V1630" i="7950"/>
  <c r="V1677" i="7950" s="1"/>
  <c r="W1677" i="7950" s="1"/>
  <c r="V1252" i="7950"/>
  <c r="V1299" i="7950" s="1"/>
  <c r="W1299" i="7950" s="1"/>
  <c r="V1198" i="7950"/>
  <c r="V1245" i="7950" s="1"/>
  <c r="W1245" i="7950" s="1"/>
  <c r="V820" i="7950"/>
  <c r="V867" i="7950" s="1"/>
  <c r="W867" i="7950" s="1"/>
  <c r="V766" i="7950"/>
  <c r="V813" i="7950" s="1"/>
  <c r="W813" i="7950" s="1"/>
  <c r="V388" i="7950"/>
  <c r="V435" i="7950" s="1"/>
  <c r="W435" i="7950" s="1"/>
  <c r="V334" i="7950"/>
  <c r="V381" i="7950" s="1"/>
  <c r="W381" i="7950" s="1"/>
  <c r="V2601" i="7950"/>
  <c r="V2625" i="7950" s="1"/>
  <c r="V2547" i="7950"/>
  <c r="V2571" i="7950" s="1"/>
  <c r="V2169" i="7950"/>
  <c r="V2193" i="7950" s="1"/>
  <c r="V2115" i="7950"/>
  <c r="V2139" i="7950" s="1"/>
  <c r="V1737" i="7950"/>
  <c r="V1761" i="7950" s="1"/>
  <c r="V1683" i="7950"/>
  <c r="V1707" i="7950" s="1"/>
  <c r="V1305" i="7950"/>
  <c r="V1329" i="7950" s="1"/>
  <c r="V1251" i="7950"/>
  <c r="V1275" i="7950" s="1"/>
  <c r="V2171" i="7950"/>
  <c r="V1685" i="7950"/>
  <c r="V1037" i="7950"/>
  <c r="V2224" i="7950"/>
  <c r="V2271" i="7950" s="1"/>
  <c r="W2271" i="7950" s="1"/>
  <c r="V2170" i="7950"/>
  <c r="V2217" i="7950" s="1"/>
  <c r="W2217" i="7950" s="1"/>
  <c r="V1360" i="7950"/>
  <c r="V1407" i="7950" s="1"/>
  <c r="W1407" i="7950" s="1"/>
  <c r="V1306" i="7950"/>
  <c r="V1353" i="7950" s="1"/>
  <c r="W1353" i="7950" s="1"/>
  <c r="V496" i="7950"/>
  <c r="V543" i="7950" s="1"/>
  <c r="W543" i="7950" s="1"/>
  <c r="V442" i="7950"/>
  <c r="V489" i="7950" s="1"/>
  <c r="W489" i="7950" s="1"/>
  <c r="V2277" i="7950"/>
  <c r="V2301" i="7950" s="1"/>
  <c r="V2223" i="7950"/>
  <c r="V2247" i="7950" s="1"/>
  <c r="V1413" i="7950"/>
  <c r="V1437" i="7950" s="1"/>
  <c r="V1359" i="7950"/>
  <c r="V1383" i="7950" s="1"/>
  <c r="V981" i="7950"/>
  <c r="V1005" i="7950" s="1"/>
  <c r="V765" i="7950"/>
  <c r="V789" i="7950" s="1"/>
  <c r="V549" i="7950"/>
  <c r="V573" i="7950" s="1"/>
  <c r="V333" i="7950"/>
  <c r="V357" i="7950" s="1"/>
  <c r="V117" i="7950"/>
  <c r="V141" i="7950" s="1"/>
  <c r="V63" i="7950"/>
  <c r="V87" i="7950" s="1"/>
  <c r="V930" i="7950"/>
  <c r="V768" i="7950"/>
  <c r="V444" i="7950"/>
  <c r="V282" i="7950"/>
  <c r="V120" i="7950"/>
  <c r="V2602" i="7950"/>
  <c r="V2649" i="7950" s="1"/>
  <c r="W2649" i="7950" s="1"/>
  <c r="V1738" i="7950"/>
  <c r="V1785" i="7950" s="1"/>
  <c r="W1785" i="7950" s="1"/>
  <c r="V928" i="7950"/>
  <c r="V975" i="7950" s="1"/>
  <c r="W975" i="7950" s="1"/>
  <c r="V64" i="7950"/>
  <c r="V111" i="7950" s="1"/>
  <c r="W111" i="7950" s="1"/>
  <c r="V1845" i="7950"/>
  <c r="V1869" i="7950" s="1"/>
  <c r="V657" i="7950"/>
  <c r="V681" i="7950" s="1"/>
  <c r="V441" i="7950"/>
  <c r="V465" i="7950" s="1"/>
  <c r="V2441" i="7950"/>
  <c r="V1469" i="7950"/>
  <c r="V1900" i="7950"/>
  <c r="V1947" i="7950" s="1"/>
  <c r="W1947" i="7950" s="1"/>
  <c r="V982" i="7950"/>
  <c r="V1029" i="7950" s="1"/>
  <c r="W1029" i="7950" s="1"/>
  <c r="V118" i="7950"/>
  <c r="V165" i="7950" s="1"/>
  <c r="W165" i="7950" s="1"/>
  <c r="V1953" i="7950"/>
  <c r="V1977" i="7950" s="1"/>
  <c r="V1089" i="7950"/>
  <c r="V1113" i="7950" s="1"/>
  <c r="V713" i="7950"/>
  <c r="V227" i="7950"/>
  <c r="V65" i="7950"/>
  <c r="V2332" i="7950"/>
  <c r="V2379" i="7950" s="1"/>
  <c r="W2379" i="7950" s="1"/>
  <c r="V2278" i="7950"/>
  <c r="V2325" i="7950" s="1"/>
  <c r="W2325" i="7950" s="1"/>
  <c r="V1468" i="7950"/>
  <c r="V1515" i="7950" s="1"/>
  <c r="W1515" i="7950" s="1"/>
  <c r="V1414" i="7950"/>
  <c r="V1461" i="7950" s="1"/>
  <c r="W1461" i="7950" s="1"/>
  <c r="V604" i="7950"/>
  <c r="V651" i="7950" s="1"/>
  <c r="W651" i="7950" s="1"/>
  <c r="V550" i="7950"/>
  <c r="V597" i="7950" s="1"/>
  <c r="W597" i="7950" s="1"/>
  <c r="V2385" i="7950"/>
  <c r="V2409" i="7950" s="1"/>
  <c r="V2331" i="7950"/>
  <c r="V2355" i="7950" s="1"/>
  <c r="V1521" i="7950"/>
  <c r="V1545" i="7950" s="1"/>
  <c r="V1467" i="7950"/>
  <c r="V1491" i="7950" s="1"/>
  <c r="V2656" i="7950"/>
  <c r="V2703" i="7950" s="1"/>
  <c r="W2703" i="7950" s="1"/>
  <c r="V1792" i="7950"/>
  <c r="V1839" i="7950" s="1"/>
  <c r="W1839" i="7950" s="1"/>
  <c r="V874" i="7950"/>
  <c r="V921" i="7950" s="1"/>
  <c r="W921" i="7950" s="1"/>
  <c r="V2655" i="7950"/>
  <c r="V2679" i="7950" s="1"/>
  <c r="V1791" i="7950"/>
  <c r="V1815" i="7950" s="1"/>
  <c r="V873" i="7950"/>
  <c r="V897" i="7950" s="1"/>
  <c r="V225" i="7950"/>
  <c r="V249" i="7950" s="1"/>
  <c r="V1955" i="7950"/>
  <c r="V1846" i="7950"/>
  <c r="V1893" i="7950" s="1"/>
  <c r="W1893" i="7950" s="1"/>
  <c r="V1036" i="7950"/>
  <c r="V1083" i="7950" s="1"/>
  <c r="W1083" i="7950" s="1"/>
  <c r="V172" i="7950"/>
  <c r="V219" i="7950" s="1"/>
  <c r="W219" i="7950" s="1"/>
  <c r="V1899" i="7950"/>
  <c r="V1923" i="7950" s="1"/>
  <c r="M1157" i="7950"/>
  <c r="N1157" i="7950" s="1"/>
  <c r="O1157" i="7950" s="1"/>
  <c r="V11" i="7950"/>
  <c r="V10" i="7950"/>
  <c r="V57" i="7950" s="1"/>
  <c r="V9" i="7950"/>
  <c r="V33" i="7950" s="1"/>
  <c r="V12" i="7950"/>
  <c r="W2663" i="7949"/>
  <c r="W2447" i="7949"/>
  <c r="W2231" i="7949"/>
  <c r="W2015" i="7949"/>
  <c r="W1799" i="7949"/>
  <c r="W2501" i="7949"/>
  <c r="W2285" i="7949"/>
  <c r="W2069" i="7949"/>
  <c r="W1853" i="7949"/>
  <c r="W2555" i="7949"/>
  <c r="W2339" i="7949"/>
  <c r="W2123" i="7949"/>
  <c r="W1907" i="7949"/>
  <c r="W2609" i="7949"/>
  <c r="W1583" i="7949"/>
  <c r="W1367" i="7949"/>
  <c r="W1961" i="7949"/>
  <c r="W1637" i="7949"/>
  <c r="W1421" i="7949"/>
  <c r="W1205" i="7949"/>
  <c r="W2177" i="7949"/>
  <c r="W1475" i="7949"/>
  <c r="W1097" i="7949"/>
  <c r="W935" i="7949"/>
  <c r="W719" i="7949"/>
  <c r="W503" i="7949"/>
  <c r="W287" i="7949"/>
  <c r="W1745" i="7949"/>
  <c r="W1313" i="7949"/>
  <c r="W1259" i="7949"/>
  <c r="W989" i="7949"/>
  <c r="W773" i="7949"/>
  <c r="W557" i="7949"/>
  <c r="W341" i="7949"/>
  <c r="W125" i="7949"/>
  <c r="W2554" i="7949"/>
  <c r="W2338" i="7949"/>
  <c r="W1151" i="7949"/>
  <c r="W611" i="7949"/>
  <c r="W179" i="7949"/>
  <c r="W2662" i="7949"/>
  <c r="W2284" i="7949"/>
  <c r="W2176" i="7949"/>
  <c r="W1960" i="7949"/>
  <c r="W1744" i="7949"/>
  <c r="W1528" i="7949"/>
  <c r="W2393" i="7949"/>
  <c r="W1529" i="7949"/>
  <c r="W881" i="7949"/>
  <c r="W449" i="7949"/>
  <c r="W2446" i="7949"/>
  <c r="W2230" i="7949"/>
  <c r="W2014" i="7949"/>
  <c r="W1798" i="7949"/>
  <c r="W1582" i="7949"/>
  <c r="W1366" i="7949"/>
  <c r="W1150" i="7949"/>
  <c r="W934" i="7949"/>
  <c r="W718" i="7949"/>
  <c r="W502" i="7949"/>
  <c r="W286" i="7949"/>
  <c r="W70" i="7949"/>
  <c r="W2499" i="7949"/>
  <c r="W2547" i="7949" s="1"/>
  <c r="W2283" i="7949"/>
  <c r="W2331" i="7949" s="1"/>
  <c r="W2067" i="7949"/>
  <c r="W2115" i="7949" s="1"/>
  <c r="W1043" i="7949"/>
  <c r="W395" i="7949"/>
  <c r="W71" i="7949"/>
  <c r="W1852" i="7949"/>
  <c r="W1258" i="7949"/>
  <c r="W880" i="7949"/>
  <c r="W772" i="7949"/>
  <c r="W394" i="7949"/>
  <c r="W2661" i="7949"/>
  <c r="W2709" i="7949" s="1"/>
  <c r="W2607" i="7949"/>
  <c r="W2655" i="7949" s="1"/>
  <c r="W2229" i="7949"/>
  <c r="W2277" i="7949" s="1"/>
  <c r="W2175" i="7949"/>
  <c r="W2223" i="7949" s="1"/>
  <c r="W1743" i="7949"/>
  <c r="W1791" i="7949" s="1"/>
  <c r="W1527" i="7949"/>
  <c r="W1575" i="7949" s="1"/>
  <c r="W1311" i="7949"/>
  <c r="W1359" i="7949" s="1"/>
  <c r="W1095" i="7949"/>
  <c r="W1143" i="7949" s="1"/>
  <c r="W879" i="7949"/>
  <c r="W927" i="7949" s="1"/>
  <c r="W663" i="7949"/>
  <c r="W711" i="7949" s="1"/>
  <c r="W447" i="7949"/>
  <c r="W495" i="7949" s="1"/>
  <c r="W231" i="7949"/>
  <c r="W279" i="7949" s="1"/>
  <c r="W2660" i="7949"/>
  <c r="W2552" i="7949"/>
  <c r="W2444" i="7949"/>
  <c r="W2336" i="7949"/>
  <c r="W2228" i="7949"/>
  <c r="W2120" i="7949"/>
  <c r="W2012" i="7949"/>
  <c r="W1904" i="7949"/>
  <c r="W1796" i="7949"/>
  <c r="W1688" i="7949"/>
  <c r="W665" i="7949"/>
  <c r="W2500" i="7949"/>
  <c r="W2122" i="7949"/>
  <c r="W1690" i="7949"/>
  <c r="W1420" i="7949"/>
  <c r="W1042" i="7949"/>
  <c r="W664" i="7949"/>
  <c r="W556" i="7949"/>
  <c r="W178" i="7949"/>
  <c r="W2553" i="7949"/>
  <c r="W2601" i="7949" s="1"/>
  <c r="W2121" i="7949"/>
  <c r="W2169" i="7949" s="1"/>
  <c r="W1797" i="7949"/>
  <c r="W1845" i="7949" s="1"/>
  <c r="W1581" i="7949"/>
  <c r="W1629" i="7949" s="1"/>
  <c r="W1365" i="7949"/>
  <c r="W1413" i="7949" s="1"/>
  <c r="W1149" i="7949"/>
  <c r="W1197" i="7949" s="1"/>
  <c r="W933" i="7949"/>
  <c r="W981" i="7949" s="1"/>
  <c r="W717" i="7949"/>
  <c r="W765" i="7949" s="1"/>
  <c r="W501" i="7949"/>
  <c r="W549" i="7949" s="1"/>
  <c r="W285" i="7949"/>
  <c r="W333" i="7949" s="1"/>
  <c r="W1691" i="7949"/>
  <c r="W2608" i="7949"/>
  <c r="W2068" i="7949"/>
  <c r="W1312" i="7949"/>
  <c r="W826" i="7949"/>
  <c r="W340" i="7949"/>
  <c r="W2391" i="7949"/>
  <c r="W2439" i="7949" s="1"/>
  <c r="W177" i="7949"/>
  <c r="W225" i="7949" s="1"/>
  <c r="W123" i="7949"/>
  <c r="W171" i="7949" s="1"/>
  <c r="W2498" i="7949"/>
  <c r="W2066" i="7949"/>
  <c r="W1634" i="7949"/>
  <c r="W1526" i="7949"/>
  <c r="W1418" i="7949"/>
  <c r="W1310" i="7949"/>
  <c r="W1202" i="7949"/>
  <c r="W1094" i="7949"/>
  <c r="W986" i="7949"/>
  <c r="W878" i="7949"/>
  <c r="W770" i="7949"/>
  <c r="W662" i="7949"/>
  <c r="W554" i="7949"/>
  <c r="W446" i="7949"/>
  <c r="W338" i="7949"/>
  <c r="W230" i="7949"/>
  <c r="W122" i="7949"/>
  <c r="W2174" i="7949"/>
  <c r="W1742" i="7949"/>
  <c r="W827" i="7949"/>
  <c r="W1636" i="7949"/>
  <c r="W1204" i="7949"/>
  <c r="W448" i="7949"/>
  <c r="W1580" i="7949"/>
  <c r="W1364" i="7949"/>
  <c r="W716" i="7949"/>
  <c r="W608" i="7949"/>
  <c r="W500" i="7949"/>
  <c r="W392" i="7949"/>
  <c r="W284" i="7949"/>
  <c r="W176" i="7949"/>
  <c r="W2392" i="7949"/>
  <c r="W988" i="7949"/>
  <c r="W2445" i="7949"/>
  <c r="W2493" i="7949" s="1"/>
  <c r="W1905" i="7949"/>
  <c r="W1953" i="7949" s="1"/>
  <c r="W233" i="7949"/>
  <c r="W1474" i="7949"/>
  <c r="W1096" i="7949"/>
  <c r="W610" i="7949"/>
  <c r="W124" i="7949"/>
  <c r="W2337" i="7949"/>
  <c r="W2385" i="7949" s="1"/>
  <c r="W2013" i="7949"/>
  <c r="W2061" i="7949" s="1"/>
  <c r="W1851" i="7949"/>
  <c r="W1899" i="7949" s="1"/>
  <c r="W1635" i="7949"/>
  <c r="W1683" i="7949" s="1"/>
  <c r="W1419" i="7949"/>
  <c r="W1467" i="7949" s="1"/>
  <c r="W1203" i="7949"/>
  <c r="W1251" i="7949" s="1"/>
  <c r="W987" i="7949"/>
  <c r="W1035" i="7949" s="1"/>
  <c r="W771" i="7949"/>
  <c r="W819" i="7949" s="1"/>
  <c r="W555" i="7949"/>
  <c r="W603" i="7949" s="1"/>
  <c r="W339" i="7949"/>
  <c r="W387" i="7949" s="1"/>
  <c r="W69" i="7949"/>
  <c r="W117" i="7949" s="1"/>
  <c r="W2606" i="7949"/>
  <c r="W1959" i="7949"/>
  <c r="W2007" i="7949" s="1"/>
  <c r="W2282" i="7949"/>
  <c r="W1850" i="7949"/>
  <c r="W1472" i="7949"/>
  <c r="W1256" i="7949"/>
  <c r="W1148" i="7949"/>
  <c r="W1040" i="7949"/>
  <c r="W932" i="7949"/>
  <c r="W824" i="7949"/>
  <c r="W68" i="7949"/>
  <c r="W1906" i="7949"/>
  <c r="W232" i="7949"/>
  <c r="W1041" i="7949"/>
  <c r="W1089" i="7949" s="1"/>
  <c r="W2390" i="7949"/>
  <c r="W825" i="7949"/>
  <c r="W873" i="7949" s="1"/>
  <c r="W1958" i="7949"/>
  <c r="W1689" i="7949"/>
  <c r="W1737" i="7949" s="1"/>
  <c r="W1473" i="7949"/>
  <c r="W1521" i="7949" s="1"/>
  <c r="W609" i="7949"/>
  <c r="W657" i="7949" s="1"/>
  <c r="W1257" i="7949"/>
  <c r="W1305" i="7949" s="1"/>
  <c r="W393" i="7949"/>
  <c r="W441" i="7949" s="1"/>
  <c r="W9" i="7949"/>
  <c r="W17" i="7949"/>
  <c r="W11" i="7949"/>
  <c r="W16" i="7949"/>
  <c r="W14" i="7949"/>
  <c r="W15" i="7949"/>
  <c r="W63" i="7949" s="1"/>
  <c r="D10" i="7949"/>
  <c r="R9" i="7949"/>
  <c r="L2074" i="7950"/>
  <c r="M2074" i="7950" s="1"/>
  <c r="N2074" i="7950" s="1"/>
  <c r="M293" i="7950"/>
  <c r="N293" i="7950" s="1"/>
  <c r="Q204" i="18"/>
  <c r="Q464" i="18"/>
  <c r="Q711" i="18"/>
  <c r="Q230" i="18"/>
  <c r="Q308" i="18"/>
  <c r="Q568" i="18"/>
  <c r="Q542" i="18"/>
  <c r="Q373" i="18"/>
  <c r="Q503" i="18"/>
  <c r="Q178" i="18"/>
  <c r="Q126" i="18"/>
  <c r="Q412" i="18"/>
  <c r="Q672" i="18"/>
  <c r="Q490" i="18"/>
  <c r="Q399" i="18"/>
  <c r="Q139" i="18"/>
  <c r="Q269" i="18"/>
  <c r="Q516" i="18"/>
  <c r="Q334" i="18"/>
  <c r="Q74" i="18"/>
  <c r="Q607" i="18"/>
  <c r="Q581" i="18"/>
  <c r="Q152" i="18"/>
  <c r="Q386" i="18"/>
  <c r="Q347" i="18"/>
  <c r="Q477" i="18"/>
  <c r="Q594" i="18"/>
  <c r="Q438" i="18"/>
  <c r="Q321" i="18"/>
  <c r="Q451" i="18"/>
  <c r="Q217" i="18"/>
  <c r="Q113" i="18"/>
  <c r="Q360" i="18"/>
  <c r="Q620" i="18"/>
  <c r="Q243" i="18"/>
  <c r="Q425" i="18"/>
  <c r="Q555" i="18"/>
  <c r="Q698" i="18"/>
  <c r="Q685" i="18"/>
  <c r="Q256" i="18"/>
  <c r="Q529" i="18"/>
  <c r="Q646" i="18"/>
  <c r="Q191" i="18"/>
  <c r="Q282" i="18"/>
  <c r="Q295" i="18"/>
  <c r="Q87" i="18"/>
  <c r="Q100" i="18"/>
  <c r="Q659" i="18"/>
  <c r="Q633" i="18"/>
  <c r="Q147" i="7944"/>
  <c r="Q146" i="7944"/>
  <c r="Q148" i="7944"/>
  <c r="M1967" i="7950"/>
  <c r="N1967" i="7950" s="1"/>
  <c r="M1859" i="7950"/>
  <c r="N1859" i="7950" s="1"/>
  <c r="O1859" i="7950" s="1"/>
  <c r="M1319" i="7950"/>
  <c r="N1319" i="7950" s="1"/>
  <c r="O1319" i="7950" s="1"/>
  <c r="P1319" i="7950" s="1"/>
  <c r="Q1319" i="7950" s="1"/>
  <c r="R1319" i="7950" s="1"/>
  <c r="S1319" i="7950" s="1"/>
  <c r="T1319" i="7950" s="1"/>
  <c r="U1319" i="7950" s="1"/>
  <c r="V1319" i="7950" s="1"/>
  <c r="W1319" i="7950" s="1"/>
  <c r="M1535" i="7950"/>
  <c r="N1535" i="7950" s="1"/>
  <c r="O1535" i="7950" s="1"/>
  <c r="M239" i="7950"/>
  <c r="N239" i="7950" s="1"/>
  <c r="M1481" i="7950"/>
  <c r="N1481" i="7950" s="1"/>
  <c r="P241" i="7944"/>
  <c r="Q241" i="7944" s="1"/>
  <c r="Q449" i="7944"/>
  <c r="M2345" i="7950"/>
  <c r="N2345" i="7950" s="1"/>
  <c r="O2345" i="7950" s="1"/>
  <c r="Q657" i="7944"/>
  <c r="Q540" i="7944"/>
  <c r="P644" i="7944"/>
  <c r="Q644" i="7944" s="1"/>
  <c r="P579" i="7944"/>
  <c r="Q579" i="7944" s="1"/>
  <c r="M779" i="7950"/>
  <c r="N779" i="7950" s="1"/>
  <c r="M2237" i="7950"/>
  <c r="N2237" i="7950" s="1"/>
  <c r="O2237" i="7950" s="1"/>
  <c r="M1211" i="7950"/>
  <c r="N1211" i="7950" s="1"/>
  <c r="O1211" i="7950" s="1"/>
  <c r="M1265" i="7950"/>
  <c r="N1265" i="7950" s="1"/>
  <c r="M23" i="7950"/>
  <c r="N23" i="7950" s="1"/>
  <c r="O23" i="7950" s="1"/>
  <c r="P23" i="7950" s="1"/>
  <c r="Q23" i="7950" s="1"/>
  <c r="R23" i="7950" s="1"/>
  <c r="S23" i="7950" s="1"/>
  <c r="T23" i="7950" s="1"/>
  <c r="U23" i="7950" s="1"/>
  <c r="V23" i="7950" s="1"/>
  <c r="W23" i="7950" s="1"/>
  <c r="M2561" i="7950"/>
  <c r="N2561" i="7950" s="1"/>
  <c r="M725" i="7950"/>
  <c r="N725" i="7950" s="1"/>
  <c r="M1427" i="7950"/>
  <c r="N1427" i="7950" s="1"/>
  <c r="M617" i="7950"/>
  <c r="N617" i="7950" s="1"/>
  <c r="O617" i="7950" s="1"/>
  <c r="M995" i="7950"/>
  <c r="N995" i="7950" s="1"/>
  <c r="M563" i="7950"/>
  <c r="N563" i="7950" s="1"/>
  <c r="O563" i="7950" s="1"/>
  <c r="L2452" i="7950"/>
  <c r="M2452" i="7950" s="1"/>
  <c r="N2452" i="7950" s="1"/>
  <c r="M347" i="7950"/>
  <c r="N347" i="7950" s="1"/>
  <c r="M1751" i="7950"/>
  <c r="N1751" i="7950" s="1"/>
  <c r="O1751" i="7950" s="1"/>
  <c r="M455" i="7950"/>
  <c r="N455" i="7950" s="1"/>
  <c r="P463" i="7944"/>
  <c r="Q463" i="7944" s="1"/>
  <c r="P398" i="7944"/>
  <c r="Q398" i="7944" s="1"/>
  <c r="O502" i="7944"/>
  <c r="O567" i="7944"/>
  <c r="P411" i="7944"/>
  <c r="Q411" i="7944" s="1"/>
  <c r="P229" i="7944"/>
  <c r="P333" i="7944"/>
  <c r="Q333" i="7944" s="1"/>
  <c r="Q2639" i="7950"/>
  <c r="N1938" i="7950"/>
  <c r="O1938" i="7950" s="1"/>
  <c r="N1914" i="7950"/>
  <c r="Q2099" i="7950"/>
  <c r="N750" i="7950"/>
  <c r="O750" i="7950" s="1"/>
  <c r="N726" i="7950"/>
  <c r="M2531" i="7950"/>
  <c r="N2531" i="7950" s="1"/>
  <c r="M2507" i="7950"/>
  <c r="N2477" i="7950"/>
  <c r="O2477" i="7950" s="1"/>
  <c r="P2477" i="7950" s="1"/>
  <c r="M1937" i="7950"/>
  <c r="N1937" i="7950" s="1"/>
  <c r="M1913" i="7950"/>
  <c r="N2207" i="7950"/>
  <c r="O2207" i="7950" s="1"/>
  <c r="P2207" i="7950" s="1"/>
  <c r="M101" i="7950"/>
  <c r="N101" i="7950" s="1"/>
  <c r="M77" i="7950"/>
  <c r="M857" i="7950"/>
  <c r="N857" i="7950" s="1"/>
  <c r="M833" i="7950"/>
  <c r="N1668" i="7950"/>
  <c r="O1668" i="7950" s="1"/>
  <c r="N1644" i="7950"/>
  <c r="N426" i="7950"/>
  <c r="O426" i="7950" s="1"/>
  <c r="N402" i="7950"/>
  <c r="N1398" i="7950"/>
  <c r="O1398" i="7950" s="1"/>
  <c r="N1374" i="7950"/>
  <c r="N1830" i="7950"/>
  <c r="O1830" i="7950" s="1"/>
  <c r="N1806" i="7950"/>
  <c r="L1504" i="7950"/>
  <c r="M1504" i="7950" s="1"/>
  <c r="L1480" i="7950"/>
  <c r="N1560" i="7950"/>
  <c r="O1560" i="7950" s="1"/>
  <c r="N1536" i="7950"/>
  <c r="N1613" i="7950"/>
  <c r="O1613" i="7950" s="1"/>
  <c r="P1613" i="7950" s="1"/>
  <c r="K1827" i="7950"/>
  <c r="L1827" i="7950" s="1"/>
  <c r="K1803" i="7950"/>
  <c r="K315" i="7950"/>
  <c r="L315" i="7950" s="1"/>
  <c r="K291" i="7950"/>
  <c r="K2205" i="7950"/>
  <c r="L2205" i="7950" s="1"/>
  <c r="K2181" i="7950"/>
  <c r="N1290" i="7950"/>
  <c r="O1290" i="7950" s="1"/>
  <c r="N1266" i="7950"/>
  <c r="P155" i="7950"/>
  <c r="N2045" i="7950"/>
  <c r="O2045" i="7950" s="1"/>
  <c r="P2045" i="7950" s="1"/>
  <c r="M533" i="7950"/>
  <c r="N533" i="7950" s="1"/>
  <c r="M509" i="7950"/>
  <c r="K1557" i="7950"/>
  <c r="L1557" i="7950" s="1"/>
  <c r="K1533" i="7950"/>
  <c r="K1179" i="7950"/>
  <c r="L1179" i="7950" s="1"/>
  <c r="K1155" i="7950"/>
  <c r="K639" i="7950"/>
  <c r="L639" i="7950" s="1"/>
  <c r="K615" i="7950"/>
  <c r="M911" i="7950"/>
  <c r="N911" i="7950" s="1"/>
  <c r="M887" i="7950"/>
  <c r="N1344" i="7950"/>
  <c r="O1344" i="7950" s="1"/>
  <c r="P1344" i="7950" s="1"/>
  <c r="Q1344" i="7950" s="1"/>
  <c r="R1344" i="7950" s="1"/>
  <c r="S1344" i="7950" s="1"/>
  <c r="T1344" i="7950" s="1"/>
  <c r="U1344" i="7950" s="1"/>
  <c r="V1344" i="7950" s="1"/>
  <c r="W1344" i="7950" s="1"/>
  <c r="N1320" i="7950"/>
  <c r="K747" i="7950"/>
  <c r="L747" i="7950" s="1"/>
  <c r="K723" i="7950"/>
  <c r="K1719" i="7950"/>
  <c r="L1719" i="7950" s="1"/>
  <c r="K1695" i="7950"/>
  <c r="K2583" i="7950"/>
  <c r="L2583" i="7950" s="1"/>
  <c r="K2559" i="7950"/>
  <c r="N2098" i="7950"/>
  <c r="O2098" i="7950" s="1"/>
  <c r="L2152" i="7950"/>
  <c r="M2152" i="7950" s="1"/>
  <c r="L2128" i="7950"/>
  <c r="L1990" i="7950"/>
  <c r="M1990" i="7950" s="1"/>
  <c r="L1966" i="7950"/>
  <c r="Q209" i="7950"/>
  <c r="R425" i="7950"/>
  <c r="R1397" i="7950"/>
  <c r="Q1829" i="7950"/>
  <c r="Q2153" i="7950"/>
  <c r="N1992" i="7950"/>
  <c r="O1992" i="7950" s="1"/>
  <c r="N1968" i="7950"/>
  <c r="N2208" i="7950"/>
  <c r="O2208" i="7950" s="1"/>
  <c r="N2184" i="7950"/>
  <c r="N2694" i="7950"/>
  <c r="O2694" i="7950" s="1"/>
  <c r="N2670" i="7950"/>
  <c r="O1559" i="7950"/>
  <c r="P1559" i="7950" s="1"/>
  <c r="M2021" i="7950"/>
  <c r="N2021" i="7950" s="1"/>
  <c r="N2585" i="7950"/>
  <c r="O2585" i="7950" s="1"/>
  <c r="P2585" i="7950" s="1"/>
  <c r="N372" i="7950"/>
  <c r="O372" i="7950" s="1"/>
  <c r="N348" i="7950"/>
  <c r="N479" i="7950"/>
  <c r="O479" i="7950" s="1"/>
  <c r="P479" i="7950" s="1"/>
  <c r="N1991" i="7950"/>
  <c r="O1991" i="7950" s="1"/>
  <c r="P1991" i="7950" s="1"/>
  <c r="N1182" i="7950"/>
  <c r="O1182" i="7950" s="1"/>
  <c r="N1158" i="7950"/>
  <c r="O1883" i="7950"/>
  <c r="P1883" i="7950" s="1"/>
  <c r="O587" i="7950"/>
  <c r="P587" i="7950" s="1"/>
  <c r="L694" i="7950"/>
  <c r="M694" i="7950" s="1"/>
  <c r="L670" i="7950"/>
  <c r="N534" i="7950"/>
  <c r="O534" i="7950" s="1"/>
  <c r="N510" i="7950"/>
  <c r="K423" i="7950"/>
  <c r="L423" i="7950" s="1"/>
  <c r="K399" i="7950"/>
  <c r="N1020" i="7950"/>
  <c r="O1020" i="7950" s="1"/>
  <c r="N996" i="7950"/>
  <c r="K855" i="7950"/>
  <c r="L855" i="7950" s="1"/>
  <c r="K831" i="7950"/>
  <c r="L1180" i="7950"/>
  <c r="M1180" i="7950" s="1"/>
  <c r="L1156" i="7950"/>
  <c r="K531" i="7950"/>
  <c r="L531" i="7950" s="1"/>
  <c r="K507" i="7950"/>
  <c r="N1884" i="7950"/>
  <c r="O1884" i="7950" s="1"/>
  <c r="N1860" i="7950"/>
  <c r="N2424" i="7950"/>
  <c r="O2424" i="7950" s="1"/>
  <c r="N2400" i="7950"/>
  <c r="N1289" i="7950"/>
  <c r="O1289" i="7950" s="1"/>
  <c r="P1289" i="7950" s="1"/>
  <c r="N1505" i="7950"/>
  <c r="O1505" i="7950" s="1"/>
  <c r="P1505" i="7950" s="1"/>
  <c r="N1019" i="7950"/>
  <c r="O1019" i="7950" s="1"/>
  <c r="P1019" i="7950" s="1"/>
  <c r="K2043" i="7950"/>
  <c r="L2043" i="7950" s="1"/>
  <c r="K2019" i="7950"/>
  <c r="L994" i="7950"/>
  <c r="M994" i="7950" s="1"/>
  <c r="N994" i="7950" s="1"/>
  <c r="O994" i="7950" s="1"/>
  <c r="P994" i="7950" s="1"/>
  <c r="Q994" i="7950" s="1"/>
  <c r="R994" i="7950" s="1"/>
  <c r="N2476" i="7950"/>
  <c r="O2476" i="7950" s="1"/>
  <c r="N263" i="7950"/>
  <c r="O263" i="7950" s="1"/>
  <c r="N749" i="7950"/>
  <c r="O749" i="7950" s="1"/>
  <c r="P749" i="7950" s="1"/>
  <c r="L1102" i="7950"/>
  <c r="M1102" i="7950" s="1"/>
  <c r="N1102" i="7950" s="1"/>
  <c r="O1102" i="7950" s="1"/>
  <c r="P1102" i="7950" s="1"/>
  <c r="Q1102" i="7950" s="1"/>
  <c r="R1102" i="7950" s="1"/>
  <c r="K1503" i="7950"/>
  <c r="L1503" i="7950" s="1"/>
  <c r="K1479" i="7950"/>
  <c r="J2582" i="7950"/>
  <c r="K2582" i="7950" s="1"/>
  <c r="L2582" i="7950" s="1"/>
  <c r="M2582" i="7950" s="1"/>
  <c r="N2582" i="7950" s="1"/>
  <c r="J2558" i="7950"/>
  <c r="N480" i="7950"/>
  <c r="O480" i="7950" s="1"/>
  <c r="N456" i="7950"/>
  <c r="L1828" i="7950"/>
  <c r="M1828" i="7950" s="1"/>
  <c r="L1804" i="7950"/>
  <c r="R2693" i="7950"/>
  <c r="M2291" i="7950"/>
  <c r="N2291" i="7950" s="1"/>
  <c r="O2291" i="7950" s="1"/>
  <c r="Q965" i="7950"/>
  <c r="N858" i="7950"/>
  <c r="O858" i="7950" s="1"/>
  <c r="N834" i="7950"/>
  <c r="M2453" i="7950"/>
  <c r="N2453" i="7950" s="1"/>
  <c r="N318" i="7950"/>
  <c r="O318" i="7950" s="1"/>
  <c r="N294" i="7950"/>
  <c r="N803" i="7950"/>
  <c r="O803" i="7950" s="1"/>
  <c r="P803" i="7950" s="1"/>
  <c r="M2183" i="7950"/>
  <c r="N2183" i="7950" s="1"/>
  <c r="N2046" i="7950"/>
  <c r="O2046" i="7950" s="1"/>
  <c r="N2022" i="7950"/>
  <c r="N588" i="7950"/>
  <c r="O588" i="7950" s="1"/>
  <c r="N564" i="7950"/>
  <c r="O1127" i="7950"/>
  <c r="P1127" i="7950" s="1"/>
  <c r="M1073" i="7950"/>
  <c r="N1073" i="7950" s="1"/>
  <c r="M1049" i="7950"/>
  <c r="O1775" i="7950"/>
  <c r="P1775" i="7950" s="1"/>
  <c r="N2262" i="7950"/>
  <c r="O2262" i="7950" s="1"/>
  <c r="N2238" i="7950"/>
  <c r="N2478" i="7950"/>
  <c r="O2478" i="7950" s="1"/>
  <c r="P2478" i="7950" s="1"/>
  <c r="Q2478" i="7950" s="1"/>
  <c r="N2454" i="7950"/>
  <c r="N1451" i="7950"/>
  <c r="O1451" i="7950" s="1"/>
  <c r="P1451" i="7950" s="1"/>
  <c r="L1936" i="7950"/>
  <c r="M1936" i="7950" s="1"/>
  <c r="L1912" i="7950"/>
  <c r="L1450" i="7950"/>
  <c r="M1450" i="7950" s="1"/>
  <c r="L1426" i="7950"/>
  <c r="L100" i="7950"/>
  <c r="M100" i="7950" s="1"/>
  <c r="L76" i="7950"/>
  <c r="K1665" i="7950"/>
  <c r="L1665" i="7950" s="1"/>
  <c r="K1641" i="7950"/>
  <c r="K963" i="7950"/>
  <c r="L963" i="7950" s="1"/>
  <c r="K939" i="7950"/>
  <c r="L2638" i="7950"/>
  <c r="M2638" i="7950" s="1"/>
  <c r="L2614" i="7950"/>
  <c r="N210" i="7950"/>
  <c r="O210" i="7950" s="1"/>
  <c r="N186" i="7950"/>
  <c r="N1614" i="7950"/>
  <c r="O1614" i="7950" s="1"/>
  <c r="N1590" i="7950"/>
  <c r="N2532" i="7950"/>
  <c r="O2532" i="7950" s="1"/>
  <c r="N2508" i="7950"/>
  <c r="N2154" i="7950"/>
  <c r="O2154" i="7950" s="1"/>
  <c r="N2130" i="7950"/>
  <c r="K261" i="7950"/>
  <c r="L261" i="7950" s="1"/>
  <c r="K237" i="7950"/>
  <c r="K585" i="7950"/>
  <c r="L585" i="7950" s="1"/>
  <c r="K561" i="7950"/>
  <c r="N156" i="7950"/>
  <c r="O156" i="7950" s="1"/>
  <c r="P156" i="7950" s="1"/>
  <c r="N132" i="7950"/>
  <c r="L532" i="7950"/>
  <c r="M532" i="7950" s="1"/>
  <c r="L508" i="7950"/>
  <c r="N371" i="7950"/>
  <c r="O371" i="7950" s="1"/>
  <c r="P371" i="7950" s="1"/>
  <c r="L370" i="7950"/>
  <c r="M370" i="7950" s="1"/>
  <c r="L346" i="7950"/>
  <c r="N1074" i="7950"/>
  <c r="O1074" i="7950" s="1"/>
  <c r="N1050" i="7950"/>
  <c r="K1881" i="7950"/>
  <c r="L1881" i="7950" s="1"/>
  <c r="K1857" i="7950"/>
  <c r="K1071" i="7950"/>
  <c r="L1071" i="7950" s="1"/>
  <c r="K1047" i="7950"/>
  <c r="O2423" i="7950"/>
  <c r="P2423" i="7950" s="1"/>
  <c r="L586" i="7950"/>
  <c r="M586" i="7950" s="1"/>
  <c r="L562" i="7950"/>
  <c r="O641" i="7950"/>
  <c r="P641" i="7950" s="1"/>
  <c r="M671" i="7950"/>
  <c r="N671" i="7950" s="1"/>
  <c r="O671" i="7950" s="1"/>
  <c r="N102" i="7950"/>
  <c r="N78" i="7950"/>
  <c r="Q1721" i="7950"/>
  <c r="R1126" i="7950"/>
  <c r="Q1667" i="7950"/>
  <c r="N804" i="7950"/>
  <c r="O804" i="7950" s="1"/>
  <c r="N780" i="7950"/>
  <c r="N696" i="7950"/>
  <c r="O696" i="7950" s="1"/>
  <c r="N672" i="7950"/>
  <c r="N1776" i="7950"/>
  <c r="O1776" i="7950" s="1"/>
  <c r="N1752" i="7950"/>
  <c r="M1589" i="7950"/>
  <c r="N1589" i="7950" s="1"/>
  <c r="N264" i="7950"/>
  <c r="O264" i="7950" s="1"/>
  <c r="N240" i="7950"/>
  <c r="N1452" i="7950"/>
  <c r="O1452" i="7950" s="1"/>
  <c r="N1428" i="7950"/>
  <c r="N1722" i="7950"/>
  <c r="O1722" i="7950" s="1"/>
  <c r="N1698" i="7950"/>
  <c r="M131" i="7950"/>
  <c r="N131" i="7950" s="1"/>
  <c r="O131" i="7950" s="1"/>
  <c r="P131" i="7950" s="1"/>
  <c r="N317" i="7950"/>
  <c r="O317" i="7950" s="1"/>
  <c r="P317" i="7950" s="1"/>
  <c r="O1181" i="7950"/>
  <c r="P1181" i="7950" s="1"/>
  <c r="N48" i="7950"/>
  <c r="O48" i="7950" s="1"/>
  <c r="P48" i="7950" s="1"/>
  <c r="Q48" i="7950" s="1"/>
  <c r="R48" i="7950" s="1"/>
  <c r="S48" i="7950" s="1"/>
  <c r="T48" i="7950" s="1"/>
  <c r="U48" i="7950" s="1"/>
  <c r="V48" i="7950" s="1"/>
  <c r="W48" i="7950" s="1"/>
  <c r="N24" i="7950"/>
  <c r="N1128" i="7950"/>
  <c r="O1128" i="7950" s="1"/>
  <c r="N1104" i="7950"/>
  <c r="N2640" i="7950"/>
  <c r="O2640" i="7950" s="1"/>
  <c r="N2616" i="7950"/>
  <c r="N2370" i="7950"/>
  <c r="O2370" i="7950" s="1"/>
  <c r="N2346" i="7950"/>
  <c r="O2315" i="7950"/>
  <c r="P2315" i="7950" s="1"/>
  <c r="N966" i="7950"/>
  <c r="O966" i="7950" s="1"/>
  <c r="N942" i="7950"/>
  <c r="L1720" i="7950"/>
  <c r="M1720" i="7950" s="1"/>
  <c r="L1696" i="7950"/>
  <c r="L1072" i="7950"/>
  <c r="M1072" i="7950" s="1"/>
  <c r="L1048" i="7950"/>
  <c r="N2586" i="7950"/>
  <c r="O2586" i="7950" s="1"/>
  <c r="N2562" i="7950"/>
  <c r="K801" i="7950"/>
  <c r="L801" i="7950" s="1"/>
  <c r="K777" i="7950"/>
  <c r="N2100" i="7950"/>
  <c r="O2100" i="7950" s="1"/>
  <c r="N2076" i="7950"/>
  <c r="N1236" i="7950"/>
  <c r="O1236" i="7950" s="1"/>
  <c r="N1212" i="7950"/>
  <c r="N2316" i="7950"/>
  <c r="O2316" i="7950" s="1"/>
  <c r="N2292" i="7950"/>
  <c r="K2421" i="7950"/>
  <c r="L2421" i="7950" s="1"/>
  <c r="K2397" i="7950"/>
  <c r="O2369" i="7950"/>
  <c r="P2369" i="7950" s="1"/>
  <c r="L1882" i="7950"/>
  <c r="M1882" i="7950" s="1"/>
  <c r="L1858" i="7950"/>
  <c r="O1235" i="7950"/>
  <c r="P1235" i="7950" s="1"/>
  <c r="N642" i="7950"/>
  <c r="O642" i="7950" s="1"/>
  <c r="N618" i="7950"/>
  <c r="O2261" i="7950"/>
  <c r="P2261" i="7950" s="1"/>
  <c r="N912" i="7950"/>
  <c r="O912" i="7950" s="1"/>
  <c r="N888" i="7950"/>
  <c r="L964" i="7950"/>
  <c r="M964" i="7950" s="1"/>
  <c r="L940" i="7950"/>
  <c r="O695" i="7950"/>
  <c r="P695" i="7950" s="1"/>
  <c r="L1396" i="7950"/>
  <c r="M1396" i="7950" s="1"/>
  <c r="L1372" i="7950"/>
  <c r="N1506" i="7950"/>
  <c r="O1506" i="7950" s="1"/>
  <c r="N1482" i="7950"/>
  <c r="L1342" i="7950"/>
  <c r="M1342" i="7950" s="1"/>
  <c r="N1342" i="7950" s="1"/>
  <c r="O1342" i="7950" s="1"/>
  <c r="P1342" i="7950" s="1"/>
  <c r="Q1342" i="7950" s="1"/>
  <c r="R1342" i="7950" s="1"/>
  <c r="S1342" i="7950" s="1"/>
  <c r="T1342" i="7950" s="1"/>
  <c r="U1342" i="7950" s="1"/>
  <c r="V1342" i="7950" s="1"/>
  <c r="W1342" i="7950" s="1"/>
  <c r="L1318" i="7950"/>
  <c r="J962" i="7950"/>
  <c r="K962" i="7950" s="1"/>
  <c r="L962" i="7950" s="1"/>
  <c r="M962" i="7950" s="1"/>
  <c r="N962" i="7950" s="1"/>
  <c r="J938" i="7950"/>
  <c r="R1018" i="7950"/>
  <c r="P216" i="7944"/>
  <c r="P255" i="7944"/>
  <c r="Q255" i="7944" s="1"/>
  <c r="P307" i="7944"/>
  <c r="O697" i="7944"/>
  <c r="P554" i="7944"/>
  <c r="Q554" i="7944" s="1"/>
  <c r="O619" i="7944"/>
  <c r="O723" i="7944"/>
  <c r="O632" i="7944"/>
  <c r="O749" i="7944"/>
  <c r="O671" i="7944"/>
  <c r="O606" i="7944"/>
  <c r="O450" i="7944"/>
  <c r="O424" i="7944"/>
  <c r="O515" i="7944"/>
  <c r="O385" i="7944"/>
  <c r="O242" i="7944"/>
  <c r="O541" i="7944"/>
  <c r="O489" i="7944"/>
  <c r="O684" i="7944"/>
  <c r="O268" i="7944"/>
  <c r="O593" i="7944"/>
  <c r="O710" i="7944"/>
  <c r="O658" i="7944"/>
  <c r="O372" i="7944"/>
  <c r="V302" i="7950"/>
  <c r="W302" i="7950" s="1"/>
  <c r="V2354" i="7950"/>
  <c r="W2354" i="7950" s="1"/>
  <c r="V518" i="7950"/>
  <c r="W518" i="7950" s="1"/>
  <c r="V842" i="7950"/>
  <c r="W842" i="7950" s="1"/>
  <c r="V1652" i="7950"/>
  <c r="W1652" i="7950" s="1"/>
  <c r="V2300" i="7950"/>
  <c r="W2300" i="7950" s="1"/>
  <c r="V1382" i="7950"/>
  <c r="W1382" i="7950" s="1"/>
  <c r="V2030" i="7950"/>
  <c r="W2030" i="7950" s="1"/>
  <c r="V1544" i="7950"/>
  <c r="W1544" i="7950" s="1"/>
  <c r="V680" i="7950"/>
  <c r="W680" i="7950" s="1"/>
  <c r="V464" i="7950"/>
  <c r="W464" i="7950" s="1"/>
  <c r="V1490" i="7950"/>
  <c r="W1490" i="7950" s="1"/>
  <c r="V1706" i="7950"/>
  <c r="W1706" i="7950" s="1"/>
  <c r="V1436" i="7950"/>
  <c r="W1436" i="7950" s="1"/>
  <c r="V2408" i="7950"/>
  <c r="W2408" i="7950" s="1"/>
  <c r="V2192" i="7950"/>
  <c r="W2192" i="7950" s="1"/>
  <c r="V572" i="7950"/>
  <c r="W572" i="7950" s="1"/>
  <c r="V788" i="7950"/>
  <c r="W788" i="7950" s="1"/>
  <c r="V734" i="7950"/>
  <c r="W734" i="7950" s="1"/>
  <c r="V1058" i="7950"/>
  <c r="W1058" i="7950" s="1"/>
  <c r="V1760" i="7950"/>
  <c r="W1760" i="7950" s="1"/>
  <c r="V140" i="7950"/>
  <c r="W140" i="7950" s="1"/>
  <c r="V2462" i="7950"/>
  <c r="W2462" i="7950" s="1"/>
  <c r="V1868" i="7950"/>
  <c r="W1868" i="7950" s="1"/>
  <c r="V194" i="7950"/>
  <c r="W194" i="7950" s="1"/>
  <c r="V1922" i="7950"/>
  <c r="W1922" i="7950" s="1"/>
  <c r="V1598" i="7950"/>
  <c r="W1598" i="7950" s="1"/>
  <c r="V896" i="7950"/>
  <c r="W896" i="7950" s="1"/>
  <c r="V1004" i="7950"/>
  <c r="W1004" i="7950" s="1"/>
  <c r="V248" i="7950"/>
  <c r="W248" i="7950" s="1"/>
  <c r="V1274" i="7950"/>
  <c r="W1274" i="7950" s="1"/>
  <c r="V2138" i="7950"/>
  <c r="W2138" i="7950" s="1"/>
  <c r="V950" i="7950"/>
  <c r="W950" i="7950" s="1"/>
  <c r="V1976" i="7950"/>
  <c r="W1976" i="7950" s="1"/>
  <c r="V410" i="7950"/>
  <c r="W410" i="7950" s="1"/>
  <c r="V1220" i="7950"/>
  <c r="W1220" i="7950" s="1"/>
  <c r="V2084" i="7950"/>
  <c r="W2084" i="7950" s="1"/>
  <c r="V2678" i="7950"/>
  <c r="W2678" i="7950" s="1"/>
  <c r="V356" i="7950"/>
  <c r="W356" i="7950" s="1"/>
  <c r="V55" i="7950"/>
  <c r="W55" i="7950" s="1"/>
  <c r="W1351" i="7950"/>
  <c r="V56" i="7950"/>
  <c r="V32" i="7950"/>
  <c r="Q367" i="7944"/>
  <c r="Q547" i="7944"/>
  <c r="Q453" i="7944"/>
  <c r="Q741" i="7944"/>
  <c r="Q510" i="7944"/>
  <c r="Q665" i="7944"/>
  <c r="Q746" i="7944"/>
  <c r="Q694" i="7944"/>
  <c r="Q642" i="7944"/>
  <c r="Q590" i="7944"/>
  <c r="Q538" i="7944"/>
  <c r="Q486" i="7944"/>
  <c r="Q434" i="7944"/>
  <c r="Q382" i="7944"/>
  <c r="Q330" i="7944"/>
  <c r="Q278" i="7944"/>
  <c r="Q733" i="7944"/>
  <c r="Q681" i="7944"/>
  <c r="Q629" i="7944"/>
  <c r="Q577" i="7944"/>
  <c r="Q525" i="7944"/>
  <c r="Q473" i="7944"/>
  <c r="Q421" i="7944"/>
  <c r="Q369" i="7944"/>
  <c r="Q317" i="7944"/>
  <c r="Q720" i="7944"/>
  <c r="Q668" i="7944"/>
  <c r="Q616" i="7944"/>
  <c r="Q564" i="7944"/>
  <c r="Q512" i="7944"/>
  <c r="Q460" i="7944"/>
  <c r="Q408" i="7944"/>
  <c r="Q356" i="7944"/>
  <c r="Q304" i="7944"/>
  <c r="Q759" i="7944"/>
  <c r="Q707" i="7944"/>
  <c r="Q655" i="7944"/>
  <c r="Q603" i="7944"/>
  <c r="Q551" i="7944"/>
  <c r="Q499" i="7944"/>
  <c r="Q447" i="7944"/>
  <c r="Q395" i="7944"/>
  <c r="Q343" i="7944"/>
  <c r="Q291" i="7944"/>
  <c r="Q265" i="7944"/>
  <c r="Q213" i="7944"/>
  <c r="Q161" i="7944"/>
  <c r="Q121" i="7944"/>
  <c r="Q252" i="7944"/>
  <c r="Q200" i="7944"/>
  <c r="Q133" i="7944"/>
  <c r="Q239" i="7944"/>
  <c r="Q187" i="7944"/>
  <c r="Q135" i="7944"/>
  <c r="Q120" i="7944"/>
  <c r="Q226" i="7944"/>
  <c r="Q174" i="7944"/>
  <c r="Q134" i="7944"/>
  <c r="Q122" i="7944"/>
  <c r="Q328" i="7944"/>
  <c r="Q601" i="7944"/>
  <c r="Q261" i="7944"/>
  <c r="Q639" i="7944"/>
  <c r="Q718" i="7944"/>
  <c r="Q678" i="7944"/>
  <c r="Q210" i="7944"/>
  <c r="Q627" i="7944"/>
  <c r="Q262" i="7944"/>
  <c r="Q418" i="7944"/>
  <c r="Q730" i="7944"/>
  <c r="Q666" i="7944"/>
  <c r="Q731" i="7944"/>
  <c r="Q744" i="7944"/>
  <c r="Q314" i="7944"/>
  <c r="Q470" i="7944"/>
  <c r="Q535" i="7944"/>
  <c r="Q677" i="7944"/>
  <c r="Q638" i="7944"/>
  <c r="Q209" i="7944"/>
  <c r="Q691" i="7944"/>
  <c r="Q235" i="7944"/>
  <c r="Q483" i="7944"/>
  <c r="Q391" i="7944"/>
  <c r="Q495" i="7944"/>
  <c r="Q600" i="7944"/>
  <c r="Q507" i="7944"/>
  <c r="Q443" i="7944"/>
  <c r="Q313" i="7944"/>
  <c r="Q690" i="7944"/>
  <c r="Q221" i="7944"/>
  <c r="Q479" i="7944"/>
  <c r="Q417" i="7944"/>
  <c r="Q650" i="7944"/>
  <c r="Q222" i="7944"/>
  <c r="Q467" i="7944"/>
  <c r="Q208" i="7944"/>
  <c r="Q219" i="7944"/>
  <c r="Q231" i="7944"/>
  <c r="Q663" i="7944"/>
  <c r="Q272" i="7944"/>
  <c r="Q651" i="7944"/>
  <c r="Q377" i="7944"/>
  <c r="Q428" i="7944"/>
  <c r="Q560" i="7944"/>
  <c r="Q482" i="7944"/>
  <c r="Q545" i="7944"/>
  <c r="Q429" i="7944"/>
  <c r="Q378" i="7944"/>
  <c r="Q466" i="7944"/>
  <c r="Q336" i="7944"/>
  <c r="Q374" i="7944"/>
  <c r="Q415" i="7944"/>
  <c r="Q349" i="7944"/>
  <c r="Q375" i="7944"/>
  <c r="Q533" i="7944"/>
  <c r="Q727" i="7944"/>
  <c r="Q362" i="7944"/>
  <c r="Q636" i="7944"/>
  <c r="Q427" i="7944"/>
  <c r="Q572" i="7944"/>
  <c r="Q441" i="7944"/>
  <c r="Q584" i="7944"/>
  <c r="Q699" i="7944"/>
  <c r="Q401" i="7944"/>
  <c r="Q297" i="7944"/>
  <c r="Q753" i="7944"/>
  <c r="Q531" i="7944"/>
  <c r="Q622" i="7944"/>
  <c r="Q205" i="7944"/>
  <c r="Q400" i="7944"/>
  <c r="Q583" i="7944"/>
  <c r="Q675" i="7944"/>
  <c r="Q244" i="7944"/>
  <c r="Q348" i="7944"/>
  <c r="Q518" i="7944"/>
  <c r="Q687" i="7944"/>
  <c r="Q257" i="7944"/>
  <c r="Q570" i="7944"/>
  <c r="Q283" i="7944"/>
  <c r="Q528" i="7944"/>
  <c r="Q544" i="7944"/>
  <c r="Q309" i="7944"/>
  <c r="Q580" i="7944"/>
  <c r="Q640" i="7944"/>
  <c r="Q263" i="7944"/>
  <c r="Q585" i="7944"/>
  <c r="Q712" i="7944"/>
  <c r="Q323" i="7944"/>
  <c r="Q440" i="7944"/>
  <c r="Q320" i="7944"/>
  <c r="Q588" i="7944"/>
  <c r="Q337" i="7944"/>
  <c r="Q673" i="7944"/>
  <c r="Q246" i="7944"/>
  <c r="Q361" i="7944"/>
  <c r="Q647" i="7944"/>
  <c r="Q492" i="7944"/>
  <c r="Q686" i="7944"/>
  <c r="Q634" i="7944"/>
  <c r="Q454" i="7944"/>
  <c r="Q206" i="7944"/>
  <c r="Q258" i="7944"/>
  <c r="Q701" i="7944"/>
  <c r="Q351" i="7944"/>
  <c r="Q232" i="7944"/>
  <c r="Q274" i="7944"/>
  <c r="Q365" i="7944"/>
  <c r="Q494" i="7944"/>
  <c r="Q689" i="7944"/>
  <c r="Q389" i="7944"/>
  <c r="Q402" i="7944"/>
  <c r="Q403" i="7944"/>
  <c r="Q664" i="7944"/>
  <c r="Q742" i="7944"/>
  <c r="Q496" i="7944"/>
  <c r="Q573" i="7944"/>
  <c r="Q729" i="7944"/>
  <c r="Q520" i="7944"/>
  <c r="Q236" i="7944"/>
  <c r="Q392" i="7944"/>
  <c r="Q546" i="7944"/>
  <c r="Q484" i="7944"/>
  <c r="Q354" i="7944"/>
  <c r="Q743" i="7944"/>
  <c r="Q456" i="7944"/>
  <c r="Q406" i="7944"/>
  <c r="Q625" i="7944"/>
  <c r="Q404" i="7944"/>
  <c r="Q497" i="7944"/>
  <c r="Q548" i="7944"/>
  <c r="Q692" i="7944"/>
  <c r="Q238" i="7944"/>
  <c r="Q212" i="7944"/>
  <c r="Q303" i="7944"/>
  <c r="Q511" i="7944"/>
  <c r="Q719" i="7944"/>
  <c r="Q472" i="7944"/>
  <c r="Q680" i="7944"/>
  <c r="Q381" i="7944"/>
  <c r="Q589" i="7944"/>
  <c r="Q290" i="7944"/>
  <c r="Q498" i="7944"/>
  <c r="Q706" i="7944"/>
  <c r="Q508" i="7944"/>
  <c r="Q704" i="7944"/>
  <c r="Q326" i="7944"/>
  <c r="Q543" i="7944"/>
  <c r="Q296" i="7944"/>
  <c r="Q736" i="7944"/>
  <c r="Q233" i="7944"/>
  <c r="Q676" i="7944"/>
  <c r="Q478" i="7944"/>
  <c r="Q688" i="7944"/>
  <c r="Q582" i="7944"/>
  <c r="Q716" i="7944"/>
  <c r="Q756" i="7944"/>
  <c r="Q322" i="7944"/>
  <c r="Q751" i="7944"/>
  <c r="Q596" i="7944"/>
  <c r="Q338" i="7944"/>
  <c r="Q437" i="7944"/>
  <c r="Q679" i="7944"/>
  <c r="Q574" i="7944"/>
  <c r="Q611" i="7944"/>
  <c r="Q660" i="7944"/>
  <c r="Q281" i="7944"/>
  <c r="Q476" i="7944"/>
  <c r="Q608" i="7944"/>
  <c r="Q245" i="7944"/>
  <c r="Q556" i="7944"/>
  <c r="Q310" i="7944"/>
  <c r="Q234" i="7944"/>
  <c r="Q558" i="7944"/>
  <c r="Q350" i="7944"/>
  <c r="Q493" i="7944"/>
  <c r="Q559" i="7944"/>
  <c r="Q702" i="7944"/>
  <c r="Q364" i="7944"/>
  <c r="Q442" i="7944"/>
  <c r="Q363" i="7944"/>
  <c r="Q220" i="7944"/>
  <c r="Q597" i="7944"/>
  <c r="Q416" i="7944"/>
  <c r="Q598" i="7944"/>
  <c r="Q637" i="7944"/>
  <c r="Q249" i="7944"/>
  <c r="Q379" i="7944"/>
  <c r="Q703" i="7944"/>
  <c r="Q325" i="7944"/>
  <c r="Q561" i="7944"/>
  <c r="Q534" i="7944"/>
  <c r="Q393" i="7944"/>
  <c r="Q652" i="7944"/>
  <c r="Q405" i="7944"/>
  <c r="Q224" i="7944"/>
  <c r="Q614" i="7944"/>
  <c r="Q509" i="7944"/>
  <c r="Q327" i="7944"/>
  <c r="Q522" i="7944"/>
  <c r="Q341" i="7944"/>
  <c r="Q172" i="7944"/>
  <c r="Q199" i="7944"/>
  <c r="Q264" i="7944"/>
  <c r="Q355" i="7944"/>
  <c r="Q563" i="7944"/>
  <c r="Q316" i="7944"/>
  <c r="Q524" i="7944"/>
  <c r="Q732" i="7944"/>
  <c r="Q433" i="7944"/>
  <c r="Q641" i="7944"/>
  <c r="Q342" i="7944"/>
  <c r="Q550" i="7944"/>
  <c r="Q758" i="7944"/>
  <c r="Q430" i="7944"/>
  <c r="Q740" i="7944"/>
  <c r="Q662" i="7944"/>
  <c r="Q387" i="7944"/>
  <c r="Q621" i="7944"/>
  <c r="Q444" i="7944"/>
  <c r="Q613" i="7944"/>
  <c r="Q312" i="7944"/>
  <c r="Q247" i="7944"/>
  <c r="Q284" i="7944"/>
  <c r="Q700" i="7944"/>
  <c r="Q458" i="7944"/>
  <c r="Q523" i="7944"/>
  <c r="Q286" i="7944"/>
  <c r="Q517" i="7944"/>
  <c r="Q471" i="7944"/>
  <c r="Q260" i="7944"/>
  <c r="Q218" i="7944"/>
  <c r="Q203" i="7944"/>
  <c r="Q752" i="7944"/>
  <c r="Q426" i="7944"/>
  <c r="Q738" i="7944"/>
  <c r="Q609" i="7944"/>
  <c r="Q505" i="7944"/>
  <c r="Q414" i="7944"/>
  <c r="Q439" i="7944"/>
  <c r="Q532" i="7944"/>
  <c r="Q595" i="7944"/>
  <c r="Q674" i="7944"/>
  <c r="Q270" i="7944"/>
  <c r="Q324" i="7944"/>
  <c r="Q715" i="7944"/>
  <c r="Q390" i="7944"/>
  <c r="Q413" i="7944"/>
  <c r="Q299" i="7944"/>
  <c r="Q207" i="7944"/>
  <c r="Q273" i="7944"/>
  <c r="Q521" i="7944"/>
  <c r="Q468" i="7944"/>
  <c r="Q288" i="7944"/>
  <c r="Q431" i="7944"/>
  <c r="Q728" i="7944"/>
  <c r="Q717" i="7944"/>
  <c r="Q352" i="7944"/>
  <c r="Q185" i="7944"/>
  <c r="Q653" i="7944"/>
  <c r="Q300" i="7944"/>
  <c r="Q275" i="7944"/>
  <c r="Q432" i="7944"/>
  <c r="Q248" i="7944"/>
  <c r="Q237" i="7944"/>
  <c r="Q380" i="7944"/>
  <c r="Q445" i="7944"/>
  <c r="Q366" i="7944"/>
  <c r="Q251" i="7944"/>
  <c r="Q173" i="7944"/>
  <c r="Q407" i="7944"/>
  <c r="Q615" i="7944"/>
  <c r="Q368" i="7944"/>
  <c r="Q576" i="7944"/>
  <c r="Q277" i="7944"/>
  <c r="Q485" i="7944"/>
  <c r="Q693" i="7944"/>
  <c r="Q394" i="7944"/>
  <c r="Q602" i="7944"/>
  <c r="Q419" i="7944"/>
  <c r="Q506" i="7944"/>
  <c r="Q455" i="7944"/>
  <c r="Q623" i="7944"/>
  <c r="Q713" i="7944"/>
  <c r="Q271" i="7944"/>
  <c r="Q661" i="7944"/>
  <c r="Q294" i="7944"/>
  <c r="Q276" i="7944"/>
  <c r="Q626" i="7944"/>
  <c r="Q599" i="7944"/>
  <c r="Q376" i="7944"/>
  <c r="Q480" i="7944"/>
  <c r="Q725" i="7944"/>
  <c r="Q223" i="7944"/>
  <c r="Q346" i="7944"/>
  <c r="Q549" i="7944"/>
  <c r="Q315" i="7944"/>
  <c r="Q259" i="7944"/>
  <c r="Q530" i="7944"/>
  <c r="Q211" i="7944"/>
  <c r="Q301" i="7944"/>
  <c r="Q754" i="7944"/>
  <c r="Q610" i="7944"/>
  <c r="Q491" i="7944"/>
  <c r="Q359" i="7944"/>
  <c r="Q469" i="7944"/>
  <c r="Q519" i="7944"/>
  <c r="Q335" i="7944"/>
  <c r="Q504" i="7944"/>
  <c r="Q649" i="7944"/>
  <c r="Q648" i="7944"/>
  <c r="Q569" i="7944"/>
  <c r="Q452" i="7944"/>
  <c r="Q739" i="7944"/>
  <c r="Q571" i="7944"/>
  <c r="Q635" i="7944"/>
  <c r="Q726" i="7944"/>
  <c r="Q287" i="7944"/>
  <c r="Q465" i="7944"/>
  <c r="Q481" i="7944"/>
  <c r="Q557" i="7944"/>
  <c r="Q311" i="7944"/>
  <c r="Q340" i="7944"/>
  <c r="Q586" i="7944"/>
  <c r="Q353" i="7944"/>
  <c r="Q624" i="7944"/>
  <c r="Q339" i="7944"/>
  <c r="Q612" i="7944"/>
  <c r="Q285" i="7944"/>
  <c r="Q755" i="7944"/>
  <c r="Q705" i="7944"/>
  <c r="Q289" i="7944"/>
  <c r="Q302" i="7944"/>
  <c r="Q562" i="7944"/>
  <c r="Q757" i="7944"/>
  <c r="Q587" i="7944"/>
  <c r="Q457" i="7944"/>
  <c r="Q198" i="7944"/>
  <c r="Q575" i="7944"/>
  <c r="Q250" i="7944"/>
  <c r="Q186" i="7944"/>
  <c r="Q160" i="7944"/>
  <c r="Q225" i="7944"/>
  <c r="Q459" i="7944"/>
  <c r="Q667" i="7944"/>
  <c r="Q420" i="7944"/>
  <c r="Q628" i="7944"/>
  <c r="Q329" i="7944"/>
  <c r="Q537" i="7944"/>
  <c r="Q745" i="7944"/>
  <c r="Q446" i="7944"/>
  <c r="Q654" i="7944"/>
  <c r="Q536" i="7944"/>
  <c r="Q159" i="7944"/>
  <c r="Q714" i="7944"/>
  <c r="Q388" i="7944"/>
  <c r="Q298" i="7944"/>
  <c r="Q645" i="7944"/>
  <c r="Q506" i="18"/>
  <c r="Q402" i="18"/>
  <c r="Q220" i="18"/>
  <c r="Q467" i="18"/>
  <c r="Q649" i="18"/>
  <c r="Q532" i="18"/>
  <c r="Q610" i="18"/>
  <c r="Q688" i="18"/>
  <c r="Q519" i="18"/>
  <c r="Q285" i="18"/>
  <c r="Q545" i="18"/>
  <c r="Q623" i="18"/>
  <c r="Q246" i="18"/>
  <c r="Q636" i="18"/>
  <c r="Q298" i="18"/>
  <c r="Q181" i="18"/>
  <c r="Q675" i="18"/>
  <c r="Q428" i="18"/>
  <c r="Q376" i="18"/>
  <c r="Q311" i="18"/>
  <c r="Q142" i="18"/>
  <c r="Q168" i="18"/>
  <c r="Q389" i="18"/>
  <c r="Q259" i="18"/>
  <c r="Q493" i="18"/>
  <c r="Q207" i="18"/>
  <c r="Q701" i="18"/>
  <c r="Q480" i="18"/>
  <c r="Q363" i="18"/>
  <c r="Q350" i="18"/>
  <c r="Q441" i="18"/>
  <c r="Q415" i="18"/>
  <c r="Q454" i="18"/>
  <c r="Q337" i="18"/>
  <c r="Q194" i="18"/>
  <c r="Q233" i="18"/>
  <c r="Q662" i="18"/>
  <c r="Q558" i="18"/>
  <c r="Q155" i="18"/>
  <c r="Q584" i="18"/>
  <c r="Q272" i="18"/>
  <c r="Q597" i="18"/>
  <c r="Q571" i="18"/>
  <c r="Q324" i="18"/>
  <c r="O210" i="7942"/>
  <c r="O211" i="7942" s="1"/>
  <c r="M508" i="7942"/>
  <c r="O1079" i="18"/>
  <c r="N1080" i="18"/>
  <c r="P14" i="18"/>
  <c r="P772" i="18" s="1"/>
  <c r="P62" i="7941" s="1"/>
  <c r="P13" i="18"/>
  <c r="P771" i="18" s="1"/>
  <c r="P61" i="7941" s="1"/>
  <c r="P44" i="18"/>
  <c r="P802" i="18" s="1"/>
  <c r="P92" i="7941" s="1"/>
  <c r="P37" i="18"/>
  <c r="P795" i="18" s="1"/>
  <c r="P85" i="7941" s="1"/>
  <c r="P18" i="18"/>
  <c r="P776" i="18" s="1"/>
  <c r="P66" i="7941" s="1"/>
  <c r="P55" i="18"/>
  <c r="P813" i="18" s="1"/>
  <c r="P103" i="7941" s="1"/>
  <c r="P26" i="18"/>
  <c r="P784" i="18" s="1"/>
  <c r="P74" i="7941" s="1"/>
  <c r="P19" i="18"/>
  <c r="P777" i="18" s="1"/>
  <c r="P67" i="7941" s="1"/>
  <c r="P47" i="18"/>
  <c r="P805" i="18" s="1"/>
  <c r="P95" i="7941" s="1"/>
  <c r="P56" i="18"/>
  <c r="P814" i="18" s="1"/>
  <c r="P104" i="7941" s="1"/>
  <c r="P12" i="18"/>
  <c r="P53" i="18"/>
  <c r="P811" i="18" s="1"/>
  <c r="P101" i="7941" s="1"/>
  <c r="P51" i="18"/>
  <c r="P809" i="18" s="1"/>
  <c r="P99" i="7941" s="1"/>
  <c r="P31" i="18"/>
  <c r="P789" i="18" s="1"/>
  <c r="P79" i="7941" s="1"/>
  <c r="P48" i="18"/>
  <c r="P806" i="18" s="1"/>
  <c r="P96" i="7941" s="1"/>
  <c r="P36" i="18"/>
  <c r="P794" i="18" s="1"/>
  <c r="P84" i="7941" s="1"/>
  <c r="P32" i="18"/>
  <c r="P790" i="18" s="1"/>
  <c r="P80" i="7941" s="1"/>
  <c r="P43" i="18"/>
  <c r="P801" i="18" s="1"/>
  <c r="P91" i="7941" s="1"/>
  <c r="P52" i="18"/>
  <c r="P810" i="18" s="1"/>
  <c r="P100" i="7941" s="1"/>
  <c r="P16" i="18"/>
  <c r="P774" i="18" s="1"/>
  <c r="P64" i="7941" s="1"/>
  <c r="P22" i="18"/>
  <c r="P780" i="18" s="1"/>
  <c r="P70" i="7941" s="1"/>
  <c r="P24" i="18"/>
  <c r="P782" i="18" s="1"/>
  <c r="P72" i="7941" s="1"/>
  <c r="P57" i="18"/>
  <c r="P815" i="18" s="1"/>
  <c r="P105" i="7941" s="1"/>
  <c r="P30" i="18"/>
  <c r="P788" i="18" s="1"/>
  <c r="P78" i="7941" s="1"/>
  <c r="P50" i="18"/>
  <c r="P808" i="18" s="1"/>
  <c r="P98" i="7941" s="1"/>
  <c r="P15" i="18"/>
  <c r="P773" i="18" s="1"/>
  <c r="P63" i="7941" s="1"/>
  <c r="P34" i="18"/>
  <c r="P792" i="18" s="1"/>
  <c r="P82" i="7941" s="1"/>
  <c r="P54" i="18"/>
  <c r="P812" i="18" s="1"/>
  <c r="P102" i="7941" s="1"/>
  <c r="P35" i="18"/>
  <c r="P793" i="18" s="1"/>
  <c r="P83" i="7941" s="1"/>
  <c r="P38" i="18"/>
  <c r="P796" i="18" s="1"/>
  <c r="P86" i="7941" s="1"/>
  <c r="P20" i="18"/>
  <c r="P778" i="18" s="1"/>
  <c r="P68" i="7941" s="1"/>
  <c r="P60" i="18"/>
  <c r="P818" i="18" s="1"/>
  <c r="P108" i="7941" s="1"/>
  <c r="P59" i="18"/>
  <c r="P817" i="18" s="1"/>
  <c r="P107" i="7941" s="1"/>
  <c r="P39" i="18"/>
  <c r="P797" i="18" s="1"/>
  <c r="P87" i="7941" s="1"/>
  <c r="P17" i="18"/>
  <c r="P775" i="18" s="1"/>
  <c r="P65" i="7941" s="1"/>
  <c r="P27" i="18"/>
  <c r="P785" i="18" s="1"/>
  <c r="P75" i="7941" s="1"/>
  <c r="P49" i="18"/>
  <c r="P807" i="18" s="1"/>
  <c r="P97" i="7941" s="1"/>
  <c r="P46" i="18"/>
  <c r="P804" i="18" s="1"/>
  <c r="P94" i="7941" s="1"/>
  <c r="P21" i="18"/>
  <c r="P779" i="18" s="1"/>
  <c r="P69" i="7941" s="1"/>
  <c r="P28" i="18"/>
  <c r="P786" i="18" s="1"/>
  <c r="P76" i="7941" s="1"/>
  <c r="P29" i="18"/>
  <c r="P787" i="18" s="1"/>
  <c r="P77" i="7941" s="1"/>
  <c r="P58" i="18"/>
  <c r="P816" i="18" s="1"/>
  <c r="P106" i="7941" s="1"/>
  <c r="P23" i="18"/>
  <c r="P781" i="18" s="1"/>
  <c r="P71" i="7941" s="1"/>
  <c r="P42" i="18"/>
  <c r="P800" i="18" s="1"/>
  <c r="P90" i="7941" s="1"/>
  <c r="P61" i="18"/>
  <c r="P819" i="18" s="1"/>
  <c r="P109" i="7941" s="1"/>
  <c r="P33" i="18"/>
  <c r="P791" i="18" s="1"/>
  <c r="P81" i="7941" s="1"/>
  <c r="P40" i="18"/>
  <c r="P798" i="18" s="1"/>
  <c r="P88" i="7941" s="1"/>
  <c r="P25" i="18"/>
  <c r="P783" i="18" s="1"/>
  <c r="P73" i="7941" s="1"/>
  <c r="P41" i="18"/>
  <c r="P799" i="18" s="1"/>
  <c r="P89" i="7941" s="1"/>
  <c r="P45" i="18"/>
  <c r="P803" i="18" s="1"/>
  <c r="P93" i="7941" s="1"/>
  <c r="Q19" i="18"/>
  <c r="Q52" i="18"/>
  <c r="Q21" i="18"/>
  <c r="Q48" i="18"/>
  <c r="Q56" i="18"/>
  <c r="Q34" i="18"/>
  <c r="Q36" i="18"/>
  <c r="Q42" i="18"/>
  <c r="Q44" i="18"/>
  <c r="Q15" i="18"/>
  <c r="Q13" i="18"/>
  <c r="Q40" i="18"/>
  <c r="Q46" i="18"/>
  <c r="Q25" i="18"/>
  <c r="Q55" i="18"/>
  <c r="Q43" i="18"/>
  <c r="Q31" i="18"/>
  <c r="Q54" i="18"/>
  <c r="Q32" i="18"/>
  <c r="Q38" i="18"/>
  <c r="Q28" i="18"/>
  <c r="Q57" i="18"/>
  <c r="Q41" i="18"/>
  <c r="Q30" i="18"/>
  <c r="Q17" i="18"/>
  <c r="Q23" i="18"/>
  <c r="Q12" i="18"/>
  <c r="Q35" i="18"/>
  <c r="Q59" i="18"/>
  <c r="Q33" i="18"/>
  <c r="Q61" i="18"/>
  <c r="Q60" i="18"/>
  <c r="Q47" i="18"/>
  <c r="Q16" i="18"/>
  <c r="Q58" i="18"/>
  <c r="Q27" i="18"/>
  <c r="Q51" i="18"/>
  <c r="Q24" i="18"/>
  <c r="Q26" i="18"/>
  <c r="Q29" i="18"/>
  <c r="Q53" i="18"/>
  <c r="Q49" i="18"/>
  <c r="Q39" i="18"/>
  <c r="Q22" i="18"/>
  <c r="Q18" i="18"/>
  <c r="Q20" i="18"/>
  <c r="Q37" i="18"/>
  <c r="Q50" i="18"/>
  <c r="Q14" i="18"/>
  <c r="Q45" i="18"/>
  <c r="N1062" i="18"/>
  <c r="P700" i="18"/>
  <c r="Q700" i="18" s="1"/>
  <c r="Q687" i="18"/>
  <c r="O462" i="7942"/>
  <c r="O264" i="7942"/>
  <c r="P264" i="7942" s="1"/>
  <c r="P265" i="7942" s="1"/>
  <c r="O488" i="7942"/>
  <c r="P1062" i="18"/>
  <c r="O256" i="7942"/>
  <c r="O257" i="7942" s="1"/>
  <c r="O206" i="7942"/>
  <c r="O207" i="7942" s="1"/>
  <c r="P1060" i="18"/>
  <c r="P1052" i="18"/>
  <c r="P1073" i="18"/>
  <c r="P1064" i="18"/>
  <c r="P1069" i="18"/>
  <c r="P1066" i="18"/>
  <c r="P1079" i="18"/>
  <c r="K755" i="18"/>
  <c r="K1121" i="18" s="1"/>
  <c r="J149" i="7941"/>
  <c r="K761" i="18"/>
  <c r="K1127" i="18" s="1"/>
  <c r="J155" i="7941"/>
  <c r="K51" i="7941" s="1"/>
  <c r="J360" i="7941"/>
  <c r="K46" i="7941"/>
  <c r="J356" i="7941"/>
  <c r="K42" i="7941"/>
  <c r="J853" i="18"/>
  <c r="J333" i="7941"/>
  <c r="K19" i="7941"/>
  <c r="N1078" i="18"/>
  <c r="N508" i="7942"/>
  <c r="O1058" i="18"/>
  <c r="P1068" i="18"/>
  <c r="O1068" i="18"/>
  <c r="O1074" i="18"/>
  <c r="O444" i="7942"/>
  <c r="O463" i="7942"/>
  <c r="O464" i="7942" s="1"/>
  <c r="P507" i="7942"/>
  <c r="J516" i="7942"/>
  <c r="I517" i="7942"/>
  <c r="J517" i="7942" s="1"/>
  <c r="A521" i="7942"/>
  <c r="H519" i="7942"/>
  <c r="I516" i="7942"/>
  <c r="K515" i="7942"/>
  <c r="M512" i="7942"/>
  <c r="L512" i="7942"/>
  <c r="N511" i="7942"/>
  <c r="N512" i="7942" s="1"/>
  <c r="K513" i="7942"/>
  <c r="J514" i="7942"/>
  <c r="M509" i="7942"/>
  <c r="N509" i="7942" s="1"/>
  <c r="O476" i="7942"/>
  <c r="N207" i="7942"/>
  <c r="O454" i="7942"/>
  <c r="P480" i="7942"/>
  <c r="P478" i="7942"/>
  <c r="O456" i="7942"/>
  <c r="N490" i="7942"/>
  <c r="N462" i="7942"/>
  <c r="N476" i="7942"/>
  <c r="N502" i="7942"/>
  <c r="O508" i="7942"/>
  <c r="O502" i="7942"/>
  <c r="P442" i="7942"/>
  <c r="N442" i="7942"/>
  <c r="O450" i="7942"/>
  <c r="O186" i="7942"/>
  <c r="O187" i="7942" s="1"/>
  <c r="P444" i="7942"/>
  <c r="O492" i="7942"/>
  <c r="N484" i="7942"/>
  <c r="Q492" i="7942"/>
  <c r="Q560" i="7941" s="1"/>
  <c r="O470" i="7942"/>
  <c r="P454" i="7942"/>
  <c r="P494" i="7942"/>
  <c r="P460" i="7942"/>
  <c r="P452" i="7942"/>
  <c r="Q474" i="7942"/>
  <c r="Q551" i="7941" s="1"/>
  <c r="O474" i="7942"/>
  <c r="P492" i="7942"/>
  <c r="O448" i="7942"/>
  <c r="O466" i="7942"/>
  <c r="N494" i="7942"/>
  <c r="P468" i="7942"/>
  <c r="P488" i="7942"/>
  <c r="P486" i="7942"/>
  <c r="N496" i="7942"/>
  <c r="O490" i="7942"/>
  <c r="P466" i="7942"/>
  <c r="O486" i="7942"/>
  <c r="O472" i="7942"/>
  <c r="N448" i="7942"/>
  <c r="N440" i="7942"/>
  <c r="Q504" i="7942"/>
  <c r="Q566" i="7941" s="1"/>
  <c r="N482" i="7942"/>
  <c r="N468" i="7942"/>
  <c r="O188" i="7942"/>
  <c r="O189" i="7942" s="1"/>
  <c r="O208" i="7942"/>
  <c r="O209" i="7942" s="1"/>
  <c r="O196" i="7942"/>
  <c r="O197" i="7942" s="1"/>
  <c r="O1054" i="18"/>
  <c r="O1075" i="18"/>
  <c r="O1076" i="18"/>
  <c r="O1055" i="18"/>
  <c r="O228" i="7942"/>
  <c r="O229" i="7942" s="1"/>
  <c r="B2631" i="7949"/>
  <c r="B2577" i="7949"/>
  <c r="B2547" i="7949"/>
  <c r="B2469" i="7949"/>
  <c r="B2439" i="7949"/>
  <c r="B2253" i="7949"/>
  <c r="B2223" i="7949"/>
  <c r="B2199" i="7949"/>
  <c r="B2169" i="7949"/>
  <c r="B2709" i="7949"/>
  <c r="B2685" i="7949"/>
  <c r="B2655" i="7949"/>
  <c r="B2601" i="7949"/>
  <c r="B2523" i="7949"/>
  <c r="B2493" i="7949"/>
  <c r="B2415" i="7949"/>
  <c r="B2385" i="7949"/>
  <c r="B2361" i="7949"/>
  <c r="B2331" i="7949"/>
  <c r="B2307" i="7949"/>
  <c r="B2277" i="7949"/>
  <c r="B2145" i="7949"/>
  <c r="B2115" i="7949"/>
  <c r="B2091" i="7949"/>
  <c r="B2061" i="7949"/>
  <c r="B2037" i="7949"/>
  <c r="B2007" i="7949"/>
  <c r="B1929" i="7949"/>
  <c r="B1899" i="7949"/>
  <c r="B1713" i="7949"/>
  <c r="B1683" i="7949"/>
  <c r="B1659" i="7949"/>
  <c r="B1629" i="7949"/>
  <c r="B1605" i="7949"/>
  <c r="B1575" i="7949"/>
  <c r="B1983" i="7949"/>
  <c r="B1953" i="7949"/>
  <c r="B1875" i="7949"/>
  <c r="B1845" i="7949"/>
  <c r="B1821" i="7949"/>
  <c r="B1791" i="7949"/>
  <c r="B1767" i="7949"/>
  <c r="B1737" i="7949"/>
  <c r="B1551" i="7949"/>
  <c r="B1521" i="7949"/>
  <c r="B1497" i="7949"/>
  <c r="B1467" i="7949"/>
  <c r="B1389" i="7949"/>
  <c r="B1359" i="7949"/>
  <c r="B1143" i="7949"/>
  <c r="B981" i="7949"/>
  <c r="B903" i="7949"/>
  <c r="B873" i="7949"/>
  <c r="B849" i="7949"/>
  <c r="B819" i="7949"/>
  <c r="B795" i="7949"/>
  <c r="B765" i="7949"/>
  <c r="B741" i="7949"/>
  <c r="B711" i="7949"/>
  <c r="B687" i="7949"/>
  <c r="B657" i="7949"/>
  <c r="B579" i="7949"/>
  <c r="B549" i="7949"/>
  <c r="B309" i="7949"/>
  <c r="B279" i="7949"/>
  <c r="B1443" i="7949"/>
  <c r="B1413" i="7949"/>
  <c r="B1335" i="7949"/>
  <c r="B1305" i="7949"/>
  <c r="B1281" i="7949"/>
  <c r="B1251" i="7949"/>
  <c r="B1227" i="7949"/>
  <c r="B1197" i="7949"/>
  <c r="B1173" i="7949"/>
  <c r="B1119" i="7949"/>
  <c r="B1089" i="7949"/>
  <c r="B1065" i="7949"/>
  <c r="B1035" i="7949"/>
  <c r="B1011" i="7949"/>
  <c r="B957" i="7949"/>
  <c r="B927" i="7949"/>
  <c r="B633" i="7949"/>
  <c r="B603" i="7949"/>
  <c r="B525" i="7949"/>
  <c r="B495" i="7949"/>
  <c r="B471" i="7949"/>
  <c r="B441" i="7949"/>
  <c r="B417" i="7949"/>
  <c r="B387" i="7949"/>
  <c r="B255" i="7949"/>
  <c r="B225" i="7949"/>
  <c r="B201" i="7949"/>
  <c r="B171" i="7949"/>
  <c r="B147" i="7949"/>
  <c r="B363" i="7949"/>
  <c r="B333" i="7949"/>
  <c r="B93" i="7949"/>
  <c r="B117" i="7949"/>
  <c r="B2679" i="7950"/>
  <c r="B2649" i="7950"/>
  <c r="B2571" i="7950"/>
  <c r="B2625" i="7950"/>
  <c r="B2595" i="7950"/>
  <c r="B2541" i="7950"/>
  <c r="B2487" i="7950"/>
  <c r="B2409" i="7950"/>
  <c r="B2379" i="7950"/>
  <c r="B2301" i="7950"/>
  <c r="B2271" i="7950"/>
  <c r="B2703" i="7950"/>
  <c r="B2517" i="7950"/>
  <c r="B2433" i="7950"/>
  <c r="B2355" i="7950"/>
  <c r="B2325" i="7950"/>
  <c r="B2247" i="7950"/>
  <c r="B2217" i="7950"/>
  <c r="B2193" i="7950"/>
  <c r="B2163" i="7950"/>
  <c r="B2139" i="7950"/>
  <c r="B2109" i="7950"/>
  <c r="B2085" i="7950"/>
  <c r="B2055" i="7950"/>
  <c r="B1947" i="7950"/>
  <c r="B1923" i="7950"/>
  <c r="B1893" i="7950"/>
  <c r="B1815" i="7950"/>
  <c r="B1785" i="7950"/>
  <c r="B2031" i="7950"/>
  <c r="B2001" i="7950"/>
  <c r="B1977" i="7950"/>
  <c r="B1869" i="7950"/>
  <c r="B1839" i="7950"/>
  <c r="B1653" i="7950"/>
  <c r="B1623" i="7950"/>
  <c r="B1491" i="7950"/>
  <c r="B1461" i="7950"/>
  <c r="B1407" i="7950"/>
  <c r="B1329" i="7950"/>
  <c r="B1245" i="7950"/>
  <c r="B951" i="7950"/>
  <c r="B867" i="7950"/>
  <c r="B843" i="7950"/>
  <c r="B789" i="7950"/>
  <c r="B759" i="7950"/>
  <c r="B735" i="7950"/>
  <c r="B705" i="7950"/>
  <c r="B2463" i="7950"/>
  <c r="B1731" i="7950"/>
  <c r="B1569" i="7950"/>
  <c r="B1545" i="7950"/>
  <c r="B1515" i="7950"/>
  <c r="B1299" i="7950"/>
  <c r="B1221" i="7950"/>
  <c r="B1191" i="7950"/>
  <c r="B1113" i="7950"/>
  <c r="B1083" i="7950"/>
  <c r="B1029" i="7950"/>
  <c r="B1005" i="7950"/>
  <c r="B975" i="7950"/>
  <c r="B897" i="7950"/>
  <c r="B813" i="7950"/>
  <c r="B627" i="7950"/>
  <c r="B597" i="7950"/>
  <c r="B573" i="7950"/>
  <c r="B543" i="7950"/>
  <c r="B519" i="7950"/>
  <c r="B489" i="7950"/>
  <c r="B465" i="7950"/>
  <c r="B435" i="7950"/>
  <c r="B411" i="7950"/>
  <c r="B381" i="7950"/>
  <c r="B1761" i="7950"/>
  <c r="B1707" i="7950"/>
  <c r="B1677" i="7950"/>
  <c r="B1599" i="7950"/>
  <c r="B1437" i="7950"/>
  <c r="B1383" i="7950"/>
  <c r="B1353" i="7950"/>
  <c r="B1275" i="7950"/>
  <c r="B1167" i="7950"/>
  <c r="B1137" i="7950"/>
  <c r="B1059" i="7950"/>
  <c r="B921" i="7950"/>
  <c r="B681" i="7950"/>
  <c r="B651" i="7950"/>
  <c r="B357" i="7950"/>
  <c r="B327" i="7950"/>
  <c r="B303" i="7950"/>
  <c r="B273" i="7950"/>
  <c r="B249" i="7950"/>
  <c r="V86" i="7950"/>
  <c r="W86" i="7950" s="1"/>
  <c r="B195" i="7950"/>
  <c r="B165" i="7950"/>
  <c r="B219" i="7950"/>
  <c r="B141" i="7950"/>
  <c r="B111" i="7950"/>
  <c r="B87" i="7950"/>
  <c r="O1081" i="18"/>
  <c r="O1065" i="18"/>
  <c r="O212" i="7942"/>
  <c r="O213" i="7942" s="1"/>
  <c r="O184" i="7942"/>
  <c r="O185" i="7942" s="1"/>
  <c r="B57" i="7950"/>
  <c r="B33" i="7950"/>
  <c r="W6" i="7950"/>
  <c r="B63" i="7949"/>
  <c r="B39" i="7949"/>
  <c r="O1071" i="18"/>
  <c r="O1052" i="18"/>
  <c r="O1056" i="18"/>
  <c r="O1078" i="18"/>
  <c r="O1039" i="18"/>
  <c r="O262" i="7942"/>
  <c r="O263" i="7942" s="1"/>
  <c r="O226" i="7942"/>
  <c r="O227" i="7942" s="1"/>
  <c r="O1048" i="18"/>
  <c r="O1045" i="18"/>
  <c r="O1050" i="18"/>
  <c r="O1073" i="18"/>
  <c r="O218" i="7942"/>
  <c r="O219" i="7942" s="1"/>
  <c r="O224" i="7942"/>
  <c r="O225" i="7942" s="1"/>
  <c r="O216" i="7942"/>
  <c r="O217" i="7942" s="1"/>
  <c r="O268" i="7942"/>
  <c r="O269" i="7942" s="1"/>
  <c r="O198" i="7942"/>
  <c r="O199" i="7942" s="1"/>
  <c r="O194" i="7942"/>
  <c r="O195" i="7942" s="1"/>
  <c r="O1069" i="18"/>
  <c r="O1044" i="18"/>
  <c r="O1057" i="18"/>
  <c r="O1077" i="18"/>
  <c r="O1062" i="18"/>
  <c r="J371" i="7941"/>
  <c r="N193" i="7942"/>
  <c r="Q8" i="7942"/>
  <c r="P8" i="7942"/>
  <c r="P260" i="7942" s="1"/>
  <c r="O200" i="7942"/>
  <c r="O266" i="7942"/>
  <c r="O244" i="7942"/>
  <c r="O240" i="7942"/>
  <c r="O236" i="7942"/>
  <c r="O246" i="7942"/>
  <c r="O190" i="7942"/>
  <c r="N191" i="7942"/>
  <c r="N221" i="7942"/>
  <c r="O220" i="7942"/>
  <c r="N205" i="7942"/>
  <c r="O204" i="7942"/>
  <c r="N233" i="7942"/>
  <c r="O232" i="7942"/>
  <c r="O193" i="7942"/>
  <c r="N231" i="7942"/>
  <c r="O230" i="7942"/>
  <c r="O242" i="7942"/>
  <c r="N243" i="7942"/>
  <c r="O234" i="7942"/>
  <c r="O235" i="7942" s="1"/>
  <c r="N235" i="7942"/>
  <c r="P192" i="7942"/>
  <c r="Q192" i="7942" s="1"/>
  <c r="N251" i="7942"/>
  <c r="O250" i="7942"/>
  <c r="N223" i="7942"/>
  <c r="O222" i="7942"/>
  <c r="O202" i="7942"/>
  <c r="P202" i="7942" s="1"/>
  <c r="P1065" i="18"/>
  <c r="P1081" i="18"/>
  <c r="P1063" i="18"/>
  <c r="O1064" i="18"/>
  <c r="O1051" i="18"/>
  <c r="P1075" i="18"/>
  <c r="P1050" i="18"/>
  <c r="P1039" i="18"/>
  <c r="P1051" i="18"/>
  <c r="P1057" i="18"/>
  <c r="E5" i="7946"/>
  <c r="P1045" i="18"/>
  <c r="P1054" i="18"/>
  <c r="O1046" i="18"/>
  <c r="N215" i="7942"/>
  <c r="P214" i="7942"/>
  <c r="Q214" i="7942" s="1"/>
  <c r="Q215" i="7942" s="1"/>
  <c r="Q448" i="7941" s="1"/>
  <c r="N249" i="7942"/>
  <c r="N253" i="7942"/>
  <c r="O252" i="7942"/>
  <c r="R3" i="7944"/>
  <c r="R3" i="18"/>
  <c r="N60" i="7941"/>
  <c r="N59" i="7941" s="1"/>
  <c r="N769" i="18"/>
  <c r="O259" i="7942"/>
  <c r="Q7" i="18"/>
  <c r="Q7" i="7942"/>
  <c r="O770" i="18"/>
  <c r="O11" i="18"/>
  <c r="O261" i="7942"/>
  <c r="K140" i="7941"/>
  <c r="L746" i="18"/>
  <c r="L1112" i="18" s="1"/>
  <c r="K132" i="7941"/>
  <c r="L738" i="18"/>
  <c r="L1104" i="18" s="1"/>
  <c r="K124" i="7941"/>
  <c r="L730" i="18"/>
  <c r="L1096" i="18" s="1"/>
  <c r="K139" i="7941"/>
  <c r="L745" i="18"/>
  <c r="L1111" i="18" s="1"/>
  <c r="K131" i="7941"/>
  <c r="L737" i="18"/>
  <c r="L1103" i="18" s="1"/>
  <c r="K123" i="7941"/>
  <c r="L729" i="18"/>
  <c r="L1095" i="18" s="1"/>
  <c r="K134" i="7941"/>
  <c r="L740" i="18"/>
  <c r="L1106" i="18" s="1"/>
  <c r="K126" i="7941"/>
  <c r="L732" i="18"/>
  <c r="L1098" i="18" s="1"/>
  <c r="K141" i="7941"/>
  <c r="L747" i="18"/>
  <c r="L1113" i="18" s="1"/>
  <c r="K133" i="7941"/>
  <c r="L739" i="18"/>
  <c r="L1105" i="18" s="1"/>
  <c r="K125" i="7941"/>
  <c r="L731" i="18"/>
  <c r="L1097" i="18" s="1"/>
  <c r="K136" i="7941"/>
  <c r="L742" i="18"/>
  <c r="L1108" i="18" s="1"/>
  <c r="K128" i="7941"/>
  <c r="L734" i="18"/>
  <c r="L1100" i="18" s="1"/>
  <c r="K120" i="7941"/>
  <c r="L726" i="18"/>
  <c r="L1092" i="18" s="1"/>
  <c r="K135" i="7941"/>
  <c r="L741" i="18"/>
  <c r="L1107" i="18" s="1"/>
  <c r="K127" i="7941"/>
  <c r="L733" i="18"/>
  <c r="L1099" i="18" s="1"/>
  <c r="K119" i="7941"/>
  <c r="L725" i="18"/>
  <c r="L1091" i="18" s="1"/>
  <c r="K138" i="7941"/>
  <c r="L744" i="18"/>
  <c r="L1110" i="18" s="1"/>
  <c r="K130" i="7941"/>
  <c r="L736" i="18"/>
  <c r="L1102" i="18" s="1"/>
  <c r="K122" i="7941"/>
  <c r="L728" i="18"/>
  <c r="L1094" i="18" s="1"/>
  <c r="K137" i="7941"/>
  <c r="L743" i="18"/>
  <c r="L1109" i="18" s="1"/>
  <c r="K129" i="7941"/>
  <c r="L735" i="18"/>
  <c r="L1101" i="18" s="1"/>
  <c r="K121" i="7941"/>
  <c r="L727" i="18"/>
  <c r="L1093" i="18" s="1"/>
  <c r="K57" i="7941"/>
  <c r="K148" i="7941"/>
  <c r="L754" i="18"/>
  <c r="L1120" i="18" s="1"/>
  <c r="K151" i="7941"/>
  <c r="L757" i="18"/>
  <c r="L1123" i="18" s="1"/>
  <c r="K146" i="7941"/>
  <c r="L752" i="18"/>
  <c r="L1118" i="18" s="1"/>
  <c r="K154" i="7941"/>
  <c r="L760" i="18"/>
  <c r="L1126" i="18" s="1"/>
  <c r="K159" i="7941"/>
  <c r="L765" i="18"/>
  <c r="L1131" i="18" s="1"/>
  <c r="K852" i="18"/>
  <c r="K160" i="7941"/>
  <c r="L766" i="18"/>
  <c r="L1132" i="18" s="1"/>
  <c r="K144" i="7941"/>
  <c r="L750" i="18"/>
  <c r="L1116" i="18" s="1"/>
  <c r="K158" i="7941"/>
  <c r="L764" i="18"/>
  <c r="L1130" i="18" s="1"/>
  <c r="K153" i="7941"/>
  <c r="L759" i="18"/>
  <c r="L1125" i="18" s="1"/>
  <c r="K157" i="7941"/>
  <c r="L763" i="18"/>
  <c r="L1129" i="18" s="1"/>
  <c r="K145" i="7941"/>
  <c r="L751" i="18"/>
  <c r="L1117" i="18" s="1"/>
  <c r="K152" i="7941"/>
  <c r="L758" i="18"/>
  <c r="L1124" i="18" s="1"/>
  <c r="K156" i="7941"/>
  <c r="L762" i="18"/>
  <c r="L1128" i="18" s="1"/>
  <c r="K147" i="7941"/>
  <c r="L753" i="18"/>
  <c r="L1119" i="18" s="1"/>
  <c r="K150" i="7941"/>
  <c r="L756" i="18"/>
  <c r="L1122" i="18" s="1"/>
  <c r="Q462" i="7944" l="1"/>
  <c r="Q501" i="7942"/>
  <c r="Q502" i="7942" s="1"/>
  <c r="Q565" i="7941" s="1"/>
  <c r="P502" i="7942"/>
  <c r="Q475" i="7942"/>
  <c r="Q476" i="7942" s="1"/>
  <c r="Q552" i="7941" s="1"/>
  <c r="Q267" i="7944"/>
  <c r="E199" i="7950"/>
  <c r="F199" i="7950" s="1"/>
  <c r="G199" i="7950" s="1"/>
  <c r="H199" i="7950" s="1"/>
  <c r="I199" i="7950" s="1"/>
  <c r="J199" i="7950" s="1"/>
  <c r="E1279" i="7950"/>
  <c r="F1279" i="7950" s="1"/>
  <c r="G1279" i="7950" s="1"/>
  <c r="H1279" i="7950" s="1"/>
  <c r="I1279" i="7950" s="1"/>
  <c r="J1279" i="7950" s="1"/>
  <c r="E1009" i="7950"/>
  <c r="F1009" i="7950" s="1"/>
  <c r="G1009" i="7950" s="1"/>
  <c r="H1009" i="7950" s="1"/>
  <c r="I1009" i="7950" s="1"/>
  <c r="J1009" i="7950" s="1"/>
  <c r="E469" i="7950"/>
  <c r="F469" i="7950" s="1"/>
  <c r="G469" i="7950" s="1"/>
  <c r="H469" i="7950" s="1"/>
  <c r="I469" i="7950" s="1"/>
  <c r="J469" i="7950" s="1"/>
  <c r="E1441" i="7950"/>
  <c r="F1441" i="7950" s="1"/>
  <c r="G1441" i="7950" s="1"/>
  <c r="H1441" i="7950" s="1"/>
  <c r="I1441" i="7950" s="1"/>
  <c r="J1441" i="7950" s="1"/>
  <c r="E2683" i="7950"/>
  <c r="F2683" i="7950" s="1"/>
  <c r="G2683" i="7950" s="1"/>
  <c r="H2683" i="7950" s="1"/>
  <c r="I2683" i="7950" s="1"/>
  <c r="J2683" i="7950" s="1"/>
  <c r="E1063" i="7950"/>
  <c r="F1063" i="7950" s="1"/>
  <c r="G1063" i="7950" s="1"/>
  <c r="H1063" i="7950" s="1"/>
  <c r="I1063" i="7950" s="1"/>
  <c r="J1063" i="7950" s="1"/>
  <c r="E361" i="7950"/>
  <c r="F361" i="7950" s="1"/>
  <c r="G361" i="7950" s="1"/>
  <c r="H361" i="7950" s="1"/>
  <c r="I361" i="7950" s="1"/>
  <c r="J361" i="7950" s="1"/>
  <c r="E2143" i="7950"/>
  <c r="F2143" i="7950" s="1"/>
  <c r="G2143" i="7950" s="1"/>
  <c r="H2143" i="7950" s="1"/>
  <c r="I2143" i="7950" s="1"/>
  <c r="J2143" i="7950" s="1"/>
  <c r="E955" i="7950"/>
  <c r="F955" i="7950" s="1"/>
  <c r="G955" i="7950" s="1"/>
  <c r="H955" i="7950" s="1"/>
  <c r="I955" i="7950" s="1"/>
  <c r="J955" i="7950" s="1"/>
  <c r="E2035" i="7950"/>
  <c r="F2035" i="7950" s="1"/>
  <c r="G2035" i="7950" s="1"/>
  <c r="H2035" i="7950" s="1"/>
  <c r="I2035" i="7950" s="1"/>
  <c r="J2035" i="7950" s="1"/>
  <c r="E253" i="7950"/>
  <c r="F253" i="7950" s="1"/>
  <c r="G253" i="7950" s="1"/>
  <c r="H253" i="7950" s="1"/>
  <c r="I253" i="7950" s="1"/>
  <c r="J253" i="7950" s="1"/>
  <c r="E415" i="7950"/>
  <c r="F415" i="7950" s="1"/>
  <c r="G415" i="7950" s="1"/>
  <c r="H415" i="7950" s="1"/>
  <c r="I415" i="7950" s="1"/>
  <c r="J415" i="7950" s="1"/>
  <c r="E1333" i="7950"/>
  <c r="F1333" i="7950" s="1"/>
  <c r="G1333" i="7950" s="1"/>
  <c r="H1333" i="7950" s="1"/>
  <c r="I1333" i="7950" s="1"/>
  <c r="J1333" i="7950" s="1"/>
  <c r="E2413" i="7950"/>
  <c r="F2413" i="7950" s="1"/>
  <c r="G2413" i="7950" s="1"/>
  <c r="H2413" i="7950" s="1"/>
  <c r="I2413" i="7950" s="1"/>
  <c r="J2413" i="7950" s="1"/>
  <c r="F2389" i="7950"/>
  <c r="G2389" i="7950" s="1"/>
  <c r="H2389" i="7950" s="1"/>
  <c r="I2389" i="7950" s="1"/>
  <c r="J2389" i="7950" s="1"/>
  <c r="P210" i="7942"/>
  <c r="P211" i="7942" s="1"/>
  <c r="L1209" i="7950"/>
  <c r="M1209" i="7950" s="1"/>
  <c r="N1209" i="7950" s="1"/>
  <c r="L1587" i="7950"/>
  <c r="M1587" i="7950" s="1"/>
  <c r="N1587" i="7950" s="1"/>
  <c r="O1587" i="7950" s="1"/>
  <c r="P1587" i="7950" s="1"/>
  <c r="M2398" i="7950"/>
  <c r="N2398" i="7950" s="1"/>
  <c r="O2398" i="7950" s="1"/>
  <c r="P2398" i="7950" s="1"/>
  <c r="Q2398" i="7950" s="1"/>
  <c r="M2668" i="7950"/>
  <c r="N2668" i="7950" s="1"/>
  <c r="O2668" i="7950" s="1"/>
  <c r="P2668" i="7950" s="1"/>
  <c r="Q2668" i="7950" s="1"/>
  <c r="M2020" i="7950"/>
  <c r="N2020" i="7950" s="1"/>
  <c r="O2020" i="7950" s="1"/>
  <c r="P673" i="7950"/>
  <c r="Q673" i="7950" s="1"/>
  <c r="R673" i="7950" s="1"/>
  <c r="S673" i="7950" s="1"/>
  <c r="T673" i="7950" s="1"/>
  <c r="U673" i="7950" s="1"/>
  <c r="V673" i="7950" s="1"/>
  <c r="W673" i="7950" s="1"/>
  <c r="Q188" i="7950"/>
  <c r="R188" i="7950" s="1"/>
  <c r="S188" i="7950" s="1"/>
  <c r="T188" i="7950" s="1"/>
  <c r="U188" i="7950" s="1"/>
  <c r="V188" i="7950" s="1"/>
  <c r="W188" i="7950" s="1"/>
  <c r="Q2024" i="7950"/>
  <c r="R2024" i="7950" s="1"/>
  <c r="S2024" i="7950" s="1"/>
  <c r="T2024" i="7950" s="1"/>
  <c r="U2024" i="7950" s="1"/>
  <c r="V2024" i="7950" s="1"/>
  <c r="W2024" i="7950" s="1"/>
  <c r="Q512" i="7950"/>
  <c r="R512" i="7950" s="1"/>
  <c r="S512" i="7950" s="1"/>
  <c r="T512" i="7950" s="1"/>
  <c r="U512" i="7950" s="1"/>
  <c r="V512" i="7950" s="1"/>
  <c r="W512" i="7950" s="1"/>
  <c r="Q566" i="7950"/>
  <c r="R566" i="7950" s="1"/>
  <c r="S566" i="7950" s="1"/>
  <c r="T566" i="7950" s="1"/>
  <c r="U566" i="7950" s="1"/>
  <c r="V566" i="7950" s="1"/>
  <c r="W566" i="7950" s="1"/>
  <c r="Q350" i="7950"/>
  <c r="R350" i="7950" s="1"/>
  <c r="S350" i="7950" s="1"/>
  <c r="T350" i="7950" s="1"/>
  <c r="U350" i="7950" s="1"/>
  <c r="V350" i="7950" s="1"/>
  <c r="W350" i="7950" s="1"/>
  <c r="S838" i="7950"/>
  <c r="T838" i="7950" s="1"/>
  <c r="U838" i="7950" s="1"/>
  <c r="V838" i="7950" s="1"/>
  <c r="W838" i="7950" s="1"/>
  <c r="S1108" i="7950"/>
  <c r="T1108" i="7950" s="1"/>
  <c r="U1108" i="7950" s="1"/>
  <c r="V1108" i="7950" s="1"/>
  <c r="W1108" i="7950" s="1"/>
  <c r="T1379" i="7950"/>
  <c r="U1379" i="7950" s="1"/>
  <c r="V1379" i="7950" s="1"/>
  <c r="W1379" i="7950" s="1"/>
  <c r="T947" i="7950"/>
  <c r="U947" i="7950" s="1"/>
  <c r="V947" i="7950" s="1"/>
  <c r="W947" i="7950" s="1"/>
  <c r="U192" i="7950"/>
  <c r="V192" i="7950" s="1"/>
  <c r="W192" i="7950" s="1"/>
  <c r="U1812" i="7950"/>
  <c r="V1812" i="7950" s="1"/>
  <c r="W1812" i="7950" s="1"/>
  <c r="U2082" i="7950"/>
  <c r="V2082" i="7950" s="1"/>
  <c r="W2082" i="7950" s="1"/>
  <c r="U408" i="7950"/>
  <c r="V408" i="7950" s="1"/>
  <c r="W408" i="7950" s="1"/>
  <c r="U2514" i="7950"/>
  <c r="V2514" i="7950" s="1"/>
  <c r="W2514" i="7950" s="1"/>
  <c r="E2575" i="7950"/>
  <c r="F2575" i="7950" s="1"/>
  <c r="G2575" i="7950" s="1"/>
  <c r="H2575" i="7950" s="1"/>
  <c r="I2575" i="7950" s="1"/>
  <c r="J2575" i="7950" s="1"/>
  <c r="S1864" i="7950"/>
  <c r="T1864" i="7950" s="1"/>
  <c r="U1864" i="7950" s="1"/>
  <c r="V1864" i="7950" s="1"/>
  <c r="W1864" i="7950" s="1"/>
  <c r="S946" i="7950"/>
  <c r="T946" i="7950" s="1"/>
  <c r="U946" i="7950" s="1"/>
  <c r="V946" i="7950" s="1"/>
  <c r="W946" i="7950" s="1"/>
  <c r="S676" i="7950"/>
  <c r="T676" i="7950" s="1"/>
  <c r="U676" i="7950" s="1"/>
  <c r="V676" i="7950" s="1"/>
  <c r="W676" i="7950" s="1"/>
  <c r="S406" i="7950"/>
  <c r="T406" i="7950" s="1"/>
  <c r="U406" i="7950" s="1"/>
  <c r="V406" i="7950" s="1"/>
  <c r="W406" i="7950" s="1"/>
  <c r="F931" i="7950"/>
  <c r="G931" i="7950" s="1"/>
  <c r="H931" i="7950" s="1"/>
  <c r="I931" i="7950" s="1"/>
  <c r="J931" i="7950" s="1"/>
  <c r="F391" i="7950"/>
  <c r="G391" i="7950" s="1"/>
  <c r="H391" i="7950" s="1"/>
  <c r="I391" i="7950" s="1"/>
  <c r="J391" i="7950" s="1"/>
  <c r="F2659" i="7950"/>
  <c r="G2659" i="7950" s="1"/>
  <c r="H2659" i="7950" s="1"/>
  <c r="I2659" i="7950" s="1"/>
  <c r="J2659" i="7950" s="1"/>
  <c r="F1039" i="7950"/>
  <c r="G1039" i="7950" s="1"/>
  <c r="H1039" i="7950" s="1"/>
  <c r="I1039" i="7950" s="1"/>
  <c r="J1039" i="7950" s="1"/>
  <c r="F337" i="7950"/>
  <c r="G337" i="7950" s="1"/>
  <c r="H337" i="7950" s="1"/>
  <c r="I337" i="7950" s="1"/>
  <c r="J337" i="7950" s="1"/>
  <c r="F1309" i="7950"/>
  <c r="G1309" i="7950" s="1"/>
  <c r="H1309" i="7950" s="1"/>
  <c r="I1309" i="7950" s="1"/>
  <c r="J1309" i="7950" s="1"/>
  <c r="F2119" i="7950"/>
  <c r="G2119" i="7950" s="1"/>
  <c r="H2119" i="7950" s="1"/>
  <c r="I2119" i="7950" s="1"/>
  <c r="J2119" i="7950" s="1"/>
  <c r="S136" i="7950"/>
  <c r="T136" i="7950" s="1"/>
  <c r="U136" i="7950" s="1"/>
  <c r="V136" i="7950" s="1"/>
  <c r="W136" i="7950" s="1"/>
  <c r="S1594" i="7950"/>
  <c r="T1594" i="7950" s="1"/>
  <c r="U1594" i="7950" s="1"/>
  <c r="V1594" i="7950" s="1"/>
  <c r="W1594" i="7950" s="1"/>
  <c r="S1540" i="7950"/>
  <c r="T1540" i="7950" s="1"/>
  <c r="U1540" i="7950" s="1"/>
  <c r="V1540" i="7950" s="1"/>
  <c r="W1540" i="7950" s="1"/>
  <c r="L345" i="7950"/>
  <c r="M345" i="7950" s="1"/>
  <c r="N345" i="7950" s="1"/>
  <c r="O345" i="7950" s="1"/>
  <c r="P345" i="7950" s="1"/>
  <c r="L21" i="7950"/>
  <c r="M21" i="7950" s="1"/>
  <c r="N21" i="7950" s="1"/>
  <c r="O21" i="7950" s="1"/>
  <c r="P21" i="7950" s="1"/>
  <c r="Q21" i="7950" s="1"/>
  <c r="R21" i="7950" s="1"/>
  <c r="S21" i="7950" s="1"/>
  <c r="T21" i="7950" s="1"/>
  <c r="U21" i="7950" s="1"/>
  <c r="V21" i="7950" s="1"/>
  <c r="W21" i="7950" s="1"/>
  <c r="P2239" i="7950"/>
  <c r="Q2239" i="7950" s="1"/>
  <c r="R2239" i="7950" s="1"/>
  <c r="S2239" i="7950" s="1"/>
  <c r="T2239" i="7950" s="1"/>
  <c r="U2239" i="7950" s="1"/>
  <c r="V2239" i="7950" s="1"/>
  <c r="W2239" i="7950" s="1"/>
  <c r="P1267" i="7950"/>
  <c r="Q1267" i="7950" s="1"/>
  <c r="R1267" i="7950" s="1"/>
  <c r="S1267" i="7950" s="1"/>
  <c r="T1267" i="7950" s="1"/>
  <c r="U1267" i="7950" s="1"/>
  <c r="V1267" i="7950" s="1"/>
  <c r="W1267" i="7950" s="1"/>
  <c r="L885" i="7950"/>
  <c r="M885" i="7950" s="1"/>
  <c r="N885" i="7950" s="1"/>
  <c r="O885" i="7950" s="1"/>
  <c r="P885" i="7950" s="1"/>
  <c r="P2401" i="7950"/>
  <c r="Q2401" i="7950" s="1"/>
  <c r="R2401" i="7950" s="1"/>
  <c r="S2401" i="7950" s="1"/>
  <c r="T2401" i="7950" s="1"/>
  <c r="U2401" i="7950" s="1"/>
  <c r="V2401" i="7950" s="1"/>
  <c r="W2401" i="7950" s="1"/>
  <c r="L2073" i="7950"/>
  <c r="M2073" i="7950" s="1"/>
  <c r="N2073" i="7950" s="1"/>
  <c r="O2073" i="7950" s="1"/>
  <c r="P2073" i="7950" s="1"/>
  <c r="M1264" i="7950"/>
  <c r="N1264" i="7950" s="1"/>
  <c r="Q1916" i="7950"/>
  <c r="R1916" i="7950" s="1"/>
  <c r="S1916" i="7950" s="1"/>
  <c r="T1916" i="7950" s="1"/>
  <c r="U1916" i="7950" s="1"/>
  <c r="V1916" i="7950" s="1"/>
  <c r="W1916" i="7950" s="1"/>
  <c r="Q2240" i="7950"/>
  <c r="R2240" i="7950" s="1"/>
  <c r="S2240" i="7950" s="1"/>
  <c r="T2240" i="7950" s="1"/>
  <c r="U2240" i="7950" s="1"/>
  <c r="V2240" i="7950" s="1"/>
  <c r="W2240" i="7950" s="1"/>
  <c r="Q1646" i="7950"/>
  <c r="R1646" i="7950" s="1"/>
  <c r="S1646" i="7950" s="1"/>
  <c r="T1646" i="7950" s="1"/>
  <c r="U1646" i="7950" s="1"/>
  <c r="V1646" i="7950" s="1"/>
  <c r="W1646" i="7950" s="1"/>
  <c r="Q674" i="7950"/>
  <c r="R674" i="7950" s="1"/>
  <c r="S674" i="7950" s="1"/>
  <c r="T674" i="7950" s="1"/>
  <c r="U674" i="7950" s="1"/>
  <c r="V674" i="7950" s="1"/>
  <c r="W674" i="7950" s="1"/>
  <c r="Q296" i="7950"/>
  <c r="R296" i="7950" s="1"/>
  <c r="S296" i="7950" s="1"/>
  <c r="T296" i="7950" s="1"/>
  <c r="U296" i="7950" s="1"/>
  <c r="V296" i="7950" s="1"/>
  <c r="W296" i="7950" s="1"/>
  <c r="R1539" i="7950"/>
  <c r="S1539" i="7950" s="1"/>
  <c r="T1539" i="7950" s="1"/>
  <c r="U1539" i="7950" s="1"/>
  <c r="V1539" i="7950" s="1"/>
  <c r="W1539" i="7950" s="1"/>
  <c r="R405" i="7950"/>
  <c r="S405" i="7950" s="1"/>
  <c r="T405" i="7950" s="1"/>
  <c r="U405" i="7950" s="1"/>
  <c r="V405" i="7950" s="1"/>
  <c r="W405" i="7950" s="1"/>
  <c r="S892" i="7950"/>
  <c r="T892" i="7950" s="1"/>
  <c r="U892" i="7950" s="1"/>
  <c r="V892" i="7950" s="1"/>
  <c r="W892" i="7950" s="1"/>
  <c r="S1486" i="7950"/>
  <c r="T1486" i="7950" s="1"/>
  <c r="U1486" i="7950" s="1"/>
  <c r="V1486" i="7950" s="1"/>
  <c r="W1486" i="7950" s="1"/>
  <c r="S784" i="7950"/>
  <c r="T784" i="7950" s="1"/>
  <c r="U784" i="7950" s="1"/>
  <c r="V784" i="7950" s="1"/>
  <c r="W784" i="7950" s="1"/>
  <c r="T245" i="7950"/>
  <c r="U245" i="7950" s="1"/>
  <c r="V245" i="7950" s="1"/>
  <c r="W245" i="7950" s="1"/>
  <c r="T1109" i="7950"/>
  <c r="U1109" i="7950" s="1"/>
  <c r="V1109" i="7950" s="1"/>
  <c r="W1109" i="7950" s="1"/>
  <c r="T1703" i="7950"/>
  <c r="U1703" i="7950" s="1"/>
  <c r="V1703" i="7950" s="1"/>
  <c r="W1703" i="7950" s="1"/>
  <c r="U1920" i="7950"/>
  <c r="V1920" i="7950" s="1"/>
  <c r="W1920" i="7950" s="1"/>
  <c r="U786" i="7950"/>
  <c r="V786" i="7950" s="1"/>
  <c r="W786" i="7950" s="1"/>
  <c r="U84" i="7950"/>
  <c r="V84" i="7950" s="1"/>
  <c r="W84" i="7950" s="1"/>
  <c r="U2136" i="7950"/>
  <c r="V2136" i="7950" s="1"/>
  <c r="W2136" i="7950" s="1"/>
  <c r="U1866" i="7950"/>
  <c r="V1866" i="7950" s="1"/>
  <c r="W1866" i="7950" s="1"/>
  <c r="U2028" i="7950"/>
  <c r="V2028" i="7950" s="1"/>
  <c r="W2028" i="7950" s="1"/>
  <c r="F229" i="7950"/>
  <c r="G229" i="7950" s="1"/>
  <c r="H229" i="7950" s="1"/>
  <c r="I229" i="7950" s="1"/>
  <c r="J229" i="7950" s="1"/>
  <c r="E631" i="7950"/>
  <c r="F631" i="7950" s="1"/>
  <c r="G631" i="7950" s="1"/>
  <c r="H631" i="7950" s="1"/>
  <c r="I631" i="7950" s="1"/>
  <c r="J631" i="7950" s="1"/>
  <c r="F2011" i="7950"/>
  <c r="G2011" i="7950" s="1"/>
  <c r="H2011" i="7950" s="1"/>
  <c r="I2011" i="7950" s="1"/>
  <c r="J2011" i="7950" s="1"/>
  <c r="E1387" i="7950"/>
  <c r="F1387" i="7950" s="1"/>
  <c r="G1387" i="7950" s="1"/>
  <c r="H1387" i="7950" s="1"/>
  <c r="I1387" i="7950" s="1"/>
  <c r="J1387" i="7950" s="1"/>
  <c r="E2521" i="7950"/>
  <c r="F2521" i="7950" s="1"/>
  <c r="G2521" i="7950" s="1"/>
  <c r="H2521" i="7950" s="1"/>
  <c r="I2521" i="7950" s="1"/>
  <c r="J2521" i="7950" s="1"/>
  <c r="E2359" i="7950"/>
  <c r="F2359" i="7950" s="1"/>
  <c r="G2359" i="7950" s="1"/>
  <c r="H2359" i="7950" s="1"/>
  <c r="I2359" i="7950" s="1"/>
  <c r="J2359" i="7950" s="1"/>
  <c r="E307" i="7950"/>
  <c r="F307" i="7950" s="1"/>
  <c r="G307" i="7950" s="1"/>
  <c r="H307" i="7950" s="1"/>
  <c r="I307" i="7950" s="1"/>
  <c r="J307" i="7950" s="1"/>
  <c r="E1711" i="7950"/>
  <c r="F1711" i="7950" s="1"/>
  <c r="G1711" i="7950" s="1"/>
  <c r="H1711" i="7950" s="1"/>
  <c r="I1711" i="7950" s="1"/>
  <c r="J1711" i="7950" s="1"/>
  <c r="E1603" i="7950"/>
  <c r="F1603" i="7950" s="1"/>
  <c r="G1603" i="7950" s="1"/>
  <c r="H1603" i="7950" s="1"/>
  <c r="I1603" i="7950" s="1"/>
  <c r="J1603" i="7950" s="1"/>
  <c r="F445" i="7950"/>
  <c r="G445" i="7950" s="1"/>
  <c r="H445" i="7950" s="1"/>
  <c r="I445" i="7950" s="1"/>
  <c r="J445" i="7950" s="1"/>
  <c r="E1873" i="7950"/>
  <c r="F1873" i="7950" s="1"/>
  <c r="G1873" i="7950" s="1"/>
  <c r="H1873" i="7950" s="1"/>
  <c r="I1873" i="7950" s="1"/>
  <c r="J1873" i="7950" s="1"/>
  <c r="E523" i="7950"/>
  <c r="F523" i="7950" s="1"/>
  <c r="G523" i="7950" s="1"/>
  <c r="H523" i="7950" s="1"/>
  <c r="I523" i="7950" s="1"/>
  <c r="J523" i="7950" s="1"/>
  <c r="E577" i="7950"/>
  <c r="F577" i="7950" s="1"/>
  <c r="G577" i="7950" s="1"/>
  <c r="H577" i="7950" s="1"/>
  <c r="I577" i="7950" s="1"/>
  <c r="J577" i="7950" s="1"/>
  <c r="E1549" i="7950"/>
  <c r="F1549" i="7950" s="1"/>
  <c r="G1549" i="7950" s="1"/>
  <c r="H1549" i="7950" s="1"/>
  <c r="I1549" i="7950" s="1"/>
  <c r="J1549" i="7950" s="1"/>
  <c r="E1171" i="7950"/>
  <c r="F1171" i="7950" s="1"/>
  <c r="G1171" i="7950" s="1"/>
  <c r="H1171" i="7950" s="1"/>
  <c r="I1171" i="7950" s="1"/>
  <c r="J1171" i="7950" s="1"/>
  <c r="E2305" i="7950"/>
  <c r="F2305" i="7950" s="1"/>
  <c r="G2305" i="7950" s="1"/>
  <c r="H2305" i="7950" s="1"/>
  <c r="I2305" i="7950" s="1"/>
  <c r="J2305" i="7950" s="1"/>
  <c r="E2197" i="7950"/>
  <c r="F2197" i="7950" s="1"/>
  <c r="G2197" i="7950" s="1"/>
  <c r="H2197" i="7950" s="1"/>
  <c r="I2197" i="7950" s="1"/>
  <c r="J2197" i="7950" s="1"/>
  <c r="E739" i="7950"/>
  <c r="F739" i="7950" s="1"/>
  <c r="G739" i="7950" s="1"/>
  <c r="H739" i="7950" s="1"/>
  <c r="I739" i="7950" s="1"/>
  <c r="J739" i="7950" s="1"/>
  <c r="E145" i="7950"/>
  <c r="F145" i="7950" s="1"/>
  <c r="G145" i="7950" s="1"/>
  <c r="H145" i="7950" s="1"/>
  <c r="I145" i="7950" s="1"/>
  <c r="J145" i="7950" s="1"/>
  <c r="P2347" i="7950"/>
  <c r="Q2347" i="7950" s="1"/>
  <c r="R2347" i="7950" s="1"/>
  <c r="S2347" i="7950" s="1"/>
  <c r="T2347" i="7950" s="1"/>
  <c r="U2347" i="7950" s="1"/>
  <c r="V2347" i="7950" s="1"/>
  <c r="W2347" i="7950" s="1"/>
  <c r="E685" i="7950"/>
  <c r="F685" i="7950" s="1"/>
  <c r="G685" i="7950" s="1"/>
  <c r="H685" i="7950" s="1"/>
  <c r="I685" i="7950" s="1"/>
  <c r="J685" i="7950" s="1"/>
  <c r="E901" i="7950"/>
  <c r="F901" i="7950" s="1"/>
  <c r="G901" i="7950" s="1"/>
  <c r="H901" i="7950" s="1"/>
  <c r="I901" i="7950" s="1"/>
  <c r="J901" i="7950" s="1"/>
  <c r="P2671" i="7950"/>
  <c r="Q2671" i="7950" s="1"/>
  <c r="R2671" i="7950" s="1"/>
  <c r="S2671" i="7950" s="1"/>
  <c r="T2671" i="7950" s="1"/>
  <c r="U2671" i="7950" s="1"/>
  <c r="V2671" i="7950" s="1"/>
  <c r="W2671" i="7950" s="1"/>
  <c r="Q80" i="7950"/>
  <c r="R80" i="7950" s="1"/>
  <c r="S80" i="7950" s="1"/>
  <c r="T80" i="7950" s="1"/>
  <c r="U80" i="7950" s="1"/>
  <c r="V80" i="7950" s="1"/>
  <c r="W80" i="7950" s="1"/>
  <c r="Q2132" i="7950"/>
  <c r="R2132" i="7950" s="1"/>
  <c r="S2132" i="7950" s="1"/>
  <c r="T2132" i="7950" s="1"/>
  <c r="U2132" i="7950" s="1"/>
  <c r="V2132" i="7950" s="1"/>
  <c r="W2132" i="7950" s="1"/>
  <c r="Q782" i="7950"/>
  <c r="R782" i="7950" s="1"/>
  <c r="S782" i="7950" s="1"/>
  <c r="T782" i="7950" s="1"/>
  <c r="U782" i="7950" s="1"/>
  <c r="V782" i="7950" s="1"/>
  <c r="W782" i="7950" s="1"/>
  <c r="Q242" i="7950"/>
  <c r="R242" i="7950" s="1"/>
  <c r="S242" i="7950" s="1"/>
  <c r="T242" i="7950" s="1"/>
  <c r="U242" i="7950" s="1"/>
  <c r="V242" i="7950" s="1"/>
  <c r="W242" i="7950" s="1"/>
  <c r="S298" i="7950"/>
  <c r="T298" i="7950" s="1"/>
  <c r="U298" i="7950" s="1"/>
  <c r="V298" i="7950" s="1"/>
  <c r="W298" i="7950" s="1"/>
  <c r="S2188" i="7950"/>
  <c r="T2188" i="7950" s="1"/>
  <c r="U2188" i="7950" s="1"/>
  <c r="V2188" i="7950" s="1"/>
  <c r="W2188" i="7950" s="1"/>
  <c r="S2080" i="7950"/>
  <c r="T2080" i="7950" s="1"/>
  <c r="U2080" i="7950" s="1"/>
  <c r="V2080" i="7950" s="1"/>
  <c r="W2080" i="7950" s="1"/>
  <c r="S1702" i="7950"/>
  <c r="T1702" i="7950" s="1"/>
  <c r="U1702" i="7950" s="1"/>
  <c r="V1702" i="7950" s="1"/>
  <c r="W1702" i="7950" s="1"/>
  <c r="T1649" i="7950"/>
  <c r="U1649" i="7950" s="1"/>
  <c r="V1649" i="7950" s="1"/>
  <c r="W1649" i="7950" s="1"/>
  <c r="T2405" i="7950"/>
  <c r="U2405" i="7950" s="1"/>
  <c r="V2405" i="7950" s="1"/>
  <c r="W2405" i="7950" s="1"/>
  <c r="T137" i="7950"/>
  <c r="U137" i="7950" s="1"/>
  <c r="V137" i="7950" s="1"/>
  <c r="W137" i="7950" s="1"/>
  <c r="T83" i="7950"/>
  <c r="U83" i="7950" s="1"/>
  <c r="V83" i="7950" s="1"/>
  <c r="W83" i="7950" s="1"/>
  <c r="T1433" i="7950"/>
  <c r="U1433" i="7950" s="1"/>
  <c r="V1433" i="7950" s="1"/>
  <c r="W1433" i="7950" s="1"/>
  <c r="T2621" i="7950"/>
  <c r="U2621" i="7950" s="1"/>
  <c r="V2621" i="7950" s="1"/>
  <c r="W2621" i="7950" s="1"/>
  <c r="U1488" i="7950"/>
  <c r="V1488" i="7950" s="1"/>
  <c r="W1488" i="7950" s="1"/>
  <c r="U138" i="7950"/>
  <c r="V138" i="7950" s="1"/>
  <c r="W138" i="7950" s="1"/>
  <c r="U1434" i="7950"/>
  <c r="V1434" i="7950" s="1"/>
  <c r="W1434" i="7950" s="1"/>
  <c r="U1380" i="7950"/>
  <c r="V1380" i="7950" s="1"/>
  <c r="W1380" i="7950" s="1"/>
  <c r="U1218" i="7950"/>
  <c r="V1218" i="7950" s="1"/>
  <c r="W1218" i="7950" s="1"/>
  <c r="U894" i="7950"/>
  <c r="V894" i="7950" s="1"/>
  <c r="W894" i="7950" s="1"/>
  <c r="L2235" i="7950"/>
  <c r="M2235" i="7950" s="1"/>
  <c r="N2235" i="7950" s="1"/>
  <c r="L2343" i="7950"/>
  <c r="M2343" i="7950" s="1"/>
  <c r="N2343" i="7950" s="1"/>
  <c r="O2343" i="7950" s="1"/>
  <c r="P2343" i="7950" s="1"/>
  <c r="M616" i="7950"/>
  <c r="N616" i="7950" s="1"/>
  <c r="O616" i="7950" s="1"/>
  <c r="E793" i="7950"/>
  <c r="F793" i="7950" s="1"/>
  <c r="G793" i="7950" s="1"/>
  <c r="H793" i="7950" s="1"/>
  <c r="I793" i="7950" s="1"/>
  <c r="J793" i="7950" s="1"/>
  <c r="E91" i="7950"/>
  <c r="F91" i="7950" s="1"/>
  <c r="G91" i="7950" s="1"/>
  <c r="H91" i="7950" s="1"/>
  <c r="I91" i="7950" s="1"/>
  <c r="J91" i="7950" s="1"/>
  <c r="E37" i="7950"/>
  <c r="F37" i="7950" s="1"/>
  <c r="G37" i="7950" s="1"/>
  <c r="H37" i="7950" s="1"/>
  <c r="I37" i="7950" s="1"/>
  <c r="J37" i="7950" s="1"/>
  <c r="E2251" i="7950"/>
  <c r="F2251" i="7950" s="1"/>
  <c r="G2251" i="7950" s="1"/>
  <c r="H2251" i="7950" s="1"/>
  <c r="I2251" i="7950" s="1"/>
  <c r="J2251" i="7950" s="1"/>
  <c r="E2629" i="7950"/>
  <c r="F2629" i="7950" s="1"/>
  <c r="G2629" i="7950" s="1"/>
  <c r="H2629" i="7950" s="1"/>
  <c r="I2629" i="7950" s="1"/>
  <c r="J2629" i="7950" s="1"/>
  <c r="E847" i="7950"/>
  <c r="F847" i="7950" s="1"/>
  <c r="G847" i="7950" s="1"/>
  <c r="H847" i="7950" s="1"/>
  <c r="I847" i="7950" s="1"/>
  <c r="J847" i="7950" s="1"/>
  <c r="L453" i="7950"/>
  <c r="M453" i="7950" s="1"/>
  <c r="N453" i="7950" s="1"/>
  <c r="O453" i="7950" s="1"/>
  <c r="P453" i="7950" s="1"/>
  <c r="P2077" i="7950"/>
  <c r="Q2077" i="7950" s="1"/>
  <c r="R2077" i="7950" s="1"/>
  <c r="S2077" i="7950" s="1"/>
  <c r="T2077" i="7950" s="1"/>
  <c r="U2077" i="7950" s="1"/>
  <c r="V2077" i="7950" s="1"/>
  <c r="W2077" i="7950" s="1"/>
  <c r="E1981" i="7950"/>
  <c r="F1981" i="7950" s="1"/>
  <c r="G1981" i="7950" s="1"/>
  <c r="H1981" i="7950" s="1"/>
  <c r="I1981" i="7950" s="1"/>
  <c r="J1981" i="7950" s="1"/>
  <c r="E1765" i="7950"/>
  <c r="F1765" i="7950" s="1"/>
  <c r="G1765" i="7950" s="1"/>
  <c r="H1765" i="7950" s="1"/>
  <c r="I1765" i="7950" s="1"/>
  <c r="J1765" i="7950" s="1"/>
  <c r="E2089" i="7950"/>
  <c r="F2089" i="7950" s="1"/>
  <c r="G2089" i="7950" s="1"/>
  <c r="H2089" i="7950" s="1"/>
  <c r="I2089" i="7950" s="1"/>
  <c r="J2089" i="7950" s="1"/>
  <c r="E1117" i="7950"/>
  <c r="F1117" i="7950" s="1"/>
  <c r="G1117" i="7950" s="1"/>
  <c r="H1117" i="7950" s="1"/>
  <c r="I1117" i="7950" s="1"/>
  <c r="J1117" i="7950" s="1"/>
  <c r="E1495" i="7950"/>
  <c r="F1495" i="7950" s="1"/>
  <c r="G1495" i="7950" s="1"/>
  <c r="H1495" i="7950" s="1"/>
  <c r="I1495" i="7950" s="1"/>
  <c r="J1495" i="7950" s="1"/>
  <c r="M832" i="7950"/>
  <c r="N832" i="7950" s="1"/>
  <c r="O832" i="7950" s="1"/>
  <c r="Q1484" i="7950"/>
  <c r="R1484" i="7950" s="1"/>
  <c r="S1484" i="7950" s="1"/>
  <c r="T1484" i="7950" s="1"/>
  <c r="U1484" i="7950" s="1"/>
  <c r="V1484" i="7950" s="1"/>
  <c r="W1484" i="7950" s="1"/>
  <c r="Q404" i="7950"/>
  <c r="R404" i="7950" s="1"/>
  <c r="S404" i="7950" s="1"/>
  <c r="T404" i="7950" s="1"/>
  <c r="U404" i="7950" s="1"/>
  <c r="V404" i="7950" s="1"/>
  <c r="W404" i="7950" s="1"/>
  <c r="Q2456" i="7950"/>
  <c r="R2456" i="7950" s="1"/>
  <c r="S2456" i="7950" s="1"/>
  <c r="T2456" i="7950" s="1"/>
  <c r="U2456" i="7950" s="1"/>
  <c r="V2456" i="7950" s="1"/>
  <c r="W2456" i="7950" s="1"/>
  <c r="R2025" i="7950"/>
  <c r="S2025" i="7950" s="1"/>
  <c r="T2025" i="7950" s="1"/>
  <c r="U2025" i="7950" s="1"/>
  <c r="V2025" i="7950" s="1"/>
  <c r="W2025" i="7950" s="1"/>
  <c r="R675" i="7950"/>
  <c r="S675" i="7950" s="1"/>
  <c r="T675" i="7950" s="1"/>
  <c r="U675" i="7950" s="1"/>
  <c r="V675" i="7950" s="1"/>
  <c r="W675" i="7950" s="1"/>
  <c r="S1000" i="7950"/>
  <c r="T1000" i="7950" s="1"/>
  <c r="U1000" i="7950" s="1"/>
  <c r="V1000" i="7950" s="1"/>
  <c r="W1000" i="7950" s="1"/>
  <c r="S244" i="7950"/>
  <c r="T244" i="7950" s="1"/>
  <c r="U244" i="7950" s="1"/>
  <c r="V244" i="7950" s="1"/>
  <c r="W244" i="7950" s="1"/>
  <c r="S622" i="7950"/>
  <c r="T622" i="7950" s="1"/>
  <c r="U622" i="7950" s="1"/>
  <c r="V622" i="7950" s="1"/>
  <c r="W622" i="7950" s="1"/>
  <c r="T2189" i="7950"/>
  <c r="U2189" i="7950" s="1"/>
  <c r="V2189" i="7950" s="1"/>
  <c r="W2189" i="7950" s="1"/>
  <c r="T1163" i="7950"/>
  <c r="U1163" i="7950" s="1"/>
  <c r="V1163" i="7950" s="1"/>
  <c r="W1163" i="7950" s="1"/>
  <c r="U1542" i="7950"/>
  <c r="V1542" i="7950" s="1"/>
  <c r="W1542" i="7950" s="1"/>
  <c r="U2460" i="7950"/>
  <c r="V2460" i="7950" s="1"/>
  <c r="W2460" i="7950" s="1"/>
  <c r="U354" i="7950"/>
  <c r="V354" i="7950" s="1"/>
  <c r="W354" i="7950" s="1"/>
  <c r="U1704" i="7950"/>
  <c r="V1704" i="7950" s="1"/>
  <c r="W1704" i="7950" s="1"/>
  <c r="U1164" i="7950"/>
  <c r="V1164" i="7950" s="1"/>
  <c r="W1164" i="7950" s="1"/>
  <c r="P2185" i="7950"/>
  <c r="Q2185" i="7950" s="1"/>
  <c r="R2185" i="7950" s="1"/>
  <c r="S2185" i="7950" s="1"/>
  <c r="T2185" i="7950" s="1"/>
  <c r="U2185" i="7950" s="1"/>
  <c r="V2185" i="7950" s="1"/>
  <c r="W2185" i="7950" s="1"/>
  <c r="L2127" i="7950"/>
  <c r="M2127" i="7950" s="1"/>
  <c r="N2127" i="7950" s="1"/>
  <c r="L1425" i="7950"/>
  <c r="M1425" i="7950" s="1"/>
  <c r="N1425" i="7950" s="1"/>
  <c r="O1425" i="7950" s="1"/>
  <c r="P1425" i="7950" s="1"/>
  <c r="E2467" i="7950"/>
  <c r="F2467" i="7950" s="1"/>
  <c r="G2467" i="7950" s="1"/>
  <c r="H2467" i="7950" s="1"/>
  <c r="I2467" i="7950" s="1"/>
  <c r="J2467" i="7950" s="1"/>
  <c r="E1819" i="7950"/>
  <c r="F1819" i="7950" s="1"/>
  <c r="G1819" i="7950" s="1"/>
  <c r="H1819" i="7950" s="1"/>
  <c r="I1819" i="7950" s="1"/>
  <c r="J1819" i="7950" s="1"/>
  <c r="E1225" i="7950"/>
  <c r="F1225" i="7950" s="1"/>
  <c r="G1225" i="7950" s="1"/>
  <c r="H1225" i="7950" s="1"/>
  <c r="I1225" i="7950" s="1"/>
  <c r="J1225" i="7950" s="1"/>
  <c r="W2355" i="7950"/>
  <c r="R2427" i="7950"/>
  <c r="S2427" i="7950" s="1"/>
  <c r="T2427" i="7950" s="1"/>
  <c r="U2427" i="7950" s="1"/>
  <c r="V2427" i="7950" s="1"/>
  <c r="W2427" i="7950" s="1"/>
  <c r="R2403" i="7950"/>
  <c r="T431" i="7950"/>
  <c r="U431" i="7950" s="1"/>
  <c r="V431" i="7950" s="1"/>
  <c r="W431" i="7950" s="1"/>
  <c r="T407" i="7950"/>
  <c r="P262" i="7950"/>
  <c r="K2258" i="7950"/>
  <c r="L2258" i="7950" s="1"/>
  <c r="M2258" i="7950" s="1"/>
  <c r="N2258" i="7950" s="1"/>
  <c r="O2258" i="7950" s="1"/>
  <c r="K2234" i="7950"/>
  <c r="Q1724" i="7950"/>
  <c r="R1724" i="7950" s="1"/>
  <c r="S1724" i="7950" s="1"/>
  <c r="T1724" i="7950" s="1"/>
  <c r="U1724" i="7950" s="1"/>
  <c r="V1724" i="7950" s="1"/>
  <c r="W1724" i="7950" s="1"/>
  <c r="Q1700" i="7950"/>
  <c r="K638" i="7950"/>
  <c r="L638" i="7950" s="1"/>
  <c r="M638" i="7950" s="1"/>
  <c r="N638" i="7950" s="1"/>
  <c r="O638" i="7950" s="1"/>
  <c r="K614" i="7950"/>
  <c r="K2042" i="7950"/>
  <c r="L2042" i="7950" s="1"/>
  <c r="M2042" i="7950" s="1"/>
  <c r="N2042" i="7950" s="1"/>
  <c r="O2042" i="7950" s="1"/>
  <c r="K2018" i="7950"/>
  <c r="P1395" i="7950"/>
  <c r="O2368" i="7950"/>
  <c r="P2368" i="7950" s="1"/>
  <c r="K2150" i="7950"/>
  <c r="L2150" i="7950" s="1"/>
  <c r="M2150" i="7950" s="1"/>
  <c r="N2150" i="7950" s="1"/>
  <c r="O2150" i="7950" s="1"/>
  <c r="K2126" i="7950"/>
  <c r="Q2696" i="7950"/>
  <c r="R2696" i="7950" s="1"/>
  <c r="S2696" i="7950" s="1"/>
  <c r="T2696" i="7950" s="1"/>
  <c r="U2696" i="7950" s="1"/>
  <c r="V2696" i="7950" s="1"/>
  <c r="W2696" i="7950" s="1"/>
  <c r="Q2672" i="7950"/>
  <c r="Q1022" i="7950"/>
  <c r="R1022" i="7950" s="1"/>
  <c r="S1022" i="7950" s="1"/>
  <c r="T1022" i="7950" s="1"/>
  <c r="U1022" i="7950" s="1"/>
  <c r="V1022" i="7950" s="1"/>
  <c r="W1022" i="7950" s="1"/>
  <c r="Q998" i="7950"/>
  <c r="S52" i="7950"/>
  <c r="S28" i="7950"/>
  <c r="K1610" i="7950"/>
  <c r="L1610" i="7950" s="1"/>
  <c r="M1610" i="7950" s="1"/>
  <c r="N1610" i="7950" s="1"/>
  <c r="O1610" i="7950" s="1"/>
  <c r="K1586" i="7950"/>
  <c r="K746" i="7950"/>
  <c r="L746" i="7950" s="1"/>
  <c r="M746" i="7950" s="1"/>
  <c r="N746" i="7950" s="1"/>
  <c r="O746" i="7950" s="1"/>
  <c r="K722" i="7950"/>
  <c r="N1017" i="7950"/>
  <c r="O1017" i="7950" s="1"/>
  <c r="O1774" i="7950"/>
  <c r="P1774" i="7950" s="1"/>
  <c r="O910" i="7950"/>
  <c r="P910" i="7950" s="1"/>
  <c r="P1287" i="7950"/>
  <c r="P2529" i="7950"/>
  <c r="O2530" i="7950"/>
  <c r="P2530" i="7950" s="1"/>
  <c r="S1834" i="7950"/>
  <c r="T1834" i="7950" s="1"/>
  <c r="U1834" i="7950" s="1"/>
  <c r="V1834" i="7950" s="1"/>
  <c r="W1834" i="7950" s="1"/>
  <c r="S1810" i="7950"/>
  <c r="S2374" i="7950"/>
  <c r="T2374" i="7950" s="1"/>
  <c r="U2374" i="7950" s="1"/>
  <c r="V2374" i="7950" s="1"/>
  <c r="W2374" i="7950" s="1"/>
  <c r="S2350" i="7950"/>
  <c r="T2537" i="7950"/>
  <c r="U2537" i="7950" s="1"/>
  <c r="V2537" i="7950" s="1"/>
  <c r="W2537" i="7950" s="1"/>
  <c r="T2513" i="7950"/>
  <c r="N1989" i="7950"/>
  <c r="O1989" i="7950" s="1"/>
  <c r="S1078" i="7950"/>
  <c r="T1078" i="7950" s="1"/>
  <c r="U1078" i="7950" s="1"/>
  <c r="V1078" i="7950" s="1"/>
  <c r="W1078" i="7950" s="1"/>
  <c r="S1054" i="7950"/>
  <c r="P1129" i="7950"/>
  <c r="Q1129" i="7950" s="1"/>
  <c r="R1129" i="7950" s="1"/>
  <c r="S1129" i="7950" s="1"/>
  <c r="T1129" i="7950" s="1"/>
  <c r="U1129" i="7950" s="1"/>
  <c r="V1129" i="7950" s="1"/>
  <c r="W1129" i="7950" s="1"/>
  <c r="P1105" i="7950"/>
  <c r="K1232" i="7950"/>
  <c r="L1232" i="7950" s="1"/>
  <c r="M1232" i="7950" s="1"/>
  <c r="N1232" i="7950" s="1"/>
  <c r="O1232" i="7950" s="1"/>
  <c r="K1208" i="7950"/>
  <c r="Q478" i="7950"/>
  <c r="T1345" i="7950"/>
  <c r="K584" i="7950"/>
  <c r="L584" i="7950" s="1"/>
  <c r="M584" i="7950" s="1"/>
  <c r="N584" i="7950" s="1"/>
  <c r="O584" i="7950" s="1"/>
  <c r="K560" i="7950"/>
  <c r="Q2206" i="7950"/>
  <c r="K800" i="7950"/>
  <c r="L800" i="7950" s="1"/>
  <c r="M800" i="7950" s="1"/>
  <c r="N800" i="7950" s="1"/>
  <c r="O800" i="7950" s="1"/>
  <c r="K776" i="7950"/>
  <c r="P1507" i="7950"/>
  <c r="Q1507" i="7950" s="1"/>
  <c r="R1507" i="7950" s="1"/>
  <c r="S1507" i="7950" s="1"/>
  <c r="T1507" i="7950" s="1"/>
  <c r="U1507" i="7950" s="1"/>
  <c r="V1507" i="7950" s="1"/>
  <c r="W1507" i="7950" s="1"/>
  <c r="P1483" i="7950"/>
  <c r="P153" i="7950"/>
  <c r="K2366" i="7950"/>
  <c r="L2366" i="7950" s="1"/>
  <c r="M2366" i="7950" s="1"/>
  <c r="N2366" i="7950" s="1"/>
  <c r="O2366" i="7950" s="1"/>
  <c r="K2342" i="7950"/>
  <c r="Q208" i="7950"/>
  <c r="K2420" i="7950"/>
  <c r="L2420" i="7950" s="1"/>
  <c r="M2420" i="7950" s="1"/>
  <c r="N2420" i="7950" s="1"/>
  <c r="O2420" i="7950" s="1"/>
  <c r="K2396" i="7950"/>
  <c r="K206" i="7950"/>
  <c r="L206" i="7950" s="1"/>
  <c r="M206" i="7950" s="1"/>
  <c r="N206" i="7950" s="1"/>
  <c r="O206" i="7950" s="1"/>
  <c r="U1347" i="7950"/>
  <c r="R645" i="7950"/>
  <c r="S645" i="7950" s="1"/>
  <c r="T645" i="7950" s="1"/>
  <c r="U645" i="7950" s="1"/>
  <c r="V645" i="7950" s="1"/>
  <c r="W645" i="7950" s="1"/>
  <c r="R621" i="7950"/>
  <c r="T2105" i="7950"/>
  <c r="U2105" i="7950" s="1"/>
  <c r="V2105" i="7950" s="1"/>
  <c r="W2105" i="7950" s="1"/>
  <c r="T2081" i="7950"/>
  <c r="Q748" i="7950"/>
  <c r="K1880" i="7950"/>
  <c r="L1880" i="7950" s="1"/>
  <c r="M1880" i="7950" s="1"/>
  <c r="N1880" i="7950" s="1"/>
  <c r="O1880" i="7950" s="1"/>
  <c r="K1856" i="7950"/>
  <c r="K1988" i="7950"/>
  <c r="L1988" i="7950" s="1"/>
  <c r="M1988" i="7950" s="1"/>
  <c r="N1988" i="7950" s="1"/>
  <c r="O1988" i="7950" s="1"/>
  <c r="K1964" i="7950"/>
  <c r="Q2314" i="7950"/>
  <c r="N1125" i="7950"/>
  <c r="O1125" i="7950" s="1"/>
  <c r="Q316" i="7950"/>
  <c r="K2636" i="7950"/>
  <c r="L2636" i="7950" s="1"/>
  <c r="M2636" i="7950" s="1"/>
  <c r="N2636" i="7950" s="1"/>
  <c r="O2636" i="7950" s="1"/>
  <c r="K2612" i="7950"/>
  <c r="Q914" i="7950"/>
  <c r="R914" i="7950" s="1"/>
  <c r="S914" i="7950" s="1"/>
  <c r="T914" i="7950" s="1"/>
  <c r="U914" i="7950" s="1"/>
  <c r="V914" i="7950" s="1"/>
  <c r="W914" i="7950" s="1"/>
  <c r="Q890" i="7950"/>
  <c r="U30" i="7950"/>
  <c r="U54" i="7950"/>
  <c r="K1124" i="7950"/>
  <c r="L1124" i="7950" s="1"/>
  <c r="M1124" i="7950" s="1"/>
  <c r="N1124" i="7950" s="1"/>
  <c r="O1124" i="7950" s="1"/>
  <c r="K1100" i="7950"/>
  <c r="K692" i="7950"/>
  <c r="L692" i="7950" s="1"/>
  <c r="M692" i="7950" s="1"/>
  <c r="N692" i="7950" s="1"/>
  <c r="O692" i="7950" s="1"/>
  <c r="K668" i="7950"/>
  <c r="L2613" i="7950"/>
  <c r="M2613" i="7950" s="1"/>
  <c r="N2613" i="7950" s="1"/>
  <c r="O2613" i="7950" s="1"/>
  <c r="P2613" i="7950" s="1"/>
  <c r="M2560" i="7950"/>
  <c r="N2560" i="7950" s="1"/>
  <c r="O2560" i="7950" s="1"/>
  <c r="M1588" i="7950"/>
  <c r="N1588" i="7950" s="1"/>
  <c r="O1588" i="7950" s="1"/>
  <c r="L2667" i="7950"/>
  <c r="M2667" i="7950" s="1"/>
  <c r="N2667" i="7950" s="1"/>
  <c r="M778" i="7950"/>
  <c r="N778" i="7950" s="1"/>
  <c r="O778" i="7950" s="1"/>
  <c r="P778" i="7950" s="1"/>
  <c r="Q778" i="7950" s="1"/>
  <c r="L75" i="7950"/>
  <c r="M75" i="7950" s="1"/>
  <c r="N75" i="7950" s="1"/>
  <c r="O75" i="7950" s="1"/>
  <c r="P2563" i="7950"/>
  <c r="Q2563" i="7950" s="1"/>
  <c r="R2563" i="7950" s="1"/>
  <c r="S2563" i="7950" s="1"/>
  <c r="T2563" i="7950" s="1"/>
  <c r="U2563" i="7950" s="1"/>
  <c r="V2563" i="7950" s="1"/>
  <c r="W2563" i="7950" s="1"/>
  <c r="L669" i="7950"/>
  <c r="M669" i="7950" s="1"/>
  <c r="N669" i="7950" s="1"/>
  <c r="M1210" i="7950"/>
  <c r="N1210" i="7950" s="1"/>
  <c r="O1210" i="7950" s="1"/>
  <c r="P1210" i="7950" s="1"/>
  <c r="Q1210" i="7950" s="1"/>
  <c r="P1213" i="7950"/>
  <c r="Q1213" i="7950" s="1"/>
  <c r="R1213" i="7950" s="1"/>
  <c r="S1213" i="7950" s="1"/>
  <c r="T1213" i="7950" s="1"/>
  <c r="U1213" i="7950" s="1"/>
  <c r="V1213" i="7950" s="1"/>
  <c r="W1213" i="7950" s="1"/>
  <c r="P477" i="7950"/>
  <c r="L2289" i="7950"/>
  <c r="M2289" i="7950" s="1"/>
  <c r="N2289" i="7950" s="1"/>
  <c r="O2289" i="7950" s="1"/>
  <c r="P2289" i="7950" s="1"/>
  <c r="P1159" i="7950"/>
  <c r="Q1159" i="7950" s="1"/>
  <c r="R1159" i="7950" s="1"/>
  <c r="S1159" i="7950" s="1"/>
  <c r="T1159" i="7950" s="1"/>
  <c r="U1159" i="7950" s="1"/>
  <c r="Q620" i="7950"/>
  <c r="R620" i="7950" s="1"/>
  <c r="S620" i="7950" s="1"/>
  <c r="T620" i="7950" s="1"/>
  <c r="U620" i="7950" s="1"/>
  <c r="V620" i="7950" s="1"/>
  <c r="W620" i="7950" s="1"/>
  <c r="Q944" i="7950"/>
  <c r="R944" i="7950" s="1"/>
  <c r="S944" i="7950" s="1"/>
  <c r="T944" i="7950" s="1"/>
  <c r="U944" i="7950" s="1"/>
  <c r="V944" i="7950" s="1"/>
  <c r="W944" i="7950" s="1"/>
  <c r="Q1106" i="7950"/>
  <c r="R1106" i="7950" s="1"/>
  <c r="S1106" i="7950" s="1"/>
  <c r="T1106" i="7950" s="1"/>
  <c r="U1106" i="7950" s="1"/>
  <c r="V1106" i="7950" s="1"/>
  <c r="W1106" i="7950" s="1"/>
  <c r="Q2294" i="7950"/>
  <c r="R2294" i="7950" s="1"/>
  <c r="S2294" i="7950" s="1"/>
  <c r="T2294" i="7950" s="1"/>
  <c r="U2294" i="7950" s="1"/>
  <c r="V2294" i="7950" s="1"/>
  <c r="W2294" i="7950" s="1"/>
  <c r="R297" i="7950"/>
  <c r="S297" i="7950" s="1"/>
  <c r="T297" i="7950" s="1"/>
  <c r="U297" i="7950" s="1"/>
  <c r="V297" i="7950" s="1"/>
  <c r="W297" i="7950" s="1"/>
  <c r="R27" i="7950"/>
  <c r="R51" i="7950"/>
  <c r="R783" i="7950"/>
  <c r="S783" i="7950" s="1"/>
  <c r="T783" i="7950" s="1"/>
  <c r="U783" i="7950" s="1"/>
  <c r="V783" i="7950" s="1"/>
  <c r="W783" i="7950" s="1"/>
  <c r="R81" i="7950"/>
  <c r="S81" i="7950" s="1"/>
  <c r="T81" i="7950" s="1"/>
  <c r="U81" i="7950" s="1"/>
  <c r="V81" i="7950" s="1"/>
  <c r="W81" i="7950" s="1"/>
  <c r="R1593" i="7950"/>
  <c r="S1593" i="7950" s="1"/>
  <c r="T1593" i="7950" s="1"/>
  <c r="U1593" i="7950" s="1"/>
  <c r="V1593" i="7950" s="1"/>
  <c r="W1593" i="7950" s="1"/>
  <c r="S1348" i="7950"/>
  <c r="T1348" i="7950" s="1"/>
  <c r="U1348" i="7950" s="1"/>
  <c r="V1348" i="7950" s="1"/>
  <c r="W1348" i="7950" s="1"/>
  <c r="S1324" i="7950"/>
  <c r="S2590" i="7950"/>
  <c r="T2590" i="7950" s="1"/>
  <c r="U2590" i="7950" s="1"/>
  <c r="V2590" i="7950" s="1"/>
  <c r="W2590" i="7950" s="1"/>
  <c r="S2566" i="7950"/>
  <c r="S214" i="7950"/>
  <c r="T214" i="7950" s="1"/>
  <c r="U214" i="7950" s="1"/>
  <c r="V214" i="7950" s="1"/>
  <c r="W214" i="7950" s="1"/>
  <c r="S190" i="7950"/>
  <c r="T2351" i="7950"/>
  <c r="U2351" i="7950" s="1"/>
  <c r="V2351" i="7950" s="1"/>
  <c r="W2351" i="7950" s="1"/>
  <c r="T677" i="7950"/>
  <c r="U677" i="7950" s="1"/>
  <c r="V677" i="7950" s="1"/>
  <c r="W677" i="7950" s="1"/>
  <c r="T1271" i="7950"/>
  <c r="U1271" i="7950" s="1"/>
  <c r="V1271" i="7950" s="1"/>
  <c r="W1271" i="7950" s="1"/>
  <c r="T1595" i="7950"/>
  <c r="U1595" i="7950" s="1"/>
  <c r="V1595" i="7950" s="1"/>
  <c r="W1595" i="7950" s="1"/>
  <c r="T2459" i="7950"/>
  <c r="U2459" i="7950" s="1"/>
  <c r="V2459" i="7950" s="1"/>
  <c r="W2459" i="7950" s="1"/>
  <c r="T1055" i="7950"/>
  <c r="U1055" i="7950" s="1"/>
  <c r="V1055" i="7950" s="1"/>
  <c r="W1055" i="7950" s="1"/>
  <c r="U624" i="7950"/>
  <c r="V624" i="7950" s="1"/>
  <c r="W624" i="7950" s="1"/>
  <c r="U1002" i="7950"/>
  <c r="V1002" i="7950" s="1"/>
  <c r="W1002" i="7950" s="1"/>
  <c r="U1110" i="7950"/>
  <c r="V1110" i="7950" s="1"/>
  <c r="W1110" i="7950" s="1"/>
  <c r="U2622" i="7950"/>
  <c r="V2622" i="7950" s="1"/>
  <c r="W2622" i="7950" s="1"/>
  <c r="U2244" i="7950"/>
  <c r="V2244" i="7950" s="1"/>
  <c r="W2244" i="7950" s="1"/>
  <c r="U570" i="7950"/>
  <c r="V570" i="7950" s="1"/>
  <c r="W570" i="7950" s="1"/>
  <c r="U2568" i="7950"/>
  <c r="V2568" i="7950" s="1"/>
  <c r="W2568" i="7950" s="1"/>
  <c r="U1650" i="7950"/>
  <c r="V1650" i="7950" s="1"/>
  <c r="W1650" i="7950" s="1"/>
  <c r="N1233" i="7950"/>
  <c r="O1233" i="7950" s="1"/>
  <c r="P1611" i="7950"/>
  <c r="Q2422" i="7950"/>
  <c r="P2317" i="7950"/>
  <c r="Q2317" i="7950" s="1"/>
  <c r="R2317" i="7950" s="1"/>
  <c r="S2317" i="7950" s="1"/>
  <c r="T2317" i="7950" s="1"/>
  <c r="U2317" i="7950" s="1"/>
  <c r="V2317" i="7950" s="1"/>
  <c r="W2317" i="7950" s="1"/>
  <c r="P2293" i="7950"/>
  <c r="M130" i="7950"/>
  <c r="N130" i="7950" s="1"/>
  <c r="O130" i="7950" s="1"/>
  <c r="P130" i="7950" s="1"/>
  <c r="Q130" i="7950" s="1"/>
  <c r="P1699" i="7950"/>
  <c r="Q1699" i="7950" s="1"/>
  <c r="R1699" i="7950" s="1"/>
  <c r="S1699" i="7950" s="1"/>
  <c r="T1699" i="7950" s="1"/>
  <c r="U1699" i="7950" s="1"/>
  <c r="V1699" i="7950" s="1"/>
  <c r="W1699" i="7950" s="1"/>
  <c r="K1316" i="7950"/>
  <c r="L1316" i="7950" s="1"/>
  <c r="M1316" i="7950" s="1"/>
  <c r="N1316" i="7950" s="1"/>
  <c r="O1316" i="7950" s="1"/>
  <c r="P1316" i="7950" s="1"/>
  <c r="Q1316" i="7950" s="1"/>
  <c r="R1316" i="7950" s="1"/>
  <c r="S1316" i="7950" s="1"/>
  <c r="T1316" i="7950" s="1"/>
  <c r="U1316" i="7950" s="1"/>
  <c r="V1316" i="7950" s="1"/>
  <c r="W1316" i="7950" s="1"/>
  <c r="K2528" i="7950"/>
  <c r="L2528" i="7950" s="1"/>
  <c r="M2528" i="7950" s="1"/>
  <c r="N2528" i="7950" s="1"/>
  <c r="O2528" i="7950" s="1"/>
  <c r="K2504" i="7950"/>
  <c r="K98" i="7950"/>
  <c r="L98" i="7950" s="1"/>
  <c r="M98" i="7950" s="1"/>
  <c r="N98" i="7950" s="1"/>
  <c r="Q2692" i="7950"/>
  <c r="P2097" i="7950"/>
  <c r="K1502" i="7950"/>
  <c r="L1502" i="7950" s="1"/>
  <c r="M1502" i="7950" s="1"/>
  <c r="N1502" i="7950" s="1"/>
  <c r="O1502" i="7950" s="1"/>
  <c r="K1478" i="7950"/>
  <c r="N1288" i="7950"/>
  <c r="O1288" i="7950" s="1"/>
  <c r="P1288" i="7950" s="1"/>
  <c r="Q2642" i="7950"/>
  <c r="R2642" i="7950" s="1"/>
  <c r="S2642" i="7950" s="1"/>
  <c r="T2642" i="7950" s="1"/>
  <c r="U2642" i="7950" s="1"/>
  <c r="V2642" i="7950" s="1"/>
  <c r="W2642" i="7950" s="1"/>
  <c r="Q2618" i="7950"/>
  <c r="Q860" i="7950"/>
  <c r="R860" i="7950" s="1"/>
  <c r="S860" i="7950" s="1"/>
  <c r="T860" i="7950" s="1"/>
  <c r="U860" i="7950" s="1"/>
  <c r="V860" i="7950" s="1"/>
  <c r="W860" i="7950" s="1"/>
  <c r="Q836" i="7950"/>
  <c r="R2133" i="7950"/>
  <c r="S2133" i="7950" s="1"/>
  <c r="T2133" i="7950" s="1"/>
  <c r="U2133" i="7950" s="1"/>
  <c r="V2133" i="7950" s="1"/>
  <c r="W2133" i="7950" s="1"/>
  <c r="R189" i="7950"/>
  <c r="S189" i="7950" s="1"/>
  <c r="T189" i="7950" s="1"/>
  <c r="U189" i="7950" s="1"/>
  <c r="V189" i="7950" s="1"/>
  <c r="W189" i="7950" s="1"/>
  <c r="R891" i="7950"/>
  <c r="S891" i="7950" s="1"/>
  <c r="T891" i="7950" s="1"/>
  <c r="U891" i="7950" s="1"/>
  <c r="V891" i="7950" s="1"/>
  <c r="W891" i="7950" s="1"/>
  <c r="R483" i="7950"/>
  <c r="S483" i="7950" s="1"/>
  <c r="T483" i="7950" s="1"/>
  <c r="U483" i="7950" s="1"/>
  <c r="V483" i="7950" s="1"/>
  <c r="W483" i="7950" s="1"/>
  <c r="R459" i="7950"/>
  <c r="S1432" i="7950"/>
  <c r="T1432" i="7950" s="1"/>
  <c r="U1432" i="7950" s="1"/>
  <c r="V1432" i="7950" s="1"/>
  <c r="W1432" i="7950" s="1"/>
  <c r="T377" i="7950"/>
  <c r="U377" i="7950" s="1"/>
  <c r="V377" i="7950" s="1"/>
  <c r="W377" i="7950" s="1"/>
  <c r="T353" i="7950"/>
  <c r="F1255" i="7950"/>
  <c r="G1255" i="7950" s="1"/>
  <c r="H1255" i="7950" s="1"/>
  <c r="I1255" i="7950" s="1"/>
  <c r="J1255" i="7950" s="1"/>
  <c r="L183" i="7950"/>
  <c r="M183" i="7950" s="1"/>
  <c r="N183" i="7950" s="1"/>
  <c r="P1375" i="7950"/>
  <c r="Q1375" i="7950" s="1"/>
  <c r="R1375" i="7950" s="1"/>
  <c r="S1375" i="7950" s="1"/>
  <c r="T1375" i="7950" s="1"/>
  <c r="U1375" i="7950" s="1"/>
  <c r="V1375" i="7950" s="1"/>
  <c r="W1375" i="7950" s="1"/>
  <c r="P1453" i="7950"/>
  <c r="Q1453" i="7950" s="1"/>
  <c r="R1453" i="7950" s="1"/>
  <c r="S1453" i="7950" s="1"/>
  <c r="T1453" i="7950" s="1"/>
  <c r="U1453" i="7950" s="1"/>
  <c r="V1453" i="7950" s="1"/>
  <c r="W1453" i="7950" s="1"/>
  <c r="P1429" i="7950"/>
  <c r="L1911" i="7950"/>
  <c r="M1911" i="7950" s="1"/>
  <c r="N1911" i="7950" s="1"/>
  <c r="O1911" i="7950" s="1"/>
  <c r="P1911" i="7950" s="1"/>
  <c r="M1642" i="7950"/>
  <c r="N1642" i="7950" s="1"/>
  <c r="O1642" i="7950" s="1"/>
  <c r="P1642" i="7950" s="1"/>
  <c r="Q1642" i="7950" s="1"/>
  <c r="L1749" i="7950"/>
  <c r="M1749" i="7950" s="1"/>
  <c r="N1749" i="7950" s="1"/>
  <c r="O1749" i="7950" s="1"/>
  <c r="P1749" i="7950" s="1"/>
  <c r="M400" i="7950"/>
  <c r="N400" i="7950" s="1"/>
  <c r="O400" i="7950" s="1"/>
  <c r="P400" i="7950" s="1"/>
  <c r="Q400" i="7950" s="1"/>
  <c r="P619" i="7950"/>
  <c r="Q619" i="7950" s="1"/>
  <c r="R619" i="7950" s="1"/>
  <c r="S619" i="7950" s="1"/>
  <c r="T619" i="7950" s="1"/>
  <c r="U619" i="7950" s="1"/>
  <c r="V619" i="7950" s="1"/>
  <c r="W619" i="7950" s="1"/>
  <c r="O856" i="7950"/>
  <c r="P856" i="7950" s="1"/>
  <c r="M1534" i="7950"/>
  <c r="N1534" i="7950" s="1"/>
  <c r="O1534" i="7950" s="1"/>
  <c r="P1534" i="7950" s="1"/>
  <c r="Q1534" i="7950" s="1"/>
  <c r="P1591" i="7950"/>
  <c r="Q1591" i="7950" s="1"/>
  <c r="R1591" i="7950" s="1"/>
  <c r="S1591" i="7950" s="1"/>
  <c r="T1591" i="7950" s="1"/>
  <c r="U1591" i="7950" s="1"/>
  <c r="V1591" i="7950" s="1"/>
  <c r="W1591" i="7950" s="1"/>
  <c r="F985" i="7950"/>
  <c r="G985" i="7950" s="1"/>
  <c r="H985" i="7950" s="1"/>
  <c r="I985" i="7950" s="1"/>
  <c r="J985" i="7950" s="1"/>
  <c r="Q752" i="7950"/>
  <c r="R752" i="7950" s="1"/>
  <c r="S752" i="7950" s="1"/>
  <c r="T752" i="7950" s="1"/>
  <c r="U752" i="7950" s="1"/>
  <c r="V752" i="7950" s="1"/>
  <c r="W752" i="7950" s="1"/>
  <c r="Q728" i="7950"/>
  <c r="R1509" i="7950"/>
  <c r="S1509" i="7950" s="1"/>
  <c r="T1509" i="7950" s="1"/>
  <c r="U1509" i="7950" s="1"/>
  <c r="V1509" i="7950" s="1"/>
  <c r="W1509" i="7950" s="1"/>
  <c r="R1485" i="7950"/>
  <c r="R1887" i="7950"/>
  <c r="S1887" i="7950" s="1"/>
  <c r="T1887" i="7950" s="1"/>
  <c r="U1887" i="7950" s="1"/>
  <c r="V1887" i="7950" s="1"/>
  <c r="W1887" i="7950" s="1"/>
  <c r="R1863" i="7950"/>
  <c r="R2535" i="7950"/>
  <c r="S2535" i="7950" s="1"/>
  <c r="T2535" i="7950" s="1"/>
  <c r="U2535" i="7950" s="1"/>
  <c r="V2535" i="7950" s="1"/>
  <c r="W2535" i="7950" s="1"/>
  <c r="R2511" i="7950"/>
  <c r="R2103" i="7950"/>
  <c r="S2103" i="7950" s="1"/>
  <c r="T2103" i="7950" s="1"/>
  <c r="U2103" i="7950" s="1"/>
  <c r="V2103" i="7950" s="1"/>
  <c r="W2103" i="7950" s="1"/>
  <c r="R2079" i="7950"/>
  <c r="P1939" i="7950"/>
  <c r="Q1939" i="7950" s="1"/>
  <c r="R1939" i="7950" s="1"/>
  <c r="S1939" i="7950" s="1"/>
  <c r="T1939" i="7950" s="1"/>
  <c r="U1939" i="7950" s="1"/>
  <c r="V1939" i="7950" s="1"/>
  <c r="W1939" i="7950" s="1"/>
  <c r="P1915" i="7950"/>
  <c r="P79" i="7950"/>
  <c r="Q79" i="7950" s="1"/>
  <c r="R79" i="7950" s="1"/>
  <c r="S79" i="7950" s="1"/>
  <c r="T79" i="7950" s="1"/>
  <c r="U79" i="7950" s="1"/>
  <c r="V79" i="7950" s="1"/>
  <c r="W79" i="7950" s="1"/>
  <c r="P997" i="7950"/>
  <c r="Q997" i="7950" s="1"/>
  <c r="R997" i="7950" s="1"/>
  <c r="S997" i="7950" s="1"/>
  <c r="T997" i="7950" s="1"/>
  <c r="U997" i="7950" s="1"/>
  <c r="V997" i="7950" s="1"/>
  <c r="W997" i="7950" s="1"/>
  <c r="Q134" i="7950"/>
  <c r="R134" i="7950" s="1"/>
  <c r="S134" i="7950" s="1"/>
  <c r="T134" i="7950" s="1"/>
  <c r="U134" i="7950" s="1"/>
  <c r="V134" i="7950" s="1"/>
  <c r="W134" i="7950" s="1"/>
  <c r="R1755" i="7950"/>
  <c r="S1755" i="7950" s="1"/>
  <c r="T1755" i="7950" s="1"/>
  <c r="U1755" i="7950" s="1"/>
  <c r="V1755" i="7950" s="1"/>
  <c r="W1755" i="7950" s="1"/>
  <c r="R2241" i="7950"/>
  <c r="S2241" i="7950" s="1"/>
  <c r="T2241" i="7950" s="1"/>
  <c r="U2241" i="7950" s="1"/>
  <c r="V2241" i="7950" s="1"/>
  <c r="W2241" i="7950" s="1"/>
  <c r="R999" i="7950"/>
  <c r="S999" i="7950" s="1"/>
  <c r="T999" i="7950" s="1"/>
  <c r="U999" i="7950" s="1"/>
  <c r="V999" i="7950" s="1"/>
  <c r="W999" i="7950" s="1"/>
  <c r="S1780" i="7950"/>
  <c r="T1780" i="7950" s="1"/>
  <c r="U1780" i="7950" s="1"/>
  <c r="V1780" i="7950" s="1"/>
  <c r="W1780" i="7950" s="1"/>
  <c r="S1756" i="7950"/>
  <c r="S2404" i="7950"/>
  <c r="T2404" i="7950" s="1"/>
  <c r="U2404" i="7950" s="1"/>
  <c r="V2404" i="7950" s="1"/>
  <c r="W2404" i="7950" s="1"/>
  <c r="T1757" i="7950"/>
  <c r="U1757" i="7950" s="1"/>
  <c r="V1757" i="7950" s="1"/>
  <c r="W1757" i="7950" s="1"/>
  <c r="U1596" i="7950"/>
  <c r="V1596" i="7950" s="1"/>
  <c r="W1596" i="7950" s="1"/>
  <c r="U2298" i="7950"/>
  <c r="V2298" i="7950" s="1"/>
  <c r="W2298" i="7950" s="1"/>
  <c r="U1326" i="7950"/>
  <c r="V1326" i="7950" s="1"/>
  <c r="P1561" i="7950"/>
  <c r="Q1561" i="7950" s="1"/>
  <c r="R1561" i="7950" s="1"/>
  <c r="S1561" i="7950" s="1"/>
  <c r="T1561" i="7950" s="1"/>
  <c r="U1561" i="7950" s="1"/>
  <c r="V1561" i="7950" s="1"/>
  <c r="W1561" i="7950" s="1"/>
  <c r="P1537" i="7950"/>
  <c r="P2509" i="7950"/>
  <c r="Q2509" i="7950" s="1"/>
  <c r="R2509" i="7950" s="1"/>
  <c r="S2509" i="7950" s="1"/>
  <c r="T2509" i="7950" s="1"/>
  <c r="U2509" i="7950" s="1"/>
  <c r="V2509" i="7950" s="1"/>
  <c r="W2509" i="7950" s="1"/>
  <c r="N2151" i="7950"/>
  <c r="O2151" i="7950" s="1"/>
  <c r="P1449" i="7950"/>
  <c r="P373" i="7950"/>
  <c r="Q373" i="7950" s="1"/>
  <c r="R373" i="7950" s="1"/>
  <c r="S373" i="7950" s="1"/>
  <c r="T373" i="7950" s="1"/>
  <c r="U373" i="7950" s="1"/>
  <c r="V373" i="7950" s="1"/>
  <c r="W373" i="7950" s="1"/>
  <c r="P349" i="7950"/>
  <c r="M2236" i="7950"/>
  <c r="N2236" i="7950" s="1"/>
  <c r="O2236" i="7950" s="1"/>
  <c r="P2236" i="7950" s="1"/>
  <c r="Q2236" i="7950" s="1"/>
  <c r="M22" i="7950"/>
  <c r="N22" i="7950" s="1"/>
  <c r="O22" i="7950" s="1"/>
  <c r="P22" i="7950" s="1"/>
  <c r="Q22" i="7950" s="1"/>
  <c r="R22" i="7950" s="1"/>
  <c r="S22" i="7950" s="1"/>
  <c r="T22" i="7950" s="1"/>
  <c r="U22" i="7950" s="1"/>
  <c r="V22" i="7950" s="1"/>
  <c r="W22" i="7950" s="1"/>
  <c r="L2451" i="7950"/>
  <c r="M2451" i="7950" s="1"/>
  <c r="N2451" i="7950" s="1"/>
  <c r="O2451" i="7950" s="1"/>
  <c r="P2451" i="7950" s="1"/>
  <c r="Q1052" i="7950"/>
  <c r="R1052" i="7950" s="1"/>
  <c r="S1052" i="7950" s="1"/>
  <c r="T1052" i="7950" s="1"/>
  <c r="U1052" i="7950" s="1"/>
  <c r="V1052" i="7950" s="1"/>
  <c r="W1052" i="7950" s="1"/>
  <c r="Q1376" i="7950"/>
  <c r="R1376" i="7950" s="1"/>
  <c r="S1376" i="7950" s="1"/>
  <c r="T1376" i="7950" s="1"/>
  <c r="U1376" i="7950" s="1"/>
  <c r="V1376" i="7950" s="1"/>
  <c r="W1376" i="7950" s="1"/>
  <c r="R837" i="7950"/>
  <c r="S837" i="7950" s="1"/>
  <c r="T837" i="7950" s="1"/>
  <c r="U837" i="7950" s="1"/>
  <c r="V837" i="7950" s="1"/>
  <c r="W837" i="7950" s="1"/>
  <c r="R1107" i="7950"/>
  <c r="S1107" i="7950" s="1"/>
  <c r="T1107" i="7950" s="1"/>
  <c r="U1107" i="7950" s="1"/>
  <c r="V1107" i="7950" s="1"/>
  <c r="W1107" i="7950" s="1"/>
  <c r="R1809" i="7950"/>
  <c r="S1809" i="7950" s="1"/>
  <c r="T1809" i="7950" s="1"/>
  <c r="U1809" i="7950" s="1"/>
  <c r="V1809" i="7950" s="1"/>
  <c r="W1809" i="7950" s="1"/>
  <c r="S2296" i="7950"/>
  <c r="T2296" i="7950" s="1"/>
  <c r="U2296" i="7950" s="1"/>
  <c r="V2296" i="7950" s="1"/>
  <c r="W2296" i="7950" s="1"/>
  <c r="S1942" i="7950"/>
  <c r="T1942" i="7950" s="1"/>
  <c r="U1942" i="7950" s="1"/>
  <c r="V1942" i="7950" s="1"/>
  <c r="W1942" i="7950" s="1"/>
  <c r="S1918" i="7950"/>
  <c r="S2458" i="7950"/>
  <c r="T2458" i="7950" s="1"/>
  <c r="U2458" i="7950" s="1"/>
  <c r="V2458" i="7950" s="1"/>
  <c r="W2458" i="7950" s="1"/>
  <c r="T2567" i="7950"/>
  <c r="U2567" i="7950" s="1"/>
  <c r="V2567" i="7950" s="1"/>
  <c r="W2567" i="7950" s="1"/>
  <c r="T191" i="7950"/>
  <c r="U191" i="7950" s="1"/>
  <c r="V191" i="7950" s="1"/>
  <c r="W191" i="7950" s="1"/>
  <c r="T1487" i="7950"/>
  <c r="U1487" i="7950" s="1"/>
  <c r="V1487" i="7950" s="1"/>
  <c r="W1487" i="7950" s="1"/>
  <c r="U2190" i="7950"/>
  <c r="V2190" i="7950" s="1"/>
  <c r="W2190" i="7950" s="1"/>
  <c r="U1758" i="7950"/>
  <c r="V1758" i="7950" s="1"/>
  <c r="W1758" i="7950" s="1"/>
  <c r="V841" i="7950"/>
  <c r="W841" i="7950" s="1"/>
  <c r="F175" i="7950"/>
  <c r="G175" i="7950" s="1"/>
  <c r="H175" i="7950" s="1"/>
  <c r="I175" i="7950" s="1"/>
  <c r="J175" i="7950" s="1"/>
  <c r="F1417" i="7950"/>
  <c r="G1417" i="7950" s="1"/>
  <c r="H1417" i="7950" s="1"/>
  <c r="I1417" i="7950" s="1"/>
  <c r="J1417" i="7950" s="1"/>
  <c r="K1772" i="7950"/>
  <c r="L1772" i="7950" s="1"/>
  <c r="M1772" i="7950" s="1"/>
  <c r="N1772" i="7950" s="1"/>
  <c r="O1772" i="7950" s="1"/>
  <c r="K1748" i="7950"/>
  <c r="K314" i="7950"/>
  <c r="L314" i="7950" s="1"/>
  <c r="M314" i="7950" s="1"/>
  <c r="N314" i="7950" s="1"/>
  <c r="O314" i="7950" s="1"/>
  <c r="K854" i="7950"/>
  <c r="L854" i="7950" s="1"/>
  <c r="M854" i="7950" s="1"/>
  <c r="N854" i="7950" s="1"/>
  <c r="O854" i="7950" s="1"/>
  <c r="K830" i="7950"/>
  <c r="P2637" i="7950"/>
  <c r="O2584" i="7950"/>
  <c r="P2584" i="7950" s="1"/>
  <c r="O1612" i="7950"/>
  <c r="P1612" i="7950" s="1"/>
  <c r="K1394" i="7950"/>
  <c r="L1394" i="7950" s="1"/>
  <c r="M1394" i="7950" s="1"/>
  <c r="N1394" i="7950" s="1"/>
  <c r="O1394" i="7950" s="1"/>
  <c r="K1370" i="7950"/>
  <c r="N2691" i="7950"/>
  <c r="O2691" i="7950" s="1"/>
  <c r="Q802" i="7950"/>
  <c r="P1075" i="7950"/>
  <c r="Q1075" i="7950" s="1"/>
  <c r="R1075" i="7950" s="1"/>
  <c r="S1075" i="7950" s="1"/>
  <c r="T1075" i="7950" s="1"/>
  <c r="U1075" i="7950" s="1"/>
  <c r="V1075" i="7950" s="1"/>
  <c r="W1075" i="7950" s="1"/>
  <c r="P1051" i="7950"/>
  <c r="K1664" i="7950"/>
  <c r="L1664" i="7950" s="1"/>
  <c r="M1664" i="7950" s="1"/>
  <c r="N1664" i="7950" s="1"/>
  <c r="O1664" i="7950" s="1"/>
  <c r="K1640" i="7950"/>
  <c r="O99" i="7950"/>
  <c r="P49" i="7950"/>
  <c r="P25" i="7950"/>
  <c r="K908" i="7950"/>
  <c r="L908" i="7950" s="1"/>
  <c r="M908" i="7950" s="1"/>
  <c r="N908" i="7950" s="1"/>
  <c r="O908" i="7950" s="1"/>
  <c r="K884" i="7950"/>
  <c r="N693" i="7950"/>
  <c r="O693" i="7950" s="1"/>
  <c r="Q1234" i="7950"/>
  <c r="P2313" i="7950"/>
  <c r="U1183" i="7950"/>
  <c r="V1183" i="7950" s="1"/>
  <c r="W1183" i="7950" s="1"/>
  <c r="Q1994" i="7950"/>
  <c r="R1994" i="7950" s="1"/>
  <c r="S1994" i="7950" s="1"/>
  <c r="T1994" i="7950" s="1"/>
  <c r="U1994" i="7950" s="1"/>
  <c r="V1994" i="7950" s="1"/>
  <c r="W1994" i="7950" s="1"/>
  <c r="Q1970" i="7950"/>
  <c r="Q2210" i="7950"/>
  <c r="R2210" i="7950" s="1"/>
  <c r="S2210" i="7950" s="1"/>
  <c r="T2210" i="7950" s="1"/>
  <c r="U2210" i="7950" s="1"/>
  <c r="V2210" i="7950" s="1"/>
  <c r="W2210" i="7950" s="1"/>
  <c r="Q2186" i="7950"/>
  <c r="S1186" i="7950"/>
  <c r="T1186" i="7950" s="1"/>
  <c r="U1186" i="7950" s="1"/>
  <c r="V1186" i="7950" s="1"/>
  <c r="W1186" i="7950" s="1"/>
  <c r="S1162" i="7950"/>
  <c r="S1402" i="7950"/>
  <c r="T1402" i="7950" s="1"/>
  <c r="U1402" i="7950" s="1"/>
  <c r="V1402" i="7950" s="1"/>
  <c r="W1402" i="7950" s="1"/>
  <c r="S1378" i="7950"/>
  <c r="S2266" i="7950"/>
  <c r="T2266" i="7950" s="1"/>
  <c r="U2266" i="7950" s="1"/>
  <c r="V2266" i="7950" s="1"/>
  <c r="W2266" i="7950" s="1"/>
  <c r="S2242" i="7950"/>
  <c r="S1240" i="7950"/>
  <c r="T1240" i="7950" s="1"/>
  <c r="U1240" i="7950" s="1"/>
  <c r="V1240" i="7950" s="1"/>
  <c r="W1240" i="7950" s="1"/>
  <c r="S1216" i="7950"/>
  <c r="T1241" i="7950"/>
  <c r="U1241" i="7950" s="1"/>
  <c r="V1241" i="7950" s="1"/>
  <c r="W1241" i="7950" s="1"/>
  <c r="T1217" i="7950"/>
  <c r="K2690" i="7950"/>
  <c r="L2690" i="7950" s="1"/>
  <c r="M2690" i="7950" s="1"/>
  <c r="N2690" i="7950" s="1"/>
  <c r="O2690" i="7950" s="1"/>
  <c r="K2666" i="7950"/>
  <c r="Q154" i="7950"/>
  <c r="P211" i="7950"/>
  <c r="Q211" i="7950" s="1"/>
  <c r="R211" i="7950" s="1"/>
  <c r="S211" i="7950" s="1"/>
  <c r="T211" i="7950" s="1"/>
  <c r="U211" i="7950" s="1"/>
  <c r="V211" i="7950" s="1"/>
  <c r="W211" i="7950" s="1"/>
  <c r="P187" i="7950"/>
  <c r="P1777" i="7950"/>
  <c r="Q1777" i="7950" s="1"/>
  <c r="R1777" i="7950" s="1"/>
  <c r="S1777" i="7950" s="1"/>
  <c r="T1777" i="7950" s="1"/>
  <c r="U1777" i="7950" s="1"/>
  <c r="V1777" i="7950" s="1"/>
  <c r="W1777" i="7950" s="1"/>
  <c r="P1753" i="7950"/>
  <c r="P265" i="7950"/>
  <c r="Q265" i="7950" s="1"/>
  <c r="R265" i="7950" s="1"/>
  <c r="S265" i="7950" s="1"/>
  <c r="T265" i="7950" s="1"/>
  <c r="U265" i="7950" s="1"/>
  <c r="V265" i="7950" s="1"/>
  <c r="W265" i="7950" s="1"/>
  <c r="P241" i="7950"/>
  <c r="K1070" i="7950"/>
  <c r="L1070" i="7950" s="1"/>
  <c r="M1070" i="7950" s="1"/>
  <c r="N1070" i="7950" s="1"/>
  <c r="O1070" i="7950" s="1"/>
  <c r="K1046" i="7950"/>
  <c r="R537" i="7950"/>
  <c r="S537" i="7950" s="1"/>
  <c r="T537" i="7950" s="1"/>
  <c r="U537" i="7950" s="1"/>
  <c r="V537" i="7950" s="1"/>
  <c r="W537" i="7950" s="1"/>
  <c r="R513" i="7950"/>
  <c r="S754" i="7950"/>
  <c r="T754" i="7950" s="1"/>
  <c r="U754" i="7950" s="1"/>
  <c r="V754" i="7950" s="1"/>
  <c r="W754" i="7950" s="1"/>
  <c r="S730" i="7950"/>
  <c r="S2536" i="7950"/>
  <c r="T2536" i="7950" s="1"/>
  <c r="U2536" i="7950" s="1"/>
  <c r="V2536" i="7950" s="1"/>
  <c r="W2536" i="7950" s="1"/>
  <c r="S2512" i="7950"/>
  <c r="T323" i="7950"/>
  <c r="U323" i="7950" s="1"/>
  <c r="V323" i="7950" s="1"/>
  <c r="W323" i="7950" s="1"/>
  <c r="T299" i="7950"/>
  <c r="O152" i="7950"/>
  <c r="K2204" i="7950"/>
  <c r="L2204" i="7950" s="1"/>
  <c r="M2204" i="7950" s="1"/>
  <c r="N2204" i="7950" s="1"/>
  <c r="O2204" i="7950" s="1"/>
  <c r="K2180" i="7950"/>
  <c r="N207" i="7950"/>
  <c r="O207" i="7950" s="1"/>
  <c r="K368" i="7950"/>
  <c r="L368" i="7950" s="1"/>
  <c r="M368" i="7950" s="1"/>
  <c r="N368" i="7950" s="1"/>
  <c r="O368" i="7950" s="1"/>
  <c r="P1935" i="7950"/>
  <c r="Q1666" i="7950"/>
  <c r="K1826" i="7950"/>
  <c r="L1826" i="7950" s="1"/>
  <c r="M1826" i="7950" s="1"/>
  <c r="N1826" i="7950" s="1"/>
  <c r="O1826" i="7950" s="1"/>
  <c r="K1802" i="7950"/>
  <c r="P1773" i="7950"/>
  <c r="Q424" i="7950"/>
  <c r="K1016" i="7950"/>
  <c r="L1016" i="7950" s="1"/>
  <c r="M1016" i="7950" s="1"/>
  <c r="N1016" i="7950" s="1"/>
  <c r="O1016" i="7950" s="1"/>
  <c r="K992" i="7950"/>
  <c r="Q1558" i="7950"/>
  <c r="S484" i="7950"/>
  <c r="T484" i="7950" s="1"/>
  <c r="U484" i="7950" s="1"/>
  <c r="V484" i="7950" s="1"/>
  <c r="W484" i="7950" s="1"/>
  <c r="S460" i="7950"/>
  <c r="S376" i="7950"/>
  <c r="T376" i="7950" s="1"/>
  <c r="U376" i="7950" s="1"/>
  <c r="V376" i="7950" s="1"/>
  <c r="W376" i="7950" s="1"/>
  <c r="S352" i="7950"/>
  <c r="W2265" i="7950"/>
  <c r="T1349" i="7950"/>
  <c r="U1349" i="7950" s="1"/>
  <c r="V1349" i="7950" s="1"/>
  <c r="T1325" i="7950"/>
  <c r="V1350" i="7950"/>
  <c r="P535" i="7950"/>
  <c r="Q535" i="7950" s="1"/>
  <c r="R535" i="7950" s="1"/>
  <c r="S535" i="7950" s="1"/>
  <c r="T535" i="7950" s="1"/>
  <c r="U535" i="7950" s="1"/>
  <c r="V535" i="7950" s="1"/>
  <c r="W535" i="7950" s="1"/>
  <c r="P511" i="7950"/>
  <c r="Q2260" i="7950"/>
  <c r="P2475" i="7950"/>
  <c r="P2047" i="7950"/>
  <c r="Q2047" i="7950" s="1"/>
  <c r="R2047" i="7950" s="1"/>
  <c r="S2047" i="7950" s="1"/>
  <c r="T2047" i="7950" s="1"/>
  <c r="U2047" i="7950" s="1"/>
  <c r="V2047" i="7950" s="1"/>
  <c r="W2047" i="7950" s="1"/>
  <c r="P2023" i="7950"/>
  <c r="K1934" i="7950"/>
  <c r="L1934" i="7950" s="1"/>
  <c r="M1934" i="7950" s="1"/>
  <c r="N1934" i="7950" s="1"/>
  <c r="O1934" i="7950" s="1"/>
  <c r="K1910" i="7950"/>
  <c r="Q50" i="7950"/>
  <c r="Q26" i="7950"/>
  <c r="Q1238" i="7950"/>
  <c r="R1238" i="7950" s="1"/>
  <c r="S1238" i="7950" s="1"/>
  <c r="T1238" i="7950" s="1"/>
  <c r="U1238" i="7950" s="1"/>
  <c r="V1238" i="7950" s="1"/>
  <c r="W1238" i="7950" s="1"/>
  <c r="Q1214" i="7950"/>
  <c r="Q1886" i="7950"/>
  <c r="R1886" i="7950" s="1"/>
  <c r="S1886" i="7950" s="1"/>
  <c r="T1886" i="7950" s="1"/>
  <c r="U1886" i="7950" s="1"/>
  <c r="V1886" i="7950" s="1"/>
  <c r="W1886" i="7950" s="1"/>
  <c r="Q1862" i="7950"/>
  <c r="R1185" i="7950"/>
  <c r="S1185" i="7950" s="1"/>
  <c r="T1185" i="7950" s="1"/>
  <c r="U1185" i="7950" s="1"/>
  <c r="V1185" i="7950" s="1"/>
  <c r="W1185" i="7950" s="1"/>
  <c r="R1161" i="7950"/>
  <c r="R1455" i="7950"/>
  <c r="S1455" i="7950" s="1"/>
  <c r="T1455" i="7950" s="1"/>
  <c r="U1455" i="7950" s="1"/>
  <c r="V1455" i="7950" s="1"/>
  <c r="W1455" i="7950" s="1"/>
  <c r="R1431" i="7950"/>
  <c r="K1178" i="7950"/>
  <c r="L1178" i="7950" s="1"/>
  <c r="M1178" i="7950" s="1"/>
  <c r="N1178" i="7950" s="1"/>
  <c r="O1178" i="7950" s="1"/>
  <c r="K1154" i="7950"/>
  <c r="L1263" i="7950"/>
  <c r="M1263" i="7950" s="1"/>
  <c r="N1263" i="7950" s="1"/>
  <c r="O1263" i="7950" s="1"/>
  <c r="P1263" i="7950" s="1"/>
  <c r="L2505" i="7950"/>
  <c r="M2505" i="7950" s="1"/>
  <c r="N2505" i="7950" s="1"/>
  <c r="O2505" i="7950" s="1"/>
  <c r="P2505" i="7950" s="1"/>
  <c r="M2506" i="7950"/>
  <c r="N2506" i="7950" s="1"/>
  <c r="O2506" i="7950" s="1"/>
  <c r="P781" i="7950"/>
  <c r="Q781" i="7950" s="1"/>
  <c r="R781" i="7950" s="1"/>
  <c r="S781" i="7950" s="1"/>
  <c r="T781" i="7950" s="1"/>
  <c r="U781" i="7950" s="1"/>
  <c r="V781" i="7950" s="1"/>
  <c r="W781" i="7950" s="1"/>
  <c r="M454" i="7950"/>
  <c r="N454" i="7950" s="1"/>
  <c r="O454" i="7950" s="1"/>
  <c r="P454" i="7950" s="1"/>
  <c r="Q454" i="7950" s="1"/>
  <c r="P1321" i="7950"/>
  <c r="Q1321" i="7950" s="1"/>
  <c r="R1321" i="7950" s="1"/>
  <c r="S1321" i="7950" s="1"/>
  <c r="T1321" i="7950" s="1"/>
  <c r="P2455" i="7950"/>
  <c r="Q2455" i="7950" s="1"/>
  <c r="R2455" i="7950" s="1"/>
  <c r="S2455" i="7950" s="1"/>
  <c r="T2455" i="7950" s="1"/>
  <c r="U2455" i="7950" s="1"/>
  <c r="V2455" i="7950" s="1"/>
  <c r="W2455" i="7950" s="1"/>
  <c r="P2617" i="7950"/>
  <c r="Q2617" i="7950" s="1"/>
  <c r="R2617" i="7950" s="1"/>
  <c r="S2617" i="7950" s="1"/>
  <c r="T2617" i="7950" s="1"/>
  <c r="U2617" i="7950" s="1"/>
  <c r="V2617" i="7950" s="1"/>
  <c r="W2617" i="7950" s="1"/>
  <c r="M2182" i="7950"/>
  <c r="N2182" i="7950" s="1"/>
  <c r="O2182" i="7950" s="1"/>
  <c r="P2182" i="7950" s="1"/>
  <c r="Q2182" i="7950" s="1"/>
  <c r="L1371" i="7950"/>
  <c r="M1371" i="7950" s="1"/>
  <c r="N1371" i="7950" s="1"/>
  <c r="O1371" i="7950" s="1"/>
  <c r="P1371" i="7950" s="1"/>
  <c r="M2344" i="7950"/>
  <c r="N2344" i="7950" s="1"/>
  <c r="O2344" i="7950" s="1"/>
  <c r="K2474" i="7950"/>
  <c r="L2474" i="7950" s="1"/>
  <c r="M2474" i="7950" s="1"/>
  <c r="N2474" i="7950" s="1"/>
  <c r="O2474" i="7950" s="1"/>
  <c r="K2450" i="7950"/>
  <c r="P157" i="7950"/>
  <c r="Q157" i="7950" s="1"/>
  <c r="R157" i="7950" s="1"/>
  <c r="S157" i="7950" s="1"/>
  <c r="T157" i="7950" s="1"/>
  <c r="U157" i="7950" s="1"/>
  <c r="V157" i="7950" s="1"/>
  <c r="W157" i="7950" s="1"/>
  <c r="P133" i="7950"/>
  <c r="Q2348" i="7950"/>
  <c r="R2348" i="7950" s="1"/>
  <c r="S2348" i="7950" s="1"/>
  <c r="T2348" i="7950" s="1"/>
  <c r="U2348" i="7950" s="1"/>
  <c r="V2348" i="7950" s="1"/>
  <c r="W2348" i="7950" s="1"/>
  <c r="Q2510" i="7950"/>
  <c r="R2510" i="7950" s="1"/>
  <c r="S2510" i="7950" s="1"/>
  <c r="T2510" i="7950" s="1"/>
  <c r="U2510" i="7950" s="1"/>
  <c r="V2510" i="7950" s="1"/>
  <c r="W2510" i="7950" s="1"/>
  <c r="Q1268" i="7950"/>
  <c r="R1268" i="7950" s="1"/>
  <c r="S1268" i="7950" s="1"/>
  <c r="T1268" i="7950" s="1"/>
  <c r="U1268" i="7950" s="1"/>
  <c r="V1268" i="7950" s="1"/>
  <c r="W1268" i="7950" s="1"/>
  <c r="Q2402" i="7950"/>
  <c r="R2402" i="7950" s="1"/>
  <c r="S2402" i="7950" s="1"/>
  <c r="T2402" i="7950" s="1"/>
  <c r="U2402" i="7950" s="1"/>
  <c r="V2402" i="7950" s="1"/>
  <c r="W2402" i="7950" s="1"/>
  <c r="Q1160" i="7950"/>
  <c r="R1160" i="7950" s="1"/>
  <c r="S1160" i="7950" s="1"/>
  <c r="T1160" i="7950" s="1"/>
  <c r="U1160" i="7950" s="1"/>
  <c r="V1160" i="7950" s="1"/>
  <c r="W1160" i="7950" s="1"/>
  <c r="R2187" i="7950"/>
  <c r="S2187" i="7950" s="1"/>
  <c r="T2187" i="7950" s="1"/>
  <c r="U2187" i="7950" s="1"/>
  <c r="V2187" i="7950" s="1"/>
  <c r="W2187" i="7950" s="1"/>
  <c r="R243" i="7950"/>
  <c r="S243" i="7950" s="1"/>
  <c r="T243" i="7950" s="1"/>
  <c r="U243" i="7950" s="1"/>
  <c r="V243" i="7950" s="1"/>
  <c r="W243" i="7950" s="1"/>
  <c r="R1701" i="7950"/>
  <c r="S1701" i="7950" s="1"/>
  <c r="T1701" i="7950" s="1"/>
  <c r="U1701" i="7950" s="1"/>
  <c r="V1701" i="7950" s="1"/>
  <c r="W1701" i="7950" s="1"/>
  <c r="R1053" i="7950"/>
  <c r="S1053" i="7950" s="1"/>
  <c r="T1053" i="7950" s="1"/>
  <c r="U1053" i="7950" s="1"/>
  <c r="V1053" i="7950" s="1"/>
  <c r="W1053" i="7950" s="1"/>
  <c r="R2619" i="7950"/>
  <c r="S2619" i="7950" s="1"/>
  <c r="T2619" i="7950" s="1"/>
  <c r="U2619" i="7950" s="1"/>
  <c r="V2619" i="7950" s="1"/>
  <c r="W2619" i="7950" s="1"/>
  <c r="R969" i="7950"/>
  <c r="S969" i="7950" s="1"/>
  <c r="T969" i="7950" s="1"/>
  <c r="U969" i="7950" s="1"/>
  <c r="V969" i="7950" s="1"/>
  <c r="W969" i="7950" s="1"/>
  <c r="R945" i="7950"/>
  <c r="T461" i="7950"/>
  <c r="U461" i="7950" s="1"/>
  <c r="V461" i="7950" s="1"/>
  <c r="W461" i="7950" s="1"/>
  <c r="T1973" i="7950"/>
  <c r="U1973" i="7950" s="1"/>
  <c r="V1973" i="7950" s="1"/>
  <c r="W1973" i="7950" s="1"/>
  <c r="T839" i="7950"/>
  <c r="U839" i="7950" s="1"/>
  <c r="V839" i="7950" s="1"/>
  <c r="W839" i="7950" s="1"/>
  <c r="T1811" i="7950"/>
  <c r="U1811" i="7950" s="1"/>
  <c r="V1811" i="7950" s="1"/>
  <c r="W1811" i="7950" s="1"/>
  <c r="T2297" i="7950"/>
  <c r="U2297" i="7950" s="1"/>
  <c r="V2297" i="7950" s="1"/>
  <c r="W2297" i="7950" s="1"/>
  <c r="T893" i="7950"/>
  <c r="U893" i="7950" s="1"/>
  <c r="V893" i="7950" s="1"/>
  <c r="W893" i="7950" s="1"/>
  <c r="T2243" i="7950"/>
  <c r="U2243" i="7950" s="1"/>
  <c r="V2243" i="7950" s="1"/>
  <c r="W2243" i="7950" s="1"/>
  <c r="U2352" i="7950"/>
  <c r="V2352" i="7950" s="1"/>
  <c r="W2352" i="7950" s="1"/>
  <c r="U462" i="7950"/>
  <c r="V462" i="7950" s="1"/>
  <c r="W462" i="7950" s="1"/>
  <c r="U678" i="7950"/>
  <c r="V678" i="7950" s="1"/>
  <c r="W678" i="7950" s="1"/>
  <c r="U300" i="7950"/>
  <c r="V300" i="7950" s="1"/>
  <c r="W300" i="7950" s="1"/>
  <c r="U246" i="7950"/>
  <c r="V246" i="7950" s="1"/>
  <c r="W246" i="7950" s="1"/>
  <c r="U516" i="7950"/>
  <c r="V516" i="7950" s="1"/>
  <c r="W516" i="7950" s="1"/>
  <c r="U1974" i="7950"/>
  <c r="V1974" i="7950" s="1"/>
  <c r="W1974" i="7950" s="1"/>
  <c r="U840" i="7950"/>
  <c r="V840" i="7950" s="1"/>
  <c r="W840" i="7950" s="1"/>
  <c r="U2406" i="7950"/>
  <c r="V2406" i="7950" s="1"/>
  <c r="W2406" i="7950" s="1"/>
  <c r="K530" i="7950"/>
  <c r="L530" i="7950" s="1"/>
  <c r="M530" i="7950" s="1"/>
  <c r="N530" i="7950" s="1"/>
  <c r="O530" i="7950" s="1"/>
  <c r="K506" i="7950"/>
  <c r="K2096" i="7950"/>
  <c r="L2096" i="7950" s="1"/>
  <c r="M2096" i="7950" s="1"/>
  <c r="N2096" i="7950" s="1"/>
  <c r="O2096" i="7950" s="1"/>
  <c r="K2072" i="7950"/>
  <c r="P369" i="7950"/>
  <c r="K1286" i="7950"/>
  <c r="L1286" i="7950" s="1"/>
  <c r="M1286" i="7950" s="1"/>
  <c r="N1286" i="7950" s="1"/>
  <c r="O1286" i="7950" s="1"/>
  <c r="K1262" i="7950"/>
  <c r="M724" i="7950"/>
  <c r="N724" i="7950" s="1"/>
  <c r="O724" i="7950" s="1"/>
  <c r="P724" i="7950" s="1"/>
  <c r="Q724" i="7950" s="1"/>
  <c r="P457" i="7950"/>
  <c r="Q457" i="7950" s="1"/>
  <c r="R457" i="7950" s="1"/>
  <c r="S457" i="7950" s="1"/>
  <c r="T457" i="7950" s="1"/>
  <c r="U457" i="7950" s="1"/>
  <c r="V457" i="7950" s="1"/>
  <c r="W457" i="7950" s="1"/>
  <c r="P727" i="7950"/>
  <c r="Q727" i="7950" s="1"/>
  <c r="R727" i="7950" s="1"/>
  <c r="S727" i="7950" s="1"/>
  <c r="T727" i="7950" s="1"/>
  <c r="U727" i="7950" s="1"/>
  <c r="V727" i="7950" s="1"/>
  <c r="W727" i="7950" s="1"/>
  <c r="L1317" i="7950"/>
  <c r="M1317" i="7950" s="1"/>
  <c r="N1317" i="7950" s="1"/>
  <c r="O1317" i="7950" s="1"/>
  <c r="P1317" i="7950" s="1"/>
  <c r="Q1317" i="7950" s="1"/>
  <c r="R1317" i="7950" s="1"/>
  <c r="S1317" i="7950" s="1"/>
  <c r="T1317" i="7950" s="1"/>
  <c r="U1317" i="7950" s="1"/>
  <c r="V1317" i="7950" s="1"/>
  <c r="W1317" i="7950" s="1"/>
  <c r="L129" i="7950"/>
  <c r="M129" i="7950" s="1"/>
  <c r="N129" i="7950" s="1"/>
  <c r="O129" i="7950" s="1"/>
  <c r="P129" i="7950" s="1"/>
  <c r="K476" i="7950"/>
  <c r="L476" i="7950" s="1"/>
  <c r="M476" i="7950" s="1"/>
  <c r="N476" i="7950" s="1"/>
  <c r="O476" i="7950" s="1"/>
  <c r="K452" i="7950"/>
  <c r="P909" i="7950"/>
  <c r="O2044" i="7950"/>
  <c r="P2044" i="7950" s="1"/>
  <c r="K2312" i="7950"/>
  <c r="L2312" i="7950" s="1"/>
  <c r="M2312" i="7950" s="1"/>
  <c r="N2312" i="7950" s="1"/>
  <c r="O2312" i="7950" s="1"/>
  <c r="K2288" i="7950"/>
  <c r="Q2588" i="7950"/>
  <c r="R2588" i="7950" s="1"/>
  <c r="S2588" i="7950" s="1"/>
  <c r="T2588" i="7950" s="1"/>
  <c r="U2588" i="7950" s="1"/>
  <c r="V2588" i="7950" s="1"/>
  <c r="W2588" i="7950" s="1"/>
  <c r="Q2564" i="7950"/>
  <c r="Q2102" i="7950"/>
  <c r="R2102" i="7950" s="1"/>
  <c r="S2102" i="7950" s="1"/>
  <c r="T2102" i="7950" s="1"/>
  <c r="U2102" i="7950" s="1"/>
  <c r="V2102" i="7950" s="1"/>
  <c r="W2102" i="7950" s="1"/>
  <c r="Q2078" i="7950"/>
  <c r="R375" i="7950"/>
  <c r="S375" i="7950" s="1"/>
  <c r="T375" i="7950" s="1"/>
  <c r="U375" i="7950" s="1"/>
  <c r="V375" i="7950" s="1"/>
  <c r="W375" i="7950" s="1"/>
  <c r="R351" i="7950"/>
  <c r="R1269" i="7950"/>
  <c r="S1269" i="7950" s="1"/>
  <c r="T1269" i="7950" s="1"/>
  <c r="U1269" i="7950" s="1"/>
  <c r="V1269" i="7950" s="1"/>
  <c r="W1269" i="7950" s="1"/>
  <c r="R729" i="7950"/>
  <c r="S729" i="7950" s="1"/>
  <c r="T729" i="7950" s="1"/>
  <c r="U729" i="7950" s="1"/>
  <c r="V729" i="7950" s="1"/>
  <c r="W729" i="7950" s="1"/>
  <c r="R1323" i="7950"/>
  <c r="S1323" i="7950" s="1"/>
  <c r="T1323" i="7950" s="1"/>
  <c r="U1323" i="7950" s="1"/>
  <c r="S2026" i="7950"/>
  <c r="T2026" i="7950" s="1"/>
  <c r="U2026" i="7950" s="1"/>
  <c r="V2026" i="7950" s="1"/>
  <c r="W2026" i="7950" s="1"/>
  <c r="S2644" i="7950"/>
  <c r="T2644" i="7950" s="1"/>
  <c r="U2644" i="7950" s="1"/>
  <c r="V2644" i="7950" s="1"/>
  <c r="W2644" i="7950" s="1"/>
  <c r="S2620" i="7950"/>
  <c r="S2698" i="7950"/>
  <c r="T2698" i="7950" s="1"/>
  <c r="U2698" i="7950" s="1"/>
  <c r="V2698" i="7950" s="1"/>
  <c r="W2698" i="7950" s="1"/>
  <c r="S2674" i="7950"/>
  <c r="T1025" i="7950"/>
  <c r="U1025" i="7950" s="1"/>
  <c r="V1025" i="7950" s="1"/>
  <c r="W1025" i="7950" s="1"/>
  <c r="T1001" i="7950"/>
  <c r="T755" i="7950"/>
  <c r="U755" i="7950" s="1"/>
  <c r="V755" i="7950" s="1"/>
  <c r="W755" i="7950" s="1"/>
  <c r="T731" i="7950"/>
  <c r="T1889" i="7950"/>
  <c r="U1889" i="7950" s="1"/>
  <c r="V1889" i="7950" s="1"/>
  <c r="W1889" i="7950" s="1"/>
  <c r="T1865" i="7950"/>
  <c r="K422" i="7950"/>
  <c r="L422" i="7950" s="1"/>
  <c r="M422" i="7950" s="1"/>
  <c r="N422" i="7950" s="1"/>
  <c r="O422" i="7950" s="1"/>
  <c r="K398" i="7950"/>
  <c r="L1965" i="7950"/>
  <c r="M1965" i="7950" s="1"/>
  <c r="N1965" i="7950" s="1"/>
  <c r="M238" i="7950"/>
  <c r="N238" i="7950" s="1"/>
  <c r="O238" i="7950" s="1"/>
  <c r="P238" i="7950" s="1"/>
  <c r="M2290" i="7950"/>
  <c r="N2290" i="7950" s="1"/>
  <c r="O2290" i="7950" s="1"/>
  <c r="P2290" i="7950" s="1"/>
  <c r="Q2290" i="7950" s="1"/>
  <c r="P2131" i="7950"/>
  <c r="Q2131" i="7950" s="1"/>
  <c r="R2131" i="7950" s="1"/>
  <c r="S2131" i="7950" s="1"/>
  <c r="T2131" i="7950" s="1"/>
  <c r="U2131" i="7950" s="1"/>
  <c r="V2131" i="7950" s="1"/>
  <c r="W2131" i="7950" s="1"/>
  <c r="K1556" i="7950"/>
  <c r="L1556" i="7950" s="1"/>
  <c r="M1556" i="7950" s="1"/>
  <c r="N1556" i="7950" s="1"/>
  <c r="O1556" i="7950" s="1"/>
  <c r="K1532" i="7950"/>
  <c r="L993" i="7950"/>
  <c r="M993" i="7950" s="1"/>
  <c r="N993" i="7950" s="1"/>
  <c r="M1750" i="7950"/>
  <c r="N1750" i="7950" s="1"/>
  <c r="O1750" i="7950" s="1"/>
  <c r="M886" i="7950"/>
  <c r="N886" i="7950" s="1"/>
  <c r="O886" i="7950" s="1"/>
  <c r="P889" i="7950"/>
  <c r="Q889" i="7950" s="1"/>
  <c r="R889" i="7950" s="1"/>
  <c r="S889" i="7950" s="1"/>
  <c r="T889" i="7950" s="1"/>
  <c r="U889" i="7950" s="1"/>
  <c r="V889" i="7950" s="1"/>
  <c r="W889" i="7950" s="1"/>
  <c r="P403" i="7950"/>
  <c r="Q403" i="7950" s="1"/>
  <c r="R403" i="7950" s="1"/>
  <c r="S403" i="7950" s="1"/>
  <c r="T403" i="7950" s="1"/>
  <c r="U403" i="7950" s="1"/>
  <c r="V403" i="7950" s="1"/>
  <c r="W403" i="7950" s="1"/>
  <c r="Q1832" i="7950"/>
  <c r="R1832" i="7950" s="1"/>
  <c r="S1832" i="7950" s="1"/>
  <c r="T1832" i="7950" s="1"/>
  <c r="U1832" i="7950" s="1"/>
  <c r="V1832" i="7950" s="1"/>
  <c r="W1832" i="7950" s="1"/>
  <c r="Q1808" i="7950"/>
  <c r="Q1778" i="7950"/>
  <c r="R1778" i="7950" s="1"/>
  <c r="S1778" i="7950" s="1"/>
  <c r="T1778" i="7950" s="1"/>
  <c r="U1778" i="7950" s="1"/>
  <c r="V1778" i="7950" s="1"/>
  <c r="W1778" i="7950" s="1"/>
  <c r="Q1754" i="7950"/>
  <c r="Q1346" i="7950"/>
  <c r="R1346" i="7950" s="1"/>
  <c r="S1346" i="7950" s="1"/>
  <c r="T1346" i="7950" s="1"/>
  <c r="Q1322" i="7950"/>
  <c r="R1995" i="7950"/>
  <c r="S1995" i="7950" s="1"/>
  <c r="T1995" i="7950" s="1"/>
  <c r="U1995" i="7950" s="1"/>
  <c r="V1995" i="7950" s="1"/>
  <c r="W1995" i="7950" s="1"/>
  <c r="R1971" i="7950"/>
  <c r="S1294" i="7950"/>
  <c r="T1294" i="7950" s="1"/>
  <c r="U1294" i="7950" s="1"/>
  <c r="V1294" i="7950" s="1"/>
  <c r="W1294" i="7950" s="1"/>
  <c r="S1270" i="7950"/>
  <c r="T29" i="7950"/>
  <c r="T53" i="7950"/>
  <c r="T2051" i="7950"/>
  <c r="U2051" i="7950" s="1"/>
  <c r="V2051" i="7950" s="1"/>
  <c r="W2051" i="7950" s="1"/>
  <c r="T2027" i="7950"/>
  <c r="T1943" i="7950"/>
  <c r="U1943" i="7950" s="1"/>
  <c r="V1943" i="7950" s="1"/>
  <c r="W1943" i="7950" s="1"/>
  <c r="T1919" i="7950"/>
  <c r="T593" i="7950"/>
  <c r="U593" i="7950" s="1"/>
  <c r="V593" i="7950" s="1"/>
  <c r="W593" i="7950" s="1"/>
  <c r="T569" i="7950"/>
  <c r="L1101" i="7950"/>
  <c r="M1101" i="7950" s="1"/>
  <c r="N1101" i="7950" s="1"/>
  <c r="M292" i="7950"/>
  <c r="N292" i="7950" s="1"/>
  <c r="O292" i="7950" s="1"/>
  <c r="P292" i="7950" s="1"/>
  <c r="Q292" i="7950" s="1"/>
  <c r="Q1454" i="7950"/>
  <c r="R1454" i="7950" s="1"/>
  <c r="S1454" i="7950" s="1"/>
  <c r="T1454" i="7950" s="1"/>
  <c r="U1454" i="7950" s="1"/>
  <c r="V1454" i="7950" s="1"/>
  <c r="W1454" i="7950" s="1"/>
  <c r="Q1430" i="7950"/>
  <c r="R2295" i="7950"/>
  <c r="S2295" i="7950" s="1"/>
  <c r="T2295" i="7950" s="1"/>
  <c r="U2295" i="7950" s="1"/>
  <c r="V2295" i="7950" s="1"/>
  <c r="W2295" i="7950" s="1"/>
  <c r="R2457" i="7950"/>
  <c r="S2457" i="7950" s="1"/>
  <c r="T2457" i="7950" s="1"/>
  <c r="U2457" i="7950" s="1"/>
  <c r="V2457" i="7950" s="1"/>
  <c r="W2457" i="7950" s="1"/>
  <c r="S568" i="7950"/>
  <c r="T568" i="7950" s="1"/>
  <c r="U568" i="7950" s="1"/>
  <c r="V568" i="7950" s="1"/>
  <c r="W568" i="7950" s="1"/>
  <c r="S82" i="7950"/>
  <c r="T82" i="7950" s="1"/>
  <c r="U82" i="7950" s="1"/>
  <c r="V82" i="7950" s="1"/>
  <c r="W82" i="7950" s="1"/>
  <c r="T785" i="7950"/>
  <c r="U785" i="7950" s="1"/>
  <c r="V785" i="7950" s="1"/>
  <c r="W785" i="7950" s="1"/>
  <c r="T2135" i="7950"/>
  <c r="U2135" i="7950" s="1"/>
  <c r="V2135" i="7950" s="1"/>
  <c r="W2135" i="7950" s="1"/>
  <c r="U1056" i="7950"/>
  <c r="V1056" i="7950" s="1"/>
  <c r="W1056" i="7950" s="1"/>
  <c r="U948" i="7950"/>
  <c r="V948" i="7950" s="1"/>
  <c r="W948" i="7950" s="1"/>
  <c r="U732" i="7950"/>
  <c r="V732" i="7950" s="1"/>
  <c r="W732" i="7950" s="1"/>
  <c r="P589" i="7950"/>
  <c r="Q589" i="7950" s="1"/>
  <c r="R589" i="7950" s="1"/>
  <c r="S589" i="7950" s="1"/>
  <c r="T589" i="7950" s="1"/>
  <c r="U589" i="7950" s="1"/>
  <c r="V589" i="7950" s="1"/>
  <c r="W589" i="7950" s="1"/>
  <c r="P565" i="7950"/>
  <c r="P295" i="7950"/>
  <c r="Q295" i="7950" s="1"/>
  <c r="R295" i="7950" s="1"/>
  <c r="S295" i="7950" s="1"/>
  <c r="T295" i="7950" s="1"/>
  <c r="U295" i="7950" s="1"/>
  <c r="V295" i="7950" s="1"/>
  <c r="W295" i="7950" s="1"/>
  <c r="N2259" i="7950"/>
  <c r="O2259" i="7950" s="1"/>
  <c r="P2259" i="7950" s="1"/>
  <c r="P2367" i="7950"/>
  <c r="O640" i="7950"/>
  <c r="P640" i="7950" s="1"/>
  <c r="P1993" i="7950"/>
  <c r="Q1993" i="7950" s="1"/>
  <c r="R1993" i="7950" s="1"/>
  <c r="S1993" i="7950" s="1"/>
  <c r="T1993" i="7950" s="1"/>
  <c r="U1993" i="7950" s="1"/>
  <c r="V1993" i="7950" s="1"/>
  <c r="W1993" i="7950" s="1"/>
  <c r="P1969" i="7950"/>
  <c r="M184" i="7950"/>
  <c r="N184" i="7950" s="1"/>
  <c r="O184" i="7950" s="1"/>
  <c r="P184" i="7950" s="1"/>
  <c r="Q184" i="7950" s="1"/>
  <c r="P1645" i="7950"/>
  <c r="Q1645" i="7950" s="1"/>
  <c r="R1645" i="7950" s="1"/>
  <c r="S1645" i="7950" s="1"/>
  <c r="T1645" i="7950" s="1"/>
  <c r="U1645" i="7950" s="1"/>
  <c r="V1645" i="7950" s="1"/>
  <c r="W1645" i="7950" s="1"/>
  <c r="P943" i="7950"/>
  <c r="Q943" i="7950" s="1"/>
  <c r="R943" i="7950" s="1"/>
  <c r="S943" i="7950" s="1"/>
  <c r="T943" i="7950" s="1"/>
  <c r="U943" i="7950" s="1"/>
  <c r="V943" i="7950" s="1"/>
  <c r="W943" i="7950" s="1"/>
  <c r="P1885" i="7950"/>
  <c r="Q1885" i="7950" s="1"/>
  <c r="R1885" i="7950" s="1"/>
  <c r="S1885" i="7950" s="1"/>
  <c r="T1885" i="7950" s="1"/>
  <c r="U1885" i="7950" s="1"/>
  <c r="V1885" i="7950" s="1"/>
  <c r="W1885" i="7950" s="1"/>
  <c r="P1861" i="7950"/>
  <c r="Q1538" i="7950"/>
  <c r="R1538" i="7950" s="1"/>
  <c r="S1538" i="7950" s="1"/>
  <c r="T1538" i="7950" s="1"/>
  <c r="U1538" i="7950" s="1"/>
  <c r="V1538" i="7950" s="1"/>
  <c r="W1538" i="7950" s="1"/>
  <c r="Q458" i="7950"/>
  <c r="R458" i="7950" s="1"/>
  <c r="S458" i="7950" s="1"/>
  <c r="T458" i="7950" s="1"/>
  <c r="U458" i="7950" s="1"/>
  <c r="V458" i="7950" s="1"/>
  <c r="W458" i="7950" s="1"/>
  <c r="Q1592" i="7950"/>
  <c r="R1592" i="7950" s="1"/>
  <c r="S1592" i="7950" s="1"/>
  <c r="T1592" i="7950" s="1"/>
  <c r="U1592" i="7950" s="1"/>
  <c r="V1592" i="7950" s="1"/>
  <c r="W1592" i="7950" s="1"/>
  <c r="R135" i="7950"/>
  <c r="S135" i="7950" s="1"/>
  <c r="T135" i="7950" s="1"/>
  <c r="U135" i="7950" s="1"/>
  <c r="V135" i="7950" s="1"/>
  <c r="W135" i="7950" s="1"/>
  <c r="R2673" i="7950"/>
  <c r="S2673" i="7950" s="1"/>
  <c r="T2673" i="7950" s="1"/>
  <c r="U2673" i="7950" s="1"/>
  <c r="V2673" i="7950" s="1"/>
  <c r="W2673" i="7950" s="1"/>
  <c r="R1671" i="7950"/>
  <c r="S1671" i="7950" s="1"/>
  <c r="T1671" i="7950" s="1"/>
  <c r="U1671" i="7950" s="1"/>
  <c r="V1671" i="7950" s="1"/>
  <c r="W1671" i="7950" s="1"/>
  <c r="R1647" i="7950"/>
  <c r="R1377" i="7950"/>
  <c r="S1377" i="7950" s="1"/>
  <c r="T1377" i="7950" s="1"/>
  <c r="U1377" i="7950" s="1"/>
  <c r="V1377" i="7950" s="1"/>
  <c r="W1377" i="7950" s="1"/>
  <c r="R1215" i="7950"/>
  <c r="S1215" i="7950" s="1"/>
  <c r="T1215" i="7950" s="1"/>
  <c r="U1215" i="7950" s="1"/>
  <c r="V1215" i="7950" s="1"/>
  <c r="W1215" i="7950" s="1"/>
  <c r="S1972" i="7950"/>
  <c r="T1972" i="7950" s="1"/>
  <c r="U1972" i="7950" s="1"/>
  <c r="V1972" i="7950" s="1"/>
  <c r="W1972" i="7950" s="1"/>
  <c r="S2134" i="7950"/>
  <c r="T2134" i="7950" s="1"/>
  <c r="U2134" i="7950" s="1"/>
  <c r="V2134" i="7950" s="1"/>
  <c r="W2134" i="7950" s="1"/>
  <c r="T623" i="7950"/>
  <c r="U623" i="7950" s="1"/>
  <c r="V623" i="7950" s="1"/>
  <c r="W623" i="7950" s="1"/>
  <c r="T2675" i="7950"/>
  <c r="U2675" i="7950" s="1"/>
  <c r="V2675" i="7950" s="1"/>
  <c r="W2675" i="7950" s="1"/>
  <c r="T1541" i="7950"/>
  <c r="U1541" i="7950" s="1"/>
  <c r="V1541" i="7950" s="1"/>
  <c r="W1541" i="7950" s="1"/>
  <c r="U2676" i="7950"/>
  <c r="V2676" i="7950" s="1"/>
  <c r="W2676" i="7950" s="1"/>
  <c r="U1272" i="7950"/>
  <c r="V1272" i="7950" s="1"/>
  <c r="W1272" i="7950" s="1"/>
  <c r="K1718" i="7950"/>
  <c r="L1718" i="7950" s="1"/>
  <c r="M1718" i="7950" s="1"/>
  <c r="N1718" i="7950" s="1"/>
  <c r="O1718" i="7950" s="1"/>
  <c r="K1694" i="7950"/>
  <c r="K1448" i="7950"/>
  <c r="L1448" i="7950" s="1"/>
  <c r="M1448" i="7950" s="1"/>
  <c r="N1448" i="7950" s="1"/>
  <c r="O1448" i="7950" s="1"/>
  <c r="K1424" i="7950"/>
  <c r="K260" i="7950"/>
  <c r="L260" i="7950" s="1"/>
  <c r="M260" i="7950" s="1"/>
  <c r="N260" i="7950" s="1"/>
  <c r="W627" i="7950"/>
  <c r="W2085" i="7950"/>
  <c r="W2679" i="7950"/>
  <c r="W1599" i="7950"/>
  <c r="W2571" i="7950"/>
  <c r="W1707" i="7950"/>
  <c r="W1059" i="7950"/>
  <c r="W1761" i="7950"/>
  <c r="W1923" i="7950"/>
  <c r="W87" i="7950"/>
  <c r="W735" i="7950"/>
  <c r="W1275" i="7950"/>
  <c r="W2139" i="7950"/>
  <c r="W2658" i="7950"/>
  <c r="W2442" i="7950"/>
  <c r="W2226" i="7950"/>
  <c r="W2010" i="7950"/>
  <c r="W2496" i="7950"/>
  <c r="W2280" i="7950"/>
  <c r="W2064" i="7950"/>
  <c r="W1848" i="7950"/>
  <c r="W2550" i="7950"/>
  <c r="W2334" i="7950"/>
  <c r="W2118" i="7950"/>
  <c r="W1902" i="7950"/>
  <c r="W2604" i="7950"/>
  <c r="W1794" i="7950"/>
  <c r="W1686" i="7950"/>
  <c r="W1470" i="7950"/>
  <c r="W1254" i="7950"/>
  <c r="W1038" i="7950"/>
  <c r="W1362" i="7950"/>
  <c r="W876" i="7950"/>
  <c r="W660" i="7950"/>
  <c r="W444" i="7950"/>
  <c r="W228" i="7950"/>
  <c r="W2657" i="7950"/>
  <c r="W2388" i="7950"/>
  <c r="W1200" i="7950"/>
  <c r="W984" i="7950"/>
  <c r="W606" i="7950"/>
  <c r="W498" i="7950"/>
  <c r="W120" i="7950"/>
  <c r="W2333" i="7950"/>
  <c r="W2117" i="7950"/>
  <c r="W1901" i="7950"/>
  <c r="W1685" i="7950"/>
  <c r="W1469" i="7950"/>
  <c r="W1253" i="7950"/>
  <c r="W1037" i="7950"/>
  <c r="W821" i="7950"/>
  <c r="W605" i="7950"/>
  <c r="W389" i="7950"/>
  <c r="W173" i="7950"/>
  <c r="W1956" i="7950"/>
  <c r="W1740" i="7950"/>
  <c r="W714" i="7950"/>
  <c r="W552" i="7950"/>
  <c r="W390" i="7950"/>
  <c r="W66" i="7950"/>
  <c r="W2549" i="7950"/>
  <c r="W2387" i="7950"/>
  <c r="W2009" i="7950"/>
  <c r="W1631" i="7950"/>
  <c r="W1523" i="7950"/>
  <c r="W1145" i="7950"/>
  <c r="W767" i="7950"/>
  <c r="W659" i="7950"/>
  <c r="W281" i="7950"/>
  <c r="W2656" i="7950"/>
  <c r="W2704" i="7950" s="1"/>
  <c r="W2548" i="7950"/>
  <c r="W2596" i="7950" s="1"/>
  <c r="W2440" i="7950"/>
  <c r="W2488" i="7950" s="1"/>
  <c r="W2332" i="7950"/>
  <c r="W2380" i="7950" s="1"/>
  <c r="W2224" i="7950"/>
  <c r="W2116" i="7950"/>
  <c r="W2164" i="7950" s="1"/>
  <c r="W2008" i="7950"/>
  <c r="W2056" i="7950" s="1"/>
  <c r="W1900" i="7950"/>
  <c r="W1948" i="7950" s="1"/>
  <c r="W1792" i="7950"/>
  <c r="W1840" i="7950" s="1"/>
  <c r="W1684" i="7950"/>
  <c r="W1732" i="7950" s="1"/>
  <c r="W1576" i="7950"/>
  <c r="W1624" i="7950" s="1"/>
  <c r="W1468" i="7950"/>
  <c r="W1516" i="7950" s="1"/>
  <c r="W1360" i="7950"/>
  <c r="W1408" i="7950" s="1"/>
  <c r="W1252" i="7950"/>
  <c r="W1300" i="7950" s="1"/>
  <c r="W1144" i="7950"/>
  <c r="W1192" i="7950" s="1"/>
  <c r="W1036" i="7950"/>
  <c r="W1084" i="7950" s="1"/>
  <c r="W928" i="7950"/>
  <c r="W976" i="7950" s="1"/>
  <c r="W820" i="7950"/>
  <c r="W868" i="7950" s="1"/>
  <c r="W712" i="7950"/>
  <c r="W760" i="7950" s="1"/>
  <c r="W604" i="7950"/>
  <c r="W652" i="7950" s="1"/>
  <c r="W496" i="7950"/>
  <c r="W544" i="7950" s="1"/>
  <c r="W388" i="7950"/>
  <c r="W436" i="7950" s="1"/>
  <c r="W280" i="7950"/>
  <c r="W328" i="7950" s="1"/>
  <c r="W172" i="7950"/>
  <c r="W220" i="7950" s="1"/>
  <c r="W64" i="7950"/>
  <c r="W112" i="7950" s="1"/>
  <c r="W2601" i="7950"/>
  <c r="W2626" i="7950" s="1"/>
  <c r="W2493" i="7950"/>
  <c r="W2518" i="7950" s="1"/>
  <c r="W2385" i="7950"/>
  <c r="W2410" i="7950" s="1"/>
  <c r="W2277" i="7950"/>
  <c r="W2302" i="7950" s="1"/>
  <c r="W2169" i="7950"/>
  <c r="W2194" i="7950" s="1"/>
  <c r="W2061" i="7950"/>
  <c r="W2086" i="7950" s="1"/>
  <c r="W1953" i="7950"/>
  <c r="W1978" i="7950" s="1"/>
  <c r="W1845" i="7950"/>
  <c r="W1870" i="7950" s="1"/>
  <c r="W1737" i="7950"/>
  <c r="W1762" i="7950" s="1"/>
  <c r="W1629" i="7950"/>
  <c r="W1654" i="7950" s="1"/>
  <c r="W1521" i="7950"/>
  <c r="W1546" i="7950" s="1"/>
  <c r="W1413" i="7950"/>
  <c r="W1438" i="7950" s="1"/>
  <c r="W1305" i="7950"/>
  <c r="W1330" i="7950" s="1"/>
  <c r="W1197" i="7950"/>
  <c r="W1222" i="7950" s="1"/>
  <c r="W1089" i="7950"/>
  <c r="W1114" i="7950" s="1"/>
  <c r="W2172" i="7950"/>
  <c r="W1632" i="7950"/>
  <c r="W1578" i="7950"/>
  <c r="W1524" i="7950"/>
  <c r="W1416" i="7950"/>
  <c r="W1308" i="7950"/>
  <c r="W1146" i="7950"/>
  <c r="W1092" i="7950"/>
  <c r="W930" i="7950"/>
  <c r="W768" i="7950"/>
  <c r="W282" i="7950"/>
  <c r="W2279" i="7950"/>
  <c r="W2171" i="7950"/>
  <c r="W1793" i="7950"/>
  <c r="W1415" i="7950"/>
  <c r="W2063" i="7950"/>
  <c r="W1577" i="7950"/>
  <c r="W1307" i="7950"/>
  <c r="W119" i="7950"/>
  <c r="W2494" i="7950"/>
  <c r="W2542" i="7950" s="1"/>
  <c r="W2062" i="7950"/>
  <c r="W2110" i="7950" s="1"/>
  <c r="W1630" i="7950"/>
  <c r="W1678" i="7950" s="1"/>
  <c r="W1198" i="7950"/>
  <c r="W1246" i="7950" s="1"/>
  <c r="W766" i="7950"/>
  <c r="W814" i="7950" s="1"/>
  <c r="W334" i="7950"/>
  <c r="W382" i="7950" s="1"/>
  <c r="W2547" i="7950"/>
  <c r="W2572" i="7950" s="1"/>
  <c r="W2115" i="7950"/>
  <c r="W2140" i="7950" s="1"/>
  <c r="W1683" i="7950"/>
  <c r="W1708" i="7950" s="1"/>
  <c r="W1251" i="7950"/>
  <c r="W1276" i="7950" s="1"/>
  <c r="W822" i="7950"/>
  <c r="W336" i="7950"/>
  <c r="W174" i="7950"/>
  <c r="W2495" i="7950"/>
  <c r="W1847" i="7950"/>
  <c r="W1361" i="7950"/>
  <c r="W983" i="7950"/>
  <c r="W497" i="7950"/>
  <c r="W335" i="7950"/>
  <c r="W2602" i="7950"/>
  <c r="W2650" i="7950" s="1"/>
  <c r="W2170" i="7950"/>
  <c r="W2218" i="7950" s="1"/>
  <c r="W1738" i="7950"/>
  <c r="W1786" i="7950" s="1"/>
  <c r="W1306" i="7950"/>
  <c r="W1354" i="7950" s="1"/>
  <c r="W874" i="7950"/>
  <c r="W922" i="7950" s="1"/>
  <c r="W442" i="7950"/>
  <c r="W490" i="7950" s="1"/>
  <c r="W2655" i="7950"/>
  <c r="W2680" i="7950" s="1"/>
  <c r="W2223" i="7950"/>
  <c r="W2248" i="7950" s="1"/>
  <c r="W1791" i="7950"/>
  <c r="W1816" i="7950" s="1"/>
  <c r="W1359" i="7950"/>
  <c r="W1384" i="7950" s="1"/>
  <c r="W981" i="7950"/>
  <c r="W1006" i="7950" s="1"/>
  <c r="W873" i="7950"/>
  <c r="W898" i="7950" s="1"/>
  <c r="W765" i="7950"/>
  <c r="W790" i="7950" s="1"/>
  <c r="W657" i="7950"/>
  <c r="W682" i="7950" s="1"/>
  <c r="W549" i="7950"/>
  <c r="W574" i="7950" s="1"/>
  <c r="W441" i="7950"/>
  <c r="W466" i="7950" s="1"/>
  <c r="W333" i="7950"/>
  <c r="W358" i="7950" s="1"/>
  <c r="W225" i="7950"/>
  <c r="W250" i="7950" s="1"/>
  <c r="W117" i="7950"/>
  <c r="W142" i="7950" s="1"/>
  <c r="W1199" i="7950"/>
  <c r="W875" i="7950"/>
  <c r="W713" i="7950"/>
  <c r="W551" i="7950"/>
  <c r="W227" i="7950"/>
  <c r="W65" i="7950"/>
  <c r="W2278" i="7950"/>
  <c r="W2326" i="7950" s="1"/>
  <c r="W1414" i="7950"/>
  <c r="W1462" i="7950" s="1"/>
  <c r="W550" i="7950"/>
  <c r="W598" i="7950" s="1"/>
  <c r="W2331" i="7950"/>
  <c r="W2356" i="7950" s="1"/>
  <c r="W1467" i="7950"/>
  <c r="W1492" i="7950" s="1"/>
  <c r="W2603" i="7950"/>
  <c r="W2441" i="7950"/>
  <c r="W1955" i="7950"/>
  <c r="W1846" i="7950"/>
  <c r="W1894" i="7950" s="1"/>
  <c r="W1090" i="7950"/>
  <c r="W1138" i="7950" s="1"/>
  <c r="W226" i="7950"/>
  <c r="W274" i="7950" s="1"/>
  <c r="W1035" i="7950"/>
  <c r="W1060" i="7950" s="1"/>
  <c r="W603" i="7950"/>
  <c r="W628" i="7950" s="1"/>
  <c r="W171" i="7950"/>
  <c r="W196" i="7950" s="1"/>
  <c r="W2225" i="7950"/>
  <c r="W1739" i="7950"/>
  <c r="W2386" i="7950"/>
  <c r="W2434" i="7950" s="1"/>
  <c r="W1522" i="7950"/>
  <c r="W1570" i="7950" s="1"/>
  <c r="W658" i="7950"/>
  <c r="W706" i="7950" s="1"/>
  <c r="W2439" i="7950"/>
  <c r="W2464" i="7950" s="1"/>
  <c r="W1575" i="7950"/>
  <c r="W1600" i="7950" s="1"/>
  <c r="W927" i="7950"/>
  <c r="W952" i="7950" s="1"/>
  <c r="W711" i="7950"/>
  <c r="W736" i="7950" s="1"/>
  <c r="W495" i="7950"/>
  <c r="W520" i="7950" s="1"/>
  <c r="W279" i="7950"/>
  <c r="W304" i="7950" s="1"/>
  <c r="W982" i="7950"/>
  <c r="W1030" i="7950" s="1"/>
  <c r="W118" i="7950"/>
  <c r="W166" i="7950" s="1"/>
  <c r="W1899" i="7950"/>
  <c r="W1924" i="7950" s="1"/>
  <c r="W1091" i="7950"/>
  <c r="W929" i="7950"/>
  <c r="W443" i="7950"/>
  <c r="W1954" i="7950"/>
  <c r="W2002" i="7950" s="1"/>
  <c r="W2007" i="7950"/>
  <c r="W2032" i="7950" s="1"/>
  <c r="W1143" i="7950"/>
  <c r="W1168" i="7950" s="1"/>
  <c r="W819" i="7950"/>
  <c r="W844" i="7950" s="1"/>
  <c r="W387" i="7950"/>
  <c r="W412" i="7950" s="1"/>
  <c r="W63" i="7950"/>
  <c r="W88" i="7950" s="1"/>
  <c r="W12" i="7950"/>
  <c r="W11" i="7950"/>
  <c r="W10" i="7950"/>
  <c r="W58" i="7950" s="1"/>
  <c r="W9" i="7950"/>
  <c r="W34" i="7950" s="1"/>
  <c r="D2124" i="7949"/>
  <c r="D1476" i="7949"/>
  <c r="D936" i="7949"/>
  <c r="D396" i="7949"/>
  <c r="D2178" i="7949"/>
  <c r="D882" i="7949"/>
  <c r="D2664" i="7949"/>
  <c r="D2016" i="7949"/>
  <c r="D1368" i="7949"/>
  <c r="D2502" i="7949"/>
  <c r="D288" i="7949"/>
  <c r="D1530" i="7949"/>
  <c r="D2556" i="7949"/>
  <c r="D1800" i="7949"/>
  <c r="D1260" i="7949"/>
  <c r="D2070" i="7949"/>
  <c r="D2394" i="7949"/>
  <c r="D1314" i="7949"/>
  <c r="D2448" i="7949"/>
  <c r="D1584" i="7949"/>
  <c r="D1044" i="7949"/>
  <c r="D612" i="7949"/>
  <c r="D1962" i="7949"/>
  <c r="D1098" i="7949"/>
  <c r="D234" i="7949"/>
  <c r="D450" i="7949"/>
  <c r="D72" i="7949"/>
  <c r="D1908" i="7949"/>
  <c r="D1692" i="7949"/>
  <c r="D666" i="7949"/>
  <c r="D2340" i="7949"/>
  <c r="D1152" i="7949"/>
  <c r="D558" i="7949"/>
  <c r="D2232" i="7949"/>
  <c r="D990" i="7949"/>
  <c r="D342" i="7949"/>
  <c r="D504" i="7949"/>
  <c r="D828" i="7949"/>
  <c r="D2286" i="7949"/>
  <c r="D2610" i="7949"/>
  <c r="D1206" i="7949"/>
  <c r="D774" i="7949"/>
  <c r="D720" i="7949"/>
  <c r="D180" i="7949"/>
  <c r="D1638" i="7949"/>
  <c r="D126" i="7949"/>
  <c r="D1422" i="7949"/>
  <c r="D1746" i="7949"/>
  <c r="D1854" i="7949"/>
  <c r="E10" i="7949"/>
  <c r="F10" i="7949" s="1"/>
  <c r="G10" i="7949" s="1"/>
  <c r="D18" i="7949"/>
  <c r="O618" i="7950"/>
  <c r="P618" i="7950" s="1"/>
  <c r="O2021" i="7950"/>
  <c r="P2021" i="7950" s="1"/>
  <c r="Q2021" i="7950" s="1"/>
  <c r="M1858" i="7950"/>
  <c r="N1858" i="7950" s="1"/>
  <c r="L2397" i="7950"/>
  <c r="M2397" i="7950" s="1"/>
  <c r="O1212" i="7950"/>
  <c r="P1212" i="7950" s="1"/>
  <c r="L777" i="7950"/>
  <c r="M777" i="7950" s="1"/>
  <c r="M1048" i="7950"/>
  <c r="N1048" i="7950" s="1"/>
  <c r="O942" i="7950"/>
  <c r="P942" i="7950" s="1"/>
  <c r="O1698" i="7950"/>
  <c r="P1698" i="7950" s="1"/>
  <c r="O240" i="7950"/>
  <c r="P240" i="7950" s="1"/>
  <c r="O2400" i="7950"/>
  <c r="P2400" i="7950" s="1"/>
  <c r="P671" i="7950"/>
  <c r="Q671" i="7950" s="1"/>
  <c r="O888" i="7950"/>
  <c r="P888" i="7950" s="1"/>
  <c r="P1859" i="7950"/>
  <c r="Q1859" i="7950" s="1"/>
  <c r="O1967" i="7950"/>
  <c r="P1967" i="7950" s="1"/>
  <c r="Q1967" i="7950" s="1"/>
  <c r="L507" i="7950"/>
  <c r="M507" i="7950" s="1"/>
  <c r="L831" i="7950"/>
  <c r="M831" i="7950" s="1"/>
  <c r="L399" i="7950"/>
  <c r="M399" i="7950" s="1"/>
  <c r="M670" i="7950"/>
  <c r="N670" i="7950" s="1"/>
  <c r="P2237" i="7950"/>
  <c r="Q2237" i="7950" s="1"/>
  <c r="L2019" i="7950"/>
  <c r="M2019" i="7950" s="1"/>
  <c r="O1481" i="7950"/>
  <c r="P1481" i="7950" s="1"/>
  <c r="Q1481" i="7950" s="1"/>
  <c r="O294" i="7950"/>
  <c r="P294" i="7950" s="1"/>
  <c r="M1804" i="7950"/>
  <c r="N1804" i="7950" s="1"/>
  <c r="K2558" i="7950"/>
  <c r="L2558" i="7950" s="1"/>
  <c r="M2558" i="7950" s="1"/>
  <c r="N2558" i="7950" s="1"/>
  <c r="O2558" i="7950" s="1"/>
  <c r="O348" i="7950"/>
  <c r="P348" i="7950" s="1"/>
  <c r="M940" i="7950"/>
  <c r="N940" i="7950" s="1"/>
  <c r="P1211" i="7950"/>
  <c r="Q1211" i="7950" s="1"/>
  <c r="P2345" i="7950"/>
  <c r="Q2345" i="7950" s="1"/>
  <c r="O2292" i="7950"/>
  <c r="P2292" i="7950" s="1"/>
  <c r="O2076" i="7950"/>
  <c r="P2076" i="7950" s="1"/>
  <c r="O2562" i="7950"/>
  <c r="P2562" i="7950" s="1"/>
  <c r="M1696" i="7950"/>
  <c r="N1696" i="7950" s="1"/>
  <c r="O1589" i="7950"/>
  <c r="P1589" i="7950" s="1"/>
  <c r="Q1589" i="7950" s="1"/>
  <c r="O779" i="7950"/>
  <c r="P779" i="7950" s="1"/>
  <c r="Q779" i="7950" s="1"/>
  <c r="O2453" i="7950"/>
  <c r="P2453" i="7950" s="1"/>
  <c r="Q2453" i="7950" s="1"/>
  <c r="O456" i="7950"/>
  <c r="P456" i="7950" s="1"/>
  <c r="L1479" i="7950"/>
  <c r="M1479" i="7950" s="1"/>
  <c r="O995" i="7950"/>
  <c r="P995" i="7950" s="1"/>
  <c r="Q995" i="7950" s="1"/>
  <c r="O1265" i="7950"/>
  <c r="P1265" i="7950" s="1"/>
  <c r="Q1265" i="7950" s="1"/>
  <c r="O1860" i="7950"/>
  <c r="P1860" i="7950" s="1"/>
  <c r="M1156" i="7950"/>
  <c r="N1156" i="7950" s="1"/>
  <c r="O996" i="7950"/>
  <c r="P996" i="7950" s="1"/>
  <c r="O510" i="7950"/>
  <c r="P510" i="7950" s="1"/>
  <c r="M1480" i="7950"/>
  <c r="N1480" i="7950" s="1"/>
  <c r="O1374" i="7950"/>
  <c r="P1374" i="7950" s="1"/>
  <c r="O1644" i="7950"/>
  <c r="P1644" i="7950" s="1"/>
  <c r="N77" i="7950"/>
  <c r="O77" i="7950" s="1"/>
  <c r="M1318" i="7950"/>
  <c r="N1318" i="7950" s="1"/>
  <c r="O1318" i="7950" s="1"/>
  <c r="P1318" i="7950" s="1"/>
  <c r="Q1318" i="7950" s="1"/>
  <c r="R1318" i="7950" s="1"/>
  <c r="S1318" i="7950" s="1"/>
  <c r="T1318" i="7950" s="1"/>
  <c r="U1318" i="7950" s="1"/>
  <c r="V1318" i="7950" s="1"/>
  <c r="W1318" i="7950" s="1"/>
  <c r="M1372" i="7950"/>
  <c r="N1372" i="7950" s="1"/>
  <c r="O2346" i="7950"/>
  <c r="P2346" i="7950" s="1"/>
  <c r="O1104" i="7950"/>
  <c r="P1104" i="7950" s="1"/>
  <c r="P1157" i="7950"/>
  <c r="Q1157" i="7950" s="1"/>
  <c r="O1752" i="7950"/>
  <c r="P1752" i="7950" s="1"/>
  <c r="O780" i="7950"/>
  <c r="P780" i="7950" s="1"/>
  <c r="O239" i="7950"/>
  <c r="P239" i="7950" s="1"/>
  <c r="O1266" i="7950"/>
  <c r="P1266" i="7950" s="1"/>
  <c r="L291" i="7950"/>
  <c r="M291" i="7950" s="1"/>
  <c r="K938" i="7950"/>
  <c r="L938" i="7950" s="1"/>
  <c r="M938" i="7950" s="1"/>
  <c r="N938" i="7950" s="1"/>
  <c r="O938" i="7950" s="1"/>
  <c r="O1482" i="7950"/>
  <c r="P1482" i="7950" s="1"/>
  <c r="O2616" i="7950"/>
  <c r="P2616" i="7950" s="1"/>
  <c r="O24" i="7950"/>
  <c r="P24" i="7950" s="1"/>
  <c r="Q24" i="7950" s="1"/>
  <c r="R24" i="7950" s="1"/>
  <c r="S24" i="7950" s="1"/>
  <c r="T24" i="7950" s="1"/>
  <c r="U24" i="7950" s="1"/>
  <c r="V24" i="7950" s="1"/>
  <c r="W24" i="7950" s="1"/>
  <c r="O293" i="7950"/>
  <c r="P293" i="7950" s="1"/>
  <c r="Q293" i="7950" s="1"/>
  <c r="O672" i="7950"/>
  <c r="P672" i="7950" s="1"/>
  <c r="P617" i="7950"/>
  <c r="Q617" i="7950" s="1"/>
  <c r="P2399" i="7950"/>
  <c r="Q2399" i="7950" s="1"/>
  <c r="L1857" i="7950"/>
  <c r="M1857" i="7950" s="1"/>
  <c r="M346" i="7950"/>
  <c r="N346" i="7950" s="1"/>
  <c r="M508" i="7950"/>
  <c r="N508" i="7950" s="1"/>
  <c r="L561" i="7950"/>
  <c r="M561" i="7950" s="1"/>
  <c r="O2130" i="7950"/>
  <c r="P2130" i="7950" s="1"/>
  <c r="O1590" i="7950"/>
  <c r="P1590" i="7950" s="1"/>
  <c r="M2614" i="7950"/>
  <c r="N2614" i="7950" s="1"/>
  <c r="L1641" i="7950"/>
  <c r="M1641" i="7950" s="1"/>
  <c r="M1426" i="7950"/>
  <c r="N1426" i="7950" s="1"/>
  <c r="O1427" i="7950"/>
  <c r="P1427" i="7950" s="1"/>
  <c r="Q1427" i="7950" s="1"/>
  <c r="O2238" i="7950"/>
  <c r="P2238" i="7950" s="1"/>
  <c r="N1049" i="7950"/>
  <c r="O1049" i="7950" s="1"/>
  <c r="O564" i="7950"/>
  <c r="P564" i="7950" s="1"/>
  <c r="O2183" i="7950"/>
  <c r="P2183" i="7950" s="1"/>
  <c r="Q2183" i="7950" s="1"/>
  <c r="P2291" i="7950"/>
  <c r="Q2291" i="7950" s="1"/>
  <c r="P1535" i="7950"/>
  <c r="Q1535" i="7950" s="1"/>
  <c r="O2184" i="7950"/>
  <c r="P2184" i="7950" s="1"/>
  <c r="M1966" i="7950"/>
  <c r="N1966" i="7950" s="1"/>
  <c r="O2074" i="7950"/>
  <c r="P2074" i="7950" s="1"/>
  <c r="L1695" i="7950"/>
  <c r="M1695" i="7950" s="1"/>
  <c r="O1320" i="7950"/>
  <c r="P1320" i="7950" s="1"/>
  <c r="Q1320" i="7950" s="1"/>
  <c r="R1320" i="7950" s="1"/>
  <c r="S1320" i="7950" s="1"/>
  <c r="T1320" i="7950" s="1"/>
  <c r="U1320" i="7950" s="1"/>
  <c r="V1320" i="7950" s="1"/>
  <c r="W1320" i="7950" s="1"/>
  <c r="L615" i="7950"/>
  <c r="M615" i="7950" s="1"/>
  <c r="L1533" i="7950"/>
  <c r="M1533" i="7950" s="1"/>
  <c r="Q229" i="7944"/>
  <c r="P502" i="7944"/>
  <c r="P567" i="7944"/>
  <c r="Q216" i="7944"/>
  <c r="P1452" i="7950"/>
  <c r="Q1452" i="7950" s="1"/>
  <c r="R1667" i="7950"/>
  <c r="R1643" i="7950"/>
  <c r="N586" i="7950"/>
  <c r="O586" i="7950" s="1"/>
  <c r="M1071" i="7950"/>
  <c r="N1071" i="7950" s="1"/>
  <c r="P1074" i="7950"/>
  <c r="Q1074" i="7950" s="1"/>
  <c r="Q371" i="7950"/>
  <c r="Q156" i="7950"/>
  <c r="M261" i="7950"/>
  <c r="P2532" i="7950"/>
  <c r="Q2532" i="7950" s="1"/>
  <c r="P210" i="7950"/>
  <c r="Q210" i="7950" s="1"/>
  <c r="M963" i="7950"/>
  <c r="N963" i="7950" s="1"/>
  <c r="N100" i="7950"/>
  <c r="N1936" i="7950"/>
  <c r="O1936" i="7950" s="1"/>
  <c r="R2478" i="7950"/>
  <c r="Q1775" i="7950"/>
  <c r="Q1127" i="7950"/>
  <c r="P2046" i="7950"/>
  <c r="Q2046" i="7950" s="1"/>
  <c r="P858" i="7950"/>
  <c r="Q858" i="7950" s="1"/>
  <c r="Q749" i="7950"/>
  <c r="P2476" i="7950"/>
  <c r="P2694" i="7950"/>
  <c r="Q2694" i="7950" s="1"/>
  <c r="P1992" i="7950"/>
  <c r="Q1992" i="7950" s="1"/>
  <c r="R2153" i="7950"/>
  <c r="R2129" i="7950"/>
  <c r="S1397" i="7950"/>
  <c r="S1373" i="7950"/>
  <c r="R185" i="7950"/>
  <c r="R209" i="7950"/>
  <c r="N2152" i="7950"/>
  <c r="O2152" i="7950" s="1"/>
  <c r="M2583" i="7950"/>
  <c r="N2583" i="7950" s="1"/>
  <c r="M747" i="7950"/>
  <c r="N747" i="7950" s="1"/>
  <c r="O911" i="7950"/>
  <c r="P911" i="7950" s="1"/>
  <c r="M1179" i="7950"/>
  <c r="N1179" i="7950" s="1"/>
  <c r="O533" i="7950"/>
  <c r="P533" i="7950" s="1"/>
  <c r="Q131" i="7950"/>
  <c r="Q155" i="7950"/>
  <c r="M2205" i="7950"/>
  <c r="N2205" i="7950" s="1"/>
  <c r="M1827" i="7950"/>
  <c r="N1827" i="7950" s="1"/>
  <c r="P1560" i="7950"/>
  <c r="Q1560" i="7950" s="1"/>
  <c r="P1830" i="7950"/>
  <c r="Q1830" i="7950" s="1"/>
  <c r="P426" i="7950"/>
  <c r="Q426" i="7950" s="1"/>
  <c r="O857" i="7950"/>
  <c r="P857" i="7950" s="1"/>
  <c r="Q2207" i="7950"/>
  <c r="Q2477" i="7950"/>
  <c r="P750" i="7950"/>
  <c r="Q750" i="7950" s="1"/>
  <c r="P1938" i="7950"/>
  <c r="Q1938" i="7950" s="1"/>
  <c r="R2639" i="7950"/>
  <c r="R2615" i="7950"/>
  <c r="O962" i="7950"/>
  <c r="P1506" i="7950"/>
  <c r="Q1506" i="7950" s="1"/>
  <c r="Q695" i="7950"/>
  <c r="P912" i="7950"/>
  <c r="Q912" i="7950" s="1"/>
  <c r="P642" i="7950"/>
  <c r="Q642" i="7950" s="1"/>
  <c r="N1882" i="7950"/>
  <c r="O1882" i="7950" s="1"/>
  <c r="M2421" i="7950"/>
  <c r="N2421" i="7950" s="1"/>
  <c r="P1236" i="7950"/>
  <c r="Q1236" i="7950" s="1"/>
  <c r="M801" i="7950"/>
  <c r="N801" i="7950" s="1"/>
  <c r="N1072" i="7950"/>
  <c r="O1072" i="7950" s="1"/>
  <c r="P966" i="7950"/>
  <c r="Q966" i="7950" s="1"/>
  <c r="P2370" i="7950"/>
  <c r="Q2370" i="7950" s="1"/>
  <c r="P1128" i="7950"/>
  <c r="Q1128" i="7950" s="1"/>
  <c r="Q1181" i="7950"/>
  <c r="P1776" i="7950"/>
  <c r="Q1776" i="7950" s="1"/>
  <c r="P804" i="7950"/>
  <c r="Q804" i="7950" s="1"/>
  <c r="S1126" i="7950"/>
  <c r="S1102" i="7950"/>
  <c r="P318" i="7950"/>
  <c r="Q318" i="7950" s="1"/>
  <c r="N1828" i="7950"/>
  <c r="O1828" i="7950" s="1"/>
  <c r="O2582" i="7950"/>
  <c r="M2043" i="7950"/>
  <c r="N2043" i="7950" s="1"/>
  <c r="Q1505" i="7950"/>
  <c r="P2424" i="7950"/>
  <c r="Q2424" i="7950" s="1"/>
  <c r="M531" i="7950"/>
  <c r="N531" i="7950" s="1"/>
  <c r="M855" i="7950"/>
  <c r="N855" i="7950" s="1"/>
  <c r="M423" i="7950"/>
  <c r="N423" i="7950" s="1"/>
  <c r="N694" i="7950"/>
  <c r="O694" i="7950" s="1"/>
  <c r="Q1883" i="7950"/>
  <c r="Q1991" i="7950"/>
  <c r="P372" i="7950"/>
  <c r="Q372" i="7950" s="1"/>
  <c r="S425" i="7950"/>
  <c r="S401" i="7950"/>
  <c r="N1913" i="7950"/>
  <c r="O1913" i="7950" s="1"/>
  <c r="N2507" i="7950"/>
  <c r="O2507" i="7950" s="1"/>
  <c r="P1722" i="7950"/>
  <c r="Q1722" i="7950" s="1"/>
  <c r="P264" i="7950"/>
  <c r="O102" i="7950"/>
  <c r="P102" i="7950" s="1"/>
  <c r="Q102" i="7950" s="1"/>
  <c r="R102" i="7950" s="1"/>
  <c r="S102" i="7950" s="1"/>
  <c r="T102" i="7950" s="1"/>
  <c r="U102" i="7950" s="1"/>
  <c r="V102" i="7950" s="1"/>
  <c r="W102" i="7950" s="1"/>
  <c r="O78" i="7950"/>
  <c r="Q641" i="7950"/>
  <c r="Q2423" i="7950"/>
  <c r="M1881" i="7950"/>
  <c r="N1881" i="7950" s="1"/>
  <c r="N370" i="7950"/>
  <c r="O370" i="7950" s="1"/>
  <c r="N532" i="7950"/>
  <c r="O532" i="7950" s="1"/>
  <c r="M585" i="7950"/>
  <c r="N585" i="7950" s="1"/>
  <c r="P2154" i="7950"/>
  <c r="Q2154" i="7950" s="1"/>
  <c r="P1614" i="7950"/>
  <c r="Q1614" i="7950" s="1"/>
  <c r="N2638" i="7950"/>
  <c r="O2638" i="7950" s="1"/>
  <c r="M1665" i="7950"/>
  <c r="N1665" i="7950" s="1"/>
  <c r="N1450" i="7950"/>
  <c r="O1450" i="7950" s="1"/>
  <c r="Q1451" i="7950"/>
  <c r="P2262" i="7950"/>
  <c r="Q2262" i="7950" s="1"/>
  <c r="O1073" i="7950"/>
  <c r="P1073" i="7950" s="1"/>
  <c r="P588" i="7950"/>
  <c r="Q588" i="7950" s="1"/>
  <c r="P263" i="7950"/>
  <c r="P563" i="7950"/>
  <c r="Q563" i="7950" s="1"/>
  <c r="O1158" i="7950"/>
  <c r="P1158" i="7950" s="1"/>
  <c r="O455" i="7950"/>
  <c r="P455" i="7950" s="1"/>
  <c r="Q455" i="7950" s="1"/>
  <c r="O2561" i="7950"/>
  <c r="P2561" i="7950" s="1"/>
  <c r="Q2561" i="7950" s="1"/>
  <c r="Q1559" i="7950"/>
  <c r="P2208" i="7950"/>
  <c r="Q2208" i="7950" s="1"/>
  <c r="N1990" i="7950"/>
  <c r="O1990" i="7950" s="1"/>
  <c r="P2098" i="7950"/>
  <c r="M1719" i="7950"/>
  <c r="N1719" i="7950" s="1"/>
  <c r="M639" i="7950"/>
  <c r="N639" i="7950" s="1"/>
  <c r="M1557" i="7950"/>
  <c r="N1557" i="7950" s="1"/>
  <c r="Q2045" i="7950"/>
  <c r="P1290" i="7950"/>
  <c r="Q1290" i="7950" s="1"/>
  <c r="M315" i="7950"/>
  <c r="N315" i="7950" s="1"/>
  <c r="Q1613" i="7950"/>
  <c r="N1504" i="7950"/>
  <c r="O1504" i="7950" s="1"/>
  <c r="P1398" i="7950"/>
  <c r="Q1398" i="7950" s="1"/>
  <c r="P1668" i="7950"/>
  <c r="Q1668" i="7950" s="1"/>
  <c r="O101" i="7950"/>
  <c r="O1937" i="7950"/>
  <c r="P1937" i="7950" s="1"/>
  <c r="O2531" i="7950"/>
  <c r="P2531" i="7950" s="1"/>
  <c r="R2075" i="7950"/>
  <c r="R2099" i="7950"/>
  <c r="S994" i="7950"/>
  <c r="S1018" i="7950"/>
  <c r="N1396" i="7950"/>
  <c r="O1396" i="7950" s="1"/>
  <c r="N964" i="7950"/>
  <c r="O964" i="7950" s="1"/>
  <c r="Q2261" i="7950"/>
  <c r="Q1235" i="7950"/>
  <c r="Q2369" i="7950"/>
  <c r="P2316" i="7950"/>
  <c r="Q2316" i="7950" s="1"/>
  <c r="P2100" i="7950"/>
  <c r="Q2100" i="7950" s="1"/>
  <c r="P2586" i="7950"/>
  <c r="Q2586" i="7950" s="1"/>
  <c r="N1720" i="7950"/>
  <c r="O1720" i="7950" s="1"/>
  <c r="Q2315" i="7950"/>
  <c r="P2640" i="7950"/>
  <c r="Q2640" i="7950" s="1"/>
  <c r="Q317" i="7950"/>
  <c r="O1428" i="7950"/>
  <c r="P1428" i="7950" s="1"/>
  <c r="P696" i="7950"/>
  <c r="Q696" i="7950" s="1"/>
  <c r="R1721" i="7950"/>
  <c r="R1697" i="7950"/>
  <c r="M562" i="7950"/>
  <c r="N562" i="7950" s="1"/>
  <c r="L1047" i="7950"/>
  <c r="M1047" i="7950" s="1"/>
  <c r="O1050" i="7950"/>
  <c r="P1050" i="7950" s="1"/>
  <c r="O347" i="7950"/>
  <c r="P347" i="7950" s="1"/>
  <c r="Q347" i="7950" s="1"/>
  <c r="O132" i="7950"/>
  <c r="P132" i="7950" s="1"/>
  <c r="Q132" i="7950" s="1"/>
  <c r="L237" i="7950"/>
  <c r="M237" i="7950" s="1"/>
  <c r="O2508" i="7950"/>
  <c r="P2508" i="7950" s="1"/>
  <c r="O186" i="7950"/>
  <c r="P186" i="7950" s="1"/>
  <c r="L939" i="7950"/>
  <c r="M939" i="7950" s="1"/>
  <c r="M76" i="7950"/>
  <c r="N76" i="7950" s="1"/>
  <c r="M1912" i="7950"/>
  <c r="N1912" i="7950" s="1"/>
  <c r="O2454" i="7950"/>
  <c r="P2454" i="7950" s="1"/>
  <c r="Q2454" i="7950" s="1"/>
  <c r="R2454" i="7950" s="1"/>
  <c r="P1751" i="7950"/>
  <c r="Q1751" i="7950" s="1"/>
  <c r="P1103" i="7950"/>
  <c r="Q1103" i="7950" s="1"/>
  <c r="O2022" i="7950"/>
  <c r="P2022" i="7950" s="1"/>
  <c r="Q803" i="7950"/>
  <c r="O834" i="7950"/>
  <c r="P834" i="7950" s="1"/>
  <c r="R965" i="7950"/>
  <c r="R941" i="7950"/>
  <c r="S2693" i="7950"/>
  <c r="S2669" i="7950"/>
  <c r="P480" i="7950"/>
  <c r="Q480" i="7950" s="1"/>
  <c r="M1503" i="7950"/>
  <c r="N1503" i="7950" s="1"/>
  <c r="O725" i="7950"/>
  <c r="P725" i="7950" s="1"/>
  <c r="Q725" i="7950" s="1"/>
  <c r="O2452" i="7950"/>
  <c r="P2452" i="7950" s="1"/>
  <c r="Q1019" i="7950"/>
  <c r="Q1289" i="7950"/>
  <c r="P1884" i="7950"/>
  <c r="Q1884" i="7950" s="1"/>
  <c r="N1180" i="7950"/>
  <c r="O1180" i="7950" s="1"/>
  <c r="P1020" i="7950"/>
  <c r="Q1020" i="7950" s="1"/>
  <c r="P534" i="7950"/>
  <c r="Q534" i="7950" s="1"/>
  <c r="Q587" i="7950"/>
  <c r="P1182" i="7950"/>
  <c r="Q1182" i="7950" s="1"/>
  <c r="Q479" i="7950"/>
  <c r="Q2585" i="7950"/>
  <c r="O2670" i="7950"/>
  <c r="P2670" i="7950" s="1"/>
  <c r="O1968" i="7950"/>
  <c r="P1968" i="7950" s="1"/>
  <c r="R1805" i="7950"/>
  <c r="R1829" i="7950"/>
  <c r="M2128" i="7950"/>
  <c r="N2128" i="7950" s="1"/>
  <c r="L2559" i="7950"/>
  <c r="M2559" i="7950" s="1"/>
  <c r="L723" i="7950"/>
  <c r="M723" i="7950" s="1"/>
  <c r="N887" i="7950"/>
  <c r="O887" i="7950" s="1"/>
  <c r="L1155" i="7950"/>
  <c r="M1155" i="7950" s="1"/>
  <c r="N509" i="7950"/>
  <c r="O509" i="7950" s="1"/>
  <c r="L2181" i="7950"/>
  <c r="M2181" i="7950" s="1"/>
  <c r="L1803" i="7950"/>
  <c r="M1803" i="7950" s="1"/>
  <c r="O1536" i="7950"/>
  <c r="P1536" i="7950" s="1"/>
  <c r="O1806" i="7950"/>
  <c r="P1806" i="7950" s="1"/>
  <c r="O402" i="7950"/>
  <c r="P402" i="7950" s="1"/>
  <c r="N833" i="7950"/>
  <c r="O833" i="7950" s="1"/>
  <c r="O726" i="7950"/>
  <c r="P726" i="7950" s="1"/>
  <c r="O1914" i="7950"/>
  <c r="P1914" i="7950" s="1"/>
  <c r="Q307" i="7944"/>
  <c r="P697" i="7944"/>
  <c r="P619" i="7944"/>
  <c r="P372" i="7944"/>
  <c r="P710" i="7944"/>
  <c r="P268" i="7944"/>
  <c r="P489" i="7944"/>
  <c r="P242" i="7944"/>
  <c r="P515" i="7944"/>
  <c r="P450" i="7944"/>
  <c r="P671" i="7944"/>
  <c r="P632" i="7944"/>
  <c r="P658" i="7944"/>
  <c r="P593" i="7944"/>
  <c r="P684" i="7944"/>
  <c r="P541" i="7944"/>
  <c r="P385" i="7944"/>
  <c r="P424" i="7944"/>
  <c r="P606" i="7944"/>
  <c r="P749" i="7944"/>
  <c r="P723" i="7944"/>
  <c r="W249" i="7950"/>
  <c r="W1383" i="7950"/>
  <c r="W2247" i="7950"/>
  <c r="W1977" i="7950"/>
  <c r="W357" i="7950"/>
  <c r="W519" i="7950"/>
  <c r="W1437" i="7950"/>
  <c r="W2301" i="7950"/>
  <c r="W1113" i="7950"/>
  <c r="W2193" i="7950"/>
  <c r="W573" i="7950"/>
  <c r="W2463" i="7950"/>
  <c r="W1167" i="7950"/>
  <c r="W1869" i="7950"/>
  <c r="W897" i="7950"/>
  <c r="W195" i="7950"/>
  <c r="W2625" i="7950"/>
  <c r="W465" i="7950"/>
  <c r="W411" i="7950"/>
  <c r="W1221" i="7950"/>
  <c r="W1815" i="7950"/>
  <c r="W681" i="7950"/>
  <c r="W789" i="7950"/>
  <c r="W2517" i="7950"/>
  <c r="W303" i="7950"/>
  <c r="W951" i="7950"/>
  <c r="W1545" i="7950"/>
  <c r="W2409" i="7950"/>
  <c r="W1653" i="7950"/>
  <c r="W2031" i="7950"/>
  <c r="W843" i="7950"/>
  <c r="W141" i="7950"/>
  <c r="W2272" i="7950"/>
  <c r="W1005" i="7950"/>
  <c r="W1329" i="7950"/>
  <c r="W56" i="7950"/>
  <c r="W32" i="7950"/>
  <c r="W31" i="7950"/>
  <c r="W1491" i="7950"/>
  <c r="W33" i="7950"/>
  <c r="W57" i="7950"/>
  <c r="O265" i="7942"/>
  <c r="Q1039" i="18"/>
  <c r="Q1076" i="18"/>
  <c r="Q1068" i="18"/>
  <c r="Q1049" i="18"/>
  <c r="Q803" i="18"/>
  <c r="Q93" i="7941" s="1"/>
  <c r="Q811" i="18"/>
  <c r="Q101" i="7941" s="1"/>
  <c r="Q1052" i="18"/>
  <c r="Q1072" i="18"/>
  <c r="Q807" i="18"/>
  <c r="Q97" i="7941" s="1"/>
  <c r="Q815" i="18"/>
  <c r="Q105" i="7941" s="1"/>
  <c r="Q1075" i="18"/>
  <c r="Q1041" i="18"/>
  <c r="Q1057" i="18"/>
  <c r="Q1042" i="18"/>
  <c r="Q1079" i="18"/>
  <c r="Q1073" i="18"/>
  <c r="Q1054" i="18"/>
  <c r="O1053" i="18"/>
  <c r="J365" i="7941"/>
  <c r="J143" i="7941"/>
  <c r="K749" i="18"/>
  <c r="K865" i="18"/>
  <c r="J359" i="7941"/>
  <c r="K45" i="7941"/>
  <c r="K859" i="18"/>
  <c r="P1058" i="18"/>
  <c r="Q771" i="18"/>
  <c r="Q61" i="7941" s="1"/>
  <c r="Q775" i="18"/>
  <c r="Q65" i="7941" s="1"/>
  <c r="Q779" i="18"/>
  <c r="Q69" i="7941" s="1"/>
  <c r="Q783" i="18"/>
  <c r="Q73" i="7941" s="1"/>
  <c r="Q787" i="18"/>
  <c r="Q77" i="7941" s="1"/>
  <c r="Q791" i="18"/>
  <c r="Q81" i="7941" s="1"/>
  <c r="Q795" i="18"/>
  <c r="Q85" i="7941" s="1"/>
  <c r="Q799" i="18"/>
  <c r="Q89" i="7941" s="1"/>
  <c r="Q819" i="18"/>
  <c r="Q109" i="7941" s="1"/>
  <c r="Q785" i="18"/>
  <c r="Q75" i="7941" s="1"/>
  <c r="Q1061" i="18"/>
  <c r="O1061" i="18"/>
  <c r="O1070" i="18"/>
  <c r="P1070" i="18"/>
  <c r="P463" i="7942"/>
  <c r="P464" i="7942" s="1"/>
  <c r="M510" i="7942"/>
  <c r="Q507" i="7942"/>
  <c r="Q508" i="7942" s="1"/>
  <c r="Q568" i="7941" s="1"/>
  <c r="P508" i="7942"/>
  <c r="O509" i="7942"/>
  <c r="P509" i="7942" s="1"/>
  <c r="Q509" i="7942" s="1"/>
  <c r="N510" i="7942"/>
  <c r="K514" i="7942"/>
  <c r="L513" i="7942"/>
  <c r="L514" i="7942" s="1"/>
  <c r="I519" i="7942"/>
  <c r="J519" i="7942" s="1"/>
  <c r="L515" i="7942"/>
  <c r="L516" i="7942" s="1"/>
  <c r="J518" i="7942"/>
  <c r="K517" i="7942"/>
  <c r="L517" i="7942" s="1"/>
  <c r="M517" i="7942" s="1"/>
  <c r="N517" i="7942" s="1"/>
  <c r="A523" i="7942"/>
  <c r="H521" i="7942"/>
  <c r="I518" i="7942"/>
  <c r="K516" i="7942"/>
  <c r="O511" i="7942"/>
  <c r="O480" i="7942"/>
  <c r="Q480" i="7942"/>
  <c r="Q554" i="7941" s="1"/>
  <c r="P456" i="7942"/>
  <c r="P476" i="7942"/>
  <c r="Q460" i="7942"/>
  <c r="Q544" i="7941" s="1"/>
  <c r="Q442" i="7942"/>
  <c r="Q535" i="7941" s="1"/>
  <c r="P450" i="7942"/>
  <c r="Q454" i="7942"/>
  <c r="Q541" i="7941" s="1"/>
  <c r="Q444" i="7942"/>
  <c r="Q536" i="7941" s="1"/>
  <c r="Q446" i="7942"/>
  <c r="Q537" i="7941" s="1"/>
  <c r="Q448" i="7942"/>
  <c r="Q538" i="7941" s="1"/>
  <c r="Q458" i="7942"/>
  <c r="Q543" i="7941" s="1"/>
  <c r="Q468" i="7942"/>
  <c r="Q548" i="7941" s="1"/>
  <c r="O484" i="7942"/>
  <c r="O452" i="7942"/>
  <c r="Q494" i="7942"/>
  <c r="Q561" i="7941" s="1"/>
  <c r="P474" i="7942"/>
  <c r="Q484" i="7942"/>
  <c r="Q556" i="7941" s="1"/>
  <c r="P484" i="7942"/>
  <c r="O440" i="7942"/>
  <c r="Q500" i="7942"/>
  <c r="Q564" i="7941" s="1"/>
  <c r="Q498" i="7942"/>
  <c r="Q563" i="7941" s="1"/>
  <c r="P498" i="7942"/>
  <c r="Q472" i="7942"/>
  <c r="Q550" i="7941" s="1"/>
  <c r="P472" i="7942"/>
  <c r="P490" i="7942"/>
  <c r="O506" i="7942"/>
  <c r="O498" i="7942"/>
  <c r="P440" i="7942"/>
  <c r="O500" i="7942"/>
  <c r="P506" i="7942"/>
  <c r="O446" i="7942"/>
  <c r="P462" i="7942"/>
  <c r="Q462" i="7942"/>
  <c r="Q545" i="7941" s="1"/>
  <c r="O438" i="7942"/>
  <c r="P438" i="7942"/>
  <c r="Q486" i="7942"/>
  <c r="Q557" i="7941" s="1"/>
  <c r="P482" i="7942"/>
  <c r="Q482" i="7942"/>
  <c r="Q555" i="7941" s="1"/>
  <c r="P500" i="7942"/>
  <c r="Q490" i="7942"/>
  <c r="Q559" i="7941" s="1"/>
  <c r="P446" i="7942"/>
  <c r="P496" i="7942"/>
  <c r="Q496" i="7942"/>
  <c r="Q562" i="7941" s="1"/>
  <c r="P448" i="7942"/>
  <c r="Q488" i="7942"/>
  <c r="Q558" i="7941" s="1"/>
  <c r="O468" i="7942"/>
  <c r="Q773" i="18"/>
  <c r="Q63" i="7941" s="1"/>
  <c r="Q777" i="18"/>
  <c r="Q67" i="7941" s="1"/>
  <c r="Q781" i="18"/>
  <c r="Q71" i="7941" s="1"/>
  <c r="Q789" i="18"/>
  <c r="Q79" i="7941" s="1"/>
  <c r="Q793" i="18"/>
  <c r="Q83" i="7941" s="1"/>
  <c r="Q797" i="18"/>
  <c r="Q87" i="7941" s="1"/>
  <c r="Q801" i="18"/>
  <c r="Q91" i="7941" s="1"/>
  <c r="Q805" i="18"/>
  <c r="Q95" i="7941" s="1"/>
  <c r="Q809" i="18"/>
  <c r="Q99" i="7941" s="1"/>
  <c r="Q813" i="18"/>
  <c r="Q103" i="7941" s="1"/>
  <c r="Q817" i="18"/>
  <c r="Q107" i="7941" s="1"/>
  <c r="J2605" i="7950"/>
  <c r="J2551" i="7950"/>
  <c r="J2497" i="7950"/>
  <c r="J2443" i="7950"/>
  <c r="J2335" i="7950"/>
  <c r="J2281" i="7950"/>
  <c r="J2227" i="7950"/>
  <c r="J2173" i="7950"/>
  <c r="J2065" i="7950"/>
  <c r="J1957" i="7950"/>
  <c r="J1903" i="7950"/>
  <c r="J1849" i="7950"/>
  <c r="J1795" i="7950"/>
  <c r="J1741" i="7950"/>
  <c r="J1687" i="7950"/>
  <c r="J1633" i="7950"/>
  <c r="J1579" i="7950"/>
  <c r="J1525" i="7950"/>
  <c r="J1471" i="7950"/>
  <c r="J1363" i="7950"/>
  <c r="J1201" i="7950"/>
  <c r="J1147" i="7950"/>
  <c r="J1093" i="7950"/>
  <c r="J877" i="7950"/>
  <c r="J823" i="7950"/>
  <c r="J769" i="7950"/>
  <c r="J715" i="7950"/>
  <c r="J661" i="7950"/>
  <c r="J607" i="7950"/>
  <c r="J553" i="7950"/>
  <c r="J499" i="7950"/>
  <c r="J283" i="7950"/>
  <c r="J1657" i="7950"/>
  <c r="J1927" i="7950"/>
  <c r="P1072" i="18"/>
  <c r="P1080" i="18"/>
  <c r="P1042" i="18"/>
  <c r="B2680" i="7950"/>
  <c r="B2650" i="7950"/>
  <c r="B2572" i="7950"/>
  <c r="B2596" i="7950"/>
  <c r="B2542" i="7950"/>
  <c r="B2488" i="7950"/>
  <c r="B2410" i="7950"/>
  <c r="B2380" i="7950"/>
  <c r="B2302" i="7950"/>
  <c r="B2272" i="7950"/>
  <c r="B2704" i="7950"/>
  <c r="B2464" i="7950"/>
  <c r="B2434" i="7950"/>
  <c r="B2326" i="7950"/>
  <c r="B2248" i="7950"/>
  <c r="B2218" i="7950"/>
  <c r="B2194" i="7950"/>
  <c r="B2164" i="7950"/>
  <c r="B2140" i="7950"/>
  <c r="B2110" i="7950"/>
  <c r="B2086" i="7950"/>
  <c r="B2056" i="7950"/>
  <c r="B1978" i="7950"/>
  <c r="B1948" i="7950"/>
  <c r="B1924" i="7950"/>
  <c r="B1894" i="7950"/>
  <c r="B1816" i="7950"/>
  <c r="B1786" i="7950"/>
  <c r="B2626" i="7950"/>
  <c r="B2356" i="7950"/>
  <c r="B2002" i="7950"/>
  <c r="B1840" i="7950"/>
  <c r="B1654" i="7950"/>
  <c r="B1624" i="7950"/>
  <c r="B1492" i="7950"/>
  <c r="B1462" i="7950"/>
  <c r="B1408" i="7950"/>
  <c r="B1330" i="7950"/>
  <c r="B1276" i="7950"/>
  <c r="B1006" i="7950"/>
  <c r="B952" i="7950"/>
  <c r="B868" i="7950"/>
  <c r="B814" i="7950"/>
  <c r="B790" i="7950"/>
  <c r="B760" i="7950"/>
  <c r="B736" i="7950"/>
  <c r="B706" i="7950"/>
  <c r="B1870" i="7950"/>
  <c r="B1762" i="7950"/>
  <c r="B1732" i="7950"/>
  <c r="B1708" i="7950"/>
  <c r="B1600" i="7950"/>
  <c r="B1570" i="7950"/>
  <c r="B1516" i="7950"/>
  <c r="B1438" i="7950"/>
  <c r="B1384" i="7950"/>
  <c r="B1300" i="7950"/>
  <c r="B1192" i="7950"/>
  <c r="B1168" i="7950"/>
  <c r="B1084" i="7950"/>
  <c r="B1060" i="7950"/>
  <c r="B1030" i="7950"/>
  <c r="B976" i="7950"/>
  <c r="B844" i="7950"/>
  <c r="B628" i="7950"/>
  <c r="B598" i="7950"/>
  <c r="B574" i="7950"/>
  <c r="B544" i="7950"/>
  <c r="B520" i="7950"/>
  <c r="B490" i="7950"/>
  <c r="B466" i="7950"/>
  <c r="B436" i="7950"/>
  <c r="B412" i="7950"/>
  <c r="B382" i="7950"/>
  <c r="B304" i="7950"/>
  <c r="B2518" i="7950"/>
  <c r="B2032" i="7950"/>
  <c r="B1678" i="7950"/>
  <c r="B1546" i="7950"/>
  <c r="B1354" i="7950"/>
  <c r="B1246" i="7950"/>
  <c r="B1222" i="7950"/>
  <c r="B1138" i="7950"/>
  <c r="B1114" i="7950"/>
  <c r="B922" i="7950"/>
  <c r="B898" i="7950"/>
  <c r="B682" i="7950"/>
  <c r="B652" i="7950"/>
  <c r="B358" i="7950"/>
  <c r="B328" i="7950"/>
  <c r="B274" i="7950"/>
  <c r="B250" i="7950"/>
  <c r="B196" i="7950"/>
  <c r="B220" i="7950"/>
  <c r="B166" i="7950"/>
  <c r="B142" i="7950"/>
  <c r="B112" i="7950"/>
  <c r="B88" i="7950"/>
  <c r="P1077" i="18"/>
  <c r="P1049" i="18"/>
  <c r="P1056" i="18"/>
  <c r="P1041" i="18"/>
  <c r="P1067" i="18"/>
  <c r="P1043" i="18"/>
  <c r="P1076" i="18"/>
  <c r="P1059" i="18"/>
  <c r="P206" i="7942"/>
  <c r="Q206" i="7942" s="1"/>
  <c r="Q207" i="7942" s="1"/>
  <c r="Q444" i="7941" s="1"/>
  <c r="P203" i="7942"/>
  <c r="P248" i="7942"/>
  <c r="Q248" i="7942" s="1"/>
  <c r="P212" i="7942"/>
  <c r="P213" i="7942" s="1"/>
  <c r="P220" i="7942"/>
  <c r="Q220" i="7942" s="1"/>
  <c r="Q221" i="7942" s="1"/>
  <c r="Q451" i="7941" s="1"/>
  <c r="P1044" i="18"/>
  <c r="B34" i="7950"/>
  <c r="B58" i="7950"/>
  <c r="P1040" i="18"/>
  <c r="P1048" i="18"/>
  <c r="P1047" i="18"/>
  <c r="P228" i="7942"/>
  <c r="Q228" i="7942" s="1"/>
  <c r="Q229" i="7942" s="1"/>
  <c r="Q455" i="7941" s="1"/>
  <c r="P218" i="7942"/>
  <c r="P219" i="7942" s="1"/>
  <c r="P196" i="7942"/>
  <c r="Q202" i="7942"/>
  <c r="Q203" i="7942" s="1"/>
  <c r="Q442" i="7941" s="1"/>
  <c r="Q260" i="7942"/>
  <c r="Q261" i="7942" s="1"/>
  <c r="P261" i="7942"/>
  <c r="P184" i="7942"/>
  <c r="P185" i="7942" s="1"/>
  <c r="P268" i="7942"/>
  <c r="P258" i="7942"/>
  <c r="Q258" i="7942" s="1"/>
  <c r="P188" i="7942"/>
  <c r="P208" i="7942"/>
  <c r="P216" i="7942"/>
  <c r="P254" i="7942"/>
  <c r="P238" i="7942"/>
  <c r="P224" i="7942"/>
  <c r="P262" i="7942"/>
  <c r="P198" i="7942"/>
  <c r="P226" i="7942"/>
  <c r="P194" i="7942"/>
  <c r="P186" i="7942"/>
  <c r="P256" i="7942"/>
  <c r="O247" i="7942"/>
  <c r="P246" i="7942"/>
  <c r="P240" i="7942"/>
  <c r="Q240" i="7942" s="1"/>
  <c r="Q466" i="7941" s="1"/>
  <c r="O241" i="7942"/>
  <c r="P266" i="7942"/>
  <c r="Q266" i="7942" s="1"/>
  <c r="Q267" i="7942" s="1"/>
  <c r="O267" i="7942"/>
  <c r="P236" i="7942"/>
  <c r="Q236" i="7942" s="1"/>
  <c r="Q462" i="7941" s="1"/>
  <c r="O237" i="7942"/>
  <c r="P244" i="7942"/>
  <c r="O245" i="7942"/>
  <c r="P200" i="7942"/>
  <c r="Q200" i="7942" s="1"/>
  <c r="Q201" i="7942" s="1"/>
  <c r="Q441" i="7941" s="1"/>
  <c r="O201" i="7942"/>
  <c r="O221" i="7942"/>
  <c r="P193" i="7942"/>
  <c r="P232" i="7942"/>
  <c r="P233" i="7942" s="1"/>
  <c r="O233" i="7942"/>
  <c r="O205" i="7942"/>
  <c r="P204" i="7942"/>
  <c r="O191" i="7942"/>
  <c r="P190" i="7942"/>
  <c r="O243" i="7942"/>
  <c r="P242" i="7942"/>
  <c r="P243" i="7942" s="1"/>
  <c r="P1055" i="18"/>
  <c r="P222" i="7942"/>
  <c r="Q222" i="7942" s="1"/>
  <c r="Q223" i="7942" s="1"/>
  <c r="Q452" i="7941" s="1"/>
  <c r="O223" i="7942"/>
  <c r="O251" i="7942"/>
  <c r="P250" i="7942"/>
  <c r="P234" i="7942"/>
  <c r="O231" i="7942"/>
  <c r="P230" i="7942"/>
  <c r="Q193" i="7942"/>
  <c r="Q437" i="7941" s="1"/>
  <c r="P1071" i="18"/>
  <c r="P1053" i="18"/>
  <c r="P1078" i="18"/>
  <c r="O203" i="7942"/>
  <c r="Q1040" i="18"/>
  <c r="Q1069" i="18"/>
  <c r="Q1063" i="18"/>
  <c r="Q1065" i="18"/>
  <c r="Q1060" i="18"/>
  <c r="Q1050" i="18"/>
  <c r="Q1077" i="18"/>
  <c r="Q1066" i="18"/>
  <c r="Q1044" i="18"/>
  <c r="Q1045" i="18"/>
  <c r="P215" i="7942"/>
  <c r="O253" i="7942"/>
  <c r="P252" i="7942"/>
  <c r="Q772" i="18"/>
  <c r="Q62" i="7941" s="1"/>
  <c r="Q774" i="18"/>
  <c r="Q64" i="7941" s="1"/>
  <c r="Q776" i="18"/>
  <c r="Q66" i="7941" s="1"/>
  <c r="Q778" i="18"/>
  <c r="Q68" i="7941" s="1"/>
  <c r="Q780" i="18"/>
  <c r="Q70" i="7941" s="1"/>
  <c r="Q782" i="18"/>
  <c r="Q72" i="7941" s="1"/>
  <c r="Q784" i="18"/>
  <c r="Q74" i="7941" s="1"/>
  <c r="Q786" i="18"/>
  <c r="Q76" i="7941" s="1"/>
  <c r="Q788" i="18"/>
  <c r="Q78" i="7941" s="1"/>
  <c r="Q790" i="18"/>
  <c r="Q80" i="7941" s="1"/>
  <c r="Q792" i="18"/>
  <c r="Q82" i="7941" s="1"/>
  <c r="Q794" i="18"/>
  <c r="Q84" i="7941" s="1"/>
  <c r="Q796" i="18"/>
  <c r="Q86" i="7941" s="1"/>
  <c r="Q798" i="18"/>
  <c r="Q88" i="7941" s="1"/>
  <c r="Q800" i="18"/>
  <c r="Q90" i="7941" s="1"/>
  <c r="Q802" i="18"/>
  <c r="Q92" i="7941" s="1"/>
  <c r="Q804" i="18"/>
  <c r="Q94" i="7941" s="1"/>
  <c r="Q806" i="18"/>
  <c r="Q96" i="7941" s="1"/>
  <c r="Q808" i="18"/>
  <c r="Q98" i="7941" s="1"/>
  <c r="Q810" i="18"/>
  <c r="Q100" i="7941" s="1"/>
  <c r="Q812" i="18"/>
  <c r="Q102" i="7941" s="1"/>
  <c r="Q814" i="18"/>
  <c r="Q104" i="7941" s="1"/>
  <c r="Q816" i="18"/>
  <c r="Q106" i="7941" s="1"/>
  <c r="Q818" i="18"/>
  <c r="Q108" i="7941" s="1"/>
  <c r="P1046" i="18"/>
  <c r="Q264" i="7942"/>
  <c r="Q265" i="7942" s="1"/>
  <c r="O60" i="7941"/>
  <c r="O59" i="7941" s="1"/>
  <c r="O769" i="18"/>
  <c r="P770" i="18"/>
  <c r="P11" i="18"/>
  <c r="K331" i="7941"/>
  <c r="L17" i="7941"/>
  <c r="K339" i="7941"/>
  <c r="L25" i="7941"/>
  <c r="K347" i="7941"/>
  <c r="L33" i="7941"/>
  <c r="K332" i="7941"/>
  <c r="L18" i="7941"/>
  <c r="K340" i="7941"/>
  <c r="L26" i="7941"/>
  <c r="L34" i="7941"/>
  <c r="K348" i="7941"/>
  <c r="L15" i="7941"/>
  <c r="K329" i="7941"/>
  <c r="L23" i="7941"/>
  <c r="K337" i="7941"/>
  <c r="L31" i="7941"/>
  <c r="K345" i="7941"/>
  <c r="L16" i="7941"/>
  <c r="K330" i="7941"/>
  <c r="L24" i="7941"/>
  <c r="K338" i="7941"/>
  <c r="L32" i="7941"/>
  <c r="K346" i="7941"/>
  <c r="K335" i="7941"/>
  <c r="L21" i="7941"/>
  <c r="K343" i="7941"/>
  <c r="L29" i="7941"/>
  <c r="K351" i="7941"/>
  <c r="L37" i="7941"/>
  <c r="K336" i="7941"/>
  <c r="L22" i="7941"/>
  <c r="L30" i="7941"/>
  <c r="K344" i="7941"/>
  <c r="K333" i="7941"/>
  <c r="L19" i="7941"/>
  <c r="K341" i="7941"/>
  <c r="L27" i="7941"/>
  <c r="K349" i="7941"/>
  <c r="L35" i="7941"/>
  <c r="K334" i="7941"/>
  <c r="L20" i="7941"/>
  <c r="K342" i="7941"/>
  <c r="L28" i="7941"/>
  <c r="K350" i="7941"/>
  <c r="L36" i="7941"/>
  <c r="K871" i="18"/>
  <c r="K360" i="7941"/>
  <c r="L46" i="7941"/>
  <c r="K357" i="7941"/>
  <c r="L43" i="7941"/>
  <c r="L52" i="7941"/>
  <c r="K366" i="7941"/>
  <c r="K362" i="7941"/>
  <c r="L48" i="7941"/>
  <c r="K355" i="7941"/>
  <c r="L41" i="7941"/>
  <c r="L49" i="7941"/>
  <c r="K363" i="7941"/>
  <c r="L56" i="7941"/>
  <c r="K370" i="7941"/>
  <c r="K369" i="7941"/>
  <c r="L55" i="7941"/>
  <c r="K364" i="7941"/>
  <c r="L50" i="7941"/>
  <c r="L42" i="7941"/>
  <c r="K356" i="7941"/>
  <c r="L47" i="7941"/>
  <c r="K361" i="7941"/>
  <c r="L44" i="7941"/>
  <c r="K358" i="7941"/>
  <c r="L53" i="7941"/>
  <c r="K367" i="7941"/>
  <c r="K368" i="7941"/>
  <c r="L54" i="7941"/>
  <c r="K354" i="7941"/>
  <c r="L40" i="7941"/>
  <c r="K142" i="7941"/>
  <c r="L748" i="18"/>
  <c r="L1114" i="18" s="1"/>
  <c r="O1965" i="7950" l="1"/>
  <c r="Q210" i="7942"/>
  <c r="Q211" i="7942" s="1"/>
  <c r="Q446" i="7941" s="1"/>
  <c r="P1750" i="7950"/>
  <c r="Q1750" i="7950" s="1"/>
  <c r="P2506" i="7950"/>
  <c r="Q2506" i="7950" s="1"/>
  <c r="O993" i="7950"/>
  <c r="P993" i="7950" s="1"/>
  <c r="O1101" i="7950"/>
  <c r="P1101" i="7950" s="1"/>
  <c r="L1532" i="7950"/>
  <c r="M1532" i="7950" s="1"/>
  <c r="N1532" i="7950" s="1"/>
  <c r="O1532" i="7950" s="1"/>
  <c r="P1532" i="7950" s="1"/>
  <c r="U1865" i="7950"/>
  <c r="V1865" i="7950" s="1"/>
  <c r="W1865" i="7950" s="1"/>
  <c r="U1001" i="7950"/>
  <c r="V1001" i="7950" s="1"/>
  <c r="W1001" i="7950" s="1"/>
  <c r="T2620" i="7950"/>
  <c r="U2620" i="7950" s="1"/>
  <c r="V2620" i="7950" s="1"/>
  <c r="W2620" i="7950" s="1"/>
  <c r="R2078" i="7950"/>
  <c r="S2078" i="7950" s="1"/>
  <c r="T2078" i="7950" s="1"/>
  <c r="U2078" i="7950" s="1"/>
  <c r="V2078" i="7950" s="1"/>
  <c r="W2078" i="7950" s="1"/>
  <c r="L2288" i="7950"/>
  <c r="M2288" i="7950" s="1"/>
  <c r="N2288" i="7950" s="1"/>
  <c r="O2288" i="7950" s="1"/>
  <c r="P2288" i="7950" s="1"/>
  <c r="S2403" i="7950"/>
  <c r="T2403" i="7950" s="1"/>
  <c r="U2403" i="7950" s="1"/>
  <c r="V2403" i="7950" s="1"/>
  <c r="W2403" i="7950" s="1"/>
  <c r="P2344" i="7950"/>
  <c r="Q2344" i="7950" s="1"/>
  <c r="O1209" i="7950"/>
  <c r="P1209" i="7950" s="1"/>
  <c r="T190" i="7950"/>
  <c r="U190" i="7950" s="1"/>
  <c r="V190" i="7950" s="1"/>
  <c r="W190" i="7950" s="1"/>
  <c r="T1324" i="7950"/>
  <c r="U1324" i="7950" s="1"/>
  <c r="V1324" i="7950" s="1"/>
  <c r="W1324" i="7950" s="1"/>
  <c r="I121" i="7950"/>
  <c r="J121" i="7950" s="1"/>
  <c r="K121" i="7950" s="1"/>
  <c r="I13" i="7950"/>
  <c r="J13" i="7950" s="1"/>
  <c r="K13" i="7950" s="1"/>
  <c r="P886" i="7950"/>
  <c r="Q886" i="7950" s="1"/>
  <c r="L2396" i="7950"/>
  <c r="M2396" i="7950" s="1"/>
  <c r="N2396" i="7950" s="1"/>
  <c r="O2396" i="7950" s="1"/>
  <c r="P2396" i="7950" s="1"/>
  <c r="L776" i="7950"/>
  <c r="M776" i="7950" s="1"/>
  <c r="N776" i="7950" s="1"/>
  <c r="O776" i="7950" s="1"/>
  <c r="P776" i="7950" s="1"/>
  <c r="T2350" i="7950"/>
  <c r="U2350" i="7950" s="1"/>
  <c r="V2350" i="7950" s="1"/>
  <c r="W2350" i="7950" s="1"/>
  <c r="L1586" i="7950"/>
  <c r="M1586" i="7950" s="1"/>
  <c r="N1586" i="7950" s="1"/>
  <c r="O1586" i="7950" s="1"/>
  <c r="P1586" i="7950" s="1"/>
  <c r="R998" i="7950"/>
  <c r="S998" i="7950" s="1"/>
  <c r="T998" i="7950" s="1"/>
  <c r="U998" i="7950" s="1"/>
  <c r="V998" i="7950" s="1"/>
  <c r="W998" i="7950" s="1"/>
  <c r="L2126" i="7950"/>
  <c r="M2126" i="7950" s="1"/>
  <c r="N2126" i="7950" s="1"/>
  <c r="O2126" i="7950" s="1"/>
  <c r="P2126" i="7950" s="1"/>
  <c r="L2018" i="7950"/>
  <c r="M2018" i="7950" s="1"/>
  <c r="N2018" i="7950" s="1"/>
  <c r="O2018" i="7950" s="1"/>
  <c r="P2018" i="7950" s="1"/>
  <c r="R1700" i="7950"/>
  <c r="S1700" i="7950" s="1"/>
  <c r="T1700" i="7950" s="1"/>
  <c r="U1700" i="7950" s="1"/>
  <c r="V1700" i="7950" s="1"/>
  <c r="W1700" i="7950" s="1"/>
  <c r="Q1537" i="7950"/>
  <c r="R1537" i="7950" s="1"/>
  <c r="S1537" i="7950" s="1"/>
  <c r="T1537" i="7950" s="1"/>
  <c r="U1537" i="7950" s="1"/>
  <c r="V1537" i="7950" s="1"/>
  <c r="W1537" i="7950" s="1"/>
  <c r="L1424" i="7950"/>
  <c r="M1424" i="7950" s="1"/>
  <c r="N1424" i="7950" s="1"/>
  <c r="O1424" i="7950" s="1"/>
  <c r="P1424" i="7950" s="1"/>
  <c r="Q1861" i="7950"/>
  <c r="R1861" i="7950" s="1"/>
  <c r="S1861" i="7950" s="1"/>
  <c r="T1861" i="7950" s="1"/>
  <c r="U1861" i="7950" s="1"/>
  <c r="V1861" i="7950" s="1"/>
  <c r="W1861" i="7950" s="1"/>
  <c r="I67" i="7950"/>
  <c r="J67" i="7950" s="1"/>
  <c r="K67" i="7950" s="1"/>
  <c r="U2081" i="7950"/>
  <c r="V2081" i="7950" s="1"/>
  <c r="W2081" i="7950" s="1"/>
  <c r="Q1105" i="7950"/>
  <c r="R1105" i="7950" s="1"/>
  <c r="S1105" i="7950" s="1"/>
  <c r="T1105" i="7950" s="1"/>
  <c r="U1105" i="7950" s="1"/>
  <c r="V1105" i="7950" s="1"/>
  <c r="W1105" i="7950" s="1"/>
  <c r="U407" i="7950"/>
  <c r="V407" i="7950" s="1"/>
  <c r="W407" i="7950" s="1"/>
  <c r="L1694" i="7950"/>
  <c r="M1694" i="7950" s="1"/>
  <c r="N1694" i="7950" s="1"/>
  <c r="O1694" i="7950" s="1"/>
  <c r="P1694" i="7950" s="1"/>
  <c r="Q565" i="7950"/>
  <c r="R565" i="7950" s="1"/>
  <c r="S565" i="7950" s="1"/>
  <c r="T565" i="7950" s="1"/>
  <c r="U565" i="7950" s="1"/>
  <c r="V565" i="7950" s="1"/>
  <c r="W565" i="7950" s="1"/>
  <c r="L398" i="7950"/>
  <c r="M398" i="7950" s="1"/>
  <c r="N398" i="7950" s="1"/>
  <c r="O398" i="7950" s="1"/>
  <c r="P398" i="7950" s="1"/>
  <c r="U731" i="7950"/>
  <c r="V731" i="7950" s="1"/>
  <c r="W731" i="7950" s="1"/>
  <c r="T2674" i="7950"/>
  <c r="U2674" i="7950" s="1"/>
  <c r="V2674" i="7950" s="1"/>
  <c r="W2674" i="7950" s="1"/>
  <c r="S351" i="7950"/>
  <c r="T351" i="7950" s="1"/>
  <c r="U351" i="7950" s="1"/>
  <c r="V351" i="7950" s="1"/>
  <c r="W351" i="7950" s="1"/>
  <c r="R2564" i="7950"/>
  <c r="S2564" i="7950" s="1"/>
  <c r="T2564" i="7950" s="1"/>
  <c r="U2564" i="7950" s="1"/>
  <c r="V2564" i="7950" s="1"/>
  <c r="W2564" i="7950" s="1"/>
  <c r="P2020" i="7950"/>
  <c r="Q2020" i="7950" s="1"/>
  <c r="L452" i="7950"/>
  <c r="M452" i="7950" s="1"/>
  <c r="N452" i="7950" s="1"/>
  <c r="O452" i="7950" s="1"/>
  <c r="P452" i="7950" s="1"/>
  <c r="T1918" i="7950"/>
  <c r="U1918" i="7950" s="1"/>
  <c r="V1918" i="7950" s="1"/>
  <c r="W1918" i="7950" s="1"/>
  <c r="P832" i="7950"/>
  <c r="Q832" i="7950" s="1"/>
  <c r="S459" i="7950"/>
  <c r="T459" i="7950" s="1"/>
  <c r="U459" i="7950" s="1"/>
  <c r="V459" i="7950" s="1"/>
  <c r="W459" i="7950" s="1"/>
  <c r="Q2293" i="7950"/>
  <c r="R2293" i="7950" s="1"/>
  <c r="S2293" i="7950" s="1"/>
  <c r="T2293" i="7950" s="1"/>
  <c r="U2293" i="7950" s="1"/>
  <c r="V2293" i="7950" s="1"/>
  <c r="W2293" i="7950" s="1"/>
  <c r="T2566" i="7950"/>
  <c r="U2566" i="7950" s="1"/>
  <c r="V2566" i="7950" s="1"/>
  <c r="W2566" i="7950" s="1"/>
  <c r="O669" i="7950"/>
  <c r="P669" i="7950" s="1"/>
  <c r="O2667" i="7950"/>
  <c r="P2667" i="7950" s="1"/>
  <c r="Q1483" i="7950"/>
  <c r="R1483" i="7950" s="1"/>
  <c r="S1483" i="7950" s="1"/>
  <c r="T1483" i="7950" s="1"/>
  <c r="U1483" i="7950" s="1"/>
  <c r="V1483" i="7950" s="1"/>
  <c r="W1483" i="7950" s="1"/>
  <c r="U2513" i="7950"/>
  <c r="V2513" i="7950" s="1"/>
  <c r="W2513" i="7950" s="1"/>
  <c r="T1810" i="7950"/>
  <c r="U1810" i="7950" s="1"/>
  <c r="V1810" i="7950" s="1"/>
  <c r="W1810" i="7950" s="1"/>
  <c r="L722" i="7950"/>
  <c r="M722" i="7950" s="1"/>
  <c r="N722" i="7950" s="1"/>
  <c r="O722" i="7950" s="1"/>
  <c r="P722" i="7950" s="1"/>
  <c r="R2672" i="7950"/>
  <c r="S2672" i="7950" s="1"/>
  <c r="T2672" i="7950" s="1"/>
  <c r="U2672" i="7950" s="1"/>
  <c r="V2672" i="7950" s="1"/>
  <c r="W2672" i="7950" s="1"/>
  <c r="L614" i="7950"/>
  <c r="M614" i="7950" s="1"/>
  <c r="N614" i="7950" s="1"/>
  <c r="O614" i="7950" s="1"/>
  <c r="P614" i="7950" s="1"/>
  <c r="L2234" i="7950"/>
  <c r="M2234" i="7950" s="1"/>
  <c r="N2234" i="7950" s="1"/>
  <c r="O2234" i="7950" s="1"/>
  <c r="P2234" i="7950" s="1"/>
  <c r="S621" i="7950"/>
  <c r="T621" i="7950" s="1"/>
  <c r="U621" i="7950" s="1"/>
  <c r="V621" i="7950" s="1"/>
  <c r="W621" i="7950" s="1"/>
  <c r="L2342" i="7950"/>
  <c r="M2342" i="7950" s="1"/>
  <c r="N2342" i="7950" s="1"/>
  <c r="O2342" i="7950" s="1"/>
  <c r="P2342" i="7950" s="1"/>
  <c r="L560" i="7950"/>
  <c r="M560" i="7950" s="1"/>
  <c r="N560" i="7950" s="1"/>
  <c r="O560" i="7950" s="1"/>
  <c r="P560" i="7950" s="1"/>
  <c r="L1208" i="7950"/>
  <c r="M1208" i="7950" s="1"/>
  <c r="N1208" i="7950" s="1"/>
  <c r="O1208" i="7950" s="1"/>
  <c r="P1208" i="7950" s="1"/>
  <c r="T1054" i="7950"/>
  <c r="U1054" i="7950" s="1"/>
  <c r="V1054" i="7950" s="1"/>
  <c r="W1054" i="7950" s="1"/>
  <c r="P2096" i="7950"/>
  <c r="W1349" i="7950"/>
  <c r="R1558" i="7950"/>
  <c r="R1534" i="7950"/>
  <c r="P152" i="7950"/>
  <c r="P314" i="7950"/>
  <c r="P1502" i="7950"/>
  <c r="Q1395" i="7950"/>
  <c r="Q1371" i="7950"/>
  <c r="O260" i="7950"/>
  <c r="P1718" i="7950"/>
  <c r="P616" i="7950"/>
  <c r="Q616" i="7950" s="1"/>
  <c r="O2235" i="7950"/>
  <c r="P2235" i="7950" s="1"/>
  <c r="Q2235" i="7950" s="1"/>
  <c r="U1919" i="7950"/>
  <c r="V1919" i="7950" s="1"/>
  <c r="W1919" i="7950" s="1"/>
  <c r="U53" i="7950"/>
  <c r="V53" i="7950" s="1"/>
  <c r="W53" i="7950" s="1"/>
  <c r="U29" i="7950"/>
  <c r="S1971" i="7950"/>
  <c r="T1971" i="7950" s="1"/>
  <c r="U1971" i="7950" s="1"/>
  <c r="V1971" i="7950" s="1"/>
  <c r="W1971" i="7950" s="1"/>
  <c r="R1754" i="7950"/>
  <c r="S1754" i="7950" s="1"/>
  <c r="T1754" i="7950" s="1"/>
  <c r="U1754" i="7950" s="1"/>
  <c r="V1754" i="7950" s="1"/>
  <c r="W1754" i="7950" s="1"/>
  <c r="P422" i="7950"/>
  <c r="Q2044" i="7950"/>
  <c r="P476" i="7950"/>
  <c r="L506" i="7950"/>
  <c r="M506" i="7950" s="1"/>
  <c r="N506" i="7950" s="1"/>
  <c r="O506" i="7950" s="1"/>
  <c r="P506" i="7950" s="1"/>
  <c r="L2450" i="7950"/>
  <c r="M2450" i="7950" s="1"/>
  <c r="N2450" i="7950" s="1"/>
  <c r="O2450" i="7950" s="1"/>
  <c r="P2450" i="7950" s="1"/>
  <c r="S1431" i="7950"/>
  <c r="T1431" i="7950" s="1"/>
  <c r="U1431" i="7950" s="1"/>
  <c r="V1431" i="7950" s="1"/>
  <c r="W1431" i="7950" s="1"/>
  <c r="R1862" i="7950"/>
  <c r="S1862" i="7950" s="1"/>
  <c r="T1862" i="7950" s="1"/>
  <c r="U1862" i="7950" s="1"/>
  <c r="V1862" i="7950" s="1"/>
  <c r="W1862" i="7950" s="1"/>
  <c r="Q2023" i="7950"/>
  <c r="R2023" i="7950" s="1"/>
  <c r="S2023" i="7950" s="1"/>
  <c r="T2023" i="7950" s="1"/>
  <c r="U2023" i="7950" s="1"/>
  <c r="V2023" i="7950" s="1"/>
  <c r="W2023" i="7950" s="1"/>
  <c r="R2236" i="7950"/>
  <c r="R2260" i="7950"/>
  <c r="T460" i="7950"/>
  <c r="U460" i="7950" s="1"/>
  <c r="V460" i="7950" s="1"/>
  <c r="W460" i="7950" s="1"/>
  <c r="L992" i="7950"/>
  <c r="M992" i="7950" s="1"/>
  <c r="N992" i="7950" s="1"/>
  <c r="O992" i="7950" s="1"/>
  <c r="P992" i="7950" s="1"/>
  <c r="L2180" i="7950"/>
  <c r="M2180" i="7950" s="1"/>
  <c r="N2180" i="7950" s="1"/>
  <c r="O2180" i="7950" s="1"/>
  <c r="P2180" i="7950" s="1"/>
  <c r="U299" i="7950"/>
  <c r="V299" i="7950" s="1"/>
  <c r="W299" i="7950" s="1"/>
  <c r="T730" i="7950"/>
  <c r="U730" i="7950" s="1"/>
  <c r="V730" i="7950" s="1"/>
  <c r="W730" i="7950" s="1"/>
  <c r="L1046" i="7950"/>
  <c r="M1046" i="7950" s="1"/>
  <c r="N1046" i="7950" s="1"/>
  <c r="O1046" i="7950" s="1"/>
  <c r="P1046" i="7950" s="1"/>
  <c r="Q1753" i="7950"/>
  <c r="R1753" i="7950" s="1"/>
  <c r="S1753" i="7950" s="1"/>
  <c r="T1753" i="7950" s="1"/>
  <c r="U1753" i="7950" s="1"/>
  <c r="V1753" i="7950" s="1"/>
  <c r="W1753" i="7950" s="1"/>
  <c r="R154" i="7950"/>
  <c r="R130" i="7950"/>
  <c r="U1217" i="7950"/>
  <c r="V1217" i="7950" s="1"/>
  <c r="W1217" i="7950" s="1"/>
  <c r="T2242" i="7950"/>
  <c r="U2242" i="7950" s="1"/>
  <c r="V2242" i="7950" s="1"/>
  <c r="W2242" i="7950" s="1"/>
  <c r="T1162" i="7950"/>
  <c r="U1162" i="7950" s="1"/>
  <c r="V1162" i="7950" s="1"/>
  <c r="W1162" i="7950" s="1"/>
  <c r="R1970" i="7950"/>
  <c r="S1970" i="7950" s="1"/>
  <c r="T1970" i="7950" s="1"/>
  <c r="U1970" i="7950" s="1"/>
  <c r="V1970" i="7950" s="1"/>
  <c r="W1970" i="7950" s="1"/>
  <c r="Q2289" i="7950"/>
  <c r="Q2313" i="7950"/>
  <c r="L1640" i="7950"/>
  <c r="M1640" i="7950" s="1"/>
  <c r="N1640" i="7950" s="1"/>
  <c r="O1640" i="7950" s="1"/>
  <c r="P1640" i="7950" s="1"/>
  <c r="R778" i="7950"/>
  <c r="R802" i="7950"/>
  <c r="L1370" i="7950"/>
  <c r="M1370" i="7950" s="1"/>
  <c r="N1370" i="7950" s="1"/>
  <c r="O1370" i="7950" s="1"/>
  <c r="P1370" i="7950" s="1"/>
  <c r="P2560" i="7950"/>
  <c r="Q2560" i="7950" s="1"/>
  <c r="L830" i="7950"/>
  <c r="M830" i="7950" s="1"/>
  <c r="N830" i="7950" s="1"/>
  <c r="O830" i="7950" s="1"/>
  <c r="P830" i="7950" s="1"/>
  <c r="L1748" i="7950"/>
  <c r="M1748" i="7950" s="1"/>
  <c r="N1748" i="7950" s="1"/>
  <c r="O1748" i="7950" s="1"/>
  <c r="P1748" i="7950" s="1"/>
  <c r="Q1425" i="7950"/>
  <c r="Q1449" i="7950"/>
  <c r="T1756" i="7950"/>
  <c r="U1756" i="7950" s="1"/>
  <c r="V1756" i="7950" s="1"/>
  <c r="W1756" i="7950" s="1"/>
  <c r="Q1915" i="7950"/>
  <c r="R1915" i="7950" s="1"/>
  <c r="S1915" i="7950" s="1"/>
  <c r="T1915" i="7950" s="1"/>
  <c r="U1915" i="7950" s="1"/>
  <c r="V1915" i="7950" s="1"/>
  <c r="W1915" i="7950" s="1"/>
  <c r="S2511" i="7950"/>
  <c r="T2511" i="7950" s="1"/>
  <c r="U2511" i="7950" s="1"/>
  <c r="V2511" i="7950" s="1"/>
  <c r="W2511" i="7950" s="1"/>
  <c r="S1485" i="7950"/>
  <c r="T1485" i="7950" s="1"/>
  <c r="U1485" i="7950" s="1"/>
  <c r="V1485" i="7950" s="1"/>
  <c r="W1485" i="7950" s="1"/>
  <c r="Q856" i="7950"/>
  <c r="U353" i="7950"/>
  <c r="V353" i="7950" s="1"/>
  <c r="W353" i="7950" s="1"/>
  <c r="R836" i="7950"/>
  <c r="S836" i="7950" s="1"/>
  <c r="T836" i="7950" s="1"/>
  <c r="U836" i="7950" s="1"/>
  <c r="V836" i="7950" s="1"/>
  <c r="W836" i="7950" s="1"/>
  <c r="O1264" i="7950"/>
  <c r="P1264" i="7950" s="1"/>
  <c r="Q1264" i="7950" s="1"/>
  <c r="Q2073" i="7950"/>
  <c r="Q2097" i="7950"/>
  <c r="Q453" i="7950"/>
  <c r="Q477" i="7950"/>
  <c r="L668" i="7950"/>
  <c r="M668" i="7950" s="1"/>
  <c r="N668" i="7950" s="1"/>
  <c r="O668" i="7950" s="1"/>
  <c r="P668" i="7950" s="1"/>
  <c r="V54" i="7950"/>
  <c r="W54" i="7950" s="1"/>
  <c r="V30" i="7950"/>
  <c r="L2612" i="7950"/>
  <c r="M2612" i="7950" s="1"/>
  <c r="N2612" i="7950" s="1"/>
  <c r="O2612" i="7950" s="1"/>
  <c r="P2612" i="7950" s="1"/>
  <c r="L1964" i="7950"/>
  <c r="M1964" i="7950" s="1"/>
  <c r="N1964" i="7950" s="1"/>
  <c r="O1964" i="7950" s="1"/>
  <c r="P1964" i="7950" s="1"/>
  <c r="R748" i="7950"/>
  <c r="R724" i="7950"/>
  <c r="V1347" i="7950"/>
  <c r="V1323" i="7950"/>
  <c r="P2420" i="7950"/>
  <c r="P2366" i="7950"/>
  <c r="R2182" i="7950"/>
  <c r="R2206" i="7950"/>
  <c r="U1345" i="7950"/>
  <c r="U1321" i="7950"/>
  <c r="P1232" i="7950"/>
  <c r="Q2529" i="7950"/>
  <c r="Q2505" i="7950"/>
  <c r="Q910" i="7950"/>
  <c r="P1017" i="7950"/>
  <c r="P1610" i="7950"/>
  <c r="P2150" i="7950"/>
  <c r="P638" i="7950"/>
  <c r="P2258" i="7950"/>
  <c r="U1346" i="7950"/>
  <c r="P1286" i="7950"/>
  <c r="P1934" i="7950"/>
  <c r="R1210" i="7950"/>
  <c r="R1234" i="7950"/>
  <c r="P99" i="7950"/>
  <c r="P75" i="7950"/>
  <c r="Q1612" i="7950"/>
  <c r="P1124" i="7950"/>
  <c r="R292" i="7950"/>
  <c r="R316" i="7950"/>
  <c r="P1880" i="7950"/>
  <c r="Q640" i="7950"/>
  <c r="Q2259" i="7950"/>
  <c r="Q909" i="7950"/>
  <c r="Q885" i="7950"/>
  <c r="Q345" i="7950"/>
  <c r="Q369" i="7950"/>
  <c r="P530" i="7950"/>
  <c r="P2474" i="7950"/>
  <c r="R50" i="7950"/>
  <c r="S50" i="7950" s="1"/>
  <c r="T50" i="7950" s="1"/>
  <c r="U50" i="7950" s="1"/>
  <c r="V50" i="7950" s="1"/>
  <c r="W50" i="7950" s="1"/>
  <c r="R26" i="7950"/>
  <c r="W1326" i="7950"/>
  <c r="W1350" i="7950"/>
  <c r="P1016" i="7950"/>
  <c r="Q1749" i="7950"/>
  <c r="Q1773" i="7950"/>
  <c r="R1666" i="7950"/>
  <c r="R1642" i="7950"/>
  <c r="P368" i="7950"/>
  <c r="P2204" i="7950"/>
  <c r="P1070" i="7950"/>
  <c r="P693" i="7950"/>
  <c r="Q49" i="7950"/>
  <c r="R49" i="7950" s="1"/>
  <c r="S49" i="7950" s="1"/>
  <c r="T49" i="7950" s="1"/>
  <c r="U49" i="7950" s="1"/>
  <c r="V49" i="7950" s="1"/>
  <c r="W49" i="7950" s="1"/>
  <c r="Q25" i="7950"/>
  <c r="P1664" i="7950"/>
  <c r="P1394" i="7950"/>
  <c r="Q2584" i="7950"/>
  <c r="P854" i="7950"/>
  <c r="P1772" i="7950"/>
  <c r="Q1288" i="7950"/>
  <c r="O98" i="7950"/>
  <c r="P692" i="7950"/>
  <c r="P2636" i="7950"/>
  <c r="P1125" i="7950"/>
  <c r="P1988" i="7950"/>
  <c r="R184" i="7950"/>
  <c r="R208" i="7950"/>
  <c r="R454" i="7950"/>
  <c r="R478" i="7950"/>
  <c r="Q1263" i="7950"/>
  <c r="Q1287" i="7950"/>
  <c r="Q238" i="7950"/>
  <c r="Q262" i="7950"/>
  <c r="Q2343" i="7950"/>
  <c r="Q2367" i="7950"/>
  <c r="P1178" i="7950"/>
  <c r="P1826" i="7950"/>
  <c r="P207" i="7950"/>
  <c r="P2690" i="7950"/>
  <c r="P908" i="7950"/>
  <c r="P2691" i="7950"/>
  <c r="P2151" i="7950"/>
  <c r="R2668" i="7950"/>
  <c r="R2692" i="7950"/>
  <c r="P2528" i="7950"/>
  <c r="Q1587" i="7950"/>
  <c r="Q1611" i="7950"/>
  <c r="P1448" i="7950"/>
  <c r="S1647" i="7950"/>
  <c r="T1647" i="7950" s="1"/>
  <c r="U1647" i="7950" s="1"/>
  <c r="V1647" i="7950" s="1"/>
  <c r="W1647" i="7950" s="1"/>
  <c r="Q1969" i="7950"/>
  <c r="R1969" i="7950" s="1"/>
  <c r="S1969" i="7950" s="1"/>
  <c r="T1969" i="7950" s="1"/>
  <c r="U1969" i="7950" s="1"/>
  <c r="V1969" i="7950" s="1"/>
  <c r="W1969" i="7950" s="1"/>
  <c r="R1430" i="7950"/>
  <c r="S1430" i="7950" s="1"/>
  <c r="T1430" i="7950" s="1"/>
  <c r="U1430" i="7950" s="1"/>
  <c r="V1430" i="7950" s="1"/>
  <c r="W1430" i="7950" s="1"/>
  <c r="U569" i="7950"/>
  <c r="V569" i="7950" s="1"/>
  <c r="W569" i="7950" s="1"/>
  <c r="U2027" i="7950"/>
  <c r="V2027" i="7950" s="1"/>
  <c r="W2027" i="7950" s="1"/>
  <c r="T1270" i="7950"/>
  <c r="U1270" i="7950" s="1"/>
  <c r="V1270" i="7950" s="1"/>
  <c r="W1270" i="7950" s="1"/>
  <c r="R1322" i="7950"/>
  <c r="S1322" i="7950" s="1"/>
  <c r="T1322" i="7950" s="1"/>
  <c r="U1322" i="7950" s="1"/>
  <c r="R1808" i="7950"/>
  <c r="S1808" i="7950" s="1"/>
  <c r="T1808" i="7950" s="1"/>
  <c r="U1808" i="7950" s="1"/>
  <c r="V1808" i="7950" s="1"/>
  <c r="W1808" i="7950" s="1"/>
  <c r="P1556" i="7950"/>
  <c r="P2312" i="7950"/>
  <c r="L1262" i="7950"/>
  <c r="M1262" i="7950" s="1"/>
  <c r="N1262" i="7950" s="1"/>
  <c r="O1262" i="7950" s="1"/>
  <c r="P1262" i="7950" s="1"/>
  <c r="L2072" i="7950"/>
  <c r="M2072" i="7950" s="1"/>
  <c r="N2072" i="7950" s="1"/>
  <c r="O2072" i="7950" s="1"/>
  <c r="P2072" i="7950" s="1"/>
  <c r="S945" i="7950"/>
  <c r="T945" i="7950" s="1"/>
  <c r="U945" i="7950" s="1"/>
  <c r="V945" i="7950" s="1"/>
  <c r="W945" i="7950" s="1"/>
  <c r="Q133" i="7950"/>
  <c r="R133" i="7950" s="1"/>
  <c r="S133" i="7950" s="1"/>
  <c r="T133" i="7950" s="1"/>
  <c r="U133" i="7950" s="1"/>
  <c r="V133" i="7950" s="1"/>
  <c r="W133" i="7950" s="1"/>
  <c r="L1154" i="7950"/>
  <c r="M1154" i="7950" s="1"/>
  <c r="N1154" i="7950" s="1"/>
  <c r="O1154" i="7950" s="1"/>
  <c r="P1154" i="7950" s="1"/>
  <c r="S1161" i="7950"/>
  <c r="T1161" i="7950" s="1"/>
  <c r="U1161" i="7950" s="1"/>
  <c r="V1161" i="7950" s="1"/>
  <c r="W1161" i="7950" s="1"/>
  <c r="R1214" i="7950"/>
  <c r="S1214" i="7950" s="1"/>
  <c r="T1214" i="7950" s="1"/>
  <c r="U1214" i="7950" s="1"/>
  <c r="V1214" i="7950" s="1"/>
  <c r="W1214" i="7950" s="1"/>
  <c r="L1910" i="7950"/>
  <c r="M1910" i="7950" s="1"/>
  <c r="N1910" i="7950" s="1"/>
  <c r="O1910" i="7950" s="1"/>
  <c r="P1910" i="7950" s="1"/>
  <c r="Q2451" i="7950"/>
  <c r="Q2475" i="7950"/>
  <c r="Q511" i="7950"/>
  <c r="R511" i="7950" s="1"/>
  <c r="S511" i="7950" s="1"/>
  <c r="T511" i="7950" s="1"/>
  <c r="U511" i="7950" s="1"/>
  <c r="V511" i="7950" s="1"/>
  <c r="W511" i="7950" s="1"/>
  <c r="U1325" i="7950"/>
  <c r="V1325" i="7950" s="1"/>
  <c r="W1325" i="7950" s="1"/>
  <c r="T352" i="7950"/>
  <c r="U352" i="7950" s="1"/>
  <c r="V352" i="7950" s="1"/>
  <c r="W352" i="7950" s="1"/>
  <c r="R400" i="7950"/>
  <c r="R424" i="7950"/>
  <c r="L1802" i="7950"/>
  <c r="M1802" i="7950" s="1"/>
  <c r="N1802" i="7950" s="1"/>
  <c r="O1802" i="7950" s="1"/>
  <c r="P1802" i="7950" s="1"/>
  <c r="Q1911" i="7950"/>
  <c r="Q1935" i="7950"/>
  <c r="O183" i="7950"/>
  <c r="P183" i="7950" s="1"/>
  <c r="T2512" i="7950"/>
  <c r="U2512" i="7950" s="1"/>
  <c r="V2512" i="7950" s="1"/>
  <c r="W2512" i="7950" s="1"/>
  <c r="S513" i="7950"/>
  <c r="T513" i="7950" s="1"/>
  <c r="U513" i="7950" s="1"/>
  <c r="V513" i="7950" s="1"/>
  <c r="W513" i="7950" s="1"/>
  <c r="Q241" i="7950"/>
  <c r="R241" i="7950" s="1"/>
  <c r="S241" i="7950" s="1"/>
  <c r="T241" i="7950" s="1"/>
  <c r="U241" i="7950" s="1"/>
  <c r="V241" i="7950" s="1"/>
  <c r="W241" i="7950" s="1"/>
  <c r="Q187" i="7950"/>
  <c r="R187" i="7950" s="1"/>
  <c r="S187" i="7950" s="1"/>
  <c r="T187" i="7950" s="1"/>
  <c r="U187" i="7950" s="1"/>
  <c r="V187" i="7950" s="1"/>
  <c r="W187" i="7950" s="1"/>
  <c r="L2666" i="7950"/>
  <c r="M2666" i="7950" s="1"/>
  <c r="N2666" i="7950" s="1"/>
  <c r="O2666" i="7950" s="1"/>
  <c r="P2666" i="7950" s="1"/>
  <c r="T1216" i="7950"/>
  <c r="U1216" i="7950" s="1"/>
  <c r="V1216" i="7950" s="1"/>
  <c r="W1216" i="7950" s="1"/>
  <c r="T1378" i="7950"/>
  <c r="U1378" i="7950" s="1"/>
  <c r="V1378" i="7950" s="1"/>
  <c r="W1378" i="7950" s="1"/>
  <c r="R2186" i="7950"/>
  <c r="S2186" i="7950" s="1"/>
  <c r="T2186" i="7950" s="1"/>
  <c r="U2186" i="7950" s="1"/>
  <c r="V2186" i="7950" s="1"/>
  <c r="W2186" i="7950" s="1"/>
  <c r="V1159" i="7950"/>
  <c r="W1159" i="7950" s="1"/>
  <c r="L884" i="7950"/>
  <c r="M884" i="7950" s="1"/>
  <c r="N884" i="7950" s="1"/>
  <c r="O884" i="7950" s="1"/>
  <c r="P884" i="7950" s="1"/>
  <c r="Q1051" i="7950"/>
  <c r="R1051" i="7950" s="1"/>
  <c r="S1051" i="7950" s="1"/>
  <c r="T1051" i="7950" s="1"/>
  <c r="U1051" i="7950" s="1"/>
  <c r="V1051" i="7950" s="1"/>
  <c r="W1051" i="7950" s="1"/>
  <c r="P1588" i="7950"/>
  <c r="Q1588" i="7950" s="1"/>
  <c r="Q2637" i="7950"/>
  <c r="Q2613" i="7950"/>
  <c r="Q349" i="7950"/>
  <c r="R349" i="7950" s="1"/>
  <c r="S349" i="7950" s="1"/>
  <c r="T349" i="7950" s="1"/>
  <c r="U349" i="7950" s="1"/>
  <c r="V349" i="7950" s="1"/>
  <c r="W349" i="7950" s="1"/>
  <c r="O2127" i="7950"/>
  <c r="P2127" i="7950" s="1"/>
  <c r="S2079" i="7950"/>
  <c r="T2079" i="7950" s="1"/>
  <c r="U2079" i="7950" s="1"/>
  <c r="V2079" i="7950" s="1"/>
  <c r="W2079" i="7950" s="1"/>
  <c r="S1863" i="7950"/>
  <c r="T1863" i="7950" s="1"/>
  <c r="U1863" i="7950" s="1"/>
  <c r="V1863" i="7950" s="1"/>
  <c r="W1863" i="7950" s="1"/>
  <c r="R728" i="7950"/>
  <c r="S728" i="7950" s="1"/>
  <c r="T728" i="7950" s="1"/>
  <c r="U728" i="7950" s="1"/>
  <c r="V728" i="7950" s="1"/>
  <c r="W728" i="7950" s="1"/>
  <c r="Q1429" i="7950"/>
  <c r="R1429" i="7950" s="1"/>
  <c r="S1429" i="7950" s="1"/>
  <c r="T1429" i="7950" s="1"/>
  <c r="U1429" i="7950" s="1"/>
  <c r="V1429" i="7950" s="1"/>
  <c r="W1429" i="7950" s="1"/>
  <c r="R2618" i="7950"/>
  <c r="S2618" i="7950" s="1"/>
  <c r="T2618" i="7950" s="1"/>
  <c r="U2618" i="7950" s="1"/>
  <c r="V2618" i="7950" s="1"/>
  <c r="W2618" i="7950" s="1"/>
  <c r="L1478" i="7950"/>
  <c r="M1478" i="7950" s="1"/>
  <c r="N1478" i="7950" s="1"/>
  <c r="O1478" i="7950" s="1"/>
  <c r="P1478" i="7950" s="1"/>
  <c r="L2504" i="7950"/>
  <c r="M2504" i="7950" s="1"/>
  <c r="N2504" i="7950" s="1"/>
  <c r="O2504" i="7950" s="1"/>
  <c r="P2504" i="7950" s="1"/>
  <c r="R2398" i="7950"/>
  <c r="R2422" i="7950"/>
  <c r="P1233" i="7950"/>
  <c r="S51" i="7950"/>
  <c r="T51" i="7950" s="1"/>
  <c r="U51" i="7950" s="1"/>
  <c r="V51" i="7950" s="1"/>
  <c r="W51" i="7950" s="1"/>
  <c r="S27" i="7950"/>
  <c r="L1100" i="7950"/>
  <c r="M1100" i="7950" s="1"/>
  <c r="N1100" i="7950" s="1"/>
  <c r="O1100" i="7950" s="1"/>
  <c r="P1100" i="7950" s="1"/>
  <c r="R890" i="7950"/>
  <c r="S890" i="7950" s="1"/>
  <c r="T890" i="7950" s="1"/>
  <c r="U890" i="7950" s="1"/>
  <c r="V890" i="7950" s="1"/>
  <c r="W890" i="7950" s="1"/>
  <c r="R2290" i="7950"/>
  <c r="R2314" i="7950"/>
  <c r="L1856" i="7950"/>
  <c r="M1856" i="7950" s="1"/>
  <c r="N1856" i="7950" s="1"/>
  <c r="O1856" i="7950" s="1"/>
  <c r="P1856" i="7950" s="1"/>
  <c r="P206" i="7950"/>
  <c r="Q129" i="7950"/>
  <c r="Q153" i="7950"/>
  <c r="P800" i="7950"/>
  <c r="P584" i="7950"/>
  <c r="P1965" i="7950"/>
  <c r="P1989" i="7950"/>
  <c r="Q2530" i="7950"/>
  <c r="Q1774" i="7950"/>
  <c r="P746" i="7950"/>
  <c r="T52" i="7950"/>
  <c r="U52" i="7950" s="1"/>
  <c r="V52" i="7950" s="1"/>
  <c r="W52" i="7950" s="1"/>
  <c r="T28" i="7950"/>
  <c r="Q2368" i="7950"/>
  <c r="P2042" i="7950"/>
  <c r="G563" i="7949"/>
  <c r="G2345" i="7949"/>
  <c r="E1746" i="7949"/>
  <c r="F1746" i="7949" s="1"/>
  <c r="G1746" i="7949" s="1"/>
  <c r="H1746" i="7949" s="1"/>
  <c r="I1746" i="7949" s="1"/>
  <c r="J1746" i="7949" s="1"/>
  <c r="K1746" i="7949" s="1"/>
  <c r="E180" i="7949"/>
  <c r="F180" i="7949" s="1"/>
  <c r="G180" i="7949" s="1"/>
  <c r="E2610" i="7949"/>
  <c r="F2610" i="7949" s="1"/>
  <c r="G2610" i="7949" s="1"/>
  <c r="H2610" i="7949" s="1"/>
  <c r="I2610" i="7949" s="1"/>
  <c r="J2610" i="7949" s="1"/>
  <c r="K2610" i="7949" s="1"/>
  <c r="E342" i="7949"/>
  <c r="F342" i="7949" s="1"/>
  <c r="G342" i="7949" s="1"/>
  <c r="H342" i="7949" s="1"/>
  <c r="I342" i="7949" s="1"/>
  <c r="J342" i="7949" s="1"/>
  <c r="K342" i="7949" s="1"/>
  <c r="E1152" i="7949"/>
  <c r="F1152" i="7949" s="1"/>
  <c r="G1152" i="7949" s="1"/>
  <c r="H1152" i="7949" s="1"/>
  <c r="I1152" i="7949" s="1"/>
  <c r="J1152" i="7949" s="1"/>
  <c r="K1152" i="7949" s="1"/>
  <c r="E1908" i="7949"/>
  <c r="F1908" i="7949" s="1"/>
  <c r="G1908" i="7949" s="1"/>
  <c r="H1908" i="7949" s="1"/>
  <c r="I1908" i="7949" s="1"/>
  <c r="J1908" i="7949" s="1"/>
  <c r="K1908" i="7949" s="1"/>
  <c r="E1098" i="7949"/>
  <c r="F1098" i="7949" s="1"/>
  <c r="G1098" i="7949" s="1"/>
  <c r="H1098" i="7949" s="1"/>
  <c r="I1098" i="7949" s="1"/>
  <c r="J1098" i="7949" s="1"/>
  <c r="K1098" i="7949" s="1"/>
  <c r="E1584" i="7949"/>
  <c r="F1584" i="7949" s="1"/>
  <c r="G1584" i="7949" s="1"/>
  <c r="H1584" i="7949" s="1"/>
  <c r="I1584" i="7949" s="1"/>
  <c r="J1584" i="7949" s="1"/>
  <c r="K1584" i="7949" s="1"/>
  <c r="E2070" i="7949"/>
  <c r="F2070" i="7949" s="1"/>
  <c r="G2070" i="7949" s="1"/>
  <c r="H2070" i="7949" s="1"/>
  <c r="I2070" i="7949" s="1"/>
  <c r="J2070" i="7949" s="1"/>
  <c r="K2070" i="7949" s="1"/>
  <c r="E1530" i="7949"/>
  <c r="F1530" i="7949" s="1"/>
  <c r="G1530" i="7949" s="1"/>
  <c r="H1530" i="7949" s="1"/>
  <c r="I1530" i="7949" s="1"/>
  <c r="J1530" i="7949" s="1"/>
  <c r="K1530" i="7949" s="1"/>
  <c r="E2016" i="7949"/>
  <c r="F2016" i="7949" s="1"/>
  <c r="G2016" i="7949" s="1"/>
  <c r="H2016" i="7949" s="1"/>
  <c r="I2016" i="7949" s="1"/>
  <c r="J2016" i="7949" s="1"/>
  <c r="K2016" i="7949" s="1"/>
  <c r="E396" i="7949"/>
  <c r="F396" i="7949" s="1"/>
  <c r="G396" i="7949" s="1"/>
  <c r="H396" i="7949" s="1"/>
  <c r="I396" i="7949" s="1"/>
  <c r="J396" i="7949" s="1"/>
  <c r="K396" i="7949" s="1"/>
  <c r="E1422" i="7949"/>
  <c r="F1422" i="7949" s="1"/>
  <c r="G1422" i="7949" s="1"/>
  <c r="H1422" i="7949" s="1"/>
  <c r="I1422" i="7949" s="1"/>
  <c r="J1422" i="7949" s="1"/>
  <c r="K1422" i="7949" s="1"/>
  <c r="E720" i="7949"/>
  <c r="F720" i="7949" s="1"/>
  <c r="G720" i="7949" s="1"/>
  <c r="H720" i="7949" s="1"/>
  <c r="I720" i="7949" s="1"/>
  <c r="J720" i="7949" s="1"/>
  <c r="K720" i="7949" s="1"/>
  <c r="E2286" i="7949"/>
  <c r="F2286" i="7949" s="1"/>
  <c r="G2286" i="7949" s="1"/>
  <c r="H2286" i="7949" s="1"/>
  <c r="I2286" i="7949" s="1"/>
  <c r="J2286" i="7949" s="1"/>
  <c r="K2286" i="7949" s="1"/>
  <c r="E990" i="7949"/>
  <c r="F990" i="7949" s="1"/>
  <c r="G990" i="7949" s="1"/>
  <c r="H990" i="7949" s="1"/>
  <c r="I990" i="7949" s="1"/>
  <c r="J990" i="7949" s="1"/>
  <c r="K990" i="7949" s="1"/>
  <c r="E2340" i="7949"/>
  <c r="F2340" i="7949" s="1"/>
  <c r="G2340" i="7949" s="1"/>
  <c r="H2340" i="7949" s="1"/>
  <c r="I2340" i="7949" s="1"/>
  <c r="J2340" i="7949" s="1"/>
  <c r="K2340" i="7949" s="1"/>
  <c r="E72" i="7949"/>
  <c r="F72" i="7949" s="1"/>
  <c r="G72" i="7949" s="1"/>
  <c r="E1962" i="7949"/>
  <c r="F1962" i="7949" s="1"/>
  <c r="G1962" i="7949" s="1"/>
  <c r="H1962" i="7949" s="1"/>
  <c r="I1962" i="7949" s="1"/>
  <c r="J1962" i="7949" s="1"/>
  <c r="K1962" i="7949" s="1"/>
  <c r="E2448" i="7949"/>
  <c r="F2448" i="7949" s="1"/>
  <c r="G2448" i="7949" s="1"/>
  <c r="H2448" i="7949" s="1"/>
  <c r="I2448" i="7949" s="1"/>
  <c r="J2448" i="7949" s="1"/>
  <c r="K2448" i="7949" s="1"/>
  <c r="E1260" i="7949"/>
  <c r="F1260" i="7949" s="1"/>
  <c r="G1260" i="7949" s="1"/>
  <c r="H1260" i="7949" s="1"/>
  <c r="I1260" i="7949" s="1"/>
  <c r="J1260" i="7949" s="1"/>
  <c r="K1260" i="7949" s="1"/>
  <c r="E288" i="7949"/>
  <c r="F288" i="7949" s="1"/>
  <c r="G288" i="7949" s="1"/>
  <c r="H288" i="7949" s="1"/>
  <c r="I288" i="7949" s="1"/>
  <c r="J288" i="7949" s="1"/>
  <c r="K288" i="7949" s="1"/>
  <c r="E2664" i="7949"/>
  <c r="F2664" i="7949" s="1"/>
  <c r="G2664" i="7949" s="1"/>
  <c r="H2664" i="7949" s="1"/>
  <c r="I2664" i="7949" s="1"/>
  <c r="J2664" i="7949" s="1"/>
  <c r="K2664" i="7949" s="1"/>
  <c r="E936" i="7949"/>
  <c r="F936" i="7949" s="1"/>
  <c r="G936" i="7949" s="1"/>
  <c r="H936" i="7949" s="1"/>
  <c r="I936" i="7949" s="1"/>
  <c r="J936" i="7949" s="1"/>
  <c r="K936" i="7949" s="1"/>
  <c r="E126" i="7949"/>
  <c r="F126" i="7949" s="1"/>
  <c r="G126" i="7949" s="1"/>
  <c r="E774" i="7949"/>
  <c r="F774" i="7949" s="1"/>
  <c r="G774" i="7949" s="1"/>
  <c r="H774" i="7949" s="1"/>
  <c r="I774" i="7949" s="1"/>
  <c r="J774" i="7949" s="1"/>
  <c r="K774" i="7949" s="1"/>
  <c r="E828" i="7949"/>
  <c r="F828" i="7949" s="1"/>
  <c r="G828" i="7949" s="1"/>
  <c r="H828" i="7949" s="1"/>
  <c r="I828" i="7949" s="1"/>
  <c r="J828" i="7949" s="1"/>
  <c r="K828" i="7949" s="1"/>
  <c r="E2232" i="7949"/>
  <c r="F2232" i="7949" s="1"/>
  <c r="G2232" i="7949" s="1"/>
  <c r="H2232" i="7949" s="1"/>
  <c r="I2232" i="7949" s="1"/>
  <c r="J2232" i="7949" s="1"/>
  <c r="K2232" i="7949" s="1"/>
  <c r="E666" i="7949"/>
  <c r="F666" i="7949" s="1"/>
  <c r="G666" i="7949" s="1"/>
  <c r="H666" i="7949" s="1"/>
  <c r="I666" i="7949" s="1"/>
  <c r="J666" i="7949" s="1"/>
  <c r="K666" i="7949" s="1"/>
  <c r="E450" i="7949"/>
  <c r="F450" i="7949" s="1"/>
  <c r="G450" i="7949" s="1"/>
  <c r="H450" i="7949" s="1"/>
  <c r="I450" i="7949" s="1"/>
  <c r="J450" i="7949" s="1"/>
  <c r="K450" i="7949" s="1"/>
  <c r="E612" i="7949"/>
  <c r="F612" i="7949" s="1"/>
  <c r="G612" i="7949" s="1"/>
  <c r="H612" i="7949" s="1"/>
  <c r="I612" i="7949" s="1"/>
  <c r="J612" i="7949" s="1"/>
  <c r="K612" i="7949" s="1"/>
  <c r="E1314" i="7949"/>
  <c r="F1314" i="7949" s="1"/>
  <c r="G1314" i="7949" s="1"/>
  <c r="H1314" i="7949" s="1"/>
  <c r="I1314" i="7949" s="1"/>
  <c r="J1314" i="7949" s="1"/>
  <c r="K1314" i="7949" s="1"/>
  <c r="E1800" i="7949"/>
  <c r="F1800" i="7949" s="1"/>
  <c r="G1800" i="7949" s="1"/>
  <c r="H1800" i="7949" s="1"/>
  <c r="I1800" i="7949" s="1"/>
  <c r="J1800" i="7949" s="1"/>
  <c r="K1800" i="7949" s="1"/>
  <c r="E2502" i="7949"/>
  <c r="F2502" i="7949" s="1"/>
  <c r="G2502" i="7949" s="1"/>
  <c r="H2502" i="7949" s="1"/>
  <c r="I2502" i="7949" s="1"/>
  <c r="J2502" i="7949" s="1"/>
  <c r="K2502" i="7949" s="1"/>
  <c r="E882" i="7949"/>
  <c r="F882" i="7949" s="1"/>
  <c r="G882" i="7949" s="1"/>
  <c r="H882" i="7949" s="1"/>
  <c r="I882" i="7949" s="1"/>
  <c r="J882" i="7949" s="1"/>
  <c r="K882" i="7949" s="1"/>
  <c r="E1476" i="7949"/>
  <c r="F1476" i="7949" s="1"/>
  <c r="G1476" i="7949" s="1"/>
  <c r="H1476" i="7949" s="1"/>
  <c r="I1476" i="7949" s="1"/>
  <c r="J1476" i="7949" s="1"/>
  <c r="K1476" i="7949" s="1"/>
  <c r="G1103" i="7949"/>
  <c r="E1854" i="7949"/>
  <c r="F1854" i="7949" s="1"/>
  <c r="G1854" i="7949" s="1"/>
  <c r="H1854" i="7949" s="1"/>
  <c r="I1854" i="7949" s="1"/>
  <c r="J1854" i="7949" s="1"/>
  <c r="K1854" i="7949" s="1"/>
  <c r="E1638" i="7949"/>
  <c r="F1638" i="7949" s="1"/>
  <c r="G1638" i="7949" s="1"/>
  <c r="H1638" i="7949" s="1"/>
  <c r="I1638" i="7949" s="1"/>
  <c r="J1638" i="7949" s="1"/>
  <c r="K1638" i="7949" s="1"/>
  <c r="E1206" i="7949"/>
  <c r="F1206" i="7949" s="1"/>
  <c r="G1206" i="7949" s="1"/>
  <c r="H1206" i="7949" s="1"/>
  <c r="I1206" i="7949" s="1"/>
  <c r="J1206" i="7949" s="1"/>
  <c r="K1206" i="7949" s="1"/>
  <c r="E504" i="7949"/>
  <c r="F504" i="7949" s="1"/>
  <c r="G504" i="7949" s="1"/>
  <c r="H504" i="7949" s="1"/>
  <c r="I504" i="7949" s="1"/>
  <c r="J504" i="7949" s="1"/>
  <c r="K504" i="7949" s="1"/>
  <c r="E558" i="7949"/>
  <c r="F558" i="7949" s="1"/>
  <c r="G558" i="7949" s="1"/>
  <c r="H558" i="7949" s="1"/>
  <c r="I558" i="7949" s="1"/>
  <c r="J558" i="7949" s="1"/>
  <c r="K558" i="7949" s="1"/>
  <c r="E1692" i="7949"/>
  <c r="F1692" i="7949" s="1"/>
  <c r="G1692" i="7949" s="1"/>
  <c r="H1692" i="7949" s="1"/>
  <c r="I1692" i="7949" s="1"/>
  <c r="J1692" i="7949" s="1"/>
  <c r="K1692" i="7949" s="1"/>
  <c r="E234" i="7949"/>
  <c r="F234" i="7949" s="1"/>
  <c r="G234" i="7949" s="1"/>
  <c r="H234" i="7949" s="1"/>
  <c r="I234" i="7949" s="1"/>
  <c r="J234" i="7949" s="1"/>
  <c r="K234" i="7949" s="1"/>
  <c r="E1044" i="7949"/>
  <c r="F1044" i="7949" s="1"/>
  <c r="G1044" i="7949" s="1"/>
  <c r="H1044" i="7949" s="1"/>
  <c r="I1044" i="7949" s="1"/>
  <c r="J1044" i="7949" s="1"/>
  <c r="K1044" i="7949" s="1"/>
  <c r="E2394" i="7949"/>
  <c r="F2394" i="7949" s="1"/>
  <c r="G2394" i="7949" s="1"/>
  <c r="H2394" i="7949" s="1"/>
  <c r="I2394" i="7949" s="1"/>
  <c r="J2394" i="7949" s="1"/>
  <c r="K2394" i="7949" s="1"/>
  <c r="E2556" i="7949"/>
  <c r="F2556" i="7949" s="1"/>
  <c r="G2556" i="7949" s="1"/>
  <c r="H2556" i="7949" s="1"/>
  <c r="I2556" i="7949" s="1"/>
  <c r="J2556" i="7949" s="1"/>
  <c r="K2556" i="7949" s="1"/>
  <c r="E1368" i="7949"/>
  <c r="F1368" i="7949" s="1"/>
  <c r="G1368" i="7949" s="1"/>
  <c r="H1368" i="7949" s="1"/>
  <c r="I1368" i="7949" s="1"/>
  <c r="J1368" i="7949" s="1"/>
  <c r="K1368" i="7949" s="1"/>
  <c r="E2178" i="7949"/>
  <c r="F2178" i="7949" s="1"/>
  <c r="G2178" i="7949" s="1"/>
  <c r="H2178" i="7949" s="1"/>
  <c r="I2178" i="7949" s="1"/>
  <c r="J2178" i="7949" s="1"/>
  <c r="K2178" i="7949" s="1"/>
  <c r="E2124" i="7949"/>
  <c r="F2124" i="7949" s="1"/>
  <c r="G2124" i="7949" s="1"/>
  <c r="H2124" i="7949" s="1"/>
  <c r="I2124" i="7949" s="1"/>
  <c r="J2124" i="7949" s="1"/>
  <c r="K2124" i="7949" s="1"/>
  <c r="G1697" i="7949"/>
  <c r="G1265" i="7949"/>
  <c r="G1157" i="7949"/>
  <c r="G455" i="7949"/>
  <c r="G779" i="7949"/>
  <c r="G401" i="7949"/>
  <c r="G725" i="7949"/>
  <c r="G2183" i="7949"/>
  <c r="G1751" i="7949"/>
  <c r="G2237" i="7949"/>
  <c r="G2291" i="7949"/>
  <c r="H10" i="7949"/>
  <c r="H726" i="7949" s="1"/>
  <c r="G2615" i="7949"/>
  <c r="G1049" i="7949"/>
  <c r="G1535" i="7949"/>
  <c r="G2507" i="7949"/>
  <c r="G1211" i="7949"/>
  <c r="G1967" i="7949"/>
  <c r="G509" i="7949"/>
  <c r="G1481" i="7949"/>
  <c r="G2075" i="7949"/>
  <c r="G941" i="7949"/>
  <c r="E18" i="7949"/>
  <c r="F18" i="7949" s="1"/>
  <c r="G18" i="7949" s="1"/>
  <c r="G1913" i="7949"/>
  <c r="G995" i="7949"/>
  <c r="G1859" i="7949"/>
  <c r="G1589" i="7949"/>
  <c r="G833" i="7949"/>
  <c r="G2399" i="7949"/>
  <c r="G2561" i="7949"/>
  <c r="G1805" i="7949"/>
  <c r="G887" i="7949"/>
  <c r="G1427" i="7949"/>
  <c r="G2669" i="7949"/>
  <c r="G1643" i="7949"/>
  <c r="G1373" i="7949"/>
  <c r="G2129" i="7949"/>
  <c r="G1319" i="7949"/>
  <c r="G2021" i="7949"/>
  <c r="G617" i="7949"/>
  <c r="G671" i="7949"/>
  <c r="G2453" i="7949"/>
  <c r="Q1536" i="7950"/>
  <c r="R1536" i="7950" s="1"/>
  <c r="P887" i="7950"/>
  <c r="Q887" i="7950" s="1"/>
  <c r="N2181" i="7950"/>
  <c r="O2181" i="7950" s="1"/>
  <c r="Q402" i="7950"/>
  <c r="R402" i="7950" s="1"/>
  <c r="Q2670" i="7950"/>
  <c r="R2670" i="7950" s="1"/>
  <c r="Q1914" i="7950"/>
  <c r="R1914" i="7950" s="1"/>
  <c r="N1047" i="7950"/>
  <c r="O1047" i="7950" s="1"/>
  <c r="N939" i="7950"/>
  <c r="O939" i="7950" s="1"/>
  <c r="O562" i="7950"/>
  <c r="P562" i="7950" s="1"/>
  <c r="N1857" i="7950"/>
  <c r="O1857" i="7950" s="1"/>
  <c r="O670" i="7950"/>
  <c r="P670" i="7950" s="1"/>
  <c r="N831" i="7950"/>
  <c r="O831" i="7950" s="1"/>
  <c r="Q2400" i="7950"/>
  <c r="R2400" i="7950" s="1"/>
  <c r="N2019" i="7950"/>
  <c r="O2019" i="7950" s="1"/>
  <c r="O1804" i="7950"/>
  <c r="P1804" i="7950" s="1"/>
  <c r="Q294" i="7950"/>
  <c r="R294" i="7950" s="1"/>
  <c r="Q780" i="7950"/>
  <c r="R780" i="7950" s="1"/>
  <c r="O1048" i="7950"/>
  <c r="P1048" i="7950" s="1"/>
  <c r="Q1212" i="7950"/>
  <c r="R1212" i="7950" s="1"/>
  <c r="O1858" i="7950"/>
  <c r="P1858" i="7950" s="1"/>
  <c r="Q888" i="7950"/>
  <c r="R888" i="7950" s="1"/>
  <c r="Q1428" i="7950"/>
  <c r="R1428" i="7950" s="1"/>
  <c r="Q1806" i="7950"/>
  <c r="R1806" i="7950" s="1"/>
  <c r="O508" i="7950"/>
  <c r="P508" i="7950" s="1"/>
  <c r="Q2238" i="7950"/>
  <c r="R2238" i="7950" s="1"/>
  <c r="O2614" i="7950"/>
  <c r="P2614" i="7950" s="1"/>
  <c r="O1480" i="7950"/>
  <c r="P1480" i="7950" s="1"/>
  <c r="N723" i="7950"/>
  <c r="O723" i="7950" s="1"/>
  <c r="Q1158" i="7950"/>
  <c r="R1158" i="7950" s="1"/>
  <c r="P509" i="7950"/>
  <c r="Q509" i="7950" s="1"/>
  <c r="N2559" i="7950"/>
  <c r="O2559" i="7950" s="1"/>
  <c r="Q186" i="7950"/>
  <c r="R186" i="7950" s="1"/>
  <c r="N615" i="7950"/>
  <c r="O615" i="7950" s="1"/>
  <c r="Q672" i="7950"/>
  <c r="R672" i="7950" s="1"/>
  <c r="Q1482" i="7950"/>
  <c r="R1482" i="7950" s="1"/>
  <c r="Q726" i="7950"/>
  <c r="R726" i="7950" s="1"/>
  <c r="Q564" i="7950"/>
  <c r="R564" i="7950" s="1"/>
  <c r="O1426" i="7950"/>
  <c r="P1426" i="7950" s="1"/>
  <c r="Q2346" i="7950"/>
  <c r="R2346" i="7950" s="1"/>
  <c r="P833" i="7950"/>
  <c r="Q833" i="7950" s="1"/>
  <c r="N1803" i="7950"/>
  <c r="O1803" i="7950" s="1"/>
  <c r="Q1968" i="7950"/>
  <c r="R1968" i="7950" s="1"/>
  <c r="Q834" i="7950"/>
  <c r="R834" i="7950" s="1"/>
  <c r="Q1644" i="7950"/>
  <c r="R1644" i="7950" s="1"/>
  <c r="N291" i="7950"/>
  <c r="O291" i="7950" s="1"/>
  <c r="Q2130" i="7950"/>
  <c r="R2130" i="7950" s="1"/>
  <c r="P1913" i="7950"/>
  <c r="Q1913" i="7950" s="1"/>
  <c r="P2507" i="7950"/>
  <c r="Q2507" i="7950" s="1"/>
  <c r="N1155" i="7950"/>
  <c r="O1155" i="7950" s="1"/>
  <c r="O2128" i="7950"/>
  <c r="P2128" i="7950" s="1"/>
  <c r="Q2022" i="7950"/>
  <c r="R2022" i="7950" s="1"/>
  <c r="O1912" i="7950"/>
  <c r="P1912" i="7950" s="1"/>
  <c r="Q2508" i="7950"/>
  <c r="R2508" i="7950" s="1"/>
  <c r="Q1050" i="7950"/>
  <c r="R1050" i="7950" s="1"/>
  <c r="Q2562" i="7950"/>
  <c r="R2562" i="7950" s="1"/>
  <c r="Q2292" i="7950"/>
  <c r="R2292" i="7950" s="1"/>
  <c r="O940" i="7950"/>
  <c r="P940" i="7950" s="1"/>
  <c r="Q996" i="7950"/>
  <c r="R996" i="7950" s="1"/>
  <c r="Q1860" i="7950"/>
  <c r="R1860" i="7950" s="1"/>
  <c r="N1479" i="7950"/>
  <c r="O1479" i="7950" s="1"/>
  <c r="Q502" i="7944"/>
  <c r="Q567" i="7944"/>
  <c r="R1182" i="7950"/>
  <c r="P1180" i="7950"/>
  <c r="R293" i="7950"/>
  <c r="R317" i="7950"/>
  <c r="S2075" i="7950"/>
  <c r="S2099" i="7950"/>
  <c r="R479" i="7950"/>
  <c r="R455" i="7950"/>
  <c r="R587" i="7950"/>
  <c r="R563" i="7950"/>
  <c r="R1019" i="7950"/>
  <c r="R995" i="7950"/>
  <c r="R2291" i="7950"/>
  <c r="R2315" i="7950"/>
  <c r="R2586" i="7950"/>
  <c r="R2316" i="7950"/>
  <c r="R1211" i="7950"/>
  <c r="R1235" i="7950"/>
  <c r="P964" i="7950"/>
  <c r="Q1937" i="7950"/>
  <c r="R1668" i="7950"/>
  <c r="P1504" i="7950"/>
  <c r="O315" i="7950"/>
  <c r="R2021" i="7950"/>
  <c r="R2045" i="7950"/>
  <c r="O639" i="7950"/>
  <c r="Q2098" i="7950"/>
  <c r="Q2074" i="7950"/>
  <c r="R1535" i="7950"/>
  <c r="R1559" i="7950"/>
  <c r="R588" i="7950"/>
  <c r="R2262" i="7950"/>
  <c r="P1450" i="7950"/>
  <c r="P2638" i="7950"/>
  <c r="R2154" i="7950"/>
  <c r="P532" i="7950"/>
  <c r="O1881" i="7950"/>
  <c r="R617" i="7950"/>
  <c r="R641" i="7950"/>
  <c r="Q264" i="7950"/>
  <c r="Q240" i="7950"/>
  <c r="R1967" i="7950"/>
  <c r="R1991" i="7950"/>
  <c r="P694" i="7950"/>
  <c r="O855" i="7950"/>
  <c r="R2424" i="7950"/>
  <c r="O2043" i="7950"/>
  <c r="P1828" i="7950"/>
  <c r="R318" i="7950"/>
  <c r="R804" i="7950"/>
  <c r="R1157" i="7950"/>
  <c r="R1181" i="7950"/>
  <c r="R2370" i="7950"/>
  <c r="P1072" i="7950"/>
  <c r="R1236" i="7950"/>
  <c r="P1882" i="7950"/>
  <c r="R912" i="7950"/>
  <c r="R1506" i="7950"/>
  <c r="R2453" i="7950"/>
  <c r="R2477" i="7950"/>
  <c r="Q857" i="7950"/>
  <c r="R1830" i="7950"/>
  <c r="O1827" i="7950"/>
  <c r="O1179" i="7950"/>
  <c r="O747" i="7950"/>
  <c r="P2152" i="7950"/>
  <c r="T1397" i="7950"/>
  <c r="T1373" i="7950"/>
  <c r="R1992" i="7950"/>
  <c r="Q2452" i="7950"/>
  <c r="Q2476" i="7950"/>
  <c r="R858" i="7950"/>
  <c r="S2454" i="7950"/>
  <c r="S2478" i="7950"/>
  <c r="R210" i="7950"/>
  <c r="N261" i="7950"/>
  <c r="N237" i="7950"/>
  <c r="O1071" i="7950"/>
  <c r="R2585" i="7950"/>
  <c r="R2561" i="7950"/>
  <c r="R534" i="7950"/>
  <c r="R1265" i="7950"/>
  <c r="R1289" i="7950"/>
  <c r="R480" i="7950"/>
  <c r="S1721" i="7950"/>
  <c r="S1697" i="7950"/>
  <c r="R155" i="7950"/>
  <c r="R131" i="7950"/>
  <c r="S209" i="7950"/>
  <c r="S185" i="7950"/>
  <c r="R1103" i="7950"/>
  <c r="R1127" i="7950"/>
  <c r="O76" i="7950"/>
  <c r="O100" i="7950"/>
  <c r="R371" i="7950"/>
  <c r="R347" i="7950"/>
  <c r="R1020" i="7950"/>
  <c r="R1884" i="7950"/>
  <c r="O1503" i="7950"/>
  <c r="T2693" i="7950"/>
  <c r="T2669" i="7950"/>
  <c r="S941" i="7950"/>
  <c r="S965" i="7950"/>
  <c r="R696" i="7950"/>
  <c r="Q2616" i="7950"/>
  <c r="R2616" i="7950" s="1"/>
  <c r="O1696" i="7950"/>
  <c r="P1696" i="7950" s="1"/>
  <c r="Q2076" i="7950"/>
  <c r="R2076" i="7950" s="1"/>
  <c r="O1372" i="7950"/>
  <c r="P1372" i="7950" s="1"/>
  <c r="T994" i="7950"/>
  <c r="T1018" i="7950"/>
  <c r="Q1374" i="7950"/>
  <c r="R1374" i="7950" s="1"/>
  <c r="Q1266" i="7950"/>
  <c r="R1266" i="7950" s="1"/>
  <c r="N1533" i="7950"/>
  <c r="O1533" i="7950" s="1"/>
  <c r="N1695" i="7950"/>
  <c r="O1695" i="7950" s="1"/>
  <c r="O1966" i="7950"/>
  <c r="P1966" i="7950" s="1"/>
  <c r="Q2184" i="7950"/>
  <c r="R2184" i="7950" s="1"/>
  <c r="P1049" i="7950"/>
  <c r="Q1049" i="7950" s="1"/>
  <c r="R1427" i="7950"/>
  <c r="R1451" i="7950"/>
  <c r="N1641" i="7950"/>
  <c r="O1641" i="7950" s="1"/>
  <c r="Q1590" i="7950"/>
  <c r="R1590" i="7950" s="1"/>
  <c r="N561" i="7950"/>
  <c r="O561" i="7950" s="1"/>
  <c r="O346" i="7950"/>
  <c r="P346" i="7950" s="1"/>
  <c r="R2399" i="7950"/>
  <c r="R2423" i="7950"/>
  <c r="P78" i="7950"/>
  <c r="Q78" i="7950" s="1"/>
  <c r="R78" i="7950" s="1"/>
  <c r="S78" i="7950" s="1"/>
  <c r="T78" i="7950" s="1"/>
  <c r="U78" i="7950" s="1"/>
  <c r="V78" i="7950" s="1"/>
  <c r="W78" i="7950" s="1"/>
  <c r="Q1698" i="7950"/>
  <c r="R1698" i="7950" s="1"/>
  <c r="Q348" i="7950"/>
  <c r="R348" i="7950" s="1"/>
  <c r="R1859" i="7950"/>
  <c r="R1883" i="7950"/>
  <c r="N399" i="7950"/>
  <c r="O399" i="7950" s="1"/>
  <c r="N507" i="7950"/>
  <c r="O507" i="7950" s="1"/>
  <c r="Q1752" i="7950"/>
  <c r="R1752" i="7950" s="1"/>
  <c r="Q1104" i="7950"/>
  <c r="R1104" i="7950" s="1"/>
  <c r="Q942" i="7950"/>
  <c r="R942" i="7950" s="1"/>
  <c r="N777" i="7950"/>
  <c r="O777" i="7950" s="1"/>
  <c r="N2397" i="7950"/>
  <c r="O2397" i="7950" s="1"/>
  <c r="Q618" i="7950"/>
  <c r="R618" i="7950" s="1"/>
  <c r="R749" i="7950"/>
  <c r="R725" i="7950"/>
  <c r="R156" i="7950"/>
  <c r="R132" i="7950"/>
  <c r="S1805" i="7950"/>
  <c r="S1829" i="7950"/>
  <c r="Q510" i="7950"/>
  <c r="R510" i="7950" s="1"/>
  <c r="O1156" i="7950"/>
  <c r="P1156" i="7950" s="1"/>
  <c r="Q456" i="7950"/>
  <c r="R456" i="7950" s="1"/>
  <c r="R779" i="7950"/>
  <c r="R803" i="7950"/>
  <c r="R2640" i="7950"/>
  <c r="P1720" i="7950"/>
  <c r="R2100" i="7950"/>
  <c r="R2345" i="7950"/>
  <c r="R2369" i="7950"/>
  <c r="R2237" i="7950"/>
  <c r="R2261" i="7950"/>
  <c r="P1396" i="7950"/>
  <c r="Q2531" i="7950"/>
  <c r="P77" i="7950"/>
  <c r="P101" i="7950"/>
  <c r="R1398" i="7950"/>
  <c r="R1613" i="7950"/>
  <c r="R1589" i="7950"/>
  <c r="R1290" i="7950"/>
  <c r="O1557" i="7950"/>
  <c r="O1719" i="7950"/>
  <c r="P1990" i="7950"/>
  <c r="R2208" i="7950"/>
  <c r="Q263" i="7950"/>
  <c r="Q239" i="7950"/>
  <c r="Q1073" i="7950"/>
  <c r="O1665" i="7950"/>
  <c r="R1614" i="7950"/>
  <c r="O585" i="7950"/>
  <c r="P370" i="7950"/>
  <c r="R1722" i="7950"/>
  <c r="T425" i="7950"/>
  <c r="T401" i="7950"/>
  <c r="R372" i="7950"/>
  <c r="O423" i="7950"/>
  <c r="O531" i="7950"/>
  <c r="R1505" i="7950"/>
  <c r="R1481" i="7950"/>
  <c r="P2582" i="7950"/>
  <c r="P2558" i="7950"/>
  <c r="T1102" i="7950"/>
  <c r="T1126" i="7950"/>
  <c r="R1776" i="7950"/>
  <c r="R1128" i="7950"/>
  <c r="R966" i="7950"/>
  <c r="O801" i="7950"/>
  <c r="O2421" i="7950"/>
  <c r="R642" i="7950"/>
  <c r="R695" i="7950"/>
  <c r="R671" i="7950"/>
  <c r="P962" i="7950"/>
  <c r="P938" i="7950"/>
  <c r="S2615" i="7950"/>
  <c r="S2639" i="7950"/>
  <c r="R1938" i="7950"/>
  <c r="R750" i="7950"/>
  <c r="R2183" i="7950"/>
  <c r="R2207" i="7950"/>
  <c r="R426" i="7950"/>
  <c r="R1560" i="7950"/>
  <c r="O2205" i="7950"/>
  <c r="Q533" i="7950"/>
  <c r="Q911" i="7950"/>
  <c r="O2583" i="7950"/>
  <c r="S2129" i="7950"/>
  <c r="S2153" i="7950"/>
  <c r="R2694" i="7950"/>
  <c r="R2046" i="7950"/>
  <c r="R1751" i="7950"/>
  <c r="R1775" i="7950"/>
  <c r="P1936" i="7950"/>
  <c r="O963" i="7950"/>
  <c r="R2532" i="7950"/>
  <c r="R1074" i="7950"/>
  <c r="P586" i="7950"/>
  <c r="S1667" i="7950"/>
  <c r="S1643" i="7950"/>
  <c r="R1452" i="7950"/>
  <c r="Q697" i="7944"/>
  <c r="Q619" i="7944"/>
  <c r="Q723" i="7944"/>
  <c r="Q606" i="7944"/>
  <c r="Q385" i="7944"/>
  <c r="Q684" i="7944"/>
  <c r="Q658" i="7944"/>
  <c r="Q671" i="7944"/>
  <c r="Q515" i="7944"/>
  <c r="Q489" i="7944"/>
  <c r="Q710" i="7944"/>
  <c r="Q749" i="7944"/>
  <c r="Q424" i="7944"/>
  <c r="Q541" i="7944"/>
  <c r="Q593" i="7944"/>
  <c r="Q632" i="7944"/>
  <c r="Q450" i="7944"/>
  <c r="Q242" i="7944"/>
  <c r="Q268" i="7944"/>
  <c r="Q372" i="7944"/>
  <c r="P1061" i="18"/>
  <c r="K149" i="7941"/>
  <c r="L755" i="18"/>
  <c r="L1121" i="18" s="1"/>
  <c r="L859" i="18" s="1"/>
  <c r="K1115" i="18"/>
  <c r="J353" i="7941"/>
  <c r="K39" i="7941"/>
  <c r="K155" i="7941"/>
  <c r="L761" i="18"/>
  <c r="L1127" i="18" s="1"/>
  <c r="L865" i="18" s="1"/>
  <c r="Q1070" i="18"/>
  <c r="Q1074" i="18"/>
  <c r="P1074" i="18"/>
  <c r="Q463" i="7942"/>
  <c r="Q464" i="7942" s="1"/>
  <c r="Q546" i="7941" s="1"/>
  <c r="O517" i="7942"/>
  <c r="P517" i="7942" s="1"/>
  <c r="Q517" i="7942" s="1"/>
  <c r="K518" i="7942"/>
  <c r="I520" i="7942"/>
  <c r="J520" i="7942"/>
  <c r="K519" i="7942"/>
  <c r="K520" i="7942" s="1"/>
  <c r="O512" i="7942"/>
  <c r="N518" i="7942"/>
  <c r="M515" i="7942"/>
  <c r="N515" i="7942" s="1"/>
  <c r="O515" i="7942" s="1"/>
  <c r="I521" i="7942"/>
  <c r="J521" i="7942" s="1"/>
  <c r="P510" i="7942"/>
  <c r="Q510" i="7942"/>
  <c r="Q569" i="7941" s="1"/>
  <c r="L518" i="7942"/>
  <c r="M518" i="7942"/>
  <c r="A525" i="7942"/>
  <c r="H523" i="7942"/>
  <c r="M513" i="7942"/>
  <c r="O510" i="7942"/>
  <c r="P511" i="7942"/>
  <c r="Q511" i="7942" s="1"/>
  <c r="Q456" i="7942"/>
  <c r="Q542" i="7941" s="1"/>
  <c r="Q450" i="7942"/>
  <c r="Q539" i="7941" s="1"/>
  <c r="Q440" i="7942"/>
  <c r="Q534" i="7941" s="1"/>
  <c r="Q452" i="7942"/>
  <c r="Q540" i="7941" s="1"/>
  <c r="Q438" i="7942"/>
  <c r="Q533" i="7941" s="1"/>
  <c r="P470" i="7942"/>
  <c r="Q470" i="7942"/>
  <c r="Q549" i="7941" s="1"/>
  <c r="Q506" i="7942"/>
  <c r="Q567" i="7941" s="1"/>
  <c r="P249" i="7942"/>
  <c r="K2659" i="7950"/>
  <c r="K2605" i="7950"/>
  <c r="K2551" i="7950"/>
  <c r="K2497" i="7950"/>
  <c r="K2443" i="7950"/>
  <c r="K2389" i="7950"/>
  <c r="K2335" i="7950"/>
  <c r="K2281" i="7950"/>
  <c r="K2227" i="7950"/>
  <c r="K2173" i="7950"/>
  <c r="K2119" i="7950"/>
  <c r="K2065" i="7950"/>
  <c r="K2011" i="7950"/>
  <c r="K1957" i="7950"/>
  <c r="K1903" i="7950"/>
  <c r="K1849" i="7950"/>
  <c r="K1795" i="7950"/>
  <c r="K1741" i="7950"/>
  <c r="K1687" i="7950"/>
  <c r="K1633" i="7950"/>
  <c r="K1579" i="7950"/>
  <c r="K1525" i="7950"/>
  <c r="K1471" i="7950"/>
  <c r="K1417" i="7950"/>
  <c r="K1363" i="7950"/>
  <c r="K1309" i="7950"/>
  <c r="K1255" i="7950"/>
  <c r="K1201" i="7950"/>
  <c r="K1147" i="7950"/>
  <c r="K1093" i="7950"/>
  <c r="K1039" i="7950"/>
  <c r="K985" i="7950"/>
  <c r="K931" i="7950"/>
  <c r="K877" i="7950"/>
  <c r="K823" i="7950"/>
  <c r="K769" i="7950"/>
  <c r="K715" i="7950"/>
  <c r="K661" i="7950"/>
  <c r="K607" i="7950"/>
  <c r="K553" i="7950"/>
  <c r="K499" i="7950"/>
  <c r="K445" i="7950"/>
  <c r="K391" i="7950"/>
  <c r="K337" i="7950"/>
  <c r="K283" i="7950"/>
  <c r="K229" i="7950"/>
  <c r="K175" i="7950"/>
  <c r="K2413" i="7950"/>
  <c r="K2305" i="7950"/>
  <c r="K1495" i="7950"/>
  <c r="K1279" i="7950"/>
  <c r="K1711" i="7950"/>
  <c r="K1225" i="7950"/>
  <c r="K577" i="7950"/>
  <c r="K253" i="7950"/>
  <c r="K1549" i="7950"/>
  <c r="K2359" i="7950"/>
  <c r="K1819" i="7950"/>
  <c r="K631" i="7950"/>
  <c r="K415" i="7950"/>
  <c r="K199" i="7950"/>
  <c r="K91" i="7950"/>
  <c r="K1171" i="7950"/>
  <c r="K2467" i="7950"/>
  <c r="K2143" i="7950"/>
  <c r="K1927" i="7950"/>
  <c r="K1333" i="7950"/>
  <c r="K739" i="7950"/>
  <c r="K2521" i="7950"/>
  <c r="K2089" i="7950"/>
  <c r="K1387" i="7950"/>
  <c r="K1765" i="7950"/>
  <c r="K2575" i="7950"/>
  <c r="K1603" i="7950"/>
  <c r="K523" i="7950"/>
  <c r="K307" i="7950"/>
  <c r="K955" i="7950"/>
  <c r="K1009" i="7950"/>
  <c r="K361" i="7950"/>
  <c r="K145" i="7950"/>
  <c r="K847" i="7950"/>
  <c r="K2683" i="7950"/>
  <c r="K2251" i="7950"/>
  <c r="K2035" i="7950"/>
  <c r="K1441" i="7950"/>
  <c r="K1117" i="7950"/>
  <c r="K901" i="7950"/>
  <c r="K1657" i="7950"/>
  <c r="K2629" i="7950"/>
  <c r="K2197" i="7950"/>
  <c r="K1981" i="7950"/>
  <c r="K1873" i="7950"/>
  <c r="K793" i="7950"/>
  <c r="K685" i="7950"/>
  <c r="K469" i="7950"/>
  <c r="K1063" i="7950"/>
  <c r="K37" i="7950"/>
  <c r="Q242" i="7942"/>
  <c r="Q468" i="7941" s="1"/>
  <c r="P207" i="7942"/>
  <c r="P221" i="7942"/>
  <c r="Q212" i="7942"/>
  <c r="Q213" i="7942" s="1"/>
  <c r="Q447" i="7941" s="1"/>
  <c r="Q218" i="7942"/>
  <c r="Q219" i="7942" s="1"/>
  <c r="Q450" i="7941" s="1"/>
  <c r="P201" i="7942"/>
  <c r="P229" i="7942"/>
  <c r="P197" i="7942"/>
  <c r="Q196" i="7942"/>
  <c r="Q197" i="7942" s="1"/>
  <c r="Q439" i="7941" s="1"/>
  <c r="Q259" i="7942"/>
  <c r="P259" i="7942"/>
  <c r="Q184" i="7942"/>
  <c r="Q185" i="7942" s="1"/>
  <c r="Q433" i="7941" s="1"/>
  <c r="Q1067" i="18"/>
  <c r="P257" i="7942"/>
  <c r="Q256" i="7942"/>
  <c r="Q257" i="7942" s="1"/>
  <c r="P195" i="7942"/>
  <c r="Q194" i="7942"/>
  <c r="Q195" i="7942" s="1"/>
  <c r="Q438" i="7941" s="1"/>
  <c r="Q226" i="7942"/>
  <c r="Q227" i="7942" s="1"/>
  <c r="Q454" i="7941" s="1"/>
  <c r="P227" i="7942"/>
  <c r="P263" i="7942"/>
  <c r="Q262" i="7942"/>
  <c r="Q263" i="7942" s="1"/>
  <c r="Q238" i="7942"/>
  <c r="Q464" i="7941" s="1"/>
  <c r="P239" i="7942"/>
  <c r="Q216" i="7942"/>
  <c r="Q217" i="7942" s="1"/>
  <c r="Q449" i="7941" s="1"/>
  <c r="P217" i="7942"/>
  <c r="Q188" i="7942"/>
  <c r="Q189" i="7942" s="1"/>
  <c r="Q435" i="7941" s="1"/>
  <c r="P189" i="7942"/>
  <c r="Q268" i="7942"/>
  <c r="Q269" i="7942" s="1"/>
  <c r="P269" i="7942"/>
  <c r="P187" i="7942"/>
  <c r="Q186" i="7942"/>
  <c r="Q187" i="7942" s="1"/>
  <c r="Q434" i="7941" s="1"/>
  <c r="Q198" i="7942"/>
  <c r="Q199" i="7942" s="1"/>
  <c r="Q440" i="7941" s="1"/>
  <c r="P199" i="7942"/>
  <c r="P225" i="7942"/>
  <c r="Q224" i="7942"/>
  <c r="Q225" i="7942" s="1"/>
  <c r="Q453" i="7941" s="1"/>
  <c r="P255" i="7942"/>
  <c r="Q254" i="7942"/>
  <c r="Q255" i="7942" s="1"/>
  <c r="Q208" i="7942"/>
  <c r="Q209" i="7942" s="1"/>
  <c r="Q445" i="7941" s="1"/>
  <c r="P209" i="7942"/>
  <c r="P223" i="7942"/>
  <c r="Q232" i="7942"/>
  <c r="Q458" i="7941" s="1"/>
  <c r="P237" i="7942"/>
  <c r="Q237" i="7942"/>
  <c r="Q463" i="7941" s="1"/>
  <c r="P267" i="7942"/>
  <c r="P241" i="7942"/>
  <c r="Q241" i="7942"/>
  <c r="Q467" i="7941" s="1"/>
  <c r="Q246" i="7942"/>
  <c r="Q472" i="7941" s="1"/>
  <c r="Q244" i="7942"/>
  <c r="P245" i="7942"/>
  <c r="P247" i="7942"/>
  <c r="P191" i="7942"/>
  <c r="Q190" i="7942"/>
  <c r="Q191" i="7942" s="1"/>
  <c r="Q436" i="7941" s="1"/>
  <c r="Q204" i="7942"/>
  <c r="Q205" i="7942" s="1"/>
  <c r="Q443" i="7941" s="1"/>
  <c r="P205" i="7942"/>
  <c r="P251" i="7942"/>
  <c r="Q250" i="7942"/>
  <c r="Q251" i="7942" s="1"/>
  <c r="Q1047" i="18"/>
  <c r="P231" i="7942"/>
  <c r="Q230" i="7942"/>
  <c r="Q456" i="7941" s="1"/>
  <c r="P235" i="7942"/>
  <c r="Q234" i="7942"/>
  <c r="Q1055" i="18"/>
  <c r="Q1048" i="18"/>
  <c r="Q1053" i="18"/>
  <c r="Q1058" i="18"/>
  <c r="Q1051" i="18"/>
  <c r="Q1059" i="18"/>
  <c r="Q1046" i="18"/>
  <c r="Q1056" i="18"/>
  <c r="Q1043" i="18"/>
  <c r="Q1062" i="18"/>
  <c r="Q1080" i="18"/>
  <c r="Q1071" i="18"/>
  <c r="Q1081" i="18"/>
  <c r="Q1078" i="18"/>
  <c r="Q1064" i="18"/>
  <c r="Q249" i="7942"/>
  <c r="Q475" i="7941" s="1"/>
  <c r="Q474" i="7941"/>
  <c r="P253" i="7942"/>
  <c r="Q252" i="7942"/>
  <c r="P60" i="7941"/>
  <c r="P59" i="7941" s="1"/>
  <c r="P769" i="18"/>
  <c r="Q770" i="18"/>
  <c r="Q11" i="18"/>
  <c r="L842" i="18"/>
  <c r="L841" i="18"/>
  <c r="L836" i="18"/>
  <c r="L851" i="18"/>
  <c r="L835" i="18"/>
  <c r="L846" i="18"/>
  <c r="L830" i="18"/>
  <c r="L845" i="18"/>
  <c r="L829" i="18"/>
  <c r="L840" i="18"/>
  <c r="L839" i="18"/>
  <c r="L850" i="18"/>
  <c r="L834" i="18"/>
  <c r="L849" i="18"/>
  <c r="L833" i="18"/>
  <c r="L844" i="18"/>
  <c r="L843" i="18"/>
  <c r="L838" i="18"/>
  <c r="L837" i="18"/>
  <c r="L848" i="18"/>
  <c r="L832" i="18"/>
  <c r="L847" i="18"/>
  <c r="L831" i="18"/>
  <c r="K161" i="7941"/>
  <c r="L767" i="18"/>
  <c r="L1133" i="18" s="1"/>
  <c r="L858" i="18"/>
  <c r="L869" i="18"/>
  <c r="L870" i="18"/>
  <c r="L861" i="18"/>
  <c r="L864" i="18"/>
  <c r="K352" i="7941"/>
  <c r="L38" i="7941"/>
  <c r="L868" i="18"/>
  <c r="L857" i="18"/>
  <c r="L863" i="18"/>
  <c r="L862" i="18"/>
  <c r="L856" i="18"/>
  <c r="L854" i="18"/>
  <c r="L867" i="18"/>
  <c r="L860" i="18"/>
  <c r="L855" i="18"/>
  <c r="L866" i="18"/>
  <c r="H2184" i="7949" l="1"/>
  <c r="H18" i="7949"/>
  <c r="V29" i="7950"/>
  <c r="W29" i="7950" s="1"/>
  <c r="H126" i="7949"/>
  <c r="H1698" i="7949"/>
  <c r="S26" i="7950"/>
  <c r="T26" i="7950" s="1"/>
  <c r="U26" i="7950" s="1"/>
  <c r="V26" i="7950" s="1"/>
  <c r="W26" i="7950" s="1"/>
  <c r="L121" i="7950"/>
  <c r="H72" i="7949"/>
  <c r="H180" i="7949"/>
  <c r="T27" i="7950"/>
  <c r="U27" i="7950" s="1"/>
  <c r="V27" i="7950" s="1"/>
  <c r="W27" i="7950" s="1"/>
  <c r="Q722" i="7950"/>
  <c r="Q746" i="7950"/>
  <c r="Q560" i="7950"/>
  <c r="Q584" i="7950"/>
  <c r="S2314" i="7950"/>
  <c r="S2290" i="7950"/>
  <c r="S2422" i="7950"/>
  <c r="S2398" i="7950"/>
  <c r="Q2667" i="7950"/>
  <c r="Q2691" i="7950"/>
  <c r="Q1802" i="7950"/>
  <c r="Q1826" i="7950"/>
  <c r="Q1070" i="7950"/>
  <c r="Q1046" i="7950"/>
  <c r="Q368" i="7950"/>
  <c r="Q2450" i="7950"/>
  <c r="Q2474" i="7950"/>
  <c r="Q1856" i="7950"/>
  <c r="Q1880" i="7950"/>
  <c r="Q99" i="7950"/>
  <c r="Q75" i="7950"/>
  <c r="V1346" i="7950"/>
  <c r="V1322" i="7950"/>
  <c r="Q1586" i="7950"/>
  <c r="Q1610" i="7950"/>
  <c r="R910" i="7950"/>
  <c r="R886" i="7950"/>
  <c r="Q2396" i="7950"/>
  <c r="Q2420" i="7950"/>
  <c r="S748" i="7950"/>
  <c r="S724" i="7950"/>
  <c r="R1425" i="7950"/>
  <c r="R1449" i="7950"/>
  <c r="S130" i="7950"/>
  <c r="S154" i="7950"/>
  <c r="Q422" i="7950"/>
  <c r="Q398" i="7950"/>
  <c r="H2076" i="7949"/>
  <c r="U28" i="7950"/>
  <c r="V28" i="7950" s="1"/>
  <c r="W28" i="7950" s="1"/>
  <c r="Q1989" i="7950"/>
  <c r="Q1965" i="7950"/>
  <c r="Q800" i="7950"/>
  <c r="Q776" i="7950"/>
  <c r="R2637" i="7950"/>
  <c r="R2613" i="7950"/>
  <c r="Q1448" i="7950"/>
  <c r="Q1424" i="7950"/>
  <c r="R262" i="7950"/>
  <c r="R238" i="7950"/>
  <c r="S478" i="7950"/>
  <c r="S454" i="7950"/>
  <c r="Q669" i="7950"/>
  <c r="Q693" i="7950"/>
  <c r="Q2180" i="7950"/>
  <c r="Q2204" i="7950"/>
  <c r="Q1016" i="7950"/>
  <c r="Q992" i="7950"/>
  <c r="S292" i="7950"/>
  <c r="S316" i="7950"/>
  <c r="S1210" i="7950"/>
  <c r="S1234" i="7950"/>
  <c r="Q2342" i="7950"/>
  <c r="Q2366" i="7950"/>
  <c r="R2097" i="7950"/>
  <c r="R2073" i="7950"/>
  <c r="R2289" i="7950"/>
  <c r="R2313" i="7950"/>
  <c r="S2260" i="7950"/>
  <c r="S2236" i="7950"/>
  <c r="Q452" i="7950"/>
  <c r="Q476" i="7950"/>
  <c r="Q1694" i="7950"/>
  <c r="Q1718" i="7950"/>
  <c r="Q314" i="7950"/>
  <c r="Q2096" i="7950"/>
  <c r="Q2072" i="7950"/>
  <c r="H2670" i="7949"/>
  <c r="Q2042" i="7950"/>
  <c r="Q2018" i="7950"/>
  <c r="R1750" i="7950"/>
  <c r="R1774" i="7950"/>
  <c r="Q206" i="7950"/>
  <c r="S424" i="7950"/>
  <c r="S400" i="7950"/>
  <c r="Q2312" i="7950"/>
  <c r="Q2288" i="7950"/>
  <c r="Q2528" i="7950"/>
  <c r="Q2504" i="7950"/>
  <c r="Q2151" i="7950"/>
  <c r="Q2127" i="7950"/>
  <c r="Q884" i="7950"/>
  <c r="Q908" i="7950"/>
  <c r="Q207" i="7950"/>
  <c r="Q183" i="7950"/>
  <c r="Q1154" i="7950"/>
  <c r="Q1178" i="7950"/>
  <c r="Q1964" i="7950"/>
  <c r="Q1988" i="7950"/>
  <c r="Q2636" i="7950"/>
  <c r="Q2612" i="7950"/>
  <c r="P98" i="7950"/>
  <c r="Q1772" i="7950"/>
  <c r="Q1748" i="7950"/>
  <c r="R2584" i="7950"/>
  <c r="R2560" i="7950"/>
  <c r="Q1664" i="7950"/>
  <c r="Q1640" i="7950"/>
  <c r="S1666" i="7950"/>
  <c r="S1642" i="7950"/>
  <c r="Q530" i="7950"/>
  <c r="Q506" i="7950"/>
  <c r="R885" i="7950"/>
  <c r="R909" i="7950"/>
  <c r="R640" i="7950"/>
  <c r="R616" i="7950"/>
  <c r="R1612" i="7950"/>
  <c r="R1588" i="7950"/>
  <c r="Q1262" i="7950"/>
  <c r="Q1286" i="7950"/>
  <c r="Q2234" i="7950"/>
  <c r="Q2258" i="7950"/>
  <c r="Q2150" i="7950"/>
  <c r="Q2126" i="7950"/>
  <c r="Q993" i="7950"/>
  <c r="Q1017" i="7950"/>
  <c r="R2505" i="7950"/>
  <c r="R2529" i="7950"/>
  <c r="V1345" i="7950"/>
  <c r="V1321" i="7950"/>
  <c r="W1347" i="7950"/>
  <c r="W1323" i="7950"/>
  <c r="R453" i="7950"/>
  <c r="R477" i="7950"/>
  <c r="S802" i="7950"/>
  <c r="S778" i="7950"/>
  <c r="R1395" i="7950"/>
  <c r="R1371" i="7950"/>
  <c r="S1534" i="7950"/>
  <c r="S1558" i="7950"/>
  <c r="H780" i="7949"/>
  <c r="H2400" i="7949"/>
  <c r="R2368" i="7950"/>
  <c r="R2344" i="7950"/>
  <c r="R2506" i="7950"/>
  <c r="R2530" i="7950"/>
  <c r="R153" i="7950"/>
  <c r="R129" i="7950"/>
  <c r="Q1209" i="7950"/>
  <c r="Q1233" i="7950"/>
  <c r="R1911" i="7950"/>
  <c r="R1935" i="7950"/>
  <c r="R2475" i="7950"/>
  <c r="R2451" i="7950"/>
  <c r="Q1532" i="7950"/>
  <c r="Q1556" i="7950"/>
  <c r="R1611" i="7950"/>
  <c r="R1587" i="7950"/>
  <c r="S2692" i="7950"/>
  <c r="S2668" i="7950"/>
  <c r="Q2666" i="7950"/>
  <c r="Q2690" i="7950"/>
  <c r="R2367" i="7950"/>
  <c r="R2343" i="7950"/>
  <c r="R1287" i="7950"/>
  <c r="R1263" i="7950"/>
  <c r="S184" i="7950"/>
  <c r="S208" i="7950"/>
  <c r="Q1125" i="7950"/>
  <c r="Q1101" i="7950"/>
  <c r="Q692" i="7950"/>
  <c r="Q668" i="7950"/>
  <c r="R1264" i="7950"/>
  <c r="R1288" i="7950"/>
  <c r="Q830" i="7950"/>
  <c r="Q854" i="7950"/>
  <c r="Q1370" i="7950"/>
  <c r="Q1394" i="7950"/>
  <c r="R25" i="7950"/>
  <c r="S25" i="7950" s="1"/>
  <c r="T25" i="7950" s="1"/>
  <c r="U25" i="7950" s="1"/>
  <c r="V25" i="7950" s="1"/>
  <c r="W25" i="7950" s="1"/>
  <c r="R1749" i="7950"/>
  <c r="R1773" i="7950"/>
  <c r="R369" i="7950"/>
  <c r="R345" i="7950"/>
  <c r="R2235" i="7950"/>
  <c r="R2259" i="7950"/>
  <c r="Q1124" i="7950"/>
  <c r="Q1100" i="7950"/>
  <c r="Q1934" i="7950"/>
  <c r="Q1910" i="7950"/>
  <c r="Q638" i="7950"/>
  <c r="Q614" i="7950"/>
  <c r="Q1232" i="7950"/>
  <c r="Q1208" i="7950"/>
  <c r="S2206" i="7950"/>
  <c r="S2182" i="7950"/>
  <c r="W30" i="7950"/>
  <c r="R856" i="7950"/>
  <c r="R832" i="7950"/>
  <c r="R2020" i="7950"/>
  <c r="R2044" i="7950"/>
  <c r="P260" i="7950"/>
  <c r="Q1502" i="7950"/>
  <c r="Q1478" i="7950"/>
  <c r="Q152" i="7950"/>
  <c r="E2364" i="7949"/>
  <c r="F2364" i="7949" s="1"/>
  <c r="G2364" i="7949" s="1"/>
  <c r="H2364" i="7949" s="1"/>
  <c r="I2364" i="7949" s="1"/>
  <c r="J2364" i="7949" s="1"/>
  <c r="K2364" i="7949" s="1"/>
  <c r="L2364" i="7949" s="1"/>
  <c r="E1824" i="7949"/>
  <c r="F1824" i="7949" s="1"/>
  <c r="G1824" i="7949" s="1"/>
  <c r="H1824" i="7949" s="1"/>
  <c r="I1824" i="7949" s="1"/>
  <c r="J1824" i="7949" s="1"/>
  <c r="K1824" i="7949" s="1"/>
  <c r="L1824" i="7949" s="1"/>
  <c r="E150" i="7949"/>
  <c r="F150" i="7949" s="1"/>
  <c r="G150" i="7949" s="1"/>
  <c r="H150" i="7949" s="1"/>
  <c r="I150" i="7949" s="1"/>
  <c r="J150" i="7949" s="1"/>
  <c r="K150" i="7949" s="1"/>
  <c r="L150" i="7949" s="1"/>
  <c r="E1770" i="7949"/>
  <c r="F1770" i="7949" s="1"/>
  <c r="G1770" i="7949" s="1"/>
  <c r="H1770" i="7949" s="1"/>
  <c r="I1770" i="7949" s="1"/>
  <c r="J1770" i="7949" s="1"/>
  <c r="K1770" i="7949" s="1"/>
  <c r="L1770" i="7949" s="1"/>
  <c r="E1446" i="7949"/>
  <c r="F1446" i="7949" s="1"/>
  <c r="G1446" i="7949" s="1"/>
  <c r="H1446" i="7949" s="1"/>
  <c r="I1446" i="7949" s="1"/>
  <c r="J1446" i="7949" s="1"/>
  <c r="K1446" i="7949" s="1"/>
  <c r="L1446" i="7949" s="1"/>
  <c r="E690" i="7949"/>
  <c r="F690" i="7949" s="1"/>
  <c r="G690" i="7949" s="1"/>
  <c r="H690" i="7949" s="1"/>
  <c r="I690" i="7949" s="1"/>
  <c r="J690" i="7949" s="1"/>
  <c r="K690" i="7949" s="1"/>
  <c r="L690" i="7949" s="1"/>
  <c r="E2094" i="7949"/>
  <c r="F2094" i="7949" s="1"/>
  <c r="G2094" i="7949" s="1"/>
  <c r="H2094" i="7949" s="1"/>
  <c r="I2094" i="7949" s="1"/>
  <c r="J2094" i="7949" s="1"/>
  <c r="K2094" i="7949" s="1"/>
  <c r="L2094" i="7949" s="1"/>
  <c r="E1284" i="7949"/>
  <c r="F1284" i="7949" s="1"/>
  <c r="G1284" i="7949" s="1"/>
  <c r="H1284" i="7949" s="1"/>
  <c r="I1284" i="7949" s="1"/>
  <c r="J1284" i="7949" s="1"/>
  <c r="K1284" i="7949" s="1"/>
  <c r="L1284" i="7949" s="1"/>
  <c r="E1176" i="7949"/>
  <c r="F1176" i="7949" s="1"/>
  <c r="G1176" i="7949" s="1"/>
  <c r="H1176" i="7949" s="1"/>
  <c r="I1176" i="7949" s="1"/>
  <c r="J1176" i="7949" s="1"/>
  <c r="K1176" i="7949" s="1"/>
  <c r="L1176" i="7949" s="1"/>
  <c r="E906" i="7949"/>
  <c r="F906" i="7949" s="1"/>
  <c r="G906" i="7949" s="1"/>
  <c r="H906" i="7949" s="1"/>
  <c r="I906" i="7949" s="1"/>
  <c r="J906" i="7949" s="1"/>
  <c r="K906" i="7949" s="1"/>
  <c r="L906" i="7949" s="1"/>
  <c r="E852" i="7949"/>
  <c r="F852" i="7949" s="1"/>
  <c r="G852" i="7949" s="1"/>
  <c r="H852" i="7949" s="1"/>
  <c r="I852" i="7949" s="1"/>
  <c r="J852" i="7949" s="1"/>
  <c r="K852" i="7949" s="1"/>
  <c r="L852" i="7949" s="1"/>
  <c r="E1986" i="7949"/>
  <c r="F1986" i="7949" s="1"/>
  <c r="G1986" i="7949" s="1"/>
  <c r="H1986" i="7949" s="1"/>
  <c r="I1986" i="7949" s="1"/>
  <c r="J1986" i="7949" s="1"/>
  <c r="K1986" i="7949" s="1"/>
  <c r="L1986" i="7949" s="1"/>
  <c r="E2040" i="7949"/>
  <c r="F2040" i="7949" s="1"/>
  <c r="G2040" i="7949" s="1"/>
  <c r="H2040" i="7949" s="1"/>
  <c r="I2040" i="7949" s="1"/>
  <c r="J2040" i="7949" s="1"/>
  <c r="K2040" i="7949" s="1"/>
  <c r="L2040" i="7949" s="1"/>
  <c r="E2634" i="7949"/>
  <c r="F2634" i="7949" s="1"/>
  <c r="G2634" i="7949" s="1"/>
  <c r="H2634" i="7949" s="1"/>
  <c r="I2634" i="7949" s="1"/>
  <c r="J2634" i="7949" s="1"/>
  <c r="K2634" i="7949" s="1"/>
  <c r="L2634" i="7949" s="1"/>
  <c r="E636" i="7949"/>
  <c r="F636" i="7949" s="1"/>
  <c r="G636" i="7949" s="1"/>
  <c r="H636" i="7949" s="1"/>
  <c r="I636" i="7949" s="1"/>
  <c r="J636" i="7949" s="1"/>
  <c r="K636" i="7949" s="1"/>
  <c r="L636" i="7949" s="1"/>
  <c r="E2688" i="7949"/>
  <c r="F2688" i="7949" s="1"/>
  <c r="G2688" i="7949" s="1"/>
  <c r="H2688" i="7949" s="1"/>
  <c r="I2688" i="7949" s="1"/>
  <c r="J2688" i="7949" s="1"/>
  <c r="K2688" i="7949" s="1"/>
  <c r="L2688" i="7949" s="1"/>
  <c r="E2310" i="7949"/>
  <c r="F2310" i="7949" s="1"/>
  <c r="G2310" i="7949" s="1"/>
  <c r="H2310" i="7949" s="1"/>
  <c r="I2310" i="7949" s="1"/>
  <c r="J2310" i="7949" s="1"/>
  <c r="K2310" i="7949" s="1"/>
  <c r="L2310" i="7949" s="1"/>
  <c r="E1122" i="7949"/>
  <c r="F1122" i="7949" s="1"/>
  <c r="G1122" i="7949" s="1"/>
  <c r="H1122" i="7949" s="1"/>
  <c r="I1122" i="7949" s="1"/>
  <c r="J1122" i="7949" s="1"/>
  <c r="K1122" i="7949" s="1"/>
  <c r="L1122" i="7949" s="1"/>
  <c r="E1500" i="7949"/>
  <c r="F1500" i="7949" s="1"/>
  <c r="G1500" i="7949" s="1"/>
  <c r="H1500" i="7949" s="1"/>
  <c r="I1500" i="7949" s="1"/>
  <c r="J1500" i="7949" s="1"/>
  <c r="K1500" i="7949" s="1"/>
  <c r="L1500" i="7949" s="1"/>
  <c r="E2526" i="7949"/>
  <c r="F2526" i="7949" s="1"/>
  <c r="G2526" i="7949" s="1"/>
  <c r="H2526" i="7949" s="1"/>
  <c r="I2526" i="7949" s="1"/>
  <c r="J2526" i="7949" s="1"/>
  <c r="K2526" i="7949" s="1"/>
  <c r="L2526" i="7949" s="1"/>
  <c r="E1338" i="7949"/>
  <c r="F1338" i="7949" s="1"/>
  <c r="G1338" i="7949" s="1"/>
  <c r="H1338" i="7949" s="1"/>
  <c r="I1338" i="7949" s="1"/>
  <c r="J1338" i="7949" s="1"/>
  <c r="K1338" i="7949" s="1"/>
  <c r="L1338" i="7949" s="1"/>
  <c r="E474" i="7949"/>
  <c r="F474" i="7949" s="1"/>
  <c r="G474" i="7949" s="1"/>
  <c r="H474" i="7949" s="1"/>
  <c r="I474" i="7949" s="1"/>
  <c r="J474" i="7949" s="1"/>
  <c r="K474" i="7949" s="1"/>
  <c r="L474" i="7949" s="1"/>
  <c r="E2256" i="7949"/>
  <c r="F2256" i="7949" s="1"/>
  <c r="G2256" i="7949" s="1"/>
  <c r="H2256" i="7949" s="1"/>
  <c r="I2256" i="7949" s="1"/>
  <c r="J2256" i="7949" s="1"/>
  <c r="K2256" i="7949" s="1"/>
  <c r="L2256" i="7949" s="1"/>
  <c r="E798" i="7949"/>
  <c r="F798" i="7949" s="1"/>
  <c r="G798" i="7949" s="1"/>
  <c r="H798" i="7949" s="1"/>
  <c r="I798" i="7949" s="1"/>
  <c r="J798" i="7949" s="1"/>
  <c r="K798" i="7949" s="1"/>
  <c r="L798" i="7949" s="1"/>
  <c r="E960" i="7949"/>
  <c r="F960" i="7949" s="1"/>
  <c r="G960" i="7949" s="1"/>
  <c r="H960" i="7949" s="1"/>
  <c r="I960" i="7949" s="1"/>
  <c r="J960" i="7949" s="1"/>
  <c r="K960" i="7949" s="1"/>
  <c r="L960" i="7949" s="1"/>
  <c r="E312" i="7949"/>
  <c r="F312" i="7949" s="1"/>
  <c r="G312" i="7949" s="1"/>
  <c r="H312" i="7949" s="1"/>
  <c r="I312" i="7949" s="1"/>
  <c r="J312" i="7949" s="1"/>
  <c r="K312" i="7949" s="1"/>
  <c r="L312" i="7949" s="1"/>
  <c r="E2472" i="7949"/>
  <c r="F2472" i="7949" s="1"/>
  <c r="G2472" i="7949" s="1"/>
  <c r="H2472" i="7949" s="1"/>
  <c r="I2472" i="7949" s="1"/>
  <c r="J2472" i="7949" s="1"/>
  <c r="K2472" i="7949" s="1"/>
  <c r="L2472" i="7949" s="1"/>
  <c r="E96" i="7949"/>
  <c r="F96" i="7949" s="1"/>
  <c r="G96" i="7949" s="1"/>
  <c r="H96" i="7949" s="1"/>
  <c r="I96" i="7949" s="1"/>
  <c r="J96" i="7949" s="1"/>
  <c r="K96" i="7949" s="1"/>
  <c r="L96" i="7949" s="1"/>
  <c r="E1014" i="7949"/>
  <c r="F1014" i="7949" s="1"/>
  <c r="G1014" i="7949" s="1"/>
  <c r="H1014" i="7949" s="1"/>
  <c r="I1014" i="7949" s="1"/>
  <c r="J1014" i="7949" s="1"/>
  <c r="K1014" i="7949" s="1"/>
  <c r="L1014" i="7949" s="1"/>
  <c r="E744" i="7949"/>
  <c r="F744" i="7949" s="1"/>
  <c r="G744" i="7949" s="1"/>
  <c r="H744" i="7949" s="1"/>
  <c r="I744" i="7949" s="1"/>
  <c r="J744" i="7949" s="1"/>
  <c r="K744" i="7949" s="1"/>
  <c r="L744" i="7949" s="1"/>
  <c r="E420" i="7949"/>
  <c r="F420" i="7949" s="1"/>
  <c r="G420" i="7949" s="1"/>
  <c r="H420" i="7949" s="1"/>
  <c r="I420" i="7949" s="1"/>
  <c r="J420" i="7949" s="1"/>
  <c r="K420" i="7949" s="1"/>
  <c r="L420" i="7949" s="1"/>
  <c r="E1554" i="7949"/>
  <c r="F1554" i="7949" s="1"/>
  <c r="G1554" i="7949" s="1"/>
  <c r="H1554" i="7949" s="1"/>
  <c r="I1554" i="7949" s="1"/>
  <c r="J1554" i="7949" s="1"/>
  <c r="K1554" i="7949" s="1"/>
  <c r="L1554" i="7949" s="1"/>
  <c r="E1608" i="7949"/>
  <c r="F1608" i="7949" s="1"/>
  <c r="G1608" i="7949" s="1"/>
  <c r="H1608" i="7949" s="1"/>
  <c r="I1608" i="7949" s="1"/>
  <c r="J1608" i="7949" s="1"/>
  <c r="K1608" i="7949" s="1"/>
  <c r="L1608" i="7949" s="1"/>
  <c r="E1932" i="7949"/>
  <c r="F1932" i="7949" s="1"/>
  <c r="G1932" i="7949" s="1"/>
  <c r="H1932" i="7949" s="1"/>
  <c r="I1932" i="7949" s="1"/>
  <c r="J1932" i="7949" s="1"/>
  <c r="K1932" i="7949" s="1"/>
  <c r="L1932" i="7949" s="1"/>
  <c r="E366" i="7949"/>
  <c r="F366" i="7949" s="1"/>
  <c r="G366" i="7949" s="1"/>
  <c r="H366" i="7949" s="1"/>
  <c r="I366" i="7949" s="1"/>
  <c r="J366" i="7949" s="1"/>
  <c r="K366" i="7949" s="1"/>
  <c r="L366" i="7949" s="1"/>
  <c r="E204" i="7949"/>
  <c r="F204" i="7949" s="1"/>
  <c r="G204" i="7949" s="1"/>
  <c r="H204" i="7949" s="1"/>
  <c r="I204" i="7949" s="1"/>
  <c r="J204" i="7949" s="1"/>
  <c r="K204" i="7949" s="1"/>
  <c r="L204" i="7949" s="1"/>
  <c r="H1968" i="7949"/>
  <c r="E2148" i="7949"/>
  <c r="F2148" i="7949" s="1"/>
  <c r="G2148" i="7949" s="1"/>
  <c r="H2148" i="7949" s="1"/>
  <c r="I2148" i="7949" s="1"/>
  <c r="J2148" i="7949" s="1"/>
  <c r="K2148" i="7949" s="1"/>
  <c r="L2148" i="7949" s="1"/>
  <c r="E1392" i="7949"/>
  <c r="F1392" i="7949" s="1"/>
  <c r="G1392" i="7949" s="1"/>
  <c r="H1392" i="7949" s="1"/>
  <c r="I1392" i="7949" s="1"/>
  <c r="J1392" i="7949" s="1"/>
  <c r="K1392" i="7949" s="1"/>
  <c r="L1392" i="7949" s="1"/>
  <c r="E2418" i="7949"/>
  <c r="F2418" i="7949" s="1"/>
  <c r="G2418" i="7949" s="1"/>
  <c r="H2418" i="7949" s="1"/>
  <c r="I2418" i="7949" s="1"/>
  <c r="J2418" i="7949" s="1"/>
  <c r="K2418" i="7949" s="1"/>
  <c r="L2418" i="7949" s="1"/>
  <c r="E258" i="7949"/>
  <c r="F258" i="7949" s="1"/>
  <c r="G258" i="7949" s="1"/>
  <c r="H258" i="7949" s="1"/>
  <c r="I258" i="7949" s="1"/>
  <c r="J258" i="7949" s="1"/>
  <c r="K258" i="7949" s="1"/>
  <c r="L258" i="7949" s="1"/>
  <c r="E582" i="7949"/>
  <c r="F582" i="7949" s="1"/>
  <c r="G582" i="7949" s="1"/>
  <c r="H582" i="7949" s="1"/>
  <c r="I582" i="7949" s="1"/>
  <c r="J582" i="7949" s="1"/>
  <c r="K582" i="7949" s="1"/>
  <c r="L582" i="7949" s="1"/>
  <c r="E1230" i="7949"/>
  <c r="F1230" i="7949" s="1"/>
  <c r="G1230" i="7949" s="1"/>
  <c r="H1230" i="7949" s="1"/>
  <c r="I1230" i="7949" s="1"/>
  <c r="J1230" i="7949" s="1"/>
  <c r="K1230" i="7949" s="1"/>
  <c r="L1230" i="7949" s="1"/>
  <c r="E1878" i="7949"/>
  <c r="F1878" i="7949" s="1"/>
  <c r="G1878" i="7949" s="1"/>
  <c r="H1878" i="7949" s="1"/>
  <c r="I1878" i="7949" s="1"/>
  <c r="J1878" i="7949" s="1"/>
  <c r="K1878" i="7949" s="1"/>
  <c r="L1878" i="7949" s="1"/>
  <c r="H1482" i="7949"/>
  <c r="H888" i="7949"/>
  <c r="H1806" i="7949"/>
  <c r="E2202" i="7949"/>
  <c r="F2202" i="7949" s="1"/>
  <c r="G2202" i="7949" s="1"/>
  <c r="H2202" i="7949" s="1"/>
  <c r="I2202" i="7949" s="1"/>
  <c r="J2202" i="7949" s="1"/>
  <c r="K2202" i="7949" s="1"/>
  <c r="L2202" i="7949" s="1"/>
  <c r="E2580" i="7949"/>
  <c r="F2580" i="7949" s="1"/>
  <c r="G2580" i="7949" s="1"/>
  <c r="H2580" i="7949" s="1"/>
  <c r="I2580" i="7949" s="1"/>
  <c r="J2580" i="7949" s="1"/>
  <c r="K2580" i="7949" s="1"/>
  <c r="L2580" i="7949" s="1"/>
  <c r="E1068" i="7949"/>
  <c r="F1068" i="7949" s="1"/>
  <c r="G1068" i="7949" s="1"/>
  <c r="H1068" i="7949" s="1"/>
  <c r="I1068" i="7949" s="1"/>
  <c r="J1068" i="7949" s="1"/>
  <c r="K1068" i="7949" s="1"/>
  <c r="L1068" i="7949" s="1"/>
  <c r="E1716" i="7949"/>
  <c r="F1716" i="7949" s="1"/>
  <c r="G1716" i="7949" s="1"/>
  <c r="H1716" i="7949" s="1"/>
  <c r="I1716" i="7949" s="1"/>
  <c r="J1716" i="7949" s="1"/>
  <c r="K1716" i="7949" s="1"/>
  <c r="L1716" i="7949" s="1"/>
  <c r="E528" i="7949"/>
  <c r="F528" i="7949" s="1"/>
  <c r="G528" i="7949" s="1"/>
  <c r="H528" i="7949" s="1"/>
  <c r="I528" i="7949" s="1"/>
  <c r="J528" i="7949" s="1"/>
  <c r="K528" i="7949" s="1"/>
  <c r="L528" i="7949" s="1"/>
  <c r="E1662" i="7949"/>
  <c r="F1662" i="7949" s="1"/>
  <c r="G1662" i="7949" s="1"/>
  <c r="H1662" i="7949" s="1"/>
  <c r="I1662" i="7949" s="1"/>
  <c r="J1662" i="7949" s="1"/>
  <c r="K1662" i="7949" s="1"/>
  <c r="L1662" i="7949" s="1"/>
  <c r="E42" i="7949"/>
  <c r="F42" i="7949" s="1"/>
  <c r="G42" i="7949" s="1"/>
  <c r="H42" i="7949" s="1"/>
  <c r="I42" i="7949" s="1"/>
  <c r="J42" i="7949" s="1"/>
  <c r="K42" i="7949" s="1"/>
  <c r="L42" i="7949" s="1"/>
  <c r="H2130" i="7949"/>
  <c r="H2562" i="7949"/>
  <c r="H2454" i="7949"/>
  <c r="H996" i="7949"/>
  <c r="I10" i="7949"/>
  <c r="H564" i="7949"/>
  <c r="H2022" i="7949"/>
  <c r="H2292" i="7949"/>
  <c r="H1644" i="7949"/>
  <c r="H618" i="7949"/>
  <c r="H510" i="7949"/>
  <c r="H456" i="7949"/>
  <c r="H1050" i="7949"/>
  <c r="H1104" i="7949"/>
  <c r="H1860" i="7949"/>
  <c r="H1914" i="7949"/>
  <c r="H834" i="7949"/>
  <c r="H1320" i="7949"/>
  <c r="H1752" i="7949"/>
  <c r="H2346" i="7949"/>
  <c r="H1212" i="7949"/>
  <c r="H1428" i="7949"/>
  <c r="H2616" i="7949"/>
  <c r="H2508" i="7949"/>
  <c r="H1374" i="7949"/>
  <c r="H2238" i="7949"/>
  <c r="H942" i="7949"/>
  <c r="H1590" i="7949"/>
  <c r="H402" i="7949"/>
  <c r="H1536" i="7949"/>
  <c r="H672" i="7949"/>
  <c r="H1158" i="7949"/>
  <c r="H1266" i="7949"/>
  <c r="R887" i="7950"/>
  <c r="R911" i="7950"/>
  <c r="S1938" i="7950"/>
  <c r="S1914" i="7950"/>
  <c r="S618" i="7950"/>
  <c r="S642" i="7950"/>
  <c r="S1104" i="7950"/>
  <c r="S1128" i="7950"/>
  <c r="Q2558" i="7950"/>
  <c r="Q2582" i="7950"/>
  <c r="S348" i="7950"/>
  <c r="S372" i="7950"/>
  <c r="S1589" i="7950"/>
  <c r="S1613" i="7950"/>
  <c r="U1018" i="7950"/>
  <c r="U994" i="7950"/>
  <c r="T965" i="7950"/>
  <c r="T941" i="7950"/>
  <c r="S996" i="7950"/>
  <c r="S1020" i="7950"/>
  <c r="S2477" i="7950"/>
  <c r="S2453" i="7950"/>
  <c r="S293" i="7950"/>
  <c r="S317" i="7950"/>
  <c r="S2046" i="7950"/>
  <c r="S2022" i="7950"/>
  <c r="S2670" i="7950"/>
  <c r="S2694" i="7950"/>
  <c r="P2559" i="7950"/>
  <c r="P2583" i="7950"/>
  <c r="R509" i="7950"/>
  <c r="R533" i="7950"/>
  <c r="S2183" i="7950"/>
  <c r="S2207" i="7950"/>
  <c r="T2615" i="7950"/>
  <c r="T2639" i="7950"/>
  <c r="P2421" i="7950"/>
  <c r="P2397" i="7950"/>
  <c r="Q346" i="7950"/>
  <c r="Q370" i="7950"/>
  <c r="S1590" i="7950"/>
  <c r="S1614" i="7950"/>
  <c r="R1073" i="7950"/>
  <c r="R1049" i="7950"/>
  <c r="P1695" i="7950"/>
  <c r="P1719" i="7950"/>
  <c r="S1290" i="7950"/>
  <c r="S1266" i="7950"/>
  <c r="S1398" i="7950"/>
  <c r="S1374" i="7950"/>
  <c r="R2531" i="7950"/>
  <c r="R2507" i="7950"/>
  <c r="S2369" i="7950"/>
  <c r="S2345" i="7950"/>
  <c r="Q1720" i="7950"/>
  <c r="Q1696" i="7950"/>
  <c r="S803" i="7950"/>
  <c r="S779" i="7950"/>
  <c r="S749" i="7950"/>
  <c r="S725" i="7950"/>
  <c r="S1451" i="7950"/>
  <c r="S1427" i="7950"/>
  <c r="S371" i="7950"/>
  <c r="S347" i="7950"/>
  <c r="T209" i="7950"/>
  <c r="T185" i="7950"/>
  <c r="S2585" i="7950"/>
  <c r="S2561" i="7950"/>
  <c r="S186" i="7950"/>
  <c r="S210" i="7950"/>
  <c r="S834" i="7950"/>
  <c r="S858" i="7950"/>
  <c r="S1968" i="7950"/>
  <c r="S1992" i="7950"/>
  <c r="Q2152" i="7950"/>
  <c r="Q2128" i="7950"/>
  <c r="S1806" i="7950"/>
  <c r="S1830" i="7950"/>
  <c r="S888" i="7950"/>
  <c r="S912" i="7950"/>
  <c r="S1236" i="7950"/>
  <c r="S1212" i="7950"/>
  <c r="S780" i="7950"/>
  <c r="S804" i="7950"/>
  <c r="P1857" i="7950"/>
  <c r="P1881" i="7950"/>
  <c r="P639" i="7950"/>
  <c r="P615" i="7950"/>
  <c r="S1668" i="7950"/>
  <c r="S1644" i="7950"/>
  <c r="Q940" i="7950"/>
  <c r="Q964" i="7950"/>
  <c r="S563" i="7950"/>
  <c r="S587" i="7950"/>
  <c r="T1643" i="7950"/>
  <c r="T1667" i="7950"/>
  <c r="S1050" i="7950"/>
  <c r="S1074" i="7950"/>
  <c r="P2205" i="7950"/>
  <c r="P2181" i="7950"/>
  <c r="S402" i="7950"/>
  <c r="S426" i="7950"/>
  <c r="P1665" i="7950"/>
  <c r="P1641" i="7950"/>
  <c r="P1557" i="7950"/>
  <c r="P1533" i="7950"/>
  <c r="S2616" i="7950"/>
  <c r="S2640" i="7950"/>
  <c r="T1805" i="7950"/>
  <c r="T1829" i="7950"/>
  <c r="P1479" i="7950"/>
  <c r="P1503" i="7950"/>
  <c r="S1127" i="7950"/>
  <c r="S1103" i="7950"/>
  <c r="S1289" i="7950"/>
  <c r="S1265" i="7950"/>
  <c r="S2370" i="7950"/>
  <c r="S2346" i="7950"/>
  <c r="P2043" i="7950"/>
  <c r="P2019" i="7950"/>
  <c r="S1991" i="7950"/>
  <c r="S1967" i="7950"/>
  <c r="Q1426" i="7950"/>
  <c r="Q1450" i="7950"/>
  <c r="P315" i="7950"/>
  <c r="P291" i="7950"/>
  <c r="S2316" i="7950"/>
  <c r="S2292" i="7950"/>
  <c r="S2291" i="7950"/>
  <c r="S2315" i="7950"/>
  <c r="T2099" i="7950"/>
  <c r="T2075" i="7950"/>
  <c r="Q1180" i="7950"/>
  <c r="Q1156" i="7950"/>
  <c r="S1452" i="7950"/>
  <c r="S1428" i="7950"/>
  <c r="Q586" i="7950"/>
  <c r="Q562" i="7950"/>
  <c r="S2532" i="7950"/>
  <c r="S2508" i="7950"/>
  <c r="Q1936" i="7950"/>
  <c r="Q1912" i="7950"/>
  <c r="S1560" i="7950"/>
  <c r="S1536" i="7950"/>
  <c r="S695" i="7950"/>
  <c r="S671" i="7950"/>
  <c r="S942" i="7950"/>
  <c r="S966" i="7950"/>
  <c r="S1776" i="7950"/>
  <c r="S1752" i="7950"/>
  <c r="S1481" i="7950"/>
  <c r="S1505" i="7950"/>
  <c r="P423" i="7950"/>
  <c r="P399" i="7950"/>
  <c r="U401" i="7950"/>
  <c r="U425" i="7950"/>
  <c r="S2184" i="7950"/>
  <c r="S2208" i="7950"/>
  <c r="Q1372" i="7950"/>
  <c r="Q1396" i="7950"/>
  <c r="S696" i="7950"/>
  <c r="S672" i="7950"/>
  <c r="S1884" i="7950"/>
  <c r="S1860" i="7950"/>
  <c r="P100" i="7950"/>
  <c r="P76" i="7950"/>
  <c r="S456" i="7950"/>
  <c r="S480" i="7950"/>
  <c r="S534" i="7950"/>
  <c r="S510" i="7950"/>
  <c r="T2478" i="7950"/>
  <c r="T2454" i="7950"/>
  <c r="R2452" i="7950"/>
  <c r="R2476" i="7950"/>
  <c r="P1803" i="7950"/>
  <c r="P1827" i="7950"/>
  <c r="Q1882" i="7950"/>
  <c r="Q1858" i="7950"/>
  <c r="S1157" i="7950"/>
  <c r="S1181" i="7950"/>
  <c r="S318" i="7950"/>
  <c r="S294" i="7950"/>
  <c r="S617" i="7950"/>
  <c r="S641" i="7950"/>
  <c r="S2262" i="7950"/>
  <c r="S2238" i="7950"/>
  <c r="S2045" i="7950"/>
  <c r="S2021" i="7950"/>
  <c r="S1211" i="7950"/>
  <c r="S1235" i="7950"/>
  <c r="S2562" i="7950"/>
  <c r="S2586" i="7950"/>
  <c r="S1182" i="7950"/>
  <c r="S1158" i="7950"/>
  <c r="S750" i="7950"/>
  <c r="S726" i="7950"/>
  <c r="Q938" i="7950"/>
  <c r="Q962" i="7950"/>
  <c r="P531" i="7950"/>
  <c r="P507" i="7950"/>
  <c r="R263" i="7950"/>
  <c r="R239" i="7950"/>
  <c r="S1859" i="7950"/>
  <c r="S1883" i="7950"/>
  <c r="P1071" i="7950"/>
  <c r="P1047" i="7950"/>
  <c r="P1179" i="7950"/>
  <c r="P1155" i="7950"/>
  <c r="P855" i="7950"/>
  <c r="P831" i="7950"/>
  <c r="S2130" i="7950"/>
  <c r="S2154" i="7950"/>
  <c r="S564" i="7950"/>
  <c r="S588" i="7950"/>
  <c r="S1559" i="7950"/>
  <c r="S1535" i="7950"/>
  <c r="P963" i="7950"/>
  <c r="P939" i="7950"/>
  <c r="S1775" i="7950"/>
  <c r="S1751" i="7950"/>
  <c r="T2153" i="7950"/>
  <c r="T2129" i="7950"/>
  <c r="P777" i="7950"/>
  <c r="P801" i="7950"/>
  <c r="U1126" i="7950"/>
  <c r="U1102" i="7950"/>
  <c r="S1698" i="7950"/>
  <c r="S1722" i="7950"/>
  <c r="P561" i="7950"/>
  <c r="P585" i="7950"/>
  <c r="Q1990" i="7950"/>
  <c r="Q1966" i="7950"/>
  <c r="Q101" i="7950"/>
  <c r="Q77" i="7950"/>
  <c r="S2237" i="7950"/>
  <c r="S2261" i="7950"/>
  <c r="S2100" i="7950"/>
  <c r="S2076" i="7950"/>
  <c r="S156" i="7950"/>
  <c r="S132" i="7950"/>
  <c r="S2399" i="7950"/>
  <c r="S2423" i="7950"/>
  <c r="U2669" i="7950"/>
  <c r="U2693" i="7950"/>
  <c r="S131" i="7950"/>
  <c r="S155" i="7950"/>
  <c r="T1697" i="7950"/>
  <c r="T1721" i="7950"/>
  <c r="O261" i="7950"/>
  <c r="O237" i="7950"/>
  <c r="U1397" i="7950"/>
  <c r="U1373" i="7950"/>
  <c r="P747" i="7950"/>
  <c r="P723" i="7950"/>
  <c r="R833" i="7950"/>
  <c r="R857" i="7950"/>
  <c r="S1482" i="7950"/>
  <c r="S1506" i="7950"/>
  <c r="Q1048" i="7950"/>
  <c r="Q1072" i="7950"/>
  <c r="Q1828" i="7950"/>
  <c r="Q1804" i="7950"/>
  <c r="S2400" i="7950"/>
  <c r="S2424" i="7950"/>
  <c r="Q694" i="7950"/>
  <c r="Q670" i="7950"/>
  <c r="R264" i="7950"/>
  <c r="R240" i="7950"/>
  <c r="Q532" i="7950"/>
  <c r="Q508" i="7950"/>
  <c r="Q2614" i="7950"/>
  <c r="Q2638" i="7950"/>
  <c r="R2074" i="7950"/>
  <c r="R2098" i="7950"/>
  <c r="Q1480" i="7950"/>
  <c r="Q1504" i="7950"/>
  <c r="R1913" i="7950"/>
  <c r="R1937" i="7950"/>
  <c r="S995" i="7950"/>
  <c r="S1019" i="7950"/>
  <c r="S479" i="7950"/>
  <c r="S455" i="7950"/>
  <c r="K365" i="7941"/>
  <c r="L51" i="7941"/>
  <c r="K853" i="18"/>
  <c r="K359" i="7941"/>
  <c r="L45" i="7941"/>
  <c r="M516" i="7942"/>
  <c r="O518" i="7942"/>
  <c r="L519" i="7942"/>
  <c r="M519" i="7942" s="1"/>
  <c r="I522" i="7942"/>
  <c r="P518" i="7942"/>
  <c r="K521" i="7942"/>
  <c r="J522" i="7942"/>
  <c r="N516" i="7942"/>
  <c r="P515" i="7942"/>
  <c r="Q518" i="7942"/>
  <c r="Q573" i="7941" s="1"/>
  <c r="N513" i="7942"/>
  <c r="N514" i="7942" s="1"/>
  <c r="M514" i="7942"/>
  <c r="I523" i="7942"/>
  <c r="Q512" i="7942"/>
  <c r="Q570" i="7941" s="1"/>
  <c r="A527" i="7942"/>
  <c r="H525" i="7942"/>
  <c r="O516" i="7942"/>
  <c r="P512" i="7942"/>
  <c r="Q243" i="7942"/>
  <c r="Q469" i="7941" s="1"/>
  <c r="Q239" i="7942"/>
  <c r="Q465" i="7941" s="1"/>
  <c r="L2659" i="7950"/>
  <c r="L2605" i="7950"/>
  <c r="L2551" i="7950"/>
  <c r="L2497" i="7950"/>
  <c r="L2443" i="7950"/>
  <c r="L2389" i="7950"/>
  <c r="L2335" i="7950"/>
  <c r="L2281" i="7950"/>
  <c r="L2227" i="7950"/>
  <c r="L2173" i="7950"/>
  <c r="L2119" i="7950"/>
  <c r="L2065" i="7950"/>
  <c r="L2011" i="7950"/>
  <c r="L1957" i="7950"/>
  <c r="L1903" i="7950"/>
  <c r="L1849" i="7950"/>
  <c r="L1795" i="7950"/>
  <c r="L1741" i="7950"/>
  <c r="L1687" i="7950"/>
  <c r="L1633" i="7950"/>
  <c r="L1579" i="7950"/>
  <c r="L1525" i="7950"/>
  <c r="L1471" i="7950"/>
  <c r="L1417" i="7950"/>
  <c r="L1363" i="7950"/>
  <c r="L1309" i="7950"/>
  <c r="L1255" i="7950"/>
  <c r="L1201" i="7950"/>
  <c r="L1147" i="7950"/>
  <c r="L1093" i="7950"/>
  <c r="L1039" i="7950"/>
  <c r="L985" i="7950"/>
  <c r="L931" i="7950"/>
  <c r="L877" i="7950"/>
  <c r="L823" i="7950"/>
  <c r="L769" i="7950"/>
  <c r="L715" i="7950"/>
  <c r="L661" i="7950"/>
  <c r="L607" i="7950"/>
  <c r="L553" i="7950"/>
  <c r="L499" i="7950"/>
  <c r="L445" i="7950"/>
  <c r="L391" i="7950"/>
  <c r="L337" i="7950"/>
  <c r="L283" i="7950"/>
  <c r="L229" i="7950"/>
  <c r="L175" i="7950"/>
  <c r="L2664" i="7949"/>
  <c r="L2610" i="7949"/>
  <c r="L2556" i="7949"/>
  <c r="L2502" i="7949"/>
  <c r="L2448" i="7949"/>
  <c r="L2394" i="7949"/>
  <c r="L2340" i="7949"/>
  <c r="L2286" i="7949"/>
  <c r="L2232" i="7949"/>
  <c r="L2178" i="7949"/>
  <c r="L2124" i="7949"/>
  <c r="L2070" i="7949"/>
  <c r="L2016" i="7949"/>
  <c r="L1962" i="7949"/>
  <c r="L1908" i="7949"/>
  <c r="L1854" i="7949"/>
  <c r="L1800" i="7949"/>
  <c r="L1746" i="7949"/>
  <c r="L1692" i="7949"/>
  <c r="L1638" i="7949"/>
  <c r="L1584" i="7949"/>
  <c r="L1530" i="7949"/>
  <c r="L1476" i="7949"/>
  <c r="L1422" i="7949"/>
  <c r="L1368" i="7949"/>
  <c r="L1314" i="7949"/>
  <c r="L1260" i="7949"/>
  <c r="L1206" i="7949"/>
  <c r="L1152" i="7949"/>
  <c r="L1098" i="7949"/>
  <c r="L1044" i="7949"/>
  <c r="L990" i="7949"/>
  <c r="L936" i="7949"/>
  <c r="L882" i="7949"/>
  <c r="L828" i="7949"/>
  <c r="L774" i="7949"/>
  <c r="L720" i="7949"/>
  <c r="L666" i="7949"/>
  <c r="L612" i="7949"/>
  <c r="L558" i="7949"/>
  <c r="L504" i="7949"/>
  <c r="L450" i="7949"/>
  <c r="L396" i="7949"/>
  <c r="L342" i="7949"/>
  <c r="L288" i="7949"/>
  <c r="L234" i="7949"/>
  <c r="L37" i="7950"/>
  <c r="L1063" i="7950"/>
  <c r="L469" i="7950"/>
  <c r="L685" i="7950"/>
  <c r="L793" i="7950"/>
  <c r="L1873" i="7950"/>
  <c r="L1981" i="7950"/>
  <c r="L2197" i="7950"/>
  <c r="L2629" i="7950"/>
  <c r="L1657" i="7950"/>
  <c r="L901" i="7950"/>
  <c r="L1117" i="7950"/>
  <c r="L1441" i="7950"/>
  <c r="L2035" i="7950"/>
  <c r="L2251" i="7950"/>
  <c r="L2683" i="7950"/>
  <c r="L847" i="7950"/>
  <c r="L145" i="7950"/>
  <c r="L361" i="7950"/>
  <c r="L1009" i="7950"/>
  <c r="L955" i="7950"/>
  <c r="L307" i="7950"/>
  <c r="L523" i="7950"/>
  <c r="L1603" i="7950"/>
  <c r="L2575" i="7950"/>
  <c r="L1765" i="7950"/>
  <c r="L1387" i="7950"/>
  <c r="L2089" i="7950"/>
  <c r="L2521" i="7950"/>
  <c r="L739" i="7950"/>
  <c r="L1333" i="7950"/>
  <c r="L1927" i="7950"/>
  <c r="L2143" i="7950"/>
  <c r="L2467" i="7950"/>
  <c r="L1171" i="7950"/>
  <c r="L13" i="7950"/>
  <c r="L1549" i="7950"/>
  <c r="L253" i="7950"/>
  <c r="L577" i="7950"/>
  <c r="L1225" i="7950"/>
  <c r="L1711" i="7950"/>
  <c r="L1279" i="7950"/>
  <c r="L1495" i="7950"/>
  <c r="L2305" i="7950"/>
  <c r="L2413" i="7950"/>
  <c r="L67" i="7950"/>
  <c r="L91" i="7950"/>
  <c r="L199" i="7950"/>
  <c r="L415" i="7950"/>
  <c r="L631" i="7950"/>
  <c r="L1819" i="7950"/>
  <c r="L2359" i="7950"/>
  <c r="Q233" i="7942"/>
  <c r="Q459" i="7941" s="1"/>
  <c r="Q247" i="7942"/>
  <c r="Q473" i="7941" s="1"/>
  <c r="Q470" i="7941"/>
  <c r="Q245" i="7942"/>
  <c r="Q471" i="7941" s="1"/>
  <c r="Q460" i="7941"/>
  <c r="Q235" i="7942"/>
  <c r="Q461" i="7941" s="1"/>
  <c r="Q231" i="7942"/>
  <c r="Q457" i="7941" s="1"/>
  <c r="Q253" i="7942"/>
  <c r="Q60" i="7941"/>
  <c r="Q59" i="7941" s="1"/>
  <c r="Q769" i="18"/>
  <c r="L121" i="7941"/>
  <c r="M727" i="18"/>
  <c r="L137" i="7941"/>
  <c r="M743" i="18"/>
  <c r="L122" i="7941"/>
  <c r="M728" i="18"/>
  <c r="L138" i="7941"/>
  <c r="M744" i="18"/>
  <c r="L127" i="7941"/>
  <c r="M733" i="18"/>
  <c r="L128" i="7941"/>
  <c r="M734" i="18"/>
  <c r="L133" i="7941"/>
  <c r="M739" i="18"/>
  <c r="L134" i="7941"/>
  <c r="M740" i="18"/>
  <c r="L123" i="7941"/>
  <c r="M729" i="18"/>
  <c r="L139" i="7941"/>
  <c r="M745" i="18"/>
  <c r="L124" i="7941"/>
  <c r="M730" i="18"/>
  <c r="L140" i="7941"/>
  <c r="M746" i="18"/>
  <c r="L129" i="7941"/>
  <c r="M735" i="18"/>
  <c r="L130" i="7941"/>
  <c r="M736" i="18"/>
  <c r="L119" i="7941"/>
  <c r="M725" i="18"/>
  <c r="L135" i="7941"/>
  <c r="M741" i="18"/>
  <c r="L120" i="7941"/>
  <c r="M726" i="18"/>
  <c r="L136" i="7941"/>
  <c r="M742" i="18"/>
  <c r="L125" i="7941"/>
  <c r="M731" i="18"/>
  <c r="L141" i="7941"/>
  <c r="M747" i="18"/>
  <c r="L126" i="7941"/>
  <c r="M732" i="18"/>
  <c r="L131" i="7941"/>
  <c r="M737" i="18"/>
  <c r="L132" i="7941"/>
  <c r="M738" i="18"/>
  <c r="K371" i="7941"/>
  <c r="L57" i="7941"/>
  <c r="L155" i="7941"/>
  <c r="M761" i="18"/>
  <c r="L156" i="7941"/>
  <c r="M762" i="18"/>
  <c r="L145" i="7941"/>
  <c r="M751" i="18"/>
  <c r="L150" i="7941"/>
  <c r="M756" i="18"/>
  <c r="L153" i="7941"/>
  <c r="M759" i="18"/>
  <c r="L147" i="7941"/>
  <c r="M753" i="18"/>
  <c r="L149" i="7941"/>
  <c r="M755" i="18"/>
  <c r="L852" i="18"/>
  <c r="L157" i="7941"/>
  <c r="M763" i="18"/>
  <c r="L144" i="7941"/>
  <c r="M750" i="18"/>
  <c r="L146" i="7941"/>
  <c r="M752" i="18"/>
  <c r="L152" i="7941"/>
  <c r="M758" i="18"/>
  <c r="L158" i="7941"/>
  <c r="M764" i="18"/>
  <c r="L154" i="7941"/>
  <c r="M760" i="18"/>
  <c r="L151" i="7941"/>
  <c r="M757" i="18"/>
  <c r="L160" i="7941"/>
  <c r="M766" i="18"/>
  <c r="L159" i="7941"/>
  <c r="M765" i="18"/>
  <c r="L148" i="7941"/>
  <c r="M754" i="18"/>
  <c r="J10" i="7949" l="1"/>
  <c r="I1861" i="7949"/>
  <c r="J1861" i="7949" s="1"/>
  <c r="K1861" i="7949" s="1"/>
  <c r="L1861" i="7949" s="1"/>
  <c r="M1861" i="7949" s="1"/>
  <c r="N1861" i="7949" s="1"/>
  <c r="O1861" i="7949" s="1"/>
  <c r="P1861" i="7949" s="1"/>
  <c r="Q1861" i="7949" s="1"/>
  <c r="R1861" i="7949" s="1"/>
  <c r="S1861" i="7949" s="1"/>
  <c r="T1861" i="7949" s="1"/>
  <c r="U1861" i="7949" s="1"/>
  <c r="V1861" i="7949" s="1"/>
  <c r="W1861" i="7949" s="1"/>
  <c r="I1267" i="7949"/>
  <c r="J1267" i="7949" s="1"/>
  <c r="K1267" i="7949" s="1"/>
  <c r="L1267" i="7949" s="1"/>
  <c r="M1267" i="7949" s="1"/>
  <c r="N1267" i="7949" s="1"/>
  <c r="O1267" i="7949" s="1"/>
  <c r="P1267" i="7949" s="1"/>
  <c r="Q1267" i="7949" s="1"/>
  <c r="R1267" i="7949" s="1"/>
  <c r="S1267" i="7949" s="1"/>
  <c r="T1267" i="7949" s="1"/>
  <c r="U1267" i="7949" s="1"/>
  <c r="V1267" i="7949" s="1"/>
  <c r="W1267" i="7949" s="1"/>
  <c r="I1105" i="7949"/>
  <c r="J1105" i="7949" s="1"/>
  <c r="K1105" i="7949" s="1"/>
  <c r="L1105" i="7949" s="1"/>
  <c r="M1105" i="7949" s="1"/>
  <c r="N1105" i="7949" s="1"/>
  <c r="O1105" i="7949" s="1"/>
  <c r="P1105" i="7949" s="1"/>
  <c r="Q1105" i="7949" s="1"/>
  <c r="R1105" i="7949" s="1"/>
  <c r="S1105" i="7949" s="1"/>
  <c r="T1105" i="7949" s="1"/>
  <c r="U1105" i="7949" s="1"/>
  <c r="V1105" i="7949" s="1"/>
  <c r="W1105" i="7949" s="1"/>
  <c r="I2293" i="7949"/>
  <c r="J2293" i="7949" s="1"/>
  <c r="K2293" i="7949" s="1"/>
  <c r="L2293" i="7949" s="1"/>
  <c r="M2293" i="7949" s="1"/>
  <c r="N2293" i="7949" s="1"/>
  <c r="O2293" i="7949" s="1"/>
  <c r="P2293" i="7949" s="1"/>
  <c r="Q2293" i="7949" s="1"/>
  <c r="R2293" i="7949" s="1"/>
  <c r="S2293" i="7949" s="1"/>
  <c r="T2293" i="7949" s="1"/>
  <c r="U2293" i="7949" s="1"/>
  <c r="V2293" i="7949" s="1"/>
  <c r="W2293" i="7949" s="1"/>
  <c r="I1969" i="7949"/>
  <c r="J1969" i="7949" s="1"/>
  <c r="K1969" i="7949" s="1"/>
  <c r="L1969" i="7949" s="1"/>
  <c r="M1969" i="7949" s="1"/>
  <c r="N1969" i="7949" s="1"/>
  <c r="O1969" i="7949" s="1"/>
  <c r="P1969" i="7949" s="1"/>
  <c r="Q1969" i="7949" s="1"/>
  <c r="R1969" i="7949" s="1"/>
  <c r="S1969" i="7949" s="1"/>
  <c r="T1969" i="7949" s="1"/>
  <c r="U1969" i="7949" s="1"/>
  <c r="V1969" i="7949" s="1"/>
  <c r="W1969" i="7949" s="1"/>
  <c r="I943" i="7949"/>
  <c r="J943" i="7949" s="1"/>
  <c r="K943" i="7949" s="1"/>
  <c r="L943" i="7949" s="1"/>
  <c r="M943" i="7949" s="1"/>
  <c r="N943" i="7949" s="1"/>
  <c r="O943" i="7949" s="1"/>
  <c r="P943" i="7949" s="1"/>
  <c r="Q943" i="7949" s="1"/>
  <c r="R943" i="7949" s="1"/>
  <c r="S943" i="7949" s="1"/>
  <c r="T943" i="7949" s="1"/>
  <c r="U943" i="7949" s="1"/>
  <c r="V943" i="7949" s="1"/>
  <c r="W943" i="7949" s="1"/>
  <c r="I2185" i="7949"/>
  <c r="J2185" i="7949" s="1"/>
  <c r="K2185" i="7949" s="1"/>
  <c r="L2185" i="7949" s="1"/>
  <c r="M2185" i="7949" s="1"/>
  <c r="N2185" i="7949" s="1"/>
  <c r="O2185" i="7949" s="1"/>
  <c r="P2185" i="7949" s="1"/>
  <c r="Q2185" i="7949" s="1"/>
  <c r="R2185" i="7949" s="1"/>
  <c r="S2185" i="7949" s="1"/>
  <c r="T2185" i="7949" s="1"/>
  <c r="U2185" i="7949" s="1"/>
  <c r="V2185" i="7949" s="1"/>
  <c r="W2185" i="7949" s="1"/>
  <c r="I889" i="7949"/>
  <c r="J889" i="7949" s="1"/>
  <c r="K889" i="7949" s="1"/>
  <c r="L889" i="7949" s="1"/>
  <c r="M889" i="7949" s="1"/>
  <c r="N889" i="7949" s="1"/>
  <c r="O889" i="7949" s="1"/>
  <c r="P889" i="7949" s="1"/>
  <c r="Q889" i="7949" s="1"/>
  <c r="R889" i="7949" s="1"/>
  <c r="S889" i="7949" s="1"/>
  <c r="T889" i="7949" s="1"/>
  <c r="U889" i="7949" s="1"/>
  <c r="V889" i="7949" s="1"/>
  <c r="W889" i="7949" s="1"/>
  <c r="I1321" i="7949"/>
  <c r="J1321" i="7949" s="1"/>
  <c r="K1321" i="7949" s="1"/>
  <c r="L1321" i="7949" s="1"/>
  <c r="M1321" i="7949" s="1"/>
  <c r="N1321" i="7949" s="1"/>
  <c r="O1321" i="7949" s="1"/>
  <c r="P1321" i="7949" s="1"/>
  <c r="Q1321" i="7949" s="1"/>
  <c r="R1321" i="7949" s="1"/>
  <c r="S1321" i="7949" s="1"/>
  <c r="T1321" i="7949" s="1"/>
  <c r="U1321" i="7949" s="1"/>
  <c r="V1321" i="7949" s="1"/>
  <c r="W1321" i="7949" s="1"/>
  <c r="I619" i="7949"/>
  <c r="J619" i="7949" s="1"/>
  <c r="K619" i="7949" s="1"/>
  <c r="L619" i="7949" s="1"/>
  <c r="M619" i="7949" s="1"/>
  <c r="N619" i="7949" s="1"/>
  <c r="O619" i="7949" s="1"/>
  <c r="P619" i="7949" s="1"/>
  <c r="Q619" i="7949" s="1"/>
  <c r="R619" i="7949" s="1"/>
  <c r="S619" i="7949" s="1"/>
  <c r="T619" i="7949" s="1"/>
  <c r="U619" i="7949" s="1"/>
  <c r="V619" i="7949" s="1"/>
  <c r="W619" i="7949" s="1"/>
  <c r="I2023" i="7949"/>
  <c r="J2023" i="7949" s="1"/>
  <c r="K2023" i="7949" s="1"/>
  <c r="L2023" i="7949" s="1"/>
  <c r="M2023" i="7949" s="1"/>
  <c r="N2023" i="7949" s="1"/>
  <c r="O2023" i="7949" s="1"/>
  <c r="P2023" i="7949" s="1"/>
  <c r="Q2023" i="7949" s="1"/>
  <c r="R2023" i="7949" s="1"/>
  <c r="S2023" i="7949" s="1"/>
  <c r="T2023" i="7949" s="1"/>
  <c r="U2023" i="7949" s="1"/>
  <c r="V2023" i="7949" s="1"/>
  <c r="W2023" i="7949" s="1"/>
  <c r="I673" i="7949"/>
  <c r="J673" i="7949" s="1"/>
  <c r="K673" i="7949" s="1"/>
  <c r="L673" i="7949" s="1"/>
  <c r="M673" i="7949" s="1"/>
  <c r="N673" i="7949" s="1"/>
  <c r="O673" i="7949" s="1"/>
  <c r="P673" i="7949" s="1"/>
  <c r="Q673" i="7949" s="1"/>
  <c r="R673" i="7949" s="1"/>
  <c r="S673" i="7949" s="1"/>
  <c r="T673" i="7949" s="1"/>
  <c r="U673" i="7949" s="1"/>
  <c r="V673" i="7949" s="1"/>
  <c r="W673" i="7949" s="1"/>
  <c r="I1591" i="7949"/>
  <c r="J1591" i="7949" s="1"/>
  <c r="K1591" i="7949" s="1"/>
  <c r="L1591" i="7949" s="1"/>
  <c r="M1591" i="7949" s="1"/>
  <c r="N1591" i="7949" s="1"/>
  <c r="O1591" i="7949" s="1"/>
  <c r="P1591" i="7949" s="1"/>
  <c r="Q1591" i="7949" s="1"/>
  <c r="R1591" i="7949" s="1"/>
  <c r="S1591" i="7949" s="1"/>
  <c r="T1591" i="7949" s="1"/>
  <c r="U1591" i="7949" s="1"/>
  <c r="V1591" i="7949" s="1"/>
  <c r="W1591" i="7949" s="1"/>
  <c r="I1429" i="7949"/>
  <c r="J1429" i="7949" s="1"/>
  <c r="K1429" i="7949" s="1"/>
  <c r="L1429" i="7949" s="1"/>
  <c r="M1429" i="7949" s="1"/>
  <c r="N1429" i="7949" s="1"/>
  <c r="O1429" i="7949" s="1"/>
  <c r="P1429" i="7949" s="1"/>
  <c r="Q1429" i="7949" s="1"/>
  <c r="R1429" i="7949" s="1"/>
  <c r="S1429" i="7949" s="1"/>
  <c r="T1429" i="7949" s="1"/>
  <c r="U1429" i="7949" s="1"/>
  <c r="V1429" i="7949" s="1"/>
  <c r="W1429" i="7949" s="1"/>
  <c r="I835" i="7949"/>
  <c r="J835" i="7949" s="1"/>
  <c r="K835" i="7949" s="1"/>
  <c r="L835" i="7949" s="1"/>
  <c r="M835" i="7949" s="1"/>
  <c r="N835" i="7949" s="1"/>
  <c r="O835" i="7949" s="1"/>
  <c r="P835" i="7949" s="1"/>
  <c r="Q835" i="7949" s="1"/>
  <c r="R835" i="7949" s="1"/>
  <c r="S835" i="7949" s="1"/>
  <c r="T835" i="7949" s="1"/>
  <c r="U835" i="7949" s="1"/>
  <c r="V835" i="7949" s="1"/>
  <c r="W835" i="7949" s="1"/>
  <c r="I457" i="7949"/>
  <c r="J457" i="7949" s="1"/>
  <c r="K457" i="7949" s="1"/>
  <c r="L457" i="7949" s="1"/>
  <c r="M457" i="7949" s="1"/>
  <c r="N457" i="7949" s="1"/>
  <c r="O457" i="7949" s="1"/>
  <c r="P457" i="7949" s="1"/>
  <c r="Q457" i="7949" s="1"/>
  <c r="R457" i="7949" s="1"/>
  <c r="S457" i="7949" s="1"/>
  <c r="T457" i="7949" s="1"/>
  <c r="U457" i="7949" s="1"/>
  <c r="V457" i="7949" s="1"/>
  <c r="W457" i="7949" s="1"/>
  <c r="I1537" i="7949"/>
  <c r="J1537" i="7949" s="1"/>
  <c r="K1537" i="7949" s="1"/>
  <c r="L1537" i="7949" s="1"/>
  <c r="M1537" i="7949" s="1"/>
  <c r="N1537" i="7949" s="1"/>
  <c r="O1537" i="7949" s="1"/>
  <c r="P1537" i="7949" s="1"/>
  <c r="Q1537" i="7949" s="1"/>
  <c r="R1537" i="7949" s="1"/>
  <c r="S1537" i="7949" s="1"/>
  <c r="T1537" i="7949" s="1"/>
  <c r="U1537" i="7949" s="1"/>
  <c r="V1537" i="7949" s="1"/>
  <c r="W1537" i="7949" s="1"/>
  <c r="I2239" i="7949"/>
  <c r="J2239" i="7949" s="1"/>
  <c r="K2239" i="7949" s="1"/>
  <c r="L2239" i="7949" s="1"/>
  <c r="M2239" i="7949" s="1"/>
  <c r="N2239" i="7949" s="1"/>
  <c r="O2239" i="7949" s="1"/>
  <c r="P2239" i="7949" s="1"/>
  <c r="Q2239" i="7949" s="1"/>
  <c r="R2239" i="7949" s="1"/>
  <c r="S2239" i="7949" s="1"/>
  <c r="T2239" i="7949" s="1"/>
  <c r="U2239" i="7949" s="1"/>
  <c r="V2239" i="7949" s="1"/>
  <c r="W2239" i="7949" s="1"/>
  <c r="I2509" i="7949"/>
  <c r="J2509" i="7949" s="1"/>
  <c r="K2509" i="7949" s="1"/>
  <c r="L2509" i="7949" s="1"/>
  <c r="M2509" i="7949" s="1"/>
  <c r="N2509" i="7949" s="1"/>
  <c r="O2509" i="7949" s="1"/>
  <c r="P2509" i="7949" s="1"/>
  <c r="Q2509" i="7949" s="1"/>
  <c r="R2509" i="7949" s="1"/>
  <c r="S2509" i="7949" s="1"/>
  <c r="T2509" i="7949" s="1"/>
  <c r="U2509" i="7949" s="1"/>
  <c r="V2509" i="7949" s="1"/>
  <c r="W2509" i="7949" s="1"/>
  <c r="I511" i="7949"/>
  <c r="J511" i="7949" s="1"/>
  <c r="K511" i="7949" s="1"/>
  <c r="L511" i="7949" s="1"/>
  <c r="M511" i="7949" s="1"/>
  <c r="N511" i="7949" s="1"/>
  <c r="O511" i="7949" s="1"/>
  <c r="P511" i="7949" s="1"/>
  <c r="Q511" i="7949" s="1"/>
  <c r="R511" i="7949" s="1"/>
  <c r="S511" i="7949" s="1"/>
  <c r="T511" i="7949" s="1"/>
  <c r="U511" i="7949" s="1"/>
  <c r="V511" i="7949" s="1"/>
  <c r="W511" i="7949" s="1"/>
  <c r="I1915" i="7949"/>
  <c r="J1915" i="7949" s="1"/>
  <c r="K1915" i="7949" s="1"/>
  <c r="L1915" i="7949" s="1"/>
  <c r="M1915" i="7949" s="1"/>
  <c r="N1915" i="7949" s="1"/>
  <c r="O1915" i="7949" s="1"/>
  <c r="P1915" i="7949" s="1"/>
  <c r="Q1915" i="7949" s="1"/>
  <c r="R1915" i="7949" s="1"/>
  <c r="S1915" i="7949" s="1"/>
  <c r="T1915" i="7949" s="1"/>
  <c r="U1915" i="7949" s="1"/>
  <c r="V1915" i="7949" s="1"/>
  <c r="W1915" i="7949" s="1"/>
  <c r="I1483" i="7949"/>
  <c r="J1483" i="7949" s="1"/>
  <c r="K1483" i="7949" s="1"/>
  <c r="L1483" i="7949" s="1"/>
  <c r="M1483" i="7949" s="1"/>
  <c r="N1483" i="7949" s="1"/>
  <c r="O1483" i="7949" s="1"/>
  <c r="P1483" i="7949" s="1"/>
  <c r="Q1483" i="7949" s="1"/>
  <c r="R1483" i="7949" s="1"/>
  <c r="S1483" i="7949" s="1"/>
  <c r="T1483" i="7949" s="1"/>
  <c r="U1483" i="7949" s="1"/>
  <c r="V1483" i="7949" s="1"/>
  <c r="W1483" i="7949" s="1"/>
  <c r="I1213" i="7949"/>
  <c r="J1213" i="7949" s="1"/>
  <c r="K1213" i="7949" s="1"/>
  <c r="L1213" i="7949" s="1"/>
  <c r="M1213" i="7949" s="1"/>
  <c r="N1213" i="7949" s="1"/>
  <c r="O1213" i="7949" s="1"/>
  <c r="P1213" i="7949" s="1"/>
  <c r="Q1213" i="7949" s="1"/>
  <c r="R1213" i="7949" s="1"/>
  <c r="S1213" i="7949" s="1"/>
  <c r="T1213" i="7949" s="1"/>
  <c r="U1213" i="7949" s="1"/>
  <c r="V1213" i="7949" s="1"/>
  <c r="W1213" i="7949" s="1"/>
  <c r="I1807" i="7949"/>
  <c r="J1807" i="7949" s="1"/>
  <c r="K1807" i="7949" s="1"/>
  <c r="L1807" i="7949" s="1"/>
  <c r="M1807" i="7949" s="1"/>
  <c r="N1807" i="7949" s="1"/>
  <c r="O1807" i="7949" s="1"/>
  <c r="P1807" i="7949" s="1"/>
  <c r="Q1807" i="7949" s="1"/>
  <c r="R1807" i="7949" s="1"/>
  <c r="S1807" i="7949" s="1"/>
  <c r="T1807" i="7949" s="1"/>
  <c r="U1807" i="7949" s="1"/>
  <c r="V1807" i="7949" s="1"/>
  <c r="W1807" i="7949" s="1"/>
  <c r="I781" i="7949"/>
  <c r="J781" i="7949" s="1"/>
  <c r="K781" i="7949" s="1"/>
  <c r="L781" i="7949" s="1"/>
  <c r="M781" i="7949" s="1"/>
  <c r="N781" i="7949" s="1"/>
  <c r="O781" i="7949" s="1"/>
  <c r="P781" i="7949" s="1"/>
  <c r="Q781" i="7949" s="1"/>
  <c r="R781" i="7949" s="1"/>
  <c r="S781" i="7949" s="1"/>
  <c r="T781" i="7949" s="1"/>
  <c r="U781" i="7949" s="1"/>
  <c r="V781" i="7949" s="1"/>
  <c r="W781" i="7949" s="1"/>
  <c r="I2455" i="7949"/>
  <c r="J2455" i="7949" s="1"/>
  <c r="K2455" i="7949" s="1"/>
  <c r="L2455" i="7949" s="1"/>
  <c r="M2455" i="7949" s="1"/>
  <c r="N2455" i="7949" s="1"/>
  <c r="O2455" i="7949" s="1"/>
  <c r="P2455" i="7949" s="1"/>
  <c r="Q2455" i="7949" s="1"/>
  <c r="R2455" i="7949" s="1"/>
  <c r="S2455" i="7949" s="1"/>
  <c r="T2455" i="7949" s="1"/>
  <c r="U2455" i="7949" s="1"/>
  <c r="V2455" i="7949" s="1"/>
  <c r="W2455" i="7949" s="1"/>
  <c r="I1645" i="7949"/>
  <c r="J1645" i="7949" s="1"/>
  <c r="K1645" i="7949" s="1"/>
  <c r="L1645" i="7949" s="1"/>
  <c r="M1645" i="7949" s="1"/>
  <c r="N1645" i="7949" s="1"/>
  <c r="O1645" i="7949" s="1"/>
  <c r="P1645" i="7949" s="1"/>
  <c r="Q1645" i="7949" s="1"/>
  <c r="R1645" i="7949" s="1"/>
  <c r="S1645" i="7949" s="1"/>
  <c r="T1645" i="7949" s="1"/>
  <c r="U1645" i="7949" s="1"/>
  <c r="V1645" i="7949" s="1"/>
  <c r="W1645" i="7949" s="1"/>
  <c r="I1051" i="7949"/>
  <c r="J1051" i="7949" s="1"/>
  <c r="K1051" i="7949" s="1"/>
  <c r="L1051" i="7949" s="1"/>
  <c r="M1051" i="7949" s="1"/>
  <c r="N1051" i="7949" s="1"/>
  <c r="O1051" i="7949" s="1"/>
  <c r="P1051" i="7949" s="1"/>
  <c r="Q1051" i="7949" s="1"/>
  <c r="R1051" i="7949" s="1"/>
  <c r="S1051" i="7949" s="1"/>
  <c r="T1051" i="7949" s="1"/>
  <c r="U1051" i="7949" s="1"/>
  <c r="V1051" i="7949" s="1"/>
  <c r="W1051" i="7949" s="1"/>
  <c r="I1699" i="7949"/>
  <c r="J1699" i="7949" s="1"/>
  <c r="K1699" i="7949" s="1"/>
  <c r="L1699" i="7949" s="1"/>
  <c r="M1699" i="7949" s="1"/>
  <c r="N1699" i="7949" s="1"/>
  <c r="O1699" i="7949" s="1"/>
  <c r="P1699" i="7949" s="1"/>
  <c r="Q1699" i="7949" s="1"/>
  <c r="R1699" i="7949" s="1"/>
  <c r="S1699" i="7949" s="1"/>
  <c r="T1699" i="7949" s="1"/>
  <c r="U1699" i="7949" s="1"/>
  <c r="V1699" i="7949" s="1"/>
  <c r="W1699" i="7949" s="1"/>
  <c r="I997" i="7949"/>
  <c r="J997" i="7949" s="1"/>
  <c r="K997" i="7949" s="1"/>
  <c r="L997" i="7949" s="1"/>
  <c r="M997" i="7949" s="1"/>
  <c r="N997" i="7949" s="1"/>
  <c r="O997" i="7949" s="1"/>
  <c r="P997" i="7949" s="1"/>
  <c r="Q997" i="7949" s="1"/>
  <c r="R997" i="7949" s="1"/>
  <c r="S997" i="7949" s="1"/>
  <c r="T997" i="7949" s="1"/>
  <c r="U997" i="7949" s="1"/>
  <c r="V997" i="7949" s="1"/>
  <c r="W997" i="7949" s="1"/>
  <c r="I565" i="7949"/>
  <c r="J565" i="7949" s="1"/>
  <c r="K565" i="7949" s="1"/>
  <c r="L565" i="7949" s="1"/>
  <c r="M565" i="7949" s="1"/>
  <c r="N565" i="7949" s="1"/>
  <c r="O565" i="7949" s="1"/>
  <c r="P565" i="7949" s="1"/>
  <c r="Q565" i="7949" s="1"/>
  <c r="R565" i="7949" s="1"/>
  <c r="S565" i="7949" s="1"/>
  <c r="T565" i="7949" s="1"/>
  <c r="U565" i="7949" s="1"/>
  <c r="V565" i="7949" s="1"/>
  <c r="W565" i="7949" s="1"/>
  <c r="I2671" i="7949"/>
  <c r="J2671" i="7949" s="1"/>
  <c r="K2671" i="7949" s="1"/>
  <c r="L2671" i="7949" s="1"/>
  <c r="M2671" i="7949" s="1"/>
  <c r="N2671" i="7949" s="1"/>
  <c r="O2671" i="7949" s="1"/>
  <c r="P2671" i="7949" s="1"/>
  <c r="Q2671" i="7949" s="1"/>
  <c r="R2671" i="7949" s="1"/>
  <c r="S2671" i="7949" s="1"/>
  <c r="T2671" i="7949" s="1"/>
  <c r="U2671" i="7949" s="1"/>
  <c r="V2671" i="7949" s="1"/>
  <c r="W2671" i="7949" s="1"/>
  <c r="I1159" i="7949"/>
  <c r="J1159" i="7949" s="1"/>
  <c r="K1159" i="7949" s="1"/>
  <c r="L1159" i="7949" s="1"/>
  <c r="M1159" i="7949" s="1"/>
  <c r="N1159" i="7949" s="1"/>
  <c r="O1159" i="7949" s="1"/>
  <c r="P1159" i="7949" s="1"/>
  <c r="Q1159" i="7949" s="1"/>
  <c r="R1159" i="7949" s="1"/>
  <c r="S1159" i="7949" s="1"/>
  <c r="T1159" i="7949" s="1"/>
  <c r="U1159" i="7949" s="1"/>
  <c r="V1159" i="7949" s="1"/>
  <c r="W1159" i="7949" s="1"/>
  <c r="I1753" i="7949"/>
  <c r="J1753" i="7949" s="1"/>
  <c r="K1753" i="7949" s="1"/>
  <c r="L1753" i="7949" s="1"/>
  <c r="M1753" i="7949" s="1"/>
  <c r="N1753" i="7949" s="1"/>
  <c r="O1753" i="7949" s="1"/>
  <c r="P1753" i="7949" s="1"/>
  <c r="Q1753" i="7949" s="1"/>
  <c r="R1753" i="7949" s="1"/>
  <c r="S1753" i="7949" s="1"/>
  <c r="T1753" i="7949" s="1"/>
  <c r="U1753" i="7949" s="1"/>
  <c r="V1753" i="7949" s="1"/>
  <c r="W1753" i="7949" s="1"/>
  <c r="I403" i="7949"/>
  <c r="J403" i="7949" s="1"/>
  <c r="K403" i="7949" s="1"/>
  <c r="L403" i="7949" s="1"/>
  <c r="M403" i="7949" s="1"/>
  <c r="N403" i="7949" s="1"/>
  <c r="O403" i="7949" s="1"/>
  <c r="P403" i="7949" s="1"/>
  <c r="Q403" i="7949" s="1"/>
  <c r="R403" i="7949" s="1"/>
  <c r="S403" i="7949" s="1"/>
  <c r="T403" i="7949" s="1"/>
  <c r="U403" i="7949" s="1"/>
  <c r="V403" i="7949" s="1"/>
  <c r="W403" i="7949" s="1"/>
  <c r="I1375" i="7949"/>
  <c r="J1375" i="7949" s="1"/>
  <c r="K1375" i="7949" s="1"/>
  <c r="L1375" i="7949" s="1"/>
  <c r="M1375" i="7949" s="1"/>
  <c r="N1375" i="7949" s="1"/>
  <c r="O1375" i="7949" s="1"/>
  <c r="P1375" i="7949" s="1"/>
  <c r="Q1375" i="7949" s="1"/>
  <c r="R1375" i="7949" s="1"/>
  <c r="S1375" i="7949" s="1"/>
  <c r="T1375" i="7949" s="1"/>
  <c r="U1375" i="7949" s="1"/>
  <c r="V1375" i="7949" s="1"/>
  <c r="W1375" i="7949" s="1"/>
  <c r="I727" i="7949"/>
  <c r="J727" i="7949" s="1"/>
  <c r="K727" i="7949" s="1"/>
  <c r="L727" i="7949" s="1"/>
  <c r="M727" i="7949" s="1"/>
  <c r="N727" i="7949" s="1"/>
  <c r="O727" i="7949" s="1"/>
  <c r="P727" i="7949" s="1"/>
  <c r="Q727" i="7949" s="1"/>
  <c r="R727" i="7949" s="1"/>
  <c r="S727" i="7949" s="1"/>
  <c r="T727" i="7949" s="1"/>
  <c r="U727" i="7949" s="1"/>
  <c r="V727" i="7949" s="1"/>
  <c r="W727" i="7949" s="1"/>
  <c r="I2401" i="7949"/>
  <c r="J2401" i="7949" s="1"/>
  <c r="K2401" i="7949" s="1"/>
  <c r="L2401" i="7949" s="1"/>
  <c r="M2401" i="7949" s="1"/>
  <c r="N2401" i="7949" s="1"/>
  <c r="O2401" i="7949" s="1"/>
  <c r="P2401" i="7949" s="1"/>
  <c r="Q2401" i="7949" s="1"/>
  <c r="R2401" i="7949" s="1"/>
  <c r="S2401" i="7949" s="1"/>
  <c r="T2401" i="7949" s="1"/>
  <c r="U2401" i="7949" s="1"/>
  <c r="V2401" i="7949" s="1"/>
  <c r="W2401" i="7949" s="1"/>
  <c r="I2131" i="7949"/>
  <c r="J2131" i="7949" s="1"/>
  <c r="K2131" i="7949" s="1"/>
  <c r="L2131" i="7949" s="1"/>
  <c r="M2131" i="7949" s="1"/>
  <c r="N2131" i="7949" s="1"/>
  <c r="O2131" i="7949" s="1"/>
  <c r="P2131" i="7949" s="1"/>
  <c r="Q2131" i="7949" s="1"/>
  <c r="R2131" i="7949" s="1"/>
  <c r="S2131" i="7949" s="1"/>
  <c r="T2131" i="7949" s="1"/>
  <c r="U2131" i="7949" s="1"/>
  <c r="V2131" i="7949" s="1"/>
  <c r="W2131" i="7949" s="1"/>
  <c r="I2563" i="7949"/>
  <c r="J2563" i="7949" s="1"/>
  <c r="K2563" i="7949" s="1"/>
  <c r="L2563" i="7949" s="1"/>
  <c r="M2563" i="7949" s="1"/>
  <c r="N2563" i="7949" s="1"/>
  <c r="O2563" i="7949" s="1"/>
  <c r="P2563" i="7949" s="1"/>
  <c r="Q2563" i="7949" s="1"/>
  <c r="R2563" i="7949" s="1"/>
  <c r="S2563" i="7949" s="1"/>
  <c r="T2563" i="7949" s="1"/>
  <c r="U2563" i="7949" s="1"/>
  <c r="V2563" i="7949" s="1"/>
  <c r="W2563" i="7949" s="1"/>
  <c r="I2347" i="7949"/>
  <c r="J2347" i="7949" s="1"/>
  <c r="K2347" i="7949" s="1"/>
  <c r="L2347" i="7949" s="1"/>
  <c r="M2347" i="7949" s="1"/>
  <c r="N2347" i="7949" s="1"/>
  <c r="O2347" i="7949" s="1"/>
  <c r="P2347" i="7949" s="1"/>
  <c r="Q2347" i="7949" s="1"/>
  <c r="R2347" i="7949" s="1"/>
  <c r="S2347" i="7949" s="1"/>
  <c r="T2347" i="7949" s="1"/>
  <c r="U2347" i="7949" s="1"/>
  <c r="V2347" i="7949" s="1"/>
  <c r="W2347" i="7949" s="1"/>
  <c r="I2077" i="7949"/>
  <c r="J2077" i="7949" s="1"/>
  <c r="K2077" i="7949" s="1"/>
  <c r="L2077" i="7949" s="1"/>
  <c r="M2077" i="7949" s="1"/>
  <c r="N2077" i="7949" s="1"/>
  <c r="O2077" i="7949" s="1"/>
  <c r="P2077" i="7949" s="1"/>
  <c r="Q2077" i="7949" s="1"/>
  <c r="R2077" i="7949" s="1"/>
  <c r="S2077" i="7949" s="1"/>
  <c r="T2077" i="7949" s="1"/>
  <c r="U2077" i="7949" s="1"/>
  <c r="V2077" i="7949" s="1"/>
  <c r="W2077" i="7949" s="1"/>
  <c r="I2617" i="7949"/>
  <c r="J2617" i="7949" s="1"/>
  <c r="K2617" i="7949" s="1"/>
  <c r="L2617" i="7949" s="1"/>
  <c r="M2617" i="7949" s="1"/>
  <c r="N2617" i="7949" s="1"/>
  <c r="O2617" i="7949" s="1"/>
  <c r="P2617" i="7949" s="1"/>
  <c r="Q2617" i="7949" s="1"/>
  <c r="R2617" i="7949" s="1"/>
  <c r="S2617" i="7949" s="1"/>
  <c r="T2617" i="7949" s="1"/>
  <c r="U2617" i="7949" s="1"/>
  <c r="V2617" i="7949" s="1"/>
  <c r="W2617" i="7949" s="1"/>
  <c r="M121" i="7950"/>
  <c r="I126" i="7949"/>
  <c r="J126" i="7949" s="1"/>
  <c r="K126" i="7949" s="1"/>
  <c r="L126" i="7949" s="1"/>
  <c r="I72" i="7949"/>
  <c r="J72" i="7949" s="1"/>
  <c r="K72" i="7949" s="1"/>
  <c r="L72" i="7949" s="1"/>
  <c r="I180" i="7949"/>
  <c r="J180" i="7949" s="1"/>
  <c r="K180" i="7949" s="1"/>
  <c r="L180" i="7949" s="1"/>
  <c r="S832" i="7950"/>
  <c r="S856" i="7950"/>
  <c r="S2259" i="7950"/>
  <c r="S2235" i="7950"/>
  <c r="S1773" i="7950"/>
  <c r="S1749" i="7950"/>
  <c r="R1101" i="7950"/>
  <c r="R1125" i="7950"/>
  <c r="S1287" i="7950"/>
  <c r="S1263" i="7950"/>
  <c r="S1587" i="7950"/>
  <c r="S1611" i="7950"/>
  <c r="S2451" i="7950"/>
  <c r="S2475" i="7950"/>
  <c r="S1395" i="7950"/>
  <c r="S1371" i="7950"/>
  <c r="W1321" i="7950"/>
  <c r="W1345" i="7950"/>
  <c r="S1588" i="7950"/>
  <c r="S1612" i="7950"/>
  <c r="T1642" i="7950"/>
  <c r="T1666" i="7950"/>
  <c r="S2584" i="7950"/>
  <c r="S2560" i="7950"/>
  <c r="Q98" i="7950"/>
  <c r="R207" i="7950"/>
  <c r="R183" i="7950"/>
  <c r="R2151" i="7950"/>
  <c r="R2127" i="7950"/>
  <c r="R2312" i="7950"/>
  <c r="R2288" i="7950"/>
  <c r="R206" i="7950"/>
  <c r="R2042" i="7950"/>
  <c r="R2018" i="7950"/>
  <c r="R314" i="7950"/>
  <c r="R476" i="7950"/>
  <c r="R452" i="7950"/>
  <c r="S2289" i="7950"/>
  <c r="S2313" i="7950"/>
  <c r="R2342" i="7950"/>
  <c r="R2366" i="7950"/>
  <c r="T316" i="7950"/>
  <c r="T292" i="7950"/>
  <c r="R2180" i="7950"/>
  <c r="R2204" i="7950"/>
  <c r="T130" i="7950"/>
  <c r="T154" i="7950"/>
  <c r="R1856" i="7950"/>
  <c r="R1880" i="7950"/>
  <c r="R368" i="7950"/>
  <c r="R1826" i="7950"/>
  <c r="R1802" i="7950"/>
  <c r="R560" i="7950"/>
  <c r="R584" i="7950"/>
  <c r="S2044" i="7950"/>
  <c r="S2020" i="7950"/>
  <c r="R1208" i="7950"/>
  <c r="R1232" i="7950"/>
  <c r="R1934" i="7950"/>
  <c r="R1910" i="7950"/>
  <c r="R830" i="7950"/>
  <c r="R854" i="7950"/>
  <c r="T208" i="7950"/>
  <c r="T184" i="7950"/>
  <c r="R1556" i="7950"/>
  <c r="R1532" i="7950"/>
  <c r="S1911" i="7950"/>
  <c r="S1935" i="7950"/>
  <c r="T1558" i="7950"/>
  <c r="T1534" i="7950"/>
  <c r="S2529" i="7950"/>
  <c r="S2505" i="7950"/>
  <c r="R1262" i="7950"/>
  <c r="R1286" i="7950"/>
  <c r="R1178" i="7950"/>
  <c r="R1154" i="7950"/>
  <c r="R884" i="7950"/>
  <c r="R908" i="7950"/>
  <c r="S1774" i="7950"/>
  <c r="S1750" i="7950"/>
  <c r="T454" i="7950"/>
  <c r="T478" i="7950"/>
  <c r="R1424" i="7950"/>
  <c r="R1448" i="7950"/>
  <c r="R800" i="7950"/>
  <c r="R776" i="7950"/>
  <c r="T748" i="7950"/>
  <c r="T724" i="7950"/>
  <c r="S910" i="7950"/>
  <c r="S886" i="7950"/>
  <c r="W1346" i="7950"/>
  <c r="W1322" i="7950"/>
  <c r="T2422" i="7950"/>
  <c r="T2398" i="7950"/>
  <c r="R1502" i="7950"/>
  <c r="R1478" i="7950"/>
  <c r="R668" i="7950"/>
  <c r="R692" i="7950"/>
  <c r="S2367" i="7950"/>
  <c r="S2343" i="7950"/>
  <c r="T2668" i="7950"/>
  <c r="T2692" i="7950"/>
  <c r="S153" i="7950"/>
  <c r="S129" i="7950"/>
  <c r="S2344" i="7950"/>
  <c r="S2368" i="7950"/>
  <c r="T778" i="7950"/>
  <c r="T802" i="7950"/>
  <c r="R2126" i="7950"/>
  <c r="R2150" i="7950"/>
  <c r="S640" i="7950"/>
  <c r="S616" i="7950"/>
  <c r="R506" i="7950"/>
  <c r="R530" i="7950"/>
  <c r="R1640" i="7950"/>
  <c r="R1664" i="7950"/>
  <c r="R1772" i="7950"/>
  <c r="R1748" i="7950"/>
  <c r="R2636" i="7950"/>
  <c r="R2612" i="7950"/>
  <c r="R2504" i="7950"/>
  <c r="R2528" i="7950"/>
  <c r="T424" i="7950"/>
  <c r="T400" i="7950"/>
  <c r="R1694" i="7950"/>
  <c r="R1718" i="7950"/>
  <c r="T1210" i="7950"/>
  <c r="T1234" i="7950"/>
  <c r="R693" i="7950"/>
  <c r="R669" i="7950"/>
  <c r="S1449" i="7950"/>
  <c r="S1425" i="7950"/>
  <c r="R2396" i="7950"/>
  <c r="R2420" i="7950"/>
  <c r="R1586" i="7950"/>
  <c r="R1610" i="7950"/>
  <c r="R2474" i="7950"/>
  <c r="R2450" i="7950"/>
  <c r="R2691" i="7950"/>
  <c r="R2667" i="7950"/>
  <c r="R722" i="7950"/>
  <c r="R746" i="7950"/>
  <c r="R152" i="7950"/>
  <c r="Q260" i="7950"/>
  <c r="T2206" i="7950"/>
  <c r="T2182" i="7950"/>
  <c r="R638" i="7950"/>
  <c r="R614" i="7950"/>
  <c r="R1100" i="7950"/>
  <c r="R1124" i="7950"/>
  <c r="S345" i="7950"/>
  <c r="S369" i="7950"/>
  <c r="R1370" i="7950"/>
  <c r="R1394" i="7950"/>
  <c r="S1288" i="7950"/>
  <c r="S1264" i="7950"/>
  <c r="R2666" i="7950"/>
  <c r="R2690" i="7950"/>
  <c r="R1233" i="7950"/>
  <c r="R1209" i="7950"/>
  <c r="S2506" i="7950"/>
  <c r="S2530" i="7950"/>
  <c r="S477" i="7950"/>
  <c r="S453" i="7950"/>
  <c r="R993" i="7950"/>
  <c r="R1017" i="7950"/>
  <c r="R2234" i="7950"/>
  <c r="R2258" i="7950"/>
  <c r="S885" i="7950"/>
  <c r="S909" i="7950"/>
  <c r="R1964" i="7950"/>
  <c r="R1988" i="7950"/>
  <c r="R2072" i="7950"/>
  <c r="R2096" i="7950"/>
  <c r="T2260" i="7950"/>
  <c r="T2236" i="7950"/>
  <c r="S2073" i="7950"/>
  <c r="S2097" i="7950"/>
  <c r="R1016" i="7950"/>
  <c r="R992" i="7950"/>
  <c r="S238" i="7950"/>
  <c r="S262" i="7950"/>
  <c r="S2613" i="7950"/>
  <c r="S2637" i="7950"/>
  <c r="R1989" i="7950"/>
  <c r="R1965" i="7950"/>
  <c r="R422" i="7950"/>
  <c r="R398" i="7950"/>
  <c r="R75" i="7950"/>
  <c r="R99" i="7950"/>
  <c r="R1046" i="7950"/>
  <c r="R1070" i="7950"/>
  <c r="T2314" i="7950"/>
  <c r="T2290" i="7950"/>
  <c r="I18" i="7949"/>
  <c r="J18" i="7949" s="1"/>
  <c r="K18" i="7949" s="1"/>
  <c r="L18" i="7949" s="1"/>
  <c r="K10" i="7949"/>
  <c r="J1592" i="7949"/>
  <c r="K1592" i="7949" s="1"/>
  <c r="L1592" i="7949" s="1"/>
  <c r="M1592" i="7949" s="1"/>
  <c r="N1592" i="7949" s="1"/>
  <c r="O1592" i="7949" s="1"/>
  <c r="P1592" i="7949" s="1"/>
  <c r="Q1592" i="7949" s="1"/>
  <c r="R1592" i="7949" s="1"/>
  <c r="S1592" i="7949" s="1"/>
  <c r="T1592" i="7949" s="1"/>
  <c r="U1592" i="7949" s="1"/>
  <c r="V1592" i="7949" s="1"/>
  <c r="W1592" i="7949" s="1"/>
  <c r="J2024" i="7949"/>
  <c r="K2024" i="7949" s="1"/>
  <c r="L2024" i="7949" s="1"/>
  <c r="M2024" i="7949" s="1"/>
  <c r="N2024" i="7949" s="1"/>
  <c r="O2024" i="7949" s="1"/>
  <c r="P2024" i="7949" s="1"/>
  <c r="Q2024" i="7949" s="1"/>
  <c r="R2024" i="7949" s="1"/>
  <c r="S2024" i="7949" s="1"/>
  <c r="T2024" i="7949" s="1"/>
  <c r="U2024" i="7949" s="1"/>
  <c r="V2024" i="7949" s="1"/>
  <c r="W2024" i="7949" s="1"/>
  <c r="J1106" i="7949"/>
  <c r="K1106" i="7949" s="1"/>
  <c r="L1106" i="7949" s="1"/>
  <c r="M1106" i="7949" s="1"/>
  <c r="N1106" i="7949" s="1"/>
  <c r="O1106" i="7949" s="1"/>
  <c r="P1106" i="7949" s="1"/>
  <c r="Q1106" i="7949" s="1"/>
  <c r="R1106" i="7949" s="1"/>
  <c r="S1106" i="7949" s="1"/>
  <c r="T1106" i="7949" s="1"/>
  <c r="U1106" i="7949" s="1"/>
  <c r="V1106" i="7949" s="1"/>
  <c r="W1106" i="7949" s="1"/>
  <c r="J1376" i="7949"/>
  <c r="K1376" i="7949" s="1"/>
  <c r="L1376" i="7949" s="1"/>
  <c r="M1376" i="7949" s="1"/>
  <c r="N1376" i="7949" s="1"/>
  <c r="O1376" i="7949" s="1"/>
  <c r="P1376" i="7949" s="1"/>
  <c r="Q1376" i="7949" s="1"/>
  <c r="R1376" i="7949" s="1"/>
  <c r="S1376" i="7949" s="1"/>
  <c r="T1376" i="7949" s="1"/>
  <c r="U1376" i="7949" s="1"/>
  <c r="V1376" i="7949" s="1"/>
  <c r="W1376" i="7949" s="1"/>
  <c r="J1808" i="7949"/>
  <c r="K1808" i="7949" s="1"/>
  <c r="L1808" i="7949" s="1"/>
  <c r="M1808" i="7949" s="1"/>
  <c r="N1808" i="7949" s="1"/>
  <c r="O1808" i="7949" s="1"/>
  <c r="P1808" i="7949" s="1"/>
  <c r="Q1808" i="7949" s="1"/>
  <c r="R1808" i="7949" s="1"/>
  <c r="S1808" i="7949" s="1"/>
  <c r="T1808" i="7949" s="1"/>
  <c r="U1808" i="7949" s="1"/>
  <c r="V1808" i="7949" s="1"/>
  <c r="W1808" i="7949" s="1"/>
  <c r="J458" i="7949"/>
  <c r="K458" i="7949" s="1"/>
  <c r="L458" i="7949" s="1"/>
  <c r="M458" i="7949" s="1"/>
  <c r="N458" i="7949" s="1"/>
  <c r="O458" i="7949" s="1"/>
  <c r="P458" i="7949" s="1"/>
  <c r="Q458" i="7949" s="1"/>
  <c r="R458" i="7949" s="1"/>
  <c r="S458" i="7949" s="1"/>
  <c r="T458" i="7949" s="1"/>
  <c r="U458" i="7949" s="1"/>
  <c r="V458" i="7949" s="1"/>
  <c r="W458" i="7949" s="1"/>
  <c r="J728" i="7949"/>
  <c r="K728" i="7949" s="1"/>
  <c r="L728" i="7949" s="1"/>
  <c r="M728" i="7949" s="1"/>
  <c r="N728" i="7949" s="1"/>
  <c r="O728" i="7949" s="1"/>
  <c r="P728" i="7949" s="1"/>
  <c r="Q728" i="7949" s="1"/>
  <c r="R728" i="7949" s="1"/>
  <c r="S728" i="7949" s="1"/>
  <c r="T728" i="7949" s="1"/>
  <c r="U728" i="7949" s="1"/>
  <c r="V728" i="7949" s="1"/>
  <c r="W728" i="7949" s="1"/>
  <c r="J890" i="7949"/>
  <c r="K890" i="7949" s="1"/>
  <c r="L890" i="7949" s="1"/>
  <c r="M890" i="7949" s="1"/>
  <c r="N890" i="7949" s="1"/>
  <c r="O890" i="7949" s="1"/>
  <c r="P890" i="7949" s="1"/>
  <c r="Q890" i="7949" s="1"/>
  <c r="R890" i="7949" s="1"/>
  <c r="S890" i="7949" s="1"/>
  <c r="T890" i="7949" s="1"/>
  <c r="U890" i="7949" s="1"/>
  <c r="V890" i="7949" s="1"/>
  <c r="W890" i="7949" s="1"/>
  <c r="J2348" i="7949"/>
  <c r="K2348" i="7949" s="1"/>
  <c r="L2348" i="7949" s="1"/>
  <c r="M2348" i="7949" s="1"/>
  <c r="N2348" i="7949" s="1"/>
  <c r="O2348" i="7949" s="1"/>
  <c r="P2348" i="7949" s="1"/>
  <c r="Q2348" i="7949" s="1"/>
  <c r="R2348" i="7949" s="1"/>
  <c r="S2348" i="7949" s="1"/>
  <c r="T2348" i="7949" s="1"/>
  <c r="U2348" i="7949" s="1"/>
  <c r="V2348" i="7949" s="1"/>
  <c r="W2348" i="7949" s="1"/>
  <c r="J1160" i="7949"/>
  <c r="K1160" i="7949" s="1"/>
  <c r="L1160" i="7949" s="1"/>
  <c r="M1160" i="7949" s="1"/>
  <c r="N1160" i="7949" s="1"/>
  <c r="O1160" i="7949" s="1"/>
  <c r="P1160" i="7949" s="1"/>
  <c r="Q1160" i="7949" s="1"/>
  <c r="R1160" i="7949" s="1"/>
  <c r="S1160" i="7949" s="1"/>
  <c r="T1160" i="7949" s="1"/>
  <c r="U1160" i="7949" s="1"/>
  <c r="V1160" i="7949" s="1"/>
  <c r="W1160" i="7949" s="1"/>
  <c r="J2132" i="7949"/>
  <c r="K2132" i="7949" s="1"/>
  <c r="L2132" i="7949" s="1"/>
  <c r="M2132" i="7949" s="1"/>
  <c r="N2132" i="7949" s="1"/>
  <c r="O2132" i="7949" s="1"/>
  <c r="P2132" i="7949" s="1"/>
  <c r="Q2132" i="7949" s="1"/>
  <c r="R2132" i="7949" s="1"/>
  <c r="S2132" i="7949" s="1"/>
  <c r="T2132" i="7949" s="1"/>
  <c r="U2132" i="7949" s="1"/>
  <c r="V2132" i="7949" s="1"/>
  <c r="W2132" i="7949" s="1"/>
  <c r="J1268" i="7949"/>
  <c r="K1268" i="7949" s="1"/>
  <c r="L1268" i="7949" s="1"/>
  <c r="M1268" i="7949" s="1"/>
  <c r="N1268" i="7949" s="1"/>
  <c r="O1268" i="7949" s="1"/>
  <c r="P1268" i="7949" s="1"/>
  <c r="Q1268" i="7949" s="1"/>
  <c r="R1268" i="7949" s="1"/>
  <c r="S1268" i="7949" s="1"/>
  <c r="T1268" i="7949" s="1"/>
  <c r="U1268" i="7949" s="1"/>
  <c r="V1268" i="7949" s="1"/>
  <c r="W1268" i="7949" s="1"/>
  <c r="J1700" i="7949"/>
  <c r="K1700" i="7949" s="1"/>
  <c r="L1700" i="7949" s="1"/>
  <c r="M1700" i="7949" s="1"/>
  <c r="N1700" i="7949" s="1"/>
  <c r="O1700" i="7949" s="1"/>
  <c r="P1700" i="7949" s="1"/>
  <c r="Q1700" i="7949" s="1"/>
  <c r="R1700" i="7949" s="1"/>
  <c r="S1700" i="7949" s="1"/>
  <c r="T1700" i="7949" s="1"/>
  <c r="U1700" i="7949" s="1"/>
  <c r="V1700" i="7949" s="1"/>
  <c r="W1700" i="7949" s="1"/>
  <c r="J2186" i="7949"/>
  <c r="K2186" i="7949" s="1"/>
  <c r="L2186" i="7949" s="1"/>
  <c r="M2186" i="7949" s="1"/>
  <c r="N2186" i="7949" s="1"/>
  <c r="O2186" i="7949" s="1"/>
  <c r="P2186" i="7949" s="1"/>
  <c r="Q2186" i="7949" s="1"/>
  <c r="R2186" i="7949" s="1"/>
  <c r="S2186" i="7949" s="1"/>
  <c r="T2186" i="7949" s="1"/>
  <c r="U2186" i="7949" s="1"/>
  <c r="V2186" i="7949" s="1"/>
  <c r="W2186" i="7949" s="1"/>
  <c r="J2456" i="7949"/>
  <c r="K2456" i="7949" s="1"/>
  <c r="L2456" i="7949" s="1"/>
  <c r="M2456" i="7949" s="1"/>
  <c r="N2456" i="7949" s="1"/>
  <c r="O2456" i="7949" s="1"/>
  <c r="P2456" i="7949" s="1"/>
  <c r="Q2456" i="7949" s="1"/>
  <c r="R2456" i="7949" s="1"/>
  <c r="S2456" i="7949" s="1"/>
  <c r="T2456" i="7949" s="1"/>
  <c r="U2456" i="7949" s="1"/>
  <c r="V2456" i="7949" s="1"/>
  <c r="W2456" i="7949" s="1"/>
  <c r="J2618" i="7949"/>
  <c r="K2618" i="7949" s="1"/>
  <c r="L2618" i="7949" s="1"/>
  <c r="M2618" i="7949" s="1"/>
  <c r="N2618" i="7949" s="1"/>
  <c r="O2618" i="7949" s="1"/>
  <c r="P2618" i="7949" s="1"/>
  <c r="Q2618" i="7949" s="1"/>
  <c r="R2618" i="7949" s="1"/>
  <c r="S2618" i="7949" s="1"/>
  <c r="T2618" i="7949" s="1"/>
  <c r="U2618" i="7949" s="1"/>
  <c r="V2618" i="7949" s="1"/>
  <c r="W2618" i="7949" s="1"/>
  <c r="J242" i="7949"/>
  <c r="K242" i="7949" s="1"/>
  <c r="L242" i="7949" s="1"/>
  <c r="M242" i="7949" s="1"/>
  <c r="N242" i="7949" s="1"/>
  <c r="O242" i="7949" s="1"/>
  <c r="P242" i="7949" s="1"/>
  <c r="Q242" i="7949" s="1"/>
  <c r="R242" i="7949" s="1"/>
  <c r="S242" i="7949" s="1"/>
  <c r="T242" i="7949" s="1"/>
  <c r="U242" i="7949" s="1"/>
  <c r="V242" i="7949" s="1"/>
  <c r="W242" i="7949" s="1"/>
  <c r="J782" i="7949"/>
  <c r="K782" i="7949" s="1"/>
  <c r="L782" i="7949" s="1"/>
  <c r="M782" i="7949" s="1"/>
  <c r="N782" i="7949" s="1"/>
  <c r="O782" i="7949" s="1"/>
  <c r="P782" i="7949" s="1"/>
  <c r="Q782" i="7949" s="1"/>
  <c r="R782" i="7949" s="1"/>
  <c r="S782" i="7949" s="1"/>
  <c r="T782" i="7949" s="1"/>
  <c r="U782" i="7949" s="1"/>
  <c r="V782" i="7949" s="1"/>
  <c r="W782" i="7949" s="1"/>
  <c r="J2402" i="7949"/>
  <c r="K2402" i="7949" s="1"/>
  <c r="L2402" i="7949" s="1"/>
  <c r="M2402" i="7949" s="1"/>
  <c r="N2402" i="7949" s="1"/>
  <c r="O2402" i="7949" s="1"/>
  <c r="P2402" i="7949" s="1"/>
  <c r="Q2402" i="7949" s="1"/>
  <c r="R2402" i="7949" s="1"/>
  <c r="S2402" i="7949" s="1"/>
  <c r="T2402" i="7949" s="1"/>
  <c r="U2402" i="7949" s="1"/>
  <c r="V2402" i="7949" s="1"/>
  <c r="W2402" i="7949" s="1"/>
  <c r="J512" i="7949"/>
  <c r="K512" i="7949" s="1"/>
  <c r="L512" i="7949" s="1"/>
  <c r="M512" i="7949" s="1"/>
  <c r="N512" i="7949" s="1"/>
  <c r="O512" i="7949" s="1"/>
  <c r="P512" i="7949" s="1"/>
  <c r="Q512" i="7949" s="1"/>
  <c r="R512" i="7949" s="1"/>
  <c r="S512" i="7949" s="1"/>
  <c r="T512" i="7949" s="1"/>
  <c r="U512" i="7949" s="1"/>
  <c r="V512" i="7949" s="1"/>
  <c r="W512" i="7949" s="1"/>
  <c r="J1430" i="7949"/>
  <c r="K1430" i="7949" s="1"/>
  <c r="L1430" i="7949" s="1"/>
  <c r="M1430" i="7949" s="1"/>
  <c r="N1430" i="7949" s="1"/>
  <c r="O1430" i="7949" s="1"/>
  <c r="P1430" i="7949" s="1"/>
  <c r="Q1430" i="7949" s="1"/>
  <c r="R1430" i="7949" s="1"/>
  <c r="S1430" i="7949" s="1"/>
  <c r="T1430" i="7949" s="1"/>
  <c r="U1430" i="7949" s="1"/>
  <c r="V1430" i="7949" s="1"/>
  <c r="W1430" i="7949" s="1"/>
  <c r="J1052" i="7949"/>
  <c r="K1052" i="7949" s="1"/>
  <c r="L1052" i="7949" s="1"/>
  <c r="M1052" i="7949" s="1"/>
  <c r="N1052" i="7949" s="1"/>
  <c r="O1052" i="7949" s="1"/>
  <c r="P1052" i="7949" s="1"/>
  <c r="Q1052" i="7949" s="1"/>
  <c r="R1052" i="7949" s="1"/>
  <c r="S1052" i="7949" s="1"/>
  <c r="T1052" i="7949" s="1"/>
  <c r="U1052" i="7949" s="1"/>
  <c r="V1052" i="7949" s="1"/>
  <c r="W1052" i="7949" s="1"/>
  <c r="J1322" i="7949"/>
  <c r="K1322" i="7949" s="1"/>
  <c r="L1322" i="7949" s="1"/>
  <c r="M1322" i="7949" s="1"/>
  <c r="N1322" i="7949" s="1"/>
  <c r="O1322" i="7949" s="1"/>
  <c r="P1322" i="7949" s="1"/>
  <c r="Q1322" i="7949" s="1"/>
  <c r="R1322" i="7949" s="1"/>
  <c r="S1322" i="7949" s="1"/>
  <c r="T1322" i="7949" s="1"/>
  <c r="U1322" i="7949" s="1"/>
  <c r="V1322" i="7949" s="1"/>
  <c r="W1322" i="7949" s="1"/>
  <c r="J350" i="7949"/>
  <c r="K350" i="7949" s="1"/>
  <c r="L350" i="7949" s="1"/>
  <c r="M350" i="7949" s="1"/>
  <c r="N350" i="7949" s="1"/>
  <c r="O350" i="7949" s="1"/>
  <c r="P350" i="7949" s="1"/>
  <c r="Q350" i="7949" s="1"/>
  <c r="R350" i="7949" s="1"/>
  <c r="S350" i="7949" s="1"/>
  <c r="T350" i="7949" s="1"/>
  <c r="U350" i="7949" s="1"/>
  <c r="V350" i="7949" s="1"/>
  <c r="W350" i="7949" s="1"/>
  <c r="J2564" i="7949"/>
  <c r="K2564" i="7949" s="1"/>
  <c r="L2564" i="7949" s="1"/>
  <c r="M2564" i="7949" s="1"/>
  <c r="N2564" i="7949" s="1"/>
  <c r="O2564" i="7949" s="1"/>
  <c r="P2564" i="7949" s="1"/>
  <c r="Q2564" i="7949" s="1"/>
  <c r="R2564" i="7949" s="1"/>
  <c r="S2564" i="7949" s="1"/>
  <c r="T2564" i="7949" s="1"/>
  <c r="U2564" i="7949" s="1"/>
  <c r="V2564" i="7949" s="1"/>
  <c r="W2564" i="7949" s="1"/>
  <c r="J1484" i="7949"/>
  <c r="K1484" i="7949" s="1"/>
  <c r="L1484" i="7949" s="1"/>
  <c r="M1484" i="7949" s="1"/>
  <c r="N1484" i="7949" s="1"/>
  <c r="O1484" i="7949" s="1"/>
  <c r="P1484" i="7949" s="1"/>
  <c r="Q1484" i="7949" s="1"/>
  <c r="R1484" i="7949" s="1"/>
  <c r="S1484" i="7949" s="1"/>
  <c r="T1484" i="7949" s="1"/>
  <c r="U1484" i="7949" s="1"/>
  <c r="V1484" i="7949" s="1"/>
  <c r="W1484" i="7949" s="1"/>
  <c r="J1970" i="7949"/>
  <c r="K1970" i="7949" s="1"/>
  <c r="L1970" i="7949" s="1"/>
  <c r="M1970" i="7949" s="1"/>
  <c r="N1970" i="7949" s="1"/>
  <c r="O1970" i="7949" s="1"/>
  <c r="P1970" i="7949" s="1"/>
  <c r="Q1970" i="7949" s="1"/>
  <c r="R1970" i="7949" s="1"/>
  <c r="S1970" i="7949" s="1"/>
  <c r="T1970" i="7949" s="1"/>
  <c r="U1970" i="7949" s="1"/>
  <c r="V1970" i="7949" s="1"/>
  <c r="W1970" i="7949" s="1"/>
  <c r="J2672" i="7949"/>
  <c r="K2672" i="7949" s="1"/>
  <c r="L2672" i="7949" s="1"/>
  <c r="M2672" i="7949" s="1"/>
  <c r="N2672" i="7949" s="1"/>
  <c r="O2672" i="7949" s="1"/>
  <c r="P2672" i="7949" s="1"/>
  <c r="Q2672" i="7949" s="1"/>
  <c r="R2672" i="7949" s="1"/>
  <c r="S2672" i="7949" s="1"/>
  <c r="T2672" i="7949" s="1"/>
  <c r="U2672" i="7949" s="1"/>
  <c r="V2672" i="7949" s="1"/>
  <c r="W2672" i="7949" s="1"/>
  <c r="J1862" i="7949"/>
  <c r="K1862" i="7949" s="1"/>
  <c r="L1862" i="7949" s="1"/>
  <c r="M1862" i="7949" s="1"/>
  <c r="N1862" i="7949" s="1"/>
  <c r="O1862" i="7949" s="1"/>
  <c r="P1862" i="7949" s="1"/>
  <c r="Q1862" i="7949" s="1"/>
  <c r="R1862" i="7949" s="1"/>
  <c r="S1862" i="7949" s="1"/>
  <c r="T1862" i="7949" s="1"/>
  <c r="U1862" i="7949" s="1"/>
  <c r="V1862" i="7949" s="1"/>
  <c r="W1862" i="7949" s="1"/>
  <c r="J404" i="7949"/>
  <c r="K404" i="7949" s="1"/>
  <c r="L404" i="7949" s="1"/>
  <c r="M404" i="7949" s="1"/>
  <c r="N404" i="7949" s="1"/>
  <c r="O404" i="7949" s="1"/>
  <c r="P404" i="7949" s="1"/>
  <c r="Q404" i="7949" s="1"/>
  <c r="R404" i="7949" s="1"/>
  <c r="S404" i="7949" s="1"/>
  <c r="T404" i="7949" s="1"/>
  <c r="U404" i="7949" s="1"/>
  <c r="V404" i="7949" s="1"/>
  <c r="W404" i="7949" s="1"/>
  <c r="J944" i="7949"/>
  <c r="K944" i="7949" s="1"/>
  <c r="L944" i="7949" s="1"/>
  <c r="M944" i="7949" s="1"/>
  <c r="N944" i="7949" s="1"/>
  <c r="O944" i="7949" s="1"/>
  <c r="P944" i="7949" s="1"/>
  <c r="Q944" i="7949" s="1"/>
  <c r="R944" i="7949" s="1"/>
  <c r="S944" i="7949" s="1"/>
  <c r="T944" i="7949" s="1"/>
  <c r="U944" i="7949" s="1"/>
  <c r="V944" i="7949" s="1"/>
  <c r="W944" i="7949" s="1"/>
  <c r="J836" i="7949"/>
  <c r="K836" i="7949" s="1"/>
  <c r="L836" i="7949" s="1"/>
  <c r="M836" i="7949" s="1"/>
  <c r="N836" i="7949" s="1"/>
  <c r="O836" i="7949" s="1"/>
  <c r="P836" i="7949" s="1"/>
  <c r="Q836" i="7949" s="1"/>
  <c r="R836" i="7949" s="1"/>
  <c r="S836" i="7949" s="1"/>
  <c r="T836" i="7949" s="1"/>
  <c r="U836" i="7949" s="1"/>
  <c r="V836" i="7949" s="1"/>
  <c r="W836" i="7949" s="1"/>
  <c r="J2510" i="7949"/>
  <c r="K2510" i="7949" s="1"/>
  <c r="L2510" i="7949" s="1"/>
  <c r="M2510" i="7949" s="1"/>
  <c r="N2510" i="7949" s="1"/>
  <c r="O2510" i="7949" s="1"/>
  <c r="P2510" i="7949" s="1"/>
  <c r="Q2510" i="7949" s="1"/>
  <c r="R2510" i="7949" s="1"/>
  <c r="S2510" i="7949" s="1"/>
  <c r="T2510" i="7949" s="1"/>
  <c r="U2510" i="7949" s="1"/>
  <c r="V2510" i="7949" s="1"/>
  <c r="W2510" i="7949" s="1"/>
  <c r="J1754" i="7949"/>
  <c r="K1754" i="7949" s="1"/>
  <c r="L1754" i="7949" s="1"/>
  <c r="M1754" i="7949" s="1"/>
  <c r="N1754" i="7949" s="1"/>
  <c r="O1754" i="7949" s="1"/>
  <c r="P1754" i="7949" s="1"/>
  <c r="Q1754" i="7949" s="1"/>
  <c r="R1754" i="7949" s="1"/>
  <c r="S1754" i="7949" s="1"/>
  <c r="T1754" i="7949" s="1"/>
  <c r="U1754" i="7949" s="1"/>
  <c r="V1754" i="7949" s="1"/>
  <c r="W1754" i="7949" s="1"/>
  <c r="J134" i="7949"/>
  <c r="K134" i="7949" s="1"/>
  <c r="L134" i="7949" s="1"/>
  <c r="M134" i="7949" s="1"/>
  <c r="N134" i="7949" s="1"/>
  <c r="O134" i="7949" s="1"/>
  <c r="P134" i="7949" s="1"/>
  <c r="Q134" i="7949" s="1"/>
  <c r="R134" i="7949" s="1"/>
  <c r="S134" i="7949" s="1"/>
  <c r="T134" i="7949" s="1"/>
  <c r="U134" i="7949" s="1"/>
  <c r="V134" i="7949" s="1"/>
  <c r="W134" i="7949" s="1"/>
  <c r="J1916" i="7949"/>
  <c r="K1916" i="7949" s="1"/>
  <c r="L1916" i="7949" s="1"/>
  <c r="M1916" i="7949" s="1"/>
  <c r="N1916" i="7949" s="1"/>
  <c r="O1916" i="7949" s="1"/>
  <c r="P1916" i="7949" s="1"/>
  <c r="Q1916" i="7949" s="1"/>
  <c r="R1916" i="7949" s="1"/>
  <c r="S1916" i="7949" s="1"/>
  <c r="T1916" i="7949" s="1"/>
  <c r="U1916" i="7949" s="1"/>
  <c r="V1916" i="7949" s="1"/>
  <c r="W1916" i="7949" s="1"/>
  <c r="J620" i="7949"/>
  <c r="K620" i="7949" s="1"/>
  <c r="L620" i="7949" s="1"/>
  <c r="M620" i="7949" s="1"/>
  <c r="N620" i="7949" s="1"/>
  <c r="O620" i="7949" s="1"/>
  <c r="P620" i="7949" s="1"/>
  <c r="Q620" i="7949" s="1"/>
  <c r="R620" i="7949" s="1"/>
  <c r="S620" i="7949" s="1"/>
  <c r="T620" i="7949" s="1"/>
  <c r="U620" i="7949" s="1"/>
  <c r="V620" i="7949" s="1"/>
  <c r="W620" i="7949" s="1"/>
  <c r="J2240" i="7949"/>
  <c r="K2240" i="7949" s="1"/>
  <c r="L2240" i="7949" s="1"/>
  <c r="M2240" i="7949" s="1"/>
  <c r="N2240" i="7949" s="1"/>
  <c r="O2240" i="7949" s="1"/>
  <c r="P2240" i="7949" s="1"/>
  <c r="Q2240" i="7949" s="1"/>
  <c r="R2240" i="7949" s="1"/>
  <c r="S2240" i="7949" s="1"/>
  <c r="T2240" i="7949" s="1"/>
  <c r="U2240" i="7949" s="1"/>
  <c r="V2240" i="7949" s="1"/>
  <c r="W2240" i="7949" s="1"/>
  <c r="J674" i="7949"/>
  <c r="K674" i="7949" s="1"/>
  <c r="L674" i="7949" s="1"/>
  <c r="M674" i="7949" s="1"/>
  <c r="N674" i="7949" s="1"/>
  <c r="O674" i="7949" s="1"/>
  <c r="P674" i="7949" s="1"/>
  <c r="Q674" i="7949" s="1"/>
  <c r="R674" i="7949" s="1"/>
  <c r="S674" i="7949" s="1"/>
  <c r="T674" i="7949" s="1"/>
  <c r="U674" i="7949" s="1"/>
  <c r="V674" i="7949" s="1"/>
  <c r="W674" i="7949" s="1"/>
  <c r="J1214" i="7949"/>
  <c r="K1214" i="7949" s="1"/>
  <c r="L1214" i="7949" s="1"/>
  <c r="M1214" i="7949" s="1"/>
  <c r="N1214" i="7949" s="1"/>
  <c r="O1214" i="7949" s="1"/>
  <c r="P1214" i="7949" s="1"/>
  <c r="Q1214" i="7949" s="1"/>
  <c r="R1214" i="7949" s="1"/>
  <c r="S1214" i="7949" s="1"/>
  <c r="T1214" i="7949" s="1"/>
  <c r="U1214" i="7949" s="1"/>
  <c r="V1214" i="7949" s="1"/>
  <c r="W1214" i="7949" s="1"/>
  <c r="J566" i="7949"/>
  <c r="K566" i="7949" s="1"/>
  <c r="L566" i="7949" s="1"/>
  <c r="M566" i="7949" s="1"/>
  <c r="N566" i="7949" s="1"/>
  <c r="O566" i="7949" s="1"/>
  <c r="P566" i="7949" s="1"/>
  <c r="Q566" i="7949" s="1"/>
  <c r="R566" i="7949" s="1"/>
  <c r="S566" i="7949" s="1"/>
  <c r="T566" i="7949" s="1"/>
  <c r="U566" i="7949" s="1"/>
  <c r="V566" i="7949" s="1"/>
  <c r="W566" i="7949" s="1"/>
  <c r="J296" i="7949"/>
  <c r="K296" i="7949" s="1"/>
  <c r="L296" i="7949" s="1"/>
  <c r="M296" i="7949" s="1"/>
  <c r="N296" i="7949" s="1"/>
  <c r="O296" i="7949" s="1"/>
  <c r="P296" i="7949" s="1"/>
  <c r="Q296" i="7949" s="1"/>
  <c r="R296" i="7949" s="1"/>
  <c r="S296" i="7949" s="1"/>
  <c r="T296" i="7949" s="1"/>
  <c r="U296" i="7949" s="1"/>
  <c r="V296" i="7949" s="1"/>
  <c r="W296" i="7949" s="1"/>
  <c r="J2078" i="7949"/>
  <c r="K2078" i="7949" s="1"/>
  <c r="L2078" i="7949" s="1"/>
  <c r="M2078" i="7949" s="1"/>
  <c r="N2078" i="7949" s="1"/>
  <c r="O2078" i="7949" s="1"/>
  <c r="P2078" i="7949" s="1"/>
  <c r="Q2078" i="7949" s="1"/>
  <c r="R2078" i="7949" s="1"/>
  <c r="S2078" i="7949" s="1"/>
  <c r="T2078" i="7949" s="1"/>
  <c r="U2078" i="7949" s="1"/>
  <c r="V2078" i="7949" s="1"/>
  <c r="W2078" i="7949" s="1"/>
  <c r="J80" i="7949"/>
  <c r="K80" i="7949" s="1"/>
  <c r="L80" i="7949" s="1"/>
  <c r="M80" i="7949" s="1"/>
  <c r="N80" i="7949" s="1"/>
  <c r="O80" i="7949" s="1"/>
  <c r="P80" i="7949" s="1"/>
  <c r="Q80" i="7949" s="1"/>
  <c r="R80" i="7949" s="1"/>
  <c r="S80" i="7949" s="1"/>
  <c r="T80" i="7949" s="1"/>
  <c r="U80" i="7949" s="1"/>
  <c r="V80" i="7949" s="1"/>
  <c r="W80" i="7949" s="1"/>
  <c r="J26" i="7949"/>
  <c r="K26" i="7949" s="1"/>
  <c r="L26" i="7949" s="1"/>
  <c r="M26" i="7949" s="1"/>
  <c r="N26" i="7949" s="1"/>
  <c r="O26" i="7949" s="1"/>
  <c r="P26" i="7949" s="1"/>
  <c r="Q26" i="7949" s="1"/>
  <c r="R26" i="7949" s="1"/>
  <c r="S26" i="7949" s="1"/>
  <c r="T26" i="7949" s="1"/>
  <c r="U26" i="7949" s="1"/>
  <c r="V26" i="7949" s="1"/>
  <c r="W26" i="7949" s="1"/>
  <c r="J1646" i="7949"/>
  <c r="K1646" i="7949" s="1"/>
  <c r="L1646" i="7949" s="1"/>
  <c r="M1646" i="7949" s="1"/>
  <c r="N1646" i="7949" s="1"/>
  <c r="O1646" i="7949" s="1"/>
  <c r="P1646" i="7949" s="1"/>
  <c r="Q1646" i="7949" s="1"/>
  <c r="R1646" i="7949" s="1"/>
  <c r="S1646" i="7949" s="1"/>
  <c r="T1646" i="7949" s="1"/>
  <c r="U1646" i="7949" s="1"/>
  <c r="V1646" i="7949" s="1"/>
  <c r="W1646" i="7949" s="1"/>
  <c r="J998" i="7949"/>
  <c r="K998" i="7949" s="1"/>
  <c r="L998" i="7949" s="1"/>
  <c r="M998" i="7949" s="1"/>
  <c r="N998" i="7949" s="1"/>
  <c r="O998" i="7949" s="1"/>
  <c r="P998" i="7949" s="1"/>
  <c r="Q998" i="7949" s="1"/>
  <c r="R998" i="7949" s="1"/>
  <c r="S998" i="7949" s="1"/>
  <c r="T998" i="7949" s="1"/>
  <c r="U998" i="7949" s="1"/>
  <c r="V998" i="7949" s="1"/>
  <c r="W998" i="7949" s="1"/>
  <c r="J2294" i="7949"/>
  <c r="K2294" i="7949" s="1"/>
  <c r="L2294" i="7949" s="1"/>
  <c r="M2294" i="7949" s="1"/>
  <c r="N2294" i="7949" s="1"/>
  <c r="O2294" i="7949" s="1"/>
  <c r="P2294" i="7949" s="1"/>
  <c r="Q2294" i="7949" s="1"/>
  <c r="R2294" i="7949" s="1"/>
  <c r="S2294" i="7949" s="1"/>
  <c r="T2294" i="7949" s="1"/>
  <c r="U2294" i="7949" s="1"/>
  <c r="V2294" i="7949" s="1"/>
  <c r="W2294" i="7949" s="1"/>
  <c r="J188" i="7949"/>
  <c r="K188" i="7949" s="1"/>
  <c r="L188" i="7949" s="1"/>
  <c r="M188" i="7949" s="1"/>
  <c r="N188" i="7949" s="1"/>
  <c r="O188" i="7949" s="1"/>
  <c r="P188" i="7949" s="1"/>
  <c r="Q188" i="7949" s="1"/>
  <c r="R188" i="7949" s="1"/>
  <c r="S188" i="7949" s="1"/>
  <c r="T188" i="7949" s="1"/>
  <c r="U188" i="7949" s="1"/>
  <c r="V188" i="7949" s="1"/>
  <c r="W188" i="7949" s="1"/>
  <c r="J1538" i="7949"/>
  <c r="K1538" i="7949" s="1"/>
  <c r="L1538" i="7949" s="1"/>
  <c r="M1538" i="7949" s="1"/>
  <c r="N1538" i="7949" s="1"/>
  <c r="O1538" i="7949" s="1"/>
  <c r="P1538" i="7949" s="1"/>
  <c r="Q1538" i="7949" s="1"/>
  <c r="R1538" i="7949" s="1"/>
  <c r="S1538" i="7949" s="1"/>
  <c r="T1538" i="7949" s="1"/>
  <c r="U1538" i="7949" s="1"/>
  <c r="V1538" i="7949" s="1"/>
  <c r="W1538" i="7949" s="1"/>
  <c r="R2582" i="7950"/>
  <c r="R2558" i="7950"/>
  <c r="S264" i="7950"/>
  <c r="S240" i="7950"/>
  <c r="V1397" i="7950"/>
  <c r="V1373" i="7950"/>
  <c r="P261" i="7950"/>
  <c r="P237" i="7950"/>
  <c r="T156" i="7950"/>
  <c r="T132" i="7950"/>
  <c r="T2100" i="7950"/>
  <c r="T2076" i="7950"/>
  <c r="R1966" i="7950"/>
  <c r="R1990" i="7950"/>
  <c r="T1775" i="7950"/>
  <c r="T1751" i="7950"/>
  <c r="Q1155" i="7950"/>
  <c r="Q1179" i="7950"/>
  <c r="S263" i="7950"/>
  <c r="S239" i="7950"/>
  <c r="T2045" i="7950"/>
  <c r="T2021" i="7950"/>
  <c r="T2238" i="7950"/>
  <c r="T2262" i="7950"/>
  <c r="R1882" i="7950"/>
  <c r="R1858" i="7950"/>
  <c r="T534" i="7950"/>
  <c r="T510" i="7950"/>
  <c r="Q100" i="7950"/>
  <c r="Q76" i="7950"/>
  <c r="T696" i="7950"/>
  <c r="T672" i="7950"/>
  <c r="R1936" i="7950"/>
  <c r="R1912" i="7950"/>
  <c r="R586" i="7950"/>
  <c r="R562" i="7950"/>
  <c r="R1180" i="7950"/>
  <c r="R1156" i="7950"/>
  <c r="Q315" i="7950"/>
  <c r="Q291" i="7950"/>
  <c r="Q2043" i="7950"/>
  <c r="Q2019" i="7950"/>
  <c r="Q1533" i="7950"/>
  <c r="Q1557" i="7950"/>
  <c r="Q1641" i="7950"/>
  <c r="Q1665" i="7950"/>
  <c r="Q615" i="7950"/>
  <c r="Q639" i="7950"/>
  <c r="T371" i="7950"/>
  <c r="T347" i="7950"/>
  <c r="T2369" i="7950"/>
  <c r="T2345" i="7950"/>
  <c r="T1398" i="7950"/>
  <c r="T1374" i="7950"/>
  <c r="Q2421" i="7950"/>
  <c r="Q2397" i="7950"/>
  <c r="T2022" i="7950"/>
  <c r="T2046" i="7950"/>
  <c r="U965" i="7950"/>
  <c r="U941" i="7950"/>
  <c r="S1913" i="7950"/>
  <c r="S1937" i="7950"/>
  <c r="S2074" i="7950"/>
  <c r="S2098" i="7950"/>
  <c r="R2638" i="7950"/>
  <c r="R2614" i="7950"/>
  <c r="T2400" i="7950"/>
  <c r="T2424" i="7950"/>
  <c r="Q777" i="7950"/>
  <c r="Q801" i="7950"/>
  <c r="T588" i="7950"/>
  <c r="T564" i="7950"/>
  <c r="R962" i="7950"/>
  <c r="R938" i="7950"/>
  <c r="T2562" i="7950"/>
  <c r="T2586" i="7950"/>
  <c r="S2452" i="7950"/>
  <c r="S2476" i="7950"/>
  <c r="V401" i="7950"/>
  <c r="V425" i="7950"/>
  <c r="T966" i="7950"/>
  <c r="T942" i="7950"/>
  <c r="T2291" i="7950"/>
  <c r="T2315" i="7950"/>
  <c r="T1074" i="7950"/>
  <c r="T1050" i="7950"/>
  <c r="T804" i="7950"/>
  <c r="T780" i="7950"/>
  <c r="T1806" i="7950"/>
  <c r="T1830" i="7950"/>
  <c r="T1992" i="7950"/>
  <c r="T1968" i="7950"/>
  <c r="T1614" i="7950"/>
  <c r="T1590" i="7950"/>
  <c r="Q2583" i="7950"/>
  <c r="Q2559" i="7950"/>
  <c r="T1613" i="7950"/>
  <c r="T1589" i="7950"/>
  <c r="T618" i="7950"/>
  <c r="T642" i="7950"/>
  <c r="R1480" i="7950"/>
  <c r="R1504" i="7950"/>
  <c r="T1482" i="7950"/>
  <c r="T1506" i="7950"/>
  <c r="U1721" i="7950"/>
  <c r="U1697" i="7950"/>
  <c r="V2669" i="7950"/>
  <c r="V2693" i="7950"/>
  <c r="T2423" i="7950"/>
  <c r="T2399" i="7950"/>
  <c r="T2261" i="7950"/>
  <c r="T2237" i="7950"/>
  <c r="T2154" i="7950"/>
  <c r="T2130" i="7950"/>
  <c r="T1211" i="7950"/>
  <c r="T1235" i="7950"/>
  <c r="T617" i="7950"/>
  <c r="T641" i="7950"/>
  <c r="T1157" i="7950"/>
  <c r="T1181" i="7950"/>
  <c r="Q1803" i="7950"/>
  <c r="Q1827" i="7950"/>
  <c r="T480" i="7950"/>
  <c r="T456" i="7950"/>
  <c r="R1372" i="7950"/>
  <c r="R1396" i="7950"/>
  <c r="U1805" i="7950"/>
  <c r="U1829" i="7950"/>
  <c r="T2640" i="7950"/>
  <c r="T2616" i="7950"/>
  <c r="U1667" i="7950"/>
  <c r="U1643" i="7950"/>
  <c r="Q1857" i="7950"/>
  <c r="Q1881" i="7950"/>
  <c r="T210" i="7950"/>
  <c r="T186" i="7950"/>
  <c r="R370" i="7950"/>
  <c r="R346" i="7950"/>
  <c r="U2615" i="7950"/>
  <c r="U2639" i="7950"/>
  <c r="S533" i="7950"/>
  <c r="S509" i="7950"/>
  <c r="T2694" i="7950"/>
  <c r="T2670" i="7950"/>
  <c r="T317" i="7950"/>
  <c r="T293" i="7950"/>
  <c r="T1020" i="7950"/>
  <c r="T996" i="7950"/>
  <c r="T348" i="7950"/>
  <c r="T372" i="7950"/>
  <c r="T1104" i="7950"/>
  <c r="T1128" i="7950"/>
  <c r="T995" i="7950"/>
  <c r="T1019" i="7950"/>
  <c r="R1048" i="7950"/>
  <c r="R1072" i="7950"/>
  <c r="S857" i="7950"/>
  <c r="S833" i="7950"/>
  <c r="T155" i="7950"/>
  <c r="T131" i="7950"/>
  <c r="Q561" i="7950"/>
  <c r="Q585" i="7950"/>
  <c r="T1698" i="7950"/>
  <c r="T1722" i="7950"/>
  <c r="T1883" i="7950"/>
  <c r="T1859" i="7950"/>
  <c r="T2208" i="7950"/>
  <c r="T2184" i="7950"/>
  <c r="T1505" i="7950"/>
  <c r="T1481" i="7950"/>
  <c r="R1426" i="7950"/>
  <c r="R1450" i="7950"/>
  <c r="Q1503" i="7950"/>
  <c r="Q1479" i="7950"/>
  <c r="T426" i="7950"/>
  <c r="T402" i="7950"/>
  <c r="T587" i="7950"/>
  <c r="T563" i="7950"/>
  <c r="R940" i="7950"/>
  <c r="R964" i="7950"/>
  <c r="T912" i="7950"/>
  <c r="T888" i="7950"/>
  <c r="T858" i="7950"/>
  <c r="T834" i="7950"/>
  <c r="Q1695" i="7950"/>
  <c r="Q1719" i="7950"/>
  <c r="T2207" i="7950"/>
  <c r="T2183" i="7950"/>
  <c r="S887" i="7950"/>
  <c r="S911" i="7950"/>
  <c r="T455" i="7950"/>
  <c r="T479" i="7950"/>
  <c r="R508" i="7950"/>
  <c r="R532" i="7950"/>
  <c r="R694" i="7950"/>
  <c r="R670" i="7950"/>
  <c r="R1804" i="7950"/>
  <c r="R1828" i="7950"/>
  <c r="Q747" i="7950"/>
  <c r="Q723" i="7950"/>
  <c r="R101" i="7950"/>
  <c r="R77" i="7950"/>
  <c r="V1126" i="7950"/>
  <c r="V1102" i="7950"/>
  <c r="U2153" i="7950"/>
  <c r="U2129" i="7950"/>
  <c r="Q963" i="7950"/>
  <c r="Q939" i="7950"/>
  <c r="T1559" i="7950"/>
  <c r="T1535" i="7950"/>
  <c r="Q831" i="7950"/>
  <c r="Q855" i="7950"/>
  <c r="Q1071" i="7950"/>
  <c r="Q1047" i="7950"/>
  <c r="Q531" i="7950"/>
  <c r="Q507" i="7950"/>
  <c r="T726" i="7950"/>
  <c r="T750" i="7950"/>
  <c r="T1182" i="7950"/>
  <c r="T1158" i="7950"/>
  <c r="T294" i="7950"/>
  <c r="T318" i="7950"/>
  <c r="U2478" i="7950"/>
  <c r="U2454" i="7950"/>
  <c r="T1860" i="7950"/>
  <c r="T1884" i="7950"/>
  <c r="Q423" i="7950"/>
  <c r="Q399" i="7950"/>
  <c r="T1752" i="7950"/>
  <c r="T1776" i="7950"/>
  <c r="T695" i="7950"/>
  <c r="T671" i="7950"/>
  <c r="T1536" i="7950"/>
  <c r="T1560" i="7950"/>
  <c r="T2508" i="7950"/>
  <c r="T2532" i="7950"/>
  <c r="T1452" i="7950"/>
  <c r="T1428" i="7950"/>
  <c r="U2075" i="7950"/>
  <c r="U2099" i="7950"/>
  <c r="T2292" i="7950"/>
  <c r="T2316" i="7950"/>
  <c r="T1967" i="7950"/>
  <c r="T1991" i="7950"/>
  <c r="T2346" i="7950"/>
  <c r="T2370" i="7950"/>
  <c r="T1289" i="7950"/>
  <c r="T1265" i="7950"/>
  <c r="T1103" i="7950"/>
  <c r="T1127" i="7950"/>
  <c r="Q2205" i="7950"/>
  <c r="Q2181" i="7950"/>
  <c r="T1668" i="7950"/>
  <c r="T1644" i="7950"/>
  <c r="T1236" i="7950"/>
  <c r="T1212" i="7950"/>
  <c r="R2152" i="7950"/>
  <c r="R2128" i="7950"/>
  <c r="T2585" i="7950"/>
  <c r="T2561" i="7950"/>
  <c r="U185" i="7950"/>
  <c r="U209" i="7950"/>
  <c r="T1451" i="7950"/>
  <c r="T1427" i="7950"/>
  <c r="T725" i="7950"/>
  <c r="T749" i="7950"/>
  <c r="T779" i="7950"/>
  <c r="T803" i="7950"/>
  <c r="R1720" i="7950"/>
  <c r="R1696" i="7950"/>
  <c r="S2507" i="7950"/>
  <c r="S2531" i="7950"/>
  <c r="T1290" i="7950"/>
  <c r="T1266" i="7950"/>
  <c r="S1049" i="7950"/>
  <c r="S1073" i="7950"/>
  <c r="T2453" i="7950"/>
  <c r="T2477" i="7950"/>
  <c r="V994" i="7950"/>
  <c r="V1018" i="7950"/>
  <c r="T1938" i="7950"/>
  <c r="T1914" i="7950"/>
  <c r="M1123" i="18"/>
  <c r="M861" i="18" s="1"/>
  <c r="M1102" i="18"/>
  <c r="M840" i="18" s="1"/>
  <c r="M1100" i="18"/>
  <c r="M1121" i="18"/>
  <c r="M859" i="18" s="1"/>
  <c r="M1117" i="18"/>
  <c r="M855" i="18" s="1"/>
  <c r="M1131" i="18"/>
  <c r="M1118" i="18"/>
  <c r="M856" i="18" s="1"/>
  <c r="M146" i="7941" s="1"/>
  <c r="M1113" i="18"/>
  <c r="M1107" i="18"/>
  <c r="M845" i="18" s="1"/>
  <c r="M135" i="7941" s="1"/>
  <c r="M1111" i="18"/>
  <c r="M1105" i="18"/>
  <c r="M843" i="18" s="1"/>
  <c r="M133" i="7941" s="1"/>
  <c r="M1109" i="18"/>
  <c r="M1119" i="18"/>
  <c r="M857" i="18" s="1"/>
  <c r="M147" i="7941" s="1"/>
  <c r="M1122" i="18"/>
  <c r="M1128" i="18"/>
  <c r="M866" i="18" s="1"/>
  <c r="M156" i="7941" s="1"/>
  <c r="M1125" i="18"/>
  <c r="M1130" i="18"/>
  <c r="M868" i="18" s="1"/>
  <c r="M1129" i="18"/>
  <c r="M1108" i="18"/>
  <c r="M1112" i="18"/>
  <c r="M850" i="18" s="1"/>
  <c r="M140" i="7941" s="1"/>
  <c r="M1106" i="18"/>
  <c r="M1110" i="18"/>
  <c r="M848" i="18" s="1"/>
  <c r="M138" i="7941" s="1"/>
  <c r="M1120" i="18"/>
  <c r="M1132" i="18"/>
  <c r="M870" i="18" s="1"/>
  <c r="M160" i="7941" s="1"/>
  <c r="M1126" i="18"/>
  <c r="M1124" i="18"/>
  <c r="M862" i="18" s="1"/>
  <c r="M1116" i="18"/>
  <c r="M1104" i="18"/>
  <c r="M842" i="18" s="1"/>
  <c r="M132" i="7941" s="1"/>
  <c r="M1103" i="18"/>
  <c r="M1098" i="18"/>
  <c r="M836" i="18" s="1"/>
  <c r="M1097" i="18"/>
  <c r="M1092" i="18"/>
  <c r="M830" i="18" s="1"/>
  <c r="M120" i="7941" s="1"/>
  <c r="M1091" i="18"/>
  <c r="M1101" i="18"/>
  <c r="M839" i="18" s="1"/>
  <c r="M129" i="7941" s="1"/>
  <c r="M1096" i="18"/>
  <c r="M1095" i="18"/>
  <c r="M833" i="18" s="1"/>
  <c r="M123" i="7941" s="1"/>
  <c r="M1099" i="18"/>
  <c r="M1094" i="18"/>
  <c r="M832" i="18" s="1"/>
  <c r="M122" i="7941" s="1"/>
  <c r="M1093" i="18"/>
  <c r="M1127" i="18"/>
  <c r="M865" i="18" s="1"/>
  <c r="K143" i="7941"/>
  <c r="L749" i="18"/>
  <c r="L520" i="7942"/>
  <c r="L521" i="7942"/>
  <c r="I525" i="7942"/>
  <c r="I526" i="7942" s="1"/>
  <c r="I524" i="7942"/>
  <c r="N519" i="7942"/>
  <c r="K522" i="7942"/>
  <c r="A529" i="7942"/>
  <c r="H529" i="7942" s="1"/>
  <c r="H527" i="7942"/>
  <c r="J523" i="7942"/>
  <c r="O513" i="7942"/>
  <c r="Q515" i="7942"/>
  <c r="Q516" i="7942" s="1"/>
  <c r="Q572" i="7941" s="1"/>
  <c r="P516" i="7942"/>
  <c r="M520" i="7942"/>
  <c r="M2659" i="7950"/>
  <c r="M2605" i="7950"/>
  <c r="M2551" i="7950"/>
  <c r="M2497" i="7950"/>
  <c r="M2443" i="7950"/>
  <c r="M2389" i="7950"/>
  <c r="M2335" i="7950"/>
  <c r="M2281" i="7950"/>
  <c r="M2227" i="7950"/>
  <c r="M2173" i="7950"/>
  <c r="M2119" i="7950"/>
  <c r="M2065" i="7950"/>
  <c r="M2011" i="7950"/>
  <c r="M1957" i="7950"/>
  <c r="M1903" i="7950"/>
  <c r="M1849" i="7950"/>
  <c r="M1795" i="7950"/>
  <c r="M1741" i="7950"/>
  <c r="M1687" i="7950"/>
  <c r="M1633" i="7950"/>
  <c r="M1579" i="7950"/>
  <c r="M1525" i="7950"/>
  <c r="M1471" i="7950"/>
  <c r="M1417" i="7950"/>
  <c r="M1363" i="7950"/>
  <c r="M1309" i="7950"/>
  <c r="M1255" i="7950"/>
  <c r="M1201" i="7950"/>
  <c r="M1147" i="7950"/>
  <c r="M1093" i="7950"/>
  <c r="M1039" i="7950"/>
  <c r="M985" i="7950"/>
  <c r="M931" i="7950"/>
  <c r="M877" i="7950"/>
  <c r="M823" i="7950"/>
  <c r="M769" i="7950"/>
  <c r="M715" i="7950"/>
  <c r="M661" i="7950"/>
  <c r="M607" i="7950"/>
  <c r="M553" i="7950"/>
  <c r="M499" i="7950"/>
  <c r="M445" i="7950"/>
  <c r="M391" i="7950"/>
  <c r="M337" i="7950"/>
  <c r="M283" i="7950"/>
  <c r="M229" i="7950"/>
  <c r="M175" i="7950"/>
  <c r="M2664" i="7949"/>
  <c r="M2610" i="7949"/>
  <c r="M2556" i="7949"/>
  <c r="M2502" i="7949"/>
  <c r="M2448" i="7949"/>
  <c r="M2394" i="7949"/>
  <c r="M2340" i="7949"/>
  <c r="M2286" i="7949"/>
  <c r="M2232" i="7949"/>
  <c r="M2178" i="7949"/>
  <c r="M2124" i="7949"/>
  <c r="M2070" i="7949"/>
  <c r="M2016" i="7949"/>
  <c r="M1962" i="7949"/>
  <c r="M1908" i="7949"/>
  <c r="M1854" i="7949"/>
  <c r="M1800" i="7949"/>
  <c r="M1746" i="7949"/>
  <c r="M1692" i="7949"/>
  <c r="M1638" i="7949"/>
  <c r="M1584" i="7949"/>
  <c r="M1530" i="7949"/>
  <c r="M1476" i="7949"/>
  <c r="M1422" i="7949"/>
  <c r="M1368" i="7949"/>
  <c r="M1314" i="7949"/>
  <c r="M1260" i="7949"/>
  <c r="M1206" i="7949"/>
  <c r="M1152" i="7949"/>
  <c r="M1098" i="7949"/>
  <c r="M1044" i="7949"/>
  <c r="M990" i="7949"/>
  <c r="M936" i="7949"/>
  <c r="M882" i="7949"/>
  <c r="M828" i="7949"/>
  <c r="M774" i="7949"/>
  <c r="M720" i="7949"/>
  <c r="M666" i="7949"/>
  <c r="M612" i="7949"/>
  <c r="M558" i="7949"/>
  <c r="M504" i="7949"/>
  <c r="M450" i="7949"/>
  <c r="M396" i="7949"/>
  <c r="M342" i="7949"/>
  <c r="M288" i="7949"/>
  <c r="M234" i="7949"/>
  <c r="M13" i="7950"/>
  <c r="M2634" i="7949"/>
  <c r="M2526" i="7949"/>
  <c r="M2094" i="7949"/>
  <c r="M1986" i="7949"/>
  <c r="M1770" i="7949"/>
  <c r="M1338" i="7949"/>
  <c r="M1230" i="7949"/>
  <c r="M690" i="7949"/>
  <c r="M474" i="7949"/>
  <c r="M366" i="7949"/>
  <c r="M258" i="7949"/>
  <c r="M2418" i="7949"/>
  <c r="M2310" i="7949"/>
  <c r="M2202" i="7949"/>
  <c r="M1878" i="7949"/>
  <c r="M1662" i="7949"/>
  <c r="M1554" i="7949"/>
  <c r="M1446" i="7949"/>
  <c r="M1122" i="7949"/>
  <c r="M1014" i="7949"/>
  <c r="M906" i="7949"/>
  <c r="M798" i="7949"/>
  <c r="M582" i="7949"/>
  <c r="M2580" i="7949"/>
  <c r="M2256" i="7949"/>
  <c r="M1932" i="7949"/>
  <c r="M1716" i="7949"/>
  <c r="M1392" i="7949"/>
  <c r="M636" i="7949"/>
  <c r="M2359" i="7950"/>
  <c r="M1819" i="7950"/>
  <c r="M631" i="7950"/>
  <c r="M415" i="7950"/>
  <c r="M199" i="7950"/>
  <c r="M67" i="7950"/>
  <c r="M2413" i="7950"/>
  <c r="M2305" i="7950"/>
  <c r="M1495" i="7950"/>
  <c r="M1279" i="7950"/>
  <c r="M1711" i="7950"/>
  <c r="M1225" i="7950"/>
  <c r="M577" i="7950"/>
  <c r="M253" i="7950"/>
  <c r="M1549" i="7950"/>
  <c r="M2364" i="7949"/>
  <c r="M2148" i="7949"/>
  <c r="M1608" i="7949"/>
  <c r="M1176" i="7949"/>
  <c r="M960" i="7949"/>
  <c r="M528" i="7949"/>
  <c r="M96" i="7949"/>
  <c r="M1171" i="7950"/>
  <c r="M150" i="7949"/>
  <c r="M42" i="7949"/>
  <c r="M2467" i="7950"/>
  <c r="M2143" i="7950"/>
  <c r="M1927" i="7950"/>
  <c r="M1333" i="7950"/>
  <c r="M739" i="7950"/>
  <c r="M2521" i="7950"/>
  <c r="M2089" i="7950"/>
  <c r="M1387" i="7950"/>
  <c r="M1765" i="7950"/>
  <c r="M2472" i="7949"/>
  <c r="M2040" i="7949"/>
  <c r="M1500" i="7949"/>
  <c r="M744" i="7949"/>
  <c r="M312" i="7949"/>
  <c r="M2575" i="7950"/>
  <c r="M1603" i="7950"/>
  <c r="M523" i="7950"/>
  <c r="M307" i="7950"/>
  <c r="M955" i="7950"/>
  <c r="M1009" i="7950"/>
  <c r="M361" i="7950"/>
  <c r="M145" i="7950"/>
  <c r="M847" i="7950"/>
  <c r="M2688" i="7949"/>
  <c r="M1824" i="7949"/>
  <c r="M1284" i="7949"/>
  <c r="M1068" i="7949"/>
  <c r="M852" i="7949"/>
  <c r="M420" i="7949"/>
  <c r="M2683" i="7950"/>
  <c r="M2251" i="7950"/>
  <c r="M2035" i="7950"/>
  <c r="M1441" i="7950"/>
  <c r="M1117" i="7950"/>
  <c r="M901" i="7950"/>
  <c r="M1657" i="7950"/>
  <c r="M2629" i="7950"/>
  <c r="M2197" i="7950"/>
  <c r="M1981" i="7950"/>
  <c r="M1873" i="7950"/>
  <c r="M793" i="7950"/>
  <c r="M685" i="7950"/>
  <c r="M469" i="7950"/>
  <c r="M1063" i="7950"/>
  <c r="M37" i="7950"/>
  <c r="L368" i="7941"/>
  <c r="M54" i="7941"/>
  <c r="L358" i="7941"/>
  <c r="M44" i="7941"/>
  <c r="L369" i="7941"/>
  <c r="M55" i="7941"/>
  <c r="L370" i="7941"/>
  <c r="M56" i="7941"/>
  <c r="L361" i="7941"/>
  <c r="M47" i="7941"/>
  <c r="L364" i="7941"/>
  <c r="M50" i="7941"/>
  <c r="L362" i="7941"/>
  <c r="M48" i="7941"/>
  <c r="L356" i="7941"/>
  <c r="M42" i="7941"/>
  <c r="L354" i="7941"/>
  <c r="M40" i="7941"/>
  <c r="L367" i="7941"/>
  <c r="M53" i="7941"/>
  <c r="L357" i="7941"/>
  <c r="M43" i="7941"/>
  <c r="L363" i="7941"/>
  <c r="M49" i="7941"/>
  <c r="L360" i="7941"/>
  <c r="M46" i="7941"/>
  <c r="L366" i="7941"/>
  <c r="M52" i="7941"/>
  <c r="L365" i="7941"/>
  <c r="M51" i="7941"/>
  <c r="L342" i="7941"/>
  <c r="M28" i="7941"/>
  <c r="L341" i="7941"/>
  <c r="M27" i="7941"/>
  <c r="L336" i="7941"/>
  <c r="M22" i="7941"/>
  <c r="L350" i="7941"/>
  <c r="M36" i="7941"/>
  <c r="L349" i="7941"/>
  <c r="M35" i="7941"/>
  <c r="L333" i="7941"/>
  <c r="M19" i="7941"/>
  <c r="L344" i="7941"/>
  <c r="M30" i="7941"/>
  <c r="L343" i="7941"/>
  <c r="M29" i="7941"/>
  <c r="L338" i="7941"/>
  <c r="M24" i="7941"/>
  <c r="L337" i="7941"/>
  <c r="M23" i="7941"/>
  <c r="L332" i="7941"/>
  <c r="M18" i="7941"/>
  <c r="L331" i="7941"/>
  <c r="M17" i="7941"/>
  <c r="L359" i="7941"/>
  <c r="M45" i="7941"/>
  <c r="L355" i="7941"/>
  <c r="M41" i="7941"/>
  <c r="L351" i="7941"/>
  <c r="M37" i="7941"/>
  <c r="L335" i="7941"/>
  <c r="M21" i="7941"/>
  <c r="L346" i="7941"/>
  <c r="M32" i="7941"/>
  <c r="L330" i="7941"/>
  <c r="M16" i="7941"/>
  <c r="L345" i="7941"/>
  <c r="M31" i="7941"/>
  <c r="L329" i="7941"/>
  <c r="M15" i="7941"/>
  <c r="L340" i="7941"/>
  <c r="M26" i="7941"/>
  <c r="L339" i="7941"/>
  <c r="M25" i="7941"/>
  <c r="L334" i="7941"/>
  <c r="M20" i="7941"/>
  <c r="L348" i="7941"/>
  <c r="M34" i="7941"/>
  <c r="L347" i="7941"/>
  <c r="M33" i="7941"/>
  <c r="L871" i="18"/>
  <c r="L142" i="7941"/>
  <c r="M38" i="7941" s="1"/>
  <c r="M748" i="18"/>
  <c r="M1114" i="18" s="1"/>
  <c r="N121" i="7950" l="1"/>
  <c r="S99" i="7950"/>
  <c r="S75" i="7950"/>
  <c r="T262" i="7950"/>
  <c r="T238" i="7950"/>
  <c r="T2097" i="7950"/>
  <c r="T2073" i="7950"/>
  <c r="S2072" i="7950"/>
  <c r="S2096" i="7950"/>
  <c r="T909" i="7950"/>
  <c r="T885" i="7950"/>
  <c r="S993" i="7950"/>
  <c r="S1017" i="7950"/>
  <c r="T2530" i="7950"/>
  <c r="T2506" i="7950"/>
  <c r="S2690" i="7950"/>
  <c r="S2666" i="7950"/>
  <c r="S1394" i="7950"/>
  <c r="S1370" i="7950"/>
  <c r="S1100" i="7950"/>
  <c r="S1124" i="7950"/>
  <c r="S1610" i="7950"/>
  <c r="S1586" i="7950"/>
  <c r="U1234" i="7950"/>
  <c r="U1210" i="7950"/>
  <c r="S1640" i="7950"/>
  <c r="S1664" i="7950"/>
  <c r="U778" i="7950"/>
  <c r="U802" i="7950"/>
  <c r="S1424" i="7950"/>
  <c r="S1448" i="7950"/>
  <c r="T1935" i="7950"/>
  <c r="T1911" i="7950"/>
  <c r="S1856" i="7950"/>
  <c r="S1880" i="7950"/>
  <c r="S2204" i="7950"/>
  <c r="S2180" i="7950"/>
  <c r="S2342" i="7950"/>
  <c r="S2366" i="7950"/>
  <c r="T1612" i="7950"/>
  <c r="T1588" i="7950"/>
  <c r="T1587" i="7950"/>
  <c r="T1611" i="7950"/>
  <c r="S1125" i="7950"/>
  <c r="S1101" i="7950"/>
  <c r="U2290" i="7950"/>
  <c r="U2314" i="7950"/>
  <c r="S1989" i="7950"/>
  <c r="S1965" i="7950"/>
  <c r="U2182" i="7950"/>
  <c r="U2206" i="7950"/>
  <c r="S152" i="7950"/>
  <c r="S2691" i="7950"/>
  <c r="S2667" i="7950"/>
  <c r="T1449" i="7950"/>
  <c r="T1425" i="7950"/>
  <c r="U424" i="7950"/>
  <c r="U400" i="7950"/>
  <c r="S2612" i="7950"/>
  <c r="S2636" i="7950"/>
  <c r="T616" i="7950"/>
  <c r="T640" i="7950"/>
  <c r="T129" i="7950"/>
  <c r="T153" i="7950"/>
  <c r="T2367" i="7950"/>
  <c r="T2343" i="7950"/>
  <c r="S1502" i="7950"/>
  <c r="S1478" i="7950"/>
  <c r="U748" i="7950"/>
  <c r="U724" i="7950"/>
  <c r="T1774" i="7950"/>
  <c r="T1750" i="7950"/>
  <c r="S1154" i="7950"/>
  <c r="S1178" i="7950"/>
  <c r="T2505" i="7950"/>
  <c r="T2529" i="7950"/>
  <c r="U208" i="7950"/>
  <c r="U184" i="7950"/>
  <c r="S1934" i="7950"/>
  <c r="S1910" i="7950"/>
  <c r="T2020" i="7950"/>
  <c r="T2044" i="7950"/>
  <c r="S1826" i="7950"/>
  <c r="S1802" i="7950"/>
  <c r="S452" i="7950"/>
  <c r="S476" i="7950"/>
  <c r="S2042" i="7950"/>
  <c r="S2018" i="7950"/>
  <c r="S2312" i="7950"/>
  <c r="S2288" i="7950"/>
  <c r="S207" i="7950"/>
  <c r="S183" i="7950"/>
  <c r="T2560" i="7950"/>
  <c r="T2584" i="7950"/>
  <c r="T1371" i="7950"/>
  <c r="T1395" i="7950"/>
  <c r="T2235" i="7950"/>
  <c r="T2259" i="7950"/>
  <c r="S1046" i="7950"/>
  <c r="S1070" i="7950"/>
  <c r="T2637" i="7950"/>
  <c r="T2613" i="7950"/>
  <c r="S1988" i="7950"/>
  <c r="S1964" i="7950"/>
  <c r="S2258" i="7950"/>
  <c r="S2234" i="7950"/>
  <c r="T369" i="7950"/>
  <c r="T345" i="7950"/>
  <c r="R260" i="7950"/>
  <c r="S722" i="7950"/>
  <c r="S746" i="7950"/>
  <c r="S2396" i="7950"/>
  <c r="S2420" i="7950"/>
  <c r="S1694" i="7950"/>
  <c r="S1718" i="7950"/>
  <c r="S2504" i="7950"/>
  <c r="S2528" i="7950"/>
  <c r="S530" i="7950"/>
  <c r="S506" i="7950"/>
  <c r="S2126" i="7950"/>
  <c r="S2150" i="7950"/>
  <c r="T2344" i="7950"/>
  <c r="T2368" i="7950"/>
  <c r="U2692" i="7950"/>
  <c r="U2668" i="7950"/>
  <c r="S668" i="7950"/>
  <c r="S692" i="7950"/>
  <c r="U478" i="7950"/>
  <c r="U454" i="7950"/>
  <c r="S908" i="7950"/>
  <c r="S884" i="7950"/>
  <c r="S1286" i="7950"/>
  <c r="S1262" i="7950"/>
  <c r="S830" i="7950"/>
  <c r="S854" i="7950"/>
  <c r="S1208" i="7950"/>
  <c r="S1232" i="7950"/>
  <c r="S584" i="7950"/>
  <c r="S560" i="7950"/>
  <c r="U154" i="7950"/>
  <c r="U130" i="7950"/>
  <c r="T2289" i="7950"/>
  <c r="T2313" i="7950"/>
  <c r="R98" i="7950"/>
  <c r="U1666" i="7950"/>
  <c r="U1642" i="7950"/>
  <c r="T2475" i="7950"/>
  <c r="T2451" i="7950"/>
  <c r="T832" i="7950"/>
  <c r="T856" i="7950"/>
  <c r="S398" i="7950"/>
  <c r="S422" i="7950"/>
  <c r="S992" i="7950"/>
  <c r="S1016" i="7950"/>
  <c r="U2236" i="7950"/>
  <c r="U2260" i="7950"/>
  <c r="T477" i="7950"/>
  <c r="T453" i="7950"/>
  <c r="S1209" i="7950"/>
  <c r="S1233" i="7950"/>
  <c r="T1288" i="7950"/>
  <c r="T1264" i="7950"/>
  <c r="S638" i="7950"/>
  <c r="S614" i="7950"/>
  <c r="S2450" i="7950"/>
  <c r="S2474" i="7950"/>
  <c r="S669" i="7950"/>
  <c r="S693" i="7950"/>
  <c r="S1748" i="7950"/>
  <c r="S1772" i="7950"/>
  <c r="U2398" i="7950"/>
  <c r="U2422" i="7950"/>
  <c r="T886" i="7950"/>
  <c r="T910" i="7950"/>
  <c r="S800" i="7950"/>
  <c r="S776" i="7950"/>
  <c r="U1558" i="7950"/>
  <c r="U1534" i="7950"/>
  <c r="S1532" i="7950"/>
  <c r="S1556" i="7950"/>
  <c r="S368" i="7950"/>
  <c r="U316" i="7950"/>
  <c r="U292" i="7950"/>
  <c r="S314" i="7950"/>
  <c r="S206" i="7950"/>
  <c r="S2127" i="7950"/>
  <c r="S2151" i="7950"/>
  <c r="T1263" i="7950"/>
  <c r="T1287" i="7950"/>
  <c r="T1773" i="7950"/>
  <c r="T1749" i="7950"/>
  <c r="L10" i="7949"/>
  <c r="K1269" i="7949"/>
  <c r="L1269" i="7949" s="1"/>
  <c r="M1269" i="7949" s="1"/>
  <c r="N1269" i="7949" s="1"/>
  <c r="O1269" i="7949" s="1"/>
  <c r="P1269" i="7949" s="1"/>
  <c r="Q1269" i="7949" s="1"/>
  <c r="R1269" i="7949" s="1"/>
  <c r="S1269" i="7949" s="1"/>
  <c r="T1269" i="7949" s="1"/>
  <c r="U1269" i="7949" s="1"/>
  <c r="V1269" i="7949" s="1"/>
  <c r="W1269" i="7949" s="1"/>
  <c r="K2133" i="7949"/>
  <c r="L2133" i="7949" s="1"/>
  <c r="M2133" i="7949" s="1"/>
  <c r="N2133" i="7949" s="1"/>
  <c r="O2133" i="7949" s="1"/>
  <c r="P2133" i="7949" s="1"/>
  <c r="Q2133" i="7949" s="1"/>
  <c r="R2133" i="7949" s="1"/>
  <c r="S2133" i="7949" s="1"/>
  <c r="T2133" i="7949" s="1"/>
  <c r="U2133" i="7949" s="1"/>
  <c r="V2133" i="7949" s="1"/>
  <c r="W2133" i="7949" s="1"/>
  <c r="K1863" i="7949"/>
  <c r="L1863" i="7949" s="1"/>
  <c r="M1863" i="7949" s="1"/>
  <c r="N1863" i="7949" s="1"/>
  <c r="O1863" i="7949" s="1"/>
  <c r="P1863" i="7949" s="1"/>
  <c r="Q1863" i="7949" s="1"/>
  <c r="R1863" i="7949" s="1"/>
  <c r="S1863" i="7949" s="1"/>
  <c r="T1863" i="7949" s="1"/>
  <c r="U1863" i="7949" s="1"/>
  <c r="V1863" i="7949" s="1"/>
  <c r="W1863" i="7949" s="1"/>
  <c r="K81" i="7949"/>
  <c r="L81" i="7949" s="1"/>
  <c r="M81" i="7949" s="1"/>
  <c r="N81" i="7949" s="1"/>
  <c r="O81" i="7949" s="1"/>
  <c r="P81" i="7949" s="1"/>
  <c r="Q81" i="7949" s="1"/>
  <c r="R81" i="7949" s="1"/>
  <c r="S81" i="7949" s="1"/>
  <c r="T81" i="7949" s="1"/>
  <c r="U81" i="7949" s="1"/>
  <c r="V81" i="7949" s="1"/>
  <c r="W81" i="7949" s="1"/>
  <c r="K1431" i="7949"/>
  <c r="L1431" i="7949" s="1"/>
  <c r="M1431" i="7949" s="1"/>
  <c r="N1431" i="7949" s="1"/>
  <c r="O1431" i="7949" s="1"/>
  <c r="P1431" i="7949" s="1"/>
  <c r="Q1431" i="7949" s="1"/>
  <c r="R1431" i="7949" s="1"/>
  <c r="S1431" i="7949" s="1"/>
  <c r="T1431" i="7949" s="1"/>
  <c r="U1431" i="7949" s="1"/>
  <c r="V1431" i="7949" s="1"/>
  <c r="W1431" i="7949" s="1"/>
  <c r="K459" i="7949"/>
  <c r="L459" i="7949" s="1"/>
  <c r="M459" i="7949" s="1"/>
  <c r="N459" i="7949" s="1"/>
  <c r="O459" i="7949" s="1"/>
  <c r="P459" i="7949" s="1"/>
  <c r="Q459" i="7949" s="1"/>
  <c r="R459" i="7949" s="1"/>
  <c r="S459" i="7949" s="1"/>
  <c r="T459" i="7949" s="1"/>
  <c r="U459" i="7949" s="1"/>
  <c r="V459" i="7949" s="1"/>
  <c r="W459" i="7949" s="1"/>
  <c r="K1377" i="7949"/>
  <c r="L1377" i="7949" s="1"/>
  <c r="M1377" i="7949" s="1"/>
  <c r="N1377" i="7949" s="1"/>
  <c r="O1377" i="7949" s="1"/>
  <c r="P1377" i="7949" s="1"/>
  <c r="Q1377" i="7949" s="1"/>
  <c r="R1377" i="7949" s="1"/>
  <c r="S1377" i="7949" s="1"/>
  <c r="T1377" i="7949" s="1"/>
  <c r="U1377" i="7949" s="1"/>
  <c r="V1377" i="7949" s="1"/>
  <c r="W1377" i="7949" s="1"/>
  <c r="K2457" i="7949"/>
  <c r="L2457" i="7949" s="1"/>
  <c r="M2457" i="7949" s="1"/>
  <c r="N2457" i="7949" s="1"/>
  <c r="O2457" i="7949" s="1"/>
  <c r="P2457" i="7949" s="1"/>
  <c r="Q2457" i="7949" s="1"/>
  <c r="R2457" i="7949" s="1"/>
  <c r="S2457" i="7949" s="1"/>
  <c r="T2457" i="7949" s="1"/>
  <c r="U2457" i="7949" s="1"/>
  <c r="V2457" i="7949" s="1"/>
  <c r="W2457" i="7949" s="1"/>
  <c r="K1809" i="7949"/>
  <c r="L1809" i="7949" s="1"/>
  <c r="M1809" i="7949" s="1"/>
  <c r="N1809" i="7949" s="1"/>
  <c r="O1809" i="7949" s="1"/>
  <c r="P1809" i="7949" s="1"/>
  <c r="Q1809" i="7949" s="1"/>
  <c r="R1809" i="7949" s="1"/>
  <c r="S1809" i="7949" s="1"/>
  <c r="T1809" i="7949" s="1"/>
  <c r="U1809" i="7949" s="1"/>
  <c r="V1809" i="7949" s="1"/>
  <c r="W1809" i="7949" s="1"/>
  <c r="K1701" i="7949"/>
  <c r="L1701" i="7949" s="1"/>
  <c r="M1701" i="7949" s="1"/>
  <c r="N1701" i="7949" s="1"/>
  <c r="O1701" i="7949" s="1"/>
  <c r="P1701" i="7949" s="1"/>
  <c r="Q1701" i="7949" s="1"/>
  <c r="R1701" i="7949" s="1"/>
  <c r="S1701" i="7949" s="1"/>
  <c r="T1701" i="7949" s="1"/>
  <c r="U1701" i="7949" s="1"/>
  <c r="V1701" i="7949" s="1"/>
  <c r="W1701" i="7949" s="1"/>
  <c r="K135" i="7949"/>
  <c r="L135" i="7949" s="1"/>
  <c r="M135" i="7949" s="1"/>
  <c r="N135" i="7949" s="1"/>
  <c r="O135" i="7949" s="1"/>
  <c r="P135" i="7949" s="1"/>
  <c r="Q135" i="7949" s="1"/>
  <c r="R135" i="7949" s="1"/>
  <c r="S135" i="7949" s="1"/>
  <c r="T135" i="7949" s="1"/>
  <c r="U135" i="7949" s="1"/>
  <c r="V135" i="7949" s="1"/>
  <c r="W135" i="7949" s="1"/>
  <c r="K1917" i="7949"/>
  <c r="L1917" i="7949" s="1"/>
  <c r="M1917" i="7949" s="1"/>
  <c r="N1917" i="7949" s="1"/>
  <c r="O1917" i="7949" s="1"/>
  <c r="P1917" i="7949" s="1"/>
  <c r="Q1917" i="7949" s="1"/>
  <c r="R1917" i="7949" s="1"/>
  <c r="S1917" i="7949" s="1"/>
  <c r="T1917" i="7949" s="1"/>
  <c r="U1917" i="7949" s="1"/>
  <c r="V1917" i="7949" s="1"/>
  <c r="W1917" i="7949" s="1"/>
  <c r="K1647" i="7949"/>
  <c r="L1647" i="7949" s="1"/>
  <c r="M1647" i="7949" s="1"/>
  <c r="N1647" i="7949" s="1"/>
  <c r="O1647" i="7949" s="1"/>
  <c r="P1647" i="7949" s="1"/>
  <c r="Q1647" i="7949" s="1"/>
  <c r="R1647" i="7949" s="1"/>
  <c r="S1647" i="7949" s="1"/>
  <c r="T1647" i="7949" s="1"/>
  <c r="U1647" i="7949" s="1"/>
  <c r="V1647" i="7949" s="1"/>
  <c r="W1647" i="7949" s="1"/>
  <c r="K1755" i="7949"/>
  <c r="L1755" i="7949" s="1"/>
  <c r="M1755" i="7949" s="1"/>
  <c r="N1755" i="7949" s="1"/>
  <c r="O1755" i="7949" s="1"/>
  <c r="P1755" i="7949" s="1"/>
  <c r="Q1755" i="7949" s="1"/>
  <c r="R1755" i="7949" s="1"/>
  <c r="S1755" i="7949" s="1"/>
  <c r="T1755" i="7949" s="1"/>
  <c r="U1755" i="7949" s="1"/>
  <c r="V1755" i="7949" s="1"/>
  <c r="W1755" i="7949" s="1"/>
  <c r="K945" i="7949"/>
  <c r="L945" i="7949" s="1"/>
  <c r="M945" i="7949" s="1"/>
  <c r="N945" i="7949" s="1"/>
  <c r="O945" i="7949" s="1"/>
  <c r="P945" i="7949" s="1"/>
  <c r="Q945" i="7949" s="1"/>
  <c r="R945" i="7949" s="1"/>
  <c r="S945" i="7949" s="1"/>
  <c r="T945" i="7949" s="1"/>
  <c r="U945" i="7949" s="1"/>
  <c r="V945" i="7949" s="1"/>
  <c r="W945" i="7949" s="1"/>
  <c r="K2241" i="7949"/>
  <c r="L2241" i="7949" s="1"/>
  <c r="M2241" i="7949" s="1"/>
  <c r="N2241" i="7949" s="1"/>
  <c r="O2241" i="7949" s="1"/>
  <c r="P2241" i="7949" s="1"/>
  <c r="Q2241" i="7949" s="1"/>
  <c r="R2241" i="7949" s="1"/>
  <c r="S2241" i="7949" s="1"/>
  <c r="T2241" i="7949" s="1"/>
  <c r="U2241" i="7949" s="1"/>
  <c r="V2241" i="7949" s="1"/>
  <c r="W2241" i="7949" s="1"/>
  <c r="K2079" i="7949"/>
  <c r="L2079" i="7949" s="1"/>
  <c r="M2079" i="7949" s="1"/>
  <c r="N2079" i="7949" s="1"/>
  <c r="O2079" i="7949" s="1"/>
  <c r="P2079" i="7949" s="1"/>
  <c r="Q2079" i="7949" s="1"/>
  <c r="R2079" i="7949" s="1"/>
  <c r="S2079" i="7949" s="1"/>
  <c r="T2079" i="7949" s="1"/>
  <c r="U2079" i="7949" s="1"/>
  <c r="V2079" i="7949" s="1"/>
  <c r="W2079" i="7949" s="1"/>
  <c r="K1539" i="7949"/>
  <c r="L1539" i="7949" s="1"/>
  <c r="M1539" i="7949" s="1"/>
  <c r="N1539" i="7949" s="1"/>
  <c r="O1539" i="7949" s="1"/>
  <c r="P1539" i="7949" s="1"/>
  <c r="Q1539" i="7949" s="1"/>
  <c r="R1539" i="7949" s="1"/>
  <c r="S1539" i="7949" s="1"/>
  <c r="T1539" i="7949" s="1"/>
  <c r="U1539" i="7949" s="1"/>
  <c r="V1539" i="7949" s="1"/>
  <c r="W1539" i="7949" s="1"/>
  <c r="K2673" i="7949"/>
  <c r="L2673" i="7949" s="1"/>
  <c r="M2673" i="7949" s="1"/>
  <c r="N2673" i="7949" s="1"/>
  <c r="O2673" i="7949" s="1"/>
  <c r="P2673" i="7949" s="1"/>
  <c r="Q2673" i="7949" s="1"/>
  <c r="R2673" i="7949" s="1"/>
  <c r="S2673" i="7949" s="1"/>
  <c r="T2673" i="7949" s="1"/>
  <c r="U2673" i="7949" s="1"/>
  <c r="V2673" i="7949" s="1"/>
  <c r="W2673" i="7949" s="1"/>
  <c r="K837" i="7949"/>
  <c r="L837" i="7949" s="1"/>
  <c r="M837" i="7949" s="1"/>
  <c r="N837" i="7949" s="1"/>
  <c r="O837" i="7949" s="1"/>
  <c r="P837" i="7949" s="1"/>
  <c r="Q837" i="7949" s="1"/>
  <c r="R837" i="7949" s="1"/>
  <c r="S837" i="7949" s="1"/>
  <c r="T837" i="7949" s="1"/>
  <c r="U837" i="7949" s="1"/>
  <c r="V837" i="7949" s="1"/>
  <c r="W837" i="7949" s="1"/>
  <c r="K1971" i="7949"/>
  <c r="L1971" i="7949" s="1"/>
  <c r="M1971" i="7949" s="1"/>
  <c r="N1971" i="7949" s="1"/>
  <c r="O1971" i="7949" s="1"/>
  <c r="P1971" i="7949" s="1"/>
  <c r="Q1971" i="7949" s="1"/>
  <c r="R1971" i="7949" s="1"/>
  <c r="S1971" i="7949" s="1"/>
  <c r="T1971" i="7949" s="1"/>
  <c r="U1971" i="7949" s="1"/>
  <c r="V1971" i="7949" s="1"/>
  <c r="W1971" i="7949" s="1"/>
  <c r="K567" i="7949"/>
  <c r="L567" i="7949" s="1"/>
  <c r="M567" i="7949" s="1"/>
  <c r="N567" i="7949" s="1"/>
  <c r="O567" i="7949" s="1"/>
  <c r="P567" i="7949" s="1"/>
  <c r="Q567" i="7949" s="1"/>
  <c r="R567" i="7949" s="1"/>
  <c r="S567" i="7949" s="1"/>
  <c r="T567" i="7949" s="1"/>
  <c r="U567" i="7949" s="1"/>
  <c r="V567" i="7949" s="1"/>
  <c r="W567" i="7949" s="1"/>
  <c r="K1593" i="7949"/>
  <c r="L1593" i="7949" s="1"/>
  <c r="M1593" i="7949" s="1"/>
  <c r="N1593" i="7949" s="1"/>
  <c r="O1593" i="7949" s="1"/>
  <c r="P1593" i="7949" s="1"/>
  <c r="Q1593" i="7949" s="1"/>
  <c r="R1593" i="7949" s="1"/>
  <c r="S1593" i="7949" s="1"/>
  <c r="T1593" i="7949" s="1"/>
  <c r="U1593" i="7949" s="1"/>
  <c r="V1593" i="7949" s="1"/>
  <c r="W1593" i="7949" s="1"/>
  <c r="K243" i="7949"/>
  <c r="L243" i="7949" s="1"/>
  <c r="M243" i="7949" s="1"/>
  <c r="N243" i="7949" s="1"/>
  <c r="O243" i="7949" s="1"/>
  <c r="P243" i="7949" s="1"/>
  <c r="Q243" i="7949" s="1"/>
  <c r="R243" i="7949" s="1"/>
  <c r="S243" i="7949" s="1"/>
  <c r="T243" i="7949" s="1"/>
  <c r="U243" i="7949" s="1"/>
  <c r="V243" i="7949" s="1"/>
  <c r="W243" i="7949" s="1"/>
  <c r="K2511" i="7949"/>
  <c r="L2511" i="7949" s="1"/>
  <c r="M2511" i="7949" s="1"/>
  <c r="N2511" i="7949" s="1"/>
  <c r="O2511" i="7949" s="1"/>
  <c r="P2511" i="7949" s="1"/>
  <c r="Q2511" i="7949" s="1"/>
  <c r="R2511" i="7949" s="1"/>
  <c r="S2511" i="7949" s="1"/>
  <c r="T2511" i="7949" s="1"/>
  <c r="U2511" i="7949" s="1"/>
  <c r="V2511" i="7949" s="1"/>
  <c r="W2511" i="7949" s="1"/>
  <c r="K2349" i="7949"/>
  <c r="L2349" i="7949" s="1"/>
  <c r="M2349" i="7949" s="1"/>
  <c r="N2349" i="7949" s="1"/>
  <c r="O2349" i="7949" s="1"/>
  <c r="P2349" i="7949" s="1"/>
  <c r="Q2349" i="7949" s="1"/>
  <c r="R2349" i="7949" s="1"/>
  <c r="S2349" i="7949" s="1"/>
  <c r="T2349" i="7949" s="1"/>
  <c r="U2349" i="7949" s="1"/>
  <c r="V2349" i="7949" s="1"/>
  <c r="W2349" i="7949" s="1"/>
  <c r="K405" i="7949"/>
  <c r="L405" i="7949" s="1"/>
  <c r="M405" i="7949" s="1"/>
  <c r="N405" i="7949" s="1"/>
  <c r="O405" i="7949" s="1"/>
  <c r="P405" i="7949" s="1"/>
  <c r="Q405" i="7949" s="1"/>
  <c r="R405" i="7949" s="1"/>
  <c r="S405" i="7949" s="1"/>
  <c r="T405" i="7949" s="1"/>
  <c r="U405" i="7949" s="1"/>
  <c r="V405" i="7949" s="1"/>
  <c r="W405" i="7949" s="1"/>
  <c r="K621" i="7949"/>
  <c r="L621" i="7949" s="1"/>
  <c r="M621" i="7949" s="1"/>
  <c r="N621" i="7949" s="1"/>
  <c r="O621" i="7949" s="1"/>
  <c r="P621" i="7949" s="1"/>
  <c r="Q621" i="7949" s="1"/>
  <c r="R621" i="7949" s="1"/>
  <c r="S621" i="7949" s="1"/>
  <c r="T621" i="7949" s="1"/>
  <c r="U621" i="7949" s="1"/>
  <c r="V621" i="7949" s="1"/>
  <c r="W621" i="7949" s="1"/>
  <c r="K1215" i="7949"/>
  <c r="L1215" i="7949" s="1"/>
  <c r="M1215" i="7949" s="1"/>
  <c r="N1215" i="7949" s="1"/>
  <c r="O1215" i="7949" s="1"/>
  <c r="P1215" i="7949" s="1"/>
  <c r="Q1215" i="7949" s="1"/>
  <c r="R1215" i="7949" s="1"/>
  <c r="S1215" i="7949" s="1"/>
  <c r="T1215" i="7949" s="1"/>
  <c r="U1215" i="7949" s="1"/>
  <c r="V1215" i="7949" s="1"/>
  <c r="W1215" i="7949" s="1"/>
  <c r="K189" i="7949"/>
  <c r="L189" i="7949" s="1"/>
  <c r="M189" i="7949" s="1"/>
  <c r="N189" i="7949" s="1"/>
  <c r="O189" i="7949" s="1"/>
  <c r="P189" i="7949" s="1"/>
  <c r="Q189" i="7949" s="1"/>
  <c r="R189" i="7949" s="1"/>
  <c r="S189" i="7949" s="1"/>
  <c r="T189" i="7949" s="1"/>
  <c r="U189" i="7949" s="1"/>
  <c r="V189" i="7949" s="1"/>
  <c r="W189" i="7949" s="1"/>
  <c r="K1161" i="7949"/>
  <c r="L1161" i="7949" s="1"/>
  <c r="M1161" i="7949" s="1"/>
  <c r="N1161" i="7949" s="1"/>
  <c r="O1161" i="7949" s="1"/>
  <c r="P1161" i="7949" s="1"/>
  <c r="Q1161" i="7949" s="1"/>
  <c r="R1161" i="7949" s="1"/>
  <c r="S1161" i="7949" s="1"/>
  <c r="T1161" i="7949" s="1"/>
  <c r="U1161" i="7949" s="1"/>
  <c r="V1161" i="7949" s="1"/>
  <c r="W1161" i="7949" s="1"/>
  <c r="K2187" i="7949"/>
  <c r="L2187" i="7949" s="1"/>
  <c r="M2187" i="7949" s="1"/>
  <c r="N2187" i="7949" s="1"/>
  <c r="O2187" i="7949" s="1"/>
  <c r="P2187" i="7949" s="1"/>
  <c r="Q2187" i="7949" s="1"/>
  <c r="R2187" i="7949" s="1"/>
  <c r="S2187" i="7949" s="1"/>
  <c r="T2187" i="7949" s="1"/>
  <c r="U2187" i="7949" s="1"/>
  <c r="V2187" i="7949" s="1"/>
  <c r="W2187" i="7949" s="1"/>
  <c r="K1053" i="7949"/>
  <c r="L1053" i="7949" s="1"/>
  <c r="M1053" i="7949" s="1"/>
  <c r="N1053" i="7949" s="1"/>
  <c r="O1053" i="7949" s="1"/>
  <c r="P1053" i="7949" s="1"/>
  <c r="Q1053" i="7949" s="1"/>
  <c r="R1053" i="7949" s="1"/>
  <c r="S1053" i="7949" s="1"/>
  <c r="T1053" i="7949" s="1"/>
  <c r="U1053" i="7949" s="1"/>
  <c r="V1053" i="7949" s="1"/>
  <c r="W1053" i="7949" s="1"/>
  <c r="K729" i="7949"/>
  <c r="L729" i="7949" s="1"/>
  <c r="M729" i="7949" s="1"/>
  <c r="N729" i="7949" s="1"/>
  <c r="O729" i="7949" s="1"/>
  <c r="P729" i="7949" s="1"/>
  <c r="Q729" i="7949" s="1"/>
  <c r="R729" i="7949" s="1"/>
  <c r="S729" i="7949" s="1"/>
  <c r="T729" i="7949" s="1"/>
  <c r="U729" i="7949" s="1"/>
  <c r="V729" i="7949" s="1"/>
  <c r="W729" i="7949" s="1"/>
  <c r="K675" i="7949"/>
  <c r="L675" i="7949" s="1"/>
  <c r="M675" i="7949" s="1"/>
  <c r="N675" i="7949" s="1"/>
  <c r="O675" i="7949" s="1"/>
  <c r="P675" i="7949" s="1"/>
  <c r="Q675" i="7949" s="1"/>
  <c r="R675" i="7949" s="1"/>
  <c r="S675" i="7949" s="1"/>
  <c r="T675" i="7949" s="1"/>
  <c r="U675" i="7949" s="1"/>
  <c r="V675" i="7949" s="1"/>
  <c r="W675" i="7949" s="1"/>
  <c r="K27" i="7949"/>
  <c r="L27" i="7949" s="1"/>
  <c r="M27" i="7949" s="1"/>
  <c r="N27" i="7949" s="1"/>
  <c r="O27" i="7949" s="1"/>
  <c r="P27" i="7949" s="1"/>
  <c r="Q27" i="7949" s="1"/>
  <c r="R27" i="7949" s="1"/>
  <c r="S27" i="7949" s="1"/>
  <c r="T27" i="7949" s="1"/>
  <c r="U27" i="7949" s="1"/>
  <c r="V27" i="7949" s="1"/>
  <c r="W27" i="7949" s="1"/>
  <c r="K351" i="7949"/>
  <c r="L351" i="7949" s="1"/>
  <c r="M351" i="7949" s="1"/>
  <c r="N351" i="7949" s="1"/>
  <c r="O351" i="7949" s="1"/>
  <c r="P351" i="7949" s="1"/>
  <c r="Q351" i="7949" s="1"/>
  <c r="R351" i="7949" s="1"/>
  <c r="S351" i="7949" s="1"/>
  <c r="T351" i="7949" s="1"/>
  <c r="U351" i="7949" s="1"/>
  <c r="V351" i="7949" s="1"/>
  <c r="W351" i="7949" s="1"/>
  <c r="K999" i="7949"/>
  <c r="L999" i="7949" s="1"/>
  <c r="M999" i="7949" s="1"/>
  <c r="N999" i="7949" s="1"/>
  <c r="O999" i="7949" s="1"/>
  <c r="P999" i="7949" s="1"/>
  <c r="Q999" i="7949" s="1"/>
  <c r="R999" i="7949" s="1"/>
  <c r="S999" i="7949" s="1"/>
  <c r="T999" i="7949" s="1"/>
  <c r="U999" i="7949" s="1"/>
  <c r="V999" i="7949" s="1"/>
  <c r="W999" i="7949" s="1"/>
  <c r="K1323" i="7949"/>
  <c r="L1323" i="7949" s="1"/>
  <c r="M1323" i="7949" s="1"/>
  <c r="N1323" i="7949" s="1"/>
  <c r="O1323" i="7949" s="1"/>
  <c r="P1323" i="7949" s="1"/>
  <c r="Q1323" i="7949" s="1"/>
  <c r="R1323" i="7949" s="1"/>
  <c r="S1323" i="7949" s="1"/>
  <c r="T1323" i="7949" s="1"/>
  <c r="U1323" i="7949" s="1"/>
  <c r="V1323" i="7949" s="1"/>
  <c r="W1323" i="7949" s="1"/>
  <c r="K2295" i="7949"/>
  <c r="L2295" i="7949" s="1"/>
  <c r="M2295" i="7949" s="1"/>
  <c r="N2295" i="7949" s="1"/>
  <c r="O2295" i="7949" s="1"/>
  <c r="P2295" i="7949" s="1"/>
  <c r="Q2295" i="7949" s="1"/>
  <c r="R2295" i="7949" s="1"/>
  <c r="S2295" i="7949" s="1"/>
  <c r="T2295" i="7949" s="1"/>
  <c r="U2295" i="7949" s="1"/>
  <c r="V2295" i="7949" s="1"/>
  <c r="W2295" i="7949" s="1"/>
  <c r="K1485" i="7949"/>
  <c r="L1485" i="7949" s="1"/>
  <c r="M1485" i="7949" s="1"/>
  <c r="N1485" i="7949" s="1"/>
  <c r="O1485" i="7949" s="1"/>
  <c r="P1485" i="7949" s="1"/>
  <c r="Q1485" i="7949" s="1"/>
  <c r="R1485" i="7949" s="1"/>
  <c r="S1485" i="7949" s="1"/>
  <c r="T1485" i="7949" s="1"/>
  <c r="U1485" i="7949" s="1"/>
  <c r="V1485" i="7949" s="1"/>
  <c r="W1485" i="7949" s="1"/>
  <c r="K2403" i="7949"/>
  <c r="L2403" i="7949" s="1"/>
  <c r="M2403" i="7949" s="1"/>
  <c r="N2403" i="7949" s="1"/>
  <c r="O2403" i="7949" s="1"/>
  <c r="P2403" i="7949" s="1"/>
  <c r="Q2403" i="7949" s="1"/>
  <c r="R2403" i="7949" s="1"/>
  <c r="S2403" i="7949" s="1"/>
  <c r="T2403" i="7949" s="1"/>
  <c r="U2403" i="7949" s="1"/>
  <c r="V2403" i="7949" s="1"/>
  <c r="W2403" i="7949" s="1"/>
  <c r="K2025" i="7949"/>
  <c r="L2025" i="7949" s="1"/>
  <c r="M2025" i="7949" s="1"/>
  <c r="N2025" i="7949" s="1"/>
  <c r="O2025" i="7949" s="1"/>
  <c r="P2025" i="7949" s="1"/>
  <c r="Q2025" i="7949" s="1"/>
  <c r="R2025" i="7949" s="1"/>
  <c r="S2025" i="7949" s="1"/>
  <c r="T2025" i="7949" s="1"/>
  <c r="U2025" i="7949" s="1"/>
  <c r="V2025" i="7949" s="1"/>
  <c r="W2025" i="7949" s="1"/>
  <c r="K891" i="7949"/>
  <c r="L891" i="7949" s="1"/>
  <c r="M891" i="7949" s="1"/>
  <c r="N891" i="7949" s="1"/>
  <c r="O891" i="7949" s="1"/>
  <c r="P891" i="7949" s="1"/>
  <c r="Q891" i="7949" s="1"/>
  <c r="R891" i="7949" s="1"/>
  <c r="S891" i="7949" s="1"/>
  <c r="T891" i="7949" s="1"/>
  <c r="U891" i="7949" s="1"/>
  <c r="V891" i="7949" s="1"/>
  <c r="W891" i="7949" s="1"/>
  <c r="K783" i="7949"/>
  <c r="L783" i="7949" s="1"/>
  <c r="M783" i="7949" s="1"/>
  <c r="N783" i="7949" s="1"/>
  <c r="O783" i="7949" s="1"/>
  <c r="P783" i="7949" s="1"/>
  <c r="Q783" i="7949" s="1"/>
  <c r="R783" i="7949" s="1"/>
  <c r="S783" i="7949" s="1"/>
  <c r="T783" i="7949" s="1"/>
  <c r="U783" i="7949" s="1"/>
  <c r="V783" i="7949" s="1"/>
  <c r="W783" i="7949" s="1"/>
  <c r="K2565" i="7949"/>
  <c r="L2565" i="7949" s="1"/>
  <c r="M2565" i="7949" s="1"/>
  <c r="N2565" i="7949" s="1"/>
  <c r="O2565" i="7949" s="1"/>
  <c r="P2565" i="7949" s="1"/>
  <c r="Q2565" i="7949" s="1"/>
  <c r="R2565" i="7949" s="1"/>
  <c r="S2565" i="7949" s="1"/>
  <c r="T2565" i="7949" s="1"/>
  <c r="U2565" i="7949" s="1"/>
  <c r="V2565" i="7949" s="1"/>
  <c r="W2565" i="7949" s="1"/>
  <c r="K2619" i="7949"/>
  <c r="L2619" i="7949" s="1"/>
  <c r="M2619" i="7949" s="1"/>
  <c r="N2619" i="7949" s="1"/>
  <c r="O2619" i="7949" s="1"/>
  <c r="P2619" i="7949" s="1"/>
  <c r="Q2619" i="7949" s="1"/>
  <c r="R2619" i="7949" s="1"/>
  <c r="S2619" i="7949" s="1"/>
  <c r="T2619" i="7949" s="1"/>
  <c r="U2619" i="7949" s="1"/>
  <c r="V2619" i="7949" s="1"/>
  <c r="W2619" i="7949" s="1"/>
  <c r="K513" i="7949"/>
  <c r="L513" i="7949" s="1"/>
  <c r="M513" i="7949" s="1"/>
  <c r="N513" i="7949" s="1"/>
  <c r="O513" i="7949" s="1"/>
  <c r="P513" i="7949" s="1"/>
  <c r="Q513" i="7949" s="1"/>
  <c r="R513" i="7949" s="1"/>
  <c r="S513" i="7949" s="1"/>
  <c r="T513" i="7949" s="1"/>
  <c r="U513" i="7949" s="1"/>
  <c r="V513" i="7949" s="1"/>
  <c r="W513" i="7949" s="1"/>
  <c r="K297" i="7949"/>
  <c r="L297" i="7949" s="1"/>
  <c r="M297" i="7949" s="1"/>
  <c r="N297" i="7949" s="1"/>
  <c r="O297" i="7949" s="1"/>
  <c r="P297" i="7949" s="1"/>
  <c r="Q297" i="7949" s="1"/>
  <c r="R297" i="7949" s="1"/>
  <c r="S297" i="7949" s="1"/>
  <c r="T297" i="7949" s="1"/>
  <c r="U297" i="7949" s="1"/>
  <c r="V297" i="7949" s="1"/>
  <c r="W297" i="7949" s="1"/>
  <c r="K1107" i="7949"/>
  <c r="L1107" i="7949" s="1"/>
  <c r="M1107" i="7949" s="1"/>
  <c r="N1107" i="7949" s="1"/>
  <c r="O1107" i="7949" s="1"/>
  <c r="P1107" i="7949" s="1"/>
  <c r="Q1107" i="7949" s="1"/>
  <c r="R1107" i="7949" s="1"/>
  <c r="S1107" i="7949" s="1"/>
  <c r="T1107" i="7949" s="1"/>
  <c r="U1107" i="7949" s="1"/>
  <c r="V1107" i="7949" s="1"/>
  <c r="W1107" i="7949" s="1"/>
  <c r="U803" i="7950"/>
  <c r="U779" i="7950"/>
  <c r="V209" i="7950"/>
  <c r="V185" i="7950"/>
  <c r="U1103" i="7950"/>
  <c r="U1127" i="7950"/>
  <c r="U2292" i="7950"/>
  <c r="U2316" i="7950"/>
  <c r="U2508" i="7950"/>
  <c r="U2532" i="7950"/>
  <c r="U750" i="7950"/>
  <c r="U726" i="7950"/>
  <c r="U1019" i="7950"/>
  <c r="U995" i="7950"/>
  <c r="U1128" i="7950"/>
  <c r="U1104" i="7950"/>
  <c r="V2615" i="7950"/>
  <c r="V2639" i="7950"/>
  <c r="U1157" i="7950"/>
  <c r="U1181" i="7950"/>
  <c r="W2693" i="7950"/>
  <c r="W2669" i="7950"/>
  <c r="U1806" i="7950"/>
  <c r="U1830" i="7950"/>
  <c r="W401" i="7950"/>
  <c r="W425" i="7950"/>
  <c r="U2562" i="7950"/>
  <c r="U2586" i="7950"/>
  <c r="R1533" i="7950"/>
  <c r="R1557" i="7950"/>
  <c r="U2262" i="7950"/>
  <c r="U2238" i="7950"/>
  <c r="S2128" i="7950"/>
  <c r="S2152" i="7950"/>
  <c r="U695" i="7950"/>
  <c r="U671" i="7950"/>
  <c r="R399" i="7950"/>
  <c r="R423" i="7950"/>
  <c r="V2454" i="7950"/>
  <c r="V2478" i="7950"/>
  <c r="R963" i="7950"/>
  <c r="R939" i="7950"/>
  <c r="W1102" i="7950"/>
  <c r="W1126" i="7950"/>
  <c r="S101" i="7950"/>
  <c r="S77" i="7950"/>
  <c r="R723" i="7950"/>
  <c r="R747" i="7950"/>
  <c r="U2183" i="7950"/>
  <c r="U2207" i="7950"/>
  <c r="U912" i="7950"/>
  <c r="U888" i="7950"/>
  <c r="U563" i="7950"/>
  <c r="U587" i="7950"/>
  <c r="R1503" i="7950"/>
  <c r="R1479" i="7950"/>
  <c r="U1505" i="7950"/>
  <c r="U1481" i="7950"/>
  <c r="T833" i="7950"/>
  <c r="T857" i="7950"/>
  <c r="U996" i="7950"/>
  <c r="U1020" i="7950"/>
  <c r="U2694" i="7950"/>
  <c r="U2670" i="7950"/>
  <c r="S346" i="7950"/>
  <c r="S370" i="7950"/>
  <c r="U186" i="7950"/>
  <c r="U210" i="7950"/>
  <c r="V1643" i="7950"/>
  <c r="V1667" i="7950"/>
  <c r="U480" i="7950"/>
  <c r="U456" i="7950"/>
  <c r="U2261" i="7950"/>
  <c r="U2237" i="7950"/>
  <c r="V1721" i="7950"/>
  <c r="V1697" i="7950"/>
  <c r="R2559" i="7950"/>
  <c r="R2583" i="7950"/>
  <c r="U1050" i="7950"/>
  <c r="U1074" i="7950"/>
  <c r="U966" i="7950"/>
  <c r="U942" i="7950"/>
  <c r="U564" i="7950"/>
  <c r="U588" i="7950"/>
  <c r="S2638" i="7950"/>
  <c r="S2614" i="7950"/>
  <c r="V965" i="7950"/>
  <c r="V941" i="7950"/>
  <c r="R2397" i="7950"/>
  <c r="R2421" i="7950"/>
  <c r="U2369" i="7950"/>
  <c r="U2345" i="7950"/>
  <c r="U347" i="7950"/>
  <c r="U371" i="7950"/>
  <c r="R2043" i="7950"/>
  <c r="R2019" i="7950"/>
  <c r="R291" i="7950"/>
  <c r="R315" i="7950"/>
  <c r="S586" i="7950"/>
  <c r="S562" i="7950"/>
  <c r="U510" i="7950"/>
  <c r="U534" i="7950"/>
  <c r="T239" i="7950"/>
  <c r="T263" i="7950"/>
  <c r="U132" i="7950"/>
  <c r="U156" i="7950"/>
  <c r="Q237" i="7950"/>
  <c r="Q261" i="7950"/>
  <c r="T240" i="7950"/>
  <c r="T264" i="7950"/>
  <c r="W994" i="7950"/>
  <c r="W1018" i="7950"/>
  <c r="T1049" i="7950"/>
  <c r="T1073" i="7950"/>
  <c r="U725" i="7950"/>
  <c r="U749" i="7950"/>
  <c r="U1967" i="7950"/>
  <c r="U1991" i="7950"/>
  <c r="U1560" i="7950"/>
  <c r="U1536" i="7950"/>
  <c r="U1776" i="7950"/>
  <c r="U1752" i="7950"/>
  <c r="U1860" i="7950"/>
  <c r="U1884" i="7950"/>
  <c r="U318" i="7950"/>
  <c r="U294" i="7950"/>
  <c r="R1695" i="7950"/>
  <c r="R1719" i="7950"/>
  <c r="S964" i="7950"/>
  <c r="S940" i="7950"/>
  <c r="S1450" i="7950"/>
  <c r="S1426" i="7950"/>
  <c r="R561" i="7950"/>
  <c r="R585" i="7950"/>
  <c r="S1048" i="7950"/>
  <c r="S1072" i="7950"/>
  <c r="U348" i="7950"/>
  <c r="U372" i="7950"/>
  <c r="R1881" i="7950"/>
  <c r="R1857" i="7950"/>
  <c r="S1372" i="7950"/>
  <c r="S1396" i="7950"/>
  <c r="R1803" i="7950"/>
  <c r="R1827" i="7950"/>
  <c r="U617" i="7950"/>
  <c r="U641" i="7950"/>
  <c r="U1211" i="7950"/>
  <c r="U1235" i="7950"/>
  <c r="U1482" i="7950"/>
  <c r="U1506" i="7950"/>
  <c r="U2291" i="7950"/>
  <c r="U2315" i="7950"/>
  <c r="T2476" i="7950"/>
  <c r="T2452" i="7950"/>
  <c r="U2424" i="7950"/>
  <c r="U2400" i="7950"/>
  <c r="T2074" i="7950"/>
  <c r="T2098" i="7950"/>
  <c r="U2046" i="7950"/>
  <c r="U2022" i="7950"/>
  <c r="R1665" i="7950"/>
  <c r="R1641" i="7950"/>
  <c r="R1155" i="7950"/>
  <c r="R1179" i="7950"/>
  <c r="S1990" i="7950"/>
  <c r="S1966" i="7950"/>
  <c r="U2477" i="7950"/>
  <c r="U2453" i="7950"/>
  <c r="T2531" i="7950"/>
  <c r="T2507" i="7950"/>
  <c r="U2370" i="7950"/>
  <c r="U2346" i="7950"/>
  <c r="V2099" i="7950"/>
  <c r="V2075" i="7950"/>
  <c r="R855" i="7950"/>
  <c r="R831" i="7950"/>
  <c r="S1804" i="7950"/>
  <c r="S1828" i="7950"/>
  <c r="S508" i="7950"/>
  <c r="S532" i="7950"/>
  <c r="U479" i="7950"/>
  <c r="U455" i="7950"/>
  <c r="T911" i="7950"/>
  <c r="T887" i="7950"/>
  <c r="U1698" i="7950"/>
  <c r="U1722" i="7950"/>
  <c r="V1805" i="7950"/>
  <c r="V1829" i="7950"/>
  <c r="S1504" i="7950"/>
  <c r="S1480" i="7950"/>
  <c r="U642" i="7950"/>
  <c r="U618" i="7950"/>
  <c r="R801" i="7950"/>
  <c r="R777" i="7950"/>
  <c r="T1913" i="7950"/>
  <c r="T1937" i="7950"/>
  <c r="R639" i="7950"/>
  <c r="R615" i="7950"/>
  <c r="U1914" i="7950"/>
  <c r="U1938" i="7950"/>
  <c r="U1266" i="7950"/>
  <c r="U1290" i="7950"/>
  <c r="S1720" i="7950"/>
  <c r="S1696" i="7950"/>
  <c r="U1451" i="7950"/>
  <c r="U1427" i="7950"/>
  <c r="U2585" i="7950"/>
  <c r="U2561" i="7950"/>
  <c r="U1236" i="7950"/>
  <c r="U1212" i="7950"/>
  <c r="U1668" i="7950"/>
  <c r="U1644" i="7950"/>
  <c r="R2205" i="7950"/>
  <c r="R2181" i="7950"/>
  <c r="U1289" i="7950"/>
  <c r="U1265" i="7950"/>
  <c r="U1428" i="7950"/>
  <c r="U1452" i="7950"/>
  <c r="U1182" i="7950"/>
  <c r="U1158" i="7950"/>
  <c r="R507" i="7950"/>
  <c r="R531" i="7950"/>
  <c r="R1047" i="7950"/>
  <c r="R1071" i="7950"/>
  <c r="U1559" i="7950"/>
  <c r="U1535" i="7950"/>
  <c r="V2129" i="7950"/>
  <c r="V2153" i="7950"/>
  <c r="S694" i="7950"/>
  <c r="S670" i="7950"/>
  <c r="U834" i="7950"/>
  <c r="U858" i="7950"/>
  <c r="U426" i="7950"/>
  <c r="U402" i="7950"/>
  <c r="U2208" i="7950"/>
  <c r="U2184" i="7950"/>
  <c r="U1859" i="7950"/>
  <c r="U1883" i="7950"/>
  <c r="U131" i="7950"/>
  <c r="U155" i="7950"/>
  <c r="U293" i="7950"/>
  <c r="U317" i="7950"/>
  <c r="T533" i="7950"/>
  <c r="T509" i="7950"/>
  <c r="U2640" i="7950"/>
  <c r="U2616" i="7950"/>
  <c r="U2154" i="7950"/>
  <c r="U2130" i="7950"/>
  <c r="U2423" i="7950"/>
  <c r="U2399" i="7950"/>
  <c r="U1613" i="7950"/>
  <c r="U1589" i="7950"/>
  <c r="U1590" i="7950"/>
  <c r="U1614" i="7950"/>
  <c r="U1992" i="7950"/>
  <c r="U1968" i="7950"/>
  <c r="U780" i="7950"/>
  <c r="U804" i="7950"/>
  <c r="S962" i="7950"/>
  <c r="S938" i="7950"/>
  <c r="U1398" i="7950"/>
  <c r="U1374" i="7950"/>
  <c r="S1180" i="7950"/>
  <c r="S1156" i="7950"/>
  <c r="S1912" i="7950"/>
  <c r="S1936" i="7950"/>
  <c r="U696" i="7950"/>
  <c r="U672" i="7950"/>
  <c r="R76" i="7950"/>
  <c r="R100" i="7950"/>
  <c r="S1858" i="7950"/>
  <c r="S1882" i="7950"/>
  <c r="U2021" i="7950"/>
  <c r="U2045" i="7950"/>
  <c r="U1751" i="7950"/>
  <c r="U1775" i="7950"/>
  <c r="U2100" i="7950"/>
  <c r="U2076" i="7950"/>
  <c r="W1397" i="7950"/>
  <c r="W1373" i="7950"/>
  <c r="S2558" i="7950"/>
  <c r="S2582" i="7950"/>
  <c r="M126" i="7941"/>
  <c r="M336" i="7941" s="1"/>
  <c r="N732" i="18"/>
  <c r="N1098" i="18" s="1"/>
  <c r="N836" i="18" s="1"/>
  <c r="N126" i="7941" s="1"/>
  <c r="N42" i="7941"/>
  <c r="M158" i="7941"/>
  <c r="N54" i="7941" s="1"/>
  <c r="N764" i="18"/>
  <c r="N1130" i="18" s="1"/>
  <c r="N18" i="7941"/>
  <c r="M152" i="7941"/>
  <c r="N48" i="7941" s="1"/>
  <c r="N758" i="18"/>
  <c r="N1124" i="18" s="1"/>
  <c r="M145" i="7941"/>
  <c r="M355" i="7941" s="1"/>
  <c r="N751" i="18"/>
  <c r="N1117" i="18" s="1"/>
  <c r="N28" i="7941"/>
  <c r="M155" i="7941"/>
  <c r="M365" i="7941" s="1"/>
  <c r="N761" i="18"/>
  <c r="M130" i="7941"/>
  <c r="M340" i="7941" s="1"/>
  <c r="N736" i="18"/>
  <c r="N1102" i="18" s="1"/>
  <c r="M149" i="7941"/>
  <c r="M359" i="7941" s="1"/>
  <c r="N755" i="18"/>
  <c r="N1121" i="18" s="1"/>
  <c r="N859" i="18" s="1"/>
  <c r="N149" i="7941" s="1"/>
  <c r="M151" i="7941"/>
  <c r="M361" i="7941" s="1"/>
  <c r="N757" i="18"/>
  <c r="N1123" i="18" s="1"/>
  <c r="N861" i="18" s="1"/>
  <c r="N151" i="7941" s="1"/>
  <c r="N45" i="7941"/>
  <c r="N746" i="18"/>
  <c r="N1112" i="18" s="1"/>
  <c r="N850" i="18" s="1"/>
  <c r="N140" i="7941" s="1"/>
  <c r="N729" i="18"/>
  <c r="N1095" i="18" s="1"/>
  <c r="N728" i="18"/>
  <c r="N1094" i="18" s="1"/>
  <c r="N832" i="18" s="1"/>
  <c r="N122" i="7941" s="1"/>
  <c r="N739" i="18"/>
  <c r="N726" i="18"/>
  <c r="N1092" i="18" s="1"/>
  <c r="N738" i="18"/>
  <c r="N1104" i="18" s="1"/>
  <c r="N741" i="18"/>
  <c r="N1107" i="18" s="1"/>
  <c r="N51" i="7941"/>
  <c r="N43" i="7941"/>
  <c r="M831" i="18"/>
  <c r="M837" i="18"/>
  <c r="M834" i="18"/>
  <c r="M829" i="18"/>
  <c r="M835" i="18"/>
  <c r="M841" i="18"/>
  <c r="M854" i="18"/>
  <c r="M864" i="18"/>
  <c r="M858" i="18"/>
  <c r="M844" i="18"/>
  <c r="M846" i="18"/>
  <c r="M867" i="18"/>
  <c r="M863" i="18"/>
  <c r="M860" i="18"/>
  <c r="M847" i="18"/>
  <c r="M849" i="18"/>
  <c r="M851" i="18"/>
  <c r="M869" i="18"/>
  <c r="N766" i="18"/>
  <c r="N1132" i="18" s="1"/>
  <c r="N762" i="18"/>
  <c r="N1128" i="18" s="1"/>
  <c r="N753" i="18"/>
  <c r="N752" i="18"/>
  <c r="N1118" i="18" s="1"/>
  <c r="N856" i="18" s="1"/>
  <c r="N146" i="7941" s="1"/>
  <c r="N744" i="18"/>
  <c r="N1110" i="18" s="1"/>
  <c r="N735" i="18"/>
  <c r="N1127" i="18"/>
  <c r="N1105" i="18"/>
  <c r="N843" i="18" s="1"/>
  <c r="M838" i="18"/>
  <c r="L1115" i="18"/>
  <c r="L39" i="7941"/>
  <c r="K353" i="7941"/>
  <c r="O514" i="7942"/>
  <c r="P513" i="7942"/>
  <c r="Q513" i="7942" s="1"/>
  <c r="Q514" i="7942" s="1"/>
  <c r="Q571" i="7941" s="1"/>
  <c r="K523" i="7942"/>
  <c r="K524" i="7942" s="1"/>
  <c r="J525" i="7942"/>
  <c r="J526" i="7942" s="1"/>
  <c r="J524" i="7942"/>
  <c r="I527" i="7942"/>
  <c r="J527" i="7942" s="1"/>
  <c r="K527" i="7942" s="1"/>
  <c r="I529" i="7942"/>
  <c r="L522" i="7942"/>
  <c r="O519" i="7942"/>
  <c r="P519" i="7942" s="1"/>
  <c r="P520" i="7942" s="1"/>
  <c r="M521" i="7942"/>
  <c r="N520" i="7942"/>
  <c r="N2659" i="7950"/>
  <c r="N2605" i="7950"/>
  <c r="N2551" i="7950"/>
  <c r="N2497" i="7950"/>
  <c r="N2443" i="7950"/>
  <c r="N2389" i="7950"/>
  <c r="N2335" i="7950"/>
  <c r="N2281" i="7950"/>
  <c r="N2227" i="7950"/>
  <c r="N2173" i="7950"/>
  <c r="N2119" i="7950"/>
  <c r="N2065" i="7950"/>
  <c r="N2011" i="7950"/>
  <c r="N1957" i="7950"/>
  <c r="N1903" i="7950"/>
  <c r="N1849" i="7950"/>
  <c r="N1795" i="7950"/>
  <c r="N1741" i="7950"/>
  <c r="N1687" i="7950"/>
  <c r="N1633" i="7950"/>
  <c r="N1579" i="7950"/>
  <c r="N1525" i="7950"/>
  <c r="N1471" i="7950"/>
  <c r="N1417" i="7950"/>
  <c r="N1363" i="7950"/>
  <c r="N1309" i="7950"/>
  <c r="N1255" i="7950"/>
  <c r="N1201" i="7950"/>
  <c r="N1147" i="7950"/>
  <c r="N1093" i="7950"/>
  <c r="N1039" i="7950"/>
  <c r="N985" i="7950"/>
  <c r="N931" i="7950"/>
  <c r="N877" i="7950"/>
  <c r="N823" i="7950"/>
  <c r="N769" i="7950"/>
  <c r="N715" i="7950"/>
  <c r="N661" i="7950"/>
  <c r="N607" i="7950"/>
  <c r="N553" i="7950"/>
  <c r="N499" i="7950"/>
  <c r="N445" i="7950"/>
  <c r="N391" i="7950"/>
  <c r="N337" i="7950"/>
  <c r="N283" i="7950"/>
  <c r="N229" i="7950"/>
  <c r="N175" i="7950"/>
  <c r="N2664" i="7949"/>
  <c r="N2610" i="7949"/>
  <c r="N2556" i="7949"/>
  <c r="N2502" i="7949"/>
  <c r="N2448" i="7949"/>
  <c r="N2394" i="7949"/>
  <c r="N2340" i="7949"/>
  <c r="N2286" i="7949"/>
  <c r="N2232" i="7949"/>
  <c r="N2178" i="7949"/>
  <c r="N2124" i="7949"/>
  <c r="N2070" i="7949"/>
  <c r="N2016" i="7949"/>
  <c r="N1962" i="7949"/>
  <c r="N1908" i="7949"/>
  <c r="N1854" i="7949"/>
  <c r="N1800" i="7949"/>
  <c r="N1746" i="7949"/>
  <c r="N1692" i="7949"/>
  <c r="N1638" i="7949"/>
  <c r="N1584" i="7949"/>
  <c r="N1530" i="7949"/>
  <c r="N1476" i="7949"/>
  <c r="N1422" i="7949"/>
  <c r="N1368" i="7949"/>
  <c r="N1314" i="7949"/>
  <c r="N1260" i="7949"/>
  <c r="N1206" i="7949"/>
  <c r="N1152" i="7949"/>
  <c r="N1098" i="7949"/>
  <c r="N1044" i="7949"/>
  <c r="N990" i="7949"/>
  <c r="N936" i="7949"/>
  <c r="N882" i="7949"/>
  <c r="N828" i="7949"/>
  <c r="N774" i="7949"/>
  <c r="N720" i="7949"/>
  <c r="N666" i="7949"/>
  <c r="N612" i="7949"/>
  <c r="N558" i="7949"/>
  <c r="N504" i="7949"/>
  <c r="N450" i="7949"/>
  <c r="N396" i="7949"/>
  <c r="N342" i="7949"/>
  <c r="N288" i="7949"/>
  <c r="N234" i="7949"/>
  <c r="N37" i="7950"/>
  <c r="N1063" i="7950"/>
  <c r="N469" i="7950"/>
  <c r="N685" i="7950"/>
  <c r="N793" i="7950"/>
  <c r="N1873" i="7950"/>
  <c r="N1981" i="7950"/>
  <c r="N2197" i="7950"/>
  <c r="N2629" i="7950"/>
  <c r="N1657" i="7950"/>
  <c r="N901" i="7950"/>
  <c r="N1117" i="7950"/>
  <c r="N1441" i="7950"/>
  <c r="N2035" i="7950"/>
  <c r="N2251" i="7950"/>
  <c r="N2683" i="7950"/>
  <c r="N420" i="7949"/>
  <c r="N852" i="7949"/>
  <c r="N1068" i="7949"/>
  <c r="N1284" i="7949"/>
  <c r="N1824" i="7949"/>
  <c r="N2688" i="7949"/>
  <c r="N847" i="7950"/>
  <c r="N145" i="7950"/>
  <c r="N361" i="7950"/>
  <c r="N1009" i="7950"/>
  <c r="N955" i="7950"/>
  <c r="N307" i="7950"/>
  <c r="N523" i="7950"/>
  <c r="N1603" i="7950"/>
  <c r="N2575" i="7950"/>
  <c r="N312" i="7949"/>
  <c r="N744" i="7949"/>
  <c r="N1500" i="7949"/>
  <c r="N2040" i="7949"/>
  <c r="N2472" i="7949"/>
  <c r="N1765" i="7950"/>
  <c r="N1387" i="7950"/>
  <c r="N2089" i="7950"/>
  <c r="N2521" i="7950"/>
  <c r="N739" i="7950"/>
  <c r="N1333" i="7950"/>
  <c r="N1927" i="7950"/>
  <c r="N2143" i="7950"/>
  <c r="N2467" i="7950"/>
  <c r="N42" i="7949"/>
  <c r="N150" i="7949"/>
  <c r="N1171" i="7950"/>
  <c r="N96" i="7949"/>
  <c r="N528" i="7949"/>
  <c r="N960" i="7949"/>
  <c r="N1176" i="7949"/>
  <c r="N1608" i="7949"/>
  <c r="N2148" i="7949"/>
  <c r="N2364" i="7949"/>
  <c r="N1549" i="7950"/>
  <c r="N253" i="7950"/>
  <c r="N577" i="7950"/>
  <c r="N1225" i="7950"/>
  <c r="N1711" i="7950"/>
  <c r="N1279" i="7950"/>
  <c r="N1495" i="7950"/>
  <c r="N2305" i="7950"/>
  <c r="N2413" i="7950"/>
  <c r="N199" i="7950"/>
  <c r="N415" i="7950"/>
  <c r="N631" i="7950"/>
  <c r="N1819" i="7950"/>
  <c r="N2359" i="7950"/>
  <c r="M204" i="7949"/>
  <c r="N204" i="7949" s="1"/>
  <c r="O204" i="7949" s="1"/>
  <c r="P204" i="7949" s="1"/>
  <c r="Q204" i="7949" s="1"/>
  <c r="R204" i="7949" s="1"/>
  <c r="S204" i="7949" s="1"/>
  <c r="T204" i="7949" s="1"/>
  <c r="U204" i="7949" s="1"/>
  <c r="V204" i="7949" s="1"/>
  <c r="W204" i="7949" s="1"/>
  <c r="N636" i="7949"/>
  <c r="N1392" i="7949"/>
  <c r="N1716" i="7949"/>
  <c r="N1932" i="7949"/>
  <c r="N2256" i="7949"/>
  <c r="N2580" i="7949"/>
  <c r="N582" i="7949"/>
  <c r="N798" i="7949"/>
  <c r="N906" i="7949"/>
  <c r="N1014" i="7949"/>
  <c r="N1122" i="7949"/>
  <c r="N1446" i="7949"/>
  <c r="N1554" i="7949"/>
  <c r="N1662" i="7949"/>
  <c r="N1878" i="7949"/>
  <c r="N2202" i="7949"/>
  <c r="N2310" i="7949"/>
  <c r="N2418" i="7949"/>
  <c r="N258" i="7949"/>
  <c r="N366" i="7949"/>
  <c r="N474" i="7949"/>
  <c r="N690" i="7949"/>
  <c r="N1230" i="7949"/>
  <c r="N1338" i="7949"/>
  <c r="N1770" i="7949"/>
  <c r="N1986" i="7949"/>
  <c r="N2094" i="7949"/>
  <c r="N2526" i="7949"/>
  <c r="N2634" i="7949"/>
  <c r="M91" i="7950"/>
  <c r="N13" i="7950"/>
  <c r="M370" i="7941"/>
  <c r="M348" i="7941"/>
  <c r="M332" i="7941"/>
  <c r="M343" i="7941"/>
  <c r="M350" i="7941"/>
  <c r="M357" i="7941"/>
  <c r="M356" i="7941"/>
  <c r="M339" i="7941"/>
  <c r="M345" i="7941"/>
  <c r="M330" i="7941"/>
  <c r="M333" i="7941"/>
  <c r="M342" i="7941"/>
  <c r="M366" i="7941"/>
  <c r="M852" i="18"/>
  <c r="M142" i="7941" s="1"/>
  <c r="N38" i="7941" s="1"/>
  <c r="N34" i="7941"/>
  <c r="N41" i="7941"/>
  <c r="N19" i="7941"/>
  <c r="N22" i="7941"/>
  <c r="N56" i="7941"/>
  <c r="N25" i="7941"/>
  <c r="N31" i="7941"/>
  <c r="N16" i="7941"/>
  <c r="N29" i="7941"/>
  <c r="N36" i="7941"/>
  <c r="N52" i="7941"/>
  <c r="L161" i="7941"/>
  <c r="M767" i="18"/>
  <c r="M1133" i="18" s="1"/>
  <c r="L352" i="7941"/>
  <c r="M362" i="7941" l="1"/>
  <c r="O121" i="7950"/>
  <c r="T2127" i="7950"/>
  <c r="T2151" i="7950"/>
  <c r="U886" i="7950"/>
  <c r="U910" i="7950"/>
  <c r="T1772" i="7950"/>
  <c r="T1748" i="7950"/>
  <c r="T2474" i="7950"/>
  <c r="T2450" i="7950"/>
  <c r="T1016" i="7950"/>
  <c r="T992" i="7950"/>
  <c r="U832" i="7950"/>
  <c r="U856" i="7950"/>
  <c r="U2289" i="7950"/>
  <c r="U2313" i="7950"/>
  <c r="T854" i="7950"/>
  <c r="T830" i="7950"/>
  <c r="T692" i="7950"/>
  <c r="T668" i="7950"/>
  <c r="U2344" i="7950"/>
  <c r="U2368" i="7950"/>
  <c r="T1718" i="7950"/>
  <c r="T1694" i="7950"/>
  <c r="T722" i="7950"/>
  <c r="T746" i="7950"/>
  <c r="T1070" i="7950"/>
  <c r="T1046" i="7950"/>
  <c r="U1371" i="7950"/>
  <c r="U1395" i="7950"/>
  <c r="U2505" i="7950"/>
  <c r="U2529" i="7950"/>
  <c r="U129" i="7950"/>
  <c r="U153" i="7950"/>
  <c r="T2636" i="7950"/>
  <c r="T2612" i="7950"/>
  <c r="V802" i="7950"/>
  <c r="V778" i="7950"/>
  <c r="T1100" i="7950"/>
  <c r="T1124" i="7950"/>
  <c r="T1017" i="7950"/>
  <c r="T993" i="7950"/>
  <c r="T2072" i="7950"/>
  <c r="T2096" i="7950"/>
  <c r="U1773" i="7950"/>
  <c r="U1749" i="7950"/>
  <c r="T314" i="7950"/>
  <c r="T368" i="7950"/>
  <c r="V1534" i="7950"/>
  <c r="V1558" i="7950"/>
  <c r="U1288" i="7950"/>
  <c r="U1264" i="7950"/>
  <c r="U477" i="7950"/>
  <c r="U453" i="7950"/>
  <c r="V1666" i="7950"/>
  <c r="V1642" i="7950"/>
  <c r="T584" i="7950"/>
  <c r="T560" i="7950"/>
  <c r="T908" i="7950"/>
  <c r="T884" i="7950"/>
  <c r="T530" i="7950"/>
  <c r="T506" i="7950"/>
  <c r="U345" i="7950"/>
  <c r="U369" i="7950"/>
  <c r="T1988" i="7950"/>
  <c r="T1964" i="7950"/>
  <c r="T183" i="7950"/>
  <c r="T207" i="7950"/>
  <c r="T2018" i="7950"/>
  <c r="T2042" i="7950"/>
  <c r="T1802" i="7950"/>
  <c r="T1826" i="7950"/>
  <c r="T1910" i="7950"/>
  <c r="T1934" i="7950"/>
  <c r="U1750" i="7950"/>
  <c r="U1774" i="7950"/>
  <c r="T1502" i="7950"/>
  <c r="T1478" i="7950"/>
  <c r="U1425" i="7950"/>
  <c r="U1449" i="7950"/>
  <c r="T152" i="7950"/>
  <c r="T1989" i="7950"/>
  <c r="T1965" i="7950"/>
  <c r="T1125" i="7950"/>
  <c r="T1101" i="7950"/>
  <c r="U1612" i="7950"/>
  <c r="U1588" i="7950"/>
  <c r="T2180" i="7950"/>
  <c r="T2204" i="7950"/>
  <c r="U1935" i="7950"/>
  <c r="U1911" i="7950"/>
  <c r="V1210" i="7950"/>
  <c r="V1234" i="7950"/>
  <c r="T2666" i="7950"/>
  <c r="T2690" i="7950"/>
  <c r="U238" i="7950"/>
  <c r="U262" i="7950"/>
  <c r="U1287" i="7950"/>
  <c r="U1263" i="7950"/>
  <c r="T206" i="7950"/>
  <c r="T1532" i="7950"/>
  <c r="T1556" i="7950"/>
  <c r="V2422" i="7950"/>
  <c r="V2398" i="7950"/>
  <c r="T693" i="7950"/>
  <c r="T669" i="7950"/>
  <c r="T1209" i="7950"/>
  <c r="T1233" i="7950"/>
  <c r="V2236" i="7950"/>
  <c r="V2260" i="7950"/>
  <c r="T422" i="7950"/>
  <c r="T398" i="7950"/>
  <c r="S98" i="7950"/>
  <c r="T1232" i="7950"/>
  <c r="T1208" i="7950"/>
  <c r="T2126" i="7950"/>
  <c r="T2150" i="7950"/>
  <c r="T2528" i="7950"/>
  <c r="T2504" i="7950"/>
  <c r="T2396" i="7950"/>
  <c r="T2420" i="7950"/>
  <c r="S260" i="7950"/>
  <c r="U2259" i="7950"/>
  <c r="U2235" i="7950"/>
  <c r="U2560" i="7950"/>
  <c r="U2584" i="7950"/>
  <c r="T452" i="7950"/>
  <c r="T476" i="7950"/>
  <c r="U2020" i="7950"/>
  <c r="U2044" i="7950"/>
  <c r="T1154" i="7950"/>
  <c r="T1178" i="7950"/>
  <c r="U616" i="7950"/>
  <c r="U640" i="7950"/>
  <c r="V2182" i="7950"/>
  <c r="V2206" i="7950"/>
  <c r="V2314" i="7950"/>
  <c r="V2290" i="7950"/>
  <c r="U1587" i="7950"/>
  <c r="U1611" i="7950"/>
  <c r="T2342" i="7950"/>
  <c r="T2366" i="7950"/>
  <c r="T1856" i="7950"/>
  <c r="T1880" i="7950"/>
  <c r="T1424" i="7950"/>
  <c r="T1448" i="7950"/>
  <c r="T1664" i="7950"/>
  <c r="T1640" i="7950"/>
  <c r="V316" i="7950"/>
  <c r="V292" i="7950"/>
  <c r="T800" i="7950"/>
  <c r="T776" i="7950"/>
  <c r="T638" i="7950"/>
  <c r="T614" i="7950"/>
  <c r="U2475" i="7950"/>
  <c r="U2451" i="7950"/>
  <c r="V154" i="7950"/>
  <c r="V130" i="7950"/>
  <c r="T1286" i="7950"/>
  <c r="T1262" i="7950"/>
  <c r="V478" i="7950"/>
  <c r="V454" i="7950"/>
  <c r="V2668" i="7950"/>
  <c r="V2692" i="7950"/>
  <c r="T2258" i="7950"/>
  <c r="T2234" i="7950"/>
  <c r="U2613" i="7950"/>
  <c r="U2637" i="7950"/>
  <c r="T2312" i="7950"/>
  <c r="T2288" i="7950"/>
  <c r="V208" i="7950"/>
  <c r="V184" i="7950"/>
  <c r="V724" i="7950"/>
  <c r="V748" i="7950"/>
  <c r="U2343" i="7950"/>
  <c r="U2367" i="7950"/>
  <c r="V400" i="7950"/>
  <c r="V424" i="7950"/>
  <c r="T2691" i="7950"/>
  <c r="T2667" i="7950"/>
  <c r="T1586" i="7950"/>
  <c r="T1610" i="7950"/>
  <c r="T1370" i="7950"/>
  <c r="T1394" i="7950"/>
  <c r="U2530" i="7950"/>
  <c r="U2506" i="7950"/>
  <c r="U885" i="7950"/>
  <c r="U909" i="7950"/>
  <c r="U2097" i="7950"/>
  <c r="U2073" i="7950"/>
  <c r="T99" i="7950"/>
  <c r="T75" i="7950"/>
  <c r="L1324" i="7949"/>
  <c r="M1324" i="7949" s="1"/>
  <c r="N1324" i="7949" s="1"/>
  <c r="O1324" i="7949" s="1"/>
  <c r="P1324" i="7949" s="1"/>
  <c r="Q1324" i="7949" s="1"/>
  <c r="R1324" i="7949" s="1"/>
  <c r="S1324" i="7949" s="1"/>
  <c r="T1324" i="7949" s="1"/>
  <c r="U1324" i="7949" s="1"/>
  <c r="V1324" i="7949" s="1"/>
  <c r="W1324" i="7949" s="1"/>
  <c r="L730" i="7949"/>
  <c r="M730" i="7949" s="1"/>
  <c r="N730" i="7949" s="1"/>
  <c r="O730" i="7949" s="1"/>
  <c r="P730" i="7949" s="1"/>
  <c r="Q730" i="7949" s="1"/>
  <c r="R730" i="7949" s="1"/>
  <c r="S730" i="7949" s="1"/>
  <c r="T730" i="7949" s="1"/>
  <c r="U730" i="7949" s="1"/>
  <c r="V730" i="7949" s="1"/>
  <c r="W730" i="7949" s="1"/>
  <c r="L298" i="7949"/>
  <c r="M298" i="7949" s="1"/>
  <c r="N298" i="7949" s="1"/>
  <c r="O298" i="7949" s="1"/>
  <c r="P298" i="7949" s="1"/>
  <c r="Q298" i="7949" s="1"/>
  <c r="R298" i="7949" s="1"/>
  <c r="S298" i="7949" s="1"/>
  <c r="T298" i="7949" s="1"/>
  <c r="U298" i="7949" s="1"/>
  <c r="V298" i="7949" s="1"/>
  <c r="W298" i="7949" s="1"/>
  <c r="L1378" i="7949"/>
  <c r="M1378" i="7949" s="1"/>
  <c r="N1378" i="7949" s="1"/>
  <c r="O1378" i="7949" s="1"/>
  <c r="P1378" i="7949" s="1"/>
  <c r="Q1378" i="7949" s="1"/>
  <c r="R1378" i="7949" s="1"/>
  <c r="S1378" i="7949" s="1"/>
  <c r="T1378" i="7949" s="1"/>
  <c r="U1378" i="7949" s="1"/>
  <c r="V1378" i="7949" s="1"/>
  <c r="W1378" i="7949" s="1"/>
  <c r="L352" i="7949"/>
  <c r="M352" i="7949" s="1"/>
  <c r="N352" i="7949" s="1"/>
  <c r="O352" i="7949" s="1"/>
  <c r="P352" i="7949" s="1"/>
  <c r="Q352" i="7949" s="1"/>
  <c r="R352" i="7949" s="1"/>
  <c r="S352" i="7949" s="1"/>
  <c r="T352" i="7949" s="1"/>
  <c r="U352" i="7949" s="1"/>
  <c r="V352" i="7949" s="1"/>
  <c r="W352" i="7949" s="1"/>
  <c r="L2134" i="7949"/>
  <c r="M2134" i="7949" s="1"/>
  <c r="N2134" i="7949" s="1"/>
  <c r="O2134" i="7949" s="1"/>
  <c r="P2134" i="7949" s="1"/>
  <c r="Q2134" i="7949" s="1"/>
  <c r="R2134" i="7949" s="1"/>
  <c r="S2134" i="7949" s="1"/>
  <c r="T2134" i="7949" s="1"/>
  <c r="U2134" i="7949" s="1"/>
  <c r="V2134" i="7949" s="1"/>
  <c r="W2134" i="7949" s="1"/>
  <c r="L1810" i="7949"/>
  <c r="M1810" i="7949" s="1"/>
  <c r="N1810" i="7949" s="1"/>
  <c r="O1810" i="7949" s="1"/>
  <c r="P1810" i="7949" s="1"/>
  <c r="Q1810" i="7949" s="1"/>
  <c r="R1810" i="7949" s="1"/>
  <c r="S1810" i="7949" s="1"/>
  <c r="T1810" i="7949" s="1"/>
  <c r="U1810" i="7949" s="1"/>
  <c r="V1810" i="7949" s="1"/>
  <c r="W1810" i="7949" s="1"/>
  <c r="L838" i="7949"/>
  <c r="M838" i="7949" s="1"/>
  <c r="N838" i="7949" s="1"/>
  <c r="O838" i="7949" s="1"/>
  <c r="P838" i="7949" s="1"/>
  <c r="Q838" i="7949" s="1"/>
  <c r="R838" i="7949" s="1"/>
  <c r="S838" i="7949" s="1"/>
  <c r="T838" i="7949" s="1"/>
  <c r="U838" i="7949" s="1"/>
  <c r="V838" i="7949" s="1"/>
  <c r="W838" i="7949" s="1"/>
  <c r="L946" i="7949"/>
  <c r="M946" i="7949" s="1"/>
  <c r="N946" i="7949" s="1"/>
  <c r="O946" i="7949" s="1"/>
  <c r="P946" i="7949" s="1"/>
  <c r="Q946" i="7949" s="1"/>
  <c r="R946" i="7949" s="1"/>
  <c r="S946" i="7949" s="1"/>
  <c r="T946" i="7949" s="1"/>
  <c r="U946" i="7949" s="1"/>
  <c r="V946" i="7949" s="1"/>
  <c r="W946" i="7949" s="1"/>
  <c r="L244" i="7949"/>
  <c r="M244" i="7949" s="1"/>
  <c r="N244" i="7949" s="1"/>
  <c r="O244" i="7949" s="1"/>
  <c r="P244" i="7949" s="1"/>
  <c r="Q244" i="7949" s="1"/>
  <c r="R244" i="7949" s="1"/>
  <c r="S244" i="7949" s="1"/>
  <c r="T244" i="7949" s="1"/>
  <c r="U244" i="7949" s="1"/>
  <c r="V244" i="7949" s="1"/>
  <c r="W244" i="7949" s="1"/>
  <c r="L2296" i="7949"/>
  <c r="M2296" i="7949" s="1"/>
  <c r="N2296" i="7949" s="1"/>
  <c r="O2296" i="7949" s="1"/>
  <c r="P2296" i="7949" s="1"/>
  <c r="Q2296" i="7949" s="1"/>
  <c r="R2296" i="7949" s="1"/>
  <c r="S2296" i="7949" s="1"/>
  <c r="T2296" i="7949" s="1"/>
  <c r="U2296" i="7949" s="1"/>
  <c r="V2296" i="7949" s="1"/>
  <c r="W2296" i="7949" s="1"/>
  <c r="L1702" i="7949"/>
  <c r="M1702" i="7949" s="1"/>
  <c r="N1702" i="7949" s="1"/>
  <c r="O1702" i="7949" s="1"/>
  <c r="P1702" i="7949" s="1"/>
  <c r="Q1702" i="7949" s="1"/>
  <c r="R1702" i="7949" s="1"/>
  <c r="S1702" i="7949" s="1"/>
  <c r="T1702" i="7949" s="1"/>
  <c r="U1702" i="7949" s="1"/>
  <c r="V1702" i="7949" s="1"/>
  <c r="W1702" i="7949" s="1"/>
  <c r="L2674" i="7949"/>
  <c r="M2674" i="7949" s="1"/>
  <c r="N2674" i="7949" s="1"/>
  <c r="O2674" i="7949" s="1"/>
  <c r="P2674" i="7949" s="1"/>
  <c r="Q2674" i="7949" s="1"/>
  <c r="R2674" i="7949" s="1"/>
  <c r="S2674" i="7949" s="1"/>
  <c r="T2674" i="7949" s="1"/>
  <c r="U2674" i="7949" s="1"/>
  <c r="V2674" i="7949" s="1"/>
  <c r="W2674" i="7949" s="1"/>
  <c r="L1594" i="7949"/>
  <c r="M1594" i="7949" s="1"/>
  <c r="N1594" i="7949" s="1"/>
  <c r="O1594" i="7949" s="1"/>
  <c r="P1594" i="7949" s="1"/>
  <c r="Q1594" i="7949" s="1"/>
  <c r="R1594" i="7949" s="1"/>
  <c r="S1594" i="7949" s="1"/>
  <c r="T1594" i="7949" s="1"/>
  <c r="U1594" i="7949" s="1"/>
  <c r="V1594" i="7949" s="1"/>
  <c r="W1594" i="7949" s="1"/>
  <c r="L1108" i="7949"/>
  <c r="M1108" i="7949" s="1"/>
  <c r="N1108" i="7949" s="1"/>
  <c r="O1108" i="7949" s="1"/>
  <c r="P1108" i="7949" s="1"/>
  <c r="Q1108" i="7949" s="1"/>
  <c r="R1108" i="7949" s="1"/>
  <c r="S1108" i="7949" s="1"/>
  <c r="T1108" i="7949" s="1"/>
  <c r="U1108" i="7949" s="1"/>
  <c r="V1108" i="7949" s="1"/>
  <c r="W1108" i="7949" s="1"/>
  <c r="L1648" i="7949"/>
  <c r="M1648" i="7949" s="1"/>
  <c r="N1648" i="7949" s="1"/>
  <c r="O1648" i="7949" s="1"/>
  <c r="P1648" i="7949" s="1"/>
  <c r="Q1648" i="7949" s="1"/>
  <c r="R1648" i="7949" s="1"/>
  <c r="S1648" i="7949" s="1"/>
  <c r="T1648" i="7949" s="1"/>
  <c r="U1648" i="7949" s="1"/>
  <c r="V1648" i="7949" s="1"/>
  <c r="W1648" i="7949" s="1"/>
  <c r="L1432" i="7949"/>
  <c r="M1432" i="7949" s="1"/>
  <c r="N1432" i="7949" s="1"/>
  <c r="O1432" i="7949" s="1"/>
  <c r="P1432" i="7949" s="1"/>
  <c r="Q1432" i="7949" s="1"/>
  <c r="R1432" i="7949" s="1"/>
  <c r="S1432" i="7949" s="1"/>
  <c r="T1432" i="7949" s="1"/>
  <c r="U1432" i="7949" s="1"/>
  <c r="V1432" i="7949" s="1"/>
  <c r="W1432" i="7949" s="1"/>
  <c r="L622" i="7949"/>
  <c r="M622" i="7949" s="1"/>
  <c r="N622" i="7949" s="1"/>
  <c r="O622" i="7949" s="1"/>
  <c r="P622" i="7949" s="1"/>
  <c r="Q622" i="7949" s="1"/>
  <c r="R622" i="7949" s="1"/>
  <c r="S622" i="7949" s="1"/>
  <c r="T622" i="7949" s="1"/>
  <c r="U622" i="7949" s="1"/>
  <c r="V622" i="7949" s="1"/>
  <c r="W622" i="7949" s="1"/>
  <c r="L2404" i="7949"/>
  <c r="M2404" i="7949" s="1"/>
  <c r="N2404" i="7949" s="1"/>
  <c r="O2404" i="7949" s="1"/>
  <c r="P2404" i="7949" s="1"/>
  <c r="Q2404" i="7949" s="1"/>
  <c r="R2404" i="7949" s="1"/>
  <c r="S2404" i="7949" s="1"/>
  <c r="T2404" i="7949" s="1"/>
  <c r="U2404" i="7949" s="1"/>
  <c r="V2404" i="7949" s="1"/>
  <c r="W2404" i="7949" s="1"/>
  <c r="L1972" i="7949"/>
  <c r="M1972" i="7949" s="1"/>
  <c r="N1972" i="7949" s="1"/>
  <c r="O1972" i="7949" s="1"/>
  <c r="P1972" i="7949" s="1"/>
  <c r="Q1972" i="7949" s="1"/>
  <c r="R1972" i="7949" s="1"/>
  <c r="S1972" i="7949" s="1"/>
  <c r="T1972" i="7949" s="1"/>
  <c r="U1972" i="7949" s="1"/>
  <c r="V1972" i="7949" s="1"/>
  <c r="W1972" i="7949" s="1"/>
  <c r="L1162" i="7949"/>
  <c r="M1162" i="7949" s="1"/>
  <c r="N1162" i="7949" s="1"/>
  <c r="O1162" i="7949" s="1"/>
  <c r="P1162" i="7949" s="1"/>
  <c r="Q1162" i="7949" s="1"/>
  <c r="R1162" i="7949" s="1"/>
  <c r="S1162" i="7949" s="1"/>
  <c r="T1162" i="7949" s="1"/>
  <c r="U1162" i="7949" s="1"/>
  <c r="V1162" i="7949" s="1"/>
  <c r="W1162" i="7949" s="1"/>
  <c r="L2026" i="7949"/>
  <c r="M2026" i="7949" s="1"/>
  <c r="N2026" i="7949" s="1"/>
  <c r="O2026" i="7949" s="1"/>
  <c r="P2026" i="7949" s="1"/>
  <c r="Q2026" i="7949" s="1"/>
  <c r="R2026" i="7949" s="1"/>
  <c r="S2026" i="7949" s="1"/>
  <c r="T2026" i="7949" s="1"/>
  <c r="U2026" i="7949" s="1"/>
  <c r="V2026" i="7949" s="1"/>
  <c r="W2026" i="7949" s="1"/>
  <c r="L2242" i="7949"/>
  <c r="M2242" i="7949" s="1"/>
  <c r="N2242" i="7949" s="1"/>
  <c r="O2242" i="7949" s="1"/>
  <c r="P2242" i="7949" s="1"/>
  <c r="Q2242" i="7949" s="1"/>
  <c r="R2242" i="7949" s="1"/>
  <c r="S2242" i="7949" s="1"/>
  <c r="T2242" i="7949" s="1"/>
  <c r="U2242" i="7949" s="1"/>
  <c r="V2242" i="7949" s="1"/>
  <c r="W2242" i="7949" s="1"/>
  <c r="L1864" i="7949"/>
  <c r="M1864" i="7949" s="1"/>
  <c r="N1864" i="7949" s="1"/>
  <c r="O1864" i="7949" s="1"/>
  <c r="P1864" i="7949" s="1"/>
  <c r="Q1864" i="7949" s="1"/>
  <c r="R1864" i="7949" s="1"/>
  <c r="S1864" i="7949" s="1"/>
  <c r="T1864" i="7949" s="1"/>
  <c r="U1864" i="7949" s="1"/>
  <c r="V1864" i="7949" s="1"/>
  <c r="W1864" i="7949" s="1"/>
  <c r="L1000" i="7949"/>
  <c r="M1000" i="7949" s="1"/>
  <c r="N1000" i="7949" s="1"/>
  <c r="O1000" i="7949" s="1"/>
  <c r="P1000" i="7949" s="1"/>
  <c r="Q1000" i="7949" s="1"/>
  <c r="R1000" i="7949" s="1"/>
  <c r="S1000" i="7949" s="1"/>
  <c r="T1000" i="7949" s="1"/>
  <c r="U1000" i="7949" s="1"/>
  <c r="V1000" i="7949" s="1"/>
  <c r="W1000" i="7949" s="1"/>
  <c r="L1216" i="7949"/>
  <c r="M1216" i="7949" s="1"/>
  <c r="N1216" i="7949" s="1"/>
  <c r="O1216" i="7949" s="1"/>
  <c r="P1216" i="7949" s="1"/>
  <c r="Q1216" i="7949" s="1"/>
  <c r="R1216" i="7949" s="1"/>
  <c r="S1216" i="7949" s="1"/>
  <c r="T1216" i="7949" s="1"/>
  <c r="U1216" i="7949" s="1"/>
  <c r="V1216" i="7949" s="1"/>
  <c r="W1216" i="7949" s="1"/>
  <c r="L1054" i="7949"/>
  <c r="M1054" i="7949" s="1"/>
  <c r="N1054" i="7949" s="1"/>
  <c r="O1054" i="7949" s="1"/>
  <c r="P1054" i="7949" s="1"/>
  <c r="Q1054" i="7949" s="1"/>
  <c r="R1054" i="7949" s="1"/>
  <c r="S1054" i="7949" s="1"/>
  <c r="T1054" i="7949" s="1"/>
  <c r="U1054" i="7949" s="1"/>
  <c r="V1054" i="7949" s="1"/>
  <c r="W1054" i="7949" s="1"/>
  <c r="L2620" i="7949"/>
  <c r="M2620" i="7949" s="1"/>
  <c r="N2620" i="7949" s="1"/>
  <c r="O2620" i="7949" s="1"/>
  <c r="P2620" i="7949" s="1"/>
  <c r="Q2620" i="7949" s="1"/>
  <c r="R2620" i="7949" s="1"/>
  <c r="S2620" i="7949" s="1"/>
  <c r="T2620" i="7949" s="1"/>
  <c r="U2620" i="7949" s="1"/>
  <c r="V2620" i="7949" s="1"/>
  <c r="W2620" i="7949" s="1"/>
  <c r="L406" i="7949"/>
  <c r="M406" i="7949" s="1"/>
  <c r="N406" i="7949" s="1"/>
  <c r="O406" i="7949" s="1"/>
  <c r="P406" i="7949" s="1"/>
  <c r="Q406" i="7949" s="1"/>
  <c r="R406" i="7949" s="1"/>
  <c r="S406" i="7949" s="1"/>
  <c r="T406" i="7949" s="1"/>
  <c r="U406" i="7949" s="1"/>
  <c r="V406" i="7949" s="1"/>
  <c r="W406" i="7949" s="1"/>
  <c r="L1540" i="7949"/>
  <c r="M1540" i="7949" s="1"/>
  <c r="N1540" i="7949" s="1"/>
  <c r="O1540" i="7949" s="1"/>
  <c r="P1540" i="7949" s="1"/>
  <c r="Q1540" i="7949" s="1"/>
  <c r="R1540" i="7949" s="1"/>
  <c r="S1540" i="7949" s="1"/>
  <c r="T1540" i="7949" s="1"/>
  <c r="U1540" i="7949" s="1"/>
  <c r="V1540" i="7949" s="1"/>
  <c r="W1540" i="7949" s="1"/>
  <c r="L514" i="7949"/>
  <c r="M514" i="7949" s="1"/>
  <c r="N514" i="7949" s="1"/>
  <c r="O514" i="7949" s="1"/>
  <c r="P514" i="7949" s="1"/>
  <c r="Q514" i="7949" s="1"/>
  <c r="R514" i="7949" s="1"/>
  <c r="S514" i="7949" s="1"/>
  <c r="T514" i="7949" s="1"/>
  <c r="U514" i="7949" s="1"/>
  <c r="V514" i="7949" s="1"/>
  <c r="W514" i="7949" s="1"/>
  <c r="L568" i="7949"/>
  <c r="M568" i="7949" s="1"/>
  <c r="N568" i="7949" s="1"/>
  <c r="O568" i="7949" s="1"/>
  <c r="P568" i="7949" s="1"/>
  <c r="Q568" i="7949" s="1"/>
  <c r="R568" i="7949" s="1"/>
  <c r="S568" i="7949" s="1"/>
  <c r="T568" i="7949" s="1"/>
  <c r="U568" i="7949" s="1"/>
  <c r="V568" i="7949" s="1"/>
  <c r="W568" i="7949" s="1"/>
  <c r="L28" i="7949"/>
  <c r="M28" i="7949" s="1"/>
  <c r="N28" i="7949" s="1"/>
  <c r="O28" i="7949" s="1"/>
  <c r="P28" i="7949" s="1"/>
  <c r="Q28" i="7949" s="1"/>
  <c r="R28" i="7949" s="1"/>
  <c r="S28" i="7949" s="1"/>
  <c r="T28" i="7949" s="1"/>
  <c r="U28" i="7949" s="1"/>
  <c r="V28" i="7949" s="1"/>
  <c r="W28" i="7949" s="1"/>
  <c r="L676" i="7949"/>
  <c r="M676" i="7949" s="1"/>
  <c r="N676" i="7949" s="1"/>
  <c r="O676" i="7949" s="1"/>
  <c r="P676" i="7949" s="1"/>
  <c r="Q676" i="7949" s="1"/>
  <c r="R676" i="7949" s="1"/>
  <c r="S676" i="7949" s="1"/>
  <c r="T676" i="7949" s="1"/>
  <c r="U676" i="7949" s="1"/>
  <c r="V676" i="7949" s="1"/>
  <c r="W676" i="7949" s="1"/>
  <c r="L2512" i="7949"/>
  <c r="M2512" i="7949" s="1"/>
  <c r="N2512" i="7949" s="1"/>
  <c r="O2512" i="7949" s="1"/>
  <c r="P2512" i="7949" s="1"/>
  <c r="Q2512" i="7949" s="1"/>
  <c r="R2512" i="7949" s="1"/>
  <c r="S2512" i="7949" s="1"/>
  <c r="T2512" i="7949" s="1"/>
  <c r="U2512" i="7949" s="1"/>
  <c r="V2512" i="7949" s="1"/>
  <c r="W2512" i="7949" s="1"/>
  <c r="L2080" i="7949"/>
  <c r="M2080" i="7949" s="1"/>
  <c r="N2080" i="7949" s="1"/>
  <c r="O2080" i="7949" s="1"/>
  <c r="P2080" i="7949" s="1"/>
  <c r="Q2080" i="7949" s="1"/>
  <c r="R2080" i="7949" s="1"/>
  <c r="S2080" i="7949" s="1"/>
  <c r="T2080" i="7949" s="1"/>
  <c r="U2080" i="7949" s="1"/>
  <c r="V2080" i="7949" s="1"/>
  <c r="W2080" i="7949" s="1"/>
  <c r="L2566" i="7949"/>
  <c r="M2566" i="7949" s="1"/>
  <c r="N2566" i="7949" s="1"/>
  <c r="O2566" i="7949" s="1"/>
  <c r="P2566" i="7949" s="1"/>
  <c r="Q2566" i="7949" s="1"/>
  <c r="R2566" i="7949" s="1"/>
  <c r="S2566" i="7949" s="1"/>
  <c r="T2566" i="7949" s="1"/>
  <c r="U2566" i="7949" s="1"/>
  <c r="V2566" i="7949" s="1"/>
  <c r="W2566" i="7949" s="1"/>
  <c r="L2188" i="7949"/>
  <c r="M2188" i="7949" s="1"/>
  <c r="N2188" i="7949" s="1"/>
  <c r="O2188" i="7949" s="1"/>
  <c r="P2188" i="7949" s="1"/>
  <c r="Q2188" i="7949" s="1"/>
  <c r="R2188" i="7949" s="1"/>
  <c r="S2188" i="7949" s="1"/>
  <c r="T2188" i="7949" s="1"/>
  <c r="U2188" i="7949" s="1"/>
  <c r="V2188" i="7949" s="1"/>
  <c r="W2188" i="7949" s="1"/>
  <c r="L1270" i="7949"/>
  <c r="M1270" i="7949" s="1"/>
  <c r="N1270" i="7949" s="1"/>
  <c r="O1270" i="7949" s="1"/>
  <c r="P1270" i="7949" s="1"/>
  <c r="Q1270" i="7949" s="1"/>
  <c r="R1270" i="7949" s="1"/>
  <c r="S1270" i="7949" s="1"/>
  <c r="T1270" i="7949" s="1"/>
  <c r="U1270" i="7949" s="1"/>
  <c r="V1270" i="7949" s="1"/>
  <c r="W1270" i="7949" s="1"/>
  <c r="L460" i="7949"/>
  <c r="M460" i="7949" s="1"/>
  <c r="N460" i="7949" s="1"/>
  <c r="O460" i="7949" s="1"/>
  <c r="P460" i="7949" s="1"/>
  <c r="Q460" i="7949" s="1"/>
  <c r="R460" i="7949" s="1"/>
  <c r="S460" i="7949" s="1"/>
  <c r="T460" i="7949" s="1"/>
  <c r="U460" i="7949" s="1"/>
  <c r="V460" i="7949" s="1"/>
  <c r="W460" i="7949" s="1"/>
  <c r="L1918" i="7949"/>
  <c r="M1918" i="7949" s="1"/>
  <c r="N1918" i="7949" s="1"/>
  <c r="O1918" i="7949" s="1"/>
  <c r="P1918" i="7949" s="1"/>
  <c r="Q1918" i="7949" s="1"/>
  <c r="R1918" i="7949" s="1"/>
  <c r="S1918" i="7949" s="1"/>
  <c r="T1918" i="7949" s="1"/>
  <c r="U1918" i="7949" s="1"/>
  <c r="V1918" i="7949" s="1"/>
  <c r="W1918" i="7949" s="1"/>
  <c r="L190" i="7949"/>
  <c r="M190" i="7949" s="1"/>
  <c r="N190" i="7949" s="1"/>
  <c r="O190" i="7949" s="1"/>
  <c r="P190" i="7949" s="1"/>
  <c r="Q190" i="7949" s="1"/>
  <c r="R190" i="7949" s="1"/>
  <c r="S190" i="7949" s="1"/>
  <c r="T190" i="7949" s="1"/>
  <c r="U190" i="7949" s="1"/>
  <c r="V190" i="7949" s="1"/>
  <c r="W190" i="7949" s="1"/>
  <c r="L1756" i="7949"/>
  <c r="M1756" i="7949" s="1"/>
  <c r="N1756" i="7949" s="1"/>
  <c r="O1756" i="7949" s="1"/>
  <c r="P1756" i="7949" s="1"/>
  <c r="Q1756" i="7949" s="1"/>
  <c r="R1756" i="7949" s="1"/>
  <c r="S1756" i="7949" s="1"/>
  <c r="T1756" i="7949" s="1"/>
  <c r="U1756" i="7949" s="1"/>
  <c r="V1756" i="7949" s="1"/>
  <c r="W1756" i="7949" s="1"/>
  <c r="L1486" i="7949"/>
  <c r="M1486" i="7949" s="1"/>
  <c r="N1486" i="7949" s="1"/>
  <c r="O1486" i="7949" s="1"/>
  <c r="P1486" i="7949" s="1"/>
  <c r="Q1486" i="7949" s="1"/>
  <c r="R1486" i="7949" s="1"/>
  <c r="S1486" i="7949" s="1"/>
  <c r="T1486" i="7949" s="1"/>
  <c r="U1486" i="7949" s="1"/>
  <c r="V1486" i="7949" s="1"/>
  <c r="W1486" i="7949" s="1"/>
  <c r="L2350" i="7949"/>
  <c r="M2350" i="7949" s="1"/>
  <c r="N2350" i="7949" s="1"/>
  <c r="O2350" i="7949" s="1"/>
  <c r="P2350" i="7949" s="1"/>
  <c r="Q2350" i="7949" s="1"/>
  <c r="R2350" i="7949" s="1"/>
  <c r="S2350" i="7949" s="1"/>
  <c r="T2350" i="7949" s="1"/>
  <c r="U2350" i="7949" s="1"/>
  <c r="V2350" i="7949" s="1"/>
  <c r="W2350" i="7949" s="1"/>
  <c r="L2458" i="7949"/>
  <c r="M2458" i="7949" s="1"/>
  <c r="N2458" i="7949" s="1"/>
  <c r="O2458" i="7949" s="1"/>
  <c r="P2458" i="7949" s="1"/>
  <c r="Q2458" i="7949" s="1"/>
  <c r="R2458" i="7949" s="1"/>
  <c r="S2458" i="7949" s="1"/>
  <c r="T2458" i="7949" s="1"/>
  <c r="U2458" i="7949" s="1"/>
  <c r="V2458" i="7949" s="1"/>
  <c r="W2458" i="7949" s="1"/>
  <c r="L136" i="7949"/>
  <c r="M136" i="7949" s="1"/>
  <c r="N136" i="7949" s="1"/>
  <c r="O136" i="7949" s="1"/>
  <c r="P136" i="7949" s="1"/>
  <c r="Q136" i="7949" s="1"/>
  <c r="R136" i="7949" s="1"/>
  <c r="S136" i="7949" s="1"/>
  <c r="T136" i="7949" s="1"/>
  <c r="U136" i="7949" s="1"/>
  <c r="V136" i="7949" s="1"/>
  <c r="W136" i="7949" s="1"/>
  <c r="M10" i="7949"/>
  <c r="L82" i="7949"/>
  <c r="M82" i="7949" s="1"/>
  <c r="N82" i="7949" s="1"/>
  <c r="O82" i="7949" s="1"/>
  <c r="P82" i="7949" s="1"/>
  <c r="Q82" i="7949" s="1"/>
  <c r="R82" i="7949" s="1"/>
  <c r="S82" i="7949" s="1"/>
  <c r="T82" i="7949" s="1"/>
  <c r="U82" i="7949" s="1"/>
  <c r="V82" i="7949" s="1"/>
  <c r="W82" i="7949" s="1"/>
  <c r="L892" i="7949"/>
  <c r="M892" i="7949" s="1"/>
  <c r="N892" i="7949" s="1"/>
  <c r="O892" i="7949" s="1"/>
  <c r="P892" i="7949" s="1"/>
  <c r="Q892" i="7949" s="1"/>
  <c r="R892" i="7949" s="1"/>
  <c r="S892" i="7949" s="1"/>
  <c r="T892" i="7949" s="1"/>
  <c r="U892" i="7949" s="1"/>
  <c r="V892" i="7949" s="1"/>
  <c r="W892" i="7949" s="1"/>
  <c r="L784" i="7949"/>
  <c r="M784" i="7949" s="1"/>
  <c r="N784" i="7949" s="1"/>
  <c r="O784" i="7949" s="1"/>
  <c r="P784" i="7949" s="1"/>
  <c r="Q784" i="7949" s="1"/>
  <c r="R784" i="7949" s="1"/>
  <c r="S784" i="7949" s="1"/>
  <c r="T784" i="7949" s="1"/>
  <c r="U784" i="7949" s="1"/>
  <c r="V784" i="7949" s="1"/>
  <c r="W784" i="7949" s="1"/>
  <c r="V2045" i="7950"/>
  <c r="V2021" i="7950"/>
  <c r="V293" i="7950"/>
  <c r="V317" i="7950"/>
  <c r="V1859" i="7950"/>
  <c r="V1883" i="7950"/>
  <c r="S531" i="7950"/>
  <c r="S507" i="7950"/>
  <c r="V1452" i="7950"/>
  <c r="V1428" i="7950"/>
  <c r="V1266" i="7950"/>
  <c r="V1290" i="7950"/>
  <c r="U1937" i="7950"/>
  <c r="U1913" i="7950"/>
  <c r="V1722" i="7950"/>
  <c r="V1698" i="7950"/>
  <c r="T532" i="7950"/>
  <c r="T508" i="7950"/>
  <c r="S1155" i="7950"/>
  <c r="S1179" i="7950"/>
  <c r="V1482" i="7950"/>
  <c r="V1506" i="7950"/>
  <c r="V617" i="7950"/>
  <c r="V641" i="7950"/>
  <c r="S585" i="7950"/>
  <c r="S561" i="7950"/>
  <c r="S1719" i="7950"/>
  <c r="S1695" i="7950"/>
  <c r="V1860" i="7950"/>
  <c r="V1884" i="7950"/>
  <c r="V1967" i="7950"/>
  <c r="V1991" i="7950"/>
  <c r="U1049" i="7950"/>
  <c r="U1073" i="7950"/>
  <c r="U264" i="7950"/>
  <c r="U240" i="7950"/>
  <c r="S315" i="7950"/>
  <c r="S291" i="7950"/>
  <c r="V588" i="7950"/>
  <c r="V564" i="7950"/>
  <c r="S2559" i="7950"/>
  <c r="S2583" i="7950"/>
  <c r="T370" i="7950"/>
  <c r="T346" i="7950"/>
  <c r="V996" i="7950"/>
  <c r="V1020" i="7950"/>
  <c r="V587" i="7950"/>
  <c r="V563" i="7950"/>
  <c r="W2478" i="7950"/>
  <c r="W2454" i="7950"/>
  <c r="S1533" i="7950"/>
  <c r="S1557" i="7950"/>
  <c r="V1157" i="7950"/>
  <c r="V1181" i="7950"/>
  <c r="V2316" i="7950"/>
  <c r="V2292" i="7950"/>
  <c r="V2100" i="7950"/>
  <c r="V2076" i="7950"/>
  <c r="V696" i="7950"/>
  <c r="V672" i="7950"/>
  <c r="T1180" i="7950"/>
  <c r="T1156" i="7950"/>
  <c r="V1968" i="7950"/>
  <c r="V1992" i="7950"/>
  <c r="V1613" i="7950"/>
  <c r="V1589" i="7950"/>
  <c r="V2640" i="7950"/>
  <c r="V2616" i="7950"/>
  <c r="V426" i="7950"/>
  <c r="V402" i="7950"/>
  <c r="V1559" i="7950"/>
  <c r="V1535" i="7950"/>
  <c r="S2205" i="7950"/>
  <c r="S2181" i="7950"/>
  <c r="V1236" i="7950"/>
  <c r="V1212" i="7950"/>
  <c r="V1451" i="7950"/>
  <c r="V1427" i="7950"/>
  <c r="S615" i="7950"/>
  <c r="S639" i="7950"/>
  <c r="S801" i="7950"/>
  <c r="S777" i="7950"/>
  <c r="V642" i="7950"/>
  <c r="V618" i="7950"/>
  <c r="U911" i="7950"/>
  <c r="U887" i="7950"/>
  <c r="W2075" i="7950"/>
  <c r="W2099" i="7950"/>
  <c r="V2346" i="7950"/>
  <c r="V2370" i="7950"/>
  <c r="U2507" i="7950"/>
  <c r="U2531" i="7950"/>
  <c r="S1665" i="7950"/>
  <c r="S1641" i="7950"/>
  <c r="V2400" i="7950"/>
  <c r="V2424" i="7950"/>
  <c r="T940" i="7950"/>
  <c r="T964" i="7950"/>
  <c r="V294" i="7950"/>
  <c r="V318" i="7950"/>
  <c r="V1776" i="7950"/>
  <c r="V1752" i="7950"/>
  <c r="V2345" i="7950"/>
  <c r="V2369" i="7950"/>
  <c r="W941" i="7950"/>
  <c r="W965" i="7950"/>
  <c r="V1481" i="7950"/>
  <c r="V1505" i="7950"/>
  <c r="T101" i="7950"/>
  <c r="T77" i="7950"/>
  <c r="S963" i="7950"/>
  <c r="S939" i="7950"/>
  <c r="V671" i="7950"/>
  <c r="V695" i="7950"/>
  <c r="V2238" i="7950"/>
  <c r="V2262" i="7950"/>
  <c r="V1104" i="7950"/>
  <c r="V1128" i="7950"/>
  <c r="T2558" i="7950"/>
  <c r="T2582" i="7950"/>
  <c r="V1775" i="7950"/>
  <c r="V1751" i="7950"/>
  <c r="T1882" i="7950"/>
  <c r="T1858" i="7950"/>
  <c r="S76" i="7950"/>
  <c r="S100" i="7950"/>
  <c r="T1936" i="7950"/>
  <c r="T1912" i="7950"/>
  <c r="V780" i="7950"/>
  <c r="V804" i="7950"/>
  <c r="V1614" i="7950"/>
  <c r="V1590" i="7950"/>
  <c r="V131" i="7950"/>
  <c r="V155" i="7950"/>
  <c r="V858" i="7950"/>
  <c r="V834" i="7950"/>
  <c r="W2129" i="7950"/>
  <c r="W2153" i="7950"/>
  <c r="S1071" i="7950"/>
  <c r="S1047" i="7950"/>
  <c r="V1938" i="7950"/>
  <c r="V1914" i="7950"/>
  <c r="W1805" i="7950"/>
  <c r="W1829" i="7950"/>
  <c r="T1828" i="7950"/>
  <c r="T1804" i="7950"/>
  <c r="U2074" i="7950"/>
  <c r="U2098" i="7950"/>
  <c r="V2315" i="7950"/>
  <c r="V2291" i="7950"/>
  <c r="V1235" i="7950"/>
  <c r="V1211" i="7950"/>
  <c r="S1803" i="7950"/>
  <c r="S1827" i="7950"/>
  <c r="T1372" i="7950"/>
  <c r="T1396" i="7950"/>
  <c r="V372" i="7950"/>
  <c r="V348" i="7950"/>
  <c r="T1072" i="7950"/>
  <c r="T1048" i="7950"/>
  <c r="V749" i="7950"/>
  <c r="V725" i="7950"/>
  <c r="R237" i="7950"/>
  <c r="R261" i="7950"/>
  <c r="V156" i="7950"/>
  <c r="V132" i="7950"/>
  <c r="U239" i="7950"/>
  <c r="U263" i="7950"/>
  <c r="V510" i="7950"/>
  <c r="V534" i="7950"/>
  <c r="V347" i="7950"/>
  <c r="V371" i="7950"/>
  <c r="S2421" i="7950"/>
  <c r="S2397" i="7950"/>
  <c r="V1050" i="7950"/>
  <c r="V1074" i="7950"/>
  <c r="W1643" i="7950"/>
  <c r="W1667" i="7950"/>
  <c r="V210" i="7950"/>
  <c r="V186" i="7950"/>
  <c r="U833" i="7950"/>
  <c r="U857" i="7950"/>
  <c r="V2207" i="7950"/>
  <c r="V2183" i="7950"/>
  <c r="S723" i="7950"/>
  <c r="S747" i="7950"/>
  <c r="S423" i="7950"/>
  <c r="S399" i="7950"/>
  <c r="T2128" i="7950"/>
  <c r="T2152" i="7950"/>
  <c r="V2562" i="7950"/>
  <c r="V2586" i="7950"/>
  <c r="V1806" i="7950"/>
  <c r="V1830" i="7950"/>
  <c r="W2639" i="7950"/>
  <c r="W2615" i="7950"/>
  <c r="V2532" i="7950"/>
  <c r="V2508" i="7950"/>
  <c r="V1103" i="7950"/>
  <c r="V1127" i="7950"/>
  <c r="V1374" i="7950"/>
  <c r="V1398" i="7950"/>
  <c r="T962" i="7950"/>
  <c r="T938" i="7950"/>
  <c r="V2399" i="7950"/>
  <c r="V2423" i="7950"/>
  <c r="V2130" i="7950"/>
  <c r="V2154" i="7950"/>
  <c r="U509" i="7950"/>
  <c r="U533" i="7950"/>
  <c r="V2208" i="7950"/>
  <c r="V2184" i="7950"/>
  <c r="T670" i="7950"/>
  <c r="T694" i="7950"/>
  <c r="V1158" i="7950"/>
  <c r="V1182" i="7950"/>
  <c r="V1289" i="7950"/>
  <c r="V1265" i="7950"/>
  <c r="V1644" i="7950"/>
  <c r="V1668" i="7950"/>
  <c r="V2561" i="7950"/>
  <c r="V2585" i="7950"/>
  <c r="T1720" i="7950"/>
  <c r="T1696" i="7950"/>
  <c r="T1480" i="7950"/>
  <c r="T1504" i="7950"/>
  <c r="V479" i="7950"/>
  <c r="V455" i="7950"/>
  <c r="S855" i="7950"/>
  <c r="S831" i="7950"/>
  <c r="V2477" i="7950"/>
  <c r="V2453" i="7950"/>
  <c r="T1990" i="7950"/>
  <c r="T1966" i="7950"/>
  <c r="V2046" i="7950"/>
  <c r="V2022" i="7950"/>
  <c r="U2452" i="7950"/>
  <c r="U2476" i="7950"/>
  <c r="S1857" i="7950"/>
  <c r="S1881" i="7950"/>
  <c r="T1426" i="7950"/>
  <c r="T1450" i="7950"/>
  <c r="V1560" i="7950"/>
  <c r="V1536" i="7950"/>
  <c r="T586" i="7950"/>
  <c r="T562" i="7950"/>
  <c r="S2043" i="7950"/>
  <c r="S2019" i="7950"/>
  <c r="T2614" i="7950"/>
  <c r="T2638" i="7950"/>
  <c r="V942" i="7950"/>
  <c r="V966" i="7950"/>
  <c r="W1721" i="7950"/>
  <c r="W1697" i="7950"/>
  <c r="V2261" i="7950"/>
  <c r="V2237" i="7950"/>
  <c r="V480" i="7950"/>
  <c r="V456" i="7950"/>
  <c r="V2670" i="7950"/>
  <c r="V2694" i="7950"/>
  <c r="S1503" i="7950"/>
  <c r="S1479" i="7950"/>
  <c r="V912" i="7950"/>
  <c r="V888" i="7950"/>
  <c r="V995" i="7950"/>
  <c r="V1019" i="7950"/>
  <c r="V726" i="7950"/>
  <c r="V750" i="7950"/>
  <c r="W185" i="7950"/>
  <c r="W209" i="7950"/>
  <c r="V779" i="7950"/>
  <c r="V803" i="7950"/>
  <c r="O45" i="7941"/>
  <c r="O18" i="7941"/>
  <c r="M368" i="7941"/>
  <c r="O42" i="7941"/>
  <c r="N26" i="7941"/>
  <c r="N47" i="7941"/>
  <c r="O47" i="7941" s="1"/>
  <c r="N840" i="18"/>
  <c r="N130" i="7941" s="1"/>
  <c r="N842" i="18"/>
  <c r="N132" i="7941" s="1"/>
  <c r="O28" i="7941" s="1"/>
  <c r="M159" i="7941"/>
  <c r="N765" i="18"/>
  <c r="N1131" i="18" s="1"/>
  <c r="M150" i="7941"/>
  <c r="N756" i="18"/>
  <c r="N1122" i="18" s="1"/>
  <c r="M134" i="7941"/>
  <c r="N740" i="18"/>
  <c r="N1106" i="18" s="1"/>
  <c r="M131" i="7941"/>
  <c r="N737" i="18"/>
  <c r="N1103" i="18" s="1"/>
  <c r="N855" i="18"/>
  <c r="N866" i="18"/>
  <c r="M141" i="7941"/>
  <c r="N747" i="18"/>
  <c r="N1113" i="18" s="1"/>
  <c r="M153" i="7941"/>
  <c r="N759" i="18"/>
  <c r="N1125" i="18" s="1"/>
  <c r="M148" i="7941"/>
  <c r="N754" i="18"/>
  <c r="N1120" i="18" s="1"/>
  <c r="N858" i="18" s="1"/>
  <c r="M125" i="7941"/>
  <c r="N731" i="18"/>
  <c r="N1097" i="18" s="1"/>
  <c r="M127" i="7941"/>
  <c r="N733" i="18"/>
  <c r="N1099" i="18" s="1"/>
  <c r="N837" i="18" s="1"/>
  <c r="N830" i="18"/>
  <c r="M128" i="7941"/>
  <c r="N734" i="18"/>
  <c r="N1100" i="18" s="1"/>
  <c r="N1119" i="18"/>
  <c r="N870" i="18"/>
  <c r="M139" i="7941"/>
  <c r="N745" i="18"/>
  <c r="N1111" i="18" s="1"/>
  <c r="M157" i="7941"/>
  <c r="N763" i="18"/>
  <c r="N1129" i="18" s="1"/>
  <c r="N867" i="18" s="1"/>
  <c r="M154" i="7941"/>
  <c r="N760" i="18"/>
  <c r="N1126" i="18" s="1"/>
  <c r="M119" i="7941"/>
  <c r="N725" i="18"/>
  <c r="N1091" i="18" s="1"/>
  <c r="M121" i="7941"/>
  <c r="N727" i="18"/>
  <c r="N1093" i="18" s="1"/>
  <c r="N1101" i="18"/>
  <c r="N862" i="18"/>
  <c r="M137" i="7941"/>
  <c r="N743" i="18"/>
  <c r="N1109" i="18" s="1"/>
  <c r="M136" i="7941"/>
  <c r="N742" i="18"/>
  <c r="M144" i="7941"/>
  <c r="N750" i="18"/>
  <c r="N1116" i="18" s="1"/>
  <c r="M124" i="7941"/>
  <c r="N730" i="18"/>
  <c r="L853" i="18"/>
  <c r="I528" i="7942"/>
  <c r="L527" i="7942"/>
  <c r="M527" i="7942" s="1"/>
  <c r="L523" i="7942"/>
  <c r="L524" i="7942" s="1"/>
  <c r="Q519" i="7942"/>
  <c r="Q520" i="7942" s="1"/>
  <c r="Q574" i="7941" s="1"/>
  <c r="I530" i="7942"/>
  <c r="K528" i="7942"/>
  <c r="N521" i="7942"/>
  <c r="O521" i="7942" s="1"/>
  <c r="P521" i="7942" s="1"/>
  <c r="Q521" i="7942" s="1"/>
  <c r="J529" i="7942"/>
  <c r="J528" i="7942"/>
  <c r="O520" i="7942"/>
  <c r="P514" i="7942"/>
  <c r="M522" i="7942"/>
  <c r="K525" i="7942"/>
  <c r="L525" i="7942" s="1"/>
  <c r="M525" i="7942" s="1"/>
  <c r="O2659" i="7950"/>
  <c r="O2605" i="7950"/>
  <c r="O2551" i="7950"/>
  <c r="O2497" i="7950"/>
  <c r="O2443" i="7950"/>
  <c r="O2389" i="7950"/>
  <c r="O2335" i="7950"/>
  <c r="O2281" i="7950"/>
  <c r="O2227" i="7950"/>
  <c r="O2173" i="7950"/>
  <c r="O2119" i="7950"/>
  <c r="O2065" i="7950"/>
  <c r="O2011" i="7950"/>
  <c r="O1957" i="7950"/>
  <c r="O1903" i="7950"/>
  <c r="O1849" i="7950"/>
  <c r="O1795" i="7950"/>
  <c r="O1741" i="7950"/>
  <c r="O1687" i="7950"/>
  <c r="O1633" i="7950"/>
  <c r="O1579" i="7950"/>
  <c r="O1525" i="7950"/>
  <c r="O1471" i="7950"/>
  <c r="O1417" i="7950"/>
  <c r="O1363" i="7950"/>
  <c r="O1309" i="7950"/>
  <c r="O1255" i="7950"/>
  <c r="O1201" i="7950"/>
  <c r="O1147" i="7950"/>
  <c r="O1093" i="7950"/>
  <c r="O1039" i="7950"/>
  <c r="O985" i="7950"/>
  <c r="O931" i="7950"/>
  <c r="O877" i="7950"/>
  <c r="O823" i="7950"/>
  <c r="O769" i="7950"/>
  <c r="O715" i="7950"/>
  <c r="O661" i="7950"/>
  <c r="O607" i="7950"/>
  <c r="O553" i="7950"/>
  <c r="O499" i="7950"/>
  <c r="O445" i="7950"/>
  <c r="O391" i="7950"/>
  <c r="O337" i="7950"/>
  <c r="O283" i="7950"/>
  <c r="O229" i="7950"/>
  <c r="O175" i="7950"/>
  <c r="O13" i="7950"/>
  <c r="O2664" i="7949"/>
  <c r="O2610" i="7949"/>
  <c r="O2556" i="7949"/>
  <c r="O2502" i="7949"/>
  <c r="O2448" i="7949"/>
  <c r="O2394" i="7949"/>
  <c r="O2340" i="7949"/>
  <c r="O2286" i="7949"/>
  <c r="O2232" i="7949"/>
  <c r="O2178" i="7949"/>
  <c r="O2124" i="7949"/>
  <c r="O2070" i="7949"/>
  <c r="O2016" i="7949"/>
  <c r="O1962" i="7949"/>
  <c r="O1908" i="7949"/>
  <c r="O1854" i="7949"/>
  <c r="O1800" i="7949"/>
  <c r="O1746" i="7949"/>
  <c r="O1692" i="7949"/>
  <c r="O1638" i="7949"/>
  <c r="O1584" i="7949"/>
  <c r="O1530" i="7949"/>
  <c r="O1476" i="7949"/>
  <c r="O1422" i="7949"/>
  <c r="O1368" i="7949"/>
  <c r="O1314" i="7949"/>
  <c r="O1260" i="7949"/>
  <c r="O1206" i="7949"/>
  <c r="O1152" i="7949"/>
  <c r="O1098" i="7949"/>
  <c r="O1044" i="7949"/>
  <c r="O990" i="7949"/>
  <c r="O936" i="7949"/>
  <c r="O882" i="7949"/>
  <c r="O828" i="7949"/>
  <c r="O774" i="7949"/>
  <c r="O720" i="7949"/>
  <c r="O666" i="7949"/>
  <c r="O612" i="7949"/>
  <c r="O558" i="7949"/>
  <c r="O504" i="7949"/>
  <c r="O450" i="7949"/>
  <c r="O396" i="7949"/>
  <c r="O342" i="7949"/>
  <c r="O288" i="7949"/>
  <c r="O234" i="7949"/>
  <c r="N91" i="7950"/>
  <c r="O2634" i="7949"/>
  <c r="O2526" i="7949"/>
  <c r="O2094" i="7949"/>
  <c r="O1986" i="7949"/>
  <c r="O1770" i="7949"/>
  <c r="O1338" i="7949"/>
  <c r="O1230" i="7949"/>
  <c r="O690" i="7949"/>
  <c r="O474" i="7949"/>
  <c r="O366" i="7949"/>
  <c r="O258" i="7949"/>
  <c r="O2418" i="7949"/>
  <c r="O2310" i="7949"/>
  <c r="O2202" i="7949"/>
  <c r="O1878" i="7949"/>
  <c r="O1662" i="7949"/>
  <c r="O1554" i="7949"/>
  <c r="O1446" i="7949"/>
  <c r="O1122" i="7949"/>
  <c r="O1014" i="7949"/>
  <c r="O906" i="7949"/>
  <c r="O798" i="7949"/>
  <c r="O582" i="7949"/>
  <c r="O2580" i="7949"/>
  <c r="O2256" i="7949"/>
  <c r="O1932" i="7949"/>
  <c r="O1716" i="7949"/>
  <c r="O1392" i="7949"/>
  <c r="O636" i="7949"/>
  <c r="N67" i="7950"/>
  <c r="O2359" i="7950"/>
  <c r="O1819" i="7950"/>
  <c r="O631" i="7950"/>
  <c r="O415" i="7950"/>
  <c r="O199" i="7950"/>
  <c r="O2413" i="7950"/>
  <c r="O2305" i="7950"/>
  <c r="O1495" i="7950"/>
  <c r="O1279" i="7950"/>
  <c r="O1711" i="7950"/>
  <c r="O1225" i="7950"/>
  <c r="O577" i="7950"/>
  <c r="O253" i="7950"/>
  <c r="O1549" i="7950"/>
  <c r="O2364" i="7949"/>
  <c r="O2148" i="7949"/>
  <c r="O1608" i="7949"/>
  <c r="O1176" i="7949"/>
  <c r="O960" i="7949"/>
  <c r="O528" i="7949"/>
  <c r="O96" i="7949"/>
  <c r="O1171" i="7950"/>
  <c r="O150" i="7949"/>
  <c r="O42" i="7949"/>
  <c r="O2467" i="7950"/>
  <c r="O2143" i="7950"/>
  <c r="O1927" i="7950"/>
  <c r="O1333" i="7950"/>
  <c r="O739" i="7950"/>
  <c r="O2521" i="7950"/>
  <c r="O2089" i="7950"/>
  <c r="O1387" i="7950"/>
  <c r="O1765" i="7950"/>
  <c r="O2472" i="7949"/>
  <c r="O2040" i="7949"/>
  <c r="O1500" i="7949"/>
  <c r="O744" i="7949"/>
  <c r="O312" i="7949"/>
  <c r="O2575" i="7950"/>
  <c r="O1603" i="7950"/>
  <c r="O523" i="7950"/>
  <c r="O307" i="7950"/>
  <c r="O955" i="7950"/>
  <c r="O1009" i="7950"/>
  <c r="O361" i="7950"/>
  <c r="O145" i="7950"/>
  <c r="O847" i="7950"/>
  <c r="O2688" i="7949"/>
  <c r="O1824" i="7949"/>
  <c r="O1284" i="7949"/>
  <c r="O1068" i="7949"/>
  <c r="O852" i="7949"/>
  <c r="O420" i="7949"/>
  <c r="O2683" i="7950"/>
  <c r="O2251" i="7950"/>
  <c r="O2035" i="7950"/>
  <c r="O1441" i="7950"/>
  <c r="O1117" i="7950"/>
  <c r="O901" i="7950"/>
  <c r="O1657" i="7950"/>
  <c r="O2629" i="7950"/>
  <c r="O2197" i="7950"/>
  <c r="O1981" i="7950"/>
  <c r="O1873" i="7950"/>
  <c r="O793" i="7950"/>
  <c r="O685" i="7950"/>
  <c r="O469" i="7950"/>
  <c r="O1063" i="7950"/>
  <c r="O37" i="7950"/>
  <c r="N359" i="7941"/>
  <c r="N748" i="18"/>
  <c r="O22" i="7941"/>
  <c r="O757" i="18"/>
  <c r="O1123" i="18" s="1"/>
  <c r="O755" i="18"/>
  <c r="O1121" i="18" s="1"/>
  <c r="O732" i="18"/>
  <c r="O36" i="7941"/>
  <c r="N350" i="7941"/>
  <c r="N133" i="7941"/>
  <c r="N343" i="7941" s="1"/>
  <c r="O739" i="18"/>
  <c r="O1105" i="18" s="1"/>
  <c r="N865" i="18"/>
  <c r="O752" i="18"/>
  <c r="O1118" i="18" s="1"/>
  <c r="N336" i="7941"/>
  <c r="N845" i="18"/>
  <c r="N848" i="18"/>
  <c r="N868" i="18"/>
  <c r="N356" i="7941"/>
  <c r="N332" i="7941"/>
  <c r="O728" i="18"/>
  <c r="O1094" i="18" s="1"/>
  <c r="N833" i="18"/>
  <c r="O746" i="18"/>
  <c r="O1112" i="18" s="1"/>
  <c r="L371" i="7941"/>
  <c r="M57" i="7941"/>
  <c r="M352" i="7941"/>
  <c r="P121" i="7950" l="1"/>
  <c r="V909" i="7950"/>
  <c r="V885" i="7950"/>
  <c r="U1394" i="7950"/>
  <c r="U1370" i="7950"/>
  <c r="V2367" i="7950"/>
  <c r="V2343" i="7950"/>
  <c r="V2637" i="7950"/>
  <c r="V2613" i="7950"/>
  <c r="W2692" i="7950"/>
  <c r="W2668" i="7950"/>
  <c r="U1880" i="7950"/>
  <c r="U1856" i="7950"/>
  <c r="V1587" i="7950"/>
  <c r="V1611" i="7950"/>
  <c r="W2182" i="7950"/>
  <c r="W2206" i="7950"/>
  <c r="U1178" i="7950"/>
  <c r="U1154" i="7950"/>
  <c r="U452" i="7950"/>
  <c r="U476" i="7950"/>
  <c r="U2396" i="7950"/>
  <c r="U2420" i="7950"/>
  <c r="U2126" i="7950"/>
  <c r="U2150" i="7950"/>
  <c r="T98" i="7950"/>
  <c r="W2236" i="7950"/>
  <c r="W2260" i="7950"/>
  <c r="U1532" i="7950"/>
  <c r="U1556" i="7950"/>
  <c r="U2666" i="7950"/>
  <c r="U2690" i="7950"/>
  <c r="V1425" i="7950"/>
  <c r="V1449" i="7950"/>
  <c r="V1774" i="7950"/>
  <c r="V1750" i="7950"/>
  <c r="U1802" i="7950"/>
  <c r="U1826" i="7950"/>
  <c r="U207" i="7950"/>
  <c r="U183" i="7950"/>
  <c r="V369" i="7950"/>
  <c r="V345" i="7950"/>
  <c r="U368" i="7950"/>
  <c r="V153" i="7950"/>
  <c r="V129" i="7950"/>
  <c r="V1395" i="7950"/>
  <c r="V1371" i="7950"/>
  <c r="U722" i="7950"/>
  <c r="U746" i="7950"/>
  <c r="V2368" i="7950"/>
  <c r="V2344" i="7950"/>
  <c r="V832" i="7950"/>
  <c r="V856" i="7950"/>
  <c r="V886" i="7950"/>
  <c r="V910" i="7950"/>
  <c r="U99" i="7950"/>
  <c r="U75" i="7950"/>
  <c r="U2691" i="7950"/>
  <c r="U2667" i="7950"/>
  <c r="W208" i="7950"/>
  <c r="W184" i="7950"/>
  <c r="U1286" i="7950"/>
  <c r="U1262" i="7950"/>
  <c r="V2451" i="7950"/>
  <c r="V2475" i="7950"/>
  <c r="U776" i="7950"/>
  <c r="U800" i="7950"/>
  <c r="U1664" i="7950"/>
  <c r="U1640" i="7950"/>
  <c r="V2235" i="7950"/>
  <c r="V2259" i="7950"/>
  <c r="U669" i="7950"/>
  <c r="U693" i="7950"/>
  <c r="V1287" i="7950"/>
  <c r="V1263" i="7950"/>
  <c r="V1911" i="7950"/>
  <c r="V1935" i="7950"/>
  <c r="V1588" i="7950"/>
  <c r="V1612" i="7950"/>
  <c r="U1965" i="7950"/>
  <c r="U1989" i="7950"/>
  <c r="U884" i="7950"/>
  <c r="U908" i="7950"/>
  <c r="W1642" i="7950"/>
  <c r="W1666" i="7950"/>
  <c r="V1264" i="7950"/>
  <c r="V1288" i="7950"/>
  <c r="V1749" i="7950"/>
  <c r="V1773" i="7950"/>
  <c r="U993" i="7950"/>
  <c r="U1017" i="7950"/>
  <c r="W778" i="7950"/>
  <c r="W802" i="7950"/>
  <c r="U854" i="7950"/>
  <c r="U830" i="7950"/>
  <c r="U2474" i="7950"/>
  <c r="U2450" i="7950"/>
  <c r="U1610" i="7950"/>
  <c r="U1586" i="7950"/>
  <c r="W400" i="7950"/>
  <c r="W424" i="7950"/>
  <c r="W724" i="7950"/>
  <c r="W748" i="7950"/>
  <c r="U1424" i="7950"/>
  <c r="U1448" i="7950"/>
  <c r="U2342" i="7950"/>
  <c r="U2366" i="7950"/>
  <c r="V616" i="7950"/>
  <c r="V640" i="7950"/>
  <c r="V2044" i="7950"/>
  <c r="V2020" i="7950"/>
  <c r="V2584" i="7950"/>
  <c r="V2560" i="7950"/>
  <c r="T260" i="7950"/>
  <c r="U1209" i="7950"/>
  <c r="U1233" i="7950"/>
  <c r="V238" i="7950"/>
  <c r="V262" i="7950"/>
  <c r="W1234" i="7950"/>
  <c r="W1210" i="7950"/>
  <c r="U2180" i="7950"/>
  <c r="U2204" i="7950"/>
  <c r="U152" i="7950"/>
  <c r="U1910" i="7950"/>
  <c r="U1934" i="7950"/>
  <c r="U2018" i="7950"/>
  <c r="U2042" i="7950"/>
  <c r="W1534" i="7950"/>
  <c r="W1558" i="7950"/>
  <c r="U314" i="7950"/>
  <c r="U2072" i="7950"/>
  <c r="U2096" i="7950"/>
  <c r="U1100" i="7950"/>
  <c r="U1124" i="7950"/>
  <c r="V2529" i="7950"/>
  <c r="V2505" i="7950"/>
  <c r="V2313" i="7950"/>
  <c r="V2289" i="7950"/>
  <c r="U2127" i="7950"/>
  <c r="U2151" i="7950"/>
  <c r="V2073" i="7950"/>
  <c r="V2097" i="7950"/>
  <c r="V2530" i="7950"/>
  <c r="V2506" i="7950"/>
  <c r="U2312" i="7950"/>
  <c r="U2288" i="7950"/>
  <c r="U2258" i="7950"/>
  <c r="U2234" i="7950"/>
  <c r="W454" i="7950"/>
  <c r="W478" i="7950"/>
  <c r="W154" i="7950"/>
  <c r="W130" i="7950"/>
  <c r="U614" i="7950"/>
  <c r="U638" i="7950"/>
  <c r="W316" i="7950"/>
  <c r="W292" i="7950"/>
  <c r="W2314" i="7950"/>
  <c r="W2290" i="7950"/>
  <c r="U2528" i="7950"/>
  <c r="U2504" i="7950"/>
  <c r="U1232" i="7950"/>
  <c r="U1208" i="7950"/>
  <c r="U398" i="7950"/>
  <c r="U422" i="7950"/>
  <c r="W2398" i="7950"/>
  <c r="W2422" i="7950"/>
  <c r="U206" i="7950"/>
  <c r="U1101" i="7950"/>
  <c r="U1125" i="7950"/>
  <c r="U1502" i="7950"/>
  <c r="U1478" i="7950"/>
  <c r="U1988" i="7950"/>
  <c r="U1964" i="7950"/>
  <c r="U506" i="7950"/>
  <c r="U530" i="7950"/>
  <c r="U560" i="7950"/>
  <c r="U584" i="7950"/>
  <c r="V477" i="7950"/>
  <c r="V453" i="7950"/>
  <c r="U2612" i="7950"/>
  <c r="U2636" i="7950"/>
  <c r="U1046" i="7950"/>
  <c r="U1070" i="7950"/>
  <c r="U1718" i="7950"/>
  <c r="U1694" i="7950"/>
  <c r="U668" i="7950"/>
  <c r="U692" i="7950"/>
  <c r="U992" i="7950"/>
  <c r="U1016" i="7950"/>
  <c r="U1772" i="7950"/>
  <c r="U1748" i="7950"/>
  <c r="M83" i="7949"/>
  <c r="N83" i="7949" s="1"/>
  <c r="O83" i="7949" s="1"/>
  <c r="P83" i="7949" s="1"/>
  <c r="Q83" i="7949" s="1"/>
  <c r="R83" i="7949" s="1"/>
  <c r="S83" i="7949" s="1"/>
  <c r="T83" i="7949" s="1"/>
  <c r="U83" i="7949" s="1"/>
  <c r="V83" i="7949" s="1"/>
  <c r="W83" i="7949" s="1"/>
  <c r="M2513" i="7949"/>
  <c r="N2513" i="7949" s="1"/>
  <c r="O2513" i="7949" s="1"/>
  <c r="P2513" i="7949" s="1"/>
  <c r="Q2513" i="7949" s="1"/>
  <c r="R2513" i="7949" s="1"/>
  <c r="S2513" i="7949" s="1"/>
  <c r="T2513" i="7949" s="1"/>
  <c r="U2513" i="7949" s="1"/>
  <c r="V2513" i="7949" s="1"/>
  <c r="W2513" i="7949" s="1"/>
  <c r="M2081" i="7949"/>
  <c r="N2081" i="7949" s="1"/>
  <c r="O2081" i="7949" s="1"/>
  <c r="P2081" i="7949" s="1"/>
  <c r="Q2081" i="7949" s="1"/>
  <c r="R2081" i="7949" s="1"/>
  <c r="S2081" i="7949" s="1"/>
  <c r="T2081" i="7949" s="1"/>
  <c r="U2081" i="7949" s="1"/>
  <c r="V2081" i="7949" s="1"/>
  <c r="W2081" i="7949" s="1"/>
  <c r="M407" i="7949"/>
  <c r="N407" i="7949" s="1"/>
  <c r="O407" i="7949" s="1"/>
  <c r="P407" i="7949" s="1"/>
  <c r="Q407" i="7949" s="1"/>
  <c r="R407" i="7949" s="1"/>
  <c r="S407" i="7949" s="1"/>
  <c r="T407" i="7949" s="1"/>
  <c r="U407" i="7949" s="1"/>
  <c r="V407" i="7949" s="1"/>
  <c r="W407" i="7949" s="1"/>
  <c r="M1433" i="7949"/>
  <c r="N1433" i="7949" s="1"/>
  <c r="O1433" i="7949" s="1"/>
  <c r="P1433" i="7949" s="1"/>
  <c r="Q1433" i="7949" s="1"/>
  <c r="R1433" i="7949" s="1"/>
  <c r="S1433" i="7949" s="1"/>
  <c r="T1433" i="7949" s="1"/>
  <c r="U1433" i="7949" s="1"/>
  <c r="V1433" i="7949" s="1"/>
  <c r="W1433" i="7949" s="1"/>
  <c r="M1595" i="7949"/>
  <c r="N1595" i="7949" s="1"/>
  <c r="O1595" i="7949" s="1"/>
  <c r="P1595" i="7949" s="1"/>
  <c r="Q1595" i="7949" s="1"/>
  <c r="R1595" i="7949" s="1"/>
  <c r="S1595" i="7949" s="1"/>
  <c r="T1595" i="7949" s="1"/>
  <c r="U1595" i="7949" s="1"/>
  <c r="V1595" i="7949" s="1"/>
  <c r="W1595" i="7949" s="1"/>
  <c r="M2459" i="7949"/>
  <c r="N2459" i="7949" s="1"/>
  <c r="O2459" i="7949" s="1"/>
  <c r="P2459" i="7949" s="1"/>
  <c r="Q2459" i="7949" s="1"/>
  <c r="R2459" i="7949" s="1"/>
  <c r="S2459" i="7949" s="1"/>
  <c r="T2459" i="7949" s="1"/>
  <c r="U2459" i="7949" s="1"/>
  <c r="V2459" i="7949" s="1"/>
  <c r="W2459" i="7949" s="1"/>
  <c r="M2675" i="7949"/>
  <c r="N2675" i="7949" s="1"/>
  <c r="O2675" i="7949" s="1"/>
  <c r="P2675" i="7949" s="1"/>
  <c r="Q2675" i="7949" s="1"/>
  <c r="R2675" i="7949" s="1"/>
  <c r="S2675" i="7949" s="1"/>
  <c r="T2675" i="7949" s="1"/>
  <c r="U2675" i="7949" s="1"/>
  <c r="V2675" i="7949" s="1"/>
  <c r="W2675" i="7949" s="1"/>
  <c r="M1271" i="7949"/>
  <c r="N1271" i="7949" s="1"/>
  <c r="O1271" i="7949" s="1"/>
  <c r="P1271" i="7949" s="1"/>
  <c r="Q1271" i="7949" s="1"/>
  <c r="R1271" i="7949" s="1"/>
  <c r="S1271" i="7949" s="1"/>
  <c r="T1271" i="7949" s="1"/>
  <c r="U1271" i="7949" s="1"/>
  <c r="V1271" i="7949" s="1"/>
  <c r="W1271" i="7949" s="1"/>
  <c r="M1325" i="7949"/>
  <c r="N1325" i="7949" s="1"/>
  <c r="O1325" i="7949" s="1"/>
  <c r="P1325" i="7949" s="1"/>
  <c r="Q1325" i="7949" s="1"/>
  <c r="R1325" i="7949" s="1"/>
  <c r="S1325" i="7949" s="1"/>
  <c r="T1325" i="7949" s="1"/>
  <c r="U1325" i="7949" s="1"/>
  <c r="V1325" i="7949" s="1"/>
  <c r="W1325" i="7949" s="1"/>
  <c r="M2405" i="7949"/>
  <c r="N2405" i="7949" s="1"/>
  <c r="O2405" i="7949" s="1"/>
  <c r="P2405" i="7949" s="1"/>
  <c r="Q2405" i="7949" s="1"/>
  <c r="R2405" i="7949" s="1"/>
  <c r="S2405" i="7949" s="1"/>
  <c r="T2405" i="7949" s="1"/>
  <c r="U2405" i="7949" s="1"/>
  <c r="V2405" i="7949" s="1"/>
  <c r="W2405" i="7949" s="1"/>
  <c r="M2351" i="7949"/>
  <c r="N2351" i="7949" s="1"/>
  <c r="O2351" i="7949" s="1"/>
  <c r="P2351" i="7949" s="1"/>
  <c r="Q2351" i="7949" s="1"/>
  <c r="R2351" i="7949" s="1"/>
  <c r="S2351" i="7949" s="1"/>
  <c r="T2351" i="7949" s="1"/>
  <c r="U2351" i="7949" s="1"/>
  <c r="V2351" i="7949" s="1"/>
  <c r="W2351" i="7949" s="1"/>
  <c r="M1703" i="7949"/>
  <c r="N1703" i="7949" s="1"/>
  <c r="O1703" i="7949" s="1"/>
  <c r="P1703" i="7949" s="1"/>
  <c r="Q1703" i="7949" s="1"/>
  <c r="R1703" i="7949" s="1"/>
  <c r="S1703" i="7949" s="1"/>
  <c r="T1703" i="7949" s="1"/>
  <c r="U1703" i="7949" s="1"/>
  <c r="V1703" i="7949" s="1"/>
  <c r="W1703" i="7949" s="1"/>
  <c r="M1487" i="7949"/>
  <c r="N1487" i="7949" s="1"/>
  <c r="O1487" i="7949" s="1"/>
  <c r="P1487" i="7949" s="1"/>
  <c r="Q1487" i="7949" s="1"/>
  <c r="R1487" i="7949" s="1"/>
  <c r="S1487" i="7949" s="1"/>
  <c r="T1487" i="7949" s="1"/>
  <c r="U1487" i="7949" s="1"/>
  <c r="V1487" i="7949" s="1"/>
  <c r="W1487" i="7949" s="1"/>
  <c r="M1757" i="7949"/>
  <c r="N1757" i="7949" s="1"/>
  <c r="O1757" i="7949" s="1"/>
  <c r="P1757" i="7949" s="1"/>
  <c r="Q1757" i="7949" s="1"/>
  <c r="R1757" i="7949" s="1"/>
  <c r="S1757" i="7949" s="1"/>
  <c r="T1757" i="7949" s="1"/>
  <c r="U1757" i="7949" s="1"/>
  <c r="V1757" i="7949" s="1"/>
  <c r="W1757" i="7949" s="1"/>
  <c r="M569" i="7949"/>
  <c r="N569" i="7949" s="1"/>
  <c r="O569" i="7949" s="1"/>
  <c r="P569" i="7949" s="1"/>
  <c r="Q569" i="7949" s="1"/>
  <c r="R569" i="7949" s="1"/>
  <c r="S569" i="7949" s="1"/>
  <c r="T569" i="7949" s="1"/>
  <c r="U569" i="7949" s="1"/>
  <c r="V569" i="7949" s="1"/>
  <c r="W569" i="7949" s="1"/>
  <c r="M893" i="7949"/>
  <c r="N893" i="7949" s="1"/>
  <c r="O893" i="7949" s="1"/>
  <c r="P893" i="7949" s="1"/>
  <c r="Q893" i="7949" s="1"/>
  <c r="R893" i="7949" s="1"/>
  <c r="S893" i="7949" s="1"/>
  <c r="T893" i="7949" s="1"/>
  <c r="U893" i="7949" s="1"/>
  <c r="V893" i="7949" s="1"/>
  <c r="W893" i="7949" s="1"/>
  <c r="M731" i="7949"/>
  <c r="N731" i="7949" s="1"/>
  <c r="O731" i="7949" s="1"/>
  <c r="P731" i="7949" s="1"/>
  <c r="Q731" i="7949" s="1"/>
  <c r="R731" i="7949" s="1"/>
  <c r="S731" i="7949" s="1"/>
  <c r="T731" i="7949" s="1"/>
  <c r="U731" i="7949" s="1"/>
  <c r="V731" i="7949" s="1"/>
  <c r="W731" i="7949" s="1"/>
  <c r="M2027" i="7949"/>
  <c r="N2027" i="7949" s="1"/>
  <c r="O2027" i="7949" s="1"/>
  <c r="P2027" i="7949" s="1"/>
  <c r="Q2027" i="7949" s="1"/>
  <c r="R2027" i="7949" s="1"/>
  <c r="S2027" i="7949" s="1"/>
  <c r="T2027" i="7949" s="1"/>
  <c r="U2027" i="7949" s="1"/>
  <c r="V2027" i="7949" s="1"/>
  <c r="W2027" i="7949" s="1"/>
  <c r="M1649" i="7949"/>
  <c r="N1649" i="7949" s="1"/>
  <c r="O1649" i="7949" s="1"/>
  <c r="P1649" i="7949" s="1"/>
  <c r="Q1649" i="7949" s="1"/>
  <c r="R1649" i="7949" s="1"/>
  <c r="S1649" i="7949" s="1"/>
  <c r="T1649" i="7949" s="1"/>
  <c r="U1649" i="7949" s="1"/>
  <c r="V1649" i="7949" s="1"/>
  <c r="W1649" i="7949" s="1"/>
  <c r="M299" i="7949"/>
  <c r="N299" i="7949" s="1"/>
  <c r="O299" i="7949" s="1"/>
  <c r="P299" i="7949" s="1"/>
  <c r="Q299" i="7949" s="1"/>
  <c r="R299" i="7949" s="1"/>
  <c r="S299" i="7949" s="1"/>
  <c r="T299" i="7949" s="1"/>
  <c r="U299" i="7949" s="1"/>
  <c r="V299" i="7949" s="1"/>
  <c r="W299" i="7949" s="1"/>
  <c r="M2297" i="7949"/>
  <c r="N2297" i="7949" s="1"/>
  <c r="O2297" i="7949" s="1"/>
  <c r="P2297" i="7949" s="1"/>
  <c r="Q2297" i="7949" s="1"/>
  <c r="R2297" i="7949" s="1"/>
  <c r="S2297" i="7949" s="1"/>
  <c r="T2297" i="7949" s="1"/>
  <c r="U2297" i="7949" s="1"/>
  <c r="V2297" i="7949" s="1"/>
  <c r="W2297" i="7949" s="1"/>
  <c r="M1919" i="7949"/>
  <c r="N1919" i="7949" s="1"/>
  <c r="O1919" i="7949" s="1"/>
  <c r="P1919" i="7949" s="1"/>
  <c r="Q1919" i="7949" s="1"/>
  <c r="R1919" i="7949" s="1"/>
  <c r="S1919" i="7949" s="1"/>
  <c r="T1919" i="7949" s="1"/>
  <c r="U1919" i="7949" s="1"/>
  <c r="V1919" i="7949" s="1"/>
  <c r="W1919" i="7949" s="1"/>
  <c r="M677" i="7949"/>
  <c r="N677" i="7949" s="1"/>
  <c r="O677" i="7949" s="1"/>
  <c r="P677" i="7949" s="1"/>
  <c r="Q677" i="7949" s="1"/>
  <c r="R677" i="7949" s="1"/>
  <c r="S677" i="7949" s="1"/>
  <c r="T677" i="7949" s="1"/>
  <c r="U677" i="7949" s="1"/>
  <c r="V677" i="7949" s="1"/>
  <c r="W677" i="7949" s="1"/>
  <c r="M2189" i="7949"/>
  <c r="N2189" i="7949" s="1"/>
  <c r="O2189" i="7949" s="1"/>
  <c r="P2189" i="7949" s="1"/>
  <c r="Q2189" i="7949" s="1"/>
  <c r="R2189" i="7949" s="1"/>
  <c r="S2189" i="7949" s="1"/>
  <c r="T2189" i="7949" s="1"/>
  <c r="U2189" i="7949" s="1"/>
  <c r="V2189" i="7949" s="1"/>
  <c r="W2189" i="7949" s="1"/>
  <c r="M1541" i="7949"/>
  <c r="N1541" i="7949" s="1"/>
  <c r="O1541" i="7949" s="1"/>
  <c r="P1541" i="7949" s="1"/>
  <c r="Q1541" i="7949" s="1"/>
  <c r="R1541" i="7949" s="1"/>
  <c r="S1541" i="7949" s="1"/>
  <c r="T1541" i="7949" s="1"/>
  <c r="U1541" i="7949" s="1"/>
  <c r="V1541" i="7949" s="1"/>
  <c r="W1541" i="7949" s="1"/>
  <c r="M839" i="7949"/>
  <c r="N839" i="7949" s="1"/>
  <c r="O839" i="7949" s="1"/>
  <c r="P839" i="7949" s="1"/>
  <c r="Q839" i="7949" s="1"/>
  <c r="R839" i="7949" s="1"/>
  <c r="S839" i="7949" s="1"/>
  <c r="T839" i="7949" s="1"/>
  <c r="U839" i="7949" s="1"/>
  <c r="V839" i="7949" s="1"/>
  <c r="W839" i="7949" s="1"/>
  <c r="M947" i="7949"/>
  <c r="N947" i="7949" s="1"/>
  <c r="O947" i="7949" s="1"/>
  <c r="P947" i="7949" s="1"/>
  <c r="Q947" i="7949" s="1"/>
  <c r="R947" i="7949" s="1"/>
  <c r="S947" i="7949" s="1"/>
  <c r="T947" i="7949" s="1"/>
  <c r="U947" i="7949" s="1"/>
  <c r="V947" i="7949" s="1"/>
  <c r="W947" i="7949" s="1"/>
  <c r="M2567" i="7949"/>
  <c r="N2567" i="7949" s="1"/>
  <c r="O2567" i="7949" s="1"/>
  <c r="P2567" i="7949" s="1"/>
  <c r="Q2567" i="7949" s="1"/>
  <c r="R2567" i="7949" s="1"/>
  <c r="S2567" i="7949" s="1"/>
  <c r="T2567" i="7949" s="1"/>
  <c r="U2567" i="7949" s="1"/>
  <c r="V2567" i="7949" s="1"/>
  <c r="W2567" i="7949" s="1"/>
  <c r="M353" i="7949"/>
  <c r="N353" i="7949" s="1"/>
  <c r="O353" i="7949" s="1"/>
  <c r="P353" i="7949" s="1"/>
  <c r="Q353" i="7949" s="1"/>
  <c r="R353" i="7949" s="1"/>
  <c r="S353" i="7949" s="1"/>
  <c r="T353" i="7949" s="1"/>
  <c r="U353" i="7949" s="1"/>
  <c r="V353" i="7949" s="1"/>
  <c r="W353" i="7949" s="1"/>
  <c r="M1217" i="7949"/>
  <c r="N1217" i="7949" s="1"/>
  <c r="O1217" i="7949" s="1"/>
  <c r="P1217" i="7949" s="1"/>
  <c r="Q1217" i="7949" s="1"/>
  <c r="R1217" i="7949" s="1"/>
  <c r="S1217" i="7949" s="1"/>
  <c r="T1217" i="7949" s="1"/>
  <c r="U1217" i="7949" s="1"/>
  <c r="V1217" i="7949" s="1"/>
  <c r="W1217" i="7949" s="1"/>
  <c r="M461" i="7949"/>
  <c r="N461" i="7949" s="1"/>
  <c r="O461" i="7949" s="1"/>
  <c r="P461" i="7949" s="1"/>
  <c r="Q461" i="7949" s="1"/>
  <c r="R461" i="7949" s="1"/>
  <c r="S461" i="7949" s="1"/>
  <c r="T461" i="7949" s="1"/>
  <c r="U461" i="7949" s="1"/>
  <c r="V461" i="7949" s="1"/>
  <c r="W461" i="7949" s="1"/>
  <c r="M1973" i="7949"/>
  <c r="N1973" i="7949" s="1"/>
  <c r="O1973" i="7949" s="1"/>
  <c r="P1973" i="7949" s="1"/>
  <c r="Q1973" i="7949" s="1"/>
  <c r="R1973" i="7949" s="1"/>
  <c r="S1973" i="7949" s="1"/>
  <c r="T1973" i="7949" s="1"/>
  <c r="U1973" i="7949" s="1"/>
  <c r="V1973" i="7949" s="1"/>
  <c r="W1973" i="7949" s="1"/>
  <c r="M2621" i="7949"/>
  <c r="N2621" i="7949" s="1"/>
  <c r="O2621" i="7949" s="1"/>
  <c r="P2621" i="7949" s="1"/>
  <c r="Q2621" i="7949" s="1"/>
  <c r="R2621" i="7949" s="1"/>
  <c r="S2621" i="7949" s="1"/>
  <c r="T2621" i="7949" s="1"/>
  <c r="U2621" i="7949" s="1"/>
  <c r="V2621" i="7949" s="1"/>
  <c r="W2621" i="7949" s="1"/>
  <c r="M1379" i="7949"/>
  <c r="N1379" i="7949" s="1"/>
  <c r="O1379" i="7949" s="1"/>
  <c r="P1379" i="7949" s="1"/>
  <c r="Q1379" i="7949" s="1"/>
  <c r="R1379" i="7949" s="1"/>
  <c r="S1379" i="7949" s="1"/>
  <c r="T1379" i="7949" s="1"/>
  <c r="U1379" i="7949" s="1"/>
  <c r="V1379" i="7949" s="1"/>
  <c r="W1379" i="7949" s="1"/>
  <c r="M191" i="7949"/>
  <c r="N191" i="7949" s="1"/>
  <c r="O191" i="7949" s="1"/>
  <c r="P191" i="7949" s="1"/>
  <c r="Q191" i="7949" s="1"/>
  <c r="R191" i="7949" s="1"/>
  <c r="S191" i="7949" s="1"/>
  <c r="T191" i="7949" s="1"/>
  <c r="U191" i="7949" s="1"/>
  <c r="V191" i="7949" s="1"/>
  <c r="W191" i="7949" s="1"/>
  <c r="M245" i="7949"/>
  <c r="N245" i="7949" s="1"/>
  <c r="O245" i="7949" s="1"/>
  <c r="P245" i="7949" s="1"/>
  <c r="Q245" i="7949" s="1"/>
  <c r="R245" i="7949" s="1"/>
  <c r="S245" i="7949" s="1"/>
  <c r="T245" i="7949" s="1"/>
  <c r="U245" i="7949" s="1"/>
  <c r="V245" i="7949" s="1"/>
  <c r="W245" i="7949" s="1"/>
  <c r="M1055" i="7949"/>
  <c r="N1055" i="7949" s="1"/>
  <c r="O1055" i="7949" s="1"/>
  <c r="P1055" i="7949" s="1"/>
  <c r="Q1055" i="7949" s="1"/>
  <c r="R1055" i="7949" s="1"/>
  <c r="S1055" i="7949" s="1"/>
  <c r="T1055" i="7949" s="1"/>
  <c r="U1055" i="7949" s="1"/>
  <c r="V1055" i="7949" s="1"/>
  <c r="W1055" i="7949" s="1"/>
  <c r="M1865" i="7949"/>
  <c r="N1865" i="7949" s="1"/>
  <c r="O1865" i="7949" s="1"/>
  <c r="P1865" i="7949" s="1"/>
  <c r="Q1865" i="7949" s="1"/>
  <c r="R1865" i="7949" s="1"/>
  <c r="S1865" i="7949" s="1"/>
  <c r="T1865" i="7949" s="1"/>
  <c r="U1865" i="7949" s="1"/>
  <c r="V1865" i="7949" s="1"/>
  <c r="W1865" i="7949" s="1"/>
  <c r="N10" i="7949"/>
  <c r="M137" i="7949"/>
  <c r="N137" i="7949" s="1"/>
  <c r="O137" i="7949" s="1"/>
  <c r="P137" i="7949" s="1"/>
  <c r="Q137" i="7949" s="1"/>
  <c r="R137" i="7949" s="1"/>
  <c r="S137" i="7949" s="1"/>
  <c r="T137" i="7949" s="1"/>
  <c r="U137" i="7949" s="1"/>
  <c r="V137" i="7949" s="1"/>
  <c r="W137" i="7949" s="1"/>
  <c r="M1163" i="7949"/>
  <c r="N1163" i="7949" s="1"/>
  <c r="O1163" i="7949" s="1"/>
  <c r="P1163" i="7949" s="1"/>
  <c r="Q1163" i="7949" s="1"/>
  <c r="R1163" i="7949" s="1"/>
  <c r="S1163" i="7949" s="1"/>
  <c r="T1163" i="7949" s="1"/>
  <c r="U1163" i="7949" s="1"/>
  <c r="V1163" i="7949" s="1"/>
  <c r="W1163" i="7949" s="1"/>
  <c r="M2135" i="7949"/>
  <c r="N2135" i="7949" s="1"/>
  <c r="O2135" i="7949" s="1"/>
  <c r="P2135" i="7949" s="1"/>
  <c r="Q2135" i="7949" s="1"/>
  <c r="R2135" i="7949" s="1"/>
  <c r="S2135" i="7949" s="1"/>
  <c r="T2135" i="7949" s="1"/>
  <c r="U2135" i="7949" s="1"/>
  <c r="V2135" i="7949" s="1"/>
  <c r="W2135" i="7949" s="1"/>
  <c r="M785" i="7949"/>
  <c r="N785" i="7949" s="1"/>
  <c r="O785" i="7949" s="1"/>
  <c r="P785" i="7949" s="1"/>
  <c r="Q785" i="7949" s="1"/>
  <c r="R785" i="7949" s="1"/>
  <c r="S785" i="7949" s="1"/>
  <c r="T785" i="7949" s="1"/>
  <c r="U785" i="7949" s="1"/>
  <c r="V785" i="7949" s="1"/>
  <c r="W785" i="7949" s="1"/>
  <c r="M29" i="7949"/>
  <c r="N29" i="7949" s="1"/>
  <c r="O29" i="7949" s="1"/>
  <c r="P29" i="7949" s="1"/>
  <c r="Q29" i="7949" s="1"/>
  <c r="R29" i="7949" s="1"/>
  <c r="S29" i="7949" s="1"/>
  <c r="T29" i="7949" s="1"/>
  <c r="U29" i="7949" s="1"/>
  <c r="V29" i="7949" s="1"/>
  <c r="W29" i="7949" s="1"/>
  <c r="M1001" i="7949"/>
  <c r="N1001" i="7949" s="1"/>
  <c r="O1001" i="7949" s="1"/>
  <c r="P1001" i="7949" s="1"/>
  <c r="Q1001" i="7949" s="1"/>
  <c r="R1001" i="7949" s="1"/>
  <c r="S1001" i="7949" s="1"/>
  <c r="T1001" i="7949" s="1"/>
  <c r="U1001" i="7949" s="1"/>
  <c r="V1001" i="7949" s="1"/>
  <c r="W1001" i="7949" s="1"/>
  <c r="M1109" i="7949"/>
  <c r="N1109" i="7949" s="1"/>
  <c r="O1109" i="7949" s="1"/>
  <c r="P1109" i="7949" s="1"/>
  <c r="Q1109" i="7949" s="1"/>
  <c r="R1109" i="7949" s="1"/>
  <c r="S1109" i="7949" s="1"/>
  <c r="T1109" i="7949" s="1"/>
  <c r="U1109" i="7949" s="1"/>
  <c r="V1109" i="7949" s="1"/>
  <c r="W1109" i="7949" s="1"/>
  <c r="M515" i="7949"/>
  <c r="N515" i="7949" s="1"/>
  <c r="O515" i="7949" s="1"/>
  <c r="P515" i="7949" s="1"/>
  <c r="Q515" i="7949" s="1"/>
  <c r="R515" i="7949" s="1"/>
  <c r="S515" i="7949" s="1"/>
  <c r="T515" i="7949" s="1"/>
  <c r="U515" i="7949" s="1"/>
  <c r="V515" i="7949" s="1"/>
  <c r="W515" i="7949" s="1"/>
  <c r="M623" i="7949"/>
  <c r="N623" i="7949" s="1"/>
  <c r="O623" i="7949" s="1"/>
  <c r="P623" i="7949" s="1"/>
  <c r="Q623" i="7949" s="1"/>
  <c r="R623" i="7949" s="1"/>
  <c r="S623" i="7949" s="1"/>
  <c r="T623" i="7949" s="1"/>
  <c r="U623" i="7949" s="1"/>
  <c r="V623" i="7949" s="1"/>
  <c r="W623" i="7949" s="1"/>
  <c r="M2243" i="7949"/>
  <c r="N2243" i="7949" s="1"/>
  <c r="O2243" i="7949" s="1"/>
  <c r="P2243" i="7949" s="1"/>
  <c r="Q2243" i="7949" s="1"/>
  <c r="R2243" i="7949" s="1"/>
  <c r="S2243" i="7949" s="1"/>
  <c r="T2243" i="7949" s="1"/>
  <c r="U2243" i="7949" s="1"/>
  <c r="V2243" i="7949" s="1"/>
  <c r="W2243" i="7949" s="1"/>
  <c r="M1811" i="7949"/>
  <c r="N1811" i="7949" s="1"/>
  <c r="O1811" i="7949" s="1"/>
  <c r="P1811" i="7949" s="1"/>
  <c r="Q1811" i="7949" s="1"/>
  <c r="R1811" i="7949" s="1"/>
  <c r="S1811" i="7949" s="1"/>
  <c r="T1811" i="7949" s="1"/>
  <c r="U1811" i="7949" s="1"/>
  <c r="V1811" i="7949" s="1"/>
  <c r="W1811" i="7949" s="1"/>
  <c r="M126" i="7949"/>
  <c r="N126" i="7949" s="1"/>
  <c r="O126" i="7949" s="1"/>
  <c r="P126" i="7949" s="1"/>
  <c r="Q126" i="7949" s="1"/>
  <c r="R126" i="7949" s="1"/>
  <c r="S126" i="7949" s="1"/>
  <c r="T126" i="7949" s="1"/>
  <c r="U126" i="7949" s="1"/>
  <c r="V126" i="7949" s="1"/>
  <c r="W126" i="7949" s="1"/>
  <c r="M18" i="7949"/>
  <c r="N18" i="7949" s="1"/>
  <c r="O18" i="7949" s="1"/>
  <c r="P18" i="7949" s="1"/>
  <c r="M72" i="7949"/>
  <c r="N72" i="7949" s="1"/>
  <c r="O72" i="7949" s="1"/>
  <c r="P72" i="7949" s="1"/>
  <c r="M180" i="7949"/>
  <c r="N180" i="7949" s="1"/>
  <c r="O180" i="7949" s="1"/>
  <c r="P180" i="7949" s="1"/>
  <c r="W1019" i="7950"/>
  <c r="W995" i="7950"/>
  <c r="W942" i="7950"/>
  <c r="W966" i="7950"/>
  <c r="U1450" i="7950"/>
  <c r="U1426" i="7950"/>
  <c r="T1857" i="7950"/>
  <c r="T1881" i="7950"/>
  <c r="U1480" i="7950"/>
  <c r="U1504" i="7950"/>
  <c r="W1668" i="7950"/>
  <c r="W1644" i="7950"/>
  <c r="W1182" i="7950"/>
  <c r="W1158" i="7950"/>
  <c r="W2423" i="7950"/>
  <c r="W2399" i="7950"/>
  <c r="W1374" i="7950"/>
  <c r="W1398" i="7950"/>
  <c r="W1830" i="7950"/>
  <c r="W1806" i="7950"/>
  <c r="U2128" i="7950"/>
  <c r="U2152" i="7950"/>
  <c r="T747" i="7950"/>
  <c r="T723" i="7950"/>
  <c r="V833" i="7950"/>
  <c r="V857" i="7950"/>
  <c r="W534" i="7950"/>
  <c r="W510" i="7950"/>
  <c r="S261" i="7950"/>
  <c r="S237" i="7950"/>
  <c r="T1803" i="7950"/>
  <c r="T1827" i="7950"/>
  <c r="W155" i="7950"/>
  <c r="W131" i="7950"/>
  <c r="W780" i="7950"/>
  <c r="W804" i="7950"/>
  <c r="T76" i="7950"/>
  <c r="T100" i="7950"/>
  <c r="W1128" i="7950"/>
  <c r="W1104" i="7950"/>
  <c r="W671" i="7950"/>
  <c r="W695" i="7950"/>
  <c r="W294" i="7950"/>
  <c r="W318" i="7950"/>
  <c r="V2531" i="7950"/>
  <c r="V2507" i="7950"/>
  <c r="W1968" i="7950"/>
  <c r="W1992" i="7950"/>
  <c r="T1533" i="7950"/>
  <c r="T1557" i="7950"/>
  <c r="W996" i="7950"/>
  <c r="W1020" i="7950"/>
  <c r="T2559" i="7950"/>
  <c r="T2583" i="7950"/>
  <c r="W1991" i="7950"/>
  <c r="W1967" i="7950"/>
  <c r="W617" i="7950"/>
  <c r="W641" i="7950"/>
  <c r="W1506" i="7950"/>
  <c r="W1482" i="7950"/>
  <c r="T1179" i="7950"/>
  <c r="T1155" i="7950"/>
  <c r="W1290" i="7950"/>
  <c r="W1266" i="7950"/>
  <c r="W1859" i="7950"/>
  <c r="W1883" i="7950"/>
  <c r="W912" i="7950"/>
  <c r="W888" i="7950"/>
  <c r="W2261" i="7950"/>
  <c r="W2237" i="7950"/>
  <c r="T2019" i="7950"/>
  <c r="T2043" i="7950"/>
  <c r="W1536" i="7950"/>
  <c r="W1560" i="7950"/>
  <c r="W2046" i="7950"/>
  <c r="W2022" i="7950"/>
  <c r="W2477" i="7950"/>
  <c r="W2453" i="7950"/>
  <c r="T831" i="7950"/>
  <c r="T855" i="7950"/>
  <c r="U1720" i="7950"/>
  <c r="U1696" i="7950"/>
  <c r="W2184" i="7950"/>
  <c r="W2208" i="7950"/>
  <c r="W2508" i="7950"/>
  <c r="W2532" i="7950"/>
  <c r="T2421" i="7950"/>
  <c r="T2397" i="7950"/>
  <c r="W348" i="7950"/>
  <c r="W372" i="7950"/>
  <c r="W2291" i="7950"/>
  <c r="W2315" i="7950"/>
  <c r="W1914" i="7950"/>
  <c r="W1938" i="7950"/>
  <c r="W1775" i="7950"/>
  <c r="W1751" i="7950"/>
  <c r="U77" i="7950"/>
  <c r="U101" i="7950"/>
  <c r="T777" i="7950"/>
  <c r="T801" i="7950"/>
  <c r="W1451" i="7950"/>
  <c r="W1427" i="7950"/>
  <c r="T2205" i="7950"/>
  <c r="T2181" i="7950"/>
  <c r="W402" i="7950"/>
  <c r="W426" i="7950"/>
  <c r="W672" i="7950"/>
  <c r="W696" i="7950"/>
  <c r="T315" i="7950"/>
  <c r="T291" i="7950"/>
  <c r="V240" i="7950"/>
  <c r="V264" i="7950"/>
  <c r="T1695" i="7950"/>
  <c r="T1719" i="7950"/>
  <c r="U508" i="7950"/>
  <c r="U532" i="7950"/>
  <c r="W1722" i="7950"/>
  <c r="W1698" i="7950"/>
  <c r="T507" i="7950"/>
  <c r="T531" i="7950"/>
  <c r="W779" i="7950"/>
  <c r="W803" i="7950"/>
  <c r="W750" i="7950"/>
  <c r="W726" i="7950"/>
  <c r="W2694" i="7950"/>
  <c r="W2670" i="7950"/>
  <c r="U2614" i="7950"/>
  <c r="U2638" i="7950"/>
  <c r="V2452" i="7950"/>
  <c r="V2476" i="7950"/>
  <c r="W2585" i="7950"/>
  <c r="W2561" i="7950"/>
  <c r="U694" i="7950"/>
  <c r="U670" i="7950"/>
  <c r="V509" i="7950"/>
  <c r="V533" i="7950"/>
  <c r="W2130" i="7950"/>
  <c r="W2154" i="7950"/>
  <c r="W1103" i="7950"/>
  <c r="W1127" i="7950"/>
  <c r="W2562" i="7950"/>
  <c r="W2586" i="7950"/>
  <c r="W1050" i="7950"/>
  <c r="W1074" i="7950"/>
  <c r="W347" i="7950"/>
  <c r="W371" i="7950"/>
  <c r="V239" i="7950"/>
  <c r="V263" i="7950"/>
  <c r="U1396" i="7950"/>
  <c r="U1372" i="7950"/>
  <c r="V2098" i="7950"/>
  <c r="V2074" i="7950"/>
  <c r="U2582" i="7950"/>
  <c r="U2558" i="7950"/>
  <c r="W2238" i="7950"/>
  <c r="W2262" i="7950"/>
  <c r="W1481" i="7950"/>
  <c r="W1505" i="7950"/>
  <c r="W2369" i="7950"/>
  <c r="W2345" i="7950"/>
  <c r="U964" i="7950"/>
  <c r="U940" i="7950"/>
  <c r="W2400" i="7950"/>
  <c r="W2424" i="7950"/>
  <c r="W2370" i="7950"/>
  <c r="W2346" i="7950"/>
  <c r="T639" i="7950"/>
  <c r="T615" i="7950"/>
  <c r="W1181" i="7950"/>
  <c r="W1157" i="7950"/>
  <c r="V1073" i="7950"/>
  <c r="V1049" i="7950"/>
  <c r="W1860" i="7950"/>
  <c r="W1884" i="7950"/>
  <c r="W317" i="7950"/>
  <c r="W293" i="7950"/>
  <c r="T1503" i="7950"/>
  <c r="T1479" i="7950"/>
  <c r="W456" i="7950"/>
  <c r="W480" i="7950"/>
  <c r="U586" i="7950"/>
  <c r="U562" i="7950"/>
  <c r="U1990" i="7950"/>
  <c r="U1966" i="7950"/>
  <c r="W455" i="7950"/>
  <c r="W479" i="7950"/>
  <c r="W1265" i="7950"/>
  <c r="W1289" i="7950"/>
  <c r="U938" i="7950"/>
  <c r="U962" i="7950"/>
  <c r="T423" i="7950"/>
  <c r="T399" i="7950"/>
  <c r="W2207" i="7950"/>
  <c r="W2183" i="7950"/>
  <c r="W210" i="7950"/>
  <c r="W186" i="7950"/>
  <c r="W156" i="7950"/>
  <c r="W132" i="7950"/>
  <c r="W749" i="7950"/>
  <c r="W725" i="7950"/>
  <c r="U1048" i="7950"/>
  <c r="U1072" i="7950"/>
  <c r="W1211" i="7950"/>
  <c r="W1235" i="7950"/>
  <c r="U1828" i="7950"/>
  <c r="U1804" i="7950"/>
  <c r="T1047" i="7950"/>
  <c r="T1071" i="7950"/>
  <c r="W858" i="7950"/>
  <c r="W834" i="7950"/>
  <c r="W1590" i="7950"/>
  <c r="W1614" i="7950"/>
  <c r="U1936" i="7950"/>
  <c r="U1912" i="7950"/>
  <c r="U1882" i="7950"/>
  <c r="U1858" i="7950"/>
  <c r="T939" i="7950"/>
  <c r="T963" i="7950"/>
  <c r="W1776" i="7950"/>
  <c r="W1752" i="7950"/>
  <c r="T1665" i="7950"/>
  <c r="T1641" i="7950"/>
  <c r="V911" i="7950"/>
  <c r="V887" i="7950"/>
  <c r="W618" i="7950"/>
  <c r="W642" i="7950"/>
  <c r="W1212" i="7950"/>
  <c r="W1236" i="7950"/>
  <c r="W1535" i="7950"/>
  <c r="W1559" i="7950"/>
  <c r="W2640" i="7950"/>
  <c r="W2616" i="7950"/>
  <c r="W1589" i="7950"/>
  <c r="W1613" i="7950"/>
  <c r="U1156" i="7950"/>
  <c r="U1180" i="7950"/>
  <c r="W2100" i="7950"/>
  <c r="W2076" i="7950"/>
  <c r="W2316" i="7950"/>
  <c r="W2292" i="7950"/>
  <c r="W563" i="7950"/>
  <c r="W587" i="7950"/>
  <c r="U370" i="7950"/>
  <c r="U346" i="7950"/>
  <c r="W588" i="7950"/>
  <c r="W564" i="7950"/>
  <c r="T561" i="7950"/>
  <c r="T585" i="7950"/>
  <c r="V1937" i="7950"/>
  <c r="V1913" i="7950"/>
  <c r="W1428" i="7950"/>
  <c r="W1452" i="7950"/>
  <c r="W2021" i="7950"/>
  <c r="W2045" i="7950"/>
  <c r="O26" i="7941"/>
  <c r="N361" i="7941"/>
  <c r="N340" i="7941"/>
  <c r="O736" i="18"/>
  <c r="O1102" i="18" s="1"/>
  <c r="N342" i="7941"/>
  <c r="O738" i="18"/>
  <c r="O1104" i="18" s="1"/>
  <c r="N20" i="7941"/>
  <c r="M334" i="7941"/>
  <c r="N32" i="7941"/>
  <c r="M346" i="7941"/>
  <c r="M329" i="7941"/>
  <c r="N15" i="7941"/>
  <c r="N53" i="7941"/>
  <c r="M367" i="7941"/>
  <c r="N120" i="7941"/>
  <c r="O726" i="18"/>
  <c r="M335" i="7941"/>
  <c r="N21" i="7941"/>
  <c r="N49" i="7941"/>
  <c r="M363" i="7941"/>
  <c r="N841" i="18"/>
  <c r="N860" i="18"/>
  <c r="N857" i="18"/>
  <c r="O1098" i="18"/>
  <c r="O859" i="18"/>
  <c r="O149" i="7941" s="1"/>
  <c r="O359" i="7941" s="1"/>
  <c r="N1114" i="18"/>
  <c r="N854" i="18"/>
  <c r="N847" i="18"/>
  <c r="N831" i="18"/>
  <c r="N864" i="18"/>
  <c r="N849" i="18"/>
  <c r="N851" i="18"/>
  <c r="N145" i="7941"/>
  <c r="O751" i="18"/>
  <c r="O1117" i="18" s="1"/>
  <c r="N27" i="7941"/>
  <c r="M341" i="7941"/>
  <c r="M360" i="7941"/>
  <c r="N46" i="7941"/>
  <c r="N839" i="18"/>
  <c r="M354" i="7941"/>
  <c r="N40" i="7941"/>
  <c r="M347" i="7941"/>
  <c r="N33" i="7941"/>
  <c r="M331" i="7941"/>
  <c r="N17" i="7941"/>
  <c r="M364" i="7941"/>
  <c r="N50" i="7941"/>
  <c r="N35" i="7941"/>
  <c r="M349" i="7941"/>
  <c r="N838" i="18"/>
  <c r="M337" i="7941"/>
  <c r="N23" i="7941"/>
  <c r="M358" i="7941"/>
  <c r="N44" i="7941"/>
  <c r="M351" i="7941"/>
  <c r="N37" i="7941"/>
  <c r="N844" i="18"/>
  <c r="N869" i="18"/>
  <c r="O861" i="18"/>
  <c r="O151" i="7941" s="1"/>
  <c r="P47" i="7941" s="1"/>
  <c r="N1096" i="18"/>
  <c r="N1108" i="18"/>
  <c r="N846" i="18" s="1"/>
  <c r="N136" i="7941" s="1"/>
  <c r="N152" i="7941"/>
  <c r="O758" i="18"/>
  <c r="N829" i="18"/>
  <c r="N160" i="7941"/>
  <c r="O766" i="18"/>
  <c r="N24" i="7941"/>
  <c r="M338" i="7941"/>
  <c r="N835" i="18"/>
  <c r="N863" i="18"/>
  <c r="N156" i="7941"/>
  <c r="O762" i="18"/>
  <c r="O1128" i="18" s="1"/>
  <c r="N30" i="7941"/>
  <c r="M344" i="7941"/>
  <c r="N55" i="7941"/>
  <c r="M369" i="7941"/>
  <c r="L143" i="7941"/>
  <c r="M749" i="18"/>
  <c r="M1115" i="18" s="1"/>
  <c r="L528" i="7942"/>
  <c r="Q522" i="7942"/>
  <c r="Q575" i="7941" s="1"/>
  <c r="N522" i="7942"/>
  <c r="N527" i="7942"/>
  <c r="O527" i="7942" s="1"/>
  <c r="K526" i="7942"/>
  <c r="M523" i="7942"/>
  <c r="K529" i="7942"/>
  <c r="K530" i="7942" s="1"/>
  <c r="M528" i="7942"/>
  <c r="M526" i="7942"/>
  <c r="O522" i="7942"/>
  <c r="N525" i="7942"/>
  <c r="O525" i="7942" s="1"/>
  <c r="P525" i="7942" s="1"/>
  <c r="Q525" i="7942" s="1"/>
  <c r="L526" i="7942"/>
  <c r="J530" i="7942"/>
  <c r="P522" i="7942"/>
  <c r="P2659" i="7950"/>
  <c r="P2605" i="7950"/>
  <c r="P2551" i="7950"/>
  <c r="P2497" i="7950"/>
  <c r="P2443" i="7950"/>
  <c r="P2389" i="7950"/>
  <c r="P2335" i="7950"/>
  <c r="P2281" i="7950"/>
  <c r="P2227" i="7950"/>
  <c r="P2173" i="7950"/>
  <c r="P2119" i="7950"/>
  <c r="P2065" i="7950"/>
  <c r="P2011" i="7950"/>
  <c r="P1957" i="7950"/>
  <c r="P1903" i="7950"/>
  <c r="P1849" i="7950"/>
  <c r="P1795" i="7950"/>
  <c r="P1741" i="7950"/>
  <c r="P1687" i="7950"/>
  <c r="P1633" i="7950"/>
  <c r="P1579" i="7950"/>
  <c r="P1525" i="7950"/>
  <c r="P1471" i="7950"/>
  <c r="P1417" i="7950"/>
  <c r="P1363" i="7950"/>
  <c r="P1309" i="7950"/>
  <c r="P1255" i="7950"/>
  <c r="P1201" i="7950"/>
  <c r="P1147" i="7950"/>
  <c r="P1093" i="7950"/>
  <c r="P1039" i="7950"/>
  <c r="P985" i="7950"/>
  <c r="P931" i="7950"/>
  <c r="P877" i="7950"/>
  <c r="P823" i="7950"/>
  <c r="P769" i="7950"/>
  <c r="P715" i="7950"/>
  <c r="P661" i="7950"/>
  <c r="P607" i="7950"/>
  <c r="P553" i="7950"/>
  <c r="P499" i="7950"/>
  <c r="P445" i="7950"/>
  <c r="P391" i="7950"/>
  <c r="P337" i="7950"/>
  <c r="P283" i="7950"/>
  <c r="P229" i="7950"/>
  <c r="P175" i="7950"/>
  <c r="P2664" i="7949"/>
  <c r="P2610" i="7949"/>
  <c r="P2556" i="7949"/>
  <c r="P2502" i="7949"/>
  <c r="P2448" i="7949"/>
  <c r="P2394" i="7949"/>
  <c r="P2340" i="7949"/>
  <c r="P2286" i="7949"/>
  <c r="P2232" i="7949"/>
  <c r="P2178" i="7949"/>
  <c r="P2124" i="7949"/>
  <c r="P2070" i="7949"/>
  <c r="P2016" i="7949"/>
  <c r="P1962" i="7949"/>
  <c r="P1908" i="7949"/>
  <c r="O67" i="7950"/>
  <c r="P1854" i="7949"/>
  <c r="P1800" i="7949"/>
  <c r="P1746" i="7949"/>
  <c r="P1692" i="7949"/>
  <c r="P1638" i="7949"/>
  <c r="P1584" i="7949"/>
  <c r="P1530" i="7949"/>
  <c r="P1476" i="7949"/>
  <c r="P1422" i="7949"/>
  <c r="P1368" i="7949"/>
  <c r="P1314" i="7949"/>
  <c r="P1260" i="7949"/>
  <c r="P1206" i="7949"/>
  <c r="P1152" i="7949"/>
  <c r="P1098" i="7949"/>
  <c r="P1044" i="7949"/>
  <c r="P990" i="7949"/>
  <c r="P936" i="7949"/>
  <c r="P882" i="7949"/>
  <c r="P828" i="7949"/>
  <c r="P774" i="7949"/>
  <c r="P720" i="7949"/>
  <c r="P666" i="7949"/>
  <c r="P612" i="7949"/>
  <c r="P558" i="7949"/>
  <c r="P504" i="7949"/>
  <c r="P450" i="7949"/>
  <c r="P396" i="7949"/>
  <c r="P342" i="7949"/>
  <c r="P288" i="7949"/>
  <c r="P234" i="7949"/>
  <c r="P37" i="7950"/>
  <c r="P1063" i="7950"/>
  <c r="P469" i="7950"/>
  <c r="P685" i="7950"/>
  <c r="P793" i="7950"/>
  <c r="P1873" i="7950"/>
  <c r="P1981" i="7950"/>
  <c r="P2197" i="7950"/>
  <c r="P2629" i="7950"/>
  <c r="P1657" i="7950"/>
  <c r="P901" i="7950"/>
  <c r="P1117" i="7950"/>
  <c r="P1441" i="7950"/>
  <c r="P2035" i="7950"/>
  <c r="P2251" i="7950"/>
  <c r="P2683" i="7950"/>
  <c r="P420" i="7949"/>
  <c r="P852" i="7949"/>
  <c r="P1068" i="7949"/>
  <c r="P1284" i="7949"/>
  <c r="P1824" i="7949"/>
  <c r="P2688" i="7949"/>
  <c r="P847" i="7950"/>
  <c r="P145" i="7950"/>
  <c r="P361" i="7950"/>
  <c r="P1009" i="7950"/>
  <c r="P955" i="7950"/>
  <c r="P307" i="7950"/>
  <c r="P523" i="7950"/>
  <c r="P1603" i="7950"/>
  <c r="P2575" i="7950"/>
  <c r="P312" i="7949"/>
  <c r="P744" i="7949"/>
  <c r="P1500" i="7949"/>
  <c r="P2040" i="7949"/>
  <c r="P2472" i="7949"/>
  <c r="P1765" i="7950"/>
  <c r="P1387" i="7950"/>
  <c r="P2089" i="7950"/>
  <c r="P2521" i="7950"/>
  <c r="P739" i="7950"/>
  <c r="P1333" i="7950"/>
  <c r="P1927" i="7950"/>
  <c r="P2143" i="7950"/>
  <c r="P2467" i="7950"/>
  <c r="P42" i="7949"/>
  <c r="P150" i="7949"/>
  <c r="P1171" i="7950"/>
  <c r="P96" i="7949"/>
  <c r="P528" i="7949"/>
  <c r="P960" i="7949"/>
  <c r="P1176" i="7949"/>
  <c r="P1608" i="7949"/>
  <c r="P2148" i="7949"/>
  <c r="P2364" i="7949"/>
  <c r="P1549" i="7950"/>
  <c r="P253" i="7950"/>
  <c r="P577" i="7950"/>
  <c r="P1225" i="7950"/>
  <c r="P1711" i="7950"/>
  <c r="P1279" i="7950"/>
  <c r="P1495" i="7950"/>
  <c r="P2305" i="7950"/>
  <c r="P2413" i="7950"/>
  <c r="P636" i="7949"/>
  <c r="P1392" i="7949"/>
  <c r="P1716" i="7949"/>
  <c r="P1932" i="7949"/>
  <c r="P2256" i="7949"/>
  <c r="P2580" i="7949"/>
  <c r="P582" i="7949"/>
  <c r="P798" i="7949"/>
  <c r="P906" i="7949"/>
  <c r="P1014" i="7949"/>
  <c r="P1122" i="7949"/>
  <c r="P1446" i="7949"/>
  <c r="P1554" i="7949"/>
  <c r="P1662" i="7949"/>
  <c r="P1878" i="7949"/>
  <c r="P2202" i="7949"/>
  <c r="P2310" i="7949"/>
  <c r="P2418" i="7949"/>
  <c r="P258" i="7949"/>
  <c r="P366" i="7949"/>
  <c r="P474" i="7949"/>
  <c r="P690" i="7949"/>
  <c r="P1230" i="7949"/>
  <c r="P1338" i="7949"/>
  <c r="P1770" i="7949"/>
  <c r="P1986" i="7949"/>
  <c r="P2094" i="7949"/>
  <c r="P2526" i="7949"/>
  <c r="P2634" i="7949"/>
  <c r="O91" i="7950"/>
  <c r="P199" i="7950"/>
  <c r="P415" i="7950"/>
  <c r="P631" i="7950"/>
  <c r="P1819" i="7950"/>
  <c r="P2359" i="7950"/>
  <c r="P13" i="7950"/>
  <c r="P45" i="7941"/>
  <c r="N123" i="7941"/>
  <c r="O729" i="18"/>
  <c r="O1095" i="18" s="1"/>
  <c r="N148" i="7941"/>
  <c r="O754" i="18"/>
  <c r="O1120" i="18" s="1"/>
  <c r="O29" i="7941"/>
  <c r="N127" i="7941"/>
  <c r="O733" i="18"/>
  <c r="O1099" i="18" s="1"/>
  <c r="N157" i="7941"/>
  <c r="O763" i="18"/>
  <c r="O1129" i="18" s="1"/>
  <c r="N158" i="7941"/>
  <c r="O764" i="18"/>
  <c r="O1130" i="18" s="1"/>
  <c r="N138" i="7941"/>
  <c r="O744" i="18"/>
  <c r="O1110" i="18" s="1"/>
  <c r="N135" i="7941"/>
  <c r="O741" i="18"/>
  <c r="O1107" i="18" s="1"/>
  <c r="N155" i="7941"/>
  <c r="O761" i="18"/>
  <c r="O1127" i="18" s="1"/>
  <c r="M871" i="18"/>
  <c r="Q121" i="7950" l="1"/>
  <c r="V692" i="7950"/>
  <c r="V668" i="7950"/>
  <c r="V1046" i="7950"/>
  <c r="V1070" i="7950"/>
  <c r="V530" i="7950"/>
  <c r="V506" i="7950"/>
  <c r="V206" i="7950"/>
  <c r="V422" i="7950"/>
  <c r="V398" i="7950"/>
  <c r="V2151" i="7950"/>
  <c r="V2127" i="7950"/>
  <c r="V2096" i="7950"/>
  <c r="V2072" i="7950"/>
  <c r="V1934" i="7950"/>
  <c r="V1910" i="7950"/>
  <c r="V2180" i="7950"/>
  <c r="V2204" i="7950"/>
  <c r="W238" i="7950"/>
  <c r="W262" i="7950"/>
  <c r="V2366" i="7950"/>
  <c r="V2342" i="7950"/>
  <c r="V1017" i="7950"/>
  <c r="V993" i="7950"/>
  <c r="W1264" i="7950"/>
  <c r="W1288" i="7950"/>
  <c r="V884" i="7950"/>
  <c r="V908" i="7950"/>
  <c r="W1612" i="7950"/>
  <c r="W1588" i="7950"/>
  <c r="W2259" i="7950"/>
  <c r="W2235" i="7950"/>
  <c r="V776" i="7950"/>
  <c r="V800" i="7950"/>
  <c r="W886" i="7950"/>
  <c r="W910" i="7950"/>
  <c r="V2666" i="7950"/>
  <c r="V2690" i="7950"/>
  <c r="V2150" i="7950"/>
  <c r="V2126" i="7950"/>
  <c r="V452" i="7950"/>
  <c r="V476" i="7950"/>
  <c r="V1772" i="7950"/>
  <c r="V1748" i="7950"/>
  <c r="W477" i="7950"/>
  <c r="W453" i="7950"/>
  <c r="V1502" i="7950"/>
  <c r="V1478" i="7950"/>
  <c r="V2528" i="7950"/>
  <c r="V2504" i="7950"/>
  <c r="V2234" i="7950"/>
  <c r="V2258" i="7950"/>
  <c r="W2506" i="7950"/>
  <c r="W2530" i="7950"/>
  <c r="W2505" i="7950"/>
  <c r="W2529" i="7950"/>
  <c r="U260" i="7950"/>
  <c r="W2020" i="7950"/>
  <c r="W2044" i="7950"/>
  <c r="V1610" i="7950"/>
  <c r="V1586" i="7950"/>
  <c r="V830" i="7950"/>
  <c r="V854" i="7950"/>
  <c r="W1263" i="7950"/>
  <c r="W1287" i="7950"/>
  <c r="V1262" i="7950"/>
  <c r="V1286" i="7950"/>
  <c r="V2667" i="7950"/>
  <c r="V2691" i="7950"/>
  <c r="W2368" i="7950"/>
  <c r="W2344" i="7950"/>
  <c r="W1371" i="7950"/>
  <c r="W1395" i="7950"/>
  <c r="V368" i="7950"/>
  <c r="V183" i="7950"/>
  <c r="V207" i="7950"/>
  <c r="W1774" i="7950"/>
  <c r="W1750" i="7950"/>
  <c r="V1856" i="7950"/>
  <c r="V1880" i="7950"/>
  <c r="W2613" i="7950"/>
  <c r="W2637" i="7950"/>
  <c r="V1394" i="7950"/>
  <c r="V1370" i="7950"/>
  <c r="V992" i="7950"/>
  <c r="V1016" i="7950"/>
  <c r="V2612" i="7950"/>
  <c r="V2636" i="7950"/>
  <c r="V560" i="7950"/>
  <c r="V584" i="7950"/>
  <c r="V1125" i="7950"/>
  <c r="V1101" i="7950"/>
  <c r="V638" i="7950"/>
  <c r="V614" i="7950"/>
  <c r="W2097" i="7950"/>
  <c r="W2073" i="7950"/>
  <c r="V1100" i="7950"/>
  <c r="V1124" i="7950"/>
  <c r="V2018" i="7950"/>
  <c r="V2042" i="7950"/>
  <c r="V152" i="7950"/>
  <c r="V1233" i="7950"/>
  <c r="V1209" i="7950"/>
  <c r="W616" i="7950"/>
  <c r="W640" i="7950"/>
  <c r="V1448" i="7950"/>
  <c r="V1424" i="7950"/>
  <c r="W1773" i="7950"/>
  <c r="W1749" i="7950"/>
  <c r="V1989" i="7950"/>
  <c r="V1965" i="7950"/>
  <c r="W1911" i="7950"/>
  <c r="W1935" i="7950"/>
  <c r="V669" i="7950"/>
  <c r="V693" i="7950"/>
  <c r="W2451" i="7950"/>
  <c r="W2475" i="7950"/>
  <c r="W832" i="7950"/>
  <c r="W856" i="7950"/>
  <c r="V746" i="7950"/>
  <c r="V722" i="7950"/>
  <c r="V1802" i="7950"/>
  <c r="V1826" i="7950"/>
  <c r="W1425" i="7950"/>
  <c r="W1449" i="7950"/>
  <c r="V1556" i="7950"/>
  <c r="V1532" i="7950"/>
  <c r="U98" i="7950"/>
  <c r="V2396" i="7950"/>
  <c r="V2420" i="7950"/>
  <c r="W1611" i="7950"/>
  <c r="W1587" i="7950"/>
  <c r="V1694" i="7950"/>
  <c r="V1718" i="7950"/>
  <c r="V1964" i="7950"/>
  <c r="V1988" i="7950"/>
  <c r="V1232" i="7950"/>
  <c r="V1208" i="7950"/>
  <c r="V2312" i="7950"/>
  <c r="V2288" i="7950"/>
  <c r="W2313" i="7950"/>
  <c r="W2289" i="7950"/>
  <c r="V314" i="7950"/>
  <c r="W2560" i="7950"/>
  <c r="W2584" i="7950"/>
  <c r="V2450" i="7950"/>
  <c r="V2474" i="7950"/>
  <c r="V1664" i="7950"/>
  <c r="V1640" i="7950"/>
  <c r="V99" i="7950"/>
  <c r="V75" i="7950"/>
  <c r="W153" i="7950"/>
  <c r="W129" i="7950"/>
  <c r="W345" i="7950"/>
  <c r="W369" i="7950"/>
  <c r="V1178" i="7950"/>
  <c r="V1154" i="7950"/>
  <c r="W2367" i="7950"/>
  <c r="W2343" i="7950"/>
  <c r="W909" i="7950"/>
  <c r="W885" i="7950"/>
  <c r="N2298" i="7949"/>
  <c r="O2298" i="7949" s="1"/>
  <c r="P2298" i="7949" s="1"/>
  <c r="Q2298" i="7949" s="1"/>
  <c r="R2298" i="7949" s="1"/>
  <c r="S2298" i="7949" s="1"/>
  <c r="T2298" i="7949" s="1"/>
  <c r="U2298" i="7949" s="1"/>
  <c r="V2298" i="7949" s="1"/>
  <c r="W2298" i="7949" s="1"/>
  <c r="N732" i="7949"/>
  <c r="O732" i="7949" s="1"/>
  <c r="P732" i="7949" s="1"/>
  <c r="Q732" i="7949" s="1"/>
  <c r="R732" i="7949" s="1"/>
  <c r="S732" i="7949" s="1"/>
  <c r="T732" i="7949" s="1"/>
  <c r="U732" i="7949" s="1"/>
  <c r="V732" i="7949" s="1"/>
  <c r="W732" i="7949" s="1"/>
  <c r="N1596" i="7949"/>
  <c r="O1596" i="7949" s="1"/>
  <c r="P1596" i="7949" s="1"/>
  <c r="Q1596" i="7949" s="1"/>
  <c r="R1596" i="7949" s="1"/>
  <c r="S1596" i="7949" s="1"/>
  <c r="T1596" i="7949" s="1"/>
  <c r="U1596" i="7949" s="1"/>
  <c r="V1596" i="7949" s="1"/>
  <c r="W1596" i="7949" s="1"/>
  <c r="N2622" i="7949"/>
  <c r="O2622" i="7949" s="1"/>
  <c r="P2622" i="7949" s="1"/>
  <c r="Q2622" i="7949" s="1"/>
  <c r="R2622" i="7949" s="1"/>
  <c r="S2622" i="7949" s="1"/>
  <c r="T2622" i="7949" s="1"/>
  <c r="U2622" i="7949" s="1"/>
  <c r="V2622" i="7949" s="1"/>
  <c r="W2622" i="7949" s="1"/>
  <c r="N1380" i="7949"/>
  <c r="O1380" i="7949" s="1"/>
  <c r="P1380" i="7949" s="1"/>
  <c r="Q1380" i="7949" s="1"/>
  <c r="R1380" i="7949" s="1"/>
  <c r="S1380" i="7949" s="1"/>
  <c r="T1380" i="7949" s="1"/>
  <c r="U1380" i="7949" s="1"/>
  <c r="V1380" i="7949" s="1"/>
  <c r="W1380" i="7949" s="1"/>
  <c r="N1704" i="7949"/>
  <c r="O1704" i="7949" s="1"/>
  <c r="P1704" i="7949" s="1"/>
  <c r="Q1704" i="7949" s="1"/>
  <c r="R1704" i="7949" s="1"/>
  <c r="S1704" i="7949" s="1"/>
  <c r="T1704" i="7949" s="1"/>
  <c r="U1704" i="7949" s="1"/>
  <c r="V1704" i="7949" s="1"/>
  <c r="W1704" i="7949" s="1"/>
  <c r="N192" i="7949"/>
  <c r="O192" i="7949" s="1"/>
  <c r="P192" i="7949" s="1"/>
  <c r="Q192" i="7949" s="1"/>
  <c r="R192" i="7949" s="1"/>
  <c r="S192" i="7949" s="1"/>
  <c r="T192" i="7949" s="1"/>
  <c r="U192" i="7949" s="1"/>
  <c r="V192" i="7949" s="1"/>
  <c r="W192" i="7949" s="1"/>
  <c r="N840" i="7949"/>
  <c r="O840" i="7949" s="1"/>
  <c r="P840" i="7949" s="1"/>
  <c r="Q840" i="7949" s="1"/>
  <c r="R840" i="7949" s="1"/>
  <c r="S840" i="7949" s="1"/>
  <c r="T840" i="7949" s="1"/>
  <c r="U840" i="7949" s="1"/>
  <c r="V840" i="7949" s="1"/>
  <c r="W840" i="7949" s="1"/>
  <c r="N2244" i="7949"/>
  <c r="O2244" i="7949" s="1"/>
  <c r="P2244" i="7949" s="1"/>
  <c r="Q2244" i="7949" s="1"/>
  <c r="R2244" i="7949" s="1"/>
  <c r="S2244" i="7949" s="1"/>
  <c r="T2244" i="7949" s="1"/>
  <c r="U2244" i="7949" s="1"/>
  <c r="V2244" i="7949" s="1"/>
  <c r="W2244" i="7949" s="1"/>
  <c r="N624" i="7949"/>
  <c r="O624" i="7949" s="1"/>
  <c r="P624" i="7949" s="1"/>
  <c r="Q624" i="7949" s="1"/>
  <c r="R624" i="7949" s="1"/>
  <c r="S624" i="7949" s="1"/>
  <c r="T624" i="7949" s="1"/>
  <c r="U624" i="7949" s="1"/>
  <c r="V624" i="7949" s="1"/>
  <c r="W624" i="7949" s="1"/>
  <c r="N1542" i="7949"/>
  <c r="O1542" i="7949" s="1"/>
  <c r="P1542" i="7949" s="1"/>
  <c r="Q1542" i="7949" s="1"/>
  <c r="R1542" i="7949" s="1"/>
  <c r="S1542" i="7949" s="1"/>
  <c r="T1542" i="7949" s="1"/>
  <c r="U1542" i="7949" s="1"/>
  <c r="V1542" i="7949" s="1"/>
  <c r="W1542" i="7949" s="1"/>
  <c r="N2514" i="7949"/>
  <c r="O2514" i="7949" s="1"/>
  <c r="P2514" i="7949" s="1"/>
  <c r="Q2514" i="7949" s="1"/>
  <c r="R2514" i="7949" s="1"/>
  <c r="S2514" i="7949" s="1"/>
  <c r="T2514" i="7949" s="1"/>
  <c r="U2514" i="7949" s="1"/>
  <c r="V2514" i="7949" s="1"/>
  <c r="W2514" i="7949" s="1"/>
  <c r="N1326" i="7949"/>
  <c r="O1326" i="7949" s="1"/>
  <c r="P1326" i="7949" s="1"/>
  <c r="Q1326" i="7949" s="1"/>
  <c r="R1326" i="7949" s="1"/>
  <c r="S1326" i="7949" s="1"/>
  <c r="T1326" i="7949" s="1"/>
  <c r="U1326" i="7949" s="1"/>
  <c r="V1326" i="7949" s="1"/>
  <c r="W1326" i="7949" s="1"/>
  <c r="N1650" i="7949"/>
  <c r="O1650" i="7949" s="1"/>
  <c r="P1650" i="7949" s="1"/>
  <c r="Q1650" i="7949" s="1"/>
  <c r="R1650" i="7949" s="1"/>
  <c r="S1650" i="7949" s="1"/>
  <c r="T1650" i="7949" s="1"/>
  <c r="U1650" i="7949" s="1"/>
  <c r="V1650" i="7949" s="1"/>
  <c r="W1650" i="7949" s="1"/>
  <c r="N138" i="7949"/>
  <c r="O138" i="7949" s="1"/>
  <c r="P138" i="7949" s="1"/>
  <c r="Q138" i="7949" s="1"/>
  <c r="R138" i="7949" s="1"/>
  <c r="S138" i="7949" s="1"/>
  <c r="T138" i="7949" s="1"/>
  <c r="U138" i="7949" s="1"/>
  <c r="V138" i="7949" s="1"/>
  <c r="W138" i="7949" s="1"/>
  <c r="N786" i="7949"/>
  <c r="O786" i="7949" s="1"/>
  <c r="P786" i="7949" s="1"/>
  <c r="Q786" i="7949" s="1"/>
  <c r="R786" i="7949" s="1"/>
  <c r="S786" i="7949" s="1"/>
  <c r="T786" i="7949" s="1"/>
  <c r="U786" i="7949" s="1"/>
  <c r="V786" i="7949" s="1"/>
  <c r="W786" i="7949" s="1"/>
  <c r="N2190" i="7949"/>
  <c r="O2190" i="7949" s="1"/>
  <c r="P2190" i="7949" s="1"/>
  <c r="Q2190" i="7949" s="1"/>
  <c r="R2190" i="7949" s="1"/>
  <c r="S2190" i="7949" s="1"/>
  <c r="T2190" i="7949" s="1"/>
  <c r="U2190" i="7949" s="1"/>
  <c r="V2190" i="7949" s="1"/>
  <c r="W2190" i="7949" s="1"/>
  <c r="N570" i="7949"/>
  <c r="O570" i="7949" s="1"/>
  <c r="P570" i="7949" s="1"/>
  <c r="Q570" i="7949" s="1"/>
  <c r="R570" i="7949" s="1"/>
  <c r="S570" i="7949" s="1"/>
  <c r="T570" i="7949" s="1"/>
  <c r="U570" i="7949" s="1"/>
  <c r="V570" i="7949" s="1"/>
  <c r="W570" i="7949" s="1"/>
  <c r="N1434" i="7949"/>
  <c r="O1434" i="7949" s="1"/>
  <c r="P1434" i="7949" s="1"/>
  <c r="Q1434" i="7949" s="1"/>
  <c r="R1434" i="7949" s="1"/>
  <c r="S1434" i="7949" s="1"/>
  <c r="T1434" i="7949" s="1"/>
  <c r="U1434" i="7949" s="1"/>
  <c r="V1434" i="7949" s="1"/>
  <c r="W1434" i="7949" s="1"/>
  <c r="N2406" i="7949"/>
  <c r="O2406" i="7949" s="1"/>
  <c r="P2406" i="7949" s="1"/>
  <c r="Q2406" i="7949" s="1"/>
  <c r="R2406" i="7949" s="1"/>
  <c r="S2406" i="7949" s="1"/>
  <c r="T2406" i="7949" s="1"/>
  <c r="U2406" i="7949" s="1"/>
  <c r="V2406" i="7949" s="1"/>
  <c r="W2406" i="7949" s="1"/>
  <c r="N1272" i="7949"/>
  <c r="O1272" i="7949" s="1"/>
  <c r="P1272" i="7949" s="1"/>
  <c r="Q1272" i="7949" s="1"/>
  <c r="R1272" i="7949" s="1"/>
  <c r="S1272" i="7949" s="1"/>
  <c r="T1272" i="7949" s="1"/>
  <c r="U1272" i="7949" s="1"/>
  <c r="V1272" i="7949" s="1"/>
  <c r="W1272" i="7949" s="1"/>
  <c r="N2136" i="7949"/>
  <c r="O2136" i="7949" s="1"/>
  <c r="P2136" i="7949" s="1"/>
  <c r="Q2136" i="7949" s="1"/>
  <c r="R2136" i="7949" s="1"/>
  <c r="S2136" i="7949" s="1"/>
  <c r="T2136" i="7949" s="1"/>
  <c r="U2136" i="7949" s="1"/>
  <c r="V2136" i="7949" s="1"/>
  <c r="W2136" i="7949" s="1"/>
  <c r="N30" i="7949"/>
  <c r="O30" i="7949" s="1"/>
  <c r="P30" i="7949" s="1"/>
  <c r="Q30" i="7949" s="1"/>
  <c r="R30" i="7949" s="1"/>
  <c r="S30" i="7949" s="1"/>
  <c r="T30" i="7949" s="1"/>
  <c r="U30" i="7949" s="1"/>
  <c r="V30" i="7949" s="1"/>
  <c r="W30" i="7949" s="1"/>
  <c r="N678" i="7949"/>
  <c r="O678" i="7949" s="1"/>
  <c r="P678" i="7949" s="1"/>
  <c r="Q678" i="7949" s="1"/>
  <c r="R678" i="7949" s="1"/>
  <c r="S678" i="7949" s="1"/>
  <c r="T678" i="7949" s="1"/>
  <c r="U678" i="7949" s="1"/>
  <c r="V678" i="7949" s="1"/>
  <c r="W678" i="7949" s="1"/>
  <c r="N2082" i="7949"/>
  <c r="O2082" i="7949" s="1"/>
  <c r="P2082" i="7949" s="1"/>
  <c r="Q2082" i="7949" s="1"/>
  <c r="R2082" i="7949" s="1"/>
  <c r="S2082" i="7949" s="1"/>
  <c r="T2082" i="7949" s="1"/>
  <c r="U2082" i="7949" s="1"/>
  <c r="V2082" i="7949" s="1"/>
  <c r="W2082" i="7949" s="1"/>
  <c r="N462" i="7949"/>
  <c r="O462" i="7949" s="1"/>
  <c r="P462" i="7949" s="1"/>
  <c r="Q462" i="7949" s="1"/>
  <c r="R462" i="7949" s="1"/>
  <c r="S462" i="7949" s="1"/>
  <c r="T462" i="7949" s="1"/>
  <c r="U462" i="7949" s="1"/>
  <c r="V462" i="7949" s="1"/>
  <c r="W462" i="7949" s="1"/>
  <c r="N84" i="7949"/>
  <c r="O84" i="7949" s="1"/>
  <c r="P84" i="7949" s="1"/>
  <c r="Q84" i="7949" s="1"/>
  <c r="R84" i="7949" s="1"/>
  <c r="S84" i="7949" s="1"/>
  <c r="T84" i="7949" s="1"/>
  <c r="U84" i="7949" s="1"/>
  <c r="V84" i="7949" s="1"/>
  <c r="W84" i="7949" s="1"/>
  <c r="N1866" i="7949"/>
  <c r="O1866" i="7949" s="1"/>
  <c r="P1866" i="7949" s="1"/>
  <c r="Q1866" i="7949" s="1"/>
  <c r="R1866" i="7949" s="1"/>
  <c r="S1866" i="7949" s="1"/>
  <c r="T1866" i="7949" s="1"/>
  <c r="U1866" i="7949" s="1"/>
  <c r="V1866" i="7949" s="1"/>
  <c r="W1866" i="7949" s="1"/>
  <c r="N1056" i="7949"/>
  <c r="O1056" i="7949" s="1"/>
  <c r="P1056" i="7949" s="1"/>
  <c r="Q1056" i="7949" s="1"/>
  <c r="R1056" i="7949" s="1"/>
  <c r="S1056" i="7949" s="1"/>
  <c r="T1056" i="7949" s="1"/>
  <c r="U1056" i="7949" s="1"/>
  <c r="V1056" i="7949" s="1"/>
  <c r="W1056" i="7949" s="1"/>
  <c r="N894" i="7949"/>
  <c r="O894" i="7949" s="1"/>
  <c r="P894" i="7949" s="1"/>
  <c r="Q894" i="7949" s="1"/>
  <c r="R894" i="7949" s="1"/>
  <c r="S894" i="7949" s="1"/>
  <c r="T894" i="7949" s="1"/>
  <c r="U894" i="7949" s="1"/>
  <c r="V894" i="7949" s="1"/>
  <c r="W894" i="7949" s="1"/>
  <c r="N2676" i="7949"/>
  <c r="O2676" i="7949" s="1"/>
  <c r="P2676" i="7949" s="1"/>
  <c r="Q2676" i="7949" s="1"/>
  <c r="R2676" i="7949" s="1"/>
  <c r="S2676" i="7949" s="1"/>
  <c r="T2676" i="7949" s="1"/>
  <c r="U2676" i="7949" s="1"/>
  <c r="V2676" i="7949" s="1"/>
  <c r="W2676" i="7949" s="1"/>
  <c r="N1758" i="7949"/>
  <c r="O1758" i="7949" s="1"/>
  <c r="P1758" i="7949" s="1"/>
  <c r="Q1758" i="7949" s="1"/>
  <c r="R1758" i="7949" s="1"/>
  <c r="S1758" i="7949" s="1"/>
  <c r="T1758" i="7949" s="1"/>
  <c r="U1758" i="7949" s="1"/>
  <c r="V1758" i="7949" s="1"/>
  <c r="W1758" i="7949" s="1"/>
  <c r="N1002" i="7949"/>
  <c r="O1002" i="7949" s="1"/>
  <c r="P1002" i="7949" s="1"/>
  <c r="Q1002" i="7949" s="1"/>
  <c r="R1002" i="7949" s="1"/>
  <c r="S1002" i="7949" s="1"/>
  <c r="T1002" i="7949" s="1"/>
  <c r="U1002" i="7949" s="1"/>
  <c r="V1002" i="7949" s="1"/>
  <c r="W1002" i="7949" s="1"/>
  <c r="N1218" i="7949"/>
  <c r="O1218" i="7949" s="1"/>
  <c r="P1218" i="7949" s="1"/>
  <c r="Q1218" i="7949" s="1"/>
  <c r="R1218" i="7949" s="1"/>
  <c r="S1218" i="7949" s="1"/>
  <c r="T1218" i="7949" s="1"/>
  <c r="U1218" i="7949" s="1"/>
  <c r="V1218" i="7949" s="1"/>
  <c r="W1218" i="7949" s="1"/>
  <c r="N2352" i="7949"/>
  <c r="O2352" i="7949" s="1"/>
  <c r="P2352" i="7949" s="1"/>
  <c r="Q2352" i="7949" s="1"/>
  <c r="R2352" i="7949" s="1"/>
  <c r="S2352" i="7949" s="1"/>
  <c r="T2352" i="7949" s="1"/>
  <c r="U2352" i="7949" s="1"/>
  <c r="V2352" i="7949" s="1"/>
  <c r="W2352" i="7949" s="1"/>
  <c r="N1110" i="7949"/>
  <c r="O1110" i="7949" s="1"/>
  <c r="P1110" i="7949" s="1"/>
  <c r="Q1110" i="7949" s="1"/>
  <c r="R1110" i="7949" s="1"/>
  <c r="S1110" i="7949" s="1"/>
  <c r="T1110" i="7949" s="1"/>
  <c r="U1110" i="7949" s="1"/>
  <c r="V1110" i="7949" s="1"/>
  <c r="W1110" i="7949" s="1"/>
  <c r="N2028" i="7949"/>
  <c r="O2028" i="7949" s="1"/>
  <c r="P2028" i="7949" s="1"/>
  <c r="Q2028" i="7949" s="1"/>
  <c r="R2028" i="7949" s="1"/>
  <c r="S2028" i="7949" s="1"/>
  <c r="T2028" i="7949" s="1"/>
  <c r="U2028" i="7949" s="1"/>
  <c r="V2028" i="7949" s="1"/>
  <c r="W2028" i="7949" s="1"/>
  <c r="O10" i="7949"/>
  <c r="N516" i="7949"/>
  <c r="O516" i="7949" s="1"/>
  <c r="P516" i="7949" s="1"/>
  <c r="Q516" i="7949" s="1"/>
  <c r="R516" i="7949" s="1"/>
  <c r="S516" i="7949" s="1"/>
  <c r="T516" i="7949" s="1"/>
  <c r="U516" i="7949" s="1"/>
  <c r="V516" i="7949" s="1"/>
  <c r="W516" i="7949" s="1"/>
  <c r="N1920" i="7949"/>
  <c r="O1920" i="7949" s="1"/>
  <c r="P1920" i="7949" s="1"/>
  <c r="Q1920" i="7949" s="1"/>
  <c r="R1920" i="7949" s="1"/>
  <c r="S1920" i="7949" s="1"/>
  <c r="T1920" i="7949" s="1"/>
  <c r="U1920" i="7949" s="1"/>
  <c r="V1920" i="7949" s="1"/>
  <c r="W1920" i="7949" s="1"/>
  <c r="N354" i="7949"/>
  <c r="O354" i="7949" s="1"/>
  <c r="P354" i="7949" s="1"/>
  <c r="Q354" i="7949" s="1"/>
  <c r="R354" i="7949" s="1"/>
  <c r="S354" i="7949" s="1"/>
  <c r="T354" i="7949" s="1"/>
  <c r="U354" i="7949" s="1"/>
  <c r="V354" i="7949" s="1"/>
  <c r="W354" i="7949" s="1"/>
  <c r="N1164" i="7949"/>
  <c r="O1164" i="7949" s="1"/>
  <c r="P1164" i="7949" s="1"/>
  <c r="Q1164" i="7949" s="1"/>
  <c r="R1164" i="7949" s="1"/>
  <c r="S1164" i="7949" s="1"/>
  <c r="T1164" i="7949" s="1"/>
  <c r="U1164" i="7949" s="1"/>
  <c r="V1164" i="7949" s="1"/>
  <c r="W1164" i="7949" s="1"/>
  <c r="N2568" i="7949"/>
  <c r="O2568" i="7949" s="1"/>
  <c r="P2568" i="7949" s="1"/>
  <c r="Q2568" i="7949" s="1"/>
  <c r="R2568" i="7949" s="1"/>
  <c r="S2568" i="7949" s="1"/>
  <c r="T2568" i="7949" s="1"/>
  <c r="U2568" i="7949" s="1"/>
  <c r="V2568" i="7949" s="1"/>
  <c r="W2568" i="7949" s="1"/>
  <c r="N948" i="7949"/>
  <c r="O948" i="7949" s="1"/>
  <c r="P948" i="7949" s="1"/>
  <c r="Q948" i="7949" s="1"/>
  <c r="R948" i="7949" s="1"/>
  <c r="S948" i="7949" s="1"/>
  <c r="T948" i="7949" s="1"/>
  <c r="U948" i="7949" s="1"/>
  <c r="V948" i="7949" s="1"/>
  <c r="W948" i="7949" s="1"/>
  <c r="N1974" i="7949"/>
  <c r="O1974" i="7949" s="1"/>
  <c r="P1974" i="7949" s="1"/>
  <c r="Q1974" i="7949" s="1"/>
  <c r="R1974" i="7949" s="1"/>
  <c r="S1974" i="7949" s="1"/>
  <c r="T1974" i="7949" s="1"/>
  <c r="U1974" i="7949" s="1"/>
  <c r="V1974" i="7949" s="1"/>
  <c r="W1974" i="7949" s="1"/>
  <c r="N408" i="7949"/>
  <c r="O408" i="7949" s="1"/>
  <c r="P408" i="7949" s="1"/>
  <c r="Q408" i="7949" s="1"/>
  <c r="R408" i="7949" s="1"/>
  <c r="S408" i="7949" s="1"/>
  <c r="T408" i="7949" s="1"/>
  <c r="U408" i="7949" s="1"/>
  <c r="V408" i="7949" s="1"/>
  <c r="W408" i="7949" s="1"/>
  <c r="N300" i="7949"/>
  <c r="O300" i="7949" s="1"/>
  <c r="P300" i="7949" s="1"/>
  <c r="Q300" i="7949" s="1"/>
  <c r="R300" i="7949" s="1"/>
  <c r="S300" i="7949" s="1"/>
  <c r="T300" i="7949" s="1"/>
  <c r="U300" i="7949" s="1"/>
  <c r="V300" i="7949" s="1"/>
  <c r="W300" i="7949" s="1"/>
  <c r="N2460" i="7949"/>
  <c r="O2460" i="7949" s="1"/>
  <c r="P2460" i="7949" s="1"/>
  <c r="Q2460" i="7949" s="1"/>
  <c r="R2460" i="7949" s="1"/>
  <c r="S2460" i="7949" s="1"/>
  <c r="T2460" i="7949" s="1"/>
  <c r="U2460" i="7949" s="1"/>
  <c r="V2460" i="7949" s="1"/>
  <c r="W2460" i="7949" s="1"/>
  <c r="N1812" i="7949"/>
  <c r="O1812" i="7949" s="1"/>
  <c r="P1812" i="7949" s="1"/>
  <c r="Q1812" i="7949" s="1"/>
  <c r="R1812" i="7949" s="1"/>
  <c r="S1812" i="7949" s="1"/>
  <c r="T1812" i="7949" s="1"/>
  <c r="U1812" i="7949" s="1"/>
  <c r="V1812" i="7949" s="1"/>
  <c r="W1812" i="7949" s="1"/>
  <c r="N1488" i="7949"/>
  <c r="O1488" i="7949" s="1"/>
  <c r="P1488" i="7949" s="1"/>
  <c r="Q1488" i="7949" s="1"/>
  <c r="R1488" i="7949" s="1"/>
  <c r="S1488" i="7949" s="1"/>
  <c r="T1488" i="7949" s="1"/>
  <c r="U1488" i="7949" s="1"/>
  <c r="V1488" i="7949" s="1"/>
  <c r="W1488" i="7949" s="1"/>
  <c r="N246" i="7949"/>
  <c r="O246" i="7949" s="1"/>
  <c r="P246" i="7949" s="1"/>
  <c r="Q246" i="7949" s="1"/>
  <c r="R246" i="7949" s="1"/>
  <c r="S246" i="7949" s="1"/>
  <c r="T246" i="7949" s="1"/>
  <c r="U246" i="7949" s="1"/>
  <c r="V246" i="7949" s="1"/>
  <c r="W246" i="7949" s="1"/>
  <c r="U585" i="7950"/>
  <c r="U561" i="7950"/>
  <c r="V1156" i="7950"/>
  <c r="V1180" i="7950"/>
  <c r="U1071" i="7950"/>
  <c r="U1047" i="7950"/>
  <c r="V1048" i="7950"/>
  <c r="V1072" i="7950"/>
  <c r="V938" i="7950"/>
  <c r="V962" i="7950"/>
  <c r="U1695" i="7950"/>
  <c r="U1719" i="7950"/>
  <c r="U801" i="7950"/>
  <c r="U777" i="7950"/>
  <c r="U855" i="7950"/>
  <c r="U831" i="7950"/>
  <c r="U2019" i="7950"/>
  <c r="U2043" i="7950"/>
  <c r="U2559" i="7950"/>
  <c r="U2583" i="7950"/>
  <c r="U1533" i="7950"/>
  <c r="U1557" i="7950"/>
  <c r="U100" i="7950"/>
  <c r="U76" i="7950"/>
  <c r="U1857" i="7950"/>
  <c r="U1881" i="7950"/>
  <c r="V370" i="7950"/>
  <c r="V346" i="7950"/>
  <c r="W911" i="7950"/>
  <c r="W887" i="7950"/>
  <c r="V1858" i="7950"/>
  <c r="V1882" i="7950"/>
  <c r="V586" i="7950"/>
  <c r="V562" i="7950"/>
  <c r="U1503" i="7950"/>
  <c r="U1479" i="7950"/>
  <c r="U615" i="7950"/>
  <c r="U639" i="7950"/>
  <c r="V2558" i="7950"/>
  <c r="V2582" i="7950"/>
  <c r="V1396" i="7950"/>
  <c r="V1372" i="7950"/>
  <c r="V670" i="7950"/>
  <c r="V694" i="7950"/>
  <c r="U315" i="7950"/>
  <c r="U291" i="7950"/>
  <c r="U2181" i="7950"/>
  <c r="U2205" i="7950"/>
  <c r="U2421" i="7950"/>
  <c r="U2397" i="7950"/>
  <c r="U1179" i="7950"/>
  <c r="U1155" i="7950"/>
  <c r="W2507" i="7950"/>
  <c r="W2531" i="7950"/>
  <c r="T237" i="7950"/>
  <c r="T261" i="7950"/>
  <c r="U723" i="7950"/>
  <c r="U747" i="7950"/>
  <c r="U939" i="7950"/>
  <c r="U963" i="7950"/>
  <c r="W239" i="7950"/>
  <c r="W263" i="7950"/>
  <c r="W533" i="7950"/>
  <c r="W509" i="7950"/>
  <c r="W2476" i="7950"/>
  <c r="W2452" i="7950"/>
  <c r="V2638" i="7950"/>
  <c r="V2614" i="7950"/>
  <c r="U531" i="7950"/>
  <c r="U507" i="7950"/>
  <c r="V532" i="7950"/>
  <c r="V508" i="7950"/>
  <c r="W264" i="7950"/>
  <c r="W240" i="7950"/>
  <c r="V101" i="7950"/>
  <c r="V77" i="7950"/>
  <c r="U1803" i="7950"/>
  <c r="U1827" i="7950"/>
  <c r="W833" i="7950"/>
  <c r="W857" i="7950"/>
  <c r="V2152" i="7950"/>
  <c r="V2128" i="7950"/>
  <c r="V1504" i="7950"/>
  <c r="V1480" i="7950"/>
  <c r="W1937" i="7950"/>
  <c r="W1913" i="7950"/>
  <c r="U1641" i="7950"/>
  <c r="U1665" i="7950"/>
  <c r="V1912" i="7950"/>
  <c r="V1936" i="7950"/>
  <c r="V1828" i="7950"/>
  <c r="V1804" i="7950"/>
  <c r="U423" i="7950"/>
  <c r="U399" i="7950"/>
  <c r="V1990" i="7950"/>
  <c r="V1966" i="7950"/>
  <c r="W1073" i="7950"/>
  <c r="W1049" i="7950"/>
  <c r="V940" i="7950"/>
  <c r="V964" i="7950"/>
  <c r="W2074" i="7950"/>
  <c r="W2098" i="7950"/>
  <c r="V1696" i="7950"/>
  <c r="V1720" i="7950"/>
  <c r="V1426" i="7950"/>
  <c r="V1450" i="7950"/>
  <c r="P755" i="18"/>
  <c r="P1121" i="18" s="1"/>
  <c r="P859" i="18" s="1"/>
  <c r="P149" i="7941" s="1"/>
  <c r="P359" i="7941" s="1"/>
  <c r="N153" i="7941"/>
  <c r="N363" i="7941" s="1"/>
  <c r="O759" i="18"/>
  <c r="O1125" i="18" s="1"/>
  <c r="O863" i="18" s="1"/>
  <c r="O855" i="18"/>
  <c r="O145" i="7941" s="1"/>
  <c r="N150" i="7941"/>
  <c r="O46" i="7941" s="1"/>
  <c r="O756" i="18"/>
  <c r="O1122" i="18" s="1"/>
  <c r="O16" i="7941"/>
  <c r="N330" i="7941"/>
  <c r="O361" i="7941"/>
  <c r="P757" i="18"/>
  <c r="O866" i="18"/>
  <c r="N119" i="7941"/>
  <c r="O725" i="18"/>
  <c r="O1091" i="18" s="1"/>
  <c r="O48" i="7941"/>
  <c r="N362" i="7941"/>
  <c r="O740" i="18"/>
  <c r="N134" i="7941"/>
  <c r="N355" i="7941"/>
  <c r="O41" i="7941"/>
  <c r="N139" i="7941"/>
  <c r="O35" i="7941" s="1"/>
  <c r="O745" i="18"/>
  <c r="O1111" i="18" s="1"/>
  <c r="O849" i="18" s="1"/>
  <c r="N144" i="7941"/>
  <c r="N354" i="7941" s="1"/>
  <c r="O750" i="18"/>
  <c r="O1116" i="18" s="1"/>
  <c r="O854" i="18" s="1"/>
  <c r="O1124" i="18"/>
  <c r="N154" i="7941"/>
  <c r="N364" i="7941" s="1"/>
  <c r="O760" i="18"/>
  <c r="O32" i="7941"/>
  <c r="L353" i="7941"/>
  <c r="M39" i="7941"/>
  <c r="N366" i="7941"/>
  <c r="O52" i="7941"/>
  <c r="O1132" i="18"/>
  <c r="O870" i="18" s="1"/>
  <c r="N159" i="7941"/>
  <c r="O55" i="7941" s="1"/>
  <c r="O765" i="18"/>
  <c r="O1131" i="18" s="1"/>
  <c r="O869" i="18" s="1"/>
  <c r="N128" i="7941"/>
  <c r="O24" i="7941" s="1"/>
  <c r="O734" i="18"/>
  <c r="O1100" i="18" s="1"/>
  <c r="O838" i="18" s="1"/>
  <c r="O50" i="7941"/>
  <c r="N141" i="7941"/>
  <c r="O37" i="7941" s="1"/>
  <c r="O747" i="18"/>
  <c r="O1113" i="18" s="1"/>
  <c r="O851" i="18" s="1"/>
  <c r="N121" i="7941"/>
  <c r="N331" i="7941" s="1"/>
  <c r="O727" i="18"/>
  <c r="O1093" i="18" s="1"/>
  <c r="O831" i="18" s="1"/>
  <c r="N137" i="7941"/>
  <c r="O33" i="7941" s="1"/>
  <c r="O743" i="18"/>
  <c r="O1109" i="18" s="1"/>
  <c r="O847" i="18" s="1"/>
  <c r="N147" i="7941"/>
  <c r="O753" i="18"/>
  <c r="N131" i="7941"/>
  <c r="O27" i="7941" s="1"/>
  <c r="O737" i="18"/>
  <c r="O1103" i="18" s="1"/>
  <c r="O841" i="18" s="1"/>
  <c r="O40" i="7941"/>
  <c r="N125" i="7941"/>
  <c r="N335" i="7941" s="1"/>
  <c r="O731" i="18"/>
  <c r="O1097" i="18" s="1"/>
  <c r="O835" i="18" s="1"/>
  <c r="O56" i="7941"/>
  <c r="N370" i="7941"/>
  <c r="O742" i="18"/>
  <c r="O1108" i="18" s="1"/>
  <c r="N834" i="18"/>
  <c r="N129" i="7941"/>
  <c r="O735" i="18"/>
  <c r="O1101" i="18" s="1"/>
  <c r="N852" i="18"/>
  <c r="O1092" i="18"/>
  <c r="N346" i="7941"/>
  <c r="O836" i="18"/>
  <c r="M853" i="18"/>
  <c r="M143" i="7941" s="1"/>
  <c r="L529" i="7942"/>
  <c r="M529" i="7942" s="1"/>
  <c r="N529" i="7942" s="1"/>
  <c r="N528" i="7942"/>
  <c r="P527" i="7942"/>
  <c r="Q527" i="7942" s="1"/>
  <c r="O528" i="7942"/>
  <c r="Q526" i="7942"/>
  <c r="Q577" i="7941" s="1"/>
  <c r="N526" i="7942"/>
  <c r="N523" i="7942"/>
  <c r="N524" i="7942" s="1"/>
  <c r="M524" i="7942"/>
  <c r="P526" i="7942"/>
  <c r="O526" i="7942"/>
  <c r="Q2659" i="7950"/>
  <c r="Q2605" i="7950"/>
  <c r="Q2551" i="7950"/>
  <c r="Q2497" i="7950"/>
  <c r="Q2443" i="7950"/>
  <c r="Q2389" i="7950"/>
  <c r="Q2335" i="7950"/>
  <c r="Q2281" i="7950"/>
  <c r="Q2227" i="7950"/>
  <c r="Q2173" i="7950"/>
  <c r="Q2119" i="7950"/>
  <c r="Q2065" i="7950"/>
  <c r="Q2011" i="7950"/>
  <c r="Q1957" i="7950"/>
  <c r="Q1903" i="7950"/>
  <c r="Q1849" i="7950"/>
  <c r="Q1795" i="7950"/>
  <c r="Q1741" i="7950"/>
  <c r="Q1687" i="7950"/>
  <c r="Q1633" i="7950"/>
  <c r="Q1579" i="7950"/>
  <c r="Q1525" i="7950"/>
  <c r="Q1471" i="7950"/>
  <c r="Q1417" i="7950"/>
  <c r="Q1363" i="7950"/>
  <c r="Q1309" i="7950"/>
  <c r="Q1255" i="7950"/>
  <c r="Q1201" i="7950"/>
  <c r="Q1147" i="7950"/>
  <c r="Q1093" i="7950"/>
  <c r="Q1039" i="7950"/>
  <c r="Q985" i="7950"/>
  <c r="Q931" i="7950"/>
  <c r="Q877" i="7950"/>
  <c r="Q823" i="7950"/>
  <c r="Q769" i="7950"/>
  <c r="Q715" i="7950"/>
  <c r="Q661" i="7950"/>
  <c r="Q607" i="7950"/>
  <c r="Q553" i="7950"/>
  <c r="Q499" i="7950"/>
  <c r="Q445" i="7950"/>
  <c r="Q391" i="7950"/>
  <c r="Q337" i="7950"/>
  <c r="Q283" i="7950"/>
  <c r="Q229" i="7950"/>
  <c r="Q175" i="7950"/>
  <c r="Q2664" i="7949"/>
  <c r="Q2610" i="7949"/>
  <c r="Q2556" i="7949"/>
  <c r="Q2502" i="7949"/>
  <c r="Q2448" i="7949"/>
  <c r="Q2394" i="7949"/>
  <c r="Q2340" i="7949"/>
  <c r="Q2286" i="7949"/>
  <c r="Q2232" i="7949"/>
  <c r="Q2178" i="7949"/>
  <c r="Q2124" i="7949"/>
  <c r="Q2070" i="7949"/>
  <c r="Q2016" i="7949"/>
  <c r="Q1962" i="7949"/>
  <c r="Q1908" i="7949"/>
  <c r="Q1854" i="7949"/>
  <c r="Q1800" i="7949"/>
  <c r="Q1746" i="7949"/>
  <c r="Q1692" i="7949"/>
  <c r="Q1638" i="7949"/>
  <c r="Q1584" i="7949"/>
  <c r="Q1530" i="7949"/>
  <c r="Q1476" i="7949"/>
  <c r="Q1422" i="7949"/>
  <c r="Q1368" i="7949"/>
  <c r="Q1314" i="7949"/>
  <c r="Q1260" i="7949"/>
  <c r="Q1206" i="7949"/>
  <c r="Q1152" i="7949"/>
  <c r="Q1098" i="7949"/>
  <c r="Q1044" i="7949"/>
  <c r="Q990" i="7949"/>
  <c r="Q936" i="7949"/>
  <c r="Q882" i="7949"/>
  <c r="Q828" i="7949"/>
  <c r="Q774" i="7949"/>
  <c r="Q720" i="7949"/>
  <c r="Q666" i="7949"/>
  <c r="Q612" i="7949"/>
  <c r="Q558" i="7949"/>
  <c r="Q504" i="7949"/>
  <c r="Q450" i="7949"/>
  <c r="Q396" i="7949"/>
  <c r="Q342" i="7949"/>
  <c r="Q288" i="7949"/>
  <c r="Q234" i="7949"/>
  <c r="Q18" i="7949"/>
  <c r="Q13" i="7950"/>
  <c r="Q72" i="7949"/>
  <c r="Q2359" i="7950"/>
  <c r="Q1819" i="7950"/>
  <c r="Q631" i="7950"/>
  <c r="Q415" i="7950"/>
  <c r="Q199" i="7950"/>
  <c r="P91" i="7950"/>
  <c r="Q2634" i="7949"/>
  <c r="Q2526" i="7949"/>
  <c r="Q2094" i="7949"/>
  <c r="Q1986" i="7949"/>
  <c r="Q1770" i="7949"/>
  <c r="Q1338" i="7949"/>
  <c r="Q1230" i="7949"/>
  <c r="Q690" i="7949"/>
  <c r="Q474" i="7949"/>
  <c r="Q366" i="7949"/>
  <c r="Q258" i="7949"/>
  <c r="Q2418" i="7949"/>
  <c r="Q2310" i="7949"/>
  <c r="Q2202" i="7949"/>
  <c r="Q1878" i="7949"/>
  <c r="Q1662" i="7949"/>
  <c r="Q1554" i="7949"/>
  <c r="Q1446" i="7949"/>
  <c r="Q1122" i="7949"/>
  <c r="Q1014" i="7949"/>
  <c r="Q906" i="7949"/>
  <c r="Q798" i="7949"/>
  <c r="Q582" i="7949"/>
  <c r="Q2580" i="7949"/>
  <c r="Q2256" i="7949"/>
  <c r="Q1932" i="7949"/>
  <c r="Q1716" i="7949"/>
  <c r="Q1392" i="7949"/>
  <c r="Q636" i="7949"/>
  <c r="Q180" i="7949"/>
  <c r="P67" i="7950"/>
  <c r="Q2413" i="7950"/>
  <c r="Q2305" i="7950"/>
  <c r="Q1495" i="7950"/>
  <c r="Q1279" i="7950"/>
  <c r="Q1711" i="7950"/>
  <c r="Q1225" i="7950"/>
  <c r="Q577" i="7950"/>
  <c r="Q253" i="7950"/>
  <c r="Q1549" i="7950"/>
  <c r="Q2364" i="7949"/>
  <c r="Q2148" i="7949"/>
  <c r="Q1608" i="7949"/>
  <c r="Q1176" i="7949"/>
  <c r="Q960" i="7949"/>
  <c r="Q528" i="7949"/>
  <c r="Q96" i="7949"/>
  <c r="Q1171" i="7950"/>
  <c r="Q150" i="7949"/>
  <c r="Q42" i="7949"/>
  <c r="Q2467" i="7950"/>
  <c r="Q2143" i="7950"/>
  <c r="Q1927" i="7950"/>
  <c r="Q1333" i="7950"/>
  <c r="Q739" i="7950"/>
  <c r="Q2521" i="7950"/>
  <c r="Q2089" i="7950"/>
  <c r="Q1387" i="7950"/>
  <c r="Q1765" i="7950"/>
  <c r="Q2472" i="7949"/>
  <c r="Q2040" i="7949"/>
  <c r="Q1500" i="7949"/>
  <c r="Q744" i="7949"/>
  <c r="Q312" i="7949"/>
  <c r="Q2575" i="7950"/>
  <c r="Q1603" i="7950"/>
  <c r="Q523" i="7950"/>
  <c r="Q307" i="7950"/>
  <c r="Q955" i="7950"/>
  <c r="Q1009" i="7950"/>
  <c r="Q361" i="7950"/>
  <c r="Q145" i="7950"/>
  <c r="Q847" i="7950"/>
  <c r="Q2688" i="7949"/>
  <c r="Q1824" i="7949"/>
  <c r="Q1284" i="7949"/>
  <c r="Q1068" i="7949"/>
  <c r="Q852" i="7949"/>
  <c r="Q420" i="7949"/>
  <c r="Q2683" i="7950"/>
  <c r="Q2251" i="7950"/>
  <c r="Q2035" i="7950"/>
  <c r="Q1441" i="7950"/>
  <c r="Q1117" i="7950"/>
  <c r="Q901" i="7950"/>
  <c r="Q1657" i="7950"/>
  <c r="Q2629" i="7950"/>
  <c r="Q2197" i="7950"/>
  <c r="Q1981" i="7950"/>
  <c r="Q1873" i="7950"/>
  <c r="Q793" i="7950"/>
  <c r="Q685" i="7950"/>
  <c r="Q469" i="7950"/>
  <c r="Q1063" i="7950"/>
  <c r="Q37" i="7950"/>
  <c r="O856" i="18"/>
  <c r="N345" i="7941"/>
  <c r="O31" i="7941"/>
  <c r="N348" i="7941"/>
  <c r="O34" i="7941"/>
  <c r="N368" i="7941"/>
  <c r="O54" i="7941"/>
  <c r="O832" i="18"/>
  <c r="O850" i="18"/>
  <c r="O842" i="18"/>
  <c r="O843" i="18"/>
  <c r="O51" i="7941"/>
  <c r="N365" i="7941"/>
  <c r="O53" i="7941"/>
  <c r="N367" i="7941"/>
  <c r="O840" i="18"/>
  <c r="O23" i="7941"/>
  <c r="N337" i="7941"/>
  <c r="O44" i="7941"/>
  <c r="N358" i="7941"/>
  <c r="O19" i="7941"/>
  <c r="N333" i="7941"/>
  <c r="M161" i="7941"/>
  <c r="N57" i="7941" s="1"/>
  <c r="N767" i="18"/>
  <c r="R121" i="7950" l="1"/>
  <c r="W2474" i="7950"/>
  <c r="W2450" i="7950"/>
  <c r="W1988" i="7950"/>
  <c r="W1964" i="7950"/>
  <c r="V98" i="7950"/>
  <c r="W1100" i="7950"/>
  <c r="W1124" i="7950"/>
  <c r="W584" i="7950"/>
  <c r="W560" i="7950"/>
  <c r="W992" i="7950"/>
  <c r="W1016" i="7950"/>
  <c r="W1286" i="7950"/>
  <c r="W1262" i="7950"/>
  <c r="W830" i="7950"/>
  <c r="W854" i="7950"/>
  <c r="W2234" i="7950"/>
  <c r="W2258" i="7950"/>
  <c r="W884" i="7950"/>
  <c r="W908" i="7950"/>
  <c r="W206" i="7950"/>
  <c r="W1046" i="7950"/>
  <c r="W1070" i="7950"/>
  <c r="W75" i="7950"/>
  <c r="W99" i="7950"/>
  <c r="W314" i="7950"/>
  <c r="W2312" i="7950"/>
  <c r="W2288" i="7950"/>
  <c r="W746" i="7950"/>
  <c r="W722" i="7950"/>
  <c r="W152" i="7950"/>
  <c r="W638" i="7950"/>
  <c r="W614" i="7950"/>
  <c r="W368" i="7950"/>
  <c r="W1502" i="7950"/>
  <c r="W1478" i="7950"/>
  <c r="W1772" i="7950"/>
  <c r="W1748" i="7950"/>
  <c r="W2150" i="7950"/>
  <c r="W2126" i="7950"/>
  <c r="W993" i="7950"/>
  <c r="W1017" i="7950"/>
  <c r="W1910" i="7950"/>
  <c r="W1934" i="7950"/>
  <c r="W2127" i="7950"/>
  <c r="W2151" i="7950"/>
  <c r="W1718" i="7950"/>
  <c r="W1694" i="7950"/>
  <c r="W2396" i="7950"/>
  <c r="W2420" i="7950"/>
  <c r="W1826" i="7950"/>
  <c r="W1802" i="7950"/>
  <c r="W693" i="7950"/>
  <c r="W669" i="7950"/>
  <c r="W2018" i="7950"/>
  <c r="W2042" i="7950"/>
  <c r="W2636" i="7950"/>
  <c r="W2612" i="7950"/>
  <c r="W1856" i="7950"/>
  <c r="W1880" i="7950"/>
  <c r="W207" i="7950"/>
  <c r="W183" i="7950"/>
  <c r="W2691" i="7950"/>
  <c r="W2667" i="7950"/>
  <c r="V260" i="7950"/>
  <c r="W476" i="7950"/>
  <c r="W452" i="7950"/>
  <c r="W2666" i="7950"/>
  <c r="W2690" i="7950"/>
  <c r="W800" i="7950"/>
  <c r="W776" i="7950"/>
  <c r="W2204" i="7950"/>
  <c r="W2180" i="7950"/>
  <c r="W1178" i="7950"/>
  <c r="W1154" i="7950"/>
  <c r="W1640" i="7950"/>
  <c r="W1664" i="7950"/>
  <c r="W1208" i="7950"/>
  <c r="W1232" i="7950"/>
  <c r="W1556" i="7950"/>
  <c r="W1532" i="7950"/>
  <c r="W1989" i="7950"/>
  <c r="W1965" i="7950"/>
  <c r="W1448" i="7950"/>
  <c r="W1424" i="7950"/>
  <c r="W1233" i="7950"/>
  <c r="W1209" i="7950"/>
  <c r="W1125" i="7950"/>
  <c r="W1101" i="7950"/>
  <c r="W1370" i="7950"/>
  <c r="W1394" i="7950"/>
  <c r="W1610" i="7950"/>
  <c r="W1586" i="7950"/>
  <c r="W2504" i="7950"/>
  <c r="W2528" i="7950"/>
  <c r="W2366" i="7950"/>
  <c r="W2342" i="7950"/>
  <c r="W2096" i="7950"/>
  <c r="W2072" i="7950"/>
  <c r="W422" i="7950"/>
  <c r="W398" i="7950"/>
  <c r="W506" i="7950"/>
  <c r="W530" i="7950"/>
  <c r="W668" i="7950"/>
  <c r="W692" i="7950"/>
  <c r="O2677" i="7949"/>
  <c r="P2677" i="7949" s="1"/>
  <c r="Q2677" i="7949" s="1"/>
  <c r="R2677" i="7949" s="1"/>
  <c r="S2677" i="7949" s="1"/>
  <c r="T2677" i="7949" s="1"/>
  <c r="U2677" i="7949" s="1"/>
  <c r="V2677" i="7949" s="1"/>
  <c r="W2677" i="7949" s="1"/>
  <c r="O1219" i="7949"/>
  <c r="P1219" i="7949" s="1"/>
  <c r="Q1219" i="7949" s="1"/>
  <c r="R1219" i="7949" s="1"/>
  <c r="S1219" i="7949" s="1"/>
  <c r="T1219" i="7949" s="1"/>
  <c r="U1219" i="7949" s="1"/>
  <c r="V1219" i="7949" s="1"/>
  <c r="W1219" i="7949" s="1"/>
  <c r="O1759" i="7949"/>
  <c r="P1759" i="7949" s="1"/>
  <c r="Q1759" i="7949" s="1"/>
  <c r="R1759" i="7949" s="1"/>
  <c r="S1759" i="7949" s="1"/>
  <c r="T1759" i="7949" s="1"/>
  <c r="U1759" i="7949" s="1"/>
  <c r="V1759" i="7949" s="1"/>
  <c r="W1759" i="7949" s="1"/>
  <c r="P10" i="7949"/>
  <c r="O679" i="7949"/>
  <c r="P679" i="7949" s="1"/>
  <c r="Q679" i="7949" s="1"/>
  <c r="R679" i="7949" s="1"/>
  <c r="S679" i="7949" s="1"/>
  <c r="T679" i="7949" s="1"/>
  <c r="U679" i="7949" s="1"/>
  <c r="V679" i="7949" s="1"/>
  <c r="W679" i="7949" s="1"/>
  <c r="O1813" i="7949"/>
  <c r="P1813" i="7949" s="1"/>
  <c r="Q1813" i="7949" s="1"/>
  <c r="R1813" i="7949" s="1"/>
  <c r="S1813" i="7949" s="1"/>
  <c r="T1813" i="7949" s="1"/>
  <c r="U1813" i="7949" s="1"/>
  <c r="V1813" i="7949" s="1"/>
  <c r="W1813" i="7949" s="1"/>
  <c r="O139" i="7949"/>
  <c r="P139" i="7949" s="1"/>
  <c r="Q139" i="7949" s="1"/>
  <c r="R139" i="7949" s="1"/>
  <c r="S139" i="7949" s="1"/>
  <c r="T139" i="7949" s="1"/>
  <c r="U139" i="7949" s="1"/>
  <c r="V139" i="7949" s="1"/>
  <c r="W139" i="7949" s="1"/>
  <c r="O1435" i="7949"/>
  <c r="P1435" i="7949" s="1"/>
  <c r="Q1435" i="7949" s="1"/>
  <c r="R1435" i="7949" s="1"/>
  <c r="S1435" i="7949" s="1"/>
  <c r="T1435" i="7949" s="1"/>
  <c r="U1435" i="7949" s="1"/>
  <c r="V1435" i="7949" s="1"/>
  <c r="W1435" i="7949" s="1"/>
  <c r="O2461" i="7949"/>
  <c r="P2461" i="7949" s="1"/>
  <c r="Q2461" i="7949" s="1"/>
  <c r="R2461" i="7949" s="1"/>
  <c r="S2461" i="7949" s="1"/>
  <c r="T2461" i="7949" s="1"/>
  <c r="U2461" i="7949" s="1"/>
  <c r="V2461" i="7949" s="1"/>
  <c r="W2461" i="7949" s="1"/>
  <c r="O895" i="7949"/>
  <c r="P895" i="7949" s="1"/>
  <c r="Q895" i="7949" s="1"/>
  <c r="R895" i="7949" s="1"/>
  <c r="S895" i="7949" s="1"/>
  <c r="T895" i="7949" s="1"/>
  <c r="U895" i="7949" s="1"/>
  <c r="V895" i="7949" s="1"/>
  <c r="W895" i="7949" s="1"/>
  <c r="O1975" i="7949"/>
  <c r="P1975" i="7949" s="1"/>
  <c r="Q1975" i="7949" s="1"/>
  <c r="R1975" i="7949" s="1"/>
  <c r="S1975" i="7949" s="1"/>
  <c r="T1975" i="7949" s="1"/>
  <c r="U1975" i="7949" s="1"/>
  <c r="V1975" i="7949" s="1"/>
  <c r="W1975" i="7949" s="1"/>
  <c r="O2515" i="7949"/>
  <c r="P2515" i="7949" s="1"/>
  <c r="Q2515" i="7949" s="1"/>
  <c r="R2515" i="7949" s="1"/>
  <c r="S2515" i="7949" s="1"/>
  <c r="T2515" i="7949" s="1"/>
  <c r="U2515" i="7949" s="1"/>
  <c r="V2515" i="7949" s="1"/>
  <c r="W2515" i="7949" s="1"/>
  <c r="O463" i="7949"/>
  <c r="P463" i="7949" s="1"/>
  <c r="Q463" i="7949" s="1"/>
  <c r="R463" i="7949" s="1"/>
  <c r="S463" i="7949" s="1"/>
  <c r="T463" i="7949" s="1"/>
  <c r="U463" i="7949" s="1"/>
  <c r="V463" i="7949" s="1"/>
  <c r="W463" i="7949" s="1"/>
  <c r="O1867" i="7949"/>
  <c r="P1867" i="7949" s="1"/>
  <c r="Q1867" i="7949" s="1"/>
  <c r="R1867" i="7949" s="1"/>
  <c r="S1867" i="7949" s="1"/>
  <c r="T1867" i="7949" s="1"/>
  <c r="U1867" i="7949" s="1"/>
  <c r="V1867" i="7949" s="1"/>
  <c r="W1867" i="7949" s="1"/>
  <c r="O355" i="7949"/>
  <c r="P355" i="7949" s="1"/>
  <c r="Q355" i="7949" s="1"/>
  <c r="R355" i="7949" s="1"/>
  <c r="S355" i="7949" s="1"/>
  <c r="T355" i="7949" s="1"/>
  <c r="U355" i="7949" s="1"/>
  <c r="V355" i="7949" s="1"/>
  <c r="W355" i="7949" s="1"/>
  <c r="O1003" i="7949"/>
  <c r="P1003" i="7949" s="1"/>
  <c r="Q1003" i="7949" s="1"/>
  <c r="R1003" i="7949" s="1"/>
  <c r="S1003" i="7949" s="1"/>
  <c r="T1003" i="7949" s="1"/>
  <c r="U1003" i="7949" s="1"/>
  <c r="V1003" i="7949" s="1"/>
  <c r="W1003" i="7949" s="1"/>
  <c r="O2569" i="7949"/>
  <c r="P2569" i="7949" s="1"/>
  <c r="Q2569" i="7949" s="1"/>
  <c r="R2569" i="7949" s="1"/>
  <c r="S2569" i="7949" s="1"/>
  <c r="T2569" i="7949" s="1"/>
  <c r="U2569" i="7949" s="1"/>
  <c r="V2569" i="7949" s="1"/>
  <c r="W2569" i="7949" s="1"/>
  <c r="O1057" i="7949"/>
  <c r="P1057" i="7949" s="1"/>
  <c r="Q1057" i="7949" s="1"/>
  <c r="R1057" i="7949" s="1"/>
  <c r="S1057" i="7949" s="1"/>
  <c r="T1057" i="7949" s="1"/>
  <c r="U1057" i="7949" s="1"/>
  <c r="V1057" i="7949" s="1"/>
  <c r="W1057" i="7949" s="1"/>
  <c r="O1651" i="7949"/>
  <c r="P1651" i="7949" s="1"/>
  <c r="Q1651" i="7949" s="1"/>
  <c r="R1651" i="7949" s="1"/>
  <c r="S1651" i="7949" s="1"/>
  <c r="T1651" i="7949" s="1"/>
  <c r="U1651" i="7949" s="1"/>
  <c r="V1651" i="7949" s="1"/>
  <c r="W1651" i="7949" s="1"/>
  <c r="O85" i="7949"/>
  <c r="P85" i="7949" s="1"/>
  <c r="Q85" i="7949" s="1"/>
  <c r="R85" i="7949" s="1"/>
  <c r="S85" i="7949" s="1"/>
  <c r="T85" i="7949" s="1"/>
  <c r="U85" i="7949" s="1"/>
  <c r="V85" i="7949" s="1"/>
  <c r="W85" i="7949" s="1"/>
  <c r="O517" i="7949"/>
  <c r="P517" i="7949" s="1"/>
  <c r="Q517" i="7949" s="1"/>
  <c r="R517" i="7949" s="1"/>
  <c r="S517" i="7949" s="1"/>
  <c r="T517" i="7949" s="1"/>
  <c r="U517" i="7949" s="1"/>
  <c r="V517" i="7949" s="1"/>
  <c r="W517" i="7949" s="1"/>
  <c r="O2191" i="7949"/>
  <c r="P2191" i="7949" s="1"/>
  <c r="Q2191" i="7949" s="1"/>
  <c r="R2191" i="7949" s="1"/>
  <c r="S2191" i="7949" s="1"/>
  <c r="T2191" i="7949" s="1"/>
  <c r="U2191" i="7949" s="1"/>
  <c r="V2191" i="7949" s="1"/>
  <c r="W2191" i="7949" s="1"/>
  <c r="O247" i="7949"/>
  <c r="P247" i="7949" s="1"/>
  <c r="Q247" i="7949" s="1"/>
  <c r="R247" i="7949" s="1"/>
  <c r="S247" i="7949" s="1"/>
  <c r="T247" i="7949" s="1"/>
  <c r="U247" i="7949" s="1"/>
  <c r="V247" i="7949" s="1"/>
  <c r="W247" i="7949" s="1"/>
  <c r="O1111" i="7949"/>
  <c r="P1111" i="7949" s="1"/>
  <c r="Q1111" i="7949" s="1"/>
  <c r="R1111" i="7949" s="1"/>
  <c r="S1111" i="7949" s="1"/>
  <c r="T1111" i="7949" s="1"/>
  <c r="U1111" i="7949" s="1"/>
  <c r="V1111" i="7949" s="1"/>
  <c r="W1111" i="7949" s="1"/>
  <c r="O2299" i="7949"/>
  <c r="P2299" i="7949" s="1"/>
  <c r="Q2299" i="7949" s="1"/>
  <c r="R2299" i="7949" s="1"/>
  <c r="S2299" i="7949" s="1"/>
  <c r="T2299" i="7949" s="1"/>
  <c r="U2299" i="7949" s="1"/>
  <c r="V2299" i="7949" s="1"/>
  <c r="W2299" i="7949" s="1"/>
  <c r="O787" i="7949"/>
  <c r="P787" i="7949" s="1"/>
  <c r="Q787" i="7949" s="1"/>
  <c r="R787" i="7949" s="1"/>
  <c r="S787" i="7949" s="1"/>
  <c r="T787" i="7949" s="1"/>
  <c r="U787" i="7949" s="1"/>
  <c r="V787" i="7949" s="1"/>
  <c r="W787" i="7949" s="1"/>
  <c r="O1921" i="7949"/>
  <c r="P1921" i="7949" s="1"/>
  <c r="Q1921" i="7949" s="1"/>
  <c r="R1921" i="7949" s="1"/>
  <c r="S1921" i="7949" s="1"/>
  <c r="T1921" i="7949" s="1"/>
  <c r="U1921" i="7949" s="1"/>
  <c r="V1921" i="7949" s="1"/>
  <c r="W1921" i="7949" s="1"/>
  <c r="O2623" i="7949"/>
  <c r="P2623" i="7949" s="1"/>
  <c r="Q2623" i="7949" s="1"/>
  <c r="R2623" i="7949" s="1"/>
  <c r="S2623" i="7949" s="1"/>
  <c r="T2623" i="7949" s="1"/>
  <c r="U2623" i="7949" s="1"/>
  <c r="V2623" i="7949" s="1"/>
  <c r="W2623" i="7949" s="1"/>
  <c r="O2137" i="7949"/>
  <c r="P2137" i="7949" s="1"/>
  <c r="Q2137" i="7949" s="1"/>
  <c r="R2137" i="7949" s="1"/>
  <c r="S2137" i="7949" s="1"/>
  <c r="T2137" i="7949" s="1"/>
  <c r="U2137" i="7949" s="1"/>
  <c r="V2137" i="7949" s="1"/>
  <c r="W2137" i="7949" s="1"/>
  <c r="O625" i="7949"/>
  <c r="P625" i="7949" s="1"/>
  <c r="Q625" i="7949" s="1"/>
  <c r="R625" i="7949" s="1"/>
  <c r="S625" i="7949" s="1"/>
  <c r="T625" i="7949" s="1"/>
  <c r="U625" i="7949" s="1"/>
  <c r="V625" i="7949" s="1"/>
  <c r="W625" i="7949" s="1"/>
  <c r="O571" i="7949"/>
  <c r="P571" i="7949" s="1"/>
  <c r="Q571" i="7949" s="1"/>
  <c r="R571" i="7949" s="1"/>
  <c r="S571" i="7949" s="1"/>
  <c r="T571" i="7949" s="1"/>
  <c r="U571" i="7949" s="1"/>
  <c r="V571" i="7949" s="1"/>
  <c r="W571" i="7949" s="1"/>
  <c r="O1705" i="7949"/>
  <c r="P1705" i="7949" s="1"/>
  <c r="Q1705" i="7949" s="1"/>
  <c r="R1705" i="7949" s="1"/>
  <c r="S1705" i="7949" s="1"/>
  <c r="T1705" i="7949" s="1"/>
  <c r="U1705" i="7949" s="1"/>
  <c r="V1705" i="7949" s="1"/>
  <c r="W1705" i="7949" s="1"/>
  <c r="O2245" i="7949"/>
  <c r="P2245" i="7949" s="1"/>
  <c r="Q2245" i="7949" s="1"/>
  <c r="R2245" i="7949" s="1"/>
  <c r="S2245" i="7949" s="1"/>
  <c r="T2245" i="7949" s="1"/>
  <c r="U2245" i="7949" s="1"/>
  <c r="V2245" i="7949" s="1"/>
  <c r="W2245" i="7949" s="1"/>
  <c r="O1327" i="7949"/>
  <c r="P1327" i="7949" s="1"/>
  <c r="Q1327" i="7949" s="1"/>
  <c r="R1327" i="7949" s="1"/>
  <c r="S1327" i="7949" s="1"/>
  <c r="T1327" i="7949" s="1"/>
  <c r="U1327" i="7949" s="1"/>
  <c r="V1327" i="7949" s="1"/>
  <c r="W1327" i="7949" s="1"/>
  <c r="O1597" i="7949"/>
  <c r="P1597" i="7949" s="1"/>
  <c r="Q1597" i="7949" s="1"/>
  <c r="R1597" i="7949" s="1"/>
  <c r="S1597" i="7949" s="1"/>
  <c r="T1597" i="7949" s="1"/>
  <c r="U1597" i="7949" s="1"/>
  <c r="V1597" i="7949" s="1"/>
  <c r="W1597" i="7949" s="1"/>
  <c r="O301" i="7949"/>
  <c r="P301" i="7949" s="1"/>
  <c r="Q301" i="7949" s="1"/>
  <c r="R301" i="7949" s="1"/>
  <c r="S301" i="7949" s="1"/>
  <c r="T301" i="7949" s="1"/>
  <c r="U301" i="7949" s="1"/>
  <c r="V301" i="7949" s="1"/>
  <c r="W301" i="7949" s="1"/>
  <c r="O733" i="7949"/>
  <c r="P733" i="7949" s="1"/>
  <c r="Q733" i="7949" s="1"/>
  <c r="R733" i="7949" s="1"/>
  <c r="S733" i="7949" s="1"/>
  <c r="T733" i="7949" s="1"/>
  <c r="U733" i="7949" s="1"/>
  <c r="V733" i="7949" s="1"/>
  <c r="W733" i="7949" s="1"/>
  <c r="O2353" i="7949"/>
  <c r="P2353" i="7949" s="1"/>
  <c r="Q2353" i="7949" s="1"/>
  <c r="R2353" i="7949" s="1"/>
  <c r="S2353" i="7949" s="1"/>
  <c r="T2353" i="7949" s="1"/>
  <c r="U2353" i="7949" s="1"/>
  <c r="V2353" i="7949" s="1"/>
  <c r="W2353" i="7949" s="1"/>
  <c r="O841" i="7949"/>
  <c r="P841" i="7949" s="1"/>
  <c r="Q841" i="7949" s="1"/>
  <c r="R841" i="7949" s="1"/>
  <c r="S841" i="7949" s="1"/>
  <c r="T841" i="7949" s="1"/>
  <c r="U841" i="7949" s="1"/>
  <c r="V841" i="7949" s="1"/>
  <c r="W841" i="7949" s="1"/>
  <c r="O1489" i="7949"/>
  <c r="P1489" i="7949" s="1"/>
  <c r="Q1489" i="7949" s="1"/>
  <c r="R1489" i="7949" s="1"/>
  <c r="S1489" i="7949" s="1"/>
  <c r="T1489" i="7949" s="1"/>
  <c r="U1489" i="7949" s="1"/>
  <c r="V1489" i="7949" s="1"/>
  <c r="W1489" i="7949" s="1"/>
  <c r="O2407" i="7949"/>
  <c r="P2407" i="7949" s="1"/>
  <c r="Q2407" i="7949" s="1"/>
  <c r="R2407" i="7949" s="1"/>
  <c r="S2407" i="7949" s="1"/>
  <c r="T2407" i="7949" s="1"/>
  <c r="U2407" i="7949" s="1"/>
  <c r="V2407" i="7949" s="1"/>
  <c r="W2407" i="7949" s="1"/>
  <c r="O1381" i="7949"/>
  <c r="P1381" i="7949" s="1"/>
  <c r="Q1381" i="7949" s="1"/>
  <c r="R1381" i="7949" s="1"/>
  <c r="S1381" i="7949" s="1"/>
  <c r="T1381" i="7949" s="1"/>
  <c r="U1381" i="7949" s="1"/>
  <c r="V1381" i="7949" s="1"/>
  <c r="W1381" i="7949" s="1"/>
  <c r="O2083" i="7949"/>
  <c r="P2083" i="7949" s="1"/>
  <c r="Q2083" i="7949" s="1"/>
  <c r="R2083" i="7949" s="1"/>
  <c r="S2083" i="7949" s="1"/>
  <c r="T2083" i="7949" s="1"/>
  <c r="U2083" i="7949" s="1"/>
  <c r="V2083" i="7949" s="1"/>
  <c r="W2083" i="7949" s="1"/>
  <c r="O31" i="7949"/>
  <c r="P31" i="7949" s="1"/>
  <c r="Q31" i="7949" s="1"/>
  <c r="R31" i="7949" s="1"/>
  <c r="S31" i="7949" s="1"/>
  <c r="T31" i="7949" s="1"/>
  <c r="U31" i="7949" s="1"/>
  <c r="V31" i="7949" s="1"/>
  <c r="W31" i="7949" s="1"/>
  <c r="O949" i="7949"/>
  <c r="P949" i="7949" s="1"/>
  <c r="Q949" i="7949" s="1"/>
  <c r="R949" i="7949" s="1"/>
  <c r="S949" i="7949" s="1"/>
  <c r="T949" i="7949" s="1"/>
  <c r="U949" i="7949" s="1"/>
  <c r="V949" i="7949" s="1"/>
  <c r="W949" i="7949" s="1"/>
  <c r="O409" i="7949"/>
  <c r="P409" i="7949" s="1"/>
  <c r="Q409" i="7949" s="1"/>
  <c r="R409" i="7949" s="1"/>
  <c r="S409" i="7949" s="1"/>
  <c r="T409" i="7949" s="1"/>
  <c r="U409" i="7949" s="1"/>
  <c r="V409" i="7949" s="1"/>
  <c r="W409" i="7949" s="1"/>
  <c r="O1543" i="7949"/>
  <c r="P1543" i="7949" s="1"/>
  <c r="Q1543" i="7949" s="1"/>
  <c r="R1543" i="7949" s="1"/>
  <c r="S1543" i="7949" s="1"/>
  <c r="T1543" i="7949" s="1"/>
  <c r="U1543" i="7949" s="1"/>
  <c r="V1543" i="7949" s="1"/>
  <c r="W1543" i="7949" s="1"/>
  <c r="O1165" i="7949"/>
  <c r="P1165" i="7949" s="1"/>
  <c r="Q1165" i="7949" s="1"/>
  <c r="R1165" i="7949" s="1"/>
  <c r="S1165" i="7949" s="1"/>
  <c r="T1165" i="7949" s="1"/>
  <c r="U1165" i="7949" s="1"/>
  <c r="V1165" i="7949" s="1"/>
  <c r="W1165" i="7949" s="1"/>
  <c r="O193" i="7949"/>
  <c r="P193" i="7949" s="1"/>
  <c r="Q193" i="7949" s="1"/>
  <c r="R193" i="7949" s="1"/>
  <c r="S193" i="7949" s="1"/>
  <c r="T193" i="7949" s="1"/>
  <c r="U193" i="7949" s="1"/>
  <c r="V193" i="7949" s="1"/>
  <c r="W193" i="7949" s="1"/>
  <c r="O2029" i="7949"/>
  <c r="P2029" i="7949" s="1"/>
  <c r="Q2029" i="7949" s="1"/>
  <c r="R2029" i="7949" s="1"/>
  <c r="S2029" i="7949" s="1"/>
  <c r="T2029" i="7949" s="1"/>
  <c r="U2029" i="7949" s="1"/>
  <c r="V2029" i="7949" s="1"/>
  <c r="W2029" i="7949" s="1"/>
  <c r="O1273" i="7949"/>
  <c r="P1273" i="7949" s="1"/>
  <c r="Q1273" i="7949" s="1"/>
  <c r="R1273" i="7949" s="1"/>
  <c r="S1273" i="7949" s="1"/>
  <c r="T1273" i="7949" s="1"/>
  <c r="U1273" i="7949" s="1"/>
  <c r="V1273" i="7949" s="1"/>
  <c r="W1273" i="7949" s="1"/>
  <c r="P528" i="7942"/>
  <c r="W1720" i="7950"/>
  <c r="W1696" i="7950"/>
  <c r="W940" i="7950"/>
  <c r="W964" i="7950"/>
  <c r="V1665" i="7950"/>
  <c r="V1641" i="7950"/>
  <c r="V963" i="7950"/>
  <c r="V939" i="7950"/>
  <c r="U261" i="7950"/>
  <c r="U237" i="7950"/>
  <c r="V2181" i="7950"/>
  <c r="V2205" i="7950"/>
  <c r="W670" i="7950"/>
  <c r="W694" i="7950"/>
  <c r="W2558" i="7950"/>
  <c r="W2582" i="7950"/>
  <c r="W1858" i="7950"/>
  <c r="W1882" i="7950"/>
  <c r="V2583" i="7950"/>
  <c r="V2559" i="7950"/>
  <c r="V1719" i="7950"/>
  <c r="V1695" i="7950"/>
  <c r="W1072" i="7950"/>
  <c r="W1048" i="7950"/>
  <c r="W1180" i="7950"/>
  <c r="W1156" i="7950"/>
  <c r="W1966" i="7950"/>
  <c r="W1990" i="7950"/>
  <c r="W1804" i="7950"/>
  <c r="W1828" i="7950"/>
  <c r="W1480" i="7950"/>
  <c r="W1504" i="7950"/>
  <c r="W77" i="7950"/>
  <c r="W101" i="7950"/>
  <c r="W532" i="7950"/>
  <c r="W508" i="7950"/>
  <c r="W2614" i="7950"/>
  <c r="W2638" i="7950"/>
  <c r="V1155" i="7950"/>
  <c r="V1179" i="7950"/>
  <c r="V1503" i="7950"/>
  <c r="V1479" i="7950"/>
  <c r="W370" i="7950"/>
  <c r="W346" i="7950"/>
  <c r="V76" i="7950"/>
  <c r="V100" i="7950"/>
  <c r="V831" i="7950"/>
  <c r="V855" i="7950"/>
  <c r="W1426" i="7950"/>
  <c r="W1450" i="7950"/>
  <c r="W1912" i="7950"/>
  <c r="W1936" i="7950"/>
  <c r="V1827" i="7950"/>
  <c r="V1803" i="7950"/>
  <c r="V723" i="7950"/>
  <c r="V747" i="7950"/>
  <c r="V615" i="7950"/>
  <c r="V639" i="7950"/>
  <c r="V1881" i="7950"/>
  <c r="V1857" i="7950"/>
  <c r="V1533" i="7950"/>
  <c r="V1557" i="7950"/>
  <c r="V2043" i="7950"/>
  <c r="V2019" i="7950"/>
  <c r="W962" i="7950"/>
  <c r="W938" i="7950"/>
  <c r="V423" i="7950"/>
  <c r="V399" i="7950"/>
  <c r="W2128" i="7950"/>
  <c r="W2152" i="7950"/>
  <c r="V507" i="7950"/>
  <c r="V531" i="7950"/>
  <c r="V2397" i="7950"/>
  <c r="V2421" i="7950"/>
  <c r="V291" i="7950"/>
  <c r="V315" i="7950"/>
  <c r="W1372" i="7950"/>
  <c r="W1396" i="7950"/>
  <c r="W586" i="7950"/>
  <c r="W562" i="7950"/>
  <c r="V801" i="7950"/>
  <c r="V777" i="7950"/>
  <c r="V1071" i="7950"/>
  <c r="V1047" i="7950"/>
  <c r="V561" i="7950"/>
  <c r="V585" i="7950"/>
  <c r="Q45" i="7941"/>
  <c r="Q755" i="18"/>
  <c r="Q1121" i="18" s="1"/>
  <c r="Q859" i="18" s="1"/>
  <c r="Q149" i="7941" s="1"/>
  <c r="Q359" i="7941" s="1"/>
  <c r="N347" i="7941"/>
  <c r="O160" i="7941"/>
  <c r="P56" i="7941" s="1"/>
  <c r="P766" i="18"/>
  <c r="P41" i="7941"/>
  <c r="N341" i="7941"/>
  <c r="O355" i="7941"/>
  <c r="N351" i="7941"/>
  <c r="O846" i="18"/>
  <c r="O1126" i="18"/>
  <c r="O864" i="18" s="1"/>
  <c r="O25" i="7941"/>
  <c r="N339" i="7941"/>
  <c r="O339" i="7941" s="1"/>
  <c r="M353" i="7941"/>
  <c r="N338" i="7941"/>
  <c r="O21" i="7941"/>
  <c r="O15" i="7941"/>
  <c r="N329" i="7941"/>
  <c r="N1133" i="18"/>
  <c r="O839" i="18"/>
  <c r="O129" i="7941" s="1"/>
  <c r="N39" i="7941"/>
  <c r="O862" i="18"/>
  <c r="O1106" i="18"/>
  <c r="P1123" i="18"/>
  <c r="P861" i="18" s="1"/>
  <c r="O829" i="18"/>
  <c r="P725" i="18" s="1"/>
  <c r="P1091" i="18" s="1"/>
  <c r="O126" i="7941"/>
  <c r="P732" i="18"/>
  <c r="O830" i="18"/>
  <c r="O1119" i="18"/>
  <c r="O857" i="18" s="1"/>
  <c r="P1132" i="18"/>
  <c r="O17" i="7941"/>
  <c r="N369" i="7941"/>
  <c r="O860" i="18"/>
  <c r="N349" i="7941"/>
  <c r="O49" i="7941"/>
  <c r="N749" i="18"/>
  <c r="N142" i="7941"/>
  <c r="O748" i="18"/>
  <c r="N124" i="7941"/>
  <c r="O730" i="18"/>
  <c r="O43" i="7941"/>
  <c r="N357" i="7941"/>
  <c r="O30" i="7941"/>
  <c r="N344" i="7941"/>
  <c r="O156" i="7941"/>
  <c r="P52" i="7941" s="1"/>
  <c r="P762" i="18"/>
  <c r="P1128" i="18" s="1"/>
  <c r="P866" i="18" s="1"/>
  <c r="P751" i="18"/>
  <c r="P1117" i="18" s="1"/>
  <c r="P855" i="18" s="1"/>
  <c r="N360" i="7941"/>
  <c r="M530" i="7942"/>
  <c r="L530" i="7942"/>
  <c r="N530" i="7942"/>
  <c r="O529" i="7942"/>
  <c r="O530" i="7942" s="1"/>
  <c r="Q528" i="7942"/>
  <c r="Q578" i="7941" s="1"/>
  <c r="O523" i="7942"/>
  <c r="P523" i="7942" s="1"/>
  <c r="Q523" i="7942" s="1"/>
  <c r="R2659" i="7950"/>
  <c r="R2605" i="7950"/>
  <c r="R2551" i="7950"/>
  <c r="R2497" i="7950"/>
  <c r="R2443" i="7950"/>
  <c r="R2389" i="7950"/>
  <c r="R2335" i="7950"/>
  <c r="R2281" i="7950"/>
  <c r="R2227" i="7950"/>
  <c r="R2173" i="7950"/>
  <c r="R2119" i="7950"/>
  <c r="R2065" i="7950"/>
  <c r="R2011" i="7950"/>
  <c r="R1957" i="7950"/>
  <c r="R1903" i="7950"/>
  <c r="R1849" i="7950"/>
  <c r="R1795" i="7950"/>
  <c r="R1741" i="7950"/>
  <c r="R1687" i="7950"/>
  <c r="R1633" i="7950"/>
  <c r="R1579" i="7950"/>
  <c r="R1525" i="7950"/>
  <c r="R1471" i="7950"/>
  <c r="R1417" i="7950"/>
  <c r="R1363" i="7950"/>
  <c r="R1309" i="7950"/>
  <c r="R1255" i="7950"/>
  <c r="R1201" i="7950"/>
  <c r="R1147" i="7950"/>
  <c r="R1093" i="7950"/>
  <c r="R1039" i="7950"/>
  <c r="R985" i="7950"/>
  <c r="R931" i="7950"/>
  <c r="R877" i="7950"/>
  <c r="R823" i="7950"/>
  <c r="R769" i="7950"/>
  <c r="R715" i="7950"/>
  <c r="R661" i="7950"/>
  <c r="R607" i="7950"/>
  <c r="R553" i="7950"/>
  <c r="R499" i="7950"/>
  <c r="R445" i="7950"/>
  <c r="R391" i="7950"/>
  <c r="R337" i="7950"/>
  <c r="R283" i="7950"/>
  <c r="R229" i="7950"/>
  <c r="R175" i="7950"/>
  <c r="Q67" i="7950"/>
  <c r="R2664" i="7949"/>
  <c r="R2610" i="7949"/>
  <c r="R2556" i="7949"/>
  <c r="R2502" i="7949"/>
  <c r="R2448" i="7949"/>
  <c r="R2394" i="7949"/>
  <c r="R2340" i="7949"/>
  <c r="R2286" i="7949"/>
  <c r="R2232" i="7949"/>
  <c r="R2178" i="7949"/>
  <c r="R2124" i="7949"/>
  <c r="R2070" i="7949"/>
  <c r="R2016" i="7949"/>
  <c r="R1962" i="7949"/>
  <c r="R1908" i="7949"/>
  <c r="R1854" i="7949"/>
  <c r="R1800" i="7949"/>
  <c r="R1746" i="7949"/>
  <c r="R1692" i="7949"/>
  <c r="R1638" i="7949"/>
  <c r="R1584" i="7949"/>
  <c r="R1530" i="7949"/>
  <c r="R1476" i="7949"/>
  <c r="R1422" i="7949"/>
  <c r="R1368" i="7949"/>
  <c r="R1314" i="7949"/>
  <c r="R1260" i="7949"/>
  <c r="R1206" i="7949"/>
  <c r="R1152" i="7949"/>
  <c r="R1098" i="7949"/>
  <c r="R1044" i="7949"/>
  <c r="R990" i="7949"/>
  <c r="R936" i="7949"/>
  <c r="R882" i="7949"/>
  <c r="R828" i="7949"/>
  <c r="R774" i="7949"/>
  <c r="R720" i="7949"/>
  <c r="R666" i="7949"/>
  <c r="R612" i="7949"/>
  <c r="R558" i="7949"/>
  <c r="R504" i="7949"/>
  <c r="R450" i="7949"/>
  <c r="R396" i="7949"/>
  <c r="R342" i="7949"/>
  <c r="R288" i="7949"/>
  <c r="R234" i="7949"/>
  <c r="R37" i="7950"/>
  <c r="R1063" i="7950"/>
  <c r="R469" i="7950"/>
  <c r="R685" i="7950"/>
  <c r="R793" i="7950"/>
  <c r="R1873" i="7950"/>
  <c r="R1981" i="7950"/>
  <c r="R2197" i="7950"/>
  <c r="R2629" i="7950"/>
  <c r="R1657" i="7950"/>
  <c r="R901" i="7950"/>
  <c r="R1117" i="7950"/>
  <c r="R1441" i="7950"/>
  <c r="R2035" i="7950"/>
  <c r="R2251" i="7950"/>
  <c r="R2683" i="7950"/>
  <c r="R420" i="7949"/>
  <c r="R852" i="7949"/>
  <c r="R1068" i="7949"/>
  <c r="R1284" i="7949"/>
  <c r="R1824" i="7949"/>
  <c r="R2688" i="7949"/>
  <c r="R847" i="7950"/>
  <c r="R145" i="7950"/>
  <c r="R361" i="7950"/>
  <c r="R1009" i="7950"/>
  <c r="R955" i="7950"/>
  <c r="R307" i="7950"/>
  <c r="R523" i="7950"/>
  <c r="R1603" i="7950"/>
  <c r="R2575" i="7950"/>
  <c r="R312" i="7949"/>
  <c r="R744" i="7949"/>
  <c r="R1500" i="7949"/>
  <c r="R2040" i="7949"/>
  <c r="R2472" i="7949"/>
  <c r="R1765" i="7950"/>
  <c r="R1387" i="7950"/>
  <c r="R2089" i="7950"/>
  <c r="R2521" i="7950"/>
  <c r="R739" i="7950"/>
  <c r="R1333" i="7950"/>
  <c r="R1927" i="7950"/>
  <c r="R2143" i="7950"/>
  <c r="R2467" i="7950"/>
  <c r="R42" i="7949"/>
  <c r="R150" i="7949"/>
  <c r="R1171" i="7950"/>
  <c r="R96" i="7949"/>
  <c r="R528" i="7949"/>
  <c r="R960" i="7949"/>
  <c r="R1176" i="7949"/>
  <c r="R1608" i="7949"/>
  <c r="R2148" i="7949"/>
  <c r="R2364" i="7949"/>
  <c r="R1549" i="7950"/>
  <c r="R253" i="7950"/>
  <c r="R577" i="7950"/>
  <c r="R1225" i="7950"/>
  <c r="R1711" i="7950"/>
  <c r="R1279" i="7950"/>
  <c r="R1495" i="7950"/>
  <c r="R2305" i="7950"/>
  <c r="R2413" i="7950"/>
  <c r="R72" i="7949"/>
  <c r="R180" i="7949"/>
  <c r="R636" i="7949"/>
  <c r="R1392" i="7949"/>
  <c r="R1716" i="7949"/>
  <c r="R1932" i="7949"/>
  <c r="R2256" i="7949"/>
  <c r="R2580" i="7949"/>
  <c r="R582" i="7949"/>
  <c r="R798" i="7949"/>
  <c r="R906" i="7949"/>
  <c r="R1014" i="7949"/>
  <c r="R1122" i="7949"/>
  <c r="R1446" i="7949"/>
  <c r="R1554" i="7949"/>
  <c r="R1662" i="7949"/>
  <c r="R1878" i="7949"/>
  <c r="R2202" i="7949"/>
  <c r="R2310" i="7949"/>
  <c r="R2418" i="7949"/>
  <c r="R258" i="7949"/>
  <c r="R366" i="7949"/>
  <c r="R474" i="7949"/>
  <c r="R690" i="7949"/>
  <c r="R1230" i="7949"/>
  <c r="R1338" i="7949"/>
  <c r="R1770" i="7949"/>
  <c r="R1986" i="7949"/>
  <c r="R2094" i="7949"/>
  <c r="R2526" i="7949"/>
  <c r="R2634" i="7949"/>
  <c r="Q91" i="7950"/>
  <c r="R199" i="7950"/>
  <c r="R415" i="7950"/>
  <c r="R631" i="7950"/>
  <c r="R1819" i="7950"/>
  <c r="R2359" i="7950"/>
  <c r="R13" i="7950"/>
  <c r="R18" i="7949"/>
  <c r="O121" i="7941"/>
  <c r="P727" i="18"/>
  <c r="P1093" i="18" s="1"/>
  <c r="O139" i="7941"/>
  <c r="P745" i="18"/>
  <c r="P1111" i="18" s="1"/>
  <c r="O868" i="18"/>
  <c r="O848" i="18"/>
  <c r="O845" i="18"/>
  <c r="O133" i="7941"/>
  <c r="P739" i="18"/>
  <c r="P1105" i="18" s="1"/>
  <c r="O833" i="18"/>
  <c r="O141" i="7941"/>
  <c r="P747" i="18"/>
  <c r="P1113" i="18" s="1"/>
  <c r="O159" i="7941"/>
  <c r="P765" i="18"/>
  <c r="P1131" i="18" s="1"/>
  <c r="O858" i="18"/>
  <c r="O837" i="18"/>
  <c r="O140" i="7941"/>
  <c r="P746" i="18"/>
  <c r="P1112" i="18" s="1"/>
  <c r="O131" i="7941"/>
  <c r="P737" i="18"/>
  <c r="P1103" i="18" s="1"/>
  <c r="O867" i="18"/>
  <c r="O146" i="7941"/>
  <c r="P752" i="18"/>
  <c r="P1118" i="18" s="1"/>
  <c r="O125" i="7941"/>
  <c r="P731" i="18"/>
  <c r="P1097" i="18" s="1"/>
  <c r="O137" i="7941"/>
  <c r="P743" i="18"/>
  <c r="P1109" i="18" s="1"/>
  <c r="O144" i="7941"/>
  <c r="P750" i="18"/>
  <c r="P1116" i="18" s="1"/>
  <c r="O130" i="7941"/>
  <c r="P736" i="18"/>
  <c r="P1102" i="18" s="1"/>
  <c r="O132" i="7941"/>
  <c r="P738" i="18"/>
  <c r="P1104" i="18" s="1"/>
  <c r="O153" i="7941"/>
  <c r="P759" i="18"/>
  <c r="P1125" i="18" s="1"/>
  <c r="O122" i="7941"/>
  <c r="P728" i="18"/>
  <c r="P1094" i="18" s="1"/>
  <c r="O128" i="7941"/>
  <c r="P734" i="18"/>
  <c r="P1100" i="18" s="1"/>
  <c r="O865" i="18"/>
  <c r="M371" i="7941"/>
  <c r="S121" i="7950" l="1"/>
  <c r="W260" i="7950"/>
  <c r="W98" i="7950"/>
  <c r="P1598" i="7949"/>
  <c r="Q1598" i="7949" s="1"/>
  <c r="R1598" i="7949" s="1"/>
  <c r="S1598" i="7949" s="1"/>
  <c r="T1598" i="7949" s="1"/>
  <c r="U1598" i="7949" s="1"/>
  <c r="V1598" i="7949" s="1"/>
  <c r="W1598" i="7949" s="1"/>
  <c r="P248" i="7949"/>
  <c r="Q248" i="7949" s="1"/>
  <c r="R248" i="7949" s="1"/>
  <c r="S248" i="7949" s="1"/>
  <c r="T248" i="7949" s="1"/>
  <c r="U248" i="7949" s="1"/>
  <c r="V248" i="7949" s="1"/>
  <c r="W248" i="7949" s="1"/>
  <c r="P1112" i="7949"/>
  <c r="Q1112" i="7949" s="1"/>
  <c r="R1112" i="7949" s="1"/>
  <c r="S1112" i="7949" s="1"/>
  <c r="T1112" i="7949" s="1"/>
  <c r="U1112" i="7949" s="1"/>
  <c r="V1112" i="7949" s="1"/>
  <c r="W1112" i="7949" s="1"/>
  <c r="P2408" i="7949"/>
  <c r="Q2408" i="7949" s="1"/>
  <c r="R2408" i="7949" s="1"/>
  <c r="S2408" i="7949" s="1"/>
  <c r="T2408" i="7949" s="1"/>
  <c r="U2408" i="7949" s="1"/>
  <c r="V2408" i="7949" s="1"/>
  <c r="W2408" i="7949" s="1"/>
  <c r="P788" i="7949"/>
  <c r="Q788" i="7949" s="1"/>
  <c r="R788" i="7949" s="1"/>
  <c r="S788" i="7949" s="1"/>
  <c r="T788" i="7949" s="1"/>
  <c r="U788" i="7949" s="1"/>
  <c r="V788" i="7949" s="1"/>
  <c r="W788" i="7949" s="1"/>
  <c r="P1706" i="7949"/>
  <c r="Q1706" i="7949" s="1"/>
  <c r="R1706" i="7949" s="1"/>
  <c r="S1706" i="7949" s="1"/>
  <c r="T1706" i="7949" s="1"/>
  <c r="U1706" i="7949" s="1"/>
  <c r="V1706" i="7949" s="1"/>
  <c r="W1706" i="7949" s="1"/>
  <c r="P2462" i="7949"/>
  <c r="Q2462" i="7949" s="1"/>
  <c r="R2462" i="7949" s="1"/>
  <c r="S2462" i="7949" s="1"/>
  <c r="T2462" i="7949" s="1"/>
  <c r="U2462" i="7949" s="1"/>
  <c r="V2462" i="7949" s="1"/>
  <c r="W2462" i="7949" s="1"/>
  <c r="P464" i="7949"/>
  <c r="Q464" i="7949" s="1"/>
  <c r="R464" i="7949" s="1"/>
  <c r="S464" i="7949" s="1"/>
  <c r="T464" i="7949" s="1"/>
  <c r="U464" i="7949" s="1"/>
  <c r="V464" i="7949" s="1"/>
  <c r="W464" i="7949" s="1"/>
  <c r="P1544" i="7949"/>
  <c r="Q1544" i="7949" s="1"/>
  <c r="R1544" i="7949" s="1"/>
  <c r="S1544" i="7949" s="1"/>
  <c r="T1544" i="7949" s="1"/>
  <c r="U1544" i="7949" s="1"/>
  <c r="V1544" i="7949" s="1"/>
  <c r="W1544" i="7949" s="1"/>
  <c r="P140" i="7949"/>
  <c r="Q140" i="7949" s="1"/>
  <c r="R140" i="7949" s="1"/>
  <c r="S140" i="7949" s="1"/>
  <c r="T140" i="7949" s="1"/>
  <c r="U140" i="7949" s="1"/>
  <c r="V140" i="7949" s="1"/>
  <c r="W140" i="7949" s="1"/>
  <c r="P1004" i="7949"/>
  <c r="Q1004" i="7949" s="1"/>
  <c r="R1004" i="7949" s="1"/>
  <c r="S1004" i="7949" s="1"/>
  <c r="T1004" i="7949" s="1"/>
  <c r="U1004" i="7949" s="1"/>
  <c r="V1004" i="7949" s="1"/>
  <c r="W1004" i="7949" s="1"/>
  <c r="P2354" i="7949"/>
  <c r="Q2354" i="7949" s="1"/>
  <c r="R2354" i="7949" s="1"/>
  <c r="S2354" i="7949" s="1"/>
  <c r="T2354" i="7949" s="1"/>
  <c r="U2354" i="7949" s="1"/>
  <c r="V2354" i="7949" s="1"/>
  <c r="W2354" i="7949" s="1"/>
  <c r="P680" i="7949"/>
  <c r="Q680" i="7949" s="1"/>
  <c r="R680" i="7949" s="1"/>
  <c r="S680" i="7949" s="1"/>
  <c r="T680" i="7949" s="1"/>
  <c r="U680" i="7949" s="1"/>
  <c r="V680" i="7949" s="1"/>
  <c r="W680" i="7949" s="1"/>
  <c r="P2624" i="7949"/>
  <c r="Q2624" i="7949" s="1"/>
  <c r="R2624" i="7949" s="1"/>
  <c r="S2624" i="7949" s="1"/>
  <c r="T2624" i="7949" s="1"/>
  <c r="U2624" i="7949" s="1"/>
  <c r="V2624" i="7949" s="1"/>
  <c r="W2624" i="7949" s="1"/>
  <c r="P1058" i="7949"/>
  <c r="Q1058" i="7949" s="1"/>
  <c r="R1058" i="7949" s="1"/>
  <c r="S1058" i="7949" s="1"/>
  <c r="T1058" i="7949" s="1"/>
  <c r="U1058" i="7949" s="1"/>
  <c r="V1058" i="7949" s="1"/>
  <c r="W1058" i="7949" s="1"/>
  <c r="P86" i="7949"/>
  <c r="Q86" i="7949" s="1"/>
  <c r="R86" i="7949" s="1"/>
  <c r="S86" i="7949" s="1"/>
  <c r="T86" i="7949" s="1"/>
  <c r="U86" i="7949" s="1"/>
  <c r="V86" i="7949" s="1"/>
  <c r="W86" i="7949" s="1"/>
  <c r="P1814" i="7949"/>
  <c r="Q1814" i="7949" s="1"/>
  <c r="R1814" i="7949" s="1"/>
  <c r="S1814" i="7949" s="1"/>
  <c r="T1814" i="7949" s="1"/>
  <c r="U1814" i="7949" s="1"/>
  <c r="V1814" i="7949" s="1"/>
  <c r="W1814" i="7949" s="1"/>
  <c r="P1274" i="7949"/>
  <c r="Q1274" i="7949" s="1"/>
  <c r="R1274" i="7949" s="1"/>
  <c r="S1274" i="7949" s="1"/>
  <c r="T1274" i="7949" s="1"/>
  <c r="U1274" i="7949" s="1"/>
  <c r="V1274" i="7949" s="1"/>
  <c r="W1274" i="7949" s="1"/>
  <c r="P1760" i="7949"/>
  <c r="Q1760" i="7949" s="1"/>
  <c r="R1760" i="7949" s="1"/>
  <c r="S1760" i="7949" s="1"/>
  <c r="T1760" i="7949" s="1"/>
  <c r="U1760" i="7949" s="1"/>
  <c r="V1760" i="7949" s="1"/>
  <c r="W1760" i="7949" s="1"/>
  <c r="P572" i="7949"/>
  <c r="Q572" i="7949" s="1"/>
  <c r="R572" i="7949" s="1"/>
  <c r="S572" i="7949" s="1"/>
  <c r="T572" i="7949" s="1"/>
  <c r="U572" i="7949" s="1"/>
  <c r="V572" i="7949" s="1"/>
  <c r="W572" i="7949" s="1"/>
  <c r="P1652" i="7949"/>
  <c r="Q1652" i="7949" s="1"/>
  <c r="R1652" i="7949" s="1"/>
  <c r="S1652" i="7949" s="1"/>
  <c r="T1652" i="7949" s="1"/>
  <c r="U1652" i="7949" s="1"/>
  <c r="V1652" i="7949" s="1"/>
  <c r="W1652" i="7949" s="1"/>
  <c r="P2300" i="7949"/>
  <c r="Q2300" i="7949" s="1"/>
  <c r="R2300" i="7949" s="1"/>
  <c r="S2300" i="7949" s="1"/>
  <c r="T2300" i="7949" s="1"/>
  <c r="U2300" i="7949" s="1"/>
  <c r="V2300" i="7949" s="1"/>
  <c r="W2300" i="7949" s="1"/>
  <c r="P1436" i="7949"/>
  <c r="Q1436" i="7949" s="1"/>
  <c r="R1436" i="7949" s="1"/>
  <c r="S1436" i="7949" s="1"/>
  <c r="T1436" i="7949" s="1"/>
  <c r="U1436" i="7949" s="1"/>
  <c r="V1436" i="7949" s="1"/>
  <c r="W1436" i="7949" s="1"/>
  <c r="P2192" i="7949"/>
  <c r="Q2192" i="7949" s="1"/>
  <c r="R2192" i="7949" s="1"/>
  <c r="S2192" i="7949" s="1"/>
  <c r="T2192" i="7949" s="1"/>
  <c r="U2192" i="7949" s="1"/>
  <c r="V2192" i="7949" s="1"/>
  <c r="W2192" i="7949" s="1"/>
  <c r="P194" i="7949"/>
  <c r="Q194" i="7949" s="1"/>
  <c r="R194" i="7949" s="1"/>
  <c r="S194" i="7949" s="1"/>
  <c r="T194" i="7949" s="1"/>
  <c r="U194" i="7949" s="1"/>
  <c r="V194" i="7949" s="1"/>
  <c r="W194" i="7949" s="1"/>
  <c r="P950" i="7949"/>
  <c r="Q950" i="7949" s="1"/>
  <c r="R950" i="7949" s="1"/>
  <c r="S950" i="7949" s="1"/>
  <c r="T950" i="7949" s="1"/>
  <c r="U950" i="7949" s="1"/>
  <c r="V950" i="7949" s="1"/>
  <c r="W950" i="7949" s="1"/>
  <c r="P2138" i="7949"/>
  <c r="Q2138" i="7949" s="1"/>
  <c r="R2138" i="7949" s="1"/>
  <c r="S2138" i="7949" s="1"/>
  <c r="T2138" i="7949" s="1"/>
  <c r="U2138" i="7949" s="1"/>
  <c r="V2138" i="7949" s="1"/>
  <c r="W2138" i="7949" s="1"/>
  <c r="P518" i="7949"/>
  <c r="Q518" i="7949" s="1"/>
  <c r="R518" i="7949" s="1"/>
  <c r="S518" i="7949" s="1"/>
  <c r="T518" i="7949" s="1"/>
  <c r="U518" i="7949" s="1"/>
  <c r="V518" i="7949" s="1"/>
  <c r="W518" i="7949" s="1"/>
  <c r="P1490" i="7949"/>
  <c r="Q1490" i="7949" s="1"/>
  <c r="R1490" i="7949" s="1"/>
  <c r="S1490" i="7949" s="1"/>
  <c r="T1490" i="7949" s="1"/>
  <c r="U1490" i="7949" s="1"/>
  <c r="V1490" i="7949" s="1"/>
  <c r="W1490" i="7949" s="1"/>
  <c r="P2246" i="7949"/>
  <c r="Q2246" i="7949" s="1"/>
  <c r="R2246" i="7949" s="1"/>
  <c r="S2246" i="7949" s="1"/>
  <c r="T2246" i="7949" s="1"/>
  <c r="U2246" i="7949" s="1"/>
  <c r="V2246" i="7949" s="1"/>
  <c r="W2246" i="7949" s="1"/>
  <c r="P1220" i="7949"/>
  <c r="Q1220" i="7949" s="1"/>
  <c r="R1220" i="7949" s="1"/>
  <c r="S1220" i="7949" s="1"/>
  <c r="T1220" i="7949" s="1"/>
  <c r="U1220" i="7949" s="1"/>
  <c r="V1220" i="7949" s="1"/>
  <c r="W1220" i="7949" s="1"/>
  <c r="P2084" i="7949"/>
  <c r="Q2084" i="7949" s="1"/>
  <c r="R2084" i="7949" s="1"/>
  <c r="S2084" i="7949" s="1"/>
  <c r="T2084" i="7949" s="1"/>
  <c r="U2084" i="7949" s="1"/>
  <c r="V2084" i="7949" s="1"/>
  <c r="W2084" i="7949" s="1"/>
  <c r="P32" i="7949"/>
  <c r="Q32" i="7949" s="1"/>
  <c r="R32" i="7949" s="1"/>
  <c r="S32" i="7949" s="1"/>
  <c r="T32" i="7949" s="1"/>
  <c r="U32" i="7949" s="1"/>
  <c r="V32" i="7949" s="1"/>
  <c r="W32" i="7949" s="1"/>
  <c r="P1868" i="7949"/>
  <c r="Q1868" i="7949" s="1"/>
  <c r="R1868" i="7949" s="1"/>
  <c r="S1868" i="7949" s="1"/>
  <c r="T1868" i="7949" s="1"/>
  <c r="U1868" i="7949" s="1"/>
  <c r="V1868" i="7949" s="1"/>
  <c r="W1868" i="7949" s="1"/>
  <c r="P626" i="7949"/>
  <c r="Q626" i="7949" s="1"/>
  <c r="R626" i="7949" s="1"/>
  <c r="S626" i="7949" s="1"/>
  <c r="T626" i="7949" s="1"/>
  <c r="U626" i="7949" s="1"/>
  <c r="V626" i="7949" s="1"/>
  <c r="W626" i="7949" s="1"/>
  <c r="P302" i="7949"/>
  <c r="Q302" i="7949" s="1"/>
  <c r="R302" i="7949" s="1"/>
  <c r="S302" i="7949" s="1"/>
  <c r="T302" i="7949" s="1"/>
  <c r="U302" i="7949" s="1"/>
  <c r="V302" i="7949" s="1"/>
  <c r="W302" i="7949" s="1"/>
  <c r="P842" i="7949"/>
  <c r="Q842" i="7949" s="1"/>
  <c r="R842" i="7949" s="1"/>
  <c r="S842" i="7949" s="1"/>
  <c r="T842" i="7949" s="1"/>
  <c r="U842" i="7949" s="1"/>
  <c r="V842" i="7949" s="1"/>
  <c r="W842" i="7949" s="1"/>
  <c r="P2570" i="7949"/>
  <c r="Q2570" i="7949" s="1"/>
  <c r="R2570" i="7949" s="1"/>
  <c r="S2570" i="7949" s="1"/>
  <c r="T2570" i="7949" s="1"/>
  <c r="U2570" i="7949" s="1"/>
  <c r="V2570" i="7949" s="1"/>
  <c r="W2570" i="7949" s="1"/>
  <c r="P896" i="7949"/>
  <c r="Q896" i="7949" s="1"/>
  <c r="R896" i="7949" s="1"/>
  <c r="S896" i="7949" s="1"/>
  <c r="T896" i="7949" s="1"/>
  <c r="U896" i="7949" s="1"/>
  <c r="V896" i="7949" s="1"/>
  <c r="W896" i="7949" s="1"/>
  <c r="P2030" i="7949"/>
  <c r="Q2030" i="7949" s="1"/>
  <c r="R2030" i="7949" s="1"/>
  <c r="S2030" i="7949" s="1"/>
  <c r="T2030" i="7949" s="1"/>
  <c r="U2030" i="7949" s="1"/>
  <c r="V2030" i="7949" s="1"/>
  <c r="W2030" i="7949" s="1"/>
  <c r="P410" i="7949"/>
  <c r="Q410" i="7949" s="1"/>
  <c r="R410" i="7949" s="1"/>
  <c r="S410" i="7949" s="1"/>
  <c r="T410" i="7949" s="1"/>
  <c r="U410" i="7949" s="1"/>
  <c r="V410" i="7949" s="1"/>
  <c r="W410" i="7949" s="1"/>
  <c r="P1382" i="7949"/>
  <c r="Q1382" i="7949" s="1"/>
  <c r="R1382" i="7949" s="1"/>
  <c r="S1382" i="7949" s="1"/>
  <c r="T1382" i="7949" s="1"/>
  <c r="U1382" i="7949" s="1"/>
  <c r="V1382" i="7949" s="1"/>
  <c r="W1382" i="7949" s="1"/>
  <c r="P2678" i="7949"/>
  <c r="Q2678" i="7949" s="1"/>
  <c r="R2678" i="7949" s="1"/>
  <c r="S2678" i="7949" s="1"/>
  <c r="T2678" i="7949" s="1"/>
  <c r="U2678" i="7949" s="1"/>
  <c r="V2678" i="7949" s="1"/>
  <c r="W2678" i="7949" s="1"/>
  <c r="P1166" i="7949"/>
  <c r="Q1166" i="7949" s="1"/>
  <c r="R1166" i="7949" s="1"/>
  <c r="S1166" i="7949" s="1"/>
  <c r="T1166" i="7949" s="1"/>
  <c r="U1166" i="7949" s="1"/>
  <c r="V1166" i="7949" s="1"/>
  <c r="W1166" i="7949" s="1"/>
  <c r="P1922" i="7949"/>
  <c r="Q1922" i="7949" s="1"/>
  <c r="R1922" i="7949" s="1"/>
  <c r="S1922" i="7949" s="1"/>
  <c r="T1922" i="7949" s="1"/>
  <c r="U1922" i="7949" s="1"/>
  <c r="V1922" i="7949" s="1"/>
  <c r="W1922" i="7949" s="1"/>
  <c r="Q10" i="7949"/>
  <c r="P734" i="7949"/>
  <c r="Q734" i="7949" s="1"/>
  <c r="R734" i="7949" s="1"/>
  <c r="S734" i="7949" s="1"/>
  <c r="T734" i="7949" s="1"/>
  <c r="U734" i="7949" s="1"/>
  <c r="V734" i="7949" s="1"/>
  <c r="W734" i="7949" s="1"/>
  <c r="P1976" i="7949"/>
  <c r="Q1976" i="7949" s="1"/>
  <c r="R1976" i="7949" s="1"/>
  <c r="S1976" i="7949" s="1"/>
  <c r="T1976" i="7949" s="1"/>
  <c r="U1976" i="7949" s="1"/>
  <c r="V1976" i="7949" s="1"/>
  <c r="W1976" i="7949" s="1"/>
  <c r="P356" i="7949"/>
  <c r="Q356" i="7949" s="1"/>
  <c r="R356" i="7949" s="1"/>
  <c r="S356" i="7949" s="1"/>
  <c r="T356" i="7949" s="1"/>
  <c r="U356" i="7949" s="1"/>
  <c r="V356" i="7949" s="1"/>
  <c r="W356" i="7949" s="1"/>
  <c r="P1328" i="7949"/>
  <c r="Q1328" i="7949" s="1"/>
  <c r="R1328" i="7949" s="1"/>
  <c r="S1328" i="7949" s="1"/>
  <c r="T1328" i="7949" s="1"/>
  <c r="U1328" i="7949" s="1"/>
  <c r="V1328" i="7949" s="1"/>
  <c r="W1328" i="7949" s="1"/>
  <c r="P2516" i="7949"/>
  <c r="Q2516" i="7949" s="1"/>
  <c r="R2516" i="7949" s="1"/>
  <c r="S2516" i="7949" s="1"/>
  <c r="T2516" i="7949" s="1"/>
  <c r="U2516" i="7949" s="1"/>
  <c r="V2516" i="7949" s="1"/>
  <c r="W2516" i="7949" s="1"/>
  <c r="W291" i="7950"/>
  <c r="W315" i="7950"/>
  <c r="W507" i="7950"/>
  <c r="W531" i="7950"/>
  <c r="W747" i="7950"/>
  <c r="W723" i="7950"/>
  <c r="W855" i="7950"/>
  <c r="W831" i="7950"/>
  <c r="W1179" i="7950"/>
  <c r="W1155" i="7950"/>
  <c r="W2205" i="7950"/>
  <c r="W2181" i="7950"/>
  <c r="W1047" i="7950"/>
  <c r="W1071" i="7950"/>
  <c r="W399" i="7950"/>
  <c r="W423" i="7950"/>
  <c r="W2043" i="7950"/>
  <c r="W2019" i="7950"/>
  <c r="W1857" i="7950"/>
  <c r="W1881" i="7950"/>
  <c r="W2559" i="7950"/>
  <c r="W2583" i="7950"/>
  <c r="W939" i="7950"/>
  <c r="W963" i="7950"/>
  <c r="W585" i="7950"/>
  <c r="W561" i="7950"/>
  <c r="W2397" i="7950"/>
  <c r="W2421" i="7950"/>
  <c r="W1557" i="7950"/>
  <c r="W1533" i="7950"/>
  <c r="W615" i="7950"/>
  <c r="W639" i="7950"/>
  <c r="W100" i="7950"/>
  <c r="W76" i="7950"/>
  <c r="W801" i="7950"/>
  <c r="W777" i="7950"/>
  <c r="W1827" i="7950"/>
  <c r="W1803" i="7950"/>
  <c r="W1479" i="7950"/>
  <c r="W1503" i="7950"/>
  <c r="W1695" i="7950"/>
  <c r="W1719" i="7950"/>
  <c r="V237" i="7950"/>
  <c r="V261" i="7950"/>
  <c r="W1665" i="7950"/>
  <c r="W1641" i="7950"/>
  <c r="O119" i="7941"/>
  <c r="P25" i="7941"/>
  <c r="O370" i="7941"/>
  <c r="O366" i="7941"/>
  <c r="O154" i="7941"/>
  <c r="P760" i="18"/>
  <c r="P1126" i="18" s="1"/>
  <c r="P151" i="7941"/>
  <c r="Q757" i="18"/>
  <c r="Q1123" i="18" s="1"/>
  <c r="Q861" i="18" s="1"/>
  <c r="Q151" i="7941" s="1"/>
  <c r="O147" i="7941"/>
  <c r="P43" i="7941" s="1"/>
  <c r="P753" i="18"/>
  <c r="P1119" i="18" s="1"/>
  <c r="O336" i="7941"/>
  <c r="P22" i="7941"/>
  <c r="O1114" i="18"/>
  <c r="O152" i="7941"/>
  <c r="P758" i="18"/>
  <c r="P870" i="18"/>
  <c r="O1096" i="18"/>
  <c r="O834" i="18" s="1"/>
  <c r="O38" i="7941"/>
  <c r="N352" i="7941"/>
  <c r="O150" i="7941"/>
  <c r="P46" i="7941" s="1"/>
  <c r="P756" i="18"/>
  <c r="P1122" i="18" s="1"/>
  <c r="O120" i="7941"/>
  <c r="P726" i="18"/>
  <c r="N871" i="18"/>
  <c r="P742" i="18"/>
  <c r="P1108" i="18" s="1"/>
  <c r="O136" i="7941"/>
  <c r="O20" i="7941"/>
  <c r="N334" i="7941"/>
  <c r="N1115" i="18"/>
  <c r="P1098" i="18"/>
  <c r="P836" i="18" s="1"/>
  <c r="O844" i="18"/>
  <c r="P735" i="18"/>
  <c r="P1101" i="18" s="1"/>
  <c r="P839" i="18" s="1"/>
  <c r="P529" i="7942"/>
  <c r="Q529" i="7942" s="1"/>
  <c r="Q530" i="7942" s="1"/>
  <c r="Q579" i="7941" s="1"/>
  <c r="Q524" i="7942"/>
  <c r="Q576" i="7941" s="1"/>
  <c r="O524" i="7942"/>
  <c r="P524" i="7942"/>
  <c r="S2659" i="7950"/>
  <c r="S2605" i="7950"/>
  <c r="S2551" i="7950"/>
  <c r="S2497" i="7950"/>
  <c r="S2443" i="7950"/>
  <c r="S2389" i="7950"/>
  <c r="S2335" i="7950"/>
  <c r="S2281" i="7950"/>
  <c r="S2227" i="7950"/>
  <c r="S2173" i="7950"/>
  <c r="S2119" i="7950"/>
  <c r="S2065" i="7950"/>
  <c r="S2011" i="7950"/>
  <c r="S1957" i="7950"/>
  <c r="S1903" i="7950"/>
  <c r="S1849" i="7950"/>
  <c r="S1795" i="7950"/>
  <c r="S1741" i="7950"/>
  <c r="S1687" i="7950"/>
  <c r="S1633" i="7950"/>
  <c r="S1579" i="7950"/>
  <c r="S1525" i="7950"/>
  <c r="S1471" i="7950"/>
  <c r="S1417" i="7950"/>
  <c r="S1363" i="7950"/>
  <c r="S1309" i="7950"/>
  <c r="S1255" i="7950"/>
  <c r="S1201" i="7950"/>
  <c r="S1147" i="7950"/>
  <c r="S1093" i="7950"/>
  <c r="S1039" i="7950"/>
  <c r="S985" i="7950"/>
  <c r="S931" i="7950"/>
  <c r="S877" i="7950"/>
  <c r="S823" i="7950"/>
  <c r="S769" i="7950"/>
  <c r="S715" i="7950"/>
  <c r="S661" i="7950"/>
  <c r="S607" i="7950"/>
  <c r="S553" i="7950"/>
  <c r="S499" i="7950"/>
  <c r="S445" i="7950"/>
  <c r="S391" i="7950"/>
  <c r="S337" i="7950"/>
  <c r="S283" i="7950"/>
  <c r="S229" i="7950"/>
  <c r="S175" i="7950"/>
  <c r="S13" i="7950"/>
  <c r="S2664" i="7949"/>
  <c r="S2610" i="7949"/>
  <c r="S2556" i="7949"/>
  <c r="S2502" i="7949"/>
  <c r="S2448" i="7949"/>
  <c r="S2394" i="7949"/>
  <c r="S2340" i="7949"/>
  <c r="S2286" i="7949"/>
  <c r="S2232" i="7949"/>
  <c r="S2178" i="7949"/>
  <c r="S2124" i="7949"/>
  <c r="S2070" i="7949"/>
  <c r="S2016" i="7949"/>
  <c r="S1962" i="7949"/>
  <c r="S1908" i="7949"/>
  <c r="S1854" i="7949"/>
  <c r="S1800" i="7949"/>
  <c r="S1746" i="7949"/>
  <c r="S1692" i="7949"/>
  <c r="S1638" i="7949"/>
  <c r="S1584" i="7949"/>
  <c r="S1530" i="7949"/>
  <c r="S1476" i="7949"/>
  <c r="S1422" i="7949"/>
  <c r="S1368" i="7949"/>
  <c r="S1314" i="7949"/>
  <c r="S1260" i="7949"/>
  <c r="S1206" i="7949"/>
  <c r="S1152" i="7949"/>
  <c r="S1098" i="7949"/>
  <c r="S1044" i="7949"/>
  <c r="S990" i="7949"/>
  <c r="S936" i="7949"/>
  <c r="S882" i="7949"/>
  <c r="S828" i="7949"/>
  <c r="S774" i="7949"/>
  <c r="S720" i="7949"/>
  <c r="S666" i="7949"/>
  <c r="S612" i="7949"/>
  <c r="S558" i="7949"/>
  <c r="S504" i="7949"/>
  <c r="S450" i="7949"/>
  <c r="S396" i="7949"/>
  <c r="S342" i="7949"/>
  <c r="S288" i="7949"/>
  <c r="S234" i="7949"/>
  <c r="S18" i="7949"/>
  <c r="S72" i="7949"/>
  <c r="S2359" i="7950"/>
  <c r="S1819" i="7950"/>
  <c r="S631" i="7950"/>
  <c r="S415" i="7950"/>
  <c r="S199" i="7950"/>
  <c r="R91" i="7950"/>
  <c r="S2634" i="7949"/>
  <c r="S2526" i="7949"/>
  <c r="S2094" i="7949"/>
  <c r="S1986" i="7949"/>
  <c r="S1770" i="7949"/>
  <c r="S1338" i="7949"/>
  <c r="S1230" i="7949"/>
  <c r="S690" i="7949"/>
  <c r="S474" i="7949"/>
  <c r="S366" i="7949"/>
  <c r="S258" i="7949"/>
  <c r="S2418" i="7949"/>
  <c r="S2310" i="7949"/>
  <c r="S2202" i="7949"/>
  <c r="S1878" i="7949"/>
  <c r="S1662" i="7949"/>
  <c r="S1554" i="7949"/>
  <c r="S1446" i="7949"/>
  <c r="S1122" i="7949"/>
  <c r="S1014" i="7949"/>
  <c r="S906" i="7949"/>
  <c r="S798" i="7949"/>
  <c r="S582" i="7949"/>
  <c r="S2580" i="7949"/>
  <c r="S2256" i="7949"/>
  <c r="S1932" i="7949"/>
  <c r="S1716" i="7949"/>
  <c r="S1392" i="7949"/>
  <c r="S636" i="7949"/>
  <c r="S180" i="7949"/>
  <c r="R67" i="7950"/>
  <c r="S2413" i="7950"/>
  <c r="S2305" i="7950"/>
  <c r="S1495" i="7950"/>
  <c r="S1279" i="7950"/>
  <c r="S1711" i="7950"/>
  <c r="S1225" i="7950"/>
  <c r="S577" i="7950"/>
  <c r="S253" i="7950"/>
  <c r="S1549" i="7950"/>
  <c r="S2364" i="7949"/>
  <c r="S2148" i="7949"/>
  <c r="S1608" i="7949"/>
  <c r="S1176" i="7949"/>
  <c r="S960" i="7949"/>
  <c r="S528" i="7949"/>
  <c r="S96" i="7949"/>
  <c r="S1171" i="7950"/>
  <c r="S150" i="7949"/>
  <c r="S42" i="7949"/>
  <c r="S2467" i="7950"/>
  <c r="S2143" i="7950"/>
  <c r="S1927" i="7950"/>
  <c r="S1333" i="7950"/>
  <c r="S739" i="7950"/>
  <c r="S2521" i="7950"/>
  <c r="S2089" i="7950"/>
  <c r="S1387" i="7950"/>
  <c r="S1765" i="7950"/>
  <c r="S2472" i="7949"/>
  <c r="S2040" i="7949"/>
  <c r="S1500" i="7949"/>
  <c r="S744" i="7949"/>
  <c r="S312" i="7949"/>
  <c r="S2575" i="7950"/>
  <c r="S1603" i="7950"/>
  <c r="S523" i="7950"/>
  <c r="S307" i="7950"/>
  <c r="S955" i="7950"/>
  <c r="S1009" i="7950"/>
  <c r="S361" i="7950"/>
  <c r="S145" i="7950"/>
  <c r="S847" i="7950"/>
  <c r="S2688" i="7949"/>
  <c r="S1824" i="7949"/>
  <c r="S1284" i="7949"/>
  <c r="S1068" i="7949"/>
  <c r="S852" i="7949"/>
  <c r="S420" i="7949"/>
  <c r="S2683" i="7950"/>
  <c r="S2251" i="7950"/>
  <c r="S2035" i="7950"/>
  <c r="S1441" i="7950"/>
  <c r="S1117" i="7950"/>
  <c r="S901" i="7950"/>
  <c r="S1657" i="7950"/>
  <c r="S2629" i="7950"/>
  <c r="S2197" i="7950"/>
  <c r="S1981" i="7950"/>
  <c r="S1873" i="7950"/>
  <c r="S793" i="7950"/>
  <c r="S685" i="7950"/>
  <c r="S469" i="7950"/>
  <c r="S1063" i="7950"/>
  <c r="S37" i="7950"/>
  <c r="R755" i="18"/>
  <c r="O155" i="7941"/>
  <c r="P761" i="18"/>
  <c r="P1127" i="18" s="1"/>
  <c r="P18" i="7941"/>
  <c r="O332" i="7941"/>
  <c r="P28" i="7941"/>
  <c r="O342" i="7941"/>
  <c r="P33" i="7941"/>
  <c r="O347" i="7941"/>
  <c r="P15" i="7941"/>
  <c r="O329" i="7941"/>
  <c r="P21" i="7941"/>
  <c r="O335" i="7941"/>
  <c r="P42" i="7941"/>
  <c r="O356" i="7941"/>
  <c r="P145" i="7941"/>
  <c r="Q751" i="18"/>
  <c r="Q1117" i="18" s="1"/>
  <c r="O148" i="7941"/>
  <c r="P754" i="18"/>
  <c r="P1120" i="18" s="1"/>
  <c r="O123" i="7941"/>
  <c r="P729" i="18"/>
  <c r="P1095" i="18" s="1"/>
  <c r="O158" i="7941"/>
  <c r="P764" i="18"/>
  <c r="P1130" i="18" s="1"/>
  <c r="P35" i="7941"/>
  <c r="O349" i="7941"/>
  <c r="P17" i="7941"/>
  <c r="O331" i="7941"/>
  <c r="P24" i="7941"/>
  <c r="O338" i="7941"/>
  <c r="P49" i="7941"/>
  <c r="O363" i="7941"/>
  <c r="P26" i="7941"/>
  <c r="O340" i="7941"/>
  <c r="P40" i="7941"/>
  <c r="O354" i="7941"/>
  <c r="O157" i="7941"/>
  <c r="P763" i="18"/>
  <c r="P1129" i="18" s="1"/>
  <c r="O341" i="7941"/>
  <c r="P27" i="7941"/>
  <c r="P36" i="7941"/>
  <c r="O350" i="7941"/>
  <c r="O127" i="7941"/>
  <c r="P733" i="18"/>
  <c r="P1099" i="18" s="1"/>
  <c r="P55" i="7941"/>
  <c r="O369" i="7941"/>
  <c r="P37" i="7941"/>
  <c r="O351" i="7941"/>
  <c r="P29" i="7941"/>
  <c r="O343" i="7941"/>
  <c r="O135" i="7941"/>
  <c r="P741" i="18"/>
  <c r="P1107" i="18" s="1"/>
  <c r="O138" i="7941"/>
  <c r="P744" i="18"/>
  <c r="P1110" i="18" s="1"/>
  <c r="P156" i="7941"/>
  <c r="Q762" i="18"/>
  <c r="Q1128" i="18" s="1"/>
  <c r="T121" i="7950" l="1"/>
  <c r="Q2571" i="7949"/>
  <c r="R2571" i="7949" s="1"/>
  <c r="S2571" i="7949" s="1"/>
  <c r="T2571" i="7949" s="1"/>
  <c r="U2571" i="7949" s="1"/>
  <c r="V2571" i="7949" s="1"/>
  <c r="W2571" i="7949" s="1"/>
  <c r="Q1059" i="7949"/>
  <c r="R1059" i="7949" s="1"/>
  <c r="S1059" i="7949" s="1"/>
  <c r="T1059" i="7949" s="1"/>
  <c r="U1059" i="7949" s="1"/>
  <c r="V1059" i="7949" s="1"/>
  <c r="W1059" i="7949" s="1"/>
  <c r="Q2085" i="7949"/>
  <c r="R2085" i="7949" s="1"/>
  <c r="S2085" i="7949" s="1"/>
  <c r="T2085" i="7949" s="1"/>
  <c r="U2085" i="7949" s="1"/>
  <c r="V2085" i="7949" s="1"/>
  <c r="W2085" i="7949" s="1"/>
  <c r="Q87" i="7949"/>
  <c r="R87" i="7949" s="1"/>
  <c r="S87" i="7949" s="1"/>
  <c r="T87" i="7949" s="1"/>
  <c r="U87" i="7949" s="1"/>
  <c r="V87" i="7949" s="1"/>
  <c r="W87" i="7949" s="1"/>
  <c r="Q519" i="7949"/>
  <c r="R519" i="7949" s="1"/>
  <c r="S519" i="7949" s="1"/>
  <c r="T519" i="7949" s="1"/>
  <c r="U519" i="7949" s="1"/>
  <c r="V519" i="7949" s="1"/>
  <c r="W519" i="7949" s="1"/>
  <c r="Q1923" i="7949"/>
  <c r="R1923" i="7949" s="1"/>
  <c r="S1923" i="7949" s="1"/>
  <c r="T1923" i="7949" s="1"/>
  <c r="U1923" i="7949" s="1"/>
  <c r="V1923" i="7949" s="1"/>
  <c r="W1923" i="7949" s="1"/>
  <c r="Q411" i="7949"/>
  <c r="R411" i="7949" s="1"/>
  <c r="S411" i="7949" s="1"/>
  <c r="T411" i="7949" s="1"/>
  <c r="U411" i="7949" s="1"/>
  <c r="V411" i="7949" s="1"/>
  <c r="W411" i="7949" s="1"/>
  <c r="Q1113" i="7949"/>
  <c r="R1113" i="7949" s="1"/>
  <c r="S1113" i="7949" s="1"/>
  <c r="T1113" i="7949" s="1"/>
  <c r="U1113" i="7949" s="1"/>
  <c r="V1113" i="7949" s="1"/>
  <c r="W1113" i="7949" s="1"/>
  <c r="Q2625" i="7949"/>
  <c r="R2625" i="7949" s="1"/>
  <c r="S2625" i="7949" s="1"/>
  <c r="T2625" i="7949" s="1"/>
  <c r="U2625" i="7949" s="1"/>
  <c r="V2625" i="7949" s="1"/>
  <c r="W2625" i="7949" s="1"/>
  <c r="Q1167" i="7949"/>
  <c r="R1167" i="7949" s="1"/>
  <c r="S1167" i="7949" s="1"/>
  <c r="T1167" i="7949" s="1"/>
  <c r="U1167" i="7949" s="1"/>
  <c r="V1167" i="7949" s="1"/>
  <c r="W1167" i="7949" s="1"/>
  <c r="Q1707" i="7949"/>
  <c r="R1707" i="7949" s="1"/>
  <c r="S1707" i="7949" s="1"/>
  <c r="T1707" i="7949" s="1"/>
  <c r="U1707" i="7949" s="1"/>
  <c r="V1707" i="7949" s="1"/>
  <c r="W1707" i="7949" s="1"/>
  <c r="R10" i="7949"/>
  <c r="Q627" i="7949"/>
  <c r="R627" i="7949" s="1"/>
  <c r="S627" i="7949" s="1"/>
  <c r="T627" i="7949" s="1"/>
  <c r="U627" i="7949" s="1"/>
  <c r="V627" i="7949" s="1"/>
  <c r="W627" i="7949" s="1"/>
  <c r="Q2301" i="7949"/>
  <c r="R2301" i="7949" s="1"/>
  <c r="S2301" i="7949" s="1"/>
  <c r="T2301" i="7949" s="1"/>
  <c r="U2301" i="7949" s="1"/>
  <c r="V2301" i="7949" s="1"/>
  <c r="W2301" i="7949" s="1"/>
  <c r="Q2247" i="7949"/>
  <c r="R2247" i="7949" s="1"/>
  <c r="S2247" i="7949" s="1"/>
  <c r="T2247" i="7949" s="1"/>
  <c r="U2247" i="7949" s="1"/>
  <c r="V2247" i="7949" s="1"/>
  <c r="W2247" i="7949" s="1"/>
  <c r="Q1977" i="7949"/>
  <c r="R1977" i="7949" s="1"/>
  <c r="S1977" i="7949" s="1"/>
  <c r="T1977" i="7949" s="1"/>
  <c r="U1977" i="7949" s="1"/>
  <c r="V1977" i="7949" s="1"/>
  <c r="W1977" i="7949" s="1"/>
  <c r="Q735" i="7949"/>
  <c r="R735" i="7949" s="1"/>
  <c r="S735" i="7949" s="1"/>
  <c r="T735" i="7949" s="1"/>
  <c r="U735" i="7949" s="1"/>
  <c r="V735" i="7949" s="1"/>
  <c r="W735" i="7949" s="1"/>
  <c r="Q1869" i="7949"/>
  <c r="R1869" i="7949" s="1"/>
  <c r="S1869" i="7949" s="1"/>
  <c r="T1869" i="7949" s="1"/>
  <c r="U1869" i="7949" s="1"/>
  <c r="V1869" i="7949" s="1"/>
  <c r="W1869" i="7949" s="1"/>
  <c r="Q1599" i="7949"/>
  <c r="R1599" i="7949" s="1"/>
  <c r="S1599" i="7949" s="1"/>
  <c r="T1599" i="7949" s="1"/>
  <c r="U1599" i="7949" s="1"/>
  <c r="V1599" i="7949" s="1"/>
  <c r="W1599" i="7949" s="1"/>
  <c r="Q141" i="7949"/>
  <c r="R141" i="7949" s="1"/>
  <c r="S141" i="7949" s="1"/>
  <c r="T141" i="7949" s="1"/>
  <c r="U141" i="7949" s="1"/>
  <c r="V141" i="7949" s="1"/>
  <c r="W141" i="7949" s="1"/>
  <c r="Q1275" i="7949"/>
  <c r="R1275" i="7949" s="1"/>
  <c r="S1275" i="7949" s="1"/>
  <c r="T1275" i="7949" s="1"/>
  <c r="U1275" i="7949" s="1"/>
  <c r="V1275" i="7949" s="1"/>
  <c r="W1275" i="7949" s="1"/>
  <c r="Q2355" i="7949"/>
  <c r="R2355" i="7949" s="1"/>
  <c r="S2355" i="7949" s="1"/>
  <c r="T2355" i="7949" s="1"/>
  <c r="U2355" i="7949" s="1"/>
  <c r="V2355" i="7949" s="1"/>
  <c r="W2355" i="7949" s="1"/>
  <c r="Q843" i="7949"/>
  <c r="R843" i="7949" s="1"/>
  <c r="S843" i="7949" s="1"/>
  <c r="T843" i="7949" s="1"/>
  <c r="U843" i="7949" s="1"/>
  <c r="V843" i="7949" s="1"/>
  <c r="W843" i="7949" s="1"/>
  <c r="Q1761" i="7949"/>
  <c r="R1761" i="7949" s="1"/>
  <c r="S1761" i="7949" s="1"/>
  <c r="T1761" i="7949" s="1"/>
  <c r="U1761" i="7949" s="1"/>
  <c r="V1761" i="7949" s="1"/>
  <c r="W1761" i="7949" s="1"/>
  <c r="Q2409" i="7949"/>
  <c r="R2409" i="7949" s="1"/>
  <c r="S2409" i="7949" s="1"/>
  <c r="T2409" i="7949" s="1"/>
  <c r="U2409" i="7949" s="1"/>
  <c r="V2409" i="7949" s="1"/>
  <c r="W2409" i="7949" s="1"/>
  <c r="Q1383" i="7949"/>
  <c r="R1383" i="7949" s="1"/>
  <c r="S1383" i="7949" s="1"/>
  <c r="T1383" i="7949" s="1"/>
  <c r="U1383" i="7949" s="1"/>
  <c r="V1383" i="7949" s="1"/>
  <c r="W1383" i="7949" s="1"/>
  <c r="Q1815" i="7949"/>
  <c r="R1815" i="7949" s="1"/>
  <c r="S1815" i="7949" s="1"/>
  <c r="T1815" i="7949" s="1"/>
  <c r="U1815" i="7949" s="1"/>
  <c r="V1815" i="7949" s="1"/>
  <c r="W1815" i="7949" s="1"/>
  <c r="Q195" i="7949"/>
  <c r="R195" i="7949" s="1"/>
  <c r="S195" i="7949" s="1"/>
  <c r="T195" i="7949" s="1"/>
  <c r="U195" i="7949" s="1"/>
  <c r="V195" i="7949" s="1"/>
  <c r="W195" i="7949" s="1"/>
  <c r="Q951" i="7949"/>
  <c r="R951" i="7949" s="1"/>
  <c r="S951" i="7949" s="1"/>
  <c r="T951" i="7949" s="1"/>
  <c r="U951" i="7949" s="1"/>
  <c r="V951" i="7949" s="1"/>
  <c r="W951" i="7949" s="1"/>
  <c r="Q2463" i="7949"/>
  <c r="R2463" i="7949" s="1"/>
  <c r="S2463" i="7949" s="1"/>
  <c r="T2463" i="7949" s="1"/>
  <c r="U2463" i="7949" s="1"/>
  <c r="V2463" i="7949" s="1"/>
  <c r="W2463" i="7949" s="1"/>
  <c r="Q897" i="7949"/>
  <c r="R897" i="7949" s="1"/>
  <c r="S897" i="7949" s="1"/>
  <c r="T897" i="7949" s="1"/>
  <c r="U897" i="7949" s="1"/>
  <c r="V897" i="7949" s="1"/>
  <c r="W897" i="7949" s="1"/>
  <c r="Q357" i="7949"/>
  <c r="R357" i="7949" s="1"/>
  <c r="S357" i="7949" s="1"/>
  <c r="T357" i="7949" s="1"/>
  <c r="U357" i="7949" s="1"/>
  <c r="V357" i="7949" s="1"/>
  <c r="W357" i="7949" s="1"/>
  <c r="Q1545" i="7949"/>
  <c r="R1545" i="7949" s="1"/>
  <c r="S1545" i="7949" s="1"/>
  <c r="T1545" i="7949" s="1"/>
  <c r="U1545" i="7949" s="1"/>
  <c r="V1545" i="7949" s="1"/>
  <c r="W1545" i="7949" s="1"/>
  <c r="Q2517" i="7949"/>
  <c r="R2517" i="7949" s="1"/>
  <c r="S2517" i="7949" s="1"/>
  <c r="T2517" i="7949" s="1"/>
  <c r="U2517" i="7949" s="1"/>
  <c r="V2517" i="7949" s="1"/>
  <c r="W2517" i="7949" s="1"/>
  <c r="Q465" i="7949"/>
  <c r="R465" i="7949" s="1"/>
  <c r="S465" i="7949" s="1"/>
  <c r="T465" i="7949" s="1"/>
  <c r="U465" i="7949" s="1"/>
  <c r="V465" i="7949" s="1"/>
  <c r="W465" i="7949" s="1"/>
  <c r="Q2139" i="7949"/>
  <c r="R2139" i="7949" s="1"/>
  <c r="S2139" i="7949" s="1"/>
  <c r="T2139" i="7949" s="1"/>
  <c r="U2139" i="7949" s="1"/>
  <c r="V2139" i="7949" s="1"/>
  <c r="W2139" i="7949" s="1"/>
  <c r="Q249" i="7949"/>
  <c r="R249" i="7949" s="1"/>
  <c r="S249" i="7949" s="1"/>
  <c r="T249" i="7949" s="1"/>
  <c r="U249" i="7949" s="1"/>
  <c r="V249" i="7949" s="1"/>
  <c r="W249" i="7949" s="1"/>
  <c r="Q1005" i="7949"/>
  <c r="R1005" i="7949" s="1"/>
  <c r="S1005" i="7949" s="1"/>
  <c r="T1005" i="7949" s="1"/>
  <c r="U1005" i="7949" s="1"/>
  <c r="V1005" i="7949" s="1"/>
  <c r="W1005" i="7949" s="1"/>
  <c r="Q2031" i="7949"/>
  <c r="R2031" i="7949" s="1"/>
  <c r="S2031" i="7949" s="1"/>
  <c r="T2031" i="7949" s="1"/>
  <c r="U2031" i="7949" s="1"/>
  <c r="V2031" i="7949" s="1"/>
  <c r="W2031" i="7949" s="1"/>
  <c r="Q573" i="7949"/>
  <c r="R573" i="7949" s="1"/>
  <c r="S573" i="7949" s="1"/>
  <c r="T573" i="7949" s="1"/>
  <c r="U573" i="7949" s="1"/>
  <c r="V573" i="7949" s="1"/>
  <c r="W573" i="7949" s="1"/>
  <c r="Q1653" i="7949"/>
  <c r="R1653" i="7949" s="1"/>
  <c r="S1653" i="7949" s="1"/>
  <c r="T1653" i="7949" s="1"/>
  <c r="U1653" i="7949" s="1"/>
  <c r="V1653" i="7949" s="1"/>
  <c r="W1653" i="7949" s="1"/>
  <c r="Q2679" i="7949"/>
  <c r="R2679" i="7949" s="1"/>
  <c r="S2679" i="7949" s="1"/>
  <c r="T2679" i="7949" s="1"/>
  <c r="U2679" i="7949" s="1"/>
  <c r="V2679" i="7949" s="1"/>
  <c r="W2679" i="7949" s="1"/>
  <c r="Q1221" i="7949"/>
  <c r="R1221" i="7949" s="1"/>
  <c r="S1221" i="7949" s="1"/>
  <c r="T1221" i="7949" s="1"/>
  <c r="U1221" i="7949" s="1"/>
  <c r="V1221" i="7949" s="1"/>
  <c r="W1221" i="7949" s="1"/>
  <c r="Q2193" i="7949"/>
  <c r="R2193" i="7949" s="1"/>
  <c r="S2193" i="7949" s="1"/>
  <c r="T2193" i="7949" s="1"/>
  <c r="U2193" i="7949" s="1"/>
  <c r="V2193" i="7949" s="1"/>
  <c r="W2193" i="7949" s="1"/>
  <c r="Q303" i="7949"/>
  <c r="R303" i="7949" s="1"/>
  <c r="S303" i="7949" s="1"/>
  <c r="T303" i="7949" s="1"/>
  <c r="U303" i="7949" s="1"/>
  <c r="V303" i="7949" s="1"/>
  <c r="W303" i="7949" s="1"/>
  <c r="Q681" i="7949"/>
  <c r="R681" i="7949" s="1"/>
  <c r="S681" i="7949" s="1"/>
  <c r="T681" i="7949" s="1"/>
  <c r="U681" i="7949" s="1"/>
  <c r="V681" i="7949" s="1"/>
  <c r="W681" i="7949" s="1"/>
  <c r="Q789" i="7949"/>
  <c r="R789" i="7949" s="1"/>
  <c r="S789" i="7949" s="1"/>
  <c r="T789" i="7949" s="1"/>
  <c r="U789" i="7949" s="1"/>
  <c r="V789" i="7949" s="1"/>
  <c r="W789" i="7949" s="1"/>
  <c r="Q1437" i="7949"/>
  <c r="R1437" i="7949" s="1"/>
  <c r="S1437" i="7949" s="1"/>
  <c r="T1437" i="7949" s="1"/>
  <c r="U1437" i="7949" s="1"/>
  <c r="V1437" i="7949" s="1"/>
  <c r="W1437" i="7949" s="1"/>
  <c r="Q1329" i="7949"/>
  <c r="R1329" i="7949" s="1"/>
  <c r="S1329" i="7949" s="1"/>
  <c r="T1329" i="7949" s="1"/>
  <c r="U1329" i="7949" s="1"/>
  <c r="V1329" i="7949" s="1"/>
  <c r="W1329" i="7949" s="1"/>
  <c r="Q33" i="7949"/>
  <c r="R33" i="7949" s="1"/>
  <c r="S33" i="7949" s="1"/>
  <c r="T33" i="7949" s="1"/>
  <c r="U33" i="7949" s="1"/>
  <c r="V33" i="7949" s="1"/>
  <c r="W33" i="7949" s="1"/>
  <c r="Q1491" i="7949"/>
  <c r="R1491" i="7949" s="1"/>
  <c r="S1491" i="7949" s="1"/>
  <c r="T1491" i="7949" s="1"/>
  <c r="U1491" i="7949" s="1"/>
  <c r="V1491" i="7949" s="1"/>
  <c r="W1491" i="7949" s="1"/>
  <c r="W237" i="7950"/>
  <c r="W261" i="7950"/>
  <c r="O124" i="7941"/>
  <c r="P20" i="7941" s="1"/>
  <c r="P730" i="18"/>
  <c r="P1096" i="18" s="1"/>
  <c r="P834" i="18" s="1"/>
  <c r="P124" i="7941" s="1"/>
  <c r="P126" i="7941"/>
  <c r="Q22" i="7941" s="1"/>
  <c r="Q732" i="18"/>
  <c r="Q1098" i="18" s="1"/>
  <c r="Q836" i="18" s="1"/>
  <c r="Q126" i="7941" s="1"/>
  <c r="R757" i="18"/>
  <c r="O362" i="7941"/>
  <c r="P48" i="7941"/>
  <c r="O334" i="7941"/>
  <c r="N161" i="7941"/>
  <c r="O767" i="18"/>
  <c r="O1133" i="18" s="1"/>
  <c r="P860" i="18"/>
  <c r="P160" i="7941"/>
  <c r="Q766" i="18"/>
  <c r="P336" i="7941"/>
  <c r="Q47" i="7941"/>
  <c r="P361" i="7941"/>
  <c r="P846" i="18"/>
  <c r="P136" i="7941" s="1"/>
  <c r="P864" i="18"/>
  <c r="O134" i="7941"/>
  <c r="P740" i="18"/>
  <c r="P857" i="18"/>
  <c r="P147" i="7941" s="1"/>
  <c r="Q43" i="7941" s="1"/>
  <c r="O360" i="7941"/>
  <c r="O330" i="7941"/>
  <c r="P16" i="7941"/>
  <c r="P50" i="7941"/>
  <c r="O364" i="7941"/>
  <c r="N853" i="18"/>
  <c r="O357" i="7941"/>
  <c r="P32" i="7941"/>
  <c r="O346" i="7941"/>
  <c r="P1092" i="18"/>
  <c r="P1124" i="18"/>
  <c r="P862" i="18" s="1"/>
  <c r="O852" i="18"/>
  <c r="Q753" i="18"/>
  <c r="Q1119" i="18" s="1"/>
  <c r="Q857" i="18" s="1"/>
  <c r="P530" i="7942"/>
  <c r="T2659" i="7950"/>
  <c r="T2605" i="7950"/>
  <c r="T2551" i="7950"/>
  <c r="T2497" i="7950"/>
  <c r="T2443" i="7950"/>
  <c r="T2389" i="7950"/>
  <c r="T2335" i="7950"/>
  <c r="T2281" i="7950"/>
  <c r="T2227" i="7950"/>
  <c r="T2173" i="7950"/>
  <c r="T2119" i="7950"/>
  <c r="T2065" i="7950"/>
  <c r="T2011" i="7950"/>
  <c r="T1957" i="7950"/>
  <c r="T1903" i="7950"/>
  <c r="T1849" i="7950"/>
  <c r="T1795" i="7950"/>
  <c r="T1741" i="7950"/>
  <c r="T1687" i="7950"/>
  <c r="T1633" i="7950"/>
  <c r="T1579" i="7950"/>
  <c r="T1525" i="7950"/>
  <c r="T1471" i="7950"/>
  <c r="T1417" i="7950"/>
  <c r="T1363" i="7950"/>
  <c r="T1309" i="7950"/>
  <c r="T1255" i="7950"/>
  <c r="T1201" i="7950"/>
  <c r="T1147" i="7950"/>
  <c r="T1093" i="7950"/>
  <c r="T1039" i="7950"/>
  <c r="T985" i="7950"/>
  <c r="T931" i="7950"/>
  <c r="T877" i="7950"/>
  <c r="T823" i="7950"/>
  <c r="T769" i="7950"/>
  <c r="T715" i="7950"/>
  <c r="T661" i="7950"/>
  <c r="T607" i="7950"/>
  <c r="T553" i="7950"/>
  <c r="T499" i="7950"/>
  <c r="T445" i="7950"/>
  <c r="T391" i="7950"/>
  <c r="T337" i="7950"/>
  <c r="T283" i="7950"/>
  <c r="T229" i="7950"/>
  <c r="T175" i="7950"/>
  <c r="S67" i="7950"/>
  <c r="T13" i="7950"/>
  <c r="T2664" i="7949"/>
  <c r="T2610" i="7949"/>
  <c r="T2556" i="7949"/>
  <c r="T2502" i="7949"/>
  <c r="T2448" i="7949"/>
  <c r="T2394" i="7949"/>
  <c r="T2340" i="7949"/>
  <c r="T2286" i="7949"/>
  <c r="T2232" i="7949"/>
  <c r="T2178" i="7949"/>
  <c r="T2124" i="7949"/>
  <c r="T2070" i="7949"/>
  <c r="T2016" i="7949"/>
  <c r="T1962" i="7949"/>
  <c r="T1908" i="7949"/>
  <c r="T1854" i="7949"/>
  <c r="T1800" i="7949"/>
  <c r="T1746" i="7949"/>
  <c r="T1692" i="7949"/>
  <c r="T1638" i="7949"/>
  <c r="T1584" i="7949"/>
  <c r="T1530" i="7949"/>
  <c r="T1476" i="7949"/>
  <c r="T1422" i="7949"/>
  <c r="T1368" i="7949"/>
  <c r="T1314" i="7949"/>
  <c r="T1260" i="7949"/>
  <c r="T1206" i="7949"/>
  <c r="T1152" i="7949"/>
  <c r="T1098" i="7949"/>
  <c r="T1044" i="7949"/>
  <c r="T990" i="7949"/>
  <c r="T936" i="7949"/>
  <c r="T882" i="7949"/>
  <c r="T828" i="7949"/>
  <c r="T774" i="7949"/>
  <c r="T720" i="7949"/>
  <c r="T666" i="7949"/>
  <c r="T612" i="7949"/>
  <c r="T558" i="7949"/>
  <c r="T504" i="7949"/>
  <c r="T450" i="7949"/>
  <c r="T396" i="7949"/>
  <c r="T342" i="7949"/>
  <c r="T288" i="7949"/>
  <c r="T234" i="7949"/>
  <c r="T18" i="7949"/>
  <c r="T72" i="7949"/>
  <c r="T37" i="7950"/>
  <c r="T1063" i="7950"/>
  <c r="T469" i="7950"/>
  <c r="T685" i="7950"/>
  <c r="T793" i="7950"/>
  <c r="T1873" i="7950"/>
  <c r="T1981" i="7950"/>
  <c r="T2197" i="7950"/>
  <c r="T2629" i="7950"/>
  <c r="T1657" i="7950"/>
  <c r="T901" i="7950"/>
  <c r="T1117" i="7950"/>
  <c r="T1441" i="7950"/>
  <c r="T2035" i="7950"/>
  <c r="T2251" i="7950"/>
  <c r="T2683" i="7950"/>
  <c r="T420" i="7949"/>
  <c r="T852" i="7949"/>
  <c r="T1068" i="7949"/>
  <c r="T1284" i="7949"/>
  <c r="T1824" i="7949"/>
  <c r="T2688" i="7949"/>
  <c r="T847" i="7950"/>
  <c r="T145" i="7950"/>
  <c r="T361" i="7950"/>
  <c r="T1009" i="7950"/>
  <c r="T955" i="7950"/>
  <c r="T307" i="7950"/>
  <c r="T523" i="7950"/>
  <c r="T1603" i="7950"/>
  <c r="T2575" i="7950"/>
  <c r="T312" i="7949"/>
  <c r="T744" i="7949"/>
  <c r="T1500" i="7949"/>
  <c r="T2040" i="7949"/>
  <c r="T2472" i="7949"/>
  <c r="T1765" i="7950"/>
  <c r="T1387" i="7950"/>
  <c r="T2089" i="7950"/>
  <c r="T2521" i="7950"/>
  <c r="T739" i="7950"/>
  <c r="T1333" i="7950"/>
  <c r="T1927" i="7950"/>
  <c r="T2143" i="7950"/>
  <c r="T2467" i="7950"/>
  <c r="T42" i="7949"/>
  <c r="T150" i="7949"/>
  <c r="T1171" i="7950"/>
  <c r="T96" i="7949"/>
  <c r="T528" i="7949"/>
  <c r="T960" i="7949"/>
  <c r="T1176" i="7949"/>
  <c r="T1608" i="7949"/>
  <c r="T2148" i="7949"/>
  <c r="T2364" i="7949"/>
  <c r="T1549" i="7950"/>
  <c r="T253" i="7950"/>
  <c r="T577" i="7950"/>
  <c r="T1225" i="7950"/>
  <c r="T1711" i="7950"/>
  <c r="T1279" i="7950"/>
  <c r="T1495" i="7950"/>
  <c r="T2305" i="7950"/>
  <c r="T2413" i="7950"/>
  <c r="T180" i="7949"/>
  <c r="T636" i="7949"/>
  <c r="T1392" i="7949"/>
  <c r="T1716" i="7949"/>
  <c r="T1932" i="7949"/>
  <c r="T2256" i="7949"/>
  <c r="T2580" i="7949"/>
  <c r="T582" i="7949"/>
  <c r="T798" i="7949"/>
  <c r="T906" i="7949"/>
  <c r="T1014" i="7949"/>
  <c r="T1122" i="7949"/>
  <c r="T1446" i="7949"/>
  <c r="T1554" i="7949"/>
  <c r="T1662" i="7949"/>
  <c r="T1878" i="7949"/>
  <c r="T2202" i="7949"/>
  <c r="T2310" i="7949"/>
  <c r="T2418" i="7949"/>
  <c r="T258" i="7949"/>
  <c r="T366" i="7949"/>
  <c r="T474" i="7949"/>
  <c r="T690" i="7949"/>
  <c r="T1230" i="7949"/>
  <c r="T1338" i="7949"/>
  <c r="T1770" i="7949"/>
  <c r="T1986" i="7949"/>
  <c r="T2094" i="7949"/>
  <c r="T2526" i="7949"/>
  <c r="T2634" i="7949"/>
  <c r="S91" i="7950"/>
  <c r="T199" i="7950"/>
  <c r="T415" i="7950"/>
  <c r="T631" i="7950"/>
  <c r="T1819" i="7950"/>
  <c r="T2359" i="7950"/>
  <c r="Q52" i="7941"/>
  <c r="P366" i="7941"/>
  <c r="P34" i="7941"/>
  <c r="O348" i="7941"/>
  <c r="O345" i="7941"/>
  <c r="P31" i="7941"/>
  <c r="O337" i="7941"/>
  <c r="P23" i="7941"/>
  <c r="O367" i="7941"/>
  <c r="P53" i="7941"/>
  <c r="P847" i="18"/>
  <c r="O368" i="7941"/>
  <c r="P54" i="7941"/>
  <c r="P19" i="7941"/>
  <c r="O333" i="7941"/>
  <c r="O358" i="7941"/>
  <c r="P44" i="7941"/>
  <c r="Q41" i="7941"/>
  <c r="P355" i="7941"/>
  <c r="P854" i="18"/>
  <c r="P840" i="18"/>
  <c r="O365" i="7941"/>
  <c r="P51" i="7941"/>
  <c r="Q866" i="18"/>
  <c r="Q156" i="7941" s="1"/>
  <c r="P831" i="18"/>
  <c r="P849" i="18"/>
  <c r="P856" i="18"/>
  <c r="P835" i="18"/>
  <c r="P829" i="18"/>
  <c r="Q742" i="18"/>
  <c r="Q1108" i="18" s="1"/>
  <c r="P842" i="18"/>
  <c r="P832" i="18"/>
  <c r="P129" i="7941"/>
  <c r="Q735" i="18"/>
  <c r="Q1101" i="18" s="1"/>
  <c r="P843" i="18"/>
  <c r="P851" i="18"/>
  <c r="P869" i="18"/>
  <c r="Q855" i="18"/>
  <c r="Q145" i="7941" s="1"/>
  <c r="P850" i="18"/>
  <c r="P841" i="18"/>
  <c r="P863" i="18"/>
  <c r="P838" i="18"/>
  <c r="U121" i="7950" l="1"/>
  <c r="R1762" i="7949"/>
  <c r="S1762" i="7949" s="1"/>
  <c r="T1762" i="7949" s="1"/>
  <c r="U1762" i="7949" s="1"/>
  <c r="V1762" i="7949" s="1"/>
  <c r="W1762" i="7949" s="1"/>
  <c r="R304" i="7949"/>
  <c r="S304" i="7949" s="1"/>
  <c r="T304" i="7949" s="1"/>
  <c r="U304" i="7949" s="1"/>
  <c r="V304" i="7949" s="1"/>
  <c r="W304" i="7949" s="1"/>
  <c r="R844" i="7949"/>
  <c r="S844" i="7949" s="1"/>
  <c r="T844" i="7949" s="1"/>
  <c r="U844" i="7949" s="1"/>
  <c r="V844" i="7949" s="1"/>
  <c r="W844" i="7949" s="1"/>
  <c r="R1708" i="7949"/>
  <c r="S1708" i="7949" s="1"/>
  <c r="T1708" i="7949" s="1"/>
  <c r="U1708" i="7949" s="1"/>
  <c r="V1708" i="7949" s="1"/>
  <c r="W1708" i="7949" s="1"/>
  <c r="R196" i="7949"/>
  <c r="S196" i="7949" s="1"/>
  <c r="T196" i="7949" s="1"/>
  <c r="U196" i="7949" s="1"/>
  <c r="V196" i="7949" s="1"/>
  <c r="W196" i="7949" s="1"/>
  <c r="R2302" i="7949"/>
  <c r="S2302" i="7949" s="1"/>
  <c r="T2302" i="7949" s="1"/>
  <c r="U2302" i="7949" s="1"/>
  <c r="V2302" i="7949" s="1"/>
  <c r="W2302" i="7949" s="1"/>
  <c r="R736" i="7949"/>
  <c r="S736" i="7949" s="1"/>
  <c r="T736" i="7949" s="1"/>
  <c r="U736" i="7949" s="1"/>
  <c r="V736" i="7949" s="1"/>
  <c r="W736" i="7949" s="1"/>
  <c r="R1600" i="7949"/>
  <c r="S1600" i="7949" s="1"/>
  <c r="T1600" i="7949" s="1"/>
  <c r="U1600" i="7949" s="1"/>
  <c r="V1600" i="7949" s="1"/>
  <c r="W1600" i="7949" s="1"/>
  <c r="R574" i="7949"/>
  <c r="S574" i="7949" s="1"/>
  <c r="T574" i="7949" s="1"/>
  <c r="U574" i="7949" s="1"/>
  <c r="V574" i="7949" s="1"/>
  <c r="W574" i="7949" s="1"/>
  <c r="R790" i="7949"/>
  <c r="S790" i="7949" s="1"/>
  <c r="T790" i="7949" s="1"/>
  <c r="U790" i="7949" s="1"/>
  <c r="V790" i="7949" s="1"/>
  <c r="W790" i="7949" s="1"/>
  <c r="S10" i="7949"/>
  <c r="R1060" i="7949"/>
  <c r="S1060" i="7949" s="1"/>
  <c r="T1060" i="7949" s="1"/>
  <c r="U1060" i="7949" s="1"/>
  <c r="V1060" i="7949" s="1"/>
  <c r="W1060" i="7949" s="1"/>
  <c r="R2680" i="7949"/>
  <c r="S2680" i="7949" s="1"/>
  <c r="T2680" i="7949" s="1"/>
  <c r="U2680" i="7949" s="1"/>
  <c r="V2680" i="7949" s="1"/>
  <c r="W2680" i="7949" s="1"/>
  <c r="R2572" i="7949"/>
  <c r="S2572" i="7949" s="1"/>
  <c r="T2572" i="7949" s="1"/>
  <c r="U2572" i="7949" s="1"/>
  <c r="V2572" i="7949" s="1"/>
  <c r="W2572" i="7949" s="1"/>
  <c r="R952" i="7949"/>
  <c r="S952" i="7949" s="1"/>
  <c r="T952" i="7949" s="1"/>
  <c r="U952" i="7949" s="1"/>
  <c r="V952" i="7949" s="1"/>
  <c r="W952" i="7949" s="1"/>
  <c r="R1978" i="7949"/>
  <c r="S1978" i="7949" s="1"/>
  <c r="T1978" i="7949" s="1"/>
  <c r="U1978" i="7949" s="1"/>
  <c r="V1978" i="7949" s="1"/>
  <c r="W1978" i="7949" s="1"/>
  <c r="R1816" i="7949"/>
  <c r="S1816" i="7949" s="1"/>
  <c r="T1816" i="7949" s="1"/>
  <c r="U1816" i="7949" s="1"/>
  <c r="V1816" i="7949" s="1"/>
  <c r="W1816" i="7949" s="1"/>
  <c r="R1492" i="7949"/>
  <c r="S1492" i="7949" s="1"/>
  <c r="T1492" i="7949" s="1"/>
  <c r="U1492" i="7949" s="1"/>
  <c r="V1492" i="7949" s="1"/>
  <c r="W1492" i="7949" s="1"/>
  <c r="R1870" i="7949"/>
  <c r="S1870" i="7949" s="1"/>
  <c r="T1870" i="7949" s="1"/>
  <c r="U1870" i="7949" s="1"/>
  <c r="V1870" i="7949" s="1"/>
  <c r="W1870" i="7949" s="1"/>
  <c r="R2410" i="7949"/>
  <c r="S2410" i="7949" s="1"/>
  <c r="T2410" i="7949" s="1"/>
  <c r="U2410" i="7949" s="1"/>
  <c r="V2410" i="7949" s="1"/>
  <c r="W2410" i="7949" s="1"/>
  <c r="R2032" i="7949"/>
  <c r="S2032" i="7949" s="1"/>
  <c r="T2032" i="7949" s="1"/>
  <c r="U2032" i="7949" s="1"/>
  <c r="V2032" i="7949" s="1"/>
  <c r="W2032" i="7949" s="1"/>
  <c r="R1546" i="7949"/>
  <c r="S1546" i="7949" s="1"/>
  <c r="T1546" i="7949" s="1"/>
  <c r="U1546" i="7949" s="1"/>
  <c r="V1546" i="7949" s="1"/>
  <c r="W1546" i="7949" s="1"/>
  <c r="R2518" i="7949"/>
  <c r="S2518" i="7949" s="1"/>
  <c r="T2518" i="7949" s="1"/>
  <c r="U2518" i="7949" s="1"/>
  <c r="V2518" i="7949" s="1"/>
  <c r="W2518" i="7949" s="1"/>
  <c r="R1276" i="7949"/>
  <c r="S1276" i="7949" s="1"/>
  <c r="T1276" i="7949" s="1"/>
  <c r="U1276" i="7949" s="1"/>
  <c r="V1276" i="7949" s="1"/>
  <c r="W1276" i="7949" s="1"/>
  <c r="R898" i="7949"/>
  <c r="S898" i="7949" s="1"/>
  <c r="T898" i="7949" s="1"/>
  <c r="U898" i="7949" s="1"/>
  <c r="V898" i="7949" s="1"/>
  <c r="W898" i="7949" s="1"/>
  <c r="R2140" i="7949"/>
  <c r="S2140" i="7949" s="1"/>
  <c r="T2140" i="7949" s="1"/>
  <c r="U2140" i="7949" s="1"/>
  <c r="V2140" i="7949" s="1"/>
  <c r="W2140" i="7949" s="1"/>
  <c r="R1654" i="7949"/>
  <c r="S1654" i="7949" s="1"/>
  <c r="T1654" i="7949" s="1"/>
  <c r="U1654" i="7949" s="1"/>
  <c r="V1654" i="7949" s="1"/>
  <c r="W1654" i="7949" s="1"/>
  <c r="R142" i="7949"/>
  <c r="S142" i="7949" s="1"/>
  <c r="T142" i="7949" s="1"/>
  <c r="U142" i="7949" s="1"/>
  <c r="V142" i="7949" s="1"/>
  <c r="W142" i="7949" s="1"/>
  <c r="R682" i="7949"/>
  <c r="S682" i="7949" s="1"/>
  <c r="T682" i="7949" s="1"/>
  <c r="U682" i="7949" s="1"/>
  <c r="V682" i="7949" s="1"/>
  <c r="W682" i="7949" s="1"/>
  <c r="R2464" i="7949"/>
  <c r="S2464" i="7949" s="1"/>
  <c r="T2464" i="7949" s="1"/>
  <c r="U2464" i="7949" s="1"/>
  <c r="V2464" i="7949" s="1"/>
  <c r="W2464" i="7949" s="1"/>
  <c r="R1114" i="7949"/>
  <c r="S1114" i="7949" s="1"/>
  <c r="T1114" i="7949" s="1"/>
  <c r="U1114" i="7949" s="1"/>
  <c r="V1114" i="7949" s="1"/>
  <c r="W1114" i="7949" s="1"/>
  <c r="R2626" i="7949"/>
  <c r="S2626" i="7949" s="1"/>
  <c r="T2626" i="7949" s="1"/>
  <c r="U2626" i="7949" s="1"/>
  <c r="V2626" i="7949" s="1"/>
  <c r="W2626" i="7949" s="1"/>
  <c r="R34" i="7949"/>
  <c r="S34" i="7949" s="1"/>
  <c r="T34" i="7949" s="1"/>
  <c r="U34" i="7949" s="1"/>
  <c r="V34" i="7949" s="1"/>
  <c r="W34" i="7949" s="1"/>
  <c r="R1384" i="7949"/>
  <c r="S1384" i="7949" s="1"/>
  <c r="T1384" i="7949" s="1"/>
  <c r="U1384" i="7949" s="1"/>
  <c r="V1384" i="7949" s="1"/>
  <c r="W1384" i="7949" s="1"/>
  <c r="R1330" i="7949"/>
  <c r="S1330" i="7949" s="1"/>
  <c r="T1330" i="7949" s="1"/>
  <c r="U1330" i="7949" s="1"/>
  <c r="V1330" i="7949" s="1"/>
  <c r="W1330" i="7949" s="1"/>
  <c r="R88" i="7949"/>
  <c r="S88" i="7949" s="1"/>
  <c r="T88" i="7949" s="1"/>
  <c r="U88" i="7949" s="1"/>
  <c r="V88" i="7949" s="1"/>
  <c r="W88" i="7949" s="1"/>
  <c r="R358" i="7949"/>
  <c r="S358" i="7949" s="1"/>
  <c r="T358" i="7949" s="1"/>
  <c r="U358" i="7949" s="1"/>
  <c r="V358" i="7949" s="1"/>
  <c r="W358" i="7949" s="1"/>
  <c r="R1168" i="7949"/>
  <c r="S1168" i="7949" s="1"/>
  <c r="T1168" i="7949" s="1"/>
  <c r="U1168" i="7949" s="1"/>
  <c r="V1168" i="7949" s="1"/>
  <c r="W1168" i="7949" s="1"/>
  <c r="R1924" i="7949"/>
  <c r="S1924" i="7949" s="1"/>
  <c r="T1924" i="7949" s="1"/>
  <c r="U1924" i="7949" s="1"/>
  <c r="V1924" i="7949" s="1"/>
  <c r="W1924" i="7949" s="1"/>
  <c r="R520" i="7949"/>
  <c r="S520" i="7949" s="1"/>
  <c r="T520" i="7949" s="1"/>
  <c r="U520" i="7949" s="1"/>
  <c r="V520" i="7949" s="1"/>
  <c r="W520" i="7949" s="1"/>
  <c r="R2086" i="7949"/>
  <c r="S2086" i="7949" s="1"/>
  <c r="T2086" i="7949" s="1"/>
  <c r="U2086" i="7949" s="1"/>
  <c r="V2086" i="7949" s="1"/>
  <c r="W2086" i="7949" s="1"/>
  <c r="R466" i="7949"/>
  <c r="S466" i="7949" s="1"/>
  <c r="T466" i="7949" s="1"/>
  <c r="U466" i="7949" s="1"/>
  <c r="V466" i="7949" s="1"/>
  <c r="W466" i="7949" s="1"/>
  <c r="R250" i="7949"/>
  <c r="S250" i="7949" s="1"/>
  <c r="T250" i="7949" s="1"/>
  <c r="U250" i="7949" s="1"/>
  <c r="V250" i="7949" s="1"/>
  <c r="W250" i="7949" s="1"/>
  <c r="R628" i="7949"/>
  <c r="S628" i="7949" s="1"/>
  <c r="T628" i="7949" s="1"/>
  <c r="U628" i="7949" s="1"/>
  <c r="V628" i="7949" s="1"/>
  <c r="W628" i="7949" s="1"/>
  <c r="R1222" i="7949"/>
  <c r="S1222" i="7949" s="1"/>
  <c r="T1222" i="7949" s="1"/>
  <c r="U1222" i="7949" s="1"/>
  <c r="V1222" i="7949" s="1"/>
  <c r="W1222" i="7949" s="1"/>
  <c r="R2356" i="7949"/>
  <c r="S2356" i="7949" s="1"/>
  <c r="T2356" i="7949" s="1"/>
  <c r="U2356" i="7949" s="1"/>
  <c r="V2356" i="7949" s="1"/>
  <c r="W2356" i="7949" s="1"/>
  <c r="R1006" i="7949"/>
  <c r="S1006" i="7949" s="1"/>
  <c r="T1006" i="7949" s="1"/>
  <c r="U1006" i="7949" s="1"/>
  <c r="V1006" i="7949" s="1"/>
  <c r="W1006" i="7949" s="1"/>
  <c r="R412" i="7949"/>
  <c r="S412" i="7949" s="1"/>
  <c r="T412" i="7949" s="1"/>
  <c r="U412" i="7949" s="1"/>
  <c r="V412" i="7949" s="1"/>
  <c r="W412" i="7949" s="1"/>
  <c r="R2248" i="7949"/>
  <c r="S2248" i="7949" s="1"/>
  <c r="T2248" i="7949" s="1"/>
  <c r="U2248" i="7949" s="1"/>
  <c r="V2248" i="7949" s="1"/>
  <c r="W2248" i="7949" s="1"/>
  <c r="R2194" i="7949"/>
  <c r="S2194" i="7949" s="1"/>
  <c r="T2194" i="7949" s="1"/>
  <c r="U2194" i="7949" s="1"/>
  <c r="V2194" i="7949" s="1"/>
  <c r="W2194" i="7949" s="1"/>
  <c r="R1438" i="7949"/>
  <c r="S1438" i="7949" s="1"/>
  <c r="T1438" i="7949" s="1"/>
  <c r="U1438" i="7949" s="1"/>
  <c r="V1438" i="7949" s="1"/>
  <c r="W1438" i="7949" s="1"/>
  <c r="P357" i="7941"/>
  <c r="Q730" i="18"/>
  <c r="Q361" i="7941"/>
  <c r="P334" i="7941"/>
  <c r="Q336" i="7941"/>
  <c r="Q20" i="7941"/>
  <c r="Q147" i="7941"/>
  <c r="R753" i="18"/>
  <c r="P152" i="7941"/>
  <c r="Q48" i="7941" s="1"/>
  <c r="Q758" i="18"/>
  <c r="Q1132" i="18"/>
  <c r="Q870" i="18" s="1"/>
  <c r="Q160" i="7941" s="1"/>
  <c r="O142" i="7941"/>
  <c r="P748" i="18"/>
  <c r="P830" i="18"/>
  <c r="P30" i="7941"/>
  <c r="O344" i="7941"/>
  <c r="Q56" i="7941"/>
  <c r="P370" i="7941"/>
  <c r="O57" i="7941"/>
  <c r="N371" i="7941"/>
  <c r="O871" i="18"/>
  <c r="Q760" i="18"/>
  <c r="Q1126" i="18" s="1"/>
  <c r="Q864" i="18" s="1"/>
  <c r="Q154" i="7941" s="1"/>
  <c r="P154" i="7941"/>
  <c r="Q50" i="7941" s="1"/>
  <c r="P150" i="7941"/>
  <c r="Q756" i="18"/>
  <c r="Q1122" i="18" s="1"/>
  <c r="Q860" i="18" s="1"/>
  <c r="Q150" i="7941" s="1"/>
  <c r="P1106" i="18"/>
  <c r="N143" i="7941"/>
  <c r="O749" i="18"/>
  <c r="Q1096" i="18"/>
  <c r="Q834" i="18" s="1"/>
  <c r="R732" i="18"/>
  <c r="U2659" i="7950"/>
  <c r="U2605" i="7950"/>
  <c r="U2551" i="7950"/>
  <c r="U2497" i="7950"/>
  <c r="U2443" i="7950"/>
  <c r="U2389" i="7950"/>
  <c r="U2335" i="7950"/>
  <c r="U2281" i="7950"/>
  <c r="U2227" i="7950"/>
  <c r="U2173" i="7950"/>
  <c r="U2119" i="7950"/>
  <c r="U2065" i="7950"/>
  <c r="U2011" i="7950"/>
  <c r="U1957" i="7950"/>
  <c r="U1903" i="7950"/>
  <c r="U1849" i="7950"/>
  <c r="U1795" i="7950"/>
  <c r="U1741" i="7950"/>
  <c r="U1687" i="7950"/>
  <c r="U1633" i="7950"/>
  <c r="U1579" i="7950"/>
  <c r="U1525" i="7950"/>
  <c r="U1471" i="7950"/>
  <c r="U1417" i="7950"/>
  <c r="U1363" i="7950"/>
  <c r="U1309" i="7950"/>
  <c r="U1255" i="7950"/>
  <c r="U1201" i="7950"/>
  <c r="U1147" i="7950"/>
  <c r="U1093" i="7950"/>
  <c r="U1039" i="7950"/>
  <c r="U985" i="7950"/>
  <c r="U931" i="7950"/>
  <c r="U877" i="7950"/>
  <c r="U823" i="7950"/>
  <c r="U769" i="7950"/>
  <c r="U715" i="7950"/>
  <c r="U661" i="7950"/>
  <c r="U607" i="7950"/>
  <c r="U553" i="7950"/>
  <c r="U499" i="7950"/>
  <c r="U445" i="7950"/>
  <c r="U391" i="7950"/>
  <c r="U337" i="7950"/>
  <c r="U283" i="7950"/>
  <c r="U229" i="7950"/>
  <c r="U175" i="7950"/>
  <c r="T67" i="7950"/>
  <c r="U13" i="7950"/>
  <c r="U2664" i="7949"/>
  <c r="U2610" i="7949"/>
  <c r="U2556" i="7949"/>
  <c r="U2502" i="7949"/>
  <c r="U2448" i="7949"/>
  <c r="U2394" i="7949"/>
  <c r="U2340" i="7949"/>
  <c r="U2286" i="7949"/>
  <c r="U2232" i="7949"/>
  <c r="U2178" i="7949"/>
  <c r="U2124" i="7949"/>
  <c r="U2070" i="7949"/>
  <c r="U2016" i="7949"/>
  <c r="U1962" i="7949"/>
  <c r="U1908" i="7949"/>
  <c r="U1854" i="7949"/>
  <c r="U1800" i="7949"/>
  <c r="U1746" i="7949"/>
  <c r="U1692" i="7949"/>
  <c r="U1638" i="7949"/>
  <c r="U1584" i="7949"/>
  <c r="U1530" i="7949"/>
  <c r="U1476" i="7949"/>
  <c r="U1422" i="7949"/>
  <c r="U1368" i="7949"/>
  <c r="U1314" i="7949"/>
  <c r="U1260" i="7949"/>
  <c r="U1206" i="7949"/>
  <c r="U1152" i="7949"/>
  <c r="U1098" i="7949"/>
  <c r="U1044" i="7949"/>
  <c r="U990" i="7949"/>
  <c r="U936" i="7949"/>
  <c r="U882" i="7949"/>
  <c r="U828" i="7949"/>
  <c r="U774" i="7949"/>
  <c r="U720" i="7949"/>
  <c r="U666" i="7949"/>
  <c r="U612" i="7949"/>
  <c r="U558" i="7949"/>
  <c r="U504" i="7949"/>
  <c r="U450" i="7949"/>
  <c r="U396" i="7949"/>
  <c r="U342" i="7949"/>
  <c r="U288" i="7949"/>
  <c r="U234" i="7949"/>
  <c r="U18" i="7949"/>
  <c r="U72" i="7949"/>
  <c r="U2359" i="7950"/>
  <c r="U1819" i="7950"/>
  <c r="U631" i="7950"/>
  <c r="U415" i="7950"/>
  <c r="U199" i="7950"/>
  <c r="T91" i="7950"/>
  <c r="U2634" i="7949"/>
  <c r="U2526" i="7949"/>
  <c r="U2094" i="7949"/>
  <c r="U1986" i="7949"/>
  <c r="U1770" i="7949"/>
  <c r="U1338" i="7949"/>
  <c r="U1230" i="7949"/>
  <c r="U690" i="7949"/>
  <c r="U474" i="7949"/>
  <c r="U366" i="7949"/>
  <c r="U258" i="7949"/>
  <c r="U2418" i="7949"/>
  <c r="U2310" i="7949"/>
  <c r="U2202" i="7949"/>
  <c r="U1878" i="7949"/>
  <c r="U1662" i="7949"/>
  <c r="U1554" i="7949"/>
  <c r="U1446" i="7949"/>
  <c r="U1122" i="7949"/>
  <c r="U1014" i="7949"/>
  <c r="U906" i="7949"/>
  <c r="U798" i="7949"/>
  <c r="U582" i="7949"/>
  <c r="U2580" i="7949"/>
  <c r="U2256" i="7949"/>
  <c r="U1932" i="7949"/>
  <c r="U1716" i="7949"/>
  <c r="U1392" i="7949"/>
  <c r="U636" i="7949"/>
  <c r="U180" i="7949"/>
  <c r="U2413" i="7950"/>
  <c r="U2305" i="7950"/>
  <c r="U1495" i="7950"/>
  <c r="U1279" i="7950"/>
  <c r="U1711" i="7950"/>
  <c r="U1225" i="7950"/>
  <c r="U577" i="7950"/>
  <c r="U253" i="7950"/>
  <c r="U1549" i="7950"/>
  <c r="U2364" i="7949"/>
  <c r="U2148" i="7949"/>
  <c r="U1608" i="7949"/>
  <c r="U1176" i="7949"/>
  <c r="U960" i="7949"/>
  <c r="U528" i="7949"/>
  <c r="U96" i="7949"/>
  <c r="U1171" i="7950"/>
  <c r="U150" i="7949"/>
  <c r="U42" i="7949"/>
  <c r="U2467" i="7950"/>
  <c r="U2143" i="7950"/>
  <c r="U1927" i="7950"/>
  <c r="U1333" i="7950"/>
  <c r="U739" i="7950"/>
  <c r="U2521" i="7950"/>
  <c r="U2089" i="7950"/>
  <c r="U1387" i="7950"/>
  <c r="U1765" i="7950"/>
  <c r="U2472" i="7949"/>
  <c r="U2040" i="7949"/>
  <c r="U1500" i="7949"/>
  <c r="U744" i="7949"/>
  <c r="U312" i="7949"/>
  <c r="U2575" i="7950"/>
  <c r="U1603" i="7950"/>
  <c r="U523" i="7950"/>
  <c r="U307" i="7950"/>
  <c r="U955" i="7950"/>
  <c r="U1009" i="7950"/>
  <c r="U361" i="7950"/>
  <c r="U145" i="7950"/>
  <c r="U847" i="7950"/>
  <c r="U2688" i="7949"/>
  <c r="U1824" i="7949"/>
  <c r="U1284" i="7949"/>
  <c r="U1068" i="7949"/>
  <c r="U852" i="7949"/>
  <c r="U420" i="7949"/>
  <c r="U2683" i="7950"/>
  <c r="U2251" i="7950"/>
  <c r="U2035" i="7950"/>
  <c r="U1441" i="7950"/>
  <c r="U1117" i="7950"/>
  <c r="U901" i="7950"/>
  <c r="U1657" i="7950"/>
  <c r="U2629" i="7950"/>
  <c r="U2197" i="7950"/>
  <c r="U1981" i="7950"/>
  <c r="U1873" i="7950"/>
  <c r="U793" i="7950"/>
  <c r="U685" i="7950"/>
  <c r="U469" i="7950"/>
  <c r="U1063" i="7950"/>
  <c r="U37" i="7950"/>
  <c r="R762" i="18"/>
  <c r="P128" i="7941"/>
  <c r="Q734" i="18"/>
  <c r="Q1100" i="18" s="1"/>
  <c r="P131" i="7941"/>
  <c r="Q737" i="18"/>
  <c r="Q1103" i="18" s="1"/>
  <c r="P140" i="7941"/>
  <c r="Q746" i="18"/>
  <c r="Q1112" i="18" s="1"/>
  <c r="R751" i="18"/>
  <c r="P159" i="7941"/>
  <c r="Q765" i="18"/>
  <c r="Q1131" i="18" s="1"/>
  <c r="P141" i="7941"/>
  <c r="Q747" i="18"/>
  <c r="Q1113" i="18" s="1"/>
  <c r="Q839" i="18"/>
  <c r="Q129" i="7941" s="1"/>
  <c r="P868" i="18"/>
  <c r="P122" i="7941"/>
  <c r="Q728" i="18"/>
  <c r="Q1094" i="18" s="1"/>
  <c r="P132" i="7941"/>
  <c r="Q738" i="18"/>
  <c r="Q1104" i="18" s="1"/>
  <c r="Q32" i="7941"/>
  <c r="P346" i="7941"/>
  <c r="P845" i="18"/>
  <c r="P848" i="18"/>
  <c r="P121" i="7941"/>
  <c r="Q727" i="18"/>
  <c r="Q1093" i="18" s="1"/>
  <c r="P130" i="7941"/>
  <c r="Q736" i="18"/>
  <c r="Q1102" i="18" s="1"/>
  <c r="P137" i="7941"/>
  <c r="Q743" i="18"/>
  <c r="Q1109" i="18" s="1"/>
  <c r="P865" i="18"/>
  <c r="P153" i="7941"/>
  <c r="Q759" i="18"/>
  <c r="Q1125" i="18" s="1"/>
  <c r="P858" i="18"/>
  <c r="P833" i="18"/>
  <c r="P133" i="7941"/>
  <c r="Q739" i="18"/>
  <c r="Q1105" i="18" s="1"/>
  <c r="Q25" i="7941"/>
  <c r="P339" i="7941"/>
  <c r="Q846" i="18"/>
  <c r="Q136" i="7941" s="1"/>
  <c r="P119" i="7941"/>
  <c r="Q725" i="18"/>
  <c r="Q1091" i="18" s="1"/>
  <c r="P125" i="7941"/>
  <c r="Q731" i="18"/>
  <c r="Q1097" i="18" s="1"/>
  <c r="P146" i="7941"/>
  <c r="Q752" i="18"/>
  <c r="Q1118" i="18" s="1"/>
  <c r="P867" i="18"/>
  <c r="P837" i="18"/>
  <c r="P139" i="7941"/>
  <c r="Q745" i="18"/>
  <c r="Q1111" i="18" s="1"/>
  <c r="P144" i="7941"/>
  <c r="Q750" i="18"/>
  <c r="Q1116" i="18" s="1"/>
  <c r="Q355" i="7941"/>
  <c r="Q366" i="7941"/>
  <c r="V121" i="7950" l="1"/>
  <c r="S1925" i="7949"/>
  <c r="T1925" i="7949" s="1"/>
  <c r="U1925" i="7949" s="1"/>
  <c r="V1925" i="7949" s="1"/>
  <c r="W1925" i="7949" s="1"/>
  <c r="S359" i="7949"/>
  <c r="T359" i="7949" s="1"/>
  <c r="U359" i="7949" s="1"/>
  <c r="V359" i="7949" s="1"/>
  <c r="W359" i="7949" s="1"/>
  <c r="S197" i="7949"/>
  <c r="T197" i="7949" s="1"/>
  <c r="U197" i="7949" s="1"/>
  <c r="V197" i="7949" s="1"/>
  <c r="W197" i="7949" s="1"/>
  <c r="S2195" i="7949"/>
  <c r="T2195" i="7949" s="1"/>
  <c r="U2195" i="7949" s="1"/>
  <c r="V2195" i="7949" s="1"/>
  <c r="W2195" i="7949" s="1"/>
  <c r="S791" i="7949"/>
  <c r="T791" i="7949" s="1"/>
  <c r="U791" i="7949" s="1"/>
  <c r="V791" i="7949" s="1"/>
  <c r="W791" i="7949" s="1"/>
  <c r="S1547" i="7949"/>
  <c r="T1547" i="7949" s="1"/>
  <c r="U1547" i="7949" s="1"/>
  <c r="V1547" i="7949" s="1"/>
  <c r="W1547" i="7949" s="1"/>
  <c r="S2627" i="7949"/>
  <c r="T2627" i="7949" s="1"/>
  <c r="U2627" i="7949" s="1"/>
  <c r="V2627" i="7949" s="1"/>
  <c r="W2627" i="7949" s="1"/>
  <c r="S1655" i="7949"/>
  <c r="T1655" i="7949" s="1"/>
  <c r="U1655" i="7949" s="1"/>
  <c r="V1655" i="7949" s="1"/>
  <c r="W1655" i="7949" s="1"/>
  <c r="S2141" i="7949"/>
  <c r="T2141" i="7949" s="1"/>
  <c r="U2141" i="7949" s="1"/>
  <c r="V2141" i="7949" s="1"/>
  <c r="W2141" i="7949" s="1"/>
  <c r="S2465" i="7949"/>
  <c r="T2465" i="7949" s="1"/>
  <c r="U2465" i="7949" s="1"/>
  <c r="V2465" i="7949" s="1"/>
  <c r="W2465" i="7949" s="1"/>
  <c r="S1007" i="7949"/>
  <c r="T1007" i="7949" s="1"/>
  <c r="U1007" i="7949" s="1"/>
  <c r="V1007" i="7949" s="1"/>
  <c r="W1007" i="7949" s="1"/>
  <c r="T10" i="7949"/>
  <c r="S1115" i="7949"/>
  <c r="T1115" i="7949" s="1"/>
  <c r="U1115" i="7949" s="1"/>
  <c r="V1115" i="7949" s="1"/>
  <c r="W1115" i="7949" s="1"/>
  <c r="S2033" i="7949"/>
  <c r="T2033" i="7949" s="1"/>
  <c r="U2033" i="7949" s="1"/>
  <c r="V2033" i="7949" s="1"/>
  <c r="W2033" i="7949" s="1"/>
  <c r="S2249" i="7949"/>
  <c r="T2249" i="7949" s="1"/>
  <c r="U2249" i="7949" s="1"/>
  <c r="V2249" i="7949" s="1"/>
  <c r="W2249" i="7949" s="1"/>
  <c r="S845" i="7949"/>
  <c r="T845" i="7949" s="1"/>
  <c r="U845" i="7949" s="1"/>
  <c r="V845" i="7949" s="1"/>
  <c r="W845" i="7949" s="1"/>
  <c r="S1385" i="7949"/>
  <c r="T1385" i="7949" s="1"/>
  <c r="U1385" i="7949" s="1"/>
  <c r="V1385" i="7949" s="1"/>
  <c r="W1385" i="7949" s="1"/>
  <c r="S1709" i="7949"/>
  <c r="T1709" i="7949" s="1"/>
  <c r="U1709" i="7949" s="1"/>
  <c r="V1709" i="7949" s="1"/>
  <c r="W1709" i="7949" s="1"/>
  <c r="S2519" i="7949"/>
  <c r="T2519" i="7949" s="1"/>
  <c r="U2519" i="7949" s="1"/>
  <c r="V2519" i="7949" s="1"/>
  <c r="W2519" i="7949" s="1"/>
  <c r="S2087" i="7949"/>
  <c r="T2087" i="7949" s="1"/>
  <c r="U2087" i="7949" s="1"/>
  <c r="V2087" i="7949" s="1"/>
  <c r="W2087" i="7949" s="1"/>
  <c r="S1979" i="7949"/>
  <c r="T1979" i="7949" s="1"/>
  <c r="U1979" i="7949" s="1"/>
  <c r="V1979" i="7949" s="1"/>
  <c r="W1979" i="7949" s="1"/>
  <c r="S305" i="7949"/>
  <c r="T305" i="7949" s="1"/>
  <c r="U305" i="7949" s="1"/>
  <c r="V305" i="7949" s="1"/>
  <c r="W305" i="7949" s="1"/>
  <c r="S683" i="7949"/>
  <c r="T683" i="7949" s="1"/>
  <c r="U683" i="7949" s="1"/>
  <c r="V683" i="7949" s="1"/>
  <c r="W683" i="7949" s="1"/>
  <c r="S1763" i="7949"/>
  <c r="T1763" i="7949" s="1"/>
  <c r="U1763" i="7949" s="1"/>
  <c r="V1763" i="7949" s="1"/>
  <c r="W1763" i="7949" s="1"/>
  <c r="S899" i="7949"/>
  <c r="T899" i="7949" s="1"/>
  <c r="U899" i="7949" s="1"/>
  <c r="V899" i="7949" s="1"/>
  <c r="W899" i="7949" s="1"/>
  <c r="S1439" i="7949"/>
  <c r="T1439" i="7949" s="1"/>
  <c r="U1439" i="7949" s="1"/>
  <c r="V1439" i="7949" s="1"/>
  <c r="W1439" i="7949" s="1"/>
  <c r="S1493" i="7949"/>
  <c r="T1493" i="7949" s="1"/>
  <c r="U1493" i="7949" s="1"/>
  <c r="V1493" i="7949" s="1"/>
  <c r="W1493" i="7949" s="1"/>
  <c r="S413" i="7949"/>
  <c r="T413" i="7949" s="1"/>
  <c r="U413" i="7949" s="1"/>
  <c r="V413" i="7949" s="1"/>
  <c r="W413" i="7949" s="1"/>
  <c r="S1277" i="7949"/>
  <c r="T1277" i="7949" s="1"/>
  <c r="U1277" i="7949" s="1"/>
  <c r="V1277" i="7949" s="1"/>
  <c r="W1277" i="7949" s="1"/>
  <c r="S1871" i="7949"/>
  <c r="T1871" i="7949" s="1"/>
  <c r="U1871" i="7949" s="1"/>
  <c r="V1871" i="7949" s="1"/>
  <c r="W1871" i="7949" s="1"/>
  <c r="S2681" i="7949"/>
  <c r="T2681" i="7949" s="1"/>
  <c r="U2681" i="7949" s="1"/>
  <c r="V2681" i="7949" s="1"/>
  <c r="W2681" i="7949" s="1"/>
  <c r="S1223" i="7949"/>
  <c r="T1223" i="7949" s="1"/>
  <c r="U1223" i="7949" s="1"/>
  <c r="V1223" i="7949" s="1"/>
  <c r="W1223" i="7949" s="1"/>
  <c r="S737" i="7949"/>
  <c r="T737" i="7949" s="1"/>
  <c r="U737" i="7949" s="1"/>
  <c r="V737" i="7949" s="1"/>
  <c r="W737" i="7949" s="1"/>
  <c r="S35" i="7949"/>
  <c r="T35" i="7949" s="1"/>
  <c r="U35" i="7949" s="1"/>
  <c r="V35" i="7949" s="1"/>
  <c r="W35" i="7949" s="1"/>
  <c r="S1817" i="7949"/>
  <c r="T1817" i="7949" s="1"/>
  <c r="U1817" i="7949" s="1"/>
  <c r="V1817" i="7949" s="1"/>
  <c r="W1817" i="7949" s="1"/>
  <c r="S143" i="7949"/>
  <c r="T143" i="7949" s="1"/>
  <c r="U143" i="7949" s="1"/>
  <c r="V143" i="7949" s="1"/>
  <c r="W143" i="7949" s="1"/>
  <c r="S2357" i="7949"/>
  <c r="T2357" i="7949" s="1"/>
  <c r="U2357" i="7949" s="1"/>
  <c r="V2357" i="7949" s="1"/>
  <c r="W2357" i="7949" s="1"/>
  <c r="S2303" i="7949"/>
  <c r="T2303" i="7949" s="1"/>
  <c r="U2303" i="7949" s="1"/>
  <c r="V2303" i="7949" s="1"/>
  <c r="W2303" i="7949" s="1"/>
  <c r="S251" i="7949"/>
  <c r="T251" i="7949" s="1"/>
  <c r="U251" i="7949" s="1"/>
  <c r="V251" i="7949" s="1"/>
  <c r="W251" i="7949" s="1"/>
  <c r="S953" i="7949"/>
  <c r="T953" i="7949" s="1"/>
  <c r="U953" i="7949" s="1"/>
  <c r="V953" i="7949" s="1"/>
  <c r="W953" i="7949" s="1"/>
  <c r="S1601" i="7949"/>
  <c r="T1601" i="7949" s="1"/>
  <c r="U1601" i="7949" s="1"/>
  <c r="V1601" i="7949" s="1"/>
  <c r="W1601" i="7949" s="1"/>
  <c r="S1331" i="7949"/>
  <c r="T1331" i="7949" s="1"/>
  <c r="U1331" i="7949" s="1"/>
  <c r="V1331" i="7949" s="1"/>
  <c r="W1331" i="7949" s="1"/>
  <c r="S575" i="7949"/>
  <c r="T575" i="7949" s="1"/>
  <c r="U575" i="7949" s="1"/>
  <c r="V575" i="7949" s="1"/>
  <c r="W575" i="7949" s="1"/>
  <c r="S2573" i="7949"/>
  <c r="T2573" i="7949" s="1"/>
  <c r="U2573" i="7949" s="1"/>
  <c r="V2573" i="7949" s="1"/>
  <c r="W2573" i="7949" s="1"/>
  <c r="S1061" i="7949"/>
  <c r="T1061" i="7949" s="1"/>
  <c r="U1061" i="7949" s="1"/>
  <c r="V1061" i="7949" s="1"/>
  <c r="W1061" i="7949" s="1"/>
  <c r="S467" i="7949"/>
  <c r="T467" i="7949" s="1"/>
  <c r="U467" i="7949" s="1"/>
  <c r="V467" i="7949" s="1"/>
  <c r="W467" i="7949" s="1"/>
  <c r="S89" i="7949"/>
  <c r="T89" i="7949" s="1"/>
  <c r="U89" i="7949" s="1"/>
  <c r="V89" i="7949" s="1"/>
  <c r="W89" i="7949" s="1"/>
  <c r="S521" i="7949"/>
  <c r="T521" i="7949" s="1"/>
  <c r="U521" i="7949" s="1"/>
  <c r="V521" i="7949" s="1"/>
  <c r="W521" i="7949" s="1"/>
  <c r="S1169" i="7949"/>
  <c r="T1169" i="7949" s="1"/>
  <c r="U1169" i="7949" s="1"/>
  <c r="V1169" i="7949" s="1"/>
  <c r="W1169" i="7949" s="1"/>
  <c r="S2411" i="7949"/>
  <c r="T2411" i="7949" s="1"/>
  <c r="U2411" i="7949" s="1"/>
  <c r="V2411" i="7949" s="1"/>
  <c r="W2411" i="7949" s="1"/>
  <c r="S629" i="7949"/>
  <c r="T629" i="7949" s="1"/>
  <c r="U629" i="7949" s="1"/>
  <c r="V629" i="7949" s="1"/>
  <c r="W629" i="7949" s="1"/>
  <c r="R756" i="18"/>
  <c r="Q357" i="7941"/>
  <c r="Q370" i="7941"/>
  <c r="Q124" i="7941"/>
  <c r="Q334" i="7941" s="1"/>
  <c r="R730" i="18"/>
  <c r="P844" i="18"/>
  <c r="O161" i="7941"/>
  <c r="P767" i="18"/>
  <c r="R760" i="18"/>
  <c r="O371" i="7941"/>
  <c r="P1114" i="18"/>
  <c r="P852" i="18" s="1"/>
  <c r="O1115" i="18"/>
  <c r="Q46" i="7941"/>
  <c r="P360" i="7941"/>
  <c r="Q1124" i="18"/>
  <c r="Q862" i="18" s="1"/>
  <c r="P57" i="7941"/>
  <c r="P38" i="7941"/>
  <c r="O352" i="7941"/>
  <c r="P362" i="7941"/>
  <c r="O39" i="7941"/>
  <c r="N353" i="7941"/>
  <c r="P120" i="7941"/>
  <c r="Q726" i="18"/>
  <c r="R766" i="18"/>
  <c r="P364" i="7941"/>
  <c r="Q364" i="7941" s="1"/>
  <c r="V2659" i="7950"/>
  <c r="V2605" i="7950"/>
  <c r="V2551" i="7950"/>
  <c r="V2497" i="7950"/>
  <c r="V2443" i="7950"/>
  <c r="V2389" i="7950"/>
  <c r="V2335" i="7950"/>
  <c r="V2281" i="7950"/>
  <c r="V2227" i="7950"/>
  <c r="V2173" i="7950"/>
  <c r="V2119" i="7950"/>
  <c r="V2065" i="7950"/>
  <c r="V2011" i="7950"/>
  <c r="V1957" i="7950"/>
  <c r="V1903" i="7950"/>
  <c r="V1849" i="7950"/>
  <c r="V1795" i="7950"/>
  <c r="V1741" i="7950"/>
  <c r="V1687" i="7950"/>
  <c r="V1633" i="7950"/>
  <c r="V1579" i="7950"/>
  <c r="V1525" i="7950"/>
  <c r="V1471" i="7950"/>
  <c r="V1417" i="7950"/>
  <c r="V1363" i="7950"/>
  <c r="V1309" i="7950"/>
  <c r="V1255" i="7950"/>
  <c r="V1201" i="7950"/>
  <c r="V1147" i="7950"/>
  <c r="V1093" i="7950"/>
  <c r="V1039" i="7950"/>
  <c r="V985" i="7950"/>
  <c r="V931" i="7950"/>
  <c r="V877" i="7950"/>
  <c r="V823" i="7950"/>
  <c r="V769" i="7950"/>
  <c r="V715" i="7950"/>
  <c r="V661" i="7950"/>
  <c r="V607" i="7950"/>
  <c r="V553" i="7950"/>
  <c r="V499" i="7950"/>
  <c r="V445" i="7950"/>
  <c r="V391" i="7950"/>
  <c r="V337" i="7950"/>
  <c r="V283" i="7950"/>
  <c r="V229" i="7950"/>
  <c r="V175" i="7950"/>
  <c r="U67" i="7950"/>
  <c r="V13" i="7950"/>
  <c r="V2664" i="7949"/>
  <c r="V2610" i="7949"/>
  <c r="V2556" i="7949"/>
  <c r="V2502" i="7949"/>
  <c r="V2448" i="7949"/>
  <c r="V2394" i="7949"/>
  <c r="V2340" i="7949"/>
  <c r="V2286" i="7949"/>
  <c r="V2232" i="7949"/>
  <c r="V2178" i="7949"/>
  <c r="V2124" i="7949"/>
  <c r="V2070" i="7949"/>
  <c r="V2016" i="7949"/>
  <c r="V1962" i="7949"/>
  <c r="V1908" i="7949"/>
  <c r="V1854" i="7949"/>
  <c r="V1800" i="7949"/>
  <c r="V1746" i="7949"/>
  <c r="V1692" i="7949"/>
  <c r="V1638" i="7949"/>
  <c r="V1584" i="7949"/>
  <c r="V1530" i="7949"/>
  <c r="V1476" i="7949"/>
  <c r="V1422" i="7949"/>
  <c r="V1368" i="7949"/>
  <c r="V1314" i="7949"/>
  <c r="V1260" i="7949"/>
  <c r="V1206" i="7949"/>
  <c r="V1152" i="7949"/>
  <c r="V1098" i="7949"/>
  <c r="V1044" i="7949"/>
  <c r="V990" i="7949"/>
  <c r="V936" i="7949"/>
  <c r="V882" i="7949"/>
  <c r="V828" i="7949"/>
  <c r="V774" i="7949"/>
  <c r="V720" i="7949"/>
  <c r="V666" i="7949"/>
  <c r="V612" i="7949"/>
  <c r="V558" i="7949"/>
  <c r="V504" i="7949"/>
  <c r="V450" i="7949"/>
  <c r="V396" i="7949"/>
  <c r="V342" i="7949"/>
  <c r="V288" i="7949"/>
  <c r="V234" i="7949"/>
  <c r="V18" i="7949"/>
  <c r="V72" i="7949"/>
  <c r="V37" i="7950"/>
  <c r="V1063" i="7950"/>
  <c r="V469" i="7950"/>
  <c r="V685" i="7950"/>
  <c r="V793" i="7950"/>
  <c r="V1873" i="7950"/>
  <c r="V1981" i="7950"/>
  <c r="V2197" i="7950"/>
  <c r="V2629" i="7950"/>
  <c r="V1657" i="7950"/>
  <c r="V901" i="7950"/>
  <c r="V1117" i="7950"/>
  <c r="V1441" i="7950"/>
  <c r="V2035" i="7950"/>
  <c r="V2251" i="7950"/>
  <c r="V2683" i="7950"/>
  <c r="V420" i="7949"/>
  <c r="V852" i="7949"/>
  <c r="V1068" i="7949"/>
  <c r="V1284" i="7949"/>
  <c r="V1824" i="7949"/>
  <c r="V2688" i="7949"/>
  <c r="V847" i="7950"/>
  <c r="V145" i="7950"/>
  <c r="V361" i="7950"/>
  <c r="V1009" i="7950"/>
  <c r="V955" i="7950"/>
  <c r="V307" i="7950"/>
  <c r="V523" i="7950"/>
  <c r="V1603" i="7950"/>
  <c r="V2575" i="7950"/>
  <c r="V312" i="7949"/>
  <c r="V744" i="7949"/>
  <c r="V1500" i="7949"/>
  <c r="V2040" i="7949"/>
  <c r="V2472" i="7949"/>
  <c r="V1765" i="7950"/>
  <c r="V1387" i="7950"/>
  <c r="V2089" i="7950"/>
  <c r="V2521" i="7950"/>
  <c r="V739" i="7950"/>
  <c r="V1333" i="7950"/>
  <c r="V1927" i="7950"/>
  <c r="V2143" i="7950"/>
  <c r="V2467" i="7950"/>
  <c r="V42" i="7949"/>
  <c r="V150" i="7949"/>
  <c r="V1171" i="7950"/>
  <c r="V96" i="7949"/>
  <c r="V528" i="7949"/>
  <c r="V960" i="7949"/>
  <c r="V1176" i="7949"/>
  <c r="V1608" i="7949"/>
  <c r="V2148" i="7949"/>
  <c r="V2364" i="7949"/>
  <c r="V1549" i="7950"/>
  <c r="V253" i="7950"/>
  <c r="V577" i="7950"/>
  <c r="V1225" i="7950"/>
  <c r="V1711" i="7950"/>
  <c r="V1279" i="7950"/>
  <c r="V1495" i="7950"/>
  <c r="V2305" i="7950"/>
  <c r="V2413" i="7950"/>
  <c r="V180" i="7949"/>
  <c r="V636" i="7949"/>
  <c r="V1392" i="7949"/>
  <c r="V1716" i="7949"/>
  <c r="V1932" i="7949"/>
  <c r="V2256" i="7949"/>
  <c r="V2580" i="7949"/>
  <c r="V582" i="7949"/>
  <c r="V798" i="7949"/>
  <c r="V906" i="7949"/>
  <c r="V1014" i="7949"/>
  <c r="V1122" i="7949"/>
  <c r="V1446" i="7949"/>
  <c r="V1554" i="7949"/>
  <c r="V1662" i="7949"/>
  <c r="V1878" i="7949"/>
  <c r="V2202" i="7949"/>
  <c r="V2310" i="7949"/>
  <c r="V2418" i="7949"/>
  <c r="V258" i="7949"/>
  <c r="V366" i="7949"/>
  <c r="V474" i="7949"/>
  <c r="V690" i="7949"/>
  <c r="V1230" i="7949"/>
  <c r="V1338" i="7949"/>
  <c r="V1770" i="7949"/>
  <c r="V1986" i="7949"/>
  <c r="V2094" i="7949"/>
  <c r="V2526" i="7949"/>
  <c r="V2634" i="7949"/>
  <c r="U91" i="7950"/>
  <c r="V199" i="7950"/>
  <c r="V415" i="7950"/>
  <c r="V631" i="7950"/>
  <c r="V1819" i="7950"/>
  <c r="V2359" i="7950"/>
  <c r="Q339" i="7941"/>
  <c r="R735" i="18"/>
  <c r="R742" i="18"/>
  <c r="Q854" i="18"/>
  <c r="Q144" i="7941" s="1"/>
  <c r="Q849" i="18"/>
  <c r="Q139" i="7941" s="1"/>
  <c r="Q856" i="18"/>
  <c r="Q146" i="7941" s="1"/>
  <c r="Q835" i="18"/>
  <c r="Q125" i="7941" s="1"/>
  <c r="Q829" i="18"/>
  <c r="Q119" i="7941" s="1"/>
  <c r="P343" i="7941"/>
  <c r="Q29" i="7941"/>
  <c r="Q49" i="7941"/>
  <c r="P363" i="7941"/>
  <c r="P155" i="7941"/>
  <c r="Q761" i="18"/>
  <c r="Q1127" i="18" s="1"/>
  <c r="Q847" i="18"/>
  <c r="Q137" i="7941" s="1"/>
  <c r="P340" i="7941"/>
  <c r="Q26" i="7941"/>
  <c r="Q17" i="7941"/>
  <c r="P331" i="7941"/>
  <c r="P138" i="7941"/>
  <c r="Q744" i="18"/>
  <c r="Q1110" i="18" s="1"/>
  <c r="P135" i="7941"/>
  <c r="Q741" i="18"/>
  <c r="Q1107" i="18" s="1"/>
  <c r="Q28" i="7941"/>
  <c r="P342" i="7941"/>
  <c r="Q18" i="7941"/>
  <c r="P332" i="7941"/>
  <c r="P158" i="7941"/>
  <c r="Q764" i="18"/>
  <c r="Q1130" i="18" s="1"/>
  <c r="Q37" i="7941"/>
  <c r="P351" i="7941"/>
  <c r="P369" i="7941"/>
  <c r="Q55" i="7941"/>
  <c r="Q850" i="18"/>
  <c r="Q140" i="7941" s="1"/>
  <c r="Q841" i="18"/>
  <c r="Q131" i="7941" s="1"/>
  <c r="Q838" i="18"/>
  <c r="Q128" i="7941" s="1"/>
  <c r="P354" i="7941"/>
  <c r="Q40" i="7941"/>
  <c r="Q35" i="7941"/>
  <c r="P349" i="7941"/>
  <c r="P127" i="7941"/>
  <c r="Q733" i="18"/>
  <c r="Q1099" i="18" s="1"/>
  <c r="P157" i="7941"/>
  <c r="Q763" i="18"/>
  <c r="Q1129" i="18" s="1"/>
  <c r="Q42" i="7941"/>
  <c r="P356" i="7941"/>
  <c r="Q21" i="7941"/>
  <c r="P335" i="7941"/>
  <c r="P329" i="7941"/>
  <c r="Q15" i="7941"/>
  <c r="Q843" i="18"/>
  <c r="Q133" i="7941" s="1"/>
  <c r="P123" i="7941"/>
  <c r="Q729" i="18"/>
  <c r="Q1095" i="18" s="1"/>
  <c r="P148" i="7941"/>
  <c r="Q754" i="18"/>
  <c r="Q1120" i="18" s="1"/>
  <c r="Q863" i="18"/>
  <c r="Q153" i="7941" s="1"/>
  <c r="P347" i="7941"/>
  <c r="Q33" i="7941"/>
  <c r="Q840" i="18"/>
  <c r="Q130" i="7941" s="1"/>
  <c r="Q831" i="18"/>
  <c r="Q121" i="7941" s="1"/>
  <c r="Q346" i="7941"/>
  <c r="Q842" i="18"/>
  <c r="Q132" i="7941" s="1"/>
  <c r="Q832" i="18"/>
  <c r="Q122" i="7941" s="1"/>
  <c r="Q851" i="18"/>
  <c r="Q141" i="7941" s="1"/>
  <c r="Q869" i="18"/>
  <c r="Q159" i="7941" s="1"/>
  <c r="Q36" i="7941"/>
  <c r="P350" i="7941"/>
  <c r="Q27" i="7941"/>
  <c r="P341" i="7941"/>
  <c r="Q24" i="7941"/>
  <c r="P338" i="7941"/>
  <c r="W121" i="7950" l="1"/>
  <c r="T2304" i="7949"/>
  <c r="U2304" i="7949" s="1"/>
  <c r="V2304" i="7949" s="1"/>
  <c r="W2304" i="7949" s="1"/>
  <c r="T2412" i="7949"/>
  <c r="U2412" i="7949" s="1"/>
  <c r="V2412" i="7949" s="1"/>
  <c r="W2412" i="7949" s="1"/>
  <c r="T792" i="7949"/>
  <c r="U792" i="7949" s="1"/>
  <c r="V792" i="7949" s="1"/>
  <c r="W792" i="7949" s="1"/>
  <c r="T414" i="7949"/>
  <c r="U414" i="7949" s="1"/>
  <c r="V414" i="7949" s="1"/>
  <c r="W414" i="7949" s="1"/>
  <c r="T252" i="7949"/>
  <c r="U252" i="7949" s="1"/>
  <c r="V252" i="7949" s="1"/>
  <c r="W252" i="7949" s="1"/>
  <c r="T2466" i="7949"/>
  <c r="U2466" i="7949" s="1"/>
  <c r="V2466" i="7949" s="1"/>
  <c r="W2466" i="7949" s="1"/>
  <c r="T468" i="7949"/>
  <c r="U468" i="7949" s="1"/>
  <c r="V468" i="7949" s="1"/>
  <c r="W468" i="7949" s="1"/>
  <c r="T576" i="7949"/>
  <c r="U576" i="7949" s="1"/>
  <c r="V576" i="7949" s="1"/>
  <c r="W576" i="7949" s="1"/>
  <c r="T1116" i="7949"/>
  <c r="U1116" i="7949" s="1"/>
  <c r="V1116" i="7949" s="1"/>
  <c r="W1116" i="7949" s="1"/>
  <c r="T2250" i="7949"/>
  <c r="U2250" i="7949" s="1"/>
  <c r="V2250" i="7949" s="1"/>
  <c r="W2250" i="7949" s="1"/>
  <c r="T1224" i="7949"/>
  <c r="U1224" i="7949" s="1"/>
  <c r="V1224" i="7949" s="1"/>
  <c r="W1224" i="7949" s="1"/>
  <c r="T1170" i="7949"/>
  <c r="U1170" i="7949" s="1"/>
  <c r="V1170" i="7949" s="1"/>
  <c r="W1170" i="7949" s="1"/>
  <c r="T2574" i="7949"/>
  <c r="U2574" i="7949" s="1"/>
  <c r="V2574" i="7949" s="1"/>
  <c r="W2574" i="7949" s="1"/>
  <c r="T90" i="7949"/>
  <c r="U90" i="7949" s="1"/>
  <c r="V90" i="7949" s="1"/>
  <c r="W90" i="7949" s="1"/>
  <c r="T630" i="7949"/>
  <c r="U630" i="7949" s="1"/>
  <c r="V630" i="7949" s="1"/>
  <c r="W630" i="7949" s="1"/>
  <c r="T738" i="7949"/>
  <c r="U738" i="7949" s="1"/>
  <c r="V738" i="7949" s="1"/>
  <c r="W738" i="7949" s="1"/>
  <c r="T1818" i="7949"/>
  <c r="U1818" i="7949" s="1"/>
  <c r="V1818" i="7949" s="1"/>
  <c r="W1818" i="7949" s="1"/>
  <c r="T684" i="7949"/>
  <c r="U684" i="7949" s="1"/>
  <c r="V684" i="7949" s="1"/>
  <c r="W684" i="7949" s="1"/>
  <c r="T1278" i="7949"/>
  <c r="U1278" i="7949" s="1"/>
  <c r="V1278" i="7949" s="1"/>
  <c r="W1278" i="7949" s="1"/>
  <c r="T1710" i="7949"/>
  <c r="U1710" i="7949" s="1"/>
  <c r="V1710" i="7949" s="1"/>
  <c r="W1710" i="7949" s="1"/>
  <c r="T1062" i="7949"/>
  <c r="U1062" i="7949" s="1"/>
  <c r="V1062" i="7949" s="1"/>
  <c r="W1062" i="7949" s="1"/>
  <c r="T198" i="7949"/>
  <c r="U198" i="7949" s="1"/>
  <c r="V198" i="7949" s="1"/>
  <c r="W198" i="7949" s="1"/>
  <c r="T1008" i="7949"/>
  <c r="U1008" i="7949" s="1"/>
  <c r="V1008" i="7949" s="1"/>
  <c r="W1008" i="7949" s="1"/>
  <c r="T1332" i="7949"/>
  <c r="U1332" i="7949" s="1"/>
  <c r="V1332" i="7949" s="1"/>
  <c r="W1332" i="7949" s="1"/>
  <c r="T1980" i="7949"/>
  <c r="U1980" i="7949" s="1"/>
  <c r="V1980" i="7949" s="1"/>
  <c r="W1980" i="7949" s="1"/>
  <c r="T1548" i="7949"/>
  <c r="U1548" i="7949" s="1"/>
  <c r="V1548" i="7949" s="1"/>
  <c r="W1548" i="7949" s="1"/>
  <c r="T144" i="7949"/>
  <c r="U144" i="7949" s="1"/>
  <c r="V144" i="7949" s="1"/>
  <c r="W144" i="7949" s="1"/>
  <c r="T2358" i="7949"/>
  <c r="U2358" i="7949" s="1"/>
  <c r="V2358" i="7949" s="1"/>
  <c r="W2358" i="7949" s="1"/>
  <c r="T2682" i="7949"/>
  <c r="U2682" i="7949" s="1"/>
  <c r="V2682" i="7949" s="1"/>
  <c r="W2682" i="7949" s="1"/>
  <c r="T2196" i="7949"/>
  <c r="U2196" i="7949" s="1"/>
  <c r="V2196" i="7949" s="1"/>
  <c r="W2196" i="7949" s="1"/>
  <c r="T522" i="7949"/>
  <c r="U522" i="7949" s="1"/>
  <c r="V522" i="7949" s="1"/>
  <c r="W522" i="7949" s="1"/>
  <c r="T306" i="7949"/>
  <c r="U306" i="7949" s="1"/>
  <c r="V306" i="7949" s="1"/>
  <c r="W306" i="7949" s="1"/>
  <c r="T2520" i="7949"/>
  <c r="U2520" i="7949" s="1"/>
  <c r="V2520" i="7949" s="1"/>
  <c r="W2520" i="7949" s="1"/>
  <c r="T2034" i="7949"/>
  <c r="U2034" i="7949" s="1"/>
  <c r="V2034" i="7949" s="1"/>
  <c r="W2034" i="7949" s="1"/>
  <c r="T360" i="7949"/>
  <c r="U360" i="7949" s="1"/>
  <c r="V360" i="7949" s="1"/>
  <c r="W360" i="7949" s="1"/>
  <c r="T954" i="7949"/>
  <c r="U954" i="7949" s="1"/>
  <c r="V954" i="7949" s="1"/>
  <c r="W954" i="7949" s="1"/>
  <c r="T900" i="7949"/>
  <c r="U900" i="7949" s="1"/>
  <c r="V900" i="7949" s="1"/>
  <c r="W900" i="7949" s="1"/>
  <c r="T1602" i="7949"/>
  <c r="U1602" i="7949" s="1"/>
  <c r="V1602" i="7949" s="1"/>
  <c r="W1602" i="7949" s="1"/>
  <c r="T1440" i="7949"/>
  <c r="U1440" i="7949" s="1"/>
  <c r="V1440" i="7949" s="1"/>
  <c r="W1440" i="7949" s="1"/>
  <c r="T1386" i="7949"/>
  <c r="U1386" i="7949" s="1"/>
  <c r="V1386" i="7949" s="1"/>
  <c r="W1386" i="7949" s="1"/>
  <c r="T1872" i="7949"/>
  <c r="U1872" i="7949" s="1"/>
  <c r="V1872" i="7949" s="1"/>
  <c r="W1872" i="7949" s="1"/>
  <c r="T36" i="7949"/>
  <c r="U36" i="7949" s="1"/>
  <c r="V36" i="7949" s="1"/>
  <c r="W36" i="7949" s="1"/>
  <c r="T2088" i="7949"/>
  <c r="U2088" i="7949" s="1"/>
  <c r="V2088" i="7949" s="1"/>
  <c r="W2088" i="7949" s="1"/>
  <c r="T1926" i="7949"/>
  <c r="U1926" i="7949" s="1"/>
  <c r="V1926" i="7949" s="1"/>
  <c r="W1926" i="7949" s="1"/>
  <c r="U10" i="7949"/>
  <c r="T2628" i="7949"/>
  <c r="U2628" i="7949" s="1"/>
  <c r="V2628" i="7949" s="1"/>
  <c r="W2628" i="7949" s="1"/>
  <c r="T1494" i="7949"/>
  <c r="U1494" i="7949" s="1"/>
  <c r="V1494" i="7949" s="1"/>
  <c r="W1494" i="7949" s="1"/>
  <c r="T1764" i="7949"/>
  <c r="U1764" i="7949" s="1"/>
  <c r="V1764" i="7949" s="1"/>
  <c r="W1764" i="7949" s="1"/>
  <c r="T2142" i="7949"/>
  <c r="U2142" i="7949" s="1"/>
  <c r="V2142" i="7949" s="1"/>
  <c r="W2142" i="7949" s="1"/>
  <c r="T1656" i="7949"/>
  <c r="U1656" i="7949" s="1"/>
  <c r="V1656" i="7949" s="1"/>
  <c r="W1656" i="7949" s="1"/>
  <c r="T846" i="7949"/>
  <c r="U846" i="7949" s="1"/>
  <c r="V846" i="7949" s="1"/>
  <c r="W846" i="7949" s="1"/>
  <c r="Q360" i="7941"/>
  <c r="Q152" i="7941"/>
  <c r="R758" i="18"/>
  <c r="P142" i="7941"/>
  <c r="Q38" i="7941" s="1"/>
  <c r="Q748" i="18"/>
  <c r="Q1114" i="18" s="1"/>
  <c r="P1133" i="18"/>
  <c r="P871" i="18" s="1"/>
  <c r="Q16" i="7941"/>
  <c r="P330" i="7941"/>
  <c r="P134" i="7941"/>
  <c r="Q740" i="18"/>
  <c r="Q1092" i="18"/>
  <c r="Q830" i="18" s="1"/>
  <c r="Q120" i="7941" s="1"/>
  <c r="Q362" i="7941"/>
  <c r="O853" i="18"/>
  <c r="W2659" i="7950"/>
  <c r="W2605" i="7950"/>
  <c r="W2551" i="7950"/>
  <c r="W2497" i="7950"/>
  <c r="W2443" i="7950"/>
  <c r="W2389" i="7950"/>
  <c r="W2335" i="7950"/>
  <c r="W2281" i="7950"/>
  <c r="W2227" i="7950"/>
  <c r="W2173" i="7950"/>
  <c r="W2119" i="7950"/>
  <c r="W2065" i="7950"/>
  <c r="W2011" i="7950"/>
  <c r="W1957" i="7950"/>
  <c r="W1903" i="7950"/>
  <c r="W1849" i="7950"/>
  <c r="W1795" i="7950"/>
  <c r="W1741" i="7950"/>
  <c r="W1687" i="7950"/>
  <c r="W1633" i="7950"/>
  <c r="W1579" i="7950"/>
  <c r="W1525" i="7950"/>
  <c r="W1471" i="7950"/>
  <c r="W1417" i="7950"/>
  <c r="W1363" i="7950"/>
  <c r="W1309" i="7950"/>
  <c r="W1255" i="7950"/>
  <c r="W1201" i="7950"/>
  <c r="W1147" i="7950"/>
  <c r="W1093" i="7950"/>
  <c r="W1039" i="7950"/>
  <c r="W985" i="7950"/>
  <c r="W931" i="7950"/>
  <c r="W877" i="7950"/>
  <c r="W823" i="7950"/>
  <c r="W769" i="7950"/>
  <c r="W715" i="7950"/>
  <c r="W661" i="7950"/>
  <c r="W607" i="7950"/>
  <c r="W553" i="7950"/>
  <c r="W499" i="7950"/>
  <c r="W445" i="7950"/>
  <c r="W391" i="7950"/>
  <c r="W337" i="7950"/>
  <c r="W283" i="7950"/>
  <c r="W229" i="7950"/>
  <c r="W175" i="7950"/>
  <c r="V67" i="7950"/>
  <c r="W13" i="7950"/>
  <c r="W2664" i="7949"/>
  <c r="W2610" i="7949"/>
  <c r="W2556" i="7949"/>
  <c r="W2502" i="7949"/>
  <c r="W2448" i="7949"/>
  <c r="W2394" i="7949"/>
  <c r="W2340" i="7949"/>
  <c r="W2286" i="7949"/>
  <c r="W2232" i="7949"/>
  <c r="W2178" i="7949"/>
  <c r="W2124" i="7949"/>
  <c r="W2070" i="7949"/>
  <c r="W2016" i="7949"/>
  <c r="W1962" i="7949"/>
  <c r="W1908" i="7949"/>
  <c r="W1854" i="7949"/>
  <c r="W1800" i="7949"/>
  <c r="W1746" i="7949"/>
  <c r="W1692" i="7949"/>
  <c r="W1638" i="7949"/>
  <c r="W1584" i="7949"/>
  <c r="W1530" i="7949"/>
  <c r="W1476" i="7949"/>
  <c r="W1422" i="7949"/>
  <c r="W1368" i="7949"/>
  <c r="W1314" i="7949"/>
  <c r="W1260" i="7949"/>
  <c r="W1206" i="7949"/>
  <c r="W1152" i="7949"/>
  <c r="W1098" i="7949"/>
  <c r="W1044" i="7949"/>
  <c r="W990" i="7949"/>
  <c r="W936" i="7949"/>
  <c r="W882" i="7949"/>
  <c r="W828" i="7949"/>
  <c r="W774" i="7949"/>
  <c r="W720" i="7949"/>
  <c r="W666" i="7949"/>
  <c r="W612" i="7949"/>
  <c r="W558" i="7949"/>
  <c r="W504" i="7949"/>
  <c r="W450" i="7949"/>
  <c r="W396" i="7949"/>
  <c r="W342" i="7949"/>
  <c r="W288" i="7949"/>
  <c r="W234" i="7949"/>
  <c r="W18" i="7949"/>
  <c r="W72" i="7949"/>
  <c r="W2359" i="7950"/>
  <c r="W1819" i="7950"/>
  <c r="W631" i="7950"/>
  <c r="W415" i="7950"/>
  <c r="W199" i="7950"/>
  <c r="V91" i="7950"/>
  <c r="W2634" i="7949"/>
  <c r="W2526" i="7949"/>
  <c r="W2094" i="7949"/>
  <c r="W1986" i="7949"/>
  <c r="W1770" i="7949"/>
  <c r="W1338" i="7949"/>
  <c r="W1230" i="7949"/>
  <c r="W690" i="7949"/>
  <c r="W474" i="7949"/>
  <c r="W366" i="7949"/>
  <c r="W258" i="7949"/>
  <c r="W2418" i="7949"/>
  <c r="W2310" i="7949"/>
  <c r="W2202" i="7949"/>
  <c r="W1878" i="7949"/>
  <c r="W1662" i="7949"/>
  <c r="W1554" i="7949"/>
  <c r="W1446" i="7949"/>
  <c r="W1122" i="7949"/>
  <c r="W1014" i="7949"/>
  <c r="W906" i="7949"/>
  <c r="W798" i="7949"/>
  <c r="W582" i="7949"/>
  <c r="W2580" i="7949"/>
  <c r="W2256" i="7949"/>
  <c r="W1932" i="7949"/>
  <c r="W1716" i="7949"/>
  <c r="W1392" i="7949"/>
  <c r="W636" i="7949"/>
  <c r="W180" i="7949"/>
  <c r="W2413" i="7950"/>
  <c r="W2305" i="7950"/>
  <c r="W1495" i="7950"/>
  <c r="W1279" i="7950"/>
  <c r="W1711" i="7950"/>
  <c r="W1225" i="7950"/>
  <c r="W577" i="7950"/>
  <c r="W253" i="7950"/>
  <c r="W1549" i="7950"/>
  <c r="W2364" i="7949"/>
  <c r="W2148" i="7949"/>
  <c r="W1608" i="7949"/>
  <c r="W1176" i="7949"/>
  <c r="W960" i="7949"/>
  <c r="W528" i="7949"/>
  <c r="W96" i="7949"/>
  <c r="W1171" i="7950"/>
  <c r="W150" i="7949"/>
  <c r="W42" i="7949"/>
  <c r="W2467" i="7950"/>
  <c r="W2143" i="7950"/>
  <c r="W1927" i="7950"/>
  <c r="W1333" i="7950"/>
  <c r="W739" i="7950"/>
  <c r="W2521" i="7950"/>
  <c r="W2089" i="7950"/>
  <c r="W1387" i="7950"/>
  <c r="W1765" i="7950"/>
  <c r="W2472" i="7949"/>
  <c r="W2040" i="7949"/>
  <c r="W1500" i="7949"/>
  <c r="W744" i="7949"/>
  <c r="W312" i="7949"/>
  <c r="W2575" i="7950"/>
  <c r="W1603" i="7950"/>
  <c r="W523" i="7950"/>
  <c r="W307" i="7950"/>
  <c r="W955" i="7950"/>
  <c r="W1009" i="7950"/>
  <c r="W361" i="7950"/>
  <c r="W145" i="7950"/>
  <c r="W847" i="7950"/>
  <c r="W2688" i="7949"/>
  <c r="W1824" i="7949"/>
  <c r="W1284" i="7949"/>
  <c r="W1068" i="7949"/>
  <c r="W852" i="7949"/>
  <c r="W420" i="7949"/>
  <c r="W2683" i="7950"/>
  <c r="W2251" i="7950"/>
  <c r="W2035" i="7950"/>
  <c r="W1441" i="7950"/>
  <c r="W1117" i="7950"/>
  <c r="W901" i="7950"/>
  <c r="W1657" i="7950"/>
  <c r="W2629" i="7950"/>
  <c r="W2197" i="7950"/>
  <c r="W1981" i="7950"/>
  <c r="W1873" i="7950"/>
  <c r="W793" i="7950"/>
  <c r="W685" i="7950"/>
  <c r="W469" i="7950"/>
  <c r="W1063" i="7950"/>
  <c r="W37" i="7950"/>
  <c r="Q335" i="7941"/>
  <c r="Q356" i="7941"/>
  <c r="Q349" i="7941"/>
  <c r="R750" i="18"/>
  <c r="Q338" i="7941"/>
  <c r="Q341" i="7941"/>
  <c r="Q350" i="7941"/>
  <c r="R727" i="18"/>
  <c r="R736" i="18"/>
  <c r="Q347" i="7941"/>
  <c r="R759" i="18"/>
  <c r="Q354" i="7941"/>
  <c r="R745" i="18"/>
  <c r="R765" i="18"/>
  <c r="R747" i="18"/>
  <c r="R728" i="18"/>
  <c r="R738" i="18"/>
  <c r="Q858" i="18"/>
  <c r="Q148" i="7941" s="1"/>
  <c r="Q833" i="18"/>
  <c r="Q123" i="7941" s="1"/>
  <c r="Q19" i="7941"/>
  <c r="P333" i="7941"/>
  <c r="R739" i="18"/>
  <c r="Q329" i="7941"/>
  <c r="Q53" i="7941"/>
  <c r="P367" i="7941"/>
  <c r="Q23" i="7941"/>
  <c r="P337" i="7941"/>
  <c r="R734" i="18"/>
  <c r="R737" i="18"/>
  <c r="R746" i="18"/>
  <c r="Q369" i="7941"/>
  <c r="P368" i="7941"/>
  <c r="Q54" i="7941"/>
  <c r="P345" i="7941"/>
  <c r="Q31" i="7941"/>
  <c r="Q34" i="7941"/>
  <c r="P348" i="7941"/>
  <c r="Q340" i="7941"/>
  <c r="R743" i="18"/>
  <c r="P365" i="7941"/>
  <c r="Q51" i="7941"/>
  <c r="Q343" i="7941"/>
  <c r="R725" i="18"/>
  <c r="R731" i="18"/>
  <c r="R752" i="18"/>
  <c r="P358" i="7941"/>
  <c r="Q44" i="7941"/>
  <c r="Q867" i="18"/>
  <c r="Q157" i="7941" s="1"/>
  <c r="Q837" i="18"/>
  <c r="Q127" i="7941" s="1"/>
  <c r="Q351" i="7941"/>
  <c r="Q868" i="18"/>
  <c r="Q158" i="7941" s="1"/>
  <c r="Q332" i="7941"/>
  <c r="Q342" i="7941"/>
  <c r="Q845" i="18"/>
  <c r="Q135" i="7941" s="1"/>
  <c r="Q848" i="18"/>
  <c r="Q138" i="7941" s="1"/>
  <c r="Q331" i="7941"/>
  <c r="Q865" i="18"/>
  <c r="Q155" i="7941" s="1"/>
  <c r="Q363" i="7941"/>
  <c r="U1603" i="7949" l="1"/>
  <c r="V1603" i="7949" s="1"/>
  <c r="W1603" i="7949" s="1"/>
  <c r="U253" i="7949"/>
  <c r="V253" i="7949" s="1"/>
  <c r="W253" i="7949" s="1"/>
  <c r="U1063" i="7949"/>
  <c r="V1063" i="7949" s="1"/>
  <c r="W1063" i="7949" s="1"/>
  <c r="U2305" i="7949"/>
  <c r="V2305" i="7949" s="1"/>
  <c r="W2305" i="7949" s="1"/>
  <c r="U793" i="7949"/>
  <c r="V793" i="7949" s="1"/>
  <c r="W793" i="7949" s="1"/>
  <c r="U685" i="7949"/>
  <c r="V685" i="7949" s="1"/>
  <c r="W685" i="7949" s="1"/>
  <c r="U2251" i="7949"/>
  <c r="V2251" i="7949" s="1"/>
  <c r="W2251" i="7949" s="1"/>
  <c r="U1333" i="7949"/>
  <c r="V1333" i="7949" s="1"/>
  <c r="W1333" i="7949" s="1"/>
  <c r="U1711" i="7949"/>
  <c r="V1711" i="7949" s="1"/>
  <c r="W1711" i="7949" s="1"/>
  <c r="U577" i="7949"/>
  <c r="V577" i="7949" s="1"/>
  <c r="W577" i="7949" s="1"/>
  <c r="U739" i="7949"/>
  <c r="V739" i="7949" s="1"/>
  <c r="W739" i="7949" s="1"/>
  <c r="U1927" i="7949"/>
  <c r="V1927" i="7949" s="1"/>
  <c r="W1927" i="7949" s="1"/>
  <c r="U1441" i="7949"/>
  <c r="V1441" i="7949" s="1"/>
  <c r="W1441" i="7949" s="1"/>
  <c r="U1981" i="7949"/>
  <c r="V1981" i="7949" s="1"/>
  <c r="W1981" i="7949" s="1"/>
  <c r="U1009" i="7949"/>
  <c r="V1009" i="7949" s="1"/>
  <c r="W1009" i="7949" s="1"/>
  <c r="U1657" i="7949"/>
  <c r="V1657" i="7949" s="1"/>
  <c r="W1657" i="7949" s="1"/>
  <c r="U307" i="7949"/>
  <c r="V307" i="7949" s="1"/>
  <c r="W307" i="7949" s="1"/>
  <c r="U1495" i="7949"/>
  <c r="V1495" i="7949" s="1"/>
  <c r="W1495" i="7949" s="1"/>
  <c r="U2683" i="7949"/>
  <c r="V2683" i="7949" s="1"/>
  <c r="W2683" i="7949" s="1"/>
  <c r="V10" i="7949"/>
  <c r="U2089" i="7949"/>
  <c r="V2089" i="7949" s="1"/>
  <c r="W2089" i="7949" s="1"/>
  <c r="U37" i="7949"/>
  <c r="V37" i="7949" s="1"/>
  <c r="W37" i="7949" s="1"/>
  <c r="U847" i="7949"/>
  <c r="V847" i="7949" s="1"/>
  <c r="W847" i="7949" s="1"/>
  <c r="U2035" i="7949"/>
  <c r="V2035" i="7949" s="1"/>
  <c r="W2035" i="7949" s="1"/>
  <c r="U415" i="7949"/>
  <c r="V415" i="7949" s="1"/>
  <c r="W415" i="7949" s="1"/>
  <c r="U523" i="7949"/>
  <c r="V523" i="7949" s="1"/>
  <c r="W523" i="7949" s="1"/>
  <c r="U2629" i="7949"/>
  <c r="V2629" i="7949" s="1"/>
  <c r="W2629" i="7949" s="1"/>
  <c r="U1171" i="7949"/>
  <c r="V1171" i="7949" s="1"/>
  <c r="W1171" i="7949" s="1"/>
  <c r="U1549" i="7949"/>
  <c r="V1549" i="7949" s="1"/>
  <c r="W1549" i="7949" s="1"/>
  <c r="U199" i="7949"/>
  <c r="V199" i="7949" s="1"/>
  <c r="W199" i="7949" s="1"/>
  <c r="U2467" i="7949"/>
  <c r="V2467" i="7949" s="1"/>
  <c r="W2467" i="7949" s="1"/>
  <c r="U901" i="7949"/>
  <c r="V901" i="7949" s="1"/>
  <c r="W901" i="7949" s="1"/>
  <c r="U1117" i="7949"/>
  <c r="V1117" i="7949" s="1"/>
  <c r="W1117" i="7949" s="1"/>
  <c r="U2521" i="7949"/>
  <c r="V2521" i="7949" s="1"/>
  <c r="W2521" i="7949" s="1"/>
  <c r="U469" i="7949"/>
  <c r="V469" i="7949" s="1"/>
  <c r="W469" i="7949" s="1"/>
  <c r="U1387" i="7949"/>
  <c r="V1387" i="7949" s="1"/>
  <c r="W1387" i="7949" s="1"/>
  <c r="U2197" i="7949"/>
  <c r="V2197" i="7949" s="1"/>
  <c r="W2197" i="7949" s="1"/>
  <c r="U2143" i="7949"/>
  <c r="V2143" i="7949" s="1"/>
  <c r="W2143" i="7949" s="1"/>
  <c r="U2413" i="7949"/>
  <c r="V2413" i="7949" s="1"/>
  <c r="W2413" i="7949" s="1"/>
  <c r="U631" i="7949"/>
  <c r="V631" i="7949" s="1"/>
  <c r="W631" i="7949" s="1"/>
  <c r="U1819" i="7949"/>
  <c r="V1819" i="7949" s="1"/>
  <c r="W1819" i="7949" s="1"/>
  <c r="U955" i="7949"/>
  <c r="V955" i="7949" s="1"/>
  <c r="W955" i="7949" s="1"/>
  <c r="U1279" i="7949"/>
  <c r="V1279" i="7949" s="1"/>
  <c r="W1279" i="7949" s="1"/>
  <c r="U2575" i="7949"/>
  <c r="V2575" i="7949" s="1"/>
  <c r="W2575" i="7949" s="1"/>
  <c r="U2359" i="7949"/>
  <c r="V2359" i="7949" s="1"/>
  <c r="W2359" i="7949" s="1"/>
  <c r="U1765" i="7949"/>
  <c r="V1765" i="7949" s="1"/>
  <c r="W1765" i="7949" s="1"/>
  <c r="U91" i="7949"/>
  <c r="V91" i="7949" s="1"/>
  <c r="W91" i="7949" s="1"/>
  <c r="U361" i="7949"/>
  <c r="V361" i="7949" s="1"/>
  <c r="W361" i="7949" s="1"/>
  <c r="U1873" i="7949"/>
  <c r="V1873" i="7949" s="1"/>
  <c r="W1873" i="7949" s="1"/>
  <c r="U145" i="7949"/>
  <c r="V145" i="7949" s="1"/>
  <c r="W145" i="7949" s="1"/>
  <c r="U1225" i="7949"/>
  <c r="V1225" i="7949" s="1"/>
  <c r="W1225" i="7949" s="1"/>
  <c r="Q330" i="7941"/>
  <c r="P352" i="7941"/>
  <c r="P161" i="7941"/>
  <c r="Q767" i="18"/>
  <c r="Q1133" i="18" s="1"/>
  <c r="O143" i="7941"/>
  <c r="P749" i="18"/>
  <c r="P344" i="7941"/>
  <c r="Q30" i="7941"/>
  <c r="Q852" i="18"/>
  <c r="Q142" i="7941" s="1"/>
  <c r="R726" i="18"/>
  <c r="Q1106" i="18"/>
  <c r="Q844" i="18" s="1"/>
  <c r="Q134" i="7941" s="1"/>
  <c r="W67" i="7950"/>
  <c r="W91" i="7950"/>
  <c r="R764" i="18"/>
  <c r="R754" i="18"/>
  <c r="R761" i="18"/>
  <c r="Q365" i="7941"/>
  <c r="Q348" i="7941"/>
  <c r="Q337" i="7941"/>
  <c r="Q367" i="7941"/>
  <c r="Q333" i="7941"/>
  <c r="R729" i="18"/>
  <c r="R744" i="18"/>
  <c r="R741" i="18"/>
  <c r="R733" i="18"/>
  <c r="R763" i="18"/>
  <c r="Q358" i="7941"/>
  <c r="Q345" i="7941"/>
  <c r="Q368" i="7941"/>
  <c r="V2306" i="7949" l="1"/>
  <c r="W2306" i="7949" s="1"/>
  <c r="V740" i="7949"/>
  <c r="W740" i="7949" s="1"/>
  <c r="V1604" i="7949"/>
  <c r="W1604" i="7949" s="1"/>
  <c r="V2630" i="7949"/>
  <c r="W2630" i="7949" s="1"/>
  <c r="V1334" i="7949"/>
  <c r="W1334" i="7949" s="1"/>
  <c r="V1658" i="7949"/>
  <c r="W1658" i="7949" s="1"/>
  <c r="V200" i="7949"/>
  <c r="W200" i="7949" s="1"/>
  <c r="V794" i="7949"/>
  <c r="W794" i="7949" s="1"/>
  <c r="V2252" i="7949"/>
  <c r="W2252" i="7949" s="1"/>
  <c r="V632" i="7949"/>
  <c r="W632" i="7949" s="1"/>
  <c r="V1550" i="7949"/>
  <c r="W1550" i="7949" s="1"/>
  <c r="V2522" i="7949"/>
  <c r="W2522" i="7949" s="1"/>
  <c r="V1280" i="7949"/>
  <c r="W1280" i="7949" s="1"/>
  <c r="V1496" i="7949"/>
  <c r="W1496" i="7949" s="1"/>
  <c r="V308" i="7949"/>
  <c r="W308" i="7949" s="1"/>
  <c r="V902" i="7949"/>
  <c r="W902" i="7949" s="1"/>
  <c r="V1388" i="7949"/>
  <c r="W1388" i="7949" s="1"/>
  <c r="V2198" i="7949"/>
  <c r="W2198" i="7949" s="1"/>
  <c r="V146" i="7949"/>
  <c r="W146" i="7949" s="1"/>
  <c r="V686" i="7949"/>
  <c r="W686" i="7949" s="1"/>
  <c r="V2090" i="7949"/>
  <c r="W2090" i="7949" s="1"/>
  <c r="V578" i="7949"/>
  <c r="W578" i="7949" s="1"/>
  <c r="V1442" i="7949"/>
  <c r="W1442" i="7949" s="1"/>
  <c r="V2414" i="7949"/>
  <c r="W2414" i="7949" s="1"/>
  <c r="V1118" i="7949"/>
  <c r="W1118" i="7949" s="1"/>
  <c r="V2144" i="7949"/>
  <c r="W2144" i="7949" s="1"/>
  <c r="W10" i="7949"/>
  <c r="V524" i="7949"/>
  <c r="W524" i="7949" s="1"/>
  <c r="V1928" i="7949"/>
  <c r="W1928" i="7949" s="1"/>
  <c r="V470" i="7949"/>
  <c r="W470" i="7949" s="1"/>
  <c r="V2468" i="7949"/>
  <c r="W2468" i="7949" s="1"/>
  <c r="V2684" i="7949"/>
  <c r="W2684" i="7949" s="1"/>
  <c r="V254" i="7949"/>
  <c r="W254" i="7949" s="1"/>
  <c r="V1226" i="7949"/>
  <c r="W1226" i="7949" s="1"/>
  <c r="V2360" i="7949"/>
  <c r="W2360" i="7949" s="1"/>
  <c r="V1010" i="7949"/>
  <c r="W1010" i="7949" s="1"/>
  <c r="V2036" i="7949"/>
  <c r="W2036" i="7949" s="1"/>
  <c r="V38" i="7949"/>
  <c r="W38" i="7949" s="1"/>
  <c r="V416" i="7949"/>
  <c r="W416" i="7949" s="1"/>
  <c r="V1874" i="7949"/>
  <c r="W1874" i="7949" s="1"/>
  <c r="V362" i="7949"/>
  <c r="W362" i="7949" s="1"/>
  <c r="V1172" i="7949"/>
  <c r="W1172" i="7949" s="1"/>
  <c r="V2576" i="7949"/>
  <c r="W2576" i="7949" s="1"/>
  <c r="V956" i="7949"/>
  <c r="W956" i="7949" s="1"/>
  <c r="V1982" i="7949"/>
  <c r="W1982" i="7949" s="1"/>
  <c r="V92" i="7949"/>
  <c r="W92" i="7949" s="1"/>
  <c r="V1766" i="7949"/>
  <c r="W1766" i="7949" s="1"/>
  <c r="V1064" i="7949"/>
  <c r="W1064" i="7949" s="1"/>
  <c r="V1820" i="7949"/>
  <c r="W1820" i="7949" s="1"/>
  <c r="V1712" i="7949"/>
  <c r="W1712" i="7949" s="1"/>
  <c r="V848" i="7949"/>
  <c r="W848" i="7949" s="1"/>
  <c r="Q352" i="7941"/>
  <c r="R740" i="18"/>
  <c r="Q344" i="7941"/>
  <c r="O353" i="7941"/>
  <c r="P39" i="7941"/>
  <c r="Q871" i="18"/>
  <c r="Q161" i="7941" s="1"/>
  <c r="R748" i="18"/>
  <c r="P1115" i="18"/>
  <c r="P371" i="7941"/>
  <c r="Q57" i="7941"/>
  <c r="W1821" i="7949" l="1"/>
  <c r="W309" i="7949"/>
  <c r="W741" i="7949"/>
  <c r="W2361" i="7949"/>
  <c r="W849" i="7949"/>
  <c r="W1497" i="7949"/>
  <c r="W2415" i="7949"/>
  <c r="W1389" i="7949"/>
  <c r="W2091" i="7949"/>
  <c r="W39" i="7949"/>
  <c r="W957" i="7949"/>
  <c r="W2037" i="7949"/>
  <c r="W417" i="7949"/>
  <c r="W1119" i="7949"/>
  <c r="W2253" i="7949"/>
  <c r="W1551" i="7949"/>
  <c r="W2631" i="7949"/>
  <c r="W1173" i="7949"/>
  <c r="W2145" i="7949"/>
  <c r="W201" i="7949"/>
  <c r="W633" i="7949"/>
  <c r="W2199" i="7949"/>
  <c r="W579" i="7949"/>
  <c r="W1281" i="7949"/>
  <c r="W2685" i="7949"/>
  <c r="W1227" i="7949"/>
  <c r="W1767" i="7949"/>
  <c r="W2577" i="7949"/>
  <c r="W1065" i="7949"/>
  <c r="W93" i="7949"/>
  <c r="W1605" i="7949"/>
  <c r="W2307" i="7949"/>
  <c r="W1713" i="7949"/>
  <c r="W687" i="7949"/>
  <c r="W1875" i="7949"/>
  <c r="W147" i="7949"/>
  <c r="W1443" i="7949"/>
  <c r="W2469" i="7949"/>
  <c r="W903" i="7949"/>
  <c r="W1983" i="7949"/>
  <c r="W2523" i="7949"/>
  <c r="W471" i="7949"/>
  <c r="W1929" i="7949"/>
  <c r="W363" i="7949"/>
  <c r="W1011" i="7949"/>
  <c r="W1659" i="7949"/>
  <c r="W525" i="7949"/>
  <c r="W255" i="7949"/>
  <c r="W795" i="7949"/>
  <c r="W1335" i="7949"/>
  <c r="Q371" i="7941"/>
  <c r="R767" i="18"/>
  <c r="P853" i="18"/>
  <c r="P143" i="7941" l="1"/>
  <c r="Q749" i="18"/>
  <c r="Q1115" i="18" l="1"/>
  <c r="Q853" i="18" s="1"/>
  <c r="Q143" i="7941" s="1"/>
  <c r="P353" i="7941"/>
  <c r="Q39" i="7941"/>
  <c r="Q353" i="7941" l="1"/>
  <c r="R749" i="18"/>
  <c r="G771" i="18" l="1"/>
  <c r="G61" i="7941" s="1"/>
  <c r="G15" i="7942"/>
  <c r="G16" i="7942"/>
  <c r="G772" i="18"/>
  <c r="G62" i="7941" s="1"/>
  <c r="L57" i="1" l="1"/>
  <c r="G14" i="7942"/>
  <c r="G770" i="18"/>
  <c r="G60" i="7941" l="1"/>
  <c r="G59" i="7941" s="1"/>
  <c r="G769" i="18"/>
  <c r="G13" i="7942"/>
  <c r="G328" i="7942" l="1"/>
  <c r="G277" i="7942" l="1"/>
  <c r="G329" i="7942"/>
  <c r="G276" i="7942"/>
  <c r="G380" i="7942" s="1"/>
  <c r="G327" i="7942"/>
  <c r="G525" i="1"/>
  <c r="G381" i="7942" l="1"/>
  <c r="H435" i="7942" s="1"/>
  <c r="I435" i="7942" s="1"/>
  <c r="J435" i="7942" s="1"/>
  <c r="F274" i="7942"/>
  <c r="G274" i="7942"/>
  <c r="H433" i="7942"/>
  <c r="I433" i="7942" s="1"/>
  <c r="J433" i="7942" s="1"/>
  <c r="K433" i="7942" s="1"/>
  <c r="G326" i="7942"/>
  <c r="K435" i="7942" l="1"/>
  <c r="L435" i="7942" s="1"/>
  <c r="M435" i="7942" s="1"/>
  <c r="I436" i="7942"/>
  <c r="J436" i="7942"/>
  <c r="G379" i="7942"/>
  <c r="H431" i="7942" s="1"/>
  <c r="L433" i="7942"/>
  <c r="M433" i="7942" s="1"/>
  <c r="I434" i="7942"/>
  <c r="N435" i="7942" l="1"/>
  <c r="O435" i="7942" s="1"/>
  <c r="P435" i="7942" s="1"/>
  <c r="Q435" i="7942" s="1"/>
  <c r="G378" i="7942"/>
  <c r="I431" i="7942"/>
  <c r="J431" i="7942" s="1"/>
  <c r="H430" i="7942"/>
  <c r="N433" i="7942"/>
  <c r="O433" i="7942" s="1"/>
  <c r="J434" i="7942"/>
  <c r="K436" i="7942"/>
  <c r="J430" i="7942" l="1"/>
  <c r="P433" i="7942"/>
  <c r="Q433" i="7942" s="1"/>
  <c r="K431" i="7942"/>
  <c r="K430" i="7942" s="1"/>
  <c r="I430" i="7942"/>
  <c r="I531" i="7942" s="1"/>
  <c r="J432" i="7942"/>
  <c r="I432" i="7942"/>
  <c r="O436" i="7942"/>
  <c r="M436" i="7942"/>
  <c r="Q436" i="7942"/>
  <c r="Q532" i="7941" s="1"/>
  <c r="K434" i="7942"/>
  <c r="L436" i="7942"/>
  <c r="N436" i="7942"/>
  <c r="P436" i="7942"/>
  <c r="K432" i="7942" l="1"/>
  <c r="J531" i="7942"/>
  <c r="L431" i="7942"/>
  <c r="L432" i="7942" s="1"/>
  <c r="L434" i="7942"/>
  <c r="K531" i="7942"/>
  <c r="L430" i="7942" l="1"/>
  <c r="L531" i="7942" s="1"/>
  <c r="M431" i="7942"/>
  <c r="M432" i="7942" s="1"/>
  <c r="M434" i="7942"/>
  <c r="N434" i="7942"/>
  <c r="M430" i="7942" l="1"/>
  <c r="M531" i="7942" s="1"/>
  <c r="N431" i="7942"/>
  <c r="O431" i="7942" s="1"/>
  <c r="P431" i="7942" s="1"/>
  <c r="Q431" i="7942" s="1"/>
  <c r="O434" i="7942"/>
  <c r="P434" i="7942"/>
  <c r="Q434" i="7942"/>
  <c r="Q531" i="7941" s="1"/>
  <c r="N430" i="7942" l="1"/>
  <c r="N531" i="7942" s="1"/>
  <c r="N432" i="7942"/>
  <c r="O430" i="7942"/>
  <c r="O432" i="7942"/>
  <c r="O531" i="7942" l="1"/>
  <c r="P430" i="7942"/>
  <c r="P531" i="7942" s="1"/>
  <c r="P432" i="7942"/>
  <c r="Q430" i="7942" l="1"/>
  <c r="Q531" i="7942" s="1"/>
  <c r="Q432" i="7942"/>
  <c r="Q530" i="7941" s="1"/>
  <c r="Q529" i="7941" s="1"/>
  <c r="G1338" i="7950" l="1"/>
  <c r="E1336" i="7950"/>
  <c r="F1336" i="7950" s="1"/>
  <c r="G1336" i="7950" s="1"/>
  <c r="H1336" i="7950" s="1"/>
  <c r="I1336" i="7950" s="1"/>
  <c r="J1336" i="7950" s="1"/>
  <c r="K1336" i="7950" s="1"/>
  <c r="L1336" i="7950" s="1"/>
  <c r="M1336" i="7950" s="1"/>
  <c r="N1336" i="7950" s="1"/>
  <c r="O1336" i="7950" s="1"/>
  <c r="P1336" i="7950" s="1"/>
  <c r="Q1336" i="7950" s="1"/>
  <c r="R1336" i="7950" s="1"/>
  <c r="S1336" i="7950" s="1"/>
  <c r="T1336" i="7950" s="1"/>
  <c r="U1336" i="7950" s="1"/>
  <c r="V1336" i="7950" s="1"/>
  <c r="W1336" i="7950" s="1"/>
  <c r="H1339" i="7950"/>
  <c r="F1337" i="7950"/>
  <c r="G1337" i="7950" s="1"/>
  <c r="H1337" i="7950" s="1"/>
  <c r="I1337" i="7950" s="1"/>
  <c r="J1337" i="7950" s="1"/>
  <c r="K1337" i="7950" s="1"/>
  <c r="L1337" i="7950" s="1"/>
  <c r="M1337" i="7950" s="1"/>
  <c r="N1337" i="7950" s="1"/>
  <c r="O1337" i="7950" s="1"/>
  <c r="P1337" i="7950" s="1"/>
  <c r="Q1337" i="7950" s="1"/>
  <c r="R1337" i="7950" s="1"/>
  <c r="S1337" i="7950" s="1"/>
  <c r="T1337" i="7950" s="1"/>
  <c r="U1337" i="7950" s="1"/>
  <c r="V1337" i="7950" s="1"/>
  <c r="W1337" i="7950" s="1"/>
  <c r="D1335" i="7950"/>
  <c r="E1335" i="7950" s="1"/>
  <c r="C1334" i="7950" l="1"/>
  <c r="F1335" i="7950"/>
  <c r="G1335" i="7950" s="1"/>
  <c r="H1335" i="7950" s="1"/>
  <c r="I1335" i="7950" s="1"/>
  <c r="H1338" i="7950"/>
  <c r="I1338" i="7950" s="1"/>
  <c r="J1338" i="7950" s="1"/>
  <c r="K1338" i="7950" s="1"/>
  <c r="L1338" i="7950" s="1"/>
  <c r="M1338" i="7950" s="1"/>
  <c r="N1338" i="7950" s="1"/>
  <c r="O1338" i="7950" s="1"/>
  <c r="P1338" i="7950" s="1"/>
  <c r="Q1338" i="7950" s="1"/>
  <c r="R1338" i="7950" s="1"/>
  <c r="S1338" i="7950" s="1"/>
  <c r="T1338" i="7950" s="1"/>
  <c r="U1338" i="7950" s="1"/>
  <c r="V1338" i="7950" s="1"/>
  <c r="W1338" i="7950" s="1"/>
  <c r="H1314" i="7950"/>
  <c r="I1339" i="7950"/>
  <c r="J1339" i="7950" s="1"/>
  <c r="K1339" i="7950" s="1"/>
  <c r="L1339" i="7950" s="1"/>
  <c r="M1339" i="7950" s="1"/>
  <c r="N1339" i="7950" s="1"/>
  <c r="O1339" i="7950" s="1"/>
  <c r="P1339" i="7950" s="1"/>
  <c r="Q1339" i="7950" s="1"/>
  <c r="R1339" i="7950" s="1"/>
  <c r="S1339" i="7950" s="1"/>
  <c r="T1339" i="7950" s="1"/>
  <c r="U1339" i="7950" s="1"/>
  <c r="V1339" i="7950" s="1"/>
  <c r="W1339" i="7950" s="1"/>
  <c r="I1315" i="7950"/>
  <c r="J1315" i="7950" l="1"/>
  <c r="K1315" i="7950" s="1"/>
  <c r="L1315" i="7950" s="1"/>
  <c r="M1315" i="7950" s="1"/>
  <c r="N1315" i="7950" s="1"/>
  <c r="O1315" i="7950" s="1"/>
  <c r="P1315" i="7950" s="1"/>
  <c r="Q1315" i="7950" s="1"/>
  <c r="R1315" i="7950" s="1"/>
  <c r="S1315" i="7950" s="1"/>
  <c r="T1315" i="7950" s="1"/>
  <c r="U1315" i="7950" s="1"/>
  <c r="V1315" i="7950" s="1"/>
  <c r="W1315" i="7950" s="1"/>
  <c r="I1314" i="7950"/>
  <c r="J1314" i="7950" s="1"/>
  <c r="K1314" i="7950" s="1"/>
  <c r="L1314" i="7950" s="1"/>
  <c r="M1314" i="7950" s="1"/>
  <c r="N1314" i="7950" s="1"/>
  <c r="O1314" i="7950" s="1"/>
  <c r="P1314" i="7950" s="1"/>
  <c r="Q1314" i="7950" s="1"/>
  <c r="R1314" i="7950" s="1"/>
  <c r="S1314" i="7950" s="1"/>
  <c r="T1314" i="7950" s="1"/>
  <c r="U1314" i="7950" s="1"/>
  <c r="V1314" i="7950" s="1"/>
  <c r="W1314" i="7950" s="1"/>
  <c r="J1335" i="7950"/>
  <c r="D1334" i="7950"/>
  <c r="E1334" i="7950" s="1"/>
  <c r="F1334" i="7950" l="1"/>
  <c r="K1335" i="7950"/>
  <c r="L1335" i="7950" l="1"/>
  <c r="G1334" i="7950"/>
  <c r="H1334" i="7950" l="1"/>
  <c r="M1335" i="7950"/>
  <c r="N1335" i="7950" l="1"/>
  <c r="I1334" i="7950"/>
  <c r="J1334" i="7950" l="1"/>
  <c r="O1335" i="7950"/>
  <c r="P1335" i="7950" l="1"/>
  <c r="K1334" i="7950"/>
  <c r="L1334" i="7950" l="1"/>
  <c r="Q1335" i="7950"/>
  <c r="R1335" i="7950" l="1"/>
  <c r="M1334" i="7950"/>
  <c r="H102" i="7949"/>
  <c r="F100" i="7949"/>
  <c r="G100" i="7949" s="1"/>
  <c r="H100" i="7949" s="1"/>
  <c r="I100" i="7949" s="1"/>
  <c r="J100" i="7949" s="1"/>
  <c r="K100" i="7949" s="1"/>
  <c r="L100" i="7949" s="1"/>
  <c r="M100" i="7949" s="1"/>
  <c r="N100" i="7949" s="1"/>
  <c r="O100" i="7949" s="1"/>
  <c r="P100" i="7949" s="1"/>
  <c r="Q100" i="7949" s="1"/>
  <c r="R100" i="7949" s="1"/>
  <c r="S100" i="7949" s="1"/>
  <c r="T100" i="7949" s="1"/>
  <c r="U100" i="7949" s="1"/>
  <c r="V100" i="7949" s="1"/>
  <c r="W100" i="7949" s="1"/>
  <c r="D98" i="7949"/>
  <c r="G101" i="7949"/>
  <c r="E99" i="7949"/>
  <c r="F99" i="7949" s="1"/>
  <c r="G99" i="7949" s="1"/>
  <c r="H99" i="7949" s="1"/>
  <c r="I99" i="7949" s="1"/>
  <c r="J99" i="7949" s="1"/>
  <c r="K99" i="7949" s="1"/>
  <c r="L99" i="7949" s="1"/>
  <c r="M99" i="7949" s="1"/>
  <c r="N99" i="7949" s="1"/>
  <c r="O99" i="7949" s="1"/>
  <c r="P99" i="7949" s="1"/>
  <c r="Q99" i="7949" s="1"/>
  <c r="R99" i="7949" s="1"/>
  <c r="S99" i="7949" s="1"/>
  <c r="T99" i="7949" s="1"/>
  <c r="U99" i="7949" s="1"/>
  <c r="V99" i="7949" s="1"/>
  <c r="W99" i="7949" s="1"/>
  <c r="C97" i="7949" l="1"/>
  <c r="I102" i="7949"/>
  <c r="J102" i="7949" s="1"/>
  <c r="K102" i="7949" s="1"/>
  <c r="L102" i="7949" s="1"/>
  <c r="M102" i="7949" s="1"/>
  <c r="N102" i="7949" s="1"/>
  <c r="O102" i="7949" s="1"/>
  <c r="P102" i="7949" s="1"/>
  <c r="Q102" i="7949" s="1"/>
  <c r="R102" i="7949" s="1"/>
  <c r="S102" i="7949" s="1"/>
  <c r="T102" i="7949" s="1"/>
  <c r="U102" i="7949" s="1"/>
  <c r="V102" i="7949" s="1"/>
  <c r="W102" i="7949" s="1"/>
  <c r="N1334" i="7950"/>
  <c r="H101" i="7949"/>
  <c r="I101" i="7949" s="1"/>
  <c r="J101" i="7949" s="1"/>
  <c r="K101" i="7949" s="1"/>
  <c r="L101" i="7949" s="1"/>
  <c r="M101" i="7949" s="1"/>
  <c r="N101" i="7949" s="1"/>
  <c r="O101" i="7949" s="1"/>
  <c r="P101" i="7949" s="1"/>
  <c r="Q101" i="7949" s="1"/>
  <c r="R101" i="7949" s="1"/>
  <c r="S101" i="7949" s="1"/>
  <c r="T101" i="7949" s="1"/>
  <c r="U101" i="7949" s="1"/>
  <c r="V101" i="7949" s="1"/>
  <c r="W101" i="7949" s="1"/>
  <c r="E98" i="7949"/>
  <c r="F98" i="7949" s="1"/>
  <c r="G98" i="7949" s="1"/>
  <c r="H98" i="7949" s="1"/>
  <c r="I98" i="7949" s="1"/>
  <c r="J98" i="7949" s="1"/>
  <c r="K98" i="7949" s="1"/>
  <c r="L98" i="7949" s="1"/>
  <c r="M98" i="7949" s="1"/>
  <c r="N98" i="7949" s="1"/>
  <c r="O98" i="7949" s="1"/>
  <c r="P98" i="7949" s="1"/>
  <c r="Q98" i="7949" s="1"/>
  <c r="R98" i="7949" s="1"/>
  <c r="S98" i="7949" s="1"/>
  <c r="T98" i="7949" s="1"/>
  <c r="U98" i="7949" s="1"/>
  <c r="V98" i="7949" s="1"/>
  <c r="W98" i="7949" s="1"/>
  <c r="S1335" i="7950"/>
  <c r="O1334" i="7950" l="1"/>
  <c r="T1335" i="7950"/>
  <c r="D97" i="7949"/>
  <c r="U1335" i="7950" l="1"/>
  <c r="E97" i="7949"/>
  <c r="P1334" i="7950"/>
  <c r="F97" i="7949" l="1"/>
  <c r="Q1334" i="7950"/>
  <c r="V1335" i="7950"/>
  <c r="R1334" i="7950" l="1"/>
  <c r="G97" i="7949"/>
  <c r="W1335" i="7950"/>
  <c r="H97" i="7949" l="1"/>
  <c r="S1334" i="7950"/>
  <c r="C2684" i="7950" l="1"/>
  <c r="T1334" i="7950"/>
  <c r="I97" i="7949"/>
  <c r="E40" i="7950"/>
  <c r="F40" i="7950" s="1"/>
  <c r="G40" i="7950" s="1"/>
  <c r="H40" i="7950" s="1"/>
  <c r="I40" i="7950" s="1"/>
  <c r="J40" i="7950" s="1"/>
  <c r="K40" i="7950" s="1"/>
  <c r="L40" i="7950" s="1"/>
  <c r="M40" i="7950" s="1"/>
  <c r="N40" i="7950" s="1"/>
  <c r="O40" i="7950" s="1"/>
  <c r="P40" i="7950" s="1"/>
  <c r="Q40" i="7950" s="1"/>
  <c r="R40" i="7950" s="1"/>
  <c r="S40" i="7950" s="1"/>
  <c r="T40" i="7950" s="1"/>
  <c r="U40" i="7950" s="1"/>
  <c r="V40" i="7950" s="1"/>
  <c r="W40" i="7950" s="1"/>
  <c r="H43" i="7950"/>
  <c r="F41" i="7950"/>
  <c r="D39" i="7950"/>
  <c r="E39" i="7950" s="1"/>
  <c r="G42" i="7950"/>
  <c r="G96" i="7950"/>
  <c r="E94" i="7950"/>
  <c r="H97" i="7950"/>
  <c r="F95" i="7950"/>
  <c r="G95" i="7950" s="1"/>
  <c r="H95" i="7950" s="1"/>
  <c r="D93" i="7950"/>
  <c r="E93" i="7950" s="1"/>
  <c r="H205" i="7950"/>
  <c r="F203" i="7950"/>
  <c r="G203" i="7950" s="1"/>
  <c r="D201" i="7950"/>
  <c r="E201" i="7950" s="1"/>
  <c r="G204" i="7950"/>
  <c r="E202" i="7950"/>
  <c r="F202" i="7950" s="1"/>
  <c r="H313" i="7950"/>
  <c r="F311" i="7950"/>
  <c r="G311" i="7950" s="1"/>
  <c r="D309" i="7950"/>
  <c r="E309" i="7950" s="1"/>
  <c r="G312" i="7950"/>
  <c r="E310" i="7950"/>
  <c r="F310" i="7950" s="1"/>
  <c r="G420" i="7950"/>
  <c r="E418" i="7950"/>
  <c r="F418" i="7950" s="1"/>
  <c r="H421" i="7950"/>
  <c r="F419" i="7950"/>
  <c r="G419" i="7950" s="1"/>
  <c r="D417" i="7950"/>
  <c r="E417" i="7950" s="1"/>
  <c r="G528" i="7950"/>
  <c r="E526" i="7950"/>
  <c r="F526" i="7950" s="1"/>
  <c r="H529" i="7950"/>
  <c r="F527" i="7950"/>
  <c r="G527" i="7950" s="1"/>
  <c r="D525" i="7950"/>
  <c r="E525" i="7950" s="1"/>
  <c r="G636" i="7950"/>
  <c r="E634" i="7950"/>
  <c r="F634" i="7950" s="1"/>
  <c r="H637" i="7950"/>
  <c r="F635" i="7950"/>
  <c r="G635" i="7950" s="1"/>
  <c r="D633" i="7950"/>
  <c r="E633" i="7950" s="1"/>
  <c r="G744" i="7950"/>
  <c r="E742" i="7950"/>
  <c r="F742" i="7950" s="1"/>
  <c r="H745" i="7950"/>
  <c r="F743" i="7950"/>
  <c r="G743" i="7950" s="1"/>
  <c r="D741" i="7950"/>
  <c r="E741" i="7950" s="1"/>
  <c r="G852" i="7950"/>
  <c r="E850" i="7950"/>
  <c r="F850" i="7950" s="1"/>
  <c r="H853" i="7950"/>
  <c r="F851" i="7950"/>
  <c r="G851" i="7950" s="1"/>
  <c r="D849" i="7950"/>
  <c r="E849" i="7950" s="1"/>
  <c r="G960" i="7950"/>
  <c r="E958" i="7950"/>
  <c r="F958" i="7950" s="1"/>
  <c r="H961" i="7950"/>
  <c r="F959" i="7950"/>
  <c r="G959" i="7950" s="1"/>
  <c r="D957" i="7950"/>
  <c r="E957" i="7950" s="1"/>
  <c r="G1068" i="7950"/>
  <c r="E1066" i="7950"/>
  <c r="F1066" i="7950" s="1"/>
  <c r="H1069" i="7950"/>
  <c r="F1067" i="7950"/>
  <c r="G1067" i="7950" s="1"/>
  <c r="D1065" i="7950"/>
  <c r="E1065" i="7950" s="1"/>
  <c r="G1176" i="7950"/>
  <c r="E1174" i="7950"/>
  <c r="F1174" i="7950" s="1"/>
  <c r="H1177" i="7950"/>
  <c r="F1175" i="7950"/>
  <c r="G1175" i="7950" s="1"/>
  <c r="D1173" i="7950"/>
  <c r="E1173" i="7950" s="1"/>
  <c r="G1284" i="7950"/>
  <c r="E1282" i="7950"/>
  <c r="F1282" i="7950" s="1"/>
  <c r="H1285" i="7950"/>
  <c r="F1283" i="7950"/>
  <c r="G1283" i="7950" s="1"/>
  <c r="D1281" i="7950"/>
  <c r="E1281" i="7950" s="1"/>
  <c r="H1447" i="7950"/>
  <c r="F1445" i="7950"/>
  <c r="G1445" i="7950" s="1"/>
  <c r="D1443" i="7950"/>
  <c r="E1443" i="7950" s="1"/>
  <c r="E1444" i="7950"/>
  <c r="F1444" i="7950" s="1"/>
  <c r="G1446" i="7950"/>
  <c r="H1555" i="7950"/>
  <c r="F1553" i="7950"/>
  <c r="G1553" i="7950" s="1"/>
  <c r="D1551" i="7950"/>
  <c r="E1551" i="7950" s="1"/>
  <c r="E1552" i="7950"/>
  <c r="F1552" i="7950" s="1"/>
  <c r="G1554" i="7950"/>
  <c r="H1663" i="7950"/>
  <c r="F1661" i="7950"/>
  <c r="G1661" i="7950" s="1"/>
  <c r="D1659" i="7950"/>
  <c r="E1659" i="7950" s="1"/>
  <c r="G1662" i="7950"/>
  <c r="E1660" i="7950"/>
  <c r="F1660" i="7950" s="1"/>
  <c r="H1771" i="7950"/>
  <c r="F1769" i="7950"/>
  <c r="G1769" i="7950" s="1"/>
  <c r="D1767" i="7950"/>
  <c r="E1767" i="7950" s="1"/>
  <c r="G1770" i="7950"/>
  <c r="E1768" i="7950"/>
  <c r="F1768" i="7950" s="1"/>
  <c r="H1879" i="7950"/>
  <c r="F1877" i="7950"/>
  <c r="G1877" i="7950" s="1"/>
  <c r="D1875" i="7950"/>
  <c r="E1875" i="7950" s="1"/>
  <c r="G1878" i="7950"/>
  <c r="E1876" i="7950"/>
  <c r="F1876" i="7950" s="1"/>
  <c r="H1987" i="7950"/>
  <c r="F1985" i="7950"/>
  <c r="G1985" i="7950" s="1"/>
  <c r="D1983" i="7950"/>
  <c r="E1983" i="7950" s="1"/>
  <c r="G1986" i="7950"/>
  <c r="E1984" i="7950"/>
  <c r="F1984" i="7950" s="1"/>
  <c r="H2095" i="7950"/>
  <c r="F2093" i="7950"/>
  <c r="G2093" i="7950" s="1"/>
  <c r="D2091" i="7950"/>
  <c r="E2091" i="7950" s="1"/>
  <c r="G2094" i="7950"/>
  <c r="E2092" i="7950"/>
  <c r="F2092" i="7950" s="1"/>
  <c r="H2203" i="7950"/>
  <c r="F2201" i="7950"/>
  <c r="G2201" i="7950" s="1"/>
  <c r="D2199" i="7950"/>
  <c r="E2199" i="7950" s="1"/>
  <c r="G2202" i="7950"/>
  <c r="E2200" i="7950"/>
  <c r="F2200" i="7950" s="1"/>
  <c r="H2311" i="7950"/>
  <c r="F2309" i="7950"/>
  <c r="G2309" i="7950" s="1"/>
  <c r="D2307" i="7950"/>
  <c r="E2307" i="7950" s="1"/>
  <c r="G2310" i="7950"/>
  <c r="E2308" i="7950"/>
  <c r="F2308" i="7950" s="1"/>
  <c r="H2419" i="7950"/>
  <c r="F2417" i="7950"/>
  <c r="G2417" i="7950" s="1"/>
  <c r="D2415" i="7950"/>
  <c r="E2415" i="7950" s="1"/>
  <c r="G2418" i="7950"/>
  <c r="E2416" i="7950"/>
  <c r="F2416" i="7950" s="1"/>
  <c r="H2527" i="7950"/>
  <c r="F2525" i="7950"/>
  <c r="G2525" i="7950" s="1"/>
  <c r="D2523" i="7950"/>
  <c r="E2523" i="7950" s="1"/>
  <c r="G2526" i="7950"/>
  <c r="E2524" i="7950"/>
  <c r="F2524" i="7950" s="1"/>
  <c r="H2635" i="7950"/>
  <c r="F2633" i="7950"/>
  <c r="G2633" i="7950" s="1"/>
  <c r="D2631" i="7950"/>
  <c r="E2631" i="7950" s="1"/>
  <c r="G2634" i="7950"/>
  <c r="E2632" i="7950"/>
  <c r="F2632" i="7950" s="1"/>
  <c r="H151" i="7950"/>
  <c r="G150" i="7950"/>
  <c r="E148" i="7950"/>
  <c r="F148" i="7950" s="1"/>
  <c r="G148" i="7950" s="1"/>
  <c r="F149" i="7950"/>
  <c r="G149" i="7950" s="1"/>
  <c r="H149" i="7950" s="1"/>
  <c r="D147" i="7950"/>
  <c r="E147" i="7950" s="1"/>
  <c r="F147" i="7950" s="1"/>
  <c r="E256" i="7950"/>
  <c r="F256" i="7950" s="1"/>
  <c r="G258" i="7950"/>
  <c r="D255" i="7950"/>
  <c r="E255" i="7950" s="1"/>
  <c r="F257" i="7950"/>
  <c r="G257" i="7950" s="1"/>
  <c r="H259" i="7950"/>
  <c r="G366" i="7950"/>
  <c r="E364" i="7950"/>
  <c r="F364" i="7950" s="1"/>
  <c r="H367" i="7950"/>
  <c r="F365" i="7950"/>
  <c r="G365" i="7950" s="1"/>
  <c r="D363" i="7950"/>
  <c r="E363" i="7950" s="1"/>
  <c r="G474" i="7950"/>
  <c r="E472" i="7950"/>
  <c r="F472" i="7950" s="1"/>
  <c r="H475" i="7950"/>
  <c r="F473" i="7950"/>
  <c r="G473" i="7950" s="1"/>
  <c r="D471" i="7950"/>
  <c r="E471" i="7950" s="1"/>
  <c r="G582" i="7950"/>
  <c r="E580" i="7950"/>
  <c r="F580" i="7950" s="1"/>
  <c r="H583" i="7950"/>
  <c r="F581" i="7950"/>
  <c r="G581" i="7950" s="1"/>
  <c r="D579" i="7950"/>
  <c r="E579" i="7950" s="1"/>
  <c r="G690" i="7950"/>
  <c r="E688" i="7950"/>
  <c r="F688" i="7950" s="1"/>
  <c r="H691" i="7950"/>
  <c r="F689" i="7950"/>
  <c r="G689" i="7950" s="1"/>
  <c r="D687" i="7950"/>
  <c r="E687" i="7950" s="1"/>
  <c r="G798" i="7950"/>
  <c r="E796" i="7950"/>
  <c r="F796" i="7950" s="1"/>
  <c r="H799" i="7950"/>
  <c r="F797" i="7950"/>
  <c r="G797" i="7950" s="1"/>
  <c r="D795" i="7950"/>
  <c r="E795" i="7950" s="1"/>
  <c r="G906" i="7950"/>
  <c r="E904" i="7950"/>
  <c r="F904" i="7950" s="1"/>
  <c r="H907" i="7950"/>
  <c r="F905" i="7950"/>
  <c r="G905" i="7950" s="1"/>
  <c r="D903" i="7950"/>
  <c r="E903" i="7950" s="1"/>
  <c r="G1014" i="7950"/>
  <c r="E1012" i="7950"/>
  <c r="F1012" i="7950" s="1"/>
  <c r="H1015" i="7950"/>
  <c r="F1013" i="7950"/>
  <c r="G1013" i="7950" s="1"/>
  <c r="D1011" i="7950"/>
  <c r="E1011" i="7950" s="1"/>
  <c r="G1122" i="7950"/>
  <c r="E1120" i="7950"/>
  <c r="F1120" i="7950" s="1"/>
  <c r="H1123" i="7950"/>
  <c r="F1121" i="7950"/>
  <c r="G1121" i="7950" s="1"/>
  <c r="D1119" i="7950"/>
  <c r="E1119" i="7950" s="1"/>
  <c r="G1230" i="7950"/>
  <c r="E1228" i="7950"/>
  <c r="F1228" i="7950" s="1"/>
  <c r="H1231" i="7950"/>
  <c r="F1229" i="7950"/>
  <c r="G1229" i="7950" s="1"/>
  <c r="D1227" i="7950"/>
  <c r="E1227" i="7950" s="1"/>
  <c r="H1393" i="7950"/>
  <c r="F1391" i="7950"/>
  <c r="G1391" i="7950" s="1"/>
  <c r="D1389" i="7950"/>
  <c r="E1389" i="7950" s="1"/>
  <c r="G1392" i="7950"/>
  <c r="E1390" i="7950"/>
  <c r="F1390" i="7950" s="1"/>
  <c r="H1501" i="7950"/>
  <c r="F1499" i="7950"/>
  <c r="G1499" i="7950" s="1"/>
  <c r="D1497" i="7950"/>
  <c r="E1497" i="7950" s="1"/>
  <c r="G1500" i="7950"/>
  <c r="E1498" i="7950"/>
  <c r="F1498" i="7950" s="1"/>
  <c r="H1609" i="7950"/>
  <c r="F1607" i="7950"/>
  <c r="G1607" i="7950" s="1"/>
  <c r="D1605" i="7950"/>
  <c r="E1605" i="7950" s="1"/>
  <c r="G1608" i="7950"/>
  <c r="E1606" i="7950"/>
  <c r="F1606" i="7950" s="1"/>
  <c r="H1717" i="7950"/>
  <c r="F1715" i="7950"/>
  <c r="G1715" i="7950" s="1"/>
  <c r="D1713" i="7950"/>
  <c r="E1713" i="7950" s="1"/>
  <c r="G1716" i="7950"/>
  <c r="E1714" i="7950"/>
  <c r="F1714" i="7950" s="1"/>
  <c r="H1825" i="7950"/>
  <c r="F1823" i="7950"/>
  <c r="G1823" i="7950" s="1"/>
  <c r="D1821" i="7950"/>
  <c r="E1821" i="7950" s="1"/>
  <c r="G1824" i="7950"/>
  <c r="E1822" i="7950"/>
  <c r="F1822" i="7950" s="1"/>
  <c r="H1933" i="7950"/>
  <c r="F1931" i="7950"/>
  <c r="G1931" i="7950" s="1"/>
  <c r="D1929" i="7950"/>
  <c r="E1929" i="7950" s="1"/>
  <c r="G1932" i="7950"/>
  <c r="E1930" i="7950"/>
  <c r="F1930" i="7950" s="1"/>
  <c r="H2041" i="7950"/>
  <c r="F2039" i="7950"/>
  <c r="G2039" i="7950" s="1"/>
  <c r="D2037" i="7950"/>
  <c r="E2037" i="7950" s="1"/>
  <c r="G2040" i="7950"/>
  <c r="E2038" i="7950"/>
  <c r="F2038" i="7950" s="1"/>
  <c r="H2149" i="7950"/>
  <c r="F2147" i="7950"/>
  <c r="G2147" i="7950" s="1"/>
  <c r="D2145" i="7950"/>
  <c r="E2145" i="7950" s="1"/>
  <c r="G2148" i="7950"/>
  <c r="E2146" i="7950"/>
  <c r="F2146" i="7950" s="1"/>
  <c r="H2257" i="7950"/>
  <c r="F2255" i="7950"/>
  <c r="G2255" i="7950" s="1"/>
  <c r="D2253" i="7950"/>
  <c r="E2253" i="7950" s="1"/>
  <c r="G2256" i="7950"/>
  <c r="E2254" i="7950"/>
  <c r="F2254" i="7950" s="1"/>
  <c r="H2365" i="7950"/>
  <c r="F2363" i="7950"/>
  <c r="G2363" i="7950" s="1"/>
  <c r="D2361" i="7950"/>
  <c r="E2361" i="7950" s="1"/>
  <c r="G2364" i="7950"/>
  <c r="E2362" i="7950"/>
  <c r="F2362" i="7950" s="1"/>
  <c r="H2473" i="7950"/>
  <c r="F2471" i="7950"/>
  <c r="G2471" i="7950" s="1"/>
  <c r="D2469" i="7950"/>
  <c r="E2469" i="7950" s="1"/>
  <c r="G2472" i="7950"/>
  <c r="E2470" i="7950"/>
  <c r="F2470" i="7950" s="1"/>
  <c r="H2581" i="7950"/>
  <c r="F2579" i="7950"/>
  <c r="G2579" i="7950" s="1"/>
  <c r="D2577" i="7950"/>
  <c r="E2577" i="7950" s="1"/>
  <c r="G2580" i="7950"/>
  <c r="E2578" i="7950"/>
  <c r="F2578" i="7950" s="1"/>
  <c r="D2685" i="7950"/>
  <c r="E2685" i="7950" s="1"/>
  <c r="F2687" i="7950"/>
  <c r="G2687" i="7950" s="1"/>
  <c r="H2689" i="7950"/>
  <c r="E2686" i="7950"/>
  <c r="F2686" i="7950" s="1"/>
  <c r="G2688" i="7950"/>
  <c r="H264" i="7949"/>
  <c r="F262" i="7949"/>
  <c r="G262" i="7949" s="1"/>
  <c r="H262" i="7949" s="1"/>
  <c r="I262" i="7949" s="1"/>
  <c r="J262" i="7949" s="1"/>
  <c r="K262" i="7949" s="1"/>
  <c r="L262" i="7949" s="1"/>
  <c r="M262" i="7949" s="1"/>
  <c r="N262" i="7949" s="1"/>
  <c r="O262" i="7949" s="1"/>
  <c r="P262" i="7949" s="1"/>
  <c r="Q262" i="7949" s="1"/>
  <c r="R262" i="7949" s="1"/>
  <c r="S262" i="7949" s="1"/>
  <c r="T262" i="7949" s="1"/>
  <c r="U262" i="7949" s="1"/>
  <c r="V262" i="7949" s="1"/>
  <c r="W262" i="7949" s="1"/>
  <c r="D260" i="7949"/>
  <c r="E260" i="7949" s="1"/>
  <c r="F260" i="7949" s="1"/>
  <c r="G260" i="7949" s="1"/>
  <c r="H260" i="7949" s="1"/>
  <c r="I260" i="7949" s="1"/>
  <c r="J260" i="7949" s="1"/>
  <c r="K260" i="7949" s="1"/>
  <c r="L260" i="7949" s="1"/>
  <c r="M260" i="7949" s="1"/>
  <c r="N260" i="7949" s="1"/>
  <c r="O260" i="7949" s="1"/>
  <c r="P260" i="7949" s="1"/>
  <c r="Q260" i="7949" s="1"/>
  <c r="R260" i="7949" s="1"/>
  <c r="S260" i="7949" s="1"/>
  <c r="T260" i="7949" s="1"/>
  <c r="U260" i="7949" s="1"/>
  <c r="V260" i="7949" s="1"/>
  <c r="W260" i="7949" s="1"/>
  <c r="G263" i="7949"/>
  <c r="E261" i="7949"/>
  <c r="F261" i="7949" s="1"/>
  <c r="G261" i="7949" s="1"/>
  <c r="H261" i="7949" s="1"/>
  <c r="I261" i="7949" s="1"/>
  <c r="J261" i="7949" s="1"/>
  <c r="K261" i="7949" s="1"/>
  <c r="L261" i="7949" s="1"/>
  <c r="M261" i="7949" s="1"/>
  <c r="N261" i="7949" s="1"/>
  <c r="O261" i="7949" s="1"/>
  <c r="P261" i="7949" s="1"/>
  <c r="Q261" i="7949" s="1"/>
  <c r="R261" i="7949" s="1"/>
  <c r="S261" i="7949" s="1"/>
  <c r="T261" i="7949" s="1"/>
  <c r="U261" i="7949" s="1"/>
  <c r="V261" i="7949" s="1"/>
  <c r="W261" i="7949" s="1"/>
  <c r="H263" i="7949" l="1"/>
  <c r="I263" i="7949" s="1"/>
  <c r="J263" i="7949" s="1"/>
  <c r="K263" i="7949" s="1"/>
  <c r="L263" i="7949" s="1"/>
  <c r="M263" i="7949" s="1"/>
  <c r="N263" i="7949" s="1"/>
  <c r="O263" i="7949" s="1"/>
  <c r="P263" i="7949" s="1"/>
  <c r="Q263" i="7949" s="1"/>
  <c r="R263" i="7949" s="1"/>
  <c r="S263" i="7949" s="1"/>
  <c r="T263" i="7949" s="1"/>
  <c r="U263" i="7949" s="1"/>
  <c r="V263" i="7949" s="1"/>
  <c r="W263" i="7949" s="1"/>
  <c r="I2689" i="7950"/>
  <c r="I2665" i="7950"/>
  <c r="G2578" i="7950"/>
  <c r="H2578" i="7950" s="1"/>
  <c r="I2581" i="7950"/>
  <c r="I2557" i="7950"/>
  <c r="F2469" i="7950"/>
  <c r="G2469" i="7950" s="1"/>
  <c r="G2362" i="7950"/>
  <c r="H2362" i="7950" s="1"/>
  <c r="I2365" i="7950"/>
  <c r="I2341" i="7950"/>
  <c r="F2253" i="7950"/>
  <c r="G2253" i="7950" s="1"/>
  <c r="G2146" i="7950"/>
  <c r="H2146" i="7950" s="1"/>
  <c r="I2149" i="7950"/>
  <c r="I2125" i="7950"/>
  <c r="F2037" i="7950"/>
  <c r="G2037" i="7950" s="1"/>
  <c r="G1930" i="7950"/>
  <c r="H1930" i="7950" s="1"/>
  <c r="I1933" i="7950"/>
  <c r="I1909" i="7950"/>
  <c r="F1821" i="7950"/>
  <c r="G1821" i="7950" s="1"/>
  <c r="G1714" i="7950"/>
  <c r="H1714" i="7950" s="1"/>
  <c r="I1717" i="7950"/>
  <c r="I1693" i="7950"/>
  <c r="F1605" i="7950"/>
  <c r="G1605" i="7950" s="1"/>
  <c r="C1496" i="7950"/>
  <c r="I1501" i="7950"/>
  <c r="I1477" i="7950"/>
  <c r="F1389" i="7950"/>
  <c r="G1389" i="7950" s="1"/>
  <c r="H1229" i="7950"/>
  <c r="I1229" i="7950" s="1"/>
  <c r="H1230" i="7950"/>
  <c r="H1206" i="7950"/>
  <c r="C1118" i="7950"/>
  <c r="H1013" i="7950"/>
  <c r="I1013" i="7950" s="1"/>
  <c r="H1014" i="7950"/>
  <c r="H990" i="7950"/>
  <c r="C902" i="7950"/>
  <c r="H797" i="7950"/>
  <c r="I797" i="7950" s="1"/>
  <c r="H798" i="7950"/>
  <c r="H774" i="7950"/>
  <c r="C686" i="7950"/>
  <c r="H581" i="7950"/>
  <c r="I581" i="7950" s="1"/>
  <c r="H582" i="7950"/>
  <c r="H558" i="7950"/>
  <c r="C470" i="7950"/>
  <c r="H365" i="7950"/>
  <c r="I365" i="7950" s="1"/>
  <c r="H366" i="7950"/>
  <c r="H258" i="7950"/>
  <c r="I149" i="7950"/>
  <c r="H2634" i="7950"/>
  <c r="H2610" i="7950"/>
  <c r="C2522" i="7950"/>
  <c r="H2525" i="7950"/>
  <c r="I2525" i="7950" s="1"/>
  <c r="H2418" i="7950"/>
  <c r="H2394" i="7950"/>
  <c r="C2306" i="7950"/>
  <c r="H2309" i="7950"/>
  <c r="I2309" i="7950" s="1"/>
  <c r="H2202" i="7950"/>
  <c r="H2178" i="7950"/>
  <c r="C2090" i="7950"/>
  <c r="H2093" i="7950"/>
  <c r="I2093" i="7950" s="1"/>
  <c r="H1986" i="7950"/>
  <c r="H1962" i="7950"/>
  <c r="C1874" i="7950"/>
  <c r="H1877" i="7950"/>
  <c r="I1877" i="7950" s="1"/>
  <c r="H1770" i="7950"/>
  <c r="H1746" i="7950"/>
  <c r="C1658" i="7950"/>
  <c r="H1661" i="7950"/>
  <c r="I1661" i="7950" s="1"/>
  <c r="G1552" i="7950"/>
  <c r="H1552" i="7950" s="1"/>
  <c r="C1442" i="7950"/>
  <c r="H1445" i="7950"/>
  <c r="I1445" i="7950" s="1"/>
  <c r="I1285" i="7950"/>
  <c r="I1261" i="7950"/>
  <c r="F1173" i="7950"/>
  <c r="G1173" i="7950" s="1"/>
  <c r="G1174" i="7950"/>
  <c r="H1174" i="7950" s="1"/>
  <c r="I1069" i="7950"/>
  <c r="I1045" i="7950"/>
  <c r="F957" i="7950"/>
  <c r="G957" i="7950" s="1"/>
  <c r="G958" i="7950"/>
  <c r="H958" i="7950" s="1"/>
  <c r="I853" i="7950"/>
  <c r="I829" i="7950"/>
  <c r="F741" i="7950"/>
  <c r="G741" i="7950" s="1"/>
  <c r="G742" i="7950"/>
  <c r="H742" i="7950" s="1"/>
  <c r="I637" i="7950"/>
  <c r="I613" i="7950"/>
  <c r="F525" i="7950"/>
  <c r="G525" i="7950" s="1"/>
  <c r="G526" i="7950"/>
  <c r="H526" i="7950" s="1"/>
  <c r="I421" i="7950"/>
  <c r="I397" i="7950"/>
  <c r="H311" i="7950"/>
  <c r="I311" i="7950" s="1"/>
  <c r="H204" i="7950"/>
  <c r="I43" i="7950"/>
  <c r="J43" i="7950" s="1"/>
  <c r="K43" i="7950" s="1"/>
  <c r="L43" i="7950" s="1"/>
  <c r="M43" i="7950" s="1"/>
  <c r="N43" i="7950" s="1"/>
  <c r="O43" i="7950" s="1"/>
  <c r="P43" i="7950" s="1"/>
  <c r="Q43" i="7950" s="1"/>
  <c r="R43" i="7950" s="1"/>
  <c r="S43" i="7950" s="1"/>
  <c r="T43" i="7950" s="1"/>
  <c r="U43" i="7950" s="1"/>
  <c r="V43" i="7950" s="1"/>
  <c r="W43" i="7950" s="1"/>
  <c r="H2687" i="7950"/>
  <c r="I2687" i="7950" s="1"/>
  <c r="H2580" i="7950"/>
  <c r="H2556" i="7950"/>
  <c r="C2468" i="7950"/>
  <c r="H2471" i="7950"/>
  <c r="I2471" i="7950" s="1"/>
  <c r="H2364" i="7950"/>
  <c r="H2340" i="7950"/>
  <c r="C2252" i="7950"/>
  <c r="H2255" i="7950"/>
  <c r="I2255" i="7950" s="1"/>
  <c r="H2148" i="7950"/>
  <c r="H2124" i="7950"/>
  <c r="C2036" i="7950"/>
  <c r="H2039" i="7950"/>
  <c r="I2039" i="7950" s="1"/>
  <c r="H1932" i="7950"/>
  <c r="H1908" i="7950"/>
  <c r="C1820" i="7950"/>
  <c r="H1823" i="7950"/>
  <c r="I1823" i="7950" s="1"/>
  <c r="H1716" i="7950"/>
  <c r="H1692" i="7950"/>
  <c r="G1606" i="7950"/>
  <c r="H1606" i="7950" s="1"/>
  <c r="H1607" i="7950"/>
  <c r="I1607" i="7950" s="1"/>
  <c r="H1500" i="7950"/>
  <c r="H1476" i="7950"/>
  <c r="G1390" i="7950"/>
  <c r="H1390" i="7950" s="1"/>
  <c r="H1391" i="7950"/>
  <c r="I1391" i="7950" s="1"/>
  <c r="I1231" i="7950"/>
  <c r="I1207" i="7950"/>
  <c r="F1119" i="7950"/>
  <c r="G1119" i="7950" s="1"/>
  <c r="G1120" i="7950"/>
  <c r="H1120" i="7950" s="1"/>
  <c r="I1015" i="7950"/>
  <c r="I991" i="7950"/>
  <c r="F903" i="7950"/>
  <c r="G903" i="7950" s="1"/>
  <c r="G904" i="7950"/>
  <c r="H904" i="7950" s="1"/>
  <c r="I799" i="7950"/>
  <c r="I775" i="7950"/>
  <c r="F687" i="7950"/>
  <c r="G687" i="7950" s="1"/>
  <c r="G688" i="7950"/>
  <c r="H688" i="7950" s="1"/>
  <c r="I583" i="7950"/>
  <c r="I559" i="7950"/>
  <c r="F471" i="7950"/>
  <c r="G471" i="7950" s="1"/>
  <c r="G472" i="7950"/>
  <c r="H472" i="7950" s="1"/>
  <c r="I367" i="7950"/>
  <c r="I259" i="7950"/>
  <c r="G256" i="7950"/>
  <c r="F2631" i="7950"/>
  <c r="G2631" i="7950" s="1"/>
  <c r="G2524" i="7950"/>
  <c r="H2524" i="7950" s="1"/>
  <c r="I2527" i="7950"/>
  <c r="I2503" i="7950"/>
  <c r="F2415" i="7950"/>
  <c r="G2415" i="7950" s="1"/>
  <c r="G2308" i="7950"/>
  <c r="H2308" i="7950" s="1"/>
  <c r="I2311" i="7950"/>
  <c r="I2287" i="7950"/>
  <c r="F2199" i="7950"/>
  <c r="G2199" i="7950" s="1"/>
  <c r="G2092" i="7950"/>
  <c r="H2092" i="7950" s="1"/>
  <c r="I2095" i="7950"/>
  <c r="I2071" i="7950"/>
  <c r="F1983" i="7950"/>
  <c r="G1983" i="7950" s="1"/>
  <c r="G1876" i="7950"/>
  <c r="H1876" i="7950" s="1"/>
  <c r="I1879" i="7950"/>
  <c r="I1855" i="7950"/>
  <c r="F1767" i="7950"/>
  <c r="G1767" i="7950" s="1"/>
  <c r="G1660" i="7950"/>
  <c r="H1660" i="7950" s="1"/>
  <c r="I1663" i="7950"/>
  <c r="I1639" i="7950"/>
  <c r="F1551" i="7950"/>
  <c r="G1551" i="7950" s="1"/>
  <c r="H1446" i="7950"/>
  <c r="H1422" i="7950"/>
  <c r="I1447" i="7950"/>
  <c r="I1423" i="7950"/>
  <c r="C1280" i="7950"/>
  <c r="H1175" i="7950"/>
  <c r="I1175" i="7950" s="1"/>
  <c r="H1176" i="7950"/>
  <c r="H1152" i="7950"/>
  <c r="C1064" i="7950"/>
  <c r="H959" i="7950"/>
  <c r="I959" i="7950" s="1"/>
  <c r="H960" i="7950"/>
  <c r="H936" i="7950"/>
  <c r="C848" i="7950"/>
  <c r="H743" i="7950"/>
  <c r="I743" i="7950" s="1"/>
  <c r="H744" i="7950"/>
  <c r="H720" i="7950"/>
  <c r="C632" i="7950"/>
  <c r="H527" i="7950"/>
  <c r="I527" i="7950" s="1"/>
  <c r="H528" i="7950"/>
  <c r="H504" i="7950"/>
  <c r="C416" i="7950"/>
  <c r="G310" i="7950"/>
  <c r="H310" i="7950" s="1"/>
  <c r="I313" i="7950"/>
  <c r="F201" i="7950"/>
  <c r="G201" i="7950" s="1"/>
  <c r="F93" i="7950"/>
  <c r="G93" i="7950" s="1"/>
  <c r="F94" i="7950"/>
  <c r="G94" i="7950" s="1"/>
  <c r="H94" i="7950" s="1"/>
  <c r="I94" i="7950" s="1"/>
  <c r="H42" i="7950"/>
  <c r="I42" i="7950" s="1"/>
  <c r="H2688" i="7950"/>
  <c r="H2664" i="7950"/>
  <c r="F2685" i="7950"/>
  <c r="G2685" i="7950" s="1"/>
  <c r="F2577" i="7950"/>
  <c r="G2577" i="7950" s="1"/>
  <c r="G2470" i="7950"/>
  <c r="H2470" i="7950" s="1"/>
  <c r="I2473" i="7950"/>
  <c r="I2449" i="7950"/>
  <c r="F2361" i="7950"/>
  <c r="G2361" i="7950" s="1"/>
  <c r="G2254" i="7950"/>
  <c r="H2254" i="7950" s="1"/>
  <c r="I2257" i="7950"/>
  <c r="I2233" i="7950"/>
  <c r="F2145" i="7950"/>
  <c r="G2145" i="7950" s="1"/>
  <c r="G2038" i="7950"/>
  <c r="H2038" i="7950" s="1"/>
  <c r="I2041" i="7950"/>
  <c r="I2017" i="7950"/>
  <c r="F1929" i="7950"/>
  <c r="G1929" i="7950" s="1"/>
  <c r="G1822" i="7950"/>
  <c r="H1822" i="7950" s="1"/>
  <c r="I1825" i="7950"/>
  <c r="I1801" i="7950"/>
  <c r="F1713" i="7950"/>
  <c r="G1713" i="7950" s="1"/>
  <c r="C1604" i="7950"/>
  <c r="I1609" i="7950"/>
  <c r="I1585" i="7950"/>
  <c r="F1497" i="7950"/>
  <c r="G1497" i="7950" s="1"/>
  <c r="C1388" i="7950"/>
  <c r="I1393" i="7950"/>
  <c r="I1369" i="7950"/>
  <c r="C1226" i="7950"/>
  <c r="H1121" i="7950"/>
  <c r="I1121" i="7950" s="1"/>
  <c r="H1122" i="7950"/>
  <c r="H1098" i="7950"/>
  <c r="C1010" i="7950"/>
  <c r="H905" i="7950"/>
  <c r="I905" i="7950" s="1"/>
  <c r="H906" i="7950"/>
  <c r="H882" i="7950"/>
  <c r="C794" i="7950"/>
  <c r="H689" i="7950"/>
  <c r="I689" i="7950" s="1"/>
  <c r="H690" i="7950"/>
  <c r="H666" i="7950"/>
  <c r="C578" i="7950"/>
  <c r="H473" i="7950"/>
  <c r="I473" i="7950" s="1"/>
  <c r="H474" i="7950"/>
  <c r="H450" i="7950"/>
  <c r="H257" i="7950"/>
  <c r="H148" i="7950"/>
  <c r="C2630" i="7950"/>
  <c r="H2633" i="7950"/>
  <c r="I2633" i="7950" s="1"/>
  <c r="H2526" i="7950"/>
  <c r="H2502" i="7950"/>
  <c r="C2414" i="7950"/>
  <c r="H2417" i="7950"/>
  <c r="I2417" i="7950" s="1"/>
  <c r="H2310" i="7950"/>
  <c r="H2286" i="7950"/>
  <c r="C2198" i="7950"/>
  <c r="H2201" i="7950"/>
  <c r="I2201" i="7950" s="1"/>
  <c r="H2094" i="7950"/>
  <c r="H2070" i="7950"/>
  <c r="C1982" i="7950"/>
  <c r="H1985" i="7950"/>
  <c r="I1985" i="7950" s="1"/>
  <c r="H1878" i="7950"/>
  <c r="H1854" i="7950"/>
  <c r="C1766" i="7950"/>
  <c r="H1769" i="7950"/>
  <c r="I1769" i="7950" s="1"/>
  <c r="H1662" i="7950"/>
  <c r="H1638" i="7950"/>
  <c r="C1550" i="7950"/>
  <c r="H1553" i="7950"/>
  <c r="I1553" i="7950" s="1"/>
  <c r="G1444" i="7950"/>
  <c r="H1444" i="7950" s="1"/>
  <c r="F1281" i="7950"/>
  <c r="G1281" i="7950" s="1"/>
  <c r="G1282" i="7950"/>
  <c r="H1282" i="7950" s="1"/>
  <c r="I1177" i="7950"/>
  <c r="I1153" i="7950"/>
  <c r="F1065" i="7950"/>
  <c r="G1065" i="7950" s="1"/>
  <c r="G1066" i="7950"/>
  <c r="H1066" i="7950" s="1"/>
  <c r="I961" i="7950"/>
  <c r="I937" i="7950"/>
  <c r="F849" i="7950"/>
  <c r="G849" i="7950" s="1"/>
  <c r="G850" i="7950"/>
  <c r="H850" i="7950" s="1"/>
  <c r="I745" i="7950"/>
  <c r="I721" i="7950"/>
  <c r="F633" i="7950"/>
  <c r="G633" i="7950" s="1"/>
  <c r="G634" i="7950"/>
  <c r="H634" i="7950" s="1"/>
  <c r="I529" i="7950"/>
  <c r="I505" i="7950"/>
  <c r="F417" i="7950"/>
  <c r="G417" i="7950" s="1"/>
  <c r="G418" i="7950"/>
  <c r="H418" i="7950" s="1"/>
  <c r="H312" i="7950"/>
  <c r="H203" i="7950"/>
  <c r="I203" i="7950" s="1"/>
  <c r="I95" i="7950"/>
  <c r="H96" i="7950"/>
  <c r="F39" i="7950"/>
  <c r="G39" i="7950" s="1"/>
  <c r="H39" i="7950" s="1"/>
  <c r="I39" i="7950" s="1"/>
  <c r="J39" i="7950" s="1"/>
  <c r="K39" i="7950" s="1"/>
  <c r="L39" i="7950" s="1"/>
  <c r="M39" i="7950" s="1"/>
  <c r="N39" i="7950" s="1"/>
  <c r="O39" i="7950" s="1"/>
  <c r="P39" i="7950" s="1"/>
  <c r="Q39" i="7950" s="1"/>
  <c r="R39" i="7950" s="1"/>
  <c r="S39" i="7950" s="1"/>
  <c r="T39" i="7950" s="1"/>
  <c r="U39" i="7950" s="1"/>
  <c r="V39" i="7950" s="1"/>
  <c r="W39" i="7950" s="1"/>
  <c r="U1334" i="7950"/>
  <c r="I264" i="7949"/>
  <c r="J264" i="7949" s="1"/>
  <c r="K264" i="7949" s="1"/>
  <c r="L264" i="7949" s="1"/>
  <c r="M264" i="7949" s="1"/>
  <c r="N264" i="7949" s="1"/>
  <c r="O264" i="7949" s="1"/>
  <c r="P264" i="7949" s="1"/>
  <c r="Q264" i="7949" s="1"/>
  <c r="R264" i="7949" s="1"/>
  <c r="S264" i="7949" s="1"/>
  <c r="T264" i="7949" s="1"/>
  <c r="U264" i="7949" s="1"/>
  <c r="V264" i="7949" s="1"/>
  <c r="W264" i="7949" s="1"/>
  <c r="G2686" i="7950"/>
  <c r="H2686" i="7950" s="1"/>
  <c r="C2576" i="7950"/>
  <c r="H2579" i="7950"/>
  <c r="I2579" i="7950" s="1"/>
  <c r="H2472" i="7950"/>
  <c r="H2448" i="7950"/>
  <c r="C2360" i="7950"/>
  <c r="H2363" i="7950"/>
  <c r="I2363" i="7950" s="1"/>
  <c r="H2256" i="7950"/>
  <c r="H2232" i="7950"/>
  <c r="C2144" i="7950"/>
  <c r="H2147" i="7950"/>
  <c r="I2147" i="7950" s="1"/>
  <c r="H2040" i="7950"/>
  <c r="H2016" i="7950"/>
  <c r="C1928" i="7950"/>
  <c r="H1931" i="7950"/>
  <c r="I1931" i="7950" s="1"/>
  <c r="H1824" i="7950"/>
  <c r="H1800" i="7950"/>
  <c r="C1712" i="7950"/>
  <c r="H1715" i="7950"/>
  <c r="I1715" i="7950" s="1"/>
  <c r="H1608" i="7950"/>
  <c r="H1584" i="7950"/>
  <c r="G1498" i="7950"/>
  <c r="H1498" i="7950" s="1"/>
  <c r="H1499" i="7950"/>
  <c r="I1499" i="7950" s="1"/>
  <c r="H1392" i="7950"/>
  <c r="H1368" i="7950"/>
  <c r="F1227" i="7950"/>
  <c r="G1227" i="7950" s="1"/>
  <c r="G1228" i="7950"/>
  <c r="H1228" i="7950" s="1"/>
  <c r="I1123" i="7950"/>
  <c r="I1099" i="7950"/>
  <c r="F1011" i="7950"/>
  <c r="G1011" i="7950" s="1"/>
  <c r="G1012" i="7950"/>
  <c r="H1012" i="7950" s="1"/>
  <c r="I907" i="7950"/>
  <c r="I883" i="7950"/>
  <c r="F795" i="7950"/>
  <c r="G795" i="7950" s="1"/>
  <c r="G796" i="7950"/>
  <c r="H796" i="7950" s="1"/>
  <c r="I691" i="7950"/>
  <c r="I667" i="7950"/>
  <c r="F579" i="7950"/>
  <c r="G579" i="7950" s="1"/>
  <c r="G580" i="7950"/>
  <c r="H580" i="7950" s="1"/>
  <c r="I475" i="7950"/>
  <c r="I451" i="7950"/>
  <c r="F363" i="7950"/>
  <c r="G363" i="7950" s="1"/>
  <c r="G364" i="7950"/>
  <c r="H364" i="7950" s="1"/>
  <c r="F255" i="7950"/>
  <c r="G147" i="7950"/>
  <c r="H150" i="7950"/>
  <c r="I150" i="7950" s="1"/>
  <c r="J150" i="7950" s="1"/>
  <c r="I151" i="7950"/>
  <c r="J151" i="7950" s="1"/>
  <c r="K151" i="7950" s="1"/>
  <c r="G2632" i="7950"/>
  <c r="H2632" i="7950" s="1"/>
  <c r="I2635" i="7950"/>
  <c r="I2611" i="7950"/>
  <c r="F2523" i="7950"/>
  <c r="G2523" i="7950" s="1"/>
  <c r="G2416" i="7950"/>
  <c r="H2416" i="7950" s="1"/>
  <c r="I2419" i="7950"/>
  <c r="I2395" i="7950"/>
  <c r="F2307" i="7950"/>
  <c r="G2307" i="7950" s="1"/>
  <c r="G2200" i="7950"/>
  <c r="H2200" i="7950" s="1"/>
  <c r="I2203" i="7950"/>
  <c r="I2179" i="7950"/>
  <c r="F2091" i="7950"/>
  <c r="G2091" i="7950" s="1"/>
  <c r="G1984" i="7950"/>
  <c r="H1984" i="7950" s="1"/>
  <c r="I1987" i="7950"/>
  <c r="I1963" i="7950"/>
  <c r="F1875" i="7950"/>
  <c r="G1875" i="7950" s="1"/>
  <c r="G1768" i="7950"/>
  <c r="H1768" i="7950" s="1"/>
  <c r="I1771" i="7950"/>
  <c r="I1747" i="7950"/>
  <c r="F1659" i="7950"/>
  <c r="G1659" i="7950" s="1"/>
  <c r="H1554" i="7950"/>
  <c r="H1530" i="7950"/>
  <c r="I1555" i="7950"/>
  <c r="I1531" i="7950"/>
  <c r="F1443" i="7950"/>
  <c r="G1443" i="7950" s="1"/>
  <c r="H1283" i="7950"/>
  <c r="I1283" i="7950" s="1"/>
  <c r="H1284" i="7950"/>
  <c r="H1260" i="7950"/>
  <c r="C1172" i="7950"/>
  <c r="H1067" i="7950"/>
  <c r="I1067" i="7950" s="1"/>
  <c r="H1068" i="7950"/>
  <c r="H1044" i="7950"/>
  <c r="C956" i="7950"/>
  <c r="H851" i="7950"/>
  <c r="I851" i="7950" s="1"/>
  <c r="H852" i="7950"/>
  <c r="H828" i="7950"/>
  <c r="C740" i="7950"/>
  <c r="H635" i="7950"/>
  <c r="I635" i="7950" s="1"/>
  <c r="H636" i="7950"/>
  <c r="H612" i="7950"/>
  <c r="C524" i="7950"/>
  <c r="H419" i="7950"/>
  <c r="I419" i="7950" s="1"/>
  <c r="H420" i="7950"/>
  <c r="H396" i="7950"/>
  <c r="F309" i="7950"/>
  <c r="G309" i="7950" s="1"/>
  <c r="G202" i="7950"/>
  <c r="H202" i="7950" s="1"/>
  <c r="I205" i="7950"/>
  <c r="I97" i="7950"/>
  <c r="G41" i="7950"/>
  <c r="H41" i="7950" s="1"/>
  <c r="J97" i="7949"/>
  <c r="D2684" i="7950"/>
  <c r="H156" i="7949"/>
  <c r="F154" i="7949"/>
  <c r="G154" i="7949" s="1"/>
  <c r="H154" i="7949" s="1"/>
  <c r="I154" i="7949" s="1"/>
  <c r="J154" i="7949" s="1"/>
  <c r="K154" i="7949" s="1"/>
  <c r="L154" i="7949" s="1"/>
  <c r="M154" i="7949" s="1"/>
  <c r="N154" i="7949" s="1"/>
  <c r="O154" i="7949" s="1"/>
  <c r="P154" i="7949" s="1"/>
  <c r="Q154" i="7949" s="1"/>
  <c r="R154" i="7949" s="1"/>
  <c r="S154" i="7949" s="1"/>
  <c r="T154" i="7949" s="1"/>
  <c r="U154" i="7949" s="1"/>
  <c r="V154" i="7949" s="1"/>
  <c r="W154" i="7949" s="1"/>
  <c r="D152" i="7949"/>
  <c r="E152" i="7949" s="1"/>
  <c r="F152" i="7949" s="1"/>
  <c r="G152" i="7949" s="1"/>
  <c r="H152" i="7949" s="1"/>
  <c r="I152" i="7949" s="1"/>
  <c r="J152" i="7949" s="1"/>
  <c r="K152" i="7949" s="1"/>
  <c r="L152" i="7949" s="1"/>
  <c r="M152" i="7949" s="1"/>
  <c r="N152" i="7949" s="1"/>
  <c r="O152" i="7949" s="1"/>
  <c r="P152" i="7949" s="1"/>
  <c r="Q152" i="7949" s="1"/>
  <c r="R152" i="7949" s="1"/>
  <c r="S152" i="7949" s="1"/>
  <c r="T152" i="7949" s="1"/>
  <c r="U152" i="7949" s="1"/>
  <c r="V152" i="7949" s="1"/>
  <c r="W152" i="7949" s="1"/>
  <c r="G155" i="7949"/>
  <c r="E153" i="7949"/>
  <c r="F153" i="7949" s="1"/>
  <c r="G153" i="7949" s="1"/>
  <c r="H153" i="7949" s="1"/>
  <c r="I153" i="7949" s="1"/>
  <c r="J153" i="7949" s="1"/>
  <c r="K153" i="7949" s="1"/>
  <c r="L153" i="7949" s="1"/>
  <c r="M153" i="7949" s="1"/>
  <c r="N153" i="7949" s="1"/>
  <c r="O153" i="7949" s="1"/>
  <c r="P153" i="7949" s="1"/>
  <c r="Q153" i="7949" s="1"/>
  <c r="R153" i="7949" s="1"/>
  <c r="S153" i="7949" s="1"/>
  <c r="T153" i="7949" s="1"/>
  <c r="U153" i="7949" s="1"/>
  <c r="V153" i="7949" s="1"/>
  <c r="W153" i="7949" s="1"/>
  <c r="H318" i="7949"/>
  <c r="F316" i="7949"/>
  <c r="G316" i="7949" s="1"/>
  <c r="H316" i="7949" s="1"/>
  <c r="I316" i="7949" s="1"/>
  <c r="J316" i="7949" s="1"/>
  <c r="K316" i="7949" s="1"/>
  <c r="L316" i="7949" s="1"/>
  <c r="M316" i="7949" s="1"/>
  <c r="N316" i="7949" s="1"/>
  <c r="O316" i="7949" s="1"/>
  <c r="P316" i="7949" s="1"/>
  <c r="Q316" i="7949" s="1"/>
  <c r="R316" i="7949" s="1"/>
  <c r="S316" i="7949" s="1"/>
  <c r="T316" i="7949" s="1"/>
  <c r="U316" i="7949" s="1"/>
  <c r="V316" i="7949" s="1"/>
  <c r="W316" i="7949" s="1"/>
  <c r="D314" i="7949"/>
  <c r="E314" i="7949" s="1"/>
  <c r="F314" i="7949" s="1"/>
  <c r="G314" i="7949" s="1"/>
  <c r="H314" i="7949" s="1"/>
  <c r="I314" i="7949" s="1"/>
  <c r="J314" i="7949" s="1"/>
  <c r="K314" i="7949" s="1"/>
  <c r="L314" i="7949" s="1"/>
  <c r="M314" i="7949" s="1"/>
  <c r="N314" i="7949" s="1"/>
  <c r="O314" i="7949" s="1"/>
  <c r="P314" i="7949" s="1"/>
  <c r="Q314" i="7949" s="1"/>
  <c r="R314" i="7949" s="1"/>
  <c r="S314" i="7949" s="1"/>
  <c r="T314" i="7949" s="1"/>
  <c r="U314" i="7949" s="1"/>
  <c r="V314" i="7949" s="1"/>
  <c r="W314" i="7949" s="1"/>
  <c r="G317" i="7949"/>
  <c r="E315" i="7949"/>
  <c r="F315" i="7949" s="1"/>
  <c r="G315" i="7949" s="1"/>
  <c r="H315" i="7949" s="1"/>
  <c r="I315" i="7949" s="1"/>
  <c r="J315" i="7949" s="1"/>
  <c r="K315" i="7949" s="1"/>
  <c r="L315" i="7949" s="1"/>
  <c r="M315" i="7949" s="1"/>
  <c r="N315" i="7949" s="1"/>
  <c r="O315" i="7949" s="1"/>
  <c r="P315" i="7949" s="1"/>
  <c r="Q315" i="7949" s="1"/>
  <c r="R315" i="7949" s="1"/>
  <c r="S315" i="7949" s="1"/>
  <c r="T315" i="7949" s="1"/>
  <c r="U315" i="7949" s="1"/>
  <c r="V315" i="7949" s="1"/>
  <c r="W315" i="7949" s="1"/>
  <c r="H426" i="7949"/>
  <c r="F424" i="7949"/>
  <c r="G424" i="7949" s="1"/>
  <c r="H424" i="7949" s="1"/>
  <c r="I424" i="7949" s="1"/>
  <c r="J424" i="7949" s="1"/>
  <c r="K424" i="7949" s="1"/>
  <c r="L424" i="7949" s="1"/>
  <c r="M424" i="7949" s="1"/>
  <c r="N424" i="7949" s="1"/>
  <c r="O424" i="7949" s="1"/>
  <c r="P424" i="7949" s="1"/>
  <c r="Q424" i="7949" s="1"/>
  <c r="R424" i="7949" s="1"/>
  <c r="S424" i="7949" s="1"/>
  <c r="T424" i="7949" s="1"/>
  <c r="U424" i="7949" s="1"/>
  <c r="V424" i="7949" s="1"/>
  <c r="W424" i="7949" s="1"/>
  <c r="D422" i="7949"/>
  <c r="E422" i="7949" s="1"/>
  <c r="F422" i="7949" s="1"/>
  <c r="G422" i="7949" s="1"/>
  <c r="H422" i="7949" s="1"/>
  <c r="I422" i="7949" s="1"/>
  <c r="J422" i="7949" s="1"/>
  <c r="K422" i="7949" s="1"/>
  <c r="L422" i="7949" s="1"/>
  <c r="M422" i="7949" s="1"/>
  <c r="N422" i="7949" s="1"/>
  <c r="O422" i="7949" s="1"/>
  <c r="P422" i="7949" s="1"/>
  <c r="Q422" i="7949" s="1"/>
  <c r="R422" i="7949" s="1"/>
  <c r="S422" i="7949" s="1"/>
  <c r="T422" i="7949" s="1"/>
  <c r="U422" i="7949" s="1"/>
  <c r="V422" i="7949" s="1"/>
  <c r="W422" i="7949" s="1"/>
  <c r="E399" i="7949"/>
  <c r="E423" i="7949"/>
  <c r="F423" i="7949" s="1"/>
  <c r="G423" i="7949" s="1"/>
  <c r="H423" i="7949" s="1"/>
  <c r="I423" i="7949" s="1"/>
  <c r="J423" i="7949" s="1"/>
  <c r="K423" i="7949" s="1"/>
  <c r="L423" i="7949" s="1"/>
  <c r="M423" i="7949" s="1"/>
  <c r="N423" i="7949" s="1"/>
  <c r="O423" i="7949" s="1"/>
  <c r="P423" i="7949" s="1"/>
  <c r="Q423" i="7949" s="1"/>
  <c r="R423" i="7949" s="1"/>
  <c r="S423" i="7949" s="1"/>
  <c r="T423" i="7949" s="1"/>
  <c r="U423" i="7949" s="1"/>
  <c r="V423" i="7949" s="1"/>
  <c r="W423" i="7949" s="1"/>
  <c r="D398" i="7949"/>
  <c r="G425" i="7949"/>
  <c r="F400" i="7949"/>
  <c r="H534" i="7949"/>
  <c r="F532" i="7949"/>
  <c r="G532" i="7949" s="1"/>
  <c r="H532" i="7949" s="1"/>
  <c r="I532" i="7949" s="1"/>
  <c r="J532" i="7949" s="1"/>
  <c r="K532" i="7949" s="1"/>
  <c r="L532" i="7949" s="1"/>
  <c r="M532" i="7949" s="1"/>
  <c r="N532" i="7949" s="1"/>
  <c r="O532" i="7949" s="1"/>
  <c r="P532" i="7949" s="1"/>
  <c r="Q532" i="7949" s="1"/>
  <c r="R532" i="7949" s="1"/>
  <c r="S532" i="7949" s="1"/>
  <c r="T532" i="7949" s="1"/>
  <c r="U532" i="7949" s="1"/>
  <c r="V532" i="7949" s="1"/>
  <c r="W532" i="7949" s="1"/>
  <c r="D530" i="7949"/>
  <c r="E530" i="7949" s="1"/>
  <c r="F530" i="7949" s="1"/>
  <c r="G530" i="7949" s="1"/>
  <c r="H530" i="7949" s="1"/>
  <c r="I530" i="7949" s="1"/>
  <c r="J530" i="7949" s="1"/>
  <c r="K530" i="7949" s="1"/>
  <c r="L530" i="7949" s="1"/>
  <c r="M530" i="7949" s="1"/>
  <c r="N530" i="7949" s="1"/>
  <c r="O530" i="7949" s="1"/>
  <c r="P530" i="7949" s="1"/>
  <c r="Q530" i="7949" s="1"/>
  <c r="R530" i="7949" s="1"/>
  <c r="S530" i="7949" s="1"/>
  <c r="T530" i="7949" s="1"/>
  <c r="U530" i="7949" s="1"/>
  <c r="V530" i="7949" s="1"/>
  <c r="W530" i="7949" s="1"/>
  <c r="E507" i="7949"/>
  <c r="E531" i="7949"/>
  <c r="F531" i="7949" s="1"/>
  <c r="G531" i="7949" s="1"/>
  <c r="H531" i="7949" s="1"/>
  <c r="I531" i="7949" s="1"/>
  <c r="J531" i="7949" s="1"/>
  <c r="K531" i="7949" s="1"/>
  <c r="L531" i="7949" s="1"/>
  <c r="M531" i="7949" s="1"/>
  <c r="N531" i="7949" s="1"/>
  <c r="O531" i="7949" s="1"/>
  <c r="P531" i="7949" s="1"/>
  <c r="Q531" i="7949" s="1"/>
  <c r="R531" i="7949" s="1"/>
  <c r="S531" i="7949" s="1"/>
  <c r="T531" i="7949" s="1"/>
  <c r="U531" i="7949" s="1"/>
  <c r="V531" i="7949" s="1"/>
  <c r="W531" i="7949" s="1"/>
  <c r="D506" i="7949"/>
  <c r="G533" i="7949"/>
  <c r="F508" i="7949"/>
  <c r="H642" i="7949"/>
  <c r="F640" i="7949"/>
  <c r="G640" i="7949" s="1"/>
  <c r="H640" i="7949" s="1"/>
  <c r="I640" i="7949" s="1"/>
  <c r="J640" i="7949" s="1"/>
  <c r="K640" i="7949" s="1"/>
  <c r="L640" i="7949" s="1"/>
  <c r="M640" i="7949" s="1"/>
  <c r="N640" i="7949" s="1"/>
  <c r="O640" i="7949" s="1"/>
  <c r="P640" i="7949" s="1"/>
  <c r="Q640" i="7949" s="1"/>
  <c r="R640" i="7949" s="1"/>
  <c r="S640" i="7949" s="1"/>
  <c r="T640" i="7949" s="1"/>
  <c r="U640" i="7949" s="1"/>
  <c r="V640" i="7949" s="1"/>
  <c r="W640" i="7949" s="1"/>
  <c r="D638" i="7949"/>
  <c r="E638" i="7949" s="1"/>
  <c r="F638" i="7949" s="1"/>
  <c r="G638" i="7949" s="1"/>
  <c r="H638" i="7949" s="1"/>
  <c r="I638" i="7949" s="1"/>
  <c r="J638" i="7949" s="1"/>
  <c r="K638" i="7949" s="1"/>
  <c r="L638" i="7949" s="1"/>
  <c r="M638" i="7949" s="1"/>
  <c r="N638" i="7949" s="1"/>
  <c r="O638" i="7949" s="1"/>
  <c r="P638" i="7949" s="1"/>
  <c r="Q638" i="7949" s="1"/>
  <c r="R638" i="7949" s="1"/>
  <c r="S638" i="7949" s="1"/>
  <c r="T638" i="7949" s="1"/>
  <c r="U638" i="7949" s="1"/>
  <c r="V638" i="7949" s="1"/>
  <c r="W638" i="7949" s="1"/>
  <c r="E615" i="7949"/>
  <c r="E639" i="7949"/>
  <c r="F639" i="7949" s="1"/>
  <c r="G639" i="7949" s="1"/>
  <c r="H639" i="7949" s="1"/>
  <c r="I639" i="7949" s="1"/>
  <c r="J639" i="7949" s="1"/>
  <c r="K639" i="7949" s="1"/>
  <c r="L639" i="7949" s="1"/>
  <c r="M639" i="7949" s="1"/>
  <c r="N639" i="7949" s="1"/>
  <c r="O639" i="7949" s="1"/>
  <c r="P639" i="7949" s="1"/>
  <c r="Q639" i="7949" s="1"/>
  <c r="R639" i="7949" s="1"/>
  <c r="S639" i="7949" s="1"/>
  <c r="T639" i="7949" s="1"/>
  <c r="U639" i="7949" s="1"/>
  <c r="V639" i="7949" s="1"/>
  <c r="W639" i="7949" s="1"/>
  <c r="D614" i="7949"/>
  <c r="G641" i="7949"/>
  <c r="F616" i="7949"/>
  <c r="G803" i="7949"/>
  <c r="E801" i="7949"/>
  <c r="F801" i="7949" s="1"/>
  <c r="G801" i="7949" s="1"/>
  <c r="H801" i="7949" s="1"/>
  <c r="I801" i="7949" s="1"/>
  <c r="J801" i="7949" s="1"/>
  <c r="K801" i="7949" s="1"/>
  <c r="L801" i="7949" s="1"/>
  <c r="M801" i="7949" s="1"/>
  <c r="N801" i="7949" s="1"/>
  <c r="O801" i="7949" s="1"/>
  <c r="P801" i="7949" s="1"/>
  <c r="Q801" i="7949" s="1"/>
  <c r="R801" i="7949" s="1"/>
  <c r="S801" i="7949" s="1"/>
  <c r="T801" i="7949" s="1"/>
  <c r="U801" i="7949" s="1"/>
  <c r="V801" i="7949" s="1"/>
  <c r="W801" i="7949" s="1"/>
  <c r="F778" i="7949"/>
  <c r="D776" i="7949"/>
  <c r="H804" i="7949"/>
  <c r="F802" i="7949"/>
  <c r="G802" i="7949" s="1"/>
  <c r="H802" i="7949" s="1"/>
  <c r="I802" i="7949" s="1"/>
  <c r="J802" i="7949" s="1"/>
  <c r="K802" i="7949" s="1"/>
  <c r="L802" i="7949" s="1"/>
  <c r="M802" i="7949" s="1"/>
  <c r="N802" i="7949" s="1"/>
  <c r="O802" i="7949" s="1"/>
  <c r="P802" i="7949" s="1"/>
  <c r="Q802" i="7949" s="1"/>
  <c r="R802" i="7949" s="1"/>
  <c r="S802" i="7949" s="1"/>
  <c r="T802" i="7949" s="1"/>
  <c r="U802" i="7949" s="1"/>
  <c r="V802" i="7949" s="1"/>
  <c r="W802" i="7949" s="1"/>
  <c r="D800" i="7949"/>
  <c r="E800" i="7949" s="1"/>
  <c r="F800" i="7949" s="1"/>
  <c r="G800" i="7949" s="1"/>
  <c r="H800" i="7949" s="1"/>
  <c r="I800" i="7949" s="1"/>
  <c r="J800" i="7949" s="1"/>
  <c r="K800" i="7949" s="1"/>
  <c r="L800" i="7949" s="1"/>
  <c r="M800" i="7949" s="1"/>
  <c r="N800" i="7949" s="1"/>
  <c r="O800" i="7949" s="1"/>
  <c r="P800" i="7949" s="1"/>
  <c r="Q800" i="7949" s="1"/>
  <c r="R800" i="7949" s="1"/>
  <c r="S800" i="7949" s="1"/>
  <c r="T800" i="7949" s="1"/>
  <c r="U800" i="7949" s="1"/>
  <c r="V800" i="7949" s="1"/>
  <c r="W800" i="7949" s="1"/>
  <c r="E777" i="7949"/>
  <c r="G911" i="7949"/>
  <c r="E909" i="7949"/>
  <c r="F909" i="7949" s="1"/>
  <c r="G909" i="7949" s="1"/>
  <c r="H909" i="7949" s="1"/>
  <c r="I909" i="7949" s="1"/>
  <c r="J909" i="7949" s="1"/>
  <c r="K909" i="7949" s="1"/>
  <c r="L909" i="7949" s="1"/>
  <c r="M909" i="7949" s="1"/>
  <c r="N909" i="7949" s="1"/>
  <c r="O909" i="7949" s="1"/>
  <c r="P909" i="7949" s="1"/>
  <c r="Q909" i="7949" s="1"/>
  <c r="R909" i="7949" s="1"/>
  <c r="S909" i="7949" s="1"/>
  <c r="T909" i="7949" s="1"/>
  <c r="U909" i="7949" s="1"/>
  <c r="V909" i="7949" s="1"/>
  <c r="W909" i="7949" s="1"/>
  <c r="F886" i="7949"/>
  <c r="D884" i="7949"/>
  <c r="H912" i="7949"/>
  <c r="F910" i="7949"/>
  <c r="G910" i="7949" s="1"/>
  <c r="H910" i="7949" s="1"/>
  <c r="I910" i="7949" s="1"/>
  <c r="J910" i="7949" s="1"/>
  <c r="K910" i="7949" s="1"/>
  <c r="L910" i="7949" s="1"/>
  <c r="M910" i="7949" s="1"/>
  <c r="N910" i="7949" s="1"/>
  <c r="O910" i="7949" s="1"/>
  <c r="P910" i="7949" s="1"/>
  <c r="Q910" i="7949" s="1"/>
  <c r="R910" i="7949" s="1"/>
  <c r="S910" i="7949" s="1"/>
  <c r="T910" i="7949" s="1"/>
  <c r="U910" i="7949" s="1"/>
  <c r="V910" i="7949" s="1"/>
  <c r="W910" i="7949" s="1"/>
  <c r="D908" i="7949"/>
  <c r="E908" i="7949" s="1"/>
  <c r="F908" i="7949" s="1"/>
  <c r="G908" i="7949" s="1"/>
  <c r="H908" i="7949" s="1"/>
  <c r="I908" i="7949" s="1"/>
  <c r="J908" i="7949" s="1"/>
  <c r="K908" i="7949" s="1"/>
  <c r="L908" i="7949" s="1"/>
  <c r="M908" i="7949" s="1"/>
  <c r="N908" i="7949" s="1"/>
  <c r="O908" i="7949" s="1"/>
  <c r="P908" i="7949" s="1"/>
  <c r="Q908" i="7949" s="1"/>
  <c r="R908" i="7949" s="1"/>
  <c r="S908" i="7949" s="1"/>
  <c r="T908" i="7949" s="1"/>
  <c r="U908" i="7949" s="1"/>
  <c r="V908" i="7949" s="1"/>
  <c r="W908" i="7949" s="1"/>
  <c r="E885" i="7949"/>
  <c r="G1019" i="7949"/>
  <c r="E1017" i="7949"/>
  <c r="F1017" i="7949" s="1"/>
  <c r="G1017" i="7949" s="1"/>
  <c r="H1017" i="7949" s="1"/>
  <c r="I1017" i="7949" s="1"/>
  <c r="J1017" i="7949" s="1"/>
  <c r="K1017" i="7949" s="1"/>
  <c r="L1017" i="7949" s="1"/>
  <c r="M1017" i="7949" s="1"/>
  <c r="N1017" i="7949" s="1"/>
  <c r="O1017" i="7949" s="1"/>
  <c r="P1017" i="7949" s="1"/>
  <c r="Q1017" i="7949" s="1"/>
  <c r="R1017" i="7949" s="1"/>
  <c r="S1017" i="7949" s="1"/>
  <c r="T1017" i="7949" s="1"/>
  <c r="U1017" i="7949" s="1"/>
  <c r="V1017" i="7949" s="1"/>
  <c r="W1017" i="7949" s="1"/>
  <c r="F994" i="7949"/>
  <c r="D992" i="7949"/>
  <c r="H1020" i="7949"/>
  <c r="F1018" i="7949"/>
  <c r="G1018" i="7949" s="1"/>
  <c r="H1018" i="7949" s="1"/>
  <c r="I1018" i="7949" s="1"/>
  <c r="J1018" i="7949" s="1"/>
  <c r="K1018" i="7949" s="1"/>
  <c r="L1018" i="7949" s="1"/>
  <c r="M1018" i="7949" s="1"/>
  <c r="N1018" i="7949" s="1"/>
  <c r="O1018" i="7949" s="1"/>
  <c r="P1018" i="7949" s="1"/>
  <c r="Q1018" i="7949" s="1"/>
  <c r="R1018" i="7949" s="1"/>
  <c r="S1018" i="7949" s="1"/>
  <c r="T1018" i="7949" s="1"/>
  <c r="U1018" i="7949" s="1"/>
  <c r="V1018" i="7949" s="1"/>
  <c r="W1018" i="7949" s="1"/>
  <c r="D1016" i="7949"/>
  <c r="E1016" i="7949" s="1"/>
  <c r="F1016" i="7949" s="1"/>
  <c r="G1016" i="7949" s="1"/>
  <c r="H1016" i="7949" s="1"/>
  <c r="I1016" i="7949" s="1"/>
  <c r="J1016" i="7949" s="1"/>
  <c r="K1016" i="7949" s="1"/>
  <c r="L1016" i="7949" s="1"/>
  <c r="M1016" i="7949" s="1"/>
  <c r="N1016" i="7949" s="1"/>
  <c r="O1016" i="7949" s="1"/>
  <c r="P1016" i="7949" s="1"/>
  <c r="Q1016" i="7949" s="1"/>
  <c r="R1016" i="7949" s="1"/>
  <c r="S1016" i="7949" s="1"/>
  <c r="T1016" i="7949" s="1"/>
  <c r="U1016" i="7949" s="1"/>
  <c r="V1016" i="7949" s="1"/>
  <c r="W1016" i="7949" s="1"/>
  <c r="E993" i="7949"/>
  <c r="G1127" i="7949"/>
  <c r="E1125" i="7949"/>
  <c r="F1125" i="7949" s="1"/>
  <c r="G1125" i="7949" s="1"/>
  <c r="H1125" i="7949" s="1"/>
  <c r="I1125" i="7949" s="1"/>
  <c r="J1125" i="7949" s="1"/>
  <c r="K1125" i="7949" s="1"/>
  <c r="L1125" i="7949" s="1"/>
  <c r="M1125" i="7949" s="1"/>
  <c r="N1125" i="7949" s="1"/>
  <c r="O1125" i="7949" s="1"/>
  <c r="P1125" i="7949" s="1"/>
  <c r="Q1125" i="7949" s="1"/>
  <c r="R1125" i="7949" s="1"/>
  <c r="S1125" i="7949" s="1"/>
  <c r="T1125" i="7949" s="1"/>
  <c r="U1125" i="7949" s="1"/>
  <c r="V1125" i="7949" s="1"/>
  <c r="W1125" i="7949" s="1"/>
  <c r="F1102" i="7949"/>
  <c r="D1100" i="7949"/>
  <c r="H1128" i="7949"/>
  <c r="F1126" i="7949"/>
  <c r="G1126" i="7949" s="1"/>
  <c r="H1126" i="7949" s="1"/>
  <c r="I1126" i="7949" s="1"/>
  <c r="J1126" i="7949" s="1"/>
  <c r="K1126" i="7949" s="1"/>
  <c r="L1126" i="7949" s="1"/>
  <c r="M1126" i="7949" s="1"/>
  <c r="N1126" i="7949" s="1"/>
  <c r="O1126" i="7949" s="1"/>
  <c r="P1126" i="7949" s="1"/>
  <c r="Q1126" i="7949" s="1"/>
  <c r="R1126" i="7949" s="1"/>
  <c r="S1126" i="7949" s="1"/>
  <c r="T1126" i="7949" s="1"/>
  <c r="U1126" i="7949" s="1"/>
  <c r="V1126" i="7949" s="1"/>
  <c r="W1126" i="7949" s="1"/>
  <c r="D1124" i="7949"/>
  <c r="E1124" i="7949" s="1"/>
  <c r="F1124" i="7949" s="1"/>
  <c r="G1124" i="7949" s="1"/>
  <c r="H1124" i="7949" s="1"/>
  <c r="I1124" i="7949" s="1"/>
  <c r="J1124" i="7949" s="1"/>
  <c r="K1124" i="7949" s="1"/>
  <c r="L1124" i="7949" s="1"/>
  <c r="M1124" i="7949" s="1"/>
  <c r="N1124" i="7949" s="1"/>
  <c r="O1124" i="7949" s="1"/>
  <c r="P1124" i="7949" s="1"/>
  <c r="Q1124" i="7949" s="1"/>
  <c r="R1124" i="7949" s="1"/>
  <c r="S1124" i="7949" s="1"/>
  <c r="T1124" i="7949" s="1"/>
  <c r="U1124" i="7949" s="1"/>
  <c r="V1124" i="7949" s="1"/>
  <c r="W1124" i="7949" s="1"/>
  <c r="E1101" i="7949"/>
  <c r="G1235" i="7949"/>
  <c r="E1233" i="7949"/>
  <c r="F1233" i="7949" s="1"/>
  <c r="G1233" i="7949" s="1"/>
  <c r="H1233" i="7949" s="1"/>
  <c r="I1233" i="7949" s="1"/>
  <c r="J1233" i="7949" s="1"/>
  <c r="K1233" i="7949" s="1"/>
  <c r="L1233" i="7949" s="1"/>
  <c r="M1233" i="7949" s="1"/>
  <c r="N1233" i="7949" s="1"/>
  <c r="O1233" i="7949" s="1"/>
  <c r="P1233" i="7949" s="1"/>
  <c r="Q1233" i="7949" s="1"/>
  <c r="R1233" i="7949" s="1"/>
  <c r="S1233" i="7949" s="1"/>
  <c r="T1233" i="7949" s="1"/>
  <c r="U1233" i="7949" s="1"/>
  <c r="V1233" i="7949" s="1"/>
  <c r="W1233" i="7949" s="1"/>
  <c r="F1210" i="7949"/>
  <c r="D1208" i="7949"/>
  <c r="F1234" i="7949"/>
  <c r="G1234" i="7949" s="1"/>
  <c r="H1234" i="7949" s="1"/>
  <c r="I1234" i="7949" s="1"/>
  <c r="J1234" i="7949" s="1"/>
  <c r="K1234" i="7949" s="1"/>
  <c r="L1234" i="7949" s="1"/>
  <c r="M1234" i="7949" s="1"/>
  <c r="N1234" i="7949" s="1"/>
  <c r="O1234" i="7949" s="1"/>
  <c r="P1234" i="7949" s="1"/>
  <c r="Q1234" i="7949" s="1"/>
  <c r="R1234" i="7949" s="1"/>
  <c r="S1234" i="7949" s="1"/>
  <c r="T1234" i="7949" s="1"/>
  <c r="U1234" i="7949" s="1"/>
  <c r="V1234" i="7949" s="1"/>
  <c r="W1234" i="7949" s="1"/>
  <c r="E1209" i="7949"/>
  <c r="H1236" i="7949"/>
  <c r="D1232" i="7949"/>
  <c r="E1232" i="7949" s="1"/>
  <c r="F1232" i="7949" s="1"/>
  <c r="G1232" i="7949" s="1"/>
  <c r="H1232" i="7949" s="1"/>
  <c r="I1232" i="7949" s="1"/>
  <c r="J1232" i="7949" s="1"/>
  <c r="K1232" i="7949" s="1"/>
  <c r="L1232" i="7949" s="1"/>
  <c r="M1232" i="7949" s="1"/>
  <c r="N1232" i="7949" s="1"/>
  <c r="O1232" i="7949" s="1"/>
  <c r="P1232" i="7949" s="1"/>
  <c r="Q1232" i="7949" s="1"/>
  <c r="R1232" i="7949" s="1"/>
  <c r="S1232" i="7949" s="1"/>
  <c r="T1232" i="7949" s="1"/>
  <c r="U1232" i="7949" s="1"/>
  <c r="V1232" i="7949" s="1"/>
  <c r="W1232" i="7949" s="1"/>
  <c r="G1343" i="7949"/>
  <c r="E1341" i="7949"/>
  <c r="F1341" i="7949" s="1"/>
  <c r="G1341" i="7949" s="1"/>
  <c r="H1341" i="7949" s="1"/>
  <c r="I1341" i="7949" s="1"/>
  <c r="J1341" i="7949" s="1"/>
  <c r="K1341" i="7949" s="1"/>
  <c r="L1341" i="7949" s="1"/>
  <c r="M1341" i="7949" s="1"/>
  <c r="N1341" i="7949" s="1"/>
  <c r="O1341" i="7949" s="1"/>
  <c r="P1341" i="7949" s="1"/>
  <c r="Q1341" i="7949" s="1"/>
  <c r="R1341" i="7949" s="1"/>
  <c r="S1341" i="7949" s="1"/>
  <c r="T1341" i="7949" s="1"/>
  <c r="U1341" i="7949" s="1"/>
  <c r="V1341" i="7949" s="1"/>
  <c r="W1341" i="7949" s="1"/>
  <c r="F1318" i="7949"/>
  <c r="D1316" i="7949"/>
  <c r="H1344" i="7949"/>
  <c r="F1342" i="7949"/>
  <c r="G1342" i="7949" s="1"/>
  <c r="H1342" i="7949" s="1"/>
  <c r="I1342" i="7949" s="1"/>
  <c r="J1342" i="7949" s="1"/>
  <c r="K1342" i="7949" s="1"/>
  <c r="L1342" i="7949" s="1"/>
  <c r="M1342" i="7949" s="1"/>
  <c r="N1342" i="7949" s="1"/>
  <c r="O1342" i="7949" s="1"/>
  <c r="P1342" i="7949" s="1"/>
  <c r="Q1342" i="7949" s="1"/>
  <c r="R1342" i="7949" s="1"/>
  <c r="S1342" i="7949" s="1"/>
  <c r="T1342" i="7949" s="1"/>
  <c r="U1342" i="7949" s="1"/>
  <c r="V1342" i="7949" s="1"/>
  <c r="W1342" i="7949" s="1"/>
  <c r="D1340" i="7949"/>
  <c r="E1340" i="7949" s="1"/>
  <c r="F1340" i="7949" s="1"/>
  <c r="G1340" i="7949" s="1"/>
  <c r="H1340" i="7949" s="1"/>
  <c r="I1340" i="7949" s="1"/>
  <c r="J1340" i="7949" s="1"/>
  <c r="K1340" i="7949" s="1"/>
  <c r="L1340" i="7949" s="1"/>
  <c r="M1340" i="7949" s="1"/>
  <c r="N1340" i="7949" s="1"/>
  <c r="O1340" i="7949" s="1"/>
  <c r="P1340" i="7949" s="1"/>
  <c r="Q1340" i="7949" s="1"/>
  <c r="R1340" i="7949" s="1"/>
  <c r="S1340" i="7949" s="1"/>
  <c r="T1340" i="7949" s="1"/>
  <c r="U1340" i="7949" s="1"/>
  <c r="V1340" i="7949" s="1"/>
  <c r="W1340" i="7949" s="1"/>
  <c r="E1317" i="7949"/>
  <c r="G1451" i="7949"/>
  <c r="E1449" i="7949"/>
  <c r="F1449" i="7949" s="1"/>
  <c r="G1449" i="7949" s="1"/>
  <c r="H1449" i="7949" s="1"/>
  <c r="I1449" i="7949" s="1"/>
  <c r="J1449" i="7949" s="1"/>
  <c r="K1449" i="7949" s="1"/>
  <c r="L1449" i="7949" s="1"/>
  <c r="M1449" i="7949" s="1"/>
  <c r="N1449" i="7949" s="1"/>
  <c r="O1449" i="7949" s="1"/>
  <c r="P1449" i="7949" s="1"/>
  <c r="Q1449" i="7949" s="1"/>
  <c r="R1449" i="7949" s="1"/>
  <c r="S1449" i="7949" s="1"/>
  <c r="T1449" i="7949" s="1"/>
  <c r="U1449" i="7949" s="1"/>
  <c r="V1449" i="7949" s="1"/>
  <c r="W1449" i="7949" s="1"/>
  <c r="F1426" i="7949"/>
  <c r="D1424" i="7949"/>
  <c r="H1452" i="7949"/>
  <c r="F1450" i="7949"/>
  <c r="G1450" i="7949" s="1"/>
  <c r="H1450" i="7949" s="1"/>
  <c r="I1450" i="7949" s="1"/>
  <c r="J1450" i="7949" s="1"/>
  <c r="K1450" i="7949" s="1"/>
  <c r="L1450" i="7949" s="1"/>
  <c r="M1450" i="7949" s="1"/>
  <c r="N1450" i="7949" s="1"/>
  <c r="O1450" i="7949" s="1"/>
  <c r="P1450" i="7949" s="1"/>
  <c r="Q1450" i="7949" s="1"/>
  <c r="R1450" i="7949" s="1"/>
  <c r="S1450" i="7949" s="1"/>
  <c r="T1450" i="7949" s="1"/>
  <c r="U1450" i="7949" s="1"/>
  <c r="V1450" i="7949" s="1"/>
  <c r="W1450" i="7949" s="1"/>
  <c r="D1448" i="7949"/>
  <c r="E1448" i="7949" s="1"/>
  <c r="F1448" i="7949" s="1"/>
  <c r="G1448" i="7949" s="1"/>
  <c r="H1448" i="7949" s="1"/>
  <c r="I1448" i="7949" s="1"/>
  <c r="J1448" i="7949" s="1"/>
  <c r="K1448" i="7949" s="1"/>
  <c r="L1448" i="7949" s="1"/>
  <c r="M1448" i="7949" s="1"/>
  <c r="N1448" i="7949" s="1"/>
  <c r="O1448" i="7949" s="1"/>
  <c r="P1448" i="7949" s="1"/>
  <c r="Q1448" i="7949" s="1"/>
  <c r="R1448" i="7949" s="1"/>
  <c r="S1448" i="7949" s="1"/>
  <c r="T1448" i="7949" s="1"/>
  <c r="U1448" i="7949" s="1"/>
  <c r="V1448" i="7949" s="1"/>
  <c r="W1448" i="7949" s="1"/>
  <c r="E1425" i="7949"/>
  <c r="G1559" i="7949"/>
  <c r="E1557" i="7949"/>
  <c r="F1557" i="7949" s="1"/>
  <c r="G1557" i="7949" s="1"/>
  <c r="H1557" i="7949" s="1"/>
  <c r="I1557" i="7949" s="1"/>
  <c r="J1557" i="7949" s="1"/>
  <c r="K1557" i="7949" s="1"/>
  <c r="L1557" i="7949" s="1"/>
  <c r="M1557" i="7949" s="1"/>
  <c r="N1557" i="7949" s="1"/>
  <c r="O1557" i="7949" s="1"/>
  <c r="P1557" i="7949" s="1"/>
  <c r="Q1557" i="7949" s="1"/>
  <c r="R1557" i="7949" s="1"/>
  <c r="S1557" i="7949" s="1"/>
  <c r="T1557" i="7949" s="1"/>
  <c r="U1557" i="7949" s="1"/>
  <c r="V1557" i="7949" s="1"/>
  <c r="W1557" i="7949" s="1"/>
  <c r="F1534" i="7949"/>
  <c r="D1532" i="7949"/>
  <c r="H1560" i="7949"/>
  <c r="F1558" i="7949"/>
  <c r="G1558" i="7949" s="1"/>
  <c r="H1558" i="7949" s="1"/>
  <c r="I1558" i="7949" s="1"/>
  <c r="J1558" i="7949" s="1"/>
  <c r="K1558" i="7949" s="1"/>
  <c r="L1558" i="7949" s="1"/>
  <c r="M1558" i="7949" s="1"/>
  <c r="N1558" i="7949" s="1"/>
  <c r="O1558" i="7949" s="1"/>
  <c r="P1558" i="7949" s="1"/>
  <c r="Q1558" i="7949" s="1"/>
  <c r="R1558" i="7949" s="1"/>
  <c r="S1558" i="7949" s="1"/>
  <c r="T1558" i="7949" s="1"/>
  <c r="U1558" i="7949" s="1"/>
  <c r="V1558" i="7949" s="1"/>
  <c r="W1558" i="7949" s="1"/>
  <c r="D1556" i="7949"/>
  <c r="E1556" i="7949" s="1"/>
  <c r="F1556" i="7949" s="1"/>
  <c r="G1556" i="7949" s="1"/>
  <c r="H1556" i="7949" s="1"/>
  <c r="I1556" i="7949" s="1"/>
  <c r="J1556" i="7949" s="1"/>
  <c r="K1556" i="7949" s="1"/>
  <c r="L1556" i="7949" s="1"/>
  <c r="M1556" i="7949" s="1"/>
  <c r="N1556" i="7949" s="1"/>
  <c r="O1556" i="7949" s="1"/>
  <c r="P1556" i="7949" s="1"/>
  <c r="Q1556" i="7949" s="1"/>
  <c r="R1556" i="7949" s="1"/>
  <c r="S1556" i="7949" s="1"/>
  <c r="T1556" i="7949" s="1"/>
  <c r="U1556" i="7949" s="1"/>
  <c r="V1556" i="7949" s="1"/>
  <c r="W1556" i="7949" s="1"/>
  <c r="E1533" i="7949"/>
  <c r="G1667" i="7949"/>
  <c r="E1665" i="7949"/>
  <c r="F1665" i="7949" s="1"/>
  <c r="G1665" i="7949" s="1"/>
  <c r="H1665" i="7949" s="1"/>
  <c r="I1665" i="7949" s="1"/>
  <c r="J1665" i="7949" s="1"/>
  <c r="K1665" i="7949" s="1"/>
  <c r="L1665" i="7949" s="1"/>
  <c r="M1665" i="7949" s="1"/>
  <c r="N1665" i="7949" s="1"/>
  <c r="O1665" i="7949" s="1"/>
  <c r="P1665" i="7949" s="1"/>
  <c r="Q1665" i="7949" s="1"/>
  <c r="R1665" i="7949" s="1"/>
  <c r="S1665" i="7949" s="1"/>
  <c r="T1665" i="7949" s="1"/>
  <c r="U1665" i="7949" s="1"/>
  <c r="V1665" i="7949" s="1"/>
  <c r="W1665" i="7949" s="1"/>
  <c r="F1642" i="7949"/>
  <c r="D1640" i="7949"/>
  <c r="H1668" i="7949"/>
  <c r="F1666" i="7949"/>
  <c r="G1666" i="7949" s="1"/>
  <c r="H1666" i="7949" s="1"/>
  <c r="I1666" i="7949" s="1"/>
  <c r="J1666" i="7949" s="1"/>
  <c r="K1666" i="7949" s="1"/>
  <c r="L1666" i="7949" s="1"/>
  <c r="M1666" i="7949" s="1"/>
  <c r="N1666" i="7949" s="1"/>
  <c r="O1666" i="7949" s="1"/>
  <c r="P1666" i="7949" s="1"/>
  <c r="Q1666" i="7949" s="1"/>
  <c r="R1666" i="7949" s="1"/>
  <c r="S1666" i="7949" s="1"/>
  <c r="T1666" i="7949" s="1"/>
  <c r="U1666" i="7949" s="1"/>
  <c r="V1666" i="7949" s="1"/>
  <c r="W1666" i="7949" s="1"/>
  <c r="D1664" i="7949"/>
  <c r="E1664" i="7949" s="1"/>
  <c r="F1664" i="7949" s="1"/>
  <c r="G1664" i="7949" s="1"/>
  <c r="H1664" i="7949" s="1"/>
  <c r="I1664" i="7949" s="1"/>
  <c r="J1664" i="7949" s="1"/>
  <c r="K1664" i="7949" s="1"/>
  <c r="L1664" i="7949" s="1"/>
  <c r="M1664" i="7949" s="1"/>
  <c r="N1664" i="7949" s="1"/>
  <c r="O1664" i="7949" s="1"/>
  <c r="P1664" i="7949" s="1"/>
  <c r="Q1664" i="7949" s="1"/>
  <c r="R1664" i="7949" s="1"/>
  <c r="S1664" i="7949" s="1"/>
  <c r="T1664" i="7949" s="1"/>
  <c r="U1664" i="7949" s="1"/>
  <c r="V1664" i="7949" s="1"/>
  <c r="W1664" i="7949" s="1"/>
  <c r="E1641" i="7949"/>
  <c r="G1775" i="7949"/>
  <c r="E1773" i="7949"/>
  <c r="F1773" i="7949" s="1"/>
  <c r="G1773" i="7949" s="1"/>
  <c r="H1773" i="7949" s="1"/>
  <c r="I1773" i="7949" s="1"/>
  <c r="J1773" i="7949" s="1"/>
  <c r="K1773" i="7949" s="1"/>
  <c r="L1773" i="7949" s="1"/>
  <c r="M1773" i="7949" s="1"/>
  <c r="N1773" i="7949" s="1"/>
  <c r="O1773" i="7949" s="1"/>
  <c r="P1773" i="7949" s="1"/>
  <c r="Q1773" i="7949" s="1"/>
  <c r="R1773" i="7949" s="1"/>
  <c r="S1773" i="7949" s="1"/>
  <c r="T1773" i="7949" s="1"/>
  <c r="U1773" i="7949" s="1"/>
  <c r="V1773" i="7949" s="1"/>
  <c r="W1773" i="7949" s="1"/>
  <c r="F1750" i="7949"/>
  <c r="D1748" i="7949"/>
  <c r="H1776" i="7949"/>
  <c r="F1774" i="7949"/>
  <c r="G1774" i="7949" s="1"/>
  <c r="H1774" i="7949" s="1"/>
  <c r="I1774" i="7949" s="1"/>
  <c r="J1774" i="7949" s="1"/>
  <c r="K1774" i="7949" s="1"/>
  <c r="L1774" i="7949" s="1"/>
  <c r="M1774" i="7949" s="1"/>
  <c r="N1774" i="7949" s="1"/>
  <c r="O1774" i="7949" s="1"/>
  <c r="P1774" i="7949" s="1"/>
  <c r="Q1774" i="7949" s="1"/>
  <c r="R1774" i="7949" s="1"/>
  <c r="S1774" i="7949" s="1"/>
  <c r="T1774" i="7949" s="1"/>
  <c r="U1774" i="7949" s="1"/>
  <c r="V1774" i="7949" s="1"/>
  <c r="W1774" i="7949" s="1"/>
  <c r="D1772" i="7949"/>
  <c r="E1772" i="7949" s="1"/>
  <c r="F1772" i="7949" s="1"/>
  <c r="G1772" i="7949" s="1"/>
  <c r="H1772" i="7949" s="1"/>
  <c r="I1772" i="7949" s="1"/>
  <c r="J1772" i="7949" s="1"/>
  <c r="K1772" i="7949" s="1"/>
  <c r="L1772" i="7949" s="1"/>
  <c r="M1772" i="7949" s="1"/>
  <c r="N1772" i="7949" s="1"/>
  <c r="O1772" i="7949" s="1"/>
  <c r="P1772" i="7949" s="1"/>
  <c r="Q1772" i="7949" s="1"/>
  <c r="R1772" i="7949" s="1"/>
  <c r="S1772" i="7949" s="1"/>
  <c r="T1772" i="7949" s="1"/>
  <c r="U1772" i="7949" s="1"/>
  <c r="V1772" i="7949" s="1"/>
  <c r="W1772" i="7949" s="1"/>
  <c r="E1749" i="7949"/>
  <c r="G1883" i="7949"/>
  <c r="E1881" i="7949"/>
  <c r="F1881" i="7949" s="1"/>
  <c r="G1881" i="7949" s="1"/>
  <c r="H1881" i="7949" s="1"/>
  <c r="I1881" i="7949" s="1"/>
  <c r="J1881" i="7949" s="1"/>
  <c r="K1881" i="7949" s="1"/>
  <c r="L1881" i="7949" s="1"/>
  <c r="M1881" i="7949" s="1"/>
  <c r="N1881" i="7949" s="1"/>
  <c r="O1881" i="7949" s="1"/>
  <c r="P1881" i="7949" s="1"/>
  <c r="Q1881" i="7949" s="1"/>
  <c r="R1881" i="7949" s="1"/>
  <c r="S1881" i="7949" s="1"/>
  <c r="T1881" i="7949" s="1"/>
  <c r="U1881" i="7949" s="1"/>
  <c r="V1881" i="7949" s="1"/>
  <c r="W1881" i="7949" s="1"/>
  <c r="F1858" i="7949"/>
  <c r="D1856" i="7949"/>
  <c r="H1884" i="7949"/>
  <c r="F1882" i="7949"/>
  <c r="G1882" i="7949" s="1"/>
  <c r="H1882" i="7949" s="1"/>
  <c r="I1882" i="7949" s="1"/>
  <c r="J1882" i="7949" s="1"/>
  <c r="K1882" i="7949" s="1"/>
  <c r="L1882" i="7949" s="1"/>
  <c r="M1882" i="7949" s="1"/>
  <c r="N1882" i="7949" s="1"/>
  <c r="O1882" i="7949" s="1"/>
  <c r="P1882" i="7949" s="1"/>
  <c r="Q1882" i="7949" s="1"/>
  <c r="R1882" i="7949" s="1"/>
  <c r="S1882" i="7949" s="1"/>
  <c r="T1882" i="7949" s="1"/>
  <c r="U1882" i="7949" s="1"/>
  <c r="V1882" i="7949" s="1"/>
  <c r="W1882" i="7949" s="1"/>
  <c r="D1880" i="7949"/>
  <c r="E1880" i="7949" s="1"/>
  <c r="F1880" i="7949" s="1"/>
  <c r="G1880" i="7949" s="1"/>
  <c r="H1880" i="7949" s="1"/>
  <c r="I1880" i="7949" s="1"/>
  <c r="J1880" i="7949" s="1"/>
  <c r="K1880" i="7949" s="1"/>
  <c r="L1880" i="7949" s="1"/>
  <c r="M1880" i="7949" s="1"/>
  <c r="N1880" i="7949" s="1"/>
  <c r="O1880" i="7949" s="1"/>
  <c r="P1880" i="7949" s="1"/>
  <c r="Q1880" i="7949" s="1"/>
  <c r="R1880" i="7949" s="1"/>
  <c r="S1880" i="7949" s="1"/>
  <c r="T1880" i="7949" s="1"/>
  <c r="U1880" i="7949" s="1"/>
  <c r="V1880" i="7949" s="1"/>
  <c r="W1880" i="7949" s="1"/>
  <c r="E1857" i="7949"/>
  <c r="G1991" i="7949"/>
  <c r="E1989" i="7949"/>
  <c r="F1989" i="7949" s="1"/>
  <c r="G1989" i="7949" s="1"/>
  <c r="H1989" i="7949" s="1"/>
  <c r="I1989" i="7949" s="1"/>
  <c r="J1989" i="7949" s="1"/>
  <c r="K1989" i="7949" s="1"/>
  <c r="L1989" i="7949" s="1"/>
  <c r="M1989" i="7949" s="1"/>
  <c r="N1989" i="7949" s="1"/>
  <c r="O1989" i="7949" s="1"/>
  <c r="P1989" i="7949" s="1"/>
  <c r="Q1989" i="7949" s="1"/>
  <c r="R1989" i="7949" s="1"/>
  <c r="S1989" i="7949" s="1"/>
  <c r="T1989" i="7949" s="1"/>
  <c r="U1989" i="7949" s="1"/>
  <c r="V1989" i="7949" s="1"/>
  <c r="W1989" i="7949" s="1"/>
  <c r="F1966" i="7949"/>
  <c r="D1964" i="7949"/>
  <c r="H1992" i="7949"/>
  <c r="F1990" i="7949"/>
  <c r="G1990" i="7949" s="1"/>
  <c r="H1990" i="7949" s="1"/>
  <c r="I1990" i="7949" s="1"/>
  <c r="J1990" i="7949" s="1"/>
  <c r="K1990" i="7949" s="1"/>
  <c r="L1990" i="7949" s="1"/>
  <c r="M1990" i="7949" s="1"/>
  <c r="N1990" i="7949" s="1"/>
  <c r="O1990" i="7949" s="1"/>
  <c r="P1990" i="7949" s="1"/>
  <c r="Q1990" i="7949" s="1"/>
  <c r="R1990" i="7949" s="1"/>
  <c r="S1990" i="7949" s="1"/>
  <c r="T1990" i="7949" s="1"/>
  <c r="U1990" i="7949" s="1"/>
  <c r="V1990" i="7949" s="1"/>
  <c r="W1990" i="7949" s="1"/>
  <c r="D1988" i="7949"/>
  <c r="E1988" i="7949" s="1"/>
  <c r="F1988" i="7949" s="1"/>
  <c r="G1988" i="7949" s="1"/>
  <c r="H1988" i="7949" s="1"/>
  <c r="I1988" i="7949" s="1"/>
  <c r="J1988" i="7949" s="1"/>
  <c r="K1988" i="7949" s="1"/>
  <c r="L1988" i="7949" s="1"/>
  <c r="M1988" i="7949" s="1"/>
  <c r="N1988" i="7949" s="1"/>
  <c r="O1988" i="7949" s="1"/>
  <c r="P1988" i="7949" s="1"/>
  <c r="Q1988" i="7949" s="1"/>
  <c r="R1988" i="7949" s="1"/>
  <c r="S1988" i="7949" s="1"/>
  <c r="T1988" i="7949" s="1"/>
  <c r="U1988" i="7949" s="1"/>
  <c r="V1988" i="7949" s="1"/>
  <c r="W1988" i="7949" s="1"/>
  <c r="E1965" i="7949"/>
  <c r="G2099" i="7949"/>
  <c r="E2097" i="7949"/>
  <c r="F2097" i="7949" s="1"/>
  <c r="G2097" i="7949" s="1"/>
  <c r="H2097" i="7949" s="1"/>
  <c r="I2097" i="7949" s="1"/>
  <c r="J2097" i="7949" s="1"/>
  <c r="K2097" i="7949" s="1"/>
  <c r="L2097" i="7949" s="1"/>
  <c r="M2097" i="7949" s="1"/>
  <c r="N2097" i="7949" s="1"/>
  <c r="O2097" i="7949" s="1"/>
  <c r="P2097" i="7949" s="1"/>
  <c r="Q2097" i="7949" s="1"/>
  <c r="R2097" i="7949" s="1"/>
  <c r="S2097" i="7949" s="1"/>
  <c r="T2097" i="7949" s="1"/>
  <c r="U2097" i="7949" s="1"/>
  <c r="V2097" i="7949" s="1"/>
  <c r="W2097" i="7949" s="1"/>
  <c r="F2074" i="7949"/>
  <c r="D2072" i="7949"/>
  <c r="H2100" i="7949"/>
  <c r="F2098" i="7949"/>
  <c r="G2098" i="7949" s="1"/>
  <c r="H2098" i="7949" s="1"/>
  <c r="I2098" i="7949" s="1"/>
  <c r="J2098" i="7949" s="1"/>
  <c r="K2098" i="7949" s="1"/>
  <c r="L2098" i="7949" s="1"/>
  <c r="M2098" i="7949" s="1"/>
  <c r="N2098" i="7949" s="1"/>
  <c r="O2098" i="7949" s="1"/>
  <c r="P2098" i="7949" s="1"/>
  <c r="Q2098" i="7949" s="1"/>
  <c r="R2098" i="7949" s="1"/>
  <c r="S2098" i="7949" s="1"/>
  <c r="T2098" i="7949" s="1"/>
  <c r="U2098" i="7949" s="1"/>
  <c r="V2098" i="7949" s="1"/>
  <c r="W2098" i="7949" s="1"/>
  <c r="D2096" i="7949"/>
  <c r="E2096" i="7949" s="1"/>
  <c r="F2096" i="7949" s="1"/>
  <c r="G2096" i="7949" s="1"/>
  <c r="H2096" i="7949" s="1"/>
  <c r="I2096" i="7949" s="1"/>
  <c r="J2096" i="7949" s="1"/>
  <c r="K2096" i="7949" s="1"/>
  <c r="L2096" i="7949" s="1"/>
  <c r="M2096" i="7949" s="1"/>
  <c r="N2096" i="7949" s="1"/>
  <c r="O2096" i="7949" s="1"/>
  <c r="P2096" i="7949" s="1"/>
  <c r="Q2096" i="7949" s="1"/>
  <c r="R2096" i="7949" s="1"/>
  <c r="S2096" i="7949" s="1"/>
  <c r="T2096" i="7949" s="1"/>
  <c r="U2096" i="7949" s="1"/>
  <c r="V2096" i="7949" s="1"/>
  <c r="W2096" i="7949" s="1"/>
  <c r="E2073" i="7949"/>
  <c r="G2207" i="7949"/>
  <c r="E2205" i="7949"/>
  <c r="F2205" i="7949" s="1"/>
  <c r="G2205" i="7949" s="1"/>
  <c r="H2205" i="7949" s="1"/>
  <c r="I2205" i="7949" s="1"/>
  <c r="J2205" i="7949" s="1"/>
  <c r="K2205" i="7949" s="1"/>
  <c r="L2205" i="7949" s="1"/>
  <c r="M2205" i="7949" s="1"/>
  <c r="N2205" i="7949" s="1"/>
  <c r="O2205" i="7949" s="1"/>
  <c r="P2205" i="7949" s="1"/>
  <c r="Q2205" i="7949" s="1"/>
  <c r="R2205" i="7949" s="1"/>
  <c r="S2205" i="7949" s="1"/>
  <c r="T2205" i="7949" s="1"/>
  <c r="U2205" i="7949" s="1"/>
  <c r="V2205" i="7949" s="1"/>
  <c r="W2205" i="7949" s="1"/>
  <c r="F2182" i="7949"/>
  <c r="D2180" i="7949"/>
  <c r="H2208" i="7949"/>
  <c r="F2206" i="7949"/>
  <c r="G2206" i="7949" s="1"/>
  <c r="H2206" i="7949" s="1"/>
  <c r="I2206" i="7949" s="1"/>
  <c r="J2206" i="7949" s="1"/>
  <c r="K2206" i="7949" s="1"/>
  <c r="L2206" i="7949" s="1"/>
  <c r="M2206" i="7949" s="1"/>
  <c r="N2206" i="7949" s="1"/>
  <c r="O2206" i="7949" s="1"/>
  <c r="P2206" i="7949" s="1"/>
  <c r="Q2206" i="7949" s="1"/>
  <c r="R2206" i="7949" s="1"/>
  <c r="S2206" i="7949" s="1"/>
  <c r="T2206" i="7949" s="1"/>
  <c r="U2206" i="7949" s="1"/>
  <c r="V2206" i="7949" s="1"/>
  <c r="W2206" i="7949" s="1"/>
  <c r="D2204" i="7949"/>
  <c r="E2204" i="7949" s="1"/>
  <c r="F2204" i="7949" s="1"/>
  <c r="G2204" i="7949" s="1"/>
  <c r="H2204" i="7949" s="1"/>
  <c r="I2204" i="7949" s="1"/>
  <c r="J2204" i="7949" s="1"/>
  <c r="K2204" i="7949" s="1"/>
  <c r="L2204" i="7949" s="1"/>
  <c r="M2204" i="7949" s="1"/>
  <c r="N2204" i="7949" s="1"/>
  <c r="O2204" i="7949" s="1"/>
  <c r="P2204" i="7949" s="1"/>
  <c r="Q2204" i="7949" s="1"/>
  <c r="R2204" i="7949" s="1"/>
  <c r="S2204" i="7949" s="1"/>
  <c r="T2204" i="7949" s="1"/>
  <c r="U2204" i="7949" s="1"/>
  <c r="V2204" i="7949" s="1"/>
  <c r="W2204" i="7949" s="1"/>
  <c r="E2181" i="7949"/>
  <c r="G2315" i="7949"/>
  <c r="E2313" i="7949"/>
  <c r="F2313" i="7949" s="1"/>
  <c r="G2313" i="7949" s="1"/>
  <c r="H2313" i="7949" s="1"/>
  <c r="I2313" i="7949" s="1"/>
  <c r="J2313" i="7949" s="1"/>
  <c r="K2313" i="7949" s="1"/>
  <c r="L2313" i="7949" s="1"/>
  <c r="M2313" i="7949" s="1"/>
  <c r="N2313" i="7949" s="1"/>
  <c r="O2313" i="7949" s="1"/>
  <c r="P2313" i="7949" s="1"/>
  <c r="Q2313" i="7949" s="1"/>
  <c r="R2313" i="7949" s="1"/>
  <c r="S2313" i="7949" s="1"/>
  <c r="T2313" i="7949" s="1"/>
  <c r="U2313" i="7949" s="1"/>
  <c r="V2313" i="7949" s="1"/>
  <c r="W2313" i="7949" s="1"/>
  <c r="F2290" i="7949"/>
  <c r="D2288" i="7949"/>
  <c r="H2316" i="7949"/>
  <c r="F2314" i="7949"/>
  <c r="G2314" i="7949" s="1"/>
  <c r="H2314" i="7949" s="1"/>
  <c r="I2314" i="7949" s="1"/>
  <c r="J2314" i="7949" s="1"/>
  <c r="K2314" i="7949" s="1"/>
  <c r="L2314" i="7949" s="1"/>
  <c r="M2314" i="7949" s="1"/>
  <c r="N2314" i="7949" s="1"/>
  <c r="O2314" i="7949" s="1"/>
  <c r="P2314" i="7949" s="1"/>
  <c r="Q2314" i="7949" s="1"/>
  <c r="R2314" i="7949" s="1"/>
  <c r="S2314" i="7949" s="1"/>
  <c r="T2314" i="7949" s="1"/>
  <c r="U2314" i="7949" s="1"/>
  <c r="V2314" i="7949" s="1"/>
  <c r="W2314" i="7949" s="1"/>
  <c r="D2312" i="7949"/>
  <c r="E2312" i="7949" s="1"/>
  <c r="F2312" i="7949" s="1"/>
  <c r="G2312" i="7949" s="1"/>
  <c r="H2312" i="7949" s="1"/>
  <c r="I2312" i="7949" s="1"/>
  <c r="J2312" i="7949" s="1"/>
  <c r="K2312" i="7949" s="1"/>
  <c r="L2312" i="7949" s="1"/>
  <c r="M2312" i="7949" s="1"/>
  <c r="N2312" i="7949" s="1"/>
  <c r="O2312" i="7949" s="1"/>
  <c r="P2312" i="7949" s="1"/>
  <c r="Q2312" i="7949" s="1"/>
  <c r="R2312" i="7949" s="1"/>
  <c r="S2312" i="7949" s="1"/>
  <c r="T2312" i="7949" s="1"/>
  <c r="U2312" i="7949" s="1"/>
  <c r="V2312" i="7949" s="1"/>
  <c r="W2312" i="7949" s="1"/>
  <c r="E2289" i="7949"/>
  <c r="G2423" i="7949"/>
  <c r="E2421" i="7949"/>
  <c r="F2421" i="7949" s="1"/>
  <c r="G2421" i="7949" s="1"/>
  <c r="H2421" i="7949" s="1"/>
  <c r="I2421" i="7949" s="1"/>
  <c r="J2421" i="7949" s="1"/>
  <c r="K2421" i="7949" s="1"/>
  <c r="L2421" i="7949" s="1"/>
  <c r="M2421" i="7949" s="1"/>
  <c r="N2421" i="7949" s="1"/>
  <c r="O2421" i="7949" s="1"/>
  <c r="P2421" i="7949" s="1"/>
  <c r="Q2421" i="7949" s="1"/>
  <c r="R2421" i="7949" s="1"/>
  <c r="S2421" i="7949" s="1"/>
  <c r="T2421" i="7949" s="1"/>
  <c r="U2421" i="7949" s="1"/>
  <c r="V2421" i="7949" s="1"/>
  <c r="W2421" i="7949" s="1"/>
  <c r="F2398" i="7949"/>
  <c r="D2396" i="7949"/>
  <c r="F2422" i="7949"/>
  <c r="G2422" i="7949" s="1"/>
  <c r="H2422" i="7949" s="1"/>
  <c r="I2422" i="7949" s="1"/>
  <c r="J2422" i="7949" s="1"/>
  <c r="K2422" i="7949" s="1"/>
  <c r="L2422" i="7949" s="1"/>
  <c r="M2422" i="7949" s="1"/>
  <c r="N2422" i="7949" s="1"/>
  <c r="O2422" i="7949" s="1"/>
  <c r="P2422" i="7949" s="1"/>
  <c r="Q2422" i="7949" s="1"/>
  <c r="R2422" i="7949" s="1"/>
  <c r="S2422" i="7949" s="1"/>
  <c r="T2422" i="7949" s="1"/>
  <c r="U2422" i="7949" s="1"/>
  <c r="V2422" i="7949" s="1"/>
  <c r="W2422" i="7949" s="1"/>
  <c r="E2397" i="7949"/>
  <c r="H2424" i="7949"/>
  <c r="D2420" i="7949"/>
  <c r="E2420" i="7949" s="1"/>
  <c r="F2420" i="7949" s="1"/>
  <c r="G2420" i="7949" s="1"/>
  <c r="H2420" i="7949" s="1"/>
  <c r="I2420" i="7949" s="1"/>
  <c r="J2420" i="7949" s="1"/>
  <c r="K2420" i="7949" s="1"/>
  <c r="L2420" i="7949" s="1"/>
  <c r="M2420" i="7949" s="1"/>
  <c r="N2420" i="7949" s="1"/>
  <c r="O2420" i="7949" s="1"/>
  <c r="P2420" i="7949" s="1"/>
  <c r="Q2420" i="7949" s="1"/>
  <c r="R2420" i="7949" s="1"/>
  <c r="S2420" i="7949" s="1"/>
  <c r="T2420" i="7949" s="1"/>
  <c r="U2420" i="7949" s="1"/>
  <c r="V2420" i="7949" s="1"/>
  <c r="W2420" i="7949" s="1"/>
  <c r="G2531" i="7949"/>
  <c r="E2529" i="7949"/>
  <c r="F2529" i="7949" s="1"/>
  <c r="G2529" i="7949" s="1"/>
  <c r="H2529" i="7949" s="1"/>
  <c r="I2529" i="7949" s="1"/>
  <c r="J2529" i="7949" s="1"/>
  <c r="K2529" i="7949" s="1"/>
  <c r="L2529" i="7949" s="1"/>
  <c r="M2529" i="7949" s="1"/>
  <c r="N2529" i="7949" s="1"/>
  <c r="O2529" i="7949" s="1"/>
  <c r="P2529" i="7949" s="1"/>
  <c r="Q2529" i="7949" s="1"/>
  <c r="R2529" i="7949" s="1"/>
  <c r="S2529" i="7949" s="1"/>
  <c r="T2529" i="7949" s="1"/>
  <c r="U2529" i="7949" s="1"/>
  <c r="V2529" i="7949" s="1"/>
  <c r="W2529" i="7949" s="1"/>
  <c r="F2506" i="7949"/>
  <c r="D2504" i="7949"/>
  <c r="F2530" i="7949"/>
  <c r="G2530" i="7949" s="1"/>
  <c r="H2530" i="7949" s="1"/>
  <c r="I2530" i="7949" s="1"/>
  <c r="J2530" i="7949" s="1"/>
  <c r="K2530" i="7949" s="1"/>
  <c r="L2530" i="7949" s="1"/>
  <c r="M2530" i="7949" s="1"/>
  <c r="N2530" i="7949" s="1"/>
  <c r="O2530" i="7949" s="1"/>
  <c r="P2530" i="7949" s="1"/>
  <c r="Q2530" i="7949" s="1"/>
  <c r="R2530" i="7949" s="1"/>
  <c r="S2530" i="7949" s="1"/>
  <c r="T2530" i="7949" s="1"/>
  <c r="U2530" i="7949" s="1"/>
  <c r="V2530" i="7949" s="1"/>
  <c r="W2530" i="7949" s="1"/>
  <c r="E2505" i="7949"/>
  <c r="H2532" i="7949"/>
  <c r="D2528" i="7949"/>
  <c r="E2528" i="7949" s="1"/>
  <c r="F2528" i="7949" s="1"/>
  <c r="G2528" i="7949" s="1"/>
  <c r="H2528" i="7949" s="1"/>
  <c r="I2528" i="7949" s="1"/>
  <c r="J2528" i="7949" s="1"/>
  <c r="K2528" i="7949" s="1"/>
  <c r="L2528" i="7949" s="1"/>
  <c r="M2528" i="7949" s="1"/>
  <c r="N2528" i="7949" s="1"/>
  <c r="O2528" i="7949" s="1"/>
  <c r="P2528" i="7949" s="1"/>
  <c r="Q2528" i="7949" s="1"/>
  <c r="R2528" i="7949" s="1"/>
  <c r="S2528" i="7949" s="1"/>
  <c r="T2528" i="7949" s="1"/>
  <c r="U2528" i="7949" s="1"/>
  <c r="V2528" i="7949" s="1"/>
  <c r="W2528" i="7949" s="1"/>
  <c r="H2640" i="7949"/>
  <c r="F2638" i="7949"/>
  <c r="G2638" i="7949" s="1"/>
  <c r="H2638" i="7949" s="1"/>
  <c r="I2638" i="7949" s="1"/>
  <c r="J2638" i="7949" s="1"/>
  <c r="K2638" i="7949" s="1"/>
  <c r="L2638" i="7949" s="1"/>
  <c r="M2638" i="7949" s="1"/>
  <c r="N2638" i="7949" s="1"/>
  <c r="O2638" i="7949" s="1"/>
  <c r="P2638" i="7949" s="1"/>
  <c r="Q2638" i="7949" s="1"/>
  <c r="R2638" i="7949" s="1"/>
  <c r="S2638" i="7949" s="1"/>
  <c r="T2638" i="7949" s="1"/>
  <c r="U2638" i="7949" s="1"/>
  <c r="V2638" i="7949" s="1"/>
  <c r="W2638" i="7949" s="1"/>
  <c r="D2636" i="7949"/>
  <c r="E2636" i="7949" s="1"/>
  <c r="F2636" i="7949" s="1"/>
  <c r="G2636" i="7949" s="1"/>
  <c r="H2636" i="7949" s="1"/>
  <c r="I2636" i="7949" s="1"/>
  <c r="J2636" i="7949" s="1"/>
  <c r="K2636" i="7949" s="1"/>
  <c r="L2636" i="7949" s="1"/>
  <c r="M2636" i="7949" s="1"/>
  <c r="N2636" i="7949" s="1"/>
  <c r="O2636" i="7949" s="1"/>
  <c r="P2636" i="7949" s="1"/>
  <c r="Q2636" i="7949" s="1"/>
  <c r="R2636" i="7949" s="1"/>
  <c r="S2636" i="7949" s="1"/>
  <c r="T2636" i="7949" s="1"/>
  <c r="U2636" i="7949" s="1"/>
  <c r="V2636" i="7949" s="1"/>
  <c r="W2636" i="7949" s="1"/>
  <c r="E2613" i="7949"/>
  <c r="G2639" i="7949"/>
  <c r="E2637" i="7949"/>
  <c r="F2637" i="7949" s="1"/>
  <c r="G2637" i="7949" s="1"/>
  <c r="H2637" i="7949" s="1"/>
  <c r="I2637" i="7949" s="1"/>
  <c r="J2637" i="7949" s="1"/>
  <c r="K2637" i="7949" s="1"/>
  <c r="L2637" i="7949" s="1"/>
  <c r="M2637" i="7949" s="1"/>
  <c r="N2637" i="7949" s="1"/>
  <c r="O2637" i="7949" s="1"/>
  <c r="P2637" i="7949" s="1"/>
  <c r="Q2637" i="7949" s="1"/>
  <c r="R2637" i="7949" s="1"/>
  <c r="S2637" i="7949" s="1"/>
  <c r="T2637" i="7949" s="1"/>
  <c r="U2637" i="7949" s="1"/>
  <c r="V2637" i="7949" s="1"/>
  <c r="W2637" i="7949" s="1"/>
  <c r="F2614" i="7949"/>
  <c r="D2612" i="7949"/>
  <c r="H48" i="7949"/>
  <c r="F46" i="7949"/>
  <c r="G46" i="7949" s="1"/>
  <c r="H46" i="7949" s="1"/>
  <c r="I46" i="7949" s="1"/>
  <c r="J46" i="7949" s="1"/>
  <c r="K46" i="7949" s="1"/>
  <c r="L46" i="7949" s="1"/>
  <c r="M46" i="7949" s="1"/>
  <c r="N46" i="7949" s="1"/>
  <c r="O46" i="7949" s="1"/>
  <c r="P46" i="7949" s="1"/>
  <c r="Q46" i="7949" s="1"/>
  <c r="R46" i="7949" s="1"/>
  <c r="S46" i="7949" s="1"/>
  <c r="T46" i="7949" s="1"/>
  <c r="U46" i="7949" s="1"/>
  <c r="V46" i="7949" s="1"/>
  <c r="W46" i="7949" s="1"/>
  <c r="D44" i="7949"/>
  <c r="E44" i="7949" s="1"/>
  <c r="F44" i="7949" s="1"/>
  <c r="G44" i="7949" s="1"/>
  <c r="H44" i="7949" s="1"/>
  <c r="I44" i="7949" s="1"/>
  <c r="J44" i="7949" s="1"/>
  <c r="K44" i="7949" s="1"/>
  <c r="L44" i="7949" s="1"/>
  <c r="M44" i="7949" s="1"/>
  <c r="N44" i="7949" s="1"/>
  <c r="O44" i="7949" s="1"/>
  <c r="P44" i="7949" s="1"/>
  <c r="Q44" i="7949" s="1"/>
  <c r="R44" i="7949" s="1"/>
  <c r="S44" i="7949" s="1"/>
  <c r="T44" i="7949" s="1"/>
  <c r="U44" i="7949" s="1"/>
  <c r="V44" i="7949" s="1"/>
  <c r="W44" i="7949" s="1"/>
  <c r="G47" i="7949"/>
  <c r="E45" i="7949"/>
  <c r="F45" i="7949" s="1"/>
  <c r="G45" i="7949" s="1"/>
  <c r="H45" i="7949" s="1"/>
  <c r="I45" i="7949" s="1"/>
  <c r="J45" i="7949" s="1"/>
  <c r="K45" i="7949" s="1"/>
  <c r="L45" i="7949" s="1"/>
  <c r="M45" i="7949" s="1"/>
  <c r="N45" i="7949" s="1"/>
  <c r="O45" i="7949" s="1"/>
  <c r="P45" i="7949" s="1"/>
  <c r="Q45" i="7949" s="1"/>
  <c r="R45" i="7949" s="1"/>
  <c r="S45" i="7949" s="1"/>
  <c r="T45" i="7949" s="1"/>
  <c r="U45" i="7949" s="1"/>
  <c r="V45" i="7949" s="1"/>
  <c r="W45" i="7949" s="1"/>
  <c r="H210" i="7949"/>
  <c r="F208" i="7949"/>
  <c r="G208" i="7949" s="1"/>
  <c r="H208" i="7949" s="1"/>
  <c r="I208" i="7949" s="1"/>
  <c r="J208" i="7949" s="1"/>
  <c r="K208" i="7949" s="1"/>
  <c r="L208" i="7949" s="1"/>
  <c r="M208" i="7949" s="1"/>
  <c r="N208" i="7949" s="1"/>
  <c r="O208" i="7949" s="1"/>
  <c r="P208" i="7949" s="1"/>
  <c r="Q208" i="7949" s="1"/>
  <c r="R208" i="7949" s="1"/>
  <c r="S208" i="7949" s="1"/>
  <c r="T208" i="7949" s="1"/>
  <c r="U208" i="7949" s="1"/>
  <c r="V208" i="7949" s="1"/>
  <c r="W208" i="7949" s="1"/>
  <c r="D206" i="7949"/>
  <c r="E206" i="7949" s="1"/>
  <c r="F206" i="7949" s="1"/>
  <c r="G206" i="7949" s="1"/>
  <c r="H206" i="7949" s="1"/>
  <c r="I206" i="7949" s="1"/>
  <c r="J206" i="7949" s="1"/>
  <c r="K206" i="7949" s="1"/>
  <c r="L206" i="7949" s="1"/>
  <c r="M206" i="7949" s="1"/>
  <c r="N206" i="7949" s="1"/>
  <c r="O206" i="7949" s="1"/>
  <c r="P206" i="7949" s="1"/>
  <c r="Q206" i="7949" s="1"/>
  <c r="R206" i="7949" s="1"/>
  <c r="S206" i="7949" s="1"/>
  <c r="T206" i="7949" s="1"/>
  <c r="U206" i="7949" s="1"/>
  <c r="V206" i="7949" s="1"/>
  <c r="W206" i="7949" s="1"/>
  <c r="G209" i="7949"/>
  <c r="E207" i="7949"/>
  <c r="F207" i="7949" s="1"/>
  <c r="G207" i="7949" s="1"/>
  <c r="H207" i="7949" s="1"/>
  <c r="I207" i="7949" s="1"/>
  <c r="J207" i="7949" s="1"/>
  <c r="K207" i="7949" s="1"/>
  <c r="L207" i="7949" s="1"/>
  <c r="M207" i="7949" s="1"/>
  <c r="N207" i="7949" s="1"/>
  <c r="O207" i="7949" s="1"/>
  <c r="P207" i="7949" s="1"/>
  <c r="Q207" i="7949" s="1"/>
  <c r="R207" i="7949" s="1"/>
  <c r="S207" i="7949" s="1"/>
  <c r="T207" i="7949" s="1"/>
  <c r="U207" i="7949" s="1"/>
  <c r="V207" i="7949" s="1"/>
  <c r="W207" i="7949" s="1"/>
  <c r="H372" i="7949"/>
  <c r="F370" i="7949"/>
  <c r="G370" i="7949" s="1"/>
  <c r="H370" i="7949" s="1"/>
  <c r="I370" i="7949" s="1"/>
  <c r="J370" i="7949" s="1"/>
  <c r="K370" i="7949" s="1"/>
  <c r="L370" i="7949" s="1"/>
  <c r="M370" i="7949" s="1"/>
  <c r="N370" i="7949" s="1"/>
  <c r="O370" i="7949" s="1"/>
  <c r="P370" i="7949" s="1"/>
  <c r="Q370" i="7949" s="1"/>
  <c r="R370" i="7949" s="1"/>
  <c r="S370" i="7949" s="1"/>
  <c r="T370" i="7949" s="1"/>
  <c r="U370" i="7949" s="1"/>
  <c r="V370" i="7949" s="1"/>
  <c r="W370" i="7949" s="1"/>
  <c r="D368" i="7949"/>
  <c r="E368" i="7949" s="1"/>
  <c r="F368" i="7949" s="1"/>
  <c r="G368" i="7949" s="1"/>
  <c r="H368" i="7949" s="1"/>
  <c r="I368" i="7949" s="1"/>
  <c r="J368" i="7949" s="1"/>
  <c r="K368" i="7949" s="1"/>
  <c r="L368" i="7949" s="1"/>
  <c r="M368" i="7949" s="1"/>
  <c r="N368" i="7949" s="1"/>
  <c r="O368" i="7949" s="1"/>
  <c r="P368" i="7949" s="1"/>
  <c r="Q368" i="7949" s="1"/>
  <c r="R368" i="7949" s="1"/>
  <c r="S368" i="7949" s="1"/>
  <c r="T368" i="7949" s="1"/>
  <c r="U368" i="7949" s="1"/>
  <c r="V368" i="7949" s="1"/>
  <c r="W368" i="7949" s="1"/>
  <c r="G371" i="7949"/>
  <c r="E369" i="7949"/>
  <c r="F369" i="7949" s="1"/>
  <c r="G369" i="7949" s="1"/>
  <c r="H369" i="7949" s="1"/>
  <c r="I369" i="7949" s="1"/>
  <c r="J369" i="7949" s="1"/>
  <c r="K369" i="7949" s="1"/>
  <c r="L369" i="7949" s="1"/>
  <c r="M369" i="7949" s="1"/>
  <c r="N369" i="7949" s="1"/>
  <c r="O369" i="7949" s="1"/>
  <c r="P369" i="7949" s="1"/>
  <c r="Q369" i="7949" s="1"/>
  <c r="R369" i="7949" s="1"/>
  <c r="S369" i="7949" s="1"/>
  <c r="T369" i="7949" s="1"/>
  <c r="U369" i="7949" s="1"/>
  <c r="V369" i="7949" s="1"/>
  <c r="W369" i="7949" s="1"/>
  <c r="H480" i="7949"/>
  <c r="F478" i="7949"/>
  <c r="G478" i="7949" s="1"/>
  <c r="H478" i="7949" s="1"/>
  <c r="I478" i="7949" s="1"/>
  <c r="J478" i="7949" s="1"/>
  <c r="K478" i="7949" s="1"/>
  <c r="L478" i="7949" s="1"/>
  <c r="M478" i="7949" s="1"/>
  <c r="N478" i="7949" s="1"/>
  <c r="O478" i="7949" s="1"/>
  <c r="P478" i="7949" s="1"/>
  <c r="Q478" i="7949" s="1"/>
  <c r="R478" i="7949" s="1"/>
  <c r="S478" i="7949" s="1"/>
  <c r="T478" i="7949" s="1"/>
  <c r="U478" i="7949" s="1"/>
  <c r="V478" i="7949" s="1"/>
  <c r="W478" i="7949" s="1"/>
  <c r="D476" i="7949"/>
  <c r="E476" i="7949" s="1"/>
  <c r="F476" i="7949" s="1"/>
  <c r="G476" i="7949" s="1"/>
  <c r="H476" i="7949" s="1"/>
  <c r="I476" i="7949" s="1"/>
  <c r="J476" i="7949" s="1"/>
  <c r="K476" i="7949" s="1"/>
  <c r="L476" i="7949" s="1"/>
  <c r="M476" i="7949" s="1"/>
  <c r="N476" i="7949" s="1"/>
  <c r="O476" i="7949" s="1"/>
  <c r="P476" i="7949" s="1"/>
  <c r="Q476" i="7949" s="1"/>
  <c r="R476" i="7949" s="1"/>
  <c r="S476" i="7949" s="1"/>
  <c r="T476" i="7949" s="1"/>
  <c r="U476" i="7949" s="1"/>
  <c r="V476" i="7949" s="1"/>
  <c r="W476" i="7949" s="1"/>
  <c r="E453" i="7949"/>
  <c r="G479" i="7949"/>
  <c r="F454" i="7949"/>
  <c r="E477" i="7949"/>
  <c r="F477" i="7949" s="1"/>
  <c r="G477" i="7949" s="1"/>
  <c r="H477" i="7949" s="1"/>
  <c r="I477" i="7949" s="1"/>
  <c r="J477" i="7949" s="1"/>
  <c r="K477" i="7949" s="1"/>
  <c r="L477" i="7949" s="1"/>
  <c r="M477" i="7949" s="1"/>
  <c r="N477" i="7949" s="1"/>
  <c r="O477" i="7949" s="1"/>
  <c r="P477" i="7949" s="1"/>
  <c r="Q477" i="7949" s="1"/>
  <c r="R477" i="7949" s="1"/>
  <c r="S477" i="7949" s="1"/>
  <c r="T477" i="7949" s="1"/>
  <c r="U477" i="7949" s="1"/>
  <c r="V477" i="7949" s="1"/>
  <c r="W477" i="7949" s="1"/>
  <c r="D452" i="7949"/>
  <c r="H588" i="7949"/>
  <c r="F586" i="7949"/>
  <c r="G586" i="7949" s="1"/>
  <c r="H586" i="7949" s="1"/>
  <c r="I586" i="7949" s="1"/>
  <c r="J586" i="7949" s="1"/>
  <c r="K586" i="7949" s="1"/>
  <c r="L586" i="7949" s="1"/>
  <c r="M586" i="7949" s="1"/>
  <c r="N586" i="7949" s="1"/>
  <c r="O586" i="7949" s="1"/>
  <c r="P586" i="7949" s="1"/>
  <c r="Q586" i="7949" s="1"/>
  <c r="R586" i="7949" s="1"/>
  <c r="S586" i="7949" s="1"/>
  <c r="T586" i="7949" s="1"/>
  <c r="U586" i="7949" s="1"/>
  <c r="V586" i="7949" s="1"/>
  <c r="W586" i="7949" s="1"/>
  <c r="D584" i="7949"/>
  <c r="E584" i="7949" s="1"/>
  <c r="F584" i="7949" s="1"/>
  <c r="G584" i="7949" s="1"/>
  <c r="H584" i="7949" s="1"/>
  <c r="I584" i="7949" s="1"/>
  <c r="J584" i="7949" s="1"/>
  <c r="K584" i="7949" s="1"/>
  <c r="L584" i="7949" s="1"/>
  <c r="M584" i="7949" s="1"/>
  <c r="N584" i="7949" s="1"/>
  <c r="O584" i="7949" s="1"/>
  <c r="P584" i="7949" s="1"/>
  <c r="Q584" i="7949" s="1"/>
  <c r="R584" i="7949" s="1"/>
  <c r="S584" i="7949" s="1"/>
  <c r="T584" i="7949" s="1"/>
  <c r="U584" i="7949" s="1"/>
  <c r="V584" i="7949" s="1"/>
  <c r="W584" i="7949" s="1"/>
  <c r="E561" i="7949"/>
  <c r="G587" i="7949"/>
  <c r="F562" i="7949"/>
  <c r="E585" i="7949"/>
  <c r="F585" i="7949" s="1"/>
  <c r="G585" i="7949" s="1"/>
  <c r="H585" i="7949" s="1"/>
  <c r="I585" i="7949" s="1"/>
  <c r="J585" i="7949" s="1"/>
  <c r="K585" i="7949" s="1"/>
  <c r="L585" i="7949" s="1"/>
  <c r="M585" i="7949" s="1"/>
  <c r="N585" i="7949" s="1"/>
  <c r="O585" i="7949" s="1"/>
  <c r="P585" i="7949" s="1"/>
  <c r="Q585" i="7949" s="1"/>
  <c r="R585" i="7949" s="1"/>
  <c r="S585" i="7949" s="1"/>
  <c r="T585" i="7949" s="1"/>
  <c r="U585" i="7949" s="1"/>
  <c r="V585" i="7949" s="1"/>
  <c r="W585" i="7949" s="1"/>
  <c r="D560" i="7949"/>
  <c r="H696" i="7949"/>
  <c r="F694" i="7949"/>
  <c r="G694" i="7949" s="1"/>
  <c r="H694" i="7949" s="1"/>
  <c r="I694" i="7949" s="1"/>
  <c r="J694" i="7949" s="1"/>
  <c r="K694" i="7949" s="1"/>
  <c r="L694" i="7949" s="1"/>
  <c r="M694" i="7949" s="1"/>
  <c r="N694" i="7949" s="1"/>
  <c r="O694" i="7949" s="1"/>
  <c r="P694" i="7949" s="1"/>
  <c r="Q694" i="7949" s="1"/>
  <c r="R694" i="7949" s="1"/>
  <c r="S694" i="7949" s="1"/>
  <c r="T694" i="7949" s="1"/>
  <c r="U694" i="7949" s="1"/>
  <c r="V694" i="7949" s="1"/>
  <c r="W694" i="7949" s="1"/>
  <c r="D692" i="7949"/>
  <c r="E692" i="7949" s="1"/>
  <c r="F692" i="7949" s="1"/>
  <c r="G692" i="7949" s="1"/>
  <c r="H692" i="7949" s="1"/>
  <c r="I692" i="7949" s="1"/>
  <c r="J692" i="7949" s="1"/>
  <c r="K692" i="7949" s="1"/>
  <c r="L692" i="7949" s="1"/>
  <c r="M692" i="7949" s="1"/>
  <c r="N692" i="7949" s="1"/>
  <c r="O692" i="7949" s="1"/>
  <c r="P692" i="7949" s="1"/>
  <c r="Q692" i="7949" s="1"/>
  <c r="R692" i="7949" s="1"/>
  <c r="S692" i="7949" s="1"/>
  <c r="T692" i="7949" s="1"/>
  <c r="U692" i="7949" s="1"/>
  <c r="V692" i="7949" s="1"/>
  <c r="W692" i="7949" s="1"/>
  <c r="E669" i="7949"/>
  <c r="G695" i="7949"/>
  <c r="F670" i="7949"/>
  <c r="E693" i="7949"/>
  <c r="F693" i="7949" s="1"/>
  <c r="G693" i="7949" s="1"/>
  <c r="H693" i="7949" s="1"/>
  <c r="I693" i="7949" s="1"/>
  <c r="J693" i="7949" s="1"/>
  <c r="K693" i="7949" s="1"/>
  <c r="L693" i="7949" s="1"/>
  <c r="M693" i="7949" s="1"/>
  <c r="N693" i="7949" s="1"/>
  <c r="O693" i="7949" s="1"/>
  <c r="P693" i="7949" s="1"/>
  <c r="Q693" i="7949" s="1"/>
  <c r="R693" i="7949" s="1"/>
  <c r="S693" i="7949" s="1"/>
  <c r="T693" i="7949" s="1"/>
  <c r="U693" i="7949" s="1"/>
  <c r="V693" i="7949" s="1"/>
  <c r="W693" i="7949" s="1"/>
  <c r="D668" i="7949"/>
  <c r="H750" i="7949"/>
  <c r="F748" i="7949"/>
  <c r="G748" i="7949" s="1"/>
  <c r="H748" i="7949" s="1"/>
  <c r="I748" i="7949" s="1"/>
  <c r="J748" i="7949" s="1"/>
  <c r="K748" i="7949" s="1"/>
  <c r="L748" i="7949" s="1"/>
  <c r="M748" i="7949" s="1"/>
  <c r="N748" i="7949" s="1"/>
  <c r="O748" i="7949" s="1"/>
  <c r="P748" i="7949" s="1"/>
  <c r="Q748" i="7949" s="1"/>
  <c r="R748" i="7949" s="1"/>
  <c r="S748" i="7949" s="1"/>
  <c r="T748" i="7949" s="1"/>
  <c r="U748" i="7949" s="1"/>
  <c r="V748" i="7949" s="1"/>
  <c r="W748" i="7949" s="1"/>
  <c r="D746" i="7949"/>
  <c r="E746" i="7949" s="1"/>
  <c r="F746" i="7949" s="1"/>
  <c r="G746" i="7949" s="1"/>
  <c r="H746" i="7949" s="1"/>
  <c r="I746" i="7949" s="1"/>
  <c r="J746" i="7949" s="1"/>
  <c r="K746" i="7949" s="1"/>
  <c r="L746" i="7949" s="1"/>
  <c r="M746" i="7949" s="1"/>
  <c r="N746" i="7949" s="1"/>
  <c r="O746" i="7949" s="1"/>
  <c r="P746" i="7949" s="1"/>
  <c r="Q746" i="7949" s="1"/>
  <c r="R746" i="7949" s="1"/>
  <c r="S746" i="7949" s="1"/>
  <c r="T746" i="7949" s="1"/>
  <c r="U746" i="7949" s="1"/>
  <c r="V746" i="7949" s="1"/>
  <c r="W746" i="7949" s="1"/>
  <c r="E723" i="7949"/>
  <c r="E747" i="7949"/>
  <c r="F747" i="7949" s="1"/>
  <c r="G747" i="7949" s="1"/>
  <c r="H747" i="7949" s="1"/>
  <c r="I747" i="7949" s="1"/>
  <c r="J747" i="7949" s="1"/>
  <c r="K747" i="7949" s="1"/>
  <c r="L747" i="7949" s="1"/>
  <c r="M747" i="7949" s="1"/>
  <c r="N747" i="7949" s="1"/>
  <c r="O747" i="7949" s="1"/>
  <c r="P747" i="7949" s="1"/>
  <c r="Q747" i="7949" s="1"/>
  <c r="R747" i="7949" s="1"/>
  <c r="S747" i="7949" s="1"/>
  <c r="T747" i="7949" s="1"/>
  <c r="U747" i="7949" s="1"/>
  <c r="V747" i="7949" s="1"/>
  <c r="W747" i="7949" s="1"/>
  <c r="D722" i="7949"/>
  <c r="G749" i="7949"/>
  <c r="F724" i="7949"/>
  <c r="G857" i="7949"/>
  <c r="E855" i="7949"/>
  <c r="F855" i="7949" s="1"/>
  <c r="G855" i="7949" s="1"/>
  <c r="H855" i="7949" s="1"/>
  <c r="I855" i="7949" s="1"/>
  <c r="J855" i="7949" s="1"/>
  <c r="K855" i="7949" s="1"/>
  <c r="L855" i="7949" s="1"/>
  <c r="M855" i="7949" s="1"/>
  <c r="N855" i="7949" s="1"/>
  <c r="O855" i="7949" s="1"/>
  <c r="P855" i="7949" s="1"/>
  <c r="Q855" i="7949" s="1"/>
  <c r="R855" i="7949" s="1"/>
  <c r="S855" i="7949" s="1"/>
  <c r="T855" i="7949" s="1"/>
  <c r="U855" i="7949" s="1"/>
  <c r="V855" i="7949" s="1"/>
  <c r="W855" i="7949" s="1"/>
  <c r="F832" i="7949"/>
  <c r="D830" i="7949"/>
  <c r="H858" i="7949"/>
  <c r="F856" i="7949"/>
  <c r="G856" i="7949" s="1"/>
  <c r="H856" i="7949" s="1"/>
  <c r="I856" i="7949" s="1"/>
  <c r="J856" i="7949" s="1"/>
  <c r="K856" i="7949" s="1"/>
  <c r="L856" i="7949" s="1"/>
  <c r="M856" i="7949" s="1"/>
  <c r="N856" i="7949" s="1"/>
  <c r="O856" i="7949" s="1"/>
  <c r="P856" i="7949" s="1"/>
  <c r="Q856" i="7949" s="1"/>
  <c r="R856" i="7949" s="1"/>
  <c r="S856" i="7949" s="1"/>
  <c r="T856" i="7949" s="1"/>
  <c r="U856" i="7949" s="1"/>
  <c r="V856" i="7949" s="1"/>
  <c r="W856" i="7949" s="1"/>
  <c r="D854" i="7949"/>
  <c r="E854" i="7949" s="1"/>
  <c r="F854" i="7949" s="1"/>
  <c r="G854" i="7949" s="1"/>
  <c r="H854" i="7949" s="1"/>
  <c r="I854" i="7949" s="1"/>
  <c r="J854" i="7949" s="1"/>
  <c r="K854" i="7949" s="1"/>
  <c r="L854" i="7949" s="1"/>
  <c r="M854" i="7949" s="1"/>
  <c r="N854" i="7949" s="1"/>
  <c r="O854" i="7949" s="1"/>
  <c r="P854" i="7949" s="1"/>
  <c r="Q854" i="7949" s="1"/>
  <c r="R854" i="7949" s="1"/>
  <c r="S854" i="7949" s="1"/>
  <c r="T854" i="7949" s="1"/>
  <c r="U854" i="7949" s="1"/>
  <c r="V854" i="7949" s="1"/>
  <c r="W854" i="7949" s="1"/>
  <c r="E831" i="7949"/>
  <c r="G965" i="7949"/>
  <c r="E963" i="7949"/>
  <c r="F963" i="7949" s="1"/>
  <c r="G963" i="7949" s="1"/>
  <c r="H963" i="7949" s="1"/>
  <c r="I963" i="7949" s="1"/>
  <c r="J963" i="7949" s="1"/>
  <c r="K963" i="7949" s="1"/>
  <c r="L963" i="7949" s="1"/>
  <c r="M963" i="7949" s="1"/>
  <c r="N963" i="7949" s="1"/>
  <c r="O963" i="7949" s="1"/>
  <c r="P963" i="7949" s="1"/>
  <c r="Q963" i="7949" s="1"/>
  <c r="R963" i="7949" s="1"/>
  <c r="S963" i="7949" s="1"/>
  <c r="T963" i="7949" s="1"/>
  <c r="U963" i="7949" s="1"/>
  <c r="V963" i="7949" s="1"/>
  <c r="W963" i="7949" s="1"/>
  <c r="F940" i="7949"/>
  <c r="D938" i="7949"/>
  <c r="H966" i="7949"/>
  <c r="F964" i="7949"/>
  <c r="G964" i="7949" s="1"/>
  <c r="H964" i="7949" s="1"/>
  <c r="I964" i="7949" s="1"/>
  <c r="J964" i="7949" s="1"/>
  <c r="K964" i="7949" s="1"/>
  <c r="L964" i="7949" s="1"/>
  <c r="M964" i="7949" s="1"/>
  <c r="N964" i="7949" s="1"/>
  <c r="O964" i="7949" s="1"/>
  <c r="P964" i="7949" s="1"/>
  <c r="Q964" i="7949" s="1"/>
  <c r="R964" i="7949" s="1"/>
  <c r="S964" i="7949" s="1"/>
  <c r="T964" i="7949" s="1"/>
  <c r="U964" i="7949" s="1"/>
  <c r="V964" i="7949" s="1"/>
  <c r="W964" i="7949" s="1"/>
  <c r="D962" i="7949"/>
  <c r="E962" i="7949" s="1"/>
  <c r="F962" i="7949" s="1"/>
  <c r="G962" i="7949" s="1"/>
  <c r="H962" i="7949" s="1"/>
  <c r="I962" i="7949" s="1"/>
  <c r="J962" i="7949" s="1"/>
  <c r="K962" i="7949" s="1"/>
  <c r="L962" i="7949" s="1"/>
  <c r="M962" i="7949" s="1"/>
  <c r="N962" i="7949" s="1"/>
  <c r="O962" i="7949" s="1"/>
  <c r="P962" i="7949" s="1"/>
  <c r="Q962" i="7949" s="1"/>
  <c r="R962" i="7949" s="1"/>
  <c r="S962" i="7949" s="1"/>
  <c r="T962" i="7949" s="1"/>
  <c r="U962" i="7949" s="1"/>
  <c r="V962" i="7949" s="1"/>
  <c r="W962" i="7949" s="1"/>
  <c r="E939" i="7949"/>
  <c r="G1073" i="7949"/>
  <c r="E1071" i="7949"/>
  <c r="F1071" i="7949" s="1"/>
  <c r="G1071" i="7949" s="1"/>
  <c r="H1071" i="7949" s="1"/>
  <c r="I1071" i="7949" s="1"/>
  <c r="J1071" i="7949" s="1"/>
  <c r="K1071" i="7949" s="1"/>
  <c r="L1071" i="7949" s="1"/>
  <c r="M1071" i="7949" s="1"/>
  <c r="N1071" i="7949" s="1"/>
  <c r="O1071" i="7949" s="1"/>
  <c r="P1071" i="7949" s="1"/>
  <c r="Q1071" i="7949" s="1"/>
  <c r="R1071" i="7949" s="1"/>
  <c r="S1071" i="7949" s="1"/>
  <c r="T1071" i="7949" s="1"/>
  <c r="U1071" i="7949" s="1"/>
  <c r="V1071" i="7949" s="1"/>
  <c r="W1071" i="7949" s="1"/>
  <c r="F1048" i="7949"/>
  <c r="D1046" i="7949"/>
  <c r="H1074" i="7949"/>
  <c r="F1072" i="7949"/>
  <c r="G1072" i="7949" s="1"/>
  <c r="H1072" i="7949" s="1"/>
  <c r="I1072" i="7949" s="1"/>
  <c r="J1072" i="7949" s="1"/>
  <c r="K1072" i="7949" s="1"/>
  <c r="L1072" i="7949" s="1"/>
  <c r="M1072" i="7949" s="1"/>
  <c r="N1072" i="7949" s="1"/>
  <c r="O1072" i="7949" s="1"/>
  <c r="P1072" i="7949" s="1"/>
  <c r="Q1072" i="7949" s="1"/>
  <c r="R1072" i="7949" s="1"/>
  <c r="S1072" i="7949" s="1"/>
  <c r="T1072" i="7949" s="1"/>
  <c r="U1072" i="7949" s="1"/>
  <c r="V1072" i="7949" s="1"/>
  <c r="W1072" i="7949" s="1"/>
  <c r="D1070" i="7949"/>
  <c r="E1070" i="7949" s="1"/>
  <c r="F1070" i="7949" s="1"/>
  <c r="G1070" i="7949" s="1"/>
  <c r="H1070" i="7949" s="1"/>
  <c r="I1070" i="7949" s="1"/>
  <c r="J1070" i="7949" s="1"/>
  <c r="K1070" i="7949" s="1"/>
  <c r="L1070" i="7949" s="1"/>
  <c r="M1070" i="7949" s="1"/>
  <c r="N1070" i="7949" s="1"/>
  <c r="O1070" i="7949" s="1"/>
  <c r="P1070" i="7949" s="1"/>
  <c r="Q1070" i="7949" s="1"/>
  <c r="R1070" i="7949" s="1"/>
  <c r="S1070" i="7949" s="1"/>
  <c r="T1070" i="7949" s="1"/>
  <c r="U1070" i="7949" s="1"/>
  <c r="V1070" i="7949" s="1"/>
  <c r="W1070" i="7949" s="1"/>
  <c r="E1047" i="7949"/>
  <c r="G1181" i="7949"/>
  <c r="E1179" i="7949"/>
  <c r="F1179" i="7949" s="1"/>
  <c r="G1179" i="7949" s="1"/>
  <c r="H1179" i="7949" s="1"/>
  <c r="I1179" i="7949" s="1"/>
  <c r="J1179" i="7949" s="1"/>
  <c r="K1179" i="7949" s="1"/>
  <c r="L1179" i="7949" s="1"/>
  <c r="M1179" i="7949" s="1"/>
  <c r="N1179" i="7949" s="1"/>
  <c r="O1179" i="7949" s="1"/>
  <c r="P1179" i="7949" s="1"/>
  <c r="Q1179" i="7949" s="1"/>
  <c r="R1179" i="7949" s="1"/>
  <c r="S1179" i="7949" s="1"/>
  <c r="T1179" i="7949" s="1"/>
  <c r="U1179" i="7949" s="1"/>
  <c r="V1179" i="7949" s="1"/>
  <c r="W1179" i="7949" s="1"/>
  <c r="F1156" i="7949"/>
  <c r="D1154" i="7949"/>
  <c r="H1182" i="7949"/>
  <c r="F1180" i="7949"/>
  <c r="G1180" i="7949" s="1"/>
  <c r="H1180" i="7949" s="1"/>
  <c r="I1180" i="7949" s="1"/>
  <c r="J1180" i="7949" s="1"/>
  <c r="K1180" i="7949" s="1"/>
  <c r="L1180" i="7949" s="1"/>
  <c r="M1180" i="7949" s="1"/>
  <c r="N1180" i="7949" s="1"/>
  <c r="O1180" i="7949" s="1"/>
  <c r="P1180" i="7949" s="1"/>
  <c r="Q1180" i="7949" s="1"/>
  <c r="R1180" i="7949" s="1"/>
  <c r="S1180" i="7949" s="1"/>
  <c r="T1180" i="7949" s="1"/>
  <c r="U1180" i="7949" s="1"/>
  <c r="V1180" i="7949" s="1"/>
  <c r="W1180" i="7949" s="1"/>
  <c r="D1178" i="7949"/>
  <c r="E1178" i="7949" s="1"/>
  <c r="F1178" i="7949" s="1"/>
  <c r="G1178" i="7949" s="1"/>
  <c r="H1178" i="7949" s="1"/>
  <c r="I1178" i="7949" s="1"/>
  <c r="J1178" i="7949" s="1"/>
  <c r="K1178" i="7949" s="1"/>
  <c r="L1178" i="7949" s="1"/>
  <c r="M1178" i="7949" s="1"/>
  <c r="N1178" i="7949" s="1"/>
  <c r="O1178" i="7949" s="1"/>
  <c r="P1178" i="7949" s="1"/>
  <c r="Q1178" i="7949" s="1"/>
  <c r="R1178" i="7949" s="1"/>
  <c r="S1178" i="7949" s="1"/>
  <c r="T1178" i="7949" s="1"/>
  <c r="U1178" i="7949" s="1"/>
  <c r="V1178" i="7949" s="1"/>
  <c r="W1178" i="7949" s="1"/>
  <c r="E1155" i="7949"/>
  <c r="G1289" i="7949"/>
  <c r="E1287" i="7949"/>
  <c r="F1287" i="7949" s="1"/>
  <c r="G1287" i="7949" s="1"/>
  <c r="H1287" i="7949" s="1"/>
  <c r="I1287" i="7949" s="1"/>
  <c r="J1287" i="7949" s="1"/>
  <c r="K1287" i="7949" s="1"/>
  <c r="L1287" i="7949" s="1"/>
  <c r="M1287" i="7949" s="1"/>
  <c r="N1287" i="7949" s="1"/>
  <c r="O1287" i="7949" s="1"/>
  <c r="P1287" i="7949" s="1"/>
  <c r="Q1287" i="7949" s="1"/>
  <c r="R1287" i="7949" s="1"/>
  <c r="S1287" i="7949" s="1"/>
  <c r="T1287" i="7949" s="1"/>
  <c r="U1287" i="7949" s="1"/>
  <c r="V1287" i="7949" s="1"/>
  <c r="W1287" i="7949" s="1"/>
  <c r="F1264" i="7949"/>
  <c r="D1262" i="7949"/>
  <c r="H1290" i="7949"/>
  <c r="F1288" i="7949"/>
  <c r="G1288" i="7949" s="1"/>
  <c r="H1288" i="7949" s="1"/>
  <c r="I1288" i="7949" s="1"/>
  <c r="J1288" i="7949" s="1"/>
  <c r="K1288" i="7949" s="1"/>
  <c r="L1288" i="7949" s="1"/>
  <c r="M1288" i="7949" s="1"/>
  <c r="N1288" i="7949" s="1"/>
  <c r="O1288" i="7949" s="1"/>
  <c r="P1288" i="7949" s="1"/>
  <c r="Q1288" i="7949" s="1"/>
  <c r="R1288" i="7949" s="1"/>
  <c r="S1288" i="7949" s="1"/>
  <c r="T1288" i="7949" s="1"/>
  <c r="U1288" i="7949" s="1"/>
  <c r="V1288" i="7949" s="1"/>
  <c r="W1288" i="7949" s="1"/>
  <c r="D1286" i="7949"/>
  <c r="E1286" i="7949" s="1"/>
  <c r="F1286" i="7949" s="1"/>
  <c r="G1286" i="7949" s="1"/>
  <c r="H1286" i="7949" s="1"/>
  <c r="I1286" i="7949" s="1"/>
  <c r="J1286" i="7949" s="1"/>
  <c r="K1286" i="7949" s="1"/>
  <c r="L1286" i="7949" s="1"/>
  <c r="M1286" i="7949" s="1"/>
  <c r="N1286" i="7949" s="1"/>
  <c r="O1286" i="7949" s="1"/>
  <c r="P1286" i="7949" s="1"/>
  <c r="Q1286" i="7949" s="1"/>
  <c r="R1286" i="7949" s="1"/>
  <c r="S1286" i="7949" s="1"/>
  <c r="T1286" i="7949" s="1"/>
  <c r="U1286" i="7949" s="1"/>
  <c r="V1286" i="7949" s="1"/>
  <c r="W1286" i="7949" s="1"/>
  <c r="E1263" i="7949"/>
  <c r="G1397" i="7949"/>
  <c r="E1395" i="7949"/>
  <c r="F1395" i="7949" s="1"/>
  <c r="G1395" i="7949" s="1"/>
  <c r="H1395" i="7949" s="1"/>
  <c r="I1395" i="7949" s="1"/>
  <c r="J1395" i="7949" s="1"/>
  <c r="K1395" i="7949" s="1"/>
  <c r="L1395" i="7949" s="1"/>
  <c r="M1395" i="7949" s="1"/>
  <c r="N1395" i="7949" s="1"/>
  <c r="O1395" i="7949" s="1"/>
  <c r="P1395" i="7949" s="1"/>
  <c r="Q1395" i="7949" s="1"/>
  <c r="R1395" i="7949" s="1"/>
  <c r="S1395" i="7949" s="1"/>
  <c r="T1395" i="7949" s="1"/>
  <c r="U1395" i="7949" s="1"/>
  <c r="V1395" i="7949" s="1"/>
  <c r="W1395" i="7949" s="1"/>
  <c r="F1372" i="7949"/>
  <c r="D1370" i="7949"/>
  <c r="H1398" i="7949"/>
  <c r="F1396" i="7949"/>
  <c r="G1396" i="7949" s="1"/>
  <c r="H1396" i="7949" s="1"/>
  <c r="I1396" i="7949" s="1"/>
  <c r="J1396" i="7949" s="1"/>
  <c r="K1396" i="7949" s="1"/>
  <c r="L1396" i="7949" s="1"/>
  <c r="M1396" i="7949" s="1"/>
  <c r="N1396" i="7949" s="1"/>
  <c r="O1396" i="7949" s="1"/>
  <c r="P1396" i="7949" s="1"/>
  <c r="Q1396" i="7949" s="1"/>
  <c r="R1396" i="7949" s="1"/>
  <c r="S1396" i="7949" s="1"/>
  <c r="T1396" i="7949" s="1"/>
  <c r="U1396" i="7949" s="1"/>
  <c r="V1396" i="7949" s="1"/>
  <c r="W1396" i="7949" s="1"/>
  <c r="D1394" i="7949"/>
  <c r="E1394" i="7949" s="1"/>
  <c r="F1394" i="7949" s="1"/>
  <c r="G1394" i="7949" s="1"/>
  <c r="H1394" i="7949" s="1"/>
  <c r="I1394" i="7949" s="1"/>
  <c r="J1394" i="7949" s="1"/>
  <c r="K1394" i="7949" s="1"/>
  <c r="L1394" i="7949" s="1"/>
  <c r="M1394" i="7949" s="1"/>
  <c r="N1394" i="7949" s="1"/>
  <c r="O1394" i="7949" s="1"/>
  <c r="P1394" i="7949" s="1"/>
  <c r="Q1394" i="7949" s="1"/>
  <c r="R1394" i="7949" s="1"/>
  <c r="S1394" i="7949" s="1"/>
  <c r="T1394" i="7949" s="1"/>
  <c r="U1394" i="7949" s="1"/>
  <c r="V1394" i="7949" s="1"/>
  <c r="W1394" i="7949" s="1"/>
  <c r="E1371" i="7949"/>
  <c r="G1505" i="7949"/>
  <c r="E1503" i="7949"/>
  <c r="F1503" i="7949" s="1"/>
  <c r="G1503" i="7949" s="1"/>
  <c r="H1503" i="7949" s="1"/>
  <c r="I1503" i="7949" s="1"/>
  <c r="J1503" i="7949" s="1"/>
  <c r="K1503" i="7949" s="1"/>
  <c r="L1503" i="7949" s="1"/>
  <c r="M1503" i="7949" s="1"/>
  <c r="N1503" i="7949" s="1"/>
  <c r="O1503" i="7949" s="1"/>
  <c r="P1503" i="7949" s="1"/>
  <c r="Q1503" i="7949" s="1"/>
  <c r="R1503" i="7949" s="1"/>
  <c r="S1503" i="7949" s="1"/>
  <c r="T1503" i="7949" s="1"/>
  <c r="U1503" i="7949" s="1"/>
  <c r="V1503" i="7949" s="1"/>
  <c r="W1503" i="7949" s="1"/>
  <c r="F1480" i="7949"/>
  <c r="D1478" i="7949"/>
  <c r="H1506" i="7949"/>
  <c r="F1504" i="7949"/>
  <c r="G1504" i="7949" s="1"/>
  <c r="H1504" i="7949" s="1"/>
  <c r="I1504" i="7949" s="1"/>
  <c r="J1504" i="7949" s="1"/>
  <c r="K1504" i="7949" s="1"/>
  <c r="L1504" i="7949" s="1"/>
  <c r="M1504" i="7949" s="1"/>
  <c r="N1504" i="7949" s="1"/>
  <c r="O1504" i="7949" s="1"/>
  <c r="P1504" i="7949" s="1"/>
  <c r="Q1504" i="7949" s="1"/>
  <c r="R1504" i="7949" s="1"/>
  <c r="S1504" i="7949" s="1"/>
  <c r="T1504" i="7949" s="1"/>
  <c r="U1504" i="7949" s="1"/>
  <c r="V1504" i="7949" s="1"/>
  <c r="W1504" i="7949" s="1"/>
  <c r="D1502" i="7949"/>
  <c r="E1502" i="7949" s="1"/>
  <c r="F1502" i="7949" s="1"/>
  <c r="G1502" i="7949" s="1"/>
  <c r="H1502" i="7949" s="1"/>
  <c r="I1502" i="7949" s="1"/>
  <c r="J1502" i="7949" s="1"/>
  <c r="K1502" i="7949" s="1"/>
  <c r="L1502" i="7949" s="1"/>
  <c r="M1502" i="7949" s="1"/>
  <c r="N1502" i="7949" s="1"/>
  <c r="O1502" i="7949" s="1"/>
  <c r="P1502" i="7949" s="1"/>
  <c r="Q1502" i="7949" s="1"/>
  <c r="R1502" i="7949" s="1"/>
  <c r="S1502" i="7949" s="1"/>
  <c r="T1502" i="7949" s="1"/>
  <c r="U1502" i="7949" s="1"/>
  <c r="V1502" i="7949" s="1"/>
  <c r="W1502" i="7949" s="1"/>
  <c r="E1479" i="7949"/>
  <c r="G1613" i="7949"/>
  <c r="E1611" i="7949"/>
  <c r="F1611" i="7949" s="1"/>
  <c r="G1611" i="7949" s="1"/>
  <c r="H1611" i="7949" s="1"/>
  <c r="I1611" i="7949" s="1"/>
  <c r="J1611" i="7949" s="1"/>
  <c r="K1611" i="7949" s="1"/>
  <c r="L1611" i="7949" s="1"/>
  <c r="M1611" i="7949" s="1"/>
  <c r="N1611" i="7949" s="1"/>
  <c r="O1611" i="7949" s="1"/>
  <c r="P1611" i="7949" s="1"/>
  <c r="Q1611" i="7949" s="1"/>
  <c r="R1611" i="7949" s="1"/>
  <c r="S1611" i="7949" s="1"/>
  <c r="T1611" i="7949" s="1"/>
  <c r="U1611" i="7949" s="1"/>
  <c r="V1611" i="7949" s="1"/>
  <c r="W1611" i="7949" s="1"/>
  <c r="F1588" i="7949"/>
  <c r="D1586" i="7949"/>
  <c r="H1614" i="7949"/>
  <c r="F1612" i="7949"/>
  <c r="G1612" i="7949" s="1"/>
  <c r="H1612" i="7949" s="1"/>
  <c r="I1612" i="7949" s="1"/>
  <c r="J1612" i="7949" s="1"/>
  <c r="K1612" i="7949" s="1"/>
  <c r="L1612" i="7949" s="1"/>
  <c r="M1612" i="7949" s="1"/>
  <c r="N1612" i="7949" s="1"/>
  <c r="O1612" i="7949" s="1"/>
  <c r="P1612" i="7949" s="1"/>
  <c r="Q1612" i="7949" s="1"/>
  <c r="R1612" i="7949" s="1"/>
  <c r="S1612" i="7949" s="1"/>
  <c r="T1612" i="7949" s="1"/>
  <c r="U1612" i="7949" s="1"/>
  <c r="V1612" i="7949" s="1"/>
  <c r="W1612" i="7949" s="1"/>
  <c r="D1610" i="7949"/>
  <c r="E1610" i="7949" s="1"/>
  <c r="F1610" i="7949" s="1"/>
  <c r="G1610" i="7949" s="1"/>
  <c r="H1610" i="7949" s="1"/>
  <c r="I1610" i="7949" s="1"/>
  <c r="J1610" i="7949" s="1"/>
  <c r="K1610" i="7949" s="1"/>
  <c r="L1610" i="7949" s="1"/>
  <c r="M1610" i="7949" s="1"/>
  <c r="N1610" i="7949" s="1"/>
  <c r="O1610" i="7949" s="1"/>
  <c r="P1610" i="7949" s="1"/>
  <c r="Q1610" i="7949" s="1"/>
  <c r="R1610" i="7949" s="1"/>
  <c r="S1610" i="7949" s="1"/>
  <c r="T1610" i="7949" s="1"/>
  <c r="U1610" i="7949" s="1"/>
  <c r="V1610" i="7949" s="1"/>
  <c r="W1610" i="7949" s="1"/>
  <c r="E1587" i="7949"/>
  <c r="G1721" i="7949"/>
  <c r="E1719" i="7949"/>
  <c r="F1719" i="7949" s="1"/>
  <c r="G1719" i="7949" s="1"/>
  <c r="H1719" i="7949" s="1"/>
  <c r="I1719" i="7949" s="1"/>
  <c r="J1719" i="7949" s="1"/>
  <c r="K1719" i="7949" s="1"/>
  <c r="L1719" i="7949" s="1"/>
  <c r="M1719" i="7949" s="1"/>
  <c r="N1719" i="7949" s="1"/>
  <c r="O1719" i="7949" s="1"/>
  <c r="P1719" i="7949" s="1"/>
  <c r="Q1719" i="7949" s="1"/>
  <c r="R1719" i="7949" s="1"/>
  <c r="S1719" i="7949" s="1"/>
  <c r="T1719" i="7949" s="1"/>
  <c r="U1719" i="7949" s="1"/>
  <c r="V1719" i="7949" s="1"/>
  <c r="W1719" i="7949" s="1"/>
  <c r="F1696" i="7949"/>
  <c r="D1694" i="7949"/>
  <c r="H1722" i="7949"/>
  <c r="F1720" i="7949"/>
  <c r="G1720" i="7949" s="1"/>
  <c r="H1720" i="7949" s="1"/>
  <c r="I1720" i="7949" s="1"/>
  <c r="J1720" i="7949" s="1"/>
  <c r="K1720" i="7949" s="1"/>
  <c r="L1720" i="7949" s="1"/>
  <c r="M1720" i="7949" s="1"/>
  <c r="N1720" i="7949" s="1"/>
  <c r="O1720" i="7949" s="1"/>
  <c r="P1720" i="7949" s="1"/>
  <c r="Q1720" i="7949" s="1"/>
  <c r="R1720" i="7949" s="1"/>
  <c r="S1720" i="7949" s="1"/>
  <c r="T1720" i="7949" s="1"/>
  <c r="U1720" i="7949" s="1"/>
  <c r="V1720" i="7949" s="1"/>
  <c r="W1720" i="7949" s="1"/>
  <c r="D1718" i="7949"/>
  <c r="E1718" i="7949" s="1"/>
  <c r="F1718" i="7949" s="1"/>
  <c r="G1718" i="7949" s="1"/>
  <c r="H1718" i="7949" s="1"/>
  <c r="I1718" i="7949" s="1"/>
  <c r="J1718" i="7949" s="1"/>
  <c r="K1718" i="7949" s="1"/>
  <c r="L1718" i="7949" s="1"/>
  <c r="M1718" i="7949" s="1"/>
  <c r="N1718" i="7949" s="1"/>
  <c r="O1718" i="7949" s="1"/>
  <c r="P1718" i="7949" s="1"/>
  <c r="Q1718" i="7949" s="1"/>
  <c r="R1718" i="7949" s="1"/>
  <c r="S1718" i="7949" s="1"/>
  <c r="T1718" i="7949" s="1"/>
  <c r="U1718" i="7949" s="1"/>
  <c r="V1718" i="7949" s="1"/>
  <c r="W1718" i="7949" s="1"/>
  <c r="E1695" i="7949"/>
  <c r="G1829" i="7949"/>
  <c r="E1827" i="7949"/>
  <c r="F1827" i="7949" s="1"/>
  <c r="G1827" i="7949" s="1"/>
  <c r="H1827" i="7949" s="1"/>
  <c r="I1827" i="7949" s="1"/>
  <c r="J1827" i="7949" s="1"/>
  <c r="K1827" i="7949" s="1"/>
  <c r="L1827" i="7949" s="1"/>
  <c r="M1827" i="7949" s="1"/>
  <c r="N1827" i="7949" s="1"/>
  <c r="O1827" i="7949" s="1"/>
  <c r="P1827" i="7949" s="1"/>
  <c r="Q1827" i="7949" s="1"/>
  <c r="R1827" i="7949" s="1"/>
  <c r="S1827" i="7949" s="1"/>
  <c r="T1827" i="7949" s="1"/>
  <c r="U1827" i="7949" s="1"/>
  <c r="V1827" i="7949" s="1"/>
  <c r="W1827" i="7949" s="1"/>
  <c r="F1804" i="7949"/>
  <c r="D1802" i="7949"/>
  <c r="H1830" i="7949"/>
  <c r="F1828" i="7949"/>
  <c r="G1828" i="7949" s="1"/>
  <c r="H1828" i="7949" s="1"/>
  <c r="I1828" i="7949" s="1"/>
  <c r="J1828" i="7949" s="1"/>
  <c r="K1828" i="7949" s="1"/>
  <c r="L1828" i="7949" s="1"/>
  <c r="M1828" i="7949" s="1"/>
  <c r="N1828" i="7949" s="1"/>
  <c r="O1828" i="7949" s="1"/>
  <c r="P1828" i="7949" s="1"/>
  <c r="Q1828" i="7949" s="1"/>
  <c r="R1828" i="7949" s="1"/>
  <c r="S1828" i="7949" s="1"/>
  <c r="T1828" i="7949" s="1"/>
  <c r="U1828" i="7949" s="1"/>
  <c r="V1828" i="7949" s="1"/>
  <c r="W1828" i="7949" s="1"/>
  <c r="D1826" i="7949"/>
  <c r="E1826" i="7949" s="1"/>
  <c r="F1826" i="7949" s="1"/>
  <c r="G1826" i="7949" s="1"/>
  <c r="H1826" i="7949" s="1"/>
  <c r="I1826" i="7949" s="1"/>
  <c r="J1826" i="7949" s="1"/>
  <c r="K1826" i="7949" s="1"/>
  <c r="L1826" i="7949" s="1"/>
  <c r="M1826" i="7949" s="1"/>
  <c r="N1826" i="7949" s="1"/>
  <c r="O1826" i="7949" s="1"/>
  <c r="P1826" i="7949" s="1"/>
  <c r="Q1826" i="7949" s="1"/>
  <c r="R1826" i="7949" s="1"/>
  <c r="S1826" i="7949" s="1"/>
  <c r="T1826" i="7949" s="1"/>
  <c r="U1826" i="7949" s="1"/>
  <c r="V1826" i="7949" s="1"/>
  <c r="W1826" i="7949" s="1"/>
  <c r="E1803" i="7949"/>
  <c r="G1937" i="7949"/>
  <c r="E1935" i="7949"/>
  <c r="F1935" i="7949" s="1"/>
  <c r="G1935" i="7949" s="1"/>
  <c r="H1935" i="7949" s="1"/>
  <c r="I1935" i="7949" s="1"/>
  <c r="J1935" i="7949" s="1"/>
  <c r="K1935" i="7949" s="1"/>
  <c r="L1935" i="7949" s="1"/>
  <c r="M1935" i="7949" s="1"/>
  <c r="N1935" i="7949" s="1"/>
  <c r="O1935" i="7949" s="1"/>
  <c r="P1935" i="7949" s="1"/>
  <c r="Q1935" i="7949" s="1"/>
  <c r="R1935" i="7949" s="1"/>
  <c r="S1935" i="7949" s="1"/>
  <c r="T1935" i="7949" s="1"/>
  <c r="U1935" i="7949" s="1"/>
  <c r="V1935" i="7949" s="1"/>
  <c r="W1935" i="7949" s="1"/>
  <c r="F1912" i="7949"/>
  <c r="D1910" i="7949"/>
  <c r="H1938" i="7949"/>
  <c r="F1936" i="7949"/>
  <c r="G1936" i="7949" s="1"/>
  <c r="H1936" i="7949" s="1"/>
  <c r="I1936" i="7949" s="1"/>
  <c r="J1936" i="7949" s="1"/>
  <c r="K1936" i="7949" s="1"/>
  <c r="L1936" i="7949" s="1"/>
  <c r="M1936" i="7949" s="1"/>
  <c r="N1936" i="7949" s="1"/>
  <c r="O1936" i="7949" s="1"/>
  <c r="P1936" i="7949" s="1"/>
  <c r="Q1936" i="7949" s="1"/>
  <c r="R1936" i="7949" s="1"/>
  <c r="S1936" i="7949" s="1"/>
  <c r="T1936" i="7949" s="1"/>
  <c r="U1936" i="7949" s="1"/>
  <c r="V1936" i="7949" s="1"/>
  <c r="W1936" i="7949" s="1"/>
  <c r="D1934" i="7949"/>
  <c r="E1934" i="7949" s="1"/>
  <c r="F1934" i="7949" s="1"/>
  <c r="G1934" i="7949" s="1"/>
  <c r="H1934" i="7949" s="1"/>
  <c r="I1934" i="7949" s="1"/>
  <c r="J1934" i="7949" s="1"/>
  <c r="K1934" i="7949" s="1"/>
  <c r="L1934" i="7949" s="1"/>
  <c r="M1934" i="7949" s="1"/>
  <c r="N1934" i="7949" s="1"/>
  <c r="O1934" i="7949" s="1"/>
  <c r="P1934" i="7949" s="1"/>
  <c r="Q1934" i="7949" s="1"/>
  <c r="R1934" i="7949" s="1"/>
  <c r="S1934" i="7949" s="1"/>
  <c r="T1934" i="7949" s="1"/>
  <c r="U1934" i="7949" s="1"/>
  <c r="V1934" i="7949" s="1"/>
  <c r="W1934" i="7949" s="1"/>
  <c r="E1911" i="7949"/>
  <c r="G2045" i="7949"/>
  <c r="E2043" i="7949"/>
  <c r="F2043" i="7949" s="1"/>
  <c r="G2043" i="7949" s="1"/>
  <c r="H2043" i="7949" s="1"/>
  <c r="I2043" i="7949" s="1"/>
  <c r="J2043" i="7949" s="1"/>
  <c r="K2043" i="7949" s="1"/>
  <c r="L2043" i="7949" s="1"/>
  <c r="M2043" i="7949" s="1"/>
  <c r="N2043" i="7949" s="1"/>
  <c r="O2043" i="7949" s="1"/>
  <c r="P2043" i="7949" s="1"/>
  <c r="Q2043" i="7949" s="1"/>
  <c r="R2043" i="7949" s="1"/>
  <c r="S2043" i="7949" s="1"/>
  <c r="T2043" i="7949" s="1"/>
  <c r="U2043" i="7949" s="1"/>
  <c r="V2043" i="7949" s="1"/>
  <c r="W2043" i="7949" s="1"/>
  <c r="H2046" i="7949"/>
  <c r="F2044" i="7949"/>
  <c r="G2044" i="7949" s="1"/>
  <c r="H2044" i="7949" s="1"/>
  <c r="I2044" i="7949" s="1"/>
  <c r="J2044" i="7949" s="1"/>
  <c r="K2044" i="7949" s="1"/>
  <c r="L2044" i="7949" s="1"/>
  <c r="M2044" i="7949" s="1"/>
  <c r="N2044" i="7949" s="1"/>
  <c r="O2044" i="7949" s="1"/>
  <c r="P2044" i="7949" s="1"/>
  <c r="Q2044" i="7949" s="1"/>
  <c r="R2044" i="7949" s="1"/>
  <c r="S2044" i="7949" s="1"/>
  <c r="T2044" i="7949" s="1"/>
  <c r="U2044" i="7949" s="1"/>
  <c r="V2044" i="7949" s="1"/>
  <c r="W2044" i="7949" s="1"/>
  <c r="D2042" i="7949"/>
  <c r="E2042" i="7949" s="1"/>
  <c r="F2042" i="7949" s="1"/>
  <c r="G2042" i="7949" s="1"/>
  <c r="H2042" i="7949" s="1"/>
  <c r="I2042" i="7949" s="1"/>
  <c r="J2042" i="7949" s="1"/>
  <c r="K2042" i="7949" s="1"/>
  <c r="L2042" i="7949" s="1"/>
  <c r="M2042" i="7949" s="1"/>
  <c r="N2042" i="7949" s="1"/>
  <c r="O2042" i="7949" s="1"/>
  <c r="P2042" i="7949" s="1"/>
  <c r="Q2042" i="7949" s="1"/>
  <c r="R2042" i="7949" s="1"/>
  <c r="S2042" i="7949" s="1"/>
  <c r="T2042" i="7949" s="1"/>
  <c r="U2042" i="7949" s="1"/>
  <c r="V2042" i="7949" s="1"/>
  <c r="W2042" i="7949" s="1"/>
  <c r="F2020" i="7949"/>
  <c r="D2018" i="7949"/>
  <c r="E2019" i="7949"/>
  <c r="G2153" i="7949"/>
  <c r="E2151" i="7949"/>
  <c r="F2151" i="7949" s="1"/>
  <c r="G2151" i="7949" s="1"/>
  <c r="H2151" i="7949" s="1"/>
  <c r="I2151" i="7949" s="1"/>
  <c r="J2151" i="7949" s="1"/>
  <c r="K2151" i="7949" s="1"/>
  <c r="L2151" i="7949" s="1"/>
  <c r="M2151" i="7949" s="1"/>
  <c r="N2151" i="7949" s="1"/>
  <c r="O2151" i="7949" s="1"/>
  <c r="P2151" i="7949" s="1"/>
  <c r="Q2151" i="7949" s="1"/>
  <c r="R2151" i="7949" s="1"/>
  <c r="S2151" i="7949" s="1"/>
  <c r="T2151" i="7949" s="1"/>
  <c r="U2151" i="7949" s="1"/>
  <c r="V2151" i="7949" s="1"/>
  <c r="W2151" i="7949" s="1"/>
  <c r="F2128" i="7949"/>
  <c r="D2126" i="7949"/>
  <c r="H2154" i="7949"/>
  <c r="F2152" i="7949"/>
  <c r="G2152" i="7949" s="1"/>
  <c r="H2152" i="7949" s="1"/>
  <c r="I2152" i="7949" s="1"/>
  <c r="J2152" i="7949" s="1"/>
  <c r="K2152" i="7949" s="1"/>
  <c r="L2152" i="7949" s="1"/>
  <c r="M2152" i="7949" s="1"/>
  <c r="N2152" i="7949" s="1"/>
  <c r="O2152" i="7949" s="1"/>
  <c r="P2152" i="7949" s="1"/>
  <c r="Q2152" i="7949" s="1"/>
  <c r="R2152" i="7949" s="1"/>
  <c r="S2152" i="7949" s="1"/>
  <c r="T2152" i="7949" s="1"/>
  <c r="U2152" i="7949" s="1"/>
  <c r="V2152" i="7949" s="1"/>
  <c r="W2152" i="7949" s="1"/>
  <c r="D2150" i="7949"/>
  <c r="E2150" i="7949" s="1"/>
  <c r="F2150" i="7949" s="1"/>
  <c r="G2150" i="7949" s="1"/>
  <c r="H2150" i="7949" s="1"/>
  <c r="I2150" i="7949" s="1"/>
  <c r="J2150" i="7949" s="1"/>
  <c r="K2150" i="7949" s="1"/>
  <c r="L2150" i="7949" s="1"/>
  <c r="M2150" i="7949" s="1"/>
  <c r="N2150" i="7949" s="1"/>
  <c r="O2150" i="7949" s="1"/>
  <c r="P2150" i="7949" s="1"/>
  <c r="Q2150" i="7949" s="1"/>
  <c r="R2150" i="7949" s="1"/>
  <c r="S2150" i="7949" s="1"/>
  <c r="T2150" i="7949" s="1"/>
  <c r="U2150" i="7949" s="1"/>
  <c r="V2150" i="7949" s="1"/>
  <c r="W2150" i="7949" s="1"/>
  <c r="E2127" i="7949"/>
  <c r="G2261" i="7949"/>
  <c r="E2259" i="7949"/>
  <c r="F2259" i="7949" s="1"/>
  <c r="G2259" i="7949" s="1"/>
  <c r="H2259" i="7949" s="1"/>
  <c r="I2259" i="7949" s="1"/>
  <c r="J2259" i="7949" s="1"/>
  <c r="K2259" i="7949" s="1"/>
  <c r="L2259" i="7949" s="1"/>
  <c r="M2259" i="7949" s="1"/>
  <c r="N2259" i="7949" s="1"/>
  <c r="O2259" i="7949" s="1"/>
  <c r="P2259" i="7949" s="1"/>
  <c r="Q2259" i="7949" s="1"/>
  <c r="R2259" i="7949" s="1"/>
  <c r="S2259" i="7949" s="1"/>
  <c r="T2259" i="7949" s="1"/>
  <c r="U2259" i="7949" s="1"/>
  <c r="V2259" i="7949" s="1"/>
  <c r="W2259" i="7949" s="1"/>
  <c r="F2236" i="7949"/>
  <c r="D2234" i="7949"/>
  <c r="H2262" i="7949"/>
  <c r="F2260" i="7949"/>
  <c r="G2260" i="7949" s="1"/>
  <c r="H2260" i="7949" s="1"/>
  <c r="I2260" i="7949" s="1"/>
  <c r="J2260" i="7949" s="1"/>
  <c r="K2260" i="7949" s="1"/>
  <c r="L2260" i="7949" s="1"/>
  <c r="M2260" i="7949" s="1"/>
  <c r="N2260" i="7949" s="1"/>
  <c r="O2260" i="7949" s="1"/>
  <c r="P2260" i="7949" s="1"/>
  <c r="Q2260" i="7949" s="1"/>
  <c r="R2260" i="7949" s="1"/>
  <c r="S2260" i="7949" s="1"/>
  <c r="T2260" i="7949" s="1"/>
  <c r="U2260" i="7949" s="1"/>
  <c r="V2260" i="7949" s="1"/>
  <c r="W2260" i="7949" s="1"/>
  <c r="D2258" i="7949"/>
  <c r="E2258" i="7949" s="1"/>
  <c r="F2258" i="7949" s="1"/>
  <c r="G2258" i="7949" s="1"/>
  <c r="H2258" i="7949" s="1"/>
  <c r="I2258" i="7949" s="1"/>
  <c r="J2258" i="7949" s="1"/>
  <c r="K2258" i="7949" s="1"/>
  <c r="L2258" i="7949" s="1"/>
  <c r="M2258" i="7949" s="1"/>
  <c r="N2258" i="7949" s="1"/>
  <c r="O2258" i="7949" s="1"/>
  <c r="P2258" i="7949" s="1"/>
  <c r="Q2258" i="7949" s="1"/>
  <c r="R2258" i="7949" s="1"/>
  <c r="S2258" i="7949" s="1"/>
  <c r="T2258" i="7949" s="1"/>
  <c r="U2258" i="7949" s="1"/>
  <c r="V2258" i="7949" s="1"/>
  <c r="W2258" i="7949" s="1"/>
  <c r="E2235" i="7949"/>
  <c r="G2369" i="7949"/>
  <c r="E2367" i="7949"/>
  <c r="F2367" i="7949" s="1"/>
  <c r="G2367" i="7949" s="1"/>
  <c r="H2367" i="7949" s="1"/>
  <c r="I2367" i="7949" s="1"/>
  <c r="J2367" i="7949" s="1"/>
  <c r="K2367" i="7949" s="1"/>
  <c r="L2367" i="7949" s="1"/>
  <c r="M2367" i="7949" s="1"/>
  <c r="N2367" i="7949" s="1"/>
  <c r="O2367" i="7949" s="1"/>
  <c r="P2367" i="7949" s="1"/>
  <c r="Q2367" i="7949" s="1"/>
  <c r="R2367" i="7949" s="1"/>
  <c r="S2367" i="7949" s="1"/>
  <c r="T2367" i="7949" s="1"/>
  <c r="U2367" i="7949" s="1"/>
  <c r="V2367" i="7949" s="1"/>
  <c r="W2367" i="7949" s="1"/>
  <c r="F2344" i="7949"/>
  <c r="D2342" i="7949"/>
  <c r="H2370" i="7949"/>
  <c r="D2366" i="7949"/>
  <c r="E2366" i="7949" s="1"/>
  <c r="F2366" i="7949" s="1"/>
  <c r="G2366" i="7949" s="1"/>
  <c r="H2366" i="7949" s="1"/>
  <c r="I2366" i="7949" s="1"/>
  <c r="J2366" i="7949" s="1"/>
  <c r="K2366" i="7949" s="1"/>
  <c r="L2366" i="7949" s="1"/>
  <c r="M2366" i="7949" s="1"/>
  <c r="N2366" i="7949" s="1"/>
  <c r="O2366" i="7949" s="1"/>
  <c r="P2366" i="7949" s="1"/>
  <c r="Q2366" i="7949" s="1"/>
  <c r="R2366" i="7949" s="1"/>
  <c r="S2366" i="7949" s="1"/>
  <c r="T2366" i="7949" s="1"/>
  <c r="U2366" i="7949" s="1"/>
  <c r="V2366" i="7949" s="1"/>
  <c r="W2366" i="7949" s="1"/>
  <c r="F2368" i="7949"/>
  <c r="G2368" i="7949" s="1"/>
  <c r="H2368" i="7949" s="1"/>
  <c r="I2368" i="7949" s="1"/>
  <c r="J2368" i="7949" s="1"/>
  <c r="K2368" i="7949" s="1"/>
  <c r="L2368" i="7949" s="1"/>
  <c r="M2368" i="7949" s="1"/>
  <c r="N2368" i="7949" s="1"/>
  <c r="O2368" i="7949" s="1"/>
  <c r="P2368" i="7949" s="1"/>
  <c r="Q2368" i="7949" s="1"/>
  <c r="R2368" i="7949" s="1"/>
  <c r="S2368" i="7949" s="1"/>
  <c r="T2368" i="7949" s="1"/>
  <c r="U2368" i="7949" s="1"/>
  <c r="V2368" i="7949" s="1"/>
  <c r="W2368" i="7949" s="1"/>
  <c r="E2343" i="7949"/>
  <c r="G2477" i="7949"/>
  <c r="E2475" i="7949"/>
  <c r="F2475" i="7949" s="1"/>
  <c r="G2475" i="7949" s="1"/>
  <c r="H2475" i="7949" s="1"/>
  <c r="I2475" i="7949" s="1"/>
  <c r="J2475" i="7949" s="1"/>
  <c r="K2475" i="7949" s="1"/>
  <c r="L2475" i="7949" s="1"/>
  <c r="M2475" i="7949" s="1"/>
  <c r="N2475" i="7949" s="1"/>
  <c r="O2475" i="7949" s="1"/>
  <c r="P2475" i="7949" s="1"/>
  <c r="Q2475" i="7949" s="1"/>
  <c r="R2475" i="7949" s="1"/>
  <c r="S2475" i="7949" s="1"/>
  <c r="T2475" i="7949" s="1"/>
  <c r="U2475" i="7949" s="1"/>
  <c r="V2475" i="7949" s="1"/>
  <c r="W2475" i="7949" s="1"/>
  <c r="F2452" i="7949"/>
  <c r="D2450" i="7949"/>
  <c r="H2478" i="7949"/>
  <c r="D2474" i="7949"/>
  <c r="E2474" i="7949" s="1"/>
  <c r="F2474" i="7949" s="1"/>
  <c r="G2474" i="7949" s="1"/>
  <c r="H2474" i="7949" s="1"/>
  <c r="I2474" i="7949" s="1"/>
  <c r="J2474" i="7949" s="1"/>
  <c r="K2474" i="7949" s="1"/>
  <c r="L2474" i="7949" s="1"/>
  <c r="M2474" i="7949" s="1"/>
  <c r="N2474" i="7949" s="1"/>
  <c r="O2474" i="7949" s="1"/>
  <c r="P2474" i="7949" s="1"/>
  <c r="Q2474" i="7949" s="1"/>
  <c r="R2474" i="7949" s="1"/>
  <c r="S2474" i="7949" s="1"/>
  <c r="T2474" i="7949" s="1"/>
  <c r="U2474" i="7949" s="1"/>
  <c r="V2474" i="7949" s="1"/>
  <c r="W2474" i="7949" s="1"/>
  <c r="F2476" i="7949"/>
  <c r="G2476" i="7949" s="1"/>
  <c r="H2476" i="7949" s="1"/>
  <c r="I2476" i="7949" s="1"/>
  <c r="J2476" i="7949" s="1"/>
  <c r="K2476" i="7949" s="1"/>
  <c r="L2476" i="7949" s="1"/>
  <c r="M2476" i="7949" s="1"/>
  <c r="N2476" i="7949" s="1"/>
  <c r="O2476" i="7949" s="1"/>
  <c r="P2476" i="7949" s="1"/>
  <c r="Q2476" i="7949" s="1"/>
  <c r="R2476" i="7949" s="1"/>
  <c r="S2476" i="7949" s="1"/>
  <c r="T2476" i="7949" s="1"/>
  <c r="U2476" i="7949" s="1"/>
  <c r="V2476" i="7949" s="1"/>
  <c r="W2476" i="7949" s="1"/>
  <c r="E2451" i="7949"/>
  <c r="H2586" i="7949"/>
  <c r="F2584" i="7949"/>
  <c r="G2584" i="7949" s="1"/>
  <c r="H2584" i="7949" s="1"/>
  <c r="I2584" i="7949" s="1"/>
  <c r="J2584" i="7949" s="1"/>
  <c r="K2584" i="7949" s="1"/>
  <c r="L2584" i="7949" s="1"/>
  <c r="M2584" i="7949" s="1"/>
  <c r="N2584" i="7949" s="1"/>
  <c r="O2584" i="7949" s="1"/>
  <c r="P2584" i="7949" s="1"/>
  <c r="Q2584" i="7949" s="1"/>
  <c r="R2584" i="7949" s="1"/>
  <c r="S2584" i="7949" s="1"/>
  <c r="T2584" i="7949" s="1"/>
  <c r="U2584" i="7949" s="1"/>
  <c r="V2584" i="7949" s="1"/>
  <c r="W2584" i="7949" s="1"/>
  <c r="D2582" i="7949"/>
  <c r="E2582" i="7949" s="1"/>
  <c r="F2582" i="7949" s="1"/>
  <c r="G2582" i="7949" s="1"/>
  <c r="H2582" i="7949" s="1"/>
  <c r="I2582" i="7949" s="1"/>
  <c r="J2582" i="7949" s="1"/>
  <c r="K2582" i="7949" s="1"/>
  <c r="L2582" i="7949" s="1"/>
  <c r="M2582" i="7949" s="1"/>
  <c r="N2582" i="7949" s="1"/>
  <c r="O2582" i="7949" s="1"/>
  <c r="P2582" i="7949" s="1"/>
  <c r="Q2582" i="7949" s="1"/>
  <c r="R2582" i="7949" s="1"/>
  <c r="S2582" i="7949" s="1"/>
  <c r="T2582" i="7949" s="1"/>
  <c r="U2582" i="7949" s="1"/>
  <c r="V2582" i="7949" s="1"/>
  <c r="W2582" i="7949" s="1"/>
  <c r="G2585" i="7949"/>
  <c r="E2583" i="7949"/>
  <c r="F2583" i="7949" s="1"/>
  <c r="G2583" i="7949" s="1"/>
  <c r="H2583" i="7949" s="1"/>
  <c r="I2583" i="7949" s="1"/>
  <c r="J2583" i="7949" s="1"/>
  <c r="K2583" i="7949" s="1"/>
  <c r="L2583" i="7949" s="1"/>
  <c r="M2583" i="7949" s="1"/>
  <c r="N2583" i="7949" s="1"/>
  <c r="O2583" i="7949" s="1"/>
  <c r="P2583" i="7949" s="1"/>
  <c r="Q2583" i="7949" s="1"/>
  <c r="R2583" i="7949" s="1"/>
  <c r="S2583" i="7949" s="1"/>
  <c r="T2583" i="7949" s="1"/>
  <c r="U2583" i="7949" s="1"/>
  <c r="V2583" i="7949" s="1"/>
  <c r="W2583" i="7949" s="1"/>
  <c r="F2560" i="7949"/>
  <c r="D2558" i="7949"/>
  <c r="E2559" i="7949"/>
  <c r="H2694" i="7949"/>
  <c r="F2692" i="7949"/>
  <c r="G2692" i="7949" s="1"/>
  <c r="H2692" i="7949" s="1"/>
  <c r="I2692" i="7949" s="1"/>
  <c r="J2692" i="7949" s="1"/>
  <c r="K2692" i="7949" s="1"/>
  <c r="L2692" i="7949" s="1"/>
  <c r="M2692" i="7949" s="1"/>
  <c r="N2692" i="7949" s="1"/>
  <c r="O2692" i="7949" s="1"/>
  <c r="P2692" i="7949" s="1"/>
  <c r="Q2692" i="7949" s="1"/>
  <c r="R2692" i="7949" s="1"/>
  <c r="S2692" i="7949" s="1"/>
  <c r="T2692" i="7949" s="1"/>
  <c r="U2692" i="7949" s="1"/>
  <c r="V2692" i="7949" s="1"/>
  <c r="W2692" i="7949" s="1"/>
  <c r="D2690" i="7949"/>
  <c r="E2690" i="7949" s="1"/>
  <c r="F2690" i="7949" s="1"/>
  <c r="G2690" i="7949" s="1"/>
  <c r="H2690" i="7949" s="1"/>
  <c r="I2690" i="7949" s="1"/>
  <c r="J2690" i="7949" s="1"/>
  <c r="K2690" i="7949" s="1"/>
  <c r="L2690" i="7949" s="1"/>
  <c r="M2690" i="7949" s="1"/>
  <c r="N2690" i="7949" s="1"/>
  <c r="O2690" i="7949" s="1"/>
  <c r="P2690" i="7949" s="1"/>
  <c r="Q2690" i="7949" s="1"/>
  <c r="R2690" i="7949" s="1"/>
  <c r="S2690" i="7949" s="1"/>
  <c r="T2690" i="7949" s="1"/>
  <c r="U2690" i="7949" s="1"/>
  <c r="V2690" i="7949" s="1"/>
  <c r="W2690" i="7949" s="1"/>
  <c r="E2667" i="7949"/>
  <c r="G2693" i="7949"/>
  <c r="E2691" i="7949"/>
  <c r="F2691" i="7949" s="1"/>
  <c r="G2691" i="7949" s="1"/>
  <c r="H2691" i="7949" s="1"/>
  <c r="I2691" i="7949" s="1"/>
  <c r="J2691" i="7949" s="1"/>
  <c r="K2691" i="7949" s="1"/>
  <c r="L2691" i="7949" s="1"/>
  <c r="M2691" i="7949" s="1"/>
  <c r="N2691" i="7949" s="1"/>
  <c r="O2691" i="7949" s="1"/>
  <c r="P2691" i="7949" s="1"/>
  <c r="Q2691" i="7949" s="1"/>
  <c r="R2691" i="7949" s="1"/>
  <c r="S2691" i="7949" s="1"/>
  <c r="T2691" i="7949" s="1"/>
  <c r="U2691" i="7949" s="1"/>
  <c r="V2691" i="7949" s="1"/>
  <c r="W2691" i="7949" s="1"/>
  <c r="F2668" i="7949"/>
  <c r="D2666" i="7949"/>
  <c r="F2127" i="7949" l="1"/>
  <c r="G2127" i="7949" s="1"/>
  <c r="H2127" i="7949" s="1"/>
  <c r="I2127" i="7949" s="1"/>
  <c r="J2127" i="7949" s="1"/>
  <c r="K2127" i="7949" s="1"/>
  <c r="L2127" i="7949" s="1"/>
  <c r="M2127" i="7949" s="1"/>
  <c r="N2127" i="7949" s="1"/>
  <c r="O2127" i="7949" s="1"/>
  <c r="P2127" i="7949" s="1"/>
  <c r="Q2127" i="7949" s="1"/>
  <c r="R2127" i="7949" s="1"/>
  <c r="S2127" i="7949" s="1"/>
  <c r="T2127" i="7949" s="1"/>
  <c r="U2127" i="7949" s="1"/>
  <c r="V2127" i="7949" s="1"/>
  <c r="W2127" i="7949" s="1"/>
  <c r="F1695" i="7949"/>
  <c r="G1695" i="7949" s="1"/>
  <c r="H1695" i="7949" s="1"/>
  <c r="I1695" i="7949" s="1"/>
  <c r="J1695" i="7949" s="1"/>
  <c r="K1695" i="7949" s="1"/>
  <c r="L1695" i="7949" s="1"/>
  <c r="M1695" i="7949" s="1"/>
  <c r="N1695" i="7949" s="1"/>
  <c r="O1695" i="7949" s="1"/>
  <c r="P1695" i="7949" s="1"/>
  <c r="Q1695" i="7949" s="1"/>
  <c r="R1695" i="7949" s="1"/>
  <c r="S1695" i="7949" s="1"/>
  <c r="T1695" i="7949" s="1"/>
  <c r="U1695" i="7949" s="1"/>
  <c r="V1695" i="7949" s="1"/>
  <c r="W1695" i="7949" s="1"/>
  <c r="F1263" i="7949"/>
  <c r="G1263" i="7949" s="1"/>
  <c r="H1263" i="7949" s="1"/>
  <c r="I1263" i="7949" s="1"/>
  <c r="J1263" i="7949" s="1"/>
  <c r="K1263" i="7949" s="1"/>
  <c r="L1263" i="7949" s="1"/>
  <c r="M1263" i="7949" s="1"/>
  <c r="N1263" i="7949" s="1"/>
  <c r="O1263" i="7949" s="1"/>
  <c r="P1263" i="7949" s="1"/>
  <c r="Q1263" i="7949" s="1"/>
  <c r="R1263" i="7949" s="1"/>
  <c r="S1263" i="7949" s="1"/>
  <c r="T1263" i="7949" s="1"/>
  <c r="U1263" i="7949" s="1"/>
  <c r="V1263" i="7949" s="1"/>
  <c r="W1263" i="7949" s="1"/>
  <c r="F831" i="7949"/>
  <c r="G831" i="7949" s="1"/>
  <c r="H831" i="7949" s="1"/>
  <c r="I831" i="7949" s="1"/>
  <c r="J831" i="7949" s="1"/>
  <c r="K831" i="7949" s="1"/>
  <c r="L831" i="7949" s="1"/>
  <c r="M831" i="7949" s="1"/>
  <c r="N831" i="7949" s="1"/>
  <c r="O831" i="7949" s="1"/>
  <c r="P831" i="7949" s="1"/>
  <c r="Q831" i="7949" s="1"/>
  <c r="R831" i="7949" s="1"/>
  <c r="S831" i="7949" s="1"/>
  <c r="T831" i="7949" s="1"/>
  <c r="U831" i="7949" s="1"/>
  <c r="V831" i="7949" s="1"/>
  <c r="W831" i="7949" s="1"/>
  <c r="F2181" i="7949"/>
  <c r="G2181" i="7949" s="1"/>
  <c r="H2181" i="7949" s="1"/>
  <c r="I2181" i="7949" s="1"/>
  <c r="J2181" i="7949" s="1"/>
  <c r="K2181" i="7949" s="1"/>
  <c r="L2181" i="7949" s="1"/>
  <c r="M2181" i="7949" s="1"/>
  <c r="N2181" i="7949" s="1"/>
  <c r="O2181" i="7949" s="1"/>
  <c r="P2181" i="7949" s="1"/>
  <c r="Q2181" i="7949" s="1"/>
  <c r="R2181" i="7949" s="1"/>
  <c r="S2181" i="7949" s="1"/>
  <c r="T2181" i="7949" s="1"/>
  <c r="U2181" i="7949" s="1"/>
  <c r="V2181" i="7949" s="1"/>
  <c r="W2181" i="7949" s="1"/>
  <c r="F1749" i="7949"/>
  <c r="G1749" i="7949" s="1"/>
  <c r="H1749" i="7949" s="1"/>
  <c r="I1749" i="7949" s="1"/>
  <c r="J1749" i="7949" s="1"/>
  <c r="K1749" i="7949" s="1"/>
  <c r="L1749" i="7949" s="1"/>
  <c r="M1749" i="7949" s="1"/>
  <c r="N1749" i="7949" s="1"/>
  <c r="O1749" i="7949" s="1"/>
  <c r="P1749" i="7949" s="1"/>
  <c r="Q1749" i="7949" s="1"/>
  <c r="R1749" i="7949" s="1"/>
  <c r="S1749" i="7949" s="1"/>
  <c r="T1749" i="7949" s="1"/>
  <c r="U1749" i="7949" s="1"/>
  <c r="V1749" i="7949" s="1"/>
  <c r="W1749" i="7949" s="1"/>
  <c r="F1317" i="7949"/>
  <c r="G1317" i="7949" s="1"/>
  <c r="H1317" i="7949" s="1"/>
  <c r="I1317" i="7949" s="1"/>
  <c r="J1317" i="7949" s="1"/>
  <c r="K1317" i="7949" s="1"/>
  <c r="L1317" i="7949" s="1"/>
  <c r="M1317" i="7949" s="1"/>
  <c r="N1317" i="7949" s="1"/>
  <c r="O1317" i="7949" s="1"/>
  <c r="P1317" i="7949" s="1"/>
  <c r="Q1317" i="7949" s="1"/>
  <c r="R1317" i="7949" s="1"/>
  <c r="S1317" i="7949" s="1"/>
  <c r="T1317" i="7949" s="1"/>
  <c r="U1317" i="7949" s="1"/>
  <c r="V1317" i="7949" s="1"/>
  <c r="W1317" i="7949" s="1"/>
  <c r="F885" i="7949"/>
  <c r="G885" i="7949" s="1"/>
  <c r="H885" i="7949" s="1"/>
  <c r="I885" i="7949" s="1"/>
  <c r="J885" i="7949" s="1"/>
  <c r="K885" i="7949" s="1"/>
  <c r="L885" i="7949" s="1"/>
  <c r="M885" i="7949" s="1"/>
  <c r="N885" i="7949" s="1"/>
  <c r="O885" i="7949" s="1"/>
  <c r="P885" i="7949" s="1"/>
  <c r="Q885" i="7949" s="1"/>
  <c r="R885" i="7949" s="1"/>
  <c r="S885" i="7949" s="1"/>
  <c r="T885" i="7949" s="1"/>
  <c r="U885" i="7949" s="1"/>
  <c r="V885" i="7949" s="1"/>
  <c r="W885" i="7949" s="1"/>
  <c r="G2614" i="7949"/>
  <c r="H2614" i="7949" s="1"/>
  <c r="I2614" i="7949" s="1"/>
  <c r="J2614" i="7949" s="1"/>
  <c r="K2614" i="7949" s="1"/>
  <c r="L2614" i="7949" s="1"/>
  <c r="M2614" i="7949" s="1"/>
  <c r="N2614" i="7949" s="1"/>
  <c r="O2614" i="7949" s="1"/>
  <c r="P2614" i="7949" s="1"/>
  <c r="Q2614" i="7949" s="1"/>
  <c r="R2614" i="7949" s="1"/>
  <c r="S2614" i="7949" s="1"/>
  <c r="T2614" i="7949" s="1"/>
  <c r="U2614" i="7949" s="1"/>
  <c r="V2614" i="7949" s="1"/>
  <c r="W2614" i="7949" s="1"/>
  <c r="F2235" i="7949"/>
  <c r="G2235" i="7949" s="1"/>
  <c r="H2235" i="7949" s="1"/>
  <c r="I2235" i="7949" s="1"/>
  <c r="J2235" i="7949" s="1"/>
  <c r="K2235" i="7949" s="1"/>
  <c r="L2235" i="7949" s="1"/>
  <c r="M2235" i="7949" s="1"/>
  <c r="N2235" i="7949" s="1"/>
  <c r="O2235" i="7949" s="1"/>
  <c r="P2235" i="7949" s="1"/>
  <c r="Q2235" i="7949" s="1"/>
  <c r="R2235" i="7949" s="1"/>
  <c r="S2235" i="7949" s="1"/>
  <c r="T2235" i="7949" s="1"/>
  <c r="U2235" i="7949" s="1"/>
  <c r="V2235" i="7949" s="1"/>
  <c r="W2235" i="7949" s="1"/>
  <c r="F1803" i="7949"/>
  <c r="G1803" i="7949" s="1"/>
  <c r="H1803" i="7949" s="1"/>
  <c r="I1803" i="7949" s="1"/>
  <c r="J1803" i="7949" s="1"/>
  <c r="K1803" i="7949" s="1"/>
  <c r="L1803" i="7949" s="1"/>
  <c r="M1803" i="7949" s="1"/>
  <c r="N1803" i="7949" s="1"/>
  <c r="O1803" i="7949" s="1"/>
  <c r="P1803" i="7949" s="1"/>
  <c r="Q1803" i="7949" s="1"/>
  <c r="R1803" i="7949" s="1"/>
  <c r="S1803" i="7949" s="1"/>
  <c r="T1803" i="7949" s="1"/>
  <c r="U1803" i="7949" s="1"/>
  <c r="V1803" i="7949" s="1"/>
  <c r="W1803" i="7949" s="1"/>
  <c r="F1371" i="7949"/>
  <c r="G1371" i="7949" s="1"/>
  <c r="H1371" i="7949" s="1"/>
  <c r="I1371" i="7949" s="1"/>
  <c r="J1371" i="7949" s="1"/>
  <c r="K1371" i="7949" s="1"/>
  <c r="L1371" i="7949" s="1"/>
  <c r="M1371" i="7949" s="1"/>
  <c r="N1371" i="7949" s="1"/>
  <c r="O1371" i="7949" s="1"/>
  <c r="P1371" i="7949" s="1"/>
  <c r="Q1371" i="7949" s="1"/>
  <c r="R1371" i="7949" s="1"/>
  <c r="S1371" i="7949" s="1"/>
  <c r="T1371" i="7949" s="1"/>
  <c r="U1371" i="7949" s="1"/>
  <c r="V1371" i="7949" s="1"/>
  <c r="W1371" i="7949" s="1"/>
  <c r="E452" i="7949"/>
  <c r="F452" i="7949" s="1"/>
  <c r="G452" i="7949" s="1"/>
  <c r="H452" i="7949" s="1"/>
  <c r="I452" i="7949" s="1"/>
  <c r="J452" i="7949" s="1"/>
  <c r="K452" i="7949" s="1"/>
  <c r="L452" i="7949" s="1"/>
  <c r="M452" i="7949" s="1"/>
  <c r="N452" i="7949" s="1"/>
  <c r="O452" i="7949" s="1"/>
  <c r="P452" i="7949" s="1"/>
  <c r="Q452" i="7949" s="1"/>
  <c r="R452" i="7949" s="1"/>
  <c r="S452" i="7949" s="1"/>
  <c r="T452" i="7949" s="1"/>
  <c r="U452" i="7949" s="1"/>
  <c r="V452" i="7949" s="1"/>
  <c r="W452" i="7949" s="1"/>
  <c r="E2612" i="7949"/>
  <c r="F2612" i="7949" s="1"/>
  <c r="G2612" i="7949" s="1"/>
  <c r="H2612" i="7949" s="1"/>
  <c r="I2612" i="7949" s="1"/>
  <c r="J2612" i="7949" s="1"/>
  <c r="K2612" i="7949" s="1"/>
  <c r="L2612" i="7949" s="1"/>
  <c r="M2612" i="7949" s="1"/>
  <c r="N2612" i="7949" s="1"/>
  <c r="O2612" i="7949" s="1"/>
  <c r="P2612" i="7949" s="1"/>
  <c r="Q2612" i="7949" s="1"/>
  <c r="R2612" i="7949" s="1"/>
  <c r="S2612" i="7949" s="1"/>
  <c r="T2612" i="7949" s="1"/>
  <c r="U2612" i="7949" s="1"/>
  <c r="V2612" i="7949" s="1"/>
  <c r="W2612" i="7949" s="1"/>
  <c r="G2668" i="7949"/>
  <c r="H2668" i="7949" s="1"/>
  <c r="I2668" i="7949" s="1"/>
  <c r="J2668" i="7949" s="1"/>
  <c r="K2668" i="7949" s="1"/>
  <c r="L2668" i="7949" s="1"/>
  <c r="M2668" i="7949" s="1"/>
  <c r="N2668" i="7949" s="1"/>
  <c r="O2668" i="7949" s="1"/>
  <c r="P2668" i="7949" s="1"/>
  <c r="Q2668" i="7949" s="1"/>
  <c r="R2668" i="7949" s="1"/>
  <c r="S2668" i="7949" s="1"/>
  <c r="T2668" i="7949" s="1"/>
  <c r="U2668" i="7949" s="1"/>
  <c r="V2668" i="7949" s="1"/>
  <c r="W2668" i="7949" s="1"/>
  <c r="E2666" i="7949"/>
  <c r="F2666" i="7949" s="1"/>
  <c r="G2666" i="7949" s="1"/>
  <c r="H2666" i="7949" s="1"/>
  <c r="I2666" i="7949" s="1"/>
  <c r="J2666" i="7949" s="1"/>
  <c r="K2666" i="7949" s="1"/>
  <c r="L2666" i="7949" s="1"/>
  <c r="M2666" i="7949" s="1"/>
  <c r="N2666" i="7949" s="1"/>
  <c r="O2666" i="7949" s="1"/>
  <c r="P2666" i="7949" s="1"/>
  <c r="Q2666" i="7949" s="1"/>
  <c r="R2666" i="7949" s="1"/>
  <c r="S2666" i="7949" s="1"/>
  <c r="T2666" i="7949" s="1"/>
  <c r="U2666" i="7949" s="1"/>
  <c r="V2666" i="7949" s="1"/>
  <c r="W2666" i="7949" s="1"/>
  <c r="F939" i="7949"/>
  <c r="G939" i="7949" s="1"/>
  <c r="H939" i="7949" s="1"/>
  <c r="I939" i="7949" s="1"/>
  <c r="J939" i="7949" s="1"/>
  <c r="K939" i="7949" s="1"/>
  <c r="L939" i="7949" s="1"/>
  <c r="M939" i="7949" s="1"/>
  <c r="N939" i="7949" s="1"/>
  <c r="O939" i="7949" s="1"/>
  <c r="P939" i="7949" s="1"/>
  <c r="Q939" i="7949" s="1"/>
  <c r="R939" i="7949" s="1"/>
  <c r="S939" i="7949" s="1"/>
  <c r="T939" i="7949" s="1"/>
  <c r="U939" i="7949" s="1"/>
  <c r="V939" i="7949" s="1"/>
  <c r="W939" i="7949" s="1"/>
  <c r="F2289" i="7949"/>
  <c r="G2289" i="7949" s="1"/>
  <c r="H2289" i="7949" s="1"/>
  <c r="I2289" i="7949" s="1"/>
  <c r="J2289" i="7949" s="1"/>
  <c r="K2289" i="7949" s="1"/>
  <c r="L2289" i="7949" s="1"/>
  <c r="M2289" i="7949" s="1"/>
  <c r="N2289" i="7949" s="1"/>
  <c r="O2289" i="7949" s="1"/>
  <c r="P2289" i="7949" s="1"/>
  <c r="Q2289" i="7949" s="1"/>
  <c r="R2289" i="7949" s="1"/>
  <c r="S2289" i="7949" s="1"/>
  <c r="T2289" i="7949" s="1"/>
  <c r="U2289" i="7949" s="1"/>
  <c r="V2289" i="7949" s="1"/>
  <c r="W2289" i="7949" s="1"/>
  <c r="F2019" i="7949"/>
  <c r="G2019" i="7949" s="1"/>
  <c r="H2019" i="7949" s="1"/>
  <c r="I2019" i="7949" s="1"/>
  <c r="J2019" i="7949" s="1"/>
  <c r="K2019" i="7949" s="1"/>
  <c r="L2019" i="7949" s="1"/>
  <c r="M2019" i="7949" s="1"/>
  <c r="N2019" i="7949" s="1"/>
  <c r="O2019" i="7949" s="1"/>
  <c r="P2019" i="7949" s="1"/>
  <c r="Q2019" i="7949" s="1"/>
  <c r="R2019" i="7949" s="1"/>
  <c r="S2019" i="7949" s="1"/>
  <c r="T2019" i="7949" s="1"/>
  <c r="U2019" i="7949" s="1"/>
  <c r="V2019" i="7949" s="1"/>
  <c r="W2019" i="7949" s="1"/>
  <c r="F1587" i="7949"/>
  <c r="G1587" i="7949" s="1"/>
  <c r="H1587" i="7949" s="1"/>
  <c r="I1587" i="7949" s="1"/>
  <c r="J1587" i="7949" s="1"/>
  <c r="K1587" i="7949" s="1"/>
  <c r="L1587" i="7949" s="1"/>
  <c r="M1587" i="7949" s="1"/>
  <c r="N1587" i="7949" s="1"/>
  <c r="O1587" i="7949" s="1"/>
  <c r="P1587" i="7949" s="1"/>
  <c r="Q1587" i="7949" s="1"/>
  <c r="R1587" i="7949" s="1"/>
  <c r="S1587" i="7949" s="1"/>
  <c r="T1587" i="7949" s="1"/>
  <c r="U1587" i="7949" s="1"/>
  <c r="V1587" i="7949" s="1"/>
  <c r="W1587" i="7949" s="1"/>
  <c r="G724" i="7949"/>
  <c r="H724" i="7949" s="1"/>
  <c r="I724" i="7949" s="1"/>
  <c r="J724" i="7949" s="1"/>
  <c r="K724" i="7949" s="1"/>
  <c r="L724" i="7949" s="1"/>
  <c r="M724" i="7949" s="1"/>
  <c r="N724" i="7949" s="1"/>
  <c r="O724" i="7949" s="1"/>
  <c r="P724" i="7949" s="1"/>
  <c r="Q724" i="7949" s="1"/>
  <c r="R724" i="7949" s="1"/>
  <c r="S724" i="7949" s="1"/>
  <c r="T724" i="7949" s="1"/>
  <c r="U724" i="7949" s="1"/>
  <c r="V724" i="7949" s="1"/>
  <c r="W724" i="7949" s="1"/>
  <c r="F2073" i="7949"/>
  <c r="G2073" i="7949" s="1"/>
  <c r="H2073" i="7949" s="1"/>
  <c r="I2073" i="7949" s="1"/>
  <c r="J2073" i="7949" s="1"/>
  <c r="K2073" i="7949" s="1"/>
  <c r="L2073" i="7949" s="1"/>
  <c r="M2073" i="7949" s="1"/>
  <c r="N2073" i="7949" s="1"/>
  <c r="O2073" i="7949" s="1"/>
  <c r="P2073" i="7949" s="1"/>
  <c r="Q2073" i="7949" s="1"/>
  <c r="R2073" i="7949" s="1"/>
  <c r="S2073" i="7949" s="1"/>
  <c r="T2073" i="7949" s="1"/>
  <c r="U2073" i="7949" s="1"/>
  <c r="V2073" i="7949" s="1"/>
  <c r="W2073" i="7949" s="1"/>
  <c r="F1641" i="7949"/>
  <c r="G1641" i="7949" s="1"/>
  <c r="H1641" i="7949" s="1"/>
  <c r="I1641" i="7949" s="1"/>
  <c r="J1641" i="7949" s="1"/>
  <c r="K1641" i="7949" s="1"/>
  <c r="L1641" i="7949" s="1"/>
  <c r="M1641" i="7949" s="1"/>
  <c r="N1641" i="7949" s="1"/>
  <c r="O1641" i="7949" s="1"/>
  <c r="P1641" i="7949" s="1"/>
  <c r="Q1641" i="7949" s="1"/>
  <c r="R1641" i="7949" s="1"/>
  <c r="S1641" i="7949" s="1"/>
  <c r="T1641" i="7949" s="1"/>
  <c r="U1641" i="7949" s="1"/>
  <c r="V1641" i="7949" s="1"/>
  <c r="W1641" i="7949" s="1"/>
  <c r="F777" i="7949"/>
  <c r="G777" i="7949" s="1"/>
  <c r="H777" i="7949" s="1"/>
  <c r="I777" i="7949" s="1"/>
  <c r="J777" i="7949" s="1"/>
  <c r="K777" i="7949" s="1"/>
  <c r="L777" i="7949" s="1"/>
  <c r="M777" i="7949" s="1"/>
  <c r="N777" i="7949" s="1"/>
  <c r="O777" i="7949" s="1"/>
  <c r="P777" i="7949" s="1"/>
  <c r="Q777" i="7949" s="1"/>
  <c r="R777" i="7949" s="1"/>
  <c r="S777" i="7949" s="1"/>
  <c r="T777" i="7949" s="1"/>
  <c r="U777" i="7949" s="1"/>
  <c r="V777" i="7949" s="1"/>
  <c r="W777" i="7949" s="1"/>
  <c r="F2451" i="7949"/>
  <c r="G2451" i="7949" s="1"/>
  <c r="H2451" i="7949" s="1"/>
  <c r="I2451" i="7949" s="1"/>
  <c r="J2451" i="7949" s="1"/>
  <c r="K2451" i="7949" s="1"/>
  <c r="L2451" i="7949" s="1"/>
  <c r="M2451" i="7949" s="1"/>
  <c r="N2451" i="7949" s="1"/>
  <c r="O2451" i="7949" s="1"/>
  <c r="P2451" i="7949" s="1"/>
  <c r="Q2451" i="7949" s="1"/>
  <c r="R2451" i="7949" s="1"/>
  <c r="S2451" i="7949" s="1"/>
  <c r="T2451" i="7949" s="1"/>
  <c r="U2451" i="7949" s="1"/>
  <c r="V2451" i="7949" s="1"/>
  <c r="W2451" i="7949" s="1"/>
  <c r="F2343" i="7949"/>
  <c r="G2343" i="7949" s="1"/>
  <c r="H2343" i="7949" s="1"/>
  <c r="I2343" i="7949" s="1"/>
  <c r="J2343" i="7949" s="1"/>
  <c r="K2343" i="7949" s="1"/>
  <c r="L2343" i="7949" s="1"/>
  <c r="M2343" i="7949" s="1"/>
  <c r="N2343" i="7949" s="1"/>
  <c r="O2343" i="7949" s="1"/>
  <c r="P2343" i="7949" s="1"/>
  <c r="Q2343" i="7949" s="1"/>
  <c r="R2343" i="7949" s="1"/>
  <c r="S2343" i="7949" s="1"/>
  <c r="T2343" i="7949" s="1"/>
  <c r="U2343" i="7949" s="1"/>
  <c r="V2343" i="7949" s="1"/>
  <c r="W2343" i="7949" s="1"/>
  <c r="F1479" i="7949"/>
  <c r="G1479" i="7949" s="1"/>
  <c r="H1479" i="7949" s="1"/>
  <c r="I1479" i="7949" s="1"/>
  <c r="J1479" i="7949" s="1"/>
  <c r="K1479" i="7949" s="1"/>
  <c r="L1479" i="7949" s="1"/>
  <c r="M1479" i="7949" s="1"/>
  <c r="N1479" i="7949" s="1"/>
  <c r="O1479" i="7949" s="1"/>
  <c r="P1479" i="7949" s="1"/>
  <c r="Q1479" i="7949" s="1"/>
  <c r="R1479" i="7949" s="1"/>
  <c r="S1479" i="7949" s="1"/>
  <c r="T1479" i="7949" s="1"/>
  <c r="U1479" i="7949" s="1"/>
  <c r="V1479" i="7949" s="1"/>
  <c r="W1479" i="7949" s="1"/>
  <c r="F1047" i="7949"/>
  <c r="G1047" i="7949" s="1"/>
  <c r="H1047" i="7949" s="1"/>
  <c r="I1047" i="7949" s="1"/>
  <c r="J1047" i="7949" s="1"/>
  <c r="K1047" i="7949" s="1"/>
  <c r="L1047" i="7949" s="1"/>
  <c r="M1047" i="7949" s="1"/>
  <c r="N1047" i="7949" s="1"/>
  <c r="O1047" i="7949" s="1"/>
  <c r="P1047" i="7949" s="1"/>
  <c r="Q1047" i="7949" s="1"/>
  <c r="R1047" i="7949" s="1"/>
  <c r="S1047" i="7949" s="1"/>
  <c r="T1047" i="7949" s="1"/>
  <c r="U1047" i="7949" s="1"/>
  <c r="V1047" i="7949" s="1"/>
  <c r="W1047" i="7949" s="1"/>
  <c r="E668" i="7949"/>
  <c r="F668" i="7949" s="1"/>
  <c r="G668" i="7949" s="1"/>
  <c r="H668" i="7949" s="1"/>
  <c r="I668" i="7949" s="1"/>
  <c r="J668" i="7949" s="1"/>
  <c r="K668" i="7949" s="1"/>
  <c r="L668" i="7949" s="1"/>
  <c r="M668" i="7949" s="1"/>
  <c r="N668" i="7949" s="1"/>
  <c r="O668" i="7949" s="1"/>
  <c r="P668" i="7949" s="1"/>
  <c r="Q668" i="7949" s="1"/>
  <c r="R668" i="7949" s="1"/>
  <c r="S668" i="7949" s="1"/>
  <c r="T668" i="7949" s="1"/>
  <c r="U668" i="7949" s="1"/>
  <c r="V668" i="7949" s="1"/>
  <c r="W668" i="7949" s="1"/>
  <c r="F1965" i="7949"/>
  <c r="G1965" i="7949" s="1"/>
  <c r="H1965" i="7949" s="1"/>
  <c r="I1965" i="7949" s="1"/>
  <c r="J1965" i="7949" s="1"/>
  <c r="K1965" i="7949" s="1"/>
  <c r="L1965" i="7949" s="1"/>
  <c r="M1965" i="7949" s="1"/>
  <c r="N1965" i="7949" s="1"/>
  <c r="O1965" i="7949" s="1"/>
  <c r="P1965" i="7949" s="1"/>
  <c r="Q1965" i="7949" s="1"/>
  <c r="R1965" i="7949" s="1"/>
  <c r="S1965" i="7949" s="1"/>
  <c r="T1965" i="7949" s="1"/>
  <c r="U1965" i="7949" s="1"/>
  <c r="V1965" i="7949" s="1"/>
  <c r="W1965" i="7949" s="1"/>
  <c r="F1533" i="7949"/>
  <c r="G1533" i="7949" s="1"/>
  <c r="H1533" i="7949" s="1"/>
  <c r="I1533" i="7949" s="1"/>
  <c r="J1533" i="7949" s="1"/>
  <c r="K1533" i="7949" s="1"/>
  <c r="L1533" i="7949" s="1"/>
  <c r="M1533" i="7949" s="1"/>
  <c r="N1533" i="7949" s="1"/>
  <c r="O1533" i="7949" s="1"/>
  <c r="P1533" i="7949" s="1"/>
  <c r="Q1533" i="7949" s="1"/>
  <c r="R1533" i="7949" s="1"/>
  <c r="S1533" i="7949" s="1"/>
  <c r="T1533" i="7949" s="1"/>
  <c r="U1533" i="7949" s="1"/>
  <c r="V1533" i="7949" s="1"/>
  <c r="W1533" i="7949" s="1"/>
  <c r="F1101" i="7949"/>
  <c r="G1101" i="7949" s="1"/>
  <c r="H1101" i="7949" s="1"/>
  <c r="I1101" i="7949" s="1"/>
  <c r="J1101" i="7949" s="1"/>
  <c r="K1101" i="7949" s="1"/>
  <c r="L1101" i="7949" s="1"/>
  <c r="M1101" i="7949" s="1"/>
  <c r="N1101" i="7949" s="1"/>
  <c r="O1101" i="7949" s="1"/>
  <c r="P1101" i="7949" s="1"/>
  <c r="Q1101" i="7949" s="1"/>
  <c r="R1101" i="7949" s="1"/>
  <c r="S1101" i="7949" s="1"/>
  <c r="T1101" i="7949" s="1"/>
  <c r="U1101" i="7949" s="1"/>
  <c r="V1101" i="7949" s="1"/>
  <c r="W1101" i="7949" s="1"/>
  <c r="E560" i="7949"/>
  <c r="F560" i="7949" s="1"/>
  <c r="G560" i="7949" s="1"/>
  <c r="H560" i="7949" s="1"/>
  <c r="I560" i="7949" s="1"/>
  <c r="J560" i="7949" s="1"/>
  <c r="K560" i="7949" s="1"/>
  <c r="L560" i="7949" s="1"/>
  <c r="M560" i="7949" s="1"/>
  <c r="N560" i="7949" s="1"/>
  <c r="O560" i="7949" s="1"/>
  <c r="P560" i="7949" s="1"/>
  <c r="Q560" i="7949" s="1"/>
  <c r="R560" i="7949" s="1"/>
  <c r="S560" i="7949" s="1"/>
  <c r="T560" i="7949" s="1"/>
  <c r="U560" i="7949" s="1"/>
  <c r="V560" i="7949" s="1"/>
  <c r="W560" i="7949" s="1"/>
  <c r="F1857" i="7949"/>
  <c r="G1857" i="7949" s="1"/>
  <c r="H1857" i="7949" s="1"/>
  <c r="I1857" i="7949" s="1"/>
  <c r="J1857" i="7949" s="1"/>
  <c r="K1857" i="7949" s="1"/>
  <c r="L1857" i="7949" s="1"/>
  <c r="M1857" i="7949" s="1"/>
  <c r="N1857" i="7949" s="1"/>
  <c r="O1857" i="7949" s="1"/>
  <c r="P1857" i="7949" s="1"/>
  <c r="Q1857" i="7949" s="1"/>
  <c r="R1857" i="7949" s="1"/>
  <c r="S1857" i="7949" s="1"/>
  <c r="T1857" i="7949" s="1"/>
  <c r="U1857" i="7949" s="1"/>
  <c r="V1857" i="7949" s="1"/>
  <c r="W1857" i="7949" s="1"/>
  <c r="F1425" i="7949"/>
  <c r="G1425" i="7949" s="1"/>
  <c r="H1425" i="7949" s="1"/>
  <c r="I1425" i="7949" s="1"/>
  <c r="J1425" i="7949" s="1"/>
  <c r="K1425" i="7949" s="1"/>
  <c r="L1425" i="7949" s="1"/>
  <c r="M1425" i="7949" s="1"/>
  <c r="N1425" i="7949" s="1"/>
  <c r="O1425" i="7949" s="1"/>
  <c r="P1425" i="7949" s="1"/>
  <c r="Q1425" i="7949" s="1"/>
  <c r="R1425" i="7949" s="1"/>
  <c r="S1425" i="7949" s="1"/>
  <c r="T1425" i="7949" s="1"/>
  <c r="U1425" i="7949" s="1"/>
  <c r="V1425" i="7949" s="1"/>
  <c r="W1425" i="7949" s="1"/>
  <c r="F993" i="7949"/>
  <c r="G993" i="7949" s="1"/>
  <c r="H993" i="7949" s="1"/>
  <c r="I993" i="7949" s="1"/>
  <c r="J993" i="7949" s="1"/>
  <c r="K993" i="7949" s="1"/>
  <c r="L993" i="7949" s="1"/>
  <c r="M993" i="7949" s="1"/>
  <c r="N993" i="7949" s="1"/>
  <c r="O993" i="7949" s="1"/>
  <c r="P993" i="7949" s="1"/>
  <c r="Q993" i="7949" s="1"/>
  <c r="R993" i="7949" s="1"/>
  <c r="S993" i="7949" s="1"/>
  <c r="T993" i="7949" s="1"/>
  <c r="U993" i="7949" s="1"/>
  <c r="V993" i="7949" s="1"/>
  <c r="W993" i="7949" s="1"/>
  <c r="E722" i="7949"/>
  <c r="F722" i="7949" s="1"/>
  <c r="G722" i="7949" s="1"/>
  <c r="H722" i="7949" s="1"/>
  <c r="I722" i="7949" s="1"/>
  <c r="J722" i="7949" s="1"/>
  <c r="K722" i="7949" s="1"/>
  <c r="L722" i="7949" s="1"/>
  <c r="M722" i="7949" s="1"/>
  <c r="N722" i="7949" s="1"/>
  <c r="O722" i="7949" s="1"/>
  <c r="P722" i="7949" s="1"/>
  <c r="Q722" i="7949" s="1"/>
  <c r="R722" i="7949" s="1"/>
  <c r="S722" i="7949" s="1"/>
  <c r="T722" i="7949" s="1"/>
  <c r="U722" i="7949" s="1"/>
  <c r="V722" i="7949" s="1"/>
  <c r="W722" i="7949" s="1"/>
  <c r="G616" i="7949"/>
  <c r="H616" i="7949" s="1"/>
  <c r="I616" i="7949" s="1"/>
  <c r="J616" i="7949" s="1"/>
  <c r="K616" i="7949" s="1"/>
  <c r="L616" i="7949" s="1"/>
  <c r="M616" i="7949" s="1"/>
  <c r="N616" i="7949" s="1"/>
  <c r="O616" i="7949" s="1"/>
  <c r="P616" i="7949" s="1"/>
  <c r="Q616" i="7949" s="1"/>
  <c r="R616" i="7949" s="1"/>
  <c r="S616" i="7949" s="1"/>
  <c r="T616" i="7949" s="1"/>
  <c r="U616" i="7949" s="1"/>
  <c r="V616" i="7949" s="1"/>
  <c r="W616" i="7949" s="1"/>
  <c r="F507" i="7949"/>
  <c r="G507" i="7949" s="1"/>
  <c r="H507" i="7949" s="1"/>
  <c r="I507" i="7949" s="1"/>
  <c r="J507" i="7949" s="1"/>
  <c r="K507" i="7949" s="1"/>
  <c r="L507" i="7949" s="1"/>
  <c r="M507" i="7949" s="1"/>
  <c r="N507" i="7949" s="1"/>
  <c r="O507" i="7949" s="1"/>
  <c r="P507" i="7949" s="1"/>
  <c r="Q507" i="7949" s="1"/>
  <c r="R507" i="7949" s="1"/>
  <c r="S507" i="7949" s="1"/>
  <c r="T507" i="7949" s="1"/>
  <c r="U507" i="7949" s="1"/>
  <c r="V507" i="7949" s="1"/>
  <c r="W507" i="7949" s="1"/>
  <c r="F1911" i="7949"/>
  <c r="G1911" i="7949" s="1"/>
  <c r="H1911" i="7949" s="1"/>
  <c r="I1911" i="7949" s="1"/>
  <c r="J1911" i="7949" s="1"/>
  <c r="K1911" i="7949" s="1"/>
  <c r="L1911" i="7949" s="1"/>
  <c r="M1911" i="7949" s="1"/>
  <c r="N1911" i="7949" s="1"/>
  <c r="O1911" i="7949" s="1"/>
  <c r="P1911" i="7949" s="1"/>
  <c r="Q1911" i="7949" s="1"/>
  <c r="R1911" i="7949" s="1"/>
  <c r="S1911" i="7949" s="1"/>
  <c r="T1911" i="7949" s="1"/>
  <c r="U1911" i="7949" s="1"/>
  <c r="V1911" i="7949" s="1"/>
  <c r="W1911" i="7949" s="1"/>
  <c r="G1912" i="7949"/>
  <c r="H1912" i="7949" s="1"/>
  <c r="I1912" i="7949" s="1"/>
  <c r="J1912" i="7949" s="1"/>
  <c r="K1912" i="7949" s="1"/>
  <c r="L1912" i="7949" s="1"/>
  <c r="M1912" i="7949" s="1"/>
  <c r="N1912" i="7949" s="1"/>
  <c r="O1912" i="7949" s="1"/>
  <c r="P1912" i="7949" s="1"/>
  <c r="Q1912" i="7949" s="1"/>
  <c r="R1912" i="7949" s="1"/>
  <c r="S1912" i="7949" s="1"/>
  <c r="T1912" i="7949" s="1"/>
  <c r="U1912" i="7949" s="1"/>
  <c r="V1912" i="7949" s="1"/>
  <c r="W1912" i="7949" s="1"/>
  <c r="E1802" i="7949"/>
  <c r="F1802" i="7949" s="1"/>
  <c r="G1802" i="7949" s="1"/>
  <c r="H1802" i="7949" s="1"/>
  <c r="I1802" i="7949" s="1"/>
  <c r="J1802" i="7949" s="1"/>
  <c r="K1802" i="7949" s="1"/>
  <c r="L1802" i="7949" s="1"/>
  <c r="M1802" i="7949" s="1"/>
  <c r="N1802" i="7949" s="1"/>
  <c r="O1802" i="7949" s="1"/>
  <c r="P1802" i="7949" s="1"/>
  <c r="Q1802" i="7949" s="1"/>
  <c r="R1802" i="7949" s="1"/>
  <c r="S1802" i="7949" s="1"/>
  <c r="T1802" i="7949" s="1"/>
  <c r="U1802" i="7949" s="1"/>
  <c r="V1802" i="7949" s="1"/>
  <c r="W1802" i="7949" s="1"/>
  <c r="G1480" i="7949"/>
  <c r="H1480" i="7949" s="1"/>
  <c r="I1480" i="7949" s="1"/>
  <c r="J1480" i="7949" s="1"/>
  <c r="K1480" i="7949" s="1"/>
  <c r="L1480" i="7949" s="1"/>
  <c r="M1480" i="7949" s="1"/>
  <c r="N1480" i="7949" s="1"/>
  <c r="O1480" i="7949" s="1"/>
  <c r="P1480" i="7949" s="1"/>
  <c r="Q1480" i="7949" s="1"/>
  <c r="R1480" i="7949" s="1"/>
  <c r="S1480" i="7949" s="1"/>
  <c r="T1480" i="7949" s="1"/>
  <c r="U1480" i="7949" s="1"/>
  <c r="V1480" i="7949" s="1"/>
  <c r="W1480" i="7949" s="1"/>
  <c r="E1370" i="7949"/>
  <c r="F1370" i="7949" s="1"/>
  <c r="G1370" i="7949" s="1"/>
  <c r="H1370" i="7949" s="1"/>
  <c r="I1370" i="7949" s="1"/>
  <c r="J1370" i="7949" s="1"/>
  <c r="K1370" i="7949" s="1"/>
  <c r="L1370" i="7949" s="1"/>
  <c r="M1370" i="7949" s="1"/>
  <c r="N1370" i="7949" s="1"/>
  <c r="O1370" i="7949" s="1"/>
  <c r="P1370" i="7949" s="1"/>
  <c r="Q1370" i="7949" s="1"/>
  <c r="R1370" i="7949" s="1"/>
  <c r="S1370" i="7949" s="1"/>
  <c r="T1370" i="7949" s="1"/>
  <c r="U1370" i="7949" s="1"/>
  <c r="V1370" i="7949" s="1"/>
  <c r="W1370" i="7949" s="1"/>
  <c r="F1155" i="7949"/>
  <c r="G1155" i="7949" s="1"/>
  <c r="H1155" i="7949" s="1"/>
  <c r="I1155" i="7949" s="1"/>
  <c r="J1155" i="7949" s="1"/>
  <c r="K1155" i="7949" s="1"/>
  <c r="L1155" i="7949" s="1"/>
  <c r="M1155" i="7949" s="1"/>
  <c r="N1155" i="7949" s="1"/>
  <c r="O1155" i="7949" s="1"/>
  <c r="P1155" i="7949" s="1"/>
  <c r="Q1155" i="7949" s="1"/>
  <c r="R1155" i="7949" s="1"/>
  <c r="S1155" i="7949" s="1"/>
  <c r="T1155" i="7949" s="1"/>
  <c r="U1155" i="7949" s="1"/>
  <c r="V1155" i="7949" s="1"/>
  <c r="W1155" i="7949" s="1"/>
  <c r="G1048" i="7949"/>
  <c r="H1048" i="7949" s="1"/>
  <c r="I1048" i="7949" s="1"/>
  <c r="J1048" i="7949" s="1"/>
  <c r="K1048" i="7949" s="1"/>
  <c r="L1048" i="7949" s="1"/>
  <c r="M1048" i="7949" s="1"/>
  <c r="N1048" i="7949" s="1"/>
  <c r="O1048" i="7949" s="1"/>
  <c r="P1048" i="7949" s="1"/>
  <c r="Q1048" i="7949" s="1"/>
  <c r="R1048" i="7949" s="1"/>
  <c r="S1048" i="7949" s="1"/>
  <c r="T1048" i="7949" s="1"/>
  <c r="U1048" i="7949" s="1"/>
  <c r="V1048" i="7949" s="1"/>
  <c r="W1048" i="7949" s="1"/>
  <c r="E938" i="7949"/>
  <c r="F938" i="7949" s="1"/>
  <c r="G938" i="7949" s="1"/>
  <c r="H938" i="7949" s="1"/>
  <c r="I938" i="7949" s="1"/>
  <c r="J938" i="7949" s="1"/>
  <c r="K938" i="7949" s="1"/>
  <c r="L938" i="7949" s="1"/>
  <c r="M938" i="7949" s="1"/>
  <c r="N938" i="7949" s="1"/>
  <c r="O938" i="7949" s="1"/>
  <c r="P938" i="7949" s="1"/>
  <c r="Q938" i="7949" s="1"/>
  <c r="R938" i="7949" s="1"/>
  <c r="S938" i="7949" s="1"/>
  <c r="T938" i="7949" s="1"/>
  <c r="U938" i="7949" s="1"/>
  <c r="V938" i="7949" s="1"/>
  <c r="W938" i="7949" s="1"/>
  <c r="G562" i="7949"/>
  <c r="H562" i="7949" s="1"/>
  <c r="I562" i="7949" s="1"/>
  <c r="J562" i="7949" s="1"/>
  <c r="K562" i="7949" s="1"/>
  <c r="L562" i="7949" s="1"/>
  <c r="M562" i="7949" s="1"/>
  <c r="N562" i="7949" s="1"/>
  <c r="O562" i="7949" s="1"/>
  <c r="P562" i="7949" s="1"/>
  <c r="Q562" i="7949" s="1"/>
  <c r="R562" i="7949" s="1"/>
  <c r="S562" i="7949" s="1"/>
  <c r="T562" i="7949" s="1"/>
  <c r="U562" i="7949" s="1"/>
  <c r="V562" i="7949" s="1"/>
  <c r="W562" i="7949" s="1"/>
  <c r="E2288" i="7949"/>
  <c r="F2288" i="7949" s="1"/>
  <c r="G2288" i="7949" s="1"/>
  <c r="H2288" i="7949" s="1"/>
  <c r="I2288" i="7949" s="1"/>
  <c r="J2288" i="7949" s="1"/>
  <c r="K2288" i="7949" s="1"/>
  <c r="L2288" i="7949" s="1"/>
  <c r="M2288" i="7949" s="1"/>
  <c r="N2288" i="7949" s="1"/>
  <c r="O2288" i="7949" s="1"/>
  <c r="P2288" i="7949" s="1"/>
  <c r="Q2288" i="7949" s="1"/>
  <c r="R2288" i="7949" s="1"/>
  <c r="S2288" i="7949" s="1"/>
  <c r="T2288" i="7949" s="1"/>
  <c r="U2288" i="7949" s="1"/>
  <c r="V2288" i="7949" s="1"/>
  <c r="W2288" i="7949" s="1"/>
  <c r="G1966" i="7949"/>
  <c r="H1966" i="7949" s="1"/>
  <c r="I1966" i="7949" s="1"/>
  <c r="J1966" i="7949" s="1"/>
  <c r="K1966" i="7949" s="1"/>
  <c r="L1966" i="7949" s="1"/>
  <c r="M1966" i="7949" s="1"/>
  <c r="N1966" i="7949" s="1"/>
  <c r="O1966" i="7949" s="1"/>
  <c r="P1966" i="7949" s="1"/>
  <c r="Q1966" i="7949" s="1"/>
  <c r="R1966" i="7949" s="1"/>
  <c r="S1966" i="7949" s="1"/>
  <c r="T1966" i="7949" s="1"/>
  <c r="U1966" i="7949" s="1"/>
  <c r="V1966" i="7949" s="1"/>
  <c r="W1966" i="7949" s="1"/>
  <c r="E1856" i="7949"/>
  <c r="F1856" i="7949" s="1"/>
  <c r="G1856" i="7949" s="1"/>
  <c r="H1856" i="7949" s="1"/>
  <c r="I1856" i="7949" s="1"/>
  <c r="J1856" i="7949" s="1"/>
  <c r="K1856" i="7949" s="1"/>
  <c r="L1856" i="7949" s="1"/>
  <c r="M1856" i="7949" s="1"/>
  <c r="N1856" i="7949" s="1"/>
  <c r="O1856" i="7949" s="1"/>
  <c r="P1856" i="7949" s="1"/>
  <c r="Q1856" i="7949" s="1"/>
  <c r="R1856" i="7949" s="1"/>
  <c r="S1856" i="7949" s="1"/>
  <c r="T1856" i="7949" s="1"/>
  <c r="U1856" i="7949" s="1"/>
  <c r="V1856" i="7949" s="1"/>
  <c r="W1856" i="7949" s="1"/>
  <c r="G1534" i="7949"/>
  <c r="H1534" i="7949" s="1"/>
  <c r="I1534" i="7949" s="1"/>
  <c r="J1534" i="7949" s="1"/>
  <c r="K1534" i="7949" s="1"/>
  <c r="L1534" i="7949" s="1"/>
  <c r="M1534" i="7949" s="1"/>
  <c r="N1534" i="7949" s="1"/>
  <c r="O1534" i="7949" s="1"/>
  <c r="P1534" i="7949" s="1"/>
  <c r="Q1534" i="7949" s="1"/>
  <c r="R1534" i="7949" s="1"/>
  <c r="S1534" i="7949" s="1"/>
  <c r="T1534" i="7949" s="1"/>
  <c r="U1534" i="7949" s="1"/>
  <c r="V1534" i="7949" s="1"/>
  <c r="W1534" i="7949" s="1"/>
  <c r="E1424" i="7949"/>
  <c r="F1424" i="7949" s="1"/>
  <c r="G1424" i="7949" s="1"/>
  <c r="H1424" i="7949" s="1"/>
  <c r="I1424" i="7949" s="1"/>
  <c r="J1424" i="7949" s="1"/>
  <c r="K1424" i="7949" s="1"/>
  <c r="L1424" i="7949" s="1"/>
  <c r="M1424" i="7949" s="1"/>
  <c r="N1424" i="7949" s="1"/>
  <c r="O1424" i="7949" s="1"/>
  <c r="P1424" i="7949" s="1"/>
  <c r="Q1424" i="7949" s="1"/>
  <c r="R1424" i="7949" s="1"/>
  <c r="S1424" i="7949" s="1"/>
  <c r="T1424" i="7949" s="1"/>
  <c r="U1424" i="7949" s="1"/>
  <c r="V1424" i="7949" s="1"/>
  <c r="W1424" i="7949" s="1"/>
  <c r="G1102" i="7949"/>
  <c r="H1102" i="7949" s="1"/>
  <c r="I1102" i="7949" s="1"/>
  <c r="J1102" i="7949" s="1"/>
  <c r="K1102" i="7949" s="1"/>
  <c r="L1102" i="7949" s="1"/>
  <c r="M1102" i="7949" s="1"/>
  <c r="N1102" i="7949" s="1"/>
  <c r="O1102" i="7949" s="1"/>
  <c r="P1102" i="7949" s="1"/>
  <c r="Q1102" i="7949" s="1"/>
  <c r="R1102" i="7949" s="1"/>
  <c r="S1102" i="7949" s="1"/>
  <c r="T1102" i="7949" s="1"/>
  <c r="U1102" i="7949" s="1"/>
  <c r="V1102" i="7949" s="1"/>
  <c r="W1102" i="7949" s="1"/>
  <c r="E992" i="7949"/>
  <c r="F992" i="7949" s="1"/>
  <c r="G992" i="7949" s="1"/>
  <c r="H992" i="7949" s="1"/>
  <c r="I992" i="7949" s="1"/>
  <c r="J992" i="7949" s="1"/>
  <c r="K992" i="7949" s="1"/>
  <c r="L992" i="7949" s="1"/>
  <c r="M992" i="7949" s="1"/>
  <c r="N992" i="7949" s="1"/>
  <c r="O992" i="7949" s="1"/>
  <c r="P992" i="7949" s="1"/>
  <c r="Q992" i="7949" s="1"/>
  <c r="R992" i="7949" s="1"/>
  <c r="S992" i="7949" s="1"/>
  <c r="T992" i="7949" s="1"/>
  <c r="U992" i="7949" s="1"/>
  <c r="V992" i="7949" s="1"/>
  <c r="W992" i="7949" s="1"/>
  <c r="E2234" i="7949"/>
  <c r="F2234" i="7949" s="1"/>
  <c r="G2234" i="7949" s="1"/>
  <c r="H2234" i="7949" s="1"/>
  <c r="I2234" i="7949" s="1"/>
  <c r="J2234" i="7949" s="1"/>
  <c r="K2234" i="7949" s="1"/>
  <c r="L2234" i="7949" s="1"/>
  <c r="M2234" i="7949" s="1"/>
  <c r="N2234" i="7949" s="1"/>
  <c r="O2234" i="7949" s="1"/>
  <c r="P2234" i="7949" s="1"/>
  <c r="Q2234" i="7949" s="1"/>
  <c r="R2234" i="7949" s="1"/>
  <c r="S2234" i="7949" s="1"/>
  <c r="T2234" i="7949" s="1"/>
  <c r="U2234" i="7949" s="1"/>
  <c r="V2234" i="7949" s="1"/>
  <c r="W2234" i="7949" s="1"/>
  <c r="E398" i="7949"/>
  <c r="F398" i="7949" s="1"/>
  <c r="G398" i="7949" s="1"/>
  <c r="H398" i="7949" s="1"/>
  <c r="I398" i="7949" s="1"/>
  <c r="J398" i="7949" s="1"/>
  <c r="K398" i="7949" s="1"/>
  <c r="L398" i="7949" s="1"/>
  <c r="M398" i="7949" s="1"/>
  <c r="N398" i="7949" s="1"/>
  <c r="O398" i="7949" s="1"/>
  <c r="P398" i="7949" s="1"/>
  <c r="Q398" i="7949" s="1"/>
  <c r="R398" i="7949" s="1"/>
  <c r="S398" i="7949" s="1"/>
  <c r="T398" i="7949" s="1"/>
  <c r="U398" i="7949" s="1"/>
  <c r="V398" i="7949" s="1"/>
  <c r="W398" i="7949" s="1"/>
  <c r="G2020" i="7949"/>
  <c r="H2020" i="7949" s="1"/>
  <c r="I2020" i="7949" s="1"/>
  <c r="J2020" i="7949" s="1"/>
  <c r="K2020" i="7949" s="1"/>
  <c r="L2020" i="7949" s="1"/>
  <c r="M2020" i="7949" s="1"/>
  <c r="N2020" i="7949" s="1"/>
  <c r="O2020" i="7949" s="1"/>
  <c r="P2020" i="7949" s="1"/>
  <c r="Q2020" i="7949" s="1"/>
  <c r="R2020" i="7949" s="1"/>
  <c r="S2020" i="7949" s="1"/>
  <c r="T2020" i="7949" s="1"/>
  <c r="U2020" i="7949" s="1"/>
  <c r="V2020" i="7949" s="1"/>
  <c r="W2020" i="7949" s="1"/>
  <c r="G2398" i="7949"/>
  <c r="H2398" i="7949" s="1"/>
  <c r="I2398" i="7949" s="1"/>
  <c r="J2398" i="7949" s="1"/>
  <c r="K2398" i="7949" s="1"/>
  <c r="L2398" i="7949" s="1"/>
  <c r="M2398" i="7949" s="1"/>
  <c r="N2398" i="7949" s="1"/>
  <c r="O2398" i="7949" s="1"/>
  <c r="P2398" i="7949" s="1"/>
  <c r="Q2398" i="7949" s="1"/>
  <c r="R2398" i="7949" s="1"/>
  <c r="S2398" i="7949" s="1"/>
  <c r="T2398" i="7949" s="1"/>
  <c r="U2398" i="7949" s="1"/>
  <c r="V2398" i="7949" s="1"/>
  <c r="W2398" i="7949" s="1"/>
  <c r="F615" i="7949"/>
  <c r="G615" i="7949" s="1"/>
  <c r="H615" i="7949" s="1"/>
  <c r="I615" i="7949" s="1"/>
  <c r="J615" i="7949" s="1"/>
  <c r="K615" i="7949" s="1"/>
  <c r="L615" i="7949" s="1"/>
  <c r="M615" i="7949" s="1"/>
  <c r="N615" i="7949" s="1"/>
  <c r="O615" i="7949" s="1"/>
  <c r="P615" i="7949" s="1"/>
  <c r="Q615" i="7949" s="1"/>
  <c r="R615" i="7949" s="1"/>
  <c r="S615" i="7949" s="1"/>
  <c r="T615" i="7949" s="1"/>
  <c r="U615" i="7949" s="1"/>
  <c r="V615" i="7949" s="1"/>
  <c r="W615" i="7949" s="1"/>
  <c r="F2613" i="7949"/>
  <c r="G2613" i="7949" s="1"/>
  <c r="H2613" i="7949" s="1"/>
  <c r="I2613" i="7949" s="1"/>
  <c r="J2613" i="7949" s="1"/>
  <c r="K2613" i="7949" s="1"/>
  <c r="L2613" i="7949" s="1"/>
  <c r="M2613" i="7949" s="1"/>
  <c r="N2613" i="7949" s="1"/>
  <c r="O2613" i="7949" s="1"/>
  <c r="P2613" i="7949" s="1"/>
  <c r="Q2613" i="7949" s="1"/>
  <c r="R2613" i="7949" s="1"/>
  <c r="S2613" i="7949" s="1"/>
  <c r="T2613" i="7949" s="1"/>
  <c r="U2613" i="7949" s="1"/>
  <c r="V2613" i="7949" s="1"/>
  <c r="W2613" i="7949" s="1"/>
  <c r="F2397" i="7949"/>
  <c r="G2397" i="7949" s="1"/>
  <c r="H2397" i="7949" s="1"/>
  <c r="I2397" i="7949" s="1"/>
  <c r="J2397" i="7949" s="1"/>
  <c r="K2397" i="7949" s="1"/>
  <c r="L2397" i="7949" s="1"/>
  <c r="M2397" i="7949" s="1"/>
  <c r="N2397" i="7949" s="1"/>
  <c r="O2397" i="7949" s="1"/>
  <c r="P2397" i="7949" s="1"/>
  <c r="Q2397" i="7949" s="1"/>
  <c r="R2397" i="7949" s="1"/>
  <c r="S2397" i="7949" s="1"/>
  <c r="T2397" i="7949" s="1"/>
  <c r="U2397" i="7949" s="1"/>
  <c r="V2397" i="7949" s="1"/>
  <c r="W2397" i="7949" s="1"/>
  <c r="E614" i="7949"/>
  <c r="F614" i="7949" s="1"/>
  <c r="G614" i="7949" s="1"/>
  <c r="H614" i="7949" s="1"/>
  <c r="I614" i="7949" s="1"/>
  <c r="J614" i="7949" s="1"/>
  <c r="K614" i="7949" s="1"/>
  <c r="L614" i="7949" s="1"/>
  <c r="M614" i="7949" s="1"/>
  <c r="N614" i="7949" s="1"/>
  <c r="O614" i="7949" s="1"/>
  <c r="P614" i="7949" s="1"/>
  <c r="Q614" i="7949" s="1"/>
  <c r="R614" i="7949" s="1"/>
  <c r="S614" i="7949" s="1"/>
  <c r="T614" i="7949" s="1"/>
  <c r="U614" i="7949" s="1"/>
  <c r="V614" i="7949" s="1"/>
  <c r="W614" i="7949" s="1"/>
  <c r="G508" i="7949"/>
  <c r="H508" i="7949" s="1"/>
  <c r="I508" i="7949" s="1"/>
  <c r="J508" i="7949" s="1"/>
  <c r="K508" i="7949" s="1"/>
  <c r="L508" i="7949" s="1"/>
  <c r="M508" i="7949" s="1"/>
  <c r="N508" i="7949" s="1"/>
  <c r="O508" i="7949" s="1"/>
  <c r="P508" i="7949" s="1"/>
  <c r="Q508" i="7949" s="1"/>
  <c r="R508" i="7949" s="1"/>
  <c r="S508" i="7949" s="1"/>
  <c r="T508" i="7949" s="1"/>
  <c r="U508" i="7949" s="1"/>
  <c r="V508" i="7949" s="1"/>
  <c r="W508" i="7949" s="1"/>
  <c r="G2128" i="7949"/>
  <c r="H2128" i="7949" s="1"/>
  <c r="I2128" i="7949" s="1"/>
  <c r="J2128" i="7949" s="1"/>
  <c r="K2128" i="7949" s="1"/>
  <c r="L2128" i="7949" s="1"/>
  <c r="M2128" i="7949" s="1"/>
  <c r="N2128" i="7949" s="1"/>
  <c r="O2128" i="7949" s="1"/>
  <c r="P2128" i="7949" s="1"/>
  <c r="Q2128" i="7949" s="1"/>
  <c r="R2128" i="7949" s="1"/>
  <c r="S2128" i="7949" s="1"/>
  <c r="T2128" i="7949" s="1"/>
  <c r="U2128" i="7949" s="1"/>
  <c r="V2128" i="7949" s="1"/>
  <c r="W2128" i="7949" s="1"/>
  <c r="G1696" i="7949"/>
  <c r="H1696" i="7949" s="1"/>
  <c r="I1696" i="7949" s="1"/>
  <c r="J1696" i="7949" s="1"/>
  <c r="K1696" i="7949" s="1"/>
  <c r="L1696" i="7949" s="1"/>
  <c r="M1696" i="7949" s="1"/>
  <c r="N1696" i="7949" s="1"/>
  <c r="O1696" i="7949" s="1"/>
  <c r="P1696" i="7949" s="1"/>
  <c r="Q1696" i="7949" s="1"/>
  <c r="R1696" i="7949" s="1"/>
  <c r="S1696" i="7949" s="1"/>
  <c r="T1696" i="7949" s="1"/>
  <c r="U1696" i="7949" s="1"/>
  <c r="V1696" i="7949" s="1"/>
  <c r="W1696" i="7949" s="1"/>
  <c r="E1586" i="7949"/>
  <c r="F1586" i="7949" s="1"/>
  <c r="G1586" i="7949" s="1"/>
  <c r="H1586" i="7949" s="1"/>
  <c r="I1586" i="7949" s="1"/>
  <c r="J1586" i="7949" s="1"/>
  <c r="K1586" i="7949" s="1"/>
  <c r="L1586" i="7949" s="1"/>
  <c r="M1586" i="7949" s="1"/>
  <c r="N1586" i="7949" s="1"/>
  <c r="O1586" i="7949" s="1"/>
  <c r="P1586" i="7949" s="1"/>
  <c r="Q1586" i="7949" s="1"/>
  <c r="R1586" i="7949" s="1"/>
  <c r="S1586" i="7949" s="1"/>
  <c r="T1586" i="7949" s="1"/>
  <c r="U1586" i="7949" s="1"/>
  <c r="V1586" i="7949" s="1"/>
  <c r="W1586" i="7949" s="1"/>
  <c r="G1264" i="7949"/>
  <c r="H1264" i="7949" s="1"/>
  <c r="I1264" i="7949" s="1"/>
  <c r="J1264" i="7949" s="1"/>
  <c r="K1264" i="7949" s="1"/>
  <c r="L1264" i="7949" s="1"/>
  <c r="M1264" i="7949" s="1"/>
  <c r="N1264" i="7949" s="1"/>
  <c r="O1264" i="7949" s="1"/>
  <c r="P1264" i="7949" s="1"/>
  <c r="Q1264" i="7949" s="1"/>
  <c r="R1264" i="7949" s="1"/>
  <c r="S1264" i="7949" s="1"/>
  <c r="T1264" i="7949" s="1"/>
  <c r="U1264" i="7949" s="1"/>
  <c r="V1264" i="7949" s="1"/>
  <c r="W1264" i="7949" s="1"/>
  <c r="G832" i="7949"/>
  <c r="H832" i="7949" s="1"/>
  <c r="I832" i="7949" s="1"/>
  <c r="J832" i="7949" s="1"/>
  <c r="K832" i="7949" s="1"/>
  <c r="L832" i="7949" s="1"/>
  <c r="M832" i="7949" s="1"/>
  <c r="N832" i="7949" s="1"/>
  <c r="O832" i="7949" s="1"/>
  <c r="P832" i="7949" s="1"/>
  <c r="Q832" i="7949" s="1"/>
  <c r="R832" i="7949" s="1"/>
  <c r="S832" i="7949" s="1"/>
  <c r="T832" i="7949" s="1"/>
  <c r="U832" i="7949" s="1"/>
  <c r="V832" i="7949" s="1"/>
  <c r="W832" i="7949" s="1"/>
  <c r="G2182" i="7949"/>
  <c r="H2182" i="7949" s="1"/>
  <c r="I2182" i="7949" s="1"/>
  <c r="J2182" i="7949" s="1"/>
  <c r="K2182" i="7949" s="1"/>
  <c r="L2182" i="7949" s="1"/>
  <c r="M2182" i="7949" s="1"/>
  <c r="N2182" i="7949" s="1"/>
  <c r="O2182" i="7949" s="1"/>
  <c r="P2182" i="7949" s="1"/>
  <c r="Q2182" i="7949" s="1"/>
  <c r="R2182" i="7949" s="1"/>
  <c r="S2182" i="7949" s="1"/>
  <c r="T2182" i="7949" s="1"/>
  <c r="U2182" i="7949" s="1"/>
  <c r="V2182" i="7949" s="1"/>
  <c r="W2182" i="7949" s="1"/>
  <c r="E2072" i="7949"/>
  <c r="F2072" i="7949" s="1"/>
  <c r="G2072" i="7949" s="1"/>
  <c r="H2072" i="7949" s="1"/>
  <c r="I2072" i="7949" s="1"/>
  <c r="J2072" i="7949" s="1"/>
  <c r="K2072" i="7949" s="1"/>
  <c r="L2072" i="7949" s="1"/>
  <c r="M2072" i="7949" s="1"/>
  <c r="N2072" i="7949" s="1"/>
  <c r="O2072" i="7949" s="1"/>
  <c r="P2072" i="7949" s="1"/>
  <c r="Q2072" i="7949" s="1"/>
  <c r="R2072" i="7949" s="1"/>
  <c r="S2072" i="7949" s="1"/>
  <c r="T2072" i="7949" s="1"/>
  <c r="U2072" i="7949" s="1"/>
  <c r="V2072" i="7949" s="1"/>
  <c r="W2072" i="7949" s="1"/>
  <c r="G1750" i="7949"/>
  <c r="H1750" i="7949" s="1"/>
  <c r="I1750" i="7949" s="1"/>
  <c r="J1750" i="7949" s="1"/>
  <c r="K1750" i="7949" s="1"/>
  <c r="L1750" i="7949" s="1"/>
  <c r="M1750" i="7949" s="1"/>
  <c r="N1750" i="7949" s="1"/>
  <c r="O1750" i="7949" s="1"/>
  <c r="P1750" i="7949" s="1"/>
  <c r="Q1750" i="7949" s="1"/>
  <c r="R1750" i="7949" s="1"/>
  <c r="S1750" i="7949" s="1"/>
  <c r="T1750" i="7949" s="1"/>
  <c r="U1750" i="7949" s="1"/>
  <c r="V1750" i="7949" s="1"/>
  <c r="W1750" i="7949" s="1"/>
  <c r="E1640" i="7949"/>
  <c r="F1640" i="7949" s="1"/>
  <c r="G1640" i="7949" s="1"/>
  <c r="H1640" i="7949" s="1"/>
  <c r="I1640" i="7949" s="1"/>
  <c r="J1640" i="7949" s="1"/>
  <c r="K1640" i="7949" s="1"/>
  <c r="L1640" i="7949" s="1"/>
  <c r="M1640" i="7949" s="1"/>
  <c r="N1640" i="7949" s="1"/>
  <c r="O1640" i="7949" s="1"/>
  <c r="P1640" i="7949" s="1"/>
  <c r="Q1640" i="7949" s="1"/>
  <c r="R1640" i="7949" s="1"/>
  <c r="S1640" i="7949" s="1"/>
  <c r="T1640" i="7949" s="1"/>
  <c r="U1640" i="7949" s="1"/>
  <c r="V1640" i="7949" s="1"/>
  <c r="W1640" i="7949" s="1"/>
  <c r="E2558" i="7949"/>
  <c r="F2558" i="7949" s="1"/>
  <c r="G2558" i="7949" s="1"/>
  <c r="H2558" i="7949" s="1"/>
  <c r="I2558" i="7949" s="1"/>
  <c r="J2558" i="7949" s="1"/>
  <c r="K2558" i="7949" s="1"/>
  <c r="L2558" i="7949" s="1"/>
  <c r="M2558" i="7949" s="1"/>
  <c r="N2558" i="7949" s="1"/>
  <c r="O2558" i="7949" s="1"/>
  <c r="P2558" i="7949" s="1"/>
  <c r="Q2558" i="7949" s="1"/>
  <c r="R2558" i="7949" s="1"/>
  <c r="S2558" i="7949" s="1"/>
  <c r="T2558" i="7949" s="1"/>
  <c r="U2558" i="7949" s="1"/>
  <c r="V2558" i="7949" s="1"/>
  <c r="W2558" i="7949" s="1"/>
  <c r="E2450" i="7949"/>
  <c r="F2450" i="7949" s="1"/>
  <c r="G2450" i="7949" s="1"/>
  <c r="H2450" i="7949" s="1"/>
  <c r="I2450" i="7949" s="1"/>
  <c r="J2450" i="7949" s="1"/>
  <c r="K2450" i="7949" s="1"/>
  <c r="L2450" i="7949" s="1"/>
  <c r="M2450" i="7949" s="1"/>
  <c r="N2450" i="7949" s="1"/>
  <c r="O2450" i="7949" s="1"/>
  <c r="P2450" i="7949" s="1"/>
  <c r="Q2450" i="7949" s="1"/>
  <c r="R2450" i="7949" s="1"/>
  <c r="S2450" i="7949" s="1"/>
  <c r="T2450" i="7949" s="1"/>
  <c r="U2450" i="7949" s="1"/>
  <c r="V2450" i="7949" s="1"/>
  <c r="W2450" i="7949" s="1"/>
  <c r="G1318" i="7949"/>
  <c r="H1318" i="7949" s="1"/>
  <c r="I1318" i="7949" s="1"/>
  <c r="J1318" i="7949" s="1"/>
  <c r="K1318" i="7949" s="1"/>
  <c r="L1318" i="7949" s="1"/>
  <c r="M1318" i="7949" s="1"/>
  <c r="N1318" i="7949" s="1"/>
  <c r="O1318" i="7949" s="1"/>
  <c r="P1318" i="7949" s="1"/>
  <c r="Q1318" i="7949" s="1"/>
  <c r="R1318" i="7949" s="1"/>
  <c r="S1318" i="7949" s="1"/>
  <c r="T1318" i="7949" s="1"/>
  <c r="U1318" i="7949" s="1"/>
  <c r="V1318" i="7949" s="1"/>
  <c r="W1318" i="7949" s="1"/>
  <c r="F399" i="7949"/>
  <c r="G399" i="7949" s="1"/>
  <c r="H399" i="7949" s="1"/>
  <c r="I399" i="7949" s="1"/>
  <c r="J399" i="7949" s="1"/>
  <c r="K399" i="7949" s="1"/>
  <c r="L399" i="7949" s="1"/>
  <c r="M399" i="7949" s="1"/>
  <c r="N399" i="7949" s="1"/>
  <c r="O399" i="7949" s="1"/>
  <c r="P399" i="7949" s="1"/>
  <c r="Q399" i="7949" s="1"/>
  <c r="R399" i="7949" s="1"/>
  <c r="S399" i="7949" s="1"/>
  <c r="T399" i="7949" s="1"/>
  <c r="U399" i="7949" s="1"/>
  <c r="V399" i="7949" s="1"/>
  <c r="W399" i="7949" s="1"/>
  <c r="E2018" i="7949"/>
  <c r="F2018" i="7949" s="1"/>
  <c r="G2018" i="7949" s="1"/>
  <c r="H2018" i="7949" s="1"/>
  <c r="I2018" i="7949" s="1"/>
  <c r="J2018" i="7949" s="1"/>
  <c r="K2018" i="7949" s="1"/>
  <c r="L2018" i="7949" s="1"/>
  <c r="M2018" i="7949" s="1"/>
  <c r="N2018" i="7949" s="1"/>
  <c r="O2018" i="7949" s="1"/>
  <c r="P2018" i="7949" s="1"/>
  <c r="Q2018" i="7949" s="1"/>
  <c r="R2018" i="7949" s="1"/>
  <c r="S2018" i="7949" s="1"/>
  <c r="T2018" i="7949" s="1"/>
  <c r="U2018" i="7949" s="1"/>
  <c r="V2018" i="7949" s="1"/>
  <c r="W2018" i="7949" s="1"/>
  <c r="G2344" i="7949"/>
  <c r="H2344" i="7949" s="1"/>
  <c r="I2344" i="7949" s="1"/>
  <c r="J2344" i="7949" s="1"/>
  <c r="K2344" i="7949" s="1"/>
  <c r="L2344" i="7949" s="1"/>
  <c r="M2344" i="7949" s="1"/>
  <c r="N2344" i="7949" s="1"/>
  <c r="O2344" i="7949" s="1"/>
  <c r="P2344" i="7949" s="1"/>
  <c r="Q2344" i="7949" s="1"/>
  <c r="R2344" i="7949" s="1"/>
  <c r="S2344" i="7949" s="1"/>
  <c r="T2344" i="7949" s="1"/>
  <c r="U2344" i="7949" s="1"/>
  <c r="V2344" i="7949" s="1"/>
  <c r="W2344" i="7949" s="1"/>
  <c r="C2365" i="7949"/>
  <c r="I1938" i="7949"/>
  <c r="J1938" i="7949" s="1"/>
  <c r="K1938" i="7949" s="1"/>
  <c r="L1938" i="7949" s="1"/>
  <c r="M1938" i="7949" s="1"/>
  <c r="N1938" i="7949" s="1"/>
  <c r="O1938" i="7949" s="1"/>
  <c r="P1938" i="7949" s="1"/>
  <c r="Q1938" i="7949" s="1"/>
  <c r="R1938" i="7949" s="1"/>
  <c r="S1938" i="7949" s="1"/>
  <c r="T1938" i="7949" s="1"/>
  <c r="U1938" i="7949" s="1"/>
  <c r="V1938" i="7949" s="1"/>
  <c r="W1938" i="7949" s="1"/>
  <c r="I1914" i="7949"/>
  <c r="C1501" i="7949"/>
  <c r="H1289" i="7949"/>
  <c r="I1289" i="7949" s="1"/>
  <c r="J1289" i="7949" s="1"/>
  <c r="K1289" i="7949" s="1"/>
  <c r="L1289" i="7949" s="1"/>
  <c r="M1289" i="7949" s="1"/>
  <c r="N1289" i="7949" s="1"/>
  <c r="O1289" i="7949" s="1"/>
  <c r="P1289" i="7949" s="1"/>
  <c r="Q1289" i="7949" s="1"/>
  <c r="R1289" i="7949" s="1"/>
  <c r="S1289" i="7949" s="1"/>
  <c r="T1289" i="7949" s="1"/>
  <c r="U1289" i="7949" s="1"/>
  <c r="V1289" i="7949" s="1"/>
  <c r="W1289" i="7949" s="1"/>
  <c r="H1265" i="7949"/>
  <c r="C1069" i="7949"/>
  <c r="H857" i="7949"/>
  <c r="I857" i="7949" s="1"/>
  <c r="J857" i="7949" s="1"/>
  <c r="K857" i="7949" s="1"/>
  <c r="L857" i="7949" s="1"/>
  <c r="M857" i="7949" s="1"/>
  <c r="N857" i="7949" s="1"/>
  <c r="O857" i="7949" s="1"/>
  <c r="P857" i="7949" s="1"/>
  <c r="Q857" i="7949" s="1"/>
  <c r="R857" i="7949" s="1"/>
  <c r="S857" i="7949" s="1"/>
  <c r="T857" i="7949" s="1"/>
  <c r="U857" i="7949" s="1"/>
  <c r="V857" i="7949" s="1"/>
  <c r="W857" i="7949" s="1"/>
  <c r="H833" i="7949"/>
  <c r="F669" i="7949"/>
  <c r="G669" i="7949" s="1"/>
  <c r="H669" i="7949" s="1"/>
  <c r="I669" i="7949" s="1"/>
  <c r="J669" i="7949" s="1"/>
  <c r="K669" i="7949" s="1"/>
  <c r="L669" i="7949" s="1"/>
  <c r="M669" i="7949" s="1"/>
  <c r="N669" i="7949" s="1"/>
  <c r="O669" i="7949" s="1"/>
  <c r="P669" i="7949" s="1"/>
  <c r="Q669" i="7949" s="1"/>
  <c r="R669" i="7949" s="1"/>
  <c r="S669" i="7949" s="1"/>
  <c r="T669" i="7949" s="1"/>
  <c r="U669" i="7949" s="1"/>
  <c r="V669" i="7949" s="1"/>
  <c r="W669" i="7949" s="1"/>
  <c r="I588" i="7949"/>
  <c r="J588" i="7949" s="1"/>
  <c r="K588" i="7949" s="1"/>
  <c r="L588" i="7949" s="1"/>
  <c r="M588" i="7949" s="1"/>
  <c r="N588" i="7949" s="1"/>
  <c r="O588" i="7949" s="1"/>
  <c r="P588" i="7949" s="1"/>
  <c r="Q588" i="7949" s="1"/>
  <c r="R588" i="7949" s="1"/>
  <c r="S588" i="7949" s="1"/>
  <c r="T588" i="7949" s="1"/>
  <c r="U588" i="7949" s="1"/>
  <c r="V588" i="7949" s="1"/>
  <c r="W588" i="7949" s="1"/>
  <c r="I564" i="7949"/>
  <c r="H479" i="7949"/>
  <c r="I479" i="7949" s="1"/>
  <c r="J479" i="7949" s="1"/>
  <c r="K479" i="7949" s="1"/>
  <c r="L479" i="7949" s="1"/>
  <c r="M479" i="7949" s="1"/>
  <c r="N479" i="7949" s="1"/>
  <c r="O479" i="7949" s="1"/>
  <c r="P479" i="7949" s="1"/>
  <c r="Q479" i="7949" s="1"/>
  <c r="R479" i="7949" s="1"/>
  <c r="S479" i="7949" s="1"/>
  <c r="T479" i="7949" s="1"/>
  <c r="U479" i="7949" s="1"/>
  <c r="V479" i="7949" s="1"/>
  <c r="W479" i="7949" s="1"/>
  <c r="H455" i="7949"/>
  <c r="H209" i="7949"/>
  <c r="I209" i="7949" s="1"/>
  <c r="J209" i="7949" s="1"/>
  <c r="K209" i="7949" s="1"/>
  <c r="L209" i="7949" s="1"/>
  <c r="M209" i="7949" s="1"/>
  <c r="N209" i="7949" s="1"/>
  <c r="O209" i="7949" s="1"/>
  <c r="P209" i="7949" s="1"/>
  <c r="Q209" i="7949" s="1"/>
  <c r="R209" i="7949" s="1"/>
  <c r="S209" i="7949" s="1"/>
  <c r="T209" i="7949" s="1"/>
  <c r="U209" i="7949" s="1"/>
  <c r="V209" i="7949" s="1"/>
  <c r="W209" i="7949" s="1"/>
  <c r="C43" i="7949"/>
  <c r="I48" i="7949"/>
  <c r="J48" i="7949" s="1"/>
  <c r="K48" i="7949" s="1"/>
  <c r="L48" i="7949" s="1"/>
  <c r="M48" i="7949" s="1"/>
  <c r="N48" i="7949" s="1"/>
  <c r="O48" i="7949" s="1"/>
  <c r="P48" i="7949" s="1"/>
  <c r="Q48" i="7949" s="1"/>
  <c r="R48" i="7949" s="1"/>
  <c r="S48" i="7949" s="1"/>
  <c r="T48" i="7949" s="1"/>
  <c r="U48" i="7949" s="1"/>
  <c r="V48" i="7949" s="1"/>
  <c r="W48" i="7949" s="1"/>
  <c r="C2635" i="7949"/>
  <c r="I2424" i="7949"/>
  <c r="J2424" i="7949" s="1"/>
  <c r="K2424" i="7949" s="1"/>
  <c r="L2424" i="7949" s="1"/>
  <c r="M2424" i="7949" s="1"/>
  <c r="N2424" i="7949" s="1"/>
  <c r="O2424" i="7949" s="1"/>
  <c r="P2424" i="7949" s="1"/>
  <c r="Q2424" i="7949" s="1"/>
  <c r="R2424" i="7949" s="1"/>
  <c r="S2424" i="7949" s="1"/>
  <c r="T2424" i="7949" s="1"/>
  <c r="U2424" i="7949" s="1"/>
  <c r="V2424" i="7949" s="1"/>
  <c r="W2424" i="7949" s="1"/>
  <c r="I2400" i="7949"/>
  <c r="C2419" i="7949"/>
  <c r="H2207" i="7949"/>
  <c r="I2207" i="7949" s="1"/>
  <c r="J2207" i="7949" s="1"/>
  <c r="K2207" i="7949" s="1"/>
  <c r="L2207" i="7949" s="1"/>
  <c r="M2207" i="7949" s="1"/>
  <c r="N2207" i="7949" s="1"/>
  <c r="O2207" i="7949" s="1"/>
  <c r="P2207" i="7949" s="1"/>
  <c r="Q2207" i="7949" s="1"/>
  <c r="R2207" i="7949" s="1"/>
  <c r="S2207" i="7949" s="1"/>
  <c r="T2207" i="7949" s="1"/>
  <c r="U2207" i="7949" s="1"/>
  <c r="V2207" i="7949" s="1"/>
  <c r="W2207" i="7949" s="1"/>
  <c r="H2183" i="7949"/>
  <c r="I1992" i="7949"/>
  <c r="J1992" i="7949" s="1"/>
  <c r="K1992" i="7949" s="1"/>
  <c r="L1992" i="7949" s="1"/>
  <c r="M1992" i="7949" s="1"/>
  <c r="N1992" i="7949" s="1"/>
  <c r="O1992" i="7949" s="1"/>
  <c r="P1992" i="7949" s="1"/>
  <c r="Q1992" i="7949" s="1"/>
  <c r="R1992" i="7949" s="1"/>
  <c r="S1992" i="7949" s="1"/>
  <c r="T1992" i="7949" s="1"/>
  <c r="U1992" i="7949" s="1"/>
  <c r="V1992" i="7949" s="1"/>
  <c r="W1992" i="7949" s="1"/>
  <c r="I1968" i="7949"/>
  <c r="C1987" i="7949"/>
  <c r="H1775" i="7949"/>
  <c r="I1775" i="7949" s="1"/>
  <c r="J1775" i="7949" s="1"/>
  <c r="K1775" i="7949" s="1"/>
  <c r="L1775" i="7949" s="1"/>
  <c r="M1775" i="7949" s="1"/>
  <c r="N1775" i="7949" s="1"/>
  <c r="O1775" i="7949" s="1"/>
  <c r="P1775" i="7949" s="1"/>
  <c r="Q1775" i="7949" s="1"/>
  <c r="R1775" i="7949" s="1"/>
  <c r="S1775" i="7949" s="1"/>
  <c r="T1775" i="7949" s="1"/>
  <c r="U1775" i="7949" s="1"/>
  <c r="V1775" i="7949" s="1"/>
  <c r="W1775" i="7949" s="1"/>
  <c r="H1751" i="7949"/>
  <c r="I1560" i="7949"/>
  <c r="J1560" i="7949" s="1"/>
  <c r="K1560" i="7949" s="1"/>
  <c r="L1560" i="7949" s="1"/>
  <c r="M1560" i="7949" s="1"/>
  <c r="N1560" i="7949" s="1"/>
  <c r="O1560" i="7949" s="1"/>
  <c r="P1560" i="7949" s="1"/>
  <c r="Q1560" i="7949" s="1"/>
  <c r="R1560" i="7949" s="1"/>
  <c r="S1560" i="7949" s="1"/>
  <c r="T1560" i="7949" s="1"/>
  <c r="U1560" i="7949" s="1"/>
  <c r="V1560" i="7949" s="1"/>
  <c r="W1560" i="7949" s="1"/>
  <c r="I1536" i="7949"/>
  <c r="C1555" i="7949"/>
  <c r="H1343" i="7949"/>
  <c r="I1343" i="7949" s="1"/>
  <c r="J1343" i="7949" s="1"/>
  <c r="K1343" i="7949" s="1"/>
  <c r="L1343" i="7949" s="1"/>
  <c r="M1343" i="7949" s="1"/>
  <c r="N1343" i="7949" s="1"/>
  <c r="O1343" i="7949" s="1"/>
  <c r="P1343" i="7949" s="1"/>
  <c r="Q1343" i="7949" s="1"/>
  <c r="R1343" i="7949" s="1"/>
  <c r="S1343" i="7949" s="1"/>
  <c r="T1343" i="7949" s="1"/>
  <c r="U1343" i="7949" s="1"/>
  <c r="V1343" i="7949" s="1"/>
  <c r="W1343" i="7949" s="1"/>
  <c r="H1319" i="7949"/>
  <c r="I1128" i="7949"/>
  <c r="J1128" i="7949" s="1"/>
  <c r="K1128" i="7949" s="1"/>
  <c r="L1128" i="7949" s="1"/>
  <c r="M1128" i="7949" s="1"/>
  <c r="N1128" i="7949" s="1"/>
  <c r="O1128" i="7949" s="1"/>
  <c r="P1128" i="7949" s="1"/>
  <c r="Q1128" i="7949" s="1"/>
  <c r="R1128" i="7949" s="1"/>
  <c r="S1128" i="7949" s="1"/>
  <c r="T1128" i="7949" s="1"/>
  <c r="U1128" i="7949" s="1"/>
  <c r="V1128" i="7949" s="1"/>
  <c r="W1128" i="7949" s="1"/>
  <c r="I1104" i="7949"/>
  <c r="C1123" i="7949"/>
  <c r="H911" i="7949"/>
  <c r="I911" i="7949" s="1"/>
  <c r="J911" i="7949" s="1"/>
  <c r="K911" i="7949" s="1"/>
  <c r="L911" i="7949" s="1"/>
  <c r="M911" i="7949" s="1"/>
  <c r="N911" i="7949" s="1"/>
  <c r="O911" i="7949" s="1"/>
  <c r="P911" i="7949" s="1"/>
  <c r="Q911" i="7949" s="1"/>
  <c r="R911" i="7949" s="1"/>
  <c r="S911" i="7949" s="1"/>
  <c r="T911" i="7949" s="1"/>
  <c r="U911" i="7949" s="1"/>
  <c r="V911" i="7949" s="1"/>
  <c r="W911" i="7949" s="1"/>
  <c r="H887" i="7949"/>
  <c r="H641" i="7949"/>
  <c r="I641" i="7949" s="1"/>
  <c r="J641" i="7949" s="1"/>
  <c r="K641" i="7949" s="1"/>
  <c r="L641" i="7949" s="1"/>
  <c r="M641" i="7949" s="1"/>
  <c r="N641" i="7949" s="1"/>
  <c r="O641" i="7949" s="1"/>
  <c r="P641" i="7949" s="1"/>
  <c r="Q641" i="7949" s="1"/>
  <c r="R641" i="7949" s="1"/>
  <c r="S641" i="7949" s="1"/>
  <c r="T641" i="7949" s="1"/>
  <c r="U641" i="7949" s="1"/>
  <c r="V641" i="7949" s="1"/>
  <c r="W641" i="7949" s="1"/>
  <c r="H617" i="7949"/>
  <c r="C529" i="7949"/>
  <c r="I534" i="7949"/>
  <c r="J534" i="7949" s="1"/>
  <c r="K534" i="7949" s="1"/>
  <c r="L534" i="7949" s="1"/>
  <c r="M534" i="7949" s="1"/>
  <c r="N534" i="7949" s="1"/>
  <c r="O534" i="7949" s="1"/>
  <c r="P534" i="7949" s="1"/>
  <c r="Q534" i="7949" s="1"/>
  <c r="R534" i="7949" s="1"/>
  <c r="S534" i="7949" s="1"/>
  <c r="T534" i="7949" s="1"/>
  <c r="U534" i="7949" s="1"/>
  <c r="V534" i="7949" s="1"/>
  <c r="W534" i="7949" s="1"/>
  <c r="I510" i="7949"/>
  <c r="H155" i="7949"/>
  <c r="I155" i="7949" s="1"/>
  <c r="J155" i="7949" s="1"/>
  <c r="K155" i="7949" s="1"/>
  <c r="L155" i="7949" s="1"/>
  <c r="M155" i="7949" s="1"/>
  <c r="N155" i="7949" s="1"/>
  <c r="O155" i="7949" s="1"/>
  <c r="P155" i="7949" s="1"/>
  <c r="Q155" i="7949" s="1"/>
  <c r="R155" i="7949" s="1"/>
  <c r="S155" i="7949" s="1"/>
  <c r="T155" i="7949" s="1"/>
  <c r="U155" i="7949" s="1"/>
  <c r="V155" i="7949" s="1"/>
  <c r="W155" i="7949" s="1"/>
  <c r="E2684" i="7950"/>
  <c r="I636" i="7950"/>
  <c r="J636" i="7950" s="1"/>
  <c r="I612" i="7950"/>
  <c r="D956" i="7950"/>
  <c r="J1067" i="7950"/>
  <c r="D1712" i="7950"/>
  <c r="J1931" i="7950"/>
  <c r="I2256" i="7950"/>
  <c r="J2256" i="7950" s="1"/>
  <c r="I2232" i="7950"/>
  <c r="D2576" i="7950"/>
  <c r="V1334" i="7950"/>
  <c r="I96" i="7950"/>
  <c r="J203" i="7950"/>
  <c r="D1550" i="7950"/>
  <c r="J1769" i="7950"/>
  <c r="I2094" i="7950"/>
  <c r="J2094" i="7950" s="1"/>
  <c r="I2070" i="7950"/>
  <c r="D2414" i="7950"/>
  <c r="J2633" i="7950"/>
  <c r="I906" i="7950"/>
  <c r="J906" i="7950" s="1"/>
  <c r="I882" i="7950"/>
  <c r="H2153" i="7949"/>
  <c r="I2153" i="7949" s="1"/>
  <c r="J2153" i="7949" s="1"/>
  <c r="K2153" i="7949" s="1"/>
  <c r="L2153" i="7949" s="1"/>
  <c r="M2153" i="7949" s="1"/>
  <c r="N2153" i="7949" s="1"/>
  <c r="O2153" i="7949" s="1"/>
  <c r="P2153" i="7949" s="1"/>
  <c r="Q2153" i="7949" s="1"/>
  <c r="R2153" i="7949" s="1"/>
  <c r="S2153" i="7949" s="1"/>
  <c r="T2153" i="7949" s="1"/>
  <c r="U2153" i="7949" s="1"/>
  <c r="V2153" i="7949" s="1"/>
  <c r="W2153" i="7949" s="1"/>
  <c r="H2129" i="7949"/>
  <c r="C1933" i="7949"/>
  <c r="H1721" i="7949"/>
  <c r="I1721" i="7949" s="1"/>
  <c r="J1721" i="7949" s="1"/>
  <c r="K1721" i="7949" s="1"/>
  <c r="L1721" i="7949" s="1"/>
  <c r="M1721" i="7949" s="1"/>
  <c r="N1721" i="7949" s="1"/>
  <c r="O1721" i="7949" s="1"/>
  <c r="P1721" i="7949" s="1"/>
  <c r="Q1721" i="7949" s="1"/>
  <c r="R1721" i="7949" s="1"/>
  <c r="S1721" i="7949" s="1"/>
  <c r="T1721" i="7949" s="1"/>
  <c r="U1721" i="7949" s="1"/>
  <c r="V1721" i="7949" s="1"/>
  <c r="W1721" i="7949" s="1"/>
  <c r="H1697" i="7949"/>
  <c r="I1506" i="7949"/>
  <c r="J1506" i="7949" s="1"/>
  <c r="K1506" i="7949" s="1"/>
  <c r="L1506" i="7949" s="1"/>
  <c r="M1506" i="7949" s="1"/>
  <c r="N1506" i="7949" s="1"/>
  <c r="O1506" i="7949" s="1"/>
  <c r="P1506" i="7949" s="1"/>
  <c r="Q1506" i="7949" s="1"/>
  <c r="R1506" i="7949" s="1"/>
  <c r="S1506" i="7949" s="1"/>
  <c r="T1506" i="7949" s="1"/>
  <c r="U1506" i="7949" s="1"/>
  <c r="V1506" i="7949" s="1"/>
  <c r="W1506" i="7949" s="1"/>
  <c r="I1482" i="7949"/>
  <c r="H1181" i="7949"/>
  <c r="I1181" i="7949" s="1"/>
  <c r="J1181" i="7949" s="1"/>
  <c r="K1181" i="7949" s="1"/>
  <c r="L1181" i="7949" s="1"/>
  <c r="M1181" i="7949" s="1"/>
  <c r="N1181" i="7949" s="1"/>
  <c r="O1181" i="7949" s="1"/>
  <c r="P1181" i="7949" s="1"/>
  <c r="Q1181" i="7949" s="1"/>
  <c r="R1181" i="7949" s="1"/>
  <c r="S1181" i="7949" s="1"/>
  <c r="T1181" i="7949" s="1"/>
  <c r="U1181" i="7949" s="1"/>
  <c r="V1181" i="7949" s="1"/>
  <c r="W1181" i="7949" s="1"/>
  <c r="H1157" i="7949"/>
  <c r="I1074" i="7949"/>
  <c r="J1074" i="7949" s="1"/>
  <c r="K1074" i="7949" s="1"/>
  <c r="L1074" i="7949" s="1"/>
  <c r="M1074" i="7949" s="1"/>
  <c r="N1074" i="7949" s="1"/>
  <c r="O1074" i="7949" s="1"/>
  <c r="P1074" i="7949" s="1"/>
  <c r="Q1074" i="7949" s="1"/>
  <c r="R1074" i="7949" s="1"/>
  <c r="S1074" i="7949" s="1"/>
  <c r="T1074" i="7949" s="1"/>
  <c r="U1074" i="7949" s="1"/>
  <c r="V1074" i="7949" s="1"/>
  <c r="W1074" i="7949" s="1"/>
  <c r="I1050" i="7949"/>
  <c r="H2693" i="7949"/>
  <c r="I2693" i="7949" s="1"/>
  <c r="J2693" i="7949" s="1"/>
  <c r="K2693" i="7949" s="1"/>
  <c r="L2693" i="7949" s="1"/>
  <c r="M2693" i="7949" s="1"/>
  <c r="N2693" i="7949" s="1"/>
  <c r="O2693" i="7949" s="1"/>
  <c r="P2693" i="7949" s="1"/>
  <c r="Q2693" i="7949" s="1"/>
  <c r="R2693" i="7949" s="1"/>
  <c r="S2693" i="7949" s="1"/>
  <c r="T2693" i="7949" s="1"/>
  <c r="U2693" i="7949" s="1"/>
  <c r="V2693" i="7949" s="1"/>
  <c r="W2693" i="7949" s="1"/>
  <c r="H2669" i="7949"/>
  <c r="F2667" i="7949"/>
  <c r="G2667" i="7949" s="1"/>
  <c r="H2667" i="7949" s="1"/>
  <c r="I2667" i="7949" s="1"/>
  <c r="J2667" i="7949" s="1"/>
  <c r="K2667" i="7949" s="1"/>
  <c r="L2667" i="7949" s="1"/>
  <c r="M2667" i="7949" s="1"/>
  <c r="N2667" i="7949" s="1"/>
  <c r="O2667" i="7949" s="1"/>
  <c r="P2667" i="7949" s="1"/>
  <c r="Q2667" i="7949" s="1"/>
  <c r="R2667" i="7949" s="1"/>
  <c r="S2667" i="7949" s="1"/>
  <c r="T2667" i="7949" s="1"/>
  <c r="U2667" i="7949" s="1"/>
  <c r="V2667" i="7949" s="1"/>
  <c r="W2667" i="7949" s="1"/>
  <c r="H2585" i="7949"/>
  <c r="I2585" i="7949" s="1"/>
  <c r="J2585" i="7949" s="1"/>
  <c r="K2585" i="7949" s="1"/>
  <c r="L2585" i="7949" s="1"/>
  <c r="M2585" i="7949" s="1"/>
  <c r="N2585" i="7949" s="1"/>
  <c r="O2585" i="7949" s="1"/>
  <c r="P2585" i="7949" s="1"/>
  <c r="Q2585" i="7949" s="1"/>
  <c r="R2585" i="7949" s="1"/>
  <c r="S2585" i="7949" s="1"/>
  <c r="T2585" i="7949" s="1"/>
  <c r="U2585" i="7949" s="1"/>
  <c r="V2585" i="7949" s="1"/>
  <c r="W2585" i="7949" s="1"/>
  <c r="H2561" i="7949"/>
  <c r="I2586" i="7949"/>
  <c r="J2586" i="7949" s="1"/>
  <c r="K2586" i="7949" s="1"/>
  <c r="L2586" i="7949" s="1"/>
  <c r="M2586" i="7949" s="1"/>
  <c r="N2586" i="7949" s="1"/>
  <c r="O2586" i="7949" s="1"/>
  <c r="P2586" i="7949" s="1"/>
  <c r="Q2586" i="7949" s="1"/>
  <c r="R2586" i="7949" s="1"/>
  <c r="S2586" i="7949" s="1"/>
  <c r="T2586" i="7949" s="1"/>
  <c r="U2586" i="7949" s="1"/>
  <c r="V2586" i="7949" s="1"/>
  <c r="W2586" i="7949" s="1"/>
  <c r="I2562" i="7949"/>
  <c r="H2477" i="7949"/>
  <c r="I2477" i="7949" s="1"/>
  <c r="J2477" i="7949" s="1"/>
  <c r="K2477" i="7949" s="1"/>
  <c r="L2477" i="7949" s="1"/>
  <c r="M2477" i="7949" s="1"/>
  <c r="N2477" i="7949" s="1"/>
  <c r="O2477" i="7949" s="1"/>
  <c r="P2477" i="7949" s="1"/>
  <c r="Q2477" i="7949" s="1"/>
  <c r="R2477" i="7949" s="1"/>
  <c r="S2477" i="7949" s="1"/>
  <c r="T2477" i="7949" s="1"/>
  <c r="U2477" i="7949" s="1"/>
  <c r="V2477" i="7949" s="1"/>
  <c r="W2477" i="7949" s="1"/>
  <c r="H2453" i="7949"/>
  <c r="I2370" i="7949"/>
  <c r="J2370" i="7949" s="1"/>
  <c r="K2370" i="7949" s="1"/>
  <c r="L2370" i="7949" s="1"/>
  <c r="M2370" i="7949" s="1"/>
  <c r="N2370" i="7949" s="1"/>
  <c r="O2370" i="7949" s="1"/>
  <c r="P2370" i="7949" s="1"/>
  <c r="Q2370" i="7949" s="1"/>
  <c r="R2370" i="7949" s="1"/>
  <c r="S2370" i="7949" s="1"/>
  <c r="T2370" i="7949" s="1"/>
  <c r="U2370" i="7949" s="1"/>
  <c r="V2370" i="7949" s="1"/>
  <c r="W2370" i="7949" s="1"/>
  <c r="I2346" i="7949"/>
  <c r="I2262" i="7949"/>
  <c r="J2262" i="7949" s="1"/>
  <c r="K2262" i="7949" s="1"/>
  <c r="L2262" i="7949" s="1"/>
  <c r="M2262" i="7949" s="1"/>
  <c r="N2262" i="7949" s="1"/>
  <c r="O2262" i="7949" s="1"/>
  <c r="P2262" i="7949" s="1"/>
  <c r="Q2262" i="7949" s="1"/>
  <c r="R2262" i="7949" s="1"/>
  <c r="S2262" i="7949" s="1"/>
  <c r="T2262" i="7949" s="1"/>
  <c r="U2262" i="7949" s="1"/>
  <c r="V2262" i="7949" s="1"/>
  <c r="W2262" i="7949" s="1"/>
  <c r="I2238" i="7949"/>
  <c r="G2236" i="7949"/>
  <c r="H2236" i="7949" s="1"/>
  <c r="I2236" i="7949" s="1"/>
  <c r="J2236" i="7949" s="1"/>
  <c r="K2236" i="7949" s="1"/>
  <c r="L2236" i="7949" s="1"/>
  <c r="M2236" i="7949" s="1"/>
  <c r="N2236" i="7949" s="1"/>
  <c r="O2236" i="7949" s="1"/>
  <c r="P2236" i="7949" s="1"/>
  <c r="Q2236" i="7949" s="1"/>
  <c r="R2236" i="7949" s="1"/>
  <c r="S2236" i="7949" s="1"/>
  <c r="T2236" i="7949" s="1"/>
  <c r="U2236" i="7949" s="1"/>
  <c r="V2236" i="7949" s="1"/>
  <c r="W2236" i="7949" s="1"/>
  <c r="C2257" i="7949"/>
  <c r="E2126" i="7949"/>
  <c r="F2126" i="7949" s="1"/>
  <c r="G2126" i="7949" s="1"/>
  <c r="H2126" i="7949" s="1"/>
  <c r="I2126" i="7949" s="1"/>
  <c r="J2126" i="7949" s="1"/>
  <c r="K2126" i="7949" s="1"/>
  <c r="L2126" i="7949" s="1"/>
  <c r="M2126" i="7949" s="1"/>
  <c r="N2126" i="7949" s="1"/>
  <c r="O2126" i="7949" s="1"/>
  <c r="P2126" i="7949" s="1"/>
  <c r="Q2126" i="7949" s="1"/>
  <c r="R2126" i="7949" s="1"/>
  <c r="S2126" i="7949" s="1"/>
  <c r="T2126" i="7949" s="1"/>
  <c r="U2126" i="7949" s="1"/>
  <c r="V2126" i="7949" s="1"/>
  <c r="W2126" i="7949" s="1"/>
  <c r="H2045" i="7949"/>
  <c r="I2045" i="7949" s="1"/>
  <c r="J2045" i="7949" s="1"/>
  <c r="K2045" i="7949" s="1"/>
  <c r="L2045" i="7949" s="1"/>
  <c r="M2045" i="7949" s="1"/>
  <c r="N2045" i="7949" s="1"/>
  <c r="O2045" i="7949" s="1"/>
  <c r="P2045" i="7949" s="1"/>
  <c r="Q2045" i="7949" s="1"/>
  <c r="R2045" i="7949" s="1"/>
  <c r="S2045" i="7949" s="1"/>
  <c r="T2045" i="7949" s="1"/>
  <c r="U2045" i="7949" s="1"/>
  <c r="V2045" i="7949" s="1"/>
  <c r="W2045" i="7949" s="1"/>
  <c r="H2021" i="7949"/>
  <c r="I1830" i="7949"/>
  <c r="J1830" i="7949" s="1"/>
  <c r="K1830" i="7949" s="1"/>
  <c r="L1830" i="7949" s="1"/>
  <c r="M1830" i="7949" s="1"/>
  <c r="N1830" i="7949" s="1"/>
  <c r="O1830" i="7949" s="1"/>
  <c r="P1830" i="7949" s="1"/>
  <c r="Q1830" i="7949" s="1"/>
  <c r="R1830" i="7949" s="1"/>
  <c r="S1830" i="7949" s="1"/>
  <c r="T1830" i="7949" s="1"/>
  <c r="U1830" i="7949" s="1"/>
  <c r="V1830" i="7949" s="1"/>
  <c r="W1830" i="7949" s="1"/>
  <c r="I1806" i="7949"/>
  <c r="G1804" i="7949"/>
  <c r="H1804" i="7949" s="1"/>
  <c r="I1804" i="7949" s="1"/>
  <c r="J1804" i="7949" s="1"/>
  <c r="K1804" i="7949" s="1"/>
  <c r="L1804" i="7949" s="1"/>
  <c r="M1804" i="7949" s="1"/>
  <c r="N1804" i="7949" s="1"/>
  <c r="O1804" i="7949" s="1"/>
  <c r="P1804" i="7949" s="1"/>
  <c r="Q1804" i="7949" s="1"/>
  <c r="R1804" i="7949" s="1"/>
  <c r="S1804" i="7949" s="1"/>
  <c r="T1804" i="7949" s="1"/>
  <c r="U1804" i="7949" s="1"/>
  <c r="V1804" i="7949" s="1"/>
  <c r="W1804" i="7949" s="1"/>
  <c r="C1825" i="7949"/>
  <c r="E1694" i="7949"/>
  <c r="F1694" i="7949" s="1"/>
  <c r="G1694" i="7949" s="1"/>
  <c r="H1694" i="7949" s="1"/>
  <c r="I1694" i="7949" s="1"/>
  <c r="J1694" i="7949" s="1"/>
  <c r="K1694" i="7949" s="1"/>
  <c r="L1694" i="7949" s="1"/>
  <c r="M1694" i="7949" s="1"/>
  <c r="N1694" i="7949" s="1"/>
  <c r="O1694" i="7949" s="1"/>
  <c r="P1694" i="7949" s="1"/>
  <c r="Q1694" i="7949" s="1"/>
  <c r="R1694" i="7949" s="1"/>
  <c r="S1694" i="7949" s="1"/>
  <c r="T1694" i="7949" s="1"/>
  <c r="U1694" i="7949" s="1"/>
  <c r="V1694" i="7949" s="1"/>
  <c r="W1694" i="7949" s="1"/>
  <c r="H1613" i="7949"/>
  <c r="I1613" i="7949" s="1"/>
  <c r="J1613" i="7949" s="1"/>
  <c r="K1613" i="7949" s="1"/>
  <c r="L1613" i="7949" s="1"/>
  <c r="M1613" i="7949" s="1"/>
  <c r="N1613" i="7949" s="1"/>
  <c r="O1613" i="7949" s="1"/>
  <c r="P1613" i="7949" s="1"/>
  <c r="Q1613" i="7949" s="1"/>
  <c r="R1613" i="7949" s="1"/>
  <c r="S1613" i="7949" s="1"/>
  <c r="T1613" i="7949" s="1"/>
  <c r="U1613" i="7949" s="1"/>
  <c r="V1613" i="7949" s="1"/>
  <c r="W1613" i="7949" s="1"/>
  <c r="H1589" i="7949"/>
  <c r="I1398" i="7949"/>
  <c r="J1398" i="7949" s="1"/>
  <c r="K1398" i="7949" s="1"/>
  <c r="L1398" i="7949" s="1"/>
  <c r="M1398" i="7949" s="1"/>
  <c r="N1398" i="7949" s="1"/>
  <c r="O1398" i="7949" s="1"/>
  <c r="P1398" i="7949" s="1"/>
  <c r="Q1398" i="7949" s="1"/>
  <c r="R1398" i="7949" s="1"/>
  <c r="S1398" i="7949" s="1"/>
  <c r="T1398" i="7949" s="1"/>
  <c r="U1398" i="7949" s="1"/>
  <c r="V1398" i="7949" s="1"/>
  <c r="W1398" i="7949" s="1"/>
  <c r="I1374" i="7949"/>
  <c r="G1372" i="7949"/>
  <c r="H1372" i="7949" s="1"/>
  <c r="I1372" i="7949" s="1"/>
  <c r="J1372" i="7949" s="1"/>
  <c r="K1372" i="7949" s="1"/>
  <c r="L1372" i="7949" s="1"/>
  <c r="M1372" i="7949" s="1"/>
  <c r="N1372" i="7949" s="1"/>
  <c r="O1372" i="7949" s="1"/>
  <c r="P1372" i="7949" s="1"/>
  <c r="Q1372" i="7949" s="1"/>
  <c r="R1372" i="7949" s="1"/>
  <c r="S1372" i="7949" s="1"/>
  <c r="T1372" i="7949" s="1"/>
  <c r="U1372" i="7949" s="1"/>
  <c r="V1372" i="7949" s="1"/>
  <c r="W1372" i="7949" s="1"/>
  <c r="C1393" i="7949"/>
  <c r="E1262" i="7949"/>
  <c r="F1262" i="7949" s="1"/>
  <c r="G1262" i="7949" s="1"/>
  <c r="H1262" i="7949" s="1"/>
  <c r="I1262" i="7949" s="1"/>
  <c r="J1262" i="7949" s="1"/>
  <c r="K1262" i="7949" s="1"/>
  <c r="L1262" i="7949" s="1"/>
  <c r="M1262" i="7949" s="1"/>
  <c r="N1262" i="7949" s="1"/>
  <c r="O1262" i="7949" s="1"/>
  <c r="P1262" i="7949" s="1"/>
  <c r="Q1262" i="7949" s="1"/>
  <c r="R1262" i="7949" s="1"/>
  <c r="S1262" i="7949" s="1"/>
  <c r="T1262" i="7949" s="1"/>
  <c r="U1262" i="7949" s="1"/>
  <c r="V1262" i="7949" s="1"/>
  <c r="W1262" i="7949" s="1"/>
  <c r="E1154" i="7949"/>
  <c r="F1154" i="7949" s="1"/>
  <c r="G1154" i="7949" s="1"/>
  <c r="H1154" i="7949" s="1"/>
  <c r="I1154" i="7949" s="1"/>
  <c r="J1154" i="7949" s="1"/>
  <c r="K1154" i="7949" s="1"/>
  <c r="L1154" i="7949" s="1"/>
  <c r="M1154" i="7949" s="1"/>
  <c r="N1154" i="7949" s="1"/>
  <c r="O1154" i="7949" s="1"/>
  <c r="P1154" i="7949" s="1"/>
  <c r="Q1154" i="7949" s="1"/>
  <c r="R1154" i="7949" s="1"/>
  <c r="S1154" i="7949" s="1"/>
  <c r="T1154" i="7949" s="1"/>
  <c r="U1154" i="7949" s="1"/>
  <c r="V1154" i="7949" s="1"/>
  <c r="W1154" i="7949" s="1"/>
  <c r="I966" i="7949"/>
  <c r="J966" i="7949" s="1"/>
  <c r="K966" i="7949" s="1"/>
  <c r="L966" i="7949" s="1"/>
  <c r="M966" i="7949" s="1"/>
  <c r="N966" i="7949" s="1"/>
  <c r="O966" i="7949" s="1"/>
  <c r="P966" i="7949" s="1"/>
  <c r="Q966" i="7949" s="1"/>
  <c r="R966" i="7949" s="1"/>
  <c r="S966" i="7949" s="1"/>
  <c r="T966" i="7949" s="1"/>
  <c r="U966" i="7949" s="1"/>
  <c r="V966" i="7949" s="1"/>
  <c r="W966" i="7949" s="1"/>
  <c r="I942" i="7949"/>
  <c r="G940" i="7949"/>
  <c r="H940" i="7949" s="1"/>
  <c r="I940" i="7949" s="1"/>
  <c r="J940" i="7949" s="1"/>
  <c r="K940" i="7949" s="1"/>
  <c r="L940" i="7949" s="1"/>
  <c r="M940" i="7949" s="1"/>
  <c r="N940" i="7949" s="1"/>
  <c r="O940" i="7949" s="1"/>
  <c r="P940" i="7949" s="1"/>
  <c r="Q940" i="7949" s="1"/>
  <c r="R940" i="7949" s="1"/>
  <c r="S940" i="7949" s="1"/>
  <c r="T940" i="7949" s="1"/>
  <c r="U940" i="7949" s="1"/>
  <c r="V940" i="7949" s="1"/>
  <c r="W940" i="7949" s="1"/>
  <c r="C961" i="7949"/>
  <c r="E830" i="7949"/>
  <c r="F830" i="7949" s="1"/>
  <c r="G830" i="7949" s="1"/>
  <c r="H830" i="7949" s="1"/>
  <c r="I830" i="7949" s="1"/>
  <c r="J830" i="7949" s="1"/>
  <c r="K830" i="7949" s="1"/>
  <c r="L830" i="7949" s="1"/>
  <c r="M830" i="7949" s="1"/>
  <c r="N830" i="7949" s="1"/>
  <c r="O830" i="7949" s="1"/>
  <c r="P830" i="7949" s="1"/>
  <c r="Q830" i="7949" s="1"/>
  <c r="R830" i="7949" s="1"/>
  <c r="S830" i="7949" s="1"/>
  <c r="T830" i="7949" s="1"/>
  <c r="U830" i="7949" s="1"/>
  <c r="V830" i="7949" s="1"/>
  <c r="W830" i="7949" s="1"/>
  <c r="I750" i="7949"/>
  <c r="J750" i="7949" s="1"/>
  <c r="K750" i="7949" s="1"/>
  <c r="L750" i="7949" s="1"/>
  <c r="M750" i="7949" s="1"/>
  <c r="N750" i="7949" s="1"/>
  <c r="O750" i="7949" s="1"/>
  <c r="P750" i="7949" s="1"/>
  <c r="Q750" i="7949" s="1"/>
  <c r="R750" i="7949" s="1"/>
  <c r="S750" i="7949" s="1"/>
  <c r="T750" i="7949" s="1"/>
  <c r="U750" i="7949" s="1"/>
  <c r="V750" i="7949" s="1"/>
  <c r="W750" i="7949" s="1"/>
  <c r="I726" i="7949"/>
  <c r="C691" i="7949"/>
  <c r="F561" i="7949"/>
  <c r="G561" i="7949" s="1"/>
  <c r="H561" i="7949" s="1"/>
  <c r="I561" i="7949" s="1"/>
  <c r="J561" i="7949" s="1"/>
  <c r="K561" i="7949" s="1"/>
  <c r="L561" i="7949" s="1"/>
  <c r="M561" i="7949" s="1"/>
  <c r="N561" i="7949" s="1"/>
  <c r="O561" i="7949" s="1"/>
  <c r="P561" i="7949" s="1"/>
  <c r="Q561" i="7949" s="1"/>
  <c r="R561" i="7949" s="1"/>
  <c r="S561" i="7949" s="1"/>
  <c r="T561" i="7949" s="1"/>
  <c r="U561" i="7949" s="1"/>
  <c r="V561" i="7949" s="1"/>
  <c r="W561" i="7949" s="1"/>
  <c r="G454" i="7949"/>
  <c r="H454" i="7949" s="1"/>
  <c r="I454" i="7949" s="1"/>
  <c r="J454" i="7949" s="1"/>
  <c r="K454" i="7949" s="1"/>
  <c r="L454" i="7949" s="1"/>
  <c r="M454" i="7949" s="1"/>
  <c r="N454" i="7949" s="1"/>
  <c r="O454" i="7949" s="1"/>
  <c r="P454" i="7949" s="1"/>
  <c r="Q454" i="7949" s="1"/>
  <c r="R454" i="7949" s="1"/>
  <c r="S454" i="7949" s="1"/>
  <c r="T454" i="7949" s="1"/>
  <c r="U454" i="7949" s="1"/>
  <c r="V454" i="7949" s="1"/>
  <c r="W454" i="7949" s="1"/>
  <c r="I480" i="7949"/>
  <c r="J480" i="7949" s="1"/>
  <c r="K480" i="7949" s="1"/>
  <c r="L480" i="7949" s="1"/>
  <c r="M480" i="7949" s="1"/>
  <c r="N480" i="7949" s="1"/>
  <c r="O480" i="7949" s="1"/>
  <c r="P480" i="7949" s="1"/>
  <c r="Q480" i="7949" s="1"/>
  <c r="R480" i="7949" s="1"/>
  <c r="S480" i="7949" s="1"/>
  <c r="T480" i="7949" s="1"/>
  <c r="U480" i="7949" s="1"/>
  <c r="V480" i="7949" s="1"/>
  <c r="W480" i="7949" s="1"/>
  <c r="I456" i="7949"/>
  <c r="C367" i="7949"/>
  <c r="I2640" i="7949"/>
  <c r="J2640" i="7949" s="1"/>
  <c r="K2640" i="7949" s="1"/>
  <c r="L2640" i="7949" s="1"/>
  <c r="M2640" i="7949" s="1"/>
  <c r="N2640" i="7949" s="1"/>
  <c r="O2640" i="7949" s="1"/>
  <c r="P2640" i="7949" s="1"/>
  <c r="Q2640" i="7949" s="1"/>
  <c r="R2640" i="7949" s="1"/>
  <c r="S2640" i="7949" s="1"/>
  <c r="T2640" i="7949" s="1"/>
  <c r="U2640" i="7949" s="1"/>
  <c r="V2640" i="7949" s="1"/>
  <c r="W2640" i="7949" s="1"/>
  <c r="I2616" i="7949"/>
  <c r="F2505" i="7949"/>
  <c r="G2505" i="7949" s="1"/>
  <c r="H2505" i="7949" s="1"/>
  <c r="I2505" i="7949" s="1"/>
  <c r="J2505" i="7949" s="1"/>
  <c r="K2505" i="7949" s="1"/>
  <c r="L2505" i="7949" s="1"/>
  <c r="M2505" i="7949" s="1"/>
  <c r="N2505" i="7949" s="1"/>
  <c r="O2505" i="7949" s="1"/>
  <c r="P2505" i="7949" s="1"/>
  <c r="Q2505" i="7949" s="1"/>
  <c r="R2505" i="7949" s="1"/>
  <c r="S2505" i="7949" s="1"/>
  <c r="T2505" i="7949" s="1"/>
  <c r="U2505" i="7949" s="1"/>
  <c r="V2505" i="7949" s="1"/>
  <c r="W2505" i="7949" s="1"/>
  <c r="H2531" i="7949"/>
  <c r="I2531" i="7949" s="1"/>
  <c r="J2531" i="7949" s="1"/>
  <c r="K2531" i="7949" s="1"/>
  <c r="L2531" i="7949" s="1"/>
  <c r="M2531" i="7949" s="1"/>
  <c r="N2531" i="7949" s="1"/>
  <c r="O2531" i="7949" s="1"/>
  <c r="P2531" i="7949" s="1"/>
  <c r="Q2531" i="7949" s="1"/>
  <c r="R2531" i="7949" s="1"/>
  <c r="S2531" i="7949" s="1"/>
  <c r="T2531" i="7949" s="1"/>
  <c r="U2531" i="7949" s="1"/>
  <c r="V2531" i="7949" s="1"/>
  <c r="W2531" i="7949" s="1"/>
  <c r="H2507" i="7949"/>
  <c r="I2316" i="7949"/>
  <c r="J2316" i="7949" s="1"/>
  <c r="K2316" i="7949" s="1"/>
  <c r="L2316" i="7949" s="1"/>
  <c r="M2316" i="7949" s="1"/>
  <c r="N2316" i="7949" s="1"/>
  <c r="O2316" i="7949" s="1"/>
  <c r="P2316" i="7949" s="1"/>
  <c r="Q2316" i="7949" s="1"/>
  <c r="R2316" i="7949" s="1"/>
  <c r="S2316" i="7949" s="1"/>
  <c r="T2316" i="7949" s="1"/>
  <c r="U2316" i="7949" s="1"/>
  <c r="V2316" i="7949" s="1"/>
  <c r="W2316" i="7949" s="1"/>
  <c r="I2292" i="7949"/>
  <c r="G2290" i="7949"/>
  <c r="H2290" i="7949" s="1"/>
  <c r="I2290" i="7949" s="1"/>
  <c r="J2290" i="7949" s="1"/>
  <c r="K2290" i="7949" s="1"/>
  <c r="L2290" i="7949" s="1"/>
  <c r="M2290" i="7949" s="1"/>
  <c r="N2290" i="7949" s="1"/>
  <c r="O2290" i="7949" s="1"/>
  <c r="P2290" i="7949" s="1"/>
  <c r="Q2290" i="7949" s="1"/>
  <c r="R2290" i="7949" s="1"/>
  <c r="S2290" i="7949" s="1"/>
  <c r="T2290" i="7949" s="1"/>
  <c r="U2290" i="7949" s="1"/>
  <c r="V2290" i="7949" s="1"/>
  <c r="W2290" i="7949" s="1"/>
  <c r="C2311" i="7949"/>
  <c r="E2180" i="7949"/>
  <c r="F2180" i="7949" s="1"/>
  <c r="G2180" i="7949" s="1"/>
  <c r="H2180" i="7949" s="1"/>
  <c r="I2180" i="7949" s="1"/>
  <c r="J2180" i="7949" s="1"/>
  <c r="K2180" i="7949" s="1"/>
  <c r="L2180" i="7949" s="1"/>
  <c r="M2180" i="7949" s="1"/>
  <c r="N2180" i="7949" s="1"/>
  <c r="O2180" i="7949" s="1"/>
  <c r="P2180" i="7949" s="1"/>
  <c r="Q2180" i="7949" s="1"/>
  <c r="R2180" i="7949" s="1"/>
  <c r="S2180" i="7949" s="1"/>
  <c r="T2180" i="7949" s="1"/>
  <c r="U2180" i="7949" s="1"/>
  <c r="V2180" i="7949" s="1"/>
  <c r="W2180" i="7949" s="1"/>
  <c r="H2099" i="7949"/>
  <c r="I2099" i="7949" s="1"/>
  <c r="J2099" i="7949" s="1"/>
  <c r="K2099" i="7949" s="1"/>
  <c r="L2099" i="7949" s="1"/>
  <c r="M2099" i="7949" s="1"/>
  <c r="N2099" i="7949" s="1"/>
  <c r="O2099" i="7949" s="1"/>
  <c r="P2099" i="7949" s="1"/>
  <c r="Q2099" i="7949" s="1"/>
  <c r="R2099" i="7949" s="1"/>
  <c r="S2099" i="7949" s="1"/>
  <c r="T2099" i="7949" s="1"/>
  <c r="U2099" i="7949" s="1"/>
  <c r="V2099" i="7949" s="1"/>
  <c r="W2099" i="7949" s="1"/>
  <c r="H2075" i="7949"/>
  <c r="I1884" i="7949"/>
  <c r="J1884" i="7949" s="1"/>
  <c r="K1884" i="7949" s="1"/>
  <c r="L1884" i="7949" s="1"/>
  <c r="M1884" i="7949" s="1"/>
  <c r="N1884" i="7949" s="1"/>
  <c r="O1884" i="7949" s="1"/>
  <c r="P1884" i="7949" s="1"/>
  <c r="Q1884" i="7949" s="1"/>
  <c r="R1884" i="7949" s="1"/>
  <c r="S1884" i="7949" s="1"/>
  <c r="T1884" i="7949" s="1"/>
  <c r="U1884" i="7949" s="1"/>
  <c r="V1884" i="7949" s="1"/>
  <c r="W1884" i="7949" s="1"/>
  <c r="I1860" i="7949"/>
  <c r="G1858" i="7949"/>
  <c r="H1858" i="7949" s="1"/>
  <c r="I1858" i="7949" s="1"/>
  <c r="J1858" i="7949" s="1"/>
  <c r="K1858" i="7949" s="1"/>
  <c r="L1858" i="7949" s="1"/>
  <c r="M1858" i="7949" s="1"/>
  <c r="N1858" i="7949" s="1"/>
  <c r="O1858" i="7949" s="1"/>
  <c r="P1858" i="7949" s="1"/>
  <c r="Q1858" i="7949" s="1"/>
  <c r="R1858" i="7949" s="1"/>
  <c r="S1858" i="7949" s="1"/>
  <c r="T1858" i="7949" s="1"/>
  <c r="U1858" i="7949" s="1"/>
  <c r="V1858" i="7949" s="1"/>
  <c r="W1858" i="7949" s="1"/>
  <c r="C1879" i="7949"/>
  <c r="E1748" i="7949"/>
  <c r="F1748" i="7949" s="1"/>
  <c r="G1748" i="7949" s="1"/>
  <c r="H1748" i="7949" s="1"/>
  <c r="I1748" i="7949" s="1"/>
  <c r="J1748" i="7949" s="1"/>
  <c r="K1748" i="7949" s="1"/>
  <c r="L1748" i="7949" s="1"/>
  <c r="M1748" i="7949" s="1"/>
  <c r="N1748" i="7949" s="1"/>
  <c r="O1748" i="7949" s="1"/>
  <c r="P1748" i="7949" s="1"/>
  <c r="Q1748" i="7949" s="1"/>
  <c r="R1748" i="7949" s="1"/>
  <c r="S1748" i="7949" s="1"/>
  <c r="T1748" i="7949" s="1"/>
  <c r="U1748" i="7949" s="1"/>
  <c r="V1748" i="7949" s="1"/>
  <c r="W1748" i="7949" s="1"/>
  <c r="H1667" i="7949"/>
  <c r="I1667" i="7949" s="1"/>
  <c r="J1667" i="7949" s="1"/>
  <c r="K1667" i="7949" s="1"/>
  <c r="L1667" i="7949" s="1"/>
  <c r="M1667" i="7949" s="1"/>
  <c r="N1667" i="7949" s="1"/>
  <c r="O1667" i="7949" s="1"/>
  <c r="P1667" i="7949" s="1"/>
  <c r="Q1667" i="7949" s="1"/>
  <c r="R1667" i="7949" s="1"/>
  <c r="S1667" i="7949" s="1"/>
  <c r="T1667" i="7949" s="1"/>
  <c r="U1667" i="7949" s="1"/>
  <c r="V1667" i="7949" s="1"/>
  <c r="W1667" i="7949" s="1"/>
  <c r="H1643" i="7949"/>
  <c r="I1452" i="7949"/>
  <c r="J1452" i="7949" s="1"/>
  <c r="K1452" i="7949" s="1"/>
  <c r="L1452" i="7949" s="1"/>
  <c r="M1452" i="7949" s="1"/>
  <c r="N1452" i="7949" s="1"/>
  <c r="O1452" i="7949" s="1"/>
  <c r="P1452" i="7949" s="1"/>
  <c r="Q1452" i="7949" s="1"/>
  <c r="R1452" i="7949" s="1"/>
  <c r="S1452" i="7949" s="1"/>
  <c r="T1452" i="7949" s="1"/>
  <c r="U1452" i="7949" s="1"/>
  <c r="V1452" i="7949" s="1"/>
  <c r="W1452" i="7949" s="1"/>
  <c r="I1428" i="7949"/>
  <c r="G1426" i="7949"/>
  <c r="H1426" i="7949" s="1"/>
  <c r="I1426" i="7949" s="1"/>
  <c r="J1426" i="7949" s="1"/>
  <c r="K1426" i="7949" s="1"/>
  <c r="L1426" i="7949" s="1"/>
  <c r="M1426" i="7949" s="1"/>
  <c r="N1426" i="7949" s="1"/>
  <c r="O1426" i="7949" s="1"/>
  <c r="P1426" i="7949" s="1"/>
  <c r="Q1426" i="7949" s="1"/>
  <c r="R1426" i="7949" s="1"/>
  <c r="S1426" i="7949" s="1"/>
  <c r="T1426" i="7949" s="1"/>
  <c r="U1426" i="7949" s="1"/>
  <c r="V1426" i="7949" s="1"/>
  <c r="W1426" i="7949" s="1"/>
  <c r="C1447" i="7949"/>
  <c r="E1316" i="7949"/>
  <c r="F1316" i="7949" s="1"/>
  <c r="G1316" i="7949" s="1"/>
  <c r="H1316" i="7949" s="1"/>
  <c r="I1316" i="7949" s="1"/>
  <c r="J1316" i="7949" s="1"/>
  <c r="K1316" i="7949" s="1"/>
  <c r="L1316" i="7949" s="1"/>
  <c r="M1316" i="7949" s="1"/>
  <c r="N1316" i="7949" s="1"/>
  <c r="O1316" i="7949" s="1"/>
  <c r="P1316" i="7949" s="1"/>
  <c r="Q1316" i="7949" s="1"/>
  <c r="R1316" i="7949" s="1"/>
  <c r="S1316" i="7949" s="1"/>
  <c r="T1316" i="7949" s="1"/>
  <c r="U1316" i="7949" s="1"/>
  <c r="V1316" i="7949" s="1"/>
  <c r="W1316" i="7949" s="1"/>
  <c r="F1209" i="7949"/>
  <c r="G1209" i="7949" s="1"/>
  <c r="H1209" i="7949" s="1"/>
  <c r="I1209" i="7949" s="1"/>
  <c r="J1209" i="7949" s="1"/>
  <c r="K1209" i="7949" s="1"/>
  <c r="L1209" i="7949" s="1"/>
  <c r="M1209" i="7949" s="1"/>
  <c r="N1209" i="7949" s="1"/>
  <c r="O1209" i="7949" s="1"/>
  <c r="P1209" i="7949" s="1"/>
  <c r="Q1209" i="7949" s="1"/>
  <c r="R1209" i="7949" s="1"/>
  <c r="S1209" i="7949" s="1"/>
  <c r="T1209" i="7949" s="1"/>
  <c r="U1209" i="7949" s="1"/>
  <c r="V1209" i="7949" s="1"/>
  <c r="W1209" i="7949" s="1"/>
  <c r="H1235" i="7949"/>
  <c r="I1235" i="7949" s="1"/>
  <c r="J1235" i="7949" s="1"/>
  <c r="K1235" i="7949" s="1"/>
  <c r="L1235" i="7949" s="1"/>
  <c r="M1235" i="7949" s="1"/>
  <c r="N1235" i="7949" s="1"/>
  <c r="O1235" i="7949" s="1"/>
  <c r="P1235" i="7949" s="1"/>
  <c r="Q1235" i="7949" s="1"/>
  <c r="R1235" i="7949" s="1"/>
  <c r="S1235" i="7949" s="1"/>
  <c r="T1235" i="7949" s="1"/>
  <c r="U1235" i="7949" s="1"/>
  <c r="V1235" i="7949" s="1"/>
  <c r="W1235" i="7949" s="1"/>
  <c r="H1211" i="7949"/>
  <c r="I1020" i="7949"/>
  <c r="J1020" i="7949" s="1"/>
  <c r="K1020" i="7949" s="1"/>
  <c r="L1020" i="7949" s="1"/>
  <c r="M1020" i="7949" s="1"/>
  <c r="N1020" i="7949" s="1"/>
  <c r="O1020" i="7949" s="1"/>
  <c r="P1020" i="7949" s="1"/>
  <c r="Q1020" i="7949" s="1"/>
  <c r="R1020" i="7949" s="1"/>
  <c r="S1020" i="7949" s="1"/>
  <c r="T1020" i="7949" s="1"/>
  <c r="U1020" i="7949" s="1"/>
  <c r="V1020" i="7949" s="1"/>
  <c r="W1020" i="7949" s="1"/>
  <c r="I996" i="7949"/>
  <c r="G994" i="7949"/>
  <c r="H994" i="7949" s="1"/>
  <c r="I994" i="7949" s="1"/>
  <c r="J994" i="7949" s="1"/>
  <c r="K994" i="7949" s="1"/>
  <c r="L994" i="7949" s="1"/>
  <c r="M994" i="7949" s="1"/>
  <c r="N994" i="7949" s="1"/>
  <c r="O994" i="7949" s="1"/>
  <c r="P994" i="7949" s="1"/>
  <c r="Q994" i="7949" s="1"/>
  <c r="R994" i="7949" s="1"/>
  <c r="S994" i="7949" s="1"/>
  <c r="T994" i="7949" s="1"/>
  <c r="U994" i="7949" s="1"/>
  <c r="V994" i="7949" s="1"/>
  <c r="W994" i="7949" s="1"/>
  <c r="C1015" i="7949"/>
  <c r="E884" i="7949"/>
  <c r="F884" i="7949" s="1"/>
  <c r="G884" i="7949" s="1"/>
  <c r="H884" i="7949" s="1"/>
  <c r="I884" i="7949" s="1"/>
  <c r="J884" i="7949" s="1"/>
  <c r="K884" i="7949" s="1"/>
  <c r="L884" i="7949" s="1"/>
  <c r="M884" i="7949" s="1"/>
  <c r="N884" i="7949" s="1"/>
  <c r="O884" i="7949" s="1"/>
  <c r="P884" i="7949" s="1"/>
  <c r="Q884" i="7949" s="1"/>
  <c r="R884" i="7949" s="1"/>
  <c r="S884" i="7949" s="1"/>
  <c r="T884" i="7949" s="1"/>
  <c r="U884" i="7949" s="1"/>
  <c r="V884" i="7949" s="1"/>
  <c r="W884" i="7949" s="1"/>
  <c r="H803" i="7949"/>
  <c r="I803" i="7949" s="1"/>
  <c r="J803" i="7949" s="1"/>
  <c r="K803" i="7949" s="1"/>
  <c r="L803" i="7949" s="1"/>
  <c r="M803" i="7949" s="1"/>
  <c r="N803" i="7949" s="1"/>
  <c r="O803" i="7949" s="1"/>
  <c r="P803" i="7949" s="1"/>
  <c r="Q803" i="7949" s="1"/>
  <c r="R803" i="7949" s="1"/>
  <c r="S803" i="7949" s="1"/>
  <c r="T803" i="7949" s="1"/>
  <c r="U803" i="7949" s="1"/>
  <c r="V803" i="7949" s="1"/>
  <c r="W803" i="7949" s="1"/>
  <c r="H779" i="7949"/>
  <c r="H533" i="7949"/>
  <c r="I533" i="7949" s="1"/>
  <c r="J533" i="7949" s="1"/>
  <c r="K533" i="7949" s="1"/>
  <c r="L533" i="7949" s="1"/>
  <c r="M533" i="7949" s="1"/>
  <c r="N533" i="7949" s="1"/>
  <c r="O533" i="7949" s="1"/>
  <c r="P533" i="7949" s="1"/>
  <c r="Q533" i="7949" s="1"/>
  <c r="R533" i="7949" s="1"/>
  <c r="S533" i="7949" s="1"/>
  <c r="T533" i="7949" s="1"/>
  <c r="U533" i="7949" s="1"/>
  <c r="V533" i="7949" s="1"/>
  <c r="W533" i="7949" s="1"/>
  <c r="H509" i="7949"/>
  <c r="C421" i="7949"/>
  <c r="I426" i="7949"/>
  <c r="J426" i="7949" s="1"/>
  <c r="K426" i="7949" s="1"/>
  <c r="L426" i="7949" s="1"/>
  <c r="M426" i="7949" s="1"/>
  <c r="N426" i="7949" s="1"/>
  <c r="O426" i="7949" s="1"/>
  <c r="P426" i="7949" s="1"/>
  <c r="Q426" i="7949" s="1"/>
  <c r="R426" i="7949" s="1"/>
  <c r="S426" i="7949" s="1"/>
  <c r="T426" i="7949" s="1"/>
  <c r="U426" i="7949" s="1"/>
  <c r="V426" i="7949" s="1"/>
  <c r="W426" i="7949" s="1"/>
  <c r="I402" i="7949"/>
  <c r="I41" i="7950"/>
  <c r="J41" i="7950" s="1"/>
  <c r="K41" i="7950" s="1"/>
  <c r="L41" i="7950" s="1"/>
  <c r="M41" i="7950" s="1"/>
  <c r="N41" i="7950" s="1"/>
  <c r="O41" i="7950" s="1"/>
  <c r="P41" i="7950" s="1"/>
  <c r="Q41" i="7950" s="1"/>
  <c r="R41" i="7950" s="1"/>
  <c r="S41" i="7950" s="1"/>
  <c r="T41" i="7950" s="1"/>
  <c r="U41" i="7950" s="1"/>
  <c r="V41" i="7950" s="1"/>
  <c r="W41" i="7950" s="1"/>
  <c r="J205" i="7950"/>
  <c r="K205" i="7950" s="1"/>
  <c r="H309" i="7950"/>
  <c r="J419" i="7950"/>
  <c r="I852" i="7950"/>
  <c r="J852" i="7950" s="1"/>
  <c r="I828" i="7950"/>
  <c r="D1172" i="7950"/>
  <c r="J1283" i="7950"/>
  <c r="J1555" i="7950"/>
  <c r="K1555" i="7950" s="1"/>
  <c r="J1531" i="7950"/>
  <c r="H1659" i="7950"/>
  <c r="I1768" i="7950"/>
  <c r="J1987" i="7950"/>
  <c r="K1987" i="7950" s="1"/>
  <c r="J1963" i="7950"/>
  <c r="H2091" i="7950"/>
  <c r="I2200" i="7950"/>
  <c r="J2419" i="7950"/>
  <c r="K2419" i="7950" s="1"/>
  <c r="J2395" i="7950"/>
  <c r="H2523" i="7950"/>
  <c r="I2632" i="7950"/>
  <c r="K150" i="7950"/>
  <c r="G255" i="7950"/>
  <c r="H363" i="7950"/>
  <c r="I580" i="7950"/>
  <c r="J691" i="7950"/>
  <c r="K691" i="7950" s="1"/>
  <c r="J667" i="7950"/>
  <c r="H795" i="7950"/>
  <c r="I1012" i="7950"/>
  <c r="J1123" i="7950"/>
  <c r="K1123" i="7950" s="1"/>
  <c r="J1099" i="7950"/>
  <c r="H1227" i="7950"/>
  <c r="J1499" i="7950"/>
  <c r="I1608" i="7950"/>
  <c r="J1608" i="7950" s="1"/>
  <c r="I1584" i="7950"/>
  <c r="D1928" i="7950"/>
  <c r="E1928" i="7950" s="1"/>
  <c r="J2147" i="7950"/>
  <c r="I2472" i="7950"/>
  <c r="J2472" i="7950" s="1"/>
  <c r="I2448" i="7950"/>
  <c r="J95" i="7950"/>
  <c r="I418" i="7950"/>
  <c r="J529" i="7950"/>
  <c r="K529" i="7950" s="1"/>
  <c r="J505" i="7950"/>
  <c r="H633" i="7950"/>
  <c r="I850" i="7950"/>
  <c r="J961" i="7950"/>
  <c r="K961" i="7950" s="1"/>
  <c r="J937" i="7950"/>
  <c r="H1065" i="7950"/>
  <c r="I1282" i="7950"/>
  <c r="I1444" i="7950"/>
  <c r="D1766" i="7950"/>
  <c r="J1985" i="7950"/>
  <c r="I2310" i="7950"/>
  <c r="J2310" i="7950" s="1"/>
  <c r="I2286" i="7950"/>
  <c r="D2630" i="7950"/>
  <c r="I474" i="7950"/>
  <c r="J474" i="7950" s="1"/>
  <c r="I450" i="7950"/>
  <c r="I2694" i="7949"/>
  <c r="J2694" i="7949" s="1"/>
  <c r="K2694" i="7949" s="1"/>
  <c r="L2694" i="7949" s="1"/>
  <c r="M2694" i="7949" s="1"/>
  <c r="N2694" i="7949" s="1"/>
  <c r="O2694" i="7949" s="1"/>
  <c r="P2694" i="7949" s="1"/>
  <c r="Q2694" i="7949" s="1"/>
  <c r="R2694" i="7949" s="1"/>
  <c r="S2694" i="7949" s="1"/>
  <c r="T2694" i="7949" s="1"/>
  <c r="U2694" i="7949" s="1"/>
  <c r="V2694" i="7949" s="1"/>
  <c r="W2694" i="7949" s="1"/>
  <c r="I2670" i="7949"/>
  <c r="I2154" i="7949"/>
  <c r="J2154" i="7949" s="1"/>
  <c r="K2154" i="7949" s="1"/>
  <c r="L2154" i="7949" s="1"/>
  <c r="M2154" i="7949" s="1"/>
  <c r="N2154" i="7949" s="1"/>
  <c r="O2154" i="7949" s="1"/>
  <c r="P2154" i="7949" s="1"/>
  <c r="Q2154" i="7949" s="1"/>
  <c r="R2154" i="7949" s="1"/>
  <c r="S2154" i="7949" s="1"/>
  <c r="T2154" i="7949" s="1"/>
  <c r="U2154" i="7949" s="1"/>
  <c r="V2154" i="7949" s="1"/>
  <c r="W2154" i="7949" s="1"/>
  <c r="I2130" i="7949"/>
  <c r="I1722" i="7949"/>
  <c r="J1722" i="7949" s="1"/>
  <c r="K1722" i="7949" s="1"/>
  <c r="L1722" i="7949" s="1"/>
  <c r="M1722" i="7949" s="1"/>
  <c r="N1722" i="7949" s="1"/>
  <c r="O1722" i="7949" s="1"/>
  <c r="P1722" i="7949" s="1"/>
  <c r="Q1722" i="7949" s="1"/>
  <c r="R1722" i="7949" s="1"/>
  <c r="S1722" i="7949" s="1"/>
  <c r="T1722" i="7949" s="1"/>
  <c r="U1722" i="7949" s="1"/>
  <c r="V1722" i="7949" s="1"/>
  <c r="W1722" i="7949" s="1"/>
  <c r="I1698" i="7949"/>
  <c r="C1717" i="7949"/>
  <c r="H1505" i="7949"/>
  <c r="I1505" i="7949" s="1"/>
  <c r="J1505" i="7949" s="1"/>
  <c r="K1505" i="7949" s="1"/>
  <c r="L1505" i="7949" s="1"/>
  <c r="M1505" i="7949" s="1"/>
  <c r="N1505" i="7949" s="1"/>
  <c r="O1505" i="7949" s="1"/>
  <c r="P1505" i="7949" s="1"/>
  <c r="Q1505" i="7949" s="1"/>
  <c r="R1505" i="7949" s="1"/>
  <c r="S1505" i="7949" s="1"/>
  <c r="T1505" i="7949" s="1"/>
  <c r="U1505" i="7949" s="1"/>
  <c r="V1505" i="7949" s="1"/>
  <c r="W1505" i="7949" s="1"/>
  <c r="H1481" i="7949"/>
  <c r="I1290" i="7949"/>
  <c r="J1290" i="7949" s="1"/>
  <c r="K1290" i="7949" s="1"/>
  <c r="L1290" i="7949" s="1"/>
  <c r="M1290" i="7949" s="1"/>
  <c r="N1290" i="7949" s="1"/>
  <c r="O1290" i="7949" s="1"/>
  <c r="P1290" i="7949" s="1"/>
  <c r="Q1290" i="7949" s="1"/>
  <c r="R1290" i="7949" s="1"/>
  <c r="S1290" i="7949" s="1"/>
  <c r="T1290" i="7949" s="1"/>
  <c r="U1290" i="7949" s="1"/>
  <c r="V1290" i="7949" s="1"/>
  <c r="W1290" i="7949" s="1"/>
  <c r="I1266" i="7949"/>
  <c r="C1285" i="7949"/>
  <c r="G1156" i="7949"/>
  <c r="H1156" i="7949" s="1"/>
  <c r="I1156" i="7949" s="1"/>
  <c r="J1156" i="7949" s="1"/>
  <c r="K1156" i="7949" s="1"/>
  <c r="L1156" i="7949" s="1"/>
  <c r="M1156" i="7949" s="1"/>
  <c r="N1156" i="7949" s="1"/>
  <c r="O1156" i="7949" s="1"/>
  <c r="P1156" i="7949" s="1"/>
  <c r="Q1156" i="7949" s="1"/>
  <c r="R1156" i="7949" s="1"/>
  <c r="S1156" i="7949" s="1"/>
  <c r="T1156" i="7949" s="1"/>
  <c r="U1156" i="7949" s="1"/>
  <c r="V1156" i="7949" s="1"/>
  <c r="W1156" i="7949" s="1"/>
  <c r="C1177" i="7949"/>
  <c r="H1073" i="7949"/>
  <c r="I1073" i="7949" s="1"/>
  <c r="J1073" i="7949" s="1"/>
  <c r="K1073" i="7949" s="1"/>
  <c r="L1073" i="7949" s="1"/>
  <c r="M1073" i="7949" s="1"/>
  <c r="N1073" i="7949" s="1"/>
  <c r="O1073" i="7949" s="1"/>
  <c r="P1073" i="7949" s="1"/>
  <c r="Q1073" i="7949" s="1"/>
  <c r="R1073" i="7949" s="1"/>
  <c r="S1073" i="7949" s="1"/>
  <c r="T1073" i="7949" s="1"/>
  <c r="U1073" i="7949" s="1"/>
  <c r="V1073" i="7949" s="1"/>
  <c r="W1073" i="7949" s="1"/>
  <c r="H1049" i="7949"/>
  <c r="I858" i="7949"/>
  <c r="J858" i="7949" s="1"/>
  <c r="K858" i="7949" s="1"/>
  <c r="L858" i="7949" s="1"/>
  <c r="M858" i="7949" s="1"/>
  <c r="N858" i="7949" s="1"/>
  <c r="O858" i="7949" s="1"/>
  <c r="P858" i="7949" s="1"/>
  <c r="Q858" i="7949" s="1"/>
  <c r="R858" i="7949" s="1"/>
  <c r="S858" i="7949" s="1"/>
  <c r="T858" i="7949" s="1"/>
  <c r="U858" i="7949" s="1"/>
  <c r="V858" i="7949" s="1"/>
  <c r="W858" i="7949" s="1"/>
  <c r="I834" i="7949"/>
  <c r="C853" i="7949"/>
  <c r="C745" i="7949"/>
  <c r="F723" i="7949"/>
  <c r="G723" i="7949" s="1"/>
  <c r="H723" i="7949" s="1"/>
  <c r="I723" i="7949" s="1"/>
  <c r="J723" i="7949" s="1"/>
  <c r="K723" i="7949" s="1"/>
  <c r="L723" i="7949" s="1"/>
  <c r="M723" i="7949" s="1"/>
  <c r="N723" i="7949" s="1"/>
  <c r="O723" i="7949" s="1"/>
  <c r="P723" i="7949" s="1"/>
  <c r="Q723" i="7949" s="1"/>
  <c r="R723" i="7949" s="1"/>
  <c r="S723" i="7949" s="1"/>
  <c r="T723" i="7949" s="1"/>
  <c r="U723" i="7949" s="1"/>
  <c r="V723" i="7949" s="1"/>
  <c r="W723" i="7949" s="1"/>
  <c r="H695" i="7949"/>
  <c r="I695" i="7949" s="1"/>
  <c r="J695" i="7949" s="1"/>
  <c r="K695" i="7949" s="1"/>
  <c r="L695" i="7949" s="1"/>
  <c r="M695" i="7949" s="1"/>
  <c r="N695" i="7949" s="1"/>
  <c r="O695" i="7949" s="1"/>
  <c r="P695" i="7949" s="1"/>
  <c r="Q695" i="7949" s="1"/>
  <c r="R695" i="7949" s="1"/>
  <c r="S695" i="7949" s="1"/>
  <c r="T695" i="7949" s="1"/>
  <c r="U695" i="7949" s="1"/>
  <c r="V695" i="7949" s="1"/>
  <c r="W695" i="7949" s="1"/>
  <c r="H671" i="7949"/>
  <c r="C583" i="7949"/>
  <c r="F453" i="7949"/>
  <c r="G453" i="7949" s="1"/>
  <c r="H453" i="7949" s="1"/>
  <c r="I453" i="7949" s="1"/>
  <c r="J453" i="7949" s="1"/>
  <c r="K453" i="7949" s="1"/>
  <c r="L453" i="7949" s="1"/>
  <c r="M453" i="7949" s="1"/>
  <c r="N453" i="7949" s="1"/>
  <c r="O453" i="7949" s="1"/>
  <c r="P453" i="7949" s="1"/>
  <c r="Q453" i="7949" s="1"/>
  <c r="R453" i="7949" s="1"/>
  <c r="S453" i="7949" s="1"/>
  <c r="T453" i="7949" s="1"/>
  <c r="U453" i="7949" s="1"/>
  <c r="V453" i="7949" s="1"/>
  <c r="W453" i="7949" s="1"/>
  <c r="I372" i="7949"/>
  <c r="J372" i="7949" s="1"/>
  <c r="K372" i="7949" s="1"/>
  <c r="L372" i="7949" s="1"/>
  <c r="M372" i="7949" s="1"/>
  <c r="N372" i="7949" s="1"/>
  <c r="O372" i="7949" s="1"/>
  <c r="P372" i="7949" s="1"/>
  <c r="Q372" i="7949" s="1"/>
  <c r="R372" i="7949" s="1"/>
  <c r="S372" i="7949" s="1"/>
  <c r="T372" i="7949" s="1"/>
  <c r="U372" i="7949" s="1"/>
  <c r="V372" i="7949" s="1"/>
  <c r="W372" i="7949" s="1"/>
  <c r="H47" i="7949"/>
  <c r="I47" i="7949" s="1"/>
  <c r="J47" i="7949" s="1"/>
  <c r="K47" i="7949" s="1"/>
  <c r="L47" i="7949" s="1"/>
  <c r="M47" i="7949" s="1"/>
  <c r="N47" i="7949" s="1"/>
  <c r="O47" i="7949" s="1"/>
  <c r="P47" i="7949" s="1"/>
  <c r="Q47" i="7949" s="1"/>
  <c r="R47" i="7949" s="1"/>
  <c r="S47" i="7949" s="1"/>
  <c r="T47" i="7949" s="1"/>
  <c r="U47" i="7949" s="1"/>
  <c r="V47" i="7949" s="1"/>
  <c r="W47" i="7949" s="1"/>
  <c r="H2639" i="7949"/>
  <c r="I2639" i="7949" s="1"/>
  <c r="J2639" i="7949" s="1"/>
  <c r="K2639" i="7949" s="1"/>
  <c r="L2639" i="7949" s="1"/>
  <c r="M2639" i="7949" s="1"/>
  <c r="N2639" i="7949" s="1"/>
  <c r="O2639" i="7949" s="1"/>
  <c r="P2639" i="7949" s="1"/>
  <c r="Q2639" i="7949" s="1"/>
  <c r="R2639" i="7949" s="1"/>
  <c r="S2639" i="7949" s="1"/>
  <c r="T2639" i="7949" s="1"/>
  <c r="U2639" i="7949" s="1"/>
  <c r="V2639" i="7949" s="1"/>
  <c r="W2639" i="7949" s="1"/>
  <c r="H2615" i="7949"/>
  <c r="E2504" i="7949"/>
  <c r="F2504" i="7949" s="1"/>
  <c r="G2504" i="7949" s="1"/>
  <c r="H2504" i="7949" s="1"/>
  <c r="I2504" i="7949" s="1"/>
  <c r="J2504" i="7949" s="1"/>
  <c r="K2504" i="7949" s="1"/>
  <c r="L2504" i="7949" s="1"/>
  <c r="M2504" i="7949" s="1"/>
  <c r="N2504" i="7949" s="1"/>
  <c r="O2504" i="7949" s="1"/>
  <c r="P2504" i="7949" s="1"/>
  <c r="Q2504" i="7949" s="1"/>
  <c r="R2504" i="7949" s="1"/>
  <c r="S2504" i="7949" s="1"/>
  <c r="T2504" i="7949" s="1"/>
  <c r="U2504" i="7949" s="1"/>
  <c r="V2504" i="7949" s="1"/>
  <c r="W2504" i="7949" s="1"/>
  <c r="H2423" i="7949"/>
  <c r="I2423" i="7949" s="1"/>
  <c r="J2423" i="7949" s="1"/>
  <c r="K2423" i="7949" s="1"/>
  <c r="L2423" i="7949" s="1"/>
  <c r="M2423" i="7949" s="1"/>
  <c r="N2423" i="7949" s="1"/>
  <c r="O2423" i="7949" s="1"/>
  <c r="P2423" i="7949" s="1"/>
  <c r="Q2423" i="7949" s="1"/>
  <c r="R2423" i="7949" s="1"/>
  <c r="S2423" i="7949" s="1"/>
  <c r="T2423" i="7949" s="1"/>
  <c r="U2423" i="7949" s="1"/>
  <c r="V2423" i="7949" s="1"/>
  <c r="W2423" i="7949" s="1"/>
  <c r="H2399" i="7949"/>
  <c r="I2208" i="7949"/>
  <c r="J2208" i="7949" s="1"/>
  <c r="K2208" i="7949" s="1"/>
  <c r="L2208" i="7949" s="1"/>
  <c r="M2208" i="7949" s="1"/>
  <c r="N2208" i="7949" s="1"/>
  <c r="O2208" i="7949" s="1"/>
  <c r="P2208" i="7949" s="1"/>
  <c r="Q2208" i="7949" s="1"/>
  <c r="R2208" i="7949" s="1"/>
  <c r="S2208" i="7949" s="1"/>
  <c r="T2208" i="7949" s="1"/>
  <c r="U2208" i="7949" s="1"/>
  <c r="V2208" i="7949" s="1"/>
  <c r="W2208" i="7949" s="1"/>
  <c r="I2184" i="7949"/>
  <c r="C2203" i="7949"/>
  <c r="H1991" i="7949"/>
  <c r="I1991" i="7949" s="1"/>
  <c r="J1991" i="7949" s="1"/>
  <c r="K1991" i="7949" s="1"/>
  <c r="L1991" i="7949" s="1"/>
  <c r="M1991" i="7949" s="1"/>
  <c r="N1991" i="7949" s="1"/>
  <c r="O1991" i="7949" s="1"/>
  <c r="P1991" i="7949" s="1"/>
  <c r="Q1991" i="7949" s="1"/>
  <c r="R1991" i="7949" s="1"/>
  <c r="S1991" i="7949" s="1"/>
  <c r="T1991" i="7949" s="1"/>
  <c r="U1991" i="7949" s="1"/>
  <c r="V1991" i="7949" s="1"/>
  <c r="W1991" i="7949" s="1"/>
  <c r="H1967" i="7949"/>
  <c r="I1776" i="7949"/>
  <c r="J1776" i="7949" s="1"/>
  <c r="K1776" i="7949" s="1"/>
  <c r="L1776" i="7949" s="1"/>
  <c r="M1776" i="7949" s="1"/>
  <c r="N1776" i="7949" s="1"/>
  <c r="O1776" i="7949" s="1"/>
  <c r="P1776" i="7949" s="1"/>
  <c r="Q1776" i="7949" s="1"/>
  <c r="R1776" i="7949" s="1"/>
  <c r="S1776" i="7949" s="1"/>
  <c r="T1776" i="7949" s="1"/>
  <c r="U1776" i="7949" s="1"/>
  <c r="V1776" i="7949" s="1"/>
  <c r="W1776" i="7949" s="1"/>
  <c r="I1752" i="7949"/>
  <c r="C1771" i="7949"/>
  <c r="H1559" i="7949"/>
  <c r="I1559" i="7949" s="1"/>
  <c r="J1559" i="7949" s="1"/>
  <c r="K1559" i="7949" s="1"/>
  <c r="L1559" i="7949" s="1"/>
  <c r="M1559" i="7949" s="1"/>
  <c r="N1559" i="7949" s="1"/>
  <c r="O1559" i="7949" s="1"/>
  <c r="P1559" i="7949" s="1"/>
  <c r="Q1559" i="7949" s="1"/>
  <c r="R1559" i="7949" s="1"/>
  <c r="S1559" i="7949" s="1"/>
  <c r="T1559" i="7949" s="1"/>
  <c r="U1559" i="7949" s="1"/>
  <c r="V1559" i="7949" s="1"/>
  <c r="W1559" i="7949" s="1"/>
  <c r="H1535" i="7949"/>
  <c r="I1344" i="7949"/>
  <c r="J1344" i="7949" s="1"/>
  <c r="K1344" i="7949" s="1"/>
  <c r="L1344" i="7949" s="1"/>
  <c r="M1344" i="7949" s="1"/>
  <c r="N1344" i="7949" s="1"/>
  <c r="O1344" i="7949" s="1"/>
  <c r="P1344" i="7949" s="1"/>
  <c r="Q1344" i="7949" s="1"/>
  <c r="R1344" i="7949" s="1"/>
  <c r="S1344" i="7949" s="1"/>
  <c r="T1344" i="7949" s="1"/>
  <c r="U1344" i="7949" s="1"/>
  <c r="V1344" i="7949" s="1"/>
  <c r="W1344" i="7949" s="1"/>
  <c r="I1320" i="7949"/>
  <c r="C1339" i="7949"/>
  <c r="E1208" i="7949"/>
  <c r="F1208" i="7949" s="1"/>
  <c r="G1208" i="7949" s="1"/>
  <c r="H1208" i="7949" s="1"/>
  <c r="I1208" i="7949" s="1"/>
  <c r="J1208" i="7949" s="1"/>
  <c r="K1208" i="7949" s="1"/>
  <c r="L1208" i="7949" s="1"/>
  <c r="M1208" i="7949" s="1"/>
  <c r="N1208" i="7949" s="1"/>
  <c r="O1208" i="7949" s="1"/>
  <c r="P1208" i="7949" s="1"/>
  <c r="Q1208" i="7949" s="1"/>
  <c r="R1208" i="7949" s="1"/>
  <c r="S1208" i="7949" s="1"/>
  <c r="T1208" i="7949" s="1"/>
  <c r="U1208" i="7949" s="1"/>
  <c r="V1208" i="7949" s="1"/>
  <c r="W1208" i="7949" s="1"/>
  <c r="H1127" i="7949"/>
  <c r="I1127" i="7949" s="1"/>
  <c r="J1127" i="7949" s="1"/>
  <c r="K1127" i="7949" s="1"/>
  <c r="L1127" i="7949" s="1"/>
  <c r="M1127" i="7949" s="1"/>
  <c r="N1127" i="7949" s="1"/>
  <c r="O1127" i="7949" s="1"/>
  <c r="P1127" i="7949" s="1"/>
  <c r="Q1127" i="7949" s="1"/>
  <c r="R1127" i="7949" s="1"/>
  <c r="S1127" i="7949" s="1"/>
  <c r="T1127" i="7949" s="1"/>
  <c r="U1127" i="7949" s="1"/>
  <c r="V1127" i="7949" s="1"/>
  <c r="W1127" i="7949" s="1"/>
  <c r="H1103" i="7949"/>
  <c r="I912" i="7949"/>
  <c r="J912" i="7949" s="1"/>
  <c r="K912" i="7949" s="1"/>
  <c r="L912" i="7949" s="1"/>
  <c r="M912" i="7949" s="1"/>
  <c r="N912" i="7949" s="1"/>
  <c r="O912" i="7949" s="1"/>
  <c r="P912" i="7949" s="1"/>
  <c r="Q912" i="7949" s="1"/>
  <c r="R912" i="7949" s="1"/>
  <c r="S912" i="7949" s="1"/>
  <c r="T912" i="7949" s="1"/>
  <c r="U912" i="7949" s="1"/>
  <c r="V912" i="7949" s="1"/>
  <c r="W912" i="7949" s="1"/>
  <c r="I888" i="7949"/>
  <c r="G886" i="7949"/>
  <c r="H886" i="7949" s="1"/>
  <c r="I886" i="7949" s="1"/>
  <c r="J886" i="7949" s="1"/>
  <c r="K886" i="7949" s="1"/>
  <c r="L886" i="7949" s="1"/>
  <c r="M886" i="7949" s="1"/>
  <c r="N886" i="7949" s="1"/>
  <c r="O886" i="7949" s="1"/>
  <c r="P886" i="7949" s="1"/>
  <c r="Q886" i="7949" s="1"/>
  <c r="R886" i="7949" s="1"/>
  <c r="S886" i="7949" s="1"/>
  <c r="T886" i="7949" s="1"/>
  <c r="U886" i="7949" s="1"/>
  <c r="V886" i="7949" s="1"/>
  <c r="W886" i="7949" s="1"/>
  <c r="C907" i="7949"/>
  <c r="E776" i="7949"/>
  <c r="F776" i="7949" s="1"/>
  <c r="G776" i="7949" s="1"/>
  <c r="H776" i="7949" s="1"/>
  <c r="I776" i="7949" s="1"/>
  <c r="J776" i="7949" s="1"/>
  <c r="K776" i="7949" s="1"/>
  <c r="L776" i="7949" s="1"/>
  <c r="M776" i="7949" s="1"/>
  <c r="N776" i="7949" s="1"/>
  <c r="O776" i="7949" s="1"/>
  <c r="P776" i="7949" s="1"/>
  <c r="Q776" i="7949" s="1"/>
  <c r="R776" i="7949" s="1"/>
  <c r="S776" i="7949" s="1"/>
  <c r="T776" i="7949" s="1"/>
  <c r="U776" i="7949" s="1"/>
  <c r="V776" i="7949" s="1"/>
  <c r="W776" i="7949" s="1"/>
  <c r="H425" i="7949"/>
  <c r="I425" i="7949" s="1"/>
  <c r="J425" i="7949" s="1"/>
  <c r="K425" i="7949" s="1"/>
  <c r="L425" i="7949" s="1"/>
  <c r="M425" i="7949" s="1"/>
  <c r="N425" i="7949" s="1"/>
  <c r="O425" i="7949" s="1"/>
  <c r="P425" i="7949" s="1"/>
  <c r="Q425" i="7949" s="1"/>
  <c r="R425" i="7949" s="1"/>
  <c r="S425" i="7949" s="1"/>
  <c r="T425" i="7949" s="1"/>
  <c r="U425" i="7949" s="1"/>
  <c r="V425" i="7949" s="1"/>
  <c r="W425" i="7949" s="1"/>
  <c r="H401" i="7949"/>
  <c r="I318" i="7949"/>
  <c r="J318" i="7949" s="1"/>
  <c r="K318" i="7949" s="1"/>
  <c r="L318" i="7949" s="1"/>
  <c r="M318" i="7949" s="1"/>
  <c r="N318" i="7949" s="1"/>
  <c r="O318" i="7949" s="1"/>
  <c r="P318" i="7949" s="1"/>
  <c r="Q318" i="7949" s="1"/>
  <c r="R318" i="7949" s="1"/>
  <c r="S318" i="7949" s="1"/>
  <c r="T318" i="7949" s="1"/>
  <c r="U318" i="7949" s="1"/>
  <c r="V318" i="7949" s="1"/>
  <c r="W318" i="7949" s="1"/>
  <c r="K97" i="7949"/>
  <c r="D524" i="7950"/>
  <c r="J635" i="7950"/>
  <c r="I1068" i="7950"/>
  <c r="J1068" i="7950" s="1"/>
  <c r="I1044" i="7950"/>
  <c r="H147" i="7950"/>
  <c r="I1824" i="7950"/>
  <c r="J1824" i="7950" s="1"/>
  <c r="I1800" i="7950"/>
  <c r="D2144" i="7950"/>
  <c r="J2363" i="7950"/>
  <c r="I2686" i="7950"/>
  <c r="I1662" i="7950"/>
  <c r="J1662" i="7950" s="1"/>
  <c r="I1638" i="7950"/>
  <c r="D1982" i="7950"/>
  <c r="J2201" i="7950"/>
  <c r="I2526" i="7950"/>
  <c r="J2526" i="7950" s="1"/>
  <c r="I2502" i="7950"/>
  <c r="I257" i="7950"/>
  <c r="I2478" i="7949"/>
  <c r="J2478" i="7949" s="1"/>
  <c r="K2478" i="7949" s="1"/>
  <c r="L2478" i="7949" s="1"/>
  <c r="M2478" i="7949" s="1"/>
  <c r="N2478" i="7949" s="1"/>
  <c r="O2478" i="7949" s="1"/>
  <c r="P2478" i="7949" s="1"/>
  <c r="Q2478" i="7949" s="1"/>
  <c r="R2478" i="7949" s="1"/>
  <c r="S2478" i="7949" s="1"/>
  <c r="T2478" i="7949" s="1"/>
  <c r="U2478" i="7949" s="1"/>
  <c r="V2478" i="7949" s="1"/>
  <c r="W2478" i="7949" s="1"/>
  <c r="I2454" i="7949"/>
  <c r="H2369" i="7949"/>
  <c r="I2369" i="7949" s="1"/>
  <c r="J2369" i="7949" s="1"/>
  <c r="K2369" i="7949" s="1"/>
  <c r="L2369" i="7949" s="1"/>
  <c r="M2369" i="7949" s="1"/>
  <c r="N2369" i="7949" s="1"/>
  <c r="O2369" i="7949" s="1"/>
  <c r="P2369" i="7949" s="1"/>
  <c r="Q2369" i="7949" s="1"/>
  <c r="R2369" i="7949" s="1"/>
  <c r="S2369" i="7949" s="1"/>
  <c r="T2369" i="7949" s="1"/>
  <c r="U2369" i="7949" s="1"/>
  <c r="V2369" i="7949" s="1"/>
  <c r="W2369" i="7949" s="1"/>
  <c r="H2345" i="7949"/>
  <c r="C2149" i="7949"/>
  <c r="H1937" i="7949"/>
  <c r="I1937" i="7949" s="1"/>
  <c r="J1937" i="7949" s="1"/>
  <c r="K1937" i="7949" s="1"/>
  <c r="L1937" i="7949" s="1"/>
  <c r="M1937" i="7949" s="1"/>
  <c r="N1937" i="7949" s="1"/>
  <c r="O1937" i="7949" s="1"/>
  <c r="P1937" i="7949" s="1"/>
  <c r="Q1937" i="7949" s="1"/>
  <c r="R1937" i="7949" s="1"/>
  <c r="S1937" i="7949" s="1"/>
  <c r="T1937" i="7949" s="1"/>
  <c r="U1937" i="7949" s="1"/>
  <c r="V1937" i="7949" s="1"/>
  <c r="W1937" i="7949" s="1"/>
  <c r="H1913" i="7949"/>
  <c r="C2689" i="7949"/>
  <c r="F2559" i="7949"/>
  <c r="G2559" i="7949" s="1"/>
  <c r="H2559" i="7949" s="1"/>
  <c r="I2559" i="7949" s="1"/>
  <c r="J2559" i="7949" s="1"/>
  <c r="K2559" i="7949" s="1"/>
  <c r="L2559" i="7949" s="1"/>
  <c r="M2559" i="7949" s="1"/>
  <c r="N2559" i="7949" s="1"/>
  <c r="O2559" i="7949" s="1"/>
  <c r="P2559" i="7949" s="1"/>
  <c r="Q2559" i="7949" s="1"/>
  <c r="R2559" i="7949" s="1"/>
  <c r="S2559" i="7949" s="1"/>
  <c r="T2559" i="7949" s="1"/>
  <c r="U2559" i="7949" s="1"/>
  <c r="V2559" i="7949" s="1"/>
  <c r="W2559" i="7949" s="1"/>
  <c r="G2560" i="7949"/>
  <c r="H2560" i="7949" s="1"/>
  <c r="I2560" i="7949" s="1"/>
  <c r="J2560" i="7949" s="1"/>
  <c r="K2560" i="7949" s="1"/>
  <c r="L2560" i="7949" s="1"/>
  <c r="M2560" i="7949" s="1"/>
  <c r="N2560" i="7949" s="1"/>
  <c r="O2560" i="7949" s="1"/>
  <c r="P2560" i="7949" s="1"/>
  <c r="Q2560" i="7949" s="1"/>
  <c r="R2560" i="7949" s="1"/>
  <c r="S2560" i="7949" s="1"/>
  <c r="T2560" i="7949" s="1"/>
  <c r="U2560" i="7949" s="1"/>
  <c r="V2560" i="7949" s="1"/>
  <c r="W2560" i="7949" s="1"/>
  <c r="C2581" i="7949"/>
  <c r="G2452" i="7949"/>
  <c r="H2452" i="7949" s="1"/>
  <c r="I2452" i="7949" s="1"/>
  <c r="J2452" i="7949" s="1"/>
  <c r="K2452" i="7949" s="1"/>
  <c r="L2452" i="7949" s="1"/>
  <c r="M2452" i="7949" s="1"/>
  <c r="N2452" i="7949" s="1"/>
  <c r="O2452" i="7949" s="1"/>
  <c r="P2452" i="7949" s="1"/>
  <c r="Q2452" i="7949" s="1"/>
  <c r="R2452" i="7949" s="1"/>
  <c r="S2452" i="7949" s="1"/>
  <c r="T2452" i="7949" s="1"/>
  <c r="U2452" i="7949" s="1"/>
  <c r="V2452" i="7949" s="1"/>
  <c r="W2452" i="7949" s="1"/>
  <c r="C2473" i="7949"/>
  <c r="E2342" i="7949"/>
  <c r="F2342" i="7949" s="1"/>
  <c r="G2342" i="7949" s="1"/>
  <c r="H2342" i="7949" s="1"/>
  <c r="I2342" i="7949" s="1"/>
  <c r="J2342" i="7949" s="1"/>
  <c r="K2342" i="7949" s="1"/>
  <c r="L2342" i="7949" s="1"/>
  <c r="M2342" i="7949" s="1"/>
  <c r="N2342" i="7949" s="1"/>
  <c r="O2342" i="7949" s="1"/>
  <c r="P2342" i="7949" s="1"/>
  <c r="Q2342" i="7949" s="1"/>
  <c r="R2342" i="7949" s="1"/>
  <c r="S2342" i="7949" s="1"/>
  <c r="T2342" i="7949" s="1"/>
  <c r="U2342" i="7949" s="1"/>
  <c r="V2342" i="7949" s="1"/>
  <c r="W2342" i="7949" s="1"/>
  <c r="H2261" i="7949"/>
  <c r="I2261" i="7949" s="1"/>
  <c r="J2261" i="7949" s="1"/>
  <c r="K2261" i="7949" s="1"/>
  <c r="L2261" i="7949" s="1"/>
  <c r="M2261" i="7949" s="1"/>
  <c r="N2261" i="7949" s="1"/>
  <c r="O2261" i="7949" s="1"/>
  <c r="P2261" i="7949" s="1"/>
  <c r="Q2261" i="7949" s="1"/>
  <c r="R2261" i="7949" s="1"/>
  <c r="S2261" i="7949" s="1"/>
  <c r="T2261" i="7949" s="1"/>
  <c r="U2261" i="7949" s="1"/>
  <c r="V2261" i="7949" s="1"/>
  <c r="W2261" i="7949" s="1"/>
  <c r="H2237" i="7949"/>
  <c r="I2046" i="7949"/>
  <c r="J2046" i="7949" s="1"/>
  <c r="K2046" i="7949" s="1"/>
  <c r="L2046" i="7949" s="1"/>
  <c r="M2046" i="7949" s="1"/>
  <c r="N2046" i="7949" s="1"/>
  <c r="O2046" i="7949" s="1"/>
  <c r="P2046" i="7949" s="1"/>
  <c r="Q2046" i="7949" s="1"/>
  <c r="R2046" i="7949" s="1"/>
  <c r="S2046" i="7949" s="1"/>
  <c r="T2046" i="7949" s="1"/>
  <c r="U2046" i="7949" s="1"/>
  <c r="V2046" i="7949" s="1"/>
  <c r="W2046" i="7949" s="1"/>
  <c r="I2022" i="7949"/>
  <c r="C2041" i="7949"/>
  <c r="E1910" i="7949"/>
  <c r="F1910" i="7949" s="1"/>
  <c r="G1910" i="7949" s="1"/>
  <c r="H1910" i="7949" s="1"/>
  <c r="I1910" i="7949" s="1"/>
  <c r="J1910" i="7949" s="1"/>
  <c r="K1910" i="7949" s="1"/>
  <c r="L1910" i="7949" s="1"/>
  <c r="M1910" i="7949" s="1"/>
  <c r="N1910" i="7949" s="1"/>
  <c r="O1910" i="7949" s="1"/>
  <c r="P1910" i="7949" s="1"/>
  <c r="Q1910" i="7949" s="1"/>
  <c r="R1910" i="7949" s="1"/>
  <c r="S1910" i="7949" s="1"/>
  <c r="T1910" i="7949" s="1"/>
  <c r="U1910" i="7949" s="1"/>
  <c r="V1910" i="7949" s="1"/>
  <c r="W1910" i="7949" s="1"/>
  <c r="H1829" i="7949"/>
  <c r="I1829" i="7949" s="1"/>
  <c r="J1829" i="7949" s="1"/>
  <c r="K1829" i="7949" s="1"/>
  <c r="L1829" i="7949" s="1"/>
  <c r="M1829" i="7949" s="1"/>
  <c r="N1829" i="7949" s="1"/>
  <c r="O1829" i="7949" s="1"/>
  <c r="P1829" i="7949" s="1"/>
  <c r="Q1829" i="7949" s="1"/>
  <c r="R1829" i="7949" s="1"/>
  <c r="S1829" i="7949" s="1"/>
  <c r="T1829" i="7949" s="1"/>
  <c r="U1829" i="7949" s="1"/>
  <c r="V1829" i="7949" s="1"/>
  <c r="W1829" i="7949" s="1"/>
  <c r="H1805" i="7949"/>
  <c r="I1614" i="7949"/>
  <c r="J1614" i="7949" s="1"/>
  <c r="K1614" i="7949" s="1"/>
  <c r="L1614" i="7949" s="1"/>
  <c r="M1614" i="7949" s="1"/>
  <c r="N1614" i="7949" s="1"/>
  <c r="O1614" i="7949" s="1"/>
  <c r="P1614" i="7949" s="1"/>
  <c r="Q1614" i="7949" s="1"/>
  <c r="R1614" i="7949" s="1"/>
  <c r="S1614" i="7949" s="1"/>
  <c r="T1614" i="7949" s="1"/>
  <c r="U1614" i="7949" s="1"/>
  <c r="V1614" i="7949" s="1"/>
  <c r="W1614" i="7949" s="1"/>
  <c r="I1590" i="7949"/>
  <c r="G1588" i="7949"/>
  <c r="H1588" i="7949" s="1"/>
  <c r="I1588" i="7949" s="1"/>
  <c r="J1588" i="7949" s="1"/>
  <c r="K1588" i="7949" s="1"/>
  <c r="L1588" i="7949" s="1"/>
  <c r="M1588" i="7949" s="1"/>
  <c r="N1588" i="7949" s="1"/>
  <c r="O1588" i="7949" s="1"/>
  <c r="P1588" i="7949" s="1"/>
  <c r="Q1588" i="7949" s="1"/>
  <c r="R1588" i="7949" s="1"/>
  <c r="S1588" i="7949" s="1"/>
  <c r="T1588" i="7949" s="1"/>
  <c r="U1588" i="7949" s="1"/>
  <c r="V1588" i="7949" s="1"/>
  <c r="W1588" i="7949" s="1"/>
  <c r="C1609" i="7949"/>
  <c r="E1478" i="7949"/>
  <c r="F1478" i="7949" s="1"/>
  <c r="G1478" i="7949" s="1"/>
  <c r="H1478" i="7949" s="1"/>
  <c r="I1478" i="7949" s="1"/>
  <c r="J1478" i="7949" s="1"/>
  <c r="K1478" i="7949" s="1"/>
  <c r="L1478" i="7949" s="1"/>
  <c r="M1478" i="7949" s="1"/>
  <c r="N1478" i="7949" s="1"/>
  <c r="O1478" i="7949" s="1"/>
  <c r="P1478" i="7949" s="1"/>
  <c r="Q1478" i="7949" s="1"/>
  <c r="R1478" i="7949" s="1"/>
  <c r="S1478" i="7949" s="1"/>
  <c r="T1478" i="7949" s="1"/>
  <c r="U1478" i="7949" s="1"/>
  <c r="V1478" i="7949" s="1"/>
  <c r="W1478" i="7949" s="1"/>
  <c r="H1397" i="7949"/>
  <c r="I1397" i="7949" s="1"/>
  <c r="J1397" i="7949" s="1"/>
  <c r="K1397" i="7949" s="1"/>
  <c r="L1397" i="7949" s="1"/>
  <c r="M1397" i="7949" s="1"/>
  <c r="N1397" i="7949" s="1"/>
  <c r="O1397" i="7949" s="1"/>
  <c r="P1397" i="7949" s="1"/>
  <c r="Q1397" i="7949" s="1"/>
  <c r="R1397" i="7949" s="1"/>
  <c r="S1397" i="7949" s="1"/>
  <c r="T1397" i="7949" s="1"/>
  <c r="U1397" i="7949" s="1"/>
  <c r="V1397" i="7949" s="1"/>
  <c r="W1397" i="7949" s="1"/>
  <c r="H1373" i="7949"/>
  <c r="I1182" i="7949"/>
  <c r="J1182" i="7949" s="1"/>
  <c r="K1182" i="7949" s="1"/>
  <c r="L1182" i="7949" s="1"/>
  <c r="M1182" i="7949" s="1"/>
  <c r="N1182" i="7949" s="1"/>
  <c r="O1182" i="7949" s="1"/>
  <c r="P1182" i="7949" s="1"/>
  <c r="Q1182" i="7949" s="1"/>
  <c r="R1182" i="7949" s="1"/>
  <c r="S1182" i="7949" s="1"/>
  <c r="T1182" i="7949" s="1"/>
  <c r="U1182" i="7949" s="1"/>
  <c r="V1182" i="7949" s="1"/>
  <c r="W1182" i="7949" s="1"/>
  <c r="I1158" i="7949"/>
  <c r="E1046" i="7949"/>
  <c r="F1046" i="7949" s="1"/>
  <c r="G1046" i="7949" s="1"/>
  <c r="H1046" i="7949" s="1"/>
  <c r="I1046" i="7949" s="1"/>
  <c r="J1046" i="7949" s="1"/>
  <c r="K1046" i="7949" s="1"/>
  <c r="L1046" i="7949" s="1"/>
  <c r="M1046" i="7949" s="1"/>
  <c r="N1046" i="7949" s="1"/>
  <c r="O1046" i="7949" s="1"/>
  <c r="P1046" i="7949" s="1"/>
  <c r="Q1046" i="7949" s="1"/>
  <c r="R1046" i="7949" s="1"/>
  <c r="S1046" i="7949" s="1"/>
  <c r="T1046" i="7949" s="1"/>
  <c r="U1046" i="7949" s="1"/>
  <c r="V1046" i="7949" s="1"/>
  <c r="W1046" i="7949" s="1"/>
  <c r="H965" i="7949"/>
  <c r="I965" i="7949" s="1"/>
  <c r="J965" i="7949" s="1"/>
  <c r="K965" i="7949" s="1"/>
  <c r="L965" i="7949" s="1"/>
  <c r="M965" i="7949" s="1"/>
  <c r="N965" i="7949" s="1"/>
  <c r="O965" i="7949" s="1"/>
  <c r="P965" i="7949" s="1"/>
  <c r="Q965" i="7949" s="1"/>
  <c r="R965" i="7949" s="1"/>
  <c r="S965" i="7949" s="1"/>
  <c r="T965" i="7949" s="1"/>
  <c r="U965" i="7949" s="1"/>
  <c r="V965" i="7949" s="1"/>
  <c r="W965" i="7949" s="1"/>
  <c r="H941" i="7949"/>
  <c r="H749" i="7949"/>
  <c r="I749" i="7949" s="1"/>
  <c r="J749" i="7949" s="1"/>
  <c r="K749" i="7949" s="1"/>
  <c r="L749" i="7949" s="1"/>
  <c r="M749" i="7949" s="1"/>
  <c r="N749" i="7949" s="1"/>
  <c r="O749" i="7949" s="1"/>
  <c r="P749" i="7949" s="1"/>
  <c r="Q749" i="7949" s="1"/>
  <c r="R749" i="7949" s="1"/>
  <c r="S749" i="7949" s="1"/>
  <c r="T749" i="7949" s="1"/>
  <c r="U749" i="7949" s="1"/>
  <c r="V749" i="7949" s="1"/>
  <c r="W749" i="7949" s="1"/>
  <c r="H725" i="7949"/>
  <c r="G670" i="7949"/>
  <c r="H670" i="7949" s="1"/>
  <c r="I670" i="7949" s="1"/>
  <c r="J670" i="7949" s="1"/>
  <c r="K670" i="7949" s="1"/>
  <c r="L670" i="7949" s="1"/>
  <c r="M670" i="7949" s="1"/>
  <c r="N670" i="7949" s="1"/>
  <c r="O670" i="7949" s="1"/>
  <c r="P670" i="7949" s="1"/>
  <c r="Q670" i="7949" s="1"/>
  <c r="R670" i="7949" s="1"/>
  <c r="S670" i="7949" s="1"/>
  <c r="T670" i="7949" s="1"/>
  <c r="U670" i="7949" s="1"/>
  <c r="V670" i="7949" s="1"/>
  <c r="W670" i="7949" s="1"/>
  <c r="I696" i="7949"/>
  <c r="J696" i="7949" s="1"/>
  <c r="K696" i="7949" s="1"/>
  <c r="L696" i="7949" s="1"/>
  <c r="M696" i="7949" s="1"/>
  <c r="N696" i="7949" s="1"/>
  <c r="O696" i="7949" s="1"/>
  <c r="P696" i="7949" s="1"/>
  <c r="Q696" i="7949" s="1"/>
  <c r="R696" i="7949" s="1"/>
  <c r="S696" i="7949" s="1"/>
  <c r="T696" i="7949" s="1"/>
  <c r="U696" i="7949" s="1"/>
  <c r="V696" i="7949" s="1"/>
  <c r="W696" i="7949" s="1"/>
  <c r="I672" i="7949"/>
  <c r="H587" i="7949"/>
  <c r="I587" i="7949" s="1"/>
  <c r="J587" i="7949" s="1"/>
  <c r="K587" i="7949" s="1"/>
  <c r="L587" i="7949" s="1"/>
  <c r="M587" i="7949" s="1"/>
  <c r="N587" i="7949" s="1"/>
  <c r="O587" i="7949" s="1"/>
  <c r="P587" i="7949" s="1"/>
  <c r="Q587" i="7949" s="1"/>
  <c r="R587" i="7949" s="1"/>
  <c r="S587" i="7949" s="1"/>
  <c r="T587" i="7949" s="1"/>
  <c r="U587" i="7949" s="1"/>
  <c r="V587" i="7949" s="1"/>
  <c r="W587" i="7949" s="1"/>
  <c r="H563" i="7949"/>
  <c r="C475" i="7949"/>
  <c r="H371" i="7949"/>
  <c r="I371" i="7949" s="1"/>
  <c r="J371" i="7949" s="1"/>
  <c r="K371" i="7949" s="1"/>
  <c r="L371" i="7949" s="1"/>
  <c r="M371" i="7949" s="1"/>
  <c r="N371" i="7949" s="1"/>
  <c r="O371" i="7949" s="1"/>
  <c r="P371" i="7949" s="1"/>
  <c r="Q371" i="7949" s="1"/>
  <c r="R371" i="7949" s="1"/>
  <c r="S371" i="7949" s="1"/>
  <c r="T371" i="7949" s="1"/>
  <c r="U371" i="7949" s="1"/>
  <c r="V371" i="7949" s="1"/>
  <c r="W371" i="7949" s="1"/>
  <c r="I210" i="7949"/>
  <c r="J210" i="7949" s="1"/>
  <c r="K210" i="7949" s="1"/>
  <c r="L210" i="7949" s="1"/>
  <c r="M210" i="7949" s="1"/>
  <c r="N210" i="7949" s="1"/>
  <c r="O210" i="7949" s="1"/>
  <c r="P210" i="7949" s="1"/>
  <c r="Q210" i="7949" s="1"/>
  <c r="R210" i="7949" s="1"/>
  <c r="S210" i="7949" s="1"/>
  <c r="T210" i="7949" s="1"/>
  <c r="U210" i="7949" s="1"/>
  <c r="V210" i="7949" s="1"/>
  <c r="W210" i="7949" s="1"/>
  <c r="I2532" i="7949"/>
  <c r="J2532" i="7949" s="1"/>
  <c r="K2532" i="7949" s="1"/>
  <c r="L2532" i="7949" s="1"/>
  <c r="M2532" i="7949" s="1"/>
  <c r="N2532" i="7949" s="1"/>
  <c r="O2532" i="7949" s="1"/>
  <c r="P2532" i="7949" s="1"/>
  <c r="Q2532" i="7949" s="1"/>
  <c r="R2532" i="7949" s="1"/>
  <c r="S2532" i="7949" s="1"/>
  <c r="T2532" i="7949" s="1"/>
  <c r="U2532" i="7949" s="1"/>
  <c r="V2532" i="7949" s="1"/>
  <c r="W2532" i="7949" s="1"/>
  <c r="I2508" i="7949"/>
  <c r="G2506" i="7949"/>
  <c r="H2506" i="7949" s="1"/>
  <c r="I2506" i="7949" s="1"/>
  <c r="J2506" i="7949" s="1"/>
  <c r="K2506" i="7949" s="1"/>
  <c r="L2506" i="7949" s="1"/>
  <c r="M2506" i="7949" s="1"/>
  <c r="N2506" i="7949" s="1"/>
  <c r="O2506" i="7949" s="1"/>
  <c r="P2506" i="7949" s="1"/>
  <c r="Q2506" i="7949" s="1"/>
  <c r="R2506" i="7949" s="1"/>
  <c r="S2506" i="7949" s="1"/>
  <c r="T2506" i="7949" s="1"/>
  <c r="U2506" i="7949" s="1"/>
  <c r="V2506" i="7949" s="1"/>
  <c r="W2506" i="7949" s="1"/>
  <c r="C2527" i="7949"/>
  <c r="E2396" i="7949"/>
  <c r="F2396" i="7949" s="1"/>
  <c r="G2396" i="7949" s="1"/>
  <c r="H2396" i="7949" s="1"/>
  <c r="I2396" i="7949" s="1"/>
  <c r="J2396" i="7949" s="1"/>
  <c r="K2396" i="7949" s="1"/>
  <c r="L2396" i="7949" s="1"/>
  <c r="M2396" i="7949" s="1"/>
  <c r="N2396" i="7949" s="1"/>
  <c r="O2396" i="7949" s="1"/>
  <c r="P2396" i="7949" s="1"/>
  <c r="Q2396" i="7949" s="1"/>
  <c r="R2396" i="7949" s="1"/>
  <c r="S2396" i="7949" s="1"/>
  <c r="T2396" i="7949" s="1"/>
  <c r="U2396" i="7949" s="1"/>
  <c r="V2396" i="7949" s="1"/>
  <c r="W2396" i="7949" s="1"/>
  <c r="H2315" i="7949"/>
  <c r="I2315" i="7949" s="1"/>
  <c r="J2315" i="7949" s="1"/>
  <c r="K2315" i="7949" s="1"/>
  <c r="L2315" i="7949" s="1"/>
  <c r="M2315" i="7949" s="1"/>
  <c r="N2315" i="7949" s="1"/>
  <c r="O2315" i="7949" s="1"/>
  <c r="P2315" i="7949" s="1"/>
  <c r="Q2315" i="7949" s="1"/>
  <c r="R2315" i="7949" s="1"/>
  <c r="S2315" i="7949" s="1"/>
  <c r="T2315" i="7949" s="1"/>
  <c r="U2315" i="7949" s="1"/>
  <c r="V2315" i="7949" s="1"/>
  <c r="W2315" i="7949" s="1"/>
  <c r="H2291" i="7949"/>
  <c r="I2100" i="7949"/>
  <c r="J2100" i="7949" s="1"/>
  <c r="K2100" i="7949" s="1"/>
  <c r="L2100" i="7949" s="1"/>
  <c r="M2100" i="7949" s="1"/>
  <c r="N2100" i="7949" s="1"/>
  <c r="O2100" i="7949" s="1"/>
  <c r="P2100" i="7949" s="1"/>
  <c r="Q2100" i="7949" s="1"/>
  <c r="R2100" i="7949" s="1"/>
  <c r="S2100" i="7949" s="1"/>
  <c r="T2100" i="7949" s="1"/>
  <c r="U2100" i="7949" s="1"/>
  <c r="V2100" i="7949" s="1"/>
  <c r="W2100" i="7949" s="1"/>
  <c r="I2076" i="7949"/>
  <c r="G2074" i="7949"/>
  <c r="H2074" i="7949" s="1"/>
  <c r="I2074" i="7949" s="1"/>
  <c r="J2074" i="7949" s="1"/>
  <c r="K2074" i="7949" s="1"/>
  <c r="L2074" i="7949" s="1"/>
  <c r="M2074" i="7949" s="1"/>
  <c r="N2074" i="7949" s="1"/>
  <c r="O2074" i="7949" s="1"/>
  <c r="P2074" i="7949" s="1"/>
  <c r="Q2074" i="7949" s="1"/>
  <c r="R2074" i="7949" s="1"/>
  <c r="S2074" i="7949" s="1"/>
  <c r="T2074" i="7949" s="1"/>
  <c r="U2074" i="7949" s="1"/>
  <c r="V2074" i="7949" s="1"/>
  <c r="W2074" i="7949" s="1"/>
  <c r="C2095" i="7949"/>
  <c r="E1964" i="7949"/>
  <c r="F1964" i="7949" s="1"/>
  <c r="G1964" i="7949" s="1"/>
  <c r="H1964" i="7949" s="1"/>
  <c r="I1964" i="7949" s="1"/>
  <c r="J1964" i="7949" s="1"/>
  <c r="K1964" i="7949" s="1"/>
  <c r="L1964" i="7949" s="1"/>
  <c r="M1964" i="7949" s="1"/>
  <c r="N1964" i="7949" s="1"/>
  <c r="O1964" i="7949" s="1"/>
  <c r="P1964" i="7949" s="1"/>
  <c r="Q1964" i="7949" s="1"/>
  <c r="R1964" i="7949" s="1"/>
  <c r="S1964" i="7949" s="1"/>
  <c r="T1964" i="7949" s="1"/>
  <c r="U1964" i="7949" s="1"/>
  <c r="V1964" i="7949" s="1"/>
  <c r="W1964" i="7949" s="1"/>
  <c r="H1883" i="7949"/>
  <c r="I1883" i="7949" s="1"/>
  <c r="J1883" i="7949" s="1"/>
  <c r="K1883" i="7949" s="1"/>
  <c r="L1883" i="7949" s="1"/>
  <c r="M1883" i="7949" s="1"/>
  <c r="N1883" i="7949" s="1"/>
  <c r="O1883" i="7949" s="1"/>
  <c r="P1883" i="7949" s="1"/>
  <c r="Q1883" i="7949" s="1"/>
  <c r="R1883" i="7949" s="1"/>
  <c r="S1883" i="7949" s="1"/>
  <c r="T1883" i="7949" s="1"/>
  <c r="U1883" i="7949" s="1"/>
  <c r="V1883" i="7949" s="1"/>
  <c r="W1883" i="7949" s="1"/>
  <c r="H1859" i="7949"/>
  <c r="I1668" i="7949"/>
  <c r="J1668" i="7949" s="1"/>
  <c r="K1668" i="7949" s="1"/>
  <c r="L1668" i="7949" s="1"/>
  <c r="M1668" i="7949" s="1"/>
  <c r="N1668" i="7949" s="1"/>
  <c r="O1668" i="7949" s="1"/>
  <c r="P1668" i="7949" s="1"/>
  <c r="Q1668" i="7949" s="1"/>
  <c r="R1668" i="7949" s="1"/>
  <c r="S1668" i="7949" s="1"/>
  <c r="T1668" i="7949" s="1"/>
  <c r="U1668" i="7949" s="1"/>
  <c r="V1668" i="7949" s="1"/>
  <c r="W1668" i="7949" s="1"/>
  <c r="I1644" i="7949"/>
  <c r="G1642" i="7949"/>
  <c r="H1642" i="7949" s="1"/>
  <c r="I1642" i="7949" s="1"/>
  <c r="J1642" i="7949" s="1"/>
  <c r="K1642" i="7949" s="1"/>
  <c r="L1642" i="7949" s="1"/>
  <c r="M1642" i="7949" s="1"/>
  <c r="N1642" i="7949" s="1"/>
  <c r="O1642" i="7949" s="1"/>
  <c r="P1642" i="7949" s="1"/>
  <c r="Q1642" i="7949" s="1"/>
  <c r="R1642" i="7949" s="1"/>
  <c r="S1642" i="7949" s="1"/>
  <c r="T1642" i="7949" s="1"/>
  <c r="U1642" i="7949" s="1"/>
  <c r="V1642" i="7949" s="1"/>
  <c r="W1642" i="7949" s="1"/>
  <c r="C1663" i="7949"/>
  <c r="E1532" i="7949"/>
  <c r="F1532" i="7949" s="1"/>
  <c r="G1532" i="7949" s="1"/>
  <c r="H1532" i="7949" s="1"/>
  <c r="I1532" i="7949" s="1"/>
  <c r="J1532" i="7949" s="1"/>
  <c r="K1532" i="7949" s="1"/>
  <c r="L1532" i="7949" s="1"/>
  <c r="M1532" i="7949" s="1"/>
  <c r="N1532" i="7949" s="1"/>
  <c r="O1532" i="7949" s="1"/>
  <c r="P1532" i="7949" s="1"/>
  <c r="Q1532" i="7949" s="1"/>
  <c r="R1532" i="7949" s="1"/>
  <c r="S1532" i="7949" s="1"/>
  <c r="T1532" i="7949" s="1"/>
  <c r="U1532" i="7949" s="1"/>
  <c r="V1532" i="7949" s="1"/>
  <c r="W1532" i="7949" s="1"/>
  <c r="H1451" i="7949"/>
  <c r="I1451" i="7949" s="1"/>
  <c r="J1451" i="7949" s="1"/>
  <c r="K1451" i="7949" s="1"/>
  <c r="L1451" i="7949" s="1"/>
  <c r="M1451" i="7949" s="1"/>
  <c r="N1451" i="7949" s="1"/>
  <c r="O1451" i="7949" s="1"/>
  <c r="P1451" i="7949" s="1"/>
  <c r="Q1451" i="7949" s="1"/>
  <c r="R1451" i="7949" s="1"/>
  <c r="S1451" i="7949" s="1"/>
  <c r="T1451" i="7949" s="1"/>
  <c r="U1451" i="7949" s="1"/>
  <c r="V1451" i="7949" s="1"/>
  <c r="W1451" i="7949" s="1"/>
  <c r="H1427" i="7949"/>
  <c r="I1236" i="7949"/>
  <c r="J1236" i="7949" s="1"/>
  <c r="K1236" i="7949" s="1"/>
  <c r="L1236" i="7949" s="1"/>
  <c r="M1236" i="7949" s="1"/>
  <c r="N1236" i="7949" s="1"/>
  <c r="O1236" i="7949" s="1"/>
  <c r="P1236" i="7949" s="1"/>
  <c r="Q1236" i="7949" s="1"/>
  <c r="R1236" i="7949" s="1"/>
  <c r="S1236" i="7949" s="1"/>
  <c r="T1236" i="7949" s="1"/>
  <c r="U1236" i="7949" s="1"/>
  <c r="V1236" i="7949" s="1"/>
  <c r="W1236" i="7949" s="1"/>
  <c r="I1212" i="7949"/>
  <c r="G1210" i="7949"/>
  <c r="H1210" i="7949" s="1"/>
  <c r="I1210" i="7949" s="1"/>
  <c r="J1210" i="7949" s="1"/>
  <c r="K1210" i="7949" s="1"/>
  <c r="L1210" i="7949" s="1"/>
  <c r="M1210" i="7949" s="1"/>
  <c r="N1210" i="7949" s="1"/>
  <c r="O1210" i="7949" s="1"/>
  <c r="P1210" i="7949" s="1"/>
  <c r="Q1210" i="7949" s="1"/>
  <c r="R1210" i="7949" s="1"/>
  <c r="S1210" i="7949" s="1"/>
  <c r="T1210" i="7949" s="1"/>
  <c r="U1210" i="7949" s="1"/>
  <c r="V1210" i="7949" s="1"/>
  <c r="W1210" i="7949" s="1"/>
  <c r="C1231" i="7949"/>
  <c r="E1100" i="7949"/>
  <c r="F1100" i="7949" s="1"/>
  <c r="G1100" i="7949" s="1"/>
  <c r="H1100" i="7949" s="1"/>
  <c r="I1100" i="7949" s="1"/>
  <c r="J1100" i="7949" s="1"/>
  <c r="K1100" i="7949" s="1"/>
  <c r="L1100" i="7949" s="1"/>
  <c r="M1100" i="7949" s="1"/>
  <c r="N1100" i="7949" s="1"/>
  <c r="O1100" i="7949" s="1"/>
  <c r="P1100" i="7949" s="1"/>
  <c r="Q1100" i="7949" s="1"/>
  <c r="R1100" i="7949" s="1"/>
  <c r="S1100" i="7949" s="1"/>
  <c r="T1100" i="7949" s="1"/>
  <c r="U1100" i="7949" s="1"/>
  <c r="V1100" i="7949" s="1"/>
  <c r="W1100" i="7949" s="1"/>
  <c r="H1019" i="7949"/>
  <c r="I1019" i="7949" s="1"/>
  <c r="J1019" i="7949" s="1"/>
  <c r="K1019" i="7949" s="1"/>
  <c r="L1019" i="7949" s="1"/>
  <c r="M1019" i="7949" s="1"/>
  <c r="N1019" i="7949" s="1"/>
  <c r="O1019" i="7949" s="1"/>
  <c r="P1019" i="7949" s="1"/>
  <c r="Q1019" i="7949" s="1"/>
  <c r="R1019" i="7949" s="1"/>
  <c r="S1019" i="7949" s="1"/>
  <c r="T1019" i="7949" s="1"/>
  <c r="U1019" i="7949" s="1"/>
  <c r="V1019" i="7949" s="1"/>
  <c r="W1019" i="7949" s="1"/>
  <c r="H995" i="7949"/>
  <c r="I804" i="7949"/>
  <c r="J804" i="7949" s="1"/>
  <c r="K804" i="7949" s="1"/>
  <c r="L804" i="7949" s="1"/>
  <c r="M804" i="7949" s="1"/>
  <c r="N804" i="7949" s="1"/>
  <c r="O804" i="7949" s="1"/>
  <c r="P804" i="7949" s="1"/>
  <c r="Q804" i="7949" s="1"/>
  <c r="R804" i="7949" s="1"/>
  <c r="S804" i="7949" s="1"/>
  <c r="T804" i="7949" s="1"/>
  <c r="U804" i="7949" s="1"/>
  <c r="V804" i="7949" s="1"/>
  <c r="W804" i="7949" s="1"/>
  <c r="I780" i="7949"/>
  <c r="G778" i="7949"/>
  <c r="H778" i="7949" s="1"/>
  <c r="I778" i="7949" s="1"/>
  <c r="J778" i="7949" s="1"/>
  <c r="K778" i="7949" s="1"/>
  <c r="L778" i="7949" s="1"/>
  <c r="M778" i="7949" s="1"/>
  <c r="N778" i="7949" s="1"/>
  <c r="O778" i="7949" s="1"/>
  <c r="P778" i="7949" s="1"/>
  <c r="Q778" i="7949" s="1"/>
  <c r="R778" i="7949" s="1"/>
  <c r="S778" i="7949" s="1"/>
  <c r="T778" i="7949" s="1"/>
  <c r="U778" i="7949" s="1"/>
  <c r="V778" i="7949" s="1"/>
  <c r="W778" i="7949" s="1"/>
  <c r="C799" i="7949"/>
  <c r="C637" i="7949"/>
  <c r="I642" i="7949"/>
  <c r="J642" i="7949" s="1"/>
  <c r="K642" i="7949" s="1"/>
  <c r="L642" i="7949" s="1"/>
  <c r="M642" i="7949" s="1"/>
  <c r="N642" i="7949" s="1"/>
  <c r="O642" i="7949" s="1"/>
  <c r="P642" i="7949" s="1"/>
  <c r="Q642" i="7949" s="1"/>
  <c r="R642" i="7949" s="1"/>
  <c r="S642" i="7949" s="1"/>
  <c r="T642" i="7949" s="1"/>
  <c r="U642" i="7949" s="1"/>
  <c r="V642" i="7949" s="1"/>
  <c r="W642" i="7949" s="1"/>
  <c r="I618" i="7949"/>
  <c r="E506" i="7949"/>
  <c r="F506" i="7949" s="1"/>
  <c r="G506" i="7949" s="1"/>
  <c r="H506" i="7949" s="1"/>
  <c r="I506" i="7949" s="1"/>
  <c r="J506" i="7949" s="1"/>
  <c r="K506" i="7949" s="1"/>
  <c r="L506" i="7949" s="1"/>
  <c r="M506" i="7949" s="1"/>
  <c r="N506" i="7949" s="1"/>
  <c r="O506" i="7949" s="1"/>
  <c r="P506" i="7949" s="1"/>
  <c r="Q506" i="7949" s="1"/>
  <c r="R506" i="7949" s="1"/>
  <c r="S506" i="7949" s="1"/>
  <c r="T506" i="7949" s="1"/>
  <c r="U506" i="7949" s="1"/>
  <c r="V506" i="7949" s="1"/>
  <c r="W506" i="7949" s="1"/>
  <c r="G400" i="7949"/>
  <c r="H400" i="7949" s="1"/>
  <c r="I400" i="7949" s="1"/>
  <c r="J400" i="7949" s="1"/>
  <c r="K400" i="7949" s="1"/>
  <c r="L400" i="7949" s="1"/>
  <c r="M400" i="7949" s="1"/>
  <c r="N400" i="7949" s="1"/>
  <c r="O400" i="7949" s="1"/>
  <c r="P400" i="7949" s="1"/>
  <c r="Q400" i="7949" s="1"/>
  <c r="R400" i="7949" s="1"/>
  <c r="S400" i="7949" s="1"/>
  <c r="T400" i="7949" s="1"/>
  <c r="U400" i="7949" s="1"/>
  <c r="V400" i="7949" s="1"/>
  <c r="W400" i="7949" s="1"/>
  <c r="H317" i="7949"/>
  <c r="I317" i="7949" s="1"/>
  <c r="J317" i="7949" s="1"/>
  <c r="K317" i="7949" s="1"/>
  <c r="L317" i="7949" s="1"/>
  <c r="M317" i="7949" s="1"/>
  <c r="N317" i="7949" s="1"/>
  <c r="O317" i="7949" s="1"/>
  <c r="P317" i="7949" s="1"/>
  <c r="Q317" i="7949" s="1"/>
  <c r="R317" i="7949" s="1"/>
  <c r="S317" i="7949" s="1"/>
  <c r="T317" i="7949" s="1"/>
  <c r="U317" i="7949" s="1"/>
  <c r="V317" i="7949" s="1"/>
  <c r="W317" i="7949" s="1"/>
  <c r="I156" i="7949"/>
  <c r="J156" i="7949" s="1"/>
  <c r="K156" i="7949" s="1"/>
  <c r="L156" i="7949" s="1"/>
  <c r="M156" i="7949" s="1"/>
  <c r="N156" i="7949" s="1"/>
  <c r="O156" i="7949" s="1"/>
  <c r="P156" i="7949" s="1"/>
  <c r="Q156" i="7949" s="1"/>
  <c r="R156" i="7949" s="1"/>
  <c r="S156" i="7949" s="1"/>
  <c r="T156" i="7949" s="1"/>
  <c r="U156" i="7949" s="1"/>
  <c r="V156" i="7949" s="1"/>
  <c r="W156" i="7949" s="1"/>
  <c r="J97" i="7950"/>
  <c r="I202" i="7950"/>
  <c r="I420" i="7950"/>
  <c r="J420" i="7950" s="1"/>
  <c r="I396" i="7950"/>
  <c r="D740" i="7950"/>
  <c r="J851" i="7950"/>
  <c r="I1284" i="7950"/>
  <c r="J1284" i="7950" s="1"/>
  <c r="I1260" i="7950"/>
  <c r="H1443" i="7950"/>
  <c r="I1554" i="7950"/>
  <c r="J1554" i="7950" s="1"/>
  <c r="I1530" i="7950"/>
  <c r="J1771" i="7950"/>
  <c r="K1771" i="7950" s="1"/>
  <c r="J1747" i="7950"/>
  <c r="H1875" i="7950"/>
  <c r="I1984" i="7950"/>
  <c r="J2203" i="7950"/>
  <c r="K2203" i="7950" s="1"/>
  <c r="J2179" i="7950"/>
  <c r="H2307" i="7950"/>
  <c r="I2416" i="7950"/>
  <c r="J2635" i="7950"/>
  <c r="K2635" i="7950" s="1"/>
  <c r="J2611" i="7950"/>
  <c r="L151" i="7950"/>
  <c r="I364" i="7950"/>
  <c r="J475" i="7950"/>
  <c r="K475" i="7950" s="1"/>
  <c r="J451" i="7950"/>
  <c r="H579" i="7950"/>
  <c r="I796" i="7950"/>
  <c r="J907" i="7950"/>
  <c r="K907" i="7950" s="1"/>
  <c r="J883" i="7950"/>
  <c r="H1011" i="7950"/>
  <c r="I1228" i="7950"/>
  <c r="I1392" i="7950"/>
  <c r="J1392" i="7950" s="1"/>
  <c r="I1368" i="7950"/>
  <c r="I1498" i="7950"/>
  <c r="J1715" i="7950"/>
  <c r="I2040" i="7950"/>
  <c r="J2040" i="7950" s="1"/>
  <c r="I2016" i="7950"/>
  <c r="D2360" i="7950"/>
  <c r="J2579" i="7950"/>
  <c r="I312" i="7950"/>
  <c r="J312" i="7950" s="1"/>
  <c r="H417" i="7950"/>
  <c r="I634" i="7950"/>
  <c r="J745" i="7950"/>
  <c r="K745" i="7950" s="1"/>
  <c r="J721" i="7950"/>
  <c r="H849" i="7950"/>
  <c r="I1066" i="7950"/>
  <c r="J1177" i="7950"/>
  <c r="K1177" i="7950" s="1"/>
  <c r="J1153" i="7950"/>
  <c r="H1281" i="7950"/>
  <c r="J1553" i="7950"/>
  <c r="I1878" i="7950"/>
  <c r="J1878" i="7950" s="1"/>
  <c r="I1854" i="7950"/>
  <c r="D2198" i="7950"/>
  <c r="J2417" i="7950"/>
  <c r="I148" i="7950"/>
  <c r="J473" i="7950"/>
  <c r="D794" i="7950"/>
  <c r="J905" i="7950"/>
  <c r="J1393" i="7950"/>
  <c r="K1393" i="7950" s="1"/>
  <c r="J1369" i="7950"/>
  <c r="H1713" i="7950"/>
  <c r="I1822" i="7950"/>
  <c r="J2041" i="7950"/>
  <c r="K2041" i="7950" s="1"/>
  <c r="J2017" i="7950"/>
  <c r="H2145" i="7950"/>
  <c r="I2254" i="7950"/>
  <c r="J2473" i="7950"/>
  <c r="K2473" i="7950" s="1"/>
  <c r="J2449" i="7950"/>
  <c r="H2577" i="7950"/>
  <c r="I2688" i="7950"/>
  <c r="J2688" i="7950" s="1"/>
  <c r="I2664" i="7950"/>
  <c r="J42" i="7950"/>
  <c r="K42" i="7950" s="1"/>
  <c r="L42" i="7950" s="1"/>
  <c r="M42" i="7950" s="1"/>
  <c r="N42" i="7950" s="1"/>
  <c r="O42" i="7950" s="1"/>
  <c r="P42" i="7950" s="1"/>
  <c r="Q42" i="7950" s="1"/>
  <c r="R42" i="7950" s="1"/>
  <c r="S42" i="7950" s="1"/>
  <c r="T42" i="7950" s="1"/>
  <c r="U42" i="7950" s="1"/>
  <c r="V42" i="7950" s="1"/>
  <c r="W42" i="7950" s="1"/>
  <c r="H93" i="7950"/>
  <c r="J313" i="7950"/>
  <c r="K313" i="7950" s="1"/>
  <c r="D632" i="7950"/>
  <c r="J743" i="7950"/>
  <c r="I1176" i="7950"/>
  <c r="J1176" i="7950" s="1"/>
  <c r="I1152" i="7950"/>
  <c r="J259" i="7950"/>
  <c r="I472" i="7950"/>
  <c r="J583" i="7950"/>
  <c r="K583" i="7950" s="1"/>
  <c r="J559" i="7950"/>
  <c r="H687" i="7950"/>
  <c r="I904" i="7950"/>
  <c r="J1015" i="7950"/>
  <c r="K1015" i="7950" s="1"/>
  <c r="J991" i="7950"/>
  <c r="H1119" i="7950"/>
  <c r="J1391" i="7950"/>
  <c r="I1500" i="7950"/>
  <c r="J1500" i="7950" s="1"/>
  <c r="I1476" i="7950"/>
  <c r="I1606" i="7950"/>
  <c r="J1823" i="7950"/>
  <c r="I2148" i="7950"/>
  <c r="J2148" i="7950" s="1"/>
  <c r="I2124" i="7950"/>
  <c r="D2468" i="7950"/>
  <c r="J2687" i="7950"/>
  <c r="I526" i="7950"/>
  <c r="J637" i="7950"/>
  <c r="K637" i="7950" s="1"/>
  <c r="J613" i="7950"/>
  <c r="H741" i="7950"/>
  <c r="I958" i="7950"/>
  <c r="J1069" i="7950"/>
  <c r="K1069" i="7950" s="1"/>
  <c r="J1045" i="7950"/>
  <c r="H1173" i="7950"/>
  <c r="J1445" i="7950"/>
  <c r="I1770" i="7950"/>
  <c r="J1770" i="7950" s="1"/>
  <c r="I1746" i="7950"/>
  <c r="D2090" i="7950"/>
  <c r="J2309" i="7950"/>
  <c r="I2634" i="7950"/>
  <c r="J2634" i="7950" s="1"/>
  <c r="I2610" i="7950"/>
  <c r="I258" i="7950"/>
  <c r="J365" i="7950"/>
  <c r="I798" i="7950"/>
  <c r="J798" i="7950" s="1"/>
  <c r="I774" i="7950"/>
  <c r="D1118" i="7950"/>
  <c r="J1229" i="7950"/>
  <c r="J1501" i="7950"/>
  <c r="K1501" i="7950" s="1"/>
  <c r="J1477" i="7950"/>
  <c r="I690" i="7950"/>
  <c r="J690" i="7950" s="1"/>
  <c r="I666" i="7950"/>
  <c r="D1010" i="7950"/>
  <c r="E1010" i="7950" s="1"/>
  <c r="J1121" i="7950"/>
  <c r="D1388" i="7950"/>
  <c r="J1609" i="7950"/>
  <c r="K1609" i="7950" s="1"/>
  <c r="J1585" i="7950"/>
  <c r="I528" i="7950"/>
  <c r="J528" i="7950" s="1"/>
  <c r="I504" i="7950"/>
  <c r="D848" i="7950"/>
  <c r="J959" i="7950"/>
  <c r="J1447" i="7950"/>
  <c r="K1447" i="7950" s="1"/>
  <c r="J1423" i="7950"/>
  <c r="H1551" i="7950"/>
  <c r="I1660" i="7950"/>
  <c r="J1879" i="7950"/>
  <c r="K1879" i="7950" s="1"/>
  <c r="J1855" i="7950"/>
  <c r="H1983" i="7950"/>
  <c r="I2092" i="7950"/>
  <c r="J2311" i="7950"/>
  <c r="K2311" i="7950" s="1"/>
  <c r="J2287" i="7950"/>
  <c r="H2415" i="7950"/>
  <c r="I2524" i="7950"/>
  <c r="D1820" i="7950"/>
  <c r="J2039" i="7950"/>
  <c r="I2364" i="7950"/>
  <c r="J2364" i="7950" s="1"/>
  <c r="I2340" i="7950"/>
  <c r="I204" i="7950"/>
  <c r="J204" i="7950" s="1"/>
  <c r="D1442" i="7950"/>
  <c r="J1661" i="7950"/>
  <c r="I1986" i="7950"/>
  <c r="J1986" i="7950" s="1"/>
  <c r="I1962" i="7950"/>
  <c r="D2306" i="7950"/>
  <c r="J2525" i="7950"/>
  <c r="D470" i="7950"/>
  <c r="E470" i="7950" s="1"/>
  <c r="J581" i="7950"/>
  <c r="I1014" i="7950"/>
  <c r="J1014" i="7950" s="1"/>
  <c r="I990" i="7950"/>
  <c r="D1496" i="7950"/>
  <c r="J1717" i="7950"/>
  <c r="K1717" i="7950" s="1"/>
  <c r="J1693" i="7950"/>
  <c r="H1821" i="7950"/>
  <c r="I1930" i="7950"/>
  <c r="J2149" i="7950"/>
  <c r="K2149" i="7950" s="1"/>
  <c r="J2125" i="7950"/>
  <c r="H2253" i="7950"/>
  <c r="I2362" i="7950"/>
  <c r="J2581" i="7950"/>
  <c r="K2581" i="7950" s="1"/>
  <c r="J2557" i="7950"/>
  <c r="J2689" i="7950"/>
  <c r="K2689" i="7950" s="1"/>
  <c r="J2665" i="7950"/>
  <c r="D1226" i="7950"/>
  <c r="E1226" i="7950" s="1"/>
  <c r="D1604" i="7950"/>
  <c r="J1825" i="7950"/>
  <c r="K1825" i="7950" s="1"/>
  <c r="J1801" i="7950"/>
  <c r="H1929" i="7950"/>
  <c r="I2038" i="7950"/>
  <c r="J2257" i="7950"/>
  <c r="K2257" i="7950" s="1"/>
  <c r="J2233" i="7950"/>
  <c r="H2361" i="7950"/>
  <c r="I2470" i="7950"/>
  <c r="H2685" i="7950"/>
  <c r="J94" i="7950"/>
  <c r="H201" i="7950"/>
  <c r="I310" i="7950"/>
  <c r="I744" i="7950"/>
  <c r="J744" i="7950" s="1"/>
  <c r="I720" i="7950"/>
  <c r="D1064" i="7950"/>
  <c r="J1175" i="7950"/>
  <c r="H256" i="7950"/>
  <c r="J367" i="7950"/>
  <c r="K367" i="7950" s="1"/>
  <c r="H471" i="7950"/>
  <c r="I688" i="7950"/>
  <c r="J799" i="7950"/>
  <c r="K799" i="7950" s="1"/>
  <c r="J775" i="7950"/>
  <c r="H903" i="7950"/>
  <c r="I1120" i="7950"/>
  <c r="J1231" i="7950"/>
  <c r="K1231" i="7950" s="1"/>
  <c r="J1207" i="7950"/>
  <c r="I1390" i="7950"/>
  <c r="J1607" i="7950"/>
  <c r="I1716" i="7950"/>
  <c r="J1716" i="7950" s="1"/>
  <c r="I1692" i="7950"/>
  <c r="D2036" i="7950"/>
  <c r="J2255" i="7950"/>
  <c r="I2580" i="7950"/>
  <c r="J2580" i="7950" s="1"/>
  <c r="I2556" i="7950"/>
  <c r="J421" i="7950"/>
  <c r="K421" i="7950" s="1"/>
  <c r="J397" i="7950"/>
  <c r="H525" i="7950"/>
  <c r="I742" i="7950"/>
  <c r="J853" i="7950"/>
  <c r="K853" i="7950" s="1"/>
  <c r="J829" i="7950"/>
  <c r="H957" i="7950"/>
  <c r="I1174" i="7950"/>
  <c r="J1285" i="7950"/>
  <c r="K1285" i="7950" s="1"/>
  <c r="J1261" i="7950"/>
  <c r="D1658" i="7950"/>
  <c r="J1877" i="7950"/>
  <c r="I2202" i="7950"/>
  <c r="J2202" i="7950" s="1"/>
  <c r="I2178" i="7950"/>
  <c r="D2522" i="7950"/>
  <c r="J149" i="7950"/>
  <c r="I366" i="7950"/>
  <c r="J366" i="7950" s="1"/>
  <c r="D686" i="7950"/>
  <c r="J797" i="7950"/>
  <c r="I1230" i="7950"/>
  <c r="J1230" i="7950" s="1"/>
  <c r="I1206" i="7950"/>
  <c r="H1389" i="7950"/>
  <c r="D578" i="7950"/>
  <c r="J689" i="7950"/>
  <c r="I1122" i="7950"/>
  <c r="J1122" i="7950" s="1"/>
  <c r="I1098" i="7950"/>
  <c r="H1497" i="7950"/>
  <c r="D416" i="7950"/>
  <c r="J527" i="7950"/>
  <c r="I960" i="7950"/>
  <c r="J960" i="7950" s="1"/>
  <c r="I936" i="7950"/>
  <c r="D1280" i="7950"/>
  <c r="I1446" i="7950"/>
  <c r="J1446" i="7950" s="1"/>
  <c r="I1422" i="7950"/>
  <c r="J1663" i="7950"/>
  <c r="K1663" i="7950" s="1"/>
  <c r="J1639" i="7950"/>
  <c r="H1767" i="7950"/>
  <c r="I1876" i="7950"/>
  <c r="J2095" i="7950"/>
  <c r="K2095" i="7950" s="1"/>
  <c r="J2071" i="7950"/>
  <c r="H2199" i="7950"/>
  <c r="I2308" i="7950"/>
  <c r="J2527" i="7950"/>
  <c r="K2527" i="7950" s="1"/>
  <c r="J2503" i="7950"/>
  <c r="H2631" i="7950"/>
  <c r="I1932" i="7950"/>
  <c r="J1932" i="7950" s="1"/>
  <c r="I1908" i="7950"/>
  <c r="D2252" i="7950"/>
  <c r="J2471" i="7950"/>
  <c r="J311" i="7950"/>
  <c r="I1552" i="7950"/>
  <c r="D1874" i="7950"/>
  <c r="J2093" i="7950"/>
  <c r="I2418" i="7950"/>
  <c r="J2418" i="7950" s="1"/>
  <c r="I2394" i="7950"/>
  <c r="I582" i="7950"/>
  <c r="J582" i="7950" s="1"/>
  <c r="I558" i="7950"/>
  <c r="D902" i="7950"/>
  <c r="J1013" i="7950"/>
  <c r="H1605" i="7950"/>
  <c r="I1714" i="7950"/>
  <c r="J1933" i="7950"/>
  <c r="K1933" i="7950" s="1"/>
  <c r="J1909" i="7950"/>
  <c r="H2037" i="7950"/>
  <c r="I2146" i="7950"/>
  <c r="J2365" i="7950"/>
  <c r="K2365" i="7950" s="1"/>
  <c r="J2341" i="7950"/>
  <c r="H2469" i="7950"/>
  <c r="I2578" i="7950"/>
  <c r="D1311" i="7950"/>
  <c r="E1312" i="7950"/>
  <c r="F1312" i="7950" s="1"/>
  <c r="G1312" i="7950" s="1"/>
  <c r="H1312" i="7950" s="1"/>
  <c r="I1312" i="7950" s="1"/>
  <c r="J1312" i="7950" s="1"/>
  <c r="K1312" i="7950" s="1"/>
  <c r="L1312" i="7950" s="1"/>
  <c r="M1312" i="7950" s="1"/>
  <c r="N1312" i="7950" s="1"/>
  <c r="O1312" i="7950" s="1"/>
  <c r="P1312" i="7950" s="1"/>
  <c r="Q1312" i="7950" s="1"/>
  <c r="R1312" i="7950" s="1"/>
  <c r="S1312" i="7950" s="1"/>
  <c r="T1312" i="7950" s="1"/>
  <c r="U1312" i="7950" s="1"/>
  <c r="V1312" i="7950" s="1"/>
  <c r="W1312" i="7950" s="1"/>
  <c r="F1313" i="7950"/>
  <c r="G1313" i="7950" s="1"/>
  <c r="H1313" i="7950" s="1"/>
  <c r="I1313" i="7950" s="1"/>
  <c r="J1313" i="7950" s="1"/>
  <c r="K1313" i="7950" s="1"/>
  <c r="L1313" i="7950" s="1"/>
  <c r="M1313" i="7950" s="1"/>
  <c r="N1313" i="7950" s="1"/>
  <c r="O1313" i="7950" s="1"/>
  <c r="P1313" i="7950" s="1"/>
  <c r="Q1313" i="7950" s="1"/>
  <c r="R1313" i="7950" s="1"/>
  <c r="S1313" i="7950" s="1"/>
  <c r="T1313" i="7950" s="1"/>
  <c r="U1313" i="7950" s="1"/>
  <c r="V1313" i="7950" s="1"/>
  <c r="W1313" i="7950" s="1"/>
  <c r="D987" i="7950"/>
  <c r="E610" i="7950"/>
  <c r="E394" i="7950"/>
  <c r="F1583" i="7950"/>
  <c r="E1582" i="7950"/>
  <c r="D1581" i="7950"/>
  <c r="F1529" i="7950"/>
  <c r="D1527" i="7950"/>
  <c r="E1528" i="7950"/>
  <c r="E1474" i="7950"/>
  <c r="F1475" i="7950"/>
  <c r="D1473" i="7950"/>
  <c r="D1419" i="7950"/>
  <c r="E1420" i="7950"/>
  <c r="F1421" i="7950"/>
  <c r="E1366" i="7950"/>
  <c r="D1365" i="7950"/>
  <c r="F1367" i="7950"/>
  <c r="D1257" i="7950"/>
  <c r="E1258" i="7950"/>
  <c r="F1259" i="7950"/>
  <c r="D1203" i="7950"/>
  <c r="E1204" i="7950"/>
  <c r="F1205" i="7950"/>
  <c r="F1151" i="7950"/>
  <c r="D1149" i="7950"/>
  <c r="E1150" i="7950"/>
  <c r="E1096" i="7950"/>
  <c r="F1097" i="7950"/>
  <c r="D1095" i="7950"/>
  <c r="F1043" i="7950"/>
  <c r="D1041" i="7950"/>
  <c r="E1042" i="7950"/>
  <c r="E988" i="7950"/>
  <c r="F989" i="7950"/>
  <c r="F935" i="7950"/>
  <c r="D933" i="7950"/>
  <c r="E934" i="7950"/>
  <c r="D879" i="7950"/>
  <c r="E880" i="7950"/>
  <c r="F881" i="7950"/>
  <c r="D825" i="7950"/>
  <c r="F827" i="7950"/>
  <c r="E826" i="7950"/>
  <c r="E772" i="7950"/>
  <c r="D771" i="7950"/>
  <c r="F773" i="7950"/>
  <c r="D717" i="7950"/>
  <c r="E718" i="7950"/>
  <c r="F719" i="7950"/>
  <c r="D663" i="7950"/>
  <c r="E664" i="7950"/>
  <c r="F665" i="7950"/>
  <c r="F611" i="7950"/>
  <c r="D609" i="7950"/>
  <c r="D555" i="7950"/>
  <c r="E556" i="7950"/>
  <c r="F557" i="7950"/>
  <c r="F503" i="7950"/>
  <c r="D501" i="7950"/>
  <c r="E502" i="7950"/>
  <c r="D447" i="7950"/>
  <c r="E448" i="7950"/>
  <c r="F449" i="7950"/>
  <c r="F395" i="7950"/>
  <c r="D393" i="7950"/>
  <c r="E2662" i="7950"/>
  <c r="D2661" i="7950"/>
  <c r="F2663" i="7950"/>
  <c r="F2609" i="7950"/>
  <c r="D2607" i="7950"/>
  <c r="E2608" i="7950"/>
  <c r="F2555" i="7950"/>
  <c r="E2554" i="7950"/>
  <c r="D2553" i="7950"/>
  <c r="F2501" i="7950"/>
  <c r="E2500" i="7950"/>
  <c r="D2499" i="7950"/>
  <c r="D2445" i="7950"/>
  <c r="E2446" i="7950"/>
  <c r="F2447" i="7950"/>
  <c r="D2391" i="7950"/>
  <c r="F2393" i="7950"/>
  <c r="E2392" i="7950"/>
  <c r="E2338" i="7950"/>
  <c r="D2337" i="7950"/>
  <c r="F2339" i="7950"/>
  <c r="E2284" i="7950"/>
  <c r="D2283" i="7950"/>
  <c r="F2285" i="7950"/>
  <c r="D2229" i="7950"/>
  <c r="F2231" i="7950"/>
  <c r="E2230" i="7950"/>
  <c r="D2175" i="7950"/>
  <c r="F2177" i="7950"/>
  <c r="E2176" i="7950"/>
  <c r="F2123" i="7950"/>
  <c r="D2121" i="7950"/>
  <c r="E2122" i="7950"/>
  <c r="D2067" i="7950"/>
  <c r="E2068" i="7950"/>
  <c r="F2069" i="7950"/>
  <c r="D2013" i="7950"/>
  <c r="F2015" i="7950"/>
  <c r="E2014" i="7950"/>
  <c r="F1961" i="7950"/>
  <c r="E1960" i="7950"/>
  <c r="D1959" i="7950"/>
  <c r="D1905" i="7950"/>
  <c r="E1906" i="7950"/>
  <c r="F1907" i="7950"/>
  <c r="D1851" i="7950"/>
  <c r="F1853" i="7950"/>
  <c r="E1852" i="7950"/>
  <c r="F1799" i="7950"/>
  <c r="D1797" i="7950"/>
  <c r="E1798" i="7950"/>
  <c r="D1743" i="7950"/>
  <c r="F1745" i="7950"/>
  <c r="E1744" i="7950"/>
  <c r="E1690" i="7950"/>
  <c r="D1689" i="7950"/>
  <c r="F1691" i="7950"/>
  <c r="D1635" i="7950"/>
  <c r="F1637" i="7950"/>
  <c r="E1636" i="7950"/>
  <c r="J612" i="7950" l="1"/>
  <c r="K612" i="7950" s="1"/>
  <c r="J1050" i="7949"/>
  <c r="K1050" i="7949" s="1"/>
  <c r="L1050" i="7949" s="1"/>
  <c r="M1050" i="7949" s="1"/>
  <c r="N1050" i="7949" s="1"/>
  <c r="O1050" i="7949" s="1"/>
  <c r="P1050" i="7949" s="1"/>
  <c r="Q1050" i="7949" s="1"/>
  <c r="R1050" i="7949" s="1"/>
  <c r="S1050" i="7949" s="1"/>
  <c r="T1050" i="7949" s="1"/>
  <c r="U1050" i="7949" s="1"/>
  <c r="V1050" i="7949" s="1"/>
  <c r="W1050" i="7949" s="1"/>
  <c r="J1482" i="7949"/>
  <c r="K1482" i="7949" s="1"/>
  <c r="L1482" i="7949" s="1"/>
  <c r="M1482" i="7949" s="1"/>
  <c r="N1482" i="7949" s="1"/>
  <c r="O1482" i="7949" s="1"/>
  <c r="P1482" i="7949" s="1"/>
  <c r="Q1482" i="7949" s="1"/>
  <c r="R1482" i="7949" s="1"/>
  <c r="S1482" i="7949" s="1"/>
  <c r="T1482" i="7949" s="1"/>
  <c r="U1482" i="7949" s="1"/>
  <c r="V1482" i="7949" s="1"/>
  <c r="W1482" i="7949" s="1"/>
  <c r="I617" i="7949"/>
  <c r="J617" i="7949" s="1"/>
  <c r="K617" i="7949" s="1"/>
  <c r="L617" i="7949" s="1"/>
  <c r="M617" i="7949" s="1"/>
  <c r="N617" i="7949" s="1"/>
  <c r="O617" i="7949" s="1"/>
  <c r="P617" i="7949" s="1"/>
  <c r="Q617" i="7949" s="1"/>
  <c r="R617" i="7949" s="1"/>
  <c r="S617" i="7949" s="1"/>
  <c r="T617" i="7949" s="1"/>
  <c r="U617" i="7949" s="1"/>
  <c r="V617" i="7949" s="1"/>
  <c r="W617" i="7949" s="1"/>
  <c r="I1751" i="7949"/>
  <c r="J1751" i="7949" s="1"/>
  <c r="K1751" i="7949" s="1"/>
  <c r="L1751" i="7949" s="1"/>
  <c r="M1751" i="7949" s="1"/>
  <c r="N1751" i="7949" s="1"/>
  <c r="O1751" i="7949" s="1"/>
  <c r="P1751" i="7949" s="1"/>
  <c r="Q1751" i="7949" s="1"/>
  <c r="R1751" i="7949" s="1"/>
  <c r="S1751" i="7949" s="1"/>
  <c r="T1751" i="7949" s="1"/>
  <c r="U1751" i="7949" s="1"/>
  <c r="V1751" i="7949" s="1"/>
  <c r="W1751" i="7949" s="1"/>
  <c r="J2400" i="7949"/>
  <c r="K2400" i="7949" s="1"/>
  <c r="L2400" i="7949" s="1"/>
  <c r="M2400" i="7949" s="1"/>
  <c r="N2400" i="7949" s="1"/>
  <c r="O2400" i="7949" s="1"/>
  <c r="P2400" i="7949" s="1"/>
  <c r="Q2400" i="7949" s="1"/>
  <c r="R2400" i="7949" s="1"/>
  <c r="S2400" i="7949" s="1"/>
  <c r="T2400" i="7949" s="1"/>
  <c r="U2400" i="7949" s="1"/>
  <c r="V2400" i="7949" s="1"/>
  <c r="W2400" i="7949" s="1"/>
  <c r="I455" i="7949"/>
  <c r="J455" i="7949" s="1"/>
  <c r="K455" i="7949" s="1"/>
  <c r="L455" i="7949" s="1"/>
  <c r="M455" i="7949" s="1"/>
  <c r="N455" i="7949" s="1"/>
  <c r="O455" i="7949" s="1"/>
  <c r="P455" i="7949" s="1"/>
  <c r="Q455" i="7949" s="1"/>
  <c r="R455" i="7949" s="1"/>
  <c r="S455" i="7949" s="1"/>
  <c r="T455" i="7949" s="1"/>
  <c r="U455" i="7949" s="1"/>
  <c r="V455" i="7949" s="1"/>
  <c r="W455" i="7949" s="1"/>
  <c r="J990" i="7950"/>
  <c r="K990" i="7950" s="1"/>
  <c r="K1477" i="7950"/>
  <c r="L1477" i="7950" s="1"/>
  <c r="J1152" i="7950"/>
  <c r="K1152" i="7950" s="1"/>
  <c r="K1369" i="7950"/>
  <c r="L1369" i="7950" s="1"/>
  <c r="J1800" i="7950"/>
  <c r="K1800" i="7950" s="1"/>
  <c r="J1044" i="7950"/>
  <c r="K1044" i="7950" s="1"/>
  <c r="J888" i="7949"/>
  <c r="K888" i="7949" s="1"/>
  <c r="L888" i="7949" s="1"/>
  <c r="M888" i="7949" s="1"/>
  <c r="N888" i="7949" s="1"/>
  <c r="O888" i="7949" s="1"/>
  <c r="P888" i="7949" s="1"/>
  <c r="Q888" i="7949" s="1"/>
  <c r="R888" i="7949" s="1"/>
  <c r="S888" i="7949" s="1"/>
  <c r="T888" i="7949" s="1"/>
  <c r="U888" i="7949" s="1"/>
  <c r="V888" i="7949" s="1"/>
  <c r="W888" i="7949" s="1"/>
  <c r="I1535" i="7949"/>
  <c r="J1535" i="7949" s="1"/>
  <c r="K1535" i="7949" s="1"/>
  <c r="L1535" i="7949" s="1"/>
  <c r="M1535" i="7949" s="1"/>
  <c r="N1535" i="7949" s="1"/>
  <c r="O1535" i="7949" s="1"/>
  <c r="P1535" i="7949" s="1"/>
  <c r="Q1535" i="7949" s="1"/>
  <c r="R1535" i="7949" s="1"/>
  <c r="S1535" i="7949" s="1"/>
  <c r="T1535" i="7949" s="1"/>
  <c r="U1535" i="7949" s="1"/>
  <c r="V1535" i="7949" s="1"/>
  <c r="W1535" i="7949" s="1"/>
  <c r="J2184" i="7949"/>
  <c r="K2184" i="7949" s="1"/>
  <c r="L2184" i="7949" s="1"/>
  <c r="M2184" i="7949" s="1"/>
  <c r="N2184" i="7949" s="1"/>
  <c r="O2184" i="7949" s="1"/>
  <c r="P2184" i="7949" s="1"/>
  <c r="Q2184" i="7949" s="1"/>
  <c r="R2184" i="7949" s="1"/>
  <c r="S2184" i="7949" s="1"/>
  <c r="T2184" i="7949" s="1"/>
  <c r="U2184" i="7949" s="1"/>
  <c r="V2184" i="7949" s="1"/>
  <c r="W2184" i="7949" s="1"/>
  <c r="J1914" i="7949"/>
  <c r="K1914" i="7949" s="1"/>
  <c r="L1914" i="7949" s="1"/>
  <c r="M1914" i="7949" s="1"/>
  <c r="N1914" i="7949" s="1"/>
  <c r="O1914" i="7949" s="1"/>
  <c r="P1914" i="7949" s="1"/>
  <c r="Q1914" i="7949" s="1"/>
  <c r="R1914" i="7949" s="1"/>
  <c r="S1914" i="7949" s="1"/>
  <c r="T1914" i="7949" s="1"/>
  <c r="U1914" i="7949" s="1"/>
  <c r="V1914" i="7949" s="1"/>
  <c r="W1914" i="7949" s="1"/>
  <c r="K2287" i="7950"/>
  <c r="L2287" i="7950" s="1"/>
  <c r="K1423" i="7950"/>
  <c r="L1423" i="7950" s="1"/>
  <c r="K2611" i="7950"/>
  <c r="L2611" i="7950" s="1"/>
  <c r="J1644" i="7949"/>
  <c r="K1644" i="7949" s="1"/>
  <c r="L1644" i="7949" s="1"/>
  <c r="M1644" i="7949" s="1"/>
  <c r="N1644" i="7949" s="1"/>
  <c r="O1644" i="7949" s="1"/>
  <c r="P1644" i="7949" s="1"/>
  <c r="Q1644" i="7949" s="1"/>
  <c r="R1644" i="7949" s="1"/>
  <c r="S1644" i="7949" s="1"/>
  <c r="T1644" i="7949" s="1"/>
  <c r="U1644" i="7949" s="1"/>
  <c r="V1644" i="7949" s="1"/>
  <c r="W1644" i="7949" s="1"/>
  <c r="J672" i="7949"/>
  <c r="K672" i="7949" s="1"/>
  <c r="L672" i="7949" s="1"/>
  <c r="M672" i="7949" s="1"/>
  <c r="N672" i="7949" s="1"/>
  <c r="O672" i="7949" s="1"/>
  <c r="P672" i="7949" s="1"/>
  <c r="Q672" i="7949" s="1"/>
  <c r="R672" i="7949" s="1"/>
  <c r="S672" i="7949" s="1"/>
  <c r="T672" i="7949" s="1"/>
  <c r="U672" i="7949" s="1"/>
  <c r="V672" i="7949" s="1"/>
  <c r="W672" i="7949" s="1"/>
  <c r="J1158" i="7949"/>
  <c r="K1158" i="7949" s="1"/>
  <c r="L1158" i="7949" s="1"/>
  <c r="M1158" i="7949" s="1"/>
  <c r="N1158" i="7949" s="1"/>
  <c r="O1158" i="7949" s="1"/>
  <c r="P1158" i="7949" s="1"/>
  <c r="Q1158" i="7949" s="1"/>
  <c r="R1158" i="7949" s="1"/>
  <c r="S1158" i="7949" s="1"/>
  <c r="T1158" i="7949" s="1"/>
  <c r="U1158" i="7949" s="1"/>
  <c r="V1158" i="7949" s="1"/>
  <c r="W1158" i="7949" s="1"/>
  <c r="I1913" i="7949"/>
  <c r="J1913" i="7949" s="1"/>
  <c r="K1913" i="7949" s="1"/>
  <c r="L1913" i="7949" s="1"/>
  <c r="M1913" i="7949" s="1"/>
  <c r="N1913" i="7949" s="1"/>
  <c r="O1913" i="7949" s="1"/>
  <c r="P1913" i="7949" s="1"/>
  <c r="Q1913" i="7949" s="1"/>
  <c r="R1913" i="7949" s="1"/>
  <c r="S1913" i="7949" s="1"/>
  <c r="T1913" i="7949" s="1"/>
  <c r="U1913" i="7949" s="1"/>
  <c r="V1913" i="7949" s="1"/>
  <c r="W1913" i="7949" s="1"/>
  <c r="I1103" i="7949"/>
  <c r="J1103" i="7949" s="1"/>
  <c r="K1103" i="7949" s="1"/>
  <c r="L1103" i="7949" s="1"/>
  <c r="M1103" i="7949" s="1"/>
  <c r="N1103" i="7949" s="1"/>
  <c r="O1103" i="7949" s="1"/>
  <c r="P1103" i="7949" s="1"/>
  <c r="Q1103" i="7949" s="1"/>
  <c r="R1103" i="7949" s="1"/>
  <c r="S1103" i="7949" s="1"/>
  <c r="T1103" i="7949" s="1"/>
  <c r="U1103" i="7949" s="1"/>
  <c r="V1103" i="7949" s="1"/>
  <c r="W1103" i="7949" s="1"/>
  <c r="J1320" i="7949"/>
  <c r="K1320" i="7949" s="1"/>
  <c r="L1320" i="7949" s="1"/>
  <c r="M1320" i="7949" s="1"/>
  <c r="N1320" i="7949" s="1"/>
  <c r="O1320" i="7949" s="1"/>
  <c r="P1320" i="7949" s="1"/>
  <c r="Q1320" i="7949" s="1"/>
  <c r="R1320" i="7949" s="1"/>
  <c r="S1320" i="7949" s="1"/>
  <c r="T1320" i="7949" s="1"/>
  <c r="U1320" i="7949" s="1"/>
  <c r="V1320" i="7949" s="1"/>
  <c r="W1320" i="7949" s="1"/>
  <c r="I2399" i="7949"/>
  <c r="J2399" i="7949" s="1"/>
  <c r="K2399" i="7949" s="1"/>
  <c r="L2399" i="7949" s="1"/>
  <c r="M2399" i="7949" s="1"/>
  <c r="N2399" i="7949" s="1"/>
  <c r="O2399" i="7949" s="1"/>
  <c r="P2399" i="7949" s="1"/>
  <c r="Q2399" i="7949" s="1"/>
  <c r="R2399" i="7949" s="1"/>
  <c r="S2399" i="7949" s="1"/>
  <c r="T2399" i="7949" s="1"/>
  <c r="U2399" i="7949" s="1"/>
  <c r="V2399" i="7949" s="1"/>
  <c r="W2399" i="7949" s="1"/>
  <c r="I671" i="7949"/>
  <c r="J671" i="7949" s="1"/>
  <c r="K671" i="7949" s="1"/>
  <c r="L671" i="7949" s="1"/>
  <c r="M671" i="7949" s="1"/>
  <c r="N671" i="7949" s="1"/>
  <c r="O671" i="7949" s="1"/>
  <c r="P671" i="7949" s="1"/>
  <c r="Q671" i="7949" s="1"/>
  <c r="R671" i="7949" s="1"/>
  <c r="S671" i="7949" s="1"/>
  <c r="T671" i="7949" s="1"/>
  <c r="U671" i="7949" s="1"/>
  <c r="V671" i="7949" s="1"/>
  <c r="W671" i="7949" s="1"/>
  <c r="J1266" i="7949"/>
  <c r="K1266" i="7949" s="1"/>
  <c r="L1266" i="7949" s="1"/>
  <c r="M1266" i="7949" s="1"/>
  <c r="N1266" i="7949" s="1"/>
  <c r="O1266" i="7949" s="1"/>
  <c r="P1266" i="7949" s="1"/>
  <c r="Q1266" i="7949" s="1"/>
  <c r="R1266" i="7949" s="1"/>
  <c r="S1266" i="7949" s="1"/>
  <c r="T1266" i="7949" s="1"/>
  <c r="U1266" i="7949" s="1"/>
  <c r="V1266" i="7949" s="1"/>
  <c r="W1266" i="7949" s="1"/>
  <c r="I509" i="7949"/>
  <c r="J509" i="7949" s="1"/>
  <c r="K509" i="7949" s="1"/>
  <c r="L509" i="7949" s="1"/>
  <c r="M509" i="7949" s="1"/>
  <c r="N509" i="7949" s="1"/>
  <c r="O509" i="7949" s="1"/>
  <c r="P509" i="7949" s="1"/>
  <c r="Q509" i="7949" s="1"/>
  <c r="R509" i="7949" s="1"/>
  <c r="S509" i="7949" s="1"/>
  <c r="T509" i="7949" s="1"/>
  <c r="U509" i="7949" s="1"/>
  <c r="V509" i="7949" s="1"/>
  <c r="W509" i="7949" s="1"/>
  <c r="I2075" i="7949"/>
  <c r="J2075" i="7949" s="1"/>
  <c r="K2075" i="7949" s="1"/>
  <c r="L2075" i="7949" s="1"/>
  <c r="M2075" i="7949" s="1"/>
  <c r="N2075" i="7949" s="1"/>
  <c r="O2075" i="7949" s="1"/>
  <c r="P2075" i="7949" s="1"/>
  <c r="Q2075" i="7949" s="1"/>
  <c r="R2075" i="7949" s="1"/>
  <c r="S2075" i="7949" s="1"/>
  <c r="T2075" i="7949" s="1"/>
  <c r="U2075" i="7949" s="1"/>
  <c r="V2075" i="7949" s="1"/>
  <c r="W2075" i="7949" s="1"/>
  <c r="J726" i="7949"/>
  <c r="K726" i="7949" s="1"/>
  <c r="L726" i="7949" s="1"/>
  <c r="M726" i="7949" s="1"/>
  <c r="N726" i="7949" s="1"/>
  <c r="O726" i="7949" s="1"/>
  <c r="P726" i="7949" s="1"/>
  <c r="Q726" i="7949" s="1"/>
  <c r="R726" i="7949" s="1"/>
  <c r="S726" i="7949" s="1"/>
  <c r="T726" i="7949" s="1"/>
  <c r="U726" i="7949" s="1"/>
  <c r="V726" i="7949" s="1"/>
  <c r="W726" i="7949" s="1"/>
  <c r="I1265" i="7949"/>
  <c r="J1265" i="7949" s="1"/>
  <c r="K1265" i="7949" s="1"/>
  <c r="L1265" i="7949" s="1"/>
  <c r="M1265" i="7949" s="1"/>
  <c r="N1265" i="7949" s="1"/>
  <c r="O1265" i="7949" s="1"/>
  <c r="P1265" i="7949" s="1"/>
  <c r="Q1265" i="7949" s="1"/>
  <c r="R1265" i="7949" s="1"/>
  <c r="S1265" i="7949" s="1"/>
  <c r="T1265" i="7949" s="1"/>
  <c r="U1265" i="7949" s="1"/>
  <c r="V1265" i="7949" s="1"/>
  <c r="W1265" i="7949" s="1"/>
  <c r="I1481" i="7949"/>
  <c r="J1481" i="7949" s="1"/>
  <c r="K1481" i="7949" s="1"/>
  <c r="L1481" i="7949" s="1"/>
  <c r="M1481" i="7949" s="1"/>
  <c r="N1481" i="7949" s="1"/>
  <c r="O1481" i="7949" s="1"/>
  <c r="P1481" i="7949" s="1"/>
  <c r="Q1481" i="7949" s="1"/>
  <c r="R1481" i="7949" s="1"/>
  <c r="S1481" i="7949" s="1"/>
  <c r="T1481" i="7949" s="1"/>
  <c r="U1481" i="7949" s="1"/>
  <c r="V1481" i="7949" s="1"/>
  <c r="W1481" i="7949" s="1"/>
  <c r="K937" i="7950"/>
  <c r="L937" i="7950" s="1"/>
  <c r="K505" i="7950"/>
  <c r="L505" i="7950" s="1"/>
  <c r="I779" i="7949"/>
  <c r="J779" i="7949" s="1"/>
  <c r="K779" i="7949" s="1"/>
  <c r="L779" i="7949" s="1"/>
  <c r="M779" i="7949" s="1"/>
  <c r="N779" i="7949" s="1"/>
  <c r="O779" i="7949" s="1"/>
  <c r="P779" i="7949" s="1"/>
  <c r="Q779" i="7949" s="1"/>
  <c r="R779" i="7949" s="1"/>
  <c r="S779" i="7949" s="1"/>
  <c r="T779" i="7949" s="1"/>
  <c r="U779" i="7949" s="1"/>
  <c r="V779" i="7949" s="1"/>
  <c r="W779" i="7949" s="1"/>
  <c r="J1860" i="7949"/>
  <c r="K1860" i="7949" s="1"/>
  <c r="L1860" i="7949" s="1"/>
  <c r="M1860" i="7949" s="1"/>
  <c r="N1860" i="7949" s="1"/>
  <c r="O1860" i="7949" s="1"/>
  <c r="P1860" i="7949" s="1"/>
  <c r="Q1860" i="7949" s="1"/>
  <c r="R1860" i="7949" s="1"/>
  <c r="S1860" i="7949" s="1"/>
  <c r="T1860" i="7949" s="1"/>
  <c r="U1860" i="7949" s="1"/>
  <c r="V1860" i="7949" s="1"/>
  <c r="W1860" i="7949" s="1"/>
  <c r="J2616" i="7949"/>
  <c r="K2616" i="7949" s="1"/>
  <c r="L2616" i="7949" s="1"/>
  <c r="M2616" i="7949" s="1"/>
  <c r="N2616" i="7949" s="1"/>
  <c r="O2616" i="7949" s="1"/>
  <c r="P2616" i="7949" s="1"/>
  <c r="Q2616" i="7949" s="1"/>
  <c r="R2616" i="7949" s="1"/>
  <c r="S2616" i="7949" s="1"/>
  <c r="T2616" i="7949" s="1"/>
  <c r="U2616" i="7949" s="1"/>
  <c r="V2616" i="7949" s="1"/>
  <c r="W2616" i="7949" s="1"/>
  <c r="J558" i="7950"/>
  <c r="K558" i="7950" s="1"/>
  <c r="K2503" i="7950"/>
  <c r="L2503" i="7950" s="1"/>
  <c r="K1639" i="7950"/>
  <c r="L1639" i="7950" s="1"/>
  <c r="I2021" i="7949"/>
  <c r="J2021" i="7949" s="1"/>
  <c r="K2021" i="7949" s="1"/>
  <c r="L2021" i="7949" s="1"/>
  <c r="M2021" i="7949" s="1"/>
  <c r="N2021" i="7949" s="1"/>
  <c r="O2021" i="7949" s="1"/>
  <c r="P2021" i="7949" s="1"/>
  <c r="Q2021" i="7949" s="1"/>
  <c r="R2021" i="7949" s="1"/>
  <c r="S2021" i="7949" s="1"/>
  <c r="T2021" i="7949" s="1"/>
  <c r="U2021" i="7949" s="1"/>
  <c r="V2021" i="7949" s="1"/>
  <c r="W2021" i="7949" s="1"/>
  <c r="I2669" i="7949"/>
  <c r="J2669" i="7949" s="1"/>
  <c r="K2669" i="7949" s="1"/>
  <c r="L2669" i="7949" s="1"/>
  <c r="M2669" i="7949" s="1"/>
  <c r="N2669" i="7949" s="1"/>
  <c r="O2669" i="7949" s="1"/>
  <c r="P2669" i="7949" s="1"/>
  <c r="Q2669" i="7949" s="1"/>
  <c r="R2669" i="7949" s="1"/>
  <c r="S2669" i="7949" s="1"/>
  <c r="T2669" i="7949" s="1"/>
  <c r="U2669" i="7949" s="1"/>
  <c r="V2669" i="7949" s="1"/>
  <c r="W2669" i="7949" s="1"/>
  <c r="K2341" i="7950"/>
  <c r="L2341" i="7950" s="1"/>
  <c r="J1692" i="7950"/>
  <c r="K1692" i="7950" s="1"/>
  <c r="K775" i="7950"/>
  <c r="L775" i="7950" s="1"/>
  <c r="K1693" i="7950"/>
  <c r="L1693" i="7950" s="1"/>
  <c r="J2610" i="7950"/>
  <c r="K2610" i="7950" s="1"/>
  <c r="K1045" i="7950"/>
  <c r="L1045" i="7950" s="1"/>
  <c r="K721" i="7950"/>
  <c r="L721" i="7950" s="1"/>
  <c r="K883" i="7950"/>
  <c r="L883" i="7950" s="1"/>
  <c r="I1427" i="7949"/>
  <c r="J1427" i="7949" s="1"/>
  <c r="K1427" i="7949" s="1"/>
  <c r="L1427" i="7949" s="1"/>
  <c r="M1427" i="7949" s="1"/>
  <c r="N1427" i="7949" s="1"/>
  <c r="O1427" i="7949" s="1"/>
  <c r="P1427" i="7949" s="1"/>
  <c r="Q1427" i="7949" s="1"/>
  <c r="R1427" i="7949" s="1"/>
  <c r="S1427" i="7949" s="1"/>
  <c r="T1427" i="7949" s="1"/>
  <c r="U1427" i="7949" s="1"/>
  <c r="V1427" i="7949" s="1"/>
  <c r="W1427" i="7949" s="1"/>
  <c r="I725" i="7949"/>
  <c r="J725" i="7949" s="1"/>
  <c r="K725" i="7949" s="1"/>
  <c r="L725" i="7949" s="1"/>
  <c r="M725" i="7949" s="1"/>
  <c r="N725" i="7949" s="1"/>
  <c r="O725" i="7949" s="1"/>
  <c r="P725" i="7949" s="1"/>
  <c r="Q725" i="7949" s="1"/>
  <c r="R725" i="7949" s="1"/>
  <c r="S725" i="7949" s="1"/>
  <c r="T725" i="7949" s="1"/>
  <c r="U725" i="7949" s="1"/>
  <c r="V725" i="7949" s="1"/>
  <c r="W725" i="7949" s="1"/>
  <c r="J1590" i="7949"/>
  <c r="K1590" i="7949" s="1"/>
  <c r="L1590" i="7949" s="1"/>
  <c r="M1590" i="7949" s="1"/>
  <c r="N1590" i="7949" s="1"/>
  <c r="O1590" i="7949" s="1"/>
  <c r="P1590" i="7949" s="1"/>
  <c r="Q1590" i="7949" s="1"/>
  <c r="R1590" i="7949" s="1"/>
  <c r="S1590" i="7949" s="1"/>
  <c r="T1590" i="7949" s="1"/>
  <c r="U1590" i="7949" s="1"/>
  <c r="V1590" i="7949" s="1"/>
  <c r="W1590" i="7949" s="1"/>
  <c r="I2237" i="7949"/>
  <c r="J2237" i="7949" s="1"/>
  <c r="K2237" i="7949" s="1"/>
  <c r="L2237" i="7949" s="1"/>
  <c r="M2237" i="7949" s="1"/>
  <c r="N2237" i="7949" s="1"/>
  <c r="O2237" i="7949" s="1"/>
  <c r="P2237" i="7949" s="1"/>
  <c r="Q2237" i="7949" s="1"/>
  <c r="R2237" i="7949" s="1"/>
  <c r="S2237" i="7949" s="1"/>
  <c r="T2237" i="7949" s="1"/>
  <c r="U2237" i="7949" s="1"/>
  <c r="V2237" i="7949" s="1"/>
  <c r="W2237" i="7949" s="1"/>
  <c r="I2345" i="7949"/>
  <c r="J2345" i="7949" s="1"/>
  <c r="K2345" i="7949" s="1"/>
  <c r="L2345" i="7949" s="1"/>
  <c r="M2345" i="7949" s="1"/>
  <c r="N2345" i="7949" s="1"/>
  <c r="O2345" i="7949" s="1"/>
  <c r="P2345" i="7949" s="1"/>
  <c r="Q2345" i="7949" s="1"/>
  <c r="R2345" i="7949" s="1"/>
  <c r="S2345" i="7949" s="1"/>
  <c r="T2345" i="7949" s="1"/>
  <c r="U2345" i="7949" s="1"/>
  <c r="V2345" i="7949" s="1"/>
  <c r="W2345" i="7949" s="1"/>
  <c r="I1967" i="7949"/>
  <c r="J1967" i="7949" s="1"/>
  <c r="K1967" i="7949" s="1"/>
  <c r="L1967" i="7949" s="1"/>
  <c r="M1967" i="7949" s="1"/>
  <c r="N1967" i="7949" s="1"/>
  <c r="O1967" i="7949" s="1"/>
  <c r="P1967" i="7949" s="1"/>
  <c r="Q1967" i="7949" s="1"/>
  <c r="R1967" i="7949" s="1"/>
  <c r="S1967" i="7949" s="1"/>
  <c r="T1967" i="7949" s="1"/>
  <c r="U1967" i="7949" s="1"/>
  <c r="V1967" i="7949" s="1"/>
  <c r="W1967" i="7949" s="1"/>
  <c r="I2615" i="7949"/>
  <c r="J2615" i="7949" s="1"/>
  <c r="K2615" i="7949" s="1"/>
  <c r="L2615" i="7949" s="1"/>
  <c r="M2615" i="7949" s="1"/>
  <c r="N2615" i="7949" s="1"/>
  <c r="O2615" i="7949" s="1"/>
  <c r="P2615" i="7949" s="1"/>
  <c r="Q2615" i="7949" s="1"/>
  <c r="R2615" i="7949" s="1"/>
  <c r="S2615" i="7949" s="1"/>
  <c r="T2615" i="7949" s="1"/>
  <c r="U2615" i="7949" s="1"/>
  <c r="V2615" i="7949" s="1"/>
  <c r="W2615" i="7949" s="1"/>
  <c r="I1049" i="7949"/>
  <c r="J1049" i="7949" s="1"/>
  <c r="K1049" i="7949" s="1"/>
  <c r="L1049" i="7949" s="1"/>
  <c r="M1049" i="7949" s="1"/>
  <c r="N1049" i="7949" s="1"/>
  <c r="O1049" i="7949" s="1"/>
  <c r="P1049" i="7949" s="1"/>
  <c r="Q1049" i="7949" s="1"/>
  <c r="R1049" i="7949" s="1"/>
  <c r="S1049" i="7949" s="1"/>
  <c r="T1049" i="7949" s="1"/>
  <c r="U1049" i="7949" s="1"/>
  <c r="V1049" i="7949" s="1"/>
  <c r="W1049" i="7949" s="1"/>
  <c r="J2130" i="7949"/>
  <c r="K2130" i="7949" s="1"/>
  <c r="L2130" i="7949" s="1"/>
  <c r="M2130" i="7949" s="1"/>
  <c r="N2130" i="7949" s="1"/>
  <c r="O2130" i="7949" s="1"/>
  <c r="P2130" i="7949" s="1"/>
  <c r="Q2130" i="7949" s="1"/>
  <c r="R2130" i="7949" s="1"/>
  <c r="S2130" i="7949" s="1"/>
  <c r="T2130" i="7949" s="1"/>
  <c r="U2130" i="7949" s="1"/>
  <c r="V2130" i="7949" s="1"/>
  <c r="W2130" i="7949" s="1"/>
  <c r="J450" i="7950"/>
  <c r="K450" i="7950" s="1"/>
  <c r="J2286" i="7950"/>
  <c r="K2286" i="7950" s="1"/>
  <c r="J2448" i="7950"/>
  <c r="K2448" i="7950" s="1"/>
  <c r="J1584" i="7950"/>
  <c r="K1584" i="7950" s="1"/>
  <c r="K1099" i="7950"/>
  <c r="L1099" i="7950" s="1"/>
  <c r="K667" i="7950"/>
  <c r="L667" i="7950" s="1"/>
  <c r="I1319" i="7949"/>
  <c r="J1319" i="7949" s="1"/>
  <c r="K1319" i="7949" s="1"/>
  <c r="L1319" i="7949" s="1"/>
  <c r="M1319" i="7949" s="1"/>
  <c r="N1319" i="7949" s="1"/>
  <c r="O1319" i="7949" s="1"/>
  <c r="P1319" i="7949" s="1"/>
  <c r="Q1319" i="7949" s="1"/>
  <c r="R1319" i="7949" s="1"/>
  <c r="S1319" i="7949" s="1"/>
  <c r="T1319" i="7949" s="1"/>
  <c r="U1319" i="7949" s="1"/>
  <c r="V1319" i="7949" s="1"/>
  <c r="W1319" i="7949" s="1"/>
  <c r="J1968" i="7949"/>
  <c r="K1968" i="7949" s="1"/>
  <c r="L1968" i="7949" s="1"/>
  <c r="M1968" i="7949" s="1"/>
  <c r="N1968" i="7949" s="1"/>
  <c r="O1968" i="7949" s="1"/>
  <c r="P1968" i="7949" s="1"/>
  <c r="Q1968" i="7949" s="1"/>
  <c r="R1968" i="7949" s="1"/>
  <c r="S1968" i="7949" s="1"/>
  <c r="T1968" i="7949" s="1"/>
  <c r="U1968" i="7949" s="1"/>
  <c r="V1968" i="7949" s="1"/>
  <c r="W1968" i="7949" s="1"/>
  <c r="K1261" i="7950"/>
  <c r="L1261" i="7950" s="1"/>
  <c r="K397" i="7950"/>
  <c r="L397" i="7950" s="1"/>
  <c r="K2233" i="7950"/>
  <c r="L2233" i="7950" s="1"/>
  <c r="J2124" i="7950"/>
  <c r="K2124" i="7950" s="1"/>
  <c r="K991" i="7950"/>
  <c r="L991" i="7950" s="1"/>
  <c r="J618" i="7949"/>
  <c r="K618" i="7949" s="1"/>
  <c r="L618" i="7949" s="1"/>
  <c r="M618" i="7949" s="1"/>
  <c r="N618" i="7949" s="1"/>
  <c r="O618" i="7949" s="1"/>
  <c r="P618" i="7949" s="1"/>
  <c r="Q618" i="7949" s="1"/>
  <c r="R618" i="7949" s="1"/>
  <c r="S618" i="7949" s="1"/>
  <c r="T618" i="7949" s="1"/>
  <c r="U618" i="7949" s="1"/>
  <c r="V618" i="7949" s="1"/>
  <c r="W618" i="7949" s="1"/>
  <c r="J1212" i="7949"/>
  <c r="K1212" i="7949" s="1"/>
  <c r="L1212" i="7949" s="1"/>
  <c r="M1212" i="7949" s="1"/>
  <c r="N1212" i="7949" s="1"/>
  <c r="O1212" i="7949" s="1"/>
  <c r="P1212" i="7949" s="1"/>
  <c r="Q1212" i="7949" s="1"/>
  <c r="R1212" i="7949" s="1"/>
  <c r="S1212" i="7949" s="1"/>
  <c r="T1212" i="7949" s="1"/>
  <c r="U1212" i="7949" s="1"/>
  <c r="V1212" i="7949" s="1"/>
  <c r="W1212" i="7949" s="1"/>
  <c r="I2291" i="7949"/>
  <c r="J2291" i="7949" s="1"/>
  <c r="K2291" i="7949" s="1"/>
  <c r="L2291" i="7949" s="1"/>
  <c r="M2291" i="7949" s="1"/>
  <c r="N2291" i="7949" s="1"/>
  <c r="O2291" i="7949" s="1"/>
  <c r="P2291" i="7949" s="1"/>
  <c r="Q2291" i="7949" s="1"/>
  <c r="R2291" i="7949" s="1"/>
  <c r="S2291" i="7949" s="1"/>
  <c r="T2291" i="7949" s="1"/>
  <c r="U2291" i="7949" s="1"/>
  <c r="V2291" i="7949" s="1"/>
  <c r="W2291" i="7949" s="1"/>
  <c r="I941" i="7949"/>
  <c r="J941" i="7949" s="1"/>
  <c r="K941" i="7949" s="1"/>
  <c r="L941" i="7949" s="1"/>
  <c r="M941" i="7949" s="1"/>
  <c r="N941" i="7949" s="1"/>
  <c r="O941" i="7949" s="1"/>
  <c r="P941" i="7949" s="1"/>
  <c r="Q941" i="7949" s="1"/>
  <c r="R941" i="7949" s="1"/>
  <c r="S941" i="7949" s="1"/>
  <c r="T941" i="7949" s="1"/>
  <c r="U941" i="7949" s="1"/>
  <c r="V941" i="7949" s="1"/>
  <c r="W941" i="7949" s="1"/>
  <c r="I1805" i="7949"/>
  <c r="J1805" i="7949" s="1"/>
  <c r="K1805" i="7949" s="1"/>
  <c r="L1805" i="7949" s="1"/>
  <c r="M1805" i="7949" s="1"/>
  <c r="N1805" i="7949" s="1"/>
  <c r="O1805" i="7949" s="1"/>
  <c r="P1805" i="7949" s="1"/>
  <c r="Q1805" i="7949" s="1"/>
  <c r="R1805" i="7949" s="1"/>
  <c r="S1805" i="7949" s="1"/>
  <c r="T1805" i="7949" s="1"/>
  <c r="U1805" i="7949" s="1"/>
  <c r="V1805" i="7949" s="1"/>
  <c r="W1805" i="7949" s="1"/>
  <c r="J2022" i="7949"/>
  <c r="K2022" i="7949" s="1"/>
  <c r="L2022" i="7949" s="1"/>
  <c r="M2022" i="7949" s="1"/>
  <c r="N2022" i="7949" s="1"/>
  <c r="O2022" i="7949" s="1"/>
  <c r="P2022" i="7949" s="1"/>
  <c r="Q2022" i="7949" s="1"/>
  <c r="R2022" i="7949" s="1"/>
  <c r="S2022" i="7949" s="1"/>
  <c r="T2022" i="7949" s="1"/>
  <c r="U2022" i="7949" s="1"/>
  <c r="V2022" i="7949" s="1"/>
  <c r="W2022" i="7949" s="1"/>
  <c r="J2454" i="7949"/>
  <c r="K2454" i="7949" s="1"/>
  <c r="L2454" i="7949" s="1"/>
  <c r="M2454" i="7949" s="1"/>
  <c r="N2454" i="7949" s="1"/>
  <c r="O2454" i="7949" s="1"/>
  <c r="P2454" i="7949" s="1"/>
  <c r="Q2454" i="7949" s="1"/>
  <c r="R2454" i="7949" s="1"/>
  <c r="S2454" i="7949" s="1"/>
  <c r="T2454" i="7949" s="1"/>
  <c r="U2454" i="7949" s="1"/>
  <c r="V2454" i="7949" s="1"/>
  <c r="W2454" i="7949" s="1"/>
  <c r="J2502" i="7950"/>
  <c r="K2502" i="7950" s="1"/>
  <c r="J1638" i="7950"/>
  <c r="K1638" i="7950" s="1"/>
  <c r="K2395" i="7950"/>
  <c r="L2395" i="7950" s="1"/>
  <c r="K1963" i="7950"/>
  <c r="L1963" i="7950" s="1"/>
  <c r="K1531" i="7950"/>
  <c r="L1531" i="7950" s="1"/>
  <c r="J828" i="7950"/>
  <c r="K828" i="7950" s="1"/>
  <c r="J402" i="7949"/>
  <c r="K402" i="7949" s="1"/>
  <c r="L402" i="7949" s="1"/>
  <c r="M402" i="7949" s="1"/>
  <c r="N402" i="7949" s="1"/>
  <c r="O402" i="7949" s="1"/>
  <c r="P402" i="7949" s="1"/>
  <c r="Q402" i="7949" s="1"/>
  <c r="R402" i="7949" s="1"/>
  <c r="S402" i="7949" s="1"/>
  <c r="T402" i="7949" s="1"/>
  <c r="U402" i="7949" s="1"/>
  <c r="V402" i="7949" s="1"/>
  <c r="W402" i="7949" s="1"/>
  <c r="I1211" i="7949"/>
  <c r="J1211" i="7949" s="1"/>
  <c r="K1211" i="7949" s="1"/>
  <c r="L1211" i="7949" s="1"/>
  <c r="M1211" i="7949" s="1"/>
  <c r="N1211" i="7949" s="1"/>
  <c r="O1211" i="7949" s="1"/>
  <c r="P1211" i="7949" s="1"/>
  <c r="Q1211" i="7949" s="1"/>
  <c r="R1211" i="7949" s="1"/>
  <c r="S1211" i="7949" s="1"/>
  <c r="T1211" i="7949" s="1"/>
  <c r="U1211" i="7949" s="1"/>
  <c r="V1211" i="7949" s="1"/>
  <c r="W1211" i="7949" s="1"/>
  <c r="I1643" i="7949"/>
  <c r="J1643" i="7949" s="1"/>
  <c r="K1643" i="7949" s="1"/>
  <c r="L1643" i="7949" s="1"/>
  <c r="M1643" i="7949" s="1"/>
  <c r="N1643" i="7949" s="1"/>
  <c r="O1643" i="7949" s="1"/>
  <c r="P1643" i="7949" s="1"/>
  <c r="Q1643" i="7949" s="1"/>
  <c r="R1643" i="7949" s="1"/>
  <c r="S1643" i="7949" s="1"/>
  <c r="T1643" i="7949" s="1"/>
  <c r="U1643" i="7949" s="1"/>
  <c r="V1643" i="7949" s="1"/>
  <c r="W1643" i="7949" s="1"/>
  <c r="J2292" i="7949"/>
  <c r="K2292" i="7949" s="1"/>
  <c r="L2292" i="7949" s="1"/>
  <c r="M2292" i="7949" s="1"/>
  <c r="N2292" i="7949" s="1"/>
  <c r="O2292" i="7949" s="1"/>
  <c r="P2292" i="7949" s="1"/>
  <c r="Q2292" i="7949" s="1"/>
  <c r="R2292" i="7949" s="1"/>
  <c r="S2292" i="7949" s="1"/>
  <c r="T2292" i="7949" s="1"/>
  <c r="U2292" i="7949" s="1"/>
  <c r="V2292" i="7949" s="1"/>
  <c r="W2292" i="7949" s="1"/>
  <c r="J942" i="7949"/>
  <c r="K942" i="7949" s="1"/>
  <c r="L942" i="7949" s="1"/>
  <c r="M942" i="7949" s="1"/>
  <c r="N942" i="7949" s="1"/>
  <c r="O942" i="7949" s="1"/>
  <c r="P942" i="7949" s="1"/>
  <c r="Q942" i="7949" s="1"/>
  <c r="R942" i="7949" s="1"/>
  <c r="S942" i="7949" s="1"/>
  <c r="T942" i="7949" s="1"/>
  <c r="U942" i="7949" s="1"/>
  <c r="V942" i="7949" s="1"/>
  <c r="W942" i="7949" s="1"/>
  <c r="I1589" i="7949"/>
  <c r="J1589" i="7949" s="1"/>
  <c r="K1589" i="7949" s="1"/>
  <c r="L1589" i="7949" s="1"/>
  <c r="M1589" i="7949" s="1"/>
  <c r="N1589" i="7949" s="1"/>
  <c r="O1589" i="7949" s="1"/>
  <c r="P1589" i="7949" s="1"/>
  <c r="Q1589" i="7949" s="1"/>
  <c r="R1589" i="7949" s="1"/>
  <c r="S1589" i="7949" s="1"/>
  <c r="T1589" i="7949" s="1"/>
  <c r="U1589" i="7949" s="1"/>
  <c r="V1589" i="7949" s="1"/>
  <c r="W1589" i="7949" s="1"/>
  <c r="J2238" i="7949"/>
  <c r="K2238" i="7949" s="1"/>
  <c r="L2238" i="7949" s="1"/>
  <c r="M2238" i="7949" s="1"/>
  <c r="N2238" i="7949" s="1"/>
  <c r="O2238" i="7949" s="1"/>
  <c r="P2238" i="7949" s="1"/>
  <c r="Q2238" i="7949" s="1"/>
  <c r="R2238" i="7949" s="1"/>
  <c r="S2238" i="7949" s="1"/>
  <c r="T2238" i="7949" s="1"/>
  <c r="U2238" i="7949" s="1"/>
  <c r="V2238" i="7949" s="1"/>
  <c r="W2238" i="7949" s="1"/>
  <c r="I2453" i="7949"/>
  <c r="J2453" i="7949" s="1"/>
  <c r="K2453" i="7949" s="1"/>
  <c r="L2453" i="7949" s="1"/>
  <c r="M2453" i="7949" s="1"/>
  <c r="N2453" i="7949" s="1"/>
  <c r="O2453" i="7949" s="1"/>
  <c r="P2453" i="7949" s="1"/>
  <c r="Q2453" i="7949" s="1"/>
  <c r="R2453" i="7949" s="1"/>
  <c r="S2453" i="7949" s="1"/>
  <c r="T2453" i="7949" s="1"/>
  <c r="U2453" i="7949" s="1"/>
  <c r="V2453" i="7949" s="1"/>
  <c r="W2453" i="7949" s="1"/>
  <c r="I2561" i="7949"/>
  <c r="J2561" i="7949" s="1"/>
  <c r="K2561" i="7949" s="1"/>
  <c r="L2561" i="7949" s="1"/>
  <c r="M2561" i="7949" s="1"/>
  <c r="N2561" i="7949" s="1"/>
  <c r="O2561" i="7949" s="1"/>
  <c r="P2561" i="7949" s="1"/>
  <c r="Q2561" i="7949" s="1"/>
  <c r="R2561" i="7949" s="1"/>
  <c r="S2561" i="7949" s="1"/>
  <c r="T2561" i="7949" s="1"/>
  <c r="U2561" i="7949" s="1"/>
  <c r="V2561" i="7949" s="1"/>
  <c r="W2561" i="7949" s="1"/>
  <c r="I2129" i="7949"/>
  <c r="J2129" i="7949" s="1"/>
  <c r="K2129" i="7949" s="1"/>
  <c r="L2129" i="7949" s="1"/>
  <c r="M2129" i="7949" s="1"/>
  <c r="N2129" i="7949" s="1"/>
  <c r="O2129" i="7949" s="1"/>
  <c r="P2129" i="7949" s="1"/>
  <c r="Q2129" i="7949" s="1"/>
  <c r="R2129" i="7949" s="1"/>
  <c r="S2129" i="7949" s="1"/>
  <c r="T2129" i="7949" s="1"/>
  <c r="U2129" i="7949" s="1"/>
  <c r="V2129" i="7949" s="1"/>
  <c r="W2129" i="7949" s="1"/>
  <c r="J2232" i="7950"/>
  <c r="K2232" i="7950" s="1"/>
  <c r="J510" i="7949"/>
  <c r="K510" i="7949" s="1"/>
  <c r="L510" i="7949" s="1"/>
  <c r="M510" i="7949" s="1"/>
  <c r="N510" i="7949" s="1"/>
  <c r="O510" i="7949" s="1"/>
  <c r="P510" i="7949" s="1"/>
  <c r="Q510" i="7949" s="1"/>
  <c r="R510" i="7949" s="1"/>
  <c r="S510" i="7949" s="1"/>
  <c r="T510" i="7949" s="1"/>
  <c r="U510" i="7949" s="1"/>
  <c r="V510" i="7949" s="1"/>
  <c r="W510" i="7949" s="1"/>
  <c r="J1806" i="7949"/>
  <c r="K1806" i="7949" s="1"/>
  <c r="L1806" i="7949" s="1"/>
  <c r="M1806" i="7949" s="1"/>
  <c r="N1806" i="7949" s="1"/>
  <c r="O1806" i="7949" s="1"/>
  <c r="P1806" i="7949" s="1"/>
  <c r="Q1806" i="7949" s="1"/>
  <c r="R1806" i="7949" s="1"/>
  <c r="S1806" i="7949" s="1"/>
  <c r="T1806" i="7949" s="1"/>
  <c r="U1806" i="7949" s="1"/>
  <c r="V1806" i="7949" s="1"/>
  <c r="W1806" i="7949" s="1"/>
  <c r="I1157" i="7949"/>
  <c r="J1157" i="7949" s="1"/>
  <c r="K1157" i="7949" s="1"/>
  <c r="L1157" i="7949" s="1"/>
  <c r="M1157" i="7949" s="1"/>
  <c r="N1157" i="7949" s="1"/>
  <c r="O1157" i="7949" s="1"/>
  <c r="P1157" i="7949" s="1"/>
  <c r="Q1157" i="7949" s="1"/>
  <c r="R1157" i="7949" s="1"/>
  <c r="S1157" i="7949" s="1"/>
  <c r="T1157" i="7949" s="1"/>
  <c r="U1157" i="7949" s="1"/>
  <c r="V1157" i="7949" s="1"/>
  <c r="W1157" i="7949" s="1"/>
  <c r="I1697" i="7949"/>
  <c r="J1697" i="7949" s="1"/>
  <c r="K1697" i="7949" s="1"/>
  <c r="L1697" i="7949" s="1"/>
  <c r="M1697" i="7949" s="1"/>
  <c r="N1697" i="7949" s="1"/>
  <c r="O1697" i="7949" s="1"/>
  <c r="P1697" i="7949" s="1"/>
  <c r="Q1697" i="7949" s="1"/>
  <c r="R1697" i="7949" s="1"/>
  <c r="S1697" i="7949" s="1"/>
  <c r="T1697" i="7949" s="1"/>
  <c r="U1697" i="7949" s="1"/>
  <c r="V1697" i="7949" s="1"/>
  <c r="W1697" i="7949" s="1"/>
  <c r="E1689" i="7950"/>
  <c r="F1689" i="7950" s="1"/>
  <c r="G1689" i="7950" s="1"/>
  <c r="H1689" i="7950" s="1"/>
  <c r="I1689" i="7950" s="1"/>
  <c r="E1851" i="7950"/>
  <c r="F1851" i="7950" s="1"/>
  <c r="G1851" i="7950" s="1"/>
  <c r="H1851" i="7950" s="1"/>
  <c r="I1851" i="7950" s="1"/>
  <c r="G2285" i="7950"/>
  <c r="H2285" i="7950" s="1"/>
  <c r="I2285" i="7950" s="1"/>
  <c r="J2285" i="7950" s="1"/>
  <c r="K2285" i="7950" s="1"/>
  <c r="G2501" i="7950"/>
  <c r="H2501" i="7950" s="1"/>
  <c r="I2501" i="7950" s="1"/>
  <c r="J2501" i="7950" s="1"/>
  <c r="K2501" i="7950" s="1"/>
  <c r="E2607" i="7950"/>
  <c r="F2607" i="7950" s="1"/>
  <c r="G2607" i="7950" s="1"/>
  <c r="H2607" i="7950" s="1"/>
  <c r="I2607" i="7950" s="1"/>
  <c r="E609" i="7950"/>
  <c r="F609" i="7950" s="1"/>
  <c r="G609" i="7950" s="1"/>
  <c r="H609" i="7950" s="1"/>
  <c r="I609" i="7950" s="1"/>
  <c r="E825" i="7950"/>
  <c r="F825" i="7950" s="1"/>
  <c r="G825" i="7950" s="1"/>
  <c r="H825" i="7950" s="1"/>
  <c r="I825" i="7950" s="1"/>
  <c r="G989" i="7950"/>
  <c r="H989" i="7950" s="1"/>
  <c r="I989" i="7950" s="1"/>
  <c r="J989" i="7950" s="1"/>
  <c r="K989" i="7950" s="1"/>
  <c r="G1097" i="7950"/>
  <c r="H1097" i="7950" s="1"/>
  <c r="I1097" i="7950" s="1"/>
  <c r="J1097" i="7950" s="1"/>
  <c r="K1097" i="7950" s="1"/>
  <c r="G1529" i="7950"/>
  <c r="H1529" i="7950" s="1"/>
  <c r="I1529" i="7950" s="1"/>
  <c r="J1529" i="7950" s="1"/>
  <c r="K1529" i="7950" s="1"/>
  <c r="E987" i="7950"/>
  <c r="F987" i="7950" s="1"/>
  <c r="G987" i="7950" s="1"/>
  <c r="H987" i="7950" s="1"/>
  <c r="I987" i="7950" s="1"/>
  <c r="I2469" i="7950"/>
  <c r="J2146" i="7950"/>
  <c r="L1933" i="7950"/>
  <c r="I1605" i="7950"/>
  <c r="E902" i="7950"/>
  <c r="K2418" i="7950"/>
  <c r="E1874" i="7950"/>
  <c r="K311" i="7950"/>
  <c r="K1932" i="7950"/>
  <c r="J2308" i="7950"/>
  <c r="L2095" i="7950"/>
  <c r="K1446" i="7950"/>
  <c r="K960" i="7950"/>
  <c r="E416" i="7950"/>
  <c r="K1122" i="7950"/>
  <c r="E578" i="7950"/>
  <c r="K1230" i="7950"/>
  <c r="E686" i="7950"/>
  <c r="K2202" i="7950"/>
  <c r="E1658" i="7950"/>
  <c r="J1174" i="7950"/>
  <c r="L853" i="7950"/>
  <c r="I525" i="7950"/>
  <c r="K2580" i="7950"/>
  <c r="E2036" i="7950"/>
  <c r="K1607" i="7950"/>
  <c r="L1231" i="7950"/>
  <c r="L367" i="7950"/>
  <c r="K1175" i="7950"/>
  <c r="K744" i="7950"/>
  <c r="I201" i="7950"/>
  <c r="I2685" i="7950"/>
  <c r="J2038" i="7950"/>
  <c r="L1825" i="7950"/>
  <c r="F1226" i="7950"/>
  <c r="L2581" i="7950"/>
  <c r="I1821" i="7950"/>
  <c r="F470" i="7950"/>
  <c r="E2306" i="7950"/>
  <c r="K1661" i="7950"/>
  <c r="E1820" i="7950"/>
  <c r="L1879" i="7950"/>
  <c r="E848" i="7950"/>
  <c r="E1388" i="7950"/>
  <c r="K1229" i="7950"/>
  <c r="K798" i="7950"/>
  <c r="J258" i="7950"/>
  <c r="K1770" i="7950"/>
  <c r="I741" i="7950"/>
  <c r="J526" i="7950"/>
  <c r="E2468" i="7950"/>
  <c r="I687" i="7950"/>
  <c r="J472" i="7950"/>
  <c r="E632" i="7950"/>
  <c r="F632" i="7950" s="1"/>
  <c r="K2688" i="7950"/>
  <c r="L2473" i="7950"/>
  <c r="I1713" i="7950"/>
  <c r="K1878" i="7950"/>
  <c r="J634" i="7950"/>
  <c r="K312" i="7950"/>
  <c r="J2016" i="7950"/>
  <c r="K2016" i="7950" s="1"/>
  <c r="J1498" i="7950"/>
  <c r="J796" i="7950"/>
  <c r="L475" i="7950"/>
  <c r="L2203" i="7950"/>
  <c r="K1747" i="7950"/>
  <c r="L1747" i="7950" s="1"/>
  <c r="K851" i="7950"/>
  <c r="K420" i="7950"/>
  <c r="K97" i="7950"/>
  <c r="J2632" i="7950"/>
  <c r="J1768" i="7950"/>
  <c r="D1879" i="7949"/>
  <c r="G1745" i="7950"/>
  <c r="H1745" i="7950" s="1"/>
  <c r="I1745" i="7950" s="1"/>
  <c r="J1745" i="7950" s="1"/>
  <c r="K1745" i="7950" s="1"/>
  <c r="F2230" i="7950"/>
  <c r="G2230" i="7950" s="1"/>
  <c r="H2230" i="7950" s="1"/>
  <c r="I2230" i="7950" s="1"/>
  <c r="J2230" i="7950" s="1"/>
  <c r="G449" i="7950"/>
  <c r="H449" i="7950" s="1"/>
  <c r="I449" i="7950" s="1"/>
  <c r="J449" i="7950" s="1"/>
  <c r="K449" i="7950" s="1"/>
  <c r="E555" i="7950"/>
  <c r="F555" i="7950" s="1"/>
  <c r="G555" i="7950" s="1"/>
  <c r="H555" i="7950" s="1"/>
  <c r="I555" i="7950" s="1"/>
  <c r="F880" i="7950"/>
  <c r="G880" i="7950" s="1"/>
  <c r="H880" i="7950" s="1"/>
  <c r="I880" i="7950" s="1"/>
  <c r="J880" i="7950" s="1"/>
  <c r="F1042" i="7950"/>
  <c r="G1042" i="7950" s="1"/>
  <c r="H1042" i="7950" s="1"/>
  <c r="I1042" i="7950" s="1"/>
  <c r="J1042" i="7950" s="1"/>
  <c r="F1204" i="7950"/>
  <c r="G1204" i="7950" s="1"/>
  <c r="H1204" i="7950" s="1"/>
  <c r="I1204" i="7950" s="1"/>
  <c r="J1204" i="7950" s="1"/>
  <c r="F1636" i="7950"/>
  <c r="G1636" i="7950" s="1"/>
  <c r="H1636" i="7950" s="1"/>
  <c r="I1636" i="7950" s="1"/>
  <c r="J1636" i="7950" s="1"/>
  <c r="E1797" i="7950"/>
  <c r="F1797" i="7950" s="1"/>
  <c r="G1797" i="7950" s="1"/>
  <c r="H1797" i="7950" s="1"/>
  <c r="I1797" i="7950" s="1"/>
  <c r="F1852" i="7950"/>
  <c r="G1852" i="7950" s="1"/>
  <c r="H1852" i="7950" s="1"/>
  <c r="I1852" i="7950" s="1"/>
  <c r="J1852" i="7950" s="1"/>
  <c r="G2015" i="7950"/>
  <c r="H2015" i="7950" s="1"/>
  <c r="I2015" i="7950" s="1"/>
  <c r="J2015" i="7950" s="1"/>
  <c r="K2015" i="7950" s="1"/>
  <c r="G2123" i="7950"/>
  <c r="H2123" i="7950" s="1"/>
  <c r="I2123" i="7950" s="1"/>
  <c r="J2123" i="7950" s="1"/>
  <c r="K2123" i="7950" s="1"/>
  <c r="G2339" i="7950"/>
  <c r="H2339" i="7950" s="1"/>
  <c r="I2339" i="7950" s="1"/>
  <c r="J2339" i="7950" s="1"/>
  <c r="K2339" i="7950" s="1"/>
  <c r="E2499" i="7950"/>
  <c r="F2499" i="7950" s="1"/>
  <c r="G2499" i="7950" s="1"/>
  <c r="H2499" i="7950" s="1"/>
  <c r="I2499" i="7950" s="1"/>
  <c r="E393" i="7950"/>
  <c r="F393" i="7950" s="1"/>
  <c r="G393" i="7950" s="1"/>
  <c r="H393" i="7950" s="1"/>
  <c r="I393" i="7950" s="1"/>
  <c r="G503" i="7950"/>
  <c r="H503" i="7950" s="1"/>
  <c r="I503" i="7950" s="1"/>
  <c r="J503" i="7950" s="1"/>
  <c r="K503" i="7950" s="1"/>
  <c r="E663" i="7950"/>
  <c r="F663" i="7950" s="1"/>
  <c r="G663" i="7950" s="1"/>
  <c r="H663" i="7950" s="1"/>
  <c r="I663" i="7950" s="1"/>
  <c r="E1095" i="7950"/>
  <c r="F1095" i="7950" s="1"/>
  <c r="G1095" i="7950" s="1"/>
  <c r="H1095" i="7950" s="1"/>
  <c r="I1095" i="7950" s="1"/>
  <c r="G1259" i="7950"/>
  <c r="H1259" i="7950" s="1"/>
  <c r="I1259" i="7950" s="1"/>
  <c r="J1259" i="7950" s="1"/>
  <c r="K1259" i="7950" s="1"/>
  <c r="E1527" i="7950"/>
  <c r="F1527" i="7950" s="1"/>
  <c r="G1527" i="7950" s="1"/>
  <c r="H1527" i="7950" s="1"/>
  <c r="I1527" i="7950" s="1"/>
  <c r="F394" i="7950"/>
  <c r="G394" i="7950" s="1"/>
  <c r="H394" i="7950" s="1"/>
  <c r="I394" i="7950" s="1"/>
  <c r="J394" i="7950" s="1"/>
  <c r="J2578" i="7950"/>
  <c r="K2093" i="7950"/>
  <c r="J1552" i="7950"/>
  <c r="I1497" i="7950"/>
  <c r="K1877" i="7950"/>
  <c r="I471" i="7950"/>
  <c r="J310" i="7950"/>
  <c r="K94" i="7950"/>
  <c r="J2362" i="7950"/>
  <c r="L2149" i="7950"/>
  <c r="K1014" i="7950"/>
  <c r="E1442" i="7950"/>
  <c r="K2364" i="7950"/>
  <c r="J2524" i="7950"/>
  <c r="I1983" i="7950"/>
  <c r="L1447" i="7950"/>
  <c r="K1121" i="7950"/>
  <c r="K690" i="7950"/>
  <c r="K1445" i="7950"/>
  <c r="L1069" i="7950"/>
  <c r="J1606" i="7950"/>
  <c r="K1391" i="7950"/>
  <c r="L1015" i="7950"/>
  <c r="K1176" i="7950"/>
  <c r="J2254" i="7950"/>
  <c r="L2041" i="7950"/>
  <c r="K2417" i="7950"/>
  <c r="K1553" i="7950"/>
  <c r="L1177" i="7950"/>
  <c r="K2579" i="7950"/>
  <c r="K2040" i="7950"/>
  <c r="I1011" i="7950"/>
  <c r="J1984" i="7950"/>
  <c r="L1771" i="7950"/>
  <c r="I1443" i="7950"/>
  <c r="D1231" i="7949"/>
  <c r="D2095" i="7949"/>
  <c r="K2363" i="7950"/>
  <c r="K635" i="7950"/>
  <c r="I2091" i="7950"/>
  <c r="G1799" i="7950"/>
  <c r="H1799" i="7950" s="1"/>
  <c r="I1799" i="7950" s="1"/>
  <c r="J1799" i="7950" s="1"/>
  <c r="K1799" i="7950" s="1"/>
  <c r="F2284" i="7950"/>
  <c r="G2284" i="7950" s="1"/>
  <c r="H2284" i="7950" s="1"/>
  <c r="I2284" i="7950" s="1"/>
  <c r="J2284" i="7950" s="1"/>
  <c r="G2447" i="7950"/>
  <c r="H2447" i="7950" s="1"/>
  <c r="I2447" i="7950" s="1"/>
  <c r="J2447" i="7950" s="1"/>
  <c r="K2447" i="7950" s="1"/>
  <c r="F2554" i="7950"/>
  <c r="G2554" i="7950" s="1"/>
  <c r="H2554" i="7950" s="1"/>
  <c r="I2554" i="7950" s="1"/>
  <c r="J2554" i="7950" s="1"/>
  <c r="E933" i="7950"/>
  <c r="F933" i="7950" s="1"/>
  <c r="G933" i="7950" s="1"/>
  <c r="H933" i="7950" s="1"/>
  <c r="I933" i="7950" s="1"/>
  <c r="G1043" i="7950"/>
  <c r="H1043" i="7950" s="1"/>
  <c r="I1043" i="7950" s="1"/>
  <c r="J1043" i="7950" s="1"/>
  <c r="K1043" i="7950" s="1"/>
  <c r="F1528" i="7950"/>
  <c r="G1528" i="7950" s="1"/>
  <c r="H1528" i="7950" s="1"/>
  <c r="I1528" i="7950" s="1"/>
  <c r="J1528" i="7950" s="1"/>
  <c r="F1582" i="7950"/>
  <c r="G1582" i="7950" s="1"/>
  <c r="H1582" i="7950" s="1"/>
  <c r="I1582" i="7950" s="1"/>
  <c r="J1582" i="7950" s="1"/>
  <c r="F1960" i="7950"/>
  <c r="G1960" i="7950" s="1"/>
  <c r="H1960" i="7950" s="1"/>
  <c r="I1960" i="7950" s="1"/>
  <c r="J1960" i="7950" s="1"/>
  <c r="E2391" i="7950"/>
  <c r="F2391" i="7950" s="1"/>
  <c r="G2391" i="7950" s="1"/>
  <c r="H2391" i="7950" s="1"/>
  <c r="I2391" i="7950" s="1"/>
  <c r="F448" i="7950"/>
  <c r="G448" i="7950" s="1"/>
  <c r="H448" i="7950" s="1"/>
  <c r="I448" i="7950" s="1"/>
  <c r="J448" i="7950" s="1"/>
  <c r="G719" i="7950"/>
  <c r="H719" i="7950" s="1"/>
  <c r="I719" i="7950" s="1"/>
  <c r="J719" i="7950" s="1"/>
  <c r="K719" i="7950" s="1"/>
  <c r="E1041" i="7950"/>
  <c r="F1041" i="7950" s="1"/>
  <c r="G1041" i="7950" s="1"/>
  <c r="H1041" i="7950" s="1"/>
  <c r="I1041" i="7950" s="1"/>
  <c r="E1203" i="7950"/>
  <c r="F1203" i="7950" s="1"/>
  <c r="G1203" i="7950" s="1"/>
  <c r="H1203" i="7950" s="1"/>
  <c r="I1203" i="7950" s="1"/>
  <c r="G1367" i="7950"/>
  <c r="H1367" i="7950" s="1"/>
  <c r="I1367" i="7950" s="1"/>
  <c r="J1367" i="7950" s="1"/>
  <c r="K1367" i="7950" s="1"/>
  <c r="E1419" i="7950"/>
  <c r="F1419" i="7950" s="1"/>
  <c r="G1419" i="7950" s="1"/>
  <c r="H1419" i="7950" s="1"/>
  <c r="I1419" i="7950" s="1"/>
  <c r="G1583" i="7950"/>
  <c r="H1583" i="7950" s="1"/>
  <c r="I1583" i="7950" s="1"/>
  <c r="J1583" i="7950" s="1"/>
  <c r="K1583" i="7950" s="1"/>
  <c r="G1637" i="7950"/>
  <c r="H1637" i="7950" s="1"/>
  <c r="I1637" i="7950" s="1"/>
  <c r="J1637" i="7950" s="1"/>
  <c r="K1637" i="7950" s="1"/>
  <c r="G1691" i="7950"/>
  <c r="H1691" i="7950" s="1"/>
  <c r="I1691" i="7950" s="1"/>
  <c r="J1691" i="7950" s="1"/>
  <c r="K1691" i="7950" s="1"/>
  <c r="F1690" i="7950"/>
  <c r="G1690" i="7950" s="1"/>
  <c r="H1690" i="7950" s="1"/>
  <c r="I1690" i="7950" s="1"/>
  <c r="J1690" i="7950" s="1"/>
  <c r="E1743" i="7950"/>
  <c r="F1743" i="7950" s="1"/>
  <c r="G1743" i="7950" s="1"/>
  <c r="H1743" i="7950" s="1"/>
  <c r="I1743" i="7950" s="1"/>
  <c r="G1853" i="7950"/>
  <c r="H1853" i="7950" s="1"/>
  <c r="I1853" i="7950" s="1"/>
  <c r="J1853" i="7950" s="1"/>
  <c r="K1853" i="7950" s="1"/>
  <c r="G1907" i="7950"/>
  <c r="H1907" i="7950" s="1"/>
  <c r="I1907" i="7950" s="1"/>
  <c r="J1907" i="7950" s="1"/>
  <c r="K1907" i="7950" s="1"/>
  <c r="G1961" i="7950"/>
  <c r="H1961" i="7950" s="1"/>
  <c r="I1961" i="7950" s="1"/>
  <c r="J1961" i="7950" s="1"/>
  <c r="K1961" i="7950" s="1"/>
  <c r="E2013" i="7950"/>
  <c r="F2013" i="7950" s="1"/>
  <c r="G2013" i="7950" s="1"/>
  <c r="H2013" i="7950" s="1"/>
  <c r="I2013" i="7950" s="1"/>
  <c r="F2068" i="7950"/>
  <c r="G2068" i="7950" s="1"/>
  <c r="H2068" i="7950" s="1"/>
  <c r="I2068" i="7950" s="1"/>
  <c r="J2068" i="7950" s="1"/>
  <c r="F2176" i="7950"/>
  <c r="G2176" i="7950" s="1"/>
  <c r="H2176" i="7950" s="1"/>
  <c r="I2176" i="7950" s="1"/>
  <c r="J2176" i="7950" s="1"/>
  <c r="E2175" i="7950"/>
  <c r="F2175" i="7950" s="1"/>
  <c r="G2175" i="7950" s="1"/>
  <c r="H2175" i="7950" s="1"/>
  <c r="I2175" i="7950" s="1"/>
  <c r="E2283" i="7950"/>
  <c r="F2283" i="7950" s="1"/>
  <c r="G2283" i="7950" s="1"/>
  <c r="H2283" i="7950" s="1"/>
  <c r="I2283" i="7950" s="1"/>
  <c r="F2392" i="7950"/>
  <c r="G2392" i="7950" s="1"/>
  <c r="H2392" i="7950" s="1"/>
  <c r="I2392" i="7950" s="1"/>
  <c r="J2392" i="7950" s="1"/>
  <c r="E2553" i="7950"/>
  <c r="F2553" i="7950" s="1"/>
  <c r="G2553" i="7950" s="1"/>
  <c r="H2553" i="7950" s="1"/>
  <c r="I2553" i="7950" s="1"/>
  <c r="G2609" i="7950"/>
  <c r="H2609" i="7950" s="1"/>
  <c r="I2609" i="7950" s="1"/>
  <c r="J2609" i="7950" s="1"/>
  <c r="K2609" i="7950" s="1"/>
  <c r="E447" i="7950"/>
  <c r="F447" i="7950" s="1"/>
  <c r="G447" i="7950" s="1"/>
  <c r="H447" i="7950" s="1"/>
  <c r="I447" i="7950" s="1"/>
  <c r="E501" i="7950"/>
  <c r="F501" i="7950" s="1"/>
  <c r="G501" i="7950" s="1"/>
  <c r="H501" i="7950" s="1"/>
  <c r="I501" i="7950" s="1"/>
  <c r="G557" i="7950"/>
  <c r="H557" i="7950" s="1"/>
  <c r="I557" i="7950" s="1"/>
  <c r="J557" i="7950" s="1"/>
  <c r="K557" i="7950" s="1"/>
  <c r="G611" i="7950"/>
  <c r="H611" i="7950" s="1"/>
  <c r="I611" i="7950" s="1"/>
  <c r="J611" i="7950" s="1"/>
  <c r="K611" i="7950" s="1"/>
  <c r="F718" i="7950"/>
  <c r="G718" i="7950" s="1"/>
  <c r="H718" i="7950" s="1"/>
  <c r="I718" i="7950" s="1"/>
  <c r="J718" i="7950" s="1"/>
  <c r="E771" i="7950"/>
  <c r="F771" i="7950" s="1"/>
  <c r="G771" i="7950" s="1"/>
  <c r="H771" i="7950" s="1"/>
  <c r="I771" i="7950" s="1"/>
  <c r="G827" i="7950"/>
  <c r="H827" i="7950" s="1"/>
  <c r="I827" i="7950" s="1"/>
  <c r="J827" i="7950" s="1"/>
  <c r="K827" i="7950" s="1"/>
  <c r="F1150" i="7950"/>
  <c r="G1150" i="7950" s="1"/>
  <c r="H1150" i="7950" s="1"/>
  <c r="I1150" i="7950" s="1"/>
  <c r="J1150" i="7950" s="1"/>
  <c r="G1151" i="7950"/>
  <c r="H1151" i="7950" s="1"/>
  <c r="I1151" i="7950" s="1"/>
  <c r="J1151" i="7950" s="1"/>
  <c r="K1151" i="7950" s="1"/>
  <c r="F1258" i="7950"/>
  <c r="G1258" i="7950" s="1"/>
  <c r="H1258" i="7950" s="1"/>
  <c r="I1258" i="7950" s="1"/>
  <c r="J1258" i="7950" s="1"/>
  <c r="G1421" i="7950"/>
  <c r="H1421" i="7950" s="1"/>
  <c r="I1421" i="7950" s="1"/>
  <c r="J1421" i="7950" s="1"/>
  <c r="K1421" i="7950" s="1"/>
  <c r="G1475" i="7950"/>
  <c r="H1475" i="7950" s="1"/>
  <c r="I1475" i="7950" s="1"/>
  <c r="J1475" i="7950" s="1"/>
  <c r="K1475" i="7950" s="1"/>
  <c r="E1581" i="7950"/>
  <c r="F1581" i="7950" s="1"/>
  <c r="G1581" i="7950" s="1"/>
  <c r="H1581" i="7950" s="1"/>
  <c r="I1581" i="7950" s="1"/>
  <c r="F610" i="7950"/>
  <c r="G610" i="7950" s="1"/>
  <c r="H610" i="7950" s="1"/>
  <c r="I610" i="7950" s="1"/>
  <c r="J610" i="7950" s="1"/>
  <c r="E1311" i="7950"/>
  <c r="F1311" i="7950" s="1"/>
  <c r="G1311" i="7950" s="1"/>
  <c r="H1311" i="7950" s="1"/>
  <c r="I1311" i="7950" s="1"/>
  <c r="J1311" i="7950" s="1"/>
  <c r="K1311" i="7950" s="1"/>
  <c r="L1311" i="7950" s="1"/>
  <c r="M1311" i="7950" s="1"/>
  <c r="N1311" i="7950" s="1"/>
  <c r="O1311" i="7950" s="1"/>
  <c r="P1311" i="7950" s="1"/>
  <c r="Q1311" i="7950" s="1"/>
  <c r="R1311" i="7950" s="1"/>
  <c r="S1311" i="7950" s="1"/>
  <c r="T1311" i="7950" s="1"/>
  <c r="U1311" i="7950" s="1"/>
  <c r="V1311" i="7950" s="1"/>
  <c r="W1311" i="7950" s="1"/>
  <c r="L2365" i="7950"/>
  <c r="I2037" i="7950"/>
  <c r="J1714" i="7950"/>
  <c r="K1013" i="7950"/>
  <c r="K582" i="7950"/>
  <c r="E2252" i="7950"/>
  <c r="L2527" i="7950"/>
  <c r="I2199" i="7950"/>
  <c r="J1876" i="7950"/>
  <c r="L1663" i="7950"/>
  <c r="E1280" i="7950"/>
  <c r="K527" i="7950"/>
  <c r="K689" i="7950"/>
  <c r="I1389" i="7950"/>
  <c r="K797" i="7950"/>
  <c r="K366" i="7950"/>
  <c r="E2522" i="7950"/>
  <c r="L1285" i="7950"/>
  <c r="I957" i="7950"/>
  <c r="J742" i="7950"/>
  <c r="L421" i="7950"/>
  <c r="K2255" i="7950"/>
  <c r="K1716" i="7950"/>
  <c r="J1390" i="7950"/>
  <c r="J1120" i="7950"/>
  <c r="L799" i="7950"/>
  <c r="I256" i="7950"/>
  <c r="E1064" i="7950"/>
  <c r="J2470" i="7950"/>
  <c r="L2257" i="7950"/>
  <c r="I1929" i="7950"/>
  <c r="E1604" i="7950"/>
  <c r="L2689" i="7950"/>
  <c r="L1717" i="7950"/>
  <c r="K581" i="7950"/>
  <c r="K1986" i="7950"/>
  <c r="K2039" i="7950"/>
  <c r="L2311" i="7950"/>
  <c r="J1660" i="7950"/>
  <c r="K959" i="7950"/>
  <c r="K528" i="7950"/>
  <c r="L1609" i="7950"/>
  <c r="E1118" i="7950"/>
  <c r="K365" i="7950"/>
  <c r="K2634" i="7950"/>
  <c r="E2090" i="7950"/>
  <c r="J958" i="7950"/>
  <c r="L637" i="7950"/>
  <c r="K2148" i="7950"/>
  <c r="K743" i="7950"/>
  <c r="L313" i="7950"/>
  <c r="L1393" i="7950"/>
  <c r="E794" i="7950"/>
  <c r="E2198" i="7950"/>
  <c r="F2198" i="7950" s="1"/>
  <c r="I1281" i="7950"/>
  <c r="I417" i="7950"/>
  <c r="K1715" i="7950"/>
  <c r="K1392" i="7950"/>
  <c r="I579" i="7950"/>
  <c r="J364" i="7950"/>
  <c r="L2635" i="7950"/>
  <c r="I2307" i="7950"/>
  <c r="E740" i="7950"/>
  <c r="D2689" i="7949"/>
  <c r="K1985" i="7950"/>
  <c r="K1499" i="7950"/>
  <c r="J580" i="7950"/>
  <c r="E1635" i="7950"/>
  <c r="F1635" i="7950" s="1"/>
  <c r="G1635" i="7950" s="1"/>
  <c r="H1635" i="7950" s="1"/>
  <c r="I1635" i="7950" s="1"/>
  <c r="F1798" i="7950"/>
  <c r="G1798" i="7950" s="1"/>
  <c r="H1798" i="7950" s="1"/>
  <c r="I1798" i="7950" s="1"/>
  <c r="J1798" i="7950" s="1"/>
  <c r="E1905" i="7950"/>
  <c r="F1905" i="7950" s="1"/>
  <c r="G1905" i="7950" s="1"/>
  <c r="H1905" i="7950" s="1"/>
  <c r="I1905" i="7950" s="1"/>
  <c r="F2014" i="7950"/>
  <c r="G2014" i="7950" s="1"/>
  <c r="H2014" i="7950" s="1"/>
  <c r="I2014" i="7950" s="1"/>
  <c r="J2014" i="7950" s="1"/>
  <c r="F664" i="7950"/>
  <c r="G664" i="7950" s="1"/>
  <c r="H664" i="7950" s="1"/>
  <c r="I664" i="7950" s="1"/>
  <c r="J664" i="7950" s="1"/>
  <c r="G2069" i="7950"/>
  <c r="H2069" i="7950" s="1"/>
  <c r="I2069" i="7950" s="1"/>
  <c r="J2069" i="7950" s="1"/>
  <c r="K2069" i="7950" s="1"/>
  <c r="F2122" i="7950"/>
  <c r="G2122" i="7950" s="1"/>
  <c r="H2122" i="7950" s="1"/>
  <c r="I2122" i="7950" s="1"/>
  <c r="J2122" i="7950" s="1"/>
  <c r="G2231" i="7950"/>
  <c r="H2231" i="7950" s="1"/>
  <c r="I2231" i="7950" s="1"/>
  <c r="J2231" i="7950" s="1"/>
  <c r="K2231" i="7950" s="1"/>
  <c r="F2338" i="7950"/>
  <c r="G2338" i="7950" s="1"/>
  <c r="H2338" i="7950" s="1"/>
  <c r="I2338" i="7950" s="1"/>
  <c r="J2338" i="7950" s="1"/>
  <c r="F2446" i="7950"/>
  <c r="G2446" i="7950" s="1"/>
  <c r="H2446" i="7950" s="1"/>
  <c r="I2446" i="7950" s="1"/>
  <c r="J2446" i="7950" s="1"/>
  <c r="G2555" i="7950"/>
  <c r="H2555" i="7950" s="1"/>
  <c r="I2555" i="7950" s="1"/>
  <c r="J2555" i="7950" s="1"/>
  <c r="K2555" i="7950" s="1"/>
  <c r="E2661" i="7950"/>
  <c r="F2661" i="7950" s="1"/>
  <c r="G2661" i="7950" s="1"/>
  <c r="H2661" i="7950" s="1"/>
  <c r="I2661" i="7950" s="1"/>
  <c r="F502" i="7950"/>
  <c r="G502" i="7950" s="1"/>
  <c r="H502" i="7950" s="1"/>
  <c r="I502" i="7950" s="1"/>
  <c r="J502" i="7950" s="1"/>
  <c r="G773" i="7950"/>
  <c r="H773" i="7950" s="1"/>
  <c r="I773" i="7950" s="1"/>
  <c r="J773" i="7950" s="1"/>
  <c r="K773" i="7950" s="1"/>
  <c r="F826" i="7950"/>
  <c r="G826" i="7950" s="1"/>
  <c r="H826" i="7950" s="1"/>
  <c r="I826" i="7950" s="1"/>
  <c r="J826" i="7950" s="1"/>
  <c r="E879" i="7950"/>
  <c r="F879" i="7950" s="1"/>
  <c r="G879" i="7950" s="1"/>
  <c r="H879" i="7950" s="1"/>
  <c r="I879" i="7950" s="1"/>
  <c r="F1096" i="7950"/>
  <c r="G1096" i="7950" s="1"/>
  <c r="H1096" i="7950" s="1"/>
  <c r="I1096" i="7950" s="1"/>
  <c r="J1096" i="7950" s="1"/>
  <c r="F1366" i="7950"/>
  <c r="G1366" i="7950" s="1"/>
  <c r="H1366" i="7950" s="1"/>
  <c r="I1366" i="7950" s="1"/>
  <c r="J1366" i="7950" s="1"/>
  <c r="F1744" i="7950"/>
  <c r="G1744" i="7950" s="1"/>
  <c r="H1744" i="7950" s="1"/>
  <c r="I1744" i="7950" s="1"/>
  <c r="J1744" i="7950" s="1"/>
  <c r="F1906" i="7950"/>
  <c r="G1906" i="7950" s="1"/>
  <c r="H1906" i="7950" s="1"/>
  <c r="I1906" i="7950" s="1"/>
  <c r="J1906" i="7950" s="1"/>
  <c r="E1959" i="7950"/>
  <c r="F1959" i="7950" s="1"/>
  <c r="G1959" i="7950" s="1"/>
  <c r="H1959" i="7950" s="1"/>
  <c r="I1959" i="7950" s="1"/>
  <c r="E2067" i="7950"/>
  <c r="F2067" i="7950" s="1"/>
  <c r="G2067" i="7950" s="1"/>
  <c r="H2067" i="7950" s="1"/>
  <c r="I2067" i="7950" s="1"/>
  <c r="E2121" i="7950"/>
  <c r="F2121" i="7950" s="1"/>
  <c r="G2121" i="7950" s="1"/>
  <c r="H2121" i="7950" s="1"/>
  <c r="I2121" i="7950" s="1"/>
  <c r="G2177" i="7950"/>
  <c r="H2177" i="7950" s="1"/>
  <c r="I2177" i="7950" s="1"/>
  <c r="J2177" i="7950" s="1"/>
  <c r="K2177" i="7950" s="1"/>
  <c r="E2229" i="7950"/>
  <c r="F2229" i="7950" s="1"/>
  <c r="G2229" i="7950" s="1"/>
  <c r="H2229" i="7950" s="1"/>
  <c r="I2229" i="7950" s="1"/>
  <c r="E2337" i="7950"/>
  <c r="F2337" i="7950" s="1"/>
  <c r="G2337" i="7950" s="1"/>
  <c r="H2337" i="7950" s="1"/>
  <c r="I2337" i="7950" s="1"/>
  <c r="G2393" i="7950"/>
  <c r="H2393" i="7950" s="1"/>
  <c r="I2393" i="7950" s="1"/>
  <c r="J2393" i="7950" s="1"/>
  <c r="K2393" i="7950" s="1"/>
  <c r="E2445" i="7950"/>
  <c r="F2445" i="7950" s="1"/>
  <c r="G2445" i="7950" s="1"/>
  <c r="H2445" i="7950" s="1"/>
  <c r="I2445" i="7950" s="1"/>
  <c r="F2500" i="7950"/>
  <c r="G2500" i="7950" s="1"/>
  <c r="H2500" i="7950" s="1"/>
  <c r="I2500" i="7950" s="1"/>
  <c r="J2500" i="7950" s="1"/>
  <c r="F2608" i="7950"/>
  <c r="G2608" i="7950" s="1"/>
  <c r="H2608" i="7950" s="1"/>
  <c r="I2608" i="7950" s="1"/>
  <c r="J2608" i="7950" s="1"/>
  <c r="G2663" i="7950"/>
  <c r="H2663" i="7950" s="1"/>
  <c r="I2663" i="7950" s="1"/>
  <c r="J2663" i="7950" s="1"/>
  <c r="K2663" i="7950" s="1"/>
  <c r="F2662" i="7950"/>
  <c r="G2662" i="7950" s="1"/>
  <c r="H2662" i="7950" s="1"/>
  <c r="I2662" i="7950" s="1"/>
  <c r="J2662" i="7950" s="1"/>
  <c r="G395" i="7950"/>
  <c r="H395" i="7950" s="1"/>
  <c r="I395" i="7950" s="1"/>
  <c r="J395" i="7950" s="1"/>
  <c r="K395" i="7950" s="1"/>
  <c r="F556" i="7950"/>
  <c r="G556" i="7950" s="1"/>
  <c r="H556" i="7950" s="1"/>
  <c r="I556" i="7950" s="1"/>
  <c r="J556" i="7950" s="1"/>
  <c r="G665" i="7950"/>
  <c r="H665" i="7950" s="1"/>
  <c r="I665" i="7950" s="1"/>
  <c r="J665" i="7950" s="1"/>
  <c r="K665" i="7950" s="1"/>
  <c r="E717" i="7950"/>
  <c r="F717" i="7950" s="1"/>
  <c r="G717" i="7950" s="1"/>
  <c r="H717" i="7950" s="1"/>
  <c r="I717" i="7950" s="1"/>
  <c r="F772" i="7950"/>
  <c r="G772" i="7950" s="1"/>
  <c r="H772" i="7950" s="1"/>
  <c r="I772" i="7950" s="1"/>
  <c r="J772" i="7950" s="1"/>
  <c r="G881" i="7950"/>
  <c r="H881" i="7950" s="1"/>
  <c r="I881" i="7950" s="1"/>
  <c r="J881" i="7950" s="1"/>
  <c r="K881" i="7950" s="1"/>
  <c r="F934" i="7950"/>
  <c r="G934" i="7950" s="1"/>
  <c r="H934" i="7950" s="1"/>
  <c r="I934" i="7950" s="1"/>
  <c r="J934" i="7950" s="1"/>
  <c r="G935" i="7950"/>
  <c r="H935" i="7950" s="1"/>
  <c r="I935" i="7950" s="1"/>
  <c r="J935" i="7950" s="1"/>
  <c r="K935" i="7950" s="1"/>
  <c r="F988" i="7950"/>
  <c r="G988" i="7950" s="1"/>
  <c r="H988" i="7950" s="1"/>
  <c r="I988" i="7950" s="1"/>
  <c r="J988" i="7950" s="1"/>
  <c r="E1149" i="7950"/>
  <c r="F1149" i="7950" s="1"/>
  <c r="G1149" i="7950" s="1"/>
  <c r="H1149" i="7950" s="1"/>
  <c r="I1149" i="7950" s="1"/>
  <c r="G1205" i="7950"/>
  <c r="H1205" i="7950" s="1"/>
  <c r="I1205" i="7950" s="1"/>
  <c r="J1205" i="7950" s="1"/>
  <c r="K1205" i="7950" s="1"/>
  <c r="E1257" i="7950"/>
  <c r="F1257" i="7950" s="1"/>
  <c r="G1257" i="7950" s="1"/>
  <c r="H1257" i="7950" s="1"/>
  <c r="I1257" i="7950" s="1"/>
  <c r="E1365" i="7950"/>
  <c r="F1365" i="7950" s="1"/>
  <c r="G1365" i="7950" s="1"/>
  <c r="H1365" i="7950" s="1"/>
  <c r="I1365" i="7950" s="1"/>
  <c r="F1420" i="7950"/>
  <c r="G1420" i="7950" s="1"/>
  <c r="H1420" i="7950" s="1"/>
  <c r="I1420" i="7950" s="1"/>
  <c r="J1420" i="7950" s="1"/>
  <c r="E1473" i="7950"/>
  <c r="F1473" i="7950" s="1"/>
  <c r="G1473" i="7950" s="1"/>
  <c r="H1473" i="7950" s="1"/>
  <c r="I1473" i="7950" s="1"/>
  <c r="F1474" i="7950"/>
  <c r="G1474" i="7950" s="1"/>
  <c r="H1474" i="7950" s="1"/>
  <c r="I1474" i="7950" s="1"/>
  <c r="J1474" i="7950" s="1"/>
  <c r="K1909" i="7950"/>
  <c r="L1909" i="7950" s="1"/>
  <c r="J2394" i="7950"/>
  <c r="K2394" i="7950" s="1"/>
  <c r="K2471" i="7950"/>
  <c r="J1908" i="7950"/>
  <c r="K1908" i="7950" s="1"/>
  <c r="I2631" i="7950"/>
  <c r="K2071" i="7950"/>
  <c r="L2071" i="7950" s="1"/>
  <c r="I1767" i="7950"/>
  <c r="J1422" i="7950"/>
  <c r="K1422" i="7950" s="1"/>
  <c r="J936" i="7950"/>
  <c r="K936" i="7950" s="1"/>
  <c r="J1098" i="7950"/>
  <c r="K1098" i="7950" s="1"/>
  <c r="J1206" i="7950"/>
  <c r="K1206" i="7950" s="1"/>
  <c r="K149" i="7950"/>
  <c r="J2178" i="7950"/>
  <c r="K2178" i="7950" s="1"/>
  <c r="K829" i="7950"/>
  <c r="L829" i="7950" s="1"/>
  <c r="J2556" i="7950"/>
  <c r="K2556" i="7950" s="1"/>
  <c r="K1207" i="7950"/>
  <c r="L1207" i="7950" s="1"/>
  <c r="I903" i="7950"/>
  <c r="J688" i="7950"/>
  <c r="J720" i="7950"/>
  <c r="K720" i="7950" s="1"/>
  <c r="I2361" i="7950"/>
  <c r="K1801" i="7950"/>
  <c r="L1801" i="7950" s="1"/>
  <c r="K2557" i="7950"/>
  <c r="L2557" i="7950" s="1"/>
  <c r="I2253" i="7950"/>
  <c r="J1930" i="7950"/>
  <c r="E1496" i="7950"/>
  <c r="K204" i="7950"/>
  <c r="I1551" i="7950"/>
  <c r="F1010" i="7950"/>
  <c r="L1501" i="7950"/>
  <c r="I1173" i="7950"/>
  <c r="K2687" i="7950"/>
  <c r="K1823" i="7950"/>
  <c r="K1500" i="7950"/>
  <c r="L583" i="7950"/>
  <c r="K259" i="7950"/>
  <c r="I93" i="7950"/>
  <c r="J2664" i="7950"/>
  <c r="K2664" i="7950" s="1"/>
  <c r="K2449" i="7950"/>
  <c r="L2449" i="7950" s="1"/>
  <c r="I2145" i="7950"/>
  <c r="J1822" i="7950"/>
  <c r="J148" i="7950"/>
  <c r="J1854" i="7950"/>
  <c r="K1854" i="7950" s="1"/>
  <c r="J1066" i="7950"/>
  <c r="L745" i="7950"/>
  <c r="E2360" i="7950"/>
  <c r="J1228" i="7950"/>
  <c r="L907" i="7950"/>
  <c r="I1875" i="7950"/>
  <c r="K1554" i="7950"/>
  <c r="K1284" i="7950"/>
  <c r="J396" i="7950"/>
  <c r="K396" i="7950" s="1"/>
  <c r="D637" i="7949"/>
  <c r="D799" i="7949"/>
  <c r="I995" i="7949"/>
  <c r="J995" i="7949" s="1"/>
  <c r="K995" i="7949" s="1"/>
  <c r="L995" i="7949" s="1"/>
  <c r="M995" i="7949" s="1"/>
  <c r="N995" i="7949" s="1"/>
  <c r="O995" i="7949" s="1"/>
  <c r="P995" i="7949" s="1"/>
  <c r="Q995" i="7949" s="1"/>
  <c r="R995" i="7949" s="1"/>
  <c r="S995" i="7949" s="1"/>
  <c r="T995" i="7949" s="1"/>
  <c r="U995" i="7949" s="1"/>
  <c r="V995" i="7949" s="1"/>
  <c r="W995" i="7949" s="1"/>
  <c r="J2076" i="7949"/>
  <c r="K2076" i="7949" s="1"/>
  <c r="L2076" i="7949" s="1"/>
  <c r="M2076" i="7949" s="1"/>
  <c r="N2076" i="7949" s="1"/>
  <c r="O2076" i="7949" s="1"/>
  <c r="P2076" i="7949" s="1"/>
  <c r="Q2076" i="7949" s="1"/>
  <c r="R2076" i="7949" s="1"/>
  <c r="S2076" i="7949" s="1"/>
  <c r="T2076" i="7949" s="1"/>
  <c r="U2076" i="7949" s="1"/>
  <c r="V2076" i="7949" s="1"/>
  <c r="W2076" i="7949" s="1"/>
  <c r="D2527" i="7949"/>
  <c r="D475" i="7949"/>
  <c r="J257" i="7950"/>
  <c r="L97" i="7949"/>
  <c r="J850" i="7950"/>
  <c r="I795" i="7950"/>
  <c r="D1825" i="7949"/>
  <c r="D1933" i="7949"/>
  <c r="K906" i="7950"/>
  <c r="K2094" i="7950"/>
  <c r="E1550" i="7950"/>
  <c r="F1550" i="7950" s="1"/>
  <c r="J96" i="7950"/>
  <c r="E2576" i="7950"/>
  <c r="K1931" i="7950"/>
  <c r="D529" i="7949"/>
  <c r="D2419" i="7949"/>
  <c r="D1069" i="7949"/>
  <c r="D2041" i="7949"/>
  <c r="D2581" i="7949"/>
  <c r="K2201" i="7950"/>
  <c r="K1662" i="7950"/>
  <c r="K1824" i="7950"/>
  <c r="D1339" i="7949"/>
  <c r="D583" i="7949"/>
  <c r="D745" i="7949"/>
  <c r="D1285" i="7949"/>
  <c r="E2630" i="7950"/>
  <c r="J1444" i="7950"/>
  <c r="I1065" i="7950"/>
  <c r="L529" i="7950"/>
  <c r="K2472" i="7950"/>
  <c r="F1928" i="7950"/>
  <c r="L1123" i="7950"/>
  <c r="H255" i="7950"/>
  <c r="L2419" i="7950"/>
  <c r="L1555" i="7950"/>
  <c r="E1172" i="7950"/>
  <c r="K419" i="7950"/>
  <c r="L205" i="7950"/>
  <c r="D1015" i="7949"/>
  <c r="D1447" i="7949"/>
  <c r="D1393" i="7949"/>
  <c r="K1067" i="7950"/>
  <c r="K636" i="7950"/>
  <c r="D1123" i="7949"/>
  <c r="D1609" i="7949"/>
  <c r="I147" i="7950"/>
  <c r="K1068" i="7950"/>
  <c r="E524" i="7950"/>
  <c r="D907" i="7949"/>
  <c r="D1771" i="7949"/>
  <c r="D853" i="7949"/>
  <c r="D1717" i="7949"/>
  <c r="K474" i="7950"/>
  <c r="J418" i="7950"/>
  <c r="K95" i="7950"/>
  <c r="J2200" i="7950"/>
  <c r="K1283" i="7950"/>
  <c r="I309" i="7950"/>
  <c r="D367" i="7949"/>
  <c r="E2414" i="7950"/>
  <c r="K1769" i="7950"/>
  <c r="K203" i="7950"/>
  <c r="W1334" i="7950"/>
  <c r="K2256" i="7950"/>
  <c r="E1712" i="7950"/>
  <c r="J1104" i="7949"/>
  <c r="K1104" i="7949" s="1"/>
  <c r="L1104" i="7949" s="1"/>
  <c r="M1104" i="7949" s="1"/>
  <c r="N1104" i="7949" s="1"/>
  <c r="O1104" i="7949" s="1"/>
  <c r="P1104" i="7949" s="1"/>
  <c r="Q1104" i="7949" s="1"/>
  <c r="R1104" i="7949" s="1"/>
  <c r="S1104" i="7949" s="1"/>
  <c r="T1104" i="7949" s="1"/>
  <c r="U1104" i="7949" s="1"/>
  <c r="V1104" i="7949" s="1"/>
  <c r="W1104" i="7949" s="1"/>
  <c r="D1555" i="7949"/>
  <c r="E1555" i="7949" s="1"/>
  <c r="I2183" i="7949"/>
  <c r="J2183" i="7949" s="1"/>
  <c r="K2183" i="7949" s="1"/>
  <c r="L2183" i="7949" s="1"/>
  <c r="M2183" i="7949" s="1"/>
  <c r="N2183" i="7949" s="1"/>
  <c r="O2183" i="7949" s="1"/>
  <c r="P2183" i="7949" s="1"/>
  <c r="Q2183" i="7949" s="1"/>
  <c r="R2183" i="7949" s="1"/>
  <c r="S2183" i="7949" s="1"/>
  <c r="T2183" i="7949" s="1"/>
  <c r="U2183" i="7949" s="1"/>
  <c r="V2183" i="7949" s="1"/>
  <c r="W2183" i="7949" s="1"/>
  <c r="D43" i="7949"/>
  <c r="I833" i="7949"/>
  <c r="J833" i="7949" s="1"/>
  <c r="K833" i="7949" s="1"/>
  <c r="L833" i="7949" s="1"/>
  <c r="M833" i="7949" s="1"/>
  <c r="N833" i="7949" s="1"/>
  <c r="O833" i="7949" s="1"/>
  <c r="P833" i="7949" s="1"/>
  <c r="Q833" i="7949" s="1"/>
  <c r="R833" i="7949" s="1"/>
  <c r="S833" i="7949" s="1"/>
  <c r="T833" i="7949" s="1"/>
  <c r="U833" i="7949" s="1"/>
  <c r="V833" i="7949" s="1"/>
  <c r="W833" i="7949" s="1"/>
  <c r="D2365" i="7949"/>
  <c r="K2665" i="7950"/>
  <c r="L2665" i="7950" s="1"/>
  <c r="K2125" i="7950"/>
  <c r="L2125" i="7950" s="1"/>
  <c r="K2525" i="7950"/>
  <c r="J1962" i="7950"/>
  <c r="K1962" i="7950" s="1"/>
  <c r="J2340" i="7950"/>
  <c r="K2340" i="7950" s="1"/>
  <c r="I2415" i="7950"/>
  <c r="J2092" i="7950"/>
  <c r="K1855" i="7950"/>
  <c r="L1855" i="7950" s="1"/>
  <c r="J504" i="7950"/>
  <c r="K504" i="7950" s="1"/>
  <c r="K1585" i="7950"/>
  <c r="L1585" i="7950" s="1"/>
  <c r="J666" i="7950"/>
  <c r="K666" i="7950" s="1"/>
  <c r="J774" i="7950"/>
  <c r="K774" i="7950" s="1"/>
  <c r="K2309" i="7950"/>
  <c r="J1746" i="7950"/>
  <c r="K1746" i="7950" s="1"/>
  <c r="K613" i="7950"/>
  <c r="L613" i="7950" s="1"/>
  <c r="J1476" i="7950"/>
  <c r="K1476" i="7950" s="1"/>
  <c r="I1119" i="7950"/>
  <c r="J904" i="7950"/>
  <c r="K559" i="7950"/>
  <c r="L559" i="7950" s="1"/>
  <c r="I2577" i="7950"/>
  <c r="K2017" i="7950"/>
  <c r="L2017" i="7950" s="1"/>
  <c r="K905" i="7950"/>
  <c r="K473" i="7950"/>
  <c r="K1153" i="7950"/>
  <c r="L1153" i="7950" s="1"/>
  <c r="I849" i="7950"/>
  <c r="J1368" i="7950"/>
  <c r="K1368" i="7950" s="1"/>
  <c r="K451" i="7950"/>
  <c r="L451" i="7950" s="1"/>
  <c r="M151" i="7950"/>
  <c r="J2416" i="7950"/>
  <c r="K2179" i="7950"/>
  <c r="L2179" i="7950" s="1"/>
  <c r="J1530" i="7950"/>
  <c r="K1530" i="7950" s="1"/>
  <c r="J1260" i="7950"/>
  <c r="K1260" i="7950" s="1"/>
  <c r="J202" i="7950"/>
  <c r="J780" i="7949"/>
  <c r="K780" i="7949" s="1"/>
  <c r="L780" i="7949" s="1"/>
  <c r="M780" i="7949" s="1"/>
  <c r="N780" i="7949" s="1"/>
  <c r="O780" i="7949" s="1"/>
  <c r="P780" i="7949" s="1"/>
  <c r="Q780" i="7949" s="1"/>
  <c r="R780" i="7949" s="1"/>
  <c r="S780" i="7949" s="1"/>
  <c r="T780" i="7949" s="1"/>
  <c r="U780" i="7949" s="1"/>
  <c r="V780" i="7949" s="1"/>
  <c r="W780" i="7949" s="1"/>
  <c r="D1663" i="7949"/>
  <c r="I1859" i="7949"/>
  <c r="J1859" i="7949" s="1"/>
  <c r="K1859" i="7949" s="1"/>
  <c r="L1859" i="7949" s="1"/>
  <c r="M1859" i="7949" s="1"/>
  <c r="N1859" i="7949" s="1"/>
  <c r="O1859" i="7949" s="1"/>
  <c r="P1859" i="7949" s="1"/>
  <c r="Q1859" i="7949" s="1"/>
  <c r="R1859" i="7949" s="1"/>
  <c r="S1859" i="7949" s="1"/>
  <c r="T1859" i="7949" s="1"/>
  <c r="U1859" i="7949" s="1"/>
  <c r="V1859" i="7949" s="1"/>
  <c r="W1859" i="7949" s="1"/>
  <c r="J2508" i="7949"/>
  <c r="K2508" i="7949" s="1"/>
  <c r="L2508" i="7949" s="1"/>
  <c r="M2508" i="7949" s="1"/>
  <c r="N2508" i="7949" s="1"/>
  <c r="O2508" i="7949" s="1"/>
  <c r="P2508" i="7949" s="1"/>
  <c r="Q2508" i="7949" s="1"/>
  <c r="R2508" i="7949" s="1"/>
  <c r="S2508" i="7949" s="1"/>
  <c r="T2508" i="7949" s="1"/>
  <c r="U2508" i="7949" s="1"/>
  <c r="V2508" i="7949" s="1"/>
  <c r="W2508" i="7949" s="1"/>
  <c r="I563" i="7949"/>
  <c r="J563" i="7949" s="1"/>
  <c r="K563" i="7949" s="1"/>
  <c r="L563" i="7949" s="1"/>
  <c r="M563" i="7949" s="1"/>
  <c r="N563" i="7949" s="1"/>
  <c r="O563" i="7949" s="1"/>
  <c r="P563" i="7949" s="1"/>
  <c r="Q563" i="7949" s="1"/>
  <c r="R563" i="7949" s="1"/>
  <c r="S563" i="7949" s="1"/>
  <c r="T563" i="7949" s="1"/>
  <c r="U563" i="7949" s="1"/>
  <c r="V563" i="7949" s="1"/>
  <c r="W563" i="7949" s="1"/>
  <c r="I1373" i="7949"/>
  <c r="J1373" i="7949" s="1"/>
  <c r="K1373" i="7949" s="1"/>
  <c r="L1373" i="7949" s="1"/>
  <c r="M1373" i="7949" s="1"/>
  <c r="N1373" i="7949" s="1"/>
  <c r="O1373" i="7949" s="1"/>
  <c r="P1373" i="7949" s="1"/>
  <c r="Q1373" i="7949" s="1"/>
  <c r="R1373" i="7949" s="1"/>
  <c r="S1373" i="7949" s="1"/>
  <c r="T1373" i="7949" s="1"/>
  <c r="U1373" i="7949" s="1"/>
  <c r="V1373" i="7949" s="1"/>
  <c r="W1373" i="7949" s="1"/>
  <c r="D2473" i="7949"/>
  <c r="D2149" i="7949"/>
  <c r="K2526" i="7950"/>
  <c r="E1982" i="7950"/>
  <c r="J2686" i="7950"/>
  <c r="E2144" i="7950"/>
  <c r="F2144" i="7950" s="1"/>
  <c r="I401" i="7949"/>
  <c r="J401" i="7949" s="1"/>
  <c r="K401" i="7949" s="1"/>
  <c r="L401" i="7949" s="1"/>
  <c r="M401" i="7949" s="1"/>
  <c r="N401" i="7949" s="1"/>
  <c r="O401" i="7949" s="1"/>
  <c r="P401" i="7949" s="1"/>
  <c r="Q401" i="7949" s="1"/>
  <c r="R401" i="7949" s="1"/>
  <c r="S401" i="7949" s="1"/>
  <c r="T401" i="7949" s="1"/>
  <c r="U401" i="7949" s="1"/>
  <c r="V401" i="7949" s="1"/>
  <c r="W401" i="7949" s="1"/>
  <c r="J1752" i="7949"/>
  <c r="K1752" i="7949" s="1"/>
  <c r="L1752" i="7949" s="1"/>
  <c r="M1752" i="7949" s="1"/>
  <c r="N1752" i="7949" s="1"/>
  <c r="O1752" i="7949" s="1"/>
  <c r="P1752" i="7949" s="1"/>
  <c r="Q1752" i="7949" s="1"/>
  <c r="R1752" i="7949" s="1"/>
  <c r="S1752" i="7949" s="1"/>
  <c r="T1752" i="7949" s="1"/>
  <c r="U1752" i="7949" s="1"/>
  <c r="V1752" i="7949" s="1"/>
  <c r="W1752" i="7949" s="1"/>
  <c r="D2203" i="7949"/>
  <c r="J834" i="7949"/>
  <c r="K834" i="7949" s="1"/>
  <c r="L834" i="7949" s="1"/>
  <c r="M834" i="7949" s="1"/>
  <c r="N834" i="7949" s="1"/>
  <c r="O834" i="7949" s="1"/>
  <c r="P834" i="7949" s="1"/>
  <c r="Q834" i="7949" s="1"/>
  <c r="R834" i="7949" s="1"/>
  <c r="S834" i="7949" s="1"/>
  <c r="T834" i="7949" s="1"/>
  <c r="U834" i="7949" s="1"/>
  <c r="V834" i="7949" s="1"/>
  <c r="W834" i="7949" s="1"/>
  <c r="D1177" i="7949"/>
  <c r="J1698" i="7949"/>
  <c r="K1698" i="7949" s="1"/>
  <c r="L1698" i="7949" s="1"/>
  <c r="M1698" i="7949" s="1"/>
  <c r="N1698" i="7949" s="1"/>
  <c r="O1698" i="7949" s="1"/>
  <c r="P1698" i="7949" s="1"/>
  <c r="Q1698" i="7949" s="1"/>
  <c r="R1698" i="7949" s="1"/>
  <c r="S1698" i="7949" s="1"/>
  <c r="T1698" i="7949" s="1"/>
  <c r="U1698" i="7949" s="1"/>
  <c r="V1698" i="7949" s="1"/>
  <c r="W1698" i="7949" s="1"/>
  <c r="J2670" i="7949"/>
  <c r="K2670" i="7949" s="1"/>
  <c r="L2670" i="7949" s="1"/>
  <c r="M2670" i="7949" s="1"/>
  <c r="N2670" i="7949" s="1"/>
  <c r="O2670" i="7949" s="1"/>
  <c r="P2670" i="7949" s="1"/>
  <c r="Q2670" i="7949" s="1"/>
  <c r="R2670" i="7949" s="1"/>
  <c r="S2670" i="7949" s="1"/>
  <c r="T2670" i="7949" s="1"/>
  <c r="U2670" i="7949" s="1"/>
  <c r="V2670" i="7949" s="1"/>
  <c r="W2670" i="7949" s="1"/>
  <c r="K2310" i="7950"/>
  <c r="E1766" i="7950"/>
  <c r="J1282" i="7950"/>
  <c r="L961" i="7950"/>
  <c r="I633" i="7950"/>
  <c r="K2147" i="7950"/>
  <c r="K1608" i="7950"/>
  <c r="I1227" i="7950"/>
  <c r="J1012" i="7950"/>
  <c r="L691" i="7950"/>
  <c r="I363" i="7950"/>
  <c r="L150" i="7950"/>
  <c r="I2523" i="7950"/>
  <c r="L1987" i="7950"/>
  <c r="I1659" i="7950"/>
  <c r="K852" i="7950"/>
  <c r="D421" i="7949"/>
  <c r="J996" i="7949"/>
  <c r="K996" i="7949" s="1"/>
  <c r="L996" i="7949" s="1"/>
  <c r="M996" i="7949" s="1"/>
  <c r="N996" i="7949" s="1"/>
  <c r="O996" i="7949" s="1"/>
  <c r="P996" i="7949" s="1"/>
  <c r="Q996" i="7949" s="1"/>
  <c r="R996" i="7949" s="1"/>
  <c r="S996" i="7949" s="1"/>
  <c r="T996" i="7949" s="1"/>
  <c r="U996" i="7949" s="1"/>
  <c r="V996" i="7949" s="1"/>
  <c r="W996" i="7949" s="1"/>
  <c r="J1428" i="7949"/>
  <c r="K1428" i="7949" s="1"/>
  <c r="L1428" i="7949" s="1"/>
  <c r="M1428" i="7949" s="1"/>
  <c r="N1428" i="7949" s="1"/>
  <c r="O1428" i="7949" s="1"/>
  <c r="P1428" i="7949" s="1"/>
  <c r="Q1428" i="7949" s="1"/>
  <c r="R1428" i="7949" s="1"/>
  <c r="S1428" i="7949" s="1"/>
  <c r="T1428" i="7949" s="1"/>
  <c r="U1428" i="7949" s="1"/>
  <c r="V1428" i="7949" s="1"/>
  <c r="W1428" i="7949" s="1"/>
  <c r="D2311" i="7949"/>
  <c r="I2507" i="7949"/>
  <c r="J2507" i="7949" s="1"/>
  <c r="K2507" i="7949" s="1"/>
  <c r="L2507" i="7949" s="1"/>
  <c r="M2507" i="7949" s="1"/>
  <c r="N2507" i="7949" s="1"/>
  <c r="O2507" i="7949" s="1"/>
  <c r="P2507" i="7949" s="1"/>
  <c r="Q2507" i="7949" s="1"/>
  <c r="R2507" i="7949" s="1"/>
  <c r="S2507" i="7949" s="1"/>
  <c r="T2507" i="7949" s="1"/>
  <c r="U2507" i="7949" s="1"/>
  <c r="V2507" i="7949" s="1"/>
  <c r="W2507" i="7949" s="1"/>
  <c r="J456" i="7949"/>
  <c r="K456" i="7949" s="1"/>
  <c r="L456" i="7949" s="1"/>
  <c r="M456" i="7949" s="1"/>
  <c r="N456" i="7949" s="1"/>
  <c r="O456" i="7949" s="1"/>
  <c r="P456" i="7949" s="1"/>
  <c r="Q456" i="7949" s="1"/>
  <c r="R456" i="7949" s="1"/>
  <c r="S456" i="7949" s="1"/>
  <c r="T456" i="7949" s="1"/>
  <c r="U456" i="7949" s="1"/>
  <c r="V456" i="7949" s="1"/>
  <c r="W456" i="7949" s="1"/>
  <c r="D691" i="7949"/>
  <c r="D961" i="7949"/>
  <c r="J1374" i="7949"/>
  <c r="K1374" i="7949" s="1"/>
  <c r="L1374" i="7949" s="1"/>
  <c r="M1374" i="7949" s="1"/>
  <c r="N1374" i="7949" s="1"/>
  <c r="O1374" i="7949" s="1"/>
  <c r="P1374" i="7949" s="1"/>
  <c r="Q1374" i="7949" s="1"/>
  <c r="R1374" i="7949" s="1"/>
  <c r="S1374" i="7949" s="1"/>
  <c r="T1374" i="7949" s="1"/>
  <c r="U1374" i="7949" s="1"/>
  <c r="V1374" i="7949" s="1"/>
  <c r="W1374" i="7949" s="1"/>
  <c r="D2257" i="7949"/>
  <c r="J2346" i="7949"/>
  <c r="K2346" i="7949" s="1"/>
  <c r="L2346" i="7949" s="1"/>
  <c r="M2346" i="7949" s="1"/>
  <c r="N2346" i="7949" s="1"/>
  <c r="O2346" i="7949" s="1"/>
  <c r="P2346" i="7949" s="1"/>
  <c r="Q2346" i="7949" s="1"/>
  <c r="R2346" i="7949" s="1"/>
  <c r="S2346" i="7949" s="1"/>
  <c r="T2346" i="7949" s="1"/>
  <c r="U2346" i="7949" s="1"/>
  <c r="V2346" i="7949" s="1"/>
  <c r="W2346" i="7949" s="1"/>
  <c r="J2562" i="7949"/>
  <c r="K2562" i="7949" s="1"/>
  <c r="L2562" i="7949" s="1"/>
  <c r="M2562" i="7949" s="1"/>
  <c r="N2562" i="7949" s="1"/>
  <c r="O2562" i="7949" s="1"/>
  <c r="P2562" i="7949" s="1"/>
  <c r="Q2562" i="7949" s="1"/>
  <c r="R2562" i="7949" s="1"/>
  <c r="S2562" i="7949" s="1"/>
  <c r="T2562" i="7949" s="1"/>
  <c r="U2562" i="7949" s="1"/>
  <c r="V2562" i="7949" s="1"/>
  <c r="W2562" i="7949" s="1"/>
  <c r="J882" i="7950"/>
  <c r="K882" i="7950" s="1"/>
  <c r="K2633" i="7950"/>
  <c r="J2070" i="7950"/>
  <c r="K2070" i="7950" s="1"/>
  <c r="E956" i="7950"/>
  <c r="F2684" i="7950"/>
  <c r="I887" i="7949"/>
  <c r="J887" i="7949" s="1"/>
  <c r="K887" i="7949" s="1"/>
  <c r="L887" i="7949" s="1"/>
  <c r="M887" i="7949" s="1"/>
  <c r="N887" i="7949" s="1"/>
  <c r="O887" i="7949" s="1"/>
  <c r="P887" i="7949" s="1"/>
  <c r="Q887" i="7949" s="1"/>
  <c r="R887" i="7949" s="1"/>
  <c r="S887" i="7949" s="1"/>
  <c r="T887" i="7949" s="1"/>
  <c r="U887" i="7949" s="1"/>
  <c r="V887" i="7949" s="1"/>
  <c r="W887" i="7949" s="1"/>
  <c r="J1536" i="7949"/>
  <c r="K1536" i="7949" s="1"/>
  <c r="L1536" i="7949" s="1"/>
  <c r="M1536" i="7949" s="1"/>
  <c r="N1536" i="7949" s="1"/>
  <c r="O1536" i="7949" s="1"/>
  <c r="P1536" i="7949" s="1"/>
  <c r="Q1536" i="7949" s="1"/>
  <c r="R1536" i="7949" s="1"/>
  <c r="S1536" i="7949" s="1"/>
  <c r="T1536" i="7949" s="1"/>
  <c r="U1536" i="7949" s="1"/>
  <c r="V1536" i="7949" s="1"/>
  <c r="W1536" i="7949" s="1"/>
  <c r="D1987" i="7949"/>
  <c r="D2635" i="7949"/>
  <c r="J564" i="7949"/>
  <c r="K564" i="7949" s="1"/>
  <c r="L564" i="7949" s="1"/>
  <c r="M564" i="7949" s="1"/>
  <c r="N564" i="7949" s="1"/>
  <c r="O564" i="7949" s="1"/>
  <c r="P564" i="7949" s="1"/>
  <c r="Q564" i="7949" s="1"/>
  <c r="R564" i="7949" s="1"/>
  <c r="S564" i="7949" s="1"/>
  <c r="T564" i="7949" s="1"/>
  <c r="U564" i="7949" s="1"/>
  <c r="V564" i="7949" s="1"/>
  <c r="W564" i="7949" s="1"/>
  <c r="D1501" i="7949"/>
  <c r="E691" i="7949" l="1"/>
  <c r="E2311" i="7949"/>
  <c r="F2311" i="7949" s="1"/>
  <c r="E421" i="7949"/>
  <c r="J1659" i="7950"/>
  <c r="J1635" i="7950"/>
  <c r="J363" i="7950"/>
  <c r="L1608" i="7950"/>
  <c r="L1584" i="7950"/>
  <c r="J633" i="7950"/>
  <c r="J609" i="7950"/>
  <c r="K1258" i="7950"/>
  <c r="K1282" i="7950"/>
  <c r="L2310" i="7950"/>
  <c r="L2286" i="7950"/>
  <c r="E1177" i="7949"/>
  <c r="F1177" i="7949" s="1"/>
  <c r="E2203" i="7949"/>
  <c r="F2203" i="7949" s="1"/>
  <c r="G2144" i="7950"/>
  <c r="F1982" i="7950"/>
  <c r="E2149" i="7949"/>
  <c r="E1663" i="7949"/>
  <c r="L449" i="7950"/>
  <c r="L473" i="7950"/>
  <c r="K2068" i="7950"/>
  <c r="K2092" i="7950"/>
  <c r="L1745" i="7950"/>
  <c r="L1769" i="7950"/>
  <c r="J309" i="7950"/>
  <c r="M205" i="7950"/>
  <c r="L906" i="7950"/>
  <c r="L882" i="7950"/>
  <c r="K826" i="7950"/>
  <c r="K850" i="7950"/>
  <c r="M97" i="7949"/>
  <c r="E2527" i="7949"/>
  <c r="E799" i="7949"/>
  <c r="J1851" i="7950"/>
  <c r="J1875" i="7950"/>
  <c r="F2360" i="7950"/>
  <c r="K1066" i="7950"/>
  <c r="K1042" i="7950"/>
  <c r="K148" i="7950"/>
  <c r="J2145" i="7950"/>
  <c r="J2121" i="7950"/>
  <c r="J93" i="7950"/>
  <c r="M583" i="7950"/>
  <c r="M559" i="7950"/>
  <c r="L1476" i="7950"/>
  <c r="L1500" i="7950"/>
  <c r="L2687" i="7950"/>
  <c r="L2663" i="7950"/>
  <c r="J1173" i="7950"/>
  <c r="J1149" i="7950"/>
  <c r="G1010" i="7950"/>
  <c r="H1010" i="7950" s="1"/>
  <c r="F1496" i="7950"/>
  <c r="J2253" i="7950"/>
  <c r="J2229" i="7950"/>
  <c r="L2447" i="7950"/>
  <c r="L2471" i="7950"/>
  <c r="K556" i="7950"/>
  <c r="K580" i="7950"/>
  <c r="J2307" i="7950"/>
  <c r="J2283" i="7950"/>
  <c r="K364" i="7950"/>
  <c r="J1257" i="7950"/>
  <c r="J1281" i="7950"/>
  <c r="M1393" i="7950"/>
  <c r="M1369" i="7950"/>
  <c r="L2610" i="7950"/>
  <c r="L2634" i="7950"/>
  <c r="F1118" i="7950"/>
  <c r="L528" i="7950"/>
  <c r="L504" i="7950"/>
  <c r="K1660" i="7950"/>
  <c r="K1636" i="7950"/>
  <c r="L2015" i="7950"/>
  <c r="L2039" i="7950"/>
  <c r="J256" i="7950"/>
  <c r="M799" i="7950"/>
  <c r="M775" i="7950"/>
  <c r="K1390" i="7950"/>
  <c r="K1366" i="7950"/>
  <c r="L2255" i="7950"/>
  <c r="L2231" i="7950"/>
  <c r="K742" i="7950"/>
  <c r="K718" i="7950"/>
  <c r="M1285" i="7950"/>
  <c r="M1261" i="7950"/>
  <c r="M1663" i="7950"/>
  <c r="M1639" i="7950"/>
  <c r="J2175" i="7950"/>
  <c r="J2199" i="7950"/>
  <c r="K1714" i="7950"/>
  <c r="K1690" i="7950"/>
  <c r="M2365" i="7950"/>
  <c r="M2341" i="7950"/>
  <c r="L2339" i="7950"/>
  <c r="L2363" i="7950"/>
  <c r="E1231" i="7949"/>
  <c r="M1747" i="7950"/>
  <c r="M1771" i="7950"/>
  <c r="L2016" i="7950"/>
  <c r="L2040" i="7950"/>
  <c r="M2041" i="7950"/>
  <c r="M2017" i="7950"/>
  <c r="L1176" i="7950"/>
  <c r="L1152" i="7950"/>
  <c r="L1121" i="7950"/>
  <c r="L1097" i="7950"/>
  <c r="K2524" i="7950"/>
  <c r="K2500" i="7950"/>
  <c r="F1442" i="7950"/>
  <c r="K2632" i="7950"/>
  <c r="K2608" i="7950"/>
  <c r="L420" i="7950"/>
  <c r="L396" i="7950"/>
  <c r="K634" i="7950"/>
  <c r="K610" i="7950"/>
  <c r="J1713" i="7950"/>
  <c r="J1689" i="7950"/>
  <c r="L2688" i="7950"/>
  <c r="L2664" i="7950"/>
  <c r="F2468" i="7950"/>
  <c r="G2468" i="7950" s="1"/>
  <c r="J741" i="7950"/>
  <c r="J717" i="7950"/>
  <c r="K258" i="7950"/>
  <c r="M1879" i="7950"/>
  <c r="M1855" i="7950"/>
  <c r="L1661" i="7950"/>
  <c r="L1637" i="7950"/>
  <c r="M853" i="7950"/>
  <c r="M829" i="7950"/>
  <c r="K2308" i="7950"/>
  <c r="K2284" i="7950"/>
  <c r="L1932" i="7950"/>
  <c r="L1908" i="7950"/>
  <c r="F1874" i="7950"/>
  <c r="F902" i="7950"/>
  <c r="E1987" i="7949"/>
  <c r="G2684" i="7950"/>
  <c r="L852" i="7950"/>
  <c r="L828" i="7950"/>
  <c r="M667" i="7950"/>
  <c r="M691" i="7950"/>
  <c r="K202" i="7950"/>
  <c r="N151" i="7950"/>
  <c r="J2577" i="7950"/>
  <c r="J2553" i="7950"/>
  <c r="J1119" i="7950"/>
  <c r="J1095" i="7950"/>
  <c r="F1712" i="7950"/>
  <c r="K2200" i="7950"/>
  <c r="K2176" i="7950"/>
  <c r="K394" i="7950"/>
  <c r="K418" i="7950"/>
  <c r="E1717" i="7949"/>
  <c r="E1771" i="7949"/>
  <c r="F1771" i="7949" s="1"/>
  <c r="F524" i="7950"/>
  <c r="J147" i="7950"/>
  <c r="E1123" i="7949"/>
  <c r="F1123" i="7949" s="1"/>
  <c r="L1067" i="7950"/>
  <c r="L1043" i="7950"/>
  <c r="E1447" i="7949"/>
  <c r="F1172" i="7950"/>
  <c r="M2395" i="7950"/>
  <c r="M2419" i="7950"/>
  <c r="M1123" i="7950"/>
  <c r="M1099" i="7950"/>
  <c r="L2472" i="7950"/>
  <c r="L2448" i="7950"/>
  <c r="M529" i="7950"/>
  <c r="M505" i="7950"/>
  <c r="K1420" i="7950"/>
  <c r="K1444" i="7950"/>
  <c r="E1285" i="7949"/>
  <c r="F1285" i="7949" s="1"/>
  <c r="E583" i="7949"/>
  <c r="E1339" i="7949"/>
  <c r="L1662" i="7950"/>
  <c r="L1638" i="7950"/>
  <c r="E2581" i="7949"/>
  <c r="E1069" i="7949"/>
  <c r="E529" i="7949"/>
  <c r="F529" i="7949" s="1"/>
  <c r="F2576" i="7950"/>
  <c r="G2576" i="7950" s="1"/>
  <c r="G1550" i="7950"/>
  <c r="E1825" i="7949"/>
  <c r="F1825" i="7949" s="1"/>
  <c r="E475" i="7949"/>
  <c r="L1284" i="7950"/>
  <c r="L1260" i="7950"/>
  <c r="K1204" i="7950"/>
  <c r="K1228" i="7950"/>
  <c r="M1501" i="7950"/>
  <c r="M1477" i="7950"/>
  <c r="J1527" i="7950"/>
  <c r="J1551" i="7950"/>
  <c r="L204" i="7950"/>
  <c r="J2361" i="7950"/>
  <c r="J2337" i="7950"/>
  <c r="J879" i="7950"/>
  <c r="J903" i="7950"/>
  <c r="J1767" i="7950"/>
  <c r="J1743" i="7950"/>
  <c r="J2631" i="7950"/>
  <c r="J2607" i="7950"/>
  <c r="L1985" i="7950"/>
  <c r="L1961" i="7950"/>
  <c r="L1392" i="7950"/>
  <c r="L1368" i="7950"/>
  <c r="J417" i="7950"/>
  <c r="J393" i="7950"/>
  <c r="L743" i="7950"/>
  <c r="L719" i="7950"/>
  <c r="M637" i="7950"/>
  <c r="M613" i="7950"/>
  <c r="L365" i="7950"/>
  <c r="M2311" i="7950"/>
  <c r="M2287" i="7950"/>
  <c r="L581" i="7950"/>
  <c r="L557" i="7950"/>
  <c r="M2689" i="7950"/>
  <c r="M2665" i="7950"/>
  <c r="J1929" i="7950"/>
  <c r="J1905" i="7950"/>
  <c r="K2446" i="7950"/>
  <c r="K2470" i="7950"/>
  <c r="L366" i="7950"/>
  <c r="J1389" i="7950"/>
  <c r="J1365" i="7950"/>
  <c r="L527" i="7950"/>
  <c r="L503" i="7950"/>
  <c r="J1443" i="7950"/>
  <c r="J1419" i="7950"/>
  <c r="K1960" i="7950"/>
  <c r="K1984" i="7950"/>
  <c r="J987" i="7950"/>
  <c r="J1011" i="7950"/>
  <c r="L2393" i="7950"/>
  <c r="L2417" i="7950"/>
  <c r="L1391" i="7950"/>
  <c r="L1367" i="7950"/>
  <c r="L1421" i="7950"/>
  <c r="L1445" i="7950"/>
  <c r="J1983" i="7950"/>
  <c r="J1959" i="7950"/>
  <c r="L2340" i="7950"/>
  <c r="L2364" i="7950"/>
  <c r="L1014" i="7950"/>
  <c r="L990" i="7950"/>
  <c r="M2179" i="7950"/>
  <c r="M2203" i="7950"/>
  <c r="K772" i="7950"/>
  <c r="K796" i="7950"/>
  <c r="L312" i="7950"/>
  <c r="L1878" i="7950"/>
  <c r="L1854" i="7950"/>
  <c r="M2449" i="7950"/>
  <c r="M2473" i="7950"/>
  <c r="J663" i="7950"/>
  <c r="J687" i="7950"/>
  <c r="L1229" i="7950"/>
  <c r="L1205" i="7950"/>
  <c r="G470" i="7950"/>
  <c r="M2581" i="7950"/>
  <c r="M2557" i="7950"/>
  <c r="M1825" i="7950"/>
  <c r="M1801" i="7950"/>
  <c r="J2685" i="7950"/>
  <c r="J2661" i="7950"/>
  <c r="L744" i="7950"/>
  <c r="L720" i="7950"/>
  <c r="M367" i="7950"/>
  <c r="L1607" i="7950"/>
  <c r="L1583" i="7950"/>
  <c r="L2580" i="7950"/>
  <c r="L2556" i="7950"/>
  <c r="F1658" i="7950"/>
  <c r="F686" i="7950"/>
  <c r="F578" i="7950"/>
  <c r="F416" i="7950"/>
  <c r="L1446" i="7950"/>
  <c r="L1422" i="7950"/>
  <c r="L2633" i="7950"/>
  <c r="L2609" i="7950"/>
  <c r="E961" i="7949"/>
  <c r="M1963" i="7950"/>
  <c r="M1987" i="7950"/>
  <c r="M150" i="7950"/>
  <c r="J1227" i="7950"/>
  <c r="J1203" i="7950"/>
  <c r="L2147" i="7950"/>
  <c r="L2123" i="7950"/>
  <c r="M961" i="7950"/>
  <c r="M937" i="7950"/>
  <c r="F1766" i="7950"/>
  <c r="K2686" i="7950"/>
  <c r="K2662" i="7950"/>
  <c r="L2502" i="7950"/>
  <c r="L2526" i="7950"/>
  <c r="E2473" i="7949"/>
  <c r="J825" i="7950"/>
  <c r="J849" i="7950"/>
  <c r="L2285" i="7950"/>
  <c r="L2309" i="7950"/>
  <c r="E43" i="7949"/>
  <c r="F1555" i="7949"/>
  <c r="L95" i="7950"/>
  <c r="L2177" i="7950"/>
  <c r="L2201" i="7950"/>
  <c r="J795" i="7950"/>
  <c r="J771" i="7950"/>
  <c r="K257" i="7950"/>
  <c r="E637" i="7949"/>
  <c r="L1554" i="7950"/>
  <c r="L1530" i="7950"/>
  <c r="M883" i="7950"/>
  <c r="M907" i="7950"/>
  <c r="M745" i="7950"/>
  <c r="M721" i="7950"/>
  <c r="K1822" i="7950"/>
  <c r="K1798" i="7950"/>
  <c r="L259" i="7950"/>
  <c r="L1823" i="7950"/>
  <c r="L1799" i="7950"/>
  <c r="K1930" i="7950"/>
  <c r="K1906" i="7950"/>
  <c r="L149" i="7950"/>
  <c r="F740" i="7950"/>
  <c r="G2198" i="7950"/>
  <c r="F794" i="7950"/>
  <c r="L2124" i="7950"/>
  <c r="L2148" i="7950"/>
  <c r="F2090" i="7950"/>
  <c r="G2090" i="7950" s="1"/>
  <c r="M1609" i="7950"/>
  <c r="M1585" i="7950"/>
  <c r="L959" i="7950"/>
  <c r="L935" i="7950"/>
  <c r="L1962" i="7950"/>
  <c r="L1986" i="7950"/>
  <c r="K1120" i="7950"/>
  <c r="K1096" i="7950"/>
  <c r="L1716" i="7950"/>
  <c r="L1692" i="7950"/>
  <c r="M397" i="7950"/>
  <c r="M421" i="7950"/>
  <c r="J957" i="7950"/>
  <c r="J933" i="7950"/>
  <c r="K1852" i="7950"/>
  <c r="K1876" i="7950"/>
  <c r="M2527" i="7950"/>
  <c r="M2503" i="7950"/>
  <c r="L1013" i="7950"/>
  <c r="L989" i="7950"/>
  <c r="J2013" i="7950"/>
  <c r="J2037" i="7950"/>
  <c r="L635" i="7950"/>
  <c r="L611" i="7950"/>
  <c r="E2095" i="7949"/>
  <c r="F2095" i="7949" s="1"/>
  <c r="L2555" i="7950"/>
  <c r="L2579" i="7950"/>
  <c r="M1177" i="7950"/>
  <c r="M1153" i="7950"/>
  <c r="K2254" i="7950"/>
  <c r="K2230" i="7950"/>
  <c r="M1015" i="7950"/>
  <c r="M991" i="7950"/>
  <c r="K2338" i="7950"/>
  <c r="K2362" i="7950"/>
  <c r="K310" i="7950"/>
  <c r="L1877" i="7950"/>
  <c r="L1853" i="7950"/>
  <c r="K1552" i="7950"/>
  <c r="K1528" i="7950"/>
  <c r="K2554" i="7950"/>
  <c r="K2578" i="7950"/>
  <c r="E1879" i="7949"/>
  <c r="K1768" i="7950"/>
  <c r="K1744" i="7950"/>
  <c r="L97" i="7950"/>
  <c r="L827" i="7950"/>
  <c r="L851" i="7950"/>
  <c r="G632" i="7950"/>
  <c r="K526" i="7950"/>
  <c r="K502" i="7950"/>
  <c r="L1746" i="7950"/>
  <c r="L1770" i="7950"/>
  <c r="J201" i="7950"/>
  <c r="M1231" i="7950"/>
  <c r="M1207" i="7950"/>
  <c r="L2202" i="7950"/>
  <c r="L2178" i="7950"/>
  <c r="L311" i="7950"/>
  <c r="L2394" i="7950"/>
  <c r="L2418" i="7950"/>
  <c r="J1605" i="7950"/>
  <c r="J1581" i="7950"/>
  <c r="K2146" i="7950"/>
  <c r="K2122" i="7950"/>
  <c r="E1501" i="7949"/>
  <c r="E2635" i="7949"/>
  <c r="F956" i="7950"/>
  <c r="E2257" i="7949"/>
  <c r="J2499" i="7950"/>
  <c r="J2523" i="7950"/>
  <c r="K988" i="7950"/>
  <c r="K1012" i="7950"/>
  <c r="K2416" i="7950"/>
  <c r="K2392" i="7950"/>
  <c r="L905" i="7950"/>
  <c r="L881" i="7950"/>
  <c r="K904" i="7950"/>
  <c r="K880" i="7950"/>
  <c r="J2415" i="7950"/>
  <c r="J2391" i="7950"/>
  <c r="L2525" i="7950"/>
  <c r="L2501" i="7950"/>
  <c r="E2365" i="7949"/>
  <c r="L2256" i="7950"/>
  <c r="L2232" i="7950"/>
  <c r="L203" i="7950"/>
  <c r="F2414" i="7950"/>
  <c r="E367" i="7949"/>
  <c r="L1259" i="7950"/>
  <c r="L1283" i="7950"/>
  <c r="L474" i="7950"/>
  <c r="L450" i="7950"/>
  <c r="E853" i="7949"/>
  <c r="F853" i="7949" s="1"/>
  <c r="E907" i="7949"/>
  <c r="L1068" i="7950"/>
  <c r="L1044" i="7950"/>
  <c r="E1609" i="7949"/>
  <c r="L636" i="7950"/>
  <c r="L612" i="7950"/>
  <c r="E1393" i="7949"/>
  <c r="E1015" i="7949"/>
  <c r="L419" i="7950"/>
  <c r="L395" i="7950"/>
  <c r="M1531" i="7950"/>
  <c r="M1555" i="7950"/>
  <c r="I255" i="7950"/>
  <c r="G1928" i="7950"/>
  <c r="J1065" i="7950"/>
  <c r="J1041" i="7950"/>
  <c r="F2630" i="7950"/>
  <c r="E745" i="7949"/>
  <c r="L1824" i="7950"/>
  <c r="L1800" i="7950"/>
  <c r="E2041" i="7949"/>
  <c r="F2041" i="7949" s="1"/>
  <c r="E2419" i="7949"/>
  <c r="F2419" i="7949" s="1"/>
  <c r="L1931" i="7950"/>
  <c r="L1907" i="7950"/>
  <c r="K96" i="7950"/>
  <c r="L2094" i="7950"/>
  <c r="L2070" i="7950"/>
  <c r="E1933" i="7949"/>
  <c r="K664" i="7950"/>
  <c r="K688" i="7950"/>
  <c r="L1475" i="7950"/>
  <c r="L1499" i="7950"/>
  <c r="E2689" i="7949"/>
  <c r="M2611" i="7950"/>
  <c r="M2635" i="7950"/>
  <c r="J579" i="7950"/>
  <c r="J555" i="7950"/>
  <c r="L1715" i="7950"/>
  <c r="L1691" i="7950"/>
  <c r="M313" i="7950"/>
  <c r="K958" i="7950"/>
  <c r="K934" i="7950"/>
  <c r="M1717" i="7950"/>
  <c r="M1693" i="7950"/>
  <c r="F1604" i="7950"/>
  <c r="M2257" i="7950"/>
  <c r="M2233" i="7950"/>
  <c r="F1064" i="7950"/>
  <c r="F2522" i="7950"/>
  <c r="L773" i="7950"/>
  <c r="L797" i="7950"/>
  <c r="L689" i="7950"/>
  <c r="L665" i="7950"/>
  <c r="F1280" i="7950"/>
  <c r="F2252" i="7950"/>
  <c r="L558" i="7950"/>
  <c r="L582" i="7950"/>
  <c r="J2091" i="7950"/>
  <c r="J2067" i="7950"/>
  <c r="L1529" i="7950"/>
  <c r="L1553" i="7950"/>
  <c r="K1606" i="7950"/>
  <c r="K1582" i="7950"/>
  <c r="M1069" i="7950"/>
  <c r="M1045" i="7950"/>
  <c r="L690" i="7950"/>
  <c r="L666" i="7950"/>
  <c r="M1447" i="7950"/>
  <c r="M1423" i="7950"/>
  <c r="M2125" i="7950"/>
  <c r="M2149" i="7950"/>
  <c r="L94" i="7950"/>
  <c r="J447" i="7950"/>
  <c r="J471" i="7950"/>
  <c r="J1473" i="7950"/>
  <c r="J1497" i="7950"/>
  <c r="L2069" i="7950"/>
  <c r="L2093" i="7950"/>
  <c r="M475" i="7950"/>
  <c r="M451" i="7950"/>
  <c r="K1474" i="7950"/>
  <c r="K1498" i="7950"/>
  <c r="K448" i="7950"/>
  <c r="K472" i="7950"/>
  <c r="L798" i="7950"/>
  <c r="L774" i="7950"/>
  <c r="F1388" i="7950"/>
  <c r="F848" i="7950"/>
  <c r="F1820" i="7950"/>
  <c r="F2306" i="7950"/>
  <c r="J1821" i="7950"/>
  <c r="J1797" i="7950"/>
  <c r="G1226" i="7950"/>
  <c r="K2038" i="7950"/>
  <c r="K2014" i="7950"/>
  <c r="L1175" i="7950"/>
  <c r="L1151" i="7950"/>
  <c r="F2036" i="7950"/>
  <c r="G2036" i="7950" s="1"/>
  <c r="J525" i="7950"/>
  <c r="J501" i="7950"/>
  <c r="K1174" i="7950"/>
  <c r="K1150" i="7950"/>
  <c r="L1206" i="7950"/>
  <c r="L1230" i="7950"/>
  <c r="L1122" i="7950"/>
  <c r="L1098" i="7950"/>
  <c r="L960" i="7950"/>
  <c r="L936" i="7950"/>
  <c r="M2095" i="7950"/>
  <c r="M2071" i="7950"/>
  <c r="M1909" i="7950"/>
  <c r="M1933" i="7950"/>
  <c r="J2469" i="7950"/>
  <c r="J2445" i="7950"/>
  <c r="N1933" i="7950" l="1"/>
  <c r="N1909" i="7950"/>
  <c r="M1206" i="7950"/>
  <c r="M1230" i="7950"/>
  <c r="L1498" i="7950"/>
  <c r="L1474" i="7950"/>
  <c r="M2093" i="7950"/>
  <c r="M2069" i="7950"/>
  <c r="K447" i="7950"/>
  <c r="K471" i="7950"/>
  <c r="N2125" i="7950"/>
  <c r="N2149" i="7950"/>
  <c r="L664" i="7950"/>
  <c r="L688" i="7950"/>
  <c r="M203" i="7950"/>
  <c r="L988" i="7950"/>
  <c r="L1012" i="7950"/>
  <c r="M2394" i="7950"/>
  <c r="M2418" i="7950"/>
  <c r="K201" i="7950"/>
  <c r="M851" i="7950"/>
  <c r="M827" i="7950"/>
  <c r="L2578" i="7950"/>
  <c r="L2554" i="7950"/>
  <c r="L2362" i="7950"/>
  <c r="L2338" i="7950"/>
  <c r="M2579" i="7950"/>
  <c r="M2555" i="7950"/>
  <c r="L1852" i="7950"/>
  <c r="L1876" i="7950"/>
  <c r="N421" i="7950"/>
  <c r="N397" i="7950"/>
  <c r="L257" i="7950"/>
  <c r="M2177" i="7950"/>
  <c r="M2201" i="7950"/>
  <c r="M2309" i="7950"/>
  <c r="M2285" i="7950"/>
  <c r="M2502" i="7950"/>
  <c r="M2526" i="7950"/>
  <c r="N2449" i="7950"/>
  <c r="N2473" i="7950"/>
  <c r="M312" i="7950"/>
  <c r="N2179" i="7950"/>
  <c r="N2203" i="7950"/>
  <c r="M2340" i="7950"/>
  <c r="M2364" i="7950"/>
  <c r="M1421" i="7950"/>
  <c r="M1445" i="7950"/>
  <c r="K987" i="7950"/>
  <c r="K1011" i="7950"/>
  <c r="L2470" i="7950"/>
  <c r="L2446" i="7950"/>
  <c r="K1527" i="7950"/>
  <c r="K1551" i="7950"/>
  <c r="L1228" i="7950"/>
  <c r="L1204" i="7950"/>
  <c r="L418" i="7950"/>
  <c r="L394" i="7950"/>
  <c r="N667" i="7950"/>
  <c r="N691" i="7950"/>
  <c r="M2016" i="7950"/>
  <c r="M2040" i="7950"/>
  <c r="K2175" i="7950"/>
  <c r="K2199" i="7950"/>
  <c r="M2039" i="7950"/>
  <c r="M2015" i="7950"/>
  <c r="M2610" i="7950"/>
  <c r="M2634" i="7950"/>
  <c r="L556" i="7950"/>
  <c r="L580" i="7950"/>
  <c r="K1851" i="7950"/>
  <c r="K1875" i="7950"/>
  <c r="L850" i="7950"/>
  <c r="L826" i="7950"/>
  <c r="N205" i="7950"/>
  <c r="M1745" i="7950"/>
  <c r="M1769" i="7950"/>
  <c r="M449" i="7950"/>
  <c r="M473" i="7950"/>
  <c r="L1282" i="7950"/>
  <c r="L1258" i="7950"/>
  <c r="M960" i="7950"/>
  <c r="M936" i="7950"/>
  <c r="K525" i="7950"/>
  <c r="K501" i="7950"/>
  <c r="M1175" i="7950"/>
  <c r="M1151" i="7950"/>
  <c r="H1226" i="7950"/>
  <c r="G2306" i="7950"/>
  <c r="G848" i="7950"/>
  <c r="M798" i="7950"/>
  <c r="M774" i="7950"/>
  <c r="M690" i="7950"/>
  <c r="M666" i="7950"/>
  <c r="L1606" i="7950"/>
  <c r="L1582" i="7950"/>
  <c r="K2067" i="7950"/>
  <c r="K2091" i="7950"/>
  <c r="G2252" i="7950"/>
  <c r="M689" i="7950"/>
  <c r="M665" i="7950"/>
  <c r="G2522" i="7950"/>
  <c r="N2257" i="7950"/>
  <c r="N2233" i="7950"/>
  <c r="N1717" i="7950"/>
  <c r="N1693" i="7950"/>
  <c r="N313" i="7950"/>
  <c r="K579" i="7950"/>
  <c r="K555" i="7950"/>
  <c r="F2689" i="7949"/>
  <c r="M2094" i="7950"/>
  <c r="M2070" i="7950"/>
  <c r="M1931" i="7950"/>
  <c r="M1907" i="7950"/>
  <c r="G2041" i="7949"/>
  <c r="G2630" i="7950"/>
  <c r="J255" i="7950"/>
  <c r="M419" i="7950"/>
  <c r="M395" i="7950"/>
  <c r="F1393" i="7949"/>
  <c r="F1609" i="7949"/>
  <c r="F907" i="7949"/>
  <c r="M474" i="7950"/>
  <c r="M450" i="7950"/>
  <c r="F367" i="7949"/>
  <c r="F2365" i="7949"/>
  <c r="K2415" i="7950"/>
  <c r="K2391" i="7950"/>
  <c r="M905" i="7950"/>
  <c r="M881" i="7950"/>
  <c r="F2257" i="7949"/>
  <c r="F2635" i="7949"/>
  <c r="G2635" i="7949" s="1"/>
  <c r="L2146" i="7950"/>
  <c r="L2122" i="7950"/>
  <c r="M2202" i="7950"/>
  <c r="M2178" i="7950"/>
  <c r="L526" i="7950"/>
  <c r="L502" i="7950"/>
  <c r="L1768" i="7950"/>
  <c r="L1744" i="7950"/>
  <c r="M1877" i="7950"/>
  <c r="M1853" i="7950"/>
  <c r="L2254" i="7950"/>
  <c r="L2230" i="7950"/>
  <c r="M635" i="7950"/>
  <c r="M611" i="7950"/>
  <c r="M1013" i="7950"/>
  <c r="M989" i="7950"/>
  <c r="L1096" i="7950"/>
  <c r="L1120" i="7950"/>
  <c r="M959" i="7950"/>
  <c r="M935" i="7950"/>
  <c r="H2090" i="7950"/>
  <c r="G794" i="7950"/>
  <c r="G740" i="7950"/>
  <c r="H740" i="7950" s="1"/>
  <c r="L1930" i="7950"/>
  <c r="L1906" i="7950"/>
  <c r="M259" i="7950"/>
  <c r="N745" i="7950"/>
  <c r="N721" i="7950"/>
  <c r="M1554" i="7950"/>
  <c r="M1530" i="7950"/>
  <c r="G1555" i="7949"/>
  <c r="G1766" i="7950"/>
  <c r="M2147" i="7950"/>
  <c r="M2123" i="7950"/>
  <c r="N150" i="7950"/>
  <c r="F961" i="7949"/>
  <c r="M1446" i="7950"/>
  <c r="M1422" i="7950"/>
  <c r="G578" i="7950"/>
  <c r="G1658" i="7950"/>
  <c r="H1658" i="7950" s="1"/>
  <c r="M1607" i="7950"/>
  <c r="M1583" i="7950"/>
  <c r="M744" i="7950"/>
  <c r="M720" i="7950"/>
  <c r="N1825" i="7950"/>
  <c r="N1801" i="7950"/>
  <c r="H470" i="7950"/>
  <c r="M1205" i="7950"/>
  <c r="M1229" i="7950"/>
  <c r="M1391" i="7950"/>
  <c r="M1367" i="7950"/>
  <c r="K1443" i="7950"/>
  <c r="K1419" i="7950"/>
  <c r="K1389" i="7950"/>
  <c r="K1365" i="7950"/>
  <c r="N2689" i="7950"/>
  <c r="N2665" i="7950"/>
  <c r="N2311" i="7950"/>
  <c r="N2287" i="7950"/>
  <c r="N637" i="7950"/>
  <c r="N613" i="7950"/>
  <c r="K417" i="7950"/>
  <c r="K393" i="7950"/>
  <c r="M1961" i="7950"/>
  <c r="M1985" i="7950"/>
  <c r="K1767" i="7950"/>
  <c r="K1743" i="7950"/>
  <c r="K2337" i="7950"/>
  <c r="K2361" i="7950"/>
  <c r="F475" i="7949"/>
  <c r="H1550" i="7950"/>
  <c r="G529" i="7949"/>
  <c r="F2581" i="7949"/>
  <c r="F1339" i="7949"/>
  <c r="G1339" i="7949" s="1"/>
  <c r="G1285" i="7949"/>
  <c r="N529" i="7950"/>
  <c r="N505" i="7950"/>
  <c r="N1123" i="7950"/>
  <c r="N1099" i="7950"/>
  <c r="G1172" i="7950"/>
  <c r="M1067" i="7950"/>
  <c r="M1043" i="7950"/>
  <c r="K147" i="7950"/>
  <c r="G1771" i="7949"/>
  <c r="K1119" i="7950"/>
  <c r="K1095" i="7950"/>
  <c r="O151" i="7950"/>
  <c r="H2684" i="7950"/>
  <c r="G902" i="7950"/>
  <c r="M1908" i="7950"/>
  <c r="M1932" i="7950"/>
  <c r="N853" i="7950"/>
  <c r="N829" i="7950"/>
  <c r="N1879" i="7950"/>
  <c r="N1855" i="7950"/>
  <c r="K741" i="7950"/>
  <c r="K717" i="7950"/>
  <c r="M2688" i="7950"/>
  <c r="M2664" i="7950"/>
  <c r="L634" i="7950"/>
  <c r="L610" i="7950"/>
  <c r="L2632" i="7950"/>
  <c r="L2608" i="7950"/>
  <c r="L2524" i="7950"/>
  <c r="L2500" i="7950"/>
  <c r="M1176" i="7950"/>
  <c r="M1152" i="7950"/>
  <c r="F1231" i="7949"/>
  <c r="N2365" i="7950"/>
  <c r="N2341" i="7950"/>
  <c r="N1285" i="7950"/>
  <c r="N1261" i="7950"/>
  <c r="M2255" i="7950"/>
  <c r="M2231" i="7950"/>
  <c r="N799" i="7950"/>
  <c r="N775" i="7950"/>
  <c r="M528" i="7950"/>
  <c r="M504" i="7950"/>
  <c r="L364" i="7950"/>
  <c r="K2253" i="7950"/>
  <c r="K2229" i="7950"/>
  <c r="I1010" i="7950"/>
  <c r="M2687" i="7950"/>
  <c r="M2663" i="7950"/>
  <c r="N583" i="7950"/>
  <c r="N559" i="7950"/>
  <c r="K2145" i="7950"/>
  <c r="K2121" i="7950"/>
  <c r="L1066" i="7950"/>
  <c r="L1042" i="7950"/>
  <c r="F2527" i="7949"/>
  <c r="G2527" i="7949" s="1"/>
  <c r="F2149" i="7949"/>
  <c r="G2149" i="7949" s="1"/>
  <c r="H2144" i="7950"/>
  <c r="G1177" i="7949"/>
  <c r="M1608" i="7950"/>
  <c r="M1584" i="7950"/>
  <c r="K1659" i="7950"/>
  <c r="K1635" i="7950"/>
  <c r="G2311" i="7949"/>
  <c r="L448" i="7950"/>
  <c r="L472" i="7950"/>
  <c r="K1497" i="7950"/>
  <c r="K1473" i="7950"/>
  <c r="M1529" i="7950"/>
  <c r="M1553" i="7950"/>
  <c r="M558" i="7950"/>
  <c r="M582" i="7950"/>
  <c r="M773" i="7950"/>
  <c r="M797" i="7950"/>
  <c r="N2611" i="7950"/>
  <c r="N2635" i="7950"/>
  <c r="M1499" i="7950"/>
  <c r="M1475" i="7950"/>
  <c r="L96" i="7950"/>
  <c r="N1531" i="7950"/>
  <c r="N1555" i="7950"/>
  <c r="M1283" i="7950"/>
  <c r="M1259" i="7950"/>
  <c r="K2499" i="7950"/>
  <c r="K2523" i="7950"/>
  <c r="M311" i="7950"/>
  <c r="M1746" i="7950"/>
  <c r="M1770" i="7950"/>
  <c r="M97" i="7950"/>
  <c r="L310" i="7950"/>
  <c r="K2013" i="7950"/>
  <c r="K2037" i="7950"/>
  <c r="M1962" i="7950"/>
  <c r="M1986" i="7950"/>
  <c r="M2124" i="7950"/>
  <c r="M2148" i="7950"/>
  <c r="N883" i="7950"/>
  <c r="N907" i="7950"/>
  <c r="M95" i="7950"/>
  <c r="K825" i="7950"/>
  <c r="K849" i="7950"/>
  <c r="N1987" i="7950"/>
  <c r="N1963" i="7950"/>
  <c r="K663" i="7950"/>
  <c r="K687" i="7950"/>
  <c r="L796" i="7950"/>
  <c r="L772" i="7950"/>
  <c r="M2393" i="7950"/>
  <c r="M2417" i="7950"/>
  <c r="L1984" i="7950"/>
  <c r="L1960" i="7950"/>
  <c r="K879" i="7950"/>
  <c r="K903" i="7950"/>
  <c r="M204" i="7950"/>
  <c r="L1444" i="7950"/>
  <c r="L1420" i="7950"/>
  <c r="N2395" i="7950"/>
  <c r="N2419" i="7950"/>
  <c r="L202" i="7950"/>
  <c r="N1747" i="7950"/>
  <c r="N1771" i="7950"/>
  <c r="M2363" i="7950"/>
  <c r="M2339" i="7950"/>
  <c r="K1281" i="7950"/>
  <c r="K1257" i="7950"/>
  <c r="M2471" i="7950"/>
  <c r="M2447" i="7950"/>
  <c r="M1476" i="7950"/>
  <c r="M1500" i="7950"/>
  <c r="K309" i="7950"/>
  <c r="L2092" i="7950"/>
  <c r="L2068" i="7950"/>
  <c r="K363" i="7950"/>
  <c r="K2445" i="7950"/>
  <c r="K2469" i="7950"/>
  <c r="N2095" i="7950"/>
  <c r="N2071" i="7950"/>
  <c r="M1122" i="7950"/>
  <c r="M1098" i="7950"/>
  <c r="L1174" i="7950"/>
  <c r="L1150" i="7950"/>
  <c r="H2036" i="7950"/>
  <c r="L2038" i="7950"/>
  <c r="L2014" i="7950"/>
  <c r="K1821" i="7950"/>
  <c r="K1797" i="7950"/>
  <c r="G1820" i="7950"/>
  <c r="G1388" i="7950"/>
  <c r="N475" i="7950"/>
  <c r="N451" i="7950"/>
  <c r="M94" i="7950"/>
  <c r="N1447" i="7950"/>
  <c r="N1423" i="7950"/>
  <c r="N1069" i="7950"/>
  <c r="N1045" i="7950"/>
  <c r="G1280" i="7950"/>
  <c r="G1064" i="7950"/>
  <c r="G1604" i="7950"/>
  <c r="L958" i="7950"/>
  <c r="L934" i="7950"/>
  <c r="M1715" i="7950"/>
  <c r="M1691" i="7950"/>
  <c r="F1933" i="7949"/>
  <c r="G2419" i="7949"/>
  <c r="M1824" i="7950"/>
  <c r="M1800" i="7950"/>
  <c r="F745" i="7949"/>
  <c r="G745" i="7949" s="1"/>
  <c r="K1065" i="7950"/>
  <c r="K1041" i="7950"/>
  <c r="H1928" i="7950"/>
  <c r="F1015" i="7949"/>
  <c r="M636" i="7950"/>
  <c r="M612" i="7950"/>
  <c r="M1068" i="7950"/>
  <c r="M1044" i="7950"/>
  <c r="G853" i="7949"/>
  <c r="G2414" i="7950"/>
  <c r="M2256" i="7950"/>
  <c r="M2232" i="7950"/>
  <c r="M2525" i="7950"/>
  <c r="M2501" i="7950"/>
  <c r="L904" i="7950"/>
  <c r="L880" i="7950"/>
  <c r="L2416" i="7950"/>
  <c r="L2392" i="7950"/>
  <c r="G956" i="7950"/>
  <c r="F1501" i="7949"/>
  <c r="G1501" i="7949" s="1"/>
  <c r="K1605" i="7950"/>
  <c r="K1581" i="7950"/>
  <c r="N1231" i="7950"/>
  <c r="N1207" i="7950"/>
  <c r="H632" i="7950"/>
  <c r="F1879" i="7949"/>
  <c r="L1552" i="7950"/>
  <c r="L1528" i="7950"/>
  <c r="N1015" i="7950"/>
  <c r="N991" i="7950"/>
  <c r="N1177" i="7950"/>
  <c r="N1153" i="7950"/>
  <c r="G2095" i="7949"/>
  <c r="N2527" i="7950"/>
  <c r="N2503" i="7950"/>
  <c r="K957" i="7950"/>
  <c r="K933" i="7950"/>
  <c r="M1716" i="7950"/>
  <c r="M1692" i="7950"/>
  <c r="N1609" i="7950"/>
  <c r="N1585" i="7950"/>
  <c r="H2198" i="7950"/>
  <c r="M149" i="7950"/>
  <c r="M1823" i="7950"/>
  <c r="M1799" i="7950"/>
  <c r="L1822" i="7950"/>
  <c r="L1798" i="7950"/>
  <c r="F637" i="7949"/>
  <c r="G637" i="7949" s="1"/>
  <c r="H637" i="7949" s="1"/>
  <c r="K795" i="7950"/>
  <c r="K771" i="7950"/>
  <c r="F43" i="7949"/>
  <c r="F2473" i="7949"/>
  <c r="G2473" i="7949" s="1"/>
  <c r="L2686" i="7950"/>
  <c r="L2662" i="7950"/>
  <c r="N961" i="7950"/>
  <c r="N937" i="7950"/>
  <c r="K1203" i="7950"/>
  <c r="K1227" i="7950"/>
  <c r="M2633" i="7950"/>
  <c r="M2609" i="7950"/>
  <c r="G416" i="7950"/>
  <c r="G686" i="7950"/>
  <c r="M2580" i="7950"/>
  <c r="M2556" i="7950"/>
  <c r="N367" i="7950"/>
  <c r="K2685" i="7950"/>
  <c r="K2661" i="7950"/>
  <c r="N2581" i="7950"/>
  <c r="N2557" i="7950"/>
  <c r="M1878" i="7950"/>
  <c r="M1854" i="7950"/>
  <c r="M1014" i="7950"/>
  <c r="M990" i="7950"/>
  <c r="K1983" i="7950"/>
  <c r="K1959" i="7950"/>
  <c r="M527" i="7950"/>
  <c r="M503" i="7950"/>
  <c r="M366" i="7950"/>
  <c r="K1929" i="7950"/>
  <c r="K1905" i="7950"/>
  <c r="M581" i="7950"/>
  <c r="M557" i="7950"/>
  <c r="M365" i="7950"/>
  <c r="M743" i="7950"/>
  <c r="M719" i="7950"/>
  <c r="M1392" i="7950"/>
  <c r="M1368" i="7950"/>
  <c r="K2631" i="7950"/>
  <c r="K2607" i="7950"/>
  <c r="N1501" i="7950"/>
  <c r="N1477" i="7950"/>
  <c r="M1284" i="7950"/>
  <c r="M1260" i="7950"/>
  <c r="G1825" i="7949"/>
  <c r="H2576" i="7950"/>
  <c r="F1069" i="7949"/>
  <c r="M1662" i="7950"/>
  <c r="M1638" i="7950"/>
  <c r="F583" i="7949"/>
  <c r="G583" i="7949" s="1"/>
  <c r="M2472" i="7950"/>
  <c r="M2448" i="7950"/>
  <c r="F1447" i="7949"/>
  <c r="G1123" i="7949"/>
  <c r="G524" i="7950"/>
  <c r="F1717" i="7949"/>
  <c r="L2200" i="7950"/>
  <c r="L2176" i="7950"/>
  <c r="G1712" i="7950"/>
  <c r="K2577" i="7950"/>
  <c r="K2553" i="7950"/>
  <c r="M828" i="7950"/>
  <c r="M852" i="7950"/>
  <c r="F1987" i="7949"/>
  <c r="G1874" i="7950"/>
  <c r="L2284" i="7950"/>
  <c r="L2308" i="7950"/>
  <c r="M1637" i="7950"/>
  <c r="M1661" i="7950"/>
  <c r="L258" i="7950"/>
  <c r="H2468" i="7950"/>
  <c r="K1713" i="7950"/>
  <c r="K1689" i="7950"/>
  <c r="M420" i="7950"/>
  <c r="M396" i="7950"/>
  <c r="G1442" i="7950"/>
  <c r="M1097" i="7950"/>
  <c r="M1121" i="7950"/>
  <c r="N2041" i="7950"/>
  <c r="N2017" i="7950"/>
  <c r="L1714" i="7950"/>
  <c r="L1690" i="7950"/>
  <c r="N1663" i="7950"/>
  <c r="N1639" i="7950"/>
  <c r="L742" i="7950"/>
  <c r="L718" i="7950"/>
  <c r="L1390" i="7950"/>
  <c r="L1366" i="7950"/>
  <c r="K256" i="7950"/>
  <c r="L1636" i="7950"/>
  <c r="L1660" i="7950"/>
  <c r="G1118" i="7950"/>
  <c r="N1393" i="7950"/>
  <c r="N1369" i="7950"/>
  <c r="K2307" i="7950"/>
  <c r="K2283" i="7950"/>
  <c r="G1496" i="7950"/>
  <c r="K1173" i="7950"/>
  <c r="K1149" i="7950"/>
  <c r="K93" i="7950"/>
  <c r="L148" i="7950"/>
  <c r="G2360" i="7950"/>
  <c r="F799" i="7949"/>
  <c r="N97" i="7949"/>
  <c r="M906" i="7950"/>
  <c r="M882" i="7950"/>
  <c r="F1663" i="7949"/>
  <c r="G1982" i="7950"/>
  <c r="G2203" i="7949"/>
  <c r="M2310" i="7950"/>
  <c r="M2286" i="7950"/>
  <c r="K633" i="7950"/>
  <c r="K609" i="7950"/>
  <c r="F421" i="7949"/>
  <c r="F691" i="7949"/>
  <c r="G421" i="7949" l="1"/>
  <c r="H421" i="7949" s="1"/>
  <c r="N2310" i="7950"/>
  <c r="N2286" i="7950"/>
  <c r="H1982" i="7950"/>
  <c r="N906" i="7950"/>
  <c r="N882" i="7950"/>
  <c r="G799" i="7949"/>
  <c r="M148" i="7950"/>
  <c r="L1173" i="7950"/>
  <c r="L1149" i="7950"/>
  <c r="L2307" i="7950"/>
  <c r="L2283" i="7950"/>
  <c r="H1118" i="7950"/>
  <c r="M718" i="7950"/>
  <c r="M742" i="7950"/>
  <c r="M1690" i="7950"/>
  <c r="M1714" i="7950"/>
  <c r="L1689" i="7950"/>
  <c r="L1713" i="7950"/>
  <c r="M258" i="7950"/>
  <c r="G1987" i="7949"/>
  <c r="H1987" i="7949" s="1"/>
  <c r="L2577" i="7950"/>
  <c r="L2553" i="7950"/>
  <c r="M2200" i="7950"/>
  <c r="M2176" i="7950"/>
  <c r="H524" i="7950"/>
  <c r="G1447" i="7949"/>
  <c r="H1447" i="7949" s="1"/>
  <c r="H583" i="7949"/>
  <c r="G1069" i="7949"/>
  <c r="H1069" i="7949" s="1"/>
  <c r="I1069" i="7949" s="1"/>
  <c r="H1825" i="7949"/>
  <c r="O1477" i="7950"/>
  <c r="O1501" i="7950"/>
  <c r="N1392" i="7950"/>
  <c r="N1368" i="7950"/>
  <c r="N365" i="7950"/>
  <c r="L1905" i="7950"/>
  <c r="L1929" i="7950"/>
  <c r="N527" i="7950"/>
  <c r="N503" i="7950"/>
  <c r="N1014" i="7950"/>
  <c r="N990" i="7950"/>
  <c r="L2685" i="7950"/>
  <c r="L2661" i="7950"/>
  <c r="N2580" i="7950"/>
  <c r="N2556" i="7950"/>
  <c r="H416" i="7950"/>
  <c r="M2662" i="7950"/>
  <c r="M2686" i="7950"/>
  <c r="I637" i="7949"/>
  <c r="N1823" i="7950"/>
  <c r="N1799" i="7950"/>
  <c r="I2198" i="7950"/>
  <c r="N1716" i="7950"/>
  <c r="N1692" i="7950"/>
  <c r="O2527" i="7950"/>
  <c r="O2503" i="7950"/>
  <c r="O1177" i="7950"/>
  <c r="O1153" i="7950"/>
  <c r="M1552" i="7950"/>
  <c r="M1528" i="7950"/>
  <c r="I632" i="7950"/>
  <c r="L1581" i="7950"/>
  <c r="L1605" i="7950"/>
  <c r="H956" i="7950"/>
  <c r="M904" i="7950"/>
  <c r="M880" i="7950"/>
  <c r="N2256" i="7950"/>
  <c r="N2232" i="7950"/>
  <c r="H853" i="7949"/>
  <c r="N636" i="7950"/>
  <c r="N612" i="7950"/>
  <c r="I1928" i="7950"/>
  <c r="H745" i="7949"/>
  <c r="H2419" i="7949"/>
  <c r="N1715" i="7950"/>
  <c r="N1691" i="7950"/>
  <c r="H1604" i="7950"/>
  <c r="H1280" i="7950"/>
  <c r="O1447" i="7950"/>
  <c r="O1423" i="7950"/>
  <c r="O475" i="7950"/>
  <c r="O451" i="7950"/>
  <c r="H1820" i="7950"/>
  <c r="M2038" i="7950"/>
  <c r="M2014" i="7950"/>
  <c r="M1174" i="7950"/>
  <c r="M1150" i="7950"/>
  <c r="O2095" i="7950"/>
  <c r="O2071" i="7950"/>
  <c r="L363" i="7950"/>
  <c r="L309" i="7950"/>
  <c r="M202" i="7950"/>
  <c r="L903" i="7950"/>
  <c r="L879" i="7950"/>
  <c r="N2417" i="7950"/>
  <c r="N2393" i="7950"/>
  <c r="L687" i="7950"/>
  <c r="L663" i="7950"/>
  <c r="L849" i="7950"/>
  <c r="L825" i="7950"/>
  <c r="O883" i="7950"/>
  <c r="O907" i="7950"/>
  <c r="N1962" i="7950"/>
  <c r="N1986" i="7950"/>
  <c r="N1746" i="7950"/>
  <c r="N1770" i="7950"/>
  <c r="L2523" i="7950"/>
  <c r="L2499" i="7950"/>
  <c r="O1531" i="7950"/>
  <c r="O1555" i="7950"/>
  <c r="N773" i="7950"/>
  <c r="N797" i="7950"/>
  <c r="N1553" i="7950"/>
  <c r="N1529" i="7950"/>
  <c r="M472" i="7950"/>
  <c r="M448" i="7950"/>
  <c r="M364" i="7950"/>
  <c r="N1205" i="7950"/>
  <c r="N1229" i="7950"/>
  <c r="M1096" i="7950"/>
  <c r="M1120" i="7950"/>
  <c r="N473" i="7950"/>
  <c r="N449" i="7950"/>
  <c r="O205" i="7950"/>
  <c r="L1875" i="7950"/>
  <c r="L1851" i="7950"/>
  <c r="N2610" i="7950"/>
  <c r="N2634" i="7950"/>
  <c r="L2199" i="7950"/>
  <c r="L2175" i="7950"/>
  <c r="O667" i="7950"/>
  <c r="O691" i="7950"/>
  <c r="N1421" i="7950"/>
  <c r="N1445" i="7950"/>
  <c r="O2179" i="7950"/>
  <c r="O2203" i="7950"/>
  <c r="O2473" i="7950"/>
  <c r="O2449" i="7950"/>
  <c r="M257" i="7950"/>
  <c r="M1876" i="7950"/>
  <c r="M1852" i="7950"/>
  <c r="N2394" i="7950"/>
  <c r="N2418" i="7950"/>
  <c r="N203" i="7950"/>
  <c r="O2149" i="7950"/>
  <c r="O2125" i="7950"/>
  <c r="N1230" i="7950"/>
  <c r="N1206" i="7950"/>
  <c r="O97" i="7949"/>
  <c r="L93" i="7950"/>
  <c r="M1636" i="7950"/>
  <c r="M1660" i="7950"/>
  <c r="N1661" i="7950"/>
  <c r="N1637" i="7950"/>
  <c r="N828" i="7950"/>
  <c r="N852" i="7950"/>
  <c r="N94" i="7950"/>
  <c r="L2469" i="7950"/>
  <c r="L2445" i="7950"/>
  <c r="N2471" i="7950"/>
  <c r="N2447" i="7950"/>
  <c r="N2363" i="7950"/>
  <c r="N2339" i="7950"/>
  <c r="M1444" i="7950"/>
  <c r="M1420" i="7950"/>
  <c r="M310" i="7950"/>
  <c r="N1475" i="7950"/>
  <c r="N1499" i="7950"/>
  <c r="L1635" i="7950"/>
  <c r="L1659" i="7950"/>
  <c r="H1177" i="7949"/>
  <c r="H2149" i="7949"/>
  <c r="M1066" i="7950"/>
  <c r="M1042" i="7950"/>
  <c r="O583" i="7950"/>
  <c r="O559" i="7950"/>
  <c r="J1010" i="7950"/>
  <c r="N528" i="7950"/>
  <c r="N504" i="7950"/>
  <c r="N2255" i="7950"/>
  <c r="N2231" i="7950"/>
  <c r="O2365" i="7950"/>
  <c r="O2341" i="7950"/>
  <c r="N1176" i="7950"/>
  <c r="N1152" i="7950"/>
  <c r="M610" i="7950"/>
  <c r="M634" i="7950"/>
  <c r="L741" i="7950"/>
  <c r="L717" i="7950"/>
  <c r="O853" i="7950"/>
  <c r="O829" i="7950"/>
  <c r="H902" i="7950"/>
  <c r="P151" i="7950"/>
  <c r="L147" i="7950"/>
  <c r="H1172" i="7950"/>
  <c r="O529" i="7950"/>
  <c r="O505" i="7950"/>
  <c r="H1339" i="7949"/>
  <c r="H529" i="7949"/>
  <c r="G475" i="7949"/>
  <c r="L1767" i="7950"/>
  <c r="L1743" i="7950"/>
  <c r="L417" i="7950"/>
  <c r="L393" i="7950"/>
  <c r="O2311" i="7950"/>
  <c r="O2287" i="7950"/>
  <c r="L1365" i="7950"/>
  <c r="L1389" i="7950"/>
  <c r="L1419" i="7950"/>
  <c r="L1443" i="7950"/>
  <c r="O1825" i="7950"/>
  <c r="O1801" i="7950"/>
  <c r="N1583" i="7950"/>
  <c r="N1607" i="7950"/>
  <c r="H578" i="7950"/>
  <c r="G961" i="7949"/>
  <c r="H961" i="7949" s="1"/>
  <c r="I961" i="7949" s="1"/>
  <c r="N2123" i="7950"/>
  <c r="N2147" i="7950"/>
  <c r="N1554" i="7950"/>
  <c r="N1530" i="7950"/>
  <c r="N259" i="7950"/>
  <c r="I740" i="7950"/>
  <c r="I2090" i="7950"/>
  <c r="N635" i="7950"/>
  <c r="N611" i="7950"/>
  <c r="N1877" i="7950"/>
  <c r="N1853" i="7950"/>
  <c r="M526" i="7950"/>
  <c r="M502" i="7950"/>
  <c r="M2146" i="7950"/>
  <c r="M2122" i="7950"/>
  <c r="G2257" i="7949"/>
  <c r="H2257" i="7949" s="1"/>
  <c r="L2415" i="7950"/>
  <c r="L2391" i="7950"/>
  <c r="G367" i="7949"/>
  <c r="H367" i="7949" s="1"/>
  <c r="G907" i="7949"/>
  <c r="H907" i="7949" s="1"/>
  <c r="G1393" i="7949"/>
  <c r="K255" i="7950"/>
  <c r="H2630" i="7950"/>
  <c r="H2041" i="7949"/>
  <c r="N2094" i="7950"/>
  <c r="N2070" i="7950"/>
  <c r="L579" i="7950"/>
  <c r="L555" i="7950"/>
  <c r="O1717" i="7950"/>
  <c r="O1693" i="7950"/>
  <c r="H2522" i="7950"/>
  <c r="H2252" i="7950"/>
  <c r="M1606" i="7950"/>
  <c r="M1582" i="7950"/>
  <c r="N798" i="7950"/>
  <c r="N774" i="7950"/>
  <c r="H2306" i="7950"/>
  <c r="N1151" i="7950"/>
  <c r="N1175" i="7950"/>
  <c r="N960" i="7950"/>
  <c r="N936" i="7950"/>
  <c r="M1228" i="7950"/>
  <c r="M1204" i="7950"/>
  <c r="M2470" i="7950"/>
  <c r="M2446" i="7950"/>
  <c r="N2285" i="7950"/>
  <c r="N2309" i="7950"/>
  <c r="M2362" i="7950"/>
  <c r="M2338" i="7950"/>
  <c r="N851" i="7950"/>
  <c r="N827" i="7950"/>
  <c r="N2093" i="7950"/>
  <c r="N2069" i="7950"/>
  <c r="G691" i="7949"/>
  <c r="L633" i="7950"/>
  <c r="L609" i="7950"/>
  <c r="H2203" i="7949"/>
  <c r="G1663" i="7949"/>
  <c r="H1663" i="7949" s="1"/>
  <c r="H2360" i="7950"/>
  <c r="H1496" i="7950"/>
  <c r="O1393" i="7950"/>
  <c r="O1369" i="7950"/>
  <c r="M1366" i="7950"/>
  <c r="M1390" i="7950"/>
  <c r="O1663" i="7950"/>
  <c r="O1639" i="7950"/>
  <c r="O2041" i="7950"/>
  <c r="O2017" i="7950"/>
  <c r="H1442" i="7950"/>
  <c r="N420" i="7950"/>
  <c r="N396" i="7950"/>
  <c r="I2468" i="7950"/>
  <c r="H1874" i="7950"/>
  <c r="H1712" i="7950"/>
  <c r="G1717" i="7949"/>
  <c r="H1123" i="7949"/>
  <c r="N2472" i="7950"/>
  <c r="N2448" i="7950"/>
  <c r="N1662" i="7950"/>
  <c r="N1638" i="7950"/>
  <c r="I2576" i="7950"/>
  <c r="N1284" i="7950"/>
  <c r="N1260" i="7950"/>
  <c r="L2631" i="7950"/>
  <c r="L2607" i="7950"/>
  <c r="N743" i="7950"/>
  <c r="N719" i="7950"/>
  <c r="N557" i="7950"/>
  <c r="N581" i="7950"/>
  <c r="N366" i="7950"/>
  <c r="L1959" i="7950"/>
  <c r="L1983" i="7950"/>
  <c r="N1878" i="7950"/>
  <c r="N1854" i="7950"/>
  <c r="O2581" i="7950"/>
  <c r="O2557" i="7950"/>
  <c r="O367" i="7950"/>
  <c r="H686" i="7950"/>
  <c r="N2633" i="7950"/>
  <c r="N2609" i="7950"/>
  <c r="O961" i="7950"/>
  <c r="O937" i="7950"/>
  <c r="H2473" i="7949"/>
  <c r="L771" i="7950"/>
  <c r="L795" i="7950"/>
  <c r="M1822" i="7950"/>
  <c r="M1798" i="7950"/>
  <c r="N149" i="7950"/>
  <c r="O1609" i="7950"/>
  <c r="O1585" i="7950"/>
  <c r="L957" i="7950"/>
  <c r="L933" i="7950"/>
  <c r="H2095" i="7949"/>
  <c r="O1015" i="7950"/>
  <c r="O991" i="7950"/>
  <c r="G1879" i="7949"/>
  <c r="O1207" i="7950"/>
  <c r="O1231" i="7950"/>
  <c r="H1501" i="7949"/>
  <c r="M2416" i="7950"/>
  <c r="M2392" i="7950"/>
  <c r="N2525" i="7950"/>
  <c r="N2501" i="7950"/>
  <c r="H2414" i="7950"/>
  <c r="N1068" i="7950"/>
  <c r="N1044" i="7950"/>
  <c r="G1015" i="7949"/>
  <c r="L1065" i="7950"/>
  <c r="L1041" i="7950"/>
  <c r="N1824" i="7950"/>
  <c r="N1800" i="7950"/>
  <c r="G1933" i="7949"/>
  <c r="H1933" i="7949" s="1"/>
  <c r="M934" i="7950"/>
  <c r="M958" i="7950"/>
  <c r="H1064" i="7950"/>
  <c r="O1069" i="7950"/>
  <c r="O1045" i="7950"/>
  <c r="H1388" i="7950"/>
  <c r="L1821" i="7950"/>
  <c r="L1797" i="7950"/>
  <c r="I2036" i="7950"/>
  <c r="N1122" i="7950"/>
  <c r="N1098" i="7950"/>
  <c r="M2092" i="7950"/>
  <c r="M2068" i="7950"/>
  <c r="N1500" i="7950"/>
  <c r="N1476" i="7950"/>
  <c r="O1747" i="7950"/>
  <c r="O1771" i="7950"/>
  <c r="O2395" i="7950"/>
  <c r="O2419" i="7950"/>
  <c r="N204" i="7950"/>
  <c r="N95" i="7950"/>
  <c r="N2148" i="7950"/>
  <c r="N2124" i="7950"/>
  <c r="L2037" i="7950"/>
  <c r="L2013" i="7950"/>
  <c r="N97" i="7950"/>
  <c r="M96" i="7950"/>
  <c r="O2611" i="7950"/>
  <c r="O2635" i="7950"/>
  <c r="N558" i="7950"/>
  <c r="N582" i="7950"/>
  <c r="N1932" i="7950"/>
  <c r="N1908" i="7950"/>
  <c r="L2361" i="7950"/>
  <c r="L2337" i="7950"/>
  <c r="N1961" i="7950"/>
  <c r="N1985" i="7950"/>
  <c r="L2091" i="7950"/>
  <c r="L2067" i="7950"/>
  <c r="N1769" i="7950"/>
  <c r="N1745" i="7950"/>
  <c r="M580" i="7950"/>
  <c r="M556" i="7950"/>
  <c r="N2016" i="7950"/>
  <c r="N2040" i="7950"/>
  <c r="L1551" i="7950"/>
  <c r="L1527" i="7950"/>
  <c r="L1011" i="7950"/>
  <c r="L987" i="7950"/>
  <c r="N2364" i="7950"/>
  <c r="N2340" i="7950"/>
  <c r="N312" i="7950"/>
  <c r="N2502" i="7950"/>
  <c r="N2526" i="7950"/>
  <c r="N2201" i="7950"/>
  <c r="N2177" i="7950"/>
  <c r="M1012" i="7950"/>
  <c r="M988" i="7950"/>
  <c r="M688" i="7950"/>
  <c r="M664" i="7950"/>
  <c r="L471" i="7950"/>
  <c r="L447" i="7950"/>
  <c r="L256" i="7950"/>
  <c r="N1121" i="7950"/>
  <c r="N1097" i="7950"/>
  <c r="M2308" i="7950"/>
  <c r="M2284" i="7950"/>
  <c r="L1227" i="7950"/>
  <c r="L1203" i="7950"/>
  <c r="G43" i="7949"/>
  <c r="L1281" i="7950"/>
  <c r="L1257" i="7950"/>
  <c r="M1984" i="7950"/>
  <c r="M1960" i="7950"/>
  <c r="M796" i="7950"/>
  <c r="M772" i="7950"/>
  <c r="O1987" i="7950"/>
  <c r="O1963" i="7950"/>
  <c r="N311" i="7950"/>
  <c r="N1259" i="7950"/>
  <c r="N1283" i="7950"/>
  <c r="L1497" i="7950"/>
  <c r="L1473" i="7950"/>
  <c r="H2311" i="7949"/>
  <c r="N1608" i="7950"/>
  <c r="N1584" i="7950"/>
  <c r="I2144" i="7950"/>
  <c r="H2527" i="7949"/>
  <c r="L2145" i="7950"/>
  <c r="L2121" i="7950"/>
  <c r="N2687" i="7950"/>
  <c r="N2663" i="7950"/>
  <c r="L2229" i="7950"/>
  <c r="L2253" i="7950"/>
  <c r="O799" i="7950"/>
  <c r="O775" i="7950"/>
  <c r="O1261" i="7950"/>
  <c r="O1285" i="7950"/>
  <c r="G1231" i="7949"/>
  <c r="H1231" i="7949" s="1"/>
  <c r="M2524" i="7950"/>
  <c r="M2500" i="7950"/>
  <c r="M2632" i="7950"/>
  <c r="M2608" i="7950"/>
  <c r="N2688" i="7950"/>
  <c r="N2664" i="7950"/>
  <c r="O1879" i="7950"/>
  <c r="O1855" i="7950"/>
  <c r="I2684" i="7950"/>
  <c r="L1095" i="7950"/>
  <c r="L1119" i="7950"/>
  <c r="H1771" i="7949"/>
  <c r="N1043" i="7950"/>
  <c r="N1067" i="7950"/>
  <c r="O1123" i="7950"/>
  <c r="O1099" i="7950"/>
  <c r="H1285" i="7949"/>
  <c r="G2581" i="7949"/>
  <c r="I1550" i="7950"/>
  <c r="O637" i="7950"/>
  <c r="O613" i="7950"/>
  <c r="O2689" i="7950"/>
  <c r="O2665" i="7950"/>
  <c r="N1391" i="7950"/>
  <c r="N1367" i="7950"/>
  <c r="I470" i="7950"/>
  <c r="N744" i="7950"/>
  <c r="N720" i="7950"/>
  <c r="I1658" i="7950"/>
  <c r="N1446" i="7950"/>
  <c r="N1422" i="7950"/>
  <c r="O150" i="7950"/>
  <c r="H1766" i="7950"/>
  <c r="H1555" i="7949"/>
  <c r="O745" i="7950"/>
  <c r="O721" i="7950"/>
  <c r="M1906" i="7950"/>
  <c r="M1930" i="7950"/>
  <c r="H794" i="7950"/>
  <c r="N959" i="7950"/>
  <c r="N935" i="7950"/>
  <c r="N989" i="7950"/>
  <c r="N1013" i="7950"/>
  <c r="M2230" i="7950"/>
  <c r="M2254" i="7950"/>
  <c r="M1768" i="7950"/>
  <c r="M1744" i="7950"/>
  <c r="N2202" i="7950"/>
  <c r="N2178" i="7950"/>
  <c r="H2635" i="7949"/>
  <c r="N905" i="7950"/>
  <c r="N881" i="7950"/>
  <c r="G2365" i="7949"/>
  <c r="N474" i="7950"/>
  <c r="N450" i="7950"/>
  <c r="G1609" i="7949"/>
  <c r="H1609" i="7949" s="1"/>
  <c r="N419" i="7950"/>
  <c r="N395" i="7950"/>
  <c r="N1931" i="7950"/>
  <c r="N1907" i="7950"/>
  <c r="G2689" i="7949"/>
  <c r="O313" i="7950"/>
  <c r="O2257" i="7950"/>
  <c r="O2233" i="7950"/>
  <c r="N689" i="7950"/>
  <c r="N665" i="7950"/>
  <c r="N690" i="7950"/>
  <c r="N666" i="7950"/>
  <c r="H848" i="7950"/>
  <c r="I1226" i="7950"/>
  <c r="L501" i="7950"/>
  <c r="L525" i="7950"/>
  <c r="M1258" i="7950"/>
  <c r="M1282" i="7950"/>
  <c r="M850" i="7950"/>
  <c r="M826" i="7950"/>
  <c r="N2039" i="7950"/>
  <c r="N2015" i="7950"/>
  <c r="M418" i="7950"/>
  <c r="M394" i="7950"/>
  <c r="O397" i="7950"/>
  <c r="O421" i="7950"/>
  <c r="N2555" i="7950"/>
  <c r="N2579" i="7950"/>
  <c r="M2554" i="7950"/>
  <c r="M2578" i="7950"/>
  <c r="L201" i="7950"/>
  <c r="M1474" i="7950"/>
  <c r="M1498" i="7950"/>
  <c r="O1909" i="7950"/>
  <c r="O1933" i="7950"/>
  <c r="O2039" i="7950" l="1"/>
  <c r="O2015" i="7950"/>
  <c r="J1226" i="7950"/>
  <c r="O690" i="7950"/>
  <c r="O666" i="7950"/>
  <c r="P2257" i="7950"/>
  <c r="P2233" i="7950"/>
  <c r="H2689" i="7949"/>
  <c r="O419" i="7950"/>
  <c r="O395" i="7950"/>
  <c r="O474" i="7950"/>
  <c r="O450" i="7950"/>
  <c r="O881" i="7950"/>
  <c r="O905" i="7950"/>
  <c r="O2202" i="7950"/>
  <c r="O2178" i="7950"/>
  <c r="O959" i="7950"/>
  <c r="O935" i="7950"/>
  <c r="I1555" i="7949"/>
  <c r="P150" i="7950"/>
  <c r="J1658" i="7950"/>
  <c r="J470" i="7950"/>
  <c r="P637" i="7950"/>
  <c r="P613" i="7950"/>
  <c r="H2581" i="7949"/>
  <c r="P1123" i="7950"/>
  <c r="P1099" i="7950"/>
  <c r="I1771" i="7949"/>
  <c r="J2684" i="7950"/>
  <c r="O2664" i="7950"/>
  <c r="O2688" i="7950"/>
  <c r="N2500" i="7950"/>
  <c r="N2524" i="7950"/>
  <c r="O2687" i="7950"/>
  <c r="O2663" i="7950"/>
  <c r="I2527" i="7949"/>
  <c r="O1608" i="7950"/>
  <c r="O1584" i="7950"/>
  <c r="M1497" i="7950"/>
  <c r="M1473" i="7950"/>
  <c r="N772" i="7950"/>
  <c r="N796" i="7950"/>
  <c r="M1281" i="7950"/>
  <c r="M1257" i="7950"/>
  <c r="M1203" i="7950"/>
  <c r="M1227" i="7950"/>
  <c r="O1097" i="7950"/>
  <c r="O1121" i="7950"/>
  <c r="M471" i="7950"/>
  <c r="M447" i="7950"/>
  <c r="N1012" i="7950"/>
  <c r="N988" i="7950"/>
  <c r="O2364" i="7950"/>
  <c r="O2340" i="7950"/>
  <c r="M1551" i="7950"/>
  <c r="M1527" i="7950"/>
  <c r="N580" i="7950"/>
  <c r="N556" i="7950"/>
  <c r="M2067" i="7950"/>
  <c r="M2091" i="7950"/>
  <c r="M2337" i="7950"/>
  <c r="M2361" i="7950"/>
  <c r="N96" i="7950"/>
  <c r="M2013" i="7950"/>
  <c r="M2037" i="7950"/>
  <c r="O1500" i="7950"/>
  <c r="O1476" i="7950"/>
  <c r="O1098" i="7950"/>
  <c r="O1122" i="7950"/>
  <c r="M1821" i="7950"/>
  <c r="M1797" i="7950"/>
  <c r="P1045" i="7950"/>
  <c r="P1069" i="7950"/>
  <c r="O1800" i="7950"/>
  <c r="O1824" i="7950"/>
  <c r="H1015" i="7949"/>
  <c r="I2414" i="7950"/>
  <c r="N2392" i="7950"/>
  <c r="N2416" i="7950"/>
  <c r="P1015" i="7950"/>
  <c r="P991" i="7950"/>
  <c r="M957" i="7950"/>
  <c r="M933" i="7950"/>
  <c r="O149" i="7950"/>
  <c r="P961" i="7950"/>
  <c r="P937" i="7950"/>
  <c r="I686" i="7950"/>
  <c r="P2581" i="7950"/>
  <c r="P2557" i="7950"/>
  <c r="O366" i="7950"/>
  <c r="O743" i="7950"/>
  <c r="O719" i="7950"/>
  <c r="O1260" i="7950"/>
  <c r="O1284" i="7950"/>
  <c r="O1662" i="7950"/>
  <c r="O1638" i="7950"/>
  <c r="I1123" i="7949"/>
  <c r="I1712" i="7950"/>
  <c r="J2468" i="7950"/>
  <c r="I1442" i="7950"/>
  <c r="P1663" i="7950"/>
  <c r="P1639" i="7950"/>
  <c r="P1393" i="7950"/>
  <c r="P1369" i="7950"/>
  <c r="I2360" i="7950"/>
  <c r="I2203" i="7949"/>
  <c r="H691" i="7949"/>
  <c r="O851" i="7950"/>
  <c r="O827" i="7950"/>
  <c r="N1204" i="7950"/>
  <c r="N1228" i="7950"/>
  <c r="O774" i="7950"/>
  <c r="O798" i="7950"/>
  <c r="I2252" i="7950"/>
  <c r="P1717" i="7950"/>
  <c r="P1693" i="7950"/>
  <c r="O2094" i="7950"/>
  <c r="O2070" i="7950"/>
  <c r="I2630" i="7950"/>
  <c r="H1393" i="7949"/>
  <c r="I367" i="7949"/>
  <c r="I2257" i="7949"/>
  <c r="N526" i="7950"/>
  <c r="N502" i="7950"/>
  <c r="O635" i="7950"/>
  <c r="O611" i="7950"/>
  <c r="J740" i="7950"/>
  <c r="O1554" i="7950"/>
  <c r="O1530" i="7950"/>
  <c r="I578" i="7950"/>
  <c r="P1801" i="7950"/>
  <c r="P1825" i="7950"/>
  <c r="M417" i="7950"/>
  <c r="M393" i="7950"/>
  <c r="H475" i="7949"/>
  <c r="I1339" i="7949"/>
  <c r="I1172" i="7950"/>
  <c r="I902" i="7950"/>
  <c r="M741" i="7950"/>
  <c r="M717" i="7950"/>
  <c r="P2341" i="7950"/>
  <c r="P2365" i="7950"/>
  <c r="O528" i="7950"/>
  <c r="O504" i="7950"/>
  <c r="P583" i="7950"/>
  <c r="P559" i="7950"/>
  <c r="I2149" i="7949"/>
  <c r="N310" i="7950"/>
  <c r="O2363" i="7950"/>
  <c r="O2339" i="7950"/>
  <c r="M2445" i="7950"/>
  <c r="M2469" i="7950"/>
  <c r="P2149" i="7950"/>
  <c r="P2125" i="7950"/>
  <c r="N257" i="7950"/>
  <c r="N364" i="7950"/>
  <c r="O1553" i="7950"/>
  <c r="O1529" i="7950"/>
  <c r="M687" i="7950"/>
  <c r="M663" i="7950"/>
  <c r="M903" i="7950"/>
  <c r="M879" i="7950"/>
  <c r="M309" i="7950"/>
  <c r="P2095" i="7950"/>
  <c r="P2071" i="7950"/>
  <c r="N2038" i="7950"/>
  <c r="N2014" i="7950"/>
  <c r="P475" i="7950"/>
  <c r="P451" i="7950"/>
  <c r="I1280" i="7950"/>
  <c r="O1715" i="7950"/>
  <c r="O1691" i="7950"/>
  <c r="I745" i="7949"/>
  <c r="O612" i="7950"/>
  <c r="O636" i="7950"/>
  <c r="O2232" i="7950"/>
  <c r="O2256" i="7950"/>
  <c r="I956" i="7950"/>
  <c r="J632" i="7950"/>
  <c r="P1177" i="7950"/>
  <c r="P1153" i="7950"/>
  <c r="O1692" i="7950"/>
  <c r="O1716" i="7950"/>
  <c r="O1823" i="7950"/>
  <c r="O1799" i="7950"/>
  <c r="O2556" i="7950"/>
  <c r="O2580" i="7950"/>
  <c r="O1392" i="7950"/>
  <c r="O1368" i="7950"/>
  <c r="I1825" i="7949"/>
  <c r="I583" i="7949"/>
  <c r="I524" i="7950"/>
  <c r="M2577" i="7950"/>
  <c r="M2553" i="7950"/>
  <c r="N258" i="7950"/>
  <c r="M2283" i="7950"/>
  <c r="M2307" i="7950"/>
  <c r="N148" i="7950"/>
  <c r="O906" i="7950"/>
  <c r="O882" i="7950"/>
  <c r="O2310" i="7950"/>
  <c r="O2286" i="7950"/>
  <c r="P1933" i="7950"/>
  <c r="P1909" i="7950"/>
  <c r="O2579" i="7950"/>
  <c r="O2555" i="7950"/>
  <c r="M525" i="7950"/>
  <c r="M501" i="7950"/>
  <c r="P313" i="7950"/>
  <c r="O1013" i="7950"/>
  <c r="O989" i="7950"/>
  <c r="O1067" i="7950"/>
  <c r="O1043" i="7950"/>
  <c r="M1119" i="7950"/>
  <c r="M1095" i="7950"/>
  <c r="M2253" i="7950"/>
  <c r="M2229" i="7950"/>
  <c r="O1283" i="7950"/>
  <c r="O1259" i="7950"/>
  <c r="O2040" i="7950"/>
  <c r="O2016" i="7950"/>
  <c r="O1985" i="7950"/>
  <c r="O1961" i="7950"/>
  <c r="P2635" i="7950"/>
  <c r="P2611" i="7950"/>
  <c r="P1771" i="7950"/>
  <c r="P1747" i="7950"/>
  <c r="O557" i="7950"/>
  <c r="O581" i="7950"/>
  <c r="N1390" i="7950"/>
  <c r="N1366" i="7950"/>
  <c r="O1607" i="7950"/>
  <c r="O1583" i="7950"/>
  <c r="M1419" i="7950"/>
  <c r="M1443" i="7950"/>
  <c r="N634" i="7950"/>
  <c r="N610" i="7950"/>
  <c r="O1499" i="7950"/>
  <c r="O1475" i="7950"/>
  <c r="M93" i="7950"/>
  <c r="O1445" i="7950"/>
  <c r="O1421" i="7950"/>
  <c r="O1229" i="7950"/>
  <c r="O1205" i="7950"/>
  <c r="O797" i="7950"/>
  <c r="O773" i="7950"/>
  <c r="O1986" i="7950"/>
  <c r="O1962" i="7950"/>
  <c r="N202" i="7950"/>
  <c r="M363" i="7950"/>
  <c r="M1605" i="7950"/>
  <c r="M1581" i="7950"/>
  <c r="P1501" i="7950"/>
  <c r="P1477" i="7950"/>
  <c r="M1713" i="7950"/>
  <c r="M1689" i="7950"/>
  <c r="N1714" i="7950"/>
  <c r="N1690" i="7950"/>
  <c r="M201" i="7950"/>
  <c r="N394" i="7950"/>
  <c r="N418" i="7950"/>
  <c r="N850" i="7950"/>
  <c r="N826" i="7950"/>
  <c r="I848" i="7950"/>
  <c r="O665" i="7950"/>
  <c r="O689" i="7950"/>
  <c r="O1931" i="7950"/>
  <c r="O1907" i="7950"/>
  <c r="I1609" i="7949"/>
  <c r="H2365" i="7949"/>
  <c r="I2635" i="7949"/>
  <c r="N1744" i="7950"/>
  <c r="N1768" i="7950"/>
  <c r="I794" i="7950"/>
  <c r="P721" i="7950"/>
  <c r="P745" i="7950"/>
  <c r="I1766" i="7950"/>
  <c r="O1446" i="7950"/>
  <c r="O1422" i="7950"/>
  <c r="O720" i="7950"/>
  <c r="O744" i="7950"/>
  <c r="O1391" i="7950"/>
  <c r="O1367" i="7950"/>
  <c r="P2689" i="7950"/>
  <c r="P2665" i="7950"/>
  <c r="J1550" i="7950"/>
  <c r="I1285" i="7949"/>
  <c r="P1879" i="7950"/>
  <c r="P1855" i="7950"/>
  <c r="N2608" i="7950"/>
  <c r="N2632" i="7950"/>
  <c r="I1231" i="7949"/>
  <c r="P799" i="7950"/>
  <c r="P775" i="7950"/>
  <c r="M2145" i="7950"/>
  <c r="M2121" i="7950"/>
  <c r="J2144" i="7950"/>
  <c r="I2311" i="7949"/>
  <c r="J2311" i="7949" s="1"/>
  <c r="P1987" i="7950"/>
  <c r="P1963" i="7950"/>
  <c r="N1960" i="7950"/>
  <c r="N1984" i="7950"/>
  <c r="H43" i="7949"/>
  <c r="N2308" i="7950"/>
  <c r="N2284" i="7950"/>
  <c r="M256" i="7950"/>
  <c r="N688" i="7950"/>
  <c r="N664" i="7950"/>
  <c r="O2201" i="7950"/>
  <c r="O2177" i="7950"/>
  <c r="O312" i="7950"/>
  <c r="M1011" i="7950"/>
  <c r="M987" i="7950"/>
  <c r="O1769" i="7950"/>
  <c r="O1745" i="7950"/>
  <c r="O1932" i="7950"/>
  <c r="O1908" i="7950"/>
  <c r="O97" i="7950"/>
  <c r="O2148" i="7950"/>
  <c r="O2124" i="7950"/>
  <c r="O204" i="7950"/>
  <c r="N2092" i="7950"/>
  <c r="N2068" i="7950"/>
  <c r="J2036" i="7950"/>
  <c r="I1388" i="7950"/>
  <c r="I1064" i="7950"/>
  <c r="I1933" i="7949"/>
  <c r="M1065" i="7950"/>
  <c r="M1041" i="7950"/>
  <c r="O1068" i="7950"/>
  <c r="O1044" i="7950"/>
  <c r="O2501" i="7950"/>
  <c r="O2525" i="7950"/>
  <c r="I1501" i="7949"/>
  <c r="H1879" i="7949"/>
  <c r="I2095" i="7949"/>
  <c r="P1609" i="7950"/>
  <c r="P1585" i="7950"/>
  <c r="N1822" i="7950"/>
  <c r="N1798" i="7950"/>
  <c r="I2473" i="7949"/>
  <c r="O2609" i="7950"/>
  <c r="O2633" i="7950"/>
  <c r="P367" i="7950"/>
  <c r="O1878" i="7950"/>
  <c r="O1854" i="7950"/>
  <c r="M2607" i="7950"/>
  <c r="M2631" i="7950"/>
  <c r="J2576" i="7950"/>
  <c r="O2472" i="7950"/>
  <c r="O2448" i="7950"/>
  <c r="H1717" i="7949"/>
  <c r="I1874" i="7950"/>
  <c r="O396" i="7950"/>
  <c r="O420" i="7950"/>
  <c r="P2041" i="7950"/>
  <c r="P2017" i="7950"/>
  <c r="I1496" i="7950"/>
  <c r="I1663" i="7949"/>
  <c r="M633" i="7950"/>
  <c r="M609" i="7950"/>
  <c r="O2093" i="7950"/>
  <c r="O2069" i="7950"/>
  <c r="N2362" i="7950"/>
  <c r="N2338" i="7950"/>
  <c r="N2470" i="7950"/>
  <c r="N2446" i="7950"/>
  <c r="O936" i="7950"/>
  <c r="O960" i="7950"/>
  <c r="I2306" i="7950"/>
  <c r="N1606" i="7950"/>
  <c r="N1582" i="7950"/>
  <c r="I2522" i="7950"/>
  <c r="M555" i="7950"/>
  <c r="M579" i="7950"/>
  <c r="I2041" i="7949"/>
  <c r="L255" i="7950"/>
  <c r="I907" i="7949"/>
  <c r="M2391" i="7950"/>
  <c r="M2415" i="7950"/>
  <c r="N2146" i="7950"/>
  <c r="N2122" i="7950"/>
  <c r="O1853" i="7950"/>
  <c r="O1877" i="7950"/>
  <c r="J2090" i="7950"/>
  <c r="O259" i="7950"/>
  <c r="J961" i="7949"/>
  <c r="P2311" i="7950"/>
  <c r="P2287" i="7950"/>
  <c r="M1743" i="7950"/>
  <c r="M1767" i="7950"/>
  <c r="I529" i="7949"/>
  <c r="P529" i="7950"/>
  <c r="P505" i="7950"/>
  <c r="M147" i="7950"/>
  <c r="Q151" i="7950"/>
  <c r="P853" i="7950"/>
  <c r="P829" i="7950"/>
  <c r="O1152" i="7950"/>
  <c r="O1176" i="7950"/>
  <c r="O2255" i="7950"/>
  <c r="O2231" i="7950"/>
  <c r="K1010" i="7950"/>
  <c r="N1066" i="7950"/>
  <c r="N1042" i="7950"/>
  <c r="I1177" i="7949"/>
  <c r="N1420" i="7950"/>
  <c r="N1444" i="7950"/>
  <c r="O2471" i="7950"/>
  <c r="O2447" i="7950"/>
  <c r="O94" i="7950"/>
  <c r="O1637" i="7950"/>
  <c r="O1661" i="7950"/>
  <c r="O1230" i="7950"/>
  <c r="O1206" i="7950"/>
  <c r="O203" i="7950"/>
  <c r="N1876" i="7950"/>
  <c r="N1852" i="7950"/>
  <c r="P2473" i="7950"/>
  <c r="P2449" i="7950"/>
  <c r="M2199" i="7950"/>
  <c r="M2175" i="7950"/>
  <c r="M1875" i="7950"/>
  <c r="M1851" i="7950"/>
  <c r="O473" i="7950"/>
  <c r="O449" i="7950"/>
  <c r="N472" i="7950"/>
  <c r="N448" i="7950"/>
  <c r="M2523" i="7950"/>
  <c r="M2499" i="7950"/>
  <c r="M825" i="7950"/>
  <c r="M849" i="7950"/>
  <c r="O2417" i="7950"/>
  <c r="O2393" i="7950"/>
  <c r="N1174" i="7950"/>
  <c r="N1150" i="7950"/>
  <c r="I1820" i="7950"/>
  <c r="P1447" i="7950"/>
  <c r="P1423" i="7950"/>
  <c r="I1604" i="7950"/>
  <c r="I2419" i="7949"/>
  <c r="J1928" i="7950"/>
  <c r="I853" i="7949"/>
  <c r="N880" i="7950"/>
  <c r="N904" i="7950"/>
  <c r="N1528" i="7950"/>
  <c r="N1552" i="7950"/>
  <c r="P2527" i="7950"/>
  <c r="P2503" i="7950"/>
  <c r="J2198" i="7950"/>
  <c r="J637" i="7949"/>
  <c r="I416" i="7950"/>
  <c r="M2685" i="7950"/>
  <c r="M2661" i="7950"/>
  <c r="O1014" i="7950"/>
  <c r="O990" i="7950"/>
  <c r="O527" i="7950"/>
  <c r="O503" i="7950"/>
  <c r="O365" i="7950"/>
  <c r="J1069" i="7949"/>
  <c r="I1447" i="7949"/>
  <c r="N2176" i="7950"/>
  <c r="N2200" i="7950"/>
  <c r="I1987" i="7949"/>
  <c r="I1118" i="7950"/>
  <c r="M1173" i="7950"/>
  <c r="M1149" i="7950"/>
  <c r="H799" i="7949"/>
  <c r="I1982" i="7950"/>
  <c r="I421" i="7949"/>
  <c r="N1498" i="7950"/>
  <c r="N1474" i="7950"/>
  <c r="N2578" i="7950"/>
  <c r="N2554" i="7950"/>
  <c r="P397" i="7950"/>
  <c r="P421" i="7950"/>
  <c r="N1282" i="7950"/>
  <c r="N1258" i="7950"/>
  <c r="N2254" i="7950"/>
  <c r="N2230" i="7950"/>
  <c r="N1930" i="7950"/>
  <c r="N1906" i="7950"/>
  <c r="P1285" i="7950"/>
  <c r="P1261" i="7950"/>
  <c r="O311" i="7950"/>
  <c r="O2526" i="7950"/>
  <c r="O2502" i="7950"/>
  <c r="O582" i="7950"/>
  <c r="O558" i="7950"/>
  <c r="O95" i="7950"/>
  <c r="P2419" i="7950"/>
  <c r="P2395" i="7950"/>
  <c r="N958" i="7950"/>
  <c r="N934" i="7950"/>
  <c r="P1231" i="7950"/>
  <c r="P1207" i="7950"/>
  <c r="M771" i="7950"/>
  <c r="M795" i="7950"/>
  <c r="M1959" i="7950"/>
  <c r="M1983" i="7950"/>
  <c r="O2285" i="7950"/>
  <c r="O2309" i="7950"/>
  <c r="O1175" i="7950"/>
  <c r="O1151" i="7950"/>
  <c r="O2123" i="7950"/>
  <c r="O2147" i="7950"/>
  <c r="M1389" i="7950"/>
  <c r="M1365" i="7950"/>
  <c r="M1659" i="7950"/>
  <c r="M1635" i="7950"/>
  <c r="O852" i="7950"/>
  <c r="O828" i="7950"/>
  <c r="N1660" i="7950"/>
  <c r="N1636" i="7950"/>
  <c r="P97" i="7949"/>
  <c r="O2418" i="7950"/>
  <c r="O2394" i="7950"/>
  <c r="P2203" i="7950"/>
  <c r="P2179" i="7950"/>
  <c r="P691" i="7950"/>
  <c r="P667" i="7950"/>
  <c r="O2634" i="7950"/>
  <c r="O2610" i="7950"/>
  <c r="P205" i="7950"/>
  <c r="N1120" i="7950"/>
  <c r="N1096" i="7950"/>
  <c r="P1555" i="7950"/>
  <c r="P1531" i="7950"/>
  <c r="O1770" i="7950"/>
  <c r="O1746" i="7950"/>
  <c r="P907" i="7950"/>
  <c r="P883" i="7950"/>
  <c r="N2686" i="7950"/>
  <c r="N2662" i="7950"/>
  <c r="M1929" i="7950"/>
  <c r="M1905" i="7950"/>
  <c r="N742" i="7950"/>
  <c r="N718" i="7950"/>
  <c r="O718" i="7950" l="1"/>
  <c r="O742" i="7950"/>
  <c r="O2662" i="7950"/>
  <c r="O2686" i="7950"/>
  <c r="P1770" i="7950"/>
  <c r="P1746" i="7950"/>
  <c r="O1120" i="7950"/>
  <c r="O1096" i="7950"/>
  <c r="P2634" i="7950"/>
  <c r="P2610" i="7950"/>
  <c r="Q2203" i="7950"/>
  <c r="Q2179" i="7950"/>
  <c r="Q97" i="7949"/>
  <c r="P852" i="7950"/>
  <c r="P828" i="7950"/>
  <c r="N1365" i="7950"/>
  <c r="N1389" i="7950"/>
  <c r="P1151" i="7950"/>
  <c r="P1175" i="7950"/>
  <c r="Q1231" i="7950"/>
  <c r="Q1207" i="7950"/>
  <c r="Q2419" i="7950"/>
  <c r="Q2395" i="7950"/>
  <c r="P582" i="7950"/>
  <c r="P558" i="7950"/>
  <c r="P311" i="7950"/>
  <c r="O1906" i="7950"/>
  <c r="O1930" i="7950"/>
  <c r="O1282" i="7950"/>
  <c r="O1258" i="7950"/>
  <c r="O2578" i="7950"/>
  <c r="O2554" i="7950"/>
  <c r="J421" i="7949"/>
  <c r="I799" i="7949"/>
  <c r="J1118" i="7950"/>
  <c r="K1069" i="7949"/>
  <c r="P527" i="7950"/>
  <c r="P503" i="7950"/>
  <c r="N2685" i="7950"/>
  <c r="N2661" i="7950"/>
  <c r="K637" i="7949"/>
  <c r="Q2503" i="7950"/>
  <c r="Q2527" i="7950"/>
  <c r="K1928" i="7950"/>
  <c r="J1604" i="7950"/>
  <c r="J1820" i="7950"/>
  <c r="P2417" i="7950"/>
  <c r="P2393" i="7950"/>
  <c r="N2523" i="7950"/>
  <c r="N2499" i="7950"/>
  <c r="P473" i="7950"/>
  <c r="P449" i="7950"/>
  <c r="N2199" i="7950"/>
  <c r="N2175" i="7950"/>
  <c r="O1876" i="7950"/>
  <c r="O1852" i="7950"/>
  <c r="P1206" i="7950"/>
  <c r="P1230" i="7950"/>
  <c r="P94" i="7950"/>
  <c r="O1066" i="7950"/>
  <c r="O1042" i="7950"/>
  <c r="P2255" i="7950"/>
  <c r="P2231" i="7950"/>
  <c r="Q829" i="7950"/>
  <c r="Q853" i="7950"/>
  <c r="J529" i="7949"/>
  <c r="Q2287" i="7950"/>
  <c r="Q2311" i="7950"/>
  <c r="K2090" i="7950"/>
  <c r="O2122" i="7950"/>
  <c r="O2146" i="7950"/>
  <c r="J907" i="7949"/>
  <c r="J2041" i="7949"/>
  <c r="J2522" i="7950"/>
  <c r="J2306" i="7950"/>
  <c r="O2446" i="7950"/>
  <c r="O2470" i="7950"/>
  <c r="P2093" i="7950"/>
  <c r="P2069" i="7950"/>
  <c r="J1663" i="7949"/>
  <c r="Q2017" i="7950"/>
  <c r="Q2041" i="7950"/>
  <c r="J1874" i="7950"/>
  <c r="P2472" i="7950"/>
  <c r="P2448" i="7950"/>
  <c r="P1854" i="7950"/>
  <c r="P1878" i="7950"/>
  <c r="O1822" i="7950"/>
  <c r="O1798" i="7950"/>
  <c r="J2095" i="7949"/>
  <c r="J1501" i="7949"/>
  <c r="P1068" i="7950"/>
  <c r="P1044" i="7950"/>
  <c r="J1933" i="7949"/>
  <c r="J1388" i="7950"/>
  <c r="O2092" i="7950"/>
  <c r="O2068" i="7950"/>
  <c r="P2148" i="7950"/>
  <c r="P2124" i="7950"/>
  <c r="P1908" i="7950"/>
  <c r="P1932" i="7950"/>
  <c r="N1011" i="7950"/>
  <c r="N987" i="7950"/>
  <c r="P2201" i="7950"/>
  <c r="P2177" i="7950"/>
  <c r="N256" i="7950"/>
  <c r="Q1963" i="7950"/>
  <c r="Q1987" i="7950"/>
  <c r="K2144" i="7950"/>
  <c r="Q799" i="7950"/>
  <c r="Q775" i="7950"/>
  <c r="J1285" i="7949"/>
  <c r="Q2689" i="7950"/>
  <c r="Q2665" i="7950"/>
  <c r="J1766" i="7950"/>
  <c r="J794" i="7950"/>
  <c r="J2635" i="7949"/>
  <c r="J1609" i="7949"/>
  <c r="P1931" i="7950"/>
  <c r="P1907" i="7950"/>
  <c r="J848" i="7950"/>
  <c r="O1690" i="7950"/>
  <c r="O1714" i="7950"/>
  <c r="Q1501" i="7950"/>
  <c r="Q1477" i="7950"/>
  <c r="N363" i="7950"/>
  <c r="P1986" i="7950"/>
  <c r="P1962" i="7950"/>
  <c r="P1205" i="7950"/>
  <c r="P1229" i="7950"/>
  <c r="O610" i="7950"/>
  <c r="O634" i="7950"/>
  <c r="P1583" i="7950"/>
  <c r="P1607" i="7950"/>
  <c r="Q2635" i="7950"/>
  <c r="Q2611" i="7950"/>
  <c r="P2040" i="7950"/>
  <c r="P2016" i="7950"/>
  <c r="N2229" i="7950"/>
  <c r="N2253" i="7950"/>
  <c r="P1043" i="7950"/>
  <c r="P1067" i="7950"/>
  <c r="Q313" i="7950"/>
  <c r="P2555" i="7950"/>
  <c r="P2579" i="7950"/>
  <c r="P882" i="7950"/>
  <c r="P906" i="7950"/>
  <c r="O258" i="7950"/>
  <c r="J524" i="7950"/>
  <c r="J1825" i="7949"/>
  <c r="K632" i="7950"/>
  <c r="J745" i="7949"/>
  <c r="J1280" i="7950"/>
  <c r="O2014" i="7950"/>
  <c r="O2038" i="7950"/>
  <c r="N687" i="7950"/>
  <c r="N663" i="7950"/>
  <c r="Q2149" i="7950"/>
  <c r="Q2125" i="7950"/>
  <c r="P2363" i="7950"/>
  <c r="P2339" i="7950"/>
  <c r="J2149" i="7949"/>
  <c r="P528" i="7950"/>
  <c r="P504" i="7950"/>
  <c r="J902" i="7950"/>
  <c r="J1172" i="7950"/>
  <c r="I475" i="7949"/>
  <c r="P1530" i="7950"/>
  <c r="P1554" i="7950"/>
  <c r="P635" i="7950"/>
  <c r="P611" i="7950"/>
  <c r="J2257" i="7949"/>
  <c r="I1393" i="7949"/>
  <c r="P2094" i="7950"/>
  <c r="P2070" i="7950"/>
  <c r="J2252" i="7950"/>
  <c r="I691" i="7949"/>
  <c r="J2360" i="7950"/>
  <c r="Q1639" i="7950"/>
  <c r="Q1663" i="7950"/>
  <c r="K2468" i="7950"/>
  <c r="J1123" i="7949"/>
  <c r="P366" i="7950"/>
  <c r="J686" i="7950"/>
  <c r="Q991" i="7950"/>
  <c r="Q1015" i="7950"/>
  <c r="J2414" i="7950"/>
  <c r="N1821" i="7950"/>
  <c r="N1797" i="7950"/>
  <c r="P1476" i="7950"/>
  <c r="P1500" i="7950"/>
  <c r="O96" i="7950"/>
  <c r="N1551" i="7950"/>
  <c r="N1527" i="7950"/>
  <c r="O1012" i="7950"/>
  <c r="O988" i="7950"/>
  <c r="N1281" i="7950"/>
  <c r="N1257" i="7950"/>
  <c r="N1497" i="7950"/>
  <c r="N1473" i="7950"/>
  <c r="J2527" i="7949"/>
  <c r="J1771" i="7949"/>
  <c r="I2581" i="7949"/>
  <c r="K1658" i="7950"/>
  <c r="J1555" i="7949"/>
  <c r="P2178" i="7950"/>
  <c r="P2202" i="7950"/>
  <c r="P450" i="7950"/>
  <c r="P474" i="7950"/>
  <c r="Q2257" i="7950"/>
  <c r="Q2233" i="7950"/>
  <c r="K1226" i="7950"/>
  <c r="P2123" i="7950"/>
  <c r="P2147" i="7950"/>
  <c r="P2285" i="7950"/>
  <c r="P2309" i="7950"/>
  <c r="N771" i="7950"/>
  <c r="N795" i="7950"/>
  <c r="P95" i="7950"/>
  <c r="Q421" i="7950"/>
  <c r="Q397" i="7950"/>
  <c r="P365" i="7950"/>
  <c r="O1552" i="7950"/>
  <c r="O1528" i="7950"/>
  <c r="N849" i="7950"/>
  <c r="N825" i="7950"/>
  <c r="P1661" i="7950"/>
  <c r="P1637" i="7950"/>
  <c r="P1176" i="7950"/>
  <c r="P1152" i="7950"/>
  <c r="R151" i="7950"/>
  <c r="N1767" i="7950"/>
  <c r="N1743" i="7950"/>
  <c r="P1877" i="7950"/>
  <c r="P1853" i="7950"/>
  <c r="N2415" i="7950"/>
  <c r="N2391" i="7950"/>
  <c r="N555" i="7950"/>
  <c r="N579" i="7950"/>
  <c r="P960" i="7950"/>
  <c r="P936" i="7950"/>
  <c r="P420" i="7950"/>
  <c r="P396" i="7950"/>
  <c r="P2525" i="7950"/>
  <c r="P2501" i="7950"/>
  <c r="P312" i="7950"/>
  <c r="O1960" i="7950"/>
  <c r="O1984" i="7950"/>
  <c r="Q745" i="7950"/>
  <c r="Q721" i="7950"/>
  <c r="O1768" i="7950"/>
  <c r="O1744" i="7950"/>
  <c r="P665" i="7950"/>
  <c r="P689" i="7950"/>
  <c r="N1419" i="7950"/>
  <c r="N1443" i="7950"/>
  <c r="P636" i="7950"/>
  <c r="P612" i="7950"/>
  <c r="O257" i="7950"/>
  <c r="N2469" i="7950"/>
  <c r="N2445" i="7950"/>
  <c r="Q2365" i="7950"/>
  <c r="Q2341" i="7950"/>
  <c r="P798" i="7950"/>
  <c r="P774" i="7950"/>
  <c r="O2416" i="7950"/>
  <c r="O2392" i="7950"/>
  <c r="Q1069" i="7950"/>
  <c r="Q1045" i="7950"/>
  <c r="P1122" i="7950"/>
  <c r="P1098" i="7950"/>
  <c r="N2037" i="7950"/>
  <c r="N2013" i="7950"/>
  <c r="N2361" i="7950"/>
  <c r="N2337" i="7950"/>
  <c r="N1227" i="7950"/>
  <c r="N1203" i="7950"/>
  <c r="O796" i="7950"/>
  <c r="O772" i="7950"/>
  <c r="O2524" i="7950"/>
  <c r="O2500" i="7950"/>
  <c r="P905" i="7950"/>
  <c r="P881" i="7950"/>
  <c r="N1905" i="7950"/>
  <c r="N1929" i="7950"/>
  <c r="Q907" i="7950"/>
  <c r="Q883" i="7950"/>
  <c r="Q1555" i="7950"/>
  <c r="Q1531" i="7950"/>
  <c r="Q205" i="7950"/>
  <c r="Q691" i="7950"/>
  <c r="Q667" i="7950"/>
  <c r="P2418" i="7950"/>
  <c r="P2394" i="7950"/>
  <c r="O1660" i="7950"/>
  <c r="O1636" i="7950"/>
  <c r="N1635" i="7950"/>
  <c r="N1659" i="7950"/>
  <c r="O934" i="7950"/>
  <c r="O958" i="7950"/>
  <c r="P2526" i="7950"/>
  <c r="P2502" i="7950"/>
  <c r="Q1285" i="7950"/>
  <c r="Q1261" i="7950"/>
  <c r="O2230" i="7950"/>
  <c r="O2254" i="7950"/>
  <c r="O1498" i="7950"/>
  <c r="O1474" i="7950"/>
  <c r="J1982" i="7950"/>
  <c r="N1173" i="7950"/>
  <c r="N1149" i="7950"/>
  <c r="J1987" i="7949"/>
  <c r="J1447" i="7949"/>
  <c r="P990" i="7950"/>
  <c r="P1014" i="7950"/>
  <c r="J416" i="7950"/>
  <c r="K2198" i="7950"/>
  <c r="J853" i="7949"/>
  <c r="J2419" i="7949"/>
  <c r="Q1447" i="7950"/>
  <c r="Q1423" i="7950"/>
  <c r="O1174" i="7950"/>
  <c r="O1150" i="7950"/>
  <c r="O472" i="7950"/>
  <c r="O448" i="7950"/>
  <c r="N1875" i="7950"/>
  <c r="N1851" i="7950"/>
  <c r="Q2449" i="7950"/>
  <c r="Q2473" i="7950"/>
  <c r="P203" i="7950"/>
  <c r="P2471" i="7950"/>
  <c r="P2447" i="7950"/>
  <c r="J1177" i="7949"/>
  <c r="L1010" i="7950"/>
  <c r="Q529" i="7950"/>
  <c r="Q505" i="7950"/>
  <c r="K961" i="7949"/>
  <c r="P259" i="7950"/>
  <c r="M255" i="7950"/>
  <c r="O1606" i="7950"/>
  <c r="O1582" i="7950"/>
  <c r="O2338" i="7950"/>
  <c r="O2362" i="7950"/>
  <c r="N633" i="7950"/>
  <c r="N609" i="7950"/>
  <c r="J1496" i="7950"/>
  <c r="I1717" i="7949"/>
  <c r="K2576" i="7950"/>
  <c r="Q367" i="7950"/>
  <c r="J2473" i="7949"/>
  <c r="Q1609" i="7950"/>
  <c r="Q1585" i="7950"/>
  <c r="I1879" i="7949"/>
  <c r="N1065" i="7950"/>
  <c r="N1041" i="7950"/>
  <c r="J1064" i="7950"/>
  <c r="K2036" i="7950"/>
  <c r="P204" i="7950"/>
  <c r="P97" i="7950"/>
  <c r="P1769" i="7950"/>
  <c r="P1745" i="7950"/>
  <c r="O688" i="7950"/>
  <c r="O664" i="7950"/>
  <c r="O2284" i="7950"/>
  <c r="O2308" i="7950"/>
  <c r="K2311" i="7949"/>
  <c r="N2145" i="7950"/>
  <c r="N2121" i="7950"/>
  <c r="J1231" i="7949"/>
  <c r="Q1855" i="7950"/>
  <c r="Q1879" i="7950"/>
  <c r="K1550" i="7950"/>
  <c r="P1391" i="7950"/>
  <c r="P1367" i="7950"/>
  <c r="P1446" i="7950"/>
  <c r="P1422" i="7950"/>
  <c r="I2365" i="7949"/>
  <c r="O826" i="7950"/>
  <c r="O850" i="7950"/>
  <c r="N201" i="7950"/>
  <c r="N1689" i="7950"/>
  <c r="N1713" i="7950"/>
  <c r="N1581" i="7950"/>
  <c r="N1605" i="7950"/>
  <c r="O202" i="7950"/>
  <c r="P773" i="7950"/>
  <c r="P797" i="7950"/>
  <c r="P1421" i="7950"/>
  <c r="P1445" i="7950"/>
  <c r="P1475" i="7950"/>
  <c r="P1499" i="7950"/>
  <c r="O1366" i="7950"/>
  <c r="O1390" i="7950"/>
  <c r="Q1771" i="7950"/>
  <c r="Q1747" i="7950"/>
  <c r="P1961" i="7950"/>
  <c r="P1985" i="7950"/>
  <c r="P1259" i="7950"/>
  <c r="P1283" i="7950"/>
  <c r="N1095" i="7950"/>
  <c r="N1119" i="7950"/>
  <c r="P989" i="7950"/>
  <c r="P1013" i="7950"/>
  <c r="N501" i="7950"/>
  <c r="N525" i="7950"/>
  <c r="Q1933" i="7950"/>
  <c r="Q1909" i="7950"/>
  <c r="P2310" i="7950"/>
  <c r="P2286" i="7950"/>
  <c r="O148" i="7950"/>
  <c r="N2577" i="7950"/>
  <c r="N2553" i="7950"/>
  <c r="J583" i="7949"/>
  <c r="P1392" i="7950"/>
  <c r="P1368" i="7950"/>
  <c r="P1823" i="7950"/>
  <c r="P1799" i="7950"/>
  <c r="Q1177" i="7950"/>
  <c r="Q1153" i="7950"/>
  <c r="J956" i="7950"/>
  <c r="P1715" i="7950"/>
  <c r="P1691" i="7950"/>
  <c r="Q451" i="7950"/>
  <c r="Q475" i="7950"/>
  <c r="Q2095" i="7950"/>
  <c r="Q2071" i="7950"/>
  <c r="N903" i="7950"/>
  <c r="N879" i="7950"/>
  <c r="P1553" i="7950"/>
  <c r="P1529" i="7950"/>
  <c r="O310" i="7950"/>
  <c r="Q559" i="7950"/>
  <c r="Q583" i="7950"/>
  <c r="N741" i="7950"/>
  <c r="N717" i="7950"/>
  <c r="J1339" i="7949"/>
  <c r="N393" i="7950"/>
  <c r="N417" i="7950"/>
  <c r="J578" i="7950"/>
  <c r="K740" i="7950"/>
  <c r="O526" i="7950"/>
  <c r="O502" i="7950"/>
  <c r="J367" i="7949"/>
  <c r="J2630" i="7950"/>
  <c r="Q1717" i="7950"/>
  <c r="Q1693" i="7950"/>
  <c r="P851" i="7950"/>
  <c r="P827" i="7950"/>
  <c r="J2203" i="7949"/>
  <c r="Q1393" i="7950"/>
  <c r="Q1369" i="7950"/>
  <c r="J1442" i="7950"/>
  <c r="J1712" i="7950"/>
  <c r="P1638" i="7950"/>
  <c r="P1662" i="7950"/>
  <c r="P743" i="7950"/>
  <c r="P719" i="7950"/>
  <c r="Q2581" i="7950"/>
  <c r="Q2557" i="7950"/>
  <c r="Q961" i="7950"/>
  <c r="Q937" i="7950"/>
  <c r="N957" i="7950"/>
  <c r="N933" i="7950"/>
  <c r="I1015" i="7949"/>
  <c r="J1015" i="7949" s="1"/>
  <c r="O580" i="7950"/>
  <c r="O556" i="7950"/>
  <c r="P2340" i="7950"/>
  <c r="P2364" i="7950"/>
  <c r="N471" i="7950"/>
  <c r="N447" i="7950"/>
  <c r="P1608" i="7950"/>
  <c r="P1584" i="7950"/>
  <c r="P2687" i="7950"/>
  <c r="P2663" i="7950"/>
  <c r="K2684" i="7950"/>
  <c r="Q1123" i="7950"/>
  <c r="Q1099" i="7950"/>
  <c r="Q637" i="7950"/>
  <c r="Q613" i="7950"/>
  <c r="K470" i="7950"/>
  <c r="Q150" i="7950"/>
  <c r="P959" i="7950"/>
  <c r="P935" i="7950"/>
  <c r="P419" i="7950"/>
  <c r="P395" i="7950"/>
  <c r="I2689" i="7949"/>
  <c r="P666" i="7950"/>
  <c r="P690" i="7950"/>
  <c r="P2039" i="7950"/>
  <c r="P2015" i="7950"/>
  <c r="N1959" i="7950"/>
  <c r="N1983" i="7950"/>
  <c r="O2200" i="7950"/>
  <c r="O2176" i="7950"/>
  <c r="O904" i="7950"/>
  <c r="O880" i="7950"/>
  <c r="O1420" i="7950"/>
  <c r="O1444" i="7950"/>
  <c r="N147" i="7950"/>
  <c r="N2631" i="7950"/>
  <c r="N2607" i="7950"/>
  <c r="P2633" i="7950"/>
  <c r="P2609" i="7950"/>
  <c r="I43" i="7949"/>
  <c r="O2632" i="7950"/>
  <c r="O2608" i="7950"/>
  <c r="P744" i="7950"/>
  <c r="P720" i="7950"/>
  <c r="O418" i="7950"/>
  <c r="O394" i="7950"/>
  <c r="N93" i="7950"/>
  <c r="P557" i="7950"/>
  <c r="P581" i="7950"/>
  <c r="N2307" i="7950"/>
  <c r="N2283" i="7950"/>
  <c r="P2580" i="7950"/>
  <c r="P2556" i="7950"/>
  <c r="P1716" i="7950"/>
  <c r="P1692" i="7950"/>
  <c r="P2256" i="7950"/>
  <c r="P2232" i="7950"/>
  <c r="N309" i="7950"/>
  <c r="O364" i="7950"/>
  <c r="Q1825" i="7950"/>
  <c r="Q1801" i="7950"/>
  <c r="O1204" i="7950"/>
  <c r="O1228" i="7950"/>
  <c r="P1284" i="7950"/>
  <c r="P1260" i="7950"/>
  <c r="P149" i="7950"/>
  <c r="P1824" i="7950"/>
  <c r="P1800" i="7950"/>
  <c r="N2091" i="7950"/>
  <c r="N2067" i="7950"/>
  <c r="P1121" i="7950"/>
  <c r="P1097" i="7950"/>
  <c r="P2688" i="7950"/>
  <c r="P2664" i="7950"/>
  <c r="O93" i="7950" l="1"/>
  <c r="P1444" i="7950"/>
  <c r="P1420" i="7950"/>
  <c r="Q1662" i="7950"/>
  <c r="Q1638" i="7950"/>
  <c r="O393" i="7950"/>
  <c r="O417" i="7950"/>
  <c r="R583" i="7950"/>
  <c r="R559" i="7950"/>
  <c r="O501" i="7950"/>
  <c r="O525" i="7950"/>
  <c r="O1095" i="7950"/>
  <c r="O1119" i="7950"/>
  <c r="Q1985" i="7950"/>
  <c r="Q1961" i="7950"/>
  <c r="P1366" i="7950"/>
  <c r="P1390" i="7950"/>
  <c r="Q1445" i="7950"/>
  <c r="Q1421" i="7950"/>
  <c r="O1713" i="7950"/>
  <c r="O1689" i="7950"/>
  <c r="P826" i="7950"/>
  <c r="P850" i="7950"/>
  <c r="R1879" i="7950"/>
  <c r="R1855" i="7950"/>
  <c r="P2308" i="7950"/>
  <c r="P2284" i="7950"/>
  <c r="Q1014" i="7950"/>
  <c r="Q990" i="7950"/>
  <c r="P2254" i="7950"/>
  <c r="P2230" i="7950"/>
  <c r="O1635" i="7950"/>
  <c r="O1659" i="7950"/>
  <c r="O1443" i="7950"/>
  <c r="O1419" i="7950"/>
  <c r="P1984" i="7950"/>
  <c r="P1960" i="7950"/>
  <c r="Q95" i="7950"/>
  <c r="Q2309" i="7950"/>
  <c r="Q2285" i="7950"/>
  <c r="Q2202" i="7950"/>
  <c r="Q2178" i="7950"/>
  <c r="R1015" i="7950"/>
  <c r="R991" i="7950"/>
  <c r="Q2579" i="7950"/>
  <c r="Q2555" i="7950"/>
  <c r="Q1043" i="7950"/>
  <c r="Q1067" i="7950"/>
  <c r="Q1607" i="7950"/>
  <c r="Q1583" i="7950"/>
  <c r="Q1229" i="7950"/>
  <c r="Q1205" i="7950"/>
  <c r="O363" i="7950"/>
  <c r="P1690" i="7950"/>
  <c r="P1714" i="7950"/>
  <c r="Q1878" i="7950"/>
  <c r="Q1854" i="7950"/>
  <c r="P2470" i="7950"/>
  <c r="P2446" i="7950"/>
  <c r="R2311" i="7950"/>
  <c r="R2287" i="7950"/>
  <c r="R853" i="7950"/>
  <c r="R829" i="7950"/>
  <c r="Q1230" i="7950"/>
  <c r="Q1206" i="7950"/>
  <c r="Q311" i="7950"/>
  <c r="Q1151" i="7950"/>
  <c r="Q1175" i="7950"/>
  <c r="P2686" i="7950"/>
  <c r="P2662" i="7950"/>
  <c r="Q1097" i="7950"/>
  <c r="Q1121" i="7950"/>
  <c r="Q1800" i="7950"/>
  <c r="Q1824" i="7950"/>
  <c r="Q1260" i="7950"/>
  <c r="Q1284" i="7950"/>
  <c r="R1801" i="7950"/>
  <c r="R1825" i="7950"/>
  <c r="O309" i="7950"/>
  <c r="Q1692" i="7950"/>
  <c r="Q1716" i="7950"/>
  <c r="O2283" i="7950"/>
  <c r="O2307" i="7950"/>
  <c r="Q744" i="7950"/>
  <c r="Q720" i="7950"/>
  <c r="J43" i="7949"/>
  <c r="O2631" i="7950"/>
  <c r="O2607" i="7950"/>
  <c r="P2200" i="7950"/>
  <c r="P2176" i="7950"/>
  <c r="Q2039" i="7950"/>
  <c r="Q2015" i="7950"/>
  <c r="J2689" i="7949"/>
  <c r="Q935" i="7950"/>
  <c r="Q959" i="7950"/>
  <c r="L470" i="7950"/>
  <c r="R1123" i="7950"/>
  <c r="R1099" i="7950"/>
  <c r="Q2663" i="7950"/>
  <c r="Q2687" i="7950"/>
  <c r="O471" i="7950"/>
  <c r="O447" i="7950"/>
  <c r="P580" i="7950"/>
  <c r="P556" i="7950"/>
  <c r="O933" i="7950"/>
  <c r="O957" i="7950"/>
  <c r="R2581" i="7950"/>
  <c r="R2557" i="7950"/>
  <c r="K1442" i="7950"/>
  <c r="K2203" i="7949"/>
  <c r="R1717" i="7950"/>
  <c r="R1693" i="7950"/>
  <c r="K367" i="7949"/>
  <c r="L740" i="7950"/>
  <c r="Q1553" i="7950"/>
  <c r="Q1529" i="7950"/>
  <c r="R2095" i="7950"/>
  <c r="R2071" i="7950"/>
  <c r="Q1715" i="7950"/>
  <c r="Q1691" i="7950"/>
  <c r="R1177" i="7950"/>
  <c r="R1153" i="7950"/>
  <c r="K583" i="7949"/>
  <c r="Q2310" i="7950"/>
  <c r="Q2286" i="7950"/>
  <c r="P202" i="7950"/>
  <c r="J2365" i="7949"/>
  <c r="Q1367" i="7950"/>
  <c r="Q1391" i="7950"/>
  <c r="O2145" i="7950"/>
  <c r="O2121" i="7950"/>
  <c r="Q1769" i="7950"/>
  <c r="Q1745" i="7950"/>
  <c r="Q204" i="7950"/>
  <c r="K1064" i="7950"/>
  <c r="J1879" i="7949"/>
  <c r="K2473" i="7949"/>
  <c r="J1717" i="7949"/>
  <c r="O633" i="7950"/>
  <c r="O609" i="7950"/>
  <c r="P1582" i="7950"/>
  <c r="P1606" i="7950"/>
  <c r="Q259" i="7950"/>
  <c r="R505" i="7950"/>
  <c r="R529" i="7950"/>
  <c r="K1177" i="7949"/>
  <c r="Q203" i="7950"/>
  <c r="O1875" i="7950"/>
  <c r="O1851" i="7950"/>
  <c r="P1174" i="7950"/>
  <c r="P1150" i="7950"/>
  <c r="K2419" i="7949"/>
  <c r="L2198" i="7950"/>
  <c r="K1987" i="7949"/>
  <c r="K1982" i="7950"/>
  <c r="Q2526" i="7950"/>
  <c r="Q2502" i="7950"/>
  <c r="Q2418" i="7950"/>
  <c r="Q2394" i="7950"/>
  <c r="R205" i="7950"/>
  <c r="R907" i="7950"/>
  <c r="R883" i="7950"/>
  <c r="Q905" i="7950"/>
  <c r="Q881" i="7950"/>
  <c r="P796" i="7950"/>
  <c r="P772" i="7950"/>
  <c r="O2361" i="7950"/>
  <c r="O2337" i="7950"/>
  <c r="Q1098" i="7950"/>
  <c r="Q1122" i="7950"/>
  <c r="P2416" i="7950"/>
  <c r="P2392" i="7950"/>
  <c r="R2341" i="7950"/>
  <c r="R2365" i="7950"/>
  <c r="P257" i="7950"/>
  <c r="P1768" i="7950"/>
  <c r="P1744" i="7950"/>
  <c r="Q2525" i="7950"/>
  <c r="Q2501" i="7950"/>
  <c r="Q936" i="7950"/>
  <c r="Q960" i="7950"/>
  <c r="O2415" i="7950"/>
  <c r="O2391" i="7950"/>
  <c r="O1767" i="7950"/>
  <c r="O1743" i="7950"/>
  <c r="Q1152" i="7950"/>
  <c r="Q1176" i="7950"/>
  <c r="O849" i="7950"/>
  <c r="O825" i="7950"/>
  <c r="Q365" i="7950"/>
  <c r="L1226" i="7950"/>
  <c r="L1658" i="7950"/>
  <c r="J2581" i="7949"/>
  <c r="O1497" i="7950"/>
  <c r="O1473" i="7950"/>
  <c r="P1012" i="7950"/>
  <c r="P988" i="7950"/>
  <c r="P96" i="7950"/>
  <c r="O1797" i="7950"/>
  <c r="O1821" i="7950"/>
  <c r="Q366" i="7950"/>
  <c r="L2468" i="7950"/>
  <c r="K2360" i="7950"/>
  <c r="K2252" i="7950"/>
  <c r="J1393" i="7949"/>
  <c r="Q611" i="7950"/>
  <c r="Q635" i="7950"/>
  <c r="J475" i="7949"/>
  <c r="K902" i="7950"/>
  <c r="Q528" i="7950"/>
  <c r="Q504" i="7950"/>
  <c r="Q2339" i="7950"/>
  <c r="Q2363" i="7950"/>
  <c r="O687" i="7950"/>
  <c r="O663" i="7950"/>
  <c r="K1280" i="7950"/>
  <c r="L632" i="7950"/>
  <c r="K1825" i="7949"/>
  <c r="P258" i="7950"/>
  <c r="Q2040" i="7950"/>
  <c r="Q2016" i="7950"/>
  <c r="Q1907" i="7950"/>
  <c r="Q1931" i="7950"/>
  <c r="K2635" i="7949"/>
  <c r="K1766" i="7950"/>
  <c r="K1285" i="7949"/>
  <c r="L2144" i="7950"/>
  <c r="O256" i="7950"/>
  <c r="O1011" i="7950"/>
  <c r="O987" i="7950"/>
  <c r="Q2148" i="7950"/>
  <c r="Q2124" i="7950"/>
  <c r="K1388" i="7950"/>
  <c r="Q1068" i="7950"/>
  <c r="Q1044" i="7950"/>
  <c r="K2095" i="7949"/>
  <c r="K1874" i="7950"/>
  <c r="K1663" i="7949"/>
  <c r="K2522" i="7950"/>
  <c r="K907" i="7949"/>
  <c r="L2090" i="7950"/>
  <c r="P1042" i="7950"/>
  <c r="P1066" i="7950"/>
  <c r="O2199" i="7950"/>
  <c r="O2175" i="7950"/>
  <c r="O2523" i="7950"/>
  <c r="O2499" i="7950"/>
  <c r="K1820" i="7950"/>
  <c r="L1928" i="7950"/>
  <c r="L637" i="7949"/>
  <c r="Q527" i="7950"/>
  <c r="Q503" i="7950"/>
  <c r="K1118" i="7950"/>
  <c r="K421" i="7949"/>
  <c r="P1258" i="7950"/>
  <c r="P1282" i="7950"/>
  <c r="R2419" i="7950"/>
  <c r="R2395" i="7950"/>
  <c r="Q852" i="7950"/>
  <c r="Q828" i="7950"/>
  <c r="R2203" i="7950"/>
  <c r="R2179" i="7950"/>
  <c r="P1096" i="7950"/>
  <c r="P1120" i="7950"/>
  <c r="P1228" i="7950"/>
  <c r="P1204" i="7950"/>
  <c r="Q581" i="7950"/>
  <c r="Q557" i="7950"/>
  <c r="O1959" i="7950"/>
  <c r="O1983" i="7950"/>
  <c r="Q666" i="7950"/>
  <c r="Q690" i="7950"/>
  <c r="Q2364" i="7950"/>
  <c r="Q2340" i="7950"/>
  <c r="R451" i="7950"/>
  <c r="R475" i="7950"/>
  <c r="P148" i="7950"/>
  <c r="Q989" i="7950"/>
  <c r="Q1013" i="7950"/>
  <c r="Q1283" i="7950"/>
  <c r="Q1259" i="7950"/>
  <c r="Q1475" i="7950"/>
  <c r="Q1499" i="7950"/>
  <c r="Q797" i="7950"/>
  <c r="Q773" i="7950"/>
  <c r="O1605" i="7950"/>
  <c r="O1581" i="7950"/>
  <c r="O201" i="7950"/>
  <c r="P2362" i="7950"/>
  <c r="P2338" i="7950"/>
  <c r="R2473" i="7950"/>
  <c r="R2449" i="7950"/>
  <c r="P958" i="7950"/>
  <c r="P934" i="7950"/>
  <c r="O1929" i="7950"/>
  <c r="O1905" i="7950"/>
  <c r="Q689" i="7950"/>
  <c r="Q665" i="7950"/>
  <c r="O579" i="7950"/>
  <c r="O555" i="7950"/>
  <c r="O771" i="7950"/>
  <c r="O795" i="7950"/>
  <c r="Q2147" i="7950"/>
  <c r="Q2123" i="7950"/>
  <c r="Q474" i="7950"/>
  <c r="Q450" i="7950"/>
  <c r="Q1500" i="7950"/>
  <c r="Q1476" i="7950"/>
  <c r="R1663" i="7950"/>
  <c r="R1639" i="7950"/>
  <c r="Q1554" i="7950"/>
  <c r="Q1530" i="7950"/>
  <c r="P2014" i="7950"/>
  <c r="P2038" i="7950"/>
  <c r="Q906" i="7950"/>
  <c r="Q882" i="7950"/>
  <c r="O2229" i="7950"/>
  <c r="O2253" i="7950"/>
  <c r="P610" i="7950"/>
  <c r="P634" i="7950"/>
  <c r="R1987" i="7950"/>
  <c r="R1963" i="7950"/>
  <c r="Q1932" i="7950"/>
  <c r="Q1908" i="7950"/>
  <c r="R2041" i="7950"/>
  <c r="R2017" i="7950"/>
  <c r="P2146" i="7950"/>
  <c r="P2122" i="7950"/>
  <c r="Q94" i="7950"/>
  <c r="R2527" i="7950"/>
  <c r="R2503" i="7950"/>
  <c r="P1930" i="7950"/>
  <c r="P1906" i="7950"/>
  <c r="O1365" i="7950"/>
  <c r="O1389" i="7950"/>
  <c r="P742" i="7950"/>
  <c r="P718" i="7950"/>
  <c r="Q2664" i="7950"/>
  <c r="Q2688" i="7950"/>
  <c r="O2067" i="7950"/>
  <c r="O2091" i="7950"/>
  <c r="Q149" i="7950"/>
  <c r="P364" i="7950"/>
  <c r="Q2232" i="7950"/>
  <c r="Q2256" i="7950"/>
  <c r="Q2556" i="7950"/>
  <c r="Q2580" i="7950"/>
  <c r="P418" i="7950"/>
  <c r="P394" i="7950"/>
  <c r="P2632" i="7950"/>
  <c r="P2608" i="7950"/>
  <c r="Q2633" i="7950"/>
  <c r="Q2609" i="7950"/>
  <c r="O147" i="7950"/>
  <c r="P904" i="7950"/>
  <c r="P880" i="7950"/>
  <c r="Q419" i="7950"/>
  <c r="Q395" i="7950"/>
  <c r="R150" i="7950"/>
  <c r="R637" i="7950"/>
  <c r="R613" i="7950"/>
  <c r="L2684" i="7950"/>
  <c r="Q1608" i="7950"/>
  <c r="Q1584" i="7950"/>
  <c r="K1015" i="7949"/>
  <c r="R961" i="7950"/>
  <c r="R937" i="7950"/>
  <c r="Q743" i="7950"/>
  <c r="Q719" i="7950"/>
  <c r="K1712" i="7950"/>
  <c r="R1393" i="7950"/>
  <c r="R1369" i="7950"/>
  <c r="Q851" i="7950"/>
  <c r="Q827" i="7950"/>
  <c r="K2630" i="7950"/>
  <c r="P526" i="7950"/>
  <c r="P502" i="7950"/>
  <c r="K578" i="7950"/>
  <c r="K1339" i="7949"/>
  <c r="O741" i="7950"/>
  <c r="O717" i="7950"/>
  <c r="P310" i="7950"/>
  <c r="O903" i="7950"/>
  <c r="O879" i="7950"/>
  <c r="K956" i="7950"/>
  <c r="Q1823" i="7950"/>
  <c r="Q1799" i="7950"/>
  <c r="Q1392" i="7950"/>
  <c r="Q1368" i="7950"/>
  <c r="O2577" i="7950"/>
  <c r="O2553" i="7950"/>
  <c r="R1933" i="7950"/>
  <c r="R1909" i="7950"/>
  <c r="R1771" i="7950"/>
  <c r="R1747" i="7950"/>
  <c r="Q1446" i="7950"/>
  <c r="Q1422" i="7950"/>
  <c r="L1550" i="7950"/>
  <c r="K1231" i="7949"/>
  <c r="L2311" i="7949"/>
  <c r="P688" i="7950"/>
  <c r="P664" i="7950"/>
  <c r="Q97" i="7950"/>
  <c r="L2036" i="7950"/>
  <c r="O1041" i="7950"/>
  <c r="O1065" i="7950"/>
  <c r="R1609" i="7950"/>
  <c r="R1585" i="7950"/>
  <c r="R367" i="7950"/>
  <c r="L2576" i="7950"/>
  <c r="K1496" i="7950"/>
  <c r="N255" i="7950"/>
  <c r="L961" i="7949"/>
  <c r="M1010" i="7950"/>
  <c r="Q2447" i="7950"/>
  <c r="Q2471" i="7950"/>
  <c r="P472" i="7950"/>
  <c r="P448" i="7950"/>
  <c r="R1447" i="7950"/>
  <c r="R1423" i="7950"/>
  <c r="K853" i="7949"/>
  <c r="K416" i="7950"/>
  <c r="K1447" i="7949"/>
  <c r="O1173" i="7950"/>
  <c r="O1149" i="7950"/>
  <c r="P1498" i="7950"/>
  <c r="P1474" i="7950"/>
  <c r="R1285" i="7950"/>
  <c r="R1261" i="7950"/>
  <c r="P1636" i="7950"/>
  <c r="P1660" i="7950"/>
  <c r="R691" i="7950"/>
  <c r="R667" i="7950"/>
  <c r="R1555" i="7950"/>
  <c r="R1531" i="7950"/>
  <c r="P2524" i="7950"/>
  <c r="P2500" i="7950"/>
  <c r="O1203" i="7950"/>
  <c r="O1227" i="7950"/>
  <c r="O2037" i="7950"/>
  <c r="O2013" i="7950"/>
  <c r="R1045" i="7950"/>
  <c r="R1069" i="7950"/>
  <c r="Q774" i="7950"/>
  <c r="Q798" i="7950"/>
  <c r="O2469" i="7950"/>
  <c r="O2445" i="7950"/>
  <c r="Q612" i="7950"/>
  <c r="Q636" i="7950"/>
  <c r="R721" i="7950"/>
  <c r="R745" i="7950"/>
  <c r="Q312" i="7950"/>
  <c r="Q420" i="7950"/>
  <c r="Q396" i="7950"/>
  <c r="Q1877" i="7950"/>
  <c r="Q1853" i="7950"/>
  <c r="S151" i="7950"/>
  <c r="Q1637" i="7950"/>
  <c r="Q1661" i="7950"/>
  <c r="P1552" i="7950"/>
  <c r="P1528" i="7950"/>
  <c r="R421" i="7950"/>
  <c r="R397" i="7950"/>
  <c r="R2257" i="7950"/>
  <c r="R2233" i="7950"/>
  <c r="K1555" i="7949"/>
  <c r="K1771" i="7949"/>
  <c r="K2527" i="7949"/>
  <c r="O1281" i="7950"/>
  <c r="O1257" i="7950"/>
  <c r="O1551" i="7950"/>
  <c r="O1527" i="7950"/>
  <c r="K2414" i="7950"/>
  <c r="K686" i="7950"/>
  <c r="K1123" i="7949"/>
  <c r="J691" i="7949"/>
  <c r="Q2094" i="7950"/>
  <c r="Q2070" i="7950"/>
  <c r="K2257" i="7949"/>
  <c r="K1172" i="7950"/>
  <c r="K2149" i="7949"/>
  <c r="R2149" i="7950"/>
  <c r="R2125" i="7950"/>
  <c r="K745" i="7949"/>
  <c r="K524" i="7950"/>
  <c r="R313" i="7950"/>
  <c r="R2635" i="7950"/>
  <c r="R2611" i="7950"/>
  <c r="Q1986" i="7950"/>
  <c r="Q1962" i="7950"/>
  <c r="R1501" i="7950"/>
  <c r="R1477" i="7950"/>
  <c r="K848" i="7950"/>
  <c r="K1609" i="7949"/>
  <c r="K794" i="7950"/>
  <c r="R2689" i="7950"/>
  <c r="R2665" i="7950"/>
  <c r="R799" i="7950"/>
  <c r="R775" i="7950"/>
  <c r="Q2201" i="7950"/>
  <c r="Q2177" i="7950"/>
  <c r="P2092" i="7950"/>
  <c r="P2068" i="7950"/>
  <c r="K1933" i="7949"/>
  <c r="K1501" i="7949"/>
  <c r="P1798" i="7950"/>
  <c r="P1822" i="7950"/>
  <c r="Q2472" i="7950"/>
  <c r="Q2448" i="7950"/>
  <c r="Q2093" i="7950"/>
  <c r="Q2069" i="7950"/>
  <c r="K2306" i="7950"/>
  <c r="K2041" i="7949"/>
  <c r="K529" i="7949"/>
  <c r="Q2255" i="7950"/>
  <c r="Q2231" i="7950"/>
  <c r="P1876" i="7950"/>
  <c r="P1852" i="7950"/>
  <c r="Q473" i="7950"/>
  <c r="Q449" i="7950"/>
  <c r="Q2417" i="7950"/>
  <c r="Q2393" i="7950"/>
  <c r="K1604" i="7950"/>
  <c r="O2661" i="7950"/>
  <c r="O2685" i="7950"/>
  <c r="L1069" i="7949"/>
  <c r="J799" i="7949"/>
  <c r="P2554" i="7950"/>
  <c r="P2578" i="7950"/>
  <c r="Q582" i="7950"/>
  <c r="Q558" i="7950"/>
  <c r="R1231" i="7950"/>
  <c r="R1207" i="7950"/>
  <c r="R97" i="7949"/>
  <c r="Q2634" i="7950"/>
  <c r="Q2610" i="7950"/>
  <c r="Q1770" i="7950"/>
  <c r="Q1746" i="7950"/>
  <c r="Q2554" i="7950" l="1"/>
  <c r="Q2578" i="7950"/>
  <c r="S745" i="7950"/>
  <c r="S721" i="7950"/>
  <c r="S1069" i="7950"/>
  <c r="S1045" i="7950"/>
  <c r="P1203" i="7950"/>
  <c r="P1227" i="7950"/>
  <c r="Q1660" i="7950"/>
  <c r="Q1636" i="7950"/>
  <c r="O255" i="7950"/>
  <c r="S150" i="7950"/>
  <c r="R2232" i="7950"/>
  <c r="R2256" i="7950"/>
  <c r="R2688" i="7950"/>
  <c r="R2664" i="7950"/>
  <c r="P1389" i="7950"/>
  <c r="P1365" i="7950"/>
  <c r="Q634" i="7950"/>
  <c r="Q610" i="7950"/>
  <c r="P201" i="7950"/>
  <c r="Q148" i="7950"/>
  <c r="P1983" i="7950"/>
  <c r="P1959" i="7950"/>
  <c r="Q1042" i="7950"/>
  <c r="Q1066" i="7950"/>
  <c r="R1907" i="7950"/>
  <c r="R1931" i="7950"/>
  <c r="R365" i="7950"/>
  <c r="R1152" i="7950"/>
  <c r="R1176" i="7950"/>
  <c r="Q257" i="7950"/>
  <c r="R204" i="7950"/>
  <c r="R2663" i="7950"/>
  <c r="R2687" i="7950"/>
  <c r="K43" i="7949"/>
  <c r="P2307" i="7950"/>
  <c r="P2283" i="7950"/>
  <c r="R1260" i="7950"/>
  <c r="R1284" i="7950"/>
  <c r="R1097" i="7950"/>
  <c r="R1121" i="7950"/>
  <c r="R1175" i="7950"/>
  <c r="R1151" i="7950"/>
  <c r="P363" i="7950"/>
  <c r="R95" i="7950"/>
  <c r="Q850" i="7950"/>
  <c r="Q826" i="7950"/>
  <c r="P525" i="7950"/>
  <c r="P501" i="7950"/>
  <c r="P417" i="7950"/>
  <c r="P393" i="7950"/>
  <c r="R2634" i="7950"/>
  <c r="R2610" i="7950"/>
  <c r="S1231" i="7950"/>
  <c r="S1207" i="7950"/>
  <c r="M1069" i="7949"/>
  <c r="L1604" i="7950"/>
  <c r="R473" i="7950"/>
  <c r="R449" i="7950"/>
  <c r="R2231" i="7950"/>
  <c r="R2255" i="7950"/>
  <c r="L2306" i="7950"/>
  <c r="R2448" i="7950"/>
  <c r="R2472" i="7950"/>
  <c r="L1501" i="7949"/>
  <c r="Q2092" i="7950"/>
  <c r="Q2068" i="7950"/>
  <c r="S799" i="7950"/>
  <c r="S775" i="7950"/>
  <c r="L794" i="7950"/>
  <c r="L848" i="7950"/>
  <c r="R1986" i="7950"/>
  <c r="R1962" i="7950"/>
  <c r="S313" i="7950"/>
  <c r="S2125" i="7950"/>
  <c r="S2149" i="7950"/>
  <c r="L2257" i="7949"/>
  <c r="K691" i="7949"/>
  <c r="L686" i="7950"/>
  <c r="P1551" i="7950"/>
  <c r="P1527" i="7950"/>
  <c r="L2527" i="7949"/>
  <c r="S2233" i="7950"/>
  <c r="S2257" i="7950"/>
  <c r="Q1552" i="7950"/>
  <c r="Q1528" i="7950"/>
  <c r="T151" i="7950"/>
  <c r="R396" i="7950"/>
  <c r="R420" i="7950"/>
  <c r="P2469" i="7950"/>
  <c r="P2445" i="7950"/>
  <c r="S1555" i="7950"/>
  <c r="S1531" i="7950"/>
  <c r="Q1474" i="7950"/>
  <c r="Q1498" i="7950"/>
  <c r="L1447" i="7949"/>
  <c r="L853" i="7949"/>
  <c r="Q472" i="7950"/>
  <c r="Q448" i="7950"/>
  <c r="N1010" i="7950"/>
  <c r="M2576" i="7950"/>
  <c r="S1585" i="7950"/>
  <c r="S1609" i="7950"/>
  <c r="M2036" i="7950"/>
  <c r="Q688" i="7950"/>
  <c r="Q664" i="7950"/>
  <c r="L1231" i="7949"/>
  <c r="R1446" i="7950"/>
  <c r="R1422" i="7950"/>
  <c r="S1771" i="7950"/>
  <c r="S1747" i="7950"/>
  <c r="P2577" i="7950"/>
  <c r="P2553" i="7950"/>
  <c r="R1823" i="7950"/>
  <c r="R1799" i="7950"/>
  <c r="P903" i="7950"/>
  <c r="P879" i="7950"/>
  <c r="P717" i="7950"/>
  <c r="P741" i="7950"/>
  <c r="L578" i="7950"/>
  <c r="L2630" i="7950"/>
  <c r="S1393" i="7950"/>
  <c r="S1369" i="7950"/>
  <c r="R719" i="7950"/>
  <c r="R743" i="7950"/>
  <c r="L1015" i="7949"/>
  <c r="M2684" i="7950"/>
  <c r="Q904" i="7950"/>
  <c r="Q880" i="7950"/>
  <c r="R2633" i="7950"/>
  <c r="R2609" i="7950"/>
  <c r="Q418" i="7950"/>
  <c r="Q394" i="7950"/>
  <c r="R149" i="7950"/>
  <c r="S2527" i="7950"/>
  <c r="S2503" i="7950"/>
  <c r="Q2122" i="7950"/>
  <c r="Q2146" i="7950"/>
  <c r="R1932" i="7950"/>
  <c r="R1908" i="7950"/>
  <c r="R906" i="7950"/>
  <c r="R882" i="7950"/>
  <c r="R1554" i="7950"/>
  <c r="R1530" i="7950"/>
  <c r="R1500" i="7950"/>
  <c r="R1476" i="7950"/>
  <c r="R2147" i="7950"/>
  <c r="R2123" i="7950"/>
  <c r="P579" i="7950"/>
  <c r="P555" i="7950"/>
  <c r="P1929" i="7950"/>
  <c r="P1905" i="7950"/>
  <c r="S2473" i="7950"/>
  <c r="S2449" i="7950"/>
  <c r="R797" i="7950"/>
  <c r="R773" i="7950"/>
  <c r="R1259" i="7950"/>
  <c r="R1283" i="7950"/>
  <c r="R2364" i="7950"/>
  <c r="R2340" i="7950"/>
  <c r="Q1204" i="7950"/>
  <c r="Q1228" i="7950"/>
  <c r="S2203" i="7950"/>
  <c r="S2179" i="7950"/>
  <c r="S2419" i="7950"/>
  <c r="S2395" i="7950"/>
  <c r="L421" i="7949"/>
  <c r="R503" i="7950"/>
  <c r="R527" i="7950"/>
  <c r="M1928" i="7950"/>
  <c r="P2523" i="7950"/>
  <c r="P2499" i="7950"/>
  <c r="L907" i="7949"/>
  <c r="L1663" i="7949"/>
  <c r="L2095" i="7949"/>
  <c r="L1388" i="7950"/>
  <c r="P1011" i="7950"/>
  <c r="P987" i="7950"/>
  <c r="M2144" i="7950"/>
  <c r="L1766" i="7950"/>
  <c r="Q258" i="7950"/>
  <c r="M632" i="7950"/>
  <c r="P687" i="7950"/>
  <c r="P663" i="7950"/>
  <c r="R528" i="7950"/>
  <c r="R504" i="7950"/>
  <c r="K475" i="7949"/>
  <c r="K1393" i="7949"/>
  <c r="L2360" i="7950"/>
  <c r="R366" i="7950"/>
  <c r="Q96" i="7950"/>
  <c r="P1497" i="7950"/>
  <c r="P1473" i="7950"/>
  <c r="K2581" i="7949"/>
  <c r="P2415" i="7950"/>
  <c r="P2391" i="7950"/>
  <c r="R2525" i="7950"/>
  <c r="R2501" i="7950"/>
  <c r="Q2416" i="7950"/>
  <c r="Q2392" i="7950"/>
  <c r="P2361" i="7950"/>
  <c r="P2337" i="7950"/>
  <c r="R905" i="7950"/>
  <c r="R881" i="7950"/>
  <c r="S205" i="7950"/>
  <c r="R2526" i="7950"/>
  <c r="R2502" i="7950"/>
  <c r="L1987" i="7949"/>
  <c r="L2419" i="7949"/>
  <c r="P1875" i="7950"/>
  <c r="P1851" i="7950"/>
  <c r="L1177" i="7949"/>
  <c r="R259" i="7950"/>
  <c r="P609" i="7950"/>
  <c r="P633" i="7950"/>
  <c r="K1879" i="7949"/>
  <c r="P2145" i="7950"/>
  <c r="P2121" i="7950"/>
  <c r="K2365" i="7949"/>
  <c r="R2310" i="7950"/>
  <c r="R2286" i="7950"/>
  <c r="L583" i="7949"/>
  <c r="S1177" i="7950"/>
  <c r="S1153" i="7950"/>
  <c r="S2071" i="7950"/>
  <c r="S2095" i="7950"/>
  <c r="L367" i="7949"/>
  <c r="L2203" i="7949"/>
  <c r="S2581" i="7950"/>
  <c r="S2557" i="7950"/>
  <c r="Q580" i="7950"/>
  <c r="Q556" i="7950"/>
  <c r="M470" i="7950"/>
  <c r="K2689" i="7949"/>
  <c r="Q2200" i="7950"/>
  <c r="Q2176" i="7950"/>
  <c r="P309" i="7950"/>
  <c r="R1230" i="7950"/>
  <c r="R1206" i="7950"/>
  <c r="S2311" i="7950"/>
  <c r="S2287" i="7950"/>
  <c r="R1878" i="7950"/>
  <c r="R1854" i="7950"/>
  <c r="R1583" i="7950"/>
  <c r="R1607" i="7950"/>
  <c r="R2555" i="7950"/>
  <c r="R2579" i="7950"/>
  <c r="R2202" i="7950"/>
  <c r="R2178" i="7950"/>
  <c r="P1443" i="7950"/>
  <c r="P1419" i="7950"/>
  <c r="Q2230" i="7950"/>
  <c r="Q2254" i="7950"/>
  <c r="Q2284" i="7950"/>
  <c r="Q2308" i="7950"/>
  <c r="R1445" i="7950"/>
  <c r="R1421" i="7950"/>
  <c r="R1985" i="7950"/>
  <c r="R1961" i="7950"/>
  <c r="Q1420" i="7950"/>
  <c r="Q1444" i="7950"/>
  <c r="P2661" i="7950"/>
  <c r="P2685" i="7950"/>
  <c r="Q1798" i="7950"/>
  <c r="Q1822" i="7950"/>
  <c r="R1637" i="7950"/>
  <c r="R1661" i="7950"/>
  <c r="R612" i="7950"/>
  <c r="R636" i="7950"/>
  <c r="R774" i="7950"/>
  <c r="R798" i="7950"/>
  <c r="R2447" i="7950"/>
  <c r="R2471" i="7950"/>
  <c r="P1041" i="7950"/>
  <c r="P1065" i="7950"/>
  <c r="R97" i="7950"/>
  <c r="Q310" i="7950"/>
  <c r="R2580" i="7950"/>
  <c r="R2556" i="7950"/>
  <c r="Q364" i="7950"/>
  <c r="P2091" i="7950"/>
  <c r="P2067" i="7950"/>
  <c r="P2253" i="7950"/>
  <c r="P2229" i="7950"/>
  <c r="Q2038" i="7950"/>
  <c r="Q2014" i="7950"/>
  <c r="P795" i="7950"/>
  <c r="P771" i="7950"/>
  <c r="R1475" i="7950"/>
  <c r="R1499" i="7950"/>
  <c r="R989" i="7950"/>
  <c r="R1013" i="7950"/>
  <c r="S475" i="7950"/>
  <c r="S451" i="7950"/>
  <c r="R690" i="7950"/>
  <c r="R666" i="7950"/>
  <c r="Q1120" i="7950"/>
  <c r="Q1096" i="7950"/>
  <c r="Q1258" i="7950"/>
  <c r="Q1282" i="7950"/>
  <c r="R2363" i="7950"/>
  <c r="R2339" i="7950"/>
  <c r="R635" i="7950"/>
  <c r="R611" i="7950"/>
  <c r="P1797" i="7950"/>
  <c r="P1821" i="7950"/>
  <c r="R960" i="7950"/>
  <c r="R936" i="7950"/>
  <c r="S2341" i="7950"/>
  <c r="S2365" i="7950"/>
  <c r="R1122" i="7950"/>
  <c r="R1098" i="7950"/>
  <c r="R203" i="7950"/>
  <c r="S505" i="7950"/>
  <c r="S529" i="7950"/>
  <c r="Q1606" i="7950"/>
  <c r="Q1582" i="7950"/>
  <c r="R1367" i="7950"/>
  <c r="R1391" i="7950"/>
  <c r="P933" i="7950"/>
  <c r="P957" i="7950"/>
  <c r="R935" i="7950"/>
  <c r="R959" i="7950"/>
  <c r="R1692" i="7950"/>
  <c r="R1716" i="7950"/>
  <c r="S1825" i="7950"/>
  <c r="S1801" i="7950"/>
  <c r="R1800" i="7950"/>
  <c r="R1824" i="7950"/>
  <c r="Q1714" i="7950"/>
  <c r="Q1690" i="7950"/>
  <c r="R1067" i="7950"/>
  <c r="R1043" i="7950"/>
  <c r="P1659" i="7950"/>
  <c r="P1635" i="7950"/>
  <c r="Q1390" i="7950"/>
  <c r="Q1366" i="7950"/>
  <c r="P1119" i="7950"/>
  <c r="P1095" i="7950"/>
  <c r="P93" i="7950"/>
  <c r="R1770" i="7950"/>
  <c r="R1746" i="7950"/>
  <c r="S97" i="7949"/>
  <c r="R582" i="7950"/>
  <c r="R558" i="7950"/>
  <c r="K799" i="7949"/>
  <c r="R2417" i="7950"/>
  <c r="R2393" i="7950"/>
  <c r="Q1876" i="7950"/>
  <c r="Q1852" i="7950"/>
  <c r="L529" i="7949"/>
  <c r="L2041" i="7949"/>
  <c r="R2093" i="7950"/>
  <c r="R2069" i="7950"/>
  <c r="L1933" i="7949"/>
  <c r="R2201" i="7950"/>
  <c r="R2177" i="7950"/>
  <c r="S2665" i="7950"/>
  <c r="S2689" i="7950"/>
  <c r="L1609" i="7949"/>
  <c r="S1501" i="7950"/>
  <c r="S1477" i="7950"/>
  <c r="S2635" i="7950"/>
  <c r="S2611" i="7950"/>
  <c r="L524" i="7950"/>
  <c r="L745" i="7949"/>
  <c r="L2149" i="7949"/>
  <c r="L1172" i="7950"/>
  <c r="R2070" i="7950"/>
  <c r="R2094" i="7950"/>
  <c r="L1123" i="7949"/>
  <c r="L2414" i="7950"/>
  <c r="P1281" i="7950"/>
  <c r="P1257" i="7950"/>
  <c r="L1771" i="7949"/>
  <c r="L1555" i="7949"/>
  <c r="S421" i="7950"/>
  <c r="S397" i="7950"/>
  <c r="R1877" i="7950"/>
  <c r="R1853" i="7950"/>
  <c r="R312" i="7950"/>
  <c r="P2037" i="7950"/>
  <c r="P2013" i="7950"/>
  <c r="Q2524" i="7950"/>
  <c r="Q2500" i="7950"/>
  <c r="S691" i="7950"/>
  <c r="S667" i="7950"/>
  <c r="S1285" i="7950"/>
  <c r="S1261" i="7950"/>
  <c r="P1149" i="7950"/>
  <c r="P1173" i="7950"/>
  <c r="L416" i="7950"/>
  <c r="S1423" i="7950"/>
  <c r="S1447" i="7950"/>
  <c r="M961" i="7949"/>
  <c r="L1496" i="7950"/>
  <c r="S367" i="7950"/>
  <c r="M2311" i="7949"/>
  <c r="M1550" i="7950"/>
  <c r="S1933" i="7950"/>
  <c r="S1909" i="7950"/>
  <c r="R1392" i="7950"/>
  <c r="R1368" i="7950"/>
  <c r="L956" i="7950"/>
  <c r="L1339" i="7949"/>
  <c r="Q526" i="7950"/>
  <c r="Q502" i="7950"/>
  <c r="R851" i="7950"/>
  <c r="R827" i="7950"/>
  <c r="L1712" i="7950"/>
  <c r="S961" i="7950"/>
  <c r="S937" i="7950"/>
  <c r="R1584" i="7950"/>
  <c r="R1608" i="7950"/>
  <c r="S637" i="7950"/>
  <c r="S613" i="7950"/>
  <c r="R395" i="7950"/>
  <c r="R419" i="7950"/>
  <c r="P147" i="7950"/>
  <c r="Q2632" i="7950"/>
  <c r="Q2608" i="7950"/>
  <c r="Q742" i="7950"/>
  <c r="Q718" i="7950"/>
  <c r="Q1930" i="7950"/>
  <c r="Q1906" i="7950"/>
  <c r="R94" i="7950"/>
  <c r="S2041" i="7950"/>
  <c r="S2017" i="7950"/>
  <c r="S1987" i="7950"/>
  <c r="S1963" i="7950"/>
  <c r="S1663" i="7950"/>
  <c r="S1639" i="7950"/>
  <c r="R474" i="7950"/>
  <c r="R450" i="7950"/>
  <c r="R689" i="7950"/>
  <c r="R665" i="7950"/>
  <c r="Q958" i="7950"/>
  <c r="Q934" i="7950"/>
  <c r="Q2362" i="7950"/>
  <c r="Q2338" i="7950"/>
  <c r="P1581" i="7950"/>
  <c r="P1605" i="7950"/>
  <c r="R581" i="7950"/>
  <c r="R557" i="7950"/>
  <c r="R852" i="7950"/>
  <c r="R828" i="7950"/>
  <c r="L1118" i="7950"/>
  <c r="M637" i="7949"/>
  <c r="L1820" i="7950"/>
  <c r="P2199" i="7950"/>
  <c r="P2175" i="7950"/>
  <c r="M2090" i="7950"/>
  <c r="L2522" i="7950"/>
  <c r="L1874" i="7950"/>
  <c r="R1044" i="7950"/>
  <c r="R1068" i="7950"/>
  <c r="R2124" i="7950"/>
  <c r="R2148" i="7950"/>
  <c r="P256" i="7950"/>
  <c r="L1285" i="7949"/>
  <c r="L2635" i="7949"/>
  <c r="R2040" i="7950"/>
  <c r="R2016" i="7950"/>
  <c r="L1825" i="7949"/>
  <c r="L1280" i="7950"/>
  <c r="L902" i="7950"/>
  <c r="L2252" i="7950"/>
  <c r="M2468" i="7950"/>
  <c r="Q1012" i="7950"/>
  <c r="Q988" i="7950"/>
  <c r="M1658" i="7950"/>
  <c r="M1226" i="7950"/>
  <c r="P849" i="7950"/>
  <c r="P825" i="7950"/>
  <c r="P1767" i="7950"/>
  <c r="P1743" i="7950"/>
  <c r="Q1768" i="7950"/>
  <c r="Q1744" i="7950"/>
  <c r="Q772" i="7950"/>
  <c r="Q796" i="7950"/>
  <c r="S907" i="7950"/>
  <c r="S883" i="7950"/>
  <c r="R2418" i="7950"/>
  <c r="R2394" i="7950"/>
  <c r="L1982" i="7950"/>
  <c r="M2198" i="7950"/>
  <c r="Q1150" i="7950"/>
  <c r="Q1174" i="7950"/>
  <c r="K1717" i="7949"/>
  <c r="L2473" i="7949"/>
  <c r="L1064" i="7950"/>
  <c r="R1769" i="7950"/>
  <c r="R1745" i="7950"/>
  <c r="Q202" i="7950"/>
  <c r="R1691" i="7950"/>
  <c r="R1715" i="7950"/>
  <c r="R1553" i="7950"/>
  <c r="R1529" i="7950"/>
  <c r="M740" i="7950"/>
  <c r="S1693" i="7950"/>
  <c r="S1717" i="7950"/>
  <c r="L1442" i="7950"/>
  <c r="P471" i="7950"/>
  <c r="P447" i="7950"/>
  <c r="S1099" i="7950"/>
  <c r="S1123" i="7950"/>
  <c r="R2039" i="7950"/>
  <c r="R2015" i="7950"/>
  <c r="P2631" i="7950"/>
  <c r="P2607" i="7950"/>
  <c r="R744" i="7950"/>
  <c r="R720" i="7950"/>
  <c r="Q2686" i="7950"/>
  <c r="Q2662" i="7950"/>
  <c r="R311" i="7950"/>
  <c r="S853" i="7950"/>
  <c r="S829" i="7950"/>
  <c r="Q2446" i="7950"/>
  <c r="Q2470" i="7950"/>
  <c r="R1229" i="7950"/>
  <c r="R1205" i="7950"/>
  <c r="S1015" i="7950"/>
  <c r="S991" i="7950"/>
  <c r="R2309" i="7950"/>
  <c r="R2285" i="7950"/>
  <c r="Q1960" i="7950"/>
  <c r="Q1984" i="7950"/>
  <c r="R1014" i="7950"/>
  <c r="R990" i="7950"/>
  <c r="S1879" i="7950"/>
  <c r="S1855" i="7950"/>
  <c r="P1713" i="7950"/>
  <c r="P1689" i="7950"/>
  <c r="S583" i="7950"/>
  <c r="S559" i="7950"/>
  <c r="R1662" i="7950"/>
  <c r="R1638" i="7950"/>
  <c r="R1984" i="7950" l="1"/>
  <c r="R1960" i="7950"/>
  <c r="R2470" i="7950"/>
  <c r="R2446" i="7950"/>
  <c r="T1693" i="7950"/>
  <c r="T1717" i="7950"/>
  <c r="R202" i="7950"/>
  <c r="R796" i="7950"/>
  <c r="R772" i="7950"/>
  <c r="Q256" i="7950"/>
  <c r="S1044" i="7950"/>
  <c r="S1068" i="7950"/>
  <c r="Q1581" i="7950"/>
  <c r="Q1605" i="7950"/>
  <c r="S94" i="7950"/>
  <c r="T1423" i="7950"/>
  <c r="T1447" i="7950"/>
  <c r="Q1173" i="7950"/>
  <c r="Q1149" i="7950"/>
  <c r="S935" i="7950"/>
  <c r="S959" i="7950"/>
  <c r="S1367" i="7950"/>
  <c r="S1391" i="7950"/>
  <c r="T505" i="7950"/>
  <c r="T529" i="7950"/>
  <c r="R1258" i="7950"/>
  <c r="R1282" i="7950"/>
  <c r="S989" i="7950"/>
  <c r="S1013" i="7950"/>
  <c r="R364" i="7950"/>
  <c r="Q1041" i="7950"/>
  <c r="Q1065" i="7950"/>
  <c r="S774" i="7950"/>
  <c r="S798" i="7950"/>
  <c r="S1637" i="7950"/>
  <c r="S1661" i="7950"/>
  <c r="Q2661" i="7950"/>
  <c r="Q2685" i="7950"/>
  <c r="R2308" i="7950"/>
  <c r="R2284" i="7950"/>
  <c r="S2579" i="7950"/>
  <c r="S2555" i="7950"/>
  <c r="T2095" i="7950"/>
  <c r="T2071" i="7950"/>
  <c r="Q609" i="7950"/>
  <c r="Q633" i="7950"/>
  <c r="R96" i="7950"/>
  <c r="S503" i="7950"/>
  <c r="S527" i="7950"/>
  <c r="R1228" i="7950"/>
  <c r="R1204" i="7950"/>
  <c r="S1283" i="7950"/>
  <c r="S1259" i="7950"/>
  <c r="R2146" i="7950"/>
  <c r="R2122" i="7950"/>
  <c r="S743" i="7950"/>
  <c r="S719" i="7950"/>
  <c r="Q741" i="7950"/>
  <c r="Q717" i="7950"/>
  <c r="S420" i="7950"/>
  <c r="S396" i="7950"/>
  <c r="S2448" i="7950"/>
  <c r="S2472" i="7950"/>
  <c r="S2255" i="7950"/>
  <c r="S2231" i="7950"/>
  <c r="Q363" i="7950"/>
  <c r="S1097" i="7950"/>
  <c r="S1121" i="7950"/>
  <c r="S2663" i="7950"/>
  <c r="S2687" i="7950"/>
  <c r="S365" i="7950"/>
  <c r="R1042" i="7950"/>
  <c r="R1066" i="7950"/>
  <c r="R148" i="7950"/>
  <c r="T150" i="7950"/>
  <c r="T583" i="7950"/>
  <c r="T559" i="7950"/>
  <c r="T1879" i="7950"/>
  <c r="T1855" i="7950"/>
  <c r="T1015" i="7950"/>
  <c r="T991" i="7950"/>
  <c r="S311" i="7950"/>
  <c r="S744" i="7950"/>
  <c r="S720" i="7950"/>
  <c r="S2015" i="7950"/>
  <c r="S2039" i="7950"/>
  <c r="Q471" i="7950"/>
  <c r="Q447" i="7950"/>
  <c r="S1553" i="7950"/>
  <c r="S1529" i="7950"/>
  <c r="M1064" i="7950"/>
  <c r="L1717" i="7949"/>
  <c r="N2198" i="7950"/>
  <c r="S2418" i="7950"/>
  <c r="S2394" i="7950"/>
  <c r="Q1767" i="7950"/>
  <c r="Q1743" i="7950"/>
  <c r="N1226" i="7950"/>
  <c r="N2468" i="7950"/>
  <c r="M902" i="7950"/>
  <c r="M1825" i="7949"/>
  <c r="M2635" i="7949"/>
  <c r="M2522" i="7950"/>
  <c r="Q2199" i="7950"/>
  <c r="Q2175" i="7950"/>
  <c r="N637" i="7949"/>
  <c r="S852" i="7950"/>
  <c r="S828" i="7950"/>
  <c r="R958" i="7950"/>
  <c r="R934" i="7950"/>
  <c r="S474" i="7950"/>
  <c r="S450" i="7950"/>
  <c r="T1987" i="7950"/>
  <c r="T1963" i="7950"/>
  <c r="R742" i="7950"/>
  <c r="R718" i="7950"/>
  <c r="Q147" i="7950"/>
  <c r="T613" i="7950"/>
  <c r="T637" i="7950"/>
  <c r="T961" i="7950"/>
  <c r="T937" i="7950"/>
  <c r="S851" i="7950"/>
  <c r="S827" i="7950"/>
  <c r="M1339" i="7949"/>
  <c r="S1368" i="7950"/>
  <c r="S1392" i="7950"/>
  <c r="N2311" i="7949"/>
  <c r="M1496" i="7950"/>
  <c r="T691" i="7950"/>
  <c r="T667" i="7950"/>
  <c r="Q2013" i="7950"/>
  <c r="Q2037" i="7950"/>
  <c r="S1877" i="7950"/>
  <c r="S1853" i="7950"/>
  <c r="M1555" i="7949"/>
  <c r="Q1257" i="7950"/>
  <c r="Q1281" i="7950"/>
  <c r="M1123" i="7949"/>
  <c r="M1172" i="7950"/>
  <c r="M745" i="7949"/>
  <c r="T2635" i="7950"/>
  <c r="T2611" i="7950"/>
  <c r="M1609" i="7949"/>
  <c r="S2201" i="7950"/>
  <c r="S2177" i="7950"/>
  <c r="S2093" i="7950"/>
  <c r="S2069" i="7950"/>
  <c r="M529" i="7949"/>
  <c r="S2417" i="7950"/>
  <c r="S2393" i="7950"/>
  <c r="S582" i="7950"/>
  <c r="S558" i="7950"/>
  <c r="S1770" i="7950"/>
  <c r="S1746" i="7950"/>
  <c r="Q1119" i="7950"/>
  <c r="Q1095" i="7950"/>
  <c r="Q1659" i="7950"/>
  <c r="Q1635" i="7950"/>
  <c r="R1714" i="7950"/>
  <c r="R1690" i="7950"/>
  <c r="T1825" i="7950"/>
  <c r="T1801" i="7950"/>
  <c r="S1122" i="7950"/>
  <c r="S1098" i="7950"/>
  <c r="S960" i="7950"/>
  <c r="S936" i="7950"/>
  <c r="S611" i="7950"/>
  <c r="S635" i="7950"/>
  <c r="S690" i="7950"/>
  <c r="S666" i="7950"/>
  <c r="Q795" i="7950"/>
  <c r="Q771" i="7950"/>
  <c r="Q2229" i="7950"/>
  <c r="Q2253" i="7950"/>
  <c r="R310" i="7950"/>
  <c r="S1985" i="7950"/>
  <c r="S1961" i="7950"/>
  <c r="Q1419" i="7950"/>
  <c r="Q1443" i="7950"/>
  <c r="S1878" i="7950"/>
  <c r="S1854" i="7950"/>
  <c r="S1230" i="7950"/>
  <c r="S1206" i="7950"/>
  <c r="R2200" i="7950"/>
  <c r="R2176" i="7950"/>
  <c r="N470" i="7950"/>
  <c r="T2557" i="7950"/>
  <c r="T2581" i="7950"/>
  <c r="M367" i="7949"/>
  <c r="M583" i="7949"/>
  <c r="L2365" i="7949"/>
  <c r="L1879" i="7949"/>
  <c r="M1177" i="7949"/>
  <c r="M2419" i="7949"/>
  <c r="S2526" i="7950"/>
  <c r="S2502" i="7950"/>
  <c r="S905" i="7950"/>
  <c r="S881" i="7950"/>
  <c r="R2416" i="7950"/>
  <c r="R2392" i="7950"/>
  <c r="Q2415" i="7950"/>
  <c r="Q2391" i="7950"/>
  <c r="L2581" i="7949"/>
  <c r="M2360" i="7950"/>
  <c r="L475" i="7949"/>
  <c r="Q687" i="7950"/>
  <c r="Q663" i="7950"/>
  <c r="R258" i="7950"/>
  <c r="N2144" i="7950"/>
  <c r="M1388" i="7950"/>
  <c r="M1663" i="7949"/>
  <c r="Q2523" i="7950"/>
  <c r="Q2499" i="7950"/>
  <c r="T2419" i="7950"/>
  <c r="T2395" i="7950"/>
  <c r="T2473" i="7950"/>
  <c r="T2449" i="7950"/>
  <c r="Q579" i="7950"/>
  <c r="Q555" i="7950"/>
  <c r="S1500" i="7950"/>
  <c r="S1476" i="7950"/>
  <c r="S906" i="7950"/>
  <c r="S882" i="7950"/>
  <c r="S149" i="7950"/>
  <c r="S2633" i="7950"/>
  <c r="S2609" i="7950"/>
  <c r="N2684" i="7950"/>
  <c r="M2630" i="7950"/>
  <c r="S1799" i="7950"/>
  <c r="S1823" i="7950"/>
  <c r="T1771" i="7950"/>
  <c r="T1747" i="7950"/>
  <c r="M1231" i="7949"/>
  <c r="N2036" i="7950"/>
  <c r="N2576" i="7950"/>
  <c r="R472" i="7950"/>
  <c r="R448" i="7950"/>
  <c r="M1447" i="7949"/>
  <c r="T1555" i="7950"/>
  <c r="T1531" i="7950"/>
  <c r="R1552" i="7950"/>
  <c r="R1528" i="7950"/>
  <c r="Q1551" i="7950"/>
  <c r="Q1527" i="7950"/>
  <c r="L691" i="7949"/>
  <c r="S1986" i="7950"/>
  <c r="S1962" i="7950"/>
  <c r="M794" i="7950"/>
  <c r="R2092" i="7950"/>
  <c r="R2068" i="7950"/>
  <c r="M1604" i="7950"/>
  <c r="T1231" i="7950"/>
  <c r="T1207" i="7950"/>
  <c r="Q393" i="7950"/>
  <c r="Q417" i="7950"/>
  <c r="R826" i="7950"/>
  <c r="R850" i="7950"/>
  <c r="Q2307" i="7950"/>
  <c r="Q2283" i="7950"/>
  <c r="R257" i="7950"/>
  <c r="R634" i="7950"/>
  <c r="R610" i="7950"/>
  <c r="S2688" i="7950"/>
  <c r="S2664" i="7950"/>
  <c r="R1636" i="7950"/>
  <c r="R1660" i="7950"/>
  <c r="T1069" i="7950"/>
  <c r="T1045" i="7950"/>
  <c r="T1099" i="7950"/>
  <c r="T1123" i="7950"/>
  <c r="S1691" i="7950"/>
  <c r="S1715" i="7950"/>
  <c r="R1174" i="7950"/>
  <c r="R1150" i="7950"/>
  <c r="S2148" i="7950"/>
  <c r="S2124" i="7950"/>
  <c r="S419" i="7950"/>
  <c r="S395" i="7950"/>
  <c r="S1608" i="7950"/>
  <c r="S1584" i="7950"/>
  <c r="T367" i="7950"/>
  <c r="S2094" i="7950"/>
  <c r="S2070" i="7950"/>
  <c r="T2689" i="7950"/>
  <c r="T2665" i="7950"/>
  <c r="S1824" i="7950"/>
  <c r="S1800" i="7950"/>
  <c r="S1716" i="7950"/>
  <c r="S1692" i="7950"/>
  <c r="Q933" i="7950"/>
  <c r="Q957" i="7950"/>
  <c r="S203" i="7950"/>
  <c r="T2365" i="7950"/>
  <c r="T2341" i="7950"/>
  <c r="Q1797" i="7950"/>
  <c r="Q1821" i="7950"/>
  <c r="S1499" i="7950"/>
  <c r="S1475" i="7950"/>
  <c r="S97" i="7950"/>
  <c r="S2447" i="7950"/>
  <c r="S2471" i="7950"/>
  <c r="S636" i="7950"/>
  <c r="S612" i="7950"/>
  <c r="R1798" i="7950"/>
  <c r="R1822" i="7950"/>
  <c r="R1444" i="7950"/>
  <c r="R1420" i="7950"/>
  <c r="R2230" i="7950"/>
  <c r="R2254" i="7950"/>
  <c r="S1583" i="7950"/>
  <c r="S1607" i="7950"/>
  <c r="T1585" i="7950"/>
  <c r="T1609" i="7950"/>
  <c r="R1474" i="7950"/>
  <c r="R1498" i="7950"/>
  <c r="T2257" i="7950"/>
  <c r="T2233" i="7950"/>
  <c r="T2149" i="7950"/>
  <c r="T2125" i="7950"/>
  <c r="T313" i="7950"/>
  <c r="S1284" i="7950"/>
  <c r="S1260" i="7950"/>
  <c r="S204" i="7950"/>
  <c r="S1176" i="7950"/>
  <c r="S1152" i="7950"/>
  <c r="S1931" i="7950"/>
  <c r="S1907" i="7950"/>
  <c r="S2256" i="7950"/>
  <c r="S2232" i="7950"/>
  <c r="P255" i="7950"/>
  <c r="Q1227" i="7950"/>
  <c r="Q1203" i="7950"/>
  <c r="R2554" i="7950"/>
  <c r="R2578" i="7950"/>
  <c r="S1662" i="7950"/>
  <c r="S1638" i="7950"/>
  <c r="Q1713" i="7950"/>
  <c r="Q1689" i="7950"/>
  <c r="S1014" i="7950"/>
  <c r="S990" i="7950"/>
  <c r="S2309" i="7950"/>
  <c r="S2285" i="7950"/>
  <c r="S1229" i="7950"/>
  <c r="S1205" i="7950"/>
  <c r="T853" i="7950"/>
  <c r="T829" i="7950"/>
  <c r="R2686" i="7950"/>
  <c r="R2662" i="7950"/>
  <c r="Q2631" i="7950"/>
  <c r="Q2607" i="7950"/>
  <c r="M1442" i="7950"/>
  <c r="N740" i="7950"/>
  <c r="S1769" i="7950"/>
  <c r="S1745" i="7950"/>
  <c r="M2473" i="7949"/>
  <c r="M1982" i="7950"/>
  <c r="T907" i="7950"/>
  <c r="T883" i="7950"/>
  <c r="R1768" i="7950"/>
  <c r="R1744" i="7950"/>
  <c r="Q825" i="7950"/>
  <c r="Q849" i="7950"/>
  <c r="N1658" i="7950"/>
  <c r="R1012" i="7950"/>
  <c r="R988" i="7950"/>
  <c r="M2252" i="7950"/>
  <c r="M1280" i="7950"/>
  <c r="S2040" i="7950"/>
  <c r="S2016" i="7950"/>
  <c r="M1285" i="7949"/>
  <c r="M1874" i="7950"/>
  <c r="N2090" i="7950"/>
  <c r="M1820" i="7950"/>
  <c r="M1118" i="7950"/>
  <c r="S581" i="7950"/>
  <c r="S557" i="7950"/>
  <c r="R2362" i="7950"/>
  <c r="R2338" i="7950"/>
  <c r="S689" i="7950"/>
  <c r="S665" i="7950"/>
  <c r="T1663" i="7950"/>
  <c r="T1639" i="7950"/>
  <c r="T2041" i="7950"/>
  <c r="T2017" i="7950"/>
  <c r="R1930" i="7950"/>
  <c r="R1906" i="7950"/>
  <c r="R2632" i="7950"/>
  <c r="R2608" i="7950"/>
  <c r="M1712" i="7950"/>
  <c r="R526" i="7950"/>
  <c r="R502" i="7950"/>
  <c r="M956" i="7950"/>
  <c r="T1933" i="7950"/>
  <c r="T1909" i="7950"/>
  <c r="N1550" i="7950"/>
  <c r="N961" i="7949"/>
  <c r="M416" i="7950"/>
  <c r="T1285" i="7950"/>
  <c r="T1261" i="7950"/>
  <c r="R2524" i="7950"/>
  <c r="R2500" i="7950"/>
  <c r="S312" i="7950"/>
  <c r="T421" i="7950"/>
  <c r="T397" i="7950"/>
  <c r="M1771" i="7949"/>
  <c r="M2414" i="7950"/>
  <c r="M2149" i="7949"/>
  <c r="M524" i="7950"/>
  <c r="T1501" i="7950"/>
  <c r="T1477" i="7950"/>
  <c r="M1933" i="7949"/>
  <c r="M2041" i="7949"/>
  <c r="R1876" i="7950"/>
  <c r="R1852" i="7950"/>
  <c r="L799" i="7949"/>
  <c r="T97" i="7949"/>
  <c r="Q93" i="7950"/>
  <c r="R1366" i="7950"/>
  <c r="R1390" i="7950"/>
  <c r="S1043" i="7950"/>
  <c r="S1067" i="7950"/>
  <c r="R1606" i="7950"/>
  <c r="R1582" i="7950"/>
  <c r="S2339" i="7950"/>
  <c r="S2363" i="7950"/>
  <c r="R1096" i="7950"/>
  <c r="R1120" i="7950"/>
  <c r="T475" i="7950"/>
  <c r="T451" i="7950"/>
  <c r="R2038" i="7950"/>
  <c r="R2014" i="7950"/>
  <c r="Q2067" i="7950"/>
  <c r="Q2091" i="7950"/>
  <c r="S2580" i="7950"/>
  <c r="S2556" i="7950"/>
  <c r="S1445" i="7950"/>
  <c r="S1421" i="7950"/>
  <c r="S2202" i="7950"/>
  <c r="S2178" i="7950"/>
  <c r="T2311" i="7950"/>
  <c r="T2287" i="7950"/>
  <c r="Q309" i="7950"/>
  <c r="L2689" i="7949"/>
  <c r="R580" i="7950"/>
  <c r="R556" i="7950"/>
  <c r="M2203" i="7949"/>
  <c r="T1177" i="7950"/>
  <c r="T1153" i="7950"/>
  <c r="S2286" i="7950"/>
  <c r="S2310" i="7950"/>
  <c r="Q2145" i="7950"/>
  <c r="Q2121" i="7950"/>
  <c r="S259" i="7950"/>
  <c r="Q1875" i="7950"/>
  <c r="Q1851" i="7950"/>
  <c r="M1987" i="7949"/>
  <c r="T205" i="7950"/>
  <c r="Q2337" i="7950"/>
  <c r="Q2361" i="7950"/>
  <c r="S2525" i="7950"/>
  <c r="S2501" i="7950"/>
  <c r="Q1473" i="7950"/>
  <c r="Q1497" i="7950"/>
  <c r="S366" i="7950"/>
  <c r="L1393" i="7949"/>
  <c r="S504" i="7950"/>
  <c r="S528" i="7950"/>
  <c r="N632" i="7950"/>
  <c r="M1766" i="7950"/>
  <c r="Q1011" i="7950"/>
  <c r="Q987" i="7950"/>
  <c r="M2095" i="7949"/>
  <c r="M907" i="7949"/>
  <c r="N1928" i="7950"/>
  <c r="M421" i="7949"/>
  <c r="T2203" i="7950"/>
  <c r="T2179" i="7950"/>
  <c r="S2364" i="7950"/>
  <c r="S2340" i="7950"/>
  <c r="S797" i="7950"/>
  <c r="S773" i="7950"/>
  <c r="Q1905" i="7950"/>
  <c r="Q1929" i="7950"/>
  <c r="S2123" i="7950"/>
  <c r="S2147" i="7950"/>
  <c r="S1554" i="7950"/>
  <c r="S1530" i="7950"/>
  <c r="S1932" i="7950"/>
  <c r="S1908" i="7950"/>
  <c r="T2527" i="7950"/>
  <c r="T2503" i="7950"/>
  <c r="R418" i="7950"/>
  <c r="R394" i="7950"/>
  <c r="R904" i="7950"/>
  <c r="R880" i="7950"/>
  <c r="M1015" i="7949"/>
  <c r="T1369" i="7950"/>
  <c r="T1393" i="7950"/>
  <c r="M578" i="7950"/>
  <c r="Q903" i="7950"/>
  <c r="Q879" i="7950"/>
  <c r="Q2553" i="7950"/>
  <c r="Q2577" i="7950"/>
  <c r="S1422" i="7950"/>
  <c r="S1446" i="7950"/>
  <c r="R688" i="7950"/>
  <c r="R664" i="7950"/>
  <c r="O1010" i="7950"/>
  <c r="M853" i="7949"/>
  <c r="Q2445" i="7950"/>
  <c r="Q2469" i="7950"/>
  <c r="U151" i="7950"/>
  <c r="M2527" i="7949"/>
  <c r="M686" i="7950"/>
  <c r="M2257" i="7949"/>
  <c r="N2257" i="7949" s="1"/>
  <c r="M848" i="7950"/>
  <c r="T799" i="7950"/>
  <c r="T775" i="7950"/>
  <c r="M1501" i="7949"/>
  <c r="M2306" i="7950"/>
  <c r="S473" i="7950"/>
  <c r="S449" i="7950"/>
  <c r="N1069" i="7949"/>
  <c r="S2634" i="7950"/>
  <c r="S2610" i="7950"/>
  <c r="Q501" i="7950"/>
  <c r="Q525" i="7950"/>
  <c r="S95" i="7950"/>
  <c r="S1151" i="7950"/>
  <c r="S1175" i="7950"/>
  <c r="L43" i="7949"/>
  <c r="Q1983" i="7950"/>
  <c r="Q1959" i="7950"/>
  <c r="Q201" i="7950"/>
  <c r="Q1365" i="7950"/>
  <c r="Q1389" i="7950"/>
  <c r="T745" i="7950"/>
  <c r="T721" i="7950"/>
  <c r="R1389" i="7950" l="1"/>
  <c r="R1365" i="7950"/>
  <c r="T1151" i="7950"/>
  <c r="T1175" i="7950"/>
  <c r="R525" i="7950"/>
  <c r="R501" i="7950"/>
  <c r="R2445" i="7950"/>
  <c r="R2469" i="7950"/>
  <c r="T1446" i="7950"/>
  <c r="T1422" i="7950"/>
  <c r="U1393" i="7950"/>
  <c r="U1369" i="7950"/>
  <c r="R1905" i="7950"/>
  <c r="R1929" i="7950"/>
  <c r="R1497" i="7950"/>
  <c r="R1473" i="7950"/>
  <c r="T2310" i="7950"/>
  <c r="T2286" i="7950"/>
  <c r="S1120" i="7950"/>
  <c r="S1096" i="7950"/>
  <c r="S1390" i="7950"/>
  <c r="S1366" i="7950"/>
  <c r="R849" i="7950"/>
  <c r="R825" i="7950"/>
  <c r="S1474" i="7950"/>
  <c r="S1498" i="7950"/>
  <c r="T1583" i="7950"/>
  <c r="T1607" i="7950"/>
  <c r="T97" i="7950"/>
  <c r="R1797" i="7950"/>
  <c r="R1821" i="7950"/>
  <c r="U367" i="7950"/>
  <c r="U1123" i="7950"/>
  <c r="U1099" i="7950"/>
  <c r="S1660" i="7950"/>
  <c r="S1636" i="7950"/>
  <c r="R417" i="7950"/>
  <c r="R393" i="7950"/>
  <c r="U2557" i="7950"/>
  <c r="U2581" i="7950"/>
  <c r="R2253" i="7950"/>
  <c r="R2229" i="7950"/>
  <c r="R2013" i="7950"/>
  <c r="R2037" i="7950"/>
  <c r="R147" i="7950"/>
  <c r="S1066" i="7950"/>
  <c r="S1042" i="7950"/>
  <c r="T2687" i="7950"/>
  <c r="T2663" i="7950"/>
  <c r="T2448" i="7950"/>
  <c r="T2472" i="7950"/>
  <c r="S96" i="7950"/>
  <c r="T1661" i="7950"/>
  <c r="T1637" i="7950"/>
  <c r="R1065" i="7950"/>
  <c r="R1041" i="7950"/>
  <c r="T1013" i="7950"/>
  <c r="T989" i="7950"/>
  <c r="U505" i="7950"/>
  <c r="U529" i="7950"/>
  <c r="T935" i="7950"/>
  <c r="T959" i="7950"/>
  <c r="U1423" i="7950"/>
  <c r="U1447" i="7950"/>
  <c r="R1581" i="7950"/>
  <c r="R1605" i="7950"/>
  <c r="R1959" i="7950"/>
  <c r="R1983" i="7950"/>
  <c r="O1069" i="7949"/>
  <c r="N2306" i="7950"/>
  <c r="U799" i="7950"/>
  <c r="U775" i="7950"/>
  <c r="O2257" i="7949"/>
  <c r="N2527" i="7949"/>
  <c r="P1010" i="7950"/>
  <c r="R903" i="7950"/>
  <c r="R879" i="7950"/>
  <c r="S880" i="7950"/>
  <c r="S904" i="7950"/>
  <c r="U2527" i="7950"/>
  <c r="U2503" i="7950"/>
  <c r="T1554" i="7950"/>
  <c r="T1530" i="7950"/>
  <c r="T2364" i="7950"/>
  <c r="T2340" i="7950"/>
  <c r="N421" i="7949"/>
  <c r="N907" i="7949"/>
  <c r="R987" i="7950"/>
  <c r="R1011" i="7950"/>
  <c r="O632" i="7950"/>
  <c r="M1393" i="7949"/>
  <c r="T2525" i="7950"/>
  <c r="T2501" i="7950"/>
  <c r="U205" i="7950"/>
  <c r="R1851" i="7950"/>
  <c r="R1875" i="7950"/>
  <c r="S556" i="7950"/>
  <c r="S580" i="7950"/>
  <c r="R309" i="7950"/>
  <c r="T2202" i="7950"/>
  <c r="T2178" i="7950"/>
  <c r="T2580" i="7950"/>
  <c r="T2556" i="7950"/>
  <c r="S2014" i="7950"/>
  <c r="S2038" i="7950"/>
  <c r="S1606" i="7950"/>
  <c r="S1582" i="7950"/>
  <c r="U97" i="7949"/>
  <c r="S1852" i="7950"/>
  <c r="S1876" i="7950"/>
  <c r="N1933" i="7949"/>
  <c r="N524" i="7950"/>
  <c r="N2414" i="7950"/>
  <c r="U421" i="7950"/>
  <c r="U397" i="7950"/>
  <c r="S2524" i="7950"/>
  <c r="S2500" i="7950"/>
  <c r="N416" i="7950"/>
  <c r="O1550" i="7950"/>
  <c r="N956" i="7950"/>
  <c r="N1712" i="7950"/>
  <c r="S1906" i="7950"/>
  <c r="S1930" i="7950"/>
  <c r="U1663" i="7950"/>
  <c r="U1639" i="7950"/>
  <c r="S2338" i="7950"/>
  <c r="S2362" i="7950"/>
  <c r="N1118" i="7950"/>
  <c r="O2090" i="7950"/>
  <c r="N1285" i="7949"/>
  <c r="N1280" i="7950"/>
  <c r="S988" i="7950"/>
  <c r="S1012" i="7950"/>
  <c r="U907" i="7950"/>
  <c r="U883" i="7950"/>
  <c r="N2473" i="7949"/>
  <c r="N1442" i="7950"/>
  <c r="S2686" i="7950"/>
  <c r="S2662" i="7950"/>
  <c r="T1229" i="7950"/>
  <c r="T1205" i="7950"/>
  <c r="T1014" i="7950"/>
  <c r="T990" i="7950"/>
  <c r="T1662" i="7950"/>
  <c r="T1638" i="7950"/>
  <c r="R1227" i="7950"/>
  <c r="R1203" i="7950"/>
  <c r="T2232" i="7950"/>
  <c r="T2256" i="7950"/>
  <c r="T1152" i="7950"/>
  <c r="T1176" i="7950"/>
  <c r="T1260" i="7950"/>
  <c r="T1284" i="7950"/>
  <c r="U2125" i="7950"/>
  <c r="U2149" i="7950"/>
  <c r="S1444" i="7950"/>
  <c r="S1420" i="7950"/>
  <c r="T636" i="7950"/>
  <c r="T612" i="7950"/>
  <c r="T203" i="7950"/>
  <c r="T1716" i="7950"/>
  <c r="T1692" i="7950"/>
  <c r="U2689" i="7950"/>
  <c r="U2665" i="7950"/>
  <c r="T395" i="7950"/>
  <c r="T419" i="7950"/>
  <c r="S1174" i="7950"/>
  <c r="S1150" i="7950"/>
  <c r="S610" i="7950"/>
  <c r="S634" i="7950"/>
  <c r="R2307" i="7950"/>
  <c r="R2283" i="7950"/>
  <c r="N1604" i="7950"/>
  <c r="N794" i="7950"/>
  <c r="M691" i="7949"/>
  <c r="U1555" i="7950"/>
  <c r="U1531" i="7950"/>
  <c r="S472" i="7950"/>
  <c r="S448" i="7950"/>
  <c r="O2036" i="7950"/>
  <c r="U1771" i="7950"/>
  <c r="U1747" i="7950"/>
  <c r="N2630" i="7950"/>
  <c r="T2633" i="7950"/>
  <c r="T2609" i="7950"/>
  <c r="T906" i="7950"/>
  <c r="T882" i="7950"/>
  <c r="R579" i="7950"/>
  <c r="R555" i="7950"/>
  <c r="U2419" i="7950"/>
  <c r="U2395" i="7950"/>
  <c r="N1663" i="7949"/>
  <c r="O2144" i="7950"/>
  <c r="R687" i="7950"/>
  <c r="R663" i="7950"/>
  <c r="N2360" i="7950"/>
  <c r="R2415" i="7950"/>
  <c r="R2391" i="7950"/>
  <c r="T881" i="7950"/>
  <c r="T905" i="7950"/>
  <c r="N2419" i="7949"/>
  <c r="M1879" i="7949"/>
  <c r="N583" i="7949"/>
  <c r="S2200" i="7950"/>
  <c r="S2176" i="7950"/>
  <c r="T1878" i="7950"/>
  <c r="T1854" i="7950"/>
  <c r="T1985" i="7950"/>
  <c r="T1961" i="7950"/>
  <c r="T690" i="7950"/>
  <c r="T666" i="7950"/>
  <c r="T960" i="7950"/>
  <c r="T936" i="7950"/>
  <c r="U1825" i="7950"/>
  <c r="U1801" i="7950"/>
  <c r="R1659" i="7950"/>
  <c r="R1635" i="7950"/>
  <c r="T1770" i="7950"/>
  <c r="T1746" i="7950"/>
  <c r="T2393" i="7950"/>
  <c r="T2417" i="7950"/>
  <c r="T2093" i="7950"/>
  <c r="T2069" i="7950"/>
  <c r="N1609" i="7949"/>
  <c r="N745" i="7949"/>
  <c r="N1123" i="7949"/>
  <c r="N1555" i="7949"/>
  <c r="N1496" i="7950"/>
  <c r="N1339" i="7949"/>
  <c r="U937" i="7950"/>
  <c r="U961" i="7950"/>
  <c r="U1987" i="7950"/>
  <c r="U1963" i="7950"/>
  <c r="S958" i="7950"/>
  <c r="S934" i="7950"/>
  <c r="O637" i="7949"/>
  <c r="N2522" i="7950"/>
  <c r="N1825" i="7949"/>
  <c r="O2468" i="7950"/>
  <c r="O1226" i="7950"/>
  <c r="T2418" i="7950"/>
  <c r="T2394" i="7950"/>
  <c r="M1717" i="7949"/>
  <c r="R471" i="7950"/>
  <c r="R447" i="7950"/>
  <c r="T744" i="7950"/>
  <c r="T720" i="7950"/>
  <c r="U1015" i="7950"/>
  <c r="U991" i="7950"/>
  <c r="U583" i="7950"/>
  <c r="U559" i="7950"/>
  <c r="U150" i="7950"/>
  <c r="R363" i="7950"/>
  <c r="R741" i="7950"/>
  <c r="R717" i="7950"/>
  <c r="S2146" i="7950"/>
  <c r="S2122" i="7950"/>
  <c r="S1228" i="7950"/>
  <c r="S1204" i="7950"/>
  <c r="U2095" i="7950"/>
  <c r="U2071" i="7950"/>
  <c r="S2308" i="7950"/>
  <c r="S2284" i="7950"/>
  <c r="R256" i="7950"/>
  <c r="S202" i="7950"/>
  <c r="S2446" i="7950"/>
  <c r="S2470" i="7950"/>
  <c r="M43" i="7949"/>
  <c r="T95" i="7950"/>
  <c r="V151" i="7950"/>
  <c r="R2577" i="7950"/>
  <c r="R2553" i="7950"/>
  <c r="T2147" i="7950"/>
  <c r="T2123" i="7950"/>
  <c r="T504" i="7950"/>
  <c r="T528" i="7950"/>
  <c r="R2361" i="7950"/>
  <c r="R2337" i="7950"/>
  <c r="R2091" i="7950"/>
  <c r="R2067" i="7950"/>
  <c r="T2339" i="7950"/>
  <c r="T2363" i="7950"/>
  <c r="T1067" i="7950"/>
  <c r="T1043" i="7950"/>
  <c r="R93" i="7950"/>
  <c r="S2554" i="7950"/>
  <c r="S2578" i="7950"/>
  <c r="U313" i="7950"/>
  <c r="U1585" i="7950"/>
  <c r="U1609" i="7950"/>
  <c r="S2254" i="7950"/>
  <c r="S2230" i="7950"/>
  <c r="S1798" i="7950"/>
  <c r="S1822" i="7950"/>
  <c r="T2471" i="7950"/>
  <c r="T2447" i="7950"/>
  <c r="R933" i="7950"/>
  <c r="R957" i="7950"/>
  <c r="T1715" i="7950"/>
  <c r="T1691" i="7950"/>
  <c r="S850" i="7950"/>
  <c r="S826" i="7950"/>
  <c r="T1823" i="7950"/>
  <c r="T1799" i="7950"/>
  <c r="T149" i="7950"/>
  <c r="R1443" i="7950"/>
  <c r="R1419" i="7950"/>
  <c r="S310" i="7950"/>
  <c r="T611" i="7950"/>
  <c r="T635" i="7950"/>
  <c r="R1281" i="7950"/>
  <c r="R1257" i="7950"/>
  <c r="T1392" i="7950"/>
  <c r="T1368" i="7950"/>
  <c r="U613" i="7950"/>
  <c r="U637" i="7950"/>
  <c r="T2039" i="7950"/>
  <c r="T2015" i="7950"/>
  <c r="T1121" i="7950"/>
  <c r="T1097" i="7950"/>
  <c r="T503" i="7950"/>
  <c r="T527" i="7950"/>
  <c r="R633" i="7950"/>
  <c r="R609" i="7950"/>
  <c r="R2685" i="7950"/>
  <c r="R2661" i="7950"/>
  <c r="T774" i="7950"/>
  <c r="T798" i="7950"/>
  <c r="S1258" i="7950"/>
  <c r="S1282" i="7950"/>
  <c r="T1367" i="7950"/>
  <c r="T1391" i="7950"/>
  <c r="T94" i="7950"/>
  <c r="T1068" i="7950"/>
  <c r="T1044" i="7950"/>
  <c r="U1693" i="7950"/>
  <c r="U1717" i="7950"/>
  <c r="U745" i="7950"/>
  <c r="U721" i="7950"/>
  <c r="R201" i="7950"/>
  <c r="T2634" i="7950"/>
  <c r="T2610" i="7950"/>
  <c r="T473" i="7950"/>
  <c r="T449" i="7950"/>
  <c r="N1501" i="7949"/>
  <c r="N848" i="7950"/>
  <c r="N686" i="7950"/>
  <c r="N853" i="7949"/>
  <c r="S688" i="7950"/>
  <c r="S664" i="7950"/>
  <c r="N578" i="7950"/>
  <c r="N1015" i="7949"/>
  <c r="S418" i="7950"/>
  <c r="S394" i="7950"/>
  <c r="T1932" i="7950"/>
  <c r="T1908" i="7950"/>
  <c r="T797" i="7950"/>
  <c r="T773" i="7950"/>
  <c r="U2203" i="7950"/>
  <c r="U2179" i="7950"/>
  <c r="O1928" i="7950"/>
  <c r="N2095" i="7949"/>
  <c r="N1766" i="7950"/>
  <c r="T366" i="7950"/>
  <c r="N1987" i="7949"/>
  <c r="T259" i="7950"/>
  <c r="R2145" i="7950"/>
  <c r="R2121" i="7950"/>
  <c r="U1153" i="7950"/>
  <c r="U1177" i="7950"/>
  <c r="N2203" i="7949"/>
  <c r="M2689" i="7949"/>
  <c r="U2311" i="7950"/>
  <c r="U2287" i="7950"/>
  <c r="T1445" i="7950"/>
  <c r="T1421" i="7950"/>
  <c r="U475" i="7950"/>
  <c r="U451" i="7950"/>
  <c r="M799" i="7949"/>
  <c r="N2041" i="7949"/>
  <c r="U1501" i="7950"/>
  <c r="U1477" i="7950"/>
  <c r="N2149" i="7949"/>
  <c r="N1771" i="7949"/>
  <c r="T312" i="7950"/>
  <c r="U1285" i="7950"/>
  <c r="U1261" i="7950"/>
  <c r="O961" i="7949"/>
  <c r="U1933" i="7950"/>
  <c r="U1909" i="7950"/>
  <c r="S502" i="7950"/>
  <c r="S526" i="7950"/>
  <c r="S2632" i="7950"/>
  <c r="S2608" i="7950"/>
  <c r="U2041" i="7950"/>
  <c r="U2017" i="7950"/>
  <c r="T665" i="7950"/>
  <c r="T689" i="7950"/>
  <c r="T581" i="7950"/>
  <c r="T557" i="7950"/>
  <c r="N1820" i="7950"/>
  <c r="N1874" i="7950"/>
  <c r="T2040" i="7950"/>
  <c r="T2016" i="7950"/>
  <c r="N2252" i="7950"/>
  <c r="O1658" i="7950"/>
  <c r="S1744" i="7950"/>
  <c r="S1768" i="7950"/>
  <c r="N1982" i="7950"/>
  <c r="T1769" i="7950"/>
  <c r="T1745" i="7950"/>
  <c r="O740" i="7950"/>
  <c r="R2631" i="7950"/>
  <c r="R2607" i="7950"/>
  <c r="U853" i="7950"/>
  <c r="U829" i="7950"/>
  <c r="T2309" i="7950"/>
  <c r="T2285" i="7950"/>
  <c r="R1689" i="7950"/>
  <c r="R1713" i="7950"/>
  <c r="Q255" i="7950"/>
  <c r="T1931" i="7950"/>
  <c r="T1907" i="7950"/>
  <c r="T204" i="7950"/>
  <c r="U2257" i="7950"/>
  <c r="U2233" i="7950"/>
  <c r="T1475" i="7950"/>
  <c r="T1499" i="7950"/>
  <c r="U2365" i="7950"/>
  <c r="U2341" i="7950"/>
  <c r="T1800" i="7950"/>
  <c r="T1824" i="7950"/>
  <c r="T2070" i="7950"/>
  <c r="T2094" i="7950"/>
  <c r="T1608" i="7950"/>
  <c r="T1584" i="7950"/>
  <c r="T2124" i="7950"/>
  <c r="T2148" i="7950"/>
  <c r="U1069" i="7950"/>
  <c r="U1045" i="7950"/>
  <c r="T2688" i="7950"/>
  <c r="T2664" i="7950"/>
  <c r="S257" i="7950"/>
  <c r="U1231" i="7950"/>
  <c r="U1207" i="7950"/>
  <c r="S2092" i="7950"/>
  <c r="S2068" i="7950"/>
  <c r="T1986" i="7950"/>
  <c r="T1962" i="7950"/>
  <c r="R1551" i="7950"/>
  <c r="R1527" i="7950"/>
  <c r="S1528" i="7950"/>
  <c r="S1552" i="7950"/>
  <c r="N1447" i="7949"/>
  <c r="O2576" i="7950"/>
  <c r="N1231" i="7949"/>
  <c r="O2684" i="7950"/>
  <c r="T1500" i="7950"/>
  <c r="T1476" i="7950"/>
  <c r="U2473" i="7950"/>
  <c r="U2449" i="7950"/>
  <c r="R2523" i="7950"/>
  <c r="R2499" i="7950"/>
  <c r="N1388" i="7950"/>
  <c r="S258" i="7950"/>
  <c r="M475" i="7949"/>
  <c r="M2581" i="7949"/>
  <c r="S2416" i="7950"/>
  <c r="S2392" i="7950"/>
  <c r="T2526" i="7950"/>
  <c r="T2502" i="7950"/>
  <c r="N1177" i="7949"/>
  <c r="M2365" i="7949"/>
  <c r="N367" i="7949"/>
  <c r="O470" i="7950"/>
  <c r="T1230" i="7950"/>
  <c r="T1206" i="7950"/>
  <c r="R795" i="7950"/>
  <c r="R771" i="7950"/>
  <c r="T1122" i="7950"/>
  <c r="T1098" i="7950"/>
  <c r="S1690" i="7950"/>
  <c r="S1714" i="7950"/>
  <c r="R1095" i="7950"/>
  <c r="R1119" i="7950"/>
  <c r="T582" i="7950"/>
  <c r="T558" i="7950"/>
  <c r="N529" i="7949"/>
  <c r="T2201" i="7950"/>
  <c r="T2177" i="7950"/>
  <c r="U2635" i="7950"/>
  <c r="U2611" i="7950"/>
  <c r="N1172" i="7950"/>
  <c r="T1877" i="7950"/>
  <c r="T1853" i="7950"/>
  <c r="U691" i="7950"/>
  <c r="U667" i="7950"/>
  <c r="O2311" i="7949"/>
  <c r="T851" i="7950"/>
  <c r="T827" i="7950"/>
  <c r="S742" i="7950"/>
  <c r="S718" i="7950"/>
  <c r="T474" i="7950"/>
  <c r="T450" i="7950"/>
  <c r="T852" i="7950"/>
  <c r="T828" i="7950"/>
  <c r="R2199" i="7950"/>
  <c r="R2175" i="7950"/>
  <c r="N2635" i="7949"/>
  <c r="N902" i="7950"/>
  <c r="R1743" i="7950"/>
  <c r="R1767" i="7950"/>
  <c r="O2198" i="7950"/>
  <c r="N1064" i="7950"/>
  <c r="T1553" i="7950"/>
  <c r="T1529" i="7950"/>
  <c r="T311" i="7950"/>
  <c r="U1879" i="7950"/>
  <c r="U1855" i="7950"/>
  <c r="S148" i="7950"/>
  <c r="T365" i="7950"/>
  <c r="T2255" i="7950"/>
  <c r="T2231" i="7950"/>
  <c r="T396" i="7950"/>
  <c r="T420" i="7950"/>
  <c r="T743" i="7950"/>
  <c r="T719" i="7950"/>
  <c r="T1283" i="7950"/>
  <c r="T1259" i="7950"/>
  <c r="T2579" i="7950"/>
  <c r="T2555" i="7950"/>
  <c r="S364" i="7950"/>
  <c r="R1173" i="7950"/>
  <c r="R1149" i="7950"/>
  <c r="S796" i="7950"/>
  <c r="S772" i="7950"/>
  <c r="S1960" i="7950"/>
  <c r="S1984" i="7950"/>
  <c r="C1369" i="7949"/>
  <c r="C392" i="7950"/>
  <c r="C500" i="7950"/>
  <c r="C608" i="7950"/>
  <c r="C716" i="7950"/>
  <c r="C824" i="7950"/>
  <c r="C932" i="7950"/>
  <c r="C1040" i="7950"/>
  <c r="C1148" i="7950"/>
  <c r="C1256" i="7950"/>
  <c r="C1364" i="7950"/>
  <c r="C1472" i="7950"/>
  <c r="C1580" i="7950"/>
  <c r="C1688" i="7950"/>
  <c r="C1796" i="7950"/>
  <c r="C1904" i="7950"/>
  <c r="C2012" i="7950"/>
  <c r="C2120" i="7950"/>
  <c r="C2228" i="7950"/>
  <c r="C2336" i="7950"/>
  <c r="C2444" i="7950"/>
  <c r="C2552" i="7950"/>
  <c r="C2660" i="7950"/>
  <c r="C446" i="7950"/>
  <c r="C554" i="7950"/>
  <c r="C662" i="7950"/>
  <c r="C770" i="7950"/>
  <c r="C878" i="7950"/>
  <c r="C986" i="7950"/>
  <c r="C1094" i="7950"/>
  <c r="C1202" i="7950"/>
  <c r="C1310" i="7950"/>
  <c r="C1418" i="7950"/>
  <c r="C1526" i="7950"/>
  <c r="C1634" i="7950"/>
  <c r="C1742" i="7950"/>
  <c r="C1850" i="7950"/>
  <c r="C1958" i="7950"/>
  <c r="C2066" i="7950"/>
  <c r="C2174" i="7950"/>
  <c r="C2282" i="7950"/>
  <c r="C2390" i="7950"/>
  <c r="C2498" i="7950"/>
  <c r="C2606" i="7950"/>
  <c r="C559" i="7949"/>
  <c r="C883" i="7949"/>
  <c r="C605" i="7949" l="1"/>
  <c r="D559" i="7949"/>
  <c r="D605" i="7949" s="1"/>
  <c r="C1572" i="7950"/>
  <c r="D1526" i="7950"/>
  <c r="D1572" i="7950" s="1"/>
  <c r="C2490" i="7950"/>
  <c r="D2444" i="7950"/>
  <c r="D2490" i="7950" s="1"/>
  <c r="C762" i="7950"/>
  <c r="D716" i="7950"/>
  <c r="D762" i="7950" s="1"/>
  <c r="T257" i="7950"/>
  <c r="U1824" i="7950"/>
  <c r="U1800" i="7950"/>
  <c r="U2363" i="7950"/>
  <c r="U2339" i="7950"/>
  <c r="V150" i="7950"/>
  <c r="U2417" i="7950"/>
  <c r="U2393" i="7950"/>
  <c r="V1447" i="7950"/>
  <c r="V1423" i="7950"/>
  <c r="V529" i="7950"/>
  <c r="V505" i="7950"/>
  <c r="S1821" i="7950"/>
  <c r="S1797" i="7950"/>
  <c r="U1607" i="7950"/>
  <c r="U1583" i="7950"/>
  <c r="C2436" i="7950"/>
  <c r="D2390" i="7950"/>
  <c r="D2436" i="7950" s="1"/>
  <c r="C708" i="7950"/>
  <c r="D662" i="7950"/>
  <c r="D708" i="7950" s="1"/>
  <c r="C1626" i="7950"/>
  <c r="D1580" i="7950"/>
  <c r="D1626" i="7950" s="1"/>
  <c r="S1119" i="7950"/>
  <c r="S1095" i="7950"/>
  <c r="U1475" i="7950"/>
  <c r="U1499" i="7950"/>
  <c r="T202" i="7950"/>
  <c r="U905" i="7950"/>
  <c r="U881" i="7950"/>
  <c r="U203" i="7950"/>
  <c r="U1284" i="7950"/>
  <c r="U1260" i="7950"/>
  <c r="U1151" i="7950"/>
  <c r="U1175" i="7950"/>
  <c r="C2328" i="7950"/>
  <c r="D2282" i="7950"/>
  <c r="D2328" i="7950" s="1"/>
  <c r="C1896" i="7950"/>
  <c r="D1850" i="7950"/>
  <c r="D1896" i="7950" s="1"/>
  <c r="C1464" i="7950"/>
  <c r="D1418" i="7950"/>
  <c r="D1464" i="7950" s="1"/>
  <c r="C1032" i="7950"/>
  <c r="D986" i="7950"/>
  <c r="C600" i="7950"/>
  <c r="D554" i="7950"/>
  <c r="D600" i="7950" s="1"/>
  <c r="C2382" i="7950"/>
  <c r="D2336" i="7950"/>
  <c r="D2382" i="7950" s="1"/>
  <c r="C1950" i="7950"/>
  <c r="D1904" i="7950"/>
  <c r="C1518" i="7950"/>
  <c r="D1472" i="7950"/>
  <c r="D1518" i="7950" s="1"/>
  <c r="C1086" i="7950"/>
  <c r="D1040" i="7950"/>
  <c r="D1086" i="7950" s="1"/>
  <c r="C654" i="7950"/>
  <c r="D608" i="7950"/>
  <c r="D654" i="7950" s="1"/>
  <c r="T796" i="7950"/>
  <c r="T772" i="7950"/>
  <c r="T364" i="7950"/>
  <c r="U1283" i="7950"/>
  <c r="U1259" i="7950"/>
  <c r="U365" i="7950"/>
  <c r="V1879" i="7950"/>
  <c r="V1855" i="7950"/>
  <c r="U1553" i="7950"/>
  <c r="U1529" i="7950"/>
  <c r="P2198" i="7950"/>
  <c r="O2635" i="7949"/>
  <c r="U828" i="7950"/>
  <c r="U852" i="7950"/>
  <c r="T742" i="7950"/>
  <c r="T718" i="7950"/>
  <c r="P2311" i="7949"/>
  <c r="U1853" i="7950"/>
  <c r="U1877" i="7950"/>
  <c r="V2635" i="7950"/>
  <c r="V2611" i="7950"/>
  <c r="O529" i="7949"/>
  <c r="U1098" i="7950"/>
  <c r="U1122" i="7950"/>
  <c r="U1206" i="7950"/>
  <c r="U1230" i="7950"/>
  <c r="O367" i="7949"/>
  <c r="O1177" i="7949"/>
  <c r="T2416" i="7950"/>
  <c r="T2392" i="7950"/>
  <c r="N475" i="7949"/>
  <c r="O1388" i="7950"/>
  <c r="V2449" i="7950"/>
  <c r="V2473" i="7950"/>
  <c r="P2684" i="7950"/>
  <c r="P2576" i="7950"/>
  <c r="T2092" i="7950"/>
  <c r="T2068" i="7950"/>
  <c r="V1069" i="7950"/>
  <c r="V1045" i="7950"/>
  <c r="U1608" i="7950"/>
  <c r="U1584" i="7950"/>
  <c r="U204" i="7950"/>
  <c r="U2309" i="7950"/>
  <c r="U2285" i="7950"/>
  <c r="S2631" i="7950"/>
  <c r="S2607" i="7950"/>
  <c r="U1745" i="7950"/>
  <c r="U1769" i="7950"/>
  <c r="O2252" i="7950"/>
  <c r="O1874" i="7950"/>
  <c r="U557" i="7950"/>
  <c r="U581" i="7950"/>
  <c r="V2041" i="7950"/>
  <c r="V2017" i="7950"/>
  <c r="P961" i="7949"/>
  <c r="U312" i="7950"/>
  <c r="O2149" i="7949"/>
  <c r="O2041" i="7949"/>
  <c r="V475" i="7950"/>
  <c r="V451" i="7950"/>
  <c r="V2287" i="7950"/>
  <c r="V2311" i="7950"/>
  <c r="O2203" i="7949"/>
  <c r="S2145" i="7950"/>
  <c r="S2121" i="7950"/>
  <c r="O1987" i="7949"/>
  <c r="U366" i="7950"/>
  <c r="O2095" i="7949"/>
  <c r="V2203" i="7950"/>
  <c r="V2179" i="7950"/>
  <c r="U1932" i="7950"/>
  <c r="U1908" i="7950"/>
  <c r="O1015" i="7949"/>
  <c r="T688" i="7950"/>
  <c r="T664" i="7950"/>
  <c r="O686" i="7950"/>
  <c r="O1501" i="7949"/>
  <c r="U2634" i="7950"/>
  <c r="U2610" i="7950"/>
  <c r="V745" i="7950"/>
  <c r="V721" i="7950"/>
  <c r="U1068" i="7950"/>
  <c r="U1044" i="7950"/>
  <c r="S609" i="7950"/>
  <c r="S633" i="7950"/>
  <c r="U1121" i="7950"/>
  <c r="U1097" i="7950"/>
  <c r="U2039" i="7950"/>
  <c r="U2015" i="7950"/>
  <c r="U1368" i="7950"/>
  <c r="U1392" i="7950"/>
  <c r="S1443" i="7950"/>
  <c r="S1419" i="7950"/>
  <c r="U1823" i="7950"/>
  <c r="U1799" i="7950"/>
  <c r="U1691" i="7950"/>
  <c r="U1715" i="7950"/>
  <c r="U2447" i="7950"/>
  <c r="U2471" i="7950"/>
  <c r="T2254" i="7950"/>
  <c r="T2230" i="7950"/>
  <c r="S93" i="7950"/>
  <c r="S2337" i="7950"/>
  <c r="S2361" i="7950"/>
  <c r="U2147" i="7950"/>
  <c r="U2123" i="7950"/>
  <c r="W151" i="7950"/>
  <c r="N43" i="7949"/>
  <c r="T2308" i="7950"/>
  <c r="T2284" i="7950"/>
  <c r="T1228" i="7950"/>
  <c r="T1204" i="7950"/>
  <c r="S741" i="7950"/>
  <c r="S717" i="7950"/>
  <c r="V1015" i="7950"/>
  <c r="V991" i="7950"/>
  <c r="S471" i="7950"/>
  <c r="S447" i="7950"/>
  <c r="N1717" i="7949"/>
  <c r="P1226" i="7950"/>
  <c r="O1825" i="7949"/>
  <c r="P637" i="7949"/>
  <c r="V1987" i="7950"/>
  <c r="V1963" i="7950"/>
  <c r="O1339" i="7949"/>
  <c r="O1496" i="7950"/>
  <c r="O1123" i="7949"/>
  <c r="O1609" i="7949"/>
  <c r="S1659" i="7950"/>
  <c r="S1635" i="7950"/>
  <c r="U960" i="7950"/>
  <c r="U936" i="7950"/>
  <c r="U1961" i="7950"/>
  <c r="U1985" i="7950"/>
  <c r="T2176" i="7950"/>
  <c r="T2200" i="7950"/>
  <c r="N1879" i="7949"/>
  <c r="O2360" i="7950"/>
  <c r="P2144" i="7950"/>
  <c r="V2395" i="7950"/>
  <c r="V2419" i="7950"/>
  <c r="U882" i="7950"/>
  <c r="U906" i="7950"/>
  <c r="O2630" i="7950"/>
  <c r="P2036" i="7950"/>
  <c r="V1555" i="7950"/>
  <c r="V1531" i="7950"/>
  <c r="N691" i="7949"/>
  <c r="O794" i="7950"/>
  <c r="S2283" i="7950"/>
  <c r="S2307" i="7950"/>
  <c r="T1150" i="7950"/>
  <c r="T1174" i="7950"/>
  <c r="V2689" i="7950"/>
  <c r="V2665" i="7950"/>
  <c r="T1420" i="7950"/>
  <c r="T1444" i="7950"/>
  <c r="U1662" i="7950"/>
  <c r="U1638" i="7950"/>
  <c r="U1229" i="7950"/>
  <c r="U1205" i="7950"/>
  <c r="O1442" i="7950"/>
  <c r="O2473" i="7949"/>
  <c r="O1285" i="7949"/>
  <c r="O1118" i="7950"/>
  <c r="V1663" i="7950"/>
  <c r="V1639" i="7950"/>
  <c r="O1712" i="7950"/>
  <c r="P1550" i="7950"/>
  <c r="T2500" i="7950"/>
  <c r="T2524" i="7950"/>
  <c r="O2414" i="7950"/>
  <c r="O1933" i="7949"/>
  <c r="V97" i="7949"/>
  <c r="U2202" i="7950"/>
  <c r="U2178" i="7950"/>
  <c r="V205" i="7950"/>
  <c r="N1393" i="7949"/>
  <c r="O421" i="7949"/>
  <c r="U1530" i="7950"/>
  <c r="U1554" i="7950"/>
  <c r="Q1010" i="7950"/>
  <c r="P2257" i="7949"/>
  <c r="O2306" i="7950"/>
  <c r="S1065" i="7950"/>
  <c r="S1041" i="7950"/>
  <c r="U2663" i="7950"/>
  <c r="U2687" i="7950"/>
  <c r="S147" i="7950"/>
  <c r="S2253" i="7950"/>
  <c r="S2229" i="7950"/>
  <c r="S393" i="7950"/>
  <c r="S417" i="7950"/>
  <c r="V1123" i="7950"/>
  <c r="V1099" i="7950"/>
  <c r="S825" i="7950"/>
  <c r="S849" i="7950"/>
  <c r="T1096" i="7950"/>
  <c r="T1120" i="7950"/>
  <c r="S1497" i="7950"/>
  <c r="S1473" i="7950"/>
  <c r="V1369" i="7950"/>
  <c r="V1393" i="7950"/>
  <c r="C1140" i="7950"/>
  <c r="D1094" i="7950"/>
  <c r="D1140" i="7950" s="1"/>
  <c r="C2058" i="7950"/>
  <c r="D2012" i="7950"/>
  <c r="D2058" i="7950" s="1"/>
  <c r="T1552" i="7950"/>
  <c r="T1528" i="7950"/>
  <c r="T502" i="7950"/>
  <c r="T526" i="7950"/>
  <c r="U1391" i="7950"/>
  <c r="U1367" i="7950"/>
  <c r="U798" i="7950"/>
  <c r="U774" i="7950"/>
  <c r="V313" i="7950"/>
  <c r="U2256" i="7950"/>
  <c r="U2232" i="7950"/>
  <c r="T988" i="7950"/>
  <c r="T1012" i="7950"/>
  <c r="T2038" i="7950"/>
  <c r="T2014" i="7950"/>
  <c r="T556" i="7950"/>
  <c r="T580" i="7950"/>
  <c r="S987" i="7950"/>
  <c r="S1011" i="7950"/>
  <c r="T904" i="7950"/>
  <c r="T880" i="7950"/>
  <c r="S1983" i="7950"/>
  <c r="S1959" i="7950"/>
  <c r="T96" i="7950"/>
  <c r="C929" i="7949"/>
  <c r="D883" i="7949"/>
  <c r="D929" i="7949" s="1"/>
  <c r="C2652" i="7950"/>
  <c r="D2606" i="7950"/>
  <c r="D2652" i="7950" s="1"/>
  <c r="C2220" i="7950"/>
  <c r="D2174" i="7950"/>
  <c r="D2220" i="7950" s="1"/>
  <c r="C1356" i="7950"/>
  <c r="D1310" i="7950"/>
  <c r="C924" i="7950"/>
  <c r="D878" i="7950"/>
  <c r="D924" i="7950" s="1"/>
  <c r="C492" i="7950"/>
  <c r="D446" i="7950"/>
  <c r="C2706" i="7950"/>
  <c r="D2660" i="7950"/>
  <c r="D2706" i="7950" s="1"/>
  <c r="C1842" i="7950"/>
  <c r="D1796" i="7950"/>
  <c r="D1842" i="7950" s="1"/>
  <c r="C1410" i="7950"/>
  <c r="D1364" i="7950"/>
  <c r="D1410" i="7950" s="1"/>
  <c r="C978" i="7950"/>
  <c r="D932" i="7950"/>
  <c r="D978" i="7950" s="1"/>
  <c r="C546" i="7950"/>
  <c r="D500" i="7950"/>
  <c r="D546" i="7950" s="1"/>
  <c r="T1960" i="7950"/>
  <c r="T1984" i="7950"/>
  <c r="T148" i="7950"/>
  <c r="S1743" i="7950"/>
  <c r="S1767" i="7950"/>
  <c r="T1690" i="7950"/>
  <c r="T1714" i="7950"/>
  <c r="T258" i="7950"/>
  <c r="U2148" i="7950"/>
  <c r="U2124" i="7950"/>
  <c r="U2094" i="7950"/>
  <c r="U2070" i="7950"/>
  <c r="S1689" i="7950"/>
  <c r="S1713" i="7950"/>
  <c r="U689" i="7950"/>
  <c r="U665" i="7950"/>
  <c r="V1153" i="7950"/>
  <c r="V1177" i="7950"/>
  <c r="U259" i="7950"/>
  <c r="V1717" i="7950"/>
  <c r="V1693" i="7950"/>
  <c r="U94" i="7950"/>
  <c r="T1258" i="7950"/>
  <c r="T1282" i="7950"/>
  <c r="U503" i="7950"/>
  <c r="U527" i="7950"/>
  <c r="V637" i="7950"/>
  <c r="V613" i="7950"/>
  <c r="S933" i="7950"/>
  <c r="S957" i="7950"/>
  <c r="T1822" i="7950"/>
  <c r="T1798" i="7950"/>
  <c r="V1585" i="7950"/>
  <c r="V1609" i="7950"/>
  <c r="T2578" i="7950"/>
  <c r="T2554" i="7950"/>
  <c r="U504" i="7950"/>
  <c r="U528" i="7950"/>
  <c r="U95" i="7950"/>
  <c r="T2446" i="7950"/>
  <c r="T2470" i="7950"/>
  <c r="S256" i="7950"/>
  <c r="S363" i="7950"/>
  <c r="V961" i="7950"/>
  <c r="V937" i="7950"/>
  <c r="T610" i="7950"/>
  <c r="T634" i="7950"/>
  <c r="U395" i="7950"/>
  <c r="U419" i="7950"/>
  <c r="V2149" i="7950"/>
  <c r="V2125" i="7950"/>
  <c r="U1152" i="7950"/>
  <c r="U1176" i="7950"/>
  <c r="T2362" i="7950"/>
  <c r="T2338" i="7950"/>
  <c r="T1906" i="7950"/>
  <c r="T1930" i="7950"/>
  <c r="T1852" i="7950"/>
  <c r="T1876" i="7950"/>
  <c r="S1851" i="7950"/>
  <c r="S1875" i="7950"/>
  <c r="S1605" i="7950"/>
  <c r="S1581" i="7950"/>
  <c r="U935" i="7950"/>
  <c r="U959" i="7950"/>
  <c r="U2472" i="7950"/>
  <c r="U2448" i="7950"/>
  <c r="S2013" i="7950"/>
  <c r="S2037" i="7950"/>
  <c r="V2581" i="7950"/>
  <c r="V2557" i="7950"/>
  <c r="V367" i="7950"/>
  <c r="U97" i="7950"/>
  <c r="T1474" i="7950"/>
  <c r="T1498" i="7950"/>
  <c r="S1905" i="7950"/>
  <c r="S1929" i="7950"/>
  <c r="C2004" i="7950"/>
  <c r="D1958" i="7950"/>
  <c r="D2004" i="7950" s="1"/>
  <c r="C1194" i="7950"/>
  <c r="D1148" i="7950"/>
  <c r="D1194" i="7950" s="1"/>
  <c r="U420" i="7950"/>
  <c r="U396" i="7950"/>
  <c r="R255" i="7950"/>
  <c r="T1744" i="7950"/>
  <c r="T1768" i="7950"/>
  <c r="U611" i="7950"/>
  <c r="U635" i="7950"/>
  <c r="S2469" i="7950"/>
  <c r="S2445" i="7950"/>
  <c r="C1788" i="7950"/>
  <c r="D1742" i="7950"/>
  <c r="D1788" i="7950" s="1"/>
  <c r="C2274" i="7950"/>
  <c r="D2228" i="7950"/>
  <c r="D2274" i="7950" s="1"/>
  <c r="C2544" i="7950"/>
  <c r="D2498" i="7950"/>
  <c r="D2544" i="7950" s="1"/>
  <c r="C2112" i="7950"/>
  <c r="D2066" i="7950"/>
  <c r="D2112" i="7950" s="1"/>
  <c r="C1680" i="7950"/>
  <c r="D1634" i="7950"/>
  <c r="D1680" i="7950" s="1"/>
  <c r="C1248" i="7950"/>
  <c r="D1202" i="7950"/>
  <c r="C816" i="7950"/>
  <c r="D770" i="7950"/>
  <c r="D816" i="7950" s="1"/>
  <c r="C2598" i="7950"/>
  <c r="D2552" i="7950"/>
  <c r="D2598" i="7950" s="1"/>
  <c r="C2166" i="7950"/>
  <c r="D2120" i="7950"/>
  <c r="D2166" i="7950" s="1"/>
  <c r="C1734" i="7950"/>
  <c r="D1688" i="7950"/>
  <c r="D1734" i="7950" s="1"/>
  <c r="C1302" i="7950"/>
  <c r="D1256" i="7950"/>
  <c r="D1302" i="7950" s="1"/>
  <c r="C870" i="7950"/>
  <c r="D824" i="7950"/>
  <c r="D870" i="7950" s="1"/>
  <c r="C438" i="7950"/>
  <c r="D392" i="7950"/>
  <c r="D438" i="7950" s="1"/>
  <c r="C1415" i="7949"/>
  <c r="D1369" i="7949"/>
  <c r="D1415" i="7949" s="1"/>
  <c r="S1149" i="7950"/>
  <c r="S1173" i="7950"/>
  <c r="U2555" i="7950"/>
  <c r="U2579" i="7950"/>
  <c r="U743" i="7950"/>
  <c r="U719" i="7950"/>
  <c r="U2255" i="7950"/>
  <c r="U2231" i="7950"/>
  <c r="U311" i="7950"/>
  <c r="O1064" i="7950"/>
  <c r="O902" i="7950"/>
  <c r="S2175" i="7950"/>
  <c r="S2199" i="7950"/>
  <c r="U474" i="7950"/>
  <c r="U450" i="7950"/>
  <c r="U827" i="7950"/>
  <c r="U851" i="7950"/>
  <c r="V691" i="7950"/>
  <c r="V667" i="7950"/>
  <c r="O1172" i="7950"/>
  <c r="U2177" i="7950"/>
  <c r="U2201" i="7950"/>
  <c r="U558" i="7950"/>
  <c r="U582" i="7950"/>
  <c r="S771" i="7950"/>
  <c r="S795" i="7950"/>
  <c r="P470" i="7950"/>
  <c r="N2365" i="7949"/>
  <c r="U2526" i="7950"/>
  <c r="U2502" i="7950"/>
  <c r="N2581" i="7949"/>
  <c r="S2499" i="7950"/>
  <c r="S2523" i="7950"/>
  <c r="U1500" i="7950"/>
  <c r="U1476" i="7950"/>
  <c r="O1231" i="7949"/>
  <c r="O1447" i="7949"/>
  <c r="S1551" i="7950"/>
  <c r="S1527" i="7950"/>
  <c r="U1986" i="7950"/>
  <c r="U1962" i="7950"/>
  <c r="V1231" i="7950"/>
  <c r="V1207" i="7950"/>
  <c r="U2688" i="7950"/>
  <c r="U2664" i="7950"/>
  <c r="V2365" i="7950"/>
  <c r="V2341" i="7950"/>
  <c r="V2257" i="7950"/>
  <c r="V2233" i="7950"/>
  <c r="U1907" i="7950"/>
  <c r="U1931" i="7950"/>
  <c r="V853" i="7950"/>
  <c r="V829" i="7950"/>
  <c r="P740" i="7950"/>
  <c r="O1982" i="7950"/>
  <c r="P1658" i="7950"/>
  <c r="U2040" i="7950"/>
  <c r="U2016" i="7950"/>
  <c r="O1820" i="7950"/>
  <c r="T2632" i="7950"/>
  <c r="T2608" i="7950"/>
  <c r="V1933" i="7950"/>
  <c r="V1909" i="7950"/>
  <c r="V1285" i="7950"/>
  <c r="V1261" i="7950"/>
  <c r="O1771" i="7949"/>
  <c r="V1501" i="7950"/>
  <c r="V1477" i="7950"/>
  <c r="N799" i="7949"/>
  <c r="U1421" i="7950"/>
  <c r="U1445" i="7950"/>
  <c r="N2689" i="7949"/>
  <c r="O1766" i="7950"/>
  <c r="P1928" i="7950"/>
  <c r="U797" i="7950"/>
  <c r="U773" i="7950"/>
  <c r="T418" i="7950"/>
  <c r="T394" i="7950"/>
  <c r="O578" i="7950"/>
  <c r="O853" i="7949"/>
  <c r="O848" i="7950"/>
  <c r="U473" i="7950"/>
  <c r="U449" i="7950"/>
  <c r="S201" i="7950"/>
  <c r="S2661" i="7950"/>
  <c r="S2685" i="7950"/>
  <c r="S1281" i="7950"/>
  <c r="S1257" i="7950"/>
  <c r="T310" i="7950"/>
  <c r="U149" i="7950"/>
  <c r="T850" i="7950"/>
  <c r="T826" i="7950"/>
  <c r="U1067" i="7950"/>
  <c r="U1043" i="7950"/>
  <c r="S2091" i="7950"/>
  <c r="S2067" i="7950"/>
  <c r="S2553" i="7950"/>
  <c r="S2577" i="7950"/>
  <c r="V2095" i="7950"/>
  <c r="V2071" i="7950"/>
  <c r="T2146" i="7950"/>
  <c r="T2122" i="7950"/>
  <c r="V559" i="7950"/>
  <c r="V583" i="7950"/>
  <c r="U744" i="7950"/>
  <c r="U720" i="7950"/>
  <c r="U2394" i="7950"/>
  <c r="U2418" i="7950"/>
  <c r="P2468" i="7950"/>
  <c r="O2522" i="7950"/>
  <c r="T934" i="7950"/>
  <c r="T958" i="7950"/>
  <c r="O1555" i="7949"/>
  <c r="O745" i="7949"/>
  <c r="U2093" i="7950"/>
  <c r="U2069" i="7950"/>
  <c r="U1770" i="7950"/>
  <c r="U1746" i="7950"/>
  <c r="V1825" i="7950"/>
  <c r="V1801" i="7950"/>
  <c r="U666" i="7950"/>
  <c r="U690" i="7950"/>
  <c r="U1878" i="7950"/>
  <c r="U1854" i="7950"/>
  <c r="O583" i="7949"/>
  <c r="O2419" i="7949"/>
  <c r="S2415" i="7950"/>
  <c r="S2391" i="7950"/>
  <c r="S687" i="7950"/>
  <c r="S663" i="7950"/>
  <c r="O1663" i="7949"/>
  <c r="S555" i="7950"/>
  <c r="S579" i="7950"/>
  <c r="U2633" i="7950"/>
  <c r="U2609" i="7950"/>
  <c r="V1771" i="7950"/>
  <c r="V1747" i="7950"/>
  <c r="T472" i="7950"/>
  <c r="T448" i="7950"/>
  <c r="O1604" i="7950"/>
  <c r="U1692" i="7950"/>
  <c r="U1716" i="7950"/>
  <c r="U612" i="7950"/>
  <c r="U636" i="7950"/>
  <c r="S1203" i="7950"/>
  <c r="S1227" i="7950"/>
  <c r="U1014" i="7950"/>
  <c r="U990" i="7950"/>
  <c r="T2662" i="7950"/>
  <c r="T2686" i="7950"/>
  <c r="V907" i="7950"/>
  <c r="V883" i="7950"/>
  <c r="O1280" i="7950"/>
  <c r="P2090" i="7950"/>
  <c r="O956" i="7950"/>
  <c r="O416" i="7950"/>
  <c r="V421" i="7950"/>
  <c r="V397" i="7950"/>
  <c r="O524" i="7950"/>
  <c r="T1606" i="7950"/>
  <c r="T1582" i="7950"/>
  <c r="U2580" i="7950"/>
  <c r="U2556" i="7950"/>
  <c r="S309" i="7950"/>
  <c r="U2501" i="7950"/>
  <c r="U2525" i="7950"/>
  <c r="P632" i="7950"/>
  <c r="O907" i="7949"/>
  <c r="U2364" i="7950"/>
  <c r="U2340" i="7950"/>
  <c r="V2527" i="7950"/>
  <c r="V2503" i="7950"/>
  <c r="S903" i="7950"/>
  <c r="S879" i="7950"/>
  <c r="O2527" i="7949"/>
  <c r="V799" i="7950"/>
  <c r="V775" i="7950"/>
  <c r="P1069" i="7949"/>
  <c r="U989" i="7950"/>
  <c r="U1013" i="7950"/>
  <c r="U1661" i="7950"/>
  <c r="U1637" i="7950"/>
  <c r="T1066" i="7950"/>
  <c r="T1042" i="7950"/>
  <c r="T1636" i="7950"/>
  <c r="T1660" i="7950"/>
  <c r="T1390" i="7950"/>
  <c r="T1366" i="7950"/>
  <c r="U2286" i="7950"/>
  <c r="U2310" i="7950"/>
  <c r="U1446" i="7950"/>
  <c r="U1422" i="7950"/>
  <c r="S501" i="7950"/>
  <c r="S525" i="7950"/>
  <c r="S1389" i="7950"/>
  <c r="S1365" i="7950"/>
  <c r="C2611" i="7949"/>
  <c r="C2179" i="7949"/>
  <c r="C1639" i="7949"/>
  <c r="C2341" i="7949"/>
  <c r="C2449" i="7949"/>
  <c r="C1531" i="7949"/>
  <c r="C667" i="7949"/>
  <c r="C1423" i="7949"/>
  <c r="C775" i="7949"/>
  <c r="C1261" i="7949"/>
  <c r="C397" i="7949"/>
  <c r="C2395" i="7949"/>
  <c r="C1963" i="7949"/>
  <c r="C2503" i="7949"/>
  <c r="C2071" i="7949"/>
  <c r="C2557" i="7949"/>
  <c r="C2125" i="7949"/>
  <c r="C1693" i="7949"/>
  <c r="C1801" i="7949"/>
  <c r="C1315" i="7949"/>
  <c r="C451" i="7949"/>
  <c r="C2233" i="7949"/>
  <c r="C1477" i="7949"/>
  <c r="C1045" i="7949"/>
  <c r="C613" i="7949"/>
  <c r="C829" i="7949"/>
  <c r="C1207" i="7949"/>
  <c r="C721" i="7949"/>
  <c r="C1747" i="7949"/>
  <c r="C2287" i="7949"/>
  <c r="C1855" i="7949"/>
  <c r="C1909" i="7949"/>
  <c r="C2017" i="7949"/>
  <c r="C1099" i="7949"/>
  <c r="C991" i="7949"/>
  <c r="C937" i="7949"/>
  <c r="C1585" i="7949"/>
  <c r="C1153" i="7949"/>
  <c r="C505" i="7949"/>
  <c r="C2665" i="7949"/>
  <c r="E1742" i="7950" l="1"/>
  <c r="E1788" i="7950" s="1"/>
  <c r="E1369" i="7949"/>
  <c r="E1415" i="7949" s="1"/>
  <c r="E2336" i="7950"/>
  <c r="E2382" i="7950" s="1"/>
  <c r="E878" i="7950"/>
  <c r="E924" i="7950" s="1"/>
  <c r="E608" i="7950"/>
  <c r="E654" i="7950" s="1"/>
  <c r="E2444" i="7950"/>
  <c r="E2490" i="7950" s="1"/>
  <c r="E2120" i="7950"/>
  <c r="F2120" i="7950" s="1"/>
  <c r="E1796" i="7950"/>
  <c r="E1842" i="7950" s="1"/>
  <c r="E883" i="7949"/>
  <c r="E929" i="7949" s="1"/>
  <c r="E392" i="7950"/>
  <c r="E438" i="7950" s="1"/>
  <c r="E1688" i="7950"/>
  <c r="E1634" i="7950"/>
  <c r="E1680" i="7950" s="1"/>
  <c r="E2228" i="7950"/>
  <c r="E932" i="7950"/>
  <c r="E978" i="7950" s="1"/>
  <c r="E2660" i="7950"/>
  <c r="E2706" i="7950" s="1"/>
  <c r="E2606" i="7950"/>
  <c r="E2652" i="7950" s="1"/>
  <c r="E2390" i="7950"/>
  <c r="E1148" i="7950"/>
  <c r="E1194" i="7950" s="1"/>
  <c r="E2012" i="7950"/>
  <c r="E2058" i="7950" s="1"/>
  <c r="E1472" i="7950"/>
  <c r="E1518" i="7950" s="1"/>
  <c r="E1850" i="7950"/>
  <c r="E1896" i="7950" s="1"/>
  <c r="E1526" i="7950"/>
  <c r="E1572" i="7950" s="1"/>
  <c r="C1631" i="7949"/>
  <c r="D1585" i="7949"/>
  <c r="D1631" i="7949" s="1"/>
  <c r="C1037" i="7949"/>
  <c r="D991" i="7949"/>
  <c r="D1037" i="7949" s="1"/>
  <c r="C1955" i="7949"/>
  <c r="D1909" i="7949"/>
  <c r="D1955" i="7949" s="1"/>
  <c r="C1793" i="7949"/>
  <c r="D1747" i="7949"/>
  <c r="D1793" i="7949" s="1"/>
  <c r="C1253" i="7949"/>
  <c r="D1207" i="7949"/>
  <c r="D1253" i="7949" s="1"/>
  <c r="C1091" i="7949"/>
  <c r="D1045" i="7949"/>
  <c r="D1091" i="7949" s="1"/>
  <c r="C1739" i="7949"/>
  <c r="D1693" i="7949"/>
  <c r="D1739" i="7949" s="1"/>
  <c r="C2603" i="7949"/>
  <c r="D2557" i="7949"/>
  <c r="D2603" i="7949" s="1"/>
  <c r="C2009" i="7949"/>
  <c r="D1963" i="7949"/>
  <c r="D2009" i="7949" s="1"/>
  <c r="C821" i="7949"/>
  <c r="D775" i="7949"/>
  <c r="D821" i="7949" s="1"/>
  <c r="C713" i="7949"/>
  <c r="D667" i="7949"/>
  <c r="D713" i="7949" s="1"/>
  <c r="V1661" i="7950"/>
  <c r="V1637" i="7950"/>
  <c r="Q1069" i="7949"/>
  <c r="P2527" i="7949"/>
  <c r="W2503" i="7950"/>
  <c r="W2527" i="7950"/>
  <c r="P907" i="7949"/>
  <c r="T309" i="7950"/>
  <c r="U1606" i="7950"/>
  <c r="U1582" i="7950"/>
  <c r="W421" i="7950"/>
  <c r="W397" i="7950"/>
  <c r="P956" i="7950"/>
  <c r="P1280" i="7950"/>
  <c r="V990" i="7950"/>
  <c r="V1014" i="7950"/>
  <c r="P1604" i="7950"/>
  <c r="W1747" i="7950"/>
  <c r="W1771" i="7950"/>
  <c r="T687" i="7950"/>
  <c r="T663" i="7950"/>
  <c r="P2419" i="7949"/>
  <c r="V1854" i="7950"/>
  <c r="V1878" i="7950"/>
  <c r="W1825" i="7950"/>
  <c r="W1801" i="7950"/>
  <c r="V2093" i="7950"/>
  <c r="V2069" i="7950"/>
  <c r="P1555" i="7949"/>
  <c r="Q2468" i="7950"/>
  <c r="W2095" i="7950"/>
  <c r="W2071" i="7950"/>
  <c r="T2091" i="7950"/>
  <c r="T2067" i="7950"/>
  <c r="U850" i="7950"/>
  <c r="U826" i="7950"/>
  <c r="U310" i="7950"/>
  <c r="T201" i="7950"/>
  <c r="P848" i="7950"/>
  <c r="P578" i="7950"/>
  <c r="V797" i="7950"/>
  <c r="V773" i="7950"/>
  <c r="P1766" i="7950"/>
  <c r="O2689" i="7949"/>
  <c r="O799" i="7949"/>
  <c r="P1771" i="7949"/>
  <c r="W1909" i="7950"/>
  <c r="W1933" i="7950"/>
  <c r="P1820" i="7950"/>
  <c r="Q1658" i="7950"/>
  <c r="Q740" i="7950"/>
  <c r="W2365" i="7950"/>
  <c r="W2341" i="7950"/>
  <c r="W1231" i="7950"/>
  <c r="W1207" i="7950"/>
  <c r="T1527" i="7950"/>
  <c r="T1551" i="7950"/>
  <c r="P1231" i="7949"/>
  <c r="V2502" i="7950"/>
  <c r="V2526" i="7950"/>
  <c r="Q470" i="7950"/>
  <c r="P1172" i="7950"/>
  <c r="P1064" i="7950"/>
  <c r="V2255" i="7950"/>
  <c r="V2231" i="7950"/>
  <c r="E824" i="7950"/>
  <c r="E2552" i="7950"/>
  <c r="E2066" i="7950"/>
  <c r="V396" i="7950"/>
  <c r="V420" i="7950"/>
  <c r="U1474" i="7950"/>
  <c r="U1498" i="7950"/>
  <c r="T2037" i="7950"/>
  <c r="T2013" i="7950"/>
  <c r="V935" i="7950"/>
  <c r="V959" i="7950"/>
  <c r="U1876" i="7950"/>
  <c r="U1852" i="7950"/>
  <c r="U1930" i="7950"/>
  <c r="U1906" i="7950"/>
  <c r="V1152" i="7950"/>
  <c r="V1176" i="7950"/>
  <c r="V419" i="7950"/>
  <c r="V395" i="7950"/>
  <c r="T363" i="7950"/>
  <c r="V94" i="7950"/>
  <c r="V2094" i="7950"/>
  <c r="V2070" i="7950"/>
  <c r="U258" i="7950"/>
  <c r="E446" i="7950"/>
  <c r="D492" i="7950"/>
  <c r="T1983" i="7950"/>
  <c r="T1959" i="7950"/>
  <c r="U2014" i="7950"/>
  <c r="U2038" i="7950"/>
  <c r="U1552" i="7950"/>
  <c r="U1528" i="7950"/>
  <c r="T849" i="7950"/>
  <c r="T825" i="7950"/>
  <c r="T393" i="7950"/>
  <c r="T417" i="7950"/>
  <c r="V1554" i="7950"/>
  <c r="V1530" i="7950"/>
  <c r="T2307" i="7950"/>
  <c r="T2283" i="7950"/>
  <c r="V906" i="7950"/>
  <c r="V882" i="7950"/>
  <c r="V1985" i="7950"/>
  <c r="V1961" i="7950"/>
  <c r="T2361" i="7950"/>
  <c r="T2337" i="7950"/>
  <c r="V1715" i="7950"/>
  <c r="V1691" i="7950"/>
  <c r="T633" i="7950"/>
  <c r="T609" i="7950"/>
  <c r="V581" i="7950"/>
  <c r="V557" i="7950"/>
  <c r="V1122" i="7950"/>
  <c r="V1098" i="7950"/>
  <c r="V852" i="7950"/>
  <c r="V828" i="7950"/>
  <c r="U364" i="7950"/>
  <c r="E554" i="7950"/>
  <c r="E986" i="7950"/>
  <c r="D1032" i="7950"/>
  <c r="E2282" i="7950"/>
  <c r="V1151" i="7950"/>
  <c r="V1175" i="7950"/>
  <c r="V1284" i="7950"/>
  <c r="V1260" i="7950"/>
  <c r="V905" i="7950"/>
  <c r="V881" i="7950"/>
  <c r="U257" i="7950"/>
  <c r="C983" i="7949"/>
  <c r="D937" i="7949"/>
  <c r="D983" i="7949" s="1"/>
  <c r="C1523" i="7949"/>
  <c r="D1477" i="7949"/>
  <c r="D1523" i="7949" s="1"/>
  <c r="C1361" i="7949"/>
  <c r="D1315" i="7949"/>
  <c r="D1361" i="7949" s="1"/>
  <c r="C2441" i="7949"/>
  <c r="D2395" i="7949"/>
  <c r="D2441" i="7949" s="1"/>
  <c r="C1577" i="7949"/>
  <c r="D1531" i="7949"/>
  <c r="C1685" i="7949"/>
  <c r="D1639" i="7949"/>
  <c r="D1685" i="7949" s="1"/>
  <c r="V1013" i="7950"/>
  <c r="V989" i="7950"/>
  <c r="U2686" i="7950"/>
  <c r="U2662" i="7950"/>
  <c r="T1203" i="7950"/>
  <c r="T1227" i="7950"/>
  <c r="V1692" i="7950"/>
  <c r="V1716" i="7950"/>
  <c r="V690" i="7950"/>
  <c r="V666" i="7950"/>
  <c r="V2418" i="7950"/>
  <c r="V2394" i="7950"/>
  <c r="T2553" i="7950"/>
  <c r="T2577" i="7950"/>
  <c r="T2685" i="7950"/>
  <c r="T2661" i="7950"/>
  <c r="V1445" i="7950"/>
  <c r="V1421" i="7950"/>
  <c r="T795" i="7950"/>
  <c r="T771" i="7950"/>
  <c r="V2177" i="7950"/>
  <c r="V2201" i="7950"/>
  <c r="T1173" i="7950"/>
  <c r="T1149" i="7950"/>
  <c r="V635" i="7950"/>
  <c r="V611" i="7950"/>
  <c r="W367" i="7950"/>
  <c r="W937" i="7950"/>
  <c r="W961" i="7950"/>
  <c r="U1258" i="7950"/>
  <c r="U1282" i="7950"/>
  <c r="V259" i="7950"/>
  <c r="T1713" i="7950"/>
  <c r="T1689" i="7950"/>
  <c r="T1767" i="7950"/>
  <c r="T1743" i="7950"/>
  <c r="U148" i="7950"/>
  <c r="E1364" i="7950"/>
  <c r="E2174" i="7950"/>
  <c r="U96" i="7950"/>
  <c r="U580" i="7950"/>
  <c r="U556" i="7950"/>
  <c r="V2256" i="7950"/>
  <c r="V2232" i="7950"/>
  <c r="V798" i="7950"/>
  <c r="V774" i="7950"/>
  <c r="U526" i="7950"/>
  <c r="U502" i="7950"/>
  <c r="T1497" i="7950"/>
  <c r="T1473" i="7950"/>
  <c r="T147" i="7950"/>
  <c r="T1065" i="7950"/>
  <c r="T1041" i="7950"/>
  <c r="Q2257" i="7949"/>
  <c r="O1393" i="7949"/>
  <c r="W97" i="7949"/>
  <c r="P2414" i="7950"/>
  <c r="Q1550" i="7950"/>
  <c r="W1663" i="7950"/>
  <c r="W1639" i="7950"/>
  <c r="P1285" i="7949"/>
  <c r="P1442" i="7950"/>
  <c r="V1662" i="7950"/>
  <c r="V1638" i="7950"/>
  <c r="W2665" i="7950"/>
  <c r="W2689" i="7950"/>
  <c r="O691" i="7949"/>
  <c r="Q2036" i="7950"/>
  <c r="Q2144" i="7950"/>
  <c r="O1879" i="7949"/>
  <c r="T1635" i="7950"/>
  <c r="T1659" i="7950"/>
  <c r="P1123" i="7949"/>
  <c r="P1339" i="7949"/>
  <c r="Q637" i="7949"/>
  <c r="Q1226" i="7950"/>
  <c r="T447" i="7950"/>
  <c r="T471" i="7950"/>
  <c r="T741" i="7950"/>
  <c r="T717" i="7950"/>
  <c r="U2284" i="7950"/>
  <c r="U2308" i="7950"/>
  <c r="U2254" i="7950"/>
  <c r="U2230" i="7950"/>
  <c r="T1443" i="7950"/>
  <c r="T1419" i="7950"/>
  <c r="V2039" i="7950"/>
  <c r="V2015" i="7950"/>
  <c r="W745" i="7950"/>
  <c r="W721" i="7950"/>
  <c r="P1501" i="7949"/>
  <c r="U688" i="7950"/>
  <c r="U664" i="7950"/>
  <c r="V1908" i="7950"/>
  <c r="V1932" i="7950"/>
  <c r="P2095" i="7949"/>
  <c r="P1987" i="7949"/>
  <c r="P2203" i="7949"/>
  <c r="W475" i="7950"/>
  <c r="W451" i="7950"/>
  <c r="P2149" i="7949"/>
  <c r="Q961" i="7949"/>
  <c r="P2252" i="7950"/>
  <c r="T2631" i="7950"/>
  <c r="T2607" i="7950"/>
  <c r="V204" i="7950"/>
  <c r="W1069" i="7950"/>
  <c r="W1045" i="7950"/>
  <c r="Q2684" i="7950"/>
  <c r="P1388" i="7950"/>
  <c r="U2392" i="7950"/>
  <c r="U2416" i="7950"/>
  <c r="P367" i="7949"/>
  <c r="W2635" i="7950"/>
  <c r="W2611" i="7950"/>
  <c r="Q2311" i="7949"/>
  <c r="V1529" i="7950"/>
  <c r="V1553" i="7950"/>
  <c r="V365" i="7950"/>
  <c r="E1904" i="7950"/>
  <c r="D1950" i="7950"/>
  <c r="V1607" i="7950"/>
  <c r="V1583" i="7950"/>
  <c r="W505" i="7950"/>
  <c r="W529" i="7950"/>
  <c r="V2417" i="7950"/>
  <c r="V2393" i="7950"/>
  <c r="V2339" i="7950"/>
  <c r="V2363" i="7950"/>
  <c r="C2711" i="7949"/>
  <c r="D2665" i="7949"/>
  <c r="D2711" i="7949" s="1"/>
  <c r="C551" i="7949"/>
  <c r="D505" i="7949"/>
  <c r="D551" i="7949" s="1"/>
  <c r="C1145" i="7949"/>
  <c r="D1099" i="7949"/>
  <c r="D1145" i="7949" s="1"/>
  <c r="C1901" i="7949"/>
  <c r="D1855" i="7949"/>
  <c r="D1901" i="7949" s="1"/>
  <c r="C389" i="7949"/>
  <c r="C875" i="7949"/>
  <c r="D829" i="7949"/>
  <c r="D875" i="7949" s="1"/>
  <c r="C2279" i="7949"/>
  <c r="D2233" i="7949"/>
  <c r="D2279" i="7949" s="1"/>
  <c r="C2171" i="7949"/>
  <c r="D2125" i="7949"/>
  <c r="D2171" i="7949" s="1"/>
  <c r="C2117" i="7949"/>
  <c r="D2071" i="7949"/>
  <c r="D2117" i="7949" s="1"/>
  <c r="C443" i="7949"/>
  <c r="D397" i="7949"/>
  <c r="D443" i="7949" s="1"/>
  <c r="C1469" i="7949"/>
  <c r="D1423" i="7949"/>
  <c r="D1469" i="7949" s="1"/>
  <c r="C2495" i="7949"/>
  <c r="D2449" i="7949"/>
  <c r="D2495" i="7949" s="1"/>
  <c r="C2225" i="7949"/>
  <c r="D2179" i="7949"/>
  <c r="D2225" i="7949" s="1"/>
  <c r="T1365" i="7950"/>
  <c r="T1389" i="7950"/>
  <c r="V1446" i="7950"/>
  <c r="V1422" i="7950"/>
  <c r="U1390" i="7950"/>
  <c r="U1366" i="7950"/>
  <c r="U1066" i="7950"/>
  <c r="U1042" i="7950"/>
  <c r="W799" i="7950"/>
  <c r="W775" i="7950"/>
  <c r="T879" i="7950"/>
  <c r="T903" i="7950"/>
  <c r="V2364" i="7950"/>
  <c r="V2340" i="7950"/>
  <c r="Q632" i="7950"/>
  <c r="V2556" i="7950"/>
  <c r="V2580" i="7950"/>
  <c r="P524" i="7950"/>
  <c r="P416" i="7950"/>
  <c r="Q2090" i="7950"/>
  <c r="W907" i="7950"/>
  <c r="W883" i="7950"/>
  <c r="U472" i="7950"/>
  <c r="U448" i="7950"/>
  <c r="V2633" i="7950"/>
  <c r="V2609" i="7950"/>
  <c r="P1663" i="7949"/>
  <c r="T2415" i="7950"/>
  <c r="T2391" i="7950"/>
  <c r="P583" i="7949"/>
  <c r="V1746" i="7950"/>
  <c r="V1770" i="7950"/>
  <c r="P745" i="7949"/>
  <c r="P2522" i="7950"/>
  <c r="V744" i="7950"/>
  <c r="V720" i="7950"/>
  <c r="U2146" i="7950"/>
  <c r="U2122" i="7950"/>
  <c r="V1067" i="7950"/>
  <c r="V1043" i="7950"/>
  <c r="V149" i="7950"/>
  <c r="T1281" i="7950"/>
  <c r="T1257" i="7950"/>
  <c r="V473" i="7950"/>
  <c r="V449" i="7950"/>
  <c r="P853" i="7949"/>
  <c r="U418" i="7950"/>
  <c r="U394" i="7950"/>
  <c r="Q1928" i="7950"/>
  <c r="W1477" i="7950"/>
  <c r="W1501" i="7950"/>
  <c r="W1261" i="7950"/>
  <c r="W1285" i="7950"/>
  <c r="U2632" i="7950"/>
  <c r="U2608" i="7950"/>
  <c r="V2040" i="7950"/>
  <c r="V2016" i="7950"/>
  <c r="P1982" i="7950"/>
  <c r="W853" i="7950"/>
  <c r="W829" i="7950"/>
  <c r="W2257" i="7950"/>
  <c r="W2233" i="7950"/>
  <c r="V2664" i="7950"/>
  <c r="V2688" i="7950"/>
  <c r="V1962" i="7950"/>
  <c r="V1986" i="7950"/>
  <c r="P1447" i="7949"/>
  <c r="V1476" i="7950"/>
  <c r="V1500" i="7950"/>
  <c r="O2581" i="7949"/>
  <c r="O2365" i="7949"/>
  <c r="W691" i="7950"/>
  <c r="W667" i="7950"/>
  <c r="V474" i="7950"/>
  <c r="V450" i="7950"/>
  <c r="P902" i="7950"/>
  <c r="V311" i="7950"/>
  <c r="V743" i="7950"/>
  <c r="V719" i="7950"/>
  <c r="S255" i="7950"/>
  <c r="T1905" i="7950"/>
  <c r="T1929" i="7950"/>
  <c r="V97" i="7950"/>
  <c r="T1875" i="7950"/>
  <c r="T1851" i="7950"/>
  <c r="U634" i="7950"/>
  <c r="U610" i="7950"/>
  <c r="T256" i="7950"/>
  <c r="V95" i="7950"/>
  <c r="U2554" i="7950"/>
  <c r="U2578" i="7950"/>
  <c r="U1822" i="7950"/>
  <c r="U1798" i="7950"/>
  <c r="W613" i="7950"/>
  <c r="W637" i="7950"/>
  <c r="W1693" i="7950"/>
  <c r="W1717" i="7950"/>
  <c r="V689" i="7950"/>
  <c r="V665" i="7950"/>
  <c r="V2148" i="7950"/>
  <c r="V2124" i="7950"/>
  <c r="U1714" i="7950"/>
  <c r="U1690" i="7950"/>
  <c r="U1984" i="7950"/>
  <c r="U1960" i="7950"/>
  <c r="U904" i="7950"/>
  <c r="U880" i="7950"/>
  <c r="U1012" i="7950"/>
  <c r="U988" i="7950"/>
  <c r="W313" i="7950"/>
  <c r="W1393" i="7950"/>
  <c r="W1369" i="7950"/>
  <c r="U1120" i="7950"/>
  <c r="U1096" i="7950"/>
  <c r="V2687" i="7950"/>
  <c r="V2663" i="7950"/>
  <c r="U2524" i="7950"/>
  <c r="U2500" i="7950"/>
  <c r="U1420" i="7950"/>
  <c r="U1444" i="7950"/>
  <c r="U1174" i="7950"/>
  <c r="U1150" i="7950"/>
  <c r="W2419" i="7950"/>
  <c r="W2395" i="7950"/>
  <c r="U2200" i="7950"/>
  <c r="U2176" i="7950"/>
  <c r="V2471" i="7950"/>
  <c r="V2447" i="7950"/>
  <c r="V1392" i="7950"/>
  <c r="V1368" i="7950"/>
  <c r="W2311" i="7950"/>
  <c r="W2287" i="7950"/>
  <c r="V1745" i="7950"/>
  <c r="V1769" i="7950"/>
  <c r="W2449" i="7950"/>
  <c r="W2473" i="7950"/>
  <c r="V1230" i="7950"/>
  <c r="V1206" i="7950"/>
  <c r="V1877" i="7950"/>
  <c r="V1853" i="7950"/>
  <c r="E1040" i="7950"/>
  <c r="E1418" i="7950"/>
  <c r="V203" i="7950"/>
  <c r="U202" i="7950"/>
  <c r="T1119" i="7950"/>
  <c r="T1095" i="7950"/>
  <c r="E662" i="7950"/>
  <c r="E716" i="7950"/>
  <c r="E559" i="7949"/>
  <c r="C1199" i="7949"/>
  <c r="D1153" i="7949"/>
  <c r="D1199" i="7949" s="1"/>
  <c r="C2063" i="7949"/>
  <c r="D2017" i="7949"/>
  <c r="D2063" i="7949" s="1"/>
  <c r="C2333" i="7949"/>
  <c r="D2287" i="7949"/>
  <c r="D2333" i="7949" s="1"/>
  <c r="C767" i="7949"/>
  <c r="D721" i="7949"/>
  <c r="D767" i="7949" s="1"/>
  <c r="C659" i="7949"/>
  <c r="D613" i="7949"/>
  <c r="D659" i="7949" s="1"/>
  <c r="C497" i="7949"/>
  <c r="D451" i="7949"/>
  <c r="D497" i="7949" s="1"/>
  <c r="C1847" i="7949"/>
  <c r="D1801" i="7949"/>
  <c r="D1847" i="7949" s="1"/>
  <c r="C2549" i="7949"/>
  <c r="D2503" i="7949"/>
  <c r="D2549" i="7949" s="1"/>
  <c r="C1307" i="7949"/>
  <c r="D1261" i="7949"/>
  <c r="D1307" i="7949" s="1"/>
  <c r="C2387" i="7949"/>
  <c r="D2341" i="7949"/>
  <c r="D2387" i="7949" s="1"/>
  <c r="C2657" i="7949"/>
  <c r="D2611" i="7949"/>
  <c r="D2657" i="7949" s="1"/>
  <c r="T525" i="7950"/>
  <c r="T501" i="7950"/>
  <c r="V2286" i="7950"/>
  <c r="V2310" i="7950"/>
  <c r="U1636" i="7950"/>
  <c r="U1660" i="7950"/>
  <c r="V2525" i="7950"/>
  <c r="V2501" i="7950"/>
  <c r="V612" i="7950"/>
  <c r="V636" i="7950"/>
  <c r="T579" i="7950"/>
  <c r="T555" i="7950"/>
  <c r="U958" i="7950"/>
  <c r="U934" i="7950"/>
  <c r="W559" i="7950"/>
  <c r="W583" i="7950"/>
  <c r="V1931" i="7950"/>
  <c r="V1907" i="7950"/>
  <c r="T2523" i="7950"/>
  <c r="T2499" i="7950"/>
  <c r="V558" i="7950"/>
  <c r="V582" i="7950"/>
  <c r="V851" i="7950"/>
  <c r="V827" i="7950"/>
  <c r="T2175" i="7950"/>
  <c r="T2199" i="7950"/>
  <c r="V2579" i="7950"/>
  <c r="V2555" i="7950"/>
  <c r="E1256" i="7950"/>
  <c r="E770" i="7950"/>
  <c r="E1202" i="7950"/>
  <c r="D1248" i="7950"/>
  <c r="E2498" i="7950"/>
  <c r="T2469" i="7950"/>
  <c r="T2445" i="7950"/>
  <c r="U1768" i="7950"/>
  <c r="U1744" i="7950"/>
  <c r="E1958" i="7950"/>
  <c r="W2557" i="7950"/>
  <c r="W2581" i="7950"/>
  <c r="V2448" i="7950"/>
  <c r="V2472" i="7950"/>
  <c r="T1605" i="7950"/>
  <c r="T1581" i="7950"/>
  <c r="U2362" i="7950"/>
  <c r="U2338" i="7950"/>
  <c r="W2149" i="7950"/>
  <c r="W2125" i="7950"/>
  <c r="U2446" i="7950"/>
  <c r="U2470" i="7950"/>
  <c r="V504" i="7950"/>
  <c r="V528" i="7950"/>
  <c r="W1609" i="7950"/>
  <c r="W1585" i="7950"/>
  <c r="T933" i="7950"/>
  <c r="T957" i="7950"/>
  <c r="V527" i="7950"/>
  <c r="V503" i="7950"/>
  <c r="W1153" i="7950"/>
  <c r="W1177" i="7950"/>
  <c r="E500" i="7950"/>
  <c r="E1310" i="7950"/>
  <c r="D1356" i="7950"/>
  <c r="T1011" i="7950"/>
  <c r="T987" i="7950"/>
  <c r="V1391" i="7950"/>
  <c r="V1367" i="7950"/>
  <c r="E1094" i="7950"/>
  <c r="W1123" i="7950"/>
  <c r="W1099" i="7950"/>
  <c r="T2253" i="7950"/>
  <c r="T2229" i="7950"/>
  <c r="P2306" i="7950"/>
  <c r="R1010" i="7950"/>
  <c r="P421" i="7949"/>
  <c r="W205" i="7950"/>
  <c r="V2178" i="7950"/>
  <c r="V2202" i="7950"/>
  <c r="P1933" i="7949"/>
  <c r="P1712" i="7950"/>
  <c r="P1118" i="7950"/>
  <c r="P2473" i="7949"/>
  <c r="V1229" i="7950"/>
  <c r="V1205" i="7950"/>
  <c r="P794" i="7950"/>
  <c r="W1555" i="7950"/>
  <c r="W1531" i="7950"/>
  <c r="P2630" i="7950"/>
  <c r="P2360" i="7950"/>
  <c r="V936" i="7950"/>
  <c r="V960" i="7950"/>
  <c r="P1609" i="7949"/>
  <c r="P1496" i="7950"/>
  <c r="W1963" i="7950"/>
  <c r="W1987" i="7950"/>
  <c r="P1825" i="7949"/>
  <c r="O1717" i="7949"/>
  <c r="W991" i="7950"/>
  <c r="W1015" i="7950"/>
  <c r="U1204" i="7950"/>
  <c r="U1228" i="7950"/>
  <c r="O43" i="7949"/>
  <c r="V2147" i="7950"/>
  <c r="V2123" i="7950"/>
  <c r="T93" i="7950"/>
  <c r="V1823" i="7950"/>
  <c r="V1799" i="7950"/>
  <c r="V1121" i="7950"/>
  <c r="V1097" i="7950"/>
  <c r="V1068" i="7950"/>
  <c r="V1044" i="7950"/>
  <c r="V2634" i="7950"/>
  <c r="V2610" i="7950"/>
  <c r="P686" i="7950"/>
  <c r="P1015" i="7949"/>
  <c r="W2179" i="7950"/>
  <c r="W2203" i="7950"/>
  <c r="V366" i="7950"/>
  <c r="T2145" i="7950"/>
  <c r="T2121" i="7950"/>
  <c r="P2041" i="7949"/>
  <c r="V312" i="7950"/>
  <c r="W2041" i="7950"/>
  <c r="W2017" i="7950"/>
  <c r="P1874" i="7950"/>
  <c r="V2309" i="7950"/>
  <c r="V2285" i="7950"/>
  <c r="V1608" i="7950"/>
  <c r="V1584" i="7950"/>
  <c r="U2092" i="7950"/>
  <c r="U2068" i="7950"/>
  <c r="Q2576" i="7950"/>
  <c r="O475" i="7949"/>
  <c r="P1177" i="7949"/>
  <c r="P529" i="7949"/>
  <c r="U742" i="7950"/>
  <c r="U718" i="7950"/>
  <c r="P2635" i="7949"/>
  <c r="Q2198" i="7950"/>
  <c r="W1855" i="7950"/>
  <c r="W1879" i="7950"/>
  <c r="V1283" i="7950"/>
  <c r="V1259" i="7950"/>
  <c r="U772" i="7950"/>
  <c r="U796" i="7950"/>
  <c r="V1499" i="7950"/>
  <c r="V1475" i="7950"/>
  <c r="E1580" i="7950"/>
  <c r="T1797" i="7950"/>
  <c r="T1821" i="7950"/>
  <c r="W1447" i="7950"/>
  <c r="W1423" i="7950"/>
  <c r="W150" i="7950"/>
  <c r="V1824" i="7950"/>
  <c r="V1800" i="7950"/>
  <c r="F1796" i="7950" l="1"/>
  <c r="F1842" i="7950" s="1"/>
  <c r="F2336" i="7950"/>
  <c r="G2336" i="7950" s="1"/>
  <c r="F2606" i="7950"/>
  <c r="F2652" i="7950" s="1"/>
  <c r="F1472" i="7950"/>
  <c r="G1472" i="7950" s="1"/>
  <c r="F2012" i="7950"/>
  <c r="G2012" i="7950" s="1"/>
  <c r="F2660" i="7950"/>
  <c r="F2706" i="7950" s="1"/>
  <c r="F1850" i="7950"/>
  <c r="F1896" i="7950" s="1"/>
  <c r="F608" i="7950"/>
  <c r="F654" i="7950" s="1"/>
  <c r="F1526" i="7950"/>
  <c r="G1526" i="7950" s="1"/>
  <c r="E991" i="7949"/>
  <c r="E1037" i="7949" s="1"/>
  <c r="F392" i="7950"/>
  <c r="F438" i="7950" s="1"/>
  <c r="F2444" i="7950"/>
  <c r="F2490" i="7950" s="1"/>
  <c r="F1148" i="7950"/>
  <c r="F1194" i="7950" s="1"/>
  <c r="E1099" i="7949"/>
  <c r="E1145" i="7949" s="1"/>
  <c r="F883" i="7949"/>
  <c r="F929" i="7949" s="1"/>
  <c r="F1634" i="7950"/>
  <c r="F1680" i="7950" s="1"/>
  <c r="F1369" i="7949"/>
  <c r="E2166" i="7950"/>
  <c r="F878" i="7950"/>
  <c r="F924" i="7950" s="1"/>
  <c r="F1742" i="7950"/>
  <c r="F1788" i="7950" s="1"/>
  <c r="F932" i="7950"/>
  <c r="F978" i="7950" s="1"/>
  <c r="E2017" i="7949"/>
  <c r="F2017" i="7949" s="1"/>
  <c r="E2233" i="7949"/>
  <c r="E2279" i="7949" s="1"/>
  <c r="E1909" i="7949"/>
  <c r="E451" i="7949"/>
  <c r="E497" i="7949" s="1"/>
  <c r="E1423" i="7949"/>
  <c r="E1469" i="7949" s="1"/>
  <c r="E2395" i="7949"/>
  <c r="E2441" i="7949" s="1"/>
  <c r="E1045" i="7949"/>
  <c r="E1091" i="7949" s="1"/>
  <c r="E2341" i="7949"/>
  <c r="E2387" i="7949" s="1"/>
  <c r="E937" i="7949"/>
  <c r="E983" i="7949" s="1"/>
  <c r="E1693" i="7949"/>
  <c r="E2503" i="7949"/>
  <c r="E2549" i="7949" s="1"/>
  <c r="E2071" i="7949"/>
  <c r="E2117" i="7949" s="1"/>
  <c r="E2665" i="7949"/>
  <c r="E2711" i="7949" s="1"/>
  <c r="E1639" i="7949"/>
  <c r="E1685" i="7949" s="1"/>
  <c r="E775" i="7949"/>
  <c r="E821" i="7949" s="1"/>
  <c r="E667" i="7949"/>
  <c r="E1734" i="7950"/>
  <c r="F1688" i="7950"/>
  <c r="E721" i="7949"/>
  <c r="E767" i="7949" s="1"/>
  <c r="E2179" i="7949"/>
  <c r="F2179" i="7949" s="1"/>
  <c r="E1477" i="7949"/>
  <c r="E1523" i="7949" s="1"/>
  <c r="E2436" i="7950"/>
  <c r="F2390" i="7950"/>
  <c r="E2274" i="7950"/>
  <c r="F2228" i="7950"/>
  <c r="W1499" i="7950"/>
  <c r="W1475" i="7950"/>
  <c r="Q2635" i="7949"/>
  <c r="Q529" i="7949"/>
  <c r="P475" i="7949"/>
  <c r="V2092" i="7950"/>
  <c r="V2068" i="7950"/>
  <c r="W2309" i="7950"/>
  <c r="W2285" i="7950"/>
  <c r="Q2041" i="7949"/>
  <c r="W366" i="7950"/>
  <c r="Q1015" i="7949"/>
  <c r="W2634" i="7950"/>
  <c r="W2610" i="7950"/>
  <c r="W1097" i="7950"/>
  <c r="W1121" i="7950"/>
  <c r="P43" i="7949"/>
  <c r="Q1825" i="7949"/>
  <c r="Q1496" i="7950"/>
  <c r="Q2630" i="7950"/>
  <c r="Q794" i="7950"/>
  <c r="Q2473" i="7949"/>
  <c r="Q1712" i="7950"/>
  <c r="Q421" i="7949"/>
  <c r="Q2306" i="7950"/>
  <c r="W1391" i="7950"/>
  <c r="W1367" i="7950"/>
  <c r="E546" i="7950"/>
  <c r="F500" i="7950"/>
  <c r="V2470" i="7950"/>
  <c r="V2446" i="7950"/>
  <c r="W2448" i="7950"/>
  <c r="W2472" i="7950"/>
  <c r="E2004" i="7950"/>
  <c r="F1958" i="7950"/>
  <c r="U2445" i="7950"/>
  <c r="U2469" i="7950"/>
  <c r="E1248" i="7950"/>
  <c r="F1202" i="7950"/>
  <c r="W2579" i="7950"/>
  <c r="W2555" i="7950"/>
  <c r="W827" i="7950"/>
  <c r="W851" i="7950"/>
  <c r="U2523" i="7950"/>
  <c r="U2499" i="7950"/>
  <c r="W636" i="7950"/>
  <c r="W612" i="7950"/>
  <c r="W2525" i="7950"/>
  <c r="W2501" i="7950"/>
  <c r="U525" i="7950"/>
  <c r="U501" i="7950"/>
  <c r="E708" i="7950"/>
  <c r="F662" i="7950"/>
  <c r="V202" i="7950"/>
  <c r="E1464" i="7950"/>
  <c r="F1418" i="7950"/>
  <c r="E1086" i="7950"/>
  <c r="F1040" i="7950"/>
  <c r="W1769" i="7950"/>
  <c r="W1745" i="7950"/>
  <c r="W2471" i="7950"/>
  <c r="W2447" i="7950"/>
  <c r="V2200" i="7950"/>
  <c r="V2176" i="7950"/>
  <c r="V1150" i="7950"/>
  <c r="V1174" i="7950"/>
  <c r="W95" i="7950"/>
  <c r="W97" i="7950"/>
  <c r="T255" i="7950"/>
  <c r="W1476" i="7950"/>
  <c r="W1500" i="7950"/>
  <c r="W1962" i="7950"/>
  <c r="W1986" i="7950"/>
  <c r="W1746" i="7950"/>
  <c r="W1770" i="7950"/>
  <c r="U1389" i="7950"/>
  <c r="U1365" i="7950"/>
  <c r="E1950" i="7950"/>
  <c r="F1904" i="7950"/>
  <c r="R2311" i="7949"/>
  <c r="Q367" i="7949"/>
  <c r="Q1388" i="7950"/>
  <c r="W204" i="7950"/>
  <c r="Q2252" i="7950"/>
  <c r="Q2149" i="7949"/>
  <c r="Q2203" i="7949"/>
  <c r="Q2095" i="7949"/>
  <c r="V688" i="7950"/>
  <c r="V664" i="7950"/>
  <c r="U1443" i="7950"/>
  <c r="U1419" i="7950"/>
  <c r="R637" i="7949"/>
  <c r="Q1123" i="7949"/>
  <c r="P1879" i="7949"/>
  <c r="R2036" i="7950"/>
  <c r="Q1442" i="7950"/>
  <c r="Q2414" i="7950"/>
  <c r="R2257" i="7949"/>
  <c r="V96" i="7950"/>
  <c r="V148" i="7950"/>
  <c r="U1689" i="7950"/>
  <c r="U1713" i="7950"/>
  <c r="F2166" i="7950"/>
  <c r="G2120" i="7950"/>
  <c r="U2685" i="7950"/>
  <c r="U2661" i="7950"/>
  <c r="W2394" i="7950"/>
  <c r="W2418" i="7950"/>
  <c r="W1716" i="7950"/>
  <c r="W1692" i="7950"/>
  <c r="E1531" i="7949"/>
  <c r="D1577" i="7949"/>
  <c r="V257" i="7950"/>
  <c r="E1032" i="7950"/>
  <c r="F986" i="7950"/>
  <c r="W1715" i="7950"/>
  <c r="W1691" i="7950"/>
  <c r="W1985" i="7950"/>
  <c r="W1961" i="7950"/>
  <c r="U417" i="7950"/>
  <c r="U393" i="7950"/>
  <c r="V258" i="7950"/>
  <c r="W959" i="7950"/>
  <c r="W935" i="7950"/>
  <c r="V1474" i="7950"/>
  <c r="V1498" i="7950"/>
  <c r="W396" i="7950"/>
  <c r="W420" i="7950"/>
  <c r="E2112" i="7950"/>
  <c r="F2066" i="7950"/>
  <c r="E870" i="7950"/>
  <c r="F824" i="7950"/>
  <c r="W2255" i="7950"/>
  <c r="W2231" i="7950"/>
  <c r="Q1172" i="7950"/>
  <c r="R1658" i="7950"/>
  <c r="P799" i="7949"/>
  <c r="Q1766" i="7950"/>
  <c r="Q578" i="7950"/>
  <c r="U201" i="7950"/>
  <c r="U2091" i="7950"/>
  <c r="U2067" i="7950"/>
  <c r="Q1555" i="7949"/>
  <c r="Q2419" i="7949"/>
  <c r="Q1604" i="7950"/>
  <c r="Q956" i="7950"/>
  <c r="V1606" i="7950"/>
  <c r="V1582" i="7950"/>
  <c r="Q907" i="7949"/>
  <c r="Q2527" i="7949"/>
  <c r="W1661" i="7950"/>
  <c r="W1637" i="7950"/>
  <c r="V1228" i="7950"/>
  <c r="V1204" i="7950"/>
  <c r="E1140" i="7950"/>
  <c r="F1094" i="7950"/>
  <c r="E1356" i="7950"/>
  <c r="F1310" i="7950"/>
  <c r="W527" i="7950"/>
  <c r="W503" i="7950"/>
  <c r="V2338" i="7950"/>
  <c r="V2362" i="7950"/>
  <c r="E816" i="7950"/>
  <c r="F770" i="7950"/>
  <c r="U2199" i="7950"/>
  <c r="U2175" i="7950"/>
  <c r="W582" i="7950"/>
  <c r="W558" i="7950"/>
  <c r="W2310" i="7950"/>
  <c r="W2286" i="7950"/>
  <c r="E2611" i="7949"/>
  <c r="E1801" i="7949"/>
  <c r="E2287" i="7949"/>
  <c r="W1230" i="7950"/>
  <c r="W1206" i="7950"/>
  <c r="V1420" i="7950"/>
  <c r="V1444" i="7950"/>
  <c r="V2524" i="7950"/>
  <c r="V2500" i="7950"/>
  <c r="W2687" i="7950"/>
  <c r="W2663" i="7950"/>
  <c r="V1012" i="7950"/>
  <c r="V988" i="7950"/>
  <c r="V1960" i="7950"/>
  <c r="V1984" i="7950"/>
  <c r="W2148" i="7950"/>
  <c r="W2124" i="7950"/>
  <c r="V1822" i="7950"/>
  <c r="V1798" i="7950"/>
  <c r="V610" i="7950"/>
  <c r="V634" i="7950"/>
  <c r="W311" i="7950"/>
  <c r="W450" i="7950"/>
  <c r="W474" i="7950"/>
  <c r="P2365" i="7949"/>
  <c r="Q1982" i="7950"/>
  <c r="V2632" i="7950"/>
  <c r="V2608" i="7950"/>
  <c r="R1928" i="7950"/>
  <c r="Q853" i="7949"/>
  <c r="U1257" i="7950"/>
  <c r="U1281" i="7950"/>
  <c r="W1067" i="7950"/>
  <c r="W1043" i="7950"/>
  <c r="W744" i="7950"/>
  <c r="W720" i="7950"/>
  <c r="U2415" i="7950"/>
  <c r="U2391" i="7950"/>
  <c r="W2633" i="7950"/>
  <c r="W2609" i="7950"/>
  <c r="R2090" i="7950"/>
  <c r="Q524" i="7950"/>
  <c r="W2364" i="7950"/>
  <c r="W2340" i="7950"/>
  <c r="V1366" i="7950"/>
  <c r="V1390" i="7950"/>
  <c r="E2449" i="7949"/>
  <c r="E2125" i="7949"/>
  <c r="E1855" i="7949"/>
  <c r="E505" i="7949"/>
  <c r="V2416" i="7950"/>
  <c r="V2392" i="7950"/>
  <c r="W1908" i="7950"/>
  <c r="W1932" i="7950"/>
  <c r="U1659" i="7950"/>
  <c r="U1635" i="7950"/>
  <c r="V526" i="7950"/>
  <c r="V502" i="7950"/>
  <c r="W2256" i="7950"/>
  <c r="W2232" i="7950"/>
  <c r="E1410" i="7950"/>
  <c r="F1364" i="7950"/>
  <c r="W259" i="7950"/>
  <c r="W1445" i="7950"/>
  <c r="W1421" i="7950"/>
  <c r="U2553" i="7950"/>
  <c r="U2577" i="7950"/>
  <c r="V2686" i="7950"/>
  <c r="V2662" i="7950"/>
  <c r="E1315" i="7949"/>
  <c r="W1284" i="7950"/>
  <c r="W1260" i="7950"/>
  <c r="E2328" i="7950"/>
  <c r="F2282" i="7950"/>
  <c r="E600" i="7950"/>
  <c r="F554" i="7950"/>
  <c r="V364" i="7950"/>
  <c r="W1098" i="7950"/>
  <c r="W1122" i="7950"/>
  <c r="U2307" i="7950"/>
  <c r="U2283" i="7950"/>
  <c r="V1528" i="7950"/>
  <c r="V1552" i="7950"/>
  <c r="U1959" i="7950"/>
  <c r="U1983" i="7950"/>
  <c r="W94" i="7950"/>
  <c r="W419" i="7950"/>
  <c r="W395" i="7950"/>
  <c r="V1930" i="7950"/>
  <c r="V1906" i="7950"/>
  <c r="W1878" i="7950"/>
  <c r="W1854" i="7950"/>
  <c r="W1014" i="7950"/>
  <c r="W990" i="7950"/>
  <c r="U309" i="7950"/>
  <c r="W1800" i="7950"/>
  <c r="W1824" i="7950"/>
  <c r="E1626" i="7950"/>
  <c r="F1580" i="7950"/>
  <c r="W1283" i="7950"/>
  <c r="W1259" i="7950"/>
  <c r="R2198" i="7950"/>
  <c r="V718" i="7950"/>
  <c r="V742" i="7950"/>
  <c r="Q1177" i="7949"/>
  <c r="R2576" i="7950"/>
  <c r="W1608" i="7950"/>
  <c r="W1584" i="7950"/>
  <c r="Q1874" i="7950"/>
  <c r="W312" i="7950"/>
  <c r="U2145" i="7950"/>
  <c r="U2121" i="7950"/>
  <c r="Q686" i="7950"/>
  <c r="W1068" i="7950"/>
  <c r="W1044" i="7950"/>
  <c r="W1823" i="7950"/>
  <c r="W1799" i="7950"/>
  <c r="W2147" i="7950"/>
  <c r="W2123" i="7950"/>
  <c r="P1717" i="7949"/>
  <c r="Q1609" i="7949"/>
  <c r="Q2360" i="7950"/>
  <c r="W1229" i="7950"/>
  <c r="W1205" i="7950"/>
  <c r="Q1118" i="7950"/>
  <c r="Q1933" i="7949"/>
  <c r="S1010" i="7950"/>
  <c r="U2253" i="7950"/>
  <c r="U2229" i="7950"/>
  <c r="U1011" i="7950"/>
  <c r="U987" i="7950"/>
  <c r="U957" i="7950"/>
  <c r="U933" i="7950"/>
  <c r="W528" i="7950"/>
  <c r="W504" i="7950"/>
  <c r="V1768" i="7950"/>
  <c r="V1744" i="7950"/>
  <c r="E2544" i="7950"/>
  <c r="F2498" i="7950"/>
  <c r="E1302" i="7950"/>
  <c r="F1256" i="7950"/>
  <c r="E605" i="7949"/>
  <c r="F559" i="7949"/>
  <c r="U1095" i="7950"/>
  <c r="U1119" i="7950"/>
  <c r="W203" i="7950"/>
  <c r="W1877" i="7950"/>
  <c r="W1853" i="7950"/>
  <c r="W1368" i="7950"/>
  <c r="W1392" i="7950"/>
  <c r="V2578" i="7950"/>
  <c r="V2554" i="7950"/>
  <c r="U256" i="7950"/>
  <c r="U1929" i="7950"/>
  <c r="U1905" i="7950"/>
  <c r="W2688" i="7950"/>
  <c r="W2664" i="7950"/>
  <c r="W149" i="7950"/>
  <c r="W2556" i="7950"/>
  <c r="W2580" i="7950"/>
  <c r="U879" i="7950"/>
  <c r="U903" i="7950"/>
  <c r="W2417" i="7950"/>
  <c r="W2393" i="7950"/>
  <c r="W1607" i="7950"/>
  <c r="W1583" i="7950"/>
  <c r="W365" i="7950"/>
  <c r="R2684" i="7950"/>
  <c r="U2631" i="7950"/>
  <c r="U2607" i="7950"/>
  <c r="R961" i="7949"/>
  <c r="Q1987" i="7949"/>
  <c r="Q1501" i="7949"/>
  <c r="W2039" i="7950"/>
  <c r="W2015" i="7950"/>
  <c r="V2254" i="7950"/>
  <c r="V2230" i="7950"/>
  <c r="U741" i="7950"/>
  <c r="U717" i="7950"/>
  <c r="R1226" i="7950"/>
  <c r="Q1339" i="7949"/>
  <c r="R2144" i="7950"/>
  <c r="P691" i="7949"/>
  <c r="W1662" i="7950"/>
  <c r="W1638" i="7950"/>
  <c r="Q1285" i="7949"/>
  <c r="R1550" i="7950"/>
  <c r="P1393" i="7949"/>
  <c r="U1065" i="7950"/>
  <c r="U1041" i="7950"/>
  <c r="U1473" i="7950"/>
  <c r="U1497" i="7950"/>
  <c r="U1767" i="7950"/>
  <c r="U1743" i="7950"/>
  <c r="W611" i="7950"/>
  <c r="W635" i="7950"/>
  <c r="U1149" i="7950"/>
  <c r="U1173" i="7950"/>
  <c r="U795" i="7950"/>
  <c r="U771" i="7950"/>
  <c r="W690" i="7950"/>
  <c r="W666" i="7950"/>
  <c r="U1203" i="7950"/>
  <c r="U1227" i="7950"/>
  <c r="W1175" i="7950"/>
  <c r="W1151" i="7950"/>
  <c r="U633" i="7950"/>
  <c r="U609" i="7950"/>
  <c r="U2337" i="7950"/>
  <c r="U2361" i="7950"/>
  <c r="W882" i="7950"/>
  <c r="W906" i="7950"/>
  <c r="V2038" i="7950"/>
  <c r="V2014" i="7950"/>
  <c r="U363" i="7950"/>
  <c r="W1152" i="7950"/>
  <c r="W1176" i="7950"/>
  <c r="E2598" i="7950"/>
  <c r="F2552" i="7950"/>
  <c r="Q1064" i="7950"/>
  <c r="R470" i="7950"/>
  <c r="Q1231" i="7949"/>
  <c r="R740" i="7950"/>
  <c r="Q1820" i="7950"/>
  <c r="Q1771" i="7949"/>
  <c r="P2689" i="7949"/>
  <c r="W797" i="7950"/>
  <c r="W773" i="7950"/>
  <c r="Q848" i="7950"/>
  <c r="V850" i="7950"/>
  <c r="V826" i="7950"/>
  <c r="R2468" i="7950"/>
  <c r="W2093" i="7950"/>
  <c r="W2069" i="7950"/>
  <c r="U687" i="7950"/>
  <c r="U663" i="7950"/>
  <c r="Q1280" i="7950"/>
  <c r="R1069" i="7949"/>
  <c r="E2557" i="7949"/>
  <c r="E1747" i="7949"/>
  <c r="U1821" i="7950"/>
  <c r="U1797" i="7950"/>
  <c r="V796" i="7950"/>
  <c r="V772" i="7950"/>
  <c r="U93" i="7950"/>
  <c r="W960" i="7950"/>
  <c r="W936" i="7950"/>
  <c r="W2202" i="7950"/>
  <c r="W2178" i="7950"/>
  <c r="U1605" i="7950"/>
  <c r="U1581" i="7950"/>
  <c r="W1931" i="7950"/>
  <c r="W1907" i="7950"/>
  <c r="V958" i="7950"/>
  <c r="V934" i="7950"/>
  <c r="U579" i="7950"/>
  <c r="U555" i="7950"/>
  <c r="V1636" i="7950"/>
  <c r="V1660" i="7950"/>
  <c r="E1261" i="7949"/>
  <c r="E613" i="7949"/>
  <c r="E1153" i="7949"/>
  <c r="E762" i="7950"/>
  <c r="F716" i="7950"/>
  <c r="V1096" i="7950"/>
  <c r="V1120" i="7950"/>
  <c r="V904" i="7950"/>
  <c r="V880" i="7950"/>
  <c r="V1690" i="7950"/>
  <c r="V1714" i="7950"/>
  <c r="W665" i="7950"/>
  <c r="W689" i="7950"/>
  <c r="U1875" i="7950"/>
  <c r="U1851" i="7950"/>
  <c r="W743" i="7950"/>
  <c r="W719" i="7950"/>
  <c r="Q902" i="7950"/>
  <c r="P2581" i="7949"/>
  <c r="Q1447" i="7949"/>
  <c r="W2016" i="7950"/>
  <c r="W2040" i="7950"/>
  <c r="V418" i="7950"/>
  <c r="V394" i="7950"/>
  <c r="W473" i="7950"/>
  <c r="W449" i="7950"/>
  <c r="V2146" i="7950"/>
  <c r="V2122" i="7950"/>
  <c r="Q2522" i="7950"/>
  <c r="Q745" i="7949"/>
  <c r="Q583" i="7949"/>
  <c r="Q1663" i="7949"/>
  <c r="V472" i="7950"/>
  <c r="V448" i="7950"/>
  <c r="Q416" i="7950"/>
  <c r="R632" i="7950"/>
  <c r="V1042" i="7950"/>
  <c r="V1066" i="7950"/>
  <c r="W1422" i="7950"/>
  <c r="W1446" i="7950"/>
  <c r="E397" i="7949"/>
  <c r="E829" i="7949"/>
  <c r="W2363" i="7950"/>
  <c r="W2339" i="7950"/>
  <c r="W1553" i="7950"/>
  <c r="W1529" i="7950"/>
  <c r="V2284" i="7950"/>
  <c r="V2308" i="7950"/>
  <c r="U471" i="7950"/>
  <c r="U447" i="7950"/>
  <c r="U147" i="7950"/>
  <c r="W774" i="7950"/>
  <c r="W798" i="7950"/>
  <c r="V580" i="7950"/>
  <c r="V556" i="7950"/>
  <c r="F2174" i="7950"/>
  <c r="E2220" i="7950"/>
  <c r="V1282" i="7950"/>
  <c r="V1258" i="7950"/>
  <c r="W2201" i="7950"/>
  <c r="W2177" i="7950"/>
  <c r="W1013" i="7950"/>
  <c r="W989" i="7950"/>
  <c r="W905" i="7950"/>
  <c r="W881" i="7950"/>
  <c r="W852" i="7950"/>
  <c r="W828" i="7950"/>
  <c r="W581" i="7950"/>
  <c r="W557" i="7950"/>
  <c r="W1554" i="7950"/>
  <c r="W1530" i="7950"/>
  <c r="U825" i="7950"/>
  <c r="U849" i="7950"/>
  <c r="E492" i="7950"/>
  <c r="F446" i="7950"/>
  <c r="W2094" i="7950"/>
  <c r="W2070" i="7950"/>
  <c r="V1876" i="7950"/>
  <c r="V1852" i="7950"/>
  <c r="U2013" i="7950"/>
  <c r="U2037" i="7950"/>
  <c r="W2526" i="7950"/>
  <c r="W2502" i="7950"/>
  <c r="U1551" i="7950"/>
  <c r="U1527" i="7950"/>
  <c r="V310" i="7950"/>
  <c r="E1963" i="7949"/>
  <c r="E1207" i="7949"/>
  <c r="E1585" i="7949"/>
  <c r="G1796" i="7950" l="1"/>
  <c r="G1842" i="7950" s="1"/>
  <c r="G2606" i="7950"/>
  <c r="H2606" i="7950" s="1"/>
  <c r="F1518" i="7950"/>
  <c r="F2382" i="7950"/>
  <c r="G1148" i="7950"/>
  <c r="G1194" i="7950" s="1"/>
  <c r="F451" i="7949"/>
  <c r="F497" i="7949" s="1"/>
  <c r="F1572" i="7950"/>
  <c r="G1742" i="7950"/>
  <c r="G1788" i="7950" s="1"/>
  <c r="F2058" i="7950"/>
  <c r="F2071" i="7949"/>
  <c r="F2117" i="7949" s="1"/>
  <c r="G932" i="7950"/>
  <c r="H932" i="7950" s="1"/>
  <c r="E2225" i="7949"/>
  <c r="G2660" i="7950"/>
  <c r="H2660" i="7950" s="1"/>
  <c r="F991" i="7949"/>
  <c r="G991" i="7949" s="1"/>
  <c r="F2341" i="7949"/>
  <c r="F2387" i="7949" s="1"/>
  <c r="F1099" i="7949"/>
  <c r="G1099" i="7949" s="1"/>
  <c r="F937" i="7949"/>
  <c r="F983" i="7949" s="1"/>
  <c r="G392" i="7950"/>
  <c r="H392" i="7950" s="1"/>
  <c r="G1850" i="7950"/>
  <c r="H1850" i="7950" s="1"/>
  <c r="G883" i="7949"/>
  <c r="G929" i="7949" s="1"/>
  <c r="G878" i="7950"/>
  <c r="G924" i="7950" s="1"/>
  <c r="E2063" i="7949"/>
  <c r="F2665" i="7949"/>
  <c r="G2665" i="7949" s="1"/>
  <c r="F1423" i="7949"/>
  <c r="F1469" i="7949" s="1"/>
  <c r="G608" i="7950"/>
  <c r="H608" i="7950" s="1"/>
  <c r="G1634" i="7950"/>
  <c r="G1680" i="7950" s="1"/>
  <c r="G2444" i="7950"/>
  <c r="H2444" i="7950" s="1"/>
  <c r="F1477" i="7949"/>
  <c r="G1477" i="7949" s="1"/>
  <c r="F2395" i="7949"/>
  <c r="G2395" i="7949" s="1"/>
  <c r="F1415" i="7949"/>
  <c r="G1369" i="7949"/>
  <c r="F721" i="7949"/>
  <c r="F767" i="7949" s="1"/>
  <c r="F2233" i="7949"/>
  <c r="G2233" i="7949" s="1"/>
  <c r="F1639" i="7949"/>
  <c r="F1685" i="7949" s="1"/>
  <c r="E1955" i="7949"/>
  <c r="F1909" i="7949"/>
  <c r="E1739" i="7949"/>
  <c r="F1693" i="7949"/>
  <c r="F775" i="7949"/>
  <c r="F821" i="7949" s="1"/>
  <c r="F2503" i="7949"/>
  <c r="F2549" i="7949" s="1"/>
  <c r="F1045" i="7949"/>
  <c r="G1045" i="7949" s="1"/>
  <c r="F2274" i="7950"/>
  <c r="G2228" i="7950"/>
  <c r="F1734" i="7950"/>
  <c r="G1688" i="7950"/>
  <c r="F2436" i="7950"/>
  <c r="G2390" i="7950"/>
  <c r="E713" i="7949"/>
  <c r="F667" i="7949"/>
  <c r="E2009" i="7949"/>
  <c r="F1963" i="7949"/>
  <c r="W310" i="7950"/>
  <c r="W2308" i="7950"/>
  <c r="W2284" i="7950"/>
  <c r="R416" i="7950"/>
  <c r="R1663" i="7949"/>
  <c r="R745" i="7949"/>
  <c r="W2122" i="7950"/>
  <c r="W2146" i="7950"/>
  <c r="W418" i="7950"/>
  <c r="W394" i="7950"/>
  <c r="Q2581" i="7949"/>
  <c r="W904" i="7950"/>
  <c r="W880" i="7950"/>
  <c r="F1261" i="7949"/>
  <c r="E1307" i="7949"/>
  <c r="V93" i="7950"/>
  <c r="E2603" i="7949"/>
  <c r="F2557" i="7949"/>
  <c r="R1280" i="7950"/>
  <c r="V687" i="7950"/>
  <c r="V663" i="7950"/>
  <c r="S2468" i="7950"/>
  <c r="R848" i="7950"/>
  <c r="Q2689" i="7949"/>
  <c r="R1820" i="7950"/>
  <c r="R1231" i="7949"/>
  <c r="R1064" i="7950"/>
  <c r="V633" i="7950"/>
  <c r="V609" i="7950"/>
  <c r="V795" i="7950"/>
  <c r="V771" i="7950"/>
  <c r="Q1393" i="7949"/>
  <c r="R1285" i="7949"/>
  <c r="Q691" i="7949"/>
  <c r="R1339" i="7949"/>
  <c r="V741" i="7950"/>
  <c r="V717" i="7950"/>
  <c r="R1987" i="7949"/>
  <c r="V2631" i="7950"/>
  <c r="V2607" i="7950"/>
  <c r="V1929" i="7950"/>
  <c r="V1905" i="7950"/>
  <c r="W2554" i="7950"/>
  <c r="W2578" i="7950"/>
  <c r="W1768" i="7950"/>
  <c r="W1744" i="7950"/>
  <c r="V957" i="7950"/>
  <c r="V933" i="7950"/>
  <c r="V1011" i="7950"/>
  <c r="V987" i="7950"/>
  <c r="V2253" i="7950"/>
  <c r="V2229" i="7950"/>
  <c r="R1933" i="7949"/>
  <c r="R1609" i="7949"/>
  <c r="V2145" i="7950"/>
  <c r="V2121" i="7950"/>
  <c r="R1874" i="7950"/>
  <c r="S2576" i="7950"/>
  <c r="V309" i="7950"/>
  <c r="V2307" i="7950"/>
  <c r="V2283" i="7950"/>
  <c r="E1361" i="7949"/>
  <c r="F1315" i="7949"/>
  <c r="V1659" i="7950"/>
  <c r="V1635" i="7950"/>
  <c r="W2416" i="7950"/>
  <c r="W2392" i="7950"/>
  <c r="S2090" i="7950"/>
  <c r="R853" i="7949"/>
  <c r="W2608" i="7950"/>
  <c r="W2632" i="7950"/>
  <c r="Q2365" i="7949"/>
  <c r="W1822" i="7950"/>
  <c r="W1798" i="7950"/>
  <c r="F816" i="7950"/>
  <c r="G770" i="7950"/>
  <c r="W2338" i="7950"/>
  <c r="W2362" i="7950"/>
  <c r="F1140" i="7950"/>
  <c r="G1094" i="7950"/>
  <c r="G2066" i="7950"/>
  <c r="F2112" i="7950"/>
  <c r="W1474" i="7950"/>
  <c r="W1498" i="7950"/>
  <c r="W258" i="7950"/>
  <c r="F1032" i="7950"/>
  <c r="G986" i="7950"/>
  <c r="V1713" i="7950"/>
  <c r="V1689" i="7950"/>
  <c r="W1174" i="7950"/>
  <c r="W1150" i="7950"/>
  <c r="F1086" i="7950"/>
  <c r="G1040" i="7950"/>
  <c r="V2469" i="7950"/>
  <c r="V2445" i="7950"/>
  <c r="F546" i="7950"/>
  <c r="G500" i="7950"/>
  <c r="Q43" i="7949"/>
  <c r="E1253" i="7949"/>
  <c r="F1207" i="7949"/>
  <c r="F492" i="7950"/>
  <c r="G446" i="7950"/>
  <c r="F2220" i="7950"/>
  <c r="G2174" i="7950"/>
  <c r="V147" i="7950"/>
  <c r="F829" i="7949"/>
  <c r="E875" i="7949"/>
  <c r="W1714" i="7950"/>
  <c r="W1690" i="7950"/>
  <c r="W1096" i="7950"/>
  <c r="W1120" i="7950"/>
  <c r="F1153" i="7949"/>
  <c r="E1199" i="7949"/>
  <c r="V555" i="7950"/>
  <c r="V579" i="7950"/>
  <c r="V1797" i="7950"/>
  <c r="V1821" i="7950"/>
  <c r="V2361" i="7950"/>
  <c r="V2337" i="7950"/>
  <c r="G1518" i="7950"/>
  <c r="H1472" i="7950"/>
  <c r="V1173" i="7950"/>
  <c r="V1149" i="7950"/>
  <c r="G559" i="7949"/>
  <c r="F605" i="7949"/>
  <c r="F2544" i="7950"/>
  <c r="G2498" i="7950"/>
  <c r="W1552" i="7950"/>
  <c r="W1528" i="7950"/>
  <c r="F600" i="7950"/>
  <c r="G554" i="7950"/>
  <c r="F1410" i="7950"/>
  <c r="G1364" i="7950"/>
  <c r="E2171" i="7949"/>
  <c r="F2125" i="7949"/>
  <c r="V1257" i="7950"/>
  <c r="V1281" i="7950"/>
  <c r="W634" i="7950"/>
  <c r="W610" i="7950"/>
  <c r="F2287" i="7949"/>
  <c r="E2333" i="7949"/>
  <c r="E2657" i="7949"/>
  <c r="F2611" i="7949"/>
  <c r="R2527" i="7949"/>
  <c r="W1582" i="7950"/>
  <c r="W1606" i="7950"/>
  <c r="R2419" i="7949"/>
  <c r="V201" i="7950"/>
  <c r="R1766" i="7950"/>
  <c r="S1658" i="7950"/>
  <c r="W257" i="7950"/>
  <c r="V2685" i="7950"/>
  <c r="V2661" i="7950"/>
  <c r="S2257" i="7949"/>
  <c r="R2414" i="7950"/>
  <c r="S2036" i="7950"/>
  <c r="R1123" i="7949"/>
  <c r="V1443" i="7950"/>
  <c r="V1419" i="7950"/>
  <c r="R2095" i="7949"/>
  <c r="R2149" i="7949"/>
  <c r="R1388" i="7950"/>
  <c r="S2311" i="7949"/>
  <c r="W202" i="7950"/>
  <c r="F2063" i="7949"/>
  <c r="G2017" i="7949"/>
  <c r="V2523" i="7950"/>
  <c r="V2499" i="7950"/>
  <c r="R2306" i="7950"/>
  <c r="R1712" i="7950"/>
  <c r="R794" i="7950"/>
  <c r="R1496" i="7950"/>
  <c r="Q475" i="7949"/>
  <c r="R2635" i="7949"/>
  <c r="E1631" i="7949"/>
  <c r="F1585" i="7949"/>
  <c r="V1551" i="7950"/>
  <c r="V1527" i="7950"/>
  <c r="W1876" i="7950"/>
  <c r="W1852" i="7950"/>
  <c r="S632" i="7950"/>
  <c r="W472" i="7950"/>
  <c r="W448" i="7950"/>
  <c r="R583" i="7949"/>
  <c r="R2522" i="7950"/>
  <c r="R1447" i="7949"/>
  <c r="R902" i="7950"/>
  <c r="V1875" i="7950"/>
  <c r="V1851" i="7950"/>
  <c r="E659" i="7949"/>
  <c r="F613" i="7949"/>
  <c r="W1660" i="7950"/>
  <c r="W1636" i="7950"/>
  <c r="S1069" i="7949"/>
  <c r="W826" i="7950"/>
  <c r="W850" i="7950"/>
  <c r="R1771" i="7949"/>
  <c r="S740" i="7950"/>
  <c r="S470" i="7950"/>
  <c r="W2014" i="7950"/>
  <c r="W2038" i="7950"/>
  <c r="V1767" i="7950"/>
  <c r="V1743" i="7950"/>
  <c r="V1065" i="7950"/>
  <c r="V1041" i="7950"/>
  <c r="S1550" i="7950"/>
  <c r="S2144" i="7950"/>
  <c r="S1226" i="7950"/>
  <c r="W2230" i="7950"/>
  <c r="W2254" i="7950"/>
  <c r="R1501" i="7949"/>
  <c r="S961" i="7949"/>
  <c r="S2684" i="7950"/>
  <c r="F2225" i="7949"/>
  <c r="G2179" i="7949"/>
  <c r="V256" i="7950"/>
  <c r="G2058" i="7950"/>
  <c r="H2012" i="7950"/>
  <c r="T1010" i="7950"/>
  <c r="R1118" i="7950"/>
  <c r="R2360" i="7950"/>
  <c r="Q1717" i="7949"/>
  <c r="R686" i="7950"/>
  <c r="R1177" i="7949"/>
  <c r="S2198" i="7950"/>
  <c r="W1930" i="7950"/>
  <c r="W1906" i="7950"/>
  <c r="W2662" i="7950"/>
  <c r="W2686" i="7950"/>
  <c r="W526" i="7950"/>
  <c r="W502" i="7950"/>
  <c r="F505" i="7949"/>
  <c r="E551" i="7949"/>
  <c r="E2495" i="7949"/>
  <c r="F2449" i="7949"/>
  <c r="R524" i="7950"/>
  <c r="V2415" i="7950"/>
  <c r="V2391" i="7950"/>
  <c r="S1928" i="7950"/>
  <c r="R1982" i="7950"/>
  <c r="W1012" i="7950"/>
  <c r="W988" i="7950"/>
  <c r="W2524" i="7950"/>
  <c r="W2500" i="7950"/>
  <c r="F1356" i="7950"/>
  <c r="G1310" i="7950"/>
  <c r="F870" i="7950"/>
  <c r="G824" i="7950"/>
  <c r="G2166" i="7950"/>
  <c r="H2120" i="7950"/>
  <c r="W96" i="7950"/>
  <c r="F1950" i="7950"/>
  <c r="G1904" i="7950"/>
  <c r="F1464" i="7950"/>
  <c r="G1418" i="7950"/>
  <c r="F708" i="7950"/>
  <c r="G662" i="7950"/>
  <c r="F1248" i="7950"/>
  <c r="G1202" i="7950"/>
  <c r="F2004" i="7950"/>
  <c r="G1958" i="7950"/>
  <c r="V2037" i="7950"/>
  <c r="V2013" i="7950"/>
  <c r="V825" i="7950"/>
  <c r="V849" i="7950"/>
  <c r="W1258" i="7950"/>
  <c r="W1282" i="7950"/>
  <c r="W580" i="7950"/>
  <c r="W556" i="7950"/>
  <c r="V471" i="7950"/>
  <c r="V447" i="7950"/>
  <c r="E443" i="7949"/>
  <c r="F397" i="7949"/>
  <c r="W1066" i="7950"/>
  <c r="W1042" i="7950"/>
  <c r="G2382" i="7950"/>
  <c r="H2336" i="7950"/>
  <c r="F762" i="7950"/>
  <c r="G716" i="7950"/>
  <c r="W958" i="7950"/>
  <c r="W934" i="7950"/>
  <c r="V1605" i="7950"/>
  <c r="V1581" i="7950"/>
  <c r="W772" i="7950"/>
  <c r="W796" i="7950"/>
  <c r="F1747" i="7949"/>
  <c r="E1793" i="7949"/>
  <c r="G2552" i="7950"/>
  <c r="F2598" i="7950"/>
  <c r="V363" i="7950"/>
  <c r="G1572" i="7950"/>
  <c r="H1526" i="7950"/>
  <c r="V1227" i="7950"/>
  <c r="V1203" i="7950"/>
  <c r="V1497" i="7950"/>
  <c r="V1473" i="7950"/>
  <c r="V903" i="7950"/>
  <c r="V879" i="7950"/>
  <c r="V1119" i="7950"/>
  <c r="V1095" i="7950"/>
  <c r="F1302" i="7950"/>
  <c r="G1256" i="7950"/>
  <c r="W742" i="7950"/>
  <c r="W718" i="7950"/>
  <c r="F1626" i="7950"/>
  <c r="G1580" i="7950"/>
  <c r="V1959" i="7950"/>
  <c r="V1983" i="7950"/>
  <c r="W364" i="7950"/>
  <c r="F2328" i="7950"/>
  <c r="G2282" i="7950"/>
  <c r="V2577" i="7950"/>
  <c r="V2553" i="7950"/>
  <c r="E1901" i="7949"/>
  <c r="F1855" i="7949"/>
  <c r="W1390" i="7950"/>
  <c r="W1366" i="7950"/>
  <c r="W1960" i="7950"/>
  <c r="W1984" i="7950"/>
  <c r="W1444" i="7950"/>
  <c r="W1420" i="7950"/>
  <c r="F1801" i="7949"/>
  <c r="E1847" i="7949"/>
  <c r="V2199" i="7950"/>
  <c r="V2175" i="7950"/>
  <c r="W1204" i="7950"/>
  <c r="W1228" i="7950"/>
  <c r="R907" i="7949"/>
  <c r="R956" i="7950"/>
  <c r="R1604" i="7950"/>
  <c r="R1555" i="7949"/>
  <c r="V2091" i="7950"/>
  <c r="V2067" i="7950"/>
  <c r="R578" i="7950"/>
  <c r="Q799" i="7949"/>
  <c r="R1172" i="7950"/>
  <c r="V417" i="7950"/>
  <c r="V393" i="7950"/>
  <c r="E1577" i="7949"/>
  <c r="F1531" i="7949"/>
  <c r="W148" i="7950"/>
  <c r="R1442" i="7950"/>
  <c r="Q1879" i="7949"/>
  <c r="S637" i="7949"/>
  <c r="W688" i="7950"/>
  <c r="W664" i="7950"/>
  <c r="R2203" i="7949"/>
  <c r="R2252" i="7950"/>
  <c r="R367" i="7949"/>
  <c r="V1389" i="7950"/>
  <c r="V1365" i="7950"/>
  <c r="U255" i="7950"/>
  <c r="W2200" i="7950"/>
  <c r="W2176" i="7950"/>
  <c r="V525" i="7950"/>
  <c r="V501" i="7950"/>
  <c r="W2446" i="7950"/>
  <c r="W2470" i="7950"/>
  <c r="R421" i="7949"/>
  <c r="R2473" i="7949"/>
  <c r="R2630" i="7950"/>
  <c r="R1825" i="7949"/>
  <c r="R1015" i="7949"/>
  <c r="R2041" i="7949"/>
  <c r="W2092" i="7950"/>
  <c r="W2068" i="7950"/>
  <c r="R529" i="7949"/>
  <c r="H1796" i="7950" l="1"/>
  <c r="H1842" i="7950" s="1"/>
  <c r="G2652" i="7950"/>
  <c r="G937" i="7949"/>
  <c r="H937" i="7949" s="1"/>
  <c r="G2706" i="7950"/>
  <c r="G2503" i="7949"/>
  <c r="G2549" i="7949" s="1"/>
  <c r="G451" i="7949"/>
  <c r="G497" i="7949" s="1"/>
  <c r="G2071" i="7949"/>
  <c r="G2117" i="7949" s="1"/>
  <c r="H1148" i="7950"/>
  <c r="H1194" i="7950" s="1"/>
  <c r="G1423" i="7949"/>
  <c r="H1423" i="7949" s="1"/>
  <c r="G978" i="7950"/>
  <c r="G2341" i="7949"/>
  <c r="H2341" i="7949" s="1"/>
  <c r="H1742" i="7950"/>
  <c r="H1788" i="7950" s="1"/>
  <c r="F1145" i="7949"/>
  <c r="F1037" i="7949"/>
  <c r="H878" i="7950"/>
  <c r="H924" i="7950" s="1"/>
  <c r="G438" i="7950"/>
  <c r="G654" i="7950"/>
  <c r="F2711" i="7949"/>
  <c r="H883" i="7949"/>
  <c r="I883" i="7949" s="1"/>
  <c r="G2490" i="7950"/>
  <c r="G1896" i="7950"/>
  <c r="H1634" i="7950"/>
  <c r="H1680" i="7950" s="1"/>
  <c r="F2279" i="7949"/>
  <c r="F2441" i="7949"/>
  <c r="F1091" i="7949"/>
  <c r="G1639" i="7949"/>
  <c r="G1685" i="7949" s="1"/>
  <c r="F1523" i="7949"/>
  <c r="G721" i="7949"/>
  <c r="H721" i="7949" s="1"/>
  <c r="G1415" i="7949"/>
  <c r="H1369" i="7949"/>
  <c r="G775" i="7949"/>
  <c r="G821" i="7949" s="1"/>
  <c r="F1955" i="7949"/>
  <c r="G1909" i="7949"/>
  <c r="F1739" i="7949"/>
  <c r="G1693" i="7949"/>
  <c r="F713" i="7949"/>
  <c r="G667" i="7949"/>
  <c r="G1734" i="7950"/>
  <c r="H1688" i="7950"/>
  <c r="H2390" i="7950"/>
  <c r="G2436" i="7950"/>
  <c r="G2274" i="7950"/>
  <c r="H2228" i="7950"/>
  <c r="F1577" i="7949"/>
  <c r="G1531" i="7949"/>
  <c r="G2328" i="7950"/>
  <c r="H2282" i="7950"/>
  <c r="W1959" i="7950"/>
  <c r="W1983" i="7950"/>
  <c r="G1626" i="7950"/>
  <c r="H1580" i="7950"/>
  <c r="G1302" i="7950"/>
  <c r="H1256" i="7950"/>
  <c r="H978" i="7950"/>
  <c r="I932" i="7950"/>
  <c r="H1572" i="7950"/>
  <c r="I1526" i="7950"/>
  <c r="W363" i="7950"/>
  <c r="H716" i="7950"/>
  <c r="G762" i="7950"/>
  <c r="W849" i="7950"/>
  <c r="W825" i="7950"/>
  <c r="G1037" i="7949"/>
  <c r="H991" i="7949"/>
  <c r="G1248" i="7950"/>
  <c r="H1202" i="7950"/>
  <c r="G1464" i="7950"/>
  <c r="H1418" i="7950"/>
  <c r="G1356" i="7950"/>
  <c r="H1310" i="7950"/>
  <c r="G2449" i="7949"/>
  <c r="F2495" i="7949"/>
  <c r="H2058" i="7950"/>
  <c r="I2012" i="7950"/>
  <c r="G2225" i="7949"/>
  <c r="H2179" i="7949"/>
  <c r="G2441" i="7949"/>
  <c r="H2395" i="7949"/>
  <c r="H2233" i="7949"/>
  <c r="G2279" i="7949"/>
  <c r="F1631" i="7949"/>
  <c r="G1585" i="7949"/>
  <c r="G2063" i="7949"/>
  <c r="H2017" i="7949"/>
  <c r="G1145" i="7949"/>
  <c r="H1099" i="7949"/>
  <c r="G2611" i="7949"/>
  <c r="F2657" i="7949"/>
  <c r="G2125" i="7949"/>
  <c r="F2171" i="7949"/>
  <c r="G1410" i="7950"/>
  <c r="H1364" i="7950"/>
  <c r="H654" i="7950"/>
  <c r="I608" i="7950"/>
  <c r="G2544" i="7950"/>
  <c r="H2498" i="7950"/>
  <c r="H1518" i="7950"/>
  <c r="I1472" i="7950"/>
  <c r="W1821" i="7950"/>
  <c r="W1797" i="7950"/>
  <c r="G1140" i="7950"/>
  <c r="H1094" i="7950"/>
  <c r="F2603" i="7949"/>
  <c r="G2557" i="7949"/>
  <c r="H2490" i="7950"/>
  <c r="I2444" i="7950"/>
  <c r="F2009" i="7949"/>
  <c r="G1963" i="7949"/>
  <c r="S1015" i="7949"/>
  <c r="S2630" i="7950"/>
  <c r="S421" i="7949"/>
  <c r="W525" i="7950"/>
  <c r="W501" i="7950"/>
  <c r="V255" i="7950"/>
  <c r="S367" i="7949"/>
  <c r="S2252" i="7950"/>
  <c r="R1879" i="7949"/>
  <c r="S1172" i="7950"/>
  <c r="S578" i="7950"/>
  <c r="S1555" i="7949"/>
  <c r="S956" i="7950"/>
  <c r="F1847" i="7949"/>
  <c r="G1801" i="7949"/>
  <c r="W2577" i="7950"/>
  <c r="W2553" i="7950"/>
  <c r="W903" i="7950"/>
  <c r="W879" i="7950"/>
  <c r="G2598" i="7950"/>
  <c r="H2552" i="7950"/>
  <c r="T1928" i="7950"/>
  <c r="S1177" i="7949"/>
  <c r="R1717" i="7949"/>
  <c r="S1118" i="7950"/>
  <c r="T961" i="7949"/>
  <c r="T2144" i="7950"/>
  <c r="W1041" i="7950"/>
  <c r="W1065" i="7950"/>
  <c r="T470" i="7950"/>
  <c r="S1771" i="7949"/>
  <c r="W1851" i="7950"/>
  <c r="W1875" i="7950"/>
  <c r="S1447" i="7949"/>
  <c r="S2522" i="7950"/>
  <c r="R475" i="7949"/>
  <c r="S794" i="7950"/>
  <c r="S2306" i="7950"/>
  <c r="S1388" i="7950"/>
  <c r="S2095" i="7949"/>
  <c r="S1123" i="7949"/>
  <c r="S2414" i="7950"/>
  <c r="W2685" i="7950"/>
  <c r="W2661" i="7950"/>
  <c r="T1658" i="7950"/>
  <c r="W201" i="7950"/>
  <c r="S2419" i="7949"/>
  <c r="W147" i="7950"/>
  <c r="R43" i="7949"/>
  <c r="W2469" i="7950"/>
  <c r="W2445" i="7950"/>
  <c r="W1713" i="7950"/>
  <c r="W1689" i="7950"/>
  <c r="G2112" i="7950"/>
  <c r="H2066" i="7950"/>
  <c r="R2365" i="7949"/>
  <c r="S853" i="7949"/>
  <c r="T2090" i="7950"/>
  <c r="W1635" i="7950"/>
  <c r="W1659" i="7950"/>
  <c r="W2283" i="7950"/>
  <c r="W2307" i="7950"/>
  <c r="T2576" i="7950"/>
  <c r="W2121" i="7950"/>
  <c r="W2145" i="7950"/>
  <c r="S1933" i="7949"/>
  <c r="W1011" i="7950"/>
  <c r="W987" i="7950"/>
  <c r="W1905" i="7950"/>
  <c r="W1929" i="7950"/>
  <c r="S1987" i="7949"/>
  <c r="S1339" i="7949"/>
  <c r="S1285" i="7949"/>
  <c r="W795" i="7950"/>
  <c r="W771" i="7950"/>
  <c r="S1064" i="7950"/>
  <c r="S1820" i="7950"/>
  <c r="S848" i="7950"/>
  <c r="W687" i="7950"/>
  <c r="W663" i="7950"/>
  <c r="S745" i="7949"/>
  <c r="S416" i="7950"/>
  <c r="F1901" i="7949"/>
  <c r="G1855" i="7949"/>
  <c r="H1896" i="7950"/>
  <c r="I1850" i="7950"/>
  <c r="H2382" i="7950"/>
  <c r="I2336" i="7950"/>
  <c r="F443" i="7949"/>
  <c r="G397" i="7949"/>
  <c r="G2004" i="7950"/>
  <c r="H1958" i="7950"/>
  <c r="G708" i="7950"/>
  <c r="H662" i="7950"/>
  <c r="G1950" i="7950"/>
  <c r="H1904" i="7950"/>
  <c r="H2166" i="7950"/>
  <c r="I2120" i="7950"/>
  <c r="G870" i="7950"/>
  <c r="H824" i="7950"/>
  <c r="W256" i="7950"/>
  <c r="H2652" i="7950"/>
  <c r="I2606" i="7950"/>
  <c r="G613" i="7949"/>
  <c r="F659" i="7949"/>
  <c r="G2711" i="7949"/>
  <c r="H2665" i="7949"/>
  <c r="H1045" i="7949"/>
  <c r="G1091" i="7949"/>
  <c r="W1281" i="7950"/>
  <c r="W1257" i="7950"/>
  <c r="G600" i="7950"/>
  <c r="H554" i="7950"/>
  <c r="H438" i="7950"/>
  <c r="I392" i="7950"/>
  <c r="H2706" i="7950"/>
  <c r="I2660" i="7950"/>
  <c r="W579" i="7950"/>
  <c r="W555" i="7950"/>
  <c r="G2220" i="7950"/>
  <c r="H2174" i="7950"/>
  <c r="G492" i="7950"/>
  <c r="H446" i="7950"/>
  <c r="F1253" i="7949"/>
  <c r="G1207" i="7949"/>
  <c r="G546" i="7950"/>
  <c r="H500" i="7950"/>
  <c r="G1086" i="7950"/>
  <c r="H1040" i="7950"/>
  <c r="H986" i="7950"/>
  <c r="G1032" i="7950"/>
  <c r="G816" i="7950"/>
  <c r="H770" i="7950"/>
  <c r="G1315" i="7949"/>
  <c r="F1361" i="7949"/>
  <c r="W93" i="7950"/>
  <c r="S529" i="7949"/>
  <c r="S2041" i="7949"/>
  <c r="S1825" i="7949"/>
  <c r="S2473" i="7949"/>
  <c r="W1389" i="7950"/>
  <c r="W1365" i="7950"/>
  <c r="S2203" i="7949"/>
  <c r="T637" i="7949"/>
  <c r="S1442" i="7950"/>
  <c r="W393" i="7950"/>
  <c r="W417" i="7950"/>
  <c r="R799" i="7949"/>
  <c r="W2067" i="7950"/>
  <c r="W2091" i="7950"/>
  <c r="S1604" i="7950"/>
  <c r="S907" i="7949"/>
  <c r="W2199" i="7950"/>
  <c r="W2175" i="7950"/>
  <c r="W1119" i="7950"/>
  <c r="W1095" i="7950"/>
  <c r="W1497" i="7950"/>
  <c r="W1473" i="7950"/>
  <c r="W1203" i="7950"/>
  <c r="W1227" i="7950"/>
  <c r="F1793" i="7949"/>
  <c r="G1747" i="7949"/>
  <c r="W1581" i="7950"/>
  <c r="W1605" i="7950"/>
  <c r="W471" i="7950"/>
  <c r="W447" i="7950"/>
  <c r="W2037" i="7950"/>
  <c r="W2013" i="7950"/>
  <c r="S1982" i="7950"/>
  <c r="W2391" i="7950"/>
  <c r="W2415" i="7950"/>
  <c r="S524" i="7950"/>
  <c r="F551" i="7949"/>
  <c r="G505" i="7949"/>
  <c r="T2198" i="7950"/>
  <c r="S686" i="7950"/>
  <c r="S2360" i="7950"/>
  <c r="U1010" i="7950"/>
  <c r="T2684" i="7950"/>
  <c r="S1501" i="7949"/>
  <c r="T1226" i="7950"/>
  <c r="T1550" i="7950"/>
  <c r="W1767" i="7950"/>
  <c r="W1743" i="7950"/>
  <c r="T740" i="7950"/>
  <c r="T1069" i="7949"/>
  <c r="S902" i="7950"/>
  <c r="S583" i="7949"/>
  <c r="T632" i="7950"/>
  <c r="W1551" i="7950"/>
  <c r="W1527" i="7950"/>
  <c r="S2635" i="7949"/>
  <c r="S1496" i="7950"/>
  <c r="S1712" i="7950"/>
  <c r="W2499" i="7950"/>
  <c r="W2523" i="7950"/>
  <c r="T2311" i="7949"/>
  <c r="S2149" i="7949"/>
  <c r="W1419" i="7950"/>
  <c r="W1443" i="7950"/>
  <c r="T2036" i="7950"/>
  <c r="T2257" i="7949"/>
  <c r="S1766" i="7950"/>
  <c r="S2527" i="7949"/>
  <c r="F2333" i="7949"/>
  <c r="G2287" i="7949"/>
  <c r="G605" i="7949"/>
  <c r="H559" i="7949"/>
  <c r="W1149" i="7950"/>
  <c r="W1173" i="7950"/>
  <c r="W2361" i="7950"/>
  <c r="W2337" i="7950"/>
  <c r="F1199" i="7949"/>
  <c r="G1153" i="7949"/>
  <c r="F875" i="7949"/>
  <c r="G829" i="7949"/>
  <c r="W309" i="7950"/>
  <c r="S1874" i="7950"/>
  <c r="S1609" i="7949"/>
  <c r="W2229" i="7950"/>
  <c r="W2253" i="7950"/>
  <c r="W957" i="7950"/>
  <c r="W933" i="7950"/>
  <c r="W2607" i="7950"/>
  <c r="W2631" i="7950"/>
  <c r="W741" i="7950"/>
  <c r="W717" i="7950"/>
  <c r="R691" i="7949"/>
  <c r="R1393" i="7949"/>
  <c r="W609" i="7950"/>
  <c r="W633" i="7950"/>
  <c r="S1231" i="7949"/>
  <c r="R2689" i="7949"/>
  <c r="T2468" i="7950"/>
  <c r="S1280" i="7950"/>
  <c r="F1307" i="7949"/>
  <c r="G1261" i="7949"/>
  <c r="R2581" i="7949"/>
  <c r="S1663" i="7949"/>
  <c r="G1523" i="7949"/>
  <c r="H1477" i="7949"/>
  <c r="I1796" i="7950" l="1"/>
  <c r="I1842" i="7950" s="1"/>
  <c r="H2071" i="7949"/>
  <c r="H2117" i="7949" s="1"/>
  <c r="G1469" i="7949"/>
  <c r="G983" i="7949"/>
  <c r="H2503" i="7949"/>
  <c r="H2549" i="7949" s="1"/>
  <c r="H451" i="7949"/>
  <c r="H497" i="7949" s="1"/>
  <c r="G2387" i="7949"/>
  <c r="I1742" i="7950"/>
  <c r="J1742" i="7950" s="1"/>
  <c r="I1148" i="7950"/>
  <c r="J1148" i="7950" s="1"/>
  <c r="G767" i="7949"/>
  <c r="H1639" i="7949"/>
  <c r="H1685" i="7949" s="1"/>
  <c r="I878" i="7950"/>
  <c r="I924" i="7950" s="1"/>
  <c r="H929" i="7949"/>
  <c r="I1634" i="7950"/>
  <c r="J1634" i="7950" s="1"/>
  <c r="H775" i="7949"/>
  <c r="I775" i="7949" s="1"/>
  <c r="H1415" i="7949"/>
  <c r="I1369" i="7949"/>
  <c r="G1955" i="7949"/>
  <c r="H1909" i="7949"/>
  <c r="G1739" i="7949"/>
  <c r="H1693" i="7949"/>
  <c r="I2228" i="7950"/>
  <c r="H2274" i="7950"/>
  <c r="H1734" i="7950"/>
  <c r="I1688" i="7950"/>
  <c r="H667" i="7949"/>
  <c r="G713" i="7949"/>
  <c r="H2436" i="7950"/>
  <c r="I2390" i="7950"/>
  <c r="G1307" i="7949"/>
  <c r="H1261" i="7949"/>
  <c r="G1199" i="7949"/>
  <c r="H1153" i="7949"/>
  <c r="G2333" i="7949"/>
  <c r="H2287" i="7949"/>
  <c r="G551" i="7949"/>
  <c r="H505" i="7949"/>
  <c r="H1086" i="7950"/>
  <c r="I1040" i="7950"/>
  <c r="H1207" i="7949"/>
  <c r="G1253" i="7949"/>
  <c r="H492" i="7950"/>
  <c r="I446" i="7950"/>
  <c r="I2706" i="7950"/>
  <c r="J2660" i="7950"/>
  <c r="H600" i="7950"/>
  <c r="I554" i="7950"/>
  <c r="H870" i="7950"/>
  <c r="I824" i="7950"/>
  <c r="H1950" i="7950"/>
  <c r="I1904" i="7950"/>
  <c r="H2004" i="7950"/>
  <c r="I1958" i="7950"/>
  <c r="I2382" i="7950"/>
  <c r="J2336" i="7950"/>
  <c r="S43" i="7949"/>
  <c r="I929" i="7949"/>
  <c r="J883" i="7949"/>
  <c r="H767" i="7949"/>
  <c r="I721" i="7949"/>
  <c r="G1847" i="7949"/>
  <c r="H1801" i="7949"/>
  <c r="H1963" i="7949"/>
  <c r="G2009" i="7949"/>
  <c r="H2387" i="7949"/>
  <c r="I2341" i="7949"/>
  <c r="H2544" i="7950"/>
  <c r="I2498" i="7950"/>
  <c r="H1410" i="7950"/>
  <c r="I1364" i="7950"/>
  <c r="H2063" i="7949"/>
  <c r="I2017" i="7949"/>
  <c r="H2441" i="7949"/>
  <c r="I2395" i="7949"/>
  <c r="I2058" i="7950"/>
  <c r="J2012" i="7950"/>
  <c r="H1356" i="7950"/>
  <c r="I1310" i="7950"/>
  <c r="H1464" i="7950"/>
  <c r="I1418" i="7950"/>
  <c r="H1037" i="7949"/>
  <c r="I991" i="7949"/>
  <c r="I978" i="7950"/>
  <c r="J932" i="7950"/>
  <c r="H1626" i="7950"/>
  <c r="I1580" i="7950"/>
  <c r="H2328" i="7950"/>
  <c r="I2282" i="7950"/>
  <c r="T1663" i="7949"/>
  <c r="U2468" i="7950"/>
  <c r="T1231" i="7949"/>
  <c r="S1393" i="7949"/>
  <c r="T1609" i="7949"/>
  <c r="T1766" i="7950"/>
  <c r="U2036" i="7950"/>
  <c r="T2149" i="7949"/>
  <c r="T1496" i="7950"/>
  <c r="T583" i="7949"/>
  <c r="T902" i="7950"/>
  <c r="U740" i="7950"/>
  <c r="U1550" i="7950"/>
  <c r="T1501" i="7949"/>
  <c r="V1010" i="7950"/>
  <c r="T686" i="7950"/>
  <c r="T1604" i="7950"/>
  <c r="S799" i="7949"/>
  <c r="T1442" i="7950"/>
  <c r="T2203" i="7949"/>
  <c r="T1825" i="7949"/>
  <c r="T529" i="7949"/>
  <c r="G1361" i="7949"/>
  <c r="H1315" i="7949"/>
  <c r="H1032" i="7950"/>
  <c r="I986" i="7950"/>
  <c r="H613" i="7949"/>
  <c r="G659" i="7949"/>
  <c r="I937" i="7949"/>
  <c r="H983" i="7949"/>
  <c r="T745" i="7949"/>
  <c r="T848" i="7950"/>
  <c r="T1064" i="7950"/>
  <c r="T1285" i="7949"/>
  <c r="T1987" i="7949"/>
  <c r="T1933" i="7949"/>
  <c r="U2576" i="7950"/>
  <c r="T853" i="7949"/>
  <c r="T1123" i="7949"/>
  <c r="T1388" i="7950"/>
  <c r="T794" i="7950"/>
  <c r="T2522" i="7950"/>
  <c r="T1771" i="7949"/>
  <c r="U961" i="7949"/>
  <c r="S1717" i="7949"/>
  <c r="T1555" i="7949"/>
  <c r="T1172" i="7950"/>
  <c r="S1879" i="7949"/>
  <c r="T367" i="7949"/>
  <c r="T2630" i="7950"/>
  <c r="G2657" i="7949"/>
  <c r="H2611" i="7949"/>
  <c r="H2279" i="7949"/>
  <c r="I2233" i="7949"/>
  <c r="H1523" i="7949"/>
  <c r="I1477" i="7949"/>
  <c r="G875" i="7949"/>
  <c r="H829" i="7949"/>
  <c r="H605" i="7949"/>
  <c r="I559" i="7949"/>
  <c r="G1793" i="7949"/>
  <c r="H1747" i="7949"/>
  <c r="H816" i="7950"/>
  <c r="I770" i="7950"/>
  <c r="H546" i="7950"/>
  <c r="I500" i="7950"/>
  <c r="H2220" i="7950"/>
  <c r="I2174" i="7950"/>
  <c r="I438" i="7950"/>
  <c r="J392" i="7950"/>
  <c r="H2711" i="7949"/>
  <c r="I2665" i="7949"/>
  <c r="I2652" i="7950"/>
  <c r="J2606" i="7950"/>
  <c r="I2166" i="7950"/>
  <c r="J2120" i="7950"/>
  <c r="H708" i="7950"/>
  <c r="I662" i="7950"/>
  <c r="H397" i="7949"/>
  <c r="G443" i="7949"/>
  <c r="I1896" i="7950"/>
  <c r="J1850" i="7950"/>
  <c r="G1901" i="7949"/>
  <c r="H1855" i="7949"/>
  <c r="H2112" i="7950"/>
  <c r="I2066" i="7950"/>
  <c r="H2598" i="7950"/>
  <c r="I2552" i="7950"/>
  <c r="I2490" i="7950"/>
  <c r="J2444" i="7950"/>
  <c r="G2603" i="7949"/>
  <c r="H2557" i="7949"/>
  <c r="H1140" i="7950"/>
  <c r="I1094" i="7950"/>
  <c r="I1518" i="7950"/>
  <c r="J1472" i="7950"/>
  <c r="I654" i="7950"/>
  <c r="J608" i="7950"/>
  <c r="H1145" i="7949"/>
  <c r="I1099" i="7949"/>
  <c r="H1585" i="7949"/>
  <c r="G1631" i="7949"/>
  <c r="H2225" i="7949"/>
  <c r="I2179" i="7949"/>
  <c r="H1248" i="7950"/>
  <c r="I1202" i="7950"/>
  <c r="I1572" i="7950"/>
  <c r="J1526" i="7950"/>
  <c r="H1302" i="7950"/>
  <c r="I1256" i="7950"/>
  <c r="G1577" i="7949"/>
  <c r="H1531" i="7949"/>
  <c r="S2581" i="7949"/>
  <c r="T1280" i="7950"/>
  <c r="S2689" i="7949"/>
  <c r="S691" i="7949"/>
  <c r="T1874" i="7950"/>
  <c r="T2527" i="7949"/>
  <c r="U2257" i="7949"/>
  <c r="U2311" i="7949"/>
  <c r="T1712" i="7950"/>
  <c r="T2635" i="7949"/>
  <c r="U632" i="7950"/>
  <c r="U1069" i="7949"/>
  <c r="U1226" i="7950"/>
  <c r="U2684" i="7950"/>
  <c r="T2360" i="7950"/>
  <c r="U2198" i="7950"/>
  <c r="T524" i="7950"/>
  <c r="T1982" i="7950"/>
  <c r="T907" i="7949"/>
  <c r="U637" i="7949"/>
  <c r="T2473" i="7949"/>
  <c r="T2041" i="7949"/>
  <c r="H1469" i="7949"/>
  <c r="I1423" i="7949"/>
  <c r="I1045" i="7949"/>
  <c r="H1091" i="7949"/>
  <c r="T416" i="7950"/>
  <c r="T1820" i="7950"/>
  <c r="T1339" i="7949"/>
  <c r="U2090" i="7950"/>
  <c r="S2365" i="7949"/>
  <c r="T2419" i="7949"/>
  <c r="U1658" i="7950"/>
  <c r="T2414" i="7950"/>
  <c r="T2095" i="7949"/>
  <c r="T2306" i="7950"/>
  <c r="S475" i="7949"/>
  <c r="T1447" i="7949"/>
  <c r="U470" i="7950"/>
  <c r="U2144" i="7950"/>
  <c r="T1118" i="7950"/>
  <c r="T1177" i="7949"/>
  <c r="U1928" i="7950"/>
  <c r="T956" i="7950"/>
  <c r="T578" i="7950"/>
  <c r="T2252" i="7950"/>
  <c r="W255" i="7950"/>
  <c r="T421" i="7949"/>
  <c r="T1015" i="7949"/>
  <c r="G2171" i="7949"/>
  <c r="H2125" i="7949"/>
  <c r="G2495" i="7949"/>
  <c r="H2449" i="7949"/>
  <c r="H762" i="7950"/>
  <c r="I716" i="7950"/>
  <c r="J1796" i="7950" l="1"/>
  <c r="J1842" i="7950" s="1"/>
  <c r="I2071" i="7949"/>
  <c r="J2071" i="7949" s="1"/>
  <c r="I451" i="7949"/>
  <c r="I497" i="7949" s="1"/>
  <c r="I1194" i="7950"/>
  <c r="J878" i="7950"/>
  <c r="J924" i="7950" s="1"/>
  <c r="I1788" i="7950"/>
  <c r="I2503" i="7949"/>
  <c r="J2503" i="7949" s="1"/>
  <c r="I1639" i="7949"/>
  <c r="I1685" i="7949" s="1"/>
  <c r="H821" i="7949"/>
  <c r="I1680" i="7950"/>
  <c r="I1415" i="7949"/>
  <c r="J1369" i="7949"/>
  <c r="I1909" i="7949"/>
  <c r="H1955" i="7949"/>
  <c r="I1693" i="7949"/>
  <c r="H1739" i="7949"/>
  <c r="I2436" i="7950"/>
  <c r="J2390" i="7950"/>
  <c r="I1734" i="7950"/>
  <c r="J1688" i="7950"/>
  <c r="H713" i="7949"/>
  <c r="I667" i="7949"/>
  <c r="I2274" i="7950"/>
  <c r="J2228" i="7950"/>
  <c r="H2495" i="7949"/>
  <c r="I2449" i="7949"/>
  <c r="H1577" i="7949"/>
  <c r="I1531" i="7949"/>
  <c r="J1572" i="7950"/>
  <c r="K1526" i="7950"/>
  <c r="I1248" i="7950"/>
  <c r="J1202" i="7950"/>
  <c r="I2225" i="7949"/>
  <c r="J2179" i="7949"/>
  <c r="I1145" i="7949"/>
  <c r="J1099" i="7949"/>
  <c r="J1518" i="7950"/>
  <c r="K1472" i="7950"/>
  <c r="J1194" i="7950"/>
  <c r="K1148" i="7950"/>
  <c r="H2603" i="7949"/>
  <c r="I2557" i="7949"/>
  <c r="I2598" i="7950"/>
  <c r="J2552" i="7950"/>
  <c r="H1901" i="7949"/>
  <c r="I1855" i="7949"/>
  <c r="J2166" i="7950"/>
  <c r="K2120" i="7950"/>
  <c r="J2652" i="7950"/>
  <c r="K2606" i="7950"/>
  <c r="I816" i="7950"/>
  <c r="J770" i="7950"/>
  <c r="J1680" i="7950"/>
  <c r="K1634" i="7950"/>
  <c r="I605" i="7949"/>
  <c r="J559" i="7949"/>
  <c r="I1523" i="7949"/>
  <c r="J1477" i="7949"/>
  <c r="H2657" i="7949"/>
  <c r="I2611" i="7949"/>
  <c r="H1361" i="7949"/>
  <c r="I1315" i="7949"/>
  <c r="I1626" i="7950"/>
  <c r="J1580" i="7950"/>
  <c r="J991" i="7949"/>
  <c r="I1037" i="7949"/>
  <c r="I1356" i="7950"/>
  <c r="J1310" i="7950"/>
  <c r="I2441" i="7949"/>
  <c r="J2395" i="7949"/>
  <c r="I2063" i="7949"/>
  <c r="J2017" i="7949"/>
  <c r="I2544" i="7950"/>
  <c r="J2498" i="7950"/>
  <c r="I2387" i="7949"/>
  <c r="J2341" i="7949"/>
  <c r="H1847" i="7949"/>
  <c r="I1801" i="7949"/>
  <c r="I767" i="7949"/>
  <c r="J721" i="7949"/>
  <c r="T43" i="7949"/>
  <c r="J2382" i="7950"/>
  <c r="K2336" i="7950"/>
  <c r="I1950" i="7950"/>
  <c r="J1904" i="7950"/>
  <c r="J2706" i="7950"/>
  <c r="K2660" i="7950"/>
  <c r="H2333" i="7949"/>
  <c r="I2287" i="7949"/>
  <c r="H1307" i="7949"/>
  <c r="I1261" i="7949"/>
  <c r="U1015" i="7949"/>
  <c r="U956" i="7950"/>
  <c r="V1928" i="7950"/>
  <c r="U1118" i="7950"/>
  <c r="V470" i="7950"/>
  <c r="T475" i="7949"/>
  <c r="U2095" i="7949"/>
  <c r="V1658" i="7950"/>
  <c r="T2365" i="7949"/>
  <c r="U1820" i="7950"/>
  <c r="I1091" i="7949"/>
  <c r="J1045" i="7949"/>
  <c r="U2041" i="7949"/>
  <c r="U907" i="7949"/>
  <c r="U524" i="7950"/>
  <c r="U2360" i="7950"/>
  <c r="V1226" i="7950"/>
  <c r="U2635" i="7949"/>
  <c r="V2311" i="7949"/>
  <c r="T691" i="7949"/>
  <c r="U1280" i="7950"/>
  <c r="U367" i="7949"/>
  <c r="U1172" i="7950"/>
  <c r="V961" i="7949"/>
  <c r="U2522" i="7950"/>
  <c r="U1388" i="7950"/>
  <c r="U853" i="7949"/>
  <c r="U1933" i="7949"/>
  <c r="U1285" i="7949"/>
  <c r="U848" i="7950"/>
  <c r="I983" i="7949"/>
  <c r="J937" i="7949"/>
  <c r="H659" i="7949"/>
  <c r="I613" i="7949"/>
  <c r="U1825" i="7949"/>
  <c r="U1442" i="7950"/>
  <c r="U1604" i="7950"/>
  <c r="W1010" i="7950"/>
  <c r="V1550" i="7950"/>
  <c r="U902" i="7950"/>
  <c r="U1496" i="7950"/>
  <c r="V2036" i="7950"/>
  <c r="U1609" i="7949"/>
  <c r="U1231" i="7949"/>
  <c r="U1663" i="7949"/>
  <c r="H1253" i="7949"/>
  <c r="I1207" i="7949"/>
  <c r="I762" i="7950"/>
  <c r="J716" i="7950"/>
  <c r="H2171" i="7949"/>
  <c r="I2125" i="7949"/>
  <c r="I1469" i="7949"/>
  <c r="J1423" i="7949"/>
  <c r="I1302" i="7950"/>
  <c r="J1256" i="7950"/>
  <c r="J654" i="7950"/>
  <c r="K608" i="7950"/>
  <c r="I1140" i="7950"/>
  <c r="J1094" i="7950"/>
  <c r="J2490" i="7950"/>
  <c r="K2444" i="7950"/>
  <c r="I2112" i="7950"/>
  <c r="J2066" i="7950"/>
  <c r="J1896" i="7950"/>
  <c r="K1850" i="7950"/>
  <c r="I708" i="7950"/>
  <c r="J662" i="7950"/>
  <c r="I2711" i="7949"/>
  <c r="J2665" i="7949"/>
  <c r="J438" i="7950"/>
  <c r="K392" i="7950"/>
  <c r="I2220" i="7950"/>
  <c r="J2174" i="7950"/>
  <c r="I546" i="7950"/>
  <c r="J500" i="7950"/>
  <c r="H1793" i="7949"/>
  <c r="I1747" i="7949"/>
  <c r="H875" i="7949"/>
  <c r="I829" i="7949"/>
  <c r="I2279" i="7949"/>
  <c r="J2233" i="7949"/>
  <c r="I1032" i="7950"/>
  <c r="J986" i="7950"/>
  <c r="I2328" i="7950"/>
  <c r="J2282" i="7950"/>
  <c r="J978" i="7950"/>
  <c r="K932" i="7950"/>
  <c r="I1464" i="7950"/>
  <c r="J1418" i="7950"/>
  <c r="J2058" i="7950"/>
  <c r="K2012" i="7950"/>
  <c r="I1410" i="7950"/>
  <c r="J1364" i="7950"/>
  <c r="J1788" i="7950"/>
  <c r="K1742" i="7950"/>
  <c r="I821" i="7949"/>
  <c r="J775" i="7949"/>
  <c r="J929" i="7949"/>
  <c r="K883" i="7949"/>
  <c r="I2004" i="7950"/>
  <c r="J1958" i="7950"/>
  <c r="I870" i="7950"/>
  <c r="J824" i="7950"/>
  <c r="I600" i="7950"/>
  <c r="J554" i="7950"/>
  <c r="I492" i="7950"/>
  <c r="J446" i="7950"/>
  <c r="I1086" i="7950"/>
  <c r="J1040" i="7950"/>
  <c r="H551" i="7949"/>
  <c r="I505" i="7949"/>
  <c r="H1199" i="7949"/>
  <c r="I1153" i="7949"/>
  <c r="U421" i="7949"/>
  <c r="U2252" i="7950"/>
  <c r="U578" i="7950"/>
  <c r="U1177" i="7949"/>
  <c r="V2144" i="7950"/>
  <c r="U1447" i="7949"/>
  <c r="U2306" i="7950"/>
  <c r="U2414" i="7950"/>
  <c r="U2419" i="7949"/>
  <c r="V2090" i="7950"/>
  <c r="U1339" i="7949"/>
  <c r="U416" i="7950"/>
  <c r="U2473" i="7949"/>
  <c r="V637" i="7949"/>
  <c r="U1982" i="7950"/>
  <c r="V2198" i="7950"/>
  <c r="V2684" i="7950"/>
  <c r="V1069" i="7949"/>
  <c r="V632" i="7950"/>
  <c r="U1712" i="7950"/>
  <c r="V2257" i="7949"/>
  <c r="U2527" i="7949"/>
  <c r="U1874" i="7950"/>
  <c r="T2689" i="7949"/>
  <c r="T2581" i="7949"/>
  <c r="H1631" i="7949"/>
  <c r="I1585" i="7949"/>
  <c r="H443" i="7949"/>
  <c r="I397" i="7949"/>
  <c r="U2630" i="7950"/>
  <c r="T1879" i="7949"/>
  <c r="U1555" i="7949"/>
  <c r="T1717" i="7949"/>
  <c r="U1771" i="7949"/>
  <c r="U794" i="7950"/>
  <c r="U1123" i="7949"/>
  <c r="V2576" i="7950"/>
  <c r="U1987" i="7949"/>
  <c r="U1064" i="7950"/>
  <c r="U745" i="7949"/>
  <c r="U529" i="7949"/>
  <c r="U2203" i="7949"/>
  <c r="T799" i="7949"/>
  <c r="U686" i="7950"/>
  <c r="U1501" i="7949"/>
  <c r="V740" i="7950"/>
  <c r="U583" i="7949"/>
  <c r="U2149" i="7949"/>
  <c r="U1766" i="7950"/>
  <c r="T1393" i="7949"/>
  <c r="V2468" i="7950"/>
  <c r="H2009" i="7949"/>
  <c r="I1963" i="7949"/>
  <c r="K1796" i="7950" l="1"/>
  <c r="K1842" i="7950" s="1"/>
  <c r="I2117" i="7949"/>
  <c r="J451" i="7949"/>
  <c r="J497" i="7949" s="1"/>
  <c r="I2549" i="7949"/>
  <c r="K878" i="7950"/>
  <c r="K924" i="7950" s="1"/>
  <c r="J1639" i="7949"/>
  <c r="J1685" i="7949" s="1"/>
  <c r="J1415" i="7949"/>
  <c r="K1369" i="7949"/>
  <c r="I1955" i="7949"/>
  <c r="J1909" i="7949"/>
  <c r="I1739" i="7949"/>
  <c r="J1693" i="7949"/>
  <c r="J2274" i="7950"/>
  <c r="K2228" i="7950"/>
  <c r="J1734" i="7950"/>
  <c r="K1688" i="7950"/>
  <c r="J667" i="7949"/>
  <c r="I713" i="7949"/>
  <c r="J2436" i="7950"/>
  <c r="K2390" i="7950"/>
  <c r="I1631" i="7949"/>
  <c r="J1585" i="7949"/>
  <c r="I551" i="7949"/>
  <c r="J505" i="7949"/>
  <c r="J492" i="7950"/>
  <c r="K446" i="7950"/>
  <c r="J870" i="7950"/>
  <c r="K824" i="7950"/>
  <c r="J2549" i="7949"/>
  <c r="K2503" i="7949"/>
  <c r="K1788" i="7950"/>
  <c r="L1742" i="7950"/>
  <c r="J1464" i="7950"/>
  <c r="K1418" i="7950"/>
  <c r="J2328" i="7950"/>
  <c r="K2282" i="7950"/>
  <c r="J2279" i="7949"/>
  <c r="K2233" i="7949"/>
  <c r="I1793" i="7949"/>
  <c r="J1747" i="7949"/>
  <c r="J2220" i="7950"/>
  <c r="K2174" i="7950"/>
  <c r="J2711" i="7949"/>
  <c r="K2665" i="7949"/>
  <c r="J708" i="7950"/>
  <c r="K662" i="7950"/>
  <c r="J2112" i="7950"/>
  <c r="K2066" i="7950"/>
  <c r="J1140" i="7950"/>
  <c r="K1094" i="7950"/>
  <c r="K654" i="7950"/>
  <c r="L608" i="7950"/>
  <c r="J1302" i="7950"/>
  <c r="K1256" i="7950"/>
  <c r="J762" i="7950"/>
  <c r="K716" i="7950"/>
  <c r="J983" i="7949"/>
  <c r="K937" i="7949"/>
  <c r="J1091" i="7949"/>
  <c r="K1045" i="7949"/>
  <c r="J2287" i="7949"/>
  <c r="I2333" i="7949"/>
  <c r="K2706" i="7950"/>
  <c r="L2660" i="7950"/>
  <c r="K2382" i="7950"/>
  <c r="L2336" i="7950"/>
  <c r="I1847" i="7949"/>
  <c r="J1801" i="7949"/>
  <c r="J2387" i="7949"/>
  <c r="K2341" i="7949"/>
  <c r="J2063" i="7949"/>
  <c r="K2017" i="7949"/>
  <c r="J1356" i="7950"/>
  <c r="K1310" i="7950"/>
  <c r="J1626" i="7950"/>
  <c r="K1580" i="7950"/>
  <c r="J1523" i="7949"/>
  <c r="K1477" i="7949"/>
  <c r="K1680" i="7950"/>
  <c r="L1634" i="7950"/>
  <c r="K2652" i="7950"/>
  <c r="L2606" i="7950"/>
  <c r="I1901" i="7949"/>
  <c r="J1855" i="7949"/>
  <c r="I2603" i="7949"/>
  <c r="J2557" i="7949"/>
  <c r="K1518" i="7950"/>
  <c r="L1472" i="7950"/>
  <c r="J1248" i="7950"/>
  <c r="K1202" i="7950"/>
  <c r="I1577" i="7949"/>
  <c r="J1531" i="7949"/>
  <c r="W2468" i="7950"/>
  <c r="V2149" i="7949"/>
  <c r="W740" i="7950"/>
  <c r="V686" i="7950"/>
  <c r="V2203" i="7949"/>
  <c r="V745" i="7949"/>
  <c r="V1987" i="7949"/>
  <c r="V1123" i="7949"/>
  <c r="V1771" i="7949"/>
  <c r="V1555" i="7949"/>
  <c r="V2630" i="7950"/>
  <c r="U2689" i="7949"/>
  <c r="V2527" i="7949"/>
  <c r="V1712" i="7950"/>
  <c r="W1069" i="7949"/>
  <c r="W2198" i="7950"/>
  <c r="W637" i="7949"/>
  <c r="V416" i="7950"/>
  <c r="W2090" i="7950"/>
  <c r="V2414" i="7950"/>
  <c r="V1447" i="7949"/>
  <c r="V1177" i="7949"/>
  <c r="V2252" i="7950"/>
  <c r="V1231" i="7949"/>
  <c r="V1496" i="7950"/>
  <c r="W1550" i="7950"/>
  <c r="V1604" i="7950"/>
  <c r="V1825" i="7949"/>
  <c r="V1285" i="7949"/>
  <c r="V853" i="7949"/>
  <c r="V2522" i="7950"/>
  <c r="V367" i="7949"/>
  <c r="U691" i="7949"/>
  <c r="V2635" i="7949"/>
  <c r="W1226" i="7950"/>
  <c r="V524" i="7950"/>
  <c r="W1658" i="7950"/>
  <c r="U475" i="7949"/>
  <c r="V1118" i="7950"/>
  <c r="V956" i="7950"/>
  <c r="V1015" i="7949"/>
  <c r="U43" i="7949"/>
  <c r="I2009" i="7949"/>
  <c r="J1963" i="7949"/>
  <c r="I443" i="7949"/>
  <c r="J397" i="7949"/>
  <c r="I1199" i="7949"/>
  <c r="J1153" i="7949"/>
  <c r="J1086" i="7950"/>
  <c r="K1040" i="7950"/>
  <c r="J600" i="7950"/>
  <c r="K554" i="7950"/>
  <c r="J2004" i="7950"/>
  <c r="K1958" i="7950"/>
  <c r="K929" i="7949"/>
  <c r="L883" i="7949"/>
  <c r="J821" i="7949"/>
  <c r="K775" i="7949"/>
  <c r="J1410" i="7950"/>
  <c r="K1364" i="7950"/>
  <c r="K2058" i="7950"/>
  <c r="L2012" i="7950"/>
  <c r="K978" i="7950"/>
  <c r="L932" i="7950"/>
  <c r="J1032" i="7950"/>
  <c r="K986" i="7950"/>
  <c r="I875" i="7949"/>
  <c r="J829" i="7949"/>
  <c r="J2117" i="7949"/>
  <c r="K2071" i="7949"/>
  <c r="J546" i="7950"/>
  <c r="K500" i="7950"/>
  <c r="K438" i="7950"/>
  <c r="L392" i="7950"/>
  <c r="K1896" i="7950"/>
  <c r="L1850" i="7950"/>
  <c r="K2490" i="7950"/>
  <c r="L2444" i="7950"/>
  <c r="J1469" i="7949"/>
  <c r="K1423" i="7949"/>
  <c r="I2171" i="7949"/>
  <c r="J2125" i="7949"/>
  <c r="I1253" i="7949"/>
  <c r="J1207" i="7949"/>
  <c r="I659" i="7949"/>
  <c r="J613" i="7949"/>
  <c r="I1307" i="7949"/>
  <c r="J1261" i="7949"/>
  <c r="J1950" i="7950"/>
  <c r="K1904" i="7950"/>
  <c r="J767" i="7949"/>
  <c r="K721" i="7949"/>
  <c r="J2544" i="7950"/>
  <c r="K2498" i="7950"/>
  <c r="J2441" i="7949"/>
  <c r="K2395" i="7949"/>
  <c r="I1361" i="7949"/>
  <c r="J1315" i="7949"/>
  <c r="I2657" i="7949"/>
  <c r="J2611" i="7949"/>
  <c r="J605" i="7949"/>
  <c r="K559" i="7949"/>
  <c r="J816" i="7950"/>
  <c r="K770" i="7950"/>
  <c r="K2166" i="7950"/>
  <c r="L2120" i="7950"/>
  <c r="J2598" i="7950"/>
  <c r="K2552" i="7950"/>
  <c r="K1194" i="7950"/>
  <c r="L1148" i="7950"/>
  <c r="J1145" i="7949"/>
  <c r="K1099" i="7949"/>
  <c r="J2225" i="7949"/>
  <c r="K2179" i="7949"/>
  <c r="K1572" i="7950"/>
  <c r="L1526" i="7950"/>
  <c r="I2495" i="7949"/>
  <c r="J2449" i="7949"/>
  <c r="U1393" i="7949"/>
  <c r="V1766" i="7950"/>
  <c r="V583" i="7949"/>
  <c r="V1501" i="7949"/>
  <c r="U799" i="7949"/>
  <c r="V529" i="7949"/>
  <c r="V1064" i="7950"/>
  <c r="W2576" i="7950"/>
  <c r="V794" i="7950"/>
  <c r="U1717" i="7949"/>
  <c r="U1879" i="7949"/>
  <c r="U2581" i="7949"/>
  <c r="V1874" i="7950"/>
  <c r="W2257" i="7949"/>
  <c r="W632" i="7950"/>
  <c r="W2684" i="7950"/>
  <c r="V1982" i="7950"/>
  <c r="V2473" i="7949"/>
  <c r="V1339" i="7949"/>
  <c r="V2419" i="7949"/>
  <c r="V2306" i="7950"/>
  <c r="W2144" i="7950"/>
  <c r="V578" i="7950"/>
  <c r="V421" i="7949"/>
  <c r="V1663" i="7949"/>
  <c r="V1609" i="7949"/>
  <c r="W2036" i="7950"/>
  <c r="V902" i="7950"/>
  <c r="V1442" i="7950"/>
  <c r="V848" i="7950"/>
  <c r="V1933" i="7949"/>
  <c r="V1388" i="7950"/>
  <c r="W961" i="7949"/>
  <c r="V1172" i="7950"/>
  <c r="V1280" i="7950"/>
  <c r="W2311" i="7949"/>
  <c r="V2360" i="7950"/>
  <c r="V907" i="7949"/>
  <c r="V2041" i="7949"/>
  <c r="V1820" i="7950"/>
  <c r="U2365" i="7949"/>
  <c r="V2095" i="7949"/>
  <c r="W470" i="7950"/>
  <c r="W1928" i="7950"/>
  <c r="J1037" i="7949"/>
  <c r="K991" i="7949"/>
  <c r="L1796" i="7950" l="1"/>
  <c r="L1842" i="7950" s="1"/>
  <c r="K451" i="7949"/>
  <c r="K497" i="7949" s="1"/>
  <c r="K1639" i="7949"/>
  <c r="L1639" i="7949" s="1"/>
  <c r="L878" i="7950"/>
  <c r="L924" i="7950" s="1"/>
  <c r="K1415" i="7949"/>
  <c r="L1369" i="7949"/>
  <c r="J1955" i="7949"/>
  <c r="K1909" i="7949"/>
  <c r="J1739" i="7949"/>
  <c r="K1693" i="7949"/>
  <c r="K2436" i="7950"/>
  <c r="L2390" i="7950"/>
  <c r="K1734" i="7950"/>
  <c r="L1688" i="7950"/>
  <c r="K2274" i="7950"/>
  <c r="L2228" i="7950"/>
  <c r="J713" i="7949"/>
  <c r="K667" i="7949"/>
  <c r="K1037" i="7949"/>
  <c r="L991" i="7949"/>
  <c r="J2495" i="7949"/>
  <c r="K2449" i="7949"/>
  <c r="K2225" i="7949"/>
  <c r="L2179" i="7949"/>
  <c r="L1194" i="7950"/>
  <c r="M1148" i="7950"/>
  <c r="K816" i="7950"/>
  <c r="L770" i="7950"/>
  <c r="J2657" i="7949"/>
  <c r="K2611" i="7949"/>
  <c r="K2441" i="7949"/>
  <c r="L2395" i="7949"/>
  <c r="J659" i="7949"/>
  <c r="K613" i="7949"/>
  <c r="J2171" i="7949"/>
  <c r="K2125" i="7949"/>
  <c r="L1896" i="7950"/>
  <c r="M1850" i="7950"/>
  <c r="L438" i="7950"/>
  <c r="M392" i="7950"/>
  <c r="K2117" i="7949"/>
  <c r="L2071" i="7949"/>
  <c r="L978" i="7950"/>
  <c r="M932" i="7950"/>
  <c r="K1410" i="7950"/>
  <c r="L1364" i="7950"/>
  <c r="L929" i="7949"/>
  <c r="M883" i="7949"/>
  <c r="K600" i="7950"/>
  <c r="L554" i="7950"/>
  <c r="J1199" i="7949"/>
  <c r="K1153" i="7949"/>
  <c r="J2009" i="7949"/>
  <c r="K1963" i="7949"/>
  <c r="J1577" i="7949"/>
  <c r="K1531" i="7949"/>
  <c r="J2603" i="7949"/>
  <c r="K2557" i="7949"/>
  <c r="L1680" i="7950"/>
  <c r="M1634" i="7950"/>
  <c r="K1356" i="7950"/>
  <c r="L1310" i="7950"/>
  <c r="K2387" i="7949"/>
  <c r="L2341" i="7949"/>
  <c r="L2382" i="7950"/>
  <c r="M2336" i="7950"/>
  <c r="K983" i="7949"/>
  <c r="L937" i="7949"/>
  <c r="K762" i="7950"/>
  <c r="L716" i="7950"/>
  <c r="K1302" i="7950"/>
  <c r="L1256" i="7950"/>
  <c r="L654" i="7950"/>
  <c r="M608" i="7950"/>
  <c r="K2112" i="7950"/>
  <c r="L2066" i="7950"/>
  <c r="K2711" i="7949"/>
  <c r="L2665" i="7949"/>
  <c r="K2279" i="7949"/>
  <c r="L2233" i="7949"/>
  <c r="K2328" i="7950"/>
  <c r="L2282" i="7950"/>
  <c r="K870" i="7950"/>
  <c r="L824" i="7950"/>
  <c r="J551" i="7949"/>
  <c r="K505" i="7949"/>
  <c r="J1631" i="7949"/>
  <c r="K1585" i="7949"/>
  <c r="W2095" i="7949"/>
  <c r="W1820" i="7950"/>
  <c r="W907" i="7949"/>
  <c r="W1172" i="7950"/>
  <c r="W1388" i="7950"/>
  <c r="W848" i="7950"/>
  <c r="W902" i="7950"/>
  <c r="W1609" i="7949"/>
  <c r="W421" i="7949"/>
  <c r="W2419" i="7949"/>
  <c r="W2473" i="7949"/>
  <c r="V2581" i="7949"/>
  <c r="V1717" i="7949"/>
  <c r="W529" i="7949"/>
  <c r="W1501" i="7949"/>
  <c r="W1766" i="7950"/>
  <c r="W1015" i="7949"/>
  <c r="W1118" i="7950"/>
  <c r="V691" i="7949"/>
  <c r="W853" i="7949"/>
  <c r="W1825" i="7949"/>
  <c r="W2252" i="7950"/>
  <c r="W1447" i="7949"/>
  <c r="W2527" i="7949"/>
  <c r="W2630" i="7950"/>
  <c r="W1771" i="7949"/>
  <c r="W1987" i="7949"/>
  <c r="W2203" i="7949"/>
  <c r="J2333" i="7949"/>
  <c r="K2287" i="7949"/>
  <c r="L1572" i="7950"/>
  <c r="M1526" i="7950"/>
  <c r="K1145" i="7949"/>
  <c r="L1099" i="7949"/>
  <c r="K2598" i="7950"/>
  <c r="L2552" i="7950"/>
  <c r="L2166" i="7950"/>
  <c r="M2120" i="7950"/>
  <c r="K605" i="7949"/>
  <c r="L559" i="7949"/>
  <c r="J1361" i="7949"/>
  <c r="K1315" i="7949"/>
  <c r="K2544" i="7950"/>
  <c r="L2498" i="7950"/>
  <c r="K767" i="7949"/>
  <c r="L721" i="7949"/>
  <c r="K1950" i="7950"/>
  <c r="L1904" i="7950"/>
  <c r="J1307" i="7949"/>
  <c r="K1261" i="7949"/>
  <c r="J1253" i="7949"/>
  <c r="K1207" i="7949"/>
  <c r="K1469" i="7949"/>
  <c r="L1423" i="7949"/>
  <c r="L2490" i="7950"/>
  <c r="M2444" i="7950"/>
  <c r="K546" i="7950"/>
  <c r="L500" i="7950"/>
  <c r="J875" i="7949"/>
  <c r="K829" i="7949"/>
  <c r="K1032" i="7950"/>
  <c r="L986" i="7950"/>
  <c r="L2058" i="7950"/>
  <c r="M2012" i="7950"/>
  <c r="K821" i="7949"/>
  <c r="L775" i="7949"/>
  <c r="K2004" i="7950"/>
  <c r="L1958" i="7950"/>
  <c r="K1086" i="7950"/>
  <c r="L1040" i="7950"/>
  <c r="J443" i="7949"/>
  <c r="K397" i="7949"/>
  <c r="K1248" i="7950"/>
  <c r="L1202" i="7950"/>
  <c r="L1518" i="7950"/>
  <c r="M1472" i="7950"/>
  <c r="J1901" i="7949"/>
  <c r="K1855" i="7949"/>
  <c r="L2652" i="7950"/>
  <c r="M2606" i="7950"/>
  <c r="K1523" i="7949"/>
  <c r="L1477" i="7949"/>
  <c r="K1626" i="7950"/>
  <c r="L1580" i="7950"/>
  <c r="K2063" i="7949"/>
  <c r="L2017" i="7949"/>
  <c r="J1847" i="7949"/>
  <c r="K1801" i="7949"/>
  <c r="L2706" i="7950"/>
  <c r="M2660" i="7950"/>
  <c r="K1091" i="7949"/>
  <c r="L1045" i="7949"/>
  <c r="K1140" i="7950"/>
  <c r="L1094" i="7950"/>
  <c r="K708" i="7950"/>
  <c r="L662" i="7950"/>
  <c r="K2220" i="7950"/>
  <c r="L2174" i="7950"/>
  <c r="J1793" i="7949"/>
  <c r="K1747" i="7949"/>
  <c r="K1464" i="7950"/>
  <c r="L1418" i="7950"/>
  <c r="L1788" i="7950"/>
  <c r="M1742" i="7950"/>
  <c r="K2549" i="7949"/>
  <c r="L2503" i="7949"/>
  <c r="K492" i="7950"/>
  <c r="L446" i="7950"/>
  <c r="V2365" i="7949"/>
  <c r="W2041" i="7949"/>
  <c r="W2360" i="7950"/>
  <c r="W1280" i="7950"/>
  <c r="W1933" i="7949"/>
  <c r="W1442" i="7950"/>
  <c r="W1663" i="7949"/>
  <c r="W578" i="7950"/>
  <c r="W2306" i="7950"/>
  <c r="W1339" i="7949"/>
  <c r="W1982" i="7950"/>
  <c r="W1874" i="7950"/>
  <c r="V1879" i="7949"/>
  <c r="W794" i="7950"/>
  <c r="W1064" i="7950"/>
  <c r="V799" i="7949"/>
  <c r="W583" i="7949"/>
  <c r="V1393" i="7949"/>
  <c r="V43" i="7949"/>
  <c r="W956" i="7950"/>
  <c r="V475" i="7949"/>
  <c r="W524" i="7950"/>
  <c r="W2635" i="7949"/>
  <c r="W367" i="7949"/>
  <c r="W2522" i="7950"/>
  <c r="W1285" i="7949"/>
  <c r="W1604" i="7950"/>
  <c r="W1496" i="7950"/>
  <c r="W1231" i="7949"/>
  <c r="W1177" i="7949"/>
  <c r="W2414" i="7950"/>
  <c r="W416" i="7950"/>
  <c r="W1712" i="7950"/>
  <c r="V2689" i="7949"/>
  <c r="W1555" i="7949"/>
  <c r="W1123" i="7949"/>
  <c r="W745" i="7949"/>
  <c r="W686" i="7950"/>
  <c r="W2149" i="7949"/>
  <c r="M1796" i="7950" l="1"/>
  <c r="M1842" i="7950" s="1"/>
  <c r="K1685" i="7949"/>
  <c r="L451" i="7949"/>
  <c r="L497" i="7949" s="1"/>
  <c r="M878" i="7950"/>
  <c r="M924" i="7950" s="1"/>
  <c r="L1415" i="7949"/>
  <c r="M1369" i="7949"/>
  <c r="K1955" i="7949"/>
  <c r="L1909" i="7949"/>
  <c r="K1739" i="7949"/>
  <c r="L1693" i="7949"/>
  <c r="K713" i="7949"/>
  <c r="L667" i="7949"/>
  <c r="L1734" i="7950"/>
  <c r="M1688" i="7950"/>
  <c r="M2228" i="7950"/>
  <c r="L2274" i="7950"/>
  <c r="L2436" i="7950"/>
  <c r="M2390" i="7950"/>
  <c r="W43" i="7949"/>
  <c r="L492" i="7950"/>
  <c r="M446" i="7950"/>
  <c r="M1788" i="7950"/>
  <c r="N1742" i="7950"/>
  <c r="L2220" i="7950"/>
  <c r="M2174" i="7950"/>
  <c r="L1140" i="7950"/>
  <c r="M1094" i="7950"/>
  <c r="L1091" i="7949"/>
  <c r="M1045" i="7949"/>
  <c r="K1847" i="7949"/>
  <c r="L1801" i="7949"/>
  <c r="L1626" i="7950"/>
  <c r="M1580" i="7950"/>
  <c r="K1901" i="7949"/>
  <c r="L1855" i="7949"/>
  <c r="L1248" i="7950"/>
  <c r="M1202" i="7950"/>
  <c r="L1086" i="7950"/>
  <c r="M1040" i="7950"/>
  <c r="L821" i="7949"/>
  <c r="M775" i="7949"/>
  <c r="L1032" i="7950"/>
  <c r="M986" i="7950"/>
  <c r="L546" i="7950"/>
  <c r="M500" i="7950"/>
  <c r="M2490" i="7950"/>
  <c r="N2444" i="7950"/>
  <c r="L1469" i="7949"/>
  <c r="M1423" i="7949"/>
  <c r="K1307" i="7949"/>
  <c r="L1261" i="7949"/>
  <c r="L767" i="7949"/>
  <c r="M721" i="7949"/>
  <c r="K1361" i="7949"/>
  <c r="L1315" i="7949"/>
  <c r="L2598" i="7950"/>
  <c r="M2552" i="7950"/>
  <c r="M1572" i="7950"/>
  <c r="N1526" i="7950"/>
  <c r="K551" i="7949"/>
  <c r="L505" i="7949"/>
  <c r="L2328" i="7950"/>
  <c r="M2282" i="7950"/>
  <c r="L2112" i="7950"/>
  <c r="M2066" i="7950"/>
  <c r="L1302" i="7950"/>
  <c r="M1256" i="7950"/>
  <c r="L983" i="7949"/>
  <c r="M937" i="7949"/>
  <c r="L2387" i="7949"/>
  <c r="M2341" i="7949"/>
  <c r="K2603" i="7949"/>
  <c r="L2557" i="7949"/>
  <c r="K2009" i="7949"/>
  <c r="L1963" i="7949"/>
  <c r="L600" i="7950"/>
  <c r="M554" i="7950"/>
  <c r="L1410" i="7950"/>
  <c r="M1364" i="7950"/>
  <c r="L1685" i="7949"/>
  <c r="M1639" i="7949"/>
  <c r="M438" i="7950"/>
  <c r="N392" i="7950"/>
  <c r="K2171" i="7949"/>
  <c r="L2125" i="7949"/>
  <c r="K2657" i="7949"/>
  <c r="L2611" i="7949"/>
  <c r="M1194" i="7950"/>
  <c r="N1148" i="7950"/>
  <c r="K2495" i="7949"/>
  <c r="L2449" i="7949"/>
  <c r="W2689" i="7949"/>
  <c r="W475" i="7949"/>
  <c r="W1879" i="7949"/>
  <c r="W2365" i="7949"/>
  <c r="W691" i="7949"/>
  <c r="W2581" i="7949"/>
  <c r="L2549" i="7949"/>
  <c r="M2503" i="7949"/>
  <c r="L1464" i="7950"/>
  <c r="M1418" i="7950"/>
  <c r="K1793" i="7949"/>
  <c r="L1747" i="7949"/>
  <c r="L708" i="7950"/>
  <c r="M662" i="7950"/>
  <c r="M2706" i="7950"/>
  <c r="N2660" i="7950"/>
  <c r="L2063" i="7949"/>
  <c r="M2017" i="7949"/>
  <c r="L1523" i="7949"/>
  <c r="M1477" i="7949"/>
  <c r="M2652" i="7950"/>
  <c r="N2606" i="7950"/>
  <c r="M1518" i="7950"/>
  <c r="N1472" i="7950"/>
  <c r="K443" i="7949"/>
  <c r="L397" i="7949"/>
  <c r="L2004" i="7950"/>
  <c r="M1958" i="7950"/>
  <c r="M2058" i="7950"/>
  <c r="N2012" i="7950"/>
  <c r="K875" i="7949"/>
  <c r="L829" i="7949"/>
  <c r="K1253" i="7949"/>
  <c r="L1207" i="7949"/>
  <c r="L1950" i="7950"/>
  <c r="M1904" i="7950"/>
  <c r="L2544" i="7950"/>
  <c r="M2498" i="7950"/>
  <c r="L605" i="7949"/>
  <c r="M559" i="7949"/>
  <c r="M2166" i="7950"/>
  <c r="N2120" i="7950"/>
  <c r="L1145" i="7949"/>
  <c r="M1099" i="7949"/>
  <c r="K2333" i="7949"/>
  <c r="L2287" i="7949"/>
  <c r="K1631" i="7949"/>
  <c r="L1585" i="7949"/>
  <c r="L870" i="7950"/>
  <c r="M824" i="7950"/>
  <c r="L2279" i="7949"/>
  <c r="M2233" i="7949"/>
  <c r="L2711" i="7949"/>
  <c r="M2665" i="7949"/>
  <c r="M654" i="7950"/>
  <c r="N608" i="7950"/>
  <c r="L762" i="7950"/>
  <c r="M716" i="7950"/>
  <c r="M2382" i="7950"/>
  <c r="N2336" i="7950"/>
  <c r="L1356" i="7950"/>
  <c r="M1310" i="7950"/>
  <c r="M1680" i="7950"/>
  <c r="N1634" i="7950"/>
  <c r="K1577" i="7949"/>
  <c r="L1531" i="7949"/>
  <c r="K1199" i="7949"/>
  <c r="L1153" i="7949"/>
  <c r="M929" i="7949"/>
  <c r="N883" i="7949"/>
  <c r="M978" i="7950"/>
  <c r="N932" i="7950"/>
  <c r="L2117" i="7949"/>
  <c r="M2071" i="7949"/>
  <c r="M1896" i="7950"/>
  <c r="N1850" i="7950"/>
  <c r="K659" i="7949"/>
  <c r="L613" i="7949"/>
  <c r="L2441" i="7949"/>
  <c r="M2395" i="7949"/>
  <c r="L816" i="7950"/>
  <c r="M770" i="7950"/>
  <c r="L2225" i="7949"/>
  <c r="M2179" i="7949"/>
  <c r="L1037" i="7949"/>
  <c r="M991" i="7949"/>
  <c r="W1393" i="7949"/>
  <c r="W799" i="7949"/>
  <c r="W1717" i="7949"/>
  <c r="N1796" i="7950" l="1"/>
  <c r="N1842" i="7950" s="1"/>
  <c r="M451" i="7949"/>
  <c r="M497" i="7949" s="1"/>
  <c r="N878" i="7950"/>
  <c r="O878" i="7950" s="1"/>
  <c r="M1415" i="7949"/>
  <c r="N1369" i="7949"/>
  <c r="L1955" i="7949"/>
  <c r="M1909" i="7949"/>
  <c r="L1739" i="7949"/>
  <c r="M1693" i="7949"/>
  <c r="M2436" i="7950"/>
  <c r="N2390" i="7950"/>
  <c r="M1734" i="7950"/>
  <c r="N1688" i="7950"/>
  <c r="L713" i="7949"/>
  <c r="M667" i="7949"/>
  <c r="M2274" i="7950"/>
  <c r="N2228" i="7950"/>
  <c r="M1037" i="7949"/>
  <c r="N991" i="7949"/>
  <c r="M2441" i="7949"/>
  <c r="N2395" i="7949"/>
  <c r="M2117" i="7949"/>
  <c r="N2071" i="7949"/>
  <c r="N929" i="7949"/>
  <c r="O883" i="7949"/>
  <c r="L1577" i="7949"/>
  <c r="M1531" i="7949"/>
  <c r="N1680" i="7950"/>
  <c r="O1634" i="7950"/>
  <c r="N2382" i="7950"/>
  <c r="O2336" i="7950"/>
  <c r="N654" i="7950"/>
  <c r="O608" i="7950"/>
  <c r="N2233" i="7949"/>
  <c r="M2279" i="7949"/>
  <c r="M870" i="7950"/>
  <c r="N824" i="7950"/>
  <c r="L2333" i="7949"/>
  <c r="M2287" i="7949"/>
  <c r="N2166" i="7950"/>
  <c r="O2120" i="7950"/>
  <c r="M2544" i="7950"/>
  <c r="N2498" i="7950"/>
  <c r="L1253" i="7949"/>
  <c r="M1207" i="7949"/>
  <c r="N2058" i="7950"/>
  <c r="O2012" i="7950"/>
  <c r="L443" i="7949"/>
  <c r="M397" i="7949"/>
  <c r="N2652" i="7950"/>
  <c r="O2606" i="7950"/>
  <c r="M2063" i="7949"/>
  <c r="N2017" i="7949"/>
  <c r="M708" i="7950"/>
  <c r="N662" i="7950"/>
  <c r="M1464" i="7950"/>
  <c r="N1418" i="7950"/>
  <c r="N1194" i="7950"/>
  <c r="O1148" i="7950"/>
  <c r="L2657" i="7949"/>
  <c r="M2611" i="7949"/>
  <c r="M1685" i="7949"/>
  <c r="N1639" i="7949"/>
  <c r="M600" i="7950"/>
  <c r="N554" i="7950"/>
  <c r="L2603" i="7949"/>
  <c r="M2557" i="7949"/>
  <c r="M983" i="7949"/>
  <c r="N937" i="7949"/>
  <c r="M2112" i="7950"/>
  <c r="N2066" i="7950"/>
  <c r="M2328" i="7950"/>
  <c r="N2282" i="7950"/>
  <c r="L551" i="7949"/>
  <c r="M505" i="7949"/>
  <c r="N1572" i="7950"/>
  <c r="O1526" i="7950"/>
  <c r="M767" i="7949"/>
  <c r="N721" i="7949"/>
  <c r="M1469" i="7949"/>
  <c r="N1423" i="7949"/>
  <c r="M546" i="7950"/>
  <c r="N500" i="7950"/>
  <c r="M821" i="7949"/>
  <c r="N775" i="7949"/>
  <c r="M1248" i="7950"/>
  <c r="N1202" i="7950"/>
  <c r="L1847" i="7949"/>
  <c r="M1801" i="7949"/>
  <c r="M2220" i="7950"/>
  <c r="N2174" i="7950"/>
  <c r="N1788" i="7950"/>
  <c r="O1742" i="7950"/>
  <c r="M2225" i="7949"/>
  <c r="N2179" i="7949"/>
  <c r="M816" i="7950"/>
  <c r="N770" i="7950"/>
  <c r="L659" i="7949"/>
  <c r="M613" i="7949"/>
  <c r="N1896" i="7950"/>
  <c r="O1850" i="7950"/>
  <c r="N978" i="7950"/>
  <c r="O932" i="7950"/>
  <c r="L1199" i="7949"/>
  <c r="M1153" i="7949"/>
  <c r="M1356" i="7950"/>
  <c r="N1310" i="7950"/>
  <c r="M762" i="7950"/>
  <c r="N716" i="7950"/>
  <c r="M2711" i="7949"/>
  <c r="N2665" i="7949"/>
  <c r="L1631" i="7949"/>
  <c r="M1585" i="7949"/>
  <c r="M1145" i="7949"/>
  <c r="N1099" i="7949"/>
  <c r="M605" i="7949"/>
  <c r="N559" i="7949"/>
  <c r="M1950" i="7950"/>
  <c r="N1904" i="7950"/>
  <c r="L875" i="7949"/>
  <c r="M829" i="7949"/>
  <c r="M2004" i="7950"/>
  <c r="N1958" i="7950"/>
  <c r="N1518" i="7950"/>
  <c r="O1472" i="7950"/>
  <c r="M1523" i="7949"/>
  <c r="N1477" i="7949"/>
  <c r="N2706" i="7950"/>
  <c r="O2660" i="7950"/>
  <c r="L1793" i="7949"/>
  <c r="M1747" i="7949"/>
  <c r="M2549" i="7949"/>
  <c r="N2503" i="7949"/>
  <c r="L2495" i="7949"/>
  <c r="M2449" i="7949"/>
  <c r="L2171" i="7949"/>
  <c r="M2125" i="7949"/>
  <c r="N438" i="7950"/>
  <c r="O392" i="7950"/>
  <c r="M1410" i="7950"/>
  <c r="N1364" i="7950"/>
  <c r="L2009" i="7949"/>
  <c r="M1963" i="7949"/>
  <c r="M2387" i="7949"/>
  <c r="N2341" i="7949"/>
  <c r="M1302" i="7950"/>
  <c r="N1256" i="7950"/>
  <c r="M2598" i="7950"/>
  <c r="N2552" i="7950"/>
  <c r="L1361" i="7949"/>
  <c r="M1315" i="7949"/>
  <c r="L1307" i="7949"/>
  <c r="M1261" i="7949"/>
  <c r="N2490" i="7950"/>
  <c r="O2444" i="7950"/>
  <c r="M1032" i="7950"/>
  <c r="N986" i="7950"/>
  <c r="M1086" i="7950"/>
  <c r="N1040" i="7950"/>
  <c r="L1901" i="7949"/>
  <c r="M1855" i="7949"/>
  <c r="M1626" i="7950"/>
  <c r="N1580" i="7950"/>
  <c r="M1091" i="7949"/>
  <c r="N1045" i="7949"/>
  <c r="M1140" i="7950"/>
  <c r="N1094" i="7950"/>
  <c r="M492" i="7950"/>
  <c r="N446" i="7950"/>
  <c r="O1796" i="7950" l="1"/>
  <c r="O1842" i="7950" s="1"/>
  <c r="N451" i="7949"/>
  <c r="O451" i="7949" s="1"/>
  <c r="N924" i="7950"/>
  <c r="N1415" i="7949"/>
  <c r="O1369" i="7949"/>
  <c r="N1909" i="7949"/>
  <c r="M1955" i="7949"/>
  <c r="M1739" i="7949"/>
  <c r="N1693" i="7949"/>
  <c r="O2228" i="7950"/>
  <c r="N2274" i="7950"/>
  <c r="N1734" i="7950"/>
  <c r="O1688" i="7950"/>
  <c r="M713" i="7949"/>
  <c r="N667" i="7949"/>
  <c r="O2390" i="7950"/>
  <c r="N2436" i="7950"/>
  <c r="N492" i="7950"/>
  <c r="O446" i="7950"/>
  <c r="N1140" i="7950"/>
  <c r="O1094" i="7950"/>
  <c r="N1626" i="7950"/>
  <c r="O1580" i="7950"/>
  <c r="N1086" i="7950"/>
  <c r="O1040" i="7950"/>
  <c r="O2490" i="7950"/>
  <c r="P2444" i="7950"/>
  <c r="M1361" i="7949"/>
  <c r="N1315" i="7949"/>
  <c r="N1302" i="7950"/>
  <c r="O1256" i="7950"/>
  <c r="N1410" i="7950"/>
  <c r="O1364" i="7950"/>
  <c r="M2171" i="7949"/>
  <c r="N2125" i="7949"/>
  <c r="N2549" i="7949"/>
  <c r="O2503" i="7949"/>
  <c r="N1523" i="7949"/>
  <c r="O1477" i="7949"/>
  <c r="N2004" i="7950"/>
  <c r="O1958" i="7950"/>
  <c r="N605" i="7949"/>
  <c r="O559" i="7949"/>
  <c r="M1631" i="7949"/>
  <c r="N1585" i="7949"/>
  <c r="N2711" i="7949"/>
  <c r="O2665" i="7949"/>
  <c r="N1356" i="7950"/>
  <c r="O1310" i="7950"/>
  <c r="M1199" i="7949"/>
  <c r="N1153" i="7949"/>
  <c r="O1896" i="7950"/>
  <c r="P1850" i="7950"/>
  <c r="N816" i="7950"/>
  <c r="O770" i="7950"/>
  <c r="N2220" i="7950"/>
  <c r="O2174" i="7950"/>
  <c r="M1847" i="7949"/>
  <c r="N1801" i="7949"/>
  <c r="N1248" i="7950"/>
  <c r="O1202" i="7950"/>
  <c r="N546" i="7950"/>
  <c r="O500" i="7950"/>
  <c r="N767" i="7949"/>
  <c r="O721" i="7949"/>
  <c r="O1572" i="7950"/>
  <c r="P1526" i="7950"/>
  <c r="N2328" i="7950"/>
  <c r="O2282" i="7950"/>
  <c r="N983" i="7949"/>
  <c r="O937" i="7949"/>
  <c r="M2603" i="7949"/>
  <c r="N2557" i="7949"/>
  <c r="N1685" i="7949"/>
  <c r="O1639" i="7949"/>
  <c r="O1194" i="7950"/>
  <c r="P1148" i="7950"/>
  <c r="N1464" i="7950"/>
  <c r="O1418" i="7950"/>
  <c r="O2652" i="7950"/>
  <c r="P2606" i="7950"/>
  <c r="O2058" i="7950"/>
  <c r="P2012" i="7950"/>
  <c r="M1253" i="7949"/>
  <c r="N1207" i="7949"/>
  <c r="O2166" i="7950"/>
  <c r="P2120" i="7950"/>
  <c r="N870" i="7950"/>
  <c r="O824" i="7950"/>
  <c r="O654" i="7950"/>
  <c r="P608" i="7950"/>
  <c r="O1680" i="7950"/>
  <c r="P1634" i="7950"/>
  <c r="O929" i="7949"/>
  <c r="P883" i="7949"/>
  <c r="N1091" i="7949"/>
  <c r="O1045" i="7949"/>
  <c r="M1901" i="7949"/>
  <c r="N1855" i="7949"/>
  <c r="N1032" i="7950"/>
  <c r="O986" i="7950"/>
  <c r="M1307" i="7949"/>
  <c r="N1261" i="7949"/>
  <c r="N2598" i="7950"/>
  <c r="O2552" i="7950"/>
  <c r="N2387" i="7949"/>
  <c r="O2341" i="7949"/>
  <c r="M2009" i="7949"/>
  <c r="N1963" i="7949"/>
  <c r="O438" i="7950"/>
  <c r="P392" i="7950"/>
  <c r="M2495" i="7949"/>
  <c r="N2449" i="7949"/>
  <c r="M1793" i="7949"/>
  <c r="N1747" i="7949"/>
  <c r="O2706" i="7950"/>
  <c r="P2660" i="7950"/>
  <c r="O1518" i="7950"/>
  <c r="P1472" i="7950"/>
  <c r="M875" i="7949"/>
  <c r="N829" i="7949"/>
  <c r="N1950" i="7950"/>
  <c r="O1904" i="7950"/>
  <c r="N1145" i="7949"/>
  <c r="O1099" i="7949"/>
  <c r="N762" i="7950"/>
  <c r="O716" i="7950"/>
  <c r="O978" i="7950"/>
  <c r="P932" i="7950"/>
  <c r="M659" i="7949"/>
  <c r="N613" i="7949"/>
  <c r="N2225" i="7949"/>
  <c r="O2179" i="7949"/>
  <c r="O1788" i="7950"/>
  <c r="P1742" i="7950"/>
  <c r="O924" i="7950"/>
  <c r="P878" i="7950"/>
  <c r="N821" i="7949"/>
  <c r="O775" i="7949"/>
  <c r="N1469" i="7949"/>
  <c r="O1423" i="7949"/>
  <c r="M551" i="7949"/>
  <c r="N505" i="7949"/>
  <c r="N2112" i="7950"/>
  <c r="O2066" i="7950"/>
  <c r="N600" i="7950"/>
  <c r="O554" i="7950"/>
  <c r="M2657" i="7949"/>
  <c r="N2611" i="7949"/>
  <c r="N708" i="7950"/>
  <c r="O662" i="7950"/>
  <c r="N2063" i="7949"/>
  <c r="O2017" i="7949"/>
  <c r="M443" i="7949"/>
  <c r="N397" i="7949"/>
  <c r="N2544" i="7950"/>
  <c r="O2498" i="7950"/>
  <c r="M2333" i="7949"/>
  <c r="N2287" i="7949"/>
  <c r="O2382" i="7950"/>
  <c r="P2336" i="7950"/>
  <c r="M1577" i="7949"/>
  <c r="N1531" i="7949"/>
  <c r="N2117" i="7949"/>
  <c r="O2071" i="7949"/>
  <c r="N2441" i="7949"/>
  <c r="O2395" i="7949"/>
  <c r="N1037" i="7949"/>
  <c r="O991" i="7949"/>
  <c r="N2279" i="7949"/>
  <c r="O2233" i="7949"/>
  <c r="N497" i="7949" l="1"/>
  <c r="P1796" i="7950"/>
  <c r="Q1796" i="7950" s="1"/>
  <c r="G824" i="18"/>
  <c r="G823" i="18"/>
  <c r="G113" i="7941" s="1"/>
  <c r="G822" i="18"/>
  <c r="M57" i="1"/>
  <c r="O1415" i="7949"/>
  <c r="P1369" i="7949"/>
  <c r="N1955" i="7949"/>
  <c r="O1909" i="7949"/>
  <c r="N1739" i="7949"/>
  <c r="O1693" i="7949"/>
  <c r="O1734" i="7950"/>
  <c r="P1688" i="7950"/>
  <c r="P2390" i="7950"/>
  <c r="O2436" i="7950"/>
  <c r="O667" i="7949"/>
  <c r="N713" i="7949"/>
  <c r="O2274" i="7950"/>
  <c r="P2228" i="7950"/>
  <c r="O2279" i="7949"/>
  <c r="P2233" i="7949"/>
  <c r="O2441" i="7949"/>
  <c r="P2395" i="7949"/>
  <c r="N1577" i="7949"/>
  <c r="O1531" i="7949"/>
  <c r="N2333" i="7949"/>
  <c r="O2287" i="7949"/>
  <c r="O2063" i="7949"/>
  <c r="P2017" i="7949"/>
  <c r="N551" i="7949"/>
  <c r="O505" i="7949"/>
  <c r="O1469" i="7949"/>
  <c r="P1423" i="7949"/>
  <c r="P924" i="7950"/>
  <c r="Q878" i="7950"/>
  <c r="P1788" i="7950"/>
  <c r="Q1742" i="7950"/>
  <c r="N659" i="7949"/>
  <c r="O613" i="7949"/>
  <c r="O1950" i="7950"/>
  <c r="P1904" i="7950"/>
  <c r="P1518" i="7950"/>
  <c r="Q1472" i="7950"/>
  <c r="N1793" i="7949"/>
  <c r="O1747" i="7949"/>
  <c r="N2009" i="7949"/>
  <c r="O1963" i="7949"/>
  <c r="N1307" i="7949"/>
  <c r="O1261" i="7949"/>
  <c r="N1901" i="7949"/>
  <c r="O1855" i="7949"/>
  <c r="P1680" i="7950"/>
  <c r="Q1634" i="7950"/>
  <c r="O870" i="7950"/>
  <c r="P824" i="7950"/>
  <c r="N1253" i="7949"/>
  <c r="O1207" i="7949"/>
  <c r="P2652" i="7950"/>
  <c r="Q2606" i="7950"/>
  <c r="O1464" i="7950"/>
  <c r="P1418" i="7950"/>
  <c r="N2603" i="7949"/>
  <c r="O2557" i="7949"/>
  <c r="O2328" i="7950"/>
  <c r="P2282" i="7950"/>
  <c r="O767" i="7949"/>
  <c r="P721" i="7949"/>
  <c r="O1248" i="7950"/>
  <c r="P1202" i="7950"/>
  <c r="O2220" i="7950"/>
  <c r="P2174" i="7950"/>
  <c r="O816" i="7950"/>
  <c r="P770" i="7950"/>
  <c r="N1199" i="7949"/>
  <c r="O1153" i="7949"/>
  <c r="O2711" i="7949"/>
  <c r="P2665" i="7949"/>
  <c r="O605" i="7949"/>
  <c r="P559" i="7949"/>
  <c r="O2004" i="7950"/>
  <c r="P1958" i="7950"/>
  <c r="O1410" i="7950"/>
  <c r="P1364" i="7950"/>
  <c r="O1302" i="7950"/>
  <c r="P1256" i="7950"/>
  <c r="N1361" i="7949"/>
  <c r="O1315" i="7949"/>
  <c r="O1086" i="7950"/>
  <c r="P1040" i="7950"/>
  <c r="O1140" i="7950"/>
  <c r="P1094" i="7950"/>
  <c r="O1037" i="7949"/>
  <c r="P991" i="7949"/>
  <c r="O2117" i="7949"/>
  <c r="P2071" i="7949"/>
  <c r="P2382" i="7950"/>
  <c r="Q2336" i="7950"/>
  <c r="O2544" i="7950"/>
  <c r="P2498" i="7950"/>
  <c r="N443" i="7949"/>
  <c r="O397" i="7949"/>
  <c r="O708" i="7950"/>
  <c r="P662" i="7950"/>
  <c r="N2657" i="7949"/>
  <c r="O2611" i="7949"/>
  <c r="O600" i="7950"/>
  <c r="P554" i="7950"/>
  <c r="O2112" i="7950"/>
  <c r="P2066" i="7950"/>
  <c r="O821" i="7949"/>
  <c r="P775" i="7949"/>
  <c r="O2225" i="7949"/>
  <c r="P2179" i="7949"/>
  <c r="P978" i="7950"/>
  <c r="Q932" i="7950"/>
  <c r="O762" i="7950"/>
  <c r="P716" i="7950"/>
  <c r="O1145" i="7949"/>
  <c r="P1099" i="7949"/>
  <c r="N875" i="7949"/>
  <c r="O829" i="7949"/>
  <c r="P2706" i="7950"/>
  <c r="Q2660" i="7950"/>
  <c r="N2495" i="7949"/>
  <c r="O2449" i="7949"/>
  <c r="P438" i="7950"/>
  <c r="Q392" i="7950"/>
  <c r="O2387" i="7949"/>
  <c r="P2341" i="7949"/>
  <c r="O2598" i="7950"/>
  <c r="P2552" i="7950"/>
  <c r="O1032" i="7950"/>
  <c r="P986" i="7950"/>
  <c r="O1091" i="7949"/>
  <c r="P1045" i="7949"/>
  <c r="O497" i="7949"/>
  <c r="P451" i="7949"/>
  <c r="P929" i="7949"/>
  <c r="Q883" i="7949"/>
  <c r="P654" i="7950"/>
  <c r="Q608" i="7950"/>
  <c r="P2166" i="7950"/>
  <c r="Q2120" i="7950"/>
  <c r="P2058" i="7950"/>
  <c r="Q2012" i="7950"/>
  <c r="P1194" i="7950"/>
  <c r="Q1148" i="7950"/>
  <c r="O1685" i="7949"/>
  <c r="P1639" i="7949"/>
  <c r="O983" i="7949"/>
  <c r="P937" i="7949"/>
  <c r="P1572" i="7950"/>
  <c r="Q1526" i="7950"/>
  <c r="O546" i="7950"/>
  <c r="P500" i="7950"/>
  <c r="N1847" i="7949"/>
  <c r="O1801" i="7949"/>
  <c r="P1896" i="7950"/>
  <c r="Q1850" i="7950"/>
  <c r="O1356" i="7950"/>
  <c r="P1310" i="7950"/>
  <c r="N1631" i="7949"/>
  <c r="O1585" i="7949"/>
  <c r="O1523" i="7949"/>
  <c r="P1477" i="7949"/>
  <c r="O2549" i="7949"/>
  <c r="P2503" i="7949"/>
  <c r="N2171" i="7949"/>
  <c r="O2125" i="7949"/>
  <c r="P2490" i="7950"/>
  <c r="Q2444" i="7950"/>
  <c r="O1626" i="7950"/>
  <c r="P1580" i="7950"/>
  <c r="O492" i="7950"/>
  <c r="P446" i="7950"/>
  <c r="P1842" i="7950" l="1"/>
  <c r="G114" i="7941"/>
  <c r="G821" i="18"/>
  <c r="G112" i="7941"/>
  <c r="P1415" i="7949"/>
  <c r="Q1369" i="7949"/>
  <c r="O1955" i="7949"/>
  <c r="P1909" i="7949"/>
  <c r="O1739" i="7949"/>
  <c r="P1693" i="7949"/>
  <c r="P2274" i="7950"/>
  <c r="Q2228" i="7950"/>
  <c r="P2436" i="7950"/>
  <c r="Q2390" i="7950"/>
  <c r="P1734" i="7950"/>
  <c r="Q1688" i="7950"/>
  <c r="O713" i="7949"/>
  <c r="P667" i="7949"/>
  <c r="P492" i="7950"/>
  <c r="Q446" i="7950"/>
  <c r="Q2490" i="7950"/>
  <c r="R2444" i="7950"/>
  <c r="P2549" i="7949"/>
  <c r="Q2503" i="7949"/>
  <c r="P1356" i="7950"/>
  <c r="Q1310" i="7950"/>
  <c r="P546" i="7950"/>
  <c r="Q500" i="7950"/>
  <c r="P983" i="7949"/>
  <c r="Q937" i="7949"/>
  <c r="Q1194" i="7950"/>
  <c r="R1148" i="7950"/>
  <c r="Q2058" i="7950"/>
  <c r="R2012" i="7950"/>
  <c r="Q654" i="7950"/>
  <c r="R608" i="7950"/>
  <c r="P497" i="7949"/>
  <c r="Q451" i="7949"/>
  <c r="P1032" i="7950"/>
  <c r="Q986" i="7950"/>
  <c r="P2387" i="7949"/>
  <c r="Q2341" i="7949"/>
  <c r="O2495" i="7949"/>
  <c r="P2449" i="7949"/>
  <c r="O875" i="7949"/>
  <c r="P829" i="7949"/>
  <c r="P762" i="7950"/>
  <c r="Q716" i="7950"/>
  <c r="P2225" i="7949"/>
  <c r="Q2179" i="7949"/>
  <c r="P821" i="7949"/>
  <c r="Q775" i="7949"/>
  <c r="P2112" i="7950"/>
  <c r="Q2066" i="7950"/>
  <c r="O2657" i="7949"/>
  <c r="P2611" i="7949"/>
  <c r="O443" i="7949"/>
  <c r="P397" i="7949"/>
  <c r="Q2382" i="7950"/>
  <c r="R2336" i="7950"/>
  <c r="P1037" i="7949"/>
  <c r="Q991" i="7949"/>
  <c r="P1086" i="7950"/>
  <c r="Q1040" i="7950"/>
  <c r="P1302" i="7950"/>
  <c r="Q1256" i="7950"/>
  <c r="P2004" i="7950"/>
  <c r="Q1958" i="7950"/>
  <c r="P2711" i="7949"/>
  <c r="Q2665" i="7949"/>
  <c r="P816" i="7950"/>
  <c r="Q770" i="7950"/>
  <c r="P1248" i="7950"/>
  <c r="Q1202" i="7950"/>
  <c r="P2328" i="7950"/>
  <c r="Q2282" i="7950"/>
  <c r="Q2652" i="7950"/>
  <c r="R2606" i="7950"/>
  <c r="P870" i="7950"/>
  <c r="Q824" i="7950"/>
  <c r="O1901" i="7949"/>
  <c r="P1855" i="7949"/>
  <c r="Q1842" i="7950"/>
  <c r="R1796" i="7950"/>
  <c r="Q1518" i="7950"/>
  <c r="R1472" i="7950"/>
  <c r="O659" i="7949"/>
  <c r="P613" i="7949"/>
  <c r="Q924" i="7950"/>
  <c r="R878" i="7950"/>
  <c r="O551" i="7949"/>
  <c r="P505" i="7949"/>
  <c r="P2063" i="7949"/>
  <c r="Q2017" i="7949"/>
  <c r="O2333" i="7949"/>
  <c r="P2287" i="7949"/>
  <c r="P2441" i="7949"/>
  <c r="Q2395" i="7949"/>
  <c r="P1626" i="7950"/>
  <c r="Q1580" i="7950"/>
  <c r="O2171" i="7949"/>
  <c r="P2125" i="7949"/>
  <c r="P1523" i="7949"/>
  <c r="Q1477" i="7949"/>
  <c r="O1631" i="7949"/>
  <c r="P1585" i="7949"/>
  <c r="Q1896" i="7950"/>
  <c r="R1850" i="7950"/>
  <c r="O1847" i="7949"/>
  <c r="P1801" i="7949"/>
  <c r="Q1572" i="7950"/>
  <c r="R1526" i="7950"/>
  <c r="P1685" i="7949"/>
  <c r="Q1639" i="7949"/>
  <c r="Q2166" i="7950"/>
  <c r="R2120" i="7950"/>
  <c r="Q929" i="7949"/>
  <c r="R883" i="7949"/>
  <c r="P1091" i="7949"/>
  <c r="Q1045" i="7949"/>
  <c r="P2598" i="7950"/>
  <c r="Q2552" i="7950"/>
  <c r="Q438" i="7950"/>
  <c r="R392" i="7950"/>
  <c r="Q2706" i="7950"/>
  <c r="R2660" i="7950"/>
  <c r="P1145" i="7949"/>
  <c r="Q1099" i="7949"/>
  <c r="Q978" i="7950"/>
  <c r="R932" i="7950"/>
  <c r="P600" i="7950"/>
  <c r="Q554" i="7950"/>
  <c r="P708" i="7950"/>
  <c r="Q662" i="7950"/>
  <c r="P2544" i="7950"/>
  <c r="Q2498" i="7950"/>
  <c r="P2117" i="7949"/>
  <c r="Q2071" i="7949"/>
  <c r="P1140" i="7950"/>
  <c r="Q1094" i="7950"/>
  <c r="O1361" i="7949"/>
  <c r="P1315" i="7949"/>
  <c r="P1410" i="7950"/>
  <c r="Q1364" i="7950"/>
  <c r="P605" i="7949"/>
  <c r="Q559" i="7949"/>
  <c r="O1199" i="7949"/>
  <c r="P1153" i="7949"/>
  <c r="P2220" i="7950"/>
  <c r="Q2174" i="7950"/>
  <c r="P767" i="7949"/>
  <c r="Q721" i="7949"/>
  <c r="O2603" i="7949"/>
  <c r="P2557" i="7949"/>
  <c r="P1464" i="7950"/>
  <c r="Q1418" i="7950"/>
  <c r="O1253" i="7949"/>
  <c r="P1207" i="7949"/>
  <c r="Q1680" i="7950"/>
  <c r="R1634" i="7950"/>
  <c r="O1307" i="7949"/>
  <c r="P1261" i="7949"/>
  <c r="O2009" i="7949"/>
  <c r="P1963" i="7949"/>
  <c r="O1793" i="7949"/>
  <c r="P1747" i="7949"/>
  <c r="P1950" i="7950"/>
  <c r="Q1904" i="7950"/>
  <c r="Q1788" i="7950"/>
  <c r="R1742" i="7950"/>
  <c r="P1469" i="7949"/>
  <c r="Q1423" i="7949"/>
  <c r="O1577" i="7949"/>
  <c r="P1531" i="7949"/>
  <c r="P2279" i="7949"/>
  <c r="Q2233" i="7949"/>
  <c r="G111" i="7941" l="1"/>
  <c r="Q1415" i="7949"/>
  <c r="R1369" i="7949"/>
  <c r="P1955" i="7949"/>
  <c r="Q1909" i="7949"/>
  <c r="P1739" i="7949"/>
  <c r="Q1693" i="7949"/>
  <c r="P713" i="7949"/>
  <c r="Q667" i="7949"/>
  <c r="Q2436" i="7950"/>
  <c r="R2390" i="7950"/>
  <c r="Q1734" i="7950"/>
  <c r="R1688" i="7950"/>
  <c r="Q2274" i="7950"/>
  <c r="R2228" i="7950"/>
  <c r="Q2279" i="7949"/>
  <c r="R2233" i="7949"/>
  <c r="R1788" i="7950"/>
  <c r="S1742" i="7950"/>
  <c r="Q1950" i="7950"/>
  <c r="R1904" i="7950"/>
  <c r="P2009" i="7949"/>
  <c r="Q1963" i="7949"/>
  <c r="P1253" i="7949"/>
  <c r="Q1207" i="7949"/>
  <c r="P2603" i="7949"/>
  <c r="Q2557" i="7949"/>
  <c r="Q2220" i="7950"/>
  <c r="R2174" i="7950"/>
  <c r="Q605" i="7949"/>
  <c r="R559" i="7949"/>
  <c r="Q1410" i="7950"/>
  <c r="R1364" i="7950"/>
  <c r="Q1140" i="7950"/>
  <c r="R1094" i="7950"/>
  <c r="Q2544" i="7950"/>
  <c r="R2498" i="7950"/>
  <c r="Q600" i="7950"/>
  <c r="R554" i="7950"/>
  <c r="Q1145" i="7949"/>
  <c r="R1099" i="7949"/>
  <c r="R438" i="7950"/>
  <c r="S392" i="7950"/>
  <c r="Q1091" i="7949"/>
  <c r="R1045" i="7949"/>
  <c r="R2166" i="7950"/>
  <c r="S2120" i="7950"/>
  <c r="Q1685" i="7949"/>
  <c r="R1639" i="7949"/>
  <c r="P1847" i="7949"/>
  <c r="Q1801" i="7949"/>
  <c r="P1631" i="7949"/>
  <c r="Q1585" i="7949"/>
  <c r="P2171" i="7949"/>
  <c r="Q2125" i="7949"/>
  <c r="Q1626" i="7950"/>
  <c r="R1580" i="7950"/>
  <c r="P2333" i="7949"/>
  <c r="Q2287" i="7949"/>
  <c r="R924" i="7950"/>
  <c r="S878" i="7950"/>
  <c r="R1842" i="7950"/>
  <c r="S1796" i="7950"/>
  <c r="P1901" i="7949"/>
  <c r="Q1855" i="7949"/>
  <c r="Q870" i="7950"/>
  <c r="R824" i="7950"/>
  <c r="Q1248" i="7950"/>
  <c r="R1202" i="7950"/>
  <c r="Q2711" i="7949"/>
  <c r="R2665" i="7949"/>
  <c r="Q1086" i="7950"/>
  <c r="R1040" i="7950"/>
  <c r="R2382" i="7950"/>
  <c r="S2336" i="7950"/>
  <c r="P2657" i="7949"/>
  <c r="Q2611" i="7949"/>
  <c r="Q821" i="7949"/>
  <c r="R775" i="7949"/>
  <c r="Q762" i="7950"/>
  <c r="R716" i="7950"/>
  <c r="P2495" i="7949"/>
  <c r="Q2449" i="7949"/>
  <c r="Q1032" i="7950"/>
  <c r="R986" i="7950"/>
  <c r="R654" i="7950"/>
  <c r="S608" i="7950"/>
  <c r="R1194" i="7950"/>
  <c r="S1148" i="7950"/>
  <c r="Q546" i="7950"/>
  <c r="R500" i="7950"/>
  <c r="Q1356" i="7950"/>
  <c r="R1310" i="7950"/>
  <c r="Q2549" i="7949"/>
  <c r="R2503" i="7949"/>
  <c r="R2490" i="7950"/>
  <c r="S2444" i="7950"/>
  <c r="P1577" i="7949"/>
  <c r="Q1531" i="7949"/>
  <c r="Q1469" i="7949"/>
  <c r="R1423" i="7949"/>
  <c r="P1793" i="7949"/>
  <c r="Q1747" i="7949"/>
  <c r="P1307" i="7949"/>
  <c r="Q1261" i="7949"/>
  <c r="R1680" i="7950"/>
  <c r="S1634" i="7950"/>
  <c r="Q1464" i="7950"/>
  <c r="R1418" i="7950"/>
  <c r="Q767" i="7949"/>
  <c r="R721" i="7949"/>
  <c r="P1199" i="7949"/>
  <c r="Q1153" i="7949"/>
  <c r="P1361" i="7949"/>
  <c r="Q1315" i="7949"/>
  <c r="Q2117" i="7949"/>
  <c r="R2071" i="7949"/>
  <c r="Q708" i="7950"/>
  <c r="R662" i="7950"/>
  <c r="R978" i="7950"/>
  <c r="S932" i="7950"/>
  <c r="R2706" i="7950"/>
  <c r="S2660" i="7950"/>
  <c r="Q2598" i="7950"/>
  <c r="R2552" i="7950"/>
  <c r="R929" i="7949"/>
  <c r="S883" i="7949"/>
  <c r="R1572" i="7950"/>
  <c r="S1526" i="7950"/>
  <c r="R1896" i="7950"/>
  <c r="S1850" i="7950"/>
  <c r="Q1523" i="7949"/>
  <c r="R1477" i="7949"/>
  <c r="Q2441" i="7949"/>
  <c r="R2395" i="7949"/>
  <c r="Q2063" i="7949"/>
  <c r="R2017" i="7949"/>
  <c r="P551" i="7949"/>
  <c r="Q505" i="7949"/>
  <c r="P659" i="7949"/>
  <c r="Q613" i="7949"/>
  <c r="R1518" i="7950"/>
  <c r="S1472" i="7950"/>
  <c r="R2652" i="7950"/>
  <c r="S2606" i="7950"/>
  <c r="Q2328" i="7950"/>
  <c r="R2282" i="7950"/>
  <c r="Q816" i="7950"/>
  <c r="R770" i="7950"/>
  <c r="Q2004" i="7950"/>
  <c r="R1958" i="7950"/>
  <c r="Q1302" i="7950"/>
  <c r="R1256" i="7950"/>
  <c r="Q1037" i="7949"/>
  <c r="R991" i="7949"/>
  <c r="P443" i="7949"/>
  <c r="Q397" i="7949"/>
  <c r="Q2112" i="7950"/>
  <c r="R2066" i="7950"/>
  <c r="Q2225" i="7949"/>
  <c r="R2179" i="7949"/>
  <c r="P875" i="7949"/>
  <c r="Q829" i="7949"/>
  <c r="Q2387" i="7949"/>
  <c r="R2341" i="7949"/>
  <c r="Q497" i="7949"/>
  <c r="R451" i="7949"/>
  <c r="R2058" i="7950"/>
  <c r="S2012" i="7950"/>
  <c r="Q983" i="7949"/>
  <c r="R937" i="7949"/>
  <c r="Q492" i="7950"/>
  <c r="R446" i="7950"/>
  <c r="R1415" i="7949" l="1"/>
  <c r="S1369" i="7949"/>
  <c r="Q1955" i="7949"/>
  <c r="R1909" i="7949"/>
  <c r="Q1739" i="7949"/>
  <c r="R1693" i="7949"/>
  <c r="R2274" i="7950"/>
  <c r="S2228" i="7950"/>
  <c r="R2436" i="7950"/>
  <c r="S2390" i="7950"/>
  <c r="R1734" i="7950"/>
  <c r="S1688" i="7950"/>
  <c r="Q713" i="7949"/>
  <c r="R667" i="7949"/>
  <c r="R492" i="7950"/>
  <c r="S446" i="7950"/>
  <c r="R983" i="7949"/>
  <c r="S937" i="7949"/>
  <c r="R497" i="7949"/>
  <c r="S451" i="7949"/>
  <c r="Q875" i="7949"/>
  <c r="R829" i="7949"/>
  <c r="R2112" i="7950"/>
  <c r="S2066" i="7950"/>
  <c r="R1037" i="7949"/>
  <c r="S991" i="7949"/>
  <c r="R2004" i="7950"/>
  <c r="S1958" i="7950"/>
  <c r="R2328" i="7950"/>
  <c r="S2282" i="7950"/>
  <c r="S1518" i="7950"/>
  <c r="T1472" i="7950"/>
  <c r="Q551" i="7949"/>
  <c r="R505" i="7949"/>
  <c r="R2441" i="7949"/>
  <c r="S2395" i="7949"/>
  <c r="R1523" i="7949"/>
  <c r="S1477" i="7949"/>
  <c r="S1572" i="7950"/>
  <c r="T1526" i="7950"/>
  <c r="S929" i="7949"/>
  <c r="T883" i="7949"/>
  <c r="S2706" i="7950"/>
  <c r="T2660" i="7950"/>
  <c r="R2117" i="7949"/>
  <c r="S2071" i="7949"/>
  <c r="R767" i="7949"/>
  <c r="S721" i="7949"/>
  <c r="S1680" i="7950"/>
  <c r="T1634" i="7950"/>
  <c r="Q1793" i="7949"/>
  <c r="R1747" i="7949"/>
  <c r="R1469" i="7949"/>
  <c r="S1423" i="7949"/>
  <c r="Q1577" i="7949"/>
  <c r="R1531" i="7949"/>
  <c r="R2549" i="7949"/>
  <c r="S2503" i="7949"/>
  <c r="R546" i="7950"/>
  <c r="S500" i="7950"/>
  <c r="S654" i="7950"/>
  <c r="T608" i="7950"/>
  <c r="Q2495" i="7949"/>
  <c r="R2449" i="7949"/>
  <c r="R821" i="7949"/>
  <c r="S775" i="7949"/>
  <c r="S2382" i="7950"/>
  <c r="T2336" i="7950"/>
  <c r="R1248" i="7950"/>
  <c r="S1202" i="7950"/>
  <c r="R870" i="7950"/>
  <c r="S824" i="7950"/>
  <c r="S1842" i="7950"/>
  <c r="T1796" i="7950"/>
  <c r="S924" i="7950"/>
  <c r="T878" i="7950"/>
  <c r="Q2333" i="7949"/>
  <c r="R2287" i="7949"/>
  <c r="Q2171" i="7949"/>
  <c r="R2125" i="7949"/>
  <c r="Q1847" i="7949"/>
  <c r="R1801" i="7949"/>
  <c r="S2166" i="7950"/>
  <c r="T2120" i="7950"/>
  <c r="S438" i="7950"/>
  <c r="T392" i="7950"/>
  <c r="R2544" i="7950"/>
  <c r="S2498" i="7950"/>
  <c r="R1410" i="7950"/>
  <c r="S1364" i="7950"/>
  <c r="R2220" i="7950"/>
  <c r="S2174" i="7950"/>
  <c r="Q1253" i="7949"/>
  <c r="R1207" i="7949"/>
  <c r="Q2009" i="7949"/>
  <c r="R1963" i="7949"/>
  <c r="S1788" i="7950"/>
  <c r="T1742" i="7950"/>
  <c r="S2058" i="7950"/>
  <c r="T2012" i="7950"/>
  <c r="R2387" i="7949"/>
  <c r="S2341" i="7949"/>
  <c r="R2225" i="7949"/>
  <c r="S2179" i="7949"/>
  <c r="Q443" i="7949"/>
  <c r="R397" i="7949"/>
  <c r="R1302" i="7950"/>
  <c r="S1256" i="7950"/>
  <c r="R816" i="7950"/>
  <c r="S770" i="7950"/>
  <c r="S2652" i="7950"/>
  <c r="T2606" i="7950"/>
  <c r="Q659" i="7949"/>
  <c r="R613" i="7949"/>
  <c r="R2063" i="7949"/>
  <c r="S2017" i="7949"/>
  <c r="S1896" i="7950"/>
  <c r="T1850" i="7950"/>
  <c r="R2598" i="7950"/>
  <c r="S2552" i="7950"/>
  <c r="S978" i="7950"/>
  <c r="T932" i="7950"/>
  <c r="R708" i="7950"/>
  <c r="S662" i="7950"/>
  <c r="Q1361" i="7949"/>
  <c r="R1315" i="7949"/>
  <c r="Q1199" i="7949"/>
  <c r="R1153" i="7949"/>
  <c r="R1464" i="7950"/>
  <c r="S1418" i="7950"/>
  <c r="Q1307" i="7949"/>
  <c r="R1261" i="7949"/>
  <c r="S2490" i="7950"/>
  <c r="T2444" i="7950"/>
  <c r="R1356" i="7950"/>
  <c r="S1310" i="7950"/>
  <c r="S1194" i="7950"/>
  <c r="T1148" i="7950"/>
  <c r="R1032" i="7950"/>
  <c r="S986" i="7950"/>
  <c r="R762" i="7950"/>
  <c r="S716" i="7950"/>
  <c r="Q2657" i="7949"/>
  <c r="R2611" i="7949"/>
  <c r="R1086" i="7950"/>
  <c r="S1040" i="7950"/>
  <c r="R2711" i="7949"/>
  <c r="S2665" i="7949"/>
  <c r="Q1901" i="7949"/>
  <c r="R1855" i="7949"/>
  <c r="R1626" i="7950"/>
  <c r="S1580" i="7950"/>
  <c r="Q1631" i="7949"/>
  <c r="R1585" i="7949"/>
  <c r="R1685" i="7949"/>
  <c r="S1639" i="7949"/>
  <c r="R1091" i="7949"/>
  <c r="S1045" i="7949"/>
  <c r="R1145" i="7949"/>
  <c r="S1099" i="7949"/>
  <c r="R600" i="7950"/>
  <c r="S554" i="7950"/>
  <c r="R1140" i="7950"/>
  <c r="S1094" i="7950"/>
  <c r="R605" i="7949"/>
  <c r="S559" i="7949"/>
  <c r="Q2603" i="7949"/>
  <c r="R2557" i="7949"/>
  <c r="R1950" i="7950"/>
  <c r="S1904" i="7950"/>
  <c r="R2279" i="7949"/>
  <c r="S2233" i="7949"/>
  <c r="S1415" i="7949" l="1"/>
  <c r="T1369" i="7949"/>
  <c r="R1955" i="7949"/>
  <c r="S1909" i="7949"/>
  <c r="R1739" i="7949"/>
  <c r="S1693" i="7949"/>
  <c r="R713" i="7949"/>
  <c r="S667" i="7949"/>
  <c r="S2436" i="7950"/>
  <c r="T2390" i="7950"/>
  <c r="S1734" i="7950"/>
  <c r="T1688" i="7950"/>
  <c r="S2274" i="7950"/>
  <c r="T2228" i="7950"/>
  <c r="S2279" i="7949"/>
  <c r="T2233" i="7949"/>
  <c r="S1950" i="7950"/>
  <c r="T1904" i="7950"/>
  <c r="R2603" i="7949"/>
  <c r="S2557" i="7949"/>
  <c r="S1140" i="7950"/>
  <c r="T1094" i="7950"/>
  <c r="S1145" i="7949"/>
  <c r="T1099" i="7949"/>
  <c r="S1685" i="7949"/>
  <c r="T1639" i="7949"/>
  <c r="S1626" i="7950"/>
  <c r="T1580" i="7950"/>
  <c r="S1086" i="7950"/>
  <c r="T1040" i="7950"/>
  <c r="S762" i="7950"/>
  <c r="T716" i="7950"/>
  <c r="T1194" i="7950"/>
  <c r="U1148" i="7950"/>
  <c r="T2490" i="7950"/>
  <c r="U2444" i="7950"/>
  <c r="S1464" i="7950"/>
  <c r="T1418" i="7950"/>
  <c r="R1361" i="7949"/>
  <c r="S1315" i="7949"/>
  <c r="T978" i="7950"/>
  <c r="U932" i="7950"/>
  <c r="R659" i="7949"/>
  <c r="S613" i="7949"/>
  <c r="T2652" i="7950"/>
  <c r="U2606" i="7950"/>
  <c r="S1302" i="7950"/>
  <c r="T1256" i="7950"/>
  <c r="S2225" i="7949"/>
  <c r="T2179" i="7949"/>
  <c r="T2058" i="7950"/>
  <c r="U2012" i="7950"/>
  <c r="T1788" i="7950"/>
  <c r="U1742" i="7950"/>
  <c r="R1253" i="7949"/>
  <c r="S1207" i="7949"/>
  <c r="S1410" i="7950"/>
  <c r="T1364" i="7950"/>
  <c r="T2166" i="7950"/>
  <c r="U2120" i="7950"/>
  <c r="R2171" i="7949"/>
  <c r="S2125" i="7949"/>
  <c r="T924" i="7950"/>
  <c r="U878" i="7950"/>
  <c r="S870" i="7950"/>
  <c r="T824" i="7950"/>
  <c r="S821" i="7949"/>
  <c r="T775" i="7949"/>
  <c r="T654" i="7950"/>
  <c r="U608" i="7950"/>
  <c r="S2549" i="7949"/>
  <c r="T2503" i="7949"/>
  <c r="S1469" i="7949"/>
  <c r="T1423" i="7949"/>
  <c r="T1680" i="7950"/>
  <c r="U1634" i="7950"/>
  <c r="T929" i="7949"/>
  <c r="U883" i="7949"/>
  <c r="S1523" i="7949"/>
  <c r="T1477" i="7949"/>
  <c r="R551" i="7949"/>
  <c r="S505" i="7949"/>
  <c r="S2004" i="7950"/>
  <c r="T1958" i="7950"/>
  <c r="S2112" i="7950"/>
  <c r="T2066" i="7950"/>
  <c r="S497" i="7949"/>
  <c r="T451" i="7949"/>
  <c r="S605" i="7949"/>
  <c r="T559" i="7949"/>
  <c r="S600" i="7950"/>
  <c r="T554" i="7950"/>
  <c r="S1091" i="7949"/>
  <c r="T1045" i="7949"/>
  <c r="R1631" i="7949"/>
  <c r="S1585" i="7949"/>
  <c r="R1901" i="7949"/>
  <c r="S1855" i="7949"/>
  <c r="S2711" i="7949"/>
  <c r="T2665" i="7949"/>
  <c r="R2657" i="7949"/>
  <c r="S2611" i="7949"/>
  <c r="S1032" i="7950"/>
  <c r="T986" i="7950"/>
  <c r="S1356" i="7950"/>
  <c r="T1310" i="7950"/>
  <c r="R1307" i="7949"/>
  <c r="S1261" i="7949"/>
  <c r="R1199" i="7949"/>
  <c r="S1153" i="7949"/>
  <c r="S708" i="7950"/>
  <c r="T662" i="7950"/>
  <c r="S2598" i="7950"/>
  <c r="T2552" i="7950"/>
  <c r="T1896" i="7950"/>
  <c r="U1850" i="7950"/>
  <c r="S2063" i="7949"/>
  <c r="T2017" i="7949"/>
  <c r="S816" i="7950"/>
  <c r="T770" i="7950"/>
  <c r="R443" i="7949"/>
  <c r="S397" i="7949"/>
  <c r="S2387" i="7949"/>
  <c r="T2341" i="7949"/>
  <c r="R2009" i="7949"/>
  <c r="S1963" i="7949"/>
  <c r="S2220" i="7950"/>
  <c r="T2174" i="7950"/>
  <c r="S2544" i="7950"/>
  <c r="T2498" i="7950"/>
  <c r="T438" i="7950"/>
  <c r="U392" i="7950"/>
  <c r="R1847" i="7949"/>
  <c r="S1801" i="7949"/>
  <c r="R2333" i="7949"/>
  <c r="S2287" i="7949"/>
  <c r="T1842" i="7950"/>
  <c r="U1796" i="7950"/>
  <c r="S1248" i="7950"/>
  <c r="T1202" i="7950"/>
  <c r="T2382" i="7950"/>
  <c r="U2336" i="7950"/>
  <c r="R2495" i="7949"/>
  <c r="S2449" i="7949"/>
  <c r="S546" i="7950"/>
  <c r="T500" i="7950"/>
  <c r="R1577" i="7949"/>
  <c r="S1531" i="7949"/>
  <c r="R1793" i="7949"/>
  <c r="S1747" i="7949"/>
  <c r="S767" i="7949"/>
  <c r="T721" i="7949"/>
  <c r="S2117" i="7949"/>
  <c r="T2071" i="7949"/>
  <c r="T2706" i="7950"/>
  <c r="U2660" i="7950"/>
  <c r="T1572" i="7950"/>
  <c r="U1526" i="7950"/>
  <c r="S2441" i="7949"/>
  <c r="T2395" i="7949"/>
  <c r="T1518" i="7950"/>
  <c r="U1472" i="7950"/>
  <c r="S2328" i="7950"/>
  <c r="T2282" i="7950"/>
  <c r="S1037" i="7949"/>
  <c r="T991" i="7949"/>
  <c r="R875" i="7949"/>
  <c r="S829" i="7949"/>
  <c r="S983" i="7949"/>
  <c r="T937" i="7949"/>
  <c r="S492" i="7950"/>
  <c r="T446" i="7950"/>
  <c r="T1415" i="7949" l="1"/>
  <c r="U1369" i="7949"/>
  <c r="S1955" i="7949"/>
  <c r="T1909" i="7949"/>
  <c r="S1739" i="7949"/>
  <c r="T1693" i="7949"/>
  <c r="T2274" i="7950"/>
  <c r="U2228" i="7950"/>
  <c r="T2436" i="7950"/>
  <c r="U2390" i="7950"/>
  <c r="T1734" i="7950"/>
  <c r="U1688" i="7950"/>
  <c r="S713" i="7949"/>
  <c r="T667" i="7949"/>
  <c r="T492" i="7950"/>
  <c r="U446" i="7950"/>
  <c r="S875" i="7949"/>
  <c r="T829" i="7949"/>
  <c r="T2328" i="7950"/>
  <c r="U2282" i="7950"/>
  <c r="T2441" i="7949"/>
  <c r="U2395" i="7949"/>
  <c r="U2706" i="7950"/>
  <c r="V2660" i="7950"/>
  <c r="T767" i="7949"/>
  <c r="U721" i="7949"/>
  <c r="S1577" i="7949"/>
  <c r="T1531" i="7949"/>
  <c r="S2495" i="7949"/>
  <c r="T2449" i="7949"/>
  <c r="T1248" i="7950"/>
  <c r="U1202" i="7950"/>
  <c r="S2333" i="7949"/>
  <c r="T2287" i="7949"/>
  <c r="U438" i="7950"/>
  <c r="V392" i="7950"/>
  <c r="T2220" i="7950"/>
  <c r="U2174" i="7950"/>
  <c r="T2387" i="7949"/>
  <c r="U2341" i="7949"/>
  <c r="T816" i="7950"/>
  <c r="U770" i="7950"/>
  <c r="T2063" i="7949"/>
  <c r="U2017" i="7949"/>
  <c r="T2598" i="7950"/>
  <c r="U2552" i="7950"/>
  <c r="S1199" i="7949"/>
  <c r="T1153" i="7949"/>
  <c r="T1032" i="7950"/>
  <c r="U986" i="7950"/>
  <c r="T2711" i="7949"/>
  <c r="U2665" i="7949"/>
  <c r="T1091" i="7949"/>
  <c r="U1045" i="7949"/>
  <c r="T605" i="7949"/>
  <c r="U559" i="7949"/>
  <c r="T497" i="7949"/>
  <c r="U451" i="7949"/>
  <c r="T2004" i="7950"/>
  <c r="U1958" i="7950"/>
  <c r="S551" i="7949"/>
  <c r="T505" i="7949"/>
  <c r="U929" i="7949"/>
  <c r="V883" i="7949"/>
  <c r="T1469" i="7949"/>
  <c r="U1423" i="7949"/>
  <c r="U654" i="7950"/>
  <c r="V608" i="7950"/>
  <c r="U924" i="7950"/>
  <c r="V878" i="7950"/>
  <c r="U2166" i="7950"/>
  <c r="V2120" i="7950"/>
  <c r="T1410" i="7950"/>
  <c r="U1364" i="7950"/>
  <c r="U1788" i="7950"/>
  <c r="V1742" i="7950"/>
  <c r="U2058" i="7950"/>
  <c r="V2012" i="7950"/>
  <c r="T1302" i="7950"/>
  <c r="U1256" i="7950"/>
  <c r="S659" i="7949"/>
  <c r="T613" i="7949"/>
  <c r="S1361" i="7949"/>
  <c r="T1315" i="7949"/>
  <c r="U1194" i="7950"/>
  <c r="V1148" i="7950"/>
  <c r="T1086" i="7950"/>
  <c r="U1040" i="7950"/>
  <c r="T1685" i="7949"/>
  <c r="U1639" i="7949"/>
  <c r="T1140" i="7950"/>
  <c r="U1094" i="7950"/>
  <c r="T1950" i="7950"/>
  <c r="U1904" i="7950"/>
  <c r="T983" i="7949"/>
  <c r="U937" i="7949"/>
  <c r="T1037" i="7949"/>
  <c r="U991" i="7949"/>
  <c r="U1518" i="7950"/>
  <c r="V1472" i="7950"/>
  <c r="U1572" i="7950"/>
  <c r="V1526" i="7950"/>
  <c r="T2117" i="7949"/>
  <c r="U2071" i="7949"/>
  <c r="S1793" i="7949"/>
  <c r="T1747" i="7949"/>
  <c r="T546" i="7950"/>
  <c r="U500" i="7950"/>
  <c r="U2382" i="7950"/>
  <c r="V2336" i="7950"/>
  <c r="U1842" i="7950"/>
  <c r="V1796" i="7950"/>
  <c r="S1847" i="7949"/>
  <c r="T1801" i="7949"/>
  <c r="T2544" i="7950"/>
  <c r="U2498" i="7950"/>
  <c r="S2009" i="7949"/>
  <c r="T1963" i="7949"/>
  <c r="S443" i="7949"/>
  <c r="T397" i="7949"/>
  <c r="U1896" i="7950"/>
  <c r="V1850" i="7950"/>
  <c r="T708" i="7950"/>
  <c r="U662" i="7950"/>
  <c r="S1307" i="7949"/>
  <c r="T1261" i="7949"/>
  <c r="T1356" i="7950"/>
  <c r="U1310" i="7950"/>
  <c r="S2657" i="7949"/>
  <c r="T2611" i="7949"/>
  <c r="S1901" i="7949"/>
  <c r="T1855" i="7949"/>
  <c r="S1631" i="7949"/>
  <c r="T1585" i="7949"/>
  <c r="T600" i="7950"/>
  <c r="U554" i="7950"/>
  <c r="T2112" i="7950"/>
  <c r="U2066" i="7950"/>
  <c r="T1523" i="7949"/>
  <c r="U1477" i="7949"/>
  <c r="U1680" i="7950"/>
  <c r="V1634" i="7950"/>
  <c r="T2549" i="7949"/>
  <c r="U2503" i="7949"/>
  <c r="T821" i="7949"/>
  <c r="U775" i="7949"/>
  <c r="T870" i="7950"/>
  <c r="U824" i="7950"/>
  <c r="S2171" i="7949"/>
  <c r="T2125" i="7949"/>
  <c r="S1253" i="7949"/>
  <c r="T1207" i="7949"/>
  <c r="T2225" i="7949"/>
  <c r="U2179" i="7949"/>
  <c r="U2652" i="7950"/>
  <c r="V2606" i="7950"/>
  <c r="U978" i="7950"/>
  <c r="V932" i="7950"/>
  <c r="T1464" i="7950"/>
  <c r="U1418" i="7950"/>
  <c r="U2490" i="7950"/>
  <c r="V2444" i="7950"/>
  <c r="T762" i="7950"/>
  <c r="U716" i="7950"/>
  <c r="T1626" i="7950"/>
  <c r="U1580" i="7950"/>
  <c r="T1145" i="7949"/>
  <c r="U1099" i="7949"/>
  <c r="S2603" i="7949"/>
  <c r="T2557" i="7949"/>
  <c r="T2279" i="7949"/>
  <c r="U2233" i="7949"/>
  <c r="U1415" i="7949" l="1"/>
  <c r="V1369" i="7949"/>
  <c r="T1955" i="7949"/>
  <c r="U1909" i="7949"/>
  <c r="T1739" i="7949"/>
  <c r="U1693" i="7949"/>
  <c r="T713" i="7949"/>
  <c r="U667" i="7949"/>
  <c r="U2436" i="7950"/>
  <c r="V2390" i="7950"/>
  <c r="U1734" i="7950"/>
  <c r="V1688" i="7950"/>
  <c r="U2274" i="7950"/>
  <c r="V2228" i="7950"/>
  <c r="U2279" i="7949"/>
  <c r="V2233" i="7949"/>
  <c r="U1145" i="7949"/>
  <c r="V1099" i="7949"/>
  <c r="V2490" i="7950"/>
  <c r="W2444" i="7950"/>
  <c r="W2490" i="7950" s="1"/>
  <c r="V978" i="7950"/>
  <c r="W932" i="7950"/>
  <c r="W978" i="7950" s="1"/>
  <c r="V2652" i="7950"/>
  <c r="W2606" i="7950"/>
  <c r="W2652" i="7950" s="1"/>
  <c r="U870" i="7950"/>
  <c r="V824" i="7950"/>
  <c r="U2549" i="7949"/>
  <c r="V2503" i="7949"/>
  <c r="U600" i="7950"/>
  <c r="V554" i="7950"/>
  <c r="T1901" i="7949"/>
  <c r="U1855" i="7949"/>
  <c r="U1356" i="7950"/>
  <c r="V1310" i="7950"/>
  <c r="U708" i="7950"/>
  <c r="V662" i="7950"/>
  <c r="U2544" i="7950"/>
  <c r="V2498" i="7950"/>
  <c r="V1842" i="7950"/>
  <c r="W1796" i="7950"/>
  <c r="W1842" i="7950" s="1"/>
  <c r="U546" i="7950"/>
  <c r="V500" i="7950"/>
  <c r="U2117" i="7949"/>
  <c r="V2071" i="7949"/>
  <c r="V1518" i="7950"/>
  <c r="W1472" i="7950"/>
  <c r="W1518" i="7950" s="1"/>
  <c r="U983" i="7949"/>
  <c r="V937" i="7949"/>
  <c r="U1140" i="7950"/>
  <c r="V1094" i="7950"/>
  <c r="V1194" i="7950"/>
  <c r="W1148" i="7950"/>
  <c r="W1194" i="7950" s="1"/>
  <c r="T1361" i="7949"/>
  <c r="U1315" i="7949"/>
  <c r="T659" i="7949"/>
  <c r="U613" i="7949"/>
  <c r="V2058" i="7950"/>
  <c r="W2012" i="7950"/>
  <c r="W2058" i="7950" s="1"/>
  <c r="U1410" i="7950"/>
  <c r="V1364" i="7950"/>
  <c r="V924" i="7950"/>
  <c r="W878" i="7950"/>
  <c r="W924" i="7950" s="1"/>
  <c r="V654" i="7950"/>
  <c r="W608" i="7950"/>
  <c r="W654" i="7950" s="1"/>
  <c r="T551" i="7949"/>
  <c r="U505" i="7949"/>
  <c r="U497" i="7949"/>
  <c r="V451" i="7949"/>
  <c r="U605" i="7949"/>
  <c r="V559" i="7949"/>
  <c r="U1032" i="7950"/>
  <c r="V986" i="7950"/>
  <c r="T1199" i="7949"/>
  <c r="U1153" i="7949"/>
  <c r="U2063" i="7949"/>
  <c r="V2017" i="7949"/>
  <c r="U2387" i="7949"/>
  <c r="V2341" i="7949"/>
  <c r="U2220" i="7950"/>
  <c r="V2174" i="7950"/>
  <c r="T2333" i="7949"/>
  <c r="U2287" i="7949"/>
  <c r="T2495" i="7949"/>
  <c r="U2449" i="7949"/>
  <c r="U767" i="7949"/>
  <c r="V721" i="7949"/>
  <c r="U2441" i="7949"/>
  <c r="V2395" i="7949"/>
  <c r="T875" i="7949"/>
  <c r="U829" i="7949"/>
  <c r="T2603" i="7949"/>
  <c r="U2557" i="7949"/>
  <c r="U1626" i="7950"/>
  <c r="V1580" i="7950"/>
  <c r="U762" i="7950"/>
  <c r="V716" i="7950"/>
  <c r="U1464" i="7950"/>
  <c r="V1418" i="7950"/>
  <c r="U2225" i="7949"/>
  <c r="V2179" i="7949"/>
  <c r="T1253" i="7949"/>
  <c r="U1207" i="7949"/>
  <c r="T2171" i="7949"/>
  <c r="U2125" i="7949"/>
  <c r="U821" i="7949"/>
  <c r="V775" i="7949"/>
  <c r="V1680" i="7950"/>
  <c r="W1634" i="7950"/>
  <c r="W1680" i="7950" s="1"/>
  <c r="U1523" i="7949"/>
  <c r="V1477" i="7949"/>
  <c r="U2112" i="7950"/>
  <c r="V2066" i="7950"/>
  <c r="T1631" i="7949"/>
  <c r="U1585" i="7949"/>
  <c r="T2657" i="7949"/>
  <c r="U2611" i="7949"/>
  <c r="T1307" i="7949"/>
  <c r="U1261" i="7949"/>
  <c r="V1896" i="7950"/>
  <c r="W1850" i="7950"/>
  <c r="W1896" i="7950" s="1"/>
  <c r="T443" i="7949"/>
  <c r="U397" i="7949"/>
  <c r="T2009" i="7949"/>
  <c r="U1963" i="7949"/>
  <c r="T1847" i="7949"/>
  <c r="U1801" i="7949"/>
  <c r="V2382" i="7950"/>
  <c r="W2336" i="7950"/>
  <c r="W2382" i="7950" s="1"/>
  <c r="T1793" i="7949"/>
  <c r="U1747" i="7949"/>
  <c r="V1572" i="7950"/>
  <c r="W1526" i="7950"/>
  <c r="W1572" i="7950" s="1"/>
  <c r="U1037" i="7949"/>
  <c r="V991" i="7949"/>
  <c r="U1950" i="7950"/>
  <c r="V1904" i="7950"/>
  <c r="U1685" i="7949"/>
  <c r="V1639" i="7949"/>
  <c r="U1086" i="7950"/>
  <c r="V1040" i="7950"/>
  <c r="U1302" i="7950"/>
  <c r="V1256" i="7950"/>
  <c r="V1788" i="7950"/>
  <c r="W1742" i="7950"/>
  <c r="W1788" i="7950" s="1"/>
  <c r="V2166" i="7950"/>
  <c r="W2120" i="7950"/>
  <c r="W2166" i="7950" s="1"/>
  <c r="U1469" i="7949"/>
  <c r="V1423" i="7949"/>
  <c r="V929" i="7949"/>
  <c r="W883" i="7949"/>
  <c r="W929" i="7949" s="1"/>
  <c r="U2004" i="7950"/>
  <c r="V1958" i="7950"/>
  <c r="U1091" i="7949"/>
  <c r="V1045" i="7949"/>
  <c r="U2711" i="7949"/>
  <c r="V2665" i="7949"/>
  <c r="U2598" i="7950"/>
  <c r="V2552" i="7950"/>
  <c r="U816" i="7950"/>
  <c r="V770" i="7950"/>
  <c r="V438" i="7950"/>
  <c r="W392" i="7950"/>
  <c r="W438" i="7950" s="1"/>
  <c r="U1248" i="7950"/>
  <c r="V1202" i="7950"/>
  <c r="T1577" i="7949"/>
  <c r="U1531" i="7949"/>
  <c r="V2706" i="7950"/>
  <c r="W2660" i="7950"/>
  <c r="W2706" i="7950" s="1"/>
  <c r="U2328" i="7950"/>
  <c r="V2282" i="7950"/>
  <c r="U492" i="7950"/>
  <c r="V446" i="7950"/>
  <c r="V1415" i="7949" l="1"/>
  <c r="W1369" i="7949"/>
  <c r="W1415" i="7949" s="1"/>
  <c r="U1955" i="7949"/>
  <c r="V1909" i="7949"/>
  <c r="U1739" i="7949"/>
  <c r="V1693" i="7949"/>
  <c r="V2274" i="7950"/>
  <c r="W2228" i="7950"/>
  <c r="W2274" i="7950" s="1"/>
  <c r="V2436" i="7950"/>
  <c r="W2390" i="7950"/>
  <c r="W2436" i="7950" s="1"/>
  <c r="V1734" i="7950"/>
  <c r="W1688" i="7950"/>
  <c r="W1734" i="7950" s="1"/>
  <c r="U713" i="7949"/>
  <c r="V667" i="7949"/>
  <c r="V492" i="7950"/>
  <c r="W446" i="7950"/>
  <c r="W492" i="7950" s="1"/>
  <c r="V1248" i="7950"/>
  <c r="W1202" i="7950"/>
  <c r="W1248" i="7950" s="1"/>
  <c r="V2598" i="7950"/>
  <c r="W2552" i="7950"/>
  <c r="W2598" i="7950" s="1"/>
  <c r="V2711" i="7949"/>
  <c r="W2665" i="7949"/>
  <c r="W2711" i="7949" s="1"/>
  <c r="V1086" i="7950"/>
  <c r="W1040" i="7950"/>
  <c r="W1086" i="7950" s="1"/>
  <c r="V1950" i="7950"/>
  <c r="W1904" i="7950"/>
  <c r="W1950" i="7950" s="1"/>
  <c r="U2009" i="7949"/>
  <c r="V1963" i="7949"/>
  <c r="U2657" i="7949"/>
  <c r="V2611" i="7949"/>
  <c r="V1523" i="7949"/>
  <c r="W1477" i="7949"/>
  <c r="W1523" i="7949" s="1"/>
  <c r="V821" i="7949"/>
  <c r="W775" i="7949"/>
  <c r="W821" i="7949" s="1"/>
  <c r="U1253" i="7949"/>
  <c r="V1207" i="7949"/>
  <c r="V762" i="7950"/>
  <c r="W716" i="7950"/>
  <c r="W762" i="7950" s="1"/>
  <c r="U2603" i="7949"/>
  <c r="V2557" i="7949"/>
  <c r="V2441" i="7949"/>
  <c r="W2395" i="7949"/>
  <c r="W2441" i="7949" s="1"/>
  <c r="U2495" i="7949"/>
  <c r="V2449" i="7949"/>
  <c r="V2220" i="7950"/>
  <c r="W2174" i="7950"/>
  <c r="W2220" i="7950" s="1"/>
  <c r="V2063" i="7949"/>
  <c r="W2017" i="7949"/>
  <c r="W2063" i="7949" s="1"/>
  <c r="V1032" i="7950"/>
  <c r="W986" i="7950"/>
  <c r="W1032" i="7950" s="1"/>
  <c r="V605" i="7949"/>
  <c r="W559" i="7949"/>
  <c r="W605" i="7949" s="1"/>
  <c r="U551" i="7949"/>
  <c r="V505" i="7949"/>
  <c r="V1410" i="7950"/>
  <c r="W1364" i="7950"/>
  <c r="W1410" i="7950" s="1"/>
  <c r="U659" i="7949"/>
  <c r="V613" i="7949"/>
  <c r="V1140" i="7950"/>
  <c r="W1094" i="7950"/>
  <c r="W1140" i="7950" s="1"/>
  <c r="V546" i="7950"/>
  <c r="W500" i="7950"/>
  <c r="W546" i="7950" s="1"/>
  <c r="V2544" i="7950"/>
  <c r="W2498" i="7950"/>
  <c r="W2544" i="7950" s="1"/>
  <c r="V708" i="7950"/>
  <c r="W662" i="7950"/>
  <c r="W708" i="7950" s="1"/>
  <c r="U1901" i="7949"/>
  <c r="V1855" i="7949"/>
  <c r="V870" i="7950"/>
  <c r="W824" i="7950"/>
  <c r="W870" i="7950" s="1"/>
  <c r="V1145" i="7949"/>
  <c r="W1099" i="7949"/>
  <c r="W1145" i="7949" s="1"/>
  <c r="V2328" i="7950"/>
  <c r="W2282" i="7950"/>
  <c r="W2328" i="7950" s="1"/>
  <c r="U1577" i="7949"/>
  <c r="V1531" i="7949"/>
  <c r="V816" i="7950"/>
  <c r="W770" i="7950"/>
  <c r="W816" i="7950" s="1"/>
  <c r="V1091" i="7949"/>
  <c r="W1045" i="7949"/>
  <c r="W1091" i="7949" s="1"/>
  <c r="V2004" i="7950"/>
  <c r="W1958" i="7950"/>
  <c r="W2004" i="7950" s="1"/>
  <c r="V1469" i="7949"/>
  <c r="W1423" i="7949"/>
  <c r="W1469" i="7949" s="1"/>
  <c r="V1302" i="7950"/>
  <c r="W1256" i="7950"/>
  <c r="W1302" i="7950" s="1"/>
  <c r="V1685" i="7949"/>
  <c r="W1639" i="7949"/>
  <c r="W1685" i="7949" s="1"/>
  <c r="V1037" i="7949"/>
  <c r="W991" i="7949"/>
  <c r="W1037" i="7949" s="1"/>
  <c r="U1793" i="7949"/>
  <c r="V1747" i="7949"/>
  <c r="U1847" i="7949"/>
  <c r="V1801" i="7949"/>
  <c r="U443" i="7949"/>
  <c r="V397" i="7949"/>
  <c r="U1307" i="7949"/>
  <c r="V1261" i="7949"/>
  <c r="U1631" i="7949"/>
  <c r="V1585" i="7949"/>
  <c r="V2112" i="7950"/>
  <c r="W2066" i="7950"/>
  <c r="W2112" i="7950" s="1"/>
  <c r="U2171" i="7949"/>
  <c r="V2125" i="7949"/>
  <c r="V2225" i="7949"/>
  <c r="W2179" i="7949"/>
  <c r="W2225" i="7949" s="1"/>
  <c r="V1464" i="7950"/>
  <c r="W1418" i="7950"/>
  <c r="W1464" i="7950" s="1"/>
  <c r="V1626" i="7950"/>
  <c r="W1580" i="7950"/>
  <c r="W1626" i="7950" s="1"/>
  <c r="U875" i="7949"/>
  <c r="V829" i="7949"/>
  <c r="V767" i="7949"/>
  <c r="W721" i="7949"/>
  <c r="W767" i="7949" s="1"/>
  <c r="U2333" i="7949"/>
  <c r="V2287" i="7949"/>
  <c r="V2387" i="7949"/>
  <c r="W2341" i="7949"/>
  <c r="W2387" i="7949" s="1"/>
  <c r="U1199" i="7949"/>
  <c r="V1153" i="7949"/>
  <c r="V497" i="7949"/>
  <c r="W451" i="7949"/>
  <c r="W497" i="7949" s="1"/>
  <c r="U1361" i="7949"/>
  <c r="V1315" i="7949"/>
  <c r="V983" i="7949"/>
  <c r="W937" i="7949"/>
  <c r="W983" i="7949" s="1"/>
  <c r="V2117" i="7949"/>
  <c r="W2071" i="7949"/>
  <c r="W2117" i="7949" s="1"/>
  <c r="V1356" i="7950"/>
  <c r="W1310" i="7950"/>
  <c r="W1356" i="7950" s="1"/>
  <c r="V600" i="7950"/>
  <c r="W554" i="7950"/>
  <c r="W600" i="7950" s="1"/>
  <c r="V2549" i="7949"/>
  <c r="W2503" i="7949"/>
  <c r="W2549" i="7949" s="1"/>
  <c r="V2279" i="7949"/>
  <c r="W2233" i="7949"/>
  <c r="W2279" i="7949" s="1"/>
  <c r="G980" i="18" l="1"/>
  <c r="G270" i="7941" s="1"/>
  <c r="G876" i="18"/>
  <c r="G166" i="7941" s="1"/>
  <c r="G979" i="18"/>
  <c r="G269" i="7941" s="1"/>
  <c r="G875" i="18"/>
  <c r="G165" i="7941" s="1"/>
  <c r="G928" i="18"/>
  <c r="G218" i="7941" s="1"/>
  <c r="G927" i="18"/>
  <c r="G217" i="7941" s="1"/>
  <c r="O57" i="1"/>
  <c r="G874" i="18"/>
  <c r="Q57" i="1"/>
  <c r="G978" i="18"/>
  <c r="G926" i="18"/>
  <c r="P57" i="1"/>
  <c r="V1955" i="7949"/>
  <c r="W1909" i="7949"/>
  <c r="W1955" i="7949" s="1"/>
  <c r="V1739" i="7949"/>
  <c r="W1693" i="7949"/>
  <c r="W1739" i="7949" s="1"/>
  <c r="V713" i="7949"/>
  <c r="W667" i="7949"/>
  <c r="W713" i="7949" s="1"/>
  <c r="V1361" i="7949"/>
  <c r="W1315" i="7949"/>
  <c r="W1361" i="7949" s="1"/>
  <c r="V1199" i="7949"/>
  <c r="W1153" i="7949"/>
  <c r="W1199" i="7949" s="1"/>
  <c r="V2333" i="7949"/>
  <c r="W2287" i="7949"/>
  <c r="W2333" i="7949" s="1"/>
  <c r="V875" i="7949"/>
  <c r="W829" i="7949"/>
  <c r="W875" i="7949" s="1"/>
  <c r="V2171" i="7949"/>
  <c r="W2125" i="7949"/>
  <c r="W2171" i="7949" s="1"/>
  <c r="V1631" i="7949"/>
  <c r="W1585" i="7949"/>
  <c r="W1631" i="7949" s="1"/>
  <c r="V443" i="7949"/>
  <c r="W397" i="7949"/>
  <c r="W443" i="7949" s="1"/>
  <c r="V1793" i="7949"/>
  <c r="W1747" i="7949"/>
  <c r="W1793" i="7949" s="1"/>
  <c r="V1577" i="7949"/>
  <c r="W1531" i="7949"/>
  <c r="W1577" i="7949" s="1"/>
  <c r="V659" i="7949"/>
  <c r="W613" i="7949"/>
  <c r="W659" i="7949" s="1"/>
  <c r="V551" i="7949"/>
  <c r="W505" i="7949"/>
  <c r="W551" i="7949" s="1"/>
  <c r="V1253" i="7949"/>
  <c r="W1207" i="7949"/>
  <c r="W1253" i="7949" s="1"/>
  <c r="V2657" i="7949"/>
  <c r="W2611" i="7949"/>
  <c r="W2657" i="7949" s="1"/>
  <c r="V1307" i="7949"/>
  <c r="W1261" i="7949"/>
  <c r="W1307" i="7949" s="1"/>
  <c r="V1847" i="7949"/>
  <c r="W1801" i="7949"/>
  <c r="W1847" i="7949" s="1"/>
  <c r="V1901" i="7949"/>
  <c r="W1855" i="7949"/>
  <c r="W1901" i="7949" s="1"/>
  <c r="V2495" i="7949"/>
  <c r="W2449" i="7949"/>
  <c r="W2495" i="7949" s="1"/>
  <c r="V2603" i="7949"/>
  <c r="W2557" i="7949"/>
  <c r="W2603" i="7949" s="1"/>
  <c r="V2009" i="7949"/>
  <c r="W1963" i="7949"/>
  <c r="W2009" i="7949" s="1"/>
  <c r="G925" i="18" l="1"/>
  <c r="G216" i="7941"/>
  <c r="G215" i="7941" s="1"/>
  <c r="G268" i="7941"/>
  <c r="G267" i="7941" s="1"/>
  <c r="G977" i="18"/>
  <c r="G164" i="7941"/>
  <c r="G873" i="18"/>
  <c r="G163" i="7941" l="1"/>
  <c r="H349" i="1" l="1"/>
  <c r="I349" i="1" l="1"/>
  <c r="J349" i="1" l="1"/>
  <c r="K349" i="1" l="1"/>
  <c r="L349" i="1" l="1"/>
  <c r="R350" i="1" s="1"/>
  <c r="C231" i="7949" l="1"/>
  <c r="C259" i="7949" l="1"/>
  <c r="D259" i="7949" l="1"/>
  <c r="E259" i="7949" l="1"/>
  <c r="F259" i="7949" l="1"/>
  <c r="G259" i="7949" l="1"/>
  <c r="C226" i="7950"/>
  <c r="H259" i="7949" l="1"/>
  <c r="C254" i="7950"/>
  <c r="I259" i="7949" l="1"/>
  <c r="D254" i="7950"/>
  <c r="J259" i="7949" l="1"/>
  <c r="C177" i="7949"/>
  <c r="C205" i="7949" s="1"/>
  <c r="D205" i="7949" s="1"/>
  <c r="E205" i="7949" s="1"/>
  <c r="F205" i="7949" s="1"/>
  <c r="G205" i="7949" s="1"/>
  <c r="H205" i="7949" s="1"/>
  <c r="I205" i="7949" s="1"/>
  <c r="E254" i="7950"/>
  <c r="C280" i="7950" l="1"/>
  <c r="G719" i="18"/>
  <c r="K259" i="7949"/>
  <c r="C285" i="7949"/>
  <c r="J205" i="7949"/>
  <c r="G724" i="18"/>
  <c r="F254" i="7950"/>
  <c r="G722" i="18" l="1"/>
  <c r="G721" i="18"/>
  <c r="C64" i="7950"/>
  <c r="C118" i="7950"/>
  <c r="C172" i="7950"/>
  <c r="C334" i="7950"/>
  <c r="L259" i="7949"/>
  <c r="C308" i="7950"/>
  <c r="C313" i="7949"/>
  <c r="G723" i="18"/>
  <c r="G1085" i="18"/>
  <c r="G1033" i="18" s="1"/>
  <c r="H719" i="18"/>
  <c r="G9" i="7941"/>
  <c r="K205" i="7949"/>
  <c r="G254" i="7950"/>
  <c r="G14" i="7941"/>
  <c r="H724" i="18"/>
  <c r="G1090" i="18"/>
  <c r="G1038" i="18" s="1"/>
  <c r="R57" i="1" l="1"/>
  <c r="C146" i="7950"/>
  <c r="D313" i="7949"/>
  <c r="C10" i="7950"/>
  <c r="C123" i="7949"/>
  <c r="C362" i="7950"/>
  <c r="C92" i="7950"/>
  <c r="G12" i="7941"/>
  <c r="G1088" i="18"/>
  <c r="G1036" i="18" s="1"/>
  <c r="H722" i="18"/>
  <c r="M259" i="7949"/>
  <c r="C200" i="7950"/>
  <c r="H9" i="7941"/>
  <c r="G323" i="7941"/>
  <c r="J77" i="18"/>
  <c r="C68" i="7949"/>
  <c r="C73" i="7949" s="1"/>
  <c r="K77" i="18"/>
  <c r="L77" i="18"/>
  <c r="M77" i="18" s="1"/>
  <c r="N77" i="18" s="1"/>
  <c r="O77" i="18"/>
  <c r="H77" i="18"/>
  <c r="H89" i="18" s="1"/>
  <c r="H1085" i="18"/>
  <c r="Q77" i="18"/>
  <c r="I77" i="18"/>
  <c r="P77" i="18"/>
  <c r="G13" i="7941"/>
  <c r="G1089" i="18"/>
  <c r="G1037" i="18" s="1"/>
  <c r="H723" i="18"/>
  <c r="H721" i="18"/>
  <c r="G11" i="7941"/>
  <c r="G1087" i="18"/>
  <c r="G1035" i="18" s="1"/>
  <c r="D308" i="7950"/>
  <c r="C338" i="7949"/>
  <c r="C343" i="7949" s="1"/>
  <c r="D343" i="7949" s="1"/>
  <c r="H1090" i="18"/>
  <c r="H14" i="7941"/>
  <c r="G328" i="7941"/>
  <c r="H254" i="7950"/>
  <c r="L205" i="7949"/>
  <c r="G326" i="7941" l="1"/>
  <c r="H12" i="7941"/>
  <c r="C151" i="7949"/>
  <c r="H13" i="7941"/>
  <c r="G327" i="7941"/>
  <c r="H1033" i="18"/>
  <c r="H823" i="18" s="1"/>
  <c r="D200" i="7950"/>
  <c r="N259" i="7949"/>
  <c r="D146" i="7950"/>
  <c r="C284" i="7949"/>
  <c r="C289" i="7949" s="1"/>
  <c r="H1089" i="18"/>
  <c r="K129" i="18"/>
  <c r="H129" i="18"/>
  <c r="H141" i="18" s="1"/>
  <c r="N129" i="18"/>
  <c r="O129" i="18"/>
  <c r="P129" i="18"/>
  <c r="L129" i="18"/>
  <c r="J129" i="18"/>
  <c r="Q129" i="18"/>
  <c r="M129" i="18"/>
  <c r="I129" i="18"/>
  <c r="H11" i="7941"/>
  <c r="G325" i="7941"/>
  <c r="E308" i="7950"/>
  <c r="H1087" i="18"/>
  <c r="C176" i="7949"/>
  <c r="C181" i="7949" s="1"/>
  <c r="H103" i="18"/>
  <c r="I103" i="18"/>
  <c r="J103" i="18"/>
  <c r="D362" i="7950"/>
  <c r="E313" i="7949"/>
  <c r="D73" i="7949"/>
  <c r="C119" i="7949"/>
  <c r="C38" i="7950"/>
  <c r="C230" i="7949"/>
  <c r="C235" i="7949" s="1"/>
  <c r="H1088" i="18"/>
  <c r="K116" i="18"/>
  <c r="L116" i="18" s="1"/>
  <c r="M116" i="18"/>
  <c r="N116" i="18"/>
  <c r="J116" i="18"/>
  <c r="O116" i="18"/>
  <c r="H116" i="18"/>
  <c r="H128" i="18" s="1"/>
  <c r="I116" i="18"/>
  <c r="D92" i="7950"/>
  <c r="H828" i="18"/>
  <c r="I254" i="7950"/>
  <c r="E343" i="7949"/>
  <c r="M205" i="7949"/>
  <c r="K103" i="18" l="1"/>
  <c r="L103" i="18" s="1"/>
  <c r="E73" i="7949"/>
  <c r="P116" i="18"/>
  <c r="Q116" i="18" s="1"/>
  <c r="C281" i="7949"/>
  <c r="D235" i="7949"/>
  <c r="E146" i="7950"/>
  <c r="D38" i="7950"/>
  <c r="E92" i="7950"/>
  <c r="H1036" i="18"/>
  <c r="H826" i="18" s="1"/>
  <c r="F313" i="7949"/>
  <c r="H115" i="18"/>
  <c r="E362" i="7950"/>
  <c r="C227" i="7949"/>
  <c r="D181" i="7949"/>
  <c r="H113" i="7941"/>
  <c r="C335" i="7949"/>
  <c r="D289" i="7949"/>
  <c r="E200" i="7950"/>
  <c r="O259" i="7949"/>
  <c r="F308" i="7950"/>
  <c r="D151" i="7949"/>
  <c r="H1037" i="18"/>
  <c r="H827" i="18" s="1"/>
  <c r="N205" i="7949"/>
  <c r="J254" i="7950"/>
  <c r="H118" i="7941"/>
  <c r="F343" i="7949"/>
  <c r="F73" i="7949" l="1"/>
  <c r="G73" i="7949" s="1"/>
  <c r="M103" i="18"/>
  <c r="N103" i="18" s="1"/>
  <c r="O103" i="18" s="1"/>
  <c r="P103" i="18" s="1"/>
  <c r="Q103" i="18" s="1"/>
  <c r="E235" i="7949"/>
  <c r="E181" i="7949"/>
  <c r="F92" i="7950"/>
  <c r="E151" i="7949"/>
  <c r="P259" i="7949"/>
  <c r="H116" i="7941"/>
  <c r="H117" i="7941"/>
  <c r="F362" i="7950"/>
  <c r="G720" i="18"/>
  <c r="E38" i="7950"/>
  <c r="G308" i="7950"/>
  <c r="F200" i="7950"/>
  <c r="H1035" i="18"/>
  <c r="H825" i="18" s="1"/>
  <c r="F146" i="7950"/>
  <c r="E289" i="7949"/>
  <c r="G313" i="7949"/>
  <c r="K254" i="7950"/>
  <c r="G343" i="7949"/>
  <c r="O205" i="7949"/>
  <c r="F235" i="7949" l="1"/>
  <c r="Q259" i="7949"/>
  <c r="H313" i="7949"/>
  <c r="G146" i="7950"/>
  <c r="H115" i="7941"/>
  <c r="G362" i="7950"/>
  <c r="F38" i="7950"/>
  <c r="F181" i="7949"/>
  <c r="F151" i="7949"/>
  <c r="F289" i="7949"/>
  <c r="H308" i="7950"/>
  <c r="G200" i="7950"/>
  <c r="H73" i="7949"/>
  <c r="G1086" i="18"/>
  <c r="G1034" i="18" s="1"/>
  <c r="G10" i="7941"/>
  <c r="H720" i="18"/>
  <c r="G92" i="7950"/>
  <c r="L254" i="7950"/>
  <c r="H343" i="7949"/>
  <c r="P205" i="7949"/>
  <c r="G235" i="7949" l="1"/>
  <c r="H92" i="7950"/>
  <c r="G289" i="7949"/>
  <c r="R259" i="7949"/>
  <c r="G151" i="7949"/>
  <c r="I73" i="7949"/>
  <c r="C122" i="7949"/>
  <c r="C127" i="7949" s="1"/>
  <c r="H1086" i="18"/>
  <c r="H90" i="18"/>
  <c r="H102" i="18" s="1"/>
  <c r="I90" i="18"/>
  <c r="J90" i="18"/>
  <c r="L90" i="18"/>
  <c r="K90" i="18"/>
  <c r="M90" i="18"/>
  <c r="N90" i="18"/>
  <c r="O90" i="18" s="1"/>
  <c r="G38" i="7950"/>
  <c r="H146" i="7950"/>
  <c r="H10" i="7941"/>
  <c r="G324" i="7941"/>
  <c r="G181" i="7949"/>
  <c r="H200" i="7950"/>
  <c r="H362" i="7950"/>
  <c r="I313" i="7949"/>
  <c r="I308" i="7950"/>
  <c r="Q205" i="7949"/>
  <c r="I343" i="7949"/>
  <c r="M254" i="7950"/>
  <c r="H235" i="7949" l="1"/>
  <c r="I362" i="7950"/>
  <c r="J73" i="7949"/>
  <c r="H151" i="7949"/>
  <c r="S259" i="7949"/>
  <c r="I146" i="7950"/>
  <c r="H1034" i="18"/>
  <c r="H824" i="18" s="1"/>
  <c r="P90" i="18"/>
  <c r="Q90" i="18" s="1"/>
  <c r="I92" i="7950"/>
  <c r="J313" i="7949"/>
  <c r="H181" i="7949"/>
  <c r="C173" i="7949"/>
  <c r="D127" i="7949"/>
  <c r="J308" i="7950"/>
  <c r="H38" i="7950"/>
  <c r="H289" i="7949"/>
  <c r="I200" i="7950"/>
  <c r="J343" i="7949"/>
  <c r="G718" i="18"/>
  <c r="I57" i="1"/>
  <c r="N254" i="7950"/>
  <c r="R205" i="7949"/>
  <c r="E127" i="7949" l="1"/>
  <c r="I235" i="7949"/>
  <c r="H114" i="7941"/>
  <c r="K73" i="7949"/>
  <c r="I289" i="7949"/>
  <c r="I181" i="7949"/>
  <c r="J362" i="7950"/>
  <c r="K308" i="7950"/>
  <c r="J146" i="7950"/>
  <c r="K313" i="7949"/>
  <c r="T259" i="7949"/>
  <c r="I38" i="7950"/>
  <c r="J92" i="7950"/>
  <c r="J200" i="7950"/>
  <c r="I151" i="7949"/>
  <c r="G1084" i="18"/>
  <c r="G8" i="7941"/>
  <c r="G717" i="18"/>
  <c r="H718" i="18"/>
  <c r="S205" i="7949"/>
  <c r="K343" i="7949"/>
  <c r="O254" i="7950"/>
  <c r="F127" i="7949" l="1"/>
  <c r="J235" i="7949"/>
  <c r="K200" i="7950"/>
  <c r="J151" i="7949"/>
  <c r="J289" i="7949"/>
  <c r="L73" i="7949"/>
  <c r="J38" i="7950"/>
  <c r="K146" i="7950"/>
  <c r="U259" i="7949"/>
  <c r="K362" i="7950"/>
  <c r="J181" i="7949"/>
  <c r="K92" i="7950"/>
  <c r="L313" i="7949"/>
  <c r="L308" i="7950"/>
  <c r="P254" i="7950"/>
  <c r="T205" i="7949"/>
  <c r="C14" i="7949"/>
  <c r="H1084" i="18"/>
  <c r="H717" i="18"/>
  <c r="H64" i="18"/>
  <c r="H76" i="18" s="1"/>
  <c r="J64" i="18"/>
  <c r="I64" i="18"/>
  <c r="K64" i="18"/>
  <c r="L64" i="18"/>
  <c r="M64" i="18"/>
  <c r="O64" i="18"/>
  <c r="N64" i="18"/>
  <c r="P64" i="18" s="1"/>
  <c r="Q64" i="18"/>
  <c r="G7" i="7941"/>
  <c r="H8" i="7941"/>
  <c r="G322" i="7941"/>
  <c r="G321" i="7941" s="1"/>
  <c r="L343" i="7949"/>
  <c r="G1083" i="18"/>
  <c r="G1032" i="18"/>
  <c r="G1031" i="18" s="1"/>
  <c r="G127" i="7949" l="1"/>
  <c r="K235" i="7949"/>
  <c r="L92" i="7950"/>
  <c r="K38" i="7950"/>
  <c r="K181" i="7949"/>
  <c r="V259" i="7949"/>
  <c r="M308" i="7950"/>
  <c r="M313" i="7949"/>
  <c r="M73" i="7949"/>
  <c r="L200" i="7950"/>
  <c r="L146" i="7950"/>
  <c r="K151" i="7949"/>
  <c r="L362" i="7950"/>
  <c r="K289" i="7949"/>
  <c r="H1083" i="18"/>
  <c r="M343" i="7949"/>
  <c r="C19" i="7949"/>
  <c r="U205" i="7949"/>
  <c r="H7" i="7941"/>
  <c r="Q254" i="7950"/>
  <c r="H63" i="18"/>
  <c r="H1032" i="18"/>
  <c r="L235" i="7949" l="1"/>
  <c r="H127" i="7949"/>
  <c r="M146" i="7950"/>
  <c r="N73" i="7949"/>
  <c r="N313" i="7949"/>
  <c r="N308" i="7950"/>
  <c r="L38" i="7950"/>
  <c r="M362" i="7950"/>
  <c r="L151" i="7949"/>
  <c r="M200" i="7950"/>
  <c r="W259" i="7949"/>
  <c r="M92" i="7950"/>
  <c r="L289" i="7949"/>
  <c r="L181" i="7949"/>
  <c r="H822" i="18"/>
  <c r="H1031" i="18"/>
  <c r="R254" i="7950"/>
  <c r="N343" i="7949"/>
  <c r="V205" i="7949"/>
  <c r="C65" i="7949"/>
  <c r="D19" i="7949"/>
  <c r="E19" i="7949" s="1"/>
  <c r="I127" i="7949" l="1"/>
  <c r="M235" i="7949"/>
  <c r="O308" i="7950"/>
  <c r="M38" i="7950"/>
  <c r="O313" i="7949"/>
  <c r="O73" i="7949"/>
  <c r="M181" i="7949"/>
  <c r="M289" i="7949"/>
  <c r="N200" i="7950"/>
  <c r="M151" i="7949"/>
  <c r="N146" i="7950"/>
  <c r="N92" i="7950"/>
  <c r="N362" i="7950"/>
  <c r="H112" i="7941"/>
  <c r="H821" i="18"/>
  <c r="F19" i="7949"/>
  <c r="S254" i="7950"/>
  <c r="W205" i="7949"/>
  <c r="O343" i="7949"/>
  <c r="J127" i="7949" l="1"/>
  <c r="N235" i="7949"/>
  <c r="O200" i="7950"/>
  <c r="N289" i="7949"/>
  <c r="O146" i="7950"/>
  <c r="P313" i="7949"/>
  <c r="N38" i="7950"/>
  <c r="O92" i="7950"/>
  <c r="N181" i="7949"/>
  <c r="O362" i="7950"/>
  <c r="N151" i="7949"/>
  <c r="P73" i="7949"/>
  <c r="P308" i="7950"/>
  <c r="G19" i="7949"/>
  <c r="H111" i="7941"/>
  <c r="P343" i="7949"/>
  <c r="T254" i="7950"/>
  <c r="O235" i="7949" l="1"/>
  <c r="K127" i="7949"/>
  <c r="O151" i="7949"/>
  <c r="O38" i="7950"/>
  <c r="Q308" i="7950"/>
  <c r="P362" i="7950"/>
  <c r="Q313" i="7949"/>
  <c r="O181" i="7949"/>
  <c r="Q73" i="7949"/>
  <c r="P200" i="7950"/>
  <c r="P92" i="7950"/>
  <c r="P146" i="7950"/>
  <c r="O289" i="7949"/>
  <c r="H19" i="7949"/>
  <c r="U254" i="7950"/>
  <c r="Q343" i="7949"/>
  <c r="L127" i="7949" l="1"/>
  <c r="P235" i="7949"/>
  <c r="P181" i="7949"/>
  <c r="P289" i="7949"/>
  <c r="R308" i="7950"/>
  <c r="Q362" i="7950"/>
  <c r="Q200" i="7950"/>
  <c r="Q146" i="7950"/>
  <c r="R313" i="7949"/>
  <c r="R73" i="7949"/>
  <c r="P38" i="7950"/>
  <c r="Q92" i="7950"/>
  <c r="P151" i="7949"/>
  <c r="V254" i="7950"/>
  <c r="R343" i="7949"/>
  <c r="I19" i="7949"/>
  <c r="Q235" i="7949" l="1"/>
  <c r="M127" i="7949"/>
  <c r="R146" i="7950"/>
  <c r="S308" i="7950"/>
  <c r="Q38" i="7950"/>
  <c r="R92" i="7950"/>
  <c r="S313" i="7949"/>
  <c r="S73" i="7949"/>
  <c r="Q151" i="7949"/>
  <c r="Q289" i="7949"/>
  <c r="R362" i="7950"/>
  <c r="Q181" i="7949"/>
  <c r="R200" i="7950"/>
  <c r="W254" i="7950"/>
  <c r="J19" i="7949"/>
  <c r="S343" i="7949"/>
  <c r="N127" i="7949" l="1"/>
  <c r="R235" i="7949"/>
  <c r="R289" i="7949"/>
  <c r="S92" i="7950"/>
  <c r="S200" i="7950"/>
  <c r="T308" i="7950"/>
  <c r="R181" i="7949"/>
  <c r="T73" i="7949"/>
  <c r="R38" i="7950"/>
  <c r="S146" i="7950"/>
  <c r="S362" i="7950"/>
  <c r="R151" i="7949"/>
  <c r="T313" i="7949"/>
  <c r="K19" i="7949"/>
  <c r="T343" i="7949"/>
  <c r="S235" i="7949" l="1"/>
  <c r="O127" i="7949"/>
  <c r="S38" i="7950"/>
  <c r="U313" i="7949"/>
  <c r="T200" i="7950"/>
  <c r="U73" i="7949"/>
  <c r="T92" i="7950"/>
  <c r="S151" i="7949"/>
  <c r="S181" i="7949"/>
  <c r="T362" i="7950"/>
  <c r="S289" i="7949"/>
  <c r="T146" i="7950"/>
  <c r="U308" i="7950"/>
  <c r="L19" i="7949"/>
  <c r="U343" i="7949"/>
  <c r="P127" i="7949" l="1"/>
  <c r="T235" i="7949"/>
  <c r="T181" i="7949"/>
  <c r="T289" i="7949"/>
  <c r="U200" i="7950"/>
  <c r="U92" i="7950"/>
  <c r="V308" i="7950"/>
  <c r="V313" i="7949"/>
  <c r="U362" i="7950"/>
  <c r="V73" i="7949"/>
  <c r="U146" i="7950"/>
  <c r="T151" i="7949"/>
  <c r="T38" i="7950"/>
  <c r="V343" i="7949"/>
  <c r="M19" i="7949"/>
  <c r="U235" i="7949" l="1"/>
  <c r="Q127" i="7949"/>
  <c r="W73" i="7949"/>
  <c r="V92" i="7950"/>
  <c r="U38" i="7950"/>
  <c r="U289" i="7949"/>
  <c r="V362" i="7950"/>
  <c r="U181" i="7949"/>
  <c r="U151" i="7949"/>
  <c r="W313" i="7949"/>
  <c r="V146" i="7950"/>
  <c r="W308" i="7950"/>
  <c r="V200" i="7950"/>
  <c r="N19" i="7949"/>
  <c r="W343" i="7949"/>
  <c r="R127" i="7949" l="1"/>
  <c r="V235" i="7949"/>
  <c r="W362" i="7950"/>
  <c r="W92" i="7950"/>
  <c r="W146" i="7950"/>
  <c r="V151" i="7949"/>
  <c r="V289" i="7949"/>
  <c r="V181" i="7949"/>
  <c r="V38" i="7950"/>
  <c r="W200" i="7950"/>
  <c r="O19" i="7949"/>
  <c r="W235" i="7949" l="1"/>
  <c r="S127" i="7949"/>
  <c r="W38" i="7950"/>
  <c r="W151" i="7949"/>
  <c r="W181" i="7949"/>
  <c r="W289" i="7949"/>
  <c r="P19" i="7949"/>
  <c r="T127" i="7949" l="1"/>
  <c r="Q19" i="7949"/>
  <c r="U127" i="7949" l="1"/>
  <c r="R19" i="7949"/>
  <c r="V127" i="7949" l="1"/>
  <c r="S19" i="7949"/>
  <c r="W127" i="7949" l="1"/>
  <c r="T19" i="7949"/>
  <c r="U19" i="7949" l="1"/>
  <c r="V19" i="7949" l="1"/>
  <c r="W19" i="7949" l="1"/>
  <c r="M64" i="7944" l="1"/>
  <c r="M227" i="1"/>
  <c r="N171" i="7944"/>
  <c r="O171" i="7944"/>
  <c r="P171" i="7944"/>
  <c r="I230" i="7949"/>
  <c r="I241" i="7949" s="1"/>
  <c r="J241" i="7949" s="1"/>
  <c r="K241" i="7949" s="1"/>
  <c r="L241" i="7949" s="1"/>
  <c r="M241" i="7949" s="1"/>
  <c r="N241" i="7949" s="1"/>
  <c r="O241" i="7949" s="1"/>
  <c r="P241" i="7949" s="1"/>
  <c r="Q241" i="7949" s="1"/>
  <c r="R241" i="7949" s="1"/>
  <c r="S241" i="7949" s="1"/>
  <c r="T241" i="7949" s="1"/>
  <c r="U241" i="7949" s="1"/>
  <c r="V241" i="7949" s="1"/>
  <c r="W241" i="7949" s="1"/>
  <c r="I225" i="7950"/>
  <c r="I236" i="7950" s="1"/>
  <c r="Q171" i="7944"/>
  <c r="M16" i="18" l="1"/>
  <c r="M774" i="18" s="1"/>
  <c r="M64" i="7941" s="1"/>
  <c r="N123" i="18"/>
  <c r="O123" i="18"/>
  <c r="P123" i="18"/>
  <c r="Q123" i="18"/>
  <c r="J236" i="7950"/>
  <c r="K236" i="7950" s="1"/>
  <c r="L236" i="7950" s="1"/>
  <c r="M236" i="7950" s="1"/>
  <c r="N236" i="7950" s="1"/>
  <c r="O236" i="7950" s="1"/>
  <c r="P236" i="7950" s="1"/>
  <c r="Q236" i="7950" s="1"/>
  <c r="R236" i="7950" s="1"/>
  <c r="S236" i="7950" s="1"/>
  <c r="T236" i="7950" s="1"/>
  <c r="U236" i="7950" s="1"/>
  <c r="V236" i="7950" s="1"/>
  <c r="W236" i="7950" s="1"/>
  <c r="M65" i="7944" l="1"/>
  <c r="M228" i="1"/>
  <c r="N184" i="7944"/>
  <c r="O184" i="7944"/>
  <c r="I279" i="7950"/>
  <c r="I290" i="7950" s="1"/>
  <c r="I284" i="7949"/>
  <c r="I295" i="7949" s="1"/>
  <c r="J295" i="7949" s="1"/>
  <c r="K295" i="7949" s="1"/>
  <c r="L295" i="7949" s="1"/>
  <c r="M295" i="7949" s="1"/>
  <c r="N295" i="7949" s="1"/>
  <c r="O295" i="7949" s="1"/>
  <c r="P295" i="7949" s="1"/>
  <c r="Q295" i="7949" s="1"/>
  <c r="R295" i="7949" s="1"/>
  <c r="S295" i="7949" s="1"/>
  <c r="T295" i="7949" s="1"/>
  <c r="U295" i="7949" s="1"/>
  <c r="V295" i="7949" s="1"/>
  <c r="W295" i="7949" s="1"/>
  <c r="P184" i="7944"/>
  <c r="Q184" i="7944"/>
  <c r="M66" i="7944"/>
  <c r="M229" i="1"/>
  <c r="N197" i="7944"/>
  <c r="O197" i="7944"/>
  <c r="P197" i="7944"/>
  <c r="I333" i="7950"/>
  <c r="I344" i="7950" s="1"/>
  <c r="I338" i="7949"/>
  <c r="I349" i="7949" s="1"/>
  <c r="J349" i="7949" s="1"/>
  <c r="K349" i="7949" s="1"/>
  <c r="L349" i="7949" s="1"/>
  <c r="M349" i="7949" s="1"/>
  <c r="N349" i="7949" s="1"/>
  <c r="O349" i="7949" s="1"/>
  <c r="P349" i="7949" s="1"/>
  <c r="Q349" i="7949" s="1"/>
  <c r="R349" i="7949" s="1"/>
  <c r="S349" i="7949" s="1"/>
  <c r="T349" i="7949" s="1"/>
  <c r="U349" i="7949" s="1"/>
  <c r="V349" i="7949" s="1"/>
  <c r="W349" i="7949" s="1"/>
  <c r="Q197" i="7944"/>
  <c r="M63" i="7944"/>
  <c r="M226" i="1"/>
  <c r="N158" i="7944"/>
  <c r="O158" i="7944"/>
  <c r="P158" i="7944"/>
  <c r="I176" i="7949"/>
  <c r="I187" i="7949" s="1"/>
  <c r="J187" i="7949" s="1"/>
  <c r="K187" i="7949" s="1"/>
  <c r="L187" i="7949" s="1"/>
  <c r="M187" i="7949" s="1"/>
  <c r="N187" i="7949" s="1"/>
  <c r="O187" i="7949" s="1"/>
  <c r="P187" i="7949" s="1"/>
  <c r="Q187" i="7949" s="1"/>
  <c r="R187" i="7949" s="1"/>
  <c r="S187" i="7949" s="1"/>
  <c r="T187" i="7949" s="1"/>
  <c r="U187" i="7949" s="1"/>
  <c r="V187" i="7949" s="1"/>
  <c r="W187" i="7949" s="1"/>
  <c r="I171" i="7950"/>
  <c r="I182" i="7950" s="1"/>
  <c r="Q158" i="7944"/>
  <c r="M62" i="7944"/>
  <c r="M225" i="1"/>
  <c r="N145" i="7944"/>
  <c r="O145" i="7944"/>
  <c r="I122" i="7949"/>
  <c r="I133" i="7949" s="1"/>
  <c r="J133" i="7949" s="1"/>
  <c r="K133" i="7949" s="1"/>
  <c r="L133" i="7949" s="1"/>
  <c r="M133" i="7949" s="1"/>
  <c r="N133" i="7949" s="1"/>
  <c r="O133" i="7949" s="1"/>
  <c r="P133" i="7949" s="1"/>
  <c r="Q133" i="7949" s="1"/>
  <c r="R133" i="7949" s="1"/>
  <c r="S133" i="7949" s="1"/>
  <c r="T133" i="7949" s="1"/>
  <c r="U133" i="7949" s="1"/>
  <c r="V133" i="7949" s="1"/>
  <c r="W133" i="7949" s="1"/>
  <c r="P145" i="7944"/>
  <c r="I117" i="7950"/>
  <c r="I128" i="7950" s="1"/>
  <c r="Q145" i="7944"/>
  <c r="M61" i="7944"/>
  <c r="M224" i="1"/>
  <c r="N132" i="7944"/>
  <c r="O132" i="7944"/>
  <c r="I68" i="7949"/>
  <c r="I79" i="7949" s="1"/>
  <c r="J79" i="7949" s="1"/>
  <c r="K79" i="7949" s="1"/>
  <c r="L79" i="7949" s="1"/>
  <c r="M79" i="7949" s="1"/>
  <c r="N79" i="7949" s="1"/>
  <c r="O79" i="7949" s="1"/>
  <c r="P79" i="7949" s="1"/>
  <c r="Q79" i="7949" s="1"/>
  <c r="R79" i="7949" s="1"/>
  <c r="S79" i="7949" s="1"/>
  <c r="T79" i="7949" s="1"/>
  <c r="U79" i="7949" s="1"/>
  <c r="V79" i="7949" s="1"/>
  <c r="W79" i="7949" s="1"/>
  <c r="I63" i="7950"/>
  <c r="I74" i="7950" s="1"/>
  <c r="P132" i="7944"/>
  <c r="Q132" i="7944"/>
  <c r="M60" i="7944"/>
  <c r="M59" i="7944" s="1"/>
  <c r="M111" i="1"/>
  <c r="N119" i="7944"/>
  <c r="O119" i="7944"/>
  <c r="I9" i="7950"/>
  <c r="I20" i="7950" s="1"/>
  <c r="P119" i="7944"/>
  <c r="Q119" i="7944"/>
  <c r="J128" i="7950" l="1"/>
  <c r="K128" i="7950" s="1"/>
  <c r="L128" i="7950" s="1"/>
  <c r="M128" i="7950" s="1"/>
  <c r="N128" i="7950" s="1"/>
  <c r="O128" i="7950" s="1"/>
  <c r="P128" i="7950" s="1"/>
  <c r="Q128" i="7950" s="1"/>
  <c r="R128" i="7950" s="1"/>
  <c r="S128" i="7950" s="1"/>
  <c r="T128" i="7950" s="1"/>
  <c r="U128" i="7950" s="1"/>
  <c r="V128" i="7950" s="1"/>
  <c r="W128" i="7950" s="1"/>
  <c r="J182" i="7950"/>
  <c r="K182" i="7950" s="1"/>
  <c r="L182" i="7950" s="1"/>
  <c r="M182" i="7950" s="1"/>
  <c r="N182" i="7950" s="1"/>
  <c r="O182" i="7950" s="1"/>
  <c r="P182" i="7950" s="1"/>
  <c r="Q182" i="7950" s="1"/>
  <c r="R182" i="7950" s="1"/>
  <c r="S182" i="7950" s="1"/>
  <c r="T182" i="7950" s="1"/>
  <c r="U182" i="7950" s="1"/>
  <c r="V182" i="7950" s="1"/>
  <c r="W182" i="7950" s="1"/>
  <c r="J74" i="7950"/>
  <c r="K74" i="7950" s="1"/>
  <c r="L74" i="7950" s="1"/>
  <c r="M74" i="7950" s="1"/>
  <c r="N74" i="7950" s="1"/>
  <c r="O74" i="7950" s="1"/>
  <c r="P74" i="7950" s="1"/>
  <c r="Q74" i="7950" s="1"/>
  <c r="R74" i="7950" s="1"/>
  <c r="S74" i="7950" s="1"/>
  <c r="T74" i="7950" s="1"/>
  <c r="U74" i="7950" s="1"/>
  <c r="V74" i="7950" s="1"/>
  <c r="W74" i="7950" s="1"/>
  <c r="N84" i="18"/>
  <c r="M13" i="18"/>
  <c r="M771" i="18" s="1"/>
  <c r="M61" i="7941" s="1"/>
  <c r="O84" i="18"/>
  <c r="P84" i="18"/>
  <c r="Q84" i="18"/>
  <c r="N97" i="18"/>
  <c r="M14" i="18"/>
  <c r="M772" i="18" s="1"/>
  <c r="M62" i="7941" s="1"/>
  <c r="O97" i="18"/>
  <c r="P97" i="18"/>
  <c r="Q97" i="18"/>
  <c r="M15" i="18"/>
  <c r="M773" i="18" s="1"/>
  <c r="M63" i="7941" s="1"/>
  <c r="N110" i="18"/>
  <c r="O110" i="18"/>
  <c r="P110" i="18"/>
  <c r="Q110" i="18"/>
  <c r="J344" i="7950"/>
  <c r="K344" i="7950" s="1"/>
  <c r="L344" i="7950" s="1"/>
  <c r="M344" i="7950" s="1"/>
  <c r="N344" i="7950" s="1"/>
  <c r="O344" i="7950" s="1"/>
  <c r="P344" i="7950" s="1"/>
  <c r="Q344" i="7950" s="1"/>
  <c r="R344" i="7950" s="1"/>
  <c r="S344" i="7950" s="1"/>
  <c r="T344" i="7950" s="1"/>
  <c r="U344" i="7950" s="1"/>
  <c r="V344" i="7950" s="1"/>
  <c r="W344" i="7950" s="1"/>
  <c r="N149" i="18"/>
  <c r="M18" i="18"/>
  <c r="M776" i="18" s="1"/>
  <c r="M66" i="7941" s="1"/>
  <c r="O149" i="18"/>
  <c r="P149" i="18"/>
  <c r="Q149" i="18"/>
  <c r="N136" i="18"/>
  <c r="M17" i="18"/>
  <c r="M775" i="18" s="1"/>
  <c r="M65" i="7941" s="1"/>
  <c r="O136" i="18"/>
  <c r="P136" i="18"/>
  <c r="Q136" i="18"/>
  <c r="J290" i="7950"/>
  <c r="K290" i="7950" s="1"/>
  <c r="L290" i="7950" s="1"/>
  <c r="M290" i="7950" s="1"/>
  <c r="N290" i="7950" s="1"/>
  <c r="O290" i="7950" s="1"/>
  <c r="P290" i="7950" s="1"/>
  <c r="Q290" i="7950" s="1"/>
  <c r="R290" i="7950" s="1"/>
  <c r="S290" i="7950" s="1"/>
  <c r="T290" i="7950" s="1"/>
  <c r="U290" i="7950" s="1"/>
  <c r="V290" i="7950" s="1"/>
  <c r="W290" i="7950" s="1"/>
  <c r="J20" i="7950"/>
  <c r="K20" i="7950" s="1"/>
  <c r="L20" i="7950" s="1"/>
  <c r="M20" i="7950" s="1"/>
  <c r="N20" i="7950" s="1"/>
  <c r="O20" i="7950" s="1"/>
  <c r="P20" i="7950" s="1"/>
  <c r="Q20" i="7950" s="1"/>
  <c r="R20" i="7950" s="1"/>
  <c r="S20" i="7950" s="1"/>
  <c r="T20" i="7950" s="1"/>
  <c r="U20" i="7950" s="1"/>
  <c r="V20" i="7950" s="1"/>
  <c r="W20" i="7950" s="1"/>
  <c r="I64" i="7944" l="1"/>
  <c r="L167" i="7944"/>
  <c r="I227" i="1"/>
  <c r="M167" i="7944"/>
  <c r="J167" i="7944"/>
  <c r="E230" i="7949"/>
  <c r="E237" i="7949" s="1"/>
  <c r="F237" i="7949" s="1"/>
  <c r="G237" i="7949" s="1"/>
  <c r="H237" i="7949" s="1"/>
  <c r="I237" i="7949" s="1"/>
  <c r="J237" i="7949" s="1"/>
  <c r="K237" i="7949" s="1"/>
  <c r="L237" i="7949" s="1"/>
  <c r="M237" i="7949" s="1"/>
  <c r="N237" i="7949" s="1"/>
  <c r="O237" i="7949" s="1"/>
  <c r="P237" i="7949" s="1"/>
  <c r="Q237" i="7949" s="1"/>
  <c r="R237" i="7949" s="1"/>
  <c r="S237" i="7949" s="1"/>
  <c r="T237" i="7949" s="1"/>
  <c r="U237" i="7949" s="1"/>
  <c r="V237" i="7949" s="1"/>
  <c r="W237" i="7949" s="1"/>
  <c r="K167" i="7944"/>
  <c r="N167" i="7944" s="1"/>
  <c r="O167" i="7944" s="1"/>
  <c r="P167" i="7944" s="1"/>
  <c r="E225" i="7950"/>
  <c r="E232" i="7950" s="1"/>
  <c r="F232" i="7950" s="1"/>
  <c r="G232" i="7950" s="1"/>
  <c r="H232" i="7950" s="1"/>
  <c r="I232" i="7950" s="1"/>
  <c r="J232" i="7950" s="1"/>
  <c r="K232" i="7950" s="1"/>
  <c r="L232" i="7950" s="1"/>
  <c r="M232" i="7950" s="1"/>
  <c r="N232" i="7950" s="1"/>
  <c r="O232" i="7950" s="1"/>
  <c r="P232" i="7950" s="1"/>
  <c r="Q232" i="7950" s="1"/>
  <c r="R232" i="7950" s="1"/>
  <c r="S232" i="7950" s="1"/>
  <c r="T232" i="7950" s="1"/>
  <c r="U232" i="7950" s="1"/>
  <c r="V232" i="7950" s="1"/>
  <c r="W232" i="7950" s="1"/>
  <c r="J64" i="7944"/>
  <c r="M168" i="7944"/>
  <c r="J227" i="1"/>
  <c r="N168" i="7944"/>
  <c r="K168" i="7944"/>
  <c r="F230" i="7949"/>
  <c r="F238" i="7949" s="1"/>
  <c r="G238" i="7949" s="1"/>
  <c r="H238" i="7949" s="1"/>
  <c r="I238" i="7949" s="1"/>
  <c r="J238" i="7949" s="1"/>
  <c r="K238" i="7949" s="1"/>
  <c r="L238" i="7949" s="1"/>
  <c r="M238" i="7949" s="1"/>
  <c r="N238" i="7949" s="1"/>
  <c r="O238" i="7949" s="1"/>
  <c r="P238" i="7949" s="1"/>
  <c r="Q238" i="7949" s="1"/>
  <c r="R238" i="7949" s="1"/>
  <c r="S238" i="7949" s="1"/>
  <c r="T238" i="7949" s="1"/>
  <c r="U238" i="7949" s="1"/>
  <c r="V238" i="7949" s="1"/>
  <c r="W238" i="7949" s="1"/>
  <c r="L168" i="7944"/>
  <c r="F225" i="7950"/>
  <c r="F233" i="7950" s="1"/>
  <c r="G233" i="7950" s="1"/>
  <c r="H233" i="7950" s="1"/>
  <c r="I233" i="7950" s="1"/>
  <c r="J233" i="7950" s="1"/>
  <c r="K233" i="7950" s="1"/>
  <c r="L233" i="7950" s="1"/>
  <c r="M233" i="7950" s="1"/>
  <c r="N233" i="7950" s="1"/>
  <c r="O233" i="7950" s="1"/>
  <c r="P233" i="7950" s="1"/>
  <c r="Q233" i="7950" s="1"/>
  <c r="R233" i="7950" s="1"/>
  <c r="S233" i="7950" s="1"/>
  <c r="T233" i="7950" s="1"/>
  <c r="U233" i="7950" s="1"/>
  <c r="V233" i="7950" s="1"/>
  <c r="W233" i="7950" s="1"/>
  <c r="J166" i="7944"/>
  <c r="D225" i="7950"/>
  <c r="D231" i="7950" s="1"/>
  <c r="E231" i="7950" s="1"/>
  <c r="F231" i="7950" s="1"/>
  <c r="G231" i="7950" s="1"/>
  <c r="H231" i="7950" s="1"/>
  <c r="I231" i="7950" s="1"/>
  <c r="J231" i="7950" s="1"/>
  <c r="K231" i="7950" s="1"/>
  <c r="L231" i="7950" s="1"/>
  <c r="M231" i="7950" s="1"/>
  <c r="N231" i="7950" s="1"/>
  <c r="O231" i="7950" s="1"/>
  <c r="P231" i="7950" s="1"/>
  <c r="Q231" i="7950" s="1"/>
  <c r="R231" i="7950" s="1"/>
  <c r="S231" i="7950" s="1"/>
  <c r="T231" i="7950" s="1"/>
  <c r="U231" i="7950" s="1"/>
  <c r="V231" i="7950" s="1"/>
  <c r="W231" i="7950" s="1"/>
  <c r="H227" i="1"/>
  <c r="L166" i="7944"/>
  <c r="D230" i="7949"/>
  <c r="D236" i="7949" s="1"/>
  <c r="H64" i="7944"/>
  <c r="K166" i="7944"/>
  <c r="I166" i="7944"/>
  <c r="M166" i="7944" s="1"/>
  <c r="N166" i="7944" s="1"/>
  <c r="O166" i="7944" s="1"/>
  <c r="G227" i="1"/>
  <c r="G70" i="7942" s="1"/>
  <c r="G122" i="7942" s="1"/>
  <c r="H178" i="7942" s="1"/>
  <c r="H12" i="7944"/>
  <c r="K64" i="7944"/>
  <c r="N169" i="7944"/>
  <c r="M169" i="7944"/>
  <c r="K227" i="1"/>
  <c r="O169" i="7944"/>
  <c r="G230" i="7949"/>
  <c r="G239" i="7949" s="1"/>
  <c r="H239" i="7949" s="1"/>
  <c r="I239" i="7949" s="1"/>
  <c r="J239" i="7949" s="1"/>
  <c r="K239" i="7949" s="1"/>
  <c r="L239" i="7949" s="1"/>
  <c r="M239" i="7949" s="1"/>
  <c r="N239" i="7949" s="1"/>
  <c r="O239" i="7949" s="1"/>
  <c r="P239" i="7949" s="1"/>
  <c r="Q239" i="7949" s="1"/>
  <c r="R239" i="7949" s="1"/>
  <c r="S239" i="7949" s="1"/>
  <c r="T239" i="7949" s="1"/>
  <c r="U239" i="7949" s="1"/>
  <c r="V239" i="7949" s="1"/>
  <c r="W239" i="7949" s="1"/>
  <c r="L169" i="7944"/>
  <c r="G225" i="7950"/>
  <c r="G234" i="7950" s="1"/>
  <c r="H234" i="7950" s="1"/>
  <c r="I234" i="7950" s="1"/>
  <c r="J234" i="7950" s="1"/>
  <c r="K234" i="7950" s="1"/>
  <c r="L234" i="7950" s="1"/>
  <c r="M234" i="7950" s="1"/>
  <c r="N234" i="7950" s="1"/>
  <c r="O234" i="7950" s="1"/>
  <c r="P234" i="7950" s="1"/>
  <c r="Q234" i="7950" s="1"/>
  <c r="R234" i="7950" s="1"/>
  <c r="S234" i="7950" s="1"/>
  <c r="T234" i="7950" s="1"/>
  <c r="U234" i="7950" s="1"/>
  <c r="V234" i="7950" s="1"/>
  <c r="W234" i="7950" s="1"/>
  <c r="L64" i="7944"/>
  <c r="M170" i="7944"/>
  <c r="P170" i="7944"/>
  <c r="L227" i="1"/>
  <c r="N170" i="7944"/>
  <c r="H230" i="7949"/>
  <c r="H240" i="7949" s="1"/>
  <c r="O170" i="7944"/>
  <c r="H225" i="7950"/>
  <c r="H235" i="7950" s="1"/>
  <c r="Q167" i="7944" l="1"/>
  <c r="P169" i="7944"/>
  <c r="Q169" i="7944" s="1"/>
  <c r="O168" i="7944"/>
  <c r="P168" i="7944" s="1"/>
  <c r="Q168" i="7944" s="1"/>
  <c r="I235" i="7950"/>
  <c r="J235" i="7950" s="1"/>
  <c r="K235" i="7950" s="1"/>
  <c r="L235" i="7950" s="1"/>
  <c r="M235" i="7950" s="1"/>
  <c r="N235" i="7950" s="1"/>
  <c r="O235" i="7950" s="1"/>
  <c r="P235" i="7950" s="1"/>
  <c r="Q235" i="7950" s="1"/>
  <c r="R235" i="7950" s="1"/>
  <c r="S235" i="7950" s="1"/>
  <c r="T235" i="7950" s="1"/>
  <c r="U235" i="7950" s="1"/>
  <c r="V235" i="7950" s="1"/>
  <c r="W235" i="7950" s="1"/>
  <c r="I240" i="7949"/>
  <c r="J240" i="7949" s="1"/>
  <c r="K240" i="7949" s="1"/>
  <c r="L240" i="7949" s="1"/>
  <c r="M240" i="7949" s="1"/>
  <c r="N240" i="7949" s="1"/>
  <c r="O240" i="7949" s="1"/>
  <c r="P240" i="7949" s="1"/>
  <c r="Q240" i="7949" s="1"/>
  <c r="R240" i="7949" s="1"/>
  <c r="S240" i="7949" s="1"/>
  <c r="T240" i="7949" s="1"/>
  <c r="U240" i="7949" s="1"/>
  <c r="V240" i="7949" s="1"/>
  <c r="W240" i="7949" s="1"/>
  <c r="I229" i="1"/>
  <c r="M193" i="7944"/>
  <c r="P193" i="7944"/>
  <c r="J193" i="7944"/>
  <c r="N193" i="7944"/>
  <c r="E333" i="7950"/>
  <c r="E340" i="7950" s="1"/>
  <c r="F340" i="7950" s="1"/>
  <c r="G340" i="7950" s="1"/>
  <c r="H340" i="7950" s="1"/>
  <c r="I340" i="7950" s="1"/>
  <c r="J340" i="7950" s="1"/>
  <c r="K340" i="7950" s="1"/>
  <c r="L340" i="7950" s="1"/>
  <c r="M340" i="7950" s="1"/>
  <c r="N340" i="7950" s="1"/>
  <c r="O340" i="7950" s="1"/>
  <c r="P340" i="7950" s="1"/>
  <c r="Q340" i="7950" s="1"/>
  <c r="R340" i="7950" s="1"/>
  <c r="S340" i="7950" s="1"/>
  <c r="T340" i="7950" s="1"/>
  <c r="U340" i="7950" s="1"/>
  <c r="V340" i="7950" s="1"/>
  <c r="W340" i="7950" s="1"/>
  <c r="K193" i="7944"/>
  <c r="O193" i="7944"/>
  <c r="Q193" i="7944"/>
  <c r="I66" i="7944"/>
  <c r="L193" i="7944"/>
  <c r="E338" i="7949"/>
  <c r="E345" i="7949" s="1"/>
  <c r="F345" i="7949" s="1"/>
  <c r="G345" i="7949" s="1"/>
  <c r="H345" i="7949" s="1"/>
  <c r="I345" i="7949" s="1"/>
  <c r="J345" i="7949" s="1"/>
  <c r="K345" i="7949" s="1"/>
  <c r="L345" i="7949" s="1"/>
  <c r="M345" i="7949" s="1"/>
  <c r="N345" i="7949" s="1"/>
  <c r="O345" i="7949" s="1"/>
  <c r="P345" i="7949" s="1"/>
  <c r="Q345" i="7949" s="1"/>
  <c r="R345" i="7949" s="1"/>
  <c r="S345" i="7949" s="1"/>
  <c r="T345" i="7949" s="1"/>
  <c r="U345" i="7949" s="1"/>
  <c r="V345" i="7949" s="1"/>
  <c r="W345" i="7949" s="1"/>
  <c r="M122" i="18"/>
  <c r="L16" i="18"/>
  <c r="L774" i="18" s="1"/>
  <c r="L64" i="7941" s="1"/>
  <c r="P122" i="18"/>
  <c r="N122" i="18"/>
  <c r="O122" i="18"/>
  <c r="Q122" i="18"/>
  <c r="H66" i="7944"/>
  <c r="K192" i="7944"/>
  <c r="O192" i="7944"/>
  <c r="Q192" i="7944"/>
  <c r="H229" i="1"/>
  <c r="L192" i="7944"/>
  <c r="D338" i="7949"/>
  <c r="D344" i="7949" s="1"/>
  <c r="I192" i="7944"/>
  <c r="M192" i="7944"/>
  <c r="P192" i="7944"/>
  <c r="N192" i="7944"/>
  <c r="J192" i="7944"/>
  <c r="D333" i="7950"/>
  <c r="D339" i="7950" s="1"/>
  <c r="E339" i="7950" s="1"/>
  <c r="F339" i="7950" s="1"/>
  <c r="G339" i="7950" s="1"/>
  <c r="H339" i="7950" s="1"/>
  <c r="I339" i="7950" s="1"/>
  <c r="J339" i="7950" s="1"/>
  <c r="K339" i="7950" s="1"/>
  <c r="L339" i="7950" s="1"/>
  <c r="M339" i="7950" s="1"/>
  <c r="N339" i="7950" s="1"/>
  <c r="O339" i="7950" s="1"/>
  <c r="P339" i="7950" s="1"/>
  <c r="Q339" i="7950" s="1"/>
  <c r="R339" i="7950" s="1"/>
  <c r="S339" i="7950" s="1"/>
  <c r="T339" i="7950" s="1"/>
  <c r="U339" i="7950" s="1"/>
  <c r="V339" i="7950" s="1"/>
  <c r="W339" i="7950" s="1"/>
  <c r="M195" i="7944"/>
  <c r="G333" i="7950"/>
  <c r="G342" i="7950" s="1"/>
  <c r="H342" i="7950" s="1"/>
  <c r="I342" i="7950" s="1"/>
  <c r="J342" i="7950" s="1"/>
  <c r="K342" i="7950" s="1"/>
  <c r="L342" i="7950" s="1"/>
  <c r="M342" i="7950" s="1"/>
  <c r="N342" i="7950" s="1"/>
  <c r="O342" i="7950" s="1"/>
  <c r="P342" i="7950" s="1"/>
  <c r="Q342" i="7950" s="1"/>
  <c r="R342" i="7950" s="1"/>
  <c r="S342" i="7950" s="1"/>
  <c r="T342" i="7950" s="1"/>
  <c r="U342" i="7950" s="1"/>
  <c r="V342" i="7950" s="1"/>
  <c r="W342" i="7950" s="1"/>
  <c r="K66" i="7944"/>
  <c r="N195" i="7944"/>
  <c r="G338" i="7949"/>
  <c r="G347" i="7949" s="1"/>
  <c r="H347" i="7949" s="1"/>
  <c r="I347" i="7949" s="1"/>
  <c r="J347" i="7949" s="1"/>
  <c r="K347" i="7949" s="1"/>
  <c r="L347" i="7949" s="1"/>
  <c r="M347" i="7949" s="1"/>
  <c r="N347" i="7949" s="1"/>
  <c r="O347" i="7949" s="1"/>
  <c r="P347" i="7949" s="1"/>
  <c r="Q347" i="7949" s="1"/>
  <c r="R347" i="7949" s="1"/>
  <c r="S347" i="7949" s="1"/>
  <c r="T347" i="7949" s="1"/>
  <c r="U347" i="7949" s="1"/>
  <c r="V347" i="7949" s="1"/>
  <c r="W347" i="7949" s="1"/>
  <c r="K229" i="1"/>
  <c r="O195" i="7944"/>
  <c r="Q195" i="7944"/>
  <c r="L195" i="7944"/>
  <c r="P195" i="7944"/>
  <c r="L229" i="1"/>
  <c r="Q196" i="7944"/>
  <c r="M196" i="7944"/>
  <c r="N196" i="7944"/>
  <c r="L66" i="7944"/>
  <c r="P196" i="7944"/>
  <c r="O196" i="7944"/>
  <c r="H338" i="7949"/>
  <c r="H348" i="7949" s="1"/>
  <c r="H333" i="7950"/>
  <c r="H343" i="7950" s="1"/>
  <c r="I178" i="7942"/>
  <c r="I179" i="7942" s="1"/>
  <c r="L194" i="7944"/>
  <c r="F333" i="7950"/>
  <c r="F341" i="7950" s="1"/>
  <c r="G341" i="7950" s="1"/>
  <c r="H341" i="7950" s="1"/>
  <c r="I341" i="7950" s="1"/>
  <c r="J341" i="7950" s="1"/>
  <c r="K341" i="7950" s="1"/>
  <c r="L341" i="7950" s="1"/>
  <c r="M341" i="7950" s="1"/>
  <c r="N341" i="7950" s="1"/>
  <c r="O341" i="7950" s="1"/>
  <c r="P341" i="7950" s="1"/>
  <c r="Q341" i="7950" s="1"/>
  <c r="R341" i="7950" s="1"/>
  <c r="S341" i="7950" s="1"/>
  <c r="T341" i="7950" s="1"/>
  <c r="U341" i="7950" s="1"/>
  <c r="V341" i="7950" s="1"/>
  <c r="W341" i="7950" s="1"/>
  <c r="J66" i="7944"/>
  <c r="M194" i="7944"/>
  <c r="P194" i="7944"/>
  <c r="J229" i="1"/>
  <c r="N194" i="7944"/>
  <c r="F338" i="7949"/>
  <c r="F346" i="7949" s="1"/>
  <c r="G346" i="7949" s="1"/>
  <c r="H346" i="7949" s="1"/>
  <c r="I346" i="7949" s="1"/>
  <c r="J346" i="7949" s="1"/>
  <c r="K346" i="7949" s="1"/>
  <c r="L346" i="7949" s="1"/>
  <c r="M346" i="7949" s="1"/>
  <c r="N346" i="7949" s="1"/>
  <c r="O346" i="7949" s="1"/>
  <c r="P346" i="7949" s="1"/>
  <c r="Q346" i="7949" s="1"/>
  <c r="R346" i="7949" s="1"/>
  <c r="S346" i="7949" s="1"/>
  <c r="T346" i="7949" s="1"/>
  <c r="U346" i="7949" s="1"/>
  <c r="V346" i="7949" s="1"/>
  <c r="W346" i="7949" s="1"/>
  <c r="K194" i="7944"/>
  <c r="O194" i="7944"/>
  <c r="Q194" i="7944"/>
  <c r="Q170" i="7944"/>
  <c r="P166" i="7944"/>
  <c r="Q166" i="7944" s="1"/>
  <c r="I118" i="18"/>
  <c r="I128" i="18" s="1"/>
  <c r="M118" i="18"/>
  <c r="J118" i="18"/>
  <c r="K118" i="18"/>
  <c r="H16" i="18"/>
  <c r="H774" i="18" s="1"/>
  <c r="L118" i="18"/>
  <c r="I16" i="18"/>
  <c r="I774" i="18" s="1"/>
  <c r="I64" i="7941" s="1"/>
  <c r="N119" i="18"/>
  <c r="K119" i="18"/>
  <c r="L119" i="18"/>
  <c r="J119" i="18"/>
  <c r="M119" i="18"/>
  <c r="M121" i="18"/>
  <c r="N121" i="18"/>
  <c r="L121" i="18"/>
  <c r="O121" i="18"/>
  <c r="K16" i="18"/>
  <c r="K774" i="18" s="1"/>
  <c r="K64" i="7941" s="1"/>
  <c r="P121" i="18"/>
  <c r="H164" i="7944"/>
  <c r="H176" i="7944" s="1"/>
  <c r="I164" i="7944"/>
  <c r="I176" i="7944" s="1"/>
  <c r="J164" i="7944"/>
  <c r="C225" i="7950"/>
  <c r="C230" i="7950" s="1"/>
  <c r="E236" i="7949"/>
  <c r="D281" i="7949"/>
  <c r="L120" i="18"/>
  <c r="J16" i="18"/>
  <c r="J774" i="18" s="1"/>
  <c r="J64" i="7941" s="1"/>
  <c r="M120" i="18"/>
  <c r="K120" i="18"/>
  <c r="N120" i="18"/>
  <c r="O120" i="18"/>
  <c r="O119" i="18" l="1"/>
  <c r="P119" i="18" s="1"/>
  <c r="Q119" i="18" s="1"/>
  <c r="N118" i="18"/>
  <c r="O118" i="18" s="1"/>
  <c r="P118" i="18" s="1"/>
  <c r="K164" i="7944"/>
  <c r="L164" i="7944" s="1"/>
  <c r="P120" i="18"/>
  <c r="Q120" i="18" s="1"/>
  <c r="Q121" i="18"/>
  <c r="J178" i="7942"/>
  <c r="J179" i="7942" s="1"/>
  <c r="K142" i="7944"/>
  <c r="O142" i="7944"/>
  <c r="Q142" i="7944"/>
  <c r="L142" i="7944"/>
  <c r="F122" i="7949"/>
  <c r="F130" i="7949" s="1"/>
  <c r="G130" i="7949" s="1"/>
  <c r="H130" i="7949" s="1"/>
  <c r="I130" i="7949" s="1"/>
  <c r="J130" i="7949" s="1"/>
  <c r="K130" i="7949" s="1"/>
  <c r="L130" i="7949" s="1"/>
  <c r="M130" i="7949" s="1"/>
  <c r="N130" i="7949" s="1"/>
  <c r="O130" i="7949" s="1"/>
  <c r="P130" i="7949" s="1"/>
  <c r="Q130" i="7949" s="1"/>
  <c r="R130" i="7949" s="1"/>
  <c r="S130" i="7949" s="1"/>
  <c r="T130" i="7949" s="1"/>
  <c r="U130" i="7949" s="1"/>
  <c r="V130" i="7949" s="1"/>
  <c r="W130" i="7949" s="1"/>
  <c r="J62" i="7944"/>
  <c r="M142" i="7944"/>
  <c r="F117" i="7950"/>
  <c r="F125" i="7950" s="1"/>
  <c r="G125" i="7950" s="1"/>
  <c r="H125" i="7950" s="1"/>
  <c r="I125" i="7950" s="1"/>
  <c r="J125" i="7950" s="1"/>
  <c r="K125" i="7950" s="1"/>
  <c r="L125" i="7950" s="1"/>
  <c r="M125" i="7950" s="1"/>
  <c r="N125" i="7950" s="1"/>
  <c r="O125" i="7950" s="1"/>
  <c r="P125" i="7950" s="1"/>
  <c r="Q125" i="7950" s="1"/>
  <c r="R125" i="7950" s="1"/>
  <c r="S125" i="7950" s="1"/>
  <c r="T125" i="7950" s="1"/>
  <c r="U125" i="7950" s="1"/>
  <c r="V125" i="7950" s="1"/>
  <c r="W125" i="7950" s="1"/>
  <c r="J225" i="1"/>
  <c r="N142" i="7944"/>
  <c r="P142" i="7944"/>
  <c r="K115" i="7944"/>
  <c r="O115" i="7944"/>
  <c r="J115" i="7944"/>
  <c r="I60" i="7944"/>
  <c r="L115" i="7944"/>
  <c r="P115" i="7944"/>
  <c r="N115" i="7944"/>
  <c r="I111" i="1"/>
  <c r="M115" i="7944"/>
  <c r="E9" i="7950"/>
  <c r="E16" i="7950" s="1"/>
  <c r="F16" i="7950" s="1"/>
  <c r="G16" i="7950" s="1"/>
  <c r="H16" i="7950" s="1"/>
  <c r="I16" i="7950" s="1"/>
  <c r="J16" i="7950" s="1"/>
  <c r="K16" i="7950" s="1"/>
  <c r="L16" i="7950" s="1"/>
  <c r="M16" i="7950" s="1"/>
  <c r="N16" i="7950" s="1"/>
  <c r="O16" i="7950" s="1"/>
  <c r="P16" i="7950" s="1"/>
  <c r="Q16" i="7950" s="1"/>
  <c r="R16" i="7950" s="1"/>
  <c r="S16" i="7950" s="1"/>
  <c r="T16" i="7950" s="1"/>
  <c r="U16" i="7950" s="1"/>
  <c r="V16" i="7950" s="1"/>
  <c r="W16" i="7950" s="1"/>
  <c r="Q115" i="7944"/>
  <c r="L181" i="7944"/>
  <c r="F279" i="7950"/>
  <c r="F287" i="7950" s="1"/>
  <c r="G287" i="7950" s="1"/>
  <c r="H287" i="7950" s="1"/>
  <c r="I287" i="7950" s="1"/>
  <c r="J287" i="7950" s="1"/>
  <c r="K287" i="7950" s="1"/>
  <c r="L287" i="7950" s="1"/>
  <c r="M287" i="7950" s="1"/>
  <c r="N287" i="7950" s="1"/>
  <c r="O287" i="7950" s="1"/>
  <c r="P287" i="7950" s="1"/>
  <c r="Q287" i="7950" s="1"/>
  <c r="R287" i="7950" s="1"/>
  <c r="S287" i="7950" s="1"/>
  <c r="T287" i="7950" s="1"/>
  <c r="U287" i="7950" s="1"/>
  <c r="V287" i="7950" s="1"/>
  <c r="W287" i="7950" s="1"/>
  <c r="J65" i="7944"/>
  <c r="M181" i="7944"/>
  <c r="P181" i="7944"/>
  <c r="J228" i="1"/>
  <c r="N181" i="7944"/>
  <c r="F284" i="7949"/>
  <c r="F292" i="7949" s="1"/>
  <c r="G292" i="7949" s="1"/>
  <c r="H292" i="7949" s="1"/>
  <c r="I292" i="7949" s="1"/>
  <c r="J292" i="7949" s="1"/>
  <c r="K292" i="7949" s="1"/>
  <c r="L292" i="7949" s="1"/>
  <c r="M292" i="7949" s="1"/>
  <c r="N292" i="7949" s="1"/>
  <c r="O292" i="7949" s="1"/>
  <c r="P292" i="7949" s="1"/>
  <c r="Q292" i="7949" s="1"/>
  <c r="R292" i="7949" s="1"/>
  <c r="S292" i="7949" s="1"/>
  <c r="T292" i="7949" s="1"/>
  <c r="U292" i="7949" s="1"/>
  <c r="V292" i="7949" s="1"/>
  <c r="W292" i="7949" s="1"/>
  <c r="K181" i="7944"/>
  <c r="O181" i="7944"/>
  <c r="Q181" i="7944"/>
  <c r="I224" i="1"/>
  <c r="M128" i="7944"/>
  <c r="E68" i="7949"/>
  <c r="E75" i="7949" s="1"/>
  <c r="F75" i="7949" s="1"/>
  <c r="G75" i="7949" s="1"/>
  <c r="H75" i="7949" s="1"/>
  <c r="I75" i="7949" s="1"/>
  <c r="J75" i="7949" s="1"/>
  <c r="K75" i="7949" s="1"/>
  <c r="L75" i="7949" s="1"/>
  <c r="M75" i="7949" s="1"/>
  <c r="N75" i="7949" s="1"/>
  <c r="O75" i="7949" s="1"/>
  <c r="P75" i="7949" s="1"/>
  <c r="Q75" i="7949" s="1"/>
  <c r="R75" i="7949" s="1"/>
  <c r="S75" i="7949" s="1"/>
  <c r="T75" i="7949" s="1"/>
  <c r="U75" i="7949" s="1"/>
  <c r="V75" i="7949" s="1"/>
  <c r="W75" i="7949" s="1"/>
  <c r="P128" i="7944"/>
  <c r="J128" i="7944"/>
  <c r="N128" i="7944"/>
  <c r="E63" i="7950"/>
  <c r="E70" i="7950" s="1"/>
  <c r="F70" i="7950" s="1"/>
  <c r="G70" i="7950" s="1"/>
  <c r="H70" i="7950" s="1"/>
  <c r="I70" i="7950" s="1"/>
  <c r="J70" i="7950" s="1"/>
  <c r="K70" i="7950" s="1"/>
  <c r="L70" i="7950" s="1"/>
  <c r="M70" i="7950" s="1"/>
  <c r="N70" i="7950" s="1"/>
  <c r="O70" i="7950" s="1"/>
  <c r="P70" i="7950" s="1"/>
  <c r="Q70" i="7950" s="1"/>
  <c r="R70" i="7950" s="1"/>
  <c r="S70" i="7950" s="1"/>
  <c r="T70" i="7950" s="1"/>
  <c r="U70" i="7950" s="1"/>
  <c r="V70" i="7950" s="1"/>
  <c r="W70" i="7950" s="1"/>
  <c r="I61" i="7944"/>
  <c r="K128" i="7944"/>
  <c r="O128" i="7944"/>
  <c r="Q128" i="7944"/>
  <c r="L128" i="7944"/>
  <c r="F236" i="7949"/>
  <c r="E281" i="7949"/>
  <c r="J226" i="1"/>
  <c r="N155" i="7944"/>
  <c r="F176" i="7949"/>
  <c r="F184" i="7949" s="1"/>
  <c r="G184" i="7949" s="1"/>
  <c r="H184" i="7949" s="1"/>
  <c r="I184" i="7949" s="1"/>
  <c r="J184" i="7949" s="1"/>
  <c r="K184" i="7949" s="1"/>
  <c r="L184" i="7949" s="1"/>
  <c r="M184" i="7949" s="1"/>
  <c r="N184" i="7949" s="1"/>
  <c r="O184" i="7949" s="1"/>
  <c r="P184" i="7949" s="1"/>
  <c r="Q184" i="7949" s="1"/>
  <c r="R184" i="7949" s="1"/>
  <c r="S184" i="7949" s="1"/>
  <c r="T184" i="7949" s="1"/>
  <c r="U184" i="7949" s="1"/>
  <c r="V184" i="7949" s="1"/>
  <c r="W184" i="7949" s="1"/>
  <c r="K155" i="7944"/>
  <c r="O155" i="7944"/>
  <c r="Q155" i="7944"/>
  <c r="L155" i="7944"/>
  <c r="P155" i="7944"/>
  <c r="J63" i="7944"/>
  <c r="M155" i="7944"/>
  <c r="F171" i="7950"/>
  <c r="F179" i="7950" s="1"/>
  <c r="G179" i="7950" s="1"/>
  <c r="H179" i="7950" s="1"/>
  <c r="I179" i="7950" s="1"/>
  <c r="J179" i="7950" s="1"/>
  <c r="K179" i="7950" s="1"/>
  <c r="L179" i="7950" s="1"/>
  <c r="M179" i="7950" s="1"/>
  <c r="N179" i="7950" s="1"/>
  <c r="O179" i="7950" s="1"/>
  <c r="P179" i="7950" s="1"/>
  <c r="Q179" i="7950" s="1"/>
  <c r="R179" i="7950" s="1"/>
  <c r="S179" i="7950" s="1"/>
  <c r="T179" i="7950" s="1"/>
  <c r="U179" i="7950" s="1"/>
  <c r="V179" i="7950" s="1"/>
  <c r="W179" i="7950" s="1"/>
  <c r="H63" i="7944"/>
  <c r="K153" i="7944"/>
  <c r="O153" i="7944"/>
  <c r="Q153" i="7944"/>
  <c r="J153" i="7944"/>
  <c r="D171" i="7950"/>
  <c r="D177" i="7950" s="1"/>
  <c r="E177" i="7950" s="1"/>
  <c r="F177" i="7950" s="1"/>
  <c r="G177" i="7950" s="1"/>
  <c r="H177" i="7950" s="1"/>
  <c r="I177" i="7950" s="1"/>
  <c r="J177" i="7950" s="1"/>
  <c r="K177" i="7950" s="1"/>
  <c r="L177" i="7950" s="1"/>
  <c r="M177" i="7950" s="1"/>
  <c r="N177" i="7950" s="1"/>
  <c r="O177" i="7950" s="1"/>
  <c r="P177" i="7950" s="1"/>
  <c r="Q177" i="7950" s="1"/>
  <c r="R177" i="7950" s="1"/>
  <c r="S177" i="7950" s="1"/>
  <c r="T177" i="7950" s="1"/>
  <c r="U177" i="7950" s="1"/>
  <c r="V177" i="7950" s="1"/>
  <c r="W177" i="7950" s="1"/>
  <c r="H226" i="1"/>
  <c r="L153" i="7944"/>
  <c r="D176" i="7949"/>
  <c r="D182" i="7949" s="1"/>
  <c r="N153" i="7944"/>
  <c r="I153" i="7944"/>
  <c r="M153" i="7944"/>
  <c r="P153" i="7944"/>
  <c r="M144" i="7944"/>
  <c r="O144" i="7944"/>
  <c r="N144" i="7944"/>
  <c r="P144" i="7944"/>
  <c r="Q144" i="7944"/>
  <c r="H117" i="7950"/>
  <c r="H127" i="7950" s="1"/>
  <c r="L225" i="1"/>
  <c r="L62" i="7944"/>
  <c r="H122" i="7949"/>
  <c r="H132" i="7949" s="1"/>
  <c r="O129" i="7944"/>
  <c r="L129" i="7944"/>
  <c r="P129" i="7944"/>
  <c r="J61" i="7944"/>
  <c r="M129" i="7944"/>
  <c r="F63" i="7950"/>
  <c r="F71" i="7950" s="1"/>
  <c r="G71" i="7950" s="1"/>
  <c r="H71" i="7950" s="1"/>
  <c r="I71" i="7950" s="1"/>
  <c r="J71" i="7950" s="1"/>
  <c r="K71" i="7950" s="1"/>
  <c r="L71" i="7950" s="1"/>
  <c r="M71" i="7950" s="1"/>
  <c r="N71" i="7950" s="1"/>
  <c r="O71" i="7950" s="1"/>
  <c r="P71" i="7950" s="1"/>
  <c r="Q71" i="7950" s="1"/>
  <c r="R71" i="7950" s="1"/>
  <c r="S71" i="7950" s="1"/>
  <c r="T71" i="7950" s="1"/>
  <c r="U71" i="7950" s="1"/>
  <c r="V71" i="7950" s="1"/>
  <c r="W71" i="7950" s="1"/>
  <c r="Q129" i="7944"/>
  <c r="J224" i="1"/>
  <c r="N129" i="7944"/>
  <c r="F68" i="7949"/>
  <c r="F76" i="7949" s="1"/>
  <c r="G76" i="7949" s="1"/>
  <c r="H76" i="7949" s="1"/>
  <c r="I76" i="7949" s="1"/>
  <c r="J76" i="7949" s="1"/>
  <c r="K76" i="7949" s="1"/>
  <c r="L76" i="7949" s="1"/>
  <c r="M76" i="7949" s="1"/>
  <c r="N76" i="7949" s="1"/>
  <c r="O76" i="7949" s="1"/>
  <c r="P76" i="7949" s="1"/>
  <c r="Q76" i="7949" s="1"/>
  <c r="R76" i="7949" s="1"/>
  <c r="S76" i="7949" s="1"/>
  <c r="T76" i="7949" s="1"/>
  <c r="U76" i="7949" s="1"/>
  <c r="V76" i="7949" s="1"/>
  <c r="W76" i="7949" s="1"/>
  <c r="K129" i="7944"/>
  <c r="H224" i="1"/>
  <c r="L127" i="7944"/>
  <c r="D68" i="7949"/>
  <c r="D74" i="7949" s="1"/>
  <c r="I127" i="7944"/>
  <c r="M127" i="7944"/>
  <c r="P127" i="7944"/>
  <c r="J127" i="7944"/>
  <c r="N127" i="7944"/>
  <c r="D63" i="7950"/>
  <c r="D69" i="7950" s="1"/>
  <c r="E69" i="7950" s="1"/>
  <c r="F69" i="7950" s="1"/>
  <c r="G69" i="7950" s="1"/>
  <c r="H69" i="7950" s="1"/>
  <c r="I69" i="7950" s="1"/>
  <c r="J69" i="7950" s="1"/>
  <c r="K69" i="7950" s="1"/>
  <c r="L69" i="7950" s="1"/>
  <c r="M69" i="7950" s="1"/>
  <c r="N69" i="7950" s="1"/>
  <c r="O69" i="7950" s="1"/>
  <c r="P69" i="7950" s="1"/>
  <c r="Q69" i="7950" s="1"/>
  <c r="R69" i="7950" s="1"/>
  <c r="S69" i="7950" s="1"/>
  <c r="T69" i="7950" s="1"/>
  <c r="U69" i="7950" s="1"/>
  <c r="V69" i="7950" s="1"/>
  <c r="W69" i="7950" s="1"/>
  <c r="H61" i="7944"/>
  <c r="K127" i="7944"/>
  <c r="O127" i="7944"/>
  <c r="Q127" i="7944"/>
  <c r="K154" i="7944"/>
  <c r="O154" i="7944"/>
  <c r="Q154" i="7944"/>
  <c r="I63" i="7944"/>
  <c r="L154" i="7944"/>
  <c r="E176" i="7949"/>
  <c r="E183" i="7949" s="1"/>
  <c r="F183" i="7949" s="1"/>
  <c r="G183" i="7949" s="1"/>
  <c r="H183" i="7949" s="1"/>
  <c r="I183" i="7949" s="1"/>
  <c r="J183" i="7949" s="1"/>
  <c r="K183" i="7949" s="1"/>
  <c r="L183" i="7949" s="1"/>
  <c r="M183" i="7949" s="1"/>
  <c r="N183" i="7949" s="1"/>
  <c r="O183" i="7949" s="1"/>
  <c r="P183" i="7949" s="1"/>
  <c r="Q183" i="7949" s="1"/>
  <c r="R183" i="7949" s="1"/>
  <c r="S183" i="7949" s="1"/>
  <c r="T183" i="7949" s="1"/>
  <c r="U183" i="7949" s="1"/>
  <c r="V183" i="7949" s="1"/>
  <c r="W183" i="7949" s="1"/>
  <c r="I226" i="1"/>
  <c r="M154" i="7944"/>
  <c r="P154" i="7944"/>
  <c r="J154" i="7944"/>
  <c r="N154" i="7944"/>
  <c r="E171" i="7950"/>
  <c r="E178" i="7950" s="1"/>
  <c r="F178" i="7950" s="1"/>
  <c r="G178" i="7950" s="1"/>
  <c r="H178" i="7950" s="1"/>
  <c r="I178" i="7950" s="1"/>
  <c r="J178" i="7950" s="1"/>
  <c r="K178" i="7950" s="1"/>
  <c r="L178" i="7950" s="1"/>
  <c r="M178" i="7950" s="1"/>
  <c r="N178" i="7950" s="1"/>
  <c r="O178" i="7950" s="1"/>
  <c r="P178" i="7950" s="1"/>
  <c r="Q178" i="7950" s="1"/>
  <c r="R178" i="7950" s="1"/>
  <c r="S178" i="7950" s="1"/>
  <c r="T178" i="7950" s="1"/>
  <c r="U178" i="7950" s="1"/>
  <c r="V178" i="7950" s="1"/>
  <c r="W178" i="7950" s="1"/>
  <c r="J179" i="7944"/>
  <c r="N179" i="7944"/>
  <c r="P179" i="7944"/>
  <c r="H65" i="7944"/>
  <c r="K179" i="7944"/>
  <c r="O179" i="7944"/>
  <c r="Q179" i="7944"/>
  <c r="H228" i="1"/>
  <c r="L179" i="7944"/>
  <c r="D279" i="7950"/>
  <c r="D285" i="7950" s="1"/>
  <c r="E285" i="7950" s="1"/>
  <c r="F285" i="7950" s="1"/>
  <c r="G285" i="7950" s="1"/>
  <c r="H285" i="7950" s="1"/>
  <c r="I285" i="7950" s="1"/>
  <c r="J285" i="7950" s="1"/>
  <c r="K285" i="7950" s="1"/>
  <c r="L285" i="7950" s="1"/>
  <c r="M285" i="7950" s="1"/>
  <c r="N285" i="7950" s="1"/>
  <c r="O285" i="7950" s="1"/>
  <c r="P285" i="7950" s="1"/>
  <c r="Q285" i="7950" s="1"/>
  <c r="R285" i="7950" s="1"/>
  <c r="S285" i="7950" s="1"/>
  <c r="T285" i="7950" s="1"/>
  <c r="U285" i="7950" s="1"/>
  <c r="V285" i="7950" s="1"/>
  <c r="W285" i="7950" s="1"/>
  <c r="I179" i="7944"/>
  <c r="M179" i="7944"/>
  <c r="D284" i="7949"/>
  <c r="D290" i="7949" s="1"/>
  <c r="M164" i="7944"/>
  <c r="N164" i="7944" s="1"/>
  <c r="Q118" i="18"/>
  <c r="K178" i="7942"/>
  <c r="I348" i="7949"/>
  <c r="J348" i="7949" s="1"/>
  <c r="K348" i="7949" s="1"/>
  <c r="L348" i="7949" s="1"/>
  <c r="M348" i="7949" s="1"/>
  <c r="N348" i="7949" s="1"/>
  <c r="O348" i="7949" s="1"/>
  <c r="P348" i="7949" s="1"/>
  <c r="Q348" i="7949" s="1"/>
  <c r="R348" i="7949" s="1"/>
  <c r="S348" i="7949" s="1"/>
  <c r="T348" i="7949" s="1"/>
  <c r="U348" i="7949" s="1"/>
  <c r="V348" i="7949" s="1"/>
  <c r="W348" i="7949" s="1"/>
  <c r="K18" i="18"/>
  <c r="K776" i="18" s="1"/>
  <c r="K66" i="7941" s="1"/>
  <c r="P147" i="18"/>
  <c r="M147" i="18"/>
  <c r="Q147" i="18"/>
  <c r="O147" i="18"/>
  <c r="N147" i="18"/>
  <c r="L147" i="18"/>
  <c r="E344" i="7949"/>
  <c r="D389" i="7949"/>
  <c r="L145" i="18"/>
  <c r="P145" i="18"/>
  <c r="J145" i="18"/>
  <c r="M145" i="18"/>
  <c r="Q145" i="18"/>
  <c r="I18" i="18"/>
  <c r="I776" i="18" s="1"/>
  <c r="I66" i="7941" s="1"/>
  <c r="N145" i="18"/>
  <c r="K145" i="18"/>
  <c r="O145" i="18"/>
  <c r="I140" i="7944"/>
  <c r="M140" i="7944"/>
  <c r="P140" i="7944"/>
  <c r="J140" i="7944"/>
  <c r="N140" i="7944"/>
  <c r="D117" i="7950"/>
  <c r="D123" i="7950" s="1"/>
  <c r="E123" i="7950" s="1"/>
  <c r="F123" i="7950" s="1"/>
  <c r="G123" i="7950" s="1"/>
  <c r="H123" i="7950" s="1"/>
  <c r="I123" i="7950" s="1"/>
  <c r="J123" i="7950" s="1"/>
  <c r="K123" i="7950" s="1"/>
  <c r="L123" i="7950" s="1"/>
  <c r="M123" i="7950" s="1"/>
  <c r="N123" i="7950" s="1"/>
  <c r="O123" i="7950" s="1"/>
  <c r="P123" i="7950" s="1"/>
  <c r="Q123" i="7950" s="1"/>
  <c r="R123" i="7950" s="1"/>
  <c r="S123" i="7950" s="1"/>
  <c r="T123" i="7950" s="1"/>
  <c r="U123" i="7950" s="1"/>
  <c r="V123" i="7950" s="1"/>
  <c r="W123" i="7950" s="1"/>
  <c r="H62" i="7944"/>
  <c r="K140" i="7944"/>
  <c r="O140" i="7944"/>
  <c r="Q140" i="7944"/>
  <c r="H225" i="1"/>
  <c r="L140" i="7944"/>
  <c r="D122" i="7949"/>
  <c r="D128" i="7949" s="1"/>
  <c r="P130" i="7944"/>
  <c r="M130" i="7944"/>
  <c r="G63" i="7950"/>
  <c r="G72" i="7950" s="1"/>
  <c r="H72" i="7950" s="1"/>
  <c r="I72" i="7950" s="1"/>
  <c r="J72" i="7950" s="1"/>
  <c r="K72" i="7950" s="1"/>
  <c r="L72" i="7950" s="1"/>
  <c r="M72" i="7950" s="1"/>
  <c r="N72" i="7950" s="1"/>
  <c r="O72" i="7950" s="1"/>
  <c r="P72" i="7950" s="1"/>
  <c r="Q72" i="7950" s="1"/>
  <c r="R72" i="7950" s="1"/>
  <c r="S72" i="7950" s="1"/>
  <c r="T72" i="7950" s="1"/>
  <c r="U72" i="7950" s="1"/>
  <c r="V72" i="7950" s="1"/>
  <c r="W72" i="7950" s="1"/>
  <c r="K61" i="7944"/>
  <c r="N130" i="7944"/>
  <c r="G68" i="7949"/>
  <c r="G77" i="7949" s="1"/>
  <c r="H77" i="7949" s="1"/>
  <c r="I77" i="7949" s="1"/>
  <c r="J77" i="7949" s="1"/>
  <c r="K77" i="7949" s="1"/>
  <c r="L77" i="7949" s="1"/>
  <c r="M77" i="7949" s="1"/>
  <c r="N77" i="7949" s="1"/>
  <c r="O77" i="7949" s="1"/>
  <c r="P77" i="7949" s="1"/>
  <c r="Q77" i="7949" s="1"/>
  <c r="R77" i="7949" s="1"/>
  <c r="S77" i="7949" s="1"/>
  <c r="T77" i="7949" s="1"/>
  <c r="U77" i="7949" s="1"/>
  <c r="V77" i="7949" s="1"/>
  <c r="W77" i="7949" s="1"/>
  <c r="K224" i="1"/>
  <c r="O130" i="7944"/>
  <c r="Q130" i="7944"/>
  <c r="L130" i="7944"/>
  <c r="L226" i="1"/>
  <c r="N157" i="7944"/>
  <c r="L63" i="7944"/>
  <c r="H176" i="7949"/>
  <c r="H186" i="7949" s="1"/>
  <c r="H171" i="7950"/>
  <c r="H181" i="7950" s="1"/>
  <c r="O157" i="7944"/>
  <c r="M157" i="7944"/>
  <c r="Q157" i="7944"/>
  <c r="P157" i="7944"/>
  <c r="I65" i="7944"/>
  <c r="L180" i="7944"/>
  <c r="E279" i="7950"/>
  <c r="E286" i="7950" s="1"/>
  <c r="F286" i="7950" s="1"/>
  <c r="G286" i="7950" s="1"/>
  <c r="H286" i="7950" s="1"/>
  <c r="I286" i="7950" s="1"/>
  <c r="J286" i="7950" s="1"/>
  <c r="K286" i="7950" s="1"/>
  <c r="L286" i="7950" s="1"/>
  <c r="M286" i="7950" s="1"/>
  <c r="N286" i="7950" s="1"/>
  <c r="O286" i="7950" s="1"/>
  <c r="P286" i="7950" s="1"/>
  <c r="Q286" i="7950" s="1"/>
  <c r="R286" i="7950" s="1"/>
  <c r="S286" i="7950" s="1"/>
  <c r="T286" i="7950" s="1"/>
  <c r="U286" i="7950" s="1"/>
  <c r="V286" i="7950" s="1"/>
  <c r="W286" i="7950" s="1"/>
  <c r="I228" i="1"/>
  <c r="M180" i="7944"/>
  <c r="P180" i="7944"/>
  <c r="J180" i="7944"/>
  <c r="N180" i="7944"/>
  <c r="E284" i="7949"/>
  <c r="E291" i="7949" s="1"/>
  <c r="F291" i="7949" s="1"/>
  <c r="G291" i="7949" s="1"/>
  <c r="H291" i="7949" s="1"/>
  <c r="I291" i="7949" s="1"/>
  <c r="J291" i="7949" s="1"/>
  <c r="K291" i="7949" s="1"/>
  <c r="L291" i="7949" s="1"/>
  <c r="M291" i="7949" s="1"/>
  <c r="N291" i="7949" s="1"/>
  <c r="O291" i="7949" s="1"/>
  <c r="P291" i="7949" s="1"/>
  <c r="Q291" i="7949" s="1"/>
  <c r="R291" i="7949" s="1"/>
  <c r="S291" i="7949" s="1"/>
  <c r="T291" i="7949" s="1"/>
  <c r="U291" i="7949" s="1"/>
  <c r="V291" i="7949" s="1"/>
  <c r="W291" i="7949" s="1"/>
  <c r="K180" i="7944"/>
  <c r="O180" i="7944"/>
  <c r="Q180" i="7944"/>
  <c r="L61" i="7944"/>
  <c r="H68" i="7949"/>
  <c r="H78" i="7949" s="1"/>
  <c r="H63" i="7950"/>
  <c r="H73" i="7950" s="1"/>
  <c r="O131" i="7944"/>
  <c r="N131" i="7944"/>
  <c r="Q131" i="7944"/>
  <c r="P131" i="7944"/>
  <c r="M131" i="7944"/>
  <c r="L224" i="1"/>
  <c r="I12" i="7944"/>
  <c r="J176" i="7944"/>
  <c r="L143" i="7944"/>
  <c r="P143" i="7944"/>
  <c r="M143" i="7944"/>
  <c r="G122" i="7949"/>
  <c r="G131" i="7949" s="1"/>
  <c r="H131" i="7949" s="1"/>
  <c r="I131" i="7949" s="1"/>
  <c r="J131" i="7949" s="1"/>
  <c r="K131" i="7949" s="1"/>
  <c r="L131" i="7949" s="1"/>
  <c r="M131" i="7949" s="1"/>
  <c r="N131" i="7949" s="1"/>
  <c r="O131" i="7949" s="1"/>
  <c r="P131" i="7949" s="1"/>
  <c r="Q131" i="7949" s="1"/>
  <c r="R131" i="7949" s="1"/>
  <c r="S131" i="7949" s="1"/>
  <c r="T131" i="7949" s="1"/>
  <c r="U131" i="7949" s="1"/>
  <c r="V131" i="7949" s="1"/>
  <c r="W131" i="7949" s="1"/>
  <c r="K62" i="7944"/>
  <c r="N143" i="7944"/>
  <c r="G117" i="7950"/>
  <c r="G126" i="7950" s="1"/>
  <c r="H126" i="7950" s="1"/>
  <c r="I126" i="7950" s="1"/>
  <c r="J126" i="7950" s="1"/>
  <c r="K126" i="7950" s="1"/>
  <c r="L126" i="7950" s="1"/>
  <c r="M126" i="7950" s="1"/>
  <c r="N126" i="7950" s="1"/>
  <c r="O126" i="7950" s="1"/>
  <c r="P126" i="7950" s="1"/>
  <c r="Q126" i="7950" s="1"/>
  <c r="R126" i="7950" s="1"/>
  <c r="S126" i="7950" s="1"/>
  <c r="T126" i="7950" s="1"/>
  <c r="U126" i="7950" s="1"/>
  <c r="V126" i="7950" s="1"/>
  <c r="W126" i="7950" s="1"/>
  <c r="K225" i="1"/>
  <c r="O143" i="7944"/>
  <c r="Q143" i="7944"/>
  <c r="J141" i="7944"/>
  <c r="N141" i="7944"/>
  <c r="E117" i="7950"/>
  <c r="E124" i="7950" s="1"/>
  <c r="F124" i="7950" s="1"/>
  <c r="G124" i="7950" s="1"/>
  <c r="H124" i="7950" s="1"/>
  <c r="I124" i="7950" s="1"/>
  <c r="J124" i="7950" s="1"/>
  <c r="K124" i="7950" s="1"/>
  <c r="L124" i="7950" s="1"/>
  <c r="M124" i="7950" s="1"/>
  <c r="N124" i="7950" s="1"/>
  <c r="O124" i="7950" s="1"/>
  <c r="P124" i="7950" s="1"/>
  <c r="Q124" i="7950" s="1"/>
  <c r="R124" i="7950" s="1"/>
  <c r="S124" i="7950" s="1"/>
  <c r="T124" i="7950" s="1"/>
  <c r="U124" i="7950" s="1"/>
  <c r="V124" i="7950" s="1"/>
  <c r="W124" i="7950" s="1"/>
  <c r="K141" i="7944"/>
  <c r="O141" i="7944"/>
  <c r="Q141" i="7944"/>
  <c r="I62" i="7944"/>
  <c r="L141" i="7944"/>
  <c r="P141" i="7944"/>
  <c r="I225" i="1"/>
  <c r="M141" i="7944"/>
  <c r="E122" i="7949"/>
  <c r="E129" i="7949" s="1"/>
  <c r="F129" i="7949" s="1"/>
  <c r="G129" i="7949" s="1"/>
  <c r="H129" i="7949" s="1"/>
  <c r="I129" i="7949" s="1"/>
  <c r="J129" i="7949" s="1"/>
  <c r="K129" i="7949" s="1"/>
  <c r="L129" i="7949" s="1"/>
  <c r="M129" i="7949" s="1"/>
  <c r="N129" i="7949" s="1"/>
  <c r="O129" i="7949" s="1"/>
  <c r="P129" i="7949" s="1"/>
  <c r="Q129" i="7949" s="1"/>
  <c r="R129" i="7949" s="1"/>
  <c r="S129" i="7949" s="1"/>
  <c r="T129" i="7949" s="1"/>
  <c r="U129" i="7949" s="1"/>
  <c r="V129" i="7949" s="1"/>
  <c r="W129" i="7949" s="1"/>
  <c r="I114" i="7944"/>
  <c r="M114" i="7944"/>
  <c r="P114" i="7944"/>
  <c r="J114" i="7944"/>
  <c r="N114" i="7944"/>
  <c r="Q114" i="7944"/>
  <c r="H60" i="7944"/>
  <c r="K114" i="7944"/>
  <c r="O114" i="7944"/>
  <c r="H111" i="1"/>
  <c r="L114" i="7944"/>
  <c r="D9" i="7950"/>
  <c r="D15" i="7950" s="1"/>
  <c r="E15" i="7950" s="1"/>
  <c r="F15" i="7950" s="1"/>
  <c r="G15" i="7950" s="1"/>
  <c r="H15" i="7950" s="1"/>
  <c r="I15" i="7950" s="1"/>
  <c r="J15" i="7950" s="1"/>
  <c r="K15" i="7950" s="1"/>
  <c r="L15" i="7950" s="1"/>
  <c r="M15" i="7950" s="1"/>
  <c r="N15" i="7950" s="1"/>
  <c r="O15" i="7950" s="1"/>
  <c r="P15" i="7950" s="1"/>
  <c r="Q15" i="7950" s="1"/>
  <c r="R15" i="7950" s="1"/>
  <c r="S15" i="7950" s="1"/>
  <c r="T15" i="7950" s="1"/>
  <c r="U15" i="7950" s="1"/>
  <c r="V15" i="7950" s="1"/>
  <c r="W15" i="7950" s="1"/>
  <c r="K111" i="1"/>
  <c r="O117" i="7944"/>
  <c r="L117" i="7944"/>
  <c r="P117" i="7944"/>
  <c r="K60" i="7944"/>
  <c r="N117" i="7944"/>
  <c r="M117" i="7944"/>
  <c r="G9" i="7950"/>
  <c r="G18" i="7950" s="1"/>
  <c r="H18" i="7950" s="1"/>
  <c r="I18" i="7950" s="1"/>
  <c r="J18" i="7950" s="1"/>
  <c r="K18" i="7950" s="1"/>
  <c r="L18" i="7950" s="1"/>
  <c r="M18" i="7950" s="1"/>
  <c r="N18" i="7950" s="1"/>
  <c r="O18" i="7950" s="1"/>
  <c r="P18" i="7950" s="1"/>
  <c r="Q18" i="7950" s="1"/>
  <c r="R18" i="7950" s="1"/>
  <c r="S18" i="7950" s="1"/>
  <c r="T18" i="7950" s="1"/>
  <c r="U18" i="7950" s="1"/>
  <c r="V18" i="7950" s="1"/>
  <c r="W18" i="7950" s="1"/>
  <c r="Q117" i="7944"/>
  <c r="M182" i="7944"/>
  <c r="P182" i="7944"/>
  <c r="K65" i="7944"/>
  <c r="N182" i="7944"/>
  <c r="G284" i="7949"/>
  <c r="G293" i="7949" s="1"/>
  <c r="H293" i="7949" s="1"/>
  <c r="I293" i="7949" s="1"/>
  <c r="J293" i="7949" s="1"/>
  <c r="K293" i="7949" s="1"/>
  <c r="L293" i="7949" s="1"/>
  <c r="M293" i="7949" s="1"/>
  <c r="N293" i="7949" s="1"/>
  <c r="O293" i="7949" s="1"/>
  <c r="P293" i="7949" s="1"/>
  <c r="Q293" i="7949" s="1"/>
  <c r="R293" i="7949" s="1"/>
  <c r="S293" i="7949" s="1"/>
  <c r="T293" i="7949" s="1"/>
  <c r="U293" i="7949" s="1"/>
  <c r="V293" i="7949" s="1"/>
  <c r="W293" i="7949" s="1"/>
  <c r="K228" i="1"/>
  <c r="O182" i="7944"/>
  <c r="Q182" i="7944"/>
  <c r="L182" i="7944"/>
  <c r="G279" i="7950"/>
  <c r="G288" i="7950" s="1"/>
  <c r="H288" i="7950" s="1"/>
  <c r="I288" i="7950" s="1"/>
  <c r="J288" i="7950" s="1"/>
  <c r="K288" i="7950" s="1"/>
  <c r="L288" i="7950" s="1"/>
  <c r="M288" i="7950" s="1"/>
  <c r="N288" i="7950" s="1"/>
  <c r="O288" i="7950" s="1"/>
  <c r="P288" i="7950" s="1"/>
  <c r="Q288" i="7950" s="1"/>
  <c r="R288" i="7950" s="1"/>
  <c r="S288" i="7950" s="1"/>
  <c r="T288" i="7950" s="1"/>
  <c r="U288" i="7950" s="1"/>
  <c r="V288" i="7950" s="1"/>
  <c r="W288" i="7950" s="1"/>
  <c r="C276" i="7950"/>
  <c r="D230" i="7950"/>
  <c r="D276" i="7950" s="1"/>
  <c r="K144" i="18"/>
  <c r="O144" i="18"/>
  <c r="J144" i="18"/>
  <c r="N144" i="18"/>
  <c r="H18" i="18"/>
  <c r="H776" i="18" s="1"/>
  <c r="L144" i="18"/>
  <c r="P144" i="18"/>
  <c r="I144" i="18"/>
  <c r="I154" i="18" s="1"/>
  <c r="M144" i="18"/>
  <c r="Q144" i="18"/>
  <c r="K63" i="7944"/>
  <c r="N156" i="7944"/>
  <c r="P156" i="7944"/>
  <c r="K226" i="1"/>
  <c r="O156" i="7944"/>
  <c r="Q156" i="7944"/>
  <c r="L156" i="7944"/>
  <c r="G171" i="7950"/>
  <c r="G180" i="7950" s="1"/>
  <c r="H180" i="7950" s="1"/>
  <c r="I180" i="7950" s="1"/>
  <c r="J180" i="7950" s="1"/>
  <c r="K180" i="7950" s="1"/>
  <c r="L180" i="7950" s="1"/>
  <c r="M180" i="7950" s="1"/>
  <c r="N180" i="7950" s="1"/>
  <c r="O180" i="7950" s="1"/>
  <c r="P180" i="7950" s="1"/>
  <c r="Q180" i="7950" s="1"/>
  <c r="R180" i="7950" s="1"/>
  <c r="S180" i="7950" s="1"/>
  <c r="T180" i="7950" s="1"/>
  <c r="U180" i="7950" s="1"/>
  <c r="V180" i="7950" s="1"/>
  <c r="W180" i="7950" s="1"/>
  <c r="M156" i="7944"/>
  <c r="G176" i="7949"/>
  <c r="G185" i="7949" s="1"/>
  <c r="H185" i="7949" s="1"/>
  <c r="I185" i="7949" s="1"/>
  <c r="J185" i="7949" s="1"/>
  <c r="K185" i="7949" s="1"/>
  <c r="L185" i="7949" s="1"/>
  <c r="M185" i="7949" s="1"/>
  <c r="N185" i="7949" s="1"/>
  <c r="O185" i="7949" s="1"/>
  <c r="P185" i="7949" s="1"/>
  <c r="Q185" i="7949" s="1"/>
  <c r="R185" i="7949" s="1"/>
  <c r="S185" i="7949" s="1"/>
  <c r="T185" i="7949" s="1"/>
  <c r="U185" i="7949" s="1"/>
  <c r="V185" i="7949" s="1"/>
  <c r="W185" i="7949" s="1"/>
  <c r="K116" i="7944"/>
  <c r="O116" i="7944"/>
  <c r="L116" i="7944"/>
  <c r="P116" i="7944"/>
  <c r="J60" i="7944"/>
  <c r="J59" i="7944" s="1"/>
  <c r="M116" i="7944"/>
  <c r="F9" i="7950"/>
  <c r="F17" i="7950" s="1"/>
  <c r="G17" i="7950" s="1"/>
  <c r="H17" i="7950" s="1"/>
  <c r="I17" i="7950" s="1"/>
  <c r="J17" i="7950" s="1"/>
  <c r="K17" i="7950" s="1"/>
  <c r="L17" i="7950" s="1"/>
  <c r="M17" i="7950" s="1"/>
  <c r="N17" i="7950" s="1"/>
  <c r="O17" i="7950" s="1"/>
  <c r="P17" i="7950" s="1"/>
  <c r="Q17" i="7950" s="1"/>
  <c r="R17" i="7950" s="1"/>
  <c r="S17" i="7950" s="1"/>
  <c r="T17" i="7950" s="1"/>
  <c r="U17" i="7950" s="1"/>
  <c r="V17" i="7950" s="1"/>
  <c r="W17" i="7950" s="1"/>
  <c r="J111" i="1"/>
  <c r="N116" i="7944"/>
  <c r="Q116" i="7944"/>
  <c r="H284" i="7949"/>
  <c r="H294" i="7949" s="1"/>
  <c r="N183" i="7944"/>
  <c r="L65" i="7944"/>
  <c r="P183" i="7944"/>
  <c r="O183" i="7944"/>
  <c r="L228" i="1"/>
  <c r="M183" i="7944"/>
  <c r="Q183" i="7944"/>
  <c r="H279" i="7950"/>
  <c r="H289" i="7950" s="1"/>
  <c r="H64" i="7941"/>
  <c r="I722" i="18"/>
  <c r="I1036" i="18"/>
  <c r="J128" i="18"/>
  <c r="J1036" i="18" s="1"/>
  <c r="M146" i="18"/>
  <c r="Q146" i="18"/>
  <c r="J18" i="18"/>
  <c r="J776" i="18" s="1"/>
  <c r="J66" i="7941" s="1"/>
  <c r="N146" i="18"/>
  <c r="K146" i="18"/>
  <c r="O146" i="18"/>
  <c r="L146" i="18"/>
  <c r="P146" i="18"/>
  <c r="I343" i="7950"/>
  <c r="J343" i="7950" s="1"/>
  <c r="K343" i="7950" s="1"/>
  <c r="L343" i="7950" s="1"/>
  <c r="M343" i="7950" s="1"/>
  <c r="N343" i="7950" s="1"/>
  <c r="O343" i="7950" s="1"/>
  <c r="P343" i="7950" s="1"/>
  <c r="Q343" i="7950" s="1"/>
  <c r="R343" i="7950" s="1"/>
  <c r="S343" i="7950" s="1"/>
  <c r="T343" i="7950" s="1"/>
  <c r="U343" i="7950" s="1"/>
  <c r="V343" i="7950" s="1"/>
  <c r="W343" i="7950" s="1"/>
  <c r="N148" i="18"/>
  <c r="O148" i="18"/>
  <c r="L18" i="18"/>
  <c r="L776" i="18" s="1"/>
  <c r="L66" i="7941" s="1"/>
  <c r="M148" i="18"/>
  <c r="Q148" i="18"/>
  <c r="P148" i="18"/>
  <c r="H59" i="7944" l="1"/>
  <c r="I289" i="7950"/>
  <c r="J289" i="7950" s="1"/>
  <c r="K289" i="7950" s="1"/>
  <c r="L289" i="7950" s="1"/>
  <c r="M289" i="7950" s="1"/>
  <c r="N289" i="7950" s="1"/>
  <c r="O289" i="7950" s="1"/>
  <c r="P289" i="7950" s="1"/>
  <c r="Q289" i="7950" s="1"/>
  <c r="R289" i="7950" s="1"/>
  <c r="S289" i="7950" s="1"/>
  <c r="T289" i="7950" s="1"/>
  <c r="U289" i="7950" s="1"/>
  <c r="V289" i="7950" s="1"/>
  <c r="W289" i="7950" s="1"/>
  <c r="I294" i="7949"/>
  <c r="J294" i="7949" s="1"/>
  <c r="K294" i="7949" s="1"/>
  <c r="L294" i="7949" s="1"/>
  <c r="M294" i="7949" s="1"/>
  <c r="N294" i="7949" s="1"/>
  <c r="O294" i="7949" s="1"/>
  <c r="P294" i="7949" s="1"/>
  <c r="Q294" i="7949" s="1"/>
  <c r="R294" i="7949" s="1"/>
  <c r="S294" i="7949" s="1"/>
  <c r="T294" i="7949" s="1"/>
  <c r="U294" i="7949" s="1"/>
  <c r="V294" i="7949" s="1"/>
  <c r="W294" i="7949" s="1"/>
  <c r="K93" i="18"/>
  <c r="O93" i="18"/>
  <c r="L93" i="18"/>
  <c r="P93" i="18"/>
  <c r="I14" i="18"/>
  <c r="I772" i="18" s="1"/>
  <c r="I62" i="7941" s="1"/>
  <c r="M93" i="18"/>
  <c r="Q93" i="18"/>
  <c r="J93" i="18"/>
  <c r="N93" i="18"/>
  <c r="M95" i="18"/>
  <c r="Q95" i="18"/>
  <c r="N95" i="18"/>
  <c r="K14" i="18"/>
  <c r="K772" i="18" s="1"/>
  <c r="K62" i="7941" s="1"/>
  <c r="O95" i="18"/>
  <c r="L95" i="18"/>
  <c r="P95" i="18"/>
  <c r="K176" i="7944"/>
  <c r="L176" i="7944" s="1"/>
  <c r="M176" i="7944" s="1"/>
  <c r="N176" i="7944" s="1"/>
  <c r="O176" i="7944" s="1"/>
  <c r="P176" i="7944" s="1"/>
  <c r="Q176" i="7944" s="1"/>
  <c r="J132" i="18"/>
  <c r="N132" i="18"/>
  <c r="K132" i="18"/>
  <c r="O132" i="18"/>
  <c r="L132" i="18"/>
  <c r="P132" i="18"/>
  <c r="I17" i="18"/>
  <c r="I775" i="18" s="1"/>
  <c r="I65" i="7941" s="1"/>
  <c r="M132" i="18"/>
  <c r="Q132" i="18"/>
  <c r="E128" i="7949"/>
  <c r="D173" i="7949"/>
  <c r="F344" i="7949"/>
  <c r="E389" i="7949"/>
  <c r="I131" i="18"/>
  <c r="I141" i="18" s="1"/>
  <c r="M131" i="18"/>
  <c r="Q131" i="18"/>
  <c r="J131" i="18"/>
  <c r="N131" i="18"/>
  <c r="K131" i="18"/>
  <c r="O131" i="18"/>
  <c r="H17" i="18"/>
  <c r="H775" i="18" s="1"/>
  <c r="L131" i="18"/>
  <c r="P131" i="18"/>
  <c r="O79" i="18"/>
  <c r="I79" i="18"/>
  <c r="I89" i="18" s="1"/>
  <c r="L79" i="18"/>
  <c r="P79" i="18"/>
  <c r="H13" i="18"/>
  <c r="H771" i="18" s="1"/>
  <c r="M79" i="18"/>
  <c r="Q79" i="18"/>
  <c r="K79" i="18"/>
  <c r="J79" i="18"/>
  <c r="N79" i="18"/>
  <c r="L81" i="18"/>
  <c r="P81" i="18"/>
  <c r="K81" i="18"/>
  <c r="M81" i="18"/>
  <c r="Q81" i="18"/>
  <c r="J13" i="18"/>
  <c r="J771" i="18" s="1"/>
  <c r="J61" i="7941" s="1"/>
  <c r="N81" i="18"/>
  <c r="O81" i="18"/>
  <c r="I132" i="7949"/>
  <c r="J132" i="7949" s="1"/>
  <c r="K132" i="7949" s="1"/>
  <c r="L132" i="7949" s="1"/>
  <c r="M132" i="7949" s="1"/>
  <c r="N132" i="7949" s="1"/>
  <c r="O132" i="7949" s="1"/>
  <c r="P132" i="7949" s="1"/>
  <c r="Q132" i="7949" s="1"/>
  <c r="R132" i="7949" s="1"/>
  <c r="S132" i="7949" s="1"/>
  <c r="T132" i="7949" s="1"/>
  <c r="U132" i="7949" s="1"/>
  <c r="V132" i="7949" s="1"/>
  <c r="W132" i="7949" s="1"/>
  <c r="L107" i="18"/>
  <c r="P107" i="18"/>
  <c r="M107" i="18"/>
  <c r="Q107" i="18"/>
  <c r="K107" i="18"/>
  <c r="N107" i="18"/>
  <c r="J15" i="18"/>
  <c r="J773" i="18" s="1"/>
  <c r="J63" i="7941" s="1"/>
  <c r="O107" i="18"/>
  <c r="M94" i="18"/>
  <c r="Q94" i="18"/>
  <c r="J14" i="18"/>
  <c r="J772" i="18" s="1"/>
  <c r="J62" i="7941" s="1"/>
  <c r="N94" i="18"/>
  <c r="K94" i="18"/>
  <c r="O94" i="18"/>
  <c r="L94" i="18"/>
  <c r="P94" i="18"/>
  <c r="M108" i="18"/>
  <c r="Q108" i="18"/>
  <c r="N108" i="18"/>
  <c r="L108" i="18"/>
  <c r="O108" i="18"/>
  <c r="K15" i="18"/>
  <c r="K773" i="18" s="1"/>
  <c r="K63" i="7941" s="1"/>
  <c r="P108" i="18"/>
  <c r="K59" i="7944"/>
  <c r="I73" i="7950"/>
  <c r="J73" i="7950" s="1"/>
  <c r="K73" i="7950" s="1"/>
  <c r="L73" i="7950" s="1"/>
  <c r="M73" i="7950" s="1"/>
  <c r="N73" i="7950" s="1"/>
  <c r="O73" i="7950" s="1"/>
  <c r="P73" i="7950" s="1"/>
  <c r="Q73" i="7950" s="1"/>
  <c r="R73" i="7950" s="1"/>
  <c r="S73" i="7950" s="1"/>
  <c r="T73" i="7950" s="1"/>
  <c r="U73" i="7950" s="1"/>
  <c r="V73" i="7950" s="1"/>
  <c r="W73" i="7950" s="1"/>
  <c r="I181" i="7950"/>
  <c r="J181" i="7950" s="1"/>
  <c r="K181" i="7950" s="1"/>
  <c r="L181" i="7950" s="1"/>
  <c r="M181" i="7950" s="1"/>
  <c r="N181" i="7950" s="1"/>
  <c r="O181" i="7950" s="1"/>
  <c r="P181" i="7950" s="1"/>
  <c r="Q181" i="7950" s="1"/>
  <c r="R181" i="7950" s="1"/>
  <c r="S181" i="7950" s="1"/>
  <c r="T181" i="7950" s="1"/>
  <c r="U181" i="7950" s="1"/>
  <c r="V181" i="7950" s="1"/>
  <c r="W181" i="7950" s="1"/>
  <c r="O109" i="18"/>
  <c r="M109" i="18"/>
  <c r="L15" i="18"/>
  <c r="L773" i="18" s="1"/>
  <c r="L63" i="7941" s="1"/>
  <c r="P109" i="18"/>
  <c r="Q109" i="18"/>
  <c r="N109" i="18"/>
  <c r="K13" i="18"/>
  <c r="K771" i="18" s="1"/>
  <c r="K61" i="7941" s="1"/>
  <c r="P82" i="18"/>
  <c r="O82" i="18"/>
  <c r="M82" i="18"/>
  <c r="Q82" i="18"/>
  <c r="L82" i="18"/>
  <c r="N82" i="18"/>
  <c r="L106" i="18"/>
  <c r="P106" i="18"/>
  <c r="I15" i="18"/>
  <c r="I773" i="18" s="1"/>
  <c r="I63" i="7941" s="1"/>
  <c r="M106" i="18"/>
  <c r="Q106" i="18"/>
  <c r="J106" i="18"/>
  <c r="N106" i="18"/>
  <c r="K106" i="18"/>
  <c r="O106" i="18"/>
  <c r="E182" i="7949"/>
  <c r="D227" i="7949"/>
  <c r="O164" i="7944"/>
  <c r="K133" i="18"/>
  <c r="N133" i="18"/>
  <c r="Q133" i="18"/>
  <c r="J17" i="18"/>
  <c r="J775" i="18" s="1"/>
  <c r="J65" i="7941" s="1"/>
  <c r="O133" i="18"/>
  <c r="M133" i="18"/>
  <c r="L133" i="18"/>
  <c r="P133" i="18"/>
  <c r="H66" i="7941"/>
  <c r="I724" i="18"/>
  <c r="J12" i="7944"/>
  <c r="I78" i="7949"/>
  <c r="J78" i="7949" s="1"/>
  <c r="K78" i="7949" s="1"/>
  <c r="L78" i="7949" s="1"/>
  <c r="M78" i="7949" s="1"/>
  <c r="N78" i="7949" s="1"/>
  <c r="O78" i="7949" s="1"/>
  <c r="P78" i="7949" s="1"/>
  <c r="Q78" i="7949" s="1"/>
  <c r="R78" i="7949" s="1"/>
  <c r="S78" i="7949" s="1"/>
  <c r="T78" i="7949" s="1"/>
  <c r="U78" i="7949" s="1"/>
  <c r="V78" i="7949" s="1"/>
  <c r="W78" i="7949" s="1"/>
  <c r="I186" i="7949"/>
  <c r="J186" i="7949" s="1"/>
  <c r="K186" i="7949" s="1"/>
  <c r="L186" i="7949" s="1"/>
  <c r="M186" i="7949" s="1"/>
  <c r="N186" i="7949" s="1"/>
  <c r="O186" i="7949" s="1"/>
  <c r="P186" i="7949" s="1"/>
  <c r="Q186" i="7949" s="1"/>
  <c r="R186" i="7949" s="1"/>
  <c r="S186" i="7949" s="1"/>
  <c r="T186" i="7949" s="1"/>
  <c r="U186" i="7949" s="1"/>
  <c r="V186" i="7949" s="1"/>
  <c r="W186" i="7949" s="1"/>
  <c r="O92" i="18"/>
  <c r="H14" i="18"/>
  <c r="H772" i="18" s="1"/>
  <c r="L92" i="18"/>
  <c r="P92" i="18"/>
  <c r="I92" i="18"/>
  <c r="I102" i="18" s="1"/>
  <c r="M92" i="18"/>
  <c r="Q92" i="18"/>
  <c r="J92" i="18"/>
  <c r="N92" i="18"/>
  <c r="K92" i="18"/>
  <c r="E74" i="7949"/>
  <c r="D119" i="7949"/>
  <c r="Q96" i="18"/>
  <c r="O96" i="18"/>
  <c r="P96" i="18"/>
  <c r="N96" i="18"/>
  <c r="L14" i="18"/>
  <c r="L772" i="18" s="1"/>
  <c r="L62" i="7941" s="1"/>
  <c r="M96" i="18"/>
  <c r="I59" i="7944"/>
  <c r="I1088" i="18"/>
  <c r="K128" i="18"/>
  <c r="H326" i="7941"/>
  <c r="I12" i="7941"/>
  <c r="M135" i="18"/>
  <c r="Q135" i="18"/>
  <c r="P135" i="18"/>
  <c r="N135" i="18"/>
  <c r="O135" i="18"/>
  <c r="L17" i="18"/>
  <c r="L775" i="18" s="1"/>
  <c r="L65" i="7941" s="1"/>
  <c r="I1038" i="18"/>
  <c r="J154" i="18"/>
  <c r="J1038" i="18" s="1"/>
  <c r="E230" i="7950"/>
  <c r="M134" i="18"/>
  <c r="Q134" i="18"/>
  <c r="N134" i="18"/>
  <c r="K17" i="18"/>
  <c r="K775" i="18" s="1"/>
  <c r="K65" i="7941" s="1"/>
  <c r="O134" i="18"/>
  <c r="L134" i="18"/>
  <c r="P134" i="18"/>
  <c r="O83" i="18"/>
  <c r="N83" i="18"/>
  <c r="M83" i="18"/>
  <c r="L13" i="18"/>
  <c r="L771" i="18" s="1"/>
  <c r="L61" i="7941" s="1"/>
  <c r="P83" i="18"/>
  <c r="Q83" i="18"/>
  <c r="L178" i="7942"/>
  <c r="K179" i="7942"/>
  <c r="E290" i="7949"/>
  <c r="D335" i="7949"/>
  <c r="I127" i="7950"/>
  <c r="J127" i="7950" s="1"/>
  <c r="K127" i="7950" s="1"/>
  <c r="L127" i="7950" s="1"/>
  <c r="M127" i="7950" s="1"/>
  <c r="N127" i="7950" s="1"/>
  <c r="O127" i="7950" s="1"/>
  <c r="P127" i="7950" s="1"/>
  <c r="Q127" i="7950" s="1"/>
  <c r="R127" i="7950" s="1"/>
  <c r="S127" i="7950" s="1"/>
  <c r="T127" i="7950" s="1"/>
  <c r="U127" i="7950" s="1"/>
  <c r="V127" i="7950" s="1"/>
  <c r="W127" i="7950" s="1"/>
  <c r="H15" i="18"/>
  <c r="H773" i="18" s="1"/>
  <c r="M105" i="18"/>
  <c r="Q105" i="18"/>
  <c r="J105" i="18"/>
  <c r="N105" i="18"/>
  <c r="K105" i="18"/>
  <c r="O105" i="18"/>
  <c r="I105" i="18"/>
  <c r="I115" i="18" s="1"/>
  <c r="L105" i="18"/>
  <c r="P105" i="18"/>
  <c r="G236" i="7949"/>
  <c r="F281" i="7949"/>
  <c r="I13" i="18"/>
  <c r="I771" i="18" s="1"/>
  <c r="I61" i="7941" s="1"/>
  <c r="N80" i="18"/>
  <c r="K80" i="18"/>
  <c r="O80" i="18"/>
  <c r="L80" i="18"/>
  <c r="P80" i="18"/>
  <c r="J80" i="18"/>
  <c r="M80" i="18"/>
  <c r="Q80" i="18"/>
  <c r="H236" i="7949" l="1"/>
  <c r="G281" i="7949"/>
  <c r="I1034" i="18"/>
  <c r="J102" i="18"/>
  <c r="J1034" i="18" s="1"/>
  <c r="I826" i="18"/>
  <c r="H61" i="7941"/>
  <c r="I719" i="18"/>
  <c r="G344" i="7949"/>
  <c r="F389" i="7949"/>
  <c r="E276" i="7950"/>
  <c r="F230" i="7950"/>
  <c r="F74" i="7949"/>
  <c r="E119" i="7949"/>
  <c r="P164" i="7944"/>
  <c r="Q164" i="7944" s="1"/>
  <c r="H63" i="7941"/>
  <c r="I721" i="18"/>
  <c r="M178" i="7942"/>
  <c r="L179" i="7942"/>
  <c r="K1036" i="18"/>
  <c r="L128" i="18"/>
  <c r="M128" i="18" s="1"/>
  <c r="M1036" i="18" s="1"/>
  <c r="I1090" i="18"/>
  <c r="I1037" i="18"/>
  <c r="J141" i="18"/>
  <c r="J1037" i="18" s="1"/>
  <c r="F128" i="7949"/>
  <c r="E173" i="7949"/>
  <c r="I1035" i="18"/>
  <c r="J115" i="18"/>
  <c r="F290" i="7949"/>
  <c r="E335" i="7949"/>
  <c r="K154" i="18"/>
  <c r="H62" i="7941"/>
  <c r="I720" i="18"/>
  <c r="H328" i="7941"/>
  <c r="I14" i="7941"/>
  <c r="F182" i="7949"/>
  <c r="E227" i="7949"/>
  <c r="I1033" i="18"/>
  <c r="J89" i="18"/>
  <c r="H65" i="7941"/>
  <c r="I723" i="18"/>
  <c r="K102" i="18" l="1"/>
  <c r="K1034" i="18" s="1"/>
  <c r="I1089" i="18"/>
  <c r="G290" i="7949"/>
  <c r="F335" i="7949"/>
  <c r="G182" i="7949"/>
  <c r="F227" i="7949"/>
  <c r="I10" i="7941"/>
  <c r="H324" i="7941"/>
  <c r="K115" i="18"/>
  <c r="L115" i="18" s="1"/>
  <c r="L1035" i="18" s="1"/>
  <c r="J1035" i="18"/>
  <c r="H344" i="7949"/>
  <c r="G389" i="7949"/>
  <c r="K1038" i="18"/>
  <c r="K89" i="18"/>
  <c r="J1033" i="18"/>
  <c r="K141" i="18"/>
  <c r="L141" i="18" s="1"/>
  <c r="L1036" i="18"/>
  <c r="M179" i="7942"/>
  <c r="F276" i="7950"/>
  <c r="G230" i="7950"/>
  <c r="I1085" i="18"/>
  <c r="I1087" i="18"/>
  <c r="I9" i="7941"/>
  <c r="H323" i="7941"/>
  <c r="I236" i="7949"/>
  <c r="H281" i="7949"/>
  <c r="H327" i="7941"/>
  <c r="I13" i="7941"/>
  <c r="I1086" i="18"/>
  <c r="G128" i="7949"/>
  <c r="F173" i="7949"/>
  <c r="I827" i="18"/>
  <c r="I117" i="7941" s="1"/>
  <c r="L154" i="18"/>
  <c r="L1038" i="18" s="1"/>
  <c r="N178" i="7942"/>
  <c r="I11" i="7941"/>
  <c r="H325" i="7941"/>
  <c r="G74" i="7949"/>
  <c r="F119" i="7949"/>
  <c r="I828" i="18"/>
  <c r="I116" i="7941"/>
  <c r="J722" i="18"/>
  <c r="N128" i="18"/>
  <c r="N1036" i="18" s="1"/>
  <c r="L102" i="18" l="1"/>
  <c r="L1037" i="18"/>
  <c r="N179" i="7942"/>
  <c r="I825" i="18"/>
  <c r="K1033" i="18"/>
  <c r="M154" i="18"/>
  <c r="M1038" i="18" s="1"/>
  <c r="K1035" i="18"/>
  <c r="H182" i="7949"/>
  <c r="G227" i="7949"/>
  <c r="H290" i="7949"/>
  <c r="G335" i="7949"/>
  <c r="J1088" i="18"/>
  <c r="H74" i="7949"/>
  <c r="G119" i="7949"/>
  <c r="I327" i="7941"/>
  <c r="J13" i="7941"/>
  <c r="M141" i="18"/>
  <c r="M1037" i="18" s="1"/>
  <c r="M115" i="18"/>
  <c r="M1035" i="18" s="1"/>
  <c r="L89" i="18"/>
  <c r="I326" i="7941"/>
  <c r="J12" i="7941"/>
  <c r="O128" i="18"/>
  <c r="O1036" i="18" s="1"/>
  <c r="H128" i="7949"/>
  <c r="G173" i="7949"/>
  <c r="I823" i="18"/>
  <c r="K1037" i="18"/>
  <c r="J723" i="18"/>
  <c r="I118" i="7941"/>
  <c r="J724" i="18"/>
  <c r="J236" i="7949"/>
  <c r="I281" i="7949"/>
  <c r="L1034" i="18"/>
  <c r="M102" i="18"/>
  <c r="N102" i="18" s="1"/>
  <c r="N1034" i="18" s="1"/>
  <c r="G276" i="7950"/>
  <c r="H230" i="7950"/>
  <c r="I824" i="18"/>
  <c r="I344" i="7949"/>
  <c r="H389" i="7949"/>
  <c r="O178" i="7942"/>
  <c r="P178" i="7942" s="1"/>
  <c r="P179" i="7942" s="1"/>
  <c r="N154" i="18" l="1"/>
  <c r="P128" i="18"/>
  <c r="P1036" i="18" s="1"/>
  <c r="J344" i="7949"/>
  <c r="I389" i="7949"/>
  <c r="H276" i="7950"/>
  <c r="I230" i="7950"/>
  <c r="J1090" i="18"/>
  <c r="L1033" i="18"/>
  <c r="I74" i="7949"/>
  <c r="H119" i="7949"/>
  <c r="J826" i="18"/>
  <c r="I115" i="7941"/>
  <c r="J721" i="18"/>
  <c r="I114" i="7941"/>
  <c r="J720" i="18"/>
  <c r="I328" i="7941"/>
  <c r="J14" i="7941"/>
  <c r="I182" i="7949"/>
  <c r="H227" i="7949"/>
  <c r="N141" i="18"/>
  <c r="M1034" i="18"/>
  <c r="O102" i="18"/>
  <c r="O1034" i="18" s="1"/>
  <c r="K236" i="7949"/>
  <c r="J281" i="7949"/>
  <c r="I128" i="7949"/>
  <c r="H173" i="7949"/>
  <c r="O179" i="7942"/>
  <c r="J1089" i="18"/>
  <c r="I113" i="7941"/>
  <c r="J719" i="18"/>
  <c r="M89" i="18"/>
  <c r="Q178" i="7942"/>
  <c r="Q179" i="7942" s="1"/>
  <c r="Q430" i="7941" s="1"/>
  <c r="I290" i="7949"/>
  <c r="H335" i="7949"/>
  <c r="N115" i="18"/>
  <c r="N1035" i="18" s="1"/>
  <c r="Q128" i="18" l="1"/>
  <c r="Q1036" i="18" s="1"/>
  <c r="P102" i="18"/>
  <c r="P1034" i="18" s="1"/>
  <c r="N1038" i="18"/>
  <c r="O154" i="18"/>
  <c r="Q102" i="18"/>
  <c r="Q1034" i="18" s="1"/>
  <c r="N1037" i="18"/>
  <c r="O141" i="18"/>
  <c r="J11" i="7941"/>
  <c r="I325" i="7941"/>
  <c r="J74" i="7949"/>
  <c r="I119" i="7949"/>
  <c r="M1033" i="18"/>
  <c r="J827" i="18"/>
  <c r="L236" i="7949"/>
  <c r="K281" i="7949"/>
  <c r="J182" i="7949"/>
  <c r="I227" i="7949"/>
  <c r="J1086" i="18"/>
  <c r="N89" i="18"/>
  <c r="N1033" i="18" s="1"/>
  <c r="J828" i="18"/>
  <c r="J290" i="7949"/>
  <c r="I335" i="7949"/>
  <c r="J1085" i="18"/>
  <c r="O115" i="18"/>
  <c r="O1035" i="18" s="1"/>
  <c r="J128" i="7949"/>
  <c r="I173" i="7949"/>
  <c r="I324" i="7941"/>
  <c r="J10" i="7941"/>
  <c r="J116" i="7941"/>
  <c r="K722" i="18"/>
  <c r="K344" i="7949"/>
  <c r="J389" i="7949"/>
  <c r="I323" i="7941"/>
  <c r="J9" i="7941"/>
  <c r="J1087" i="18"/>
  <c r="I276" i="7950"/>
  <c r="J230" i="7950"/>
  <c r="O1038" i="18" l="1"/>
  <c r="P154" i="18"/>
  <c r="O89" i="18"/>
  <c r="O1033" i="18" s="1"/>
  <c r="J276" i="7950"/>
  <c r="K230" i="7950"/>
  <c r="K1088" i="18"/>
  <c r="J823" i="18"/>
  <c r="J824" i="18"/>
  <c r="O1037" i="18"/>
  <c r="P141" i="18"/>
  <c r="P1037" i="18" s="1"/>
  <c r="J326" i="7941"/>
  <c r="K12" i="7941"/>
  <c r="M236" i="7949"/>
  <c r="L281" i="7949"/>
  <c r="J117" i="7941"/>
  <c r="K723" i="18"/>
  <c r="J825" i="18"/>
  <c r="L344" i="7949"/>
  <c r="K389" i="7949"/>
  <c r="P89" i="18"/>
  <c r="P1033" i="18" s="1"/>
  <c r="K128" i="7949"/>
  <c r="J173" i="7949"/>
  <c r="K290" i="7949"/>
  <c r="J335" i="7949"/>
  <c r="J118" i="7941"/>
  <c r="K724" i="18"/>
  <c r="K182" i="7949"/>
  <c r="J227" i="7949"/>
  <c r="P115" i="18"/>
  <c r="K74" i="7949"/>
  <c r="J119" i="7949"/>
  <c r="Q141" i="18" l="1"/>
  <c r="Q1037" i="18" s="1"/>
  <c r="P1038" i="18"/>
  <c r="Q154" i="18"/>
  <c r="Q1038" i="18" s="1"/>
  <c r="K13" i="7941"/>
  <c r="J327" i="7941"/>
  <c r="J113" i="7941"/>
  <c r="K719" i="18"/>
  <c r="L182" i="7949"/>
  <c r="K227" i="7949"/>
  <c r="L290" i="7949"/>
  <c r="K335" i="7949"/>
  <c r="J115" i="7941"/>
  <c r="K721" i="18"/>
  <c r="J114" i="7941"/>
  <c r="K720" i="18"/>
  <c r="L74" i="7949"/>
  <c r="K119" i="7949"/>
  <c r="K1090" i="18"/>
  <c r="M344" i="7949"/>
  <c r="L389" i="7949"/>
  <c r="N236" i="7949"/>
  <c r="M281" i="7949"/>
  <c r="Q89" i="18"/>
  <c r="Q1033" i="18" s="1"/>
  <c r="P1035" i="18"/>
  <c r="Q115" i="18"/>
  <c r="Q1035" i="18" s="1"/>
  <c r="J328" i="7941"/>
  <c r="K14" i="7941"/>
  <c r="L128" i="7949"/>
  <c r="K173" i="7949"/>
  <c r="K1089" i="18"/>
  <c r="K826" i="18"/>
  <c r="K276" i="7950"/>
  <c r="L230" i="7950"/>
  <c r="G224" i="1" l="1"/>
  <c r="G67" i="7942" s="1"/>
  <c r="G119" i="7942" s="1"/>
  <c r="H9" i="7944"/>
  <c r="L276" i="7950"/>
  <c r="M230" i="7950"/>
  <c r="N344" i="7949"/>
  <c r="M389" i="7949"/>
  <c r="M74" i="7949"/>
  <c r="L119" i="7949"/>
  <c r="J325" i="7941"/>
  <c r="K11" i="7941"/>
  <c r="M182" i="7949"/>
  <c r="L227" i="7949"/>
  <c r="K827" i="18"/>
  <c r="K828" i="18"/>
  <c r="K1086" i="18"/>
  <c r="K1085" i="18"/>
  <c r="K116" i="7941"/>
  <c r="L722" i="18"/>
  <c r="O236" i="7949"/>
  <c r="N281" i="7949"/>
  <c r="K10" i="7941"/>
  <c r="J324" i="7941"/>
  <c r="M290" i="7949"/>
  <c r="L335" i="7949"/>
  <c r="J323" i="7941"/>
  <c r="K9" i="7941"/>
  <c r="M128" i="7949"/>
  <c r="L173" i="7949"/>
  <c r="K1087" i="18"/>
  <c r="G228" i="1" l="1"/>
  <c r="G71" i="7942" s="1"/>
  <c r="G123" i="7942" s="1"/>
  <c r="H180" i="7942" s="1"/>
  <c r="H13" i="7944"/>
  <c r="K825" i="18"/>
  <c r="L1088" i="18"/>
  <c r="K117" i="7941"/>
  <c r="L723" i="18"/>
  <c r="O344" i="7949"/>
  <c r="N389" i="7949"/>
  <c r="M276" i="7950"/>
  <c r="N230" i="7950"/>
  <c r="N128" i="7949"/>
  <c r="M173" i="7949"/>
  <c r="K326" i="7941"/>
  <c r="L12" i="7941"/>
  <c r="K823" i="18"/>
  <c r="K824" i="18"/>
  <c r="G226" i="1"/>
  <c r="G69" i="7942" s="1"/>
  <c r="G121" i="7942" s="1"/>
  <c r="H176" i="7942" s="1"/>
  <c r="H11" i="7944"/>
  <c r="G111" i="1"/>
  <c r="H8" i="7944"/>
  <c r="N182" i="7949"/>
  <c r="M227" i="7949"/>
  <c r="N74" i="7949"/>
  <c r="M119" i="7949"/>
  <c r="N125" i="7944"/>
  <c r="O125" i="7944" s="1"/>
  <c r="P125" i="7944" s="1"/>
  <c r="Q125" i="7944" s="1"/>
  <c r="J125" i="7944"/>
  <c r="K125" i="7944"/>
  <c r="L125" i="7944"/>
  <c r="H125" i="7944"/>
  <c r="H137" i="7944" s="1"/>
  <c r="I9" i="7944" s="1"/>
  <c r="C63" i="7950"/>
  <c r="C68" i="7950" s="1"/>
  <c r="M125" i="7944"/>
  <c r="I125" i="7944"/>
  <c r="I137" i="7944" s="1"/>
  <c r="G229" i="1"/>
  <c r="G72" i="7942" s="1"/>
  <c r="G124" i="7942" s="1"/>
  <c r="H182" i="7942" s="1"/>
  <c r="H14" i="7944"/>
  <c r="G225" i="1"/>
  <c r="G68" i="7942" s="1"/>
  <c r="G120" i="7942" s="1"/>
  <c r="H174" i="7942" s="1"/>
  <c r="H10" i="7944"/>
  <c r="N290" i="7949"/>
  <c r="M335" i="7949"/>
  <c r="P236" i="7949"/>
  <c r="O281" i="7949"/>
  <c r="K118" i="7941"/>
  <c r="L724" i="18"/>
  <c r="H172" i="7942"/>
  <c r="I172" i="7942" s="1"/>
  <c r="I173" i="7942" s="1"/>
  <c r="Q236" i="7949" l="1"/>
  <c r="P281" i="7949"/>
  <c r="I174" i="7942"/>
  <c r="I175" i="7942" s="1"/>
  <c r="J174" i="7942"/>
  <c r="J175" i="7942" s="1"/>
  <c r="J9" i="7944"/>
  <c r="J137" i="7944"/>
  <c r="K137" i="7944" s="1"/>
  <c r="O182" i="7949"/>
  <c r="N227" i="7949"/>
  <c r="I176" i="7942"/>
  <c r="I177" i="7942" s="1"/>
  <c r="K113" i="7941"/>
  <c r="L719" i="18"/>
  <c r="L13" i="7941"/>
  <c r="K327" i="7941"/>
  <c r="H112" i="7944"/>
  <c r="H124" i="7944" s="1"/>
  <c r="M112" i="7944"/>
  <c r="J112" i="7944"/>
  <c r="L112" i="7944"/>
  <c r="I112" i="7944"/>
  <c r="I124" i="7944" s="1"/>
  <c r="C9" i="7950"/>
  <c r="C14" i="7950" s="1"/>
  <c r="H7" i="7944"/>
  <c r="N112" i="7944"/>
  <c r="O112" i="7944"/>
  <c r="P112" i="7944" s="1"/>
  <c r="Q112" i="7944" s="1"/>
  <c r="K112" i="7944"/>
  <c r="L826" i="18"/>
  <c r="K115" i="7941"/>
  <c r="L721" i="18"/>
  <c r="L1090" i="18"/>
  <c r="C333" i="7950"/>
  <c r="C338" i="7950" s="1"/>
  <c r="H190" i="7944"/>
  <c r="H202" i="7944" s="1"/>
  <c r="I14" i="7944" s="1"/>
  <c r="I190" i="7944"/>
  <c r="I202" i="7944" s="1"/>
  <c r="J172" i="7942"/>
  <c r="K172" i="7942" s="1"/>
  <c r="L172" i="7942" s="1"/>
  <c r="L14" i="7941"/>
  <c r="K328" i="7941"/>
  <c r="O290" i="7949"/>
  <c r="N335" i="7949"/>
  <c r="I182" i="7942"/>
  <c r="I183" i="7942" s="1"/>
  <c r="O74" i="7949"/>
  <c r="N119" i="7949"/>
  <c r="O128" i="7949"/>
  <c r="N173" i="7949"/>
  <c r="P344" i="7949"/>
  <c r="O389" i="7949"/>
  <c r="C279" i="7950"/>
  <c r="C284" i="7950" s="1"/>
  <c r="N177" i="7944"/>
  <c r="O177" i="7944"/>
  <c r="K177" i="7944"/>
  <c r="H177" i="7944"/>
  <c r="H189" i="7944" s="1"/>
  <c r="I177" i="7944"/>
  <c r="I189" i="7944" s="1"/>
  <c r="L177" i="7944"/>
  <c r="P177" i="7944"/>
  <c r="Q177" i="7944" s="1"/>
  <c r="M177" i="7944"/>
  <c r="J177" i="7944"/>
  <c r="C117" i="7950"/>
  <c r="C122" i="7950" s="1"/>
  <c r="L138" i="7944"/>
  <c r="M138" i="7944"/>
  <c r="N138" i="7944" s="1"/>
  <c r="H138" i="7944"/>
  <c r="H150" i="7944" s="1"/>
  <c r="I138" i="7944"/>
  <c r="I150" i="7944" s="1"/>
  <c r="O138" i="7944"/>
  <c r="J138" i="7944"/>
  <c r="K138" i="7944" s="1"/>
  <c r="P138" i="7944"/>
  <c r="Q138" i="7944" s="1"/>
  <c r="C114" i="7950"/>
  <c r="D68" i="7950"/>
  <c r="D114" i="7950" s="1"/>
  <c r="C171" i="7950"/>
  <c r="C176" i="7950" s="1"/>
  <c r="M151" i="7944"/>
  <c r="I151" i="7944"/>
  <c r="I163" i="7944" s="1"/>
  <c r="N151" i="7944"/>
  <c r="O151" i="7944" s="1"/>
  <c r="J151" i="7944"/>
  <c r="H151" i="7944"/>
  <c r="H163" i="7944" s="1"/>
  <c r="I11" i="7944" s="1"/>
  <c r="J11" i="7944" s="1"/>
  <c r="L151" i="7944"/>
  <c r="K151" i="7944"/>
  <c r="K114" i="7941"/>
  <c r="L720" i="18"/>
  <c r="N276" i="7950"/>
  <c r="O230" i="7950"/>
  <c r="L1089" i="18"/>
  <c r="I180" i="7942"/>
  <c r="I181" i="7942" s="1"/>
  <c r="J176" i="7942" l="1"/>
  <c r="J177" i="7942" s="1"/>
  <c r="L173" i="7942"/>
  <c r="M172" i="7942"/>
  <c r="N172" i="7942" s="1"/>
  <c r="O172" i="7942" s="1"/>
  <c r="J173" i="7942"/>
  <c r="P74" i="7949"/>
  <c r="O119" i="7949"/>
  <c r="L1087" i="18"/>
  <c r="I111" i="7944"/>
  <c r="H111" i="7944"/>
  <c r="J124" i="7944"/>
  <c r="K323" i="7941"/>
  <c r="L9" i="7941"/>
  <c r="L827" i="18"/>
  <c r="I10" i="7944"/>
  <c r="J150" i="7944"/>
  <c r="K150" i="7944" s="1"/>
  <c r="L150" i="7944" s="1"/>
  <c r="J189" i="7944"/>
  <c r="K189" i="7944" s="1"/>
  <c r="L189" i="7944" s="1"/>
  <c r="D284" i="7950"/>
  <c r="D330" i="7950" s="1"/>
  <c r="C330" i="7950"/>
  <c r="P128" i="7949"/>
  <c r="O173" i="7949"/>
  <c r="N173" i="7942"/>
  <c r="K325" i="7941"/>
  <c r="L11" i="7941"/>
  <c r="P182" i="7949"/>
  <c r="O227" i="7949"/>
  <c r="O276" i="7950"/>
  <c r="P230" i="7950"/>
  <c r="J182" i="7942"/>
  <c r="P290" i="7949"/>
  <c r="O335" i="7949"/>
  <c r="M173" i="7942"/>
  <c r="J14" i="7944"/>
  <c r="D338" i="7950"/>
  <c r="D384" i="7950" s="1"/>
  <c r="C384" i="7950"/>
  <c r="L116" i="7941"/>
  <c r="M722" i="18"/>
  <c r="I8" i="7944"/>
  <c r="K324" i="7941"/>
  <c r="L10" i="7941"/>
  <c r="D176" i="7950"/>
  <c r="D222" i="7950" s="1"/>
  <c r="C222" i="7950"/>
  <c r="C168" i="7950"/>
  <c r="D122" i="7950"/>
  <c r="D168" i="7950" s="1"/>
  <c r="J180" i="7942"/>
  <c r="J181" i="7942" s="1"/>
  <c r="L1086" i="18"/>
  <c r="P151" i="7944"/>
  <c r="Q151" i="7944" s="1"/>
  <c r="J163" i="7944"/>
  <c r="K163" i="7944" s="1"/>
  <c r="L163" i="7944" s="1"/>
  <c r="M163" i="7944" s="1"/>
  <c r="N163" i="7944" s="1"/>
  <c r="O163" i="7944" s="1"/>
  <c r="P163" i="7944" s="1"/>
  <c r="Q163" i="7944" s="1"/>
  <c r="E68" i="7950"/>
  <c r="I13" i="7944"/>
  <c r="Q344" i="7949"/>
  <c r="P389" i="7949"/>
  <c r="P172" i="7942"/>
  <c r="P173" i="7942" s="1"/>
  <c r="K173" i="7942"/>
  <c r="J190" i="7944"/>
  <c r="K190" i="7944" s="1"/>
  <c r="L828" i="18"/>
  <c r="C60" i="7950"/>
  <c r="D14" i="7950"/>
  <c r="D60" i="7950" s="1"/>
  <c r="L1085" i="18"/>
  <c r="L137" i="7944"/>
  <c r="M137" i="7944" s="1"/>
  <c r="N137" i="7944" s="1"/>
  <c r="O137" i="7944" s="1"/>
  <c r="P137" i="7944" s="1"/>
  <c r="Q137" i="7944" s="1"/>
  <c r="K174" i="7942"/>
  <c r="R236" i="7949"/>
  <c r="Q281" i="7949"/>
  <c r="K176" i="7942" l="1"/>
  <c r="K177" i="7942" s="1"/>
  <c r="M150" i="7944"/>
  <c r="N150" i="7944" s="1"/>
  <c r="O150" i="7944" s="1"/>
  <c r="P150" i="7944" s="1"/>
  <c r="Q150" i="7944" s="1"/>
  <c r="E14" i="7950"/>
  <c r="E176" i="7950"/>
  <c r="E222" i="7950" s="1"/>
  <c r="M189" i="7944"/>
  <c r="N189" i="7944" s="1"/>
  <c r="O189" i="7944" s="1"/>
  <c r="L176" i="7942"/>
  <c r="L177" i="7942" s="1"/>
  <c r="O173" i="7942"/>
  <c r="E284" i="7950"/>
  <c r="E330" i="7950" s="1"/>
  <c r="M12" i="7941"/>
  <c r="L326" i="7941"/>
  <c r="L174" i="7942"/>
  <c r="M174" i="7942" s="1"/>
  <c r="N174" i="7942" s="1"/>
  <c r="N175" i="7942" s="1"/>
  <c r="J10" i="7944"/>
  <c r="J13" i="7944"/>
  <c r="L823" i="18"/>
  <c r="E114" i="7950"/>
  <c r="F68" i="7950"/>
  <c r="I7" i="7944"/>
  <c r="J8" i="7944"/>
  <c r="Q290" i="7949"/>
  <c r="P335" i="7949"/>
  <c r="P276" i="7950"/>
  <c r="Q230" i="7950"/>
  <c r="Q172" i="7942"/>
  <c r="Q173" i="7942" s="1"/>
  <c r="Q427" i="7941" s="1"/>
  <c r="Q128" i="7949"/>
  <c r="P173" i="7949"/>
  <c r="L117" i="7941"/>
  <c r="M723" i="18"/>
  <c r="L825" i="18"/>
  <c r="L824" i="18"/>
  <c r="S236" i="7949"/>
  <c r="R281" i="7949"/>
  <c r="L118" i="7941"/>
  <c r="M724" i="18"/>
  <c r="J202" i="7944"/>
  <c r="K202" i="7944" s="1"/>
  <c r="L190" i="7944"/>
  <c r="M190" i="7944" s="1"/>
  <c r="R344" i="7949"/>
  <c r="Q389" i="7949"/>
  <c r="E122" i="7950"/>
  <c r="K175" i="7942"/>
  <c r="M1088" i="18"/>
  <c r="E338" i="7950"/>
  <c r="J183" i="7942"/>
  <c r="K180" i="7942"/>
  <c r="L180" i="7942" s="1"/>
  <c r="M180" i="7942" s="1"/>
  <c r="M181" i="7942" s="1"/>
  <c r="Q182" i="7949"/>
  <c r="P227" i="7949"/>
  <c r="K182" i="7942"/>
  <c r="K124" i="7944"/>
  <c r="Q74" i="7949"/>
  <c r="P119" i="7949"/>
  <c r="F176" i="7950" l="1"/>
  <c r="G176" i="7950" s="1"/>
  <c r="P189" i="7944"/>
  <c r="Q189" i="7944" s="1"/>
  <c r="M176" i="7942"/>
  <c r="M177" i="7942" s="1"/>
  <c r="E60" i="7950"/>
  <c r="F14" i="7950"/>
  <c r="J7" i="7944"/>
  <c r="F284" i="7950"/>
  <c r="F330" i="7950" s="1"/>
  <c r="N190" i="7944"/>
  <c r="O190" i="7944" s="1"/>
  <c r="P190" i="7944" s="1"/>
  <c r="Q190" i="7944" s="1"/>
  <c r="L182" i="7942"/>
  <c r="L183" i="7942" s="1"/>
  <c r="E384" i="7950"/>
  <c r="F338" i="7950"/>
  <c r="F222" i="7950"/>
  <c r="S344" i="7949"/>
  <c r="R389" i="7949"/>
  <c r="L114" i="7941"/>
  <c r="M720" i="18"/>
  <c r="M1089" i="18"/>
  <c r="F114" i="7950"/>
  <c r="G68" i="7950"/>
  <c r="L175" i="7942"/>
  <c r="O174" i="7942"/>
  <c r="O175" i="7942" s="1"/>
  <c r="R74" i="7949"/>
  <c r="Q119" i="7949"/>
  <c r="K183" i="7942"/>
  <c r="M826" i="18"/>
  <c r="E168" i="7950"/>
  <c r="F122" i="7950"/>
  <c r="T236" i="7949"/>
  <c r="S281" i="7949"/>
  <c r="L327" i="7941"/>
  <c r="M13" i="7941"/>
  <c r="Q276" i="7950"/>
  <c r="R230" i="7950"/>
  <c r="R290" i="7949"/>
  <c r="Q335" i="7949"/>
  <c r="L113" i="7941"/>
  <c r="M719" i="18"/>
  <c r="K111" i="7944"/>
  <c r="K13" i="7944" s="1"/>
  <c r="L124" i="7944"/>
  <c r="R182" i="7949"/>
  <c r="Q227" i="7949"/>
  <c r="K181" i="7942"/>
  <c r="L202" i="7944"/>
  <c r="M202" i="7944" s="1"/>
  <c r="N202" i="7944" s="1"/>
  <c r="O202" i="7944" s="1"/>
  <c r="P202" i="7944" s="1"/>
  <c r="Q202" i="7944" s="1"/>
  <c r="M1090" i="18"/>
  <c r="L181" i="7942"/>
  <c r="L115" i="7941"/>
  <c r="M721" i="18"/>
  <c r="L328" i="7941"/>
  <c r="M14" i="7941"/>
  <c r="J111" i="7944"/>
  <c r="R128" i="7949"/>
  <c r="Q173" i="7949"/>
  <c r="N180" i="7942"/>
  <c r="O180" i="7942" s="1"/>
  <c r="P180" i="7942" s="1"/>
  <c r="Q180" i="7942" s="1"/>
  <c r="M175" i="7942"/>
  <c r="K14" i="7944" l="1"/>
  <c r="N176" i="7942"/>
  <c r="O176" i="7942" s="1"/>
  <c r="G284" i="7950"/>
  <c r="H284" i="7950" s="1"/>
  <c r="F60" i="7950"/>
  <c r="G14" i="7950"/>
  <c r="M182" i="7942"/>
  <c r="M183" i="7942" s="1"/>
  <c r="O181" i="7942"/>
  <c r="F168" i="7950"/>
  <c r="G122" i="7950"/>
  <c r="S74" i="7949"/>
  <c r="R119" i="7949"/>
  <c r="M1086" i="18"/>
  <c r="T344" i="7949"/>
  <c r="S389" i="7949"/>
  <c r="M828" i="18"/>
  <c r="S182" i="7949"/>
  <c r="R227" i="7949"/>
  <c r="M1085" i="18"/>
  <c r="S290" i="7949"/>
  <c r="R335" i="7949"/>
  <c r="M116" i="7941"/>
  <c r="N722" i="18"/>
  <c r="G114" i="7950"/>
  <c r="H68" i="7950"/>
  <c r="M827" i="18"/>
  <c r="L324" i="7941"/>
  <c r="M10" i="7941"/>
  <c r="G222" i="7950"/>
  <c r="H176" i="7950"/>
  <c r="M1087" i="18"/>
  <c r="L111" i="7944"/>
  <c r="L13" i="7944" s="1"/>
  <c r="M9" i="7941"/>
  <c r="L323" i="7941"/>
  <c r="R276" i="7950"/>
  <c r="S230" i="7950"/>
  <c r="P174" i="7942"/>
  <c r="P175" i="7942" s="1"/>
  <c r="S128" i="7949"/>
  <c r="R173" i="7949"/>
  <c r="Q181" i="7942"/>
  <c r="Q431" i="7941" s="1"/>
  <c r="M11" i="7941"/>
  <c r="L325" i="7941"/>
  <c r="K31" i="7944"/>
  <c r="K18" i="7944"/>
  <c r="K37" i="7944"/>
  <c r="K55" i="7944"/>
  <c r="K30" i="7944"/>
  <c r="K39" i="7944"/>
  <c r="K20" i="7944"/>
  <c r="K32" i="7944"/>
  <c r="K54" i="7944"/>
  <c r="K46" i="7944"/>
  <c r="K29" i="7944"/>
  <c r="K48" i="7944"/>
  <c r="K19" i="7944"/>
  <c r="K35" i="7944"/>
  <c r="K50" i="7944"/>
  <c r="K47" i="7944"/>
  <c r="K41" i="7944"/>
  <c r="K34" i="7944"/>
  <c r="K45" i="7944"/>
  <c r="K42" i="7944"/>
  <c r="K36" i="7944"/>
  <c r="K40" i="7944"/>
  <c r="K15" i="7944"/>
  <c r="K23" i="7944"/>
  <c r="K22" i="7944"/>
  <c r="K28" i="7944"/>
  <c r="K49" i="7944"/>
  <c r="K17" i="7944"/>
  <c r="K33" i="7944"/>
  <c r="K56" i="7944"/>
  <c r="K57" i="7944"/>
  <c r="K16" i="7944"/>
  <c r="K52" i="7944"/>
  <c r="K25" i="7944"/>
  <c r="K21" i="7944"/>
  <c r="K38" i="7944"/>
  <c r="K24" i="7944"/>
  <c r="K51" i="7944"/>
  <c r="K53" i="7944"/>
  <c r="K26" i="7944"/>
  <c r="K44" i="7944"/>
  <c r="K27" i="7944"/>
  <c r="K43" i="7944"/>
  <c r="K12" i="7944"/>
  <c r="K9" i="7944"/>
  <c r="K11" i="7944"/>
  <c r="K8" i="7944"/>
  <c r="P181" i="7942"/>
  <c r="U236" i="7949"/>
  <c r="T281" i="7949"/>
  <c r="N181" i="7942"/>
  <c r="F384" i="7950"/>
  <c r="G338" i="7950"/>
  <c r="K10" i="7944"/>
  <c r="N1088" i="18" l="1"/>
  <c r="M326" i="7941"/>
  <c r="N12" i="7941"/>
  <c r="O12" i="7941" s="1"/>
  <c r="P12" i="7941" s="1"/>
  <c r="Q12" i="7941" s="1"/>
  <c r="G330" i="7950"/>
  <c r="Q174" i="7942"/>
  <c r="Q175" i="7942" s="1"/>
  <c r="Q428" i="7941" s="1"/>
  <c r="O177" i="7942"/>
  <c r="L43" i="7944"/>
  <c r="L21" i="7944"/>
  <c r="L49" i="7944"/>
  <c r="L45" i="7944"/>
  <c r="L29" i="7944"/>
  <c r="L37" i="7944"/>
  <c r="N182" i="7942"/>
  <c r="O182" i="7942" s="1"/>
  <c r="O183" i="7942" s="1"/>
  <c r="L53" i="7944"/>
  <c r="L57" i="7944"/>
  <c r="L15" i="7944"/>
  <c r="L50" i="7944"/>
  <c r="L20" i="7944"/>
  <c r="L10" i="7944"/>
  <c r="P176" i="7942"/>
  <c r="P177" i="7942" s="1"/>
  <c r="N177" i="7942"/>
  <c r="G60" i="7950"/>
  <c r="H14" i="7950"/>
  <c r="I14" i="7950" s="1"/>
  <c r="J14" i="7950" s="1"/>
  <c r="K14" i="7950" s="1"/>
  <c r="L14" i="7950" s="1"/>
  <c r="M14" i="7950" s="1"/>
  <c r="N14" i="7950" s="1"/>
  <c r="O14" i="7950" s="1"/>
  <c r="P14" i="7950" s="1"/>
  <c r="Q14" i="7950" s="1"/>
  <c r="R14" i="7950" s="1"/>
  <c r="S14" i="7950" s="1"/>
  <c r="T14" i="7950" s="1"/>
  <c r="U14" i="7950" s="1"/>
  <c r="V14" i="7950" s="1"/>
  <c r="W14" i="7950" s="1"/>
  <c r="K7" i="7944"/>
  <c r="L8" i="7944"/>
  <c r="S276" i="7950"/>
  <c r="T230" i="7950"/>
  <c r="T290" i="7949"/>
  <c r="S335" i="7949"/>
  <c r="T182" i="7949"/>
  <c r="S227" i="7949"/>
  <c r="G168" i="7950"/>
  <c r="H122" i="7950"/>
  <c r="L11" i="7944"/>
  <c r="L27" i="7944"/>
  <c r="L51" i="7944"/>
  <c r="L25" i="7944"/>
  <c r="L56" i="7944"/>
  <c r="L28" i="7944"/>
  <c r="L40" i="7944"/>
  <c r="L34" i="7944"/>
  <c r="L35" i="7944"/>
  <c r="L46" i="7944"/>
  <c r="L39" i="7944"/>
  <c r="L18" i="7944"/>
  <c r="P182" i="7942"/>
  <c r="P183" i="7942" s="1"/>
  <c r="M825" i="18"/>
  <c r="H222" i="7950"/>
  <c r="I176" i="7950"/>
  <c r="M117" i="7941"/>
  <c r="N723" i="18"/>
  <c r="M823" i="18"/>
  <c r="M118" i="7941"/>
  <c r="N724" i="18"/>
  <c r="U344" i="7949"/>
  <c r="T389" i="7949"/>
  <c r="T74" i="7949"/>
  <c r="S119" i="7949"/>
  <c r="G384" i="7950"/>
  <c r="H338" i="7950"/>
  <c r="V236" i="7949"/>
  <c r="U281" i="7949"/>
  <c r="L9" i="7944"/>
  <c r="L44" i="7944"/>
  <c r="L24" i="7944"/>
  <c r="L52" i="7944"/>
  <c r="L33" i="7944"/>
  <c r="L22" i="7944"/>
  <c r="L36" i="7944"/>
  <c r="L41" i="7944"/>
  <c r="L19" i="7944"/>
  <c r="L54" i="7944"/>
  <c r="L30" i="7944"/>
  <c r="L31" i="7944"/>
  <c r="H114" i="7950"/>
  <c r="I68" i="7950"/>
  <c r="L14" i="7944"/>
  <c r="M824" i="18"/>
  <c r="L12" i="7944"/>
  <c r="L26" i="7944"/>
  <c r="L38" i="7944"/>
  <c r="L16" i="7944"/>
  <c r="L17" i="7944"/>
  <c r="L23" i="7944"/>
  <c r="L42" i="7944"/>
  <c r="L47" i="7944"/>
  <c r="L48" i="7944"/>
  <c r="L32" i="7944"/>
  <c r="L55" i="7944"/>
  <c r="T128" i="7949"/>
  <c r="S173" i="7949"/>
  <c r="H330" i="7950"/>
  <c r="I284" i="7950"/>
  <c r="Q182" i="7942"/>
  <c r="Q183" i="7942" s="1"/>
  <c r="Q432" i="7941" s="1"/>
  <c r="N183" i="7942" l="1"/>
  <c r="N1090" i="18"/>
  <c r="M328" i="7941"/>
  <c r="N14" i="7941"/>
  <c r="O14" i="7941" s="1"/>
  <c r="P14" i="7941" s="1"/>
  <c r="Q14" i="7941" s="1"/>
  <c r="N826" i="18"/>
  <c r="O1088" i="18"/>
  <c r="N1089" i="18"/>
  <c r="M327" i="7941"/>
  <c r="N13" i="7941"/>
  <c r="O13" i="7941" s="1"/>
  <c r="P13" i="7941" s="1"/>
  <c r="Q13" i="7941" s="1"/>
  <c r="Q176" i="7942"/>
  <c r="Q177" i="7942" s="1"/>
  <c r="Q429" i="7941" s="1"/>
  <c r="M114" i="7941"/>
  <c r="N720" i="18"/>
  <c r="H384" i="7950"/>
  <c r="I338" i="7950"/>
  <c r="T276" i="7950"/>
  <c r="U230" i="7950"/>
  <c r="V344" i="7949"/>
  <c r="U389" i="7949"/>
  <c r="I222" i="7950"/>
  <c r="J176" i="7950"/>
  <c r="U182" i="7949"/>
  <c r="T227" i="7949"/>
  <c r="U128" i="7949"/>
  <c r="T173" i="7949"/>
  <c r="I114" i="7950"/>
  <c r="J68" i="7950"/>
  <c r="M113" i="7941"/>
  <c r="N719" i="18"/>
  <c r="H168" i="7950"/>
  <c r="I122" i="7950"/>
  <c r="L7" i="7944"/>
  <c r="I330" i="7950"/>
  <c r="J284" i="7950"/>
  <c r="W236" i="7949"/>
  <c r="W281" i="7949" s="1"/>
  <c r="V281" i="7949"/>
  <c r="U74" i="7949"/>
  <c r="T119" i="7949"/>
  <c r="M115" i="7941"/>
  <c r="N721" i="18"/>
  <c r="U290" i="7949"/>
  <c r="T335" i="7949"/>
  <c r="N1086" i="18" l="1"/>
  <c r="M324" i="7941"/>
  <c r="N10" i="7941"/>
  <c r="O10" i="7941" s="1"/>
  <c r="P10" i="7941" s="1"/>
  <c r="Q10" i="7941" s="1"/>
  <c r="P1088" i="18"/>
  <c r="P826" i="18" s="1"/>
  <c r="P116" i="7941" s="1"/>
  <c r="O826" i="18"/>
  <c r="O116" i="7941" s="1"/>
  <c r="Q1088" i="18"/>
  <c r="Q826" i="18" s="1"/>
  <c r="Q116" i="7941" s="1"/>
  <c r="N116" i="7941"/>
  <c r="N326" i="7941" s="1"/>
  <c r="O326" i="7941" s="1"/>
  <c r="P326" i="7941" s="1"/>
  <c r="Q326" i="7941" s="1"/>
  <c r="O722" i="18"/>
  <c r="P722" i="18" s="1"/>
  <c r="Q722" i="18" s="1"/>
  <c r="R722" i="18" s="1"/>
  <c r="M325" i="7941"/>
  <c r="N11" i="7941"/>
  <c r="O11" i="7941" s="1"/>
  <c r="P11" i="7941" s="1"/>
  <c r="Q11" i="7941" s="1"/>
  <c r="N1085" i="18"/>
  <c r="M323" i="7941"/>
  <c r="N9" i="7941"/>
  <c r="O9" i="7941" s="1"/>
  <c r="P9" i="7941" s="1"/>
  <c r="Q9" i="7941" s="1"/>
  <c r="N828" i="18"/>
  <c r="O1090" i="18"/>
  <c r="N1087" i="18"/>
  <c r="N827" i="18"/>
  <c r="O1089" i="18"/>
  <c r="V290" i="7949"/>
  <c r="U335" i="7949"/>
  <c r="I168" i="7950"/>
  <c r="J122" i="7950"/>
  <c r="J114" i="7950"/>
  <c r="K68" i="7950"/>
  <c r="V74" i="7949"/>
  <c r="U119" i="7949"/>
  <c r="J330" i="7950"/>
  <c r="K284" i="7950"/>
  <c r="V182" i="7949"/>
  <c r="U227" i="7949"/>
  <c r="W344" i="7949"/>
  <c r="W389" i="7949" s="1"/>
  <c r="V389" i="7949"/>
  <c r="J222" i="7950"/>
  <c r="K176" i="7950"/>
  <c r="U276" i="7950"/>
  <c r="V230" i="7950"/>
  <c r="I384" i="7950"/>
  <c r="J338" i="7950"/>
  <c r="V128" i="7949"/>
  <c r="U173" i="7949"/>
  <c r="O827" i="18" l="1"/>
  <c r="O117" i="7941" s="1"/>
  <c r="P1089" i="18"/>
  <c r="N117" i="7941"/>
  <c r="N327" i="7941" s="1"/>
  <c r="O327" i="7941" s="1"/>
  <c r="P327" i="7941" s="1"/>
  <c r="Q327" i="7941" s="1"/>
  <c r="O723" i="18"/>
  <c r="P723" i="18" s="1"/>
  <c r="Q723" i="18" s="1"/>
  <c r="R723" i="18" s="1"/>
  <c r="N825" i="18"/>
  <c r="O1087" i="18"/>
  <c r="O1085" i="18"/>
  <c r="N823" i="18"/>
  <c r="O828" i="18"/>
  <c r="O118" i="7941" s="1"/>
  <c r="P1090" i="18"/>
  <c r="N118" i="7941"/>
  <c r="N328" i="7941" s="1"/>
  <c r="O328" i="7941" s="1"/>
  <c r="P328" i="7941" s="1"/>
  <c r="Q328" i="7941" s="1"/>
  <c r="O724" i="18"/>
  <c r="P724" i="18" s="1"/>
  <c r="Q724" i="18" s="1"/>
  <c r="R724" i="18" s="1"/>
  <c r="N824" i="18"/>
  <c r="O1086" i="18"/>
  <c r="V276" i="7950"/>
  <c r="W230" i="7950"/>
  <c r="W276" i="7950" s="1"/>
  <c r="K114" i="7950"/>
  <c r="L68" i="7950"/>
  <c r="W182" i="7949"/>
  <c r="W227" i="7949" s="1"/>
  <c r="V227" i="7949"/>
  <c r="W74" i="7949"/>
  <c r="W119" i="7949" s="1"/>
  <c r="V119" i="7949"/>
  <c r="J384" i="7950"/>
  <c r="K338" i="7950"/>
  <c r="K222" i="7950"/>
  <c r="L176" i="7950"/>
  <c r="K330" i="7950"/>
  <c r="L284" i="7950"/>
  <c r="J168" i="7950"/>
  <c r="K122" i="7950"/>
  <c r="W128" i="7949"/>
  <c r="W173" i="7949" s="1"/>
  <c r="V173" i="7949"/>
  <c r="W290" i="7949"/>
  <c r="W335" i="7949" s="1"/>
  <c r="V335" i="7949"/>
  <c r="N114" i="7941" l="1"/>
  <c r="N324" i="7941" s="1"/>
  <c r="O324" i="7941" s="1"/>
  <c r="P324" i="7941" s="1"/>
  <c r="Q324" i="7941" s="1"/>
  <c r="O720" i="18"/>
  <c r="P720" i="18" s="1"/>
  <c r="Q720" i="18" s="1"/>
  <c r="R720" i="18" s="1"/>
  <c r="O823" i="18"/>
  <c r="O113" i="7941" s="1"/>
  <c r="P1085" i="18"/>
  <c r="O825" i="18"/>
  <c r="O115" i="7941" s="1"/>
  <c r="P1087" i="18"/>
  <c r="N115" i="7941"/>
  <c r="N325" i="7941" s="1"/>
  <c r="O325" i="7941" s="1"/>
  <c r="P325" i="7941" s="1"/>
  <c r="Q325" i="7941" s="1"/>
  <c r="O721" i="18"/>
  <c r="P721" i="18" s="1"/>
  <c r="Q721" i="18" s="1"/>
  <c r="R721" i="18" s="1"/>
  <c r="P828" i="18"/>
  <c r="P118" i="7941" s="1"/>
  <c r="Q1090" i="18"/>
  <c r="Q828" i="18" s="1"/>
  <c r="Q118" i="7941" s="1"/>
  <c r="O824" i="18"/>
  <c r="O114" i="7941" s="1"/>
  <c r="P827" i="18"/>
  <c r="P117" i="7941" s="1"/>
  <c r="Q1089" i="18"/>
  <c r="Q827" i="18" s="1"/>
  <c r="Q117" i="7941" s="1"/>
  <c r="P1086" i="18"/>
  <c r="P824" i="18" s="1"/>
  <c r="P114" i="7941" s="1"/>
  <c r="N113" i="7941"/>
  <c r="N323" i="7941" s="1"/>
  <c r="O323" i="7941" s="1"/>
  <c r="P323" i="7941" s="1"/>
  <c r="Q323" i="7941" s="1"/>
  <c r="O719" i="18"/>
  <c r="P719" i="18" s="1"/>
  <c r="Q719" i="18" s="1"/>
  <c r="R719" i="18" s="1"/>
  <c r="K168" i="7950"/>
  <c r="L122" i="7950"/>
  <c r="L222" i="7950"/>
  <c r="M176" i="7950"/>
  <c r="L114" i="7950"/>
  <c r="M68" i="7950"/>
  <c r="L330" i="7950"/>
  <c r="M284" i="7950"/>
  <c r="K384" i="7950"/>
  <c r="L338" i="7950"/>
  <c r="P825" i="18" l="1"/>
  <c r="P115" i="7941" s="1"/>
  <c r="Q1087" i="18"/>
  <c r="Q825" i="18" s="1"/>
  <c r="Q115" i="7941" s="1"/>
  <c r="Q1086" i="18"/>
  <c r="Q824" i="18" s="1"/>
  <c r="Q114" i="7941" s="1"/>
  <c r="Q1085" i="18"/>
  <c r="Q823" i="18" s="1"/>
  <c r="Q113" i="7941" s="1"/>
  <c r="P823" i="18"/>
  <c r="P113" i="7941" s="1"/>
  <c r="M114" i="7950"/>
  <c r="N68" i="7950"/>
  <c r="L168" i="7950"/>
  <c r="M122" i="7950"/>
  <c r="M330" i="7950"/>
  <c r="N284" i="7950"/>
  <c r="M222" i="7950"/>
  <c r="N176" i="7950"/>
  <c r="L384" i="7950"/>
  <c r="M338" i="7950"/>
  <c r="N222" i="7950" l="1"/>
  <c r="O176" i="7950"/>
  <c r="M168" i="7950"/>
  <c r="N122" i="7950"/>
  <c r="M384" i="7950"/>
  <c r="N338" i="7950"/>
  <c r="N330" i="7950"/>
  <c r="O284" i="7950"/>
  <c r="N114" i="7950"/>
  <c r="O68" i="7950"/>
  <c r="O330" i="7950" l="1"/>
  <c r="P284" i="7950"/>
  <c r="N168" i="7950"/>
  <c r="O122" i="7950"/>
  <c r="O114" i="7950"/>
  <c r="P68" i="7950"/>
  <c r="N384" i="7950"/>
  <c r="O338" i="7950"/>
  <c r="O222" i="7950"/>
  <c r="P176" i="7950"/>
  <c r="O384" i="7950" l="1"/>
  <c r="P338" i="7950"/>
  <c r="O168" i="7950"/>
  <c r="P122" i="7950"/>
  <c r="P222" i="7950"/>
  <c r="Q176" i="7950"/>
  <c r="P114" i="7950"/>
  <c r="Q68" i="7950"/>
  <c r="P330" i="7950"/>
  <c r="Q284" i="7950"/>
  <c r="Q114" i="7950" l="1"/>
  <c r="R68" i="7950"/>
  <c r="P168" i="7950"/>
  <c r="Q122" i="7950"/>
  <c r="Q330" i="7950"/>
  <c r="R284" i="7950"/>
  <c r="Q222" i="7950"/>
  <c r="R176" i="7950"/>
  <c r="P384" i="7950"/>
  <c r="Q338" i="7950"/>
  <c r="R222" i="7950" l="1"/>
  <c r="S176" i="7950"/>
  <c r="Q168" i="7950"/>
  <c r="R122" i="7950"/>
  <c r="Q384" i="7950"/>
  <c r="R338" i="7950"/>
  <c r="R330" i="7950"/>
  <c r="S284" i="7950"/>
  <c r="R114" i="7950"/>
  <c r="S68" i="7950"/>
  <c r="S330" i="7950" l="1"/>
  <c r="T284" i="7950"/>
  <c r="R168" i="7950"/>
  <c r="S122" i="7950"/>
  <c r="S114" i="7950"/>
  <c r="T68" i="7950"/>
  <c r="R384" i="7950"/>
  <c r="S338" i="7950"/>
  <c r="S222" i="7950"/>
  <c r="T176" i="7950"/>
  <c r="S384" i="7950" l="1"/>
  <c r="T338" i="7950"/>
  <c r="S168" i="7950"/>
  <c r="T122" i="7950"/>
  <c r="T222" i="7950"/>
  <c r="U176" i="7950"/>
  <c r="T114" i="7950"/>
  <c r="U68" i="7950"/>
  <c r="T330" i="7950"/>
  <c r="U284" i="7950"/>
  <c r="T168" i="7950" l="1"/>
  <c r="U122" i="7950"/>
  <c r="U330" i="7950"/>
  <c r="V284" i="7950"/>
  <c r="U222" i="7950"/>
  <c r="V176" i="7950"/>
  <c r="T384" i="7950"/>
  <c r="U338" i="7950"/>
  <c r="U114" i="7950"/>
  <c r="V68" i="7950"/>
  <c r="U384" i="7950" l="1"/>
  <c r="V338" i="7950"/>
  <c r="V330" i="7950"/>
  <c r="W284" i="7950"/>
  <c r="W330" i="7950" s="1"/>
  <c r="V114" i="7950"/>
  <c r="W68" i="7950"/>
  <c r="W114" i="7950" s="1"/>
  <c r="V222" i="7950"/>
  <c r="W176" i="7950"/>
  <c r="W222" i="7950" s="1"/>
  <c r="U168" i="7950"/>
  <c r="V122" i="7950"/>
  <c r="V384" i="7950" l="1"/>
  <c r="W338" i="7950"/>
  <c r="W384" i="7950" s="1"/>
  <c r="V168" i="7950"/>
  <c r="W122" i="7950"/>
  <c r="W168" i="7950" s="1"/>
  <c r="M219" i="1" l="1"/>
  <c r="M223" i="1"/>
  <c r="I14" i="7949"/>
  <c r="I25" i="7949" s="1"/>
  <c r="J25" i="7949" s="1"/>
  <c r="K25" i="7949" s="1"/>
  <c r="L25" i="7949" s="1"/>
  <c r="M25" i="7949" s="1"/>
  <c r="N25" i="7949" s="1"/>
  <c r="O25" i="7949" s="1"/>
  <c r="P25" i="7949" s="1"/>
  <c r="Q25" i="7949" s="1"/>
  <c r="R25" i="7949" s="1"/>
  <c r="S25" i="7949" s="1"/>
  <c r="T25" i="7949" s="1"/>
  <c r="U25" i="7949" s="1"/>
  <c r="V25" i="7949" s="1"/>
  <c r="W25" i="7949" s="1"/>
  <c r="M273" i="1" l="1"/>
  <c r="Q71" i="18"/>
  <c r="P71" i="18"/>
  <c r="M12" i="18"/>
  <c r="O71" i="18"/>
  <c r="N71" i="18"/>
  <c r="M770" i="18" l="1"/>
  <c r="M11" i="18"/>
  <c r="M769" i="18" l="1"/>
  <c r="M60" i="7941"/>
  <c r="M59" i="7941" s="1"/>
  <c r="L219" i="1" l="1"/>
  <c r="J223" i="1" l="1"/>
  <c r="F14" i="7949"/>
  <c r="F22" i="7949" s="1"/>
  <c r="G22" i="7949" s="1"/>
  <c r="H22" i="7949" s="1"/>
  <c r="I22" i="7949" s="1"/>
  <c r="J22" i="7949" s="1"/>
  <c r="K22" i="7949" s="1"/>
  <c r="L22" i="7949" s="1"/>
  <c r="M22" i="7949" s="1"/>
  <c r="N22" i="7949" s="1"/>
  <c r="O22" i="7949" s="1"/>
  <c r="P22" i="7949" s="1"/>
  <c r="Q22" i="7949" s="1"/>
  <c r="R22" i="7949" s="1"/>
  <c r="S22" i="7949" s="1"/>
  <c r="T22" i="7949" s="1"/>
  <c r="U22" i="7949" s="1"/>
  <c r="V22" i="7949" s="1"/>
  <c r="W22" i="7949" s="1"/>
  <c r="J219" i="1"/>
  <c r="I219" i="1"/>
  <c r="E14" i="7949"/>
  <c r="E21" i="7949" s="1"/>
  <c r="F21" i="7949" s="1"/>
  <c r="G21" i="7949" s="1"/>
  <c r="H21" i="7949" s="1"/>
  <c r="I21" i="7949" s="1"/>
  <c r="J21" i="7949" s="1"/>
  <c r="K21" i="7949" s="1"/>
  <c r="L21" i="7949" s="1"/>
  <c r="M21" i="7949" s="1"/>
  <c r="N21" i="7949" s="1"/>
  <c r="O21" i="7949" s="1"/>
  <c r="P21" i="7949" s="1"/>
  <c r="Q21" i="7949" s="1"/>
  <c r="R21" i="7949" s="1"/>
  <c r="S21" i="7949" s="1"/>
  <c r="T21" i="7949" s="1"/>
  <c r="U21" i="7949" s="1"/>
  <c r="V21" i="7949" s="1"/>
  <c r="W21" i="7949" s="1"/>
  <c r="I223" i="1"/>
  <c r="H219" i="1"/>
  <c r="D14" i="7949"/>
  <c r="H223" i="1"/>
  <c r="K223" i="1"/>
  <c r="K219" i="1"/>
  <c r="G14" i="7949"/>
  <c r="G23" i="7949" s="1"/>
  <c r="H23" i="7949" s="1"/>
  <c r="I23" i="7949" s="1"/>
  <c r="J23" i="7949" s="1"/>
  <c r="K23" i="7949" s="1"/>
  <c r="L23" i="7949" s="1"/>
  <c r="M23" i="7949" s="1"/>
  <c r="N23" i="7949" s="1"/>
  <c r="O23" i="7949" s="1"/>
  <c r="P23" i="7949" s="1"/>
  <c r="Q23" i="7949" s="1"/>
  <c r="R23" i="7949" s="1"/>
  <c r="S23" i="7949" s="1"/>
  <c r="T23" i="7949" s="1"/>
  <c r="U23" i="7949" s="1"/>
  <c r="V23" i="7949" s="1"/>
  <c r="W23" i="7949" s="1"/>
  <c r="D20" i="7949" l="1"/>
  <c r="O67" i="18"/>
  <c r="I273" i="1"/>
  <c r="J67" i="18"/>
  <c r="I12" i="18"/>
  <c r="N67" i="18"/>
  <c r="L67" i="18"/>
  <c r="M67" i="18"/>
  <c r="K67" i="18"/>
  <c r="Q67" i="18"/>
  <c r="P67" i="18"/>
  <c r="K12" i="18"/>
  <c r="N69" i="18"/>
  <c r="P69" i="18"/>
  <c r="K273" i="1"/>
  <c r="L69" i="18"/>
  <c r="M69" i="18"/>
  <c r="O69" i="18"/>
  <c r="Q69" i="18"/>
  <c r="M66" i="18"/>
  <c r="Q66" i="18"/>
  <c r="H273" i="1"/>
  <c r="J66" i="18"/>
  <c r="K66" i="18"/>
  <c r="H12" i="18"/>
  <c r="O66" i="18"/>
  <c r="I66" i="18"/>
  <c r="I76" i="18" s="1"/>
  <c r="P66" i="18"/>
  <c r="N66" i="18"/>
  <c r="L66" i="18"/>
  <c r="J273" i="1"/>
  <c r="Q68" i="18"/>
  <c r="N68" i="18"/>
  <c r="K68" i="18"/>
  <c r="P68" i="18"/>
  <c r="O68" i="18"/>
  <c r="L68" i="18"/>
  <c r="M68" i="18"/>
  <c r="J12" i="18"/>
  <c r="J11" i="18" l="1"/>
  <c r="J770" i="18"/>
  <c r="I11" i="18"/>
  <c r="I770" i="18"/>
  <c r="K11" i="18"/>
  <c r="K770" i="18"/>
  <c r="I1032" i="18"/>
  <c r="I63" i="18"/>
  <c r="J76" i="18"/>
  <c r="H11" i="18"/>
  <c r="H770" i="18"/>
  <c r="E20" i="7949"/>
  <c r="E65" i="7949" s="1"/>
  <c r="D65" i="7949"/>
  <c r="F20" i="7949" l="1"/>
  <c r="F65" i="7949" s="1"/>
  <c r="I1031" i="18"/>
  <c r="K769" i="18"/>
  <c r="K60" i="7941"/>
  <c r="K59" i="7941" s="1"/>
  <c r="I60" i="7941"/>
  <c r="I59" i="7941" s="1"/>
  <c r="I769" i="18"/>
  <c r="H769" i="18"/>
  <c r="H60" i="7941"/>
  <c r="I718" i="18"/>
  <c r="K76" i="18"/>
  <c r="J1032" i="18"/>
  <c r="J63" i="18"/>
  <c r="J769" i="18"/>
  <c r="J60" i="7941"/>
  <c r="J59" i="7941" s="1"/>
  <c r="G20" i="7949" l="1"/>
  <c r="G65" i="7949" s="1"/>
  <c r="J1031" i="18"/>
  <c r="K63" i="18"/>
  <c r="K1032" i="18"/>
  <c r="I717" i="18"/>
  <c r="I1084" i="18"/>
  <c r="H322" i="7941"/>
  <c r="H59" i="7941"/>
  <c r="I8" i="7941"/>
  <c r="L76" i="18"/>
  <c r="H20" i="7949" l="1"/>
  <c r="I20" i="7949" s="1"/>
  <c r="J20" i="7949" s="1"/>
  <c r="K20" i="7949" s="1"/>
  <c r="L63" i="18"/>
  <c r="L1032" i="18"/>
  <c r="I7" i="7941"/>
  <c r="I1083" i="18"/>
  <c r="I822" i="18"/>
  <c r="K1031" i="18"/>
  <c r="H321" i="7941"/>
  <c r="I821" i="18" l="1"/>
  <c r="I112" i="7941"/>
  <c r="J718" i="18"/>
  <c r="L20" i="7949"/>
  <c r="L1031" i="18"/>
  <c r="M20" i="7949" l="1"/>
  <c r="J1084" i="18"/>
  <c r="J717" i="18"/>
  <c r="I111" i="7941"/>
  <c r="I322" i="7941"/>
  <c r="J8" i="7941"/>
  <c r="I321" i="7941" l="1"/>
  <c r="J7" i="7941"/>
  <c r="N20" i="7949"/>
  <c r="J1083" i="18"/>
  <c r="J822" i="18"/>
  <c r="O20" i="7949" l="1"/>
  <c r="J112" i="7941"/>
  <c r="J821" i="18"/>
  <c r="K718" i="18"/>
  <c r="K717" i="18" l="1"/>
  <c r="K1084" i="18"/>
  <c r="J111" i="7941"/>
  <c r="K8" i="7941"/>
  <c r="J322" i="7941"/>
  <c r="P20" i="7949"/>
  <c r="G219" i="1"/>
  <c r="R220" i="1" s="1"/>
  <c r="G223" i="1"/>
  <c r="G273" i="1" l="1"/>
  <c r="G66" i="7942"/>
  <c r="Q20" i="7949"/>
  <c r="K1083" i="18"/>
  <c r="K822" i="18"/>
  <c r="K7" i="7941"/>
  <c r="J321" i="7941"/>
  <c r="K821" i="18" l="1"/>
  <c r="K112" i="7941"/>
  <c r="L718" i="18"/>
  <c r="I674" i="7941"/>
  <c r="I651" i="7941"/>
  <c r="I649" i="7941"/>
  <c r="I660" i="7941"/>
  <c r="I467" i="7941"/>
  <c r="I642" i="7941"/>
  <c r="I459" i="7941"/>
  <c r="I434" i="7941"/>
  <c r="I670" i="7941"/>
  <c r="I647" i="7941"/>
  <c r="I473" i="7941"/>
  <c r="I448" i="7941"/>
  <c r="I465" i="7941"/>
  <c r="I575" i="7941"/>
  <c r="I635" i="7941"/>
  <c r="I673" i="7941"/>
  <c r="I475" i="7941"/>
  <c r="I441" i="7941"/>
  <c r="I679" i="7941"/>
  <c r="I554" i="7941"/>
  <c r="I531" i="7941"/>
  <c r="I552" i="7941"/>
  <c r="I444" i="7941"/>
  <c r="I533" i="7941"/>
  <c r="I540" i="7941"/>
  <c r="I570" i="7941"/>
  <c r="I643" i="7941"/>
  <c r="I545" i="7941"/>
  <c r="I579" i="7941"/>
  <c r="I471" i="7941"/>
  <c r="I640" i="7941"/>
  <c r="I562" i="7941"/>
  <c r="I677" i="7941"/>
  <c r="I455" i="7941"/>
  <c r="I541" i="7941"/>
  <c r="I428" i="7941"/>
  <c r="I431" i="7941"/>
  <c r="I573" i="7941"/>
  <c r="I652" i="7941"/>
  <c r="I639" i="7941"/>
  <c r="I659" i="7941"/>
  <c r="I680" i="7941"/>
  <c r="I669" i="7941"/>
  <c r="I430" i="7941"/>
  <c r="I682" i="7941"/>
  <c r="I460" i="7941"/>
  <c r="I463" i="7941"/>
  <c r="I466" i="7941"/>
  <c r="I634" i="7941"/>
  <c r="I676" i="7941"/>
  <c r="I435" i="7941"/>
  <c r="I474" i="7941"/>
  <c r="I571" i="7941"/>
  <c r="I644" i="7941"/>
  <c r="I664" i="7941"/>
  <c r="I657" i="7941"/>
  <c r="I543" i="7941"/>
  <c r="I559" i="7941"/>
  <c r="I578" i="7941"/>
  <c r="I576" i="7941"/>
  <c r="I447" i="7941"/>
  <c r="I530" i="7941"/>
  <c r="I547" i="7941"/>
  <c r="I564" i="7941"/>
  <c r="I561" i="7941"/>
  <c r="I565" i="7941"/>
  <c r="I454" i="7941"/>
  <c r="I556" i="7941"/>
  <c r="I663" i="7941"/>
  <c r="I636" i="7941"/>
  <c r="I456" i="7941"/>
  <c r="I560" i="7941"/>
  <c r="I572" i="7941"/>
  <c r="I457" i="7941"/>
  <c r="I546" i="7941"/>
  <c r="I666" i="7941"/>
  <c r="I449" i="7941"/>
  <c r="I658" i="7941"/>
  <c r="I443" i="7941"/>
  <c r="I671" i="7941"/>
  <c r="I637" i="7941"/>
  <c r="I426" i="7941"/>
  <c r="I450" i="7941"/>
  <c r="I678" i="7941"/>
  <c r="I548" i="7941"/>
  <c r="I440" i="7941"/>
  <c r="I436" i="7941"/>
  <c r="I683" i="7941"/>
  <c r="I532" i="7941"/>
  <c r="I452" i="7941"/>
  <c r="I681" i="7941"/>
  <c r="I668" i="7941"/>
  <c r="I655" i="7941"/>
  <c r="I550" i="7941"/>
  <c r="I472" i="7941"/>
  <c r="I557" i="7941"/>
  <c r="I568" i="7941"/>
  <c r="I537" i="7941"/>
  <c r="I675" i="7941"/>
  <c r="I569" i="7941"/>
  <c r="I433" i="7941"/>
  <c r="I641" i="7941"/>
  <c r="I544" i="7941"/>
  <c r="I661" i="7941"/>
  <c r="I648" i="7941"/>
  <c r="I549" i="7941"/>
  <c r="I536" i="7941"/>
  <c r="I427" i="7941"/>
  <c r="I563" i="7941"/>
  <c r="I451" i="7941"/>
  <c r="I439" i="7941"/>
  <c r="I574" i="7941"/>
  <c r="I446" i="7941"/>
  <c r="I566" i="7941"/>
  <c r="I429" i="7941"/>
  <c r="I662" i="7941"/>
  <c r="I672" i="7941"/>
  <c r="I437" i="7941"/>
  <c r="I468" i="7941"/>
  <c r="I667" i="7941"/>
  <c r="I645" i="7941"/>
  <c r="I432" i="7941"/>
  <c r="I469" i="7941"/>
  <c r="I438" i="7941"/>
  <c r="I464" i="7941"/>
  <c r="I535" i="7941"/>
  <c r="I539" i="7941"/>
  <c r="I542" i="7941"/>
  <c r="I646" i="7941"/>
  <c r="I656" i="7941"/>
  <c r="I553" i="7941"/>
  <c r="I538" i="7941"/>
  <c r="I470" i="7941"/>
  <c r="I461" i="7941"/>
  <c r="I577" i="7941"/>
  <c r="I445" i="7941"/>
  <c r="I551" i="7941"/>
  <c r="I555" i="7941"/>
  <c r="I558" i="7941"/>
  <c r="I665" i="7941"/>
  <c r="I458" i="7941"/>
  <c r="I653" i="7941"/>
  <c r="I567" i="7941"/>
  <c r="I534" i="7941"/>
  <c r="I654" i="7941"/>
  <c r="I462" i="7941"/>
  <c r="I453" i="7941"/>
  <c r="I650" i="7941"/>
  <c r="I638" i="7941"/>
  <c r="I442" i="7941"/>
  <c r="I597" i="7941"/>
  <c r="I402" i="7941"/>
  <c r="I520" i="7941"/>
  <c r="I515" i="7941"/>
  <c r="I502" i="7941"/>
  <c r="I615" i="7941"/>
  <c r="I586" i="7941"/>
  <c r="I479" i="7941"/>
  <c r="I482" i="7941"/>
  <c r="I612" i="7941"/>
  <c r="I405" i="7941"/>
  <c r="I518" i="7941"/>
  <c r="I382" i="7941"/>
  <c r="I621" i="7941"/>
  <c r="I488" i="7941"/>
  <c r="I420" i="7941"/>
  <c r="I609" i="7941"/>
  <c r="I616" i="7941"/>
  <c r="I594" i="7941"/>
  <c r="I404" i="7941"/>
  <c r="I626" i="7941"/>
  <c r="I396" i="7941"/>
  <c r="I496" i="7941"/>
  <c r="I504" i="7941"/>
  <c r="I601" i="7941"/>
  <c r="I378" i="7941"/>
  <c r="I598" i="7941"/>
  <c r="I591" i="7941"/>
  <c r="I419" i="7941"/>
  <c r="I375" i="7941"/>
  <c r="I388" i="7941"/>
  <c r="I395" i="7941"/>
  <c r="I618" i="7941"/>
  <c r="I387" i="7941"/>
  <c r="I604" i="7941"/>
  <c r="I516" i="7941"/>
  <c r="I480" i="7941"/>
  <c r="I514" i="7941"/>
  <c r="I377" i="7941"/>
  <c r="I376" i="7941"/>
  <c r="I491" i="7941"/>
  <c r="I610" i="7941"/>
  <c r="I381" i="7941"/>
  <c r="I623" i="7941"/>
  <c r="I384" i="7941"/>
  <c r="I489" i="7941"/>
  <c r="I410" i="7941"/>
  <c r="I379" i="7941"/>
  <c r="I397" i="7941"/>
  <c r="I403" i="7941"/>
  <c r="I483" i="7941"/>
  <c r="I398" i="7941"/>
  <c r="I627" i="7941"/>
  <c r="I400" i="7941"/>
  <c r="I617" i="7941"/>
  <c r="I524" i="7941"/>
  <c r="I394" i="7941"/>
  <c r="I385" i="7941"/>
  <c r="I500" i="7941"/>
  <c r="I399" i="7941"/>
  <c r="I510" i="7941"/>
  <c r="I503" i="7941"/>
  <c r="I414" i="7941"/>
  <c r="I631" i="7941"/>
  <c r="I599" i="7941"/>
  <c r="I507" i="7941"/>
  <c r="I522" i="7941"/>
  <c r="I592" i="7941"/>
  <c r="I490" i="7941"/>
  <c r="I624" i="7941"/>
  <c r="I418" i="7941"/>
  <c r="I411" i="7941"/>
  <c r="I481" i="7941"/>
  <c r="I622" i="7941"/>
  <c r="I512" i="7941"/>
  <c r="I523" i="7941"/>
  <c r="I605" i="7941"/>
  <c r="I374" i="7941"/>
  <c r="I408" i="7941"/>
  <c r="I416" i="7941"/>
  <c r="I407" i="7941"/>
  <c r="I413" i="7941"/>
  <c r="I497" i="7941"/>
  <c r="I494" i="7941"/>
  <c r="I392" i="7941"/>
  <c r="I625" i="7941"/>
  <c r="I607" i="7941"/>
  <c r="I587" i="7941"/>
  <c r="I582" i="7941"/>
  <c r="I608" i="7941"/>
  <c r="I614" i="7941"/>
  <c r="I508" i="7941"/>
  <c r="I600" i="7941"/>
  <c r="I505" i="7941"/>
  <c r="I583" i="7941"/>
  <c r="I485" i="7941"/>
  <c r="I487" i="7941"/>
  <c r="I412" i="7941"/>
  <c r="I628" i="7941"/>
  <c r="I391" i="7941"/>
  <c r="I513" i="7941"/>
  <c r="I619" i="7941"/>
  <c r="I525" i="7941"/>
  <c r="I593" i="7941"/>
  <c r="I498" i="7941"/>
  <c r="I509" i="7941"/>
  <c r="I602" i="7941"/>
  <c r="I521" i="7941"/>
  <c r="I386" i="7941"/>
  <c r="I389" i="7941"/>
  <c r="I585" i="7941"/>
  <c r="I606" i="7941"/>
  <c r="I589" i="7941"/>
  <c r="I603" i="7941"/>
  <c r="I596" i="7941"/>
  <c r="I478" i="7941"/>
  <c r="I484" i="7941"/>
  <c r="I401" i="7941"/>
  <c r="I423" i="7941"/>
  <c r="I417" i="7941"/>
  <c r="I506" i="7941"/>
  <c r="I493" i="7941"/>
  <c r="I611" i="7941"/>
  <c r="I486" i="7941"/>
  <c r="I629" i="7941"/>
  <c r="I595" i="7941"/>
  <c r="I501" i="7941"/>
  <c r="I613" i="7941"/>
  <c r="I590" i="7941"/>
  <c r="I519" i="7941"/>
  <c r="I422" i="7941"/>
  <c r="I409" i="7941"/>
  <c r="I620" i="7941"/>
  <c r="I383" i="7941"/>
  <c r="I380" i="7941"/>
  <c r="I517" i="7941"/>
  <c r="I415" i="7941"/>
  <c r="I421" i="7941"/>
  <c r="I527" i="7941"/>
  <c r="I630" i="7941"/>
  <c r="I492" i="7941"/>
  <c r="I526" i="7941"/>
  <c r="I406" i="7941"/>
  <c r="I588" i="7941"/>
  <c r="I584" i="7941"/>
  <c r="I390" i="7941"/>
  <c r="I393" i="7941"/>
  <c r="I495" i="7941"/>
  <c r="I499" i="7941"/>
  <c r="I511" i="7941"/>
  <c r="R20" i="7949"/>
  <c r="G118" i="7942"/>
  <c r="G65" i="7942"/>
  <c r="I633" i="7941" l="1"/>
  <c r="H9" i="7950"/>
  <c r="H14" i="7949"/>
  <c r="P118" i="7944"/>
  <c r="M118" i="7944"/>
  <c r="M124" i="7944" s="1"/>
  <c r="L111" i="1"/>
  <c r="L60" i="7944"/>
  <c r="N118" i="7944"/>
  <c r="Q118" i="7944"/>
  <c r="L223" i="1"/>
  <c r="O118" i="7944"/>
  <c r="I477" i="7941"/>
  <c r="L717" i="18"/>
  <c r="L1084" i="18"/>
  <c r="K111" i="7941"/>
  <c r="K322" i="7941"/>
  <c r="L8" i="7941"/>
  <c r="G117" i="7942"/>
  <c r="H170" i="7942"/>
  <c r="I170" i="7942" s="1"/>
  <c r="I169" i="7942" s="1"/>
  <c r="I529" i="7941"/>
  <c r="I581" i="7941"/>
  <c r="S20" i="7949"/>
  <c r="I373" i="7941"/>
  <c r="I425" i="7941"/>
  <c r="R112" i="1" l="1"/>
  <c r="M111" i="7944"/>
  <c r="N124" i="7944"/>
  <c r="N111" i="7944" s="1"/>
  <c r="T20" i="7949"/>
  <c r="L1083" i="18"/>
  <c r="L822" i="18"/>
  <c r="H24" i="7949"/>
  <c r="H19" i="7950"/>
  <c r="L273" i="1"/>
  <c r="R274" i="1" s="1"/>
  <c r="Q70" i="18"/>
  <c r="P70" i="18"/>
  <c r="M70" i="18"/>
  <c r="M76" i="18" s="1"/>
  <c r="L12" i="18"/>
  <c r="L770" i="18" s="1"/>
  <c r="N70" i="18"/>
  <c r="O70" i="18"/>
  <c r="L7" i="7941"/>
  <c r="H169" i="7942"/>
  <c r="J170" i="7942"/>
  <c r="J169" i="7942" s="1"/>
  <c r="I171" i="7942"/>
  <c r="K321" i="7941"/>
  <c r="L59" i="7944"/>
  <c r="J171" i="7942" l="1"/>
  <c r="L112" i="7941"/>
  <c r="L111" i="7941" s="1"/>
  <c r="L821" i="18"/>
  <c r="L11" i="18"/>
  <c r="K170" i="7942"/>
  <c r="M63" i="18"/>
  <c r="M1032" i="18"/>
  <c r="N76" i="18"/>
  <c r="O124" i="7944"/>
  <c r="M10" i="7944"/>
  <c r="M31" i="7944"/>
  <c r="M42" i="7944"/>
  <c r="M20" i="7944"/>
  <c r="M40" i="7944"/>
  <c r="M13" i="7944"/>
  <c r="M35" i="7944"/>
  <c r="M19" i="7944"/>
  <c r="M34" i="7944"/>
  <c r="M57" i="7944"/>
  <c r="M17" i="7944"/>
  <c r="M21" i="7944"/>
  <c r="M25" i="7944"/>
  <c r="M50" i="7944"/>
  <c r="M38" i="7944"/>
  <c r="M43" i="7944"/>
  <c r="M14" i="7944"/>
  <c r="M28" i="7944"/>
  <c r="M11" i="7944"/>
  <c r="M37" i="7944"/>
  <c r="M24" i="7944"/>
  <c r="M44" i="7944"/>
  <c r="M15" i="7944"/>
  <c r="M55" i="7944"/>
  <c r="M39" i="7944"/>
  <c r="M36" i="7944"/>
  <c r="M46" i="7944"/>
  <c r="M45" i="7944"/>
  <c r="M16" i="7944"/>
  <c r="M54" i="7944"/>
  <c r="M27" i="7944"/>
  <c r="M49" i="7944"/>
  <c r="M53" i="7944"/>
  <c r="M48" i="7944"/>
  <c r="M18" i="7944"/>
  <c r="M9" i="7944"/>
  <c r="M41" i="7944"/>
  <c r="M52" i="7944"/>
  <c r="M22" i="7944"/>
  <c r="M29" i="7944"/>
  <c r="M47" i="7944"/>
  <c r="M32" i="7944"/>
  <c r="M56" i="7944"/>
  <c r="M23" i="7944"/>
  <c r="M26" i="7944"/>
  <c r="M33" i="7944"/>
  <c r="M30" i="7944"/>
  <c r="M12" i="7944"/>
  <c r="M51" i="7944"/>
  <c r="I270" i="7942"/>
  <c r="J270" i="7942"/>
  <c r="I24" i="7949"/>
  <c r="I65" i="7949" s="1"/>
  <c r="H65" i="7949"/>
  <c r="U20" i="7949"/>
  <c r="I19" i="7950"/>
  <c r="H60" i="7950"/>
  <c r="M8" i="7944"/>
  <c r="J568" i="7941"/>
  <c r="J460" i="7941"/>
  <c r="J681" i="7941"/>
  <c r="J634" i="7941"/>
  <c r="J466" i="7941"/>
  <c r="J430" i="7941"/>
  <c r="J473" i="7941"/>
  <c r="J439" i="7941"/>
  <c r="J443" i="7941"/>
  <c r="J678" i="7941"/>
  <c r="J554" i="7941"/>
  <c r="J555" i="7941"/>
  <c r="J543" i="7941"/>
  <c r="J436" i="7941"/>
  <c r="J566" i="7941"/>
  <c r="J656" i="7941"/>
  <c r="J677" i="7941"/>
  <c r="J644" i="7941"/>
  <c r="J558" i="7941"/>
  <c r="J659" i="7941"/>
  <c r="J679" i="7941"/>
  <c r="J548" i="7941"/>
  <c r="J464" i="7941"/>
  <c r="J635" i="7941"/>
  <c r="J650" i="7941"/>
  <c r="J658" i="7941"/>
  <c r="J654" i="7941"/>
  <c r="J551" i="7941"/>
  <c r="J429" i="7941"/>
  <c r="J454" i="7941"/>
  <c r="J475" i="7941"/>
  <c r="J437" i="7941"/>
  <c r="J653" i="7941"/>
  <c r="J673" i="7941"/>
  <c r="J675" i="7941"/>
  <c r="J534" i="7941"/>
  <c r="J532" i="7941"/>
  <c r="J645" i="7941"/>
  <c r="J537" i="7941"/>
  <c r="J550" i="7941"/>
  <c r="J441" i="7941"/>
  <c r="J530" i="7941"/>
  <c r="J564" i="7941"/>
  <c r="J573" i="7941"/>
  <c r="J442" i="7941"/>
  <c r="J469" i="7941"/>
  <c r="J463" i="7941"/>
  <c r="J456" i="7941"/>
  <c r="J661" i="7941"/>
  <c r="J535" i="7941"/>
  <c r="J562" i="7941"/>
  <c r="J565" i="7941"/>
  <c r="J453" i="7941"/>
  <c r="J544" i="7941"/>
  <c r="J549" i="7941"/>
  <c r="J462" i="7941"/>
  <c r="J637" i="7941"/>
  <c r="J680" i="7941"/>
  <c r="J669" i="7941"/>
  <c r="J459" i="7941"/>
  <c r="J540" i="7941"/>
  <c r="J447" i="7941"/>
  <c r="J426" i="7941"/>
  <c r="J648" i="7941"/>
  <c r="J664" i="7941"/>
  <c r="J579" i="7941"/>
  <c r="J666" i="7941"/>
  <c r="J649" i="7941"/>
  <c r="J470" i="7941"/>
  <c r="J457" i="7941"/>
  <c r="J655" i="7941"/>
  <c r="J676" i="7941"/>
  <c r="J670" i="7941"/>
  <c r="J663" i="7941"/>
  <c r="J672" i="7941"/>
  <c r="J446" i="7941"/>
  <c r="J536" i="7941"/>
  <c r="J576" i="7941"/>
  <c r="J533" i="7941"/>
  <c r="J431" i="7941"/>
  <c r="J450" i="7941"/>
  <c r="J572" i="7941"/>
  <c r="J575" i="7941"/>
  <c r="J538" i="7941"/>
  <c r="J427" i="7941"/>
  <c r="J448" i="7941"/>
  <c r="J452" i="7941"/>
  <c r="J553" i="7941"/>
  <c r="J668" i="7941"/>
  <c r="J556" i="7941"/>
  <c r="J541" i="7941"/>
  <c r="J577" i="7941"/>
  <c r="J560" i="7941"/>
  <c r="J574" i="7941"/>
  <c r="J449" i="7941"/>
  <c r="J468" i="7941"/>
  <c r="J671" i="7941"/>
  <c r="J643" i="7941"/>
  <c r="J570" i="7941"/>
  <c r="J545" i="7941"/>
  <c r="J578" i="7941"/>
  <c r="J432" i="7941"/>
  <c r="J474" i="7941"/>
  <c r="J660" i="7941"/>
  <c r="J674" i="7941"/>
  <c r="J557" i="7941"/>
  <c r="J636" i="7941"/>
  <c r="J561" i="7941"/>
  <c r="J438" i="7941"/>
  <c r="J440" i="7941"/>
  <c r="J667" i="7941"/>
  <c r="J683" i="7941"/>
  <c r="J639" i="7941"/>
  <c r="J458" i="7941"/>
  <c r="J638" i="7941"/>
  <c r="J546" i="7941"/>
  <c r="J547" i="7941"/>
  <c r="J472" i="7941"/>
  <c r="J647" i="7941"/>
  <c r="J465" i="7941"/>
  <c r="J567" i="7941"/>
  <c r="J642" i="7941"/>
  <c r="J559" i="7941"/>
  <c r="J461" i="7941"/>
  <c r="J444" i="7941"/>
  <c r="J539" i="7941"/>
  <c r="J571" i="7941"/>
  <c r="J665" i="7941"/>
  <c r="J662" i="7941"/>
  <c r="J569" i="7941"/>
  <c r="J552" i="7941"/>
  <c r="J531" i="7941"/>
  <c r="J433" i="7941"/>
  <c r="J435" i="7941"/>
  <c r="J467" i="7941"/>
  <c r="J646" i="7941"/>
  <c r="J563" i="7941"/>
  <c r="J542" i="7941"/>
  <c r="J640" i="7941"/>
  <c r="J455" i="7941"/>
  <c r="J428" i="7941"/>
  <c r="J651" i="7941"/>
  <c r="J641" i="7941"/>
  <c r="J657" i="7941"/>
  <c r="J682" i="7941"/>
  <c r="J652" i="7941"/>
  <c r="J451" i="7941"/>
  <c r="J434" i="7941"/>
  <c r="J445" i="7941"/>
  <c r="J471" i="7941"/>
  <c r="J388" i="7941"/>
  <c r="J408" i="7941"/>
  <c r="J416" i="7941"/>
  <c r="J498" i="7941"/>
  <c r="J492" i="7941"/>
  <c r="J497" i="7941"/>
  <c r="J483" i="7941"/>
  <c r="J591" i="7941"/>
  <c r="J407" i="7941"/>
  <c r="J612" i="7941"/>
  <c r="J611" i="7941"/>
  <c r="J606" i="7941"/>
  <c r="J504" i="7941"/>
  <c r="J609" i="7941"/>
  <c r="J584" i="7941"/>
  <c r="J521" i="7941"/>
  <c r="J419" i="7941"/>
  <c r="J400" i="7941"/>
  <c r="J514" i="7941"/>
  <c r="J616" i="7941"/>
  <c r="J597" i="7941"/>
  <c r="J415" i="7941"/>
  <c r="J486" i="7941"/>
  <c r="J485" i="7941"/>
  <c r="J393" i="7941"/>
  <c r="J506" i="7941"/>
  <c r="J589" i="7941"/>
  <c r="J501" i="7941"/>
  <c r="J630" i="7941"/>
  <c r="J376" i="7941"/>
  <c r="J522" i="7941"/>
  <c r="J411" i="7941"/>
  <c r="J418" i="7941"/>
  <c r="J500" i="7941"/>
  <c r="J586" i="7941"/>
  <c r="J489" i="7941"/>
  <c r="J403" i="7941"/>
  <c r="J627" i="7941"/>
  <c r="J390" i="7941"/>
  <c r="J601" i="7941"/>
  <c r="J496" i="7941"/>
  <c r="J608" i="7941"/>
  <c r="J622" i="7941"/>
  <c r="J505" i="7941"/>
  <c r="J482" i="7941"/>
  <c r="J423" i="7941"/>
  <c r="J600" i="7941"/>
  <c r="J617" i="7941"/>
  <c r="J493" i="7941"/>
  <c r="J605" i="7941"/>
  <c r="J487" i="7941"/>
  <c r="J595" i="7941"/>
  <c r="J593" i="7941"/>
  <c r="J511" i="7941"/>
  <c r="J478" i="7941"/>
  <c r="J490" i="7941"/>
  <c r="J417" i="7941"/>
  <c r="J377" i="7941"/>
  <c r="J582" i="7941"/>
  <c r="J405" i="7941"/>
  <c r="J603" i="7941"/>
  <c r="J526" i="7941"/>
  <c r="J587" i="7941"/>
  <c r="J590" i="7941"/>
  <c r="J629" i="7941"/>
  <c r="J596" i="7941"/>
  <c r="J378" i="7941"/>
  <c r="J422" i="7941"/>
  <c r="J602" i="7941"/>
  <c r="J626" i="7941"/>
  <c r="J502" i="7941"/>
  <c r="J615" i="7941"/>
  <c r="J592" i="7941"/>
  <c r="J413" i="7941"/>
  <c r="J488" i="7941"/>
  <c r="J503" i="7941"/>
  <c r="J397" i="7941"/>
  <c r="J604" i="7941"/>
  <c r="J406" i="7941"/>
  <c r="J621" i="7941"/>
  <c r="J520" i="7941"/>
  <c r="J613" i="7941"/>
  <c r="J494" i="7941"/>
  <c r="J383" i="7941"/>
  <c r="J420" i="7941"/>
  <c r="J404" i="7941"/>
  <c r="J623" i="7941"/>
  <c r="J484" i="7941"/>
  <c r="J517" i="7941"/>
  <c r="J396" i="7941"/>
  <c r="J389" i="7941"/>
  <c r="J480" i="7941"/>
  <c r="J594" i="7941"/>
  <c r="J399" i="7941"/>
  <c r="J395" i="7941"/>
  <c r="J375" i="7941"/>
  <c r="J479" i="7941"/>
  <c r="J379" i="7941"/>
  <c r="J384" i="7941"/>
  <c r="J614" i="7941"/>
  <c r="J481" i="7941"/>
  <c r="J588" i="7941"/>
  <c r="J507" i="7941"/>
  <c r="J512" i="7941"/>
  <c r="J585" i="7941"/>
  <c r="J421" i="7941"/>
  <c r="J523" i="7941"/>
  <c r="J524" i="7941"/>
  <c r="J386" i="7941"/>
  <c r="J610" i="7941"/>
  <c r="J414" i="7941"/>
  <c r="J398" i="7941"/>
  <c r="J599" i="7941"/>
  <c r="J607" i="7941"/>
  <c r="J508" i="7941"/>
  <c r="J624" i="7941"/>
  <c r="J412" i="7941"/>
  <c r="J402" i="7941"/>
  <c r="J618" i="7941"/>
  <c r="J598" i="7941"/>
  <c r="J525" i="7941"/>
  <c r="J499" i="7941"/>
  <c r="J495" i="7941"/>
  <c r="J516" i="7941"/>
  <c r="J513" i="7941"/>
  <c r="J510" i="7941"/>
  <c r="J583" i="7941"/>
  <c r="J491" i="7941"/>
  <c r="J381" i="7941"/>
  <c r="J410" i="7941"/>
  <c r="J382" i="7941"/>
  <c r="J374" i="7941"/>
  <c r="J628" i="7941"/>
  <c r="J509" i="7941"/>
  <c r="J401" i="7941"/>
  <c r="J387" i="7941"/>
  <c r="J527" i="7941"/>
  <c r="J380" i="7941"/>
  <c r="J391" i="7941"/>
  <c r="J519" i="7941"/>
  <c r="J392" i="7941"/>
  <c r="J620" i="7941"/>
  <c r="J394" i="7941"/>
  <c r="J625" i="7941"/>
  <c r="J515" i="7941"/>
  <c r="J619" i="7941"/>
  <c r="J409" i="7941"/>
  <c r="J385" i="7941"/>
  <c r="J518" i="7941"/>
  <c r="J631" i="7941"/>
  <c r="J581" i="7941" l="1"/>
  <c r="J425" i="7941"/>
  <c r="V20" i="7949"/>
  <c r="J24" i="7949"/>
  <c r="N26" i="7944"/>
  <c r="N41" i="7944"/>
  <c r="N16" i="7944"/>
  <c r="N24" i="7944"/>
  <c r="N25" i="7944"/>
  <c r="N40" i="7944"/>
  <c r="O76" i="18"/>
  <c r="N1032" i="18"/>
  <c r="N63" i="18"/>
  <c r="N23" i="7944"/>
  <c r="N9" i="7944"/>
  <c r="N45" i="7944"/>
  <c r="N37" i="7944"/>
  <c r="N21" i="7944"/>
  <c r="N20" i="7944"/>
  <c r="M1031" i="18"/>
  <c r="N56" i="7944"/>
  <c r="N18" i="7944"/>
  <c r="N46" i="7944"/>
  <c r="N11" i="7944"/>
  <c r="N17" i="7944"/>
  <c r="N42" i="7944"/>
  <c r="J633" i="7941"/>
  <c r="N32" i="7944"/>
  <c r="N48" i="7944"/>
  <c r="N36" i="7944"/>
  <c r="N28" i="7944"/>
  <c r="N57" i="7944"/>
  <c r="N31" i="7944"/>
  <c r="L170" i="7942"/>
  <c r="K169" i="7942"/>
  <c r="J477" i="7941"/>
  <c r="N51" i="7944"/>
  <c r="N47" i="7944"/>
  <c r="N53" i="7944"/>
  <c r="N39" i="7944"/>
  <c r="N14" i="7944"/>
  <c r="N34" i="7944"/>
  <c r="N10" i="7944"/>
  <c r="J529" i="7941"/>
  <c r="N12" i="7944"/>
  <c r="N29" i="7944"/>
  <c r="N49" i="7944"/>
  <c r="N55" i="7944"/>
  <c r="N43" i="7944"/>
  <c r="N19" i="7944"/>
  <c r="O111" i="7944"/>
  <c r="P124" i="7944"/>
  <c r="P111" i="7944" s="1"/>
  <c r="L60" i="7941"/>
  <c r="L769" i="18"/>
  <c r="M718" i="18"/>
  <c r="N30" i="7944"/>
  <c r="N22" i="7944"/>
  <c r="N27" i="7944"/>
  <c r="N15" i="7944"/>
  <c r="N38" i="7944"/>
  <c r="N35" i="7944"/>
  <c r="J373" i="7941"/>
  <c r="M7" i="7944"/>
  <c r="N8" i="7944"/>
  <c r="J19" i="7950"/>
  <c r="I60" i="7950"/>
  <c r="N33" i="7944"/>
  <c r="N52" i="7944"/>
  <c r="N54" i="7944"/>
  <c r="N44" i="7944"/>
  <c r="N50" i="7944"/>
  <c r="N13" i="7944"/>
  <c r="K171" i="7942"/>
  <c r="O56" i="7944" l="1"/>
  <c r="P56" i="7944" s="1"/>
  <c r="Q56" i="7944" s="1"/>
  <c r="R56" i="7944" s="1"/>
  <c r="N55" i="7946"/>
  <c r="O55" i="7946" s="1"/>
  <c r="Q124" i="7944"/>
  <c r="Q111" i="7944" s="1"/>
  <c r="O43" i="7944"/>
  <c r="P43" i="7944" s="1"/>
  <c r="Q43" i="7944" s="1"/>
  <c r="R43" i="7944" s="1"/>
  <c r="O57" i="7944"/>
  <c r="P57" i="7944" s="1"/>
  <c r="Q57" i="7944" s="1"/>
  <c r="R57" i="7944" s="1"/>
  <c r="O18" i="7944"/>
  <c r="P18" i="7944" s="1"/>
  <c r="Q18" i="7944" s="1"/>
  <c r="R18" i="7944" s="1"/>
  <c r="O14" i="7944"/>
  <c r="P14" i="7944" s="1"/>
  <c r="Q14" i="7944" s="1"/>
  <c r="R14" i="7944" s="1"/>
  <c r="O46" i="7944"/>
  <c r="P46" i="7944" s="1"/>
  <c r="Q46" i="7944" s="1"/>
  <c r="R46" i="7944" s="1"/>
  <c r="O42" i="7944"/>
  <c r="P42" i="7944" s="1"/>
  <c r="Q42" i="7944" s="1"/>
  <c r="R42" i="7944" s="1"/>
  <c r="O51" i="7944"/>
  <c r="P51" i="7944" s="1"/>
  <c r="Q51" i="7944" s="1"/>
  <c r="R51" i="7944" s="1"/>
  <c r="O36" i="7944"/>
  <c r="P36" i="7944" s="1"/>
  <c r="Q36" i="7944" s="1"/>
  <c r="R36" i="7944" s="1"/>
  <c r="O17" i="7944"/>
  <c r="P17" i="7944" s="1"/>
  <c r="Q17" i="7944" s="1"/>
  <c r="R17" i="7944" s="1"/>
  <c r="O11" i="7944"/>
  <c r="P11" i="7944" s="1"/>
  <c r="Q11" i="7944" s="1"/>
  <c r="R11" i="7944" s="1"/>
  <c r="O32" i="7944"/>
  <c r="P32" i="7944" s="1"/>
  <c r="Q32" i="7944" s="1"/>
  <c r="R32" i="7944" s="1"/>
  <c r="O12" i="7944"/>
  <c r="P12" i="7944" s="1"/>
  <c r="Q12" i="7944" s="1"/>
  <c r="R12" i="7944" s="1"/>
  <c r="O8" i="7944"/>
  <c r="N7" i="7946" s="1"/>
  <c r="N7" i="7944"/>
  <c r="O50" i="7944"/>
  <c r="P50" i="7944" s="1"/>
  <c r="Q50" i="7944" s="1"/>
  <c r="R50" i="7944" s="1"/>
  <c r="O33" i="7944"/>
  <c r="P33" i="7944" s="1"/>
  <c r="Q33" i="7944" s="1"/>
  <c r="R33" i="7944" s="1"/>
  <c r="O27" i="7944"/>
  <c r="P27" i="7944" s="1"/>
  <c r="Q27" i="7944" s="1"/>
  <c r="R27" i="7944" s="1"/>
  <c r="O55" i="7944"/>
  <c r="P55" i="7944" s="1"/>
  <c r="Q55" i="7944" s="1"/>
  <c r="R55" i="7944" s="1"/>
  <c r="O39" i="7944"/>
  <c r="P39" i="7944" s="1"/>
  <c r="Q39" i="7944" s="1"/>
  <c r="R39" i="7944" s="1"/>
  <c r="O31" i="7944"/>
  <c r="P31" i="7944" s="1"/>
  <c r="Q31" i="7944" s="1"/>
  <c r="R31" i="7944" s="1"/>
  <c r="O48" i="7944"/>
  <c r="P48" i="7944" s="1"/>
  <c r="Q48" i="7944" s="1"/>
  <c r="R48" i="7944" s="1"/>
  <c r="O37" i="7944"/>
  <c r="P37" i="7944" s="1"/>
  <c r="Q37" i="7944" s="1"/>
  <c r="R37" i="7944" s="1"/>
  <c r="O24" i="7944"/>
  <c r="P24" i="7944" s="1"/>
  <c r="Q24" i="7944" s="1"/>
  <c r="R24" i="7944" s="1"/>
  <c r="J65" i="7949"/>
  <c r="K24" i="7949"/>
  <c r="O44" i="7944"/>
  <c r="P44" i="7944" s="1"/>
  <c r="Q44" i="7944" s="1"/>
  <c r="R44" i="7944" s="1"/>
  <c r="O35" i="7944"/>
  <c r="P35" i="7944" s="1"/>
  <c r="Q35" i="7944" s="1"/>
  <c r="R35" i="7944" s="1"/>
  <c r="O22" i="7944"/>
  <c r="P22" i="7944" s="1"/>
  <c r="Q22" i="7944" s="1"/>
  <c r="R22" i="7944" s="1"/>
  <c r="O49" i="7944"/>
  <c r="P49" i="7944" s="1"/>
  <c r="Q49" i="7944" s="1"/>
  <c r="R49" i="7944" s="1"/>
  <c r="O10" i="7944"/>
  <c r="P10" i="7944" s="1"/>
  <c r="Q10" i="7944" s="1"/>
  <c r="R10" i="7944" s="1"/>
  <c r="O53" i="7944"/>
  <c r="P53" i="7944" s="1"/>
  <c r="Q53" i="7944" s="1"/>
  <c r="R53" i="7944" s="1"/>
  <c r="L171" i="7942"/>
  <c r="O45" i="7944"/>
  <c r="P45" i="7944" s="1"/>
  <c r="Q45" i="7944" s="1"/>
  <c r="R45" i="7944" s="1"/>
  <c r="N1031" i="18"/>
  <c r="O16" i="7944"/>
  <c r="P16" i="7944" s="1"/>
  <c r="Q16" i="7944" s="1"/>
  <c r="R16" i="7944" s="1"/>
  <c r="W20" i="7949"/>
  <c r="O54" i="7944"/>
  <c r="P54" i="7944" s="1"/>
  <c r="Q54" i="7944" s="1"/>
  <c r="R54" i="7944" s="1"/>
  <c r="J60" i="7950"/>
  <c r="K19" i="7950"/>
  <c r="O38" i="7944"/>
  <c r="P38" i="7944" s="1"/>
  <c r="Q38" i="7944" s="1"/>
  <c r="R38" i="7944" s="1"/>
  <c r="O30" i="7944"/>
  <c r="P30" i="7944" s="1"/>
  <c r="Q30" i="7944" s="1"/>
  <c r="R30" i="7944" s="1"/>
  <c r="M717" i="18"/>
  <c r="M1084" i="18"/>
  <c r="O19" i="7944"/>
  <c r="P19" i="7944" s="1"/>
  <c r="Q19" i="7944" s="1"/>
  <c r="R19" i="7944" s="1"/>
  <c r="O29" i="7944"/>
  <c r="P29" i="7944" s="1"/>
  <c r="Q29" i="7944" s="1"/>
  <c r="R29" i="7944" s="1"/>
  <c r="O34" i="7944"/>
  <c r="P34" i="7944" s="1"/>
  <c r="Q34" i="7944" s="1"/>
  <c r="R34" i="7944" s="1"/>
  <c r="O47" i="7944"/>
  <c r="P47" i="7944" s="1"/>
  <c r="Q47" i="7944" s="1"/>
  <c r="R47" i="7944" s="1"/>
  <c r="O28" i="7944"/>
  <c r="P28" i="7944" s="1"/>
  <c r="Q28" i="7944" s="1"/>
  <c r="R28" i="7944" s="1"/>
  <c r="O1032" i="18"/>
  <c r="O63" i="18"/>
  <c r="P76" i="18"/>
  <c r="O20" i="7944"/>
  <c r="P20" i="7944" s="1"/>
  <c r="Q20" i="7944" s="1"/>
  <c r="R20" i="7944" s="1"/>
  <c r="O9" i="7944"/>
  <c r="P9" i="7944" s="1"/>
  <c r="Q9" i="7944" s="1"/>
  <c r="R9" i="7944" s="1"/>
  <c r="O40" i="7944"/>
  <c r="P40" i="7944" s="1"/>
  <c r="Q40" i="7944" s="1"/>
  <c r="R40" i="7944" s="1"/>
  <c r="O41" i="7944"/>
  <c r="P41" i="7944" s="1"/>
  <c r="Q41" i="7944" s="1"/>
  <c r="R41" i="7944" s="1"/>
  <c r="O13" i="7944"/>
  <c r="P13" i="7944" s="1"/>
  <c r="Q13" i="7944" s="1"/>
  <c r="R13" i="7944" s="1"/>
  <c r="O52" i="7944"/>
  <c r="P52" i="7944" s="1"/>
  <c r="Q52" i="7944" s="1"/>
  <c r="R52" i="7944" s="1"/>
  <c r="P8" i="7944"/>
  <c r="O15" i="7944"/>
  <c r="P15" i="7944" s="1"/>
  <c r="Q15" i="7944" s="1"/>
  <c r="R15" i="7944" s="1"/>
  <c r="L59" i="7941"/>
  <c r="M8" i="7941"/>
  <c r="L322" i="7941"/>
  <c r="K270" i="7942"/>
  <c r="M170" i="7942"/>
  <c r="M171" i="7942" s="1"/>
  <c r="L169" i="7942"/>
  <c r="O21" i="7944"/>
  <c r="P21" i="7944" s="1"/>
  <c r="Q21" i="7944" s="1"/>
  <c r="R21" i="7944" s="1"/>
  <c r="O23" i="7944"/>
  <c r="P23" i="7944" s="1"/>
  <c r="Q23" i="7944" s="1"/>
  <c r="R23" i="7944" s="1"/>
  <c r="O25" i="7944"/>
  <c r="P25" i="7944" s="1"/>
  <c r="Q25" i="7944" s="1"/>
  <c r="R25" i="7944" s="1"/>
  <c r="O26" i="7944"/>
  <c r="P26" i="7944" s="1"/>
  <c r="Q26" i="7944" s="1"/>
  <c r="R26" i="7944" s="1"/>
  <c r="N36" i="7946" l="1"/>
  <c r="O36" i="7946" s="1"/>
  <c r="N20" i="7946"/>
  <c r="O20" i="7946" s="1"/>
  <c r="N33" i="7946"/>
  <c r="O33" i="7946" s="1"/>
  <c r="N53" i="7946"/>
  <c r="O53" i="7946" s="1"/>
  <c r="N43" i="7946"/>
  <c r="O43" i="7946" s="1"/>
  <c r="N10" i="7946"/>
  <c r="O10" i="7946" s="1"/>
  <c r="N16" i="7946"/>
  <c r="O16" i="7946" s="1"/>
  <c r="N18" i="7946"/>
  <c r="O18" i="7946" s="1"/>
  <c r="N31" i="7946"/>
  <c r="O31" i="7946" s="1"/>
  <c r="N37" i="7946"/>
  <c r="O37" i="7946" s="1"/>
  <c r="N23" i="7946"/>
  <c r="O23" i="7946" s="1"/>
  <c r="N56" i="7946"/>
  <c r="O56" i="7946" s="1"/>
  <c r="N30" i="7946"/>
  <c r="O30" i="7946" s="1"/>
  <c r="N26" i="7946"/>
  <c r="O26" i="7946" s="1"/>
  <c r="N40" i="7946"/>
  <c r="O40" i="7946" s="1"/>
  <c r="N15" i="7946"/>
  <c r="O15" i="7946" s="1"/>
  <c r="N44" i="7946"/>
  <c r="O44" i="7946" s="1"/>
  <c r="N38" i="7946"/>
  <c r="O38" i="7946" s="1"/>
  <c r="N13" i="7946"/>
  <c r="O13" i="7946" s="1"/>
  <c r="N51" i="7946"/>
  <c r="O51" i="7946" s="1"/>
  <c r="N22" i="7946"/>
  <c r="O22" i="7946" s="1"/>
  <c r="N8" i="7946"/>
  <c r="O8" i="7946" s="1"/>
  <c r="N45" i="7946"/>
  <c r="O45" i="7946" s="1"/>
  <c r="N54" i="7946"/>
  <c r="O54" i="7946" s="1"/>
  <c r="N42" i="7946"/>
  <c r="O42" i="7946" s="1"/>
  <c r="N9" i="7946"/>
  <c r="O9" i="7946" s="1"/>
  <c r="N47" i="7946"/>
  <c r="O47" i="7946" s="1"/>
  <c r="N17" i="7946"/>
  <c r="O17" i="7946" s="1"/>
  <c r="N27" i="7946"/>
  <c r="O27" i="7946" s="1"/>
  <c r="N29" i="7946"/>
  <c r="O29" i="7946" s="1"/>
  <c r="N21" i="7946"/>
  <c r="O21" i="7946" s="1"/>
  <c r="N14" i="7946"/>
  <c r="O14" i="7946" s="1"/>
  <c r="N50" i="7946"/>
  <c r="O50" i="7946" s="1"/>
  <c r="N35" i="7946"/>
  <c r="O35" i="7946" s="1"/>
  <c r="N52" i="7946"/>
  <c r="O52" i="7946" s="1"/>
  <c r="N12" i="7946"/>
  <c r="O12" i="7946" s="1"/>
  <c r="N19" i="7946"/>
  <c r="O19" i="7946" s="1"/>
  <c r="N32" i="7946"/>
  <c r="O32" i="7946" s="1"/>
  <c r="N11" i="7946"/>
  <c r="O11" i="7946" s="1"/>
  <c r="N46" i="7946"/>
  <c r="O46" i="7946" s="1"/>
  <c r="N48" i="7946"/>
  <c r="O48" i="7946" s="1"/>
  <c r="N24" i="7946"/>
  <c r="O24" i="7946" s="1"/>
  <c r="N39" i="7946"/>
  <c r="O39" i="7946" s="1"/>
  <c r="N41" i="7946"/>
  <c r="O41" i="7946" s="1"/>
  <c r="N25" i="7946"/>
  <c r="O25" i="7946" s="1"/>
  <c r="N34" i="7946"/>
  <c r="O34" i="7946" s="1"/>
  <c r="N28" i="7946"/>
  <c r="O28" i="7946" s="1"/>
  <c r="N49" i="7946"/>
  <c r="O49" i="7946" s="1"/>
  <c r="N170" i="7942"/>
  <c r="N169" i="7942" s="1"/>
  <c r="M7" i="7941"/>
  <c r="L270" i="7942"/>
  <c r="P63" i="18"/>
  <c r="P1032" i="18"/>
  <c r="Q76" i="18"/>
  <c r="O1031" i="18"/>
  <c r="M1083" i="18"/>
  <c r="M822" i="18"/>
  <c r="K65" i="7949"/>
  <c r="L24" i="7949"/>
  <c r="K60" i="7950"/>
  <c r="L19" i="7950"/>
  <c r="O7" i="7944"/>
  <c r="Q8" i="7944"/>
  <c r="Q7" i="7944" s="1"/>
  <c r="P7" i="7944"/>
  <c r="M169" i="7942"/>
  <c r="L321" i="7941"/>
  <c r="N171" i="7942" l="1"/>
  <c r="N57" i="7946"/>
  <c r="R8" i="7944"/>
  <c r="R7" i="7944" s="1"/>
  <c r="O170" i="7942"/>
  <c r="L65" i="7949"/>
  <c r="M24" i="7949"/>
  <c r="M270" i="7942"/>
  <c r="N270" i="7942"/>
  <c r="L60" i="7950"/>
  <c r="M19" i="7950"/>
  <c r="Q63" i="18"/>
  <c r="Q1032" i="18"/>
  <c r="M112" i="7941"/>
  <c r="N8" i="7941" s="1"/>
  <c r="N7" i="7941" s="1"/>
  <c r="M821" i="18"/>
  <c r="N718" i="18"/>
  <c r="N1084" i="18" s="1"/>
  <c r="N822" i="18" s="1"/>
  <c r="P1031" i="18"/>
  <c r="K670" i="7941"/>
  <c r="K657" i="7941"/>
  <c r="K673" i="7941"/>
  <c r="K468" i="7941"/>
  <c r="K467" i="7941"/>
  <c r="K638" i="7941"/>
  <c r="K443" i="7941"/>
  <c r="K451" i="7941"/>
  <c r="K435" i="7941"/>
  <c r="K667" i="7941"/>
  <c r="K655" i="7941"/>
  <c r="K454" i="7941"/>
  <c r="K571" i="7941"/>
  <c r="K641" i="7941"/>
  <c r="K432" i="7941"/>
  <c r="K456" i="7941"/>
  <c r="K574" i="7941"/>
  <c r="K540" i="7941"/>
  <c r="K441" i="7941"/>
  <c r="K469" i="7941"/>
  <c r="K542" i="7941"/>
  <c r="K636" i="7941"/>
  <c r="K553" i="7941"/>
  <c r="K551" i="7941"/>
  <c r="K452" i="7941"/>
  <c r="K675" i="7941"/>
  <c r="K565" i="7941"/>
  <c r="K549" i="7941"/>
  <c r="K438" i="7941"/>
  <c r="K453" i="7941"/>
  <c r="K661" i="7941"/>
  <c r="K473" i="7941"/>
  <c r="K455" i="7941"/>
  <c r="K561" i="7941"/>
  <c r="K535" i="7941"/>
  <c r="K658" i="7941"/>
  <c r="K431" i="7941"/>
  <c r="K470" i="7941"/>
  <c r="K660" i="7941"/>
  <c r="K659" i="7941"/>
  <c r="K427" i="7941"/>
  <c r="K459" i="7941"/>
  <c r="K433" i="7941"/>
  <c r="K575" i="7941"/>
  <c r="K442" i="7941"/>
  <c r="K576" i="7941"/>
  <c r="K537" i="7941"/>
  <c r="K546" i="7941"/>
  <c r="K560" i="7941"/>
  <c r="K460" i="7941"/>
  <c r="K677" i="7941"/>
  <c r="K644" i="7941"/>
  <c r="K680" i="7941"/>
  <c r="K656" i="7941"/>
  <c r="K426" i="7941"/>
  <c r="K544" i="7941"/>
  <c r="K663" i="7941"/>
  <c r="K634" i="7941"/>
  <c r="K450" i="7941"/>
  <c r="K457" i="7941"/>
  <c r="K557" i="7941"/>
  <c r="K547" i="7941"/>
  <c r="K681" i="7941"/>
  <c r="K475" i="7941"/>
  <c r="K532" i="7941"/>
  <c r="K559" i="7941"/>
  <c r="K536" i="7941"/>
  <c r="K639" i="7941"/>
  <c r="K461" i="7941"/>
  <c r="K548" i="7941"/>
  <c r="K683" i="7941"/>
  <c r="K534" i="7941"/>
  <c r="K465" i="7941"/>
  <c r="K552" i="7941"/>
  <c r="K645" i="7941"/>
  <c r="K446" i="7941"/>
  <c r="K429" i="7941"/>
  <c r="K556" i="7941"/>
  <c r="K646" i="7941"/>
  <c r="K662" i="7941"/>
  <c r="K533" i="7941"/>
  <c r="K668" i="7941"/>
  <c r="K444" i="7941"/>
  <c r="K545" i="7941"/>
  <c r="K572" i="7941"/>
  <c r="K669" i="7941"/>
  <c r="K539" i="7941"/>
  <c r="K678" i="7941"/>
  <c r="K665" i="7941"/>
  <c r="K654" i="7941"/>
  <c r="K474" i="7941"/>
  <c r="K437" i="7941"/>
  <c r="K439" i="7941"/>
  <c r="K563" i="7941"/>
  <c r="K651" i="7941"/>
  <c r="K541" i="7941"/>
  <c r="K569" i="7941"/>
  <c r="K538" i="7941"/>
  <c r="K573" i="7941"/>
  <c r="K550" i="7941"/>
  <c r="K642" i="7941"/>
  <c r="K635" i="7941"/>
  <c r="K648" i="7941"/>
  <c r="K664" i="7941"/>
  <c r="K647" i="7941"/>
  <c r="K676" i="7941"/>
  <c r="K643" i="7941"/>
  <c r="K554" i="7941"/>
  <c r="K577" i="7941"/>
  <c r="K448" i="7941"/>
  <c r="K671" i="7941"/>
  <c r="K666" i="7941"/>
  <c r="K682" i="7941"/>
  <c r="K652" i="7941"/>
  <c r="K458" i="7941"/>
  <c r="K430" i="7941"/>
  <c r="K637" i="7941"/>
  <c r="K653" i="7941"/>
  <c r="K640" i="7941"/>
  <c r="K579" i="7941"/>
  <c r="K436" i="7941"/>
  <c r="K445" i="7941"/>
  <c r="K567" i="7941"/>
  <c r="K464" i="7941"/>
  <c r="K650" i="7941"/>
  <c r="K555" i="7941"/>
  <c r="K558" i="7941"/>
  <c r="K672" i="7941"/>
  <c r="K447" i="7941"/>
  <c r="K566" i="7941"/>
  <c r="K466" i="7941"/>
  <c r="K440" i="7941"/>
  <c r="K530" i="7941"/>
  <c r="K472" i="7941"/>
  <c r="K679" i="7941"/>
  <c r="K568" i="7941"/>
  <c r="K531" i="7941"/>
  <c r="K463" i="7941"/>
  <c r="K578" i="7941"/>
  <c r="K649" i="7941"/>
  <c r="K543" i="7941"/>
  <c r="K674" i="7941"/>
  <c r="K434" i="7941"/>
  <c r="K462" i="7941"/>
  <c r="K449" i="7941"/>
  <c r="K562" i="7941"/>
  <c r="K471" i="7941"/>
  <c r="K570" i="7941"/>
  <c r="K564" i="7941"/>
  <c r="K428" i="7941"/>
  <c r="K516" i="7941"/>
  <c r="K400" i="7941"/>
  <c r="K380" i="7941"/>
  <c r="K508" i="7941"/>
  <c r="K374" i="7941"/>
  <c r="K485" i="7941"/>
  <c r="K414" i="7941"/>
  <c r="K606" i="7941"/>
  <c r="K412" i="7941"/>
  <c r="K421" i="7941"/>
  <c r="K601" i="7941"/>
  <c r="K491" i="7941"/>
  <c r="K486" i="7941"/>
  <c r="K526" i="7941"/>
  <c r="K514" i="7941"/>
  <c r="K626" i="7941"/>
  <c r="K397" i="7941"/>
  <c r="K624" i="7941"/>
  <c r="K383" i="7941"/>
  <c r="K387" i="7941"/>
  <c r="K415" i="7941"/>
  <c r="K602" i="7941"/>
  <c r="K496" i="7941"/>
  <c r="K395" i="7941"/>
  <c r="K411" i="7941"/>
  <c r="K407" i="7941"/>
  <c r="K385" i="7941"/>
  <c r="K500" i="7941"/>
  <c r="K612" i="7941"/>
  <c r="K376" i="7941"/>
  <c r="K604" i="7941"/>
  <c r="K418" i="7941"/>
  <c r="K521" i="7941"/>
  <c r="K588" i="7941"/>
  <c r="K582" i="7941"/>
  <c r="K518" i="7941"/>
  <c r="K392" i="7941"/>
  <c r="K598" i="7941"/>
  <c r="K619" i="7941"/>
  <c r="K375" i="7941"/>
  <c r="K607" i="7941"/>
  <c r="K506" i="7941"/>
  <c r="K600" i="7941"/>
  <c r="K520" i="7941"/>
  <c r="K422" i="7941"/>
  <c r="K377" i="7941"/>
  <c r="K402" i="7941"/>
  <c r="K394" i="7941"/>
  <c r="K625" i="7941"/>
  <c r="K510" i="7941"/>
  <c r="K423" i="7941"/>
  <c r="K630" i="7941"/>
  <c r="K497" i="7941"/>
  <c r="K410" i="7941"/>
  <c r="K512" i="7941"/>
  <c r="K505" i="7941"/>
  <c r="K618" i="7941"/>
  <c r="K623" i="7941"/>
  <c r="K515" i="7941"/>
  <c r="K488" i="7941"/>
  <c r="K614" i="7941"/>
  <c r="K523" i="7941"/>
  <c r="K401" i="7941"/>
  <c r="K388" i="7941"/>
  <c r="K416" i="7941"/>
  <c r="K417" i="7941"/>
  <c r="K589" i="7941"/>
  <c r="K627" i="7941"/>
  <c r="K420" i="7941"/>
  <c r="K391" i="7941"/>
  <c r="K384" i="7941"/>
  <c r="K409" i="7941"/>
  <c r="K629" i="7941"/>
  <c r="K616" i="7941"/>
  <c r="K507" i="7941"/>
  <c r="K406" i="7941"/>
  <c r="K611" i="7941"/>
  <c r="K419" i="7941"/>
  <c r="K585" i="7941"/>
  <c r="K525" i="7941"/>
  <c r="K605" i="7941"/>
  <c r="K617" i="7941"/>
  <c r="K519" i="7941"/>
  <c r="K586" i="7941"/>
  <c r="K591" i="7941"/>
  <c r="K615" i="7941"/>
  <c r="K583" i="7941"/>
  <c r="K592" i="7941"/>
  <c r="K382" i="7941"/>
  <c r="K596" i="7941"/>
  <c r="K503" i="7941"/>
  <c r="K594" i="7941"/>
  <c r="K398" i="7941"/>
  <c r="K517" i="7941"/>
  <c r="K389" i="7941"/>
  <c r="K511" i="7941"/>
  <c r="K393" i="7941"/>
  <c r="K408" i="7941"/>
  <c r="K603" i="7941"/>
  <c r="K628" i="7941"/>
  <c r="K484" i="7941"/>
  <c r="K489" i="7941"/>
  <c r="K613" i="7941"/>
  <c r="K386" i="7941"/>
  <c r="K584" i="7941"/>
  <c r="K399" i="7941"/>
  <c r="K609" i="7941"/>
  <c r="K396" i="7941"/>
  <c r="K595" i="7941"/>
  <c r="K478" i="7941"/>
  <c r="K495" i="7941"/>
  <c r="K622" i="7941"/>
  <c r="K597" i="7941"/>
  <c r="K504" i="7941"/>
  <c r="K482" i="7941"/>
  <c r="K621" i="7941"/>
  <c r="K498" i="7941"/>
  <c r="K480" i="7941"/>
  <c r="K631" i="7941"/>
  <c r="K610" i="7941"/>
  <c r="K379" i="7941"/>
  <c r="K502" i="7941"/>
  <c r="K590" i="7941"/>
  <c r="K487" i="7941"/>
  <c r="K501" i="7941"/>
  <c r="K479" i="7941"/>
  <c r="K404" i="7941"/>
  <c r="K493" i="7941"/>
  <c r="K403" i="7941"/>
  <c r="K378" i="7941"/>
  <c r="K492" i="7941"/>
  <c r="K494" i="7941"/>
  <c r="K587" i="7941"/>
  <c r="K413" i="7941"/>
  <c r="K483" i="7941"/>
  <c r="K490" i="7941"/>
  <c r="K405" i="7941"/>
  <c r="K522" i="7941"/>
  <c r="K524" i="7941"/>
  <c r="K390" i="7941"/>
  <c r="K509" i="7941"/>
  <c r="K381" i="7941"/>
  <c r="K481" i="7941"/>
  <c r="K599" i="7941"/>
  <c r="K608" i="7941"/>
  <c r="K593" i="7941"/>
  <c r="K513" i="7941"/>
  <c r="K527" i="7941"/>
  <c r="K499" i="7941"/>
  <c r="K620" i="7941"/>
  <c r="O8" i="7941"/>
  <c r="N1083" i="18" l="1"/>
  <c r="O1084" i="18"/>
  <c r="P170" i="7942"/>
  <c r="P171" i="7942" s="1"/>
  <c r="O169" i="7942"/>
  <c r="O171" i="7942"/>
  <c r="K529" i="7941"/>
  <c r="M60" i="7950"/>
  <c r="N19" i="7950"/>
  <c r="N717" i="18"/>
  <c r="O718" i="18"/>
  <c r="O7" i="7941"/>
  <c r="P8" i="7941"/>
  <c r="M111" i="7941"/>
  <c r="M322" i="7941"/>
  <c r="K477" i="7941"/>
  <c r="K633" i="7941"/>
  <c r="M65" i="7949"/>
  <c r="N24" i="7949"/>
  <c r="O1083" i="18"/>
  <c r="P1084" i="18"/>
  <c r="O822" i="18"/>
  <c r="K373" i="7941"/>
  <c r="N112" i="7941"/>
  <c r="N111" i="7941" s="1"/>
  <c r="N821" i="18"/>
  <c r="K581" i="7941"/>
  <c r="K425" i="7941"/>
  <c r="Q1031" i="18"/>
  <c r="Q170" i="7942" l="1"/>
  <c r="Q169" i="7942" s="1"/>
  <c r="O270" i="7942"/>
  <c r="P169" i="7942"/>
  <c r="Q171" i="7942"/>
  <c r="Q426" i="7941" s="1"/>
  <c r="Q425" i="7941" s="1"/>
  <c r="P7" i="7941"/>
  <c r="Q8" i="7941"/>
  <c r="Q7" i="7941" s="1"/>
  <c r="O821" i="18"/>
  <c r="O112" i="7941"/>
  <c r="O111" i="7941" s="1"/>
  <c r="P1083" i="18"/>
  <c r="Q1084" i="18"/>
  <c r="P822" i="18"/>
  <c r="O717" i="18"/>
  <c r="P718" i="18"/>
  <c r="N60" i="7950"/>
  <c r="O7" i="7946" s="1"/>
  <c r="O19" i="7950"/>
  <c r="N65" i="7949"/>
  <c r="O24" i="7949"/>
  <c r="M321" i="7941"/>
  <c r="N322" i="7941"/>
  <c r="Q270" i="7942" l="1"/>
  <c r="P270" i="7942"/>
  <c r="L557" i="7941"/>
  <c r="L445" i="7941"/>
  <c r="L531" i="7941"/>
  <c r="L676" i="7941"/>
  <c r="L446" i="7941"/>
  <c r="L563" i="7941"/>
  <c r="L459" i="7941"/>
  <c r="L471" i="7941"/>
  <c r="L648" i="7941"/>
  <c r="L677" i="7941"/>
  <c r="L530" i="7941"/>
  <c r="L466" i="7941"/>
  <c r="L647" i="7941"/>
  <c r="L680" i="7941"/>
  <c r="L536" i="7941"/>
  <c r="L535" i="7941"/>
  <c r="L472" i="7941"/>
  <c r="L568" i="7941"/>
  <c r="L669" i="7941"/>
  <c r="L430" i="7941"/>
  <c r="L450" i="7941"/>
  <c r="L546" i="7941"/>
  <c r="L643" i="7941"/>
  <c r="L658" i="7941"/>
  <c r="L469" i="7941"/>
  <c r="L533" i="7941"/>
  <c r="L455" i="7941"/>
  <c r="L576" i="7941"/>
  <c r="L668" i="7941"/>
  <c r="L562" i="7941"/>
  <c r="L578" i="7941"/>
  <c r="L657" i="7941"/>
  <c r="L660" i="7941"/>
  <c r="L457" i="7941"/>
  <c r="L565" i="7941"/>
  <c r="L543" i="7941"/>
  <c r="L659" i="7941"/>
  <c r="L547" i="7941"/>
  <c r="L570" i="7941"/>
  <c r="L540" i="7941"/>
  <c r="L566" i="7941"/>
  <c r="L636" i="7941"/>
  <c r="L654" i="7941"/>
  <c r="L438" i="7941"/>
  <c r="L555" i="7941"/>
  <c r="L682" i="7941"/>
  <c r="L539" i="7941"/>
  <c r="L560" i="7941"/>
  <c r="L473" i="7941"/>
  <c r="L439" i="7941"/>
  <c r="L662" i="7941"/>
  <c r="L461" i="7941"/>
  <c r="L444" i="7941"/>
  <c r="L428" i="7941"/>
  <c r="L661" i="7941"/>
  <c r="L650" i="7941"/>
  <c r="L538" i="7941"/>
  <c r="L549" i="7941"/>
  <c r="L552" i="7941"/>
  <c r="L569" i="7941"/>
  <c r="L640" i="7941"/>
  <c r="L467" i="7941"/>
  <c r="L575" i="7941"/>
  <c r="L655" i="7941"/>
  <c r="L651" i="7941"/>
  <c r="L475" i="7941"/>
  <c r="L564" i="7941"/>
  <c r="L542" i="7941"/>
  <c r="L534" i="7941"/>
  <c r="L652" i="7941"/>
  <c r="L571" i="7941"/>
  <c r="L452" i="7941"/>
  <c r="L436" i="7941"/>
  <c r="L672" i="7941"/>
  <c r="L683" i="7941"/>
  <c r="L454" i="7941"/>
  <c r="L453" i="7941"/>
  <c r="L670" i="7941"/>
  <c r="L427" i="7941"/>
  <c r="L443" i="7941"/>
  <c r="L449" i="7941"/>
  <c r="L447" i="7941"/>
  <c r="L646" i="7941"/>
  <c r="L675" i="7941"/>
  <c r="L551" i="7941"/>
  <c r="L579" i="7941"/>
  <c r="L433" i="7941"/>
  <c r="L664" i="7941"/>
  <c r="L666" i="7941"/>
  <c r="L561" i="7941"/>
  <c r="L559" i="7941"/>
  <c r="L550" i="7941"/>
  <c r="L644" i="7941"/>
  <c r="L642" i="7941"/>
  <c r="L458" i="7941"/>
  <c r="L474" i="7941"/>
  <c r="L634" i="7941"/>
  <c r="L641" i="7941"/>
  <c r="L456" i="7941"/>
  <c r="L537" i="7941"/>
  <c r="L556" i="7941"/>
  <c r="L573" i="7941"/>
  <c r="L674" i="7941"/>
  <c r="L553" i="7941"/>
  <c r="L567" i="7941"/>
  <c r="L442" i="7941"/>
  <c r="L645" i="7941"/>
  <c r="L665" i="7941"/>
  <c r="L465" i="7941"/>
  <c r="L532" i="7941"/>
  <c r="L656" i="7941"/>
  <c r="L468" i="7941"/>
  <c r="L545" i="7941"/>
  <c r="L437" i="7941"/>
  <c r="L451" i="7941"/>
  <c r="L649" i="7941"/>
  <c r="L663" i="7941"/>
  <c r="L541" i="7941"/>
  <c r="L448" i="7941"/>
  <c r="L470" i="7941"/>
  <c r="L678" i="7941"/>
  <c r="L462" i="7941"/>
  <c r="L548" i="7941"/>
  <c r="L434" i="7941"/>
  <c r="L432" i="7941"/>
  <c r="L681" i="7941"/>
  <c r="L639" i="7941"/>
  <c r="L429" i="7941"/>
  <c r="L464" i="7941"/>
  <c r="L679" i="7941"/>
  <c r="L671" i="7941"/>
  <c r="L463" i="7941"/>
  <c r="L440" i="7941"/>
  <c r="L577" i="7941"/>
  <c r="L544" i="7941"/>
  <c r="L673" i="7941"/>
  <c r="L572" i="7941"/>
  <c r="L431" i="7941"/>
  <c r="L554" i="7941"/>
  <c r="L637" i="7941"/>
  <c r="L653" i="7941"/>
  <c r="L441" i="7941"/>
  <c r="L435" i="7941"/>
  <c r="L638" i="7941"/>
  <c r="L558" i="7941"/>
  <c r="L574" i="7941"/>
  <c r="L460" i="7941"/>
  <c r="L426" i="7941"/>
  <c r="L667" i="7941"/>
  <c r="L635" i="7941"/>
  <c r="L485" i="7941"/>
  <c r="L621" i="7941"/>
  <c r="L399" i="7941"/>
  <c r="L592" i="7941"/>
  <c r="L619" i="7941"/>
  <c r="L389" i="7941"/>
  <c r="L400" i="7941"/>
  <c r="L387" i="7941"/>
  <c r="L623" i="7941"/>
  <c r="L391" i="7941"/>
  <c r="L406" i="7941"/>
  <c r="L599" i="7941"/>
  <c r="L620" i="7941"/>
  <c r="L499" i="7941"/>
  <c r="L519" i="7941"/>
  <c r="L381" i="7941"/>
  <c r="L611" i="7941"/>
  <c r="L393" i="7941"/>
  <c r="L405" i="7941"/>
  <c r="L479" i="7941"/>
  <c r="L402" i="7941"/>
  <c r="L585" i="7941"/>
  <c r="L382" i="7941"/>
  <c r="L491" i="7941"/>
  <c r="L482" i="7941"/>
  <c r="L613" i="7941"/>
  <c r="L510" i="7941"/>
  <c r="L521" i="7941"/>
  <c r="L624" i="7941"/>
  <c r="L524" i="7941"/>
  <c r="L515" i="7941"/>
  <c r="L388" i="7941"/>
  <c r="L617" i="7941"/>
  <c r="L610" i="7941"/>
  <c r="L483" i="7941"/>
  <c r="L631" i="7941"/>
  <c r="L418" i="7941"/>
  <c r="L593" i="7941"/>
  <c r="L375" i="7941"/>
  <c r="L500" i="7941"/>
  <c r="L407" i="7941"/>
  <c r="L413" i="7941"/>
  <c r="L615" i="7941"/>
  <c r="L502" i="7941"/>
  <c r="L514" i="7941"/>
  <c r="L404" i="7941"/>
  <c r="L495" i="7941"/>
  <c r="L498" i="7941"/>
  <c r="L409" i="7941"/>
  <c r="L525" i="7941"/>
  <c r="L608" i="7941"/>
  <c r="L594" i="7941"/>
  <c r="L487" i="7941"/>
  <c r="L385" i="7941"/>
  <c r="L582" i="7941"/>
  <c r="L419" i="7941"/>
  <c r="L480" i="7941"/>
  <c r="L596" i="7941"/>
  <c r="L604" i="7941"/>
  <c r="L616" i="7941"/>
  <c r="L603" i="7941"/>
  <c r="L408" i="7941"/>
  <c r="L512" i="7941"/>
  <c r="L509" i="7941"/>
  <c r="L584" i="7941"/>
  <c r="L422" i="7941"/>
  <c r="L390" i="7941"/>
  <c r="L626" i="7941"/>
  <c r="L378" i="7941"/>
  <c r="L511" i="7941"/>
  <c r="L383" i="7941"/>
  <c r="L505" i="7941"/>
  <c r="L394" i="7941"/>
  <c r="L513" i="7941"/>
  <c r="L397" i="7941"/>
  <c r="L501" i="7941"/>
  <c r="L606" i="7941"/>
  <c r="L492" i="7941"/>
  <c r="L517" i="7941"/>
  <c r="L522" i="7941"/>
  <c r="L478" i="7941"/>
  <c r="L520" i="7941"/>
  <c r="L602" i="7941"/>
  <c r="L484" i="7941"/>
  <c r="L493" i="7941"/>
  <c r="L384" i="7941"/>
  <c r="L629" i="7941"/>
  <c r="L494" i="7941"/>
  <c r="L523" i="7941"/>
  <c r="L527" i="7941"/>
  <c r="L609" i="7941"/>
  <c r="L376" i="7941"/>
  <c r="L587" i="7941"/>
  <c r="L508" i="7941"/>
  <c r="L506" i="7941"/>
  <c r="L412" i="7941"/>
  <c r="L398" i="7941"/>
  <c r="L504" i="7941"/>
  <c r="L589" i="7941"/>
  <c r="L410" i="7941"/>
  <c r="L415" i="7941"/>
  <c r="L605" i="7941"/>
  <c r="L488" i="7941"/>
  <c r="L481" i="7941"/>
  <c r="L622" i="7941"/>
  <c r="L628" i="7941"/>
  <c r="L607" i="7941"/>
  <c r="L379" i="7941"/>
  <c r="L600" i="7941"/>
  <c r="L417" i="7941"/>
  <c r="L421" i="7941"/>
  <c r="L497" i="7941"/>
  <c r="L618" i="7941"/>
  <c r="L583" i="7941"/>
  <c r="L601" i="7941"/>
  <c r="L392" i="7941"/>
  <c r="L380" i="7941"/>
  <c r="L595" i="7941"/>
  <c r="L486" i="7941"/>
  <c r="L507" i="7941"/>
  <c r="L614" i="7941"/>
  <c r="L489" i="7941"/>
  <c r="L411" i="7941"/>
  <c r="L590" i="7941"/>
  <c r="L597" i="7941"/>
  <c r="L416" i="7941"/>
  <c r="L490" i="7941"/>
  <c r="L591" i="7941"/>
  <c r="L612" i="7941"/>
  <c r="L588" i="7941"/>
  <c r="L516" i="7941"/>
  <c r="L396" i="7941"/>
  <c r="L395" i="7941"/>
  <c r="L414" i="7941"/>
  <c r="L403" i="7941"/>
  <c r="L627" i="7941"/>
  <c r="L420" i="7941"/>
  <c r="L423" i="7941"/>
  <c r="L401" i="7941"/>
  <c r="L518" i="7941"/>
  <c r="L377" i="7941"/>
  <c r="L630" i="7941"/>
  <c r="L526" i="7941"/>
  <c r="L374" i="7941"/>
  <c r="L586" i="7941"/>
  <c r="L598" i="7941"/>
  <c r="L503" i="7941"/>
  <c r="L386" i="7941"/>
  <c r="L625" i="7941"/>
  <c r="L496" i="7941"/>
  <c r="P112" i="7941"/>
  <c r="P111" i="7941" s="1"/>
  <c r="P821" i="18"/>
  <c r="O65" i="7949"/>
  <c r="P24" i="7949"/>
  <c r="Q1083" i="18"/>
  <c r="Q822" i="18"/>
  <c r="N321" i="7941"/>
  <c r="M591" i="7941" s="1"/>
  <c r="O322" i="7941"/>
  <c r="P717" i="18"/>
  <c r="Q718" i="18"/>
  <c r="O60" i="7950"/>
  <c r="P19" i="7950"/>
  <c r="M481" i="7941" l="1"/>
  <c r="M420" i="7941"/>
  <c r="M499" i="7941"/>
  <c r="M411" i="7941"/>
  <c r="M421" i="7941"/>
  <c r="M588" i="7941"/>
  <c r="M508" i="7941"/>
  <c r="M374" i="7941"/>
  <c r="M405" i="7941"/>
  <c r="M381" i="7941"/>
  <c r="M586" i="7941"/>
  <c r="M397" i="7941"/>
  <c r="M585" i="7941"/>
  <c r="M495" i="7941"/>
  <c r="M376" i="7941"/>
  <c r="M521" i="7941"/>
  <c r="M613" i="7941"/>
  <c r="M505" i="7941"/>
  <c r="M621" i="7941"/>
  <c r="M422" i="7941"/>
  <c r="O321" i="7941"/>
  <c r="N409" i="7941" s="1"/>
  <c r="P322" i="7941"/>
  <c r="M377" i="7941"/>
  <c r="M399" i="7941"/>
  <c r="M596" i="7941"/>
  <c r="M380" i="7941"/>
  <c r="M524" i="7941"/>
  <c r="M392" i="7941"/>
  <c r="M620" i="7941"/>
  <c r="M415" i="7941"/>
  <c r="M622" i="7941"/>
  <c r="M600" i="7941"/>
  <c r="M506" i="7941"/>
  <c r="M627" i="7941"/>
  <c r="M404" i="7941"/>
  <c r="M598" i="7941"/>
  <c r="M603" i="7941"/>
  <c r="M488" i="7941"/>
  <c r="M631" i="7941"/>
  <c r="M391" i="7941"/>
  <c r="M575" i="7941"/>
  <c r="M449" i="7941"/>
  <c r="M577" i="7941"/>
  <c r="M532" i="7941"/>
  <c r="M456" i="7941"/>
  <c r="M448" i="7941"/>
  <c r="M438" i="7941"/>
  <c r="M564" i="7941"/>
  <c r="M472" i="7941"/>
  <c r="M431" i="7941"/>
  <c r="M451" i="7941"/>
  <c r="M571" i="7941"/>
  <c r="M441" i="7941"/>
  <c r="M453" i="7941"/>
  <c r="M443" i="7941"/>
  <c r="M530" i="7941"/>
  <c r="M578" i="7941"/>
  <c r="M549" i="7941"/>
  <c r="M434" i="7941"/>
  <c r="M562" i="7941"/>
  <c r="M565" i="7941"/>
  <c r="M465" i="7941"/>
  <c r="M444" i="7941"/>
  <c r="M556" i="7941"/>
  <c r="M445" i="7941"/>
  <c r="M545" i="7941"/>
  <c r="M533" i="7941"/>
  <c r="N485" i="7941"/>
  <c r="M538" i="7941"/>
  <c r="N623" i="7941"/>
  <c r="M470" i="7941"/>
  <c r="M567" i="7941"/>
  <c r="M450" i="7941"/>
  <c r="M466" i="7941"/>
  <c r="M572" i="7941"/>
  <c r="N526" i="7941"/>
  <c r="N392" i="7941"/>
  <c r="M570" i="7941"/>
  <c r="M455" i="7941"/>
  <c r="M463" i="7941"/>
  <c r="M541" i="7941"/>
  <c r="M542" i="7941"/>
  <c r="M536" i="7941"/>
  <c r="N626" i="7941"/>
  <c r="N584" i="7941"/>
  <c r="M475" i="7941"/>
  <c r="N381" i="7941"/>
  <c r="N585" i="7941"/>
  <c r="M561" i="7941"/>
  <c r="M563" i="7941"/>
  <c r="N516" i="7941"/>
  <c r="N396" i="7941"/>
  <c r="N377" i="7941"/>
  <c r="N622" i="7941"/>
  <c r="M468" i="7941"/>
  <c r="M427" i="7941"/>
  <c r="M436" i="7941"/>
  <c r="N479" i="7941"/>
  <c r="M576" i="7941"/>
  <c r="M566" i="7941"/>
  <c r="N496" i="7941"/>
  <c r="M553" i="7941"/>
  <c r="N383" i="7941"/>
  <c r="M454" i="7941"/>
  <c r="M550" i="7941"/>
  <c r="M459" i="7941"/>
  <c r="N625" i="7941"/>
  <c r="N380" i="7941"/>
  <c r="M458" i="7941"/>
  <c r="M435" i="7941"/>
  <c r="M432" i="7941"/>
  <c r="N378" i="7941"/>
  <c r="N610" i="7941"/>
  <c r="N394" i="7941"/>
  <c r="N607" i="7941"/>
  <c r="N484" i="7941"/>
  <c r="M548" i="7941"/>
  <c r="M537" i="7941"/>
  <c r="N514" i="7941"/>
  <c r="N386" i="7941"/>
  <c r="N524" i="7941"/>
  <c r="N501" i="7941"/>
  <c r="M569" i="7941"/>
  <c r="M428" i="7941"/>
  <c r="M547" i="7941"/>
  <c r="M430" i="7941"/>
  <c r="N591" i="7941"/>
  <c r="M461" i="7941"/>
  <c r="M467" i="7941"/>
  <c r="M555" i="7941"/>
  <c r="M473" i="7941"/>
  <c r="N402" i="7941"/>
  <c r="M540" i="7941"/>
  <c r="N497" i="7941"/>
  <c r="N611" i="7941"/>
  <c r="N498" i="7941"/>
  <c r="N617" i="7941"/>
  <c r="M559" i="7941"/>
  <c r="N418" i="7941"/>
  <c r="N481" i="7941"/>
  <c r="M440" i="7941"/>
  <c r="M574" i="7941"/>
  <c r="N400" i="7941"/>
  <c r="N480" i="7941"/>
  <c r="M551" i="7941"/>
  <c r="N393" i="7941"/>
  <c r="N504" i="7941"/>
  <c r="N384" i="7941"/>
  <c r="M452" i="7941"/>
  <c r="M446" i="7941"/>
  <c r="N482" i="7941"/>
  <c r="N486" i="7941"/>
  <c r="M531" i="7941"/>
  <c r="M579" i="7941"/>
  <c r="N506" i="7941"/>
  <c r="N520" i="7941"/>
  <c r="N510" i="7941"/>
  <c r="N421" i="7941"/>
  <c r="N387" i="7941"/>
  <c r="N404" i="7941"/>
  <c r="M552" i="7941"/>
  <c r="M557" i="7941"/>
  <c r="M462" i="7941"/>
  <c r="M439" i="7941"/>
  <c r="N420" i="7941"/>
  <c r="N521" i="7941"/>
  <c r="N522" i="7941"/>
  <c r="M554" i="7941"/>
  <c r="N391" i="7941"/>
  <c r="N503" i="7941"/>
  <c r="M558" i="7941"/>
  <c r="M426" i="7941"/>
  <c r="N382" i="7941"/>
  <c r="N405" i="7941"/>
  <c r="M474" i="7941"/>
  <c r="N416" i="7941"/>
  <c r="N413" i="7941"/>
  <c r="M442" i="7941"/>
  <c r="N518" i="7941"/>
  <c r="M469" i="7941"/>
  <c r="M534" i="7941"/>
  <c r="N624" i="7941"/>
  <c r="M464" i="7941"/>
  <c r="M573" i="7941"/>
  <c r="M437" i="7941"/>
  <c r="M471" i="7941"/>
  <c r="N620" i="7941"/>
  <c r="N375" i="7941"/>
  <c r="N615" i="7941"/>
  <c r="M546" i="7941"/>
  <c r="N411" i="7941"/>
  <c r="M460" i="7941"/>
  <c r="N618" i="7941"/>
  <c r="N608" i="7941"/>
  <c r="N491" i="7941"/>
  <c r="N415" i="7941"/>
  <c r="N600" i="7941"/>
  <c r="N483" i="7941"/>
  <c r="M544" i="7941"/>
  <c r="M433" i="7941"/>
  <c r="N594" i="7941"/>
  <c r="N401" i="7941"/>
  <c r="M429" i="7941"/>
  <c r="M543" i="7941"/>
  <c r="M447" i="7941"/>
  <c r="M560" i="7941"/>
  <c r="N589" i="7941"/>
  <c r="N590" i="7941"/>
  <c r="N511" i="7941"/>
  <c r="M568" i="7941"/>
  <c r="N490" i="7941"/>
  <c r="N419" i="7941"/>
  <c r="N408" i="7941"/>
  <c r="N390" i="7941"/>
  <c r="M539" i="7941"/>
  <c r="N489" i="7941"/>
  <c r="N515" i="7941"/>
  <c r="M457" i="7941"/>
  <c r="N502" i="7941"/>
  <c r="M535" i="7941"/>
  <c r="N478" i="7941"/>
  <c r="N527" i="7941"/>
  <c r="N631" i="7941"/>
  <c r="N399" i="7941"/>
  <c r="M492" i="7941"/>
  <c r="M493" i="7941"/>
  <c r="M403" i="7941"/>
  <c r="M379" i="7941"/>
  <c r="M590" i="7941"/>
  <c r="M623" i="7941"/>
  <c r="M625" i="7941"/>
  <c r="M395" i="7941"/>
  <c r="M525" i="7941"/>
  <c r="L633" i="7941"/>
  <c r="M407" i="7941"/>
  <c r="M522" i="7941"/>
  <c r="M382" i="7941"/>
  <c r="M383" i="7941"/>
  <c r="M606" i="7941"/>
  <c r="M523" i="7941"/>
  <c r="M418" i="7941"/>
  <c r="M400" i="7941"/>
  <c r="M483" i="7941"/>
  <c r="M486" i="7941"/>
  <c r="M416" i="7941"/>
  <c r="Q821" i="18"/>
  <c r="Q112" i="7941"/>
  <c r="Q111" i="7941" s="1"/>
  <c r="M387" i="7941"/>
  <c r="M592" i="7941"/>
  <c r="M607" i="7941"/>
  <c r="M518" i="7941"/>
  <c r="M419" i="7941"/>
  <c r="M609" i="7941"/>
  <c r="M480" i="7941"/>
  <c r="M487" i="7941"/>
  <c r="M503" i="7941"/>
  <c r="M608" i="7941"/>
  <c r="M517" i="7941"/>
  <c r="M398" i="7941"/>
  <c r="M614" i="7941"/>
  <c r="M610" i="7941"/>
  <c r="M478" i="7941"/>
  <c r="M602" i="7941"/>
  <c r="M599" i="7941"/>
  <c r="P60" i="7950"/>
  <c r="Q19" i="7950"/>
  <c r="Q717" i="18"/>
  <c r="R718" i="18"/>
  <c r="R717" i="18" s="1"/>
  <c r="P65" i="7949"/>
  <c r="Q24" i="7949"/>
  <c r="L477" i="7941"/>
  <c r="M582" i="7941"/>
  <c r="M485" i="7941"/>
  <c r="M511" i="7941"/>
  <c r="M597" i="7941"/>
  <c r="M527" i="7941"/>
  <c r="M500" i="7941"/>
  <c r="M605" i="7941"/>
  <c r="M519" i="7941"/>
  <c r="M619" i="7941"/>
  <c r="M482" i="7941"/>
  <c r="M406" i="7941"/>
  <c r="M479" i="7941"/>
  <c r="M375" i="7941"/>
  <c r="M496" i="7941"/>
  <c r="M587" i="7941"/>
  <c r="M624" i="7941"/>
  <c r="M515" i="7941"/>
  <c r="M516" i="7941"/>
  <c r="L373" i="7941"/>
  <c r="M490" i="7941"/>
  <c r="M396" i="7941"/>
  <c r="M394" i="7941"/>
  <c r="M484" i="7941"/>
  <c r="L425" i="7941"/>
  <c r="M630" i="7941"/>
  <c r="M386" i="7941"/>
  <c r="M601" i="7941"/>
  <c r="M514" i="7941"/>
  <c r="M513" i="7941"/>
  <c r="M413" i="7941"/>
  <c r="M673" i="7941" s="1"/>
  <c r="M507" i="7941"/>
  <c r="M595" i="7941"/>
  <c r="M611" i="7941"/>
  <c r="M408" i="7941"/>
  <c r="M589" i="7941"/>
  <c r="M423" i="7941"/>
  <c r="M502" i="7941"/>
  <c r="M378" i="7941"/>
  <c r="L529" i="7941"/>
  <c r="L581" i="7941"/>
  <c r="M618" i="7941"/>
  <c r="M617" i="7941"/>
  <c r="M402" i="7941"/>
  <c r="M501" i="7941"/>
  <c r="M414" i="7941"/>
  <c r="M409" i="7941"/>
  <c r="M615" i="7941"/>
  <c r="M594" i="7941"/>
  <c r="M412" i="7941"/>
  <c r="M494" i="7941"/>
  <c r="M388" i="7941"/>
  <c r="M612" i="7941"/>
  <c r="M509" i="7941"/>
  <c r="M385" i="7941"/>
  <c r="M628" i="7941"/>
  <c r="M680" i="7941" s="1"/>
  <c r="M526" i="7941"/>
  <c r="M583" i="7941"/>
  <c r="M629" i="7941"/>
  <c r="M510" i="7941"/>
  <c r="M491" i="7941"/>
  <c r="M417" i="7941"/>
  <c r="M393" i="7941"/>
  <c r="M604" i="7941"/>
  <c r="M497" i="7941"/>
  <c r="M593" i="7941"/>
  <c r="M384" i="7941"/>
  <c r="M512" i="7941"/>
  <c r="M489" i="7941"/>
  <c r="M504" i="7941"/>
  <c r="M584" i="7941"/>
  <c r="M401" i="7941"/>
  <c r="M661" i="7941" s="1"/>
  <c r="M390" i="7941"/>
  <c r="M520" i="7941"/>
  <c r="M616" i="7941"/>
  <c r="M389" i="7941"/>
  <c r="M410" i="7941"/>
  <c r="M498" i="7941"/>
  <c r="M626" i="7941"/>
  <c r="N630" i="7941" l="1"/>
  <c r="N525" i="7941"/>
  <c r="N410" i="7941"/>
  <c r="N379" i="7941"/>
  <c r="N597" i="7941"/>
  <c r="N587" i="7941"/>
  <c r="N398" i="7941"/>
  <c r="N612" i="7941"/>
  <c r="N495" i="7941"/>
  <c r="N605" i="7941"/>
  <c r="N397" i="7941"/>
  <c r="N505" i="7941"/>
  <c r="N596" i="7941"/>
  <c r="N487" i="7941"/>
  <c r="N423" i="7941"/>
  <c r="N586" i="7941"/>
  <c r="N376" i="7941"/>
  <c r="N616" i="7941"/>
  <c r="N606" i="7941"/>
  <c r="N388" i="7941"/>
  <c r="N488" i="7941"/>
  <c r="N598" i="7941"/>
  <c r="N493" i="7941"/>
  <c r="N499" i="7941"/>
  <c r="N609" i="7941"/>
  <c r="N517" i="7941"/>
  <c r="N513" i="7941"/>
  <c r="N629" i="7941"/>
  <c r="N627" i="7941"/>
  <c r="N523" i="7941"/>
  <c r="N604" i="7941"/>
  <c r="N512" i="7941"/>
  <c r="N422" i="7941"/>
  <c r="N614" i="7941"/>
  <c r="N509" i="7941"/>
  <c r="N492" i="7941"/>
  <c r="N519" i="7941"/>
  <c r="N406" i="7941"/>
  <c r="N592" i="7941"/>
  <c r="N417" i="7941"/>
  <c r="N601" i="7941"/>
  <c r="N507" i="7941"/>
  <c r="N603" i="7941"/>
  <c r="N602" i="7941"/>
  <c r="N621" i="7941"/>
  <c r="N374" i="7941"/>
  <c r="N407" i="7941"/>
  <c r="N613" i="7941"/>
  <c r="N595" i="7941"/>
  <c r="N389" i="7941"/>
  <c r="N593" i="7941"/>
  <c r="N403" i="7941"/>
  <c r="N628" i="7941"/>
  <c r="N385" i="7941"/>
  <c r="N588" i="7941"/>
  <c r="N619" i="7941"/>
  <c r="N414" i="7941"/>
  <c r="N583" i="7941"/>
  <c r="N412" i="7941"/>
  <c r="N494" i="7941"/>
  <c r="N599" i="7941"/>
  <c r="N500" i="7941"/>
  <c r="N395" i="7941"/>
  <c r="N508" i="7941"/>
  <c r="N582" i="7941"/>
  <c r="M637" i="7941"/>
  <c r="M649" i="7941"/>
  <c r="M648" i="7941"/>
  <c r="M662" i="7941"/>
  <c r="M640" i="7941"/>
  <c r="M671" i="7941"/>
  <c r="M644" i="7941"/>
  <c r="M642" i="7941"/>
  <c r="M646" i="7941"/>
  <c r="M645" i="7941"/>
  <c r="M676" i="7941"/>
  <c r="M668" i="7941"/>
  <c r="M635" i="7941"/>
  <c r="M677" i="7941"/>
  <c r="M674" i="7941"/>
  <c r="M670" i="7941"/>
  <c r="M664" i="7941"/>
  <c r="M651" i="7941"/>
  <c r="M652" i="7941"/>
  <c r="M639" i="7941"/>
  <c r="M657" i="7941"/>
  <c r="M666" i="7941"/>
  <c r="M679" i="7941"/>
  <c r="M667" i="7941"/>
  <c r="M663" i="7941"/>
  <c r="M658" i="7941"/>
  <c r="M660" i="7941"/>
  <c r="M678" i="7941"/>
  <c r="M681" i="7941"/>
  <c r="M654" i="7941"/>
  <c r="M656" i="7941"/>
  <c r="M675" i="7941"/>
  <c r="M650" i="7941"/>
  <c r="M683" i="7941"/>
  <c r="M659" i="7941"/>
  <c r="M682" i="7941"/>
  <c r="M655" i="7941"/>
  <c r="M636" i="7941"/>
  <c r="M653" i="7941"/>
  <c r="M581" i="7941"/>
  <c r="M373" i="7941"/>
  <c r="M647" i="7941"/>
  <c r="Q60" i="7950"/>
  <c r="R19" i="7950"/>
  <c r="M669" i="7941"/>
  <c r="M665" i="7941"/>
  <c r="M672" i="7941"/>
  <c r="M638" i="7941"/>
  <c r="M634" i="7941"/>
  <c r="M529" i="7941"/>
  <c r="Q65" i="7949"/>
  <c r="R24" i="7949"/>
  <c r="M641" i="7941"/>
  <c r="M477" i="7941"/>
  <c r="M643" i="7941"/>
  <c r="M425" i="7941"/>
  <c r="P321" i="7941"/>
  <c r="Q322" i="7941"/>
  <c r="O395" i="7941"/>
  <c r="O513" i="7941"/>
  <c r="N456" i="7941"/>
  <c r="O406" i="7941"/>
  <c r="O618" i="7941"/>
  <c r="N459" i="7941"/>
  <c r="O510" i="7941"/>
  <c r="O602" i="7941"/>
  <c r="N577" i="7941"/>
  <c r="O401" i="7941"/>
  <c r="O508" i="7941"/>
  <c r="N466" i="7941"/>
  <c r="N450" i="7941"/>
  <c r="N544" i="7941"/>
  <c r="O614" i="7941"/>
  <c r="N442" i="7941"/>
  <c r="N579" i="7941"/>
  <c r="O517" i="7941"/>
  <c r="O582" i="7941"/>
  <c r="O590" i="7941"/>
  <c r="O396" i="7941"/>
  <c r="O516" i="7941"/>
  <c r="O480" i="7941"/>
  <c r="O493" i="7941"/>
  <c r="N558" i="7941"/>
  <c r="O620" i="7941"/>
  <c r="O624" i="7941"/>
  <c r="O617" i="7941"/>
  <c r="O587" i="7941"/>
  <c r="O419" i="7941"/>
  <c r="O500" i="7941"/>
  <c r="O496" i="7941"/>
  <c r="N475" i="7941"/>
  <c r="O511" i="7941"/>
  <c r="O376" i="7941"/>
  <c r="O521" i="7941"/>
  <c r="O605" i="7941"/>
  <c r="O380" i="7941"/>
  <c r="O594" i="7941"/>
  <c r="N535" i="7941"/>
  <c r="O478" i="7941"/>
  <c r="O481" i="7941"/>
  <c r="N534" i="7941"/>
  <c r="N465" i="7941"/>
  <c r="N566" i="7941"/>
  <c r="O404" i="7941"/>
  <c r="O498" i="7941"/>
  <c r="N435" i="7941"/>
  <c r="O408" i="7941"/>
  <c r="N578" i="7941"/>
  <c r="N557" i="7941"/>
  <c r="O411" i="7941"/>
  <c r="O505" i="7941"/>
  <c r="O410" i="7941"/>
  <c r="O503" i="7941"/>
  <c r="N445" i="7941"/>
  <c r="N443" i="7941"/>
  <c r="O391" i="7941"/>
  <c r="O611" i="7941"/>
  <c r="O418" i="7941"/>
  <c r="O623" i="7941"/>
  <c r="O515" i="7941"/>
  <c r="O403" i="7941"/>
  <c r="O584" i="7941"/>
  <c r="N439" i="7941"/>
  <c r="N429" i="7941"/>
  <c r="O381" i="7941"/>
  <c r="O518" i="7941"/>
  <c r="N553" i="7941"/>
  <c r="N468" i="7941"/>
  <c r="O527" i="7941"/>
  <c r="O377" i="7941"/>
  <c r="O397" i="7941"/>
  <c r="N552" i="7941"/>
  <c r="N426" i="7941"/>
  <c r="N441" i="7941"/>
  <c r="N575" i="7941"/>
  <c r="N556" i="7941"/>
  <c r="O593" i="7941"/>
  <c r="O507" i="7941"/>
  <c r="O588" i="7941"/>
  <c r="O386" i="7941"/>
  <c r="N550" i="7941"/>
  <c r="O390" i="7941"/>
  <c r="N433" i="7941"/>
  <c r="O630" i="7941"/>
  <c r="N457" i="7941"/>
  <c r="O512" i="7941"/>
  <c r="N436" i="7941"/>
  <c r="O625" i="7941"/>
  <c r="N467" i="7941"/>
  <c r="O409" i="7941"/>
  <c r="N551" i="7941"/>
  <c r="O489" i="7941"/>
  <c r="N446" i="7941"/>
  <c r="N455" i="7941"/>
  <c r="N532" i="7941"/>
  <c r="O591" i="7941"/>
  <c r="O597" i="7941"/>
  <c r="N474" i="7941"/>
  <c r="O610" i="7941"/>
  <c r="O393" i="7941"/>
  <c r="N560" i="7941"/>
  <c r="O626" i="7941"/>
  <c r="N449" i="7941"/>
  <c r="O415" i="7941"/>
  <c r="N463" i="7941"/>
  <c r="O628" i="7941"/>
  <c r="N440" i="7941"/>
  <c r="N464" i="7941"/>
  <c r="O378" i="7941"/>
  <c r="O417" i="7941"/>
  <c r="O483" i="7941"/>
  <c r="O522" i="7941"/>
  <c r="O388" i="7941"/>
  <c r="N569" i="7941"/>
  <c r="N530" i="7941"/>
  <c r="O619" i="7941"/>
  <c r="N539" i="7941"/>
  <c r="O413" i="7941"/>
  <c r="N542" i="7941"/>
  <c r="O488" i="7941"/>
  <c r="O422" i="7941"/>
  <c r="N573" i="7941"/>
  <c r="O414" i="7941"/>
  <c r="O394" i="7941"/>
  <c r="O592" i="7941"/>
  <c r="N444" i="7941"/>
  <c r="O487" i="7941"/>
  <c r="N570" i="7941"/>
  <c r="N572" i="7941"/>
  <c r="O495" i="7941"/>
  <c r="O606" i="7941"/>
  <c r="O595" i="7941"/>
  <c r="O609" i="7941"/>
  <c r="O612" i="7941"/>
  <c r="N562" i="7941"/>
  <c r="N454" i="7941"/>
  <c r="N541" i="7941"/>
  <c r="O423" i="7941"/>
  <c r="N563" i="7941"/>
  <c r="N571" i="7941"/>
  <c r="N453" i="7941"/>
  <c r="O399" i="7941"/>
  <c r="N472" i="7941"/>
  <c r="O482" i="7941"/>
  <c r="N543" i="7941"/>
  <c r="N576" i="7941"/>
  <c r="O382" i="7941"/>
  <c r="N555" i="7941"/>
  <c r="O519" i="7941"/>
  <c r="O490" i="7941"/>
  <c r="O389" i="7941"/>
  <c r="N470" i="7941"/>
  <c r="N469" i="7941"/>
  <c r="O586" i="7941"/>
  <c r="O485" i="7941"/>
  <c r="O497" i="7941"/>
  <c r="O599" i="7941"/>
  <c r="O400" i="7941"/>
  <c r="O598" i="7941"/>
  <c r="N568" i="7941"/>
  <c r="O524" i="7941"/>
  <c r="O525" i="7941"/>
  <c r="O601" i="7941"/>
  <c r="N561" i="7941"/>
  <c r="O627" i="7941"/>
  <c r="O484" i="7941"/>
  <c r="O603" i="7941"/>
  <c r="N432" i="7941"/>
  <c r="O494" i="7941"/>
  <c r="O514" i="7941"/>
  <c r="O622" i="7941"/>
  <c r="N438" i="7941"/>
  <c r="O420" i="7941"/>
  <c r="O504" i="7941"/>
  <c r="O616" i="7941"/>
  <c r="O416" i="7941"/>
  <c r="O387" i="7941"/>
  <c r="O607" i="7941"/>
  <c r="N547" i="7941"/>
  <c r="O629" i="7941"/>
  <c r="N574" i="7941"/>
  <c r="O402" i="7941"/>
  <c r="N434" i="7941"/>
  <c r="O604" i="7941"/>
  <c r="O379" i="7941"/>
  <c r="N540" i="7941"/>
  <c r="N461" i="7941"/>
  <c r="O412" i="7941"/>
  <c r="O615" i="7941"/>
  <c r="O585" i="7941"/>
  <c r="O499" i="7941"/>
  <c r="N431" i="7941"/>
  <c r="N437" i="7941"/>
  <c r="O509" i="7941"/>
  <c r="N460" i="7941"/>
  <c r="O608" i="7941"/>
  <c r="O526" i="7941"/>
  <c r="N430" i="7941"/>
  <c r="N451" i="7941"/>
  <c r="N554" i="7941"/>
  <c r="O523" i="7941"/>
  <c r="N452" i="7941"/>
  <c r="O375" i="7941"/>
  <c r="O421" i="7941"/>
  <c r="O491" i="7941"/>
  <c r="O392" i="7941"/>
  <c r="N533" i="7941"/>
  <c r="N546" i="7941"/>
  <c r="N537" i="7941"/>
  <c r="O405" i="7941"/>
  <c r="O589" i="7941"/>
  <c r="N549" i="7941"/>
  <c r="N559" i="7941"/>
  <c r="O631" i="7941"/>
  <c r="O502" i="7941"/>
  <c r="N567" i="7941"/>
  <c r="O486" i="7941"/>
  <c r="N545" i="7941"/>
  <c r="N649" i="7941" s="1"/>
  <c r="N427" i="7941"/>
  <c r="O596" i="7941"/>
  <c r="O398" i="7941"/>
  <c r="O501" i="7941"/>
  <c r="N473" i="7941"/>
  <c r="N681" i="7941" s="1"/>
  <c r="O374" i="7941"/>
  <c r="N538" i="7941"/>
  <c r="N428" i="7941"/>
  <c r="N531" i="7941"/>
  <c r="N448" i="7941"/>
  <c r="O613" i="7941"/>
  <c r="O385" i="7941"/>
  <c r="O520" i="7941"/>
  <c r="N564" i="7941"/>
  <c r="O600" i="7941"/>
  <c r="O407" i="7941"/>
  <c r="O384" i="7941"/>
  <c r="N471" i="7941"/>
  <c r="O479" i="7941"/>
  <c r="N458" i="7941"/>
  <c r="O583" i="7941"/>
  <c r="O621" i="7941"/>
  <c r="N548" i="7941"/>
  <c r="O492" i="7941"/>
  <c r="N565" i="7941"/>
  <c r="N536" i="7941"/>
  <c r="N447" i="7941"/>
  <c r="O506" i="7941"/>
  <c r="O383" i="7941"/>
  <c r="N462" i="7941"/>
  <c r="N662" i="7941" l="1"/>
  <c r="N373" i="7941"/>
  <c r="N581" i="7941"/>
  <c r="N645" i="7941"/>
  <c r="N477" i="7941"/>
  <c r="J18" i="7946"/>
  <c r="L18" i="7946" s="1"/>
  <c r="J22" i="7946"/>
  <c r="L22" i="7946" s="1"/>
  <c r="J54" i="7946"/>
  <c r="L54" i="7946" s="1"/>
  <c r="J35" i="7946"/>
  <c r="L35" i="7946" s="1"/>
  <c r="N637" i="7941"/>
  <c r="J10" i="7946" s="1"/>
  <c r="L10" i="7946" s="1"/>
  <c r="N672" i="7941"/>
  <c r="J45" i="7946" s="1"/>
  <c r="L45" i="7946" s="1"/>
  <c r="N664" i="7941"/>
  <c r="J37" i="7946" s="1"/>
  <c r="L37" i="7946" s="1"/>
  <c r="N661" i="7941"/>
  <c r="J34" i="7946" s="1"/>
  <c r="L34" i="7946" s="1"/>
  <c r="N640" i="7941"/>
  <c r="J13" i="7946" s="1"/>
  <c r="L13" i="7946" s="1"/>
  <c r="N683" i="7941"/>
  <c r="J56" i="7946" s="1"/>
  <c r="L56" i="7946" s="1"/>
  <c r="N675" i="7941"/>
  <c r="J48" i="7946" s="1"/>
  <c r="L48" i="7946" s="1"/>
  <c r="N666" i="7941"/>
  <c r="J39" i="7946" s="1"/>
  <c r="L39" i="7946" s="1"/>
  <c r="N653" i="7941"/>
  <c r="J26" i="7946" s="1"/>
  <c r="L26" i="7946" s="1"/>
  <c r="N643" i="7941"/>
  <c r="J16" i="7946" s="1"/>
  <c r="L16" i="7946" s="1"/>
  <c r="N667" i="7941"/>
  <c r="J40" i="7946" s="1"/>
  <c r="L40" i="7946" s="1"/>
  <c r="N660" i="7941"/>
  <c r="J33" i="7946" s="1"/>
  <c r="L33" i="7946" s="1"/>
  <c r="N680" i="7941"/>
  <c r="J53" i="7946" s="1"/>
  <c r="L53" i="7946" s="1"/>
  <c r="N682" i="7941"/>
  <c r="J55" i="7946" s="1"/>
  <c r="L55" i="7946" s="1"/>
  <c r="N665" i="7941"/>
  <c r="J38" i="7946" s="1"/>
  <c r="L38" i="7946" s="1"/>
  <c r="N668" i="7941"/>
  <c r="J41" i="7946" s="1"/>
  <c r="L41" i="7946" s="1"/>
  <c r="N641" i="7941"/>
  <c r="J14" i="7946" s="1"/>
  <c r="L14" i="7946" s="1"/>
  <c r="N679" i="7941"/>
  <c r="J52" i="7946" s="1"/>
  <c r="L52" i="7946" s="1"/>
  <c r="N658" i="7941"/>
  <c r="J31" i="7946" s="1"/>
  <c r="L31" i="7946" s="1"/>
  <c r="N650" i="7941"/>
  <c r="J23" i="7946" s="1"/>
  <c r="L23" i="7946" s="1"/>
  <c r="N639" i="7941"/>
  <c r="J12" i="7946" s="1"/>
  <c r="L12" i="7946" s="1"/>
  <c r="N678" i="7941"/>
  <c r="J51" i="7946" s="1"/>
  <c r="L51" i="7946" s="1"/>
  <c r="N659" i="7941"/>
  <c r="J32" i="7946" s="1"/>
  <c r="L32" i="7946" s="1"/>
  <c r="N646" i="7941"/>
  <c r="J19" i="7946" s="1"/>
  <c r="L19" i="7946" s="1"/>
  <c r="N669" i="7941"/>
  <c r="J42" i="7946" s="1"/>
  <c r="L42" i="7946" s="1"/>
  <c r="N644" i="7941"/>
  <c r="J17" i="7946" s="1"/>
  <c r="L17" i="7946" s="1"/>
  <c r="N677" i="7941"/>
  <c r="J50" i="7946" s="1"/>
  <c r="L50" i="7946" s="1"/>
  <c r="N671" i="7941"/>
  <c r="J44" i="7946" s="1"/>
  <c r="L44" i="7946" s="1"/>
  <c r="N673" i="7941"/>
  <c r="J46" i="7946" s="1"/>
  <c r="L46" i="7946" s="1"/>
  <c r="N670" i="7941"/>
  <c r="J43" i="7946" s="1"/>
  <c r="L43" i="7946" s="1"/>
  <c r="N657" i="7941"/>
  <c r="J30" i="7946" s="1"/>
  <c r="L30" i="7946" s="1"/>
  <c r="N647" i="7941"/>
  <c r="J20" i="7946" s="1"/>
  <c r="L20" i="7946" s="1"/>
  <c r="N651" i="7941"/>
  <c r="J24" i="7946" s="1"/>
  <c r="L24" i="7946" s="1"/>
  <c r="N674" i="7941"/>
  <c r="J47" i="7946" s="1"/>
  <c r="L47" i="7946" s="1"/>
  <c r="N663" i="7941"/>
  <c r="J36" i="7946" s="1"/>
  <c r="L36" i="7946" s="1"/>
  <c r="N655" i="7941"/>
  <c r="J28" i="7946" s="1"/>
  <c r="L28" i="7946" s="1"/>
  <c r="N638" i="7941"/>
  <c r="J11" i="7946" s="1"/>
  <c r="L11" i="7946" s="1"/>
  <c r="N656" i="7941"/>
  <c r="J29" i="7946" s="1"/>
  <c r="L29" i="7946" s="1"/>
  <c r="N654" i="7941"/>
  <c r="J27" i="7946" s="1"/>
  <c r="L27" i="7946" s="1"/>
  <c r="N642" i="7941"/>
  <c r="J15" i="7946" s="1"/>
  <c r="L15" i="7946" s="1"/>
  <c r="N652" i="7941"/>
  <c r="J25" i="7946" s="1"/>
  <c r="L25" i="7946" s="1"/>
  <c r="N635" i="7941"/>
  <c r="J8" i="7946" s="1"/>
  <c r="L8" i="7946" s="1"/>
  <c r="N676" i="7941"/>
  <c r="J49" i="7946" s="1"/>
  <c r="L49" i="7946" s="1"/>
  <c r="O477" i="7941"/>
  <c r="Q321" i="7941"/>
  <c r="R60" i="7950"/>
  <c r="S19" i="7950"/>
  <c r="N648" i="7941"/>
  <c r="J21" i="7946" s="1"/>
  <c r="L21" i="7946" s="1"/>
  <c r="O373" i="7941"/>
  <c r="N634" i="7941"/>
  <c r="J7" i="7946" s="1"/>
  <c r="N425" i="7941"/>
  <c r="O581" i="7941"/>
  <c r="M633" i="7941"/>
  <c r="O547" i="7941"/>
  <c r="O458" i="7941"/>
  <c r="P399" i="7941"/>
  <c r="P524" i="7941"/>
  <c r="O571" i="7941"/>
  <c r="O456" i="7941"/>
  <c r="O471" i="7941"/>
  <c r="P600" i="7941"/>
  <c r="P494" i="7941"/>
  <c r="P375" i="7941"/>
  <c r="P511" i="7941"/>
  <c r="O542" i="7941"/>
  <c r="O531" i="7941"/>
  <c r="O449" i="7941"/>
  <c r="P417" i="7941"/>
  <c r="O561" i="7941"/>
  <c r="P403" i="7941"/>
  <c r="O452" i="7941"/>
  <c r="O548" i="7941"/>
  <c r="P486" i="7941"/>
  <c r="O573" i="7941"/>
  <c r="O533" i="7941"/>
  <c r="O463" i="7941"/>
  <c r="P391" i="7941"/>
  <c r="O436" i="7941"/>
  <c r="P506" i="7941"/>
  <c r="O465" i="7941"/>
  <c r="O450" i="7941"/>
  <c r="O534" i="7941"/>
  <c r="P406" i="7941"/>
  <c r="O577" i="7941"/>
  <c r="P498" i="7941"/>
  <c r="P482" i="7941"/>
  <c r="O566" i="7941"/>
  <c r="P592" i="7941"/>
  <c r="P521" i="7941"/>
  <c r="P501" i="7941"/>
  <c r="P495" i="7941"/>
  <c r="P397" i="7941"/>
  <c r="P401" i="7941"/>
  <c r="O575" i="7941"/>
  <c r="P402" i="7941"/>
  <c r="P493" i="7941"/>
  <c r="P514" i="7941"/>
  <c r="O445" i="7941"/>
  <c r="P596" i="7941"/>
  <c r="P395" i="7941"/>
  <c r="P414" i="7941"/>
  <c r="P485" i="7941"/>
  <c r="P525" i="7941"/>
  <c r="P512" i="7941"/>
  <c r="O537" i="7941"/>
  <c r="P614" i="7941"/>
  <c r="O440" i="7941"/>
  <c r="P517" i="7941"/>
  <c r="O433" i="7941"/>
  <c r="O464" i="7941"/>
  <c r="P599" i="7941"/>
  <c r="P620" i="7941"/>
  <c r="P617" i="7941"/>
  <c r="O545" i="7941"/>
  <c r="P398" i="7941"/>
  <c r="P390" i="7941"/>
  <c r="O532" i="7941"/>
  <c r="O446" i="7941"/>
  <c r="P582" i="7941"/>
  <c r="P604" i="7941"/>
  <c r="P595" i="7941"/>
  <c r="P378" i="7941"/>
  <c r="O541" i="7941"/>
  <c r="P412" i="7941"/>
  <c r="P518" i="7941"/>
  <c r="O461" i="7941"/>
  <c r="O540" i="7941"/>
  <c r="O447" i="7941"/>
  <c r="P393" i="7941"/>
  <c r="O475" i="7941"/>
  <c r="P491" i="7941"/>
  <c r="O467" i="7941"/>
  <c r="P413" i="7941"/>
  <c r="P593" i="7941"/>
  <c r="P377" i="7941"/>
  <c r="P587" i="7941"/>
  <c r="P389" i="7941"/>
  <c r="P630" i="7941"/>
  <c r="P380" i="7941"/>
  <c r="O443" i="7941"/>
  <c r="P492" i="7941"/>
  <c r="P598" i="7941"/>
  <c r="P415" i="7941"/>
  <c r="P387" i="7941"/>
  <c r="P615" i="7941"/>
  <c r="P508" i="7941"/>
  <c r="P496" i="7941"/>
  <c r="O432" i="7941"/>
  <c r="O546" i="7941"/>
  <c r="O473" i="7941"/>
  <c r="O444" i="7941"/>
  <c r="P374" i="7941"/>
  <c r="P400" i="7941"/>
  <c r="P499" i="7941"/>
  <c r="P383" i="7941"/>
  <c r="O555" i="7941"/>
  <c r="P605" i="7941"/>
  <c r="O554" i="7941"/>
  <c r="P586" i="7941"/>
  <c r="O472" i="7941"/>
  <c r="P418" i="7941"/>
  <c r="O551" i="7941"/>
  <c r="P621" i="7941"/>
  <c r="P507" i="7941"/>
  <c r="P422" i="7941"/>
  <c r="P591" i="7941"/>
  <c r="O466" i="7941"/>
  <c r="O567" i="7941"/>
  <c r="O558" i="7941"/>
  <c r="O552" i="7941"/>
  <c r="P597" i="7941"/>
  <c r="O579" i="7941"/>
  <c r="O557" i="7941"/>
  <c r="O441" i="7941"/>
  <c r="P500" i="7941"/>
  <c r="O460" i="7941"/>
  <c r="O427" i="7941"/>
  <c r="P484" i="7941"/>
  <c r="P613" i="7941"/>
  <c r="P585" i="7941"/>
  <c r="P607" i="7941"/>
  <c r="P594" i="7941"/>
  <c r="P609" i="7941"/>
  <c r="O536" i="7941"/>
  <c r="O544" i="7941"/>
  <c r="O459" i="7941"/>
  <c r="O439" i="7941"/>
  <c r="P608" i="7941"/>
  <c r="P504" i="7941"/>
  <c r="P405" i="7941"/>
  <c r="P408" i="7941"/>
  <c r="P606" i="7941"/>
  <c r="O448" i="7941"/>
  <c r="P520" i="7941"/>
  <c r="O454" i="7941"/>
  <c r="P628" i="7941"/>
  <c r="O568" i="7941"/>
  <c r="P629" i="7941"/>
  <c r="P526" i="7941"/>
  <c r="P588" i="7941"/>
  <c r="P616" i="7941"/>
  <c r="P497" i="7941"/>
  <c r="O429" i="7941"/>
  <c r="O437" i="7941"/>
  <c r="P623" i="7941"/>
  <c r="P421" i="7941"/>
  <c r="P388" i="7941"/>
  <c r="P411" i="7941"/>
  <c r="P519" i="7941"/>
  <c r="P618" i="7941"/>
  <c r="O468" i="7941"/>
  <c r="P483" i="7941"/>
  <c r="P480" i="7941"/>
  <c r="O530" i="7941"/>
  <c r="P420" i="7941"/>
  <c r="P626" i="7941"/>
  <c r="O559" i="7941"/>
  <c r="O538" i="7941"/>
  <c r="P505" i="7941"/>
  <c r="O574" i="7941"/>
  <c r="P478" i="7941"/>
  <c r="O578" i="7941"/>
  <c r="O438" i="7941"/>
  <c r="P488" i="7941"/>
  <c r="P631" i="7941"/>
  <c r="P416" i="7941"/>
  <c r="O570" i="7941"/>
  <c r="P590" i="7941"/>
  <c r="O451" i="7941"/>
  <c r="O457" i="7941"/>
  <c r="O539" i="7941"/>
  <c r="P376" i="7941"/>
  <c r="O442" i="7941"/>
  <c r="O474" i="7941"/>
  <c r="P516" i="7941"/>
  <c r="O569" i="7941"/>
  <c r="P527" i="7941"/>
  <c r="O543" i="7941"/>
  <c r="P589" i="7941"/>
  <c r="P502" i="7941"/>
  <c r="O435" i="7941"/>
  <c r="O453" i="7941"/>
  <c r="P627" i="7941"/>
  <c r="P479" i="7941"/>
  <c r="O572" i="7941"/>
  <c r="P601" i="7941"/>
  <c r="O562" i="7941"/>
  <c r="P584" i="7941"/>
  <c r="P386" i="7941"/>
  <c r="P392" i="7941"/>
  <c r="O462" i="7941"/>
  <c r="O426" i="7941"/>
  <c r="P509" i="7941"/>
  <c r="P394" i="7941"/>
  <c r="O560" i="7941"/>
  <c r="P619" i="7941"/>
  <c r="P487" i="7941"/>
  <c r="O535" i="7941"/>
  <c r="P515" i="7941"/>
  <c r="O430" i="7941"/>
  <c r="P622" i="7941"/>
  <c r="P611" i="7941"/>
  <c r="P404" i="7941"/>
  <c r="P381" i="7941"/>
  <c r="P522" i="7941"/>
  <c r="P481" i="7941"/>
  <c r="P379" i="7941"/>
  <c r="P610" i="7941"/>
  <c r="O428" i="7941"/>
  <c r="O636" i="7941" s="1"/>
  <c r="P624" i="7941"/>
  <c r="P510" i="7941"/>
  <c r="O553" i="7941"/>
  <c r="P513" i="7941"/>
  <c r="P409" i="7941"/>
  <c r="O564" i="7941"/>
  <c r="O550" i="7941"/>
  <c r="O431" i="7941"/>
  <c r="P396" i="7941"/>
  <c r="P407" i="7941"/>
  <c r="P503" i="7941"/>
  <c r="P385" i="7941"/>
  <c r="O576" i="7941"/>
  <c r="P603" i="7941"/>
  <c r="P583" i="7941"/>
  <c r="P612" i="7941"/>
  <c r="P523" i="7941"/>
  <c r="P410" i="7941"/>
  <c r="P382" i="7941"/>
  <c r="P384" i="7941"/>
  <c r="O565" i="7941"/>
  <c r="O563" i="7941"/>
  <c r="P423" i="7941"/>
  <c r="P625" i="7941"/>
  <c r="O549" i="7941"/>
  <c r="O556" i="7941"/>
  <c r="O660" i="7941" s="1"/>
  <c r="P490" i="7941"/>
  <c r="P489" i="7941"/>
  <c r="O455" i="7941"/>
  <c r="O470" i="7941"/>
  <c r="P602" i="7941"/>
  <c r="O434" i="7941"/>
  <c r="O469" i="7941"/>
  <c r="P419" i="7941"/>
  <c r="N636" i="7941"/>
  <c r="J9" i="7946" s="1"/>
  <c r="L9" i="7946" s="1"/>
  <c r="N529" i="7941"/>
  <c r="R65" i="7949"/>
  <c r="S24" i="7949"/>
  <c r="O659" i="7941" l="1"/>
  <c r="O652" i="7941"/>
  <c r="O678" i="7941"/>
  <c r="O680" i="7941"/>
  <c r="O655" i="7941"/>
  <c r="O637" i="7941"/>
  <c r="O648" i="7941"/>
  <c r="O635" i="7941"/>
  <c r="O677" i="7941"/>
  <c r="O653" i="7941"/>
  <c r="O681" i="7941"/>
  <c r="O656" i="7941"/>
  <c r="O667" i="7941"/>
  <c r="O665" i="7941"/>
  <c r="O649" i="7941"/>
  <c r="O679" i="7941"/>
  <c r="O663" i="7941"/>
  <c r="O650" i="7941"/>
  <c r="O666" i="7941"/>
  <c r="O672" i="7941"/>
  <c r="O670" i="7941"/>
  <c r="O674" i="7941"/>
  <c r="O651" i="7941"/>
  <c r="O669" i="7941"/>
  <c r="O664" i="7941"/>
  <c r="O646" i="7941"/>
  <c r="O676" i="7941"/>
  <c r="O634" i="7941"/>
  <c r="O645" i="7941"/>
  <c r="O683" i="7941"/>
  <c r="O675" i="7941"/>
  <c r="O658" i="7941"/>
  <c r="O641" i="7941"/>
  <c r="O640" i="7941"/>
  <c r="O643" i="7941"/>
  <c r="O642" i="7941"/>
  <c r="O639" i="7941"/>
  <c r="O682" i="7941"/>
  <c r="O654" i="7941"/>
  <c r="O638" i="7941"/>
  <c r="J57" i="7946"/>
  <c r="L7" i="7946"/>
  <c r="S60" i="7950"/>
  <c r="T19" i="7950"/>
  <c r="O529" i="7941"/>
  <c r="O668" i="7941"/>
  <c r="O673" i="7941"/>
  <c r="O425" i="7941"/>
  <c r="P477" i="7941"/>
  <c r="P373" i="7941"/>
  <c r="S65" i="7949"/>
  <c r="T24" i="7949"/>
  <c r="O644" i="7941"/>
  <c r="O662" i="7941"/>
  <c r="O647" i="7941"/>
  <c r="O661" i="7941"/>
  <c r="N633" i="7941"/>
  <c r="O671" i="7941"/>
  <c r="Q620" i="7941"/>
  <c r="P437" i="7941"/>
  <c r="P464" i="7941"/>
  <c r="Q582" i="7941"/>
  <c r="Q514" i="7941"/>
  <c r="Q617" i="7941"/>
  <c r="Q392" i="7941"/>
  <c r="Q523" i="7941"/>
  <c r="P431" i="7941"/>
  <c r="Q383" i="7941"/>
  <c r="Q401" i="7941"/>
  <c r="Q599" i="7941"/>
  <c r="Q512" i="7941"/>
  <c r="P436" i="7941"/>
  <c r="Q598" i="7941"/>
  <c r="Q379" i="7941"/>
  <c r="P429" i="7941"/>
  <c r="Q478" i="7941"/>
  <c r="Q604" i="7941"/>
  <c r="P445" i="7941"/>
  <c r="P572" i="7941"/>
  <c r="P577" i="7941"/>
  <c r="P469" i="7941"/>
  <c r="Q603" i="7941"/>
  <c r="P559" i="7941"/>
  <c r="P452" i="7941"/>
  <c r="P552" i="7941"/>
  <c r="Q387" i="7941"/>
  <c r="P459" i="7941"/>
  <c r="Q405" i="7941"/>
  <c r="P444" i="7941"/>
  <c r="Q525" i="7941"/>
  <c r="P575" i="7941"/>
  <c r="Q489" i="7941"/>
  <c r="Q501" i="7941"/>
  <c r="Q494" i="7941"/>
  <c r="Q393" i="7941"/>
  <c r="P441" i="7941"/>
  <c r="P539" i="7941"/>
  <c r="Q591" i="7941"/>
  <c r="Q404" i="7941"/>
  <c r="Q619" i="7941"/>
  <c r="Q627" i="7941"/>
  <c r="Q419" i="7941"/>
  <c r="Q375" i="7941"/>
  <c r="Q497" i="7941"/>
  <c r="Q625" i="7941"/>
  <c r="Q493" i="7941"/>
  <c r="Q630" i="7941"/>
  <c r="P439" i="7941"/>
  <c r="Q596" i="7941"/>
  <c r="Q521" i="7941"/>
  <c r="Q527" i="7941"/>
  <c r="Q485" i="7941"/>
  <c r="Q586" i="7941"/>
  <c r="Q418" i="7941"/>
  <c r="Q595" i="7941"/>
  <c r="P551" i="7941"/>
  <c r="Q623" i="7941"/>
  <c r="P579" i="7941"/>
  <c r="P576" i="7941"/>
  <c r="P462" i="7941"/>
  <c r="P451" i="7941"/>
  <c r="P435" i="7941"/>
  <c r="P536" i="7941"/>
  <c r="P455" i="7941"/>
  <c r="Q593" i="7941"/>
  <c r="P574" i="7941"/>
  <c r="P546" i="7941"/>
  <c r="P569" i="7941"/>
  <c r="P463" i="7941"/>
  <c r="Q508" i="7941"/>
  <c r="P537" i="7941"/>
  <c r="Q423" i="7941"/>
  <c r="Q517" i="7941"/>
  <c r="Q498" i="7941"/>
  <c r="P573" i="7941"/>
  <c r="Q509" i="7941"/>
  <c r="Q616" i="7941"/>
  <c r="Q411" i="7941"/>
  <c r="P556" i="7941"/>
  <c r="Q420" i="7941"/>
  <c r="Q495" i="7941"/>
  <c r="P565" i="7941"/>
  <c r="Q487" i="7941"/>
  <c r="Q499" i="7941"/>
  <c r="P461" i="7941"/>
  <c r="Q519" i="7941"/>
  <c r="Q610" i="7941"/>
  <c r="P545" i="7941"/>
  <c r="Q526" i="7941"/>
  <c r="Q385" i="7941"/>
  <c r="Q631" i="7941"/>
  <c r="P578" i="7941"/>
  <c r="P544" i="7941"/>
  <c r="P550" i="7941"/>
  <c r="P535" i="7941"/>
  <c r="P534" i="7941"/>
  <c r="Q488" i="7941"/>
  <c r="Q416" i="7941"/>
  <c r="Q516" i="7941"/>
  <c r="Q622" i="7941"/>
  <c r="P533" i="7941"/>
  <c r="Q378" i="7941"/>
  <c r="Q388" i="7941"/>
  <c r="P427" i="7941"/>
  <c r="Q583" i="7941"/>
  <c r="Q605" i="7941"/>
  <c r="Q480" i="7941"/>
  <c r="P446" i="7941"/>
  <c r="Q380" i="7941"/>
  <c r="P548" i="7941"/>
  <c r="Q614" i="7941"/>
  <c r="P438" i="7941"/>
  <c r="P538" i="7941"/>
  <c r="Q502" i="7941"/>
  <c r="P443" i="7941"/>
  <c r="Q399" i="7941"/>
  <c r="P571" i="7941"/>
  <c r="Q612" i="7941"/>
  <c r="P426" i="7941"/>
  <c r="Q506" i="7941"/>
  <c r="Q398" i="7941"/>
  <c r="P466" i="7941"/>
  <c r="Q415" i="7941"/>
  <c r="P440" i="7941"/>
  <c r="P470" i="7941"/>
  <c r="P555" i="7941"/>
  <c r="Q515" i="7941"/>
  <c r="Q524" i="7941"/>
  <c r="P433" i="7941"/>
  <c r="Q602" i="7941"/>
  <c r="P474" i="7941"/>
  <c r="Q417" i="7941"/>
  <c r="Q422" i="7941"/>
  <c r="P540" i="7941"/>
  <c r="P566" i="7941"/>
  <c r="P449" i="7941"/>
  <c r="Q522" i="7941"/>
  <c r="P561" i="7941"/>
  <c r="Q621" i="7941"/>
  <c r="P560" i="7941"/>
  <c r="Q628" i="7941"/>
  <c r="Q618" i="7941"/>
  <c r="Q483" i="7941"/>
  <c r="Q626" i="7941"/>
  <c r="Q600" i="7941"/>
  <c r="P458" i="7941"/>
  <c r="Q409" i="7941"/>
  <c r="Q421" i="7941"/>
  <c r="P434" i="7941"/>
  <c r="Q629" i="7941"/>
  <c r="P457" i="7941"/>
  <c r="Q391" i="7941"/>
  <c r="P563" i="7941"/>
  <c r="Q491" i="7941"/>
  <c r="Q496" i="7941"/>
  <c r="Q594" i="7941"/>
  <c r="Q590" i="7941"/>
  <c r="P472" i="7941"/>
  <c r="Q376" i="7941"/>
  <c r="Q609" i="7941"/>
  <c r="Q503" i="7941"/>
  <c r="Q382" i="7941"/>
  <c r="Q500" i="7941"/>
  <c r="P430" i="7941"/>
  <c r="Q484" i="7941"/>
  <c r="P454" i="7941"/>
  <c r="Q414" i="7941"/>
  <c r="P558" i="7941"/>
  <c r="P567" i="7941"/>
  <c r="Q389" i="7941"/>
  <c r="Q490" i="7941"/>
  <c r="Q518" i="7941"/>
  <c r="P467" i="7941"/>
  <c r="Q613" i="7941"/>
  <c r="P557" i="7941"/>
  <c r="P473" i="7941"/>
  <c r="P442" i="7941"/>
  <c r="Q587" i="7941"/>
  <c r="Q377" i="7941"/>
  <c r="P448" i="7941"/>
  <c r="P549" i="7941"/>
  <c r="P447" i="7941"/>
  <c r="Q511" i="7941"/>
  <c r="Q394" i="7941"/>
  <c r="P542" i="7941"/>
  <c r="Q386" i="7941"/>
  <c r="Q482" i="7941"/>
  <c r="Q410" i="7941"/>
  <c r="Q407" i="7941"/>
  <c r="Q584" i="7941"/>
  <c r="Q412" i="7941"/>
  <c r="P453" i="7941"/>
  <c r="P530" i="7941"/>
  <c r="P475" i="7941"/>
  <c r="P683" i="7941" s="1"/>
  <c r="Q403" i="7941"/>
  <c r="Q585" i="7941"/>
  <c r="Q406" i="7941"/>
  <c r="P547" i="7941"/>
  <c r="P570" i="7941"/>
  <c r="Q486" i="7941"/>
  <c r="Q520" i="7941"/>
  <c r="Q607" i="7941"/>
  <c r="Q608" i="7941"/>
  <c r="Q396" i="7941"/>
  <c r="Q374" i="7941"/>
  <c r="P553" i="7941"/>
  <c r="Q384" i="7941"/>
  <c r="P532" i="7941"/>
  <c r="P450" i="7941"/>
  <c r="P465" i="7941"/>
  <c r="P460" i="7941"/>
  <c r="Q588" i="7941"/>
  <c r="Q624" i="7941"/>
  <c r="Q589" i="7941"/>
  <c r="P543" i="7941"/>
  <c r="Q606" i="7941"/>
  <c r="P468" i="7941"/>
  <c r="P568" i="7941"/>
  <c r="P471" i="7941"/>
  <c r="Q408" i="7941"/>
  <c r="Q400" i="7941"/>
  <c r="P562" i="7941"/>
  <c r="Q504" i="7941"/>
  <c r="P456" i="7941"/>
  <c r="Q381" i="7941"/>
  <c r="Q413" i="7941"/>
  <c r="Q601" i="7941"/>
  <c r="Q481" i="7941"/>
  <c r="P531" i="7941"/>
  <c r="Q390" i="7941"/>
  <c r="P564" i="7941"/>
  <c r="Q510" i="7941"/>
  <c r="P432" i="7941"/>
  <c r="Q615" i="7941"/>
  <c r="P428" i="7941"/>
  <c r="Q479" i="7941"/>
  <c r="P541" i="7941"/>
  <c r="Q513" i="7941"/>
  <c r="Q597" i="7941"/>
  <c r="P554" i="7941"/>
  <c r="Q397" i="7941"/>
  <c r="Q592" i="7941"/>
  <c r="Q402" i="7941"/>
  <c r="Q611" i="7941"/>
  <c r="Q507" i="7941"/>
  <c r="Q492" i="7941"/>
  <c r="Q395" i="7941"/>
  <c r="Q655" i="7941" s="1"/>
  <c r="Q505" i="7941"/>
  <c r="P581" i="7941"/>
  <c r="O657" i="7941"/>
  <c r="P673" i="7941" l="1"/>
  <c r="P664" i="7941"/>
  <c r="P681" i="7941"/>
  <c r="P644" i="7941"/>
  <c r="P682" i="7941"/>
  <c r="Q657" i="7941"/>
  <c r="Q651" i="7941"/>
  <c r="P656" i="7941"/>
  <c r="P634" i="7941"/>
  <c r="Q675" i="7941"/>
  <c r="P672" i="7941"/>
  <c r="Q679" i="7941"/>
  <c r="Q650" i="7941"/>
  <c r="P660" i="7941"/>
  <c r="P655" i="7941"/>
  <c r="P645" i="7941"/>
  <c r="P668" i="7941"/>
  <c r="P676" i="7941"/>
  <c r="P647" i="7941"/>
  <c r="Q645" i="7941"/>
  <c r="Q673" i="7941"/>
  <c r="P651" i="7941"/>
  <c r="P680" i="7941"/>
  <c r="O633" i="7941"/>
  <c r="Q668" i="7941"/>
  <c r="P654" i="7941"/>
  <c r="P648" i="7941"/>
  <c r="P659" i="7941"/>
  <c r="P652" i="7941"/>
  <c r="P677" i="7941"/>
  <c r="P646" i="7941"/>
  <c r="P665" i="7941"/>
  <c r="P663" i="7941"/>
  <c r="Q677" i="7941"/>
  <c r="P674" i="7941"/>
  <c r="P678" i="7941"/>
  <c r="Q674" i="7941"/>
  <c r="P637" i="7941"/>
  <c r="P658" i="7941"/>
  <c r="P661" i="7941"/>
  <c r="Q654" i="7941"/>
  <c r="P635" i="7941"/>
  <c r="P639" i="7941"/>
  <c r="Q670" i="7941"/>
  <c r="Q662" i="7941"/>
  <c r="P636" i="7941"/>
  <c r="P679" i="7941"/>
  <c r="Q663" i="7941"/>
  <c r="Q637" i="7941"/>
  <c r="Q682" i="7941"/>
  <c r="P675" i="7941"/>
  <c r="P671" i="7941"/>
  <c r="P670" i="7941"/>
  <c r="P649" i="7941"/>
  <c r="P640" i="7941"/>
  <c r="P650" i="7941"/>
  <c r="P667" i="7941"/>
  <c r="P653" i="7941"/>
  <c r="Q644" i="7941"/>
  <c r="Q672" i="7941"/>
  <c r="P642" i="7941"/>
  <c r="P662" i="7941"/>
  <c r="P657" i="7941"/>
  <c r="Q638" i="7941"/>
  <c r="P641" i="7941"/>
  <c r="Q653" i="7941"/>
  <c r="Q665" i="7941"/>
  <c r="Q636" i="7941"/>
  <c r="Q681" i="7941"/>
  <c r="Q640" i="7941"/>
  <c r="Q671" i="7941"/>
  <c r="U24" i="7949"/>
  <c r="T65" i="7949"/>
  <c r="Q659" i="7941"/>
  <c r="P669" i="7941"/>
  <c r="Q678" i="7941"/>
  <c r="Q664" i="7941"/>
  <c r="Q647" i="7941"/>
  <c r="Q581" i="7941"/>
  <c r="Q669" i="7941"/>
  <c r="Q660" i="7941"/>
  <c r="Q373" i="7941"/>
  <c r="Q634" i="7941"/>
  <c r="Q666" i="7941"/>
  <c r="Q667" i="7941"/>
  <c r="P666" i="7941"/>
  <c r="Q661" i="7941"/>
  <c r="T60" i="7950"/>
  <c r="U19" i="7950"/>
  <c r="Q656" i="7941"/>
  <c r="Q658" i="7941"/>
  <c r="Q676" i="7941"/>
  <c r="Q477" i="7941"/>
  <c r="Q643" i="7941"/>
  <c r="Q635" i="7941"/>
  <c r="P643" i="7941"/>
  <c r="Q646" i="7941"/>
  <c r="Q649" i="7941"/>
  <c r="Q642" i="7941"/>
  <c r="P425" i="7941"/>
  <c r="P638" i="7941"/>
  <c r="Q639" i="7941"/>
  <c r="Q641" i="7941"/>
  <c r="P529" i="7941"/>
  <c r="Q648" i="7941"/>
  <c r="Q680" i="7941"/>
  <c r="Q683" i="7941"/>
  <c r="Q652" i="7941"/>
  <c r="P633" i="7941" l="1"/>
  <c r="Q633" i="7941"/>
  <c r="U60" i="7950"/>
  <c r="V19" i="7950"/>
  <c r="V24" i="7949"/>
  <c r="U65" i="7949"/>
  <c r="W24" i="7949" l="1"/>
  <c r="W65" i="7949" s="1"/>
  <c r="E8" i="7949" s="1"/>
  <c r="L3" i="7946" s="1"/>
  <c r="V65" i="7949"/>
  <c r="V60" i="7950"/>
  <c r="W19" i="7950"/>
  <c r="W60" i="7950" s="1"/>
  <c r="D7" i="7950" s="1"/>
  <c r="O3" i="794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Hogan, Susan</author>
  </authors>
  <commentList>
    <comment ref="H54" authorId="0" shapeId="0" xr:uid="{00000000-0006-0000-0100-000001000000}">
      <text>
        <r>
          <rPr>
            <b/>
            <sz val="9"/>
            <color rgb="FF000000"/>
            <rFont val="Tahoma"/>
            <family val="2"/>
          </rPr>
          <t>Hogan, Susan:</t>
        </r>
        <r>
          <rPr>
            <sz val="9"/>
            <color rgb="FF000000"/>
            <rFont val="Tahoma"/>
            <family val="2"/>
          </rPr>
          <t xml:space="preserve">
This is populated from FRCP_y1 which is selected by the business on the cover 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Rick Miles</author>
    <author>kyap</author>
    <author>OfficeXP</author>
    <author>Feng, Daniel</author>
    <author>Yap, Kenny</author>
  </authors>
  <commentList>
    <comment ref="E5" authorId="0" shapeId="0" xr:uid="{00000000-0006-0000-0600-000001000000}">
      <text>
        <r>
          <rPr>
            <sz val="8"/>
            <color indexed="81"/>
            <rFont val="Tahoma"/>
            <family val="2"/>
          </rPr>
          <t>The opening RAB is based on the final year of the previous regulatory control period.</t>
        </r>
      </text>
    </comment>
    <comment ref="I6" authorId="1" shapeId="0" xr:uid="{00000000-0006-0000-0600-000002000000}">
      <text>
        <r>
          <rPr>
            <sz val="8"/>
            <color indexed="81"/>
            <rFont val="Tahoma"/>
            <family val="2"/>
          </rPr>
          <t>Based on the opening RAB values in the final year of the previous regulatory control period, as contained in the RFM for the current decision.</t>
        </r>
      </text>
    </comment>
    <comment ref="J6" authorId="0" shapeId="0" xr:uid="{00000000-0006-0000-0600-000003000000}">
      <text>
        <r>
          <rPr>
            <sz val="8"/>
            <color indexed="81"/>
            <rFont val="Tahoma"/>
            <family val="2"/>
          </rPr>
          <t>Based on lives adopted for the current regulatory control period (for the first year), as contained in the PTRM for the current decision. Enter a valid numeric life or n/a.</t>
        </r>
      </text>
    </comment>
    <comment ref="K6" authorId="1" shapeId="0" xr:uid="{00000000-0006-0000-0600-000004000000}">
      <text>
        <r>
          <rPr>
            <sz val="8"/>
            <color indexed="81"/>
            <rFont val="Tahoma"/>
            <family val="2"/>
          </rPr>
          <t>Based on lives adopted for the current regulatory control period, as contained in the PTRM for the current decision. Enter a valid numeric life or n/a.</t>
        </r>
      </text>
    </comment>
    <comment ref="L6" authorId="1" shapeId="0" xr:uid="{00000000-0006-0000-0600-000005000000}">
      <text>
        <r>
          <rPr>
            <sz val="8"/>
            <color indexed="81"/>
            <rFont val="Tahoma"/>
            <family val="2"/>
          </rPr>
          <t>Based on forecast capex values in the final year of the previous regulatory control period which was added to the RAB, as contained in the RFM for the current decision (in end of year terms and includes half year rate of return).</t>
        </r>
      </text>
    </comment>
    <comment ref="M6" authorId="1" shapeId="0" xr:uid="{00000000-0006-0000-0600-000006000000}">
      <text>
        <r>
          <rPr>
            <sz val="8"/>
            <color indexed="81"/>
            <rFont val="Tahoma"/>
            <family val="2"/>
          </rPr>
          <t>Based on forecast nominal regulatory depreciation values in the final year of the previous regulatory period which was subtracted from the RAB, as contained in the RFM for the current decision  (in end of year terms). Enter as positive values.</t>
        </r>
      </text>
    </comment>
    <comment ref="N6" authorId="1" shapeId="0" xr:uid="{00000000-0006-0000-0600-000007000000}">
      <text>
        <r>
          <rPr>
            <sz val="8"/>
            <color indexed="81"/>
            <rFont val="Tahoma"/>
            <family val="2"/>
          </rPr>
          <t>Based on forecast nominal capital contribution values in the final year of the previous regulatory period and contained in the RFM for the current decision. Enter as positive values.</t>
        </r>
      </text>
    </comment>
    <comment ref="O6" authorId="2" shapeId="0" xr:uid="{00000000-0006-0000-0600-000008000000}">
      <text>
        <r>
          <rPr>
            <sz val="8"/>
            <color indexed="81"/>
            <rFont val="Tahoma"/>
            <family val="2"/>
          </rPr>
          <t>This relates to the true-up for  the difference in final year capex, which was adjusted for in the previous regulatory control period. The amount was added to the closing RAB of the previous regulatory control period, as contained in the RFM for the current decision (in end of year terms).</t>
        </r>
      </text>
    </comment>
    <comment ref="P6" authorId="2" shapeId="0" xr:uid="{00000000-0006-0000-0600-000009000000}">
      <text>
        <r>
          <rPr>
            <sz val="8"/>
            <color indexed="81"/>
            <rFont val="Tahoma"/>
            <family val="2"/>
          </rPr>
          <t>The return associated with the difference in final year capex true-up adjusted for in the previous regulatory control period was added to the closing RAB of the previous regulatory control period, as contained in the RFM for the current decision (in end of year terms).</t>
        </r>
      </text>
    </comment>
    <comment ref="Q6" authorId="2" shapeId="0" xr:uid="{00000000-0006-0000-0600-00000A000000}">
      <text>
        <r>
          <rPr>
            <sz val="8"/>
            <color indexed="81"/>
            <rFont val="Tahoma"/>
            <family val="2"/>
          </rPr>
          <t>Where applicable, DNSPs may have other adjustments added or subtracted from the closing RAB in the RFM or opening RAB in the PTRM for the current decision. These include assets changing classification as well as adjustments due to an ex-post review of capex (in end of year terms).</t>
        </r>
      </text>
    </comment>
    <comment ref="R6" authorId="1" shapeId="0" xr:uid="{00000000-0006-0000-0600-00000B000000}">
      <text>
        <r>
          <rPr>
            <sz val="8"/>
            <color indexed="81"/>
            <rFont val="Tahoma"/>
            <family val="2"/>
          </rPr>
          <t>Based on the opening tax asset values in the first year of the current regulatory control period, as contained in the PTRM for the current decision.</t>
        </r>
      </text>
    </comment>
    <comment ref="S6" authorId="0" shapeId="0" xr:uid="{00000000-0006-0000-0600-00000C000000}">
      <text>
        <r>
          <rPr>
            <sz val="8"/>
            <color indexed="81"/>
            <rFont val="Tahoma"/>
            <family val="2"/>
          </rPr>
          <t>Based on tax lives adopted for the current regulatory control period, as contained in the PTRM for the current decision. Enter a valid numeric life or n/a.</t>
        </r>
      </text>
    </comment>
    <comment ref="T6" authorId="1" shapeId="0" xr:uid="{00000000-0006-0000-0600-00000D000000}">
      <text>
        <r>
          <rPr>
            <sz val="8"/>
            <color indexed="81"/>
            <rFont val="Tahoma"/>
            <family val="2"/>
          </rPr>
          <t>Set equal to tax life specified by the Australian Tax Office for the category of assets and commissioning date, as contained in the PTRM for the current decision. Enter a valid numeric life or n/a.</t>
        </r>
      </text>
    </comment>
    <comment ref="U6" authorId="1" shapeId="0" xr:uid="{00000000-0006-0000-0600-00000E000000}">
      <text>
        <r>
          <rPr>
            <sz val="8"/>
            <color indexed="81"/>
            <rFont val="Tahoma"/>
            <family val="2"/>
          </rPr>
          <t>Insert the base financial year that the curent regulatory control period commences in.</t>
        </r>
      </text>
    </comment>
    <comment ref="V6" authorId="1" shapeId="0" xr:uid="{00000000-0006-0000-0600-00000F000000}">
      <text>
        <r>
          <rPr>
            <sz val="8"/>
            <color indexed="81"/>
            <rFont val="Tahoma"/>
            <family val="2"/>
          </rPr>
          <t>Insert the number of years for the current regulatory control period.</t>
        </r>
      </text>
    </comment>
    <comment ref="E59" authorId="1" shapeId="0" xr:uid="{00000000-0006-0000-0600-000010000000}">
      <text>
        <r>
          <rPr>
            <sz val="8"/>
            <color indexed="81"/>
            <rFont val="Tahoma"/>
            <family val="2"/>
          </rPr>
          <t>Exclude half year rate of return. Inputs are assumed to be in middle of year terms because actual capex is reported evenly over a financial year.</t>
        </r>
      </text>
    </comment>
    <comment ref="R112" authorId="1" shapeId="0" xr:uid="{00000000-0006-0000-0600-000011000000}">
      <text>
        <r>
          <rPr>
            <sz val="8"/>
            <color indexed="81"/>
            <rFont val="Tahoma"/>
            <family val="2"/>
          </rPr>
          <t>Total for the regulatory control period.</t>
        </r>
      </text>
    </comment>
    <comment ref="E113" authorId="1" shapeId="0" xr:uid="{00000000-0006-0000-0600-000012000000}">
      <text>
        <r>
          <rPr>
            <sz val="8"/>
            <color indexed="81"/>
            <rFont val="Tahoma"/>
            <family val="2"/>
          </rPr>
          <t>Exclude half year rate of return. Inputs are assumed to be in middle of year terms because actual disposal is reported evenly over a financial year.</t>
        </r>
      </text>
    </comment>
    <comment ref="R166" authorId="1" shapeId="0" xr:uid="{00000000-0006-0000-0600-000013000000}">
      <text>
        <r>
          <rPr>
            <sz val="8"/>
            <color indexed="81"/>
            <rFont val="Tahoma"/>
            <family val="2"/>
          </rPr>
          <t>Total for the regulatory control period.</t>
        </r>
      </text>
    </comment>
    <comment ref="E167" authorId="3" shapeId="0" xr:uid="{00000000-0006-0000-0600-000014000000}">
      <text>
        <r>
          <rPr>
            <sz val="8"/>
            <color indexed="81"/>
            <rFont val="Tahoma"/>
            <family val="2"/>
          </rPr>
          <t>Exclude half year rate of return. Inputs are assumed to be in middle of year terms because actual capital contributions are reported evenly over a financial year.</t>
        </r>
      </text>
    </comment>
    <comment ref="R220" authorId="1" shapeId="0" xr:uid="{00000000-0006-0000-0600-000015000000}">
      <text>
        <r>
          <rPr>
            <sz val="8"/>
            <color indexed="81"/>
            <rFont val="Tahoma"/>
            <family val="2"/>
          </rPr>
          <t>Total for the regulatory control period.</t>
        </r>
      </text>
    </comment>
    <comment ref="E221" authorId="2" shapeId="0" xr:uid="{00000000-0006-0000-0600-000016000000}">
      <text>
        <r>
          <rPr>
            <sz val="8"/>
            <color indexed="81"/>
            <rFont val="Tahoma"/>
            <family val="2"/>
          </rPr>
          <t>Exclude half year rate of return. Inputs are assumed to be in middle of year terms because actual net capex is reported evenly over a financial year.</t>
        </r>
      </text>
    </comment>
    <comment ref="R274" authorId="1" shapeId="0" xr:uid="{00000000-0006-0000-0600-000017000000}">
      <text>
        <r>
          <rPr>
            <sz val="8"/>
            <color indexed="81"/>
            <rFont val="Tahoma"/>
            <family val="2"/>
          </rPr>
          <t>Total for the regulatory control period.</t>
        </r>
      </text>
    </comment>
    <comment ref="E282" authorId="1" shapeId="0" xr:uid="{00000000-0006-0000-0600-000018000000}">
      <text>
        <r>
          <rPr>
            <sz val="8"/>
            <color indexed="81"/>
            <rFont val="Tahoma"/>
            <family val="2"/>
          </rPr>
          <t>Based on the CPI rate used for the annual MAR adjustments (consistent with the specified method in the decisions covering the previous and current regulatory control periods).</t>
        </r>
      </text>
    </comment>
    <comment ref="E284" authorId="1" shapeId="0" xr:uid="{00000000-0006-0000-0600-000019000000}">
      <text>
        <r>
          <rPr>
            <sz val="8"/>
            <color indexed="81"/>
            <rFont val="Tahoma"/>
            <family val="2"/>
          </rPr>
          <t>Forecast inflation rate used in the decisions covering the previous and current regulatory control periods.</t>
        </r>
      </text>
    </comment>
    <comment ref="E287" authorId="1" shapeId="0" xr:uid="{00000000-0006-0000-0600-00001A000000}">
      <text>
        <r>
          <rPr>
            <sz val="8"/>
            <color indexed="81"/>
            <rFont val="Tahoma"/>
            <family val="2"/>
          </rPr>
          <t>Nominal vanilla WACC used in the decisions covering the previous and current regulatory control periods.</t>
        </r>
      </text>
    </comment>
    <comment ref="E293" authorId="4" shapeId="0" xr:uid="{00000000-0006-0000-0600-00001B000000}">
      <text>
        <r>
          <rPr>
            <sz val="8"/>
            <color indexed="81"/>
            <rFont val="Tahoma"/>
            <family val="2"/>
          </rPr>
          <t>Select option for actual or forecast straight-line depreciation in the RAB roll forward.</t>
        </r>
      </text>
    </comment>
    <comment ref="E297" authorId="4" shapeId="0" xr:uid="{00000000-0006-0000-0600-00001C000000}">
      <text>
        <r>
          <rPr>
            <sz val="8"/>
            <color indexed="81"/>
            <rFont val="Tahoma"/>
            <family val="2"/>
          </rPr>
          <t>When using forecast depreciation in the RAB roll forward, When using forecast depreciation in the RAB roll forward, the inputs for the current regulatory control period are as contained in the latest return on debt PTRM for the current decision (in end of year terms).</t>
        </r>
      </text>
    </comment>
    <comment ref="R350" authorId="1" shapeId="0" xr:uid="{00000000-0006-0000-0600-00001D000000}">
      <text>
        <r>
          <rPr>
            <sz val="8"/>
            <color indexed="81"/>
            <rFont val="Tahoma"/>
            <family val="2"/>
          </rPr>
          <t>Total for the regulatory control period.</t>
        </r>
      </text>
    </comment>
    <comment ref="E353" authorId="4" shapeId="0" xr:uid="{00000000-0006-0000-0600-00001E000000}">
      <text>
        <r>
          <rPr>
            <sz val="8"/>
            <color indexed="81"/>
            <rFont val="Tahoma"/>
            <family val="2"/>
          </rPr>
          <t xml:space="preserve">Select option for tax depreciation used in the TAB roll forward.
</t>
        </r>
      </text>
    </comment>
    <comment ref="R409" authorId="1" shapeId="0" xr:uid="{00000000-0006-0000-0600-00001F000000}">
      <text>
        <r>
          <rPr>
            <sz val="8"/>
            <color indexed="81"/>
            <rFont val="Tahoma"/>
            <family val="2"/>
          </rPr>
          <t>Total for the regulatory control period.</t>
        </r>
      </text>
    </comment>
    <comment ref="E410" authorId="4" shapeId="0" xr:uid="{00000000-0006-0000-0600-000020000000}">
      <text>
        <r>
          <rPr>
            <sz val="8"/>
            <color indexed="81"/>
            <rFont val="Tahoma"/>
            <family val="2"/>
          </rPr>
          <t>Where applicable, TNSPs may have other adjustments to be added or subtracted from the closing RAB/TAB at the end of the current regulatory control period. These include assets changing classification (in end of year terms). Enter as positive or negative values.</t>
        </r>
      </text>
    </comment>
    <comment ref="E465" authorId="4" shapeId="0" xr:uid="{00000000-0006-0000-0600-000021000000}">
      <text>
        <r>
          <rPr>
            <sz val="8"/>
            <color indexed="81"/>
            <rFont val="Tahoma"/>
            <family val="2"/>
          </rPr>
          <t>Where an ex-post review has been undertaken, DNSPs can enter inputs below to adjust the RAB and TAB for the excluded capex.</t>
        </r>
      </text>
    </comment>
    <comment ref="F467" authorId="4" shapeId="0" xr:uid="{00000000-0006-0000-0600-000022000000}">
      <text>
        <r>
          <rPr>
            <sz val="8"/>
            <color indexed="81"/>
            <rFont val="Tahoma"/>
            <family val="2"/>
          </rPr>
          <t xml:space="preserve">This must be set to "yes" where an ex-post review determines that year t-2 capex is to be revised </t>
        </r>
      </text>
    </comment>
    <comment ref="F468" authorId="4" shapeId="0" xr:uid="{00000000-0006-0000-0600-000023000000}">
      <text>
        <r>
          <rPr>
            <sz val="8"/>
            <color indexed="81"/>
            <rFont val="Tahoma"/>
            <family val="2"/>
          </rPr>
          <t>This option determines whether any adjustment is required for Year t-1 depreciation. If the previous RAB roll forward was based on actual depreciation then an adjustment is made in the 'Adjustment for previous period' sheet.</t>
        </r>
      </text>
    </comment>
    <comment ref="F469" authorId="4" shapeId="0" xr:uid="{00000000-0006-0000-0600-000024000000}">
      <text>
        <r>
          <rPr>
            <sz val="8"/>
            <color indexed="81"/>
            <rFont val="Tahoma"/>
            <family val="2"/>
          </rPr>
          <t>This option affects the calculation of the change to year t-1 tax depreciation which then affects the true up of the opening TAB.</t>
        </r>
      </text>
    </comment>
    <comment ref="G474" authorId="4" shapeId="0" xr:uid="{00000000-0006-0000-0600-000025000000}">
      <text>
        <r>
          <rPr>
            <sz val="8"/>
            <color indexed="81"/>
            <rFont val="Tahoma"/>
            <family val="2"/>
          </rPr>
          <t xml:space="preserve">The capex true up for the second last year of the previous regulatory control period (year t-2) in nominal mid-year terms.
This input is required whenever an ex-post review determines that year t-2 capex is to be revised. 
This is equal to the efficient capex (as determined during the ex-post review) minus the actual capex (as in the previous RFM).
This input affects both the roll forward of the RAB and the TAB. It is referenced in the 'Adjustment for previous period' sheet and the 'TAB roll forward' sheet.
</t>
        </r>
      </text>
    </comment>
    <comment ref="H474" authorId="4" shapeId="0" xr:uid="{00000000-0006-0000-0600-000026000000}">
      <text>
        <r>
          <rPr>
            <sz val="8"/>
            <color indexed="81"/>
            <rFont val="Tahoma"/>
            <family val="2"/>
          </rPr>
          <t>This input is required for the case where both:
    an ex-post review determines that year t-2 capex is to be revised and
    the RAB was rolled forward in the previous regulatory control period using actual depreciation.
In this case, this input is referenced in the 'Adjustment for previous period' sheet to calculate the adjustment to actual nominal depreciation in the final year of the previous regulatory control period (year t-1) resulting from the adjustment to capex in the second final year (year t-2).</t>
        </r>
      </text>
    </comment>
    <comment ref="J474" authorId="4" shapeId="0" xr:uid="{00000000-0006-0000-0600-000027000000}">
      <text>
        <r>
          <rPr>
            <sz val="8"/>
            <color indexed="81"/>
            <rFont val="Tahoma"/>
            <family val="2"/>
          </rPr>
          <t>This input is required to true-up the opening TAB in the case where both:
    an ex-post review determines that year t-2 capex is to be revised and
    the depreciation method for TAB roll forward in the previous regulatory control period was WARL depreciation.
In this case, this input adjusts the opening TAB for the change in actual nominal tax depreciation in the final year of the previous regulatory control period (year t-1) resulting from the adjustment to capex in the second final year (year t-2). The adjustment is based on straight-line depreciation.</t>
        </r>
      </text>
    </comment>
    <comment ref="K474" authorId="4" shapeId="0" xr:uid="{00000000-0006-0000-0600-000028000000}">
      <text>
        <r>
          <rPr>
            <sz val="8"/>
            <color indexed="81"/>
            <rFont val="Tahoma"/>
            <family val="2"/>
          </rPr>
          <t>The actual tax depreciation for the final year (year t-1) of the previous regulatory control period as calculated in the previous RFM.
This input is required to true-up the opening TAB in the case where  both:
    an ex-post review determines that year t-2 capex is to be revised and
    the depreciation method for TAB roll forward in the previous regulatory control period was Year-by-Year Tracking</t>
        </r>
      </text>
    </comment>
    <comment ref="L474" authorId="4" shapeId="0" xr:uid="{00000000-0006-0000-0600-000029000000}">
      <text>
        <r>
          <rPr>
            <sz val="8"/>
            <color indexed="81"/>
            <rFont val="Tahoma"/>
            <family val="2"/>
          </rPr>
          <t>The actual tax depreciation for the final year (year t-1) of the previous regulatory control period as calculated in the tracking module/model.
This input is required to true-up  the opening TAB in the case where  both:
    an ex-post review determines that year t-2 capex is to be revised and
    the depreciation method for TAB roll forward in the previous regulatory control period was Year-by-Year Tracking</t>
        </r>
      </text>
    </comment>
    <comment ref="M474" authorId="4" shapeId="0" xr:uid="{00000000-0006-0000-0600-00002A000000}">
      <text>
        <r>
          <rPr>
            <sz val="8"/>
            <color indexed="81"/>
            <rFont val="Tahoma"/>
            <family val="2"/>
          </rPr>
          <t>The change in actual tax depreciation for the final year (year t-1) of the previous regulatory control period which arises from a revision to year t-2 capex from an ex-post review .
This adjustment will be one of the adjustments made in the true-up of the opening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769" authorId="0" shapeId="0" xr:uid="{00000000-0006-0000-0800-000001000000}">
      <text>
        <r>
          <rPr>
            <sz val="8"/>
            <color indexed="81"/>
            <rFont val="Tahoma"/>
            <family val="2"/>
          </rPr>
          <t>This column is based on the forecast net capex.</t>
        </r>
      </text>
    </comment>
    <comment ref="G821" authorId="0" shapeId="0" xr:uid="{00000000-0006-0000-0800-000002000000}">
      <text>
        <r>
          <rPr>
            <sz val="8"/>
            <color indexed="81"/>
            <rFont val="Tahoma"/>
            <family val="2"/>
          </rPr>
          <t>This column is based on the forecast regulatory depreciation.</t>
        </r>
      </text>
    </comment>
    <comment ref="G873" authorId="1" shapeId="0" xr:uid="{00000000-0006-0000-0800-000003000000}">
      <text>
        <r>
          <rPr>
            <sz val="8"/>
            <color indexed="81"/>
            <rFont val="Tahoma"/>
            <family val="2"/>
          </rPr>
          <t>This column is based on the difference in final year capex true-up in the previous regulatory control period.</t>
        </r>
      </text>
    </comment>
    <comment ref="G925" authorId="1" shapeId="0" xr:uid="{00000000-0006-0000-0800-000004000000}">
      <text>
        <r>
          <rPr>
            <sz val="8"/>
            <color indexed="81"/>
            <rFont val="Tahoma"/>
            <family val="2"/>
          </rPr>
          <t>This column is based on the accumulated return associated with the final year capex true-up in the previous regulatory control period.</t>
        </r>
      </text>
    </comment>
    <comment ref="G977" authorId="2" shapeId="0" xr:uid="{00000000-0006-0000-0800-000005000000}">
      <text>
        <r>
          <rPr>
            <sz val="8"/>
            <color indexed="81"/>
            <rFont val="Tahoma"/>
            <family val="2"/>
          </rPr>
          <t>This column is based on other adjustments in the previous regulatory control period (if any).</t>
        </r>
      </text>
    </comment>
    <comment ref="G1031" authorId="0" shapeId="0" xr:uid="{00000000-0006-0000-0800-000006000000}">
      <text>
        <r>
          <rPr>
            <sz val="8"/>
            <color indexed="81"/>
            <rFont val="Tahoma"/>
            <family val="2"/>
          </rPr>
          <t>This column is based on forecast straight-line depreciation.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59" authorId="0" shapeId="0" xr:uid="{00000000-0006-0000-0900-000001000000}">
      <text>
        <r>
          <rPr>
            <sz val="8"/>
            <color indexed="81"/>
            <rFont val="Tahoma"/>
            <family val="2"/>
          </rPr>
          <t>This column is based on the forecast net capex.</t>
        </r>
      </text>
    </comment>
    <comment ref="G111" authorId="0" shapeId="0" xr:uid="{00000000-0006-0000-0900-000002000000}">
      <text>
        <r>
          <rPr>
            <sz val="8"/>
            <color indexed="81"/>
            <rFont val="Tahoma"/>
            <family val="2"/>
          </rPr>
          <t>This column is based on the forecast regulatory depreciation.</t>
        </r>
      </text>
    </comment>
    <comment ref="G163" authorId="1" shapeId="0" xr:uid="{00000000-0006-0000-0900-000003000000}">
      <text>
        <r>
          <rPr>
            <sz val="8"/>
            <color indexed="81"/>
            <rFont val="Tahoma"/>
            <family val="2"/>
          </rPr>
          <t>This column is based on the difference in final year capex true-up in the previous regulatory control period.</t>
        </r>
      </text>
    </comment>
    <comment ref="G215" authorId="1" shapeId="0" xr:uid="{00000000-0006-0000-0900-000004000000}">
      <text>
        <r>
          <rPr>
            <sz val="8"/>
            <color indexed="81"/>
            <rFont val="Tahoma"/>
            <family val="2"/>
          </rPr>
          <t>This column is based on the accumulated return associated with the final year capex true-up in the previous regulatory control period.</t>
        </r>
      </text>
    </comment>
    <comment ref="G267" authorId="2" shapeId="0" xr:uid="{00000000-0006-0000-0900-000005000000}">
      <text>
        <r>
          <rPr>
            <sz val="8"/>
            <color indexed="81"/>
            <rFont val="Tahoma"/>
            <family val="2"/>
          </rPr>
          <t>This column is based on other adjustments in the previous regulatory control period (if any).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H7" authorId="0" shapeId="0" xr:uid="{00000000-0006-0000-0A00-000001000000}">
      <text>
        <r>
          <rPr>
            <sz val="8"/>
            <color indexed="81"/>
            <rFont val="Tahoma"/>
            <family val="2"/>
          </rPr>
          <t xml:space="preserve">This column takes the opening tax values and adjusts for:
    actual capex in the final year (year t-1) of the previous regulatory control period.
    any ex-post review capex exclusions for the second last year (year t-2) of the previous regulatory control period.
Where adjustments are made for an ex-post review, this true up also incorporates the revised tax depreciation in year t-1.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L6" authorId="0" shapeId="0" xr:uid="{00000000-0006-0000-0D00-000001000000}">
      <text>
        <r>
          <rPr>
            <sz val="8"/>
            <color indexed="81"/>
            <rFont val="Tahoma"/>
            <family val="2"/>
          </rPr>
          <t>The remaining lives in this column are derived from the 'RAB remaining lives' sheet.
For accuracy, these values require the calculations in the 'RAB remaining lives' sheet to be updated for each reset.
If year-by-year tracked depreciation is adopted for RAB depreciation, these remaining lives are not required as inputs to the PTRM.</t>
        </r>
      </text>
    </comment>
    <comment ref="O6" authorId="0" shapeId="0" xr:uid="{00000000-0006-0000-0D00-000002000000}">
      <text>
        <r>
          <rPr>
            <sz val="8"/>
            <color indexed="81"/>
            <rFont val="Tahoma"/>
            <family val="2"/>
          </rPr>
          <t>The remaining lives in this column are derived from the 'TAB remaining lives' sheet.
For accuracy, these values require the calculations in the 'TAB remaining lives' sheet to be updated for each reset.
If year-by-year tracked depreciation is adopted for tax depreciation, these remaining lives are not required as inputs to the PTRM.</t>
        </r>
      </text>
    </comment>
  </commentList>
</comments>
</file>

<file path=xl/sharedStrings.xml><?xml version="1.0" encoding="utf-8"?>
<sst xmlns="http://schemas.openxmlformats.org/spreadsheetml/2006/main" count="3186" uniqueCount="1150">
  <si>
    <t>Asset Class 1</t>
  </si>
  <si>
    <t>Asset Class 2</t>
  </si>
  <si>
    <t>Year</t>
  </si>
  <si>
    <t>Asset Class 3</t>
  </si>
  <si>
    <t>Asset Class 4</t>
  </si>
  <si>
    <t>Asset Class 5</t>
  </si>
  <si>
    <t>Asset Class 6</t>
  </si>
  <si>
    <t>Asset Class 7</t>
  </si>
  <si>
    <t>Asset Class 8</t>
  </si>
  <si>
    <t>Asset Class 9</t>
  </si>
  <si>
    <t>Asset Class 10</t>
  </si>
  <si>
    <t>Asset Class 11</t>
  </si>
  <si>
    <t>Asset Class 12</t>
  </si>
  <si>
    <t>Asset Class 13</t>
  </si>
  <si>
    <t>Asset Class 14</t>
  </si>
  <si>
    <t>Asset Class 15</t>
  </si>
  <si>
    <t>Asset Class 16</t>
  </si>
  <si>
    <t>Asset Class 17</t>
  </si>
  <si>
    <t>Total</t>
  </si>
  <si>
    <t>Asset Class 18</t>
  </si>
  <si>
    <t>Asset Class 19</t>
  </si>
  <si>
    <t>Asset Class 20</t>
  </si>
  <si>
    <t>Inflation and Rate of Return</t>
  </si>
  <si>
    <t>Opening RAB</t>
  </si>
  <si>
    <t>Sub-total</t>
  </si>
  <si>
    <t>Nominal Actual Net Capex</t>
  </si>
  <si>
    <t>Actual CPI Inflation Rate</t>
  </si>
  <si>
    <t>Real Vanilla WACC</t>
  </si>
  <si>
    <t>Forecast Inflation Cumulative Index</t>
  </si>
  <si>
    <t>Forecast Inflation Rate</t>
  </si>
  <si>
    <t>Nominal Vanilla WACC</t>
  </si>
  <si>
    <t>Nominal Difference Between Actual and Forecast Net Capex</t>
  </si>
  <si>
    <t>Total Return at End of Regulatory Period</t>
  </si>
  <si>
    <t>Nominal Actual Inflation on Opening RAB</t>
  </si>
  <si>
    <t>Return on Difference - Net Capex</t>
  </si>
  <si>
    <t>Actual Net Capex</t>
  </si>
  <si>
    <t>Opening Tax Asset Values</t>
  </si>
  <si>
    <t>Actual Tax Depreciation</t>
  </si>
  <si>
    <t>Actual CPI (one year lagged)</t>
  </si>
  <si>
    <t>Input cells are in blue</t>
  </si>
  <si>
    <t>Nominal Forecast Net Capex (previous regulatory control period)</t>
  </si>
  <si>
    <t>Actual Asset Disposal – As Incurred ($m Nominal)</t>
  </si>
  <si>
    <t>Nominal Vanilla WACC (fixed real time varying)</t>
  </si>
  <si>
    <t>Capex in year</t>
  </si>
  <si>
    <t>Asset Class Name</t>
  </si>
  <si>
    <t>Real Actual Net Capex - As Incurred</t>
  </si>
  <si>
    <t>Nominal Opening Regulatory Asset Base</t>
  </si>
  <si>
    <t>Interim Closing Regulatory Asset Base</t>
  </si>
  <si>
    <t>Tax Standard Life (Year)</t>
  </si>
  <si>
    <t>Standard Life (Year)</t>
  </si>
  <si>
    <t>Length of Regulatory Control Period (Year)</t>
  </si>
  <si>
    <t>Tax Values ($m Nominal)</t>
  </si>
  <si>
    <t>Average Remaining Life (Year)</t>
  </si>
  <si>
    <t>Average Tax Remaining Life (Year)</t>
  </si>
  <si>
    <t>Opening Tax Asset Value</t>
  </si>
  <si>
    <t>Asset Class 21</t>
  </si>
  <si>
    <t>Asset Class 22</t>
  </si>
  <si>
    <t>Asset Class 23</t>
  </si>
  <si>
    <t>Asset Class 24</t>
  </si>
  <si>
    <t>Asset Class 25</t>
  </si>
  <si>
    <t>Asset Class 26</t>
  </si>
  <si>
    <t>Asset Class 27</t>
  </si>
  <si>
    <t>Asset Class 28</t>
  </si>
  <si>
    <t>Asset Class 29</t>
  </si>
  <si>
    <t>Asset Class 30</t>
  </si>
  <si>
    <t>Nominal Difference in Final Year Capex</t>
  </si>
  <si>
    <t>Nominal Return on Difference in Final Year Capex</t>
  </si>
  <si>
    <t>Nominal Other Final Year Adjustments</t>
  </si>
  <si>
    <t>Throughout the rest of the workbook, defined name ranges are used to identify data that is imported into the DMS.</t>
  </si>
  <si>
    <t>Entity details</t>
  </si>
  <si>
    <t>Trading name</t>
  </si>
  <si>
    <t>ACN / ABN</t>
  </si>
  <si>
    <t>Business short name</t>
  </si>
  <si>
    <t>Address 1</t>
  </si>
  <si>
    <t>123 Straight Street</t>
  </si>
  <si>
    <t>Address 2</t>
  </si>
  <si>
    <t>Suburb</t>
  </si>
  <si>
    <t>State</t>
  </si>
  <si>
    <t>NSW</t>
  </si>
  <si>
    <t>PO Box 123</t>
  </si>
  <si>
    <t>Regulatory process details</t>
  </si>
  <si>
    <t>Sector</t>
  </si>
  <si>
    <t>Electricity</t>
  </si>
  <si>
    <t>Segment</t>
  </si>
  <si>
    <t>Source</t>
  </si>
  <si>
    <t>Regulatory proposal</t>
  </si>
  <si>
    <t>Regulatory Year Ending</t>
  </si>
  <si>
    <t>Reporting Period Type</t>
  </si>
  <si>
    <t>Security Classification</t>
  </si>
  <si>
    <t>Public</t>
  </si>
  <si>
    <t>Consolidated</t>
  </si>
  <si>
    <t>Amended model submission - reason</t>
  </si>
  <si>
    <t>Form of control</t>
  </si>
  <si>
    <t>This sheet requests information that allows the AER to automatically import the RFM into our data management system (DMS).</t>
  </si>
  <si>
    <t>This sheet's metadata relates to the business and context for the RFM (rather than the RFM itself).</t>
  </si>
  <si>
    <t>RFM</t>
  </si>
  <si>
    <t>Forecast Real SL Depreciation</t>
  </si>
  <si>
    <t>Asset Class 31</t>
  </si>
  <si>
    <t>Asset Class 32</t>
  </si>
  <si>
    <t>Asset Class 33</t>
  </si>
  <si>
    <t>Asset Class 34</t>
  </si>
  <si>
    <t>Asset Class 35</t>
  </si>
  <si>
    <t>Asset Class 36</t>
  </si>
  <si>
    <t>Asset Class 37</t>
  </si>
  <si>
    <t>Asset Class 38</t>
  </si>
  <si>
    <t>Asset Class 39</t>
  </si>
  <si>
    <t>Asset Class 40</t>
  </si>
  <si>
    <t>Asset Class 41</t>
  </si>
  <si>
    <t>Asset Class 42</t>
  </si>
  <si>
    <t>Asset Class 43</t>
  </si>
  <si>
    <t>Asset Class 44</t>
  </si>
  <si>
    <t>Asset Class 45</t>
  </si>
  <si>
    <t>Asset Class 46</t>
  </si>
  <si>
    <t>Asset Class 47</t>
  </si>
  <si>
    <t>Asset Class 48</t>
  </si>
  <si>
    <t>Asset Class 49</t>
  </si>
  <si>
    <t>Asset Class 50</t>
  </si>
  <si>
    <t>Actual Capital Expenditure – As Incurred ($m Nominal)</t>
  </si>
  <si>
    <t>`</t>
  </si>
  <si>
    <t>Opening TAB</t>
  </si>
  <si>
    <t>TAB</t>
  </si>
  <si>
    <t>Final Year Asset Adjustments</t>
  </si>
  <si>
    <t>RL Start RAB</t>
  </si>
  <si>
    <t>WARL</t>
  </si>
  <si>
    <t>Start value</t>
  </si>
  <si>
    <t>Depreciated starting RAB</t>
  </si>
  <si>
    <t>Value of net addition ($nominal)</t>
  </si>
  <si>
    <t>First regulatory year</t>
  </si>
  <si>
    <t>Compounded Nominal Return on Difference - Net Capex</t>
  </si>
  <si>
    <t>Base Regulatory Year</t>
  </si>
  <si>
    <t>n/a</t>
  </si>
  <si>
    <t>2012-13</t>
  </si>
  <si>
    <t>Revenue cap</t>
  </si>
  <si>
    <t>Data in these columns used for data validation and database purposes.</t>
  </si>
  <si>
    <t>Date last modified:</t>
  </si>
  <si>
    <t>BUSINESS &amp; OTHER DETAILS</t>
  </si>
  <si>
    <t xml:space="preserve">dms_Model_List </t>
  </si>
  <si>
    <t>CA</t>
  </si>
  <si>
    <t>dms_RYE</t>
  </si>
  <si>
    <t>REGULATORY REPORTING STATEMENT</t>
  </si>
  <si>
    <t>CPI</t>
  </si>
  <si>
    <t>EB</t>
  </si>
  <si>
    <t>PTRM</t>
  </si>
  <si>
    <t>POST TAX REVENUE MODEL</t>
  </si>
  <si>
    <t>Reset</t>
  </si>
  <si>
    <t>ROLL FORWARD MODEL</t>
  </si>
  <si>
    <t>WACC</t>
  </si>
  <si>
    <t>WEIGHTED AVERAGE COST OF CAPITAL</t>
  </si>
  <si>
    <t>dms_TradingName_List</t>
  </si>
  <si>
    <t>dms_ABN_List</t>
  </si>
  <si>
    <t>dms_State_List</t>
  </si>
  <si>
    <t>dms_Sector_List</t>
  </si>
  <si>
    <t>dms_Segment_List</t>
  </si>
  <si>
    <t>dms_FormControl_List</t>
  </si>
  <si>
    <t>dms_CRCPlength_List</t>
  </si>
  <si>
    <t>dms_FRCPlength_List</t>
  </si>
  <si>
    <t>dms_JurisdictionList</t>
  </si>
  <si>
    <t>ACT</t>
  </si>
  <si>
    <t>Distribution</t>
  </si>
  <si>
    <t>SA</t>
  </si>
  <si>
    <t>Ausgrid</t>
  </si>
  <si>
    <t>Ausgrid (Tx Assets)</t>
  </si>
  <si>
    <t>AusNet (D)</t>
  </si>
  <si>
    <t>Vic</t>
  </si>
  <si>
    <t>Australian Distribution Co.</t>
  </si>
  <si>
    <t>CitiPower</t>
  </si>
  <si>
    <t>Qld</t>
  </si>
  <si>
    <t>Endeavour Energy</t>
  </si>
  <si>
    <t>Energex</t>
  </si>
  <si>
    <t>Ergon Energy</t>
  </si>
  <si>
    <t>Essential Energy</t>
  </si>
  <si>
    <t>Jemena Electricity</t>
  </si>
  <si>
    <t>Powercor Australia</t>
  </si>
  <si>
    <t>SA Power Networks</t>
  </si>
  <si>
    <t>TasNetworks (D)</t>
  </si>
  <si>
    <t>Tas</t>
  </si>
  <si>
    <t>United Energy</t>
  </si>
  <si>
    <t>EBSS - First application of scheme in forthcoming period?</t>
  </si>
  <si>
    <t>No</t>
  </si>
  <si>
    <t>Dollar $ real  (the last month before the FRCP_y1)</t>
  </si>
  <si>
    <t>dms_SourceList</t>
  </si>
  <si>
    <t>dms_FormControl_Choices</t>
  </si>
  <si>
    <t>After appeal</t>
  </si>
  <si>
    <t>Draft decision</t>
  </si>
  <si>
    <t>Revenue yield</t>
  </si>
  <si>
    <t>Final decision</t>
  </si>
  <si>
    <t>Weighted average price cap</t>
  </si>
  <si>
    <t>Jurisdiction</t>
  </si>
  <si>
    <t>Revised regulatory proposal</t>
  </si>
  <si>
    <t>Depreciated RAB adjustments</t>
  </si>
  <si>
    <t>RL RAB adjustments</t>
  </si>
  <si>
    <t>Value of RAB adjustment ($nominal)</t>
  </si>
  <si>
    <t>Value of TAB adjustment ($nominal)</t>
  </si>
  <si>
    <t>RL Start TAB</t>
  </si>
  <si>
    <t>RL TAB adjustments</t>
  </si>
  <si>
    <t>Depreciated TAB adjustments</t>
  </si>
  <si>
    <t>Nominal vanilla WACC (fixed real time varying)</t>
  </si>
  <si>
    <t>Remaining life of RAB adjustment</t>
  </si>
  <si>
    <t>Weighted Average Remaining Asset Life - based on year-by-year tracked capex</t>
  </si>
  <si>
    <t>Weighted Average Remaining Tax Asset Life - based on year-by-year tracked capex</t>
  </si>
  <si>
    <t>Remaining life of TAB adjustment</t>
  </si>
  <si>
    <t>FRCP length in years</t>
  </si>
  <si>
    <t>Remaining Asset Life of Adjustments to RAB (years)</t>
  </si>
  <si>
    <t>Remaining Tax Asset Life of Adjustments to TAB (years)</t>
  </si>
  <si>
    <t>Asset life</t>
  </si>
  <si>
    <t>Tax asset life</t>
  </si>
  <si>
    <t>Feeder Types</t>
  </si>
  <si>
    <t>Feeder Names</t>
  </si>
  <si>
    <t>CBD</t>
  </si>
  <si>
    <t>Urban</t>
  </si>
  <si>
    <t>Short rural</t>
  </si>
  <si>
    <t>long rural</t>
  </si>
  <si>
    <t>EXTRA</t>
  </si>
  <si>
    <t>dms_TradingNameFull_List</t>
  </si>
  <si>
    <t>dms_RPT_List</t>
  </si>
  <si>
    <t>dms_RPTMonth_List</t>
  </si>
  <si>
    <t>dms_663_List</t>
  </si>
  <si>
    <t>dms_DeterminationRef_List</t>
  </si>
  <si>
    <t>dms_Addr1_List</t>
  </si>
  <si>
    <t>dms_Addr2_List</t>
  </si>
  <si>
    <t>dms_Suburb_List</t>
  </si>
  <si>
    <t>dms_PostCode_List</t>
  </si>
  <si>
    <t>dms_PAddr1_List</t>
  </si>
  <si>
    <t>dms_PAddr2_List</t>
  </si>
  <si>
    <t>dms_PSuburb_List</t>
  </si>
  <si>
    <t>dms_PState_List</t>
  </si>
  <si>
    <t>dms_PPostCode_List</t>
  </si>
  <si>
    <t>dms_CBD_flag</t>
  </si>
  <si>
    <t>dms_Urban_flag</t>
  </si>
  <si>
    <t>dms_ShortRural_flag</t>
  </si>
  <si>
    <t>dms_LongRural_flag</t>
  </si>
  <si>
    <t>dms_FeederType_5_flag</t>
  </si>
  <si>
    <t>dms_FeederName_1</t>
  </si>
  <si>
    <t>dms_FeederName_2</t>
  </si>
  <si>
    <t>dms_FeederName_3</t>
  </si>
  <si>
    <t>dms_FeederName_4</t>
  </si>
  <si>
    <t>dms_FeederName_5</t>
  </si>
  <si>
    <t>Financial</t>
  </si>
  <si>
    <t>June</t>
  </si>
  <si>
    <t>2014-19 Distribution Determination</t>
  </si>
  <si>
    <t>40 Bunda Street</t>
  </si>
  <si>
    <t>CANBERRA</t>
  </si>
  <si>
    <t>GPO BOX 366</t>
  </si>
  <si>
    <t>NO</t>
  </si>
  <si>
    <t>YES</t>
  </si>
  <si>
    <t>Long rural</t>
  </si>
  <si>
    <t>distribution determination</t>
  </si>
  <si>
    <t>x</t>
  </si>
  <si>
    <t>NT</t>
  </si>
  <si>
    <t>SYDNEY</t>
  </si>
  <si>
    <t>2000</t>
  </si>
  <si>
    <t>570 George St</t>
  </si>
  <si>
    <t>Calendar</t>
  </si>
  <si>
    <t>December</t>
  </si>
  <si>
    <t>2016-20 Distribution Determination</t>
  </si>
  <si>
    <t>Level 32</t>
  </si>
  <si>
    <t>2 Southbank Boulevard</t>
  </si>
  <si>
    <t>SOUTHBANK</t>
  </si>
  <si>
    <t>Locked Bag 14051</t>
  </si>
  <si>
    <t>MELBOURNE CITY MAIL CENTRE</t>
  </si>
  <si>
    <t>40 Market Street</t>
  </si>
  <si>
    <t>MELBOURNE</t>
  </si>
  <si>
    <t>Locked Bag 14090</t>
  </si>
  <si>
    <t>ADELAIDE</t>
  </si>
  <si>
    <t>51 Huntingwood Drive</t>
  </si>
  <si>
    <t>HUNTINGWOOD</t>
  </si>
  <si>
    <t>PO Box 811</t>
  </si>
  <si>
    <t>SEVEN HILLS</t>
  </si>
  <si>
    <t>2015-20 Distribution Determination</t>
  </si>
  <si>
    <t>26 Reddacliff Street</t>
  </si>
  <si>
    <t>NEWSTEAD</t>
  </si>
  <si>
    <t>QLD</t>
  </si>
  <si>
    <t>22 Walker Street</t>
  </si>
  <si>
    <t>TOWNSVILLE</t>
  </si>
  <si>
    <t>Po Box 264</t>
  </si>
  <si>
    <t>FORTITUDE VALLEY</t>
  </si>
  <si>
    <t>8 Buller Street</t>
  </si>
  <si>
    <t>PORT MACQUARIE</t>
  </si>
  <si>
    <t>PO Box 5730</t>
  </si>
  <si>
    <t>Level 16</t>
  </si>
  <si>
    <t>567 Collins Street</t>
  </si>
  <si>
    <t>PO Box 16182</t>
  </si>
  <si>
    <t>Locked bag 14090</t>
  </si>
  <si>
    <t>1 Anzac Highway</t>
  </si>
  <si>
    <t>KESWICK</t>
  </si>
  <si>
    <t>GPO Box 77</t>
  </si>
  <si>
    <t>Critical Infrastructure</t>
  </si>
  <si>
    <t>High density commercial</t>
  </si>
  <si>
    <t>High density rural</t>
  </si>
  <si>
    <t>Low density rural</t>
  </si>
  <si>
    <t>1-7 Maria Street</t>
  </si>
  <si>
    <t>LENAH VALLEY</t>
  </si>
  <si>
    <t>PO Box 606</t>
  </si>
  <si>
    <t>MOONAH</t>
  </si>
  <si>
    <t>PO Box 449</t>
  </si>
  <si>
    <t>MOUNT WAVERLEY</t>
  </si>
  <si>
    <t>dms_020303_01_UOM</t>
  </si>
  <si>
    <t>dms_020501_01_UOM</t>
  </si>
  <si>
    <t>dms_020501_02_UOM</t>
  </si>
  <si>
    <t>dms_020501_03_UOM</t>
  </si>
  <si>
    <t>dms_020501_04_UOM</t>
  </si>
  <si>
    <t>dms_020603_01_UOM</t>
  </si>
  <si>
    <t>dms_040102_01_UOM</t>
  </si>
  <si>
    <t>dms_040102_04_UOM</t>
  </si>
  <si>
    <t>dms_030601_01_UOM</t>
  </si>
  <si>
    <t>dms_030601_02_UOM</t>
  </si>
  <si>
    <t>dms_030701_01_UOM</t>
  </si>
  <si>
    <t>dms_030702_01_UOM</t>
  </si>
  <si>
    <t>dms_030703_01_UOM</t>
  </si>
  <si>
    <t>ARR</t>
  </si>
  <si>
    <t>New line on new route - single circuit</t>
  </si>
  <si>
    <t>Circuit line length in km</t>
  </si>
  <si>
    <t>0's</t>
  </si>
  <si>
    <t>days</t>
  </si>
  <si>
    <t>minutes/customer</t>
  </si>
  <si>
    <t>Customer / km</t>
  </si>
  <si>
    <t>%</t>
  </si>
  <si>
    <t>km</t>
  </si>
  <si>
    <t>New line on new route - dual circuit</t>
  </si>
  <si>
    <t>MWh/customer</t>
  </si>
  <si>
    <t>Number of spans</t>
  </si>
  <si>
    <t>New line on new route - other</t>
  </si>
  <si>
    <t>MVA added</t>
  </si>
  <si>
    <t>$0s</t>
  </si>
  <si>
    <t>interruptions/customer</t>
  </si>
  <si>
    <t>kVA / customer</t>
  </si>
  <si>
    <t>Line rebuild over existing route - single circuit</t>
  </si>
  <si>
    <t>Line rebuild over existing route - dual circuit</t>
  </si>
  <si>
    <t>Number</t>
  </si>
  <si>
    <t>total spend $0s</t>
  </si>
  <si>
    <t>(per cent)</t>
  </si>
  <si>
    <t>Reconductor - Single circuit</t>
  </si>
  <si>
    <t>net circuit km added</t>
  </si>
  <si>
    <t>Years</t>
  </si>
  <si>
    <t>Reconductor - Dual circuit</t>
  </si>
  <si>
    <t>Other</t>
  </si>
  <si>
    <t>Trees</t>
  </si>
  <si>
    <t>Defects</t>
  </si>
  <si>
    <t>Spans</t>
  </si>
  <si>
    <t/>
  </si>
  <si>
    <t>CRCP_y1</t>
  </si>
  <si>
    <t>2005-06</t>
  </si>
  <si>
    <t>CRCP_y2</t>
  </si>
  <si>
    <t>2006-07</t>
  </si>
  <si>
    <t>number</t>
  </si>
  <si>
    <t>CRCP_y3</t>
  </si>
  <si>
    <t>2007-08</t>
  </si>
  <si>
    <t>2008</t>
  </si>
  <si>
    <t>CRCP_y4</t>
  </si>
  <si>
    <t>2008-09</t>
  </si>
  <si>
    <t>2009</t>
  </si>
  <si>
    <t>CRCP_y5</t>
  </si>
  <si>
    <t>2009-10</t>
  </si>
  <si>
    <t>CRCP_y6</t>
  </si>
  <si>
    <t>2010-11</t>
  </si>
  <si>
    <t>CRCP_y7</t>
  </si>
  <si>
    <t>2011-12</t>
  </si>
  <si>
    <t>CRCP_y8</t>
  </si>
  <si>
    <t>CRCP_y9</t>
  </si>
  <si>
    <t>2013-14</t>
  </si>
  <si>
    <t>CRCP_y10</t>
  </si>
  <si>
    <t>2014-15</t>
  </si>
  <si>
    <t>2015-16</t>
  </si>
  <si>
    <t>2016-17</t>
  </si>
  <si>
    <t>2017-18</t>
  </si>
  <si>
    <t>2018-19</t>
  </si>
  <si>
    <t>2019-20</t>
  </si>
  <si>
    <t>dms_DataQuality_List</t>
  </si>
  <si>
    <t>Actual</t>
  </si>
  <si>
    <t>Estimate</t>
  </si>
  <si>
    <t>Reason for interruption</t>
  </si>
  <si>
    <t>dms_Reason_Interruption</t>
  </si>
  <si>
    <t>Animal</t>
  </si>
  <si>
    <t>Animal impact</t>
  </si>
  <si>
    <t>Animal nesting/burrowing, etc and other</t>
  </si>
  <si>
    <t>Asset failure</t>
  </si>
  <si>
    <t>LV</t>
  </si>
  <si>
    <t>Overloads</t>
  </si>
  <si>
    <t>Distribution substation</t>
  </si>
  <si>
    <t>Planned</t>
  </si>
  <si>
    <t>HV</t>
  </si>
  <si>
    <t>Network business</t>
  </si>
  <si>
    <t>Zone substation</t>
  </si>
  <si>
    <t>Third party</t>
  </si>
  <si>
    <t>Subtransmission</t>
  </si>
  <si>
    <t>Unknown</t>
  </si>
  <si>
    <t>insert description of 'other'</t>
  </si>
  <si>
    <t>Vegetation</t>
  </si>
  <si>
    <t>Weather</t>
  </si>
  <si>
    <t>2 - STPIS Exclusion (3.3)(a)</t>
  </si>
  <si>
    <t>Network error</t>
  </si>
  <si>
    <t>3 - STPIS Exclusion (3.3)(a)</t>
  </si>
  <si>
    <t>Switching and protection error</t>
  </si>
  <si>
    <t>4 - STPIS Exclusion (3.3)(a)</t>
  </si>
  <si>
    <t>Fire</t>
  </si>
  <si>
    <t>5 - STPIS Exclusion (3.3)(a)</t>
  </si>
  <si>
    <t>6 - STPIS Exclusion (3.3)(a)</t>
  </si>
  <si>
    <t>Dig-in</t>
  </si>
  <si>
    <t>7 - STPIS Exclusion (3.3)(a)</t>
  </si>
  <si>
    <t>Unauthorised access</t>
  </si>
  <si>
    <t>Vehicle impact</t>
  </si>
  <si>
    <t>Blow-in/Fall-in - NSP responsibility</t>
  </si>
  <si>
    <t>Grow-in - NSP responsibility</t>
  </si>
  <si>
    <t>Blow-in/Fall-in - Other responsible party</t>
  </si>
  <si>
    <t>Grow-in - Other responsible party</t>
  </si>
  <si>
    <t>ENTITY DETAILS</t>
  </si>
  <si>
    <t>Short name</t>
  </si>
  <si>
    <t>REGULATORY CONTROL PERIODS</t>
  </si>
  <si>
    <t>Submission Date</t>
  </si>
  <si>
    <t>dms_SubmissionDate</t>
  </si>
  <si>
    <t>dms_Sector</t>
  </si>
  <si>
    <t>=INDEX(dms_Sector_List,MATCH(dms_TradingName,dms_TradingName_List))</t>
  </si>
  <si>
    <t>dms_Segment</t>
  </si>
  <si>
    <t>=INDEX(dms_Segment_List,MATCH(dms_TradingName,dms_TradingName_List))</t>
  </si>
  <si>
    <t>=IF(dms_MultiYear_Flag=1,LEFT(dms_Specified_FinalYear,2)&amp;RIGHT(dms_Specified_FinalYear,2),INDEX(dms_RYE_Formula_Result,MATCH(dms_Model,dms_Model_List)))</t>
  </si>
  <si>
    <t>dms_RPT</t>
  </si>
  <si>
    <t>=INDEX(dms_RPT_List,MATCH(dms_TradingName,dms_TradingName_List))</t>
  </si>
  <si>
    <t>dms_Model</t>
  </si>
  <si>
    <t>dms_Classification</t>
  </si>
  <si>
    <t>Always Public</t>
  </si>
  <si>
    <t>Dollar $ real month</t>
  </si>
  <si>
    <t>dms_RPTMonth</t>
  </si>
  <si>
    <t>=INDEX(dms_RPTMonth_List,MATCH(dms_TradingName,dms_TradingName_List))</t>
  </si>
  <si>
    <t>dms_DollarReal</t>
  </si>
  <si>
    <t>dms_FormControl</t>
  </si>
  <si>
    <t>=INDEX(dms_FormControl_List,MATCH(dms_TradingName,dms_TradingName_List))</t>
  </si>
  <si>
    <t>dms_Jurisdiction</t>
  </si>
  <si>
    <t>=INDEX(dms_JurisdictionList,MATCH(dms_TradingName,dms_TradingName_List))</t>
  </si>
  <si>
    <t>dms_MultiYear_Flag</t>
  </si>
  <si>
    <t>dms_Specified_FinalYear</t>
  </si>
  <si>
    <t>dms_EB</t>
  </si>
  <si>
    <t>dms_CA</t>
  </si>
  <si>
    <t>=dms_SingleYear_Model</t>
  </si>
  <si>
    <t>dms_ARR</t>
  </si>
  <si>
    <t>Single Year Final Year Result</t>
  </si>
  <si>
    <t>dms_SingleYear_FinalYear_Result</t>
  </si>
  <si>
    <t>dms_FRCPlength_Num</t>
  </si>
  <si>
    <t>=INDEX(dms_FRCPlength_List,MATCH(dms_TradingName,dms_TradingName_List))</t>
  </si>
  <si>
    <t>dms_MultiYear_FinalYear_Result</t>
  </si>
  <si>
    <t>CRCP length in years</t>
  </si>
  <si>
    <t>dms_CRCPlength_Num</t>
  </si>
  <si>
    <t>=INDEX(dms_CRCPlength_List,MATCH(dms_TradingName,dms_TradingName_List))</t>
  </si>
  <si>
    <t>dms_CRCP_FinalYear_Result</t>
  </si>
  <si>
    <t>Table 6.6.3 - Public lighting repair - no. business days</t>
  </si>
  <si>
    <t>dms_663</t>
  </si>
  <si>
    <t>Distribution Determination Reference</t>
  </si>
  <si>
    <t>EB/CA Unit of Measure for Monetary Values</t>
  </si>
  <si>
    <t>dms_dollar_nom_UOM</t>
  </si>
  <si>
    <t>discard this record?</t>
  </si>
  <si>
    <t>dms_DISCARD</t>
  </si>
  <si>
    <t>If record is to be discarded from DB set this flag to YES</t>
  </si>
  <si>
    <t>USES NAMED RANGES FLAG</t>
  </si>
  <si>
    <t>yes</t>
  </si>
  <si>
    <t>dms_Defined_Names_Used</t>
  </si>
  <si>
    <t>2020-21</t>
  </si>
  <si>
    <t>2021-22</t>
  </si>
  <si>
    <t>2022-23</t>
  </si>
  <si>
    <t>added (Albury and Victora) for AGN</t>
  </si>
  <si>
    <t>updated TransGrid's correct legal name, corrected TasNetworks (T) to June financial year</t>
  </si>
  <si>
    <t>inserted Power and Water, added NRs (dms_FeederCat_1 and dms_FeederCat_2)</t>
  </si>
  <si>
    <t>inserted AEMO as a business</t>
  </si>
  <si>
    <t>FOR ELECTRICITY BUSINESSES ONLY</t>
  </si>
  <si>
    <t>GPO Box 4009</t>
  </si>
  <si>
    <t>2001</t>
  </si>
  <si>
    <t>AusNet Electricity Services Pty Ltd</t>
  </si>
  <si>
    <t>Australian Distribution Co. (Vic)</t>
  </si>
  <si>
    <t>Australian Distribution Co. (Victoria)</t>
  </si>
  <si>
    <t>43-45 Centreway</t>
  </si>
  <si>
    <t>Power and Water</t>
  </si>
  <si>
    <t>Power and Water Corporation</t>
  </si>
  <si>
    <t>GPO Box 1921</t>
  </si>
  <si>
    <t>DARWIN</t>
  </si>
  <si>
    <t>The Reg Year Ending (dms_RYE) must be set to the last year of the regulatory period. For forecast data is is usually (FRCP_y5) for actual it is a single year (CRY). For historical actual data the RYE will need to be set manually in the business details sheet by setting the dms_Multiyear_flag to 1 and putting the correct value in 'dms_Specified_FinalYear. See cells C67:C68</t>
  </si>
  <si>
    <t>dms_Reason_Interruption_Detailed</t>
  </si>
  <si>
    <t>dms_STPIS_Exclusion_List</t>
  </si>
  <si>
    <t>dms_020701_01_UOM</t>
  </si>
  <si>
    <t>dms_020701_02_UOM</t>
  </si>
  <si>
    <t>dms_030605_UOM</t>
  </si>
  <si>
    <t>dms_03060703_UOM</t>
  </si>
  <si>
    <t>Equipment failure</t>
  </si>
  <si>
    <t>Operational error</t>
  </si>
  <si>
    <t>Animals</t>
  </si>
  <si>
    <t>Third party impacts</t>
  </si>
  <si>
    <t>years</t>
  </si>
  <si>
    <t>Transmission failure</t>
  </si>
  <si>
    <t>Load shedding</t>
  </si>
  <si>
    <t>Inter-distributor connection failure</t>
  </si>
  <si>
    <t>For all files either AER or business needs to be able to specify the type of submission</t>
  </si>
  <si>
    <t>For PTRM &amp; RFM templates we must provide a choice in case they change their form of control - otherwise it is drawn from the business specific lookup table above.</t>
  </si>
  <si>
    <t>DMS_Xfactor</t>
  </si>
  <si>
    <t>x factors</t>
  </si>
  <si>
    <t>CRCP_y11</t>
  </si>
  <si>
    <t>CRCP_y12</t>
  </si>
  <si>
    <t>CRCP_y13</t>
  </si>
  <si>
    <t>CRCP_y14</t>
  </si>
  <si>
    <t>CRCP_y15</t>
  </si>
  <si>
    <t>2006</t>
  </si>
  <si>
    <t>2007</t>
  </si>
  <si>
    <t>2023-24</t>
  </si>
  <si>
    <t>2024-25</t>
  </si>
  <si>
    <t>2025-26</t>
  </si>
  <si>
    <t>2026-27</t>
  </si>
  <si>
    <t>2027-28</t>
  </si>
  <si>
    <t>2028-29</t>
  </si>
  <si>
    <t>2029-30</t>
  </si>
  <si>
    <t>2030-31</t>
  </si>
  <si>
    <t>2031-32</t>
  </si>
  <si>
    <t>2032-33</t>
  </si>
  <si>
    <t>2033-34</t>
  </si>
  <si>
    <t>2034-35</t>
  </si>
  <si>
    <t>2035-36</t>
  </si>
  <si>
    <t>Dollar $ real previous year (PRCP_y5)</t>
  </si>
  <si>
    <t>dms_DollarReal_Prev</t>
  </si>
  <si>
    <t>=IF(SUM(dms_SingleYear_Model)&gt;0,CONCATENATE(dms_RPTMonth)&amp;" "&amp;VALUE(((LEFT(CRY,2))&amp;RIGHT(CRY,2))-1),CONCATENATE(dms_RPTMonth)&amp;" "&amp;VALUE(((LEFT(dms_CRCP_FirstYear_Result,2)&amp;RIGHT(dms_CRCP_FirstYear_Result,2))))-1)</t>
  </si>
  <si>
    <t>Calendar Year for table 3.6 data</t>
  </si>
  <si>
    <t>dms_0306_Year</t>
  </si>
  <si>
    <t>dms_DeterminationRef</t>
  </si>
  <si>
    <t>Is this Submission File a Subset File</t>
  </si>
  <si>
    <t>dms_Partial</t>
  </si>
  <si>
    <t>CBD Feeder for this business</t>
  </si>
  <si>
    <t>dms_CBD_flag_NSP</t>
  </si>
  <si>
    <t>Urban Feeder for this business</t>
  </si>
  <si>
    <t>dms_Urban_flag_NSP</t>
  </si>
  <si>
    <t>Short rural Feeder for this business</t>
  </si>
  <si>
    <t>dms_ShortRural_flag_NSP</t>
  </si>
  <si>
    <t>Long rural Feeder for this business</t>
  </si>
  <si>
    <t>dms_LongRural_flag_NSP</t>
  </si>
  <si>
    <t>Depreciated starting TAB</t>
  </si>
  <si>
    <t>Lagged Inflation Option</t>
  </si>
  <si>
    <t>Partially-lagged Inflation</t>
  </si>
  <si>
    <t>All-lagged Inflation</t>
  </si>
  <si>
    <t>Real Straight-line RAB Depreciation Option</t>
  </si>
  <si>
    <t>Opening Asset Value</t>
  </si>
  <si>
    <t>Forecast Net Capex</t>
  </si>
  <si>
    <t>Forecast Regulatory Depreciation</t>
  </si>
  <si>
    <t>Difference in Final Year Capex</t>
  </si>
  <si>
    <t>Return on Difference in Final Year Capex</t>
  </si>
  <si>
    <t>Other Final Year Adjustments</t>
  </si>
  <si>
    <t>Asset Values ($m Nominal)</t>
  </si>
  <si>
    <t>Closing Regulatory Asset Base</t>
  </si>
  <si>
    <t>RAB</t>
  </si>
  <si>
    <t>Compounded Nominal Return on Adjustment</t>
  </si>
  <si>
    <t>Nominal RAB Adjustment for Year t-2 Net capex and Year t-1 Straight-line Depreciation</t>
  </si>
  <si>
    <t>Assets Under Construction</t>
  </si>
  <si>
    <t>Actual Real SL Depreciation</t>
  </si>
  <si>
    <t>Return on Adjustment</t>
  </si>
  <si>
    <t>Electricity Distribution Network Service Provider</t>
  </si>
  <si>
    <t>Roll Forward Model</t>
  </si>
  <si>
    <t>Version:</t>
  </si>
  <si>
    <t>Date:</t>
  </si>
  <si>
    <t>December 2016</t>
  </si>
  <si>
    <t>Introduction</t>
  </si>
  <si>
    <t>This model is used by the AER to determine the opening regulatory and tax asset bases for a distribution network service provider. It also calculates the weighted average remaining asset lives for regulatory and tax purposes using the asset values as weights.</t>
  </si>
  <si>
    <t>The roll forward of the asset base is undertaken in nominal terms.</t>
  </si>
  <si>
    <t>INSTRUCTIONS FOR USE</t>
  </si>
  <si>
    <t>The RFM handbook is available on the AER website at http://www.aer.gov.au</t>
  </si>
  <si>
    <t xml:space="preserve">a. Fill out input cells on the 'DMS Input' sheet. These input cells are highlighted blue. </t>
  </si>
  <si>
    <t>This provides information on the service provider submitting the RFM and the context for the RFM preparation.</t>
  </si>
  <si>
    <t>This information also controls the automatic import of the RFM into the AER's Data Management System (DMS).</t>
  </si>
  <si>
    <t xml:space="preserve">b. Fill out input cells on the 'RFM Input' sheet. These input cells are highlighted blue. </t>
  </si>
  <si>
    <t>This provides the data for the RFM calculations.</t>
  </si>
  <si>
    <t>In general, input expenditure data should be valued in nominal dollar terms of the year indicated.</t>
  </si>
  <si>
    <t>Units and basis for entry are specified where required for each data table.</t>
  </si>
  <si>
    <t>c. The values in the 'PTRM input summary' sheet</t>
  </si>
  <si>
    <t xml:space="preserve">This sheet summarises the key outputs of the RFM. These include the opening regulatory and tax asset values, and remaining asset lives. They become the inputs to the PTRM. </t>
  </si>
  <si>
    <t>VERSION RECORD</t>
  </si>
  <si>
    <t>Version</t>
  </si>
  <si>
    <t>Date</t>
  </si>
  <si>
    <t>Description</t>
  </si>
  <si>
    <t>June 2008</t>
  </si>
  <si>
    <t>Initial model</t>
  </si>
  <si>
    <t>Added new input sections for end of period adjustments, and removed redundant inputs</t>
  </si>
  <si>
    <t>Built-in option to select actual or forecast depreciation approach for the RAB roll forward</t>
  </si>
  <si>
    <t>Adjusted depreciation calculation formula in the RAB roll forward and TAB roll forward period start date</t>
  </si>
  <si>
    <t>Updated inputs to handle different annual WACCs due to time-varying return on debt</t>
  </si>
  <si>
    <t>Added calculations of weighted average remaining lives for RAB and TAB to individually track capex over multiple periods</t>
  </si>
  <si>
    <t>Enabled automatic import into AER DMS</t>
  </si>
  <si>
    <t>Changes made to accommodate the final tax report findings including immediiate expensing and diminishing value approach to tax depreciation</t>
  </si>
  <si>
    <t>Built-in option to select actual or forecasat depreciation approach for the TAB roll forward</t>
  </si>
  <si>
    <t>Attached an additional file to the RFM for the AER approach to year-by-year tracked depreciation</t>
  </si>
  <si>
    <t>Actual Weighted Average Remaining Life Real SL Depreciation</t>
  </si>
  <si>
    <t>Actual Year-by-Year Tracking Real SL Depreciation</t>
  </si>
  <si>
    <t>Weighted Average Remaining Life Depreciation</t>
  </si>
  <si>
    <t>Standard Life for Previous Regulatory Control Period (Year)</t>
  </si>
  <si>
    <t>Tax Standard Life for Previous Regulatory Control Period (Year)</t>
  </si>
  <si>
    <t>Nominal Adjustment for Year t-2 Capex Excluded from RAB (Indexed 1 Year)</t>
  </si>
  <si>
    <t>Nominal Adjustment to Year t-1 Straight-line Depreciation</t>
  </si>
  <si>
    <t>Difference Between Actual and Forecast Net Capex for Year t-1</t>
  </si>
  <si>
    <t>Actual Tax Depreciation Option</t>
  </si>
  <si>
    <t>Ex-post Adjustment for Year t-2 Excluded Capex</t>
  </si>
  <si>
    <t>Added t-2 ex-post review of capex true-up calculations</t>
  </si>
  <si>
    <t>Nominal Adjustments for Difference Between Forecast and Actual Net Capex in Final Year (t-1)</t>
  </si>
  <si>
    <t>Ex-post Review: Nominal Adjustments for Excluded Capex in Second Last Year (t-2)</t>
  </si>
  <si>
    <t>Year-by-Year Tracking Depreciation</t>
  </si>
  <si>
    <t>Depreciation Method for RAB Roll Forward in Previous Regulatory Control Period</t>
  </si>
  <si>
    <t>Is Year t-2 Capex to be Revised?</t>
  </si>
  <si>
    <t>Depreciation Method for TAB Roll Forward in Previous Regulatory Control Period</t>
  </si>
  <si>
    <t>Yes</t>
  </si>
  <si>
    <t>WARL Depreciation</t>
  </si>
  <si>
    <t>Actual Capital Expenditure – As Incurred: before movements in capitalised provisions ($m Nominal)</t>
  </si>
  <si>
    <t>Movements in capitalised provisions ($m Nominal)</t>
  </si>
  <si>
    <t>Actual Capital Expenditure – As Incurred: after movements in capitalised provisions ($m Nominal)</t>
  </si>
  <si>
    <t>Ex-post Review Inputs: Adjustments for Excluded Capex in the Second Last Year (Year t-2) of Previous Regulatory Control Period ($m Nominal)</t>
  </si>
  <si>
    <t>Ex-post Review Options: Adjustments for Excluded Capex in the Second Last Year (Year t-2) of Previous Regulatory Control Period ($m Nominal)</t>
  </si>
  <si>
    <t>Actual Year-by-Year Tracking Tax Depreciation ($m Nominal)</t>
  </si>
  <si>
    <t>Electricity Distribution Model</t>
  </si>
  <si>
    <t>dms_060301_MED</t>
  </si>
  <si>
    <t>dms_060301_Effect_unplanned_SAIFI_Values</t>
  </si>
  <si>
    <t>dms_060301_Effect_unplanned_SAIDI_Values</t>
  </si>
  <si>
    <t>dms_060301_Avg_Duration_Sustained_Int_Values</t>
  </si>
  <si>
    <t>dms_060301_CustNo_Affected_Values</t>
  </si>
  <si>
    <t>dms_060301_DetailedReason</t>
  </si>
  <si>
    <t>dms_060301_Reason</t>
  </si>
  <si>
    <t>dms_060301_FeederClass</t>
  </si>
  <si>
    <t>dms_060301_AssetID</t>
  </si>
  <si>
    <t>dms_060301_Event_Time</t>
  </si>
  <si>
    <t>dms_060301_Event_Date</t>
  </si>
  <si>
    <t>CA 6.3 sustained interruptions</t>
  </si>
  <si>
    <t>dms_060801_StartCell</t>
  </si>
  <si>
    <t>dms_060801_04_Values</t>
  </si>
  <si>
    <t>dms_060801_Excl_Cat</t>
  </si>
  <si>
    <t>dms_060801_03_Values</t>
  </si>
  <si>
    <t>dms_060801_02_Values</t>
  </si>
  <si>
    <t>dms_060801_01_Values</t>
  </si>
  <si>
    <t>dms_060801_CauseID</t>
  </si>
  <si>
    <t>dms_060801_FeederClass</t>
  </si>
  <si>
    <t>dms_060801_FeederID</t>
  </si>
  <si>
    <t>dms_060801_OutageID</t>
  </si>
  <si>
    <t>dms_060801_Event_Date</t>
  </si>
  <si>
    <t>ARR's  6.8 STPIS exclusions</t>
  </si>
  <si>
    <t>dms_LeapYear</t>
  </si>
  <si>
    <t>dms_060701_Values</t>
  </si>
  <si>
    <t>dms_060102_Values</t>
  </si>
  <si>
    <t>dms_060101_Values</t>
  </si>
  <si>
    <t>ARRs 6.7 STPIS daily performance</t>
  </si>
  <si>
    <t>Use these to add to specific worksheets in existing files</t>
  </si>
  <si>
    <t>dms_0603_FeederList</t>
  </si>
  <si>
    <t>the number of column headings changes from 10 to 12 depending on the number of feeder categories for the NSP</t>
  </si>
  <si>
    <t>After removing excluded events</t>
  </si>
  <si>
    <t>All events</t>
  </si>
  <si>
    <t>dms_060701_Rows</t>
  </si>
  <si>
    <t>Network</t>
  </si>
  <si>
    <t>dms_060701_Feeder_Header_Lvl4</t>
  </si>
  <si>
    <t>Table 6.7.1 - daily performance data - unplanned - MAIFI  -- row descriptions and header named range values</t>
  </si>
  <si>
    <t>These headings (Lists) are determined from the INDEX/MATCH function on the NSP selected on the Business &amp; other details sheet</t>
  </si>
  <si>
    <t>with exclusions</t>
  </si>
  <si>
    <t>without exclusions</t>
  </si>
  <si>
    <t>dms_070904_01_Rows</t>
  </si>
  <si>
    <t>Table 7.9.4 - market impact component - row descriptions</t>
  </si>
  <si>
    <t>Effect on unplanned MAIFI</t>
  </si>
  <si>
    <t>Total unplanned minutes off supply</t>
  </si>
  <si>
    <t>Duration of interruptions</t>
  </si>
  <si>
    <t>Number of interruptions</t>
  </si>
  <si>
    <t>dms_060801_04_Rows</t>
  </si>
  <si>
    <t>dms_060801_03_Rows</t>
  </si>
  <si>
    <t>dms_060801_02_Rows</t>
  </si>
  <si>
    <t>dms_060801_01_Rows</t>
  </si>
  <si>
    <t>Table 6.8.1 - row descriptions</t>
  </si>
  <si>
    <t xml:space="preserve">Number of calls answered within 30 seconds 
(after excluding excluded events) </t>
  </si>
  <si>
    <t>Total number of calls 
(after removing excluded events)</t>
  </si>
  <si>
    <t>dms_060101_StartDateTxt</t>
  </si>
  <si>
    <t>dms_060102_Rows</t>
  </si>
  <si>
    <t>dms_060101_Rows</t>
  </si>
  <si>
    <t>Table 6.1 telephone answering - row descriptions and start date</t>
  </si>
  <si>
    <t>Effect on unplanned SAIFI</t>
  </si>
  <si>
    <t>Effect on unplanned SAIDI</t>
  </si>
  <si>
    <t>Average duration of sustained customer interruption</t>
  </si>
  <si>
    <t>Number of customers affected by the interruption</t>
  </si>
  <si>
    <t>dms_060301_Effect_unplanned_SAIFI_Row</t>
  </si>
  <si>
    <t>dms_060301_Effect_unplanned_SAIDI_Row</t>
  </si>
  <si>
    <t>dms_060301_Avg_Duration_Sustained_Int_Row</t>
  </si>
  <si>
    <t>dms_060301_CustNo_Affected_Row</t>
  </si>
  <si>
    <t>Table 6.3 sustained interruptions - row descriptions</t>
  </si>
  <si>
    <t>These "row descriptions" are the column headings in the various templates but become row descriptions in the ETL process</t>
  </si>
  <si>
    <t xml:space="preserve">STPIS &amp; MIC NAMED RANGES </t>
  </si>
  <si>
    <t>End of year</t>
  </si>
  <si>
    <t>Beginning of year</t>
  </si>
  <si>
    <t>dms_PTRM_TAB_PIT</t>
  </si>
  <si>
    <t>dms_PTRM_RAB_PIT</t>
  </si>
  <si>
    <t>End of Year</t>
  </si>
  <si>
    <t>Mid year</t>
  </si>
  <si>
    <t>dms_End</t>
  </si>
  <si>
    <t>dms_Mid</t>
  </si>
  <si>
    <t>dms_Beg</t>
  </si>
  <si>
    <t>Number of services replaced</t>
  </si>
  <si>
    <t>Length of mains replaced</t>
  </si>
  <si>
    <t>Spare</t>
  </si>
  <si>
    <t>dms_E020202_UOM</t>
  </si>
  <si>
    <t>ARR 
DNSP ONLY</t>
  </si>
  <si>
    <t>dms_EB_RAB_PIT</t>
  </si>
  <si>
    <t>EB &amp; RESET RINS 
DNSP &amp; TNSP</t>
  </si>
  <si>
    <r>
      <t xml:space="preserve">EB &amp; RESET RINS 
</t>
    </r>
    <r>
      <rPr>
        <sz val="26"/>
        <color rgb="FFFF0000"/>
        <rFont val="Calibri"/>
        <family val="2"/>
        <scheme val="minor"/>
      </rPr>
      <t>TNSP ONLY</t>
    </r>
  </si>
  <si>
    <t>WHEN INSERTING COVER SHEET INTO A TNSP FILE - APPLY THESE NAMED RANGES</t>
  </si>
  <si>
    <r>
      <t xml:space="preserve">EB &amp; RESET RINS 
</t>
    </r>
    <r>
      <rPr>
        <sz val="26"/>
        <color rgb="FFFF0000"/>
        <rFont val="Calibri"/>
        <family val="2"/>
        <scheme val="minor"/>
      </rPr>
      <t>DNSP ONLY</t>
    </r>
  </si>
  <si>
    <t>CA &amp; RESET RINS 
DNSP &amp; TNSP</t>
  </si>
  <si>
    <t>metres</t>
  </si>
  <si>
    <t>CA &amp; RESET RINS 
TNSP ONLY</t>
  </si>
  <si>
    <t>Average frequency of cutting cycle</t>
  </si>
  <si>
    <t>Average number of trees per maintenance span</t>
  </si>
  <si>
    <t>Length of vegetation corridors</t>
  </si>
  <si>
    <t>number per connection</t>
  </si>
  <si>
    <t>Total length of maintenance spans</t>
  </si>
  <si>
    <t>per service per connection</t>
  </si>
  <si>
    <t>Number of maintenance spans</t>
  </si>
  <si>
    <t>metres per connection</t>
  </si>
  <si>
    <t>per metre per connection</t>
  </si>
  <si>
    <t>number per km</t>
  </si>
  <si>
    <t>Route line length within zone</t>
  </si>
  <si>
    <t>dms_E050202_UOM</t>
  </si>
  <si>
    <t>dms_E050201_UOM</t>
  </si>
  <si>
    <t>dms_S140201_UOM</t>
  </si>
  <si>
    <t>dms_S140101_UOM</t>
  </si>
  <si>
    <t>dms_020701_01_Rows</t>
  </si>
  <si>
    <t>CA &amp; RESET RINS 
DNSP ONLY</t>
  </si>
  <si>
    <t>GAS ARR &amp; RESET</t>
  </si>
  <si>
    <t>NAMED RANGES USED IN ETL PROCESS</t>
  </si>
  <si>
    <t>String spare circuit</t>
  </si>
  <si>
    <t>Line upgrade - capacity</t>
  </si>
  <si>
    <t>Line upgrade - voltage upgrade</t>
  </si>
  <si>
    <t>Line upgrade - raising/retensoring</t>
  </si>
  <si>
    <t xml:space="preserve"> Other</t>
  </si>
  <si>
    <t>Reconductor - Other</t>
  </si>
  <si>
    <t xml:space="preserve"> Environment</t>
  </si>
  <si>
    <t xml:space="preserve"> Safety</t>
  </si>
  <si>
    <t xml:space="preserve"> Net market benefit</t>
  </si>
  <si>
    <t>Net market benefit</t>
  </si>
  <si>
    <t xml:space="preserve"> Fault level issues</t>
  </si>
  <si>
    <t xml:space="preserve"> Reactive power issue</t>
  </si>
  <si>
    <t>Voltage upgrade</t>
  </si>
  <si>
    <t>Transmission substation</t>
  </si>
  <si>
    <t xml:space="preserve"> Voltage issues</t>
  </si>
  <si>
    <t>Capacity upgrade</t>
  </si>
  <si>
    <t>Switching station</t>
  </si>
  <si>
    <t>Demand growth</t>
  </si>
  <si>
    <t>New substation establishment</t>
  </si>
  <si>
    <t>Terminal station</t>
  </si>
  <si>
    <t>dms_TNSP_0203_ProjectTrigger</t>
  </si>
  <si>
    <t>dms_TNSP_020302_ProjectType</t>
  </si>
  <si>
    <t>dms_TNSP_020301_ProjectTrigger</t>
  </si>
  <si>
    <t>dms_TNSP_020301_ProjectType</t>
  </si>
  <si>
    <t>dms_TNSP_0203_SubstationType</t>
  </si>
  <si>
    <t xml:space="preserve">CA &amp; RESET RINS 
TNSP </t>
  </si>
  <si>
    <t>Protected steel</t>
  </si>
  <si>
    <t>Unprotected steel</t>
  </si>
  <si>
    <t>Medium density polyethylene</t>
  </si>
  <si>
    <t>High density polyethylene (575)</t>
  </si>
  <si>
    <t>High density polyethylene (250)</t>
  </si>
  <si>
    <t>High density polyethylene (100)</t>
  </si>
  <si>
    <t>High density polyethylene (80)</t>
  </si>
  <si>
    <t>Polyamide</t>
  </si>
  <si>
    <t>Substation upgrade - voltage</t>
  </si>
  <si>
    <t>PVC</t>
  </si>
  <si>
    <t>Substation upgrade - capacity</t>
  </si>
  <si>
    <t>Cast Iron</t>
  </si>
  <si>
    <t>Subtransmission substation</t>
  </si>
  <si>
    <t>dms_N0205_AssetType</t>
  </si>
  <si>
    <t>dms_DNSP_020302_ProjectTrigger</t>
  </si>
  <si>
    <t>dms_DNSP_020302_ProjectType</t>
  </si>
  <si>
    <t>dms_DNSP_020301_ProjectTrigger</t>
  </si>
  <si>
    <t>dms_DNSP_020301_ProjectType</t>
  </si>
  <si>
    <t>dms_DNSP_020301_SubstationType</t>
  </si>
  <si>
    <t>CA &amp; RESET RINS 
DNSP</t>
  </si>
  <si>
    <t>GAS</t>
  </si>
  <si>
    <t>This is used to create an image to insert on 6.3 STPIS sheet - not for dropdown lists.</t>
  </si>
  <si>
    <t>-- select --</t>
  </si>
  <si>
    <t>Confidential</t>
  </si>
  <si>
    <t>dms_Confid_status_List</t>
  </si>
  <si>
    <t>COVER SHEET</t>
  </si>
  <si>
    <t>DROP DOWN SELECTORS USED IN WORKBOOKS</t>
  </si>
  <si>
    <t>AER NAMED RANGES</t>
  </si>
  <si>
    <t>2037</t>
  </si>
  <si>
    <t>2036-37</t>
  </si>
  <si>
    <t>dms_y16</t>
  </si>
  <si>
    <t>dms_y15</t>
  </si>
  <si>
    <t>dms_y14</t>
  </si>
  <si>
    <t>dms_y13</t>
  </si>
  <si>
    <t>dms_y12</t>
  </si>
  <si>
    <t>dms_y11</t>
  </si>
  <si>
    <t>dms_y10</t>
  </si>
  <si>
    <t>dms_y9</t>
  </si>
  <si>
    <t>dms_y8</t>
  </si>
  <si>
    <t>dms_y7</t>
  </si>
  <si>
    <t>dms_y6</t>
  </si>
  <si>
    <t>dms_y5</t>
  </si>
  <si>
    <t>dms_y4</t>
  </si>
  <si>
    <t>dms_y3</t>
  </si>
  <si>
    <t>dms_y2</t>
  </si>
  <si>
    <t>dms_y1</t>
  </si>
  <si>
    <t>CRY - FRY</t>
  </si>
  <si>
    <t>2005</t>
  </si>
  <si>
    <t>2004-05</t>
  </si>
  <si>
    <t>2004</t>
  </si>
  <si>
    <t>2003-04</t>
  </si>
  <si>
    <t>FRCP_y16</t>
  </si>
  <si>
    <t>CRCP_y16</t>
  </si>
  <si>
    <t>PRCP_y16</t>
  </si>
  <si>
    <t>2003</t>
  </si>
  <si>
    <t>2002-03</t>
  </si>
  <si>
    <t>FRCP_y15</t>
  </si>
  <si>
    <t>PRCP_y15</t>
  </si>
  <si>
    <t>2002</t>
  </si>
  <si>
    <t>2001-02</t>
  </si>
  <si>
    <t>FRCP_y14</t>
  </si>
  <si>
    <t>PRCP_y14</t>
  </si>
  <si>
    <t>2000-01</t>
  </si>
  <si>
    <t>FRCP_y13</t>
  </si>
  <si>
    <t>PRCP_y13</t>
  </si>
  <si>
    <t>1999-00</t>
  </si>
  <si>
    <t>FRCP_y12</t>
  </si>
  <si>
    <t>PRCP_y12</t>
  </si>
  <si>
    <t>1999</t>
  </si>
  <si>
    <t>1998-99</t>
  </si>
  <si>
    <t>FRCP_y11</t>
  </si>
  <si>
    <t>PRCP_y11</t>
  </si>
  <si>
    <t>1998</t>
  </si>
  <si>
    <t>1997-98</t>
  </si>
  <si>
    <t>FRCP_y10</t>
  </si>
  <si>
    <t>PRCP_y10</t>
  </si>
  <si>
    <t>1997</t>
  </si>
  <si>
    <t>1996-97</t>
  </si>
  <si>
    <t>FRCP_y9</t>
  </si>
  <si>
    <t>PRCP_y9</t>
  </si>
  <si>
    <t>1996</t>
  </si>
  <si>
    <t>1995-96</t>
  </si>
  <si>
    <t>FRCP_y8</t>
  </si>
  <si>
    <t>PRCP_y8</t>
  </si>
  <si>
    <t>1995</t>
  </si>
  <si>
    <t>1994-95</t>
  </si>
  <si>
    <t>FRCP_y7</t>
  </si>
  <si>
    <t>PRCP_y7</t>
  </si>
  <si>
    <t>1994</t>
  </si>
  <si>
    <t>1993-94</t>
  </si>
  <si>
    <t>FRCP_y6</t>
  </si>
  <si>
    <t>PRCP_y6</t>
  </si>
  <si>
    <t>1993</t>
  </si>
  <si>
    <t>1992-93</t>
  </si>
  <si>
    <t>FRCP_y5</t>
  </si>
  <si>
    <t>PRCP_y5</t>
  </si>
  <si>
    <t>1992</t>
  </si>
  <si>
    <t>1991-92</t>
  </si>
  <si>
    <t>FRCP_y4</t>
  </si>
  <si>
    <t>PRCP_y4</t>
  </si>
  <si>
    <t>1991</t>
  </si>
  <si>
    <t>1990-91</t>
  </si>
  <si>
    <t>FRCP_y3</t>
  </si>
  <si>
    <t>PRCP_y3</t>
  </si>
  <si>
    <t>1990</t>
  </si>
  <si>
    <t>1989-90</t>
  </si>
  <si>
    <t>FRCP_y2</t>
  </si>
  <si>
    <t>PRCP_y2</t>
  </si>
  <si>
    <t>1989</t>
  </si>
  <si>
    <t>1988-89</t>
  </si>
  <si>
    <t>PRCP_y1</t>
  </si>
  <si>
    <t>1988</t>
  </si>
  <si>
    <t>1987-88</t>
  </si>
  <si>
    <t>FORTHCOMING</t>
  </si>
  <si>
    <t>CURRENT</t>
  </si>
  <si>
    <t>PREVIOUS</t>
  </si>
  <si>
    <t>Weighted Average Cost of Capital</t>
  </si>
  <si>
    <t>Regulatory Reporting (Reset)</t>
  </si>
  <si>
    <t>Post Tax Revenue Model</t>
  </si>
  <si>
    <t>PRICING PROPOSAL</t>
  </si>
  <si>
    <t>Pricing Proposal</t>
  </si>
  <si>
    <t>Pricing</t>
  </si>
  <si>
    <t>Economic Benchmarking</t>
  </si>
  <si>
    <t>CAPITLAL EXPENDITURE SHARING SCHEMING</t>
  </si>
  <si>
    <t>Capitlal Expenditure</t>
  </si>
  <si>
    <t>CESS</t>
  </si>
  <si>
    <t>Category Analysis</t>
  </si>
  <si>
    <t>Annual Reporting</t>
  </si>
  <si>
    <t>dms_Model_Span_List</t>
  </si>
  <si>
    <t>dms_Worksheet_List</t>
  </si>
  <si>
    <t>dms_Model_Name_Format1</t>
  </si>
  <si>
    <t>Evoenergy Distribution (Tx Assets)</t>
  </si>
  <si>
    <t>Evoenergy Distribution</t>
  </si>
  <si>
    <t>Name</t>
  </si>
  <si>
    <t>dms_Public_Lighting_List</t>
  </si>
  <si>
    <t>dms_PRCPlength_List</t>
  </si>
  <si>
    <t>Template Version</t>
  </si>
  <si>
    <t>major changes to accommodate STPIS</t>
  </si>
  <si>
    <t>AER LOOKUP TABLES</t>
  </si>
  <si>
    <t>dms_RYE_09</t>
  </si>
  <si>
    <t>dms_RYE_08</t>
  </si>
  <si>
    <t>dms_RYE_07</t>
  </si>
  <si>
    <t>dms_RYE_06</t>
  </si>
  <si>
    <t>dms_RYE_05</t>
  </si>
  <si>
    <t>dms_RYE_04</t>
  </si>
  <si>
    <t>dms_RYE_03</t>
  </si>
  <si>
    <t>dms_RYE_02</t>
  </si>
  <si>
    <t>dms_RYE_01</t>
  </si>
  <si>
    <t>Named ranges to apply</t>
  </si>
  <si>
    <t>Manually specify RYE</t>
  </si>
  <si>
    <t>dms_Multi_RYE_flag</t>
  </si>
  <si>
    <t>Multiple RYE flag</t>
  </si>
  <si>
    <t>REGULATORY YEARS FOR MULTI RYE SUBMISSIONS</t>
  </si>
  <si>
    <t>SUBSET FILES</t>
  </si>
  <si>
    <t>DISCARD FILES</t>
  </si>
  <si>
    <t>=INDEX(dms_FeederType_5_flag,MATCH(dms_TradingName,dms_TradingName_List))</t>
  </si>
  <si>
    <t>dms_FifthFeeder_flag_NSP</t>
  </si>
  <si>
    <t>Fifth Feeder Category (eg. TasNetworks (D))</t>
  </si>
  <si>
    <t>=INDEX(dms_Public_Lighting_List,MATCH(dms_TradingName,dms_TradingName_List))</t>
  </si>
  <si>
    <t>dms_Public_Lighting</t>
  </si>
  <si>
    <t>Public lighting NSP?</t>
  </si>
  <si>
    <t>MISC</t>
  </si>
  <si>
    <t>=LEFT(PRCP_y3,4)</t>
  </si>
  <si>
    <t>dms_070904_Start_Year</t>
  </si>
  <si>
    <t>Table 7.9.4 - first year</t>
  </si>
  <si>
    <t>Table 7.9.4 only appears in TNSPs Reset RIN</t>
  </si>
  <si>
    <t>TNSP RESET RINS</t>
  </si>
  <si>
    <t>=IFERROR(IF(dms_Model="ARR",(MAX(0,dms_0608_LastRow-dms_0608_OffsetRows)),"not an ARR"),"0")</t>
  </si>
  <si>
    <t>dms_060801_MaxRows</t>
  </si>
  <si>
    <t>Table 6.8 - MaxRows</t>
  </si>
  <si>
    <t>=IFERROR(IF(dms_060801_StartCell&lt;&gt;"",IF(dms_Model="ARR",(LOOKUP(2,1/(dms_060801_01_Values&lt;&gt;""),(ROW(dms_060801_01_Values)))),"not an ARR"),0),"0")</t>
  </si>
  <si>
    <t>dms_0608_LastRow</t>
  </si>
  <si>
    <t>0</t>
  </si>
  <si>
    <t>Table 6.8 - Last row</t>
  </si>
  <si>
    <t>=IFERROR(IF(dms_Model="ARR",(ROW(dms_060801_StartCell)-1),"not an ARR"),"6.8 error")</t>
  </si>
  <si>
    <t>dms_0608_OffsetRows</t>
  </si>
  <si>
    <t>Table 6.8 - Number of offset rows</t>
  </si>
  <si>
    <t>=IFERROR(IF((ROW(dms_060801_StartCell)-1)=1,"yes","yes"),"no")</t>
  </si>
  <si>
    <t>Is dms_060801_StartCell named range present?</t>
  </si>
  <si>
    <r>
      <t xml:space="preserve">dms_060801_StartCell </t>
    </r>
    <r>
      <rPr>
        <i/>
        <sz val="10"/>
        <color theme="0" tint="-0.499984740745262"/>
        <rFont val="Arial"/>
        <family val="2"/>
      </rPr>
      <t>is only found on worksheet 6.8 and is used to determine the starting date for the date range</t>
    </r>
  </si>
  <si>
    <t>insert dms_060801_StartCell NR if required</t>
  </si>
  <si>
    <t>How many rows in table 6.8?</t>
  </si>
  <si>
    <t>ARRs</t>
  </si>
  <si>
    <t>=DATEVALUE(dms_060701_StartDateTxt)</t>
  </si>
  <si>
    <t>dms_060101_StartDateVal</t>
  </si>
  <si>
    <t>Table 6.1.1 and 6.7.1 - Start Date as Date Value</t>
  </si>
  <si>
    <t>=IF(SUM(dms_SingleYear_Model)&gt;1,(CONCATENATE(IF(LEN(CRY)=4,"1-Jan-","1-Jul-"),LEFT(CRY,4))),(CONCATENATE(IF(LEN(CRCP_y4)=4,"1-Jan-","1-Jul-"),LEFT(CRCP_y4,4))))</t>
  </si>
  <si>
    <t>Table 6.1.1 and 6.7.1 - Start Date as Text</t>
  </si>
  <si>
    <r>
      <t>Using</t>
    </r>
    <r>
      <rPr>
        <i/>
        <sz val="10"/>
        <color theme="4" tint="-0.499984740745262"/>
        <rFont val="Arial"/>
        <family val="2"/>
      </rPr>
      <t xml:space="preserve"> 060101</t>
    </r>
    <r>
      <rPr>
        <sz val="10"/>
        <color theme="4" tint="-0.499984740745262"/>
        <rFont val="Arial"/>
        <family val="2"/>
      </rPr>
      <t xml:space="preserve"> as naming standard not 060701 for start dates</t>
    </r>
  </si>
  <si>
    <t>Start date for telephone answering in 6.1 or 6.7?</t>
  </si>
  <si>
    <t>=IF(dms_Model="ARR",15,9)</t>
  </si>
  <si>
    <t>dms_060701_OffsetRows</t>
  </si>
  <si>
    <t>Table 6.7.1 - Number of offset rows</t>
  </si>
  <si>
    <t>=IF(dms_FifthFeeder_flag_NSP="NO",8,10)</t>
  </si>
  <si>
    <t>dms_060701_MaxCols</t>
  </si>
  <si>
    <t>Table 6.7.1 - Last column (# of feeder categories &gt; 4)</t>
  </si>
  <si>
    <t>How many columns in 6.7?   (4 or 5 feeder categories)</t>
  </si>
  <si>
    <t>=IF(dms_Model="ARR",dms_060701_ARR_MaxRows,IF(dms_Model="Reset",dms_060701_Reset_MaxRows,"not a relevant RIN type"))</t>
  </si>
  <si>
    <t>dms_060701_MaxRows</t>
  </si>
  <si>
    <t>Table 6.7.1 - Max Rows (leap year/ non leap year)</t>
  </si>
  <si>
    <t>number of days present in ARR RIN table</t>
  </si>
  <si>
    <t>=IF(dms_LeapYear_Result="is a leap year",366,365)</t>
  </si>
  <si>
    <t>dms_060701_ARR_MaxRows</t>
  </si>
  <si>
    <t>MaxRows if ARR and leap year</t>
  </si>
  <si>
    <t>number of days present in Reset RIN table</t>
  </si>
  <si>
    <t>=IF(dms_LeapYear_Result="is a leap year",1827,1826)</t>
  </si>
  <si>
    <t>dms_060701_Reset_MaxRows</t>
  </si>
  <si>
    <t>MaxRows if Reset and leap year</t>
  </si>
  <si>
    <t>=IFERROR(IF(MONTH(DATE(YEAR(dms_LeapYear),2,29))=2,"is a leap year","not a leap year"),"dms_LeapYear not present")</t>
  </si>
  <si>
    <t>dms_LeapYear_Result</t>
  </si>
  <si>
    <t>Table 6.7.1 - includes a leap year?</t>
  </si>
  <si>
    <t>Is dms_LeapYear named range present?</t>
  </si>
  <si>
    <t>'dms_LeapYear is used to determine dms_060701_Max_Rows BUT it is only found on worksheet 6.1 or 6.7 and the date value in the cell is used to determine whether it is a leap year</t>
  </si>
  <si>
    <r>
      <t xml:space="preserve">insert </t>
    </r>
    <r>
      <rPr>
        <i/>
        <u/>
        <sz val="10"/>
        <color theme="0" tint="-0.499984740745262"/>
        <rFont val="Arial"/>
        <family val="2"/>
      </rPr>
      <t>dms_LeapYear</t>
    </r>
    <r>
      <rPr>
        <i/>
        <sz val="10"/>
        <color theme="0" tint="-0.499984740745262"/>
        <rFont val="Arial"/>
        <family val="2"/>
      </rPr>
      <t xml:space="preserve"> NR if required</t>
    </r>
  </si>
  <si>
    <t>How many rows in tables 6.1 or 6.7?  (leap year?)</t>
  </si>
  <si>
    <t>ARR or RESET RINS</t>
  </si>
  <si>
    <t>=INDEX(dms_663_List,MATCH(dms_TradingName,dms_TradingName_List))</t>
  </si>
  <si>
    <t>=IFERROR(IF(dms_Model="CA",(dms_060301_LastRow-15),"not a CA"),"error")</t>
  </si>
  <si>
    <t>dms_060301_MaxRows</t>
  </si>
  <si>
    <t>Table 6.3.1 - max number rows</t>
  </si>
  <si>
    <t>=IFERROR(IF(dms_Model="CA",LOOKUP(2,1/(dms_060301_Avg_Duration_Sustained_Int_Values&lt;&gt;""),(ROW(dms_060301_Avg_Duration_Sustained_Int_Values))),"not a CA"),"6.3 not present")</t>
  </si>
  <si>
    <t>dms_060301_LastRow</t>
  </si>
  <si>
    <t>Table 6.3.1 - last row reference</t>
  </si>
  <si>
    <t>=IF(AND(dms_Model="CA",(dms_060301_checkvalue="no")),"error - NR not present","no errors")</t>
  </si>
  <si>
    <t>=IFERROR(IF(INDEX(dms_060301_Avg_Duration_Sustained_Int_Values,1,1)&lt;&gt;"","yes","no"),"no")</t>
  </si>
  <si>
    <t>dms_060301_checkvalue</t>
  </si>
  <si>
    <t>dms_060301_Avg_Duration_Sustained_Int_Values present?</t>
  </si>
  <si>
    <t>=IF(dms_Model&lt;&gt;"CA","not a CA","Is a CA")</t>
  </si>
  <si>
    <t>dms_060301_MaxRows only returns a valid value when cover sheet is attached to a CA file</t>
  </si>
  <si>
    <t>Find how many rows in tables 6.3 sustained interruptions?</t>
  </si>
  <si>
    <t>CA RINS</t>
  </si>
  <si>
    <t>=IF(dms_Segment="Transmission",dms_Cal_Year_B4_CRY,CRY)</t>
  </si>
  <si>
    <t>EB RINS</t>
  </si>
  <si>
    <t>Final year result for ABC multi year</t>
  </si>
  <si>
    <t>dms_MultiYear_ABC_RIN</t>
  </si>
  <si>
    <t>Multi Year ABC RIN?</t>
  </si>
  <si>
    <t>Final year result for Reset/Model</t>
  </si>
  <si>
    <t>Multi Year Reset/Model?</t>
  </si>
  <si>
    <t>Multi year RIN?</t>
  </si>
  <si>
    <t>=IFERROR(IF(SUM(dms_SingleYear_Model)&lt;&gt;0,(INDIRECT(dms_SingleYear_FinalYear_Ref)),"not a single year RIN"),"CRY not present")</t>
  </si>
  <si>
    <t>=IF(SUM(dms_SingleYear_Model)=1,"yes","no")</t>
  </si>
  <si>
    <t>dms_SingleYearModel</t>
  </si>
  <si>
    <t>Is this a single Year ABC RIN?</t>
  </si>
  <si>
    <t>Single Year ABC RIN ?</t>
  </si>
  <si>
    <t>Single year RIN?</t>
  </si>
  <si>
    <t>=INDEX(dms_PRCPlength_List,MATCH(dms_TradingName,dms_TradingName_List))</t>
  </si>
  <si>
    <t>dms_PRCPlength_Num</t>
  </si>
  <si>
    <t>PRCP length in years</t>
  </si>
  <si>
    <t>Reg Period Lengths</t>
  </si>
  <si>
    <t>WHAT IS THE RYE?</t>
  </si>
  <si>
    <t>For single year RINS this is CRY - multi year RINS need to start a the end of the span of years (ie. FRY)</t>
  </si>
  <si>
    <t>=IF(dms_MultiYear_Flag=1,FRY,CRY)</t>
  </si>
  <si>
    <t>dms_0502_Inst_Year</t>
  </si>
  <si>
    <t xml:space="preserve"> Start year for 5.2 in Multi year ABC RINS</t>
  </si>
  <si>
    <t>The result here is returned to dms_CRCP_FinalYear_Result if response to Q in C73 is "yes" and dms_MultiYear_Flag is set to 1</t>
  </si>
  <si>
    <t>This is set from the answer provided above</t>
  </si>
  <si>
    <t>This is a multi year ABC RIN?</t>
  </si>
  <si>
    <t>ABC RINS THAT SPAN MULTIPLE YEARS</t>
  </si>
  <si>
    <r>
      <t xml:space="preserve">NESTED IF - for </t>
    </r>
    <r>
      <rPr>
        <b/>
        <sz val="11"/>
        <color theme="1"/>
        <rFont val="Calibri"/>
        <family val="2"/>
        <scheme val="minor"/>
      </rPr>
      <t>Sheet Headers</t>
    </r>
  </si>
  <si>
    <t>=IF(dms_MultiYear_Flag=1,dms_SpecifiedYear_Span,IF(dms_Model_Span&gt;1,dms_Reset_Span,CRY))</t>
  </si>
  <si>
    <t>dms_Header_Span</t>
  </si>
  <si>
    <t>Multi year ABC span of years as text</t>
  </si>
  <si>
    <t>=IF(dms_Specified_RYE&gt;0,CONCATENATE(CRY," to ",dms_Specified_FinalYear),0)</t>
  </si>
  <si>
    <t>dms_SpecifiedYear_Span</t>
  </si>
  <si>
    <t>Reset span of years as text</t>
  </si>
  <si>
    <t>=IF(dms_Reset_RYE&gt;0,CONCATENATE(FRCP_y1," to ",FRCP_final_year),0)</t>
  </si>
  <si>
    <t>dms_Reset_Span</t>
  </si>
  <si>
    <r>
      <t xml:space="preserve">Nested IF - feeds into </t>
    </r>
    <r>
      <rPr>
        <b/>
        <sz val="11"/>
        <color theme="1"/>
        <rFont val="Calibri"/>
        <family val="2"/>
        <scheme val="minor"/>
      </rPr>
      <t>dms_RYE</t>
    </r>
  </si>
  <si>
    <t>=IF(dms_MultiYear_ResponseFlag="yes",dms_Specified_RYE,(IF(dms_Model_Span&gt;1,dms_Reset_RYE,dms_CRY_RYE)))</t>
  </si>
  <si>
    <t>dms_RYE_result</t>
  </si>
  <si>
    <t>A result of 5 is used to signify that it is more than 1 year span</t>
  </si>
  <si>
    <t>=INDEX(dms_Model_Span_List,MATCH(dms_Model,dms_Model_List))</t>
  </si>
  <si>
    <t>dms_Model_Span</t>
  </si>
  <si>
    <r>
      <t xml:space="preserve">If multi year ABC - uses </t>
    </r>
    <r>
      <rPr>
        <b/>
        <sz val="11"/>
        <color theme="1"/>
        <rFont val="Calibri"/>
        <family val="2"/>
        <scheme val="minor"/>
      </rPr>
      <t>dms_Specified_FinalYear</t>
    </r>
  </si>
  <si>
    <t>=IF(dms_MultiYear_ResponseFlag="Yes",(LEFT(dms_Specified_FinalYear,2)&amp;RIGHT(dms_Specified_FinalYear,2)),0)</t>
  </si>
  <si>
    <t>dms_Specified_RYE</t>
  </si>
  <si>
    <r>
      <t xml:space="preserve">If model span &gt; 1 then uses </t>
    </r>
    <r>
      <rPr>
        <b/>
        <sz val="11"/>
        <color theme="1"/>
        <rFont val="Calibri"/>
        <family val="2"/>
        <scheme val="minor"/>
      </rPr>
      <t xml:space="preserve">dms_Reset_RYE </t>
    </r>
    <r>
      <rPr>
        <sz val="10"/>
        <rFont val="Arial"/>
        <family val="2"/>
      </rPr>
      <t>otherwise it's a multi year ABC and uses</t>
    </r>
    <r>
      <rPr>
        <b/>
        <sz val="11"/>
        <color theme="1"/>
        <rFont val="Calibri"/>
        <family val="2"/>
        <scheme val="minor"/>
      </rPr>
      <t xml:space="preserve"> dms_Specified_RYE</t>
    </r>
  </si>
  <si>
    <t>=IF(dms_Model_Span&gt;1,IF(dms_Model="RFM",(LEFT(dms_DollarReal_year,2)&amp;RIGHT(dms_DollarReal_year,2)),(LEFT(dms_Reset_final_year,2)&amp;RIGHT(dms_Reset_final_year,2))),0)</t>
  </si>
  <si>
    <t>dms_Reset_RYE</t>
  </si>
  <si>
    <t>For ABC single year RINS</t>
  </si>
  <si>
    <t>=IFERROR(LEFT(CRY,2)&amp;RIGHT(CRY,2),0)</t>
  </si>
  <si>
    <t>dms_CRY_RYE</t>
  </si>
  <si>
    <r>
      <t>Uses the value in P</t>
    </r>
    <r>
      <rPr>
        <b/>
        <sz val="11"/>
        <color theme="1"/>
        <rFont val="Calibri"/>
        <family val="2"/>
        <scheme val="minor"/>
      </rPr>
      <t>RCP_final_year</t>
    </r>
  </si>
  <si>
    <t>=LEFT(PRCP_final_year,2)&amp;RIGHT(PRCP_final_year,2)</t>
  </si>
  <si>
    <t>dms_Previous_DollarReal_year</t>
  </si>
  <si>
    <r>
      <t xml:space="preserve">Uses the value in </t>
    </r>
    <r>
      <rPr>
        <b/>
        <sz val="11"/>
        <color theme="1"/>
        <rFont val="Calibri"/>
        <family val="2"/>
        <scheme val="minor"/>
      </rPr>
      <t>CRCP_final_year</t>
    </r>
  </si>
  <si>
    <t>=LEFT(CRCP_final_year,2)&amp;RIGHT(CRCP_final_year,2)</t>
  </si>
  <si>
    <t>dms_DollarReal_year</t>
  </si>
  <si>
    <r>
      <rPr>
        <b/>
        <sz val="11"/>
        <color theme="1"/>
        <rFont val="Calibri"/>
        <family val="2"/>
        <scheme val="minor"/>
      </rPr>
      <t xml:space="preserve">FRY </t>
    </r>
    <r>
      <rPr>
        <sz val="10"/>
        <rFont val="Arial"/>
        <family val="2"/>
      </rPr>
      <t>from cover sheet</t>
    </r>
  </si>
  <si>
    <t>=FRY</t>
  </si>
  <si>
    <t>dms_SpecifiedYear_final_year</t>
  </si>
  <si>
    <t>For Resets and PTRM/RFMs (same as FRCP_final_year)</t>
  </si>
  <si>
    <t>=INDEX(INDIRECT(dms_RPT),dms_RYE_start_row)</t>
  </si>
  <si>
    <t>dms_Reset_final_year</t>
  </si>
  <si>
    <t>Finds the PRCP final year</t>
  </si>
  <si>
    <t>=INDEX(INDIRECT(dms_RPT),dms_PRCP_start_row+dms_FRCPlength_Num-1)</t>
  </si>
  <si>
    <t>PRCP_final_year</t>
  </si>
  <si>
    <t>Finds the CRCP final year</t>
  </si>
  <si>
    <t>=INDEX(INDIRECT(dms_RPT),dms_CRCP_start_row+dms_CRCPlength_Num-1)</t>
  </si>
  <si>
    <t>CRCP_final_year</t>
  </si>
  <si>
    <t>Finds the FRCP final year</t>
  </si>
  <si>
    <t>=INDEX(INDIRECT(dms_RPT),dms_FRCP_start_row+dms_FRCPlength_Num-1)</t>
  </si>
  <si>
    <t>FRCP_final_year</t>
  </si>
  <si>
    <t>Converts the PRCP start row to display the year</t>
  </si>
  <si>
    <t>=INDEX(INDIRECT(dms_RPT),dms_PRCP_start_row)</t>
  </si>
  <si>
    <t>PRCP_start_year</t>
  </si>
  <si>
    <t>Converts the CRCP start row to display the year</t>
  </si>
  <si>
    <t>=INDEX(INDIRECT(dms_RPT),dms_CRCP_start_row)</t>
  </si>
  <si>
    <t>CRCP_start_year</t>
  </si>
  <si>
    <t>Converts the FRCP start row to display the year</t>
  </si>
  <si>
    <t>=INDEX(INDIRECT(dms_RPT),dms_FRCP_start_row)</t>
  </si>
  <si>
    <t>FRCP_start_year</t>
  </si>
  <si>
    <r>
      <t xml:space="preserve">Uses the value in </t>
    </r>
    <r>
      <rPr>
        <b/>
        <sz val="11"/>
        <color theme="1"/>
        <rFont val="Calibri"/>
        <family val="2"/>
        <scheme val="minor"/>
      </rPr>
      <t>dms_FRCPlength_Num-1</t>
    </r>
  </si>
  <si>
    <t>=dms_FRCP_start_row+(dms_FRCPlength_Num-1)</t>
  </si>
  <si>
    <t>dms_RYE_start_row</t>
  </si>
  <si>
    <r>
      <t xml:space="preserve">Uses the value in </t>
    </r>
    <r>
      <rPr>
        <b/>
        <sz val="11"/>
        <color theme="1"/>
        <rFont val="Calibri"/>
        <family val="2"/>
        <scheme val="minor"/>
      </rPr>
      <t>dms_CRCPlength_Num</t>
    </r>
    <r>
      <rPr>
        <sz val="10"/>
        <rFont val="Arial"/>
        <family val="2"/>
      </rPr>
      <t xml:space="preserve"> and </t>
    </r>
    <r>
      <rPr>
        <b/>
        <sz val="11"/>
        <color theme="1"/>
        <rFont val="Calibri"/>
        <family val="2"/>
        <scheme val="minor"/>
      </rPr>
      <t>dms_PRCPlength_Num</t>
    </r>
  </si>
  <si>
    <t>=dms_FRCP_start_row-dms_CRCPlength_Num-dms_PRCPlength_Num</t>
  </si>
  <si>
    <t>dms_PRCP_start_row</t>
  </si>
  <si>
    <r>
      <t xml:space="preserve">Uses the value in </t>
    </r>
    <r>
      <rPr>
        <b/>
        <sz val="11"/>
        <color theme="1"/>
        <rFont val="Calibri"/>
        <family val="2"/>
        <scheme val="minor"/>
      </rPr>
      <t>dms_CRCPlength_Num</t>
    </r>
  </si>
  <si>
    <t>=dms_FRCP_start_row-dms_CRCPlength_Num</t>
  </si>
  <si>
    <t>dms_CRCP_start_row</t>
  </si>
  <si>
    <r>
      <t xml:space="preserve">Uses </t>
    </r>
    <r>
      <rPr>
        <b/>
        <sz val="11"/>
        <color theme="1"/>
        <rFont val="Calibri"/>
        <family val="2"/>
        <scheme val="minor"/>
      </rPr>
      <t>FRCP_y1</t>
    </r>
    <r>
      <rPr>
        <sz val="10"/>
        <rFont val="Arial"/>
        <family val="2"/>
      </rPr>
      <t xml:space="preserve"> as a start reference</t>
    </r>
  </si>
  <si>
    <t>=MATCH(dms_start_year,INDIRECT(dms_RPT),0)</t>
  </si>
  <si>
    <t>dms_FRCP_start_row</t>
  </si>
  <si>
    <t>=IFERROR(MATCH(dms_CRY_start_year,INDIRECT(dms_RPT),0),0)</t>
  </si>
  <si>
    <t>dms_CRY_start_row</t>
  </si>
  <si>
    <t>=IFERROR(CRY,CRCP_y4)</t>
  </si>
  <si>
    <t>dms_CRY_start_year</t>
  </si>
  <si>
    <r>
      <rPr>
        <b/>
        <sz val="11"/>
        <color theme="1"/>
        <rFont val="Calibri"/>
        <family val="2"/>
        <scheme val="minor"/>
      </rPr>
      <t>FRCP_y1</t>
    </r>
    <r>
      <rPr>
        <sz val="10"/>
        <rFont val="Arial"/>
        <family val="2"/>
      </rPr>
      <t xml:space="preserve"> from cover sheet</t>
    </r>
  </si>
  <si>
    <t>=FRCP_y1</t>
  </si>
  <si>
    <t>dms_start_year</t>
  </si>
  <si>
    <t>This block works out the various RYE's for ALL RIN types and MODELS</t>
  </si>
  <si>
    <t>All potential values for Regulatory Years or RYEs as calculated</t>
  </si>
  <si>
    <t>PTRM/ RFMs</t>
  </si>
  <si>
    <t>=IF(SUM(dms_SingleYear_Model)&gt;0,CONCATENATE(dms_RPTMonth)&amp;" "&amp;VALUE((LEFT(CRY,2))&amp;RIGHT(CRY,2)),CONCATENATE(dms_RPTMonth)&amp;" "&amp;VALUE((LEFT(dms_RYE,2)&amp;RIGHT(dms_RYE,2))))</t>
  </si>
  <si>
    <t>'=IF(dms_RPT="financial",VALUE(LEFT(dms_SingleYear_FinalYear_Result,4)),VALUE(LEFT(dms_SingleYear_FinalYear_Result,4)-1))</t>
  </si>
  <si>
    <t>dms_Cal_Year_B4_CRY</t>
  </si>
  <si>
    <t>CRY-1  (last full calendar year before CRY)</t>
  </si>
  <si>
    <t xml:space="preserve">Does the named range CRY exist in this file? </t>
  </si>
  <si>
    <t>$ REAL REFERENCES</t>
  </si>
  <si>
    <t>Relevant for PTRM, RFMs and Reset RINS</t>
  </si>
  <si>
    <t>If the cover sheet is attached to an ABC RIN apply the NAMED RANGE to the cell</t>
  </si>
  <si>
    <t>Always Consolidated</t>
  </si>
  <si>
    <t>dms_DataQuality</t>
  </si>
  <si>
    <t>Data ingestion data quality</t>
  </si>
  <si>
    <t>Pre-populated from lookup table</t>
  </si>
  <si>
    <t>Redundant</t>
  </si>
  <si>
    <t>Submission date</t>
  </si>
  <si>
    <t>dms_AmendmentReason</t>
  </si>
  <si>
    <t>Amendment reason</t>
  </si>
  <si>
    <t>For DB purposes this is always Public</t>
  </si>
  <si>
    <t>Data status</t>
  </si>
  <si>
    <t>For DB purposes this is always Consoldiated</t>
  </si>
  <si>
    <t>Data quality</t>
  </si>
  <si>
    <t>dms_Source</t>
  </si>
  <si>
    <r>
      <t xml:space="preserve">Read from </t>
    </r>
    <r>
      <rPr>
        <i/>
        <sz val="11"/>
        <color theme="1"/>
        <rFont val="Calibri"/>
        <family val="2"/>
        <scheme val="minor"/>
      </rPr>
      <t>Business &amp; other details</t>
    </r>
  </si>
  <si>
    <t>Model / RIN</t>
  </si>
  <si>
    <t>Selected here</t>
  </si>
  <si>
    <t>dms_TradingNameFull</t>
  </si>
  <si>
    <t>Full trading name</t>
  </si>
  <si>
    <t>FOR ABC RINS THAT SPAN MULTIPLE YEARS - make sure MultiYear Flag is set and final year entered as required</t>
  </si>
  <si>
    <t>IF THIS IS A RESET RIN - make sure the named ranges CRY and dms_dollar_nom_UOM are NOT present in the workbook</t>
  </si>
  <si>
    <t>IF THIS IS AN ABC RIN - make sure the the named range CRY is applied and the named range dms_dollar_nom_UOM is applied</t>
  </si>
  <si>
    <t>AER ETL INFORMATION</t>
  </si>
  <si>
    <t>Please enter date this file submitted to AER</t>
  </si>
  <si>
    <t>dd/mm/yy</t>
  </si>
  <si>
    <t>.</t>
  </si>
  <si>
    <t>Amended RIN 
Amendment Reason</t>
  </si>
  <si>
    <t>Confidentiality Status</t>
  </si>
  <si>
    <t>Data Quality</t>
  </si>
  <si>
    <t>THIS FILE</t>
  </si>
  <si>
    <t>RIN type</t>
  </si>
  <si>
    <t>SUBMISSION DETAILS</t>
  </si>
  <si>
    <t>Previous period</t>
  </si>
  <si>
    <t>Current period</t>
  </si>
  <si>
    <t>RESETS</t>
  </si>
  <si>
    <t>Forthcoming period</t>
  </si>
  <si>
    <t>-- enter email address --</t>
  </si>
  <si>
    <t>Email</t>
  </si>
  <si>
    <t>-- enter phone number --</t>
  </si>
  <si>
    <t>Phone</t>
  </si>
  <si>
    <t>-- enter name --</t>
  </si>
  <si>
    <t>Contact Names</t>
  </si>
  <si>
    <t>Post code</t>
  </si>
  <si>
    <t>Postal Address</t>
  </si>
  <si>
    <t>Business Address</t>
  </si>
  <si>
    <t>ACN/ABN</t>
  </si>
  <si>
    <t>Business Name</t>
  </si>
  <si>
    <t>SUBMISSION PARTICULARS INPUT SHEET</t>
  </si>
  <si>
    <r>
      <t xml:space="preserve">Complete the following business details regulatory template </t>
    </r>
    <r>
      <rPr>
        <sz val="12"/>
        <color rgb="FFFF0000"/>
        <rFont val="Arial"/>
        <family val="2"/>
      </rPr>
      <t>before</t>
    </r>
    <r>
      <rPr>
        <sz val="12"/>
        <rFont val="Arial"/>
        <family val="2"/>
      </rPr>
      <t xml:space="preserve"> entering data or values in any other regulatory template. This regulatory template is linked to other cells within the spreadsheet and automatically generates column headings and conditional formatting to distinguish business specific input and non-input cells. </t>
    </r>
  </si>
  <si>
    <t>INSTRUCTIONS</t>
  </si>
  <si>
    <t>Only change blue input cells. To facilitate the automatic import, please do not delete or add rows on this sheet.</t>
  </si>
  <si>
    <t>Actual Capital Contributions – As Incurred ($m Nominal)</t>
  </si>
  <si>
    <t>Forecast Capital Contributions</t>
  </si>
  <si>
    <t>April 2020</t>
  </si>
  <si>
    <t>Mains</t>
  </si>
  <si>
    <t>Inlets</t>
  </si>
  <si>
    <t>Meters</t>
  </si>
  <si>
    <t>Telemetry</t>
  </si>
  <si>
    <t>IT System</t>
  </si>
  <si>
    <t>Other Distribution System Equipment</t>
  </si>
  <si>
    <t>Shared supporting assets</t>
  </si>
  <si>
    <t>Pipelines</t>
  </si>
  <si>
    <t>Metering</t>
  </si>
  <si>
    <t>SCADA (Communications)</t>
  </si>
  <si>
    <t>City Gates, supply regulators and valve stations</t>
  </si>
  <si>
    <t>Other depreciable pipeline assets</t>
  </si>
  <si>
    <t>Aus Gas Qld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</si>
</sst>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0.0"/>
    <numFmt numFmtId="170" formatCode="_-* #,##0.0_-;\-* #,##0.0_-;_-* &quot;-&quot;??_-;_-@_-"/>
    <numFmt numFmtId="171" formatCode="_-* #,##0_-;\-* #,##0_-;_-* &quot;-&quot;??_-;_-@_-"/>
    <numFmt numFmtId="172" formatCode="_-&quot;$&quot;* #,##0.000_-;\-&quot;$&quot;* #,##0.000_-;_-&quot;$&quot;* &quot;-&quot;??_-;_-@_-"/>
    <numFmt numFmtId="173" formatCode="0.0000"/>
    <numFmt numFmtId="174" formatCode="_-* #,##0.0000_-;\-* #,##0.0000_-;_-* &quot;-&quot;??_-;_-@_-"/>
    <numFmt numFmtId="175" formatCode="0.00;\-0.00;&quot;-&quot;;@"/>
    <numFmt numFmtId="176" formatCode="0.00_ ;\-0.00\ "/>
    <numFmt numFmtId="177" formatCode="##\ ###\ ###\ ###\ ##0"/>
    <numFmt numFmtId="178" formatCode="_([$€-2]* #,##0.00_);_([$€-2]* \(#,##0.00\);_([$€-2]* &quot;-&quot;??_)"/>
    <numFmt numFmtId="179" formatCode="_-* #,##0.00_-;[Red]\(#,##0.00\)_-;_-* &quot;-&quot;??_-;_-@_-"/>
    <numFmt numFmtId="180" formatCode="mm/dd/yy"/>
    <numFmt numFmtId="181" formatCode="0_);[Red]\(0\)"/>
    <numFmt numFmtId="182" formatCode="_(* #,##0.0_);_(* \(#,##0.0\);_(* &quot;-&quot;?_);_(@_)"/>
    <numFmt numFmtId="183" formatCode="_(* #,##0_);_(* \(#,##0\);_(* &quot;-&quot;?_);_(@_)"/>
    <numFmt numFmtId="184" formatCode="#,##0.0_);\(#,##0.0\)"/>
    <numFmt numFmtId="185" formatCode="#,##0_ ;\-#,##0\ "/>
    <numFmt numFmtId="186" formatCode="#,##0;[Red]\(#,##0.0\)"/>
    <numFmt numFmtId="187" formatCode="#,##0_ ;[Red]\(#,##0\)\ "/>
    <numFmt numFmtId="188" formatCode="#,##0.00;\(#,##0.00\)"/>
    <numFmt numFmtId="189" formatCode="_)d\-mmm\-yy_)"/>
    <numFmt numFmtId="190" formatCode="_(#,##0.0_);\(#,##0.0\);_(&quot;-&quot;_)"/>
    <numFmt numFmtId="191" formatCode="_(###0_);\(###0\);_(###0_)"/>
    <numFmt numFmtId="192" formatCode="#,##0.0000_);[Red]\(#,##0.0000\)"/>
    <numFmt numFmtId="193" formatCode="#,##0.000_ ;[Red]\-#,##0.000\ "/>
    <numFmt numFmtId="194" formatCode="0.000"/>
    <numFmt numFmtId="195" formatCode="#,##0.0000"/>
    <numFmt numFmtId="196" formatCode="#,##0.00000"/>
    <numFmt numFmtId="197" formatCode="0000"/>
    <numFmt numFmtId="198" formatCode="0#\ ####\ ####"/>
    <numFmt numFmtId="199" formatCode="_(* #,##0.00_);_(\-* #,##0.00_);_(* &quot;-&quot;??_);_(@_)"/>
    <numFmt numFmtId="200" formatCode="_(* #,##0.0_);_(\-* #,##0.0_);_(* &quot;-&quot;??_);_(@_)"/>
    <numFmt numFmtId="201" formatCode="_(* #,##0.000000_);_(\-* #,##0.000000_);_(* &quot;-&quot;??_);_(@_)"/>
    <numFmt numFmtId="202" formatCode="_(* #,##0.0000000_);_(\-* #,##0.0000000_);_(* &quot;-&quot;??_);_(@_)"/>
    <numFmt numFmtId="203" formatCode="_(* #,##0.0000_);_(\-* #,##0.0000_);_(* &quot;-&quot;??_);_(@_)"/>
  </numFmts>
  <fonts count="1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name val="Arial"/>
      <family val="2"/>
    </font>
    <font>
      <sz val="10"/>
      <name val="Arial"/>
      <family val="2"/>
    </font>
    <font>
      <sz val="10"/>
      <color indexed="9"/>
      <name val="Arial"/>
      <family val="2"/>
    </font>
    <font>
      <sz val="8"/>
      <color indexed="81"/>
      <name val="Tahoma"/>
      <family val="2"/>
    </font>
    <font>
      <b/>
      <sz val="12"/>
      <name val="Arial"/>
      <family val="2"/>
    </font>
    <font>
      <sz val="12"/>
      <name val="Arial"/>
      <family val="2"/>
    </font>
    <font>
      <sz val="10"/>
      <name val="Arial"/>
      <family val="2"/>
    </font>
    <font>
      <i/>
      <sz val="8"/>
      <name val="Arial"/>
      <family val="2"/>
    </font>
    <font>
      <sz val="8"/>
      <name val="Arial"/>
      <family val="2"/>
    </font>
    <font>
      <b/>
      <sz val="10"/>
      <color indexed="9"/>
      <name val="Arial"/>
      <family val="2"/>
    </font>
    <font>
      <sz val="8"/>
      <color indexed="10"/>
      <name val="Arial"/>
      <family val="2"/>
    </font>
    <font>
      <b/>
      <sz val="8"/>
      <name val="Arial"/>
      <family val="2"/>
    </font>
    <font>
      <i/>
      <sz val="10"/>
      <name val="Arial"/>
      <family val="2"/>
    </font>
    <font>
      <sz val="36"/>
      <name val="Arial"/>
      <family val="2"/>
    </font>
    <font>
      <sz val="26"/>
      <name val="Arial"/>
      <family val="2"/>
    </font>
    <font>
      <sz val="22"/>
      <color indexed="9"/>
      <name val="Arial"/>
      <family val="2"/>
    </font>
    <font>
      <sz val="10"/>
      <color indexed="10"/>
      <name val="Arial"/>
      <family val="2"/>
    </font>
    <font>
      <b/>
      <sz val="42"/>
      <name val="Arial"/>
      <family val="2"/>
    </font>
    <font>
      <b/>
      <sz val="16"/>
      <name val="Arial"/>
      <family val="2"/>
    </font>
    <font>
      <sz val="22"/>
      <name val="Arial"/>
      <family val="2"/>
    </font>
    <font>
      <b/>
      <sz val="7.9"/>
      <name val="Arial"/>
      <family val="2"/>
    </font>
    <font>
      <b/>
      <sz val="24"/>
      <name val="Arial"/>
      <family val="2"/>
    </font>
    <font>
      <sz val="10"/>
      <name val="Arial"/>
      <family val="2"/>
    </font>
    <font>
      <sz val="10"/>
      <color indexed="9"/>
      <name val="Arial"/>
      <family val="2"/>
    </font>
    <font>
      <sz val="10"/>
      <color theme="1"/>
      <name val="Arial"/>
      <family val="2"/>
    </font>
    <font>
      <sz val="10"/>
      <color rgb="FFFF0000"/>
      <name val="Arial"/>
      <family val="2"/>
    </font>
    <font>
      <b/>
      <sz val="16"/>
      <color indexed="9"/>
      <name val="Arial"/>
      <family val="2"/>
    </font>
    <font>
      <b/>
      <sz val="12"/>
      <color theme="0"/>
      <name val="Calibri"/>
      <family val="2"/>
      <scheme val="minor"/>
    </font>
    <font>
      <sz val="10"/>
      <color theme="0"/>
      <name val="Arial"/>
      <family val="2"/>
    </font>
    <font>
      <sz val="10"/>
      <color theme="0" tint="-0.499984740745262"/>
      <name val="Arial"/>
      <family val="2"/>
    </font>
    <font>
      <sz val="11"/>
      <color theme="1"/>
      <name val="Arial"/>
      <family val="2"/>
    </font>
    <font>
      <b/>
      <sz val="11"/>
      <color theme="1"/>
      <name val="Arial"/>
      <family val="2"/>
    </font>
    <font>
      <b/>
      <sz val="10"/>
      <color rgb="FFFF0000"/>
      <name val="Arial"/>
      <family val="2"/>
    </font>
    <font>
      <b/>
      <sz val="16"/>
      <color theme="0"/>
      <name val="Arial"/>
      <family val="2"/>
    </font>
    <font>
      <b/>
      <sz val="12"/>
      <color theme="0"/>
      <name val="Arial"/>
      <family val="2"/>
    </font>
    <font>
      <sz val="10"/>
      <name val="Helv"/>
      <charset val="204"/>
    </font>
    <font>
      <sz val="14"/>
      <name val="System"/>
      <family val="2"/>
    </font>
    <font>
      <sz val="11"/>
      <color indexed="8"/>
      <name val="Calibri"/>
      <family val="2"/>
    </font>
    <font>
      <sz val="11"/>
      <color indexed="9"/>
      <name val="Calibri"/>
      <family val="2"/>
    </font>
    <font>
      <sz val="9"/>
      <name val="AGaramond"/>
    </font>
    <font>
      <sz val="10"/>
      <name val="Times New Roman"/>
      <family val="1"/>
    </font>
    <font>
      <sz val="11"/>
      <color indexed="20"/>
      <name val="Calibri"/>
      <family val="2"/>
    </font>
    <font>
      <sz val="10"/>
      <name val="Helvetica"/>
      <family val="2"/>
    </font>
    <font>
      <sz val="10"/>
      <color indexed="12"/>
      <name val="Helvetica"/>
      <family val="2"/>
    </font>
    <font>
      <b/>
      <sz val="11"/>
      <color indexed="52"/>
      <name val="Calibri"/>
      <family val="2"/>
    </font>
    <font>
      <b/>
      <sz val="11"/>
      <color indexed="9"/>
      <name val="Calibri"/>
      <family val="2"/>
    </font>
    <font>
      <sz val="10"/>
      <name val="MS Sans Serif"/>
      <family val="2"/>
    </font>
    <font>
      <sz val="10"/>
      <name val="Verdana"/>
      <family val="2"/>
    </font>
    <font>
      <sz val="10"/>
      <color indexed="24"/>
      <name val="Arial"/>
      <family val="2"/>
    </font>
    <font>
      <b/>
      <sz val="11"/>
      <color indexed="8"/>
      <name val="Calibri"/>
      <family val="2"/>
    </font>
    <font>
      <i/>
      <sz val="11"/>
      <color indexed="23"/>
      <name val="Calibri"/>
      <family val="2"/>
    </font>
    <font>
      <sz val="9"/>
      <name val="GillSans"/>
      <family val="2"/>
    </font>
    <font>
      <sz val="9"/>
      <name val="GillSans Light"/>
      <family val="2"/>
    </font>
    <font>
      <sz val="11"/>
      <color indexed="17"/>
      <name val="Calibri"/>
      <family val="2"/>
    </font>
    <font>
      <b/>
      <sz val="15"/>
      <color indexed="62"/>
      <name val="Calibri"/>
      <family val="2"/>
    </font>
    <font>
      <b/>
      <sz val="9"/>
      <name val="Arial"/>
      <family val="2"/>
    </font>
    <font>
      <b/>
      <sz val="13"/>
      <color indexed="62"/>
      <name val="Calibri"/>
      <family val="2"/>
    </font>
    <font>
      <b/>
      <sz val="11"/>
      <color indexed="62"/>
      <name val="Calibri"/>
      <family val="2"/>
    </font>
    <font>
      <b/>
      <sz val="8.5"/>
      <name val="Univers 65"/>
      <family val="2"/>
    </font>
    <font>
      <u/>
      <sz val="11"/>
      <color indexed="12"/>
      <name val="Calibri"/>
      <family val="2"/>
    </font>
    <font>
      <b/>
      <sz val="10"/>
      <color indexed="56"/>
      <name val="Wingdings"/>
      <charset val="2"/>
    </font>
    <font>
      <b/>
      <u/>
      <sz val="8"/>
      <color indexed="56"/>
      <name val="Arial"/>
      <family val="2"/>
    </font>
    <font>
      <sz val="11"/>
      <color indexed="62"/>
      <name val="Calibri"/>
      <family val="2"/>
    </font>
    <font>
      <sz val="11"/>
      <color indexed="52"/>
      <name val="Calibri"/>
      <family val="2"/>
    </font>
    <font>
      <sz val="12"/>
      <color indexed="14"/>
      <name val="Arial"/>
      <family val="2"/>
    </font>
    <font>
      <sz val="11"/>
      <color indexed="60"/>
      <name val="Calibri"/>
      <family val="2"/>
    </font>
    <font>
      <sz val="8"/>
      <name val="Palatino"/>
      <family val="1"/>
    </font>
    <font>
      <b/>
      <sz val="11"/>
      <color indexed="63"/>
      <name val="Calibri"/>
      <family val="2"/>
    </font>
    <font>
      <sz val="8.5"/>
      <name val="Univers 55"/>
      <family val="2"/>
    </font>
    <font>
      <sz val="10"/>
      <color indexed="18"/>
      <name val="Times New Roman"/>
      <family val="1"/>
    </font>
    <font>
      <b/>
      <sz val="10"/>
      <name val="MS Sans Serif"/>
      <family val="2"/>
    </font>
    <font>
      <b/>
      <sz val="18"/>
      <color indexed="62"/>
      <name val="Cambria"/>
      <family val="2"/>
    </font>
    <font>
      <b/>
      <sz val="14"/>
      <name val="Arial"/>
      <family val="2"/>
    </font>
    <font>
      <sz val="9"/>
      <color indexed="21"/>
      <name val="Helvetica-Black"/>
    </font>
    <font>
      <b/>
      <sz val="9"/>
      <name val="Palatino"/>
      <family val="1"/>
    </font>
    <font>
      <sz val="7"/>
      <name val="Palatino"/>
      <family val="1"/>
    </font>
    <font>
      <sz val="12"/>
      <name val="Palatino"/>
      <family val="1"/>
    </font>
    <font>
      <sz val="11"/>
      <name val="Helvetica-Black"/>
    </font>
    <font>
      <sz val="12"/>
      <color indexed="12"/>
      <name val="Arial MT"/>
    </font>
    <font>
      <b/>
      <u/>
      <sz val="9.5"/>
      <color indexed="56"/>
      <name val="Arial"/>
      <family val="2"/>
    </font>
    <font>
      <u/>
      <sz val="8"/>
      <color indexed="56"/>
      <name val="Arial"/>
      <family val="2"/>
    </font>
    <font>
      <sz val="11"/>
      <color indexed="10"/>
      <name val="Calibri"/>
      <family val="2"/>
    </font>
    <font>
      <sz val="10"/>
      <color rgb="FFC0C0C0"/>
      <name val="Arial"/>
      <family val="2"/>
    </font>
    <font>
      <b/>
      <sz val="11"/>
      <color theme="1"/>
      <name val="Calibri"/>
      <family val="2"/>
      <scheme val="minor"/>
    </font>
    <font>
      <sz val="10"/>
      <color theme="7" tint="-0.249977111117893"/>
      <name val="Arial"/>
      <family val="2"/>
    </font>
    <font>
      <sz val="10"/>
      <color indexed="8"/>
      <name val="Arial"/>
      <family val="2"/>
    </font>
    <font>
      <sz val="11"/>
      <color theme="1"/>
      <name val="Calibri"/>
      <family val="2"/>
    </font>
    <font>
      <sz val="9"/>
      <name val="Arial"/>
      <family val="2"/>
    </font>
    <font>
      <sz val="10"/>
      <color rgb="FF000000"/>
      <name val="Arial"/>
      <family val="2"/>
    </font>
    <font>
      <b/>
      <sz val="10"/>
      <color theme="1"/>
      <name val="Arial"/>
      <family val="2"/>
    </font>
    <font>
      <b/>
      <sz val="11"/>
      <color rgb="FFFF0000"/>
      <name val="Arial"/>
      <family val="2"/>
    </font>
    <font>
      <sz val="11"/>
      <name val="Calibri"/>
      <family val="2"/>
      <scheme val="minor"/>
    </font>
    <font>
      <sz val="10"/>
      <color theme="4" tint="-0.249977111117893"/>
      <name val="Arial"/>
      <family val="2"/>
    </font>
    <font>
      <b/>
      <sz val="10"/>
      <color theme="1" tint="0.14999847407452621"/>
      <name val="Arial"/>
      <family val="2"/>
    </font>
    <font>
      <sz val="10"/>
      <color theme="4" tint="0.59999389629810485"/>
      <name val="Arial"/>
      <family val="2"/>
    </font>
    <font>
      <b/>
      <sz val="10"/>
      <color theme="0" tint="-0.499984740745262"/>
      <name val="Arial"/>
      <family val="2"/>
    </font>
    <font>
      <sz val="11"/>
      <color theme="5" tint="-0.249977111117893"/>
      <name val="Arial"/>
      <family val="2"/>
    </font>
    <font>
      <sz val="10"/>
      <color theme="5" tint="-0.249977111117893"/>
      <name val="Arial"/>
      <family val="2"/>
    </font>
    <font>
      <b/>
      <sz val="11"/>
      <name val="Calibri"/>
      <family val="2"/>
      <scheme val="minor"/>
    </font>
    <font>
      <u/>
      <sz val="10"/>
      <color indexed="12"/>
      <name val="Arial"/>
      <family val="2"/>
    </font>
    <font>
      <u/>
      <sz val="11"/>
      <color theme="10"/>
      <name val="Calibri"/>
      <family val="2"/>
      <scheme val="minor"/>
    </font>
    <font>
      <b/>
      <sz val="9"/>
      <color indexed="9"/>
      <name val="Arial"/>
      <family val="2"/>
    </font>
    <font>
      <sz val="14"/>
      <color rgb="FFFF0000"/>
      <name val="Arial"/>
      <family val="2"/>
    </font>
    <font>
      <b/>
      <sz val="12"/>
      <color theme="1"/>
      <name val="Calibri"/>
      <family val="2"/>
      <scheme val="minor"/>
    </font>
    <font>
      <sz val="11"/>
      <color theme="4" tint="-0.249977111117893"/>
      <name val="Calibri"/>
      <family val="2"/>
      <scheme val="minor"/>
    </font>
    <font>
      <sz val="11"/>
      <color theme="8" tint="-0.249977111117893"/>
      <name val="Arial"/>
      <family val="2"/>
    </font>
    <font>
      <b/>
      <sz val="11"/>
      <name val="Arial"/>
      <family val="2"/>
    </font>
    <font>
      <b/>
      <sz val="11"/>
      <color rgb="FF000000"/>
      <name val="Arial"/>
      <family val="2"/>
    </font>
    <font>
      <sz val="11"/>
      <color rgb="FF000000"/>
      <name val="Arial"/>
      <family val="2"/>
    </font>
    <font>
      <sz val="10"/>
      <color rgb="FF808080"/>
      <name val="Arial"/>
      <family val="2"/>
    </font>
    <font>
      <b/>
      <sz val="9"/>
      <color rgb="FF000000"/>
      <name val="Tahoma"/>
      <family val="2"/>
    </font>
    <font>
      <sz val="9"/>
      <color rgb="FF000000"/>
      <name val="Tahoma"/>
      <family val="2"/>
    </font>
    <font>
      <sz val="10"/>
      <color theme="1"/>
      <name val="Verdana"/>
      <family val="2"/>
    </font>
    <font>
      <u/>
      <sz val="10"/>
      <color indexed="12"/>
      <name val="MS Sans Serif"/>
      <family val="2"/>
    </font>
    <font>
      <sz val="9"/>
      <color indexed="21"/>
      <name val="Helvetica-Black"/>
      <family val="2"/>
    </font>
    <font>
      <sz val="11"/>
      <name val="Helvetica-Black"/>
      <family val="2"/>
    </font>
    <font>
      <b/>
      <sz val="10"/>
      <color theme="0"/>
      <name val="Arial"/>
      <family val="2"/>
    </font>
    <font>
      <sz val="10"/>
      <color theme="0" tint="-0.14999847407452621"/>
      <name val="Arial"/>
      <family val="2"/>
    </font>
    <font>
      <b/>
      <sz val="14"/>
      <color rgb="FF000000"/>
      <name val="Arial"/>
      <family val="2"/>
    </font>
    <font>
      <sz val="10"/>
      <color theme="5"/>
      <name val="Arial"/>
      <family val="2"/>
    </font>
    <font>
      <b/>
      <sz val="11"/>
      <color theme="0"/>
      <name val="Calibri"/>
      <family val="2"/>
      <scheme val="minor"/>
    </font>
    <font>
      <sz val="11"/>
      <color rgb="FFFF0000"/>
      <name val="Calibri"/>
      <family val="2"/>
      <scheme val="minor"/>
    </font>
    <font>
      <b/>
      <i/>
      <sz val="11"/>
      <color theme="1"/>
      <name val="Calibri"/>
      <family val="2"/>
      <scheme val="minor"/>
    </font>
    <font>
      <b/>
      <i/>
      <sz val="10"/>
      <name val="Arial"/>
      <family val="2"/>
    </font>
    <font>
      <b/>
      <i/>
      <sz val="12"/>
      <name val="Arial"/>
      <family val="2"/>
    </font>
    <font>
      <b/>
      <sz val="11"/>
      <color theme="4"/>
      <name val="Arial"/>
      <family val="2"/>
    </font>
    <font>
      <b/>
      <sz val="11"/>
      <color theme="3" tint="0.39997558519241921"/>
      <name val="Calibri"/>
      <family val="2"/>
      <scheme val="minor"/>
    </font>
    <font>
      <sz val="10"/>
      <color theme="4"/>
      <name val="Arial"/>
      <family val="2"/>
    </font>
    <font>
      <sz val="24"/>
      <color theme="0"/>
      <name val="Calibri"/>
      <family val="2"/>
      <scheme val="minor"/>
    </font>
    <font>
      <sz val="22"/>
      <color theme="1"/>
      <name val="Calibri"/>
      <family val="2"/>
      <scheme val="minor"/>
    </font>
    <font>
      <sz val="26"/>
      <color theme="0"/>
      <name val="Calibri"/>
      <family val="2"/>
      <scheme val="minor"/>
    </font>
    <font>
      <sz val="26"/>
      <color rgb="FFFF0000"/>
      <name val="Calibri"/>
      <family val="2"/>
      <scheme val="minor"/>
    </font>
    <font>
      <b/>
      <sz val="22"/>
      <color theme="1"/>
      <name val="Calibri"/>
      <family val="2"/>
      <scheme val="minor"/>
    </font>
    <font>
      <sz val="26"/>
      <name val="Calibri"/>
      <family val="2"/>
      <scheme val="minor"/>
    </font>
    <font>
      <sz val="11"/>
      <name val="Arial"/>
      <family val="2"/>
    </font>
    <font>
      <i/>
      <sz val="11"/>
      <color theme="1"/>
      <name val="Arial"/>
      <family val="2"/>
    </font>
    <font>
      <b/>
      <sz val="11"/>
      <color theme="0"/>
      <name val="Arial"/>
      <family val="2"/>
    </font>
    <font>
      <sz val="22"/>
      <color theme="0"/>
      <name val="Calibri"/>
      <family val="2"/>
      <scheme val="minor"/>
    </font>
    <font>
      <b/>
      <sz val="36"/>
      <color theme="0"/>
      <name val="Calibri"/>
      <family val="2"/>
      <scheme val="minor"/>
    </font>
    <font>
      <b/>
      <sz val="10"/>
      <color rgb="FF808080"/>
      <name val="Arial"/>
      <family val="2"/>
    </font>
    <font>
      <sz val="11"/>
      <color rgb="FFFF0000"/>
      <name val="Arial"/>
      <family val="2"/>
    </font>
    <font>
      <i/>
      <sz val="10"/>
      <color theme="4" tint="-0.249977111117893"/>
      <name val="Arial"/>
      <family val="2"/>
    </font>
    <font>
      <sz val="10"/>
      <color theme="4" tint="-0.499984740745262"/>
      <name val="Arial"/>
      <family val="2"/>
    </font>
    <font>
      <i/>
      <sz val="10"/>
      <color theme="0" tint="-0.499984740745262"/>
      <name val="Arial"/>
      <family val="2"/>
    </font>
    <font>
      <i/>
      <sz val="10"/>
      <color theme="4" tint="-0.499984740745262"/>
      <name val="Arial"/>
      <family val="2"/>
    </font>
    <font>
      <i/>
      <u/>
      <sz val="10"/>
      <color theme="0" tint="-0.499984740745262"/>
      <name val="Arial"/>
      <family val="2"/>
    </font>
    <font>
      <sz val="10"/>
      <color theme="1" tint="0.34998626667073579"/>
      <name val="Calibri"/>
      <family val="2"/>
      <scheme val="minor"/>
    </font>
    <font>
      <i/>
      <sz val="11"/>
      <color theme="1"/>
      <name val="Calibri"/>
      <family val="2"/>
      <scheme val="minor"/>
    </font>
    <font>
      <sz val="16"/>
      <color rgb="FFFF0000"/>
      <name val="Arial"/>
      <family val="2"/>
    </font>
    <font>
      <sz val="12"/>
      <color theme="0"/>
      <name val="Arial"/>
      <family val="2"/>
    </font>
    <font>
      <b/>
      <sz val="14"/>
      <color theme="0"/>
      <name val="Arial"/>
      <family val="2"/>
    </font>
    <font>
      <i/>
      <sz val="11"/>
      <color theme="0"/>
      <name val="Arial"/>
      <family val="2"/>
    </font>
    <font>
      <b/>
      <sz val="24"/>
      <color theme="0"/>
      <name val="Arial"/>
      <family val="2"/>
    </font>
    <font>
      <b/>
      <sz val="12"/>
      <color theme="4" tint="-0.499984740745262"/>
      <name val="Arial"/>
      <family val="2"/>
    </font>
    <font>
      <b/>
      <sz val="11"/>
      <color theme="4" tint="-0.499984740745262"/>
      <name val="Arial"/>
      <family val="2"/>
    </font>
    <font>
      <b/>
      <sz val="14"/>
      <color theme="4" tint="-0.499984740745262"/>
      <name val="Arial"/>
      <family val="2"/>
    </font>
    <font>
      <sz val="11"/>
      <color theme="0"/>
      <name val="Arial"/>
      <family val="2"/>
    </font>
    <font>
      <sz val="14"/>
      <color theme="1"/>
      <name val="Calibri"/>
      <family val="2"/>
      <scheme val="minor"/>
    </font>
    <font>
      <sz val="14"/>
      <color theme="1"/>
      <name val="Arial"/>
      <family val="2"/>
    </font>
    <font>
      <b/>
      <sz val="18"/>
      <color theme="0"/>
      <name val="Arial"/>
      <family val="2"/>
    </font>
    <font>
      <sz val="12"/>
      <color rgb="FFFF0000"/>
      <name val="Arial"/>
      <family val="2"/>
    </font>
    <font>
      <b/>
      <sz val="20"/>
      <color theme="0"/>
      <name val="Arial"/>
      <family val="2"/>
    </font>
  </fonts>
  <fills count="91">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26"/>
        <bgColor indexed="64"/>
      </patternFill>
    </fill>
    <fill>
      <patternFill patternType="gray0625">
        <bgColor indexed="9"/>
      </patternFill>
    </fill>
    <fill>
      <patternFill patternType="solid">
        <fgColor theme="0"/>
        <bgColor indexed="64"/>
      </patternFill>
    </fill>
    <fill>
      <patternFill patternType="solid">
        <fgColor rgb="FFCCFFFF"/>
        <bgColor indexed="64"/>
      </patternFill>
    </fill>
    <fill>
      <patternFill patternType="solid">
        <fgColor indexed="44"/>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
      <patternFill patternType="solid">
        <fgColor rgb="FFC0C0C0"/>
        <bgColor indexed="64"/>
      </patternFill>
    </fill>
    <fill>
      <patternFill patternType="solid">
        <fgColor theme="7" tint="0.59999389629810485"/>
        <bgColor indexed="64"/>
      </patternFill>
    </fill>
    <fill>
      <patternFill patternType="solid">
        <fgColor indexed="8"/>
        <bgColor indexed="64"/>
      </patternFill>
    </fill>
    <fill>
      <patternFill patternType="solid">
        <fgColor rgb="FFFFFFCC"/>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FF"/>
        <bgColor rgb="FF000000"/>
      </patternFill>
    </fill>
    <fill>
      <patternFill patternType="solid">
        <fgColor indexed="38"/>
      </patternFill>
    </fill>
    <fill>
      <patternFill patternType="solid">
        <fgColor indexed="47"/>
      </patternFill>
    </fill>
    <fill>
      <patternFill patternType="solid">
        <fgColor indexed="26"/>
      </patternFill>
    </fill>
    <fill>
      <patternFill patternType="solid">
        <fgColor indexed="9"/>
      </patternFill>
    </fill>
    <fill>
      <patternFill patternType="solid">
        <fgColor indexed="43"/>
      </patternFill>
    </fill>
    <fill>
      <patternFill patternType="solid">
        <fgColor indexed="22"/>
      </patternFill>
    </fill>
    <fill>
      <patternFill patternType="solid">
        <fgColor indexed="31"/>
        <bgColor indexed="31"/>
      </patternFill>
    </fill>
    <fill>
      <patternFill patternType="solid">
        <fgColor indexed="44"/>
        <bgColor indexed="44"/>
      </patternFill>
    </fill>
    <fill>
      <patternFill patternType="solid">
        <fgColor indexed="49"/>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5"/>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patternFill>
    </fill>
    <fill>
      <patternFill patternType="solid">
        <fgColor indexed="27"/>
        <bgColor indexed="64"/>
      </patternFill>
    </fill>
    <fill>
      <patternFill patternType="solid">
        <fgColor indexed="42"/>
        <bgColor indexed="64"/>
      </patternFill>
    </fill>
    <fill>
      <patternFill patternType="mediumGray">
        <fgColor indexed="2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FFF99"/>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gray0625">
        <bgColor indexed="44"/>
      </patternFill>
    </fill>
    <fill>
      <patternFill patternType="solid">
        <fgColor indexed="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B8CCE4"/>
        <bgColor rgb="FF000000"/>
      </patternFill>
    </fill>
    <fill>
      <patternFill patternType="solid">
        <fgColor theme="9" tint="0.39997558519241921"/>
        <bgColor rgb="FF000000"/>
      </patternFill>
    </fill>
    <fill>
      <patternFill patternType="solid">
        <fgColor rgb="FFFABF8F"/>
        <bgColor rgb="FF000000"/>
      </patternFill>
    </fill>
    <fill>
      <patternFill patternType="solid">
        <fgColor theme="0" tint="-0.14999847407452621"/>
        <bgColor rgb="FF000000"/>
      </patternFill>
    </fill>
    <fill>
      <patternFill patternType="solid">
        <fgColor indexed="27"/>
      </patternFill>
    </fill>
    <fill>
      <patternFill patternType="solid">
        <fgColor indexed="44"/>
      </patternFill>
    </fill>
    <fill>
      <patternFill patternType="solid">
        <fgColor rgb="FFCCCCFF"/>
        <bgColor indexed="64"/>
      </patternFill>
    </fill>
    <fill>
      <patternFill patternType="solid">
        <fgColor rgb="FFD0FFFF"/>
        <bgColor indexed="64"/>
      </patternFill>
    </fill>
    <fill>
      <patternFill patternType="solid">
        <fgColor rgb="FFFFCC99"/>
        <bgColor indexed="64"/>
      </patternFill>
    </fill>
    <fill>
      <patternFill patternType="solid">
        <fgColor rgb="FFFFFFFF"/>
        <bgColor indexed="64"/>
      </patternFill>
    </fill>
    <fill>
      <patternFill patternType="solid">
        <fgColor theme="6"/>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rgb="FFFF0000"/>
        <bgColor indexed="64"/>
      </patternFill>
    </fill>
    <fill>
      <patternFill patternType="solid">
        <fgColor theme="3"/>
        <bgColor indexed="64"/>
      </patternFill>
    </fill>
    <fill>
      <patternFill patternType="solid">
        <fgColor theme="4"/>
        <bgColor theme="4"/>
      </patternFill>
    </fill>
    <fill>
      <patternFill patternType="solid">
        <fgColor theme="2" tint="-0.749992370372631"/>
        <bgColor indexed="64"/>
      </patternFill>
    </fill>
    <fill>
      <patternFill patternType="solid">
        <fgColor rgb="FFBFBFBF"/>
        <bgColor rgb="FF000000"/>
      </patternFill>
    </fill>
    <fill>
      <patternFill patternType="solid">
        <fgColor theme="0" tint="-0.249977111117893"/>
        <bgColor rgb="FF000000"/>
      </patternFill>
    </fill>
    <fill>
      <patternFill patternType="solid">
        <fgColor theme="3" tint="0.59999389629810485"/>
        <bgColor indexed="64"/>
      </patternFill>
    </fill>
    <fill>
      <patternFill patternType="solid">
        <fgColor rgb="FF00B0F0"/>
        <bgColor indexed="64"/>
      </patternFill>
    </fill>
  </fills>
  <borders count="27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23"/>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top style="thin">
        <color indexed="23"/>
      </top>
      <bottom/>
      <diagonal/>
    </border>
    <border>
      <left style="thin">
        <color indexed="55"/>
      </left>
      <right/>
      <top style="thin">
        <color indexed="55"/>
      </top>
      <bottom/>
      <diagonal/>
    </border>
    <border>
      <left style="thin">
        <color indexed="55"/>
      </left>
      <right/>
      <top/>
      <bottom/>
      <diagonal/>
    </border>
    <border>
      <left/>
      <right/>
      <top style="thin">
        <color indexed="55"/>
      </top>
      <bottom/>
      <diagonal/>
    </border>
    <border>
      <left style="thin">
        <color indexed="23"/>
      </left>
      <right style="dashed">
        <color indexed="23"/>
      </right>
      <top style="thin">
        <color indexed="23"/>
      </top>
      <bottom/>
      <diagonal/>
    </border>
    <border>
      <left style="thin">
        <color indexed="23"/>
      </left>
      <right style="dashed">
        <color indexed="23"/>
      </right>
      <top/>
      <bottom/>
      <diagonal/>
    </border>
    <border>
      <left/>
      <right style="dotted">
        <color indexed="64"/>
      </right>
      <top/>
      <bottom/>
      <diagonal/>
    </border>
    <border>
      <left style="dotted">
        <color indexed="64"/>
      </left>
      <right/>
      <top/>
      <bottom/>
      <diagonal/>
    </border>
    <border>
      <left/>
      <right/>
      <top style="thin">
        <color indexed="64"/>
      </top>
      <bottom style="thin">
        <color indexed="2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bottom/>
      <diagonal/>
    </border>
    <border>
      <left style="thin">
        <color indexed="23"/>
      </left>
      <right/>
      <top/>
      <bottom/>
      <diagonal/>
    </border>
    <border>
      <left/>
      <right style="thin">
        <color indexed="64"/>
      </right>
      <top style="thin">
        <color indexed="64"/>
      </top>
      <bottom/>
      <diagonal/>
    </border>
    <border>
      <left/>
      <right style="thin">
        <color indexed="64"/>
      </right>
      <top/>
      <bottom/>
      <diagonal/>
    </border>
    <border>
      <left style="thin">
        <color rgb="FF808080"/>
      </left>
      <right/>
      <top style="thin">
        <color rgb="FF808080"/>
      </top>
      <bottom/>
      <diagonal/>
    </border>
    <border>
      <left/>
      <right/>
      <top style="thin">
        <color rgb="FF808080"/>
      </top>
      <bottom/>
      <diagonal/>
    </border>
    <border>
      <left style="thin">
        <color rgb="FF808080"/>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style="thin">
        <color theme="0" tint="-0.499984740745262"/>
      </top>
      <bottom/>
      <diagonal/>
    </border>
    <border>
      <left style="thin">
        <color theme="0" tint="-0.499984740745262"/>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style="medium">
        <color indexed="64"/>
      </left>
      <right/>
      <top style="thin">
        <color theme="0" tint="-0.34998626667073579"/>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38"/>
      </bottom>
      <diagonal/>
    </border>
    <border>
      <left/>
      <right/>
      <top/>
      <bottom style="medium">
        <color indexed="3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auto="1"/>
      </left>
      <right style="medium">
        <color auto="1"/>
      </right>
      <top style="medium">
        <color auto="1"/>
      </top>
      <bottom style="medium">
        <color auto="1"/>
      </bottom>
      <diagonal/>
    </border>
    <border>
      <left style="medium">
        <color indexed="64"/>
      </left>
      <right style="thin">
        <color theme="0" tint="-0.24994659260841701"/>
      </right>
      <top style="medium">
        <color indexed="64"/>
      </top>
      <bottom/>
      <diagonal/>
    </border>
    <border>
      <left style="thin">
        <color theme="0" tint="-0.24994659260841701"/>
      </left>
      <right style="medium">
        <color indexed="64"/>
      </right>
      <top style="medium">
        <color indexed="64"/>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thin">
        <color theme="0" tint="-0.24994659260841701"/>
      </left>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auto="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medium">
        <color indexed="64"/>
      </left>
      <right style="thin">
        <color rgb="FFBFBFBF"/>
      </right>
      <top style="medium">
        <color indexed="64"/>
      </top>
      <bottom style="medium">
        <color auto="1"/>
      </bottom>
      <diagonal/>
    </border>
    <border>
      <left style="thin">
        <color rgb="FFBFBFBF"/>
      </left>
      <right style="thin">
        <color rgb="FFBFBFBF"/>
      </right>
      <top style="medium">
        <color indexed="64"/>
      </top>
      <bottom style="medium">
        <color auto="1"/>
      </bottom>
      <diagonal/>
    </border>
    <border>
      <left style="medium">
        <color auto="1"/>
      </left>
      <right style="medium">
        <color indexed="64"/>
      </right>
      <top style="medium">
        <color auto="1"/>
      </top>
      <bottom style="thin">
        <color theme="0" tint="-0.24994659260841701"/>
      </bottom>
      <diagonal/>
    </border>
    <border>
      <left style="medium">
        <color indexed="64"/>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theme="0" tint="-0.24994659260841701"/>
      </left>
      <right style="thin">
        <color theme="0" tint="-0.24994659260841701"/>
      </right>
      <top/>
      <bottom style="thin">
        <color theme="0" tint="-0.24994659260841701"/>
      </bottom>
      <diagonal/>
    </border>
    <border>
      <left style="medium">
        <color indexed="64"/>
      </left>
      <right style="medium">
        <color auto="1"/>
      </right>
      <top style="thin">
        <color theme="0" tint="-0.24994659260841701"/>
      </top>
      <bottom style="thin">
        <color theme="0" tint="-0.24994659260841701"/>
      </bottom>
      <diagonal/>
    </border>
    <border>
      <left style="medium">
        <color indexed="64"/>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auto="1"/>
      </left>
      <right style="medium">
        <color auto="1"/>
      </right>
      <top style="thin">
        <color theme="0" tint="-0.24994659260841701"/>
      </top>
      <bottom style="medium">
        <color auto="1"/>
      </bottom>
      <diagonal/>
    </border>
    <border>
      <left style="medium">
        <color indexed="64"/>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theme="0" tint="-0.24994659260841701"/>
      </bottom>
      <diagonal/>
    </border>
    <border>
      <left style="medium">
        <color auto="1"/>
      </left>
      <right style="thin">
        <color auto="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right style="medium">
        <color indexed="64"/>
      </right>
      <top/>
      <bottom style="thin">
        <color theme="0" tint="-0.24994659260841701"/>
      </bottom>
      <diagonal/>
    </border>
    <border>
      <left style="medium">
        <color indexed="64"/>
      </left>
      <right style="thin">
        <color theme="0" tint="-0.24994659260841701"/>
      </right>
      <top/>
      <bottom style="thin">
        <color theme="0" tint="-0.24994659260841701"/>
      </bottom>
      <diagonal/>
    </border>
    <border>
      <left/>
      <right style="medium">
        <color auto="1"/>
      </right>
      <top style="thin">
        <color theme="0" tint="-0.24994659260841701"/>
      </top>
      <bottom style="thin">
        <color theme="0" tint="-0.24994659260841701"/>
      </bottom>
      <diagonal/>
    </border>
    <border>
      <left style="medium">
        <color auto="1"/>
      </left>
      <right style="thin">
        <color indexed="64"/>
      </right>
      <top style="thin">
        <color theme="0" tint="-0.24994659260841701"/>
      </top>
      <bottom style="medium">
        <color auto="1"/>
      </bottom>
      <diagonal/>
    </border>
    <border>
      <left style="medium">
        <color indexed="64"/>
      </left>
      <right/>
      <top style="thin">
        <color theme="0" tint="-0.24994659260841701"/>
      </top>
      <bottom/>
      <diagonal/>
    </border>
    <border>
      <left style="medium">
        <color auto="1"/>
      </left>
      <right/>
      <top style="thin">
        <color theme="0" tint="-0.24994659260841701"/>
      </top>
      <bottom style="medium">
        <color auto="1"/>
      </bottom>
      <diagonal/>
    </border>
    <border>
      <left/>
      <right style="medium">
        <color auto="1"/>
      </right>
      <top/>
      <bottom style="thin">
        <color auto="1"/>
      </bottom>
      <diagonal/>
    </border>
    <border>
      <left/>
      <right/>
      <top style="medium">
        <color indexed="64"/>
      </top>
      <bottom style="thin">
        <color theme="0" tint="-0.24994659260841701"/>
      </bottom>
      <diagonal/>
    </border>
    <border>
      <left/>
      <right style="medium">
        <color indexed="64"/>
      </right>
      <top style="medium">
        <color auto="1"/>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style="medium">
        <color auto="1"/>
      </right>
      <top style="thin">
        <color theme="0" tint="-0.24994659260841701"/>
      </top>
      <bottom style="medium">
        <color auto="1"/>
      </bottom>
      <diagonal/>
    </border>
    <border>
      <left style="medium">
        <color indexed="64"/>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medium">
        <color indexed="64"/>
      </right>
      <top style="thin">
        <color theme="0" tint="-0.24994659260841701"/>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medium">
        <color indexed="64"/>
      </left>
      <right/>
      <top style="thin">
        <color indexed="64"/>
      </top>
      <bottom/>
      <diagonal/>
    </border>
    <border>
      <left style="thin">
        <color theme="0" tint="-0.24994659260841701"/>
      </left>
      <right style="medium">
        <color rgb="FFFF0000"/>
      </right>
      <top/>
      <bottom style="thin">
        <color theme="0" tint="-0.24994659260841701"/>
      </bottom>
      <diagonal/>
    </border>
    <border>
      <left style="medium">
        <color rgb="FFFF0000"/>
      </left>
      <right style="thin">
        <color theme="0" tint="-0.24994659260841701"/>
      </right>
      <top/>
      <bottom style="thin">
        <color theme="0" tint="-0.24994659260841701"/>
      </bottom>
      <diagonal/>
    </border>
    <border>
      <left style="medium">
        <color rgb="FFFF0000"/>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FF0000"/>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theme="0" tint="-0.24994659260841701"/>
      </left>
      <right style="medium">
        <color indexed="64"/>
      </right>
      <top style="medium">
        <color indexed="64"/>
      </top>
      <bottom style="thin">
        <color theme="0" tint="-0.24994659260841701"/>
      </bottom>
      <diagonal/>
    </border>
    <border>
      <left/>
      <right/>
      <top/>
      <bottom style="thick">
        <color indexed="22"/>
      </bottom>
      <diagonal/>
    </border>
    <border>
      <left/>
      <right/>
      <top/>
      <bottom style="medium">
        <color indexed="49"/>
      </bottom>
      <diagonal/>
    </border>
    <border>
      <left/>
      <right/>
      <top/>
      <bottom style="medium">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tint="-0.499984740745262"/>
      </right>
      <top/>
      <bottom/>
      <diagonal/>
    </border>
    <border>
      <left style="thin">
        <color indexed="23"/>
      </left>
      <right style="dashed">
        <color indexed="23"/>
      </right>
      <top style="thin">
        <color indexed="23"/>
      </top>
      <bottom/>
      <diagonal/>
    </border>
    <border>
      <left/>
      <right/>
      <top style="thin">
        <color indexed="23"/>
      </top>
      <bottom/>
      <diagonal/>
    </border>
    <border>
      <left/>
      <right/>
      <top style="thin">
        <color indexed="64"/>
      </top>
      <bottom style="thin">
        <color indexed="64"/>
      </bottom>
      <diagonal/>
    </border>
    <border>
      <left style="thin">
        <color indexed="23"/>
      </left>
      <right/>
      <top style="thin">
        <color indexed="23"/>
      </top>
      <bottom/>
      <diagonal/>
    </border>
    <border>
      <left/>
      <right style="thin">
        <color indexed="23"/>
      </right>
      <top style="thin">
        <color theme="0" tint="-0.499984740745262"/>
      </top>
      <bottom/>
      <diagonal/>
    </border>
    <border>
      <left style="thin">
        <color indexed="23"/>
      </left>
      <right/>
      <top style="thin">
        <color theme="0" tint="-0.499984740745262"/>
      </top>
      <bottom/>
      <diagonal/>
    </border>
    <border>
      <left style="thin">
        <color theme="0" tint="-0.499984740745262"/>
      </left>
      <right/>
      <top style="thin">
        <color indexed="23"/>
      </top>
      <bottom/>
      <diagonal/>
    </border>
    <border>
      <left/>
      <right style="dotted">
        <color indexed="23"/>
      </right>
      <top style="thin">
        <color indexed="23"/>
      </top>
      <bottom/>
      <diagonal/>
    </border>
    <border>
      <left/>
      <right style="dotted">
        <color indexed="23"/>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right/>
      <top/>
      <bottom style="thin">
        <color theme="0" tint="-0.34998626667073579"/>
      </bottom>
      <diagonal/>
    </border>
    <border>
      <left/>
      <right/>
      <top style="thin">
        <color indexed="64"/>
      </top>
      <bottom style="thin">
        <color theme="0" tint="-0.34998626667073579"/>
      </bottom>
      <diagonal/>
    </border>
    <border>
      <left/>
      <right style="dotted">
        <color theme="0" tint="-0.34998626667073579"/>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thin">
        <color indexed="23"/>
      </bottom>
      <diagonal/>
    </border>
    <border>
      <left style="thin">
        <color theme="0" tint="-0.34998626667073579"/>
      </left>
      <right/>
      <top/>
      <bottom/>
      <diagonal/>
    </border>
    <border>
      <left/>
      <right/>
      <top style="thin">
        <color theme="0" tint="-0.14993743705557422"/>
      </top>
      <bottom style="thin">
        <color theme="0" tint="-0.14996795556505021"/>
      </bottom>
      <diagonal/>
    </border>
    <border>
      <left/>
      <right/>
      <top style="thin">
        <color indexed="64"/>
      </top>
      <bottom style="thin">
        <color theme="0" tint="-0.499984740745262"/>
      </bottom>
      <diagonal/>
    </border>
    <border>
      <left style="thin">
        <color theme="0" tint="-0.499984740745262"/>
      </left>
      <right/>
      <top style="thin">
        <color indexed="64"/>
      </top>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auto="1"/>
      </bottom>
      <diagonal/>
    </border>
    <border>
      <left style="thin">
        <color theme="0" tint="-0.24994659260841701"/>
      </left>
      <right style="thin">
        <color theme="0" tint="-0.24994659260841701"/>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BFBFBF"/>
      </left>
      <right style="medium">
        <color indexed="64"/>
      </right>
      <top style="medium">
        <color indexed="64"/>
      </top>
      <bottom/>
      <diagonal/>
    </border>
    <border>
      <left style="thin">
        <color rgb="FFBFBFBF"/>
      </left>
      <right style="thin">
        <color indexed="64"/>
      </right>
      <top style="medium">
        <color indexed="64"/>
      </top>
      <bottom/>
      <diagonal/>
    </border>
    <border>
      <left style="medium">
        <color indexed="64"/>
      </left>
      <right style="thin">
        <color indexed="64"/>
      </right>
      <top style="medium">
        <color indexed="64"/>
      </top>
      <bottom/>
      <diagonal/>
    </border>
    <border>
      <left/>
      <right style="dotted">
        <color rgb="FFFF0000"/>
      </right>
      <top/>
      <bottom style="dotted">
        <color rgb="FFFF0000"/>
      </bottom>
      <diagonal/>
    </border>
    <border>
      <left style="thin">
        <color theme="0" tint="-0.24994659260841701"/>
      </left>
      <right style="medium">
        <color rgb="FFFF0000"/>
      </right>
      <top style="thin">
        <color theme="0" tint="-0.24994659260841701"/>
      </top>
      <bottom style="dotted">
        <color rgb="FFFF0000"/>
      </bottom>
      <diagonal/>
    </border>
    <border>
      <left style="thin">
        <color theme="0" tint="-0.24994659260841701"/>
      </left>
      <right style="thin">
        <color theme="0" tint="-0.24994659260841701"/>
      </right>
      <top style="thin">
        <color theme="0" tint="-0.24994659260841701"/>
      </top>
      <bottom style="dotted">
        <color rgb="FFFF0000"/>
      </bottom>
      <diagonal/>
    </border>
    <border>
      <left style="medium">
        <color rgb="FFFF0000"/>
      </left>
      <right style="thin">
        <color theme="0" tint="-0.24994659260841701"/>
      </right>
      <top style="thin">
        <color theme="0" tint="-0.24994659260841701"/>
      </top>
      <bottom style="dotted">
        <color rgb="FFFF0000"/>
      </bottom>
      <diagonal/>
    </border>
    <border>
      <left style="dotted">
        <color rgb="FFFF0000"/>
      </left>
      <right style="medium">
        <color rgb="FFFF0000"/>
      </right>
      <top/>
      <bottom style="dotted">
        <color rgb="FFFF0000"/>
      </bottom>
      <diagonal/>
    </border>
    <border>
      <left/>
      <right style="dotted">
        <color rgb="FFFF0000"/>
      </right>
      <top/>
      <bottom/>
      <diagonal/>
    </border>
    <border>
      <left style="dotted">
        <color rgb="FFFF0000"/>
      </left>
      <right style="medium">
        <color rgb="FFFF0000"/>
      </right>
      <top/>
      <bottom/>
      <diagonal/>
    </border>
    <border>
      <left style="thin">
        <color theme="0" tint="-0.24994659260841701"/>
      </left>
      <right style="medium">
        <color rgb="FFFF0000"/>
      </right>
      <top style="medium">
        <color rgb="FFFF0000"/>
      </top>
      <bottom style="medium">
        <color rgb="FFFF0000"/>
      </bottom>
      <diagonal/>
    </border>
    <border>
      <left style="thin">
        <color theme="0" tint="-0.24994659260841701"/>
      </left>
      <right style="thin">
        <color theme="0" tint="-0.24994659260841701"/>
      </right>
      <top style="medium">
        <color rgb="FFFF0000"/>
      </top>
      <bottom style="medium">
        <color rgb="FFFF0000"/>
      </bottom>
      <diagonal/>
    </border>
    <border>
      <left style="medium">
        <color rgb="FFFF0000"/>
      </left>
      <right style="thin">
        <color theme="0" tint="-0.24994659260841701"/>
      </right>
      <top style="medium">
        <color rgb="FFFF0000"/>
      </top>
      <bottom style="medium">
        <color rgb="FFFF0000"/>
      </bottom>
      <diagonal/>
    </border>
    <border>
      <left style="dotted">
        <color rgb="FFFF0000"/>
      </left>
      <right/>
      <top/>
      <bottom/>
      <diagonal/>
    </border>
    <border>
      <left style="thin">
        <color theme="0" tint="-0.24994659260841701"/>
      </left>
      <right style="dotted">
        <color rgb="FFFF0000"/>
      </right>
      <top style="thin">
        <color theme="0" tint="-0.24994659260841701"/>
      </top>
      <bottom style="medium">
        <color indexed="64"/>
      </bottom>
      <diagonal/>
    </border>
    <border>
      <left style="dotted">
        <color rgb="FFFF0000"/>
      </left>
      <right style="medium">
        <color indexed="64"/>
      </right>
      <top/>
      <bottom/>
      <diagonal/>
    </border>
    <border>
      <left style="thin">
        <color theme="0" tint="-0.24994659260841701"/>
      </left>
      <right style="dotted">
        <color rgb="FFFF0000"/>
      </right>
      <top style="thin">
        <color theme="0" tint="-0.24994659260841701"/>
      </top>
      <bottom style="thin">
        <color theme="0" tint="-0.24994659260841701"/>
      </bottom>
      <diagonal/>
    </border>
    <border>
      <left style="thin">
        <color theme="0" tint="-0.24994659260841701"/>
      </left>
      <right style="dotted">
        <color rgb="FFFF0000"/>
      </right>
      <top/>
      <bottom style="thin">
        <color theme="0" tint="-0.24994659260841701"/>
      </bottom>
      <diagonal/>
    </border>
    <border>
      <left style="thin">
        <color rgb="FFBFBFBF"/>
      </left>
      <right style="dotted">
        <color rgb="FFFF0000"/>
      </right>
      <top style="dotted">
        <color rgb="FFFF0000"/>
      </top>
      <bottom style="medium">
        <color indexed="64"/>
      </bottom>
      <diagonal/>
    </border>
    <border>
      <left style="thin">
        <color rgb="FFBFBFBF"/>
      </left>
      <right style="thin">
        <color indexed="64"/>
      </right>
      <top style="dotted">
        <color rgb="FFFF0000"/>
      </top>
      <bottom style="medium">
        <color auto="1"/>
      </bottom>
      <diagonal/>
    </border>
    <border>
      <left style="medium">
        <color indexed="64"/>
      </left>
      <right style="thin">
        <color indexed="64"/>
      </right>
      <top style="dotted">
        <color rgb="FFFF0000"/>
      </top>
      <bottom style="medium">
        <color indexed="64"/>
      </bottom>
      <diagonal/>
    </border>
    <border>
      <left style="dotted">
        <color rgb="FFFF0000"/>
      </left>
      <right style="medium">
        <color indexed="64"/>
      </right>
      <top style="dotted">
        <color rgb="FFFF0000"/>
      </top>
      <bottom/>
      <diagonal/>
    </border>
    <border>
      <left style="thin">
        <color rgb="FFBFBFBF"/>
      </left>
      <right style="thin">
        <color rgb="FFBFBFBF"/>
      </right>
      <top style="medium">
        <color indexed="64"/>
      </top>
      <bottom/>
      <diagonal/>
    </border>
    <border>
      <left style="medium">
        <color auto="1"/>
      </left>
      <right style="medium">
        <color indexed="64"/>
      </right>
      <top/>
      <bottom style="thin">
        <color theme="0" tint="-0.24994659260841701"/>
      </bottom>
      <diagonal/>
    </border>
    <border>
      <left style="thin">
        <color rgb="FFBFBFBF"/>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style="thin">
        <color theme="0" tint="-0.24994659260841701"/>
      </top>
      <bottom style="thin">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right style="medium">
        <color indexed="64"/>
      </right>
      <top style="thin">
        <color indexed="64"/>
      </top>
      <bottom style="thin">
        <color theme="0" tint="-0.24994659260841701"/>
      </bottom>
      <diagonal/>
    </border>
    <border>
      <left style="thin">
        <color theme="0" tint="-0.24994659260841701"/>
      </left>
      <right style="medium">
        <color indexed="64"/>
      </right>
      <top style="thin">
        <color indexed="64"/>
      </top>
      <bottom style="thin">
        <color theme="0" tint="-0.24994659260841701"/>
      </bottom>
      <diagonal/>
    </border>
    <border>
      <left style="medium">
        <color indexed="64"/>
      </left>
      <right/>
      <top style="thin">
        <color theme="4" tint="0.39997558519241921"/>
      </top>
      <bottom style="medium">
        <color auto="1"/>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right/>
      <top style="thin">
        <color theme="4" tint="0.39997558519241921"/>
      </top>
      <bottom/>
      <diagonal/>
    </border>
    <border>
      <left style="thin">
        <color theme="0" tint="-0.24994659260841701"/>
      </left>
      <right/>
      <top/>
      <bottom/>
      <diagonal/>
    </border>
    <border>
      <left style="medium">
        <color indexed="64"/>
      </left>
      <right style="medium">
        <color indexed="64"/>
      </right>
      <top/>
      <bottom style="medium">
        <color indexed="64"/>
      </bottom>
      <diagonal/>
    </border>
    <border>
      <left style="thin">
        <color rgb="FFBFBFBF"/>
      </left>
      <right style="medium">
        <color indexed="64"/>
      </right>
      <top style="thin">
        <color rgb="FFBFBFBF"/>
      </top>
      <bottom style="medium">
        <color indexed="64"/>
      </bottom>
      <diagonal/>
    </border>
    <border>
      <left style="thin">
        <color rgb="FFBFBFBF"/>
      </left>
      <right style="medium">
        <color indexed="64"/>
      </right>
      <top style="thin">
        <color rgb="FFBFBFBF"/>
      </top>
      <bottom/>
      <diagonal/>
    </border>
    <border>
      <left style="thin">
        <color rgb="FFBFBFBF"/>
      </left>
      <right style="thin">
        <color rgb="FFBFBFBF"/>
      </right>
      <top style="thin">
        <color rgb="FFBFBFBF"/>
      </top>
      <bottom/>
      <diagonal/>
    </border>
    <border>
      <left style="medium">
        <color indexed="64"/>
      </left>
      <right style="thin">
        <color rgb="FFBFBFBF"/>
      </right>
      <top style="thin">
        <color rgb="FFBFBFBF"/>
      </top>
      <bottom/>
      <diagonal/>
    </border>
    <border>
      <left style="thin">
        <color rgb="FFBFBFBF"/>
      </left>
      <right style="medium">
        <color indexed="64"/>
      </right>
      <top style="thin">
        <color rgb="FFBFBFBF"/>
      </top>
      <bottom style="thin">
        <color rgb="FFBFBFBF"/>
      </bottom>
      <diagonal/>
    </border>
    <border>
      <left style="thin">
        <color rgb="FFBFBFBF"/>
      </left>
      <right style="medium">
        <color indexed="64"/>
      </right>
      <top/>
      <bottom style="thin">
        <color rgb="FFBFBFBF"/>
      </bottom>
      <diagonal/>
    </border>
    <border>
      <left style="thin">
        <color rgb="FFBFBFBF"/>
      </left>
      <right style="medium">
        <color indexed="64"/>
      </right>
      <top style="medium">
        <color indexed="64"/>
      </top>
      <bottom style="mediumDashed">
        <color indexed="64"/>
      </bottom>
      <diagonal/>
    </border>
    <border>
      <left style="thin">
        <color rgb="FFBFBFBF"/>
      </left>
      <right style="thin">
        <color rgb="FFBFBFBF"/>
      </right>
      <top style="medium">
        <color indexed="64"/>
      </top>
      <bottom style="mediumDashed">
        <color indexed="64"/>
      </bottom>
      <diagonal/>
    </border>
    <border>
      <left style="medium">
        <color indexed="64"/>
      </left>
      <right style="thin">
        <color rgb="FFBFBFBF"/>
      </right>
      <top style="medium">
        <color indexed="64"/>
      </top>
      <bottom style="mediumDashed">
        <color indexed="64"/>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thin">
        <color theme="0" tint="-0.24994659260841701"/>
      </right>
      <top/>
      <bottom style="medium">
        <color indexed="64"/>
      </bottom>
      <diagonal/>
    </border>
    <border>
      <left style="thin">
        <color theme="0" tint="-0.24994659260841701"/>
      </left>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style="thin">
        <color theme="0" tint="-0.24994659260841701"/>
      </top>
      <bottom style="hair">
        <color indexed="64"/>
      </bottom>
      <diagonal/>
    </border>
    <border>
      <left style="thin">
        <color theme="0" tint="-0.24994659260841701"/>
      </left>
      <right style="thin">
        <color theme="0" tint="-0.24994659260841701"/>
      </right>
      <top style="thin">
        <color theme="0" tint="-0.24994659260841701"/>
      </top>
      <bottom style="hair">
        <color indexed="64"/>
      </bottom>
      <diagonal/>
    </border>
    <border>
      <left style="medium">
        <color indexed="64"/>
      </left>
      <right style="thin">
        <color theme="0" tint="-0.24994659260841701"/>
      </right>
      <top style="thin">
        <color theme="0" tint="-0.24994659260841701"/>
      </top>
      <bottom style="hair">
        <color indexed="64"/>
      </bottom>
      <diagonal/>
    </border>
    <border>
      <left/>
      <right style="medium">
        <color indexed="64"/>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medium">
        <color indexed="64"/>
      </left>
      <right style="thin">
        <color theme="0" tint="-0.24994659260841701"/>
      </right>
      <top style="thin">
        <color indexed="64"/>
      </top>
      <bottom style="thin">
        <color indexed="64"/>
      </bottom>
      <diagonal/>
    </border>
    <border>
      <left/>
      <right style="medium">
        <color indexed="64"/>
      </right>
      <top style="mediumDashed">
        <color indexed="64"/>
      </top>
      <bottom style="thin">
        <color indexed="64"/>
      </bottom>
      <diagonal/>
    </border>
    <border>
      <left/>
      <right/>
      <top style="mediumDashed">
        <color indexed="64"/>
      </top>
      <bottom style="thin">
        <color indexed="64"/>
      </bottom>
      <diagonal/>
    </border>
    <border>
      <left style="thin">
        <color theme="0" tint="-0.24994659260841701"/>
      </left>
      <right/>
      <top style="mediumDashed">
        <color indexed="64"/>
      </top>
      <bottom style="thin">
        <color indexed="64"/>
      </bottom>
      <diagonal/>
    </border>
    <border>
      <left style="thin">
        <color theme="0" tint="-0.24994659260841701"/>
      </left>
      <right style="thin">
        <color theme="0" tint="-0.24994659260841701"/>
      </right>
      <top style="mediumDashed">
        <color indexed="64"/>
      </top>
      <bottom style="thin">
        <color indexed="64"/>
      </bottom>
      <diagonal/>
    </border>
    <border>
      <left style="medium">
        <color indexed="64"/>
      </left>
      <right style="thin">
        <color theme="0" tint="-0.24994659260841701"/>
      </right>
      <top style="mediumDashed">
        <color indexed="64"/>
      </top>
      <bottom style="thin">
        <color indexed="64"/>
      </bottom>
      <diagonal/>
    </border>
    <border>
      <left style="thin">
        <color theme="0" tint="-0.24994659260841701"/>
      </left>
      <right style="thin">
        <color theme="0" tint="-0.24994659260841701"/>
      </right>
      <top/>
      <bottom/>
      <diagonal/>
    </border>
    <border>
      <left/>
      <right style="medium">
        <color indexed="64"/>
      </right>
      <top/>
      <bottom style="thin">
        <color theme="0" tint="-0.14996795556505021"/>
      </bottom>
      <diagonal/>
    </border>
    <border>
      <left/>
      <right/>
      <top/>
      <bottom style="thin">
        <color theme="0" tint="-0.14996795556505021"/>
      </bottom>
      <diagonal/>
    </border>
    <border>
      <left style="medium">
        <color indexed="64"/>
      </left>
      <right style="thin">
        <color theme="0" tint="-0.24994659260841701"/>
      </right>
      <top/>
      <bottom style="thin">
        <color theme="0" tint="-0.14996795556505021"/>
      </bottom>
      <diagonal/>
    </border>
    <border>
      <left style="thin">
        <color theme="0" tint="-0.24994659260841701"/>
      </left>
      <right/>
      <top style="thin">
        <color theme="0" tint="-0.24994659260841701"/>
      </top>
      <bottom style="thin">
        <color indexed="64"/>
      </bottom>
      <diagonal/>
    </border>
    <border>
      <left style="thin">
        <color theme="0" tint="-0.24994659260841701"/>
      </left>
      <right style="thin">
        <color theme="0" tint="-0.24994659260841701"/>
      </right>
      <top/>
      <bottom style="thin">
        <color indexed="64"/>
      </bottom>
      <diagonal/>
    </border>
    <border>
      <left style="medium">
        <color indexed="64"/>
      </left>
      <right style="thin">
        <color theme="0" tint="-0.24994659260841701"/>
      </right>
      <top/>
      <bottom style="thin">
        <color indexed="64"/>
      </bottom>
      <diagonal/>
    </border>
    <border>
      <left/>
      <right style="medium">
        <color indexed="64"/>
      </right>
      <top/>
      <bottom style="mediumDashed">
        <color theme="0" tint="-0.34998626667073579"/>
      </bottom>
      <diagonal/>
    </border>
    <border>
      <left/>
      <right/>
      <top/>
      <bottom style="mediumDashed">
        <color theme="0" tint="-0.34998626667073579"/>
      </bottom>
      <diagonal/>
    </border>
    <border>
      <left style="thin">
        <color theme="0" tint="-0.24994659260841701"/>
      </left>
      <right/>
      <top/>
      <bottom style="mediumDashed">
        <color theme="0" tint="-0.34998626667073579"/>
      </bottom>
      <diagonal/>
    </border>
    <border>
      <left style="thin">
        <color theme="0" tint="-0.24994659260841701"/>
      </left>
      <right style="thin">
        <color theme="0" tint="-0.24994659260841701"/>
      </right>
      <top/>
      <bottom style="mediumDashed">
        <color theme="0" tint="-0.34998626667073579"/>
      </bottom>
      <diagonal/>
    </border>
    <border>
      <left style="medium">
        <color indexed="64"/>
      </left>
      <right style="thin">
        <color theme="0" tint="-0.24994659260841701"/>
      </right>
      <top/>
      <bottom style="mediumDashed">
        <color theme="0" tint="-0.34998626667073579"/>
      </bottom>
      <diagonal/>
    </border>
    <border>
      <left style="thin">
        <color theme="0" tint="-0.24994659260841701"/>
      </left>
      <right/>
      <top/>
      <bottom style="thin">
        <color indexed="64"/>
      </bottom>
      <diagonal/>
    </border>
    <border>
      <left/>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medium">
        <color indexed="64"/>
      </left>
      <right style="thin">
        <color theme="0" tint="-0.24994659260841701"/>
      </right>
      <top style="thin">
        <color theme="0" tint="-0.24994659260841701"/>
      </top>
      <bottom style="thin">
        <color indexed="64"/>
      </bottom>
      <diagonal/>
    </border>
    <border>
      <left style="medium">
        <color indexed="64"/>
      </left>
      <right/>
      <top/>
      <bottom style="thin">
        <color indexed="64"/>
      </bottom>
      <diagonal/>
    </border>
    <border>
      <left/>
      <right style="medium">
        <color indexed="64"/>
      </right>
      <top style="mediumDashed">
        <color indexed="64"/>
      </top>
      <bottom/>
      <diagonal/>
    </border>
    <border>
      <left/>
      <right/>
      <top style="mediumDashed">
        <color indexed="64"/>
      </top>
      <bottom/>
      <diagonal/>
    </border>
    <border>
      <left style="thin">
        <color theme="0" tint="-0.24994659260841701"/>
      </left>
      <right/>
      <top style="mediumDashed">
        <color indexed="64"/>
      </top>
      <bottom/>
      <diagonal/>
    </border>
    <border>
      <left style="thin">
        <color rgb="FFBFBFBF"/>
      </left>
      <right style="medium">
        <color indexed="64"/>
      </right>
      <top/>
      <bottom style="mediumDashed">
        <color indexed="64"/>
      </bottom>
      <diagonal/>
    </border>
    <border>
      <left style="thin">
        <color rgb="FFBFBFBF"/>
      </left>
      <right style="thin">
        <color rgb="FFBFBFBF"/>
      </right>
      <top/>
      <bottom style="mediumDashed">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thin">
        <color theme="0" tint="-0.24994659260841701"/>
      </top>
      <bottom style="thin">
        <color indexed="64"/>
      </bottom>
      <diagonal/>
    </border>
    <border>
      <left style="medium">
        <color indexed="64"/>
      </left>
      <right/>
      <top style="thin">
        <color indexed="64"/>
      </top>
      <bottom style="thin">
        <color theme="0" tint="-0.24994659260841701"/>
      </bottom>
      <diagonal/>
    </border>
    <border>
      <left/>
      <right style="medium">
        <color indexed="64"/>
      </right>
      <top style="medium">
        <color auto="1"/>
      </top>
      <bottom style="thin">
        <color indexed="64"/>
      </bottom>
      <diagonal/>
    </border>
    <border>
      <left/>
      <right/>
      <top style="medium">
        <color auto="1"/>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rgb="FFBFBFBF"/>
      </right>
      <top/>
      <bottom style="mediumDashed">
        <color indexed="64"/>
      </bottom>
      <diagonal/>
    </border>
    <border>
      <left style="thin">
        <color indexed="64"/>
      </left>
      <right/>
      <top/>
      <bottom style="thin">
        <color indexed="64"/>
      </bottom>
      <diagonal/>
    </border>
    <border>
      <left style="thin">
        <color indexed="64"/>
      </left>
      <right style="thin">
        <color rgb="FFBFBFBF"/>
      </right>
      <top style="medium">
        <color indexed="64"/>
      </top>
      <bottom style="medium">
        <color indexed="64"/>
      </bottom>
      <diagonal/>
    </border>
    <border>
      <left style="thin">
        <color indexed="64"/>
      </left>
      <right style="thin">
        <color indexed="64"/>
      </right>
      <top style="thin">
        <color indexed="64"/>
      </top>
      <bottom/>
      <diagonal/>
    </border>
    <border>
      <left/>
      <right style="thin">
        <color theme="0" tint="-0.24994659260841701"/>
      </right>
      <top style="thin">
        <color theme="0" tint="-0.24994659260841701"/>
      </top>
      <bottom style="medium">
        <color indexed="64"/>
      </bottom>
      <diagonal/>
    </border>
    <border>
      <left style="thin">
        <color indexed="64"/>
      </left>
      <right style="thin">
        <color indexed="64"/>
      </right>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34998626667073579"/>
      </top>
      <bottom/>
      <diagonal/>
    </border>
    <border>
      <left style="medium">
        <color indexed="64"/>
      </left>
      <right/>
      <top style="thin">
        <color theme="4"/>
      </top>
      <bottom/>
      <diagonal/>
    </border>
  </borders>
  <cellStyleXfs count="915">
    <xf numFmtId="0" fontId="0" fillId="0" borderId="0"/>
    <xf numFmtId="199" fontId="6" fillId="0" borderId="0" applyFont="0" applyFill="0" applyBorder="0" applyAlignment="0" applyProtection="0"/>
    <xf numFmtId="166" fontId="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9" fillId="0" borderId="0"/>
    <xf numFmtId="167"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5" fontId="9" fillId="10" borderId="0" applyFont="0" applyBorder="0" applyAlignment="0">
      <alignment horizontal="right"/>
      <protection locked="0"/>
    </xf>
    <xf numFmtId="165" fontId="9" fillId="6" borderId="0" applyFont="0" applyBorder="0">
      <alignment horizontal="right"/>
      <protection locked="0"/>
    </xf>
    <xf numFmtId="0" fontId="9" fillId="0" borderId="0" applyFill="0"/>
    <xf numFmtId="0" fontId="9" fillId="0" borderId="0"/>
    <xf numFmtId="0" fontId="9" fillId="0" borderId="0"/>
    <xf numFmtId="0" fontId="9" fillId="0" borderId="0"/>
    <xf numFmtId="9" fontId="9" fillId="0" borderId="0" applyFont="0" applyFill="0" applyBorder="0" applyAlignment="0" applyProtection="0"/>
    <xf numFmtId="0" fontId="34" fillId="11" borderId="0"/>
    <xf numFmtId="0" fontId="34" fillId="12" borderId="0">
      <alignment horizontal="left" vertical="center"/>
      <protection locked="0"/>
    </xf>
    <xf numFmtId="0" fontId="35" fillId="13" borderId="0">
      <alignment vertical="center"/>
      <protection locked="0"/>
    </xf>
    <xf numFmtId="0" fontId="6" fillId="0" borderId="0"/>
    <xf numFmtId="0" fontId="6" fillId="0" borderId="0"/>
    <xf numFmtId="0" fontId="6" fillId="0" borderId="0"/>
    <xf numFmtId="0" fontId="6" fillId="0" borderId="0" applyFill="0"/>
    <xf numFmtId="0" fontId="6" fillId="0" borderId="0"/>
    <xf numFmtId="0" fontId="6" fillId="0" borderId="0"/>
    <xf numFmtId="0" fontId="6" fillId="0" borderId="0"/>
    <xf numFmtId="0" fontId="6" fillId="0" borderId="0"/>
    <xf numFmtId="178" fontId="6" fillId="0" borderId="0"/>
    <xf numFmtId="0" fontId="43" fillId="0" borderId="0"/>
    <xf numFmtId="0" fontId="43"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xf numFmtId="0" fontId="6" fillId="0" borderId="0"/>
    <xf numFmtId="179" fontId="16" fillId="0" borderId="0"/>
    <xf numFmtId="179" fontId="16" fillId="0" borderId="0"/>
    <xf numFmtId="0" fontId="45" fillId="22"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5" fillId="31" borderId="0" applyNumberFormat="0" applyBorder="0" applyAlignment="0" applyProtection="0"/>
    <xf numFmtId="0" fontId="45" fillId="35" borderId="0" applyNumberFormat="0" applyBorder="0" applyAlignment="0" applyProtection="0"/>
    <xf numFmtId="0" fontId="46" fillId="32" borderId="0" applyNumberFormat="0" applyBorder="0" applyAlignment="0" applyProtection="0"/>
    <xf numFmtId="0" fontId="46" fillId="36"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xf numFmtId="0" fontId="46" fillId="32" borderId="0" applyNumberFormat="0" applyBorder="0" applyAlignment="0" applyProtection="0"/>
    <xf numFmtId="0" fontId="46" fillId="37" borderId="0" applyNumberFormat="0" applyBorder="0" applyAlignment="0" applyProtection="0"/>
    <xf numFmtId="0" fontId="45" fillId="38" borderId="0" applyNumberFormat="0" applyBorder="0" applyAlignment="0" applyProtection="0"/>
    <xf numFmtId="0" fontId="45"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5" fillId="31" borderId="0" applyNumberFormat="0" applyBorder="0" applyAlignment="0" applyProtection="0"/>
    <xf numFmtId="0" fontId="45" fillId="39"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7" fillId="0" borderId="0"/>
    <xf numFmtId="164" fontId="48" fillId="0" borderId="0" applyFont="0" applyFill="0" applyBorder="0" applyAlignment="0" applyProtection="0"/>
    <xf numFmtId="0" fontId="49" fillId="41" borderId="0" applyNumberFormat="0" applyBorder="0" applyAlignment="0" applyProtection="0"/>
    <xf numFmtId="0" fontId="50" fillId="0" borderId="0" applyNumberFormat="0" applyFill="0" applyBorder="0" applyAlignment="0"/>
    <xf numFmtId="165" fontId="6" fillId="4" borderId="0" applyNumberFormat="0" applyFont="0" applyBorder="0" applyAlignment="0">
      <alignment horizontal="right"/>
    </xf>
    <xf numFmtId="165" fontId="6" fillId="4" borderId="0" applyNumberFormat="0" applyFont="0" applyBorder="0" applyAlignment="0">
      <alignment horizontal="right"/>
    </xf>
    <xf numFmtId="0" fontId="51" fillId="0" borderId="0" applyNumberFormat="0" applyFill="0" applyBorder="0" applyAlignment="0">
      <protection locked="0"/>
    </xf>
    <xf numFmtId="0" fontId="52" fillId="25" borderId="46" applyNumberFormat="0" applyAlignment="0" applyProtection="0"/>
    <xf numFmtId="0" fontId="53" fillId="42" borderId="47" applyNumberFormat="0" applyAlignment="0" applyProtection="0"/>
    <xf numFmtId="165" fontId="6" fillId="0" borderId="0" applyFont="0" applyFill="0" applyBorder="0" applyAlignment="0" applyProtection="0"/>
    <xf numFmtId="0" fontId="5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45"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55"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3" fontId="5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0" fontId="57" fillId="43"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178" fontId="45" fillId="0" borderId="0" applyFont="0" applyFill="0" applyBorder="0" applyAlignment="0" applyProtection="0"/>
    <xf numFmtId="0" fontId="58" fillId="0" borderId="0" applyNumberForma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0" fontId="59" fillId="0" borderId="0"/>
    <xf numFmtId="0" fontId="60" fillId="0" borderId="0"/>
    <xf numFmtId="0" fontId="61" fillId="46" borderId="0" applyNumberFormat="0" applyBorder="0" applyAlignment="0" applyProtection="0"/>
    <xf numFmtId="0" fontId="7" fillId="0" borderId="0" applyFill="0" applyBorder="0">
      <alignment vertical="center"/>
    </xf>
    <xf numFmtId="0" fontId="62" fillId="0" borderId="48" applyNumberFormat="0" applyFill="0" applyAlignment="0" applyProtection="0"/>
    <xf numFmtId="0" fontId="7" fillId="0" borderId="0" applyFill="0" applyBorder="0">
      <alignment vertical="center"/>
    </xf>
    <xf numFmtId="0" fontId="63" fillId="0" borderId="0" applyFill="0" applyBorder="0">
      <alignment vertical="center"/>
    </xf>
    <xf numFmtId="0" fontId="64" fillId="0" borderId="49" applyNumberFormat="0" applyFill="0" applyAlignment="0" applyProtection="0"/>
    <xf numFmtId="0" fontId="63" fillId="0" borderId="0" applyFill="0" applyBorder="0">
      <alignment vertical="center"/>
    </xf>
    <xf numFmtId="0" fontId="65" fillId="0" borderId="50" applyNumberFormat="0" applyFill="0" applyAlignment="0" applyProtection="0"/>
    <xf numFmtId="0" fontId="65" fillId="0" borderId="50" applyNumberFormat="0" applyFill="0" applyAlignment="0" applyProtection="0"/>
    <xf numFmtId="0" fontId="19" fillId="0" borderId="0" applyFill="0" applyBorder="0">
      <alignment vertical="center"/>
    </xf>
    <xf numFmtId="0" fontId="19" fillId="0" borderId="0" applyFill="0" applyBorder="0">
      <alignment vertical="center"/>
    </xf>
    <xf numFmtId="0" fontId="16" fillId="0" borderId="0" applyFill="0" applyBorder="0">
      <alignment vertical="center"/>
    </xf>
    <xf numFmtId="0" fontId="65" fillId="0" borderId="0" applyNumberFormat="0" applyFill="0" applyBorder="0" applyAlignment="0" applyProtection="0"/>
    <xf numFmtId="0" fontId="16" fillId="0" borderId="0" applyFill="0" applyBorder="0">
      <alignment vertical="center"/>
    </xf>
    <xf numFmtId="168" fontId="66" fillId="0" borderId="0"/>
    <xf numFmtId="0" fontId="67" fillId="0" borderId="0" applyNumberFormat="0" applyFill="0" applyBorder="0" applyAlignment="0" applyProtection="0">
      <alignment vertical="top"/>
      <protection locked="0"/>
    </xf>
    <xf numFmtId="0" fontId="68" fillId="0" borderId="0" applyFill="0" applyBorder="0">
      <alignment horizontal="center" vertical="center"/>
      <protection locked="0"/>
    </xf>
    <xf numFmtId="0" fontId="69" fillId="0" borderId="0" applyFill="0" applyBorder="0">
      <alignment horizontal="left" vertical="center"/>
      <protection locked="0"/>
    </xf>
    <xf numFmtId="182" fontId="6" fillId="6" borderId="0" applyFont="0" applyBorder="0">
      <alignment horizontal="right"/>
    </xf>
    <xf numFmtId="0" fontId="70" fillId="23" borderId="46" applyNumberFormat="0" applyAlignment="0" applyProtection="0"/>
    <xf numFmtId="165" fontId="6" fillId="47" borderId="0" applyFont="0" applyBorder="0" applyAlignment="0">
      <alignment horizontal="right"/>
      <protection locked="0"/>
    </xf>
    <xf numFmtId="165" fontId="6" fillId="10" borderId="0" applyFont="0" applyBorder="0" applyAlignment="0">
      <alignment horizontal="right"/>
      <protection locked="0"/>
    </xf>
    <xf numFmtId="183" fontId="6" fillId="48" borderId="0" applyFont="0" applyBorder="0">
      <alignment horizontal="right"/>
      <protection locked="0"/>
    </xf>
    <xf numFmtId="183" fontId="6" fillId="48" borderId="0" applyFont="0" applyBorder="0">
      <alignment horizontal="right"/>
      <protection locked="0"/>
    </xf>
    <xf numFmtId="165" fontId="6" fillId="6" borderId="0" applyFont="0" applyBorder="0">
      <alignment horizontal="right"/>
      <protection locked="0"/>
    </xf>
    <xf numFmtId="0" fontId="16" fillId="4" borderId="0"/>
    <xf numFmtId="0" fontId="71" fillId="0" borderId="51" applyNumberFormat="0" applyFill="0" applyAlignment="0" applyProtection="0"/>
    <xf numFmtId="184" fontId="72" fillId="0" borderId="0"/>
    <xf numFmtId="0" fontId="12" fillId="0" borderId="0" applyFill="0" applyBorder="0">
      <alignment horizontal="left" vertical="center"/>
    </xf>
    <xf numFmtId="0" fontId="73" fillId="26" borderId="0" applyNumberFormat="0" applyBorder="0" applyAlignment="0" applyProtection="0"/>
    <xf numFmtId="185" fontId="7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2" borderId="0"/>
    <xf numFmtId="0" fontId="6" fillId="0" borderId="0"/>
    <xf numFmtId="0" fontId="4" fillId="0" borderId="0"/>
    <xf numFmtId="0" fontId="6" fillId="0" borderId="0"/>
    <xf numFmtId="0" fontId="6" fillId="0" borderId="0"/>
    <xf numFmtId="0" fontId="6" fillId="24" borderId="52" applyNumberFormat="0" applyFont="0" applyAlignment="0" applyProtection="0"/>
    <xf numFmtId="0" fontId="75" fillId="25" borderId="53" applyNumberFormat="0" applyAlignment="0" applyProtection="0"/>
    <xf numFmtId="186" fontId="6" fillId="0" borderId="0" applyFill="0" applyBorder="0"/>
    <xf numFmtId="186" fontId="6" fillId="0" borderId="0" applyFill="0" applyBorder="0"/>
    <xf numFmtId="186" fontId="6" fillId="0" borderId="0" applyFill="0" applyBorder="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76" fillId="0" borderId="0"/>
    <xf numFmtId="0" fontId="19" fillId="0" borderId="0" applyFill="0" applyBorder="0">
      <alignment vertical="center"/>
    </xf>
    <xf numFmtId="0" fontId="54" fillId="0" borderId="0" applyNumberFormat="0" applyFont="0" applyFill="0" applyBorder="0" applyAlignment="0" applyProtection="0">
      <alignment horizontal="left"/>
    </xf>
    <xf numFmtId="15" fontId="54" fillId="0" borderId="0" applyFont="0" applyFill="0" applyBorder="0" applyAlignment="0" applyProtection="0"/>
    <xf numFmtId="4" fontId="54" fillId="0" borderId="0" applyFont="0" applyFill="0" applyBorder="0" applyAlignment="0" applyProtection="0"/>
    <xf numFmtId="187" fontId="77" fillId="0" borderId="5"/>
    <xf numFmtId="0" fontId="78" fillId="0" borderId="36">
      <alignment horizontal="center"/>
    </xf>
    <xf numFmtId="3" fontId="54" fillId="0" borderId="0" applyFont="0" applyFill="0" applyBorder="0" applyAlignment="0" applyProtection="0"/>
    <xf numFmtId="0" fontId="54" fillId="49" borderId="0" applyNumberFormat="0" applyFont="0" applyBorder="0" applyAlignment="0" applyProtection="0"/>
    <xf numFmtId="188" fontId="6" fillId="0" borderId="0"/>
    <xf numFmtId="188" fontId="6" fillId="0" borderId="0"/>
    <xf numFmtId="188" fontId="6" fillId="0" borderId="0"/>
    <xf numFmtId="189" fontId="16" fillId="0" borderId="0" applyFill="0" applyBorder="0">
      <alignment horizontal="right" vertical="center"/>
    </xf>
    <xf numFmtId="190" fontId="16" fillId="0" borderId="0" applyFill="0" applyBorder="0">
      <alignment horizontal="right" vertical="center"/>
    </xf>
    <xf numFmtId="191" fontId="16" fillId="0" borderId="0" applyFill="0" applyBorder="0">
      <alignment horizontal="right" vertical="center"/>
    </xf>
    <xf numFmtId="0" fontId="6" fillId="24" borderId="0" applyNumberFormat="0" applyFont="0" applyBorder="0" applyAlignment="0" applyProtection="0"/>
    <xf numFmtId="0" fontId="6" fillId="24" borderId="0" applyNumberFormat="0" applyFont="0" applyBorder="0" applyAlignment="0" applyProtection="0"/>
    <xf numFmtId="0" fontId="6" fillId="25" borderId="0" applyNumberFormat="0" applyFont="0" applyBorder="0" applyAlignment="0" applyProtection="0"/>
    <xf numFmtId="0" fontId="6" fillId="25" borderId="0" applyNumberFormat="0" applyFont="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Alignment="0" applyProtection="0"/>
    <xf numFmtId="0" fontId="6" fillId="0" borderId="0" applyNumberFormat="0" applyFont="0" applyBorder="0" applyAlignment="0" applyProtection="0"/>
    <xf numFmtId="0" fontId="79" fillId="0" borderId="0" applyNumberFormat="0" applyFill="0" applyBorder="0" applyAlignment="0" applyProtection="0"/>
    <xf numFmtId="0" fontId="6" fillId="0" borderId="0"/>
    <xf numFmtId="0" fontId="6" fillId="0" borderId="0"/>
    <xf numFmtId="0" fontId="6" fillId="0" borderId="0"/>
    <xf numFmtId="0" fontId="12" fillId="0" borderId="0"/>
    <xf numFmtId="0" fontId="80" fillId="0" borderId="0"/>
    <xf numFmtId="15" fontId="6" fillId="0" borderId="0"/>
    <xf numFmtId="15" fontId="6" fillId="0" borderId="0"/>
    <xf numFmtId="15" fontId="6" fillId="0" borderId="0"/>
    <xf numFmtId="10" fontId="6" fillId="0" borderId="0"/>
    <xf numFmtId="10" fontId="6" fillId="0" borderId="0"/>
    <xf numFmtId="10" fontId="6" fillId="0" borderId="0"/>
    <xf numFmtId="0" fontId="81" fillId="17" borderId="2" applyBorder="0" applyProtection="0">
      <alignment horizontal="centerContinuous" vertical="center"/>
    </xf>
    <xf numFmtId="0" fontId="82" fillId="0" borderId="0" applyBorder="0" applyProtection="0">
      <alignment vertical="center"/>
    </xf>
    <xf numFmtId="0" fontId="83" fillId="0" borderId="0">
      <alignment horizontal="left"/>
    </xf>
    <xf numFmtId="0" fontId="83" fillId="0" borderId="38" applyFill="0" applyBorder="0" applyProtection="0">
      <alignment horizontal="left" vertical="top"/>
    </xf>
    <xf numFmtId="49" fontId="6" fillId="0" borderId="0" applyFont="0" applyFill="0" applyBorder="0" applyAlignment="0" applyProtection="0"/>
    <xf numFmtId="0" fontId="84" fillId="0" borderId="0"/>
    <xf numFmtId="49" fontId="6" fillId="0" borderId="0" applyFont="0" applyFill="0" applyBorder="0" applyAlignment="0" applyProtection="0"/>
    <xf numFmtId="0" fontId="85" fillId="0" borderId="0"/>
    <xf numFmtId="0" fontId="85" fillId="0" borderId="0"/>
    <xf numFmtId="0" fontId="84" fillId="0" borderId="0"/>
    <xf numFmtId="184" fontId="86" fillId="0" borderId="0"/>
    <xf numFmtId="0" fontId="79" fillId="0" borderId="0" applyNumberFormat="0" applyFill="0" applyBorder="0" applyAlignment="0" applyProtection="0"/>
    <xf numFmtId="0" fontId="87" fillId="0" borderId="0" applyFill="0" applyBorder="0">
      <alignment horizontal="left" vertical="center"/>
      <protection locked="0"/>
    </xf>
    <xf numFmtId="0" fontId="84" fillId="0" borderId="0"/>
    <xf numFmtId="0" fontId="88" fillId="0" borderId="0" applyFill="0" applyBorder="0">
      <alignment horizontal="left" vertical="center"/>
      <protection locked="0"/>
    </xf>
    <xf numFmtId="0" fontId="57" fillId="0" borderId="54" applyNumberFormat="0" applyFill="0" applyAlignment="0" applyProtection="0"/>
    <xf numFmtId="0" fontId="89" fillId="0" borderId="0" applyNumberFormat="0" applyFill="0" applyBorder="0" applyAlignment="0" applyProtection="0"/>
    <xf numFmtId="192" fontId="6" fillId="0" borderId="2" applyBorder="0" applyProtection="0">
      <alignment horizontal="right"/>
    </xf>
    <xf numFmtId="192" fontId="6" fillId="0" borderId="2" applyBorder="0" applyProtection="0">
      <alignment horizontal="right"/>
    </xf>
    <xf numFmtId="192" fontId="6" fillId="0" borderId="2" applyBorder="0" applyProtection="0">
      <alignment horizontal="right"/>
    </xf>
    <xf numFmtId="0" fontId="3" fillId="0" borderId="0"/>
    <xf numFmtId="0" fontId="3" fillId="0" borderId="0"/>
    <xf numFmtId="0" fontId="3" fillId="0" borderId="0"/>
    <xf numFmtId="0" fontId="3" fillId="0" borderId="0"/>
    <xf numFmtId="178" fontId="6" fillId="0" borderId="0"/>
    <xf numFmtId="0" fontId="3" fillId="50" borderId="0" applyNumberFormat="0" applyBorder="0" applyAlignment="0" applyProtection="0"/>
    <xf numFmtId="0" fontId="3" fillId="51" borderId="0" applyNumberFormat="0" applyBorder="0" applyAlignment="0" applyProtection="0"/>
    <xf numFmtId="165" fontId="6" fillId="4" borderId="0" applyNumberFormat="0" applyFont="0" applyBorder="0" applyAlignment="0">
      <alignment horizontal="right"/>
    </xf>
    <xf numFmtId="0" fontId="52" fillId="25" borderId="46" applyNumberFormat="0" applyAlignment="0" applyProtection="0"/>
    <xf numFmtId="0" fontId="52" fillId="25" borderId="46" applyNumberFormat="0" applyAlignment="0" applyProtection="0"/>
    <xf numFmtId="0" fontId="53" fillId="42" borderId="47" applyNumberFormat="0" applyAlignment="0" applyProtection="0"/>
    <xf numFmtId="167" fontId="3" fillId="0" borderId="0" applyFont="0" applyFill="0" applyBorder="0" applyAlignment="0" applyProtection="0"/>
    <xf numFmtId="167" fontId="6" fillId="0" borderId="0" applyFont="0" applyFill="0" applyBorder="0" applyAlignment="0" applyProtection="0"/>
    <xf numFmtId="167" fontId="45"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167" fontId="55" fillId="0" borderId="0" applyFont="0" applyFill="0" applyBorder="0" applyAlignment="0" applyProtection="0"/>
    <xf numFmtId="167" fontId="55" fillId="0" borderId="0" applyFont="0" applyFill="0" applyBorder="0" applyAlignment="0" applyProtection="0"/>
    <xf numFmtId="0"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9" fontId="106" fillId="56" borderId="59">
      <alignment horizontal="center" vertical="center" wrapText="1"/>
    </xf>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10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108" fillId="0" borderId="0" applyNumberFormat="0" applyFill="0" applyBorder="0" applyAlignment="0" applyProtection="0"/>
    <xf numFmtId="0" fontId="107" fillId="0" borderId="0" applyNumberFormat="0" applyFill="0" applyBorder="0" applyAlignment="0" applyProtection="0">
      <alignment vertical="top"/>
      <protection locked="0"/>
    </xf>
    <xf numFmtId="182" fontId="6" fillId="6" borderId="0" applyFont="0" applyBorder="0">
      <alignment horizontal="right"/>
    </xf>
    <xf numFmtId="168" fontId="6" fillId="6" borderId="0" applyFont="0" applyBorder="0" applyAlignment="0"/>
    <xf numFmtId="0" fontId="70" fillId="23" borderId="46" applyNumberFormat="0" applyAlignment="0" applyProtection="0"/>
    <xf numFmtId="0" fontId="70" fillId="23" borderId="46" applyNumberFormat="0" applyAlignment="0" applyProtection="0"/>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10" borderId="0" applyFont="0" applyBorder="0" applyAlignment="0">
      <alignment horizontal="right"/>
      <protection locked="0"/>
    </xf>
    <xf numFmtId="10" fontId="6" fillId="10" borderId="0" applyFont="0" applyBorder="0">
      <alignment horizontal="right"/>
      <protection locked="0"/>
    </xf>
    <xf numFmtId="3" fontId="6" fillId="57" borderId="0" applyFont="0" applyBorder="0">
      <protection locked="0"/>
    </xf>
    <xf numFmtId="168" fontId="63" fillId="57" borderId="0" applyBorder="0" applyAlignment="0">
      <protection locked="0"/>
    </xf>
    <xf numFmtId="183" fontId="6" fillId="48" borderId="0" applyFont="0" applyBorder="0">
      <alignment horizontal="right"/>
      <protection locked="0"/>
    </xf>
    <xf numFmtId="165" fontId="6" fillId="6" borderId="0" applyFont="0" applyBorder="0">
      <alignment horizontal="right"/>
      <protection locked="0"/>
    </xf>
    <xf numFmtId="193" fontId="3" fillId="18" borderId="37">
      <protection locked="0"/>
    </xf>
    <xf numFmtId="193" fontId="3" fillId="18" borderId="37">
      <protection locked="0"/>
    </xf>
    <xf numFmtId="193" fontId="3" fillId="18" borderId="37">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168" fontId="109" fillId="58" borderId="0" applyBorder="0" applyAlignment="0"/>
    <xf numFmtId="182" fontId="95" fillId="4" borderId="21" applyFont="0" applyBorder="0" applyAlignment="0"/>
    <xf numFmtId="168" fontId="63" fillId="4" borderId="0" applyFont="0" applyBorder="0" applyAlignment="0"/>
    <xf numFmtId="193" fontId="3" fillId="14" borderId="37"/>
    <xf numFmtId="193" fontId="3" fillId="14" borderId="37"/>
    <xf numFmtId="193" fontId="3" fillId="14" borderId="37"/>
    <xf numFmtId="0" fontId="6" fillId="0" borderId="0"/>
    <xf numFmtId="0" fontId="6" fillId="0" borderId="0"/>
    <xf numFmtId="0" fontId="6" fillId="2"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2" borderId="0"/>
    <xf numFmtId="0" fontId="6" fillId="2" borderId="0"/>
    <xf numFmtId="0" fontId="6" fillId="0" borderId="0"/>
    <xf numFmtId="0" fontId="55" fillId="0" borderId="0"/>
    <xf numFmtId="0" fontId="45" fillId="0" borderId="0"/>
    <xf numFmtId="0" fontId="45" fillId="0" borderId="0"/>
    <xf numFmtId="0" fontId="6" fillId="0" borderId="0"/>
    <xf numFmtId="0" fontId="6" fillId="0" borderId="0" applyFill="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2" borderId="0"/>
    <xf numFmtId="0" fontId="6" fillId="2" borderId="0"/>
    <xf numFmtId="0" fontId="6" fillId="0" borderId="0"/>
    <xf numFmtId="0" fontId="6" fillId="2" borderId="0"/>
    <xf numFmtId="0" fontId="3" fillId="0" borderId="0"/>
    <xf numFmtId="0" fontId="3" fillId="0" borderId="0"/>
    <xf numFmtId="0" fontId="3" fillId="0" borderId="0"/>
    <xf numFmtId="0" fontId="6" fillId="0" borderId="0"/>
    <xf numFmtId="0" fontId="6" fillId="0" borderId="0"/>
    <xf numFmtId="0" fontId="3" fillId="0" borderId="0">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Fill="0"/>
    <xf numFmtId="0" fontId="6" fillId="0" borderId="0"/>
    <xf numFmtId="0" fontId="3" fillId="0" borderId="0"/>
    <xf numFmtId="0" fontId="45" fillId="0" borderId="0"/>
    <xf numFmtId="0" fontId="6" fillId="2"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5" fillId="25" borderId="53" applyNumberFormat="0" applyAlignment="0" applyProtection="0"/>
    <xf numFmtId="0" fontId="75" fillId="25" borderId="53"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193" fontId="38" fillId="18" borderId="42">
      <alignment horizontal="right" indent="2"/>
      <protection locked="0"/>
    </xf>
    <xf numFmtId="0" fontId="6" fillId="0" borderId="0"/>
    <xf numFmtId="0" fontId="6" fillId="0" borderId="0"/>
    <xf numFmtId="0" fontId="6" fillId="0" borderId="0"/>
    <xf numFmtId="0" fontId="6" fillId="0" borderId="0"/>
    <xf numFmtId="0" fontId="6" fillId="0" borderId="0"/>
    <xf numFmtId="0" fontId="57" fillId="0" borderId="54" applyNumberFormat="0" applyFill="0" applyAlignment="0" applyProtection="0"/>
    <xf numFmtId="0" fontId="57" fillId="0" borderId="54" applyNumberFormat="0" applyFill="0" applyAlignment="0" applyProtection="0"/>
    <xf numFmtId="0" fontId="2" fillId="0" borderId="0"/>
    <xf numFmtId="0" fontId="2" fillId="0" borderId="0"/>
    <xf numFmtId="0" fontId="6" fillId="0" borderId="0"/>
    <xf numFmtId="0" fontId="2" fillId="0" borderId="0"/>
    <xf numFmtId="0" fontId="2" fillId="0" borderId="0"/>
    <xf numFmtId="0" fontId="45" fillId="25" borderId="0" applyNumberFormat="0" applyBorder="0" applyAlignment="0" applyProtection="0"/>
    <xf numFmtId="0" fontId="45" fillId="71" borderId="0" applyNumberFormat="0" applyBorder="0" applyAlignment="0" applyProtection="0"/>
    <xf numFmtId="0" fontId="45" fillId="27" borderId="0" applyNumberFormat="0" applyBorder="0" applyAlignment="0" applyProtection="0"/>
    <xf numFmtId="0" fontId="45" fillId="72"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165" fontId="6" fillId="4" borderId="0" applyNumberFormat="0" applyFont="0" applyBorder="0" applyAlignment="0">
      <alignment horizontal="right"/>
    </xf>
    <xf numFmtId="165" fontId="6" fillId="4" borderId="0" applyNumberFormat="0" applyFont="0" applyBorder="0" applyAlignment="0">
      <alignment horizontal="right"/>
    </xf>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3" fillId="42" borderId="47" applyNumberFormat="0" applyAlignment="0" applyProtection="0"/>
    <xf numFmtId="0" fontId="53" fillId="42" borderId="47" applyNumberFormat="0" applyAlignment="0" applyProtection="0"/>
    <xf numFmtId="167" fontId="6" fillId="0" borderId="0" applyFont="0" applyFill="0" applyBorder="0" applyAlignment="0" applyProtection="0"/>
    <xf numFmtId="167" fontId="6" fillId="0" borderId="0" applyFont="0" applyFill="0" applyBorder="0" applyAlignment="0" applyProtection="0"/>
    <xf numFmtId="167" fontId="120" fillId="0" borderId="0" applyFont="0" applyFill="0" applyBorder="0" applyAlignment="0" applyProtection="0"/>
    <xf numFmtId="166" fontId="2" fillId="0" borderId="0" applyFont="0" applyFill="0" applyBorder="0" applyAlignment="0" applyProtection="0"/>
    <xf numFmtId="0" fontId="64" fillId="0" borderId="120"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121" fillId="0" borderId="0" applyNumberFormat="0" applyFill="0" applyBorder="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165" fontId="6" fillId="47" borderId="0" applyFont="0" applyBorder="0" applyAlignment="0">
      <alignment horizontal="right"/>
      <protection locked="0"/>
    </xf>
    <xf numFmtId="165" fontId="6" fillId="10" borderId="0" applyFont="0" applyBorder="0" applyAlignment="0">
      <alignment horizontal="right"/>
      <protection locked="0"/>
    </xf>
    <xf numFmtId="165" fontId="6" fillId="10" borderId="0" applyFont="0" applyBorder="0" applyAlignment="0">
      <alignment horizontal="right"/>
      <protection locked="0"/>
    </xf>
    <xf numFmtId="165" fontId="6" fillId="47" borderId="0" applyFont="0" applyBorder="0" applyAlignment="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2" borderId="0"/>
    <xf numFmtId="0" fontId="6" fillId="2" borderId="0"/>
    <xf numFmtId="0" fontId="6" fillId="2" borderId="0"/>
    <xf numFmtId="0" fontId="2" fillId="0" borderId="0"/>
    <xf numFmtId="0" fontId="2" fillId="0" borderId="0"/>
    <xf numFmtId="0" fontId="6" fillId="0" borderId="0" applyFill="0"/>
    <xf numFmtId="0" fontId="45" fillId="0" borderId="0"/>
    <xf numFmtId="0" fontId="6" fillId="0" borderId="0" applyFill="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87" fontId="77" fillId="0" borderId="5"/>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83" fillId="0" borderId="38" applyFill="0" applyBorder="0" applyProtection="0">
      <alignment horizontal="left" vertical="top"/>
    </xf>
    <xf numFmtId="0" fontId="123" fillId="0" borderId="0"/>
    <xf numFmtId="0" fontId="123" fillId="0" borderId="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192" fontId="6" fillId="0" borderId="2" applyBorder="0" applyProtection="0">
      <alignment horizontal="right"/>
    </xf>
    <xf numFmtId="192" fontId="6" fillId="0" borderId="2" applyBorder="0" applyProtection="0">
      <alignment horizontal="right"/>
    </xf>
    <xf numFmtId="0" fontId="1" fillId="0" borderId="0"/>
    <xf numFmtId="49" fontId="41" fillId="13" borderId="0">
      <alignment vertical="center"/>
    </xf>
    <xf numFmtId="0" fontId="41" fillId="12" borderId="0">
      <alignment vertical="center"/>
    </xf>
  </cellStyleXfs>
  <cellXfs count="1601">
    <xf numFmtId="0" fontId="0" fillId="0" borderId="0" xfId="0"/>
    <xf numFmtId="0" fontId="0" fillId="0" borderId="0" xfId="0" applyBorder="1"/>
    <xf numFmtId="0" fontId="0" fillId="2" borderId="0" xfId="0" applyFill="1" applyBorder="1" applyAlignment="1">
      <alignment wrapText="1"/>
    </xf>
    <xf numFmtId="0" fontId="0" fillId="2" borderId="0" xfId="0" applyFill="1"/>
    <xf numFmtId="0" fontId="0" fillId="2" borderId="0" xfId="0" applyFill="1" applyBorder="1"/>
    <xf numFmtId="0" fontId="9" fillId="2" borderId="0" xfId="0" applyFont="1" applyFill="1" applyBorder="1" applyAlignment="1">
      <alignment wrapText="1"/>
    </xf>
    <xf numFmtId="0" fontId="0" fillId="2" borderId="0" xfId="0" applyFill="1" applyBorder="1" applyAlignment="1">
      <alignment vertical="center" wrapText="1"/>
    </xf>
    <xf numFmtId="0" fontId="7" fillId="2" borderId="0" xfId="0" applyFont="1" applyFill="1" applyBorder="1" applyAlignment="1">
      <alignment horizontal="center"/>
    </xf>
    <xf numFmtId="0" fontId="7" fillId="2" borderId="0" xfId="0" applyFont="1" applyFill="1" applyBorder="1"/>
    <xf numFmtId="0" fontId="0" fillId="2" borderId="0" xfId="0" applyFill="1" applyAlignment="1">
      <alignment horizontal="center"/>
    </xf>
    <xf numFmtId="0" fontId="0" fillId="2" borderId="0" xfId="0" applyFill="1" applyAlignment="1"/>
    <xf numFmtId="10" fontId="6" fillId="2" borderId="0" xfId="4" applyNumberFormat="1" applyFill="1"/>
    <xf numFmtId="10" fontId="0" fillId="2" borderId="0" xfId="4" applyNumberFormat="1" applyFont="1" applyFill="1"/>
    <xf numFmtId="168" fontId="0" fillId="2" borderId="0" xfId="4" applyNumberFormat="1" applyFont="1" applyFill="1"/>
    <xf numFmtId="171" fontId="9" fillId="2" borderId="0" xfId="1" applyNumberFormat="1" applyFont="1" applyFill="1"/>
    <xf numFmtId="0" fontId="15" fillId="2" borderId="0" xfId="0" applyFont="1" applyFill="1" applyAlignment="1">
      <alignment horizontal="center"/>
    </xf>
    <xf numFmtId="0" fontId="15" fillId="2" borderId="0" xfId="0" applyFont="1" applyFill="1" applyAlignment="1">
      <alignment horizontal="right"/>
    </xf>
    <xf numFmtId="199" fontId="15" fillId="2" borderId="0" xfId="1" applyFont="1" applyFill="1" applyAlignment="1">
      <alignment horizontal="left"/>
    </xf>
    <xf numFmtId="199" fontId="15" fillId="2" borderId="0" xfId="1" applyFont="1" applyFill="1" applyAlignment="1">
      <alignment horizontal="right"/>
    </xf>
    <xf numFmtId="0" fontId="0" fillId="2" borderId="2" xfId="0" applyFill="1" applyBorder="1"/>
    <xf numFmtId="0" fontId="7" fillId="2" borderId="2" xfId="0" applyFont="1" applyFill="1" applyBorder="1" applyAlignment="1">
      <alignment horizontal="right"/>
    </xf>
    <xf numFmtId="199" fontId="15" fillId="2" borderId="2" xfId="1" applyFont="1" applyFill="1" applyBorder="1" applyAlignment="1">
      <alignment horizontal="right"/>
    </xf>
    <xf numFmtId="167" fontId="0" fillId="2" borderId="0" xfId="0" applyNumberFormat="1" applyFill="1"/>
    <xf numFmtId="166" fontId="16" fillId="2" borderId="0" xfId="2" applyFont="1" applyFill="1" applyBorder="1" applyAlignment="1">
      <alignment horizontal="center" vertical="center"/>
    </xf>
    <xf numFmtId="0" fontId="7" fillId="2" borderId="0" xfId="0" applyFont="1" applyFill="1" applyBorder="1" applyAlignment="1">
      <alignment vertical="center"/>
    </xf>
    <xf numFmtId="0" fontId="9" fillId="2" borderId="0" xfId="0" applyFont="1" applyFill="1" applyBorder="1" applyAlignment="1">
      <alignment vertical="center"/>
    </xf>
    <xf numFmtId="10" fontId="6" fillId="2" borderId="0" xfId="4" applyNumberFormat="1" applyFill="1" applyBorder="1"/>
    <xf numFmtId="0" fontId="13" fillId="2" borderId="0" xfId="0" applyFont="1" applyFill="1"/>
    <xf numFmtId="0" fontId="0" fillId="2" borderId="0" xfId="0" applyFill="1" applyAlignment="1">
      <alignment wrapText="1"/>
    </xf>
    <xf numFmtId="0" fontId="9" fillId="2" borderId="0" xfId="0" applyFont="1" applyFill="1"/>
    <xf numFmtId="199" fontId="15" fillId="2" borderId="3" xfId="1" applyFont="1" applyFill="1" applyBorder="1" applyAlignment="1">
      <alignment horizontal="right"/>
    </xf>
    <xf numFmtId="172" fontId="18" fillId="2" borderId="0" xfId="2" applyNumberFormat="1" applyFont="1" applyFill="1" applyBorder="1" applyAlignment="1">
      <alignment horizontal="center" vertical="center"/>
    </xf>
    <xf numFmtId="10" fontId="6" fillId="2" borderId="0" xfId="1" applyNumberFormat="1" applyFill="1" applyBorder="1"/>
    <xf numFmtId="0" fontId="10" fillId="2" borderId="0" xfId="0" applyFont="1" applyFill="1" applyBorder="1" applyAlignment="1">
      <alignment horizontal="center" vertical="center"/>
    </xf>
    <xf numFmtId="0" fontId="17" fillId="2" borderId="0" xfId="0" applyFont="1" applyFill="1" applyBorder="1" applyAlignment="1">
      <alignment horizontal="center"/>
    </xf>
    <xf numFmtId="0" fontId="9" fillId="2" borderId="0" xfId="0" applyFont="1" applyFill="1" applyBorder="1" applyAlignment="1"/>
    <xf numFmtId="0" fontId="9" fillId="2" borderId="2" xfId="0" applyFont="1" applyFill="1" applyBorder="1"/>
    <xf numFmtId="0" fontId="7" fillId="2" borderId="2" xfId="0" applyFont="1" applyFill="1" applyBorder="1"/>
    <xf numFmtId="0" fontId="12" fillId="2" borderId="0" xfId="0" applyFont="1" applyFill="1" applyBorder="1" applyAlignment="1">
      <alignment horizontal="left"/>
    </xf>
    <xf numFmtId="0" fontId="7" fillId="2" borderId="2" xfId="0" applyFont="1" applyFill="1" applyBorder="1" applyAlignment="1">
      <alignment horizontal="center"/>
    </xf>
    <xf numFmtId="0" fontId="7" fillId="2" borderId="2" xfId="0" applyFont="1" applyFill="1" applyBorder="1" applyAlignment="1">
      <alignment horizontal="left"/>
    </xf>
    <xf numFmtId="0" fontId="17" fillId="2" borderId="2" xfId="0" applyFont="1" applyFill="1" applyBorder="1" applyAlignment="1">
      <alignment horizontal="center"/>
    </xf>
    <xf numFmtId="166" fontId="15" fillId="2" borderId="0" xfId="2" applyFont="1" applyFill="1" applyBorder="1" applyAlignment="1">
      <alignment horizontal="center" vertical="center"/>
    </xf>
    <xf numFmtId="167" fontId="15" fillId="2" borderId="0" xfId="1" applyNumberFormat="1" applyFont="1" applyFill="1" applyAlignment="1">
      <alignment horizontal="right"/>
    </xf>
    <xf numFmtId="0" fontId="13" fillId="4" borderId="1" xfId="0" applyFont="1" applyFill="1" applyBorder="1"/>
    <xf numFmtId="0" fontId="12" fillId="4" borderId="1" xfId="0" applyFont="1" applyFill="1" applyBorder="1"/>
    <xf numFmtId="0" fontId="12" fillId="4" borderId="1" xfId="0" applyFont="1" applyFill="1" applyBorder="1" applyAlignment="1">
      <alignment horizontal="center"/>
    </xf>
    <xf numFmtId="10" fontId="12" fillId="4" borderId="1" xfId="4" applyNumberFormat="1" applyFont="1" applyFill="1" applyBorder="1" applyAlignment="1">
      <alignment horizontal="center"/>
    </xf>
    <xf numFmtId="0" fontId="0" fillId="5" borderId="1" xfId="0" applyFill="1" applyBorder="1"/>
    <xf numFmtId="0" fontId="0" fillId="5" borderId="1" xfId="0" applyFill="1" applyBorder="1" applyAlignment="1">
      <alignment wrapText="1"/>
    </xf>
    <xf numFmtId="166" fontId="7" fillId="5" borderId="1" xfId="0" applyNumberFormat="1" applyFont="1" applyFill="1" applyBorder="1" applyAlignment="1">
      <alignment horizontal="center" wrapText="1"/>
    </xf>
    <xf numFmtId="0" fontId="12" fillId="5" borderId="1" xfId="0" applyFont="1" applyFill="1" applyBorder="1" applyAlignment="1">
      <alignment vertical="center"/>
    </xf>
    <xf numFmtId="0" fontId="6" fillId="5" borderId="1" xfId="0" applyFont="1" applyFill="1" applyBorder="1"/>
    <xf numFmtId="0" fontId="14" fillId="5" borderId="1" xfId="0" applyFont="1" applyFill="1" applyBorder="1" applyAlignment="1">
      <alignment vertical="center" wrapText="1"/>
    </xf>
    <xf numFmtId="0" fontId="14" fillId="5" borderId="1" xfId="0" applyFont="1" applyFill="1" applyBorder="1" applyAlignment="1">
      <alignment wrapText="1"/>
    </xf>
    <xf numFmtId="0" fontId="7" fillId="5" borderId="1" xfId="0" applyFont="1" applyFill="1" applyBorder="1"/>
    <xf numFmtId="0" fontId="7" fillId="4" borderId="1" xfId="0" applyFont="1" applyFill="1" applyBorder="1" applyAlignment="1">
      <alignment horizontal="center"/>
    </xf>
    <xf numFmtId="0" fontId="12" fillId="4" borderId="1" xfId="0" applyFont="1" applyFill="1" applyBorder="1" applyAlignment="1">
      <alignment horizontal="left"/>
    </xf>
    <xf numFmtId="171" fontId="9" fillId="5" borderId="1" xfId="1" applyNumberFormat="1" applyFont="1" applyFill="1" applyBorder="1"/>
    <xf numFmtId="199" fontId="9" fillId="5" borderId="1" xfId="1" applyFont="1" applyFill="1" applyBorder="1"/>
    <xf numFmtId="10" fontId="0" fillId="2" borderId="0" xfId="4" applyNumberFormat="1" applyFont="1" applyFill="1" applyBorder="1"/>
    <xf numFmtId="0" fontId="19" fillId="5" borderId="5" xfId="0" applyFont="1" applyFill="1" applyBorder="1" applyAlignment="1">
      <alignment horizontal="center"/>
    </xf>
    <xf numFmtId="0" fontId="19" fillId="5" borderId="6" xfId="0" applyFont="1" applyFill="1" applyBorder="1" applyAlignment="1">
      <alignment horizontal="center"/>
    </xf>
    <xf numFmtId="0" fontId="9" fillId="2" borderId="0" xfId="0" applyFont="1" applyFill="1" applyBorder="1"/>
    <xf numFmtId="173" fontId="6" fillId="2" borderId="0" xfId="1" applyNumberFormat="1" applyFill="1" applyBorder="1"/>
    <xf numFmtId="0" fontId="6" fillId="2" borderId="0" xfId="3" applyFill="1" applyBorder="1"/>
    <xf numFmtId="10" fontId="6" fillId="2" borderId="0" xfId="3" applyNumberFormat="1" applyFill="1" applyBorder="1"/>
    <xf numFmtId="0" fontId="6" fillId="2" borderId="0" xfId="3" applyFont="1" applyFill="1" applyBorder="1"/>
    <xf numFmtId="0" fontId="8" fillId="5" borderId="1" xfId="0" applyFont="1" applyFill="1" applyBorder="1" applyAlignment="1">
      <alignment vertical="center"/>
    </xf>
    <xf numFmtId="174" fontId="0" fillId="2" borderId="0" xfId="1" applyNumberFormat="1" applyFont="1" applyFill="1"/>
    <xf numFmtId="168" fontId="0" fillId="2" borderId="0" xfId="4" applyNumberFormat="1" applyFont="1" applyFill="1" applyBorder="1"/>
    <xf numFmtId="169" fontId="0" fillId="2" borderId="0" xfId="0" applyNumberFormat="1" applyFill="1" applyBorder="1"/>
    <xf numFmtId="199" fontId="15" fillId="2" borderId="0" xfId="1" applyFont="1" applyFill="1" applyBorder="1" applyAlignment="1">
      <alignment horizontal="right"/>
    </xf>
    <xf numFmtId="170" fontId="15" fillId="2" borderId="0" xfId="1" applyNumberFormat="1" applyFont="1" applyFill="1" applyBorder="1"/>
    <xf numFmtId="167" fontId="15" fillId="2" borderId="0" xfId="1" applyNumberFormat="1" applyFont="1" applyFill="1" applyBorder="1" applyAlignment="1">
      <alignment horizontal="right"/>
    </xf>
    <xf numFmtId="170" fontId="15" fillId="2" borderId="0" xfId="1" applyNumberFormat="1" applyFont="1" applyFill="1" applyBorder="1" applyAlignment="1">
      <alignment horizontal="right"/>
    </xf>
    <xf numFmtId="170" fontId="15" fillId="2" borderId="0" xfId="0" applyNumberFormat="1" applyFont="1" applyFill="1" applyBorder="1"/>
    <xf numFmtId="199" fontId="9" fillId="2" borderId="0" xfId="1" applyFont="1" applyFill="1" applyBorder="1"/>
    <xf numFmtId="10" fontId="6" fillId="3" borderId="4" xfId="4" applyNumberFormat="1" applyFill="1" applyBorder="1"/>
    <xf numFmtId="0" fontId="0" fillId="4" borderId="1" xfId="0" applyFill="1" applyBorder="1"/>
    <xf numFmtId="167" fontId="20" fillId="2" borderId="0" xfId="0" applyNumberFormat="1" applyFont="1" applyFill="1"/>
    <xf numFmtId="0" fontId="9" fillId="2" borderId="0" xfId="0" quotePrefix="1" applyFont="1" applyFill="1" applyBorder="1" applyAlignment="1">
      <alignment horizontal="right"/>
    </xf>
    <xf numFmtId="171" fontId="9" fillId="2" borderId="0" xfId="1" applyNumberFormat="1" applyFont="1" applyFill="1" applyBorder="1"/>
    <xf numFmtId="167" fontId="9" fillId="2" borderId="0" xfId="0" applyNumberFormat="1" applyFont="1" applyFill="1"/>
    <xf numFmtId="171" fontId="7" fillId="2" borderId="0" xfId="1" applyNumberFormat="1" applyFont="1" applyFill="1" applyBorder="1"/>
    <xf numFmtId="0" fontId="9" fillId="4" borderId="1" xfId="0" applyFont="1" applyFill="1" applyBorder="1"/>
    <xf numFmtId="0" fontId="9" fillId="4" borderId="1" xfId="0" quotePrefix="1" applyFont="1" applyFill="1" applyBorder="1" applyAlignment="1">
      <alignment horizontal="right"/>
    </xf>
    <xf numFmtId="169" fontId="0" fillId="4" borderId="1" xfId="0" applyNumberFormat="1" applyFill="1" applyBorder="1"/>
    <xf numFmtId="0" fontId="15" fillId="2" borderId="0" xfId="0" quotePrefix="1" applyFont="1" applyFill="1" applyBorder="1" applyAlignment="1">
      <alignment horizontal="right"/>
    </xf>
    <xf numFmtId="168" fontId="6" fillId="2" borderId="0" xfId="4" applyNumberFormat="1" applyFill="1"/>
    <xf numFmtId="168" fontId="6" fillId="2" borderId="0" xfId="4" applyNumberFormat="1" applyFill="1" applyBorder="1"/>
    <xf numFmtId="171" fontId="6" fillId="2" borderId="0" xfId="1" applyNumberFormat="1" applyFill="1"/>
    <xf numFmtId="167" fontId="0" fillId="2" borderId="0" xfId="0" applyNumberFormat="1" applyFill="1" applyBorder="1"/>
    <xf numFmtId="173" fontId="6" fillId="2" borderId="0" xfId="3" applyNumberFormat="1" applyFill="1" applyBorder="1"/>
    <xf numFmtId="0" fontId="7" fillId="2" borderId="0" xfId="0" quotePrefix="1" applyFont="1" applyFill="1" applyBorder="1" applyAlignment="1">
      <alignment horizontal="right" vertical="center"/>
    </xf>
    <xf numFmtId="0" fontId="7" fillId="4" borderId="1" xfId="0" applyFont="1" applyFill="1" applyBorder="1" applyAlignment="1">
      <alignment horizontal="right"/>
    </xf>
    <xf numFmtId="0" fontId="9" fillId="2" borderId="0" xfId="0" applyFont="1" applyFill="1" applyAlignment="1">
      <alignment horizontal="left"/>
    </xf>
    <xf numFmtId="0" fontId="0" fillId="2" borderId="0" xfId="0" applyFill="1" applyBorder="1" applyAlignment="1">
      <alignment horizontal="center"/>
    </xf>
    <xf numFmtId="0" fontId="7" fillId="5" borderId="1" xfId="0" applyFont="1" applyFill="1" applyBorder="1" applyAlignment="1">
      <alignment vertical="center"/>
    </xf>
    <xf numFmtId="10" fontId="9" fillId="2" borderId="0" xfId="4" applyNumberFormat="1" applyFont="1" applyFill="1" applyBorder="1" applyAlignment="1" applyProtection="1">
      <alignment horizontal="center"/>
    </xf>
    <xf numFmtId="0" fontId="15" fillId="2" borderId="2" xfId="0" applyFont="1" applyFill="1" applyBorder="1"/>
    <xf numFmtId="0" fontId="15" fillId="2" borderId="3" xfId="0" applyFont="1" applyFill="1" applyBorder="1"/>
    <xf numFmtId="10" fontId="6" fillId="3" borderId="4" xfId="1" applyNumberFormat="1" applyFill="1" applyBorder="1"/>
    <xf numFmtId="171" fontId="24" fillId="2" borderId="0" xfId="1" applyNumberFormat="1" applyFont="1" applyFill="1"/>
    <xf numFmtId="167" fontId="9" fillId="2" borderId="0" xfId="0" applyNumberFormat="1" applyFont="1" applyFill="1" applyBorder="1" applyAlignment="1">
      <alignment vertical="center"/>
    </xf>
    <xf numFmtId="0" fontId="9" fillId="2" borderId="0" xfId="0" applyFont="1" applyFill="1" applyBorder="1" applyAlignment="1">
      <alignment horizontal="center" vertical="center"/>
    </xf>
    <xf numFmtId="0" fontId="7" fillId="5" borderId="1" xfId="0" applyFont="1" applyFill="1" applyBorder="1" applyAlignment="1">
      <alignment horizontal="left"/>
    </xf>
    <xf numFmtId="0" fontId="15" fillId="2" borderId="0" xfId="0" applyFont="1" applyFill="1" applyAlignment="1">
      <alignment horizontal="left"/>
    </xf>
    <xf numFmtId="0" fontId="0" fillId="0" borderId="0" xfId="0" applyFill="1"/>
    <xf numFmtId="170" fontId="9" fillId="2" borderId="0" xfId="1" applyNumberFormat="1" applyFont="1" applyFill="1" applyBorder="1"/>
    <xf numFmtId="10" fontId="0" fillId="2" borderId="13" xfId="4" applyNumberFormat="1" applyFont="1" applyFill="1" applyBorder="1"/>
    <xf numFmtId="173" fontId="0" fillId="2" borderId="13" xfId="0" applyNumberFormat="1" applyFill="1" applyBorder="1"/>
    <xf numFmtId="10" fontId="0" fillId="3" borderId="4" xfId="4" applyNumberFormat="1" applyFont="1" applyFill="1" applyBorder="1"/>
    <xf numFmtId="10" fontId="0" fillId="3" borderId="4" xfId="4" applyNumberFormat="1" applyFont="1" applyFill="1" applyBorder="1" applyAlignment="1">
      <alignment vertical="center" wrapText="1"/>
    </xf>
    <xf numFmtId="199" fontId="15" fillId="6" borderId="9" xfId="1" applyFont="1" applyFill="1" applyBorder="1" applyAlignment="1">
      <alignment horizontal="right"/>
    </xf>
    <xf numFmtId="199" fontId="15" fillId="6" borderId="0" xfId="1" applyFont="1" applyFill="1" applyAlignment="1">
      <alignment horizontal="right"/>
    </xf>
    <xf numFmtId="199" fontId="15" fillId="6" borderId="10" xfId="1" applyFont="1" applyFill="1" applyBorder="1" applyAlignment="1">
      <alignment horizontal="right"/>
    </xf>
    <xf numFmtId="0" fontId="17" fillId="2" borderId="2" xfId="0" applyFont="1" applyFill="1" applyBorder="1" applyAlignment="1" applyProtection="1">
      <alignment horizontal="center"/>
    </xf>
    <xf numFmtId="173" fontId="0" fillId="2" borderId="14" xfId="0" applyNumberFormat="1" applyFill="1" applyBorder="1"/>
    <xf numFmtId="173" fontId="0" fillId="2" borderId="0" xfId="0" applyNumberFormat="1" applyFill="1" applyBorder="1"/>
    <xf numFmtId="0" fontId="7" fillId="2" borderId="15" xfId="0" quotePrefix="1" applyFont="1" applyFill="1" applyBorder="1" applyAlignment="1">
      <alignment horizontal="right" vertical="center"/>
    </xf>
    <xf numFmtId="166" fontId="20" fillId="2" borderId="0" xfId="0" applyNumberFormat="1" applyFont="1" applyFill="1"/>
    <xf numFmtId="174" fontId="0" fillId="5" borderId="1" xfId="1" applyNumberFormat="1" applyFont="1" applyFill="1" applyBorder="1"/>
    <xf numFmtId="168" fontId="0" fillId="5" borderId="1" xfId="4" applyNumberFormat="1" applyFont="1" applyFill="1" applyBorder="1"/>
    <xf numFmtId="0" fontId="7" fillId="5" borderId="1" xfId="0" applyFont="1" applyFill="1" applyBorder="1" applyAlignment="1">
      <alignment horizontal="center"/>
    </xf>
    <xf numFmtId="0" fontId="15" fillId="5" borderId="1" xfId="0" quotePrefix="1" applyFont="1" applyFill="1" applyBorder="1" applyAlignment="1">
      <alignment horizontal="right"/>
    </xf>
    <xf numFmtId="0" fontId="7" fillId="2" borderId="0" xfId="0" quotePrefix="1" applyFont="1" applyFill="1" applyBorder="1" applyAlignment="1">
      <alignment horizontal="right"/>
    </xf>
    <xf numFmtId="0" fontId="6" fillId="2" borderId="0" xfId="0" applyFont="1" applyFill="1"/>
    <xf numFmtId="0" fontId="30" fillId="2" borderId="0" xfId="0" applyFont="1" applyFill="1"/>
    <xf numFmtId="0" fontId="20" fillId="2" borderId="0" xfId="0" applyFont="1" applyFill="1"/>
    <xf numFmtId="167" fontId="20" fillId="2" borderId="0" xfId="0" applyNumberFormat="1" applyFont="1" applyFill="1" applyAlignment="1">
      <alignment horizontal="right"/>
    </xf>
    <xf numFmtId="0" fontId="20" fillId="2" borderId="0" xfId="0" applyFont="1" applyFill="1" applyAlignment="1">
      <alignment horizontal="right"/>
    </xf>
    <xf numFmtId="167" fontId="6" fillId="2" borderId="0" xfId="3" applyNumberFormat="1" applyFont="1" applyFill="1" applyBorder="1"/>
    <xf numFmtId="167" fontId="15" fillId="2" borderId="0" xfId="0" quotePrefix="1" applyNumberFormat="1" applyFont="1" applyFill="1" applyBorder="1" applyAlignment="1">
      <alignment horizontal="right"/>
    </xf>
    <xf numFmtId="167" fontId="15" fillId="2" borderId="0" xfId="0" applyNumberFormat="1" applyFont="1" applyFill="1" applyAlignment="1">
      <alignment horizontal="right"/>
    </xf>
    <xf numFmtId="167" fontId="7" fillId="2" borderId="0" xfId="0" applyNumberFormat="1" applyFont="1" applyFill="1" applyAlignment="1">
      <alignment horizontal="right"/>
    </xf>
    <xf numFmtId="167" fontId="7" fillId="0" borderId="0" xfId="0" applyNumberFormat="1" applyFont="1" applyFill="1" applyAlignment="1">
      <alignment horizontal="right"/>
    </xf>
    <xf numFmtId="0" fontId="7" fillId="5" borderId="1" xfId="0" applyFont="1" applyFill="1" applyBorder="1" applyAlignment="1">
      <alignment horizontal="right"/>
    </xf>
    <xf numFmtId="0" fontId="9" fillId="2" borderId="0" xfId="0" applyFont="1" applyFill="1" applyBorder="1" applyAlignment="1">
      <alignment horizontal="right"/>
    </xf>
    <xf numFmtId="167" fontId="16" fillId="2" borderId="0" xfId="0" applyNumberFormat="1" applyFont="1" applyFill="1" applyBorder="1" applyAlignment="1">
      <alignment horizontal="right"/>
    </xf>
    <xf numFmtId="0" fontId="7" fillId="2" borderId="0" xfId="0" applyFont="1" applyFill="1" applyAlignment="1">
      <alignment horizontal="center"/>
    </xf>
    <xf numFmtId="167" fontId="7" fillId="2" borderId="0" xfId="0" applyNumberFormat="1" applyFont="1" applyFill="1" applyAlignment="1">
      <alignment horizontal="center"/>
    </xf>
    <xf numFmtId="167" fontId="9" fillId="7" borderId="0" xfId="0" applyNumberFormat="1" applyFont="1" applyFill="1" applyBorder="1"/>
    <xf numFmtId="0" fontId="7" fillId="2" borderId="3" xfId="0" applyFont="1" applyFill="1" applyBorder="1" applyAlignment="1">
      <alignment horizontal="center" wrapText="1"/>
    </xf>
    <xf numFmtId="167" fontId="7" fillId="2" borderId="3" xfId="0" applyNumberFormat="1" applyFont="1" applyFill="1" applyBorder="1" applyAlignment="1">
      <alignment horizontal="center" wrapText="1"/>
    </xf>
    <xf numFmtId="167" fontId="9" fillId="7" borderId="4" xfId="0" applyNumberFormat="1" applyFont="1" applyFill="1" applyBorder="1"/>
    <xf numFmtId="0" fontId="0" fillId="7" borderId="4" xfId="0" applyFill="1" applyBorder="1"/>
    <xf numFmtId="0" fontId="9" fillId="2" borderId="7" xfId="0" applyFont="1" applyFill="1" applyBorder="1" applyAlignment="1">
      <alignment horizontal="right"/>
    </xf>
    <xf numFmtId="171" fontId="9" fillId="2" borderId="2" xfId="1" applyNumberFormat="1" applyFont="1" applyFill="1" applyBorder="1"/>
    <xf numFmtId="167" fontId="9" fillId="2" borderId="18" xfId="0" applyNumberFormat="1" applyFont="1" applyFill="1" applyBorder="1" applyAlignment="1">
      <alignment vertical="center"/>
    </xf>
    <xf numFmtId="199" fontId="9" fillId="2" borderId="0" xfId="1" applyFont="1" applyFill="1" applyBorder="1" applyAlignment="1">
      <alignment horizontal="center" vertical="center"/>
    </xf>
    <xf numFmtId="167" fontId="9" fillId="2" borderId="0" xfId="0" applyNumberFormat="1" applyFont="1" applyFill="1" applyAlignment="1">
      <alignment horizontal="right"/>
    </xf>
    <xf numFmtId="0" fontId="0" fillId="8" borderId="0" xfId="0" applyFill="1"/>
    <xf numFmtId="0" fontId="0" fillId="8" borderId="18" xfId="0" applyFill="1" applyBorder="1"/>
    <xf numFmtId="199" fontId="9" fillId="8" borderId="0" xfId="1" applyFont="1" applyFill="1" applyBorder="1" applyAlignment="1">
      <alignment horizontal="center" vertical="center"/>
    </xf>
    <xf numFmtId="0" fontId="9" fillId="8" borderId="0" xfId="0" applyFont="1" applyFill="1"/>
    <xf numFmtId="0" fontId="32" fillId="8" borderId="0" xfId="5" applyFont="1" applyFill="1" applyBorder="1" applyProtection="1"/>
    <xf numFmtId="0" fontId="17" fillId="8" borderId="0" xfId="5" applyFont="1" applyFill="1" applyBorder="1" applyAlignment="1" applyProtection="1">
      <alignment vertical="center"/>
    </xf>
    <xf numFmtId="0" fontId="32" fillId="0" borderId="0" xfId="5" applyFont="1" applyFill="1" applyBorder="1" applyProtection="1"/>
    <xf numFmtId="0" fontId="7" fillId="4" borderId="1" xfId="6" applyFont="1" applyFill="1" applyBorder="1" applyProtection="1"/>
    <xf numFmtId="0" fontId="7" fillId="4" borderId="1" xfId="6" applyFont="1" applyFill="1" applyBorder="1"/>
    <xf numFmtId="0" fontId="32" fillId="8" borderId="0" xfId="5" applyFont="1" applyFill="1" applyBorder="1" applyProtection="1">
      <protection hidden="1"/>
    </xf>
    <xf numFmtId="0" fontId="9" fillId="8" borderId="0" xfId="5" applyFont="1" applyFill="1" applyBorder="1" applyAlignment="1" applyProtection="1">
      <alignment vertical="center"/>
    </xf>
    <xf numFmtId="0" fontId="9" fillId="8" borderId="0" xfId="5" applyFont="1" applyFill="1" applyBorder="1" applyProtection="1">
      <protection hidden="1"/>
    </xf>
    <xf numFmtId="0" fontId="9" fillId="8" borderId="0" xfId="5" applyFont="1" applyFill="1" applyBorder="1" applyAlignment="1" applyProtection="1">
      <alignment horizontal="left" vertical="top" wrapText="1"/>
    </xf>
    <xf numFmtId="0" fontId="9" fillId="8" borderId="0" xfId="5" applyFont="1" applyFill="1" applyBorder="1" applyProtection="1"/>
    <xf numFmtId="0" fontId="7" fillId="5" borderId="1" xfId="6" applyFont="1" applyFill="1" applyBorder="1" applyAlignment="1" applyProtection="1">
      <alignment vertical="center"/>
    </xf>
    <xf numFmtId="0" fontId="7" fillId="5" borderId="1" xfId="6" applyFont="1" applyFill="1" applyBorder="1" applyAlignment="1">
      <alignment vertical="center"/>
    </xf>
    <xf numFmtId="0" fontId="9" fillId="8" borderId="0" xfId="5" applyFont="1" applyFill="1" applyBorder="1" applyAlignment="1" applyProtection="1">
      <alignment horizontal="center"/>
    </xf>
    <xf numFmtId="0" fontId="7" fillId="8" borderId="0" xfId="5" applyFont="1" applyFill="1" applyBorder="1" applyAlignment="1" applyProtection="1">
      <alignment horizontal="left"/>
    </xf>
    <xf numFmtId="0" fontId="9" fillId="8" borderId="0" xfId="5" applyFont="1" applyFill="1" applyBorder="1" applyAlignment="1" applyProtection="1"/>
    <xf numFmtId="0" fontId="7" fillId="8" borderId="0" xfId="5" quotePrefix="1" applyFont="1" applyFill="1" applyBorder="1" applyAlignment="1" applyProtection="1">
      <alignment horizontal="left"/>
    </xf>
    <xf numFmtId="0" fontId="9" fillId="8" borderId="0" xfId="5" applyFont="1" applyFill="1" applyBorder="1" applyAlignment="1" applyProtection="1">
      <alignment horizontal="left" indent="1"/>
    </xf>
    <xf numFmtId="0" fontId="33" fillId="8" borderId="0" xfId="5" applyFont="1" applyFill="1" applyBorder="1" applyProtection="1"/>
    <xf numFmtId="0" fontId="32" fillId="0" borderId="0" xfId="5" applyFont="1" applyFill="1" applyBorder="1" applyProtection="1">
      <protection hidden="1"/>
    </xf>
    <xf numFmtId="1" fontId="0" fillId="3" borderId="4" xfId="0" applyNumberFormat="1" applyFill="1" applyBorder="1" applyAlignment="1">
      <alignment horizontal="center" wrapText="1"/>
    </xf>
    <xf numFmtId="0" fontId="12" fillId="8" borderId="0" xfId="6" applyFont="1" applyFill="1" applyBorder="1" applyAlignment="1" applyProtection="1"/>
    <xf numFmtId="0" fontId="0" fillId="8" borderId="0" xfId="0" applyFill="1" applyBorder="1"/>
    <xf numFmtId="0" fontId="6" fillId="8" borderId="25" xfId="0" applyFont="1" applyFill="1" applyBorder="1" applyAlignment="1">
      <alignment horizontal="left"/>
    </xf>
    <xf numFmtId="0" fontId="0" fillId="8" borderId="20" xfId="0" applyFill="1" applyBorder="1" applyAlignment="1">
      <alignment horizontal="center"/>
    </xf>
    <xf numFmtId="10" fontId="6" fillId="8" borderId="26" xfId="4" applyNumberFormat="1" applyFill="1" applyBorder="1"/>
    <xf numFmtId="0" fontId="0" fillId="8" borderId="27" xfId="0" applyFill="1" applyBorder="1" applyAlignment="1">
      <alignment horizontal="center"/>
    </xf>
    <xf numFmtId="0" fontId="6" fillId="0" borderId="0" xfId="0" applyFont="1"/>
    <xf numFmtId="0" fontId="33" fillId="2" borderId="16" xfId="0" applyFont="1" applyFill="1" applyBorder="1"/>
    <xf numFmtId="0" fontId="0" fillId="2" borderId="17" xfId="0" applyFill="1" applyBorder="1" applyAlignment="1">
      <alignment horizontal="center"/>
    </xf>
    <xf numFmtId="167" fontId="6" fillId="2" borderId="18" xfId="0" applyNumberFormat="1" applyFont="1" applyFill="1" applyBorder="1" applyAlignment="1">
      <alignment vertical="center"/>
    </xf>
    <xf numFmtId="167" fontId="0" fillId="8" borderId="0" xfId="0" applyNumberFormat="1" applyFill="1"/>
    <xf numFmtId="0" fontId="7" fillId="8" borderId="3" xfId="0" applyFont="1" applyFill="1" applyBorder="1" applyAlignment="1">
      <alignment horizontal="center" wrapText="1"/>
    </xf>
    <xf numFmtId="0" fontId="7" fillId="8" borderId="15" xfId="0" quotePrefix="1" applyFont="1" applyFill="1" applyBorder="1" applyAlignment="1">
      <alignment horizontal="right" vertical="center"/>
    </xf>
    <xf numFmtId="167" fontId="20" fillId="8" borderId="0" xfId="0" applyNumberFormat="1" applyFont="1" applyFill="1"/>
    <xf numFmtId="0" fontId="20" fillId="8" borderId="0" xfId="0" applyFont="1" applyFill="1" applyAlignment="1">
      <alignment horizontal="right"/>
    </xf>
    <xf numFmtId="10" fontId="0" fillId="3" borderId="7" xfId="4" applyNumberFormat="1" applyFont="1" applyFill="1" applyBorder="1" applyAlignment="1">
      <alignment vertical="center" wrapText="1"/>
    </xf>
    <xf numFmtId="0" fontId="7" fillId="8" borderId="0" xfId="0" applyFont="1" applyFill="1" applyBorder="1" applyAlignment="1">
      <alignment vertical="center"/>
    </xf>
    <xf numFmtId="0" fontId="6" fillId="8" borderId="0" xfId="0" applyFont="1" applyFill="1"/>
    <xf numFmtId="0" fontId="7" fillId="8" borderId="0" xfId="0" applyFont="1" applyFill="1"/>
    <xf numFmtId="0" fontId="6" fillId="8" borderId="0" xfId="0" applyFont="1" applyFill="1" applyBorder="1"/>
    <xf numFmtId="0" fontId="7" fillId="8" borderId="0" xfId="0" applyFont="1" applyFill="1" applyBorder="1" applyAlignment="1">
      <alignment horizontal="center"/>
    </xf>
    <xf numFmtId="0" fontId="0" fillId="8" borderId="0" xfId="0" applyFill="1" applyAlignment="1">
      <alignment horizontal="center" vertical="center"/>
    </xf>
    <xf numFmtId="49" fontId="6" fillId="8" borderId="0" xfId="0" applyNumberFormat="1" applyFont="1" applyFill="1" applyAlignment="1">
      <alignment horizontal="left"/>
    </xf>
    <xf numFmtId="0" fontId="37" fillId="8" borderId="0" xfId="0" applyFont="1" applyFill="1"/>
    <xf numFmtId="0" fontId="0" fillId="8" borderId="0" xfId="0" applyFill="1" applyAlignment="1">
      <alignment horizontal="right"/>
    </xf>
    <xf numFmtId="2" fontId="0" fillId="8" borderId="0" xfId="0" applyNumberFormat="1" applyFill="1" applyAlignment="1">
      <alignment horizontal="center" vertical="center"/>
    </xf>
    <xf numFmtId="1" fontId="0" fillId="8" borderId="0" xfId="0" applyNumberFormat="1" applyFill="1" applyAlignment="1">
      <alignment horizontal="center" vertical="center"/>
    </xf>
    <xf numFmtId="0" fontId="12" fillId="15" borderId="1" xfId="0" applyFont="1" applyFill="1" applyBorder="1" applyAlignment="1">
      <alignment horizontal="left"/>
    </xf>
    <xf numFmtId="0" fontId="7" fillId="8" borderId="28" xfId="0" applyFont="1" applyFill="1" applyBorder="1" applyAlignment="1">
      <alignment horizontal="left"/>
    </xf>
    <xf numFmtId="0" fontId="7" fillId="5" borderId="28" xfId="0" applyFont="1" applyFill="1" applyBorder="1" applyAlignment="1">
      <alignment horizontal="left"/>
    </xf>
    <xf numFmtId="0" fontId="12" fillId="8" borderId="0" xfId="0" applyFont="1" applyFill="1" applyBorder="1" applyAlignment="1">
      <alignment horizontal="left"/>
    </xf>
    <xf numFmtId="175" fontId="0" fillId="8" borderId="0" xfId="0" applyNumberFormat="1" applyFill="1"/>
    <xf numFmtId="176" fontId="0" fillId="8" borderId="0" xfId="0" applyNumberFormat="1" applyFill="1"/>
    <xf numFmtId="0" fontId="9" fillId="8" borderId="0" xfId="5" applyFont="1" applyFill="1" applyBorder="1" applyAlignment="1" applyProtection="1">
      <alignment horizontal="left"/>
    </xf>
    <xf numFmtId="0" fontId="6" fillId="8" borderId="0" xfId="5" applyFont="1" applyFill="1" applyBorder="1" applyProtection="1">
      <protection hidden="1"/>
    </xf>
    <xf numFmtId="0" fontId="6" fillId="8" borderId="0" xfId="5" applyFont="1" applyFill="1" applyBorder="1" applyProtection="1"/>
    <xf numFmtId="0" fontId="6" fillId="8" borderId="0" xfId="5" applyFont="1" applyFill="1" applyBorder="1" applyAlignment="1" applyProtection="1">
      <alignment vertical="top"/>
    </xf>
    <xf numFmtId="1" fontId="6" fillId="2" borderId="0" xfId="0" applyNumberFormat="1" applyFont="1" applyFill="1"/>
    <xf numFmtId="0" fontId="7" fillId="2" borderId="15" xfId="0" quotePrefix="1" applyFont="1" applyFill="1" applyBorder="1" applyAlignment="1">
      <alignment horizontal="center" vertical="center" wrapText="1"/>
    </xf>
    <xf numFmtId="0" fontId="36" fillId="8" borderId="0" xfId="0" applyFont="1" applyFill="1"/>
    <xf numFmtId="0" fontId="0" fillId="8" borderId="0" xfId="0" applyFill="1" applyAlignment="1">
      <alignment horizontal="right" vertical="center"/>
    </xf>
    <xf numFmtId="2" fontId="0" fillId="8" borderId="0" xfId="0" applyNumberFormat="1" applyFill="1" applyAlignment="1">
      <alignment horizontal="right" vertical="center"/>
    </xf>
    <xf numFmtId="199" fontId="9" fillId="5" borderId="1" xfId="1" applyFont="1" applyFill="1" applyBorder="1" applyAlignment="1">
      <alignment horizontal="right"/>
    </xf>
    <xf numFmtId="10" fontId="7" fillId="8" borderId="0" xfId="4" applyNumberFormat="1" applyFont="1" applyFill="1" applyAlignment="1">
      <alignment horizontal="center" wrapText="1"/>
    </xf>
    <xf numFmtId="0" fontId="7" fillId="8" borderId="0" xfId="0" applyFont="1" applyFill="1" applyAlignment="1">
      <alignment horizontal="center" wrapText="1"/>
    </xf>
    <xf numFmtId="10" fontId="6" fillId="8" borderId="0" xfId="4" applyNumberFormat="1" applyFill="1" applyBorder="1"/>
    <xf numFmtId="0" fontId="0" fillId="8" borderId="0" xfId="0" applyFill="1" applyBorder="1" applyAlignment="1">
      <alignment vertical="center" wrapText="1"/>
    </xf>
    <xf numFmtId="0" fontId="7" fillId="8" borderId="15" xfId="0" quotePrefix="1" applyFont="1" applyFill="1" applyBorder="1" applyAlignment="1">
      <alignment horizontal="center" vertical="center" wrapText="1"/>
    </xf>
    <xf numFmtId="10" fontId="6" fillId="8" borderId="0" xfId="4" applyNumberFormat="1" applyFill="1" applyBorder="1" applyAlignment="1"/>
    <xf numFmtId="2" fontId="6" fillId="8" borderId="0" xfId="4" applyNumberFormat="1" applyFill="1" applyBorder="1"/>
    <xf numFmtId="10" fontId="6" fillId="8" borderId="0" xfId="3" applyNumberFormat="1" applyFont="1" applyFill="1" applyBorder="1"/>
    <xf numFmtId="10" fontId="6" fillId="8" borderId="0" xfId="3" applyNumberFormat="1" applyFill="1" applyBorder="1"/>
    <xf numFmtId="0" fontId="9" fillId="8" borderId="0" xfId="0" applyFont="1" applyFill="1" applyBorder="1" applyAlignment="1">
      <alignment horizontal="left"/>
    </xf>
    <xf numFmtId="167" fontId="15" fillId="8" borderId="0" xfId="0" quotePrefix="1" applyNumberFormat="1" applyFont="1" applyFill="1" applyBorder="1" applyAlignment="1">
      <alignment horizontal="right"/>
    </xf>
    <xf numFmtId="0" fontId="9" fillId="8" borderId="0" xfId="0" applyFont="1" applyFill="1" applyBorder="1"/>
    <xf numFmtId="0" fontId="9" fillId="8" borderId="0" xfId="0" quotePrefix="1" applyFont="1" applyFill="1" applyBorder="1" applyAlignment="1">
      <alignment horizontal="right"/>
    </xf>
    <xf numFmtId="0" fontId="15" fillId="8" borderId="0" xfId="0" quotePrefix="1" applyFont="1" applyFill="1" applyBorder="1" applyAlignment="1">
      <alignment horizontal="right"/>
    </xf>
    <xf numFmtId="199" fontId="9" fillId="8" borderId="0" xfId="1" applyFont="1" applyFill="1" applyBorder="1"/>
    <xf numFmtId="0" fontId="7" fillId="8" borderId="2" xfId="0" applyFont="1" applyFill="1" applyBorder="1" applyAlignment="1">
      <alignment horizontal="right"/>
    </xf>
    <xf numFmtId="0" fontId="90" fillId="8" borderId="0" xfId="0" applyFont="1" applyFill="1"/>
    <xf numFmtId="0" fontId="7" fillId="8" borderId="0" xfId="0" applyFont="1" applyFill="1" applyAlignment="1">
      <alignment horizontal="center"/>
    </xf>
    <xf numFmtId="0" fontId="20" fillId="8" borderId="0" xfId="0" applyFont="1" applyFill="1"/>
    <xf numFmtId="167" fontId="20" fillId="8" borderId="0" xfId="0" applyNumberFormat="1" applyFont="1" applyFill="1" applyAlignment="1">
      <alignment horizontal="right"/>
    </xf>
    <xf numFmtId="0" fontId="6" fillId="0" borderId="0" xfId="22"/>
    <xf numFmtId="199" fontId="9" fillId="5" borderId="2" xfId="1" applyFont="1" applyFill="1" applyBorder="1"/>
    <xf numFmtId="0" fontId="33" fillId="2" borderId="0" xfId="0" applyFont="1" applyFill="1"/>
    <xf numFmtId="0" fontId="33" fillId="8" borderId="0" xfId="0" applyFont="1" applyFill="1"/>
    <xf numFmtId="168" fontId="6" fillId="0" borderId="0" xfId="4" applyNumberFormat="1" applyFill="1" applyBorder="1"/>
    <xf numFmtId="0" fontId="0" fillId="0" borderId="0" xfId="0" applyFill="1" applyBorder="1"/>
    <xf numFmtId="167" fontId="6" fillId="2" borderId="0" xfId="4" applyNumberFormat="1" applyFill="1"/>
    <xf numFmtId="0" fontId="40" fillId="8" borderId="0" xfId="0" applyFont="1" applyFill="1"/>
    <xf numFmtId="194" fontId="0" fillId="8" borderId="0" xfId="0" applyNumberFormat="1" applyFill="1" applyAlignment="1">
      <alignment horizontal="right" vertical="center"/>
    </xf>
    <xf numFmtId="199" fontId="0" fillId="2" borderId="0" xfId="1" applyFont="1" applyFill="1"/>
    <xf numFmtId="0" fontId="40" fillId="2" borderId="0" xfId="0" applyFont="1" applyFill="1" applyBorder="1" applyAlignment="1">
      <alignment horizontal="center"/>
    </xf>
    <xf numFmtId="0" fontId="33" fillId="2" borderId="0" xfId="0" applyFont="1" applyFill="1" applyBorder="1"/>
    <xf numFmtId="199" fontId="15" fillId="2" borderId="28" xfId="1" applyFont="1" applyFill="1" applyBorder="1" applyAlignment="1">
      <alignment horizontal="right"/>
    </xf>
    <xf numFmtId="167" fontId="40" fillId="2" borderId="0" xfId="0" applyNumberFormat="1" applyFont="1" applyFill="1" applyBorder="1" applyAlignment="1">
      <alignment horizontal="center"/>
    </xf>
    <xf numFmtId="199" fontId="9" fillId="9" borderId="4" xfId="1" applyFont="1" applyFill="1" applyBorder="1" applyAlignment="1">
      <alignment horizontal="center" vertical="center"/>
    </xf>
    <xf numFmtId="199" fontId="9" fillId="9" borderId="0" xfId="1" applyFont="1" applyFill="1" applyBorder="1" applyAlignment="1">
      <alignment horizontal="center" vertical="center"/>
    </xf>
    <xf numFmtId="169" fontId="9" fillId="9" borderId="0" xfId="0" applyNumberFormat="1" applyFont="1" applyFill="1" applyBorder="1" applyAlignment="1">
      <alignment horizontal="center" vertical="center" wrapText="1"/>
    </xf>
    <xf numFmtId="169" fontId="6" fillId="9" borderId="0" xfId="0" applyNumberFormat="1" applyFont="1" applyFill="1" applyBorder="1" applyAlignment="1">
      <alignment horizontal="center" vertical="center" wrapText="1"/>
    </xf>
    <xf numFmtId="0" fontId="0" fillId="0" borderId="124" xfId="0" applyFill="1" applyBorder="1"/>
    <xf numFmtId="0" fontId="0" fillId="0" borderId="125" xfId="0" applyFill="1" applyBorder="1"/>
    <xf numFmtId="0" fontId="0" fillId="0" borderId="127" xfId="0" applyFill="1" applyBorder="1"/>
    <xf numFmtId="0" fontId="0" fillId="0" borderId="128" xfId="0" applyFill="1" applyBorder="1"/>
    <xf numFmtId="0" fontId="6" fillId="3" borderId="131" xfId="1" applyNumberFormat="1" applyFont="1" applyFill="1" applyBorder="1" applyAlignment="1">
      <alignment horizontal="right" vertical="center"/>
    </xf>
    <xf numFmtId="0" fontId="6" fillId="0" borderId="0" xfId="0" applyFont="1" applyAlignment="1">
      <alignment wrapText="1"/>
    </xf>
    <xf numFmtId="0" fontId="6" fillId="8" borderId="129" xfId="0" applyFont="1" applyFill="1" applyBorder="1"/>
    <xf numFmtId="0" fontId="7" fillId="4" borderId="132" xfId="0" applyFont="1" applyFill="1" applyBorder="1" applyAlignment="1">
      <alignment horizontal="right"/>
    </xf>
    <xf numFmtId="0" fontId="7" fillId="5" borderId="132" xfId="0" applyFont="1" applyFill="1" applyBorder="1" applyAlignment="1">
      <alignment horizontal="right"/>
    </xf>
    <xf numFmtId="0" fontId="7" fillId="2" borderId="28" xfId="0" applyFont="1" applyFill="1" applyBorder="1" applyAlignment="1">
      <alignment horizontal="center" wrapText="1"/>
    </xf>
    <xf numFmtId="167" fontId="6" fillId="7" borderId="29" xfId="0" applyNumberFormat="1" applyFont="1" applyFill="1" applyBorder="1"/>
    <xf numFmtId="167" fontId="6" fillId="7" borderId="0" xfId="0" applyNumberFormat="1" applyFont="1" applyFill="1" applyBorder="1"/>
    <xf numFmtId="0" fontId="7" fillId="5" borderId="132" xfId="0" applyFont="1" applyFill="1" applyBorder="1"/>
    <xf numFmtId="167" fontId="7" fillId="5" borderId="132" xfId="0" applyNumberFormat="1" applyFont="1" applyFill="1" applyBorder="1"/>
    <xf numFmtId="167" fontId="0" fillId="5" borderId="132" xfId="0" applyNumberFormat="1" applyFill="1" applyBorder="1" applyAlignment="1">
      <alignment horizontal="right"/>
    </xf>
    <xf numFmtId="167" fontId="9" fillId="5" borderId="132" xfId="1" applyNumberFormat="1" applyFont="1" applyFill="1" applyBorder="1" applyAlignment="1">
      <alignment horizontal="right"/>
    </xf>
    <xf numFmtId="199" fontId="9" fillId="5" borderId="132" xfId="1" applyFont="1" applyFill="1" applyBorder="1"/>
    <xf numFmtId="167" fontId="7" fillId="5" borderId="132" xfId="0" applyNumberFormat="1" applyFont="1" applyFill="1" applyBorder="1" applyAlignment="1"/>
    <xf numFmtId="199" fontId="9" fillId="5" borderId="132" xfId="1" applyFont="1" applyFill="1" applyBorder="1" applyAlignment="1">
      <alignment horizontal="right"/>
    </xf>
    <xf numFmtId="199" fontId="0" fillId="9" borderId="29" xfId="1" applyFont="1" applyFill="1" applyBorder="1"/>
    <xf numFmtId="199" fontId="0" fillId="9" borderId="0" xfId="1" applyFont="1" applyFill="1" applyBorder="1"/>
    <xf numFmtId="169" fontId="6" fillId="9" borderId="4" xfId="0" applyNumberFormat="1" applyFont="1" applyFill="1" applyBorder="1" applyAlignment="1">
      <alignment horizontal="center" vertical="center" wrapText="1"/>
    </xf>
    <xf numFmtId="169" fontId="0" fillId="9" borderId="29" xfId="0" applyNumberFormat="1" applyFill="1" applyBorder="1" applyAlignment="1">
      <alignment horizontal="center" vertical="center" wrapText="1"/>
    </xf>
    <xf numFmtId="199" fontId="6" fillId="9" borderId="29" xfId="1" applyFont="1" applyFill="1" applyBorder="1" applyAlignment="1">
      <alignment horizontal="right" vertical="center"/>
    </xf>
    <xf numFmtId="199" fontId="6" fillId="9" borderId="0" xfId="1" applyFont="1" applyFill="1" applyBorder="1" applyAlignment="1">
      <alignment horizontal="right" vertical="center"/>
    </xf>
    <xf numFmtId="0" fontId="124" fillId="2" borderId="2" xfId="0" applyFont="1" applyFill="1" applyBorder="1" applyAlignment="1" applyProtection="1">
      <alignment horizontal="center"/>
    </xf>
    <xf numFmtId="0" fontId="36" fillId="2" borderId="0" xfId="0" applyFont="1" applyFill="1"/>
    <xf numFmtId="0" fontId="124" fillId="2" borderId="0" xfId="0" applyFont="1" applyFill="1" applyBorder="1" applyAlignment="1">
      <alignment horizontal="center"/>
    </xf>
    <xf numFmtId="0" fontId="124" fillId="2" borderId="2" xfId="0" applyFont="1" applyFill="1" applyBorder="1" applyAlignment="1">
      <alignment horizontal="center"/>
    </xf>
    <xf numFmtId="0" fontId="124" fillId="2" borderId="0" xfId="0" applyFont="1" applyFill="1" applyAlignment="1">
      <alignment horizontal="center"/>
    </xf>
    <xf numFmtId="167" fontId="9" fillId="2" borderId="134" xfId="0" applyNumberFormat="1" applyFont="1" applyFill="1" applyBorder="1" applyAlignment="1">
      <alignment vertical="center"/>
    </xf>
    <xf numFmtId="0" fontId="6" fillId="2" borderId="0" xfId="22" applyFill="1"/>
    <xf numFmtId="0" fontId="6" fillId="2" borderId="0" xfId="22" applyFont="1" applyFill="1"/>
    <xf numFmtId="0" fontId="21" fillId="2" borderId="0" xfId="22" applyFont="1" applyFill="1"/>
    <xf numFmtId="0" fontId="22" fillId="2" borderId="0" xfId="22" applyFont="1" applyFill="1" applyAlignment="1">
      <alignment vertical="center"/>
    </xf>
    <xf numFmtId="0" fontId="29" fillId="2" borderId="0" xfId="22" applyFont="1" applyFill="1"/>
    <xf numFmtId="0" fontId="6" fillId="8" borderId="0" xfId="22" applyFill="1"/>
    <xf numFmtId="0" fontId="6" fillId="8" borderId="0" xfId="22" applyFont="1" applyFill="1"/>
    <xf numFmtId="0" fontId="22" fillId="8" borderId="0" xfId="22" applyFont="1" applyFill="1" applyAlignment="1">
      <alignment vertical="center"/>
    </xf>
    <xf numFmtId="0" fontId="22" fillId="8" borderId="0" xfId="22" applyFont="1" applyFill="1"/>
    <xf numFmtId="0" fontId="25" fillId="8" borderId="0" xfId="22" applyFont="1" applyFill="1"/>
    <xf numFmtId="0" fontId="26" fillId="8" borderId="0" xfId="22" applyFont="1" applyFill="1" applyAlignment="1">
      <alignment horizontal="right" vertical="center"/>
    </xf>
    <xf numFmtId="0" fontId="26" fillId="8" borderId="0" xfId="22" applyFont="1" applyFill="1"/>
    <xf numFmtId="0" fontId="6" fillId="5" borderId="28" xfId="22" applyFill="1" applyBorder="1"/>
    <xf numFmtId="0" fontId="6" fillId="5" borderId="0" xfId="22" applyFill="1" applyBorder="1"/>
    <xf numFmtId="0" fontId="23" fillId="5" borderId="0" xfId="22" applyFont="1" applyFill="1" applyBorder="1"/>
    <xf numFmtId="0" fontId="6" fillId="5" borderId="0" xfId="22" applyFill="1"/>
    <xf numFmtId="0" fontId="27" fillId="5" borderId="0" xfId="22" applyFont="1" applyFill="1"/>
    <xf numFmtId="0" fontId="12" fillId="5" borderId="0" xfId="22" applyFont="1" applyFill="1" applyBorder="1"/>
    <xf numFmtId="0" fontId="6" fillId="5" borderId="2" xfId="22" applyFill="1" applyBorder="1"/>
    <xf numFmtId="0" fontId="6" fillId="4" borderId="0" xfId="22" applyFill="1"/>
    <xf numFmtId="0" fontId="13" fillId="2" borderId="0" xfId="22" applyFont="1" applyFill="1"/>
    <xf numFmtId="0" fontId="13" fillId="8" borderId="0" xfId="22" applyFont="1" applyFill="1"/>
    <xf numFmtId="0" fontId="12" fillId="8" borderId="0" xfId="22" applyFont="1" applyFill="1"/>
    <xf numFmtId="0" fontId="7" fillId="8" borderId="0" xfId="22" applyFont="1" applyFill="1"/>
    <xf numFmtId="0" fontId="6" fillId="8" borderId="2" xfId="22" applyFont="1" applyFill="1" applyBorder="1"/>
    <xf numFmtId="0" fontId="6" fillId="8" borderId="28" xfId="22" applyFont="1" applyFill="1" applyBorder="1" applyAlignment="1">
      <alignment horizontal="left"/>
    </xf>
    <xf numFmtId="17" fontId="6" fillId="8" borderId="28" xfId="22" quotePrefix="1" applyNumberFormat="1" applyFont="1" applyFill="1" applyBorder="1"/>
    <xf numFmtId="0" fontId="6" fillId="8" borderId="28" xfId="22" applyFont="1" applyFill="1" applyBorder="1"/>
    <xf numFmtId="0" fontId="6" fillId="8" borderId="0" xfId="22" applyFont="1" applyFill="1" applyBorder="1" applyAlignment="1">
      <alignment horizontal="left"/>
    </xf>
    <xf numFmtId="17" fontId="6" fillId="8" borderId="0" xfId="22" quotePrefix="1" applyNumberFormat="1" applyFont="1" applyFill="1" applyBorder="1"/>
    <xf numFmtId="0" fontId="6" fillId="8" borderId="0" xfId="22" applyFont="1" applyFill="1" applyBorder="1"/>
    <xf numFmtId="10" fontId="6" fillId="9" borderId="137" xfId="4" applyNumberFormat="1" applyFill="1" applyBorder="1"/>
    <xf numFmtId="173" fontId="6" fillId="2" borderId="138" xfId="1" applyNumberFormat="1" applyFill="1" applyBorder="1"/>
    <xf numFmtId="10" fontId="6" fillId="2" borderId="138" xfId="4" applyNumberFormat="1" applyFill="1" applyBorder="1"/>
    <xf numFmtId="0" fontId="0" fillId="8" borderId="140" xfId="0" applyFill="1" applyBorder="1" applyAlignment="1">
      <alignment horizontal="center"/>
    </xf>
    <xf numFmtId="10" fontId="6" fillId="0" borderId="139" xfId="4" applyNumberFormat="1" applyBorder="1"/>
    <xf numFmtId="0" fontId="0" fillId="8" borderId="0" xfId="0" applyFill="1" applyBorder="1" applyAlignment="1">
      <alignment horizontal="center"/>
    </xf>
    <xf numFmtId="10" fontId="6" fillId="2" borderId="21" xfId="4" applyNumberFormat="1" applyFill="1" applyBorder="1"/>
    <xf numFmtId="0" fontId="0" fillId="2" borderId="132" xfId="0" applyFill="1" applyBorder="1" applyAlignment="1">
      <alignment horizontal="center"/>
    </xf>
    <xf numFmtId="10" fontId="6" fillId="2" borderId="17" xfId="4" applyNumberFormat="1" applyFill="1" applyBorder="1"/>
    <xf numFmtId="0" fontId="0" fillId="0" borderId="123" xfId="0" applyFill="1" applyBorder="1"/>
    <xf numFmtId="0" fontId="0" fillId="0" borderId="126" xfId="0" applyFill="1" applyBorder="1"/>
    <xf numFmtId="0" fontId="0" fillId="0" borderId="2" xfId="0" applyFill="1" applyBorder="1" applyAlignment="1">
      <alignment horizontal="center"/>
    </xf>
    <xf numFmtId="0" fontId="33" fillId="0" borderId="127" xfId="0" applyFont="1" applyFill="1" applyBorder="1"/>
    <xf numFmtId="199" fontId="9" fillId="3" borderId="19" xfId="1" applyFont="1" applyFill="1" applyBorder="1" applyAlignment="1">
      <alignment horizontal="right" vertical="center"/>
    </xf>
    <xf numFmtId="199" fontId="9" fillId="3" borderId="0" xfId="1" applyFont="1" applyFill="1" applyBorder="1" applyAlignment="1">
      <alignment horizontal="right" vertical="center"/>
    </xf>
    <xf numFmtId="0" fontId="6" fillId="2" borderId="0" xfId="0" applyFont="1" applyFill="1" applyBorder="1" applyAlignment="1">
      <alignment wrapText="1"/>
    </xf>
    <xf numFmtId="0" fontId="6" fillId="2" borderId="0" xfId="0" applyFont="1" applyFill="1" applyBorder="1"/>
    <xf numFmtId="10" fontId="6" fillId="0" borderId="2" xfId="4" applyNumberFormat="1" applyFill="1" applyBorder="1"/>
    <xf numFmtId="0" fontId="0" fillId="0" borderId="2" xfId="0" applyFill="1" applyBorder="1"/>
    <xf numFmtId="0" fontId="33" fillId="0" borderId="132" xfId="0" applyFont="1" applyFill="1" applyBorder="1"/>
    <xf numFmtId="0" fontId="0" fillId="0" borderId="148" xfId="0" applyFill="1" applyBorder="1"/>
    <xf numFmtId="0" fontId="0" fillId="0" borderId="149" xfId="0" applyFill="1" applyBorder="1"/>
    <xf numFmtId="0" fontId="0" fillId="0" borderId="150" xfId="0" applyFill="1" applyBorder="1"/>
    <xf numFmtId="199" fontId="9" fillId="3" borderId="4" xfId="1" applyFont="1" applyFill="1" applyBorder="1" applyAlignment="1">
      <alignment horizontal="right" vertical="center"/>
    </xf>
    <xf numFmtId="167" fontId="9" fillId="2" borderId="7" xfId="0" applyNumberFormat="1" applyFont="1" applyFill="1" applyBorder="1" applyAlignment="1"/>
    <xf numFmtId="167" fontId="9" fillId="2" borderId="4" xfId="0" applyNumberFormat="1" applyFont="1" applyFill="1" applyBorder="1" applyAlignment="1"/>
    <xf numFmtId="167" fontId="9" fillId="2" borderId="19" xfId="0" applyNumberFormat="1" applyFont="1" applyFill="1" applyBorder="1" applyAlignment="1"/>
    <xf numFmtId="167" fontId="9" fillId="2" borderId="0" xfId="0" applyNumberFormat="1" applyFont="1" applyFill="1" applyBorder="1" applyAlignment="1"/>
    <xf numFmtId="0" fontId="7" fillId="0" borderId="140" xfId="0" applyFont="1" applyFill="1" applyBorder="1" applyAlignment="1">
      <alignment horizontal="left" vertical="center"/>
    </xf>
    <xf numFmtId="0" fontId="0" fillId="0" borderId="140" xfId="0" applyFill="1" applyBorder="1" applyAlignment="1">
      <alignment vertical="center"/>
    </xf>
    <xf numFmtId="0" fontId="12" fillId="0" borderId="0" xfId="0" applyFont="1" applyFill="1" applyBorder="1" applyAlignment="1">
      <alignment vertical="center"/>
    </xf>
    <xf numFmtId="0" fontId="0" fillId="0" borderId="0" xfId="0" applyFill="1" applyBorder="1" applyAlignment="1">
      <alignment wrapText="1"/>
    </xf>
    <xf numFmtId="0" fontId="0" fillId="0" borderId="0" xfId="0" applyFill="1" applyBorder="1" applyAlignment="1">
      <alignment vertical="center"/>
    </xf>
    <xf numFmtId="0" fontId="7" fillId="0" borderId="0" xfId="0" applyFont="1" applyFill="1" applyBorder="1" applyAlignment="1">
      <alignment vertical="center"/>
    </xf>
    <xf numFmtId="199" fontId="0" fillId="9" borderId="136" xfId="1" applyFont="1" applyFill="1" applyBorder="1"/>
    <xf numFmtId="199" fontId="0" fillId="9" borderId="30" xfId="1" applyFont="1" applyFill="1" applyBorder="1"/>
    <xf numFmtId="199" fontId="0" fillId="2" borderId="0" xfId="1" applyFont="1" applyFill="1" applyBorder="1" applyAlignment="1">
      <alignment wrapText="1"/>
    </xf>
    <xf numFmtId="0" fontId="6" fillId="0" borderId="0" xfId="0" applyFont="1" applyFill="1" applyBorder="1" applyAlignment="1">
      <alignment vertical="center"/>
    </xf>
    <xf numFmtId="0" fontId="0" fillId="0" borderId="0" xfId="0" applyAlignment="1"/>
    <xf numFmtId="0" fontId="7" fillId="2" borderId="151" xfId="0" quotePrefix="1" applyFont="1" applyFill="1" applyBorder="1" applyAlignment="1">
      <alignment horizontal="center" wrapText="1"/>
    </xf>
    <xf numFmtId="0" fontId="7" fillId="8" borderId="151" xfId="0" quotePrefix="1" applyFont="1" applyFill="1" applyBorder="1" applyAlignment="1">
      <alignment horizontal="center" wrapText="1"/>
    </xf>
    <xf numFmtId="0" fontId="7" fillId="8" borderId="0" xfId="0" quotePrefix="1" applyFont="1" applyFill="1" applyBorder="1" applyAlignment="1">
      <alignment horizontal="center" wrapText="1"/>
    </xf>
    <xf numFmtId="0" fontId="7" fillId="0" borderId="0" xfId="0" quotePrefix="1" applyFont="1" applyFill="1" applyBorder="1" applyAlignment="1">
      <alignment horizontal="center" wrapText="1"/>
    </xf>
    <xf numFmtId="0" fontId="125" fillId="0" borderId="0" xfId="0" applyFont="1" applyFill="1" applyBorder="1" applyAlignment="1">
      <alignment horizontal="left" vertical="center" wrapText="1"/>
    </xf>
    <xf numFmtId="0" fontId="125" fillId="0" borderId="0" xfId="0" applyFont="1" applyFill="1" applyBorder="1" applyAlignment="1">
      <alignment vertical="center" wrapText="1"/>
    </xf>
    <xf numFmtId="0" fontId="7" fillId="2" borderId="0" xfId="0" quotePrefix="1" applyFont="1" applyFill="1" applyBorder="1" applyAlignment="1">
      <alignment horizontal="center" wrapText="1"/>
    </xf>
    <xf numFmtId="199" fontId="0" fillId="2" borderId="29" xfId="1" applyFont="1" applyFill="1" applyBorder="1" applyAlignment="1">
      <alignment wrapText="1"/>
    </xf>
    <xf numFmtId="199" fontId="6" fillId="2" borderId="0" xfId="1" applyFont="1" applyFill="1" applyBorder="1" applyAlignment="1">
      <alignment horizontal="center" vertical="center"/>
    </xf>
    <xf numFmtId="0" fontId="6" fillId="9" borderId="108" xfId="0" applyFont="1" applyFill="1" applyBorder="1" applyAlignment="1">
      <alignment horizontal="left" vertical="center"/>
    </xf>
    <xf numFmtId="10" fontId="0" fillId="3" borderId="152" xfId="4" applyNumberFormat="1" applyFont="1" applyFill="1" applyBorder="1" applyAlignment="1">
      <alignment vertical="center" wrapText="1"/>
    </xf>
    <xf numFmtId="0" fontId="6" fillId="9" borderId="152" xfId="0" applyFont="1" applyFill="1" applyBorder="1" applyAlignment="1">
      <alignment horizontal="left" vertical="center" wrapText="1"/>
    </xf>
    <xf numFmtId="0" fontId="33" fillId="0" borderId="153" xfId="0" applyFont="1" applyFill="1" applyBorder="1" applyAlignment="1">
      <alignment vertical="center" wrapText="1"/>
    </xf>
    <xf numFmtId="0" fontId="12" fillId="0" borderId="153" xfId="0" applyFont="1" applyFill="1" applyBorder="1" applyAlignment="1">
      <alignment vertical="center"/>
    </xf>
    <xf numFmtId="199" fontId="0" fillId="0" borderId="0" xfId="1" applyFont="1" applyFill="1" applyBorder="1"/>
    <xf numFmtId="0" fontId="7" fillId="0" borderId="154" xfId="0" quotePrefix="1" applyFont="1" applyFill="1" applyBorder="1" applyAlignment="1">
      <alignment horizontal="right" vertical="center"/>
    </xf>
    <xf numFmtId="0" fontId="7" fillId="2" borderId="154" xfId="0" quotePrefix="1" applyFont="1" applyFill="1" applyBorder="1" applyAlignment="1">
      <alignment horizontal="center" vertical="center" wrapText="1"/>
    </xf>
    <xf numFmtId="10" fontId="0" fillId="9" borderId="29" xfId="0" applyNumberFormat="1" applyFill="1" applyBorder="1" applyAlignment="1">
      <alignment horizontal="right" vertical="center"/>
    </xf>
    <xf numFmtId="0" fontId="7" fillId="74" borderId="58" xfId="0" applyFont="1" applyFill="1" applyBorder="1" applyAlignment="1">
      <alignment horizontal="right"/>
    </xf>
    <xf numFmtId="10" fontId="0" fillId="9" borderId="30" xfId="4" applyNumberFormat="1" applyFont="1" applyFill="1" applyBorder="1" applyAlignment="1">
      <alignment horizontal="right" vertical="center"/>
    </xf>
    <xf numFmtId="10" fontId="0" fillId="9" borderId="155" xfId="4" applyNumberFormat="1" applyFont="1" applyFill="1" applyBorder="1" applyAlignment="1">
      <alignment horizontal="right" vertical="center"/>
    </xf>
    <xf numFmtId="0" fontId="6" fillId="2" borderId="0" xfId="0" applyFont="1" applyFill="1" applyAlignment="1">
      <alignment horizontal="centerContinuous"/>
    </xf>
    <xf numFmtId="0" fontId="12" fillId="75" borderId="1" xfId="0" applyFont="1" applyFill="1" applyBorder="1" applyAlignment="1">
      <alignment vertical="center"/>
    </xf>
    <xf numFmtId="0" fontId="0" fillId="75" borderId="1" xfId="0" applyFill="1" applyBorder="1"/>
    <xf numFmtId="0" fontId="0" fillId="8" borderId="0" xfId="0" applyFill="1" applyBorder="1" applyAlignment="1">
      <alignment wrapText="1"/>
    </xf>
    <xf numFmtId="0" fontId="0" fillId="8" borderId="0" xfId="0" applyFill="1" applyAlignment="1">
      <alignment wrapText="1"/>
    </xf>
    <xf numFmtId="166" fontId="0" fillId="8" borderId="0" xfId="0" applyNumberFormat="1" applyFill="1"/>
    <xf numFmtId="0" fontId="0" fillId="8" borderId="0" xfId="0" applyFill="1" applyAlignment="1"/>
    <xf numFmtId="172" fontId="18" fillId="76" borderId="0" xfId="2" applyNumberFormat="1" applyFont="1" applyFill="1" applyBorder="1" applyAlignment="1">
      <alignment horizontal="center" vertical="center"/>
    </xf>
    <xf numFmtId="0" fontId="33" fillId="76" borderId="16" xfId="0" applyFont="1" applyFill="1" applyBorder="1"/>
    <xf numFmtId="0" fontId="6" fillId="76" borderId="25" xfId="0" applyFont="1" applyFill="1" applyBorder="1" applyAlignment="1">
      <alignment horizontal="left"/>
    </xf>
    <xf numFmtId="0" fontId="0" fillId="75" borderId="1" xfId="0" applyFill="1" applyBorder="1" applyAlignment="1">
      <alignment wrapText="1"/>
    </xf>
    <xf numFmtId="0" fontId="0" fillId="76" borderId="0" xfId="0" applyFill="1"/>
    <xf numFmtId="0" fontId="6" fillId="76" borderId="141" xfId="0" applyFont="1" applyFill="1" applyBorder="1" applyAlignment="1">
      <alignment horizontal="left"/>
    </xf>
    <xf numFmtId="0" fontId="0" fillId="76" borderId="141" xfId="0" applyFill="1" applyBorder="1" applyAlignment="1">
      <alignment horizontal="center"/>
    </xf>
    <xf numFmtId="10" fontId="6" fillId="76" borderId="142" xfId="4" applyNumberFormat="1" applyFill="1" applyBorder="1"/>
    <xf numFmtId="10" fontId="6" fillId="76" borderId="143" xfId="4" applyNumberFormat="1" applyFill="1" applyBorder="1"/>
    <xf numFmtId="0" fontId="0" fillId="76" borderId="143" xfId="0" applyFill="1" applyBorder="1" applyAlignment="1">
      <alignment horizontal="center"/>
    </xf>
    <xf numFmtId="10" fontId="6" fillId="76" borderId="144" xfId="4" applyNumberFormat="1" applyFill="1" applyBorder="1"/>
    <xf numFmtId="0" fontId="0" fillId="76" borderId="2" xfId="0" applyFill="1" applyBorder="1" applyAlignment="1">
      <alignment horizontal="center"/>
    </xf>
    <xf numFmtId="10" fontId="6" fillId="76" borderId="27" xfId="4" applyNumberFormat="1" applyFill="1" applyBorder="1"/>
    <xf numFmtId="0" fontId="0" fillId="76" borderId="129" xfId="0" applyFill="1" applyBorder="1"/>
    <xf numFmtId="10" fontId="6" fillId="8" borderId="13" xfId="4" applyNumberFormat="1" applyFill="1" applyBorder="1"/>
    <xf numFmtId="2" fontId="6" fillId="8" borderId="13" xfId="4" applyNumberFormat="1" applyFill="1" applyBorder="1"/>
    <xf numFmtId="0" fontId="7" fillId="75" borderId="1" xfId="0" applyFont="1" applyFill="1" applyBorder="1"/>
    <xf numFmtId="171" fontId="7" fillId="75" borderId="1" xfId="1" applyNumberFormat="1" applyFont="1" applyFill="1" applyBorder="1"/>
    <xf numFmtId="0" fontId="7" fillId="76" borderId="0" xfId="0" applyFont="1" applyFill="1" applyBorder="1"/>
    <xf numFmtId="171" fontId="7" fillId="76" borderId="0" xfId="1" applyNumberFormat="1" applyFont="1" applyFill="1" applyBorder="1"/>
    <xf numFmtId="0" fontId="0" fillId="76" borderId="0" xfId="0" applyFill="1" applyBorder="1"/>
    <xf numFmtId="168" fontId="6" fillId="76" borderId="0" xfId="4" applyNumberFormat="1" applyFill="1" applyBorder="1"/>
    <xf numFmtId="0" fontId="6" fillId="76" borderId="0" xfId="0" applyFont="1" applyFill="1"/>
    <xf numFmtId="167" fontId="0" fillId="76" borderId="0" xfId="0" applyNumberFormat="1" applyFill="1" applyBorder="1"/>
    <xf numFmtId="169" fontId="0" fillId="76" borderId="0" xfId="0" applyNumberFormat="1" applyFill="1" applyBorder="1"/>
    <xf numFmtId="0" fontId="9" fillId="76" borderId="0" xfId="0" applyFont="1" applyFill="1"/>
    <xf numFmtId="167" fontId="15" fillId="76" borderId="0" xfId="0" quotePrefix="1" applyNumberFormat="1" applyFont="1" applyFill="1" applyBorder="1" applyAlignment="1">
      <alignment horizontal="right"/>
    </xf>
    <xf numFmtId="167" fontId="20" fillId="76" borderId="0" xfId="0" applyNumberFormat="1" applyFont="1" applyFill="1" applyBorder="1"/>
    <xf numFmtId="171" fontId="6" fillId="76" borderId="0" xfId="1" applyNumberFormat="1" applyFill="1"/>
    <xf numFmtId="167" fontId="20" fillId="76" borderId="0" xfId="0" applyNumberFormat="1" applyFont="1" applyFill="1"/>
    <xf numFmtId="167" fontId="16" fillId="76" borderId="0" xfId="0" applyNumberFormat="1" applyFont="1" applyFill="1" applyBorder="1" applyAlignment="1">
      <alignment horizontal="right"/>
    </xf>
    <xf numFmtId="0" fontId="15" fillId="76" borderId="0" xfId="0" applyFont="1" applyFill="1" applyAlignment="1">
      <alignment horizontal="left"/>
    </xf>
    <xf numFmtId="0" fontId="6" fillId="76" borderId="0" xfId="0" applyFont="1" applyFill="1" applyBorder="1"/>
    <xf numFmtId="0" fontId="1" fillId="0" borderId="0" xfId="912"/>
    <xf numFmtId="0" fontId="1" fillId="0" borderId="0" xfId="912" applyAlignment="1">
      <alignment vertical="center"/>
    </xf>
    <xf numFmtId="1" fontId="38" fillId="8" borderId="0" xfId="912" applyNumberFormat="1" applyFont="1" applyFill="1" applyProtection="1"/>
    <xf numFmtId="0" fontId="38" fillId="8" borderId="0" xfId="912" applyFont="1" applyFill="1" applyProtection="1"/>
    <xf numFmtId="0" fontId="38" fillId="8" borderId="0" xfId="912" applyFont="1" applyFill="1" applyAlignment="1" applyProtection="1">
      <alignment horizontal="center"/>
    </xf>
    <xf numFmtId="0" fontId="1" fillId="0" borderId="0" xfId="912" applyAlignment="1">
      <alignment horizontal="left"/>
    </xf>
    <xf numFmtId="0" fontId="38" fillId="8" borderId="0" xfId="912" applyFont="1" applyFill="1" applyAlignment="1" applyProtection="1">
      <alignment horizontal="left"/>
    </xf>
    <xf numFmtId="0" fontId="1" fillId="0" borderId="0" xfId="912" applyBorder="1"/>
    <xf numFmtId="0" fontId="1" fillId="0" borderId="0" xfId="912" applyFill="1" applyBorder="1" applyAlignment="1">
      <alignment vertical="center"/>
    </xf>
    <xf numFmtId="0" fontId="130" fillId="54" borderId="0" xfId="912" applyFont="1" applyFill="1" applyAlignment="1">
      <alignment vertical="top"/>
    </xf>
    <xf numFmtId="0" fontId="131" fillId="0" borderId="0" xfId="912" applyFont="1" applyFill="1"/>
    <xf numFmtId="0" fontId="132" fillId="0" borderId="0" xfId="912" applyFont="1" applyFill="1" applyBorder="1" applyAlignment="1">
      <alignment vertical="center"/>
    </xf>
    <xf numFmtId="0" fontId="132" fillId="54" borderId="0" xfId="912" applyFont="1" applyFill="1" applyBorder="1" applyAlignment="1">
      <alignment vertical="center"/>
    </xf>
    <xf numFmtId="0" fontId="1" fillId="0" borderId="0" xfId="912" applyFill="1" applyAlignment="1">
      <alignment horizontal="center" vertical="top"/>
    </xf>
    <xf numFmtId="0" fontId="1" fillId="0" borderId="0" xfId="912" applyFill="1" applyAlignment="1">
      <alignment vertical="top"/>
    </xf>
    <xf numFmtId="0" fontId="1" fillId="0" borderId="0" xfId="912" applyAlignment="1">
      <alignment vertical="top"/>
    </xf>
    <xf numFmtId="0" fontId="1" fillId="0" borderId="0" xfId="912" applyFill="1" applyAlignment="1">
      <alignment horizontal="left" vertical="top"/>
    </xf>
    <xf numFmtId="0" fontId="131" fillId="54" borderId="0" xfId="912" applyFont="1" applyFill="1"/>
    <xf numFmtId="0" fontId="131" fillId="60" borderId="0" xfId="912" applyFont="1" applyFill="1" applyAlignment="1">
      <alignment vertical="center"/>
    </xf>
    <xf numFmtId="0" fontId="6" fillId="0" borderId="0" xfId="912" quotePrefix="1" applyFont="1"/>
    <xf numFmtId="0" fontId="1" fillId="0" borderId="0" xfId="912" applyAlignment="1">
      <alignment horizontal="right" indent="1"/>
    </xf>
    <xf numFmtId="0" fontId="6" fillId="0" borderId="0" xfId="912" applyFont="1" applyFill="1" applyBorder="1"/>
    <xf numFmtId="0" fontId="1" fillId="0" borderId="0" xfId="912" applyBorder="1" applyAlignment="1">
      <alignment vertical="center"/>
    </xf>
    <xf numFmtId="0" fontId="1" fillId="0" borderId="156" xfId="912" applyBorder="1"/>
    <xf numFmtId="195" fontId="37" fillId="8" borderId="157" xfId="912" applyNumberFormat="1" applyFont="1" applyFill="1" applyBorder="1"/>
    <xf numFmtId="195" fontId="37" fillId="8" borderId="158" xfId="912" applyNumberFormat="1" applyFont="1" applyFill="1" applyBorder="1"/>
    <xf numFmtId="0" fontId="133" fillId="0" borderId="59" xfId="912" applyFont="1" applyBorder="1" applyAlignment="1">
      <alignment horizontal="right"/>
    </xf>
    <xf numFmtId="0" fontId="6" fillId="21" borderId="0" xfId="912" applyFont="1" applyFill="1" applyBorder="1"/>
    <xf numFmtId="195" fontId="7" fillId="54" borderId="156" xfId="912" applyNumberFormat="1" applyFont="1" applyFill="1" applyBorder="1" applyAlignment="1">
      <alignment horizontal="center" vertical="center" wrapText="1"/>
    </xf>
    <xf numFmtId="195" fontId="7" fillId="54" borderId="157" xfId="912" applyNumberFormat="1" applyFont="1" applyFill="1" applyBorder="1" applyAlignment="1">
      <alignment horizontal="center" vertical="center" wrapText="1"/>
    </xf>
    <xf numFmtId="195" fontId="7" fillId="54" borderId="157" xfId="912" applyNumberFormat="1" applyFont="1" applyFill="1" applyBorder="1" applyAlignment="1">
      <alignment horizontal="left" vertical="center" wrapText="1"/>
    </xf>
    <xf numFmtId="195" fontId="7" fillId="54" borderId="158" xfId="912" applyNumberFormat="1" applyFont="1" applyFill="1" applyBorder="1" applyAlignment="1">
      <alignment horizontal="center" vertical="center" wrapText="1"/>
    </xf>
    <xf numFmtId="0" fontId="1" fillId="0" borderId="35" xfId="912" applyBorder="1" applyAlignment="1">
      <alignment vertical="center"/>
    </xf>
    <xf numFmtId="0" fontId="6" fillId="21" borderId="0" xfId="912" applyFont="1" applyFill="1" applyBorder="1" applyAlignment="1">
      <alignment vertical="top"/>
    </xf>
    <xf numFmtId="0" fontId="6" fillId="0" borderId="0" xfId="912" applyFont="1" applyBorder="1" applyAlignment="1">
      <alignment horizontal="right" vertical="center"/>
    </xf>
    <xf numFmtId="195" fontId="7" fillId="19" borderId="159" xfId="912" applyNumberFormat="1" applyFont="1" applyFill="1" applyBorder="1" applyAlignment="1">
      <alignment horizontal="center" vertical="center" wrapText="1"/>
    </xf>
    <xf numFmtId="195" fontId="7" fillId="54" borderId="159" xfId="912" applyNumberFormat="1" applyFont="1" applyFill="1" applyBorder="1" applyAlignment="1">
      <alignment horizontal="center" vertical="center" wrapText="1"/>
    </xf>
    <xf numFmtId="195" fontId="7" fillId="54" borderId="159" xfId="912" applyNumberFormat="1" applyFont="1" applyFill="1" applyBorder="1" applyAlignment="1">
      <alignment horizontal="left" vertical="center" wrapText="1"/>
    </xf>
    <xf numFmtId="195" fontId="7" fillId="19" borderId="17" xfId="912" applyNumberFormat="1" applyFont="1" applyFill="1" applyBorder="1" applyAlignment="1">
      <alignment horizontal="center" vertical="center" wrapText="1"/>
    </xf>
    <xf numFmtId="0" fontId="1" fillId="0" borderId="0" xfId="912" quotePrefix="1"/>
    <xf numFmtId="0" fontId="1" fillId="0" borderId="0" xfId="912" applyBorder="1" applyAlignment="1">
      <alignment horizontal="left"/>
    </xf>
    <xf numFmtId="0" fontId="20" fillId="0" borderId="0" xfId="912" applyFont="1"/>
    <xf numFmtId="0" fontId="91" fillId="60" borderId="0" xfId="912" applyFont="1" applyFill="1" applyAlignment="1">
      <alignment vertical="center"/>
    </xf>
    <xf numFmtId="0" fontId="91" fillId="60" borderId="0" xfId="912" applyFont="1" applyFill="1" applyBorder="1" applyAlignment="1">
      <alignment vertical="center"/>
    </xf>
    <xf numFmtId="0" fontId="7" fillId="19" borderId="160" xfId="912" applyFont="1" applyFill="1" applyBorder="1" applyAlignment="1">
      <alignment horizontal="center" vertical="center" wrapText="1"/>
    </xf>
    <xf numFmtId="0" fontId="7" fillId="54" borderId="161" xfId="912" applyFont="1" applyFill="1" applyBorder="1" applyAlignment="1">
      <alignment horizontal="center" vertical="center" wrapText="1"/>
    </xf>
    <xf numFmtId="0" fontId="133" fillId="0" borderId="71" xfId="912" applyFont="1" applyBorder="1" applyAlignment="1">
      <alignment horizontal="right" vertical="center"/>
    </xf>
    <xf numFmtId="0" fontId="7" fillId="77" borderId="0" xfId="912" applyFont="1" applyFill="1" applyBorder="1" applyAlignment="1">
      <alignment horizontal="right" vertical="center" wrapText="1"/>
    </xf>
    <xf numFmtId="0" fontId="1" fillId="0" borderId="0" xfId="912" applyBorder="1" applyAlignment="1">
      <alignment horizontal="left" vertical="center"/>
    </xf>
    <xf numFmtId="14" fontId="7" fillId="19" borderId="59" xfId="912" applyNumberFormat="1" applyFont="1" applyFill="1" applyBorder="1" applyAlignment="1">
      <alignment vertical="center"/>
    </xf>
    <xf numFmtId="14" fontId="7" fillId="19" borderId="59" xfId="912" applyNumberFormat="1" applyFont="1" applyFill="1" applyBorder="1" applyAlignment="1">
      <alignment horizontal="left" vertical="center"/>
    </xf>
    <xf numFmtId="0" fontId="7" fillId="19" borderId="162" xfId="912" applyFont="1" applyFill="1" applyBorder="1" applyAlignment="1" applyProtection="1">
      <alignment horizontal="center" vertical="center" wrapText="1"/>
    </xf>
    <xf numFmtId="0" fontId="106" fillId="19" borderId="161" xfId="912" applyFont="1" applyFill="1" applyBorder="1" applyAlignment="1" applyProtection="1">
      <alignment horizontal="center" vertical="center" wrapText="1"/>
    </xf>
    <xf numFmtId="0" fontId="134" fillId="0" borderId="86" xfId="912" applyFont="1" applyBorder="1" applyAlignment="1">
      <alignment horizontal="center" vertical="center"/>
    </xf>
    <xf numFmtId="0" fontId="134" fillId="0" borderId="72" xfId="912" applyFont="1" applyBorder="1" applyAlignment="1">
      <alignment horizontal="center" vertical="center"/>
    </xf>
    <xf numFmtId="0" fontId="134" fillId="0" borderId="71" xfId="912" applyFont="1" applyBorder="1" applyAlignment="1">
      <alignment horizontal="center" vertical="center"/>
    </xf>
    <xf numFmtId="14" fontId="1" fillId="19" borderId="59" xfId="912" applyNumberFormat="1" applyFill="1" applyBorder="1" applyAlignment="1">
      <alignment horizontal="left" vertical="center"/>
    </xf>
    <xf numFmtId="0" fontId="134" fillId="0" borderId="33" xfId="912" applyFont="1" applyBorder="1" applyAlignment="1">
      <alignment horizontal="center" vertical="center" wrapText="1"/>
    </xf>
    <xf numFmtId="0" fontId="134" fillId="0" borderId="31" xfId="912" applyFont="1" applyBorder="1" applyAlignment="1">
      <alignment horizontal="center" vertical="center" wrapText="1"/>
    </xf>
    <xf numFmtId="0" fontId="134" fillId="0" borderId="32" xfId="912" applyFont="1" applyBorder="1" applyAlignment="1">
      <alignment horizontal="center" vertical="center" wrapText="1"/>
    </xf>
    <xf numFmtId="196" fontId="7" fillId="55" borderId="163" xfId="912" applyNumberFormat="1" applyFont="1" applyFill="1" applyBorder="1" applyAlignment="1" applyProtection="1">
      <alignment horizontal="left" vertical="center" wrapText="1"/>
      <protection locked="0"/>
    </xf>
    <xf numFmtId="196" fontId="7" fillId="55" borderId="164" xfId="912" applyNumberFormat="1" applyFont="1" applyFill="1" applyBorder="1" applyAlignment="1" applyProtection="1">
      <alignment horizontal="left" vertical="center" wrapText="1"/>
      <protection locked="0"/>
    </xf>
    <xf numFmtId="3" fontId="7" fillId="55" borderId="164" xfId="912" applyNumberFormat="1" applyFont="1" applyFill="1" applyBorder="1" applyAlignment="1" applyProtection="1">
      <alignment horizontal="left" vertical="center" wrapText="1"/>
      <protection locked="0"/>
    </xf>
    <xf numFmtId="3" fontId="7" fillId="55" borderId="165" xfId="912" applyNumberFormat="1" applyFont="1" applyFill="1" applyBorder="1" applyAlignment="1" applyProtection="1">
      <alignment horizontal="left" vertical="center" wrapText="1"/>
    </xf>
    <xf numFmtId="0" fontId="135" fillId="0" borderId="0" xfId="912" applyFont="1" applyBorder="1" applyAlignment="1">
      <alignment vertical="center"/>
    </xf>
    <xf numFmtId="0" fontId="134" fillId="0" borderId="156" xfId="912" applyFont="1" applyBorder="1" applyAlignment="1">
      <alignment horizontal="center" vertical="center" wrapText="1"/>
    </xf>
    <xf numFmtId="0" fontId="134" fillId="0" borderId="157" xfId="912" applyFont="1" applyBorder="1" applyAlignment="1">
      <alignment horizontal="center" vertical="center" wrapText="1"/>
    </xf>
    <xf numFmtId="0" fontId="134" fillId="0" borderId="89" xfId="912" applyFont="1" applyBorder="1" applyAlignment="1">
      <alignment horizontal="center" vertical="center" wrapText="1"/>
    </xf>
    <xf numFmtId="0" fontId="6" fillId="0" borderId="0" xfId="912" applyFont="1" applyBorder="1" applyAlignment="1">
      <alignment horizontal="left" indent="3"/>
    </xf>
    <xf numFmtId="0" fontId="7" fillId="0" borderId="0" xfId="912" applyFont="1" applyBorder="1" applyAlignment="1">
      <alignment vertical="center"/>
    </xf>
    <xf numFmtId="0" fontId="7" fillId="78" borderId="86" xfId="912" applyFont="1" applyFill="1" applyBorder="1" applyAlignment="1">
      <alignment vertical="center"/>
    </xf>
    <xf numFmtId="0" fontId="7" fillId="78" borderId="72" xfId="912" applyFont="1" applyFill="1" applyBorder="1" applyAlignment="1">
      <alignment vertical="center"/>
    </xf>
    <xf numFmtId="0" fontId="7" fillId="78" borderId="71" xfId="912" applyFont="1" applyFill="1" applyBorder="1" applyAlignment="1">
      <alignment vertical="center"/>
    </xf>
    <xf numFmtId="0" fontId="1" fillId="79" borderId="0" xfId="912" applyFill="1"/>
    <xf numFmtId="0" fontId="136" fillId="79" borderId="0" xfId="912" applyFont="1" applyFill="1" applyAlignment="1">
      <alignment horizontal="left"/>
    </xf>
    <xf numFmtId="0" fontId="137" fillId="0" borderId="0" xfId="912" applyFont="1"/>
    <xf numFmtId="0" fontId="1" fillId="0" borderId="70" xfId="912" applyBorder="1" applyAlignment="1">
      <alignment horizontal="left"/>
    </xf>
    <xf numFmtId="0" fontId="1" fillId="0" borderId="68" xfId="912" applyBorder="1" applyAlignment="1">
      <alignment horizontal="left" vertical="top"/>
    </xf>
    <xf numFmtId="0" fontId="1" fillId="78" borderId="67" xfId="912" applyFill="1" applyBorder="1" applyAlignment="1">
      <alignment horizontal="left" vertical="center" wrapText="1"/>
    </xf>
    <xf numFmtId="0" fontId="1" fillId="0" borderId="82" xfId="912" applyBorder="1" applyAlignment="1">
      <alignment horizontal="left"/>
    </xf>
    <xf numFmtId="0" fontId="1" fillId="78" borderId="37" xfId="912" applyFill="1" applyBorder="1" applyAlignment="1">
      <alignment horizontal="left" vertical="top"/>
    </xf>
    <xf numFmtId="0" fontId="1" fillId="78" borderId="65" xfId="912" applyFill="1" applyBorder="1" applyAlignment="1">
      <alignment horizontal="left" vertical="center" wrapText="1"/>
    </xf>
    <xf numFmtId="0" fontId="1" fillId="78" borderId="119" xfId="912" applyFill="1" applyBorder="1" applyAlignment="1">
      <alignment horizontal="left"/>
    </xf>
    <xf numFmtId="0" fontId="1" fillId="78" borderId="63" xfId="912" applyFill="1" applyBorder="1" applyAlignment="1">
      <alignment horizontal="left"/>
    </xf>
    <xf numFmtId="0" fontId="1" fillId="78" borderId="62" xfId="912" applyFill="1" applyBorder="1" applyAlignment="1">
      <alignment horizontal="left" vertical="center" wrapText="1"/>
    </xf>
    <xf numFmtId="0" fontId="91" fillId="80" borderId="61" xfId="912" applyFont="1" applyFill="1" applyBorder="1" applyAlignment="1">
      <alignment vertical="center"/>
    </xf>
    <xf numFmtId="0" fontId="7" fillId="80" borderId="166" xfId="912" applyFont="1" applyFill="1" applyBorder="1" applyAlignment="1">
      <alignment horizontal="center" vertical="center" wrapText="1"/>
    </xf>
    <xf numFmtId="0" fontId="7" fillId="80" borderId="60" xfId="912" applyFont="1" applyFill="1" applyBorder="1" applyAlignment="1">
      <alignment horizontal="center" vertical="center" wrapText="1"/>
    </xf>
    <xf numFmtId="0" fontId="1" fillId="0" borderId="35" xfId="912" applyBorder="1"/>
    <xf numFmtId="0" fontId="1" fillId="0" borderId="34" xfId="912" applyBorder="1" applyAlignment="1">
      <alignment vertical="center"/>
    </xf>
    <xf numFmtId="0" fontId="1" fillId="78" borderId="167" xfId="912" applyFill="1" applyBorder="1" applyAlignment="1"/>
    <xf numFmtId="0" fontId="1" fillId="78" borderId="122" xfId="912" applyFill="1" applyBorder="1" applyAlignment="1"/>
    <xf numFmtId="0" fontId="1" fillId="78" borderId="168" xfId="912" applyFill="1" applyBorder="1" applyAlignment="1"/>
    <xf numFmtId="0" fontId="7" fillId="80" borderId="156" xfId="912" applyFont="1" applyFill="1" applyBorder="1" applyAlignment="1">
      <alignment horizontal="center" vertical="center" wrapText="1"/>
    </xf>
    <xf numFmtId="0" fontId="7" fillId="80" borderId="157" xfId="912" applyFont="1" applyFill="1" applyBorder="1" applyAlignment="1">
      <alignment horizontal="center" vertical="center" wrapText="1"/>
    </xf>
    <xf numFmtId="0" fontId="7" fillId="80" borderId="89" xfId="912" applyFont="1" applyFill="1" applyBorder="1" applyAlignment="1">
      <alignment horizontal="center" vertical="center" wrapText="1"/>
    </xf>
    <xf numFmtId="0" fontId="1" fillId="0" borderId="70" xfId="912" applyBorder="1"/>
    <xf numFmtId="0" fontId="1" fillId="0" borderId="68" xfId="912" applyBorder="1"/>
    <xf numFmtId="0" fontId="1" fillId="65" borderId="67" xfId="912" applyFill="1" applyBorder="1" applyAlignment="1">
      <alignment horizontal="center" vertical="center" wrapText="1"/>
    </xf>
    <xf numFmtId="0" fontId="1" fillId="0" borderId="82" xfId="912" applyBorder="1"/>
    <xf numFmtId="0" fontId="1" fillId="0" borderId="37" xfId="912" applyBorder="1"/>
    <xf numFmtId="0" fontId="1" fillId="65" borderId="65" xfId="912" applyFill="1" applyBorder="1" applyAlignment="1">
      <alignment horizontal="center" vertical="center" wrapText="1"/>
    </xf>
    <xf numFmtId="0" fontId="1" fillId="65" borderId="37" xfId="912" applyFill="1" applyBorder="1" applyAlignment="1">
      <alignment horizontal="center" vertical="center" wrapText="1"/>
    </xf>
    <xf numFmtId="0" fontId="1" fillId="0" borderId="119" xfId="912" applyBorder="1"/>
    <xf numFmtId="0" fontId="1" fillId="0" borderId="63" xfId="912" applyBorder="1"/>
    <xf numFmtId="0" fontId="1" fillId="65" borderId="63" xfId="912" applyFill="1" applyBorder="1" applyAlignment="1">
      <alignment horizontal="center" vertical="center" wrapText="1"/>
    </xf>
    <xf numFmtId="0" fontId="1" fillId="65" borderId="62" xfId="912" applyFill="1" applyBorder="1" applyAlignment="1">
      <alignment horizontal="center" vertical="center" wrapText="1"/>
    </xf>
    <xf numFmtId="0" fontId="124" fillId="81" borderId="169" xfId="912" applyFont="1" applyFill="1" applyBorder="1" applyAlignment="1">
      <alignment vertical="center" wrapText="1"/>
    </xf>
    <xf numFmtId="0" fontId="124" fillId="81" borderId="170" xfId="912" applyFont="1" applyFill="1" applyBorder="1" applyAlignment="1">
      <alignment vertical="center" wrapText="1"/>
    </xf>
    <xf numFmtId="0" fontId="124" fillId="81" borderId="171" xfId="912" applyFont="1" applyFill="1" applyBorder="1" applyAlignment="1">
      <alignment vertical="center" wrapText="1"/>
    </xf>
    <xf numFmtId="0" fontId="1" fillId="20" borderId="83" xfId="912" applyFill="1" applyBorder="1" applyAlignment="1">
      <alignment horizontal="center"/>
    </xf>
    <xf numFmtId="0" fontId="1" fillId="20" borderId="79" xfId="912" applyFill="1" applyBorder="1" applyAlignment="1">
      <alignment horizontal="center"/>
    </xf>
    <xf numFmtId="0" fontId="124" fillId="82" borderId="59" xfId="912" applyFont="1" applyFill="1" applyBorder="1" applyAlignment="1">
      <alignment horizontal="center" vertical="center" wrapText="1"/>
    </xf>
    <xf numFmtId="0" fontId="1" fillId="0" borderId="172" xfId="912" applyBorder="1"/>
    <xf numFmtId="0" fontId="1" fillId="0" borderId="173" xfId="912" applyBorder="1"/>
    <xf numFmtId="0" fontId="1" fillId="0" borderId="174" xfId="912" applyBorder="1"/>
    <xf numFmtId="0" fontId="1" fillId="20" borderId="175" xfId="912" applyFill="1" applyBorder="1" applyAlignment="1">
      <alignment horizontal="center"/>
    </xf>
    <xf numFmtId="0" fontId="1" fillId="0" borderId="177" xfId="912" applyBorder="1"/>
    <xf numFmtId="0" fontId="1" fillId="0" borderId="114" xfId="912" applyBorder="1"/>
    <xf numFmtId="0" fontId="1" fillId="20" borderId="113" xfId="912" applyFill="1" applyBorder="1" applyAlignment="1">
      <alignment horizontal="center"/>
    </xf>
    <xf numFmtId="0" fontId="1" fillId="20" borderId="37" xfId="912" applyFill="1" applyBorder="1" applyAlignment="1">
      <alignment horizontal="center" vertical="center" wrapText="1"/>
    </xf>
    <xf numFmtId="0" fontId="1" fillId="20" borderId="114" xfId="912" applyFill="1" applyBorder="1" applyAlignment="1">
      <alignment horizontal="center" vertical="center" wrapText="1"/>
    </xf>
    <xf numFmtId="0" fontId="1" fillId="20" borderId="111" xfId="912" applyFill="1" applyBorder="1" applyAlignment="1">
      <alignment horizontal="center" vertical="center" wrapText="1"/>
    </xf>
    <xf numFmtId="0" fontId="1" fillId="20" borderId="78" xfId="912" applyFill="1" applyBorder="1" applyAlignment="1">
      <alignment horizontal="center" vertical="center" wrapText="1"/>
    </xf>
    <xf numFmtId="0" fontId="1" fillId="0" borderId="78" xfId="912" applyBorder="1"/>
    <xf numFmtId="0" fontId="1" fillId="20" borderId="112" xfId="912" applyFill="1" applyBorder="1" applyAlignment="1">
      <alignment horizontal="center"/>
    </xf>
    <xf numFmtId="0" fontId="124" fillId="82" borderId="179" xfId="912" applyFont="1" applyFill="1" applyBorder="1" applyAlignment="1">
      <alignment horizontal="center" vertical="center" wrapText="1"/>
    </xf>
    <xf numFmtId="0" fontId="124" fillId="82" borderId="180" xfId="912" applyFont="1" applyFill="1" applyBorder="1" applyAlignment="1">
      <alignment horizontal="center" vertical="center" wrapText="1"/>
    </xf>
    <xf numFmtId="0" fontId="124" fillId="82" borderId="181" xfId="912" applyFont="1" applyFill="1" applyBorder="1" applyAlignment="1">
      <alignment horizontal="center" vertical="center" wrapText="1"/>
    </xf>
    <xf numFmtId="0" fontId="128" fillId="83" borderId="0" xfId="912" applyFont="1" applyFill="1" applyBorder="1" applyAlignment="1">
      <alignment horizontal="centerContinuous"/>
    </xf>
    <xf numFmtId="0" fontId="137" fillId="0" borderId="182" xfId="912" applyFont="1" applyBorder="1"/>
    <xf numFmtId="0" fontId="1" fillId="0" borderId="183" xfId="912" applyBorder="1"/>
    <xf numFmtId="0" fontId="1" fillId="20" borderId="68" xfId="912" applyFill="1" applyBorder="1" applyAlignment="1">
      <alignment horizontal="center" vertical="center" wrapText="1"/>
    </xf>
    <xf numFmtId="0" fontId="1" fillId="0" borderId="67" xfId="912" applyBorder="1"/>
    <xf numFmtId="0" fontId="1" fillId="0" borderId="185" xfId="912" applyBorder="1"/>
    <xf numFmtId="0" fontId="1" fillId="0" borderId="65" xfId="912" applyBorder="1"/>
    <xf numFmtId="0" fontId="1" fillId="0" borderId="65" xfId="912" applyBorder="1" applyAlignment="1">
      <alignment vertical="center"/>
    </xf>
    <xf numFmtId="0" fontId="1" fillId="20" borderId="65" xfId="912" applyFill="1" applyBorder="1" applyAlignment="1">
      <alignment horizontal="center" vertical="center" wrapText="1"/>
    </xf>
    <xf numFmtId="0" fontId="1" fillId="20" borderId="186" xfId="912" applyFill="1" applyBorder="1" applyAlignment="1">
      <alignment horizontal="center" vertical="center" wrapText="1"/>
    </xf>
    <xf numFmtId="0" fontId="1" fillId="20" borderId="0" xfId="912" applyFill="1" applyBorder="1" applyAlignment="1">
      <alignment horizontal="center"/>
    </xf>
    <xf numFmtId="0" fontId="1" fillId="20" borderId="34" xfId="912" applyFill="1" applyBorder="1" applyAlignment="1">
      <alignment horizontal="center"/>
    </xf>
    <xf numFmtId="0" fontId="124" fillId="82" borderId="187" xfId="912" applyFont="1" applyFill="1" applyBorder="1" applyAlignment="1">
      <alignment horizontal="center" vertical="center" wrapText="1"/>
    </xf>
    <xf numFmtId="0" fontId="124" fillId="82" borderId="188" xfId="912" applyFont="1" applyFill="1" applyBorder="1" applyAlignment="1">
      <alignment horizontal="center" vertical="center" wrapText="1"/>
    </xf>
    <xf numFmtId="0" fontId="124" fillId="82" borderId="189" xfId="912" applyFont="1" applyFill="1" applyBorder="1" applyAlignment="1">
      <alignment horizontal="center" vertical="center" wrapText="1"/>
    </xf>
    <xf numFmtId="0" fontId="140" fillId="0" borderId="0" xfId="912" applyFont="1" applyAlignment="1">
      <alignment horizontal="right"/>
    </xf>
    <xf numFmtId="0" fontId="95" fillId="54" borderId="83" xfId="912" applyFont="1" applyFill="1" applyBorder="1" applyAlignment="1" applyProtection="1">
      <alignment horizontal="center" vertical="center"/>
    </xf>
    <xf numFmtId="0" fontId="95" fillId="54" borderId="79" xfId="912" applyFont="1" applyFill="1" applyBorder="1" applyAlignment="1" applyProtection="1">
      <alignment horizontal="center" vertical="center"/>
    </xf>
    <xf numFmtId="0" fontId="95" fillId="54" borderId="75" xfId="912" applyFont="1" applyFill="1" applyBorder="1" applyAlignment="1" applyProtection="1">
      <alignment horizontal="center" vertical="center"/>
    </xf>
    <xf numFmtId="0" fontId="7" fillId="19" borderId="191" xfId="912" applyFont="1" applyFill="1" applyBorder="1" applyAlignment="1">
      <alignment vertical="center" wrapText="1"/>
    </xf>
    <xf numFmtId="0" fontId="38" fillId="54" borderId="83" xfId="912" applyFont="1" applyFill="1" applyBorder="1" applyAlignment="1" applyProtection="1">
      <alignment horizontal="center" vertical="center"/>
    </xf>
    <xf numFmtId="0" fontId="142" fillId="54" borderId="79" xfId="912" applyFont="1" applyFill="1" applyBorder="1" applyAlignment="1" applyProtection="1">
      <alignment horizontal="center" vertical="top" wrapText="1"/>
    </xf>
    <xf numFmtId="0" fontId="142" fillId="54" borderId="192" xfId="912" applyFont="1" applyFill="1" applyBorder="1" applyAlignment="1" applyProtection="1">
      <alignment horizontal="center" vertical="top" wrapText="1"/>
    </xf>
    <xf numFmtId="0" fontId="7" fillId="77" borderId="59" xfId="912" applyFont="1" applyFill="1" applyBorder="1" applyAlignment="1">
      <alignment vertical="center" wrapText="1"/>
    </xf>
    <xf numFmtId="0" fontId="1" fillId="0" borderId="0" xfId="912" applyFont="1" applyAlignment="1">
      <alignment horizontal="left" indent="2"/>
    </xf>
    <xf numFmtId="0" fontId="1" fillId="0" borderId="0" xfId="912" applyAlignment="1">
      <alignment horizontal="left" vertical="center"/>
    </xf>
    <xf numFmtId="0" fontId="95" fillId="0" borderId="68" xfId="912" applyFont="1" applyFill="1" applyBorder="1" applyAlignment="1" applyProtection="1">
      <alignment vertical="center"/>
    </xf>
    <xf numFmtId="0" fontId="95" fillId="0" borderId="70" xfId="912" applyFont="1" applyFill="1" applyBorder="1" applyAlignment="1" applyProtection="1">
      <alignment vertical="center"/>
    </xf>
    <xf numFmtId="0" fontId="95" fillId="0" borderId="67" xfId="912" applyFont="1" applyFill="1" applyBorder="1" applyAlignment="1" applyProtection="1">
      <alignment vertical="center"/>
    </xf>
    <xf numFmtId="0" fontId="6" fillId="0" borderId="70" xfId="912" applyFont="1" applyFill="1" applyBorder="1" applyAlignment="1"/>
    <xf numFmtId="0" fontId="6" fillId="0" borderId="68" xfId="912" applyFont="1" applyFill="1" applyBorder="1" applyAlignment="1"/>
    <xf numFmtId="0" fontId="6" fillId="0" borderId="68" xfId="912" applyFont="1" applyFill="1" applyBorder="1" applyAlignment="1">
      <alignment vertical="center"/>
    </xf>
    <xf numFmtId="0" fontId="6" fillId="54" borderId="68" xfId="912" applyFont="1" applyFill="1" applyBorder="1" applyAlignment="1" applyProtection="1">
      <alignment wrapText="1"/>
    </xf>
    <xf numFmtId="0" fontId="6" fillId="0" borderId="67" xfId="912" applyFont="1" applyFill="1" applyBorder="1" applyAlignment="1">
      <alignment vertical="center"/>
    </xf>
    <xf numFmtId="0" fontId="95" fillId="0" borderId="37" xfId="912" applyFont="1" applyFill="1" applyBorder="1" applyAlignment="1" applyProtection="1">
      <alignment vertical="center"/>
    </xf>
    <xf numFmtId="0" fontId="95" fillId="0" borderId="82" xfId="912" applyFont="1" applyFill="1" applyBorder="1" applyAlignment="1" applyProtection="1">
      <alignment vertical="center"/>
    </xf>
    <xf numFmtId="0" fontId="95" fillId="0" borderId="65" xfId="912" applyFont="1" applyFill="1" applyBorder="1" applyAlignment="1" applyProtection="1">
      <alignment vertical="center"/>
    </xf>
    <xf numFmtId="0" fontId="6" fillId="0" borderId="82" xfId="912" applyFont="1" applyFill="1" applyBorder="1" applyAlignment="1"/>
    <xf numFmtId="0" fontId="6" fillId="0" borderId="37" xfId="912" applyFont="1" applyFill="1" applyBorder="1" applyAlignment="1"/>
    <xf numFmtId="0" fontId="6" fillId="0" borderId="37" xfId="912" applyFont="1" applyFill="1" applyBorder="1" applyAlignment="1">
      <alignment vertical="center"/>
    </xf>
    <xf numFmtId="0" fontId="6" fillId="54" borderId="37" xfId="912" applyFont="1" applyFill="1" applyBorder="1" applyAlignment="1" applyProtection="1">
      <alignment wrapText="1"/>
    </xf>
    <xf numFmtId="0" fontId="6" fillId="0" borderId="65" xfId="912" applyFont="1" applyFill="1" applyBorder="1" applyAlignment="1">
      <alignment vertical="center"/>
    </xf>
    <xf numFmtId="0" fontId="94" fillId="54" borderId="65" xfId="912" applyNumberFormat="1" applyFont="1" applyFill="1" applyBorder="1" applyAlignment="1" applyProtection="1">
      <alignment wrapText="1"/>
    </xf>
    <xf numFmtId="0" fontId="95" fillId="54" borderId="37" xfId="912" applyFont="1" applyFill="1" applyBorder="1" applyAlignment="1" applyProtection="1">
      <alignment vertical="center"/>
    </xf>
    <xf numFmtId="0" fontId="95" fillId="54" borderId="65" xfId="912" applyFont="1" applyFill="1" applyBorder="1" applyAlignment="1" applyProtection="1">
      <alignment vertical="center"/>
    </xf>
    <xf numFmtId="0" fontId="96" fillId="54" borderId="82" xfId="912" applyFont="1" applyFill="1" applyBorder="1" applyAlignment="1" applyProtection="1">
      <alignment vertical="center" wrapText="1"/>
    </xf>
    <xf numFmtId="0" fontId="96" fillId="54" borderId="37" xfId="912" applyFont="1" applyFill="1" applyBorder="1" applyAlignment="1" applyProtection="1">
      <alignment vertical="center" wrapText="1"/>
    </xf>
    <xf numFmtId="0" fontId="94" fillId="54" borderId="65" xfId="912" applyFont="1" applyFill="1" applyBorder="1" applyAlignment="1" applyProtection="1">
      <alignment wrapText="1"/>
    </xf>
    <xf numFmtId="0" fontId="95" fillId="54" borderId="82" xfId="912" applyFont="1" applyFill="1" applyBorder="1" applyAlignment="1" applyProtection="1">
      <alignment vertical="center"/>
    </xf>
    <xf numFmtId="0" fontId="95" fillId="54" borderId="63" xfId="912" applyFont="1" applyFill="1" applyBorder="1" applyAlignment="1" applyProtection="1">
      <alignment vertical="center"/>
    </xf>
    <xf numFmtId="0" fontId="95" fillId="54" borderId="119" xfId="912" applyFont="1" applyFill="1" applyBorder="1" applyAlignment="1" applyProtection="1">
      <alignment vertical="center"/>
    </xf>
    <xf numFmtId="0" fontId="95" fillId="54" borderId="62" xfId="912" applyFont="1" applyFill="1" applyBorder="1" applyAlignment="1" applyProtection="1">
      <alignment vertical="center"/>
    </xf>
    <xf numFmtId="0" fontId="96" fillId="54" borderId="119" xfId="912" applyFont="1" applyFill="1" applyBorder="1" applyAlignment="1" applyProtection="1">
      <alignment vertical="center" wrapText="1"/>
    </xf>
    <xf numFmtId="0" fontId="96" fillId="54" borderId="63" xfId="912" applyFont="1" applyFill="1" applyBorder="1" applyAlignment="1" applyProtection="1">
      <alignment vertical="center" wrapText="1"/>
    </xf>
    <xf numFmtId="0" fontId="6" fillId="54" borderId="63" xfId="912" applyFont="1" applyFill="1" applyBorder="1" applyAlignment="1" applyProtection="1">
      <alignment wrapText="1"/>
    </xf>
    <xf numFmtId="0" fontId="94" fillId="54" borderId="62" xfId="912" applyFont="1" applyFill="1" applyBorder="1" applyAlignment="1" applyProtection="1">
      <alignment wrapText="1"/>
    </xf>
    <xf numFmtId="0" fontId="1" fillId="0" borderId="0" xfId="912" applyAlignment="1">
      <alignment wrapText="1"/>
    </xf>
    <xf numFmtId="0" fontId="1" fillId="0" borderId="0" xfId="912" applyAlignment="1">
      <alignment vertical="center" wrapText="1"/>
    </xf>
    <xf numFmtId="0" fontId="7" fillId="77" borderId="74" xfId="912" applyFont="1" applyFill="1" applyBorder="1" applyAlignment="1">
      <alignment vertical="center" wrapText="1"/>
    </xf>
    <xf numFmtId="0" fontId="7" fillId="19" borderId="193" xfId="912" applyFont="1" applyFill="1" applyBorder="1" applyAlignment="1">
      <alignment vertical="center" wrapText="1"/>
    </xf>
    <xf numFmtId="0" fontId="7" fillId="19" borderId="74" xfId="912" applyFont="1" applyFill="1" applyBorder="1" applyAlignment="1">
      <alignment vertical="center" wrapText="1"/>
    </xf>
    <xf numFmtId="0" fontId="7" fillId="77" borderId="74" xfId="912" applyFont="1" applyFill="1" applyBorder="1" applyAlignment="1">
      <alignment horizontal="left" vertical="center" wrapText="1"/>
    </xf>
    <xf numFmtId="0" fontId="7" fillId="19" borderId="73" xfId="912" applyFont="1" applyFill="1" applyBorder="1" applyAlignment="1">
      <alignment vertical="center" wrapText="1"/>
    </xf>
    <xf numFmtId="0" fontId="1" fillId="66" borderId="0" xfId="912" applyFill="1"/>
    <xf numFmtId="0" fontId="91" fillId="66" borderId="0" xfId="912" applyFont="1" applyFill="1"/>
    <xf numFmtId="0" fontId="1" fillId="0" borderId="122" xfId="912" applyBorder="1" applyAlignment="1">
      <alignment vertical="center"/>
    </xf>
    <xf numFmtId="0" fontId="1" fillId="0" borderId="70" xfId="912" applyBorder="1" applyAlignment="1">
      <alignment vertical="center"/>
    </xf>
    <xf numFmtId="0" fontId="1" fillId="54" borderId="68" xfId="912" applyFill="1" applyBorder="1"/>
    <xf numFmtId="0" fontId="1" fillId="0" borderId="82" xfId="912" applyBorder="1" applyAlignment="1">
      <alignment vertical="center"/>
    </xf>
    <xf numFmtId="0" fontId="1" fillId="54" borderId="37" xfId="912" applyFill="1" applyBorder="1"/>
    <xf numFmtId="0" fontId="1" fillId="54" borderId="82" xfId="912" applyFill="1" applyBorder="1" applyAlignment="1">
      <alignment vertical="center"/>
    </xf>
    <xf numFmtId="0" fontId="1" fillId="54" borderId="37" xfId="912" applyFill="1" applyBorder="1" applyAlignment="1">
      <alignment vertical="center"/>
    </xf>
    <xf numFmtId="0" fontId="1" fillId="54" borderId="37" xfId="912" applyFill="1" applyBorder="1" applyProtection="1">
      <protection locked="0"/>
    </xf>
    <xf numFmtId="0" fontId="1" fillId="54" borderId="65" xfId="912" applyFill="1" applyBorder="1"/>
    <xf numFmtId="0" fontId="1" fillId="54" borderId="82" xfId="912" applyFill="1" applyBorder="1"/>
    <xf numFmtId="49" fontId="1" fillId="54" borderId="119" xfId="912" applyNumberFormat="1" applyFill="1" applyBorder="1"/>
    <xf numFmtId="0" fontId="1" fillId="54" borderId="63" xfId="912" applyFill="1" applyBorder="1" applyAlignment="1">
      <alignment vertical="center"/>
    </xf>
    <xf numFmtId="49" fontId="1" fillId="54" borderId="63" xfId="912" applyNumberFormat="1" applyFill="1" applyBorder="1"/>
    <xf numFmtId="0" fontId="1" fillId="54" borderId="63" xfId="912" applyFill="1" applyBorder="1" applyProtection="1">
      <protection locked="0"/>
    </xf>
    <xf numFmtId="0" fontId="1" fillId="54" borderId="62" xfId="912" applyFill="1" applyBorder="1"/>
    <xf numFmtId="0" fontId="91" fillId="14" borderId="40" xfId="912" applyFont="1" applyFill="1" applyBorder="1" applyAlignment="1">
      <alignment horizontal="left" vertical="top" wrapText="1"/>
    </xf>
    <xf numFmtId="0" fontId="39" fillId="14" borderId="40" xfId="912" applyFont="1" applyFill="1" applyBorder="1" applyAlignment="1" applyProtection="1">
      <alignment horizontal="left" vertical="top" wrapText="1"/>
    </xf>
    <xf numFmtId="0" fontId="1" fillId="13" borderId="167" xfId="912" applyFill="1" applyBorder="1"/>
    <xf numFmtId="0" fontId="1" fillId="8" borderId="83" xfId="912" applyFill="1" applyBorder="1" applyAlignment="1" applyProtection="1">
      <alignment vertical="center"/>
    </xf>
    <xf numFmtId="0" fontId="1" fillId="13" borderId="35" xfId="912" applyFill="1" applyBorder="1"/>
    <xf numFmtId="0" fontId="1" fillId="8" borderId="79" xfId="912" applyFill="1" applyBorder="1" applyAlignment="1" applyProtection="1">
      <alignment vertical="center"/>
    </xf>
    <xf numFmtId="0" fontId="1" fillId="8" borderId="192" xfId="912" applyFill="1" applyBorder="1" applyAlignment="1" applyProtection="1">
      <alignment vertical="center"/>
    </xf>
    <xf numFmtId="0" fontId="1" fillId="8" borderId="194" xfId="912" applyFill="1" applyBorder="1" applyAlignment="1" applyProtection="1">
      <alignment vertical="center"/>
    </xf>
    <xf numFmtId="0" fontId="1" fillId="0" borderId="68" xfId="912" applyBorder="1" applyAlignment="1">
      <alignment vertical="center"/>
    </xf>
    <xf numFmtId="0" fontId="1" fillId="8" borderId="195" xfId="912" applyFill="1" applyBorder="1" applyAlignment="1" applyProtection="1">
      <alignment horizontal="left" vertical="center"/>
    </xf>
    <xf numFmtId="0" fontId="1" fillId="8" borderId="194" xfId="912" applyFill="1" applyBorder="1" applyAlignment="1" applyProtection="1">
      <alignment vertical="top"/>
    </xf>
    <xf numFmtId="0" fontId="1" fillId="8" borderId="70" xfId="912" applyFill="1" applyBorder="1" applyAlignment="1" applyProtection="1">
      <alignment horizontal="left" vertical="center"/>
    </xf>
    <xf numFmtId="0" fontId="1" fillId="0" borderId="69" xfId="912" applyBorder="1"/>
    <xf numFmtId="0" fontId="1" fillId="0" borderId="37" xfId="912" applyBorder="1" applyAlignment="1">
      <alignment vertical="center"/>
    </xf>
    <xf numFmtId="0" fontId="1" fillId="8" borderId="92" xfId="912" applyFill="1" applyBorder="1" applyAlignment="1" applyProtection="1">
      <alignment horizontal="left" vertical="center"/>
    </xf>
    <xf numFmtId="0" fontId="1" fillId="8" borderId="45" xfId="912" applyFill="1" applyBorder="1" applyAlignment="1" applyProtection="1">
      <alignment vertical="top"/>
    </xf>
    <xf numFmtId="0" fontId="1" fillId="8" borderId="82" xfId="912" applyFill="1" applyBorder="1" applyAlignment="1" applyProtection="1">
      <alignment horizontal="left" vertical="center"/>
    </xf>
    <xf numFmtId="0" fontId="1" fillId="0" borderId="66" xfId="912" applyBorder="1"/>
    <xf numFmtId="0" fontId="1" fillId="55" borderId="82" xfId="912" applyFill="1" applyBorder="1" applyAlignment="1" applyProtection="1">
      <alignment horizontal="left" vertical="center"/>
    </xf>
    <xf numFmtId="0" fontId="1" fillId="8" borderId="90" xfId="912" applyFill="1" applyBorder="1" applyAlignment="1" applyProtection="1">
      <alignment horizontal="left" vertical="center"/>
    </xf>
    <xf numFmtId="0" fontId="1" fillId="8" borderId="96" xfId="912" applyFill="1" applyBorder="1" applyAlignment="1" applyProtection="1">
      <alignment horizontal="left" vertical="center"/>
    </xf>
    <xf numFmtId="0" fontId="1" fillId="55" borderId="196" xfId="912" applyFill="1" applyBorder="1" applyAlignment="1" applyProtection="1">
      <alignment horizontal="left" vertical="center"/>
    </xf>
    <xf numFmtId="0" fontId="1" fillId="8" borderId="45" xfId="912" applyFill="1" applyBorder="1" applyAlignment="1" applyProtection="1">
      <alignment vertical="center"/>
    </xf>
    <xf numFmtId="0" fontId="1" fillId="55" borderId="197" xfId="912" applyFill="1" applyBorder="1" applyAlignment="1" applyProtection="1">
      <alignment horizontal="left" vertical="center"/>
    </xf>
    <xf numFmtId="0" fontId="1" fillId="55" borderId="198" xfId="912" applyFill="1" applyBorder="1" applyAlignment="1" applyProtection="1">
      <alignment horizontal="left" vertical="center"/>
    </xf>
    <xf numFmtId="0" fontId="99" fillId="55" borderId="37" xfId="912" applyFont="1" applyFill="1" applyBorder="1"/>
    <xf numFmtId="0" fontId="1" fillId="0" borderId="90" xfId="912" applyBorder="1" applyProtection="1"/>
    <xf numFmtId="1" fontId="38" fillId="8" borderId="37" xfId="912" applyNumberFormat="1" applyFont="1" applyFill="1" applyBorder="1" applyProtection="1"/>
    <xf numFmtId="0" fontId="38" fillId="8" borderId="37" xfId="912" applyFont="1" applyFill="1" applyBorder="1" applyProtection="1"/>
    <xf numFmtId="0" fontId="1" fillId="8" borderId="98" xfId="912" applyFill="1" applyBorder="1" applyAlignment="1" applyProtection="1">
      <alignment horizontal="left" vertical="center"/>
    </xf>
    <xf numFmtId="0" fontId="1" fillId="55" borderId="196" xfId="912" applyFill="1" applyBorder="1" applyProtection="1"/>
    <xf numFmtId="0" fontId="99" fillId="20" borderId="37" xfId="912" applyFont="1" applyFill="1" applyBorder="1"/>
    <xf numFmtId="0" fontId="1" fillId="8" borderId="117" xfId="912" applyFill="1" applyBorder="1" applyAlignment="1" applyProtection="1">
      <alignment vertical="center"/>
    </xf>
    <xf numFmtId="0" fontId="6" fillId="70" borderId="65" xfId="912" applyFont="1" applyFill="1" applyBorder="1" applyAlignment="1">
      <alignment horizontal="left"/>
    </xf>
    <xf numFmtId="0" fontId="1" fillId="0" borderId="96" xfId="912" applyBorder="1" applyAlignment="1" applyProtection="1">
      <alignment horizontal="left" vertical="center"/>
    </xf>
    <xf numFmtId="0" fontId="1" fillId="0" borderId="195" xfId="912" applyBorder="1" applyProtection="1"/>
    <xf numFmtId="0" fontId="1" fillId="55" borderId="198" xfId="912" applyFill="1" applyBorder="1" applyProtection="1"/>
    <xf numFmtId="0" fontId="1" fillId="54" borderId="66" xfId="912" applyFill="1" applyBorder="1" applyAlignment="1">
      <alignment vertical="center"/>
    </xf>
    <xf numFmtId="0" fontId="1" fillId="0" borderId="92" xfId="912" applyBorder="1" applyAlignment="1" applyProtection="1">
      <alignment horizontal="left" vertical="center"/>
    </xf>
    <xf numFmtId="0" fontId="1" fillId="0" borderId="199" xfId="912" applyBorder="1" applyProtection="1"/>
    <xf numFmtId="0" fontId="1" fillId="55" borderId="82" xfId="912" applyFill="1" applyBorder="1" applyProtection="1"/>
    <xf numFmtId="0" fontId="1" fillId="55" borderId="200" xfId="912" applyFill="1" applyBorder="1" applyProtection="1"/>
    <xf numFmtId="0" fontId="1" fillId="54" borderId="66" xfId="912" applyFill="1" applyBorder="1"/>
    <xf numFmtId="0" fontId="99" fillId="20" borderId="63" xfId="912" applyFont="1" applyFill="1" applyBorder="1"/>
    <xf numFmtId="0" fontId="1" fillId="0" borderId="98" xfId="912" applyBorder="1" applyAlignment="1" applyProtection="1">
      <alignment horizontal="left" vertical="center"/>
    </xf>
    <xf numFmtId="0" fontId="1" fillId="55" borderId="119" xfId="912" applyFill="1" applyBorder="1" applyAlignment="1" applyProtection="1">
      <alignment horizontal="left" vertical="center"/>
    </xf>
    <xf numFmtId="0" fontId="99" fillId="55" borderId="63" xfId="912" applyFont="1" applyFill="1" applyBorder="1"/>
    <xf numFmtId="0" fontId="6" fillId="70" borderId="62" xfId="912" applyFont="1" applyFill="1" applyBorder="1" applyAlignment="1">
      <alignment horizontal="left"/>
    </xf>
    <xf numFmtId="49" fontId="1" fillId="54" borderId="64" xfId="912" applyNumberFormat="1" applyFill="1" applyBorder="1"/>
    <xf numFmtId="0" fontId="39" fillId="55" borderId="40" xfId="912" applyFont="1" applyFill="1" applyBorder="1" applyAlignment="1" applyProtection="1">
      <alignment horizontal="center" vertical="center" wrapText="1"/>
    </xf>
    <xf numFmtId="0" fontId="7" fillId="14" borderId="86" xfId="912" applyFont="1" applyFill="1" applyBorder="1" applyAlignment="1" applyProtection="1">
      <alignment horizontal="centerContinuous" vertical="center" wrapText="1"/>
    </xf>
    <xf numFmtId="0" fontId="7" fillId="14" borderId="71" xfId="912" applyFont="1" applyFill="1" applyBorder="1" applyAlignment="1" applyProtection="1">
      <alignment horizontal="centerContinuous" vertical="center" wrapText="1"/>
    </xf>
    <xf numFmtId="0" fontId="7" fillId="55" borderId="40" xfId="912" applyFont="1" applyFill="1" applyBorder="1" applyAlignment="1" applyProtection="1">
      <alignment horizontal="center" vertical="center" wrapText="1"/>
    </xf>
    <xf numFmtId="0" fontId="39" fillId="55" borderId="40" xfId="912" applyFont="1" applyFill="1" applyBorder="1" applyAlignment="1" applyProtection="1">
      <alignment horizontal="left" vertical="center" wrapText="1"/>
    </xf>
    <xf numFmtId="1" fontId="143" fillId="8" borderId="0" xfId="912" applyNumberFormat="1" applyFont="1" applyFill="1" applyProtection="1"/>
    <xf numFmtId="0" fontId="1" fillId="0" borderId="0" xfId="912" applyFill="1" applyBorder="1"/>
    <xf numFmtId="0" fontId="38" fillId="20" borderId="83" xfId="912" applyFont="1" applyFill="1" applyBorder="1" applyProtection="1"/>
    <xf numFmtId="0" fontId="38" fillId="20" borderId="79" xfId="912" applyFont="1" applyFill="1" applyBorder="1" applyProtection="1"/>
    <xf numFmtId="0" fontId="1" fillId="0" borderId="0" xfId="912" quotePrefix="1" applyNumberFormat="1"/>
    <xf numFmtId="0" fontId="38" fillId="20" borderId="44" xfId="912" applyFont="1" applyFill="1" applyBorder="1" applyProtection="1"/>
    <xf numFmtId="0" fontId="38" fillId="20" borderId="43" xfId="912" applyFont="1" applyFill="1" applyBorder="1" applyProtection="1"/>
    <xf numFmtId="0" fontId="38" fillId="20" borderId="41" xfId="912" applyFont="1" applyFill="1" applyBorder="1" applyProtection="1"/>
    <xf numFmtId="0" fontId="38" fillId="20" borderId="75" xfId="912" applyFont="1" applyFill="1" applyBorder="1" applyProtection="1"/>
    <xf numFmtId="0" fontId="144" fillId="84" borderId="40" xfId="912" applyFont="1" applyFill="1" applyBorder="1" applyAlignment="1" applyProtection="1">
      <alignment horizontal="center" vertical="center" wrapText="1"/>
    </xf>
    <xf numFmtId="0" fontId="38" fillId="14" borderId="59" xfId="912" applyFont="1" applyFill="1" applyBorder="1" applyAlignment="1" applyProtection="1">
      <alignment horizontal="left" vertical="top" wrapText="1"/>
    </xf>
    <xf numFmtId="49" fontId="38" fillId="8" borderId="0" xfId="912" applyNumberFormat="1" applyFont="1" applyFill="1" applyProtection="1"/>
    <xf numFmtId="0" fontId="38" fillId="0" borderId="83" xfId="912" applyFont="1" applyFill="1" applyBorder="1" applyProtection="1"/>
    <xf numFmtId="0" fontId="38" fillId="0" borderId="93" xfId="912" applyFont="1" applyFill="1" applyBorder="1" applyProtection="1"/>
    <xf numFmtId="0" fontId="38" fillId="0" borderId="79" xfId="912" applyFont="1" applyFill="1" applyBorder="1" applyProtection="1"/>
    <xf numFmtId="0" fontId="38" fillId="20" borderId="88" xfId="912" applyFont="1" applyFill="1" applyBorder="1" applyProtection="1"/>
    <xf numFmtId="0" fontId="38" fillId="20" borderId="192" xfId="912" applyFont="1" applyFill="1" applyBorder="1" applyProtection="1"/>
    <xf numFmtId="0" fontId="38" fillId="20" borderId="87" xfId="912" applyFont="1" applyFill="1" applyBorder="1" applyProtection="1"/>
    <xf numFmtId="0" fontId="1" fillId="0" borderId="0" xfId="912" applyBorder="1" applyAlignment="1">
      <alignment vertical="top"/>
    </xf>
    <xf numFmtId="0" fontId="38" fillId="20" borderId="87" xfId="912" quotePrefix="1" applyFont="1" applyFill="1" applyBorder="1" applyProtection="1"/>
    <xf numFmtId="0" fontId="145" fillId="79" borderId="0" xfId="912" applyFont="1" applyFill="1" applyAlignment="1">
      <alignment horizontal="left"/>
    </xf>
    <xf numFmtId="0" fontId="1" fillId="84" borderId="0" xfId="912" applyFill="1" applyBorder="1"/>
    <xf numFmtId="0" fontId="146" fillId="84" borderId="0" xfId="912" applyFont="1" applyFill="1" applyBorder="1" applyAlignment="1">
      <alignment vertical="center"/>
    </xf>
    <xf numFmtId="0" fontId="1" fillId="0" borderId="0" xfId="912" quotePrefix="1" applyAlignment="1">
      <alignment horizontal="left"/>
    </xf>
    <xf numFmtId="0" fontId="1" fillId="0" borderId="0" xfId="912" quotePrefix="1" applyAlignment="1">
      <alignment horizontal="center"/>
    </xf>
    <xf numFmtId="49" fontId="1" fillId="55" borderId="70" xfId="912" applyNumberFormat="1" applyFill="1" applyBorder="1" applyAlignment="1">
      <alignment horizontal="center"/>
    </xf>
    <xf numFmtId="49" fontId="6" fillId="70" borderId="67" xfId="912" applyNumberFormat="1" applyFont="1" applyFill="1" applyBorder="1" applyAlignment="1">
      <alignment horizontal="center"/>
    </xf>
    <xf numFmtId="49" fontId="1" fillId="55" borderId="82" xfId="912" applyNumberFormat="1" applyFill="1" applyBorder="1" applyAlignment="1">
      <alignment horizontal="center"/>
    </xf>
    <xf numFmtId="49" fontId="6" fillId="70" borderId="65" xfId="912" applyNumberFormat="1" applyFont="1" applyFill="1" applyBorder="1" applyAlignment="1">
      <alignment horizontal="center"/>
    </xf>
    <xf numFmtId="0" fontId="1" fillId="54" borderId="70" xfId="912" quotePrefix="1" applyFill="1" applyBorder="1" applyAlignment="1">
      <alignment horizontal="left"/>
    </xf>
    <xf numFmtId="0" fontId="1" fillId="0" borderId="67" xfId="912" applyFill="1" applyBorder="1" applyAlignment="1">
      <alignment horizontal="right"/>
    </xf>
    <xf numFmtId="0" fontId="1" fillId="54" borderId="82" xfId="912" quotePrefix="1" applyFill="1" applyBorder="1" applyAlignment="1">
      <alignment horizontal="left"/>
    </xf>
    <xf numFmtId="0" fontId="1" fillId="0" borderId="65" xfId="912" applyFill="1" applyBorder="1" applyAlignment="1">
      <alignment horizontal="right"/>
    </xf>
    <xf numFmtId="0" fontId="38" fillId="8" borderId="0" xfId="912" quotePrefix="1" applyFont="1" applyFill="1" applyAlignment="1" applyProtection="1">
      <alignment horizontal="left"/>
    </xf>
    <xf numFmtId="0" fontId="91" fillId="0" borderId="119" xfId="912" applyFont="1" applyBorder="1"/>
    <xf numFmtId="0" fontId="1" fillId="0" borderId="62" xfId="912" applyBorder="1"/>
    <xf numFmtId="0" fontId="1" fillId="56" borderId="83" xfId="912" quotePrefix="1" applyFill="1" applyBorder="1" applyAlignment="1">
      <alignment horizontal="left"/>
    </xf>
    <xf numFmtId="0" fontId="1" fillId="0" borderId="100" xfId="912" applyBorder="1" applyAlignment="1">
      <alignment horizontal="right"/>
    </xf>
    <xf numFmtId="0" fontId="1" fillId="56" borderId="79" xfId="912" quotePrefix="1" applyFill="1" applyBorder="1" applyAlignment="1">
      <alignment horizontal="left"/>
    </xf>
    <xf numFmtId="0" fontId="1" fillId="0" borderId="99" xfId="912" applyBorder="1" applyAlignment="1">
      <alignment horizontal="right"/>
    </xf>
    <xf numFmtId="0" fontId="1" fillId="0" borderId="104" xfId="912" applyBorder="1" applyAlignment="1">
      <alignment horizontal="right"/>
    </xf>
    <xf numFmtId="0" fontId="1" fillId="56" borderId="79" xfId="912" applyFill="1" applyBorder="1" applyAlignment="1">
      <alignment horizontal="left"/>
    </xf>
    <xf numFmtId="0" fontId="1" fillId="56" borderId="75" xfId="912" applyFill="1" applyBorder="1" applyAlignment="1">
      <alignment horizontal="left"/>
    </xf>
    <xf numFmtId="0" fontId="98" fillId="69" borderId="72" xfId="912" applyFont="1" applyFill="1" applyBorder="1" applyAlignment="1" applyProtection="1">
      <alignment horizontal="center"/>
    </xf>
    <xf numFmtId="0" fontId="1" fillId="0" borderId="97" xfId="912" applyBorder="1" applyAlignment="1">
      <alignment horizontal="right"/>
    </xf>
    <xf numFmtId="49" fontId="1" fillId="55" borderId="119" xfId="912" applyNumberFormat="1" applyFill="1" applyBorder="1" applyAlignment="1">
      <alignment horizontal="center"/>
    </xf>
    <xf numFmtId="49" fontId="6" fillId="70" borderId="62" xfId="912" applyNumberFormat="1" applyFont="1" applyFill="1" applyBorder="1" applyAlignment="1">
      <alignment horizontal="center"/>
    </xf>
    <xf numFmtId="0" fontId="91" fillId="0" borderId="0" xfId="912" quotePrefix="1" applyFont="1"/>
    <xf numFmtId="0" fontId="91" fillId="0" borderId="0" xfId="912" quotePrefix="1" applyFont="1" applyAlignment="1">
      <alignment horizontal="left"/>
    </xf>
    <xf numFmtId="0" fontId="7" fillId="0" borderId="0" xfId="912" applyFont="1" applyAlignment="1">
      <alignment horizontal="center"/>
    </xf>
    <xf numFmtId="1" fontId="39" fillId="8" borderId="0" xfId="912" applyNumberFormat="1" applyFont="1" applyFill="1" applyAlignment="1" applyProtection="1">
      <alignment horizontal="center"/>
    </xf>
    <xf numFmtId="0" fontId="1" fillId="0" borderId="0" xfId="912" quotePrefix="1" applyAlignment="1">
      <alignment horizontal="center" vertical="top"/>
    </xf>
    <xf numFmtId="0" fontId="38" fillId="53" borderId="83" xfId="912" applyNumberFormat="1" applyFont="1" applyFill="1" applyBorder="1" applyAlignment="1">
      <alignment vertical="center"/>
    </xf>
    <xf numFmtId="49" fontId="32" fillId="53" borderId="201" xfId="912" applyNumberFormat="1" applyFont="1" applyFill="1" applyBorder="1"/>
    <xf numFmtId="49" fontId="38" fillId="53" borderId="201" xfId="912" applyNumberFormat="1" applyFont="1" applyFill="1" applyBorder="1"/>
    <xf numFmtId="0" fontId="38" fillId="53" borderId="115" xfId="912" applyNumberFormat="1" applyFont="1" applyFill="1" applyBorder="1" applyAlignment="1">
      <alignment vertical="center"/>
    </xf>
    <xf numFmtId="49" fontId="32" fillId="53" borderId="202" xfId="912" applyNumberFormat="1" applyFont="1" applyFill="1" applyBorder="1"/>
    <xf numFmtId="49" fontId="38" fillId="53" borderId="202" xfId="912" applyNumberFormat="1" applyFont="1" applyFill="1" applyBorder="1"/>
    <xf numFmtId="0" fontId="1" fillId="53" borderId="115" xfId="912" applyNumberFormat="1" applyFont="1" applyFill="1" applyBorder="1"/>
    <xf numFmtId="0" fontId="38" fillId="53" borderId="40" xfId="912" applyNumberFormat="1" applyFont="1" applyFill="1" applyBorder="1" applyAlignment="1">
      <alignment vertical="center"/>
    </xf>
    <xf numFmtId="49" fontId="32" fillId="53" borderId="32" xfId="912" applyNumberFormat="1" applyFont="1" applyFill="1" applyBorder="1"/>
    <xf numFmtId="49" fontId="38" fillId="53" borderId="32" xfId="912" applyNumberFormat="1" applyFont="1" applyFill="1" applyBorder="1"/>
    <xf numFmtId="1" fontId="38" fillId="8" borderId="0" xfId="912" applyNumberFormat="1" applyFont="1" applyFill="1" applyAlignment="1" applyProtection="1">
      <alignment vertical="center"/>
    </xf>
    <xf numFmtId="0" fontId="38" fillId="8" borderId="0" xfId="912" applyFont="1" applyFill="1" applyAlignment="1" applyProtection="1">
      <alignment vertical="center"/>
    </xf>
    <xf numFmtId="49" fontId="114" fillId="53" borderId="203" xfId="912" applyNumberFormat="1" applyFont="1" applyFill="1" applyBorder="1" applyAlignment="1">
      <alignment vertical="center" wrapText="1"/>
    </xf>
    <xf numFmtId="49" fontId="114" fillId="53" borderId="31" xfId="912" applyNumberFormat="1" applyFont="1" applyFill="1" applyBorder="1" applyAlignment="1">
      <alignment vertical="center" wrapText="1"/>
    </xf>
    <xf numFmtId="0" fontId="114" fillId="53" borderId="204" xfId="912" applyFont="1" applyFill="1" applyBorder="1" applyAlignment="1">
      <alignment vertical="center" wrapText="1"/>
    </xf>
    <xf numFmtId="0" fontId="114" fillId="53" borderId="202" xfId="912" applyFont="1" applyFill="1" applyBorder="1" applyAlignment="1">
      <alignment vertical="center" wrapText="1"/>
    </xf>
    <xf numFmtId="0" fontId="6" fillId="0" borderId="94" xfId="912" applyNumberFormat="1" applyFont="1" applyBorder="1" applyAlignment="1">
      <alignment horizontal="center"/>
    </xf>
    <xf numFmtId="0" fontId="112" fillId="0" borderId="109" xfId="912" applyNumberFormat="1" applyFont="1" applyBorder="1" applyAlignment="1"/>
    <xf numFmtId="0" fontId="6" fillId="0" borderId="106" xfId="912" applyNumberFormat="1" applyFont="1" applyBorder="1" applyAlignment="1"/>
    <xf numFmtId="0" fontId="112" fillId="0" borderId="106" xfId="912" applyNumberFormat="1" applyFont="1" applyBorder="1" applyAlignment="1"/>
    <xf numFmtId="0" fontId="112" fillId="0" borderId="94" xfId="912" applyNumberFormat="1" applyFont="1" applyBorder="1" applyAlignment="1"/>
    <xf numFmtId="197" fontId="6" fillId="0" borderId="106" xfId="912" applyNumberFormat="1" applyFont="1" applyBorder="1" applyAlignment="1">
      <alignment horizontal="center" vertical="center"/>
    </xf>
    <xf numFmtId="0" fontId="6" fillId="0" borderId="106" xfId="912" applyNumberFormat="1" applyFont="1" applyBorder="1" applyAlignment="1">
      <alignment vertical="center"/>
    </xf>
    <xf numFmtId="0" fontId="6" fillId="0" borderId="94" xfId="912" applyNumberFormat="1" applyFont="1" applyBorder="1" applyAlignment="1">
      <alignment vertical="center"/>
    </xf>
    <xf numFmtId="0" fontId="6" fillId="0" borderId="106" xfId="912" applyNumberFormat="1" applyFont="1" applyBorder="1" applyAlignment="1">
      <alignment vertical="top"/>
    </xf>
    <xf numFmtId="0" fontId="6" fillId="0" borderId="105" xfId="912" applyNumberFormat="1" applyFont="1" applyBorder="1" applyAlignment="1">
      <alignment horizontal="center" vertical="top"/>
    </xf>
    <xf numFmtId="1" fontId="6" fillId="0" borderId="105" xfId="912" applyNumberFormat="1" applyFont="1" applyBorder="1" applyAlignment="1">
      <alignment horizontal="center" vertical="top"/>
    </xf>
    <xf numFmtId="1" fontId="6" fillId="0" borderId="106" xfId="912" applyNumberFormat="1" applyFont="1" applyBorder="1" applyAlignment="1">
      <alignment horizontal="center" vertical="top"/>
    </xf>
    <xf numFmtId="0" fontId="6" fillId="0" borderId="94" xfId="912" applyNumberFormat="1" applyFont="1" applyBorder="1" applyAlignment="1">
      <alignment horizontal="center" vertical="top"/>
    </xf>
    <xf numFmtId="0" fontId="32" fillId="0" borderId="106" xfId="912" applyNumberFormat="1" applyFont="1" applyBorder="1" applyAlignment="1">
      <alignment vertical="top"/>
    </xf>
    <xf numFmtId="0" fontId="32" fillId="0" borderId="106" xfId="912" applyNumberFormat="1" applyFont="1" applyBorder="1" applyAlignment="1">
      <alignment horizontal="center" vertical="top"/>
    </xf>
    <xf numFmtId="0" fontId="6" fillId="0" borderId="94" xfId="912" applyNumberFormat="1" applyFont="1" applyBorder="1" applyAlignment="1">
      <alignment horizontal="left" vertical="top"/>
    </xf>
    <xf numFmtId="177" fontId="6" fillId="0" borderId="108" xfId="912" applyNumberFormat="1" applyFont="1" applyBorder="1" applyAlignment="1">
      <alignment horizontal="right" vertical="top" indent="1"/>
    </xf>
    <xf numFmtId="0" fontId="38" fillId="0" borderId="39" xfId="912" applyNumberFormat="1" applyFont="1" applyBorder="1" applyAlignment="1">
      <alignment vertical="top"/>
    </xf>
    <xf numFmtId="0" fontId="6" fillId="63" borderId="94" xfId="912" applyNumberFormat="1" applyFont="1" applyFill="1" applyBorder="1" applyAlignment="1">
      <alignment horizontal="center"/>
    </xf>
    <xf numFmtId="0" fontId="112" fillId="63" borderId="109" xfId="912" applyNumberFormat="1" applyFont="1" applyFill="1" applyBorder="1" applyAlignment="1"/>
    <xf numFmtId="0" fontId="6" fillId="63" borderId="106" xfId="912" applyNumberFormat="1" applyFont="1" applyFill="1" applyBorder="1" applyAlignment="1"/>
    <xf numFmtId="0" fontId="112" fillId="63" borderId="106" xfId="912" applyNumberFormat="1" applyFont="1" applyFill="1" applyBorder="1" applyAlignment="1"/>
    <xf numFmtId="0" fontId="112" fillId="63" borderId="94" xfId="912" applyNumberFormat="1" applyFont="1" applyFill="1" applyBorder="1" applyAlignment="1"/>
    <xf numFmtId="197" fontId="6" fillId="63" borderId="106" xfId="912" applyNumberFormat="1" applyFont="1" applyFill="1" applyBorder="1" applyAlignment="1">
      <alignment horizontal="center" vertical="center"/>
    </xf>
    <xf numFmtId="0" fontId="6" fillId="63" borderId="106" xfId="912" applyNumberFormat="1" applyFont="1" applyFill="1" applyBorder="1" applyAlignment="1">
      <alignment vertical="center"/>
    </xf>
    <xf numFmtId="0" fontId="6" fillId="63" borderId="94" xfId="912" applyNumberFormat="1" applyFont="1" applyFill="1" applyBorder="1" applyAlignment="1">
      <alignment vertical="center"/>
    </xf>
    <xf numFmtId="0" fontId="6" fillId="63" borderId="106" xfId="912" applyNumberFormat="1" applyFont="1" applyFill="1" applyBorder="1" applyAlignment="1">
      <alignment vertical="top"/>
    </xf>
    <xf numFmtId="0" fontId="6" fillId="63" borderId="105" xfId="912" applyNumberFormat="1" applyFont="1" applyFill="1" applyBorder="1" applyAlignment="1">
      <alignment horizontal="center" vertical="top"/>
    </xf>
    <xf numFmtId="1" fontId="6" fillId="63" borderId="105" xfId="912" applyNumberFormat="1" applyFont="1" applyFill="1" applyBorder="1" applyAlignment="1">
      <alignment horizontal="center" vertical="top"/>
    </xf>
    <xf numFmtId="1" fontId="6" fillId="63" borderId="106" xfId="912" applyNumberFormat="1" applyFont="1" applyFill="1" applyBorder="1" applyAlignment="1">
      <alignment horizontal="center" vertical="top"/>
    </xf>
    <xf numFmtId="0" fontId="6" fillId="63" borderId="94" xfId="912" applyNumberFormat="1" applyFont="1" applyFill="1" applyBorder="1" applyAlignment="1">
      <alignment horizontal="center" vertical="top"/>
    </xf>
    <xf numFmtId="0" fontId="32" fillId="63" borderId="106" xfId="912" applyNumberFormat="1" applyFont="1" applyFill="1" applyBorder="1" applyAlignment="1">
      <alignment vertical="top"/>
    </xf>
    <xf numFmtId="0" fontId="32" fillId="63" borderId="106" xfId="912" applyNumberFormat="1" applyFont="1" applyFill="1" applyBorder="1" applyAlignment="1">
      <alignment horizontal="center" vertical="top"/>
    </xf>
    <xf numFmtId="0" fontId="6" fillId="63" borderId="94" xfId="912" applyNumberFormat="1" applyFont="1" applyFill="1" applyBorder="1" applyAlignment="1">
      <alignment horizontal="left" vertical="top"/>
    </xf>
    <xf numFmtId="177" fontId="6" fillId="63" borderId="108" xfId="912" applyNumberFormat="1" applyFont="1" applyFill="1" applyBorder="1" applyAlignment="1">
      <alignment horizontal="right" vertical="top" indent="1"/>
    </xf>
    <xf numFmtId="0" fontId="38" fillId="63" borderId="39" xfId="912" applyNumberFormat="1" applyFont="1" applyFill="1" applyBorder="1" applyAlignment="1">
      <alignment vertical="top"/>
    </xf>
    <xf numFmtId="0" fontId="93" fillId="0" borderId="106" xfId="912" applyNumberFormat="1" applyFont="1" applyBorder="1" applyAlignment="1">
      <alignment vertical="center" wrapText="1"/>
    </xf>
    <xf numFmtId="0" fontId="93" fillId="0" borderId="94" xfId="912" applyNumberFormat="1" applyFont="1" applyBorder="1" applyAlignment="1">
      <alignment vertical="center" wrapText="1"/>
    </xf>
    <xf numFmtId="1" fontId="38" fillId="0" borderId="105" xfId="912" applyNumberFormat="1" applyFont="1" applyBorder="1" applyAlignment="1">
      <alignment horizontal="center" vertical="top"/>
    </xf>
    <xf numFmtId="1" fontId="38" fillId="0" borderId="106" xfId="912" applyNumberFormat="1" applyFont="1" applyBorder="1" applyAlignment="1">
      <alignment horizontal="center" vertical="top"/>
    </xf>
    <xf numFmtId="0" fontId="92" fillId="63" borderId="106" xfId="912" applyNumberFormat="1" applyFont="1" applyFill="1" applyBorder="1" applyAlignment="1">
      <alignment vertical="top"/>
    </xf>
    <xf numFmtId="1" fontId="38" fillId="63" borderId="105" xfId="912" applyNumberFormat="1" applyFont="1" applyFill="1" applyBorder="1" applyAlignment="1">
      <alignment horizontal="center" vertical="top"/>
    </xf>
    <xf numFmtId="1" fontId="38" fillId="63" borderId="106" xfId="912" applyNumberFormat="1" applyFont="1" applyFill="1" applyBorder="1" applyAlignment="1">
      <alignment horizontal="center" vertical="top"/>
    </xf>
    <xf numFmtId="0" fontId="92" fillId="0" borderId="106" xfId="912" applyNumberFormat="1" applyFont="1" applyBorder="1" applyAlignment="1">
      <alignment vertical="top"/>
    </xf>
    <xf numFmtId="0" fontId="6" fillId="63" borderId="106" xfId="912" applyNumberFormat="1" applyFont="1" applyFill="1" applyBorder="1" applyAlignment="1">
      <alignment horizontal="center" vertical="top"/>
    </xf>
    <xf numFmtId="197" fontId="6" fillId="0" borderId="106" xfId="912" applyNumberFormat="1" applyFont="1" applyBorder="1" applyAlignment="1">
      <alignment horizontal="center"/>
    </xf>
    <xf numFmtId="0" fontId="6" fillId="0" borderId="106" xfId="912" applyNumberFormat="1" applyFont="1" applyBorder="1" applyAlignment="1">
      <alignment horizontal="center" vertical="top"/>
    </xf>
    <xf numFmtId="197" fontId="6" fillId="63" borderId="106" xfId="912" applyNumberFormat="1" applyFont="1" applyFill="1" applyBorder="1" applyAlignment="1">
      <alignment horizontal="center"/>
    </xf>
    <xf numFmtId="0" fontId="112" fillId="0" borderId="106" xfId="912" applyNumberFormat="1" applyFont="1" applyBorder="1" applyAlignment="1">
      <alignment horizontal="left" vertical="center"/>
    </xf>
    <xf numFmtId="0" fontId="112" fillId="0" borderId="106" xfId="912" applyNumberFormat="1" applyFont="1" applyBorder="1" applyAlignment="1">
      <alignment vertical="center"/>
    </xf>
    <xf numFmtId="0" fontId="112" fillId="0" borderId="94" xfId="912" applyNumberFormat="1" applyFont="1" applyBorder="1" applyAlignment="1">
      <alignment horizontal="left" vertical="center"/>
    </xf>
    <xf numFmtId="0" fontId="112" fillId="63" borderId="106" xfId="912" applyNumberFormat="1" applyFont="1" applyFill="1" applyBorder="1" applyAlignment="1">
      <alignment horizontal="left" vertical="center"/>
    </xf>
    <xf numFmtId="0" fontId="112" fillId="63" borderId="106" xfId="912" applyNumberFormat="1" applyFont="1" applyFill="1" applyBorder="1" applyAlignment="1">
      <alignment vertical="center"/>
    </xf>
    <xf numFmtId="0" fontId="112" fillId="63" borderId="94" xfId="912" applyNumberFormat="1" applyFont="1" applyFill="1" applyBorder="1" applyAlignment="1">
      <alignment horizontal="left" vertical="center"/>
    </xf>
    <xf numFmtId="0" fontId="1" fillId="0" borderId="94" xfId="912" applyNumberFormat="1" applyFont="1" applyBorder="1" applyAlignment="1">
      <alignment horizontal="left" vertical="top"/>
    </xf>
    <xf numFmtId="177" fontId="6" fillId="55" borderId="108" xfId="912" applyNumberFormat="1" applyFont="1" applyFill="1" applyBorder="1" applyAlignment="1">
      <alignment horizontal="right" vertical="top" indent="1"/>
    </xf>
    <xf numFmtId="0" fontId="38" fillId="55" borderId="39" xfId="912" applyNumberFormat="1" applyFont="1" applyFill="1" applyBorder="1" applyAlignment="1">
      <alignment vertical="top"/>
    </xf>
    <xf numFmtId="0" fontId="33" fillId="0" borderId="94" xfId="912" applyNumberFormat="1" applyFont="1" applyBorder="1" applyAlignment="1">
      <alignment horizontal="center" vertical="top"/>
    </xf>
    <xf numFmtId="0" fontId="6" fillId="63" borderId="94" xfId="912" applyNumberFormat="1" applyFont="1" applyFill="1" applyBorder="1" applyAlignment="1"/>
    <xf numFmtId="14" fontId="1" fillId="0" borderId="0" xfId="912" applyNumberFormat="1" applyAlignment="1">
      <alignment vertical="center" wrapText="1"/>
    </xf>
    <xf numFmtId="0" fontId="1" fillId="0" borderId="167" xfId="912" applyBorder="1"/>
    <xf numFmtId="0" fontId="1" fillId="16" borderId="167" xfId="912" applyFill="1" applyBorder="1"/>
    <xf numFmtId="0" fontId="1" fillId="16" borderId="122" xfId="912" applyFill="1" applyBorder="1"/>
    <xf numFmtId="0" fontId="1" fillId="16" borderId="168" xfId="912" applyFill="1" applyBorder="1"/>
    <xf numFmtId="0" fontId="91" fillId="20" borderId="167" xfId="912" applyFont="1" applyFill="1" applyBorder="1" applyAlignment="1">
      <alignment horizontal="center"/>
    </xf>
    <xf numFmtId="0" fontId="91" fillId="20" borderId="122" xfId="912" applyFont="1" applyFill="1" applyBorder="1"/>
    <xf numFmtId="0" fontId="91" fillId="20" borderId="168" xfId="912" applyFont="1" applyFill="1" applyBorder="1"/>
    <xf numFmtId="0" fontId="1" fillId="55" borderId="122" xfId="912" applyFill="1" applyBorder="1"/>
    <xf numFmtId="0" fontId="1" fillId="55" borderId="122" xfId="912" applyFill="1" applyBorder="1" applyAlignment="1">
      <alignment vertical="center"/>
    </xf>
    <xf numFmtId="1" fontId="38" fillId="55" borderId="122" xfId="912" applyNumberFormat="1" applyFont="1" applyFill="1" applyBorder="1" applyProtection="1"/>
    <xf numFmtId="0" fontId="38" fillId="55" borderId="122" xfId="912" applyFont="1" applyFill="1" applyBorder="1" applyProtection="1"/>
    <xf numFmtId="0" fontId="38" fillId="55" borderId="122" xfId="912" applyFont="1" applyFill="1" applyBorder="1" applyAlignment="1" applyProtection="1">
      <alignment horizontal="center"/>
    </xf>
    <xf numFmtId="0" fontId="1" fillId="55" borderId="122" xfId="912" applyFill="1" applyBorder="1" applyAlignment="1">
      <alignment horizontal="left"/>
    </xf>
    <xf numFmtId="49" fontId="38" fillId="55" borderId="122" xfId="912" applyNumberFormat="1" applyFont="1" applyFill="1" applyBorder="1" applyProtection="1"/>
    <xf numFmtId="0" fontId="38" fillId="55" borderId="168" xfId="912" applyFont="1" applyFill="1" applyBorder="1" applyProtection="1"/>
    <xf numFmtId="0" fontId="91" fillId="16" borderId="35" xfId="912" applyFont="1" applyFill="1" applyBorder="1" applyAlignment="1">
      <alignment horizontal="center"/>
    </xf>
    <xf numFmtId="0" fontId="91" fillId="16" borderId="0" xfId="912" applyFont="1" applyFill="1" applyBorder="1" applyAlignment="1">
      <alignment horizontal="center"/>
    </xf>
    <xf numFmtId="0" fontId="91" fillId="16" borderId="34" xfId="912" applyFont="1" applyFill="1" applyBorder="1" applyAlignment="1">
      <alignment horizontal="center"/>
    </xf>
    <xf numFmtId="0" fontId="91" fillId="20" borderId="35" xfId="912" applyFont="1" applyFill="1" applyBorder="1" applyAlignment="1">
      <alignment horizontal="center"/>
    </xf>
    <xf numFmtId="0" fontId="7" fillId="20" borderId="0" xfId="912" applyFont="1" applyFill="1" applyBorder="1" applyAlignment="1">
      <alignment horizontal="center"/>
    </xf>
    <xf numFmtId="0" fontId="7" fillId="20" borderId="34" xfId="912" applyFont="1" applyFill="1" applyBorder="1" applyAlignment="1">
      <alignment horizontal="center"/>
    </xf>
    <xf numFmtId="0" fontId="1" fillId="55" borderId="0" xfId="912" applyFill="1" applyBorder="1"/>
    <xf numFmtId="0" fontId="1" fillId="55" borderId="0" xfId="912" applyFill="1" applyBorder="1" applyAlignment="1">
      <alignment vertical="center"/>
    </xf>
    <xf numFmtId="0" fontId="1" fillId="55" borderId="34" xfId="912" applyFill="1" applyBorder="1"/>
    <xf numFmtId="0" fontId="91" fillId="20" borderId="33" xfId="912" applyFont="1" applyFill="1" applyBorder="1" applyAlignment="1">
      <alignment horizontal="center"/>
    </xf>
    <xf numFmtId="0" fontId="1" fillId="0" borderId="33" xfId="912" applyBorder="1"/>
    <xf numFmtId="0" fontId="1" fillId="55" borderId="31" xfId="912" applyFill="1" applyBorder="1"/>
    <xf numFmtId="0" fontId="1" fillId="55" borderId="31" xfId="912" applyFill="1" applyBorder="1" applyAlignment="1">
      <alignment vertical="center"/>
    </xf>
    <xf numFmtId="0" fontId="1" fillId="55" borderId="32" xfId="912" applyFill="1" applyBorder="1"/>
    <xf numFmtId="0" fontId="142" fillId="73" borderId="167" xfId="912" applyFont="1" applyFill="1" applyBorder="1" applyAlignment="1">
      <alignment vertical="top"/>
    </xf>
    <xf numFmtId="0" fontId="142" fillId="73" borderId="122" xfId="912" applyFont="1" applyFill="1" applyBorder="1" applyAlignment="1">
      <alignment vertical="top"/>
    </xf>
    <xf numFmtId="0" fontId="142" fillId="73" borderId="122" xfId="912" applyFont="1" applyFill="1" applyBorder="1" applyAlignment="1">
      <alignment horizontal="left" vertical="top"/>
    </xf>
    <xf numFmtId="0" fontId="142" fillId="73" borderId="122" xfId="912" applyFont="1" applyFill="1" applyBorder="1" applyAlignment="1" applyProtection="1">
      <alignment vertical="top"/>
    </xf>
    <xf numFmtId="0" fontId="142" fillId="73" borderId="168" xfId="912" applyFont="1" applyFill="1" applyBorder="1" applyAlignment="1" applyProtection="1">
      <alignment vertical="top"/>
    </xf>
    <xf numFmtId="0" fontId="142" fillId="73" borderId="35" xfId="912" applyFont="1" applyFill="1" applyBorder="1" applyAlignment="1">
      <alignment vertical="top"/>
    </xf>
    <xf numFmtId="0" fontId="142" fillId="73" borderId="0" xfId="912" applyFont="1" applyFill="1" applyBorder="1" applyAlignment="1">
      <alignment vertical="top"/>
    </xf>
    <xf numFmtId="0" fontId="142" fillId="73" borderId="0" xfId="912" applyFont="1" applyFill="1" applyBorder="1" applyAlignment="1">
      <alignment horizontal="left" vertical="top"/>
    </xf>
    <xf numFmtId="14" fontId="142" fillId="73" borderId="0" xfId="912" applyNumberFormat="1" applyFont="1" applyFill="1" applyBorder="1" applyAlignment="1">
      <alignment horizontal="left" vertical="top"/>
    </xf>
    <xf numFmtId="0" fontId="142" fillId="73" borderId="34" xfId="912" applyFont="1" applyFill="1" applyBorder="1" applyAlignment="1" applyProtection="1">
      <alignment vertical="top"/>
    </xf>
    <xf numFmtId="49" fontId="114" fillId="73" borderId="34" xfId="912" applyNumberFormat="1" applyFont="1" applyFill="1" applyBorder="1" applyAlignment="1" applyProtection="1">
      <alignment horizontal="right" vertical="top"/>
    </xf>
    <xf numFmtId="0" fontId="114" fillId="73" borderId="33" xfId="912" applyFont="1" applyFill="1" applyBorder="1" applyAlignment="1" applyProtection="1">
      <alignment horizontal="center" vertical="top"/>
    </xf>
    <xf numFmtId="0" fontId="114" fillId="73" borderId="31" xfId="912" applyFont="1" applyFill="1" applyBorder="1" applyAlignment="1" applyProtection="1">
      <alignment horizontal="center" vertical="top"/>
    </xf>
    <xf numFmtId="0" fontId="114" fillId="73" borderId="32" xfId="912" applyFont="1" applyFill="1" applyBorder="1" applyAlignment="1" applyProtection="1">
      <alignment horizontal="left" vertical="top"/>
    </xf>
    <xf numFmtId="0" fontId="117" fillId="67" borderId="207" xfId="912" applyFont="1" applyFill="1" applyBorder="1" applyAlignment="1" applyProtection="1">
      <alignment vertical="top"/>
    </xf>
    <xf numFmtId="0" fontId="117" fillId="67" borderId="85" xfId="912" applyFont="1" applyFill="1" applyBorder="1" applyAlignment="1" applyProtection="1">
      <alignment vertical="top"/>
    </xf>
    <xf numFmtId="0" fontId="117" fillId="67" borderId="85" xfId="912" quotePrefix="1" applyFont="1" applyFill="1" applyBorder="1" applyAlignment="1" applyProtection="1">
      <alignment vertical="top"/>
    </xf>
    <xf numFmtId="0" fontId="147" fillId="67" borderId="85" xfId="912" quotePrefix="1" applyFont="1" applyFill="1" applyBorder="1" applyAlignment="1" applyProtection="1">
      <alignment vertical="top"/>
    </xf>
    <xf numFmtId="0" fontId="6" fillId="67" borderId="85" xfId="912" applyFont="1" applyFill="1" applyBorder="1" applyAlignment="1" applyProtection="1">
      <alignment horizontal="center" vertical="top"/>
    </xf>
    <xf numFmtId="0" fontId="6" fillId="67" borderId="84" xfId="912" applyFont="1" applyFill="1" applyBorder="1" applyAlignment="1" applyProtection="1">
      <alignment horizontal="left" vertical="top" indent="2"/>
    </xf>
    <xf numFmtId="0" fontId="117" fillId="67" borderId="208" xfId="912" applyFont="1" applyFill="1" applyBorder="1" applyAlignment="1" applyProtection="1">
      <alignment vertical="top"/>
    </xf>
    <xf numFmtId="0" fontId="117" fillId="67" borderId="209" xfId="912" applyFont="1" applyFill="1" applyBorder="1" applyAlignment="1" applyProtection="1">
      <alignment vertical="top"/>
    </xf>
    <xf numFmtId="0" fontId="117" fillId="67" borderId="209" xfId="912" quotePrefix="1" applyFont="1" applyFill="1" applyBorder="1" applyAlignment="1" applyProtection="1">
      <alignment vertical="top"/>
    </xf>
    <xf numFmtId="0" fontId="147" fillId="67" borderId="209" xfId="912" quotePrefix="1" applyFont="1" applyFill="1" applyBorder="1" applyAlignment="1" applyProtection="1">
      <alignment vertical="top"/>
    </xf>
    <xf numFmtId="0" fontId="6" fillId="67" borderId="209" xfId="912" applyFont="1" applyFill="1" applyBorder="1" applyAlignment="1" applyProtection="1">
      <alignment horizontal="center" vertical="top"/>
    </xf>
    <xf numFmtId="0" fontId="6" fillId="67" borderId="210" xfId="912" applyFont="1" applyFill="1" applyBorder="1" applyAlignment="1" applyProtection="1">
      <alignment horizontal="left" vertical="top" indent="2"/>
    </xf>
    <xf numFmtId="0" fontId="117" fillId="67" borderId="211" xfId="912" applyFont="1" applyFill="1" applyBorder="1" applyAlignment="1" applyProtection="1">
      <alignment vertical="top"/>
    </xf>
    <xf numFmtId="0" fontId="117" fillId="67" borderId="81" xfId="912" applyFont="1" applyFill="1" applyBorder="1" applyAlignment="1" applyProtection="1">
      <alignment vertical="top"/>
    </xf>
    <xf numFmtId="0" fontId="117" fillId="67" borderId="81" xfId="912" quotePrefix="1" applyFont="1" applyFill="1" applyBorder="1" applyAlignment="1" applyProtection="1">
      <alignment vertical="top"/>
    </xf>
    <xf numFmtId="0" fontId="147" fillId="67" borderId="81" xfId="912" quotePrefix="1" applyFont="1" applyFill="1" applyBorder="1" applyAlignment="1" applyProtection="1">
      <alignment vertical="top"/>
    </xf>
    <xf numFmtId="0" fontId="6" fillId="67" borderId="81" xfId="912" applyFont="1" applyFill="1" applyBorder="1" applyAlignment="1" applyProtection="1">
      <alignment horizontal="center" vertical="top"/>
    </xf>
    <xf numFmtId="0" fontId="6" fillId="67" borderId="80" xfId="912" applyFont="1" applyFill="1" applyBorder="1" applyAlignment="1" applyProtection="1">
      <alignment horizontal="left" vertical="top" indent="2"/>
    </xf>
    <xf numFmtId="0" fontId="6" fillId="67" borderId="211" xfId="912" applyFont="1" applyFill="1" applyBorder="1" applyAlignment="1" applyProtection="1">
      <alignment vertical="top"/>
    </xf>
    <xf numFmtId="0" fontId="6" fillId="67" borderId="81" xfId="912" applyFont="1" applyFill="1" applyBorder="1" applyAlignment="1" applyProtection="1">
      <alignment vertical="top"/>
    </xf>
    <xf numFmtId="0" fontId="6" fillId="67" borderId="81" xfId="912" quotePrefix="1" applyFont="1" applyFill="1" applyBorder="1" applyAlignment="1" applyProtection="1">
      <alignment vertical="top"/>
    </xf>
    <xf numFmtId="0" fontId="7" fillId="67" borderId="81" xfId="912" quotePrefix="1" applyFont="1" applyFill="1" applyBorder="1" applyAlignment="1" applyProtection="1">
      <alignment vertical="top"/>
    </xf>
    <xf numFmtId="0" fontId="7" fillId="67" borderId="81" xfId="912" applyFont="1" applyFill="1" applyBorder="1" applyAlignment="1" applyProtection="1">
      <alignment horizontal="center" vertical="top"/>
    </xf>
    <xf numFmtId="0" fontId="117" fillId="67" borderId="212" xfId="912" applyFont="1" applyFill="1" applyBorder="1" applyAlignment="1" applyProtection="1">
      <alignment vertical="top"/>
    </xf>
    <xf numFmtId="0" fontId="117" fillId="67" borderId="77" xfId="912" applyFont="1" applyFill="1" applyBorder="1" applyAlignment="1" applyProtection="1">
      <alignment vertical="top"/>
    </xf>
    <xf numFmtId="0" fontId="117" fillId="67" borderId="77" xfId="912" quotePrefix="1" applyFont="1" applyFill="1" applyBorder="1" applyAlignment="1" applyProtection="1">
      <alignment vertical="top"/>
    </xf>
    <xf numFmtId="0" fontId="147" fillId="67" borderId="77" xfId="912" quotePrefix="1" applyFont="1" applyFill="1" applyBorder="1" applyAlignment="1" applyProtection="1">
      <alignment vertical="top"/>
    </xf>
    <xf numFmtId="0" fontId="32" fillId="20" borderId="37" xfId="912" quotePrefix="1" applyFont="1" applyFill="1" applyBorder="1" applyAlignment="1" applyProtection="1">
      <alignment horizontal="center" vertical="center"/>
    </xf>
    <xf numFmtId="0" fontId="6" fillId="67" borderId="76" xfId="912" applyFont="1" applyFill="1" applyBorder="1" applyAlignment="1" applyProtection="1">
      <alignment vertical="top"/>
    </xf>
    <xf numFmtId="0" fontId="116" fillId="68" borderId="193" xfId="912" applyFont="1" applyFill="1" applyBorder="1" applyProtection="1"/>
    <xf numFmtId="0" fontId="94" fillId="68" borderId="74" xfId="912" applyFont="1" applyFill="1" applyBorder="1"/>
    <xf numFmtId="0" fontId="116" fillId="68" borderId="74" xfId="912" applyFont="1" applyFill="1" applyBorder="1" applyProtection="1"/>
    <xf numFmtId="0" fontId="115" fillId="68" borderId="73" xfId="912" applyFont="1" applyFill="1" applyBorder="1" applyProtection="1"/>
    <xf numFmtId="0" fontId="38" fillId="13" borderId="35" xfId="912" applyFont="1" applyFill="1" applyBorder="1" applyAlignment="1" applyProtection="1">
      <alignment vertical="top"/>
    </xf>
    <xf numFmtId="0" fontId="38" fillId="13" borderId="0" xfId="912" applyFont="1" applyFill="1" applyBorder="1" applyAlignment="1" applyProtection="1">
      <alignment vertical="top"/>
    </xf>
    <xf numFmtId="0" fontId="103" fillId="13" borderId="0" xfId="912" quotePrefix="1" applyFont="1" applyFill="1" applyBorder="1" applyAlignment="1" applyProtection="1">
      <alignment vertical="top"/>
    </xf>
    <xf numFmtId="0" fontId="37" fillId="13" borderId="0" xfId="912" quotePrefix="1" applyFont="1" applyFill="1" applyBorder="1" applyAlignment="1" applyProtection="1">
      <alignment vertical="top"/>
    </xf>
    <xf numFmtId="0" fontId="6" fillId="13" borderId="0" xfId="912" quotePrefix="1" applyFont="1" applyFill="1" applyBorder="1" applyAlignment="1" applyProtection="1">
      <alignment horizontal="center" vertical="top"/>
    </xf>
    <xf numFmtId="0" fontId="100" fillId="13" borderId="34" xfId="912" applyFont="1" applyFill="1" applyBorder="1" applyAlignment="1" applyProtection="1">
      <alignment horizontal="left" vertical="top" indent="2"/>
    </xf>
    <xf numFmtId="0" fontId="104" fillId="20" borderId="92" xfId="912" applyFont="1" applyFill="1" applyBorder="1" applyAlignment="1" applyProtection="1">
      <alignment vertical="top"/>
    </xf>
    <xf numFmtId="0" fontId="104" fillId="20" borderId="99" xfId="912" applyFont="1" applyFill="1" applyBorder="1" applyAlignment="1" applyProtection="1">
      <alignment vertical="top"/>
    </xf>
    <xf numFmtId="0" fontId="104" fillId="20" borderId="66" xfId="912" quotePrefix="1" applyFont="1" applyFill="1" applyBorder="1" applyAlignment="1" applyProtection="1">
      <alignment vertical="top"/>
    </xf>
    <xf numFmtId="0" fontId="37" fillId="20" borderId="37" xfId="912" quotePrefix="1" applyFont="1" applyFill="1" applyBorder="1" applyAlignment="1" applyProtection="1">
      <alignment vertical="top"/>
    </xf>
    <xf numFmtId="0" fontId="6" fillId="20" borderId="65" xfId="912" applyFont="1" applyFill="1" applyBorder="1" applyAlignment="1" applyProtection="1">
      <alignment vertical="top"/>
    </xf>
    <xf numFmtId="0" fontId="94" fillId="68" borderId="213" xfId="912" applyFont="1" applyFill="1" applyBorder="1"/>
    <xf numFmtId="0" fontId="94" fillId="68" borderId="214" xfId="912" applyFont="1" applyFill="1" applyBorder="1"/>
    <xf numFmtId="0" fontId="116" fillId="68" borderId="214" xfId="912" applyFont="1" applyFill="1" applyBorder="1" applyProtection="1"/>
    <xf numFmtId="0" fontId="115" fillId="68" borderId="215" xfId="912" applyFont="1" applyFill="1" applyBorder="1" applyProtection="1"/>
    <xf numFmtId="0" fontId="104" fillId="20" borderId="86" xfId="912" applyFont="1" applyFill="1" applyBorder="1" applyAlignment="1" applyProtection="1">
      <alignment vertical="top"/>
    </xf>
    <xf numFmtId="0" fontId="104" fillId="20" borderId="72" xfId="912" applyFont="1" applyFill="1" applyBorder="1" applyAlignment="1" applyProtection="1">
      <alignment vertical="top"/>
    </xf>
    <xf numFmtId="0" fontId="148" fillId="20" borderId="216" xfId="912" quotePrefix="1" applyFont="1" applyFill="1" applyBorder="1" applyAlignment="1" applyProtection="1">
      <alignment vertical="top"/>
    </xf>
    <xf numFmtId="0" fontId="37" fillId="20" borderId="157" xfId="912" quotePrefix="1" applyFont="1" applyFill="1" applyBorder="1" applyAlignment="1" applyProtection="1">
      <alignment vertical="top"/>
    </xf>
    <xf numFmtId="0" fontId="32" fillId="20" borderId="157" xfId="912" quotePrefix="1" applyFont="1" applyFill="1" applyBorder="1" applyAlignment="1" applyProtection="1">
      <alignment horizontal="center" vertical="center"/>
    </xf>
    <xf numFmtId="0" fontId="6" fillId="20" borderId="89" xfId="912" applyFont="1" applyFill="1" applyBorder="1" applyAlignment="1" applyProtection="1">
      <alignment vertical="top"/>
    </xf>
    <xf numFmtId="0" fontId="37" fillId="20" borderId="217" xfId="912" applyFont="1" applyFill="1" applyBorder="1" applyAlignment="1" applyProtection="1">
      <alignment vertical="top"/>
    </xf>
    <xf numFmtId="0" fontId="37" fillId="20" borderId="218" xfId="912" applyFont="1" applyFill="1" applyBorder="1" applyAlignment="1" applyProtection="1">
      <alignment vertical="top"/>
    </xf>
    <xf numFmtId="0" fontId="37" fillId="20" borderId="219" xfId="912" quotePrefix="1" applyFont="1" applyFill="1" applyBorder="1" applyAlignment="1" applyProtection="1">
      <alignment horizontal="left" vertical="top"/>
    </xf>
    <xf numFmtId="0" fontId="37" fillId="20" borderId="218" xfId="912" quotePrefix="1" applyFont="1" applyFill="1" applyBorder="1" applyAlignment="1" applyProtection="1">
      <alignment vertical="top"/>
    </xf>
    <xf numFmtId="0" fontId="6" fillId="20" borderId="218" xfId="912" applyFont="1" applyFill="1" applyBorder="1" applyAlignment="1" applyProtection="1">
      <alignment horizontal="center" vertical="top"/>
    </xf>
    <xf numFmtId="0" fontId="6" fillId="20" borderId="220" xfId="912" applyFont="1" applyFill="1" applyBorder="1" applyAlignment="1" applyProtection="1">
      <alignment horizontal="left" vertical="top" indent="2"/>
    </xf>
    <xf numFmtId="0" fontId="37" fillId="20" borderId="221" xfId="912" applyFont="1" applyFill="1" applyBorder="1" applyAlignment="1" applyProtection="1">
      <alignment vertical="top"/>
    </xf>
    <xf numFmtId="0" fontId="37" fillId="20" borderId="222" xfId="912" applyFont="1" applyFill="1" applyBorder="1" applyAlignment="1" applyProtection="1">
      <alignment vertical="top"/>
    </xf>
    <xf numFmtId="0" fontId="37" fillId="20" borderId="222" xfId="912" quotePrefix="1" applyFont="1" applyFill="1" applyBorder="1" applyAlignment="1" applyProtection="1">
      <alignment vertical="top"/>
    </xf>
    <xf numFmtId="0" fontId="6" fillId="20" borderId="222" xfId="912" applyFont="1" applyFill="1" applyBorder="1" applyAlignment="1" applyProtection="1">
      <alignment horizontal="center" vertical="top"/>
    </xf>
    <xf numFmtId="0" fontId="6" fillId="20" borderId="223" xfId="912" applyFont="1" applyFill="1" applyBorder="1" applyAlignment="1" applyProtection="1">
      <alignment horizontal="left" vertical="top" indent="2"/>
    </xf>
    <xf numFmtId="0" fontId="37" fillId="20" borderId="82" xfId="912" applyFont="1" applyFill="1" applyBorder="1" applyAlignment="1" applyProtection="1">
      <alignment vertical="top"/>
    </xf>
    <xf numFmtId="0" fontId="37" fillId="20" borderId="37" xfId="912" applyFont="1" applyFill="1" applyBorder="1" applyAlignment="1" applyProtection="1">
      <alignment vertical="top"/>
    </xf>
    <xf numFmtId="0" fontId="6" fillId="20" borderId="37" xfId="912" applyFont="1" applyFill="1" applyBorder="1" applyAlignment="1" applyProtection="1">
      <alignment horizontal="center" vertical="top"/>
    </xf>
    <xf numFmtId="0" fontId="6" fillId="20" borderId="65" xfId="912" applyFont="1" applyFill="1" applyBorder="1" applyAlignment="1" applyProtection="1">
      <alignment horizontal="left" vertical="top" indent="2"/>
    </xf>
    <xf numFmtId="0" fontId="37" fillId="20" borderId="196" xfId="912" applyFont="1" applyFill="1" applyBorder="1" applyAlignment="1" applyProtection="1">
      <alignment vertical="top"/>
    </xf>
    <xf numFmtId="0" fontId="37" fillId="20" borderId="78" xfId="912" applyFont="1" applyFill="1" applyBorder="1" applyAlignment="1" applyProtection="1">
      <alignment vertical="top"/>
    </xf>
    <xf numFmtId="0" fontId="37" fillId="20" borderId="78" xfId="912" quotePrefix="1" applyFont="1" applyFill="1" applyBorder="1" applyAlignment="1" applyProtection="1">
      <alignment vertical="top"/>
    </xf>
    <xf numFmtId="0" fontId="6" fillId="20" borderId="78" xfId="912" applyFont="1" applyFill="1" applyBorder="1" applyAlignment="1" applyProtection="1">
      <alignment horizontal="center" vertical="top"/>
    </xf>
    <xf numFmtId="0" fontId="6" fillId="20" borderId="91" xfId="912" applyFont="1" applyFill="1" applyBorder="1" applyAlignment="1" applyProtection="1">
      <alignment horizontal="left" vertical="top" indent="2"/>
    </xf>
    <xf numFmtId="0" fontId="38" fillId="20" borderId="224" xfId="912" applyFont="1" applyFill="1" applyBorder="1" applyAlignment="1" applyProtection="1">
      <alignment vertical="top"/>
    </xf>
    <xf numFmtId="0" fontId="38" fillId="20" borderId="132" xfId="912" applyFont="1" applyFill="1" applyBorder="1" applyAlignment="1" applyProtection="1">
      <alignment vertical="top"/>
    </xf>
    <xf numFmtId="0" fontId="37" fillId="20" borderId="225" xfId="912" quotePrefix="1" applyFont="1" applyFill="1" applyBorder="1" applyAlignment="1" applyProtection="1">
      <alignment vertical="top"/>
    </xf>
    <xf numFmtId="0" fontId="37" fillId="20" borderId="226" xfId="912" quotePrefix="1" applyFont="1" applyFill="1" applyBorder="1" applyAlignment="1" applyProtection="1">
      <alignment horizontal="left" vertical="top"/>
    </xf>
    <xf numFmtId="0" fontId="6" fillId="20" borderId="226" xfId="912" quotePrefix="1" applyFont="1" applyFill="1" applyBorder="1" applyAlignment="1" applyProtection="1">
      <alignment horizontal="center" vertical="top"/>
    </xf>
    <xf numFmtId="0" fontId="6" fillId="20" borderId="227" xfId="912" applyFont="1" applyFill="1" applyBorder="1" applyAlignment="1" applyProtection="1">
      <alignment vertical="top"/>
    </xf>
    <xf numFmtId="0" fontId="38" fillId="20" borderId="228" xfId="912" applyFont="1" applyFill="1" applyBorder="1" applyAlignment="1" applyProtection="1">
      <alignment vertical="top"/>
    </xf>
    <xf numFmtId="0" fontId="38" fillId="20" borderId="229" xfId="912" applyFont="1" applyFill="1" applyBorder="1" applyAlignment="1" applyProtection="1">
      <alignment vertical="top"/>
    </xf>
    <xf numFmtId="0" fontId="38" fillId="20" borderId="230" xfId="912" applyFont="1" applyFill="1" applyBorder="1" applyAlignment="1" applyProtection="1">
      <alignment vertical="top"/>
    </xf>
    <xf numFmtId="0" fontId="37" fillId="20" borderId="231" xfId="912" quotePrefix="1" applyFont="1" applyFill="1" applyBorder="1" applyAlignment="1" applyProtection="1">
      <alignment horizontal="left" vertical="top"/>
    </xf>
    <xf numFmtId="0" fontId="6" fillId="20" borderId="231" xfId="912" applyFont="1" applyFill="1" applyBorder="1" applyAlignment="1" applyProtection="1">
      <alignment horizontal="center" vertical="top"/>
    </xf>
    <xf numFmtId="0" fontId="6" fillId="20" borderId="232" xfId="912" applyFont="1" applyFill="1" applyBorder="1" applyAlignment="1" applyProtection="1">
      <alignment vertical="top"/>
    </xf>
    <xf numFmtId="0" fontId="94" fillId="87" borderId="213" xfId="912" applyFont="1" applyFill="1" applyBorder="1"/>
    <xf numFmtId="0" fontId="94" fillId="87" borderId="214" xfId="912" applyFont="1" applyFill="1" applyBorder="1"/>
    <xf numFmtId="0" fontId="116" fillId="87" borderId="214" xfId="912" applyFont="1" applyFill="1" applyBorder="1" applyProtection="1"/>
    <xf numFmtId="0" fontId="115" fillId="87" borderId="215" xfId="912" applyFont="1" applyFill="1" applyBorder="1" applyProtection="1"/>
    <xf numFmtId="0" fontId="38" fillId="20" borderId="35" xfId="912" applyFont="1" applyFill="1" applyBorder="1" applyAlignment="1" applyProtection="1">
      <alignment vertical="top"/>
    </xf>
    <xf numFmtId="0" fontId="38" fillId="20" borderId="0" xfId="912" applyFont="1" applyFill="1" applyBorder="1" applyAlignment="1" applyProtection="1">
      <alignment vertical="top"/>
    </xf>
    <xf numFmtId="0" fontId="103" fillId="20" borderId="205" xfId="912" quotePrefix="1" applyFont="1" applyFill="1" applyBorder="1" applyAlignment="1" applyProtection="1">
      <alignment vertical="top"/>
    </xf>
    <xf numFmtId="0" fontId="37" fillId="20" borderId="233" xfId="912" quotePrefix="1" applyFont="1" applyFill="1" applyBorder="1" applyAlignment="1" applyProtection="1">
      <alignment vertical="top"/>
    </xf>
    <xf numFmtId="0" fontId="6" fillId="20" borderId="233" xfId="912" quotePrefix="1" applyFont="1" applyFill="1" applyBorder="1" applyAlignment="1" applyProtection="1">
      <alignment horizontal="center" vertical="top"/>
    </xf>
    <xf numFmtId="0" fontId="100" fillId="20" borderId="102" xfId="912" applyFont="1" applyFill="1" applyBorder="1" applyAlignment="1" applyProtection="1">
      <alignment horizontal="left" vertical="top" indent="2"/>
    </xf>
    <xf numFmtId="0" fontId="37" fillId="20" borderId="0" xfId="912" quotePrefix="1" applyFont="1" applyFill="1" applyBorder="1" applyAlignment="1" applyProtection="1">
      <alignment horizontal="left" vertical="top" indent="1"/>
    </xf>
    <xf numFmtId="0" fontId="37" fillId="20" borderId="205" xfId="912" quotePrefix="1" applyFont="1" applyFill="1" applyBorder="1" applyAlignment="1" applyProtection="1">
      <alignment horizontal="left" vertical="top"/>
    </xf>
    <xf numFmtId="0" fontId="7" fillId="20" borderId="233" xfId="912" quotePrefix="1" applyFont="1" applyFill="1" applyBorder="1" applyAlignment="1" applyProtection="1">
      <alignment horizontal="center" vertical="top"/>
    </xf>
    <xf numFmtId="0" fontId="149" fillId="20" borderId="102" xfId="912" applyFont="1" applyFill="1" applyBorder="1" applyAlignment="1" applyProtection="1">
      <alignment horizontal="left" vertical="top" indent="1"/>
    </xf>
    <xf numFmtId="0" fontId="38" fillId="20" borderId="167" xfId="912" applyFont="1" applyFill="1" applyBorder="1" applyAlignment="1" applyProtection="1">
      <alignment vertical="top"/>
    </xf>
    <xf numFmtId="0" fontId="38" fillId="20" borderId="122" xfId="912" applyFont="1" applyFill="1" applyBorder="1" applyAlignment="1" applyProtection="1">
      <alignment vertical="top"/>
    </xf>
    <xf numFmtId="0" fontId="37" fillId="20" borderId="122" xfId="912" quotePrefix="1" applyFont="1" applyFill="1" applyBorder="1" applyAlignment="1" applyProtection="1">
      <alignment horizontal="left" vertical="top" indent="1"/>
    </xf>
    <xf numFmtId="0" fontId="37" fillId="20" borderId="219" xfId="912" quotePrefix="1" applyFont="1" applyFill="1" applyBorder="1" applyAlignment="1" applyProtection="1">
      <alignment horizontal="center" vertical="top"/>
    </xf>
    <xf numFmtId="0" fontId="100" fillId="20" borderId="220" xfId="912" applyFont="1" applyFill="1" applyBorder="1" applyAlignment="1" applyProtection="1">
      <alignment horizontal="left" vertical="top" indent="2"/>
    </xf>
    <xf numFmtId="0" fontId="37" fillId="20" borderId="205" xfId="912" quotePrefix="1" applyFont="1" applyFill="1" applyBorder="1" applyAlignment="1" applyProtection="1">
      <alignment vertical="top"/>
    </xf>
    <xf numFmtId="0" fontId="37" fillId="20" borderId="205" xfId="912" quotePrefix="1" applyFont="1" applyFill="1" applyBorder="1" applyAlignment="1" applyProtection="1">
      <alignment horizontal="center" vertical="top"/>
    </xf>
    <xf numFmtId="0" fontId="150" fillId="20" borderId="205" xfId="912" applyFont="1" applyFill="1" applyBorder="1" applyAlignment="1" applyProtection="1">
      <alignment horizontal="left" vertical="top" indent="3"/>
    </xf>
    <xf numFmtId="0" fontId="151" fillId="20" borderId="233" xfId="912" applyFont="1" applyFill="1" applyBorder="1" applyAlignment="1" applyProtection="1">
      <alignment horizontal="center" vertical="top" wrapText="1"/>
    </xf>
    <xf numFmtId="0" fontId="38" fillId="20" borderId="234" xfId="912" applyFont="1" applyFill="1" applyBorder="1" applyAlignment="1" applyProtection="1">
      <alignment vertical="top"/>
    </xf>
    <xf numFmtId="0" fontId="38" fillId="20" borderId="235" xfId="912" applyFont="1" applyFill="1" applyBorder="1" applyAlignment="1" applyProtection="1">
      <alignment vertical="top"/>
    </xf>
    <xf numFmtId="0" fontId="150" fillId="20" borderId="66" xfId="912" applyFont="1" applyFill="1" applyBorder="1" applyAlignment="1" applyProtection="1">
      <alignment horizontal="left" vertical="top" indent="3"/>
    </xf>
    <xf numFmtId="0" fontId="149" fillId="20" borderId="236" xfId="912" applyFont="1" applyFill="1" applyBorder="1" applyAlignment="1" applyProtection="1">
      <alignment horizontal="left" vertical="top" indent="1"/>
    </xf>
    <xf numFmtId="0" fontId="38" fillId="20" borderId="36" xfId="912" applyFont="1" applyFill="1" applyBorder="1" applyAlignment="1" applyProtection="1">
      <alignment vertical="top"/>
    </xf>
    <xf numFmtId="0" fontId="37" fillId="20" borderId="218" xfId="912" quotePrefix="1" applyFont="1" applyFill="1" applyBorder="1" applyAlignment="1" applyProtection="1">
      <alignment horizontal="left" vertical="top"/>
    </xf>
    <xf numFmtId="0" fontId="6" fillId="20" borderId="218" xfId="912" quotePrefix="1" applyFont="1" applyFill="1" applyBorder="1" applyAlignment="1" applyProtection="1">
      <alignment horizontal="center" vertical="top"/>
    </xf>
    <xf numFmtId="0" fontId="37" fillId="20" borderId="233" xfId="912" quotePrefix="1" applyFont="1" applyFill="1" applyBorder="1" applyAlignment="1" applyProtection="1">
      <alignment horizontal="left" vertical="top"/>
    </xf>
    <xf numFmtId="0" fontId="151" fillId="20" borderId="233" xfId="912" quotePrefix="1" applyFont="1" applyFill="1" applyBorder="1" applyAlignment="1" applyProtection="1">
      <alignment horizontal="left" vertical="top" indent="3"/>
    </xf>
    <xf numFmtId="0" fontId="38" fillId="20" borderId="96" xfId="912" applyFont="1" applyFill="1" applyBorder="1" applyAlignment="1" applyProtection="1">
      <alignment vertical="top"/>
    </xf>
    <xf numFmtId="0" fontId="38" fillId="20" borderId="2" xfId="912" applyFont="1" applyFill="1" applyBorder="1" applyAlignment="1" applyProtection="1">
      <alignment vertical="top"/>
    </xf>
    <xf numFmtId="0" fontId="37" fillId="20" borderId="237" xfId="912" quotePrefix="1" applyFont="1" applyFill="1" applyBorder="1" applyAlignment="1" applyProtection="1">
      <alignment horizontal="left" vertical="top"/>
    </xf>
    <xf numFmtId="0" fontId="37" fillId="20" borderId="238" xfId="912" quotePrefix="1" applyFont="1" applyFill="1" applyBorder="1" applyAlignment="1" applyProtection="1">
      <alignment vertical="top"/>
    </xf>
    <xf numFmtId="0" fontId="6" fillId="20" borderId="238" xfId="912" quotePrefix="1" applyFont="1" applyFill="1" applyBorder="1" applyAlignment="1" applyProtection="1">
      <alignment horizontal="center" vertical="top"/>
    </xf>
    <xf numFmtId="0" fontId="100" fillId="20" borderId="239" xfId="912" applyFont="1" applyFill="1" applyBorder="1" applyAlignment="1" applyProtection="1">
      <alignment horizontal="left" vertical="top" indent="2"/>
    </xf>
    <xf numFmtId="0" fontId="114" fillId="20" borderId="233" xfId="912" quotePrefix="1" applyFont="1" applyFill="1" applyBorder="1" applyAlignment="1" applyProtection="1">
      <alignment horizontal="center" vertical="top"/>
    </xf>
    <xf numFmtId="0" fontId="38" fillId="8" borderId="0" xfId="912" applyFont="1" applyFill="1" applyAlignment="1" applyProtection="1"/>
    <xf numFmtId="0" fontId="1" fillId="0" borderId="0" xfId="912" applyAlignment="1"/>
    <xf numFmtId="0" fontId="38" fillId="20" borderId="35" xfId="912" applyFont="1" applyFill="1" applyBorder="1" applyAlignment="1" applyProtection="1"/>
    <xf numFmtId="0" fontId="38" fillId="20" borderId="0" xfId="912" applyFont="1" applyFill="1" applyBorder="1" applyAlignment="1" applyProtection="1"/>
    <xf numFmtId="0" fontId="37" fillId="20" borderId="205" xfId="912" quotePrefix="1" applyFont="1" applyFill="1" applyBorder="1" applyAlignment="1" applyProtection="1">
      <alignment horizontal="left"/>
    </xf>
    <xf numFmtId="0" fontId="37" fillId="20" borderId="233" xfId="912" quotePrefix="1" applyFont="1" applyFill="1" applyBorder="1" applyAlignment="1" applyProtection="1"/>
    <xf numFmtId="0" fontId="20" fillId="20" borderId="233" xfId="912" quotePrefix="1" applyFont="1" applyFill="1" applyBorder="1" applyAlignment="1" applyProtection="1">
      <alignment horizontal="left"/>
    </xf>
    <xf numFmtId="0" fontId="149" fillId="20" borderId="102" xfId="912" applyFont="1" applyFill="1" applyBorder="1" applyAlignment="1" applyProtection="1">
      <alignment horizontal="left"/>
    </xf>
    <xf numFmtId="0" fontId="38" fillId="20" borderId="240" xfId="912" applyFont="1" applyFill="1" applyBorder="1" applyAlignment="1" applyProtection="1">
      <alignment vertical="top"/>
    </xf>
    <xf numFmtId="0" fontId="38" fillId="20" borderId="241" xfId="912" applyFont="1" applyFill="1" applyBorder="1" applyAlignment="1" applyProtection="1">
      <alignment vertical="top"/>
    </xf>
    <xf numFmtId="0" fontId="37" fillId="20" borderId="242" xfId="912" quotePrefix="1" applyFont="1" applyFill="1" applyBorder="1" applyAlignment="1" applyProtection="1">
      <alignment horizontal="left" vertical="top"/>
    </xf>
    <xf numFmtId="0" fontId="37" fillId="20" borderId="243" xfId="912" quotePrefix="1" applyFont="1" applyFill="1" applyBorder="1" applyAlignment="1" applyProtection="1">
      <alignment vertical="top"/>
    </xf>
    <xf numFmtId="0" fontId="114" fillId="20" borderId="243" xfId="912" quotePrefix="1" applyFont="1" applyFill="1" applyBorder="1" applyAlignment="1" applyProtection="1">
      <alignment horizontal="center" vertical="top"/>
    </xf>
    <xf numFmtId="0" fontId="100" fillId="20" borderId="244" xfId="912" applyFont="1" applyFill="1" applyBorder="1" applyAlignment="1" applyProtection="1">
      <alignment horizontal="left" vertical="top" indent="2"/>
    </xf>
    <xf numFmtId="0" fontId="37" fillId="20" borderId="99" xfId="912" applyFont="1" applyFill="1" applyBorder="1" applyAlignment="1" applyProtection="1">
      <alignment vertical="top"/>
    </xf>
    <xf numFmtId="0" fontId="37" fillId="20" borderId="205" xfId="912" quotePrefix="1" applyFont="1" applyFill="1" applyBorder="1" applyAlignment="1" applyProtection="1">
      <alignment horizontal="center" vertical="center"/>
    </xf>
    <xf numFmtId="0" fontId="100" fillId="20" borderId="102" xfId="912" applyFont="1" applyFill="1" applyBorder="1" applyAlignment="1" applyProtection="1">
      <alignment horizontal="left" vertical="top" indent="4"/>
    </xf>
    <xf numFmtId="14" fontId="6" fillId="20" borderId="233" xfId="912" quotePrefix="1" applyNumberFormat="1" applyFont="1" applyFill="1" applyBorder="1" applyAlignment="1" applyProtection="1">
      <alignment horizontal="center" vertical="top" wrapText="1"/>
    </xf>
    <xf numFmtId="0" fontId="143" fillId="20" borderId="0" xfId="912" applyFont="1" applyFill="1" applyBorder="1" applyAlignment="1" applyProtection="1">
      <alignment vertical="top"/>
    </xf>
    <xf numFmtId="0" fontId="151" fillId="20" borderId="205" xfId="912" quotePrefix="1" applyFont="1" applyFill="1" applyBorder="1" applyAlignment="1" applyProtection="1">
      <alignment horizontal="left" vertical="top"/>
    </xf>
    <xf numFmtId="0" fontId="151" fillId="20" borderId="233" xfId="912" quotePrefix="1" applyFont="1" applyFill="1" applyBorder="1" applyAlignment="1" applyProtection="1">
      <alignment horizontal="left" vertical="top" indent="1"/>
    </xf>
    <xf numFmtId="0" fontId="152" fillId="20" borderId="205" xfId="912" quotePrefix="1" applyFont="1" applyFill="1" applyBorder="1" applyAlignment="1" applyProtection="1">
      <alignment horizontal="left" vertical="top" indent="2"/>
    </xf>
    <xf numFmtId="0" fontId="6" fillId="20" borderId="233" xfId="912" applyFont="1" applyFill="1" applyBorder="1" applyAlignment="1" applyProtection="1">
      <alignment horizontal="center" vertical="top"/>
    </xf>
    <xf numFmtId="0" fontId="100" fillId="20" borderId="102" xfId="912" applyFont="1" applyFill="1" applyBorder="1" applyAlignment="1" applyProtection="1">
      <alignment horizontal="left" vertical="top" indent="1"/>
    </xf>
    <xf numFmtId="0" fontId="37" fillId="20" borderId="96" xfId="912" applyFont="1" applyFill="1" applyBorder="1" applyAlignment="1" applyProtection="1">
      <alignment vertical="top"/>
    </xf>
    <xf numFmtId="0" fontId="37" fillId="20" borderId="2" xfId="912" applyFont="1" applyFill="1" applyBorder="1" applyAlignment="1" applyProtection="1">
      <alignment vertical="top"/>
    </xf>
    <xf numFmtId="0" fontId="37" fillId="20" borderId="245" xfId="912" quotePrefix="1" applyFont="1" applyFill="1" applyBorder="1" applyAlignment="1" applyProtection="1">
      <alignment horizontal="left" vertical="top"/>
    </xf>
    <xf numFmtId="0" fontId="37" fillId="20" borderId="238" xfId="912" quotePrefix="1" applyFont="1" applyFill="1" applyBorder="1" applyAlignment="1" applyProtection="1">
      <alignment horizontal="left" vertical="top" indent="1"/>
    </xf>
    <xf numFmtId="0" fontId="7" fillId="20" borderId="238" xfId="912" quotePrefix="1" applyFont="1" applyFill="1" applyBorder="1" applyAlignment="1" applyProtection="1">
      <alignment horizontal="center" wrapText="1"/>
    </xf>
    <xf numFmtId="0" fontId="37" fillId="20" borderId="35" xfId="912" applyFont="1" applyFill="1" applyBorder="1" applyAlignment="1" applyProtection="1">
      <alignment vertical="top"/>
    </xf>
    <xf numFmtId="0" fontId="37" fillId="20" borderId="0" xfId="912" applyFont="1" applyFill="1" applyBorder="1" applyAlignment="1" applyProtection="1">
      <alignment vertical="top"/>
    </xf>
    <xf numFmtId="0" fontId="37" fillId="20" borderId="233" xfId="912" quotePrefix="1" applyFont="1" applyFill="1" applyBorder="1" applyAlignment="1" applyProtection="1">
      <alignment horizontal="left" vertical="top" indent="1"/>
    </xf>
    <xf numFmtId="0" fontId="6" fillId="20" borderId="0" xfId="912" applyFont="1" applyFill="1" applyBorder="1" applyAlignment="1" applyProtection="1">
      <alignment horizontal="center" vertical="top" wrapText="1"/>
    </xf>
    <xf numFmtId="0" fontId="7" fillId="20" borderId="78" xfId="912" quotePrefix="1" applyFont="1" applyFill="1" applyBorder="1" applyAlignment="1" applyProtection="1">
      <alignment horizontal="center" wrapText="1"/>
    </xf>
    <xf numFmtId="0" fontId="149" fillId="20" borderId="102" xfId="912" applyFont="1" applyFill="1" applyBorder="1" applyAlignment="1" applyProtection="1">
      <alignment horizontal="left" vertical="top" indent="2"/>
    </xf>
    <xf numFmtId="0" fontId="94" fillId="87" borderId="213" xfId="912" applyFont="1" applyFill="1" applyBorder="1" applyAlignment="1"/>
    <xf numFmtId="0" fontId="94" fillId="87" borderId="214" xfId="912" applyFont="1" applyFill="1" applyBorder="1" applyAlignment="1"/>
    <xf numFmtId="0" fontId="116" fillId="87" borderId="214" xfId="912" applyFont="1" applyFill="1" applyBorder="1" applyAlignment="1" applyProtection="1"/>
    <xf numFmtId="0" fontId="115" fillId="87" borderId="215" xfId="912" applyFont="1" applyFill="1" applyBorder="1" applyAlignment="1" applyProtection="1"/>
    <xf numFmtId="0" fontId="1" fillId="20" borderId="92" xfId="912" applyFill="1" applyBorder="1" applyAlignment="1">
      <alignment vertical="center"/>
    </xf>
    <xf numFmtId="0" fontId="1" fillId="20" borderId="99" xfId="912" applyFill="1" applyBorder="1" applyAlignment="1">
      <alignment vertical="center"/>
    </xf>
    <xf numFmtId="0" fontId="37" fillId="20" borderId="99" xfId="912" applyFont="1" applyFill="1" applyBorder="1" applyAlignment="1" applyProtection="1">
      <alignment vertical="center"/>
    </xf>
    <xf numFmtId="0" fontId="37" fillId="20" borderId="66" xfId="912" quotePrefix="1" applyFont="1" applyFill="1" applyBorder="1" applyAlignment="1" applyProtection="1">
      <alignment vertical="center"/>
    </xf>
    <xf numFmtId="0" fontId="37" fillId="20" borderId="37" xfId="912" quotePrefix="1" applyFont="1" applyFill="1" applyBorder="1" applyAlignment="1" applyProtection="1">
      <alignment vertical="center"/>
    </xf>
    <xf numFmtId="0" fontId="6" fillId="20" borderId="37" xfId="912" quotePrefix="1" applyFont="1" applyFill="1" applyBorder="1" applyAlignment="1" applyProtection="1">
      <alignment horizontal="center" vertical="center"/>
    </xf>
    <xf numFmtId="0" fontId="6" fillId="20" borderId="65" xfId="912" applyFont="1" applyFill="1" applyBorder="1" applyAlignment="1" applyProtection="1">
      <alignment vertical="center"/>
    </xf>
    <xf numFmtId="0" fontId="37" fillId="62" borderId="90" xfId="912" applyFont="1" applyFill="1" applyBorder="1" applyAlignment="1" applyProtection="1">
      <alignment vertical="top"/>
    </xf>
    <xf numFmtId="0" fontId="37" fillId="62" borderId="104" xfId="912" applyFont="1" applyFill="1" applyBorder="1" applyAlignment="1" applyProtection="1">
      <alignment vertical="top"/>
    </xf>
    <xf numFmtId="0" fontId="37" fillId="62" borderId="103" xfId="912" quotePrefix="1" applyFont="1" applyFill="1" applyBorder="1" applyAlignment="1" applyProtection="1">
      <alignment horizontal="left" vertical="top"/>
    </xf>
    <xf numFmtId="0" fontId="37" fillId="62" borderId="78" xfId="912" quotePrefix="1" applyFont="1" applyFill="1" applyBorder="1" applyAlignment="1" applyProtection="1">
      <alignment horizontal="left" vertical="top"/>
    </xf>
    <xf numFmtId="0" fontId="6" fillId="62" borderId="78" xfId="912" applyFont="1" applyFill="1" applyBorder="1" applyAlignment="1" applyProtection="1">
      <alignment horizontal="center" vertical="top"/>
    </xf>
    <xf numFmtId="0" fontId="6" fillId="62" borderId="91" xfId="912" applyFont="1" applyFill="1" applyBorder="1" applyAlignment="1" applyProtection="1">
      <alignment horizontal="left" vertical="top" indent="4"/>
    </xf>
    <xf numFmtId="0" fontId="37" fillId="62" borderId="195" xfId="912" applyFont="1" applyFill="1" applyBorder="1" applyAlignment="1" applyProtection="1">
      <alignment vertical="top"/>
    </xf>
    <xf numFmtId="0" fontId="37" fillId="62" borderId="246" xfId="912" applyFont="1" applyFill="1" applyBorder="1" applyAlignment="1" applyProtection="1">
      <alignment vertical="top"/>
    </xf>
    <xf numFmtId="0" fontId="37" fillId="62" borderId="237" xfId="912" quotePrefix="1" applyFont="1" applyFill="1" applyBorder="1" applyAlignment="1" applyProtection="1">
      <alignment horizontal="left" vertical="top"/>
    </xf>
    <xf numFmtId="0" fontId="37" fillId="62" borderId="247" xfId="912" quotePrefix="1" applyFont="1" applyFill="1" applyBorder="1" applyAlignment="1" applyProtection="1">
      <alignment horizontal="left" vertical="top"/>
    </xf>
    <xf numFmtId="0" fontId="6" fillId="62" borderId="247" xfId="912" applyFont="1" applyFill="1" applyBorder="1" applyAlignment="1" applyProtection="1">
      <alignment horizontal="center" vertical="top"/>
    </xf>
    <xf numFmtId="0" fontId="6" fillId="62" borderId="248" xfId="912" applyFont="1" applyFill="1" applyBorder="1" applyAlignment="1" applyProtection="1">
      <alignment horizontal="left" vertical="top" indent="4"/>
    </xf>
    <xf numFmtId="0" fontId="6" fillId="62" borderId="78" xfId="912" quotePrefix="1" applyFont="1" applyFill="1" applyBorder="1" applyAlignment="1" applyProtection="1">
      <alignment horizontal="center" vertical="top"/>
    </xf>
    <xf numFmtId="0" fontId="7" fillId="62" borderId="91" xfId="912" applyFont="1" applyFill="1" applyBorder="1" applyAlignment="1" applyProtection="1">
      <alignment horizontal="left" vertical="top"/>
    </xf>
    <xf numFmtId="0" fontId="38" fillId="62" borderId="96" xfId="912" applyFont="1" applyFill="1" applyBorder="1" applyProtection="1"/>
    <xf numFmtId="0" fontId="38" fillId="62" borderId="2" xfId="912" applyFont="1" applyFill="1" applyBorder="1" applyProtection="1"/>
    <xf numFmtId="0" fontId="37" fillId="62" borderId="237" xfId="912" quotePrefix="1" applyFont="1" applyFill="1" applyBorder="1" applyAlignment="1" applyProtection="1">
      <alignment vertical="top"/>
    </xf>
    <xf numFmtId="0" fontId="37" fillId="62" borderId="247" xfId="912" quotePrefix="1" applyFont="1" applyFill="1" applyBorder="1" applyAlignment="1" applyProtection="1">
      <alignment vertical="top"/>
    </xf>
    <xf numFmtId="0" fontId="6" fillId="62" borderId="238" xfId="912" quotePrefix="1" applyFont="1" applyFill="1" applyBorder="1" applyAlignment="1" applyProtection="1">
      <alignment horizontal="center" vertical="top"/>
    </xf>
    <xf numFmtId="0" fontId="32" fillId="62" borderId="249" xfId="912" applyFont="1" applyFill="1" applyBorder="1" applyAlignment="1" applyProtection="1">
      <alignment horizontal="left" indent="4"/>
    </xf>
    <xf numFmtId="0" fontId="1" fillId="62" borderId="92" xfId="912" applyFill="1" applyBorder="1"/>
    <xf numFmtId="0" fontId="1" fillId="62" borderId="99" xfId="912" applyFill="1" applyBorder="1"/>
    <xf numFmtId="0" fontId="37" fillId="62" borderId="99" xfId="912" applyFont="1" applyFill="1" applyBorder="1" applyAlignment="1" applyProtection="1">
      <alignment vertical="top"/>
    </xf>
    <xf numFmtId="0" fontId="37" fillId="62" borderId="0" xfId="912" applyFont="1" applyFill="1" applyBorder="1" applyAlignment="1" applyProtection="1">
      <alignment vertical="top"/>
    </xf>
    <xf numFmtId="0" fontId="37" fillId="62" borderId="66" xfId="912" quotePrefix="1" applyFont="1" applyFill="1" applyBorder="1" applyAlignment="1" applyProtection="1">
      <alignment vertical="top"/>
    </xf>
    <xf numFmtId="0" fontId="6" fillId="62" borderId="66" xfId="912" quotePrefix="1" applyFont="1" applyFill="1" applyBorder="1" applyAlignment="1" applyProtection="1">
      <alignment horizontal="center" vertical="top"/>
    </xf>
    <xf numFmtId="0" fontId="6" fillId="62" borderId="34" xfId="912" applyFont="1" applyFill="1" applyBorder="1" applyAlignment="1" applyProtection="1">
      <alignment horizontal="left" vertical="top" indent="4"/>
    </xf>
    <xf numFmtId="0" fontId="37" fillId="62" borderId="37" xfId="912" quotePrefix="1" applyFont="1" applyFill="1" applyBorder="1" applyAlignment="1" applyProtection="1">
      <alignment vertical="top"/>
    </xf>
    <xf numFmtId="0" fontId="37" fillId="62" borderId="37" xfId="912" quotePrefix="1" applyFont="1" applyFill="1" applyBorder="1" applyAlignment="1" applyProtection="1">
      <alignment horizontal="center" vertical="top"/>
    </xf>
    <xf numFmtId="0" fontId="1" fillId="62" borderId="90" xfId="912" applyFill="1" applyBorder="1"/>
    <xf numFmtId="0" fontId="1" fillId="62" borderId="104" xfId="912" applyFill="1" applyBorder="1"/>
    <xf numFmtId="0" fontId="37" fillId="62" borderId="103" xfId="912" quotePrefix="1" applyFont="1" applyFill="1" applyBorder="1" applyAlignment="1" applyProtection="1">
      <alignment vertical="top"/>
    </xf>
    <xf numFmtId="0" fontId="37" fillId="62" borderId="78" xfId="912" quotePrefix="1" applyFont="1" applyFill="1" applyBorder="1" applyAlignment="1" applyProtection="1">
      <alignment vertical="top"/>
    </xf>
    <xf numFmtId="0" fontId="37" fillId="62" borderId="78" xfId="912" quotePrefix="1" applyFont="1" applyFill="1" applyBorder="1" applyAlignment="1" applyProtection="1">
      <alignment horizontal="center" vertical="top"/>
    </xf>
    <xf numFmtId="0" fontId="7" fillId="62" borderId="102" xfId="912" applyFont="1" applyFill="1" applyBorder="1" applyAlignment="1" applyProtection="1">
      <alignment horizontal="left" vertical="top"/>
    </xf>
    <xf numFmtId="0" fontId="7" fillId="62" borderId="247" xfId="912" applyFont="1" applyFill="1" applyBorder="1" applyAlignment="1" applyProtection="1">
      <alignment horizontal="center" vertical="top"/>
    </xf>
    <xf numFmtId="0" fontId="6" fillId="62" borderId="37" xfId="912" applyFont="1" applyFill="1" applyBorder="1" applyAlignment="1" applyProtection="1">
      <alignment horizontal="center" vertical="top"/>
    </xf>
    <xf numFmtId="0" fontId="38" fillId="62" borderId="35" xfId="912" applyFont="1" applyFill="1" applyBorder="1" applyProtection="1"/>
    <xf numFmtId="0" fontId="38" fillId="62" borderId="0" xfId="912" applyFont="1" applyFill="1" applyBorder="1" applyProtection="1"/>
    <xf numFmtId="0" fontId="37" fillId="62" borderId="205" xfId="912" quotePrefix="1" applyFont="1" applyFill="1" applyBorder="1" applyAlignment="1" applyProtection="1">
      <alignment vertical="top"/>
    </xf>
    <xf numFmtId="0" fontId="37" fillId="62" borderId="233" xfId="912" quotePrefix="1" applyFont="1" applyFill="1" applyBorder="1" applyAlignment="1" applyProtection="1">
      <alignment vertical="top"/>
    </xf>
    <xf numFmtId="0" fontId="97" fillId="62" borderId="78" xfId="912" quotePrefix="1" applyNumberFormat="1" applyFont="1" applyFill="1" applyBorder="1" applyAlignment="1" applyProtection="1">
      <alignment horizontal="center"/>
    </xf>
    <xf numFmtId="0" fontId="6" fillId="62" borderId="0" xfId="912" applyFont="1" applyFill="1" applyBorder="1" applyAlignment="1">
      <alignment horizontal="center"/>
    </xf>
    <xf numFmtId="0" fontId="1" fillId="62" borderId="35" xfId="912" applyFill="1" applyBorder="1"/>
    <xf numFmtId="0" fontId="1" fillId="62" borderId="0" xfId="912" applyFill="1" applyBorder="1"/>
    <xf numFmtId="0" fontId="37" fillId="62" borderId="0" xfId="912" quotePrefix="1" applyFont="1" applyFill="1" applyBorder="1" applyAlignment="1" applyProtection="1">
      <alignment vertical="top"/>
    </xf>
    <xf numFmtId="0" fontId="6" fillId="62" borderId="239" xfId="912" applyFont="1" applyFill="1" applyBorder="1" applyAlignment="1" applyProtection="1">
      <alignment horizontal="left" vertical="top" indent="4"/>
    </xf>
    <xf numFmtId="0" fontId="1" fillId="62" borderId="92" xfId="912" applyFill="1" applyBorder="1" applyAlignment="1">
      <alignment vertical="center"/>
    </xf>
    <xf numFmtId="0" fontId="1" fillId="62" borderId="99" xfId="912" applyFill="1" applyBorder="1" applyAlignment="1">
      <alignment vertical="center"/>
    </xf>
    <xf numFmtId="0" fontId="37" fillId="62" borderId="99" xfId="912" applyFont="1" applyFill="1" applyBorder="1" applyAlignment="1" applyProtection="1">
      <alignment vertical="center"/>
    </xf>
    <xf numFmtId="0" fontId="37" fillId="62" borderId="104" xfId="912" applyFont="1" applyFill="1" applyBorder="1" applyAlignment="1" applyProtection="1">
      <alignment vertical="center"/>
    </xf>
    <xf numFmtId="0" fontId="150" fillId="62" borderId="66" xfId="912" applyFont="1" applyFill="1" applyBorder="1" applyAlignment="1" applyProtection="1">
      <alignment horizontal="left" vertical="center"/>
    </xf>
    <xf numFmtId="0" fontId="37" fillId="62" borderId="78" xfId="912" quotePrefix="1" applyFont="1" applyFill="1" applyBorder="1" applyAlignment="1" applyProtection="1">
      <alignment vertical="center"/>
    </xf>
    <xf numFmtId="0" fontId="6" fillId="62" borderId="104" xfId="912" applyFont="1" applyFill="1" applyBorder="1" applyAlignment="1">
      <alignment horizontal="center" vertical="center" wrapText="1"/>
    </xf>
    <xf numFmtId="0" fontId="1" fillId="62" borderId="90" xfId="912" applyFill="1" applyBorder="1" applyAlignment="1">
      <alignment vertical="center"/>
    </xf>
    <xf numFmtId="0" fontId="1" fillId="62" borderId="104" xfId="912" applyFill="1" applyBorder="1" applyAlignment="1">
      <alignment vertical="center"/>
    </xf>
    <xf numFmtId="0" fontId="150" fillId="62" borderId="103" xfId="912" applyFont="1" applyFill="1" applyBorder="1" applyAlignment="1" applyProtection="1">
      <alignment horizontal="left" vertical="center"/>
    </xf>
    <xf numFmtId="0" fontId="6" fillId="62" borderId="37" xfId="912" applyFont="1" applyFill="1" applyBorder="1" applyAlignment="1">
      <alignment horizontal="center" vertical="top"/>
    </xf>
    <xf numFmtId="0" fontId="1" fillId="62" borderId="250" xfId="912" applyFill="1" applyBorder="1"/>
    <xf numFmtId="0" fontId="1" fillId="62" borderId="251" xfId="912" applyFill="1" applyBorder="1"/>
    <xf numFmtId="0" fontId="37" fillId="62" borderId="251" xfId="912" applyFont="1" applyFill="1" applyBorder="1" applyAlignment="1" applyProtection="1">
      <alignment vertical="top"/>
    </xf>
    <xf numFmtId="0" fontId="37" fillId="62" borderId="252" xfId="912" quotePrefix="1" applyFont="1" applyFill="1" applyBorder="1" applyAlignment="1" applyProtection="1">
      <alignment vertical="top"/>
    </xf>
    <xf numFmtId="0" fontId="110" fillId="62" borderId="37" xfId="912" quotePrefix="1" applyFont="1" applyFill="1" applyBorder="1" applyAlignment="1" applyProtection="1">
      <alignment horizontal="center" vertical="center"/>
    </xf>
    <xf numFmtId="0" fontId="7" fillId="62" borderId="91" xfId="912" applyFont="1" applyFill="1" applyBorder="1" applyAlignment="1" applyProtection="1">
      <alignment horizontal="left"/>
    </xf>
    <xf numFmtId="0" fontId="94" fillId="87" borderId="253" xfId="912" applyFont="1" applyFill="1" applyBorder="1"/>
    <xf numFmtId="0" fontId="94" fillId="87" borderId="254" xfId="912" applyFont="1" applyFill="1" applyBorder="1"/>
    <xf numFmtId="0" fontId="116" fillId="87" borderId="254" xfId="912" applyFont="1" applyFill="1" applyBorder="1" applyProtection="1"/>
    <xf numFmtId="0" fontId="1" fillId="64" borderId="101" xfId="912" applyFill="1" applyBorder="1"/>
    <xf numFmtId="0" fontId="1" fillId="64" borderId="100" xfId="912" applyFill="1" applyBorder="1"/>
    <xf numFmtId="0" fontId="1" fillId="64" borderId="95" xfId="912" applyFill="1" applyBorder="1" applyAlignment="1">
      <alignment horizontal="left"/>
    </xf>
    <xf numFmtId="0" fontId="154" fillId="56" borderId="95" xfId="912" quotePrefix="1" applyFont="1" applyFill="1" applyBorder="1" applyAlignment="1">
      <alignment horizontal="left"/>
    </xf>
    <xf numFmtId="0" fontId="1" fillId="56" borderId="95" xfId="912" applyFill="1" applyBorder="1" applyAlignment="1">
      <alignment horizontal="center"/>
    </xf>
    <xf numFmtId="0" fontId="1" fillId="64" borderId="95" xfId="912" applyFill="1" applyBorder="1" applyAlignment="1">
      <alignment horizontal="left" indent="1"/>
    </xf>
    <xf numFmtId="0" fontId="1" fillId="64" borderId="92" xfId="912" applyFill="1" applyBorder="1"/>
    <xf numFmtId="0" fontId="1" fillId="64" borderId="99" xfId="912" applyFill="1" applyBorder="1"/>
    <xf numFmtId="0" fontId="1" fillId="64" borderId="255" xfId="912" applyFill="1" applyBorder="1" applyAlignment="1">
      <alignment horizontal="left"/>
    </xf>
    <xf numFmtId="0" fontId="154" fillId="56" borderId="255" xfId="912" quotePrefix="1" applyFont="1" applyFill="1" applyBorder="1" applyAlignment="1">
      <alignment horizontal="left"/>
    </xf>
    <xf numFmtId="0" fontId="1" fillId="56" borderId="255" xfId="912" applyFill="1" applyBorder="1" applyAlignment="1">
      <alignment horizontal="center"/>
    </xf>
    <xf numFmtId="0" fontId="1" fillId="64" borderId="255" xfId="912" applyFill="1" applyBorder="1" applyAlignment="1">
      <alignment horizontal="left" indent="1"/>
    </xf>
    <xf numFmtId="0" fontId="1" fillId="64" borderId="99" xfId="912" quotePrefix="1" applyFill="1" applyBorder="1"/>
    <xf numFmtId="0" fontId="154" fillId="56" borderId="256" xfId="912" quotePrefix="1" applyFont="1" applyFill="1" applyBorder="1" applyAlignment="1">
      <alignment horizontal="left"/>
    </xf>
    <xf numFmtId="0" fontId="1" fillId="56" borderId="256" xfId="912" applyFill="1" applyBorder="1" applyAlignment="1">
      <alignment horizontal="center"/>
    </xf>
    <xf numFmtId="0" fontId="1" fillId="64" borderId="256" xfId="912" applyFill="1" applyBorder="1" applyAlignment="1">
      <alignment horizontal="left" indent="1"/>
    </xf>
    <xf numFmtId="0" fontId="1" fillId="64" borderId="195" xfId="912" applyFill="1" applyBorder="1"/>
    <xf numFmtId="0" fontId="1" fillId="64" borderId="246" xfId="912" applyFill="1" applyBorder="1"/>
    <xf numFmtId="0" fontId="1" fillId="64" borderId="257" xfId="912" applyFill="1" applyBorder="1" applyAlignment="1">
      <alignment horizontal="left"/>
    </xf>
    <xf numFmtId="0" fontId="154" fillId="56" borderId="257" xfId="912" quotePrefix="1" applyFont="1" applyFill="1" applyBorder="1" applyAlignment="1">
      <alignment horizontal="left"/>
    </xf>
    <xf numFmtId="0" fontId="1" fillId="56" borderId="257" xfId="912" applyFill="1" applyBorder="1" applyAlignment="1">
      <alignment horizontal="center"/>
    </xf>
    <xf numFmtId="0" fontId="1" fillId="64" borderId="257" xfId="912" applyFill="1" applyBorder="1" applyAlignment="1">
      <alignment horizontal="left" indent="1"/>
    </xf>
    <xf numFmtId="0" fontId="1" fillId="64" borderId="256" xfId="912" applyFill="1" applyBorder="1" applyAlignment="1">
      <alignment horizontal="left"/>
    </xf>
    <xf numFmtId="0" fontId="154" fillId="56" borderId="249" xfId="912" quotePrefix="1" applyFont="1" applyFill="1" applyBorder="1" applyAlignment="1">
      <alignment horizontal="left"/>
    </xf>
    <xf numFmtId="0" fontId="1" fillId="56" borderId="249" xfId="912" applyFill="1" applyBorder="1" applyAlignment="1">
      <alignment horizontal="center"/>
    </xf>
    <xf numFmtId="0" fontId="1" fillId="64" borderId="249" xfId="912" applyFill="1" applyBorder="1" applyAlignment="1">
      <alignment horizontal="left" indent="1"/>
    </xf>
    <xf numFmtId="0" fontId="1" fillId="64" borderId="107" xfId="912" applyFill="1" applyBorder="1"/>
    <xf numFmtId="0" fontId="1" fillId="64" borderId="105" xfId="912" applyFill="1" applyBorder="1"/>
    <xf numFmtId="0" fontId="1" fillId="64" borderId="110" xfId="912" applyFill="1" applyBorder="1" applyAlignment="1">
      <alignment horizontal="left"/>
    </xf>
    <xf numFmtId="0" fontId="154" fillId="56" borderId="34" xfId="912" quotePrefix="1" applyFont="1" applyFill="1" applyBorder="1" applyAlignment="1">
      <alignment horizontal="left"/>
    </xf>
    <xf numFmtId="0" fontId="1" fillId="56" borderId="34" xfId="912" applyFill="1" applyBorder="1" applyAlignment="1">
      <alignment horizontal="center"/>
    </xf>
    <xf numFmtId="0" fontId="1" fillId="64" borderId="34" xfId="912" applyFill="1" applyBorder="1" applyAlignment="1">
      <alignment horizontal="left" indent="1"/>
    </xf>
    <xf numFmtId="0" fontId="129" fillId="56" borderId="257" xfId="912" applyFont="1" applyFill="1" applyBorder="1" applyAlignment="1">
      <alignment horizontal="center"/>
    </xf>
    <xf numFmtId="0" fontId="154" fillId="56" borderId="258" xfId="912" quotePrefix="1" applyFont="1" applyFill="1" applyBorder="1" applyAlignment="1">
      <alignment horizontal="left"/>
    </xf>
    <xf numFmtId="0" fontId="1" fillId="56" borderId="258" xfId="912" applyFill="1" applyBorder="1" applyAlignment="1">
      <alignment horizontal="center"/>
    </xf>
    <xf numFmtId="0" fontId="1" fillId="64" borderId="258" xfId="912" applyFill="1" applyBorder="1" applyAlignment="1">
      <alignment horizontal="left" indent="1"/>
    </xf>
    <xf numFmtId="0" fontId="1" fillId="64" borderId="90" xfId="912" applyFill="1" applyBorder="1"/>
    <xf numFmtId="0" fontId="1" fillId="64" borderId="104" xfId="912" applyFill="1" applyBorder="1"/>
    <xf numFmtId="0" fontId="154" fillId="56" borderId="94" xfId="912" quotePrefix="1" applyFont="1" applyFill="1" applyBorder="1" applyAlignment="1">
      <alignment horizontal="left"/>
    </xf>
    <xf numFmtId="0" fontId="1" fillId="56" borderId="94" xfId="912" applyFill="1" applyBorder="1" applyAlignment="1">
      <alignment horizontal="center"/>
    </xf>
    <xf numFmtId="0" fontId="1" fillId="64" borderId="94" xfId="912" applyFill="1" applyBorder="1" applyAlignment="1">
      <alignment horizontal="left" indent="1"/>
    </xf>
    <xf numFmtId="0" fontId="1" fillId="56" borderId="258" xfId="912" quotePrefix="1" applyFill="1" applyBorder="1" applyAlignment="1">
      <alignment horizontal="center"/>
    </xf>
    <xf numFmtId="0" fontId="1" fillId="64" borderId="35" xfId="912" applyFill="1" applyBorder="1"/>
    <xf numFmtId="0" fontId="1" fillId="64" borderId="0" xfId="912" applyFill="1" applyBorder="1"/>
    <xf numFmtId="0" fontId="1" fillId="64" borderId="34" xfId="912" applyFill="1" applyBorder="1" applyAlignment="1">
      <alignment horizontal="left"/>
    </xf>
    <xf numFmtId="0" fontId="129" fillId="56" borderId="34" xfId="912" applyFont="1" applyFill="1" applyBorder="1" applyAlignment="1">
      <alignment horizontal="center"/>
    </xf>
    <xf numFmtId="0" fontId="1" fillId="64" borderId="259" xfId="912" applyFill="1" applyBorder="1"/>
    <xf numFmtId="0" fontId="1" fillId="64" borderId="260" xfId="912" applyFill="1" applyBorder="1"/>
    <xf numFmtId="0" fontId="1" fillId="64" borderId="261" xfId="912" applyFill="1" applyBorder="1" applyAlignment="1">
      <alignment horizontal="left"/>
    </xf>
    <xf numFmtId="0" fontId="154" fillId="56" borderId="32" xfId="912" quotePrefix="1" applyFont="1" applyFill="1" applyBorder="1" applyAlignment="1">
      <alignment horizontal="left"/>
    </xf>
    <xf numFmtId="0" fontId="129" fillId="56" borderId="32" xfId="912" applyFont="1" applyFill="1" applyBorder="1" applyAlignment="1">
      <alignment horizontal="center"/>
    </xf>
    <xf numFmtId="0" fontId="1" fillId="64" borderId="32" xfId="912" applyFill="1" applyBorder="1" applyAlignment="1">
      <alignment horizontal="left" indent="1"/>
    </xf>
    <xf numFmtId="0" fontId="94" fillId="87" borderId="169" xfId="912" applyFont="1" applyFill="1" applyBorder="1"/>
    <xf numFmtId="0" fontId="94" fillId="87" borderId="191" xfId="912" applyFont="1" applyFill="1" applyBorder="1"/>
    <xf numFmtId="0" fontId="116" fillId="87" borderId="191" xfId="912" applyFont="1" applyFill="1" applyBorder="1" applyProtection="1"/>
    <xf numFmtId="0" fontId="6" fillId="20" borderId="37" xfId="912" applyFont="1" applyFill="1" applyBorder="1" applyAlignment="1" applyProtection="1">
      <alignment horizontal="center" vertical="center"/>
    </xf>
    <xf numFmtId="0" fontId="6" fillId="20" borderId="65" xfId="912" applyFont="1" applyFill="1" applyBorder="1" applyAlignment="1" applyProtection="1">
      <alignment horizontal="left" vertical="center" indent="2"/>
    </xf>
    <xf numFmtId="0" fontId="115" fillId="87" borderId="263" xfId="912" applyFont="1" applyFill="1" applyBorder="1" applyProtection="1"/>
    <xf numFmtId="0" fontId="1" fillId="20" borderId="70" xfId="912" applyFill="1" applyBorder="1"/>
    <xf numFmtId="0" fontId="1" fillId="20" borderId="68" xfId="912" applyFill="1" applyBorder="1"/>
    <xf numFmtId="0" fontId="37" fillId="20" borderId="68" xfId="912" applyFont="1" applyFill="1" applyBorder="1" applyAlignment="1" applyProtection="1">
      <alignment vertical="top"/>
    </xf>
    <xf numFmtId="0" fontId="37" fillId="20" borderId="68" xfId="912" quotePrefix="1" applyFont="1" applyFill="1" applyBorder="1" applyAlignment="1" applyProtection="1">
      <alignment vertical="top"/>
    </xf>
    <xf numFmtId="0" fontId="6" fillId="20" borderId="68" xfId="912" quotePrefix="1" applyFont="1" applyFill="1" applyBorder="1" applyAlignment="1" applyProtection="1">
      <alignment horizontal="center" vertical="top"/>
    </xf>
    <xf numFmtId="0" fontId="6" fillId="20" borderId="67" xfId="912" applyFont="1" applyFill="1" applyBorder="1" applyAlignment="1" applyProtection="1">
      <alignment horizontal="left" vertical="top" indent="1"/>
    </xf>
    <xf numFmtId="0" fontId="1" fillId="20" borderId="82" xfId="912" applyFill="1" applyBorder="1"/>
    <xf numFmtId="0" fontId="1" fillId="20" borderId="37" xfId="912" applyFill="1" applyBorder="1"/>
    <xf numFmtId="0" fontId="6" fillId="20" borderId="37" xfId="912" quotePrefix="1" applyFont="1" applyFill="1" applyBorder="1" applyAlignment="1" applyProtection="1">
      <alignment horizontal="center" vertical="top"/>
    </xf>
    <xf numFmtId="0" fontId="6" fillId="20" borderId="65" xfId="912" applyFont="1" applyFill="1" applyBorder="1" applyAlignment="1" applyProtection="1">
      <alignment horizontal="left" vertical="top" indent="1"/>
    </xf>
    <xf numFmtId="0" fontId="1" fillId="20" borderId="82" xfId="912" applyFill="1" applyBorder="1" applyAlignment="1">
      <alignment vertical="center"/>
    </xf>
    <xf numFmtId="0" fontId="1" fillId="20" borderId="37" xfId="912" applyFill="1" applyBorder="1" applyAlignment="1">
      <alignment vertical="center"/>
    </xf>
    <xf numFmtId="0" fontId="37" fillId="20" borderId="37" xfId="912" applyFont="1" applyFill="1" applyBorder="1" applyAlignment="1" applyProtection="1">
      <alignment vertical="center"/>
    </xf>
    <xf numFmtId="0" fontId="6" fillId="20" borderId="65" xfId="912" applyFont="1" applyFill="1" applyBorder="1" applyAlignment="1" applyProtection="1">
      <alignment horizontal="left" vertical="center"/>
    </xf>
    <xf numFmtId="0" fontId="1" fillId="20" borderId="119" xfId="912" applyFill="1" applyBorder="1" applyAlignment="1">
      <alignment vertical="center"/>
    </xf>
    <xf numFmtId="0" fontId="1" fillId="20" borderId="63" xfId="912" applyFill="1" applyBorder="1" applyAlignment="1">
      <alignment vertical="center"/>
    </xf>
    <xf numFmtId="0" fontId="1" fillId="20" borderId="78" xfId="912" applyFill="1" applyBorder="1" applyAlignment="1">
      <alignment vertical="center"/>
    </xf>
    <xf numFmtId="0" fontId="6" fillId="20" borderId="78" xfId="912" quotePrefix="1" applyFont="1" applyFill="1" applyBorder="1" applyAlignment="1" applyProtection="1">
      <alignment horizontal="center" vertical="center"/>
    </xf>
    <xf numFmtId="0" fontId="6" fillId="20" borderId="91" xfId="912" applyFont="1" applyFill="1" applyBorder="1" applyAlignment="1" applyProtection="1">
      <alignment horizontal="left" vertical="center"/>
      <protection locked="0"/>
    </xf>
    <xf numFmtId="0" fontId="116" fillId="87" borderId="74" xfId="912" applyFont="1" applyFill="1" applyBorder="1" applyProtection="1"/>
    <xf numFmtId="0" fontId="115" fillId="87" borderId="265" xfId="912" applyFont="1" applyFill="1" applyBorder="1" applyProtection="1"/>
    <xf numFmtId="0" fontId="1" fillId="20" borderId="101" xfId="912" applyFill="1" applyBorder="1"/>
    <xf numFmtId="0" fontId="1" fillId="20" borderId="100" xfId="912" applyFill="1" applyBorder="1"/>
    <xf numFmtId="0" fontId="37" fillId="20" borderId="100" xfId="912" applyFont="1" applyFill="1" applyBorder="1" applyAlignment="1" applyProtection="1">
      <alignment vertical="top"/>
    </xf>
    <xf numFmtId="0" fontId="37" fillId="20" borderId="69" xfId="912" quotePrefix="1" applyFont="1" applyFill="1" applyBorder="1" applyAlignment="1" applyProtection="1">
      <alignment vertical="top"/>
    </xf>
    <xf numFmtId="0" fontId="6" fillId="20" borderId="68" xfId="912" applyFont="1" applyFill="1" applyBorder="1" applyAlignment="1" applyProtection="1">
      <alignment horizontal="center" vertical="top"/>
    </xf>
    <xf numFmtId="0" fontId="6" fillId="20" borderId="267" xfId="912" applyFont="1" applyFill="1" applyBorder="1" applyAlignment="1" applyProtection="1">
      <alignment horizontal="left" vertical="top" indent="2"/>
    </xf>
    <xf numFmtId="0" fontId="1" fillId="20" borderId="92" xfId="912" applyFill="1" applyBorder="1"/>
    <xf numFmtId="0" fontId="1" fillId="20" borderId="99" xfId="912" applyFill="1" applyBorder="1"/>
    <xf numFmtId="0" fontId="6" fillId="20" borderId="269" xfId="912" applyFont="1" applyFill="1" applyBorder="1" applyAlignment="1" applyProtection="1">
      <alignment horizontal="left" vertical="top" indent="2"/>
    </xf>
    <xf numFmtId="0" fontId="148" fillId="20" borderId="66" xfId="912" quotePrefix="1" applyFont="1" applyFill="1" applyBorder="1" applyAlignment="1" applyProtection="1">
      <alignment horizontal="left" vertical="top" indent="4"/>
    </xf>
    <xf numFmtId="0" fontId="37" fillId="20" borderId="66" xfId="912" quotePrefix="1" applyFont="1" applyFill="1" applyBorder="1" applyAlignment="1" applyProtection="1">
      <alignment vertical="top"/>
    </xf>
    <xf numFmtId="0" fontId="7" fillId="20" borderId="37" xfId="912" applyFont="1" applyFill="1" applyBorder="1" applyAlignment="1" applyProtection="1">
      <alignment horizontal="center" vertical="top"/>
    </xf>
    <xf numFmtId="0" fontId="1" fillId="20" borderId="90" xfId="912" applyFill="1" applyBorder="1"/>
    <xf numFmtId="0" fontId="1" fillId="20" borderId="104" xfId="912" applyFill="1" applyBorder="1"/>
    <xf numFmtId="0" fontId="37" fillId="20" borderId="104" xfId="912" applyFont="1" applyFill="1" applyBorder="1" applyAlignment="1" applyProtection="1">
      <alignment vertical="top"/>
    </xf>
    <xf numFmtId="0" fontId="37" fillId="20" borderId="103" xfId="912" quotePrefix="1" applyFont="1" applyFill="1" applyBorder="1" applyAlignment="1" applyProtection="1">
      <alignment vertical="top"/>
    </xf>
    <xf numFmtId="0" fontId="6" fillId="20" borderId="270" xfId="912" applyFont="1" applyFill="1" applyBorder="1" applyAlignment="1" applyProtection="1">
      <alignment horizontal="left" vertical="top" indent="2"/>
    </xf>
    <xf numFmtId="0" fontId="1" fillId="0" borderId="36" xfId="912" applyBorder="1"/>
    <xf numFmtId="0" fontId="38" fillId="20" borderId="156" xfId="912" applyFont="1" applyFill="1" applyBorder="1" applyProtection="1"/>
    <xf numFmtId="0" fontId="38" fillId="20" borderId="157" xfId="912" applyFont="1" applyFill="1" applyBorder="1" applyProtection="1"/>
    <xf numFmtId="0" fontId="6" fillId="18" borderId="157" xfId="912" applyFont="1" applyFill="1" applyBorder="1" applyAlignment="1" applyProtection="1">
      <alignment horizontal="center"/>
      <protection locked="0"/>
    </xf>
    <xf numFmtId="0" fontId="6" fillId="20" borderId="89" xfId="912" applyFont="1" applyFill="1" applyBorder="1" applyAlignment="1" applyProtection="1">
      <alignment horizontal="left" indent="2"/>
    </xf>
    <xf numFmtId="0" fontId="1" fillId="0" borderId="0" xfId="912" applyAlignment="1">
      <alignment horizontal="right"/>
    </xf>
    <xf numFmtId="0" fontId="37" fillId="20" borderId="167" xfId="912" applyFont="1" applyFill="1" applyBorder="1" applyAlignment="1" applyProtection="1">
      <alignment horizontal="left" vertical="top"/>
      <protection locked="0"/>
    </xf>
    <xf numFmtId="0" fontId="37" fillId="20" borderId="36" xfId="912" applyFont="1" applyFill="1" applyBorder="1" applyAlignment="1" applyProtection="1">
      <alignment horizontal="left" vertical="top"/>
      <protection locked="0"/>
    </xf>
    <xf numFmtId="0" fontId="101" fillId="20" borderId="36" xfId="912" applyFont="1" applyFill="1" applyBorder="1" applyAlignment="1" applyProtection="1">
      <alignment horizontal="left" vertical="top"/>
      <protection locked="0"/>
    </xf>
    <xf numFmtId="0" fontId="102" fillId="20" borderId="36" xfId="912" applyFont="1" applyFill="1" applyBorder="1" applyAlignment="1" applyProtection="1">
      <alignment horizontal="left"/>
      <protection locked="0"/>
    </xf>
    <xf numFmtId="14" fontId="6" fillId="18" borderId="36" xfId="912" quotePrefix="1" applyNumberFormat="1" applyFont="1" applyFill="1" applyBorder="1" applyAlignment="1" applyProtection="1">
      <alignment horizontal="left" vertical="top"/>
      <protection locked="0"/>
    </xf>
    <xf numFmtId="0" fontId="6" fillId="20" borderId="168" xfId="912" applyFont="1" applyFill="1" applyBorder="1" applyAlignment="1" applyProtection="1">
      <alignment horizontal="left" vertical="top" indent="2"/>
      <protection locked="0"/>
    </xf>
    <xf numFmtId="0" fontId="39" fillId="20" borderId="35" xfId="912" applyFont="1" applyFill="1" applyBorder="1" applyAlignment="1" applyProtection="1">
      <alignment horizontal="left" wrapText="1"/>
      <protection locked="0"/>
    </xf>
    <xf numFmtId="0" fontId="39" fillId="20" borderId="0" xfId="912" applyFont="1" applyFill="1" applyBorder="1" applyAlignment="1" applyProtection="1">
      <alignment horizontal="left" wrapText="1"/>
      <protection locked="0"/>
    </xf>
    <xf numFmtId="0" fontId="37" fillId="20" borderId="0" xfId="912" applyFont="1" applyFill="1" applyBorder="1" applyAlignment="1" applyProtection="1">
      <alignment horizontal="left" vertical="center"/>
      <protection locked="0"/>
    </xf>
    <xf numFmtId="0" fontId="6" fillId="20" borderId="34" xfId="912" applyFont="1" applyFill="1" applyBorder="1" applyAlignment="1" applyProtection="1">
      <alignment horizontal="left" vertical="center" indent="2"/>
      <protection locked="0"/>
    </xf>
    <xf numFmtId="0" fontId="37" fillId="20" borderId="0" xfId="912" applyFont="1" applyFill="1" applyBorder="1" applyAlignment="1" applyProtection="1">
      <alignment horizontal="left"/>
      <protection locked="0"/>
    </xf>
    <xf numFmtId="0" fontId="7" fillId="18" borderId="0" xfId="912" applyFont="1" applyFill="1" applyBorder="1" applyAlignment="1" applyProtection="1">
      <alignment horizontal="left"/>
      <protection locked="0"/>
    </xf>
    <xf numFmtId="0" fontId="6" fillId="20" borderId="34" xfId="912" applyFont="1" applyFill="1" applyBorder="1" applyAlignment="1" applyProtection="1">
      <alignment horizontal="left" indent="2"/>
      <protection locked="0"/>
    </xf>
    <xf numFmtId="0" fontId="38" fillId="20" borderId="35" xfId="912" applyFont="1" applyFill="1" applyBorder="1" applyAlignment="1" applyProtection="1">
      <alignment horizontal="left"/>
      <protection locked="0"/>
    </xf>
    <xf numFmtId="0" fontId="38" fillId="20" borderId="0" xfId="912" applyFont="1" applyFill="1" applyBorder="1" applyAlignment="1" applyProtection="1">
      <alignment horizontal="left"/>
      <protection locked="0"/>
    </xf>
    <xf numFmtId="0" fontId="101" fillId="20" borderId="0" xfId="912" applyFont="1" applyFill="1" applyBorder="1" applyAlignment="1" applyProtection="1">
      <alignment horizontal="left" vertical="top"/>
      <protection locked="0"/>
    </xf>
    <xf numFmtId="0" fontId="38" fillId="20" borderId="224" xfId="912" applyFont="1" applyFill="1" applyBorder="1" applyAlignment="1" applyProtection="1">
      <alignment horizontal="left"/>
      <protection locked="0"/>
    </xf>
    <xf numFmtId="0" fontId="38" fillId="20" borderId="132" xfId="912" applyFont="1" applyFill="1" applyBorder="1" applyAlignment="1" applyProtection="1">
      <alignment horizontal="left"/>
      <protection locked="0"/>
    </xf>
    <xf numFmtId="0" fontId="101" fillId="20" borderId="132" xfId="912" applyFont="1" applyFill="1" applyBorder="1" applyAlignment="1" applyProtection="1">
      <alignment horizontal="left" vertical="top"/>
      <protection locked="0"/>
    </xf>
    <xf numFmtId="0" fontId="37" fillId="20" borderId="132" xfId="912" applyFont="1" applyFill="1" applyBorder="1" applyAlignment="1" applyProtection="1">
      <alignment horizontal="left"/>
      <protection locked="0"/>
    </xf>
    <xf numFmtId="0" fontId="7" fillId="52" borderId="132" xfId="912" applyFont="1" applyFill="1" applyBorder="1" applyAlignment="1" applyProtection="1">
      <alignment horizontal="left"/>
      <protection locked="0"/>
    </xf>
    <xf numFmtId="0" fontId="6" fillId="20" borderId="116" xfId="912" applyFont="1" applyFill="1" applyBorder="1" applyAlignment="1" applyProtection="1">
      <alignment horizontal="left" indent="2"/>
      <protection locked="0"/>
    </xf>
    <xf numFmtId="0" fontId="37" fillId="14" borderId="0" xfId="912" applyFont="1" applyFill="1" applyBorder="1" applyAlignment="1" applyProtection="1">
      <alignment horizontal="left"/>
      <protection locked="0"/>
    </xf>
    <xf numFmtId="0" fontId="7" fillId="14" borderId="0" xfId="912" applyFont="1" applyFill="1" applyBorder="1" applyAlignment="1" applyProtection="1">
      <alignment horizontal="left"/>
      <protection locked="0"/>
    </xf>
    <xf numFmtId="0" fontId="1" fillId="0" borderId="96" xfId="912" applyBorder="1"/>
    <xf numFmtId="0" fontId="1" fillId="0" borderId="72" xfId="912" applyBorder="1"/>
    <xf numFmtId="0" fontId="38" fillId="8" borderId="167" xfId="912" applyFont="1" applyFill="1" applyBorder="1" applyProtection="1"/>
    <xf numFmtId="0" fontId="38" fillId="8" borderId="36" xfId="912" applyFont="1" applyFill="1" applyBorder="1" applyProtection="1"/>
    <xf numFmtId="0" fontId="40" fillId="0" borderId="168" xfId="912" applyFont="1" applyFill="1" applyBorder="1" applyProtection="1"/>
    <xf numFmtId="0" fontId="38" fillId="8" borderId="35" xfId="912" applyFont="1" applyFill="1" applyBorder="1" applyProtection="1"/>
    <xf numFmtId="0" fontId="38" fillId="8" borderId="0" xfId="912" applyFont="1" applyFill="1" applyBorder="1" applyProtection="1"/>
    <xf numFmtId="0" fontId="40" fillId="8" borderId="34" xfId="912" applyFont="1" applyFill="1" applyBorder="1" applyProtection="1"/>
    <xf numFmtId="0" fontId="1" fillId="0" borderId="31" xfId="912" applyBorder="1"/>
    <xf numFmtId="0" fontId="1" fillId="0" borderId="31" xfId="912" applyFill="1" applyBorder="1"/>
    <xf numFmtId="0" fontId="38" fillId="8" borderId="31" xfId="912" applyFont="1" applyFill="1" applyBorder="1" applyProtection="1"/>
    <xf numFmtId="0" fontId="40" fillId="0" borderId="32" xfId="912" applyFont="1" applyFill="1" applyBorder="1" applyAlignment="1" applyProtection="1">
      <alignment horizontal="left"/>
    </xf>
    <xf numFmtId="0" fontId="38" fillId="8" borderId="0" xfId="912" applyFont="1" applyFill="1" applyProtection="1">
      <protection locked="0"/>
    </xf>
    <xf numFmtId="0" fontId="38" fillId="16" borderId="0" xfId="912" applyFont="1" applyFill="1" applyProtection="1"/>
    <xf numFmtId="0" fontId="105" fillId="16" borderId="0" xfId="912" quotePrefix="1" applyFont="1" applyFill="1"/>
    <xf numFmtId="0" fontId="110" fillId="16" borderId="0" xfId="912" applyFont="1" applyFill="1" applyAlignment="1" applyProtection="1">
      <alignment horizontal="center"/>
    </xf>
    <xf numFmtId="0" fontId="156" fillId="16" borderId="0" xfId="912" applyFont="1" applyFill="1" applyProtection="1"/>
    <xf numFmtId="0" fontId="157" fillId="11" borderId="0" xfId="912" applyFont="1" applyFill="1" applyBorder="1"/>
    <xf numFmtId="0" fontId="38" fillId="11" borderId="0" xfId="912" applyFont="1" applyFill="1" applyBorder="1"/>
    <xf numFmtId="0" fontId="38" fillId="11" borderId="0" xfId="912" applyFont="1" applyFill="1"/>
    <xf numFmtId="0" fontId="157" fillId="11" borderId="0" xfId="912" applyFont="1" applyFill="1"/>
    <xf numFmtId="0" fontId="38" fillId="8" borderId="0" xfId="912" applyFont="1" applyFill="1"/>
    <xf numFmtId="0" fontId="157" fillId="11" borderId="0" xfId="912" applyFont="1" applyFill="1" applyBorder="1" applyAlignment="1">
      <alignment vertical="top"/>
    </xf>
    <xf numFmtId="0" fontId="38" fillId="11" borderId="0" xfId="912" applyFont="1" applyFill="1" applyBorder="1" applyAlignment="1">
      <alignment vertical="top"/>
    </xf>
    <xf numFmtId="0" fontId="38" fillId="11" borderId="0" xfId="912" applyFont="1" applyFill="1" applyAlignment="1">
      <alignment vertical="top"/>
    </xf>
    <xf numFmtId="0" fontId="157" fillId="11" borderId="0" xfId="912" applyFont="1" applyFill="1" applyAlignment="1">
      <alignment vertical="top"/>
    </xf>
    <xf numFmtId="0" fontId="38" fillId="8" borderId="0" xfId="912" applyFont="1" applyFill="1" applyAlignment="1">
      <alignment vertical="top"/>
    </xf>
    <xf numFmtId="0" fontId="158" fillId="11" borderId="0" xfId="912" applyFont="1" applyFill="1" applyBorder="1" applyAlignment="1">
      <alignment horizontal="right" vertical="center"/>
    </xf>
    <xf numFmtId="0" fontId="159" fillId="11" borderId="0" xfId="912" applyFont="1" applyFill="1" applyAlignment="1">
      <alignment vertical="top"/>
    </xf>
    <xf numFmtId="0" fontId="158" fillId="11" borderId="0" xfId="912" applyFont="1" applyFill="1" applyAlignment="1">
      <alignment vertical="top" wrapText="1"/>
    </xf>
    <xf numFmtId="0" fontId="160" fillId="11" borderId="0" xfId="912" applyFont="1" applyFill="1" applyAlignment="1">
      <alignment horizontal="centerContinuous" vertical="top"/>
    </xf>
    <xf numFmtId="0" fontId="160" fillId="8" borderId="0" xfId="912" applyFont="1" applyFill="1" applyAlignment="1">
      <alignment vertical="top"/>
    </xf>
    <xf numFmtId="0" fontId="38" fillId="8" borderId="0" xfId="912" applyFont="1" applyFill="1" applyBorder="1" applyAlignment="1">
      <alignment vertical="top"/>
    </xf>
    <xf numFmtId="0" fontId="157" fillId="8" borderId="0" xfId="912" applyFont="1" applyFill="1" applyBorder="1" applyAlignment="1">
      <alignment vertical="top"/>
    </xf>
    <xf numFmtId="0" fontId="158" fillId="11" borderId="0" xfId="912" applyFont="1" applyFill="1" applyAlignment="1">
      <alignment horizontal="right" vertical="center"/>
    </xf>
    <xf numFmtId="0" fontId="161" fillId="11" borderId="0" xfId="912" applyFont="1" applyFill="1" applyAlignment="1">
      <alignment horizontal="center" vertical="top"/>
    </xf>
    <xf numFmtId="0" fontId="162" fillId="11" borderId="0" xfId="912" applyFont="1" applyFill="1" applyAlignment="1">
      <alignment horizontal="center" vertical="top"/>
    </xf>
    <xf numFmtId="0" fontId="39" fillId="11" borderId="0" xfId="912" applyFont="1" applyFill="1" applyAlignment="1">
      <alignment horizontal="center" vertical="top"/>
    </xf>
    <xf numFmtId="0" fontId="162" fillId="11" borderId="0" xfId="912" applyFont="1" applyFill="1" applyAlignment="1">
      <alignment horizontal="left" vertical="top"/>
    </xf>
    <xf numFmtId="0" fontId="162" fillId="11" borderId="0" xfId="912" applyFont="1" applyFill="1" applyAlignment="1">
      <alignment vertical="top"/>
    </xf>
    <xf numFmtId="0" fontId="162" fillId="11" borderId="0" xfId="912" applyFont="1" applyFill="1" applyBorder="1" applyAlignment="1">
      <alignment vertical="top"/>
    </xf>
    <xf numFmtId="0" fontId="98" fillId="11" borderId="0" xfId="912" applyFont="1" applyFill="1" applyAlignment="1">
      <alignment vertical="top"/>
    </xf>
    <xf numFmtId="0" fontId="144" fillId="11" borderId="0" xfId="912" applyFont="1" applyFill="1" applyBorder="1" applyAlignment="1">
      <alignment vertical="top"/>
    </xf>
    <xf numFmtId="0" fontId="98" fillId="11" borderId="0" xfId="912" applyFont="1" applyFill="1" applyBorder="1" applyAlignment="1">
      <alignment vertical="top"/>
    </xf>
    <xf numFmtId="0" fontId="163" fillId="11" borderId="0" xfId="912" applyFont="1" applyFill="1" applyBorder="1" applyAlignment="1">
      <alignment vertical="top"/>
    </xf>
    <xf numFmtId="0" fontId="42" fillId="11" borderId="0" xfId="912" applyFont="1" applyFill="1" applyBorder="1" applyAlignment="1">
      <alignment vertical="top"/>
    </xf>
    <xf numFmtId="0" fontId="148" fillId="11" borderId="0" xfId="912" applyFont="1" applyFill="1" applyAlignment="1">
      <alignment vertical="top"/>
    </xf>
    <xf numFmtId="0" fontId="164" fillId="11" borderId="0" xfId="912" applyFont="1" applyFill="1" applyBorder="1" applyAlignment="1">
      <alignment vertical="top"/>
    </xf>
    <xf numFmtId="0" fontId="148" fillId="11" borderId="0" xfId="912" applyFont="1" applyFill="1" applyBorder="1" applyAlignment="1">
      <alignment vertical="top"/>
    </xf>
    <xf numFmtId="0" fontId="38" fillId="8" borderId="0" xfId="912" applyFont="1" applyFill="1" applyBorder="1"/>
    <xf numFmtId="0" fontId="144" fillId="11" borderId="0" xfId="912" applyFont="1" applyFill="1" applyBorder="1" applyAlignment="1">
      <alignment horizontal="right"/>
    </xf>
    <xf numFmtId="0" fontId="144" fillId="11" borderId="0" xfId="912" applyFont="1" applyFill="1" applyBorder="1" applyAlignment="1"/>
    <xf numFmtId="0" fontId="158" fillId="11" borderId="0" xfId="912" applyFont="1" applyFill="1" applyBorder="1" applyAlignment="1"/>
    <xf numFmtId="0" fontId="124" fillId="11" borderId="0" xfId="912" applyFont="1" applyFill="1" applyAlignment="1">
      <alignment horizontal="right"/>
    </xf>
    <xf numFmtId="0" fontId="144" fillId="11" borderId="0" xfId="912" applyFont="1" applyFill="1" applyAlignment="1">
      <alignment horizontal="right"/>
    </xf>
    <xf numFmtId="0" fontId="38" fillId="11" borderId="0" xfId="912" applyFont="1" applyFill="1" applyAlignment="1">
      <alignment horizontal="left"/>
    </xf>
    <xf numFmtId="0" fontId="144" fillId="11" borderId="0" xfId="912" applyFont="1" applyFill="1" applyAlignment="1">
      <alignment wrapText="1"/>
    </xf>
    <xf numFmtId="0" fontId="144" fillId="11" borderId="0" xfId="912" applyFont="1" applyFill="1" applyAlignment="1"/>
    <xf numFmtId="0" fontId="158" fillId="11" borderId="0" xfId="912" applyFont="1" applyFill="1" applyBorder="1" applyAlignment="1">
      <alignment horizontal="left"/>
    </xf>
    <xf numFmtId="0" fontId="144" fillId="11" borderId="0" xfId="912" applyFont="1" applyFill="1" applyBorder="1" applyAlignment="1">
      <alignment wrapText="1"/>
    </xf>
    <xf numFmtId="0" fontId="38" fillId="11" borderId="2" xfId="912" applyFont="1" applyFill="1" applyBorder="1"/>
    <xf numFmtId="0" fontId="165" fillId="0" borderId="0" xfId="912" applyFont="1" applyAlignment="1">
      <alignment vertical="center"/>
    </xf>
    <xf numFmtId="0" fontId="166" fillId="11" borderId="0" xfId="912" applyFont="1" applyFill="1" applyAlignment="1">
      <alignment vertical="center"/>
    </xf>
    <xf numFmtId="0" fontId="166" fillId="11" borderId="0" xfId="912" applyFont="1" applyFill="1" applyBorder="1" applyAlignment="1">
      <alignment vertical="center"/>
    </xf>
    <xf numFmtId="0" fontId="166" fillId="8" borderId="0" xfId="912" applyFont="1" applyFill="1" applyAlignment="1">
      <alignment vertical="center"/>
    </xf>
    <xf numFmtId="0" fontId="38" fillId="11" borderId="0" xfId="912" applyFont="1" applyFill="1" applyAlignment="1">
      <alignment vertical="center"/>
    </xf>
    <xf numFmtId="0" fontId="38" fillId="11" borderId="0" xfId="912" applyFont="1" applyFill="1" applyBorder="1" applyAlignment="1">
      <alignment vertical="center"/>
    </xf>
    <xf numFmtId="0" fontId="38" fillId="8" borderId="0" xfId="912" applyFont="1" applyFill="1" applyAlignment="1">
      <alignment vertical="center"/>
    </xf>
    <xf numFmtId="0" fontId="1" fillId="11" borderId="0" xfId="912" applyFill="1"/>
    <xf numFmtId="0" fontId="1" fillId="11" borderId="0" xfId="912" applyFill="1" applyBorder="1"/>
    <xf numFmtId="0" fontId="1" fillId="8" borderId="0" xfId="912" applyFill="1"/>
    <xf numFmtId="0" fontId="160" fillId="11" borderId="0" xfId="912" applyFont="1" applyFill="1" applyAlignment="1">
      <alignment vertical="top"/>
    </xf>
    <xf numFmtId="0" fontId="160" fillId="11" borderId="0" xfId="912" applyFont="1" applyFill="1" applyAlignment="1">
      <alignment horizontal="center" vertical="top"/>
    </xf>
    <xf numFmtId="0" fontId="160" fillId="8" borderId="0" xfId="912" applyFont="1" applyFill="1" applyAlignment="1"/>
    <xf numFmtId="0" fontId="160" fillId="11" borderId="0" xfId="912" applyFont="1" applyFill="1" applyAlignment="1"/>
    <xf numFmtId="0" fontId="1" fillId="0" borderId="0" xfId="912" applyAlignment="1">
      <alignment horizontal="center"/>
    </xf>
    <xf numFmtId="49" fontId="167" fillId="8" borderId="0" xfId="913" applyFont="1" applyFill="1" applyAlignment="1">
      <alignment vertical="center"/>
    </xf>
    <xf numFmtId="0" fontId="41" fillId="8" borderId="0" xfId="914" applyFill="1">
      <alignment vertical="center"/>
    </xf>
    <xf numFmtId="0" fontId="13" fillId="8" borderId="0" xfId="914" applyFont="1" applyFill="1" applyAlignment="1">
      <alignment horizontal="justify" vertical="center" wrapText="1"/>
    </xf>
    <xf numFmtId="0" fontId="41" fillId="55" borderId="0" xfId="914" applyFill="1">
      <alignment vertical="center"/>
    </xf>
    <xf numFmtId="0" fontId="41" fillId="55" borderId="0" xfId="914" applyFont="1" applyFill="1">
      <alignment vertical="center"/>
    </xf>
    <xf numFmtId="0" fontId="80" fillId="55" borderId="0" xfId="914" applyFont="1" applyFill="1">
      <alignment vertical="center"/>
    </xf>
    <xf numFmtId="0" fontId="41" fillId="12" borderId="0" xfId="914">
      <alignment vertical="center"/>
    </xf>
    <xf numFmtId="0" fontId="41" fillId="12" borderId="0" xfId="914" applyFont="1">
      <alignment vertical="center"/>
    </xf>
    <xf numFmtId="49" fontId="41" fillId="13" borderId="0" xfId="913">
      <alignment vertical="center"/>
    </xf>
    <xf numFmtId="49" fontId="41" fillId="13" borderId="0" xfId="913" applyFont="1">
      <alignment vertical="center"/>
    </xf>
    <xf numFmtId="0" fontId="169" fillId="13" borderId="0" xfId="913" applyNumberFormat="1" applyFont="1" applyAlignment="1">
      <alignment horizontal="left" vertical="center"/>
    </xf>
    <xf numFmtId="49" fontId="41" fillId="13" borderId="0" xfId="913" applyFill="1" applyAlignment="1">
      <alignment vertical="center"/>
    </xf>
    <xf numFmtId="49" fontId="169" fillId="13" borderId="0" xfId="913" applyFont="1">
      <alignment vertical="center"/>
    </xf>
    <xf numFmtId="0" fontId="169" fillId="13" borderId="0" xfId="913" applyNumberFormat="1" applyFont="1">
      <alignment vertical="center"/>
    </xf>
    <xf numFmtId="0" fontId="169" fillId="13" borderId="0" xfId="913" quotePrefix="1" applyNumberFormat="1" applyFont="1">
      <alignment vertical="center"/>
    </xf>
    <xf numFmtId="0" fontId="38" fillId="63" borderId="271" xfId="912" applyNumberFormat="1" applyFont="1" applyFill="1" applyBorder="1" applyAlignment="1">
      <alignment vertical="top"/>
    </xf>
    <xf numFmtId="0" fontId="38" fillId="0" borderId="271" xfId="912" applyNumberFormat="1" applyFont="1" applyBorder="1" applyAlignment="1">
      <alignment vertical="top"/>
    </xf>
    <xf numFmtId="0" fontId="38" fillId="55" borderId="271" xfId="912" applyNumberFormat="1" applyFont="1" applyFill="1" applyBorder="1" applyAlignment="1">
      <alignment vertical="top"/>
    </xf>
    <xf numFmtId="0" fontId="113" fillId="63" borderId="272" xfId="912" applyNumberFormat="1" applyFont="1" applyFill="1" applyBorder="1" applyAlignment="1">
      <alignment vertical="top"/>
    </xf>
    <xf numFmtId="0" fontId="113" fillId="0" borderId="272" xfId="912" applyNumberFormat="1" applyFont="1" applyBorder="1" applyAlignment="1">
      <alignment vertical="top"/>
    </xf>
    <xf numFmtId="0" fontId="114" fillId="59" borderId="0" xfId="912" applyNumberFormat="1" applyFont="1" applyFill="1" applyBorder="1" applyAlignment="1">
      <alignment vertical="center" wrapText="1"/>
    </xf>
    <xf numFmtId="0" fontId="114" fillId="59" borderId="38" xfId="912" applyNumberFormat="1" applyFont="1" applyFill="1" applyBorder="1" applyAlignment="1">
      <alignment vertical="center" wrapText="1"/>
    </xf>
    <xf numFmtId="49" fontId="114" fillId="59" borderId="38" xfId="912" applyNumberFormat="1" applyFont="1" applyFill="1" applyBorder="1" applyAlignment="1">
      <alignment vertical="center" wrapText="1"/>
    </xf>
    <xf numFmtId="0" fontId="7" fillId="60" borderId="34" xfId="912" applyNumberFormat="1" applyFont="1" applyFill="1" applyBorder="1" applyAlignment="1">
      <alignment horizontal="left" vertical="center" wrapText="1"/>
    </xf>
    <xf numFmtId="0" fontId="7" fillId="60" borderId="38" xfId="912" applyNumberFormat="1" applyFont="1" applyFill="1" applyBorder="1" applyAlignment="1">
      <alignment horizontal="center" vertical="center" wrapText="1"/>
    </xf>
    <xf numFmtId="0" fontId="124" fillId="86" borderId="38" xfId="912" applyNumberFormat="1" applyFont="1" applyFill="1" applyBorder="1" applyAlignment="1">
      <alignment horizontal="center" vertical="center" wrapText="1"/>
    </xf>
    <xf numFmtId="1" fontId="124" fillId="86" borderId="38" xfId="912" applyNumberFormat="1" applyFont="1" applyFill="1" applyBorder="1" applyAlignment="1">
      <alignment horizontal="center" vertical="center" wrapText="1"/>
    </xf>
    <xf numFmtId="0" fontId="7" fillId="61" borderId="34" xfId="912" applyNumberFormat="1" applyFont="1" applyFill="1" applyBorder="1" applyAlignment="1">
      <alignment horizontal="center" vertical="center" wrapText="1"/>
    </xf>
    <xf numFmtId="0" fontId="7" fillId="61" borderId="205" xfId="912" applyNumberFormat="1" applyFont="1" applyFill="1" applyBorder="1" applyAlignment="1">
      <alignment horizontal="center" vertical="center" wrapText="1"/>
    </xf>
    <xf numFmtId="0" fontId="7" fillId="54" borderId="38" xfId="912" applyNumberFormat="1" applyFont="1" applyFill="1" applyBorder="1" applyAlignment="1">
      <alignment vertical="center" wrapText="1"/>
    </xf>
    <xf numFmtId="0" fontId="7" fillId="54" borderId="205" xfId="912" applyNumberFormat="1" applyFont="1" applyFill="1" applyBorder="1" applyAlignment="1">
      <alignment vertical="center" wrapText="1"/>
    </xf>
    <xf numFmtId="0" fontId="7" fillId="19" borderId="205" xfId="912" applyNumberFormat="1" applyFont="1" applyFill="1" applyBorder="1" applyAlignment="1">
      <alignment vertical="center" wrapText="1"/>
    </xf>
    <xf numFmtId="0" fontId="7" fillId="62" borderId="0" xfId="912" applyNumberFormat="1" applyFont="1" applyFill="1" applyBorder="1" applyAlignment="1">
      <alignment vertical="center" wrapText="1"/>
    </xf>
    <xf numFmtId="0" fontId="7" fillId="62" borderId="34" xfId="912" applyNumberFormat="1" applyFont="1" applyFill="1" applyBorder="1" applyAlignment="1">
      <alignment vertical="center" wrapText="1"/>
    </xf>
    <xf numFmtId="0" fontId="7" fillId="62" borderId="38" xfId="912" applyNumberFormat="1" applyFont="1" applyFill="1" applyBorder="1" applyAlignment="1">
      <alignment vertical="center" wrapText="1"/>
    </xf>
    <xf numFmtId="0" fontId="7" fillId="78" borderId="34" xfId="912" applyNumberFormat="1" applyFont="1" applyFill="1" applyBorder="1" applyAlignment="1">
      <alignment vertical="center" wrapText="1"/>
    </xf>
    <xf numFmtId="0" fontId="7" fillId="85" borderId="34" xfId="912" applyNumberFormat="1" applyFont="1" applyFill="1" applyBorder="1" applyAlignment="1">
      <alignment vertical="center" wrapText="1"/>
    </xf>
    <xf numFmtId="0" fontId="6" fillId="8" borderId="0" xfId="5" applyFont="1" applyFill="1" applyBorder="1" applyAlignment="1" applyProtection="1">
      <alignment vertical="center"/>
    </xf>
    <xf numFmtId="199" fontId="9" fillId="9" borderId="29" xfId="1" applyFont="1" applyFill="1" applyBorder="1" applyAlignment="1">
      <alignment horizontal="right" vertical="center"/>
    </xf>
    <xf numFmtId="199" fontId="9" fillId="9" borderId="0" xfId="1" applyFont="1" applyFill="1" applyBorder="1" applyAlignment="1">
      <alignment horizontal="right" vertical="center"/>
    </xf>
    <xf numFmtId="199" fontId="0" fillId="9" borderId="0" xfId="1" applyFont="1" applyFill="1"/>
    <xf numFmtId="199" fontId="0" fillId="0" borderId="0" xfId="1" applyFont="1"/>
    <xf numFmtId="199" fontId="9" fillId="9" borderId="130" xfId="1" applyFont="1" applyFill="1" applyBorder="1" applyAlignment="1">
      <alignment horizontal="right" vertical="center"/>
    </xf>
    <xf numFmtId="199" fontId="9" fillId="9" borderId="12" xfId="1" applyFont="1" applyFill="1" applyBorder="1" applyAlignment="1">
      <alignment horizontal="right" vertical="center"/>
    </xf>
    <xf numFmtId="199" fontId="9" fillId="3" borderId="12" xfId="1" applyFont="1" applyFill="1" applyBorder="1" applyAlignment="1">
      <alignment horizontal="right" vertical="center"/>
    </xf>
    <xf numFmtId="199" fontId="16" fillId="2" borderId="0" xfId="1" applyFont="1" applyFill="1" applyBorder="1" applyAlignment="1">
      <alignment horizontal="center" vertical="center"/>
    </xf>
    <xf numFmtId="199" fontId="0" fillId="2" borderId="0" xfId="1" applyFont="1" applyFill="1" applyAlignment="1">
      <alignment horizontal="center"/>
    </xf>
    <xf numFmtId="199" fontId="6" fillId="2" borderId="0" xfId="1" applyFill="1"/>
    <xf numFmtId="199" fontId="20" fillId="2" borderId="0" xfId="1" applyFont="1" applyFill="1"/>
    <xf numFmtId="199" fontId="9" fillId="9" borderId="11" xfId="1" applyFont="1" applyFill="1" applyBorder="1" applyAlignment="1">
      <alignment horizontal="right" vertical="center"/>
    </xf>
    <xf numFmtId="199" fontId="9" fillId="2" borderId="11" xfId="1" applyFont="1" applyFill="1" applyBorder="1" applyAlignment="1">
      <alignment vertical="center"/>
    </xf>
    <xf numFmtId="199" fontId="9" fillId="2" borderId="4" xfId="1" applyFont="1" applyFill="1" applyBorder="1" applyAlignment="1">
      <alignment vertical="center"/>
    </xf>
    <xf numFmtId="199" fontId="9" fillId="2" borderId="12" xfId="1" applyFont="1" applyFill="1" applyBorder="1" applyAlignment="1">
      <alignment vertical="center"/>
    </xf>
    <xf numFmtId="199" fontId="9" fillId="2" borderId="0" xfId="1" applyFont="1" applyFill="1" applyBorder="1" applyAlignment="1">
      <alignment vertical="center"/>
    </xf>
    <xf numFmtId="199" fontId="15" fillId="2" borderId="0" xfId="1" applyFont="1" applyFill="1" applyBorder="1" applyAlignment="1">
      <alignment horizontal="center" vertical="center"/>
    </xf>
    <xf numFmtId="199" fontId="9" fillId="9" borderId="133" xfId="1" applyFont="1" applyFill="1" applyBorder="1" applyAlignment="1">
      <alignment horizontal="right" vertical="center"/>
    </xf>
    <xf numFmtId="199" fontId="9" fillId="9" borderId="19" xfId="1" applyFont="1" applyFill="1" applyBorder="1" applyAlignment="1">
      <alignment horizontal="right" vertical="center"/>
    </xf>
    <xf numFmtId="169" fontId="9" fillId="3" borderId="4" xfId="1" applyNumberFormat="1" applyFont="1" applyFill="1" applyBorder="1" applyAlignment="1">
      <alignment horizontal="right" vertical="center"/>
    </xf>
    <xf numFmtId="169" fontId="9" fillId="3" borderId="0" xfId="1" applyNumberFormat="1" applyFont="1" applyFill="1" applyBorder="1" applyAlignment="1">
      <alignment horizontal="right" vertical="center"/>
    </xf>
    <xf numFmtId="169" fontId="0" fillId="9" borderId="131" xfId="0" applyNumberFormat="1" applyFill="1" applyBorder="1"/>
    <xf numFmtId="169" fontId="0" fillId="9" borderId="0" xfId="0" applyNumberFormat="1" applyFill="1" applyBorder="1"/>
    <xf numFmtId="169" fontId="0" fillId="9" borderId="0" xfId="0" applyNumberFormat="1" applyFill="1"/>
    <xf numFmtId="169" fontId="0" fillId="9" borderId="58" xfId="0" applyNumberFormat="1" applyFill="1" applyBorder="1"/>
    <xf numFmtId="169" fontId="0" fillId="9" borderId="30" xfId="0" applyNumberFormat="1" applyFill="1" applyBorder="1"/>
    <xf numFmtId="199" fontId="6" fillId="2" borderId="147" xfId="1" applyFill="1" applyBorder="1"/>
    <xf numFmtId="199" fontId="6" fillId="2" borderId="0" xfId="1" applyFill="1" applyBorder="1"/>
    <xf numFmtId="199" fontId="20" fillId="2" borderId="147" xfId="1" applyFont="1" applyFill="1" applyBorder="1"/>
    <xf numFmtId="199" fontId="0" fillId="2" borderId="147" xfId="1" applyFont="1" applyFill="1" applyBorder="1"/>
    <xf numFmtId="199" fontId="20" fillId="8" borderId="147" xfId="1" applyFont="1" applyFill="1" applyBorder="1"/>
    <xf numFmtId="199" fontId="9" fillId="2" borderId="0" xfId="1" applyFont="1" applyFill="1"/>
    <xf numFmtId="199" fontId="20" fillId="8" borderId="0" xfId="1" applyFont="1" applyFill="1"/>
    <xf numFmtId="199" fontId="9" fillId="2" borderId="147" xfId="1" applyFont="1" applyFill="1" applyBorder="1"/>
    <xf numFmtId="199" fontId="9" fillId="8" borderId="0" xfId="1" applyFont="1" applyFill="1"/>
    <xf numFmtId="199" fontId="7" fillId="75" borderId="1" xfId="1" applyFont="1" applyFill="1" applyBorder="1"/>
    <xf numFmtId="199" fontId="0" fillId="75" borderId="1" xfId="1" applyFont="1" applyFill="1" applyBorder="1"/>
    <xf numFmtId="199" fontId="0" fillId="5" borderId="1" xfId="1" applyFont="1" applyFill="1" applyBorder="1"/>
    <xf numFmtId="199" fontId="7" fillId="76" borderId="0" xfId="1" applyFont="1" applyFill="1" applyBorder="1"/>
    <xf numFmtId="199" fontId="0" fillId="76" borderId="0" xfId="1" applyFont="1" applyFill="1" applyBorder="1"/>
    <xf numFmtId="199" fontId="0" fillId="76" borderId="147" xfId="1" applyFont="1" applyFill="1" applyBorder="1"/>
    <xf numFmtId="199" fontId="6" fillId="76" borderId="147" xfId="1" applyFont="1" applyFill="1" applyBorder="1"/>
    <xf numFmtId="199" fontId="0" fillId="76" borderId="0" xfId="1" applyFont="1" applyFill="1"/>
    <xf numFmtId="199" fontId="20" fillId="76" borderId="147" xfId="1" applyFont="1" applyFill="1" applyBorder="1"/>
    <xf numFmtId="199" fontId="20" fillId="76" borderId="0" xfId="1" applyFont="1" applyFill="1"/>
    <xf numFmtId="199" fontId="9" fillId="76" borderId="147" xfId="1" applyFont="1" applyFill="1" applyBorder="1"/>
    <xf numFmtId="199" fontId="9" fillId="76" borderId="0" xfId="1" applyFont="1" applyFill="1"/>
    <xf numFmtId="199" fontId="6" fillId="8" borderId="0" xfId="1" applyFont="1" applyFill="1"/>
    <xf numFmtId="199" fontId="9" fillId="0" borderId="2" xfId="1" applyFont="1" applyFill="1" applyBorder="1"/>
    <xf numFmtId="199" fontId="15" fillId="8" borderId="2" xfId="1" applyFont="1" applyFill="1" applyBorder="1" applyAlignment="1">
      <alignment horizontal="right"/>
    </xf>
    <xf numFmtId="199" fontId="15" fillId="6" borderId="8" xfId="1" applyFont="1" applyFill="1" applyBorder="1" applyAlignment="1">
      <alignment horizontal="right"/>
    </xf>
    <xf numFmtId="199" fontId="15" fillId="2" borderId="0" xfId="1" applyFont="1" applyFill="1"/>
    <xf numFmtId="199" fontId="20" fillId="2" borderId="2" xfId="1" applyFont="1" applyFill="1" applyBorder="1"/>
    <xf numFmtId="199" fontId="20" fillId="2" borderId="0" xfId="1" applyFont="1" applyFill="1" applyBorder="1" applyAlignment="1">
      <alignment horizontal="right"/>
    </xf>
    <xf numFmtId="199" fontId="6" fillId="2" borderId="0" xfId="1" applyFont="1" applyFill="1" applyAlignment="1">
      <alignment horizontal="right"/>
    </xf>
    <xf numFmtId="199" fontId="15" fillId="8" borderId="0" xfId="1" applyFont="1" applyFill="1" applyAlignment="1">
      <alignment horizontal="right"/>
    </xf>
    <xf numFmtId="199" fontId="20" fillId="8" borderId="0" xfId="1" applyFont="1" applyFill="1" applyBorder="1" applyAlignment="1">
      <alignment horizontal="right"/>
    </xf>
    <xf numFmtId="199" fontId="6" fillId="8" borderId="0" xfId="1" applyFont="1" applyFill="1" applyAlignment="1">
      <alignment horizontal="right"/>
    </xf>
    <xf numFmtId="199" fontId="20" fillId="8" borderId="2" xfId="1" applyFont="1" applyFill="1" applyBorder="1"/>
    <xf numFmtId="199" fontId="15" fillId="8" borderId="0" xfId="1" applyFont="1" applyFill="1"/>
    <xf numFmtId="199" fontId="0" fillId="8" borderId="0" xfId="1" applyFont="1" applyFill="1"/>
    <xf numFmtId="199" fontId="0" fillId="2" borderId="13" xfId="1" applyFont="1" applyFill="1" applyBorder="1"/>
    <xf numFmtId="199" fontId="20" fillId="2" borderId="13" xfId="1" applyFont="1" applyFill="1" applyBorder="1"/>
    <xf numFmtId="199" fontId="20" fillId="8" borderId="13" xfId="1" applyFont="1" applyFill="1" applyBorder="1"/>
    <xf numFmtId="199" fontId="0" fillId="8" borderId="13" xfId="1" applyFont="1" applyFill="1" applyBorder="1"/>
    <xf numFmtId="199" fontId="0" fillId="4" borderId="1" xfId="1" applyFont="1" applyFill="1" applyBorder="1"/>
    <xf numFmtId="199" fontId="0" fillId="2" borderId="0" xfId="1" applyFont="1" applyFill="1" applyBorder="1"/>
    <xf numFmtId="199" fontId="9" fillId="8" borderId="13" xfId="1" applyFont="1" applyFill="1" applyBorder="1"/>
    <xf numFmtId="199" fontId="9" fillId="2" borderId="13" xfId="1" applyFont="1" applyFill="1" applyBorder="1"/>
    <xf numFmtId="199" fontId="6" fillId="2" borderId="13" xfId="1" applyFill="1" applyBorder="1"/>
    <xf numFmtId="199" fontId="6" fillId="8" borderId="0" xfId="1" applyFill="1"/>
    <xf numFmtId="199" fontId="6" fillId="5" borderId="1" xfId="1" applyFill="1" applyBorder="1"/>
    <xf numFmtId="199" fontId="20" fillId="5" borderId="1" xfId="1" applyFont="1" applyFill="1" applyBorder="1"/>
    <xf numFmtId="199" fontId="20" fillId="2" borderId="0" xfId="1" applyFont="1" applyFill="1" applyBorder="1"/>
    <xf numFmtId="199" fontId="20" fillId="8" borderId="0" xfId="1" applyFont="1" applyFill="1" applyBorder="1"/>
    <xf numFmtId="199" fontId="0" fillId="8" borderId="0" xfId="1" applyFont="1" applyFill="1" applyBorder="1"/>
    <xf numFmtId="199" fontId="9" fillId="76" borderId="0" xfId="1" applyFont="1" applyFill="1" applyBorder="1"/>
    <xf numFmtId="199" fontId="20" fillId="76" borderId="0" xfId="1" applyFont="1" applyFill="1" applyBorder="1"/>
    <xf numFmtId="199" fontId="31" fillId="2" borderId="0" xfId="1" applyFont="1" applyFill="1"/>
    <xf numFmtId="199" fontId="31" fillId="8" borderId="0" xfId="1" applyFont="1" applyFill="1"/>
    <xf numFmtId="199" fontId="31" fillId="8" borderId="0" xfId="1" applyFont="1" applyFill="1" applyBorder="1"/>
    <xf numFmtId="199" fontId="7" fillId="5" borderId="1" xfId="1" applyFont="1" applyFill="1" applyBorder="1"/>
    <xf numFmtId="199" fontId="15" fillId="2" borderId="146" xfId="1" applyFont="1" applyFill="1" applyBorder="1" applyAlignment="1">
      <alignment horizontal="right"/>
    </xf>
    <xf numFmtId="199" fontId="15" fillId="6" borderId="0" xfId="1" applyFont="1" applyFill="1" applyBorder="1" applyAlignment="1">
      <alignment horizontal="right"/>
    </xf>
    <xf numFmtId="199" fontId="15" fillId="2" borderId="145" xfId="1" applyFont="1" applyFill="1" applyBorder="1" applyAlignment="1">
      <alignment horizontal="right"/>
    </xf>
    <xf numFmtId="199" fontId="0" fillId="9" borderId="155" xfId="1" applyFont="1" applyFill="1" applyBorder="1" applyAlignment="1">
      <alignment horizontal="right" vertical="center"/>
    </xf>
    <xf numFmtId="199" fontId="0" fillId="9" borderId="0" xfId="1" applyFont="1" applyFill="1" applyAlignment="1">
      <alignment horizontal="right" vertical="center"/>
    </xf>
    <xf numFmtId="199" fontId="0" fillId="9" borderId="56" xfId="1" applyFont="1" applyFill="1" applyBorder="1" applyAlignment="1">
      <alignment horizontal="right" vertical="center"/>
    </xf>
    <xf numFmtId="199" fontId="0" fillId="8" borderId="0" xfId="1" applyFont="1" applyFill="1" applyBorder="1" applyAlignment="1">
      <alignment horizontal="right" vertical="center"/>
    </xf>
    <xf numFmtId="199" fontId="0" fillId="9" borderId="30" xfId="1" applyFont="1" applyFill="1" applyBorder="1" applyAlignment="1">
      <alignment horizontal="right" vertical="center"/>
    </xf>
    <xf numFmtId="199" fontId="0" fillId="9" borderId="0" xfId="1" applyFont="1" applyFill="1" applyBorder="1" applyAlignment="1">
      <alignment horizontal="right" vertical="center"/>
    </xf>
    <xf numFmtId="199" fontId="0" fillId="9" borderId="55" xfId="1" applyFont="1" applyFill="1" applyBorder="1" applyAlignment="1">
      <alignment horizontal="right" vertical="center"/>
    </xf>
    <xf numFmtId="199" fontId="0" fillId="8" borderId="0" xfId="1" applyFont="1" applyFill="1" applyAlignment="1">
      <alignment horizontal="right" vertical="center"/>
    </xf>
    <xf numFmtId="199" fontId="0" fillId="15" borderId="57" xfId="1" applyFont="1" applyFill="1" applyBorder="1" applyAlignment="1">
      <alignment horizontal="right" vertical="center"/>
    </xf>
    <xf numFmtId="199" fontId="0" fillId="8" borderId="56" xfId="1" applyFont="1" applyFill="1" applyBorder="1" applyAlignment="1">
      <alignment horizontal="right" vertical="center"/>
    </xf>
    <xf numFmtId="199" fontId="0" fillId="14" borderId="0" xfId="1" applyFont="1" applyFill="1" applyAlignment="1">
      <alignment horizontal="right" vertical="center"/>
    </xf>
    <xf numFmtId="199" fontId="0" fillId="14" borderId="57" xfId="1" applyFont="1" applyFill="1" applyBorder="1" applyAlignment="1">
      <alignment horizontal="right" vertical="center"/>
    </xf>
    <xf numFmtId="199" fontId="0" fillId="8" borderId="55" xfId="1" applyFont="1" applyFill="1" applyBorder="1" applyAlignment="1">
      <alignment horizontal="right" vertical="center"/>
    </xf>
    <xf numFmtId="199" fontId="0" fillId="15" borderId="0" xfId="1" applyFont="1" applyFill="1" applyAlignment="1">
      <alignment horizontal="right" vertical="center"/>
    </xf>
    <xf numFmtId="199" fontId="7" fillId="8" borderId="28" xfId="1" applyFont="1" applyFill="1" applyBorder="1" applyAlignment="1">
      <alignment horizontal="right" vertical="center"/>
    </xf>
    <xf numFmtId="199" fontId="0" fillId="5" borderId="132" xfId="1" applyFont="1" applyFill="1" applyBorder="1" applyAlignment="1">
      <alignment horizontal="right"/>
    </xf>
    <xf numFmtId="199" fontId="6" fillId="5" borderId="132" xfId="1" applyFont="1" applyFill="1" applyBorder="1" applyAlignment="1">
      <alignment horizontal="right"/>
    </xf>
    <xf numFmtId="199" fontId="9" fillId="8" borderId="29" xfId="1" applyFont="1" applyFill="1" applyBorder="1" applyAlignment="1">
      <alignment horizontal="left"/>
    </xf>
    <xf numFmtId="199" fontId="9" fillId="8" borderId="0" xfId="1" applyFont="1" applyFill="1" applyBorder="1" applyAlignment="1">
      <alignment horizontal="left"/>
    </xf>
    <xf numFmtId="199" fontId="9" fillId="2" borderId="0" xfId="1" applyFont="1" applyFill="1" applyAlignment="1">
      <alignment horizontal="right"/>
    </xf>
    <xf numFmtId="199" fontId="9" fillId="7" borderId="29" xfId="1" applyFont="1" applyFill="1" applyBorder="1"/>
    <xf numFmtId="199" fontId="9" fillId="8" borderId="29" xfId="1" applyFont="1" applyFill="1" applyBorder="1"/>
    <xf numFmtId="199" fontId="9" fillId="7" borderId="0" xfId="1" applyFont="1" applyFill="1" applyBorder="1"/>
    <xf numFmtId="199" fontId="20" fillId="2" borderId="0" xfId="1" applyFont="1" applyFill="1" applyAlignment="1">
      <alignment horizontal="right"/>
    </xf>
    <xf numFmtId="200" fontId="9" fillId="8" borderId="29" xfId="1" applyNumberFormat="1" applyFont="1" applyFill="1" applyBorder="1" applyAlignment="1">
      <alignment horizontal="right"/>
    </xf>
    <xf numFmtId="200" fontId="9" fillId="8" borderId="0" xfId="1" applyNumberFormat="1" applyFont="1" applyFill="1" applyBorder="1" applyAlignment="1">
      <alignment horizontal="right"/>
    </xf>
    <xf numFmtId="0" fontId="26" fillId="8" borderId="0" xfId="22" applyFont="1" applyFill="1" applyAlignment="1">
      <alignment horizontal="left" vertical="center"/>
    </xf>
    <xf numFmtId="0" fontId="26" fillId="8" borderId="0" xfId="22" quotePrefix="1" applyFont="1" applyFill="1" applyAlignment="1">
      <alignment vertical="center"/>
    </xf>
    <xf numFmtId="0" fontId="6" fillId="8" borderId="0" xfId="22" quotePrefix="1" applyFill="1" applyAlignment="1">
      <alignment horizontal="left"/>
    </xf>
    <xf numFmtId="17" fontId="6" fillId="8" borderId="0" xfId="22" quotePrefix="1" applyNumberFormat="1" applyFill="1"/>
    <xf numFmtId="0" fontId="7" fillId="8" borderId="0" xfId="0" applyFont="1" applyFill="1" applyBorder="1" applyAlignment="1">
      <alignment horizontal="right"/>
    </xf>
    <xf numFmtId="173" fontId="0" fillId="8" borderId="0" xfId="1" applyNumberFormat="1" applyFont="1" applyFill="1" applyBorder="1"/>
    <xf numFmtId="10" fontId="6" fillId="9" borderId="131" xfId="4" applyNumberFormat="1" applyFill="1" applyBorder="1"/>
    <xf numFmtId="10" fontId="6" fillId="9" borderId="29" xfId="4" applyNumberFormat="1" applyFill="1" applyBorder="1"/>
    <xf numFmtId="10" fontId="6" fillId="76" borderId="0" xfId="4" applyNumberFormat="1" applyFill="1" applyBorder="1"/>
    <xf numFmtId="167" fontId="6" fillId="2" borderId="129" xfId="3" applyNumberFormat="1" applyFont="1" applyFill="1" applyBorder="1"/>
    <xf numFmtId="167" fontId="9" fillId="2" borderId="129" xfId="3" applyNumberFormat="1" applyFont="1" applyFill="1" applyBorder="1"/>
    <xf numFmtId="10" fontId="0" fillId="9" borderId="7" xfId="4" applyNumberFormat="1" applyFont="1" applyFill="1" applyBorder="1" applyAlignment="1">
      <alignment vertical="center" wrapText="1"/>
    </xf>
    <xf numFmtId="0" fontId="6" fillId="8" borderId="38" xfId="0" applyFont="1" applyFill="1" applyBorder="1"/>
    <xf numFmtId="10" fontId="6" fillId="8" borderId="38" xfId="4" applyNumberFormat="1" applyFill="1" applyBorder="1"/>
    <xf numFmtId="10" fontId="6" fillId="8" borderId="13" xfId="3" applyNumberFormat="1" applyFont="1" applyFill="1" applyBorder="1"/>
    <xf numFmtId="0" fontId="7" fillId="8" borderId="0" xfId="0" applyFont="1" applyFill="1" applyBorder="1"/>
    <xf numFmtId="199" fontId="15" fillId="8" borderId="0" xfId="1" applyFont="1" applyFill="1" applyBorder="1" applyAlignment="1">
      <alignment horizontal="right"/>
    </xf>
    <xf numFmtId="199" fontId="6" fillId="8" borderId="0" xfId="1" applyFont="1" applyFill="1" applyBorder="1"/>
    <xf numFmtId="199" fontId="15" fillId="8" borderId="0" xfId="1" applyFont="1" applyFill="1" applyBorder="1"/>
    <xf numFmtId="0" fontId="33" fillId="8" borderId="0" xfId="0" applyFont="1" applyFill="1" applyAlignment="1">
      <alignment horizontal="left" vertical="center"/>
    </xf>
    <xf numFmtId="0" fontId="33" fillId="8" borderId="0" xfId="0" applyFont="1" applyFill="1" applyBorder="1" applyAlignment="1">
      <alignment horizontal="left"/>
    </xf>
    <xf numFmtId="167" fontId="7" fillId="8" borderId="3" xfId="0" applyNumberFormat="1" applyFont="1" applyFill="1" applyBorder="1" applyAlignment="1">
      <alignment horizontal="center" wrapText="1"/>
    </xf>
    <xf numFmtId="0" fontId="127" fillId="8" borderId="0" xfId="0" applyFont="1" applyFill="1" applyAlignment="1">
      <alignment horizontal="centerContinuous" wrapText="1"/>
    </xf>
    <xf numFmtId="0" fontId="0" fillId="75" borderId="132" xfId="0" applyFill="1" applyBorder="1" applyAlignment="1">
      <alignment vertical="center"/>
    </xf>
    <xf numFmtId="0" fontId="7" fillId="75" borderId="132" xfId="0" applyFont="1" applyFill="1" applyBorder="1" applyAlignment="1">
      <alignment vertical="center"/>
    </xf>
    <xf numFmtId="199" fontId="9" fillId="0" borderId="130" xfId="1" applyFont="1" applyFill="1" applyBorder="1" applyAlignment="1">
      <alignment horizontal="right" vertical="center"/>
    </xf>
    <xf numFmtId="199" fontId="9" fillId="0" borderId="4" xfId="1" applyFont="1" applyFill="1" applyBorder="1" applyAlignment="1">
      <alignment horizontal="right" vertical="center"/>
    </xf>
    <xf numFmtId="199" fontId="9" fillId="0" borderId="12" xfId="1" applyFont="1" applyFill="1" applyBorder="1" applyAlignment="1">
      <alignment horizontal="right" vertical="center"/>
    </xf>
    <xf numFmtId="199" fontId="9" fillId="0" borderId="0" xfId="1" applyFont="1" applyFill="1" applyBorder="1" applyAlignment="1">
      <alignment horizontal="right" vertical="center"/>
    </xf>
    <xf numFmtId="0" fontId="0" fillId="89" borderId="0" xfId="0" applyFill="1"/>
    <xf numFmtId="0" fontId="6" fillId="4" borderId="132" xfId="0" applyFont="1" applyFill="1" applyBorder="1"/>
    <xf numFmtId="199" fontId="9" fillId="3" borderId="0" xfId="1" applyNumberFormat="1" applyFont="1" applyFill="1" applyBorder="1" applyAlignment="1">
      <alignment horizontal="right" vertical="center"/>
    </xf>
    <xf numFmtId="0" fontId="0" fillId="90" borderId="0" xfId="0" applyFill="1" applyBorder="1"/>
    <xf numFmtId="199" fontId="0" fillId="8" borderId="0" xfId="1" applyNumberFormat="1" applyFont="1" applyFill="1"/>
    <xf numFmtId="202" fontId="9" fillId="2" borderId="0" xfId="1" applyNumberFormat="1" applyFont="1" applyFill="1" applyBorder="1" applyAlignment="1">
      <alignment horizontal="center" vertical="center"/>
    </xf>
    <xf numFmtId="201" fontId="9" fillId="3" borderId="0" xfId="1" applyNumberFormat="1" applyFont="1" applyFill="1" applyBorder="1" applyAlignment="1">
      <alignment horizontal="right" vertical="center"/>
    </xf>
    <xf numFmtId="201" fontId="0" fillId="2" borderId="0" xfId="1" applyNumberFormat="1" applyFont="1" applyFill="1"/>
    <xf numFmtId="199" fontId="9" fillId="2" borderId="0" xfId="1" applyNumberFormat="1" applyFont="1" applyFill="1" applyBorder="1" applyAlignment="1">
      <alignment horizontal="center" vertical="center"/>
    </xf>
    <xf numFmtId="0" fontId="7" fillId="8" borderId="140" xfId="0" quotePrefix="1" applyFont="1" applyFill="1" applyBorder="1" applyAlignment="1">
      <alignment horizontal="right" vertical="center"/>
    </xf>
    <xf numFmtId="199" fontId="9" fillId="3" borderId="266" xfId="1" applyFont="1" applyFill="1" applyBorder="1" applyAlignment="1">
      <alignment horizontal="right" vertical="center"/>
    </xf>
    <xf numFmtId="199" fontId="9" fillId="3" borderId="5" xfId="1" applyFont="1" applyFill="1" applyBorder="1" applyAlignment="1">
      <alignment horizontal="right" vertical="center"/>
    </xf>
    <xf numFmtId="199" fontId="9" fillId="3" borderId="268" xfId="1" applyFont="1" applyFill="1" applyBorder="1" applyAlignment="1">
      <alignment horizontal="right" vertical="center"/>
    </xf>
    <xf numFmtId="199" fontId="9" fillId="3" borderId="131" xfId="1" applyFont="1" applyFill="1" applyBorder="1" applyAlignment="1">
      <alignment horizontal="right" vertical="center"/>
    </xf>
    <xf numFmtId="0" fontId="7" fillId="2" borderId="140" xfId="0" quotePrefix="1" applyFont="1" applyFill="1" applyBorder="1" applyAlignment="1">
      <alignment horizontal="right" vertical="center"/>
    </xf>
    <xf numFmtId="199" fontId="20" fillId="2" borderId="0" xfId="1" applyNumberFormat="1" applyFont="1" applyFill="1"/>
    <xf numFmtId="203" fontId="0" fillId="2" borderId="0" xfId="1" applyNumberFormat="1" applyFont="1" applyFill="1"/>
    <xf numFmtId="0" fontId="7" fillId="77" borderId="0" xfId="912" applyFont="1" applyFill="1" applyBorder="1" applyAlignment="1">
      <alignment horizontal="right" vertical="center" wrapText="1"/>
    </xf>
    <xf numFmtId="0" fontId="138" fillId="82" borderId="182" xfId="912" applyFont="1" applyFill="1" applyBorder="1" applyAlignment="1">
      <alignment horizontal="right" vertical="center" wrapText="1"/>
    </xf>
    <xf numFmtId="0" fontId="138" fillId="82" borderId="178" xfId="912" applyFont="1" applyFill="1" applyBorder="1" applyAlignment="1">
      <alignment horizontal="right" vertical="center" wrapText="1"/>
    </xf>
    <xf numFmtId="0" fontId="138" fillId="82" borderId="176" xfId="912" applyFont="1" applyFill="1" applyBorder="1" applyAlignment="1">
      <alignment horizontal="right" vertical="center" wrapText="1"/>
    </xf>
    <xf numFmtId="0" fontId="138" fillId="82" borderId="35" xfId="912" applyFont="1" applyFill="1" applyBorder="1" applyAlignment="1">
      <alignment horizontal="right" vertical="center" wrapText="1"/>
    </xf>
    <xf numFmtId="0" fontId="138" fillId="81" borderId="35" xfId="912" applyFont="1" applyFill="1" applyBorder="1" applyAlignment="1">
      <alignment horizontal="right" vertical="center" wrapText="1"/>
    </xf>
    <xf numFmtId="0" fontId="138" fillId="81" borderId="0" xfId="912" applyFont="1" applyFill="1" applyBorder="1" applyAlignment="1">
      <alignment horizontal="right" vertical="center" wrapText="1"/>
    </xf>
    <xf numFmtId="0" fontId="138" fillId="80" borderId="0" xfId="912" applyFont="1" applyFill="1" applyBorder="1" applyAlignment="1">
      <alignment horizontal="right" vertical="center"/>
    </xf>
    <xf numFmtId="0" fontId="138" fillId="80" borderId="35" xfId="912" applyFont="1" applyFill="1" applyBorder="1" applyAlignment="1">
      <alignment horizontal="right" vertical="center"/>
    </xf>
    <xf numFmtId="0" fontId="141" fillId="77" borderId="35" xfId="912" applyFont="1" applyFill="1" applyBorder="1" applyAlignment="1">
      <alignment horizontal="right" vertical="center" wrapText="1"/>
    </xf>
    <xf numFmtId="0" fontId="141" fillId="77" borderId="0" xfId="912" applyFont="1" applyFill="1" applyBorder="1" applyAlignment="1">
      <alignment horizontal="right" vertical="center" wrapText="1"/>
    </xf>
    <xf numFmtId="0" fontId="138" fillId="82" borderId="190" xfId="912" applyFont="1" applyFill="1" applyBorder="1" applyAlignment="1">
      <alignment horizontal="right" vertical="center" wrapText="1"/>
    </xf>
    <xf numFmtId="0" fontId="138" fillId="82" borderId="184" xfId="912" applyFont="1" applyFill="1" applyBorder="1" applyAlignment="1">
      <alignment horizontal="right" vertical="center" wrapText="1"/>
    </xf>
    <xf numFmtId="0" fontId="138" fillId="84" borderId="0" xfId="912" applyFont="1" applyFill="1" applyBorder="1" applyAlignment="1">
      <alignment horizontal="right" vertical="center" wrapText="1"/>
    </xf>
    <xf numFmtId="0" fontId="1" fillId="8" borderId="40" xfId="912" applyFill="1" applyBorder="1" applyAlignment="1" applyProtection="1">
      <alignment vertical="center"/>
    </xf>
    <xf numFmtId="0" fontId="1" fillId="8" borderId="45" xfId="912" applyFill="1" applyBorder="1" applyAlignment="1" applyProtection="1">
      <alignment vertical="center"/>
    </xf>
    <xf numFmtId="0" fontId="1" fillId="8" borderId="194" xfId="912" applyFill="1" applyBorder="1" applyAlignment="1" applyProtection="1">
      <alignment vertical="center"/>
    </xf>
    <xf numFmtId="0" fontId="1" fillId="0" borderId="0" xfId="912"/>
    <xf numFmtId="0" fontId="1" fillId="8" borderId="118" xfId="912" applyFill="1" applyBorder="1" applyAlignment="1" applyProtection="1">
      <alignment vertical="center"/>
    </xf>
    <xf numFmtId="0" fontId="38" fillId="53" borderId="71" xfId="912" applyFont="1" applyFill="1" applyBorder="1" applyAlignment="1" applyProtection="1">
      <alignment horizontal="left" vertical="top" wrapText="1"/>
    </xf>
    <xf numFmtId="0" fontId="38" fillId="53" borderId="72" xfId="912" applyFont="1" applyFill="1" applyBorder="1" applyAlignment="1" applyProtection="1">
      <alignment horizontal="left" vertical="top" wrapText="1"/>
    </xf>
    <xf numFmtId="0" fontId="111" fillId="14" borderId="31" xfId="912" applyFont="1" applyFill="1" applyBorder="1" applyAlignment="1">
      <alignment horizontal="center"/>
    </xf>
    <xf numFmtId="0" fontId="7" fillId="20" borderId="32" xfId="912" applyFont="1" applyFill="1" applyBorder="1" applyAlignment="1">
      <alignment horizontal="center"/>
    </xf>
    <xf numFmtId="0" fontId="7" fillId="20" borderId="31" xfId="912" applyFont="1" applyFill="1" applyBorder="1" applyAlignment="1">
      <alignment horizontal="center"/>
    </xf>
    <xf numFmtId="0" fontId="91" fillId="16" borderId="32" xfId="912" applyFont="1" applyFill="1" applyBorder="1" applyAlignment="1">
      <alignment horizontal="center"/>
    </xf>
    <xf numFmtId="0" fontId="91" fillId="16" borderId="31" xfId="912" applyFont="1" applyFill="1" applyBorder="1" applyAlignment="1">
      <alignment horizontal="center"/>
    </xf>
    <xf numFmtId="0" fontId="91" fillId="16" borderId="33" xfId="912" applyFont="1" applyFill="1" applyBorder="1" applyAlignment="1">
      <alignment horizontal="center"/>
    </xf>
    <xf numFmtId="0" fontId="7" fillId="78" borderId="40" xfId="912" applyFont="1" applyFill="1" applyBorder="1" applyAlignment="1">
      <alignment horizontal="center"/>
    </xf>
    <xf numFmtId="0" fontId="7" fillId="78" borderId="45" xfId="912" applyFont="1" applyFill="1" applyBorder="1" applyAlignment="1">
      <alignment horizontal="center"/>
    </xf>
    <xf numFmtId="0" fontId="7" fillId="78" borderId="206" xfId="912" applyFont="1" applyFill="1" applyBorder="1" applyAlignment="1">
      <alignment horizontal="center"/>
    </xf>
    <xf numFmtId="0" fontId="1" fillId="0" borderId="262" xfId="912" applyBorder="1" applyAlignment="1">
      <alignment horizontal="right" vertical="center" wrapText="1"/>
    </xf>
    <xf numFmtId="0" fontId="1" fillId="0" borderId="35" xfId="912" applyBorder="1" applyAlignment="1">
      <alignment horizontal="right" vertical="center" wrapText="1"/>
    </xf>
    <xf numFmtId="0" fontId="6" fillId="62" borderId="102" xfId="912" applyFont="1" applyFill="1" applyBorder="1" applyAlignment="1" applyProtection="1">
      <alignment horizontal="left" vertical="center" indent="4"/>
    </xf>
    <xf numFmtId="0" fontId="6" fillId="62" borderId="91" xfId="912" applyFont="1" applyFill="1" applyBorder="1" applyAlignment="1" applyProtection="1">
      <alignment horizontal="left" vertical="center" indent="4"/>
    </xf>
    <xf numFmtId="0" fontId="1" fillId="0" borderId="25" xfId="912" applyBorder="1" applyAlignment="1">
      <alignment horizontal="right" vertical="center"/>
    </xf>
    <xf numFmtId="0" fontId="1" fillId="0" borderId="38" xfId="912" applyBorder="1" applyAlignment="1">
      <alignment horizontal="right" vertical="center"/>
    </xf>
    <xf numFmtId="0" fontId="1" fillId="0" borderId="264" xfId="912" applyBorder="1" applyAlignment="1">
      <alignment horizontal="right" vertical="center"/>
    </xf>
    <xf numFmtId="0" fontId="39" fillId="20" borderId="0" xfId="912" applyFont="1" applyFill="1" applyBorder="1" applyAlignment="1" applyProtection="1">
      <alignment horizontal="left" wrapText="1"/>
      <protection locked="0"/>
    </xf>
    <xf numFmtId="0" fontId="39" fillId="20" borderId="35" xfId="912" applyFont="1" applyFill="1" applyBorder="1" applyAlignment="1" applyProtection="1">
      <alignment horizontal="left" wrapText="1"/>
      <protection locked="0"/>
    </xf>
    <xf numFmtId="0" fontId="6" fillId="18" borderId="0" xfId="912" applyFont="1" applyFill="1" applyBorder="1" applyAlignment="1" applyProtection="1">
      <alignment horizontal="left" vertical="top" wrapText="1"/>
      <protection locked="0"/>
    </xf>
    <xf numFmtId="0" fontId="1" fillId="0" borderId="266" xfId="912" applyBorder="1" applyAlignment="1">
      <alignment horizontal="right" vertical="center"/>
    </xf>
    <xf numFmtId="0" fontId="1" fillId="0" borderId="5" xfId="912" applyBorder="1" applyAlignment="1">
      <alignment horizontal="right" vertical="center"/>
    </xf>
    <xf numFmtId="0" fontId="1" fillId="0" borderId="268" xfId="912" applyBorder="1" applyAlignment="1">
      <alignment horizontal="right" vertical="center"/>
    </xf>
    <xf numFmtId="0" fontId="1" fillId="0" borderId="266" xfId="912" applyBorder="1" applyAlignment="1">
      <alignment horizontal="right" vertical="center" wrapText="1"/>
    </xf>
    <xf numFmtId="0" fontId="1" fillId="0" borderId="38" xfId="912" applyBorder="1" applyAlignment="1">
      <alignment horizontal="right" vertical="center" wrapText="1"/>
    </xf>
    <xf numFmtId="0" fontId="1" fillId="0" borderId="264" xfId="912" applyBorder="1" applyAlignment="1">
      <alignment horizontal="right" vertical="center" wrapText="1"/>
    </xf>
    <xf numFmtId="0" fontId="42" fillId="11" borderId="0" xfId="912" applyFont="1" applyFill="1" applyBorder="1" applyAlignment="1">
      <alignment horizontal="right" vertical="top"/>
    </xf>
    <xf numFmtId="0" fontId="39" fillId="14" borderId="0" xfId="912" applyFont="1" applyFill="1" applyAlignment="1" applyProtection="1">
      <alignment horizontal="left" vertical="top" indent="1"/>
    </xf>
    <xf numFmtId="0" fontId="42" fillId="11" borderId="0" xfId="912" applyFont="1" applyFill="1" applyBorder="1" applyAlignment="1">
      <alignment horizontal="right" vertical="top" wrapText="1"/>
    </xf>
    <xf numFmtId="0" fontId="38" fillId="18" borderId="0" xfId="912" applyFont="1" applyFill="1" applyAlignment="1" applyProtection="1">
      <alignment horizontal="left" vertical="top" indent="1"/>
      <protection locked="0"/>
    </xf>
    <xf numFmtId="14" fontId="39" fillId="18" borderId="0" xfId="912" quotePrefix="1" applyNumberFormat="1" applyFont="1" applyFill="1" applyAlignment="1" applyProtection="1">
      <alignment horizontal="left" vertical="top" indent="1"/>
      <protection locked="0"/>
    </xf>
    <xf numFmtId="14" fontId="39" fillId="18" borderId="0" xfId="912" applyNumberFormat="1" applyFont="1" applyFill="1" applyAlignment="1" applyProtection="1">
      <alignment horizontal="left" vertical="top" indent="1"/>
      <protection locked="0"/>
    </xf>
    <xf numFmtId="0" fontId="39" fillId="18" borderId="0" xfId="912" applyFont="1" applyFill="1" applyAlignment="1" applyProtection="1">
      <alignment horizontal="left" vertical="top" indent="1"/>
      <protection locked="0"/>
    </xf>
    <xf numFmtId="0" fontId="12" fillId="14" borderId="0" xfId="912" applyFont="1" applyFill="1" applyBorder="1" applyAlignment="1">
      <alignment horizontal="center" vertical="top"/>
    </xf>
    <xf numFmtId="0" fontId="12" fillId="88" borderId="0" xfId="912" quotePrefix="1" applyFont="1" applyFill="1" applyBorder="1" applyAlignment="1" applyProtection="1">
      <alignment horizontal="center" vertical="center"/>
    </xf>
    <xf numFmtId="0" fontId="144" fillId="11" borderId="0" xfId="912" applyFont="1" applyFill="1" applyBorder="1" applyAlignment="1">
      <alignment horizontal="right"/>
    </xf>
    <xf numFmtId="0" fontId="38" fillId="18" borderId="0" xfId="912" quotePrefix="1" applyFont="1" applyFill="1" applyBorder="1" applyAlignment="1" applyProtection="1">
      <protection locked="0"/>
    </xf>
    <xf numFmtId="0" fontId="12" fillId="18" borderId="0" xfId="912" applyFont="1" applyFill="1" applyBorder="1" applyAlignment="1" applyProtection="1">
      <alignment horizontal="center" vertical="top"/>
      <protection locked="0"/>
    </xf>
    <xf numFmtId="198" fontId="38" fillId="18" borderId="0" xfId="912" quotePrefix="1" applyNumberFormat="1" applyFont="1" applyFill="1" applyBorder="1" applyAlignment="1" applyProtection="1">
      <alignment horizontal="left"/>
      <protection locked="0"/>
    </xf>
    <xf numFmtId="0" fontId="38" fillId="18" borderId="0" xfId="912" applyFont="1" applyFill="1" applyAlignment="1" applyProtection="1">
      <protection locked="0"/>
    </xf>
    <xf numFmtId="0" fontId="38" fillId="14" borderId="0" xfId="912" applyFont="1" applyFill="1" applyAlignment="1">
      <alignment horizontal="left"/>
    </xf>
    <xf numFmtId="0" fontId="38" fillId="18" borderId="0" xfId="912" applyFont="1" applyFill="1" applyAlignment="1" applyProtection="1">
      <alignment horizontal="left"/>
      <protection locked="0"/>
    </xf>
    <xf numFmtId="0" fontId="38" fillId="18" borderId="270" xfId="912" applyFont="1" applyFill="1" applyBorder="1" applyAlignment="1" applyProtection="1">
      <alignment horizontal="left"/>
      <protection locked="0"/>
    </xf>
    <xf numFmtId="0" fontId="38" fillId="18" borderId="78" xfId="912" applyFont="1" applyFill="1" applyBorder="1" applyAlignment="1" applyProtection="1">
      <alignment horizontal="left"/>
      <protection locked="0"/>
    </xf>
    <xf numFmtId="0" fontId="38" fillId="18" borderId="103" xfId="912" applyFont="1" applyFill="1" applyBorder="1" applyAlignment="1" applyProtection="1">
      <alignment horizontal="left"/>
      <protection locked="0"/>
    </xf>
    <xf numFmtId="0" fontId="158" fillId="11" borderId="0" xfId="912" quotePrefix="1" applyFont="1" applyFill="1" applyBorder="1" applyAlignment="1">
      <alignment horizontal="right" vertical="center"/>
    </xf>
    <xf numFmtId="0" fontId="158" fillId="11" borderId="0" xfId="912" applyFont="1" applyFill="1" applyBorder="1" applyAlignment="1">
      <alignment horizontal="right" vertical="center"/>
    </xf>
    <xf numFmtId="177" fontId="166" fillId="14" borderId="0" xfId="912" applyNumberFormat="1" applyFont="1" applyFill="1" applyAlignment="1">
      <alignment horizontal="left" vertical="center" wrapText="1"/>
    </xf>
    <xf numFmtId="49" fontId="41" fillId="13" borderId="0" xfId="913" applyFill="1" applyAlignment="1">
      <alignment horizontal="center" vertical="center"/>
    </xf>
    <xf numFmtId="0" fontId="41" fillId="12" borderId="0" xfId="914" applyFont="1">
      <alignment vertical="center"/>
    </xf>
    <xf numFmtId="0" fontId="13" fillId="55" borderId="0" xfId="914" applyFont="1" applyFill="1" applyAlignment="1">
      <alignment horizontal="justify" vertical="center" wrapText="1"/>
    </xf>
    <xf numFmtId="49" fontId="167" fillId="13" borderId="0" xfId="913" applyFont="1" applyAlignment="1">
      <alignment horizontal="center" vertical="center"/>
    </xf>
    <xf numFmtId="0" fontId="144" fillId="11" borderId="0" xfId="912" applyFont="1" applyFill="1" applyBorder="1" applyAlignment="1">
      <alignment horizontal="right" vertical="center"/>
    </xf>
    <xf numFmtId="0" fontId="166" fillId="18" borderId="0" xfId="912" applyFont="1" applyFill="1" applyAlignment="1" applyProtection="1">
      <alignment vertical="center"/>
      <protection locked="0"/>
    </xf>
    <xf numFmtId="0" fontId="6" fillId="8" borderId="0" xfId="22" applyFont="1" applyFill="1" applyAlignment="1">
      <alignment horizontal="left" wrapText="1"/>
    </xf>
    <xf numFmtId="0" fontId="6" fillId="9" borderId="22" xfId="5" applyFont="1" applyFill="1" applyBorder="1" applyAlignment="1" applyProtection="1">
      <alignment horizontal="left"/>
      <protection locked="0"/>
    </xf>
    <xf numFmtId="0" fontId="6" fillId="9" borderId="23" xfId="5" applyFont="1" applyFill="1" applyBorder="1" applyAlignment="1" applyProtection="1">
      <alignment horizontal="left"/>
      <protection locked="0"/>
    </xf>
    <xf numFmtId="0" fontId="6" fillId="9" borderId="24" xfId="5" applyFont="1" applyFill="1" applyBorder="1" applyAlignment="1" applyProtection="1">
      <alignment horizontal="left" vertical="top" wrapText="1"/>
      <protection locked="0"/>
    </xf>
    <xf numFmtId="0" fontId="6" fillId="9" borderId="0" xfId="5" applyFont="1" applyFill="1" applyBorder="1" applyAlignment="1" applyProtection="1">
      <alignment horizontal="left" vertical="top"/>
      <protection locked="0"/>
    </xf>
    <xf numFmtId="0" fontId="12" fillId="8" borderId="0" xfId="6" applyFont="1" applyFill="1" applyBorder="1" applyAlignment="1" applyProtection="1">
      <alignment horizontal="left"/>
    </xf>
    <xf numFmtId="0" fontId="9" fillId="3" borderId="7" xfId="6" applyFont="1" applyFill="1" applyBorder="1" applyAlignment="1" applyProtection="1">
      <alignment horizontal="left" vertical="center"/>
    </xf>
    <xf numFmtId="0" fontId="9" fillId="3" borderId="4" xfId="6" applyFont="1" applyFill="1" applyBorder="1" applyAlignment="1" applyProtection="1">
      <alignment horizontal="left" vertical="center"/>
    </xf>
    <xf numFmtId="0" fontId="9" fillId="9" borderId="22" xfId="6" applyFont="1" applyFill="1" applyBorder="1" applyAlignment="1" applyProtection="1">
      <alignment horizontal="left" vertical="center"/>
      <protection locked="0"/>
    </xf>
    <xf numFmtId="0" fontId="9" fillId="9" borderId="23" xfId="6" applyFont="1" applyFill="1" applyBorder="1" applyAlignment="1" applyProtection="1">
      <alignment horizontal="left" vertical="center"/>
      <protection locked="0"/>
    </xf>
    <xf numFmtId="0" fontId="9" fillId="0" borderId="24" xfId="6" applyFont="1" applyFill="1" applyBorder="1" applyAlignment="1" applyProtection="1">
      <alignment horizontal="left" vertical="center"/>
    </xf>
    <xf numFmtId="0" fontId="9" fillId="0" borderId="0" xfId="6" applyFont="1" applyFill="1" applyBorder="1" applyAlignment="1" applyProtection="1">
      <alignment horizontal="left" vertical="center"/>
    </xf>
    <xf numFmtId="0" fontId="9" fillId="9" borderId="24" xfId="5" applyFont="1" applyFill="1" applyBorder="1" applyAlignment="1" applyProtection="1">
      <alignment horizontal="left"/>
      <protection locked="0"/>
    </xf>
    <xf numFmtId="0" fontId="9" fillId="9" borderId="0" xfId="5" applyFont="1" applyFill="1" applyBorder="1" applyAlignment="1" applyProtection="1">
      <alignment horizontal="left"/>
      <protection locked="0"/>
    </xf>
    <xf numFmtId="0" fontId="7" fillId="75" borderId="132" xfId="0" applyFont="1" applyFill="1" applyBorder="1" applyAlignment="1">
      <alignment horizontal="left" wrapText="1"/>
    </xf>
    <xf numFmtId="167" fontId="6" fillId="3" borderId="19" xfId="0" applyNumberFormat="1" applyFont="1" applyFill="1" applyBorder="1" applyAlignment="1">
      <alignment horizontal="left"/>
    </xf>
    <xf numFmtId="167" fontId="6" fillId="3" borderId="0" xfId="0" applyNumberFormat="1" applyFont="1" applyFill="1" applyBorder="1" applyAlignment="1">
      <alignment horizontal="left"/>
    </xf>
    <xf numFmtId="0" fontId="7" fillId="75" borderId="132" xfId="0" applyFont="1" applyFill="1" applyBorder="1" applyAlignment="1">
      <alignment horizontal="left" vertical="center"/>
    </xf>
    <xf numFmtId="0" fontId="8" fillId="5" borderId="132" xfId="0" applyFont="1" applyFill="1" applyBorder="1" applyAlignment="1">
      <alignment horizontal="left" vertical="center"/>
    </xf>
    <xf numFmtId="0" fontId="7" fillId="5" borderId="132" xfId="0" applyFont="1" applyFill="1" applyBorder="1" applyAlignment="1">
      <alignment horizontal="left" vertical="center"/>
    </xf>
    <xf numFmtId="0" fontId="7" fillId="75" borderId="1" xfId="0" applyFont="1" applyFill="1" applyBorder="1" applyAlignment="1">
      <alignment horizontal="left" vertical="center"/>
    </xf>
    <xf numFmtId="0" fontId="7" fillId="5" borderId="1" xfId="0" applyFont="1" applyFill="1" applyBorder="1" applyAlignment="1">
      <alignment horizontal="left" vertical="center"/>
    </xf>
    <xf numFmtId="0" fontId="9" fillId="3" borderId="7" xfId="0" applyFont="1" applyFill="1" applyBorder="1" applyAlignment="1">
      <alignment horizontal="left" vertical="center"/>
    </xf>
    <xf numFmtId="0" fontId="9" fillId="3" borderId="4" xfId="0" applyFont="1" applyFill="1" applyBorder="1" applyAlignment="1">
      <alignment horizontal="left" vertical="center"/>
    </xf>
    <xf numFmtId="0" fontId="7" fillId="2" borderId="15" xfId="0" applyFont="1" applyFill="1" applyBorder="1" applyAlignment="1">
      <alignment horizontal="center" wrapText="1"/>
    </xf>
    <xf numFmtId="167" fontId="6" fillId="3" borderId="135" xfId="0" applyNumberFormat="1" applyFont="1" applyFill="1" applyBorder="1" applyAlignment="1">
      <alignment horizontal="left"/>
    </xf>
    <xf numFmtId="167" fontId="6" fillId="3" borderId="29" xfId="0" applyNumberFormat="1" applyFont="1" applyFill="1" applyBorder="1" applyAlignment="1">
      <alignment horizontal="left"/>
    </xf>
    <xf numFmtId="167" fontId="6" fillId="8" borderId="19" xfId="0" applyNumberFormat="1" applyFont="1" applyFill="1" applyBorder="1" applyAlignment="1">
      <alignment horizontal="left"/>
    </xf>
    <xf numFmtId="167" fontId="6" fillId="8" borderId="0" xfId="0" applyNumberFormat="1" applyFont="1" applyFill="1" applyBorder="1" applyAlignment="1">
      <alignment horizontal="left"/>
    </xf>
    <xf numFmtId="167" fontId="6" fillId="3" borderId="133" xfId="0" applyNumberFormat="1" applyFont="1" applyFill="1" applyBorder="1" applyAlignment="1">
      <alignment horizontal="left"/>
    </xf>
    <xf numFmtId="167" fontId="6" fillId="3" borderId="131" xfId="0" applyNumberFormat="1" applyFont="1" applyFill="1" applyBorder="1" applyAlignment="1">
      <alignment horizontal="left"/>
    </xf>
    <xf numFmtId="0" fontId="28" fillId="2" borderId="20" xfId="0" applyFont="1" applyFill="1" applyBorder="1" applyAlignment="1">
      <alignment horizontal="center" vertical="center" textRotation="255"/>
    </xf>
    <xf numFmtId="0" fontId="28" fillId="2" borderId="21" xfId="0" applyFont="1" applyFill="1" applyBorder="1" applyAlignment="1">
      <alignment horizontal="center" vertical="center" textRotation="255"/>
    </xf>
    <xf numFmtId="167" fontId="0" fillId="2" borderId="0" xfId="0" applyNumberFormat="1" applyFill="1" applyAlignment="1">
      <alignment horizontal="left"/>
    </xf>
    <xf numFmtId="167" fontId="0" fillId="2" borderId="0" xfId="0" applyNumberFormat="1" applyFill="1" applyBorder="1" applyAlignment="1">
      <alignment horizontal="left"/>
    </xf>
    <xf numFmtId="167" fontId="9" fillId="2" borderId="19" xfId="0" applyNumberFormat="1" applyFont="1" applyFill="1" applyBorder="1" applyAlignment="1">
      <alignment horizontal="left"/>
    </xf>
    <xf numFmtId="167" fontId="9" fillId="2" borderId="0" xfId="0" applyNumberFormat="1" applyFont="1" applyFill="1" applyBorder="1" applyAlignment="1">
      <alignment horizontal="left"/>
    </xf>
    <xf numFmtId="0" fontId="7" fillId="2" borderId="3" xfId="0" applyFont="1" applyFill="1" applyBorder="1" applyAlignment="1">
      <alignment horizontal="center"/>
    </xf>
    <xf numFmtId="0" fontId="0" fillId="0" borderId="132" xfId="0" applyBorder="1" applyAlignment="1">
      <alignment vertical="center"/>
    </xf>
  </cellXfs>
  <cellStyles count="915">
    <cellStyle name=" 1" xfId="25" xr:uid="{00000000-0005-0000-0000-000000000000}"/>
    <cellStyle name=" 1 2" xfId="26" xr:uid="{00000000-0005-0000-0000-000001000000}"/>
    <cellStyle name=" 1 2 2" xfId="27" xr:uid="{00000000-0005-0000-0000-000002000000}"/>
    <cellStyle name=" 1 2 3" xfId="274" xr:uid="{00000000-0005-0000-0000-000003000000}"/>
    <cellStyle name=" 1 3" xfId="28" xr:uid="{00000000-0005-0000-0000-000004000000}"/>
    <cellStyle name=" 1 3 2" xfId="29" xr:uid="{00000000-0005-0000-0000-000005000000}"/>
    <cellStyle name=" 1 4" xfId="30" xr:uid="{00000000-0005-0000-0000-000006000000}"/>
    <cellStyle name=" 1_29(d) - Gas extensions -tariffs" xfId="31" xr:uid="{00000000-0005-0000-0000-000007000000}"/>
    <cellStyle name="_3GIS model v2.77_Distribution Business_Retail Fin Perform " xfId="32" xr:uid="{00000000-0005-0000-0000-000008000000}"/>
    <cellStyle name="_3GIS model v2.77_Fleet Overhead Costs 2_Retail Fin Perform " xfId="33" xr:uid="{00000000-0005-0000-0000-000009000000}"/>
    <cellStyle name="_3GIS model v2.77_Fleet Overhead Costs_Retail Fin Perform " xfId="34" xr:uid="{00000000-0005-0000-0000-00000A000000}"/>
    <cellStyle name="_3GIS model v2.77_Forecast 2_Retail Fin Perform " xfId="35" xr:uid="{00000000-0005-0000-0000-00000B000000}"/>
    <cellStyle name="_3GIS model v2.77_Forecast_Retail Fin Perform " xfId="36" xr:uid="{00000000-0005-0000-0000-00000C000000}"/>
    <cellStyle name="_3GIS model v2.77_Funding &amp; Cashflow_1_Retail Fin Perform " xfId="37" xr:uid="{00000000-0005-0000-0000-00000D000000}"/>
    <cellStyle name="_3GIS model v2.77_Funding &amp; Cashflow_Retail Fin Perform " xfId="38" xr:uid="{00000000-0005-0000-0000-00000E000000}"/>
    <cellStyle name="_3GIS model v2.77_Group P&amp;L_1_Retail Fin Perform " xfId="39" xr:uid="{00000000-0005-0000-0000-00000F000000}"/>
    <cellStyle name="_3GIS model v2.77_Group P&amp;L_Retail Fin Perform " xfId="40" xr:uid="{00000000-0005-0000-0000-000010000000}"/>
    <cellStyle name="_3GIS model v2.77_Opening  Detailed BS_Retail Fin Perform " xfId="41" xr:uid="{00000000-0005-0000-0000-000011000000}"/>
    <cellStyle name="_3GIS model v2.77_OUTPUT DB_Retail Fin Perform " xfId="42" xr:uid="{00000000-0005-0000-0000-000012000000}"/>
    <cellStyle name="_3GIS model v2.77_OUTPUT EB_Retail Fin Perform " xfId="43" xr:uid="{00000000-0005-0000-0000-000013000000}"/>
    <cellStyle name="_3GIS model v2.77_Report_Retail Fin Perform " xfId="44" xr:uid="{00000000-0005-0000-0000-000014000000}"/>
    <cellStyle name="_3GIS model v2.77_Retail Fin Perform " xfId="45" xr:uid="{00000000-0005-0000-0000-000015000000}"/>
    <cellStyle name="_3GIS model v2.77_Sheet2 2_Retail Fin Perform " xfId="46" xr:uid="{00000000-0005-0000-0000-000016000000}"/>
    <cellStyle name="_3GIS model v2.77_Sheet2_Retail Fin Perform " xfId="47" xr:uid="{00000000-0005-0000-0000-000017000000}"/>
    <cellStyle name="_Capex" xfId="48" xr:uid="{00000000-0005-0000-0000-000018000000}"/>
    <cellStyle name="_Capex 2" xfId="49" xr:uid="{00000000-0005-0000-0000-000019000000}"/>
    <cellStyle name="_Capex_29(d) - Gas extensions -tariffs" xfId="50" xr:uid="{00000000-0005-0000-0000-00001A000000}"/>
    <cellStyle name="_UED AMP 2009-14 Final 250309 Less PU" xfId="51" xr:uid="{00000000-0005-0000-0000-00001B000000}"/>
    <cellStyle name="_UED AMP 2009-14 Final 250309 Less PU_1011 monthly" xfId="52" xr:uid="{00000000-0005-0000-0000-00001C000000}"/>
    <cellStyle name="20% - Accent1 2" xfId="53" xr:uid="{00000000-0005-0000-0000-00001D000000}"/>
    <cellStyle name="20% - Accent1 2 2" xfId="557" xr:uid="{00000000-0005-0000-0000-00001E000000}"/>
    <cellStyle name="20% - Accent1 3" xfId="275" xr:uid="{00000000-0005-0000-0000-00001F000000}"/>
    <cellStyle name="20% - Accent2 2" xfId="54" xr:uid="{00000000-0005-0000-0000-000020000000}"/>
    <cellStyle name="20% - Accent3 2" xfId="55" xr:uid="{00000000-0005-0000-0000-000021000000}"/>
    <cellStyle name="20% - Accent4 2" xfId="56" xr:uid="{00000000-0005-0000-0000-000022000000}"/>
    <cellStyle name="20% - Accent5 2" xfId="57" xr:uid="{00000000-0005-0000-0000-000023000000}"/>
    <cellStyle name="20% - Accent5 2 2" xfId="558" xr:uid="{00000000-0005-0000-0000-000024000000}"/>
    <cellStyle name="20% - Accent6 2" xfId="58" xr:uid="{00000000-0005-0000-0000-000025000000}"/>
    <cellStyle name="40% - Accent1 2" xfId="59" xr:uid="{00000000-0005-0000-0000-000026000000}"/>
    <cellStyle name="40% - Accent1 2 2" xfId="559" xr:uid="{00000000-0005-0000-0000-000027000000}"/>
    <cellStyle name="40% - Accent1 3" xfId="276" xr:uid="{00000000-0005-0000-0000-000028000000}"/>
    <cellStyle name="40% - Accent2 2" xfId="60" xr:uid="{00000000-0005-0000-0000-000029000000}"/>
    <cellStyle name="40% - Accent3 2" xfId="61" xr:uid="{00000000-0005-0000-0000-00002A000000}"/>
    <cellStyle name="40% - Accent4 2" xfId="62" xr:uid="{00000000-0005-0000-0000-00002B000000}"/>
    <cellStyle name="40% - Accent5 2" xfId="63" xr:uid="{00000000-0005-0000-0000-00002C000000}"/>
    <cellStyle name="40% - Accent5 2 2" xfId="560" xr:uid="{00000000-0005-0000-0000-00002D000000}"/>
    <cellStyle name="40% - Accent6 2" xfId="64" xr:uid="{00000000-0005-0000-0000-00002E000000}"/>
    <cellStyle name="60% - Accent1 2" xfId="65" xr:uid="{00000000-0005-0000-0000-00002F000000}"/>
    <cellStyle name="60% - Accent1 2 2" xfId="561" xr:uid="{00000000-0005-0000-0000-000030000000}"/>
    <cellStyle name="60% - Accent2 2" xfId="66" xr:uid="{00000000-0005-0000-0000-000031000000}"/>
    <cellStyle name="60% - Accent3 2" xfId="67" xr:uid="{00000000-0005-0000-0000-000032000000}"/>
    <cellStyle name="60% - Accent4 2" xfId="68" xr:uid="{00000000-0005-0000-0000-000033000000}"/>
    <cellStyle name="60% - Accent5 2" xfId="69" xr:uid="{00000000-0005-0000-0000-000034000000}"/>
    <cellStyle name="60% - Accent5 2 2" xfId="562" xr:uid="{00000000-0005-0000-0000-000035000000}"/>
    <cellStyle name="60% - Accent6 2" xfId="70" xr:uid="{00000000-0005-0000-0000-000036000000}"/>
    <cellStyle name="Accent1 - 20%" xfId="71" xr:uid="{00000000-0005-0000-0000-000037000000}"/>
    <cellStyle name="Accent1 - 40%" xfId="72" xr:uid="{00000000-0005-0000-0000-000038000000}"/>
    <cellStyle name="Accent1 - 60%" xfId="73" xr:uid="{00000000-0005-0000-0000-000039000000}"/>
    <cellStyle name="Accent1 2" xfId="74" xr:uid="{00000000-0005-0000-0000-00003A000000}"/>
    <cellStyle name="Accent1 3" xfId="563" xr:uid="{00000000-0005-0000-0000-00003B000000}"/>
    <cellStyle name="Accent1 4" xfId="564" xr:uid="{00000000-0005-0000-0000-00003C000000}"/>
    <cellStyle name="Accent1 5" xfId="565" xr:uid="{00000000-0005-0000-0000-00003D000000}"/>
    <cellStyle name="Accent2 - 20%" xfId="75" xr:uid="{00000000-0005-0000-0000-00003E000000}"/>
    <cellStyle name="Accent2 - 40%" xfId="76" xr:uid="{00000000-0005-0000-0000-00003F000000}"/>
    <cellStyle name="Accent2 - 60%" xfId="77" xr:uid="{00000000-0005-0000-0000-000040000000}"/>
    <cellStyle name="Accent2 2" xfId="78" xr:uid="{00000000-0005-0000-0000-000041000000}"/>
    <cellStyle name="Accent2 3" xfId="566" xr:uid="{00000000-0005-0000-0000-000042000000}"/>
    <cellStyle name="Accent2 4" xfId="567" xr:uid="{00000000-0005-0000-0000-000043000000}"/>
    <cellStyle name="Accent2 5" xfId="568" xr:uid="{00000000-0005-0000-0000-000044000000}"/>
    <cellStyle name="Accent3 - 20%" xfId="79" xr:uid="{00000000-0005-0000-0000-000045000000}"/>
    <cellStyle name="Accent3 - 40%" xfId="80" xr:uid="{00000000-0005-0000-0000-000046000000}"/>
    <cellStyle name="Accent3 - 60%" xfId="81" xr:uid="{00000000-0005-0000-0000-000047000000}"/>
    <cellStyle name="Accent3 2" xfId="82" xr:uid="{00000000-0005-0000-0000-000048000000}"/>
    <cellStyle name="Accent3 3" xfId="569" xr:uid="{00000000-0005-0000-0000-000049000000}"/>
    <cellStyle name="Accent3 4" xfId="570" xr:uid="{00000000-0005-0000-0000-00004A000000}"/>
    <cellStyle name="Accent3 5" xfId="571" xr:uid="{00000000-0005-0000-0000-00004B000000}"/>
    <cellStyle name="Accent4 - 20%" xfId="83" xr:uid="{00000000-0005-0000-0000-00004C000000}"/>
    <cellStyle name="Accent4 - 40%" xfId="84" xr:uid="{00000000-0005-0000-0000-00004D000000}"/>
    <cellStyle name="Accent4 - 60%" xfId="85" xr:uid="{00000000-0005-0000-0000-00004E000000}"/>
    <cellStyle name="Accent4 2" xfId="86" xr:uid="{00000000-0005-0000-0000-00004F000000}"/>
    <cellStyle name="Accent4 3" xfId="572" xr:uid="{00000000-0005-0000-0000-000050000000}"/>
    <cellStyle name="Accent4 4" xfId="573" xr:uid="{00000000-0005-0000-0000-000051000000}"/>
    <cellStyle name="Accent4 5" xfId="574" xr:uid="{00000000-0005-0000-0000-000052000000}"/>
    <cellStyle name="Accent5 - 20%" xfId="87" xr:uid="{00000000-0005-0000-0000-000053000000}"/>
    <cellStyle name="Accent5 - 40%" xfId="88" xr:uid="{00000000-0005-0000-0000-000054000000}"/>
    <cellStyle name="Accent5 - 60%" xfId="89" xr:uid="{00000000-0005-0000-0000-000055000000}"/>
    <cellStyle name="Accent5 2" xfId="90" xr:uid="{00000000-0005-0000-0000-000056000000}"/>
    <cellStyle name="Accent5 3" xfId="575" xr:uid="{00000000-0005-0000-0000-000057000000}"/>
    <cellStyle name="Accent5 4" xfId="576" xr:uid="{00000000-0005-0000-0000-000058000000}"/>
    <cellStyle name="Accent5 5" xfId="577" xr:uid="{00000000-0005-0000-0000-000059000000}"/>
    <cellStyle name="Accent6 - 20%" xfId="91" xr:uid="{00000000-0005-0000-0000-00005A000000}"/>
    <cellStyle name="Accent6 - 40%" xfId="92" xr:uid="{00000000-0005-0000-0000-00005B000000}"/>
    <cellStyle name="Accent6 - 60%" xfId="93" xr:uid="{00000000-0005-0000-0000-00005C000000}"/>
    <cellStyle name="Accent6 2" xfId="94" xr:uid="{00000000-0005-0000-0000-00005D000000}"/>
    <cellStyle name="Accent6 3" xfId="578" xr:uid="{00000000-0005-0000-0000-00005E000000}"/>
    <cellStyle name="Accent6 4" xfId="579" xr:uid="{00000000-0005-0000-0000-00005F000000}"/>
    <cellStyle name="Accent6 5" xfId="580" xr:uid="{00000000-0005-0000-0000-000060000000}"/>
    <cellStyle name="Agara" xfId="95" xr:uid="{00000000-0005-0000-0000-000061000000}"/>
    <cellStyle name="B79812_.wvu.PrintTitlest" xfId="96" xr:uid="{00000000-0005-0000-0000-000062000000}"/>
    <cellStyle name="Bad 2" xfId="97" xr:uid="{00000000-0005-0000-0000-000063000000}"/>
    <cellStyle name="Black" xfId="98" xr:uid="{00000000-0005-0000-0000-000064000000}"/>
    <cellStyle name="Blockout" xfId="99" xr:uid="{00000000-0005-0000-0000-000065000000}"/>
    <cellStyle name="Blockout 2" xfId="100" xr:uid="{00000000-0005-0000-0000-000066000000}"/>
    <cellStyle name="Blockout 2 2" xfId="581" xr:uid="{00000000-0005-0000-0000-000067000000}"/>
    <cellStyle name="Blockout 3" xfId="277" xr:uid="{00000000-0005-0000-0000-000068000000}"/>
    <cellStyle name="Blockout 4" xfId="582" xr:uid="{00000000-0005-0000-0000-000069000000}"/>
    <cellStyle name="Blue" xfId="101" xr:uid="{00000000-0005-0000-0000-00006A000000}"/>
    <cellStyle name="Calculation 2" xfId="102" xr:uid="{00000000-0005-0000-0000-00006B000000}"/>
    <cellStyle name="Calculation 2 2" xfId="278" xr:uid="{00000000-0005-0000-0000-00006C000000}"/>
    <cellStyle name="Calculation 2 2 2" xfId="583" xr:uid="{00000000-0005-0000-0000-00006D000000}"/>
    <cellStyle name="Calculation 2 2 2 2" xfId="584" xr:uid="{00000000-0005-0000-0000-00006E000000}"/>
    <cellStyle name="Calculation 2 2 3" xfId="585" xr:uid="{00000000-0005-0000-0000-00006F000000}"/>
    <cellStyle name="Calculation 2 2 3 2" xfId="586" xr:uid="{00000000-0005-0000-0000-000070000000}"/>
    <cellStyle name="Calculation 2 2 4" xfId="587" xr:uid="{00000000-0005-0000-0000-000071000000}"/>
    <cellStyle name="Calculation 2 2 5" xfId="588" xr:uid="{00000000-0005-0000-0000-000072000000}"/>
    <cellStyle name="Calculation 2 3" xfId="279" xr:uid="{00000000-0005-0000-0000-000073000000}"/>
    <cellStyle name="Calculation 2 3 2" xfId="589" xr:uid="{00000000-0005-0000-0000-000074000000}"/>
    <cellStyle name="Calculation 2 3 2 2" xfId="590" xr:uid="{00000000-0005-0000-0000-000075000000}"/>
    <cellStyle name="Calculation 2 3 3" xfId="591" xr:uid="{00000000-0005-0000-0000-000076000000}"/>
    <cellStyle name="Calculation 2 3 3 2" xfId="592" xr:uid="{00000000-0005-0000-0000-000077000000}"/>
    <cellStyle name="Calculation 2 3 4" xfId="593" xr:uid="{00000000-0005-0000-0000-000078000000}"/>
    <cellStyle name="Calculation 2 3 5" xfId="594" xr:uid="{00000000-0005-0000-0000-000079000000}"/>
    <cellStyle name="Calculation 2 4" xfId="595" xr:uid="{00000000-0005-0000-0000-00007A000000}"/>
    <cellStyle name="Calculation 2 4 2" xfId="596" xr:uid="{00000000-0005-0000-0000-00007B000000}"/>
    <cellStyle name="Calculation 2 4 2 2" xfId="597" xr:uid="{00000000-0005-0000-0000-00007C000000}"/>
    <cellStyle name="Calculation 2 4 3" xfId="598" xr:uid="{00000000-0005-0000-0000-00007D000000}"/>
    <cellStyle name="Calculation 2 4 3 2" xfId="599" xr:uid="{00000000-0005-0000-0000-00007E000000}"/>
    <cellStyle name="Calculation 2 4 4" xfId="600" xr:uid="{00000000-0005-0000-0000-00007F000000}"/>
    <cellStyle name="Calculation 2 5" xfId="601" xr:uid="{00000000-0005-0000-0000-000080000000}"/>
    <cellStyle name="Calculation 2 5 2" xfId="602" xr:uid="{00000000-0005-0000-0000-000081000000}"/>
    <cellStyle name="Calculation 2 5 2 2" xfId="603" xr:uid="{00000000-0005-0000-0000-000082000000}"/>
    <cellStyle name="Calculation 2 5 3" xfId="604" xr:uid="{00000000-0005-0000-0000-000083000000}"/>
    <cellStyle name="Calculation 2 5 3 2" xfId="605" xr:uid="{00000000-0005-0000-0000-000084000000}"/>
    <cellStyle name="Calculation 2 5 4" xfId="606" xr:uid="{00000000-0005-0000-0000-000085000000}"/>
    <cellStyle name="Calculation 2 6" xfId="607" xr:uid="{00000000-0005-0000-0000-000086000000}"/>
    <cellStyle name="Calculation 2 7" xfId="608" xr:uid="{00000000-0005-0000-0000-000087000000}"/>
    <cellStyle name="Check Cell 2" xfId="103" xr:uid="{00000000-0005-0000-0000-000088000000}"/>
    <cellStyle name="Check Cell 2 2" xfId="609" xr:uid="{00000000-0005-0000-0000-000089000000}"/>
    <cellStyle name="Check Cell 2 2 2" xfId="610" xr:uid="{00000000-0005-0000-0000-00008A000000}"/>
    <cellStyle name="Check Cell 2 2 2 2" xfId="280" xr:uid="{00000000-0005-0000-0000-00008B000000}"/>
    <cellStyle name="Comma" xfId="1" builtinId="3" customBuiltin="1"/>
    <cellStyle name="Comma [0]7Z_87C" xfId="104" xr:uid="{00000000-0005-0000-0000-00008D000000}"/>
    <cellStyle name="Comma 0" xfId="105" xr:uid="{00000000-0005-0000-0000-00008E000000}"/>
    <cellStyle name="Comma 1" xfId="106" xr:uid="{00000000-0005-0000-0000-00008F000000}"/>
    <cellStyle name="Comma 1 2" xfId="107" xr:uid="{00000000-0005-0000-0000-000090000000}"/>
    <cellStyle name="Comma 10" xfId="281" xr:uid="{00000000-0005-0000-0000-000091000000}"/>
    <cellStyle name="Comma 11" xfId="611" xr:uid="{00000000-0005-0000-0000-000092000000}"/>
    <cellStyle name="Comma 2" xfId="7" xr:uid="{00000000-0005-0000-0000-000093000000}"/>
    <cellStyle name="Comma 2 2" xfId="108" xr:uid="{00000000-0005-0000-0000-000094000000}"/>
    <cellStyle name="Comma 2 2 2" xfId="282" xr:uid="{00000000-0005-0000-0000-000095000000}"/>
    <cellStyle name="Comma 2 2 3" xfId="283" xr:uid="{00000000-0005-0000-0000-000096000000}"/>
    <cellStyle name="Comma 2 3" xfId="109" xr:uid="{00000000-0005-0000-0000-000097000000}"/>
    <cellStyle name="Comma 2 3 2" xfId="110" xr:uid="{00000000-0005-0000-0000-000098000000}"/>
    <cellStyle name="Comma 2 4" xfId="111" xr:uid="{00000000-0005-0000-0000-000099000000}"/>
    <cellStyle name="Comma 2 5" xfId="112" xr:uid="{00000000-0005-0000-0000-00009A000000}"/>
    <cellStyle name="Comma 2 5 2" xfId="612" xr:uid="{00000000-0005-0000-0000-00009B000000}"/>
    <cellStyle name="Comma 2 6" xfId="284" xr:uid="{00000000-0005-0000-0000-00009C000000}"/>
    <cellStyle name="Comma 3" xfId="113" xr:uid="{00000000-0005-0000-0000-00009D000000}"/>
    <cellStyle name="Comma 3 2" xfId="114" xr:uid="{00000000-0005-0000-0000-00009E000000}"/>
    <cellStyle name="Comma 3 2 2" xfId="285" xr:uid="{00000000-0005-0000-0000-00009F000000}"/>
    <cellStyle name="Comma 3 3" xfId="115" xr:uid="{00000000-0005-0000-0000-0000A0000000}"/>
    <cellStyle name="Comma 3 3 2" xfId="286" xr:uid="{00000000-0005-0000-0000-0000A1000000}"/>
    <cellStyle name="Comma 3 4" xfId="287" xr:uid="{00000000-0005-0000-0000-0000A2000000}"/>
    <cellStyle name="Comma 3 5" xfId="288" xr:uid="{00000000-0005-0000-0000-0000A3000000}"/>
    <cellStyle name="Comma 3 6" xfId="289" xr:uid="{00000000-0005-0000-0000-0000A4000000}"/>
    <cellStyle name="Comma 4" xfId="116" xr:uid="{00000000-0005-0000-0000-0000A5000000}"/>
    <cellStyle name="Comma 4 2" xfId="290" xr:uid="{00000000-0005-0000-0000-0000A6000000}"/>
    <cellStyle name="Comma 5" xfId="117" xr:uid="{00000000-0005-0000-0000-0000A7000000}"/>
    <cellStyle name="Comma 5 2" xfId="613" xr:uid="{00000000-0005-0000-0000-0000A8000000}"/>
    <cellStyle name="Comma 6" xfId="118" xr:uid="{00000000-0005-0000-0000-0000A9000000}"/>
    <cellStyle name="Comma 7" xfId="119" xr:uid="{00000000-0005-0000-0000-0000AA000000}"/>
    <cellStyle name="Comma 8" xfId="120" xr:uid="{00000000-0005-0000-0000-0000AB000000}"/>
    <cellStyle name="Comma 9" xfId="291" xr:uid="{00000000-0005-0000-0000-0000AC000000}"/>
    <cellStyle name="Comma 9 2" xfId="292" xr:uid="{00000000-0005-0000-0000-0000AD000000}"/>
    <cellStyle name="Comma 9 3" xfId="293" xr:uid="{00000000-0005-0000-0000-0000AE000000}"/>
    <cellStyle name="Comma0" xfId="121" xr:uid="{00000000-0005-0000-0000-0000AF000000}"/>
    <cellStyle name="Currency" xfId="2" builtinId="4"/>
    <cellStyle name="Currency 11" xfId="122" xr:uid="{00000000-0005-0000-0000-0000B1000000}"/>
    <cellStyle name="Currency 11 2" xfId="123" xr:uid="{00000000-0005-0000-0000-0000B2000000}"/>
    <cellStyle name="Currency 2" xfId="124" xr:uid="{00000000-0005-0000-0000-0000B3000000}"/>
    <cellStyle name="Currency 2 2" xfId="8" xr:uid="{00000000-0005-0000-0000-0000B4000000}"/>
    <cellStyle name="Currency 2 3" xfId="9" xr:uid="{00000000-0005-0000-0000-0000B5000000}"/>
    <cellStyle name="Currency 3" xfId="125" xr:uid="{00000000-0005-0000-0000-0000B6000000}"/>
    <cellStyle name="Currency 3 2" xfId="126" xr:uid="{00000000-0005-0000-0000-0000B7000000}"/>
    <cellStyle name="Currency 4" xfId="127" xr:uid="{00000000-0005-0000-0000-0000B8000000}"/>
    <cellStyle name="Currency 4 2" xfId="128" xr:uid="{00000000-0005-0000-0000-0000B9000000}"/>
    <cellStyle name="Currency 5" xfId="294" xr:uid="{00000000-0005-0000-0000-0000BA000000}"/>
    <cellStyle name="Currency 5 2" xfId="614" xr:uid="{00000000-0005-0000-0000-0000BB000000}"/>
    <cellStyle name="Currency 6" xfId="295" xr:uid="{00000000-0005-0000-0000-0000BC000000}"/>
    <cellStyle name="Currency 6 2" xfId="296" xr:uid="{00000000-0005-0000-0000-0000BD000000}"/>
    <cellStyle name="Currency 6 3" xfId="297" xr:uid="{00000000-0005-0000-0000-0000BE000000}"/>
    <cellStyle name="Currency 7" xfId="298" xr:uid="{00000000-0005-0000-0000-0000BF000000}"/>
    <cellStyle name="D4_B8B1_005004B79812_.wvu.PrintTitlest" xfId="129" xr:uid="{00000000-0005-0000-0000-0000C0000000}"/>
    <cellStyle name="Date" xfId="130" xr:uid="{00000000-0005-0000-0000-0000C1000000}"/>
    <cellStyle name="Date 2" xfId="131" xr:uid="{00000000-0005-0000-0000-0000C2000000}"/>
    <cellStyle name="dms_Blue_HDR" xfId="299" xr:uid="{00000000-0005-0000-0000-0000C3000000}"/>
    <cellStyle name="dms_H" xfId="914" xr:uid="{00000000-0005-0000-0000-0000C4000000}"/>
    <cellStyle name="dms_TopHeader" xfId="913" xr:uid="{00000000-0005-0000-0000-0000C5000000}"/>
    <cellStyle name="Emphasis 1" xfId="132" xr:uid="{00000000-0005-0000-0000-0000C6000000}"/>
    <cellStyle name="Emphasis 2" xfId="133" xr:uid="{00000000-0005-0000-0000-0000C7000000}"/>
    <cellStyle name="Emphasis 3" xfId="134" xr:uid="{00000000-0005-0000-0000-0000C8000000}"/>
    <cellStyle name="Euro" xfId="135" xr:uid="{00000000-0005-0000-0000-0000C9000000}"/>
    <cellStyle name="Explanatory Text 2" xfId="136" xr:uid="{00000000-0005-0000-0000-0000CA000000}"/>
    <cellStyle name="Fixed" xfId="137" xr:uid="{00000000-0005-0000-0000-0000CB000000}"/>
    <cellStyle name="Fixed 2" xfId="138" xr:uid="{00000000-0005-0000-0000-0000CC000000}"/>
    <cellStyle name="Gilsans" xfId="139" xr:uid="{00000000-0005-0000-0000-0000CD000000}"/>
    <cellStyle name="Gilsansl" xfId="140" xr:uid="{00000000-0005-0000-0000-0000CE000000}"/>
    <cellStyle name="Good 2" xfId="141" xr:uid="{00000000-0005-0000-0000-0000CF000000}"/>
    <cellStyle name="Heading 1 2" xfId="142" xr:uid="{00000000-0005-0000-0000-0000D0000000}"/>
    <cellStyle name="Heading 1 2 2" xfId="143" xr:uid="{00000000-0005-0000-0000-0000D1000000}"/>
    <cellStyle name="Heading 1 3" xfId="144" xr:uid="{00000000-0005-0000-0000-0000D2000000}"/>
    <cellStyle name="Heading 2 2" xfId="145" xr:uid="{00000000-0005-0000-0000-0000D3000000}"/>
    <cellStyle name="Heading 2 2 2" xfId="146" xr:uid="{00000000-0005-0000-0000-0000D4000000}"/>
    <cellStyle name="Heading 2 2 3" xfId="615" xr:uid="{00000000-0005-0000-0000-0000D5000000}"/>
    <cellStyle name="Heading 2 3" xfId="147" xr:uid="{00000000-0005-0000-0000-0000D6000000}"/>
    <cellStyle name="Heading 3 2" xfId="148" xr:uid="{00000000-0005-0000-0000-0000D7000000}"/>
    <cellStyle name="Heading 3 2 2" xfId="149" xr:uid="{00000000-0005-0000-0000-0000D8000000}"/>
    <cellStyle name="Heading 3 2 2 2" xfId="300" xr:uid="{00000000-0005-0000-0000-0000D9000000}"/>
    <cellStyle name="Heading 3 2 2 2 2" xfId="301" xr:uid="{00000000-0005-0000-0000-0000DA000000}"/>
    <cellStyle name="Heading 3 2 2 2 2 2" xfId="302" xr:uid="{00000000-0005-0000-0000-0000DB000000}"/>
    <cellStyle name="Heading 3 2 2 2 2 3" xfId="303" xr:uid="{00000000-0005-0000-0000-0000DC000000}"/>
    <cellStyle name="Heading 3 2 2 2 2 4" xfId="304" xr:uid="{00000000-0005-0000-0000-0000DD000000}"/>
    <cellStyle name="Heading 3 2 2 2 3" xfId="305" xr:uid="{00000000-0005-0000-0000-0000DE000000}"/>
    <cellStyle name="Heading 3 2 2 2 4" xfId="306" xr:uid="{00000000-0005-0000-0000-0000DF000000}"/>
    <cellStyle name="Heading 3 2 2 2 5" xfId="307" xr:uid="{00000000-0005-0000-0000-0000E0000000}"/>
    <cellStyle name="Heading 3 2 2 2 6" xfId="616" xr:uid="{00000000-0005-0000-0000-0000E1000000}"/>
    <cellStyle name="Heading 3 2 2 3" xfId="308" xr:uid="{00000000-0005-0000-0000-0000E2000000}"/>
    <cellStyle name="Heading 3 2 2 3 2" xfId="309" xr:uid="{00000000-0005-0000-0000-0000E3000000}"/>
    <cellStyle name="Heading 3 2 2 3 2 2" xfId="310" xr:uid="{00000000-0005-0000-0000-0000E4000000}"/>
    <cellStyle name="Heading 3 2 2 3 2 3" xfId="311" xr:uid="{00000000-0005-0000-0000-0000E5000000}"/>
    <cellStyle name="Heading 3 2 2 3 2 4" xfId="312" xr:uid="{00000000-0005-0000-0000-0000E6000000}"/>
    <cellStyle name="Heading 3 2 2 3 3" xfId="313" xr:uid="{00000000-0005-0000-0000-0000E7000000}"/>
    <cellStyle name="Heading 3 2 2 3 4" xfId="314" xr:uid="{00000000-0005-0000-0000-0000E8000000}"/>
    <cellStyle name="Heading 3 2 2 3 5" xfId="315" xr:uid="{00000000-0005-0000-0000-0000E9000000}"/>
    <cellStyle name="Heading 3 2 2 4" xfId="316" xr:uid="{00000000-0005-0000-0000-0000EA000000}"/>
    <cellStyle name="Heading 3 2 2 4 2" xfId="317" xr:uid="{00000000-0005-0000-0000-0000EB000000}"/>
    <cellStyle name="Heading 3 2 2 4 3" xfId="318" xr:uid="{00000000-0005-0000-0000-0000EC000000}"/>
    <cellStyle name="Heading 3 2 2 4 4" xfId="319" xr:uid="{00000000-0005-0000-0000-0000ED000000}"/>
    <cellStyle name="Heading 3 2 2 5" xfId="320" xr:uid="{00000000-0005-0000-0000-0000EE000000}"/>
    <cellStyle name="Heading 3 2 2 5 2" xfId="321" xr:uid="{00000000-0005-0000-0000-0000EF000000}"/>
    <cellStyle name="Heading 3 2 2 5 3" xfId="322" xr:uid="{00000000-0005-0000-0000-0000F0000000}"/>
    <cellStyle name="Heading 3 2 2 6" xfId="617" xr:uid="{00000000-0005-0000-0000-0000F1000000}"/>
    <cellStyle name="Heading 3 2 3" xfId="150" xr:uid="{00000000-0005-0000-0000-0000F2000000}"/>
    <cellStyle name="Heading 3 2 3 2" xfId="618" xr:uid="{00000000-0005-0000-0000-0000F3000000}"/>
    <cellStyle name="Heading 3 2 4" xfId="323" xr:uid="{00000000-0005-0000-0000-0000F4000000}"/>
    <cellStyle name="Heading 3 2 4 2" xfId="324" xr:uid="{00000000-0005-0000-0000-0000F5000000}"/>
    <cellStyle name="Heading 3 2 4 2 2" xfId="325" xr:uid="{00000000-0005-0000-0000-0000F6000000}"/>
    <cellStyle name="Heading 3 2 4 2 3" xfId="326" xr:uid="{00000000-0005-0000-0000-0000F7000000}"/>
    <cellStyle name="Heading 3 2 4 2 4" xfId="327" xr:uid="{00000000-0005-0000-0000-0000F8000000}"/>
    <cellStyle name="Heading 3 2 4 3" xfId="328" xr:uid="{00000000-0005-0000-0000-0000F9000000}"/>
    <cellStyle name="Heading 3 2 4 4" xfId="329" xr:uid="{00000000-0005-0000-0000-0000FA000000}"/>
    <cellStyle name="Heading 3 2 4 5" xfId="330" xr:uid="{00000000-0005-0000-0000-0000FB000000}"/>
    <cellStyle name="Heading 3 2 5" xfId="331" xr:uid="{00000000-0005-0000-0000-0000FC000000}"/>
    <cellStyle name="Heading 3 2 5 2" xfId="332" xr:uid="{00000000-0005-0000-0000-0000FD000000}"/>
    <cellStyle name="Heading 3 2 5 2 2" xfId="333" xr:uid="{00000000-0005-0000-0000-0000FE000000}"/>
    <cellStyle name="Heading 3 2 5 2 3" xfId="334" xr:uid="{00000000-0005-0000-0000-0000FF000000}"/>
    <cellStyle name="Heading 3 2 5 2 4" xfId="335" xr:uid="{00000000-0005-0000-0000-000000010000}"/>
    <cellStyle name="Heading 3 2 5 3" xfId="336" xr:uid="{00000000-0005-0000-0000-000001010000}"/>
    <cellStyle name="Heading 3 2 5 4" xfId="337" xr:uid="{00000000-0005-0000-0000-000002010000}"/>
    <cellStyle name="Heading 3 2 5 5" xfId="338" xr:uid="{00000000-0005-0000-0000-000003010000}"/>
    <cellStyle name="Heading 3 2 6" xfId="339" xr:uid="{00000000-0005-0000-0000-000004010000}"/>
    <cellStyle name="Heading 3 2 6 2" xfId="340" xr:uid="{00000000-0005-0000-0000-000005010000}"/>
    <cellStyle name="Heading 3 2 6 3" xfId="341" xr:uid="{00000000-0005-0000-0000-000006010000}"/>
    <cellStyle name="Heading 3 2 6 4" xfId="342" xr:uid="{00000000-0005-0000-0000-000007010000}"/>
    <cellStyle name="Heading 3 2 7" xfId="343" xr:uid="{00000000-0005-0000-0000-000008010000}"/>
    <cellStyle name="Heading 3 2 7 2" xfId="344" xr:uid="{00000000-0005-0000-0000-000009010000}"/>
    <cellStyle name="Heading 3 2 7 3" xfId="345" xr:uid="{00000000-0005-0000-0000-00000A010000}"/>
    <cellStyle name="Heading 3 2 8" xfId="619" xr:uid="{00000000-0005-0000-0000-00000B010000}"/>
    <cellStyle name="Heading 3 3" xfId="151" xr:uid="{00000000-0005-0000-0000-00000C010000}"/>
    <cellStyle name="Heading 4 2" xfId="152" xr:uid="{00000000-0005-0000-0000-00000D010000}"/>
    <cellStyle name="Heading 4 2 2" xfId="153" xr:uid="{00000000-0005-0000-0000-00000E010000}"/>
    <cellStyle name="Heading 4 3" xfId="154" xr:uid="{00000000-0005-0000-0000-00000F010000}"/>
    <cellStyle name="Heading(4)" xfId="155" xr:uid="{00000000-0005-0000-0000-000010010000}"/>
    <cellStyle name="Hyperlink 2" xfId="156" xr:uid="{00000000-0005-0000-0000-000011010000}"/>
    <cellStyle name="Hyperlink 2 2" xfId="346" xr:uid="{00000000-0005-0000-0000-000012010000}"/>
    <cellStyle name="Hyperlink 2 3" xfId="347" xr:uid="{00000000-0005-0000-0000-000013010000}"/>
    <cellStyle name="Hyperlink 3" xfId="348" xr:uid="{00000000-0005-0000-0000-000014010000}"/>
    <cellStyle name="Hyperlink 3 2" xfId="620" xr:uid="{00000000-0005-0000-0000-000015010000}"/>
    <cellStyle name="Hyperlink 4" xfId="349" xr:uid="{00000000-0005-0000-0000-000016010000}"/>
    <cellStyle name="Hyperlink Arrow" xfId="157" xr:uid="{00000000-0005-0000-0000-000017010000}"/>
    <cellStyle name="Hyperlink Text" xfId="158" xr:uid="{00000000-0005-0000-0000-000018010000}"/>
    <cellStyle name="import" xfId="350" xr:uid="{00000000-0005-0000-0000-000019010000}"/>
    <cellStyle name="import%" xfId="351" xr:uid="{00000000-0005-0000-0000-00001A010000}"/>
    <cellStyle name="import_ICRC Electricity model 1-1  (1 Feb 2003) " xfId="159" xr:uid="{00000000-0005-0000-0000-00001B010000}"/>
    <cellStyle name="Input 2" xfId="160" xr:uid="{00000000-0005-0000-0000-00001C010000}"/>
    <cellStyle name="Input 2 2" xfId="352" xr:uid="{00000000-0005-0000-0000-00001D010000}"/>
    <cellStyle name="Input 2 2 2" xfId="621" xr:uid="{00000000-0005-0000-0000-00001E010000}"/>
    <cellStyle name="Input 2 2 2 2" xfId="622" xr:uid="{00000000-0005-0000-0000-00001F010000}"/>
    <cellStyle name="Input 2 2 3" xfId="623" xr:uid="{00000000-0005-0000-0000-000020010000}"/>
    <cellStyle name="Input 2 2 3 2" xfId="624" xr:uid="{00000000-0005-0000-0000-000021010000}"/>
    <cellStyle name="Input 2 2 4" xfId="625" xr:uid="{00000000-0005-0000-0000-000022010000}"/>
    <cellStyle name="Input 2 2 5" xfId="626" xr:uid="{00000000-0005-0000-0000-000023010000}"/>
    <cellStyle name="Input 2 3" xfId="353" xr:uid="{00000000-0005-0000-0000-000024010000}"/>
    <cellStyle name="Input 2 3 2" xfId="627" xr:uid="{00000000-0005-0000-0000-000025010000}"/>
    <cellStyle name="Input 2 3 2 2" xfId="628" xr:uid="{00000000-0005-0000-0000-000026010000}"/>
    <cellStyle name="Input 2 3 3" xfId="629" xr:uid="{00000000-0005-0000-0000-000027010000}"/>
    <cellStyle name="Input 2 3 3 2" xfId="630" xr:uid="{00000000-0005-0000-0000-000028010000}"/>
    <cellStyle name="Input 2 3 4" xfId="631" xr:uid="{00000000-0005-0000-0000-000029010000}"/>
    <cellStyle name="Input 2 3 5" xfId="632" xr:uid="{00000000-0005-0000-0000-00002A010000}"/>
    <cellStyle name="Input 2 4" xfId="633" xr:uid="{00000000-0005-0000-0000-00002B010000}"/>
    <cellStyle name="Input 2 4 2" xfId="634" xr:uid="{00000000-0005-0000-0000-00002C010000}"/>
    <cellStyle name="Input 2 4 2 2" xfId="635" xr:uid="{00000000-0005-0000-0000-00002D010000}"/>
    <cellStyle name="Input 2 4 3" xfId="636" xr:uid="{00000000-0005-0000-0000-00002E010000}"/>
    <cellStyle name="Input 2 4 3 2" xfId="637" xr:uid="{00000000-0005-0000-0000-00002F010000}"/>
    <cellStyle name="Input 2 4 4" xfId="638" xr:uid="{00000000-0005-0000-0000-000030010000}"/>
    <cellStyle name="Input 2 5" xfId="639" xr:uid="{00000000-0005-0000-0000-000031010000}"/>
    <cellStyle name="Input 2 5 2" xfId="640" xr:uid="{00000000-0005-0000-0000-000032010000}"/>
    <cellStyle name="Input 2 5 2 2" xfId="641" xr:uid="{00000000-0005-0000-0000-000033010000}"/>
    <cellStyle name="Input 2 5 3" xfId="642" xr:uid="{00000000-0005-0000-0000-000034010000}"/>
    <cellStyle name="Input 2 5 3 2" xfId="643" xr:uid="{00000000-0005-0000-0000-000035010000}"/>
    <cellStyle name="Input 2 5 4" xfId="644" xr:uid="{00000000-0005-0000-0000-000036010000}"/>
    <cellStyle name="Input 2 6" xfId="645" xr:uid="{00000000-0005-0000-0000-000037010000}"/>
    <cellStyle name="Input 2 7" xfId="646" xr:uid="{00000000-0005-0000-0000-000038010000}"/>
    <cellStyle name="Input1" xfId="10" xr:uid="{00000000-0005-0000-0000-000039010000}"/>
    <cellStyle name="Input1 2" xfId="161" xr:uid="{00000000-0005-0000-0000-00003A010000}"/>
    <cellStyle name="Input1 2 2" xfId="354" xr:uid="{00000000-0005-0000-0000-00003B010000}"/>
    <cellStyle name="Input1 2 3" xfId="647" xr:uid="{00000000-0005-0000-0000-00003C010000}"/>
    <cellStyle name="Input1 3" xfId="355" xr:uid="{00000000-0005-0000-0000-00003D010000}"/>
    <cellStyle name="Input1 3 2" xfId="356" xr:uid="{00000000-0005-0000-0000-00003E010000}"/>
    <cellStyle name="Input1 3 3" xfId="648" xr:uid="{00000000-0005-0000-0000-00003F010000}"/>
    <cellStyle name="Input1 4" xfId="357" xr:uid="{00000000-0005-0000-0000-000040010000}"/>
    <cellStyle name="Input1 4 2" xfId="649" xr:uid="{00000000-0005-0000-0000-000041010000}"/>
    <cellStyle name="Input1 5" xfId="358" xr:uid="{00000000-0005-0000-0000-000042010000}"/>
    <cellStyle name="Input1 6" xfId="650" xr:uid="{00000000-0005-0000-0000-000043010000}"/>
    <cellStyle name="Input1%" xfId="359" xr:uid="{00000000-0005-0000-0000-000044010000}"/>
    <cellStyle name="Input1_ICRC Electricity model 1-1  (1 Feb 2003) " xfId="162" xr:uid="{00000000-0005-0000-0000-000045010000}"/>
    <cellStyle name="Input1default" xfId="360" xr:uid="{00000000-0005-0000-0000-000046010000}"/>
    <cellStyle name="Input1default%" xfId="361" xr:uid="{00000000-0005-0000-0000-000047010000}"/>
    <cellStyle name="Input2" xfId="163" xr:uid="{00000000-0005-0000-0000-000048010000}"/>
    <cellStyle name="Input2 2" xfId="164" xr:uid="{00000000-0005-0000-0000-000049010000}"/>
    <cellStyle name="Input2 3" xfId="362" xr:uid="{00000000-0005-0000-0000-00004A010000}"/>
    <cellStyle name="Input3" xfId="11" xr:uid="{00000000-0005-0000-0000-00004B010000}"/>
    <cellStyle name="Input3 2" xfId="165" xr:uid="{00000000-0005-0000-0000-00004C010000}"/>
    <cellStyle name="Input3 2 2" xfId="651" xr:uid="{00000000-0005-0000-0000-00004D010000}"/>
    <cellStyle name="Input3 3" xfId="363" xr:uid="{00000000-0005-0000-0000-00004E010000}"/>
    <cellStyle name="Input3 3 2" xfId="652" xr:uid="{00000000-0005-0000-0000-00004F010000}"/>
    <cellStyle name="Input3 4" xfId="653" xr:uid="{00000000-0005-0000-0000-000050010000}"/>
    <cellStyle name="Input3 5" xfId="654" xr:uid="{00000000-0005-0000-0000-000051010000}"/>
    <cellStyle name="InputCell" xfId="364" xr:uid="{00000000-0005-0000-0000-000052010000}"/>
    <cellStyle name="InputCell 2" xfId="365" xr:uid="{00000000-0005-0000-0000-000053010000}"/>
    <cellStyle name="InputCell 3" xfId="366" xr:uid="{00000000-0005-0000-0000-000054010000}"/>
    <cellStyle name="InputCellText" xfId="367" xr:uid="{00000000-0005-0000-0000-000055010000}"/>
    <cellStyle name="InputCellText 2" xfId="368" xr:uid="{00000000-0005-0000-0000-000056010000}"/>
    <cellStyle name="InputCellText 3" xfId="369" xr:uid="{00000000-0005-0000-0000-000057010000}"/>
    <cellStyle name="key result" xfId="370" xr:uid="{00000000-0005-0000-0000-000058010000}"/>
    <cellStyle name="Lines" xfId="166" xr:uid="{00000000-0005-0000-0000-000059010000}"/>
    <cellStyle name="Linked Cell 2" xfId="167" xr:uid="{00000000-0005-0000-0000-00005A010000}"/>
    <cellStyle name="Local import" xfId="371" xr:uid="{00000000-0005-0000-0000-00005B010000}"/>
    <cellStyle name="Local import %" xfId="372" xr:uid="{00000000-0005-0000-0000-00005C010000}"/>
    <cellStyle name="Mine" xfId="168" xr:uid="{00000000-0005-0000-0000-00005D010000}"/>
    <cellStyle name="Model Name" xfId="169" xr:uid="{00000000-0005-0000-0000-00005E010000}"/>
    <cellStyle name="Neutral 2" xfId="170" xr:uid="{00000000-0005-0000-0000-00005F010000}"/>
    <cellStyle name="NonInputCell" xfId="373" xr:uid="{00000000-0005-0000-0000-000060010000}"/>
    <cellStyle name="NonInputCell 2" xfId="374" xr:uid="{00000000-0005-0000-0000-000061010000}"/>
    <cellStyle name="NonInputCell 3" xfId="375" xr:uid="{00000000-0005-0000-0000-000062010000}"/>
    <cellStyle name="Normal" xfId="0" builtinId="0"/>
    <cellStyle name="Normal - Style1" xfId="171" xr:uid="{00000000-0005-0000-0000-000064010000}"/>
    <cellStyle name="Normal 10" xfId="22" xr:uid="{00000000-0005-0000-0000-000065010000}"/>
    <cellStyle name="Normal 10 2" xfId="376" xr:uid="{00000000-0005-0000-0000-000066010000}"/>
    <cellStyle name="Normal 10 2 2 2" xfId="554" xr:uid="{00000000-0005-0000-0000-000067010000}"/>
    <cellStyle name="Normal 11" xfId="270" xr:uid="{00000000-0005-0000-0000-000068010000}"/>
    <cellStyle name="Normal 11 2" xfId="377" xr:uid="{00000000-0005-0000-0000-000069010000}"/>
    <cellStyle name="Normal 11 3" xfId="378" xr:uid="{00000000-0005-0000-0000-00006A010000}"/>
    <cellStyle name="Normal 11 4" xfId="379" xr:uid="{00000000-0005-0000-0000-00006B010000}"/>
    <cellStyle name="Normal 114" xfId="12" xr:uid="{00000000-0005-0000-0000-00006C010000}"/>
    <cellStyle name="Normal 114 2" xfId="23" xr:uid="{00000000-0005-0000-0000-00006D010000}"/>
    <cellStyle name="Normal 12" xfId="380" xr:uid="{00000000-0005-0000-0000-00006E010000}"/>
    <cellStyle name="Normal 12 2" xfId="381" xr:uid="{00000000-0005-0000-0000-00006F010000}"/>
    <cellStyle name="Normal 13" xfId="172" xr:uid="{00000000-0005-0000-0000-000070010000}"/>
    <cellStyle name="Normal 13 2" xfId="21" xr:uid="{00000000-0005-0000-0000-000071010000}"/>
    <cellStyle name="Normal 13_29(d) - Gas extensions -tariffs" xfId="173" xr:uid="{00000000-0005-0000-0000-000072010000}"/>
    <cellStyle name="Normal 14" xfId="273" xr:uid="{00000000-0005-0000-0000-000073010000}"/>
    <cellStyle name="Normal 14 2" xfId="382" xr:uid="{00000000-0005-0000-0000-000074010000}"/>
    <cellStyle name="Normal 14 2 2" xfId="655" xr:uid="{00000000-0005-0000-0000-000075010000}"/>
    <cellStyle name="Normal 14 3" xfId="383" xr:uid="{00000000-0005-0000-0000-000076010000}"/>
    <cellStyle name="Normal 14 3 2" xfId="384" xr:uid="{00000000-0005-0000-0000-000077010000}"/>
    <cellStyle name="Normal 14 3 3" xfId="385" xr:uid="{00000000-0005-0000-0000-000078010000}"/>
    <cellStyle name="Normal 14 4" xfId="386" xr:uid="{00000000-0005-0000-0000-000079010000}"/>
    <cellStyle name="Normal 14 5" xfId="387" xr:uid="{00000000-0005-0000-0000-00007A010000}"/>
    <cellStyle name="Normal 14 6" xfId="556" xr:uid="{00000000-0005-0000-0000-00007B010000}"/>
    <cellStyle name="Normal 143" xfId="656" xr:uid="{00000000-0005-0000-0000-00007C010000}"/>
    <cellStyle name="Normal 144" xfId="657" xr:uid="{00000000-0005-0000-0000-00007D010000}"/>
    <cellStyle name="Normal 147" xfId="658" xr:uid="{00000000-0005-0000-0000-00007E010000}"/>
    <cellStyle name="Normal 148" xfId="659" xr:uid="{00000000-0005-0000-0000-00007F010000}"/>
    <cellStyle name="Normal 149" xfId="660" xr:uid="{00000000-0005-0000-0000-000080010000}"/>
    <cellStyle name="Normal 15" xfId="174" xr:uid="{00000000-0005-0000-0000-000081010000}"/>
    <cellStyle name="Normal 15 2" xfId="388" xr:uid="{00000000-0005-0000-0000-000082010000}"/>
    <cellStyle name="Normal 15 3" xfId="661" xr:uid="{00000000-0005-0000-0000-000083010000}"/>
    <cellStyle name="Normal 150" xfId="662" xr:uid="{00000000-0005-0000-0000-000084010000}"/>
    <cellStyle name="Normal 151" xfId="663" xr:uid="{00000000-0005-0000-0000-000085010000}"/>
    <cellStyle name="Normal 152" xfId="664" xr:uid="{00000000-0005-0000-0000-000086010000}"/>
    <cellStyle name="Normal 153" xfId="665" xr:uid="{00000000-0005-0000-0000-000087010000}"/>
    <cellStyle name="Normal 154" xfId="666" xr:uid="{00000000-0005-0000-0000-000088010000}"/>
    <cellStyle name="Normal 155" xfId="667" xr:uid="{00000000-0005-0000-0000-000089010000}"/>
    <cellStyle name="Normal 156" xfId="668" xr:uid="{00000000-0005-0000-0000-00008A010000}"/>
    <cellStyle name="Normal 16" xfId="175" xr:uid="{00000000-0005-0000-0000-00008B010000}"/>
    <cellStyle name="Normal 16 2" xfId="389" xr:uid="{00000000-0005-0000-0000-00008C010000}"/>
    <cellStyle name="Normal 16 3" xfId="669" xr:uid="{00000000-0005-0000-0000-00008D010000}"/>
    <cellStyle name="Normal 161" xfId="670" xr:uid="{00000000-0005-0000-0000-00008E010000}"/>
    <cellStyle name="Normal 162" xfId="671" xr:uid="{00000000-0005-0000-0000-00008F010000}"/>
    <cellStyle name="Normal 163" xfId="672" xr:uid="{00000000-0005-0000-0000-000090010000}"/>
    <cellStyle name="Normal 164" xfId="673" xr:uid="{00000000-0005-0000-0000-000091010000}"/>
    <cellStyle name="Normal 169" xfId="674" xr:uid="{00000000-0005-0000-0000-000092010000}"/>
    <cellStyle name="Normal 17" xfId="390" xr:uid="{00000000-0005-0000-0000-000093010000}"/>
    <cellStyle name="Normal 17 2" xfId="391" xr:uid="{00000000-0005-0000-0000-000094010000}"/>
    <cellStyle name="Normal 17 2 2" xfId="392" xr:uid="{00000000-0005-0000-0000-000095010000}"/>
    <cellStyle name="Normal 17 2 2 2" xfId="393" xr:uid="{00000000-0005-0000-0000-000096010000}"/>
    <cellStyle name="Normal 17 2 2 3" xfId="394" xr:uid="{00000000-0005-0000-0000-000097010000}"/>
    <cellStyle name="Normal 17 2 3" xfId="395" xr:uid="{00000000-0005-0000-0000-000098010000}"/>
    <cellStyle name="Normal 17 2 4" xfId="396" xr:uid="{00000000-0005-0000-0000-000099010000}"/>
    <cellStyle name="Normal 17 3" xfId="397" xr:uid="{00000000-0005-0000-0000-00009A010000}"/>
    <cellStyle name="Normal 17 3 2" xfId="398" xr:uid="{00000000-0005-0000-0000-00009B010000}"/>
    <cellStyle name="Normal 17 3 2 2" xfId="399" xr:uid="{00000000-0005-0000-0000-00009C010000}"/>
    <cellStyle name="Normal 17 3 2 3" xfId="400" xr:uid="{00000000-0005-0000-0000-00009D010000}"/>
    <cellStyle name="Normal 17 3 3" xfId="401" xr:uid="{00000000-0005-0000-0000-00009E010000}"/>
    <cellStyle name="Normal 17 3 4" xfId="402" xr:uid="{00000000-0005-0000-0000-00009F010000}"/>
    <cellStyle name="Normal 17 4" xfId="403" xr:uid="{00000000-0005-0000-0000-0000A0010000}"/>
    <cellStyle name="Normal 17 4 2" xfId="404" xr:uid="{00000000-0005-0000-0000-0000A1010000}"/>
    <cellStyle name="Normal 17 4 3" xfId="405" xr:uid="{00000000-0005-0000-0000-0000A2010000}"/>
    <cellStyle name="Normal 17 5" xfId="406" xr:uid="{00000000-0005-0000-0000-0000A3010000}"/>
    <cellStyle name="Normal 17 6" xfId="407" xr:uid="{00000000-0005-0000-0000-0000A4010000}"/>
    <cellStyle name="Normal 170" xfId="675" xr:uid="{00000000-0005-0000-0000-0000A5010000}"/>
    <cellStyle name="Normal 171" xfId="676" xr:uid="{00000000-0005-0000-0000-0000A6010000}"/>
    <cellStyle name="Normal 172" xfId="677" xr:uid="{00000000-0005-0000-0000-0000A7010000}"/>
    <cellStyle name="Normal 177" xfId="678" xr:uid="{00000000-0005-0000-0000-0000A8010000}"/>
    <cellStyle name="Normal 178" xfId="679" xr:uid="{00000000-0005-0000-0000-0000A9010000}"/>
    <cellStyle name="Normal 179" xfId="680" xr:uid="{00000000-0005-0000-0000-0000AA010000}"/>
    <cellStyle name="Normal 18" xfId="408" xr:uid="{00000000-0005-0000-0000-0000AB010000}"/>
    <cellStyle name="Normal 18 2" xfId="409" xr:uid="{00000000-0005-0000-0000-0000AC010000}"/>
    <cellStyle name="Normal 180" xfId="681" xr:uid="{00000000-0005-0000-0000-0000AD010000}"/>
    <cellStyle name="Normal 181" xfId="682" xr:uid="{00000000-0005-0000-0000-0000AE010000}"/>
    <cellStyle name="Normal 182" xfId="683" xr:uid="{00000000-0005-0000-0000-0000AF010000}"/>
    <cellStyle name="Normal 183" xfId="684" xr:uid="{00000000-0005-0000-0000-0000B0010000}"/>
    <cellStyle name="Normal 184" xfId="685" xr:uid="{00000000-0005-0000-0000-0000B1010000}"/>
    <cellStyle name="Normal 185" xfId="686" xr:uid="{00000000-0005-0000-0000-0000B2010000}"/>
    <cellStyle name="Normal 186" xfId="687" xr:uid="{00000000-0005-0000-0000-0000B3010000}"/>
    <cellStyle name="Normal 187" xfId="688" xr:uid="{00000000-0005-0000-0000-0000B4010000}"/>
    <cellStyle name="Normal 188" xfId="689" xr:uid="{00000000-0005-0000-0000-0000B5010000}"/>
    <cellStyle name="Normal 189" xfId="690" xr:uid="{00000000-0005-0000-0000-0000B6010000}"/>
    <cellStyle name="Normal 19" xfId="410" xr:uid="{00000000-0005-0000-0000-0000B7010000}"/>
    <cellStyle name="Normal 190" xfId="691" xr:uid="{00000000-0005-0000-0000-0000B8010000}"/>
    <cellStyle name="Normal 192" xfId="692" xr:uid="{00000000-0005-0000-0000-0000B9010000}"/>
    <cellStyle name="Normal 193" xfId="693" xr:uid="{00000000-0005-0000-0000-0000BA010000}"/>
    <cellStyle name="Normal 196" xfId="694" xr:uid="{00000000-0005-0000-0000-0000BB010000}"/>
    <cellStyle name="Normal 197" xfId="695" xr:uid="{00000000-0005-0000-0000-0000BC010000}"/>
    <cellStyle name="Normal 198" xfId="696" xr:uid="{00000000-0005-0000-0000-0000BD010000}"/>
    <cellStyle name="Normal 199" xfId="697" xr:uid="{00000000-0005-0000-0000-0000BE010000}"/>
    <cellStyle name="Normal 2" xfId="6" xr:uid="{00000000-0005-0000-0000-0000BF010000}"/>
    <cellStyle name="Normal 2 2" xfId="13" xr:uid="{00000000-0005-0000-0000-0000C0010000}"/>
    <cellStyle name="Normal 2 2 2" xfId="176" xr:uid="{00000000-0005-0000-0000-0000C1010000}"/>
    <cellStyle name="Normal 2 2 3" xfId="411" xr:uid="{00000000-0005-0000-0000-0000C2010000}"/>
    <cellStyle name="Normal 2 2 4" xfId="412" xr:uid="{00000000-0005-0000-0000-0000C3010000}"/>
    <cellStyle name="Normal 2 2 5" xfId="413" xr:uid="{00000000-0005-0000-0000-0000C4010000}"/>
    <cellStyle name="Normal 2 3" xfId="24" xr:uid="{00000000-0005-0000-0000-0000C5010000}"/>
    <cellStyle name="Normal 2 3 2" xfId="177" xr:uid="{00000000-0005-0000-0000-0000C6010000}"/>
    <cellStyle name="Normal 2 3_29(d) - Gas extensions -tariffs" xfId="178" xr:uid="{00000000-0005-0000-0000-0000C7010000}"/>
    <cellStyle name="Normal 2 4" xfId="179" xr:uid="{00000000-0005-0000-0000-0000C8010000}"/>
    <cellStyle name="Normal 2 4 2" xfId="414" xr:uid="{00000000-0005-0000-0000-0000C9010000}"/>
    <cellStyle name="Normal 2 4 3" xfId="415" xr:uid="{00000000-0005-0000-0000-0000CA010000}"/>
    <cellStyle name="Normal 2 5" xfId="180" xr:uid="{00000000-0005-0000-0000-0000CB010000}"/>
    <cellStyle name="Normal 2_29(d) - Gas extensions -tariffs" xfId="181" xr:uid="{00000000-0005-0000-0000-0000CC010000}"/>
    <cellStyle name="Normal 20" xfId="416" xr:uid="{00000000-0005-0000-0000-0000CD010000}"/>
    <cellStyle name="Normal 20 2" xfId="417" xr:uid="{00000000-0005-0000-0000-0000CE010000}"/>
    <cellStyle name="Normal 20 2 2" xfId="418" xr:uid="{00000000-0005-0000-0000-0000CF010000}"/>
    <cellStyle name="Normal 20 3" xfId="419" xr:uid="{00000000-0005-0000-0000-0000D0010000}"/>
    <cellStyle name="Normal 20 4" xfId="420" xr:uid="{00000000-0005-0000-0000-0000D1010000}"/>
    <cellStyle name="Normal 20 5" xfId="698" xr:uid="{00000000-0005-0000-0000-0000D2010000}"/>
    <cellStyle name="Normal 200" xfId="699" xr:uid="{00000000-0005-0000-0000-0000D3010000}"/>
    <cellStyle name="Normal 201" xfId="700" xr:uid="{00000000-0005-0000-0000-0000D4010000}"/>
    <cellStyle name="Normal 202" xfId="701" xr:uid="{00000000-0005-0000-0000-0000D5010000}"/>
    <cellStyle name="Normal 203" xfId="702" xr:uid="{00000000-0005-0000-0000-0000D6010000}"/>
    <cellStyle name="Normal 204" xfId="703" xr:uid="{00000000-0005-0000-0000-0000D7010000}"/>
    <cellStyle name="Normal 205" xfId="704" xr:uid="{00000000-0005-0000-0000-0000D8010000}"/>
    <cellStyle name="Normal 207" xfId="705" xr:uid="{00000000-0005-0000-0000-0000D9010000}"/>
    <cellStyle name="Normal 208" xfId="706" xr:uid="{00000000-0005-0000-0000-0000DA010000}"/>
    <cellStyle name="Normal 209" xfId="707" xr:uid="{00000000-0005-0000-0000-0000DB010000}"/>
    <cellStyle name="Normal 21" xfId="421" xr:uid="{00000000-0005-0000-0000-0000DC010000}"/>
    <cellStyle name="Normal 21 2" xfId="422" xr:uid="{00000000-0005-0000-0000-0000DD010000}"/>
    <cellStyle name="Normal 21 3" xfId="423" xr:uid="{00000000-0005-0000-0000-0000DE010000}"/>
    <cellStyle name="Normal 210" xfId="708" xr:uid="{00000000-0005-0000-0000-0000DF010000}"/>
    <cellStyle name="Normal 211" xfId="709" xr:uid="{00000000-0005-0000-0000-0000E0010000}"/>
    <cellStyle name="Normal 212" xfId="710" xr:uid="{00000000-0005-0000-0000-0000E1010000}"/>
    <cellStyle name="Normal 213" xfId="711" xr:uid="{00000000-0005-0000-0000-0000E2010000}"/>
    <cellStyle name="Normal 214" xfId="712" xr:uid="{00000000-0005-0000-0000-0000E3010000}"/>
    <cellStyle name="Normal 215" xfId="713" xr:uid="{00000000-0005-0000-0000-0000E4010000}"/>
    <cellStyle name="Normal 216" xfId="714" xr:uid="{00000000-0005-0000-0000-0000E5010000}"/>
    <cellStyle name="Normal 22" xfId="424" xr:uid="{00000000-0005-0000-0000-0000E6010000}"/>
    <cellStyle name="Normal 23" xfId="425" xr:uid="{00000000-0005-0000-0000-0000E7010000}"/>
    <cellStyle name="Normal 23 2" xfId="426" xr:uid="{00000000-0005-0000-0000-0000E8010000}"/>
    <cellStyle name="Normal 23 2 2" xfId="427" xr:uid="{00000000-0005-0000-0000-0000E9010000}"/>
    <cellStyle name="Normal 23 3" xfId="428" xr:uid="{00000000-0005-0000-0000-0000EA010000}"/>
    <cellStyle name="Normal 23 4" xfId="429" xr:uid="{00000000-0005-0000-0000-0000EB010000}"/>
    <cellStyle name="Normal 24" xfId="430" xr:uid="{00000000-0005-0000-0000-0000EC010000}"/>
    <cellStyle name="Normal 24 2" xfId="431" xr:uid="{00000000-0005-0000-0000-0000ED010000}"/>
    <cellStyle name="Normal 24 2 2" xfId="432" xr:uid="{00000000-0005-0000-0000-0000EE010000}"/>
    <cellStyle name="Normal 24 3" xfId="433" xr:uid="{00000000-0005-0000-0000-0000EF010000}"/>
    <cellStyle name="Normal 24 4" xfId="434" xr:uid="{00000000-0005-0000-0000-0000F0010000}"/>
    <cellStyle name="Normal 25" xfId="435" xr:uid="{00000000-0005-0000-0000-0000F1010000}"/>
    <cellStyle name="Normal 25 2" xfId="436" xr:uid="{00000000-0005-0000-0000-0000F2010000}"/>
    <cellStyle name="Normal 25 2 2" xfId="437" xr:uid="{00000000-0005-0000-0000-0000F3010000}"/>
    <cellStyle name="Normal 25 3" xfId="438" xr:uid="{00000000-0005-0000-0000-0000F4010000}"/>
    <cellStyle name="Normal 25 4" xfId="439" xr:uid="{00000000-0005-0000-0000-0000F5010000}"/>
    <cellStyle name="Normal 26" xfId="440" xr:uid="{00000000-0005-0000-0000-0000F6010000}"/>
    <cellStyle name="Normal 26 2" xfId="441" xr:uid="{00000000-0005-0000-0000-0000F7010000}"/>
    <cellStyle name="Normal 26 2 2" xfId="442" xr:uid="{00000000-0005-0000-0000-0000F8010000}"/>
    <cellStyle name="Normal 26 3" xfId="443" xr:uid="{00000000-0005-0000-0000-0000F9010000}"/>
    <cellStyle name="Normal 26 4" xfId="444" xr:uid="{00000000-0005-0000-0000-0000FA010000}"/>
    <cellStyle name="Normal 27" xfId="445" xr:uid="{00000000-0005-0000-0000-0000FB010000}"/>
    <cellStyle name="Normal 28" xfId="272" xr:uid="{00000000-0005-0000-0000-0000FC010000}"/>
    <cellStyle name="Normal 28 2" xfId="555" xr:uid="{00000000-0005-0000-0000-0000FD010000}"/>
    <cellStyle name="Normal 29" xfId="446" xr:uid="{00000000-0005-0000-0000-0000FE010000}"/>
    <cellStyle name="Normal 3" xfId="14" xr:uid="{00000000-0005-0000-0000-0000FF010000}"/>
    <cellStyle name="Normal 3 2" xfId="182" xr:uid="{00000000-0005-0000-0000-000000020000}"/>
    <cellStyle name="Normal 3 3" xfId="447" xr:uid="{00000000-0005-0000-0000-000001020000}"/>
    <cellStyle name="Normal 3 3 2" xfId="448" xr:uid="{00000000-0005-0000-0000-000002020000}"/>
    <cellStyle name="Normal 3 3 3" xfId="449" xr:uid="{00000000-0005-0000-0000-000003020000}"/>
    <cellStyle name="Normal 3 4" xfId="450" xr:uid="{00000000-0005-0000-0000-000004020000}"/>
    <cellStyle name="Normal 3 5" xfId="451" xr:uid="{00000000-0005-0000-0000-000005020000}"/>
    <cellStyle name="Normal 3 5 2" xfId="452" xr:uid="{00000000-0005-0000-0000-000006020000}"/>
    <cellStyle name="Normal 3 5 3" xfId="453" xr:uid="{00000000-0005-0000-0000-000007020000}"/>
    <cellStyle name="Normal 3_29(d) - Gas extensions -tariffs" xfId="183" xr:uid="{00000000-0005-0000-0000-000008020000}"/>
    <cellStyle name="Normal 30" xfId="454" xr:uid="{00000000-0005-0000-0000-000009020000}"/>
    <cellStyle name="Normal 31" xfId="455" xr:uid="{00000000-0005-0000-0000-00000A020000}"/>
    <cellStyle name="Normal 32" xfId="271" xr:uid="{00000000-0005-0000-0000-00000B020000}"/>
    <cellStyle name="Normal 32 2" xfId="553" xr:uid="{00000000-0005-0000-0000-00000C020000}"/>
    <cellStyle name="Normal 33" xfId="456" xr:uid="{00000000-0005-0000-0000-00000D020000}"/>
    <cellStyle name="Normal 34" xfId="552" xr:uid="{00000000-0005-0000-0000-00000E020000}"/>
    <cellStyle name="Normal 34 2" xfId="715" xr:uid="{00000000-0005-0000-0000-00000F020000}"/>
    <cellStyle name="Normal 35" xfId="716" xr:uid="{00000000-0005-0000-0000-000010020000}"/>
    <cellStyle name="Normal 36" xfId="717" xr:uid="{00000000-0005-0000-0000-000011020000}"/>
    <cellStyle name="Normal 37" xfId="718" xr:uid="{00000000-0005-0000-0000-000012020000}"/>
    <cellStyle name="Normal 37 2" xfId="719" xr:uid="{00000000-0005-0000-0000-000013020000}"/>
    <cellStyle name="Normal 38" xfId="184" xr:uid="{00000000-0005-0000-0000-000014020000}"/>
    <cellStyle name="Normal 38 2" xfId="185" xr:uid="{00000000-0005-0000-0000-000015020000}"/>
    <cellStyle name="Normal 38_29(d) - Gas extensions -tariffs" xfId="186" xr:uid="{00000000-0005-0000-0000-000016020000}"/>
    <cellStyle name="Normal 39" xfId="720" xr:uid="{00000000-0005-0000-0000-000017020000}"/>
    <cellStyle name="Normal 4" xfId="15" xr:uid="{00000000-0005-0000-0000-000018020000}"/>
    <cellStyle name="Normal 4 2" xfId="5" xr:uid="{00000000-0005-0000-0000-000019020000}"/>
    <cellStyle name="Normal 4 2 2" xfId="457" xr:uid="{00000000-0005-0000-0000-00001A020000}"/>
    <cellStyle name="Normal 4 2 2 2" xfId="458" xr:uid="{00000000-0005-0000-0000-00001B020000}"/>
    <cellStyle name="Normal 4 2 2 2 2" xfId="459" xr:uid="{00000000-0005-0000-0000-00001C020000}"/>
    <cellStyle name="Normal 4 2 2 2 3" xfId="460" xr:uid="{00000000-0005-0000-0000-00001D020000}"/>
    <cellStyle name="Normal 4 2 2 3" xfId="461" xr:uid="{00000000-0005-0000-0000-00001E020000}"/>
    <cellStyle name="Normal 4 2 2 4" xfId="462" xr:uid="{00000000-0005-0000-0000-00001F020000}"/>
    <cellStyle name="Normal 4 2 3" xfId="463" xr:uid="{00000000-0005-0000-0000-000020020000}"/>
    <cellStyle name="Normal 4 2 3 2" xfId="464" xr:uid="{00000000-0005-0000-0000-000021020000}"/>
    <cellStyle name="Normal 4 2 3 2 2" xfId="465" xr:uid="{00000000-0005-0000-0000-000022020000}"/>
    <cellStyle name="Normal 4 2 3 2 3" xfId="466" xr:uid="{00000000-0005-0000-0000-000023020000}"/>
    <cellStyle name="Normal 4 2 3 3" xfId="467" xr:uid="{00000000-0005-0000-0000-000024020000}"/>
    <cellStyle name="Normal 4 2 3 4" xfId="468" xr:uid="{00000000-0005-0000-0000-000025020000}"/>
    <cellStyle name="Normal 4 3" xfId="187" xr:uid="{00000000-0005-0000-0000-000026020000}"/>
    <cellStyle name="Normal 4 3 2" xfId="469" xr:uid="{00000000-0005-0000-0000-000027020000}"/>
    <cellStyle name="Normal 4 3 2 2" xfId="470" xr:uid="{00000000-0005-0000-0000-000028020000}"/>
    <cellStyle name="Normal 4 3 2 3" xfId="471" xr:uid="{00000000-0005-0000-0000-000029020000}"/>
    <cellStyle name="Normal 4 3 3" xfId="472" xr:uid="{00000000-0005-0000-0000-00002A020000}"/>
    <cellStyle name="Normal 4 3 3 2" xfId="473" xr:uid="{00000000-0005-0000-0000-00002B020000}"/>
    <cellStyle name="Normal 4 3 4" xfId="474" xr:uid="{00000000-0005-0000-0000-00002C020000}"/>
    <cellStyle name="Normal 4 3 5" xfId="721" xr:uid="{00000000-0005-0000-0000-00002D020000}"/>
    <cellStyle name="Normal 4 4" xfId="475" xr:uid="{00000000-0005-0000-0000-00002E020000}"/>
    <cellStyle name="Normal 4 5" xfId="476" xr:uid="{00000000-0005-0000-0000-00002F020000}"/>
    <cellStyle name="Normal 4 6" xfId="477" xr:uid="{00000000-0005-0000-0000-000030020000}"/>
    <cellStyle name="Normal 4_29(d) - Gas extensions -tariffs" xfId="188" xr:uid="{00000000-0005-0000-0000-000031020000}"/>
    <cellStyle name="Normal 40" xfId="189" xr:uid="{00000000-0005-0000-0000-000032020000}"/>
    <cellStyle name="Normal 40 2" xfId="190" xr:uid="{00000000-0005-0000-0000-000033020000}"/>
    <cellStyle name="Normal 40_29(d) - Gas extensions -tariffs" xfId="191" xr:uid="{00000000-0005-0000-0000-000034020000}"/>
    <cellStyle name="Normal 41" xfId="912" xr:uid="{00000000-0005-0000-0000-000035020000}"/>
    <cellStyle name="Normal 5" xfId="20" xr:uid="{00000000-0005-0000-0000-000036020000}"/>
    <cellStyle name="Normal 5 2" xfId="192" xr:uid="{00000000-0005-0000-0000-000037020000}"/>
    <cellStyle name="Normal 5 2 2" xfId="722" xr:uid="{00000000-0005-0000-0000-000038020000}"/>
    <cellStyle name="Normal 5 3" xfId="478" xr:uid="{00000000-0005-0000-0000-000039020000}"/>
    <cellStyle name="Normal 6" xfId="193" xr:uid="{00000000-0005-0000-0000-00003A020000}"/>
    <cellStyle name="Normal 6 2" xfId="194" xr:uid="{00000000-0005-0000-0000-00003B020000}"/>
    <cellStyle name="Normal 6 2 2" xfId="479" xr:uid="{00000000-0005-0000-0000-00003C020000}"/>
    <cellStyle name="Normal 7" xfId="195" xr:uid="{00000000-0005-0000-0000-00003D020000}"/>
    <cellStyle name="Normal 7 2" xfId="196" xr:uid="{00000000-0005-0000-0000-00003E020000}"/>
    <cellStyle name="Normal 7 2 2" xfId="480" xr:uid="{00000000-0005-0000-0000-00003F020000}"/>
    <cellStyle name="Normal 7 2 2 2" xfId="481" xr:uid="{00000000-0005-0000-0000-000040020000}"/>
    <cellStyle name="Normal 7 2 2 3" xfId="482" xr:uid="{00000000-0005-0000-0000-000041020000}"/>
    <cellStyle name="Normal 7 2 3" xfId="483" xr:uid="{00000000-0005-0000-0000-000042020000}"/>
    <cellStyle name="Normal 7 2 4" xfId="484" xr:uid="{00000000-0005-0000-0000-000043020000}"/>
    <cellStyle name="Normal 7 3" xfId="723" xr:uid="{00000000-0005-0000-0000-000044020000}"/>
    <cellStyle name="Normal 8" xfId="197" xr:uid="{00000000-0005-0000-0000-000045020000}"/>
    <cellStyle name="Normal 8 2" xfId="485" xr:uid="{00000000-0005-0000-0000-000046020000}"/>
    <cellStyle name="Normal 8 2 2" xfId="486" xr:uid="{00000000-0005-0000-0000-000047020000}"/>
    <cellStyle name="Normal 8 2 3" xfId="487" xr:uid="{00000000-0005-0000-0000-000048020000}"/>
    <cellStyle name="Normal 8 2 3 2" xfId="488" xr:uid="{00000000-0005-0000-0000-000049020000}"/>
    <cellStyle name="Normal 8 2 3 3" xfId="489" xr:uid="{00000000-0005-0000-0000-00004A020000}"/>
    <cellStyle name="Normal 8 2 4" xfId="490" xr:uid="{00000000-0005-0000-0000-00004B020000}"/>
    <cellStyle name="Normal 9" xfId="198" xr:uid="{00000000-0005-0000-0000-00004C020000}"/>
    <cellStyle name="Normal 9 2" xfId="491" xr:uid="{00000000-0005-0000-0000-00004D020000}"/>
    <cellStyle name="Normal_2005 03 27 RAB model" xfId="3" xr:uid="{00000000-0005-0000-0000-00004E020000}"/>
    <cellStyle name="Note 2" xfId="199" xr:uid="{00000000-0005-0000-0000-00004F020000}"/>
    <cellStyle name="Note 2 2" xfId="492" xr:uid="{00000000-0005-0000-0000-000050020000}"/>
    <cellStyle name="Note 2 2 2" xfId="724" xr:uid="{00000000-0005-0000-0000-000051020000}"/>
    <cellStyle name="Note 2 2 2 2" xfId="725" xr:uid="{00000000-0005-0000-0000-000052020000}"/>
    <cellStyle name="Note 2 2 2 3" xfId="726" xr:uid="{00000000-0005-0000-0000-000053020000}"/>
    <cellStyle name="Note 2 2 3" xfId="727" xr:uid="{00000000-0005-0000-0000-000054020000}"/>
    <cellStyle name="Note 2 2 4" xfId="728" xr:uid="{00000000-0005-0000-0000-000055020000}"/>
    <cellStyle name="Note 2 2 5" xfId="729" xr:uid="{00000000-0005-0000-0000-000056020000}"/>
    <cellStyle name="Note 2 3" xfId="493" xr:uid="{00000000-0005-0000-0000-000057020000}"/>
    <cellStyle name="Note 2 3 2" xfId="730" xr:uid="{00000000-0005-0000-0000-000058020000}"/>
    <cellStyle name="Note 2 3 2 2" xfId="731" xr:uid="{00000000-0005-0000-0000-000059020000}"/>
    <cellStyle name="Note 2 3 2 3" xfId="732" xr:uid="{00000000-0005-0000-0000-00005A020000}"/>
    <cellStyle name="Note 2 3 3" xfId="733" xr:uid="{00000000-0005-0000-0000-00005B020000}"/>
    <cellStyle name="Note 2 3 4" xfId="734" xr:uid="{00000000-0005-0000-0000-00005C020000}"/>
    <cellStyle name="Note 2 3 5" xfId="735" xr:uid="{00000000-0005-0000-0000-00005D020000}"/>
    <cellStyle name="Note 2 4" xfId="736" xr:uid="{00000000-0005-0000-0000-00005E020000}"/>
    <cellStyle name="Note 2 4 2" xfId="737" xr:uid="{00000000-0005-0000-0000-00005F020000}"/>
    <cellStyle name="Note 2 4 2 2" xfId="738" xr:uid="{00000000-0005-0000-0000-000060020000}"/>
    <cellStyle name="Note 2 4 2 3" xfId="739" xr:uid="{00000000-0005-0000-0000-000061020000}"/>
    <cellStyle name="Note 2 4 3" xfId="740" xr:uid="{00000000-0005-0000-0000-000062020000}"/>
    <cellStyle name="Note 2 4 4" xfId="741" xr:uid="{00000000-0005-0000-0000-000063020000}"/>
    <cellStyle name="Note 2 5" xfId="742" xr:uid="{00000000-0005-0000-0000-000064020000}"/>
    <cellStyle name="Note 2 5 2" xfId="743" xr:uid="{00000000-0005-0000-0000-000065020000}"/>
    <cellStyle name="Note 2 5 2 2" xfId="744" xr:uid="{00000000-0005-0000-0000-000066020000}"/>
    <cellStyle name="Note 2 5 2 3" xfId="745" xr:uid="{00000000-0005-0000-0000-000067020000}"/>
    <cellStyle name="Note 2 5 3" xfId="746" xr:uid="{00000000-0005-0000-0000-000068020000}"/>
    <cellStyle name="Note 2 5 4" xfId="747" xr:uid="{00000000-0005-0000-0000-000069020000}"/>
    <cellStyle name="Note 2 6" xfId="748" xr:uid="{00000000-0005-0000-0000-00006A020000}"/>
    <cellStyle name="Note 2 6 2" xfId="749" xr:uid="{00000000-0005-0000-0000-00006B020000}"/>
    <cellStyle name="Note 2 6 2 2" xfId="750" xr:uid="{00000000-0005-0000-0000-00006C020000}"/>
    <cellStyle name="Note 2 6 2 3" xfId="751" xr:uid="{00000000-0005-0000-0000-00006D020000}"/>
    <cellStyle name="Note 2 6 3" xfId="752" xr:uid="{00000000-0005-0000-0000-00006E020000}"/>
    <cellStyle name="Note 2 6 4" xfId="753" xr:uid="{00000000-0005-0000-0000-00006F020000}"/>
    <cellStyle name="Note 2 7" xfId="754" xr:uid="{00000000-0005-0000-0000-000070020000}"/>
    <cellStyle name="Note 2 8" xfId="755" xr:uid="{00000000-0005-0000-0000-000071020000}"/>
    <cellStyle name="Note 2 9" xfId="756" xr:uid="{00000000-0005-0000-0000-000072020000}"/>
    <cellStyle name="Note 3" xfId="494" xr:uid="{00000000-0005-0000-0000-000073020000}"/>
    <cellStyle name="Note 3 2" xfId="495" xr:uid="{00000000-0005-0000-0000-000074020000}"/>
    <cellStyle name="Note 3 2 2" xfId="757" xr:uid="{00000000-0005-0000-0000-000075020000}"/>
    <cellStyle name="Note 3 3" xfId="496" xr:uid="{00000000-0005-0000-0000-000076020000}"/>
    <cellStyle name="Note 3 3 2" xfId="758" xr:uid="{00000000-0005-0000-0000-000077020000}"/>
    <cellStyle name="Note 3 4" xfId="759" xr:uid="{00000000-0005-0000-0000-000078020000}"/>
    <cellStyle name="Note 4" xfId="497" xr:uid="{00000000-0005-0000-0000-000079020000}"/>
    <cellStyle name="Note 4 2" xfId="498" xr:uid="{00000000-0005-0000-0000-00007A020000}"/>
    <cellStyle name="Note 4 2 2" xfId="760" xr:uid="{00000000-0005-0000-0000-00007B020000}"/>
    <cellStyle name="Note 4 3" xfId="499" xr:uid="{00000000-0005-0000-0000-00007C020000}"/>
    <cellStyle name="Note 4 3 2" xfId="761" xr:uid="{00000000-0005-0000-0000-00007D020000}"/>
    <cellStyle name="Note 4 4" xfId="762" xr:uid="{00000000-0005-0000-0000-00007E020000}"/>
    <cellStyle name="Output 2" xfId="200" xr:uid="{00000000-0005-0000-0000-00007F020000}"/>
    <cellStyle name="Output 2 10" xfId="763" xr:uid="{00000000-0005-0000-0000-000080020000}"/>
    <cellStyle name="Output 2 11" xfId="764" xr:uid="{00000000-0005-0000-0000-000081020000}"/>
    <cellStyle name="Output 2 12" xfId="765" xr:uid="{00000000-0005-0000-0000-000082020000}"/>
    <cellStyle name="Output 2 2" xfId="500" xr:uid="{00000000-0005-0000-0000-000083020000}"/>
    <cellStyle name="Output 2 2 2" xfId="766" xr:uid="{00000000-0005-0000-0000-000084020000}"/>
    <cellStyle name="Output 2 2 2 2" xfId="767" xr:uid="{00000000-0005-0000-0000-000085020000}"/>
    <cellStyle name="Output 2 2 2 3" xfId="768" xr:uid="{00000000-0005-0000-0000-000086020000}"/>
    <cellStyle name="Output 2 2 3" xfId="769" xr:uid="{00000000-0005-0000-0000-000087020000}"/>
    <cellStyle name="Output 2 2 3 2" xfId="770" xr:uid="{00000000-0005-0000-0000-000088020000}"/>
    <cellStyle name="Output 2 2 3 3" xfId="771" xr:uid="{00000000-0005-0000-0000-000089020000}"/>
    <cellStyle name="Output 2 2 4" xfId="772" xr:uid="{00000000-0005-0000-0000-00008A020000}"/>
    <cellStyle name="Output 2 2 5" xfId="773" xr:uid="{00000000-0005-0000-0000-00008B020000}"/>
    <cellStyle name="Output 2 2 6" xfId="774" xr:uid="{00000000-0005-0000-0000-00008C020000}"/>
    <cellStyle name="Output 2 3" xfId="501" xr:uid="{00000000-0005-0000-0000-00008D020000}"/>
    <cellStyle name="Output 2 3 2" xfId="775" xr:uid="{00000000-0005-0000-0000-00008E020000}"/>
    <cellStyle name="Output 2 3 2 2" xfId="776" xr:uid="{00000000-0005-0000-0000-00008F020000}"/>
    <cellStyle name="Output 2 3 2 3" xfId="777" xr:uid="{00000000-0005-0000-0000-000090020000}"/>
    <cellStyle name="Output 2 3 3" xfId="778" xr:uid="{00000000-0005-0000-0000-000091020000}"/>
    <cellStyle name="Output 2 3 3 2" xfId="779" xr:uid="{00000000-0005-0000-0000-000092020000}"/>
    <cellStyle name="Output 2 3 3 3" xfId="780" xr:uid="{00000000-0005-0000-0000-000093020000}"/>
    <cellStyle name="Output 2 3 4" xfId="781" xr:uid="{00000000-0005-0000-0000-000094020000}"/>
    <cellStyle name="Output 2 3 5" xfId="782" xr:uid="{00000000-0005-0000-0000-000095020000}"/>
    <cellStyle name="Output 2 3 6" xfId="783" xr:uid="{00000000-0005-0000-0000-000096020000}"/>
    <cellStyle name="Output 2 4" xfId="784" xr:uid="{00000000-0005-0000-0000-000097020000}"/>
    <cellStyle name="Output 2 4 2" xfId="785" xr:uid="{00000000-0005-0000-0000-000098020000}"/>
    <cellStyle name="Output 2 4 2 2" xfId="786" xr:uid="{00000000-0005-0000-0000-000099020000}"/>
    <cellStyle name="Output 2 4 2 3" xfId="787" xr:uid="{00000000-0005-0000-0000-00009A020000}"/>
    <cellStyle name="Output 2 4 3" xfId="788" xr:uid="{00000000-0005-0000-0000-00009B020000}"/>
    <cellStyle name="Output 2 4 3 2" xfId="789" xr:uid="{00000000-0005-0000-0000-00009C020000}"/>
    <cellStyle name="Output 2 4 3 3" xfId="790" xr:uid="{00000000-0005-0000-0000-00009D020000}"/>
    <cellStyle name="Output 2 4 4" xfId="791" xr:uid="{00000000-0005-0000-0000-00009E020000}"/>
    <cellStyle name="Output 2 4 5" xfId="792" xr:uid="{00000000-0005-0000-0000-00009F020000}"/>
    <cellStyle name="Output 2 5" xfId="793" xr:uid="{00000000-0005-0000-0000-0000A0020000}"/>
    <cellStyle name="Output 2 5 2" xfId="794" xr:uid="{00000000-0005-0000-0000-0000A1020000}"/>
    <cellStyle name="Output 2 5 2 2" xfId="795" xr:uid="{00000000-0005-0000-0000-0000A2020000}"/>
    <cellStyle name="Output 2 5 2 3" xfId="796" xr:uid="{00000000-0005-0000-0000-0000A3020000}"/>
    <cellStyle name="Output 2 5 3" xfId="797" xr:uid="{00000000-0005-0000-0000-0000A4020000}"/>
    <cellStyle name="Output 2 5 3 2" xfId="798" xr:uid="{00000000-0005-0000-0000-0000A5020000}"/>
    <cellStyle name="Output 2 5 3 3" xfId="799" xr:uid="{00000000-0005-0000-0000-0000A6020000}"/>
    <cellStyle name="Output 2 5 4" xfId="800" xr:uid="{00000000-0005-0000-0000-0000A7020000}"/>
    <cellStyle name="Output 2 5 5" xfId="801" xr:uid="{00000000-0005-0000-0000-0000A8020000}"/>
    <cellStyle name="Output 2 6" xfId="802" xr:uid="{00000000-0005-0000-0000-0000A9020000}"/>
    <cellStyle name="Output 2 6 2" xfId="803" xr:uid="{00000000-0005-0000-0000-0000AA020000}"/>
    <cellStyle name="Output 2 6 2 2" xfId="804" xr:uid="{00000000-0005-0000-0000-0000AB020000}"/>
    <cellStyle name="Output 2 6 2 3" xfId="805" xr:uid="{00000000-0005-0000-0000-0000AC020000}"/>
    <cellStyle name="Output 2 6 3" xfId="806" xr:uid="{00000000-0005-0000-0000-0000AD020000}"/>
    <cellStyle name="Output 2 6 3 2" xfId="807" xr:uid="{00000000-0005-0000-0000-0000AE020000}"/>
    <cellStyle name="Output 2 6 3 3" xfId="808" xr:uid="{00000000-0005-0000-0000-0000AF020000}"/>
    <cellStyle name="Output 2 6 4" xfId="809" xr:uid="{00000000-0005-0000-0000-0000B0020000}"/>
    <cellStyle name="Output 2 6 5" xfId="810" xr:uid="{00000000-0005-0000-0000-0000B1020000}"/>
    <cellStyle name="Output 2 7" xfId="811" xr:uid="{00000000-0005-0000-0000-0000B2020000}"/>
    <cellStyle name="Output 2 7 2" xfId="812" xr:uid="{00000000-0005-0000-0000-0000B3020000}"/>
    <cellStyle name="Output 2 7 2 2" xfId="813" xr:uid="{00000000-0005-0000-0000-0000B4020000}"/>
    <cellStyle name="Output 2 7 2 3" xfId="814" xr:uid="{00000000-0005-0000-0000-0000B5020000}"/>
    <cellStyle name="Output 2 7 3" xfId="815" xr:uid="{00000000-0005-0000-0000-0000B6020000}"/>
    <cellStyle name="Output 2 7 3 2" xfId="816" xr:uid="{00000000-0005-0000-0000-0000B7020000}"/>
    <cellStyle name="Output 2 7 3 3" xfId="817" xr:uid="{00000000-0005-0000-0000-0000B8020000}"/>
    <cellStyle name="Output 2 7 4" xfId="818" xr:uid="{00000000-0005-0000-0000-0000B9020000}"/>
    <cellStyle name="Output 2 7 5" xfId="819" xr:uid="{00000000-0005-0000-0000-0000BA020000}"/>
    <cellStyle name="Output 2 8" xfId="820" xr:uid="{00000000-0005-0000-0000-0000BB020000}"/>
    <cellStyle name="Output 2 8 2" xfId="821" xr:uid="{00000000-0005-0000-0000-0000BC020000}"/>
    <cellStyle name="Output 2 8 3" xfId="822" xr:uid="{00000000-0005-0000-0000-0000BD020000}"/>
    <cellStyle name="Output 2 9" xfId="823" xr:uid="{00000000-0005-0000-0000-0000BE020000}"/>
    <cellStyle name="Output 2 9 2" xfId="824" xr:uid="{00000000-0005-0000-0000-0000BF020000}"/>
    <cellStyle name="Output 2 9 3" xfId="825" xr:uid="{00000000-0005-0000-0000-0000C0020000}"/>
    <cellStyle name="Percent" xfId="4" builtinId="5"/>
    <cellStyle name="Percent [2]" xfId="201" xr:uid="{00000000-0005-0000-0000-0000C2020000}"/>
    <cellStyle name="Percent [2] 2" xfId="202" xr:uid="{00000000-0005-0000-0000-0000C3020000}"/>
    <cellStyle name="Percent [2]_29(d) - Gas extensions -tariffs" xfId="203" xr:uid="{00000000-0005-0000-0000-0000C4020000}"/>
    <cellStyle name="Percent 10" xfId="826" xr:uid="{00000000-0005-0000-0000-0000C5020000}"/>
    <cellStyle name="Percent 11" xfId="827" xr:uid="{00000000-0005-0000-0000-0000C6020000}"/>
    <cellStyle name="Percent 12" xfId="502" xr:uid="{00000000-0005-0000-0000-0000C7020000}"/>
    <cellStyle name="Percent 12 2" xfId="503" xr:uid="{00000000-0005-0000-0000-0000C8020000}"/>
    <cellStyle name="Percent 12 2 2" xfId="504" xr:uid="{00000000-0005-0000-0000-0000C9020000}"/>
    <cellStyle name="Percent 12 3" xfId="505" xr:uid="{00000000-0005-0000-0000-0000CA020000}"/>
    <cellStyle name="Percent 12 4" xfId="506" xr:uid="{00000000-0005-0000-0000-0000CB020000}"/>
    <cellStyle name="Percent 2" xfId="16" xr:uid="{00000000-0005-0000-0000-0000CC020000}"/>
    <cellStyle name="Percent 2 2" xfId="204" xr:uid="{00000000-0005-0000-0000-0000CD020000}"/>
    <cellStyle name="Percent 2 2 2" xfId="507" xr:uid="{00000000-0005-0000-0000-0000CE020000}"/>
    <cellStyle name="Percent 2 2 2 2" xfId="508" xr:uid="{00000000-0005-0000-0000-0000CF020000}"/>
    <cellStyle name="Percent 2 2 2 2 2" xfId="509" xr:uid="{00000000-0005-0000-0000-0000D0020000}"/>
    <cellStyle name="Percent 2 2 2 2 3" xfId="510" xr:uid="{00000000-0005-0000-0000-0000D1020000}"/>
    <cellStyle name="Percent 2 2 2 3" xfId="511" xr:uid="{00000000-0005-0000-0000-0000D2020000}"/>
    <cellStyle name="Percent 2 2 2 4" xfId="512" xr:uid="{00000000-0005-0000-0000-0000D3020000}"/>
    <cellStyle name="Percent 2 2 3" xfId="513" xr:uid="{00000000-0005-0000-0000-0000D4020000}"/>
    <cellStyle name="Percent 2 2 3 2" xfId="514" xr:uid="{00000000-0005-0000-0000-0000D5020000}"/>
    <cellStyle name="Percent 2 2 3 2 2" xfId="515" xr:uid="{00000000-0005-0000-0000-0000D6020000}"/>
    <cellStyle name="Percent 2 2 3 2 3" xfId="516" xr:uid="{00000000-0005-0000-0000-0000D7020000}"/>
    <cellStyle name="Percent 2 2 3 3" xfId="517" xr:uid="{00000000-0005-0000-0000-0000D8020000}"/>
    <cellStyle name="Percent 2 2 3 4" xfId="518" xr:uid="{00000000-0005-0000-0000-0000D9020000}"/>
    <cellStyle name="Percent 2 3" xfId="519" xr:uid="{00000000-0005-0000-0000-0000DA020000}"/>
    <cellStyle name="Percent 2 3 2" xfId="520" xr:uid="{00000000-0005-0000-0000-0000DB020000}"/>
    <cellStyle name="Percent 2 3 2 2" xfId="521" xr:uid="{00000000-0005-0000-0000-0000DC020000}"/>
    <cellStyle name="Percent 2 3 2 3" xfId="522" xr:uid="{00000000-0005-0000-0000-0000DD020000}"/>
    <cellStyle name="Percent 2 3 3" xfId="523" xr:uid="{00000000-0005-0000-0000-0000DE020000}"/>
    <cellStyle name="Percent 2 3 4" xfId="524" xr:uid="{00000000-0005-0000-0000-0000DF020000}"/>
    <cellStyle name="Percent 2 4" xfId="525" xr:uid="{00000000-0005-0000-0000-0000E0020000}"/>
    <cellStyle name="Percent 2 4 2" xfId="526" xr:uid="{00000000-0005-0000-0000-0000E1020000}"/>
    <cellStyle name="Percent 2 4 2 2" xfId="527" xr:uid="{00000000-0005-0000-0000-0000E2020000}"/>
    <cellStyle name="Percent 2 4 2 3" xfId="528" xr:uid="{00000000-0005-0000-0000-0000E3020000}"/>
    <cellStyle name="Percent 2 4 3" xfId="529" xr:uid="{00000000-0005-0000-0000-0000E4020000}"/>
    <cellStyle name="Percent 2 4 4" xfId="530" xr:uid="{00000000-0005-0000-0000-0000E5020000}"/>
    <cellStyle name="Percent 3" xfId="205" xr:uid="{00000000-0005-0000-0000-0000E6020000}"/>
    <cellStyle name="Percent 3 2" xfId="206" xr:uid="{00000000-0005-0000-0000-0000E7020000}"/>
    <cellStyle name="Percent 3 3" xfId="828" xr:uid="{00000000-0005-0000-0000-0000E8020000}"/>
    <cellStyle name="Percent 3 4" xfId="531" xr:uid="{00000000-0005-0000-0000-0000E9020000}"/>
    <cellStyle name="Percent 3 4 2" xfId="532" xr:uid="{00000000-0005-0000-0000-0000EA020000}"/>
    <cellStyle name="Percent 3 4 3" xfId="533" xr:uid="{00000000-0005-0000-0000-0000EB020000}"/>
    <cellStyle name="Percent 4" xfId="207" xr:uid="{00000000-0005-0000-0000-0000EC020000}"/>
    <cellStyle name="Percent 4 2" xfId="829" xr:uid="{00000000-0005-0000-0000-0000ED020000}"/>
    <cellStyle name="Percent 5" xfId="534" xr:uid="{00000000-0005-0000-0000-0000EE020000}"/>
    <cellStyle name="Percent 5 2" xfId="535" xr:uid="{00000000-0005-0000-0000-0000EF020000}"/>
    <cellStyle name="Percent 5 3" xfId="536" xr:uid="{00000000-0005-0000-0000-0000F0020000}"/>
    <cellStyle name="Percent 6" xfId="537" xr:uid="{00000000-0005-0000-0000-0000F1020000}"/>
    <cellStyle name="Percent 7" xfId="208" xr:uid="{00000000-0005-0000-0000-0000F2020000}"/>
    <cellStyle name="Percent 8" xfId="830" xr:uid="{00000000-0005-0000-0000-0000F3020000}"/>
    <cellStyle name="Percent 9" xfId="831" xr:uid="{00000000-0005-0000-0000-0000F4020000}"/>
    <cellStyle name="Percentage" xfId="209" xr:uid="{00000000-0005-0000-0000-0000F5020000}"/>
    <cellStyle name="Period Title" xfId="210" xr:uid="{00000000-0005-0000-0000-0000F6020000}"/>
    <cellStyle name="PSChar" xfId="211" xr:uid="{00000000-0005-0000-0000-0000F7020000}"/>
    <cellStyle name="PSDate" xfId="212" xr:uid="{00000000-0005-0000-0000-0000F8020000}"/>
    <cellStyle name="PSDec" xfId="213" xr:uid="{00000000-0005-0000-0000-0000F9020000}"/>
    <cellStyle name="PSDetail" xfId="214" xr:uid="{00000000-0005-0000-0000-0000FA020000}"/>
    <cellStyle name="PSDetail 2" xfId="832" xr:uid="{00000000-0005-0000-0000-0000FB020000}"/>
    <cellStyle name="PSHeading" xfId="215" xr:uid="{00000000-0005-0000-0000-0000FC020000}"/>
    <cellStyle name="PSHeading 2" xfId="538" xr:uid="{00000000-0005-0000-0000-0000FD020000}"/>
    <cellStyle name="PSHeading 2 2" xfId="539" xr:uid="{00000000-0005-0000-0000-0000FE020000}"/>
    <cellStyle name="PSHeading 2 2 2" xfId="833" xr:uid="{00000000-0005-0000-0000-0000FF020000}"/>
    <cellStyle name="PSHeading 2 3" xfId="834" xr:uid="{00000000-0005-0000-0000-000000030000}"/>
    <cellStyle name="PSHeading 3" xfId="540" xr:uid="{00000000-0005-0000-0000-000001030000}"/>
    <cellStyle name="PSHeading 3 2" xfId="541" xr:uid="{00000000-0005-0000-0000-000002030000}"/>
    <cellStyle name="PSHeading 3 2 2" xfId="542" xr:uid="{00000000-0005-0000-0000-000003030000}"/>
    <cellStyle name="PSHeading 3 2 2 2" xfId="835" xr:uid="{00000000-0005-0000-0000-000004030000}"/>
    <cellStyle name="PSHeading 3 2 3" xfId="836" xr:uid="{00000000-0005-0000-0000-000005030000}"/>
    <cellStyle name="PSHeading 3 3" xfId="837" xr:uid="{00000000-0005-0000-0000-000006030000}"/>
    <cellStyle name="PSHeading 4" xfId="543" xr:uid="{00000000-0005-0000-0000-000007030000}"/>
    <cellStyle name="PSHeading 4 2" xfId="838" xr:uid="{00000000-0005-0000-0000-000008030000}"/>
    <cellStyle name="PSHeading 5" xfId="839" xr:uid="{00000000-0005-0000-0000-000009030000}"/>
    <cellStyle name="PSInt" xfId="216" xr:uid="{00000000-0005-0000-0000-00000A030000}"/>
    <cellStyle name="PSSpacer" xfId="217" xr:uid="{00000000-0005-0000-0000-00000B030000}"/>
    <cellStyle name="Ratio" xfId="218" xr:uid="{00000000-0005-0000-0000-00000C030000}"/>
    <cellStyle name="Ratio 2" xfId="219" xr:uid="{00000000-0005-0000-0000-00000D030000}"/>
    <cellStyle name="Ratio_29(d) - Gas extensions -tariffs" xfId="220" xr:uid="{00000000-0005-0000-0000-00000E030000}"/>
    <cellStyle name="Right Date" xfId="221" xr:uid="{00000000-0005-0000-0000-00000F030000}"/>
    <cellStyle name="Right Number" xfId="222" xr:uid="{00000000-0005-0000-0000-000010030000}"/>
    <cellStyle name="Right Year" xfId="223" xr:uid="{00000000-0005-0000-0000-000011030000}"/>
    <cellStyle name="RIN_Input$_3dp" xfId="544" xr:uid="{00000000-0005-0000-0000-000012030000}"/>
    <cellStyle name="SAPError" xfId="224" xr:uid="{00000000-0005-0000-0000-000013030000}"/>
    <cellStyle name="SAPError 2" xfId="225" xr:uid="{00000000-0005-0000-0000-000014030000}"/>
    <cellStyle name="SAPKey" xfId="226" xr:uid="{00000000-0005-0000-0000-000015030000}"/>
    <cellStyle name="SAPKey 2" xfId="227" xr:uid="{00000000-0005-0000-0000-000016030000}"/>
    <cellStyle name="SAPLocked" xfId="228" xr:uid="{00000000-0005-0000-0000-000017030000}"/>
    <cellStyle name="SAPLocked 2" xfId="229" xr:uid="{00000000-0005-0000-0000-000018030000}"/>
    <cellStyle name="SAPOutput" xfId="230" xr:uid="{00000000-0005-0000-0000-000019030000}"/>
    <cellStyle name="SAPOutput 2" xfId="231" xr:uid="{00000000-0005-0000-0000-00001A030000}"/>
    <cellStyle name="SAPSpace" xfId="232" xr:uid="{00000000-0005-0000-0000-00001B030000}"/>
    <cellStyle name="SAPSpace 2" xfId="233" xr:uid="{00000000-0005-0000-0000-00001C030000}"/>
    <cellStyle name="SAPText" xfId="234" xr:uid="{00000000-0005-0000-0000-00001D030000}"/>
    <cellStyle name="SAPText 2" xfId="235" xr:uid="{00000000-0005-0000-0000-00001E030000}"/>
    <cellStyle name="SAPUnLocked" xfId="236" xr:uid="{00000000-0005-0000-0000-00001F030000}"/>
    <cellStyle name="SAPUnLocked 2" xfId="237" xr:uid="{00000000-0005-0000-0000-000020030000}"/>
    <cellStyle name="Sheet Title" xfId="238" xr:uid="{00000000-0005-0000-0000-000021030000}"/>
    <cellStyle name="SheetHeader1" xfId="17" xr:uid="{00000000-0005-0000-0000-000022030000}"/>
    <cellStyle name="Style 1" xfId="239" xr:uid="{00000000-0005-0000-0000-000023030000}"/>
    <cellStyle name="Style 1 2" xfId="240" xr:uid="{00000000-0005-0000-0000-000024030000}"/>
    <cellStyle name="Style 1 2 2" xfId="545" xr:uid="{00000000-0005-0000-0000-000025030000}"/>
    <cellStyle name="Style 1 3" xfId="546" xr:uid="{00000000-0005-0000-0000-000026030000}"/>
    <cellStyle name="Style 1 3 2" xfId="547" xr:uid="{00000000-0005-0000-0000-000027030000}"/>
    <cellStyle name="Style 1 3 3" xfId="548" xr:uid="{00000000-0005-0000-0000-000028030000}"/>
    <cellStyle name="Style 1 4" xfId="549" xr:uid="{00000000-0005-0000-0000-000029030000}"/>
    <cellStyle name="Style 1_29(d) - Gas extensions -tariffs" xfId="241" xr:uid="{00000000-0005-0000-0000-00002A030000}"/>
    <cellStyle name="Style2" xfId="242" xr:uid="{00000000-0005-0000-0000-00002B030000}"/>
    <cellStyle name="Style3" xfId="243" xr:uid="{00000000-0005-0000-0000-00002C030000}"/>
    <cellStyle name="Style4" xfId="244" xr:uid="{00000000-0005-0000-0000-00002D030000}"/>
    <cellStyle name="Style4 2" xfId="245" xr:uid="{00000000-0005-0000-0000-00002E030000}"/>
    <cellStyle name="Style4_29(d) - Gas extensions -tariffs" xfId="246" xr:uid="{00000000-0005-0000-0000-00002F030000}"/>
    <cellStyle name="Style5" xfId="247" xr:uid="{00000000-0005-0000-0000-000030030000}"/>
    <cellStyle name="Style5 2" xfId="248" xr:uid="{00000000-0005-0000-0000-000031030000}"/>
    <cellStyle name="Style5_29(d) - Gas extensions -tariffs" xfId="249" xr:uid="{00000000-0005-0000-0000-000032030000}"/>
    <cellStyle name="Table Head Green" xfId="250" xr:uid="{00000000-0005-0000-0000-000033030000}"/>
    <cellStyle name="Table Head Green 2" xfId="840" xr:uid="{00000000-0005-0000-0000-000034030000}"/>
    <cellStyle name="Table Head Green 2 2" xfId="841" xr:uid="{00000000-0005-0000-0000-000035030000}"/>
    <cellStyle name="Table Head Green 3" xfId="842" xr:uid="{00000000-0005-0000-0000-000036030000}"/>
    <cellStyle name="Table Head Green 4" xfId="843" xr:uid="{00000000-0005-0000-0000-000037030000}"/>
    <cellStyle name="Table Head_pldt" xfId="251" xr:uid="{00000000-0005-0000-0000-000038030000}"/>
    <cellStyle name="Table Source" xfId="252" xr:uid="{00000000-0005-0000-0000-000039030000}"/>
    <cellStyle name="Table Units" xfId="253" xr:uid="{00000000-0005-0000-0000-00003A030000}"/>
    <cellStyle name="Table Units 2" xfId="844" xr:uid="{00000000-0005-0000-0000-00003B030000}"/>
    <cellStyle name="TableLvl2" xfId="18" xr:uid="{00000000-0005-0000-0000-00003C030000}"/>
    <cellStyle name="TableLvl3" xfId="19" xr:uid="{00000000-0005-0000-0000-00003D030000}"/>
    <cellStyle name="Text" xfId="254" xr:uid="{00000000-0005-0000-0000-00003E030000}"/>
    <cellStyle name="Text 2" xfId="255" xr:uid="{00000000-0005-0000-0000-00003F030000}"/>
    <cellStyle name="Text 3" xfId="256" xr:uid="{00000000-0005-0000-0000-000040030000}"/>
    <cellStyle name="Text Head 1" xfId="257" xr:uid="{00000000-0005-0000-0000-000041030000}"/>
    <cellStyle name="Text Head 1 2" xfId="845" xr:uid="{00000000-0005-0000-0000-000042030000}"/>
    <cellStyle name="Text Head 2" xfId="258" xr:uid="{00000000-0005-0000-0000-000043030000}"/>
    <cellStyle name="Text Head 2 2" xfId="846" xr:uid="{00000000-0005-0000-0000-000044030000}"/>
    <cellStyle name="Text Indent 2" xfId="259" xr:uid="{00000000-0005-0000-0000-000045030000}"/>
    <cellStyle name="Theirs" xfId="260" xr:uid="{00000000-0005-0000-0000-000046030000}"/>
    <cellStyle name="Title 2" xfId="261" xr:uid="{00000000-0005-0000-0000-000047030000}"/>
    <cellStyle name="TOC 1" xfId="262" xr:uid="{00000000-0005-0000-0000-000048030000}"/>
    <cellStyle name="TOC 2" xfId="263" xr:uid="{00000000-0005-0000-0000-000049030000}"/>
    <cellStyle name="TOC 3" xfId="264" xr:uid="{00000000-0005-0000-0000-00004A030000}"/>
    <cellStyle name="Total 2" xfId="265" xr:uid="{00000000-0005-0000-0000-00004B030000}"/>
    <cellStyle name="Total 2 10" xfId="847" xr:uid="{00000000-0005-0000-0000-00004C030000}"/>
    <cellStyle name="Total 2 11" xfId="848" xr:uid="{00000000-0005-0000-0000-00004D030000}"/>
    <cellStyle name="Total 2 12" xfId="849" xr:uid="{00000000-0005-0000-0000-00004E030000}"/>
    <cellStyle name="Total 2 2" xfId="550" xr:uid="{00000000-0005-0000-0000-00004F030000}"/>
    <cellStyle name="Total 2 2 2" xfId="850" xr:uid="{00000000-0005-0000-0000-000050030000}"/>
    <cellStyle name="Total 2 2 2 2" xfId="851" xr:uid="{00000000-0005-0000-0000-000051030000}"/>
    <cellStyle name="Total 2 2 2 3" xfId="852" xr:uid="{00000000-0005-0000-0000-000052030000}"/>
    <cellStyle name="Total 2 2 3" xfId="853" xr:uid="{00000000-0005-0000-0000-000053030000}"/>
    <cellStyle name="Total 2 2 3 2" xfId="854" xr:uid="{00000000-0005-0000-0000-000054030000}"/>
    <cellStyle name="Total 2 2 3 3" xfId="855" xr:uid="{00000000-0005-0000-0000-000055030000}"/>
    <cellStyle name="Total 2 2 4" xfId="856" xr:uid="{00000000-0005-0000-0000-000056030000}"/>
    <cellStyle name="Total 2 2 5" xfId="857" xr:uid="{00000000-0005-0000-0000-000057030000}"/>
    <cellStyle name="Total 2 2 6" xfId="858" xr:uid="{00000000-0005-0000-0000-000058030000}"/>
    <cellStyle name="Total 2 3" xfId="551" xr:uid="{00000000-0005-0000-0000-000059030000}"/>
    <cellStyle name="Total 2 3 2" xfId="859" xr:uid="{00000000-0005-0000-0000-00005A030000}"/>
    <cellStyle name="Total 2 3 2 2" xfId="860" xr:uid="{00000000-0005-0000-0000-00005B030000}"/>
    <cellStyle name="Total 2 3 2 3" xfId="861" xr:uid="{00000000-0005-0000-0000-00005C030000}"/>
    <cellStyle name="Total 2 3 3" xfId="862" xr:uid="{00000000-0005-0000-0000-00005D030000}"/>
    <cellStyle name="Total 2 3 3 2" xfId="863" xr:uid="{00000000-0005-0000-0000-00005E030000}"/>
    <cellStyle name="Total 2 3 3 3" xfId="864" xr:uid="{00000000-0005-0000-0000-00005F030000}"/>
    <cellStyle name="Total 2 3 4" xfId="865" xr:uid="{00000000-0005-0000-0000-000060030000}"/>
    <cellStyle name="Total 2 3 5" xfId="866" xr:uid="{00000000-0005-0000-0000-000061030000}"/>
    <cellStyle name="Total 2 3 6" xfId="867" xr:uid="{00000000-0005-0000-0000-000062030000}"/>
    <cellStyle name="Total 2 4" xfId="868" xr:uid="{00000000-0005-0000-0000-000063030000}"/>
    <cellStyle name="Total 2 4 2" xfId="869" xr:uid="{00000000-0005-0000-0000-000064030000}"/>
    <cellStyle name="Total 2 4 2 2" xfId="870" xr:uid="{00000000-0005-0000-0000-000065030000}"/>
    <cellStyle name="Total 2 4 2 3" xfId="871" xr:uid="{00000000-0005-0000-0000-000066030000}"/>
    <cellStyle name="Total 2 4 3" xfId="872" xr:uid="{00000000-0005-0000-0000-000067030000}"/>
    <cellStyle name="Total 2 4 3 2" xfId="873" xr:uid="{00000000-0005-0000-0000-000068030000}"/>
    <cellStyle name="Total 2 4 3 3" xfId="874" xr:uid="{00000000-0005-0000-0000-000069030000}"/>
    <cellStyle name="Total 2 4 4" xfId="875" xr:uid="{00000000-0005-0000-0000-00006A030000}"/>
    <cellStyle name="Total 2 4 5" xfId="876" xr:uid="{00000000-0005-0000-0000-00006B030000}"/>
    <cellStyle name="Total 2 5" xfId="877" xr:uid="{00000000-0005-0000-0000-00006C030000}"/>
    <cellStyle name="Total 2 5 2" xfId="878" xr:uid="{00000000-0005-0000-0000-00006D030000}"/>
    <cellStyle name="Total 2 5 2 2" xfId="879" xr:uid="{00000000-0005-0000-0000-00006E030000}"/>
    <cellStyle name="Total 2 5 2 3" xfId="880" xr:uid="{00000000-0005-0000-0000-00006F030000}"/>
    <cellStyle name="Total 2 5 3" xfId="881" xr:uid="{00000000-0005-0000-0000-000070030000}"/>
    <cellStyle name="Total 2 5 3 2" xfId="882" xr:uid="{00000000-0005-0000-0000-000071030000}"/>
    <cellStyle name="Total 2 5 3 3" xfId="883" xr:uid="{00000000-0005-0000-0000-000072030000}"/>
    <cellStyle name="Total 2 5 4" xfId="884" xr:uid="{00000000-0005-0000-0000-000073030000}"/>
    <cellStyle name="Total 2 5 5" xfId="885" xr:uid="{00000000-0005-0000-0000-000074030000}"/>
    <cellStyle name="Total 2 6" xfId="886" xr:uid="{00000000-0005-0000-0000-000075030000}"/>
    <cellStyle name="Total 2 6 2" xfId="887" xr:uid="{00000000-0005-0000-0000-000076030000}"/>
    <cellStyle name="Total 2 6 2 2" xfId="888" xr:uid="{00000000-0005-0000-0000-000077030000}"/>
    <cellStyle name="Total 2 6 2 3" xfId="889" xr:uid="{00000000-0005-0000-0000-000078030000}"/>
    <cellStyle name="Total 2 6 3" xfId="890" xr:uid="{00000000-0005-0000-0000-000079030000}"/>
    <cellStyle name="Total 2 6 3 2" xfId="891" xr:uid="{00000000-0005-0000-0000-00007A030000}"/>
    <cellStyle name="Total 2 6 3 3" xfId="892" xr:uid="{00000000-0005-0000-0000-00007B030000}"/>
    <cellStyle name="Total 2 6 4" xfId="893" xr:uid="{00000000-0005-0000-0000-00007C030000}"/>
    <cellStyle name="Total 2 6 5" xfId="894" xr:uid="{00000000-0005-0000-0000-00007D030000}"/>
    <cellStyle name="Total 2 7" xfId="895" xr:uid="{00000000-0005-0000-0000-00007E030000}"/>
    <cellStyle name="Total 2 7 2" xfId="896" xr:uid="{00000000-0005-0000-0000-00007F030000}"/>
    <cellStyle name="Total 2 7 2 2" xfId="897" xr:uid="{00000000-0005-0000-0000-000080030000}"/>
    <cellStyle name="Total 2 7 2 3" xfId="898" xr:uid="{00000000-0005-0000-0000-000081030000}"/>
    <cellStyle name="Total 2 7 3" xfId="899" xr:uid="{00000000-0005-0000-0000-000082030000}"/>
    <cellStyle name="Total 2 7 3 2" xfId="900" xr:uid="{00000000-0005-0000-0000-000083030000}"/>
    <cellStyle name="Total 2 7 3 3" xfId="901" xr:uid="{00000000-0005-0000-0000-000084030000}"/>
    <cellStyle name="Total 2 7 4" xfId="902" xr:uid="{00000000-0005-0000-0000-000085030000}"/>
    <cellStyle name="Total 2 7 5" xfId="903" xr:uid="{00000000-0005-0000-0000-000086030000}"/>
    <cellStyle name="Total 2 8" xfId="904" xr:uid="{00000000-0005-0000-0000-000087030000}"/>
    <cellStyle name="Total 2 8 2" xfId="905" xr:uid="{00000000-0005-0000-0000-000088030000}"/>
    <cellStyle name="Total 2 8 3" xfId="906" xr:uid="{00000000-0005-0000-0000-000089030000}"/>
    <cellStyle name="Total 2 9" xfId="907" xr:uid="{00000000-0005-0000-0000-00008A030000}"/>
    <cellStyle name="Total 2 9 2" xfId="908" xr:uid="{00000000-0005-0000-0000-00008B030000}"/>
    <cellStyle name="Total 2 9 3" xfId="909" xr:uid="{00000000-0005-0000-0000-00008C030000}"/>
    <cellStyle name="Warning Text 2" xfId="266" xr:uid="{00000000-0005-0000-0000-00008D030000}"/>
    <cellStyle name="year" xfId="267" xr:uid="{00000000-0005-0000-0000-00008E030000}"/>
    <cellStyle name="year 2" xfId="268" xr:uid="{00000000-0005-0000-0000-00008F030000}"/>
    <cellStyle name="year 2 2" xfId="910" xr:uid="{00000000-0005-0000-0000-000090030000}"/>
    <cellStyle name="year 3" xfId="911" xr:uid="{00000000-0005-0000-0000-000091030000}"/>
    <cellStyle name="year_29(d) - Gas extensions -tariffs" xfId="269" xr:uid="{00000000-0005-0000-0000-000092030000}"/>
  </cellStyles>
  <dxfs count="77">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b/>
        <i val="0"/>
        <color rgb="FFFF0000"/>
      </font>
      <fill>
        <patternFill patternType="solid">
          <bgColor rgb="FFFFFFCC"/>
        </patternFill>
      </fill>
    </dxf>
    <dxf>
      <font>
        <b/>
        <i val="0"/>
        <color theme="9" tint="-0.24994659260841701"/>
      </font>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5"/>
      </font>
    </dxf>
    <dxf>
      <fill>
        <patternFill>
          <bgColor rgb="FFFFFF00"/>
        </patternFill>
      </fill>
    </dxf>
    <dxf>
      <fill>
        <patternFill>
          <bgColor rgb="FFFFFF00"/>
        </patternFill>
      </fill>
    </dxf>
    <dxf>
      <font>
        <color rgb="FF9C0006"/>
      </font>
      <fill>
        <patternFill>
          <bgColor rgb="FFFFC7CE"/>
        </patternFill>
      </fill>
    </dxf>
    <dxf>
      <font>
        <b/>
        <i val="0"/>
        <color rgb="FFFF0000"/>
      </font>
      <fill>
        <patternFill patternType="solid">
          <bgColor theme="0" tint="-0.24994659260841701"/>
        </patternFill>
      </fill>
    </dxf>
    <dxf>
      <font>
        <b/>
        <i val="0"/>
        <color rgb="FFFF0000"/>
      </font>
    </dxf>
    <dxf>
      <font>
        <b/>
        <i val="0"/>
        <color rgb="FFFF0000"/>
      </font>
    </dxf>
    <dxf>
      <font>
        <b/>
        <i val="0"/>
        <color rgb="FFFF0000"/>
      </font>
      <border>
        <vertical/>
        <horizontal/>
      </border>
    </dxf>
    <dxf>
      <font>
        <b/>
        <i val="0"/>
        <color rgb="FFFF0000"/>
      </font>
    </dxf>
    <dxf>
      <font>
        <b/>
        <i val="0"/>
        <color rgb="FFFF0000"/>
      </font>
    </dxf>
    <dxf>
      <font>
        <b val="0"/>
        <i val="0"/>
        <strike val="0"/>
        <condense val="0"/>
        <extend val="0"/>
        <outline val="0"/>
        <shadow val="0"/>
        <u val="none"/>
        <vertAlign val="baseline"/>
        <sz val="11"/>
        <color theme="8" tint="-0.249977111117893"/>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4"/>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left"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77" formatCode="##\ ###\ ###\ ###\ ##0"/>
      <fill>
        <patternFill patternType="solid">
          <fgColor theme="4" tint="0.79998168889431442"/>
          <bgColor theme="4" tint="0.79998168889431442"/>
        </patternFill>
      </fill>
      <alignment horizontal="right" vertical="top" textRotation="0" wrapText="0" indent="1" justifyLastLine="0" shrinkToFit="0" readingOrder="0"/>
      <border diagonalUp="0" diagonalDown="0">
        <left style="thin">
          <color theme="0" tint="-0.34998626667073579"/>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right/>
        <top style="thin">
          <color theme="0" tint="-0.34998626667073579"/>
        </top>
        <bottom/>
        <vertical/>
        <horizontal/>
      </border>
    </dxf>
    <dxf>
      <border outline="0">
        <left style="medium">
          <color indexed="64"/>
        </left>
        <right style="medium">
          <color indexed="64"/>
        </right>
        <top style="medium">
          <color indexed="64"/>
        </top>
        <bottom style="medium">
          <color indexed="64"/>
        </bottom>
      </border>
    </dxf>
    <dxf>
      <fill>
        <patternFill>
          <bgColor rgb="FFFFFF99"/>
        </patternFill>
      </fill>
    </dxf>
    <dxf>
      <fill>
        <patternFill>
          <bgColor theme="6"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DFF7F6"/>
      <rgbColor rgb="00800000"/>
      <rgbColor rgb="00008000"/>
      <rgbColor rgb="00000080"/>
      <rgbColor rgb="00808000"/>
      <rgbColor rgb="00DAB5FF"/>
      <rgbColor rgb="0079DFDD"/>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0FFFF"/>
      <rgbColor rgb="00CCFFCC"/>
      <rgbColor rgb="00FFFF99"/>
      <rgbColor rgb="0099CCFF"/>
      <rgbColor rgb="00F3E7FF"/>
      <rgbColor rgb="00CC99FF"/>
      <rgbColor rgb="00FFCC99"/>
      <rgbColor rgb="003366FF"/>
      <rgbColor rgb="00BDEFEE"/>
      <rgbColor rgb="0099CC00"/>
      <rgbColor rgb="00FFCC00"/>
      <rgbColor rgb="00FF9900"/>
      <rgbColor rgb="00FF6600"/>
      <rgbColor rgb="00CC66FF"/>
      <rgbColor rgb="00969696"/>
      <rgbColor rgb="0033CCCC"/>
      <rgbColor rgb="00339966"/>
      <rgbColor rgb="00003300"/>
      <rgbColor rgb="00333300"/>
      <rgbColor rgb="00993300"/>
      <rgbColor rgb="00E5CBFF"/>
      <rgbColor rgb="00CC00CC"/>
      <rgbColor rgb="00333333"/>
    </indexedColors>
    <mruColors>
      <color rgb="FFFFCC99"/>
      <color rgb="FFCCFFFF"/>
      <color rgb="FFFFFFFF"/>
      <color rgb="FFCCCCFF"/>
      <color rgb="FFC0C0C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hyperlink" Target="#Content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7</xdr:col>
      <xdr:colOff>142873</xdr:colOff>
      <xdr:row>0</xdr:row>
      <xdr:rowOff>119061</xdr:rowOff>
    </xdr:from>
    <xdr:to>
      <xdr:col>15</xdr:col>
      <xdr:colOff>35716</xdr:colOff>
      <xdr:row>2</xdr:row>
      <xdr:rowOff>404810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402290" y="119061"/>
          <a:ext cx="1332176" cy="1407582"/>
          <a:chOff x="997323" y="22412"/>
          <a:chExt cx="1154206" cy="1176617"/>
        </a:xfrm>
      </xdr:grpSpPr>
      <xdr:sp macro="" textlink="">
        <xdr:nvSpPr>
          <xdr:cNvPr id="3" name="Rectangle 3">
            <a:extLst>
              <a:ext uri="{FF2B5EF4-FFF2-40B4-BE49-F238E27FC236}">
                <a16:creationId xmlns:a16="http://schemas.microsoft.com/office/drawing/2014/main" id="{00000000-0008-0000-0300-000003000000}"/>
              </a:ext>
            </a:extLst>
          </xdr:cNvPr>
          <xdr:cNvSpPr>
            <a:spLocks noChangeArrowheads="1"/>
          </xdr:cNvSpPr>
        </xdr:nvSpPr>
        <xdr:spPr bwMode="auto">
          <a:xfrm>
            <a:off x="997323" y="22412"/>
            <a:ext cx="1154206" cy="1176617"/>
          </a:xfrm>
          <a:prstGeom prst="rect">
            <a:avLst/>
          </a:prstGeom>
          <a:solidFill>
            <a:srgbClr val="FFFFCC">
              <a:alpha val="89803"/>
            </a:srgbClr>
          </a:solidFill>
          <a:ln w="25400" algn="ctr">
            <a:solidFill>
              <a:srgbClr val="000080"/>
            </a:solidFill>
            <a:miter lim="800000"/>
            <a:headEnd/>
            <a:tailEnd/>
          </a:ln>
        </xdr:spPr>
      </xdr:sp>
      <xdr:pic>
        <xdr:nvPicPr>
          <xdr:cNvPr id="4" name="Picture 4" descr="item">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323" y="22412"/>
            <a:ext cx="1154206" cy="631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AutoShape 5">
            <a:hlinkClick xmlns:r="http://schemas.openxmlformats.org/officeDocument/2006/relationships" r:id="rId2"/>
            <a:extLst>
              <a:ext uri="{FF2B5EF4-FFF2-40B4-BE49-F238E27FC236}">
                <a16:creationId xmlns:a16="http://schemas.microsoft.com/office/drawing/2014/main" id="{00000000-0008-0000-0300-000005000000}"/>
              </a:ext>
            </a:extLst>
          </xdr:cNvPr>
          <xdr:cNvSpPr>
            <a:spLocks noChangeArrowheads="1"/>
          </xdr:cNvSpPr>
        </xdr:nvSpPr>
        <xdr:spPr bwMode="auto">
          <a:xfrm>
            <a:off x="1077641" y="697178"/>
            <a:ext cx="991434" cy="18870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Contents</a:t>
            </a:r>
          </a:p>
        </xdr:txBody>
      </xdr:sp>
      <xdr:sp macro="" textlink="">
        <xdr:nvSpPr>
          <xdr:cNvPr id="6" name="AutoShape 5">
            <a:hlinkClick xmlns:r="http://schemas.openxmlformats.org/officeDocument/2006/relationships" r:id="rId3"/>
            <a:extLst>
              <a:ext uri="{FF2B5EF4-FFF2-40B4-BE49-F238E27FC236}">
                <a16:creationId xmlns:a16="http://schemas.microsoft.com/office/drawing/2014/main" id="{00000000-0008-0000-0300-000006000000}"/>
              </a:ext>
            </a:extLst>
          </xdr:cNvPr>
          <xdr:cNvSpPr>
            <a:spLocks noChangeArrowheads="1"/>
          </xdr:cNvSpPr>
        </xdr:nvSpPr>
        <xdr:spPr bwMode="auto">
          <a:xfrm>
            <a:off x="1077641" y="936416"/>
            <a:ext cx="991434" cy="18828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Instructions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10</xdr:row>
      <xdr:rowOff>3176</xdr:rowOff>
    </xdr:from>
    <xdr:to>
      <xdr:col>1</xdr:col>
      <xdr:colOff>409575</xdr:colOff>
      <xdr:row>28</xdr:row>
      <xdr:rowOff>28576</xdr:rowOff>
    </xdr:to>
    <xdr:grpSp>
      <xdr:nvGrpSpPr>
        <xdr:cNvPr id="2" name="Group 14">
          <a:extLst>
            <a:ext uri="{FF2B5EF4-FFF2-40B4-BE49-F238E27FC236}">
              <a16:creationId xmlns:a16="http://schemas.microsoft.com/office/drawing/2014/main" id="{00000000-0008-0000-0400-000002000000}"/>
            </a:ext>
          </a:extLst>
        </xdr:cNvPr>
        <xdr:cNvGrpSpPr>
          <a:grpSpLocks/>
        </xdr:cNvGrpSpPr>
      </xdr:nvGrpSpPr>
      <xdr:grpSpPr bwMode="auto">
        <a:xfrm>
          <a:off x="114300" y="3749676"/>
          <a:ext cx="454025" cy="3623733"/>
          <a:chOff x="3" y="395"/>
          <a:chExt cx="47" cy="469"/>
        </a:xfrm>
      </xdr:grpSpPr>
      <xdr:sp macro="" textlink="">
        <xdr:nvSpPr>
          <xdr:cNvPr id="3" name="Line 8">
            <a:extLst>
              <a:ext uri="{FF2B5EF4-FFF2-40B4-BE49-F238E27FC236}">
                <a16:creationId xmlns:a16="http://schemas.microsoft.com/office/drawing/2014/main" id="{00000000-0008-0000-0400-000003000000}"/>
              </a:ext>
            </a:extLst>
          </xdr:cNvPr>
          <xdr:cNvSpPr>
            <a:spLocks noChangeShapeType="1"/>
          </xdr:cNvSpPr>
        </xdr:nvSpPr>
        <xdr:spPr bwMode="auto">
          <a:xfrm>
            <a:off x="31" y="395"/>
            <a:ext cx="0" cy="468"/>
          </a:xfrm>
          <a:prstGeom prst="line">
            <a:avLst/>
          </a:prstGeom>
          <a:noFill/>
          <a:ln w="9525" cmpd="sng">
            <a:solidFill>
              <a:srgbClr val="000000"/>
            </a:solidFill>
            <a:round/>
            <a:headEnd/>
            <a:tailEnd/>
          </a:ln>
          <a:effectLst>
            <a:outerShdw blurRad="63500" dist="38100" dir="2700000" algn="ctr" rotWithShape="0">
              <a:srgbClr val="000000">
                <a:alpha val="75000"/>
              </a:srgbClr>
            </a:outerShdw>
          </a:effectLst>
        </xdr:spPr>
        <xdr:txBody>
          <a:bodyPr/>
          <a:lstStyle/>
          <a:p>
            <a:endParaRPr lang="en-AU"/>
          </a:p>
        </xdr:txBody>
      </xdr:sp>
      <xdr:sp macro="" textlink="">
        <xdr:nvSpPr>
          <xdr:cNvPr id="4" name="Oval 9">
            <a:extLst>
              <a:ext uri="{FF2B5EF4-FFF2-40B4-BE49-F238E27FC236}">
                <a16:creationId xmlns:a16="http://schemas.microsoft.com/office/drawing/2014/main" id="{00000000-0008-0000-0400-000004000000}"/>
              </a:ext>
            </a:extLst>
          </xdr:cNvPr>
          <xdr:cNvSpPr>
            <a:spLocks noChangeArrowheads="1"/>
          </xdr:cNvSpPr>
        </xdr:nvSpPr>
        <xdr:spPr bwMode="auto">
          <a:xfrm>
            <a:off x="3" y="688"/>
            <a:ext cx="36" cy="31"/>
          </a:xfrm>
          <a:prstGeom prst="ellipse">
            <a:avLst/>
          </a:prstGeom>
          <a:solidFill>
            <a:srgbClr val="FFCC99"/>
          </a:solidFill>
          <a:ln w="9525" algn="ctr">
            <a:solidFill>
              <a:srgbClr val="000000"/>
            </a:solidFill>
            <a:round/>
            <a:headEnd/>
            <a:tailEnd/>
          </a:ln>
        </xdr:spPr>
      </xdr:sp>
      <xdr:sp macro="" textlink="">
        <xdr:nvSpPr>
          <xdr:cNvPr id="5" name="WordArt 10">
            <a:extLst>
              <a:ext uri="{FF2B5EF4-FFF2-40B4-BE49-F238E27FC236}">
                <a16:creationId xmlns:a16="http://schemas.microsoft.com/office/drawing/2014/main" id="{00000000-0008-0000-0400-000005000000}"/>
              </a:ext>
            </a:extLst>
          </xdr:cNvPr>
          <xdr:cNvSpPr>
            <a:spLocks noChangeArrowheads="1" noChangeShapeType="1" noTextEdit="1"/>
          </xdr:cNvSpPr>
        </xdr:nvSpPr>
        <xdr:spPr bwMode="auto">
          <a:xfrm rot="5400000">
            <a:off x="-116" y="540"/>
            <a:ext cx="269" cy="8"/>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R O L L  F O R W A R D  M O D E L</a:t>
            </a:r>
          </a:p>
        </xdr:txBody>
      </xdr:sp>
      <xdr:sp macro="" textlink="">
        <xdr:nvSpPr>
          <xdr:cNvPr id="6" name="WordArt 11">
            <a:extLst>
              <a:ext uri="{FF2B5EF4-FFF2-40B4-BE49-F238E27FC236}">
                <a16:creationId xmlns:a16="http://schemas.microsoft.com/office/drawing/2014/main" id="{00000000-0008-0000-0400-000006000000}"/>
              </a:ext>
            </a:extLst>
          </xdr:cNvPr>
          <xdr:cNvSpPr>
            <a:spLocks noChangeArrowheads="1" noChangeShapeType="1" noTextEdit="1"/>
          </xdr:cNvSpPr>
        </xdr:nvSpPr>
        <xdr:spPr bwMode="auto">
          <a:xfrm rot="5400000">
            <a:off x="-25" y="789"/>
            <a:ext cx="137" cy="13"/>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electricity distribution model</a:t>
            </a:r>
          </a:p>
        </xdr:txBody>
      </xdr:sp>
      <xdr:sp macro="" textlink="">
        <xdr:nvSpPr>
          <xdr:cNvPr id="7" name="Text Box 12">
            <a:extLst>
              <a:ext uri="{FF2B5EF4-FFF2-40B4-BE49-F238E27FC236}">
                <a16:creationId xmlns:a16="http://schemas.microsoft.com/office/drawing/2014/main" id="{00000000-0008-0000-0400-000007000000}"/>
              </a:ext>
            </a:extLst>
          </xdr:cNvPr>
          <xdr:cNvSpPr txBox="1">
            <a:spLocks noChangeArrowheads="1"/>
          </xdr:cNvSpPr>
        </xdr:nvSpPr>
        <xdr:spPr bwMode="auto">
          <a:xfrm>
            <a:off x="16" y="691"/>
            <a:ext cx="5" cy="23"/>
          </a:xfrm>
          <a:prstGeom prst="rect">
            <a:avLst/>
          </a:prstGeom>
          <a:noFill/>
          <a:ln w="9525" algn="ctr">
            <a:noFill/>
            <a:miter lim="800000"/>
            <a:headEnd/>
            <a:tailEnd/>
          </a:ln>
          <a:effectLst>
            <a:outerShdw dist="35921" dir="2700000" sx="1000" sy="1000" algn="ctr" rotWithShape="0">
              <a:srgbClr val="000000"/>
            </a:outerShdw>
          </a:effectLst>
        </xdr:spPr>
        <xdr:txBody>
          <a:bodyPr wrap="square" lIns="18288" tIns="22860" rIns="0" bIns="0" anchor="t" upright="1">
            <a:spAutoFit/>
          </a:bodyPr>
          <a:lstStyle/>
          <a:p>
            <a:pPr algn="l" rtl="0">
              <a:defRPr sz="1000"/>
            </a:pPr>
            <a:r>
              <a:rPr lang="en-AU" sz="1000" b="1" i="0" u="none" strike="noStrike" baseline="0">
                <a:solidFill>
                  <a:srgbClr val="FFFFFF"/>
                </a:solidFill>
                <a:latin typeface="Arial"/>
                <a:cs typeface="Arial"/>
              </a:rPr>
              <a:t>1</a:t>
            </a:r>
          </a:p>
        </xdr:txBody>
      </xdr:sp>
    </xdr:grpSp>
    <xdr:clientData/>
  </xdr:twoCellAnchor>
  <xdr:twoCellAnchor editAs="oneCell">
    <xdr:from>
      <xdr:col>0</xdr:col>
      <xdr:colOff>9525</xdr:colOff>
      <xdr:row>0</xdr:row>
      <xdr:rowOff>104775</xdr:rowOff>
    </xdr:from>
    <xdr:to>
      <xdr:col>4</xdr:col>
      <xdr:colOff>504825</xdr:colOff>
      <xdr:row>1</xdr:row>
      <xdr:rowOff>314325</xdr:rowOff>
    </xdr:to>
    <xdr:pic>
      <xdr:nvPicPr>
        <xdr:cNvPr id="8" name="Picture 13">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04775"/>
          <a:ext cx="30861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104775</xdr:rowOff>
    </xdr:from>
    <xdr:to>
      <xdr:col>5</xdr:col>
      <xdr:colOff>276225</xdr:colOff>
      <xdr:row>1</xdr:row>
      <xdr:rowOff>295275</xdr:rowOff>
    </xdr:to>
    <xdr:pic>
      <xdr:nvPicPr>
        <xdr:cNvPr id="9" name="Picture 13">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04775"/>
          <a:ext cx="34671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63501</xdr:colOff>
      <xdr:row>7</xdr:row>
      <xdr:rowOff>148167</xdr:rowOff>
    </xdr:from>
    <xdr:to>
      <xdr:col>3</xdr:col>
      <xdr:colOff>278343</xdr:colOff>
      <xdr:row>8</xdr:row>
      <xdr:rowOff>161925</xdr:rowOff>
    </xdr:to>
    <xdr:grpSp>
      <xdr:nvGrpSpPr>
        <xdr:cNvPr id="10" name="Group 67">
          <a:extLst>
            <a:ext uri="{FF2B5EF4-FFF2-40B4-BE49-F238E27FC236}">
              <a16:creationId xmlns:a16="http://schemas.microsoft.com/office/drawing/2014/main" id="{00000000-0008-0000-0400-00000A000000}"/>
            </a:ext>
          </a:extLst>
        </xdr:cNvPr>
        <xdr:cNvGrpSpPr>
          <a:grpSpLocks/>
        </xdr:cNvGrpSpPr>
      </xdr:nvGrpSpPr>
      <xdr:grpSpPr bwMode="auto">
        <a:xfrm>
          <a:off x="222251" y="3196167"/>
          <a:ext cx="1865842" cy="352425"/>
          <a:chOff x="2" y="144"/>
          <a:chExt cx="209" cy="37"/>
        </a:xfrm>
      </xdr:grpSpPr>
      <xdr:grpSp>
        <xdr:nvGrpSpPr>
          <xdr:cNvPr id="11" name="Group 68">
            <a:extLst>
              <a:ext uri="{FF2B5EF4-FFF2-40B4-BE49-F238E27FC236}">
                <a16:creationId xmlns:a16="http://schemas.microsoft.com/office/drawing/2014/main" id="{00000000-0008-0000-0400-00000B000000}"/>
              </a:ext>
            </a:extLst>
          </xdr:cNvPr>
          <xdr:cNvGrpSpPr>
            <a:grpSpLocks/>
          </xdr:cNvGrpSpPr>
        </xdr:nvGrpSpPr>
        <xdr:grpSpPr bwMode="auto">
          <a:xfrm>
            <a:off x="2" y="152"/>
            <a:ext cx="200" cy="29"/>
            <a:chOff x="2" y="159"/>
            <a:chExt cx="200" cy="27"/>
          </a:xfrm>
        </xdr:grpSpPr>
        <xdr:sp macro="" textlink="">
          <xdr:nvSpPr>
            <xdr:cNvPr id="14" name="Oval 69">
              <a:extLst>
                <a:ext uri="{FF2B5EF4-FFF2-40B4-BE49-F238E27FC236}">
                  <a16:creationId xmlns:a16="http://schemas.microsoft.com/office/drawing/2014/main" id="{00000000-0008-0000-0400-00000E000000}"/>
                </a:ext>
              </a:extLst>
            </xdr:cNvPr>
            <xdr:cNvSpPr>
              <a:spLocks noChangeArrowheads="1"/>
            </xdr:cNvSpPr>
          </xdr:nvSpPr>
          <xdr:spPr bwMode="auto">
            <a:xfrm>
              <a:off x="175" y="159"/>
              <a:ext cx="27" cy="27"/>
            </a:xfrm>
            <a:prstGeom prst="ellipse">
              <a:avLst/>
            </a:prstGeom>
            <a:noFill/>
            <a:ln w="28575" algn="ctr">
              <a:solidFill>
                <a:srgbClr val="80808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70">
              <a:extLst>
                <a:ext uri="{FF2B5EF4-FFF2-40B4-BE49-F238E27FC236}">
                  <a16:creationId xmlns:a16="http://schemas.microsoft.com/office/drawing/2014/main" id="{00000000-0008-0000-0400-00000F000000}"/>
                </a:ext>
              </a:extLst>
            </xdr:cNvPr>
            <xdr:cNvSpPr>
              <a:spLocks noChangeShapeType="1"/>
            </xdr:cNvSpPr>
          </xdr:nvSpPr>
          <xdr:spPr bwMode="auto">
            <a:xfrm>
              <a:off x="2" y="186"/>
              <a:ext cx="186" cy="0"/>
            </a:xfrm>
            <a:prstGeom prst="line">
              <a:avLst/>
            </a:prstGeom>
            <a:noFill/>
            <a:ln w="28575">
              <a:solidFill>
                <a:srgbClr val="808080"/>
              </a:solidFill>
              <a:round/>
              <a:headEnd/>
              <a:tailEnd/>
            </a:ln>
            <a:extLst>
              <a:ext uri="{909E8E84-426E-40DD-AFC4-6F175D3DCCD1}">
                <a14:hiddenFill xmlns:a14="http://schemas.microsoft.com/office/drawing/2010/main">
                  <a:noFill/>
                </a14:hiddenFill>
              </a:ext>
            </a:extLst>
          </xdr:spPr>
        </xdr:sp>
      </xdr:grpSp>
      <xdr:sp macro="" textlink="">
        <xdr:nvSpPr>
          <xdr:cNvPr id="12" name="Rectangle 71">
            <a:extLst>
              <a:ext uri="{FF2B5EF4-FFF2-40B4-BE49-F238E27FC236}">
                <a16:creationId xmlns:a16="http://schemas.microsoft.com/office/drawing/2014/main" id="{00000000-0008-0000-0400-00000C000000}"/>
              </a:ext>
            </a:extLst>
          </xdr:cNvPr>
          <xdr:cNvSpPr>
            <a:spLocks noChangeArrowheads="1"/>
          </xdr:cNvSpPr>
        </xdr:nvSpPr>
        <xdr:spPr bwMode="auto">
          <a:xfrm>
            <a:off x="168" y="148"/>
            <a:ext cx="21" cy="32"/>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sp macro="" textlink="">
        <xdr:nvSpPr>
          <xdr:cNvPr id="13" name="Rectangle 72">
            <a:extLst>
              <a:ext uri="{FF2B5EF4-FFF2-40B4-BE49-F238E27FC236}">
                <a16:creationId xmlns:a16="http://schemas.microsoft.com/office/drawing/2014/main" id="{00000000-0008-0000-0400-00000D000000}"/>
              </a:ext>
            </a:extLst>
          </xdr:cNvPr>
          <xdr:cNvSpPr>
            <a:spLocks noChangeArrowheads="1"/>
          </xdr:cNvSpPr>
        </xdr:nvSpPr>
        <xdr:spPr bwMode="auto">
          <a:xfrm>
            <a:off x="187" y="144"/>
            <a:ext cx="24" cy="21"/>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76200</xdr:colOff>
          <xdr:row>0</xdr:row>
          <xdr:rowOff>28575</xdr:rowOff>
        </xdr:from>
        <xdr:to>
          <xdr:col>8</xdr:col>
          <xdr:colOff>666750</xdr:colOff>
          <xdr:row>2</xdr:row>
          <xdr:rowOff>142875</xdr:rowOff>
        </xdr:to>
        <xdr:sp macro="" textlink="">
          <xdr:nvSpPr>
            <xdr:cNvPr id="164865" name="Button 1" hidden="1">
              <a:extLst>
                <a:ext uri="{63B3BB69-23CF-44E3-9099-C40C66FF867C}">
                  <a14:compatExt spid="_x0000_s164865"/>
                </a:ext>
                <a:ext uri="{FF2B5EF4-FFF2-40B4-BE49-F238E27FC236}">
                  <a16:creationId xmlns:a16="http://schemas.microsoft.com/office/drawing/2014/main" id="{00000000-0008-0000-0B00-0000018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AU" sz="1000" b="0" i="0" u="none" strike="noStrike" baseline="0">
                  <a:solidFill>
                    <a:srgbClr val="000000"/>
                  </a:solidFill>
                  <a:latin typeface="Arial"/>
                  <a:cs typeface="Arial"/>
                </a:rPr>
                <a:t>Add extra year</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133350</xdr:colOff>
          <xdr:row>1</xdr:row>
          <xdr:rowOff>19050</xdr:rowOff>
        </xdr:from>
        <xdr:to>
          <xdr:col>10</xdr:col>
          <xdr:colOff>9525</xdr:colOff>
          <xdr:row>2</xdr:row>
          <xdr:rowOff>247650</xdr:rowOff>
        </xdr:to>
        <xdr:sp macro="" textlink="">
          <xdr:nvSpPr>
            <xdr:cNvPr id="160769" name="Button 1" hidden="1">
              <a:extLst>
                <a:ext uri="{63B3BB69-23CF-44E3-9099-C40C66FF867C}">
                  <a14:compatExt spid="_x0000_s160769"/>
                </a:ext>
                <a:ext uri="{FF2B5EF4-FFF2-40B4-BE49-F238E27FC236}">
                  <a16:creationId xmlns:a16="http://schemas.microsoft.com/office/drawing/2014/main" id="{00000000-0008-0000-0E00-0000017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400" b="1" i="0" u="none" strike="noStrike" baseline="0">
                  <a:solidFill>
                    <a:srgbClr val="000000"/>
                  </a:solidFill>
                  <a:latin typeface="Arial"/>
                  <a:cs typeface="Arial"/>
                </a:rPr>
                <a:t>Clear Sheet</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AER\DMT\DATABASE\Tools\D.%20Cover%20sheet\Master%20Cover%20Sheet%20-%20201812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R Sheet Heading"/>
      <sheetName val="AER CF"/>
      <sheetName val="AER NRs"/>
      <sheetName val="AER lookups"/>
      <sheetName val="AER ETL"/>
      <sheetName val="CONTENTS"/>
      <sheetName val="Business &amp; other details"/>
    </sheetNames>
    <sheetDataSet>
      <sheetData sheetId="0"/>
      <sheetData sheetId="1">
        <row r="7">
          <cell r="B7" t="str">
            <v>Ausgrid</v>
          </cell>
          <cell r="U7" t="str">
            <v>Y</v>
          </cell>
        </row>
        <row r="8">
          <cell r="B8" t="str">
            <v>Ausgrid (Tx Assets)</v>
          </cell>
          <cell r="U8" t="str">
            <v>Y</v>
          </cell>
        </row>
        <row r="9">
          <cell r="B9" t="str">
            <v>AusNet (D)</v>
          </cell>
          <cell r="U9" t="str">
            <v>Y</v>
          </cell>
        </row>
        <row r="10">
          <cell r="B10" t="str">
            <v>AusNet (T)</v>
          </cell>
          <cell r="U10" t="str">
            <v>Y</v>
          </cell>
        </row>
        <row r="11">
          <cell r="B11" t="str">
            <v>Amadeus</v>
          </cell>
          <cell r="U11" t="str">
            <v>Y</v>
          </cell>
        </row>
        <row r="12">
          <cell r="B12" t="str">
            <v>APA GasNet</v>
          </cell>
          <cell r="U12" t="str">
            <v>Y</v>
          </cell>
        </row>
        <row r="13">
          <cell r="B13" t="str">
            <v>Australian Distribution Co.</v>
          </cell>
          <cell r="U13" t="str">
            <v>N</v>
          </cell>
        </row>
        <row r="14">
          <cell r="B14" t="str">
            <v>Australian Distribution Co. (Vic)</v>
          </cell>
          <cell r="U14" t="str">
            <v>N</v>
          </cell>
        </row>
        <row r="15">
          <cell r="B15" t="str">
            <v>CitiPower</v>
          </cell>
          <cell r="U15" t="str">
            <v>Y</v>
          </cell>
        </row>
        <row r="16">
          <cell r="B16" t="str">
            <v>Directlink</v>
          </cell>
          <cell r="U16" t="str">
            <v>Y</v>
          </cell>
        </row>
        <row r="17">
          <cell r="B17" t="str">
            <v>ElectraNet</v>
          </cell>
          <cell r="U17" t="str">
            <v>Y</v>
          </cell>
        </row>
        <row r="18">
          <cell r="B18" t="str">
            <v>Endeavour Energy</v>
          </cell>
          <cell r="U18" t="str">
            <v>Y</v>
          </cell>
        </row>
        <row r="19">
          <cell r="B19" t="str">
            <v>Energex</v>
          </cell>
          <cell r="U19" t="str">
            <v>Y</v>
          </cell>
        </row>
        <row r="20">
          <cell r="B20" t="str">
            <v>Ergon Energy</v>
          </cell>
          <cell r="U20" t="str">
            <v>Y</v>
          </cell>
        </row>
        <row r="21">
          <cell r="B21" t="str">
            <v>Essential Energy</v>
          </cell>
          <cell r="U21" t="str">
            <v>Y</v>
          </cell>
        </row>
        <row r="22">
          <cell r="B22" t="str">
            <v>Evoenergy Distribution</v>
          </cell>
          <cell r="U22" t="str">
            <v>Y</v>
          </cell>
        </row>
        <row r="23">
          <cell r="B23" t="str">
            <v>Evoenergy Distribution (Tx Assets)</v>
          </cell>
          <cell r="U23" t="str">
            <v>Y</v>
          </cell>
        </row>
        <row r="24">
          <cell r="B24" t="str">
            <v>Jemena Electricity</v>
          </cell>
          <cell r="U24" t="str">
            <v>Y</v>
          </cell>
        </row>
        <row r="25">
          <cell r="B25" t="str">
            <v>Murraylink</v>
          </cell>
          <cell r="U25" t="str">
            <v>Y</v>
          </cell>
        </row>
        <row r="26">
          <cell r="B26" t="str">
            <v>Power and Water</v>
          </cell>
          <cell r="U26" t="str">
            <v>Y</v>
          </cell>
        </row>
        <row r="27">
          <cell r="B27" t="str">
            <v>Powercor Australia</v>
          </cell>
          <cell r="U27" t="str">
            <v>Y</v>
          </cell>
        </row>
        <row r="28">
          <cell r="B28" t="str">
            <v>Powerlink</v>
          </cell>
          <cell r="U28" t="str">
            <v>Y</v>
          </cell>
        </row>
        <row r="29">
          <cell r="B29" t="str">
            <v>Roma to Brisbane Pipeline</v>
          </cell>
          <cell r="U29" t="str">
            <v>Y</v>
          </cell>
        </row>
        <row r="30">
          <cell r="B30" t="str">
            <v>SA Power Networks</v>
          </cell>
          <cell r="U30" t="str">
            <v>N</v>
          </cell>
        </row>
        <row r="31">
          <cell r="B31" t="str">
            <v>TasNetworks (D)</v>
          </cell>
          <cell r="U31" t="str">
            <v>Y</v>
          </cell>
        </row>
        <row r="32">
          <cell r="B32" t="str">
            <v>TasNetworks (T)</v>
          </cell>
          <cell r="U32" t="str">
            <v>Y</v>
          </cell>
        </row>
        <row r="33">
          <cell r="B33" t="str">
            <v>TransGrid</v>
          </cell>
          <cell r="U33" t="str">
            <v>Y</v>
          </cell>
        </row>
        <row r="34">
          <cell r="B34" t="str">
            <v>United Energy</v>
          </cell>
          <cell r="U34" t="str">
            <v>Y</v>
          </cell>
        </row>
      </sheetData>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5:AK33" totalsRowShown="0" tableBorderDxfId="74">
  <autoFilter ref="B15:AK33" xr:uid="{00000000-0009-0000-0100-000001000000}"/>
  <sortState xmlns:xlrd2="http://schemas.microsoft.com/office/spreadsheetml/2017/richdata2" ref="B16:AK33">
    <sortCondition ref="B15:B33"/>
  </sortState>
  <tableColumns count="36">
    <tableColumn id="1" xr3:uid="{00000000-0010-0000-0000-000001000000}" name="dms_TradingName_List" dataDxfId="73" dataCellStyle="Normal 41"/>
    <tableColumn id="2" xr3:uid="{00000000-0010-0000-0000-000002000000}" name="dms_TradingNameFull_List" dataDxfId="72" dataCellStyle="Normal 41"/>
    <tableColumn id="3" xr3:uid="{00000000-0010-0000-0000-000003000000}" name="dms_ABN_List" dataDxfId="71" dataCellStyle="Normal 41"/>
    <tableColumn id="4" xr3:uid="{00000000-0010-0000-0000-000004000000}" name="dms_JurisdictionList" dataDxfId="70" dataCellStyle="Normal 41"/>
    <tableColumn id="5" xr3:uid="{00000000-0010-0000-0000-000005000000}" name="dms_Sector_List" dataDxfId="69" dataCellStyle="Normal 41"/>
    <tableColumn id="6" xr3:uid="{00000000-0010-0000-0000-000006000000}" name="dms_Segment_List" dataDxfId="68" dataCellStyle="Normal 41"/>
    <tableColumn id="7" xr3:uid="{00000000-0010-0000-0000-000007000000}" name="dms_FormControl_List" dataDxfId="67" dataCellStyle="Normal 41"/>
    <tableColumn id="8" xr3:uid="{00000000-0010-0000-0000-000008000000}" name="dms_RPT_List" dataDxfId="66" dataCellStyle="Normal 41"/>
    <tableColumn id="9" xr3:uid="{00000000-0010-0000-0000-000009000000}" name="dms_RPTMonth_List" dataDxfId="65" dataCellStyle="Normal 41"/>
    <tableColumn id="10" xr3:uid="{00000000-0010-0000-0000-00000A000000}" name="dms_CRCPlength_List" dataDxfId="64" dataCellStyle="Normal 41"/>
    <tableColumn id="11" xr3:uid="{00000000-0010-0000-0000-00000B000000}" name="dms_FRCPlength_List"/>
    <tableColumn id="12" xr3:uid="{00000000-0010-0000-0000-00000C000000}" name="dms_PRCPlength_List"/>
    <tableColumn id="13" xr3:uid="{00000000-0010-0000-0000-00000D000000}" name="dms_663_List" dataDxfId="63" dataCellStyle="Normal 41"/>
    <tableColumn id="14" xr3:uid="{00000000-0010-0000-0000-00000E000000}" name="dms_DeterminationRef_List"/>
    <tableColumn id="15" xr3:uid="{00000000-0010-0000-0000-00000F000000}" name="dms_Addr1_List" dataDxfId="62" dataCellStyle="Normal 41"/>
    <tableColumn id="16" xr3:uid="{00000000-0010-0000-0000-000010000000}" name="dms_Addr2_List" dataDxfId="61" dataCellStyle="Normal 41"/>
    <tableColumn id="17" xr3:uid="{00000000-0010-0000-0000-000011000000}" name="dms_Suburb_List" dataDxfId="60" dataCellStyle="Normal 41"/>
    <tableColumn id="18" xr3:uid="{00000000-0010-0000-0000-000012000000}" name="dms_State_List" dataDxfId="59" dataCellStyle="Normal 41"/>
    <tableColumn id="19" xr3:uid="{00000000-0010-0000-0000-000013000000}" name="dms_PostCode_List" dataDxfId="58" dataCellStyle="Normal 41"/>
    <tableColumn id="20" xr3:uid="{00000000-0010-0000-0000-000014000000}" name="dms_PAddr1_List" dataDxfId="57" dataCellStyle="Normal 41"/>
    <tableColumn id="21" xr3:uid="{00000000-0010-0000-0000-000015000000}" name="dms_PAddr2_List" dataDxfId="56" dataCellStyle="Normal 41"/>
    <tableColumn id="22" xr3:uid="{00000000-0010-0000-0000-000016000000}" name="dms_PSuburb_List" dataDxfId="55" dataCellStyle="Normal 41"/>
    <tableColumn id="23" xr3:uid="{00000000-0010-0000-0000-000017000000}" name="dms_PState_List" dataDxfId="54" dataCellStyle="Normal 41"/>
    <tableColumn id="24" xr3:uid="{00000000-0010-0000-0000-000018000000}" name="dms_PPostCode_List" dataDxfId="53" dataCellStyle="Normal 41"/>
    <tableColumn id="25" xr3:uid="{00000000-0010-0000-0000-000019000000}" name="dms_CBD_flag" dataDxfId="52" dataCellStyle="Normal 41"/>
    <tableColumn id="26" xr3:uid="{00000000-0010-0000-0000-00001A000000}" name="dms_Urban_flag" dataDxfId="51" dataCellStyle="Normal 41"/>
    <tableColumn id="27" xr3:uid="{00000000-0010-0000-0000-00001B000000}" name="dms_ShortRural_flag" dataDxfId="50" dataCellStyle="Normal 41"/>
    <tableColumn id="28" xr3:uid="{00000000-0010-0000-0000-00001C000000}" name="dms_LongRural_flag" dataDxfId="49" dataCellStyle="Normal 41"/>
    <tableColumn id="29" xr3:uid="{00000000-0010-0000-0000-00001D000000}" name="dms_FeederType_5_flag" dataDxfId="48" dataCellStyle="Normal 41"/>
    <tableColumn id="30" xr3:uid="{00000000-0010-0000-0000-00001E000000}" name="dms_FeederName_1" dataDxfId="47" dataCellStyle="Normal 41"/>
    <tableColumn id="31" xr3:uid="{00000000-0010-0000-0000-00001F000000}" name="dms_FeederName_2" dataDxfId="46" dataCellStyle="Normal 41"/>
    <tableColumn id="32" xr3:uid="{00000000-0010-0000-0000-000020000000}" name="dms_FeederName_3" dataDxfId="45" dataCellStyle="Normal 41"/>
    <tableColumn id="33" xr3:uid="{00000000-0010-0000-0000-000021000000}" name="dms_FeederName_4" dataDxfId="44" dataCellStyle="Normal 41"/>
    <tableColumn id="34" xr3:uid="{00000000-0010-0000-0000-000022000000}" name="dms_FeederName_5" dataDxfId="43" dataCellStyle="Normal 41"/>
    <tableColumn id="35" xr3:uid="{00000000-0010-0000-0000-000023000000}" name="dms_Public_Lighting_List" dataDxfId="42" dataCellStyle="Normal 41"/>
    <tableColumn id="36" xr3:uid="{00000000-0010-0000-0000-000024000000}" name="Name" dataDxfId="41" dataCellStyle="Normal 41">
      <calculatedColumnFormula>B16</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12.bin"/><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5.bin"/><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theme="0" tint="-0.499984740745262"/>
  </sheetPr>
  <dimension ref="A1:CK229"/>
  <sheetViews>
    <sheetView showGridLines="0" zoomScale="90" zoomScaleNormal="90" workbookViewId="0">
      <selection activeCell="AL19" sqref="AL19"/>
    </sheetView>
  </sheetViews>
  <sheetFormatPr defaultColWidth="9.140625" defaultRowHeight="15"/>
  <cols>
    <col min="1" max="1" width="9.140625" style="419"/>
    <col min="2" max="2" width="47.28515625" style="419" bestFit="1" customWidth="1"/>
    <col min="3" max="3" width="40.7109375" style="419" customWidth="1"/>
    <col min="4" max="4" width="31.42578125" style="419" bestFit="1" customWidth="1"/>
    <col min="5" max="5" width="33.140625" style="419" bestFit="1" customWidth="1"/>
    <col min="6" max="6" width="43.140625" style="419" customWidth="1"/>
    <col min="7" max="7" width="38.7109375" style="419" customWidth="1"/>
    <col min="8" max="8" width="24.28515625" style="419" customWidth="1"/>
    <col min="9" max="9" width="28.140625" style="419" customWidth="1"/>
    <col min="10" max="10" width="29" style="419" customWidth="1"/>
    <col min="11" max="11" width="23.7109375" style="419" customWidth="1"/>
    <col min="12" max="13" width="28.28515625" style="419" customWidth="1"/>
    <col min="14" max="14" width="24.5703125" style="419" bestFit="1" customWidth="1"/>
    <col min="15" max="15" width="33" style="419" customWidth="1"/>
    <col min="16" max="16" width="47" style="419" customWidth="1"/>
    <col min="17" max="17" width="40.140625" style="419" customWidth="1"/>
    <col min="18" max="18" width="24.85546875" style="419" bestFit="1" customWidth="1"/>
    <col min="19" max="19" width="22.7109375" style="419" bestFit="1" customWidth="1"/>
    <col min="20" max="20" width="22" style="419" bestFit="1" customWidth="1"/>
    <col min="21" max="22" width="9.140625" style="419"/>
    <col min="23" max="23" width="9.140625" style="419" customWidth="1"/>
    <col min="24" max="16384" width="9.140625" style="419"/>
  </cols>
  <sheetData>
    <row r="1" spans="2:28" ht="51" customHeight="1">
      <c r="B1" s="704" t="s">
        <v>769</v>
      </c>
      <c r="C1" s="703"/>
      <c r="D1" s="703"/>
      <c r="E1" s="703"/>
      <c r="F1" s="703"/>
      <c r="G1" s="703"/>
      <c r="H1" s="703"/>
      <c r="I1" s="703"/>
      <c r="J1" s="703"/>
      <c r="K1" s="703"/>
      <c r="L1" s="703"/>
      <c r="M1" s="703"/>
      <c r="N1" s="703"/>
    </row>
    <row r="2" spans="2:28" ht="30" customHeight="1"/>
    <row r="3" spans="2:28" ht="28.5">
      <c r="B3" s="702" t="s">
        <v>768</v>
      </c>
      <c r="C3" s="702"/>
      <c r="D3" s="702"/>
      <c r="E3" s="702"/>
      <c r="F3" s="702"/>
      <c r="G3" s="702"/>
      <c r="H3" s="702"/>
      <c r="I3" s="702"/>
      <c r="J3" s="702"/>
      <c r="K3" s="702"/>
      <c r="L3" s="702"/>
      <c r="M3" s="702"/>
      <c r="N3" s="702"/>
    </row>
    <row r="4" spans="2:28" ht="30" customHeight="1" thickBot="1"/>
    <row r="5" spans="2:28" ht="29.25" customHeight="1">
      <c r="B5" s="1501" t="s">
        <v>767</v>
      </c>
      <c r="C5" s="691" t="s">
        <v>367</v>
      </c>
      <c r="D5" s="691" t="s">
        <v>766</v>
      </c>
      <c r="E5" s="573"/>
      <c r="W5" s="420"/>
      <c r="X5" s="420"/>
      <c r="AA5" s="700"/>
      <c r="AB5" s="700"/>
    </row>
    <row r="6" spans="2:28" ht="15" customHeight="1">
      <c r="B6" s="1501"/>
      <c r="C6" s="701" t="s">
        <v>764</v>
      </c>
      <c r="D6" s="701" t="s">
        <v>764</v>
      </c>
      <c r="E6" s="573"/>
      <c r="W6" s="420"/>
      <c r="X6" s="420"/>
      <c r="AA6" s="700"/>
      <c r="AB6" s="700"/>
    </row>
    <row r="7" spans="2:28" ht="15" customHeight="1">
      <c r="B7" s="1501"/>
      <c r="C7" s="699" t="s">
        <v>368</v>
      </c>
      <c r="D7" s="698" t="s">
        <v>89</v>
      </c>
      <c r="E7" s="424"/>
      <c r="S7" s="420"/>
      <c r="T7" s="420"/>
      <c r="U7" s="420"/>
      <c r="V7" s="420"/>
      <c r="W7" s="420"/>
      <c r="X7" s="420"/>
    </row>
    <row r="8" spans="2:28" ht="15" customHeight="1">
      <c r="B8" s="1501"/>
      <c r="C8" s="697" t="s">
        <v>369</v>
      </c>
      <c r="D8" s="685" t="s">
        <v>765</v>
      </c>
      <c r="E8" s="424"/>
      <c r="S8" s="420"/>
      <c r="T8" s="420"/>
      <c r="U8" s="420"/>
      <c r="V8" s="420"/>
      <c r="W8" s="420"/>
      <c r="X8" s="420"/>
    </row>
    <row r="9" spans="2:28" ht="15" customHeight="1">
      <c r="B9" s="1501"/>
      <c r="C9" s="697" t="s">
        <v>90</v>
      </c>
      <c r="D9" s="696"/>
      <c r="E9" s="424"/>
      <c r="S9" s="420"/>
      <c r="T9" s="420"/>
      <c r="U9" s="420"/>
      <c r="V9" s="420"/>
      <c r="W9" s="420"/>
      <c r="X9" s="420"/>
    </row>
    <row r="10" spans="2:28" ht="15.75" customHeight="1" thickBot="1">
      <c r="B10" s="1501"/>
      <c r="C10" s="695"/>
      <c r="D10" s="694"/>
      <c r="E10" s="424"/>
      <c r="S10" s="420"/>
      <c r="T10" s="420"/>
      <c r="U10" s="420"/>
      <c r="V10" s="420"/>
      <c r="W10" s="420"/>
      <c r="X10" s="420"/>
    </row>
    <row r="11" spans="2:28" ht="15.75" thickBot="1">
      <c r="B11" s="1501"/>
      <c r="C11" s="422"/>
      <c r="D11" s="693"/>
      <c r="E11" s="424"/>
      <c r="S11" s="420"/>
      <c r="T11" s="420"/>
      <c r="U11" s="420"/>
      <c r="V11" s="420"/>
      <c r="W11" s="420"/>
      <c r="X11" s="420"/>
    </row>
    <row r="12" spans="2:28" ht="86.25" thickBot="1">
      <c r="B12" s="1501"/>
      <c r="C12" s="692" t="s">
        <v>487</v>
      </c>
      <c r="D12" s="692" t="s">
        <v>488</v>
      </c>
      <c r="S12" s="420"/>
      <c r="T12" s="420"/>
      <c r="U12" s="420"/>
      <c r="V12" s="420"/>
      <c r="W12" s="420"/>
      <c r="X12" s="420"/>
    </row>
    <row r="13" spans="2:28" ht="24" customHeight="1" thickBot="1">
      <c r="B13" s="1501"/>
      <c r="C13" s="691" t="s">
        <v>180</v>
      </c>
      <c r="D13" s="691" t="s">
        <v>181</v>
      </c>
      <c r="G13" s="424"/>
      <c r="H13" s="458"/>
      <c r="S13" s="420"/>
      <c r="T13" s="420"/>
      <c r="U13" s="420"/>
      <c r="V13" s="420"/>
      <c r="W13" s="420"/>
      <c r="X13" s="420"/>
    </row>
    <row r="14" spans="2:28">
      <c r="B14" s="1501"/>
      <c r="C14" s="690" t="s">
        <v>764</v>
      </c>
      <c r="D14" s="689" t="s">
        <v>132</v>
      </c>
      <c r="G14" s="424"/>
      <c r="S14" s="420"/>
      <c r="T14" s="420"/>
      <c r="U14" s="420"/>
      <c r="V14" s="420"/>
      <c r="W14" s="420"/>
      <c r="X14" s="420"/>
    </row>
    <row r="15" spans="2:28">
      <c r="B15" s="1501"/>
      <c r="C15" s="685" t="s">
        <v>182</v>
      </c>
      <c r="D15" s="688" t="s">
        <v>184</v>
      </c>
      <c r="H15" s="686"/>
      <c r="S15" s="420"/>
      <c r="T15" s="420"/>
      <c r="U15" s="420"/>
      <c r="V15" s="420"/>
      <c r="W15" s="420"/>
      <c r="X15" s="420"/>
    </row>
    <row r="16" spans="2:28" ht="15.75" thickBot="1">
      <c r="B16" s="1501"/>
      <c r="C16" s="685" t="s">
        <v>183</v>
      </c>
      <c r="D16" s="687" t="s">
        <v>186</v>
      </c>
      <c r="H16" s="686"/>
      <c r="S16" s="420"/>
      <c r="T16" s="420"/>
      <c r="U16" s="420"/>
      <c r="V16" s="420"/>
      <c r="W16" s="420"/>
      <c r="X16" s="420"/>
    </row>
    <row r="17" spans="2:89">
      <c r="B17" s="1501"/>
      <c r="C17" s="685" t="s">
        <v>185</v>
      </c>
      <c r="H17" s="686"/>
      <c r="S17" s="420"/>
      <c r="T17" s="420"/>
      <c r="U17" s="420"/>
      <c r="V17" s="420"/>
      <c r="W17" s="420"/>
      <c r="X17" s="420"/>
    </row>
    <row r="18" spans="2:89">
      <c r="B18" s="1501"/>
      <c r="C18" s="685" t="s">
        <v>85</v>
      </c>
      <c r="D18" s="422"/>
      <c r="G18" s="424"/>
      <c r="H18" s="683"/>
      <c r="J18" s="422"/>
      <c r="L18" s="421"/>
      <c r="O18" s="420"/>
      <c r="P18" s="420"/>
      <c r="Q18" s="420"/>
      <c r="R18" s="420"/>
      <c r="S18" s="420"/>
      <c r="T18" s="420"/>
      <c r="U18" s="420"/>
      <c r="V18" s="420"/>
      <c r="W18" s="420"/>
    </row>
    <row r="19" spans="2:89" ht="15.75" thickBot="1">
      <c r="B19" s="1501"/>
      <c r="C19" s="684" t="s">
        <v>188</v>
      </c>
      <c r="D19" s="422"/>
      <c r="G19" s="424"/>
      <c r="H19" s="683"/>
      <c r="J19" s="422"/>
      <c r="L19" s="421"/>
      <c r="O19" s="420"/>
      <c r="P19" s="420"/>
      <c r="Q19" s="420"/>
      <c r="R19" s="420"/>
      <c r="S19" s="420"/>
      <c r="T19" s="420"/>
      <c r="U19" s="420"/>
      <c r="V19" s="420"/>
      <c r="W19" s="420"/>
    </row>
    <row r="20" spans="2:89" ht="15" customHeight="1">
      <c r="B20" s="494"/>
      <c r="G20" s="424"/>
      <c r="H20" s="683"/>
      <c r="I20" s="458"/>
      <c r="J20" s="422"/>
      <c r="K20" s="458"/>
      <c r="L20" s="421"/>
      <c r="O20" s="420"/>
      <c r="P20" s="420"/>
      <c r="Q20" s="420"/>
      <c r="R20" s="420"/>
      <c r="S20" s="420"/>
      <c r="T20" s="420"/>
      <c r="U20" s="420"/>
      <c r="V20" s="420"/>
      <c r="W20" s="420"/>
    </row>
    <row r="21" spans="2:89" ht="28.5">
      <c r="B21" s="494"/>
    </row>
    <row r="22" spans="2:89" ht="29.25" thickBot="1">
      <c r="B22" s="494"/>
      <c r="D22" s="422"/>
      <c r="G22" s="424"/>
      <c r="K22" s="682" t="s">
        <v>763</v>
      </c>
      <c r="M22" s="421"/>
      <c r="N22" s="419" t="s">
        <v>762</v>
      </c>
      <c r="P22" s="420"/>
      <c r="Q22" s="420"/>
      <c r="R22" s="420"/>
      <c r="S22" s="420"/>
      <c r="T22" s="420"/>
      <c r="U22" s="420"/>
      <c r="V22" s="420"/>
      <c r="W22" s="420"/>
      <c r="X22" s="420"/>
    </row>
    <row r="23" spans="2:89" ht="30.75" customHeight="1" thickBot="1">
      <c r="B23" s="1498" t="s">
        <v>761</v>
      </c>
      <c r="C23" s="628" t="s">
        <v>760</v>
      </c>
      <c r="D23" s="629" t="s">
        <v>759</v>
      </c>
      <c r="E23" s="628" t="s">
        <v>758</v>
      </c>
      <c r="F23" s="629" t="s">
        <v>757</v>
      </c>
      <c r="G23" s="628" t="s">
        <v>756</v>
      </c>
      <c r="H23" s="681" t="s">
        <v>474</v>
      </c>
      <c r="I23" s="677" t="s">
        <v>371</v>
      </c>
      <c r="J23" s="680" t="s">
        <v>473</v>
      </c>
      <c r="K23" s="679" t="s">
        <v>370</v>
      </c>
      <c r="L23" s="678"/>
      <c r="N23" s="677" t="s">
        <v>755</v>
      </c>
      <c r="R23" s="420"/>
      <c r="S23" s="420"/>
      <c r="T23" s="420"/>
      <c r="U23" s="420"/>
      <c r="V23" s="420"/>
      <c r="W23" s="420"/>
    </row>
    <row r="24" spans="2:89" ht="15" customHeight="1">
      <c r="B24" s="1498"/>
      <c r="C24" s="627" t="s">
        <v>754</v>
      </c>
      <c r="D24" s="626" t="s">
        <v>734</v>
      </c>
      <c r="E24" s="625" t="s">
        <v>733</v>
      </c>
      <c r="F24" s="624" t="s">
        <v>310</v>
      </c>
      <c r="G24" s="676" t="s">
        <v>733</v>
      </c>
      <c r="H24" s="675" t="s">
        <v>388</v>
      </c>
      <c r="I24" s="674" t="s">
        <v>372</v>
      </c>
      <c r="J24" s="673" t="s">
        <v>373</v>
      </c>
      <c r="K24" s="1502" t="s">
        <v>372</v>
      </c>
      <c r="L24" s="672" t="s">
        <v>373</v>
      </c>
      <c r="N24" s="671" t="s">
        <v>753</v>
      </c>
      <c r="R24" s="420"/>
      <c r="S24" s="420"/>
      <c r="T24" s="420"/>
      <c r="U24" s="420"/>
      <c r="V24" s="420"/>
      <c r="W24" s="420"/>
      <c r="AK24" s="1505"/>
      <c r="AL24" s="1505"/>
      <c r="AM24" s="1505"/>
      <c r="AN24" s="1505"/>
      <c r="AO24" s="1505"/>
      <c r="AP24" s="1505"/>
      <c r="AQ24" s="1505"/>
      <c r="AR24" s="1505"/>
      <c r="AS24" s="1505"/>
      <c r="AT24" s="1505"/>
      <c r="AU24" s="1505"/>
      <c r="AV24" s="1505"/>
      <c r="AW24" s="1505"/>
      <c r="AX24" s="1505"/>
      <c r="AY24" s="1505"/>
      <c r="AZ24" s="1505"/>
      <c r="BA24" s="1505"/>
      <c r="BB24" s="1505"/>
      <c r="BC24" s="1505"/>
      <c r="BD24" s="1505"/>
      <c r="BE24" s="1505"/>
      <c r="BF24" s="1505"/>
      <c r="BP24" s="1505"/>
      <c r="BQ24" s="1505"/>
      <c r="BR24" s="1505"/>
      <c r="BS24" s="1505"/>
      <c r="BT24" s="1505"/>
      <c r="BU24" s="1505"/>
      <c r="BV24" s="1505"/>
      <c r="BW24" s="1505"/>
      <c r="BX24" s="1505"/>
      <c r="BY24" s="1505"/>
      <c r="BZ24" s="1505"/>
      <c r="CA24" s="1505"/>
      <c r="CB24" s="1505"/>
      <c r="CC24" s="1505"/>
      <c r="CD24" s="1505"/>
      <c r="CE24" s="1505"/>
      <c r="CF24" s="1505"/>
      <c r="CG24" s="1505"/>
      <c r="CH24" s="1505"/>
      <c r="CI24" s="1505"/>
      <c r="CJ24" s="1505"/>
      <c r="CK24" s="1505"/>
    </row>
    <row r="25" spans="2:89" ht="15" customHeight="1">
      <c r="B25" s="1498"/>
      <c r="C25" s="621" t="s">
        <v>382</v>
      </c>
      <c r="D25" s="620" t="s">
        <v>752</v>
      </c>
      <c r="E25" s="617" t="s">
        <v>730</v>
      </c>
      <c r="F25" s="617" t="s">
        <v>318</v>
      </c>
      <c r="G25" s="670" t="s">
        <v>730</v>
      </c>
      <c r="H25" s="661" t="s">
        <v>479</v>
      </c>
      <c r="I25" s="653" t="s">
        <v>375</v>
      </c>
      <c r="J25" s="652" t="s">
        <v>374</v>
      </c>
      <c r="K25" s="1503"/>
      <c r="L25" s="666" t="s">
        <v>374</v>
      </c>
      <c r="N25" s="659" t="s">
        <v>751</v>
      </c>
      <c r="R25" s="420"/>
      <c r="S25" s="420"/>
      <c r="T25" s="420"/>
      <c r="U25" s="420"/>
      <c r="V25" s="420"/>
      <c r="W25" s="420"/>
      <c r="AK25" s="1505"/>
      <c r="AL25" s="1505"/>
      <c r="AM25" s="1505"/>
      <c r="AN25" s="1505"/>
      <c r="AO25" s="1505"/>
      <c r="AP25" s="1505"/>
      <c r="AQ25" s="1505"/>
      <c r="AR25" s="1505"/>
      <c r="AS25" s="1505"/>
      <c r="AT25" s="1505"/>
      <c r="AU25" s="1505"/>
      <c r="AV25" s="1505"/>
      <c r="AW25" s="1505"/>
      <c r="AX25" s="1505"/>
      <c r="AY25" s="1505"/>
      <c r="AZ25" s="1505"/>
      <c r="BA25" s="1505"/>
      <c r="BB25" s="1505"/>
      <c r="BC25" s="1505"/>
      <c r="BD25" s="1505"/>
      <c r="BE25" s="1505"/>
      <c r="BF25" s="1505"/>
      <c r="BP25" s="1505"/>
      <c r="BQ25" s="1505"/>
      <c r="BR25" s="1505"/>
      <c r="BS25" s="1505"/>
      <c r="BT25" s="1505"/>
      <c r="BU25" s="1505"/>
      <c r="BV25" s="1505"/>
      <c r="BW25" s="1505"/>
      <c r="BX25" s="1505"/>
      <c r="BY25" s="1505"/>
      <c r="BZ25" s="1505"/>
      <c r="CA25" s="1505"/>
      <c r="CB25" s="1505"/>
      <c r="CC25" s="1505"/>
      <c r="CD25" s="1505"/>
      <c r="CE25" s="1505"/>
      <c r="CF25" s="1505"/>
      <c r="CG25" s="1505"/>
      <c r="CH25" s="1505"/>
      <c r="CI25" s="1505"/>
      <c r="CJ25" s="1505"/>
      <c r="CK25" s="1505"/>
    </row>
    <row r="26" spans="2:89" ht="15.75" customHeight="1">
      <c r="B26" s="1498"/>
      <c r="C26" s="621" t="s">
        <v>732</v>
      </c>
      <c r="D26" s="620" t="s">
        <v>750</v>
      </c>
      <c r="E26" s="619" t="s">
        <v>727</v>
      </c>
      <c r="F26" s="617" t="s">
        <v>321</v>
      </c>
      <c r="G26" s="665" t="s">
        <v>727</v>
      </c>
      <c r="H26" s="661" t="s">
        <v>480</v>
      </c>
      <c r="I26" s="653" t="s">
        <v>335</v>
      </c>
      <c r="J26" s="669" t="s">
        <v>335</v>
      </c>
      <c r="K26" s="1504"/>
      <c r="L26" s="663" t="s">
        <v>335</v>
      </c>
      <c r="N26" s="659" t="s">
        <v>749</v>
      </c>
      <c r="R26" s="420"/>
      <c r="S26" s="420"/>
      <c r="T26" s="420"/>
      <c r="U26" s="420"/>
      <c r="V26" s="420"/>
      <c r="W26" s="420"/>
      <c r="AK26" s="1505"/>
      <c r="AL26" s="1505"/>
      <c r="AM26" s="1505"/>
      <c r="AN26" s="1505"/>
      <c r="AO26" s="1505"/>
      <c r="AP26" s="1505"/>
      <c r="AQ26" s="1505"/>
      <c r="AR26" s="1505"/>
      <c r="AS26" s="1505"/>
      <c r="AT26" s="1505"/>
      <c r="AU26" s="1505"/>
      <c r="AV26" s="1505"/>
      <c r="AW26" s="1505"/>
      <c r="AX26" s="1505"/>
      <c r="AY26" s="1505"/>
      <c r="AZ26" s="1505"/>
      <c r="BA26" s="1505"/>
      <c r="BB26" s="1505"/>
      <c r="BC26" s="1505"/>
      <c r="BD26" s="1505"/>
      <c r="BE26" s="1505"/>
      <c r="BF26" s="1505"/>
      <c r="BP26" s="1505"/>
      <c r="BQ26" s="1505"/>
      <c r="BR26" s="1505"/>
      <c r="BS26" s="1505"/>
      <c r="BT26" s="1505"/>
      <c r="BU26" s="1505"/>
      <c r="BV26" s="1505"/>
      <c r="BW26" s="1505"/>
      <c r="BX26" s="1505"/>
      <c r="BY26" s="1505"/>
      <c r="BZ26" s="1505"/>
      <c r="CA26" s="1505"/>
      <c r="CB26" s="1505"/>
      <c r="CC26" s="1505"/>
      <c r="CD26" s="1505"/>
      <c r="CE26" s="1505"/>
      <c r="CF26" s="1505"/>
      <c r="CG26" s="1505"/>
      <c r="CH26" s="1505"/>
      <c r="CI26" s="1505"/>
      <c r="CJ26" s="1505"/>
      <c r="CK26" s="1505"/>
    </row>
    <row r="27" spans="2:89" ht="15.75" customHeight="1">
      <c r="B27" s="1498"/>
      <c r="C27" s="621" t="s">
        <v>335</v>
      </c>
      <c r="D27" s="620" t="s">
        <v>335</v>
      </c>
      <c r="E27" s="619" t="s">
        <v>726</v>
      </c>
      <c r="F27" s="617" t="s">
        <v>326</v>
      </c>
      <c r="G27" s="665" t="s">
        <v>726</v>
      </c>
      <c r="H27" s="661" t="s">
        <v>387</v>
      </c>
      <c r="I27" s="653" t="s">
        <v>377</v>
      </c>
      <c r="J27" s="668" t="s">
        <v>376</v>
      </c>
      <c r="K27" s="1506" t="s">
        <v>375</v>
      </c>
      <c r="L27" s="667" t="s">
        <v>376</v>
      </c>
      <c r="N27" s="659" t="s">
        <v>748</v>
      </c>
      <c r="R27" s="420"/>
      <c r="S27" s="420"/>
      <c r="T27" s="420"/>
      <c r="U27" s="420"/>
      <c r="V27" s="420"/>
      <c r="W27" s="420"/>
    </row>
    <row r="28" spans="2:89" ht="15" customHeight="1">
      <c r="B28" s="1498"/>
      <c r="C28" s="554"/>
      <c r="D28" s="519"/>
      <c r="E28" s="619" t="s">
        <v>723</v>
      </c>
      <c r="F28" s="617" t="s">
        <v>327</v>
      </c>
      <c r="G28" s="665" t="s">
        <v>724</v>
      </c>
      <c r="H28" s="661" t="s">
        <v>481</v>
      </c>
      <c r="I28" s="653" t="s">
        <v>379</v>
      </c>
      <c r="J28" s="646" t="s">
        <v>378</v>
      </c>
      <c r="K28" s="1503"/>
      <c r="L28" s="666" t="s">
        <v>378</v>
      </c>
      <c r="N28" s="659" t="s">
        <v>747</v>
      </c>
      <c r="R28" s="420"/>
      <c r="S28" s="420"/>
      <c r="T28" s="420"/>
      <c r="U28" s="420"/>
      <c r="V28" s="420"/>
      <c r="W28" s="420"/>
    </row>
    <row r="29" spans="2:89" ht="15" customHeight="1">
      <c r="B29" s="1498"/>
      <c r="C29" s="554"/>
      <c r="D29" s="519"/>
      <c r="E29" s="619" t="s">
        <v>722</v>
      </c>
      <c r="F29" s="617" t="s">
        <v>331</v>
      </c>
      <c r="G29" s="665" t="s">
        <v>723</v>
      </c>
      <c r="H29" s="661" t="s">
        <v>482</v>
      </c>
      <c r="I29" s="653" t="s">
        <v>381</v>
      </c>
      <c r="J29" s="646" t="s">
        <v>380</v>
      </c>
      <c r="K29" s="1503"/>
      <c r="L29" s="666" t="s">
        <v>380</v>
      </c>
      <c r="N29" s="659" t="s">
        <v>746</v>
      </c>
      <c r="U29" s="420"/>
      <c r="V29" s="420"/>
      <c r="W29" s="420"/>
    </row>
    <row r="30" spans="2:89" ht="15" customHeight="1">
      <c r="B30" s="1498"/>
      <c r="C30" s="554"/>
      <c r="D30" s="519"/>
      <c r="E30" s="619" t="s">
        <v>720</v>
      </c>
      <c r="F30" s="617" t="s">
        <v>334</v>
      </c>
      <c r="G30" s="665" t="s">
        <v>722</v>
      </c>
      <c r="H30" s="661" t="s">
        <v>484</v>
      </c>
      <c r="I30" s="653" t="s">
        <v>383</v>
      </c>
      <c r="J30" s="646" t="s">
        <v>382</v>
      </c>
      <c r="K30" s="1503"/>
      <c r="L30" s="666" t="s">
        <v>382</v>
      </c>
      <c r="N30" s="659" t="s">
        <v>745</v>
      </c>
      <c r="R30" s="420"/>
      <c r="S30" s="420"/>
      <c r="T30" s="420"/>
      <c r="U30" s="420"/>
      <c r="V30" s="420"/>
      <c r="W30" s="420"/>
    </row>
    <row r="31" spans="2:89" ht="15.75" customHeight="1">
      <c r="B31" s="1498"/>
      <c r="C31" s="554"/>
      <c r="D31" s="519"/>
      <c r="E31" s="655"/>
      <c r="F31" s="617" t="s">
        <v>721</v>
      </c>
      <c r="G31" s="665" t="s">
        <v>720</v>
      </c>
      <c r="H31" s="661" t="s">
        <v>485</v>
      </c>
      <c r="I31" s="653" t="s">
        <v>385</v>
      </c>
      <c r="J31" s="664" t="s">
        <v>384</v>
      </c>
      <c r="K31" s="1504"/>
      <c r="L31" s="663" t="s">
        <v>384</v>
      </c>
      <c r="N31" s="659" t="s">
        <v>744</v>
      </c>
      <c r="R31" s="420"/>
      <c r="S31" s="420"/>
      <c r="T31" s="420"/>
      <c r="U31" s="420"/>
      <c r="V31" s="420"/>
      <c r="W31" s="420"/>
    </row>
    <row r="32" spans="2:89" ht="15" customHeight="1">
      <c r="B32" s="1498"/>
      <c r="C32" s="554"/>
      <c r="D32" s="519"/>
      <c r="E32" s="655"/>
      <c r="F32" s="617" t="s">
        <v>719</v>
      </c>
      <c r="G32" s="645"/>
      <c r="H32" s="661" t="s">
        <v>486</v>
      </c>
      <c r="I32" s="653" t="s">
        <v>387</v>
      </c>
      <c r="J32" s="651" t="s">
        <v>386</v>
      </c>
      <c r="K32" s="635" t="s">
        <v>335</v>
      </c>
      <c r="L32" s="662" t="s">
        <v>386</v>
      </c>
      <c r="N32" s="659" t="s">
        <v>743</v>
      </c>
      <c r="R32" s="420"/>
      <c r="S32" s="420"/>
      <c r="T32" s="420"/>
      <c r="U32" s="420"/>
      <c r="V32" s="420"/>
      <c r="W32" s="420"/>
    </row>
    <row r="33" spans="2:23" ht="15.75" customHeight="1">
      <c r="B33" s="1498"/>
      <c r="C33" s="554"/>
      <c r="D33" s="656"/>
      <c r="E33" s="655"/>
      <c r="F33" s="617" t="s">
        <v>718</v>
      </c>
      <c r="G33" s="645"/>
      <c r="H33" s="661" t="s">
        <v>335</v>
      </c>
      <c r="I33" s="653" t="s">
        <v>388</v>
      </c>
      <c r="J33" s="649" t="s">
        <v>390</v>
      </c>
      <c r="K33" s="660" t="s">
        <v>377</v>
      </c>
      <c r="L33" s="632"/>
      <c r="N33" s="659" t="s">
        <v>742</v>
      </c>
      <c r="R33" s="420"/>
      <c r="S33" s="420"/>
      <c r="T33" s="420"/>
      <c r="U33" s="420"/>
      <c r="V33" s="420"/>
      <c r="W33" s="420"/>
    </row>
    <row r="34" spans="2:23" ht="15.75" customHeight="1" thickBot="1">
      <c r="B34" s="1498"/>
      <c r="C34" s="554"/>
      <c r="D34" s="656"/>
      <c r="E34" s="655"/>
      <c r="F34" s="617" t="s">
        <v>717</v>
      </c>
      <c r="G34" s="645"/>
      <c r="H34" s="554"/>
      <c r="I34" s="653" t="s">
        <v>389</v>
      </c>
      <c r="J34" s="652" t="s">
        <v>392</v>
      </c>
      <c r="K34" s="660" t="s">
        <v>379</v>
      </c>
      <c r="L34" s="632"/>
      <c r="N34" s="659" t="s">
        <v>335</v>
      </c>
      <c r="R34" s="420"/>
      <c r="S34" s="420"/>
      <c r="T34" s="420"/>
      <c r="U34" s="420"/>
      <c r="V34" s="420"/>
      <c r="W34" s="420"/>
    </row>
    <row r="35" spans="2:23" ht="15" customHeight="1">
      <c r="B35" s="1498"/>
      <c r="C35" s="554"/>
      <c r="D35" s="656"/>
      <c r="E35" s="655"/>
      <c r="F35" s="617" t="s">
        <v>716</v>
      </c>
      <c r="G35" s="645"/>
      <c r="H35" s="554"/>
      <c r="I35" s="653" t="s">
        <v>391</v>
      </c>
      <c r="J35" s="658" t="s">
        <v>394</v>
      </c>
      <c r="K35" s="1506" t="s">
        <v>381</v>
      </c>
      <c r="L35" s="657" t="s">
        <v>390</v>
      </c>
      <c r="N35" s="519"/>
      <c r="R35" s="420"/>
      <c r="S35" s="420"/>
      <c r="T35" s="420"/>
      <c r="U35" s="420"/>
      <c r="V35" s="420"/>
      <c r="W35" s="420"/>
    </row>
    <row r="36" spans="2:23" ht="15.75" customHeight="1">
      <c r="B36" s="1498"/>
      <c r="C36" s="554"/>
      <c r="D36" s="656"/>
      <c r="E36" s="655"/>
      <c r="F36" s="617" t="s">
        <v>335</v>
      </c>
      <c r="G36" s="645"/>
      <c r="H36" s="554"/>
      <c r="I36" s="653" t="s">
        <v>393</v>
      </c>
      <c r="J36" s="646" t="s">
        <v>335</v>
      </c>
      <c r="K36" s="1504"/>
      <c r="L36" s="637" t="s">
        <v>392</v>
      </c>
      <c r="N36" s="519"/>
      <c r="R36" s="420"/>
      <c r="S36" s="420"/>
      <c r="T36" s="420"/>
      <c r="U36" s="420"/>
      <c r="V36" s="420"/>
      <c r="W36" s="420"/>
    </row>
    <row r="37" spans="2:23">
      <c r="B37" s="1498"/>
      <c r="C37" s="554"/>
      <c r="D37" s="519"/>
      <c r="E37" s="519"/>
      <c r="F37" s="519"/>
      <c r="G37" s="645"/>
      <c r="H37" s="554"/>
      <c r="I37" s="653" t="s">
        <v>395</v>
      </c>
      <c r="J37" s="646" t="s">
        <v>397</v>
      </c>
      <c r="K37" s="650" t="s">
        <v>383</v>
      </c>
      <c r="L37" s="654" t="s">
        <v>394</v>
      </c>
      <c r="N37" s="519"/>
    </row>
    <row r="38" spans="2:23">
      <c r="B38" s="1498"/>
      <c r="C38" s="554"/>
      <c r="D38" s="519"/>
      <c r="E38" s="519"/>
      <c r="F38" s="519"/>
      <c r="G38" s="645"/>
      <c r="H38" s="554"/>
      <c r="I38" s="653" t="s">
        <v>396</v>
      </c>
      <c r="J38" s="646" t="s">
        <v>399</v>
      </c>
      <c r="K38" s="650"/>
      <c r="L38" s="642" t="s">
        <v>335</v>
      </c>
      <c r="N38" s="519"/>
    </row>
    <row r="39" spans="2:23">
      <c r="B39" s="1498"/>
      <c r="C39" s="554"/>
      <c r="D39" s="519"/>
      <c r="E39" s="519"/>
      <c r="F39" s="519"/>
      <c r="G39" s="645"/>
      <c r="H39" s="554"/>
      <c r="I39" s="653" t="s">
        <v>398</v>
      </c>
      <c r="J39" s="652" t="s">
        <v>400</v>
      </c>
      <c r="K39" s="650"/>
      <c r="L39" s="642" t="s">
        <v>397</v>
      </c>
      <c r="N39" s="519"/>
    </row>
    <row r="40" spans="2:23">
      <c r="B40" s="1498"/>
      <c r="C40" s="554"/>
      <c r="D40" s="519"/>
      <c r="E40" s="519"/>
      <c r="F40" s="519"/>
      <c r="G40" s="645"/>
      <c r="H40" s="554"/>
      <c r="I40" s="519"/>
      <c r="J40" s="651" t="s">
        <v>385</v>
      </c>
      <c r="K40" s="650"/>
      <c r="L40" s="642" t="s">
        <v>399</v>
      </c>
      <c r="N40" s="519"/>
    </row>
    <row r="41" spans="2:23">
      <c r="B41" s="1498"/>
      <c r="C41" s="554"/>
      <c r="D41" s="519"/>
      <c r="E41" s="519"/>
      <c r="F41" s="519"/>
      <c r="G41" s="645"/>
      <c r="H41" s="554"/>
      <c r="I41" s="519"/>
      <c r="J41" s="649" t="s">
        <v>401</v>
      </c>
      <c r="K41" s="635"/>
      <c r="L41" s="637" t="s">
        <v>400</v>
      </c>
      <c r="N41" s="519"/>
    </row>
    <row r="42" spans="2:23">
      <c r="B42" s="1498"/>
      <c r="C42" s="554"/>
      <c r="D42" s="519"/>
      <c r="E42" s="519"/>
      <c r="F42" s="519"/>
      <c r="G42" s="645"/>
      <c r="H42" s="554"/>
      <c r="I42" s="519"/>
      <c r="J42" s="646" t="s">
        <v>402</v>
      </c>
      <c r="K42" s="635" t="s">
        <v>385</v>
      </c>
      <c r="L42" s="648" t="s">
        <v>385</v>
      </c>
      <c r="N42" s="519"/>
    </row>
    <row r="43" spans="2:23">
      <c r="B43" s="1498"/>
      <c r="C43" s="554"/>
      <c r="D43" s="519"/>
      <c r="E43" s="519"/>
      <c r="F43" s="519"/>
      <c r="G43" s="645"/>
      <c r="H43" s="554"/>
      <c r="I43" s="641"/>
      <c r="J43" s="646" t="s">
        <v>403</v>
      </c>
      <c r="K43" s="643" t="s">
        <v>387</v>
      </c>
      <c r="L43" s="647" t="s">
        <v>401</v>
      </c>
      <c r="N43" s="641"/>
      <c r="Q43" s="420"/>
      <c r="R43" s="420"/>
      <c r="S43" s="420"/>
      <c r="T43" s="420"/>
      <c r="U43" s="420"/>
      <c r="V43" s="420"/>
    </row>
    <row r="44" spans="2:23">
      <c r="B44" s="1498"/>
      <c r="C44" s="554"/>
      <c r="D44" s="519"/>
      <c r="E44" s="519"/>
      <c r="F44" s="519"/>
      <c r="G44" s="645"/>
      <c r="H44" s="554"/>
      <c r="I44" s="641"/>
      <c r="J44" s="646" t="s">
        <v>404</v>
      </c>
      <c r="K44" s="643"/>
      <c r="L44" s="642" t="s">
        <v>402</v>
      </c>
      <c r="N44" s="641"/>
      <c r="Q44" s="420"/>
      <c r="R44" s="420"/>
      <c r="S44" s="420"/>
      <c r="T44" s="420"/>
      <c r="U44" s="420"/>
      <c r="V44" s="420"/>
    </row>
    <row r="45" spans="2:23">
      <c r="B45" s="1498"/>
      <c r="C45" s="554"/>
      <c r="D45" s="519"/>
      <c r="E45" s="519"/>
      <c r="F45" s="519"/>
      <c r="G45" s="645"/>
      <c r="H45" s="554"/>
      <c r="I45" s="641"/>
      <c r="J45" s="644"/>
      <c r="K45" s="643"/>
      <c r="L45" s="642" t="s">
        <v>403</v>
      </c>
      <c r="N45" s="641"/>
      <c r="Q45" s="420"/>
      <c r="R45" s="420"/>
      <c r="S45" s="420"/>
      <c r="T45" s="420"/>
      <c r="U45" s="420"/>
      <c r="V45" s="420"/>
    </row>
    <row r="46" spans="2:23" ht="15.75" thickBot="1">
      <c r="B46" s="1498"/>
      <c r="C46" s="552"/>
      <c r="D46" s="516"/>
      <c r="E46" s="516"/>
      <c r="F46" s="516"/>
      <c r="G46" s="640"/>
      <c r="H46" s="552"/>
      <c r="I46" s="636"/>
      <c r="J46" s="639"/>
      <c r="K46" s="638"/>
      <c r="L46" s="637" t="s">
        <v>404</v>
      </c>
      <c r="N46" s="636"/>
      <c r="Q46" s="420"/>
      <c r="R46" s="420"/>
      <c r="S46" s="420"/>
      <c r="T46" s="420"/>
      <c r="U46" s="420"/>
      <c r="V46" s="420"/>
    </row>
    <row r="47" spans="2:23">
      <c r="I47" s="420"/>
      <c r="K47" s="635" t="s">
        <v>388</v>
      </c>
      <c r="L47" s="632"/>
      <c r="Q47" s="420"/>
      <c r="R47" s="420"/>
      <c r="S47" s="420"/>
      <c r="T47" s="420"/>
      <c r="U47" s="420"/>
      <c r="V47" s="420"/>
    </row>
    <row r="48" spans="2:23">
      <c r="I48" s="420"/>
      <c r="K48" s="634" t="s">
        <v>389</v>
      </c>
      <c r="L48" s="632"/>
      <c r="Q48" s="420"/>
      <c r="R48" s="420"/>
      <c r="S48" s="420"/>
      <c r="T48" s="420"/>
      <c r="U48" s="420"/>
      <c r="V48" s="420"/>
    </row>
    <row r="49" spans="2:23" ht="15.75" customHeight="1">
      <c r="I49" s="420"/>
      <c r="K49" s="633" t="s">
        <v>391</v>
      </c>
      <c r="L49" s="632"/>
      <c r="Q49" s="420"/>
      <c r="R49" s="420"/>
      <c r="S49" s="420"/>
      <c r="T49" s="420"/>
      <c r="U49" s="420"/>
      <c r="V49" s="420"/>
    </row>
    <row r="50" spans="2:23">
      <c r="I50" s="420"/>
      <c r="K50" s="633" t="s">
        <v>393</v>
      </c>
      <c r="L50" s="632"/>
      <c r="Q50" s="420"/>
      <c r="R50" s="420"/>
      <c r="S50" s="420"/>
      <c r="T50" s="420"/>
      <c r="U50" s="420"/>
      <c r="V50" s="420"/>
    </row>
    <row r="51" spans="2:23">
      <c r="I51" s="420"/>
      <c r="K51" s="633" t="s">
        <v>395</v>
      </c>
      <c r="L51" s="632"/>
      <c r="Q51" s="420"/>
      <c r="R51" s="420"/>
      <c r="S51" s="420"/>
      <c r="T51" s="420"/>
      <c r="U51" s="420"/>
      <c r="V51" s="420"/>
    </row>
    <row r="52" spans="2:23">
      <c r="I52" s="420"/>
      <c r="K52" s="633" t="s">
        <v>396</v>
      </c>
      <c r="L52" s="632"/>
      <c r="Q52" s="420"/>
      <c r="R52" s="420"/>
      <c r="S52" s="420"/>
      <c r="T52" s="420"/>
      <c r="U52" s="420"/>
      <c r="V52" s="420"/>
    </row>
    <row r="53" spans="2:23" ht="15.75" thickBot="1">
      <c r="I53" s="420"/>
      <c r="K53" s="631" t="s">
        <v>398</v>
      </c>
      <c r="L53" s="630"/>
      <c r="Q53" s="420"/>
      <c r="R53" s="420"/>
      <c r="S53" s="420"/>
      <c r="T53" s="420"/>
      <c r="U53" s="420"/>
      <c r="V53" s="420"/>
    </row>
    <row r="54" spans="2:23">
      <c r="I54" s="420"/>
      <c r="J54" s="420"/>
      <c r="K54" s="420"/>
      <c r="R54" s="420"/>
      <c r="S54" s="420"/>
      <c r="T54" s="420"/>
      <c r="U54" s="420"/>
      <c r="V54" s="420"/>
      <c r="W54" s="420"/>
    </row>
    <row r="55" spans="2:23" ht="29.25" thickBot="1">
      <c r="B55" s="494"/>
      <c r="K55" s="422"/>
      <c r="L55" s="421"/>
      <c r="O55" s="420"/>
      <c r="P55" s="420"/>
      <c r="Q55" s="420"/>
      <c r="R55" s="420"/>
      <c r="S55" s="420"/>
      <c r="T55" s="420"/>
      <c r="U55" s="420"/>
      <c r="V55" s="420"/>
      <c r="W55" s="420"/>
    </row>
    <row r="56" spans="2:23" ht="30.75" thickBot="1">
      <c r="B56" s="1497" t="s">
        <v>741</v>
      </c>
      <c r="C56" s="628" t="s">
        <v>740</v>
      </c>
      <c r="D56" s="629" t="s">
        <v>739</v>
      </c>
      <c r="E56" s="628" t="s">
        <v>738</v>
      </c>
      <c r="F56" s="629" t="s">
        <v>737</v>
      </c>
      <c r="G56" s="628" t="s">
        <v>736</v>
      </c>
      <c r="J56" s="422"/>
      <c r="K56" s="422"/>
      <c r="L56" s="421"/>
      <c r="O56" s="420"/>
      <c r="P56" s="420"/>
      <c r="Q56" s="420"/>
      <c r="R56" s="420"/>
      <c r="S56" s="420"/>
      <c r="T56" s="420"/>
      <c r="U56" s="420"/>
      <c r="V56" s="420"/>
      <c r="W56" s="420"/>
    </row>
    <row r="57" spans="2:23">
      <c r="B57" s="1498"/>
      <c r="C57" s="627" t="s">
        <v>735</v>
      </c>
      <c r="D57" s="626" t="s">
        <v>734</v>
      </c>
      <c r="E57" s="625" t="s">
        <v>733</v>
      </c>
      <c r="F57" s="624" t="s">
        <v>310</v>
      </c>
      <c r="G57" s="623" t="s">
        <v>733</v>
      </c>
    </row>
    <row r="58" spans="2:23">
      <c r="B58" s="1498"/>
      <c r="C58" s="621" t="s">
        <v>732</v>
      </c>
      <c r="D58" s="620" t="s">
        <v>731</v>
      </c>
      <c r="E58" s="617" t="s">
        <v>730</v>
      </c>
      <c r="F58" s="617" t="s">
        <v>318</v>
      </c>
      <c r="G58" s="622" t="s">
        <v>730</v>
      </c>
    </row>
    <row r="59" spans="2:23">
      <c r="B59" s="1498"/>
      <c r="C59" s="621" t="s">
        <v>729</v>
      </c>
      <c r="D59" s="620" t="s">
        <v>728</v>
      </c>
      <c r="E59" s="619" t="s">
        <v>727</v>
      </c>
      <c r="F59" s="617" t="s">
        <v>321</v>
      </c>
      <c r="G59" s="618" t="s">
        <v>727</v>
      </c>
    </row>
    <row r="60" spans="2:23">
      <c r="B60" s="1498"/>
      <c r="C60" s="621" t="s">
        <v>335</v>
      </c>
      <c r="D60" s="620" t="s">
        <v>335</v>
      </c>
      <c r="E60" s="619" t="s">
        <v>726</v>
      </c>
      <c r="F60" s="617" t="s">
        <v>326</v>
      </c>
      <c r="G60" s="618" t="s">
        <v>726</v>
      </c>
    </row>
    <row r="61" spans="2:23">
      <c r="B61" s="1498"/>
      <c r="C61" s="554"/>
      <c r="D61" s="519"/>
      <c r="E61" s="619" t="s">
        <v>725</v>
      </c>
      <c r="F61" s="617" t="s">
        <v>327</v>
      </c>
      <c r="G61" s="618" t="s">
        <v>724</v>
      </c>
    </row>
    <row r="62" spans="2:23">
      <c r="B62" s="1498"/>
      <c r="C62" s="554"/>
      <c r="D62" s="519"/>
      <c r="E62" s="619" t="s">
        <v>723</v>
      </c>
      <c r="F62" s="617" t="s">
        <v>331</v>
      </c>
      <c r="G62" s="618" t="s">
        <v>723</v>
      </c>
    </row>
    <row r="63" spans="2:23">
      <c r="B63" s="1498"/>
      <c r="C63" s="554"/>
      <c r="D63" s="519"/>
      <c r="E63" s="619" t="s">
        <v>722</v>
      </c>
      <c r="F63" s="617" t="s">
        <v>334</v>
      </c>
      <c r="G63" s="618" t="s">
        <v>722</v>
      </c>
    </row>
    <row r="64" spans="2:23">
      <c r="B64" s="1498"/>
      <c r="C64" s="554"/>
      <c r="D64" s="519"/>
      <c r="E64" s="619" t="s">
        <v>720</v>
      </c>
      <c r="F64" s="617" t="s">
        <v>721</v>
      </c>
      <c r="G64" s="618" t="s">
        <v>720</v>
      </c>
    </row>
    <row r="65" spans="2:21">
      <c r="B65" s="1498"/>
      <c r="C65" s="554"/>
      <c r="D65" s="519"/>
      <c r="E65" s="519"/>
      <c r="F65" s="617" t="s">
        <v>719</v>
      </c>
      <c r="G65" s="616"/>
    </row>
    <row r="66" spans="2:21">
      <c r="B66" s="1498"/>
      <c r="C66" s="554"/>
      <c r="D66" s="519"/>
      <c r="E66" s="519"/>
      <c r="F66" s="617" t="s">
        <v>718</v>
      </c>
      <c r="G66" s="616"/>
    </row>
    <row r="67" spans="2:21">
      <c r="B67" s="1498"/>
      <c r="C67" s="554"/>
      <c r="D67" s="519"/>
      <c r="E67" s="519"/>
      <c r="F67" s="617" t="s">
        <v>717</v>
      </c>
      <c r="G67" s="616"/>
    </row>
    <row r="68" spans="2:21">
      <c r="B68" s="1498"/>
      <c r="C68" s="554"/>
      <c r="D68" s="519"/>
      <c r="E68" s="519"/>
      <c r="F68" s="617" t="s">
        <v>716</v>
      </c>
      <c r="G68" s="616"/>
    </row>
    <row r="69" spans="2:21" ht="15.75" thickBot="1">
      <c r="B69" s="1498"/>
      <c r="C69" s="552"/>
      <c r="D69" s="516"/>
      <c r="E69" s="516"/>
      <c r="F69" s="615" t="s">
        <v>335</v>
      </c>
      <c r="G69" s="614"/>
    </row>
    <row r="72" spans="2:21" ht="28.5">
      <c r="B72" s="494"/>
    </row>
    <row r="73" spans="2:21" ht="31.5">
      <c r="B73" s="493" t="s">
        <v>715</v>
      </c>
      <c r="C73" s="492"/>
      <c r="D73" s="492"/>
      <c r="E73" s="492"/>
      <c r="F73" s="492"/>
      <c r="G73" s="492"/>
      <c r="H73" s="492"/>
      <c r="I73" s="492"/>
      <c r="J73" s="492"/>
      <c r="K73" s="492"/>
      <c r="L73" s="492"/>
      <c r="M73" s="492"/>
      <c r="N73" s="492"/>
      <c r="O73" s="492"/>
      <c r="P73" s="492"/>
      <c r="Q73" s="492"/>
    </row>
    <row r="74" spans="2:21" ht="30.75" customHeight="1" thickBot="1">
      <c r="B74" s="494"/>
      <c r="C74" s="420"/>
      <c r="D74" s="613"/>
      <c r="E74" s="613"/>
      <c r="F74" s="613"/>
      <c r="G74" s="613"/>
      <c r="H74" s="420"/>
      <c r="I74" s="420"/>
      <c r="J74" s="420"/>
      <c r="K74" s="420"/>
      <c r="L74" s="420"/>
      <c r="M74" s="612" t="s">
        <v>714</v>
      </c>
      <c r="N74" s="611"/>
      <c r="O74" s="611"/>
      <c r="P74" s="611"/>
      <c r="Q74" s="611"/>
      <c r="U74" s="420"/>
    </row>
    <row r="75" spans="2:21" s="604" customFormat="1" ht="42" customHeight="1" thickBot="1">
      <c r="B75" s="1497" t="s">
        <v>713</v>
      </c>
      <c r="C75" s="610" t="s">
        <v>296</v>
      </c>
      <c r="D75" s="606" t="s">
        <v>297</v>
      </c>
      <c r="E75" s="609" t="s">
        <v>298</v>
      </c>
      <c r="F75" s="606" t="s">
        <v>299</v>
      </c>
      <c r="G75" s="606" t="s">
        <v>300</v>
      </c>
      <c r="H75" s="606" t="s">
        <v>475</v>
      </c>
      <c r="I75" s="606" t="s">
        <v>476</v>
      </c>
      <c r="J75" s="606" t="s">
        <v>712</v>
      </c>
      <c r="K75" s="608" t="s">
        <v>302</v>
      </c>
      <c r="L75" s="607" t="s">
        <v>303</v>
      </c>
      <c r="M75" s="606" t="s">
        <v>711</v>
      </c>
      <c r="N75" s="606" t="s">
        <v>710</v>
      </c>
      <c r="O75" s="606" t="s">
        <v>709</v>
      </c>
      <c r="P75" s="606" t="s">
        <v>708</v>
      </c>
      <c r="Q75" s="606"/>
      <c r="U75" s="605"/>
    </row>
    <row r="76" spans="2:21" ht="15" customHeight="1">
      <c r="B76" s="1498"/>
      <c r="C76" s="603" t="s">
        <v>311</v>
      </c>
      <c r="D76" s="602" t="s">
        <v>312</v>
      </c>
      <c r="E76" s="602" t="s">
        <v>312</v>
      </c>
      <c r="F76" s="602" t="s">
        <v>312</v>
      </c>
      <c r="G76" s="602" t="s">
        <v>312</v>
      </c>
      <c r="H76" s="597" t="s">
        <v>317</v>
      </c>
      <c r="I76" s="597" t="s">
        <v>317</v>
      </c>
      <c r="J76" s="597" t="s">
        <v>707</v>
      </c>
      <c r="K76" s="601" t="s">
        <v>312</v>
      </c>
      <c r="L76" s="600" t="s">
        <v>313</v>
      </c>
      <c r="M76" s="599" t="s">
        <v>344</v>
      </c>
      <c r="N76" s="598" t="s">
        <v>706</v>
      </c>
      <c r="O76" s="597" t="s">
        <v>705</v>
      </c>
      <c r="P76" s="597" t="s">
        <v>704</v>
      </c>
      <c r="Q76" s="597"/>
      <c r="U76" s="420"/>
    </row>
    <row r="77" spans="2:21" ht="15" customHeight="1">
      <c r="B77" s="1498"/>
      <c r="C77" s="595" t="s">
        <v>311</v>
      </c>
      <c r="D77" s="588" t="s">
        <v>312</v>
      </c>
      <c r="E77" s="588" t="s">
        <v>312</v>
      </c>
      <c r="F77" s="588" t="s">
        <v>312</v>
      </c>
      <c r="G77" s="588" t="s">
        <v>312</v>
      </c>
      <c r="H77" s="591" t="s">
        <v>312</v>
      </c>
      <c r="I77" s="591" t="s">
        <v>312</v>
      </c>
      <c r="J77" s="591" t="s">
        <v>703</v>
      </c>
      <c r="K77" s="594" t="s">
        <v>312</v>
      </c>
      <c r="L77" s="593" t="s">
        <v>312</v>
      </c>
      <c r="M77" s="592" t="s">
        <v>344</v>
      </c>
      <c r="N77" s="596" t="s">
        <v>344</v>
      </c>
      <c r="O77" s="591" t="s">
        <v>702</v>
      </c>
      <c r="P77" s="591" t="s">
        <v>700</v>
      </c>
      <c r="Q77" s="591"/>
      <c r="U77" s="420"/>
    </row>
    <row r="78" spans="2:21" ht="15" customHeight="1">
      <c r="B78" s="1498"/>
      <c r="C78" s="595" t="s">
        <v>311</v>
      </c>
      <c r="D78" s="588" t="s">
        <v>322</v>
      </c>
      <c r="E78" s="588" t="s">
        <v>322</v>
      </c>
      <c r="F78" s="588" t="s">
        <v>322</v>
      </c>
      <c r="G78" s="588" t="s">
        <v>322</v>
      </c>
      <c r="H78" s="591" t="s">
        <v>317</v>
      </c>
      <c r="I78" s="591" t="s">
        <v>317</v>
      </c>
      <c r="J78" s="591" t="s">
        <v>701</v>
      </c>
      <c r="K78" s="594" t="s">
        <v>312</v>
      </c>
      <c r="L78" s="593" t="s">
        <v>323</v>
      </c>
      <c r="M78" s="592" t="s">
        <v>344</v>
      </c>
      <c r="N78" s="596" t="s">
        <v>344</v>
      </c>
      <c r="O78" s="591" t="s">
        <v>700</v>
      </c>
      <c r="P78" s="591" t="s">
        <v>700</v>
      </c>
      <c r="Q78" s="591"/>
      <c r="U78" s="420"/>
    </row>
    <row r="79" spans="2:21" ht="15" customHeight="1">
      <c r="B79" s="1498"/>
      <c r="C79" s="595" t="s">
        <v>311</v>
      </c>
      <c r="D79" s="588" t="s">
        <v>312</v>
      </c>
      <c r="E79" s="588" t="s">
        <v>312</v>
      </c>
      <c r="F79" s="588" t="s">
        <v>312</v>
      </c>
      <c r="G79" s="588" t="s">
        <v>312</v>
      </c>
      <c r="H79" s="591" t="s">
        <v>317</v>
      </c>
      <c r="I79" s="591" t="s">
        <v>317</v>
      </c>
      <c r="J79" s="591" t="s">
        <v>699</v>
      </c>
      <c r="K79" s="594" t="s">
        <v>323</v>
      </c>
      <c r="L79" s="593" t="s">
        <v>312</v>
      </c>
      <c r="M79" s="592" t="s">
        <v>317</v>
      </c>
      <c r="N79" s="583"/>
      <c r="O79" s="582"/>
      <c r="U79" s="420"/>
    </row>
    <row r="80" spans="2:21" ht="15" customHeight="1">
      <c r="B80" s="1498"/>
      <c r="C80" s="590" t="s">
        <v>328</v>
      </c>
      <c r="D80" s="588" t="s">
        <v>329</v>
      </c>
      <c r="E80" s="588" t="s">
        <v>329</v>
      </c>
      <c r="F80" s="588" t="s">
        <v>329</v>
      </c>
      <c r="G80" s="588" t="s">
        <v>329</v>
      </c>
      <c r="H80" s="591" t="s">
        <v>312</v>
      </c>
      <c r="I80" s="591" t="s">
        <v>312</v>
      </c>
      <c r="J80" s="591" t="s">
        <v>698</v>
      </c>
      <c r="K80" s="586"/>
      <c r="L80" s="585"/>
      <c r="M80" s="584"/>
      <c r="N80" s="583"/>
      <c r="O80" s="582"/>
      <c r="P80" s="582"/>
      <c r="Q80" s="582"/>
      <c r="U80" s="420"/>
    </row>
    <row r="81" spans="2:23" ht="15" customHeight="1">
      <c r="B81" s="1498"/>
      <c r="C81" s="590" t="s">
        <v>328</v>
      </c>
      <c r="D81" s="588" t="s">
        <v>332</v>
      </c>
      <c r="E81" s="588" t="s">
        <v>332</v>
      </c>
      <c r="F81" s="588" t="s">
        <v>332</v>
      </c>
      <c r="G81" s="588" t="s">
        <v>332</v>
      </c>
      <c r="H81" s="591" t="s">
        <v>483</v>
      </c>
      <c r="I81" s="591" t="s">
        <v>483</v>
      </c>
      <c r="J81" s="591" t="s">
        <v>697</v>
      </c>
      <c r="K81" s="586"/>
      <c r="L81" s="585"/>
      <c r="M81" s="584"/>
      <c r="N81" s="583"/>
      <c r="O81" s="582"/>
      <c r="P81" s="582"/>
      <c r="Q81" s="582"/>
      <c r="U81" s="420"/>
    </row>
    <row r="82" spans="2:23" ht="15" customHeight="1">
      <c r="B82" s="1498"/>
      <c r="C82" s="590" t="s">
        <v>328</v>
      </c>
      <c r="D82" s="588" t="s">
        <v>329</v>
      </c>
      <c r="E82" s="588" t="s">
        <v>329</v>
      </c>
      <c r="F82" s="588" t="s">
        <v>329</v>
      </c>
      <c r="G82" s="588" t="s">
        <v>329</v>
      </c>
      <c r="H82" s="587"/>
      <c r="I82" s="587"/>
      <c r="J82" s="587"/>
      <c r="K82" s="586"/>
      <c r="L82" s="585"/>
      <c r="M82" s="584"/>
      <c r="N82" s="583"/>
      <c r="O82" s="582"/>
      <c r="P82" s="582"/>
      <c r="Q82" s="582"/>
      <c r="U82" s="420"/>
    </row>
    <row r="83" spans="2:23" ht="15.75" customHeight="1">
      <c r="B83" s="1498"/>
      <c r="C83" s="589"/>
      <c r="D83" s="588" t="s">
        <v>332</v>
      </c>
      <c r="E83" s="588" t="s">
        <v>332</v>
      </c>
      <c r="F83" s="588" t="s">
        <v>332</v>
      </c>
      <c r="G83" s="588" t="s">
        <v>332</v>
      </c>
      <c r="H83" s="587"/>
      <c r="I83" s="587"/>
      <c r="J83" s="587"/>
      <c r="K83" s="586"/>
      <c r="L83" s="585"/>
      <c r="M83" s="584"/>
      <c r="N83" s="583"/>
      <c r="O83" s="582"/>
      <c r="P83" s="582"/>
      <c r="Q83" s="582"/>
      <c r="U83" s="420"/>
    </row>
    <row r="84" spans="2:23" ht="15" customHeight="1">
      <c r="B84" s="1498"/>
      <c r="C84" s="589"/>
      <c r="D84" s="588" t="s">
        <v>329</v>
      </c>
      <c r="E84" s="588" t="s">
        <v>329</v>
      </c>
      <c r="F84" s="588" t="s">
        <v>329</v>
      </c>
      <c r="G84" s="588" t="s">
        <v>329</v>
      </c>
      <c r="H84" s="587"/>
      <c r="I84" s="587"/>
      <c r="J84" s="587"/>
      <c r="K84" s="586"/>
      <c r="L84" s="585"/>
      <c r="M84" s="584"/>
      <c r="N84" s="583"/>
      <c r="O84" s="582"/>
      <c r="P84" s="582"/>
      <c r="Q84" s="582"/>
      <c r="U84" s="420"/>
    </row>
    <row r="85" spans="2:23" ht="15" customHeight="1">
      <c r="B85" s="1498"/>
      <c r="C85" s="589"/>
      <c r="D85" s="588" t="s">
        <v>312</v>
      </c>
      <c r="E85" s="587"/>
      <c r="F85" s="588" t="s">
        <v>323</v>
      </c>
      <c r="G85" s="587"/>
      <c r="H85" s="587"/>
      <c r="I85" s="587"/>
      <c r="J85" s="587"/>
      <c r="K85" s="586"/>
      <c r="L85" s="585"/>
      <c r="M85" s="584"/>
      <c r="N85" s="583"/>
      <c r="O85" s="582"/>
      <c r="P85" s="582"/>
      <c r="Q85" s="582"/>
      <c r="U85" s="420"/>
    </row>
    <row r="86" spans="2:23" ht="15" customHeight="1">
      <c r="B86" s="1498"/>
      <c r="C86" s="589"/>
      <c r="D86" s="588" t="s">
        <v>312</v>
      </c>
      <c r="E86" s="587"/>
      <c r="F86" s="587"/>
      <c r="G86" s="587"/>
      <c r="H86" s="587"/>
      <c r="I86" s="587"/>
      <c r="J86" s="587"/>
      <c r="K86" s="586"/>
      <c r="L86" s="585"/>
      <c r="M86" s="584"/>
      <c r="N86" s="583"/>
      <c r="O86" s="582"/>
      <c r="P86" s="582"/>
      <c r="Q86" s="582"/>
      <c r="U86" s="420"/>
    </row>
    <row r="87" spans="2:23" ht="15" customHeight="1">
      <c r="B87" s="1498"/>
      <c r="C87" s="589"/>
      <c r="D87" s="588" t="s">
        <v>312</v>
      </c>
      <c r="E87" s="587"/>
      <c r="F87" s="587"/>
      <c r="G87" s="587"/>
      <c r="H87" s="587"/>
      <c r="I87" s="587"/>
      <c r="J87" s="587"/>
      <c r="K87" s="586"/>
      <c r="L87" s="585"/>
      <c r="M87" s="584"/>
      <c r="N87" s="583"/>
      <c r="O87" s="582"/>
      <c r="P87" s="582"/>
      <c r="Q87" s="582"/>
      <c r="U87" s="420"/>
    </row>
    <row r="88" spans="2:23" ht="15.75" thickBot="1">
      <c r="B88" s="1498"/>
      <c r="C88" s="581"/>
      <c r="D88" s="580" t="s">
        <v>323</v>
      </c>
      <c r="E88" s="579"/>
      <c r="F88" s="579"/>
      <c r="G88" s="579"/>
      <c r="H88" s="579"/>
      <c r="I88" s="579"/>
      <c r="J88" s="579"/>
      <c r="K88" s="578"/>
      <c r="L88" s="577"/>
      <c r="M88" s="576"/>
      <c r="N88" s="575"/>
      <c r="O88" s="574"/>
      <c r="P88" s="574"/>
      <c r="Q88" s="574"/>
      <c r="U88" s="420"/>
    </row>
    <row r="89" spans="2:23" ht="28.5">
      <c r="B89" s="494"/>
      <c r="E89" s="573"/>
      <c r="F89" s="420"/>
      <c r="G89" s="420"/>
      <c r="H89" s="572"/>
      <c r="I89" s="420"/>
      <c r="J89" s="420"/>
      <c r="K89" s="420"/>
      <c r="L89" s="420"/>
      <c r="M89" s="420"/>
      <c r="W89" s="420"/>
    </row>
    <row r="90" spans="2:23" ht="29.25" thickBot="1">
      <c r="B90" s="563"/>
    </row>
    <row r="91" spans="2:23" ht="25.5" customHeight="1" thickBot="1">
      <c r="B91" s="1498" t="s">
        <v>696</v>
      </c>
      <c r="C91" s="571" t="s">
        <v>475</v>
      </c>
    </row>
    <row r="92" spans="2:23" ht="15" customHeight="1">
      <c r="B92" s="1498"/>
      <c r="C92" s="570" t="s">
        <v>317</v>
      </c>
    </row>
    <row r="93" spans="2:23" ht="15" customHeight="1">
      <c r="B93" s="1498"/>
      <c r="C93" s="569" t="s">
        <v>312</v>
      </c>
    </row>
    <row r="94" spans="2:23" ht="15" customHeight="1">
      <c r="B94" s="1498"/>
      <c r="C94" s="569" t="s">
        <v>317</v>
      </c>
    </row>
    <row r="95" spans="2:23" ht="15" customHeight="1">
      <c r="B95" s="1498"/>
      <c r="C95" s="569" t="s">
        <v>312</v>
      </c>
    </row>
    <row r="96" spans="2:23" ht="15" customHeight="1">
      <c r="B96" s="1498"/>
      <c r="C96" s="569" t="s">
        <v>317</v>
      </c>
    </row>
    <row r="97" spans="2:7" ht="15" customHeight="1">
      <c r="B97" s="1498"/>
      <c r="C97" s="569" t="s">
        <v>695</v>
      </c>
    </row>
    <row r="98" spans="2:7" ht="15.75" customHeight="1" thickBot="1">
      <c r="B98" s="1498"/>
      <c r="C98" s="568" t="s">
        <v>483</v>
      </c>
    </row>
    <row r="99" spans="2:7" ht="15" customHeight="1"/>
    <row r="100" spans="2:7" ht="15" customHeight="1" thickBot="1"/>
    <row r="101" spans="2:7" ht="15" customHeight="1" thickBot="1">
      <c r="B101" s="1498" t="s">
        <v>694</v>
      </c>
      <c r="C101" s="567" t="s">
        <v>301</v>
      </c>
    </row>
    <row r="102" spans="2:7" ht="15" customHeight="1">
      <c r="B102" s="1498"/>
      <c r="C102" s="566" t="s">
        <v>312</v>
      </c>
    </row>
    <row r="103" spans="2:7" ht="15" customHeight="1">
      <c r="B103" s="1498"/>
      <c r="C103" s="565" t="s">
        <v>312</v>
      </c>
    </row>
    <row r="104" spans="2:7" ht="15" customHeight="1">
      <c r="B104" s="1498"/>
      <c r="C104" s="565" t="s">
        <v>312</v>
      </c>
    </row>
    <row r="105" spans="2:7" ht="15" customHeight="1">
      <c r="B105" s="1498"/>
      <c r="C105" s="565" t="s">
        <v>312</v>
      </c>
    </row>
    <row r="106" spans="2:7" ht="15" customHeight="1" thickBot="1">
      <c r="B106" s="1498"/>
      <c r="C106" s="564" t="s">
        <v>330</v>
      </c>
    </row>
    <row r="107" spans="2:7" ht="15" customHeight="1"/>
    <row r="108" spans="2:7" ht="28.5">
      <c r="B108" s="563"/>
    </row>
    <row r="109" spans="2:7" ht="15.75" customHeight="1" thickBot="1">
      <c r="B109" s="1499" t="s">
        <v>693</v>
      </c>
      <c r="C109" s="562" t="s">
        <v>304</v>
      </c>
      <c r="D109" s="561" t="s">
        <v>305</v>
      </c>
      <c r="E109" s="561" t="s">
        <v>306</v>
      </c>
      <c r="F109" s="561" t="s">
        <v>307</v>
      </c>
      <c r="G109" s="560" t="s">
        <v>308</v>
      </c>
    </row>
    <row r="110" spans="2:7" ht="26.25" customHeight="1">
      <c r="B110" s="1500"/>
      <c r="C110" s="559" t="s">
        <v>314</v>
      </c>
      <c r="D110" s="558" t="s">
        <v>314</v>
      </c>
      <c r="E110" s="542" t="s">
        <v>315</v>
      </c>
      <c r="F110" s="542" t="s">
        <v>316</v>
      </c>
      <c r="G110" s="557" t="s">
        <v>317</v>
      </c>
    </row>
    <row r="111" spans="2:7" ht="15.75" customHeight="1">
      <c r="B111" s="1500"/>
      <c r="C111" s="556" t="s">
        <v>314</v>
      </c>
      <c r="D111" s="539" t="s">
        <v>314</v>
      </c>
      <c r="E111" s="539" t="s">
        <v>319</v>
      </c>
      <c r="F111" s="539" t="s">
        <v>320</v>
      </c>
      <c r="G111" s="553"/>
    </row>
    <row r="112" spans="2:7" ht="15" customHeight="1">
      <c r="B112" s="1500"/>
      <c r="C112" s="556" t="s">
        <v>324</v>
      </c>
      <c r="D112" s="539" t="s">
        <v>324</v>
      </c>
      <c r="E112" s="539" t="s">
        <v>325</v>
      </c>
      <c r="F112" s="539" t="s">
        <v>320</v>
      </c>
      <c r="G112" s="553"/>
    </row>
    <row r="113" spans="2:7" ht="15" customHeight="1">
      <c r="B113" s="1500"/>
      <c r="C113" s="556" t="s">
        <v>324</v>
      </c>
      <c r="D113" s="539" t="s">
        <v>324</v>
      </c>
      <c r="E113" s="519"/>
      <c r="F113" s="539" t="s">
        <v>320</v>
      </c>
      <c r="G113" s="553"/>
    </row>
    <row r="114" spans="2:7" ht="15" customHeight="1">
      <c r="B114" s="1500"/>
      <c r="C114" s="555"/>
      <c r="D114" s="519"/>
      <c r="E114" s="519"/>
      <c r="F114" s="539" t="s">
        <v>320</v>
      </c>
      <c r="G114" s="553"/>
    </row>
    <row r="115" spans="2:7" ht="15" customHeight="1">
      <c r="B115" s="1500"/>
      <c r="C115" s="555"/>
      <c r="D115" s="519"/>
      <c r="E115" s="519"/>
      <c r="F115" s="539" t="s">
        <v>333</v>
      </c>
      <c r="G115" s="553"/>
    </row>
    <row r="116" spans="2:7" ht="15" customHeight="1">
      <c r="B116" s="1500"/>
      <c r="C116" s="555"/>
      <c r="D116" s="519"/>
      <c r="E116" s="519"/>
      <c r="F116" s="539" t="s">
        <v>333</v>
      </c>
      <c r="G116" s="553"/>
    </row>
    <row r="117" spans="2:7" ht="15" customHeight="1">
      <c r="B117" s="1500"/>
      <c r="C117" s="554"/>
      <c r="D117" s="519"/>
      <c r="E117" s="519"/>
      <c r="F117" s="539" t="s">
        <v>336</v>
      </c>
      <c r="G117" s="553"/>
    </row>
    <row r="118" spans="2:7" ht="15" customHeight="1">
      <c r="B118" s="1500"/>
      <c r="C118" s="554"/>
      <c r="D118" s="519"/>
      <c r="E118" s="519"/>
      <c r="F118" s="539" t="s">
        <v>336</v>
      </c>
      <c r="G118" s="553"/>
    </row>
    <row r="119" spans="2:7" ht="15.75" customHeight="1">
      <c r="B119" s="1500"/>
      <c r="C119" s="554"/>
      <c r="D119" s="519"/>
      <c r="E119" s="519"/>
      <c r="F119" s="539" t="s">
        <v>337</v>
      </c>
      <c r="G119" s="553"/>
    </row>
    <row r="120" spans="2:7" ht="15" customHeight="1">
      <c r="B120" s="1500"/>
      <c r="C120" s="554"/>
      <c r="D120" s="519"/>
      <c r="E120" s="519"/>
      <c r="F120" s="539" t="s">
        <v>337</v>
      </c>
      <c r="G120" s="553"/>
    </row>
    <row r="121" spans="2:7" ht="15" customHeight="1">
      <c r="B121" s="1500"/>
      <c r="C121" s="554"/>
      <c r="D121" s="519"/>
      <c r="E121" s="519"/>
      <c r="F121" s="539" t="s">
        <v>338</v>
      </c>
      <c r="G121" s="553"/>
    </row>
    <row r="122" spans="2:7" ht="15" customHeight="1">
      <c r="B122" s="1500"/>
      <c r="C122" s="554"/>
      <c r="D122" s="519"/>
      <c r="E122" s="519"/>
      <c r="F122" s="539" t="s">
        <v>317</v>
      </c>
      <c r="G122" s="553"/>
    </row>
    <row r="123" spans="2:7" ht="15.75" customHeight="1" thickBot="1">
      <c r="B123" s="1500"/>
      <c r="C123" s="552"/>
      <c r="D123" s="516"/>
      <c r="E123" s="516"/>
      <c r="F123" s="551" t="s">
        <v>338</v>
      </c>
      <c r="G123" s="550"/>
    </row>
    <row r="124" spans="2:7" ht="28.5">
      <c r="B124" s="549"/>
      <c r="C124" s="426"/>
      <c r="D124" s="426"/>
      <c r="E124" s="426"/>
      <c r="F124" s="426"/>
      <c r="G124" s="536"/>
    </row>
    <row r="125" spans="2:7" ht="29.25" thickBot="1">
      <c r="B125" s="549"/>
      <c r="C125" s="548" t="s">
        <v>692</v>
      </c>
      <c r="D125" s="548"/>
      <c r="E125" s="548"/>
      <c r="F125" s="548"/>
      <c r="G125" s="536"/>
    </row>
    <row r="126" spans="2:7" ht="15.75" customHeight="1" thickBot="1">
      <c r="B126" s="1489" t="s">
        <v>691</v>
      </c>
      <c r="C126" s="547" t="s">
        <v>304</v>
      </c>
      <c r="D126" s="546"/>
      <c r="E126" s="546" t="s">
        <v>306</v>
      </c>
      <c r="F126" s="545" t="s">
        <v>307</v>
      </c>
      <c r="G126" s="536"/>
    </row>
    <row r="127" spans="2:7" ht="15" customHeight="1">
      <c r="B127" s="1490"/>
      <c r="C127" s="544" t="s">
        <v>316</v>
      </c>
      <c r="D127" s="543"/>
      <c r="E127" s="542" t="s">
        <v>320</v>
      </c>
      <c r="F127" s="541" t="s">
        <v>317</v>
      </c>
      <c r="G127" s="536"/>
    </row>
    <row r="128" spans="2:7" ht="15" customHeight="1">
      <c r="B128" s="1490"/>
      <c r="C128" s="538" t="s">
        <v>344</v>
      </c>
      <c r="D128" s="519"/>
      <c r="E128" s="539" t="s">
        <v>333</v>
      </c>
      <c r="F128" s="540" t="s">
        <v>316</v>
      </c>
      <c r="G128" s="536"/>
    </row>
    <row r="129" spans="2:7" ht="15" customHeight="1">
      <c r="B129" s="1490"/>
      <c r="C129" s="538" t="s">
        <v>344</v>
      </c>
      <c r="D129" s="519"/>
      <c r="E129" s="539" t="s">
        <v>336</v>
      </c>
      <c r="F129" s="540" t="s">
        <v>317</v>
      </c>
      <c r="G129" s="536"/>
    </row>
    <row r="130" spans="2:7" ht="15" customHeight="1">
      <c r="B130" s="1490"/>
      <c r="C130" s="538" t="s">
        <v>316</v>
      </c>
      <c r="D130" s="519"/>
      <c r="E130" s="539" t="s">
        <v>337</v>
      </c>
      <c r="F130" s="540" t="s">
        <v>344</v>
      </c>
      <c r="G130" s="536"/>
    </row>
    <row r="131" spans="2:7" ht="15" customHeight="1">
      <c r="B131" s="1490"/>
      <c r="C131" s="538" t="s">
        <v>344</v>
      </c>
      <c r="D131" s="519"/>
      <c r="E131" s="539" t="s">
        <v>320</v>
      </c>
      <c r="F131" s="537"/>
      <c r="G131" s="536"/>
    </row>
    <row r="132" spans="2:7" ht="15.75" customHeight="1">
      <c r="B132" s="1490"/>
      <c r="C132" s="538" t="s">
        <v>344</v>
      </c>
      <c r="D132" s="519"/>
      <c r="E132" s="539" t="s">
        <v>317</v>
      </c>
      <c r="F132" s="537"/>
      <c r="G132" s="536"/>
    </row>
    <row r="133" spans="2:7" ht="15" customHeight="1">
      <c r="B133" s="1490"/>
      <c r="C133" s="538" t="s">
        <v>316</v>
      </c>
      <c r="D133" s="519"/>
      <c r="E133" s="539" t="s">
        <v>317</v>
      </c>
      <c r="F133" s="537"/>
      <c r="G133" s="536"/>
    </row>
    <row r="134" spans="2:7" ht="15" customHeight="1">
      <c r="B134" s="1490"/>
      <c r="C134" s="538" t="s">
        <v>344</v>
      </c>
      <c r="D134" s="519"/>
      <c r="E134" s="539" t="s">
        <v>320</v>
      </c>
      <c r="F134" s="537"/>
      <c r="G134" s="536"/>
    </row>
    <row r="135" spans="2:7" ht="15" customHeight="1">
      <c r="B135" s="1490"/>
      <c r="C135" s="538" t="s">
        <v>344</v>
      </c>
      <c r="D135" s="519"/>
      <c r="E135" s="519"/>
      <c r="F135" s="537"/>
      <c r="G135" s="536"/>
    </row>
    <row r="136" spans="2:7" ht="15" customHeight="1">
      <c r="B136" s="1490"/>
      <c r="C136" s="538" t="s">
        <v>316</v>
      </c>
      <c r="D136" s="519"/>
      <c r="E136" s="519"/>
      <c r="F136" s="537"/>
      <c r="G136" s="536"/>
    </row>
    <row r="137" spans="2:7" ht="15" customHeight="1">
      <c r="B137" s="1490"/>
      <c r="C137" s="538" t="s">
        <v>344</v>
      </c>
      <c r="D137" s="519"/>
      <c r="E137" s="519"/>
      <c r="F137" s="537"/>
      <c r="G137" s="536"/>
    </row>
    <row r="138" spans="2:7" ht="15" customHeight="1">
      <c r="B138" s="1490"/>
      <c r="C138" s="538" t="s">
        <v>316</v>
      </c>
      <c r="D138" s="519"/>
      <c r="E138" s="519"/>
      <c r="F138" s="537"/>
      <c r="G138" s="536"/>
    </row>
    <row r="139" spans="2:7" ht="15" customHeight="1">
      <c r="B139" s="1490"/>
      <c r="C139" s="538" t="s">
        <v>344</v>
      </c>
      <c r="D139" s="519"/>
      <c r="E139" s="519"/>
      <c r="F139" s="537"/>
      <c r="G139" s="536"/>
    </row>
    <row r="140" spans="2:7" ht="15" customHeight="1">
      <c r="B140" s="1490"/>
      <c r="C140" s="538" t="s">
        <v>316</v>
      </c>
      <c r="D140" s="519"/>
      <c r="E140" s="519"/>
      <c r="F140" s="537"/>
      <c r="G140" s="536"/>
    </row>
    <row r="141" spans="2:7" ht="27" customHeight="1">
      <c r="B141" s="1491"/>
      <c r="C141" s="535" t="s">
        <v>344</v>
      </c>
      <c r="D141" s="534"/>
      <c r="E141" s="534"/>
      <c r="F141" s="533"/>
      <c r="G141" s="532"/>
    </row>
    <row r="142" spans="2:7" ht="29.25" thickBot="1">
      <c r="B142" s="494"/>
    </row>
    <row r="143" spans="2:7" ht="15.75" customHeight="1" thickBot="1">
      <c r="B143" s="1492" t="s">
        <v>690</v>
      </c>
      <c r="C143" s="531" t="s">
        <v>689</v>
      </c>
    </row>
    <row r="144" spans="2:7" ht="15" customHeight="1">
      <c r="B144" s="1492"/>
      <c r="C144" s="530" t="s">
        <v>676</v>
      </c>
    </row>
    <row r="145" spans="2:6" ht="15" customHeight="1">
      <c r="B145" s="1492"/>
      <c r="C145" s="530" t="s">
        <v>675</v>
      </c>
    </row>
    <row r="146" spans="2:6" ht="15" customHeight="1">
      <c r="B146" s="1492"/>
      <c r="C146" s="530" t="s">
        <v>675</v>
      </c>
    </row>
    <row r="147" spans="2:6" ht="15" customHeight="1">
      <c r="B147" s="1492"/>
      <c r="C147" s="530" t="s">
        <v>675</v>
      </c>
    </row>
    <row r="148" spans="2:6" ht="15" customHeight="1">
      <c r="B148" s="1492"/>
      <c r="C148" s="530" t="s">
        <v>675</v>
      </c>
    </row>
    <row r="149" spans="2:6" ht="15.75" customHeight="1" thickBot="1">
      <c r="B149" s="1492"/>
      <c r="C149" s="529" t="s">
        <v>675</v>
      </c>
    </row>
    <row r="150" spans="2:6" ht="29.25" thickBot="1">
      <c r="B150" s="494"/>
    </row>
    <row r="151" spans="2:6" ht="15.75" thickBot="1">
      <c r="B151" s="1493" t="s">
        <v>688</v>
      </c>
      <c r="C151" s="528" t="s">
        <v>477</v>
      </c>
      <c r="D151" s="527" t="s">
        <v>478</v>
      </c>
      <c r="E151" s="527" t="s">
        <v>687</v>
      </c>
      <c r="F151" s="526" t="s">
        <v>686</v>
      </c>
    </row>
    <row r="152" spans="2:6">
      <c r="B152" s="1494"/>
      <c r="C152" s="525" t="s">
        <v>344</v>
      </c>
      <c r="D152" s="524" t="s">
        <v>344</v>
      </c>
      <c r="E152" s="523" t="s">
        <v>685</v>
      </c>
      <c r="F152" s="522"/>
    </row>
    <row r="153" spans="2:6" ht="15" customHeight="1">
      <c r="B153" s="1494"/>
      <c r="C153" s="520" t="s">
        <v>344</v>
      </c>
      <c r="D153" s="521" t="s">
        <v>344</v>
      </c>
      <c r="E153" s="519" t="s">
        <v>684</v>
      </c>
      <c r="F153" s="518"/>
    </row>
    <row r="154" spans="2:6" ht="15" customHeight="1">
      <c r="B154" s="1494"/>
      <c r="C154" s="520" t="s">
        <v>344</v>
      </c>
      <c r="D154" s="521" t="s">
        <v>344</v>
      </c>
      <c r="E154" s="519"/>
      <c r="F154" s="518"/>
    </row>
    <row r="155" spans="2:6" ht="15" customHeight="1">
      <c r="B155" s="1494"/>
      <c r="C155" s="520" t="s">
        <v>344</v>
      </c>
      <c r="D155" s="521" t="s">
        <v>344</v>
      </c>
      <c r="E155" s="519"/>
      <c r="F155" s="518"/>
    </row>
    <row r="156" spans="2:6" ht="15" customHeight="1">
      <c r="B156" s="1494"/>
      <c r="C156" s="520" t="s">
        <v>344</v>
      </c>
      <c r="D156" s="521" t="s">
        <v>330</v>
      </c>
      <c r="E156" s="519"/>
      <c r="F156" s="518"/>
    </row>
    <row r="157" spans="2:6" ht="15" customHeight="1">
      <c r="B157" s="1494"/>
      <c r="C157" s="520" t="s">
        <v>344</v>
      </c>
      <c r="D157" s="519"/>
      <c r="E157" s="519"/>
      <c r="F157" s="518"/>
    </row>
    <row r="158" spans="2:6" ht="15" customHeight="1">
      <c r="B158" s="1494"/>
      <c r="C158" s="520" t="s">
        <v>344</v>
      </c>
      <c r="D158" s="519"/>
      <c r="E158" s="519"/>
      <c r="F158" s="518"/>
    </row>
    <row r="159" spans="2:6" ht="15" customHeight="1">
      <c r="B159" s="1494"/>
      <c r="C159" s="520" t="s">
        <v>344</v>
      </c>
      <c r="D159" s="519"/>
      <c r="E159" s="519"/>
      <c r="F159" s="518"/>
    </row>
    <row r="160" spans="2:6" ht="15" customHeight="1">
      <c r="B160" s="1494"/>
      <c r="C160" s="520" t="s">
        <v>344</v>
      </c>
      <c r="D160" s="519"/>
      <c r="E160" s="519"/>
      <c r="F160" s="518"/>
    </row>
    <row r="161" spans="2:6" ht="15" customHeight="1">
      <c r="B161" s="1494"/>
      <c r="C161" s="520" t="s">
        <v>344</v>
      </c>
      <c r="D161" s="519"/>
      <c r="E161" s="519"/>
      <c r="F161" s="518"/>
    </row>
    <row r="162" spans="2:6" ht="15" customHeight="1">
      <c r="B162" s="1494"/>
      <c r="C162" s="520" t="s">
        <v>344</v>
      </c>
      <c r="D162" s="519"/>
      <c r="E162" s="519"/>
      <c r="F162" s="518"/>
    </row>
    <row r="163" spans="2:6" ht="15" customHeight="1">
      <c r="B163" s="1494"/>
      <c r="C163" s="520" t="s">
        <v>344</v>
      </c>
      <c r="D163" s="519"/>
      <c r="E163" s="519"/>
      <c r="F163" s="518"/>
    </row>
    <row r="164" spans="2:6" ht="15" customHeight="1">
      <c r="B164" s="1494"/>
      <c r="C164" s="520" t="s">
        <v>330</v>
      </c>
      <c r="D164" s="519"/>
      <c r="E164" s="519"/>
      <c r="F164" s="518"/>
    </row>
    <row r="165" spans="2:6" ht="15.75" customHeight="1" thickBot="1">
      <c r="B165" s="1494"/>
      <c r="C165" s="517" t="s">
        <v>330</v>
      </c>
      <c r="D165" s="516" t="s">
        <v>339</v>
      </c>
      <c r="E165" s="516"/>
      <c r="F165" s="515"/>
    </row>
    <row r="166" spans="2:6" ht="29.25" thickBot="1">
      <c r="B166" s="494"/>
    </row>
    <row r="167" spans="2:6" ht="15.75" customHeight="1" thickBot="1">
      <c r="B167" s="1495" t="s">
        <v>95</v>
      </c>
      <c r="C167" s="514" t="s">
        <v>683</v>
      </c>
      <c r="D167" s="513" t="s">
        <v>682</v>
      </c>
      <c r="E167" s="512" t="s">
        <v>681</v>
      </c>
    </row>
    <row r="168" spans="2:6" ht="15.75" customHeight="1" thickBot="1">
      <c r="B168" s="1496"/>
      <c r="C168" s="511" t="s">
        <v>676</v>
      </c>
      <c r="D168" s="510" t="s">
        <v>680</v>
      </c>
      <c r="E168" s="509" t="s">
        <v>679</v>
      </c>
    </row>
    <row r="169" spans="2:6" ht="29.25" thickBot="1">
      <c r="B169" s="494"/>
      <c r="C169" s="508"/>
      <c r="D169" s="441"/>
      <c r="E169" s="507"/>
    </row>
    <row r="170" spans="2:6" ht="15.75" customHeight="1" thickBot="1">
      <c r="B170" s="1495" t="s">
        <v>142</v>
      </c>
      <c r="C170" s="506" t="s">
        <v>678</v>
      </c>
      <c r="D170" s="505" t="s">
        <v>677</v>
      </c>
      <c r="E170" s="504" t="s">
        <v>489</v>
      </c>
    </row>
    <row r="171" spans="2:6" ht="15" customHeight="1">
      <c r="B171" s="1495"/>
      <c r="C171" s="503" t="s">
        <v>676</v>
      </c>
      <c r="D171" s="502" t="s">
        <v>676</v>
      </c>
      <c r="E171" s="501" t="s">
        <v>490</v>
      </c>
    </row>
    <row r="172" spans="2:6" ht="26.25" customHeight="1">
      <c r="B172" s="1495"/>
      <c r="C172" s="500" t="s">
        <v>675</v>
      </c>
      <c r="D172" s="499" t="s">
        <v>675</v>
      </c>
      <c r="E172" s="498"/>
    </row>
    <row r="173" spans="2:6" ht="26.25" customHeight="1">
      <c r="B173" s="1495"/>
      <c r="C173" s="500" t="s">
        <v>675</v>
      </c>
      <c r="D173" s="499" t="s">
        <v>675</v>
      </c>
      <c r="E173" s="498"/>
    </row>
    <row r="174" spans="2:6" ht="26.25" customHeight="1">
      <c r="B174" s="1495"/>
      <c r="C174" s="500" t="s">
        <v>675</v>
      </c>
      <c r="D174" s="499" t="s">
        <v>675</v>
      </c>
      <c r="E174" s="498"/>
    </row>
    <row r="175" spans="2:6" ht="27" customHeight="1" thickBot="1">
      <c r="B175" s="1495"/>
      <c r="C175" s="497" t="s">
        <v>675</v>
      </c>
      <c r="D175" s="496"/>
      <c r="E175" s="495"/>
    </row>
    <row r="176" spans="2:6" ht="28.5">
      <c r="B176" s="494"/>
    </row>
    <row r="177" spans="1:23" ht="28.5">
      <c r="B177" s="494"/>
    </row>
    <row r="178" spans="1:23" ht="31.5">
      <c r="B178" s="493" t="s">
        <v>674</v>
      </c>
      <c r="C178" s="492"/>
      <c r="D178" s="492"/>
      <c r="E178" s="492"/>
      <c r="F178" s="492"/>
      <c r="G178" s="492"/>
      <c r="H178" s="492"/>
      <c r="I178" s="492"/>
      <c r="J178" s="492"/>
      <c r="K178" s="492"/>
      <c r="L178" s="492"/>
      <c r="M178" s="492"/>
      <c r="N178" s="492"/>
      <c r="O178" s="492"/>
    </row>
    <row r="179" spans="1:23" ht="15.75" thickBot="1"/>
    <row r="180" spans="1:23" ht="15.75" thickBot="1">
      <c r="B180" s="491" t="s">
        <v>673</v>
      </c>
      <c r="C180" s="490"/>
      <c r="D180" s="490"/>
      <c r="E180" s="490"/>
      <c r="F180" s="489"/>
      <c r="R180" s="420"/>
      <c r="S180" s="420"/>
      <c r="T180" s="420"/>
      <c r="U180" s="420"/>
      <c r="V180" s="420"/>
      <c r="W180" s="420"/>
    </row>
    <row r="181" spans="1:23" ht="15.75" thickBot="1">
      <c r="D181" s="488"/>
      <c r="E181" s="487"/>
      <c r="F181" s="441"/>
      <c r="Q181" s="420"/>
      <c r="R181" s="420"/>
      <c r="S181" s="420"/>
      <c r="T181" s="420"/>
      <c r="U181" s="420"/>
      <c r="V181" s="420"/>
      <c r="W181" s="420"/>
    </row>
    <row r="182" spans="1:23" ht="30.75" customHeight="1" thickBot="1">
      <c r="B182" s="1488" t="s">
        <v>672</v>
      </c>
      <c r="C182" s="486" t="s">
        <v>671</v>
      </c>
      <c r="D182" s="485" t="s">
        <v>670</v>
      </c>
      <c r="E182" s="485" t="s">
        <v>669</v>
      </c>
      <c r="F182" s="484" t="s">
        <v>668</v>
      </c>
      <c r="G182" s="483"/>
      <c r="Q182" s="420"/>
      <c r="R182" s="420"/>
      <c r="S182" s="420"/>
      <c r="T182" s="420"/>
      <c r="U182" s="420"/>
      <c r="V182" s="420"/>
      <c r="W182" s="420"/>
    </row>
    <row r="183" spans="1:23" ht="45.75" customHeight="1" thickBot="1">
      <c r="B183" s="1488"/>
      <c r="C183" s="482" t="s">
        <v>667</v>
      </c>
      <c r="D183" s="481" t="s">
        <v>666</v>
      </c>
      <c r="E183" s="480" t="s">
        <v>665</v>
      </c>
      <c r="F183" s="479" t="s">
        <v>664</v>
      </c>
      <c r="G183" s="441"/>
      <c r="Q183" s="420"/>
      <c r="R183" s="420"/>
      <c r="S183" s="420"/>
      <c r="T183" s="420"/>
      <c r="U183" s="420"/>
      <c r="V183" s="420"/>
      <c r="W183" s="420"/>
    </row>
    <row r="184" spans="1:23">
      <c r="C184" s="441"/>
      <c r="D184" s="441"/>
      <c r="E184" s="467"/>
      <c r="F184" s="441"/>
      <c r="G184" s="441"/>
      <c r="Q184" s="420"/>
      <c r="R184" s="420"/>
      <c r="S184" s="420"/>
      <c r="T184" s="420"/>
      <c r="U184" s="420"/>
      <c r="V184" s="420"/>
      <c r="W184" s="420"/>
    </row>
    <row r="185" spans="1:23" ht="15.75" thickBot="1">
      <c r="G185" s="441"/>
      <c r="Q185" s="420"/>
      <c r="R185" s="420"/>
      <c r="S185" s="420"/>
      <c r="T185" s="420"/>
      <c r="U185" s="420"/>
      <c r="V185" s="420"/>
      <c r="W185" s="420"/>
    </row>
    <row r="186" spans="1:23" ht="30" customHeight="1" thickBot="1">
      <c r="B186" s="1488" t="s">
        <v>663</v>
      </c>
      <c r="C186" s="478" t="s">
        <v>662</v>
      </c>
      <c r="D186" s="477" t="s">
        <v>661</v>
      </c>
      <c r="E186" s="476" t="s">
        <v>660</v>
      </c>
      <c r="G186" s="441"/>
      <c r="Q186" s="420"/>
      <c r="R186" s="420"/>
      <c r="S186" s="420"/>
      <c r="T186" s="420"/>
      <c r="U186" s="420"/>
      <c r="V186" s="420"/>
      <c r="W186" s="420"/>
    </row>
    <row r="187" spans="1:23" ht="51.75" thickBot="1">
      <c r="B187" s="1488"/>
      <c r="C187" s="471" t="s">
        <v>659</v>
      </c>
      <c r="D187" s="470" t="s">
        <v>658</v>
      </c>
      <c r="E187" s="475" t="e">
        <f ca="1">dms_060701_StartDateTxt</f>
        <v>#N/A</v>
      </c>
      <c r="Q187" s="420"/>
      <c r="R187" s="420"/>
      <c r="S187" s="420"/>
      <c r="T187" s="420"/>
      <c r="U187" s="420"/>
      <c r="V187" s="420"/>
      <c r="W187" s="420"/>
    </row>
    <row r="188" spans="1:23">
      <c r="C188" s="441"/>
      <c r="D188" s="441"/>
      <c r="E188" s="467"/>
      <c r="G188" s="441"/>
      <c r="Q188" s="420"/>
      <c r="R188" s="420"/>
      <c r="S188" s="420"/>
      <c r="T188" s="420"/>
      <c r="U188" s="420"/>
      <c r="V188" s="420"/>
      <c r="W188" s="420"/>
    </row>
    <row r="189" spans="1:23" ht="15.75" thickBot="1">
      <c r="B189" s="426"/>
      <c r="C189" s="441"/>
      <c r="P189" s="420"/>
      <c r="Q189" s="420"/>
      <c r="R189" s="420"/>
      <c r="S189" s="420"/>
      <c r="T189" s="420"/>
      <c r="U189" s="420"/>
      <c r="V189" s="420"/>
      <c r="W189" s="420"/>
    </row>
    <row r="190" spans="1:23" ht="22.5" customHeight="1" thickBot="1">
      <c r="A190" s="426"/>
      <c r="B190" s="1488" t="s">
        <v>657</v>
      </c>
      <c r="C190" s="474" t="s">
        <v>656</v>
      </c>
      <c r="D190" s="473" t="s">
        <v>655</v>
      </c>
      <c r="E190" s="473" t="s">
        <v>654</v>
      </c>
      <c r="F190" s="472" t="s">
        <v>653</v>
      </c>
      <c r="Q190" s="420"/>
      <c r="R190" s="420"/>
      <c r="S190" s="420"/>
      <c r="T190" s="420"/>
      <c r="U190" s="420"/>
      <c r="V190" s="420"/>
      <c r="W190" s="420"/>
    </row>
    <row r="191" spans="1:23" ht="22.5" customHeight="1" thickBot="1">
      <c r="A191" s="426"/>
      <c r="B191" s="1488"/>
      <c r="C191" s="471" t="s">
        <v>652</v>
      </c>
      <c r="D191" s="470" t="s">
        <v>651</v>
      </c>
      <c r="E191" s="469" t="s">
        <v>650</v>
      </c>
      <c r="F191" s="468" t="s">
        <v>649</v>
      </c>
      <c r="Q191" s="420"/>
      <c r="R191" s="420"/>
      <c r="S191" s="420"/>
      <c r="T191" s="420"/>
      <c r="U191" s="420"/>
      <c r="V191" s="420"/>
      <c r="W191" s="420"/>
    </row>
    <row r="192" spans="1:23">
      <c r="A192" s="426"/>
      <c r="B192" s="441"/>
      <c r="C192" s="441"/>
      <c r="D192" s="441"/>
      <c r="E192" s="467"/>
      <c r="F192" s="441"/>
      <c r="Q192" s="420"/>
      <c r="R192" s="420"/>
      <c r="S192" s="420"/>
      <c r="T192" s="420"/>
      <c r="U192" s="420"/>
      <c r="V192" s="420"/>
      <c r="W192" s="420"/>
    </row>
    <row r="193" spans="1:23" ht="15.75" thickBot="1">
      <c r="A193" s="426"/>
      <c r="B193" s="426"/>
      <c r="C193" s="441"/>
      <c r="Q193" s="420"/>
      <c r="R193" s="420"/>
      <c r="S193" s="420"/>
      <c r="T193" s="420"/>
      <c r="U193" s="420"/>
      <c r="V193" s="420"/>
      <c r="W193" s="420"/>
    </row>
    <row r="194" spans="1:23" ht="36" customHeight="1" thickBot="1">
      <c r="A194" s="426"/>
      <c r="B194" s="466" t="s">
        <v>648</v>
      </c>
      <c r="C194" s="465" t="s">
        <v>647</v>
      </c>
      <c r="D194" s="464" t="s">
        <v>646</v>
      </c>
      <c r="E194" s="463" t="s">
        <v>645</v>
      </c>
      <c r="Q194" s="420"/>
      <c r="R194" s="420"/>
      <c r="S194" s="420"/>
      <c r="T194" s="420"/>
      <c r="U194" s="420"/>
      <c r="V194" s="420"/>
      <c r="W194" s="420"/>
    </row>
    <row r="196" spans="1:23">
      <c r="B196" s="426"/>
      <c r="C196" s="441"/>
      <c r="P196" s="420"/>
      <c r="Q196" s="420"/>
      <c r="R196" s="420"/>
      <c r="S196" s="420"/>
      <c r="T196" s="420"/>
      <c r="U196" s="420"/>
      <c r="V196" s="420"/>
      <c r="W196" s="420"/>
    </row>
    <row r="197" spans="1:23" s="420" customFormat="1" ht="21.75" customHeight="1">
      <c r="B197" s="437" t="s">
        <v>644</v>
      </c>
      <c r="C197" s="462"/>
      <c r="D197" s="461"/>
      <c r="E197" s="461"/>
      <c r="F197" s="461"/>
      <c r="G197" s="461"/>
      <c r="H197" s="461"/>
      <c r="I197" s="461"/>
      <c r="J197" s="461"/>
      <c r="K197" s="461"/>
      <c r="L197" s="461"/>
      <c r="M197" s="461"/>
      <c r="N197" s="461"/>
      <c r="O197" s="461"/>
    </row>
    <row r="198" spans="1:23" ht="15.75" thickBot="1">
      <c r="B198" s="460"/>
      <c r="C198" s="441"/>
      <c r="F198" s="459"/>
      <c r="K198" s="458"/>
      <c r="P198" s="420"/>
      <c r="Q198" s="420"/>
      <c r="R198" s="420"/>
      <c r="S198" s="420"/>
      <c r="T198" s="420"/>
      <c r="U198" s="420"/>
      <c r="V198" s="420"/>
      <c r="W198" s="420"/>
    </row>
    <row r="199" spans="1:23" ht="15" customHeight="1" thickBot="1">
      <c r="B199" s="1488" t="s">
        <v>643</v>
      </c>
      <c r="C199" s="445" t="s">
        <v>642</v>
      </c>
      <c r="D199" s="457" t="str">
        <f>INDEX(dms_FeederName_1,MATCH(dms_TradingName,dms_TradingName_List))</f>
        <v>CBD</v>
      </c>
      <c r="E199" s="454" t="str">
        <f>INDEX(dms_FeederName_1,MATCH(dms_TradingName,dms_TradingName_List))</f>
        <v>CBD</v>
      </c>
      <c r="F199" s="456" t="str">
        <f>INDEX(dms_FeederName_2,MATCH(dms_TradingName,dms_TradingName_List))</f>
        <v>Urban</v>
      </c>
      <c r="G199" s="455" t="str">
        <f>INDEX(dms_FeederName_2,MATCH(dms_TradingName,dms_TradingName_List))</f>
        <v>Urban</v>
      </c>
      <c r="H199" s="454" t="str">
        <f>INDEX(dms_FeederName_3,MATCH(dms_TradingName,dms_TradingName_List))</f>
        <v>Short rural</v>
      </c>
      <c r="I199" s="454" t="str">
        <f>INDEX(dms_FeederName_3,MATCH(dms_TradingName,dms_TradingName_List))</f>
        <v>Short rural</v>
      </c>
      <c r="J199" s="455" t="str">
        <f>INDEX(dms_FeederName_4,MATCH(dms_TradingName,dms_TradingName_List))</f>
        <v>Long rural</v>
      </c>
      <c r="K199" s="455" t="str">
        <f>INDEX(dms_FeederName_4,MATCH(dms_TradingName,dms_TradingName_List))</f>
        <v>Long rural</v>
      </c>
      <c r="L199" s="454" t="str">
        <f>IF((INDEX(dms_FeederName_5,MATCH(dms_TradingName,dms_TradingName_List))=0),"Network",(INDEX(dms_FeederName_5,MATCH(dms_TradingName,dms_TradingName_List))))</f>
        <v>Network</v>
      </c>
      <c r="M199" s="454" t="str">
        <f>IF((INDEX(dms_FeederName_5,MATCH(dms_TradingName,dms_TradingName_List))=0),"Network",(INDEX(dms_FeederName_5,MATCH(dms_TradingName,dms_TradingName_List))))</f>
        <v>Network</v>
      </c>
      <c r="N199" s="454" t="s">
        <v>641</v>
      </c>
      <c r="O199" s="454" t="s">
        <v>641</v>
      </c>
      <c r="P199" s="420"/>
      <c r="Q199" s="420"/>
      <c r="R199" s="420"/>
      <c r="S199" s="420"/>
      <c r="T199" s="420"/>
      <c r="U199" s="420"/>
      <c r="V199" s="420"/>
      <c r="W199" s="420"/>
    </row>
    <row r="200" spans="1:23" ht="15.75" thickBot="1">
      <c r="B200" s="1488"/>
      <c r="C200" s="453"/>
      <c r="D200" s="452"/>
      <c r="F200" s="424"/>
      <c r="N200" s="451"/>
      <c r="P200" s="420"/>
      <c r="Q200" s="420"/>
      <c r="R200" s="420"/>
      <c r="S200" s="420"/>
      <c r="T200" s="420"/>
      <c r="U200" s="420"/>
      <c r="V200" s="420"/>
      <c r="W200" s="420"/>
    </row>
    <row r="201" spans="1:23" ht="26.25" thickBot="1">
      <c r="B201" s="1488"/>
      <c r="C201" s="445" t="s">
        <v>640</v>
      </c>
      <c r="D201" s="450" t="s">
        <v>639</v>
      </c>
      <c r="E201" s="448" t="s">
        <v>638</v>
      </c>
      <c r="F201" s="449" t="s">
        <v>639</v>
      </c>
      <c r="G201" s="448" t="s">
        <v>638</v>
      </c>
      <c r="H201" s="448" t="s">
        <v>639</v>
      </c>
      <c r="I201" s="448" t="s">
        <v>638</v>
      </c>
      <c r="J201" s="448" t="s">
        <v>639</v>
      </c>
      <c r="K201" s="448" t="s">
        <v>638</v>
      </c>
      <c r="L201" s="448" t="s">
        <v>639</v>
      </c>
      <c r="M201" s="447" t="s">
        <v>638</v>
      </c>
      <c r="N201" s="448" t="s">
        <v>639</v>
      </c>
      <c r="O201" s="447" t="s">
        <v>638</v>
      </c>
      <c r="P201" s="420"/>
      <c r="Q201" s="420"/>
      <c r="R201" s="420"/>
      <c r="S201" s="420"/>
      <c r="T201" s="420"/>
      <c r="U201" s="420"/>
      <c r="V201" s="420"/>
      <c r="W201" s="420"/>
    </row>
    <row r="202" spans="1:23">
      <c r="B202" s="1488"/>
      <c r="C202" s="441"/>
      <c r="D202" s="446" t="s">
        <v>637</v>
      </c>
      <c r="F202" s="424"/>
      <c r="P202" s="420"/>
      <c r="Q202" s="420"/>
      <c r="R202" s="420"/>
      <c r="S202" s="420"/>
      <c r="T202" s="420"/>
      <c r="U202" s="420"/>
      <c r="V202" s="420"/>
      <c r="W202" s="420"/>
    </row>
    <row r="203" spans="1:23" ht="15.75" thickBot="1">
      <c r="A203" s="426"/>
      <c r="B203" s="1488"/>
      <c r="C203" s="441"/>
      <c r="F203" s="424"/>
      <c r="P203" s="420"/>
      <c r="Q203" s="420"/>
      <c r="R203" s="420"/>
      <c r="S203" s="420"/>
      <c r="T203" s="420"/>
      <c r="U203" s="420"/>
      <c r="V203" s="420"/>
      <c r="W203" s="420"/>
    </row>
    <row r="204" spans="1:23" ht="15.75" thickBot="1">
      <c r="A204" s="426"/>
      <c r="B204" s="1488"/>
      <c r="C204" s="445" t="s">
        <v>636</v>
      </c>
      <c r="D204" s="444" t="str">
        <f>INDEX(dms_FeederName_1,MATCH(dms_TradingName,dms_TradingName_List))</f>
        <v>CBD</v>
      </c>
      <c r="E204" s="443" t="str">
        <f>INDEX(dms_FeederName_2,MATCH(dms_TradingName,dms_TradingName_List))</f>
        <v>Urban</v>
      </c>
      <c r="F204" s="443" t="str">
        <f>INDEX(dms_FeederName_3,MATCH(dms_TradingName,dms_TradingName_List))</f>
        <v>Short rural</v>
      </c>
      <c r="G204" s="443" t="str">
        <f>INDEX(dms_FeederName_4,MATCH(dms_TradingName,dms_TradingName_List))</f>
        <v>Long rural</v>
      </c>
      <c r="H204" s="442"/>
      <c r="Q204" s="420"/>
      <c r="R204" s="420"/>
      <c r="S204" s="420"/>
      <c r="T204" s="420"/>
      <c r="U204" s="420"/>
      <c r="V204" s="420"/>
      <c r="W204" s="420"/>
    </row>
    <row r="205" spans="1:23">
      <c r="A205" s="426"/>
      <c r="B205" s="441"/>
      <c r="C205" s="440"/>
      <c r="D205" s="438"/>
      <c r="E205" s="424"/>
      <c r="I205" s="439"/>
      <c r="J205" s="438"/>
      <c r="Q205" s="420"/>
      <c r="R205" s="420"/>
      <c r="S205" s="420"/>
      <c r="T205" s="420"/>
      <c r="U205" s="420"/>
      <c r="V205" s="420"/>
      <c r="W205" s="420"/>
    </row>
    <row r="206" spans="1:23">
      <c r="A206" s="426"/>
      <c r="B206" s="426"/>
      <c r="E206" s="424"/>
      <c r="Q206" s="420"/>
      <c r="R206" s="420"/>
      <c r="S206" s="420"/>
      <c r="T206" s="420"/>
      <c r="U206" s="420"/>
      <c r="V206" s="420"/>
      <c r="W206" s="420"/>
    </row>
    <row r="207" spans="1:23" ht="29.25" customHeight="1">
      <c r="A207" s="426"/>
      <c r="B207" s="437" t="s">
        <v>635</v>
      </c>
      <c r="C207" s="437" t="s">
        <v>635</v>
      </c>
      <c r="D207" s="437"/>
      <c r="E207" s="437"/>
      <c r="F207" s="437"/>
      <c r="G207" s="437"/>
      <c r="H207" s="437"/>
      <c r="I207" s="437"/>
      <c r="J207" s="437"/>
      <c r="K207" s="437"/>
      <c r="L207" s="437"/>
      <c r="M207" s="437"/>
      <c r="Q207" s="420"/>
      <c r="R207" s="420"/>
      <c r="S207" s="420"/>
      <c r="T207" s="420"/>
      <c r="U207" s="420"/>
      <c r="V207" s="420"/>
      <c r="W207" s="420"/>
    </row>
    <row r="208" spans="1:23" ht="15.75" customHeight="1">
      <c r="A208" s="426"/>
      <c r="B208" s="430"/>
      <c r="E208" s="424"/>
      <c r="Q208" s="420"/>
      <c r="R208" s="420"/>
      <c r="S208" s="420"/>
      <c r="T208" s="420"/>
      <c r="U208" s="420"/>
      <c r="V208" s="420"/>
      <c r="W208" s="420"/>
    </row>
    <row r="209" spans="1:23">
      <c r="A209" s="426"/>
      <c r="B209" s="430"/>
      <c r="E209" s="424"/>
      <c r="Q209" s="420"/>
      <c r="R209" s="420"/>
      <c r="S209" s="420"/>
      <c r="T209" s="420"/>
      <c r="U209" s="420"/>
      <c r="V209" s="420"/>
      <c r="W209" s="420"/>
    </row>
    <row r="210" spans="1:23">
      <c r="A210" s="426"/>
      <c r="B210" s="436" t="s">
        <v>634</v>
      </c>
      <c r="C210" s="419" t="s">
        <v>633</v>
      </c>
      <c r="D210" s="419" t="s">
        <v>632</v>
      </c>
      <c r="E210" s="424" t="s">
        <v>631</v>
      </c>
      <c r="Q210" s="420"/>
      <c r="R210" s="420"/>
      <c r="S210" s="420"/>
      <c r="T210" s="420"/>
      <c r="U210" s="420"/>
      <c r="V210" s="420"/>
      <c r="W210" s="420"/>
    </row>
    <row r="211" spans="1:23">
      <c r="A211" s="426"/>
      <c r="B211" s="431"/>
      <c r="C211" s="419" t="s">
        <v>630</v>
      </c>
      <c r="E211" s="424"/>
      <c r="Q211" s="420"/>
      <c r="R211" s="420"/>
      <c r="S211" s="420"/>
      <c r="T211" s="420"/>
      <c r="U211" s="420"/>
      <c r="V211" s="420"/>
      <c r="W211" s="420"/>
    </row>
    <row r="212" spans="1:23">
      <c r="A212" s="426"/>
      <c r="B212" s="430"/>
      <c r="E212" s="424"/>
      <c r="Q212" s="420"/>
      <c r="R212" s="420"/>
      <c r="S212" s="420"/>
      <c r="T212" s="420"/>
      <c r="U212" s="420"/>
      <c r="V212" s="420"/>
      <c r="W212" s="420"/>
    </row>
    <row r="213" spans="1:23">
      <c r="A213" s="426"/>
      <c r="B213" s="430"/>
      <c r="D213" s="433"/>
      <c r="E213" s="435"/>
      <c r="F213" s="433"/>
      <c r="G213" s="433"/>
      <c r="H213" s="433"/>
      <c r="I213" s="434"/>
      <c r="J213" s="433"/>
      <c r="K213" s="433"/>
      <c r="L213" s="433"/>
      <c r="M213" s="432"/>
      <c r="Q213" s="420"/>
      <c r="R213" s="420"/>
      <c r="S213" s="420"/>
      <c r="T213" s="420"/>
      <c r="U213" s="420"/>
      <c r="V213" s="420"/>
      <c r="W213" s="420"/>
    </row>
    <row r="214" spans="1:23">
      <c r="A214" s="426"/>
      <c r="B214" s="428" t="s">
        <v>629</v>
      </c>
      <c r="C214" s="433" t="s">
        <v>628</v>
      </c>
      <c r="D214" s="433" t="s">
        <v>627</v>
      </c>
      <c r="E214" s="435" t="s">
        <v>626</v>
      </c>
      <c r="F214" s="433" t="s">
        <v>625</v>
      </c>
      <c r="G214" s="433" t="s">
        <v>624</v>
      </c>
      <c r="H214" s="433" t="s">
        <v>623</v>
      </c>
      <c r="I214" s="434" t="s">
        <v>622</v>
      </c>
      <c r="J214" s="433" t="s">
        <v>621</v>
      </c>
      <c r="K214" s="433" t="s">
        <v>620</v>
      </c>
      <c r="L214" s="433" t="s">
        <v>619</v>
      </c>
      <c r="M214" s="432"/>
      <c r="Q214" s="420"/>
      <c r="R214" s="420"/>
      <c r="S214" s="420"/>
      <c r="T214" s="420"/>
      <c r="U214" s="420"/>
      <c r="V214" s="420"/>
      <c r="W214" s="420"/>
    </row>
    <row r="215" spans="1:23">
      <c r="A215" s="426"/>
      <c r="B215" s="431"/>
      <c r="C215" s="419" t="s">
        <v>618</v>
      </c>
      <c r="E215" s="424"/>
      <c r="Q215" s="420"/>
      <c r="R215" s="420"/>
      <c r="S215" s="420"/>
      <c r="T215" s="420"/>
      <c r="U215" s="420"/>
      <c r="V215" s="420"/>
      <c r="W215" s="420"/>
    </row>
    <row r="216" spans="1:23">
      <c r="A216" s="426"/>
      <c r="B216" s="430"/>
      <c r="C216" s="422"/>
      <c r="E216" s="424"/>
      <c r="H216" s="422"/>
      <c r="I216" s="423"/>
      <c r="J216" s="422"/>
      <c r="K216" s="422"/>
      <c r="L216" s="421"/>
      <c r="Q216" s="420"/>
      <c r="R216" s="420"/>
      <c r="S216" s="420"/>
      <c r="T216" s="420"/>
      <c r="U216" s="420"/>
      <c r="V216" s="420"/>
      <c r="W216" s="420"/>
    </row>
    <row r="217" spans="1:23">
      <c r="A217" s="426"/>
      <c r="B217" s="429"/>
      <c r="E217" s="424"/>
      <c r="Q217" s="420"/>
      <c r="R217" s="420"/>
      <c r="S217" s="420"/>
      <c r="T217" s="420"/>
      <c r="U217" s="420"/>
      <c r="V217" s="420"/>
      <c r="W217" s="420"/>
    </row>
    <row r="218" spans="1:23">
      <c r="A218" s="426"/>
      <c r="B218" s="428" t="s">
        <v>617</v>
      </c>
      <c r="C218" s="419" t="s">
        <v>616</v>
      </c>
      <c r="D218" s="419" t="s">
        <v>615</v>
      </c>
      <c r="E218" s="424" t="s">
        <v>614</v>
      </c>
      <c r="F218" s="419" t="s">
        <v>613</v>
      </c>
      <c r="G218" s="419" t="s">
        <v>612</v>
      </c>
      <c r="H218" s="419" t="s">
        <v>611</v>
      </c>
      <c r="I218" s="419" t="s">
        <v>610</v>
      </c>
      <c r="J218" s="419" t="s">
        <v>609</v>
      </c>
      <c r="K218" s="419" t="s">
        <v>608</v>
      </c>
      <c r="L218" s="419" t="s">
        <v>607</v>
      </c>
      <c r="M218" s="419" t="s">
        <v>606</v>
      </c>
      <c r="Q218" s="420"/>
      <c r="R218" s="420"/>
      <c r="S218" s="420"/>
      <c r="T218" s="420"/>
      <c r="U218" s="420"/>
      <c r="V218" s="420"/>
      <c r="W218" s="420"/>
    </row>
    <row r="219" spans="1:23">
      <c r="A219" s="426"/>
      <c r="B219" s="427"/>
      <c r="E219" s="424"/>
      <c r="N219" s="426"/>
      <c r="Q219" s="420"/>
      <c r="R219" s="420"/>
      <c r="S219" s="420"/>
      <c r="T219" s="420"/>
      <c r="U219" s="420"/>
      <c r="V219" s="420"/>
      <c r="W219" s="420"/>
    </row>
    <row r="220" spans="1:23">
      <c r="A220" s="426"/>
      <c r="B220" s="426"/>
      <c r="Q220" s="420"/>
      <c r="R220" s="420"/>
      <c r="S220" s="420"/>
      <c r="T220" s="420"/>
      <c r="U220" s="420"/>
      <c r="V220" s="420"/>
      <c r="W220" s="420"/>
    </row>
    <row r="221" spans="1:23">
      <c r="A221" s="426"/>
      <c r="B221" s="426"/>
      <c r="Q221" s="420"/>
      <c r="R221" s="420"/>
      <c r="S221" s="420"/>
      <c r="T221" s="420"/>
      <c r="U221" s="420"/>
      <c r="V221" s="420"/>
      <c r="W221" s="420"/>
    </row>
    <row r="222" spans="1:23">
      <c r="E222" s="425"/>
      <c r="F222" s="423"/>
      <c r="G222" s="422"/>
      <c r="H222" s="422"/>
      <c r="I222" s="421"/>
      <c r="L222" s="420"/>
      <c r="M222" s="420"/>
      <c r="N222" s="420"/>
      <c r="Q222" s="420"/>
      <c r="R222" s="420"/>
      <c r="S222" s="420"/>
      <c r="T222" s="420"/>
      <c r="U222" s="420"/>
      <c r="V222" s="420"/>
      <c r="W222" s="420"/>
    </row>
    <row r="223" spans="1:23">
      <c r="B223" s="422"/>
      <c r="C223" s="422"/>
      <c r="E223" s="424"/>
      <c r="H223" s="422"/>
      <c r="I223" s="423"/>
      <c r="J223" s="422"/>
      <c r="K223" s="422"/>
      <c r="L223" s="421"/>
      <c r="Q223" s="420"/>
      <c r="R223" s="420"/>
      <c r="S223" s="420"/>
      <c r="T223" s="420"/>
      <c r="U223" s="420"/>
      <c r="V223" s="420"/>
      <c r="W223" s="420"/>
    </row>
    <row r="224" spans="1:23">
      <c r="B224" s="422"/>
      <c r="C224" s="422"/>
      <c r="E224" s="424"/>
      <c r="H224" s="422"/>
      <c r="I224" s="423"/>
      <c r="J224" s="422"/>
      <c r="K224" s="422"/>
      <c r="L224" s="421"/>
      <c r="O224" s="420"/>
      <c r="P224" s="420"/>
      <c r="Q224" s="420"/>
      <c r="R224" s="420"/>
      <c r="S224" s="420"/>
      <c r="T224" s="420"/>
      <c r="U224" s="420"/>
      <c r="V224" s="420"/>
      <c r="W224" s="420"/>
    </row>
    <row r="225" spans="2:23">
      <c r="B225" s="422"/>
      <c r="C225" s="422"/>
      <c r="E225" s="424"/>
      <c r="H225" s="422"/>
      <c r="I225" s="423"/>
      <c r="J225" s="422"/>
      <c r="K225" s="422"/>
      <c r="L225" s="421"/>
      <c r="O225" s="420"/>
      <c r="P225" s="420"/>
      <c r="Q225" s="420"/>
      <c r="R225" s="420"/>
      <c r="S225" s="420"/>
      <c r="T225" s="420"/>
      <c r="U225" s="420"/>
      <c r="V225" s="420"/>
      <c r="W225" s="420"/>
    </row>
    <row r="226" spans="2:23">
      <c r="B226" s="422"/>
      <c r="C226" s="422"/>
      <c r="E226" s="424"/>
      <c r="H226" s="422"/>
      <c r="I226" s="423"/>
      <c r="J226" s="422"/>
      <c r="K226" s="422"/>
      <c r="L226" s="421"/>
      <c r="O226" s="420"/>
      <c r="P226" s="420"/>
      <c r="Q226" s="420"/>
      <c r="R226" s="420"/>
      <c r="S226" s="420"/>
      <c r="T226" s="420"/>
      <c r="U226" s="420"/>
      <c r="V226" s="420"/>
      <c r="W226" s="420"/>
    </row>
    <row r="227" spans="2:23">
      <c r="B227" s="422"/>
      <c r="C227" s="422"/>
      <c r="E227" s="424"/>
      <c r="H227" s="422"/>
      <c r="I227" s="423"/>
      <c r="J227" s="422"/>
      <c r="K227" s="422"/>
      <c r="L227" s="421"/>
      <c r="O227" s="420"/>
      <c r="P227" s="420"/>
      <c r="Q227" s="420"/>
      <c r="R227" s="420"/>
      <c r="S227" s="420"/>
      <c r="T227" s="420"/>
      <c r="U227" s="420"/>
      <c r="V227" s="420"/>
      <c r="W227" s="420"/>
    </row>
    <row r="228" spans="2:23">
      <c r="B228" s="422"/>
      <c r="C228" s="422"/>
      <c r="E228" s="424"/>
      <c r="H228" s="422"/>
      <c r="I228" s="423"/>
      <c r="J228" s="422"/>
      <c r="K228" s="422"/>
      <c r="L228" s="421"/>
      <c r="O228" s="420"/>
      <c r="P228" s="420"/>
      <c r="Q228" s="420"/>
      <c r="R228" s="420"/>
      <c r="S228" s="420"/>
      <c r="T228" s="420"/>
      <c r="U228" s="420"/>
      <c r="V228" s="420"/>
      <c r="W228" s="420"/>
    </row>
    <row r="229" spans="2:23">
      <c r="B229" s="422"/>
      <c r="C229" s="422"/>
      <c r="E229" s="424"/>
      <c r="H229" s="422"/>
      <c r="I229" s="423"/>
      <c r="J229" s="422"/>
      <c r="K229" s="422"/>
      <c r="L229" s="421"/>
      <c r="O229" s="420"/>
      <c r="P229" s="420"/>
      <c r="Q229" s="420"/>
      <c r="R229" s="420"/>
      <c r="S229" s="420"/>
      <c r="T229" s="420"/>
      <c r="U229" s="420"/>
      <c r="V229" s="420"/>
      <c r="W229" s="420"/>
    </row>
  </sheetData>
  <mergeCells count="25">
    <mergeCell ref="B5:B19"/>
    <mergeCell ref="B23:B46"/>
    <mergeCell ref="K24:K26"/>
    <mergeCell ref="AK24:BF24"/>
    <mergeCell ref="BP24:CK24"/>
    <mergeCell ref="AK25:BF25"/>
    <mergeCell ref="BP25:CK25"/>
    <mergeCell ref="AK26:BF26"/>
    <mergeCell ref="BP26:CK26"/>
    <mergeCell ref="K27:K31"/>
    <mergeCell ref="K35:K36"/>
    <mergeCell ref="B56:B69"/>
    <mergeCell ref="B75:B88"/>
    <mergeCell ref="B91:B98"/>
    <mergeCell ref="B101:B106"/>
    <mergeCell ref="B109:B123"/>
    <mergeCell ref="B186:B187"/>
    <mergeCell ref="B190:B191"/>
    <mergeCell ref="B199:B204"/>
    <mergeCell ref="B126:B141"/>
    <mergeCell ref="B143:B149"/>
    <mergeCell ref="B151:B165"/>
    <mergeCell ref="B167:B168"/>
    <mergeCell ref="B170:B175"/>
    <mergeCell ref="B182:B18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AA725"/>
  <sheetViews>
    <sheetView showGridLines="0" zoomScale="90" zoomScaleNormal="90" workbookViewId="0">
      <selection activeCell="I163" sqref="I163"/>
    </sheetView>
  </sheetViews>
  <sheetFormatPr defaultRowHeight="12.75" outlineLevelRow="1"/>
  <cols>
    <col min="1" max="1" width="3.42578125" customWidth="1"/>
    <col min="2" max="2" width="3.7109375" customWidth="1"/>
    <col min="3" max="3" width="24.5703125" customWidth="1"/>
    <col min="4" max="4" width="17.42578125" customWidth="1"/>
    <col min="5" max="6" width="3.5703125" customWidth="1"/>
    <col min="7" max="7" width="12.5703125" bestFit="1" customWidth="1"/>
    <col min="8" max="18" width="11.42578125" customWidth="1"/>
    <col min="19" max="62" width="9.5703125" bestFit="1" customWidth="1"/>
  </cols>
  <sheetData>
    <row r="1" spans="1:27">
      <c r="A1" s="3"/>
      <c r="B1" s="3"/>
      <c r="C1" s="3"/>
      <c r="D1" s="3"/>
      <c r="E1" s="3"/>
      <c r="F1" s="3"/>
      <c r="G1" s="34"/>
      <c r="H1" s="34"/>
      <c r="I1" s="34"/>
      <c r="J1" s="34"/>
      <c r="K1" s="34"/>
      <c r="L1" s="34"/>
      <c r="M1" s="34"/>
      <c r="N1" s="34"/>
      <c r="O1" s="34"/>
      <c r="P1" s="34"/>
      <c r="Q1" s="34"/>
      <c r="R1" s="34"/>
      <c r="S1" s="34"/>
      <c r="T1" s="34"/>
      <c r="U1" s="34"/>
      <c r="V1" s="34"/>
      <c r="W1" s="34"/>
      <c r="X1" s="34"/>
      <c r="Y1" s="34"/>
      <c r="Z1" s="34"/>
      <c r="AA1" s="152"/>
    </row>
    <row r="2" spans="1:27" ht="15.75">
      <c r="A2" s="3"/>
      <c r="B2" s="3"/>
      <c r="C2" s="176" t="str">
        <f>'DMS input'!$C$16&amp;" - Total Asset Roll Forward"&amp;" - DNSP RFM - version "&amp;Intro!$M$4</f>
        <v>Aus Gas Qld - Total Asset Roll Forward - DNSP RFM - version 3</v>
      </c>
      <c r="D2" s="3"/>
      <c r="E2" s="3"/>
      <c r="F2" s="3"/>
      <c r="G2" s="3"/>
      <c r="H2" s="3"/>
      <c r="I2" s="3"/>
      <c r="J2" s="3"/>
      <c r="K2" s="3"/>
      <c r="L2" s="3"/>
      <c r="M2" s="3"/>
      <c r="N2" s="3"/>
      <c r="O2" s="3"/>
      <c r="P2" s="3"/>
      <c r="Q2" s="3"/>
      <c r="R2" s="3"/>
      <c r="S2" s="4"/>
      <c r="T2" s="4"/>
      <c r="U2" s="4"/>
      <c r="V2" s="4"/>
      <c r="W2" s="4"/>
      <c r="X2" s="4"/>
      <c r="Y2" s="4"/>
      <c r="Z2" s="4"/>
      <c r="AA2" s="152"/>
    </row>
    <row r="3" spans="1:27">
      <c r="A3" s="39"/>
      <c r="B3" s="39"/>
      <c r="C3" s="40"/>
      <c r="D3" s="39"/>
      <c r="E3" s="39"/>
      <c r="F3" s="39"/>
      <c r="G3" s="41">
        <v>0</v>
      </c>
      <c r="H3" s="41">
        <f t="shared" ref="H3:M3" si="0">G3+1</f>
        <v>1</v>
      </c>
      <c r="I3" s="41">
        <f t="shared" si="0"/>
        <v>2</v>
      </c>
      <c r="J3" s="41">
        <f t="shared" si="0"/>
        <v>3</v>
      </c>
      <c r="K3" s="41">
        <f t="shared" si="0"/>
        <v>4</v>
      </c>
      <c r="L3" s="41">
        <f t="shared" si="0"/>
        <v>5</v>
      </c>
      <c r="M3" s="41">
        <f t="shared" si="0"/>
        <v>6</v>
      </c>
      <c r="N3" s="34"/>
      <c r="O3" s="34"/>
      <c r="P3" s="34"/>
      <c r="Q3" s="34"/>
      <c r="R3" s="34"/>
      <c r="S3" s="34"/>
      <c r="T3" s="34"/>
      <c r="U3" s="34"/>
      <c r="V3" s="34"/>
      <c r="W3" s="34"/>
      <c r="X3" s="34"/>
      <c r="Y3" s="34"/>
      <c r="Z3" s="34"/>
      <c r="AA3" s="152"/>
    </row>
    <row r="4" spans="1:27" ht="15.75">
      <c r="A4" s="56"/>
      <c r="B4" s="56"/>
      <c r="C4" s="57" t="s">
        <v>2</v>
      </c>
      <c r="D4" s="56"/>
      <c r="E4" s="56"/>
      <c r="F4" s="56"/>
      <c r="G4" s="95" t="str">
        <f>'RFM input'!G60</f>
        <v>2015-16</v>
      </c>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c r="S4" s="8"/>
      <c r="T4" s="8"/>
      <c r="U4" s="8"/>
      <c r="V4" s="8"/>
      <c r="W4" s="8"/>
      <c r="X4" s="8"/>
      <c r="Y4" s="8"/>
      <c r="Z4" s="8"/>
      <c r="AA4" s="152"/>
    </row>
    <row r="5" spans="1:27">
      <c r="A5" s="124"/>
      <c r="B5" s="124"/>
      <c r="C5" s="106" t="s">
        <v>538</v>
      </c>
      <c r="D5" s="124"/>
      <c r="E5" s="124"/>
      <c r="F5" s="124"/>
      <c r="G5" s="124"/>
      <c r="H5" s="124"/>
      <c r="I5" s="124"/>
      <c r="J5" s="124"/>
      <c r="K5" s="124"/>
      <c r="L5" s="124"/>
      <c r="M5" s="124"/>
      <c r="N5" s="124"/>
      <c r="O5" s="124"/>
      <c r="P5" s="124"/>
      <c r="Q5" s="124"/>
      <c r="R5" s="124"/>
      <c r="S5" s="7"/>
      <c r="T5" s="7"/>
      <c r="U5" s="7"/>
      <c r="V5" s="7"/>
      <c r="W5" s="7"/>
      <c r="X5" s="7"/>
      <c r="Y5" s="7"/>
      <c r="Z5" s="7"/>
      <c r="AA5" s="152"/>
    </row>
    <row r="6" spans="1:27">
      <c r="A6" s="7"/>
      <c r="B6" s="7"/>
      <c r="C6" s="7"/>
      <c r="D6" s="7"/>
      <c r="E6" s="7"/>
      <c r="F6" s="7"/>
      <c r="G6" s="7"/>
      <c r="H6" s="7"/>
      <c r="I6" s="7"/>
      <c r="J6" s="7"/>
      <c r="K6" s="7"/>
      <c r="L6" s="7"/>
      <c r="M6" s="7"/>
      <c r="N6" s="7"/>
      <c r="O6" s="7"/>
      <c r="P6" s="7"/>
      <c r="Q6" s="7"/>
      <c r="R6" s="7"/>
      <c r="S6" s="7"/>
      <c r="T6" s="7"/>
      <c r="U6" s="7"/>
      <c r="V6" s="7"/>
      <c r="W6" s="7"/>
      <c r="X6" s="7"/>
      <c r="Y6" s="7"/>
      <c r="Z6" s="7"/>
      <c r="AA6" s="152"/>
    </row>
    <row r="7" spans="1:27">
      <c r="A7" s="3"/>
      <c r="B7" s="3"/>
      <c r="C7" s="29" t="s">
        <v>46</v>
      </c>
      <c r="D7" s="3"/>
      <c r="E7" s="3"/>
      <c r="F7" s="3"/>
      <c r="G7" s="1400">
        <f>SUM(G8:G57)</f>
        <v>421.65396201769516</v>
      </c>
      <c r="H7" s="1401">
        <f t="shared" ref="H7:Q7" si="1">SUM(H8:H57)</f>
        <v>421.65396201769516</v>
      </c>
      <c r="I7" s="1401">
        <f t="shared" si="1"/>
        <v>434.73676351356318</v>
      </c>
      <c r="J7" s="1401">
        <f t="shared" si="1"/>
        <v>450.14863141830102</v>
      </c>
      <c r="K7" s="1401">
        <f t="shared" si="1"/>
        <v>465.39935067113578</v>
      </c>
      <c r="L7" s="1401">
        <f t="shared" si="1"/>
        <v>477.67489281319956</v>
      </c>
      <c r="M7" s="1401">
        <f t="shared" si="1"/>
        <v>482.40120980953736</v>
      </c>
      <c r="N7" s="1401">
        <f t="shared" si="1"/>
        <v>505.24049114016162</v>
      </c>
      <c r="O7" s="1401">
        <f t="shared" si="1"/>
        <v>0</v>
      </c>
      <c r="P7" s="1401">
        <f t="shared" si="1"/>
        <v>0</v>
      </c>
      <c r="Q7" s="1401">
        <f t="shared" si="1"/>
        <v>0</v>
      </c>
      <c r="R7" s="1340"/>
      <c r="S7" s="90"/>
      <c r="T7" s="90"/>
      <c r="U7" s="90"/>
      <c r="V7" s="90"/>
      <c r="W7" s="90"/>
      <c r="X7" s="90"/>
      <c r="Y7" s="90"/>
      <c r="Z7" s="90"/>
      <c r="AA7" s="152"/>
    </row>
    <row r="8" spans="1:27" hidden="1" outlineLevel="1">
      <c r="A8" s="3"/>
      <c r="B8" s="3"/>
      <c r="C8" s="3"/>
      <c r="D8" s="133" t="str">
        <f>Asset1</f>
        <v>Mains</v>
      </c>
      <c r="E8" s="3"/>
      <c r="F8" s="3"/>
      <c r="G8" s="1393">
        <f>'Capital Base roll forward'!G718</f>
        <v>307.40493907947723</v>
      </c>
      <c r="H8" s="1341">
        <f t="shared" ref="H8:H37" si="2">G8+G60+G112+G164+G216+G268</f>
        <v>307.40493907947723</v>
      </c>
      <c r="I8" s="1341">
        <f t="shared" ref="I8:I37" si="3">H8+H60+H112</f>
        <v>314.74891535956482</v>
      </c>
      <c r="J8" s="1341">
        <f>IF(COUNT($H8:I8)&gt;='RFM input'!$V$7,0,I8+I60+I112)</f>
        <v>324.32859013669815</v>
      </c>
      <c r="K8" s="1341">
        <f>IF(COUNT($H8:J8)&gt;='RFM input'!$V$7,0,J8+J60+J112)</f>
        <v>332.89836026094565</v>
      </c>
      <c r="L8" s="1341">
        <f>IF(COUNT($H8:K8)&gt;='RFM input'!$V$7,0,K8+K60+K112)</f>
        <v>339.85046169830309</v>
      </c>
      <c r="M8" s="1341">
        <f>IF(COUNT($H8:L8)&gt;='RFM input'!$V$7,0,L8+L60+L112)</f>
        <v>341.33512544814488</v>
      </c>
      <c r="N8" s="1341">
        <f>IF(COUNT($H8:M8)&gt;='RFM input'!$V$7,0,M8+M60+M112)</f>
        <v>358.78718258667448</v>
      </c>
      <c r="O8" s="1341">
        <f>IF(COUNT($H8:N8)&gt;='RFM input'!$V$7,0,N8+N60+N112)</f>
        <v>0</v>
      </c>
      <c r="P8" s="1341">
        <f>IF(COUNT($H8:O8)&gt;='RFM input'!$V$7,0,O8+O60+O112)</f>
        <v>0</v>
      </c>
      <c r="Q8" s="1341">
        <f>IF(COUNT($H8:P8)&gt;='RFM input'!$V$7,0,P8+P60+P112)</f>
        <v>0</v>
      </c>
      <c r="R8" s="1341"/>
      <c r="S8" s="3"/>
      <c r="T8" s="3"/>
      <c r="U8" s="3"/>
      <c r="V8" s="3"/>
      <c r="W8" s="3"/>
      <c r="X8" s="3"/>
      <c r="Y8" s="3"/>
      <c r="Z8" s="3"/>
      <c r="AA8" s="152"/>
    </row>
    <row r="9" spans="1:27" hidden="1" outlineLevel="1">
      <c r="A9" s="3"/>
      <c r="B9" s="3"/>
      <c r="C9" s="29"/>
      <c r="D9" s="133" t="str">
        <f>Asset2</f>
        <v>Inlets</v>
      </c>
      <c r="E9" s="3"/>
      <c r="F9" s="3"/>
      <c r="G9" s="1393">
        <f>'Capital Base roll forward'!G719</f>
        <v>74.835251396459029</v>
      </c>
      <c r="H9" s="1341">
        <f t="shared" si="2"/>
        <v>74.835251396459029</v>
      </c>
      <c r="I9" s="1341">
        <f t="shared" si="3"/>
        <v>79.255337327788752</v>
      </c>
      <c r="J9" s="1341">
        <f>IF(COUNT($H9:I9)&gt;='RFM input'!$V$7,0,I9+I61+I113)</f>
        <v>84.320154286752611</v>
      </c>
      <c r="K9" s="1341">
        <f>IF(COUNT($H9:J9)&gt;='RFM input'!$V$7,0,J9+J61+J113)</f>
        <v>89.589789575819339</v>
      </c>
      <c r="L9" s="1341">
        <f>IF(COUNT($H9:K9)&gt;='RFM input'!$V$7,0,K9+K61+K113)</f>
        <v>94.12095959338366</v>
      </c>
      <c r="M9" s="1341">
        <f>IF(COUNT($H9:L9)&gt;='RFM input'!$V$7,0,L9+L61+L113)</f>
        <v>98.28816752154583</v>
      </c>
      <c r="N9" s="1341">
        <f>IF(COUNT($H9:M9)&gt;='RFM input'!$V$7,0,M9+M61+M113)</f>
        <v>103.64577089855227</v>
      </c>
      <c r="O9" s="1341">
        <f>IF(COUNT($H9:N9)&gt;='RFM input'!$V$7,0,N9+N61+N113)</f>
        <v>0</v>
      </c>
      <c r="P9" s="1341">
        <f>IF(COUNT($H9:O9)&gt;='RFM input'!$V$7,0,O9+O61+O113)</f>
        <v>0</v>
      </c>
      <c r="Q9" s="1341">
        <f>IF(COUNT($H9:P9)&gt;='RFM input'!$V$7,0,P9+P61+P113)</f>
        <v>0</v>
      </c>
      <c r="R9" s="1341"/>
      <c r="S9" s="71"/>
      <c r="T9" s="71"/>
      <c r="U9" s="71"/>
      <c r="V9" s="71"/>
      <c r="W9" s="71"/>
      <c r="X9" s="71"/>
      <c r="Y9" s="71"/>
      <c r="Z9" s="71"/>
      <c r="AA9" s="152"/>
    </row>
    <row r="10" spans="1:27" hidden="1" outlineLevel="1">
      <c r="A10" s="3"/>
      <c r="B10" s="3"/>
      <c r="C10" s="29"/>
      <c r="D10" s="133" t="str">
        <f>Asset3</f>
        <v>Meters</v>
      </c>
      <c r="E10" s="3"/>
      <c r="F10" s="3"/>
      <c r="G10" s="1393">
        <f>'Capital Base roll forward'!G720</f>
        <v>24.328597289033493</v>
      </c>
      <c r="H10" s="1341">
        <f t="shared" si="2"/>
        <v>24.328597289033493</v>
      </c>
      <c r="I10" s="1341">
        <f t="shared" si="3"/>
        <v>24.687938701905662</v>
      </c>
      <c r="J10" s="1341">
        <f>IF(COUNT($H10:I10)&gt;='RFM input'!$V$7,0,I10+I62+I114)</f>
        <v>24.960877441283319</v>
      </c>
      <c r="K10" s="1341">
        <f>IF(COUNT($H10:J10)&gt;='RFM input'!$V$7,0,J10+J62+J114)</f>
        <v>25.493719500278662</v>
      </c>
      <c r="L10" s="1341">
        <f>IF(COUNT($H10:K10)&gt;='RFM input'!$V$7,0,K10+K62+K114)</f>
        <v>24.034605693422598</v>
      </c>
      <c r="M10" s="1341">
        <f>IF(COUNT($H10:L10)&gt;='RFM input'!$V$7,0,L10+L62+L114)</f>
        <v>22.346605418813933</v>
      </c>
      <c r="N10" s="1341">
        <f>IF(COUNT($H10:M10)&gt;='RFM input'!$V$7,0,M10+M62+M114)</f>
        <v>20.947427082876199</v>
      </c>
      <c r="O10" s="1341">
        <f>IF(COUNT($H10:N10)&gt;='RFM input'!$V$7,0,N10+N62+N114)</f>
        <v>0</v>
      </c>
      <c r="P10" s="1341">
        <f>IF(COUNT($H10:O10)&gt;='RFM input'!$V$7,0,O10+O62+O114)</f>
        <v>0</v>
      </c>
      <c r="Q10" s="1341">
        <f>IF(COUNT($H10:P10)&gt;='RFM input'!$V$7,0,P10+P62+P114)</f>
        <v>0</v>
      </c>
      <c r="R10" s="1341"/>
      <c r="S10" s="71"/>
      <c r="T10" s="71"/>
      <c r="U10" s="71"/>
      <c r="V10" s="71"/>
      <c r="W10" s="71"/>
      <c r="X10" s="71"/>
      <c r="Y10" s="71"/>
      <c r="Z10" s="71"/>
      <c r="AA10" s="152"/>
    </row>
    <row r="11" spans="1:27" hidden="1" outlineLevel="1">
      <c r="A11" s="3"/>
      <c r="B11" s="3"/>
      <c r="C11" s="29"/>
      <c r="D11" s="133" t="str">
        <f>Asset4</f>
        <v>Telemetry</v>
      </c>
      <c r="E11" s="3"/>
      <c r="F11" s="3"/>
      <c r="G11" s="1393">
        <f>'Capital Base roll forward'!G721</f>
        <v>-0.58034433790308881</v>
      </c>
      <c r="H11" s="1341">
        <f t="shared" si="2"/>
        <v>-0.58034433790308881</v>
      </c>
      <c r="I11" s="1341">
        <f t="shared" si="3"/>
        <v>-2.2758342565681322E-2</v>
      </c>
      <c r="J11" s="1341">
        <f>IF(COUNT($H11:I11)&gt;='RFM input'!$V$7,0,I11+I63+I115)</f>
        <v>0.30108128613513441</v>
      </c>
      <c r="K11" s="1341">
        <f>IF(COUNT($H11:J11)&gt;='RFM input'!$V$7,0,J11+J63+J115)</f>
        <v>0.49881976198016753</v>
      </c>
      <c r="L11" s="1341">
        <f>IF(COUNT($H11:K11)&gt;='RFM input'!$V$7,0,K11+K63+K115)</f>
        <v>0.67888734002817075</v>
      </c>
      <c r="M11" s="1341">
        <f>IF(COUNT($H11:L11)&gt;='RFM input'!$V$7,0,L11+L63+L115)</f>
        <v>0.71255672177786167</v>
      </c>
      <c r="N11" s="1341">
        <f>IF(COUNT($H11:M11)&gt;='RFM input'!$V$7,0,M11+M63+M115)</f>
        <v>0.75701677619331875</v>
      </c>
      <c r="O11" s="1341">
        <f>IF(COUNT($H11:N11)&gt;='RFM input'!$V$7,0,N11+N63+N115)</f>
        <v>0</v>
      </c>
      <c r="P11" s="1341">
        <f>IF(COUNT($H11:O11)&gt;='RFM input'!$V$7,0,O11+O63+O115)</f>
        <v>0</v>
      </c>
      <c r="Q11" s="1341">
        <f>IF(COUNT($H11:P11)&gt;='RFM input'!$V$7,0,P11+P63+P115)</f>
        <v>0</v>
      </c>
      <c r="R11" s="1341"/>
      <c r="S11" s="71"/>
      <c r="T11" s="71"/>
      <c r="U11" s="71"/>
      <c r="V11" s="71"/>
      <c r="W11" s="71"/>
      <c r="X11" s="71"/>
      <c r="Y11" s="71"/>
      <c r="Z11" s="71"/>
      <c r="AA11" s="152"/>
    </row>
    <row r="12" spans="1:27" hidden="1" outlineLevel="1">
      <c r="A12" s="3"/>
      <c r="B12" s="3"/>
      <c r="C12" s="29"/>
      <c r="D12" s="133" t="str">
        <f>Asset5</f>
        <v>IT System</v>
      </c>
      <c r="E12" s="3"/>
      <c r="F12" s="3"/>
      <c r="G12" s="1393">
        <f>'Capital Base roll forward'!G722</f>
        <v>6.3057802613645082</v>
      </c>
      <c r="H12" s="1341">
        <f t="shared" si="2"/>
        <v>6.3057802613645082</v>
      </c>
      <c r="I12" s="1341">
        <f t="shared" si="3"/>
        <v>5.8740359488609668</v>
      </c>
      <c r="J12" s="1341">
        <f>IF(COUNT($H12:I12)&gt;='RFM input'!$V$7,0,I12+I64+I116)</f>
        <v>5.7470783253470232</v>
      </c>
      <c r="K12" s="1341">
        <f>IF(COUNT($H12:J12)&gt;='RFM input'!$V$7,0,J12+J64+J116)</f>
        <v>5.870103009037968</v>
      </c>
      <c r="L12" s="1341">
        <f>IF(COUNT($H12:K12)&gt;='RFM input'!$V$7,0,K12+K64+K116)</f>
        <v>6.3556378172263512</v>
      </c>
      <c r="M12" s="1341">
        <f>IF(COUNT($H12:L12)&gt;='RFM input'!$V$7,0,L12+L64+L116)</f>
        <v>6.5394053343188467</v>
      </c>
      <c r="N12" s="1341">
        <f>IF(COUNT($H12:M12)&gt;='RFM input'!$V$7,0,M12+M64+M116)</f>
        <v>7.0362298316417089</v>
      </c>
      <c r="O12" s="1341">
        <f>IF(COUNT($H12:N12)&gt;='RFM input'!$V$7,0,N12+N64+N116)</f>
        <v>0</v>
      </c>
      <c r="P12" s="1341">
        <f>IF(COUNT($H12:O12)&gt;='RFM input'!$V$7,0,O12+O64+O116)</f>
        <v>0</v>
      </c>
      <c r="Q12" s="1341">
        <f>IF(COUNT($H12:P12)&gt;='RFM input'!$V$7,0,P12+P64+P116)</f>
        <v>0</v>
      </c>
      <c r="R12" s="1341"/>
      <c r="S12" s="71"/>
      <c r="T12" s="71"/>
      <c r="U12" s="71"/>
      <c r="V12" s="71"/>
      <c r="W12" s="71"/>
      <c r="X12" s="71"/>
      <c r="Y12" s="71"/>
      <c r="Z12" s="71"/>
      <c r="AA12" s="152"/>
    </row>
    <row r="13" spans="1:27" hidden="1" outlineLevel="1">
      <c r="A13" s="3"/>
      <c r="B13" s="3"/>
      <c r="C13" s="29"/>
      <c r="D13" s="133" t="str">
        <f>Asset6</f>
        <v>Other Distribution System Equipment</v>
      </c>
      <c r="E13" s="3"/>
      <c r="F13" s="3"/>
      <c r="G13" s="1393">
        <f>'Capital Base roll forward'!G723</f>
        <v>9.3811826906979316</v>
      </c>
      <c r="H13" s="1341">
        <f t="shared" si="2"/>
        <v>9.3811826906979316</v>
      </c>
      <c r="I13" s="1341">
        <f t="shared" si="3"/>
        <v>10.24471524130473</v>
      </c>
      <c r="J13" s="1341">
        <f>IF(COUNT($H13:I13)&gt;='RFM input'!$V$7,0,I13+I65+I117)</f>
        <v>10.540242571380944</v>
      </c>
      <c r="K13" s="1341">
        <f>IF(COUNT($H13:J13)&gt;='RFM input'!$V$7,0,J13+J65+J117)</f>
        <v>11.095765195346914</v>
      </c>
      <c r="L13" s="1341">
        <f>IF(COUNT($H13:K13)&gt;='RFM input'!$V$7,0,K13+K65+K117)</f>
        <v>12.679294192426374</v>
      </c>
      <c r="M13" s="1341">
        <f>IF(COUNT($H13:L13)&gt;='RFM input'!$V$7,0,L13+L65+L117)</f>
        <v>13.221510083307749</v>
      </c>
      <c r="N13" s="1341">
        <f>IF(COUNT($H13:M13)&gt;='RFM input'!$V$7,0,M13+M65+M117)</f>
        <v>14.107292841897515</v>
      </c>
      <c r="O13" s="1341">
        <f>IF(COUNT($H13:N13)&gt;='RFM input'!$V$7,0,N13+N65+N117)</f>
        <v>0</v>
      </c>
      <c r="P13" s="1341">
        <f>IF(COUNT($H13:O13)&gt;='RFM input'!$V$7,0,O13+O65+O117)</f>
        <v>0</v>
      </c>
      <c r="Q13" s="1341">
        <f>IF(COUNT($H13:P13)&gt;='RFM input'!$V$7,0,P13+P65+P117)</f>
        <v>0</v>
      </c>
      <c r="R13" s="1341"/>
      <c r="S13" s="71"/>
      <c r="T13" s="71"/>
      <c r="U13" s="71"/>
      <c r="V13" s="71"/>
      <c r="W13" s="71"/>
      <c r="X13" s="71"/>
      <c r="Y13" s="71"/>
      <c r="Z13" s="71"/>
      <c r="AA13" s="152"/>
    </row>
    <row r="14" spans="1:27" hidden="1" outlineLevel="1">
      <c r="A14" s="3"/>
      <c r="B14" s="3"/>
      <c r="C14" s="29"/>
      <c r="D14" s="133" t="str">
        <f>Asset7</f>
        <v>Other</v>
      </c>
      <c r="E14" s="3"/>
      <c r="F14" s="3"/>
      <c r="G14" s="1393">
        <f>'Capital Base roll forward'!G724</f>
        <v>-2.144436143397346E-2</v>
      </c>
      <c r="H14" s="1341">
        <f t="shared" si="2"/>
        <v>-2.144436143397346E-2</v>
      </c>
      <c r="I14" s="1341">
        <f t="shared" si="3"/>
        <v>-5.142072329607892E-2</v>
      </c>
      <c r="J14" s="1341">
        <f>IF(COUNT($H14:I14)&gt;='RFM input'!$V$7,0,I14+I66+I118)</f>
        <v>-4.9392629296192425E-2</v>
      </c>
      <c r="K14" s="1341">
        <f>IF(COUNT($H14:J14)&gt;='RFM input'!$V$7,0,J14+J66+J118)</f>
        <v>-4.7206632272896884E-2</v>
      </c>
      <c r="L14" s="1341">
        <f>IF(COUNT($H14:K14)&gt;='RFM input'!$V$7,0,K14+K66+K118)</f>
        <v>-4.4953521590624261E-2</v>
      </c>
      <c r="M14" s="1341">
        <f>IF(COUNT($H14:L14)&gt;='RFM input'!$V$7,0,L14+L66+L118)</f>
        <v>-4.2160718371736822E-2</v>
      </c>
      <c r="N14" s="1341">
        <f>IF(COUNT($H14:M14)&gt;='RFM input'!$V$7,0,M14+M66+M118)</f>
        <v>-4.0428877673857708E-2</v>
      </c>
      <c r="O14" s="1341">
        <f>IF(COUNT($H14:N14)&gt;='RFM input'!$V$7,0,N14+N66+N118)</f>
        <v>0</v>
      </c>
      <c r="P14" s="1341">
        <f>IF(COUNT($H14:O14)&gt;='RFM input'!$V$7,0,O14+O66+O118)</f>
        <v>0</v>
      </c>
      <c r="Q14" s="1341">
        <f>IF(COUNT($H14:P14)&gt;='RFM input'!$V$7,0,P14+P66+P118)</f>
        <v>0</v>
      </c>
      <c r="R14" s="1341"/>
      <c r="S14" s="71"/>
      <c r="T14" s="71"/>
      <c r="U14" s="71"/>
      <c r="V14" s="71"/>
      <c r="W14" s="71"/>
      <c r="X14" s="71"/>
      <c r="Y14" s="71"/>
      <c r="Z14" s="71"/>
      <c r="AA14" s="152"/>
    </row>
    <row r="15" spans="1:27" hidden="1" outlineLevel="1">
      <c r="A15" s="3"/>
      <c r="B15" s="3"/>
      <c r="C15" s="29"/>
      <c r="D15" s="133">
        <f>Asset8</f>
        <v>0</v>
      </c>
      <c r="E15" s="3"/>
      <c r="F15" s="3"/>
      <c r="G15" s="1393">
        <f>'Capital Base roll forward'!G725</f>
        <v>0</v>
      </c>
      <c r="H15" s="1341">
        <f t="shared" si="2"/>
        <v>0</v>
      </c>
      <c r="I15" s="1341">
        <f t="shared" si="3"/>
        <v>0</v>
      </c>
      <c r="J15" s="1341">
        <f>IF(COUNT($H15:I15)&gt;='RFM input'!$V$7,0,I15+I67+I119)</f>
        <v>0</v>
      </c>
      <c r="K15" s="1341">
        <f>IF(COUNT($H15:J15)&gt;='RFM input'!$V$7,0,J15+J67+J119)</f>
        <v>0</v>
      </c>
      <c r="L15" s="1341">
        <f>IF(COUNT($H15:K15)&gt;='RFM input'!$V$7,0,K15+K67+K119)</f>
        <v>0</v>
      </c>
      <c r="M15" s="1341">
        <f>IF(COUNT($H15:L15)&gt;='RFM input'!$V$7,0,L15+L67+L119)</f>
        <v>0</v>
      </c>
      <c r="N15" s="1341">
        <f>IF(COUNT($H15:M15)&gt;='RFM input'!$V$7,0,M15+M67+M119)</f>
        <v>0</v>
      </c>
      <c r="O15" s="1341">
        <f>IF(COUNT($H15:N15)&gt;='RFM input'!$V$7,0,N15+N67+N119)</f>
        <v>0</v>
      </c>
      <c r="P15" s="1341">
        <f>IF(COUNT($H15:O15)&gt;='RFM input'!$V$7,0,O15+O67+O119)</f>
        <v>0</v>
      </c>
      <c r="Q15" s="1341">
        <f>IF(COUNT($H15:P15)&gt;='RFM input'!$V$7,0,P15+P67+P119)</f>
        <v>0</v>
      </c>
      <c r="R15" s="1341"/>
      <c r="S15" s="71"/>
      <c r="T15" s="71"/>
      <c r="U15" s="71"/>
      <c r="V15" s="71"/>
      <c r="W15" s="71"/>
      <c r="X15" s="71"/>
      <c r="Y15" s="71"/>
      <c r="Z15" s="71"/>
      <c r="AA15" s="152"/>
    </row>
    <row r="16" spans="1:27" hidden="1" outlineLevel="1">
      <c r="A16" s="3"/>
      <c r="B16" s="3"/>
      <c r="C16" s="29"/>
      <c r="D16" s="133">
        <f>Asset9</f>
        <v>0</v>
      </c>
      <c r="E16" s="3"/>
      <c r="F16" s="3"/>
      <c r="G16" s="1393">
        <f>'Capital Base roll forward'!G726</f>
        <v>0</v>
      </c>
      <c r="H16" s="1341">
        <f t="shared" si="2"/>
        <v>0</v>
      </c>
      <c r="I16" s="1341">
        <f t="shared" si="3"/>
        <v>0</v>
      </c>
      <c r="J16" s="1341">
        <f>IF(COUNT($H16:I16)&gt;='RFM input'!$V$7,0,I16+I68+I120)</f>
        <v>0</v>
      </c>
      <c r="K16" s="1341">
        <f>IF(COUNT($H16:J16)&gt;='RFM input'!$V$7,0,J16+J68+J120)</f>
        <v>0</v>
      </c>
      <c r="L16" s="1341">
        <f>IF(COUNT($H16:K16)&gt;='RFM input'!$V$7,0,K16+K68+K120)</f>
        <v>0</v>
      </c>
      <c r="M16" s="1341">
        <f>IF(COUNT($H16:L16)&gt;='RFM input'!$V$7,0,L16+L68+L120)</f>
        <v>0</v>
      </c>
      <c r="N16" s="1341">
        <f>IF(COUNT($H16:M16)&gt;='RFM input'!$V$7,0,M16+M68+M120)</f>
        <v>0</v>
      </c>
      <c r="O16" s="1341">
        <f>IF(COUNT($H16:N16)&gt;='RFM input'!$V$7,0,N16+N68+N120)</f>
        <v>0</v>
      </c>
      <c r="P16" s="1341">
        <f>IF(COUNT($H16:O16)&gt;='RFM input'!$V$7,0,O16+O68+O120)</f>
        <v>0</v>
      </c>
      <c r="Q16" s="1341">
        <f>IF(COUNT($H16:P16)&gt;='RFM input'!$V$7,0,P16+P68+P120)</f>
        <v>0</v>
      </c>
      <c r="R16" s="1341"/>
      <c r="S16" s="71"/>
      <c r="T16" s="71"/>
      <c r="U16" s="71"/>
      <c r="V16" s="71"/>
      <c r="W16" s="71"/>
      <c r="X16" s="71"/>
      <c r="Y16" s="71"/>
      <c r="Z16" s="71"/>
      <c r="AA16" s="152"/>
    </row>
    <row r="17" spans="1:27" hidden="1" outlineLevel="1">
      <c r="A17" s="3"/>
      <c r="B17" s="3"/>
      <c r="C17" s="29"/>
      <c r="D17" s="133">
        <f>Asset10</f>
        <v>0</v>
      </c>
      <c r="E17" s="3"/>
      <c r="F17" s="3"/>
      <c r="G17" s="1393">
        <f>'Capital Base roll forward'!G727</f>
        <v>0</v>
      </c>
      <c r="H17" s="1341">
        <f t="shared" si="2"/>
        <v>0</v>
      </c>
      <c r="I17" s="1341">
        <f t="shared" si="3"/>
        <v>0</v>
      </c>
      <c r="J17" s="1341">
        <f>IF(COUNT($H17:I17)&gt;='RFM input'!$V$7,0,I17+I69+I121)</f>
        <v>0</v>
      </c>
      <c r="K17" s="1341">
        <f>IF(COUNT($H17:J17)&gt;='RFM input'!$V$7,0,J17+J69+J121)</f>
        <v>0</v>
      </c>
      <c r="L17" s="1341">
        <f>IF(COUNT($H17:K17)&gt;='RFM input'!$V$7,0,K17+K69+K121)</f>
        <v>0</v>
      </c>
      <c r="M17" s="1341">
        <f>IF(COUNT($H17:L17)&gt;='RFM input'!$V$7,0,L17+L69+L121)</f>
        <v>0</v>
      </c>
      <c r="N17" s="1341">
        <f>IF(COUNT($H17:M17)&gt;='RFM input'!$V$7,0,M17+M69+M121)</f>
        <v>0</v>
      </c>
      <c r="O17" s="1341">
        <f>IF(COUNT($H17:N17)&gt;='RFM input'!$V$7,0,N17+N69+N121)</f>
        <v>0</v>
      </c>
      <c r="P17" s="1341">
        <f>IF(COUNT($H17:O17)&gt;='RFM input'!$V$7,0,O17+O69+O121)</f>
        <v>0</v>
      </c>
      <c r="Q17" s="1341">
        <f>IF(COUNT($H17:P17)&gt;='RFM input'!$V$7,0,P17+P69+P121)</f>
        <v>0</v>
      </c>
      <c r="R17" s="1341"/>
      <c r="S17" s="71"/>
      <c r="T17" s="71"/>
      <c r="U17" s="71"/>
      <c r="V17" s="71"/>
      <c r="W17" s="71"/>
      <c r="X17" s="71"/>
      <c r="Y17" s="71"/>
      <c r="Z17" s="71"/>
      <c r="AA17" s="152"/>
    </row>
    <row r="18" spans="1:27" hidden="1" outlineLevel="1">
      <c r="A18" s="3"/>
      <c r="B18" s="3"/>
      <c r="C18" s="29"/>
      <c r="D18" s="133">
        <f>Asset11</f>
        <v>0</v>
      </c>
      <c r="E18" s="3"/>
      <c r="F18" s="3"/>
      <c r="G18" s="1393">
        <f>'Capital Base roll forward'!G728</f>
        <v>0</v>
      </c>
      <c r="H18" s="1341">
        <f t="shared" si="2"/>
        <v>0</v>
      </c>
      <c r="I18" s="1341">
        <f t="shared" si="3"/>
        <v>0</v>
      </c>
      <c r="J18" s="1341">
        <f>IF(COUNT($H18:I18)&gt;='RFM input'!$V$7,0,I18+I70+I122)</f>
        <v>0</v>
      </c>
      <c r="K18" s="1341">
        <f>IF(COUNT($H18:J18)&gt;='RFM input'!$V$7,0,J18+J70+J122)</f>
        <v>0</v>
      </c>
      <c r="L18" s="1341">
        <f>IF(COUNT($H18:K18)&gt;='RFM input'!$V$7,0,K18+K70+K122)</f>
        <v>0</v>
      </c>
      <c r="M18" s="1341">
        <f>IF(COUNT($H18:L18)&gt;='RFM input'!$V$7,0,L18+L70+L122)</f>
        <v>0</v>
      </c>
      <c r="N18" s="1341">
        <f>IF(COUNT($H18:M18)&gt;='RFM input'!$V$7,0,M18+M70+M122)</f>
        <v>0</v>
      </c>
      <c r="O18" s="1341">
        <f>IF(COUNT($H18:N18)&gt;='RFM input'!$V$7,0,N18+N70+N122)</f>
        <v>0</v>
      </c>
      <c r="P18" s="1341">
        <f>IF(COUNT($H18:O18)&gt;='RFM input'!$V$7,0,O18+O70+O122)</f>
        <v>0</v>
      </c>
      <c r="Q18" s="1341">
        <f>IF(COUNT($H18:P18)&gt;='RFM input'!$V$7,0,P18+P70+P122)</f>
        <v>0</v>
      </c>
      <c r="R18" s="1341"/>
      <c r="S18" s="71"/>
      <c r="T18" s="71"/>
      <c r="U18" s="71"/>
      <c r="V18" s="71"/>
      <c r="W18" s="71"/>
      <c r="X18" s="71"/>
      <c r="Y18" s="71"/>
      <c r="Z18" s="71"/>
      <c r="AA18" s="152"/>
    </row>
    <row r="19" spans="1:27" hidden="1" outlineLevel="1">
      <c r="A19" s="3"/>
      <c r="B19" s="3"/>
      <c r="C19" s="29"/>
      <c r="D19" s="133">
        <f>Asset12</f>
        <v>0</v>
      </c>
      <c r="E19" s="3"/>
      <c r="F19" s="3"/>
      <c r="G19" s="1393">
        <f>'Capital Base roll forward'!G729</f>
        <v>0</v>
      </c>
      <c r="H19" s="1341">
        <f t="shared" si="2"/>
        <v>0</v>
      </c>
      <c r="I19" s="1341">
        <f t="shared" si="3"/>
        <v>0</v>
      </c>
      <c r="J19" s="1341">
        <f>IF(COUNT($H19:I19)&gt;='RFM input'!$V$7,0,I19+I71+I123)</f>
        <v>0</v>
      </c>
      <c r="K19" s="1341">
        <f>IF(COUNT($H19:J19)&gt;='RFM input'!$V$7,0,J19+J71+J123)</f>
        <v>0</v>
      </c>
      <c r="L19" s="1341">
        <f>IF(COUNT($H19:K19)&gt;='RFM input'!$V$7,0,K19+K71+K123)</f>
        <v>0</v>
      </c>
      <c r="M19" s="1341">
        <f>IF(COUNT($H19:L19)&gt;='RFM input'!$V$7,0,L19+L71+L123)</f>
        <v>0</v>
      </c>
      <c r="N19" s="1341">
        <f>IF(COUNT($H19:M19)&gt;='RFM input'!$V$7,0,M19+M71+M123)</f>
        <v>0</v>
      </c>
      <c r="O19" s="1341">
        <f>IF(COUNT($H19:N19)&gt;='RFM input'!$V$7,0,N19+N71+N123)</f>
        <v>0</v>
      </c>
      <c r="P19" s="1341">
        <f>IF(COUNT($H19:O19)&gt;='RFM input'!$V$7,0,O19+O71+O123)</f>
        <v>0</v>
      </c>
      <c r="Q19" s="1341">
        <f>IF(COUNT($H19:P19)&gt;='RFM input'!$V$7,0,P19+P71+P123)</f>
        <v>0</v>
      </c>
      <c r="R19" s="1341"/>
      <c r="S19" s="71"/>
      <c r="T19" s="71"/>
      <c r="U19" s="71"/>
      <c r="V19" s="71"/>
      <c r="W19" s="71"/>
      <c r="X19" s="71"/>
      <c r="Y19" s="71"/>
      <c r="Z19" s="71"/>
      <c r="AA19" s="152"/>
    </row>
    <row r="20" spans="1:27" hidden="1" outlineLevel="1">
      <c r="A20" s="3"/>
      <c r="B20" s="3"/>
      <c r="C20" s="29"/>
      <c r="D20" s="133">
        <f>Asset13</f>
        <v>0</v>
      </c>
      <c r="E20" s="3"/>
      <c r="F20" s="3"/>
      <c r="G20" s="1393">
        <f>'Capital Base roll forward'!G730</f>
        <v>0</v>
      </c>
      <c r="H20" s="1341">
        <f t="shared" si="2"/>
        <v>0</v>
      </c>
      <c r="I20" s="1341">
        <f t="shared" si="3"/>
        <v>0</v>
      </c>
      <c r="J20" s="1341">
        <f>IF(COUNT($H20:I20)&gt;='RFM input'!$V$7,0,I20+I72+I124)</f>
        <v>0</v>
      </c>
      <c r="K20" s="1341">
        <f>IF(COUNT($H20:J20)&gt;='RFM input'!$V$7,0,J20+J72+J124)</f>
        <v>0</v>
      </c>
      <c r="L20" s="1341">
        <f>IF(COUNT($H20:K20)&gt;='RFM input'!$V$7,0,K20+K72+K124)</f>
        <v>0</v>
      </c>
      <c r="M20" s="1341">
        <f>IF(COUNT($H20:L20)&gt;='RFM input'!$V$7,0,L20+L72+L124)</f>
        <v>0</v>
      </c>
      <c r="N20" s="1341">
        <f>IF(COUNT($H20:M20)&gt;='RFM input'!$V$7,0,M20+M72+M124)</f>
        <v>0</v>
      </c>
      <c r="O20" s="1341">
        <f>IF(COUNT($H20:N20)&gt;='RFM input'!$V$7,0,N20+N72+N124)</f>
        <v>0</v>
      </c>
      <c r="P20" s="1341">
        <f>IF(COUNT($H20:O20)&gt;='RFM input'!$V$7,0,O20+O72+O124)</f>
        <v>0</v>
      </c>
      <c r="Q20" s="1341">
        <f>IF(COUNT($H20:P20)&gt;='RFM input'!$V$7,0,P20+P72+P124)</f>
        <v>0</v>
      </c>
      <c r="R20" s="1341"/>
      <c r="S20" s="71"/>
      <c r="T20" s="71"/>
      <c r="U20" s="71"/>
      <c r="V20" s="71"/>
      <c r="W20" s="71"/>
      <c r="X20" s="71"/>
      <c r="Y20" s="71"/>
      <c r="Z20" s="71"/>
      <c r="AA20" s="152"/>
    </row>
    <row r="21" spans="1:27" hidden="1" outlineLevel="1">
      <c r="A21" s="3"/>
      <c r="B21" s="3"/>
      <c r="C21" s="29"/>
      <c r="D21" s="133">
        <f>Asset14</f>
        <v>0</v>
      </c>
      <c r="E21" s="3"/>
      <c r="F21" s="3"/>
      <c r="G21" s="1393">
        <f>'Capital Base roll forward'!G731</f>
        <v>0</v>
      </c>
      <c r="H21" s="1341">
        <f t="shared" si="2"/>
        <v>0</v>
      </c>
      <c r="I21" s="1341">
        <f t="shared" si="3"/>
        <v>0</v>
      </c>
      <c r="J21" s="1341">
        <f>IF(COUNT($H21:I21)&gt;='RFM input'!$V$7,0,I21+I73+I125)</f>
        <v>0</v>
      </c>
      <c r="K21" s="1341">
        <f>IF(COUNT($H21:J21)&gt;='RFM input'!$V$7,0,J21+J73+J125)</f>
        <v>0</v>
      </c>
      <c r="L21" s="1341">
        <f>IF(COUNT($H21:K21)&gt;='RFM input'!$V$7,0,K21+K73+K125)</f>
        <v>0</v>
      </c>
      <c r="M21" s="1341">
        <f>IF(COUNT($H21:L21)&gt;='RFM input'!$V$7,0,L21+L73+L125)</f>
        <v>0</v>
      </c>
      <c r="N21" s="1341">
        <f>IF(COUNT($H21:M21)&gt;='RFM input'!$V$7,0,M21+M73+M125)</f>
        <v>0</v>
      </c>
      <c r="O21" s="1341">
        <f>IF(COUNT($H21:N21)&gt;='RFM input'!$V$7,0,N21+N73+N125)</f>
        <v>0</v>
      </c>
      <c r="P21" s="1341">
        <f>IF(COUNT($H21:O21)&gt;='RFM input'!$V$7,0,O21+O73+O125)</f>
        <v>0</v>
      </c>
      <c r="Q21" s="1341">
        <f>IF(COUNT($H21:P21)&gt;='RFM input'!$V$7,0,P21+P73+P125)</f>
        <v>0</v>
      </c>
      <c r="R21" s="1341"/>
      <c r="S21" s="71"/>
      <c r="T21" s="71"/>
      <c r="U21" s="71"/>
      <c r="V21" s="71"/>
      <c r="W21" s="71"/>
      <c r="X21" s="71"/>
      <c r="Y21" s="71"/>
      <c r="Z21" s="71"/>
      <c r="AA21" s="152"/>
    </row>
    <row r="22" spans="1:27" hidden="1" outlineLevel="1">
      <c r="A22" s="3"/>
      <c r="B22" s="3"/>
      <c r="C22" s="29"/>
      <c r="D22" s="133">
        <f>Asset15</f>
        <v>0</v>
      </c>
      <c r="E22" s="3"/>
      <c r="F22" s="3"/>
      <c r="G22" s="1393">
        <f>'Capital Base roll forward'!G732</f>
        <v>0</v>
      </c>
      <c r="H22" s="1341">
        <f t="shared" si="2"/>
        <v>0</v>
      </c>
      <c r="I22" s="1341">
        <f t="shared" si="3"/>
        <v>0</v>
      </c>
      <c r="J22" s="1341">
        <f>IF(COUNT($H22:I22)&gt;='RFM input'!$V$7,0,I22+I74+I126)</f>
        <v>0</v>
      </c>
      <c r="K22" s="1341">
        <f>IF(COUNT($H22:J22)&gt;='RFM input'!$V$7,0,J22+J74+J126)</f>
        <v>0</v>
      </c>
      <c r="L22" s="1341">
        <f>IF(COUNT($H22:K22)&gt;='RFM input'!$V$7,0,K22+K74+K126)</f>
        <v>0</v>
      </c>
      <c r="M22" s="1341">
        <f>IF(COUNT($H22:L22)&gt;='RFM input'!$V$7,0,L22+L74+L126)</f>
        <v>0</v>
      </c>
      <c r="N22" s="1341">
        <f>IF(COUNT($H22:M22)&gt;='RFM input'!$V$7,0,M22+M74+M126)</f>
        <v>0</v>
      </c>
      <c r="O22" s="1341">
        <f>IF(COUNT($H22:N22)&gt;='RFM input'!$V$7,0,N22+N74+N126)</f>
        <v>0</v>
      </c>
      <c r="P22" s="1341">
        <f>IF(COUNT($H22:O22)&gt;='RFM input'!$V$7,0,O22+O74+O126)</f>
        <v>0</v>
      </c>
      <c r="Q22" s="1341">
        <f>IF(COUNT($H22:P22)&gt;='RFM input'!$V$7,0,P22+P74+P126)</f>
        <v>0</v>
      </c>
      <c r="R22" s="1341"/>
      <c r="S22" s="71"/>
      <c r="T22" s="71"/>
      <c r="U22" s="71"/>
      <c r="V22" s="71"/>
      <c r="W22" s="71"/>
      <c r="X22" s="71"/>
      <c r="Y22" s="71"/>
      <c r="Z22" s="71"/>
      <c r="AA22" s="152"/>
    </row>
    <row r="23" spans="1:27" hidden="1" outlineLevel="1">
      <c r="A23" s="3"/>
      <c r="B23" s="3"/>
      <c r="C23" s="29"/>
      <c r="D23" s="133">
        <f>Asset16</f>
        <v>0</v>
      </c>
      <c r="E23" s="3"/>
      <c r="F23" s="3"/>
      <c r="G23" s="1393">
        <f>'Capital Base roll forward'!G733</f>
        <v>0</v>
      </c>
      <c r="H23" s="1341">
        <f t="shared" si="2"/>
        <v>0</v>
      </c>
      <c r="I23" s="1341">
        <f t="shared" si="3"/>
        <v>0</v>
      </c>
      <c r="J23" s="1341">
        <f>IF(COUNT($H23:I23)&gt;='RFM input'!$V$7,0,I23+I75+I127)</f>
        <v>0</v>
      </c>
      <c r="K23" s="1341">
        <f>IF(COUNT($H23:J23)&gt;='RFM input'!$V$7,0,J23+J75+J127)</f>
        <v>0</v>
      </c>
      <c r="L23" s="1341">
        <f>IF(COUNT($H23:K23)&gt;='RFM input'!$V$7,0,K23+K75+K127)</f>
        <v>0</v>
      </c>
      <c r="M23" s="1341">
        <f>IF(COUNT($H23:L23)&gt;='RFM input'!$V$7,0,L23+L75+L127)</f>
        <v>0</v>
      </c>
      <c r="N23" s="1341">
        <f>IF(COUNT($H23:M23)&gt;='RFM input'!$V$7,0,M23+M75+M127)</f>
        <v>0</v>
      </c>
      <c r="O23" s="1341">
        <f>IF(COUNT($H23:N23)&gt;='RFM input'!$V$7,0,N23+N75+N127)</f>
        <v>0</v>
      </c>
      <c r="P23" s="1341">
        <f>IF(COUNT($H23:O23)&gt;='RFM input'!$V$7,0,O23+O75+O127)</f>
        <v>0</v>
      </c>
      <c r="Q23" s="1341">
        <f>IF(COUNT($H23:P23)&gt;='RFM input'!$V$7,0,P23+P75+P127)</f>
        <v>0</v>
      </c>
      <c r="R23" s="1341"/>
      <c r="S23" s="71"/>
      <c r="T23" s="71"/>
      <c r="U23" s="71"/>
      <c r="V23" s="71"/>
      <c r="W23" s="71"/>
      <c r="X23" s="71"/>
      <c r="Y23" s="71"/>
      <c r="Z23" s="71"/>
      <c r="AA23" s="152"/>
    </row>
    <row r="24" spans="1:27" hidden="1" outlineLevel="1">
      <c r="A24" s="3"/>
      <c r="B24" s="3"/>
      <c r="C24" s="29"/>
      <c r="D24" s="133">
        <f>Asset17</f>
        <v>0</v>
      </c>
      <c r="E24" s="3"/>
      <c r="F24" s="3"/>
      <c r="G24" s="1393">
        <f>'Capital Base roll forward'!G734</f>
        <v>0</v>
      </c>
      <c r="H24" s="1341">
        <f t="shared" si="2"/>
        <v>0</v>
      </c>
      <c r="I24" s="1341">
        <f t="shared" si="3"/>
        <v>0</v>
      </c>
      <c r="J24" s="1341">
        <f>IF(COUNT($H24:I24)&gt;='RFM input'!$V$7,0,I24+I76+I128)</f>
        <v>0</v>
      </c>
      <c r="K24" s="1341">
        <f>IF(COUNT($H24:J24)&gt;='RFM input'!$V$7,0,J24+J76+J128)</f>
        <v>0</v>
      </c>
      <c r="L24" s="1341">
        <f>IF(COUNT($H24:K24)&gt;='RFM input'!$V$7,0,K24+K76+K128)</f>
        <v>0</v>
      </c>
      <c r="M24" s="1341">
        <f>IF(COUNT($H24:L24)&gt;='RFM input'!$V$7,0,L24+L76+L128)</f>
        <v>0</v>
      </c>
      <c r="N24" s="1341">
        <f>IF(COUNT($H24:M24)&gt;='RFM input'!$V$7,0,M24+M76+M128)</f>
        <v>0</v>
      </c>
      <c r="O24" s="1341">
        <f>IF(COUNT($H24:N24)&gt;='RFM input'!$V$7,0,N24+N76+N128)</f>
        <v>0</v>
      </c>
      <c r="P24" s="1341">
        <f>IF(COUNT($H24:O24)&gt;='RFM input'!$V$7,0,O24+O76+O128)</f>
        <v>0</v>
      </c>
      <c r="Q24" s="1341">
        <f>IF(COUNT($H24:P24)&gt;='RFM input'!$V$7,0,P24+P76+P128)</f>
        <v>0</v>
      </c>
      <c r="R24" s="1341"/>
      <c r="S24" s="71"/>
      <c r="T24" s="71"/>
      <c r="U24" s="71"/>
      <c r="V24" s="71"/>
      <c r="W24" s="71"/>
      <c r="X24" s="71"/>
      <c r="Y24" s="71"/>
      <c r="Z24" s="71"/>
      <c r="AA24" s="152"/>
    </row>
    <row r="25" spans="1:27" hidden="1" outlineLevel="1">
      <c r="A25" s="3"/>
      <c r="B25" s="3"/>
      <c r="C25" s="29"/>
      <c r="D25" s="133">
        <f>Asset18</f>
        <v>0</v>
      </c>
      <c r="E25" s="3"/>
      <c r="F25" s="3"/>
      <c r="G25" s="1393">
        <f>'Capital Base roll forward'!G735</f>
        <v>0</v>
      </c>
      <c r="H25" s="1341">
        <f t="shared" si="2"/>
        <v>0</v>
      </c>
      <c r="I25" s="1341">
        <f t="shared" si="3"/>
        <v>0</v>
      </c>
      <c r="J25" s="1341">
        <f>IF(COUNT($H25:I25)&gt;='RFM input'!$V$7,0,I25+I77+I129)</f>
        <v>0</v>
      </c>
      <c r="K25" s="1341">
        <f>IF(COUNT($H25:J25)&gt;='RFM input'!$V$7,0,J25+J77+J129)</f>
        <v>0</v>
      </c>
      <c r="L25" s="1341">
        <f>IF(COUNT($H25:K25)&gt;='RFM input'!$V$7,0,K25+K77+K129)</f>
        <v>0</v>
      </c>
      <c r="M25" s="1341">
        <f>IF(COUNT($H25:L25)&gt;='RFM input'!$V$7,0,L25+L77+L129)</f>
        <v>0</v>
      </c>
      <c r="N25" s="1341">
        <f>IF(COUNT($H25:M25)&gt;='RFM input'!$V$7,0,M25+M77+M129)</f>
        <v>0</v>
      </c>
      <c r="O25" s="1341">
        <f>IF(COUNT($H25:N25)&gt;='RFM input'!$V$7,0,N25+N77+N129)</f>
        <v>0</v>
      </c>
      <c r="P25" s="1341">
        <f>IF(COUNT($H25:O25)&gt;='RFM input'!$V$7,0,O25+O77+O129)</f>
        <v>0</v>
      </c>
      <c r="Q25" s="1341">
        <f>IF(COUNT($H25:P25)&gt;='RFM input'!$V$7,0,P25+P77+P129)</f>
        <v>0</v>
      </c>
      <c r="R25" s="1341"/>
      <c r="S25" s="71"/>
      <c r="T25" s="71"/>
      <c r="U25" s="71"/>
      <c r="V25" s="71"/>
      <c r="W25" s="71"/>
      <c r="X25" s="71"/>
      <c r="Y25" s="71"/>
      <c r="Z25" s="71"/>
      <c r="AA25" s="152"/>
    </row>
    <row r="26" spans="1:27" hidden="1" outlineLevel="1">
      <c r="A26" s="3"/>
      <c r="B26" s="3"/>
      <c r="C26" s="29"/>
      <c r="D26" s="133">
        <f>Asset19</f>
        <v>0</v>
      </c>
      <c r="E26" s="3"/>
      <c r="F26" s="3"/>
      <c r="G26" s="1393">
        <f>'Capital Base roll forward'!G736</f>
        <v>0</v>
      </c>
      <c r="H26" s="1341">
        <f t="shared" si="2"/>
        <v>0</v>
      </c>
      <c r="I26" s="1341">
        <f t="shared" si="3"/>
        <v>0</v>
      </c>
      <c r="J26" s="1341">
        <f>IF(COUNT($H26:I26)&gt;='RFM input'!$V$7,0,I26+I78+I130)</f>
        <v>0</v>
      </c>
      <c r="K26" s="1341">
        <f>IF(COUNT($H26:J26)&gt;='RFM input'!$V$7,0,J26+J78+J130)</f>
        <v>0</v>
      </c>
      <c r="L26" s="1341">
        <f>IF(COUNT($H26:K26)&gt;='RFM input'!$V$7,0,K26+K78+K130)</f>
        <v>0</v>
      </c>
      <c r="M26" s="1341">
        <f>IF(COUNT($H26:L26)&gt;='RFM input'!$V$7,0,L26+L78+L130)</f>
        <v>0</v>
      </c>
      <c r="N26" s="1341">
        <f>IF(COUNT($H26:M26)&gt;='RFM input'!$V$7,0,M26+M78+M130)</f>
        <v>0</v>
      </c>
      <c r="O26" s="1341">
        <f>IF(COUNT($H26:N26)&gt;='RFM input'!$V$7,0,N26+N78+N130)</f>
        <v>0</v>
      </c>
      <c r="P26" s="1341">
        <f>IF(COUNT($H26:O26)&gt;='RFM input'!$V$7,0,O26+O78+O130)</f>
        <v>0</v>
      </c>
      <c r="Q26" s="1341">
        <f>IF(COUNT($H26:P26)&gt;='RFM input'!$V$7,0,P26+P78+P130)</f>
        <v>0</v>
      </c>
      <c r="R26" s="1341"/>
      <c r="S26" s="71"/>
      <c r="T26" s="71"/>
      <c r="U26" s="71"/>
      <c r="V26" s="71"/>
      <c r="W26" s="71"/>
      <c r="X26" s="71"/>
      <c r="Y26" s="71"/>
      <c r="Z26" s="71"/>
      <c r="AA26" s="152"/>
    </row>
    <row r="27" spans="1:27" hidden="1" outlineLevel="1">
      <c r="A27" s="3"/>
      <c r="B27" s="3"/>
      <c r="C27" s="29"/>
      <c r="D27" s="133">
        <f>Asset20</f>
        <v>0</v>
      </c>
      <c r="E27" s="3"/>
      <c r="F27" s="3"/>
      <c r="G27" s="1393">
        <f>'Capital Base roll forward'!G737</f>
        <v>0</v>
      </c>
      <c r="H27" s="1341">
        <f t="shared" si="2"/>
        <v>0</v>
      </c>
      <c r="I27" s="1341">
        <f t="shared" si="3"/>
        <v>0</v>
      </c>
      <c r="J27" s="1341">
        <f>IF(COUNT($H27:I27)&gt;='RFM input'!$V$7,0,I27+I79+I131)</f>
        <v>0</v>
      </c>
      <c r="K27" s="1341">
        <f>IF(COUNT($H27:J27)&gt;='RFM input'!$V$7,0,J27+J79+J131)</f>
        <v>0</v>
      </c>
      <c r="L27" s="1341">
        <f>IF(COUNT($H27:K27)&gt;='RFM input'!$V$7,0,K27+K79+K131)</f>
        <v>0</v>
      </c>
      <c r="M27" s="1341">
        <f>IF(COUNT($H27:L27)&gt;='RFM input'!$V$7,0,L27+L79+L131)</f>
        <v>0</v>
      </c>
      <c r="N27" s="1341">
        <f>IF(COUNT($H27:M27)&gt;='RFM input'!$V$7,0,M27+M79+M131)</f>
        <v>0</v>
      </c>
      <c r="O27" s="1341">
        <f>IF(COUNT($H27:N27)&gt;='RFM input'!$V$7,0,N27+N79+N131)</f>
        <v>0</v>
      </c>
      <c r="P27" s="1341">
        <f>IF(COUNT($H27:O27)&gt;='RFM input'!$V$7,0,O27+O79+O131)</f>
        <v>0</v>
      </c>
      <c r="Q27" s="1341">
        <f>IF(COUNT($H27:P27)&gt;='RFM input'!$V$7,0,P27+P79+P131)</f>
        <v>0</v>
      </c>
      <c r="R27" s="1341"/>
      <c r="S27" s="71"/>
      <c r="T27" s="71"/>
      <c r="U27" s="71"/>
      <c r="V27" s="71"/>
      <c r="W27" s="71"/>
      <c r="X27" s="71"/>
      <c r="Y27" s="71"/>
      <c r="Z27" s="71"/>
      <c r="AA27" s="152"/>
    </row>
    <row r="28" spans="1:27" hidden="1" outlineLevel="1">
      <c r="A28" s="3"/>
      <c r="B28" s="3"/>
      <c r="C28" s="29"/>
      <c r="D28" s="133">
        <f>Asset21</f>
        <v>0</v>
      </c>
      <c r="E28" s="3"/>
      <c r="F28" s="3"/>
      <c r="G28" s="1393">
        <f>'Capital Base roll forward'!G738</f>
        <v>0</v>
      </c>
      <c r="H28" s="1341">
        <f t="shared" si="2"/>
        <v>0</v>
      </c>
      <c r="I28" s="1341">
        <f t="shared" si="3"/>
        <v>0</v>
      </c>
      <c r="J28" s="1341">
        <f>IF(COUNT($H28:I28)&gt;='RFM input'!$V$7,0,I28+I80+I132)</f>
        <v>0</v>
      </c>
      <c r="K28" s="1341">
        <f>IF(COUNT($H28:J28)&gt;='RFM input'!$V$7,0,J28+J80+J132)</f>
        <v>0</v>
      </c>
      <c r="L28" s="1341">
        <f>IF(COUNT($H28:K28)&gt;='RFM input'!$V$7,0,K28+K80+K132)</f>
        <v>0</v>
      </c>
      <c r="M28" s="1341">
        <f>IF(COUNT($H28:L28)&gt;='RFM input'!$V$7,0,L28+L80+L132)</f>
        <v>0</v>
      </c>
      <c r="N28" s="1341">
        <f>IF(COUNT($H28:M28)&gt;='RFM input'!$V$7,0,M28+M80+M132)</f>
        <v>0</v>
      </c>
      <c r="O28" s="1341">
        <f>IF(COUNT($H28:N28)&gt;='RFM input'!$V$7,0,N28+N80+N132)</f>
        <v>0</v>
      </c>
      <c r="P28" s="1341">
        <f>IF(COUNT($H28:O28)&gt;='RFM input'!$V$7,0,O28+O80+O132)</f>
        <v>0</v>
      </c>
      <c r="Q28" s="1341">
        <f>IF(COUNT($H28:P28)&gt;='RFM input'!$V$7,0,P28+P80+P132)</f>
        <v>0</v>
      </c>
      <c r="R28" s="1341"/>
      <c r="S28" s="71"/>
      <c r="T28" s="71"/>
      <c r="U28" s="71"/>
      <c r="V28" s="71"/>
      <c r="W28" s="71"/>
      <c r="X28" s="71"/>
      <c r="Y28" s="71"/>
      <c r="Z28" s="71"/>
      <c r="AA28" s="152"/>
    </row>
    <row r="29" spans="1:27" hidden="1" outlineLevel="1">
      <c r="A29" s="3"/>
      <c r="B29" s="3"/>
      <c r="C29" s="29"/>
      <c r="D29" s="133">
        <f>Asset22</f>
        <v>0</v>
      </c>
      <c r="E29" s="3"/>
      <c r="F29" s="3"/>
      <c r="G29" s="1393">
        <f>'Capital Base roll forward'!G739</f>
        <v>0</v>
      </c>
      <c r="H29" s="1341">
        <f t="shared" si="2"/>
        <v>0</v>
      </c>
      <c r="I29" s="1341">
        <f t="shared" si="3"/>
        <v>0</v>
      </c>
      <c r="J29" s="1341">
        <f>IF(COUNT($H29:I29)&gt;='RFM input'!$V$7,0,I29+I81+I133)</f>
        <v>0</v>
      </c>
      <c r="K29" s="1341">
        <f>IF(COUNT($H29:J29)&gt;='RFM input'!$V$7,0,J29+J81+J133)</f>
        <v>0</v>
      </c>
      <c r="L29" s="1341">
        <f>IF(COUNT($H29:K29)&gt;='RFM input'!$V$7,0,K29+K81+K133)</f>
        <v>0</v>
      </c>
      <c r="M29" s="1341">
        <f>IF(COUNT($H29:L29)&gt;='RFM input'!$V$7,0,L29+L81+L133)</f>
        <v>0</v>
      </c>
      <c r="N29" s="1341">
        <f>IF(COUNT($H29:M29)&gt;='RFM input'!$V$7,0,M29+M81+M133)</f>
        <v>0</v>
      </c>
      <c r="O29" s="1341">
        <f>IF(COUNT($H29:N29)&gt;='RFM input'!$V$7,0,N29+N81+N133)</f>
        <v>0</v>
      </c>
      <c r="P29" s="1341">
        <f>IF(COUNT($H29:O29)&gt;='RFM input'!$V$7,0,O29+O81+O133)</f>
        <v>0</v>
      </c>
      <c r="Q29" s="1341">
        <f>IF(COUNT($H29:P29)&gt;='RFM input'!$V$7,0,P29+P81+P133)</f>
        <v>0</v>
      </c>
      <c r="R29" s="1341"/>
      <c r="S29" s="71"/>
      <c r="T29" s="71"/>
      <c r="U29" s="71"/>
      <c r="V29" s="71"/>
      <c r="W29" s="71"/>
      <c r="X29" s="71"/>
      <c r="Y29" s="71"/>
      <c r="Z29" s="71"/>
      <c r="AA29" s="152"/>
    </row>
    <row r="30" spans="1:27" hidden="1" outlineLevel="1">
      <c r="A30" s="3"/>
      <c r="B30" s="3"/>
      <c r="C30" s="29"/>
      <c r="D30" s="133">
        <f>Asset23</f>
        <v>0</v>
      </c>
      <c r="E30" s="3"/>
      <c r="F30" s="3"/>
      <c r="G30" s="1393">
        <f>'Capital Base roll forward'!G740</f>
        <v>0</v>
      </c>
      <c r="H30" s="1341">
        <f t="shared" si="2"/>
        <v>0</v>
      </c>
      <c r="I30" s="1341">
        <f t="shared" si="3"/>
        <v>0</v>
      </c>
      <c r="J30" s="1341">
        <f>IF(COUNT($H30:I30)&gt;='RFM input'!$V$7,0,I30+I82+I134)</f>
        <v>0</v>
      </c>
      <c r="K30" s="1341">
        <f>IF(COUNT($H30:J30)&gt;='RFM input'!$V$7,0,J30+J82+J134)</f>
        <v>0</v>
      </c>
      <c r="L30" s="1341">
        <f>IF(COUNT($H30:K30)&gt;='RFM input'!$V$7,0,K30+K82+K134)</f>
        <v>0</v>
      </c>
      <c r="M30" s="1341">
        <f>IF(COUNT($H30:L30)&gt;='RFM input'!$V$7,0,L30+L82+L134)</f>
        <v>0</v>
      </c>
      <c r="N30" s="1341">
        <f>IF(COUNT($H30:M30)&gt;='RFM input'!$V$7,0,M30+M82+M134)</f>
        <v>0</v>
      </c>
      <c r="O30" s="1341">
        <f>IF(COUNT($H30:N30)&gt;='RFM input'!$V$7,0,N30+N82+N134)</f>
        <v>0</v>
      </c>
      <c r="P30" s="1341">
        <f>IF(COUNT($H30:O30)&gt;='RFM input'!$V$7,0,O30+O82+O134)</f>
        <v>0</v>
      </c>
      <c r="Q30" s="1341">
        <f>IF(COUNT($H30:P30)&gt;='RFM input'!$V$7,0,P30+P82+P134)</f>
        <v>0</v>
      </c>
      <c r="R30" s="1341"/>
      <c r="S30" s="71"/>
      <c r="T30" s="71"/>
      <c r="U30" s="71"/>
      <c r="V30" s="71"/>
      <c r="W30" s="71"/>
      <c r="X30" s="71"/>
      <c r="Y30" s="71"/>
      <c r="Z30" s="71"/>
      <c r="AA30" s="152"/>
    </row>
    <row r="31" spans="1:27" hidden="1" outlineLevel="1">
      <c r="A31" s="3"/>
      <c r="B31" s="3"/>
      <c r="C31" s="29"/>
      <c r="D31" s="133">
        <f>Asset24</f>
        <v>0</v>
      </c>
      <c r="E31" s="3"/>
      <c r="F31" s="3"/>
      <c r="G31" s="1393">
        <f>'Capital Base roll forward'!G741</f>
        <v>0</v>
      </c>
      <c r="H31" s="1341">
        <f t="shared" si="2"/>
        <v>0</v>
      </c>
      <c r="I31" s="1341">
        <f t="shared" si="3"/>
        <v>0</v>
      </c>
      <c r="J31" s="1341">
        <f>IF(COUNT($H31:I31)&gt;='RFM input'!$V$7,0,I31+I83+I135)</f>
        <v>0</v>
      </c>
      <c r="K31" s="1341">
        <f>IF(COUNT($H31:J31)&gt;='RFM input'!$V$7,0,J31+J83+J135)</f>
        <v>0</v>
      </c>
      <c r="L31" s="1341">
        <f>IF(COUNT($H31:K31)&gt;='RFM input'!$V$7,0,K31+K83+K135)</f>
        <v>0</v>
      </c>
      <c r="M31" s="1341">
        <f>IF(COUNT($H31:L31)&gt;='RFM input'!$V$7,0,L31+L83+L135)</f>
        <v>0</v>
      </c>
      <c r="N31" s="1341">
        <f>IF(COUNT($H31:M31)&gt;='RFM input'!$V$7,0,M31+M83+M135)</f>
        <v>0</v>
      </c>
      <c r="O31" s="1341">
        <f>IF(COUNT($H31:N31)&gt;='RFM input'!$V$7,0,N31+N83+N135)</f>
        <v>0</v>
      </c>
      <c r="P31" s="1341">
        <f>IF(COUNT($H31:O31)&gt;='RFM input'!$V$7,0,O31+O83+O135)</f>
        <v>0</v>
      </c>
      <c r="Q31" s="1341">
        <f>IF(COUNT($H31:P31)&gt;='RFM input'!$V$7,0,P31+P83+P135)</f>
        <v>0</v>
      </c>
      <c r="R31" s="1341"/>
      <c r="S31" s="71"/>
      <c r="T31" s="71"/>
      <c r="U31" s="71"/>
      <c r="V31" s="71"/>
      <c r="W31" s="71"/>
      <c r="X31" s="71"/>
      <c r="Y31" s="71"/>
      <c r="Z31" s="71"/>
      <c r="AA31" s="152"/>
    </row>
    <row r="32" spans="1:27" hidden="1" outlineLevel="1">
      <c r="A32" s="3"/>
      <c r="B32" s="3"/>
      <c r="C32" s="29"/>
      <c r="D32" s="133">
        <f>Asset25</f>
        <v>0</v>
      </c>
      <c r="E32" s="3"/>
      <c r="F32" s="3"/>
      <c r="G32" s="1393">
        <f>'Capital Base roll forward'!G742</f>
        <v>0</v>
      </c>
      <c r="H32" s="1341">
        <f t="shared" si="2"/>
        <v>0</v>
      </c>
      <c r="I32" s="1341">
        <f t="shared" si="3"/>
        <v>0</v>
      </c>
      <c r="J32" s="1341">
        <f>IF(COUNT($H32:I32)&gt;='RFM input'!$V$7,0,I32+I84+I136)</f>
        <v>0</v>
      </c>
      <c r="K32" s="1341">
        <f>IF(COUNT($H32:J32)&gt;='RFM input'!$V$7,0,J32+J84+J136)</f>
        <v>0</v>
      </c>
      <c r="L32" s="1341">
        <f>IF(COUNT($H32:K32)&gt;='RFM input'!$V$7,0,K32+K84+K136)</f>
        <v>0</v>
      </c>
      <c r="M32" s="1341">
        <f>IF(COUNT($H32:L32)&gt;='RFM input'!$V$7,0,L32+L84+L136)</f>
        <v>0</v>
      </c>
      <c r="N32" s="1341">
        <f>IF(COUNT($H32:M32)&gt;='RFM input'!$V$7,0,M32+M84+M136)</f>
        <v>0</v>
      </c>
      <c r="O32" s="1341">
        <f>IF(COUNT($H32:N32)&gt;='RFM input'!$V$7,0,N32+N84+N136)</f>
        <v>0</v>
      </c>
      <c r="P32" s="1341">
        <f>IF(COUNT($H32:O32)&gt;='RFM input'!$V$7,0,O32+O84+O136)</f>
        <v>0</v>
      </c>
      <c r="Q32" s="1341">
        <f>IF(COUNT($H32:P32)&gt;='RFM input'!$V$7,0,P32+P84+P136)</f>
        <v>0</v>
      </c>
      <c r="R32" s="1341"/>
      <c r="S32" s="71"/>
      <c r="T32" s="71"/>
      <c r="U32" s="71"/>
      <c r="V32" s="71"/>
      <c r="W32" s="71"/>
      <c r="X32" s="71"/>
      <c r="Y32" s="71"/>
      <c r="Z32" s="71"/>
      <c r="AA32" s="152"/>
    </row>
    <row r="33" spans="1:27" hidden="1" outlineLevel="1">
      <c r="A33" s="3"/>
      <c r="B33" s="3"/>
      <c r="C33" s="29"/>
      <c r="D33" s="133">
        <f>Asset26</f>
        <v>0</v>
      </c>
      <c r="E33" s="3"/>
      <c r="F33" s="3"/>
      <c r="G33" s="1393">
        <f>'Capital Base roll forward'!G743</f>
        <v>0</v>
      </c>
      <c r="H33" s="1341">
        <f t="shared" si="2"/>
        <v>0</v>
      </c>
      <c r="I33" s="1341">
        <f t="shared" si="3"/>
        <v>0</v>
      </c>
      <c r="J33" s="1341">
        <f>IF(COUNT($H33:I33)&gt;='RFM input'!$V$7,0,I33+I85+I137)</f>
        <v>0</v>
      </c>
      <c r="K33" s="1341">
        <f>IF(COUNT($H33:J33)&gt;='RFM input'!$V$7,0,J33+J85+J137)</f>
        <v>0</v>
      </c>
      <c r="L33" s="1341">
        <f>IF(COUNT($H33:K33)&gt;='RFM input'!$V$7,0,K33+K85+K137)</f>
        <v>0</v>
      </c>
      <c r="M33" s="1341">
        <f>IF(COUNT($H33:L33)&gt;='RFM input'!$V$7,0,L33+L85+L137)</f>
        <v>0</v>
      </c>
      <c r="N33" s="1341">
        <f>IF(COUNT($H33:M33)&gt;='RFM input'!$V$7,0,M33+M85+M137)</f>
        <v>0</v>
      </c>
      <c r="O33" s="1341">
        <f>IF(COUNT($H33:N33)&gt;='RFM input'!$V$7,0,N33+N85+N137)</f>
        <v>0</v>
      </c>
      <c r="P33" s="1341">
        <f>IF(COUNT($H33:O33)&gt;='RFM input'!$V$7,0,O33+O85+O137)</f>
        <v>0</v>
      </c>
      <c r="Q33" s="1341">
        <f>IF(COUNT($H33:P33)&gt;='RFM input'!$V$7,0,P33+P85+P137)</f>
        <v>0</v>
      </c>
      <c r="R33" s="1341"/>
      <c r="S33" s="71"/>
      <c r="T33" s="71"/>
      <c r="U33" s="71"/>
      <c r="V33" s="71"/>
      <c r="W33" s="71"/>
      <c r="X33" s="71"/>
      <c r="Y33" s="71"/>
      <c r="Z33" s="71"/>
      <c r="AA33" s="152"/>
    </row>
    <row r="34" spans="1:27" hidden="1" outlineLevel="1">
      <c r="A34" s="3"/>
      <c r="B34" s="3"/>
      <c r="C34" s="29"/>
      <c r="D34" s="133">
        <f>Asset27</f>
        <v>0</v>
      </c>
      <c r="E34" s="3"/>
      <c r="F34" s="3"/>
      <c r="G34" s="1393">
        <f>'Capital Base roll forward'!G744</f>
        <v>0</v>
      </c>
      <c r="H34" s="1341">
        <f t="shared" si="2"/>
        <v>0</v>
      </c>
      <c r="I34" s="1341">
        <f t="shared" si="3"/>
        <v>0</v>
      </c>
      <c r="J34" s="1341">
        <f>IF(COUNT($H34:I34)&gt;='RFM input'!$V$7,0,I34+I86+I138)</f>
        <v>0</v>
      </c>
      <c r="K34" s="1341">
        <f>IF(COUNT($H34:J34)&gt;='RFM input'!$V$7,0,J34+J86+J138)</f>
        <v>0</v>
      </c>
      <c r="L34" s="1341">
        <f>IF(COUNT($H34:K34)&gt;='RFM input'!$V$7,0,K34+K86+K138)</f>
        <v>0</v>
      </c>
      <c r="M34" s="1341">
        <f>IF(COUNT($H34:L34)&gt;='RFM input'!$V$7,0,L34+L86+L138)</f>
        <v>0</v>
      </c>
      <c r="N34" s="1341">
        <f>IF(COUNT($H34:M34)&gt;='RFM input'!$V$7,0,M34+M86+M138)</f>
        <v>0</v>
      </c>
      <c r="O34" s="1341">
        <f>IF(COUNT($H34:N34)&gt;='RFM input'!$V$7,0,N34+N86+N138)</f>
        <v>0</v>
      </c>
      <c r="P34" s="1341">
        <f>IF(COUNT($H34:O34)&gt;='RFM input'!$V$7,0,O34+O86+O138)</f>
        <v>0</v>
      </c>
      <c r="Q34" s="1341">
        <f>IF(COUNT($H34:P34)&gt;='RFM input'!$V$7,0,P34+P86+P138)</f>
        <v>0</v>
      </c>
      <c r="R34" s="1341"/>
      <c r="S34" s="71"/>
      <c r="T34" s="71"/>
      <c r="U34" s="71"/>
      <c r="V34" s="71"/>
      <c r="W34" s="71"/>
      <c r="X34" s="71"/>
      <c r="Y34" s="71"/>
      <c r="Z34" s="71"/>
      <c r="AA34" s="152"/>
    </row>
    <row r="35" spans="1:27" hidden="1" outlineLevel="1">
      <c r="A35" s="3"/>
      <c r="B35" s="3"/>
      <c r="C35" s="29"/>
      <c r="D35" s="133">
        <f>Asset28</f>
        <v>0</v>
      </c>
      <c r="E35" s="3"/>
      <c r="F35" s="3"/>
      <c r="G35" s="1393">
        <f>'Capital Base roll forward'!G745</f>
        <v>0</v>
      </c>
      <c r="H35" s="1341">
        <f t="shared" si="2"/>
        <v>0</v>
      </c>
      <c r="I35" s="1341">
        <f t="shared" si="3"/>
        <v>0</v>
      </c>
      <c r="J35" s="1341">
        <f>IF(COUNT($H35:I35)&gt;='RFM input'!$V$7,0,I35+I87+I139)</f>
        <v>0</v>
      </c>
      <c r="K35" s="1341">
        <f>IF(COUNT($H35:J35)&gt;='RFM input'!$V$7,0,J35+J87+J139)</f>
        <v>0</v>
      </c>
      <c r="L35" s="1341">
        <f>IF(COUNT($H35:K35)&gt;='RFM input'!$V$7,0,K35+K87+K139)</f>
        <v>0</v>
      </c>
      <c r="M35" s="1341">
        <f>IF(COUNT($H35:L35)&gt;='RFM input'!$V$7,0,L35+L87+L139)</f>
        <v>0</v>
      </c>
      <c r="N35" s="1341">
        <f>IF(COUNT($H35:M35)&gt;='RFM input'!$V$7,0,M35+M87+M139)</f>
        <v>0</v>
      </c>
      <c r="O35" s="1341">
        <f>IF(COUNT($H35:N35)&gt;='RFM input'!$V$7,0,N35+N87+N139)</f>
        <v>0</v>
      </c>
      <c r="P35" s="1341">
        <f>IF(COUNT($H35:O35)&gt;='RFM input'!$V$7,0,O35+O87+O139)</f>
        <v>0</v>
      </c>
      <c r="Q35" s="1341">
        <f>IF(COUNT($H35:P35)&gt;='RFM input'!$V$7,0,P35+P87+P139)</f>
        <v>0</v>
      </c>
      <c r="R35" s="1341"/>
      <c r="S35" s="71"/>
      <c r="T35" s="71"/>
      <c r="U35" s="71"/>
      <c r="V35" s="71"/>
      <c r="W35" s="71"/>
      <c r="X35" s="71"/>
      <c r="Y35" s="71"/>
      <c r="Z35" s="71"/>
      <c r="AA35" s="152"/>
    </row>
    <row r="36" spans="1:27" hidden="1" outlineLevel="1">
      <c r="A36" s="3"/>
      <c r="B36" s="3"/>
      <c r="C36" s="29"/>
      <c r="D36" s="133">
        <f>Asset29</f>
        <v>0</v>
      </c>
      <c r="E36" s="3"/>
      <c r="F36" s="3"/>
      <c r="G36" s="1393">
        <f>'Capital Base roll forward'!G746</f>
        <v>0</v>
      </c>
      <c r="H36" s="1341">
        <f t="shared" si="2"/>
        <v>0</v>
      </c>
      <c r="I36" s="1341">
        <f t="shared" si="3"/>
        <v>0</v>
      </c>
      <c r="J36" s="1341">
        <f>IF(COUNT($H36:I36)&gt;='RFM input'!$V$7,0,I36+I88+I140)</f>
        <v>0</v>
      </c>
      <c r="K36" s="1341">
        <f>IF(COUNT($H36:J36)&gt;='RFM input'!$V$7,0,J36+J88+J140)</f>
        <v>0</v>
      </c>
      <c r="L36" s="1341">
        <f>IF(COUNT($H36:K36)&gt;='RFM input'!$V$7,0,K36+K88+K140)</f>
        <v>0</v>
      </c>
      <c r="M36" s="1341">
        <f>IF(COUNT($H36:L36)&gt;='RFM input'!$V$7,0,L36+L88+L140)</f>
        <v>0</v>
      </c>
      <c r="N36" s="1341">
        <f>IF(COUNT($H36:M36)&gt;='RFM input'!$V$7,0,M36+M88+M140)</f>
        <v>0</v>
      </c>
      <c r="O36" s="1341">
        <f>IF(COUNT($H36:N36)&gt;='RFM input'!$V$7,0,N36+N88+N140)</f>
        <v>0</v>
      </c>
      <c r="P36" s="1341">
        <f>IF(COUNT($H36:O36)&gt;='RFM input'!$V$7,0,O36+O88+O140)</f>
        <v>0</v>
      </c>
      <c r="Q36" s="1341">
        <f>IF(COUNT($H36:P36)&gt;='RFM input'!$V$7,0,P36+P88+P140)</f>
        <v>0</v>
      </c>
      <c r="R36" s="1341"/>
      <c r="S36" s="71"/>
      <c r="T36" s="71"/>
      <c r="U36" s="71"/>
      <c r="V36" s="71"/>
      <c r="W36" s="71"/>
      <c r="X36" s="71"/>
      <c r="Y36" s="71"/>
      <c r="Z36" s="71"/>
      <c r="AA36" s="152"/>
    </row>
    <row r="37" spans="1:27" hidden="1" outlineLevel="1">
      <c r="A37" s="3"/>
      <c r="B37" s="3"/>
      <c r="C37" s="29"/>
      <c r="D37" s="133">
        <f>Asset30</f>
        <v>0</v>
      </c>
      <c r="E37" s="3"/>
      <c r="F37" s="3"/>
      <c r="G37" s="1393">
        <f>'Capital Base roll forward'!G747</f>
        <v>0</v>
      </c>
      <c r="H37" s="1341">
        <f t="shared" si="2"/>
        <v>0</v>
      </c>
      <c r="I37" s="1341">
        <f t="shared" si="3"/>
        <v>0</v>
      </c>
      <c r="J37" s="1341">
        <f>IF(COUNT($H37:I37)&gt;='RFM input'!$V$7,0,I37+I89+I141)</f>
        <v>0</v>
      </c>
      <c r="K37" s="1341">
        <f>IF(COUNT($H37:J37)&gt;='RFM input'!$V$7,0,J37+J89+J141)</f>
        <v>0</v>
      </c>
      <c r="L37" s="1341">
        <f>IF(COUNT($H37:K37)&gt;='RFM input'!$V$7,0,K37+K89+K141)</f>
        <v>0</v>
      </c>
      <c r="M37" s="1341">
        <f>IF(COUNT($H37:L37)&gt;='RFM input'!$V$7,0,L37+L89+L141)</f>
        <v>0</v>
      </c>
      <c r="N37" s="1341">
        <f>IF(COUNT($H37:M37)&gt;='RFM input'!$V$7,0,M37+M89+M141)</f>
        <v>0</v>
      </c>
      <c r="O37" s="1341">
        <f>IF(COUNT($H37:N37)&gt;='RFM input'!$V$7,0,N37+N89+N141)</f>
        <v>0</v>
      </c>
      <c r="P37" s="1341">
        <f>IF(COUNT($H37:O37)&gt;='RFM input'!$V$7,0,O37+O89+O141)</f>
        <v>0</v>
      </c>
      <c r="Q37" s="1341">
        <f>IF(COUNT($H37:P37)&gt;='RFM input'!$V$7,0,P37+P89+P141)</f>
        <v>0</v>
      </c>
      <c r="R37" s="1341"/>
      <c r="S37" s="71"/>
      <c r="T37" s="71"/>
      <c r="U37" s="71"/>
      <c r="V37" s="71"/>
      <c r="W37" s="71"/>
      <c r="X37" s="71"/>
      <c r="Y37" s="71"/>
      <c r="Z37" s="71"/>
      <c r="AA37" s="152"/>
    </row>
    <row r="38" spans="1:27" hidden="1" outlineLevel="1">
      <c r="A38" s="3"/>
      <c r="B38" s="3"/>
      <c r="C38" s="29"/>
      <c r="D38" s="133">
        <f>Asset31</f>
        <v>0</v>
      </c>
      <c r="E38" s="3"/>
      <c r="F38" s="3"/>
      <c r="G38" s="1393">
        <f>'Capital Base roll forward'!G748</f>
        <v>0</v>
      </c>
      <c r="H38" s="1341">
        <f t="shared" ref="H38:H57" si="4">G38+G90+G142+G194+G246+G298</f>
        <v>0</v>
      </c>
      <c r="I38" s="1341">
        <f t="shared" ref="I38:I57" si="5">H38+H90+H142</f>
        <v>0</v>
      </c>
      <c r="J38" s="1341">
        <f>IF(COUNT($H38:I38)&gt;='RFM input'!$V$7,0,I38+I90+I142)</f>
        <v>0</v>
      </c>
      <c r="K38" s="1341">
        <f>IF(COUNT($H38:J38)&gt;='RFM input'!$V$7,0,J38+J90+J142)</f>
        <v>0</v>
      </c>
      <c r="L38" s="1341">
        <f>IF(COUNT($H38:K38)&gt;='RFM input'!$V$7,0,K38+K90+K142)</f>
        <v>0</v>
      </c>
      <c r="M38" s="1341">
        <f>IF(COUNT($H38:L38)&gt;='RFM input'!$V$7,0,L38+L90+L142)</f>
        <v>0</v>
      </c>
      <c r="N38" s="1341">
        <f>IF(COUNT($H38:M38)&gt;='RFM input'!$V$7,0,M38+M90+M142)</f>
        <v>0</v>
      </c>
      <c r="O38" s="1341">
        <f>IF(COUNT($H38:N38)&gt;='RFM input'!$V$7,0,N38+N90+N142)</f>
        <v>0</v>
      </c>
      <c r="P38" s="1341">
        <f>IF(COUNT($H38:O38)&gt;='RFM input'!$V$7,0,O38+O90+O142)</f>
        <v>0</v>
      </c>
      <c r="Q38" s="1341">
        <f>IF(COUNT($H38:P38)&gt;='RFM input'!$V$7,0,P38+P90+P142)</f>
        <v>0</v>
      </c>
      <c r="R38" s="1341"/>
      <c r="S38" s="71"/>
      <c r="T38" s="71"/>
      <c r="U38" s="71"/>
      <c r="V38" s="71"/>
      <c r="W38" s="71"/>
      <c r="X38" s="71"/>
      <c r="Y38" s="71"/>
      <c r="Z38" s="71"/>
      <c r="AA38" s="152"/>
    </row>
    <row r="39" spans="1:27" hidden="1" outlineLevel="1">
      <c r="A39" s="3"/>
      <c r="B39" s="3"/>
      <c r="C39" s="29"/>
      <c r="D39" s="133">
        <f>Asset32</f>
        <v>0</v>
      </c>
      <c r="E39" s="3"/>
      <c r="F39" s="3"/>
      <c r="G39" s="1393">
        <f>'Capital Base roll forward'!G749</f>
        <v>0</v>
      </c>
      <c r="H39" s="1341">
        <f t="shared" si="4"/>
        <v>0</v>
      </c>
      <c r="I39" s="1341">
        <f t="shared" si="5"/>
        <v>0</v>
      </c>
      <c r="J39" s="1341">
        <f>IF(COUNT($H39:I39)&gt;='RFM input'!$V$7,0,I39+I91+I143)</f>
        <v>0</v>
      </c>
      <c r="K39" s="1341">
        <f>IF(COUNT($H39:J39)&gt;='RFM input'!$V$7,0,J39+J91+J143)</f>
        <v>0</v>
      </c>
      <c r="L39" s="1341">
        <f>IF(COUNT($H39:K39)&gt;='RFM input'!$V$7,0,K39+K91+K143)</f>
        <v>0</v>
      </c>
      <c r="M39" s="1341">
        <f>IF(COUNT($H39:L39)&gt;='RFM input'!$V$7,0,L39+L91+L143)</f>
        <v>0</v>
      </c>
      <c r="N39" s="1341">
        <f>IF(COUNT($H39:M39)&gt;='RFM input'!$V$7,0,M39+M91+M143)</f>
        <v>0</v>
      </c>
      <c r="O39" s="1341">
        <f>IF(COUNT($H39:N39)&gt;='RFM input'!$V$7,0,N39+N91+N143)</f>
        <v>0</v>
      </c>
      <c r="P39" s="1341">
        <f>IF(COUNT($H39:O39)&gt;='RFM input'!$V$7,0,O39+O91+O143)</f>
        <v>0</v>
      </c>
      <c r="Q39" s="1341">
        <f>IF(COUNT($H39:P39)&gt;='RFM input'!$V$7,0,P39+P91+P143)</f>
        <v>0</v>
      </c>
      <c r="R39" s="1341"/>
      <c r="S39" s="71"/>
      <c r="T39" s="71"/>
      <c r="U39" s="71"/>
      <c r="V39" s="71"/>
      <c r="W39" s="71"/>
      <c r="X39" s="71"/>
      <c r="Y39" s="71"/>
      <c r="Z39" s="71"/>
      <c r="AA39" s="152"/>
    </row>
    <row r="40" spans="1:27" hidden="1" outlineLevel="1">
      <c r="A40" s="3"/>
      <c r="B40" s="3"/>
      <c r="C40" s="29"/>
      <c r="D40" s="133">
        <f>Asset33</f>
        <v>0</v>
      </c>
      <c r="E40" s="3"/>
      <c r="F40" s="3"/>
      <c r="G40" s="1393">
        <f>'Capital Base roll forward'!G750</f>
        <v>0</v>
      </c>
      <c r="H40" s="1341">
        <f t="shared" si="4"/>
        <v>0</v>
      </c>
      <c r="I40" s="1341">
        <f t="shared" si="5"/>
        <v>0</v>
      </c>
      <c r="J40" s="1341">
        <f>IF(COUNT($H40:I40)&gt;='RFM input'!$V$7,0,I40+I92+I144)</f>
        <v>0</v>
      </c>
      <c r="K40" s="1341">
        <f>IF(COUNT($H40:J40)&gt;='RFM input'!$V$7,0,J40+J92+J144)</f>
        <v>0</v>
      </c>
      <c r="L40" s="1341">
        <f>IF(COUNT($H40:K40)&gt;='RFM input'!$V$7,0,K40+K92+K144)</f>
        <v>0</v>
      </c>
      <c r="M40" s="1341">
        <f>IF(COUNT($H40:L40)&gt;='RFM input'!$V$7,0,L40+L92+L144)</f>
        <v>0</v>
      </c>
      <c r="N40" s="1341">
        <f>IF(COUNT($H40:M40)&gt;='RFM input'!$V$7,0,M40+M92+M144)</f>
        <v>0</v>
      </c>
      <c r="O40" s="1341">
        <f>IF(COUNT($H40:N40)&gt;='RFM input'!$V$7,0,N40+N92+N144)</f>
        <v>0</v>
      </c>
      <c r="P40" s="1341">
        <f>IF(COUNT($H40:O40)&gt;='RFM input'!$V$7,0,O40+O92+O144)</f>
        <v>0</v>
      </c>
      <c r="Q40" s="1341">
        <f>IF(COUNT($H40:P40)&gt;='RFM input'!$V$7,0,P40+P92+P144)</f>
        <v>0</v>
      </c>
      <c r="R40" s="1341"/>
      <c r="S40" s="71"/>
      <c r="T40" s="71"/>
      <c r="U40" s="71"/>
      <c r="V40" s="71"/>
      <c r="W40" s="71"/>
      <c r="X40" s="71"/>
      <c r="Y40" s="71"/>
      <c r="Z40" s="71"/>
      <c r="AA40" s="152"/>
    </row>
    <row r="41" spans="1:27" hidden="1" outlineLevel="1">
      <c r="A41" s="3"/>
      <c r="B41" s="3"/>
      <c r="C41" s="29"/>
      <c r="D41" s="133">
        <f>Asset34</f>
        <v>0</v>
      </c>
      <c r="E41" s="3"/>
      <c r="F41" s="3"/>
      <c r="G41" s="1393">
        <f>'Capital Base roll forward'!G751</f>
        <v>0</v>
      </c>
      <c r="H41" s="1341">
        <f t="shared" si="4"/>
        <v>0</v>
      </c>
      <c r="I41" s="1341">
        <f t="shared" si="5"/>
        <v>0</v>
      </c>
      <c r="J41" s="1341">
        <f>IF(COUNT($H41:I41)&gt;='RFM input'!$V$7,0,I41+I93+I145)</f>
        <v>0</v>
      </c>
      <c r="K41" s="1341">
        <f>IF(COUNT($H41:J41)&gt;='RFM input'!$V$7,0,J41+J93+J145)</f>
        <v>0</v>
      </c>
      <c r="L41" s="1341">
        <f>IF(COUNT($H41:K41)&gt;='RFM input'!$V$7,0,K41+K93+K145)</f>
        <v>0</v>
      </c>
      <c r="M41" s="1341">
        <f>IF(COUNT($H41:L41)&gt;='RFM input'!$V$7,0,L41+L93+L145)</f>
        <v>0</v>
      </c>
      <c r="N41" s="1341">
        <f>IF(COUNT($H41:M41)&gt;='RFM input'!$V$7,0,M41+M93+M145)</f>
        <v>0</v>
      </c>
      <c r="O41" s="1341">
        <f>IF(COUNT($H41:N41)&gt;='RFM input'!$V$7,0,N41+N93+N145)</f>
        <v>0</v>
      </c>
      <c r="P41" s="1341">
        <f>IF(COUNT($H41:O41)&gt;='RFM input'!$V$7,0,O41+O93+O145)</f>
        <v>0</v>
      </c>
      <c r="Q41" s="1341">
        <f>IF(COUNT($H41:P41)&gt;='RFM input'!$V$7,0,P41+P93+P145)</f>
        <v>0</v>
      </c>
      <c r="R41" s="1341"/>
      <c r="S41" s="71"/>
      <c r="T41" s="71"/>
      <c r="U41" s="71"/>
      <c r="V41" s="71"/>
      <c r="W41" s="71"/>
      <c r="X41" s="71"/>
      <c r="Y41" s="71"/>
      <c r="Z41" s="71"/>
      <c r="AA41" s="152"/>
    </row>
    <row r="42" spans="1:27" hidden="1" outlineLevel="1">
      <c r="A42" s="3"/>
      <c r="B42" s="3"/>
      <c r="C42" s="29"/>
      <c r="D42" s="133">
        <f>Asset35</f>
        <v>0</v>
      </c>
      <c r="E42" s="3"/>
      <c r="F42" s="3"/>
      <c r="G42" s="1393">
        <f>'Capital Base roll forward'!G752</f>
        <v>0</v>
      </c>
      <c r="H42" s="1341">
        <f t="shared" si="4"/>
        <v>0</v>
      </c>
      <c r="I42" s="1341">
        <f t="shared" si="5"/>
        <v>0</v>
      </c>
      <c r="J42" s="1341">
        <f>IF(COUNT($H42:I42)&gt;='RFM input'!$V$7,0,I42+I94+I146)</f>
        <v>0</v>
      </c>
      <c r="K42" s="1341">
        <f>IF(COUNT($H42:J42)&gt;='RFM input'!$V$7,0,J42+J94+J146)</f>
        <v>0</v>
      </c>
      <c r="L42" s="1341">
        <f>IF(COUNT($H42:K42)&gt;='RFM input'!$V$7,0,K42+K94+K146)</f>
        <v>0</v>
      </c>
      <c r="M42" s="1341">
        <f>IF(COUNT($H42:L42)&gt;='RFM input'!$V$7,0,L42+L94+L146)</f>
        <v>0</v>
      </c>
      <c r="N42" s="1341">
        <f>IF(COUNT($H42:M42)&gt;='RFM input'!$V$7,0,M42+M94+M146)</f>
        <v>0</v>
      </c>
      <c r="O42" s="1341">
        <f>IF(COUNT($H42:N42)&gt;='RFM input'!$V$7,0,N42+N94+N146)</f>
        <v>0</v>
      </c>
      <c r="P42" s="1341">
        <f>IF(COUNT($H42:O42)&gt;='RFM input'!$V$7,0,O42+O94+O146)</f>
        <v>0</v>
      </c>
      <c r="Q42" s="1341">
        <f>IF(COUNT($H42:P42)&gt;='RFM input'!$V$7,0,P42+P94+P146)</f>
        <v>0</v>
      </c>
      <c r="R42" s="1341"/>
      <c r="S42" s="71"/>
      <c r="T42" s="71"/>
      <c r="U42" s="71"/>
      <c r="V42" s="71"/>
      <c r="W42" s="71"/>
      <c r="X42" s="71"/>
      <c r="Y42" s="71"/>
      <c r="Z42" s="71"/>
      <c r="AA42" s="152"/>
    </row>
    <row r="43" spans="1:27" hidden="1" outlineLevel="1">
      <c r="A43" s="3"/>
      <c r="B43" s="3"/>
      <c r="C43" s="29"/>
      <c r="D43" s="133">
        <f>Asset36</f>
        <v>0</v>
      </c>
      <c r="E43" s="3"/>
      <c r="F43" s="3"/>
      <c r="G43" s="1393">
        <f>'Capital Base roll forward'!G753</f>
        <v>0</v>
      </c>
      <c r="H43" s="1341">
        <f t="shared" si="4"/>
        <v>0</v>
      </c>
      <c r="I43" s="1341">
        <f t="shared" si="5"/>
        <v>0</v>
      </c>
      <c r="J43" s="1341">
        <f>IF(COUNT($H43:I43)&gt;='RFM input'!$V$7,0,I43+I95+I147)</f>
        <v>0</v>
      </c>
      <c r="K43" s="1341">
        <f>IF(COUNT($H43:J43)&gt;='RFM input'!$V$7,0,J43+J95+J147)</f>
        <v>0</v>
      </c>
      <c r="L43" s="1341">
        <f>IF(COUNT($H43:K43)&gt;='RFM input'!$V$7,0,K43+K95+K147)</f>
        <v>0</v>
      </c>
      <c r="M43" s="1341">
        <f>IF(COUNT($H43:L43)&gt;='RFM input'!$V$7,0,L43+L95+L147)</f>
        <v>0</v>
      </c>
      <c r="N43" s="1341">
        <f>IF(COUNT($H43:M43)&gt;='RFM input'!$V$7,0,M43+M95+M147)</f>
        <v>0</v>
      </c>
      <c r="O43" s="1341">
        <f>IF(COUNT($H43:N43)&gt;='RFM input'!$V$7,0,N43+N95+N147)</f>
        <v>0</v>
      </c>
      <c r="P43" s="1341">
        <f>IF(COUNT($H43:O43)&gt;='RFM input'!$V$7,0,O43+O95+O147)</f>
        <v>0</v>
      </c>
      <c r="Q43" s="1341">
        <f>IF(COUNT($H43:P43)&gt;='RFM input'!$V$7,0,P43+P95+P147)</f>
        <v>0</v>
      </c>
      <c r="R43" s="1341"/>
      <c r="S43" s="71"/>
      <c r="T43" s="71"/>
      <c r="U43" s="71"/>
      <c r="V43" s="71"/>
      <c r="W43" s="71"/>
      <c r="X43" s="71"/>
      <c r="Y43" s="71"/>
      <c r="Z43" s="71"/>
      <c r="AA43" s="152"/>
    </row>
    <row r="44" spans="1:27" hidden="1" outlineLevel="1">
      <c r="A44" s="3"/>
      <c r="B44" s="3"/>
      <c r="C44" s="29"/>
      <c r="D44" s="133">
        <f>Asset37</f>
        <v>0</v>
      </c>
      <c r="E44" s="3"/>
      <c r="F44" s="3"/>
      <c r="G44" s="1393">
        <f>'Capital Base roll forward'!G754</f>
        <v>0</v>
      </c>
      <c r="H44" s="1341">
        <f t="shared" si="4"/>
        <v>0</v>
      </c>
      <c r="I44" s="1341">
        <f t="shared" si="5"/>
        <v>0</v>
      </c>
      <c r="J44" s="1341">
        <f>IF(COUNT($H44:I44)&gt;='RFM input'!$V$7,0,I44+I96+I148)</f>
        <v>0</v>
      </c>
      <c r="K44" s="1341">
        <f>IF(COUNT($H44:J44)&gt;='RFM input'!$V$7,0,J44+J96+J148)</f>
        <v>0</v>
      </c>
      <c r="L44" s="1341">
        <f>IF(COUNT($H44:K44)&gt;='RFM input'!$V$7,0,K44+K96+K148)</f>
        <v>0</v>
      </c>
      <c r="M44" s="1341">
        <f>IF(COUNT($H44:L44)&gt;='RFM input'!$V$7,0,L44+L96+L148)</f>
        <v>0</v>
      </c>
      <c r="N44" s="1341">
        <f>IF(COUNT($H44:M44)&gt;='RFM input'!$V$7,0,M44+M96+M148)</f>
        <v>0</v>
      </c>
      <c r="O44" s="1341">
        <f>IF(COUNT($H44:N44)&gt;='RFM input'!$V$7,0,N44+N96+N148)</f>
        <v>0</v>
      </c>
      <c r="P44" s="1341">
        <f>IF(COUNT($H44:O44)&gt;='RFM input'!$V$7,0,O44+O96+O148)</f>
        <v>0</v>
      </c>
      <c r="Q44" s="1341">
        <f>IF(COUNT($H44:P44)&gt;='RFM input'!$V$7,0,P44+P96+P148)</f>
        <v>0</v>
      </c>
      <c r="R44" s="1341"/>
      <c r="S44" s="71"/>
      <c r="T44" s="71"/>
      <c r="U44" s="71"/>
      <c r="V44" s="71"/>
      <c r="W44" s="71"/>
      <c r="X44" s="71"/>
      <c r="Y44" s="71"/>
      <c r="Z44" s="71"/>
      <c r="AA44" s="152"/>
    </row>
    <row r="45" spans="1:27" hidden="1" outlineLevel="1">
      <c r="A45" s="3"/>
      <c r="B45" s="3"/>
      <c r="C45" s="29"/>
      <c r="D45" s="133">
        <f>Asset38</f>
        <v>0</v>
      </c>
      <c r="E45" s="3"/>
      <c r="F45" s="3"/>
      <c r="G45" s="1393">
        <f>'Capital Base roll forward'!G755</f>
        <v>0</v>
      </c>
      <c r="H45" s="1341">
        <f t="shared" si="4"/>
        <v>0</v>
      </c>
      <c r="I45" s="1341">
        <f t="shared" si="5"/>
        <v>0</v>
      </c>
      <c r="J45" s="1341">
        <f>IF(COUNT($H45:I45)&gt;='RFM input'!$V$7,0,I45+I97+I149)</f>
        <v>0</v>
      </c>
      <c r="K45" s="1341">
        <f>IF(COUNT($H45:J45)&gt;='RFM input'!$V$7,0,J45+J97+J149)</f>
        <v>0</v>
      </c>
      <c r="L45" s="1341">
        <f>IF(COUNT($H45:K45)&gt;='RFM input'!$V$7,0,K45+K97+K149)</f>
        <v>0</v>
      </c>
      <c r="M45" s="1341">
        <f>IF(COUNT($H45:L45)&gt;='RFM input'!$V$7,0,L45+L97+L149)</f>
        <v>0</v>
      </c>
      <c r="N45" s="1341">
        <f>IF(COUNT($H45:M45)&gt;='RFM input'!$V$7,0,M45+M97+M149)</f>
        <v>0</v>
      </c>
      <c r="O45" s="1341">
        <f>IF(COUNT($H45:N45)&gt;='RFM input'!$V$7,0,N45+N97+N149)</f>
        <v>0</v>
      </c>
      <c r="P45" s="1341">
        <f>IF(COUNT($H45:O45)&gt;='RFM input'!$V$7,0,O45+O97+O149)</f>
        <v>0</v>
      </c>
      <c r="Q45" s="1341">
        <f>IF(COUNT($H45:P45)&gt;='RFM input'!$V$7,0,P45+P97+P149)</f>
        <v>0</v>
      </c>
      <c r="R45" s="1341"/>
      <c r="S45" s="71"/>
      <c r="T45" s="71"/>
      <c r="U45" s="71"/>
      <c r="V45" s="71"/>
      <c r="W45" s="71"/>
      <c r="X45" s="71"/>
      <c r="Y45" s="71"/>
      <c r="Z45" s="71"/>
      <c r="AA45" s="152"/>
    </row>
    <row r="46" spans="1:27" hidden="1" outlineLevel="1">
      <c r="A46" s="3"/>
      <c r="B46" s="3"/>
      <c r="C46" s="29"/>
      <c r="D46" s="133">
        <f>Asset39</f>
        <v>0</v>
      </c>
      <c r="E46" s="3"/>
      <c r="F46" s="3"/>
      <c r="G46" s="1393">
        <f>'Capital Base roll forward'!G756</f>
        <v>0</v>
      </c>
      <c r="H46" s="1341">
        <f t="shared" si="4"/>
        <v>0</v>
      </c>
      <c r="I46" s="1341">
        <f t="shared" si="5"/>
        <v>0</v>
      </c>
      <c r="J46" s="1341">
        <f>IF(COUNT($H46:I46)&gt;='RFM input'!$V$7,0,I46+I98+I150)</f>
        <v>0</v>
      </c>
      <c r="K46" s="1341">
        <f>IF(COUNT($H46:J46)&gt;='RFM input'!$V$7,0,J46+J98+J150)</f>
        <v>0</v>
      </c>
      <c r="L46" s="1341">
        <f>IF(COUNT($H46:K46)&gt;='RFM input'!$V$7,0,K46+K98+K150)</f>
        <v>0</v>
      </c>
      <c r="M46" s="1341">
        <f>IF(COUNT($H46:L46)&gt;='RFM input'!$V$7,0,L46+L98+L150)</f>
        <v>0</v>
      </c>
      <c r="N46" s="1341">
        <f>IF(COUNT($H46:M46)&gt;='RFM input'!$V$7,0,M46+M98+M150)</f>
        <v>0</v>
      </c>
      <c r="O46" s="1341">
        <f>IF(COUNT($H46:N46)&gt;='RFM input'!$V$7,0,N46+N98+N150)</f>
        <v>0</v>
      </c>
      <c r="P46" s="1341">
        <f>IF(COUNT($H46:O46)&gt;='RFM input'!$V$7,0,O46+O98+O150)</f>
        <v>0</v>
      </c>
      <c r="Q46" s="1341">
        <f>IF(COUNT($H46:P46)&gt;='RFM input'!$V$7,0,P46+P98+P150)</f>
        <v>0</v>
      </c>
      <c r="R46" s="1341"/>
      <c r="S46" s="71"/>
      <c r="T46" s="71"/>
      <c r="U46" s="71"/>
      <c r="V46" s="71"/>
      <c r="W46" s="71"/>
      <c r="X46" s="71"/>
      <c r="Y46" s="71"/>
      <c r="Z46" s="71"/>
      <c r="AA46" s="152"/>
    </row>
    <row r="47" spans="1:27" hidden="1" outlineLevel="1">
      <c r="A47" s="3"/>
      <c r="B47" s="3"/>
      <c r="C47" s="29"/>
      <c r="D47" s="133">
        <f>Asset40</f>
        <v>0</v>
      </c>
      <c r="E47" s="3"/>
      <c r="F47" s="3"/>
      <c r="G47" s="1393">
        <f>'Capital Base roll forward'!G757</f>
        <v>0</v>
      </c>
      <c r="H47" s="1341">
        <f t="shared" si="4"/>
        <v>0</v>
      </c>
      <c r="I47" s="1341">
        <f t="shared" si="5"/>
        <v>0</v>
      </c>
      <c r="J47" s="1341">
        <f>IF(COUNT($H47:I47)&gt;='RFM input'!$V$7,0,I47+I99+I151)</f>
        <v>0</v>
      </c>
      <c r="K47" s="1341">
        <f>IF(COUNT($H47:J47)&gt;='RFM input'!$V$7,0,J47+J99+J151)</f>
        <v>0</v>
      </c>
      <c r="L47" s="1341">
        <f>IF(COUNT($H47:K47)&gt;='RFM input'!$V$7,0,K47+K99+K151)</f>
        <v>0</v>
      </c>
      <c r="M47" s="1341">
        <f>IF(COUNT($H47:L47)&gt;='RFM input'!$V$7,0,L47+L99+L151)</f>
        <v>0</v>
      </c>
      <c r="N47" s="1341">
        <f>IF(COUNT($H47:M47)&gt;='RFM input'!$V$7,0,M47+M99+M151)</f>
        <v>0</v>
      </c>
      <c r="O47" s="1341">
        <f>IF(COUNT($H47:N47)&gt;='RFM input'!$V$7,0,N47+N99+N151)</f>
        <v>0</v>
      </c>
      <c r="P47" s="1341">
        <f>IF(COUNT($H47:O47)&gt;='RFM input'!$V$7,0,O47+O99+O151)</f>
        <v>0</v>
      </c>
      <c r="Q47" s="1341">
        <f>IF(COUNT($H47:P47)&gt;='RFM input'!$V$7,0,P47+P99+P151)</f>
        <v>0</v>
      </c>
      <c r="R47" s="1341"/>
      <c r="S47" s="71"/>
      <c r="T47" s="71"/>
      <c r="U47" s="71"/>
      <c r="V47" s="71"/>
      <c r="W47" s="71"/>
      <c r="X47" s="71"/>
      <c r="Y47" s="71"/>
      <c r="Z47" s="71"/>
      <c r="AA47" s="152"/>
    </row>
    <row r="48" spans="1:27" hidden="1" outlineLevel="1">
      <c r="A48" s="3"/>
      <c r="B48" s="3"/>
      <c r="C48" s="29"/>
      <c r="D48" s="133">
        <f>Asset41</f>
        <v>0</v>
      </c>
      <c r="E48" s="3"/>
      <c r="F48" s="3"/>
      <c r="G48" s="1393">
        <f>'Capital Base roll forward'!G758</f>
        <v>0</v>
      </c>
      <c r="H48" s="1341">
        <f t="shared" si="4"/>
        <v>0</v>
      </c>
      <c r="I48" s="1341">
        <f t="shared" si="5"/>
        <v>0</v>
      </c>
      <c r="J48" s="1341">
        <f>IF(COUNT($H48:I48)&gt;='RFM input'!$V$7,0,I48+I100+I152)</f>
        <v>0</v>
      </c>
      <c r="K48" s="1341">
        <f>IF(COUNT($H48:J48)&gt;='RFM input'!$V$7,0,J48+J100+J152)</f>
        <v>0</v>
      </c>
      <c r="L48" s="1341">
        <f>IF(COUNT($H48:K48)&gt;='RFM input'!$V$7,0,K48+K100+K152)</f>
        <v>0</v>
      </c>
      <c r="M48" s="1341">
        <f>IF(COUNT($H48:L48)&gt;='RFM input'!$V$7,0,L48+L100+L152)</f>
        <v>0</v>
      </c>
      <c r="N48" s="1341">
        <f>IF(COUNT($H48:M48)&gt;='RFM input'!$V$7,0,M48+M100+M152)</f>
        <v>0</v>
      </c>
      <c r="O48" s="1341">
        <f>IF(COUNT($H48:N48)&gt;='RFM input'!$V$7,0,N48+N100+N152)</f>
        <v>0</v>
      </c>
      <c r="P48" s="1341">
        <f>IF(COUNT($H48:O48)&gt;='RFM input'!$V$7,0,O48+O100+O152)</f>
        <v>0</v>
      </c>
      <c r="Q48" s="1341">
        <f>IF(COUNT($H48:P48)&gt;='RFM input'!$V$7,0,P48+P100+P152)</f>
        <v>0</v>
      </c>
      <c r="R48" s="1341"/>
      <c r="S48" s="71"/>
      <c r="T48" s="71"/>
      <c r="U48" s="71"/>
      <c r="V48" s="71"/>
      <c r="W48" s="71"/>
      <c r="X48" s="71"/>
      <c r="Y48" s="71"/>
      <c r="Z48" s="71"/>
      <c r="AA48" s="152"/>
    </row>
    <row r="49" spans="1:27" hidden="1" outlineLevel="1">
      <c r="A49" s="3"/>
      <c r="B49" s="3"/>
      <c r="C49" s="29"/>
      <c r="D49" s="133">
        <f>Asset42</f>
        <v>0</v>
      </c>
      <c r="E49" s="3"/>
      <c r="F49" s="3"/>
      <c r="G49" s="1393">
        <f>'Capital Base roll forward'!G759</f>
        <v>0</v>
      </c>
      <c r="H49" s="1341">
        <f t="shared" si="4"/>
        <v>0</v>
      </c>
      <c r="I49" s="1341">
        <f t="shared" si="5"/>
        <v>0</v>
      </c>
      <c r="J49" s="1341">
        <f>IF(COUNT($H49:I49)&gt;='RFM input'!$V$7,0,I49+I101+I153)</f>
        <v>0</v>
      </c>
      <c r="K49" s="1341">
        <f>IF(COUNT($H49:J49)&gt;='RFM input'!$V$7,0,J49+J101+J153)</f>
        <v>0</v>
      </c>
      <c r="L49" s="1341">
        <f>IF(COUNT($H49:K49)&gt;='RFM input'!$V$7,0,K49+K101+K153)</f>
        <v>0</v>
      </c>
      <c r="M49" s="1341">
        <f>IF(COUNT($H49:L49)&gt;='RFM input'!$V$7,0,L49+L101+L153)</f>
        <v>0</v>
      </c>
      <c r="N49" s="1341">
        <f>IF(COUNT($H49:M49)&gt;='RFM input'!$V$7,0,M49+M101+M153)</f>
        <v>0</v>
      </c>
      <c r="O49" s="1341">
        <f>IF(COUNT($H49:N49)&gt;='RFM input'!$V$7,0,N49+N101+N153)</f>
        <v>0</v>
      </c>
      <c r="P49" s="1341">
        <f>IF(COUNT($H49:O49)&gt;='RFM input'!$V$7,0,O49+O101+O153)</f>
        <v>0</v>
      </c>
      <c r="Q49" s="1341">
        <f>IF(COUNT($H49:P49)&gt;='RFM input'!$V$7,0,P49+P101+P153)</f>
        <v>0</v>
      </c>
      <c r="R49" s="1341"/>
      <c r="S49" s="71"/>
      <c r="T49" s="71"/>
      <c r="U49" s="71"/>
      <c r="V49" s="71"/>
      <c r="W49" s="71"/>
      <c r="X49" s="71"/>
      <c r="Y49" s="71"/>
      <c r="Z49" s="71"/>
      <c r="AA49" s="152"/>
    </row>
    <row r="50" spans="1:27" hidden="1" outlineLevel="1">
      <c r="A50" s="3"/>
      <c r="B50" s="3"/>
      <c r="C50" s="29"/>
      <c r="D50" s="133">
        <f>Asset43</f>
        <v>0</v>
      </c>
      <c r="E50" s="3"/>
      <c r="F50" s="3"/>
      <c r="G50" s="1393">
        <f>'Capital Base roll forward'!G760</f>
        <v>0</v>
      </c>
      <c r="H50" s="1341">
        <f t="shared" si="4"/>
        <v>0</v>
      </c>
      <c r="I50" s="1341">
        <f t="shared" si="5"/>
        <v>0</v>
      </c>
      <c r="J50" s="1341">
        <f>IF(COUNT($H50:I50)&gt;='RFM input'!$V$7,0,I50+I102+I154)</f>
        <v>0</v>
      </c>
      <c r="K50" s="1341">
        <f>IF(COUNT($H50:J50)&gt;='RFM input'!$V$7,0,J50+J102+J154)</f>
        <v>0</v>
      </c>
      <c r="L50" s="1341">
        <f>IF(COUNT($H50:K50)&gt;='RFM input'!$V$7,0,K50+K102+K154)</f>
        <v>0</v>
      </c>
      <c r="M50" s="1341">
        <f>IF(COUNT($H50:L50)&gt;='RFM input'!$V$7,0,L50+L102+L154)</f>
        <v>0</v>
      </c>
      <c r="N50" s="1341">
        <f>IF(COUNT($H50:M50)&gt;='RFM input'!$V$7,0,M50+M102+M154)</f>
        <v>0</v>
      </c>
      <c r="O50" s="1341">
        <f>IF(COUNT($H50:N50)&gt;='RFM input'!$V$7,0,N50+N102+N154)</f>
        <v>0</v>
      </c>
      <c r="P50" s="1341">
        <f>IF(COUNT($H50:O50)&gt;='RFM input'!$V$7,0,O50+O102+O154)</f>
        <v>0</v>
      </c>
      <c r="Q50" s="1341">
        <f>IF(COUNT($H50:P50)&gt;='RFM input'!$V$7,0,P50+P102+P154)</f>
        <v>0</v>
      </c>
      <c r="R50" s="1341"/>
      <c r="S50" s="71"/>
      <c r="T50" s="71"/>
      <c r="U50" s="71"/>
      <c r="V50" s="71"/>
      <c r="W50" s="71"/>
      <c r="X50" s="71"/>
      <c r="Y50" s="71"/>
      <c r="Z50" s="71"/>
      <c r="AA50" s="152"/>
    </row>
    <row r="51" spans="1:27" hidden="1" outlineLevel="1">
      <c r="A51" s="3"/>
      <c r="B51" s="3"/>
      <c r="C51" s="29"/>
      <c r="D51" s="133">
        <f>Asset44</f>
        <v>0</v>
      </c>
      <c r="E51" s="3"/>
      <c r="F51" s="3"/>
      <c r="G51" s="1393">
        <f>'Capital Base roll forward'!G761</f>
        <v>0</v>
      </c>
      <c r="H51" s="1341">
        <f t="shared" si="4"/>
        <v>0</v>
      </c>
      <c r="I51" s="1341">
        <f t="shared" si="5"/>
        <v>0</v>
      </c>
      <c r="J51" s="1341">
        <f>IF(COUNT($H51:I51)&gt;='RFM input'!$V$7,0,I51+I103+I155)</f>
        <v>0</v>
      </c>
      <c r="K51" s="1341">
        <f>IF(COUNT($H51:J51)&gt;='RFM input'!$V$7,0,J51+J103+J155)</f>
        <v>0</v>
      </c>
      <c r="L51" s="1341">
        <f>IF(COUNT($H51:K51)&gt;='RFM input'!$V$7,0,K51+K103+K155)</f>
        <v>0</v>
      </c>
      <c r="M51" s="1341">
        <f>IF(COUNT($H51:L51)&gt;='RFM input'!$V$7,0,L51+L103+L155)</f>
        <v>0</v>
      </c>
      <c r="N51" s="1341">
        <f>IF(COUNT($H51:M51)&gt;='RFM input'!$V$7,0,M51+M103+M155)</f>
        <v>0</v>
      </c>
      <c r="O51" s="1341">
        <f>IF(COUNT($H51:N51)&gt;='RFM input'!$V$7,0,N51+N103+N155)</f>
        <v>0</v>
      </c>
      <c r="P51" s="1341">
        <f>IF(COUNT($H51:O51)&gt;='RFM input'!$V$7,0,O51+O103+O155)</f>
        <v>0</v>
      </c>
      <c r="Q51" s="1341">
        <f>IF(COUNT($H51:P51)&gt;='RFM input'!$V$7,0,P51+P103+P155)</f>
        <v>0</v>
      </c>
      <c r="R51" s="1341"/>
      <c r="S51" s="71"/>
      <c r="T51" s="71"/>
      <c r="U51" s="71"/>
      <c r="V51" s="71"/>
      <c r="W51" s="71"/>
      <c r="X51" s="71"/>
      <c r="Y51" s="71"/>
      <c r="Z51" s="71"/>
      <c r="AA51" s="152"/>
    </row>
    <row r="52" spans="1:27" hidden="1" outlineLevel="1">
      <c r="A52" s="3"/>
      <c r="B52" s="3"/>
      <c r="C52" s="29"/>
      <c r="D52" s="133">
        <f>Asset45</f>
        <v>0</v>
      </c>
      <c r="E52" s="3"/>
      <c r="F52" s="3"/>
      <c r="G52" s="1393">
        <f>'Capital Base roll forward'!G762</f>
        <v>0</v>
      </c>
      <c r="H52" s="1341">
        <f t="shared" si="4"/>
        <v>0</v>
      </c>
      <c r="I52" s="1341">
        <f t="shared" si="5"/>
        <v>0</v>
      </c>
      <c r="J52" s="1341">
        <f>IF(COUNT($H52:I52)&gt;='RFM input'!$V$7,0,I52+I104+I156)</f>
        <v>0</v>
      </c>
      <c r="K52" s="1341">
        <f>IF(COUNT($H52:J52)&gt;='RFM input'!$V$7,0,J52+J104+J156)</f>
        <v>0</v>
      </c>
      <c r="L52" s="1341">
        <f>IF(COUNT($H52:K52)&gt;='RFM input'!$V$7,0,K52+K104+K156)</f>
        <v>0</v>
      </c>
      <c r="M52" s="1341">
        <f>IF(COUNT($H52:L52)&gt;='RFM input'!$V$7,0,L52+L104+L156)</f>
        <v>0</v>
      </c>
      <c r="N52" s="1341">
        <f>IF(COUNT($H52:M52)&gt;='RFM input'!$V$7,0,M52+M104+M156)</f>
        <v>0</v>
      </c>
      <c r="O52" s="1341">
        <f>IF(COUNT($H52:N52)&gt;='RFM input'!$V$7,0,N52+N104+N156)</f>
        <v>0</v>
      </c>
      <c r="P52" s="1341">
        <f>IF(COUNT($H52:O52)&gt;='RFM input'!$V$7,0,O52+O104+O156)</f>
        <v>0</v>
      </c>
      <c r="Q52" s="1341">
        <f>IF(COUNT($H52:P52)&gt;='RFM input'!$V$7,0,P52+P104+P156)</f>
        <v>0</v>
      </c>
      <c r="R52" s="1341"/>
      <c r="S52" s="71"/>
      <c r="T52" s="71"/>
      <c r="U52" s="71"/>
      <c r="V52" s="71"/>
      <c r="W52" s="71"/>
      <c r="X52" s="71"/>
      <c r="Y52" s="71"/>
      <c r="Z52" s="71"/>
      <c r="AA52" s="152"/>
    </row>
    <row r="53" spans="1:27" hidden="1" outlineLevel="1">
      <c r="A53" s="3"/>
      <c r="B53" s="3"/>
      <c r="C53" s="29"/>
      <c r="D53" s="133">
        <f>Asset46</f>
        <v>0</v>
      </c>
      <c r="E53" s="3"/>
      <c r="F53" s="3"/>
      <c r="G53" s="1393">
        <f>'Capital Base roll forward'!G763</f>
        <v>0</v>
      </c>
      <c r="H53" s="1341">
        <f t="shared" si="4"/>
        <v>0</v>
      </c>
      <c r="I53" s="1341">
        <f t="shared" si="5"/>
        <v>0</v>
      </c>
      <c r="J53" s="1341">
        <f>IF(COUNT($H53:I53)&gt;='RFM input'!$V$7,0,I53+I105+I157)</f>
        <v>0</v>
      </c>
      <c r="K53" s="1341">
        <f>IF(COUNT($H53:J53)&gt;='RFM input'!$V$7,0,J53+J105+J157)</f>
        <v>0</v>
      </c>
      <c r="L53" s="1341">
        <f>IF(COUNT($H53:K53)&gt;='RFM input'!$V$7,0,K53+K105+K157)</f>
        <v>0</v>
      </c>
      <c r="M53" s="1341">
        <f>IF(COUNT($H53:L53)&gt;='RFM input'!$V$7,0,L53+L105+L157)</f>
        <v>0</v>
      </c>
      <c r="N53" s="1341">
        <f>IF(COUNT($H53:M53)&gt;='RFM input'!$V$7,0,M53+M105+M157)</f>
        <v>0</v>
      </c>
      <c r="O53" s="1341">
        <f>IF(COUNT($H53:N53)&gt;='RFM input'!$V$7,0,N53+N105+N157)</f>
        <v>0</v>
      </c>
      <c r="P53" s="1341">
        <f>IF(COUNT($H53:O53)&gt;='RFM input'!$V$7,0,O53+O105+O157)</f>
        <v>0</v>
      </c>
      <c r="Q53" s="1341">
        <f>IF(COUNT($H53:P53)&gt;='RFM input'!$V$7,0,P53+P105+P157)</f>
        <v>0</v>
      </c>
      <c r="R53" s="1341"/>
      <c r="S53" s="71"/>
      <c r="T53" s="71"/>
      <c r="U53" s="71"/>
      <c r="V53" s="71"/>
      <c r="W53" s="71"/>
      <c r="X53" s="71"/>
      <c r="Y53" s="71"/>
      <c r="Z53" s="71"/>
      <c r="AA53" s="152"/>
    </row>
    <row r="54" spans="1:27" hidden="1" outlineLevel="1">
      <c r="A54" s="3"/>
      <c r="B54" s="3"/>
      <c r="C54" s="29"/>
      <c r="D54" s="133">
        <f>Asset47</f>
        <v>0</v>
      </c>
      <c r="E54" s="3"/>
      <c r="F54" s="3"/>
      <c r="G54" s="1393">
        <f>'Capital Base roll forward'!G764</f>
        <v>0</v>
      </c>
      <c r="H54" s="1341">
        <f t="shared" si="4"/>
        <v>0</v>
      </c>
      <c r="I54" s="1341">
        <f t="shared" si="5"/>
        <v>0</v>
      </c>
      <c r="J54" s="1341">
        <f>IF(COUNT($H54:I54)&gt;='RFM input'!$V$7,0,I54+I106+I158)</f>
        <v>0</v>
      </c>
      <c r="K54" s="1341">
        <f>IF(COUNT($H54:J54)&gt;='RFM input'!$V$7,0,J54+J106+J158)</f>
        <v>0</v>
      </c>
      <c r="L54" s="1341">
        <f>IF(COUNT($H54:K54)&gt;='RFM input'!$V$7,0,K54+K106+K158)</f>
        <v>0</v>
      </c>
      <c r="M54" s="1341">
        <f>IF(COUNT($H54:L54)&gt;='RFM input'!$V$7,0,L54+L106+L158)</f>
        <v>0</v>
      </c>
      <c r="N54" s="1341">
        <f>IF(COUNT($H54:M54)&gt;='RFM input'!$V$7,0,M54+M106+M158)</f>
        <v>0</v>
      </c>
      <c r="O54" s="1341">
        <f>IF(COUNT($H54:N54)&gt;='RFM input'!$V$7,0,N54+N106+N158)</f>
        <v>0</v>
      </c>
      <c r="P54" s="1341">
        <f>IF(COUNT($H54:O54)&gt;='RFM input'!$V$7,0,O54+O106+O158)</f>
        <v>0</v>
      </c>
      <c r="Q54" s="1341">
        <f>IF(COUNT($H54:P54)&gt;='RFM input'!$V$7,0,P54+P106+P158)</f>
        <v>0</v>
      </c>
      <c r="R54" s="1341"/>
      <c r="S54" s="71"/>
      <c r="T54" s="71"/>
      <c r="U54" s="71"/>
      <c r="V54" s="71"/>
      <c r="W54" s="71"/>
      <c r="X54" s="71"/>
      <c r="Y54" s="71"/>
      <c r="Z54" s="71"/>
      <c r="AA54" s="152"/>
    </row>
    <row r="55" spans="1:27" hidden="1" outlineLevel="1">
      <c r="A55" s="3"/>
      <c r="B55" s="3"/>
      <c r="C55" s="29"/>
      <c r="D55" s="133">
        <f>Asset48</f>
        <v>0</v>
      </c>
      <c r="E55" s="3"/>
      <c r="F55" s="3"/>
      <c r="G55" s="1393">
        <f>'Capital Base roll forward'!G765</f>
        <v>0</v>
      </c>
      <c r="H55" s="1341">
        <f t="shared" si="4"/>
        <v>0</v>
      </c>
      <c r="I55" s="1341">
        <f t="shared" si="5"/>
        <v>0</v>
      </c>
      <c r="J55" s="1341">
        <f>IF(COUNT($H55:I55)&gt;='RFM input'!$V$7,0,I55+I107+I159)</f>
        <v>0</v>
      </c>
      <c r="K55" s="1341">
        <f>IF(COUNT($H55:J55)&gt;='RFM input'!$V$7,0,J55+J107+J159)</f>
        <v>0</v>
      </c>
      <c r="L55" s="1341">
        <f>IF(COUNT($H55:K55)&gt;='RFM input'!$V$7,0,K55+K107+K159)</f>
        <v>0</v>
      </c>
      <c r="M55" s="1341">
        <f>IF(COUNT($H55:L55)&gt;='RFM input'!$V$7,0,L55+L107+L159)</f>
        <v>0</v>
      </c>
      <c r="N55" s="1341">
        <f>IF(COUNT($H55:M55)&gt;='RFM input'!$V$7,0,M55+M107+M159)</f>
        <v>0</v>
      </c>
      <c r="O55" s="1341">
        <f>IF(COUNT($H55:N55)&gt;='RFM input'!$V$7,0,N55+N107+N159)</f>
        <v>0</v>
      </c>
      <c r="P55" s="1341">
        <f>IF(COUNT($H55:O55)&gt;='RFM input'!$V$7,0,O55+O107+O159)</f>
        <v>0</v>
      </c>
      <c r="Q55" s="1341">
        <f>IF(COUNT($H55:P55)&gt;='RFM input'!$V$7,0,P55+P107+P159)</f>
        <v>0</v>
      </c>
      <c r="R55" s="1341"/>
      <c r="S55" s="71"/>
      <c r="T55" s="71"/>
      <c r="U55" s="71"/>
      <c r="V55" s="71"/>
      <c r="W55" s="71"/>
      <c r="X55" s="71"/>
      <c r="Y55" s="71"/>
      <c r="Z55" s="71"/>
      <c r="AA55" s="152"/>
    </row>
    <row r="56" spans="1:27" hidden="1" outlineLevel="1">
      <c r="A56" s="3"/>
      <c r="B56" s="3"/>
      <c r="C56" s="29"/>
      <c r="D56" s="133">
        <f>Asset49</f>
        <v>0</v>
      </c>
      <c r="E56" s="3"/>
      <c r="F56" s="3"/>
      <c r="G56" s="1393">
        <f>'Capital Base roll forward'!G766</f>
        <v>0</v>
      </c>
      <c r="H56" s="1341">
        <f t="shared" si="4"/>
        <v>0</v>
      </c>
      <c r="I56" s="1341">
        <f t="shared" si="5"/>
        <v>0</v>
      </c>
      <c r="J56" s="1341">
        <f>IF(COUNT($H56:I56)&gt;='RFM input'!$V$7,0,I56+I108+I160)</f>
        <v>0</v>
      </c>
      <c r="K56" s="1341">
        <f>IF(COUNT($H56:J56)&gt;='RFM input'!$V$7,0,J56+J108+J160)</f>
        <v>0</v>
      </c>
      <c r="L56" s="1341">
        <f>IF(COUNT($H56:K56)&gt;='RFM input'!$V$7,0,K56+K108+K160)</f>
        <v>0</v>
      </c>
      <c r="M56" s="1341">
        <f>IF(COUNT($H56:L56)&gt;='RFM input'!$V$7,0,L56+L108+L160)</f>
        <v>0</v>
      </c>
      <c r="N56" s="1341">
        <f>IF(COUNT($H56:M56)&gt;='RFM input'!$V$7,0,M56+M108+M160)</f>
        <v>0</v>
      </c>
      <c r="O56" s="1341">
        <f>IF(COUNT($H56:N56)&gt;='RFM input'!$V$7,0,N56+N108+N160)</f>
        <v>0</v>
      </c>
      <c r="P56" s="1341">
        <f>IF(COUNT($H56:O56)&gt;='RFM input'!$V$7,0,O56+O108+O160)</f>
        <v>0</v>
      </c>
      <c r="Q56" s="1341">
        <f>IF(COUNT($H56:P56)&gt;='RFM input'!$V$7,0,P56+P108+P160)</f>
        <v>0</v>
      </c>
      <c r="R56" s="1341"/>
      <c r="S56" s="71"/>
      <c r="T56" s="71"/>
      <c r="U56" s="71"/>
      <c r="V56" s="71"/>
      <c r="W56" s="71"/>
      <c r="X56" s="71"/>
      <c r="Y56" s="71"/>
      <c r="Z56" s="71"/>
      <c r="AA56" s="152"/>
    </row>
    <row r="57" spans="1:27" hidden="1" outlineLevel="1">
      <c r="A57" s="3"/>
      <c r="B57" s="3"/>
      <c r="C57" s="29"/>
      <c r="D57" s="133">
        <f>Asset50</f>
        <v>0</v>
      </c>
      <c r="E57" s="3"/>
      <c r="F57" s="3"/>
      <c r="G57" s="1393">
        <f>'Capital Base roll forward'!G767</f>
        <v>0</v>
      </c>
      <c r="H57" s="1341">
        <f t="shared" si="4"/>
        <v>0</v>
      </c>
      <c r="I57" s="1341">
        <f t="shared" si="5"/>
        <v>0</v>
      </c>
      <c r="J57" s="1341">
        <f>IF(COUNT($H57:I57)&gt;='RFM input'!$V$7,0,I57+I109+I161)</f>
        <v>0</v>
      </c>
      <c r="K57" s="1341">
        <f>IF(COUNT($H57:J57)&gt;='RFM input'!$V$7,0,J57+J109+J161)</f>
        <v>0</v>
      </c>
      <c r="L57" s="1341">
        <f>IF(COUNT($H57:K57)&gt;='RFM input'!$V$7,0,K57+K109+K161)</f>
        <v>0</v>
      </c>
      <c r="M57" s="1341">
        <f>IF(COUNT($H57:L57)&gt;='RFM input'!$V$7,0,L57+L109+L161)</f>
        <v>0</v>
      </c>
      <c r="N57" s="1341">
        <f>IF(COUNT($H57:M57)&gt;='RFM input'!$V$7,0,M57+M109+M161)</f>
        <v>0</v>
      </c>
      <c r="O57" s="1341">
        <f>IF(COUNT($H57:N57)&gt;='RFM input'!$V$7,0,N57+N109+N161)</f>
        <v>0</v>
      </c>
      <c r="P57" s="1341">
        <f>IF(COUNT($H57:O57)&gt;='RFM input'!$V$7,0,O57+O109+O161)</f>
        <v>0</v>
      </c>
      <c r="Q57" s="1341">
        <f>IF(COUNT($H57:P57)&gt;='RFM input'!$V$7,0,P57+P109+P161)</f>
        <v>0</v>
      </c>
      <c r="R57" s="1341"/>
      <c r="S57" s="71"/>
      <c r="T57" s="71"/>
      <c r="U57" s="71"/>
      <c r="V57" s="71"/>
      <c r="W57" s="71"/>
      <c r="X57" s="71"/>
      <c r="Y57" s="71"/>
      <c r="Z57" s="71"/>
      <c r="AA57" s="152"/>
    </row>
    <row r="58" spans="1:27" collapsed="1">
      <c r="A58" s="3"/>
      <c r="B58" s="3"/>
      <c r="C58" s="29"/>
      <c r="D58" s="81"/>
      <c r="E58" s="3"/>
      <c r="F58" s="3"/>
      <c r="G58" s="1400"/>
      <c r="H58" s="248"/>
      <c r="I58" s="248"/>
      <c r="J58" s="248"/>
      <c r="K58" s="248"/>
      <c r="L58" s="248"/>
      <c r="M58" s="248"/>
      <c r="N58" s="1397"/>
      <c r="O58" s="248"/>
      <c r="P58" s="248"/>
      <c r="Q58" s="248"/>
      <c r="R58" s="248"/>
      <c r="S58" s="71"/>
      <c r="T58" s="71"/>
      <c r="U58" s="71"/>
      <c r="V58" s="71"/>
      <c r="W58" s="71"/>
      <c r="X58" s="71"/>
      <c r="Y58" s="71"/>
      <c r="Z58" s="71"/>
      <c r="AA58" s="152"/>
    </row>
    <row r="59" spans="1:27">
      <c r="A59" s="3"/>
      <c r="B59" s="3"/>
      <c r="C59" s="29" t="s">
        <v>25</v>
      </c>
      <c r="D59" s="3"/>
      <c r="E59" s="3"/>
      <c r="F59" s="3"/>
      <c r="G59" s="1392">
        <f>SUM(G60:G109)</f>
        <v>0</v>
      </c>
      <c r="H59" s="248">
        <f t="shared" ref="H59:Q59" si="6">SUM(H60:H109)</f>
        <v>20.434011071187992</v>
      </c>
      <c r="I59" s="248">
        <f t="shared" si="6"/>
        <v>21.574426185910234</v>
      </c>
      <c r="J59" s="248">
        <f t="shared" si="6"/>
        <v>22.734955229853625</v>
      </c>
      <c r="K59" s="248">
        <f t="shared" si="6"/>
        <v>20.475169303628487</v>
      </c>
      <c r="L59" s="248">
        <f t="shared" si="6"/>
        <v>18.655144289468236</v>
      </c>
      <c r="M59" s="248">
        <f t="shared" si="6"/>
        <v>24.988089847771892</v>
      </c>
      <c r="N59" s="248">
        <f t="shared" si="6"/>
        <v>9.5657366798320371</v>
      </c>
      <c r="O59" s="248">
        <f t="shared" si="6"/>
        <v>0</v>
      </c>
      <c r="P59" s="248">
        <f t="shared" si="6"/>
        <v>0</v>
      </c>
      <c r="Q59" s="248">
        <f t="shared" si="6"/>
        <v>0</v>
      </c>
      <c r="R59" s="248"/>
      <c r="S59" s="71"/>
      <c r="T59" s="71"/>
      <c r="U59" s="71"/>
      <c r="V59" s="71"/>
      <c r="W59" s="71"/>
      <c r="X59" s="71"/>
      <c r="Y59" s="71"/>
      <c r="Z59" s="71"/>
      <c r="AA59" s="152"/>
    </row>
    <row r="60" spans="1:27" hidden="1" outlineLevel="1">
      <c r="A60" s="3"/>
      <c r="B60" s="3"/>
      <c r="C60" s="29"/>
      <c r="D60" s="133" t="str">
        <f>Asset1</f>
        <v>Mains</v>
      </c>
      <c r="E60" s="3"/>
      <c r="F60" s="3"/>
      <c r="G60" s="1393">
        <f>'Capital Base roll forward'!G770</f>
        <v>0</v>
      </c>
      <c r="H60" s="1341">
        <f>'Capital Base roll forward'!H770</f>
        <v>10.592498801825402</v>
      </c>
      <c r="I60" s="1341">
        <f>'Capital Base roll forward'!I770</f>
        <v>11.740338298299283</v>
      </c>
      <c r="J60" s="1341">
        <f>'Capital Base roll forward'!J770</f>
        <v>11.407936156415911</v>
      </c>
      <c r="K60" s="1341">
        <f>'Capital Base roll forward'!K770</f>
        <v>9.8938789958066682</v>
      </c>
      <c r="L60" s="1341">
        <f>'Capital Base roll forward'!L770</f>
        <v>8.0494997447293901</v>
      </c>
      <c r="M60" s="1341">
        <f>'Capital Base roll forward'!M770</f>
        <v>15.283263610596505</v>
      </c>
      <c r="N60" s="1341">
        <f>'Capital Base roll forward'!N770</f>
        <v>3.8431791005097722</v>
      </c>
      <c r="O60" s="1341">
        <f>'Capital Base roll forward'!O770</f>
        <v>0</v>
      </c>
      <c r="P60" s="1341">
        <f>'Capital Base roll forward'!P770</f>
        <v>0</v>
      </c>
      <c r="Q60" s="1341">
        <f>'Capital Base roll forward'!Q770</f>
        <v>0</v>
      </c>
      <c r="R60" s="248"/>
      <c r="S60" s="71"/>
      <c r="T60" s="71"/>
      <c r="U60" s="71"/>
      <c r="V60" s="71"/>
      <c r="W60" s="71"/>
      <c r="X60" s="71"/>
      <c r="Y60" s="71"/>
      <c r="Z60" s="71"/>
      <c r="AA60" s="152"/>
    </row>
    <row r="61" spans="1:27" hidden="1" outlineLevel="1">
      <c r="A61" s="3"/>
      <c r="B61" s="3"/>
      <c r="C61" s="29"/>
      <c r="D61" s="133" t="str">
        <f>Asset2</f>
        <v>Inlets</v>
      </c>
      <c r="E61" s="3"/>
      <c r="F61" s="3"/>
      <c r="G61" s="1393">
        <f>'Capital Base roll forward'!G771</f>
        <v>0</v>
      </c>
      <c r="H61" s="1341">
        <f>'Capital Base roll forward'!H771</f>
        <v>5.2109125208740581</v>
      </c>
      <c r="I61" s="1341">
        <f>'Capital Base roll forward'!I771</f>
        <v>5.607338595516806</v>
      </c>
      <c r="J61" s="1341">
        <f>'Capital Base roll forward'!J771</f>
        <v>6.0029420644752047</v>
      </c>
      <c r="K61" s="1341">
        <f>'Capital Base roll forward'!K771</f>
        <v>5.3126327931438917</v>
      </c>
      <c r="L61" s="1341">
        <f>'Capital Base roll forward'!L771</f>
        <v>5.9681130196055019</v>
      </c>
      <c r="M61" s="1341">
        <f>'Capital Base roll forward'!M771</f>
        <v>4.7024750699293669</v>
      </c>
      <c r="N61" s="1341">
        <f>'Capital Base roll forward'!N771</f>
        <v>2.8893316102231528</v>
      </c>
      <c r="O61" s="1341">
        <f>'Capital Base roll forward'!O771</f>
        <v>0</v>
      </c>
      <c r="P61" s="1341">
        <f>'Capital Base roll forward'!P771</f>
        <v>0</v>
      </c>
      <c r="Q61" s="1341">
        <f>'Capital Base roll forward'!Q771</f>
        <v>0</v>
      </c>
      <c r="R61" s="248"/>
      <c r="S61" s="71"/>
      <c r="T61" s="71"/>
      <c r="U61" s="71"/>
      <c r="V61" s="71"/>
      <c r="W61" s="71"/>
      <c r="X61" s="71"/>
      <c r="Y61" s="71"/>
      <c r="Z61" s="71"/>
      <c r="AA61" s="152"/>
    </row>
    <row r="62" spans="1:27" hidden="1" outlineLevel="1">
      <c r="A62" s="3"/>
      <c r="B62" s="3"/>
      <c r="C62" s="29"/>
      <c r="D62" s="133" t="str">
        <f>Asset3</f>
        <v>Meters</v>
      </c>
      <c r="E62" s="3"/>
      <c r="F62" s="3"/>
      <c r="G62" s="1393">
        <f>'Capital Base roll forward'!G772</f>
        <v>0</v>
      </c>
      <c r="H62" s="1341">
        <f>'Capital Base roll forward'!H772</f>
        <v>2.9788090772066975</v>
      </c>
      <c r="I62" s="1341">
        <f>'Capital Base roll forward'!I772</f>
        <v>3.0256673516773147</v>
      </c>
      <c r="J62" s="1341">
        <f>'Capital Base roll forward'!J772</f>
        <v>3.5786654618785483</v>
      </c>
      <c r="K62" s="1341">
        <f>'Capital Base roll forward'!K772</f>
        <v>1.8679530377112024</v>
      </c>
      <c r="L62" s="1341">
        <f>'Capital Base roll forward'!L772</f>
        <v>2.0982708096819156</v>
      </c>
      <c r="M62" s="1341">
        <f>'Capital Base roll forward'!M772</f>
        <v>1.9874677690521931</v>
      </c>
      <c r="N62" s="1341">
        <f>'Capital Base roll forward'!N772</f>
        <v>1.0015547002366787</v>
      </c>
      <c r="O62" s="1341">
        <f>'Capital Base roll forward'!O772</f>
        <v>0</v>
      </c>
      <c r="P62" s="1341">
        <f>'Capital Base roll forward'!P772</f>
        <v>0</v>
      </c>
      <c r="Q62" s="1341">
        <f>'Capital Base roll forward'!Q772</f>
        <v>0</v>
      </c>
      <c r="R62" s="248"/>
      <c r="S62" s="71"/>
      <c r="T62" s="71"/>
      <c r="U62" s="71"/>
      <c r="V62" s="71"/>
      <c r="W62" s="71"/>
      <c r="X62" s="71"/>
      <c r="Y62" s="71"/>
      <c r="Z62" s="71"/>
      <c r="AA62" s="152"/>
    </row>
    <row r="63" spans="1:27" hidden="1" outlineLevel="1">
      <c r="A63" s="3"/>
      <c r="B63" s="3"/>
      <c r="C63" s="29"/>
      <c r="D63" s="133" t="str">
        <f>Asset4</f>
        <v>Telemetry</v>
      </c>
      <c r="E63" s="3"/>
      <c r="F63" s="3"/>
      <c r="G63" s="1393">
        <f>'Capital Base roll forward'!G773</f>
        <v>0</v>
      </c>
      <c r="H63" s="1341">
        <f>'Capital Base roll forward'!H773</f>
        <v>0.40044823277472485</v>
      </c>
      <c r="I63" s="1341">
        <f>'Capital Base roll forward'!I773</f>
        <v>0.17644250936733885</v>
      </c>
      <c r="J63" s="1341">
        <f>'Capital Base roll forward'!J773</f>
        <v>5.0703531934090086E-2</v>
      </c>
      <c r="K63" s="1341">
        <f>'Capital Base roll forward'!K773</f>
        <v>0.10807612166531454</v>
      </c>
      <c r="L63" s="1341">
        <f>'Capital Base roll forward'!L773</f>
        <v>6.6744623858434785E-2</v>
      </c>
      <c r="M63" s="1341">
        <f>'Capital Base roll forward'!M773</f>
        <v>6.2146991028222819E-2</v>
      </c>
      <c r="N63" s="1341">
        <f>'Capital Base roll forward'!N773</f>
        <v>3.97826344641177E-2</v>
      </c>
      <c r="O63" s="1341">
        <f>'Capital Base roll forward'!O773</f>
        <v>0</v>
      </c>
      <c r="P63" s="1341">
        <f>'Capital Base roll forward'!P773</f>
        <v>0</v>
      </c>
      <c r="Q63" s="1341">
        <f>'Capital Base roll forward'!Q773</f>
        <v>0</v>
      </c>
      <c r="R63" s="248"/>
      <c r="S63" s="71"/>
      <c r="T63" s="71"/>
      <c r="U63" s="71"/>
      <c r="V63" s="71"/>
      <c r="W63" s="71"/>
      <c r="X63" s="71"/>
      <c r="Y63" s="71"/>
      <c r="Z63" s="71"/>
      <c r="AA63" s="152"/>
    </row>
    <row r="64" spans="1:27" hidden="1" outlineLevel="1">
      <c r="A64" s="3"/>
      <c r="B64" s="3"/>
      <c r="C64" s="29"/>
      <c r="D64" s="133" t="str">
        <f>Asset5</f>
        <v>IT System</v>
      </c>
      <c r="E64" s="3"/>
      <c r="F64" s="3"/>
      <c r="G64" s="1393">
        <f>'Capital Base roll forward'!G774</f>
        <v>0</v>
      </c>
      <c r="H64" s="1341">
        <f>'Capital Base roll forward'!H774</f>
        <v>0.19475701846081275</v>
      </c>
      <c r="I64" s="1341">
        <f>'Capital Base roll forward'!I774</f>
        <v>0.5306246424612111</v>
      </c>
      <c r="J64" s="1341">
        <f>'Capital Base roll forward'!J774</f>
        <v>0.91305844702993399</v>
      </c>
      <c r="K64" s="1341">
        <f>'Capital Base roll forward'!K774</f>
        <v>1.4718589259464536</v>
      </c>
      <c r="L64" s="1341">
        <f>'Capital Base roll forward'!L774</f>
        <v>1.5434031731737936</v>
      </c>
      <c r="M64" s="1341">
        <f>'Capital Base roll forward'!M774</f>
        <v>2.005849263586712</v>
      </c>
      <c r="N64" s="1341">
        <f>'Capital Base roll forward'!N774</f>
        <v>0.86858742810999889</v>
      </c>
      <c r="O64" s="1341">
        <f>'Capital Base roll forward'!O774</f>
        <v>0</v>
      </c>
      <c r="P64" s="1341">
        <f>'Capital Base roll forward'!P774</f>
        <v>0</v>
      </c>
      <c r="Q64" s="1341">
        <f>'Capital Base roll forward'!Q774</f>
        <v>0</v>
      </c>
      <c r="R64" s="248"/>
      <c r="S64" s="71"/>
      <c r="T64" s="71"/>
      <c r="U64" s="71"/>
      <c r="V64" s="71"/>
      <c r="W64" s="71"/>
      <c r="X64" s="71"/>
      <c r="Y64" s="71"/>
      <c r="Z64" s="71"/>
      <c r="AA64" s="152"/>
    </row>
    <row r="65" spans="1:27" hidden="1" outlineLevel="1">
      <c r="A65" s="3"/>
      <c r="B65" s="3"/>
      <c r="C65" s="29"/>
      <c r="D65" s="133" t="str">
        <f>Asset6</f>
        <v>Other Distribution System Equipment</v>
      </c>
      <c r="E65" s="3"/>
      <c r="F65" s="3"/>
      <c r="G65" s="1393">
        <f>'Capital Base roll forward'!G775</f>
        <v>0</v>
      </c>
      <c r="H65" s="1341">
        <f>'Capital Base roll forward'!H775</f>
        <v>1.0862452599684167</v>
      </c>
      <c r="I65" s="1341">
        <f>'Capital Base roll forward'!I775</f>
        <v>0.49401478858828102</v>
      </c>
      <c r="J65" s="1341">
        <f>'Capital Base roll forward'!J775</f>
        <v>0.78164956811994279</v>
      </c>
      <c r="K65" s="1341">
        <f>'Capital Base roll forward'!K775</f>
        <v>1.820769429354957</v>
      </c>
      <c r="L65" s="1341">
        <f>'Capital Base roll forward'!L775</f>
        <v>0.92911291841920374</v>
      </c>
      <c r="M65" s="1341">
        <f>'Capital Base roll forward'!M775</f>
        <v>0.94688714357889336</v>
      </c>
      <c r="N65" s="1341">
        <f>'Capital Base roll forward'!N775</f>
        <v>0.92330120628831658</v>
      </c>
      <c r="O65" s="1341">
        <f>'Capital Base roll forward'!O775</f>
        <v>0</v>
      </c>
      <c r="P65" s="1341">
        <f>'Capital Base roll forward'!P775</f>
        <v>0</v>
      </c>
      <c r="Q65" s="1341">
        <f>'Capital Base roll forward'!Q775</f>
        <v>0</v>
      </c>
      <c r="R65" s="248"/>
      <c r="S65" s="71"/>
      <c r="T65" s="71"/>
      <c r="U65" s="71"/>
      <c r="V65" s="71"/>
      <c r="W65" s="71"/>
      <c r="X65" s="71"/>
      <c r="Y65" s="71"/>
      <c r="Z65" s="71"/>
      <c r="AA65" s="152"/>
    </row>
    <row r="66" spans="1:27" hidden="1" outlineLevel="1">
      <c r="A66" s="3"/>
      <c r="B66" s="3"/>
      <c r="C66" s="29"/>
      <c r="D66" s="133" t="str">
        <f>Asset7</f>
        <v>Other</v>
      </c>
      <c r="E66" s="3"/>
      <c r="F66" s="3"/>
      <c r="G66" s="1393">
        <f>'Capital Base roll forward'!G776</f>
        <v>0</v>
      </c>
      <c r="H66" s="1341">
        <f>'Capital Base roll forward'!H776</f>
        <v>-2.9659839922120616E-2</v>
      </c>
      <c r="I66" s="1341">
        <f>'Capital Base roll forward'!I776</f>
        <v>0</v>
      </c>
      <c r="J66" s="1341">
        <f>'Capital Base roll forward'!J776</f>
        <v>0</v>
      </c>
      <c r="K66" s="1341">
        <f>'Capital Base roll forward'!K776</f>
        <v>0</v>
      </c>
      <c r="L66" s="1341">
        <f>'Capital Base roll forward'!L776</f>
        <v>0</v>
      </c>
      <c r="M66" s="1341">
        <f>'Capital Base roll forward'!M776</f>
        <v>0</v>
      </c>
      <c r="N66" s="1341">
        <f>'Capital Base roll forward'!N776</f>
        <v>0</v>
      </c>
      <c r="O66" s="1341">
        <f>'Capital Base roll forward'!O776</f>
        <v>0</v>
      </c>
      <c r="P66" s="1341">
        <f>'Capital Base roll forward'!P776</f>
        <v>0</v>
      </c>
      <c r="Q66" s="1341">
        <f>'Capital Base roll forward'!Q776</f>
        <v>0</v>
      </c>
      <c r="R66" s="248"/>
      <c r="S66" s="71"/>
      <c r="T66" s="71"/>
      <c r="U66" s="71"/>
      <c r="V66" s="71"/>
      <c r="W66" s="71"/>
      <c r="X66" s="71"/>
      <c r="Y66" s="71"/>
      <c r="Z66" s="71"/>
      <c r="AA66" s="152"/>
    </row>
    <row r="67" spans="1:27" hidden="1" outlineLevel="1">
      <c r="A67" s="3"/>
      <c r="B67" s="3"/>
      <c r="C67" s="29"/>
      <c r="D67" s="133">
        <f>Asset8</f>
        <v>0</v>
      </c>
      <c r="E67" s="3"/>
      <c r="F67" s="3"/>
      <c r="G67" s="1393">
        <f>'Capital Base roll forward'!G777</f>
        <v>0</v>
      </c>
      <c r="H67" s="1341">
        <f>'Capital Base roll forward'!H777</f>
        <v>0</v>
      </c>
      <c r="I67" s="1341">
        <f>'Capital Base roll forward'!I777</f>
        <v>0</v>
      </c>
      <c r="J67" s="1341">
        <f>'Capital Base roll forward'!J777</f>
        <v>0</v>
      </c>
      <c r="K67" s="1341">
        <f>'Capital Base roll forward'!K777</f>
        <v>0</v>
      </c>
      <c r="L67" s="1341">
        <f>'Capital Base roll forward'!L777</f>
        <v>0</v>
      </c>
      <c r="M67" s="1341">
        <f>'Capital Base roll forward'!M777</f>
        <v>0</v>
      </c>
      <c r="N67" s="1341">
        <f>'Capital Base roll forward'!N777</f>
        <v>0</v>
      </c>
      <c r="O67" s="1341">
        <f>'Capital Base roll forward'!O777</f>
        <v>0</v>
      </c>
      <c r="P67" s="1341">
        <f>'Capital Base roll forward'!P777</f>
        <v>0</v>
      </c>
      <c r="Q67" s="1341">
        <f>'Capital Base roll forward'!Q777</f>
        <v>0</v>
      </c>
      <c r="R67" s="248"/>
      <c r="S67" s="71"/>
      <c r="T67" s="71"/>
      <c r="U67" s="71"/>
      <c r="V67" s="71"/>
      <c r="W67" s="71"/>
      <c r="X67" s="71"/>
      <c r="Y67" s="71"/>
      <c r="Z67" s="71"/>
      <c r="AA67" s="152"/>
    </row>
    <row r="68" spans="1:27" hidden="1" outlineLevel="1">
      <c r="A68" s="3"/>
      <c r="B68" s="3"/>
      <c r="C68" s="29"/>
      <c r="D68" s="133">
        <f>Asset9</f>
        <v>0</v>
      </c>
      <c r="E68" s="3"/>
      <c r="F68" s="3"/>
      <c r="G68" s="1393">
        <f>'Capital Base roll forward'!G778</f>
        <v>0</v>
      </c>
      <c r="H68" s="1341">
        <f>'Capital Base roll forward'!H778</f>
        <v>0</v>
      </c>
      <c r="I68" s="1341">
        <f>'Capital Base roll forward'!I778</f>
        <v>0</v>
      </c>
      <c r="J68" s="1341">
        <f>'Capital Base roll forward'!J778</f>
        <v>0</v>
      </c>
      <c r="K68" s="1341">
        <f>'Capital Base roll forward'!K778</f>
        <v>0</v>
      </c>
      <c r="L68" s="1341">
        <f>'Capital Base roll forward'!L778</f>
        <v>0</v>
      </c>
      <c r="M68" s="1341">
        <f>'Capital Base roll forward'!M778</f>
        <v>0</v>
      </c>
      <c r="N68" s="1341">
        <f>'Capital Base roll forward'!N778</f>
        <v>0</v>
      </c>
      <c r="O68" s="1341">
        <f>'Capital Base roll forward'!O778</f>
        <v>0</v>
      </c>
      <c r="P68" s="1341">
        <f>'Capital Base roll forward'!P778</f>
        <v>0</v>
      </c>
      <c r="Q68" s="1341">
        <f>'Capital Base roll forward'!Q778</f>
        <v>0</v>
      </c>
      <c r="R68" s="248"/>
      <c r="S68" s="71"/>
      <c r="T68" s="71"/>
      <c r="U68" s="71"/>
      <c r="V68" s="71"/>
      <c r="W68" s="71"/>
      <c r="X68" s="71"/>
      <c r="Y68" s="71"/>
      <c r="Z68" s="71"/>
      <c r="AA68" s="152"/>
    </row>
    <row r="69" spans="1:27" hidden="1" outlineLevel="1">
      <c r="A69" s="3"/>
      <c r="B69" s="3"/>
      <c r="C69" s="29"/>
      <c r="D69" s="133">
        <f>Asset10</f>
        <v>0</v>
      </c>
      <c r="E69" s="3"/>
      <c r="F69" s="3"/>
      <c r="G69" s="1393">
        <f>'Capital Base roll forward'!G779</f>
        <v>0</v>
      </c>
      <c r="H69" s="1341">
        <f>'Capital Base roll forward'!H779</f>
        <v>0</v>
      </c>
      <c r="I69" s="1341">
        <f>'Capital Base roll forward'!I779</f>
        <v>0</v>
      </c>
      <c r="J69" s="1341">
        <f>'Capital Base roll forward'!J779</f>
        <v>0</v>
      </c>
      <c r="K69" s="1341">
        <f>'Capital Base roll forward'!K779</f>
        <v>0</v>
      </c>
      <c r="L69" s="1341">
        <f>'Capital Base roll forward'!L779</f>
        <v>0</v>
      </c>
      <c r="M69" s="1341">
        <f>'Capital Base roll forward'!M779</f>
        <v>0</v>
      </c>
      <c r="N69" s="1341">
        <f>'Capital Base roll forward'!N779</f>
        <v>0</v>
      </c>
      <c r="O69" s="1341">
        <f>'Capital Base roll forward'!O779</f>
        <v>0</v>
      </c>
      <c r="P69" s="1341">
        <f>'Capital Base roll forward'!P779</f>
        <v>0</v>
      </c>
      <c r="Q69" s="1341">
        <f>'Capital Base roll forward'!Q779</f>
        <v>0</v>
      </c>
      <c r="R69" s="248"/>
      <c r="S69" s="71"/>
      <c r="T69" s="71"/>
      <c r="U69" s="71"/>
      <c r="V69" s="71"/>
      <c r="W69" s="71"/>
      <c r="X69" s="71"/>
      <c r="Y69" s="71"/>
      <c r="Z69" s="71"/>
      <c r="AA69" s="152"/>
    </row>
    <row r="70" spans="1:27" hidden="1" outlineLevel="1">
      <c r="A70" s="3"/>
      <c r="B70" s="3"/>
      <c r="C70" s="29"/>
      <c r="D70" s="133">
        <f>Asset11</f>
        <v>0</v>
      </c>
      <c r="E70" s="3"/>
      <c r="F70" s="3"/>
      <c r="G70" s="1393">
        <f>'Capital Base roll forward'!G780</f>
        <v>0</v>
      </c>
      <c r="H70" s="1341">
        <f>'Capital Base roll forward'!H780</f>
        <v>0</v>
      </c>
      <c r="I70" s="1341">
        <f>'Capital Base roll forward'!I780</f>
        <v>0</v>
      </c>
      <c r="J70" s="1341">
        <f>'Capital Base roll forward'!J780</f>
        <v>0</v>
      </c>
      <c r="K70" s="1341">
        <f>'Capital Base roll forward'!K780</f>
        <v>0</v>
      </c>
      <c r="L70" s="1341">
        <f>'Capital Base roll forward'!L780</f>
        <v>0</v>
      </c>
      <c r="M70" s="1341">
        <f>'Capital Base roll forward'!M780</f>
        <v>0</v>
      </c>
      <c r="N70" s="1341">
        <f>'Capital Base roll forward'!N780</f>
        <v>0</v>
      </c>
      <c r="O70" s="1341">
        <f>'Capital Base roll forward'!O780</f>
        <v>0</v>
      </c>
      <c r="P70" s="1341">
        <f>'Capital Base roll forward'!P780</f>
        <v>0</v>
      </c>
      <c r="Q70" s="1341">
        <f>'Capital Base roll forward'!Q780</f>
        <v>0</v>
      </c>
      <c r="R70" s="248"/>
      <c r="S70" s="71"/>
      <c r="T70" s="71"/>
      <c r="U70" s="71"/>
      <c r="V70" s="71"/>
      <c r="W70" s="71"/>
      <c r="X70" s="71"/>
      <c r="Y70" s="71"/>
      <c r="Z70" s="71"/>
      <c r="AA70" s="152"/>
    </row>
    <row r="71" spans="1:27" hidden="1" outlineLevel="1">
      <c r="A71" s="3"/>
      <c r="B71" s="3"/>
      <c r="C71" s="29"/>
      <c r="D71" s="133">
        <f>Asset12</f>
        <v>0</v>
      </c>
      <c r="E71" s="3"/>
      <c r="F71" s="3"/>
      <c r="G71" s="1393">
        <f>'Capital Base roll forward'!G781</f>
        <v>0</v>
      </c>
      <c r="H71" s="1341">
        <f>'Capital Base roll forward'!H781</f>
        <v>0</v>
      </c>
      <c r="I71" s="1341">
        <f>'Capital Base roll forward'!I781</f>
        <v>0</v>
      </c>
      <c r="J71" s="1341">
        <f>'Capital Base roll forward'!J781</f>
        <v>0</v>
      </c>
      <c r="K71" s="1341">
        <f>'Capital Base roll forward'!K781</f>
        <v>0</v>
      </c>
      <c r="L71" s="1341">
        <f>'Capital Base roll forward'!L781</f>
        <v>0</v>
      </c>
      <c r="M71" s="1341">
        <f>'Capital Base roll forward'!M781</f>
        <v>0</v>
      </c>
      <c r="N71" s="1341">
        <f>'Capital Base roll forward'!N781</f>
        <v>0</v>
      </c>
      <c r="O71" s="1341">
        <f>'Capital Base roll forward'!O781</f>
        <v>0</v>
      </c>
      <c r="P71" s="1341">
        <f>'Capital Base roll forward'!P781</f>
        <v>0</v>
      </c>
      <c r="Q71" s="1341">
        <f>'Capital Base roll forward'!Q781</f>
        <v>0</v>
      </c>
      <c r="R71" s="248"/>
      <c r="S71" s="71"/>
      <c r="T71" s="71"/>
      <c r="U71" s="71"/>
      <c r="V71" s="71"/>
      <c r="W71" s="71"/>
      <c r="X71" s="71"/>
      <c r="Y71" s="71"/>
      <c r="Z71" s="71"/>
      <c r="AA71" s="152"/>
    </row>
    <row r="72" spans="1:27" hidden="1" outlineLevel="1">
      <c r="A72" s="3"/>
      <c r="B72" s="3"/>
      <c r="C72" s="29"/>
      <c r="D72" s="133">
        <f>Asset13</f>
        <v>0</v>
      </c>
      <c r="E72" s="3"/>
      <c r="F72" s="3"/>
      <c r="G72" s="1393">
        <f>'Capital Base roll forward'!G782</f>
        <v>0</v>
      </c>
      <c r="H72" s="1341">
        <f>'Capital Base roll forward'!H782</f>
        <v>0</v>
      </c>
      <c r="I72" s="1341">
        <f>'Capital Base roll forward'!I782</f>
        <v>0</v>
      </c>
      <c r="J72" s="1341">
        <f>'Capital Base roll forward'!J782</f>
        <v>0</v>
      </c>
      <c r="K72" s="1341">
        <f>'Capital Base roll forward'!K782</f>
        <v>0</v>
      </c>
      <c r="L72" s="1341">
        <f>'Capital Base roll forward'!L782</f>
        <v>0</v>
      </c>
      <c r="M72" s="1341">
        <f>'Capital Base roll forward'!M782</f>
        <v>0</v>
      </c>
      <c r="N72" s="1341">
        <f>'Capital Base roll forward'!N782</f>
        <v>0</v>
      </c>
      <c r="O72" s="1341">
        <f>'Capital Base roll forward'!O782</f>
        <v>0</v>
      </c>
      <c r="P72" s="1341">
        <f>'Capital Base roll forward'!P782</f>
        <v>0</v>
      </c>
      <c r="Q72" s="1341">
        <f>'Capital Base roll forward'!Q782</f>
        <v>0</v>
      </c>
      <c r="R72" s="248"/>
      <c r="S72" s="71"/>
      <c r="T72" s="71"/>
      <c r="U72" s="71"/>
      <c r="V72" s="71"/>
      <c r="W72" s="71"/>
      <c r="X72" s="71"/>
      <c r="Y72" s="71"/>
      <c r="Z72" s="71"/>
      <c r="AA72" s="152"/>
    </row>
    <row r="73" spans="1:27" hidden="1" outlineLevel="1">
      <c r="A73" s="3"/>
      <c r="B73" s="3"/>
      <c r="C73" s="29"/>
      <c r="D73" s="133">
        <f>Asset14</f>
        <v>0</v>
      </c>
      <c r="E73" s="3"/>
      <c r="F73" s="3"/>
      <c r="G73" s="1393">
        <f>'Capital Base roll forward'!G783</f>
        <v>0</v>
      </c>
      <c r="H73" s="1341">
        <f>'Capital Base roll forward'!H783</f>
        <v>0</v>
      </c>
      <c r="I73" s="1341">
        <f>'Capital Base roll forward'!I783</f>
        <v>0</v>
      </c>
      <c r="J73" s="1341">
        <f>'Capital Base roll forward'!J783</f>
        <v>0</v>
      </c>
      <c r="K73" s="1341">
        <f>'Capital Base roll forward'!K783</f>
        <v>0</v>
      </c>
      <c r="L73" s="1341">
        <f>'Capital Base roll forward'!L783</f>
        <v>0</v>
      </c>
      <c r="M73" s="1341">
        <f>'Capital Base roll forward'!M783</f>
        <v>0</v>
      </c>
      <c r="N73" s="1341">
        <f>'Capital Base roll forward'!N783</f>
        <v>0</v>
      </c>
      <c r="O73" s="1341">
        <f>'Capital Base roll forward'!O783</f>
        <v>0</v>
      </c>
      <c r="P73" s="1341">
        <f>'Capital Base roll forward'!P783</f>
        <v>0</v>
      </c>
      <c r="Q73" s="1341">
        <f>'Capital Base roll forward'!Q783</f>
        <v>0</v>
      </c>
      <c r="R73" s="248"/>
      <c r="S73" s="71"/>
      <c r="T73" s="71"/>
      <c r="U73" s="71"/>
      <c r="V73" s="71"/>
      <c r="W73" s="71"/>
      <c r="X73" s="71"/>
      <c r="Y73" s="71"/>
      <c r="Z73" s="71"/>
      <c r="AA73" s="152"/>
    </row>
    <row r="74" spans="1:27" hidden="1" outlineLevel="1">
      <c r="A74" s="3"/>
      <c r="B74" s="3"/>
      <c r="C74" s="29"/>
      <c r="D74" s="133">
        <f>Asset15</f>
        <v>0</v>
      </c>
      <c r="E74" s="3"/>
      <c r="F74" s="3"/>
      <c r="G74" s="1393">
        <f>'Capital Base roll forward'!G784</f>
        <v>0</v>
      </c>
      <c r="H74" s="1341">
        <f>'Capital Base roll forward'!H784</f>
        <v>0</v>
      </c>
      <c r="I74" s="1341">
        <f>'Capital Base roll forward'!I784</f>
        <v>0</v>
      </c>
      <c r="J74" s="1341">
        <f>'Capital Base roll forward'!J784</f>
        <v>0</v>
      </c>
      <c r="K74" s="1341">
        <f>'Capital Base roll forward'!K784</f>
        <v>0</v>
      </c>
      <c r="L74" s="1341">
        <f>'Capital Base roll forward'!L784</f>
        <v>0</v>
      </c>
      <c r="M74" s="1341">
        <f>'Capital Base roll forward'!M784</f>
        <v>0</v>
      </c>
      <c r="N74" s="1341">
        <f>'Capital Base roll forward'!N784</f>
        <v>0</v>
      </c>
      <c r="O74" s="1341">
        <f>'Capital Base roll forward'!O784</f>
        <v>0</v>
      </c>
      <c r="P74" s="1341">
        <f>'Capital Base roll forward'!P784</f>
        <v>0</v>
      </c>
      <c r="Q74" s="1341">
        <f>'Capital Base roll forward'!Q784</f>
        <v>0</v>
      </c>
      <c r="R74" s="248"/>
      <c r="S74" s="71"/>
      <c r="T74" s="71"/>
      <c r="U74" s="71"/>
      <c r="V74" s="71"/>
      <c r="W74" s="71"/>
      <c r="X74" s="71"/>
      <c r="Y74" s="71"/>
      <c r="Z74" s="71"/>
      <c r="AA74" s="152"/>
    </row>
    <row r="75" spans="1:27" hidden="1" outlineLevel="1">
      <c r="A75" s="3"/>
      <c r="B75" s="3"/>
      <c r="C75" s="29"/>
      <c r="D75" s="133">
        <f>Asset16</f>
        <v>0</v>
      </c>
      <c r="E75" s="3"/>
      <c r="F75" s="3"/>
      <c r="G75" s="1393">
        <f>'Capital Base roll forward'!G785</f>
        <v>0</v>
      </c>
      <c r="H75" s="1341">
        <f>'Capital Base roll forward'!H785</f>
        <v>0</v>
      </c>
      <c r="I75" s="1341">
        <f>'Capital Base roll forward'!I785</f>
        <v>0</v>
      </c>
      <c r="J75" s="1341">
        <f>'Capital Base roll forward'!J785</f>
        <v>0</v>
      </c>
      <c r="K75" s="1341">
        <f>'Capital Base roll forward'!K785</f>
        <v>0</v>
      </c>
      <c r="L75" s="1341">
        <f>'Capital Base roll forward'!L785</f>
        <v>0</v>
      </c>
      <c r="M75" s="1341">
        <f>'Capital Base roll forward'!M785</f>
        <v>0</v>
      </c>
      <c r="N75" s="1341">
        <f>'Capital Base roll forward'!N785</f>
        <v>0</v>
      </c>
      <c r="O75" s="1341">
        <f>'Capital Base roll forward'!O785</f>
        <v>0</v>
      </c>
      <c r="P75" s="1341">
        <f>'Capital Base roll forward'!P785</f>
        <v>0</v>
      </c>
      <c r="Q75" s="1341">
        <f>'Capital Base roll forward'!Q785</f>
        <v>0</v>
      </c>
      <c r="R75" s="248"/>
      <c r="S75" s="71"/>
      <c r="T75" s="71"/>
      <c r="U75" s="71"/>
      <c r="V75" s="71"/>
      <c r="W75" s="71"/>
      <c r="X75" s="71"/>
      <c r="Y75" s="71"/>
      <c r="Z75" s="71"/>
      <c r="AA75" s="152"/>
    </row>
    <row r="76" spans="1:27" hidden="1" outlineLevel="1">
      <c r="A76" s="3"/>
      <c r="B76" s="3"/>
      <c r="C76" s="29"/>
      <c r="D76" s="133">
        <f>Asset17</f>
        <v>0</v>
      </c>
      <c r="E76" s="3"/>
      <c r="F76" s="3"/>
      <c r="G76" s="1393">
        <f>'Capital Base roll forward'!G786</f>
        <v>0</v>
      </c>
      <c r="H76" s="1341">
        <f>'Capital Base roll forward'!H786</f>
        <v>0</v>
      </c>
      <c r="I76" s="1341">
        <f>'Capital Base roll forward'!I786</f>
        <v>0</v>
      </c>
      <c r="J76" s="1341">
        <f>'Capital Base roll forward'!J786</f>
        <v>0</v>
      </c>
      <c r="K76" s="1341">
        <f>'Capital Base roll forward'!K786</f>
        <v>0</v>
      </c>
      <c r="L76" s="1341">
        <f>'Capital Base roll forward'!L786</f>
        <v>0</v>
      </c>
      <c r="M76" s="1341">
        <f>'Capital Base roll forward'!M786</f>
        <v>0</v>
      </c>
      <c r="N76" s="1341">
        <f>'Capital Base roll forward'!N786</f>
        <v>0</v>
      </c>
      <c r="O76" s="1341">
        <f>'Capital Base roll forward'!O786</f>
        <v>0</v>
      </c>
      <c r="P76" s="1341">
        <f>'Capital Base roll forward'!P786</f>
        <v>0</v>
      </c>
      <c r="Q76" s="1341">
        <f>'Capital Base roll forward'!Q786</f>
        <v>0</v>
      </c>
      <c r="R76" s="248"/>
      <c r="S76" s="71"/>
      <c r="T76" s="71"/>
      <c r="U76" s="71"/>
      <c r="V76" s="71"/>
      <c r="W76" s="71"/>
      <c r="X76" s="71"/>
      <c r="Y76" s="71"/>
      <c r="Z76" s="71"/>
      <c r="AA76" s="152"/>
    </row>
    <row r="77" spans="1:27" hidden="1" outlineLevel="1">
      <c r="A77" s="3"/>
      <c r="B77" s="3"/>
      <c r="C77" s="29"/>
      <c r="D77" s="133">
        <f>Asset18</f>
        <v>0</v>
      </c>
      <c r="E77" s="3"/>
      <c r="F77" s="3"/>
      <c r="G77" s="1393">
        <f>'Capital Base roll forward'!G787</f>
        <v>0</v>
      </c>
      <c r="H77" s="1341">
        <f>'Capital Base roll forward'!H787</f>
        <v>0</v>
      </c>
      <c r="I77" s="1341">
        <f>'Capital Base roll forward'!I787</f>
        <v>0</v>
      </c>
      <c r="J77" s="1341">
        <f>'Capital Base roll forward'!J787</f>
        <v>0</v>
      </c>
      <c r="K77" s="1341">
        <f>'Capital Base roll forward'!K787</f>
        <v>0</v>
      </c>
      <c r="L77" s="1341">
        <f>'Capital Base roll forward'!L787</f>
        <v>0</v>
      </c>
      <c r="M77" s="1341">
        <f>'Capital Base roll forward'!M787</f>
        <v>0</v>
      </c>
      <c r="N77" s="1341">
        <f>'Capital Base roll forward'!N787</f>
        <v>0</v>
      </c>
      <c r="O77" s="1341">
        <f>'Capital Base roll forward'!O787</f>
        <v>0</v>
      </c>
      <c r="P77" s="1341">
        <f>'Capital Base roll forward'!P787</f>
        <v>0</v>
      </c>
      <c r="Q77" s="1341">
        <f>'Capital Base roll forward'!Q787</f>
        <v>0</v>
      </c>
      <c r="R77" s="248"/>
      <c r="S77" s="71"/>
      <c r="T77" s="71"/>
      <c r="U77" s="71"/>
      <c r="V77" s="71"/>
      <c r="W77" s="71"/>
      <c r="X77" s="71"/>
      <c r="Y77" s="71"/>
      <c r="Z77" s="71"/>
      <c r="AA77" s="152"/>
    </row>
    <row r="78" spans="1:27" hidden="1" outlineLevel="1">
      <c r="A78" s="3"/>
      <c r="B78" s="3"/>
      <c r="C78" s="29"/>
      <c r="D78" s="133">
        <f>Asset19</f>
        <v>0</v>
      </c>
      <c r="E78" s="3"/>
      <c r="F78" s="3"/>
      <c r="G78" s="1393">
        <f>'Capital Base roll forward'!G788</f>
        <v>0</v>
      </c>
      <c r="H78" s="1341">
        <f>'Capital Base roll forward'!H788</f>
        <v>0</v>
      </c>
      <c r="I78" s="1341">
        <f>'Capital Base roll forward'!I788</f>
        <v>0</v>
      </c>
      <c r="J78" s="1341">
        <f>'Capital Base roll forward'!J788</f>
        <v>0</v>
      </c>
      <c r="K78" s="1341">
        <f>'Capital Base roll forward'!K788</f>
        <v>0</v>
      </c>
      <c r="L78" s="1341">
        <f>'Capital Base roll forward'!L788</f>
        <v>0</v>
      </c>
      <c r="M78" s="1341">
        <f>'Capital Base roll forward'!M788</f>
        <v>0</v>
      </c>
      <c r="N78" s="1341">
        <f>'Capital Base roll forward'!N788</f>
        <v>0</v>
      </c>
      <c r="O78" s="1341">
        <f>'Capital Base roll forward'!O788</f>
        <v>0</v>
      </c>
      <c r="P78" s="1341">
        <f>'Capital Base roll forward'!P788</f>
        <v>0</v>
      </c>
      <c r="Q78" s="1341">
        <f>'Capital Base roll forward'!Q788</f>
        <v>0</v>
      </c>
      <c r="R78" s="248"/>
      <c r="S78" s="71"/>
      <c r="T78" s="71"/>
      <c r="U78" s="71"/>
      <c r="V78" s="71"/>
      <c r="W78" s="71"/>
      <c r="X78" s="71"/>
      <c r="Y78" s="71"/>
      <c r="Z78" s="71"/>
      <c r="AA78" s="152"/>
    </row>
    <row r="79" spans="1:27" hidden="1" outlineLevel="1">
      <c r="A79" s="3"/>
      <c r="B79" s="3"/>
      <c r="C79" s="29"/>
      <c r="D79" s="133">
        <f>Asset20</f>
        <v>0</v>
      </c>
      <c r="E79" s="3"/>
      <c r="F79" s="3"/>
      <c r="G79" s="1393">
        <f>'Capital Base roll forward'!G789</f>
        <v>0</v>
      </c>
      <c r="H79" s="1341">
        <f>'Capital Base roll forward'!H789</f>
        <v>0</v>
      </c>
      <c r="I79" s="1341">
        <f>'Capital Base roll forward'!I789</f>
        <v>0</v>
      </c>
      <c r="J79" s="1341">
        <f>'Capital Base roll forward'!J789</f>
        <v>0</v>
      </c>
      <c r="K79" s="1341">
        <f>'Capital Base roll forward'!K789</f>
        <v>0</v>
      </c>
      <c r="L79" s="1341">
        <f>'Capital Base roll forward'!L789</f>
        <v>0</v>
      </c>
      <c r="M79" s="1341">
        <f>'Capital Base roll forward'!M789</f>
        <v>0</v>
      </c>
      <c r="N79" s="1341">
        <f>'Capital Base roll forward'!N789</f>
        <v>0</v>
      </c>
      <c r="O79" s="1341">
        <f>'Capital Base roll forward'!O789</f>
        <v>0</v>
      </c>
      <c r="P79" s="1341">
        <f>'Capital Base roll forward'!P789</f>
        <v>0</v>
      </c>
      <c r="Q79" s="1341">
        <f>'Capital Base roll forward'!Q789</f>
        <v>0</v>
      </c>
      <c r="R79" s="248"/>
      <c r="S79" s="71"/>
      <c r="T79" s="71"/>
      <c r="U79" s="71"/>
      <c r="V79" s="71"/>
      <c r="W79" s="71"/>
      <c r="X79" s="71"/>
      <c r="Y79" s="71"/>
      <c r="Z79" s="71"/>
      <c r="AA79" s="152"/>
    </row>
    <row r="80" spans="1:27" hidden="1" outlineLevel="1">
      <c r="A80" s="3"/>
      <c r="B80" s="3"/>
      <c r="C80" s="29"/>
      <c r="D80" s="133">
        <f>Asset21</f>
        <v>0</v>
      </c>
      <c r="E80" s="3"/>
      <c r="F80" s="3"/>
      <c r="G80" s="1393">
        <f>'Capital Base roll forward'!G790</f>
        <v>0</v>
      </c>
      <c r="H80" s="1341">
        <f>'Capital Base roll forward'!H790</f>
        <v>0</v>
      </c>
      <c r="I80" s="1341">
        <f>'Capital Base roll forward'!I790</f>
        <v>0</v>
      </c>
      <c r="J80" s="1341">
        <f>'Capital Base roll forward'!J790</f>
        <v>0</v>
      </c>
      <c r="K80" s="1341">
        <f>'Capital Base roll forward'!K790</f>
        <v>0</v>
      </c>
      <c r="L80" s="1341">
        <f>'Capital Base roll forward'!L790</f>
        <v>0</v>
      </c>
      <c r="M80" s="1341">
        <f>'Capital Base roll forward'!M790</f>
        <v>0</v>
      </c>
      <c r="N80" s="1341">
        <f>'Capital Base roll forward'!N790</f>
        <v>0</v>
      </c>
      <c r="O80" s="1341">
        <f>'Capital Base roll forward'!O790</f>
        <v>0</v>
      </c>
      <c r="P80" s="1341">
        <f>'Capital Base roll forward'!P790</f>
        <v>0</v>
      </c>
      <c r="Q80" s="1341">
        <f>'Capital Base roll forward'!Q790</f>
        <v>0</v>
      </c>
      <c r="R80" s="248"/>
      <c r="S80" s="71"/>
      <c r="T80" s="71"/>
      <c r="U80" s="71"/>
      <c r="V80" s="71"/>
      <c r="W80" s="71"/>
      <c r="X80" s="71"/>
      <c r="Y80" s="71"/>
      <c r="Z80" s="71"/>
      <c r="AA80" s="152"/>
    </row>
    <row r="81" spans="1:27" hidden="1" outlineLevel="1">
      <c r="A81" s="3"/>
      <c r="B81" s="3"/>
      <c r="C81" s="29"/>
      <c r="D81" s="133">
        <f>Asset22</f>
        <v>0</v>
      </c>
      <c r="E81" s="3"/>
      <c r="F81" s="3"/>
      <c r="G81" s="1393">
        <f>'Capital Base roll forward'!G791</f>
        <v>0</v>
      </c>
      <c r="H81" s="1341">
        <f>'Capital Base roll forward'!H791</f>
        <v>0</v>
      </c>
      <c r="I81" s="1341">
        <f>'Capital Base roll forward'!I791</f>
        <v>0</v>
      </c>
      <c r="J81" s="1341">
        <f>'Capital Base roll forward'!J791</f>
        <v>0</v>
      </c>
      <c r="K81" s="1341">
        <f>'Capital Base roll forward'!K791</f>
        <v>0</v>
      </c>
      <c r="L81" s="1341">
        <f>'Capital Base roll forward'!L791</f>
        <v>0</v>
      </c>
      <c r="M81" s="1341">
        <f>'Capital Base roll forward'!M791</f>
        <v>0</v>
      </c>
      <c r="N81" s="1341">
        <f>'Capital Base roll forward'!N791</f>
        <v>0</v>
      </c>
      <c r="O81" s="1341">
        <f>'Capital Base roll forward'!O791</f>
        <v>0</v>
      </c>
      <c r="P81" s="1341">
        <f>'Capital Base roll forward'!P791</f>
        <v>0</v>
      </c>
      <c r="Q81" s="1341">
        <f>'Capital Base roll forward'!Q791</f>
        <v>0</v>
      </c>
      <c r="R81" s="248"/>
      <c r="S81" s="71"/>
      <c r="T81" s="71"/>
      <c r="U81" s="71"/>
      <c r="V81" s="71"/>
      <c r="W81" s="71"/>
      <c r="X81" s="71"/>
      <c r="Y81" s="71"/>
      <c r="Z81" s="71"/>
      <c r="AA81" s="152"/>
    </row>
    <row r="82" spans="1:27" hidden="1" outlineLevel="1">
      <c r="A82" s="3"/>
      <c r="B82" s="3"/>
      <c r="C82" s="29"/>
      <c r="D82" s="133">
        <f>Asset23</f>
        <v>0</v>
      </c>
      <c r="E82" s="3"/>
      <c r="F82" s="3"/>
      <c r="G82" s="1393">
        <f>'Capital Base roll forward'!G792</f>
        <v>0</v>
      </c>
      <c r="H82" s="1341">
        <f>'Capital Base roll forward'!H792</f>
        <v>0</v>
      </c>
      <c r="I82" s="1341">
        <f>'Capital Base roll forward'!I792</f>
        <v>0</v>
      </c>
      <c r="J82" s="1341">
        <f>'Capital Base roll forward'!J792</f>
        <v>0</v>
      </c>
      <c r="K82" s="1341">
        <f>'Capital Base roll forward'!K792</f>
        <v>0</v>
      </c>
      <c r="L82" s="1341">
        <f>'Capital Base roll forward'!L792</f>
        <v>0</v>
      </c>
      <c r="M82" s="1341">
        <f>'Capital Base roll forward'!M792</f>
        <v>0</v>
      </c>
      <c r="N82" s="1341">
        <f>'Capital Base roll forward'!N792</f>
        <v>0</v>
      </c>
      <c r="O82" s="1341">
        <f>'Capital Base roll forward'!O792</f>
        <v>0</v>
      </c>
      <c r="P82" s="1341">
        <f>'Capital Base roll forward'!P792</f>
        <v>0</v>
      </c>
      <c r="Q82" s="1341">
        <f>'Capital Base roll forward'!Q792</f>
        <v>0</v>
      </c>
      <c r="R82" s="248"/>
      <c r="S82" s="71"/>
      <c r="T82" s="71"/>
      <c r="U82" s="71"/>
      <c r="V82" s="71"/>
      <c r="W82" s="71"/>
      <c r="X82" s="71"/>
      <c r="Y82" s="71"/>
      <c r="Z82" s="71"/>
      <c r="AA82" s="152"/>
    </row>
    <row r="83" spans="1:27" hidden="1" outlineLevel="1">
      <c r="A83" s="3"/>
      <c r="B83" s="3"/>
      <c r="C83" s="29"/>
      <c r="D83" s="133">
        <f>Asset24</f>
        <v>0</v>
      </c>
      <c r="E83" s="3"/>
      <c r="F83" s="3"/>
      <c r="G83" s="1393">
        <f>'Capital Base roll forward'!G793</f>
        <v>0</v>
      </c>
      <c r="H83" s="1341">
        <f>'Capital Base roll forward'!H793</f>
        <v>0</v>
      </c>
      <c r="I83" s="1341">
        <f>'Capital Base roll forward'!I793</f>
        <v>0</v>
      </c>
      <c r="J83" s="1341">
        <f>'Capital Base roll forward'!J793</f>
        <v>0</v>
      </c>
      <c r="K83" s="1341">
        <f>'Capital Base roll forward'!K793</f>
        <v>0</v>
      </c>
      <c r="L83" s="1341">
        <f>'Capital Base roll forward'!L793</f>
        <v>0</v>
      </c>
      <c r="M83" s="1341">
        <f>'Capital Base roll forward'!M793</f>
        <v>0</v>
      </c>
      <c r="N83" s="1341">
        <f>'Capital Base roll forward'!N793</f>
        <v>0</v>
      </c>
      <c r="O83" s="1341">
        <f>'Capital Base roll forward'!O793</f>
        <v>0</v>
      </c>
      <c r="P83" s="1341">
        <f>'Capital Base roll forward'!P793</f>
        <v>0</v>
      </c>
      <c r="Q83" s="1341">
        <f>'Capital Base roll forward'!Q793</f>
        <v>0</v>
      </c>
      <c r="R83" s="248"/>
      <c r="S83" s="71"/>
      <c r="T83" s="71"/>
      <c r="U83" s="71"/>
      <c r="V83" s="71"/>
      <c r="W83" s="71"/>
      <c r="X83" s="71"/>
      <c r="Y83" s="71"/>
      <c r="Z83" s="71"/>
      <c r="AA83" s="152"/>
    </row>
    <row r="84" spans="1:27" hidden="1" outlineLevel="1">
      <c r="A84" s="3"/>
      <c r="B84" s="3"/>
      <c r="C84" s="29"/>
      <c r="D84" s="133">
        <f>Asset25</f>
        <v>0</v>
      </c>
      <c r="E84" s="3"/>
      <c r="F84" s="3"/>
      <c r="G84" s="1393">
        <f>'Capital Base roll forward'!G794</f>
        <v>0</v>
      </c>
      <c r="H84" s="1341">
        <f>'Capital Base roll forward'!H794</f>
        <v>0</v>
      </c>
      <c r="I84" s="1341">
        <f>'Capital Base roll forward'!I794</f>
        <v>0</v>
      </c>
      <c r="J84" s="1341">
        <f>'Capital Base roll forward'!J794</f>
        <v>0</v>
      </c>
      <c r="K84" s="1341">
        <f>'Capital Base roll forward'!K794</f>
        <v>0</v>
      </c>
      <c r="L84" s="1341">
        <f>'Capital Base roll forward'!L794</f>
        <v>0</v>
      </c>
      <c r="M84" s="1341">
        <f>'Capital Base roll forward'!M794</f>
        <v>0</v>
      </c>
      <c r="N84" s="1341">
        <f>'Capital Base roll forward'!N794</f>
        <v>0</v>
      </c>
      <c r="O84" s="1341">
        <f>'Capital Base roll forward'!O794</f>
        <v>0</v>
      </c>
      <c r="P84" s="1341">
        <f>'Capital Base roll forward'!P794</f>
        <v>0</v>
      </c>
      <c r="Q84" s="1341">
        <f>'Capital Base roll forward'!Q794</f>
        <v>0</v>
      </c>
      <c r="R84" s="248"/>
      <c r="S84" s="71"/>
      <c r="T84" s="71"/>
      <c r="U84" s="71"/>
      <c r="V84" s="71"/>
      <c r="W84" s="71"/>
      <c r="X84" s="71"/>
      <c r="Y84" s="71"/>
      <c r="Z84" s="71"/>
      <c r="AA84" s="152"/>
    </row>
    <row r="85" spans="1:27" hidden="1" outlineLevel="1">
      <c r="A85" s="3"/>
      <c r="B85" s="3"/>
      <c r="C85" s="29"/>
      <c r="D85" s="133">
        <f>Asset26</f>
        <v>0</v>
      </c>
      <c r="E85" s="3"/>
      <c r="F85" s="3"/>
      <c r="G85" s="1393">
        <f>'Capital Base roll forward'!G795</f>
        <v>0</v>
      </c>
      <c r="H85" s="1341">
        <f>'Capital Base roll forward'!H795</f>
        <v>0</v>
      </c>
      <c r="I85" s="1341">
        <f>'Capital Base roll forward'!I795</f>
        <v>0</v>
      </c>
      <c r="J85" s="1341">
        <f>'Capital Base roll forward'!J795</f>
        <v>0</v>
      </c>
      <c r="K85" s="1341">
        <f>'Capital Base roll forward'!K795</f>
        <v>0</v>
      </c>
      <c r="L85" s="1341">
        <f>'Capital Base roll forward'!L795</f>
        <v>0</v>
      </c>
      <c r="M85" s="1341">
        <f>'Capital Base roll forward'!M795</f>
        <v>0</v>
      </c>
      <c r="N85" s="1341">
        <f>'Capital Base roll forward'!N795</f>
        <v>0</v>
      </c>
      <c r="O85" s="1341">
        <f>'Capital Base roll forward'!O795</f>
        <v>0</v>
      </c>
      <c r="P85" s="1341">
        <f>'Capital Base roll forward'!P795</f>
        <v>0</v>
      </c>
      <c r="Q85" s="1341">
        <f>'Capital Base roll forward'!Q795</f>
        <v>0</v>
      </c>
      <c r="R85" s="248"/>
      <c r="S85" s="71"/>
      <c r="T85" s="71"/>
      <c r="U85" s="71"/>
      <c r="V85" s="71"/>
      <c r="W85" s="71"/>
      <c r="X85" s="71"/>
      <c r="Y85" s="71"/>
      <c r="Z85" s="71"/>
      <c r="AA85" s="152"/>
    </row>
    <row r="86" spans="1:27" hidden="1" outlineLevel="1">
      <c r="A86" s="3"/>
      <c r="B86" s="3"/>
      <c r="C86" s="29"/>
      <c r="D86" s="133">
        <f>Asset27</f>
        <v>0</v>
      </c>
      <c r="E86" s="3"/>
      <c r="F86" s="3"/>
      <c r="G86" s="1393">
        <f>'Capital Base roll forward'!G796</f>
        <v>0</v>
      </c>
      <c r="H86" s="1341">
        <f>'Capital Base roll forward'!H796</f>
        <v>0</v>
      </c>
      <c r="I86" s="1341">
        <f>'Capital Base roll forward'!I796</f>
        <v>0</v>
      </c>
      <c r="J86" s="1341">
        <f>'Capital Base roll forward'!J796</f>
        <v>0</v>
      </c>
      <c r="K86" s="1341">
        <f>'Capital Base roll forward'!K796</f>
        <v>0</v>
      </c>
      <c r="L86" s="1341">
        <f>'Capital Base roll forward'!L796</f>
        <v>0</v>
      </c>
      <c r="M86" s="1341">
        <f>'Capital Base roll forward'!M796</f>
        <v>0</v>
      </c>
      <c r="N86" s="1341">
        <f>'Capital Base roll forward'!N796</f>
        <v>0</v>
      </c>
      <c r="O86" s="1341">
        <f>'Capital Base roll forward'!O796</f>
        <v>0</v>
      </c>
      <c r="P86" s="1341">
        <f>'Capital Base roll forward'!P796</f>
        <v>0</v>
      </c>
      <c r="Q86" s="1341">
        <f>'Capital Base roll forward'!Q796</f>
        <v>0</v>
      </c>
      <c r="R86" s="248"/>
      <c r="S86" s="71"/>
      <c r="T86" s="71"/>
      <c r="U86" s="71"/>
      <c r="V86" s="71"/>
      <c r="W86" s="71"/>
      <c r="X86" s="71"/>
      <c r="Y86" s="71"/>
      <c r="Z86" s="71"/>
      <c r="AA86" s="152"/>
    </row>
    <row r="87" spans="1:27" hidden="1" outlineLevel="1">
      <c r="A87" s="3"/>
      <c r="B87" s="3"/>
      <c r="C87" s="29"/>
      <c r="D87" s="133">
        <f>Asset28</f>
        <v>0</v>
      </c>
      <c r="E87" s="3"/>
      <c r="F87" s="3"/>
      <c r="G87" s="1393">
        <f>'Capital Base roll forward'!G797</f>
        <v>0</v>
      </c>
      <c r="H87" s="1341">
        <f>'Capital Base roll forward'!H797</f>
        <v>0</v>
      </c>
      <c r="I87" s="1341">
        <f>'Capital Base roll forward'!I797</f>
        <v>0</v>
      </c>
      <c r="J87" s="1341">
        <f>'Capital Base roll forward'!J797</f>
        <v>0</v>
      </c>
      <c r="K87" s="1341">
        <f>'Capital Base roll forward'!K797</f>
        <v>0</v>
      </c>
      <c r="L87" s="1341">
        <f>'Capital Base roll forward'!L797</f>
        <v>0</v>
      </c>
      <c r="M87" s="1341">
        <f>'Capital Base roll forward'!M797</f>
        <v>0</v>
      </c>
      <c r="N87" s="1341">
        <f>'Capital Base roll forward'!N797</f>
        <v>0</v>
      </c>
      <c r="O87" s="1341">
        <f>'Capital Base roll forward'!O797</f>
        <v>0</v>
      </c>
      <c r="P87" s="1341">
        <f>'Capital Base roll forward'!P797</f>
        <v>0</v>
      </c>
      <c r="Q87" s="1341">
        <f>'Capital Base roll forward'!Q797</f>
        <v>0</v>
      </c>
      <c r="R87" s="248"/>
      <c r="S87" s="71"/>
      <c r="T87" s="71"/>
      <c r="U87" s="71"/>
      <c r="V87" s="71"/>
      <c r="W87" s="71"/>
      <c r="X87" s="71"/>
      <c r="Y87" s="71"/>
      <c r="Z87" s="71"/>
      <c r="AA87" s="152"/>
    </row>
    <row r="88" spans="1:27" hidden="1" outlineLevel="1">
      <c r="A88" s="3"/>
      <c r="B88" s="3"/>
      <c r="C88" s="29"/>
      <c r="D88" s="133">
        <f>Asset29</f>
        <v>0</v>
      </c>
      <c r="E88" s="3"/>
      <c r="F88" s="3"/>
      <c r="G88" s="1393">
        <f>'Capital Base roll forward'!G798</f>
        <v>0</v>
      </c>
      <c r="H88" s="1341">
        <f>'Capital Base roll forward'!H798</f>
        <v>0</v>
      </c>
      <c r="I88" s="1341">
        <f>'Capital Base roll forward'!I798</f>
        <v>0</v>
      </c>
      <c r="J88" s="1341">
        <f>'Capital Base roll forward'!J798</f>
        <v>0</v>
      </c>
      <c r="K88" s="1341">
        <f>'Capital Base roll forward'!K798</f>
        <v>0</v>
      </c>
      <c r="L88" s="1341">
        <f>'Capital Base roll forward'!L798</f>
        <v>0</v>
      </c>
      <c r="M88" s="1341">
        <f>'Capital Base roll forward'!M798</f>
        <v>0</v>
      </c>
      <c r="N88" s="1341">
        <f>'Capital Base roll forward'!N798</f>
        <v>0</v>
      </c>
      <c r="O88" s="1341">
        <f>'Capital Base roll forward'!O798</f>
        <v>0</v>
      </c>
      <c r="P88" s="1341">
        <f>'Capital Base roll forward'!P798</f>
        <v>0</v>
      </c>
      <c r="Q88" s="1341">
        <f>'Capital Base roll forward'!Q798</f>
        <v>0</v>
      </c>
      <c r="R88" s="248"/>
      <c r="S88" s="71"/>
      <c r="T88" s="71"/>
      <c r="U88" s="71"/>
      <c r="V88" s="71"/>
      <c r="W88" s="71"/>
      <c r="X88" s="71"/>
      <c r="Y88" s="71"/>
      <c r="Z88" s="71"/>
      <c r="AA88" s="152"/>
    </row>
    <row r="89" spans="1:27" hidden="1" outlineLevel="1">
      <c r="A89" s="3"/>
      <c r="B89" s="3"/>
      <c r="C89" s="29"/>
      <c r="D89" s="133">
        <f>Asset30</f>
        <v>0</v>
      </c>
      <c r="E89" s="3"/>
      <c r="F89" s="3"/>
      <c r="G89" s="1393">
        <f>'Capital Base roll forward'!G799</f>
        <v>0</v>
      </c>
      <c r="H89" s="1341">
        <f>'Capital Base roll forward'!H799</f>
        <v>0</v>
      </c>
      <c r="I89" s="1341">
        <f>'Capital Base roll forward'!I799</f>
        <v>0</v>
      </c>
      <c r="J89" s="1341">
        <f>'Capital Base roll forward'!J799</f>
        <v>0</v>
      </c>
      <c r="K89" s="1341">
        <f>'Capital Base roll forward'!K799</f>
        <v>0</v>
      </c>
      <c r="L89" s="1341">
        <f>'Capital Base roll forward'!L799</f>
        <v>0</v>
      </c>
      <c r="M89" s="1341">
        <f>'Capital Base roll forward'!M799</f>
        <v>0</v>
      </c>
      <c r="N89" s="1341">
        <f>'Capital Base roll forward'!N799</f>
        <v>0</v>
      </c>
      <c r="O89" s="1341">
        <f>'Capital Base roll forward'!O799</f>
        <v>0</v>
      </c>
      <c r="P89" s="1341">
        <f>'Capital Base roll forward'!P799</f>
        <v>0</v>
      </c>
      <c r="Q89" s="1341">
        <f>'Capital Base roll forward'!Q799</f>
        <v>0</v>
      </c>
      <c r="R89" s="248"/>
      <c r="S89" s="71"/>
      <c r="T89" s="71"/>
      <c r="U89" s="71"/>
      <c r="V89" s="71"/>
      <c r="W89" s="71"/>
      <c r="X89" s="71"/>
      <c r="Y89" s="71"/>
      <c r="Z89" s="71"/>
      <c r="AA89" s="152"/>
    </row>
    <row r="90" spans="1:27" hidden="1" outlineLevel="1">
      <c r="A90" s="3"/>
      <c r="B90" s="3"/>
      <c r="C90" s="29"/>
      <c r="D90" s="133">
        <f>Asset31</f>
        <v>0</v>
      </c>
      <c r="E90" s="3"/>
      <c r="F90" s="3"/>
      <c r="G90" s="1393">
        <f>'Capital Base roll forward'!G800</f>
        <v>0</v>
      </c>
      <c r="H90" s="1341">
        <f>'Capital Base roll forward'!H800</f>
        <v>0</v>
      </c>
      <c r="I90" s="1341">
        <f>'Capital Base roll forward'!I800</f>
        <v>0</v>
      </c>
      <c r="J90" s="1341">
        <f>'Capital Base roll forward'!J800</f>
        <v>0</v>
      </c>
      <c r="K90" s="1341">
        <f>'Capital Base roll forward'!K800</f>
        <v>0</v>
      </c>
      <c r="L90" s="1341">
        <f>'Capital Base roll forward'!L800</f>
        <v>0</v>
      </c>
      <c r="M90" s="1341">
        <f>'Capital Base roll forward'!M800</f>
        <v>0</v>
      </c>
      <c r="N90" s="1341">
        <f>'Capital Base roll forward'!N800</f>
        <v>0</v>
      </c>
      <c r="O90" s="1341">
        <f>'Capital Base roll forward'!O800</f>
        <v>0</v>
      </c>
      <c r="P90" s="1341">
        <f>'Capital Base roll forward'!P800</f>
        <v>0</v>
      </c>
      <c r="Q90" s="1341">
        <f>'Capital Base roll forward'!Q800</f>
        <v>0</v>
      </c>
      <c r="R90" s="248"/>
      <c r="S90" s="71"/>
      <c r="T90" s="71"/>
      <c r="U90" s="71"/>
      <c r="V90" s="71"/>
      <c r="W90" s="71"/>
      <c r="X90" s="71"/>
      <c r="Y90" s="71"/>
      <c r="Z90" s="71"/>
      <c r="AA90" s="152"/>
    </row>
    <row r="91" spans="1:27" hidden="1" outlineLevel="1">
      <c r="A91" s="3"/>
      <c r="B91" s="3"/>
      <c r="C91" s="29"/>
      <c r="D91" s="133">
        <f>Asset32</f>
        <v>0</v>
      </c>
      <c r="E91" s="3"/>
      <c r="F91" s="3"/>
      <c r="G91" s="1393">
        <f>'Capital Base roll forward'!G801</f>
        <v>0</v>
      </c>
      <c r="H91" s="1341">
        <f>'Capital Base roll forward'!H801</f>
        <v>0</v>
      </c>
      <c r="I91" s="1341">
        <f>'Capital Base roll forward'!I801</f>
        <v>0</v>
      </c>
      <c r="J91" s="1341">
        <f>'Capital Base roll forward'!J801</f>
        <v>0</v>
      </c>
      <c r="K91" s="1341">
        <f>'Capital Base roll forward'!K801</f>
        <v>0</v>
      </c>
      <c r="L91" s="1341">
        <f>'Capital Base roll forward'!L801</f>
        <v>0</v>
      </c>
      <c r="M91" s="1341">
        <f>'Capital Base roll forward'!M801</f>
        <v>0</v>
      </c>
      <c r="N91" s="1341">
        <f>'Capital Base roll forward'!N801</f>
        <v>0</v>
      </c>
      <c r="O91" s="1341">
        <f>'Capital Base roll forward'!O801</f>
        <v>0</v>
      </c>
      <c r="P91" s="1341">
        <f>'Capital Base roll forward'!P801</f>
        <v>0</v>
      </c>
      <c r="Q91" s="1341">
        <f>'Capital Base roll forward'!Q801</f>
        <v>0</v>
      </c>
      <c r="R91" s="248"/>
      <c r="S91" s="71"/>
      <c r="T91" s="71"/>
      <c r="U91" s="71"/>
      <c r="V91" s="71"/>
      <c r="W91" s="71"/>
      <c r="X91" s="71"/>
      <c r="Y91" s="71"/>
      <c r="Z91" s="71"/>
      <c r="AA91" s="152"/>
    </row>
    <row r="92" spans="1:27" hidden="1" outlineLevel="1">
      <c r="A92" s="3"/>
      <c r="B92" s="3"/>
      <c r="C92" s="29"/>
      <c r="D92" s="133">
        <f>Asset33</f>
        <v>0</v>
      </c>
      <c r="E92" s="3"/>
      <c r="F92" s="3"/>
      <c r="G92" s="1393">
        <f>'Capital Base roll forward'!G802</f>
        <v>0</v>
      </c>
      <c r="H92" s="1341">
        <f>'Capital Base roll forward'!H802</f>
        <v>0</v>
      </c>
      <c r="I92" s="1341">
        <f>'Capital Base roll forward'!I802</f>
        <v>0</v>
      </c>
      <c r="J92" s="1341">
        <f>'Capital Base roll forward'!J802</f>
        <v>0</v>
      </c>
      <c r="K92" s="1341">
        <f>'Capital Base roll forward'!K802</f>
        <v>0</v>
      </c>
      <c r="L92" s="1341">
        <f>'Capital Base roll forward'!L802</f>
        <v>0</v>
      </c>
      <c r="M92" s="1341">
        <f>'Capital Base roll forward'!M802</f>
        <v>0</v>
      </c>
      <c r="N92" s="1341">
        <f>'Capital Base roll forward'!N802</f>
        <v>0</v>
      </c>
      <c r="O92" s="1341">
        <f>'Capital Base roll forward'!O802</f>
        <v>0</v>
      </c>
      <c r="P92" s="1341">
        <f>'Capital Base roll forward'!P802</f>
        <v>0</v>
      </c>
      <c r="Q92" s="1341">
        <f>'Capital Base roll forward'!Q802</f>
        <v>0</v>
      </c>
      <c r="R92" s="248"/>
      <c r="S92" s="71"/>
      <c r="T92" s="71"/>
      <c r="U92" s="71"/>
      <c r="V92" s="71"/>
      <c r="W92" s="71"/>
      <c r="X92" s="71"/>
      <c r="Y92" s="71"/>
      <c r="Z92" s="71"/>
      <c r="AA92" s="152"/>
    </row>
    <row r="93" spans="1:27" hidden="1" outlineLevel="1">
      <c r="A93" s="3"/>
      <c r="B93" s="3"/>
      <c r="C93" s="29"/>
      <c r="D93" s="133">
        <f>Asset34</f>
        <v>0</v>
      </c>
      <c r="E93" s="3"/>
      <c r="F93" s="3"/>
      <c r="G93" s="1393">
        <f>'Capital Base roll forward'!G803</f>
        <v>0</v>
      </c>
      <c r="H93" s="1341">
        <f>'Capital Base roll forward'!H803</f>
        <v>0</v>
      </c>
      <c r="I93" s="1341">
        <f>'Capital Base roll forward'!I803</f>
        <v>0</v>
      </c>
      <c r="J93" s="1341">
        <f>'Capital Base roll forward'!J803</f>
        <v>0</v>
      </c>
      <c r="K93" s="1341">
        <f>'Capital Base roll forward'!K803</f>
        <v>0</v>
      </c>
      <c r="L93" s="1341">
        <f>'Capital Base roll forward'!L803</f>
        <v>0</v>
      </c>
      <c r="M93" s="1341">
        <f>'Capital Base roll forward'!M803</f>
        <v>0</v>
      </c>
      <c r="N93" s="1341">
        <f>'Capital Base roll forward'!N803</f>
        <v>0</v>
      </c>
      <c r="O93" s="1341">
        <f>'Capital Base roll forward'!O803</f>
        <v>0</v>
      </c>
      <c r="P93" s="1341">
        <f>'Capital Base roll forward'!P803</f>
        <v>0</v>
      </c>
      <c r="Q93" s="1341">
        <f>'Capital Base roll forward'!Q803</f>
        <v>0</v>
      </c>
      <c r="R93" s="248"/>
      <c r="S93" s="71"/>
      <c r="T93" s="71"/>
      <c r="U93" s="71"/>
      <c r="V93" s="71"/>
      <c r="W93" s="71"/>
      <c r="X93" s="71"/>
      <c r="Y93" s="71"/>
      <c r="Z93" s="71"/>
      <c r="AA93" s="152"/>
    </row>
    <row r="94" spans="1:27" hidden="1" outlineLevel="1">
      <c r="A94" s="3"/>
      <c r="B94" s="3"/>
      <c r="C94" s="29"/>
      <c r="D94" s="133">
        <f>Asset35</f>
        <v>0</v>
      </c>
      <c r="E94" s="3"/>
      <c r="F94" s="3"/>
      <c r="G94" s="1393">
        <f>'Capital Base roll forward'!G804</f>
        <v>0</v>
      </c>
      <c r="H94" s="1341">
        <f>'Capital Base roll forward'!H804</f>
        <v>0</v>
      </c>
      <c r="I94" s="1341">
        <f>'Capital Base roll forward'!I804</f>
        <v>0</v>
      </c>
      <c r="J94" s="1341">
        <f>'Capital Base roll forward'!J804</f>
        <v>0</v>
      </c>
      <c r="K94" s="1341">
        <f>'Capital Base roll forward'!K804</f>
        <v>0</v>
      </c>
      <c r="L94" s="1341">
        <f>'Capital Base roll forward'!L804</f>
        <v>0</v>
      </c>
      <c r="M94" s="1341">
        <f>'Capital Base roll forward'!M804</f>
        <v>0</v>
      </c>
      <c r="N94" s="1341">
        <f>'Capital Base roll forward'!N804</f>
        <v>0</v>
      </c>
      <c r="O94" s="1341">
        <f>'Capital Base roll forward'!O804</f>
        <v>0</v>
      </c>
      <c r="P94" s="1341">
        <f>'Capital Base roll forward'!P804</f>
        <v>0</v>
      </c>
      <c r="Q94" s="1341">
        <f>'Capital Base roll forward'!Q804</f>
        <v>0</v>
      </c>
      <c r="R94" s="248"/>
      <c r="S94" s="71"/>
      <c r="T94" s="71"/>
      <c r="U94" s="71"/>
      <c r="V94" s="71"/>
      <c r="W94" s="71"/>
      <c r="X94" s="71"/>
      <c r="Y94" s="71"/>
      <c r="Z94" s="71"/>
      <c r="AA94" s="152"/>
    </row>
    <row r="95" spans="1:27" hidden="1" outlineLevel="1">
      <c r="A95" s="3"/>
      <c r="B95" s="3"/>
      <c r="C95" s="29"/>
      <c r="D95" s="133">
        <f>Asset36</f>
        <v>0</v>
      </c>
      <c r="E95" s="3"/>
      <c r="F95" s="3"/>
      <c r="G95" s="1393">
        <f>'Capital Base roll forward'!G805</f>
        <v>0</v>
      </c>
      <c r="H95" s="1341">
        <f>'Capital Base roll forward'!H805</f>
        <v>0</v>
      </c>
      <c r="I95" s="1341">
        <f>'Capital Base roll forward'!I805</f>
        <v>0</v>
      </c>
      <c r="J95" s="1341">
        <f>'Capital Base roll forward'!J805</f>
        <v>0</v>
      </c>
      <c r="K95" s="1341">
        <f>'Capital Base roll forward'!K805</f>
        <v>0</v>
      </c>
      <c r="L95" s="1341">
        <f>'Capital Base roll forward'!L805</f>
        <v>0</v>
      </c>
      <c r="M95" s="1341">
        <f>'Capital Base roll forward'!M805</f>
        <v>0</v>
      </c>
      <c r="N95" s="1341">
        <f>'Capital Base roll forward'!N805</f>
        <v>0</v>
      </c>
      <c r="O95" s="1341">
        <f>'Capital Base roll forward'!O805</f>
        <v>0</v>
      </c>
      <c r="P95" s="1341">
        <f>'Capital Base roll forward'!P805</f>
        <v>0</v>
      </c>
      <c r="Q95" s="1341">
        <f>'Capital Base roll forward'!Q805</f>
        <v>0</v>
      </c>
      <c r="R95" s="248"/>
      <c r="S95" s="71"/>
      <c r="T95" s="71"/>
      <c r="U95" s="71"/>
      <c r="V95" s="71"/>
      <c r="W95" s="71"/>
      <c r="X95" s="71"/>
      <c r="Y95" s="71"/>
      <c r="Z95" s="71"/>
      <c r="AA95" s="152"/>
    </row>
    <row r="96" spans="1:27" hidden="1" outlineLevel="1">
      <c r="A96" s="3"/>
      <c r="B96" s="3"/>
      <c r="C96" s="29"/>
      <c r="D96" s="133">
        <f>Asset37</f>
        <v>0</v>
      </c>
      <c r="E96" s="3"/>
      <c r="F96" s="3"/>
      <c r="G96" s="1393">
        <f>'Capital Base roll forward'!G806</f>
        <v>0</v>
      </c>
      <c r="H96" s="1341">
        <f>'Capital Base roll forward'!H806</f>
        <v>0</v>
      </c>
      <c r="I96" s="1341">
        <f>'Capital Base roll forward'!I806</f>
        <v>0</v>
      </c>
      <c r="J96" s="1341">
        <f>'Capital Base roll forward'!J806</f>
        <v>0</v>
      </c>
      <c r="K96" s="1341">
        <f>'Capital Base roll forward'!K806</f>
        <v>0</v>
      </c>
      <c r="L96" s="1341">
        <f>'Capital Base roll forward'!L806</f>
        <v>0</v>
      </c>
      <c r="M96" s="1341">
        <f>'Capital Base roll forward'!M806</f>
        <v>0</v>
      </c>
      <c r="N96" s="1341">
        <f>'Capital Base roll forward'!N806</f>
        <v>0</v>
      </c>
      <c r="O96" s="1341">
        <f>'Capital Base roll forward'!O806</f>
        <v>0</v>
      </c>
      <c r="P96" s="1341">
        <f>'Capital Base roll forward'!P806</f>
        <v>0</v>
      </c>
      <c r="Q96" s="1341">
        <f>'Capital Base roll forward'!Q806</f>
        <v>0</v>
      </c>
      <c r="R96" s="248"/>
      <c r="S96" s="71"/>
      <c r="T96" s="71"/>
      <c r="U96" s="71"/>
      <c r="V96" s="71"/>
      <c r="W96" s="71"/>
      <c r="X96" s="71"/>
      <c r="Y96" s="71"/>
      <c r="Z96" s="71"/>
      <c r="AA96" s="152"/>
    </row>
    <row r="97" spans="1:27" hidden="1" outlineLevel="1">
      <c r="A97" s="3"/>
      <c r="B97" s="3"/>
      <c r="C97" s="29"/>
      <c r="D97" s="133">
        <f>Asset38</f>
        <v>0</v>
      </c>
      <c r="E97" s="3"/>
      <c r="F97" s="3"/>
      <c r="G97" s="1393">
        <f>'Capital Base roll forward'!G807</f>
        <v>0</v>
      </c>
      <c r="H97" s="1341">
        <f>'Capital Base roll forward'!H807</f>
        <v>0</v>
      </c>
      <c r="I97" s="1341">
        <f>'Capital Base roll forward'!I807</f>
        <v>0</v>
      </c>
      <c r="J97" s="1341">
        <f>'Capital Base roll forward'!J807</f>
        <v>0</v>
      </c>
      <c r="K97" s="1341">
        <f>'Capital Base roll forward'!K807</f>
        <v>0</v>
      </c>
      <c r="L97" s="1341">
        <f>'Capital Base roll forward'!L807</f>
        <v>0</v>
      </c>
      <c r="M97" s="1341">
        <f>'Capital Base roll forward'!M807</f>
        <v>0</v>
      </c>
      <c r="N97" s="1341">
        <f>'Capital Base roll forward'!N807</f>
        <v>0</v>
      </c>
      <c r="O97" s="1341">
        <f>'Capital Base roll forward'!O807</f>
        <v>0</v>
      </c>
      <c r="P97" s="1341">
        <f>'Capital Base roll forward'!P807</f>
        <v>0</v>
      </c>
      <c r="Q97" s="1341">
        <f>'Capital Base roll forward'!Q807</f>
        <v>0</v>
      </c>
      <c r="R97" s="248"/>
      <c r="S97" s="71"/>
      <c r="T97" s="71"/>
      <c r="U97" s="71"/>
      <c r="V97" s="71"/>
      <c r="W97" s="71"/>
      <c r="X97" s="71"/>
      <c r="Y97" s="71"/>
      <c r="Z97" s="71"/>
      <c r="AA97" s="152"/>
    </row>
    <row r="98" spans="1:27" hidden="1" outlineLevel="1">
      <c r="A98" s="3"/>
      <c r="B98" s="3"/>
      <c r="C98" s="29"/>
      <c r="D98" s="133">
        <f>Asset39</f>
        <v>0</v>
      </c>
      <c r="E98" s="3"/>
      <c r="F98" s="3"/>
      <c r="G98" s="1393">
        <f>'Capital Base roll forward'!G808</f>
        <v>0</v>
      </c>
      <c r="H98" s="1341">
        <f>'Capital Base roll forward'!H808</f>
        <v>0</v>
      </c>
      <c r="I98" s="1341">
        <f>'Capital Base roll forward'!I808</f>
        <v>0</v>
      </c>
      <c r="J98" s="1341">
        <f>'Capital Base roll forward'!J808</f>
        <v>0</v>
      </c>
      <c r="K98" s="1341">
        <f>'Capital Base roll forward'!K808</f>
        <v>0</v>
      </c>
      <c r="L98" s="1341">
        <f>'Capital Base roll forward'!L808</f>
        <v>0</v>
      </c>
      <c r="M98" s="1341">
        <f>'Capital Base roll forward'!M808</f>
        <v>0</v>
      </c>
      <c r="N98" s="1341">
        <f>'Capital Base roll forward'!N808</f>
        <v>0</v>
      </c>
      <c r="O98" s="1341">
        <f>'Capital Base roll forward'!O808</f>
        <v>0</v>
      </c>
      <c r="P98" s="1341">
        <f>'Capital Base roll forward'!P808</f>
        <v>0</v>
      </c>
      <c r="Q98" s="1341">
        <f>'Capital Base roll forward'!Q808</f>
        <v>0</v>
      </c>
      <c r="R98" s="248"/>
      <c r="S98" s="71"/>
      <c r="T98" s="71"/>
      <c r="U98" s="71"/>
      <c r="V98" s="71"/>
      <c r="W98" s="71"/>
      <c r="X98" s="71"/>
      <c r="Y98" s="71"/>
      <c r="Z98" s="71"/>
      <c r="AA98" s="152"/>
    </row>
    <row r="99" spans="1:27" hidden="1" outlineLevel="1">
      <c r="A99" s="3"/>
      <c r="B99" s="3"/>
      <c r="C99" s="29"/>
      <c r="D99" s="133">
        <f>Asset40</f>
        <v>0</v>
      </c>
      <c r="E99" s="3"/>
      <c r="F99" s="3"/>
      <c r="G99" s="1393">
        <f>'Capital Base roll forward'!G809</f>
        <v>0</v>
      </c>
      <c r="H99" s="1341">
        <f>'Capital Base roll forward'!H809</f>
        <v>0</v>
      </c>
      <c r="I99" s="1341">
        <f>'Capital Base roll forward'!I809</f>
        <v>0</v>
      </c>
      <c r="J99" s="1341">
        <f>'Capital Base roll forward'!J809</f>
        <v>0</v>
      </c>
      <c r="K99" s="1341">
        <f>'Capital Base roll forward'!K809</f>
        <v>0</v>
      </c>
      <c r="L99" s="1341">
        <f>'Capital Base roll forward'!L809</f>
        <v>0</v>
      </c>
      <c r="M99" s="1341">
        <f>'Capital Base roll forward'!M809</f>
        <v>0</v>
      </c>
      <c r="N99" s="1341">
        <f>'Capital Base roll forward'!N809</f>
        <v>0</v>
      </c>
      <c r="O99" s="1341">
        <f>'Capital Base roll forward'!O809</f>
        <v>0</v>
      </c>
      <c r="P99" s="1341">
        <f>'Capital Base roll forward'!P809</f>
        <v>0</v>
      </c>
      <c r="Q99" s="1341">
        <f>'Capital Base roll forward'!Q809</f>
        <v>0</v>
      </c>
      <c r="R99" s="248"/>
      <c r="S99" s="71"/>
      <c r="T99" s="71"/>
      <c r="U99" s="71"/>
      <c r="V99" s="71"/>
      <c r="W99" s="71"/>
      <c r="X99" s="71"/>
      <c r="Y99" s="71"/>
      <c r="Z99" s="71"/>
      <c r="AA99" s="152"/>
    </row>
    <row r="100" spans="1:27" hidden="1" outlineLevel="1">
      <c r="A100" s="3"/>
      <c r="B100" s="3"/>
      <c r="C100" s="29"/>
      <c r="D100" s="133">
        <f>Asset41</f>
        <v>0</v>
      </c>
      <c r="E100" s="3"/>
      <c r="F100" s="3"/>
      <c r="G100" s="1393">
        <f>'Capital Base roll forward'!G810</f>
        <v>0</v>
      </c>
      <c r="H100" s="1341">
        <f>'Capital Base roll forward'!H810</f>
        <v>0</v>
      </c>
      <c r="I100" s="1341">
        <f>'Capital Base roll forward'!I810</f>
        <v>0</v>
      </c>
      <c r="J100" s="1341">
        <f>'Capital Base roll forward'!J810</f>
        <v>0</v>
      </c>
      <c r="K100" s="1341">
        <f>'Capital Base roll forward'!K810</f>
        <v>0</v>
      </c>
      <c r="L100" s="1341">
        <f>'Capital Base roll forward'!L810</f>
        <v>0</v>
      </c>
      <c r="M100" s="1341">
        <f>'Capital Base roll forward'!M810</f>
        <v>0</v>
      </c>
      <c r="N100" s="1341">
        <f>'Capital Base roll forward'!N810</f>
        <v>0</v>
      </c>
      <c r="O100" s="1341">
        <f>'Capital Base roll forward'!O810</f>
        <v>0</v>
      </c>
      <c r="P100" s="1341">
        <f>'Capital Base roll forward'!P810</f>
        <v>0</v>
      </c>
      <c r="Q100" s="1341">
        <f>'Capital Base roll forward'!Q810</f>
        <v>0</v>
      </c>
      <c r="R100" s="248"/>
      <c r="S100" s="71"/>
      <c r="T100" s="71"/>
      <c r="U100" s="71"/>
      <c r="V100" s="71"/>
      <c r="W100" s="71"/>
      <c r="X100" s="71"/>
      <c r="Y100" s="71"/>
      <c r="Z100" s="71"/>
      <c r="AA100" s="152"/>
    </row>
    <row r="101" spans="1:27" hidden="1" outlineLevel="1">
      <c r="A101" s="3"/>
      <c r="B101" s="3"/>
      <c r="C101" s="29"/>
      <c r="D101" s="133">
        <f>Asset42</f>
        <v>0</v>
      </c>
      <c r="E101" s="3"/>
      <c r="F101" s="3"/>
      <c r="G101" s="1393">
        <f>'Capital Base roll forward'!G811</f>
        <v>0</v>
      </c>
      <c r="H101" s="1341">
        <f>'Capital Base roll forward'!H811</f>
        <v>0</v>
      </c>
      <c r="I101" s="1341">
        <f>'Capital Base roll forward'!I811</f>
        <v>0</v>
      </c>
      <c r="J101" s="1341">
        <f>'Capital Base roll forward'!J811</f>
        <v>0</v>
      </c>
      <c r="K101" s="1341">
        <f>'Capital Base roll forward'!K811</f>
        <v>0</v>
      </c>
      <c r="L101" s="1341">
        <f>'Capital Base roll forward'!L811</f>
        <v>0</v>
      </c>
      <c r="M101" s="1341">
        <f>'Capital Base roll forward'!M811</f>
        <v>0</v>
      </c>
      <c r="N101" s="1341">
        <f>'Capital Base roll forward'!N811</f>
        <v>0</v>
      </c>
      <c r="O101" s="1341">
        <f>'Capital Base roll forward'!O811</f>
        <v>0</v>
      </c>
      <c r="P101" s="1341">
        <f>'Capital Base roll forward'!P811</f>
        <v>0</v>
      </c>
      <c r="Q101" s="1341">
        <f>'Capital Base roll forward'!Q811</f>
        <v>0</v>
      </c>
      <c r="R101" s="248"/>
      <c r="S101" s="71"/>
      <c r="T101" s="71"/>
      <c r="U101" s="71"/>
      <c r="V101" s="71"/>
      <c r="W101" s="71"/>
      <c r="X101" s="71"/>
      <c r="Y101" s="71"/>
      <c r="Z101" s="71"/>
      <c r="AA101" s="152"/>
    </row>
    <row r="102" spans="1:27" hidden="1" outlineLevel="1">
      <c r="A102" s="3"/>
      <c r="B102" s="3"/>
      <c r="C102" s="29"/>
      <c r="D102" s="133">
        <f>Asset43</f>
        <v>0</v>
      </c>
      <c r="E102" s="3"/>
      <c r="F102" s="3"/>
      <c r="G102" s="1393">
        <f>'Capital Base roll forward'!G812</f>
        <v>0</v>
      </c>
      <c r="H102" s="1341">
        <f>'Capital Base roll forward'!H812</f>
        <v>0</v>
      </c>
      <c r="I102" s="1341">
        <f>'Capital Base roll forward'!I812</f>
        <v>0</v>
      </c>
      <c r="J102" s="1341">
        <f>'Capital Base roll forward'!J812</f>
        <v>0</v>
      </c>
      <c r="K102" s="1341">
        <f>'Capital Base roll forward'!K812</f>
        <v>0</v>
      </c>
      <c r="L102" s="1341">
        <f>'Capital Base roll forward'!L812</f>
        <v>0</v>
      </c>
      <c r="M102" s="1341">
        <f>'Capital Base roll forward'!M812</f>
        <v>0</v>
      </c>
      <c r="N102" s="1341">
        <f>'Capital Base roll forward'!N812</f>
        <v>0</v>
      </c>
      <c r="O102" s="1341">
        <f>'Capital Base roll forward'!O812</f>
        <v>0</v>
      </c>
      <c r="P102" s="1341">
        <f>'Capital Base roll forward'!P812</f>
        <v>0</v>
      </c>
      <c r="Q102" s="1341">
        <f>'Capital Base roll forward'!Q812</f>
        <v>0</v>
      </c>
      <c r="R102" s="248"/>
      <c r="S102" s="71"/>
      <c r="T102" s="71"/>
      <c r="U102" s="71"/>
      <c r="V102" s="71"/>
      <c r="W102" s="71"/>
      <c r="X102" s="71"/>
      <c r="Y102" s="71"/>
      <c r="Z102" s="71"/>
      <c r="AA102" s="152"/>
    </row>
    <row r="103" spans="1:27" hidden="1" outlineLevel="1">
      <c r="A103" s="3"/>
      <c r="B103" s="3"/>
      <c r="C103" s="29"/>
      <c r="D103" s="133">
        <f>Asset44</f>
        <v>0</v>
      </c>
      <c r="E103" s="3"/>
      <c r="F103" s="3"/>
      <c r="G103" s="1393">
        <f>'Capital Base roll forward'!G813</f>
        <v>0</v>
      </c>
      <c r="H103" s="1341">
        <f>'Capital Base roll forward'!H813</f>
        <v>0</v>
      </c>
      <c r="I103" s="1341">
        <f>'Capital Base roll forward'!I813</f>
        <v>0</v>
      </c>
      <c r="J103" s="1341">
        <f>'Capital Base roll forward'!J813</f>
        <v>0</v>
      </c>
      <c r="K103" s="1341">
        <f>'Capital Base roll forward'!K813</f>
        <v>0</v>
      </c>
      <c r="L103" s="1341">
        <f>'Capital Base roll forward'!L813</f>
        <v>0</v>
      </c>
      <c r="M103" s="1341">
        <f>'Capital Base roll forward'!M813</f>
        <v>0</v>
      </c>
      <c r="N103" s="1341">
        <f>'Capital Base roll forward'!N813</f>
        <v>0</v>
      </c>
      <c r="O103" s="1341">
        <f>'Capital Base roll forward'!O813</f>
        <v>0</v>
      </c>
      <c r="P103" s="1341">
        <f>'Capital Base roll forward'!P813</f>
        <v>0</v>
      </c>
      <c r="Q103" s="1341">
        <f>'Capital Base roll forward'!Q813</f>
        <v>0</v>
      </c>
      <c r="R103" s="248"/>
      <c r="S103" s="71"/>
      <c r="T103" s="71"/>
      <c r="U103" s="71"/>
      <c r="V103" s="71"/>
      <c r="W103" s="71"/>
      <c r="X103" s="71"/>
      <c r="Y103" s="71"/>
      <c r="Z103" s="71"/>
      <c r="AA103" s="152"/>
    </row>
    <row r="104" spans="1:27" hidden="1" outlineLevel="1">
      <c r="A104" s="3"/>
      <c r="B104" s="3"/>
      <c r="C104" s="29"/>
      <c r="D104" s="133">
        <f>Asset45</f>
        <v>0</v>
      </c>
      <c r="E104" s="3"/>
      <c r="F104" s="3"/>
      <c r="G104" s="1393">
        <f>'Capital Base roll forward'!G814</f>
        <v>0</v>
      </c>
      <c r="H104" s="1341">
        <f>'Capital Base roll forward'!H814</f>
        <v>0</v>
      </c>
      <c r="I104" s="1341">
        <f>'Capital Base roll forward'!I814</f>
        <v>0</v>
      </c>
      <c r="J104" s="1341">
        <f>'Capital Base roll forward'!J814</f>
        <v>0</v>
      </c>
      <c r="K104" s="1341">
        <f>'Capital Base roll forward'!K814</f>
        <v>0</v>
      </c>
      <c r="L104" s="1341">
        <f>'Capital Base roll forward'!L814</f>
        <v>0</v>
      </c>
      <c r="M104" s="1341">
        <f>'Capital Base roll forward'!M814</f>
        <v>0</v>
      </c>
      <c r="N104" s="1341">
        <f>'Capital Base roll forward'!N814</f>
        <v>0</v>
      </c>
      <c r="O104" s="1341">
        <f>'Capital Base roll forward'!O814</f>
        <v>0</v>
      </c>
      <c r="P104" s="1341">
        <f>'Capital Base roll forward'!P814</f>
        <v>0</v>
      </c>
      <c r="Q104" s="1341">
        <f>'Capital Base roll forward'!Q814</f>
        <v>0</v>
      </c>
      <c r="R104" s="248"/>
      <c r="S104" s="71"/>
      <c r="T104" s="71"/>
      <c r="U104" s="71"/>
      <c r="V104" s="71"/>
      <c r="W104" s="71"/>
      <c r="X104" s="71"/>
      <c r="Y104" s="71"/>
      <c r="Z104" s="71"/>
      <c r="AA104" s="152"/>
    </row>
    <row r="105" spans="1:27" hidden="1" outlineLevel="1">
      <c r="A105" s="3"/>
      <c r="B105" s="3"/>
      <c r="C105" s="29"/>
      <c r="D105" s="133">
        <f>Asset46</f>
        <v>0</v>
      </c>
      <c r="E105" s="3"/>
      <c r="F105" s="3"/>
      <c r="G105" s="1393">
        <f>'Capital Base roll forward'!G815</f>
        <v>0</v>
      </c>
      <c r="H105" s="1341">
        <f>'Capital Base roll forward'!H815</f>
        <v>0</v>
      </c>
      <c r="I105" s="1341">
        <f>'Capital Base roll forward'!I815</f>
        <v>0</v>
      </c>
      <c r="J105" s="1341">
        <f>'Capital Base roll forward'!J815</f>
        <v>0</v>
      </c>
      <c r="K105" s="1341">
        <f>'Capital Base roll forward'!K815</f>
        <v>0</v>
      </c>
      <c r="L105" s="1341">
        <f>'Capital Base roll forward'!L815</f>
        <v>0</v>
      </c>
      <c r="M105" s="1341">
        <f>'Capital Base roll forward'!M815</f>
        <v>0</v>
      </c>
      <c r="N105" s="1341">
        <f>'Capital Base roll forward'!N815</f>
        <v>0</v>
      </c>
      <c r="O105" s="1341">
        <f>'Capital Base roll forward'!O815</f>
        <v>0</v>
      </c>
      <c r="P105" s="1341">
        <f>'Capital Base roll forward'!P815</f>
        <v>0</v>
      </c>
      <c r="Q105" s="1341">
        <f>'Capital Base roll forward'!Q815</f>
        <v>0</v>
      </c>
      <c r="R105" s="248"/>
      <c r="S105" s="71"/>
      <c r="T105" s="71"/>
      <c r="U105" s="71"/>
      <c r="V105" s="71"/>
      <c r="W105" s="71"/>
      <c r="X105" s="71"/>
      <c r="Y105" s="71"/>
      <c r="Z105" s="71"/>
      <c r="AA105" s="152"/>
    </row>
    <row r="106" spans="1:27" hidden="1" outlineLevel="1">
      <c r="A106" s="3"/>
      <c r="B106" s="3"/>
      <c r="C106" s="29"/>
      <c r="D106" s="133">
        <f>Asset47</f>
        <v>0</v>
      </c>
      <c r="E106" s="3"/>
      <c r="F106" s="3"/>
      <c r="G106" s="1393">
        <f>'Capital Base roll forward'!G816</f>
        <v>0</v>
      </c>
      <c r="H106" s="1341">
        <f>'Capital Base roll forward'!H816</f>
        <v>0</v>
      </c>
      <c r="I106" s="1341">
        <f>'Capital Base roll forward'!I816</f>
        <v>0</v>
      </c>
      <c r="J106" s="1341">
        <f>'Capital Base roll forward'!J816</f>
        <v>0</v>
      </c>
      <c r="K106" s="1341">
        <f>'Capital Base roll forward'!K816</f>
        <v>0</v>
      </c>
      <c r="L106" s="1341">
        <f>'Capital Base roll forward'!L816</f>
        <v>0</v>
      </c>
      <c r="M106" s="1341">
        <f>'Capital Base roll forward'!M816</f>
        <v>0</v>
      </c>
      <c r="N106" s="1341">
        <f>'Capital Base roll forward'!N816</f>
        <v>0</v>
      </c>
      <c r="O106" s="1341">
        <f>'Capital Base roll forward'!O816</f>
        <v>0</v>
      </c>
      <c r="P106" s="1341">
        <f>'Capital Base roll forward'!P816</f>
        <v>0</v>
      </c>
      <c r="Q106" s="1341">
        <f>'Capital Base roll forward'!Q816</f>
        <v>0</v>
      </c>
      <c r="R106" s="248"/>
      <c r="S106" s="71"/>
      <c r="T106" s="71"/>
      <c r="U106" s="71"/>
      <c r="V106" s="71"/>
      <c r="W106" s="71"/>
      <c r="X106" s="71"/>
      <c r="Y106" s="71"/>
      <c r="Z106" s="71"/>
      <c r="AA106" s="152"/>
    </row>
    <row r="107" spans="1:27" hidden="1" outlineLevel="1">
      <c r="A107" s="3"/>
      <c r="B107" s="3"/>
      <c r="C107" s="29"/>
      <c r="D107" s="133">
        <f>Asset48</f>
        <v>0</v>
      </c>
      <c r="E107" s="3"/>
      <c r="F107" s="3"/>
      <c r="G107" s="1393">
        <f>'Capital Base roll forward'!G817</f>
        <v>0</v>
      </c>
      <c r="H107" s="1341">
        <f>'Capital Base roll forward'!H817</f>
        <v>0</v>
      </c>
      <c r="I107" s="1341">
        <f>'Capital Base roll forward'!I817</f>
        <v>0</v>
      </c>
      <c r="J107" s="1341">
        <f>'Capital Base roll forward'!J817</f>
        <v>0</v>
      </c>
      <c r="K107" s="1341">
        <f>'Capital Base roll forward'!K817</f>
        <v>0</v>
      </c>
      <c r="L107" s="1341">
        <f>'Capital Base roll forward'!L817</f>
        <v>0</v>
      </c>
      <c r="M107" s="1341">
        <f>'Capital Base roll forward'!M817</f>
        <v>0</v>
      </c>
      <c r="N107" s="1341">
        <f>'Capital Base roll forward'!N817</f>
        <v>0</v>
      </c>
      <c r="O107" s="1341">
        <f>'Capital Base roll forward'!O817</f>
        <v>0</v>
      </c>
      <c r="P107" s="1341">
        <f>'Capital Base roll forward'!P817</f>
        <v>0</v>
      </c>
      <c r="Q107" s="1341">
        <f>'Capital Base roll forward'!Q817</f>
        <v>0</v>
      </c>
      <c r="R107" s="248"/>
      <c r="S107" s="71"/>
      <c r="T107" s="71"/>
      <c r="U107" s="71"/>
      <c r="V107" s="71"/>
      <c r="W107" s="71"/>
      <c r="X107" s="71"/>
      <c r="Y107" s="71"/>
      <c r="Z107" s="71"/>
      <c r="AA107" s="152"/>
    </row>
    <row r="108" spans="1:27" hidden="1" outlineLevel="1">
      <c r="A108" s="3"/>
      <c r="B108" s="3"/>
      <c r="C108" s="29"/>
      <c r="D108" s="133">
        <f>Asset49</f>
        <v>0</v>
      </c>
      <c r="E108" s="3"/>
      <c r="F108" s="3"/>
      <c r="G108" s="1393">
        <f>'Capital Base roll forward'!G818</f>
        <v>0</v>
      </c>
      <c r="H108" s="1341">
        <f>'Capital Base roll forward'!H818</f>
        <v>0</v>
      </c>
      <c r="I108" s="1341">
        <f>'Capital Base roll forward'!I818</f>
        <v>0</v>
      </c>
      <c r="J108" s="1341">
        <f>'Capital Base roll forward'!J818</f>
        <v>0</v>
      </c>
      <c r="K108" s="1341">
        <f>'Capital Base roll forward'!K818</f>
        <v>0</v>
      </c>
      <c r="L108" s="1341">
        <f>'Capital Base roll forward'!L818</f>
        <v>0</v>
      </c>
      <c r="M108" s="1341">
        <f>'Capital Base roll forward'!M818</f>
        <v>0</v>
      </c>
      <c r="N108" s="1341">
        <f>'Capital Base roll forward'!N818</f>
        <v>0</v>
      </c>
      <c r="O108" s="1341">
        <f>'Capital Base roll forward'!O818</f>
        <v>0</v>
      </c>
      <c r="P108" s="1341">
        <f>'Capital Base roll forward'!P818</f>
        <v>0</v>
      </c>
      <c r="Q108" s="1341">
        <f>'Capital Base roll forward'!Q818</f>
        <v>0</v>
      </c>
      <c r="R108" s="248"/>
      <c r="S108" s="71"/>
      <c r="T108" s="71"/>
      <c r="U108" s="71"/>
      <c r="V108" s="71"/>
      <c r="W108" s="71"/>
      <c r="X108" s="71"/>
      <c r="Y108" s="71"/>
      <c r="Z108" s="71"/>
      <c r="AA108" s="152"/>
    </row>
    <row r="109" spans="1:27" hidden="1" outlineLevel="1">
      <c r="A109" s="3"/>
      <c r="B109" s="3"/>
      <c r="C109" s="29"/>
      <c r="D109" s="133">
        <f>Asset50</f>
        <v>0</v>
      </c>
      <c r="E109" s="3"/>
      <c r="F109" s="3"/>
      <c r="G109" s="1393">
        <f>'Capital Base roll forward'!G819</f>
        <v>0</v>
      </c>
      <c r="H109" s="1341">
        <f>'Capital Base roll forward'!H819</f>
        <v>0</v>
      </c>
      <c r="I109" s="1341">
        <f>'Capital Base roll forward'!I819</f>
        <v>0</v>
      </c>
      <c r="J109" s="1341">
        <f>'Capital Base roll forward'!J819</f>
        <v>0</v>
      </c>
      <c r="K109" s="1341">
        <f>'Capital Base roll forward'!K819</f>
        <v>0</v>
      </c>
      <c r="L109" s="1341">
        <f>'Capital Base roll forward'!L819</f>
        <v>0</v>
      </c>
      <c r="M109" s="1341">
        <f>'Capital Base roll forward'!M819</f>
        <v>0</v>
      </c>
      <c r="N109" s="1341">
        <f>'Capital Base roll forward'!N819</f>
        <v>0</v>
      </c>
      <c r="O109" s="1341">
        <f>'Capital Base roll forward'!O819</f>
        <v>0</v>
      </c>
      <c r="P109" s="1341">
        <f>'Capital Base roll forward'!P819</f>
        <v>0</v>
      </c>
      <c r="Q109" s="1341">
        <f>'Capital Base roll forward'!Q819</f>
        <v>0</v>
      </c>
      <c r="R109" s="248"/>
      <c r="S109" s="71"/>
      <c r="T109" s="71"/>
      <c r="U109" s="71"/>
      <c r="V109" s="71"/>
      <c r="W109" s="71"/>
      <c r="X109" s="71"/>
      <c r="Y109" s="71"/>
      <c r="Z109" s="71"/>
      <c r="AA109" s="152"/>
    </row>
    <row r="110" spans="1:27" collapsed="1">
      <c r="A110" s="3"/>
      <c r="B110" s="3"/>
      <c r="C110" s="29"/>
      <c r="D110" s="81"/>
      <c r="E110" s="3"/>
      <c r="F110" s="3"/>
      <c r="G110" s="1400"/>
      <c r="H110" s="248"/>
      <c r="I110" s="248"/>
      <c r="J110" s="248"/>
      <c r="K110" s="248"/>
      <c r="L110" s="248"/>
      <c r="M110" s="248"/>
      <c r="N110" s="1397"/>
      <c r="O110" s="248"/>
      <c r="P110" s="248"/>
      <c r="Q110" s="248"/>
      <c r="R110" s="248"/>
      <c r="S110" s="71"/>
      <c r="T110" s="71"/>
      <c r="U110" s="71"/>
      <c r="V110" s="71"/>
      <c r="W110" s="71"/>
      <c r="X110" s="71"/>
      <c r="Y110" s="71"/>
      <c r="Z110" s="71"/>
      <c r="AA110" s="152"/>
    </row>
    <row r="111" spans="1:27">
      <c r="A111" s="3"/>
      <c r="B111" s="3"/>
      <c r="C111" s="230" t="str">
        <f>"Nominal "&amp;'RFM input'!$G$295&amp; " Regulatory Depreciation"</f>
        <v>Nominal Actual Regulatory Depreciation</v>
      </c>
      <c r="D111" s="177"/>
      <c r="E111" s="3"/>
      <c r="F111" s="3"/>
      <c r="G111" s="1392">
        <f>SUM(G112:G161)</f>
        <v>0</v>
      </c>
      <c r="H111" s="248">
        <f t="shared" ref="H111:Q111" si="7">SUM(H112:H161)</f>
        <v>-7.3512095753199613</v>
      </c>
      <c r="I111" s="248">
        <f t="shared" si="7"/>
        <v>-6.1625582811723563</v>
      </c>
      <c r="J111" s="248">
        <f t="shared" si="7"/>
        <v>-7.4842359770188303</v>
      </c>
      <c r="K111" s="248">
        <f t="shared" si="7"/>
        <v>-8.1996271615646936</v>
      </c>
      <c r="L111" s="248">
        <f t="shared" si="7"/>
        <v>-13.928827293130544</v>
      </c>
      <c r="M111" s="248">
        <f t="shared" si="7"/>
        <v>-2.1488085171476152</v>
      </c>
      <c r="N111" s="248">
        <f t="shared" si="7"/>
        <v>18.82579054580447</v>
      </c>
      <c r="O111" s="248">
        <f t="shared" si="7"/>
        <v>0</v>
      </c>
      <c r="P111" s="248">
        <f t="shared" si="7"/>
        <v>0</v>
      </c>
      <c r="Q111" s="248">
        <f t="shared" si="7"/>
        <v>0</v>
      </c>
      <c r="R111" s="248"/>
      <c r="S111" s="71"/>
      <c r="T111" s="71"/>
      <c r="U111" s="71"/>
      <c r="V111" s="71"/>
      <c r="W111" s="71"/>
      <c r="X111" s="71"/>
      <c r="Y111" s="71"/>
      <c r="Z111" s="71"/>
      <c r="AA111" s="152"/>
    </row>
    <row r="112" spans="1:27" hidden="1" outlineLevel="1">
      <c r="A112" s="3"/>
      <c r="B112" s="3"/>
      <c r="C112" s="29"/>
      <c r="D112" s="133" t="str">
        <f>Asset1</f>
        <v>Mains</v>
      </c>
      <c r="E112" s="3"/>
      <c r="F112" s="3"/>
      <c r="G112" s="1393">
        <f>'Capital Base roll forward'!G822</f>
        <v>0</v>
      </c>
      <c r="H112" s="1341">
        <f>'Capital Base roll forward'!H822</f>
        <v>-3.2485225217378186</v>
      </c>
      <c r="I112" s="1341">
        <f>'Capital Base roll forward'!I822</f>
        <v>-2.1606635211659011</v>
      </c>
      <c r="J112" s="1341">
        <f>'Capital Base roll forward'!J822</f>
        <v>-2.8381660321684228</v>
      </c>
      <c r="K112" s="1341">
        <f>'Capital Base roll forward'!K822</f>
        <v>-2.9417775584492496</v>
      </c>
      <c r="L112" s="1341">
        <f>'Capital Base roll forward'!L822</f>
        <v>-6.5648359948876562</v>
      </c>
      <c r="M112" s="1341">
        <f>'Capital Base roll forward'!M822</f>
        <v>2.1687935279330972</v>
      </c>
      <c r="N112" s="1341">
        <f>'Capital Base roll forward'!N822</f>
        <v>17.590157161087937</v>
      </c>
      <c r="O112" s="1341">
        <f>'Capital Base roll forward'!O822</f>
        <v>0</v>
      </c>
      <c r="P112" s="1341">
        <f>'Capital Base roll forward'!P822</f>
        <v>0</v>
      </c>
      <c r="Q112" s="1341">
        <f>'Capital Base roll forward'!Q822</f>
        <v>0</v>
      </c>
      <c r="R112" s="248"/>
      <c r="S112" s="71"/>
      <c r="T112" s="71"/>
      <c r="U112" s="71"/>
      <c r="V112" s="71"/>
      <c r="W112" s="71"/>
      <c r="X112" s="71"/>
      <c r="Y112" s="71"/>
      <c r="Z112" s="71"/>
      <c r="AA112" s="152"/>
    </row>
    <row r="113" spans="1:27" hidden="1" outlineLevel="1">
      <c r="A113" s="3"/>
      <c r="B113" s="3"/>
      <c r="C113" s="29"/>
      <c r="D113" s="133" t="str">
        <f>Asset2</f>
        <v>Inlets</v>
      </c>
      <c r="E113" s="3"/>
      <c r="F113" s="3"/>
      <c r="G113" s="1393">
        <f>'Capital Base roll forward'!G823</f>
        <v>0</v>
      </c>
      <c r="H113" s="1341">
        <f>'Capital Base roll forward'!H823</f>
        <v>-0.79082658954434049</v>
      </c>
      <c r="I113" s="1341">
        <f>'Capital Base roll forward'!I823</f>
        <v>-0.5425216365529415</v>
      </c>
      <c r="J113" s="1341">
        <f>'Capital Base roll forward'!J823</f>
        <v>-0.73330677540847966</v>
      </c>
      <c r="K113" s="1341">
        <f>'Capital Base roll forward'!K823</f>
        <v>-0.781462775579572</v>
      </c>
      <c r="L113" s="1341">
        <f>'Capital Base roll forward'!L823</f>
        <v>-1.8009050914433258</v>
      </c>
      <c r="M113" s="1341">
        <f>'Capital Base roll forward'!M823</f>
        <v>0.65512830707707526</v>
      </c>
      <c r="N113" s="1341">
        <f>'Capital Base roll forward'!N823</f>
        <v>5.1150300801875535</v>
      </c>
      <c r="O113" s="1341">
        <f>'Capital Base roll forward'!O823</f>
        <v>0</v>
      </c>
      <c r="P113" s="1341">
        <f>'Capital Base roll forward'!P823</f>
        <v>0</v>
      </c>
      <c r="Q113" s="1341">
        <f>'Capital Base roll forward'!Q823</f>
        <v>0</v>
      </c>
      <c r="R113" s="248"/>
      <c r="S113" s="71"/>
      <c r="T113" s="71"/>
      <c r="U113" s="71"/>
      <c r="V113" s="71"/>
      <c r="W113" s="71"/>
      <c r="X113" s="71"/>
      <c r="Y113" s="71"/>
      <c r="Z113" s="71"/>
      <c r="AA113" s="152"/>
    </row>
    <row r="114" spans="1:27" hidden="1" outlineLevel="1">
      <c r="A114" s="3"/>
      <c r="B114" s="3"/>
      <c r="C114" s="29"/>
      <c r="D114" s="133" t="str">
        <f>Asset3</f>
        <v>Meters</v>
      </c>
      <c r="E114" s="3"/>
      <c r="F114" s="3"/>
      <c r="G114" s="1393">
        <f>'Capital Base roll forward'!G824</f>
        <v>0</v>
      </c>
      <c r="H114" s="1341">
        <f>'Capital Base roll forward'!H824</f>
        <v>-2.6194676643345289</v>
      </c>
      <c r="I114" s="1341">
        <f>'Capital Base roll forward'!I824</f>
        <v>-2.7527286122996557</v>
      </c>
      <c r="J114" s="1341">
        <f>'Capital Base roll forward'!J824</f>
        <v>-3.0458234028832059</v>
      </c>
      <c r="K114" s="1341">
        <f>'Capital Base roll forward'!K824</f>
        <v>-3.3270668445672649</v>
      </c>
      <c r="L114" s="1341">
        <f>'Capital Base roll forward'!L824</f>
        <v>-3.7862710842905796</v>
      </c>
      <c r="M114" s="1341">
        <f>'Capital Base roll forward'!M824</f>
        <v>-3.3866461049899246</v>
      </c>
      <c r="N114" s="1341">
        <f>'Capital Base roll forward'!N824</f>
        <v>-2.810786505736222</v>
      </c>
      <c r="O114" s="1341">
        <f>'Capital Base roll forward'!O824</f>
        <v>0</v>
      </c>
      <c r="P114" s="1341">
        <f>'Capital Base roll forward'!P824</f>
        <v>0</v>
      </c>
      <c r="Q114" s="1341">
        <f>'Capital Base roll forward'!Q824</f>
        <v>0</v>
      </c>
      <c r="R114" s="248"/>
      <c r="S114" s="71"/>
      <c r="T114" s="71"/>
      <c r="U114" s="71"/>
      <c r="V114" s="71"/>
      <c r="W114" s="71"/>
      <c r="X114" s="71"/>
      <c r="Y114" s="71"/>
      <c r="Z114" s="71"/>
      <c r="AA114" s="152"/>
    </row>
    <row r="115" spans="1:27" hidden="1" outlineLevel="1">
      <c r="A115" s="3"/>
      <c r="B115" s="3"/>
      <c r="C115" s="29"/>
      <c r="D115" s="133" t="str">
        <f>Asset4</f>
        <v>Telemetry</v>
      </c>
      <c r="E115" s="3"/>
      <c r="F115" s="3"/>
      <c r="G115" s="1393">
        <f>'Capital Base roll forward'!G825</f>
        <v>0</v>
      </c>
      <c r="H115" s="1341">
        <f>'Capital Base roll forward'!H825</f>
        <v>0.15713776256268264</v>
      </c>
      <c r="I115" s="1341">
        <f>'Capital Base roll forward'!I825</f>
        <v>0.14739711933347691</v>
      </c>
      <c r="J115" s="1341">
        <f>'Capital Base roll forward'!J825</f>
        <v>0.14703494391094299</v>
      </c>
      <c r="K115" s="1341">
        <f>'Capital Base roll forward'!K825</f>
        <v>7.1991456382688654E-2</v>
      </c>
      <c r="L115" s="1341">
        <f>'Capital Base roll forward'!L825</f>
        <v>-3.3075242108743907E-2</v>
      </c>
      <c r="M115" s="1341">
        <f>'Capital Base roll forward'!M825</f>
        <v>-1.7686936612765727E-2</v>
      </c>
      <c r="N115" s="1341">
        <f>'Capital Base roll forward'!N825</f>
        <v>1.1967117950347189E-2</v>
      </c>
      <c r="O115" s="1341">
        <f>'Capital Base roll forward'!O825</f>
        <v>0</v>
      </c>
      <c r="P115" s="1341">
        <f>'Capital Base roll forward'!P825</f>
        <v>0</v>
      </c>
      <c r="Q115" s="1341">
        <f>'Capital Base roll forward'!Q825</f>
        <v>0</v>
      </c>
      <c r="R115" s="248"/>
      <c r="S115" s="71"/>
      <c r="T115" s="71"/>
      <c r="U115" s="71"/>
      <c r="V115" s="71"/>
      <c r="W115" s="71"/>
      <c r="X115" s="71"/>
      <c r="Y115" s="71"/>
      <c r="Z115" s="71"/>
      <c r="AA115" s="152"/>
    </row>
    <row r="116" spans="1:27" hidden="1" outlineLevel="1">
      <c r="A116" s="3"/>
      <c r="B116" s="3"/>
      <c r="C116" s="29"/>
      <c r="D116" s="133" t="str">
        <f>Asset5</f>
        <v>IT System</v>
      </c>
      <c r="E116" s="3"/>
      <c r="F116" s="3"/>
      <c r="G116" s="1393">
        <f>'Capital Base roll forward'!G826</f>
        <v>0</v>
      </c>
      <c r="H116" s="1341">
        <f>'Capital Base roll forward'!H826</f>
        <v>-0.62650133096435412</v>
      </c>
      <c r="I116" s="1341">
        <f>'Capital Base roll forward'!I826</f>
        <v>-0.65758226597515412</v>
      </c>
      <c r="J116" s="1341">
        <f>'Capital Base roll forward'!J826</f>
        <v>-0.79003376333898967</v>
      </c>
      <c r="K116" s="1341">
        <f>'Capital Base roll forward'!K826</f>
        <v>-0.98632411775807061</v>
      </c>
      <c r="L116" s="1341">
        <f>'Capital Base roll forward'!L826</f>
        <v>-1.3596356560812981</v>
      </c>
      <c r="M116" s="1341">
        <f>'Capital Base roll forward'!M826</f>
        <v>-1.509024766263849</v>
      </c>
      <c r="N116" s="1341">
        <f>'Capital Base roll forward'!N826</f>
        <v>-1.6191378855760976</v>
      </c>
      <c r="O116" s="1341">
        <f>'Capital Base roll forward'!O826</f>
        <v>0</v>
      </c>
      <c r="P116" s="1341">
        <f>'Capital Base roll forward'!P826</f>
        <v>0</v>
      </c>
      <c r="Q116" s="1341">
        <f>'Capital Base roll forward'!Q826</f>
        <v>0</v>
      </c>
      <c r="R116" s="248"/>
      <c r="S116" s="71"/>
      <c r="T116" s="71"/>
      <c r="U116" s="71"/>
      <c r="V116" s="71"/>
      <c r="W116" s="71"/>
      <c r="X116" s="71"/>
      <c r="Y116" s="71"/>
      <c r="Z116" s="71"/>
      <c r="AA116" s="152"/>
    </row>
    <row r="117" spans="1:27" hidden="1" outlineLevel="1">
      <c r="A117" s="3"/>
      <c r="B117" s="3"/>
      <c r="C117" s="29"/>
      <c r="D117" s="133" t="str">
        <f>Asset6</f>
        <v>Other Distribution System Equipment</v>
      </c>
      <c r="E117" s="3"/>
      <c r="F117" s="3"/>
      <c r="G117" s="1393">
        <f>'Capital Base roll forward'!G827</f>
        <v>0</v>
      </c>
      <c r="H117" s="1341">
        <f>'Capital Base roll forward'!H827</f>
        <v>-0.22271270936161708</v>
      </c>
      <c r="I117" s="1341">
        <f>'Capital Base roll forward'!I827</f>
        <v>-0.19848745851206673</v>
      </c>
      <c r="J117" s="1341">
        <f>'Capital Base roll forward'!J827</f>
        <v>-0.22612694415397194</v>
      </c>
      <c r="K117" s="1341">
        <f>'Capital Base roll forward'!K827</f>
        <v>-0.23724043227549632</v>
      </c>
      <c r="L117" s="1341">
        <f>'Capital Base roll forward'!L827</f>
        <v>-0.38689702753782929</v>
      </c>
      <c r="M117" s="1341">
        <f>'Capital Base roll forward'!M827</f>
        <v>-6.1104384989127625E-2</v>
      </c>
      <c r="N117" s="1341">
        <f>'Capital Base roll forward'!N827</f>
        <v>0.53840796782311695</v>
      </c>
      <c r="O117" s="1341">
        <f>'Capital Base roll forward'!O827</f>
        <v>0</v>
      </c>
      <c r="P117" s="1341">
        <f>'Capital Base roll forward'!P827</f>
        <v>0</v>
      </c>
      <c r="Q117" s="1341">
        <f>'Capital Base roll forward'!Q827</f>
        <v>0</v>
      </c>
      <c r="R117" s="248"/>
      <c r="S117" s="71"/>
      <c r="T117" s="71"/>
      <c r="U117" s="71"/>
      <c r="V117" s="71"/>
      <c r="W117" s="71"/>
      <c r="X117" s="71"/>
      <c r="Y117" s="71"/>
      <c r="Z117" s="71"/>
      <c r="AA117" s="152"/>
    </row>
    <row r="118" spans="1:27" hidden="1" outlineLevel="1">
      <c r="A118" s="3"/>
      <c r="B118" s="3"/>
      <c r="C118" s="29"/>
      <c r="D118" s="133" t="str">
        <f>Asset7</f>
        <v>Other</v>
      </c>
      <c r="E118" s="3"/>
      <c r="F118" s="3"/>
      <c r="G118" s="1393">
        <f>'Capital Base roll forward'!G828</f>
        <v>0</v>
      </c>
      <c r="H118" s="1341">
        <f>'Capital Base roll forward'!H828</f>
        <v>-3.1652193998484859E-4</v>
      </c>
      <c r="I118" s="1341">
        <f>'Capital Base roll forward'!I828</f>
        <v>2.0280939998864951E-3</v>
      </c>
      <c r="J118" s="1341">
        <f>'Capital Base roll forward'!J828</f>
        <v>2.1859970232955377E-3</v>
      </c>
      <c r="K118" s="1341">
        <f>'Capital Base roll forward'!K828</f>
        <v>2.253110682272623E-3</v>
      </c>
      <c r="L118" s="1341">
        <f>'Capital Base roll forward'!L828</f>
        <v>2.7928032188874363E-3</v>
      </c>
      <c r="M118" s="1341">
        <f>'Capital Base roll forward'!M828</f>
        <v>1.731840697879112E-3</v>
      </c>
      <c r="N118" s="1341">
        <f>'Capital Base roll forward'!N828</f>
        <v>1.5261006783563779E-4</v>
      </c>
      <c r="O118" s="1341">
        <f>'Capital Base roll forward'!O828</f>
        <v>0</v>
      </c>
      <c r="P118" s="1341">
        <f>'Capital Base roll forward'!P828</f>
        <v>0</v>
      </c>
      <c r="Q118" s="1341">
        <f>'Capital Base roll forward'!Q828</f>
        <v>0</v>
      </c>
      <c r="R118" s="248"/>
      <c r="S118" s="71"/>
      <c r="T118" s="71"/>
      <c r="U118" s="71"/>
      <c r="V118" s="71"/>
      <c r="W118" s="71"/>
      <c r="X118" s="71"/>
      <c r="Y118" s="71"/>
      <c r="Z118" s="71"/>
      <c r="AA118" s="152"/>
    </row>
    <row r="119" spans="1:27" hidden="1" outlineLevel="1">
      <c r="A119" s="3"/>
      <c r="B119" s="3"/>
      <c r="C119" s="29"/>
      <c r="D119" s="133">
        <f>Asset8</f>
        <v>0</v>
      </c>
      <c r="E119" s="3"/>
      <c r="F119" s="3"/>
      <c r="G119" s="1393">
        <f>'Capital Base roll forward'!G829</f>
        <v>0</v>
      </c>
      <c r="H119" s="1341">
        <f>'Capital Base roll forward'!H829</f>
        <v>0</v>
      </c>
      <c r="I119" s="1341">
        <f>'Capital Base roll forward'!I829</f>
        <v>0</v>
      </c>
      <c r="J119" s="1341">
        <f>'Capital Base roll forward'!J829</f>
        <v>0</v>
      </c>
      <c r="K119" s="1341">
        <f>'Capital Base roll forward'!K829</f>
        <v>0</v>
      </c>
      <c r="L119" s="1341">
        <f>'Capital Base roll forward'!L829</f>
        <v>0</v>
      </c>
      <c r="M119" s="1341">
        <f>'Capital Base roll forward'!M829</f>
        <v>0</v>
      </c>
      <c r="N119" s="1341">
        <f>'Capital Base roll forward'!N829</f>
        <v>0</v>
      </c>
      <c r="O119" s="1341">
        <f>'Capital Base roll forward'!O829</f>
        <v>0</v>
      </c>
      <c r="P119" s="1341">
        <f>'Capital Base roll forward'!P829</f>
        <v>0</v>
      </c>
      <c r="Q119" s="1341">
        <f>'Capital Base roll forward'!Q829</f>
        <v>0</v>
      </c>
      <c r="R119" s="248"/>
      <c r="S119" s="71"/>
      <c r="T119" s="71"/>
      <c r="U119" s="71"/>
      <c r="V119" s="71"/>
      <c r="W119" s="71"/>
      <c r="X119" s="71"/>
      <c r="Y119" s="71"/>
      <c r="Z119" s="71"/>
      <c r="AA119" s="152"/>
    </row>
    <row r="120" spans="1:27" hidden="1" outlineLevel="1">
      <c r="A120" s="3"/>
      <c r="B120" s="3"/>
      <c r="C120" s="29"/>
      <c r="D120" s="133">
        <f>Asset9</f>
        <v>0</v>
      </c>
      <c r="E120" s="3"/>
      <c r="F120" s="3"/>
      <c r="G120" s="1393">
        <f>'Capital Base roll forward'!G830</f>
        <v>0</v>
      </c>
      <c r="H120" s="1341">
        <f>'Capital Base roll forward'!H830</f>
        <v>0</v>
      </c>
      <c r="I120" s="1341">
        <f>'Capital Base roll forward'!I830</f>
        <v>0</v>
      </c>
      <c r="J120" s="1341">
        <f>'Capital Base roll forward'!J830</f>
        <v>0</v>
      </c>
      <c r="K120" s="1341">
        <f>'Capital Base roll forward'!K830</f>
        <v>0</v>
      </c>
      <c r="L120" s="1341">
        <f>'Capital Base roll forward'!L830</f>
        <v>0</v>
      </c>
      <c r="M120" s="1341">
        <f>'Capital Base roll forward'!M830</f>
        <v>0</v>
      </c>
      <c r="N120" s="1341">
        <f>'Capital Base roll forward'!N830</f>
        <v>0</v>
      </c>
      <c r="O120" s="1341">
        <f>'Capital Base roll forward'!O830</f>
        <v>0</v>
      </c>
      <c r="P120" s="1341">
        <f>'Capital Base roll forward'!P830</f>
        <v>0</v>
      </c>
      <c r="Q120" s="1341">
        <f>'Capital Base roll forward'!Q830</f>
        <v>0</v>
      </c>
      <c r="R120" s="248"/>
      <c r="S120" s="71"/>
      <c r="T120" s="71"/>
      <c r="U120" s="71"/>
      <c r="V120" s="71"/>
      <c r="W120" s="71"/>
      <c r="X120" s="71"/>
      <c r="Y120" s="71"/>
      <c r="Z120" s="71"/>
      <c r="AA120" s="152"/>
    </row>
    <row r="121" spans="1:27" hidden="1" outlineLevel="1">
      <c r="A121" s="3"/>
      <c r="B121" s="3"/>
      <c r="C121" s="29"/>
      <c r="D121" s="133">
        <f>Asset10</f>
        <v>0</v>
      </c>
      <c r="E121" s="3"/>
      <c r="F121" s="3"/>
      <c r="G121" s="1393">
        <f>'Capital Base roll forward'!G831</f>
        <v>0</v>
      </c>
      <c r="H121" s="1341">
        <f>'Capital Base roll forward'!H831</f>
        <v>0</v>
      </c>
      <c r="I121" s="1341">
        <f>'Capital Base roll forward'!I831</f>
        <v>0</v>
      </c>
      <c r="J121" s="1341">
        <f>'Capital Base roll forward'!J831</f>
        <v>0</v>
      </c>
      <c r="K121" s="1341">
        <f>'Capital Base roll forward'!K831</f>
        <v>0</v>
      </c>
      <c r="L121" s="1341">
        <f>'Capital Base roll forward'!L831</f>
        <v>0</v>
      </c>
      <c r="M121" s="1341">
        <f>'Capital Base roll forward'!M831</f>
        <v>0</v>
      </c>
      <c r="N121" s="1341">
        <f>'Capital Base roll forward'!N831</f>
        <v>0</v>
      </c>
      <c r="O121" s="1341">
        <f>'Capital Base roll forward'!O831</f>
        <v>0</v>
      </c>
      <c r="P121" s="1341">
        <f>'Capital Base roll forward'!P831</f>
        <v>0</v>
      </c>
      <c r="Q121" s="1341">
        <f>'Capital Base roll forward'!Q831</f>
        <v>0</v>
      </c>
      <c r="R121" s="248"/>
      <c r="S121" s="71"/>
      <c r="T121" s="71"/>
      <c r="U121" s="71"/>
      <c r="V121" s="71"/>
      <c r="W121" s="71"/>
      <c r="X121" s="71"/>
      <c r="Y121" s="71"/>
      <c r="Z121" s="71"/>
      <c r="AA121" s="152"/>
    </row>
    <row r="122" spans="1:27" hidden="1" outlineLevel="1">
      <c r="A122" s="3"/>
      <c r="B122" s="3"/>
      <c r="C122" s="29"/>
      <c r="D122" s="133">
        <f>Asset11</f>
        <v>0</v>
      </c>
      <c r="E122" s="3"/>
      <c r="F122" s="3"/>
      <c r="G122" s="1393">
        <f>'Capital Base roll forward'!G832</f>
        <v>0</v>
      </c>
      <c r="H122" s="1341">
        <f>'Capital Base roll forward'!H832</f>
        <v>0</v>
      </c>
      <c r="I122" s="1341">
        <f>'Capital Base roll forward'!I832</f>
        <v>0</v>
      </c>
      <c r="J122" s="1341">
        <f>'Capital Base roll forward'!J832</f>
        <v>0</v>
      </c>
      <c r="K122" s="1341">
        <f>'Capital Base roll forward'!K832</f>
        <v>0</v>
      </c>
      <c r="L122" s="1341">
        <f>'Capital Base roll forward'!L832</f>
        <v>0</v>
      </c>
      <c r="M122" s="1341">
        <f>'Capital Base roll forward'!M832</f>
        <v>0</v>
      </c>
      <c r="N122" s="1341">
        <f>'Capital Base roll forward'!N832</f>
        <v>0</v>
      </c>
      <c r="O122" s="1341">
        <f>'Capital Base roll forward'!O832</f>
        <v>0</v>
      </c>
      <c r="P122" s="1341">
        <f>'Capital Base roll forward'!P832</f>
        <v>0</v>
      </c>
      <c r="Q122" s="1341">
        <f>'Capital Base roll forward'!Q832</f>
        <v>0</v>
      </c>
      <c r="R122" s="248"/>
      <c r="S122" s="71"/>
      <c r="T122" s="71"/>
      <c r="U122" s="71"/>
      <c r="V122" s="71"/>
      <c r="W122" s="71"/>
      <c r="X122" s="71"/>
      <c r="Y122" s="71"/>
      <c r="Z122" s="71"/>
      <c r="AA122" s="152"/>
    </row>
    <row r="123" spans="1:27" hidden="1" outlineLevel="1">
      <c r="A123" s="3"/>
      <c r="B123" s="3"/>
      <c r="C123" s="29"/>
      <c r="D123" s="133">
        <f>Asset12</f>
        <v>0</v>
      </c>
      <c r="E123" s="3"/>
      <c r="F123" s="3"/>
      <c r="G123" s="1393">
        <f>'Capital Base roll forward'!G833</f>
        <v>0</v>
      </c>
      <c r="H123" s="1341">
        <f>'Capital Base roll forward'!H833</f>
        <v>0</v>
      </c>
      <c r="I123" s="1341">
        <f>'Capital Base roll forward'!I833</f>
        <v>0</v>
      </c>
      <c r="J123" s="1341">
        <f>'Capital Base roll forward'!J833</f>
        <v>0</v>
      </c>
      <c r="K123" s="1341">
        <f>'Capital Base roll forward'!K833</f>
        <v>0</v>
      </c>
      <c r="L123" s="1341">
        <f>'Capital Base roll forward'!L833</f>
        <v>0</v>
      </c>
      <c r="M123" s="1341">
        <f>'Capital Base roll forward'!M833</f>
        <v>0</v>
      </c>
      <c r="N123" s="1341">
        <f>'Capital Base roll forward'!N833</f>
        <v>0</v>
      </c>
      <c r="O123" s="1341">
        <f>'Capital Base roll forward'!O833</f>
        <v>0</v>
      </c>
      <c r="P123" s="1341">
        <f>'Capital Base roll forward'!P833</f>
        <v>0</v>
      </c>
      <c r="Q123" s="1341">
        <f>'Capital Base roll forward'!Q833</f>
        <v>0</v>
      </c>
      <c r="R123" s="248"/>
      <c r="S123" s="71"/>
      <c r="T123" s="71"/>
      <c r="U123" s="71"/>
      <c r="V123" s="71"/>
      <c r="W123" s="71"/>
      <c r="X123" s="71"/>
      <c r="Y123" s="71"/>
      <c r="Z123" s="71"/>
      <c r="AA123" s="152"/>
    </row>
    <row r="124" spans="1:27" hidden="1" outlineLevel="1">
      <c r="A124" s="3"/>
      <c r="B124" s="3"/>
      <c r="C124" s="29"/>
      <c r="D124" s="133">
        <f>Asset13</f>
        <v>0</v>
      </c>
      <c r="E124" s="3"/>
      <c r="F124" s="3"/>
      <c r="G124" s="1393">
        <f>'Capital Base roll forward'!G834</f>
        <v>0</v>
      </c>
      <c r="H124" s="1341">
        <f>'Capital Base roll forward'!H834</f>
        <v>0</v>
      </c>
      <c r="I124" s="1341">
        <f>'Capital Base roll forward'!I834</f>
        <v>0</v>
      </c>
      <c r="J124" s="1341">
        <f>'Capital Base roll forward'!J834</f>
        <v>0</v>
      </c>
      <c r="K124" s="1341">
        <f>'Capital Base roll forward'!K834</f>
        <v>0</v>
      </c>
      <c r="L124" s="1341">
        <f>'Capital Base roll forward'!L834</f>
        <v>0</v>
      </c>
      <c r="M124" s="1341">
        <f>'Capital Base roll forward'!M834</f>
        <v>0</v>
      </c>
      <c r="N124" s="1341">
        <f>'Capital Base roll forward'!N834</f>
        <v>0</v>
      </c>
      <c r="O124" s="1341">
        <f>'Capital Base roll forward'!O834</f>
        <v>0</v>
      </c>
      <c r="P124" s="1341">
        <f>'Capital Base roll forward'!P834</f>
        <v>0</v>
      </c>
      <c r="Q124" s="1341">
        <f>'Capital Base roll forward'!Q834</f>
        <v>0</v>
      </c>
      <c r="R124" s="248"/>
      <c r="S124" s="71"/>
      <c r="T124" s="71"/>
      <c r="U124" s="71"/>
      <c r="V124" s="71"/>
      <c r="W124" s="71"/>
      <c r="X124" s="71"/>
      <c r="Y124" s="71"/>
      <c r="Z124" s="71"/>
      <c r="AA124" s="152"/>
    </row>
    <row r="125" spans="1:27" hidden="1" outlineLevel="1">
      <c r="A125" s="3"/>
      <c r="B125" s="3"/>
      <c r="C125" s="29"/>
      <c r="D125" s="133">
        <f>Asset14</f>
        <v>0</v>
      </c>
      <c r="E125" s="3"/>
      <c r="F125" s="3"/>
      <c r="G125" s="1393">
        <f>'Capital Base roll forward'!G835</f>
        <v>0</v>
      </c>
      <c r="H125" s="1341">
        <f>'Capital Base roll forward'!H835</f>
        <v>0</v>
      </c>
      <c r="I125" s="1341">
        <f>'Capital Base roll forward'!I835</f>
        <v>0</v>
      </c>
      <c r="J125" s="1341">
        <f>'Capital Base roll forward'!J835</f>
        <v>0</v>
      </c>
      <c r="K125" s="1341">
        <f>'Capital Base roll forward'!K835</f>
        <v>0</v>
      </c>
      <c r="L125" s="1341">
        <f>'Capital Base roll forward'!L835</f>
        <v>0</v>
      </c>
      <c r="M125" s="1341">
        <f>'Capital Base roll forward'!M835</f>
        <v>0</v>
      </c>
      <c r="N125" s="1341">
        <f>'Capital Base roll forward'!N835</f>
        <v>0</v>
      </c>
      <c r="O125" s="1341">
        <f>'Capital Base roll forward'!O835</f>
        <v>0</v>
      </c>
      <c r="P125" s="1341">
        <f>'Capital Base roll forward'!P835</f>
        <v>0</v>
      </c>
      <c r="Q125" s="1341">
        <f>'Capital Base roll forward'!Q835</f>
        <v>0</v>
      </c>
      <c r="R125" s="248"/>
      <c r="S125" s="71"/>
      <c r="T125" s="71"/>
      <c r="U125" s="71"/>
      <c r="V125" s="71"/>
      <c r="W125" s="71"/>
      <c r="X125" s="71"/>
      <c r="Y125" s="71"/>
      <c r="Z125" s="71"/>
      <c r="AA125" s="152"/>
    </row>
    <row r="126" spans="1:27" hidden="1" outlineLevel="1">
      <c r="A126" s="3"/>
      <c r="B126" s="3"/>
      <c r="C126" s="29"/>
      <c r="D126" s="133">
        <f>Asset15</f>
        <v>0</v>
      </c>
      <c r="E126" s="3"/>
      <c r="F126" s="3"/>
      <c r="G126" s="1393">
        <f>'Capital Base roll forward'!G836</f>
        <v>0</v>
      </c>
      <c r="H126" s="1341">
        <f>'Capital Base roll forward'!H836</f>
        <v>0</v>
      </c>
      <c r="I126" s="1341">
        <f>'Capital Base roll forward'!I836</f>
        <v>0</v>
      </c>
      <c r="J126" s="1341">
        <f>'Capital Base roll forward'!J836</f>
        <v>0</v>
      </c>
      <c r="K126" s="1341">
        <f>'Capital Base roll forward'!K836</f>
        <v>0</v>
      </c>
      <c r="L126" s="1341">
        <f>'Capital Base roll forward'!L836</f>
        <v>0</v>
      </c>
      <c r="M126" s="1341">
        <f>'Capital Base roll forward'!M836</f>
        <v>0</v>
      </c>
      <c r="N126" s="1341">
        <f>'Capital Base roll forward'!N836</f>
        <v>0</v>
      </c>
      <c r="O126" s="1341">
        <f>'Capital Base roll forward'!O836</f>
        <v>0</v>
      </c>
      <c r="P126" s="1341">
        <f>'Capital Base roll forward'!P836</f>
        <v>0</v>
      </c>
      <c r="Q126" s="1341">
        <f>'Capital Base roll forward'!Q836</f>
        <v>0</v>
      </c>
      <c r="R126" s="248"/>
      <c r="S126" s="71"/>
      <c r="T126" s="71"/>
      <c r="U126" s="71"/>
      <c r="V126" s="71"/>
      <c r="W126" s="71"/>
      <c r="X126" s="71"/>
      <c r="Y126" s="71"/>
      <c r="Z126" s="71"/>
      <c r="AA126" s="152"/>
    </row>
    <row r="127" spans="1:27" hidden="1" outlineLevel="1">
      <c r="A127" s="3"/>
      <c r="B127" s="3"/>
      <c r="C127" s="29"/>
      <c r="D127" s="133">
        <f>Asset16</f>
        <v>0</v>
      </c>
      <c r="E127" s="3"/>
      <c r="F127" s="3"/>
      <c r="G127" s="1393">
        <f>'Capital Base roll forward'!G837</f>
        <v>0</v>
      </c>
      <c r="H127" s="1341">
        <f>'Capital Base roll forward'!H837</f>
        <v>0</v>
      </c>
      <c r="I127" s="1341">
        <f>'Capital Base roll forward'!I837</f>
        <v>0</v>
      </c>
      <c r="J127" s="1341">
        <f>'Capital Base roll forward'!J837</f>
        <v>0</v>
      </c>
      <c r="K127" s="1341">
        <f>'Capital Base roll forward'!K837</f>
        <v>0</v>
      </c>
      <c r="L127" s="1341">
        <f>'Capital Base roll forward'!L837</f>
        <v>0</v>
      </c>
      <c r="M127" s="1341">
        <f>'Capital Base roll forward'!M837</f>
        <v>0</v>
      </c>
      <c r="N127" s="1341">
        <f>'Capital Base roll forward'!N837</f>
        <v>0</v>
      </c>
      <c r="O127" s="1341">
        <f>'Capital Base roll forward'!O837</f>
        <v>0</v>
      </c>
      <c r="P127" s="1341">
        <f>'Capital Base roll forward'!P837</f>
        <v>0</v>
      </c>
      <c r="Q127" s="1341">
        <f>'Capital Base roll forward'!Q837</f>
        <v>0</v>
      </c>
      <c r="R127" s="248"/>
      <c r="S127" s="71"/>
      <c r="T127" s="71"/>
      <c r="U127" s="71"/>
      <c r="V127" s="71"/>
      <c r="W127" s="71"/>
      <c r="X127" s="71"/>
      <c r="Y127" s="71"/>
      <c r="Z127" s="71"/>
      <c r="AA127" s="152"/>
    </row>
    <row r="128" spans="1:27" hidden="1" outlineLevel="1">
      <c r="A128" s="3"/>
      <c r="B128" s="3"/>
      <c r="C128" s="29"/>
      <c r="D128" s="133">
        <f>Asset17</f>
        <v>0</v>
      </c>
      <c r="E128" s="3"/>
      <c r="F128" s="3"/>
      <c r="G128" s="1393">
        <f>'Capital Base roll forward'!G838</f>
        <v>0</v>
      </c>
      <c r="H128" s="1341">
        <f>'Capital Base roll forward'!H838</f>
        <v>0</v>
      </c>
      <c r="I128" s="1341">
        <f>'Capital Base roll forward'!I838</f>
        <v>0</v>
      </c>
      <c r="J128" s="1341">
        <f>'Capital Base roll forward'!J838</f>
        <v>0</v>
      </c>
      <c r="K128" s="1341">
        <f>'Capital Base roll forward'!K838</f>
        <v>0</v>
      </c>
      <c r="L128" s="1341">
        <f>'Capital Base roll forward'!L838</f>
        <v>0</v>
      </c>
      <c r="M128" s="1341">
        <f>'Capital Base roll forward'!M838</f>
        <v>0</v>
      </c>
      <c r="N128" s="1341">
        <f>'Capital Base roll forward'!N838</f>
        <v>0</v>
      </c>
      <c r="O128" s="1341">
        <f>'Capital Base roll forward'!O838</f>
        <v>0</v>
      </c>
      <c r="P128" s="1341">
        <f>'Capital Base roll forward'!P838</f>
        <v>0</v>
      </c>
      <c r="Q128" s="1341">
        <f>'Capital Base roll forward'!Q838</f>
        <v>0</v>
      </c>
      <c r="R128" s="248"/>
      <c r="S128" s="71"/>
      <c r="T128" s="71"/>
      <c r="U128" s="71"/>
      <c r="V128" s="71"/>
      <c r="W128" s="71"/>
      <c r="X128" s="71"/>
      <c r="Y128" s="71"/>
      <c r="Z128" s="71"/>
      <c r="AA128" s="152"/>
    </row>
    <row r="129" spans="1:27" hidden="1" outlineLevel="1">
      <c r="A129" s="3"/>
      <c r="B129" s="3"/>
      <c r="C129" s="29"/>
      <c r="D129" s="133">
        <f>Asset18</f>
        <v>0</v>
      </c>
      <c r="E129" s="3"/>
      <c r="F129" s="3"/>
      <c r="G129" s="1393">
        <f>'Capital Base roll forward'!G839</f>
        <v>0</v>
      </c>
      <c r="H129" s="1341">
        <f>'Capital Base roll forward'!H839</f>
        <v>0</v>
      </c>
      <c r="I129" s="1341">
        <f>'Capital Base roll forward'!I839</f>
        <v>0</v>
      </c>
      <c r="J129" s="1341">
        <f>'Capital Base roll forward'!J839</f>
        <v>0</v>
      </c>
      <c r="K129" s="1341">
        <f>'Capital Base roll forward'!K839</f>
        <v>0</v>
      </c>
      <c r="L129" s="1341">
        <f>'Capital Base roll forward'!L839</f>
        <v>0</v>
      </c>
      <c r="M129" s="1341">
        <f>'Capital Base roll forward'!M839</f>
        <v>0</v>
      </c>
      <c r="N129" s="1341">
        <f>'Capital Base roll forward'!N839</f>
        <v>0</v>
      </c>
      <c r="O129" s="1341">
        <f>'Capital Base roll forward'!O839</f>
        <v>0</v>
      </c>
      <c r="P129" s="1341">
        <f>'Capital Base roll forward'!P839</f>
        <v>0</v>
      </c>
      <c r="Q129" s="1341">
        <f>'Capital Base roll forward'!Q839</f>
        <v>0</v>
      </c>
      <c r="R129" s="248"/>
      <c r="S129" s="71"/>
      <c r="T129" s="71"/>
      <c r="U129" s="71"/>
      <c r="V129" s="71"/>
      <c r="W129" s="71"/>
      <c r="X129" s="71"/>
      <c r="Y129" s="71"/>
      <c r="Z129" s="71"/>
      <c r="AA129" s="152"/>
    </row>
    <row r="130" spans="1:27" hidden="1" outlineLevel="1">
      <c r="A130" s="3"/>
      <c r="B130" s="3"/>
      <c r="C130" s="29"/>
      <c r="D130" s="133">
        <f>Asset19</f>
        <v>0</v>
      </c>
      <c r="E130" s="3"/>
      <c r="F130" s="3"/>
      <c r="G130" s="1393">
        <f>'Capital Base roll forward'!G840</f>
        <v>0</v>
      </c>
      <c r="H130" s="1341">
        <f>'Capital Base roll forward'!H840</f>
        <v>0</v>
      </c>
      <c r="I130" s="1341">
        <f>'Capital Base roll forward'!I840</f>
        <v>0</v>
      </c>
      <c r="J130" s="1341">
        <f>'Capital Base roll forward'!J840</f>
        <v>0</v>
      </c>
      <c r="K130" s="1341">
        <f>'Capital Base roll forward'!K840</f>
        <v>0</v>
      </c>
      <c r="L130" s="1341">
        <f>'Capital Base roll forward'!L840</f>
        <v>0</v>
      </c>
      <c r="M130" s="1341">
        <f>'Capital Base roll forward'!M840</f>
        <v>0</v>
      </c>
      <c r="N130" s="1341">
        <f>'Capital Base roll forward'!N840</f>
        <v>0</v>
      </c>
      <c r="O130" s="1341">
        <f>'Capital Base roll forward'!O840</f>
        <v>0</v>
      </c>
      <c r="P130" s="1341">
        <f>'Capital Base roll forward'!P840</f>
        <v>0</v>
      </c>
      <c r="Q130" s="1341">
        <f>'Capital Base roll forward'!Q840</f>
        <v>0</v>
      </c>
      <c r="R130" s="248"/>
      <c r="S130" s="71"/>
      <c r="T130" s="71"/>
      <c r="U130" s="71"/>
      <c r="V130" s="71"/>
      <c r="W130" s="71"/>
      <c r="X130" s="71"/>
      <c r="Y130" s="71"/>
      <c r="Z130" s="71"/>
      <c r="AA130" s="152"/>
    </row>
    <row r="131" spans="1:27" hidden="1" outlineLevel="1">
      <c r="A131" s="3"/>
      <c r="B131" s="3"/>
      <c r="C131" s="29"/>
      <c r="D131" s="133">
        <f>Asset20</f>
        <v>0</v>
      </c>
      <c r="E131" s="3"/>
      <c r="F131" s="3"/>
      <c r="G131" s="1393">
        <f>'Capital Base roll forward'!G841</f>
        <v>0</v>
      </c>
      <c r="H131" s="1341">
        <f>'Capital Base roll forward'!H841</f>
        <v>0</v>
      </c>
      <c r="I131" s="1341">
        <f>'Capital Base roll forward'!I841</f>
        <v>0</v>
      </c>
      <c r="J131" s="1341">
        <f>'Capital Base roll forward'!J841</f>
        <v>0</v>
      </c>
      <c r="K131" s="1341">
        <f>'Capital Base roll forward'!K841</f>
        <v>0</v>
      </c>
      <c r="L131" s="1341">
        <f>'Capital Base roll forward'!L841</f>
        <v>0</v>
      </c>
      <c r="M131" s="1341">
        <f>'Capital Base roll forward'!M841</f>
        <v>0</v>
      </c>
      <c r="N131" s="1341">
        <f>'Capital Base roll forward'!N841</f>
        <v>0</v>
      </c>
      <c r="O131" s="1341">
        <f>'Capital Base roll forward'!O841</f>
        <v>0</v>
      </c>
      <c r="P131" s="1341">
        <f>'Capital Base roll forward'!P841</f>
        <v>0</v>
      </c>
      <c r="Q131" s="1341">
        <f>'Capital Base roll forward'!Q841</f>
        <v>0</v>
      </c>
      <c r="R131" s="248"/>
      <c r="S131" s="71"/>
      <c r="T131" s="71"/>
      <c r="U131" s="71"/>
      <c r="V131" s="71"/>
      <c r="W131" s="71"/>
      <c r="X131" s="71"/>
      <c r="Y131" s="71"/>
      <c r="Z131" s="71"/>
      <c r="AA131" s="152"/>
    </row>
    <row r="132" spans="1:27" hidden="1" outlineLevel="1">
      <c r="A132" s="3"/>
      <c r="B132" s="3"/>
      <c r="C132" s="29"/>
      <c r="D132" s="133">
        <f>Asset21</f>
        <v>0</v>
      </c>
      <c r="E132" s="3"/>
      <c r="F132" s="3"/>
      <c r="G132" s="1393">
        <f>'Capital Base roll forward'!G842</f>
        <v>0</v>
      </c>
      <c r="H132" s="1341">
        <f>'Capital Base roll forward'!H842</f>
        <v>0</v>
      </c>
      <c r="I132" s="1341">
        <f>'Capital Base roll forward'!I842</f>
        <v>0</v>
      </c>
      <c r="J132" s="1341">
        <f>'Capital Base roll forward'!J842</f>
        <v>0</v>
      </c>
      <c r="K132" s="1341">
        <f>'Capital Base roll forward'!K842</f>
        <v>0</v>
      </c>
      <c r="L132" s="1341">
        <f>'Capital Base roll forward'!L842</f>
        <v>0</v>
      </c>
      <c r="M132" s="1341">
        <f>'Capital Base roll forward'!M842</f>
        <v>0</v>
      </c>
      <c r="N132" s="1341">
        <f>'Capital Base roll forward'!N842</f>
        <v>0</v>
      </c>
      <c r="O132" s="1341">
        <f>'Capital Base roll forward'!O842</f>
        <v>0</v>
      </c>
      <c r="P132" s="1341">
        <f>'Capital Base roll forward'!P842</f>
        <v>0</v>
      </c>
      <c r="Q132" s="1341">
        <f>'Capital Base roll forward'!Q842</f>
        <v>0</v>
      </c>
      <c r="R132" s="248"/>
      <c r="S132" s="71"/>
      <c r="T132" s="71"/>
      <c r="U132" s="71"/>
      <c r="V132" s="71"/>
      <c r="W132" s="71"/>
      <c r="X132" s="71"/>
      <c r="Y132" s="71"/>
      <c r="Z132" s="71"/>
      <c r="AA132" s="152"/>
    </row>
    <row r="133" spans="1:27" hidden="1" outlineLevel="1">
      <c r="A133" s="3"/>
      <c r="B133" s="3"/>
      <c r="C133" s="29"/>
      <c r="D133" s="133">
        <f>Asset22</f>
        <v>0</v>
      </c>
      <c r="E133" s="3"/>
      <c r="F133" s="3"/>
      <c r="G133" s="1393">
        <f>'Capital Base roll forward'!G843</f>
        <v>0</v>
      </c>
      <c r="H133" s="1341">
        <f>'Capital Base roll forward'!H843</f>
        <v>0</v>
      </c>
      <c r="I133" s="1341">
        <f>'Capital Base roll forward'!I843</f>
        <v>0</v>
      </c>
      <c r="J133" s="1341">
        <f>'Capital Base roll forward'!J843</f>
        <v>0</v>
      </c>
      <c r="K133" s="1341">
        <f>'Capital Base roll forward'!K843</f>
        <v>0</v>
      </c>
      <c r="L133" s="1341">
        <f>'Capital Base roll forward'!L843</f>
        <v>0</v>
      </c>
      <c r="M133" s="1341">
        <f>'Capital Base roll forward'!M843</f>
        <v>0</v>
      </c>
      <c r="N133" s="1341">
        <f>'Capital Base roll forward'!N843</f>
        <v>0</v>
      </c>
      <c r="O133" s="1341">
        <f>'Capital Base roll forward'!O843</f>
        <v>0</v>
      </c>
      <c r="P133" s="1341">
        <f>'Capital Base roll forward'!P843</f>
        <v>0</v>
      </c>
      <c r="Q133" s="1341">
        <f>'Capital Base roll forward'!Q843</f>
        <v>0</v>
      </c>
      <c r="R133" s="248"/>
      <c r="S133" s="71"/>
      <c r="T133" s="71"/>
      <c r="U133" s="71"/>
      <c r="V133" s="71"/>
      <c r="W133" s="71"/>
      <c r="X133" s="71"/>
      <c r="Y133" s="71"/>
      <c r="Z133" s="71"/>
      <c r="AA133" s="152"/>
    </row>
    <row r="134" spans="1:27" hidden="1" outlineLevel="1">
      <c r="A134" s="3"/>
      <c r="B134" s="3"/>
      <c r="C134" s="29"/>
      <c r="D134" s="133">
        <f>Asset23</f>
        <v>0</v>
      </c>
      <c r="E134" s="3"/>
      <c r="F134" s="3"/>
      <c r="G134" s="1393">
        <f>'Capital Base roll forward'!G844</f>
        <v>0</v>
      </c>
      <c r="H134" s="1341">
        <f>'Capital Base roll forward'!H844</f>
        <v>0</v>
      </c>
      <c r="I134" s="1341">
        <f>'Capital Base roll forward'!I844</f>
        <v>0</v>
      </c>
      <c r="J134" s="1341">
        <f>'Capital Base roll forward'!J844</f>
        <v>0</v>
      </c>
      <c r="K134" s="1341">
        <f>'Capital Base roll forward'!K844</f>
        <v>0</v>
      </c>
      <c r="L134" s="1341">
        <f>'Capital Base roll forward'!L844</f>
        <v>0</v>
      </c>
      <c r="M134" s="1341">
        <f>'Capital Base roll forward'!M844</f>
        <v>0</v>
      </c>
      <c r="N134" s="1341">
        <f>'Capital Base roll forward'!N844</f>
        <v>0</v>
      </c>
      <c r="O134" s="1341">
        <f>'Capital Base roll forward'!O844</f>
        <v>0</v>
      </c>
      <c r="P134" s="1341">
        <f>'Capital Base roll forward'!P844</f>
        <v>0</v>
      </c>
      <c r="Q134" s="1341">
        <f>'Capital Base roll forward'!Q844</f>
        <v>0</v>
      </c>
      <c r="R134" s="248"/>
      <c r="S134" s="71"/>
      <c r="T134" s="71"/>
      <c r="U134" s="71"/>
      <c r="V134" s="71"/>
      <c r="W134" s="71"/>
      <c r="X134" s="71"/>
      <c r="Y134" s="71"/>
      <c r="Z134" s="71"/>
      <c r="AA134" s="152"/>
    </row>
    <row r="135" spans="1:27" hidden="1" outlineLevel="1">
      <c r="A135" s="3"/>
      <c r="B135" s="3"/>
      <c r="C135" s="29"/>
      <c r="D135" s="133">
        <f>Asset24</f>
        <v>0</v>
      </c>
      <c r="E135" s="3"/>
      <c r="F135" s="3"/>
      <c r="G135" s="1393">
        <f>'Capital Base roll forward'!G845</f>
        <v>0</v>
      </c>
      <c r="H135" s="1341">
        <f>'Capital Base roll forward'!H845</f>
        <v>0</v>
      </c>
      <c r="I135" s="1341">
        <f>'Capital Base roll forward'!I845</f>
        <v>0</v>
      </c>
      <c r="J135" s="1341">
        <f>'Capital Base roll forward'!J845</f>
        <v>0</v>
      </c>
      <c r="K135" s="1341">
        <f>'Capital Base roll forward'!K845</f>
        <v>0</v>
      </c>
      <c r="L135" s="1341">
        <f>'Capital Base roll forward'!L845</f>
        <v>0</v>
      </c>
      <c r="M135" s="1341">
        <f>'Capital Base roll forward'!M845</f>
        <v>0</v>
      </c>
      <c r="N135" s="1341">
        <f>'Capital Base roll forward'!N845</f>
        <v>0</v>
      </c>
      <c r="O135" s="1341">
        <f>'Capital Base roll forward'!O845</f>
        <v>0</v>
      </c>
      <c r="P135" s="1341">
        <f>'Capital Base roll forward'!P845</f>
        <v>0</v>
      </c>
      <c r="Q135" s="1341">
        <f>'Capital Base roll forward'!Q845</f>
        <v>0</v>
      </c>
      <c r="R135" s="248"/>
      <c r="S135" s="71"/>
      <c r="T135" s="71"/>
      <c r="U135" s="71"/>
      <c r="V135" s="71"/>
      <c r="W135" s="71"/>
      <c r="X135" s="71"/>
      <c r="Y135" s="71"/>
      <c r="Z135" s="71"/>
      <c r="AA135" s="152"/>
    </row>
    <row r="136" spans="1:27" hidden="1" outlineLevel="1">
      <c r="A136" s="3"/>
      <c r="B136" s="3"/>
      <c r="C136" s="29"/>
      <c r="D136" s="133">
        <f>Asset25</f>
        <v>0</v>
      </c>
      <c r="E136" s="3"/>
      <c r="F136" s="3"/>
      <c r="G136" s="1393">
        <f>'Capital Base roll forward'!G846</f>
        <v>0</v>
      </c>
      <c r="H136" s="1341">
        <f>'Capital Base roll forward'!H846</f>
        <v>0</v>
      </c>
      <c r="I136" s="1341">
        <f>'Capital Base roll forward'!I846</f>
        <v>0</v>
      </c>
      <c r="J136" s="1341">
        <f>'Capital Base roll forward'!J846</f>
        <v>0</v>
      </c>
      <c r="K136" s="1341">
        <f>'Capital Base roll forward'!K846</f>
        <v>0</v>
      </c>
      <c r="L136" s="1341">
        <f>'Capital Base roll forward'!L846</f>
        <v>0</v>
      </c>
      <c r="M136" s="1341">
        <f>'Capital Base roll forward'!M846</f>
        <v>0</v>
      </c>
      <c r="N136" s="1341">
        <f>'Capital Base roll forward'!N846</f>
        <v>0</v>
      </c>
      <c r="O136" s="1341">
        <f>'Capital Base roll forward'!O846</f>
        <v>0</v>
      </c>
      <c r="P136" s="1341">
        <f>'Capital Base roll forward'!P846</f>
        <v>0</v>
      </c>
      <c r="Q136" s="1341">
        <f>'Capital Base roll forward'!Q846</f>
        <v>0</v>
      </c>
      <c r="R136" s="248"/>
      <c r="S136" s="71"/>
      <c r="T136" s="71"/>
      <c r="U136" s="71"/>
      <c r="V136" s="71"/>
      <c r="W136" s="71"/>
      <c r="X136" s="71"/>
      <c r="Y136" s="71"/>
      <c r="Z136" s="71"/>
      <c r="AA136" s="152"/>
    </row>
    <row r="137" spans="1:27" hidden="1" outlineLevel="1">
      <c r="A137" s="3"/>
      <c r="B137" s="3"/>
      <c r="C137" s="29"/>
      <c r="D137" s="133">
        <f>Asset26</f>
        <v>0</v>
      </c>
      <c r="E137" s="3"/>
      <c r="F137" s="3"/>
      <c r="G137" s="1393">
        <f>'Capital Base roll forward'!G847</f>
        <v>0</v>
      </c>
      <c r="H137" s="1341">
        <f>'Capital Base roll forward'!H847</f>
        <v>0</v>
      </c>
      <c r="I137" s="1341">
        <f>'Capital Base roll forward'!I847</f>
        <v>0</v>
      </c>
      <c r="J137" s="1341">
        <f>'Capital Base roll forward'!J847</f>
        <v>0</v>
      </c>
      <c r="K137" s="1341">
        <f>'Capital Base roll forward'!K847</f>
        <v>0</v>
      </c>
      <c r="L137" s="1341">
        <f>'Capital Base roll forward'!L847</f>
        <v>0</v>
      </c>
      <c r="M137" s="1341">
        <f>'Capital Base roll forward'!M847</f>
        <v>0</v>
      </c>
      <c r="N137" s="1341">
        <f>'Capital Base roll forward'!N847</f>
        <v>0</v>
      </c>
      <c r="O137" s="1341">
        <f>'Capital Base roll forward'!O847</f>
        <v>0</v>
      </c>
      <c r="P137" s="1341">
        <f>'Capital Base roll forward'!P847</f>
        <v>0</v>
      </c>
      <c r="Q137" s="1341">
        <f>'Capital Base roll forward'!Q847</f>
        <v>0</v>
      </c>
      <c r="R137" s="248"/>
      <c r="S137" s="71"/>
      <c r="T137" s="71"/>
      <c r="U137" s="71"/>
      <c r="V137" s="71"/>
      <c r="W137" s="71"/>
      <c r="X137" s="71"/>
      <c r="Y137" s="71"/>
      <c r="Z137" s="71"/>
      <c r="AA137" s="152"/>
    </row>
    <row r="138" spans="1:27" hidden="1" outlineLevel="1">
      <c r="A138" s="3"/>
      <c r="B138" s="3"/>
      <c r="C138" s="29"/>
      <c r="D138" s="133">
        <f>Asset27</f>
        <v>0</v>
      </c>
      <c r="E138" s="3"/>
      <c r="F138" s="3"/>
      <c r="G138" s="1393">
        <f>'Capital Base roll forward'!G848</f>
        <v>0</v>
      </c>
      <c r="H138" s="1341">
        <f>'Capital Base roll forward'!H848</f>
        <v>0</v>
      </c>
      <c r="I138" s="1341">
        <f>'Capital Base roll forward'!I848</f>
        <v>0</v>
      </c>
      <c r="J138" s="1341">
        <f>'Capital Base roll forward'!J848</f>
        <v>0</v>
      </c>
      <c r="K138" s="1341">
        <f>'Capital Base roll forward'!K848</f>
        <v>0</v>
      </c>
      <c r="L138" s="1341">
        <f>'Capital Base roll forward'!L848</f>
        <v>0</v>
      </c>
      <c r="M138" s="1341">
        <f>'Capital Base roll forward'!M848</f>
        <v>0</v>
      </c>
      <c r="N138" s="1341">
        <f>'Capital Base roll forward'!N848</f>
        <v>0</v>
      </c>
      <c r="O138" s="1341">
        <f>'Capital Base roll forward'!O848</f>
        <v>0</v>
      </c>
      <c r="P138" s="1341">
        <f>'Capital Base roll forward'!P848</f>
        <v>0</v>
      </c>
      <c r="Q138" s="1341">
        <f>'Capital Base roll forward'!Q848</f>
        <v>0</v>
      </c>
      <c r="R138" s="248"/>
      <c r="S138" s="71"/>
      <c r="T138" s="71"/>
      <c r="U138" s="71"/>
      <c r="V138" s="71"/>
      <c r="W138" s="71"/>
      <c r="X138" s="71"/>
      <c r="Y138" s="71"/>
      <c r="Z138" s="71"/>
      <c r="AA138" s="152"/>
    </row>
    <row r="139" spans="1:27" hidden="1" outlineLevel="1">
      <c r="A139" s="3"/>
      <c r="B139" s="3"/>
      <c r="C139" s="29"/>
      <c r="D139" s="133">
        <f>Asset28</f>
        <v>0</v>
      </c>
      <c r="E139" s="3"/>
      <c r="F139" s="3"/>
      <c r="G139" s="1393">
        <f>'Capital Base roll forward'!G849</f>
        <v>0</v>
      </c>
      <c r="H139" s="1341">
        <f>'Capital Base roll forward'!H849</f>
        <v>0</v>
      </c>
      <c r="I139" s="1341">
        <f>'Capital Base roll forward'!I849</f>
        <v>0</v>
      </c>
      <c r="J139" s="1341">
        <f>'Capital Base roll forward'!J849</f>
        <v>0</v>
      </c>
      <c r="K139" s="1341">
        <f>'Capital Base roll forward'!K849</f>
        <v>0</v>
      </c>
      <c r="L139" s="1341">
        <f>'Capital Base roll forward'!L849</f>
        <v>0</v>
      </c>
      <c r="M139" s="1341">
        <f>'Capital Base roll forward'!M849</f>
        <v>0</v>
      </c>
      <c r="N139" s="1341">
        <f>'Capital Base roll forward'!N849</f>
        <v>0</v>
      </c>
      <c r="O139" s="1341">
        <f>'Capital Base roll forward'!O849</f>
        <v>0</v>
      </c>
      <c r="P139" s="1341">
        <f>'Capital Base roll forward'!P849</f>
        <v>0</v>
      </c>
      <c r="Q139" s="1341">
        <f>'Capital Base roll forward'!Q849</f>
        <v>0</v>
      </c>
      <c r="R139" s="248"/>
      <c r="S139" s="71"/>
      <c r="T139" s="71"/>
      <c r="U139" s="71"/>
      <c r="V139" s="71"/>
      <c r="W139" s="71"/>
      <c r="X139" s="71"/>
      <c r="Y139" s="71"/>
      <c r="Z139" s="71"/>
      <c r="AA139" s="152"/>
    </row>
    <row r="140" spans="1:27" hidden="1" outlineLevel="1">
      <c r="A140" s="3"/>
      <c r="B140" s="3"/>
      <c r="C140" s="29"/>
      <c r="D140" s="133">
        <f>Asset29</f>
        <v>0</v>
      </c>
      <c r="E140" s="3"/>
      <c r="F140" s="3"/>
      <c r="G140" s="1393">
        <f>'Capital Base roll forward'!G850</f>
        <v>0</v>
      </c>
      <c r="H140" s="1341">
        <f>'Capital Base roll forward'!H850</f>
        <v>0</v>
      </c>
      <c r="I140" s="1341">
        <f>'Capital Base roll forward'!I850</f>
        <v>0</v>
      </c>
      <c r="J140" s="1341">
        <f>'Capital Base roll forward'!J850</f>
        <v>0</v>
      </c>
      <c r="K140" s="1341">
        <f>'Capital Base roll forward'!K850</f>
        <v>0</v>
      </c>
      <c r="L140" s="1341">
        <f>'Capital Base roll forward'!L850</f>
        <v>0</v>
      </c>
      <c r="M140" s="1341">
        <f>'Capital Base roll forward'!M850</f>
        <v>0</v>
      </c>
      <c r="N140" s="1341">
        <f>'Capital Base roll forward'!N850</f>
        <v>0</v>
      </c>
      <c r="O140" s="1341">
        <f>'Capital Base roll forward'!O850</f>
        <v>0</v>
      </c>
      <c r="P140" s="1341">
        <f>'Capital Base roll forward'!P850</f>
        <v>0</v>
      </c>
      <c r="Q140" s="1341">
        <f>'Capital Base roll forward'!Q850</f>
        <v>0</v>
      </c>
      <c r="R140" s="248"/>
      <c r="S140" s="71"/>
      <c r="T140" s="71"/>
      <c r="U140" s="71"/>
      <c r="V140" s="71"/>
      <c r="W140" s="71"/>
      <c r="X140" s="71"/>
      <c r="Y140" s="71"/>
      <c r="Z140" s="71"/>
      <c r="AA140" s="152"/>
    </row>
    <row r="141" spans="1:27" hidden="1" outlineLevel="1">
      <c r="A141" s="3"/>
      <c r="B141" s="3"/>
      <c r="C141" s="29"/>
      <c r="D141" s="133">
        <f>Asset30</f>
        <v>0</v>
      </c>
      <c r="E141" s="3"/>
      <c r="F141" s="3"/>
      <c r="G141" s="1393">
        <f>'Capital Base roll forward'!G851</f>
        <v>0</v>
      </c>
      <c r="H141" s="1341">
        <f>'Capital Base roll forward'!H851</f>
        <v>0</v>
      </c>
      <c r="I141" s="1341">
        <f>'Capital Base roll forward'!I851</f>
        <v>0</v>
      </c>
      <c r="J141" s="1341">
        <f>'Capital Base roll forward'!J851</f>
        <v>0</v>
      </c>
      <c r="K141" s="1341">
        <f>'Capital Base roll forward'!K851</f>
        <v>0</v>
      </c>
      <c r="L141" s="1341">
        <f>'Capital Base roll forward'!L851</f>
        <v>0</v>
      </c>
      <c r="M141" s="1341">
        <f>'Capital Base roll forward'!M851</f>
        <v>0</v>
      </c>
      <c r="N141" s="1341">
        <f>'Capital Base roll forward'!N851</f>
        <v>0</v>
      </c>
      <c r="O141" s="1341">
        <f>'Capital Base roll forward'!O851</f>
        <v>0</v>
      </c>
      <c r="P141" s="1341">
        <f>'Capital Base roll forward'!P851</f>
        <v>0</v>
      </c>
      <c r="Q141" s="1341">
        <f>'Capital Base roll forward'!Q851</f>
        <v>0</v>
      </c>
      <c r="R141" s="248"/>
      <c r="S141" s="71"/>
      <c r="T141" s="71"/>
      <c r="U141" s="71"/>
      <c r="V141" s="71"/>
      <c r="W141" s="71"/>
      <c r="X141" s="71"/>
      <c r="Y141" s="71"/>
      <c r="Z141" s="71"/>
      <c r="AA141" s="152"/>
    </row>
    <row r="142" spans="1:27" hidden="1" outlineLevel="1">
      <c r="A142" s="3"/>
      <c r="B142" s="3"/>
      <c r="C142" s="29"/>
      <c r="D142" s="133">
        <f>Asset31</f>
        <v>0</v>
      </c>
      <c r="E142" s="3"/>
      <c r="F142" s="3"/>
      <c r="G142" s="1393">
        <f>'Capital Base roll forward'!G852</f>
        <v>0</v>
      </c>
      <c r="H142" s="1341">
        <f>'Capital Base roll forward'!H852</f>
        <v>0</v>
      </c>
      <c r="I142" s="1341">
        <f>'Capital Base roll forward'!I852</f>
        <v>0</v>
      </c>
      <c r="J142" s="1341">
        <f>'Capital Base roll forward'!J852</f>
        <v>0</v>
      </c>
      <c r="K142" s="1341">
        <f>'Capital Base roll forward'!K852</f>
        <v>0</v>
      </c>
      <c r="L142" s="1341">
        <f>'Capital Base roll forward'!L852</f>
        <v>0</v>
      </c>
      <c r="M142" s="1341">
        <f>'Capital Base roll forward'!M852</f>
        <v>0</v>
      </c>
      <c r="N142" s="1341">
        <f>'Capital Base roll forward'!N852</f>
        <v>0</v>
      </c>
      <c r="O142" s="1341">
        <f>'Capital Base roll forward'!O852</f>
        <v>0</v>
      </c>
      <c r="P142" s="1341">
        <f>'Capital Base roll forward'!P852</f>
        <v>0</v>
      </c>
      <c r="Q142" s="1341">
        <f>'Capital Base roll forward'!Q852</f>
        <v>0</v>
      </c>
      <c r="R142" s="248"/>
      <c r="S142" s="71"/>
      <c r="T142" s="71"/>
      <c r="U142" s="71"/>
      <c r="V142" s="71"/>
      <c r="W142" s="71"/>
      <c r="X142" s="71"/>
      <c r="Y142" s="71"/>
      <c r="Z142" s="71"/>
      <c r="AA142" s="152"/>
    </row>
    <row r="143" spans="1:27" hidden="1" outlineLevel="1">
      <c r="A143" s="3"/>
      <c r="B143" s="3"/>
      <c r="C143" s="29"/>
      <c r="D143" s="133">
        <f>Asset32</f>
        <v>0</v>
      </c>
      <c r="E143" s="3"/>
      <c r="F143" s="3"/>
      <c r="G143" s="1393">
        <f>'Capital Base roll forward'!G853</f>
        <v>0</v>
      </c>
      <c r="H143" s="1341">
        <f>'Capital Base roll forward'!H853</f>
        <v>0</v>
      </c>
      <c r="I143" s="1341">
        <f>'Capital Base roll forward'!I853</f>
        <v>0</v>
      </c>
      <c r="J143" s="1341">
        <f>'Capital Base roll forward'!J853</f>
        <v>0</v>
      </c>
      <c r="K143" s="1341">
        <f>'Capital Base roll forward'!K853</f>
        <v>0</v>
      </c>
      <c r="L143" s="1341">
        <f>'Capital Base roll forward'!L853</f>
        <v>0</v>
      </c>
      <c r="M143" s="1341">
        <f>'Capital Base roll forward'!M853</f>
        <v>0</v>
      </c>
      <c r="N143" s="1341">
        <f>'Capital Base roll forward'!N853</f>
        <v>0</v>
      </c>
      <c r="O143" s="1341">
        <f>'Capital Base roll forward'!O853</f>
        <v>0</v>
      </c>
      <c r="P143" s="1341">
        <f>'Capital Base roll forward'!P853</f>
        <v>0</v>
      </c>
      <c r="Q143" s="1341">
        <f>'Capital Base roll forward'!Q853</f>
        <v>0</v>
      </c>
      <c r="R143" s="248"/>
      <c r="S143" s="71"/>
      <c r="T143" s="71"/>
      <c r="U143" s="71"/>
      <c r="V143" s="71"/>
      <c r="W143" s="71"/>
      <c r="X143" s="71"/>
      <c r="Y143" s="71"/>
      <c r="Z143" s="71"/>
      <c r="AA143" s="152"/>
    </row>
    <row r="144" spans="1:27" hidden="1" outlineLevel="1">
      <c r="A144" s="3"/>
      <c r="B144" s="3"/>
      <c r="C144" s="29"/>
      <c r="D144" s="133">
        <f>Asset33</f>
        <v>0</v>
      </c>
      <c r="E144" s="3"/>
      <c r="F144" s="3"/>
      <c r="G144" s="1393">
        <f>'Capital Base roll forward'!G854</f>
        <v>0</v>
      </c>
      <c r="H144" s="1341">
        <f>'Capital Base roll forward'!H854</f>
        <v>0</v>
      </c>
      <c r="I144" s="1341">
        <f>'Capital Base roll forward'!I854</f>
        <v>0</v>
      </c>
      <c r="J144" s="1341">
        <f>'Capital Base roll forward'!J854</f>
        <v>0</v>
      </c>
      <c r="K144" s="1341">
        <f>'Capital Base roll forward'!K854</f>
        <v>0</v>
      </c>
      <c r="L144" s="1341">
        <f>'Capital Base roll forward'!L854</f>
        <v>0</v>
      </c>
      <c r="M144" s="1341">
        <f>'Capital Base roll forward'!M854</f>
        <v>0</v>
      </c>
      <c r="N144" s="1341">
        <f>'Capital Base roll forward'!N854</f>
        <v>0</v>
      </c>
      <c r="O144" s="1341">
        <f>'Capital Base roll forward'!O854</f>
        <v>0</v>
      </c>
      <c r="P144" s="1341">
        <f>'Capital Base roll forward'!P854</f>
        <v>0</v>
      </c>
      <c r="Q144" s="1341">
        <f>'Capital Base roll forward'!Q854</f>
        <v>0</v>
      </c>
      <c r="R144" s="248"/>
      <c r="S144" s="71"/>
      <c r="T144" s="71"/>
      <c r="U144" s="71"/>
      <c r="V144" s="71"/>
      <c r="W144" s="71"/>
      <c r="X144" s="71"/>
      <c r="Y144" s="71"/>
      <c r="Z144" s="71"/>
      <c r="AA144" s="152"/>
    </row>
    <row r="145" spans="1:27" hidden="1" outlineLevel="1">
      <c r="A145" s="3"/>
      <c r="B145" s="3"/>
      <c r="C145" s="29"/>
      <c r="D145" s="133">
        <f>Asset34</f>
        <v>0</v>
      </c>
      <c r="E145" s="3"/>
      <c r="F145" s="3"/>
      <c r="G145" s="1393">
        <f>'Capital Base roll forward'!G855</f>
        <v>0</v>
      </c>
      <c r="H145" s="1341">
        <f>'Capital Base roll forward'!H855</f>
        <v>0</v>
      </c>
      <c r="I145" s="1341">
        <f>'Capital Base roll forward'!I855</f>
        <v>0</v>
      </c>
      <c r="J145" s="1341">
        <f>'Capital Base roll forward'!J855</f>
        <v>0</v>
      </c>
      <c r="K145" s="1341">
        <f>'Capital Base roll forward'!K855</f>
        <v>0</v>
      </c>
      <c r="L145" s="1341">
        <f>'Capital Base roll forward'!L855</f>
        <v>0</v>
      </c>
      <c r="M145" s="1341">
        <f>'Capital Base roll forward'!M855</f>
        <v>0</v>
      </c>
      <c r="N145" s="1341">
        <f>'Capital Base roll forward'!N855</f>
        <v>0</v>
      </c>
      <c r="O145" s="1341">
        <f>'Capital Base roll forward'!O855</f>
        <v>0</v>
      </c>
      <c r="P145" s="1341">
        <f>'Capital Base roll forward'!P855</f>
        <v>0</v>
      </c>
      <c r="Q145" s="1341">
        <f>'Capital Base roll forward'!Q855</f>
        <v>0</v>
      </c>
      <c r="R145" s="248"/>
      <c r="S145" s="71"/>
      <c r="T145" s="71"/>
      <c r="U145" s="71"/>
      <c r="V145" s="71"/>
      <c r="W145" s="71"/>
      <c r="X145" s="71"/>
      <c r="Y145" s="71"/>
      <c r="Z145" s="71"/>
      <c r="AA145" s="152"/>
    </row>
    <row r="146" spans="1:27" hidden="1" outlineLevel="1">
      <c r="A146" s="3"/>
      <c r="B146" s="3"/>
      <c r="C146" s="29"/>
      <c r="D146" s="133">
        <f>Asset35</f>
        <v>0</v>
      </c>
      <c r="E146" s="3"/>
      <c r="F146" s="3"/>
      <c r="G146" s="1393">
        <f>'Capital Base roll forward'!G856</f>
        <v>0</v>
      </c>
      <c r="H146" s="1341">
        <f>'Capital Base roll forward'!H856</f>
        <v>0</v>
      </c>
      <c r="I146" s="1341">
        <f>'Capital Base roll forward'!I856</f>
        <v>0</v>
      </c>
      <c r="J146" s="1341">
        <f>'Capital Base roll forward'!J856</f>
        <v>0</v>
      </c>
      <c r="K146" s="1341">
        <f>'Capital Base roll forward'!K856</f>
        <v>0</v>
      </c>
      <c r="L146" s="1341">
        <f>'Capital Base roll forward'!L856</f>
        <v>0</v>
      </c>
      <c r="M146" s="1341">
        <f>'Capital Base roll forward'!M856</f>
        <v>0</v>
      </c>
      <c r="N146" s="1341">
        <f>'Capital Base roll forward'!N856</f>
        <v>0</v>
      </c>
      <c r="O146" s="1341">
        <f>'Capital Base roll forward'!O856</f>
        <v>0</v>
      </c>
      <c r="P146" s="1341">
        <f>'Capital Base roll forward'!P856</f>
        <v>0</v>
      </c>
      <c r="Q146" s="1341">
        <f>'Capital Base roll forward'!Q856</f>
        <v>0</v>
      </c>
      <c r="R146" s="248"/>
      <c r="S146" s="71"/>
      <c r="T146" s="71"/>
      <c r="U146" s="71"/>
      <c r="V146" s="71"/>
      <c r="W146" s="71"/>
      <c r="X146" s="71"/>
      <c r="Y146" s="71"/>
      <c r="Z146" s="71"/>
      <c r="AA146" s="152"/>
    </row>
    <row r="147" spans="1:27" hidden="1" outlineLevel="1">
      <c r="A147" s="3"/>
      <c r="B147" s="3"/>
      <c r="C147" s="29"/>
      <c r="D147" s="133">
        <f>Asset36</f>
        <v>0</v>
      </c>
      <c r="E147" s="3"/>
      <c r="F147" s="3"/>
      <c r="G147" s="1393">
        <f>'Capital Base roll forward'!G857</f>
        <v>0</v>
      </c>
      <c r="H147" s="1341">
        <f>'Capital Base roll forward'!H857</f>
        <v>0</v>
      </c>
      <c r="I147" s="1341">
        <f>'Capital Base roll forward'!I857</f>
        <v>0</v>
      </c>
      <c r="J147" s="1341">
        <f>'Capital Base roll forward'!J857</f>
        <v>0</v>
      </c>
      <c r="K147" s="1341">
        <f>'Capital Base roll forward'!K857</f>
        <v>0</v>
      </c>
      <c r="L147" s="1341">
        <f>'Capital Base roll forward'!L857</f>
        <v>0</v>
      </c>
      <c r="M147" s="1341">
        <f>'Capital Base roll forward'!M857</f>
        <v>0</v>
      </c>
      <c r="N147" s="1341">
        <f>'Capital Base roll forward'!N857</f>
        <v>0</v>
      </c>
      <c r="O147" s="1341">
        <f>'Capital Base roll forward'!O857</f>
        <v>0</v>
      </c>
      <c r="P147" s="1341">
        <f>'Capital Base roll forward'!P857</f>
        <v>0</v>
      </c>
      <c r="Q147" s="1341">
        <f>'Capital Base roll forward'!Q857</f>
        <v>0</v>
      </c>
      <c r="R147" s="248"/>
      <c r="S147" s="71"/>
      <c r="T147" s="71"/>
      <c r="U147" s="71"/>
      <c r="V147" s="71"/>
      <c r="W147" s="71"/>
      <c r="X147" s="71"/>
      <c r="Y147" s="71"/>
      <c r="Z147" s="71"/>
      <c r="AA147" s="152"/>
    </row>
    <row r="148" spans="1:27" hidden="1" outlineLevel="1">
      <c r="A148" s="3"/>
      <c r="B148" s="3"/>
      <c r="C148" s="29"/>
      <c r="D148" s="133">
        <f>Asset37</f>
        <v>0</v>
      </c>
      <c r="E148" s="3"/>
      <c r="F148" s="3"/>
      <c r="G148" s="1393">
        <f>'Capital Base roll forward'!G858</f>
        <v>0</v>
      </c>
      <c r="H148" s="1341">
        <f>'Capital Base roll forward'!H858</f>
        <v>0</v>
      </c>
      <c r="I148" s="1341">
        <f>'Capital Base roll forward'!I858</f>
        <v>0</v>
      </c>
      <c r="J148" s="1341">
        <f>'Capital Base roll forward'!J858</f>
        <v>0</v>
      </c>
      <c r="K148" s="1341">
        <f>'Capital Base roll forward'!K858</f>
        <v>0</v>
      </c>
      <c r="L148" s="1341">
        <f>'Capital Base roll forward'!L858</f>
        <v>0</v>
      </c>
      <c r="M148" s="1341">
        <f>'Capital Base roll forward'!M858</f>
        <v>0</v>
      </c>
      <c r="N148" s="1341">
        <f>'Capital Base roll forward'!N858</f>
        <v>0</v>
      </c>
      <c r="O148" s="1341">
        <f>'Capital Base roll forward'!O858</f>
        <v>0</v>
      </c>
      <c r="P148" s="1341">
        <f>'Capital Base roll forward'!P858</f>
        <v>0</v>
      </c>
      <c r="Q148" s="1341">
        <f>'Capital Base roll forward'!Q858</f>
        <v>0</v>
      </c>
      <c r="R148" s="248"/>
      <c r="S148" s="71"/>
      <c r="T148" s="71"/>
      <c r="U148" s="71"/>
      <c r="V148" s="71"/>
      <c r="W148" s="71"/>
      <c r="X148" s="71"/>
      <c r="Y148" s="71"/>
      <c r="Z148" s="71"/>
      <c r="AA148" s="152"/>
    </row>
    <row r="149" spans="1:27" hidden="1" outlineLevel="1">
      <c r="A149" s="3"/>
      <c r="B149" s="3"/>
      <c r="C149" s="29"/>
      <c r="D149" s="133">
        <f>Asset38</f>
        <v>0</v>
      </c>
      <c r="E149" s="3"/>
      <c r="F149" s="3"/>
      <c r="G149" s="1393">
        <f>'Capital Base roll forward'!G859</f>
        <v>0</v>
      </c>
      <c r="H149" s="1341">
        <f>'Capital Base roll forward'!H859</f>
        <v>0</v>
      </c>
      <c r="I149" s="1341">
        <f>'Capital Base roll forward'!I859</f>
        <v>0</v>
      </c>
      <c r="J149" s="1341">
        <f>'Capital Base roll forward'!J859</f>
        <v>0</v>
      </c>
      <c r="K149" s="1341">
        <f>'Capital Base roll forward'!K859</f>
        <v>0</v>
      </c>
      <c r="L149" s="1341">
        <f>'Capital Base roll forward'!L859</f>
        <v>0</v>
      </c>
      <c r="M149" s="1341">
        <f>'Capital Base roll forward'!M859</f>
        <v>0</v>
      </c>
      <c r="N149" s="1341">
        <f>'Capital Base roll forward'!N859</f>
        <v>0</v>
      </c>
      <c r="O149" s="1341">
        <f>'Capital Base roll forward'!O859</f>
        <v>0</v>
      </c>
      <c r="P149" s="1341">
        <f>'Capital Base roll forward'!P859</f>
        <v>0</v>
      </c>
      <c r="Q149" s="1341">
        <f>'Capital Base roll forward'!Q859</f>
        <v>0</v>
      </c>
      <c r="R149" s="248"/>
      <c r="S149" s="71"/>
      <c r="T149" s="71"/>
      <c r="U149" s="71"/>
      <c r="V149" s="71"/>
      <c r="W149" s="71"/>
      <c r="X149" s="71"/>
      <c r="Y149" s="71"/>
      <c r="Z149" s="71"/>
      <c r="AA149" s="152"/>
    </row>
    <row r="150" spans="1:27" hidden="1" outlineLevel="1">
      <c r="A150" s="3"/>
      <c r="B150" s="3"/>
      <c r="C150" s="29"/>
      <c r="D150" s="133">
        <f>Asset39</f>
        <v>0</v>
      </c>
      <c r="E150" s="3"/>
      <c r="F150" s="3"/>
      <c r="G150" s="1393">
        <f>'Capital Base roll forward'!G860</f>
        <v>0</v>
      </c>
      <c r="H150" s="1341">
        <f>'Capital Base roll forward'!H860</f>
        <v>0</v>
      </c>
      <c r="I150" s="1341">
        <f>'Capital Base roll forward'!I860</f>
        <v>0</v>
      </c>
      <c r="J150" s="1341">
        <f>'Capital Base roll forward'!J860</f>
        <v>0</v>
      </c>
      <c r="K150" s="1341">
        <f>'Capital Base roll forward'!K860</f>
        <v>0</v>
      </c>
      <c r="L150" s="1341">
        <f>'Capital Base roll forward'!L860</f>
        <v>0</v>
      </c>
      <c r="M150" s="1341">
        <f>'Capital Base roll forward'!M860</f>
        <v>0</v>
      </c>
      <c r="N150" s="1341">
        <f>'Capital Base roll forward'!N860</f>
        <v>0</v>
      </c>
      <c r="O150" s="1341">
        <f>'Capital Base roll forward'!O860</f>
        <v>0</v>
      </c>
      <c r="P150" s="1341">
        <f>'Capital Base roll forward'!P860</f>
        <v>0</v>
      </c>
      <c r="Q150" s="1341">
        <f>'Capital Base roll forward'!Q860</f>
        <v>0</v>
      </c>
      <c r="R150" s="248"/>
      <c r="S150" s="71"/>
      <c r="T150" s="71"/>
      <c r="U150" s="71"/>
      <c r="V150" s="71"/>
      <c r="W150" s="71"/>
      <c r="X150" s="71"/>
      <c r="Y150" s="71"/>
      <c r="Z150" s="71"/>
      <c r="AA150" s="152"/>
    </row>
    <row r="151" spans="1:27" hidden="1" outlineLevel="1">
      <c r="A151" s="3"/>
      <c r="B151" s="3"/>
      <c r="C151" s="29"/>
      <c r="D151" s="133">
        <f>Asset40</f>
        <v>0</v>
      </c>
      <c r="E151" s="3"/>
      <c r="F151" s="3"/>
      <c r="G151" s="1393">
        <f>'Capital Base roll forward'!G861</f>
        <v>0</v>
      </c>
      <c r="H151" s="1341">
        <f>'Capital Base roll forward'!H861</f>
        <v>0</v>
      </c>
      <c r="I151" s="1341">
        <f>'Capital Base roll forward'!I861</f>
        <v>0</v>
      </c>
      <c r="J151" s="1341">
        <f>'Capital Base roll forward'!J861</f>
        <v>0</v>
      </c>
      <c r="K151" s="1341">
        <f>'Capital Base roll forward'!K861</f>
        <v>0</v>
      </c>
      <c r="L151" s="1341">
        <f>'Capital Base roll forward'!L861</f>
        <v>0</v>
      </c>
      <c r="M151" s="1341">
        <f>'Capital Base roll forward'!M861</f>
        <v>0</v>
      </c>
      <c r="N151" s="1341">
        <f>'Capital Base roll forward'!N861</f>
        <v>0</v>
      </c>
      <c r="O151" s="1341">
        <f>'Capital Base roll forward'!O861</f>
        <v>0</v>
      </c>
      <c r="P151" s="1341">
        <f>'Capital Base roll forward'!P861</f>
        <v>0</v>
      </c>
      <c r="Q151" s="1341">
        <f>'Capital Base roll forward'!Q861</f>
        <v>0</v>
      </c>
      <c r="R151" s="248"/>
      <c r="S151" s="71"/>
      <c r="T151" s="71"/>
      <c r="U151" s="71"/>
      <c r="V151" s="71"/>
      <c r="W151" s="71"/>
      <c r="X151" s="71"/>
      <c r="Y151" s="71"/>
      <c r="Z151" s="71"/>
      <c r="AA151" s="152"/>
    </row>
    <row r="152" spans="1:27" hidden="1" outlineLevel="1">
      <c r="A152" s="3"/>
      <c r="B152" s="3"/>
      <c r="C152" s="29"/>
      <c r="D152" s="133">
        <f>Asset41</f>
        <v>0</v>
      </c>
      <c r="E152" s="3"/>
      <c r="F152" s="3"/>
      <c r="G152" s="1393">
        <f>'Capital Base roll forward'!G862</f>
        <v>0</v>
      </c>
      <c r="H152" s="1341">
        <f>'Capital Base roll forward'!H862</f>
        <v>0</v>
      </c>
      <c r="I152" s="1341">
        <f>'Capital Base roll forward'!I862</f>
        <v>0</v>
      </c>
      <c r="J152" s="1341">
        <f>'Capital Base roll forward'!J862</f>
        <v>0</v>
      </c>
      <c r="K152" s="1341">
        <f>'Capital Base roll forward'!K862</f>
        <v>0</v>
      </c>
      <c r="L152" s="1341">
        <f>'Capital Base roll forward'!L862</f>
        <v>0</v>
      </c>
      <c r="M152" s="1341">
        <f>'Capital Base roll forward'!M862</f>
        <v>0</v>
      </c>
      <c r="N152" s="1341">
        <f>'Capital Base roll forward'!N862</f>
        <v>0</v>
      </c>
      <c r="O152" s="1341">
        <f>'Capital Base roll forward'!O862</f>
        <v>0</v>
      </c>
      <c r="P152" s="1341">
        <f>'Capital Base roll forward'!P862</f>
        <v>0</v>
      </c>
      <c r="Q152" s="1341">
        <f>'Capital Base roll forward'!Q862</f>
        <v>0</v>
      </c>
      <c r="R152" s="248"/>
      <c r="S152" s="71"/>
      <c r="T152" s="71"/>
      <c r="U152" s="71"/>
      <c r="V152" s="71"/>
      <c r="W152" s="71"/>
      <c r="X152" s="71"/>
      <c r="Y152" s="71"/>
      <c r="Z152" s="71"/>
      <c r="AA152" s="152"/>
    </row>
    <row r="153" spans="1:27" hidden="1" outlineLevel="1">
      <c r="A153" s="3"/>
      <c r="B153" s="3"/>
      <c r="C153" s="29"/>
      <c r="D153" s="133">
        <f>Asset42</f>
        <v>0</v>
      </c>
      <c r="E153" s="3"/>
      <c r="F153" s="3"/>
      <c r="G153" s="1393">
        <f>'Capital Base roll forward'!G863</f>
        <v>0</v>
      </c>
      <c r="H153" s="1341">
        <f>'Capital Base roll forward'!H863</f>
        <v>0</v>
      </c>
      <c r="I153" s="1341">
        <f>'Capital Base roll forward'!I863</f>
        <v>0</v>
      </c>
      <c r="J153" s="1341">
        <f>'Capital Base roll forward'!J863</f>
        <v>0</v>
      </c>
      <c r="K153" s="1341">
        <f>'Capital Base roll forward'!K863</f>
        <v>0</v>
      </c>
      <c r="L153" s="1341">
        <f>'Capital Base roll forward'!L863</f>
        <v>0</v>
      </c>
      <c r="M153" s="1341">
        <f>'Capital Base roll forward'!M863</f>
        <v>0</v>
      </c>
      <c r="N153" s="1341">
        <f>'Capital Base roll forward'!N863</f>
        <v>0</v>
      </c>
      <c r="O153" s="1341">
        <f>'Capital Base roll forward'!O863</f>
        <v>0</v>
      </c>
      <c r="P153" s="1341">
        <f>'Capital Base roll forward'!P863</f>
        <v>0</v>
      </c>
      <c r="Q153" s="1341">
        <f>'Capital Base roll forward'!Q863</f>
        <v>0</v>
      </c>
      <c r="R153" s="248"/>
      <c r="S153" s="71"/>
      <c r="T153" s="71"/>
      <c r="U153" s="71"/>
      <c r="V153" s="71"/>
      <c r="W153" s="71"/>
      <c r="X153" s="71"/>
      <c r="Y153" s="71"/>
      <c r="Z153" s="71"/>
      <c r="AA153" s="152"/>
    </row>
    <row r="154" spans="1:27" hidden="1" outlineLevel="1">
      <c r="A154" s="3"/>
      <c r="B154" s="3"/>
      <c r="C154" s="29"/>
      <c r="D154" s="133">
        <f>Asset43</f>
        <v>0</v>
      </c>
      <c r="E154" s="3"/>
      <c r="F154" s="3"/>
      <c r="G154" s="1393">
        <f>'Capital Base roll forward'!G864</f>
        <v>0</v>
      </c>
      <c r="H154" s="1341">
        <f>'Capital Base roll forward'!H864</f>
        <v>0</v>
      </c>
      <c r="I154" s="1341">
        <f>'Capital Base roll forward'!I864</f>
        <v>0</v>
      </c>
      <c r="J154" s="1341">
        <f>'Capital Base roll forward'!J864</f>
        <v>0</v>
      </c>
      <c r="K154" s="1341">
        <f>'Capital Base roll forward'!K864</f>
        <v>0</v>
      </c>
      <c r="L154" s="1341">
        <f>'Capital Base roll forward'!L864</f>
        <v>0</v>
      </c>
      <c r="M154" s="1341">
        <f>'Capital Base roll forward'!M864</f>
        <v>0</v>
      </c>
      <c r="N154" s="1341">
        <f>'Capital Base roll forward'!N864</f>
        <v>0</v>
      </c>
      <c r="O154" s="1341">
        <f>'Capital Base roll forward'!O864</f>
        <v>0</v>
      </c>
      <c r="P154" s="1341">
        <f>'Capital Base roll forward'!P864</f>
        <v>0</v>
      </c>
      <c r="Q154" s="1341">
        <f>'Capital Base roll forward'!Q864</f>
        <v>0</v>
      </c>
      <c r="R154" s="248"/>
      <c r="S154" s="71"/>
      <c r="T154" s="71"/>
      <c r="U154" s="71"/>
      <c r="V154" s="71"/>
      <c r="W154" s="71"/>
      <c r="X154" s="71"/>
      <c r="Y154" s="71"/>
      <c r="Z154" s="71"/>
      <c r="AA154" s="152"/>
    </row>
    <row r="155" spans="1:27" hidden="1" outlineLevel="1">
      <c r="A155" s="3"/>
      <c r="B155" s="3"/>
      <c r="C155" s="29"/>
      <c r="D155" s="133">
        <f>Asset44</f>
        <v>0</v>
      </c>
      <c r="E155" s="3"/>
      <c r="F155" s="3"/>
      <c r="G155" s="1393">
        <f>'Capital Base roll forward'!G865</f>
        <v>0</v>
      </c>
      <c r="H155" s="1341">
        <f>'Capital Base roll forward'!H865</f>
        <v>0</v>
      </c>
      <c r="I155" s="1341">
        <f>'Capital Base roll forward'!I865</f>
        <v>0</v>
      </c>
      <c r="J155" s="1341">
        <f>'Capital Base roll forward'!J865</f>
        <v>0</v>
      </c>
      <c r="K155" s="1341">
        <f>'Capital Base roll forward'!K865</f>
        <v>0</v>
      </c>
      <c r="L155" s="1341">
        <f>'Capital Base roll forward'!L865</f>
        <v>0</v>
      </c>
      <c r="M155" s="1341">
        <f>'Capital Base roll forward'!M865</f>
        <v>0</v>
      </c>
      <c r="N155" s="1341">
        <f>'Capital Base roll forward'!N865</f>
        <v>0</v>
      </c>
      <c r="O155" s="1341">
        <f>'Capital Base roll forward'!O865</f>
        <v>0</v>
      </c>
      <c r="P155" s="1341">
        <f>'Capital Base roll forward'!P865</f>
        <v>0</v>
      </c>
      <c r="Q155" s="1341">
        <f>'Capital Base roll forward'!Q865</f>
        <v>0</v>
      </c>
      <c r="R155" s="248"/>
      <c r="S155" s="71"/>
      <c r="T155" s="71"/>
      <c r="U155" s="71"/>
      <c r="V155" s="71"/>
      <c r="W155" s="71"/>
      <c r="X155" s="71"/>
      <c r="Y155" s="71"/>
      <c r="Z155" s="71"/>
      <c r="AA155" s="152"/>
    </row>
    <row r="156" spans="1:27" hidden="1" outlineLevel="1">
      <c r="A156" s="3"/>
      <c r="B156" s="3"/>
      <c r="C156" s="29"/>
      <c r="D156" s="133">
        <f>Asset45</f>
        <v>0</v>
      </c>
      <c r="E156" s="3"/>
      <c r="F156" s="3"/>
      <c r="G156" s="1393">
        <f>'Capital Base roll forward'!G866</f>
        <v>0</v>
      </c>
      <c r="H156" s="1341">
        <f>'Capital Base roll forward'!H866</f>
        <v>0</v>
      </c>
      <c r="I156" s="1341">
        <f>'Capital Base roll forward'!I866</f>
        <v>0</v>
      </c>
      <c r="J156" s="1341">
        <f>'Capital Base roll forward'!J866</f>
        <v>0</v>
      </c>
      <c r="K156" s="1341">
        <f>'Capital Base roll forward'!K866</f>
        <v>0</v>
      </c>
      <c r="L156" s="1341">
        <f>'Capital Base roll forward'!L866</f>
        <v>0</v>
      </c>
      <c r="M156" s="1341">
        <f>'Capital Base roll forward'!M866</f>
        <v>0</v>
      </c>
      <c r="N156" s="1341">
        <f>'Capital Base roll forward'!N866</f>
        <v>0</v>
      </c>
      <c r="O156" s="1341">
        <f>'Capital Base roll forward'!O866</f>
        <v>0</v>
      </c>
      <c r="P156" s="1341">
        <f>'Capital Base roll forward'!P866</f>
        <v>0</v>
      </c>
      <c r="Q156" s="1341">
        <f>'Capital Base roll forward'!Q866</f>
        <v>0</v>
      </c>
      <c r="R156" s="248"/>
      <c r="S156" s="71"/>
      <c r="T156" s="71"/>
      <c r="U156" s="71"/>
      <c r="V156" s="71"/>
      <c r="W156" s="71"/>
      <c r="X156" s="71"/>
      <c r="Y156" s="71"/>
      <c r="Z156" s="71"/>
      <c r="AA156" s="152"/>
    </row>
    <row r="157" spans="1:27" hidden="1" outlineLevel="1">
      <c r="A157" s="3"/>
      <c r="B157" s="3"/>
      <c r="C157" s="29"/>
      <c r="D157" s="133">
        <f>Asset46</f>
        <v>0</v>
      </c>
      <c r="E157" s="3"/>
      <c r="F157" s="3"/>
      <c r="G157" s="1393">
        <f>'Capital Base roll forward'!G867</f>
        <v>0</v>
      </c>
      <c r="H157" s="1341">
        <f>'Capital Base roll forward'!H867</f>
        <v>0</v>
      </c>
      <c r="I157" s="1341">
        <f>'Capital Base roll forward'!I867</f>
        <v>0</v>
      </c>
      <c r="J157" s="1341">
        <f>'Capital Base roll forward'!J867</f>
        <v>0</v>
      </c>
      <c r="K157" s="1341">
        <f>'Capital Base roll forward'!K867</f>
        <v>0</v>
      </c>
      <c r="L157" s="1341">
        <f>'Capital Base roll forward'!L867</f>
        <v>0</v>
      </c>
      <c r="M157" s="1341">
        <f>'Capital Base roll forward'!M867</f>
        <v>0</v>
      </c>
      <c r="N157" s="1341">
        <f>'Capital Base roll forward'!N867</f>
        <v>0</v>
      </c>
      <c r="O157" s="1341">
        <f>'Capital Base roll forward'!O867</f>
        <v>0</v>
      </c>
      <c r="P157" s="1341">
        <f>'Capital Base roll forward'!P867</f>
        <v>0</v>
      </c>
      <c r="Q157" s="1341">
        <f>'Capital Base roll forward'!Q867</f>
        <v>0</v>
      </c>
      <c r="R157" s="248"/>
      <c r="S157" s="71"/>
      <c r="T157" s="71"/>
      <c r="U157" s="71"/>
      <c r="V157" s="71"/>
      <c r="W157" s="71"/>
      <c r="X157" s="71"/>
      <c r="Y157" s="71"/>
      <c r="Z157" s="71"/>
      <c r="AA157" s="152"/>
    </row>
    <row r="158" spans="1:27" hidden="1" outlineLevel="1">
      <c r="A158" s="3"/>
      <c r="B158" s="3"/>
      <c r="C158" s="29"/>
      <c r="D158" s="133">
        <f>Asset47</f>
        <v>0</v>
      </c>
      <c r="E158" s="3"/>
      <c r="F158" s="3"/>
      <c r="G158" s="1393">
        <f>'Capital Base roll forward'!G868</f>
        <v>0</v>
      </c>
      <c r="H158" s="1341">
        <f>'Capital Base roll forward'!H868</f>
        <v>0</v>
      </c>
      <c r="I158" s="1341">
        <f>'Capital Base roll forward'!I868</f>
        <v>0</v>
      </c>
      <c r="J158" s="1341">
        <f>'Capital Base roll forward'!J868</f>
        <v>0</v>
      </c>
      <c r="K158" s="1341">
        <f>'Capital Base roll forward'!K868</f>
        <v>0</v>
      </c>
      <c r="L158" s="1341">
        <f>'Capital Base roll forward'!L868</f>
        <v>0</v>
      </c>
      <c r="M158" s="1341">
        <f>'Capital Base roll forward'!M868</f>
        <v>0</v>
      </c>
      <c r="N158" s="1341">
        <f>'Capital Base roll forward'!N868</f>
        <v>0</v>
      </c>
      <c r="O158" s="1341">
        <f>'Capital Base roll forward'!O868</f>
        <v>0</v>
      </c>
      <c r="P158" s="1341">
        <f>'Capital Base roll forward'!P868</f>
        <v>0</v>
      </c>
      <c r="Q158" s="1341">
        <f>'Capital Base roll forward'!Q868</f>
        <v>0</v>
      </c>
      <c r="R158" s="248"/>
      <c r="S158" s="71"/>
      <c r="T158" s="71"/>
      <c r="U158" s="71"/>
      <c r="V158" s="71"/>
      <c r="W158" s="71"/>
      <c r="X158" s="71"/>
      <c r="Y158" s="71"/>
      <c r="Z158" s="71"/>
      <c r="AA158" s="152"/>
    </row>
    <row r="159" spans="1:27" hidden="1" outlineLevel="1">
      <c r="A159" s="3"/>
      <c r="B159" s="3"/>
      <c r="C159" s="29"/>
      <c r="D159" s="133">
        <f>Asset48</f>
        <v>0</v>
      </c>
      <c r="E159" s="3"/>
      <c r="F159" s="3"/>
      <c r="G159" s="1393">
        <f>'Capital Base roll forward'!G869</f>
        <v>0</v>
      </c>
      <c r="H159" s="1341">
        <f>'Capital Base roll forward'!H869</f>
        <v>0</v>
      </c>
      <c r="I159" s="1341">
        <f>'Capital Base roll forward'!I869</f>
        <v>0</v>
      </c>
      <c r="J159" s="1341">
        <f>'Capital Base roll forward'!J869</f>
        <v>0</v>
      </c>
      <c r="K159" s="1341">
        <f>'Capital Base roll forward'!K869</f>
        <v>0</v>
      </c>
      <c r="L159" s="1341">
        <f>'Capital Base roll forward'!L869</f>
        <v>0</v>
      </c>
      <c r="M159" s="1341">
        <f>'Capital Base roll forward'!M869</f>
        <v>0</v>
      </c>
      <c r="N159" s="1341">
        <f>'Capital Base roll forward'!N869</f>
        <v>0</v>
      </c>
      <c r="O159" s="1341">
        <f>'Capital Base roll forward'!O869</f>
        <v>0</v>
      </c>
      <c r="P159" s="1341">
        <f>'Capital Base roll forward'!P869</f>
        <v>0</v>
      </c>
      <c r="Q159" s="1341">
        <f>'Capital Base roll forward'!Q869</f>
        <v>0</v>
      </c>
      <c r="R159" s="248"/>
      <c r="S159" s="71"/>
      <c r="T159" s="71"/>
      <c r="U159" s="71"/>
      <c r="V159" s="71"/>
      <c r="W159" s="71"/>
      <c r="X159" s="71"/>
      <c r="Y159" s="71"/>
      <c r="Z159" s="71"/>
      <c r="AA159" s="152"/>
    </row>
    <row r="160" spans="1:27" hidden="1" outlineLevel="1">
      <c r="A160" s="3"/>
      <c r="B160" s="3"/>
      <c r="C160" s="29"/>
      <c r="D160" s="133">
        <f>Asset49</f>
        <v>0</v>
      </c>
      <c r="E160" s="3"/>
      <c r="F160" s="3"/>
      <c r="G160" s="1393">
        <f>'Capital Base roll forward'!G870</f>
        <v>0</v>
      </c>
      <c r="H160" s="1341">
        <f>'Capital Base roll forward'!H870</f>
        <v>0</v>
      </c>
      <c r="I160" s="1341">
        <f>'Capital Base roll forward'!I870</f>
        <v>0</v>
      </c>
      <c r="J160" s="1341">
        <f>'Capital Base roll forward'!J870</f>
        <v>0</v>
      </c>
      <c r="K160" s="1341">
        <f>'Capital Base roll forward'!K870</f>
        <v>0</v>
      </c>
      <c r="L160" s="1341">
        <f>'Capital Base roll forward'!L870</f>
        <v>0</v>
      </c>
      <c r="M160" s="1341">
        <f>'Capital Base roll forward'!M870</f>
        <v>0</v>
      </c>
      <c r="N160" s="1341">
        <f>'Capital Base roll forward'!N870</f>
        <v>0</v>
      </c>
      <c r="O160" s="1341">
        <f>'Capital Base roll forward'!O870</f>
        <v>0</v>
      </c>
      <c r="P160" s="1341">
        <f>'Capital Base roll forward'!P870</f>
        <v>0</v>
      </c>
      <c r="Q160" s="1341">
        <f>'Capital Base roll forward'!Q870</f>
        <v>0</v>
      </c>
      <c r="R160" s="248"/>
      <c r="S160" s="71"/>
      <c r="T160" s="71"/>
      <c r="U160" s="71"/>
      <c r="V160" s="71"/>
      <c r="W160" s="71"/>
      <c r="X160" s="71"/>
      <c r="Y160" s="71"/>
      <c r="Z160" s="71"/>
      <c r="AA160" s="152"/>
    </row>
    <row r="161" spans="1:27" hidden="1" outlineLevel="1">
      <c r="A161" s="3"/>
      <c r="B161" s="3"/>
      <c r="C161" s="29"/>
      <c r="D161" s="133">
        <f>Asset50</f>
        <v>0</v>
      </c>
      <c r="E161" s="3"/>
      <c r="F161" s="3"/>
      <c r="G161" s="1393">
        <f>'Capital Base roll forward'!G871</f>
        <v>0</v>
      </c>
      <c r="H161" s="1341">
        <f>'Capital Base roll forward'!H871</f>
        <v>0</v>
      </c>
      <c r="I161" s="1341">
        <f>'Capital Base roll forward'!I871</f>
        <v>0</v>
      </c>
      <c r="J161" s="1341">
        <f>'Capital Base roll forward'!J871</f>
        <v>0</v>
      </c>
      <c r="K161" s="1341">
        <f>'Capital Base roll forward'!K871</f>
        <v>0</v>
      </c>
      <c r="L161" s="1341">
        <f>'Capital Base roll forward'!L871</f>
        <v>0</v>
      </c>
      <c r="M161" s="1341">
        <f>'Capital Base roll forward'!M871</f>
        <v>0</v>
      </c>
      <c r="N161" s="1341">
        <f>'Capital Base roll forward'!N871</f>
        <v>0</v>
      </c>
      <c r="O161" s="1341">
        <f>'Capital Base roll forward'!O871</f>
        <v>0</v>
      </c>
      <c r="P161" s="1341">
        <f>'Capital Base roll forward'!P871</f>
        <v>0</v>
      </c>
      <c r="Q161" s="1341">
        <f>'Capital Base roll forward'!Q871</f>
        <v>0</v>
      </c>
      <c r="R161" s="248"/>
      <c r="S161" s="71"/>
      <c r="T161" s="71"/>
      <c r="U161" s="71"/>
      <c r="V161" s="71"/>
      <c r="W161" s="71"/>
      <c r="X161" s="71"/>
      <c r="Y161" s="71"/>
      <c r="Z161" s="71"/>
      <c r="AA161" s="152"/>
    </row>
    <row r="162" spans="1:27" collapsed="1">
      <c r="A162" s="3"/>
      <c r="B162" s="3"/>
      <c r="C162" s="29"/>
      <c r="D162" s="88"/>
      <c r="E162" s="3"/>
      <c r="F162" s="3"/>
      <c r="G162" s="1400"/>
      <c r="H162" s="1341"/>
      <c r="I162" s="1341"/>
      <c r="J162" s="1341"/>
      <c r="K162" s="1341"/>
      <c r="L162" s="1341"/>
      <c r="M162" s="1341"/>
      <c r="N162" s="1397"/>
      <c r="O162" s="248"/>
      <c r="P162" s="248"/>
      <c r="Q162" s="248"/>
      <c r="R162" s="248"/>
      <c r="S162" s="71"/>
      <c r="T162" s="71"/>
      <c r="U162" s="71"/>
      <c r="V162" s="71"/>
      <c r="W162" s="71"/>
      <c r="X162" s="71"/>
      <c r="Y162" s="71"/>
      <c r="Z162" s="71"/>
      <c r="AA162" s="152"/>
    </row>
    <row r="163" spans="1:27">
      <c r="A163" s="3"/>
      <c r="B163" s="3"/>
      <c r="C163" s="155" t="s">
        <v>65</v>
      </c>
      <c r="D163" s="231"/>
      <c r="E163" s="3"/>
      <c r="F163" s="3"/>
      <c r="G163" s="1392">
        <f>SUM(G164:G213)</f>
        <v>0</v>
      </c>
      <c r="H163" s="248"/>
      <c r="I163" s="248"/>
      <c r="J163" s="248"/>
      <c r="K163" s="248"/>
      <c r="L163" s="248"/>
      <c r="M163" s="248"/>
      <c r="N163" s="1397"/>
      <c r="O163" s="248"/>
      <c r="P163" s="248"/>
      <c r="Q163" s="248"/>
      <c r="R163" s="248"/>
      <c r="S163" s="71"/>
      <c r="T163" s="71"/>
      <c r="U163" s="71"/>
      <c r="V163" s="71"/>
      <c r="W163" s="71"/>
      <c r="X163" s="71"/>
      <c r="Y163" s="71"/>
      <c r="Z163" s="71"/>
      <c r="AA163" s="152"/>
    </row>
    <row r="164" spans="1:27" hidden="1" outlineLevel="1">
      <c r="A164" s="3"/>
      <c r="B164" s="3"/>
      <c r="C164" s="3"/>
      <c r="D164" s="133" t="str">
        <f>Asset1</f>
        <v>Mains</v>
      </c>
      <c r="E164" s="3"/>
      <c r="F164" s="3"/>
      <c r="G164" s="1393">
        <f>'Capital Base roll forward'!G874</f>
        <v>0</v>
      </c>
      <c r="H164" s="248"/>
      <c r="I164" s="248"/>
      <c r="J164" s="248"/>
      <c r="K164" s="248"/>
      <c r="L164" s="248"/>
      <c r="M164" s="248"/>
      <c r="N164" s="1397"/>
      <c r="O164" s="248"/>
      <c r="P164" s="248"/>
      <c r="Q164" s="248"/>
      <c r="R164" s="248"/>
      <c r="S164" s="71"/>
      <c r="T164" s="71"/>
      <c r="U164" s="71"/>
      <c r="V164" s="71"/>
      <c r="W164" s="71"/>
      <c r="X164" s="71"/>
      <c r="Y164" s="71"/>
      <c r="Z164" s="71"/>
      <c r="AA164" s="152"/>
    </row>
    <row r="165" spans="1:27" hidden="1" outlineLevel="1">
      <c r="A165" s="3"/>
      <c r="B165" s="3"/>
      <c r="C165" s="29"/>
      <c r="D165" s="133" t="str">
        <f>Asset2</f>
        <v>Inlets</v>
      </c>
      <c r="E165" s="3"/>
      <c r="F165" s="3"/>
      <c r="G165" s="1393">
        <f>'Capital Base roll forward'!G875</f>
        <v>0</v>
      </c>
      <c r="H165" s="248"/>
      <c r="I165" s="248"/>
      <c r="J165" s="248"/>
      <c r="K165" s="248"/>
      <c r="L165" s="248"/>
      <c r="M165" s="248"/>
      <c r="N165" s="1397"/>
      <c r="O165" s="248"/>
      <c r="P165" s="248"/>
      <c r="Q165" s="248"/>
      <c r="R165" s="248"/>
      <c r="S165" s="71"/>
      <c r="T165" s="71"/>
      <c r="U165" s="71"/>
      <c r="V165" s="71"/>
      <c r="W165" s="71"/>
      <c r="X165" s="71"/>
      <c r="Y165" s="71"/>
      <c r="Z165" s="71"/>
      <c r="AA165" s="152"/>
    </row>
    <row r="166" spans="1:27" hidden="1" outlineLevel="1">
      <c r="A166" s="3"/>
      <c r="B166" s="3"/>
      <c r="C166" s="29"/>
      <c r="D166" s="133" t="str">
        <f>Asset3</f>
        <v>Meters</v>
      </c>
      <c r="E166" s="3"/>
      <c r="F166" s="3"/>
      <c r="G166" s="1393">
        <f>'Capital Base roll forward'!G876</f>
        <v>0</v>
      </c>
      <c r="H166" s="248"/>
      <c r="I166" s="248"/>
      <c r="J166" s="248"/>
      <c r="K166" s="248"/>
      <c r="L166" s="248"/>
      <c r="M166" s="248"/>
      <c r="N166" s="1397"/>
      <c r="O166" s="248"/>
      <c r="P166" s="248"/>
      <c r="Q166" s="248"/>
      <c r="R166" s="248"/>
      <c r="S166" s="71"/>
      <c r="T166" s="71"/>
      <c r="U166" s="71"/>
      <c r="V166" s="71"/>
      <c r="W166" s="71"/>
      <c r="X166" s="71"/>
      <c r="Y166" s="71"/>
      <c r="Z166" s="71"/>
      <c r="AA166" s="152"/>
    </row>
    <row r="167" spans="1:27" hidden="1" outlineLevel="1">
      <c r="A167" s="3"/>
      <c r="B167" s="3"/>
      <c r="C167" s="29"/>
      <c r="D167" s="133" t="str">
        <f>Asset4</f>
        <v>Telemetry</v>
      </c>
      <c r="E167" s="3"/>
      <c r="F167" s="3"/>
      <c r="G167" s="1393">
        <f>'Capital Base roll forward'!G877</f>
        <v>0</v>
      </c>
      <c r="H167" s="248"/>
      <c r="I167" s="248"/>
      <c r="J167" s="248"/>
      <c r="K167" s="248"/>
      <c r="L167" s="248"/>
      <c r="M167" s="248"/>
      <c r="N167" s="1397"/>
      <c r="O167" s="248"/>
      <c r="P167" s="248"/>
      <c r="Q167" s="248"/>
      <c r="R167" s="248"/>
      <c r="S167" s="71"/>
      <c r="T167" s="71"/>
      <c r="U167" s="71"/>
      <c r="V167" s="71"/>
      <c r="W167" s="71"/>
      <c r="X167" s="71"/>
      <c r="Y167" s="71"/>
      <c r="Z167" s="71"/>
      <c r="AA167" s="152"/>
    </row>
    <row r="168" spans="1:27" hidden="1" outlineLevel="1">
      <c r="A168" s="3"/>
      <c r="B168" s="3"/>
      <c r="C168" s="29"/>
      <c r="D168" s="133" t="str">
        <f>Asset5</f>
        <v>IT System</v>
      </c>
      <c r="E168" s="3"/>
      <c r="F168" s="3"/>
      <c r="G168" s="1393">
        <f>'Capital Base roll forward'!G878</f>
        <v>0</v>
      </c>
      <c r="H168" s="248"/>
      <c r="I168" s="248"/>
      <c r="J168" s="248"/>
      <c r="K168" s="248"/>
      <c r="L168" s="248"/>
      <c r="M168" s="248"/>
      <c r="N168" s="1397"/>
      <c r="O168" s="248"/>
      <c r="P168" s="248"/>
      <c r="Q168" s="248"/>
      <c r="R168" s="248"/>
      <c r="S168" s="71"/>
      <c r="T168" s="71"/>
      <c r="U168" s="71"/>
      <c r="V168" s="71"/>
      <c r="W168" s="71"/>
      <c r="X168" s="71"/>
      <c r="Y168" s="71"/>
      <c r="Z168" s="71"/>
      <c r="AA168" s="152"/>
    </row>
    <row r="169" spans="1:27" hidden="1" outlineLevel="1">
      <c r="A169" s="3"/>
      <c r="B169" s="3"/>
      <c r="C169" s="29"/>
      <c r="D169" s="133" t="str">
        <f>Asset6</f>
        <v>Other Distribution System Equipment</v>
      </c>
      <c r="E169" s="3"/>
      <c r="F169" s="3"/>
      <c r="G169" s="1393">
        <f>'Capital Base roll forward'!G879</f>
        <v>0</v>
      </c>
      <c r="H169" s="248"/>
      <c r="I169" s="248"/>
      <c r="J169" s="248"/>
      <c r="K169" s="248"/>
      <c r="L169" s="248"/>
      <c r="M169" s="248"/>
      <c r="N169" s="1397"/>
      <c r="O169" s="248"/>
      <c r="P169" s="248"/>
      <c r="Q169" s="248"/>
      <c r="R169" s="248"/>
      <c r="S169" s="71"/>
      <c r="T169" s="71"/>
      <c r="U169" s="71"/>
      <c r="V169" s="71"/>
      <c r="W169" s="71"/>
      <c r="X169" s="71"/>
      <c r="Y169" s="71"/>
      <c r="Z169" s="71"/>
      <c r="AA169" s="152"/>
    </row>
    <row r="170" spans="1:27" hidden="1" outlineLevel="1">
      <c r="A170" s="3"/>
      <c r="B170" s="3"/>
      <c r="C170" s="29"/>
      <c r="D170" s="133" t="str">
        <f>Asset7</f>
        <v>Other</v>
      </c>
      <c r="E170" s="3"/>
      <c r="F170" s="3"/>
      <c r="G170" s="1393">
        <f>'Capital Base roll forward'!G880</f>
        <v>0</v>
      </c>
      <c r="H170" s="248"/>
      <c r="I170" s="248"/>
      <c r="J170" s="248"/>
      <c r="K170" s="248"/>
      <c r="L170" s="248"/>
      <c r="M170" s="248"/>
      <c r="N170" s="1397"/>
      <c r="O170" s="248"/>
      <c r="P170" s="248"/>
      <c r="Q170" s="248"/>
      <c r="R170" s="248"/>
      <c r="S170" s="71"/>
      <c r="T170" s="71"/>
      <c r="U170" s="71"/>
      <c r="V170" s="71"/>
      <c r="W170" s="71"/>
      <c r="X170" s="71"/>
      <c r="Y170" s="71"/>
      <c r="Z170" s="71"/>
      <c r="AA170" s="152"/>
    </row>
    <row r="171" spans="1:27" hidden="1" outlineLevel="1">
      <c r="A171" s="3"/>
      <c r="B171" s="3"/>
      <c r="C171" s="29"/>
      <c r="D171" s="133">
        <f>Asset8</f>
        <v>0</v>
      </c>
      <c r="E171" s="3"/>
      <c r="F171" s="3"/>
      <c r="G171" s="1393">
        <f>'Capital Base roll forward'!G881</f>
        <v>0</v>
      </c>
      <c r="H171" s="248"/>
      <c r="I171" s="248"/>
      <c r="J171" s="248"/>
      <c r="K171" s="248"/>
      <c r="L171" s="248"/>
      <c r="M171" s="248"/>
      <c r="N171" s="1397"/>
      <c r="O171" s="248"/>
      <c r="P171" s="248"/>
      <c r="Q171" s="248"/>
      <c r="R171" s="248"/>
      <c r="S171" s="71"/>
      <c r="T171" s="71"/>
      <c r="U171" s="71"/>
      <c r="V171" s="71"/>
      <c r="W171" s="71"/>
      <c r="X171" s="71"/>
      <c r="Y171" s="71"/>
      <c r="Z171" s="71"/>
      <c r="AA171" s="152"/>
    </row>
    <row r="172" spans="1:27" hidden="1" outlineLevel="1">
      <c r="A172" s="3"/>
      <c r="B172" s="3"/>
      <c r="C172" s="29"/>
      <c r="D172" s="133">
        <f>Asset9</f>
        <v>0</v>
      </c>
      <c r="E172" s="3"/>
      <c r="F172" s="3"/>
      <c r="G172" s="1393">
        <f>'Capital Base roll forward'!G882</f>
        <v>0</v>
      </c>
      <c r="H172" s="248"/>
      <c r="I172" s="248"/>
      <c r="J172" s="248"/>
      <c r="K172" s="248"/>
      <c r="L172" s="248"/>
      <c r="M172" s="248"/>
      <c r="N172" s="1397"/>
      <c r="O172" s="248"/>
      <c r="P172" s="248"/>
      <c r="Q172" s="248"/>
      <c r="R172" s="248"/>
      <c r="S172" s="71"/>
      <c r="T172" s="71"/>
      <c r="U172" s="71"/>
      <c r="V172" s="71"/>
      <c r="W172" s="71"/>
      <c r="X172" s="71"/>
      <c r="Y172" s="71"/>
      <c r="Z172" s="71"/>
      <c r="AA172" s="152"/>
    </row>
    <row r="173" spans="1:27" hidden="1" outlineLevel="1">
      <c r="A173" s="3"/>
      <c r="B173" s="3"/>
      <c r="C173" s="29"/>
      <c r="D173" s="133">
        <f>Asset10</f>
        <v>0</v>
      </c>
      <c r="E173" s="3"/>
      <c r="F173" s="3"/>
      <c r="G173" s="1393">
        <f>'Capital Base roll forward'!G883</f>
        <v>0</v>
      </c>
      <c r="H173" s="248"/>
      <c r="I173" s="248"/>
      <c r="J173" s="248"/>
      <c r="K173" s="248"/>
      <c r="L173" s="248"/>
      <c r="M173" s="248"/>
      <c r="N173" s="1397"/>
      <c r="O173" s="248"/>
      <c r="P173" s="248"/>
      <c r="Q173" s="248"/>
      <c r="R173" s="248"/>
      <c r="S173" s="71"/>
      <c r="T173" s="71"/>
      <c r="U173" s="71"/>
      <c r="V173" s="71"/>
      <c r="W173" s="71"/>
      <c r="X173" s="71"/>
      <c r="Y173" s="71"/>
      <c r="Z173" s="71"/>
      <c r="AA173" s="152"/>
    </row>
    <row r="174" spans="1:27" hidden="1" outlineLevel="1">
      <c r="A174" s="3"/>
      <c r="B174" s="3"/>
      <c r="C174" s="29"/>
      <c r="D174" s="133">
        <f>Asset11</f>
        <v>0</v>
      </c>
      <c r="E174" s="3"/>
      <c r="F174" s="3"/>
      <c r="G174" s="1393">
        <f>'Capital Base roll forward'!G884</f>
        <v>0</v>
      </c>
      <c r="H174" s="248"/>
      <c r="I174" s="248"/>
      <c r="J174" s="248"/>
      <c r="K174" s="248"/>
      <c r="L174" s="248"/>
      <c r="M174" s="248"/>
      <c r="N174" s="1397"/>
      <c r="O174" s="248"/>
      <c r="P174" s="248"/>
      <c r="Q174" s="248"/>
      <c r="R174" s="248"/>
      <c r="S174" s="71"/>
      <c r="T174" s="71"/>
      <c r="U174" s="71"/>
      <c r="V174" s="71"/>
      <c r="W174" s="71"/>
      <c r="X174" s="71"/>
      <c r="Y174" s="71"/>
      <c r="Z174" s="71"/>
      <c r="AA174" s="152"/>
    </row>
    <row r="175" spans="1:27" hidden="1" outlineLevel="1">
      <c r="A175" s="3"/>
      <c r="B175" s="3"/>
      <c r="C175" s="29"/>
      <c r="D175" s="133">
        <f>Asset12</f>
        <v>0</v>
      </c>
      <c r="E175" s="3"/>
      <c r="F175" s="3"/>
      <c r="G175" s="1393">
        <f>'Capital Base roll forward'!G885</f>
        <v>0</v>
      </c>
      <c r="H175" s="248"/>
      <c r="I175" s="248"/>
      <c r="J175" s="248"/>
      <c r="K175" s="248"/>
      <c r="L175" s="248"/>
      <c r="M175" s="248"/>
      <c r="N175" s="1397"/>
      <c r="O175" s="248"/>
      <c r="P175" s="248"/>
      <c r="Q175" s="248"/>
      <c r="R175" s="248"/>
      <c r="S175" s="71"/>
      <c r="T175" s="71"/>
      <c r="U175" s="71"/>
      <c r="V175" s="71"/>
      <c r="W175" s="71"/>
      <c r="X175" s="71"/>
      <c r="Y175" s="71"/>
      <c r="Z175" s="71"/>
      <c r="AA175" s="152"/>
    </row>
    <row r="176" spans="1:27" hidden="1" outlineLevel="1">
      <c r="A176" s="3"/>
      <c r="B176" s="3"/>
      <c r="C176" s="29"/>
      <c r="D176" s="133">
        <f>Asset13</f>
        <v>0</v>
      </c>
      <c r="E176" s="3"/>
      <c r="F176" s="3"/>
      <c r="G176" s="1393">
        <f>'Capital Base roll forward'!G886</f>
        <v>0</v>
      </c>
      <c r="H176" s="248"/>
      <c r="I176" s="248"/>
      <c r="J176" s="248"/>
      <c r="K176" s="248"/>
      <c r="L176" s="248"/>
      <c r="M176" s="248"/>
      <c r="N176" s="1397"/>
      <c r="O176" s="248"/>
      <c r="P176" s="248"/>
      <c r="Q176" s="248"/>
      <c r="R176" s="248"/>
      <c r="S176" s="71"/>
      <c r="T176" s="71"/>
      <c r="U176" s="71"/>
      <c r="V176" s="71"/>
      <c r="W176" s="71"/>
      <c r="X176" s="71"/>
      <c r="Y176" s="71"/>
      <c r="Z176" s="71"/>
      <c r="AA176" s="152"/>
    </row>
    <row r="177" spans="1:27" hidden="1" outlineLevel="1">
      <c r="A177" s="3"/>
      <c r="B177" s="3"/>
      <c r="C177" s="29"/>
      <c r="D177" s="133">
        <f>Asset14</f>
        <v>0</v>
      </c>
      <c r="E177" s="3"/>
      <c r="F177" s="3"/>
      <c r="G177" s="1393">
        <f>'Capital Base roll forward'!G887</f>
        <v>0</v>
      </c>
      <c r="H177" s="248"/>
      <c r="I177" s="248"/>
      <c r="J177" s="248"/>
      <c r="K177" s="248"/>
      <c r="L177" s="248"/>
      <c r="M177" s="248"/>
      <c r="N177" s="1397"/>
      <c r="O177" s="248"/>
      <c r="P177" s="248"/>
      <c r="Q177" s="248"/>
      <c r="R177" s="248"/>
      <c r="S177" s="71"/>
      <c r="T177" s="71"/>
      <c r="U177" s="71"/>
      <c r="V177" s="71"/>
      <c r="W177" s="71"/>
      <c r="X177" s="71"/>
      <c r="Y177" s="71"/>
      <c r="Z177" s="71"/>
      <c r="AA177" s="152"/>
    </row>
    <row r="178" spans="1:27" hidden="1" outlineLevel="1">
      <c r="A178" s="3"/>
      <c r="B178" s="3"/>
      <c r="C178" s="29"/>
      <c r="D178" s="133">
        <f>Asset15</f>
        <v>0</v>
      </c>
      <c r="E178" s="3"/>
      <c r="F178" s="3"/>
      <c r="G178" s="1393">
        <f>'Capital Base roll forward'!G888</f>
        <v>0</v>
      </c>
      <c r="H178" s="248"/>
      <c r="I178" s="248"/>
      <c r="J178" s="248"/>
      <c r="K178" s="248"/>
      <c r="L178" s="248"/>
      <c r="M178" s="248"/>
      <c r="N178" s="1397"/>
      <c r="O178" s="248"/>
      <c r="P178" s="248"/>
      <c r="Q178" s="248"/>
      <c r="R178" s="248"/>
      <c r="S178" s="71"/>
      <c r="T178" s="71"/>
      <c r="U178" s="71"/>
      <c r="V178" s="71"/>
      <c r="W178" s="71"/>
      <c r="X178" s="71"/>
      <c r="Y178" s="71"/>
      <c r="Z178" s="71"/>
      <c r="AA178" s="152"/>
    </row>
    <row r="179" spans="1:27" hidden="1" outlineLevel="1">
      <c r="A179" s="3"/>
      <c r="B179" s="3"/>
      <c r="C179" s="29"/>
      <c r="D179" s="133">
        <f>Asset16</f>
        <v>0</v>
      </c>
      <c r="E179" s="3"/>
      <c r="F179" s="3"/>
      <c r="G179" s="1393">
        <f>'Capital Base roll forward'!G889</f>
        <v>0</v>
      </c>
      <c r="H179" s="248"/>
      <c r="I179" s="248"/>
      <c r="J179" s="248"/>
      <c r="K179" s="248"/>
      <c r="L179" s="248"/>
      <c r="M179" s="248"/>
      <c r="N179" s="1397"/>
      <c r="O179" s="248"/>
      <c r="P179" s="248"/>
      <c r="Q179" s="248"/>
      <c r="R179" s="248"/>
      <c r="S179" s="71"/>
      <c r="T179" s="71"/>
      <c r="U179" s="71"/>
      <c r="V179" s="71"/>
      <c r="W179" s="71"/>
      <c r="X179" s="71"/>
      <c r="Y179" s="71"/>
      <c r="Z179" s="71"/>
      <c r="AA179" s="152"/>
    </row>
    <row r="180" spans="1:27" hidden="1" outlineLevel="1">
      <c r="A180" s="3"/>
      <c r="B180" s="3"/>
      <c r="C180" s="29"/>
      <c r="D180" s="133">
        <f>Asset17</f>
        <v>0</v>
      </c>
      <c r="E180" s="3"/>
      <c r="F180" s="3"/>
      <c r="G180" s="1393">
        <f>'Capital Base roll forward'!G890</f>
        <v>0</v>
      </c>
      <c r="H180" s="248"/>
      <c r="I180" s="248"/>
      <c r="J180" s="248"/>
      <c r="K180" s="248"/>
      <c r="L180" s="248"/>
      <c r="M180" s="248"/>
      <c r="N180" s="1397"/>
      <c r="O180" s="248"/>
      <c r="P180" s="248"/>
      <c r="Q180" s="248"/>
      <c r="R180" s="248"/>
      <c r="S180" s="71"/>
      <c r="T180" s="71"/>
      <c r="U180" s="71"/>
      <c r="V180" s="71"/>
      <c r="W180" s="71"/>
      <c r="X180" s="71"/>
      <c r="Y180" s="71"/>
      <c r="Z180" s="71"/>
      <c r="AA180" s="152"/>
    </row>
    <row r="181" spans="1:27" hidden="1" outlineLevel="1">
      <c r="A181" s="3"/>
      <c r="B181" s="3"/>
      <c r="C181" s="29"/>
      <c r="D181" s="133">
        <f>Asset18</f>
        <v>0</v>
      </c>
      <c r="E181" s="3"/>
      <c r="F181" s="3"/>
      <c r="G181" s="1393">
        <f>'Capital Base roll forward'!G891</f>
        <v>0</v>
      </c>
      <c r="H181" s="248"/>
      <c r="I181" s="248"/>
      <c r="J181" s="248"/>
      <c r="K181" s="248"/>
      <c r="L181" s="248"/>
      <c r="M181" s="248"/>
      <c r="N181" s="1397"/>
      <c r="O181" s="248"/>
      <c r="P181" s="248"/>
      <c r="Q181" s="248"/>
      <c r="R181" s="248"/>
      <c r="S181" s="71"/>
      <c r="T181" s="71"/>
      <c r="U181" s="71"/>
      <c r="V181" s="71"/>
      <c r="W181" s="71"/>
      <c r="X181" s="71"/>
      <c r="Y181" s="71"/>
      <c r="Z181" s="71"/>
      <c r="AA181" s="152"/>
    </row>
    <row r="182" spans="1:27" hidden="1" outlineLevel="1">
      <c r="A182" s="3"/>
      <c r="B182" s="3"/>
      <c r="C182" s="29"/>
      <c r="D182" s="133">
        <f>Asset19</f>
        <v>0</v>
      </c>
      <c r="E182" s="3"/>
      <c r="F182" s="3"/>
      <c r="G182" s="1393">
        <f>'Capital Base roll forward'!G892</f>
        <v>0</v>
      </c>
      <c r="H182" s="248"/>
      <c r="I182" s="248"/>
      <c r="J182" s="248"/>
      <c r="K182" s="248"/>
      <c r="L182" s="248"/>
      <c r="M182" s="248"/>
      <c r="N182" s="1397"/>
      <c r="O182" s="248"/>
      <c r="P182" s="248"/>
      <c r="Q182" s="248"/>
      <c r="R182" s="248"/>
      <c r="S182" s="71"/>
      <c r="T182" s="71"/>
      <c r="U182" s="71"/>
      <c r="V182" s="71"/>
      <c r="W182" s="71"/>
      <c r="X182" s="71"/>
      <c r="Y182" s="71"/>
      <c r="Z182" s="71"/>
      <c r="AA182" s="152"/>
    </row>
    <row r="183" spans="1:27" hidden="1" outlineLevel="1">
      <c r="A183" s="3"/>
      <c r="B183" s="3"/>
      <c r="C183" s="29"/>
      <c r="D183" s="133">
        <f>Asset20</f>
        <v>0</v>
      </c>
      <c r="E183" s="3"/>
      <c r="F183" s="3"/>
      <c r="G183" s="1393">
        <f>'Capital Base roll forward'!G893</f>
        <v>0</v>
      </c>
      <c r="H183" s="248"/>
      <c r="I183" s="248"/>
      <c r="J183" s="248"/>
      <c r="K183" s="248"/>
      <c r="L183" s="248"/>
      <c r="M183" s="248"/>
      <c r="N183" s="1397"/>
      <c r="O183" s="248"/>
      <c r="P183" s="248"/>
      <c r="Q183" s="248"/>
      <c r="R183" s="248"/>
      <c r="S183" s="71"/>
      <c r="T183" s="71"/>
      <c r="U183" s="71"/>
      <c r="V183" s="71"/>
      <c r="W183" s="71"/>
      <c r="X183" s="71"/>
      <c r="Y183" s="71"/>
      <c r="Z183" s="71"/>
      <c r="AA183" s="152"/>
    </row>
    <row r="184" spans="1:27" hidden="1" outlineLevel="1">
      <c r="A184" s="3"/>
      <c r="B184" s="3"/>
      <c r="C184" s="29"/>
      <c r="D184" s="133">
        <f>Asset21</f>
        <v>0</v>
      </c>
      <c r="E184" s="3"/>
      <c r="F184" s="3"/>
      <c r="G184" s="1393">
        <f>'Capital Base roll forward'!G894</f>
        <v>0</v>
      </c>
      <c r="H184" s="248"/>
      <c r="I184" s="248"/>
      <c r="J184" s="248"/>
      <c r="K184" s="248"/>
      <c r="L184" s="248"/>
      <c r="M184" s="248"/>
      <c r="N184" s="1397"/>
      <c r="O184" s="248"/>
      <c r="P184" s="248"/>
      <c r="Q184" s="248"/>
      <c r="R184" s="248"/>
      <c r="S184" s="71"/>
      <c r="T184" s="71"/>
      <c r="U184" s="71"/>
      <c r="V184" s="71"/>
      <c r="W184" s="71"/>
      <c r="X184" s="71"/>
      <c r="Y184" s="71"/>
      <c r="Z184" s="71"/>
      <c r="AA184" s="152"/>
    </row>
    <row r="185" spans="1:27" hidden="1" outlineLevel="1">
      <c r="A185" s="3"/>
      <c r="B185" s="3"/>
      <c r="C185" s="29"/>
      <c r="D185" s="133">
        <f>Asset22</f>
        <v>0</v>
      </c>
      <c r="E185" s="3"/>
      <c r="F185" s="3"/>
      <c r="G185" s="1393">
        <f>'Capital Base roll forward'!G895</f>
        <v>0</v>
      </c>
      <c r="H185" s="248"/>
      <c r="I185" s="248"/>
      <c r="J185" s="248"/>
      <c r="K185" s="248"/>
      <c r="L185" s="248"/>
      <c r="M185" s="248"/>
      <c r="N185" s="1397"/>
      <c r="O185" s="248"/>
      <c r="P185" s="248"/>
      <c r="Q185" s="248"/>
      <c r="R185" s="248"/>
      <c r="S185" s="71"/>
      <c r="T185" s="71"/>
      <c r="U185" s="71"/>
      <c r="V185" s="71"/>
      <c r="W185" s="71"/>
      <c r="X185" s="71"/>
      <c r="Y185" s="71"/>
      <c r="Z185" s="71"/>
      <c r="AA185" s="152"/>
    </row>
    <row r="186" spans="1:27" hidden="1" outlineLevel="1">
      <c r="A186" s="3"/>
      <c r="B186" s="3"/>
      <c r="C186" s="29"/>
      <c r="D186" s="133">
        <f>Asset23</f>
        <v>0</v>
      </c>
      <c r="E186" s="3"/>
      <c r="F186" s="3"/>
      <c r="G186" s="1393">
        <f>'Capital Base roll forward'!G896</f>
        <v>0</v>
      </c>
      <c r="H186" s="248"/>
      <c r="I186" s="248"/>
      <c r="J186" s="248"/>
      <c r="K186" s="248"/>
      <c r="L186" s="248"/>
      <c r="M186" s="248"/>
      <c r="N186" s="1397"/>
      <c r="O186" s="248"/>
      <c r="P186" s="248"/>
      <c r="Q186" s="248"/>
      <c r="R186" s="248"/>
      <c r="S186" s="71"/>
      <c r="T186" s="71"/>
      <c r="U186" s="71"/>
      <c r="V186" s="71"/>
      <c r="W186" s="71"/>
      <c r="X186" s="71"/>
      <c r="Y186" s="71"/>
      <c r="Z186" s="71"/>
      <c r="AA186" s="152"/>
    </row>
    <row r="187" spans="1:27" hidden="1" outlineLevel="1">
      <c r="A187" s="3"/>
      <c r="B187" s="3"/>
      <c r="C187" s="29"/>
      <c r="D187" s="133">
        <f>Asset24</f>
        <v>0</v>
      </c>
      <c r="E187" s="3"/>
      <c r="F187" s="3"/>
      <c r="G187" s="1393">
        <f>'Capital Base roll forward'!G897</f>
        <v>0</v>
      </c>
      <c r="H187" s="248"/>
      <c r="I187" s="248"/>
      <c r="J187" s="248"/>
      <c r="K187" s="248"/>
      <c r="L187" s="248"/>
      <c r="M187" s="248"/>
      <c r="N187" s="1397"/>
      <c r="O187" s="248"/>
      <c r="P187" s="248"/>
      <c r="Q187" s="248"/>
      <c r="R187" s="248"/>
      <c r="S187" s="71"/>
      <c r="T187" s="71"/>
      <c r="U187" s="71"/>
      <c r="V187" s="71"/>
      <c r="W187" s="71"/>
      <c r="X187" s="71"/>
      <c r="Y187" s="71"/>
      <c r="Z187" s="71"/>
      <c r="AA187" s="152"/>
    </row>
    <row r="188" spans="1:27" hidden="1" outlineLevel="1">
      <c r="A188" s="3"/>
      <c r="B188" s="3"/>
      <c r="C188" s="29"/>
      <c r="D188" s="133">
        <f>Asset25</f>
        <v>0</v>
      </c>
      <c r="E188" s="3"/>
      <c r="F188" s="3"/>
      <c r="G188" s="1393">
        <f>'Capital Base roll forward'!G898</f>
        <v>0</v>
      </c>
      <c r="H188" s="248"/>
      <c r="I188" s="248"/>
      <c r="J188" s="248"/>
      <c r="K188" s="248"/>
      <c r="L188" s="248"/>
      <c r="M188" s="248"/>
      <c r="N188" s="1397"/>
      <c r="O188" s="248"/>
      <c r="P188" s="248"/>
      <c r="Q188" s="248"/>
      <c r="R188" s="248"/>
      <c r="S188" s="71"/>
      <c r="T188" s="71"/>
      <c r="U188" s="71"/>
      <c r="V188" s="71"/>
      <c r="W188" s="71"/>
      <c r="X188" s="71"/>
      <c r="Y188" s="71"/>
      <c r="Z188" s="71"/>
      <c r="AA188" s="152"/>
    </row>
    <row r="189" spans="1:27" hidden="1" outlineLevel="1">
      <c r="A189" s="3"/>
      <c r="B189" s="3"/>
      <c r="C189" s="29"/>
      <c r="D189" s="133">
        <f>Asset26</f>
        <v>0</v>
      </c>
      <c r="E189" s="3"/>
      <c r="F189" s="3"/>
      <c r="G189" s="1393">
        <f>'Capital Base roll forward'!G899</f>
        <v>0</v>
      </c>
      <c r="H189" s="248"/>
      <c r="I189" s="248"/>
      <c r="J189" s="248"/>
      <c r="K189" s="248"/>
      <c r="L189" s="248"/>
      <c r="M189" s="248"/>
      <c r="N189" s="1397"/>
      <c r="O189" s="248"/>
      <c r="P189" s="248"/>
      <c r="Q189" s="248"/>
      <c r="R189" s="248"/>
      <c r="S189" s="71"/>
      <c r="T189" s="71"/>
      <c r="U189" s="71"/>
      <c r="V189" s="71"/>
      <c r="W189" s="71"/>
      <c r="X189" s="71"/>
      <c r="Y189" s="71"/>
      <c r="Z189" s="71"/>
      <c r="AA189" s="152"/>
    </row>
    <row r="190" spans="1:27" hidden="1" outlineLevel="1">
      <c r="A190" s="3"/>
      <c r="B190" s="3"/>
      <c r="C190" s="29"/>
      <c r="D190" s="133">
        <f>Asset27</f>
        <v>0</v>
      </c>
      <c r="E190" s="3"/>
      <c r="F190" s="3"/>
      <c r="G190" s="1393">
        <f>'Capital Base roll forward'!G900</f>
        <v>0</v>
      </c>
      <c r="H190" s="248"/>
      <c r="I190" s="248"/>
      <c r="J190" s="248"/>
      <c r="K190" s="248"/>
      <c r="L190" s="248"/>
      <c r="M190" s="248"/>
      <c r="N190" s="1397"/>
      <c r="O190" s="248"/>
      <c r="P190" s="248"/>
      <c r="Q190" s="248"/>
      <c r="R190" s="248"/>
      <c r="S190" s="71"/>
      <c r="T190" s="71"/>
      <c r="U190" s="71"/>
      <c r="V190" s="71"/>
      <c r="W190" s="71"/>
      <c r="X190" s="71"/>
      <c r="Y190" s="71"/>
      <c r="Z190" s="71"/>
      <c r="AA190" s="152"/>
    </row>
    <row r="191" spans="1:27" hidden="1" outlineLevel="1">
      <c r="A191" s="3"/>
      <c r="B191" s="3"/>
      <c r="C191" s="29"/>
      <c r="D191" s="133">
        <f>Asset28</f>
        <v>0</v>
      </c>
      <c r="E191" s="3"/>
      <c r="F191" s="3"/>
      <c r="G191" s="1393">
        <f>'Capital Base roll forward'!G901</f>
        <v>0</v>
      </c>
      <c r="H191" s="248"/>
      <c r="I191" s="248"/>
      <c r="J191" s="248"/>
      <c r="K191" s="248"/>
      <c r="L191" s="248"/>
      <c r="M191" s="248"/>
      <c r="N191" s="1397"/>
      <c r="O191" s="248"/>
      <c r="P191" s="248"/>
      <c r="Q191" s="248"/>
      <c r="R191" s="248"/>
      <c r="S191" s="71"/>
      <c r="T191" s="71"/>
      <c r="U191" s="71"/>
      <c r="V191" s="71"/>
      <c r="W191" s="71"/>
      <c r="X191" s="71"/>
      <c r="Y191" s="71"/>
      <c r="Z191" s="71"/>
      <c r="AA191" s="152"/>
    </row>
    <row r="192" spans="1:27" hidden="1" outlineLevel="1">
      <c r="A192" s="3"/>
      <c r="B192" s="3"/>
      <c r="C192" s="29"/>
      <c r="D192" s="133">
        <f>Asset29</f>
        <v>0</v>
      </c>
      <c r="E192" s="3"/>
      <c r="F192" s="3"/>
      <c r="G192" s="1393">
        <f>'Capital Base roll forward'!G902</f>
        <v>0</v>
      </c>
      <c r="H192" s="248"/>
      <c r="I192" s="248"/>
      <c r="J192" s="248"/>
      <c r="K192" s="248"/>
      <c r="L192" s="248"/>
      <c r="M192" s="248"/>
      <c r="N192" s="1397"/>
      <c r="O192" s="248"/>
      <c r="P192" s="248"/>
      <c r="Q192" s="248"/>
      <c r="R192" s="248"/>
      <c r="S192" s="71"/>
      <c r="T192" s="71"/>
      <c r="U192" s="71"/>
      <c r="V192" s="71"/>
      <c r="W192" s="71"/>
      <c r="X192" s="71"/>
      <c r="Y192" s="71"/>
      <c r="Z192" s="71"/>
      <c r="AA192" s="152"/>
    </row>
    <row r="193" spans="1:27" hidden="1" outlineLevel="1">
      <c r="A193" s="3"/>
      <c r="B193" s="3"/>
      <c r="C193" s="29"/>
      <c r="D193" s="133">
        <f>Asset30</f>
        <v>0</v>
      </c>
      <c r="E193" s="3"/>
      <c r="F193" s="3"/>
      <c r="G193" s="1393">
        <f>'Capital Base roll forward'!G903</f>
        <v>0</v>
      </c>
      <c r="H193" s="248"/>
      <c r="I193" s="248"/>
      <c r="J193" s="248"/>
      <c r="K193" s="248"/>
      <c r="L193" s="248"/>
      <c r="M193" s="248"/>
      <c r="N193" s="1397"/>
      <c r="O193" s="248"/>
      <c r="P193" s="248"/>
      <c r="Q193" s="248"/>
      <c r="R193" s="248"/>
      <c r="S193" s="71"/>
      <c r="T193" s="71"/>
      <c r="U193" s="71"/>
      <c r="V193" s="71"/>
      <c r="W193" s="71"/>
      <c r="X193" s="71"/>
      <c r="Y193" s="71"/>
      <c r="Z193" s="71"/>
      <c r="AA193" s="152"/>
    </row>
    <row r="194" spans="1:27" hidden="1" outlineLevel="1">
      <c r="A194" s="3"/>
      <c r="B194" s="3"/>
      <c r="C194" s="29"/>
      <c r="D194" s="133">
        <f>Asset31</f>
        <v>0</v>
      </c>
      <c r="E194" s="3"/>
      <c r="F194" s="3"/>
      <c r="G194" s="1393">
        <f>'Capital Base roll forward'!G904</f>
        <v>0</v>
      </c>
      <c r="H194" s="248"/>
      <c r="I194" s="248"/>
      <c r="J194" s="248"/>
      <c r="K194" s="248"/>
      <c r="L194" s="248"/>
      <c r="M194" s="248"/>
      <c r="N194" s="1397"/>
      <c r="O194" s="248"/>
      <c r="P194" s="248"/>
      <c r="Q194" s="248"/>
      <c r="R194" s="248"/>
      <c r="S194" s="71"/>
      <c r="T194" s="71"/>
      <c r="U194" s="71"/>
      <c r="V194" s="71"/>
      <c r="W194" s="71"/>
      <c r="X194" s="71"/>
      <c r="Y194" s="71"/>
      <c r="Z194" s="71"/>
      <c r="AA194" s="152"/>
    </row>
    <row r="195" spans="1:27" hidden="1" outlineLevel="1">
      <c r="A195" s="3"/>
      <c r="B195" s="3"/>
      <c r="C195" s="29"/>
      <c r="D195" s="133">
        <f>Asset32</f>
        <v>0</v>
      </c>
      <c r="E195" s="3"/>
      <c r="F195" s="3"/>
      <c r="G195" s="1393">
        <f>'Capital Base roll forward'!G905</f>
        <v>0</v>
      </c>
      <c r="H195" s="248"/>
      <c r="I195" s="248"/>
      <c r="J195" s="248"/>
      <c r="K195" s="248"/>
      <c r="L195" s="248"/>
      <c r="M195" s="248"/>
      <c r="N195" s="1397"/>
      <c r="O195" s="248"/>
      <c r="P195" s="248"/>
      <c r="Q195" s="248"/>
      <c r="R195" s="248"/>
      <c r="S195" s="71"/>
      <c r="T195" s="71"/>
      <c r="U195" s="71"/>
      <c r="V195" s="71"/>
      <c r="W195" s="71"/>
      <c r="X195" s="71"/>
      <c r="Y195" s="71"/>
      <c r="Z195" s="71"/>
      <c r="AA195" s="152"/>
    </row>
    <row r="196" spans="1:27" hidden="1" outlineLevel="1">
      <c r="A196" s="3"/>
      <c r="B196" s="3"/>
      <c r="C196" s="29"/>
      <c r="D196" s="133">
        <f>Asset33</f>
        <v>0</v>
      </c>
      <c r="E196" s="3"/>
      <c r="F196" s="3"/>
      <c r="G196" s="1393">
        <f>'Capital Base roll forward'!G906</f>
        <v>0</v>
      </c>
      <c r="H196" s="248"/>
      <c r="I196" s="248"/>
      <c r="J196" s="248"/>
      <c r="K196" s="248"/>
      <c r="L196" s="248"/>
      <c r="M196" s="248"/>
      <c r="N196" s="1397"/>
      <c r="O196" s="248"/>
      <c r="P196" s="248"/>
      <c r="Q196" s="248"/>
      <c r="R196" s="248"/>
      <c r="S196" s="71"/>
      <c r="T196" s="71"/>
      <c r="U196" s="71"/>
      <c r="V196" s="71"/>
      <c r="W196" s="71"/>
      <c r="X196" s="71"/>
      <c r="Y196" s="71"/>
      <c r="Z196" s="71"/>
      <c r="AA196" s="152"/>
    </row>
    <row r="197" spans="1:27" hidden="1" outlineLevel="1">
      <c r="A197" s="3"/>
      <c r="B197" s="3"/>
      <c r="C197" s="29"/>
      <c r="D197" s="133">
        <f>Asset34</f>
        <v>0</v>
      </c>
      <c r="E197" s="3"/>
      <c r="F197" s="3"/>
      <c r="G197" s="1393">
        <f>'Capital Base roll forward'!G907</f>
        <v>0</v>
      </c>
      <c r="H197" s="248"/>
      <c r="I197" s="248"/>
      <c r="J197" s="248"/>
      <c r="K197" s="248"/>
      <c r="L197" s="248"/>
      <c r="M197" s="248"/>
      <c r="N197" s="1397"/>
      <c r="O197" s="248"/>
      <c r="P197" s="248"/>
      <c r="Q197" s="248"/>
      <c r="R197" s="248"/>
      <c r="S197" s="71"/>
      <c r="T197" s="71"/>
      <c r="U197" s="71"/>
      <c r="V197" s="71"/>
      <c r="W197" s="71"/>
      <c r="X197" s="71"/>
      <c r="Y197" s="71"/>
      <c r="Z197" s="71"/>
      <c r="AA197" s="152"/>
    </row>
    <row r="198" spans="1:27" hidden="1" outlineLevel="1">
      <c r="A198" s="3"/>
      <c r="B198" s="3"/>
      <c r="C198" s="29"/>
      <c r="D198" s="133">
        <f>Asset35</f>
        <v>0</v>
      </c>
      <c r="E198" s="3"/>
      <c r="F198" s="3"/>
      <c r="G198" s="1393">
        <f>'Capital Base roll forward'!G908</f>
        <v>0</v>
      </c>
      <c r="H198" s="248"/>
      <c r="I198" s="248"/>
      <c r="J198" s="248"/>
      <c r="K198" s="248"/>
      <c r="L198" s="248"/>
      <c r="M198" s="248"/>
      <c r="N198" s="1397"/>
      <c r="O198" s="248"/>
      <c r="P198" s="248"/>
      <c r="Q198" s="248"/>
      <c r="R198" s="248"/>
      <c r="S198" s="71"/>
      <c r="T198" s="71"/>
      <c r="U198" s="71"/>
      <c r="V198" s="71"/>
      <c r="W198" s="71"/>
      <c r="X198" s="71"/>
      <c r="Y198" s="71"/>
      <c r="Z198" s="71"/>
      <c r="AA198" s="152"/>
    </row>
    <row r="199" spans="1:27" hidden="1" outlineLevel="1">
      <c r="A199" s="3"/>
      <c r="B199" s="3"/>
      <c r="C199" s="29"/>
      <c r="D199" s="133">
        <f>Asset36</f>
        <v>0</v>
      </c>
      <c r="E199" s="3"/>
      <c r="F199" s="3"/>
      <c r="G199" s="1393">
        <f>'Capital Base roll forward'!G909</f>
        <v>0</v>
      </c>
      <c r="H199" s="248"/>
      <c r="I199" s="248"/>
      <c r="J199" s="248"/>
      <c r="K199" s="248"/>
      <c r="L199" s="248"/>
      <c r="M199" s="248"/>
      <c r="N199" s="1397"/>
      <c r="O199" s="248"/>
      <c r="P199" s="248"/>
      <c r="Q199" s="248"/>
      <c r="R199" s="248"/>
      <c r="S199" s="71"/>
      <c r="T199" s="71"/>
      <c r="U199" s="71"/>
      <c r="V199" s="71"/>
      <c r="W199" s="71"/>
      <c r="X199" s="71"/>
      <c r="Y199" s="71"/>
      <c r="Z199" s="71"/>
      <c r="AA199" s="152"/>
    </row>
    <row r="200" spans="1:27" hidden="1" outlineLevel="1">
      <c r="A200" s="3"/>
      <c r="B200" s="3"/>
      <c r="C200" s="29"/>
      <c r="D200" s="133">
        <f>Asset37</f>
        <v>0</v>
      </c>
      <c r="E200" s="3"/>
      <c r="F200" s="3"/>
      <c r="G200" s="1393">
        <f>'Capital Base roll forward'!G910</f>
        <v>0</v>
      </c>
      <c r="H200" s="248"/>
      <c r="I200" s="248"/>
      <c r="J200" s="248"/>
      <c r="K200" s="248"/>
      <c r="L200" s="248"/>
      <c r="M200" s="248"/>
      <c r="N200" s="1397"/>
      <c r="O200" s="248"/>
      <c r="P200" s="248"/>
      <c r="Q200" s="248"/>
      <c r="R200" s="248"/>
      <c r="S200" s="71"/>
      <c r="T200" s="71"/>
      <c r="U200" s="71"/>
      <c r="V200" s="71"/>
      <c r="W200" s="71"/>
      <c r="X200" s="71"/>
      <c r="Y200" s="71"/>
      <c r="Z200" s="71"/>
      <c r="AA200" s="152"/>
    </row>
    <row r="201" spans="1:27" hidden="1" outlineLevel="1">
      <c r="A201" s="3"/>
      <c r="B201" s="3"/>
      <c r="C201" s="29"/>
      <c r="D201" s="133">
        <f>Asset38</f>
        <v>0</v>
      </c>
      <c r="E201" s="3"/>
      <c r="F201" s="3"/>
      <c r="G201" s="1393">
        <f>'Capital Base roll forward'!G911</f>
        <v>0</v>
      </c>
      <c r="H201" s="248"/>
      <c r="I201" s="248"/>
      <c r="J201" s="248"/>
      <c r="K201" s="248"/>
      <c r="L201" s="248"/>
      <c r="M201" s="248"/>
      <c r="N201" s="1397"/>
      <c r="O201" s="248"/>
      <c r="P201" s="248"/>
      <c r="Q201" s="248"/>
      <c r="R201" s="248"/>
      <c r="S201" s="71"/>
      <c r="T201" s="71"/>
      <c r="U201" s="71"/>
      <c r="V201" s="71"/>
      <c r="W201" s="71"/>
      <c r="X201" s="71"/>
      <c r="Y201" s="71"/>
      <c r="Z201" s="71"/>
      <c r="AA201" s="152"/>
    </row>
    <row r="202" spans="1:27" hidden="1" outlineLevel="1">
      <c r="A202" s="3"/>
      <c r="B202" s="3"/>
      <c r="C202" s="29"/>
      <c r="D202" s="133">
        <f>Asset39</f>
        <v>0</v>
      </c>
      <c r="E202" s="3"/>
      <c r="F202" s="3"/>
      <c r="G202" s="1393">
        <f>'Capital Base roll forward'!G912</f>
        <v>0</v>
      </c>
      <c r="H202" s="248"/>
      <c r="I202" s="248"/>
      <c r="J202" s="248"/>
      <c r="K202" s="248"/>
      <c r="L202" s="248"/>
      <c r="M202" s="248"/>
      <c r="N202" s="1397"/>
      <c r="O202" s="248"/>
      <c r="P202" s="248"/>
      <c r="Q202" s="248"/>
      <c r="R202" s="248"/>
      <c r="S202" s="71"/>
      <c r="T202" s="71"/>
      <c r="U202" s="71"/>
      <c r="V202" s="71"/>
      <c r="W202" s="71"/>
      <c r="X202" s="71"/>
      <c r="Y202" s="71"/>
      <c r="Z202" s="71"/>
      <c r="AA202" s="152"/>
    </row>
    <row r="203" spans="1:27" hidden="1" outlineLevel="1">
      <c r="A203" s="3"/>
      <c r="B203" s="3"/>
      <c r="C203" s="29"/>
      <c r="D203" s="133">
        <f>Asset40</f>
        <v>0</v>
      </c>
      <c r="E203" s="3"/>
      <c r="F203" s="3"/>
      <c r="G203" s="1393">
        <f>'Capital Base roll forward'!G913</f>
        <v>0</v>
      </c>
      <c r="H203" s="248"/>
      <c r="I203" s="248"/>
      <c r="J203" s="248"/>
      <c r="K203" s="248"/>
      <c r="L203" s="248"/>
      <c r="M203" s="248"/>
      <c r="N203" s="1397"/>
      <c r="O203" s="248"/>
      <c r="P203" s="248"/>
      <c r="Q203" s="248"/>
      <c r="R203" s="248"/>
      <c r="S203" s="71"/>
      <c r="T203" s="71"/>
      <c r="U203" s="71"/>
      <c r="V203" s="71"/>
      <c r="W203" s="71"/>
      <c r="X203" s="71"/>
      <c r="Y203" s="71"/>
      <c r="Z203" s="71"/>
      <c r="AA203" s="152"/>
    </row>
    <row r="204" spans="1:27" hidden="1" outlineLevel="1">
      <c r="A204" s="3"/>
      <c r="B204" s="3"/>
      <c r="C204" s="29"/>
      <c r="D204" s="133">
        <f>Asset41</f>
        <v>0</v>
      </c>
      <c r="E204" s="3"/>
      <c r="F204" s="3"/>
      <c r="G204" s="1393">
        <f>'Capital Base roll forward'!G914</f>
        <v>0</v>
      </c>
      <c r="H204" s="248"/>
      <c r="I204" s="248"/>
      <c r="J204" s="248"/>
      <c r="K204" s="248"/>
      <c r="L204" s="248"/>
      <c r="M204" s="248"/>
      <c r="N204" s="1397"/>
      <c r="O204" s="248"/>
      <c r="P204" s="248"/>
      <c r="Q204" s="248"/>
      <c r="R204" s="248"/>
      <c r="S204" s="71"/>
      <c r="T204" s="71"/>
      <c r="U204" s="71"/>
      <c r="V204" s="71"/>
      <c r="W204" s="71"/>
      <c r="X204" s="71"/>
      <c r="Y204" s="71"/>
      <c r="Z204" s="71"/>
      <c r="AA204" s="152"/>
    </row>
    <row r="205" spans="1:27" hidden="1" outlineLevel="1">
      <c r="A205" s="3"/>
      <c r="B205" s="3"/>
      <c r="C205" s="29"/>
      <c r="D205" s="133">
        <f>Asset42</f>
        <v>0</v>
      </c>
      <c r="E205" s="3"/>
      <c r="F205" s="3"/>
      <c r="G205" s="1393">
        <f>'Capital Base roll forward'!G915</f>
        <v>0</v>
      </c>
      <c r="H205" s="248"/>
      <c r="I205" s="248"/>
      <c r="J205" s="248"/>
      <c r="K205" s="248"/>
      <c r="L205" s="248"/>
      <c r="M205" s="248"/>
      <c r="N205" s="1397"/>
      <c r="O205" s="248"/>
      <c r="P205" s="248"/>
      <c r="Q205" s="248"/>
      <c r="R205" s="248"/>
      <c r="S205" s="71"/>
      <c r="T205" s="71"/>
      <c r="U205" s="71"/>
      <c r="V205" s="71"/>
      <c r="W205" s="71"/>
      <c r="X205" s="71"/>
      <c r="Y205" s="71"/>
      <c r="Z205" s="71"/>
      <c r="AA205" s="152"/>
    </row>
    <row r="206" spans="1:27" hidden="1" outlineLevel="1">
      <c r="A206" s="3"/>
      <c r="B206" s="3"/>
      <c r="C206" s="29"/>
      <c r="D206" s="133">
        <f>Asset43</f>
        <v>0</v>
      </c>
      <c r="E206" s="3"/>
      <c r="F206" s="3"/>
      <c r="G206" s="1393">
        <f>'Capital Base roll forward'!G916</f>
        <v>0</v>
      </c>
      <c r="H206" s="248"/>
      <c r="I206" s="248"/>
      <c r="J206" s="248"/>
      <c r="K206" s="248"/>
      <c r="L206" s="248"/>
      <c r="M206" s="248"/>
      <c r="N206" s="1397"/>
      <c r="O206" s="248"/>
      <c r="P206" s="248"/>
      <c r="Q206" s="248"/>
      <c r="R206" s="248"/>
      <c r="S206" s="71"/>
      <c r="T206" s="71"/>
      <c r="U206" s="71"/>
      <c r="V206" s="71"/>
      <c r="W206" s="71"/>
      <c r="X206" s="71"/>
      <c r="Y206" s="71"/>
      <c r="Z206" s="71"/>
      <c r="AA206" s="152"/>
    </row>
    <row r="207" spans="1:27" hidden="1" outlineLevel="1">
      <c r="A207" s="3"/>
      <c r="B207" s="3"/>
      <c r="C207" s="29"/>
      <c r="D207" s="133">
        <f>Asset44</f>
        <v>0</v>
      </c>
      <c r="E207" s="3"/>
      <c r="F207" s="3"/>
      <c r="G207" s="1393">
        <f>'Capital Base roll forward'!G917</f>
        <v>0</v>
      </c>
      <c r="H207" s="248"/>
      <c r="I207" s="248"/>
      <c r="J207" s="248"/>
      <c r="K207" s="248"/>
      <c r="L207" s="248"/>
      <c r="M207" s="248"/>
      <c r="N207" s="1397"/>
      <c r="O207" s="248"/>
      <c r="P207" s="248"/>
      <c r="Q207" s="248"/>
      <c r="R207" s="248"/>
      <c r="S207" s="71"/>
      <c r="T207" s="71"/>
      <c r="U207" s="71"/>
      <c r="V207" s="71"/>
      <c r="W207" s="71"/>
      <c r="X207" s="71"/>
      <c r="Y207" s="71"/>
      <c r="Z207" s="71"/>
      <c r="AA207" s="152"/>
    </row>
    <row r="208" spans="1:27" hidden="1" outlineLevel="1">
      <c r="A208" s="3"/>
      <c r="B208" s="3"/>
      <c r="C208" s="29"/>
      <c r="D208" s="133">
        <f>Asset45</f>
        <v>0</v>
      </c>
      <c r="E208" s="3"/>
      <c r="F208" s="3"/>
      <c r="G208" s="1393">
        <f>'Capital Base roll forward'!G918</f>
        <v>0</v>
      </c>
      <c r="H208" s="248"/>
      <c r="I208" s="248"/>
      <c r="J208" s="248"/>
      <c r="K208" s="248"/>
      <c r="L208" s="248"/>
      <c r="M208" s="248"/>
      <c r="N208" s="1397"/>
      <c r="O208" s="248"/>
      <c r="P208" s="248"/>
      <c r="Q208" s="248"/>
      <c r="R208" s="248"/>
      <c r="S208" s="71"/>
      <c r="T208" s="71"/>
      <c r="U208" s="71"/>
      <c r="V208" s="71"/>
      <c r="W208" s="71"/>
      <c r="X208" s="71"/>
      <c r="Y208" s="71"/>
      <c r="Z208" s="71"/>
      <c r="AA208" s="152"/>
    </row>
    <row r="209" spans="1:27" hidden="1" outlineLevel="1">
      <c r="A209" s="3"/>
      <c r="B209" s="3"/>
      <c r="C209" s="29"/>
      <c r="D209" s="133">
        <f>Asset46</f>
        <v>0</v>
      </c>
      <c r="E209" s="3"/>
      <c r="F209" s="3"/>
      <c r="G209" s="1393">
        <f>'Capital Base roll forward'!G919</f>
        <v>0</v>
      </c>
      <c r="H209" s="248"/>
      <c r="I209" s="248"/>
      <c r="J209" s="248"/>
      <c r="K209" s="248"/>
      <c r="L209" s="248"/>
      <c r="M209" s="248"/>
      <c r="N209" s="1397"/>
      <c r="O209" s="248"/>
      <c r="P209" s="248"/>
      <c r="Q209" s="248"/>
      <c r="R209" s="248"/>
      <c r="S209" s="71"/>
      <c r="T209" s="71"/>
      <c r="U209" s="71"/>
      <c r="V209" s="71"/>
      <c r="W209" s="71"/>
      <c r="X209" s="71"/>
      <c r="Y209" s="71"/>
      <c r="Z209" s="71"/>
      <c r="AA209" s="152"/>
    </row>
    <row r="210" spans="1:27" hidden="1" outlineLevel="1">
      <c r="A210" s="3"/>
      <c r="B210" s="3"/>
      <c r="C210" s="29"/>
      <c r="D210" s="133">
        <f>Asset47</f>
        <v>0</v>
      </c>
      <c r="E210" s="3"/>
      <c r="F210" s="3"/>
      <c r="G210" s="1393">
        <f>'Capital Base roll forward'!G920</f>
        <v>0</v>
      </c>
      <c r="H210" s="248"/>
      <c r="I210" s="248"/>
      <c r="J210" s="248"/>
      <c r="K210" s="248"/>
      <c r="L210" s="248"/>
      <c r="M210" s="248"/>
      <c r="N210" s="1397"/>
      <c r="O210" s="248"/>
      <c r="P210" s="248"/>
      <c r="Q210" s="248"/>
      <c r="R210" s="248"/>
      <c r="S210" s="71"/>
      <c r="T210" s="71"/>
      <c r="U210" s="71"/>
      <c r="V210" s="71"/>
      <c r="W210" s="71"/>
      <c r="X210" s="71"/>
      <c r="Y210" s="71"/>
      <c r="Z210" s="71"/>
      <c r="AA210" s="152"/>
    </row>
    <row r="211" spans="1:27" hidden="1" outlineLevel="1">
      <c r="A211" s="3"/>
      <c r="B211" s="3"/>
      <c r="C211" s="29"/>
      <c r="D211" s="133">
        <f>Asset48</f>
        <v>0</v>
      </c>
      <c r="E211" s="3"/>
      <c r="F211" s="3"/>
      <c r="G211" s="1393">
        <f>'Capital Base roll forward'!G921</f>
        <v>0</v>
      </c>
      <c r="H211" s="248"/>
      <c r="I211" s="248"/>
      <c r="J211" s="248"/>
      <c r="K211" s="248"/>
      <c r="L211" s="248"/>
      <c r="M211" s="248"/>
      <c r="N211" s="1397"/>
      <c r="O211" s="248"/>
      <c r="P211" s="248"/>
      <c r="Q211" s="248"/>
      <c r="R211" s="248"/>
      <c r="S211" s="71"/>
      <c r="T211" s="71"/>
      <c r="U211" s="71"/>
      <c r="V211" s="71"/>
      <c r="W211" s="71"/>
      <c r="X211" s="71"/>
      <c r="Y211" s="71"/>
      <c r="Z211" s="71"/>
      <c r="AA211" s="152"/>
    </row>
    <row r="212" spans="1:27" hidden="1" outlineLevel="1">
      <c r="A212" s="3"/>
      <c r="B212" s="3"/>
      <c r="C212" s="29"/>
      <c r="D212" s="133">
        <f>Asset49</f>
        <v>0</v>
      </c>
      <c r="E212" s="3"/>
      <c r="F212" s="3"/>
      <c r="G212" s="1393">
        <f>'Capital Base roll forward'!G922</f>
        <v>0</v>
      </c>
      <c r="H212" s="248"/>
      <c r="I212" s="248"/>
      <c r="J212" s="248"/>
      <c r="K212" s="248"/>
      <c r="L212" s="248"/>
      <c r="M212" s="248"/>
      <c r="N212" s="1397"/>
      <c r="O212" s="248"/>
      <c r="P212" s="248"/>
      <c r="Q212" s="248"/>
      <c r="R212" s="248"/>
      <c r="S212" s="71"/>
      <c r="T212" s="71"/>
      <c r="U212" s="71"/>
      <c r="V212" s="71"/>
      <c r="W212" s="71"/>
      <c r="X212" s="71"/>
      <c r="Y212" s="71"/>
      <c r="Z212" s="71"/>
      <c r="AA212" s="152"/>
    </row>
    <row r="213" spans="1:27" hidden="1" outlineLevel="1">
      <c r="A213" s="3"/>
      <c r="B213" s="3"/>
      <c r="C213" s="29"/>
      <c r="D213" s="133">
        <f>Asset50</f>
        <v>0</v>
      </c>
      <c r="E213" s="3"/>
      <c r="F213" s="3"/>
      <c r="G213" s="1393">
        <f>'Capital Base roll forward'!G923</f>
        <v>0</v>
      </c>
      <c r="H213" s="248"/>
      <c r="I213" s="248"/>
      <c r="J213" s="248"/>
      <c r="K213" s="248"/>
      <c r="L213" s="248"/>
      <c r="M213" s="248"/>
      <c r="N213" s="1397"/>
      <c r="O213" s="248"/>
      <c r="P213" s="248"/>
      <c r="Q213" s="248"/>
      <c r="R213" s="248"/>
      <c r="S213" s="71"/>
      <c r="T213" s="71"/>
      <c r="U213" s="71"/>
      <c r="V213" s="71"/>
      <c r="W213" s="71"/>
      <c r="X213" s="71"/>
      <c r="Y213" s="71"/>
      <c r="Z213" s="71"/>
      <c r="AA213" s="152"/>
    </row>
    <row r="214" spans="1:27" collapsed="1">
      <c r="A214" s="3"/>
      <c r="B214" s="3"/>
      <c r="C214" s="3"/>
      <c r="D214" s="3"/>
      <c r="E214" s="3"/>
      <c r="F214" s="3"/>
      <c r="G214" s="1392"/>
      <c r="H214" s="248"/>
      <c r="I214" s="248"/>
      <c r="J214" s="248"/>
      <c r="K214" s="248"/>
      <c r="L214" s="248"/>
      <c r="M214" s="248"/>
      <c r="N214" s="248"/>
      <c r="O214" s="248"/>
      <c r="P214" s="248"/>
      <c r="Q214" s="248"/>
      <c r="R214" s="248"/>
      <c r="S214" s="3"/>
      <c r="T214" s="3"/>
      <c r="U214" s="3"/>
      <c r="V214" s="3"/>
      <c r="W214" s="3"/>
      <c r="X214" s="3"/>
      <c r="Y214" s="3"/>
      <c r="Z214" s="3"/>
      <c r="AA214" s="152"/>
    </row>
    <row r="215" spans="1:27">
      <c r="A215" s="3"/>
      <c r="B215" s="3"/>
      <c r="C215" s="155" t="s">
        <v>66</v>
      </c>
      <c r="D215" s="231"/>
      <c r="E215" s="152"/>
      <c r="F215" s="3"/>
      <c r="G215" s="1392">
        <f>SUM(G216:G265)</f>
        <v>0</v>
      </c>
      <c r="H215" s="248"/>
      <c r="I215" s="248"/>
      <c r="J215" s="248"/>
      <c r="K215" s="248"/>
      <c r="L215" s="248"/>
      <c r="M215" s="248"/>
      <c r="N215" s="1397"/>
      <c r="O215" s="248"/>
      <c r="P215" s="248"/>
      <c r="Q215" s="248"/>
      <c r="R215" s="248"/>
      <c r="S215" s="71"/>
      <c r="T215" s="71"/>
      <c r="U215" s="71"/>
      <c r="V215" s="71"/>
      <c r="W215" s="71"/>
      <c r="X215" s="71"/>
      <c r="Y215" s="71"/>
      <c r="Z215" s="71"/>
      <c r="AA215" s="152"/>
    </row>
    <row r="216" spans="1:27" hidden="1" outlineLevel="1">
      <c r="A216" s="3"/>
      <c r="B216" s="3"/>
      <c r="C216" s="3"/>
      <c r="D216" s="133" t="str">
        <f>Asset1</f>
        <v>Mains</v>
      </c>
      <c r="E216" s="3"/>
      <c r="F216" s="3"/>
      <c r="G216" s="1393">
        <f>'Capital Base roll forward'!G926</f>
        <v>0</v>
      </c>
      <c r="H216" s="248"/>
      <c r="I216" s="248"/>
      <c r="J216" s="248"/>
      <c r="K216" s="248"/>
      <c r="L216" s="248"/>
      <c r="M216" s="248"/>
      <c r="N216" s="1397"/>
      <c r="O216" s="248"/>
      <c r="P216" s="248"/>
      <c r="Q216" s="248"/>
      <c r="R216" s="248"/>
      <c r="S216" s="71"/>
      <c r="T216" s="71"/>
      <c r="U216" s="71"/>
      <c r="V216" s="71"/>
      <c r="W216" s="71"/>
      <c r="X216" s="71"/>
      <c r="Y216" s="71"/>
      <c r="Z216" s="71"/>
      <c r="AA216" s="152"/>
    </row>
    <row r="217" spans="1:27" hidden="1" outlineLevel="1">
      <c r="A217" s="3"/>
      <c r="B217" s="3"/>
      <c r="C217" s="29"/>
      <c r="D217" s="133" t="str">
        <f>Asset2</f>
        <v>Inlets</v>
      </c>
      <c r="E217" s="3"/>
      <c r="F217" s="3"/>
      <c r="G217" s="1393">
        <f>'Capital Base roll forward'!G927</f>
        <v>0</v>
      </c>
      <c r="H217" s="248"/>
      <c r="I217" s="248"/>
      <c r="J217" s="248"/>
      <c r="K217" s="248"/>
      <c r="L217" s="248"/>
      <c r="M217" s="248"/>
      <c r="N217" s="1397"/>
      <c r="O217" s="248"/>
      <c r="P217" s="248"/>
      <c r="Q217" s="248"/>
      <c r="R217" s="248"/>
      <c r="S217" s="71"/>
      <c r="T217" s="71"/>
      <c r="U217" s="71"/>
      <c r="V217" s="71"/>
      <c r="W217" s="71"/>
      <c r="X217" s="71"/>
      <c r="Y217" s="71"/>
      <c r="Z217" s="71"/>
      <c r="AA217" s="152"/>
    </row>
    <row r="218" spans="1:27" hidden="1" outlineLevel="1">
      <c r="A218" s="3"/>
      <c r="B218" s="3"/>
      <c r="C218" s="29"/>
      <c r="D218" s="133" t="str">
        <f>Asset3</f>
        <v>Meters</v>
      </c>
      <c r="E218" s="3"/>
      <c r="F218" s="3"/>
      <c r="G218" s="1393">
        <f>'Capital Base roll forward'!G928</f>
        <v>0</v>
      </c>
      <c r="H218" s="248"/>
      <c r="I218" s="248"/>
      <c r="J218" s="248"/>
      <c r="K218" s="248"/>
      <c r="L218" s="248"/>
      <c r="M218" s="248"/>
      <c r="N218" s="1397"/>
      <c r="O218" s="248"/>
      <c r="P218" s="248"/>
      <c r="Q218" s="248"/>
      <c r="R218" s="248"/>
      <c r="S218" s="71"/>
      <c r="T218" s="71"/>
      <c r="U218" s="71"/>
      <c r="V218" s="71"/>
      <c r="W218" s="71"/>
      <c r="X218" s="71"/>
      <c r="Y218" s="71"/>
      <c r="Z218" s="71"/>
      <c r="AA218" s="152"/>
    </row>
    <row r="219" spans="1:27" hidden="1" outlineLevel="1">
      <c r="A219" s="3"/>
      <c r="B219" s="3"/>
      <c r="C219" s="29"/>
      <c r="D219" s="133" t="str">
        <f>Asset4</f>
        <v>Telemetry</v>
      </c>
      <c r="E219" s="3"/>
      <c r="F219" s="3"/>
      <c r="G219" s="1393">
        <f>'Capital Base roll forward'!G929</f>
        <v>0</v>
      </c>
      <c r="H219" s="248"/>
      <c r="I219" s="248"/>
      <c r="J219" s="248"/>
      <c r="K219" s="248"/>
      <c r="L219" s="248"/>
      <c r="M219" s="248"/>
      <c r="N219" s="1397"/>
      <c r="O219" s="248"/>
      <c r="P219" s="248"/>
      <c r="Q219" s="248"/>
      <c r="R219" s="248"/>
      <c r="S219" s="71"/>
      <c r="T219" s="71"/>
      <c r="U219" s="71"/>
      <c r="V219" s="71"/>
      <c r="W219" s="71"/>
      <c r="X219" s="71"/>
      <c r="Y219" s="71"/>
      <c r="Z219" s="71"/>
      <c r="AA219" s="152"/>
    </row>
    <row r="220" spans="1:27" hidden="1" outlineLevel="1">
      <c r="A220" s="3"/>
      <c r="B220" s="3"/>
      <c r="C220" s="29"/>
      <c r="D220" s="133" t="str">
        <f>Asset5</f>
        <v>IT System</v>
      </c>
      <c r="E220" s="3"/>
      <c r="F220" s="3"/>
      <c r="G220" s="1393">
        <f>'Capital Base roll forward'!G930</f>
        <v>0</v>
      </c>
      <c r="H220" s="248"/>
      <c r="I220" s="248"/>
      <c r="J220" s="248"/>
      <c r="K220" s="248"/>
      <c r="L220" s="248"/>
      <c r="M220" s="248"/>
      <c r="N220" s="1397"/>
      <c r="O220" s="248"/>
      <c r="P220" s="248"/>
      <c r="Q220" s="248"/>
      <c r="R220" s="248"/>
      <c r="S220" s="71"/>
      <c r="T220" s="71"/>
      <c r="U220" s="71"/>
      <c r="V220" s="71"/>
      <c r="W220" s="71"/>
      <c r="X220" s="71"/>
      <c r="Y220" s="71"/>
      <c r="Z220" s="71"/>
      <c r="AA220" s="152"/>
    </row>
    <row r="221" spans="1:27" hidden="1" outlineLevel="1">
      <c r="A221" s="3"/>
      <c r="B221" s="3"/>
      <c r="C221" s="29"/>
      <c r="D221" s="133" t="str">
        <f>Asset6</f>
        <v>Other Distribution System Equipment</v>
      </c>
      <c r="E221" s="3"/>
      <c r="F221" s="3"/>
      <c r="G221" s="1393">
        <f>'Capital Base roll forward'!G931</f>
        <v>0</v>
      </c>
      <c r="H221" s="248"/>
      <c r="I221" s="248"/>
      <c r="J221" s="248"/>
      <c r="K221" s="248"/>
      <c r="L221" s="248"/>
      <c r="M221" s="248"/>
      <c r="N221" s="1397"/>
      <c r="O221" s="248"/>
      <c r="P221" s="248"/>
      <c r="Q221" s="248"/>
      <c r="R221" s="248"/>
      <c r="S221" s="71"/>
      <c r="T221" s="71"/>
      <c r="U221" s="71"/>
      <c r="V221" s="71"/>
      <c r="W221" s="71"/>
      <c r="X221" s="71"/>
      <c r="Y221" s="71"/>
      <c r="Z221" s="71"/>
      <c r="AA221" s="152"/>
    </row>
    <row r="222" spans="1:27" hidden="1" outlineLevel="1">
      <c r="A222" s="3"/>
      <c r="B222" s="3"/>
      <c r="C222" s="29"/>
      <c r="D222" s="133" t="str">
        <f>Asset7</f>
        <v>Other</v>
      </c>
      <c r="E222" s="3"/>
      <c r="F222" s="3"/>
      <c r="G222" s="1393">
        <f>'Capital Base roll forward'!G932</f>
        <v>0</v>
      </c>
      <c r="H222" s="248"/>
      <c r="I222" s="248"/>
      <c r="J222" s="248"/>
      <c r="K222" s="248"/>
      <c r="L222" s="248"/>
      <c r="M222" s="248"/>
      <c r="N222" s="1397"/>
      <c r="O222" s="248"/>
      <c r="P222" s="248"/>
      <c r="Q222" s="248"/>
      <c r="R222" s="248"/>
      <c r="S222" s="71"/>
      <c r="T222" s="71"/>
      <c r="U222" s="71"/>
      <c r="V222" s="71"/>
      <c r="W222" s="71"/>
      <c r="X222" s="71"/>
      <c r="Y222" s="71"/>
      <c r="Z222" s="71"/>
      <c r="AA222" s="152"/>
    </row>
    <row r="223" spans="1:27" hidden="1" outlineLevel="1">
      <c r="A223" s="3"/>
      <c r="B223" s="3"/>
      <c r="C223" s="29"/>
      <c r="D223" s="133">
        <f>Asset8</f>
        <v>0</v>
      </c>
      <c r="E223" s="3"/>
      <c r="F223" s="3"/>
      <c r="G223" s="1393">
        <f>'Capital Base roll forward'!G933</f>
        <v>0</v>
      </c>
      <c r="H223" s="248"/>
      <c r="I223" s="248"/>
      <c r="J223" s="248"/>
      <c r="K223" s="248"/>
      <c r="L223" s="248"/>
      <c r="M223" s="248"/>
      <c r="N223" s="1397"/>
      <c r="O223" s="248"/>
      <c r="P223" s="248"/>
      <c r="Q223" s="248"/>
      <c r="R223" s="248"/>
      <c r="S223" s="71"/>
      <c r="T223" s="71"/>
      <c r="U223" s="71"/>
      <c r="V223" s="71"/>
      <c r="W223" s="71"/>
      <c r="X223" s="71"/>
      <c r="Y223" s="71"/>
      <c r="Z223" s="71"/>
      <c r="AA223" s="152"/>
    </row>
    <row r="224" spans="1:27" hidden="1" outlineLevel="1">
      <c r="A224" s="3"/>
      <c r="B224" s="3"/>
      <c r="C224" s="29"/>
      <c r="D224" s="133">
        <f>Asset9</f>
        <v>0</v>
      </c>
      <c r="E224" s="3"/>
      <c r="F224" s="3"/>
      <c r="G224" s="1393">
        <f>'Capital Base roll forward'!G934</f>
        <v>0</v>
      </c>
      <c r="H224" s="248"/>
      <c r="I224" s="248"/>
      <c r="J224" s="248"/>
      <c r="K224" s="248"/>
      <c r="L224" s="248"/>
      <c r="M224" s="248"/>
      <c r="N224" s="1397"/>
      <c r="O224" s="248"/>
      <c r="P224" s="248"/>
      <c r="Q224" s="248"/>
      <c r="R224" s="248"/>
      <c r="S224" s="71"/>
      <c r="T224" s="71"/>
      <c r="U224" s="71"/>
      <c r="V224" s="71"/>
      <c r="W224" s="71"/>
      <c r="X224" s="71"/>
      <c r="Y224" s="71"/>
      <c r="Z224" s="71"/>
      <c r="AA224" s="152"/>
    </row>
    <row r="225" spans="1:27" hidden="1" outlineLevel="1">
      <c r="A225" s="3"/>
      <c r="B225" s="3"/>
      <c r="C225" s="29"/>
      <c r="D225" s="133">
        <f>Asset10</f>
        <v>0</v>
      </c>
      <c r="E225" s="3"/>
      <c r="F225" s="3"/>
      <c r="G225" s="1393">
        <f>'Capital Base roll forward'!G935</f>
        <v>0</v>
      </c>
      <c r="H225" s="248"/>
      <c r="I225" s="248"/>
      <c r="J225" s="248"/>
      <c r="K225" s="248"/>
      <c r="L225" s="248"/>
      <c r="M225" s="248"/>
      <c r="N225" s="1397"/>
      <c r="O225" s="248"/>
      <c r="P225" s="248"/>
      <c r="Q225" s="248"/>
      <c r="R225" s="248"/>
      <c r="S225" s="71"/>
      <c r="T225" s="71"/>
      <c r="U225" s="71"/>
      <c r="V225" s="71"/>
      <c r="W225" s="71"/>
      <c r="X225" s="71"/>
      <c r="Y225" s="71"/>
      <c r="Z225" s="71"/>
      <c r="AA225" s="152"/>
    </row>
    <row r="226" spans="1:27" hidden="1" outlineLevel="1">
      <c r="A226" s="3"/>
      <c r="B226" s="3"/>
      <c r="C226" s="29"/>
      <c r="D226" s="133">
        <f>Asset11</f>
        <v>0</v>
      </c>
      <c r="E226" s="3"/>
      <c r="F226" s="3"/>
      <c r="G226" s="1393">
        <f>'Capital Base roll forward'!G936</f>
        <v>0</v>
      </c>
      <c r="H226" s="248"/>
      <c r="I226" s="248"/>
      <c r="J226" s="248"/>
      <c r="K226" s="248"/>
      <c r="L226" s="248"/>
      <c r="M226" s="248"/>
      <c r="N226" s="1397"/>
      <c r="O226" s="248"/>
      <c r="P226" s="248"/>
      <c r="Q226" s="248"/>
      <c r="R226" s="248"/>
      <c r="S226" s="71"/>
      <c r="T226" s="71"/>
      <c r="U226" s="71"/>
      <c r="V226" s="71"/>
      <c r="W226" s="71"/>
      <c r="X226" s="71"/>
      <c r="Y226" s="71"/>
      <c r="Z226" s="71"/>
      <c r="AA226" s="152"/>
    </row>
    <row r="227" spans="1:27" hidden="1" outlineLevel="1">
      <c r="A227" s="3"/>
      <c r="B227" s="3"/>
      <c r="C227" s="29"/>
      <c r="D227" s="133">
        <f>Asset12</f>
        <v>0</v>
      </c>
      <c r="E227" s="3"/>
      <c r="F227" s="3"/>
      <c r="G227" s="1393">
        <f>'Capital Base roll forward'!G937</f>
        <v>0</v>
      </c>
      <c r="H227" s="248"/>
      <c r="I227" s="248"/>
      <c r="J227" s="248"/>
      <c r="K227" s="248"/>
      <c r="L227" s="248"/>
      <c r="M227" s="248"/>
      <c r="N227" s="1397"/>
      <c r="O227" s="248"/>
      <c r="P227" s="248"/>
      <c r="Q227" s="248"/>
      <c r="R227" s="248"/>
      <c r="S227" s="71"/>
      <c r="T227" s="71"/>
      <c r="U227" s="71"/>
      <c r="V227" s="71"/>
      <c r="W227" s="71"/>
      <c r="X227" s="71"/>
      <c r="Y227" s="71"/>
      <c r="Z227" s="71"/>
      <c r="AA227" s="152"/>
    </row>
    <row r="228" spans="1:27" hidden="1" outlineLevel="1">
      <c r="A228" s="3"/>
      <c r="B228" s="3"/>
      <c r="C228" s="29"/>
      <c r="D228" s="133">
        <f>Asset13</f>
        <v>0</v>
      </c>
      <c r="E228" s="3"/>
      <c r="F228" s="3"/>
      <c r="G228" s="1393">
        <f>'Capital Base roll forward'!G938</f>
        <v>0</v>
      </c>
      <c r="H228" s="248"/>
      <c r="I228" s="248"/>
      <c r="J228" s="248"/>
      <c r="K228" s="248"/>
      <c r="L228" s="248"/>
      <c r="M228" s="248"/>
      <c r="N228" s="1397"/>
      <c r="O228" s="248"/>
      <c r="P228" s="248"/>
      <c r="Q228" s="248"/>
      <c r="R228" s="248"/>
      <c r="S228" s="71"/>
      <c r="T228" s="71"/>
      <c r="U228" s="71"/>
      <c r="V228" s="71"/>
      <c r="W228" s="71"/>
      <c r="X228" s="71"/>
      <c r="Y228" s="71"/>
      <c r="Z228" s="71"/>
      <c r="AA228" s="152"/>
    </row>
    <row r="229" spans="1:27" hidden="1" outlineLevel="1">
      <c r="A229" s="3"/>
      <c r="B229" s="3"/>
      <c r="C229" s="29"/>
      <c r="D229" s="133">
        <f>Asset14</f>
        <v>0</v>
      </c>
      <c r="E229" s="3"/>
      <c r="F229" s="3"/>
      <c r="G229" s="1393">
        <f>'Capital Base roll forward'!G939</f>
        <v>0</v>
      </c>
      <c r="H229" s="248"/>
      <c r="I229" s="248"/>
      <c r="J229" s="248"/>
      <c r="K229" s="248"/>
      <c r="L229" s="248"/>
      <c r="M229" s="248"/>
      <c r="N229" s="1397"/>
      <c r="O229" s="248"/>
      <c r="P229" s="248"/>
      <c r="Q229" s="248"/>
      <c r="R229" s="248"/>
      <c r="S229" s="71"/>
      <c r="T229" s="71"/>
      <c r="U229" s="71"/>
      <c r="V229" s="71"/>
      <c r="W229" s="71"/>
      <c r="X229" s="71"/>
      <c r="Y229" s="71"/>
      <c r="Z229" s="71"/>
      <c r="AA229" s="152"/>
    </row>
    <row r="230" spans="1:27" hidden="1" outlineLevel="1">
      <c r="A230" s="3"/>
      <c r="B230" s="3"/>
      <c r="C230" s="29"/>
      <c r="D230" s="133">
        <f>Asset15</f>
        <v>0</v>
      </c>
      <c r="E230" s="3"/>
      <c r="F230" s="3"/>
      <c r="G230" s="1393">
        <f>'Capital Base roll forward'!G940</f>
        <v>0</v>
      </c>
      <c r="H230" s="248"/>
      <c r="I230" s="248"/>
      <c r="J230" s="248"/>
      <c r="K230" s="248"/>
      <c r="L230" s="248"/>
      <c r="M230" s="248"/>
      <c r="N230" s="1397"/>
      <c r="O230" s="248"/>
      <c r="P230" s="248"/>
      <c r="Q230" s="248"/>
      <c r="R230" s="248"/>
      <c r="S230" s="71"/>
      <c r="T230" s="71"/>
      <c r="U230" s="71"/>
      <c r="V230" s="71"/>
      <c r="W230" s="71"/>
      <c r="X230" s="71"/>
      <c r="Y230" s="71"/>
      <c r="Z230" s="71"/>
      <c r="AA230" s="152"/>
    </row>
    <row r="231" spans="1:27" hidden="1" outlineLevel="1">
      <c r="A231" s="3"/>
      <c r="B231" s="3"/>
      <c r="C231" s="29"/>
      <c r="D231" s="133">
        <f>Asset16</f>
        <v>0</v>
      </c>
      <c r="E231" s="3"/>
      <c r="F231" s="3"/>
      <c r="G231" s="1393">
        <f>'Capital Base roll forward'!G941</f>
        <v>0</v>
      </c>
      <c r="H231" s="248"/>
      <c r="I231" s="248"/>
      <c r="J231" s="248"/>
      <c r="K231" s="248"/>
      <c r="L231" s="248"/>
      <c r="M231" s="248"/>
      <c r="N231" s="1397"/>
      <c r="O231" s="248"/>
      <c r="P231" s="248"/>
      <c r="Q231" s="248"/>
      <c r="R231" s="248"/>
      <c r="S231" s="71"/>
      <c r="T231" s="71"/>
      <c r="U231" s="71"/>
      <c r="V231" s="71"/>
      <c r="W231" s="71"/>
      <c r="X231" s="71"/>
      <c r="Y231" s="71"/>
      <c r="Z231" s="71"/>
      <c r="AA231" s="152"/>
    </row>
    <row r="232" spans="1:27" hidden="1" outlineLevel="1">
      <c r="A232" s="3"/>
      <c r="B232" s="3"/>
      <c r="C232" s="29"/>
      <c r="D232" s="133">
        <f>Asset17</f>
        <v>0</v>
      </c>
      <c r="E232" s="3"/>
      <c r="F232" s="3"/>
      <c r="G232" s="1393">
        <f>'Capital Base roll forward'!G942</f>
        <v>0</v>
      </c>
      <c r="H232" s="248"/>
      <c r="I232" s="248"/>
      <c r="J232" s="248"/>
      <c r="K232" s="248"/>
      <c r="L232" s="248"/>
      <c r="M232" s="248"/>
      <c r="N232" s="1397"/>
      <c r="O232" s="248"/>
      <c r="P232" s="248"/>
      <c r="Q232" s="248"/>
      <c r="R232" s="248"/>
      <c r="S232" s="71"/>
      <c r="T232" s="71"/>
      <c r="U232" s="71"/>
      <c r="V232" s="71"/>
      <c r="W232" s="71"/>
      <c r="X232" s="71"/>
      <c r="Y232" s="71"/>
      <c r="Z232" s="71"/>
      <c r="AA232" s="152"/>
    </row>
    <row r="233" spans="1:27" hidden="1" outlineLevel="1">
      <c r="A233" s="3"/>
      <c r="B233" s="3"/>
      <c r="C233" s="29"/>
      <c r="D233" s="133">
        <f>Asset18</f>
        <v>0</v>
      </c>
      <c r="E233" s="3"/>
      <c r="F233" s="3"/>
      <c r="G233" s="1393">
        <f>'Capital Base roll forward'!G943</f>
        <v>0</v>
      </c>
      <c r="H233" s="248"/>
      <c r="I233" s="248"/>
      <c r="J233" s="248"/>
      <c r="K233" s="248"/>
      <c r="L233" s="248"/>
      <c r="M233" s="248"/>
      <c r="N233" s="1397"/>
      <c r="O233" s="248"/>
      <c r="P233" s="248"/>
      <c r="Q233" s="248"/>
      <c r="R233" s="248"/>
      <c r="S233" s="71"/>
      <c r="T233" s="71"/>
      <c r="U233" s="71"/>
      <c r="V233" s="71"/>
      <c r="W233" s="71"/>
      <c r="X233" s="71"/>
      <c r="Y233" s="71"/>
      <c r="Z233" s="71"/>
      <c r="AA233" s="152"/>
    </row>
    <row r="234" spans="1:27" hidden="1" outlineLevel="1">
      <c r="A234" s="3"/>
      <c r="B234" s="3"/>
      <c r="C234" s="29"/>
      <c r="D234" s="133">
        <f>Asset19</f>
        <v>0</v>
      </c>
      <c r="E234" s="3"/>
      <c r="F234" s="3"/>
      <c r="G234" s="1393">
        <f>'Capital Base roll forward'!G944</f>
        <v>0</v>
      </c>
      <c r="H234" s="248"/>
      <c r="I234" s="248"/>
      <c r="J234" s="248"/>
      <c r="K234" s="248"/>
      <c r="L234" s="248"/>
      <c r="M234" s="248"/>
      <c r="N234" s="1397"/>
      <c r="O234" s="248"/>
      <c r="P234" s="248"/>
      <c r="Q234" s="248"/>
      <c r="R234" s="248"/>
      <c r="S234" s="71"/>
      <c r="T234" s="71"/>
      <c r="U234" s="71"/>
      <c r="V234" s="71"/>
      <c r="W234" s="71"/>
      <c r="X234" s="71"/>
      <c r="Y234" s="71"/>
      <c r="Z234" s="71"/>
      <c r="AA234" s="152"/>
    </row>
    <row r="235" spans="1:27" hidden="1" outlineLevel="1">
      <c r="A235" s="3"/>
      <c r="B235" s="3"/>
      <c r="C235" s="29"/>
      <c r="D235" s="133">
        <f>Asset20</f>
        <v>0</v>
      </c>
      <c r="E235" s="3"/>
      <c r="F235" s="3"/>
      <c r="G235" s="1393">
        <f>'Capital Base roll forward'!G945</f>
        <v>0</v>
      </c>
      <c r="H235" s="248"/>
      <c r="I235" s="248"/>
      <c r="J235" s="248"/>
      <c r="K235" s="248"/>
      <c r="L235" s="248"/>
      <c r="M235" s="248"/>
      <c r="N235" s="1397"/>
      <c r="O235" s="248"/>
      <c r="P235" s="248"/>
      <c r="Q235" s="248"/>
      <c r="R235" s="248"/>
      <c r="S235" s="71"/>
      <c r="T235" s="71"/>
      <c r="U235" s="71"/>
      <c r="V235" s="71"/>
      <c r="W235" s="71"/>
      <c r="X235" s="71"/>
      <c r="Y235" s="71"/>
      <c r="Z235" s="71"/>
      <c r="AA235" s="152"/>
    </row>
    <row r="236" spans="1:27" hidden="1" outlineLevel="1">
      <c r="A236" s="3"/>
      <c r="B236" s="3"/>
      <c r="C236" s="29"/>
      <c r="D236" s="133">
        <f>Asset21</f>
        <v>0</v>
      </c>
      <c r="E236" s="3"/>
      <c r="F236" s="3"/>
      <c r="G236" s="1393">
        <f>'Capital Base roll forward'!G946</f>
        <v>0</v>
      </c>
      <c r="H236" s="248"/>
      <c r="I236" s="248"/>
      <c r="J236" s="248"/>
      <c r="K236" s="248"/>
      <c r="L236" s="248"/>
      <c r="M236" s="248"/>
      <c r="N236" s="1397"/>
      <c r="O236" s="248"/>
      <c r="P236" s="248"/>
      <c r="Q236" s="248"/>
      <c r="R236" s="248"/>
      <c r="S236" s="71"/>
      <c r="T236" s="71"/>
      <c r="U236" s="71"/>
      <c r="V236" s="71"/>
      <c r="W236" s="71"/>
      <c r="X236" s="71"/>
      <c r="Y236" s="71"/>
      <c r="Z236" s="71"/>
      <c r="AA236" s="152"/>
    </row>
    <row r="237" spans="1:27" hidden="1" outlineLevel="1">
      <c r="A237" s="3"/>
      <c r="B237" s="3"/>
      <c r="C237" s="29"/>
      <c r="D237" s="133">
        <f>Asset22</f>
        <v>0</v>
      </c>
      <c r="E237" s="3"/>
      <c r="F237" s="3"/>
      <c r="G237" s="1393">
        <f>'Capital Base roll forward'!G947</f>
        <v>0</v>
      </c>
      <c r="H237" s="248"/>
      <c r="I237" s="248"/>
      <c r="J237" s="248"/>
      <c r="K237" s="248"/>
      <c r="L237" s="248"/>
      <c r="M237" s="248"/>
      <c r="N237" s="1397"/>
      <c r="O237" s="248"/>
      <c r="P237" s="248"/>
      <c r="Q237" s="248"/>
      <c r="R237" s="248"/>
      <c r="S237" s="71"/>
      <c r="T237" s="71"/>
      <c r="U237" s="71"/>
      <c r="V237" s="71"/>
      <c r="W237" s="71"/>
      <c r="X237" s="71"/>
      <c r="Y237" s="71"/>
      <c r="Z237" s="71"/>
      <c r="AA237" s="152"/>
    </row>
    <row r="238" spans="1:27" hidden="1" outlineLevel="1">
      <c r="A238" s="3"/>
      <c r="B238" s="3"/>
      <c r="C238" s="29"/>
      <c r="D238" s="133">
        <f>Asset23</f>
        <v>0</v>
      </c>
      <c r="E238" s="3"/>
      <c r="F238" s="3"/>
      <c r="G238" s="1393">
        <f>'Capital Base roll forward'!G948</f>
        <v>0</v>
      </c>
      <c r="H238" s="248"/>
      <c r="I238" s="248"/>
      <c r="J238" s="248"/>
      <c r="K238" s="248"/>
      <c r="L238" s="248"/>
      <c r="M238" s="248"/>
      <c r="N238" s="1397"/>
      <c r="O238" s="248"/>
      <c r="P238" s="248"/>
      <c r="Q238" s="248"/>
      <c r="R238" s="248"/>
      <c r="S238" s="71"/>
      <c r="T238" s="71"/>
      <c r="U238" s="71"/>
      <c r="V238" s="71"/>
      <c r="W238" s="71"/>
      <c r="X238" s="71"/>
      <c r="Y238" s="71"/>
      <c r="Z238" s="71"/>
      <c r="AA238" s="152"/>
    </row>
    <row r="239" spans="1:27" hidden="1" outlineLevel="1">
      <c r="A239" s="3"/>
      <c r="B239" s="3"/>
      <c r="C239" s="29"/>
      <c r="D239" s="133">
        <f>Asset24</f>
        <v>0</v>
      </c>
      <c r="E239" s="3"/>
      <c r="F239" s="3"/>
      <c r="G239" s="1393">
        <f>'Capital Base roll forward'!G949</f>
        <v>0</v>
      </c>
      <c r="H239" s="248"/>
      <c r="I239" s="248"/>
      <c r="J239" s="248"/>
      <c r="K239" s="248"/>
      <c r="L239" s="248"/>
      <c r="M239" s="248"/>
      <c r="N239" s="1397"/>
      <c r="O239" s="248"/>
      <c r="P239" s="248"/>
      <c r="Q239" s="248"/>
      <c r="R239" s="248"/>
      <c r="S239" s="71"/>
      <c r="T239" s="71"/>
      <c r="U239" s="71"/>
      <c r="V239" s="71"/>
      <c r="W239" s="71"/>
      <c r="X239" s="71"/>
      <c r="Y239" s="71"/>
      <c r="Z239" s="71"/>
      <c r="AA239" s="152"/>
    </row>
    <row r="240" spans="1:27" hidden="1" outlineLevel="1">
      <c r="A240" s="3"/>
      <c r="B240" s="3"/>
      <c r="C240" s="29"/>
      <c r="D240" s="133">
        <f>Asset25</f>
        <v>0</v>
      </c>
      <c r="E240" s="3"/>
      <c r="F240" s="3"/>
      <c r="G240" s="1393">
        <f>'Capital Base roll forward'!G950</f>
        <v>0</v>
      </c>
      <c r="H240" s="248"/>
      <c r="I240" s="248"/>
      <c r="J240" s="248"/>
      <c r="K240" s="248"/>
      <c r="L240" s="248"/>
      <c r="M240" s="248"/>
      <c r="N240" s="1397"/>
      <c r="O240" s="248"/>
      <c r="P240" s="248"/>
      <c r="Q240" s="248"/>
      <c r="R240" s="248"/>
      <c r="S240" s="71"/>
      <c r="T240" s="71"/>
      <c r="U240" s="71"/>
      <c r="V240" s="71"/>
      <c r="W240" s="71"/>
      <c r="X240" s="71"/>
      <c r="Y240" s="71"/>
      <c r="Z240" s="71"/>
      <c r="AA240" s="152"/>
    </row>
    <row r="241" spans="1:27" hidden="1" outlineLevel="1">
      <c r="A241" s="3"/>
      <c r="B241" s="3"/>
      <c r="C241" s="29"/>
      <c r="D241" s="133">
        <f>Asset26</f>
        <v>0</v>
      </c>
      <c r="E241" s="3"/>
      <c r="F241" s="3"/>
      <c r="G241" s="1393">
        <f>'Capital Base roll forward'!G951</f>
        <v>0</v>
      </c>
      <c r="H241" s="248"/>
      <c r="I241" s="248"/>
      <c r="J241" s="248"/>
      <c r="K241" s="248"/>
      <c r="L241" s="248"/>
      <c r="M241" s="248"/>
      <c r="N241" s="1397"/>
      <c r="O241" s="248"/>
      <c r="P241" s="248"/>
      <c r="Q241" s="248"/>
      <c r="R241" s="248"/>
      <c r="S241" s="71"/>
      <c r="T241" s="71"/>
      <c r="U241" s="71"/>
      <c r="V241" s="71"/>
      <c r="W241" s="71"/>
      <c r="X241" s="71"/>
      <c r="Y241" s="71"/>
      <c r="Z241" s="71"/>
      <c r="AA241" s="152"/>
    </row>
    <row r="242" spans="1:27" hidden="1" outlineLevel="1">
      <c r="A242" s="3"/>
      <c r="B242" s="3"/>
      <c r="C242" s="29"/>
      <c r="D242" s="133">
        <f>Asset27</f>
        <v>0</v>
      </c>
      <c r="E242" s="3"/>
      <c r="F242" s="3"/>
      <c r="G242" s="1393">
        <f>'Capital Base roll forward'!G952</f>
        <v>0</v>
      </c>
      <c r="H242" s="248"/>
      <c r="I242" s="248"/>
      <c r="J242" s="248"/>
      <c r="K242" s="248"/>
      <c r="L242" s="248"/>
      <c r="M242" s="248"/>
      <c r="N242" s="1397"/>
      <c r="O242" s="248"/>
      <c r="P242" s="248"/>
      <c r="Q242" s="248"/>
      <c r="R242" s="248"/>
      <c r="S242" s="71"/>
      <c r="T242" s="71"/>
      <c r="U242" s="71"/>
      <c r="V242" s="71"/>
      <c r="W242" s="71"/>
      <c r="X242" s="71"/>
      <c r="Y242" s="71"/>
      <c r="Z242" s="71"/>
      <c r="AA242" s="152"/>
    </row>
    <row r="243" spans="1:27" hidden="1" outlineLevel="1">
      <c r="A243" s="3"/>
      <c r="B243" s="3"/>
      <c r="C243" s="29"/>
      <c r="D243" s="133">
        <f>Asset28</f>
        <v>0</v>
      </c>
      <c r="E243" s="3"/>
      <c r="F243" s="3"/>
      <c r="G243" s="1393">
        <f>'Capital Base roll forward'!G953</f>
        <v>0</v>
      </c>
      <c r="H243" s="248"/>
      <c r="I243" s="248"/>
      <c r="J243" s="248"/>
      <c r="K243" s="248"/>
      <c r="L243" s="248"/>
      <c r="M243" s="248"/>
      <c r="N243" s="1397"/>
      <c r="O243" s="248"/>
      <c r="P243" s="248"/>
      <c r="Q243" s="248"/>
      <c r="R243" s="248"/>
      <c r="S243" s="71"/>
      <c r="T243" s="71"/>
      <c r="U243" s="71"/>
      <c r="V243" s="71"/>
      <c r="W243" s="71"/>
      <c r="X243" s="71"/>
      <c r="Y243" s="71"/>
      <c r="Z243" s="71"/>
      <c r="AA243" s="152"/>
    </row>
    <row r="244" spans="1:27" hidden="1" outlineLevel="1">
      <c r="A244" s="3"/>
      <c r="B244" s="3"/>
      <c r="C244" s="29"/>
      <c r="D244" s="133">
        <f>Asset29</f>
        <v>0</v>
      </c>
      <c r="E244" s="3"/>
      <c r="F244" s="3"/>
      <c r="G244" s="1393">
        <f>'Capital Base roll forward'!G954</f>
        <v>0</v>
      </c>
      <c r="H244" s="248"/>
      <c r="I244" s="248"/>
      <c r="J244" s="248"/>
      <c r="K244" s="248"/>
      <c r="L244" s="248"/>
      <c r="M244" s="248"/>
      <c r="N244" s="1397"/>
      <c r="O244" s="248"/>
      <c r="P244" s="248"/>
      <c r="Q244" s="248"/>
      <c r="R244" s="248"/>
      <c r="S244" s="71"/>
      <c r="T244" s="71"/>
      <c r="U244" s="71"/>
      <c r="V244" s="71"/>
      <c r="W244" s="71"/>
      <c r="X244" s="71"/>
      <c r="Y244" s="71"/>
      <c r="Z244" s="71"/>
      <c r="AA244" s="152"/>
    </row>
    <row r="245" spans="1:27" hidden="1" outlineLevel="1">
      <c r="A245" s="3"/>
      <c r="B245" s="3"/>
      <c r="C245" s="29"/>
      <c r="D245" s="133">
        <f>Asset30</f>
        <v>0</v>
      </c>
      <c r="E245" s="3"/>
      <c r="F245" s="3"/>
      <c r="G245" s="1393">
        <f>'Capital Base roll forward'!G955</f>
        <v>0</v>
      </c>
      <c r="H245" s="248"/>
      <c r="I245" s="248"/>
      <c r="J245" s="248"/>
      <c r="K245" s="248"/>
      <c r="L245" s="248"/>
      <c r="M245" s="248"/>
      <c r="N245" s="1397"/>
      <c r="O245" s="248"/>
      <c r="P245" s="248"/>
      <c r="Q245" s="248"/>
      <c r="R245" s="248"/>
      <c r="S245" s="71"/>
      <c r="T245" s="71"/>
      <c r="U245" s="71"/>
      <c r="V245" s="71"/>
      <c r="W245" s="71"/>
      <c r="X245" s="71"/>
      <c r="Y245" s="71"/>
      <c r="Z245" s="71"/>
      <c r="AA245" s="152"/>
    </row>
    <row r="246" spans="1:27" hidden="1" outlineLevel="1">
      <c r="A246" s="3"/>
      <c r="B246" s="3"/>
      <c r="C246" s="29"/>
      <c r="D246" s="133">
        <f>Asset31</f>
        <v>0</v>
      </c>
      <c r="E246" s="3"/>
      <c r="F246" s="3"/>
      <c r="G246" s="1393">
        <f>'Capital Base roll forward'!G956</f>
        <v>0</v>
      </c>
      <c r="H246" s="248"/>
      <c r="I246" s="248"/>
      <c r="J246" s="248"/>
      <c r="K246" s="248"/>
      <c r="L246" s="248"/>
      <c r="M246" s="248"/>
      <c r="N246" s="1397"/>
      <c r="O246" s="248"/>
      <c r="P246" s="248"/>
      <c r="Q246" s="248"/>
      <c r="R246" s="248"/>
      <c r="S246" s="71"/>
      <c r="T246" s="71"/>
      <c r="U246" s="71"/>
      <c r="V246" s="71"/>
      <c r="W246" s="71"/>
      <c r="X246" s="71"/>
      <c r="Y246" s="71"/>
      <c r="Z246" s="71"/>
      <c r="AA246" s="152"/>
    </row>
    <row r="247" spans="1:27" hidden="1" outlineLevel="1">
      <c r="A247" s="3"/>
      <c r="B247" s="3"/>
      <c r="C247" s="29"/>
      <c r="D247" s="133">
        <f>Asset32</f>
        <v>0</v>
      </c>
      <c r="E247" s="3"/>
      <c r="F247" s="3"/>
      <c r="G247" s="1393">
        <f>'Capital Base roll forward'!G957</f>
        <v>0</v>
      </c>
      <c r="H247" s="248"/>
      <c r="I247" s="248"/>
      <c r="J247" s="248"/>
      <c r="K247" s="248"/>
      <c r="L247" s="248"/>
      <c r="M247" s="248"/>
      <c r="N247" s="1397"/>
      <c r="O247" s="248"/>
      <c r="P247" s="248"/>
      <c r="Q247" s="248"/>
      <c r="R247" s="248"/>
      <c r="S247" s="71"/>
      <c r="T247" s="71"/>
      <c r="U247" s="71"/>
      <c r="V247" s="71"/>
      <c r="W247" s="71"/>
      <c r="X247" s="71"/>
      <c r="Y247" s="71"/>
      <c r="Z247" s="71"/>
      <c r="AA247" s="152"/>
    </row>
    <row r="248" spans="1:27" hidden="1" outlineLevel="1">
      <c r="A248" s="3"/>
      <c r="B248" s="3"/>
      <c r="C248" s="29"/>
      <c r="D248" s="133">
        <f>Asset33</f>
        <v>0</v>
      </c>
      <c r="E248" s="3"/>
      <c r="F248" s="3"/>
      <c r="G248" s="1393">
        <f>'Capital Base roll forward'!G958</f>
        <v>0</v>
      </c>
      <c r="H248" s="248"/>
      <c r="I248" s="248"/>
      <c r="J248" s="248"/>
      <c r="K248" s="248"/>
      <c r="L248" s="248"/>
      <c r="M248" s="248"/>
      <c r="N248" s="1397"/>
      <c r="O248" s="248"/>
      <c r="P248" s="248"/>
      <c r="Q248" s="248"/>
      <c r="R248" s="248"/>
      <c r="S248" s="71"/>
      <c r="T248" s="71"/>
      <c r="U248" s="71"/>
      <c r="V248" s="71"/>
      <c r="W248" s="71"/>
      <c r="X248" s="71"/>
      <c r="Y248" s="71"/>
      <c r="Z248" s="71"/>
      <c r="AA248" s="152"/>
    </row>
    <row r="249" spans="1:27" hidden="1" outlineLevel="1">
      <c r="A249" s="3"/>
      <c r="B249" s="3"/>
      <c r="C249" s="29"/>
      <c r="D249" s="133">
        <f>Asset34</f>
        <v>0</v>
      </c>
      <c r="E249" s="3"/>
      <c r="F249" s="3"/>
      <c r="G249" s="1393">
        <f>'Capital Base roll forward'!G959</f>
        <v>0</v>
      </c>
      <c r="H249" s="248"/>
      <c r="I249" s="248"/>
      <c r="J249" s="248"/>
      <c r="K249" s="248"/>
      <c r="L249" s="248"/>
      <c r="M249" s="248"/>
      <c r="N249" s="1397"/>
      <c r="O249" s="248"/>
      <c r="P249" s="248"/>
      <c r="Q249" s="248"/>
      <c r="R249" s="248"/>
      <c r="S249" s="71"/>
      <c r="T249" s="71"/>
      <c r="U249" s="71"/>
      <c r="V249" s="71"/>
      <c r="W249" s="71"/>
      <c r="X249" s="71"/>
      <c r="Y249" s="71"/>
      <c r="Z249" s="71"/>
      <c r="AA249" s="152"/>
    </row>
    <row r="250" spans="1:27" hidden="1" outlineLevel="1">
      <c r="A250" s="3"/>
      <c r="B250" s="3"/>
      <c r="C250" s="29"/>
      <c r="D250" s="133">
        <f>Asset35</f>
        <v>0</v>
      </c>
      <c r="E250" s="3"/>
      <c r="F250" s="3"/>
      <c r="G250" s="1393">
        <f>'Capital Base roll forward'!G960</f>
        <v>0</v>
      </c>
      <c r="H250" s="248"/>
      <c r="I250" s="248"/>
      <c r="J250" s="248"/>
      <c r="K250" s="248"/>
      <c r="L250" s="248"/>
      <c r="M250" s="248"/>
      <c r="N250" s="1397"/>
      <c r="O250" s="248"/>
      <c r="P250" s="248"/>
      <c r="Q250" s="248"/>
      <c r="R250" s="248"/>
      <c r="S250" s="71"/>
      <c r="T250" s="71"/>
      <c r="U250" s="71"/>
      <c r="V250" s="71"/>
      <c r="W250" s="71"/>
      <c r="X250" s="71"/>
      <c r="Y250" s="71"/>
      <c r="Z250" s="71"/>
      <c r="AA250" s="152"/>
    </row>
    <row r="251" spans="1:27" hidden="1" outlineLevel="1">
      <c r="A251" s="3"/>
      <c r="B251" s="3"/>
      <c r="C251" s="29"/>
      <c r="D251" s="133">
        <f>Asset36</f>
        <v>0</v>
      </c>
      <c r="E251" s="3"/>
      <c r="F251" s="3"/>
      <c r="G251" s="1393">
        <f>'Capital Base roll forward'!G961</f>
        <v>0</v>
      </c>
      <c r="H251" s="248"/>
      <c r="I251" s="248"/>
      <c r="J251" s="248"/>
      <c r="K251" s="248"/>
      <c r="L251" s="248"/>
      <c r="M251" s="248"/>
      <c r="N251" s="1397"/>
      <c r="O251" s="248"/>
      <c r="P251" s="248"/>
      <c r="Q251" s="248"/>
      <c r="R251" s="248"/>
      <c r="S251" s="71"/>
      <c r="T251" s="71"/>
      <c r="U251" s="71"/>
      <c r="V251" s="71"/>
      <c r="W251" s="71"/>
      <c r="X251" s="71"/>
      <c r="Y251" s="71"/>
      <c r="Z251" s="71"/>
      <c r="AA251" s="152"/>
    </row>
    <row r="252" spans="1:27" hidden="1" outlineLevel="1">
      <c r="A252" s="3"/>
      <c r="B252" s="3"/>
      <c r="C252" s="29"/>
      <c r="D252" s="133">
        <f>Asset37</f>
        <v>0</v>
      </c>
      <c r="E252" s="3"/>
      <c r="F252" s="3"/>
      <c r="G252" s="1393">
        <f>'Capital Base roll forward'!G962</f>
        <v>0</v>
      </c>
      <c r="H252" s="248"/>
      <c r="I252" s="248"/>
      <c r="J252" s="248"/>
      <c r="K252" s="248"/>
      <c r="L252" s="248"/>
      <c r="M252" s="248"/>
      <c r="N252" s="1397"/>
      <c r="O252" s="248"/>
      <c r="P252" s="248"/>
      <c r="Q252" s="248"/>
      <c r="R252" s="248"/>
      <c r="S252" s="71"/>
      <c r="T252" s="71"/>
      <c r="U252" s="71"/>
      <c r="V252" s="71"/>
      <c r="W252" s="71"/>
      <c r="X252" s="71"/>
      <c r="Y252" s="71"/>
      <c r="Z252" s="71"/>
      <c r="AA252" s="152"/>
    </row>
    <row r="253" spans="1:27" hidden="1" outlineLevel="1">
      <c r="A253" s="3"/>
      <c r="B253" s="3"/>
      <c r="C253" s="29"/>
      <c r="D253" s="133">
        <f>Asset38</f>
        <v>0</v>
      </c>
      <c r="E253" s="3"/>
      <c r="F253" s="3"/>
      <c r="G253" s="1393">
        <f>'Capital Base roll forward'!G963</f>
        <v>0</v>
      </c>
      <c r="H253" s="248"/>
      <c r="I253" s="248"/>
      <c r="J253" s="248"/>
      <c r="K253" s="248"/>
      <c r="L253" s="248"/>
      <c r="M253" s="248"/>
      <c r="N253" s="1397"/>
      <c r="O253" s="248"/>
      <c r="P253" s="248"/>
      <c r="Q253" s="248"/>
      <c r="R253" s="248"/>
      <c r="S253" s="71"/>
      <c r="T253" s="71"/>
      <c r="U253" s="71"/>
      <c r="V253" s="71"/>
      <c r="W253" s="71"/>
      <c r="X253" s="71"/>
      <c r="Y253" s="71"/>
      <c r="Z253" s="71"/>
      <c r="AA253" s="152"/>
    </row>
    <row r="254" spans="1:27" hidden="1" outlineLevel="1">
      <c r="A254" s="3"/>
      <c r="B254" s="3"/>
      <c r="C254" s="29"/>
      <c r="D254" s="133">
        <f>Asset39</f>
        <v>0</v>
      </c>
      <c r="E254" s="3"/>
      <c r="F254" s="3"/>
      <c r="G254" s="1393">
        <f>'Capital Base roll forward'!G964</f>
        <v>0</v>
      </c>
      <c r="H254" s="248"/>
      <c r="I254" s="248"/>
      <c r="J254" s="248"/>
      <c r="K254" s="248"/>
      <c r="L254" s="248"/>
      <c r="M254" s="248"/>
      <c r="N254" s="1397"/>
      <c r="O254" s="248"/>
      <c r="P254" s="248"/>
      <c r="Q254" s="248"/>
      <c r="R254" s="248"/>
      <c r="S254" s="71"/>
      <c r="T254" s="71"/>
      <c r="U254" s="71"/>
      <c r="V254" s="71"/>
      <c r="W254" s="71"/>
      <c r="X254" s="71"/>
      <c r="Y254" s="71"/>
      <c r="Z254" s="71"/>
      <c r="AA254" s="152"/>
    </row>
    <row r="255" spans="1:27" hidden="1" outlineLevel="1">
      <c r="A255" s="3"/>
      <c r="B255" s="3"/>
      <c r="C255" s="29"/>
      <c r="D255" s="133">
        <f>Asset40</f>
        <v>0</v>
      </c>
      <c r="E255" s="3"/>
      <c r="F255" s="3"/>
      <c r="G255" s="1393">
        <f>'Capital Base roll forward'!G965</f>
        <v>0</v>
      </c>
      <c r="H255" s="248"/>
      <c r="I255" s="248"/>
      <c r="J255" s="248"/>
      <c r="K255" s="248"/>
      <c r="L255" s="248"/>
      <c r="M255" s="248"/>
      <c r="N255" s="1397"/>
      <c r="O255" s="248"/>
      <c r="P255" s="248"/>
      <c r="Q255" s="248"/>
      <c r="R255" s="248"/>
      <c r="S255" s="71"/>
      <c r="T255" s="71"/>
      <c r="U255" s="71"/>
      <c r="V255" s="71"/>
      <c r="W255" s="71"/>
      <c r="X255" s="71"/>
      <c r="Y255" s="71"/>
      <c r="Z255" s="71"/>
      <c r="AA255" s="152"/>
    </row>
    <row r="256" spans="1:27" hidden="1" outlineLevel="1">
      <c r="A256" s="3"/>
      <c r="B256" s="3"/>
      <c r="C256" s="29"/>
      <c r="D256" s="133">
        <f>Asset41</f>
        <v>0</v>
      </c>
      <c r="E256" s="3"/>
      <c r="F256" s="3"/>
      <c r="G256" s="1393">
        <f>'Capital Base roll forward'!G966</f>
        <v>0</v>
      </c>
      <c r="H256" s="248"/>
      <c r="I256" s="248"/>
      <c r="J256" s="248"/>
      <c r="K256" s="248"/>
      <c r="L256" s="248"/>
      <c r="M256" s="248"/>
      <c r="N256" s="1397"/>
      <c r="O256" s="248"/>
      <c r="P256" s="248"/>
      <c r="Q256" s="248"/>
      <c r="R256" s="248"/>
      <c r="S256" s="71"/>
      <c r="T256" s="71"/>
      <c r="U256" s="71"/>
      <c r="V256" s="71"/>
      <c r="W256" s="71"/>
      <c r="X256" s="71"/>
      <c r="Y256" s="71"/>
      <c r="Z256" s="71"/>
      <c r="AA256" s="152"/>
    </row>
    <row r="257" spans="1:27" hidden="1" outlineLevel="1">
      <c r="A257" s="3"/>
      <c r="B257" s="3"/>
      <c r="C257" s="29"/>
      <c r="D257" s="133">
        <f>Asset42</f>
        <v>0</v>
      </c>
      <c r="E257" s="3"/>
      <c r="F257" s="3"/>
      <c r="G257" s="1393">
        <f>'Capital Base roll forward'!G967</f>
        <v>0</v>
      </c>
      <c r="H257" s="248"/>
      <c r="I257" s="248"/>
      <c r="J257" s="248"/>
      <c r="K257" s="248"/>
      <c r="L257" s="248"/>
      <c r="M257" s="248"/>
      <c r="N257" s="1397"/>
      <c r="O257" s="248"/>
      <c r="P257" s="248"/>
      <c r="Q257" s="248"/>
      <c r="R257" s="248"/>
      <c r="S257" s="71"/>
      <c r="T257" s="71"/>
      <c r="U257" s="71"/>
      <c r="V257" s="71"/>
      <c r="W257" s="71"/>
      <c r="X257" s="71"/>
      <c r="Y257" s="71"/>
      <c r="Z257" s="71"/>
      <c r="AA257" s="152"/>
    </row>
    <row r="258" spans="1:27" hidden="1" outlineLevel="1">
      <c r="A258" s="3"/>
      <c r="B258" s="3"/>
      <c r="C258" s="29"/>
      <c r="D258" s="133">
        <f>Asset43</f>
        <v>0</v>
      </c>
      <c r="E258" s="3"/>
      <c r="F258" s="3"/>
      <c r="G258" s="1393">
        <f>'Capital Base roll forward'!G968</f>
        <v>0</v>
      </c>
      <c r="H258" s="248"/>
      <c r="I258" s="248"/>
      <c r="J258" s="248"/>
      <c r="K258" s="248"/>
      <c r="L258" s="248"/>
      <c r="M258" s="248"/>
      <c r="N258" s="1397"/>
      <c r="O258" s="248"/>
      <c r="P258" s="248"/>
      <c r="Q258" s="248"/>
      <c r="R258" s="248"/>
      <c r="S258" s="71"/>
      <c r="T258" s="71"/>
      <c r="U258" s="71"/>
      <c r="V258" s="71"/>
      <c r="W258" s="71"/>
      <c r="X258" s="71"/>
      <c r="Y258" s="71"/>
      <c r="Z258" s="71"/>
      <c r="AA258" s="152"/>
    </row>
    <row r="259" spans="1:27" hidden="1" outlineLevel="1">
      <c r="A259" s="3"/>
      <c r="B259" s="3"/>
      <c r="C259" s="29"/>
      <c r="D259" s="133">
        <f>Asset44</f>
        <v>0</v>
      </c>
      <c r="E259" s="3"/>
      <c r="F259" s="3"/>
      <c r="G259" s="1393">
        <f>'Capital Base roll forward'!G969</f>
        <v>0</v>
      </c>
      <c r="H259" s="248"/>
      <c r="I259" s="248"/>
      <c r="J259" s="248"/>
      <c r="K259" s="248"/>
      <c r="L259" s="248"/>
      <c r="M259" s="248"/>
      <c r="N259" s="1397"/>
      <c r="O259" s="248"/>
      <c r="P259" s="248"/>
      <c r="Q259" s="248"/>
      <c r="R259" s="248"/>
      <c r="S259" s="71"/>
      <c r="T259" s="71"/>
      <c r="U259" s="71"/>
      <c r="V259" s="71"/>
      <c r="W259" s="71"/>
      <c r="X259" s="71"/>
      <c r="Y259" s="71"/>
      <c r="Z259" s="71"/>
      <c r="AA259" s="152"/>
    </row>
    <row r="260" spans="1:27" hidden="1" outlineLevel="1">
      <c r="A260" s="3"/>
      <c r="B260" s="3"/>
      <c r="C260" s="29"/>
      <c r="D260" s="133">
        <f>Asset45</f>
        <v>0</v>
      </c>
      <c r="E260" s="3"/>
      <c r="F260" s="3"/>
      <c r="G260" s="1393">
        <f>'Capital Base roll forward'!G970</f>
        <v>0</v>
      </c>
      <c r="H260" s="248"/>
      <c r="I260" s="248"/>
      <c r="J260" s="248"/>
      <c r="K260" s="248"/>
      <c r="L260" s="248"/>
      <c r="M260" s="248"/>
      <c r="N260" s="1397"/>
      <c r="O260" s="248"/>
      <c r="P260" s="248"/>
      <c r="Q260" s="248"/>
      <c r="R260" s="248"/>
      <c r="S260" s="71"/>
      <c r="T260" s="71"/>
      <c r="U260" s="71"/>
      <c r="V260" s="71"/>
      <c r="W260" s="71"/>
      <c r="X260" s="71"/>
      <c r="Y260" s="71"/>
      <c r="Z260" s="71"/>
      <c r="AA260" s="152"/>
    </row>
    <row r="261" spans="1:27" hidden="1" outlineLevel="1">
      <c r="A261" s="3"/>
      <c r="B261" s="3"/>
      <c r="C261" s="29"/>
      <c r="D261" s="133">
        <f>Asset46</f>
        <v>0</v>
      </c>
      <c r="E261" s="3"/>
      <c r="F261" s="3"/>
      <c r="G261" s="1393">
        <f>'Capital Base roll forward'!G971</f>
        <v>0</v>
      </c>
      <c r="H261" s="248"/>
      <c r="I261" s="248"/>
      <c r="J261" s="248"/>
      <c r="K261" s="248"/>
      <c r="L261" s="248"/>
      <c r="M261" s="248"/>
      <c r="N261" s="1397"/>
      <c r="O261" s="248"/>
      <c r="P261" s="248"/>
      <c r="Q261" s="248"/>
      <c r="R261" s="248"/>
      <c r="S261" s="71"/>
      <c r="T261" s="71"/>
      <c r="U261" s="71"/>
      <c r="V261" s="71"/>
      <c r="W261" s="71"/>
      <c r="X261" s="71"/>
      <c r="Y261" s="71"/>
      <c r="Z261" s="71"/>
      <c r="AA261" s="152"/>
    </row>
    <row r="262" spans="1:27" hidden="1" outlineLevel="1">
      <c r="A262" s="3"/>
      <c r="B262" s="3"/>
      <c r="C262" s="29"/>
      <c r="D262" s="133">
        <f>Asset47</f>
        <v>0</v>
      </c>
      <c r="E262" s="3"/>
      <c r="F262" s="3"/>
      <c r="G262" s="1393">
        <f>'Capital Base roll forward'!G972</f>
        <v>0</v>
      </c>
      <c r="H262" s="248"/>
      <c r="I262" s="248"/>
      <c r="J262" s="248"/>
      <c r="K262" s="248"/>
      <c r="L262" s="248"/>
      <c r="M262" s="248"/>
      <c r="N262" s="1397"/>
      <c r="O262" s="248"/>
      <c r="P262" s="248"/>
      <c r="Q262" s="248"/>
      <c r="R262" s="248"/>
      <c r="S262" s="71"/>
      <c r="T262" s="71"/>
      <c r="U262" s="71"/>
      <c r="V262" s="71"/>
      <c r="W262" s="71"/>
      <c r="X262" s="71"/>
      <c r="Y262" s="71"/>
      <c r="Z262" s="71"/>
      <c r="AA262" s="152"/>
    </row>
    <row r="263" spans="1:27" hidden="1" outlineLevel="1">
      <c r="A263" s="3"/>
      <c r="B263" s="3"/>
      <c r="C263" s="29"/>
      <c r="D263" s="133">
        <f>Asset48</f>
        <v>0</v>
      </c>
      <c r="E263" s="3"/>
      <c r="F263" s="3"/>
      <c r="G263" s="1393">
        <f>'Capital Base roll forward'!G973</f>
        <v>0</v>
      </c>
      <c r="H263" s="248"/>
      <c r="I263" s="248"/>
      <c r="J263" s="248"/>
      <c r="K263" s="248"/>
      <c r="L263" s="248"/>
      <c r="M263" s="248"/>
      <c r="N263" s="1397"/>
      <c r="O263" s="248"/>
      <c r="P263" s="248"/>
      <c r="Q263" s="248"/>
      <c r="R263" s="248"/>
      <c r="S263" s="71"/>
      <c r="T263" s="71"/>
      <c r="U263" s="71"/>
      <c r="V263" s="71"/>
      <c r="W263" s="71"/>
      <c r="X263" s="71"/>
      <c r="Y263" s="71"/>
      <c r="Z263" s="71"/>
      <c r="AA263" s="152"/>
    </row>
    <row r="264" spans="1:27" hidden="1" outlineLevel="1">
      <c r="A264" s="3"/>
      <c r="B264" s="3"/>
      <c r="C264" s="29"/>
      <c r="D264" s="133">
        <f>Asset49</f>
        <v>0</v>
      </c>
      <c r="E264" s="3"/>
      <c r="F264" s="3"/>
      <c r="G264" s="1393">
        <f>'Capital Base roll forward'!G974</f>
        <v>0</v>
      </c>
      <c r="H264" s="248"/>
      <c r="I264" s="248"/>
      <c r="J264" s="248"/>
      <c r="K264" s="248"/>
      <c r="L264" s="248"/>
      <c r="M264" s="248"/>
      <c r="N264" s="1397"/>
      <c r="O264" s="248"/>
      <c r="P264" s="248"/>
      <c r="Q264" s="248"/>
      <c r="R264" s="248"/>
      <c r="S264" s="71"/>
      <c r="T264" s="71"/>
      <c r="U264" s="71"/>
      <c r="V264" s="71"/>
      <c r="W264" s="71"/>
      <c r="X264" s="71"/>
      <c r="Y264" s="71"/>
      <c r="Z264" s="71"/>
      <c r="AA264" s="152"/>
    </row>
    <row r="265" spans="1:27" hidden="1" outlineLevel="1">
      <c r="A265" s="3"/>
      <c r="B265" s="3"/>
      <c r="C265" s="29"/>
      <c r="D265" s="133">
        <f>Asset50</f>
        <v>0</v>
      </c>
      <c r="E265" s="3"/>
      <c r="F265" s="3"/>
      <c r="G265" s="1393">
        <f>'Capital Base roll forward'!G975</f>
        <v>0</v>
      </c>
      <c r="H265" s="248"/>
      <c r="I265" s="248"/>
      <c r="J265" s="248"/>
      <c r="K265" s="248"/>
      <c r="L265" s="248"/>
      <c r="M265" s="248"/>
      <c r="N265" s="1397"/>
      <c r="O265" s="248"/>
      <c r="P265" s="248"/>
      <c r="Q265" s="248"/>
      <c r="R265" s="248"/>
      <c r="S265" s="71"/>
      <c r="T265" s="71"/>
      <c r="U265" s="71"/>
      <c r="V265" s="71"/>
      <c r="W265" s="71"/>
      <c r="X265" s="71"/>
      <c r="Y265" s="71"/>
      <c r="Z265" s="71"/>
      <c r="AA265" s="152"/>
    </row>
    <row r="266" spans="1:27" collapsed="1">
      <c r="A266" s="3"/>
      <c r="B266" s="3"/>
      <c r="C266" s="29"/>
      <c r="D266" s="81"/>
      <c r="E266" s="3"/>
      <c r="F266" s="3"/>
      <c r="G266" s="1400"/>
      <c r="H266" s="248"/>
      <c r="I266" s="248"/>
      <c r="J266" s="248"/>
      <c r="K266" s="248"/>
      <c r="L266" s="248"/>
      <c r="M266" s="248"/>
      <c r="N266" s="1397"/>
      <c r="O266" s="248"/>
      <c r="P266" s="248"/>
      <c r="Q266" s="248"/>
      <c r="R266" s="248"/>
      <c r="S266" s="71"/>
      <c r="T266" s="71"/>
      <c r="U266" s="71"/>
      <c r="V266" s="71"/>
      <c r="W266" s="71"/>
      <c r="X266" s="71"/>
      <c r="Y266" s="71"/>
      <c r="Z266" s="71"/>
      <c r="AA266" s="152"/>
    </row>
    <row r="267" spans="1:27">
      <c r="A267" s="3"/>
      <c r="B267" s="3"/>
      <c r="C267" s="155" t="s">
        <v>67</v>
      </c>
      <c r="D267" s="232"/>
      <c r="E267" s="3"/>
      <c r="F267" s="3"/>
      <c r="G267" s="1392">
        <f>SUM(G268:G317)</f>
        <v>0</v>
      </c>
      <c r="H267" s="1341"/>
      <c r="I267" s="1341"/>
      <c r="J267" s="1341"/>
      <c r="K267" s="1341"/>
      <c r="L267" s="1341"/>
      <c r="M267" s="1341"/>
      <c r="N267" s="1397"/>
      <c r="O267" s="248"/>
      <c r="P267" s="248"/>
      <c r="Q267" s="248"/>
      <c r="R267" s="248"/>
      <c r="S267" s="71"/>
      <c r="T267" s="71"/>
      <c r="U267" s="71"/>
      <c r="V267" s="71"/>
      <c r="W267" s="71"/>
      <c r="X267" s="71"/>
      <c r="Y267" s="71"/>
      <c r="Z267" s="71"/>
      <c r="AA267" s="152"/>
    </row>
    <row r="268" spans="1:27" hidden="1" outlineLevel="1">
      <c r="A268" s="3"/>
      <c r="B268" s="3"/>
      <c r="C268" s="29"/>
      <c r="D268" s="133" t="str">
        <f>Asset1</f>
        <v>Mains</v>
      </c>
      <c r="E268" s="3"/>
      <c r="F268" s="3"/>
      <c r="G268" s="1393">
        <f>'Capital Base roll forward'!G978</f>
        <v>0</v>
      </c>
      <c r="H268" s="1341"/>
      <c r="I268" s="1341"/>
      <c r="J268" s="1341"/>
      <c r="K268" s="1341"/>
      <c r="L268" s="1341"/>
      <c r="M268" s="1341"/>
      <c r="N268" s="1397"/>
      <c r="O268" s="248"/>
      <c r="P268" s="248"/>
      <c r="Q268" s="248"/>
      <c r="R268" s="248"/>
      <c r="S268" s="71"/>
      <c r="T268" s="71"/>
      <c r="U268" s="71"/>
      <c r="V268" s="71"/>
      <c r="W268" s="71"/>
      <c r="X268" s="71"/>
      <c r="Y268" s="71"/>
      <c r="Z268" s="71"/>
      <c r="AA268" s="152"/>
    </row>
    <row r="269" spans="1:27" hidden="1" outlineLevel="1">
      <c r="A269" s="3"/>
      <c r="B269" s="3"/>
      <c r="C269" s="29"/>
      <c r="D269" s="133" t="str">
        <f>Asset2</f>
        <v>Inlets</v>
      </c>
      <c r="E269" s="3"/>
      <c r="F269" s="3"/>
      <c r="G269" s="1393">
        <f>'Capital Base roll forward'!G979</f>
        <v>0</v>
      </c>
      <c r="H269" s="1341"/>
      <c r="I269" s="1341"/>
      <c r="J269" s="1341"/>
      <c r="K269" s="1341"/>
      <c r="L269" s="1341"/>
      <c r="M269" s="1341"/>
      <c r="N269" s="1397"/>
      <c r="O269" s="248"/>
      <c r="P269" s="248"/>
      <c r="Q269" s="248"/>
      <c r="R269" s="248"/>
      <c r="S269" s="71"/>
      <c r="T269" s="71"/>
      <c r="U269" s="71"/>
      <c r="V269" s="71"/>
      <c r="W269" s="71"/>
      <c r="X269" s="71"/>
      <c r="Y269" s="71"/>
      <c r="Z269" s="71"/>
      <c r="AA269" s="152"/>
    </row>
    <row r="270" spans="1:27" hidden="1" outlineLevel="1">
      <c r="A270" s="3"/>
      <c r="B270" s="3"/>
      <c r="C270" s="29"/>
      <c r="D270" s="133" t="str">
        <f>Asset3</f>
        <v>Meters</v>
      </c>
      <c r="E270" s="3"/>
      <c r="F270" s="3"/>
      <c r="G270" s="1393">
        <f>'Capital Base roll forward'!G980</f>
        <v>0</v>
      </c>
      <c r="H270" s="1341"/>
      <c r="I270" s="1341"/>
      <c r="J270" s="1341"/>
      <c r="K270" s="1341"/>
      <c r="L270" s="1341"/>
      <c r="M270" s="1341"/>
      <c r="N270" s="1397"/>
      <c r="O270" s="248"/>
      <c r="P270" s="248"/>
      <c r="Q270" s="248"/>
      <c r="R270" s="248"/>
      <c r="S270" s="71"/>
      <c r="T270" s="71"/>
      <c r="U270" s="71"/>
      <c r="V270" s="71"/>
      <c r="W270" s="71"/>
      <c r="X270" s="71"/>
      <c r="Y270" s="71"/>
      <c r="Z270" s="71"/>
      <c r="AA270" s="152"/>
    </row>
    <row r="271" spans="1:27" hidden="1" outlineLevel="1">
      <c r="A271" s="3"/>
      <c r="B271" s="3"/>
      <c r="C271" s="29"/>
      <c r="D271" s="133" t="str">
        <f>Asset4</f>
        <v>Telemetry</v>
      </c>
      <c r="E271" s="3"/>
      <c r="F271" s="3"/>
      <c r="G271" s="1393">
        <f>'Capital Base roll forward'!G981</f>
        <v>0</v>
      </c>
      <c r="H271" s="1341"/>
      <c r="I271" s="1341"/>
      <c r="J271" s="1341"/>
      <c r="K271" s="1341"/>
      <c r="L271" s="1341"/>
      <c r="M271" s="1341"/>
      <c r="N271" s="1397"/>
      <c r="O271" s="248"/>
      <c r="P271" s="248"/>
      <c r="Q271" s="248"/>
      <c r="R271" s="248"/>
      <c r="S271" s="71"/>
      <c r="T271" s="71"/>
      <c r="U271" s="71"/>
      <c r="V271" s="71"/>
      <c r="W271" s="71"/>
      <c r="X271" s="71"/>
      <c r="Y271" s="71"/>
      <c r="Z271" s="71"/>
      <c r="AA271" s="152"/>
    </row>
    <row r="272" spans="1:27" hidden="1" outlineLevel="1">
      <c r="A272" s="3"/>
      <c r="B272" s="3"/>
      <c r="C272" s="29"/>
      <c r="D272" s="133" t="str">
        <f>Asset5</f>
        <v>IT System</v>
      </c>
      <c r="E272" s="3"/>
      <c r="F272" s="3"/>
      <c r="G272" s="1393">
        <f>'Capital Base roll forward'!G982</f>
        <v>0</v>
      </c>
      <c r="H272" s="1341"/>
      <c r="I272" s="1341"/>
      <c r="J272" s="1341"/>
      <c r="K272" s="1341"/>
      <c r="L272" s="1341"/>
      <c r="M272" s="1341"/>
      <c r="N272" s="1397"/>
      <c r="O272" s="248"/>
      <c r="P272" s="248"/>
      <c r="Q272" s="248"/>
      <c r="R272" s="248"/>
      <c r="S272" s="71"/>
      <c r="T272" s="71"/>
      <c r="U272" s="71"/>
      <c r="V272" s="71"/>
      <c r="W272" s="71"/>
      <c r="X272" s="71"/>
      <c r="Y272" s="71"/>
      <c r="Z272" s="71"/>
      <c r="AA272" s="152"/>
    </row>
    <row r="273" spans="1:27" hidden="1" outlineLevel="1">
      <c r="A273" s="3"/>
      <c r="B273" s="3"/>
      <c r="C273" s="29"/>
      <c r="D273" s="133" t="str">
        <f>Asset6</f>
        <v>Other Distribution System Equipment</v>
      </c>
      <c r="E273" s="3"/>
      <c r="F273" s="3"/>
      <c r="G273" s="1393">
        <f>'Capital Base roll forward'!G983</f>
        <v>0</v>
      </c>
      <c r="H273" s="1341"/>
      <c r="I273" s="1341"/>
      <c r="J273" s="1341"/>
      <c r="K273" s="1341"/>
      <c r="L273" s="1341"/>
      <c r="M273" s="1341"/>
      <c r="N273" s="1397"/>
      <c r="O273" s="248"/>
      <c r="P273" s="248"/>
      <c r="Q273" s="248"/>
      <c r="R273" s="248"/>
      <c r="S273" s="71"/>
      <c r="T273" s="71"/>
      <c r="U273" s="71"/>
      <c r="V273" s="71"/>
      <c r="W273" s="71"/>
      <c r="X273" s="71"/>
      <c r="Y273" s="71"/>
      <c r="Z273" s="71"/>
      <c r="AA273" s="152"/>
    </row>
    <row r="274" spans="1:27" hidden="1" outlineLevel="1">
      <c r="A274" s="3"/>
      <c r="B274" s="3"/>
      <c r="C274" s="29"/>
      <c r="D274" s="133" t="str">
        <f>Asset7</f>
        <v>Other</v>
      </c>
      <c r="E274" s="3"/>
      <c r="F274" s="3"/>
      <c r="G274" s="1393">
        <f>'Capital Base roll forward'!G984</f>
        <v>0</v>
      </c>
      <c r="H274" s="1341"/>
      <c r="I274" s="1341"/>
      <c r="J274" s="1341"/>
      <c r="K274" s="1341"/>
      <c r="L274" s="1341"/>
      <c r="M274" s="1341"/>
      <c r="N274" s="1397"/>
      <c r="O274" s="248"/>
      <c r="P274" s="248"/>
      <c r="Q274" s="248"/>
      <c r="R274" s="248"/>
      <c r="S274" s="71"/>
      <c r="T274" s="71"/>
      <c r="U274" s="71"/>
      <c r="V274" s="71"/>
      <c r="W274" s="71"/>
      <c r="X274" s="71"/>
      <c r="Y274" s="71"/>
      <c r="Z274" s="71"/>
      <c r="AA274" s="152"/>
    </row>
    <row r="275" spans="1:27" hidden="1" outlineLevel="1">
      <c r="A275" s="3"/>
      <c r="B275" s="3"/>
      <c r="C275" s="29"/>
      <c r="D275" s="133">
        <f>Asset8</f>
        <v>0</v>
      </c>
      <c r="E275" s="3"/>
      <c r="F275" s="3"/>
      <c r="G275" s="1393">
        <f>'Capital Base roll forward'!G985</f>
        <v>0</v>
      </c>
      <c r="H275" s="1341"/>
      <c r="I275" s="1341"/>
      <c r="J275" s="1341"/>
      <c r="K275" s="1341"/>
      <c r="L275" s="1341"/>
      <c r="M275" s="1341"/>
      <c r="N275" s="1397"/>
      <c r="O275" s="248"/>
      <c r="P275" s="248"/>
      <c r="Q275" s="248"/>
      <c r="R275" s="248"/>
      <c r="S275" s="71"/>
      <c r="T275" s="71"/>
      <c r="U275" s="71"/>
      <c r="V275" s="71"/>
      <c r="W275" s="71"/>
      <c r="X275" s="71"/>
      <c r="Y275" s="71"/>
      <c r="Z275" s="71"/>
      <c r="AA275" s="152"/>
    </row>
    <row r="276" spans="1:27" hidden="1" outlineLevel="1">
      <c r="A276" s="3"/>
      <c r="B276" s="3"/>
      <c r="C276" s="29"/>
      <c r="D276" s="133">
        <f>Asset9</f>
        <v>0</v>
      </c>
      <c r="E276" s="3"/>
      <c r="F276" s="3"/>
      <c r="G276" s="1393">
        <f>'Capital Base roll forward'!G986</f>
        <v>0</v>
      </c>
      <c r="H276" s="1341"/>
      <c r="I276" s="1341"/>
      <c r="J276" s="1341"/>
      <c r="K276" s="1341"/>
      <c r="L276" s="1341"/>
      <c r="M276" s="1341"/>
      <c r="N276" s="1397"/>
      <c r="O276" s="248"/>
      <c r="P276" s="248"/>
      <c r="Q276" s="248"/>
      <c r="R276" s="248"/>
      <c r="S276" s="71"/>
      <c r="T276" s="71"/>
      <c r="U276" s="71"/>
      <c r="V276" s="71"/>
      <c r="W276" s="71"/>
      <c r="X276" s="71"/>
      <c r="Y276" s="71"/>
      <c r="Z276" s="71"/>
      <c r="AA276" s="152"/>
    </row>
    <row r="277" spans="1:27" hidden="1" outlineLevel="1">
      <c r="A277" s="3"/>
      <c r="B277" s="3"/>
      <c r="C277" s="29"/>
      <c r="D277" s="133">
        <f>Asset10</f>
        <v>0</v>
      </c>
      <c r="E277" s="3"/>
      <c r="F277" s="3"/>
      <c r="G277" s="1393">
        <f>'Capital Base roll forward'!G987</f>
        <v>0</v>
      </c>
      <c r="H277" s="1341"/>
      <c r="I277" s="1341"/>
      <c r="J277" s="1341"/>
      <c r="K277" s="1341"/>
      <c r="L277" s="1341"/>
      <c r="M277" s="1341"/>
      <c r="N277" s="1397"/>
      <c r="O277" s="248"/>
      <c r="P277" s="248"/>
      <c r="Q277" s="248"/>
      <c r="R277" s="248"/>
      <c r="S277" s="71"/>
      <c r="T277" s="71"/>
      <c r="U277" s="71"/>
      <c r="V277" s="71"/>
      <c r="W277" s="71"/>
      <c r="X277" s="71"/>
      <c r="Y277" s="71"/>
      <c r="Z277" s="71"/>
      <c r="AA277" s="152"/>
    </row>
    <row r="278" spans="1:27" hidden="1" outlineLevel="1">
      <c r="A278" s="3"/>
      <c r="B278" s="3"/>
      <c r="C278" s="29"/>
      <c r="D278" s="133">
        <f>Asset11</f>
        <v>0</v>
      </c>
      <c r="E278" s="3"/>
      <c r="F278" s="3"/>
      <c r="G278" s="1393">
        <f>'Capital Base roll forward'!G988</f>
        <v>0</v>
      </c>
      <c r="H278" s="1341"/>
      <c r="I278" s="1341"/>
      <c r="J278" s="1341"/>
      <c r="K278" s="1341"/>
      <c r="L278" s="1341"/>
      <c r="M278" s="1341"/>
      <c r="N278" s="1397"/>
      <c r="O278" s="248"/>
      <c r="P278" s="248"/>
      <c r="Q278" s="248"/>
      <c r="R278" s="248"/>
      <c r="S278" s="71"/>
      <c r="T278" s="71"/>
      <c r="U278" s="71"/>
      <c r="V278" s="71"/>
      <c r="W278" s="71"/>
      <c r="X278" s="71"/>
      <c r="Y278" s="71"/>
      <c r="Z278" s="71"/>
      <c r="AA278" s="152"/>
    </row>
    <row r="279" spans="1:27" hidden="1" outlineLevel="1">
      <c r="A279" s="3"/>
      <c r="B279" s="3"/>
      <c r="C279" s="29"/>
      <c r="D279" s="133">
        <f>Asset12</f>
        <v>0</v>
      </c>
      <c r="E279" s="3"/>
      <c r="F279" s="3"/>
      <c r="G279" s="1393">
        <f>'Capital Base roll forward'!G989</f>
        <v>0</v>
      </c>
      <c r="H279" s="1341"/>
      <c r="I279" s="1341"/>
      <c r="J279" s="1341"/>
      <c r="K279" s="1341"/>
      <c r="L279" s="1341"/>
      <c r="M279" s="1341"/>
      <c r="N279" s="1397"/>
      <c r="O279" s="248"/>
      <c r="P279" s="248"/>
      <c r="Q279" s="248"/>
      <c r="R279" s="248"/>
      <c r="S279" s="71"/>
      <c r="T279" s="71"/>
      <c r="U279" s="71"/>
      <c r="V279" s="71"/>
      <c r="W279" s="71"/>
      <c r="X279" s="71"/>
      <c r="Y279" s="71"/>
      <c r="Z279" s="71"/>
      <c r="AA279" s="152"/>
    </row>
    <row r="280" spans="1:27" hidden="1" outlineLevel="1">
      <c r="A280" s="3"/>
      <c r="B280" s="3"/>
      <c r="C280" s="29"/>
      <c r="D280" s="133">
        <f>Asset13</f>
        <v>0</v>
      </c>
      <c r="E280" s="3"/>
      <c r="F280" s="3"/>
      <c r="G280" s="1393">
        <f>'Capital Base roll forward'!G990</f>
        <v>0</v>
      </c>
      <c r="H280" s="1341"/>
      <c r="I280" s="1341"/>
      <c r="J280" s="1341"/>
      <c r="K280" s="1341"/>
      <c r="L280" s="1341"/>
      <c r="M280" s="1341"/>
      <c r="N280" s="1397"/>
      <c r="O280" s="248"/>
      <c r="P280" s="248"/>
      <c r="Q280" s="248"/>
      <c r="R280" s="248"/>
      <c r="S280" s="71"/>
      <c r="T280" s="71"/>
      <c r="U280" s="71"/>
      <c r="V280" s="71"/>
      <c r="W280" s="71"/>
      <c r="X280" s="71"/>
      <c r="Y280" s="71"/>
      <c r="Z280" s="71"/>
      <c r="AA280" s="152"/>
    </row>
    <row r="281" spans="1:27" hidden="1" outlineLevel="1">
      <c r="A281" s="3"/>
      <c r="B281" s="3"/>
      <c r="C281" s="29"/>
      <c r="D281" s="133">
        <f>Asset14</f>
        <v>0</v>
      </c>
      <c r="E281" s="3"/>
      <c r="F281" s="3"/>
      <c r="G281" s="1393">
        <f>'Capital Base roll forward'!G991</f>
        <v>0</v>
      </c>
      <c r="H281" s="1341"/>
      <c r="I281" s="1341"/>
      <c r="J281" s="1341"/>
      <c r="K281" s="1341"/>
      <c r="L281" s="1341"/>
      <c r="M281" s="1341"/>
      <c r="N281" s="1397"/>
      <c r="O281" s="248"/>
      <c r="P281" s="248"/>
      <c r="Q281" s="248"/>
      <c r="R281" s="248"/>
      <c r="S281" s="71"/>
      <c r="T281" s="71"/>
      <c r="U281" s="71"/>
      <c r="V281" s="71"/>
      <c r="W281" s="71"/>
      <c r="X281" s="71"/>
      <c r="Y281" s="71"/>
      <c r="Z281" s="71"/>
      <c r="AA281" s="152"/>
    </row>
    <row r="282" spans="1:27" hidden="1" outlineLevel="1">
      <c r="A282" s="3"/>
      <c r="B282" s="3"/>
      <c r="C282" s="29"/>
      <c r="D282" s="133">
        <f>Asset15</f>
        <v>0</v>
      </c>
      <c r="E282" s="3"/>
      <c r="F282" s="3"/>
      <c r="G282" s="1393">
        <f>'Capital Base roll forward'!G992</f>
        <v>0</v>
      </c>
      <c r="H282" s="1341"/>
      <c r="I282" s="1341"/>
      <c r="J282" s="1341"/>
      <c r="K282" s="1341"/>
      <c r="L282" s="1341"/>
      <c r="M282" s="1341"/>
      <c r="N282" s="1397"/>
      <c r="O282" s="248"/>
      <c r="P282" s="248"/>
      <c r="Q282" s="248"/>
      <c r="R282" s="248"/>
      <c r="S282" s="71"/>
      <c r="T282" s="71"/>
      <c r="U282" s="71"/>
      <c r="V282" s="71"/>
      <c r="W282" s="71"/>
      <c r="X282" s="71"/>
      <c r="Y282" s="71"/>
      <c r="Z282" s="71"/>
      <c r="AA282" s="152"/>
    </row>
    <row r="283" spans="1:27" hidden="1" outlineLevel="1">
      <c r="A283" s="3"/>
      <c r="B283" s="3"/>
      <c r="C283" s="29"/>
      <c r="D283" s="133">
        <f>Asset16</f>
        <v>0</v>
      </c>
      <c r="E283" s="3"/>
      <c r="F283" s="3"/>
      <c r="G283" s="1393">
        <f>'Capital Base roll forward'!G993</f>
        <v>0</v>
      </c>
      <c r="H283" s="1341"/>
      <c r="I283" s="1341"/>
      <c r="J283" s="1341"/>
      <c r="K283" s="1341"/>
      <c r="L283" s="1341"/>
      <c r="M283" s="1341"/>
      <c r="N283" s="1397"/>
      <c r="O283" s="248"/>
      <c r="P283" s="248"/>
      <c r="Q283" s="248"/>
      <c r="R283" s="248"/>
      <c r="S283" s="71"/>
      <c r="T283" s="71"/>
      <c r="U283" s="71"/>
      <c r="V283" s="71"/>
      <c r="W283" s="71"/>
      <c r="X283" s="71"/>
      <c r="Y283" s="71"/>
      <c r="Z283" s="71"/>
      <c r="AA283" s="152"/>
    </row>
    <row r="284" spans="1:27" hidden="1" outlineLevel="1">
      <c r="A284" s="3"/>
      <c r="B284" s="3"/>
      <c r="C284" s="29"/>
      <c r="D284" s="133">
        <f>Asset17</f>
        <v>0</v>
      </c>
      <c r="E284" s="3"/>
      <c r="F284" s="3"/>
      <c r="G284" s="1393">
        <f>'Capital Base roll forward'!G994</f>
        <v>0</v>
      </c>
      <c r="H284" s="1341"/>
      <c r="I284" s="1341"/>
      <c r="J284" s="1341"/>
      <c r="K284" s="1341"/>
      <c r="L284" s="1341"/>
      <c r="M284" s="1341"/>
      <c r="N284" s="1397"/>
      <c r="O284" s="248"/>
      <c r="P284" s="248"/>
      <c r="Q284" s="248"/>
      <c r="R284" s="248"/>
      <c r="S284" s="71"/>
      <c r="T284" s="71"/>
      <c r="U284" s="71"/>
      <c r="V284" s="71"/>
      <c r="W284" s="71"/>
      <c r="X284" s="71"/>
      <c r="Y284" s="71"/>
      <c r="Z284" s="71"/>
      <c r="AA284" s="152"/>
    </row>
    <row r="285" spans="1:27" hidden="1" outlineLevel="1">
      <c r="A285" s="3"/>
      <c r="B285" s="3"/>
      <c r="C285" s="29"/>
      <c r="D285" s="133">
        <f>Asset18</f>
        <v>0</v>
      </c>
      <c r="E285" s="3"/>
      <c r="F285" s="3"/>
      <c r="G285" s="1393">
        <f>'Capital Base roll forward'!G995</f>
        <v>0</v>
      </c>
      <c r="H285" s="1341"/>
      <c r="I285" s="1341"/>
      <c r="J285" s="1341"/>
      <c r="K285" s="1341"/>
      <c r="L285" s="1341"/>
      <c r="M285" s="1341"/>
      <c r="N285" s="1397"/>
      <c r="O285" s="248"/>
      <c r="P285" s="248"/>
      <c r="Q285" s="248"/>
      <c r="R285" s="248"/>
      <c r="S285" s="71"/>
      <c r="T285" s="71"/>
      <c r="U285" s="71"/>
      <c r="V285" s="71"/>
      <c r="W285" s="71"/>
      <c r="X285" s="71"/>
      <c r="Y285" s="71"/>
      <c r="Z285" s="71"/>
      <c r="AA285" s="152"/>
    </row>
    <row r="286" spans="1:27" hidden="1" outlineLevel="1">
      <c r="A286" s="3"/>
      <c r="B286" s="3"/>
      <c r="C286" s="29"/>
      <c r="D286" s="133">
        <f>Asset19</f>
        <v>0</v>
      </c>
      <c r="E286" s="3"/>
      <c r="F286" s="3"/>
      <c r="G286" s="1393">
        <f>'Capital Base roll forward'!G996</f>
        <v>0</v>
      </c>
      <c r="H286" s="1341"/>
      <c r="I286" s="1341"/>
      <c r="J286" s="1341"/>
      <c r="K286" s="1341"/>
      <c r="L286" s="1341"/>
      <c r="M286" s="1341"/>
      <c r="N286" s="1397"/>
      <c r="O286" s="248"/>
      <c r="P286" s="248"/>
      <c r="Q286" s="248"/>
      <c r="R286" s="248"/>
      <c r="S286" s="71"/>
      <c r="T286" s="71"/>
      <c r="U286" s="71"/>
      <c r="V286" s="71"/>
      <c r="W286" s="71"/>
      <c r="X286" s="71"/>
      <c r="Y286" s="71"/>
      <c r="Z286" s="71"/>
      <c r="AA286" s="152"/>
    </row>
    <row r="287" spans="1:27" hidden="1" outlineLevel="1">
      <c r="A287" s="3"/>
      <c r="B287" s="3"/>
      <c r="C287" s="29"/>
      <c r="D287" s="133">
        <f>Asset20</f>
        <v>0</v>
      </c>
      <c r="E287" s="3"/>
      <c r="F287" s="3"/>
      <c r="G287" s="1393">
        <f>'Capital Base roll forward'!G997</f>
        <v>0</v>
      </c>
      <c r="H287" s="1341"/>
      <c r="I287" s="1341"/>
      <c r="J287" s="1341"/>
      <c r="K287" s="1341"/>
      <c r="L287" s="1341"/>
      <c r="M287" s="1341"/>
      <c r="N287" s="1397"/>
      <c r="O287" s="248"/>
      <c r="P287" s="248"/>
      <c r="Q287" s="248"/>
      <c r="R287" s="248"/>
      <c r="S287" s="71"/>
      <c r="T287" s="71"/>
      <c r="U287" s="71"/>
      <c r="V287" s="71"/>
      <c r="W287" s="71"/>
      <c r="X287" s="71"/>
      <c r="Y287" s="71"/>
      <c r="Z287" s="71"/>
      <c r="AA287" s="152"/>
    </row>
    <row r="288" spans="1:27" hidden="1" outlineLevel="1">
      <c r="A288" s="3"/>
      <c r="B288" s="3"/>
      <c r="C288" s="29"/>
      <c r="D288" s="133">
        <f>Asset21</f>
        <v>0</v>
      </c>
      <c r="E288" s="3"/>
      <c r="F288" s="3"/>
      <c r="G288" s="1393">
        <f>'Capital Base roll forward'!G998</f>
        <v>0</v>
      </c>
      <c r="H288" s="1341"/>
      <c r="I288" s="1341"/>
      <c r="J288" s="1341"/>
      <c r="K288" s="1341"/>
      <c r="L288" s="1341"/>
      <c r="M288" s="1341"/>
      <c r="N288" s="1397"/>
      <c r="O288" s="248"/>
      <c r="P288" s="248"/>
      <c r="Q288" s="248"/>
      <c r="R288" s="248"/>
      <c r="S288" s="71"/>
      <c r="T288" s="71"/>
      <c r="U288" s="71"/>
      <c r="V288" s="71"/>
      <c r="W288" s="71"/>
      <c r="X288" s="71"/>
      <c r="Y288" s="71"/>
      <c r="Z288" s="71"/>
      <c r="AA288" s="152"/>
    </row>
    <row r="289" spans="1:27" hidden="1" outlineLevel="1">
      <c r="A289" s="3"/>
      <c r="B289" s="3"/>
      <c r="C289" s="29"/>
      <c r="D289" s="133">
        <f>Asset22</f>
        <v>0</v>
      </c>
      <c r="E289" s="3"/>
      <c r="F289" s="3"/>
      <c r="G289" s="1393">
        <f>'Capital Base roll forward'!G999</f>
        <v>0</v>
      </c>
      <c r="H289" s="1341"/>
      <c r="I289" s="1341"/>
      <c r="J289" s="1341"/>
      <c r="K289" s="1341"/>
      <c r="L289" s="1341"/>
      <c r="M289" s="1341"/>
      <c r="N289" s="1397"/>
      <c r="O289" s="248"/>
      <c r="P289" s="248"/>
      <c r="Q289" s="248"/>
      <c r="R289" s="248"/>
      <c r="S289" s="71"/>
      <c r="T289" s="71"/>
      <c r="U289" s="71"/>
      <c r="V289" s="71"/>
      <c r="W289" s="71"/>
      <c r="X289" s="71"/>
      <c r="Y289" s="71"/>
      <c r="Z289" s="71"/>
      <c r="AA289" s="152"/>
    </row>
    <row r="290" spans="1:27" hidden="1" outlineLevel="1">
      <c r="A290" s="3"/>
      <c r="B290" s="3"/>
      <c r="C290" s="29"/>
      <c r="D290" s="133">
        <f>Asset23</f>
        <v>0</v>
      </c>
      <c r="E290" s="3"/>
      <c r="F290" s="3"/>
      <c r="G290" s="1393">
        <f>'Capital Base roll forward'!G1000</f>
        <v>0</v>
      </c>
      <c r="H290" s="1341"/>
      <c r="I290" s="1341"/>
      <c r="J290" s="1341"/>
      <c r="K290" s="1341"/>
      <c r="L290" s="1341"/>
      <c r="M290" s="1341"/>
      <c r="N290" s="1397"/>
      <c r="O290" s="248"/>
      <c r="P290" s="248"/>
      <c r="Q290" s="248"/>
      <c r="R290" s="248"/>
      <c r="S290" s="71"/>
      <c r="T290" s="71"/>
      <c r="U290" s="71"/>
      <c r="V290" s="71"/>
      <c r="W290" s="71"/>
      <c r="X290" s="71"/>
      <c r="Y290" s="71"/>
      <c r="Z290" s="71"/>
      <c r="AA290" s="152"/>
    </row>
    <row r="291" spans="1:27" hidden="1" outlineLevel="1">
      <c r="A291" s="3"/>
      <c r="B291" s="3"/>
      <c r="C291" s="29"/>
      <c r="D291" s="133">
        <f>Asset24</f>
        <v>0</v>
      </c>
      <c r="E291" s="3"/>
      <c r="F291" s="3"/>
      <c r="G291" s="1393">
        <f>'Capital Base roll forward'!G1001</f>
        <v>0</v>
      </c>
      <c r="H291" s="1341"/>
      <c r="I291" s="1341"/>
      <c r="J291" s="1341"/>
      <c r="K291" s="1341"/>
      <c r="L291" s="1341"/>
      <c r="M291" s="1341"/>
      <c r="N291" s="1397"/>
      <c r="O291" s="248"/>
      <c r="P291" s="248"/>
      <c r="Q291" s="248"/>
      <c r="R291" s="248"/>
      <c r="S291" s="71"/>
      <c r="T291" s="71"/>
      <c r="U291" s="71"/>
      <c r="V291" s="71"/>
      <c r="W291" s="71"/>
      <c r="X291" s="71"/>
      <c r="Y291" s="71"/>
      <c r="Z291" s="71"/>
      <c r="AA291" s="152"/>
    </row>
    <row r="292" spans="1:27" hidden="1" outlineLevel="1">
      <c r="A292" s="3"/>
      <c r="B292" s="3"/>
      <c r="C292" s="29"/>
      <c r="D292" s="133">
        <f>Asset25</f>
        <v>0</v>
      </c>
      <c r="E292" s="3"/>
      <c r="F292" s="3"/>
      <c r="G292" s="1393">
        <f>'Capital Base roll forward'!G1002</f>
        <v>0</v>
      </c>
      <c r="H292" s="1341"/>
      <c r="I292" s="1341"/>
      <c r="J292" s="1341"/>
      <c r="K292" s="1341"/>
      <c r="L292" s="1341"/>
      <c r="M292" s="1341"/>
      <c r="N292" s="1397"/>
      <c r="O292" s="248"/>
      <c r="P292" s="248"/>
      <c r="Q292" s="248"/>
      <c r="R292" s="248"/>
      <c r="S292" s="71"/>
      <c r="T292" s="71"/>
      <c r="U292" s="71"/>
      <c r="V292" s="71"/>
      <c r="W292" s="71"/>
      <c r="X292" s="71"/>
      <c r="Y292" s="71"/>
      <c r="Z292" s="71"/>
      <c r="AA292" s="152"/>
    </row>
    <row r="293" spans="1:27" hidden="1" outlineLevel="1">
      <c r="A293" s="3"/>
      <c r="B293" s="3"/>
      <c r="C293" s="29"/>
      <c r="D293" s="133">
        <f>Asset26</f>
        <v>0</v>
      </c>
      <c r="E293" s="3"/>
      <c r="F293" s="3"/>
      <c r="G293" s="1393">
        <f>'Capital Base roll forward'!G1003</f>
        <v>0</v>
      </c>
      <c r="H293" s="1341"/>
      <c r="I293" s="1341"/>
      <c r="J293" s="1341"/>
      <c r="K293" s="1341"/>
      <c r="L293" s="1341"/>
      <c r="M293" s="1341"/>
      <c r="N293" s="1397"/>
      <c r="O293" s="248"/>
      <c r="P293" s="248"/>
      <c r="Q293" s="248"/>
      <c r="R293" s="248"/>
      <c r="S293" s="71"/>
      <c r="T293" s="71"/>
      <c r="U293" s="71"/>
      <c r="V293" s="71"/>
      <c r="W293" s="71"/>
      <c r="X293" s="71"/>
      <c r="Y293" s="71"/>
      <c r="Z293" s="71"/>
      <c r="AA293" s="152"/>
    </row>
    <row r="294" spans="1:27" hidden="1" outlineLevel="1">
      <c r="A294" s="3"/>
      <c r="B294" s="3"/>
      <c r="C294" s="29"/>
      <c r="D294" s="133">
        <f>Asset27</f>
        <v>0</v>
      </c>
      <c r="E294" s="3"/>
      <c r="F294" s="3"/>
      <c r="G294" s="1393">
        <f>'Capital Base roll forward'!G1004</f>
        <v>0</v>
      </c>
      <c r="H294" s="1341"/>
      <c r="I294" s="1341"/>
      <c r="J294" s="1341"/>
      <c r="K294" s="1341"/>
      <c r="L294" s="1341"/>
      <c r="M294" s="1341"/>
      <c r="N294" s="1397"/>
      <c r="O294" s="248"/>
      <c r="P294" s="248"/>
      <c r="Q294" s="248"/>
      <c r="R294" s="248"/>
      <c r="S294" s="71"/>
      <c r="T294" s="71"/>
      <c r="U294" s="71"/>
      <c r="V294" s="71"/>
      <c r="W294" s="71"/>
      <c r="X294" s="71"/>
      <c r="Y294" s="71"/>
      <c r="Z294" s="71"/>
      <c r="AA294" s="152"/>
    </row>
    <row r="295" spans="1:27" hidden="1" outlineLevel="1">
      <c r="A295" s="3"/>
      <c r="B295" s="3"/>
      <c r="C295" s="29"/>
      <c r="D295" s="133">
        <f>Asset28</f>
        <v>0</v>
      </c>
      <c r="E295" s="3"/>
      <c r="F295" s="3"/>
      <c r="G295" s="1393">
        <f>'Capital Base roll forward'!G1005</f>
        <v>0</v>
      </c>
      <c r="H295" s="1341"/>
      <c r="I295" s="1341"/>
      <c r="J295" s="1341"/>
      <c r="K295" s="1341"/>
      <c r="L295" s="1341"/>
      <c r="M295" s="1341"/>
      <c r="N295" s="1397"/>
      <c r="O295" s="248"/>
      <c r="P295" s="248"/>
      <c r="Q295" s="248"/>
      <c r="R295" s="248"/>
      <c r="S295" s="71"/>
      <c r="T295" s="71"/>
      <c r="U295" s="71"/>
      <c r="V295" s="71"/>
      <c r="W295" s="71"/>
      <c r="X295" s="71"/>
      <c r="Y295" s="71"/>
      <c r="Z295" s="71"/>
      <c r="AA295" s="152"/>
    </row>
    <row r="296" spans="1:27" hidden="1" outlineLevel="1">
      <c r="A296" s="3"/>
      <c r="B296" s="3"/>
      <c r="C296" s="29"/>
      <c r="D296" s="133">
        <f>Asset29</f>
        <v>0</v>
      </c>
      <c r="E296" s="3"/>
      <c r="F296" s="3"/>
      <c r="G296" s="1393">
        <f>'Capital Base roll forward'!G1006</f>
        <v>0</v>
      </c>
      <c r="H296" s="1341"/>
      <c r="I296" s="1341"/>
      <c r="J296" s="1341"/>
      <c r="K296" s="1341"/>
      <c r="L296" s="1341"/>
      <c r="M296" s="1341"/>
      <c r="N296" s="1397"/>
      <c r="O296" s="248"/>
      <c r="P296" s="248"/>
      <c r="Q296" s="248"/>
      <c r="R296" s="248"/>
      <c r="S296" s="71"/>
      <c r="T296" s="71"/>
      <c r="U296" s="71"/>
      <c r="V296" s="71"/>
      <c r="W296" s="71"/>
      <c r="X296" s="71"/>
      <c r="Y296" s="71"/>
      <c r="Z296" s="71"/>
      <c r="AA296" s="152"/>
    </row>
    <row r="297" spans="1:27" hidden="1" outlineLevel="1">
      <c r="A297" s="3"/>
      <c r="B297" s="3"/>
      <c r="C297" s="29"/>
      <c r="D297" s="133">
        <f>Asset30</f>
        <v>0</v>
      </c>
      <c r="E297" s="3"/>
      <c r="F297" s="3"/>
      <c r="G297" s="1393">
        <f>'Capital Base roll forward'!G1007</f>
        <v>0</v>
      </c>
      <c r="H297" s="1341"/>
      <c r="I297" s="1341"/>
      <c r="J297" s="1341"/>
      <c r="K297" s="1341"/>
      <c r="L297" s="1341"/>
      <c r="M297" s="1341"/>
      <c r="N297" s="1397"/>
      <c r="O297" s="248"/>
      <c r="P297" s="248"/>
      <c r="Q297" s="248"/>
      <c r="R297" s="248"/>
      <c r="S297" s="71"/>
      <c r="T297" s="71"/>
      <c r="U297" s="71"/>
      <c r="V297" s="71"/>
      <c r="W297" s="71"/>
      <c r="X297" s="71"/>
      <c r="Y297" s="71"/>
      <c r="Z297" s="71"/>
      <c r="AA297" s="152"/>
    </row>
    <row r="298" spans="1:27" hidden="1" outlineLevel="1">
      <c r="A298" s="3"/>
      <c r="B298" s="3"/>
      <c r="C298" s="29"/>
      <c r="D298" s="133">
        <f>Asset31</f>
        <v>0</v>
      </c>
      <c r="E298" s="3"/>
      <c r="F298" s="3"/>
      <c r="G298" s="1393">
        <f>'Capital Base roll forward'!G1008</f>
        <v>0</v>
      </c>
      <c r="H298" s="1341"/>
      <c r="I298" s="1341"/>
      <c r="J298" s="1341"/>
      <c r="K298" s="1341"/>
      <c r="L298" s="1341"/>
      <c r="M298" s="1341"/>
      <c r="N298" s="1397"/>
      <c r="O298" s="248"/>
      <c r="P298" s="248"/>
      <c r="Q298" s="248"/>
      <c r="R298" s="248"/>
      <c r="S298" s="71"/>
      <c r="T298" s="71"/>
      <c r="U298" s="71"/>
      <c r="V298" s="71"/>
      <c r="W298" s="71"/>
      <c r="X298" s="71"/>
      <c r="Y298" s="71"/>
      <c r="Z298" s="71"/>
      <c r="AA298" s="152"/>
    </row>
    <row r="299" spans="1:27" hidden="1" outlineLevel="1">
      <c r="A299" s="3"/>
      <c r="B299" s="3"/>
      <c r="C299" s="29"/>
      <c r="D299" s="133">
        <f>Asset32</f>
        <v>0</v>
      </c>
      <c r="E299" s="3"/>
      <c r="F299" s="3"/>
      <c r="G299" s="1393">
        <f>'Capital Base roll forward'!G1009</f>
        <v>0</v>
      </c>
      <c r="H299" s="1341"/>
      <c r="I299" s="1341"/>
      <c r="J299" s="1341"/>
      <c r="K299" s="1341"/>
      <c r="L299" s="1341"/>
      <c r="M299" s="1341"/>
      <c r="N299" s="1397"/>
      <c r="O299" s="248"/>
      <c r="P299" s="248"/>
      <c r="Q299" s="248"/>
      <c r="R299" s="248"/>
      <c r="S299" s="71"/>
      <c r="T299" s="71"/>
      <c r="U299" s="71"/>
      <c r="V299" s="71"/>
      <c r="W299" s="71"/>
      <c r="X299" s="71"/>
      <c r="Y299" s="71"/>
      <c r="Z299" s="71"/>
      <c r="AA299" s="152"/>
    </row>
    <row r="300" spans="1:27" hidden="1" outlineLevel="1">
      <c r="A300" s="3"/>
      <c r="B300" s="3"/>
      <c r="C300" s="29"/>
      <c r="D300" s="133">
        <f>Asset33</f>
        <v>0</v>
      </c>
      <c r="E300" s="3"/>
      <c r="F300" s="3"/>
      <c r="G300" s="1393">
        <f>'Capital Base roll forward'!G1010</f>
        <v>0</v>
      </c>
      <c r="H300" s="1341"/>
      <c r="I300" s="1341"/>
      <c r="J300" s="1341"/>
      <c r="K300" s="1341"/>
      <c r="L300" s="1341"/>
      <c r="M300" s="1341"/>
      <c r="N300" s="1397"/>
      <c r="O300" s="248"/>
      <c r="P300" s="248"/>
      <c r="Q300" s="248"/>
      <c r="R300" s="248"/>
      <c r="S300" s="71"/>
      <c r="T300" s="71"/>
      <c r="U300" s="71"/>
      <c r="V300" s="71"/>
      <c r="W300" s="71"/>
      <c r="X300" s="71"/>
      <c r="Y300" s="71"/>
      <c r="Z300" s="71"/>
      <c r="AA300" s="152"/>
    </row>
    <row r="301" spans="1:27" hidden="1" outlineLevel="1">
      <c r="A301" s="3"/>
      <c r="B301" s="3"/>
      <c r="C301" s="29"/>
      <c r="D301" s="133">
        <f>Asset34</f>
        <v>0</v>
      </c>
      <c r="E301" s="3"/>
      <c r="F301" s="3"/>
      <c r="G301" s="1393">
        <f>'Capital Base roll forward'!G1011</f>
        <v>0</v>
      </c>
      <c r="H301" s="1341"/>
      <c r="I301" s="1341"/>
      <c r="J301" s="1341"/>
      <c r="K301" s="1341"/>
      <c r="L301" s="1341"/>
      <c r="M301" s="1341"/>
      <c r="N301" s="1397"/>
      <c r="O301" s="248"/>
      <c r="P301" s="248"/>
      <c r="Q301" s="248"/>
      <c r="R301" s="248"/>
      <c r="S301" s="71"/>
      <c r="T301" s="71"/>
      <c r="U301" s="71"/>
      <c r="V301" s="71"/>
      <c r="W301" s="71"/>
      <c r="X301" s="71"/>
      <c r="Y301" s="71"/>
      <c r="Z301" s="71"/>
      <c r="AA301" s="152"/>
    </row>
    <row r="302" spans="1:27" hidden="1" outlineLevel="1">
      <c r="A302" s="3"/>
      <c r="B302" s="3"/>
      <c r="C302" s="29"/>
      <c r="D302" s="133">
        <f>Asset35</f>
        <v>0</v>
      </c>
      <c r="E302" s="3"/>
      <c r="F302" s="3"/>
      <c r="G302" s="1393">
        <f>'Capital Base roll forward'!G1012</f>
        <v>0</v>
      </c>
      <c r="H302" s="1341"/>
      <c r="I302" s="1341"/>
      <c r="J302" s="1341"/>
      <c r="K302" s="1341"/>
      <c r="L302" s="1341"/>
      <c r="M302" s="1341"/>
      <c r="N302" s="1397"/>
      <c r="O302" s="248"/>
      <c r="P302" s="248"/>
      <c r="Q302" s="248"/>
      <c r="R302" s="248"/>
      <c r="S302" s="71"/>
      <c r="T302" s="71"/>
      <c r="U302" s="71"/>
      <c r="V302" s="71"/>
      <c r="W302" s="71"/>
      <c r="X302" s="71"/>
      <c r="Y302" s="71"/>
      <c r="Z302" s="71"/>
      <c r="AA302" s="152"/>
    </row>
    <row r="303" spans="1:27" hidden="1" outlineLevel="1">
      <c r="A303" s="3"/>
      <c r="B303" s="3"/>
      <c r="C303" s="29"/>
      <c r="D303" s="133">
        <f>Asset36</f>
        <v>0</v>
      </c>
      <c r="E303" s="3"/>
      <c r="F303" s="3"/>
      <c r="G303" s="1393">
        <f>'Capital Base roll forward'!G1013</f>
        <v>0</v>
      </c>
      <c r="H303" s="1341"/>
      <c r="I303" s="1341"/>
      <c r="J303" s="1341"/>
      <c r="K303" s="1341"/>
      <c r="L303" s="1341"/>
      <c r="M303" s="1341"/>
      <c r="N303" s="1397"/>
      <c r="O303" s="248"/>
      <c r="P303" s="248"/>
      <c r="Q303" s="248"/>
      <c r="R303" s="248"/>
      <c r="S303" s="71"/>
      <c r="T303" s="71"/>
      <c r="U303" s="71"/>
      <c r="V303" s="71"/>
      <c r="W303" s="71"/>
      <c r="X303" s="71"/>
      <c r="Y303" s="71"/>
      <c r="Z303" s="71"/>
      <c r="AA303" s="152"/>
    </row>
    <row r="304" spans="1:27" hidden="1" outlineLevel="1">
      <c r="A304" s="3"/>
      <c r="B304" s="3"/>
      <c r="C304" s="29"/>
      <c r="D304" s="133">
        <f>Asset37</f>
        <v>0</v>
      </c>
      <c r="E304" s="3"/>
      <c r="F304" s="3"/>
      <c r="G304" s="1393">
        <f>'Capital Base roll forward'!G1014</f>
        <v>0</v>
      </c>
      <c r="H304" s="1341"/>
      <c r="I304" s="1341"/>
      <c r="J304" s="1341"/>
      <c r="K304" s="1341"/>
      <c r="L304" s="1341"/>
      <c r="M304" s="1341"/>
      <c r="N304" s="1397"/>
      <c r="O304" s="248"/>
      <c r="P304" s="248"/>
      <c r="Q304" s="248"/>
      <c r="R304" s="248"/>
      <c r="S304" s="71"/>
      <c r="T304" s="71"/>
      <c r="U304" s="71"/>
      <c r="V304" s="71"/>
      <c r="W304" s="71"/>
      <c r="X304" s="71"/>
      <c r="Y304" s="71"/>
      <c r="Z304" s="71"/>
      <c r="AA304" s="152"/>
    </row>
    <row r="305" spans="1:27" hidden="1" outlineLevel="1">
      <c r="A305" s="3"/>
      <c r="B305" s="3"/>
      <c r="C305" s="29"/>
      <c r="D305" s="133">
        <f>Asset38</f>
        <v>0</v>
      </c>
      <c r="E305" s="3"/>
      <c r="F305" s="3"/>
      <c r="G305" s="1393">
        <f>'Capital Base roll forward'!G1015</f>
        <v>0</v>
      </c>
      <c r="H305" s="1341"/>
      <c r="I305" s="1341"/>
      <c r="J305" s="1341"/>
      <c r="K305" s="1341"/>
      <c r="L305" s="1341"/>
      <c r="M305" s="1341"/>
      <c r="N305" s="1397"/>
      <c r="O305" s="248"/>
      <c r="P305" s="248"/>
      <c r="Q305" s="248"/>
      <c r="R305" s="248"/>
      <c r="S305" s="71"/>
      <c r="T305" s="71"/>
      <c r="U305" s="71"/>
      <c r="V305" s="71"/>
      <c r="W305" s="71"/>
      <c r="X305" s="71"/>
      <c r="Y305" s="71"/>
      <c r="Z305" s="71"/>
      <c r="AA305" s="152"/>
    </row>
    <row r="306" spans="1:27" hidden="1" outlineLevel="1">
      <c r="A306" s="3"/>
      <c r="B306" s="3"/>
      <c r="C306" s="29"/>
      <c r="D306" s="133">
        <f>Asset39</f>
        <v>0</v>
      </c>
      <c r="E306" s="3"/>
      <c r="F306" s="3"/>
      <c r="G306" s="1393">
        <f>'Capital Base roll forward'!G1016</f>
        <v>0</v>
      </c>
      <c r="H306" s="1341"/>
      <c r="I306" s="1341"/>
      <c r="J306" s="1341"/>
      <c r="K306" s="1341"/>
      <c r="L306" s="1341"/>
      <c r="M306" s="1341"/>
      <c r="N306" s="1397"/>
      <c r="O306" s="248"/>
      <c r="P306" s="248"/>
      <c r="Q306" s="248"/>
      <c r="R306" s="248"/>
      <c r="S306" s="71"/>
      <c r="T306" s="71"/>
      <c r="U306" s="71"/>
      <c r="V306" s="71"/>
      <c r="W306" s="71"/>
      <c r="X306" s="71"/>
      <c r="Y306" s="71"/>
      <c r="Z306" s="71"/>
      <c r="AA306" s="152"/>
    </row>
    <row r="307" spans="1:27" hidden="1" outlineLevel="1">
      <c r="A307" s="3"/>
      <c r="B307" s="3"/>
      <c r="C307" s="29"/>
      <c r="D307" s="133">
        <f>Asset40</f>
        <v>0</v>
      </c>
      <c r="E307" s="3"/>
      <c r="F307" s="3"/>
      <c r="G307" s="1393">
        <f>'Capital Base roll forward'!G1017</f>
        <v>0</v>
      </c>
      <c r="H307" s="1341"/>
      <c r="I307" s="1341"/>
      <c r="J307" s="1341"/>
      <c r="K307" s="1341"/>
      <c r="L307" s="1341"/>
      <c r="M307" s="1341"/>
      <c r="N307" s="1397"/>
      <c r="O307" s="248"/>
      <c r="P307" s="248"/>
      <c r="Q307" s="248"/>
      <c r="R307" s="248"/>
      <c r="S307" s="71"/>
      <c r="T307" s="71"/>
      <c r="U307" s="71"/>
      <c r="V307" s="71"/>
      <c r="W307" s="71"/>
      <c r="X307" s="71"/>
      <c r="Y307" s="71"/>
      <c r="Z307" s="71"/>
      <c r="AA307" s="152"/>
    </row>
    <row r="308" spans="1:27" hidden="1" outlineLevel="1">
      <c r="A308" s="3"/>
      <c r="B308" s="3"/>
      <c r="C308" s="29"/>
      <c r="D308" s="133">
        <f>Asset41</f>
        <v>0</v>
      </c>
      <c r="E308" s="3"/>
      <c r="F308" s="3"/>
      <c r="G308" s="1393">
        <f>'Capital Base roll forward'!G1018</f>
        <v>0</v>
      </c>
      <c r="H308" s="1341"/>
      <c r="I308" s="1341"/>
      <c r="J308" s="1341"/>
      <c r="K308" s="1341"/>
      <c r="L308" s="1341"/>
      <c r="M308" s="1341"/>
      <c r="N308" s="1397"/>
      <c r="O308" s="248"/>
      <c r="P308" s="248"/>
      <c r="Q308" s="248"/>
      <c r="R308" s="248"/>
      <c r="S308" s="71"/>
      <c r="T308" s="71"/>
      <c r="U308" s="71"/>
      <c r="V308" s="71"/>
      <c r="W308" s="71"/>
      <c r="X308" s="71"/>
      <c r="Y308" s="71"/>
      <c r="Z308" s="71"/>
      <c r="AA308" s="152"/>
    </row>
    <row r="309" spans="1:27" hidden="1" outlineLevel="1">
      <c r="A309" s="3"/>
      <c r="B309" s="3"/>
      <c r="C309" s="29"/>
      <c r="D309" s="133">
        <f>Asset42</f>
        <v>0</v>
      </c>
      <c r="E309" s="3"/>
      <c r="F309" s="3"/>
      <c r="G309" s="1393">
        <f>'Capital Base roll forward'!G1019</f>
        <v>0</v>
      </c>
      <c r="H309" s="1341"/>
      <c r="I309" s="1341"/>
      <c r="J309" s="1341"/>
      <c r="K309" s="1341"/>
      <c r="L309" s="1341"/>
      <c r="M309" s="1341"/>
      <c r="N309" s="1397"/>
      <c r="O309" s="248"/>
      <c r="P309" s="248"/>
      <c r="Q309" s="248"/>
      <c r="R309" s="248"/>
      <c r="S309" s="71"/>
      <c r="T309" s="71"/>
      <c r="U309" s="71"/>
      <c r="V309" s="71"/>
      <c r="W309" s="71"/>
      <c r="X309" s="71"/>
      <c r="Y309" s="71"/>
      <c r="Z309" s="71"/>
      <c r="AA309" s="152"/>
    </row>
    <row r="310" spans="1:27" hidden="1" outlineLevel="1">
      <c r="A310" s="3"/>
      <c r="B310" s="3"/>
      <c r="C310" s="29"/>
      <c r="D310" s="133">
        <f>Asset43</f>
        <v>0</v>
      </c>
      <c r="E310" s="3"/>
      <c r="F310" s="3"/>
      <c r="G310" s="1393">
        <f>'Capital Base roll forward'!G1020</f>
        <v>0</v>
      </c>
      <c r="H310" s="1341"/>
      <c r="I310" s="1341"/>
      <c r="J310" s="1341"/>
      <c r="K310" s="1341"/>
      <c r="L310" s="1341"/>
      <c r="M310" s="1341"/>
      <c r="N310" s="1397"/>
      <c r="O310" s="248"/>
      <c r="P310" s="248"/>
      <c r="Q310" s="248"/>
      <c r="R310" s="248"/>
      <c r="S310" s="71"/>
      <c r="T310" s="71"/>
      <c r="U310" s="71"/>
      <c r="V310" s="71"/>
      <c r="W310" s="71"/>
      <c r="X310" s="71"/>
      <c r="Y310" s="71"/>
      <c r="Z310" s="71"/>
      <c r="AA310" s="152"/>
    </row>
    <row r="311" spans="1:27" hidden="1" outlineLevel="1">
      <c r="A311" s="3"/>
      <c r="B311" s="3"/>
      <c r="C311" s="29"/>
      <c r="D311" s="133">
        <f>Asset44</f>
        <v>0</v>
      </c>
      <c r="E311" s="3"/>
      <c r="F311" s="3"/>
      <c r="G311" s="1393">
        <f>'Capital Base roll forward'!G1021</f>
        <v>0</v>
      </c>
      <c r="H311" s="1341"/>
      <c r="I311" s="1341"/>
      <c r="J311" s="1341"/>
      <c r="K311" s="1341"/>
      <c r="L311" s="1341"/>
      <c r="M311" s="1341"/>
      <c r="N311" s="1397"/>
      <c r="O311" s="248"/>
      <c r="P311" s="248"/>
      <c r="Q311" s="248"/>
      <c r="R311" s="248"/>
      <c r="S311" s="71"/>
      <c r="T311" s="71"/>
      <c r="U311" s="71"/>
      <c r="V311" s="71"/>
      <c r="W311" s="71"/>
      <c r="X311" s="71"/>
      <c r="Y311" s="71"/>
      <c r="Z311" s="71"/>
      <c r="AA311" s="152"/>
    </row>
    <row r="312" spans="1:27" hidden="1" outlineLevel="1">
      <c r="A312" s="3"/>
      <c r="B312" s="3"/>
      <c r="C312" s="29"/>
      <c r="D312" s="133">
        <f>Asset45</f>
        <v>0</v>
      </c>
      <c r="E312" s="3"/>
      <c r="F312" s="3"/>
      <c r="G312" s="1393">
        <f>'Capital Base roll forward'!G1022</f>
        <v>0</v>
      </c>
      <c r="H312" s="1341"/>
      <c r="I312" s="1341"/>
      <c r="J312" s="1341"/>
      <c r="K312" s="1341"/>
      <c r="L312" s="1341"/>
      <c r="M312" s="1341"/>
      <c r="N312" s="1397"/>
      <c r="O312" s="248"/>
      <c r="P312" s="248"/>
      <c r="Q312" s="248"/>
      <c r="R312" s="248"/>
      <c r="S312" s="71"/>
      <c r="T312" s="71"/>
      <c r="U312" s="71"/>
      <c r="V312" s="71"/>
      <c r="W312" s="71"/>
      <c r="X312" s="71"/>
      <c r="Y312" s="71"/>
      <c r="Z312" s="71"/>
      <c r="AA312" s="152"/>
    </row>
    <row r="313" spans="1:27" hidden="1" outlineLevel="1">
      <c r="A313" s="3"/>
      <c r="B313" s="3"/>
      <c r="C313" s="29"/>
      <c r="D313" s="133">
        <f>Asset46</f>
        <v>0</v>
      </c>
      <c r="E313" s="3"/>
      <c r="F313" s="3"/>
      <c r="G313" s="1393">
        <f>'Capital Base roll forward'!G1023</f>
        <v>0</v>
      </c>
      <c r="H313" s="1341"/>
      <c r="I313" s="1341"/>
      <c r="J313" s="1341"/>
      <c r="K313" s="1341"/>
      <c r="L313" s="1341"/>
      <c r="M313" s="1341"/>
      <c r="N313" s="1397"/>
      <c r="O313" s="248"/>
      <c r="P313" s="248"/>
      <c r="Q313" s="248"/>
      <c r="R313" s="248"/>
      <c r="S313" s="71"/>
      <c r="T313" s="71"/>
      <c r="U313" s="71"/>
      <c r="V313" s="71"/>
      <c r="W313" s="71"/>
      <c r="X313" s="71"/>
      <c r="Y313" s="71"/>
      <c r="Z313" s="71"/>
      <c r="AA313" s="152"/>
    </row>
    <row r="314" spans="1:27" hidden="1" outlineLevel="1">
      <c r="A314" s="3"/>
      <c r="B314" s="3"/>
      <c r="C314" s="29"/>
      <c r="D314" s="133">
        <f>Asset47</f>
        <v>0</v>
      </c>
      <c r="E314" s="3"/>
      <c r="F314" s="3"/>
      <c r="G314" s="1393">
        <f>'Capital Base roll forward'!G1024</f>
        <v>0</v>
      </c>
      <c r="H314" s="1341"/>
      <c r="I314" s="1341"/>
      <c r="J314" s="1341"/>
      <c r="K314" s="1341"/>
      <c r="L314" s="1341"/>
      <c r="M314" s="1341"/>
      <c r="N314" s="1397"/>
      <c r="O314" s="248"/>
      <c r="P314" s="248"/>
      <c r="Q314" s="248"/>
      <c r="R314" s="248"/>
      <c r="S314" s="71"/>
      <c r="T314" s="71"/>
      <c r="U314" s="71"/>
      <c r="V314" s="71"/>
      <c r="W314" s="71"/>
      <c r="X314" s="71"/>
      <c r="Y314" s="71"/>
      <c r="Z314" s="71"/>
      <c r="AA314" s="152"/>
    </row>
    <row r="315" spans="1:27" hidden="1" outlineLevel="1">
      <c r="A315" s="3"/>
      <c r="B315" s="3"/>
      <c r="C315" s="29"/>
      <c r="D315" s="133">
        <f>Asset48</f>
        <v>0</v>
      </c>
      <c r="E315" s="3"/>
      <c r="F315" s="3"/>
      <c r="G315" s="1393">
        <f>'Capital Base roll forward'!G1025</f>
        <v>0</v>
      </c>
      <c r="H315" s="1341"/>
      <c r="I315" s="1341"/>
      <c r="J315" s="1341"/>
      <c r="K315" s="1341"/>
      <c r="L315" s="1341"/>
      <c r="M315" s="1341"/>
      <c r="N315" s="1397"/>
      <c r="O315" s="248"/>
      <c r="P315" s="248"/>
      <c r="Q315" s="248"/>
      <c r="R315" s="248"/>
      <c r="S315" s="71"/>
      <c r="T315" s="71"/>
      <c r="U315" s="71"/>
      <c r="V315" s="71"/>
      <c r="W315" s="71"/>
      <c r="X315" s="71"/>
      <c r="Y315" s="71"/>
      <c r="Z315" s="71"/>
      <c r="AA315" s="152"/>
    </row>
    <row r="316" spans="1:27" hidden="1" outlineLevel="1">
      <c r="A316" s="3"/>
      <c r="B316" s="3"/>
      <c r="C316" s="29"/>
      <c r="D316" s="133">
        <f>Asset49</f>
        <v>0</v>
      </c>
      <c r="E316" s="3"/>
      <c r="F316" s="3"/>
      <c r="G316" s="1393">
        <f>'Capital Base roll forward'!G1026</f>
        <v>0</v>
      </c>
      <c r="H316" s="1341"/>
      <c r="I316" s="1341"/>
      <c r="J316" s="1341"/>
      <c r="K316" s="1341"/>
      <c r="L316" s="1341"/>
      <c r="M316" s="1341"/>
      <c r="N316" s="1397"/>
      <c r="O316" s="248"/>
      <c r="P316" s="248"/>
      <c r="Q316" s="248"/>
      <c r="R316" s="248"/>
      <c r="S316" s="71"/>
      <c r="T316" s="71"/>
      <c r="U316" s="71"/>
      <c r="V316" s="71"/>
      <c r="W316" s="71"/>
      <c r="X316" s="71"/>
      <c r="Y316" s="71"/>
      <c r="Z316" s="71"/>
      <c r="AA316" s="152"/>
    </row>
    <row r="317" spans="1:27" hidden="1" outlineLevel="1">
      <c r="A317" s="3"/>
      <c r="B317" s="3"/>
      <c r="C317" s="29"/>
      <c r="D317" s="133">
        <f>Asset50</f>
        <v>0</v>
      </c>
      <c r="E317" s="3"/>
      <c r="F317" s="3"/>
      <c r="G317" s="1393">
        <f>'Capital Base roll forward'!G1027</f>
        <v>0</v>
      </c>
      <c r="H317" s="1341"/>
      <c r="I317" s="1341"/>
      <c r="J317" s="1341"/>
      <c r="K317" s="1341"/>
      <c r="L317" s="1341"/>
      <c r="M317" s="1341"/>
      <c r="N317" s="1397"/>
      <c r="O317" s="248"/>
      <c r="P317" s="248"/>
      <c r="Q317" s="248"/>
      <c r="R317" s="248"/>
      <c r="S317" s="71"/>
      <c r="T317" s="71"/>
      <c r="U317" s="71"/>
      <c r="V317" s="71"/>
      <c r="W317" s="71"/>
      <c r="X317" s="71"/>
      <c r="Y317" s="71"/>
      <c r="Z317" s="71"/>
      <c r="AA317" s="152"/>
    </row>
    <row r="318" spans="1:27" collapsed="1">
      <c r="A318" s="3"/>
      <c r="B318" s="3"/>
      <c r="C318" s="29"/>
      <c r="D318" s="88"/>
      <c r="E318" s="3"/>
      <c r="F318" s="3"/>
      <c r="G318" s="1340"/>
      <c r="H318" s="1341"/>
      <c r="I318" s="1341"/>
      <c r="J318" s="1341"/>
      <c r="K318" s="1341"/>
      <c r="L318" s="1341"/>
      <c r="M318" s="1341"/>
      <c r="N318" s="1397"/>
      <c r="O318" s="248"/>
      <c r="P318" s="248"/>
      <c r="Q318" s="248"/>
      <c r="R318" s="248"/>
      <c r="S318" s="71"/>
      <c r="T318" s="71"/>
      <c r="U318" s="71"/>
      <c r="V318" s="71"/>
      <c r="W318" s="71"/>
      <c r="X318" s="71"/>
      <c r="Y318" s="71"/>
      <c r="Z318" s="71"/>
      <c r="AA318" s="152"/>
    </row>
    <row r="319" spans="1:27">
      <c r="A319" s="48"/>
      <c r="B319" s="48"/>
      <c r="C319" s="55" t="s">
        <v>47</v>
      </c>
      <c r="D319" s="125"/>
      <c r="E319" s="48"/>
      <c r="F319" s="48"/>
      <c r="G319" s="1402"/>
      <c r="H319" s="1403"/>
      <c r="I319" s="1403"/>
      <c r="J319" s="1403"/>
      <c r="K319" s="1403"/>
      <c r="L319" s="1403"/>
      <c r="M319" s="1403"/>
      <c r="N319" s="1368"/>
      <c r="O319" s="1368"/>
      <c r="P319" s="1368"/>
      <c r="Q319" s="1368"/>
      <c r="R319" s="1368"/>
      <c r="S319" s="71"/>
      <c r="T319" s="71"/>
      <c r="U319" s="71"/>
      <c r="V319" s="71"/>
      <c r="W319" s="71"/>
      <c r="X319" s="71"/>
      <c r="Y319" s="71"/>
      <c r="Z319" s="71"/>
      <c r="AA319" s="152"/>
    </row>
    <row r="320" spans="1:27">
      <c r="A320" s="4"/>
      <c r="B320" s="4"/>
      <c r="C320" s="8"/>
      <c r="D320" s="88"/>
      <c r="E320" s="4"/>
      <c r="F320" s="4"/>
      <c r="G320" s="1358"/>
      <c r="H320" s="1404"/>
      <c r="I320" s="1404"/>
      <c r="J320" s="1404"/>
      <c r="K320" s="1404"/>
      <c r="L320" s="1404"/>
      <c r="M320" s="1404"/>
      <c r="N320" s="1397"/>
      <c r="O320" s="1397"/>
      <c r="P320" s="1397"/>
      <c r="Q320" s="1397"/>
      <c r="R320" s="1397"/>
      <c r="S320" s="71"/>
      <c r="T320" s="71"/>
      <c r="U320" s="71"/>
      <c r="V320" s="71"/>
      <c r="W320" s="71"/>
      <c r="X320" s="71"/>
      <c r="Y320" s="71"/>
      <c r="Z320" s="71"/>
      <c r="AA320" s="152"/>
    </row>
    <row r="321" spans="1:27">
      <c r="A321" s="4"/>
      <c r="B321" s="4"/>
      <c r="C321" s="63" t="s">
        <v>47</v>
      </c>
      <c r="D321" s="126"/>
      <c r="E321" s="8"/>
      <c r="F321" s="8"/>
      <c r="G321" s="77">
        <f>SUM(G322:G371)</f>
        <v>421.65396201769516</v>
      </c>
      <c r="H321" s="77">
        <f t="shared" ref="H321:N321" si="8">SUM(H322:H371)</f>
        <v>434.73676351356318</v>
      </c>
      <c r="I321" s="77">
        <f t="shared" si="8"/>
        <v>450.14863141830102</v>
      </c>
      <c r="J321" s="77">
        <f t="shared" si="8"/>
        <v>465.39935067113578</v>
      </c>
      <c r="K321" s="77">
        <f t="shared" si="8"/>
        <v>477.67489281319956</v>
      </c>
      <c r="L321" s="77">
        <f t="shared" si="8"/>
        <v>482.40120980953736</v>
      </c>
      <c r="M321" s="77">
        <f t="shared" si="8"/>
        <v>505.24049114016162</v>
      </c>
      <c r="N321" s="77">
        <f t="shared" si="8"/>
        <v>533.6320183657981</v>
      </c>
      <c r="O321" s="77">
        <f>SUM(O322:O371)</f>
        <v>0</v>
      </c>
      <c r="P321" s="77">
        <f>SUM(P322:P371)</f>
        <v>0</v>
      </c>
      <c r="Q321" s="77">
        <f>SUM(Q322:Q371)</f>
        <v>0</v>
      </c>
      <c r="R321" s="77">
        <f>SUM(R322:R371)</f>
        <v>0</v>
      </c>
      <c r="S321" s="71"/>
      <c r="T321" s="71"/>
      <c r="U321" s="71"/>
      <c r="V321" s="71"/>
      <c r="W321" s="71"/>
      <c r="X321" s="71"/>
      <c r="Y321" s="71"/>
      <c r="Z321" s="71"/>
      <c r="AA321" s="152"/>
    </row>
    <row r="322" spans="1:27" hidden="1" outlineLevel="1">
      <c r="A322" s="3"/>
      <c r="B322" s="4"/>
      <c r="C322" s="29"/>
      <c r="D322" s="133" t="str">
        <f>Asset1</f>
        <v>Mains</v>
      </c>
      <c r="E322" s="4"/>
      <c r="F322" s="4"/>
      <c r="G322" s="1393">
        <f t="shared" ref="G322:G351" si="9">G8+G60+G112+G164+G216+G268</f>
        <v>307.40493907947723</v>
      </c>
      <c r="H322" s="1404">
        <f t="shared" ref="H322:I331" si="10">H8+H60+H112</f>
        <v>314.74891535956482</v>
      </c>
      <c r="I322" s="1404">
        <f t="shared" si="10"/>
        <v>324.32859013669815</v>
      </c>
      <c r="J322" s="1405">
        <f>IF(COUNT($H322:I322)&gt;='RFM input'!$V$7,0, J8+J60+J112)</f>
        <v>332.89836026094565</v>
      </c>
      <c r="K322" s="1404">
        <f>IF(COUNT($H322:J322)&gt;='RFM input'!$V$7,0, K8+K60+K112)</f>
        <v>339.85046169830309</v>
      </c>
      <c r="L322" s="1404">
        <f>IF(COUNT($H322:K322)&gt;='RFM input'!$V$7,0, L8+L60+L112)</f>
        <v>341.33512544814488</v>
      </c>
      <c r="M322" s="1404">
        <f>IF(COUNT($H322:L322)&gt;='RFM input'!$V$7,0, M8+M60+M112)</f>
        <v>358.78718258667448</v>
      </c>
      <c r="N322" s="1404">
        <f>IF(COUNT($H322:M322)&gt;='RFM input'!$V$7,0, N8+N60+N112)</f>
        <v>380.22051884827215</v>
      </c>
      <c r="O322" s="1404">
        <f>IF(COUNT($H322:N322)&gt;='RFM input'!$V$7,0, O8+O60+O112)</f>
        <v>0</v>
      </c>
      <c r="P322" s="1404">
        <f>IF(COUNT($H322:O322)&gt;='RFM input'!$V$7,0, P8+P60+P112)</f>
        <v>0</v>
      </c>
      <c r="Q322" s="1404">
        <f>IF(COUNT($H322:P322)&gt;='RFM input'!$V$7,0, Q8+Q60+Q112)</f>
        <v>0</v>
      </c>
      <c r="R322" s="1397"/>
      <c r="S322" s="71"/>
      <c r="T322" s="71"/>
      <c r="U322" s="71"/>
      <c r="V322" s="71"/>
      <c r="W322" s="71"/>
      <c r="X322" s="71"/>
      <c r="Y322" s="71"/>
      <c r="Z322" s="71"/>
      <c r="AA322" s="152"/>
    </row>
    <row r="323" spans="1:27" hidden="1" outlineLevel="1">
      <c r="A323" s="3"/>
      <c r="B323" s="4"/>
      <c r="C323" s="29"/>
      <c r="D323" s="133" t="str">
        <f>Asset2</f>
        <v>Inlets</v>
      </c>
      <c r="E323" s="4"/>
      <c r="F323" s="4"/>
      <c r="G323" s="1393">
        <f t="shared" si="9"/>
        <v>74.835251396459029</v>
      </c>
      <c r="H323" s="1404">
        <f t="shared" si="10"/>
        <v>79.255337327788752</v>
      </c>
      <c r="I323" s="1404">
        <f t="shared" si="10"/>
        <v>84.320154286752611</v>
      </c>
      <c r="J323" s="1405">
        <f>IF(COUNT($H323:I323)&gt;='RFM input'!$V$7,0, J9+J61+J113)</f>
        <v>89.589789575819339</v>
      </c>
      <c r="K323" s="1404">
        <f>IF(COUNT($H323:J323)&gt;='RFM input'!$V$7,0, K9+K61+K113)</f>
        <v>94.12095959338366</v>
      </c>
      <c r="L323" s="1404">
        <f>IF(COUNT($H323:K323)&gt;='RFM input'!$V$7,0, L9+L61+L113)</f>
        <v>98.28816752154583</v>
      </c>
      <c r="M323" s="1404">
        <f>IF(COUNT($H323:L323)&gt;='RFM input'!$V$7,0, M9+M61+M113)</f>
        <v>103.64577089855227</v>
      </c>
      <c r="N323" s="1404">
        <f>IF(COUNT($H323:M323)&gt;='RFM input'!$V$7,0, N9+N61+N113)</f>
        <v>111.65013258896298</v>
      </c>
      <c r="O323" s="1404">
        <f>IF(COUNT($H323:N323)&gt;='RFM input'!$V$7,0, O9+O61+O113)</f>
        <v>0</v>
      </c>
      <c r="P323" s="1404">
        <f>IF(COUNT($H323:O323)&gt;='RFM input'!$V$7,0, P9+P61+P113)</f>
        <v>0</v>
      </c>
      <c r="Q323" s="1404">
        <f>IF(COUNT($H323:P323)&gt;='RFM input'!$V$7,0, Q9+Q61+Q113)</f>
        <v>0</v>
      </c>
      <c r="R323" s="1397"/>
      <c r="S323" s="71"/>
      <c r="T323" s="71"/>
      <c r="U323" s="71"/>
      <c r="V323" s="71"/>
      <c r="W323" s="71"/>
      <c r="X323" s="71"/>
      <c r="Y323" s="71"/>
      <c r="Z323" s="71"/>
      <c r="AA323" s="152"/>
    </row>
    <row r="324" spans="1:27" hidden="1" outlineLevel="1">
      <c r="A324" s="3"/>
      <c r="B324" s="4"/>
      <c r="C324" s="29"/>
      <c r="D324" s="133" t="str">
        <f>Asset3</f>
        <v>Meters</v>
      </c>
      <c r="E324" s="4"/>
      <c r="F324" s="4"/>
      <c r="G324" s="1393">
        <f t="shared" si="9"/>
        <v>24.328597289033493</v>
      </c>
      <c r="H324" s="1404">
        <f t="shared" si="10"/>
        <v>24.687938701905662</v>
      </c>
      <c r="I324" s="1404">
        <f t="shared" si="10"/>
        <v>24.960877441283319</v>
      </c>
      <c r="J324" s="1405">
        <f>IF(COUNT($H324:I324)&gt;='RFM input'!$V$7,0, J10+J62+J114)</f>
        <v>25.493719500278662</v>
      </c>
      <c r="K324" s="1404">
        <f>IF(COUNT($H324:J324)&gt;='RFM input'!$V$7,0, K10+K62+K114)</f>
        <v>24.034605693422598</v>
      </c>
      <c r="L324" s="1404">
        <f>IF(COUNT($H324:K324)&gt;='RFM input'!$V$7,0, L10+L62+L114)</f>
        <v>22.346605418813933</v>
      </c>
      <c r="M324" s="1404">
        <f>IF(COUNT($H324:L324)&gt;='RFM input'!$V$7,0, M10+M62+M114)</f>
        <v>20.947427082876199</v>
      </c>
      <c r="N324" s="1404">
        <f>IF(COUNT($H324:M324)&gt;='RFM input'!$V$7,0, N10+N62+N114)</f>
        <v>19.138195277376656</v>
      </c>
      <c r="O324" s="1404">
        <f>IF(COUNT($H324:N324)&gt;='RFM input'!$V$7,0, O10+O62+O114)</f>
        <v>0</v>
      </c>
      <c r="P324" s="1404">
        <f>IF(COUNT($H324:O324)&gt;='RFM input'!$V$7,0, P10+P62+P114)</f>
        <v>0</v>
      </c>
      <c r="Q324" s="1404">
        <f>IF(COUNT($H324:P324)&gt;='RFM input'!$V$7,0, Q10+Q62+Q114)</f>
        <v>0</v>
      </c>
      <c r="R324" s="1397"/>
      <c r="S324" s="71"/>
      <c r="T324" s="71"/>
      <c r="U324" s="71"/>
      <c r="V324" s="71"/>
      <c r="W324" s="71"/>
      <c r="X324" s="71"/>
      <c r="Y324" s="71"/>
      <c r="Z324" s="71"/>
      <c r="AA324" s="152"/>
    </row>
    <row r="325" spans="1:27" hidden="1" outlineLevel="1">
      <c r="A325" s="3"/>
      <c r="B325" s="4"/>
      <c r="C325" s="29"/>
      <c r="D325" s="133" t="str">
        <f>Asset4</f>
        <v>Telemetry</v>
      </c>
      <c r="E325" s="4"/>
      <c r="F325" s="4"/>
      <c r="G325" s="1393">
        <f t="shared" si="9"/>
        <v>-0.58034433790308881</v>
      </c>
      <c r="H325" s="1404">
        <f t="shared" si="10"/>
        <v>-2.2758342565681322E-2</v>
      </c>
      <c r="I325" s="1404">
        <f t="shared" si="10"/>
        <v>0.30108128613513441</v>
      </c>
      <c r="J325" s="1405">
        <f>IF(COUNT($H325:I325)&gt;='RFM input'!$V$7,0, J11+J63+J115)</f>
        <v>0.49881976198016753</v>
      </c>
      <c r="K325" s="1404">
        <f>IF(COUNT($H325:J325)&gt;='RFM input'!$V$7,0, K11+K63+K115)</f>
        <v>0.67888734002817075</v>
      </c>
      <c r="L325" s="1404">
        <f>IF(COUNT($H325:K325)&gt;='RFM input'!$V$7,0, L11+L63+L115)</f>
        <v>0.71255672177786167</v>
      </c>
      <c r="M325" s="1404">
        <f>IF(COUNT($H325:L325)&gt;='RFM input'!$V$7,0, M11+M63+M115)</f>
        <v>0.75701677619331875</v>
      </c>
      <c r="N325" s="1404">
        <f>IF(COUNT($H325:M325)&gt;='RFM input'!$V$7,0, N11+N63+N115)</f>
        <v>0.80876652860778364</v>
      </c>
      <c r="O325" s="1404">
        <f>IF(COUNT($H325:N325)&gt;='RFM input'!$V$7,0, O11+O63+O115)</f>
        <v>0</v>
      </c>
      <c r="P325" s="1404">
        <f>IF(COUNT($H325:O325)&gt;='RFM input'!$V$7,0, P11+P63+P115)</f>
        <v>0</v>
      </c>
      <c r="Q325" s="1404">
        <f>IF(COUNT($H325:P325)&gt;='RFM input'!$V$7,0, Q11+Q63+Q115)</f>
        <v>0</v>
      </c>
      <c r="R325" s="1397"/>
      <c r="S325" s="71"/>
      <c r="T325" s="71"/>
      <c r="U325" s="71"/>
      <c r="V325" s="71"/>
      <c r="W325" s="71"/>
      <c r="X325" s="71"/>
      <c r="Y325" s="71"/>
      <c r="Z325" s="71"/>
      <c r="AA325" s="152"/>
    </row>
    <row r="326" spans="1:27" hidden="1" outlineLevel="1">
      <c r="A326" s="3"/>
      <c r="B326" s="4"/>
      <c r="C326" s="29"/>
      <c r="D326" s="133" t="str">
        <f>Asset5</f>
        <v>IT System</v>
      </c>
      <c r="E326" s="4"/>
      <c r="F326" s="4"/>
      <c r="G326" s="1393">
        <f t="shared" si="9"/>
        <v>6.3057802613645082</v>
      </c>
      <c r="H326" s="1404">
        <f t="shared" si="10"/>
        <v>5.8740359488609668</v>
      </c>
      <c r="I326" s="1404">
        <f t="shared" si="10"/>
        <v>5.7470783253470232</v>
      </c>
      <c r="J326" s="1405">
        <f>IF(COUNT($H326:I326)&gt;='RFM input'!$V$7,0, J12+J64+J116)</f>
        <v>5.870103009037968</v>
      </c>
      <c r="K326" s="1404">
        <f>IF(COUNT($H326:J326)&gt;='RFM input'!$V$7,0, K12+K64+K116)</f>
        <v>6.3556378172263512</v>
      </c>
      <c r="L326" s="1404">
        <f>IF(COUNT($H326:K326)&gt;='RFM input'!$V$7,0, L12+L64+L116)</f>
        <v>6.5394053343188467</v>
      </c>
      <c r="M326" s="1404">
        <f>IF(COUNT($H326:L326)&gt;='RFM input'!$V$7,0, M12+M64+M116)</f>
        <v>7.0362298316417089</v>
      </c>
      <c r="N326" s="1404">
        <f>IF(COUNT($H326:M326)&gt;='RFM input'!$V$7,0, N12+N64+N116)</f>
        <v>6.2856793741756096</v>
      </c>
      <c r="O326" s="1404">
        <f>IF(COUNT($H326:N326)&gt;='RFM input'!$V$7,0, O12+O64+O116)</f>
        <v>0</v>
      </c>
      <c r="P326" s="1404">
        <f>IF(COUNT($H326:O326)&gt;='RFM input'!$V$7,0, P12+P64+P116)</f>
        <v>0</v>
      </c>
      <c r="Q326" s="1404">
        <f>IF(COUNT($H326:P326)&gt;='RFM input'!$V$7,0, Q12+Q64+Q116)</f>
        <v>0</v>
      </c>
      <c r="R326" s="1397"/>
      <c r="S326" s="71"/>
      <c r="T326" s="71"/>
      <c r="U326" s="71"/>
      <c r="V326" s="71"/>
      <c r="W326" s="71"/>
      <c r="X326" s="71"/>
      <c r="Y326" s="71"/>
      <c r="Z326" s="71"/>
      <c r="AA326" s="152"/>
    </row>
    <row r="327" spans="1:27" hidden="1" outlineLevel="1">
      <c r="A327" s="3"/>
      <c r="B327" s="4"/>
      <c r="C327" s="29"/>
      <c r="D327" s="133" t="str">
        <f>Asset6</f>
        <v>Other Distribution System Equipment</v>
      </c>
      <c r="E327" s="4"/>
      <c r="F327" s="4"/>
      <c r="G327" s="1393">
        <f t="shared" si="9"/>
        <v>9.3811826906979316</v>
      </c>
      <c r="H327" s="1404">
        <f t="shared" si="10"/>
        <v>10.24471524130473</v>
      </c>
      <c r="I327" s="1404">
        <f t="shared" si="10"/>
        <v>10.540242571380944</v>
      </c>
      <c r="J327" s="1405">
        <f>IF(COUNT($H327:I327)&gt;='RFM input'!$V$7,0, J13+J65+J117)</f>
        <v>11.095765195346914</v>
      </c>
      <c r="K327" s="1404">
        <f>IF(COUNT($H327:J327)&gt;='RFM input'!$V$7,0, K13+K65+K117)</f>
        <v>12.679294192426374</v>
      </c>
      <c r="L327" s="1404">
        <f>IF(COUNT($H327:K327)&gt;='RFM input'!$V$7,0, L13+L65+L117)</f>
        <v>13.221510083307749</v>
      </c>
      <c r="M327" s="1404">
        <f>IF(COUNT($H327:L327)&gt;='RFM input'!$V$7,0, M13+M65+M117)</f>
        <v>14.107292841897515</v>
      </c>
      <c r="N327" s="1404">
        <f>IF(COUNT($H327:M327)&gt;='RFM input'!$V$7,0, N13+N65+N117)</f>
        <v>15.569002016008948</v>
      </c>
      <c r="O327" s="1404">
        <f>IF(COUNT($H327:N327)&gt;='RFM input'!$V$7,0, O13+O65+O117)</f>
        <v>0</v>
      </c>
      <c r="P327" s="1404">
        <f>IF(COUNT($H327:O327)&gt;='RFM input'!$V$7,0, P13+P65+P117)</f>
        <v>0</v>
      </c>
      <c r="Q327" s="1404">
        <f>IF(COUNT($H327:P327)&gt;='RFM input'!$V$7,0, Q13+Q65+Q117)</f>
        <v>0</v>
      </c>
      <c r="R327" s="1397"/>
      <c r="S327" s="71"/>
      <c r="T327" s="71"/>
      <c r="U327" s="71"/>
      <c r="V327" s="71"/>
      <c r="W327" s="71"/>
      <c r="X327" s="71"/>
      <c r="Y327" s="71"/>
      <c r="Z327" s="71"/>
      <c r="AA327" s="152"/>
    </row>
    <row r="328" spans="1:27" hidden="1" outlineLevel="1">
      <c r="A328" s="3"/>
      <c r="B328" s="4"/>
      <c r="C328" s="29"/>
      <c r="D328" s="133" t="str">
        <f>Asset7</f>
        <v>Other</v>
      </c>
      <c r="E328" s="4"/>
      <c r="F328" s="4"/>
      <c r="G328" s="1393">
        <f t="shared" si="9"/>
        <v>-2.144436143397346E-2</v>
      </c>
      <c r="H328" s="1404">
        <f t="shared" si="10"/>
        <v>-5.142072329607892E-2</v>
      </c>
      <c r="I328" s="1404">
        <f t="shared" si="10"/>
        <v>-4.9392629296192425E-2</v>
      </c>
      <c r="J328" s="1405">
        <f>IF(COUNT($H328:I328)&gt;='RFM input'!$V$7,0, J14+J66+J118)</f>
        <v>-4.7206632272896884E-2</v>
      </c>
      <c r="K328" s="1404">
        <f>IF(COUNT($H328:J328)&gt;='RFM input'!$V$7,0, K14+K66+K118)</f>
        <v>-4.4953521590624261E-2</v>
      </c>
      <c r="L328" s="1404">
        <f>IF(COUNT($H328:K328)&gt;='RFM input'!$V$7,0, L14+L66+L118)</f>
        <v>-4.2160718371736822E-2</v>
      </c>
      <c r="M328" s="1404">
        <f>IF(COUNT($H328:L328)&gt;='RFM input'!$V$7,0, M14+M66+M118)</f>
        <v>-4.0428877673857708E-2</v>
      </c>
      <c r="N328" s="1404">
        <f>IF(COUNT($H328:M328)&gt;='RFM input'!$V$7,0, N14+N66+N118)</f>
        <v>-4.027626760602207E-2</v>
      </c>
      <c r="O328" s="1404">
        <f>IF(COUNT($H328:N328)&gt;='RFM input'!$V$7,0, O14+O66+O118)</f>
        <v>0</v>
      </c>
      <c r="P328" s="1404">
        <f>IF(COUNT($H328:O328)&gt;='RFM input'!$V$7,0, P14+P66+P118)</f>
        <v>0</v>
      </c>
      <c r="Q328" s="1404">
        <f>IF(COUNT($H328:P328)&gt;='RFM input'!$V$7,0, Q14+Q66+Q118)</f>
        <v>0</v>
      </c>
      <c r="R328" s="1397"/>
      <c r="S328" s="71"/>
      <c r="T328" s="71"/>
      <c r="U328" s="71"/>
      <c r="V328" s="71"/>
      <c r="W328" s="71"/>
      <c r="X328" s="71"/>
      <c r="Y328" s="71"/>
      <c r="Z328" s="71"/>
      <c r="AA328" s="152"/>
    </row>
    <row r="329" spans="1:27" hidden="1" outlineLevel="1">
      <c r="A329" s="3"/>
      <c r="B329" s="4"/>
      <c r="C329" s="29"/>
      <c r="D329" s="133">
        <f>Asset8</f>
        <v>0</v>
      </c>
      <c r="E329" s="4"/>
      <c r="F329" s="4"/>
      <c r="G329" s="1393">
        <f t="shared" si="9"/>
        <v>0</v>
      </c>
      <c r="H329" s="1404">
        <f t="shared" si="10"/>
        <v>0</v>
      </c>
      <c r="I329" s="1404">
        <f t="shared" si="10"/>
        <v>0</v>
      </c>
      <c r="J329" s="1405">
        <f>IF(COUNT($H329:I329)&gt;='RFM input'!$V$7,0, J15+J67+J119)</f>
        <v>0</v>
      </c>
      <c r="K329" s="1404">
        <f>IF(COUNT($H329:J329)&gt;='RFM input'!$V$7,0, K15+K67+K119)</f>
        <v>0</v>
      </c>
      <c r="L329" s="1404">
        <f>IF(COUNT($H329:K329)&gt;='RFM input'!$V$7,0, L15+L67+L119)</f>
        <v>0</v>
      </c>
      <c r="M329" s="1404">
        <f>IF(COUNT($H329:L329)&gt;='RFM input'!$V$7,0, M15+M67+M119)</f>
        <v>0</v>
      </c>
      <c r="N329" s="1404">
        <f>IF(COUNT($H329:M329)&gt;='RFM input'!$V$7,0, N15+N67+N119)</f>
        <v>0</v>
      </c>
      <c r="O329" s="1404">
        <f>IF(COUNT($H329:N329)&gt;='RFM input'!$V$7,0, O15+O67+O119)</f>
        <v>0</v>
      </c>
      <c r="P329" s="1404">
        <f>IF(COUNT($H329:O329)&gt;='RFM input'!$V$7,0, P15+P67+P119)</f>
        <v>0</v>
      </c>
      <c r="Q329" s="1404">
        <f>IF(COUNT($H329:P329)&gt;='RFM input'!$V$7,0, Q15+Q67+Q119)</f>
        <v>0</v>
      </c>
      <c r="R329" s="1397"/>
      <c r="S329" s="71"/>
      <c r="T329" s="71"/>
      <c r="U329" s="71"/>
      <c r="V329" s="71"/>
      <c r="W329" s="71"/>
      <c r="X329" s="71"/>
      <c r="Y329" s="71"/>
      <c r="Z329" s="71"/>
      <c r="AA329" s="152"/>
    </row>
    <row r="330" spans="1:27" hidden="1" outlineLevel="1">
      <c r="A330" s="3"/>
      <c r="B330" s="4"/>
      <c r="C330" s="29"/>
      <c r="D330" s="133">
        <f>Asset9</f>
        <v>0</v>
      </c>
      <c r="E330" s="4"/>
      <c r="F330" s="4"/>
      <c r="G330" s="1393">
        <f t="shared" si="9"/>
        <v>0</v>
      </c>
      <c r="H330" s="1404">
        <f t="shared" si="10"/>
        <v>0</v>
      </c>
      <c r="I330" s="1404">
        <f t="shared" si="10"/>
        <v>0</v>
      </c>
      <c r="J330" s="1405">
        <f>IF(COUNT($H330:I330)&gt;='RFM input'!$V$7,0, J16+J68+J120)</f>
        <v>0</v>
      </c>
      <c r="K330" s="1404">
        <f>IF(COUNT($H330:J330)&gt;='RFM input'!$V$7,0, K16+K68+K120)</f>
        <v>0</v>
      </c>
      <c r="L330" s="1404">
        <f>IF(COUNT($H330:K330)&gt;='RFM input'!$V$7,0, L16+L68+L120)</f>
        <v>0</v>
      </c>
      <c r="M330" s="1404">
        <f>IF(COUNT($H330:L330)&gt;='RFM input'!$V$7,0, M16+M68+M120)</f>
        <v>0</v>
      </c>
      <c r="N330" s="1404">
        <f>IF(COUNT($H330:M330)&gt;='RFM input'!$V$7,0, N16+N68+N120)</f>
        <v>0</v>
      </c>
      <c r="O330" s="1404">
        <f>IF(COUNT($H330:N330)&gt;='RFM input'!$V$7,0, O16+O68+O120)</f>
        <v>0</v>
      </c>
      <c r="P330" s="1404">
        <f>IF(COUNT($H330:O330)&gt;='RFM input'!$V$7,0, P16+P68+P120)</f>
        <v>0</v>
      </c>
      <c r="Q330" s="1404">
        <f>IF(COUNT($H330:P330)&gt;='RFM input'!$V$7,0, Q16+Q68+Q120)</f>
        <v>0</v>
      </c>
      <c r="R330" s="1397"/>
      <c r="S330" s="71"/>
      <c r="T330" s="71"/>
      <c r="U330" s="71"/>
      <c r="V330" s="71"/>
      <c r="W330" s="71"/>
      <c r="X330" s="71"/>
      <c r="Y330" s="71"/>
      <c r="Z330" s="71"/>
      <c r="AA330" s="152"/>
    </row>
    <row r="331" spans="1:27" hidden="1" outlineLevel="1">
      <c r="A331" s="3"/>
      <c r="B331" s="4"/>
      <c r="C331" s="29"/>
      <c r="D331" s="133">
        <f>Asset10</f>
        <v>0</v>
      </c>
      <c r="E331" s="4"/>
      <c r="F331" s="4"/>
      <c r="G331" s="1393">
        <f t="shared" si="9"/>
        <v>0</v>
      </c>
      <c r="H331" s="1404">
        <f t="shared" si="10"/>
        <v>0</v>
      </c>
      <c r="I331" s="1404">
        <f t="shared" si="10"/>
        <v>0</v>
      </c>
      <c r="J331" s="1405">
        <f>IF(COUNT($H331:I331)&gt;='RFM input'!$V$7,0, J17+J69+J121)</f>
        <v>0</v>
      </c>
      <c r="K331" s="1404">
        <f>IF(COUNT($H331:J331)&gt;='RFM input'!$V$7,0, K17+K69+K121)</f>
        <v>0</v>
      </c>
      <c r="L331" s="1404">
        <f>IF(COUNT($H331:K331)&gt;='RFM input'!$V$7,0, L17+L69+L121)</f>
        <v>0</v>
      </c>
      <c r="M331" s="1404">
        <f>IF(COUNT($H331:L331)&gt;='RFM input'!$V$7,0, M17+M69+M121)</f>
        <v>0</v>
      </c>
      <c r="N331" s="1404">
        <f>IF(COUNT($H331:M331)&gt;='RFM input'!$V$7,0, N17+N69+N121)</f>
        <v>0</v>
      </c>
      <c r="O331" s="1404">
        <f>IF(COUNT($H331:N331)&gt;='RFM input'!$V$7,0, O17+O69+O121)</f>
        <v>0</v>
      </c>
      <c r="P331" s="1404">
        <f>IF(COUNT($H331:O331)&gt;='RFM input'!$V$7,0, P17+P69+P121)</f>
        <v>0</v>
      </c>
      <c r="Q331" s="1404">
        <f>IF(COUNT($H331:P331)&gt;='RFM input'!$V$7,0, Q17+Q69+Q121)</f>
        <v>0</v>
      </c>
      <c r="R331" s="1397"/>
      <c r="S331" s="71"/>
      <c r="T331" s="71"/>
      <c r="U331" s="71"/>
      <c r="V331" s="71"/>
      <c r="W331" s="71"/>
      <c r="X331" s="71"/>
      <c r="Y331" s="71"/>
      <c r="Z331" s="71"/>
      <c r="AA331" s="152"/>
    </row>
    <row r="332" spans="1:27" hidden="1" outlineLevel="1">
      <c r="A332" s="3"/>
      <c r="B332" s="4"/>
      <c r="C332" s="29"/>
      <c r="D332" s="133">
        <f>Asset11</f>
        <v>0</v>
      </c>
      <c r="E332" s="4"/>
      <c r="F332" s="4"/>
      <c r="G332" s="1393">
        <f t="shared" si="9"/>
        <v>0</v>
      </c>
      <c r="H332" s="1404">
        <f t="shared" ref="H332:I341" si="11">H18+H70+H122</f>
        <v>0</v>
      </c>
      <c r="I332" s="1404">
        <f t="shared" si="11"/>
        <v>0</v>
      </c>
      <c r="J332" s="1405">
        <f>IF(COUNT($H332:I332)&gt;='RFM input'!$V$7,0, J18+J70+J122)</f>
        <v>0</v>
      </c>
      <c r="K332" s="1404">
        <f>IF(COUNT($H332:J332)&gt;='RFM input'!$V$7,0, K18+K70+K122)</f>
        <v>0</v>
      </c>
      <c r="L332" s="1404">
        <f>IF(COUNT($H332:K332)&gt;='RFM input'!$V$7,0, L18+L70+L122)</f>
        <v>0</v>
      </c>
      <c r="M332" s="1404">
        <f>IF(COUNT($H332:L332)&gt;='RFM input'!$V$7,0, M18+M70+M122)</f>
        <v>0</v>
      </c>
      <c r="N332" s="1404">
        <f>IF(COUNT($H332:M332)&gt;='RFM input'!$V$7,0, N18+N70+N122)</f>
        <v>0</v>
      </c>
      <c r="O332" s="1404">
        <f>IF(COUNT($H332:N332)&gt;='RFM input'!$V$7,0, O18+O70+O122)</f>
        <v>0</v>
      </c>
      <c r="P332" s="1404">
        <f>IF(COUNT($H332:O332)&gt;='RFM input'!$V$7,0, P18+P70+P122)</f>
        <v>0</v>
      </c>
      <c r="Q332" s="1404">
        <f>IF(COUNT($H332:P332)&gt;='RFM input'!$V$7,0, Q18+Q70+Q122)</f>
        <v>0</v>
      </c>
      <c r="R332" s="1397"/>
      <c r="S332" s="71"/>
      <c r="T332" s="71"/>
      <c r="U332" s="71"/>
      <c r="V332" s="71"/>
      <c r="W332" s="71"/>
      <c r="X332" s="71"/>
      <c r="Y332" s="71"/>
      <c r="Z332" s="71"/>
      <c r="AA332" s="152"/>
    </row>
    <row r="333" spans="1:27" hidden="1" outlineLevel="1">
      <c r="A333" s="3"/>
      <c r="B333" s="4"/>
      <c r="C333" s="29"/>
      <c r="D333" s="133">
        <f>Asset12</f>
        <v>0</v>
      </c>
      <c r="E333" s="4"/>
      <c r="F333" s="4"/>
      <c r="G333" s="1393">
        <f t="shared" si="9"/>
        <v>0</v>
      </c>
      <c r="H333" s="1404">
        <f t="shared" si="11"/>
        <v>0</v>
      </c>
      <c r="I333" s="1404">
        <f t="shared" si="11"/>
        <v>0</v>
      </c>
      <c r="J333" s="1405">
        <f>IF(COUNT($H333:I333)&gt;='RFM input'!$V$7,0, J19+J71+J123)</f>
        <v>0</v>
      </c>
      <c r="K333" s="1404">
        <f>IF(COUNT($H333:J333)&gt;='RFM input'!$V$7,0, K19+K71+K123)</f>
        <v>0</v>
      </c>
      <c r="L333" s="1404">
        <f>IF(COUNT($H333:K333)&gt;='RFM input'!$V$7,0, L19+L71+L123)</f>
        <v>0</v>
      </c>
      <c r="M333" s="1404">
        <f>IF(COUNT($H333:L333)&gt;='RFM input'!$V$7,0, M19+M71+M123)</f>
        <v>0</v>
      </c>
      <c r="N333" s="1404">
        <f>IF(COUNT($H333:M333)&gt;='RFM input'!$V$7,0, N19+N71+N123)</f>
        <v>0</v>
      </c>
      <c r="O333" s="1404">
        <f>IF(COUNT($H333:N333)&gt;='RFM input'!$V$7,0, O19+O71+O123)</f>
        <v>0</v>
      </c>
      <c r="P333" s="1404">
        <f>IF(COUNT($H333:O333)&gt;='RFM input'!$V$7,0, P19+P71+P123)</f>
        <v>0</v>
      </c>
      <c r="Q333" s="1404">
        <f>IF(COUNT($H333:P333)&gt;='RFM input'!$V$7,0, Q19+Q71+Q123)</f>
        <v>0</v>
      </c>
      <c r="R333" s="1397"/>
      <c r="S333" s="71"/>
      <c r="T333" s="71"/>
      <c r="U333" s="71"/>
      <c r="V333" s="71"/>
      <c r="W333" s="71"/>
      <c r="X333" s="71"/>
      <c r="Y333" s="71"/>
      <c r="Z333" s="71"/>
      <c r="AA333" s="152"/>
    </row>
    <row r="334" spans="1:27" hidden="1" outlineLevel="1">
      <c r="A334" s="3"/>
      <c r="B334" s="4"/>
      <c r="C334" s="29"/>
      <c r="D334" s="133">
        <f>Asset13</f>
        <v>0</v>
      </c>
      <c r="E334" s="4"/>
      <c r="F334" s="4"/>
      <c r="G334" s="1393">
        <f t="shared" si="9"/>
        <v>0</v>
      </c>
      <c r="H334" s="1404">
        <f t="shared" si="11"/>
        <v>0</v>
      </c>
      <c r="I334" s="1404">
        <f t="shared" si="11"/>
        <v>0</v>
      </c>
      <c r="J334" s="1405">
        <f>IF(COUNT($H334:I334)&gt;='RFM input'!$V$7,0, J20+J72+J124)</f>
        <v>0</v>
      </c>
      <c r="K334" s="1404">
        <f>IF(COUNT($H334:J334)&gt;='RFM input'!$V$7,0, K20+K72+K124)</f>
        <v>0</v>
      </c>
      <c r="L334" s="1404">
        <f>IF(COUNT($H334:K334)&gt;='RFM input'!$V$7,0, L20+L72+L124)</f>
        <v>0</v>
      </c>
      <c r="M334" s="1404">
        <f>IF(COUNT($H334:L334)&gt;='RFM input'!$V$7,0, M20+M72+M124)</f>
        <v>0</v>
      </c>
      <c r="N334" s="1404">
        <f>IF(COUNT($H334:M334)&gt;='RFM input'!$V$7,0, N20+N72+N124)</f>
        <v>0</v>
      </c>
      <c r="O334" s="1404">
        <f>IF(COUNT($H334:N334)&gt;='RFM input'!$V$7,0, O20+O72+O124)</f>
        <v>0</v>
      </c>
      <c r="P334" s="1404">
        <f>IF(COUNT($H334:O334)&gt;='RFM input'!$V$7,0, P20+P72+P124)</f>
        <v>0</v>
      </c>
      <c r="Q334" s="1404">
        <f>IF(COUNT($H334:P334)&gt;='RFM input'!$V$7,0, Q20+Q72+Q124)</f>
        <v>0</v>
      </c>
      <c r="R334" s="1397"/>
      <c r="S334" s="71"/>
      <c r="T334" s="71"/>
      <c r="U334" s="71"/>
      <c r="V334" s="71"/>
      <c r="W334" s="71"/>
      <c r="X334" s="71"/>
      <c r="Y334" s="71"/>
      <c r="Z334" s="71"/>
      <c r="AA334" s="152"/>
    </row>
    <row r="335" spans="1:27" hidden="1" outlineLevel="1">
      <c r="A335" s="3"/>
      <c r="B335" s="4"/>
      <c r="C335" s="29"/>
      <c r="D335" s="133">
        <f>Asset14</f>
        <v>0</v>
      </c>
      <c r="E335" s="4"/>
      <c r="F335" s="4"/>
      <c r="G335" s="1393">
        <f t="shared" si="9"/>
        <v>0</v>
      </c>
      <c r="H335" s="1404">
        <f t="shared" si="11"/>
        <v>0</v>
      </c>
      <c r="I335" s="1404">
        <f t="shared" si="11"/>
        <v>0</v>
      </c>
      <c r="J335" s="1405">
        <f>IF(COUNT($H335:I335)&gt;='RFM input'!$V$7,0, J21+J73+J125)</f>
        <v>0</v>
      </c>
      <c r="K335" s="1404">
        <f>IF(COUNT($H335:J335)&gt;='RFM input'!$V$7,0, K21+K73+K125)</f>
        <v>0</v>
      </c>
      <c r="L335" s="1404">
        <f>IF(COUNT($H335:K335)&gt;='RFM input'!$V$7,0, L21+L73+L125)</f>
        <v>0</v>
      </c>
      <c r="M335" s="1404">
        <f>IF(COUNT($H335:L335)&gt;='RFM input'!$V$7,0, M21+M73+M125)</f>
        <v>0</v>
      </c>
      <c r="N335" s="1404">
        <f>IF(COUNT($H335:M335)&gt;='RFM input'!$V$7,0, N21+N73+N125)</f>
        <v>0</v>
      </c>
      <c r="O335" s="1404">
        <f>IF(COUNT($H335:N335)&gt;='RFM input'!$V$7,0, O21+O73+O125)</f>
        <v>0</v>
      </c>
      <c r="P335" s="1404">
        <f>IF(COUNT($H335:O335)&gt;='RFM input'!$V$7,0, P21+P73+P125)</f>
        <v>0</v>
      </c>
      <c r="Q335" s="1404">
        <f>IF(COUNT($H335:P335)&gt;='RFM input'!$V$7,0, Q21+Q73+Q125)</f>
        <v>0</v>
      </c>
      <c r="R335" s="1397"/>
      <c r="S335" s="71"/>
      <c r="T335" s="71"/>
      <c r="U335" s="71"/>
      <c r="V335" s="71"/>
      <c r="W335" s="71"/>
      <c r="X335" s="71"/>
      <c r="Y335" s="71"/>
      <c r="Z335" s="71"/>
      <c r="AA335" s="152"/>
    </row>
    <row r="336" spans="1:27" hidden="1" outlineLevel="1">
      <c r="A336" s="3"/>
      <c r="B336" s="4"/>
      <c r="C336" s="29"/>
      <c r="D336" s="133">
        <f>Asset15</f>
        <v>0</v>
      </c>
      <c r="E336" s="4"/>
      <c r="F336" s="4"/>
      <c r="G336" s="1393">
        <f t="shared" si="9"/>
        <v>0</v>
      </c>
      <c r="H336" s="1404">
        <f t="shared" si="11"/>
        <v>0</v>
      </c>
      <c r="I336" s="1404">
        <f t="shared" si="11"/>
        <v>0</v>
      </c>
      <c r="J336" s="1405">
        <f>IF(COUNT($H336:I336)&gt;='RFM input'!$V$7,0, J22+J74+J126)</f>
        <v>0</v>
      </c>
      <c r="K336" s="1404">
        <f>IF(COUNT($H336:J336)&gt;='RFM input'!$V$7,0, K22+K74+K126)</f>
        <v>0</v>
      </c>
      <c r="L336" s="1404">
        <f>IF(COUNT($H336:K336)&gt;='RFM input'!$V$7,0, L22+L74+L126)</f>
        <v>0</v>
      </c>
      <c r="M336" s="1404">
        <f>IF(COUNT($H336:L336)&gt;='RFM input'!$V$7,0, M22+M74+M126)</f>
        <v>0</v>
      </c>
      <c r="N336" s="1404">
        <f>IF(COUNT($H336:M336)&gt;='RFM input'!$V$7,0, N22+N74+N126)</f>
        <v>0</v>
      </c>
      <c r="O336" s="1404">
        <f>IF(COUNT($H336:N336)&gt;='RFM input'!$V$7,0, O22+O74+O126)</f>
        <v>0</v>
      </c>
      <c r="P336" s="1404">
        <f>IF(COUNT($H336:O336)&gt;='RFM input'!$V$7,0, P22+P74+P126)</f>
        <v>0</v>
      </c>
      <c r="Q336" s="1404">
        <f>IF(COUNT($H336:P336)&gt;='RFM input'!$V$7,0, Q22+Q74+Q126)</f>
        <v>0</v>
      </c>
      <c r="R336" s="1397"/>
      <c r="S336" s="71"/>
      <c r="T336" s="71"/>
      <c r="U336" s="71"/>
      <c r="V336" s="71"/>
      <c r="W336" s="71"/>
      <c r="X336" s="71"/>
      <c r="Y336" s="71"/>
      <c r="Z336" s="71"/>
      <c r="AA336" s="152"/>
    </row>
    <row r="337" spans="1:27" hidden="1" outlineLevel="1">
      <c r="A337" s="3"/>
      <c r="B337" s="4"/>
      <c r="C337" s="29"/>
      <c r="D337" s="133">
        <f>Asset16</f>
        <v>0</v>
      </c>
      <c r="E337" s="4"/>
      <c r="F337" s="4"/>
      <c r="G337" s="1393">
        <f t="shared" si="9"/>
        <v>0</v>
      </c>
      <c r="H337" s="1404">
        <f t="shared" si="11"/>
        <v>0</v>
      </c>
      <c r="I337" s="1404">
        <f t="shared" si="11"/>
        <v>0</v>
      </c>
      <c r="J337" s="1405">
        <f>IF(COUNT($H337:I337)&gt;='RFM input'!$V$7,0, J23+J75+J127)</f>
        <v>0</v>
      </c>
      <c r="K337" s="1404">
        <f>IF(COUNT($H337:J337)&gt;='RFM input'!$V$7,0, K23+K75+K127)</f>
        <v>0</v>
      </c>
      <c r="L337" s="1404">
        <f>IF(COUNT($H337:K337)&gt;='RFM input'!$V$7,0, L23+L75+L127)</f>
        <v>0</v>
      </c>
      <c r="M337" s="1404">
        <f>IF(COUNT($H337:L337)&gt;='RFM input'!$V$7,0, M23+M75+M127)</f>
        <v>0</v>
      </c>
      <c r="N337" s="1404">
        <f>IF(COUNT($H337:M337)&gt;='RFM input'!$V$7,0, N23+N75+N127)</f>
        <v>0</v>
      </c>
      <c r="O337" s="1404">
        <f>IF(COUNT($H337:N337)&gt;='RFM input'!$V$7,0, O23+O75+O127)</f>
        <v>0</v>
      </c>
      <c r="P337" s="1404">
        <f>IF(COUNT($H337:O337)&gt;='RFM input'!$V$7,0, P23+P75+P127)</f>
        <v>0</v>
      </c>
      <c r="Q337" s="1404">
        <f>IF(COUNT($H337:P337)&gt;='RFM input'!$V$7,0, Q23+Q75+Q127)</f>
        <v>0</v>
      </c>
      <c r="R337" s="1397"/>
      <c r="S337" s="71"/>
      <c r="T337" s="71"/>
      <c r="U337" s="71"/>
      <c r="V337" s="71"/>
      <c r="W337" s="71"/>
      <c r="X337" s="71"/>
      <c r="Y337" s="71"/>
      <c r="Z337" s="71"/>
      <c r="AA337" s="152"/>
    </row>
    <row r="338" spans="1:27" hidden="1" outlineLevel="1">
      <c r="A338" s="3"/>
      <c r="B338" s="4"/>
      <c r="C338" s="29"/>
      <c r="D338" s="133">
        <f>Asset17</f>
        <v>0</v>
      </c>
      <c r="E338" s="4"/>
      <c r="F338" s="4"/>
      <c r="G338" s="1393">
        <f t="shared" si="9"/>
        <v>0</v>
      </c>
      <c r="H338" s="1404">
        <f t="shared" si="11"/>
        <v>0</v>
      </c>
      <c r="I338" s="1404">
        <f t="shared" si="11"/>
        <v>0</v>
      </c>
      <c r="J338" s="1405">
        <f>IF(COUNT($H338:I338)&gt;='RFM input'!$V$7,0, J24+J76+J128)</f>
        <v>0</v>
      </c>
      <c r="K338" s="1404">
        <f>IF(COUNT($H338:J338)&gt;='RFM input'!$V$7,0, K24+K76+K128)</f>
        <v>0</v>
      </c>
      <c r="L338" s="1404">
        <f>IF(COUNT($H338:K338)&gt;='RFM input'!$V$7,0, L24+L76+L128)</f>
        <v>0</v>
      </c>
      <c r="M338" s="1404">
        <f>IF(COUNT($H338:L338)&gt;='RFM input'!$V$7,0, M24+M76+M128)</f>
        <v>0</v>
      </c>
      <c r="N338" s="1404">
        <f>IF(COUNT($H338:M338)&gt;='RFM input'!$V$7,0, N24+N76+N128)</f>
        <v>0</v>
      </c>
      <c r="O338" s="1404">
        <f>IF(COUNT($H338:N338)&gt;='RFM input'!$V$7,0, O24+O76+O128)</f>
        <v>0</v>
      </c>
      <c r="P338" s="1404">
        <f>IF(COUNT($H338:O338)&gt;='RFM input'!$V$7,0, P24+P76+P128)</f>
        <v>0</v>
      </c>
      <c r="Q338" s="1404">
        <f>IF(COUNT($H338:P338)&gt;='RFM input'!$V$7,0, Q24+Q76+Q128)</f>
        <v>0</v>
      </c>
      <c r="R338" s="1397"/>
      <c r="S338" s="71"/>
      <c r="T338" s="71"/>
      <c r="U338" s="71"/>
      <c r="V338" s="71"/>
      <c r="W338" s="71"/>
      <c r="X338" s="71"/>
      <c r="Y338" s="71"/>
      <c r="Z338" s="71"/>
      <c r="AA338" s="152"/>
    </row>
    <row r="339" spans="1:27" hidden="1" outlineLevel="1">
      <c r="A339" s="3"/>
      <c r="B339" s="4"/>
      <c r="C339" s="29"/>
      <c r="D339" s="133">
        <f>Asset18</f>
        <v>0</v>
      </c>
      <c r="E339" s="4"/>
      <c r="F339" s="4"/>
      <c r="G339" s="1393">
        <f t="shared" si="9"/>
        <v>0</v>
      </c>
      <c r="H339" s="1404">
        <f t="shared" si="11"/>
        <v>0</v>
      </c>
      <c r="I339" s="1404">
        <f t="shared" si="11"/>
        <v>0</v>
      </c>
      <c r="J339" s="1405">
        <f>IF(COUNT($H339:I339)&gt;='RFM input'!$V$7,0, J25+J77+J129)</f>
        <v>0</v>
      </c>
      <c r="K339" s="1404">
        <f>IF(COUNT($H339:J339)&gt;='RFM input'!$V$7,0, K25+K77+K129)</f>
        <v>0</v>
      </c>
      <c r="L339" s="1404">
        <f>IF(COUNT($H339:K339)&gt;='RFM input'!$V$7,0, L25+L77+L129)</f>
        <v>0</v>
      </c>
      <c r="M339" s="1404">
        <f>IF(COUNT($H339:L339)&gt;='RFM input'!$V$7,0, M25+M77+M129)</f>
        <v>0</v>
      </c>
      <c r="N339" s="1404">
        <f>IF(COUNT($H339:M339)&gt;='RFM input'!$V$7,0, N25+N77+N129)</f>
        <v>0</v>
      </c>
      <c r="O339" s="1404">
        <f>IF(COUNT($H339:N339)&gt;='RFM input'!$V$7,0, O25+O77+O129)</f>
        <v>0</v>
      </c>
      <c r="P339" s="1404">
        <f>IF(COUNT($H339:O339)&gt;='RFM input'!$V$7,0, P25+P77+P129)</f>
        <v>0</v>
      </c>
      <c r="Q339" s="1404">
        <f>IF(COUNT($H339:P339)&gt;='RFM input'!$V$7,0, Q25+Q77+Q129)</f>
        <v>0</v>
      </c>
      <c r="R339" s="1397"/>
      <c r="S339" s="71"/>
      <c r="T339" s="71"/>
      <c r="U339" s="71"/>
      <c r="V339" s="71"/>
      <c r="W339" s="71"/>
      <c r="X339" s="71"/>
      <c r="Y339" s="71"/>
      <c r="Z339" s="71"/>
      <c r="AA339" s="152"/>
    </row>
    <row r="340" spans="1:27" hidden="1" outlineLevel="1">
      <c r="A340" s="3"/>
      <c r="B340" s="4"/>
      <c r="C340" s="29"/>
      <c r="D340" s="133">
        <f>Asset19</f>
        <v>0</v>
      </c>
      <c r="E340" s="4"/>
      <c r="F340" s="4"/>
      <c r="G340" s="1393">
        <f t="shared" si="9"/>
        <v>0</v>
      </c>
      <c r="H340" s="1404">
        <f t="shared" si="11"/>
        <v>0</v>
      </c>
      <c r="I340" s="1404">
        <f t="shared" si="11"/>
        <v>0</v>
      </c>
      <c r="J340" s="1405">
        <f>IF(COUNT($H340:I340)&gt;='RFM input'!$V$7,0, J26+J78+J130)</f>
        <v>0</v>
      </c>
      <c r="K340" s="1404">
        <f>IF(COUNT($H340:J340)&gt;='RFM input'!$V$7,0, K26+K78+K130)</f>
        <v>0</v>
      </c>
      <c r="L340" s="1404">
        <f>IF(COUNT($H340:K340)&gt;='RFM input'!$V$7,0, L26+L78+L130)</f>
        <v>0</v>
      </c>
      <c r="M340" s="1404">
        <f>IF(COUNT($H340:L340)&gt;='RFM input'!$V$7,0, M26+M78+M130)</f>
        <v>0</v>
      </c>
      <c r="N340" s="1404">
        <f>IF(COUNT($H340:M340)&gt;='RFM input'!$V$7,0, N26+N78+N130)</f>
        <v>0</v>
      </c>
      <c r="O340" s="1404">
        <f>IF(COUNT($H340:N340)&gt;='RFM input'!$V$7,0, O26+O78+O130)</f>
        <v>0</v>
      </c>
      <c r="P340" s="1404">
        <f>IF(COUNT($H340:O340)&gt;='RFM input'!$V$7,0, P26+P78+P130)</f>
        <v>0</v>
      </c>
      <c r="Q340" s="1404">
        <f>IF(COUNT($H340:P340)&gt;='RFM input'!$V$7,0, Q26+Q78+Q130)</f>
        <v>0</v>
      </c>
      <c r="R340" s="1397"/>
      <c r="S340" s="71"/>
      <c r="T340" s="71"/>
      <c r="U340" s="71"/>
      <c r="V340" s="71"/>
      <c r="W340" s="71"/>
      <c r="X340" s="71"/>
      <c r="Y340" s="71"/>
      <c r="Z340" s="71"/>
      <c r="AA340" s="152"/>
    </row>
    <row r="341" spans="1:27" hidden="1" outlineLevel="1">
      <c r="A341" s="3"/>
      <c r="B341" s="4"/>
      <c r="C341" s="29"/>
      <c r="D341" s="133">
        <f>Asset20</f>
        <v>0</v>
      </c>
      <c r="E341" s="4"/>
      <c r="F341" s="4"/>
      <c r="G341" s="1393">
        <f t="shared" si="9"/>
        <v>0</v>
      </c>
      <c r="H341" s="1404">
        <f t="shared" si="11"/>
        <v>0</v>
      </c>
      <c r="I341" s="1404">
        <f t="shared" si="11"/>
        <v>0</v>
      </c>
      <c r="J341" s="1405">
        <f>IF(COUNT($H341:I341)&gt;='RFM input'!$V$7,0, J27+J79+J131)</f>
        <v>0</v>
      </c>
      <c r="K341" s="1404">
        <f>IF(COUNT($H341:J341)&gt;='RFM input'!$V$7,0, K27+K79+K131)</f>
        <v>0</v>
      </c>
      <c r="L341" s="1404">
        <f>IF(COUNT($H341:K341)&gt;='RFM input'!$V$7,0, L27+L79+L131)</f>
        <v>0</v>
      </c>
      <c r="M341" s="1404">
        <f>IF(COUNT($H341:L341)&gt;='RFM input'!$V$7,0, M27+M79+M131)</f>
        <v>0</v>
      </c>
      <c r="N341" s="1404">
        <f>IF(COUNT($H341:M341)&gt;='RFM input'!$V$7,0, N27+N79+N131)</f>
        <v>0</v>
      </c>
      <c r="O341" s="1404">
        <f>IF(COUNT($H341:N341)&gt;='RFM input'!$V$7,0, O27+O79+O131)</f>
        <v>0</v>
      </c>
      <c r="P341" s="1404">
        <f>IF(COUNT($H341:O341)&gt;='RFM input'!$V$7,0, P27+P79+P131)</f>
        <v>0</v>
      </c>
      <c r="Q341" s="1404">
        <f>IF(COUNT($H341:P341)&gt;='RFM input'!$V$7,0, Q27+Q79+Q131)</f>
        <v>0</v>
      </c>
      <c r="R341" s="1397"/>
      <c r="S341" s="71"/>
      <c r="T341" s="71"/>
      <c r="U341" s="71"/>
      <c r="V341" s="71"/>
      <c r="W341" s="71"/>
      <c r="X341" s="71"/>
      <c r="Y341" s="71"/>
      <c r="Z341" s="71"/>
      <c r="AA341" s="152"/>
    </row>
    <row r="342" spans="1:27" hidden="1" outlineLevel="1">
      <c r="A342" s="3"/>
      <c r="B342" s="4"/>
      <c r="C342" s="29"/>
      <c r="D342" s="133">
        <f>Asset21</f>
        <v>0</v>
      </c>
      <c r="E342" s="4"/>
      <c r="F342" s="4"/>
      <c r="G342" s="1393">
        <f t="shared" si="9"/>
        <v>0</v>
      </c>
      <c r="H342" s="1404">
        <f t="shared" ref="H342:I351" si="12">H28+H80+H132</f>
        <v>0</v>
      </c>
      <c r="I342" s="1404">
        <f t="shared" si="12"/>
        <v>0</v>
      </c>
      <c r="J342" s="1405">
        <f>IF(COUNT($H342:I342)&gt;='RFM input'!$V$7,0, J28+J80+J132)</f>
        <v>0</v>
      </c>
      <c r="K342" s="1404">
        <f>IF(COUNT($H342:J342)&gt;='RFM input'!$V$7,0, K28+K80+K132)</f>
        <v>0</v>
      </c>
      <c r="L342" s="1404">
        <f>IF(COUNT($H342:K342)&gt;='RFM input'!$V$7,0, L28+L80+L132)</f>
        <v>0</v>
      </c>
      <c r="M342" s="1404">
        <f>IF(COUNT($H342:L342)&gt;='RFM input'!$V$7,0, M28+M80+M132)</f>
        <v>0</v>
      </c>
      <c r="N342" s="1404">
        <f>IF(COUNT($H342:M342)&gt;='RFM input'!$V$7,0, N28+N80+N132)</f>
        <v>0</v>
      </c>
      <c r="O342" s="1404">
        <f>IF(COUNT($H342:N342)&gt;='RFM input'!$V$7,0, O28+O80+O132)</f>
        <v>0</v>
      </c>
      <c r="P342" s="1404">
        <f>IF(COUNT($H342:O342)&gt;='RFM input'!$V$7,0, P28+P80+P132)</f>
        <v>0</v>
      </c>
      <c r="Q342" s="1404">
        <f>IF(COUNT($H342:P342)&gt;='RFM input'!$V$7,0, Q28+Q80+Q132)</f>
        <v>0</v>
      </c>
      <c r="R342" s="1397"/>
      <c r="S342" s="71"/>
      <c r="T342" s="71"/>
      <c r="U342" s="71"/>
      <c r="V342" s="71"/>
      <c r="W342" s="71"/>
      <c r="X342" s="71"/>
      <c r="Y342" s="71"/>
      <c r="Z342" s="71"/>
      <c r="AA342" s="152"/>
    </row>
    <row r="343" spans="1:27" hidden="1" outlineLevel="1">
      <c r="A343" s="3"/>
      <c r="B343" s="4"/>
      <c r="C343" s="29"/>
      <c r="D343" s="133">
        <f>Asset22</f>
        <v>0</v>
      </c>
      <c r="E343" s="4"/>
      <c r="F343" s="4"/>
      <c r="G343" s="1393">
        <f t="shared" si="9"/>
        <v>0</v>
      </c>
      <c r="H343" s="1404">
        <f t="shared" si="12"/>
        <v>0</v>
      </c>
      <c r="I343" s="1404">
        <f t="shared" si="12"/>
        <v>0</v>
      </c>
      <c r="J343" s="1405">
        <f>IF(COUNT($H343:I343)&gt;='RFM input'!$V$7,0, J29+J81+J133)</f>
        <v>0</v>
      </c>
      <c r="K343" s="1404">
        <f>IF(COUNT($H343:J343)&gt;='RFM input'!$V$7,0, K29+K81+K133)</f>
        <v>0</v>
      </c>
      <c r="L343" s="1404">
        <f>IF(COUNT($H343:K343)&gt;='RFM input'!$V$7,0, L29+L81+L133)</f>
        <v>0</v>
      </c>
      <c r="M343" s="1404">
        <f>IF(COUNT($H343:L343)&gt;='RFM input'!$V$7,0, M29+M81+M133)</f>
        <v>0</v>
      </c>
      <c r="N343" s="1404">
        <f>IF(COUNT($H343:M343)&gt;='RFM input'!$V$7,0, N29+N81+N133)</f>
        <v>0</v>
      </c>
      <c r="O343" s="1404">
        <f>IF(COUNT($H343:N343)&gt;='RFM input'!$V$7,0, O29+O81+O133)</f>
        <v>0</v>
      </c>
      <c r="P343" s="1404">
        <f>IF(COUNT($H343:O343)&gt;='RFM input'!$V$7,0, P29+P81+P133)</f>
        <v>0</v>
      </c>
      <c r="Q343" s="1404">
        <f>IF(COUNT($H343:P343)&gt;='RFM input'!$V$7,0, Q29+Q81+Q133)</f>
        <v>0</v>
      </c>
      <c r="R343" s="1397"/>
      <c r="S343" s="71"/>
      <c r="T343" s="71"/>
      <c r="U343" s="71"/>
      <c r="V343" s="71"/>
      <c r="W343" s="71"/>
      <c r="X343" s="71"/>
      <c r="Y343" s="71"/>
      <c r="Z343" s="71"/>
      <c r="AA343" s="152"/>
    </row>
    <row r="344" spans="1:27" hidden="1" outlineLevel="1">
      <c r="A344" s="3"/>
      <c r="B344" s="4"/>
      <c r="C344" s="29"/>
      <c r="D344" s="133">
        <f>Asset23</f>
        <v>0</v>
      </c>
      <c r="E344" s="4"/>
      <c r="F344" s="4"/>
      <c r="G344" s="1393">
        <f t="shared" si="9"/>
        <v>0</v>
      </c>
      <c r="H344" s="1404">
        <f t="shared" si="12"/>
        <v>0</v>
      </c>
      <c r="I344" s="1404">
        <f t="shared" si="12"/>
        <v>0</v>
      </c>
      <c r="J344" s="1405">
        <f>IF(COUNT($H344:I344)&gt;='RFM input'!$V$7,0, J30+J82+J134)</f>
        <v>0</v>
      </c>
      <c r="K344" s="1404">
        <f>IF(COUNT($H344:J344)&gt;='RFM input'!$V$7,0, K30+K82+K134)</f>
        <v>0</v>
      </c>
      <c r="L344" s="1404">
        <f>IF(COUNT($H344:K344)&gt;='RFM input'!$V$7,0, L30+L82+L134)</f>
        <v>0</v>
      </c>
      <c r="M344" s="1404">
        <f>IF(COUNT($H344:L344)&gt;='RFM input'!$V$7,0, M30+M82+M134)</f>
        <v>0</v>
      </c>
      <c r="N344" s="1404">
        <f>IF(COUNT($H344:M344)&gt;='RFM input'!$V$7,0, N30+N82+N134)</f>
        <v>0</v>
      </c>
      <c r="O344" s="1404">
        <f>IF(COUNT($H344:N344)&gt;='RFM input'!$V$7,0, O30+O82+O134)</f>
        <v>0</v>
      </c>
      <c r="P344" s="1404">
        <f>IF(COUNT($H344:O344)&gt;='RFM input'!$V$7,0, P30+P82+P134)</f>
        <v>0</v>
      </c>
      <c r="Q344" s="1404">
        <f>IF(COUNT($H344:P344)&gt;='RFM input'!$V$7,0, Q30+Q82+Q134)</f>
        <v>0</v>
      </c>
      <c r="R344" s="1397"/>
      <c r="S344" s="71"/>
      <c r="T344" s="71"/>
      <c r="U344" s="71"/>
      <c r="V344" s="71"/>
      <c r="W344" s="71"/>
      <c r="X344" s="71"/>
      <c r="Y344" s="71"/>
      <c r="Z344" s="71"/>
      <c r="AA344" s="152"/>
    </row>
    <row r="345" spans="1:27" hidden="1" outlineLevel="1">
      <c r="A345" s="3"/>
      <c r="B345" s="4"/>
      <c r="C345" s="29"/>
      <c r="D345" s="133">
        <f>Asset24</f>
        <v>0</v>
      </c>
      <c r="E345" s="4"/>
      <c r="F345" s="4"/>
      <c r="G345" s="1393">
        <f t="shared" si="9"/>
        <v>0</v>
      </c>
      <c r="H345" s="1404">
        <f t="shared" si="12"/>
        <v>0</v>
      </c>
      <c r="I345" s="1404">
        <f t="shared" si="12"/>
        <v>0</v>
      </c>
      <c r="J345" s="1405">
        <f>IF(COUNT($H345:I345)&gt;='RFM input'!$V$7,0, J31+J83+J135)</f>
        <v>0</v>
      </c>
      <c r="K345" s="1404">
        <f>IF(COUNT($H345:J345)&gt;='RFM input'!$V$7,0, K31+K83+K135)</f>
        <v>0</v>
      </c>
      <c r="L345" s="1404">
        <f>IF(COUNT($H345:K345)&gt;='RFM input'!$V$7,0, L31+L83+L135)</f>
        <v>0</v>
      </c>
      <c r="M345" s="1404">
        <f>IF(COUNT($H345:L345)&gt;='RFM input'!$V$7,0, M31+M83+M135)</f>
        <v>0</v>
      </c>
      <c r="N345" s="1404">
        <f>IF(COUNT($H345:M345)&gt;='RFM input'!$V$7,0, N31+N83+N135)</f>
        <v>0</v>
      </c>
      <c r="O345" s="1404">
        <f>IF(COUNT($H345:N345)&gt;='RFM input'!$V$7,0, O31+O83+O135)</f>
        <v>0</v>
      </c>
      <c r="P345" s="1404">
        <f>IF(COUNT($H345:O345)&gt;='RFM input'!$V$7,0, P31+P83+P135)</f>
        <v>0</v>
      </c>
      <c r="Q345" s="1404">
        <f>IF(COUNT($H345:P345)&gt;='RFM input'!$V$7,0, Q31+Q83+Q135)</f>
        <v>0</v>
      </c>
      <c r="R345" s="1397"/>
      <c r="S345" s="71"/>
      <c r="T345" s="71"/>
      <c r="U345" s="71"/>
      <c r="V345" s="71"/>
      <c r="W345" s="71"/>
      <c r="X345" s="71"/>
      <c r="Y345" s="71"/>
      <c r="Z345" s="71"/>
      <c r="AA345" s="152"/>
    </row>
    <row r="346" spans="1:27" hidden="1" outlineLevel="1">
      <c r="A346" s="3"/>
      <c r="B346" s="4"/>
      <c r="C346" s="29"/>
      <c r="D346" s="133">
        <f>Asset25</f>
        <v>0</v>
      </c>
      <c r="E346" s="4"/>
      <c r="F346" s="4"/>
      <c r="G346" s="1393">
        <f t="shared" si="9"/>
        <v>0</v>
      </c>
      <c r="H346" s="1404">
        <f t="shared" si="12"/>
        <v>0</v>
      </c>
      <c r="I346" s="1404">
        <f t="shared" si="12"/>
        <v>0</v>
      </c>
      <c r="J346" s="1405">
        <f>IF(COUNT($H346:I346)&gt;='RFM input'!$V$7,0, J32+J84+J136)</f>
        <v>0</v>
      </c>
      <c r="K346" s="1404">
        <f>IF(COUNT($H346:J346)&gt;='RFM input'!$V$7,0, K32+K84+K136)</f>
        <v>0</v>
      </c>
      <c r="L346" s="1404">
        <f>IF(COUNT($H346:K346)&gt;='RFM input'!$V$7,0, L32+L84+L136)</f>
        <v>0</v>
      </c>
      <c r="M346" s="1404">
        <f>IF(COUNT($H346:L346)&gt;='RFM input'!$V$7,0, M32+M84+M136)</f>
        <v>0</v>
      </c>
      <c r="N346" s="1404">
        <f>IF(COUNT($H346:M346)&gt;='RFM input'!$V$7,0, N32+N84+N136)</f>
        <v>0</v>
      </c>
      <c r="O346" s="1404">
        <f>IF(COUNT($H346:N346)&gt;='RFM input'!$V$7,0, O32+O84+O136)</f>
        <v>0</v>
      </c>
      <c r="P346" s="1404">
        <f>IF(COUNT($H346:O346)&gt;='RFM input'!$V$7,0, P32+P84+P136)</f>
        <v>0</v>
      </c>
      <c r="Q346" s="1404">
        <f>IF(COUNT($H346:P346)&gt;='RFM input'!$V$7,0, Q32+Q84+Q136)</f>
        <v>0</v>
      </c>
      <c r="R346" s="1397"/>
      <c r="S346" s="71"/>
      <c r="T346" s="71"/>
      <c r="U346" s="71"/>
      <c r="V346" s="71"/>
      <c r="W346" s="71"/>
      <c r="X346" s="71"/>
      <c r="Y346" s="71"/>
      <c r="Z346" s="71"/>
      <c r="AA346" s="152"/>
    </row>
    <row r="347" spans="1:27" hidden="1" outlineLevel="1">
      <c r="A347" s="3"/>
      <c r="B347" s="4"/>
      <c r="C347" s="29"/>
      <c r="D347" s="133">
        <f>Asset26</f>
        <v>0</v>
      </c>
      <c r="E347" s="4"/>
      <c r="F347" s="4"/>
      <c r="G347" s="1393">
        <f t="shared" si="9"/>
        <v>0</v>
      </c>
      <c r="H347" s="1404">
        <f t="shared" si="12"/>
        <v>0</v>
      </c>
      <c r="I347" s="1404">
        <f t="shared" si="12"/>
        <v>0</v>
      </c>
      <c r="J347" s="1405">
        <f>IF(COUNT($H347:I347)&gt;='RFM input'!$V$7,0, J33+J85+J137)</f>
        <v>0</v>
      </c>
      <c r="K347" s="1404">
        <f>IF(COUNT($H347:J347)&gt;='RFM input'!$V$7,0, K33+K85+K137)</f>
        <v>0</v>
      </c>
      <c r="L347" s="1404">
        <f>IF(COUNT($H347:K347)&gt;='RFM input'!$V$7,0, L33+L85+L137)</f>
        <v>0</v>
      </c>
      <c r="M347" s="1404">
        <f>IF(COUNT($H347:L347)&gt;='RFM input'!$V$7,0, M33+M85+M137)</f>
        <v>0</v>
      </c>
      <c r="N347" s="1404">
        <f>IF(COUNT($H347:M347)&gt;='RFM input'!$V$7,0, N33+N85+N137)</f>
        <v>0</v>
      </c>
      <c r="O347" s="1404">
        <f>IF(COUNT($H347:N347)&gt;='RFM input'!$V$7,0, O33+O85+O137)</f>
        <v>0</v>
      </c>
      <c r="P347" s="1404">
        <f>IF(COUNT($H347:O347)&gt;='RFM input'!$V$7,0, P33+P85+P137)</f>
        <v>0</v>
      </c>
      <c r="Q347" s="1404">
        <f>IF(COUNT($H347:P347)&gt;='RFM input'!$V$7,0, Q33+Q85+Q137)</f>
        <v>0</v>
      </c>
      <c r="R347" s="1397"/>
      <c r="S347" s="71"/>
      <c r="T347" s="71"/>
      <c r="U347" s="71"/>
      <c r="V347" s="71"/>
      <c r="W347" s="71"/>
      <c r="X347" s="71"/>
      <c r="Y347" s="71"/>
      <c r="Z347" s="71"/>
      <c r="AA347" s="152"/>
    </row>
    <row r="348" spans="1:27" hidden="1" outlineLevel="1">
      <c r="A348" s="3"/>
      <c r="B348" s="4"/>
      <c r="C348" s="29"/>
      <c r="D348" s="133">
        <f>Asset27</f>
        <v>0</v>
      </c>
      <c r="E348" s="4"/>
      <c r="F348" s="4"/>
      <c r="G348" s="1393">
        <f t="shared" si="9"/>
        <v>0</v>
      </c>
      <c r="H348" s="1404">
        <f t="shared" si="12"/>
        <v>0</v>
      </c>
      <c r="I348" s="1404">
        <f t="shared" si="12"/>
        <v>0</v>
      </c>
      <c r="J348" s="1405">
        <f>IF(COUNT($H348:I348)&gt;='RFM input'!$V$7,0, J34+J86+J138)</f>
        <v>0</v>
      </c>
      <c r="K348" s="1404">
        <f>IF(COUNT($H348:J348)&gt;='RFM input'!$V$7,0, K34+K86+K138)</f>
        <v>0</v>
      </c>
      <c r="L348" s="1404">
        <f>IF(COUNT($H348:K348)&gt;='RFM input'!$V$7,0, L34+L86+L138)</f>
        <v>0</v>
      </c>
      <c r="M348" s="1404">
        <f>IF(COUNT($H348:L348)&gt;='RFM input'!$V$7,0, M34+M86+M138)</f>
        <v>0</v>
      </c>
      <c r="N348" s="1404">
        <f>IF(COUNT($H348:M348)&gt;='RFM input'!$V$7,0, N34+N86+N138)</f>
        <v>0</v>
      </c>
      <c r="O348" s="1404">
        <f>IF(COUNT($H348:N348)&gt;='RFM input'!$V$7,0, O34+O86+O138)</f>
        <v>0</v>
      </c>
      <c r="P348" s="1404">
        <f>IF(COUNT($H348:O348)&gt;='RFM input'!$V$7,0, P34+P86+P138)</f>
        <v>0</v>
      </c>
      <c r="Q348" s="1404">
        <f>IF(COUNT($H348:P348)&gt;='RFM input'!$V$7,0, Q34+Q86+Q138)</f>
        <v>0</v>
      </c>
      <c r="R348" s="1397"/>
      <c r="S348" s="71"/>
      <c r="T348" s="71"/>
      <c r="U348" s="71"/>
      <c r="V348" s="71"/>
      <c r="W348" s="71"/>
      <c r="X348" s="71"/>
      <c r="Y348" s="71"/>
      <c r="Z348" s="71"/>
      <c r="AA348" s="152"/>
    </row>
    <row r="349" spans="1:27" hidden="1" outlineLevel="1">
      <c r="A349" s="3"/>
      <c r="B349" s="4"/>
      <c r="C349" s="29"/>
      <c r="D349" s="133">
        <f>Asset28</f>
        <v>0</v>
      </c>
      <c r="E349" s="4"/>
      <c r="F349" s="4"/>
      <c r="G349" s="1393">
        <f t="shared" si="9"/>
        <v>0</v>
      </c>
      <c r="H349" s="1404">
        <f t="shared" si="12"/>
        <v>0</v>
      </c>
      <c r="I349" s="1404">
        <f t="shared" si="12"/>
        <v>0</v>
      </c>
      <c r="J349" s="1405">
        <f>IF(COUNT($H349:I349)&gt;='RFM input'!$V$7,0, J35+J87+J139)</f>
        <v>0</v>
      </c>
      <c r="K349" s="1404">
        <f>IF(COUNT($H349:J349)&gt;='RFM input'!$V$7,0, K35+K87+K139)</f>
        <v>0</v>
      </c>
      <c r="L349" s="1404">
        <f>IF(COUNT($H349:K349)&gt;='RFM input'!$V$7,0, L35+L87+L139)</f>
        <v>0</v>
      </c>
      <c r="M349" s="1404">
        <f>IF(COUNT($H349:L349)&gt;='RFM input'!$V$7,0, M35+M87+M139)</f>
        <v>0</v>
      </c>
      <c r="N349" s="1404">
        <f>IF(COUNT($H349:M349)&gt;='RFM input'!$V$7,0, N35+N87+N139)</f>
        <v>0</v>
      </c>
      <c r="O349" s="1404">
        <f>IF(COUNT($H349:N349)&gt;='RFM input'!$V$7,0, O35+O87+O139)</f>
        <v>0</v>
      </c>
      <c r="P349" s="1404">
        <f>IF(COUNT($H349:O349)&gt;='RFM input'!$V$7,0, P35+P87+P139)</f>
        <v>0</v>
      </c>
      <c r="Q349" s="1404">
        <f>IF(COUNT($H349:P349)&gt;='RFM input'!$V$7,0, Q35+Q87+Q139)</f>
        <v>0</v>
      </c>
      <c r="R349" s="1397"/>
      <c r="S349" s="71"/>
      <c r="T349" s="71"/>
      <c r="U349" s="71"/>
      <c r="V349" s="71"/>
      <c r="W349" s="71"/>
      <c r="X349" s="71"/>
      <c r="Y349" s="71"/>
      <c r="Z349" s="71"/>
      <c r="AA349" s="152"/>
    </row>
    <row r="350" spans="1:27" hidden="1" outlineLevel="1">
      <c r="A350" s="3"/>
      <c r="B350" s="4"/>
      <c r="C350" s="29"/>
      <c r="D350" s="133">
        <f>Asset29</f>
        <v>0</v>
      </c>
      <c r="E350" s="4"/>
      <c r="F350" s="4"/>
      <c r="G350" s="1393">
        <f t="shared" si="9"/>
        <v>0</v>
      </c>
      <c r="H350" s="1404">
        <f t="shared" si="12"/>
        <v>0</v>
      </c>
      <c r="I350" s="1404">
        <f t="shared" si="12"/>
        <v>0</v>
      </c>
      <c r="J350" s="1405">
        <f>IF(COUNT($H350:I350)&gt;='RFM input'!$V$7,0, J36+J88+J140)</f>
        <v>0</v>
      </c>
      <c r="K350" s="1404">
        <f>IF(COUNT($H350:J350)&gt;='RFM input'!$V$7,0, K36+K88+K140)</f>
        <v>0</v>
      </c>
      <c r="L350" s="1404">
        <f>IF(COUNT($H350:K350)&gt;='RFM input'!$V$7,0, L36+L88+L140)</f>
        <v>0</v>
      </c>
      <c r="M350" s="1404">
        <f>IF(COUNT($H350:L350)&gt;='RFM input'!$V$7,0, M36+M88+M140)</f>
        <v>0</v>
      </c>
      <c r="N350" s="1404">
        <f>IF(COUNT($H350:M350)&gt;='RFM input'!$V$7,0, N36+N88+N140)</f>
        <v>0</v>
      </c>
      <c r="O350" s="1404">
        <f>IF(COUNT($H350:N350)&gt;='RFM input'!$V$7,0, O36+O88+O140)</f>
        <v>0</v>
      </c>
      <c r="P350" s="1404">
        <f>IF(COUNT($H350:O350)&gt;='RFM input'!$V$7,0, P36+P88+P140)</f>
        <v>0</v>
      </c>
      <c r="Q350" s="1404">
        <f>IF(COUNT($H350:P350)&gt;='RFM input'!$V$7,0, Q36+Q88+Q140)</f>
        <v>0</v>
      </c>
      <c r="R350" s="1397"/>
      <c r="S350" s="71"/>
      <c r="T350" s="71"/>
      <c r="U350" s="71"/>
      <c r="V350" s="71"/>
      <c r="W350" s="71"/>
      <c r="X350" s="71"/>
      <c r="Y350" s="71"/>
      <c r="Z350" s="71"/>
      <c r="AA350" s="152"/>
    </row>
    <row r="351" spans="1:27" hidden="1" outlineLevel="1">
      <c r="A351" s="3"/>
      <c r="B351" s="4"/>
      <c r="C351" s="29"/>
      <c r="D351" s="133">
        <f>Asset30</f>
        <v>0</v>
      </c>
      <c r="E351" s="4"/>
      <c r="F351" s="4"/>
      <c r="G351" s="1393">
        <f t="shared" si="9"/>
        <v>0</v>
      </c>
      <c r="H351" s="1404">
        <f t="shared" si="12"/>
        <v>0</v>
      </c>
      <c r="I351" s="1404">
        <f t="shared" si="12"/>
        <v>0</v>
      </c>
      <c r="J351" s="1405">
        <f>IF(COUNT($H351:I351)&gt;='RFM input'!$V$7,0, J37+J89+J141)</f>
        <v>0</v>
      </c>
      <c r="K351" s="1404">
        <f>IF(COUNT($H351:J351)&gt;='RFM input'!$V$7,0, K37+K89+K141)</f>
        <v>0</v>
      </c>
      <c r="L351" s="1404">
        <f>IF(COUNT($H351:K351)&gt;='RFM input'!$V$7,0, L37+L89+L141)</f>
        <v>0</v>
      </c>
      <c r="M351" s="1404">
        <f>IF(COUNT($H351:L351)&gt;='RFM input'!$V$7,0, M37+M89+M141)</f>
        <v>0</v>
      </c>
      <c r="N351" s="1404">
        <f>IF(COUNT($H351:M351)&gt;='RFM input'!$V$7,0, N37+N89+N141)</f>
        <v>0</v>
      </c>
      <c r="O351" s="1404">
        <f>IF(COUNT($H351:N351)&gt;='RFM input'!$V$7,0, O37+O89+O141)</f>
        <v>0</v>
      </c>
      <c r="P351" s="1404">
        <f>IF(COUNT($H351:O351)&gt;='RFM input'!$V$7,0, P37+P89+P141)</f>
        <v>0</v>
      </c>
      <c r="Q351" s="1404">
        <f>IF(COUNT($H351:P351)&gt;='RFM input'!$V$7,0, Q37+Q89+Q141)</f>
        <v>0</v>
      </c>
      <c r="R351" s="1397"/>
      <c r="S351" s="71"/>
      <c r="T351" s="71"/>
      <c r="U351" s="71"/>
      <c r="V351" s="71"/>
      <c r="W351" s="71"/>
      <c r="X351" s="71"/>
      <c r="Y351" s="71"/>
      <c r="Z351" s="71"/>
      <c r="AA351" s="152"/>
    </row>
    <row r="352" spans="1:27" hidden="1" outlineLevel="1">
      <c r="A352" s="3"/>
      <c r="B352" s="4"/>
      <c r="C352" s="29"/>
      <c r="D352" s="133">
        <f>Asset31</f>
        <v>0</v>
      </c>
      <c r="E352" s="4"/>
      <c r="F352" s="4"/>
      <c r="G352" s="1393">
        <f t="shared" ref="G352:G371" si="13">G38+G90+G142+G194+G246+G298</f>
        <v>0</v>
      </c>
      <c r="H352" s="1404">
        <f t="shared" ref="H352:I371" si="14">H38+H90+H142</f>
        <v>0</v>
      </c>
      <c r="I352" s="1404">
        <f t="shared" si="14"/>
        <v>0</v>
      </c>
      <c r="J352" s="1405">
        <f>IF(COUNT($H352:I352)&gt;='RFM input'!$V$7,0, J38+J90+J142)</f>
        <v>0</v>
      </c>
      <c r="K352" s="1404">
        <f>IF(COUNT($H352:J352)&gt;='RFM input'!$V$7,0, K38+K90+K142)</f>
        <v>0</v>
      </c>
      <c r="L352" s="1404">
        <f>IF(COUNT($H352:K352)&gt;='RFM input'!$V$7,0, L38+L90+L142)</f>
        <v>0</v>
      </c>
      <c r="M352" s="1404">
        <f>IF(COUNT($H352:L352)&gt;='RFM input'!$V$7,0, M38+M90+M142)</f>
        <v>0</v>
      </c>
      <c r="N352" s="1404">
        <f>IF(COUNT($H352:M352)&gt;='RFM input'!$V$7,0, N38+N90+N142)</f>
        <v>0</v>
      </c>
      <c r="O352" s="1404">
        <f>IF(COUNT($H352:N352)&gt;='RFM input'!$V$7,0, O38+O90+O142)</f>
        <v>0</v>
      </c>
      <c r="P352" s="1404">
        <f>IF(COUNT($H352:O352)&gt;='RFM input'!$V$7,0, P38+P90+P142)</f>
        <v>0</v>
      </c>
      <c r="Q352" s="1404">
        <f>IF(COUNT($H352:P352)&gt;='RFM input'!$V$7,0, Q38+Q90+Q142)</f>
        <v>0</v>
      </c>
      <c r="R352" s="1397"/>
      <c r="S352" s="71"/>
      <c r="T352" s="71"/>
      <c r="U352" s="71"/>
      <c r="V352" s="71"/>
      <c r="W352" s="71"/>
      <c r="X352" s="71"/>
      <c r="Y352" s="71"/>
      <c r="Z352" s="71"/>
      <c r="AA352" s="152"/>
    </row>
    <row r="353" spans="1:27" hidden="1" outlineLevel="1">
      <c r="A353" s="3"/>
      <c r="B353" s="4"/>
      <c r="C353" s="29"/>
      <c r="D353" s="133">
        <f>Asset32</f>
        <v>0</v>
      </c>
      <c r="E353" s="4"/>
      <c r="F353" s="4"/>
      <c r="G353" s="1393">
        <f t="shared" si="13"/>
        <v>0</v>
      </c>
      <c r="H353" s="1404">
        <f t="shared" si="14"/>
        <v>0</v>
      </c>
      <c r="I353" s="1404">
        <f t="shared" si="14"/>
        <v>0</v>
      </c>
      <c r="J353" s="1405">
        <f>IF(COUNT($H353:I353)&gt;='RFM input'!$V$7,0, J39+J91+J143)</f>
        <v>0</v>
      </c>
      <c r="K353" s="1404">
        <f>IF(COUNT($H353:J353)&gt;='RFM input'!$V$7,0, K39+K91+K143)</f>
        <v>0</v>
      </c>
      <c r="L353" s="1404">
        <f>IF(COUNT($H353:K353)&gt;='RFM input'!$V$7,0, L39+L91+L143)</f>
        <v>0</v>
      </c>
      <c r="M353" s="1404">
        <f>IF(COUNT($H353:L353)&gt;='RFM input'!$V$7,0, M39+M91+M143)</f>
        <v>0</v>
      </c>
      <c r="N353" s="1404">
        <f>IF(COUNT($H353:M353)&gt;='RFM input'!$V$7,0, N39+N91+N143)</f>
        <v>0</v>
      </c>
      <c r="O353" s="1404">
        <f>IF(COUNT($H353:N353)&gt;='RFM input'!$V$7,0, O39+O91+O143)</f>
        <v>0</v>
      </c>
      <c r="P353" s="1404">
        <f>IF(COUNT($H353:O353)&gt;='RFM input'!$V$7,0, P39+P91+P143)</f>
        <v>0</v>
      </c>
      <c r="Q353" s="1404">
        <f>IF(COUNT($H353:P353)&gt;='RFM input'!$V$7,0, Q39+Q91+Q143)</f>
        <v>0</v>
      </c>
      <c r="R353" s="1397"/>
      <c r="S353" s="71"/>
      <c r="T353" s="71"/>
      <c r="U353" s="71"/>
      <c r="V353" s="71"/>
      <c r="W353" s="71"/>
      <c r="X353" s="71"/>
      <c r="Y353" s="71"/>
      <c r="Z353" s="71"/>
      <c r="AA353" s="152"/>
    </row>
    <row r="354" spans="1:27" hidden="1" outlineLevel="1">
      <c r="A354" s="3"/>
      <c r="B354" s="4"/>
      <c r="C354" s="29"/>
      <c r="D354" s="133">
        <f>Asset33</f>
        <v>0</v>
      </c>
      <c r="E354" s="4"/>
      <c r="F354" s="4"/>
      <c r="G354" s="1393">
        <f t="shared" si="13"/>
        <v>0</v>
      </c>
      <c r="H354" s="1404">
        <f t="shared" si="14"/>
        <v>0</v>
      </c>
      <c r="I354" s="1404">
        <f t="shared" si="14"/>
        <v>0</v>
      </c>
      <c r="J354" s="1405">
        <f>IF(COUNT($H354:I354)&gt;='RFM input'!$V$7,0, J40+J92+J144)</f>
        <v>0</v>
      </c>
      <c r="K354" s="1404">
        <f>IF(COUNT($H354:J354)&gt;='RFM input'!$V$7,0, K40+K92+K144)</f>
        <v>0</v>
      </c>
      <c r="L354" s="1404">
        <f>IF(COUNT($H354:K354)&gt;='RFM input'!$V$7,0, L40+L92+L144)</f>
        <v>0</v>
      </c>
      <c r="M354" s="1404">
        <f>IF(COUNT($H354:L354)&gt;='RFM input'!$V$7,0, M40+M92+M144)</f>
        <v>0</v>
      </c>
      <c r="N354" s="1404">
        <f>IF(COUNT($H354:M354)&gt;='RFM input'!$V$7,0, N40+N92+N144)</f>
        <v>0</v>
      </c>
      <c r="O354" s="1404">
        <f>IF(COUNT($H354:N354)&gt;='RFM input'!$V$7,0, O40+O92+O144)</f>
        <v>0</v>
      </c>
      <c r="P354" s="1404">
        <f>IF(COUNT($H354:O354)&gt;='RFM input'!$V$7,0, P40+P92+P144)</f>
        <v>0</v>
      </c>
      <c r="Q354" s="1404">
        <f>IF(COUNT($H354:P354)&gt;='RFM input'!$V$7,0, Q40+Q92+Q144)</f>
        <v>0</v>
      </c>
      <c r="R354" s="1397"/>
      <c r="S354" s="71"/>
      <c r="T354" s="71"/>
      <c r="U354" s="71"/>
      <c r="V354" s="71"/>
      <c r="W354" s="71"/>
      <c r="X354" s="71"/>
      <c r="Y354" s="71"/>
      <c r="Z354" s="71"/>
      <c r="AA354" s="152"/>
    </row>
    <row r="355" spans="1:27" hidden="1" outlineLevel="1">
      <c r="A355" s="3"/>
      <c r="B355" s="4"/>
      <c r="C355" s="29"/>
      <c r="D355" s="133">
        <f>Asset34</f>
        <v>0</v>
      </c>
      <c r="E355" s="4"/>
      <c r="F355" s="4"/>
      <c r="G355" s="1393">
        <f t="shared" si="13"/>
        <v>0</v>
      </c>
      <c r="H355" s="1404">
        <f t="shared" si="14"/>
        <v>0</v>
      </c>
      <c r="I355" s="1404">
        <f t="shared" si="14"/>
        <v>0</v>
      </c>
      <c r="J355" s="1405">
        <f>IF(COUNT($H355:I355)&gt;='RFM input'!$V$7,0, J41+J93+J145)</f>
        <v>0</v>
      </c>
      <c r="K355" s="1404">
        <f>IF(COUNT($H355:J355)&gt;='RFM input'!$V$7,0, K41+K93+K145)</f>
        <v>0</v>
      </c>
      <c r="L355" s="1404">
        <f>IF(COUNT($H355:K355)&gt;='RFM input'!$V$7,0, L41+L93+L145)</f>
        <v>0</v>
      </c>
      <c r="M355" s="1404">
        <f>IF(COUNT($H355:L355)&gt;='RFM input'!$V$7,0, M41+M93+M145)</f>
        <v>0</v>
      </c>
      <c r="N355" s="1404">
        <f>IF(COUNT($H355:M355)&gt;='RFM input'!$V$7,0, N41+N93+N145)</f>
        <v>0</v>
      </c>
      <c r="O355" s="1404">
        <f>IF(COUNT($H355:N355)&gt;='RFM input'!$V$7,0, O41+O93+O145)</f>
        <v>0</v>
      </c>
      <c r="P355" s="1404">
        <f>IF(COUNT($H355:O355)&gt;='RFM input'!$V$7,0, P41+P93+P145)</f>
        <v>0</v>
      </c>
      <c r="Q355" s="1404">
        <f>IF(COUNT($H355:P355)&gt;='RFM input'!$V$7,0, Q41+Q93+Q145)</f>
        <v>0</v>
      </c>
      <c r="R355" s="1397"/>
      <c r="S355" s="71"/>
      <c r="T355" s="71"/>
      <c r="U355" s="71"/>
      <c r="V355" s="71"/>
      <c r="W355" s="71"/>
      <c r="X355" s="71"/>
      <c r="Y355" s="71"/>
      <c r="Z355" s="71"/>
      <c r="AA355" s="152"/>
    </row>
    <row r="356" spans="1:27" hidden="1" outlineLevel="1">
      <c r="A356" s="3"/>
      <c r="B356" s="4"/>
      <c r="C356" s="29"/>
      <c r="D356" s="133">
        <f>Asset35</f>
        <v>0</v>
      </c>
      <c r="E356" s="4"/>
      <c r="F356" s="4"/>
      <c r="G356" s="1393">
        <f t="shared" si="13"/>
        <v>0</v>
      </c>
      <c r="H356" s="1404">
        <f t="shared" si="14"/>
        <v>0</v>
      </c>
      <c r="I356" s="1404">
        <f t="shared" si="14"/>
        <v>0</v>
      </c>
      <c r="J356" s="1405">
        <f>IF(COUNT($H356:I356)&gt;='RFM input'!$V$7,0, J42+J94+J146)</f>
        <v>0</v>
      </c>
      <c r="K356" s="1404">
        <f>IF(COUNT($H356:J356)&gt;='RFM input'!$V$7,0, K42+K94+K146)</f>
        <v>0</v>
      </c>
      <c r="L356" s="1404">
        <f>IF(COUNT($H356:K356)&gt;='RFM input'!$V$7,0, L42+L94+L146)</f>
        <v>0</v>
      </c>
      <c r="M356" s="1404">
        <f>IF(COUNT($H356:L356)&gt;='RFM input'!$V$7,0, M42+M94+M146)</f>
        <v>0</v>
      </c>
      <c r="N356" s="1404">
        <f>IF(COUNT($H356:M356)&gt;='RFM input'!$V$7,0, N42+N94+N146)</f>
        <v>0</v>
      </c>
      <c r="O356" s="1404">
        <f>IF(COUNT($H356:N356)&gt;='RFM input'!$V$7,0, O42+O94+O146)</f>
        <v>0</v>
      </c>
      <c r="P356" s="1404">
        <f>IF(COUNT($H356:O356)&gt;='RFM input'!$V$7,0, P42+P94+P146)</f>
        <v>0</v>
      </c>
      <c r="Q356" s="1404">
        <f>IF(COUNT($H356:P356)&gt;='RFM input'!$V$7,0, Q42+Q94+Q146)</f>
        <v>0</v>
      </c>
      <c r="R356" s="1397"/>
      <c r="S356" s="71"/>
      <c r="T356" s="71"/>
      <c r="U356" s="71"/>
      <c r="V356" s="71"/>
      <c r="W356" s="71"/>
      <c r="X356" s="71"/>
      <c r="Y356" s="71"/>
      <c r="Z356" s="71"/>
      <c r="AA356" s="152"/>
    </row>
    <row r="357" spans="1:27" hidden="1" outlineLevel="1">
      <c r="A357" s="3"/>
      <c r="B357" s="4"/>
      <c r="C357" s="29"/>
      <c r="D357" s="133">
        <f>Asset36</f>
        <v>0</v>
      </c>
      <c r="E357" s="4"/>
      <c r="F357" s="4"/>
      <c r="G357" s="1393">
        <f t="shared" si="13"/>
        <v>0</v>
      </c>
      <c r="H357" s="1404">
        <f t="shared" si="14"/>
        <v>0</v>
      </c>
      <c r="I357" s="1404">
        <f t="shared" si="14"/>
        <v>0</v>
      </c>
      <c r="J357" s="1405">
        <f>IF(COUNT($H357:I357)&gt;='RFM input'!$V$7,0, J43+J95+J147)</f>
        <v>0</v>
      </c>
      <c r="K357" s="1404">
        <f>IF(COUNT($H357:J357)&gt;='RFM input'!$V$7,0, K43+K95+K147)</f>
        <v>0</v>
      </c>
      <c r="L357" s="1404">
        <f>IF(COUNT($H357:K357)&gt;='RFM input'!$V$7,0, L43+L95+L147)</f>
        <v>0</v>
      </c>
      <c r="M357" s="1404">
        <f>IF(COUNT($H357:L357)&gt;='RFM input'!$V$7,0, M43+M95+M147)</f>
        <v>0</v>
      </c>
      <c r="N357" s="1404">
        <f>IF(COUNT($H357:M357)&gt;='RFM input'!$V$7,0, N43+N95+N147)</f>
        <v>0</v>
      </c>
      <c r="O357" s="1404">
        <f>IF(COUNT($H357:N357)&gt;='RFM input'!$V$7,0, O43+O95+O147)</f>
        <v>0</v>
      </c>
      <c r="P357" s="1404">
        <f>IF(COUNT($H357:O357)&gt;='RFM input'!$V$7,0, P43+P95+P147)</f>
        <v>0</v>
      </c>
      <c r="Q357" s="1404">
        <f>IF(COUNT($H357:P357)&gt;='RFM input'!$V$7,0, Q43+Q95+Q147)</f>
        <v>0</v>
      </c>
      <c r="R357" s="1397"/>
      <c r="S357" s="71"/>
      <c r="T357" s="71"/>
      <c r="U357" s="71"/>
      <c r="V357" s="71"/>
      <c r="W357" s="71"/>
      <c r="X357" s="71"/>
      <c r="Y357" s="71"/>
      <c r="Z357" s="71"/>
      <c r="AA357" s="152"/>
    </row>
    <row r="358" spans="1:27" hidden="1" outlineLevel="1">
      <c r="A358" s="3"/>
      <c r="B358" s="4"/>
      <c r="C358" s="29"/>
      <c r="D358" s="133">
        <f>Asset37</f>
        <v>0</v>
      </c>
      <c r="E358" s="4"/>
      <c r="F358" s="4"/>
      <c r="G358" s="1393">
        <f t="shared" si="13"/>
        <v>0</v>
      </c>
      <c r="H358" s="1404">
        <f t="shared" si="14"/>
        <v>0</v>
      </c>
      <c r="I358" s="1404">
        <f t="shared" si="14"/>
        <v>0</v>
      </c>
      <c r="J358" s="1405">
        <f>IF(COUNT($H358:I358)&gt;='RFM input'!$V$7,0, J44+J96+J148)</f>
        <v>0</v>
      </c>
      <c r="K358" s="1404">
        <f>IF(COUNT($H358:J358)&gt;='RFM input'!$V$7,0, K44+K96+K148)</f>
        <v>0</v>
      </c>
      <c r="L358" s="1404">
        <f>IF(COUNT($H358:K358)&gt;='RFM input'!$V$7,0, L44+L96+L148)</f>
        <v>0</v>
      </c>
      <c r="M358" s="1404">
        <f>IF(COUNT($H358:L358)&gt;='RFM input'!$V$7,0, M44+M96+M148)</f>
        <v>0</v>
      </c>
      <c r="N358" s="1404">
        <f>IF(COUNT($H358:M358)&gt;='RFM input'!$V$7,0, N44+N96+N148)</f>
        <v>0</v>
      </c>
      <c r="O358" s="1404">
        <f>IF(COUNT($H358:N358)&gt;='RFM input'!$V$7,0, O44+O96+O148)</f>
        <v>0</v>
      </c>
      <c r="P358" s="1404">
        <f>IF(COUNT($H358:O358)&gt;='RFM input'!$V$7,0, P44+P96+P148)</f>
        <v>0</v>
      </c>
      <c r="Q358" s="1404">
        <f>IF(COUNT($H358:P358)&gt;='RFM input'!$V$7,0, Q44+Q96+Q148)</f>
        <v>0</v>
      </c>
      <c r="R358" s="1397"/>
      <c r="S358" s="71"/>
      <c r="T358" s="71"/>
      <c r="U358" s="71"/>
      <c r="V358" s="71"/>
      <c r="W358" s="71"/>
      <c r="X358" s="71"/>
      <c r="Y358" s="71"/>
      <c r="Z358" s="71"/>
      <c r="AA358" s="152"/>
    </row>
    <row r="359" spans="1:27" hidden="1" outlineLevel="1">
      <c r="A359" s="3"/>
      <c r="B359" s="4"/>
      <c r="C359" s="29"/>
      <c r="D359" s="133">
        <f>Asset38</f>
        <v>0</v>
      </c>
      <c r="E359" s="4"/>
      <c r="F359" s="4"/>
      <c r="G359" s="1393">
        <f t="shared" si="13"/>
        <v>0</v>
      </c>
      <c r="H359" s="1404">
        <f t="shared" si="14"/>
        <v>0</v>
      </c>
      <c r="I359" s="1404">
        <f t="shared" si="14"/>
        <v>0</v>
      </c>
      <c r="J359" s="1405">
        <f>IF(COUNT($H359:I359)&gt;='RFM input'!$V$7,0, J45+J97+J149)</f>
        <v>0</v>
      </c>
      <c r="K359" s="1404">
        <f>IF(COUNT($H359:J359)&gt;='RFM input'!$V$7,0, K45+K97+K149)</f>
        <v>0</v>
      </c>
      <c r="L359" s="1404">
        <f>IF(COUNT($H359:K359)&gt;='RFM input'!$V$7,0, L45+L97+L149)</f>
        <v>0</v>
      </c>
      <c r="M359" s="1404">
        <f>IF(COUNT($H359:L359)&gt;='RFM input'!$V$7,0, M45+M97+M149)</f>
        <v>0</v>
      </c>
      <c r="N359" s="1404">
        <f>IF(COUNT($H359:M359)&gt;='RFM input'!$V$7,0, N45+N97+N149)</f>
        <v>0</v>
      </c>
      <c r="O359" s="1404">
        <f>IF(COUNT($H359:N359)&gt;='RFM input'!$V$7,0, O45+O97+O149)</f>
        <v>0</v>
      </c>
      <c r="P359" s="1404">
        <f>IF(COUNT($H359:O359)&gt;='RFM input'!$V$7,0, P45+P97+P149)</f>
        <v>0</v>
      </c>
      <c r="Q359" s="1404">
        <f>IF(COUNT($H359:P359)&gt;='RFM input'!$V$7,0, Q45+Q97+Q149)</f>
        <v>0</v>
      </c>
      <c r="R359" s="1397"/>
      <c r="S359" s="71"/>
      <c r="T359" s="71"/>
      <c r="U359" s="71"/>
      <c r="V359" s="71"/>
      <c r="W359" s="71"/>
      <c r="X359" s="71"/>
      <c r="Y359" s="71"/>
      <c r="Z359" s="71"/>
      <c r="AA359" s="152"/>
    </row>
    <row r="360" spans="1:27" hidden="1" outlineLevel="1">
      <c r="A360" s="3"/>
      <c r="B360" s="4"/>
      <c r="C360" s="29"/>
      <c r="D360" s="133">
        <f>Asset39</f>
        <v>0</v>
      </c>
      <c r="E360" s="4"/>
      <c r="F360" s="4"/>
      <c r="G360" s="1393">
        <f t="shared" si="13"/>
        <v>0</v>
      </c>
      <c r="H360" s="1404">
        <f t="shared" si="14"/>
        <v>0</v>
      </c>
      <c r="I360" s="1404">
        <f t="shared" si="14"/>
        <v>0</v>
      </c>
      <c r="J360" s="1405">
        <f>IF(COUNT($H360:I360)&gt;='RFM input'!$V$7,0, J46+J98+J150)</f>
        <v>0</v>
      </c>
      <c r="K360" s="1404">
        <f>IF(COUNT($H360:J360)&gt;='RFM input'!$V$7,0, K46+K98+K150)</f>
        <v>0</v>
      </c>
      <c r="L360" s="1404">
        <f>IF(COUNT($H360:K360)&gt;='RFM input'!$V$7,0, L46+L98+L150)</f>
        <v>0</v>
      </c>
      <c r="M360" s="1404">
        <f>IF(COUNT($H360:L360)&gt;='RFM input'!$V$7,0, M46+M98+M150)</f>
        <v>0</v>
      </c>
      <c r="N360" s="1404">
        <f>IF(COUNT($H360:M360)&gt;='RFM input'!$V$7,0, N46+N98+N150)</f>
        <v>0</v>
      </c>
      <c r="O360" s="1404">
        <f>IF(COUNT($H360:N360)&gt;='RFM input'!$V$7,0, O46+O98+O150)</f>
        <v>0</v>
      </c>
      <c r="P360" s="1404">
        <f>IF(COUNT($H360:O360)&gt;='RFM input'!$V$7,0, P46+P98+P150)</f>
        <v>0</v>
      </c>
      <c r="Q360" s="1404">
        <f>IF(COUNT($H360:P360)&gt;='RFM input'!$V$7,0, Q46+Q98+Q150)</f>
        <v>0</v>
      </c>
      <c r="R360" s="1397"/>
      <c r="S360" s="71"/>
      <c r="T360" s="71"/>
      <c r="U360" s="71"/>
      <c r="V360" s="71"/>
      <c r="W360" s="71"/>
      <c r="X360" s="71"/>
      <c r="Y360" s="71"/>
      <c r="Z360" s="71"/>
      <c r="AA360" s="152"/>
    </row>
    <row r="361" spans="1:27" hidden="1" outlineLevel="1">
      <c r="A361" s="3"/>
      <c r="B361" s="4"/>
      <c r="C361" s="29"/>
      <c r="D361" s="133">
        <f>Asset40</f>
        <v>0</v>
      </c>
      <c r="E361" s="4"/>
      <c r="F361" s="4"/>
      <c r="G361" s="1393">
        <f t="shared" si="13"/>
        <v>0</v>
      </c>
      <c r="H361" s="1404">
        <f t="shared" si="14"/>
        <v>0</v>
      </c>
      <c r="I361" s="1404">
        <f t="shared" si="14"/>
        <v>0</v>
      </c>
      <c r="J361" s="1405">
        <f>IF(COUNT($H361:I361)&gt;='RFM input'!$V$7,0, J47+J99+J151)</f>
        <v>0</v>
      </c>
      <c r="K361" s="1404">
        <f>IF(COUNT($H361:J361)&gt;='RFM input'!$V$7,0, K47+K99+K151)</f>
        <v>0</v>
      </c>
      <c r="L361" s="1404">
        <f>IF(COUNT($H361:K361)&gt;='RFM input'!$V$7,0, L47+L99+L151)</f>
        <v>0</v>
      </c>
      <c r="M361" s="1404">
        <f>IF(COUNT($H361:L361)&gt;='RFM input'!$V$7,0, M47+M99+M151)</f>
        <v>0</v>
      </c>
      <c r="N361" s="1404">
        <f>IF(COUNT($H361:M361)&gt;='RFM input'!$V$7,0, N47+N99+N151)</f>
        <v>0</v>
      </c>
      <c r="O361" s="1404">
        <f>IF(COUNT($H361:N361)&gt;='RFM input'!$V$7,0, O47+O99+O151)</f>
        <v>0</v>
      </c>
      <c r="P361" s="1404">
        <f>IF(COUNT($H361:O361)&gt;='RFM input'!$V$7,0, P47+P99+P151)</f>
        <v>0</v>
      </c>
      <c r="Q361" s="1404">
        <f>IF(COUNT($H361:P361)&gt;='RFM input'!$V$7,0, Q47+Q99+Q151)</f>
        <v>0</v>
      </c>
      <c r="R361" s="1397"/>
      <c r="S361" s="71"/>
      <c r="T361" s="71"/>
      <c r="U361" s="71"/>
      <c r="V361" s="71"/>
      <c r="W361" s="71"/>
      <c r="X361" s="71"/>
      <c r="Y361" s="71"/>
      <c r="Z361" s="71"/>
      <c r="AA361" s="152"/>
    </row>
    <row r="362" spans="1:27" hidden="1" outlineLevel="1">
      <c r="A362" s="3"/>
      <c r="B362" s="4"/>
      <c r="C362" s="29"/>
      <c r="D362" s="133">
        <f>Asset41</f>
        <v>0</v>
      </c>
      <c r="E362" s="4"/>
      <c r="F362" s="4"/>
      <c r="G362" s="1393">
        <f t="shared" si="13"/>
        <v>0</v>
      </c>
      <c r="H362" s="1404">
        <f t="shared" si="14"/>
        <v>0</v>
      </c>
      <c r="I362" s="1404">
        <f t="shared" si="14"/>
        <v>0</v>
      </c>
      <c r="J362" s="1405">
        <f>IF(COUNT($H362:I362)&gt;='RFM input'!$V$7,0, J48+J100+J152)</f>
        <v>0</v>
      </c>
      <c r="K362" s="1404">
        <f>IF(COUNT($H362:J362)&gt;='RFM input'!$V$7,0, K48+K100+K152)</f>
        <v>0</v>
      </c>
      <c r="L362" s="1404">
        <f>IF(COUNT($H362:K362)&gt;='RFM input'!$V$7,0, L48+L100+L152)</f>
        <v>0</v>
      </c>
      <c r="M362" s="1404">
        <f>IF(COUNT($H362:L362)&gt;='RFM input'!$V$7,0, M48+M100+M152)</f>
        <v>0</v>
      </c>
      <c r="N362" s="1404">
        <f>IF(COUNT($H362:M362)&gt;='RFM input'!$V$7,0, N48+N100+N152)</f>
        <v>0</v>
      </c>
      <c r="O362" s="1404">
        <f>IF(COUNT($H362:N362)&gt;='RFM input'!$V$7,0, O48+O100+O152)</f>
        <v>0</v>
      </c>
      <c r="P362" s="1404">
        <f>IF(COUNT($H362:O362)&gt;='RFM input'!$V$7,0, P48+P100+P152)</f>
        <v>0</v>
      </c>
      <c r="Q362" s="1404">
        <f>IF(COUNT($H362:P362)&gt;='RFM input'!$V$7,0, Q48+Q100+Q152)</f>
        <v>0</v>
      </c>
      <c r="R362" s="1397"/>
      <c r="S362" s="71"/>
      <c r="T362" s="71"/>
      <c r="U362" s="71"/>
      <c r="V362" s="71"/>
      <c r="W362" s="71"/>
      <c r="X362" s="71"/>
      <c r="Y362" s="71"/>
      <c r="Z362" s="71"/>
      <c r="AA362" s="152"/>
    </row>
    <row r="363" spans="1:27" hidden="1" outlineLevel="1">
      <c r="A363" s="3"/>
      <c r="B363" s="4"/>
      <c r="C363" s="29"/>
      <c r="D363" s="133">
        <f>Asset42</f>
        <v>0</v>
      </c>
      <c r="E363" s="4"/>
      <c r="F363" s="4"/>
      <c r="G363" s="1393">
        <f t="shared" si="13"/>
        <v>0</v>
      </c>
      <c r="H363" s="1404">
        <f t="shared" si="14"/>
        <v>0</v>
      </c>
      <c r="I363" s="1404">
        <f t="shared" si="14"/>
        <v>0</v>
      </c>
      <c r="J363" s="1405">
        <f>IF(COUNT($H363:I363)&gt;='RFM input'!$V$7,0, J49+J101+J153)</f>
        <v>0</v>
      </c>
      <c r="K363" s="1404">
        <f>IF(COUNT($H363:J363)&gt;='RFM input'!$V$7,0, K49+K101+K153)</f>
        <v>0</v>
      </c>
      <c r="L363" s="1404">
        <f>IF(COUNT($H363:K363)&gt;='RFM input'!$V$7,0, L49+L101+L153)</f>
        <v>0</v>
      </c>
      <c r="M363" s="1404">
        <f>IF(COUNT($H363:L363)&gt;='RFM input'!$V$7,0, M49+M101+M153)</f>
        <v>0</v>
      </c>
      <c r="N363" s="1404">
        <f>IF(COUNT($H363:M363)&gt;='RFM input'!$V$7,0, N49+N101+N153)</f>
        <v>0</v>
      </c>
      <c r="O363" s="1404">
        <f>IF(COUNT($H363:N363)&gt;='RFM input'!$V$7,0, O49+O101+O153)</f>
        <v>0</v>
      </c>
      <c r="P363" s="1404">
        <f>IF(COUNT($H363:O363)&gt;='RFM input'!$V$7,0, P49+P101+P153)</f>
        <v>0</v>
      </c>
      <c r="Q363" s="1404">
        <f>IF(COUNT($H363:P363)&gt;='RFM input'!$V$7,0, Q49+Q101+Q153)</f>
        <v>0</v>
      </c>
      <c r="R363" s="1397"/>
      <c r="S363" s="71"/>
      <c r="T363" s="71"/>
      <c r="U363" s="71"/>
      <c r="V363" s="71"/>
      <c r="W363" s="71"/>
      <c r="X363" s="71"/>
      <c r="Y363" s="71"/>
      <c r="Z363" s="71"/>
      <c r="AA363" s="152"/>
    </row>
    <row r="364" spans="1:27" hidden="1" outlineLevel="1">
      <c r="A364" s="3"/>
      <c r="B364" s="4"/>
      <c r="C364" s="29"/>
      <c r="D364" s="133">
        <f>Asset43</f>
        <v>0</v>
      </c>
      <c r="E364" s="4"/>
      <c r="F364" s="4"/>
      <c r="G364" s="1393">
        <f t="shared" si="13"/>
        <v>0</v>
      </c>
      <c r="H364" s="1404">
        <f t="shared" si="14"/>
        <v>0</v>
      </c>
      <c r="I364" s="1404">
        <f t="shared" si="14"/>
        <v>0</v>
      </c>
      <c r="J364" s="1405">
        <f>IF(COUNT($H364:I364)&gt;='RFM input'!$V$7,0, J50+J102+J154)</f>
        <v>0</v>
      </c>
      <c r="K364" s="1404">
        <f>IF(COUNT($H364:J364)&gt;='RFM input'!$V$7,0, K50+K102+K154)</f>
        <v>0</v>
      </c>
      <c r="L364" s="1404">
        <f>IF(COUNT($H364:K364)&gt;='RFM input'!$V$7,0, L50+L102+L154)</f>
        <v>0</v>
      </c>
      <c r="M364" s="1404">
        <f>IF(COUNT($H364:L364)&gt;='RFM input'!$V$7,0, M50+M102+M154)</f>
        <v>0</v>
      </c>
      <c r="N364" s="1404">
        <f>IF(COUNT($H364:M364)&gt;='RFM input'!$V$7,0, N50+N102+N154)</f>
        <v>0</v>
      </c>
      <c r="O364" s="1404">
        <f>IF(COUNT($H364:N364)&gt;='RFM input'!$V$7,0, O50+O102+O154)</f>
        <v>0</v>
      </c>
      <c r="P364" s="1404">
        <f>IF(COUNT($H364:O364)&gt;='RFM input'!$V$7,0, P50+P102+P154)</f>
        <v>0</v>
      </c>
      <c r="Q364" s="1404">
        <f>IF(COUNT($H364:P364)&gt;='RFM input'!$V$7,0, Q50+Q102+Q154)</f>
        <v>0</v>
      </c>
      <c r="R364" s="1397"/>
      <c r="S364" s="71"/>
      <c r="T364" s="71"/>
      <c r="U364" s="71"/>
      <c r="V364" s="71"/>
      <c r="W364" s="71"/>
      <c r="X364" s="71"/>
      <c r="Y364" s="71"/>
      <c r="Z364" s="71"/>
      <c r="AA364" s="152"/>
    </row>
    <row r="365" spans="1:27" hidden="1" outlineLevel="1">
      <c r="A365" s="3"/>
      <c r="B365" s="4"/>
      <c r="C365" s="29"/>
      <c r="D365" s="133">
        <f>Asset44</f>
        <v>0</v>
      </c>
      <c r="E365" s="4"/>
      <c r="F365" s="4"/>
      <c r="G365" s="1393">
        <f t="shared" si="13"/>
        <v>0</v>
      </c>
      <c r="H365" s="1404">
        <f t="shared" si="14"/>
        <v>0</v>
      </c>
      <c r="I365" s="1404">
        <f t="shared" si="14"/>
        <v>0</v>
      </c>
      <c r="J365" s="1405">
        <f>IF(COUNT($H365:I365)&gt;='RFM input'!$V$7,0, J51+J103+J155)</f>
        <v>0</v>
      </c>
      <c r="K365" s="1404">
        <f>IF(COUNT($H365:J365)&gt;='RFM input'!$V$7,0, K51+K103+K155)</f>
        <v>0</v>
      </c>
      <c r="L365" s="1404">
        <f>IF(COUNT($H365:K365)&gt;='RFM input'!$V$7,0, L51+L103+L155)</f>
        <v>0</v>
      </c>
      <c r="M365" s="1404">
        <f>IF(COUNT($H365:L365)&gt;='RFM input'!$V$7,0, M51+M103+M155)</f>
        <v>0</v>
      </c>
      <c r="N365" s="1404">
        <f>IF(COUNT($H365:M365)&gt;='RFM input'!$V$7,0, N51+N103+N155)</f>
        <v>0</v>
      </c>
      <c r="O365" s="1404">
        <f>IF(COUNT($H365:N365)&gt;='RFM input'!$V$7,0, O51+O103+O155)</f>
        <v>0</v>
      </c>
      <c r="P365" s="1404">
        <f>IF(COUNT($H365:O365)&gt;='RFM input'!$V$7,0, P51+P103+P155)</f>
        <v>0</v>
      </c>
      <c r="Q365" s="1404">
        <f>IF(COUNT($H365:P365)&gt;='RFM input'!$V$7,0, Q51+Q103+Q155)</f>
        <v>0</v>
      </c>
      <c r="R365" s="1397"/>
      <c r="S365" s="71"/>
      <c r="T365" s="71"/>
      <c r="U365" s="71"/>
      <c r="V365" s="71"/>
      <c r="W365" s="71"/>
      <c r="X365" s="71"/>
      <c r="Y365" s="71"/>
      <c r="Z365" s="71"/>
      <c r="AA365" s="152"/>
    </row>
    <row r="366" spans="1:27" hidden="1" outlineLevel="1">
      <c r="A366" s="3"/>
      <c r="B366" s="4"/>
      <c r="C366" s="29"/>
      <c r="D366" s="133">
        <f>Asset45</f>
        <v>0</v>
      </c>
      <c r="E366" s="4"/>
      <c r="F366" s="4"/>
      <c r="G366" s="1393">
        <f t="shared" si="13"/>
        <v>0</v>
      </c>
      <c r="H366" s="1404">
        <f t="shared" si="14"/>
        <v>0</v>
      </c>
      <c r="I366" s="1404">
        <f t="shared" si="14"/>
        <v>0</v>
      </c>
      <c r="J366" s="1405">
        <f>IF(COUNT($H366:I366)&gt;='RFM input'!$V$7,0, J52+J104+J156)</f>
        <v>0</v>
      </c>
      <c r="K366" s="1404">
        <f>IF(COUNT($H366:J366)&gt;='RFM input'!$V$7,0, K52+K104+K156)</f>
        <v>0</v>
      </c>
      <c r="L366" s="1404">
        <f>IF(COUNT($H366:K366)&gt;='RFM input'!$V$7,0, L52+L104+L156)</f>
        <v>0</v>
      </c>
      <c r="M366" s="1404">
        <f>IF(COUNT($H366:L366)&gt;='RFM input'!$V$7,0, M52+M104+M156)</f>
        <v>0</v>
      </c>
      <c r="N366" s="1404">
        <f>IF(COUNT($H366:M366)&gt;='RFM input'!$V$7,0, N52+N104+N156)</f>
        <v>0</v>
      </c>
      <c r="O366" s="1404">
        <f>IF(COUNT($H366:N366)&gt;='RFM input'!$V$7,0, O52+O104+O156)</f>
        <v>0</v>
      </c>
      <c r="P366" s="1404">
        <f>IF(COUNT($H366:O366)&gt;='RFM input'!$V$7,0, P52+P104+P156)</f>
        <v>0</v>
      </c>
      <c r="Q366" s="1404">
        <f>IF(COUNT($H366:P366)&gt;='RFM input'!$V$7,0, Q52+Q104+Q156)</f>
        <v>0</v>
      </c>
      <c r="R366" s="1397"/>
      <c r="S366" s="71"/>
      <c r="T366" s="71"/>
      <c r="U366" s="71"/>
      <c r="V366" s="71"/>
      <c r="W366" s="71"/>
      <c r="X366" s="71"/>
      <c r="Y366" s="71"/>
      <c r="Z366" s="71"/>
      <c r="AA366" s="152"/>
    </row>
    <row r="367" spans="1:27" hidden="1" outlineLevel="1">
      <c r="A367" s="3"/>
      <c r="B367" s="4"/>
      <c r="C367" s="29"/>
      <c r="D367" s="133">
        <f>Asset46</f>
        <v>0</v>
      </c>
      <c r="E367" s="4"/>
      <c r="F367" s="4"/>
      <c r="G367" s="1393">
        <f t="shared" si="13"/>
        <v>0</v>
      </c>
      <c r="H367" s="1404">
        <f t="shared" si="14"/>
        <v>0</v>
      </c>
      <c r="I367" s="1404">
        <f t="shared" si="14"/>
        <v>0</v>
      </c>
      <c r="J367" s="1405">
        <f>IF(COUNT($H367:I367)&gt;='RFM input'!$V$7,0, J53+J105+J157)</f>
        <v>0</v>
      </c>
      <c r="K367" s="1404">
        <f>IF(COUNT($H367:J367)&gt;='RFM input'!$V$7,0, K53+K105+K157)</f>
        <v>0</v>
      </c>
      <c r="L367" s="1404">
        <f>IF(COUNT($H367:K367)&gt;='RFM input'!$V$7,0, L53+L105+L157)</f>
        <v>0</v>
      </c>
      <c r="M367" s="1404">
        <f>IF(COUNT($H367:L367)&gt;='RFM input'!$V$7,0, M53+M105+M157)</f>
        <v>0</v>
      </c>
      <c r="N367" s="1404">
        <f>IF(COUNT($H367:M367)&gt;='RFM input'!$V$7,0, N53+N105+N157)</f>
        <v>0</v>
      </c>
      <c r="O367" s="1404">
        <f>IF(COUNT($H367:N367)&gt;='RFM input'!$V$7,0, O53+O105+O157)</f>
        <v>0</v>
      </c>
      <c r="P367" s="1404">
        <f>IF(COUNT($H367:O367)&gt;='RFM input'!$V$7,0, P53+P105+P157)</f>
        <v>0</v>
      </c>
      <c r="Q367" s="1404">
        <f>IF(COUNT($H367:P367)&gt;='RFM input'!$V$7,0, Q53+Q105+Q157)</f>
        <v>0</v>
      </c>
      <c r="R367" s="1397"/>
      <c r="S367" s="71"/>
      <c r="T367" s="71"/>
      <c r="U367" s="71"/>
      <c r="V367" s="71"/>
      <c r="W367" s="71"/>
      <c r="X367" s="71"/>
      <c r="Y367" s="71"/>
      <c r="Z367" s="71"/>
      <c r="AA367" s="152"/>
    </row>
    <row r="368" spans="1:27" hidden="1" outlineLevel="1">
      <c r="A368" s="3"/>
      <c r="B368" s="4"/>
      <c r="C368" s="29"/>
      <c r="D368" s="133">
        <f>Asset47</f>
        <v>0</v>
      </c>
      <c r="E368" s="4"/>
      <c r="F368" s="4"/>
      <c r="G368" s="1393">
        <f t="shared" si="13"/>
        <v>0</v>
      </c>
      <c r="H368" s="1404">
        <f t="shared" si="14"/>
        <v>0</v>
      </c>
      <c r="I368" s="1404">
        <f t="shared" si="14"/>
        <v>0</v>
      </c>
      <c r="J368" s="1405">
        <f>IF(COUNT($H368:I368)&gt;='RFM input'!$V$7,0, J54+J106+J158)</f>
        <v>0</v>
      </c>
      <c r="K368" s="1404">
        <f>IF(COUNT($H368:J368)&gt;='RFM input'!$V$7,0, K54+K106+K158)</f>
        <v>0</v>
      </c>
      <c r="L368" s="1404">
        <f>IF(COUNT($H368:K368)&gt;='RFM input'!$V$7,0, L54+L106+L158)</f>
        <v>0</v>
      </c>
      <c r="M368" s="1404">
        <f>IF(COUNT($H368:L368)&gt;='RFM input'!$V$7,0, M54+M106+M158)</f>
        <v>0</v>
      </c>
      <c r="N368" s="1404">
        <f>IF(COUNT($H368:M368)&gt;='RFM input'!$V$7,0, N54+N106+N158)</f>
        <v>0</v>
      </c>
      <c r="O368" s="1404">
        <f>IF(COUNT($H368:N368)&gt;='RFM input'!$V$7,0, O54+O106+O158)</f>
        <v>0</v>
      </c>
      <c r="P368" s="1404">
        <f>IF(COUNT($H368:O368)&gt;='RFM input'!$V$7,0, P54+P106+P158)</f>
        <v>0</v>
      </c>
      <c r="Q368" s="1404">
        <f>IF(COUNT($H368:P368)&gt;='RFM input'!$V$7,0, Q54+Q106+Q158)</f>
        <v>0</v>
      </c>
      <c r="R368" s="1397"/>
      <c r="S368" s="71"/>
      <c r="T368" s="71"/>
      <c r="U368" s="71"/>
      <c r="V368" s="71"/>
      <c r="W368" s="71"/>
      <c r="X368" s="71"/>
      <c r="Y368" s="71"/>
      <c r="Z368" s="71"/>
      <c r="AA368" s="152"/>
    </row>
    <row r="369" spans="1:27" hidden="1" outlineLevel="1">
      <c r="A369" s="3"/>
      <c r="B369" s="4"/>
      <c r="C369" s="29"/>
      <c r="D369" s="133">
        <f>Asset48</f>
        <v>0</v>
      </c>
      <c r="E369" s="4"/>
      <c r="F369" s="4"/>
      <c r="G369" s="1393">
        <f t="shared" si="13"/>
        <v>0</v>
      </c>
      <c r="H369" s="1404">
        <f t="shared" si="14"/>
        <v>0</v>
      </c>
      <c r="I369" s="1404">
        <f t="shared" si="14"/>
        <v>0</v>
      </c>
      <c r="J369" s="1405">
        <f>IF(COUNT($H369:I369)&gt;='RFM input'!$V$7,0, J55+J107+J159)</f>
        <v>0</v>
      </c>
      <c r="K369" s="1404">
        <f>IF(COUNT($H369:J369)&gt;='RFM input'!$V$7,0, K55+K107+K159)</f>
        <v>0</v>
      </c>
      <c r="L369" s="1404">
        <f>IF(COUNT($H369:K369)&gt;='RFM input'!$V$7,0, L55+L107+L159)</f>
        <v>0</v>
      </c>
      <c r="M369" s="1404">
        <f>IF(COUNT($H369:L369)&gt;='RFM input'!$V$7,0, M55+M107+M159)</f>
        <v>0</v>
      </c>
      <c r="N369" s="1404">
        <f>IF(COUNT($H369:M369)&gt;='RFM input'!$V$7,0, N55+N107+N159)</f>
        <v>0</v>
      </c>
      <c r="O369" s="1404">
        <f>IF(COUNT($H369:N369)&gt;='RFM input'!$V$7,0, O55+O107+O159)</f>
        <v>0</v>
      </c>
      <c r="P369" s="1404">
        <f>IF(COUNT($H369:O369)&gt;='RFM input'!$V$7,0, P55+P107+P159)</f>
        <v>0</v>
      </c>
      <c r="Q369" s="1404">
        <f>IF(COUNT($H369:P369)&gt;='RFM input'!$V$7,0, Q55+Q107+Q159)</f>
        <v>0</v>
      </c>
      <c r="R369" s="1397"/>
      <c r="S369" s="71"/>
      <c r="T369" s="71"/>
      <c r="U369" s="71"/>
      <c r="V369" s="71"/>
      <c r="W369" s="71"/>
      <c r="X369" s="71"/>
      <c r="Y369" s="71"/>
      <c r="Z369" s="71"/>
      <c r="AA369" s="152"/>
    </row>
    <row r="370" spans="1:27" hidden="1" outlineLevel="1">
      <c r="A370" s="3"/>
      <c r="B370" s="4"/>
      <c r="C370" s="29"/>
      <c r="D370" s="133">
        <f>Asset49</f>
        <v>0</v>
      </c>
      <c r="E370" s="4"/>
      <c r="F370" s="4"/>
      <c r="G370" s="1393">
        <f t="shared" si="13"/>
        <v>0</v>
      </c>
      <c r="H370" s="1404">
        <f t="shared" si="14"/>
        <v>0</v>
      </c>
      <c r="I370" s="1404">
        <f t="shared" si="14"/>
        <v>0</v>
      </c>
      <c r="J370" s="1405">
        <f>IF(COUNT($H370:I370)&gt;='RFM input'!$V$7,0, J56+J108+J160)</f>
        <v>0</v>
      </c>
      <c r="K370" s="1404">
        <f>IF(COUNT($H370:J370)&gt;='RFM input'!$V$7,0, K56+K108+K160)</f>
        <v>0</v>
      </c>
      <c r="L370" s="1404">
        <f>IF(COUNT($H370:K370)&gt;='RFM input'!$V$7,0, L56+L108+L160)</f>
        <v>0</v>
      </c>
      <c r="M370" s="1404">
        <f>IF(COUNT($H370:L370)&gt;='RFM input'!$V$7,0, M56+M108+M160)</f>
        <v>0</v>
      </c>
      <c r="N370" s="1404">
        <f>IF(COUNT($H370:M370)&gt;='RFM input'!$V$7,0, N56+N108+N160)</f>
        <v>0</v>
      </c>
      <c r="O370" s="1404">
        <f>IF(COUNT($H370:N370)&gt;='RFM input'!$V$7,0, O56+O108+O160)</f>
        <v>0</v>
      </c>
      <c r="P370" s="1404">
        <f>IF(COUNT($H370:O370)&gt;='RFM input'!$V$7,0, P56+P108+P160)</f>
        <v>0</v>
      </c>
      <c r="Q370" s="1404">
        <f>IF(COUNT($H370:P370)&gt;='RFM input'!$V$7,0, Q56+Q108+Q160)</f>
        <v>0</v>
      </c>
      <c r="R370" s="1397"/>
      <c r="S370" s="71"/>
      <c r="T370" s="71"/>
      <c r="U370" s="71"/>
      <c r="V370" s="71"/>
      <c r="W370" s="71"/>
      <c r="X370" s="71"/>
      <c r="Y370" s="71"/>
      <c r="Z370" s="71"/>
      <c r="AA370" s="152"/>
    </row>
    <row r="371" spans="1:27" hidden="1" outlineLevel="1">
      <c r="A371" s="3"/>
      <c r="B371" s="4"/>
      <c r="C371" s="29"/>
      <c r="D371" s="133">
        <f>Asset50</f>
        <v>0</v>
      </c>
      <c r="E371" s="4"/>
      <c r="F371" s="4"/>
      <c r="G371" s="1393">
        <f t="shared" si="13"/>
        <v>0</v>
      </c>
      <c r="H371" s="1404">
        <f t="shared" si="14"/>
        <v>0</v>
      </c>
      <c r="I371" s="1404">
        <f t="shared" si="14"/>
        <v>0</v>
      </c>
      <c r="J371" s="1405">
        <f>IF(COUNT($H371:I371)&gt;='RFM input'!$V$7,0, J57+J109+J161)</f>
        <v>0</v>
      </c>
      <c r="K371" s="1404">
        <f>IF(COUNT($H371:J371)&gt;='RFM input'!$V$7,0, K57+K109+K161)</f>
        <v>0</v>
      </c>
      <c r="L371" s="1404">
        <f>IF(COUNT($H371:K371)&gt;='RFM input'!$V$7,0, L57+L109+L161)</f>
        <v>0</v>
      </c>
      <c r="M371" s="1404">
        <f>IF(COUNT($H371:L371)&gt;='RFM input'!$V$7,0, M57+M109+M161)</f>
        <v>0</v>
      </c>
      <c r="N371" s="1404">
        <f>IF(COUNT($H371:M371)&gt;='RFM input'!$V$7,0, N57+N109+N161)</f>
        <v>0</v>
      </c>
      <c r="O371" s="1404">
        <f>IF(COUNT($H371:N371)&gt;='RFM input'!$V$7,0, O57+O109+O161)</f>
        <v>0</v>
      </c>
      <c r="P371" s="1404">
        <f>IF(COUNT($H371:O371)&gt;='RFM input'!$V$7,0, P57+P109+P161)</f>
        <v>0</v>
      </c>
      <c r="Q371" s="1404">
        <f>IF(COUNT($H371:P371)&gt;='RFM input'!$V$7,0, Q57+Q109+Q161)</f>
        <v>0</v>
      </c>
      <c r="R371" s="1397"/>
      <c r="S371" s="71"/>
      <c r="T371" s="71"/>
      <c r="U371" s="71"/>
      <c r="V371" s="71"/>
      <c r="W371" s="71"/>
      <c r="X371" s="71"/>
      <c r="Y371" s="71"/>
      <c r="Z371" s="71"/>
      <c r="AA371" s="152"/>
    </row>
    <row r="372" spans="1:27" collapsed="1">
      <c r="A372" s="3"/>
      <c r="B372" s="4"/>
      <c r="C372" s="63"/>
      <c r="D372" s="81"/>
      <c r="E372" s="4"/>
      <c r="F372" s="4"/>
      <c r="G372" s="1358"/>
      <c r="H372" s="1397"/>
      <c r="I372" s="1397"/>
      <c r="J372" s="1397"/>
      <c r="K372" s="1397"/>
      <c r="L372" s="1397"/>
      <c r="M372" s="1397"/>
      <c r="N372" s="1397"/>
      <c r="O372" s="1397"/>
      <c r="P372" s="1397"/>
      <c r="Q372" s="1397"/>
      <c r="R372" s="1397"/>
      <c r="S372" s="71"/>
      <c r="T372" s="71"/>
      <c r="U372" s="71"/>
      <c r="V372" s="71"/>
      <c r="W372" s="71"/>
      <c r="X372" s="71"/>
      <c r="Y372" s="71"/>
      <c r="Z372" s="71"/>
      <c r="AA372" s="152"/>
    </row>
    <row r="373" spans="1:27">
      <c r="A373" s="3"/>
      <c r="B373" s="4"/>
      <c r="C373" s="195" t="s">
        <v>587</v>
      </c>
      <c r="D373" s="177"/>
      <c r="E373" s="177"/>
      <c r="F373" s="177"/>
      <c r="G373" s="233"/>
      <c r="H373" s="1362"/>
      <c r="I373" s="1365">
        <f t="shared" ref="I373" si="15">SUM(I374:I423)</f>
        <v>0</v>
      </c>
      <c r="J373" s="1365">
        <f t="shared" ref="J373:Q373" si="16">SUM(J374:J423)</f>
        <v>0</v>
      </c>
      <c r="K373" s="1365">
        <f t="shared" si="16"/>
        <v>0</v>
      </c>
      <c r="L373" s="1365">
        <f t="shared" si="16"/>
        <v>0</v>
      </c>
      <c r="M373" s="1365">
        <f t="shared" si="16"/>
        <v>0</v>
      </c>
      <c r="N373" s="1365">
        <f t="shared" si="16"/>
        <v>28.82919381448324</v>
      </c>
      <c r="O373" s="1365">
        <f t="shared" si="16"/>
        <v>0</v>
      </c>
      <c r="P373" s="1365">
        <f t="shared" si="16"/>
        <v>0</v>
      </c>
      <c r="Q373" s="1365">
        <f t="shared" si="16"/>
        <v>0</v>
      </c>
      <c r="R373" s="77"/>
      <c r="S373" s="77"/>
      <c r="T373" s="77"/>
      <c r="U373" s="77"/>
      <c r="V373" s="77"/>
      <c r="W373" s="77"/>
      <c r="X373" s="77"/>
      <c r="Y373" s="77"/>
      <c r="Z373" s="77"/>
      <c r="AA373" s="152"/>
    </row>
    <row r="374" spans="1:27" ht="12" hidden="1" customHeight="1" outlineLevel="1">
      <c r="A374" s="3"/>
      <c r="B374" s="3"/>
      <c r="C374" s="3"/>
      <c r="D374" s="133" t="str">
        <f>Asset1</f>
        <v>Mains</v>
      </c>
      <c r="E374" s="3"/>
      <c r="F374" s="3"/>
      <c r="G374" s="248"/>
      <c r="H374" s="1341"/>
      <c r="I374" s="1363">
        <f>IF(I$321&gt;0, IF(J$321=0, 'Adjustment for previous period'!$G118, 0), 0)</f>
        <v>0</v>
      </c>
      <c r="J374" s="1363">
        <f>IF(J$321&gt;0, IF(K$321=0, 'Adjustment for previous period'!$G118, 0), 0)</f>
        <v>0</v>
      </c>
      <c r="K374" s="1363">
        <f>IF(K$321&gt;0, IF(L$321=0, 'Adjustment for previous period'!$G118, 0), 0)</f>
        <v>0</v>
      </c>
      <c r="L374" s="1363">
        <f>IF(L$321&gt;0, IF(M$321=0, 'Adjustment for previous period'!$G118, 0), 0)</f>
        <v>0</v>
      </c>
      <c r="M374" s="1363">
        <f>IF(M$321&gt;0, IF(N$321=0, 'Adjustment for previous period'!$G118, 0), 0)</f>
        <v>0</v>
      </c>
      <c r="N374" s="1363">
        <f>IF(N$321&gt;0, IF(O$321=0, 'Adjustment for previous period'!$G118, 0), 0)</f>
        <v>15.439282093373357</v>
      </c>
      <c r="O374" s="1363">
        <f>IF(O$321&gt;0, IF(P$321=0, 'Adjustment for previous period'!$G118, 0), 0)</f>
        <v>0</v>
      </c>
      <c r="P374" s="1363">
        <f>IF(P$321&gt;0, IF(Q$321=0, 'Adjustment for previous period'!$G118, 0), 0)</f>
        <v>0</v>
      </c>
      <c r="Q374" s="1363">
        <f>IF(Q$321&gt;0, IF(R$321=0, 'Adjustment for previous period'!$G118, 0), 0)</f>
        <v>0</v>
      </c>
      <c r="R374" s="248"/>
      <c r="S374" s="4"/>
      <c r="T374" s="4"/>
      <c r="U374" s="4"/>
      <c r="V374" s="4"/>
      <c r="W374" s="4"/>
      <c r="X374" s="4"/>
      <c r="Y374" s="4"/>
      <c r="Z374" s="4"/>
      <c r="AA374" s="152"/>
    </row>
    <row r="375" spans="1:27" ht="12" hidden="1" customHeight="1" outlineLevel="1">
      <c r="A375" s="3"/>
      <c r="B375" s="3"/>
      <c r="C375" s="3"/>
      <c r="D375" s="133" t="str">
        <f>Asset2</f>
        <v>Inlets</v>
      </c>
      <c r="E375" s="3"/>
      <c r="F375" s="3"/>
      <c r="G375" s="248"/>
      <c r="H375" s="1341"/>
      <c r="I375" s="1363">
        <f>IF(I$321&gt;0, IF(J$321=0, 'Adjustment for previous period'!$G119, 0), 0)</f>
        <v>0</v>
      </c>
      <c r="J375" s="1363">
        <f>IF(J$321&gt;0, IF(K$321=0, 'Adjustment for previous period'!$G119, 0), 0)</f>
        <v>0</v>
      </c>
      <c r="K375" s="1363">
        <f>IF(K$321&gt;0, IF(L$321=0, 'Adjustment for previous period'!$G119, 0), 0)</f>
        <v>0</v>
      </c>
      <c r="L375" s="1363">
        <f>IF(L$321&gt;0, IF(M$321=0, 'Adjustment for previous period'!$G119, 0), 0)</f>
        <v>0</v>
      </c>
      <c r="M375" s="1363">
        <f>IF(M$321&gt;0, IF(N$321=0, 'Adjustment for previous period'!$G119, 0), 0)</f>
        <v>0</v>
      </c>
      <c r="N375" s="1363">
        <f>IF(N$321&gt;0, IF(O$321=0, 'Adjustment for previous period'!$G119, 0), 0)</f>
        <v>5.4823622610499587</v>
      </c>
      <c r="O375" s="1363">
        <f>IF(O$321&gt;0, IF(P$321=0, 'Adjustment for previous period'!$G119, 0), 0)</f>
        <v>0</v>
      </c>
      <c r="P375" s="1363">
        <f>IF(P$321&gt;0, IF(Q$321=0, 'Adjustment for previous period'!$G119, 0), 0)</f>
        <v>0</v>
      </c>
      <c r="Q375" s="1363">
        <f>IF(Q$321&gt;0, IF(R$321=0, 'Adjustment for previous period'!$G119, 0), 0)</f>
        <v>0</v>
      </c>
      <c r="R375" s="248"/>
      <c r="S375" s="4"/>
      <c r="T375" s="4"/>
      <c r="U375" s="4"/>
      <c r="V375" s="4"/>
      <c r="W375" s="4"/>
      <c r="X375" s="4"/>
      <c r="Y375" s="4"/>
      <c r="Z375" s="4"/>
      <c r="AA375" s="152"/>
    </row>
    <row r="376" spans="1:27" ht="12" hidden="1" customHeight="1" outlineLevel="1">
      <c r="A376" s="3"/>
      <c r="B376" s="3"/>
      <c r="C376" s="3"/>
      <c r="D376" s="133" t="str">
        <f>Asset3</f>
        <v>Meters</v>
      </c>
      <c r="E376" s="3"/>
      <c r="F376" s="3"/>
      <c r="G376" s="248"/>
      <c r="H376" s="1341"/>
      <c r="I376" s="1363">
        <f>IF(I$321&gt;0, IF(J$321=0, 'Adjustment for previous period'!$G120, 0), 0)</f>
        <v>0</v>
      </c>
      <c r="J376" s="1363">
        <f>IF(J$321&gt;0, IF(K$321=0, 'Adjustment for previous period'!$G120, 0), 0)</f>
        <v>0</v>
      </c>
      <c r="K376" s="1363">
        <f>IF(K$321&gt;0, IF(L$321=0, 'Adjustment for previous period'!$G120, 0), 0)</f>
        <v>0</v>
      </c>
      <c r="L376" s="1363">
        <f>IF(L$321&gt;0, IF(M$321=0, 'Adjustment for previous period'!$G120, 0), 0)</f>
        <v>0</v>
      </c>
      <c r="M376" s="1363">
        <f>IF(M$321&gt;0, IF(N$321=0, 'Adjustment for previous period'!$G120, 0), 0)</f>
        <v>0</v>
      </c>
      <c r="N376" s="1363">
        <f>IF(N$321&gt;0, IF(O$321=0, 'Adjustment for previous period'!$G120, 0), 0)</f>
        <v>2.5177747451288335</v>
      </c>
      <c r="O376" s="1363">
        <f>IF(O$321&gt;0, IF(P$321=0, 'Adjustment for previous period'!$G120, 0), 0)</f>
        <v>0</v>
      </c>
      <c r="P376" s="1363">
        <f>IF(P$321&gt;0, IF(Q$321=0, 'Adjustment for previous period'!$G120, 0), 0)</f>
        <v>0</v>
      </c>
      <c r="Q376" s="1363">
        <f>IF(Q$321&gt;0, IF(R$321=0, 'Adjustment for previous period'!$G120, 0), 0)</f>
        <v>0</v>
      </c>
      <c r="R376" s="248"/>
      <c r="S376" s="4"/>
      <c r="T376" s="4"/>
      <c r="U376" s="4"/>
      <c r="V376" s="4"/>
      <c r="W376" s="4"/>
      <c r="X376" s="4"/>
      <c r="Y376" s="4"/>
      <c r="Z376" s="4"/>
      <c r="AA376" s="152"/>
    </row>
    <row r="377" spans="1:27" ht="12" hidden="1" customHeight="1" outlineLevel="1">
      <c r="A377" s="3"/>
      <c r="B377" s="3"/>
      <c r="C377" s="3"/>
      <c r="D377" s="133" t="str">
        <f>Asset4</f>
        <v>Telemetry</v>
      </c>
      <c r="E377" s="3"/>
      <c r="F377" s="3"/>
      <c r="G377" s="248"/>
      <c r="H377" s="1341"/>
      <c r="I377" s="1363">
        <f>IF(I$321&gt;0, IF(J$321=0, 'Adjustment for previous period'!$G121, 0), 0)</f>
        <v>0</v>
      </c>
      <c r="J377" s="1363">
        <f>IF(J$321&gt;0, IF(K$321=0, 'Adjustment for previous period'!$G121, 0), 0)</f>
        <v>0</v>
      </c>
      <c r="K377" s="1363">
        <f>IF(K$321&gt;0, IF(L$321=0, 'Adjustment for previous period'!$G121, 0), 0)</f>
        <v>0</v>
      </c>
      <c r="L377" s="1363">
        <f>IF(L$321&gt;0, IF(M$321=0, 'Adjustment for previous period'!$G121, 0), 0)</f>
        <v>0</v>
      </c>
      <c r="M377" s="1363">
        <f>IF(M$321&gt;0, IF(N$321=0, 'Adjustment for previous period'!$G121, 0), 0)</f>
        <v>0</v>
      </c>
      <c r="N377" s="1363">
        <f>IF(N$321&gt;0, IF(O$321=0, 'Adjustment for previous period'!$G121, 0), 0)</f>
        <v>0.51788791565969017</v>
      </c>
      <c r="O377" s="1363">
        <f>IF(O$321&gt;0, IF(P$321=0, 'Adjustment for previous period'!$G121, 0), 0)</f>
        <v>0</v>
      </c>
      <c r="P377" s="1363">
        <f>IF(P$321&gt;0, IF(Q$321=0, 'Adjustment for previous period'!$G121, 0), 0)</f>
        <v>0</v>
      </c>
      <c r="Q377" s="1363">
        <f>IF(Q$321&gt;0, IF(R$321=0, 'Adjustment for previous period'!$G121, 0), 0)</f>
        <v>0</v>
      </c>
      <c r="R377" s="248"/>
      <c r="S377" s="4"/>
      <c r="T377" s="4"/>
      <c r="U377" s="4"/>
      <c r="V377" s="4"/>
      <c r="W377" s="4"/>
      <c r="X377" s="4"/>
      <c r="Y377" s="4"/>
      <c r="Z377" s="4"/>
      <c r="AA377" s="152"/>
    </row>
    <row r="378" spans="1:27" ht="12" hidden="1" customHeight="1" outlineLevel="1">
      <c r="A378" s="3"/>
      <c r="B378" s="3"/>
      <c r="C378" s="3"/>
      <c r="D378" s="133" t="str">
        <f>Asset5</f>
        <v>IT System</v>
      </c>
      <c r="E378" s="3"/>
      <c r="F378" s="3"/>
      <c r="G378" s="248"/>
      <c r="H378" s="1341"/>
      <c r="I378" s="1363">
        <f>IF(I$321&gt;0, IF(J$321=0, 'Adjustment for previous period'!$G122, 0), 0)</f>
        <v>0</v>
      </c>
      <c r="J378" s="1363">
        <f>IF(J$321&gt;0, IF(K$321=0, 'Adjustment for previous period'!$G122, 0), 0)</f>
        <v>0</v>
      </c>
      <c r="K378" s="1363">
        <f>IF(K$321&gt;0, IF(L$321=0, 'Adjustment for previous period'!$G122, 0), 0)</f>
        <v>0</v>
      </c>
      <c r="L378" s="1363">
        <f>IF(L$321&gt;0, IF(M$321=0, 'Adjustment for previous period'!$G122, 0), 0)</f>
        <v>0</v>
      </c>
      <c r="M378" s="1363">
        <f>IF(M$321&gt;0, IF(N$321=0, 'Adjustment for previous period'!$G122, 0), 0)</f>
        <v>0</v>
      </c>
      <c r="N378" s="1363">
        <f>IF(N$321&gt;0, IF(O$321=0, 'Adjustment for previous period'!$G122, 0), 0)</f>
        <v>3.7818219679743938</v>
      </c>
      <c r="O378" s="1363">
        <f>IF(O$321&gt;0, IF(P$321=0, 'Adjustment for previous period'!$G122, 0), 0)</f>
        <v>0</v>
      </c>
      <c r="P378" s="1363">
        <f>IF(P$321&gt;0, IF(Q$321=0, 'Adjustment for previous period'!$G122, 0), 0)</f>
        <v>0</v>
      </c>
      <c r="Q378" s="1363">
        <f>IF(Q$321&gt;0, IF(R$321=0, 'Adjustment for previous period'!$G122, 0), 0)</f>
        <v>0</v>
      </c>
      <c r="R378" s="248"/>
      <c r="S378" s="4"/>
      <c r="T378" s="4"/>
      <c r="U378" s="4"/>
      <c r="V378" s="4"/>
      <c r="W378" s="4"/>
      <c r="X378" s="4"/>
      <c r="Y378" s="4"/>
      <c r="Z378" s="4"/>
      <c r="AA378" s="152"/>
    </row>
    <row r="379" spans="1:27" ht="12" hidden="1" customHeight="1" outlineLevel="1">
      <c r="A379" s="3"/>
      <c r="B379" s="3"/>
      <c r="C379" s="3"/>
      <c r="D379" s="133" t="str">
        <f>Asset6</f>
        <v>Other Distribution System Equipment</v>
      </c>
      <c r="E379" s="3"/>
      <c r="F379" s="3"/>
      <c r="G379" s="248"/>
      <c r="H379" s="1341"/>
      <c r="I379" s="1363">
        <f>IF(I$321&gt;0, IF(J$321=0, 'Adjustment for previous period'!$G123, 0), 0)</f>
        <v>0</v>
      </c>
      <c r="J379" s="1363">
        <f>IF(J$321&gt;0, IF(K$321=0, 'Adjustment for previous period'!$G123, 0), 0)</f>
        <v>0</v>
      </c>
      <c r="K379" s="1363">
        <f>IF(K$321&gt;0, IF(L$321=0, 'Adjustment for previous period'!$G123, 0), 0)</f>
        <v>0</v>
      </c>
      <c r="L379" s="1363">
        <f>IF(L$321&gt;0, IF(M$321=0, 'Adjustment for previous period'!$G123, 0), 0)</f>
        <v>0</v>
      </c>
      <c r="M379" s="1363">
        <f>IF(M$321&gt;0, IF(N$321=0, 'Adjustment for previous period'!$G123, 0), 0)</f>
        <v>0</v>
      </c>
      <c r="N379" s="1363">
        <f>IF(N$321&gt;0, IF(O$321=0, 'Adjustment for previous period'!$G123, 0), 0)</f>
        <v>1.0900648312970111</v>
      </c>
      <c r="O379" s="1363">
        <f>IF(O$321&gt;0, IF(P$321=0, 'Adjustment for previous period'!$G123, 0), 0)</f>
        <v>0</v>
      </c>
      <c r="P379" s="1363">
        <f>IF(P$321&gt;0, IF(Q$321=0, 'Adjustment for previous period'!$G123, 0), 0)</f>
        <v>0</v>
      </c>
      <c r="Q379" s="1363">
        <f>IF(Q$321&gt;0, IF(R$321=0, 'Adjustment for previous period'!$G123, 0), 0)</f>
        <v>0</v>
      </c>
      <c r="R379" s="248"/>
      <c r="S379" s="4"/>
      <c r="T379" s="4"/>
      <c r="U379" s="4"/>
      <c r="V379" s="4"/>
      <c r="W379" s="4"/>
      <c r="X379" s="4"/>
      <c r="Y379" s="4"/>
      <c r="Z379" s="4"/>
      <c r="AA379" s="152"/>
    </row>
    <row r="380" spans="1:27" ht="12" hidden="1" customHeight="1" outlineLevel="1">
      <c r="A380" s="3"/>
      <c r="B380" s="3"/>
      <c r="C380" s="3"/>
      <c r="D380" s="133" t="str">
        <f>Asset7</f>
        <v>Other</v>
      </c>
      <c r="E380" s="3"/>
      <c r="F380" s="3"/>
      <c r="G380" s="248"/>
      <c r="H380" s="1341"/>
      <c r="I380" s="1363">
        <f>IF(I$321&gt;0, IF(J$321=0, 'Adjustment for previous period'!$G124, 0), 0)</f>
        <v>0</v>
      </c>
      <c r="J380" s="1363">
        <f>IF(J$321&gt;0, IF(K$321=0, 'Adjustment for previous period'!$G124, 0), 0)</f>
        <v>0</v>
      </c>
      <c r="K380" s="1363">
        <f>IF(K$321&gt;0, IF(L$321=0, 'Adjustment for previous period'!$G124, 0), 0)</f>
        <v>0</v>
      </c>
      <c r="L380" s="1363">
        <f>IF(L$321&gt;0, IF(M$321=0, 'Adjustment for previous period'!$G124, 0), 0)</f>
        <v>0</v>
      </c>
      <c r="M380" s="1363">
        <f>IF(M$321&gt;0, IF(N$321=0, 'Adjustment for previous period'!$G124, 0), 0)</f>
        <v>0</v>
      </c>
      <c r="N380" s="1363">
        <f>IF(N$321&gt;0, IF(O$321=0, 'Adjustment for previous period'!$G124, 0), 0)</f>
        <v>0</v>
      </c>
      <c r="O380" s="1363">
        <f>IF(O$321&gt;0, IF(P$321=0, 'Adjustment for previous period'!$G124, 0), 0)</f>
        <v>0</v>
      </c>
      <c r="P380" s="1363">
        <f>IF(P$321&gt;0, IF(Q$321=0, 'Adjustment for previous period'!$G124, 0), 0)</f>
        <v>0</v>
      </c>
      <c r="Q380" s="1363">
        <f>IF(Q$321&gt;0, IF(R$321=0, 'Adjustment for previous period'!$G124, 0), 0)</f>
        <v>0</v>
      </c>
      <c r="R380" s="248"/>
      <c r="S380" s="4"/>
      <c r="T380" s="4"/>
      <c r="U380" s="4"/>
      <c r="V380" s="4"/>
      <c r="W380" s="4"/>
      <c r="X380" s="4"/>
      <c r="Y380" s="4"/>
      <c r="Z380" s="4"/>
      <c r="AA380" s="152"/>
    </row>
    <row r="381" spans="1:27" ht="12" hidden="1" customHeight="1" outlineLevel="1">
      <c r="A381" s="3"/>
      <c r="B381" s="3"/>
      <c r="C381" s="3"/>
      <c r="D381" s="133">
        <f>Asset8</f>
        <v>0</v>
      </c>
      <c r="E381" s="3"/>
      <c r="F381" s="3"/>
      <c r="G381" s="248"/>
      <c r="H381" s="1341"/>
      <c r="I381" s="1363">
        <f>IF(I$321&gt;0, IF(J$321=0, 'Adjustment for previous period'!$G125, 0), 0)</f>
        <v>0</v>
      </c>
      <c r="J381" s="1363">
        <f>IF(J$321&gt;0, IF(K$321=0, 'Adjustment for previous period'!$G125, 0), 0)</f>
        <v>0</v>
      </c>
      <c r="K381" s="1363">
        <f>IF(K$321&gt;0, IF(L$321=0, 'Adjustment for previous period'!$G125, 0), 0)</f>
        <v>0</v>
      </c>
      <c r="L381" s="1363">
        <f>IF(L$321&gt;0, IF(M$321=0, 'Adjustment for previous period'!$G125, 0), 0)</f>
        <v>0</v>
      </c>
      <c r="M381" s="1363">
        <f>IF(M$321&gt;0, IF(N$321=0, 'Adjustment for previous period'!$G125, 0), 0)</f>
        <v>0</v>
      </c>
      <c r="N381" s="1363">
        <f>IF(N$321&gt;0, IF(O$321=0, 'Adjustment for previous period'!$G125, 0), 0)</f>
        <v>0</v>
      </c>
      <c r="O381" s="1363">
        <f>IF(O$321&gt;0, IF(P$321=0, 'Adjustment for previous period'!$G125, 0), 0)</f>
        <v>0</v>
      </c>
      <c r="P381" s="1363">
        <f>IF(P$321&gt;0, IF(Q$321=0, 'Adjustment for previous period'!$G125, 0), 0)</f>
        <v>0</v>
      </c>
      <c r="Q381" s="1363">
        <f>IF(Q$321&gt;0, IF(R$321=0, 'Adjustment for previous period'!$G125, 0), 0)</f>
        <v>0</v>
      </c>
      <c r="R381" s="248"/>
      <c r="S381" s="4"/>
      <c r="T381" s="4"/>
      <c r="U381" s="4"/>
      <c r="V381" s="4"/>
      <c r="W381" s="4"/>
      <c r="X381" s="4"/>
      <c r="Y381" s="4"/>
      <c r="Z381" s="4"/>
      <c r="AA381" s="152"/>
    </row>
    <row r="382" spans="1:27" ht="12" hidden="1" customHeight="1" outlineLevel="1">
      <c r="A382" s="3"/>
      <c r="B382" s="3"/>
      <c r="C382" s="3"/>
      <c r="D382" s="133">
        <f>Asset9</f>
        <v>0</v>
      </c>
      <c r="E382" s="3"/>
      <c r="F382" s="3"/>
      <c r="G382" s="248"/>
      <c r="H382" s="1341"/>
      <c r="I382" s="1363">
        <f>IF(I$321&gt;0, IF(J$321=0, 'Adjustment for previous period'!$G126, 0), 0)</f>
        <v>0</v>
      </c>
      <c r="J382" s="1363">
        <f>IF(J$321&gt;0, IF(K$321=0, 'Adjustment for previous period'!$G126, 0), 0)</f>
        <v>0</v>
      </c>
      <c r="K382" s="1363">
        <f>IF(K$321&gt;0, IF(L$321=0, 'Adjustment for previous period'!$G126, 0), 0)</f>
        <v>0</v>
      </c>
      <c r="L382" s="1363">
        <f>IF(L$321&gt;0, IF(M$321=0, 'Adjustment for previous period'!$G126, 0), 0)</f>
        <v>0</v>
      </c>
      <c r="M382" s="1363">
        <f>IF(M$321&gt;0, IF(N$321=0, 'Adjustment for previous period'!$G126, 0), 0)</f>
        <v>0</v>
      </c>
      <c r="N382" s="1363">
        <f>IF(N$321&gt;0, IF(O$321=0, 'Adjustment for previous period'!$G126, 0), 0)</f>
        <v>0</v>
      </c>
      <c r="O382" s="1363">
        <f>IF(O$321&gt;0, IF(P$321=0, 'Adjustment for previous period'!$G126, 0), 0)</f>
        <v>0</v>
      </c>
      <c r="P382" s="1363">
        <f>IF(P$321&gt;0, IF(Q$321=0, 'Adjustment for previous period'!$G126, 0), 0)</f>
        <v>0</v>
      </c>
      <c r="Q382" s="1363">
        <f>IF(Q$321&gt;0, IF(R$321=0, 'Adjustment for previous period'!$G126, 0), 0)</f>
        <v>0</v>
      </c>
      <c r="R382" s="248"/>
      <c r="S382" s="4"/>
      <c r="T382" s="4"/>
      <c r="U382" s="4"/>
      <c r="V382" s="4"/>
      <c r="W382" s="4"/>
      <c r="X382" s="4"/>
      <c r="Y382" s="4"/>
      <c r="Z382" s="4"/>
      <c r="AA382" s="152"/>
    </row>
    <row r="383" spans="1:27" ht="12" hidden="1" customHeight="1" outlineLevel="1">
      <c r="A383" s="3"/>
      <c r="B383" s="3"/>
      <c r="C383" s="3"/>
      <c r="D383" s="133">
        <f>Asset10</f>
        <v>0</v>
      </c>
      <c r="E383" s="3"/>
      <c r="F383" s="3"/>
      <c r="G383" s="248"/>
      <c r="H383" s="1341"/>
      <c r="I383" s="1363">
        <f>IF(I$321&gt;0, IF(J$321=0, 'Adjustment for previous period'!$G127, 0), 0)</f>
        <v>0</v>
      </c>
      <c r="J383" s="1363">
        <f>IF(J$321&gt;0, IF(K$321=0, 'Adjustment for previous period'!$G127, 0), 0)</f>
        <v>0</v>
      </c>
      <c r="K383" s="1363">
        <f>IF(K$321&gt;0, IF(L$321=0, 'Adjustment for previous period'!$G127, 0), 0)</f>
        <v>0</v>
      </c>
      <c r="L383" s="1363">
        <f>IF(L$321&gt;0, IF(M$321=0, 'Adjustment for previous period'!$G127, 0), 0)</f>
        <v>0</v>
      </c>
      <c r="M383" s="1363">
        <f>IF(M$321&gt;0, IF(N$321=0, 'Adjustment for previous period'!$G127, 0), 0)</f>
        <v>0</v>
      </c>
      <c r="N383" s="1363">
        <f>IF(N$321&gt;0, IF(O$321=0, 'Adjustment for previous period'!$G127, 0), 0)</f>
        <v>0</v>
      </c>
      <c r="O383" s="1363">
        <f>IF(O$321&gt;0, IF(P$321=0, 'Adjustment for previous period'!$G127, 0), 0)</f>
        <v>0</v>
      </c>
      <c r="P383" s="1363">
        <f>IF(P$321&gt;0, IF(Q$321=0, 'Adjustment for previous period'!$G127, 0), 0)</f>
        <v>0</v>
      </c>
      <c r="Q383" s="1363">
        <f>IF(Q$321&gt;0, IF(R$321=0, 'Adjustment for previous period'!$G127, 0), 0)</f>
        <v>0</v>
      </c>
      <c r="R383" s="248"/>
      <c r="S383" s="4"/>
      <c r="T383" s="4"/>
      <c r="U383" s="4"/>
      <c r="V383" s="4"/>
      <c r="W383" s="4"/>
      <c r="X383" s="4"/>
      <c r="Y383" s="4"/>
      <c r="Z383" s="4"/>
      <c r="AA383" s="152"/>
    </row>
    <row r="384" spans="1:27" ht="12" hidden="1" customHeight="1" outlineLevel="1">
      <c r="A384" s="3"/>
      <c r="B384" s="3"/>
      <c r="C384" s="3"/>
      <c r="D384" s="133">
        <f>Asset11</f>
        <v>0</v>
      </c>
      <c r="E384" s="3"/>
      <c r="F384" s="3"/>
      <c r="G384" s="248"/>
      <c r="H384" s="1341"/>
      <c r="I384" s="1363">
        <f>IF(I$321&gt;0, IF(J$321=0, 'Adjustment for previous period'!$G128, 0), 0)</f>
        <v>0</v>
      </c>
      <c r="J384" s="1363">
        <f>IF(J$321&gt;0, IF(K$321=0, 'Adjustment for previous period'!$G128, 0), 0)</f>
        <v>0</v>
      </c>
      <c r="K384" s="1363">
        <f>IF(K$321&gt;0, IF(L$321=0, 'Adjustment for previous period'!$G128, 0), 0)</f>
        <v>0</v>
      </c>
      <c r="L384" s="1363">
        <f>IF(L$321&gt;0, IF(M$321=0, 'Adjustment for previous period'!$G128, 0), 0)</f>
        <v>0</v>
      </c>
      <c r="M384" s="1363">
        <f>IF(M$321&gt;0, IF(N$321=0, 'Adjustment for previous period'!$G128, 0), 0)</f>
        <v>0</v>
      </c>
      <c r="N384" s="1363">
        <f>IF(N$321&gt;0, IF(O$321=0, 'Adjustment for previous period'!$G128, 0), 0)</f>
        <v>0</v>
      </c>
      <c r="O384" s="1363">
        <f>IF(O$321&gt;0, IF(P$321=0, 'Adjustment for previous period'!$G128, 0), 0)</f>
        <v>0</v>
      </c>
      <c r="P384" s="1363">
        <f>IF(P$321&gt;0, IF(Q$321=0, 'Adjustment for previous period'!$G128, 0), 0)</f>
        <v>0</v>
      </c>
      <c r="Q384" s="1363">
        <f>IF(Q$321&gt;0, IF(R$321=0, 'Adjustment for previous period'!$G128, 0), 0)</f>
        <v>0</v>
      </c>
      <c r="R384" s="248"/>
      <c r="S384" s="4"/>
      <c r="T384" s="4"/>
      <c r="U384" s="4"/>
      <c r="V384" s="4"/>
      <c r="W384" s="4"/>
      <c r="X384" s="4"/>
      <c r="Y384" s="4"/>
      <c r="Z384" s="4"/>
      <c r="AA384" s="152"/>
    </row>
    <row r="385" spans="1:27" ht="12" hidden="1" customHeight="1" outlineLevel="1">
      <c r="A385" s="3"/>
      <c r="B385" s="3"/>
      <c r="C385" s="3"/>
      <c r="D385" s="133">
        <f>Asset12</f>
        <v>0</v>
      </c>
      <c r="E385" s="3"/>
      <c r="F385" s="3"/>
      <c r="G385" s="248"/>
      <c r="H385" s="1341"/>
      <c r="I385" s="1363">
        <f>IF(I$321&gt;0, IF(J$321=0, 'Adjustment for previous period'!$G129, 0), 0)</f>
        <v>0</v>
      </c>
      <c r="J385" s="1363">
        <f>IF(J$321&gt;0, IF(K$321=0, 'Adjustment for previous period'!$G129, 0), 0)</f>
        <v>0</v>
      </c>
      <c r="K385" s="1363">
        <f>IF(K$321&gt;0, IF(L$321=0, 'Adjustment for previous period'!$G129, 0), 0)</f>
        <v>0</v>
      </c>
      <c r="L385" s="1363">
        <f>IF(L$321&gt;0, IF(M$321=0, 'Adjustment for previous period'!$G129, 0), 0)</f>
        <v>0</v>
      </c>
      <c r="M385" s="1363">
        <f>IF(M$321&gt;0, IF(N$321=0, 'Adjustment for previous period'!$G129, 0), 0)</f>
        <v>0</v>
      </c>
      <c r="N385" s="1363">
        <f>IF(N$321&gt;0, IF(O$321=0, 'Adjustment for previous period'!$G129, 0), 0)</f>
        <v>0</v>
      </c>
      <c r="O385" s="1363">
        <f>IF(O$321&gt;0, IF(P$321=0, 'Adjustment for previous period'!$G129, 0), 0)</f>
        <v>0</v>
      </c>
      <c r="P385" s="1363">
        <f>IF(P$321&gt;0, IF(Q$321=0, 'Adjustment for previous period'!$G129, 0), 0)</f>
        <v>0</v>
      </c>
      <c r="Q385" s="1363">
        <f>IF(Q$321&gt;0, IF(R$321=0, 'Adjustment for previous period'!$G129, 0), 0)</f>
        <v>0</v>
      </c>
      <c r="R385" s="248"/>
      <c r="S385" s="4"/>
      <c r="T385" s="4"/>
      <c r="U385" s="4"/>
      <c r="V385" s="4"/>
      <c r="W385" s="4"/>
      <c r="X385" s="4"/>
      <c r="Y385" s="4"/>
      <c r="Z385" s="4"/>
      <c r="AA385" s="152"/>
    </row>
    <row r="386" spans="1:27" ht="12" hidden="1" customHeight="1" outlineLevel="1">
      <c r="A386" s="3"/>
      <c r="B386" s="3"/>
      <c r="C386" s="3"/>
      <c r="D386" s="133">
        <f>Asset13</f>
        <v>0</v>
      </c>
      <c r="E386" s="3"/>
      <c r="F386" s="3"/>
      <c r="G386" s="248"/>
      <c r="H386" s="1341"/>
      <c r="I386" s="1363">
        <f>IF(I$321&gt;0, IF(J$321=0, 'Adjustment for previous period'!$G130, 0), 0)</f>
        <v>0</v>
      </c>
      <c r="J386" s="1363">
        <f>IF(J$321&gt;0, IF(K$321=0, 'Adjustment for previous period'!$G130, 0), 0)</f>
        <v>0</v>
      </c>
      <c r="K386" s="1363">
        <f>IF(K$321&gt;0, IF(L$321=0, 'Adjustment for previous period'!$G130, 0), 0)</f>
        <v>0</v>
      </c>
      <c r="L386" s="1363">
        <f>IF(L$321&gt;0, IF(M$321=0, 'Adjustment for previous period'!$G130, 0), 0)</f>
        <v>0</v>
      </c>
      <c r="M386" s="1363">
        <f>IF(M$321&gt;0, IF(N$321=0, 'Adjustment for previous period'!$G130, 0), 0)</f>
        <v>0</v>
      </c>
      <c r="N386" s="1363">
        <f>IF(N$321&gt;0, IF(O$321=0, 'Adjustment for previous period'!$G130, 0), 0)</f>
        <v>0</v>
      </c>
      <c r="O386" s="1363">
        <f>IF(O$321&gt;0, IF(P$321=0, 'Adjustment for previous period'!$G130, 0), 0)</f>
        <v>0</v>
      </c>
      <c r="P386" s="1363">
        <f>IF(P$321&gt;0, IF(Q$321=0, 'Adjustment for previous period'!$G130, 0), 0)</f>
        <v>0</v>
      </c>
      <c r="Q386" s="1363">
        <f>IF(Q$321&gt;0, IF(R$321=0, 'Adjustment for previous period'!$G130, 0), 0)</f>
        <v>0</v>
      </c>
      <c r="R386" s="248"/>
      <c r="S386" s="4"/>
      <c r="T386" s="4"/>
      <c r="U386" s="4"/>
      <c r="V386" s="4"/>
      <c r="W386" s="4"/>
      <c r="X386" s="4"/>
      <c r="Y386" s="4"/>
      <c r="Z386" s="4"/>
      <c r="AA386" s="152"/>
    </row>
    <row r="387" spans="1:27" ht="12" hidden="1" customHeight="1" outlineLevel="1">
      <c r="A387" s="3"/>
      <c r="B387" s="3"/>
      <c r="C387" s="3"/>
      <c r="D387" s="133">
        <f>Asset14</f>
        <v>0</v>
      </c>
      <c r="E387" s="3"/>
      <c r="F387" s="3"/>
      <c r="G387" s="248"/>
      <c r="H387" s="1341"/>
      <c r="I387" s="1363">
        <f>IF(I$321&gt;0, IF(J$321=0, 'Adjustment for previous period'!$G131, 0), 0)</f>
        <v>0</v>
      </c>
      <c r="J387" s="1363">
        <f>IF(J$321&gt;0, IF(K$321=0, 'Adjustment for previous period'!$G131, 0), 0)</f>
        <v>0</v>
      </c>
      <c r="K387" s="1363">
        <f>IF(K$321&gt;0, IF(L$321=0, 'Adjustment for previous period'!$G131, 0), 0)</f>
        <v>0</v>
      </c>
      <c r="L387" s="1363">
        <f>IF(L$321&gt;0, IF(M$321=0, 'Adjustment for previous period'!$G131, 0), 0)</f>
        <v>0</v>
      </c>
      <c r="M387" s="1363">
        <f>IF(M$321&gt;0, IF(N$321=0, 'Adjustment for previous period'!$G131, 0), 0)</f>
        <v>0</v>
      </c>
      <c r="N387" s="1363">
        <f>IF(N$321&gt;0, IF(O$321=0, 'Adjustment for previous period'!$G131, 0), 0)</f>
        <v>0</v>
      </c>
      <c r="O387" s="1363">
        <f>IF(O$321&gt;0, IF(P$321=0, 'Adjustment for previous period'!$G131, 0), 0)</f>
        <v>0</v>
      </c>
      <c r="P387" s="1363">
        <f>IF(P$321&gt;0, IF(Q$321=0, 'Adjustment for previous period'!$G131, 0), 0)</f>
        <v>0</v>
      </c>
      <c r="Q387" s="1363">
        <f>IF(Q$321&gt;0, IF(R$321=0, 'Adjustment for previous period'!$G131, 0), 0)</f>
        <v>0</v>
      </c>
      <c r="R387" s="248"/>
      <c r="S387" s="4"/>
      <c r="T387" s="4"/>
      <c r="U387" s="4"/>
      <c r="V387" s="4"/>
      <c r="W387" s="4"/>
      <c r="X387" s="4"/>
      <c r="Y387" s="4"/>
      <c r="Z387" s="4"/>
      <c r="AA387" s="152"/>
    </row>
    <row r="388" spans="1:27" ht="12" hidden="1" customHeight="1" outlineLevel="1">
      <c r="A388" s="3"/>
      <c r="B388" s="3"/>
      <c r="C388" s="3"/>
      <c r="D388" s="133">
        <f>Asset15</f>
        <v>0</v>
      </c>
      <c r="E388" s="3"/>
      <c r="F388" s="3"/>
      <c r="G388" s="248"/>
      <c r="H388" s="1341"/>
      <c r="I388" s="1363">
        <f>IF(I$321&gt;0, IF(J$321=0, 'Adjustment for previous period'!$G132, 0), 0)</f>
        <v>0</v>
      </c>
      <c r="J388" s="1363">
        <f>IF(J$321&gt;0, IF(K$321=0, 'Adjustment for previous period'!$G132, 0), 0)</f>
        <v>0</v>
      </c>
      <c r="K388" s="1363">
        <f>IF(K$321&gt;0, IF(L$321=0, 'Adjustment for previous period'!$G132, 0), 0)</f>
        <v>0</v>
      </c>
      <c r="L388" s="1363">
        <f>IF(L$321&gt;0, IF(M$321=0, 'Adjustment for previous period'!$G132, 0), 0)</f>
        <v>0</v>
      </c>
      <c r="M388" s="1363">
        <f>IF(M$321&gt;0, IF(N$321=0, 'Adjustment for previous period'!$G132, 0), 0)</f>
        <v>0</v>
      </c>
      <c r="N388" s="1363">
        <f>IF(N$321&gt;0, IF(O$321=0, 'Adjustment for previous period'!$G132, 0), 0)</f>
        <v>0</v>
      </c>
      <c r="O388" s="1363">
        <f>IF(O$321&gt;0, IF(P$321=0, 'Adjustment for previous period'!$G132, 0), 0)</f>
        <v>0</v>
      </c>
      <c r="P388" s="1363">
        <f>IF(P$321&gt;0, IF(Q$321=0, 'Adjustment for previous period'!$G132, 0), 0)</f>
        <v>0</v>
      </c>
      <c r="Q388" s="1363">
        <f>IF(Q$321&gt;0, IF(R$321=0, 'Adjustment for previous period'!$G132, 0), 0)</f>
        <v>0</v>
      </c>
      <c r="R388" s="248"/>
      <c r="S388" s="4"/>
      <c r="T388" s="4"/>
      <c r="U388" s="4"/>
      <c r="V388" s="4"/>
      <c r="W388" s="4"/>
      <c r="X388" s="4"/>
      <c r="Y388" s="4"/>
      <c r="Z388" s="4"/>
      <c r="AA388" s="152"/>
    </row>
    <row r="389" spans="1:27" ht="12" hidden="1" customHeight="1" outlineLevel="1">
      <c r="A389" s="3"/>
      <c r="B389" s="3"/>
      <c r="C389" s="3"/>
      <c r="D389" s="133">
        <f>Asset16</f>
        <v>0</v>
      </c>
      <c r="E389" s="3"/>
      <c r="F389" s="3"/>
      <c r="G389" s="248"/>
      <c r="H389" s="1341"/>
      <c r="I389" s="1363">
        <f>IF(I$321&gt;0, IF(J$321=0, 'Adjustment for previous period'!$G133, 0), 0)</f>
        <v>0</v>
      </c>
      <c r="J389" s="1363">
        <f>IF(J$321&gt;0, IF(K$321=0, 'Adjustment for previous period'!$G133, 0), 0)</f>
        <v>0</v>
      </c>
      <c r="K389" s="1363">
        <f>IF(K$321&gt;0, IF(L$321=0, 'Adjustment for previous period'!$G133, 0), 0)</f>
        <v>0</v>
      </c>
      <c r="L389" s="1363">
        <f>IF(L$321&gt;0, IF(M$321=0, 'Adjustment for previous period'!$G133, 0), 0)</f>
        <v>0</v>
      </c>
      <c r="M389" s="1363">
        <f>IF(M$321&gt;0, IF(N$321=0, 'Adjustment for previous period'!$G133, 0), 0)</f>
        <v>0</v>
      </c>
      <c r="N389" s="1363">
        <f>IF(N$321&gt;0, IF(O$321=0, 'Adjustment for previous period'!$G133, 0), 0)</f>
        <v>0</v>
      </c>
      <c r="O389" s="1363">
        <f>IF(O$321&gt;0, IF(P$321=0, 'Adjustment for previous period'!$G133, 0), 0)</f>
        <v>0</v>
      </c>
      <c r="P389" s="1363">
        <f>IF(P$321&gt;0, IF(Q$321=0, 'Adjustment for previous period'!$G133, 0), 0)</f>
        <v>0</v>
      </c>
      <c r="Q389" s="1363">
        <f>IF(Q$321&gt;0, IF(R$321=0, 'Adjustment for previous period'!$G133, 0), 0)</f>
        <v>0</v>
      </c>
      <c r="R389" s="248"/>
      <c r="S389" s="4"/>
      <c r="T389" s="4"/>
      <c r="U389" s="4"/>
      <c r="V389" s="4"/>
      <c r="W389" s="4"/>
      <c r="X389" s="4"/>
      <c r="Y389" s="4"/>
      <c r="Z389" s="4"/>
      <c r="AA389" s="152"/>
    </row>
    <row r="390" spans="1:27" ht="12" hidden="1" customHeight="1" outlineLevel="1">
      <c r="A390" s="3"/>
      <c r="B390" s="3"/>
      <c r="C390" s="3"/>
      <c r="D390" s="133">
        <f>Asset17</f>
        <v>0</v>
      </c>
      <c r="E390" s="3"/>
      <c r="F390" s="3"/>
      <c r="G390" s="248"/>
      <c r="H390" s="1341"/>
      <c r="I390" s="1363">
        <f>IF(I$321&gt;0, IF(J$321=0, 'Adjustment for previous period'!$G134, 0), 0)</f>
        <v>0</v>
      </c>
      <c r="J390" s="1363">
        <f>IF(J$321&gt;0, IF(K$321=0, 'Adjustment for previous period'!$G134, 0), 0)</f>
        <v>0</v>
      </c>
      <c r="K390" s="1363">
        <f>IF(K$321&gt;0, IF(L$321=0, 'Adjustment for previous period'!$G134, 0), 0)</f>
        <v>0</v>
      </c>
      <c r="L390" s="1363">
        <f>IF(L$321&gt;0, IF(M$321=0, 'Adjustment for previous period'!$G134, 0), 0)</f>
        <v>0</v>
      </c>
      <c r="M390" s="1363">
        <f>IF(M$321&gt;0, IF(N$321=0, 'Adjustment for previous period'!$G134, 0), 0)</f>
        <v>0</v>
      </c>
      <c r="N390" s="1363">
        <f>IF(N$321&gt;0, IF(O$321=0, 'Adjustment for previous period'!$G134, 0), 0)</f>
        <v>0</v>
      </c>
      <c r="O390" s="1363">
        <f>IF(O$321&gt;0, IF(P$321=0, 'Adjustment for previous period'!$G134, 0), 0)</f>
        <v>0</v>
      </c>
      <c r="P390" s="1363">
        <f>IF(P$321&gt;0, IF(Q$321=0, 'Adjustment for previous period'!$G134, 0), 0)</f>
        <v>0</v>
      </c>
      <c r="Q390" s="1363">
        <f>IF(Q$321&gt;0, IF(R$321=0, 'Adjustment for previous period'!$G134, 0), 0)</f>
        <v>0</v>
      </c>
      <c r="R390" s="248"/>
      <c r="S390" s="4"/>
      <c r="T390" s="4"/>
      <c r="U390" s="4"/>
      <c r="V390" s="4"/>
      <c r="W390" s="4"/>
      <c r="X390" s="4"/>
      <c r="Y390" s="4"/>
      <c r="Z390" s="4"/>
      <c r="AA390" s="152"/>
    </row>
    <row r="391" spans="1:27" ht="12" hidden="1" customHeight="1" outlineLevel="1">
      <c r="A391" s="3"/>
      <c r="B391" s="3"/>
      <c r="C391" s="3"/>
      <c r="D391" s="133">
        <f>Asset18</f>
        <v>0</v>
      </c>
      <c r="E391" s="3"/>
      <c r="F391" s="3"/>
      <c r="G391" s="248"/>
      <c r="H391" s="1341"/>
      <c r="I391" s="1363">
        <f>IF(I$321&gt;0, IF(J$321=0, 'Adjustment for previous period'!$G135, 0), 0)</f>
        <v>0</v>
      </c>
      <c r="J391" s="1363">
        <f>IF(J$321&gt;0, IF(K$321=0, 'Adjustment for previous period'!$G135, 0), 0)</f>
        <v>0</v>
      </c>
      <c r="K391" s="1363">
        <f>IF(K$321&gt;0, IF(L$321=0, 'Adjustment for previous period'!$G135, 0), 0)</f>
        <v>0</v>
      </c>
      <c r="L391" s="1363">
        <f>IF(L$321&gt;0, IF(M$321=0, 'Adjustment for previous period'!$G135, 0), 0)</f>
        <v>0</v>
      </c>
      <c r="M391" s="1363">
        <f>IF(M$321&gt;0, IF(N$321=0, 'Adjustment for previous period'!$G135, 0), 0)</f>
        <v>0</v>
      </c>
      <c r="N391" s="1363">
        <f>IF(N$321&gt;0, IF(O$321=0, 'Adjustment for previous period'!$G135, 0), 0)</f>
        <v>0</v>
      </c>
      <c r="O391" s="1363">
        <f>IF(O$321&gt;0, IF(P$321=0, 'Adjustment for previous period'!$G135, 0), 0)</f>
        <v>0</v>
      </c>
      <c r="P391" s="1363">
        <f>IF(P$321&gt;0, IF(Q$321=0, 'Adjustment for previous period'!$G135, 0), 0)</f>
        <v>0</v>
      </c>
      <c r="Q391" s="1363">
        <f>IF(Q$321&gt;0, IF(R$321=0, 'Adjustment for previous period'!$G135, 0), 0)</f>
        <v>0</v>
      </c>
      <c r="R391" s="248"/>
      <c r="S391" s="4"/>
      <c r="T391" s="4"/>
      <c r="U391" s="4"/>
      <c r="V391" s="4"/>
      <c r="W391" s="4"/>
      <c r="X391" s="4"/>
      <c r="Y391" s="4"/>
      <c r="Z391" s="4"/>
      <c r="AA391" s="152"/>
    </row>
    <row r="392" spans="1:27" ht="12" hidden="1" customHeight="1" outlineLevel="1">
      <c r="A392" s="3"/>
      <c r="B392" s="3"/>
      <c r="C392" s="3"/>
      <c r="D392" s="133">
        <f>Asset19</f>
        <v>0</v>
      </c>
      <c r="E392" s="3"/>
      <c r="F392" s="3"/>
      <c r="G392" s="248"/>
      <c r="H392" s="1341"/>
      <c r="I392" s="1363">
        <f>IF(I$321&gt;0, IF(J$321=0, 'Adjustment for previous period'!$G136, 0), 0)</f>
        <v>0</v>
      </c>
      <c r="J392" s="1363">
        <f>IF(J$321&gt;0, IF(K$321=0, 'Adjustment for previous period'!$G136, 0), 0)</f>
        <v>0</v>
      </c>
      <c r="K392" s="1363">
        <f>IF(K$321&gt;0, IF(L$321=0, 'Adjustment for previous period'!$G136, 0), 0)</f>
        <v>0</v>
      </c>
      <c r="L392" s="1363">
        <f>IF(L$321&gt;0, IF(M$321=0, 'Adjustment for previous period'!$G136, 0), 0)</f>
        <v>0</v>
      </c>
      <c r="M392" s="1363">
        <f>IF(M$321&gt;0, IF(N$321=0, 'Adjustment for previous period'!$G136, 0), 0)</f>
        <v>0</v>
      </c>
      <c r="N392" s="1363">
        <f>IF(N$321&gt;0, IF(O$321=0, 'Adjustment for previous period'!$G136, 0), 0)</f>
        <v>0</v>
      </c>
      <c r="O392" s="1363">
        <f>IF(O$321&gt;0, IF(P$321=0, 'Adjustment for previous period'!$G136, 0), 0)</f>
        <v>0</v>
      </c>
      <c r="P392" s="1363">
        <f>IF(P$321&gt;0, IF(Q$321=0, 'Adjustment for previous period'!$G136, 0), 0)</f>
        <v>0</v>
      </c>
      <c r="Q392" s="1363">
        <f>IF(Q$321&gt;0, IF(R$321=0, 'Adjustment for previous period'!$G136, 0), 0)</f>
        <v>0</v>
      </c>
      <c r="R392" s="248"/>
      <c r="S392" s="4"/>
      <c r="T392" s="4"/>
      <c r="U392" s="4"/>
      <c r="V392" s="4"/>
      <c r="W392" s="4"/>
      <c r="X392" s="4"/>
      <c r="Y392" s="4"/>
      <c r="Z392" s="4"/>
      <c r="AA392" s="152"/>
    </row>
    <row r="393" spans="1:27" ht="12" hidden="1" customHeight="1" outlineLevel="1">
      <c r="A393" s="3"/>
      <c r="B393" s="3"/>
      <c r="C393" s="3"/>
      <c r="D393" s="133">
        <f>Asset20</f>
        <v>0</v>
      </c>
      <c r="E393" s="3"/>
      <c r="F393" s="3"/>
      <c r="G393" s="248"/>
      <c r="H393" s="1341"/>
      <c r="I393" s="1363">
        <f>IF(I$321&gt;0, IF(J$321=0, 'Adjustment for previous period'!$G137, 0), 0)</f>
        <v>0</v>
      </c>
      <c r="J393" s="1363">
        <f>IF(J$321&gt;0, IF(K$321=0, 'Adjustment for previous period'!$G137, 0), 0)</f>
        <v>0</v>
      </c>
      <c r="K393" s="1363">
        <f>IF(K$321&gt;0, IF(L$321=0, 'Adjustment for previous period'!$G137, 0), 0)</f>
        <v>0</v>
      </c>
      <c r="L393" s="1363">
        <f>IF(L$321&gt;0, IF(M$321=0, 'Adjustment for previous period'!$G137, 0), 0)</f>
        <v>0</v>
      </c>
      <c r="M393" s="1363">
        <f>IF(M$321&gt;0, IF(N$321=0, 'Adjustment for previous period'!$G137, 0), 0)</f>
        <v>0</v>
      </c>
      <c r="N393" s="1363">
        <f>IF(N$321&gt;0, IF(O$321=0, 'Adjustment for previous period'!$G137, 0), 0)</f>
        <v>0</v>
      </c>
      <c r="O393" s="1363">
        <f>IF(O$321&gt;0, IF(P$321=0, 'Adjustment for previous period'!$G137, 0), 0)</f>
        <v>0</v>
      </c>
      <c r="P393" s="1363">
        <f>IF(P$321&gt;0, IF(Q$321=0, 'Adjustment for previous period'!$G137, 0), 0)</f>
        <v>0</v>
      </c>
      <c r="Q393" s="1363">
        <f>IF(Q$321&gt;0, IF(R$321=0, 'Adjustment for previous period'!$G137, 0), 0)</f>
        <v>0</v>
      </c>
      <c r="R393" s="248"/>
      <c r="S393" s="4"/>
      <c r="T393" s="4"/>
      <c r="U393" s="4"/>
      <c r="V393" s="4"/>
      <c r="W393" s="4"/>
      <c r="X393" s="4"/>
      <c r="Y393" s="4"/>
      <c r="Z393" s="4"/>
      <c r="AA393" s="152"/>
    </row>
    <row r="394" spans="1:27" ht="12" hidden="1" customHeight="1" outlineLevel="1">
      <c r="A394" s="3"/>
      <c r="B394" s="3"/>
      <c r="C394" s="3"/>
      <c r="D394" s="133">
        <f>Asset21</f>
        <v>0</v>
      </c>
      <c r="E394" s="3"/>
      <c r="F394" s="3"/>
      <c r="G394" s="248"/>
      <c r="H394" s="1341"/>
      <c r="I394" s="1363">
        <f>IF(I$321&gt;0, IF(J$321=0, 'Adjustment for previous period'!$G138, 0), 0)</f>
        <v>0</v>
      </c>
      <c r="J394" s="1363">
        <f>IF(J$321&gt;0, IF(K$321=0, 'Adjustment for previous period'!$G138, 0), 0)</f>
        <v>0</v>
      </c>
      <c r="K394" s="1363">
        <f>IF(K$321&gt;0, IF(L$321=0, 'Adjustment for previous period'!$G138, 0), 0)</f>
        <v>0</v>
      </c>
      <c r="L394" s="1363">
        <f>IF(L$321&gt;0, IF(M$321=0, 'Adjustment for previous period'!$G138, 0), 0)</f>
        <v>0</v>
      </c>
      <c r="M394" s="1363">
        <f>IF(M$321&gt;0, IF(N$321=0, 'Adjustment for previous period'!$G138, 0), 0)</f>
        <v>0</v>
      </c>
      <c r="N394" s="1363">
        <f>IF(N$321&gt;0, IF(O$321=0, 'Adjustment for previous period'!$G138, 0), 0)</f>
        <v>0</v>
      </c>
      <c r="O394" s="1363">
        <f>IF(O$321&gt;0, IF(P$321=0, 'Adjustment for previous period'!$G138, 0), 0)</f>
        <v>0</v>
      </c>
      <c r="P394" s="1363">
        <f>IF(P$321&gt;0, IF(Q$321=0, 'Adjustment for previous period'!$G138, 0), 0)</f>
        <v>0</v>
      </c>
      <c r="Q394" s="1363">
        <f>IF(Q$321&gt;0, IF(R$321=0, 'Adjustment for previous period'!$G138, 0), 0)</f>
        <v>0</v>
      </c>
      <c r="R394" s="248"/>
      <c r="S394" s="4"/>
      <c r="T394" s="4"/>
      <c r="U394" s="4"/>
      <c r="V394" s="4"/>
      <c r="W394" s="4"/>
      <c r="X394" s="4"/>
      <c r="Y394" s="4"/>
      <c r="Z394" s="4"/>
      <c r="AA394" s="152"/>
    </row>
    <row r="395" spans="1:27" ht="12" hidden="1" customHeight="1" outlineLevel="1">
      <c r="A395" s="3"/>
      <c r="B395" s="3"/>
      <c r="C395" s="3"/>
      <c r="D395" s="133">
        <f>Asset22</f>
        <v>0</v>
      </c>
      <c r="E395" s="3"/>
      <c r="F395" s="3"/>
      <c r="G395" s="248"/>
      <c r="H395" s="1341"/>
      <c r="I395" s="1363">
        <f>IF(I$321&gt;0, IF(J$321=0, 'Adjustment for previous period'!$G139, 0), 0)</f>
        <v>0</v>
      </c>
      <c r="J395" s="1363">
        <f>IF(J$321&gt;0, IF(K$321=0, 'Adjustment for previous period'!$G139, 0), 0)</f>
        <v>0</v>
      </c>
      <c r="K395" s="1363">
        <f>IF(K$321&gt;0, IF(L$321=0, 'Adjustment for previous period'!$G139, 0), 0)</f>
        <v>0</v>
      </c>
      <c r="L395" s="1363">
        <f>IF(L$321&gt;0, IF(M$321=0, 'Adjustment for previous period'!$G139, 0), 0)</f>
        <v>0</v>
      </c>
      <c r="M395" s="1363">
        <f>IF(M$321&gt;0, IF(N$321=0, 'Adjustment for previous period'!$G139, 0), 0)</f>
        <v>0</v>
      </c>
      <c r="N395" s="1363">
        <f>IF(N$321&gt;0, IF(O$321=0, 'Adjustment for previous period'!$G139, 0), 0)</f>
        <v>0</v>
      </c>
      <c r="O395" s="1363">
        <f>IF(O$321&gt;0, IF(P$321=0, 'Adjustment for previous period'!$G139, 0), 0)</f>
        <v>0</v>
      </c>
      <c r="P395" s="1363">
        <f>IF(P$321&gt;0, IF(Q$321=0, 'Adjustment for previous period'!$G139, 0), 0)</f>
        <v>0</v>
      </c>
      <c r="Q395" s="1363">
        <f>IF(Q$321&gt;0, IF(R$321=0, 'Adjustment for previous period'!$G139, 0), 0)</f>
        <v>0</v>
      </c>
      <c r="R395" s="248"/>
      <c r="S395" s="4"/>
      <c r="T395" s="4"/>
      <c r="U395" s="4"/>
      <c r="V395" s="4"/>
      <c r="W395" s="4"/>
      <c r="X395" s="4"/>
      <c r="Y395" s="4"/>
      <c r="Z395" s="4"/>
      <c r="AA395" s="152"/>
    </row>
    <row r="396" spans="1:27" ht="12" hidden="1" customHeight="1" outlineLevel="1">
      <c r="A396" s="3"/>
      <c r="B396" s="3"/>
      <c r="C396" s="3"/>
      <c r="D396" s="133">
        <f>Asset23</f>
        <v>0</v>
      </c>
      <c r="E396" s="3"/>
      <c r="F396" s="3"/>
      <c r="G396" s="248"/>
      <c r="H396" s="1341"/>
      <c r="I396" s="1363">
        <f>IF(I$321&gt;0, IF(J$321=0, 'Adjustment for previous period'!$G140, 0), 0)</f>
        <v>0</v>
      </c>
      <c r="J396" s="1363">
        <f>IF(J$321&gt;0, IF(K$321=0, 'Adjustment for previous period'!$G140, 0), 0)</f>
        <v>0</v>
      </c>
      <c r="K396" s="1363">
        <f>IF(K$321&gt;0, IF(L$321=0, 'Adjustment for previous period'!$G140, 0), 0)</f>
        <v>0</v>
      </c>
      <c r="L396" s="1363">
        <f>IF(L$321&gt;0, IF(M$321=0, 'Adjustment for previous period'!$G140, 0), 0)</f>
        <v>0</v>
      </c>
      <c r="M396" s="1363">
        <f>IF(M$321&gt;0, IF(N$321=0, 'Adjustment for previous period'!$G140, 0), 0)</f>
        <v>0</v>
      </c>
      <c r="N396" s="1363">
        <f>IF(N$321&gt;0, IF(O$321=0, 'Adjustment for previous period'!$G140, 0), 0)</f>
        <v>0</v>
      </c>
      <c r="O396" s="1363">
        <f>IF(O$321&gt;0, IF(P$321=0, 'Adjustment for previous period'!$G140, 0), 0)</f>
        <v>0</v>
      </c>
      <c r="P396" s="1363">
        <f>IF(P$321&gt;0, IF(Q$321=0, 'Adjustment for previous period'!$G140, 0), 0)</f>
        <v>0</v>
      </c>
      <c r="Q396" s="1363">
        <f>IF(Q$321&gt;0, IF(R$321=0, 'Adjustment for previous period'!$G140, 0), 0)</f>
        <v>0</v>
      </c>
      <c r="R396" s="248"/>
      <c r="S396" s="4"/>
      <c r="T396" s="4"/>
      <c r="U396" s="4"/>
      <c r="V396" s="4"/>
      <c r="W396" s="4"/>
      <c r="X396" s="4"/>
      <c r="Y396" s="4"/>
      <c r="Z396" s="4"/>
      <c r="AA396" s="152"/>
    </row>
    <row r="397" spans="1:27" ht="12" hidden="1" customHeight="1" outlineLevel="1">
      <c r="A397" s="3"/>
      <c r="B397" s="3"/>
      <c r="C397" s="3"/>
      <c r="D397" s="133">
        <f>Asset24</f>
        <v>0</v>
      </c>
      <c r="E397" s="3"/>
      <c r="F397" s="3"/>
      <c r="G397" s="248"/>
      <c r="H397" s="1341"/>
      <c r="I397" s="1363">
        <f>IF(I$321&gt;0, IF(J$321=0, 'Adjustment for previous period'!$G141, 0), 0)</f>
        <v>0</v>
      </c>
      <c r="J397" s="1363">
        <f>IF(J$321&gt;0, IF(K$321=0, 'Adjustment for previous period'!$G141, 0), 0)</f>
        <v>0</v>
      </c>
      <c r="K397" s="1363">
        <f>IF(K$321&gt;0, IF(L$321=0, 'Adjustment for previous period'!$G141, 0), 0)</f>
        <v>0</v>
      </c>
      <c r="L397" s="1363">
        <f>IF(L$321&gt;0, IF(M$321=0, 'Adjustment for previous period'!$G141, 0), 0)</f>
        <v>0</v>
      </c>
      <c r="M397" s="1363">
        <f>IF(M$321&gt;0, IF(N$321=0, 'Adjustment for previous period'!$G141, 0), 0)</f>
        <v>0</v>
      </c>
      <c r="N397" s="1363">
        <f>IF(N$321&gt;0, IF(O$321=0, 'Adjustment for previous period'!$G141, 0), 0)</f>
        <v>0</v>
      </c>
      <c r="O397" s="1363">
        <f>IF(O$321&gt;0, IF(P$321=0, 'Adjustment for previous period'!$G141, 0), 0)</f>
        <v>0</v>
      </c>
      <c r="P397" s="1363">
        <f>IF(P$321&gt;0, IF(Q$321=0, 'Adjustment for previous period'!$G141, 0), 0)</f>
        <v>0</v>
      </c>
      <c r="Q397" s="1363">
        <f>IF(Q$321&gt;0, IF(R$321=0, 'Adjustment for previous period'!$G141, 0), 0)</f>
        <v>0</v>
      </c>
      <c r="R397" s="248"/>
      <c r="S397" s="4"/>
      <c r="T397" s="4"/>
      <c r="U397" s="4"/>
      <c r="V397" s="4"/>
      <c r="W397" s="4"/>
      <c r="X397" s="4"/>
      <c r="Y397" s="4"/>
      <c r="Z397" s="4"/>
      <c r="AA397" s="152"/>
    </row>
    <row r="398" spans="1:27" ht="12" hidden="1" customHeight="1" outlineLevel="1">
      <c r="A398" s="3"/>
      <c r="B398" s="3"/>
      <c r="C398" s="3"/>
      <c r="D398" s="133">
        <f>Asset25</f>
        <v>0</v>
      </c>
      <c r="E398" s="3"/>
      <c r="F398" s="3"/>
      <c r="G398" s="248"/>
      <c r="H398" s="1341"/>
      <c r="I398" s="1363">
        <f>IF(I$321&gt;0, IF(J$321=0, 'Adjustment for previous period'!$G142, 0), 0)</f>
        <v>0</v>
      </c>
      <c r="J398" s="1363">
        <f>IF(J$321&gt;0, IF(K$321=0, 'Adjustment for previous period'!$G142, 0), 0)</f>
        <v>0</v>
      </c>
      <c r="K398" s="1363">
        <f>IF(K$321&gt;0, IF(L$321=0, 'Adjustment for previous period'!$G142, 0), 0)</f>
        <v>0</v>
      </c>
      <c r="L398" s="1363">
        <f>IF(L$321&gt;0, IF(M$321=0, 'Adjustment for previous period'!$G142, 0), 0)</f>
        <v>0</v>
      </c>
      <c r="M398" s="1363">
        <f>IF(M$321&gt;0, IF(N$321=0, 'Adjustment for previous period'!$G142, 0), 0)</f>
        <v>0</v>
      </c>
      <c r="N398" s="1363">
        <f>IF(N$321&gt;0, IF(O$321=0, 'Adjustment for previous period'!$G142, 0), 0)</f>
        <v>0</v>
      </c>
      <c r="O398" s="1363">
        <f>IF(O$321&gt;0, IF(P$321=0, 'Adjustment for previous period'!$G142, 0), 0)</f>
        <v>0</v>
      </c>
      <c r="P398" s="1363">
        <f>IF(P$321&gt;0, IF(Q$321=0, 'Adjustment for previous period'!$G142, 0), 0)</f>
        <v>0</v>
      </c>
      <c r="Q398" s="1363">
        <f>IF(Q$321&gt;0, IF(R$321=0, 'Adjustment for previous period'!$G142, 0), 0)</f>
        <v>0</v>
      </c>
      <c r="R398" s="248"/>
      <c r="S398" s="4"/>
      <c r="T398" s="4"/>
      <c r="U398" s="4"/>
      <c r="V398" s="4"/>
      <c r="W398" s="4"/>
      <c r="X398" s="4"/>
      <c r="Y398" s="4"/>
      <c r="Z398" s="4"/>
      <c r="AA398" s="152"/>
    </row>
    <row r="399" spans="1:27" ht="12" hidden="1" customHeight="1" outlineLevel="1">
      <c r="A399" s="3"/>
      <c r="B399" s="3"/>
      <c r="C399" s="3"/>
      <c r="D399" s="133">
        <f>Asset26</f>
        <v>0</v>
      </c>
      <c r="E399" s="3"/>
      <c r="F399" s="3"/>
      <c r="G399" s="248"/>
      <c r="H399" s="1341"/>
      <c r="I399" s="1363">
        <f>IF(I$321&gt;0, IF(J$321=0, 'Adjustment for previous period'!$G143, 0), 0)</f>
        <v>0</v>
      </c>
      <c r="J399" s="1363">
        <f>IF(J$321&gt;0, IF(K$321=0, 'Adjustment for previous period'!$G143, 0), 0)</f>
        <v>0</v>
      </c>
      <c r="K399" s="1363">
        <f>IF(K$321&gt;0, IF(L$321=0, 'Adjustment for previous period'!$G143, 0), 0)</f>
        <v>0</v>
      </c>
      <c r="L399" s="1363">
        <f>IF(L$321&gt;0, IF(M$321=0, 'Adjustment for previous period'!$G143, 0), 0)</f>
        <v>0</v>
      </c>
      <c r="M399" s="1363">
        <f>IF(M$321&gt;0, IF(N$321=0, 'Adjustment for previous period'!$G143, 0), 0)</f>
        <v>0</v>
      </c>
      <c r="N399" s="1363">
        <f>IF(N$321&gt;0, IF(O$321=0, 'Adjustment for previous period'!$G143, 0), 0)</f>
        <v>0</v>
      </c>
      <c r="O399" s="1363">
        <f>IF(O$321&gt;0, IF(P$321=0, 'Adjustment for previous period'!$G143, 0), 0)</f>
        <v>0</v>
      </c>
      <c r="P399" s="1363">
        <f>IF(P$321&gt;0, IF(Q$321=0, 'Adjustment for previous period'!$G143, 0), 0)</f>
        <v>0</v>
      </c>
      <c r="Q399" s="1363">
        <f>IF(Q$321&gt;0, IF(R$321=0, 'Adjustment for previous period'!$G143, 0), 0)</f>
        <v>0</v>
      </c>
      <c r="R399" s="248"/>
      <c r="S399" s="4"/>
      <c r="T399" s="4"/>
      <c r="U399" s="4"/>
      <c r="V399" s="4"/>
      <c r="W399" s="4"/>
      <c r="X399" s="4"/>
      <c r="Y399" s="4"/>
      <c r="Z399" s="4"/>
      <c r="AA399" s="152"/>
    </row>
    <row r="400" spans="1:27" ht="12" hidden="1" customHeight="1" outlineLevel="1">
      <c r="A400" s="3"/>
      <c r="B400" s="3"/>
      <c r="C400" s="3"/>
      <c r="D400" s="133">
        <f>Asset27</f>
        <v>0</v>
      </c>
      <c r="E400" s="3"/>
      <c r="F400" s="3"/>
      <c r="G400" s="248"/>
      <c r="H400" s="1341"/>
      <c r="I400" s="1363">
        <f>IF(I$321&gt;0, IF(J$321=0, 'Adjustment for previous period'!$G144, 0), 0)</f>
        <v>0</v>
      </c>
      <c r="J400" s="1363">
        <f>IF(J$321&gt;0, IF(K$321=0, 'Adjustment for previous period'!$G144, 0), 0)</f>
        <v>0</v>
      </c>
      <c r="K400" s="1363">
        <f>IF(K$321&gt;0, IF(L$321=0, 'Adjustment for previous period'!$G144, 0), 0)</f>
        <v>0</v>
      </c>
      <c r="L400" s="1363">
        <f>IF(L$321&gt;0, IF(M$321=0, 'Adjustment for previous period'!$G144, 0), 0)</f>
        <v>0</v>
      </c>
      <c r="M400" s="1363">
        <f>IF(M$321&gt;0, IF(N$321=0, 'Adjustment for previous period'!$G144, 0), 0)</f>
        <v>0</v>
      </c>
      <c r="N400" s="1363">
        <f>IF(N$321&gt;0, IF(O$321=0, 'Adjustment for previous period'!$G144, 0), 0)</f>
        <v>0</v>
      </c>
      <c r="O400" s="1363">
        <f>IF(O$321&gt;0, IF(P$321=0, 'Adjustment for previous period'!$G144, 0), 0)</f>
        <v>0</v>
      </c>
      <c r="P400" s="1363">
        <f>IF(P$321&gt;0, IF(Q$321=0, 'Adjustment for previous period'!$G144, 0), 0)</f>
        <v>0</v>
      </c>
      <c r="Q400" s="1363">
        <f>IF(Q$321&gt;0, IF(R$321=0, 'Adjustment for previous period'!$G144, 0), 0)</f>
        <v>0</v>
      </c>
      <c r="R400" s="248"/>
      <c r="S400" s="4"/>
      <c r="T400" s="4"/>
      <c r="U400" s="4"/>
      <c r="V400" s="4"/>
      <c r="W400" s="4"/>
      <c r="X400" s="4"/>
      <c r="Y400" s="4"/>
      <c r="Z400" s="4"/>
      <c r="AA400" s="152"/>
    </row>
    <row r="401" spans="1:27" ht="12" hidden="1" customHeight="1" outlineLevel="1">
      <c r="A401" s="3"/>
      <c r="B401" s="3"/>
      <c r="C401" s="3"/>
      <c r="D401" s="133">
        <f>Asset28</f>
        <v>0</v>
      </c>
      <c r="E401" s="3"/>
      <c r="F401" s="3"/>
      <c r="G401" s="248"/>
      <c r="H401" s="1341"/>
      <c r="I401" s="1363">
        <f>IF(I$321&gt;0, IF(J$321=0, 'Adjustment for previous period'!$G145, 0), 0)</f>
        <v>0</v>
      </c>
      <c r="J401" s="1363">
        <f>IF(J$321&gt;0, IF(K$321=0, 'Adjustment for previous period'!$G145, 0), 0)</f>
        <v>0</v>
      </c>
      <c r="K401" s="1363">
        <f>IF(K$321&gt;0, IF(L$321=0, 'Adjustment for previous period'!$G145, 0), 0)</f>
        <v>0</v>
      </c>
      <c r="L401" s="1363">
        <f>IF(L$321&gt;0, IF(M$321=0, 'Adjustment for previous period'!$G145, 0), 0)</f>
        <v>0</v>
      </c>
      <c r="M401" s="1363">
        <f>IF(M$321&gt;0, IF(N$321=0, 'Adjustment for previous period'!$G145, 0), 0)</f>
        <v>0</v>
      </c>
      <c r="N401" s="1363">
        <f>IF(N$321&gt;0, IF(O$321=0, 'Adjustment for previous period'!$G145, 0), 0)</f>
        <v>0</v>
      </c>
      <c r="O401" s="1363">
        <f>IF(O$321&gt;0, IF(P$321=0, 'Adjustment for previous period'!$G145, 0), 0)</f>
        <v>0</v>
      </c>
      <c r="P401" s="1363">
        <f>IF(P$321&gt;0, IF(Q$321=0, 'Adjustment for previous period'!$G145, 0), 0)</f>
        <v>0</v>
      </c>
      <c r="Q401" s="1363">
        <f>IF(Q$321&gt;0, IF(R$321=0, 'Adjustment for previous period'!$G145, 0), 0)</f>
        <v>0</v>
      </c>
      <c r="R401" s="248"/>
      <c r="S401" s="4"/>
      <c r="T401" s="4"/>
      <c r="U401" s="4"/>
      <c r="V401" s="4"/>
      <c r="W401" s="4"/>
      <c r="X401" s="4"/>
      <c r="Y401" s="4"/>
      <c r="Z401" s="4"/>
      <c r="AA401" s="152"/>
    </row>
    <row r="402" spans="1:27" ht="12" hidden="1" customHeight="1" outlineLevel="1">
      <c r="A402" s="3"/>
      <c r="B402" s="3"/>
      <c r="C402" s="3"/>
      <c r="D402" s="133">
        <f>Asset29</f>
        <v>0</v>
      </c>
      <c r="E402" s="3"/>
      <c r="F402" s="3"/>
      <c r="G402" s="248"/>
      <c r="H402" s="1341"/>
      <c r="I402" s="1363">
        <f>IF(I$321&gt;0, IF(J$321=0, 'Adjustment for previous period'!$G146, 0), 0)</f>
        <v>0</v>
      </c>
      <c r="J402" s="1363">
        <f>IF(J$321&gt;0, IF(K$321=0, 'Adjustment for previous period'!$G146, 0), 0)</f>
        <v>0</v>
      </c>
      <c r="K402" s="1363">
        <f>IF(K$321&gt;0, IF(L$321=0, 'Adjustment for previous period'!$G146, 0), 0)</f>
        <v>0</v>
      </c>
      <c r="L402" s="1363">
        <f>IF(L$321&gt;0, IF(M$321=0, 'Adjustment for previous period'!$G146, 0), 0)</f>
        <v>0</v>
      </c>
      <c r="M402" s="1363">
        <f>IF(M$321&gt;0, IF(N$321=0, 'Adjustment for previous period'!$G146, 0), 0)</f>
        <v>0</v>
      </c>
      <c r="N402" s="1363">
        <f>IF(N$321&gt;0, IF(O$321=0, 'Adjustment for previous period'!$G146, 0), 0)</f>
        <v>0</v>
      </c>
      <c r="O402" s="1363">
        <f>IF(O$321&gt;0, IF(P$321=0, 'Adjustment for previous period'!$G146, 0), 0)</f>
        <v>0</v>
      </c>
      <c r="P402" s="1363">
        <f>IF(P$321&gt;0, IF(Q$321=0, 'Adjustment for previous period'!$G146, 0), 0)</f>
        <v>0</v>
      </c>
      <c r="Q402" s="1363">
        <f>IF(Q$321&gt;0, IF(R$321=0, 'Adjustment for previous period'!$G146, 0), 0)</f>
        <v>0</v>
      </c>
      <c r="R402" s="248"/>
      <c r="S402" s="4"/>
      <c r="T402" s="4"/>
      <c r="U402" s="4"/>
      <c r="V402" s="4"/>
      <c r="W402" s="4"/>
      <c r="X402" s="4"/>
      <c r="Y402" s="4"/>
      <c r="Z402" s="4"/>
      <c r="AA402" s="152"/>
    </row>
    <row r="403" spans="1:27" ht="12" hidden="1" customHeight="1" outlineLevel="1">
      <c r="A403" s="3"/>
      <c r="B403" s="3"/>
      <c r="C403" s="3"/>
      <c r="D403" s="133">
        <f>Asset30</f>
        <v>0</v>
      </c>
      <c r="E403" s="3"/>
      <c r="F403" s="3"/>
      <c r="G403" s="248"/>
      <c r="H403" s="1341"/>
      <c r="I403" s="1363">
        <f>IF(I$321&gt;0, IF(J$321=0, 'Adjustment for previous period'!$G147, 0), 0)</f>
        <v>0</v>
      </c>
      <c r="J403" s="1363">
        <f>IF(J$321&gt;0, IF(K$321=0, 'Adjustment for previous period'!$G147, 0), 0)</f>
        <v>0</v>
      </c>
      <c r="K403" s="1363">
        <f>IF(K$321&gt;0, IF(L$321=0, 'Adjustment for previous period'!$G147, 0), 0)</f>
        <v>0</v>
      </c>
      <c r="L403" s="1363">
        <f>IF(L$321&gt;0, IF(M$321=0, 'Adjustment for previous period'!$G147, 0), 0)</f>
        <v>0</v>
      </c>
      <c r="M403" s="1363">
        <f>IF(M$321&gt;0, IF(N$321=0, 'Adjustment for previous period'!$G147, 0), 0)</f>
        <v>0</v>
      </c>
      <c r="N403" s="1363">
        <f>IF(N$321&gt;0, IF(O$321=0, 'Adjustment for previous period'!$G147, 0), 0)</f>
        <v>0</v>
      </c>
      <c r="O403" s="1363">
        <f>IF(O$321&gt;0, IF(P$321=0, 'Adjustment for previous period'!$G147, 0), 0)</f>
        <v>0</v>
      </c>
      <c r="P403" s="1363">
        <f>IF(P$321&gt;0, IF(Q$321=0, 'Adjustment for previous period'!$G147, 0), 0)</f>
        <v>0</v>
      </c>
      <c r="Q403" s="1363">
        <f>IF(Q$321&gt;0, IF(R$321=0, 'Adjustment for previous period'!$G147, 0), 0)</f>
        <v>0</v>
      </c>
      <c r="R403" s="248"/>
      <c r="S403" s="4"/>
      <c r="T403" s="4"/>
      <c r="U403" s="4"/>
      <c r="V403" s="4"/>
      <c r="W403" s="4"/>
      <c r="X403" s="4"/>
      <c r="Y403" s="4"/>
      <c r="Z403" s="4"/>
      <c r="AA403" s="152"/>
    </row>
    <row r="404" spans="1:27" ht="12" hidden="1" customHeight="1" outlineLevel="1">
      <c r="A404" s="3"/>
      <c r="B404" s="3"/>
      <c r="C404" s="3"/>
      <c r="D404" s="133">
        <f>Asset31</f>
        <v>0</v>
      </c>
      <c r="E404" s="3"/>
      <c r="F404" s="3"/>
      <c r="G404" s="248"/>
      <c r="H404" s="1341"/>
      <c r="I404" s="1363">
        <f>IF(I$321&gt;0, IF(J$321=0, 'Adjustment for previous period'!$G148, 0), 0)</f>
        <v>0</v>
      </c>
      <c r="J404" s="1363">
        <f>IF(J$321&gt;0, IF(K$321=0, 'Adjustment for previous period'!$G148, 0), 0)</f>
        <v>0</v>
      </c>
      <c r="K404" s="1363">
        <f>IF(K$321&gt;0, IF(L$321=0, 'Adjustment for previous period'!$G148, 0), 0)</f>
        <v>0</v>
      </c>
      <c r="L404" s="1363">
        <f>IF(L$321&gt;0, IF(M$321=0, 'Adjustment for previous period'!$G148, 0), 0)</f>
        <v>0</v>
      </c>
      <c r="M404" s="1363">
        <f>IF(M$321&gt;0, IF(N$321=0, 'Adjustment for previous period'!$G148, 0), 0)</f>
        <v>0</v>
      </c>
      <c r="N404" s="1363">
        <f>IF(N$321&gt;0, IF(O$321=0, 'Adjustment for previous period'!$G148, 0), 0)</f>
        <v>0</v>
      </c>
      <c r="O404" s="1363">
        <f>IF(O$321&gt;0, IF(P$321=0, 'Adjustment for previous period'!$G148, 0), 0)</f>
        <v>0</v>
      </c>
      <c r="P404" s="1363">
        <f>IF(P$321&gt;0, IF(Q$321=0, 'Adjustment for previous period'!$G148, 0), 0)</f>
        <v>0</v>
      </c>
      <c r="Q404" s="1363">
        <f>IF(Q$321&gt;0, IF(R$321=0, 'Adjustment for previous period'!$G148, 0), 0)</f>
        <v>0</v>
      </c>
      <c r="R404" s="248"/>
      <c r="S404" s="4"/>
      <c r="T404" s="4"/>
      <c r="U404" s="4"/>
      <c r="V404" s="4"/>
      <c r="W404" s="4"/>
      <c r="X404" s="4"/>
      <c r="Y404" s="4"/>
      <c r="Z404" s="4"/>
      <c r="AA404" s="152"/>
    </row>
    <row r="405" spans="1:27" ht="12" hidden="1" customHeight="1" outlineLevel="1">
      <c r="A405" s="3"/>
      <c r="B405" s="3"/>
      <c r="C405" s="3"/>
      <c r="D405" s="133">
        <f>Asset32</f>
        <v>0</v>
      </c>
      <c r="E405" s="3"/>
      <c r="F405" s="3"/>
      <c r="G405" s="248"/>
      <c r="H405" s="1341"/>
      <c r="I405" s="1363">
        <f>IF(I$321&gt;0, IF(J$321=0, 'Adjustment for previous period'!$G149, 0), 0)</f>
        <v>0</v>
      </c>
      <c r="J405" s="1363">
        <f>IF(J$321&gt;0, IF(K$321=0, 'Adjustment for previous period'!$G149, 0), 0)</f>
        <v>0</v>
      </c>
      <c r="K405" s="1363">
        <f>IF(K$321&gt;0, IF(L$321=0, 'Adjustment for previous period'!$G149, 0), 0)</f>
        <v>0</v>
      </c>
      <c r="L405" s="1363">
        <f>IF(L$321&gt;0, IF(M$321=0, 'Adjustment for previous period'!$G149, 0), 0)</f>
        <v>0</v>
      </c>
      <c r="M405" s="1363">
        <f>IF(M$321&gt;0, IF(N$321=0, 'Adjustment for previous period'!$G149, 0), 0)</f>
        <v>0</v>
      </c>
      <c r="N405" s="1363">
        <f>IF(N$321&gt;0, IF(O$321=0, 'Adjustment for previous period'!$G149, 0), 0)</f>
        <v>0</v>
      </c>
      <c r="O405" s="1363">
        <f>IF(O$321&gt;0, IF(P$321=0, 'Adjustment for previous period'!$G149, 0), 0)</f>
        <v>0</v>
      </c>
      <c r="P405" s="1363">
        <f>IF(P$321&gt;0, IF(Q$321=0, 'Adjustment for previous period'!$G149, 0), 0)</f>
        <v>0</v>
      </c>
      <c r="Q405" s="1363">
        <f>IF(Q$321&gt;0, IF(R$321=0, 'Adjustment for previous period'!$G149, 0), 0)</f>
        <v>0</v>
      </c>
      <c r="R405" s="248"/>
      <c r="S405" s="4"/>
      <c r="T405" s="4"/>
      <c r="U405" s="4"/>
      <c r="V405" s="4"/>
      <c r="W405" s="4"/>
      <c r="X405" s="4"/>
      <c r="Y405" s="4"/>
      <c r="Z405" s="4"/>
      <c r="AA405" s="152"/>
    </row>
    <row r="406" spans="1:27" ht="12" hidden="1" customHeight="1" outlineLevel="1">
      <c r="A406" s="3"/>
      <c r="B406" s="3"/>
      <c r="C406" s="3"/>
      <c r="D406" s="133">
        <f>Asset33</f>
        <v>0</v>
      </c>
      <c r="E406" s="3"/>
      <c r="F406" s="3"/>
      <c r="G406" s="248"/>
      <c r="H406" s="1341"/>
      <c r="I406" s="1363">
        <f>IF(I$321&gt;0, IF(J$321=0, 'Adjustment for previous period'!$G150, 0), 0)</f>
        <v>0</v>
      </c>
      <c r="J406" s="1363">
        <f>IF(J$321&gt;0, IF(K$321=0, 'Adjustment for previous period'!$G150, 0), 0)</f>
        <v>0</v>
      </c>
      <c r="K406" s="1363">
        <f>IF(K$321&gt;0, IF(L$321=0, 'Adjustment for previous period'!$G150, 0), 0)</f>
        <v>0</v>
      </c>
      <c r="L406" s="1363">
        <f>IF(L$321&gt;0, IF(M$321=0, 'Adjustment for previous period'!$G150, 0), 0)</f>
        <v>0</v>
      </c>
      <c r="M406" s="1363">
        <f>IF(M$321&gt;0, IF(N$321=0, 'Adjustment for previous period'!$G150, 0), 0)</f>
        <v>0</v>
      </c>
      <c r="N406" s="1363">
        <f>IF(N$321&gt;0, IF(O$321=0, 'Adjustment for previous period'!$G150, 0), 0)</f>
        <v>0</v>
      </c>
      <c r="O406" s="1363">
        <f>IF(O$321&gt;0, IF(P$321=0, 'Adjustment for previous period'!$G150, 0), 0)</f>
        <v>0</v>
      </c>
      <c r="P406" s="1363">
        <f>IF(P$321&gt;0, IF(Q$321=0, 'Adjustment for previous period'!$G150, 0), 0)</f>
        <v>0</v>
      </c>
      <c r="Q406" s="1363">
        <f>IF(Q$321&gt;0, IF(R$321=0, 'Adjustment for previous period'!$G150, 0), 0)</f>
        <v>0</v>
      </c>
      <c r="R406" s="248"/>
      <c r="S406" s="4"/>
      <c r="T406" s="4"/>
      <c r="U406" s="4"/>
      <c r="V406" s="4"/>
      <c r="W406" s="4"/>
      <c r="X406" s="4"/>
      <c r="Y406" s="4"/>
      <c r="Z406" s="4"/>
      <c r="AA406" s="152"/>
    </row>
    <row r="407" spans="1:27" ht="12" hidden="1" customHeight="1" outlineLevel="1">
      <c r="A407" s="3"/>
      <c r="B407" s="3"/>
      <c r="C407" s="3"/>
      <c r="D407" s="133">
        <f>Asset34</f>
        <v>0</v>
      </c>
      <c r="E407" s="3"/>
      <c r="F407" s="3"/>
      <c r="G407" s="248"/>
      <c r="H407" s="1341"/>
      <c r="I407" s="1363">
        <f>IF(I$321&gt;0, IF(J$321=0, 'Adjustment for previous period'!$G151, 0), 0)</f>
        <v>0</v>
      </c>
      <c r="J407" s="1363">
        <f>IF(J$321&gt;0, IF(K$321=0, 'Adjustment for previous period'!$G151, 0), 0)</f>
        <v>0</v>
      </c>
      <c r="K407" s="1363">
        <f>IF(K$321&gt;0, IF(L$321=0, 'Adjustment for previous period'!$G151, 0), 0)</f>
        <v>0</v>
      </c>
      <c r="L407" s="1363">
        <f>IF(L$321&gt;0, IF(M$321=0, 'Adjustment for previous period'!$G151, 0), 0)</f>
        <v>0</v>
      </c>
      <c r="M407" s="1363">
        <f>IF(M$321&gt;0, IF(N$321=0, 'Adjustment for previous period'!$G151, 0), 0)</f>
        <v>0</v>
      </c>
      <c r="N407" s="1363">
        <f>IF(N$321&gt;0, IF(O$321=0, 'Adjustment for previous period'!$G151, 0), 0)</f>
        <v>0</v>
      </c>
      <c r="O407" s="1363">
        <f>IF(O$321&gt;0, IF(P$321=0, 'Adjustment for previous period'!$G151, 0), 0)</f>
        <v>0</v>
      </c>
      <c r="P407" s="1363">
        <f>IF(P$321&gt;0, IF(Q$321=0, 'Adjustment for previous period'!$G151, 0), 0)</f>
        <v>0</v>
      </c>
      <c r="Q407" s="1363">
        <f>IF(Q$321&gt;0, IF(R$321=0, 'Adjustment for previous period'!$G151, 0), 0)</f>
        <v>0</v>
      </c>
      <c r="R407" s="248"/>
      <c r="S407" s="4"/>
      <c r="T407" s="4"/>
      <c r="U407" s="4"/>
      <c r="V407" s="4"/>
      <c r="W407" s="4"/>
      <c r="X407" s="4"/>
      <c r="Y407" s="4"/>
      <c r="Z407" s="4"/>
      <c r="AA407" s="152"/>
    </row>
    <row r="408" spans="1:27" ht="12" hidden="1" customHeight="1" outlineLevel="1">
      <c r="A408" s="3"/>
      <c r="B408" s="3"/>
      <c r="C408" s="3"/>
      <c r="D408" s="133">
        <f>Asset35</f>
        <v>0</v>
      </c>
      <c r="E408" s="3"/>
      <c r="F408" s="3"/>
      <c r="G408" s="248"/>
      <c r="H408" s="1341"/>
      <c r="I408" s="1363">
        <f>IF(I$321&gt;0, IF(J$321=0, 'Adjustment for previous period'!$G152, 0), 0)</f>
        <v>0</v>
      </c>
      <c r="J408" s="1363">
        <f>IF(J$321&gt;0, IF(K$321=0, 'Adjustment for previous period'!$G152, 0), 0)</f>
        <v>0</v>
      </c>
      <c r="K408" s="1363">
        <f>IF(K$321&gt;0, IF(L$321=0, 'Adjustment for previous period'!$G152, 0), 0)</f>
        <v>0</v>
      </c>
      <c r="L408" s="1363">
        <f>IF(L$321&gt;0, IF(M$321=0, 'Adjustment for previous period'!$G152, 0), 0)</f>
        <v>0</v>
      </c>
      <c r="M408" s="1363">
        <f>IF(M$321&gt;0, IF(N$321=0, 'Adjustment for previous period'!$G152, 0), 0)</f>
        <v>0</v>
      </c>
      <c r="N408" s="1363">
        <f>IF(N$321&gt;0, IF(O$321=0, 'Adjustment for previous period'!$G152, 0), 0)</f>
        <v>0</v>
      </c>
      <c r="O408" s="1363">
        <f>IF(O$321&gt;0, IF(P$321=0, 'Adjustment for previous period'!$G152, 0), 0)</f>
        <v>0</v>
      </c>
      <c r="P408" s="1363">
        <f>IF(P$321&gt;0, IF(Q$321=0, 'Adjustment for previous period'!$G152, 0), 0)</f>
        <v>0</v>
      </c>
      <c r="Q408" s="1363">
        <f>IF(Q$321&gt;0, IF(R$321=0, 'Adjustment for previous period'!$G152, 0), 0)</f>
        <v>0</v>
      </c>
      <c r="R408" s="248"/>
      <c r="S408" s="4"/>
      <c r="T408" s="4"/>
      <c r="U408" s="4"/>
      <c r="V408" s="4"/>
      <c r="W408" s="4"/>
      <c r="X408" s="4"/>
      <c r="Y408" s="4"/>
      <c r="Z408" s="4"/>
      <c r="AA408" s="152"/>
    </row>
    <row r="409" spans="1:27" ht="12" hidden="1" customHeight="1" outlineLevel="1">
      <c r="A409" s="3"/>
      <c r="B409" s="3"/>
      <c r="C409" s="3"/>
      <c r="D409" s="133">
        <f>Asset36</f>
        <v>0</v>
      </c>
      <c r="E409" s="3"/>
      <c r="F409" s="3"/>
      <c r="G409" s="248"/>
      <c r="H409" s="1341"/>
      <c r="I409" s="1363">
        <f>IF(I$321&gt;0, IF(J$321=0, 'Adjustment for previous period'!$G153, 0), 0)</f>
        <v>0</v>
      </c>
      <c r="J409" s="1363">
        <f>IF(J$321&gt;0, IF(K$321=0, 'Adjustment for previous period'!$G153, 0), 0)</f>
        <v>0</v>
      </c>
      <c r="K409" s="1363">
        <f>IF(K$321&gt;0, IF(L$321=0, 'Adjustment for previous period'!$G153, 0), 0)</f>
        <v>0</v>
      </c>
      <c r="L409" s="1363">
        <f>IF(L$321&gt;0, IF(M$321=0, 'Adjustment for previous period'!$G153, 0), 0)</f>
        <v>0</v>
      </c>
      <c r="M409" s="1363">
        <f>IF(M$321&gt;0, IF(N$321=0, 'Adjustment for previous period'!$G153, 0), 0)</f>
        <v>0</v>
      </c>
      <c r="N409" s="1363">
        <f>IF(N$321&gt;0, IF(O$321=0, 'Adjustment for previous period'!$G153, 0), 0)</f>
        <v>0</v>
      </c>
      <c r="O409" s="1363">
        <f>IF(O$321&gt;0, IF(P$321=0, 'Adjustment for previous period'!$G153, 0), 0)</f>
        <v>0</v>
      </c>
      <c r="P409" s="1363">
        <f>IF(P$321&gt;0, IF(Q$321=0, 'Adjustment for previous period'!$G153, 0), 0)</f>
        <v>0</v>
      </c>
      <c r="Q409" s="1363">
        <f>IF(Q$321&gt;0, IF(R$321=0, 'Adjustment for previous period'!$G153, 0), 0)</f>
        <v>0</v>
      </c>
      <c r="R409" s="248"/>
      <c r="S409" s="4"/>
      <c r="T409" s="4"/>
      <c r="U409" s="4"/>
      <c r="V409" s="4"/>
      <c r="W409" s="4"/>
      <c r="X409" s="4"/>
      <c r="Y409" s="4"/>
      <c r="Z409" s="4"/>
      <c r="AA409" s="152"/>
    </row>
    <row r="410" spans="1:27" ht="12" hidden="1" customHeight="1" outlineLevel="1">
      <c r="A410" s="3"/>
      <c r="B410" s="3"/>
      <c r="C410" s="3"/>
      <c r="D410" s="133">
        <f>Asset37</f>
        <v>0</v>
      </c>
      <c r="E410" s="3"/>
      <c r="F410" s="3"/>
      <c r="G410" s="248"/>
      <c r="H410" s="1341"/>
      <c r="I410" s="1363">
        <f>IF(I$321&gt;0, IF(J$321=0, 'Adjustment for previous period'!$G154, 0), 0)</f>
        <v>0</v>
      </c>
      <c r="J410" s="1363">
        <f>IF(J$321&gt;0, IF(K$321=0, 'Adjustment for previous period'!$G154, 0), 0)</f>
        <v>0</v>
      </c>
      <c r="K410" s="1363">
        <f>IF(K$321&gt;0, IF(L$321=0, 'Adjustment for previous period'!$G154, 0), 0)</f>
        <v>0</v>
      </c>
      <c r="L410" s="1363">
        <f>IF(L$321&gt;0, IF(M$321=0, 'Adjustment for previous period'!$G154, 0), 0)</f>
        <v>0</v>
      </c>
      <c r="M410" s="1363">
        <f>IF(M$321&gt;0, IF(N$321=0, 'Adjustment for previous period'!$G154, 0), 0)</f>
        <v>0</v>
      </c>
      <c r="N410" s="1363">
        <f>IF(N$321&gt;0, IF(O$321=0, 'Adjustment for previous period'!$G154, 0), 0)</f>
        <v>0</v>
      </c>
      <c r="O410" s="1363">
        <f>IF(O$321&gt;0, IF(P$321=0, 'Adjustment for previous period'!$G154, 0), 0)</f>
        <v>0</v>
      </c>
      <c r="P410" s="1363">
        <f>IF(P$321&gt;0, IF(Q$321=0, 'Adjustment for previous period'!$G154, 0), 0)</f>
        <v>0</v>
      </c>
      <c r="Q410" s="1363">
        <f>IF(Q$321&gt;0, IF(R$321=0, 'Adjustment for previous period'!$G154, 0), 0)</f>
        <v>0</v>
      </c>
      <c r="R410" s="248"/>
      <c r="S410" s="4"/>
      <c r="T410" s="4"/>
      <c r="U410" s="4"/>
      <c r="V410" s="4"/>
      <c r="W410" s="4"/>
      <c r="X410" s="4"/>
      <c r="Y410" s="4"/>
      <c r="Z410" s="4"/>
      <c r="AA410" s="152"/>
    </row>
    <row r="411" spans="1:27" ht="12" hidden="1" customHeight="1" outlineLevel="1">
      <c r="A411" s="3"/>
      <c r="B411" s="3"/>
      <c r="C411" s="3"/>
      <c r="D411" s="133">
        <f>Asset38</f>
        <v>0</v>
      </c>
      <c r="E411" s="3"/>
      <c r="F411" s="3"/>
      <c r="G411" s="248"/>
      <c r="H411" s="1341"/>
      <c r="I411" s="1363">
        <f>IF(I$321&gt;0, IF(J$321=0, 'Adjustment for previous period'!$G155, 0), 0)</f>
        <v>0</v>
      </c>
      <c r="J411" s="1363">
        <f>IF(J$321&gt;0, IF(K$321=0, 'Adjustment for previous period'!$G155, 0), 0)</f>
        <v>0</v>
      </c>
      <c r="K411" s="1363">
        <f>IF(K$321&gt;0, IF(L$321=0, 'Adjustment for previous period'!$G155, 0), 0)</f>
        <v>0</v>
      </c>
      <c r="L411" s="1363">
        <f>IF(L$321&gt;0, IF(M$321=0, 'Adjustment for previous period'!$G155, 0), 0)</f>
        <v>0</v>
      </c>
      <c r="M411" s="1363">
        <f>IF(M$321&gt;0, IF(N$321=0, 'Adjustment for previous period'!$G155, 0), 0)</f>
        <v>0</v>
      </c>
      <c r="N411" s="1363">
        <f>IF(N$321&gt;0, IF(O$321=0, 'Adjustment for previous period'!$G155, 0), 0)</f>
        <v>0</v>
      </c>
      <c r="O411" s="1363">
        <f>IF(O$321&gt;0, IF(P$321=0, 'Adjustment for previous period'!$G155, 0), 0)</f>
        <v>0</v>
      </c>
      <c r="P411" s="1363">
        <f>IF(P$321&gt;0, IF(Q$321=0, 'Adjustment for previous period'!$G155, 0), 0)</f>
        <v>0</v>
      </c>
      <c r="Q411" s="1363">
        <f>IF(Q$321&gt;0, IF(R$321=0, 'Adjustment for previous period'!$G155, 0), 0)</f>
        <v>0</v>
      </c>
      <c r="R411" s="248"/>
      <c r="S411" s="4"/>
      <c r="T411" s="4"/>
      <c r="U411" s="4"/>
      <c r="V411" s="4"/>
      <c r="W411" s="4"/>
      <c r="X411" s="4"/>
      <c r="Y411" s="4"/>
      <c r="Z411" s="4"/>
      <c r="AA411" s="152"/>
    </row>
    <row r="412" spans="1:27" ht="12" hidden="1" customHeight="1" outlineLevel="1">
      <c r="A412" s="3"/>
      <c r="B412" s="3"/>
      <c r="C412" s="3"/>
      <c r="D412" s="133">
        <f>Asset39</f>
        <v>0</v>
      </c>
      <c r="E412" s="3"/>
      <c r="F412" s="3"/>
      <c r="G412" s="248"/>
      <c r="H412" s="1341"/>
      <c r="I412" s="1363">
        <f>IF(I$321&gt;0, IF(J$321=0, 'Adjustment for previous period'!$G156, 0), 0)</f>
        <v>0</v>
      </c>
      <c r="J412" s="1363">
        <f>IF(J$321&gt;0, IF(K$321=0, 'Adjustment for previous period'!$G156, 0), 0)</f>
        <v>0</v>
      </c>
      <c r="K412" s="1363">
        <f>IF(K$321&gt;0, IF(L$321=0, 'Adjustment for previous period'!$G156, 0), 0)</f>
        <v>0</v>
      </c>
      <c r="L412" s="1363">
        <f>IF(L$321&gt;0, IF(M$321=0, 'Adjustment for previous period'!$G156, 0), 0)</f>
        <v>0</v>
      </c>
      <c r="M412" s="1363">
        <f>IF(M$321&gt;0, IF(N$321=0, 'Adjustment for previous period'!$G156, 0), 0)</f>
        <v>0</v>
      </c>
      <c r="N412" s="1363">
        <f>IF(N$321&gt;0, IF(O$321=0, 'Adjustment for previous period'!$G156, 0), 0)</f>
        <v>0</v>
      </c>
      <c r="O412" s="1363">
        <f>IF(O$321&gt;0, IF(P$321=0, 'Adjustment for previous period'!$G156, 0), 0)</f>
        <v>0</v>
      </c>
      <c r="P412" s="1363">
        <f>IF(P$321&gt;0, IF(Q$321=0, 'Adjustment for previous period'!$G156, 0), 0)</f>
        <v>0</v>
      </c>
      <c r="Q412" s="1363">
        <f>IF(Q$321&gt;0, IF(R$321=0, 'Adjustment for previous period'!$G156, 0), 0)</f>
        <v>0</v>
      </c>
      <c r="R412" s="248"/>
      <c r="S412" s="4"/>
      <c r="T412" s="4"/>
      <c r="U412" s="4"/>
      <c r="V412" s="4"/>
      <c r="W412" s="4"/>
      <c r="X412" s="4"/>
      <c r="Y412" s="4"/>
      <c r="Z412" s="4"/>
      <c r="AA412" s="152"/>
    </row>
    <row r="413" spans="1:27" ht="12" hidden="1" customHeight="1" outlineLevel="1">
      <c r="A413" s="3"/>
      <c r="B413" s="3"/>
      <c r="C413" s="3"/>
      <c r="D413" s="133">
        <f>Asset40</f>
        <v>0</v>
      </c>
      <c r="E413" s="3"/>
      <c r="F413" s="3"/>
      <c r="G413" s="248"/>
      <c r="H413" s="1341"/>
      <c r="I413" s="1363">
        <f>IF(I$321&gt;0, IF(J$321=0, 'Adjustment for previous period'!$G157, 0), 0)</f>
        <v>0</v>
      </c>
      <c r="J413" s="1363">
        <f>IF(J$321&gt;0, IF(K$321=0, 'Adjustment for previous period'!$G157, 0), 0)</f>
        <v>0</v>
      </c>
      <c r="K413" s="1363">
        <f>IF(K$321&gt;0, IF(L$321=0, 'Adjustment for previous period'!$G157, 0), 0)</f>
        <v>0</v>
      </c>
      <c r="L413" s="1363">
        <f>IF(L$321&gt;0, IF(M$321=0, 'Adjustment for previous period'!$G157, 0), 0)</f>
        <v>0</v>
      </c>
      <c r="M413" s="1363">
        <f>IF(M$321&gt;0, IF(N$321=0, 'Adjustment for previous period'!$G157, 0), 0)</f>
        <v>0</v>
      </c>
      <c r="N413" s="1363">
        <f>IF(N$321&gt;0, IF(O$321=0, 'Adjustment for previous period'!$G157, 0), 0)</f>
        <v>0</v>
      </c>
      <c r="O413" s="1363">
        <f>IF(O$321&gt;0, IF(P$321=0, 'Adjustment for previous period'!$G157, 0), 0)</f>
        <v>0</v>
      </c>
      <c r="P413" s="1363">
        <f>IF(P$321&gt;0, IF(Q$321=0, 'Adjustment for previous period'!$G157, 0), 0)</f>
        <v>0</v>
      </c>
      <c r="Q413" s="1363">
        <f>IF(Q$321&gt;0, IF(R$321=0, 'Adjustment for previous period'!$G157, 0), 0)</f>
        <v>0</v>
      </c>
      <c r="R413" s="248"/>
      <c r="S413" s="4"/>
      <c r="T413" s="4"/>
      <c r="U413" s="4"/>
      <c r="V413" s="4"/>
      <c r="W413" s="4"/>
      <c r="X413" s="4"/>
      <c r="Y413" s="4"/>
      <c r="Z413" s="4"/>
      <c r="AA413" s="152"/>
    </row>
    <row r="414" spans="1:27" ht="12" hidden="1" customHeight="1" outlineLevel="1">
      <c r="A414" s="3"/>
      <c r="B414" s="3"/>
      <c r="C414" s="3"/>
      <c r="D414" s="133">
        <f>Asset41</f>
        <v>0</v>
      </c>
      <c r="E414" s="3"/>
      <c r="F414" s="3"/>
      <c r="G414" s="248"/>
      <c r="H414" s="1341"/>
      <c r="I414" s="1363">
        <f>IF(I$321&gt;0, IF(J$321=0, 'Adjustment for previous period'!$G158, 0), 0)</f>
        <v>0</v>
      </c>
      <c r="J414" s="1363">
        <f>IF(J$321&gt;0, IF(K$321=0, 'Adjustment for previous period'!$G158, 0), 0)</f>
        <v>0</v>
      </c>
      <c r="K414" s="1363">
        <f>IF(K$321&gt;0, IF(L$321=0, 'Adjustment for previous period'!$G158, 0), 0)</f>
        <v>0</v>
      </c>
      <c r="L414" s="1363">
        <f>IF(L$321&gt;0, IF(M$321=0, 'Adjustment for previous period'!$G158, 0), 0)</f>
        <v>0</v>
      </c>
      <c r="M414" s="1363">
        <f>IF(M$321&gt;0, IF(N$321=0, 'Adjustment for previous period'!$G158, 0), 0)</f>
        <v>0</v>
      </c>
      <c r="N414" s="1363">
        <f>IF(N$321&gt;0, IF(O$321=0, 'Adjustment for previous period'!$G158, 0), 0)</f>
        <v>0</v>
      </c>
      <c r="O414" s="1363">
        <f>IF(O$321&gt;0, IF(P$321=0, 'Adjustment for previous period'!$G158, 0), 0)</f>
        <v>0</v>
      </c>
      <c r="P414" s="1363">
        <f>IF(P$321&gt;0, IF(Q$321=0, 'Adjustment for previous period'!$G158, 0), 0)</f>
        <v>0</v>
      </c>
      <c r="Q414" s="1363">
        <f>IF(Q$321&gt;0, IF(R$321=0, 'Adjustment for previous period'!$G158, 0), 0)</f>
        <v>0</v>
      </c>
      <c r="R414" s="248"/>
      <c r="S414" s="4"/>
      <c r="T414" s="4"/>
      <c r="U414" s="4"/>
      <c r="V414" s="4"/>
      <c r="W414" s="4"/>
      <c r="X414" s="4"/>
      <c r="Y414" s="4"/>
      <c r="Z414" s="4"/>
      <c r="AA414" s="152"/>
    </row>
    <row r="415" spans="1:27" ht="12" hidden="1" customHeight="1" outlineLevel="1">
      <c r="A415" s="3"/>
      <c r="B415" s="3"/>
      <c r="C415" s="3"/>
      <c r="D415" s="133">
        <f>Asset42</f>
        <v>0</v>
      </c>
      <c r="E415" s="3"/>
      <c r="F415" s="3"/>
      <c r="G415" s="248"/>
      <c r="H415" s="1341"/>
      <c r="I415" s="1363">
        <f>IF(I$321&gt;0, IF(J$321=0, 'Adjustment for previous period'!$G159, 0), 0)</f>
        <v>0</v>
      </c>
      <c r="J415" s="1363">
        <f>IF(J$321&gt;0, IF(K$321=0, 'Adjustment for previous period'!$G159, 0), 0)</f>
        <v>0</v>
      </c>
      <c r="K415" s="1363">
        <f>IF(K$321&gt;0, IF(L$321=0, 'Adjustment for previous period'!$G159, 0), 0)</f>
        <v>0</v>
      </c>
      <c r="L415" s="1363">
        <f>IF(L$321&gt;0, IF(M$321=0, 'Adjustment for previous period'!$G159, 0), 0)</f>
        <v>0</v>
      </c>
      <c r="M415" s="1363">
        <f>IF(M$321&gt;0, IF(N$321=0, 'Adjustment for previous period'!$G159, 0), 0)</f>
        <v>0</v>
      </c>
      <c r="N415" s="1363">
        <f>IF(N$321&gt;0, IF(O$321=0, 'Adjustment for previous period'!$G159, 0), 0)</f>
        <v>0</v>
      </c>
      <c r="O415" s="1363">
        <f>IF(O$321&gt;0, IF(P$321=0, 'Adjustment for previous period'!$G159, 0), 0)</f>
        <v>0</v>
      </c>
      <c r="P415" s="1363">
        <f>IF(P$321&gt;0, IF(Q$321=0, 'Adjustment for previous period'!$G159, 0), 0)</f>
        <v>0</v>
      </c>
      <c r="Q415" s="1363">
        <f>IF(Q$321&gt;0, IF(R$321=0, 'Adjustment for previous period'!$G159, 0), 0)</f>
        <v>0</v>
      </c>
      <c r="R415" s="248"/>
      <c r="S415" s="4"/>
      <c r="T415" s="4"/>
      <c r="U415" s="4"/>
      <c r="V415" s="4"/>
      <c r="W415" s="4"/>
      <c r="X415" s="4"/>
      <c r="Y415" s="4"/>
      <c r="Z415" s="4"/>
      <c r="AA415" s="152"/>
    </row>
    <row r="416" spans="1:27" ht="12" hidden="1" customHeight="1" outlineLevel="1">
      <c r="A416" s="3"/>
      <c r="B416" s="3"/>
      <c r="C416" s="3"/>
      <c r="D416" s="133">
        <f>Asset43</f>
        <v>0</v>
      </c>
      <c r="E416" s="3"/>
      <c r="F416" s="3"/>
      <c r="G416" s="248"/>
      <c r="H416" s="1341"/>
      <c r="I416" s="1363">
        <f>IF(I$321&gt;0, IF(J$321=0, 'Adjustment for previous period'!$G160, 0), 0)</f>
        <v>0</v>
      </c>
      <c r="J416" s="1363">
        <f>IF(J$321&gt;0, IF(K$321=0, 'Adjustment for previous period'!$G160, 0), 0)</f>
        <v>0</v>
      </c>
      <c r="K416" s="1363">
        <f>IF(K$321&gt;0, IF(L$321=0, 'Adjustment for previous period'!$G160, 0), 0)</f>
        <v>0</v>
      </c>
      <c r="L416" s="1363">
        <f>IF(L$321&gt;0, IF(M$321=0, 'Adjustment for previous period'!$G160, 0), 0)</f>
        <v>0</v>
      </c>
      <c r="M416" s="1363">
        <f>IF(M$321&gt;0, IF(N$321=0, 'Adjustment for previous period'!$G160, 0), 0)</f>
        <v>0</v>
      </c>
      <c r="N416" s="1363">
        <f>IF(N$321&gt;0, IF(O$321=0, 'Adjustment for previous period'!$G160, 0), 0)</f>
        <v>0</v>
      </c>
      <c r="O416" s="1363">
        <f>IF(O$321&gt;0, IF(P$321=0, 'Adjustment for previous period'!$G160, 0), 0)</f>
        <v>0</v>
      </c>
      <c r="P416" s="1363">
        <f>IF(P$321&gt;0, IF(Q$321=0, 'Adjustment for previous period'!$G160, 0), 0)</f>
        <v>0</v>
      </c>
      <c r="Q416" s="1363">
        <f>IF(Q$321&gt;0, IF(R$321=0, 'Adjustment for previous period'!$G160, 0), 0)</f>
        <v>0</v>
      </c>
      <c r="R416" s="248"/>
      <c r="S416" s="4"/>
      <c r="T416" s="4"/>
      <c r="U416" s="4"/>
      <c r="V416" s="4"/>
      <c r="W416" s="4"/>
      <c r="X416" s="4"/>
      <c r="Y416" s="4"/>
      <c r="Z416" s="4"/>
      <c r="AA416" s="152"/>
    </row>
    <row r="417" spans="1:27" ht="12" hidden="1" customHeight="1" outlineLevel="1">
      <c r="A417" s="3"/>
      <c r="B417" s="3"/>
      <c r="C417" s="3"/>
      <c r="D417" s="133">
        <f>Asset44</f>
        <v>0</v>
      </c>
      <c r="E417" s="3"/>
      <c r="F417" s="3"/>
      <c r="G417" s="248"/>
      <c r="H417" s="1341"/>
      <c r="I417" s="1363">
        <f>IF(I$321&gt;0, IF(J$321=0, 'Adjustment for previous period'!$G161, 0), 0)</f>
        <v>0</v>
      </c>
      <c r="J417" s="1363">
        <f>IF(J$321&gt;0, IF(K$321=0, 'Adjustment for previous period'!$G161, 0), 0)</f>
        <v>0</v>
      </c>
      <c r="K417" s="1363">
        <f>IF(K$321&gt;0, IF(L$321=0, 'Adjustment for previous period'!$G161, 0), 0)</f>
        <v>0</v>
      </c>
      <c r="L417" s="1363">
        <f>IF(L$321&gt;0, IF(M$321=0, 'Adjustment for previous period'!$G161, 0), 0)</f>
        <v>0</v>
      </c>
      <c r="M417" s="1363">
        <f>IF(M$321&gt;0, IF(N$321=0, 'Adjustment for previous period'!$G161, 0), 0)</f>
        <v>0</v>
      </c>
      <c r="N417" s="1363">
        <f>IF(N$321&gt;0, IF(O$321=0, 'Adjustment for previous period'!$G161, 0), 0)</f>
        <v>0</v>
      </c>
      <c r="O417" s="1363">
        <f>IF(O$321&gt;0, IF(P$321=0, 'Adjustment for previous period'!$G161, 0), 0)</f>
        <v>0</v>
      </c>
      <c r="P417" s="1363">
        <f>IF(P$321&gt;0, IF(Q$321=0, 'Adjustment for previous period'!$G161, 0), 0)</f>
        <v>0</v>
      </c>
      <c r="Q417" s="1363">
        <f>IF(Q$321&gt;0, IF(R$321=0, 'Adjustment for previous period'!$G161, 0), 0)</f>
        <v>0</v>
      </c>
      <c r="R417" s="248"/>
      <c r="S417" s="4"/>
      <c r="T417" s="4"/>
      <c r="U417" s="4"/>
      <c r="V417" s="4"/>
      <c r="W417" s="4"/>
      <c r="X417" s="4"/>
      <c r="Y417" s="4"/>
      <c r="Z417" s="4"/>
      <c r="AA417" s="152"/>
    </row>
    <row r="418" spans="1:27" ht="12" hidden="1" customHeight="1" outlineLevel="1">
      <c r="A418" s="3"/>
      <c r="B418" s="3"/>
      <c r="C418" s="3"/>
      <c r="D418" s="133">
        <f>Asset45</f>
        <v>0</v>
      </c>
      <c r="E418" s="3"/>
      <c r="F418" s="3"/>
      <c r="G418" s="248"/>
      <c r="H418" s="1341"/>
      <c r="I418" s="1363">
        <f>IF(I$321&gt;0, IF(J$321=0, 'Adjustment for previous period'!$G162, 0), 0)</f>
        <v>0</v>
      </c>
      <c r="J418" s="1363">
        <f>IF(J$321&gt;0, IF(K$321=0, 'Adjustment for previous period'!$G162, 0), 0)</f>
        <v>0</v>
      </c>
      <c r="K418" s="1363">
        <f>IF(K$321&gt;0, IF(L$321=0, 'Adjustment for previous period'!$G162, 0), 0)</f>
        <v>0</v>
      </c>
      <c r="L418" s="1363">
        <f>IF(L$321&gt;0, IF(M$321=0, 'Adjustment for previous period'!$G162, 0), 0)</f>
        <v>0</v>
      </c>
      <c r="M418" s="1363">
        <f>IF(M$321&gt;0, IF(N$321=0, 'Adjustment for previous period'!$G162, 0), 0)</f>
        <v>0</v>
      </c>
      <c r="N418" s="1363">
        <f>IF(N$321&gt;0, IF(O$321=0, 'Adjustment for previous period'!$G162, 0), 0)</f>
        <v>0</v>
      </c>
      <c r="O418" s="1363">
        <f>IF(O$321&gt;0, IF(P$321=0, 'Adjustment for previous period'!$G162, 0), 0)</f>
        <v>0</v>
      </c>
      <c r="P418" s="1363">
        <f>IF(P$321&gt;0, IF(Q$321=0, 'Adjustment for previous period'!$G162, 0), 0)</f>
        <v>0</v>
      </c>
      <c r="Q418" s="1363">
        <f>IF(Q$321&gt;0, IF(R$321=0, 'Adjustment for previous period'!$G162, 0), 0)</f>
        <v>0</v>
      </c>
      <c r="R418" s="248"/>
      <c r="S418" s="4"/>
      <c r="T418" s="4"/>
      <c r="U418" s="4"/>
      <c r="V418" s="4"/>
      <c r="W418" s="4"/>
      <c r="X418" s="4"/>
      <c r="Y418" s="4"/>
      <c r="Z418" s="4"/>
      <c r="AA418" s="152"/>
    </row>
    <row r="419" spans="1:27" ht="12" hidden="1" customHeight="1" outlineLevel="1">
      <c r="A419" s="3"/>
      <c r="B419" s="3"/>
      <c r="C419" s="3"/>
      <c r="D419" s="133">
        <f>Asset46</f>
        <v>0</v>
      </c>
      <c r="E419" s="3"/>
      <c r="F419" s="3"/>
      <c r="G419" s="248"/>
      <c r="H419" s="1341"/>
      <c r="I419" s="1363">
        <f>IF(I$321&gt;0, IF(J$321=0, 'Adjustment for previous period'!$G163, 0), 0)</f>
        <v>0</v>
      </c>
      <c r="J419" s="1363">
        <f>IF(J$321&gt;0, IF(K$321=0, 'Adjustment for previous period'!$G163, 0), 0)</f>
        <v>0</v>
      </c>
      <c r="K419" s="1363">
        <f>IF(K$321&gt;0, IF(L$321=0, 'Adjustment for previous period'!$G163, 0), 0)</f>
        <v>0</v>
      </c>
      <c r="L419" s="1363">
        <f>IF(L$321&gt;0, IF(M$321=0, 'Adjustment for previous period'!$G163, 0), 0)</f>
        <v>0</v>
      </c>
      <c r="M419" s="1363">
        <f>IF(M$321&gt;0, IF(N$321=0, 'Adjustment for previous period'!$G163, 0), 0)</f>
        <v>0</v>
      </c>
      <c r="N419" s="1363">
        <f>IF(N$321&gt;0, IF(O$321=0, 'Adjustment for previous period'!$G163, 0), 0)</f>
        <v>0</v>
      </c>
      <c r="O419" s="1363">
        <f>IF(O$321&gt;0, IF(P$321=0, 'Adjustment for previous period'!$G163, 0), 0)</f>
        <v>0</v>
      </c>
      <c r="P419" s="1363">
        <f>IF(P$321&gt;0, IF(Q$321=0, 'Adjustment for previous period'!$G163, 0), 0)</f>
        <v>0</v>
      </c>
      <c r="Q419" s="1363">
        <f>IF(Q$321&gt;0, IF(R$321=0, 'Adjustment for previous period'!$G163, 0), 0)</f>
        <v>0</v>
      </c>
      <c r="R419" s="248"/>
      <c r="S419" s="4"/>
      <c r="T419" s="4"/>
      <c r="U419" s="4"/>
      <c r="V419" s="4"/>
      <c r="W419" s="4"/>
      <c r="X419" s="4"/>
      <c r="Y419" s="4"/>
      <c r="Z419" s="4"/>
      <c r="AA419" s="152"/>
    </row>
    <row r="420" spans="1:27" ht="12" hidden="1" customHeight="1" outlineLevel="1">
      <c r="A420" s="3"/>
      <c r="B420" s="3"/>
      <c r="C420" s="3"/>
      <c r="D420" s="133">
        <f>Asset47</f>
        <v>0</v>
      </c>
      <c r="E420" s="3"/>
      <c r="F420" s="3"/>
      <c r="G420" s="248"/>
      <c r="H420" s="1341"/>
      <c r="I420" s="1363">
        <f>IF(I$321&gt;0, IF(J$321=0, 'Adjustment for previous period'!$G164, 0), 0)</f>
        <v>0</v>
      </c>
      <c r="J420" s="1363">
        <f>IF(J$321&gt;0, IF(K$321=0, 'Adjustment for previous period'!$G164, 0), 0)</f>
        <v>0</v>
      </c>
      <c r="K420" s="1363">
        <f>IF(K$321&gt;0, IF(L$321=0, 'Adjustment for previous period'!$G164, 0), 0)</f>
        <v>0</v>
      </c>
      <c r="L420" s="1363">
        <f>IF(L$321&gt;0, IF(M$321=0, 'Adjustment for previous period'!$G164, 0), 0)</f>
        <v>0</v>
      </c>
      <c r="M420" s="1363">
        <f>IF(M$321&gt;0, IF(N$321=0, 'Adjustment for previous period'!$G164, 0), 0)</f>
        <v>0</v>
      </c>
      <c r="N420" s="1363">
        <f>IF(N$321&gt;0, IF(O$321=0, 'Adjustment for previous period'!$G164, 0), 0)</f>
        <v>0</v>
      </c>
      <c r="O420" s="1363">
        <f>IF(O$321&gt;0, IF(P$321=0, 'Adjustment for previous period'!$G164, 0), 0)</f>
        <v>0</v>
      </c>
      <c r="P420" s="1363">
        <f>IF(P$321&gt;0, IF(Q$321=0, 'Adjustment for previous period'!$G164, 0), 0)</f>
        <v>0</v>
      </c>
      <c r="Q420" s="1363">
        <f>IF(Q$321&gt;0, IF(R$321=0, 'Adjustment for previous period'!$G164, 0), 0)</f>
        <v>0</v>
      </c>
      <c r="R420" s="248"/>
      <c r="S420" s="4"/>
      <c r="T420" s="4"/>
      <c r="U420" s="4"/>
      <c r="V420" s="4"/>
      <c r="W420" s="4"/>
      <c r="X420" s="4"/>
      <c r="Y420" s="4"/>
      <c r="Z420" s="4"/>
      <c r="AA420" s="152"/>
    </row>
    <row r="421" spans="1:27" ht="12" hidden="1" customHeight="1" outlineLevel="1">
      <c r="A421" s="3"/>
      <c r="B421" s="3"/>
      <c r="C421" s="3"/>
      <c r="D421" s="133">
        <f>Asset48</f>
        <v>0</v>
      </c>
      <c r="E421" s="3"/>
      <c r="F421" s="3"/>
      <c r="G421" s="248"/>
      <c r="H421" s="1341"/>
      <c r="I421" s="1363">
        <f>IF(I$321&gt;0, IF(J$321=0, 'Adjustment for previous period'!$G165, 0), 0)</f>
        <v>0</v>
      </c>
      <c r="J421" s="1363">
        <f>IF(J$321&gt;0, IF(K$321=0, 'Adjustment for previous period'!$G165, 0), 0)</f>
        <v>0</v>
      </c>
      <c r="K421" s="1363">
        <f>IF(K$321&gt;0, IF(L$321=0, 'Adjustment for previous period'!$G165, 0), 0)</f>
        <v>0</v>
      </c>
      <c r="L421" s="1363">
        <f>IF(L$321&gt;0, IF(M$321=0, 'Adjustment for previous period'!$G165, 0), 0)</f>
        <v>0</v>
      </c>
      <c r="M421" s="1363">
        <f>IF(M$321&gt;0, IF(N$321=0, 'Adjustment for previous period'!$G165, 0), 0)</f>
        <v>0</v>
      </c>
      <c r="N421" s="1363">
        <f>IF(N$321&gt;0, IF(O$321=0, 'Adjustment for previous period'!$G165, 0), 0)</f>
        <v>0</v>
      </c>
      <c r="O421" s="1363">
        <f>IF(O$321&gt;0, IF(P$321=0, 'Adjustment for previous period'!$G165, 0), 0)</f>
        <v>0</v>
      </c>
      <c r="P421" s="1363">
        <f>IF(P$321&gt;0, IF(Q$321=0, 'Adjustment for previous period'!$G165, 0), 0)</f>
        <v>0</v>
      </c>
      <c r="Q421" s="1363">
        <f>IF(Q$321&gt;0, IF(R$321=0, 'Adjustment for previous period'!$G165, 0), 0)</f>
        <v>0</v>
      </c>
      <c r="R421" s="248"/>
      <c r="S421" s="4"/>
      <c r="T421" s="4"/>
      <c r="U421" s="4"/>
      <c r="V421" s="4"/>
      <c r="W421" s="4"/>
      <c r="X421" s="4"/>
      <c r="Y421" s="4"/>
      <c r="Z421" s="4"/>
      <c r="AA421" s="152"/>
    </row>
    <row r="422" spans="1:27" ht="12" hidden="1" customHeight="1" outlineLevel="1">
      <c r="A422" s="3"/>
      <c r="B422" s="3"/>
      <c r="C422" s="3"/>
      <c r="D422" s="133">
        <f>Asset49</f>
        <v>0</v>
      </c>
      <c r="E422" s="3"/>
      <c r="F422" s="3"/>
      <c r="G422" s="248"/>
      <c r="H422" s="1341"/>
      <c r="I422" s="1363">
        <f>IF(I$321&gt;0, IF(J$321=0, 'Adjustment for previous period'!$G166, 0), 0)</f>
        <v>0</v>
      </c>
      <c r="J422" s="1363">
        <f>IF(J$321&gt;0, IF(K$321=0, 'Adjustment for previous period'!$G166, 0), 0)</f>
        <v>0</v>
      </c>
      <c r="K422" s="1363">
        <f>IF(K$321&gt;0, IF(L$321=0, 'Adjustment for previous period'!$G166, 0), 0)</f>
        <v>0</v>
      </c>
      <c r="L422" s="1363">
        <f>IF(L$321&gt;0, IF(M$321=0, 'Adjustment for previous period'!$G166, 0), 0)</f>
        <v>0</v>
      </c>
      <c r="M422" s="1363">
        <f>IF(M$321&gt;0, IF(N$321=0, 'Adjustment for previous period'!$G166, 0), 0)</f>
        <v>0</v>
      </c>
      <c r="N422" s="1363">
        <f>IF(N$321&gt;0, IF(O$321=0, 'Adjustment for previous period'!$G166, 0), 0)</f>
        <v>0</v>
      </c>
      <c r="O422" s="1363">
        <f>IF(O$321&gt;0, IF(P$321=0, 'Adjustment for previous period'!$G166, 0), 0)</f>
        <v>0</v>
      </c>
      <c r="P422" s="1363">
        <f>IF(P$321&gt;0, IF(Q$321=0, 'Adjustment for previous period'!$G166, 0), 0)</f>
        <v>0</v>
      </c>
      <c r="Q422" s="1363">
        <f>IF(Q$321&gt;0, IF(R$321=0, 'Adjustment for previous period'!$G166, 0), 0)</f>
        <v>0</v>
      </c>
      <c r="R422" s="248"/>
      <c r="S422" s="4"/>
      <c r="T422" s="4"/>
      <c r="U422" s="4"/>
      <c r="V422" s="4"/>
      <c r="W422" s="4"/>
      <c r="X422" s="4"/>
      <c r="Y422" s="4"/>
      <c r="Z422" s="4"/>
      <c r="AA422" s="152"/>
    </row>
    <row r="423" spans="1:27" ht="12" hidden="1" customHeight="1" outlineLevel="1">
      <c r="A423" s="3"/>
      <c r="B423" s="3"/>
      <c r="C423" s="3"/>
      <c r="D423" s="133">
        <f>Asset50</f>
        <v>0</v>
      </c>
      <c r="E423" s="3"/>
      <c r="F423" s="3"/>
      <c r="G423" s="248"/>
      <c r="H423" s="1341"/>
      <c r="I423" s="1363">
        <f>IF(I$321&gt;0, IF(J$321=0, 'Adjustment for previous period'!$G167, 0), 0)</f>
        <v>0</v>
      </c>
      <c r="J423" s="1363">
        <f>IF(J$321&gt;0, IF(K$321=0, 'Adjustment for previous period'!$G167, 0), 0)</f>
        <v>0</v>
      </c>
      <c r="K423" s="1363">
        <f>IF(K$321&gt;0, IF(L$321=0, 'Adjustment for previous period'!$G167, 0), 0)</f>
        <v>0</v>
      </c>
      <c r="L423" s="1363">
        <f>IF(L$321&gt;0, IF(M$321=0, 'Adjustment for previous period'!$G167, 0), 0)</f>
        <v>0</v>
      </c>
      <c r="M423" s="1363">
        <f>IF(M$321&gt;0, IF(N$321=0, 'Adjustment for previous period'!$G167, 0), 0)</f>
        <v>0</v>
      </c>
      <c r="N423" s="1363">
        <f>IF(N$321&gt;0, IF(O$321=0, 'Adjustment for previous period'!$G167, 0), 0)</f>
        <v>0</v>
      </c>
      <c r="O423" s="1363">
        <f>IF(O$321&gt;0, IF(P$321=0, 'Adjustment for previous period'!$G167, 0), 0)</f>
        <v>0</v>
      </c>
      <c r="P423" s="1363">
        <f>IF(P$321&gt;0, IF(Q$321=0, 'Adjustment for previous period'!$G167, 0), 0)</f>
        <v>0</v>
      </c>
      <c r="Q423" s="1363">
        <f>IF(Q$321&gt;0, IF(R$321=0, 'Adjustment for previous period'!$G167, 0), 0)</f>
        <v>0</v>
      </c>
      <c r="R423" s="248"/>
      <c r="S423" s="4"/>
      <c r="T423" s="4"/>
      <c r="U423" s="4"/>
      <c r="V423" s="4"/>
      <c r="W423" s="4"/>
      <c r="X423" s="4"/>
      <c r="Y423" s="4"/>
      <c r="Z423" s="4"/>
      <c r="AA423" s="152"/>
    </row>
    <row r="424" spans="1:27" ht="12" customHeight="1" collapsed="1">
      <c r="A424" s="3"/>
      <c r="B424" s="3"/>
      <c r="C424" s="3"/>
      <c r="D424" s="3"/>
      <c r="E424" s="3"/>
      <c r="F424" s="3"/>
      <c r="G424" s="248"/>
      <c r="H424" s="248"/>
      <c r="I424" s="1391"/>
      <c r="J424" s="1391"/>
      <c r="K424" s="1391"/>
      <c r="L424" s="1391"/>
      <c r="M424" s="1391"/>
      <c r="N424" s="1406"/>
      <c r="O424" s="1391"/>
      <c r="P424" s="1391"/>
      <c r="Q424" s="1391"/>
      <c r="R424" s="248"/>
      <c r="S424" s="4"/>
      <c r="T424" s="4"/>
      <c r="U424" s="4"/>
      <c r="V424" s="4"/>
      <c r="W424" s="4"/>
      <c r="X424" s="4"/>
      <c r="Y424" s="4"/>
      <c r="Z424" s="4"/>
      <c r="AA424" s="152"/>
    </row>
    <row r="425" spans="1:27" ht="12" customHeight="1">
      <c r="A425" s="3"/>
      <c r="B425" s="4"/>
      <c r="C425" s="335" t="s">
        <v>34</v>
      </c>
      <c r="D425" s="4"/>
      <c r="E425" s="4"/>
      <c r="F425" s="4"/>
      <c r="G425" s="77"/>
      <c r="H425" s="77"/>
      <c r="I425" s="233">
        <f t="shared" ref="I425:K425" si="17">SUM(I426:I475)</f>
        <v>0</v>
      </c>
      <c r="J425" s="233">
        <f t="shared" si="17"/>
        <v>0</v>
      </c>
      <c r="K425" s="233">
        <f t="shared" si="17"/>
        <v>0</v>
      </c>
      <c r="L425" s="233">
        <f>SUM(L426:L475)</f>
        <v>0</v>
      </c>
      <c r="M425" s="233">
        <f t="shared" ref="M425:Q425" si="18">SUM(M426:M475)</f>
        <v>0</v>
      </c>
      <c r="N425" s="233">
        <f t="shared" si="18"/>
        <v>15.158591234787625</v>
      </c>
      <c r="O425" s="233">
        <f t="shared" si="18"/>
        <v>0</v>
      </c>
      <c r="P425" s="233">
        <f t="shared" si="18"/>
        <v>0</v>
      </c>
      <c r="Q425" s="233">
        <f t="shared" si="18"/>
        <v>0</v>
      </c>
      <c r="R425" s="248"/>
      <c r="S425" s="4"/>
      <c r="T425" s="4"/>
      <c r="U425" s="4"/>
      <c r="V425" s="4"/>
      <c r="W425" s="4"/>
      <c r="X425" s="4"/>
      <c r="Y425" s="4"/>
      <c r="Z425" s="4"/>
      <c r="AA425" s="152"/>
    </row>
    <row r="426" spans="1:27" ht="12" hidden="1" customHeight="1" outlineLevel="1">
      <c r="A426" s="3"/>
      <c r="B426" s="3"/>
      <c r="C426" s="3"/>
      <c r="D426" s="133" t="str">
        <f>Asset1</f>
        <v>Mains</v>
      </c>
      <c r="E426" s="3"/>
      <c r="F426" s="3"/>
      <c r="G426" s="248"/>
      <c r="H426" s="1341"/>
      <c r="I426" s="1363">
        <f>IF(J$321=0, 'Adjustment for previous period'!I171, 0)</f>
        <v>0</v>
      </c>
      <c r="J426" s="1363">
        <f>IF(K$321=0, 'Adjustment for previous period'!J171, 0)</f>
        <v>0</v>
      </c>
      <c r="K426" s="1363">
        <f>IF(L$321=0, 'Adjustment for previous period'!K171, 0)</f>
        <v>0</v>
      </c>
      <c r="L426" s="1363">
        <f>IF(M$321=0, 'Adjustment for previous period'!L171, 0)</f>
        <v>0</v>
      </c>
      <c r="M426" s="1363">
        <f>IF(N$321=0, 'Adjustment for previous period'!M171, 0)</f>
        <v>0</v>
      </c>
      <c r="N426" s="1363">
        <f>IF(O$321=0, 'Adjustment for previous period'!N171, 0)</f>
        <v>8.1180822369873837</v>
      </c>
      <c r="O426" s="1363">
        <f>IF(P$321=0, 'Adjustment for previous period'!O171, 0)</f>
        <v>0</v>
      </c>
      <c r="P426" s="1363">
        <f>IF(Q$321=0, 'Adjustment for previous period'!P171, 0)</f>
        <v>0</v>
      </c>
      <c r="Q426" s="1363">
        <f>IF(R$321=0, 'Adjustment for previous period'!Q171, 0)</f>
        <v>0</v>
      </c>
      <c r="R426" s="248"/>
      <c r="S426" s="4"/>
      <c r="T426" s="4"/>
      <c r="U426" s="4"/>
      <c r="V426" s="4"/>
      <c r="W426" s="4"/>
      <c r="X426" s="4"/>
      <c r="Y426" s="4"/>
      <c r="Z426" s="4"/>
      <c r="AA426" s="152"/>
    </row>
    <row r="427" spans="1:27" hidden="1" outlineLevel="1">
      <c r="A427" s="3"/>
      <c r="B427" s="3"/>
      <c r="C427" s="3"/>
      <c r="D427" s="133" t="str">
        <f>Asset2</f>
        <v>Inlets</v>
      </c>
      <c r="E427" s="3"/>
      <c r="F427" s="3"/>
      <c r="G427" s="248"/>
      <c r="H427" s="1341"/>
      <c r="I427" s="1363">
        <f>IF(J$321=0, 'Adjustment for previous period'!I173, 0)</f>
        <v>0</v>
      </c>
      <c r="J427" s="1363">
        <f>IF(K$321=0, 'Adjustment for previous period'!J173, 0)</f>
        <v>0</v>
      </c>
      <c r="K427" s="1363">
        <f>IF(L$321=0, 'Adjustment for previous period'!K173, 0)</f>
        <v>0</v>
      </c>
      <c r="L427" s="1363">
        <f>IF(M$321=0, 'Adjustment for previous period'!L173, 0)</f>
        <v>0</v>
      </c>
      <c r="M427" s="1363">
        <f>IF(N$321=0, 'Adjustment for previous period'!M173, 0)</f>
        <v>0</v>
      </c>
      <c r="N427" s="1363">
        <f>IF(O$321=0, 'Adjustment for previous period'!N173, 0)</f>
        <v>2.8826643246101473</v>
      </c>
      <c r="O427" s="1363">
        <f>IF(P$321=0, 'Adjustment for previous period'!O173, 0)</f>
        <v>0</v>
      </c>
      <c r="P427" s="1363">
        <f>IF(Q$321=0, 'Adjustment for previous period'!P173, 0)</f>
        <v>0</v>
      </c>
      <c r="Q427" s="1363">
        <f>IF(R$321=0, 'Adjustment for previous period'!Q173, 0)</f>
        <v>0</v>
      </c>
      <c r="R427" s="248"/>
      <c r="S427" s="71"/>
      <c r="T427" s="71"/>
      <c r="U427" s="71"/>
      <c r="V427" s="71"/>
      <c r="W427" s="71"/>
      <c r="X427" s="71"/>
      <c r="Y427" s="71"/>
      <c r="Z427" s="71"/>
      <c r="AA427" s="152"/>
    </row>
    <row r="428" spans="1:27" ht="12" hidden="1" customHeight="1" outlineLevel="1">
      <c r="A428" s="3"/>
      <c r="B428" s="3"/>
      <c r="C428" s="3"/>
      <c r="D428" s="133" t="str">
        <f>Asset3</f>
        <v>Meters</v>
      </c>
      <c r="E428" s="3"/>
      <c r="F428" s="3"/>
      <c r="G428" s="248"/>
      <c r="H428" s="1341"/>
      <c r="I428" s="1363">
        <f>IF(J$321=0, 'Adjustment for previous period'!I175, 0)</f>
        <v>0</v>
      </c>
      <c r="J428" s="1363">
        <f>IF(K$321=0, 'Adjustment for previous period'!J175, 0)</f>
        <v>0</v>
      </c>
      <c r="K428" s="1363">
        <f>IF(L$321=0, 'Adjustment for previous period'!K175, 0)</f>
        <v>0</v>
      </c>
      <c r="L428" s="1363">
        <f>IF(M$321=0, 'Adjustment for previous period'!L175, 0)</f>
        <v>0</v>
      </c>
      <c r="M428" s="1363">
        <f>IF(N$321=0, 'Adjustment for previous period'!M175, 0)</f>
        <v>0</v>
      </c>
      <c r="N428" s="1363">
        <f>IF(O$321=0, 'Adjustment for previous period'!N175, 0)</f>
        <v>1.3238635262671046</v>
      </c>
      <c r="O428" s="1363">
        <f>IF(P$321=0, 'Adjustment for previous period'!O175, 0)</f>
        <v>0</v>
      </c>
      <c r="P428" s="1363">
        <f>IF(Q$321=0, 'Adjustment for previous period'!P175, 0)</f>
        <v>0</v>
      </c>
      <c r="Q428" s="1363">
        <f>IF(R$321=0, 'Adjustment for previous period'!Q175, 0)</f>
        <v>0</v>
      </c>
      <c r="R428" s="248"/>
      <c r="S428" s="4"/>
      <c r="T428" s="4"/>
      <c r="U428" s="4"/>
      <c r="V428" s="4"/>
      <c r="W428" s="4"/>
      <c r="X428" s="4"/>
      <c r="Y428" s="4"/>
      <c r="Z428" s="4"/>
      <c r="AA428" s="152"/>
    </row>
    <row r="429" spans="1:27" ht="12" hidden="1" customHeight="1" outlineLevel="1">
      <c r="A429" s="3"/>
      <c r="B429" s="3"/>
      <c r="C429" s="3"/>
      <c r="D429" s="133" t="str">
        <f>Asset4</f>
        <v>Telemetry</v>
      </c>
      <c r="E429" s="3"/>
      <c r="F429" s="3"/>
      <c r="G429" s="248"/>
      <c r="H429" s="1341"/>
      <c r="I429" s="1363">
        <f>IF(J$321=0, 'Adjustment for previous period'!I177, 0)</f>
        <v>0</v>
      </c>
      <c r="J429" s="1363">
        <f>IF(K$321=0, 'Adjustment for previous period'!J177, 0)</f>
        <v>0</v>
      </c>
      <c r="K429" s="1363">
        <f>IF(L$321=0, 'Adjustment for previous period'!K177, 0)</f>
        <v>0</v>
      </c>
      <c r="L429" s="1363">
        <f>IF(M$321=0, 'Adjustment for previous period'!L177, 0)</f>
        <v>0</v>
      </c>
      <c r="M429" s="1363">
        <f>IF(N$321=0, 'Adjustment for previous period'!M177, 0)</f>
        <v>0</v>
      </c>
      <c r="N429" s="1363">
        <f>IF(O$321=0, 'Adjustment for previous period'!N177, 0)</f>
        <v>0.27230907910360974</v>
      </c>
      <c r="O429" s="1363">
        <f>IF(P$321=0, 'Adjustment for previous period'!O177, 0)</f>
        <v>0</v>
      </c>
      <c r="P429" s="1363">
        <f>IF(Q$321=0, 'Adjustment for previous period'!P177, 0)</f>
        <v>0</v>
      </c>
      <c r="Q429" s="1363">
        <f>IF(R$321=0, 'Adjustment for previous period'!Q177, 0)</f>
        <v>0</v>
      </c>
      <c r="R429" s="248"/>
      <c r="S429" s="4"/>
      <c r="T429" s="4"/>
      <c r="U429" s="4"/>
      <c r="V429" s="4"/>
      <c r="W429" s="4"/>
      <c r="X429" s="4"/>
      <c r="Y429" s="4"/>
      <c r="Z429" s="4"/>
      <c r="AA429" s="152"/>
    </row>
    <row r="430" spans="1:27" ht="12" hidden="1" customHeight="1" outlineLevel="1">
      <c r="A430" s="3"/>
      <c r="B430" s="3"/>
      <c r="C430" s="3"/>
      <c r="D430" s="133" t="str">
        <f>Asset5</f>
        <v>IT System</v>
      </c>
      <c r="E430" s="3"/>
      <c r="F430" s="3"/>
      <c r="G430" s="248"/>
      <c r="H430" s="1341"/>
      <c r="I430" s="1363">
        <f>IF(J$321=0, 'Adjustment for previous period'!I179, 0)</f>
        <v>0</v>
      </c>
      <c r="J430" s="1363">
        <f>IF(K$321=0, 'Adjustment for previous period'!J179, 0)</f>
        <v>0</v>
      </c>
      <c r="K430" s="1363">
        <f>IF(L$321=0, 'Adjustment for previous period'!K179, 0)</f>
        <v>0</v>
      </c>
      <c r="L430" s="1363">
        <f>IF(M$321=0, 'Adjustment for previous period'!L179, 0)</f>
        <v>0</v>
      </c>
      <c r="M430" s="1363">
        <f>IF(N$321=0, 'Adjustment for previous period'!M179, 0)</f>
        <v>0</v>
      </c>
      <c r="N430" s="1363">
        <f>IF(O$321=0, 'Adjustment for previous period'!N179, 0)</f>
        <v>1.9885083746762247</v>
      </c>
      <c r="O430" s="1363">
        <f>IF(P$321=0, 'Adjustment for previous period'!O179, 0)</f>
        <v>0</v>
      </c>
      <c r="P430" s="1363">
        <f>IF(Q$321=0, 'Adjustment for previous period'!P179, 0)</f>
        <v>0</v>
      </c>
      <c r="Q430" s="1363">
        <f>IF(R$321=0, 'Adjustment for previous period'!Q179, 0)</f>
        <v>0</v>
      </c>
      <c r="R430" s="248"/>
      <c r="S430" s="4"/>
      <c r="T430" s="4"/>
      <c r="U430" s="4"/>
      <c r="V430" s="4"/>
      <c r="W430" s="4"/>
      <c r="X430" s="4"/>
      <c r="Y430" s="4"/>
      <c r="Z430" s="4"/>
      <c r="AA430" s="152"/>
    </row>
    <row r="431" spans="1:27" hidden="1" outlineLevel="1">
      <c r="A431" s="3"/>
      <c r="B431" s="3"/>
      <c r="C431" s="3"/>
      <c r="D431" s="133" t="str">
        <f>Asset6</f>
        <v>Other Distribution System Equipment</v>
      </c>
      <c r="E431" s="3"/>
      <c r="F431" s="3"/>
      <c r="G431" s="248"/>
      <c r="H431" s="1341"/>
      <c r="I431" s="1363">
        <f>IF(J$321=0, 'Adjustment for previous period'!I181, 0)</f>
        <v>0</v>
      </c>
      <c r="J431" s="1363">
        <f>IF(K$321=0, 'Adjustment for previous period'!J181, 0)</f>
        <v>0</v>
      </c>
      <c r="K431" s="1363">
        <f>IF(L$321=0, 'Adjustment for previous period'!K181, 0)</f>
        <v>0</v>
      </c>
      <c r="L431" s="1363">
        <f>IF(M$321=0, 'Adjustment for previous period'!L181, 0)</f>
        <v>0</v>
      </c>
      <c r="M431" s="1363">
        <f>IF(N$321=0, 'Adjustment for previous period'!M181, 0)</f>
        <v>0</v>
      </c>
      <c r="N431" s="1363">
        <f>IF(O$321=0, 'Adjustment for previous period'!N181, 0)</f>
        <v>0.57316369314315885</v>
      </c>
      <c r="O431" s="1363">
        <f>IF(P$321=0, 'Adjustment for previous period'!O181, 0)</f>
        <v>0</v>
      </c>
      <c r="P431" s="1363">
        <f>IF(Q$321=0, 'Adjustment for previous period'!P181, 0)</f>
        <v>0</v>
      </c>
      <c r="Q431" s="1363">
        <f>IF(R$321=0, 'Adjustment for previous period'!Q181, 0)</f>
        <v>0</v>
      </c>
      <c r="R431" s="248"/>
      <c r="S431" s="4"/>
      <c r="T431" s="4"/>
      <c r="U431" s="4"/>
      <c r="V431" s="4"/>
      <c r="W431" s="4"/>
      <c r="X431" s="4"/>
      <c r="Y431" s="4"/>
      <c r="Z431" s="4"/>
      <c r="AA431" s="152"/>
    </row>
    <row r="432" spans="1:27" hidden="1" outlineLevel="1">
      <c r="A432" s="3"/>
      <c r="B432" s="3"/>
      <c r="C432" s="3"/>
      <c r="D432" s="133" t="str">
        <f>Asset7</f>
        <v>Other</v>
      </c>
      <c r="E432" s="3"/>
      <c r="F432" s="3"/>
      <c r="G432" s="248"/>
      <c r="H432" s="1341"/>
      <c r="I432" s="1363">
        <f>IF(J$321=0, 'Adjustment for previous period'!I183, 0)</f>
        <v>0</v>
      </c>
      <c r="J432" s="1363">
        <f>IF(K$321=0, 'Adjustment for previous period'!J183, 0)</f>
        <v>0</v>
      </c>
      <c r="K432" s="1363">
        <f>IF(L$321=0, 'Adjustment for previous period'!K183, 0)</f>
        <v>0</v>
      </c>
      <c r="L432" s="1363">
        <f>IF(M$321=0, 'Adjustment for previous period'!L183, 0)</f>
        <v>0</v>
      </c>
      <c r="M432" s="1363">
        <f>IF(N$321=0, 'Adjustment for previous period'!M183, 0)</f>
        <v>0</v>
      </c>
      <c r="N432" s="1363">
        <f>IF(O$321=0, 'Adjustment for previous period'!N183, 0)</f>
        <v>0</v>
      </c>
      <c r="O432" s="1363">
        <f>IF(P$321=0, 'Adjustment for previous period'!O183, 0)</f>
        <v>0</v>
      </c>
      <c r="P432" s="1363">
        <f>IF(Q$321=0, 'Adjustment for previous period'!P183, 0)</f>
        <v>0</v>
      </c>
      <c r="Q432" s="1363">
        <f>IF(R$321=0, 'Adjustment for previous period'!Q183, 0)</f>
        <v>0</v>
      </c>
      <c r="R432" s="248"/>
      <c r="S432" s="3"/>
      <c r="T432" s="3"/>
      <c r="U432" s="3"/>
      <c r="V432" s="3"/>
      <c r="W432" s="3"/>
      <c r="X432" s="3"/>
      <c r="Y432" s="3"/>
      <c r="Z432" s="3"/>
      <c r="AA432" s="152"/>
    </row>
    <row r="433" spans="1:27" hidden="1" outlineLevel="1">
      <c r="A433" s="3"/>
      <c r="B433" s="3"/>
      <c r="C433" s="3"/>
      <c r="D433" s="133">
        <f>Asset8</f>
        <v>0</v>
      </c>
      <c r="E433" s="3"/>
      <c r="F433" s="3"/>
      <c r="G433" s="248"/>
      <c r="H433" s="1341"/>
      <c r="I433" s="1363">
        <f>IF(J$321=0, 'Adjustment for previous period'!I185, 0)</f>
        <v>0</v>
      </c>
      <c r="J433" s="1363">
        <f>IF(K$321=0, 'Adjustment for previous period'!J185, 0)</f>
        <v>0</v>
      </c>
      <c r="K433" s="1363">
        <f>IF(L$321=0, 'Adjustment for previous period'!K185, 0)</f>
        <v>0</v>
      </c>
      <c r="L433" s="1363">
        <f>IF(M$321=0, 'Adjustment for previous period'!L185, 0)</f>
        <v>0</v>
      </c>
      <c r="M433" s="1363">
        <f>IF(N$321=0, 'Adjustment for previous period'!M185, 0)</f>
        <v>0</v>
      </c>
      <c r="N433" s="1363">
        <f>IF(O$321=0, 'Adjustment for previous period'!N185, 0)</f>
        <v>0</v>
      </c>
      <c r="O433" s="1363">
        <f>IF(P$321=0, 'Adjustment for previous period'!O185, 0)</f>
        <v>0</v>
      </c>
      <c r="P433" s="1363">
        <f>IF(Q$321=0, 'Adjustment for previous period'!P185, 0)</f>
        <v>0</v>
      </c>
      <c r="Q433" s="1363">
        <f>IF(R$321=0, 'Adjustment for previous period'!Q185, 0)</f>
        <v>0</v>
      </c>
      <c r="R433" s="248"/>
      <c r="S433" s="3"/>
      <c r="T433" s="3"/>
      <c r="U433" s="3"/>
      <c r="V433" s="3"/>
      <c r="W433" s="3"/>
      <c r="X433" s="3"/>
      <c r="Y433" s="3"/>
      <c r="Z433" s="3"/>
      <c r="AA433" s="152"/>
    </row>
    <row r="434" spans="1:27" hidden="1" outlineLevel="1">
      <c r="A434" s="3"/>
      <c r="B434" s="3"/>
      <c r="C434" s="3"/>
      <c r="D434" s="133">
        <f>Asset9</f>
        <v>0</v>
      </c>
      <c r="E434" s="3"/>
      <c r="F434" s="3"/>
      <c r="G434" s="248"/>
      <c r="H434" s="1341"/>
      <c r="I434" s="1363">
        <f>IF(J$321=0, 'Adjustment for previous period'!I187, 0)</f>
        <v>0</v>
      </c>
      <c r="J434" s="1363">
        <f>IF(K$321=0, 'Adjustment for previous period'!J187, 0)</f>
        <v>0</v>
      </c>
      <c r="K434" s="1363">
        <f>IF(L$321=0, 'Adjustment for previous period'!K187, 0)</f>
        <v>0</v>
      </c>
      <c r="L434" s="1363">
        <f>IF(M$321=0, 'Adjustment for previous period'!L187, 0)</f>
        <v>0</v>
      </c>
      <c r="M434" s="1363">
        <f>IF(N$321=0, 'Adjustment for previous period'!M187, 0)</f>
        <v>0</v>
      </c>
      <c r="N434" s="1363">
        <f>IF(O$321=0, 'Adjustment for previous period'!N187, 0)</f>
        <v>0</v>
      </c>
      <c r="O434" s="1363">
        <f>IF(P$321=0, 'Adjustment for previous period'!O187, 0)</f>
        <v>0</v>
      </c>
      <c r="P434" s="1363">
        <f>IF(Q$321=0, 'Adjustment for previous period'!P187, 0)</f>
        <v>0</v>
      </c>
      <c r="Q434" s="1363">
        <f>IF(R$321=0, 'Adjustment for previous period'!Q187, 0)</f>
        <v>0</v>
      </c>
      <c r="R434" s="248"/>
      <c r="S434" s="3"/>
      <c r="T434" s="3"/>
      <c r="U434" s="3"/>
      <c r="V434" s="3"/>
      <c r="W434" s="3"/>
      <c r="X434" s="3"/>
      <c r="Y434" s="3"/>
      <c r="Z434" s="3"/>
      <c r="AA434" s="152"/>
    </row>
    <row r="435" spans="1:27" hidden="1" outlineLevel="1">
      <c r="A435" s="3"/>
      <c r="B435" s="3"/>
      <c r="C435" s="3"/>
      <c r="D435" s="133">
        <f>Asset10</f>
        <v>0</v>
      </c>
      <c r="E435" s="3"/>
      <c r="F435" s="3"/>
      <c r="G435" s="248"/>
      <c r="H435" s="1341"/>
      <c r="I435" s="1363">
        <f>IF(J$321=0, 'Adjustment for previous period'!I189, 0)</f>
        <v>0</v>
      </c>
      <c r="J435" s="1363">
        <f>IF(K$321=0, 'Adjustment for previous period'!J189, 0)</f>
        <v>0</v>
      </c>
      <c r="K435" s="1363">
        <f>IF(L$321=0, 'Adjustment for previous period'!K189, 0)</f>
        <v>0</v>
      </c>
      <c r="L435" s="1363">
        <f>IF(M$321=0, 'Adjustment for previous period'!L189, 0)</f>
        <v>0</v>
      </c>
      <c r="M435" s="1363">
        <f>IF(N$321=0, 'Adjustment for previous period'!M189, 0)</f>
        <v>0</v>
      </c>
      <c r="N435" s="1363">
        <f>IF(O$321=0, 'Adjustment for previous period'!N189, 0)</f>
        <v>0</v>
      </c>
      <c r="O435" s="1363">
        <f>IF(P$321=0, 'Adjustment for previous period'!O189, 0)</f>
        <v>0</v>
      </c>
      <c r="P435" s="1363">
        <f>IF(Q$321=0, 'Adjustment for previous period'!P189, 0)</f>
        <v>0</v>
      </c>
      <c r="Q435" s="1363">
        <f>IF(R$321=0, 'Adjustment for previous period'!Q189, 0)</f>
        <v>0</v>
      </c>
      <c r="R435" s="248"/>
      <c r="S435" s="3"/>
      <c r="T435" s="3"/>
      <c r="U435" s="3"/>
      <c r="V435" s="3"/>
      <c r="W435" s="3"/>
      <c r="X435" s="3"/>
      <c r="Y435" s="3"/>
      <c r="Z435" s="3"/>
      <c r="AA435" s="152"/>
    </row>
    <row r="436" spans="1:27" hidden="1" outlineLevel="1">
      <c r="A436" s="3"/>
      <c r="B436" s="3"/>
      <c r="C436" s="3"/>
      <c r="D436" s="133">
        <f>Asset11</f>
        <v>0</v>
      </c>
      <c r="E436" s="3"/>
      <c r="F436" s="3"/>
      <c r="G436" s="248"/>
      <c r="H436" s="1341"/>
      <c r="I436" s="1363">
        <f>IF(J$321=0, 'Adjustment for previous period'!I191, 0)</f>
        <v>0</v>
      </c>
      <c r="J436" s="1363">
        <f>IF(K$321=0, 'Adjustment for previous period'!J191, 0)</f>
        <v>0</v>
      </c>
      <c r="K436" s="1363">
        <f>IF(L$321=0, 'Adjustment for previous period'!K191, 0)</f>
        <v>0</v>
      </c>
      <c r="L436" s="1363">
        <f>IF(M$321=0, 'Adjustment for previous period'!L191, 0)</f>
        <v>0</v>
      </c>
      <c r="M436" s="1363">
        <f>IF(N$321=0, 'Adjustment for previous period'!M191, 0)</f>
        <v>0</v>
      </c>
      <c r="N436" s="1363">
        <f>IF(O$321=0, 'Adjustment for previous period'!N191, 0)</f>
        <v>0</v>
      </c>
      <c r="O436" s="1363">
        <f>IF(P$321=0, 'Adjustment for previous period'!O191, 0)</f>
        <v>0</v>
      </c>
      <c r="P436" s="1363">
        <f>IF(Q$321=0, 'Adjustment for previous period'!P191, 0)</f>
        <v>0</v>
      </c>
      <c r="Q436" s="1363">
        <f>IF(R$321=0, 'Adjustment for previous period'!Q191, 0)</f>
        <v>0</v>
      </c>
      <c r="R436" s="248"/>
      <c r="S436" s="3"/>
      <c r="T436" s="3"/>
      <c r="U436" s="3"/>
      <c r="V436" s="3"/>
      <c r="W436" s="3"/>
      <c r="X436" s="3"/>
      <c r="Y436" s="3"/>
      <c r="Z436" s="3"/>
      <c r="AA436" s="152"/>
    </row>
    <row r="437" spans="1:27" hidden="1" outlineLevel="1">
      <c r="A437" s="3"/>
      <c r="B437" s="3"/>
      <c r="C437" s="3"/>
      <c r="D437" s="133">
        <f>Asset12</f>
        <v>0</v>
      </c>
      <c r="E437" s="3"/>
      <c r="F437" s="3"/>
      <c r="G437" s="248"/>
      <c r="H437" s="1341"/>
      <c r="I437" s="1363">
        <f>IF(J$321=0, 'Adjustment for previous period'!I193, 0)</f>
        <v>0</v>
      </c>
      <c r="J437" s="1363">
        <f>IF(K$321=0, 'Adjustment for previous period'!J193, 0)</f>
        <v>0</v>
      </c>
      <c r="K437" s="1363">
        <f>IF(L$321=0, 'Adjustment for previous period'!K193, 0)</f>
        <v>0</v>
      </c>
      <c r="L437" s="1363">
        <f>IF(M$321=0, 'Adjustment for previous period'!L193, 0)</f>
        <v>0</v>
      </c>
      <c r="M437" s="1363">
        <f>IF(N$321=0, 'Adjustment for previous period'!M193, 0)</f>
        <v>0</v>
      </c>
      <c r="N437" s="1363">
        <f>IF(O$321=0, 'Adjustment for previous period'!N193, 0)</f>
        <v>0</v>
      </c>
      <c r="O437" s="1363">
        <f>IF(P$321=0, 'Adjustment for previous period'!O193, 0)</f>
        <v>0</v>
      </c>
      <c r="P437" s="1363">
        <f>IF(Q$321=0, 'Adjustment for previous period'!P193, 0)</f>
        <v>0</v>
      </c>
      <c r="Q437" s="1363">
        <f>IF(R$321=0, 'Adjustment for previous period'!Q193, 0)</f>
        <v>0</v>
      </c>
      <c r="R437" s="248"/>
      <c r="S437" s="3"/>
      <c r="T437" s="3"/>
      <c r="U437" s="3"/>
      <c r="V437" s="3"/>
      <c r="W437" s="3"/>
      <c r="X437" s="3"/>
      <c r="Y437" s="3"/>
      <c r="Z437" s="3"/>
      <c r="AA437" s="152"/>
    </row>
    <row r="438" spans="1:27" hidden="1" outlineLevel="1">
      <c r="A438" s="3"/>
      <c r="B438" s="3"/>
      <c r="C438" s="3"/>
      <c r="D438" s="133">
        <f>Asset13</f>
        <v>0</v>
      </c>
      <c r="E438" s="3"/>
      <c r="F438" s="3"/>
      <c r="G438" s="248"/>
      <c r="H438" s="1341"/>
      <c r="I438" s="1363">
        <f>IF(J$321=0, 'Adjustment for previous period'!I195, 0)</f>
        <v>0</v>
      </c>
      <c r="J438" s="1363">
        <f>IF(K$321=0, 'Adjustment for previous period'!J195, 0)</f>
        <v>0</v>
      </c>
      <c r="K438" s="1363">
        <f>IF(L$321=0, 'Adjustment for previous period'!K195, 0)</f>
        <v>0</v>
      </c>
      <c r="L438" s="1363">
        <f>IF(M$321=0, 'Adjustment for previous period'!L195, 0)</f>
        <v>0</v>
      </c>
      <c r="M438" s="1363">
        <f>IF(N$321=0, 'Adjustment for previous period'!M195, 0)</f>
        <v>0</v>
      </c>
      <c r="N438" s="1363">
        <f>IF(O$321=0, 'Adjustment for previous period'!N195, 0)</f>
        <v>0</v>
      </c>
      <c r="O438" s="1363">
        <f>IF(P$321=0, 'Adjustment for previous period'!O195, 0)</f>
        <v>0</v>
      </c>
      <c r="P438" s="1363">
        <f>IF(Q$321=0, 'Adjustment for previous period'!P195, 0)</f>
        <v>0</v>
      </c>
      <c r="Q438" s="1363">
        <f>IF(R$321=0, 'Adjustment for previous period'!Q195, 0)</f>
        <v>0</v>
      </c>
      <c r="R438" s="248"/>
      <c r="S438" s="3"/>
      <c r="T438" s="3"/>
      <c r="U438" s="3"/>
      <c r="V438" s="3"/>
      <c r="W438" s="3"/>
      <c r="X438" s="3"/>
      <c r="Y438" s="3"/>
      <c r="Z438" s="3"/>
      <c r="AA438" s="152"/>
    </row>
    <row r="439" spans="1:27" hidden="1" outlineLevel="1">
      <c r="A439" s="3"/>
      <c r="B439" s="3"/>
      <c r="C439" s="3"/>
      <c r="D439" s="133">
        <f>Asset14</f>
        <v>0</v>
      </c>
      <c r="E439" s="3"/>
      <c r="F439" s="3"/>
      <c r="G439" s="248"/>
      <c r="H439" s="1341"/>
      <c r="I439" s="1363">
        <f>IF(J$321=0, 'Adjustment for previous period'!I197, 0)</f>
        <v>0</v>
      </c>
      <c r="J439" s="1363">
        <f>IF(K$321=0, 'Adjustment for previous period'!J197, 0)</f>
        <v>0</v>
      </c>
      <c r="K439" s="1363">
        <f>IF(L$321=0, 'Adjustment for previous period'!K197, 0)</f>
        <v>0</v>
      </c>
      <c r="L439" s="1363">
        <f>IF(M$321=0, 'Adjustment for previous period'!L197, 0)</f>
        <v>0</v>
      </c>
      <c r="M439" s="1363">
        <f>IF(N$321=0, 'Adjustment for previous period'!M197, 0)</f>
        <v>0</v>
      </c>
      <c r="N439" s="1363">
        <f>IF(O$321=0, 'Adjustment for previous period'!N197, 0)</f>
        <v>0</v>
      </c>
      <c r="O439" s="1363">
        <f>IF(P$321=0, 'Adjustment for previous period'!O197, 0)</f>
        <v>0</v>
      </c>
      <c r="P439" s="1363">
        <f>IF(Q$321=0, 'Adjustment for previous period'!P197, 0)</f>
        <v>0</v>
      </c>
      <c r="Q439" s="1363">
        <f>IF(R$321=0, 'Adjustment for previous period'!Q197, 0)</f>
        <v>0</v>
      </c>
      <c r="R439" s="248"/>
      <c r="S439" s="3"/>
      <c r="T439" s="3"/>
      <c r="U439" s="3"/>
      <c r="V439" s="3"/>
      <c r="W439" s="3"/>
      <c r="X439" s="3"/>
      <c r="Y439" s="3"/>
      <c r="Z439" s="3"/>
      <c r="AA439" s="152"/>
    </row>
    <row r="440" spans="1:27" hidden="1" outlineLevel="1">
      <c r="A440" s="3"/>
      <c r="B440" s="3"/>
      <c r="C440" s="3"/>
      <c r="D440" s="133">
        <f>Asset15</f>
        <v>0</v>
      </c>
      <c r="E440" s="3"/>
      <c r="F440" s="3"/>
      <c r="G440" s="248"/>
      <c r="H440" s="1341"/>
      <c r="I440" s="1363">
        <f>IF(J$321=0, 'Adjustment for previous period'!I199, 0)</f>
        <v>0</v>
      </c>
      <c r="J440" s="1363">
        <f>IF(K$321=0, 'Adjustment for previous period'!J199, 0)</f>
        <v>0</v>
      </c>
      <c r="K440" s="1363">
        <f>IF(L$321=0, 'Adjustment for previous period'!K199, 0)</f>
        <v>0</v>
      </c>
      <c r="L440" s="1363">
        <f>IF(M$321=0, 'Adjustment for previous period'!L199, 0)</f>
        <v>0</v>
      </c>
      <c r="M440" s="1363">
        <f>IF(N$321=0, 'Adjustment for previous period'!M199, 0)</f>
        <v>0</v>
      </c>
      <c r="N440" s="1363">
        <f>IF(O$321=0, 'Adjustment for previous period'!N199, 0)</f>
        <v>0</v>
      </c>
      <c r="O440" s="1363">
        <f>IF(P$321=0, 'Adjustment for previous period'!O199, 0)</f>
        <v>0</v>
      </c>
      <c r="P440" s="1363">
        <f>IF(Q$321=0, 'Adjustment for previous period'!P199, 0)</f>
        <v>0</v>
      </c>
      <c r="Q440" s="1363">
        <f>IF(R$321=0, 'Adjustment for previous period'!Q199, 0)</f>
        <v>0</v>
      </c>
      <c r="R440" s="248"/>
      <c r="S440" s="3"/>
      <c r="T440" s="3"/>
      <c r="U440" s="3"/>
      <c r="V440" s="3"/>
      <c r="W440" s="3"/>
      <c r="X440" s="3"/>
      <c r="Y440" s="3"/>
      <c r="Z440" s="3"/>
      <c r="AA440" s="152"/>
    </row>
    <row r="441" spans="1:27" hidden="1" outlineLevel="1">
      <c r="A441" s="3"/>
      <c r="B441" s="3"/>
      <c r="C441" s="3"/>
      <c r="D441" s="133">
        <f>Asset16</f>
        <v>0</v>
      </c>
      <c r="E441" s="3"/>
      <c r="F441" s="3"/>
      <c r="G441" s="248"/>
      <c r="H441" s="1341"/>
      <c r="I441" s="1363">
        <f>IF(J$321=0, 'Adjustment for previous period'!I201, 0)</f>
        <v>0</v>
      </c>
      <c r="J441" s="1363">
        <f>IF(K$321=0, 'Adjustment for previous period'!J201, 0)</f>
        <v>0</v>
      </c>
      <c r="K441" s="1363">
        <f>IF(L$321=0, 'Adjustment for previous period'!K201, 0)</f>
        <v>0</v>
      </c>
      <c r="L441" s="1363">
        <f>IF(M$321=0, 'Adjustment for previous period'!L201, 0)</f>
        <v>0</v>
      </c>
      <c r="M441" s="1363">
        <f>IF(N$321=0, 'Adjustment for previous period'!M201, 0)</f>
        <v>0</v>
      </c>
      <c r="N441" s="1363">
        <f>IF(O$321=0, 'Adjustment for previous period'!N201, 0)</f>
        <v>0</v>
      </c>
      <c r="O441" s="1363">
        <f>IF(P$321=0, 'Adjustment for previous period'!O201, 0)</f>
        <v>0</v>
      </c>
      <c r="P441" s="1363">
        <f>IF(Q$321=0, 'Adjustment for previous period'!P201, 0)</f>
        <v>0</v>
      </c>
      <c r="Q441" s="1363">
        <f>IF(R$321=0, 'Adjustment for previous period'!Q201, 0)</f>
        <v>0</v>
      </c>
      <c r="R441" s="248"/>
      <c r="S441" s="3"/>
      <c r="T441" s="3"/>
      <c r="U441" s="3"/>
      <c r="V441" s="3"/>
      <c r="W441" s="3"/>
      <c r="X441" s="3"/>
      <c r="Y441" s="3"/>
      <c r="Z441" s="3"/>
      <c r="AA441" s="152"/>
    </row>
    <row r="442" spans="1:27" hidden="1" outlineLevel="1">
      <c r="A442" s="3"/>
      <c r="B442" s="3"/>
      <c r="C442" s="3"/>
      <c r="D442" s="133">
        <f>Asset17</f>
        <v>0</v>
      </c>
      <c r="E442" s="3"/>
      <c r="F442" s="3"/>
      <c r="G442" s="248"/>
      <c r="H442" s="1341"/>
      <c r="I442" s="1363">
        <f>IF(J$321=0, 'Adjustment for previous period'!I203, 0)</f>
        <v>0</v>
      </c>
      <c r="J442" s="1363">
        <f>IF(K$321=0, 'Adjustment for previous period'!J203, 0)</f>
        <v>0</v>
      </c>
      <c r="K442" s="1363">
        <f>IF(L$321=0, 'Adjustment for previous period'!K203, 0)</f>
        <v>0</v>
      </c>
      <c r="L442" s="1363">
        <f>IF(M$321=0, 'Adjustment for previous period'!L203, 0)</f>
        <v>0</v>
      </c>
      <c r="M442" s="1363">
        <f>IF(N$321=0, 'Adjustment for previous period'!M203, 0)</f>
        <v>0</v>
      </c>
      <c r="N442" s="1363">
        <f>IF(O$321=0, 'Adjustment for previous period'!N203, 0)</f>
        <v>0</v>
      </c>
      <c r="O442" s="1363">
        <f>IF(P$321=0, 'Adjustment for previous period'!O203, 0)</f>
        <v>0</v>
      </c>
      <c r="P442" s="1363">
        <f>IF(Q$321=0, 'Adjustment for previous period'!P203, 0)</f>
        <v>0</v>
      </c>
      <c r="Q442" s="1363">
        <f>IF(R$321=0, 'Adjustment for previous period'!Q203, 0)</f>
        <v>0</v>
      </c>
      <c r="R442" s="248"/>
      <c r="S442" s="3"/>
      <c r="T442" s="3"/>
      <c r="U442" s="3"/>
      <c r="V442" s="3"/>
      <c r="W442" s="3"/>
      <c r="X442" s="3"/>
      <c r="Y442" s="3"/>
      <c r="Z442" s="3"/>
      <c r="AA442" s="152"/>
    </row>
    <row r="443" spans="1:27" hidden="1" outlineLevel="1">
      <c r="A443" s="3"/>
      <c r="B443" s="3"/>
      <c r="C443" s="3"/>
      <c r="D443" s="133">
        <f>Asset18</f>
        <v>0</v>
      </c>
      <c r="E443" s="3"/>
      <c r="F443" s="3"/>
      <c r="G443" s="248"/>
      <c r="H443" s="1341"/>
      <c r="I443" s="1363">
        <f>IF(J$321=0, 'Adjustment for previous period'!I205, 0)</f>
        <v>0</v>
      </c>
      <c r="J443" s="1363">
        <f>IF(K$321=0, 'Adjustment for previous period'!J205, 0)</f>
        <v>0</v>
      </c>
      <c r="K443" s="1363">
        <f>IF(L$321=0, 'Adjustment for previous period'!K205, 0)</f>
        <v>0</v>
      </c>
      <c r="L443" s="1363">
        <f>IF(M$321=0, 'Adjustment for previous period'!L205, 0)</f>
        <v>0</v>
      </c>
      <c r="M443" s="1363">
        <f>IF(N$321=0, 'Adjustment for previous period'!M205, 0)</f>
        <v>0</v>
      </c>
      <c r="N443" s="1363">
        <f>IF(O$321=0, 'Adjustment for previous period'!N205, 0)</f>
        <v>0</v>
      </c>
      <c r="O443" s="1363">
        <f>IF(P$321=0, 'Adjustment for previous period'!O205, 0)</f>
        <v>0</v>
      </c>
      <c r="P443" s="1363">
        <f>IF(Q$321=0, 'Adjustment for previous period'!P205, 0)</f>
        <v>0</v>
      </c>
      <c r="Q443" s="1363">
        <f>IF(R$321=0, 'Adjustment for previous period'!Q205, 0)</f>
        <v>0</v>
      </c>
      <c r="R443" s="248"/>
      <c r="S443" s="3"/>
      <c r="T443" s="3"/>
      <c r="U443" s="3"/>
      <c r="V443" s="3"/>
      <c r="W443" s="3"/>
      <c r="X443" s="3"/>
      <c r="Y443" s="3"/>
      <c r="Z443" s="3"/>
      <c r="AA443" s="152"/>
    </row>
    <row r="444" spans="1:27" hidden="1" outlineLevel="1">
      <c r="A444" s="3"/>
      <c r="B444" s="3"/>
      <c r="C444" s="3"/>
      <c r="D444" s="133">
        <f>Asset19</f>
        <v>0</v>
      </c>
      <c r="E444" s="3"/>
      <c r="F444" s="3"/>
      <c r="G444" s="248"/>
      <c r="H444" s="1341"/>
      <c r="I444" s="1363">
        <f>IF(J$321=0, 'Adjustment for previous period'!I207, 0)</f>
        <v>0</v>
      </c>
      <c r="J444" s="1363">
        <f>IF(K$321=0, 'Adjustment for previous period'!J207, 0)</f>
        <v>0</v>
      </c>
      <c r="K444" s="1363">
        <f>IF(L$321=0, 'Adjustment for previous period'!K207, 0)</f>
        <v>0</v>
      </c>
      <c r="L444" s="1363">
        <f>IF(M$321=0, 'Adjustment for previous period'!L207, 0)</f>
        <v>0</v>
      </c>
      <c r="M444" s="1363">
        <f>IF(N$321=0, 'Adjustment for previous period'!M207, 0)</f>
        <v>0</v>
      </c>
      <c r="N444" s="1363">
        <f>IF(O$321=0, 'Adjustment for previous period'!N207, 0)</f>
        <v>0</v>
      </c>
      <c r="O444" s="1363">
        <f>IF(P$321=0, 'Adjustment for previous period'!O207, 0)</f>
        <v>0</v>
      </c>
      <c r="P444" s="1363">
        <f>IF(Q$321=0, 'Adjustment for previous period'!P207, 0)</f>
        <v>0</v>
      </c>
      <c r="Q444" s="1363">
        <f>IF(R$321=0, 'Adjustment for previous period'!Q207, 0)</f>
        <v>0</v>
      </c>
      <c r="R444" s="248"/>
      <c r="S444" s="3"/>
      <c r="T444" s="3"/>
      <c r="U444" s="3"/>
      <c r="V444" s="3"/>
      <c r="W444" s="3"/>
      <c r="X444" s="3"/>
      <c r="Y444" s="3"/>
      <c r="Z444" s="3"/>
      <c r="AA444" s="152"/>
    </row>
    <row r="445" spans="1:27" hidden="1" outlineLevel="1">
      <c r="A445" s="3"/>
      <c r="B445" s="3"/>
      <c r="C445" s="3"/>
      <c r="D445" s="133">
        <f>Asset20</f>
        <v>0</v>
      </c>
      <c r="E445" s="3"/>
      <c r="F445" s="3"/>
      <c r="G445" s="248"/>
      <c r="H445" s="1341"/>
      <c r="I445" s="1363">
        <f>IF(J$321=0, 'Adjustment for previous period'!I209, 0)</f>
        <v>0</v>
      </c>
      <c r="J445" s="1363">
        <f>IF(K$321=0, 'Adjustment for previous period'!J209, 0)</f>
        <v>0</v>
      </c>
      <c r="K445" s="1363">
        <f>IF(L$321=0, 'Adjustment for previous period'!K209, 0)</f>
        <v>0</v>
      </c>
      <c r="L445" s="1363">
        <f>IF(M$321=0, 'Adjustment for previous period'!L209, 0)</f>
        <v>0</v>
      </c>
      <c r="M445" s="1363">
        <f>IF(N$321=0, 'Adjustment for previous period'!M209, 0)</f>
        <v>0</v>
      </c>
      <c r="N445" s="1363">
        <f>IF(O$321=0, 'Adjustment for previous period'!N209, 0)</f>
        <v>0</v>
      </c>
      <c r="O445" s="1363">
        <f>IF(P$321=0, 'Adjustment for previous period'!O209, 0)</f>
        <v>0</v>
      </c>
      <c r="P445" s="1363">
        <f>IF(Q$321=0, 'Adjustment for previous period'!P209, 0)</f>
        <v>0</v>
      </c>
      <c r="Q445" s="1363">
        <f>IF(R$321=0, 'Adjustment for previous period'!Q209, 0)</f>
        <v>0</v>
      </c>
      <c r="R445" s="248"/>
      <c r="S445" s="3"/>
      <c r="T445" s="3"/>
      <c r="U445" s="3"/>
      <c r="V445" s="3"/>
      <c r="W445" s="3"/>
      <c r="X445" s="3"/>
      <c r="Y445" s="3"/>
      <c r="Z445" s="3"/>
      <c r="AA445" s="152"/>
    </row>
    <row r="446" spans="1:27" hidden="1" outlineLevel="1">
      <c r="A446" s="3"/>
      <c r="B446" s="3"/>
      <c r="C446" s="3"/>
      <c r="D446" s="133">
        <f>Asset21</f>
        <v>0</v>
      </c>
      <c r="E446" s="3"/>
      <c r="F446" s="3"/>
      <c r="G446" s="248"/>
      <c r="H446" s="1341"/>
      <c r="I446" s="1363">
        <f>IF(J$321=0, 'Adjustment for previous period'!I211, 0)</f>
        <v>0</v>
      </c>
      <c r="J446" s="1363">
        <f>IF(K$321=0, 'Adjustment for previous period'!J211, 0)</f>
        <v>0</v>
      </c>
      <c r="K446" s="1363">
        <f>IF(L$321=0, 'Adjustment for previous period'!K211, 0)</f>
        <v>0</v>
      </c>
      <c r="L446" s="1363">
        <f>IF(M$321=0, 'Adjustment for previous period'!L211, 0)</f>
        <v>0</v>
      </c>
      <c r="M446" s="1363">
        <f>IF(N$321=0, 'Adjustment for previous period'!M211, 0)</f>
        <v>0</v>
      </c>
      <c r="N446" s="1363">
        <f>IF(O$321=0, 'Adjustment for previous period'!N211, 0)</f>
        <v>0</v>
      </c>
      <c r="O446" s="1363">
        <f>IF(P$321=0, 'Adjustment for previous period'!O211, 0)</f>
        <v>0</v>
      </c>
      <c r="P446" s="1363">
        <f>IF(Q$321=0, 'Adjustment for previous period'!P211, 0)</f>
        <v>0</v>
      </c>
      <c r="Q446" s="1363">
        <f>IF(R$321=0, 'Adjustment for previous period'!Q211, 0)</f>
        <v>0</v>
      </c>
      <c r="R446" s="248"/>
      <c r="S446" s="3"/>
      <c r="T446" s="3"/>
      <c r="U446" s="3"/>
      <c r="V446" s="3"/>
      <c r="W446" s="3"/>
      <c r="X446" s="3"/>
      <c r="Y446" s="3"/>
      <c r="Z446" s="3"/>
      <c r="AA446" s="152"/>
    </row>
    <row r="447" spans="1:27" hidden="1" outlineLevel="1">
      <c r="A447" s="3"/>
      <c r="B447" s="3"/>
      <c r="C447" s="3"/>
      <c r="D447" s="133">
        <f>Asset22</f>
        <v>0</v>
      </c>
      <c r="E447" s="3"/>
      <c r="F447" s="3"/>
      <c r="G447" s="248"/>
      <c r="H447" s="1341"/>
      <c r="I447" s="1363">
        <f>IF(J$321=0, 'Adjustment for previous period'!I213, 0)</f>
        <v>0</v>
      </c>
      <c r="J447" s="1363">
        <f>IF(K$321=0, 'Adjustment for previous period'!J213, 0)</f>
        <v>0</v>
      </c>
      <c r="K447" s="1363">
        <f>IF(L$321=0, 'Adjustment for previous period'!K213, 0)</f>
        <v>0</v>
      </c>
      <c r="L447" s="1363">
        <f>IF(M$321=0, 'Adjustment for previous period'!L213, 0)</f>
        <v>0</v>
      </c>
      <c r="M447" s="1363">
        <f>IF(N$321=0, 'Adjustment for previous period'!M213, 0)</f>
        <v>0</v>
      </c>
      <c r="N447" s="1363">
        <f>IF(O$321=0, 'Adjustment for previous period'!N213, 0)</f>
        <v>0</v>
      </c>
      <c r="O447" s="1363">
        <f>IF(P$321=0, 'Adjustment for previous period'!O213, 0)</f>
        <v>0</v>
      </c>
      <c r="P447" s="1363">
        <f>IF(Q$321=0, 'Adjustment for previous period'!P213, 0)</f>
        <v>0</v>
      </c>
      <c r="Q447" s="1363">
        <f>IF(R$321=0, 'Adjustment for previous period'!Q213, 0)</f>
        <v>0</v>
      </c>
      <c r="R447" s="248"/>
      <c r="S447" s="3"/>
      <c r="T447" s="3"/>
      <c r="U447" s="3"/>
      <c r="V447" s="3"/>
      <c r="W447" s="3"/>
      <c r="X447" s="3"/>
      <c r="Y447" s="3"/>
      <c r="Z447" s="3"/>
      <c r="AA447" s="152"/>
    </row>
    <row r="448" spans="1:27" hidden="1" outlineLevel="1">
      <c r="A448" s="3"/>
      <c r="B448" s="3"/>
      <c r="C448" s="3"/>
      <c r="D448" s="133">
        <f>Asset23</f>
        <v>0</v>
      </c>
      <c r="E448" s="3"/>
      <c r="F448" s="3"/>
      <c r="G448" s="248"/>
      <c r="H448" s="1341"/>
      <c r="I448" s="1363">
        <f>IF(J$321=0, 'Adjustment for previous period'!I215, 0)</f>
        <v>0</v>
      </c>
      <c r="J448" s="1363">
        <f>IF(K$321=0, 'Adjustment for previous period'!J215, 0)</f>
        <v>0</v>
      </c>
      <c r="K448" s="1363">
        <f>IF(L$321=0, 'Adjustment for previous period'!K215, 0)</f>
        <v>0</v>
      </c>
      <c r="L448" s="1363">
        <f>IF(M$321=0, 'Adjustment for previous period'!L215, 0)</f>
        <v>0</v>
      </c>
      <c r="M448" s="1363">
        <f>IF(N$321=0, 'Adjustment for previous period'!M215, 0)</f>
        <v>0</v>
      </c>
      <c r="N448" s="1363">
        <f>IF(O$321=0, 'Adjustment for previous period'!N215, 0)</f>
        <v>0</v>
      </c>
      <c r="O448" s="1363">
        <f>IF(P$321=0, 'Adjustment for previous period'!O215, 0)</f>
        <v>0</v>
      </c>
      <c r="P448" s="1363">
        <f>IF(Q$321=0, 'Adjustment for previous period'!P215, 0)</f>
        <v>0</v>
      </c>
      <c r="Q448" s="1363">
        <f>IF(R$321=0, 'Adjustment for previous period'!Q215, 0)</f>
        <v>0</v>
      </c>
      <c r="R448" s="248"/>
      <c r="S448" s="3"/>
      <c r="T448" s="3"/>
      <c r="U448" s="3"/>
      <c r="V448" s="3"/>
      <c r="W448" s="3"/>
      <c r="X448" s="3"/>
      <c r="Y448" s="3"/>
      <c r="Z448" s="3"/>
      <c r="AA448" s="152"/>
    </row>
    <row r="449" spans="1:27" hidden="1" outlineLevel="1">
      <c r="A449" s="3"/>
      <c r="B449" s="3"/>
      <c r="C449" s="3"/>
      <c r="D449" s="133">
        <f>Asset24</f>
        <v>0</v>
      </c>
      <c r="E449" s="3"/>
      <c r="F449" s="3"/>
      <c r="G449" s="248"/>
      <c r="H449" s="1341"/>
      <c r="I449" s="1363">
        <f>IF(J$321=0, 'Adjustment for previous period'!I217, 0)</f>
        <v>0</v>
      </c>
      <c r="J449" s="1363">
        <f>IF(K$321=0, 'Adjustment for previous period'!J217, 0)</f>
        <v>0</v>
      </c>
      <c r="K449" s="1363">
        <f>IF(L$321=0, 'Adjustment for previous period'!K217, 0)</f>
        <v>0</v>
      </c>
      <c r="L449" s="1363">
        <f>IF(M$321=0, 'Adjustment for previous period'!L217, 0)</f>
        <v>0</v>
      </c>
      <c r="M449" s="1363">
        <f>IF(N$321=0, 'Adjustment for previous period'!M217, 0)</f>
        <v>0</v>
      </c>
      <c r="N449" s="1363">
        <f>IF(O$321=0, 'Adjustment for previous period'!N217, 0)</f>
        <v>0</v>
      </c>
      <c r="O449" s="1363">
        <f>IF(P$321=0, 'Adjustment for previous period'!O217, 0)</f>
        <v>0</v>
      </c>
      <c r="P449" s="1363">
        <f>IF(Q$321=0, 'Adjustment for previous period'!P217, 0)</f>
        <v>0</v>
      </c>
      <c r="Q449" s="1363">
        <f>IF(R$321=0, 'Adjustment for previous period'!Q217, 0)</f>
        <v>0</v>
      </c>
      <c r="R449" s="248"/>
      <c r="S449" s="3"/>
      <c r="T449" s="3"/>
      <c r="U449" s="3"/>
      <c r="V449" s="3"/>
      <c r="W449" s="3"/>
      <c r="X449" s="3"/>
      <c r="Y449" s="3"/>
      <c r="Z449" s="3"/>
      <c r="AA449" s="152"/>
    </row>
    <row r="450" spans="1:27" hidden="1" outlineLevel="1">
      <c r="A450" s="3"/>
      <c r="B450" s="3"/>
      <c r="C450" s="3"/>
      <c r="D450" s="133">
        <f>Asset25</f>
        <v>0</v>
      </c>
      <c r="E450" s="3"/>
      <c r="F450" s="3"/>
      <c r="G450" s="248"/>
      <c r="H450" s="1341"/>
      <c r="I450" s="1363">
        <f>IF(J$321=0, 'Adjustment for previous period'!I219, 0)</f>
        <v>0</v>
      </c>
      <c r="J450" s="1363">
        <f>IF(K$321=0, 'Adjustment for previous period'!J219, 0)</f>
        <v>0</v>
      </c>
      <c r="K450" s="1363">
        <f>IF(L$321=0, 'Adjustment for previous period'!K219, 0)</f>
        <v>0</v>
      </c>
      <c r="L450" s="1363">
        <f>IF(M$321=0, 'Adjustment for previous period'!L219, 0)</f>
        <v>0</v>
      </c>
      <c r="M450" s="1363">
        <f>IF(N$321=0, 'Adjustment for previous period'!M219, 0)</f>
        <v>0</v>
      </c>
      <c r="N450" s="1363">
        <f>IF(O$321=0, 'Adjustment for previous period'!N219, 0)</f>
        <v>0</v>
      </c>
      <c r="O450" s="1363">
        <f>IF(P$321=0, 'Adjustment for previous period'!O219, 0)</f>
        <v>0</v>
      </c>
      <c r="P450" s="1363">
        <f>IF(Q$321=0, 'Adjustment for previous period'!P219, 0)</f>
        <v>0</v>
      </c>
      <c r="Q450" s="1363">
        <f>IF(R$321=0, 'Adjustment for previous period'!Q219, 0)</f>
        <v>0</v>
      </c>
      <c r="R450" s="248"/>
      <c r="S450" s="3"/>
      <c r="T450" s="3"/>
      <c r="U450" s="3"/>
      <c r="V450" s="3"/>
      <c r="W450" s="3"/>
      <c r="X450" s="3"/>
      <c r="Y450" s="3"/>
      <c r="Z450" s="3"/>
      <c r="AA450" s="152"/>
    </row>
    <row r="451" spans="1:27" hidden="1" outlineLevel="1">
      <c r="A451" s="3"/>
      <c r="B451" s="3"/>
      <c r="C451" s="3"/>
      <c r="D451" s="133">
        <f>Asset26</f>
        <v>0</v>
      </c>
      <c r="E451" s="3"/>
      <c r="F451" s="3"/>
      <c r="G451" s="248"/>
      <c r="H451" s="1341"/>
      <c r="I451" s="1363">
        <f>IF(J$321=0, 'Adjustment for previous period'!I221, 0)</f>
        <v>0</v>
      </c>
      <c r="J451" s="1363">
        <f>IF(K$321=0, 'Adjustment for previous period'!J221, 0)</f>
        <v>0</v>
      </c>
      <c r="K451" s="1363">
        <f>IF(L$321=0, 'Adjustment for previous period'!K221, 0)</f>
        <v>0</v>
      </c>
      <c r="L451" s="1363">
        <f>IF(M$321=0, 'Adjustment for previous period'!L221, 0)</f>
        <v>0</v>
      </c>
      <c r="M451" s="1363">
        <f>IF(N$321=0, 'Adjustment for previous period'!M221, 0)</f>
        <v>0</v>
      </c>
      <c r="N451" s="1363">
        <f>IF(O$321=0, 'Adjustment for previous period'!N221, 0)</f>
        <v>0</v>
      </c>
      <c r="O451" s="1363">
        <f>IF(P$321=0, 'Adjustment for previous period'!O221, 0)</f>
        <v>0</v>
      </c>
      <c r="P451" s="1363">
        <f>IF(Q$321=0, 'Adjustment for previous period'!P221, 0)</f>
        <v>0</v>
      </c>
      <c r="Q451" s="1363">
        <f>IF(R$321=0, 'Adjustment for previous period'!Q221, 0)</f>
        <v>0</v>
      </c>
      <c r="R451" s="248"/>
      <c r="S451" s="3"/>
      <c r="T451" s="3"/>
      <c r="U451" s="3"/>
      <c r="V451" s="3"/>
      <c r="W451" s="3"/>
      <c r="X451" s="3"/>
      <c r="Y451" s="3"/>
      <c r="Z451" s="3"/>
      <c r="AA451" s="152"/>
    </row>
    <row r="452" spans="1:27" hidden="1" outlineLevel="1">
      <c r="A452" s="3"/>
      <c r="B452" s="3"/>
      <c r="C452" s="3"/>
      <c r="D452" s="133">
        <f>Asset27</f>
        <v>0</v>
      </c>
      <c r="E452" s="3"/>
      <c r="F452" s="3"/>
      <c r="G452" s="248"/>
      <c r="H452" s="1341"/>
      <c r="I452" s="1363">
        <f>IF(J$321=0, 'Adjustment for previous period'!I223, 0)</f>
        <v>0</v>
      </c>
      <c r="J452" s="1363">
        <f>IF(K$321=0, 'Adjustment for previous period'!J223, 0)</f>
        <v>0</v>
      </c>
      <c r="K452" s="1363">
        <f>IF(L$321=0, 'Adjustment for previous period'!K223, 0)</f>
        <v>0</v>
      </c>
      <c r="L452" s="1363">
        <f>IF(M$321=0, 'Adjustment for previous period'!L223, 0)</f>
        <v>0</v>
      </c>
      <c r="M452" s="1363">
        <f>IF(N$321=0, 'Adjustment for previous period'!M223, 0)</f>
        <v>0</v>
      </c>
      <c r="N452" s="1363">
        <f>IF(O$321=0, 'Adjustment for previous period'!N223, 0)</f>
        <v>0</v>
      </c>
      <c r="O452" s="1363">
        <f>IF(P$321=0, 'Adjustment for previous period'!O223, 0)</f>
        <v>0</v>
      </c>
      <c r="P452" s="1363">
        <f>IF(Q$321=0, 'Adjustment for previous period'!P223, 0)</f>
        <v>0</v>
      </c>
      <c r="Q452" s="1363">
        <f>IF(R$321=0, 'Adjustment for previous period'!Q223, 0)</f>
        <v>0</v>
      </c>
      <c r="R452" s="248"/>
      <c r="S452" s="3"/>
      <c r="T452" s="3"/>
      <c r="U452" s="3"/>
      <c r="V452" s="3"/>
      <c r="W452" s="3"/>
      <c r="X452" s="3"/>
      <c r="Y452" s="3"/>
      <c r="Z452" s="3"/>
      <c r="AA452" s="152"/>
    </row>
    <row r="453" spans="1:27" hidden="1" outlineLevel="1">
      <c r="A453" s="3"/>
      <c r="B453" s="3"/>
      <c r="C453" s="3"/>
      <c r="D453" s="133">
        <f>Asset28</f>
        <v>0</v>
      </c>
      <c r="E453" s="3"/>
      <c r="F453" s="3"/>
      <c r="G453" s="248"/>
      <c r="H453" s="1341"/>
      <c r="I453" s="1363">
        <f>IF(J$321=0, 'Adjustment for previous period'!I225, 0)</f>
        <v>0</v>
      </c>
      <c r="J453" s="1363">
        <f>IF(K$321=0, 'Adjustment for previous period'!J225, 0)</f>
        <v>0</v>
      </c>
      <c r="K453" s="1363">
        <f>IF(L$321=0, 'Adjustment for previous period'!K225, 0)</f>
        <v>0</v>
      </c>
      <c r="L453" s="1363">
        <f>IF(M$321=0, 'Adjustment for previous period'!L225, 0)</f>
        <v>0</v>
      </c>
      <c r="M453" s="1363">
        <f>IF(N$321=0, 'Adjustment for previous period'!M225, 0)</f>
        <v>0</v>
      </c>
      <c r="N453" s="1363">
        <f>IF(O$321=0, 'Adjustment for previous period'!N225, 0)</f>
        <v>0</v>
      </c>
      <c r="O453" s="1363">
        <f>IF(P$321=0, 'Adjustment for previous period'!O225, 0)</f>
        <v>0</v>
      </c>
      <c r="P453" s="1363">
        <f>IF(Q$321=0, 'Adjustment for previous period'!P225, 0)</f>
        <v>0</v>
      </c>
      <c r="Q453" s="1363">
        <f>IF(R$321=0, 'Adjustment for previous period'!Q225, 0)</f>
        <v>0</v>
      </c>
      <c r="R453" s="248"/>
      <c r="S453" s="3"/>
      <c r="T453" s="3"/>
      <c r="U453" s="3"/>
      <c r="V453" s="3"/>
      <c r="W453" s="3"/>
      <c r="X453" s="3"/>
      <c r="Y453" s="3"/>
      <c r="Z453" s="3"/>
      <c r="AA453" s="152"/>
    </row>
    <row r="454" spans="1:27" hidden="1" outlineLevel="1">
      <c r="A454" s="3"/>
      <c r="B454" s="3"/>
      <c r="C454" s="3"/>
      <c r="D454" s="133">
        <f>Asset29</f>
        <v>0</v>
      </c>
      <c r="E454" s="3"/>
      <c r="F454" s="3"/>
      <c r="G454" s="248"/>
      <c r="H454" s="1341"/>
      <c r="I454" s="1363">
        <f>IF(J$321=0, 'Adjustment for previous period'!I227, 0)</f>
        <v>0</v>
      </c>
      <c r="J454" s="1363">
        <f>IF(K$321=0, 'Adjustment for previous period'!J227, 0)</f>
        <v>0</v>
      </c>
      <c r="K454" s="1363">
        <f>IF(L$321=0, 'Adjustment for previous period'!K227, 0)</f>
        <v>0</v>
      </c>
      <c r="L454" s="1363">
        <f>IF(M$321=0, 'Adjustment for previous period'!L227, 0)</f>
        <v>0</v>
      </c>
      <c r="M454" s="1363">
        <f>IF(N$321=0, 'Adjustment for previous period'!M227, 0)</f>
        <v>0</v>
      </c>
      <c r="N454" s="1363">
        <f>IF(O$321=0, 'Adjustment for previous period'!N227, 0)</f>
        <v>0</v>
      </c>
      <c r="O454" s="1363">
        <f>IF(P$321=0, 'Adjustment for previous period'!O227, 0)</f>
        <v>0</v>
      </c>
      <c r="P454" s="1363">
        <f>IF(Q$321=0, 'Adjustment for previous period'!P227, 0)</f>
        <v>0</v>
      </c>
      <c r="Q454" s="1363">
        <f>IF(R$321=0, 'Adjustment for previous period'!Q227, 0)</f>
        <v>0</v>
      </c>
      <c r="R454" s="248"/>
      <c r="S454" s="3"/>
      <c r="T454" s="3"/>
      <c r="U454" s="3"/>
      <c r="V454" s="3"/>
      <c r="W454" s="3"/>
      <c r="X454" s="3"/>
      <c r="Y454" s="3"/>
      <c r="Z454" s="3"/>
      <c r="AA454" s="152"/>
    </row>
    <row r="455" spans="1:27" hidden="1" outlineLevel="1">
      <c r="A455" s="3"/>
      <c r="B455" s="3"/>
      <c r="C455" s="3"/>
      <c r="D455" s="133">
        <f>Asset30</f>
        <v>0</v>
      </c>
      <c r="E455" s="3"/>
      <c r="F455" s="3"/>
      <c r="G455" s="248"/>
      <c r="H455" s="1341"/>
      <c r="I455" s="1363">
        <f>IF(J$321=0, 'Adjustment for previous period'!I229, 0)</f>
        <v>0</v>
      </c>
      <c r="J455" s="1363">
        <f>IF(K$321=0, 'Adjustment for previous period'!J229, 0)</f>
        <v>0</v>
      </c>
      <c r="K455" s="1363">
        <f>IF(L$321=0, 'Adjustment for previous period'!K229, 0)</f>
        <v>0</v>
      </c>
      <c r="L455" s="1363">
        <f>IF(M$321=0, 'Adjustment for previous period'!L229, 0)</f>
        <v>0</v>
      </c>
      <c r="M455" s="1363">
        <f>IF(N$321=0, 'Adjustment for previous period'!M229, 0)</f>
        <v>0</v>
      </c>
      <c r="N455" s="1363">
        <f>IF(O$321=0, 'Adjustment for previous period'!N229, 0)</f>
        <v>0</v>
      </c>
      <c r="O455" s="1363">
        <f>IF(P$321=0, 'Adjustment for previous period'!O229, 0)</f>
        <v>0</v>
      </c>
      <c r="P455" s="1363">
        <f>IF(Q$321=0, 'Adjustment for previous period'!P229, 0)</f>
        <v>0</v>
      </c>
      <c r="Q455" s="1363">
        <f>IF(R$321=0, 'Adjustment for previous period'!Q229, 0)</f>
        <v>0</v>
      </c>
      <c r="R455" s="248"/>
      <c r="S455" s="3"/>
      <c r="T455" s="3"/>
      <c r="U455" s="3"/>
      <c r="V455" s="3"/>
      <c r="W455" s="3"/>
      <c r="X455" s="3"/>
      <c r="Y455" s="3"/>
      <c r="Z455" s="3"/>
      <c r="AA455" s="152"/>
    </row>
    <row r="456" spans="1:27" hidden="1" outlineLevel="1">
      <c r="A456" s="3"/>
      <c r="B456" s="3"/>
      <c r="C456" s="3"/>
      <c r="D456" s="133">
        <f>Asset31</f>
        <v>0</v>
      </c>
      <c r="E456" s="3"/>
      <c r="F456" s="3"/>
      <c r="G456" s="248"/>
      <c r="H456" s="1341"/>
      <c r="I456" s="1363">
        <f>IF(J$321=0, 'Adjustment for previous period'!I231, 0)</f>
        <v>0</v>
      </c>
      <c r="J456" s="1363">
        <f>IF(K$321=0, 'Adjustment for previous period'!J231, 0)</f>
        <v>0</v>
      </c>
      <c r="K456" s="1363">
        <f>IF(L$321=0, 'Adjustment for previous period'!K231, 0)</f>
        <v>0</v>
      </c>
      <c r="L456" s="1363">
        <f>IF(M$321=0, 'Adjustment for previous period'!L231, 0)</f>
        <v>0</v>
      </c>
      <c r="M456" s="1363">
        <f>IF(N$321=0, 'Adjustment for previous period'!M231, 0)</f>
        <v>0</v>
      </c>
      <c r="N456" s="1363">
        <f>IF(O$321=0, 'Adjustment for previous period'!N231, 0)</f>
        <v>0</v>
      </c>
      <c r="O456" s="1363">
        <f>IF(P$321=0, 'Adjustment for previous period'!O230, 0)</f>
        <v>0</v>
      </c>
      <c r="P456" s="1363">
        <f>IF(Q$321=0, 'Adjustment for previous period'!P230, 0)</f>
        <v>0</v>
      </c>
      <c r="Q456" s="1363">
        <f>IF(R$321=0, 'Adjustment for previous period'!Q230, 0)</f>
        <v>0</v>
      </c>
      <c r="R456" s="248"/>
      <c r="S456" s="3"/>
      <c r="T456" s="3"/>
      <c r="U456" s="3"/>
      <c r="V456" s="3"/>
      <c r="W456" s="3"/>
      <c r="X456" s="3"/>
      <c r="Y456" s="3"/>
      <c r="Z456" s="3"/>
      <c r="AA456" s="152"/>
    </row>
    <row r="457" spans="1:27" hidden="1" outlineLevel="1">
      <c r="A457" s="3"/>
      <c r="B457" s="3"/>
      <c r="C457" s="3"/>
      <c r="D457" s="133">
        <f>Asset32</f>
        <v>0</v>
      </c>
      <c r="E457" s="3"/>
      <c r="F457" s="3"/>
      <c r="G457" s="248"/>
      <c r="H457" s="1341"/>
      <c r="I457" s="1363">
        <f>IF(J$321=0, 'Adjustment for previous period'!I233, 0)</f>
        <v>0</v>
      </c>
      <c r="J457" s="1363">
        <f>IF(K$321=0, 'Adjustment for previous period'!J233, 0)</f>
        <v>0</v>
      </c>
      <c r="K457" s="1363">
        <f>IF(L$321=0, 'Adjustment for previous period'!K233, 0)</f>
        <v>0</v>
      </c>
      <c r="L457" s="1363">
        <f>IF(M$321=0, 'Adjustment for previous period'!L233, 0)</f>
        <v>0</v>
      </c>
      <c r="M457" s="1363">
        <f>IF(N$321=0, 'Adjustment for previous period'!M233, 0)</f>
        <v>0</v>
      </c>
      <c r="N457" s="1363">
        <f>IF(O$321=0, 'Adjustment for previous period'!N233, 0)</f>
        <v>0</v>
      </c>
      <c r="O457" s="1363">
        <f>IF(P$321=0, 'Adjustment for previous period'!O231, 0)</f>
        <v>0</v>
      </c>
      <c r="P457" s="1363">
        <f>IF(Q$321=0, 'Adjustment for previous period'!P231, 0)</f>
        <v>0</v>
      </c>
      <c r="Q457" s="1363">
        <f>IF(R$321=0, 'Adjustment for previous period'!Q231, 0)</f>
        <v>0</v>
      </c>
      <c r="R457" s="248"/>
      <c r="S457" s="3"/>
      <c r="T457" s="3"/>
      <c r="U457" s="3"/>
      <c r="V457" s="3"/>
      <c r="W457" s="3"/>
      <c r="X457" s="3"/>
      <c r="Y457" s="3"/>
      <c r="Z457" s="3"/>
      <c r="AA457" s="152"/>
    </row>
    <row r="458" spans="1:27" hidden="1" outlineLevel="1">
      <c r="A458" s="3"/>
      <c r="B458" s="3"/>
      <c r="C458" s="3"/>
      <c r="D458" s="133">
        <f>Asset33</f>
        <v>0</v>
      </c>
      <c r="E458" s="3"/>
      <c r="F458" s="3"/>
      <c r="G458" s="248"/>
      <c r="H458" s="1341"/>
      <c r="I458" s="1363">
        <f>IF(J$321=0, 'Adjustment for previous period'!I235, 0)</f>
        <v>0</v>
      </c>
      <c r="J458" s="1363">
        <f>IF(K$321=0, 'Adjustment for previous period'!J235, 0)</f>
        <v>0</v>
      </c>
      <c r="K458" s="1363">
        <f>IF(L$321=0, 'Adjustment for previous period'!K235, 0)</f>
        <v>0</v>
      </c>
      <c r="L458" s="1363">
        <f>IF(M$321=0, 'Adjustment for previous period'!L235, 0)</f>
        <v>0</v>
      </c>
      <c r="M458" s="1363">
        <f>IF(N$321=0, 'Adjustment for previous period'!M235, 0)</f>
        <v>0</v>
      </c>
      <c r="N458" s="1363">
        <f>IF(O$321=0, 'Adjustment for previous period'!N235, 0)</f>
        <v>0</v>
      </c>
      <c r="O458" s="1363">
        <f>IF(P$321=0, 'Adjustment for previous period'!O232, 0)</f>
        <v>0</v>
      </c>
      <c r="P458" s="1363">
        <f>IF(Q$321=0, 'Adjustment for previous period'!P232, 0)</f>
        <v>0</v>
      </c>
      <c r="Q458" s="1363">
        <f>IF(R$321=0, 'Adjustment for previous period'!Q232, 0)</f>
        <v>0</v>
      </c>
      <c r="R458" s="248"/>
      <c r="S458" s="3"/>
      <c r="T458" s="3"/>
      <c r="U458" s="3"/>
      <c r="V458" s="3"/>
      <c r="W458" s="3"/>
      <c r="X458" s="3"/>
      <c r="Y458" s="3"/>
      <c r="Z458" s="3"/>
      <c r="AA458" s="152"/>
    </row>
    <row r="459" spans="1:27" hidden="1" outlineLevel="1">
      <c r="A459" s="3"/>
      <c r="B459" s="3"/>
      <c r="C459" s="3"/>
      <c r="D459" s="133">
        <f>Asset34</f>
        <v>0</v>
      </c>
      <c r="E459" s="3"/>
      <c r="F459" s="3"/>
      <c r="G459" s="248"/>
      <c r="H459" s="1341"/>
      <c r="I459" s="1363">
        <f>IF(J$321=0, 'Adjustment for previous period'!I237, 0)</f>
        <v>0</v>
      </c>
      <c r="J459" s="1363">
        <f>IF(K$321=0, 'Adjustment for previous period'!J237, 0)</f>
        <v>0</v>
      </c>
      <c r="K459" s="1363">
        <f>IF(L$321=0, 'Adjustment for previous period'!K237, 0)</f>
        <v>0</v>
      </c>
      <c r="L459" s="1363">
        <f>IF(M$321=0, 'Adjustment for previous period'!L237, 0)</f>
        <v>0</v>
      </c>
      <c r="M459" s="1363">
        <f>IF(N$321=0, 'Adjustment for previous period'!M237, 0)</f>
        <v>0</v>
      </c>
      <c r="N459" s="1363">
        <f>IF(O$321=0, 'Adjustment for previous period'!N237, 0)</f>
        <v>0</v>
      </c>
      <c r="O459" s="1363">
        <f>IF(P$321=0, 'Adjustment for previous period'!O233, 0)</f>
        <v>0</v>
      </c>
      <c r="P459" s="1363">
        <f>IF(Q$321=0, 'Adjustment for previous period'!P233, 0)</f>
        <v>0</v>
      </c>
      <c r="Q459" s="1363">
        <f>IF(R$321=0, 'Adjustment for previous period'!Q233, 0)</f>
        <v>0</v>
      </c>
      <c r="R459" s="248"/>
      <c r="S459" s="3"/>
      <c r="T459" s="3"/>
      <c r="U459" s="3"/>
      <c r="V459" s="3"/>
      <c r="W459" s="3"/>
      <c r="X459" s="3"/>
      <c r="Y459" s="3"/>
      <c r="Z459" s="3"/>
      <c r="AA459" s="152"/>
    </row>
    <row r="460" spans="1:27" hidden="1" outlineLevel="1">
      <c r="A460" s="3"/>
      <c r="B460" s="3"/>
      <c r="C460" s="3"/>
      <c r="D460" s="133">
        <f>Asset35</f>
        <v>0</v>
      </c>
      <c r="E460" s="3"/>
      <c r="F460" s="3"/>
      <c r="G460" s="248"/>
      <c r="H460" s="1341"/>
      <c r="I460" s="1363">
        <f>IF(J$321=0, 'Adjustment for previous period'!I239, 0)</f>
        <v>0</v>
      </c>
      <c r="J460" s="1363">
        <f>IF(K$321=0, 'Adjustment for previous period'!J239, 0)</f>
        <v>0</v>
      </c>
      <c r="K460" s="1363">
        <f>IF(L$321=0, 'Adjustment for previous period'!K239, 0)</f>
        <v>0</v>
      </c>
      <c r="L460" s="1363">
        <f>IF(M$321=0, 'Adjustment for previous period'!L239, 0)</f>
        <v>0</v>
      </c>
      <c r="M460" s="1363">
        <f>IF(N$321=0, 'Adjustment for previous period'!M239, 0)</f>
        <v>0</v>
      </c>
      <c r="N460" s="1363">
        <f>IF(O$321=0, 'Adjustment for previous period'!N239, 0)</f>
        <v>0</v>
      </c>
      <c r="O460" s="1363">
        <f>IF(P$321=0, 'Adjustment for previous period'!O234, 0)</f>
        <v>0</v>
      </c>
      <c r="P460" s="1363">
        <f>IF(Q$321=0, 'Adjustment for previous period'!P234, 0)</f>
        <v>0</v>
      </c>
      <c r="Q460" s="1363">
        <f>IF(R$321=0, 'Adjustment for previous period'!Q234, 0)</f>
        <v>0</v>
      </c>
      <c r="R460" s="248"/>
      <c r="S460" s="3"/>
      <c r="T460" s="3"/>
      <c r="U460" s="3"/>
      <c r="V460" s="3"/>
      <c r="W460" s="3"/>
      <c r="X460" s="3"/>
      <c r="Y460" s="3"/>
      <c r="Z460" s="3"/>
      <c r="AA460" s="152"/>
    </row>
    <row r="461" spans="1:27" hidden="1" outlineLevel="1">
      <c r="A461" s="3"/>
      <c r="B461" s="3"/>
      <c r="C461" s="3"/>
      <c r="D461" s="133">
        <f>Asset36</f>
        <v>0</v>
      </c>
      <c r="E461" s="3"/>
      <c r="F461" s="3"/>
      <c r="G461" s="248"/>
      <c r="H461" s="1341"/>
      <c r="I461" s="1363">
        <f>IF(J$321=0, 'Adjustment for previous period'!I241, 0)</f>
        <v>0</v>
      </c>
      <c r="J461" s="1363">
        <f>IF(K$321=0, 'Adjustment for previous period'!J241, 0)</f>
        <v>0</v>
      </c>
      <c r="K461" s="1363">
        <f>IF(L$321=0, 'Adjustment for previous period'!K241, 0)</f>
        <v>0</v>
      </c>
      <c r="L461" s="1363">
        <f>IF(M$321=0, 'Adjustment for previous period'!L241, 0)</f>
        <v>0</v>
      </c>
      <c r="M461" s="1363">
        <f>IF(N$321=0, 'Adjustment for previous period'!M241, 0)</f>
        <v>0</v>
      </c>
      <c r="N461" s="1363">
        <f>IF(O$321=0, 'Adjustment for previous period'!N241, 0)</f>
        <v>0</v>
      </c>
      <c r="O461" s="1363">
        <f>IF(P$321=0, 'Adjustment for previous period'!O235, 0)</f>
        <v>0</v>
      </c>
      <c r="P461" s="1363">
        <f>IF(Q$321=0, 'Adjustment for previous period'!P235, 0)</f>
        <v>0</v>
      </c>
      <c r="Q461" s="1363">
        <f>IF(R$321=0, 'Adjustment for previous period'!Q235, 0)</f>
        <v>0</v>
      </c>
      <c r="R461" s="248"/>
      <c r="S461" s="3"/>
      <c r="T461" s="3"/>
      <c r="U461" s="3"/>
      <c r="V461" s="3"/>
      <c r="W461" s="3"/>
      <c r="X461" s="3"/>
      <c r="Y461" s="3"/>
      <c r="Z461" s="3"/>
      <c r="AA461" s="152"/>
    </row>
    <row r="462" spans="1:27" hidden="1" outlineLevel="1">
      <c r="A462" s="3"/>
      <c r="B462" s="3"/>
      <c r="C462" s="3"/>
      <c r="D462" s="133">
        <f>Asset37</f>
        <v>0</v>
      </c>
      <c r="E462" s="3"/>
      <c r="F462" s="3"/>
      <c r="G462" s="248"/>
      <c r="H462" s="1341"/>
      <c r="I462" s="1363">
        <f>IF(J$321=0, 'Adjustment for previous period'!I243, 0)</f>
        <v>0</v>
      </c>
      <c r="J462" s="1363">
        <f>IF(K$321=0, 'Adjustment for previous period'!J243, 0)</f>
        <v>0</v>
      </c>
      <c r="K462" s="1363">
        <f>IF(L$321=0, 'Adjustment for previous period'!K243, 0)</f>
        <v>0</v>
      </c>
      <c r="L462" s="1363">
        <f>IF(M$321=0, 'Adjustment for previous period'!L243, 0)</f>
        <v>0</v>
      </c>
      <c r="M462" s="1363">
        <f>IF(N$321=0, 'Adjustment for previous period'!M243, 0)</f>
        <v>0</v>
      </c>
      <c r="N462" s="1363">
        <f>IF(O$321=0, 'Adjustment for previous period'!N243, 0)</f>
        <v>0</v>
      </c>
      <c r="O462" s="1363">
        <f>IF(P$321=0, 'Adjustment for previous period'!O236, 0)</f>
        <v>0</v>
      </c>
      <c r="P462" s="1363">
        <f>IF(Q$321=0, 'Adjustment for previous period'!P236, 0)</f>
        <v>0</v>
      </c>
      <c r="Q462" s="1363">
        <f>IF(R$321=0, 'Adjustment for previous period'!Q236, 0)</f>
        <v>0</v>
      </c>
      <c r="R462" s="248"/>
      <c r="S462" s="3"/>
      <c r="T462" s="3"/>
      <c r="U462" s="3"/>
      <c r="V462" s="3"/>
      <c r="W462" s="3"/>
      <c r="X462" s="3"/>
      <c r="Y462" s="3"/>
      <c r="Z462" s="3"/>
      <c r="AA462" s="152"/>
    </row>
    <row r="463" spans="1:27" hidden="1" outlineLevel="1">
      <c r="A463" s="3"/>
      <c r="B463" s="3"/>
      <c r="C463" s="3"/>
      <c r="D463" s="133">
        <f>Asset38</f>
        <v>0</v>
      </c>
      <c r="E463" s="3"/>
      <c r="F463" s="3"/>
      <c r="G463" s="248"/>
      <c r="H463" s="1341"/>
      <c r="I463" s="1363">
        <f>IF(J$321=0, 'Adjustment for previous period'!I245, 0)</f>
        <v>0</v>
      </c>
      <c r="J463" s="1363">
        <f>IF(K$321=0, 'Adjustment for previous period'!J245, 0)</f>
        <v>0</v>
      </c>
      <c r="K463" s="1363">
        <f>IF(L$321=0, 'Adjustment for previous period'!K245, 0)</f>
        <v>0</v>
      </c>
      <c r="L463" s="1363">
        <f>IF(M$321=0, 'Adjustment for previous period'!L245, 0)</f>
        <v>0</v>
      </c>
      <c r="M463" s="1363">
        <f>IF(N$321=0, 'Adjustment for previous period'!M245, 0)</f>
        <v>0</v>
      </c>
      <c r="N463" s="1363">
        <f>IF(O$321=0, 'Adjustment for previous period'!N245, 0)</f>
        <v>0</v>
      </c>
      <c r="O463" s="1363">
        <f>IF(P$321=0, 'Adjustment for previous period'!O237, 0)</f>
        <v>0</v>
      </c>
      <c r="P463" s="1363">
        <f>IF(Q$321=0, 'Adjustment for previous period'!P237, 0)</f>
        <v>0</v>
      </c>
      <c r="Q463" s="1363">
        <f>IF(R$321=0, 'Adjustment for previous period'!Q237, 0)</f>
        <v>0</v>
      </c>
      <c r="R463" s="248"/>
      <c r="S463" s="3"/>
      <c r="T463" s="3"/>
      <c r="U463" s="3"/>
      <c r="V463" s="3"/>
      <c r="W463" s="3"/>
      <c r="X463" s="3"/>
      <c r="Y463" s="3"/>
      <c r="Z463" s="3"/>
      <c r="AA463" s="152"/>
    </row>
    <row r="464" spans="1:27" hidden="1" outlineLevel="1">
      <c r="A464" s="3"/>
      <c r="B464" s="3"/>
      <c r="C464" s="3"/>
      <c r="D464" s="133">
        <f>Asset39</f>
        <v>0</v>
      </c>
      <c r="E464" s="3"/>
      <c r="F464" s="3"/>
      <c r="G464" s="248"/>
      <c r="H464" s="1341"/>
      <c r="I464" s="1363">
        <f>IF(J$321=0, 'Adjustment for previous period'!I247, 0)</f>
        <v>0</v>
      </c>
      <c r="J464" s="1363">
        <f>IF(K$321=0, 'Adjustment for previous period'!J247, 0)</f>
        <v>0</v>
      </c>
      <c r="K464" s="1363">
        <f>IF(L$321=0, 'Adjustment for previous period'!K247, 0)</f>
        <v>0</v>
      </c>
      <c r="L464" s="1363">
        <f>IF(M$321=0, 'Adjustment for previous period'!L247, 0)</f>
        <v>0</v>
      </c>
      <c r="M464" s="1363">
        <f>IF(N$321=0, 'Adjustment for previous period'!M247, 0)</f>
        <v>0</v>
      </c>
      <c r="N464" s="1363">
        <f>IF(O$321=0, 'Adjustment for previous period'!N247, 0)</f>
        <v>0</v>
      </c>
      <c r="O464" s="1363">
        <f>IF(P$321=0, 'Adjustment for previous period'!O238, 0)</f>
        <v>0</v>
      </c>
      <c r="P464" s="1363">
        <f>IF(Q$321=0, 'Adjustment for previous period'!P238, 0)</f>
        <v>0</v>
      </c>
      <c r="Q464" s="1363">
        <f>IF(R$321=0, 'Adjustment for previous period'!Q238, 0)</f>
        <v>0</v>
      </c>
      <c r="R464" s="248"/>
      <c r="S464" s="3"/>
      <c r="T464" s="3"/>
      <c r="U464" s="3"/>
      <c r="V464" s="3"/>
      <c r="W464" s="3"/>
      <c r="X464" s="3"/>
      <c r="Y464" s="3"/>
      <c r="Z464" s="3"/>
      <c r="AA464" s="152"/>
    </row>
    <row r="465" spans="1:27" hidden="1" outlineLevel="1">
      <c r="A465" s="3"/>
      <c r="B465" s="3"/>
      <c r="C465" s="3"/>
      <c r="D465" s="133">
        <f>Asset40</f>
        <v>0</v>
      </c>
      <c r="E465" s="3"/>
      <c r="F465" s="3"/>
      <c r="G465" s="248"/>
      <c r="H465" s="1341"/>
      <c r="I465" s="1363">
        <f>IF(J$321=0, 'Adjustment for previous period'!I249, 0)</f>
        <v>0</v>
      </c>
      <c r="J465" s="1363">
        <f>IF(K$321=0, 'Adjustment for previous period'!J249, 0)</f>
        <v>0</v>
      </c>
      <c r="K465" s="1363">
        <f>IF(L$321=0, 'Adjustment for previous period'!K249, 0)</f>
        <v>0</v>
      </c>
      <c r="L465" s="1363">
        <f>IF(M$321=0, 'Adjustment for previous period'!L249, 0)</f>
        <v>0</v>
      </c>
      <c r="M465" s="1363">
        <f>IF(N$321=0, 'Adjustment for previous period'!M249, 0)</f>
        <v>0</v>
      </c>
      <c r="N465" s="1363">
        <f>IF(O$321=0, 'Adjustment for previous period'!N249, 0)</f>
        <v>0</v>
      </c>
      <c r="O465" s="1363">
        <f>IF(P$321=0, 'Adjustment for previous period'!O239, 0)</f>
        <v>0</v>
      </c>
      <c r="P465" s="1363">
        <f>IF(Q$321=0, 'Adjustment for previous period'!P239, 0)</f>
        <v>0</v>
      </c>
      <c r="Q465" s="1363">
        <f>IF(R$321=0, 'Adjustment for previous period'!Q239, 0)</f>
        <v>0</v>
      </c>
      <c r="R465" s="248"/>
      <c r="S465" s="3"/>
      <c r="T465" s="3"/>
      <c r="U465" s="3"/>
      <c r="V465" s="3"/>
      <c r="W465" s="3"/>
      <c r="X465" s="3"/>
      <c r="Y465" s="3"/>
      <c r="Z465" s="3"/>
      <c r="AA465" s="152"/>
    </row>
    <row r="466" spans="1:27" hidden="1" outlineLevel="1">
      <c r="A466" s="3"/>
      <c r="B466" s="3"/>
      <c r="C466" s="3"/>
      <c r="D466" s="133">
        <f>Asset41</f>
        <v>0</v>
      </c>
      <c r="E466" s="3"/>
      <c r="F466" s="3"/>
      <c r="G466" s="248"/>
      <c r="H466" s="1341"/>
      <c r="I466" s="1363">
        <f>IF(J$321=0, 'Adjustment for previous period'!I251, 0)</f>
        <v>0</v>
      </c>
      <c r="J466" s="1363">
        <f>IF(K$321=0, 'Adjustment for previous period'!J251, 0)</f>
        <v>0</v>
      </c>
      <c r="K466" s="1363">
        <f>IF(L$321=0, 'Adjustment for previous period'!K251, 0)</f>
        <v>0</v>
      </c>
      <c r="L466" s="1363">
        <f>IF(M$321=0, 'Adjustment for previous period'!L251, 0)</f>
        <v>0</v>
      </c>
      <c r="M466" s="1363">
        <f>IF(N$321=0, 'Adjustment for previous period'!M251, 0)</f>
        <v>0</v>
      </c>
      <c r="N466" s="1363">
        <f>IF(O$321=0, 'Adjustment for previous period'!N251, 0)</f>
        <v>0</v>
      </c>
      <c r="O466" s="1363">
        <f>IF(P$321=0, 'Adjustment for previous period'!O240, 0)</f>
        <v>0</v>
      </c>
      <c r="P466" s="1363">
        <f>IF(Q$321=0, 'Adjustment for previous period'!P240, 0)</f>
        <v>0</v>
      </c>
      <c r="Q466" s="1363">
        <f>IF(R$321=0, 'Adjustment for previous period'!Q240, 0)</f>
        <v>0</v>
      </c>
      <c r="R466" s="248"/>
      <c r="S466" s="3"/>
      <c r="T466" s="3"/>
      <c r="U466" s="3"/>
      <c r="V466" s="3"/>
      <c r="W466" s="3"/>
      <c r="X466" s="3"/>
      <c r="Y466" s="3"/>
      <c r="Z466" s="3"/>
      <c r="AA466" s="152"/>
    </row>
    <row r="467" spans="1:27" hidden="1" outlineLevel="1">
      <c r="A467" s="3"/>
      <c r="B467" s="3"/>
      <c r="C467" s="3"/>
      <c r="D467" s="133">
        <f>Asset42</f>
        <v>0</v>
      </c>
      <c r="E467" s="3"/>
      <c r="F467" s="3"/>
      <c r="G467" s="248"/>
      <c r="H467" s="1341"/>
      <c r="I467" s="1363">
        <f>IF(J$321=0, 'Adjustment for previous period'!I253, 0)</f>
        <v>0</v>
      </c>
      <c r="J467" s="1363">
        <f>IF(K$321=0, 'Adjustment for previous period'!J253, 0)</f>
        <v>0</v>
      </c>
      <c r="K467" s="1363">
        <f>IF(L$321=0, 'Adjustment for previous period'!K253, 0)</f>
        <v>0</v>
      </c>
      <c r="L467" s="1363">
        <f>IF(M$321=0, 'Adjustment for previous period'!L253, 0)</f>
        <v>0</v>
      </c>
      <c r="M467" s="1363">
        <f>IF(N$321=0, 'Adjustment for previous period'!M253, 0)</f>
        <v>0</v>
      </c>
      <c r="N467" s="1363">
        <f>IF(O$321=0, 'Adjustment for previous period'!N253, 0)</f>
        <v>0</v>
      </c>
      <c r="O467" s="1363">
        <f>IF(P$321=0, 'Adjustment for previous period'!O241, 0)</f>
        <v>0</v>
      </c>
      <c r="P467" s="1363">
        <f>IF(Q$321=0, 'Adjustment for previous period'!P241, 0)</f>
        <v>0</v>
      </c>
      <c r="Q467" s="1363">
        <f>IF(R$321=0, 'Adjustment for previous period'!Q241, 0)</f>
        <v>0</v>
      </c>
      <c r="R467" s="248"/>
      <c r="S467" s="3"/>
      <c r="T467" s="3"/>
      <c r="U467" s="3"/>
      <c r="V467" s="3"/>
      <c r="W467" s="3"/>
      <c r="X467" s="3"/>
      <c r="Y467" s="3"/>
      <c r="Z467" s="3"/>
      <c r="AA467" s="152"/>
    </row>
    <row r="468" spans="1:27" hidden="1" outlineLevel="1">
      <c r="A468" s="3"/>
      <c r="B468" s="3"/>
      <c r="C468" s="3"/>
      <c r="D468" s="133">
        <f>Asset43</f>
        <v>0</v>
      </c>
      <c r="E468" s="3"/>
      <c r="F468" s="3"/>
      <c r="G468" s="248"/>
      <c r="H468" s="1341"/>
      <c r="I468" s="1363">
        <f>IF(J$321=0, 'Adjustment for previous period'!I255, 0)</f>
        <v>0</v>
      </c>
      <c r="J468" s="1363">
        <f>IF(K$321=0, 'Adjustment for previous period'!J255, 0)</f>
        <v>0</v>
      </c>
      <c r="K468" s="1363">
        <f>IF(L$321=0, 'Adjustment for previous period'!K255, 0)</f>
        <v>0</v>
      </c>
      <c r="L468" s="1363">
        <f>IF(M$321=0, 'Adjustment for previous period'!L255, 0)</f>
        <v>0</v>
      </c>
      <c r="M468" s="1363">
        <f>IF(N$321=0, 'Adjustment for previous period'!M255, 0)</f>
        <v>0</v>
      </c>
      <c r="N468" s="1363">
        <f>IF(O$321=0, 'Adjustment for previous period'!N255, 0)</f>
        <v>0</v>
      </c>
      <c r="O468" s="1363">
        <f>IF(P$321=0, 'Adjustment for previous period'!O242, 0)</f>
        <v>0</v>
      </c>
      <c r="P468" s="1363">
        <f>IF(Q$321=0, 'Adjustment for previous period'!P242, 0)</f>
        <v>0</v>
      </c>
      <c r="Q468" s="1363">
        <f>IF(R$321=0, 'Adjustment for previous period'!Q242, 0)</f>
        <v>0</v>
      </c>
      <c r="R468" s="248"/>
      <c r="S468" s="3"/>
      <c r="T468" s="3"/>
      <c r="U468" s="3"/>
      <c r="V468" s="3"/>
      <c r="W468" s="3"/>
      <c r="X468" s="3"/>
      <c r="Y468" s="3"/>
      <c r="Z468" s="3"/>
      <c r="AA468" s="152"/>
    </row>
    <row r="469" spans="1:27" hidden="1" outlineLevel="1">
      <c r="A469" s="3"/>
      <c r="B469" s="3"/>
      <c r="C469" s="3"/>
      <c r="D469" s="133">
        <f>Asset44</f>
        <v>0</v>
      </c>
      <c r="E469" s="3"/>
      <c r="F469" s="3"/>
      <c r="G469" s="248"/>
      <c r="H469" s="1341"/>
      <c r="I469" s="1363">
        <f>IF(J$321=0, 'Adjustment for previous period'!I257, 0)</f>
        <v>0</v>
      </c>
      <c r="J469" s="1363">
        <f>IF(K$321=0, 'Adjustment for previous period'!J257, 0)</f>
        <v>0</v>
      </c>
      <c r="K469" s="1363">
        <f>IF(L$321=0, 'Adjustment for previous period'!K257, 0)</f>
        <v>0</v>
      </c>
      <c r="L469" s="1363">
        <f>IF(M$321=0, 'Adjustment for previous period'!L257, 0)</f>
        <v>0</v>
      </c>
      <c r="M469" s="1363">
        <f>IF(N$321=0, 'Adjustment for previous period'!M257, 0)</f>
        <v>0</v>
      </c>
      <c r="N469" s="1363">
        <f>IF(O$321=0, 'Adjustment for previous period'!N257, 0)</f>
        <v>0</v>
      </c>
      <c r="O469" s="1363">
        <f>IF(P$321=0, 'Adjustment for previous period'!O243, 0)</f>
        <v>0</v>
      </c>
      <c r="P469" s="1363">
        <f>IF(Q$321=0, 'Adjustment for previous period'!P243, 0)</f>
        <v>0</v>
      </c>
      <c r="Q469" s="1363">
        <f>IF(R$321=0, 'Adjustment for previous period'!Q243, 0)</f>
        <v>0</v>
      </c>
      <c r="R469" s="248"/>
      <c r="S469" s="3"/>
      <c r="T469" s="3"/>
      <c r="U469" s="3"/>
      <c r="V469" s="3"/>
      <c r="W469" s="3"/>
      <c r="X469" s="3"/>
      <c r="Y469" s="3"/>
      <c r="Z469" s="3"/>
      <c r="AA469" s="152"/>
    </row>
    <row r="470" spans="1:27" hidden="1" outlineLevel="1">
      <c r="A470" s="3"/>
      <c r="B470" s="3"/>
      <c r="C470" s="3"/>
      <c r="D470" s="133">
        <f>Asset45</f>
        <v>0</v>
      </c>
      <c r="E470" s="3"/>
      <c r="F470" s="3"/>
      <c r="G470" s="248"/>
      <c r="H470" s="1341"/>
      <c r="I470" s="1363">
        <f>IF(J$321=0, 'Adjustment for previous period'!I259, 0)</f>
        <v>0</v>
      </c>
      <c r="J470" s="1363">
        <f>IF(K$321=0, 'Adjustment for previous period'!J259, 0)</f>
        <v>0</v>
      </c>
      <c r="K470" s="1363">
        <f>IF(L$321=0, 'Adjustment for previous period'!K259, 0)</f>
        <v>0</v>
      </c>
      <c r="L470" s="1363">
        <f>IF(M$321=0, 'Adjustment for previous period'!L259, 0)</f>
        <v>0</v>
      </c>
      <c r="M470" s="1363">
        <f>IF(N$321=0, 'Adjustment for previous period'!M259, 0)</f>
        <v>0</v>
      </c>
      <c r="N470" s="1363">
        <f>IF(O$321=0, 'Adjustment for previous period'!N259, 0)</f>
        <v>0</v>
      </c>
      <c r="O470" s="1363">
        <f>IF(P$321=0, 'Adjustment for previous period'!O244, 0)</f>
        <v>0</v>
      </c>
      <c r="P470" s="1363">
        <f>IF(Q$321=0, 'Adjustment for previous period'!P244, 0)</f>
        <v>0</v>
      </c>
      <c r="Q470" s="1363">
        <f>IF(R$321=0, 'Adjustment for previous period'!Q244, 0)</f>
        <v>0</v>
      </c>
      <c r="R470" s="248"/>
      <c r="S470" s="3"/>
      <c r="T470" s="3"/>
      <c r="U470" s="3"/>
      <c r="V470" s="3"/>
      <c r="W470" s="3"/>
      <c r="X470" s="3"/>
      <c r="Y470" s="3"/>
      <c r="Z470" s="3"/>
      <c r="AA470" s="152"/>
    </row>
    <row r="471" spans="1:27" hidden="1" outlineLevel="1">
      <c r="A471" s="3"/>
      <c r="B471" s="3"/>
      <c r="C471" s="3"/>
      <c r="D471" s="133">
        <f>Asset46</f>
        <v>0</v>
      </c>
      <c r="E471" s="3"/>
      <c r="F471" s="3"/>
      <c r="G471" s="248"/>
      <c r="H471" s="1341"/>
      <c r="I471" s="1363">
        <f>IF(J$321=0, 'Adjustment for previous period'!I261, 0)</f>
        <v>0</v>
      </c>
      <c r="J471" s="1363">
        <f>IF(K$321=0, 'Adjustment for previous period'!J261, 0)</f>
        <v>0</v>
      </c>
      <c r="K471" s="1363">
        <f>IF(L$321=0, 'Adjustment for previous period'!K261, 0)</f>
        <v>0</v>
      </c>
      <c r="L471" s="1363">
        <f>IF(M$321=0, 'Adjustment for previous period'!L261, 0)</f>
        <v>0</v>
      </c>
      <c r="M471" s="1363">
        <f>IF(N$321=0, 'Adjustment for previous period'!M261, 0)</f>
        <v>0</v>
      </c>
      <c r="N471" s="1363">
        <f>IF(O$321=0, 'Adjustment for previous period'!N261, 0)</f>
        <v>0</v>
      </c>
      <c r="O471" s="1363">
        <f>IF(P$321=0, 'Adjustment for previous period'!O245, 0)</f>
        <v>0</v>
      </c>
      <c r="P471" s="1363">
        <f>IF(Q$321=0, 'Adjustment for previous period'!P245, 0)</f>
        <v>0</v>
      </c>
      <c r="Q471" s="1363">
        <f>IF(R$321=0, 'Adjustment for previous period'!Q245, 0)</f>
        <v>0</v>
      </c>
      <c r="R471" s="248"/>
      <c r="S471" s="3"/>
      <c r="T471" s="3"/>
      <c r="U471" s="3"/>
      <c r="V471" s="3"/>
      <c r="W471" s="3"/>
      <c r="X471" s="3"/>
      <c r="Y471" s="3"/>
      <c r="Z471" s="3"/>
      <c r="AA471" s="152"/>
    </row>
    <row r="472" spans="1:27" hidden="1" outlineLevel="1">
      <c r="A472" s="3"/>
      <c r="B472" s="3"/>
      <c r="C472" s="3"/>
      <c r="D472" s="133">
        <f>Asset47</f>
        <v>0</v>
      </c>
      <c r="E472" s="3"/>
      <c r="F472" s="3"/>
      <c r="G472" s="248"/>
      <c r="H472" s="1341"/>
      <c r="I472" s="1363">
        <f>IF(J$321=0, 'Adjustment for previous period'!I263, 0)</f>
        <v>0</v>
      </c>
      <c r="J472" s="1363">
        <f>IF(K$321=0, 'Adjustment for previous period'!J263, 0)</f>
        <v>0</v>
      </c>
      <c r="K472" s="1363">
        <f>IF(L$321=0, 'Adjustment for previous period'!K263, 0)</f>
        <v>0</v>
      </c>
      <c r="L472" s="1363">
        <f>IF(M$321=0, 'Adjustment for previous period'!L263, 0)</f>
        <v>0</v>
      </c>
      <c r="M472" s="1363">
        <f>IF(N$321=0, 'Adjustment for previous period'!M263, 0)</f>
        <v>0</v>
      </c>
      <c r="N472" s="1363">
        <f>IF(O$321=0, 'Adjustment for previous period'!N263, 0)</f>
        <v>0</v>
      </c>
      <c r="O472" s="1363">
        <f>IF(P$321=0, 'Adjustment for previous period'!O246, 0)</f>
        <v>0</v>
      </c>
      <c r="P472" s="1363">
        <f>IF(Q$321=0, 'Adjustment for previous period'!P246, 0)</f>
        <v>0</v>
      </c>
      <c r="Q472" s="1363">
        <f>IF(R$321=0, 'Adjustment for previous period'!Q246, 0)</f>
        <v>0</v>
      </c>
      <c r="R472" s="248"/>
      <c r="S472" s="3"/>
      <c r="T472" s="3"/>
      <c r="U472" s="3"/>
      <c r="V472" s="3"/>
      <c r="W472" s="3"/>
      <c r="X472" s="3"/>
      <c r="Y472" s="3"/>
      <c r="Z472" s="3"/>
      <c r="AA472" s="152"/>
    </row>
    <row r="473" spans="1:27" hidden="1" outlineLevel="1">
      <c r="A473" s="3"/>
      <c r="B473" s="3"/>
      <c r="C473" s="3"/>
      <c r="D473" s="133">
        <f>Asset48</f>
        <v>0</v>
      </c>
      <c r="E473" s="3"/>
      <c r="F473" s="3"/>
      <c r="G473" s="248"/>
      <c r="H473" s="1341"/>
      <c r="I473" s="1363">
        <f>IF(J$321=0, 'Adjustment for previous period'!I265, 0)</f>
        <v>0</v>
      </c>
      <c r="J473" s="1363">
        <f>IF(K$321=0, 'Adjustment for previous period'!J265, 0)</f>
        <v>0</v>
      </c>
      <c r="K473" s="1363">
        <f>IF(L$321=0, 'Adjustment for previous period'!K265, 0)</f>
        <v>0</v>
      </c>
      <c r="L473" s="1363">
        <f>IF(M$321=0, 'Adjustment for previous period'!L265, 0)</f>
        <v>0</v>
      </c>
      <c r="M473" s="1363">
        <f>IF(N$321=0, 'Adjustment for previous period'!M265, 0)</f>
        <v>0</v>
      </c>
      <c r="N473" s="1363">
        <f>IF(O$321=0, 'Adjustment for previous period'!N265, 0)</f>
        <v>0</v>
      </c>
      <c r="O473" s="1363">
        <f>IF(P$321=0, 'Adjustment for previous period'!O247, 0)</f>
        <v>0</v>
      </c>
      <c r="P473" s="1363">
        <f>IF(Q$321=0, 'Adjustment for previous period'!P247, 0)</f>
        <v>0</v>
      </c>
      <c r="Q473" s="1363">
        <f>IF(R$321=0, 'Adjustment for previous period'!Q247, 0)</f>
        <v>0</v>
      </c>
      <c r="R473" s="248"/>
      <c r="S473" s="3"/>
      <c r="T473" s="3"/>
      <c r="U473" s="3"/>
      <c r="V473" s="3"/>
      <c r="W473" s="3"/>
      <c r="X473" s="3"/>
      <c r="Y473" s="3"/>
      <c r="Z473" s="3"/>
      <c r="AA473" s="152"/>
    </row>
    <row r="474" spans="1:27" hidden="1" outlineLevel="1">
      <c r="A474" s="3"/>
      <c r="B474" s="3"/>
      <c r="C474" s="3"/>
      <c r="D474" s="133">
        <f>Asset49</f>
        <v>0</v>
      </c>
      <c r="E474" s="3"/>
      <c r="F474" s="3"/>
      <c r="G474" s="248"/>
      <c r="H474" s="1341"/>
      <c r="I474" s="1363">
        <f>IF(J$321=0, 'Adjustment for previous period'!I267, 0)</f>
        <v>0</v>
      </c>
      <c r="J474" s="1363">
        <f>IF(K$321=0, 'Adjustment for previous period'!J267, 0)</f>
        <v>0</v>
      </c>
      <c r="K474" s="1363">
        <f>IF(L$321=0, 'Adjustment for previous period'!K267, 0)</f>
        <v>0</v>
      </c>
      <c r="L474" s="1363">
        <f>IF(M$321=0, 'Adjustment for previous period'!L267, 0)</f>
        <v>0</v>
      </c>
      <c r="M474" s="1363">
        <f>IF(N$321=0, 'Adjustment for previous period'!M267, 0)</f>
        <v>0</v>
      </c>
      <c r="N474" s="1363">
        <f>IF(O$321=0, 'Adjustment for previous period'!N267, 0)</f>
        <v>0</v>
      </c>
      <c r="O474" s="1363">
        <f>IF(P$321=0, 'Adjustment for previous period'!O248, 0)</f>
        <v>0</v>
      </c>
      <c r="P474" s="1363">
        <f>IF(Q$321=0, 'Adjustment for previous period'!P248, 0)</f>
        <v>0</v>
      </c>
      <c r="Q474" s="1363">
        <f>IF(R$321=0, 'Adjustment for previous period'!Q248, 0)</f>
        <v>0</v>
      </c>
      <c r="R474" s="248"/>
      <c r="S474" s="3"/>
      <c r="T474" s="3"/>
      <c r="U474" s="3"/>
      <c r="V474" s="3"/>
      <c r="W474" s="3"/>
      <c r="X474" s="3"/>
      <c r="Y474" s="3"/>
      <c r="Z474" s="3"/>
      <c r="AA474" s="152"/>
    </row>
    <row r="475" spans="1:27" hidden="1" outlineLevel="1">
      <c r="A475" s="3"/>
      <c r="B475" s="3"/>
      <c r="C475" s="3"/>
      <c r="D475" s="133">
        <f>Asset50</f>
        <v>0</v>
      </c>
      <c r="E475" s="3"/>
      <c r="F475" s="3"/>
      <c r="G475" s="248"/>
      <c r="H475" s="1341"/>
      <c r="I475" s="1363">
        <f>IF(J$321=0, 'Adjustment for previous period'!I269, 0)</f>
        <v>0</v>
      </c>
      <c r="J475" s="1363">
        <f>IF(K$321=0, 'Adjustment for previous period'!J269, 0)</f>
        <v>0</v>
      </c>
      <c r="K475" s="1363">
        <f>IF(L$321=0, 'Adjustment for previous period'!K269, 0)</f>
        <v>0</v>
      </c>
      <c r="L475" s="1363">
        <f>IF(M$321=0, 'Adjustment for previous period'!L269, 0)</f>
        <v>0</v>
      </c>
      <c r="M475" s="1363">
        <f>IF(N$321=0, 'Adjustment for previous period'!M269, 0)</f>
        <v>0</v>
      </c>
      <c r="N475" s="1363">
        <f>IF(O$321=0, 'Adjustment for previous period'!N269, 0)</f>
        <v>0</v>
      </c>
      <c r="O475" s="1363">
        <f>IF(P$321=0, 'Adjustment for previous period'!O249, 0)</f>
        <v>0</v>
      </c>
      <c r="P475" s="1363">
        <f>IF(Q$321=0, 'Adjustment for previous period'!P249, 0)</f>
        <v>0</v>
      </c>
      <c r="Q475" s="1363">
        <f>IF(R$321=0, 'Adjustment for previous period'!Q249, 0)</f>
        <v>0</v>
      </c>
      <c r="R475" s="248"/>
      <c r="S475" s="3"/>
      <c r="T475" s="3"/>
      <c r="U475" s="3"/>
      <c r="V475" s="3"/>
      <c r="W475" s="3"/>
      <c r="X475" s="3"/>
      <c r="Y475" s="3"/>
      <c r="Z475" s="3"/>
      <c r="AA475" s="152"/>
    </row>
    <row r="476" spans="1:27" collapsed="1">
      <c r="A476" s="3"/>
      <c r="B476" s="3"/>
      <c r="C476" s="3"/>
      <c r="D476" s="133"/>
      <c r="E476" s="3"/>
      <c r="F476" s="3"/>
      <c r="G476" s="248"/>
      <c r="H476" s="1341"/>
      <c r="I476" s="1363"/>
      <c r="J476" s="1363"/>
      <c r="K476" s="1363"/>
      <c r="L476" s="1363"/>
      <c r="M476" s="1363"/>
      <c r="N476" s="1363"/>
      <c r="O476" s="1363"/>
      <c r="P476" s="1363"/>
      <c r="Q476" s="1363"/>
      <c r="R476" s="248"/>
      <c r="S476" s="3"/>
      <c r="T476" s="3"/>
      <c r="U476" s="3"/>
      <c r="V476" s="3"/>
      <c r="W476" s="3"/>
      <c r="X476" s="3"/>
      <c r="Y476" s="3"/>
      <c r="Z476" s="3"/>
      <c r="AA476" s="152"/>
    </row>
    <row r="477" spans="1:27">
      <c r="A477" s="152"/>
      <c r="B477" s="4"/>
      <c r="C477" s="418" t="s">
        <v>589</v>
      </c>
      <c r="D477" s="406"/>
      <c r="E477" s="406"/>
      <c r="F477" s="406"/>
      <c r="G477" s="1407"/>
      <c r="H477" s="1407"/>
      <c r="I477" s="1407">
        <f t="shared" ref="I477" si="19">SUM(I478:I527)</f>
        <v>0</v>
      </c>
      <c r="J477" s="1407">
        <f t="shared" ref="J477:Q477" si="20">SUM(J478:J527)</f>
        <v>0</v>
      </c>
      <c r="K477" s="1407">
        <f t="shared" si="20"/>
        <v>0</v>
      </c>
      <c r="L477" s="1407">
        <f>SUM(L478:L527)</f>
        <v>0</v>
      </c>
      <c r="M477" s="1407">
        <f t="shared" si="20"/>
        <v>0</v>
      </c>
      <c r="N477" s="1407">
        <f t="shared" si="20"/>
        <v>0</v>
      </c>
      <c r="O477" s="1407">
        <f t="shared" si="20"/>
        <v>0</v>
      </c>
      <c r="P477" s="1407">
        <f t="shared" si="20"/>
        <v>0</v>
      </c>
      <c r="Q477" s="1407">
        <f t="shared" si="20"/>
        <v>0</v>
      </c>
      <c r="R477" s="77"/>
      <c r="S477" s="77"/>
      <c r="T477" s="77"/>
      <c r="U477" s="77"/>
      <c r="V477" s="77"/>
      <c r="W477" s="77"/>
      <c r="X477" s="77"/>
      <c r="Y477" s="77"/>
      <c r="Z477" s="77"/>
      <c r="AA477" s="152"/>
    </row>
    <row r="478" spans="1:27" ht="12" hidden="1" customHeight="1" outlineLevel="1">
      <c r="A478" s="152"/>
      <c r="B478" s="3"/>
      <c r="C478" s="390"/>
      <c r="D478" s="412" t="str">
        <f>Asset1</f>
        <v>Mains</v>
      </c>
      <c r="E478" s="390"/>
      <c r="F478" s="390"/>
      <c r="G478" s="1373"/>
      <c r="H478" s="1408"/>
      <c r="I478" s="1408">
        <f>IF(I$321&gt;0, IF(J$321=0, 'Adjustment for previous period'!$G379, 0), 0)</f>
        <v>0</v>
      </c>
      <c r="J478" s="1408">
        <f>IF(J$321&gt;0, IF(K$321=0, 'Adjustment for previous period'!$G379, 0), 0)</f>
        <v>0</v>
      </c>
      <c r="K478" s="1408">
        <f>IF(K$321&gt;0, IF(L$321=0, 'Adjustment for previous period'!$G379, 0), 0)</f>
        <v>0</v>
      </c>
      <c r="L478" s="1408">
        <f>IF(L$321&gt;0, IF(M$321=0, 'Adjustment for previous period'!$G379, 0), 0)</f>
        <v>0</v>
      </c>
      <c r="M478" s="1408">
        <f>IF(M$321&gt;0, IF(N$321=0, 'Adjustment for previous period'!$G379, 0), 0)</f>
        <v>0</v>
      </c>
      <c r="N478" s="1408">
        <f>IF(N$321&gt;0, IF(O$321=0, 'Adjustment for previous period'!$G379, 0), 0)</f>
        <v>0</v>
      </c>
      <c r="O478" s="1408">
        <f>IF(O$321&gt;0, IF(P$321=0, 'Adjustment for previous period'!$G379, 0), 0)</f>
        <v>0</v>
      </c>
      <c r="P478" s="1408">
        <f>IF(P$321&gt;0, IF(Q$321=0, 'Adjustment for previous period'!$G379, 0), 0)</f>
        <v>0</v>
      </c>
      <c r="Q478" s="1408">
        <f>IF(Q$321&gt;0, IF(R$321=0, 'Adjustment for previous period'!$G379, 0), 0)</f>
        <v>0</v>
      </c>
      <c r="R478" s="1397"/>
      <c r="S478" s="4"/>
      <c r="T478" s="4"/>
      <c r="U478" s="4"/>
      <c r="V478" s="4"/>
      <c r="W478" s="4"/>
      <c r="X478" s="4"/>
      <c r="Y478" s="4"/>
      <c r="Z478" s="4"/>
      <c r="AA478" s="152"/>
    </row>
    <row r="479" spans="1:27" ht="12" hidden="1" customHeight="1" outlineLevel="1">
      <c r="A479" s="152"/>
      <c r="B479" s="3"/>
      <c r="C479" s="390"/>
      <c r="D479" s="412" t="str">
        <f>Asset2</f>
        <v>Inlets</v>
      </c>
      <c r="E479" s="390"/>
      <c r="F479" s="390"/>
      <c r="G479" s="1373"/>
      <c r="H479" s="1408"/>
      <c r="I479" s="1408">
        <f>IF(I$321&gt;0, IF(J$321=0, 'Adjustment for previous period'!$G380, 0), 0)</f>
        <v>0</v>
      </c>
      <c r="J479" s="1408">
        <f>IF(J$321&gt;0, IF(K$321=0, 'Adjustment for previous period'!$G380, 0), 0)</f>
        <v>0</v>
      </c>
      <c r="K479" s="1408">
        <f>IF(K$321&gt;0, IF(L$321=0, 'Adjustment for previous period'!$G380, 0), 0)</f>
        <v>0</v>
      </c>
      <c r="L479" s="1408">
        <f>IF(L$321&gt;0, IF(M$321=0, 'Adjustment for previous period'!$G380, 0), 0)</f>
        <v>0</v>
      </c>
      <c r="M479" s="1408">
        <f>IF(M$321&gt;0, IF(N$321=0, 'Adjustment for previous period'!$G380, 0), 0)</f>
        <v>0</v>
      </c>
      <c r="N479" s="1408">
        <f>IF(N$321&gt;0, IF(O$321=0, 'Adjustment for previous period'!$G380, 0), 0)</f>
        <v>0</v>
      </c>
      <c r="O479" s="1408">
        <f>IF(O$321&gt;0, IF(P$321=0, 'Adjustment for previous period'!$G380, 0), 0)</f>
        <v>0</v>
      </c>
      <c r="P479" s="1408">
        <f>IF(P$321&gt;0, IF(Q$321=0, 'Adjustment for previous period'!$G380, 0), 0)</f>
        <v>0</v>
      </c>
      <c r="Q479" s="1408">
        <f>IF(Q$321&gt;0, IF(R$321=0, 'Adjustment for previous period'!$G380, 0), 0)</f>
        <v>0</v>
      </c>
      <c r="R479" s="1397"/>
      <c r="S479" s="4"/>
      <c r="T479" s="4"/>
      <c r="U479" s="4"/>
      <c r="V479" s="4"/>
      <c r="W479" s="4"/>
      <c r="X479" s="4"/>
      <c r="Y479" s="4"/>
      <c r="Z479" s="4"/>
      <c r="AA479" s="152"/>
    </row>
    <row r="480" spans="1:27" ht="12" hidden="1" customHeight="1" outlineLevel="1">
      <c r="A480" s="152"/>
      <c r="B480" s="3"/>
      <c r="C480" s="390"/>
      <c r="D480" s="412" t="str">
        <f>Asset3</f>
        <v>Meters</v>
      </c>
      <c r="E480" s="390"/>
      <c r="F480" s="390"/>
      <c r="G480" s="1373"/>
      <c r="H480" s="1408"/>
      <c r="I480" s="1408">
        <f>IF(I$321&gt;0, IF(J$321=0, 'Adjustment for previous period'!$G381, 0), 0)</f>
        <v>0</v>
      </c>
      <c r="J480" s="1408">
        <f>IF(J$321&gt;0, IF(K$321=0, 'Adjustment for previous period'!$G381, 0), 0)</f>
        <v>0</v>
      </c>
      <c r="K480" s="1408">
        <f>IF(K$321&gt;0, IF(L$321=0, 'Adjustment for previous period'!$G381, 0), 0)</f>
        <v>0</v>
      </c>
      <c r="L480" s="1408">
        <f>IF(L$321&gt;0, IF(M$321=0, 'Adjustment for previous period'!$G381, 0), 0)</f>
        <v>0</v>
      </c>
      <c r="M480" s="1408">
        <f>IF(M$321&gt;0, IF(N$321=0, 'Adjustment for previous period'!$G381, 0), 0)</f>
        <v>0</v>
      </c>
      <c r="N480" s="1408">
        <f>IF(N$321&gt;0, IF(O$321=0, 'Adjustment for previous period'!$G381, 0), 0)</f>
        <v>0</v>
      </c>
      <c r="O480" s="1408">
        <f>IF(O$321&gt;0, IF(P$321=0, 'Adjustment for previous period'!$G381, 0), 0)</f>
        <v>0</v>
      </c>
      <c r="P480" s="1408">
        <f>IF(P$321&gt;0, IF(Q$321=0, 'Adjustment for previous period'!$G381, 0), 0)</f>
        <v>0</v>
      </c>
      <c r="Q480" s="1408">
        <f>IF(Q$321&gt;0, IF(R$321=0, 'Adjustment for previous period'!$G381, 0), 0)</f>
        <v>0</v>
      </c>
      <c r="R480" s="1397"/>
      <c r="S480" s="4"/>
      <c r="T480" s="4"/>
      <c r="U480" s="4"/>
      <c r="V480" s="4"/>
      <c r="W480" s="4"/>
      <c r="X480" s="4"/>
      <c r="Y480" s="4"/>
      <c r="Z480" s="4"/>
      <c r="AA480" s="152"/>
    </row>
    <row r="481" spans="1:27" ht="12" hidden="1" customHeight="1" outlineLevel="1">
      <c r="A481" s="152"/>
      <c r="B481" s="3"/>
      <c r="C481" s="390"/>
      <c r="D481" s="412" t="str">
        <f>Asset4</f>
        <v>Telemetry</v>
      </c>
      <c r="E481" s="390"/>
      <c r="F481" s="390"/>
      <c r="G481" s="1373"/>
      <c r="H481" s="1408"/>
      <c r="I481" s="1408">
        <f>IF(I$321&gt;0, IF(J$321=0, 'Adjustment for previous period'!$G382, 0), 0)</f>
        <v>0</v>
      </c>
      <c r="J481" s="1408">
        <f>IF(J$321&gt;0, IF(K$321=0, 'Adjustment for previous period'!$G382, 0), 0)</f>
        <v>0</v>
      </c>
      <c r="K481" s="1408">
        <f>IF(K$321&gt;0, IF(L$321=0, 'Adjustment for previous period'!$G382, 0), 0)</f>
        <v>0</v>
      </c>
      <c r="L481" s="1408">
        <f>IF(L$321&gt;0, IF(M$321=0, 'Adjustment for previous period'!$G382, 0), 0)</f>
        <v>0</v>
      </c>
      <c r="M481" s="1408">
        <f>IF(M$321&gt;0, IF(N$321=0, 'Adjustment for previous period'!$G382, 0), 0)</f>
        <v>0</v>
      </c>
      <c r="N481" s="1408">
        <f>IF(N$321&gt;0, IF(O$321=0, 'Adjustment for previous period'!$G382, 0), 0)</f>
        <v>0</v>
      </c>
      <c r="O481" s="1408">
        <f>IF(O$321&gt;0, IF(P$321=0, 'Adjustment for previous period'!$G382, 0), 0)</f>
        <v>0</v>
      </c>
      <c r="P481" s="1408">
        <f>IF(P$321&gt;0, IF(Q$321=0, 'Adjustment for previous period'!$G382, 0), 0)</f>
        <v>0</v>
      </c>
      <c r="Q481" s="1408">
        <f>IF(Q$321&gt;0, IF(R$321=0, 'Adjustment for previous period'!$G382, 0), 0)</f>
        <v>0</v>
      </c>
      <c r="R481" s="1397"/>
      <c r="S481" s="4"/>
      <c r="T481" s="4"/>
      <c r="U481" s="4"/>
      <c r="V481" s="4"/>
      <c r="W481" s="4"/>
      <c r="X481" s="4"/>
      <c r="Y481" s="4"/>
      <c r="Z481" s="4"/>
      <c r="AA481" s="152"/>
    </row>
    <row r="482" spans="1:27" ht="12" hidden="1" customHeight="1" outlineLevel="1">
      <c r="A482" s="152"/>
      <c r="B482" s="3"/>
      <c r="C482" s="390"/>
      <c r="D482" s="412" t="str">
        <f>Asset5</f>
        <v>IT System</v>
      </c>
      <c r="E482" s="390"/>
      <c r="F482" s="390"/>
      <c r="G482" s="1373"/>
      <c r="H482" s="1408"/>
      <c r="I482" s="1408">
        <f>IF(I$321&gt;0, IF(J$321=0, 'Adjustment for previous period'!$G383, 0), 0)</f>
        <v>0</v>
      </c>
      <c r="J482" s="1408">
        <f>IF(J$321&gt;0, IF(K$321=0, 'Adjustment for previous period'!$G383, 0), 0)</f>
        <v>0</v>
      </c>
      <c r="K482" s="1408">
        <f>IF(K$321&gt;0, IF(L$321=0, 'Adjustment for previous period'!$G383, 0), 0)</f>
        <v>0</v>
      </c>
      <c r="L482" s="1408">
        <f>IF(L$321&gt;0, IF(M$321=0, 'Adjustment for previous period'!$G383, 0), 0)</f>
        <v>0</v>
      </c>
      <c r="M482" s="1408">
        <f>IF(M$321&gt;0, IF(N$321=0, 'Adjustment for previous period'!$G383, 0), 0)</f>
        <v>0</v>
      </c>
      <c r="N482" s="1408">
        <f>IF(N$321&gt;0, IF(O$321=0, 'Adjustment for previous period'!$G383, 0), 0)</f>
        <v>0</v>
      </c>
      <c r="O482" s="1408">
        <f>IF(O$321&gt;0, IF(P$321=0, 'Adjustment for previous period'!$G383, 0), 0)</f>
        <v>0</v>
      </c>
      <c r="P482" s="1408">
        <f>IF(P$321&gt;0, IF(Q$321=0, 'Adjustment for previous period'!$G383, 0), 0)</f>
        <v>0</v>
      </c>
      <c r="Q482" s="1408">
        <f>IF(Q$321&gt;0, IF(R$321=0, 'Adjustment for previous period'!$G383, 0), 0)</f>
        <v>0</v>
      </c>
      <c r="R482" s="1397"/>
      <c r="S482" s="4"/>
      <c r="T482" s="4"/>
      <c r="U482" s="4"/>
      <c r="V482" s="4"/>
      <c r="W482" s="4"/>
      <c r="X482" s="4"/>
      <c r="Y482" s="4"/>
      <c r="Z482" s="4"/>
      <c r="AA482" s="152"/>
    </row>
    <row r="483" spans="1:27" ht="12" hidden="1" customHeight="1" outlineLevel="1">
      <c r="A483" s="152"/>
      <c r="B483" s="3"/>
      <c r="C483" s="390"/>
      <c r="D483" s="412" t="str">
        <f>Asset6</f>
        <v>Other Distribution System Equipment</v>
      </c>
      <c r="E483" s="390"/>
      <c r="F483" s="390"/>
      <c r="G483" s="1373"/>
      <c r="H483" s="1408"/>
      <c r="I483" s="1408">
        <f>IF(I$321&gt;0, IF(J$321=0, 'Adjustment for previous period'!$G384, 0), 0)</f>
        <v>0</v>
      </c>
      <c r="J483" s="1408">
        <f>IF(J$321&gt;0, IF(K$321=0, 'Adjustment for previous period'!$G384, 0), 0)</f>
        <v>0</v>
      </c>
      <c r="K483" s="1408">
        <f>IF(K$321&gt;0, IF(L$321=0, 'Adjustment for previous period'!$G384, 0), 0)</f>
        <v>0</v>
      </c>
      <c r="L483" s="1408">
        <f>IF(L$321&gt;0, IF(M$321=0, 'Adjustment for previous period'!$G384, 0), 0)</f>
        <v>0</v>
      </c>
      <c r="M483" s="1408">
        <f>IF(M$321&gt;0, IF(N$321=0, 'Adjustment for previous period'!$G384, 0), 0)</f>
        <v>0</v>
      </c>
      <c r="N483" s="1408">
        <f>IF(N$321&gt;0, IF(O$321=0, 'Adjustment for previous period'!$G384, 0), 0)</f>
        <v>0</v>
      </c>
      <c r="O483" s="1408">
        <f>IF(O$321&gt;0, IF(P$321=0, 'Adjustment for previous period'!$G384, 0), 0)</f>
        <v>0</v>
      </c>
      <c r="P483" s="1408">
        <f>IF(P$321&gt;0, IF(Q$321=0, 'Adjustment for previous period'!$G384, 0), 0)</f>
        <v>0</v>
      </c>
      <c r="Q483" s="1408">
        <f>IF(Q$321&gt;0, IF(R$321=0, 'Adjustment for previous period'!$G384, 0), 0)</f>
        <v>0</v>
      </c>
      <c r="R483" s="1397"/>
      <c r="S483" s="4"/>
      <c r="T483" s="4"/>
      <c r="U483" s="4"/>
      <c r="V483" s="4"/>
      <c r="W483" s="4"/>
      <c r="X483" s="4"/>
      <c r="Y483" s="4"/>
      <c r="Z483" s="4"/>
      <c r="AA483" s="152"/>
    </row>
    <row r="484" spans="1:27" ht="12" hidden="1" customHeight="1" outlineLevel="1">
      <c r="A484" s="152"/>
      <c r="B484" s="3"/>
      <c r="C484" s="390"/>
      <c r="D484" s="412" t="str">
        <f>Asset7</f>
        <v>Other</v>
      </c>
      <c r="E484" s="390"/>
      <c r="F484" s="390"/>
      <c r="G484" s="1373"/>
      <c r="H484" s="1408"/>
      <c r="I484" s="1408">
        <f>IF(I$321&gt;0, IF(J$321=0, 'Adjustment for previous period'!$G385, 0), 0)</f>
        <v>0</v>
      </c>
      <c r="J484" s="1408">
        <f>IF(J$321&gt;0, IF(K$321=0, 'Adjustment for previous period'!$G385, 0), 0)</f>
        <v>0</v>
      </c>
      <c r="K484" s="1408">
        <f>IF(K$321&gt;0, IF(L$321=0, 'Adjustment for previous period'!$G385, 0), 0)</f>
        <v>0</v>
      </c>
      <c r="L484" s="1408">
        <f>IF(L$321&gt;0, IF(M$321=0, 'Adjustment for previous period'!$G385, 0), 0)</f>
        <v>0</v>
      </c>
      <c r="M484" s="1408">
        <f>IF(M$321&gt;0, IF(N$321=0, 'Adjustment for previous period'!$G385, 0), 0)</f>
        <v>0</v>
      </c>
      <c r="N484" s="1408">
        <f>IF(N$321&gt;0, IF(O$321=0, 'Adjustment for previous period'!$G385, 0), 0)</f>
        <v>0</v>
      </c>
      <c r="O484" s="1408">
        <f>IF(O$321&gt;0, IF(P$321=0, 'Adjustment for previous period'!$G385, 0), 0)</f>
        <v>0</v>
      </c>
      <c r="P484" s="1408">
        <f>IF(P$321&gt;0, IF(Q$321=0, 'Adjustment for previous period'!$G385, 0), 0)</f>
        <v>0</v>
      </c>
      <c r="Q484" s="1408">
        <f>IF(Q$321&gt;0, IF(R$321=0, 'Adjustment for previous period'!$G385, 0), 0)</f>
        <v>0</v>
      </c>
      <c r="R484" s="1397"/>
      <c r="S484" s="4"/>
      <c r="T484" s="4"/>
      <c r="U484" s="4"/>
      <c r="V484" s="4"/>
      <c r="W484" s="4"/>
      <c r="X484" s="4"/>
      <c r="Y484" s="4"/>
      <c r="Z484" s="4"/>
      <c r="AA484" s="152"/>
    </row>
    <row r="485" spans="1:27" ht="12" hidden="1" customHeight="1" outlineLevel="1">
      <c r="A485" s="152"/>
      <c r="B485" s="3"/>
      <c r="C485" s="390"/>
      <c r="D485" s="412">
        <f>Asset8</f>
        <v>0</v>
      </c>
      <c r="E485" s="390"/>
      <c r="F485" s="390"/>
      <c r="G485" s="1373"/>
      <c r="H485" s="1408"/>
      <c r="I485" s="1408">
        <f>IF(I$321&gt;0, IF(J$321=0, 'Adjustment for previous period'!$G386, 0), 0)</f>
        <v>0</v>
      </c>
      <c r="J485" s="1408">
        <f>IF(J$321&gt;0, IF(K$321=0, 'Adjustment for previous period'!$G386, 0), 0)</f>
        <v>0</v>
      </c>
      <c r="K485" s="1408">
        <f>IF(K$321&gt;0, IF(L$321=0, 'Adjustment for previous period'!$G386, 0), 0)</f>
        <v>0</v>
      </c>
      <c r="L485" s="1408">
        <f>IF(L$321&gt;0, IF(M$321=0, 'Adjustment for previous period'!$G386, 0), 0)</f>
        <v>0</v>
      </c>
      <c r="M485" s="1408">
        <f>IF(M$321&gt;0, IF(N$321=0, 'Adjustment for previous period'!$G386, 0), 0)</f>
        <v>0</v>
      </c>
      <c r="N485" s="1408">
        <f>IF(N$321&gt;0, IF(O$321=0, 'Adjustment for previous period'!$G386, 0), 0)</f>
        <v>0</v>
      </c>
      <c r="O485" s="1408">
        <f>IF(O$321&gt;0, IF(P$321=0, 'Adjustment for previous period'!$G386, 0), 0)</f>
        <v>0</v>
      </c>
      <c r="P485" s="1408">
        <f>IF(P$321&gt;0, IF(Q$321=0, 'Adjustment for previous period'!$G386, 0), 0)</f>
        <v>0</v>
      </c>
      <c r="Q485" s="1408">
        <f>IF(Q$321&gt;0, IF(R$321=0, 'Adjustment for previous period'!$G386, 0), 0)</f>
        <v>0</v>
      </c>
      <c r="R485" s="1397"/>
      <c r="S485" s="4"/>
      <c r="T485" s="4"/>
      <c r="U485" s="4"/>
      <c r="V485" s="4"/>
      <c r="W485" s="4"/>
      <c r="X485" s="4"/>
      <c r="Y485" s="4"/>
      <c r="Z485" s="4"/>
      <c r="AA485" s="152"/>
    </row>
    <row r="486" spans="1:27" ht="12" hidden="1" customHeight="1" outlineLevel="1">
      <c r="A486" s="152"/>
      <c r="B486" s="3"/>
      <c r="C486" s="390"/>
      <c r="D486" s="412">
        <f>Asset9</f>
        <v>0</v>
      </c>
      <c r="E486" s="390"/>
      <c r="F486" s="390"/>
      <c r="G486" s="1373"/>
      <c r="H486" s="1408"/>
      <c r="I486" s="1408">
        <f>IF(I$321&gt;0, IF(J$321=0, 'Adjustment for previous period'!$G387, 0), 0)</f>
        <v>0</v>
      </c>
      <c r="J486" s="1408">
        <f>IF(J$321&gt;0, IF(K$321=0, 'Adjustment for previous period'!$G387, 0), 0)</f>
        <v>0</v>
      </c>
      <c r="K486" s="1408">
        <f>IF(K$321&gt;0, IF(L$321=0, 'Adjustment for previous period'!$G387, 0), 0)</f>
        <v>0</v>
      </c>
      <c r="L486" s="1408">
        <f>IF(L$321&gt;0, IF(M$321=0, 'Adjustment for previous period'!$G387, 0), 0)</f>
        <v>0</v>
      </c>
      <c r="M486" s="1408">
        <f>IF(M$321&gt;0, IF(N$321=0, 'Adjustment for previous period'!$G387, 0), 0)</f>
        <v>0</v>
      </c>
      <c r="N486" s="1408">
        <f>IF(N$321&gt;0, IF(O$321=0, 'Adjustment for previous period'!$G387, 0), 0)</f>
        <v>0</v>
      </c>
      <c r="O486" s="1408">
        <f>IF(O$321&gt;0, IF(P$321=0, 'Adjustment for previous period'!$G387, 0), 0)</f>
        <v>0</v>
      </c>
      <c r="P486" s="1408">
        <f>IF(P$321&gt;0, IF(Q$321=0, 'Adjustment for previous period'!$G387, 0), 0)</f>
        <v>0</v>
      </c>
      <c r="Q486" s="1408">
        <f>IF(Q$321&gt;0, IF(R$321=0, 'Adjustment for previous period'!$G387, 0), 0)</f>
        <v>0</v>
      </c>
      <c r="R486" s="1397"/>
      <c r="S486" s="4"/>
      <c r="T486" s="4"/>
      <c r="U486" s="4"/>
      <c r="V486" s="4"/>
      <c r="W486" s="4"/>
      <c r="X486" s="4"/>
      <c r="Y486" s="4"/>
      <c r="Z486" s="4"/>
      <c r="AA486" s="152"/>
    </row>
    <row r="487" spans="1:27" ht="12" hidden="1" customHeight="1" outlineLevel="1">
      <c r="A487" s="152"/>
      <c r="B487" s="3"/>
      <c r="C487" s="390"/>
      <c r="D487" s="412">
        <f>Asset10</f>
        <v>0</v>
      </c>
      <c r="E487" s="390"/>
      <c r="F487" s="390"/>
      <c r="G487" s="1373"/>
      <c r="H487" s="1408"/>
      <c r="I487" s="1408">
        <f>IF(I$321&gt;0, IF(J$321=0, 'Adjustment for previous period'!$G388, 0), 0)</f>
        <v>0</v>
      </c>
      <c r="J487" s="1408">
        <f>IF(J$321&gt;0, IF(K$321=0, 'Adjustment for previous period'!$G388, 0), 0)</f>
        <v>0</v>
      </c>
      <c r="K487" s="1408">
        <f>IF(K$321&gt;0, IF(L$321=0, 'Adjustment for previous period'!$G388, 0), 0)</f>
        <v>0</v>
      </c>
      <c r="L487" s="1408">
        <f>IF(L$321&gt;0, IF(M$321=0, 'Adjustment for previous period'!$G388, 0), 0)</f>
        <v>0</v>
      </c>
      <c r="M487" s="1408">
        <f>IF(M$321&gt;0, IF(N$321=0, 'Adjustment for previous period'!$G388, 0), 0)</f>
        <v>0</v>
      </c>
      <c r="N487" s="1408">
        <f>IF(N$321&gt;0, IF(O$321=0, 'Adjustment for previous period'!$G388, 0), 0)</f>
        <v>0</v>
      </c>
      <c r="O487" s="1408">
        <f>IF(O$321&gt;0, IF(P$321=0, 'Adjustment for previous period'!$G388, 0), 0)</f>
        <v>0</v>
      </c>
      <c r="P487" s="1408">
        <f>IF(P$321&gt;0, IF(Q$321=0, 'Adjustment for previous period'!$G388, 0), 0)</f>
        <v>0</v>
      </c>
      <c r="Q487" s="1408">
        <f>IF(Q$321&gt;0, IF(R$321=0, 'Adjustment for previous period'!$G388, 0), 0)</f>
        <v>0</v>
      </c>
      <c r="R487" s="1397"/>
      <c r="S487" s="4"/>
      <c r="T487" s="4"/>
      <c r="U487" s="4"/>
      <c r="V487" s="4"/>
      <c r="W487" s="4"/>
      <c r="X487" s="4"/>
      <c r="Y487" s="4"/>
      <c r="Z487" s="4"/>
      <c r="AA487" s="152"/>
    </row>
    <row r="488" spans="1:27" ht="12" hidden="1" customHeight="1" outlineLevel="1">
      <c r="A488" s="152"/>
      <c r="B488" s="3"/>
      <c r="C488" s="390"/>
      <c r="D488" s="412">
        <f>Asset11</f>
        <v>0</v>
      </c>
      <c r="E488" s="390"/>
      <c r="F488" s="390"/>
      <c r="G488" s="1373"/>
      <c r="H488" s="1408"/>
      <c r="I488" s="1408">
        <f>IF(I$321&gt;0, IF(J$321=0, 'Adjustment for previous period'!$G389, 0), 0)</f>
        <v>0</v>
      </c>
      <c r="J488" s="1408">
        <f>IF(J$321&gt;0, IF(K$321=0, 'Adjustment for previous period'!$G389, 0), 0)</f>
        <v>0</v>
      </c>
      <c r="K488" s="1408">
        <f>IF(K$321&gt;0, IF(L$321=0, 'Adjustment for previous period'!$G389, 0), 0)</f>
        <v>0</v>
      </c>
      <c r="L488" s="1408">
        <f>IF(L$321&gt;0, IF(M$321=0, 'Adjustment for previous period'!$G389, 0), 0)</f>
        <v>0</v>
      </c>
      <c r="M488" s="1408">
        <f>IF(M$321&gt;0, IF(N$321=0, 'Adjustment for previous period'!$G389, 0), 0)</f>
        <v>0</v>
      </c>
      <c r="N488" s="1408">
        <f>IF(N$321&gt;0, IF(O$321=0, 'Adjustment for previous period'!$G389, 0), 0)</f>
        <v>0</v>
      </c>
      <c r="O488" s="1408">
        <f>IF(O$321&gt;0, IF(P$321=0, 'Adjustment for previous period'!$G389, 0), 0)</f>
        <v>0</v>
      </c>
      <c r="P488" s="1408">
        <f>IF(P$321&gt;0, IF(Q$321=0, 'Adjustment for previous period'!$G389, 0), 0)</f>
        <v>0</v>
      </c>
      <c r="Q488" s="1408">
        <f>IF(Q$321&gt;0, IF(R$321=0, 'Adjustment for previous period'!$G389, 0), 0)</f>
        <v>0</v>
      </c>
      <c r="R488" s="1397"/>
      <c r="S488" s="4"/>
      <c r="T488" s="4"/>
      <c r="U488" s="4"/>
      <c r="V488" s="4"/>
      <c r="W488" s="4"/>
      <c r="X488" s="4"/>
      <c r="Y488" s="4"/>
      <c r="Z488" s="4"/>
      <c r="AA488" s="152"/>
    </row>
    <row r="489" spans="1:27" ht="12" hidden="1" customHeight="1" outlineLevel="1">
      <c r="A489" s="152"/>
      <c r="B489" s="3"/>
      <c r="C489" s="390"/>
      <c r="D489" s="412">
        <f>Asset12</f>
        <v>0</v>
      </c>
      <c r="E489" s="390"/>
      <c r="F489" s="390"/>
      <c r="G489" s="1373"/>
      <c r="H489" s="1408"/>
      <c r="I489" s="1408">
        <f>IF(I$321&gt;0, IF(J$321=0, 'Adjustment for previous period'!$G390, 0), 0)</f>
        <v>0</v>
      </c>
      <c r="J489" s="1408">
        <f>IF(J$321&gt;0, IF(K$321=0, 'Adjustment for previous period'!$G390, 0), 0)</f>
        <v>0</v>
      </c>
      <c r="K489" s="1408">
        <f>IF(K$321&gt;0, IF(L$321=0, 'Adjustment for previous period'!$G390, 0), 0)</f>
        <v>0</v>
      </c>
      <c r="L489" s="1408">
        <f>IF(L$321&gt;0, IF(M$321=0, 'Adjustment for previous period'!$G390, 0), 0)</f>
        <v>0</v>
      </c>
      <c r="M489" s="1408">
        <f>IF(M$321&gt;0, IF(N$321=0, 'Adjustment for previous period'!$G390, 0), 0)</f>
        <v>0</v>
      </c>
      <c r="N489" s="1408">
        <f>IF(N$321&gt;0, IF(O$321=0, 'Adjustment for previous period'!$G390, 0), 0)</f>
        <v>0</v>
      </c>
      <c r="O489" s="1408">
        <f>IF(O$321&gt;0, IF(P$321=0, 'Adjustment for previous period'!$G390, 0), 0)</f>
        <v>0</v>
      </c>
      <c r="P489" s="1408">
        <f>IF(P$321&gt;0, IF(Q$321=0, 'Adjustment for previous period'!$G390, 0), 0)</f>
        <v>0</v>
      </c>
      <c r="Q489" s="1408">
        <f>IF(Q$321&gt;0, IF(R$321=0, 'Adjustment for previous period'!$G390, 0), 0)</f>
        <v>0</v>
      </c>
      <c r="R489" s="1397"/>
      <c r="S489" s="4"/>
      <c r="T489" s="4"/>
      <c r="U489" s="4"/>
      <c r="V489" s="4"/>
      <c r="W489" s="4"/>
      <c r="X489" s="4"/>
      <c r="Y489" s="4"/>
      <c r="Z489" s="4"/>
      <c r="AA489" s="152"/>
    </row>
    <row r="490" spans="1:27" ht="12" hidden="1" customHeight="1" outlineLevel="1">
      <c r="A490" s="152"/>
      <c r="B490" s="3"/>
      <c r="C490" s="390"/>
      <c r="D490" s="412">
        <f>Asset13</f>
        <v>0</v>
      </c>
      <c r="E490" s="390"/>
      <c r="F490" s="390"/>
      <c r="G490" s="1373"/>
      <c r="H490" s="1408"/>
      <c r="I490" s="1408">
        <f>IF(I$321&gt;0, IF(J$321=0, 'Adjustment for previous period'!$G391, 0), 0)</f>
        <v>0</v>
      </c>
      <c r="J490" s="1408">
        <f>IF(J$321&gt;0, IF(K$321=0, 'Adjustment for previous period'!$G391, 0), 0)</f>
        <v>0</v>
      </c>
      <c r="K490" s="1408">
        <f>IF(K$321&gt;0, IF(L$321=0, 'Adjustment for previous period'!$G391, 0), 0)</f>
        <v>0</v>
      </c>
      <c r="L490" s="1408">
        <f>IF(L$321&gt;0, IF(M$321=0, 'Adjustment for previous period'!$G391, 0), 0)</f>
        <v>0</v>
      </c>
      <c r="M490" s="1408">
        <f>IF(M$321&gt;0, IF(N$321=0, 'Adjustment for previous period'!$G391, 0), 0)</f>
        <v>0</v>
      </c>
      <c r="N490" s="1408">
        <f>IF(N$321&gt;0, IF(O$321=0, 'Adjustment for previous period'!$G391, 0), 0)</f>
        <v>0</v>
      </c>
      <c r="O490" s="1408">
        <f>IF(O$321&gt;0, IF(P$321=0, 'Adjustment for previous period'!$G391, 0), 0)</f>
        <v>0</v>
      </c>
      <c r="P490" s="1408">
        <f>IF(P$321&gt;0, IF(Q$321=0, 'Adjustment for previous period'!$G391, 0), 0)</f>
        <v>0</v>
      </c>
      <c r="Q490" s="1408">
        <f>IF(Q$321&gt;0, IF(R$321=0, 'Adjustment for previous period'!$G391, 0), 0)</f>
        <v>0</v>
      </c>
      <c r="R490" s="1397"/>
      <c r="S490" s="4"/>
      <c r="T490" s="4"/>
      <c r="U490" s="4"/>
      <c r="V490" s="4"/>
      <c r="W490" s="4"/>
      <c r="X490" s="4"/>
      <c r="Y490" s="4"/>
      <c r="Z490" s="4"/>
      <c r="AA490" s="152"/>
    </row>
    <row r="491" spans="1:27" ht="12" hidden="1" customHeight="1" outlineLevel="1">
      <c r="A491" s="152"/>
      <c r="B491" s="3"/>
      <c r="C491" s="390"/>
      <c r="D491" s="412">
        <f>Asset14</f>
        <v>0</v>
      </c>
      <c r="E491" s="390"/>
      <c r="F491" s="390"/>
      <c r="G491" s="1373"/>
      <c r="H491" s="1408"/>
      <c r="I491" s="1408">
        <f>IF(I$321&gt;0, IF(J$321=0, 'Adjustment for previous period'!$G392, 0), 0)</f>
        <v>0</v>
      </c>
      <c r="J491" s="1408">
        <f>IF(J$321&gt;0, IF(K$321=0, 'Adjustment for previous period'!$G392, 0), 0)</f>
        <v>0</v>
      </c>
      <c r="K491" s="1408">
        <f>IF(K$321&gt;0, IF(L$321=0, 'Adjustment for previous period'!$G392, 0), 0)</f>
        <v>0</v>
      </c>
      <c r="L491" s="1408">
        <f>IF(L$321&gt;0, IF(M$321=0, 'Adjustment for previous period'!$G392, 0), 0)</f>
        <v>0</v>
      </c>
      <c r="M491" s="1408">
        <f>IF(M$321&gt;0, IF(N$321=0, 'Adjustment for previous period'!$G392, 0), 0)</f>
        <v>0</v>
      </c>
      <c r="N491" s="1408">
        <f>IF(N$321&gt;0, IF(O$321=0, 'Adjustment for previous period'!$G392, 0), 0)</f>
        <v>0</v>
      </c>
      <c r="O491" s="1408">
        <f>IF(O$321&gt;0, IF(P$321=0, 'Adjustment for previous period'!$G392, 0), 0)</f>
        <v>0</v>
      </c>
      <c r="P491" s="1408">
        <f>IF(P$321&gt;0, IF(Q$321=0, 'Adjustment for previous period'!$G392, 0), 0)</f>
        <v>0</v>
      </c>
      <c r="Q491" s="1408">
        <f>IF(Q$321&gt;0, IF(R$321=0, 'Adjustment for previous period'!$G392, 0), 0)</f>
        <v>0</v>
      </c>
      <c r="R491" s="1397"/>
      <c r="S491" s="4"/>
      <c r="T491" s="4"/>
      <c r="U491" s="4"/>
      <c r="V491" s="4"/>
      <c r="W491" s="4"/>
      <c r="X491" s="4"/>
      <c r="Y491" s="4"/>
      <c r="Z491" s="4"/>
      <c r="AA491" s="152"/>
    </row>
    <row r="492" spans="1:27" ht="12" hidden="1" customHeight="1" outlineLevel="1">
      <c r="A492" s="152"/>
      <c r="B492" s="3"/>
      <c r="C492" s="390"/>
      <c r="D492" s="412">
        <f>Asset15</f>
        <v>0</v>
      </c>
      <c r="E492" s="390"/>
      <c r="F492" s="390"/>
      <c r="G492" s="1373"/>
      <c r="H492" s="1408"/>
      <c r="I492" s="1408">
        <f>IF(I$321&gt;0, IF(J$321=0, 'Adjustment for previous period'!$G393, 0), 0)</f>
        <v>0</v>
      </c>
      <c r="J492" s="1408">
        <f>IF(J$321&gt;0, IF(K$321=0, 'Adjustment for previous period'!$G393, 0), 0)</f>
        <v>0</v>
      </c>
      <c r="K492" s="1408">
        <f>IF(K$321&gt;0, IF(L$321=0, 'Adjustment for previous period'!$G393, 0), 0)</f>
        <v>0</v>
      </c>
      <c r="L492" s="1408">
        <f>IF(L$321&gt;0, IF(M$321=0, 'Adjustment for previous period'!$G393, 0), 0)</f>
        <v>0</v>
      </c>
      <c r="M492" s="1408">
        <f>IF(M$321&gt;0, IF(N$321=0, 'Adjustment for previous period'!$G393, 0), 0)</f>
        <v>0</v>
      </c>
      <c r="N492" s="1408">
        <f>IF(N$321&gt;0, IF(O$321=0, 'Adjustment for previous period'!$G393, 0), 0)</f>
        <v>0</v>
      </c>
      <c r="O492" s="1408">
        <f>IF(O$321&gt;0, IF(P$321=0, 'Adjustment for previous period'!$G393, 0), 0)</f>
        <v>0</v>
      </c>
      <c r="P492" s="1408">
        <f>IF(P$321&gt;0, IF(Q$321=0, 'Adjustment for previous period'!$G393, 0), 0)</f>
        <v>0</v>
      </c>
      <c r="Q492" s="1408">
        <f>IF(Q$321&gt;0, IF(R$321=0, 'Adjustment for previous period'!$G393, 0), 0)</f>
        <v>0</v>
      </c>
      <c r="R492" s="1397"/>
      <c r="S492" s="4"/>
      <c r="T492" s="4"/>
      <c r="U492" s="4"/>
      <c r="V492" s="4"/>
      <c r="W492" s="4"/>
      <c r="X492" s="4"/>
      <c r="Y492" s="4"/>
      <c r="Z492" s="4"/>
      <c r="AA492" s="152"/>
    </row>
    <row r="493" spans="1:27" ht="12" hidden="1" customHeight="1" outlineLevel="1">
      <c r="A493" s="152"/>
      <c r="B493" s="3"/>
      <c r="C493" s="390"/>
      <c r="D493" s="412">
        <f>Asset16</f>
        <v>0</v>
      </c>
      <c r="E493" s="390"/>
      <c r="F493" s="390"/>
      <c r="G493" s="1373"/>
      <c r="H493" s="1408"/>
      <c r="I493" s="1408">
        <f>IF(I$321&gt;0, IF(J$321=0, 'Adjustment for previous period'!$G394, 0), 0)</f>
        <v>0</v>
      </c>
      <c r="J493" s="1408">
        <f>IF(J$321&gt;0, IF(K$321=0, 'Adjustment for previous period'!$G394, 0), 0)</f>
        <v>0</v>
      </c>
      <c r="K493" s="1408">
        <f>IF(K$321&gt;0, IF(L$321=0, 'Adjustment for previous period'!$G394, 0), 0)</f>
        <v>0</v>
      </c>
      <c r="L493" s="1408">
        <f>IF(L$321&gt;0, IF(M$321=0, 'Adjustment for previous period'!$G394, 0), 0)</f>
        <v>0</v>
      </c>
      <c r="M493" s="1408">
        <f>IF(M$321&gt;0, IF(N$321=0, 'Adjustment for previous period'!$G394, 0), 0)</f>
        <v>0</v>
      </c>
      <c r="N493" s="1408">
        <f>IF(N$321&gt;0, IF(O$321=0, 'Adjustment for previous period'!$G394, 0), 0)</f>
        <v>0</v>
      </c>
      <c r="O493" s="1408">
        <f>IF(O$321&gt;0, IF(P$321=0, 'Adjustment for previous period'!$G394, 0), 0)</f>
        <v>0</v>
      </c>
      <c r="P493" s="1408">
        <f>IF(P$321&gt;0, IF(Q$321=0, 'Adjustment for previous period'!$G394, 0), 0)</f>
        <v>0</v>
      </c>
      <c r="Q493" s="1408">
        <f>IF(Q$321&gt;0, IF(R$321=0, 'Adjustment for previous period'!$G394, 0), 0)</f>
        <v>0</v>
      </c>
      <c r="R493" s="1397"/>
      <c r="S493" s="4"/>
      <c r="T493" s="4"/>
      <c r="U493" s="4"/>
      <c r="V493" s="4"/>
      <c r="W493" s="4"/>
      <c r="X493" s="4"/>
      <c r="Y493" s="4"/>
      <c r="Z493" s="4"/>
      <c r="AA493" s="152"/>
    </row>
    <row r="494" spans="1:27" ht="12" hidden="1" customHeight="1" outlineLevel="1">
      <c r="A494" s="152"/>
      <c r="B494" s="3"/>
      <c r="C494" s="390"/>
      <c r="D494" s="412">
        <f>Asset17</f>
        <v>0</v>
      </c>
      <c r="E494" s="390"/>
      <c r="F494" s="390"/>
      <c r="G494" s="1373"/>
      <c r="H494" s="1408"/>
      <c r="I494" s="1408">
        <f>IF(I$321&gt;0, IF(J$321=0, 'Adjustment for previous period'!$G395, 0), 0)</f>
        <v>0</v>
      </c>
      <c r="J494" s="1408">
        <f>IF(J$321&gt;0, IF(K$321=0, 'Adjustment for previous period'!$G395, 0), 0)</f>
        <v>0</v>
      </c>
      <c r="K494" s="1408">
        <f>IF(K$321&gt;0, IF(L$321=0, 'Adjustment for previous period'!$G395, 0), 0)</f>
        <v>0</v>
      </c>
      <c r="L494" s="1408">
        <f>IF(L$321&gt;0, IF(M$321=0, 'Adjustment for previous period'!$G395, 0), 0)</f>
        <v>0</v>
      </c>
      <c r="M494" s="1408">
        <f>IF(M$321&gt;0, IF(N$321=0, 'Adjustment for previous period'!$G395, 0), 0)</f>
        <v>0</v>
      </c>
      <c r="N494" s="1408">
        <f>IF(N$321&gt;0, IF(O$321=0, 'Adjustment for previous period'!$G395, 0), 0)</f>
        <v>0</v>
      </c>
      <c r="O494" s="1408">
        <f>IF(O$321&gt;0, IF(P$321=0, 'Adjustment for previous period'!$G395, 0), 0)</f>
        <v>0</v>
      </c>
      <c r="P494" s="1408">
        <f>IF(P$321&gt;0, IF(Q$321=0, 'Adjustment for previous period'!$G395, 0), 0)</f>
        <v>0</v>
      </c>
      <c r="Q494" s="1408">
        <f>IF(Q$321&gt;0, IF(R$321=0, 'Adjustment for previous period'!$G395, 0), 0)</f>
        <v>0</v>
      </c>
      <c r="R494" s="1397"/>
      <c r="S494" s="4"/>
      <c r="T494" s="4"/>
      <c r="U494" s="4"/>
      <c r="V494" s="4"/>
      <c r="W494" s="4"/>
      <c r="X494" s="4"/>
      <c r="Y494" s="4"/>
      <c r="Z494" s="4"/>
      <c r="AA494" s="152"/>
    </row>
    <row r="495" spans="1:27" ht="12" hidden="1" customHeight="1" outlineLevel="1">
      <c r="A495" s="152"/>
      <c r="B495" s="3"/>
      <c r="C495" s="390"/>
      <c r="D495" s="412">
        <f>Asset18</f>
        <v>0</v>
      </c>
      <c r="E495" s="390"/>
      <c r="F495" s="390"/>
      <c r="G495" s="1373"/>
      <c r="H495" s="1408"/>
      <c r="I495" s="1408">
        <f>IF(I$321&gt;0, IF(J$321=0, 'Adjustment for previous period'!$G396, 0), 0)</f>
        <v>0</v>
      </c>
      <c r="J495" s="1408">
        <f>IF(J$321&gt;0, IF(K$321=0, 'Adjustment for previous period'!$G396, 0), 0)</f>
        <v>0</v>
      </c>
      <c r="K495" s="1408">
        <f>IF(K$321&gt;0, IF(L$321=0, 'Adjustment for previous period'!$G396, 0), 0)</f>
        <v>0</v>
      </c>
      <c r="L495" s="1408">
        <f>IF(L$321&gt;0, IF(M$321=0, 'Adjustment for previous period'!$G396, 0), 0)</f>
        <v>0</v>
      </c>
      <c r="M495" s="1408">
        <f>IF(M$321&gt;0, IF(N$321=0, 'Adjustment for previous period'!$G396, 0), 0)</f>
        <v>0</v>
      </c>
      <c r="N495" s="1408">
        <f>IF(N$321&gt;0, IF(O$321=0, 'Adjustment for previous period'!$G396, 0), 0)</f>
        <v>0</v>
      </c>
      <c r="O495" s="1408">
        <f>IF(O$321&gt;0, IF(P$321=0, 'Adjustment for previous period'!$G396, 0), 0)</f>
        <v>0</v>
      </c>
      <c r="P495" s="1408">
        <f>IF(P$321&gt;0, IF(Q$321=0, 'Adjustment for previous period'!$G396, 0), 0)</f>
        <v>0</v>
      </c>
      <c r="Q495" s="1408">
        <f>IF(Q$321&gt;0, IF(R$321=0, 'Adjustment for previous period'!$G396, 0), 0)</f>
        <v>0</v>
      </c>
      <c r="R495" s="1397"/>
      <c r="S495" s="4"/>
      <c r="T495" s="4"/>
      <c r="U495" s="4"/>
      <c r="V495" s="4"/>
      <c r="W495" s="4"/>
      <c r="X495" s="4"/>
      <c r="Y495" s="4"/>
      <c r="Z495" s="4"/>
      <c r="AA495" s="152"/>
    </row>
    <row r="496" spans="1:27" ht="12" hidden="1" customHeight="1" outlineLevel="1">
      <c r="A496" s="152"/>
      <c r="B496" s="3"/>
      <c r="C496" s="390"/>
      <c r="D496" s="412">
        <f>Asset19</f>
        <v>0</v>
      </c>
      <c r="E496" s="390"/>
      <c r="F496" s="390"/>
      <c r="G496" s="1373"/>
      <c r="H496" s="1408"/>
      <c r="I496" s="1408">
        <f>IF(I$321&gt;0, IF(J$321=0, 'Adjustment for previous period'!$G397, 0), 0)</f>
        <v>0</v>
      </c>
      <c r="J496" s="1408">
        <f>IF(J$321&gt;0, IF(K$321=0, 'Adjustment for previous period'!$G397, 0), 0)</f>
        <v>0</v>
      </c>
      <c r="K496" s="1408">
        <f>IF(K$321&gt;0, IF(L$321=0, 'Adjustment for previous period'!$G397, 0), 0)</f>
        <v>0</v>
      </c>
      <c r="L496" s="1408">
        <f>IF(L$321&gt;0, IF(M$321=0, 'Adjustment for previous period'!$G397, 0), 0)</f>
        <v>0</v>
      </c>
      <c r="M496" s="1408">
        <f>IF(M$321&gt;0, IF(N$321=0, 'Adjustment for previous period'!$G397, 0), 0)</f>
        <v>0</v>
      </c>
      <c r="N496" s="1408">
        <f>IF(N$321&gt;0, IF(O$321=0, 'Adjustment for previous period'!$G397, 0), 0)</f>
        <v>0</v>
      </c>
      <c r="O496" s="1408">
        <f>IF(O$321&gt;0, IF(P$321=0, 'Adjustment for previous period'!$G397, 0), 0)</f>
        <v>0</v>
      </c>
      <c r="P496" s="1408">
        <f>IF(P$321&gt;0, IF(Q$321=0, 'Adjustment for previous period'!$G397, 0), 0)</f>
        <v>0</v>
      </c>
      <c r="Q496" s="1408">
        <f>IF(Q$321&gt;0, IF(R$321=0, 'Adjustment for previous period'!$G397, 0), 0)</f>
        <v>0</v>
      </c>
      <c r="R496" s="1397"/>
      <c r="S496" s="4"/>
      <c r="T496" s="4"/>
      <c r="U496" s="4"/>
      <c r="V496" s="4"/>
      <c r="W496" s="4"/>
      <c r="X496" s="4"/>
      <c r="Y496" s="4"/>
      <c r="Z496" s="4"/>
      <c r="AA496" s="152"/>
    </row>
    <row r="497" spans="1:27" ht="12" hidden="1" customHeight="1" outlineLevel="1">
      <c r="A497" s="152"/>
      <c r="B497" s="3"/>
      <c r="C497" s="390"/>
      <c r="D497" s="412">
        <f>Asset20</f>
        <v>0</v>
      </c>
      <c r="E497" s="390"/>
      <c r="F497" s="390"/>
      <c r="G497" s="1373"/>
      <c r="H497" s="1408"/>
      <c r="I497" s="1408">
        <f>IF(I$321&gt;0, IF(J$321=0, 'Adjustment for previous period'!$G398, 0), 0)</f>
        <v>0</v>
      </c>
      <c r="J497" s="1408">
        <f>IF(J$321&gt;0, IF(K$321=0, 'Adjustment for previous period'!$G398, 0), 0)</f>
        <v>0</v>
      </c>
      <c r="K497" s="1408">
        <f>IF(K$321&gt;0, IF(L$321=0, 'Adjustment for previous period'!$G398, 0), 0)</f>
        <v>0</v>
      </c>
      <c r="L497" s="1408">
        <f>IF(L$321&gt;0, IF(M$321=0, 'Adjustment for previous period'!$G398, 0), 0)</f>
        <v>0</v>
      </c>
      <c r="M497" s="1408">
        <f>IF(M$321&gt;0, IF(N$321=0, 'Adjustment for previous period'!$G398, 0), 0)</f>
        <v>0</v>
      </c>
      <c r="N497" s="1408">
        <f>IF(N$321&gt;0, IF(O$321=0, 'Adjustment for previous period'!$G398, 0), 0)</f>
        <v>0</v>
      </c>
      <c r="O497" s="1408">
        <f>IF(O$321&gt;0, IF(P$321=0, 'Adjustment for previous period'!$G398, 0), 0)</f>
        <v>0</v>
      </c>
      <c r="P497" s="1408">
        <f>IF(P$321&gt;0, IF(Q$321=0, 'Adjustment for previous period'!$G398, 0), 0)</f>
        <v>0</v>
      </c>
      <c r="Q497" s="1408">
        <f>IF(Q$321&gt;0, IF(R$321=0, 'Adjustment for previous period'!$G398, 0), 0)</f>
        <v>0</v>
      </c>
      <c r="R497" s="1397"/>
      <c r="S497" s="4"/>
      <c r="T497" s="4"/>
      <c r="U497" s="4"/>
      <c r="V497" s="4"/>
      <c r="W497" s="4"/>
      <c r="X497" s="4"/>
      <c r="Y497" s="4"/>
      <c r="Z497" s="4"/>
      <c r="AA497" s="152"/>
    </row>
    <row r="498" spans="1:27" ht="12" hidden="1" customHeight="1" outlineLevel="1">
      <c r="A498" s="152"/>
      <c r="B498" s="3"/>
      <c r="C498" s="390"/>
      <c r="D498" s="412">
        <f>Asset21</f>
        <v>0</v>
      </c>
      <c r="E498" s="390"/>
      <c r="F498" s="390"/>
      <c r="G498" s="1373"/>
      <c r="H498" s="1408"/>
      <c r="I498" s="1408">
        <f>IF(I$321&gt;0, IF(J$321=0, 'Adjustment for previous period'!$G399, 0), 0)</f>
        <v>0</v>
      </c>
      <c r="J498" s="1408">
        <f>IF(J$321&gt;0, IF(K$321=0, 'Adjustment for previous period'!$G399, 0), 0)</f>
        <v>0</v>
      </c>
      <c r="K498" s="1408">
        <f>IF(K$321&gt;0, IF(L$321=0, 'Adjustment for previous period'!$G399, 0), 0)</f>
        <v>0</v>
      </c>
      <c r="L498" s="1408">
        <f>IF(L$321&gt;0, IF(M$321=0, 'Adjustment for previous period'!$G399, 0), 0)</f>
        <v>0</v>
      </c>
      <c r="M498" s="1408">
        <f>IF(M$321&gt;0, IF(N$321=0, 'Adjustment for previous period'!$G399, 0), 0)</f>
        <v>0</v>
      </c>
      <c r="N498" s="1408">
        <f>IF(N$321&gt;0, IF(O$321=0, 'Adjustment for previous period'!$G399, 0), 0)</f>
        <v>0</v>
      </c>
      <c r="O498" s="1408">
        <f>IF(O$321&gt;0, IF(P$321=0, 'Adjustment for previous period'!$G399, 0), 0)</f>
        <v>0</v>
      </c>
      <c r="P498" s="1408">
        <f>IF(P$321&gt;0, IF(Q$321=0, 'Adjustment for previous period'!$G399, 0), 0)</f>
        <v>0</v>
      </c>
      <c r="Q498" s="1408">
        <f>IF(Q$321&gt;0, IF(R$321=0, 'Adjustment for previous period'!$G399, 0), 0)</f>
        <v>0</v>
      </c>
      <c r="R498" s="1397"/>
      <c r="S498" s="4"/>
      <c r="T498" s="4"/>
      <c r="U498" s="4"/>
      <c r="V498" s="4"/>
      <c r="W498" s="4"/>
      <c r="X498" s="4"/>
      <c r="Y498" s="4"/>
      <c r="Z498" s="4"/>
      <c r="AA498" s="152"/>
    </row>
    <row r="499" spans="1:27" ht="12" hidden="1" customHeight="1" outlineLevel="1">
      <c r="A499" s="152"/>
      <c r="B499" s="3"/>
      <c r="C499" s="390"/>
      <c r="D499" s="412">
        <f>Asset22</f>
        <v>0</v>
      </c>
      <c r="E499" s="390"/>
      <c r="F499" s="390"/>
      <c r="G499" s="1373"/>
      <c r="H499" s="1408"/>
      <c r="I499" s="1408">
        <f>IF(I$321&gt;0, IF(J$321=0, 'Adjustment for previous period'!$G400, 0), 0)</f>
        <v>0</v>
      </c>
      <c r="J499" s="1408">
        <f>IF(J$321&gt;0, IF(K$321=0, 'Adjustment for previous period'!$G400, 0), 0)</f>
        <v>0</v>
      </c>
      <c r="K499" s="1408">
        <f>IF(K$321&gt;0, IF(L$321=0, 'Adjustment for previous period'!$G400, 0), 0)</f>
        <v>0</v>
      </c>
      <c r="L499" s="1408">
        <f>IF(L$321&gt;0, IF(M$321=0, 'Adjustment for previous period'!$G400, 0), 0)</f>
        <v>0</v>
      </c>
      <c r="M499" s="1408">
        <f>IF(M$321&gt;0, IF(N$321=0, 'Adjustment for previous period'!$G400, 0), 0)</f>
        <v>0</v>
      </c>
      <c r="N499" s="1408">
        <f>IF(N$321&gt;0, IF(O$321=0, 'Adjustment for previous period'!$G400, 0), 0)</f>
        <v>0</v>
      </c>
      <c r="O499" s="1408">
        <f>IF(O$321&gt;0, IF(P$321=0, 'Adjustment for previous period'!$G400, 0), 0)</f>
        <v>0</v>
      </c>
      <c r="P499" s="1408">
        <f>IF(P$321&gt;0, IF(Q$321=0, 'Adjustment for previous period'!$G400, 0), 0)</f>
        <v>0</v>
      </c>
      <c r="Q499" s="1408">
        <f>IF(Q$321&gt;0, IF(R$321=0, 'Adjustment for previous period'!$G400, 0), 0)</f>
        <v>0</v>
      </c>
      <c r="R499" s="1397"/>
      <c r="S499" s="4"/>
      <c r="T499" s="4"/>
      <c r="U499" s="4"/>
      <c r="V499" s="4"/>
      <c r="W499" s="4"/>
      <c r="X499" s="4"/>
      <c r="Y499" s="4"/>
      <c r="Z499" s="4"/>
      <c r="AA499" s="152"/>
    </row>
    <row r="500" spans="1:27" ht="12" hidden="1" customHeight="1" outlineLevel="1">
      <c r="A500" s="152"/>
      <c r="B500" s="3"/>
      <c r="C500" s="390"/>
      <c r="D500" s="412">
        <f>Asset23</f>
        <v>0</v>
      </c>
      <c r="E500" s="390"/>
      <c r="F500" s="390"/>
      <c r="G500" s="1373"/>
      <c r="H500" s="1408"/>
      <c r="I500" s="1408">
        <f>IF(I$321&gt;0, IF(J$321=0, 'Adjustment for previous period'!$G401, 0), 0)</f>
        <v>0</v>
      </c>
      <c r="J500" s="1408">
        <f>IF(J$321&gt;0, IF(K$321=0, 'Adjustment for previous period'!$G401, 0), 0)</f>
        <v>0</v>
      </c>
      <c r="K500" s="1408">
        <f>IF(K$321&gt;0, IF(L$321=0, 'Adjustment for previous period'!$G401, 0), 0)</f>
        <v>0</v>
      </c>
      <c r="L500" s="1408">
        <f>IF(L$321&gt;0, IF(M$321=0, 'Adjustment for previous period'!$G401, 0), 0)</f>
        <v>0</v>
      </c>
      <c r="M500" s="1408">
        <f>IF(M$321&gt;0, IF(N$321=0, 'Adjustment for previous period'!$G401, 0), 0)</f>
        <v>0</v>
      </c>
      <c r="N500" s="1408">
        <f>IF(N$321&gt;0, IF(O$321=0, 'Adjustment for previous period'!$G401, 0), 0)</f>
        <v>0</v>
      </c>
      <c r="O500" s="1408">
        <f>IF(O$321&gt;0, IF(P$321=0, 'Adjustment for previous period'!$G401, 0), 0)</f>
        <v>0</v>
      </c>
      <c r="P500" s="1408">
        <f>IF(P$321&gt;0, IF(Q$321=0, 'Adjustment for previous period'!$G401, 0), 0)</f>
        <v>0</v>
      </c>
      <c r="Q500" s="1408">
        <f>IF(Q$321&gt;0, IF(R$321=0, 'Adjustment for previous period'!$G401, 0), 0)</f>
        <v>0</v>
      </c>
      <c r="R500" s="1397"/>
      <c r="S500" s="4"/>
      <c r="T500" s="4"/>
      <c r="U500" s="4"/>
      <c r="V500" s="4"/>
      <c r="W500" s="4"/>
      <c r="X500" s="4"/>
      <c r="Y500" s="4"/>
      <c r="Z500" s="4"/>
      <c r="AA500" s="152"/>
    </row>
    <row r="501" spans="1:27" ht="12" hidden="1" customHeight="1" outlineLevel="1">
      <c r="A501" s="152"/>
      <c r="B501" s="3"/>
      <c r="C501" s="390"/>
      <c r="D501" s="412">
        <f>Asset24</f>
        <v>0</v>
      </c>
      <c r="E501" s="390"/>
      <c r="F501" s="390"/>
      <c r="G501" s="1373"/>
      <c r="H501" s="1408"/>
      <c r="I501" s="1408">
        <f>IF(I$321&gt;0, IF(J$321=0, 'Adjustment for previous period'!$G402, 0), 0)</f>
        <v>0</v>
      </c>
      <c r="J501" s="1408">
        <f>IF(J$321&gt;0, IF(K$321=0, 'Adjustment for previous period'!$G402, 0), 0)</f>
        <v>0</v>
      </c>
      <c r="K501" s="1408">
        <f>IF(K$321&gt;0, IF(L$321=0, 'Adjustment for previous period'!$G402, 0), 0)</f>
        <v>0</v>
      </c>
      <c r="L501" s="1408">
        <f>IF(L$321&gt;0, IF(M$321=0, 'Adjustment for previous period'!$G402, 0), 0)</f>
        <v>0</v>
      </c>
      <c r="M501" s="1408">
        <f>IF(M$321&gt;0, IF(N$321=0, 'Adjustment for previous period'!$G402, 0), 0)</f>
        <v>0</v>
      </c>
      <c r="N501" s="1408">
        <f>IF(N$321&gt;0, IF(O$321=0, 'Adjustment for previous period'!$G402, 0), 0)</f>
        <v>0</v>
      </c>
      <c r="O501" s="1408">
        <f>IF(O$321&gt;0, IF(P$321=0, 'Adjustment for previous period'!$G402, 0), 0)</f>
        <v>0</v>
      </c>
      <c r="P501" s="1408">
        <f>IF(P$321&gt;0, IF(Q$321=0, 'Adjustment for previous period'!$G402, 0), 0)</f>
        <v>0</v>
      </c>
      <c r="Q501" s="1408">
        <f>IF(Q$321&gt;0, IF(R$321=0, 'Adjustment for previous period'!$G402, 0), 0)</f>
        <v>0</v>
      </c>
      <c r="R501" s="1397"/>
      <c r="S501" s="4"/>
      <c r="T501" s="4"/>
      <c r="U501" s="4"/>
      <c r="V501" s="4"/>
      <c r="W501" s="4"/>
      <c r="X501" s="4"/>
      <c r="Y501" s="4"/>
      <c r="Z501" s="4"/>
      <c r="AA501" s="152"/>
    </row>
    <row r="502" spans="1:27" ht="12" hidden="1" customHeight="1" outlineLevel="1">
      <c r="A502" s="152"/>
      <c r="B502" s="3"/>
      <c r="C502" s="390"/>
      <c r="D502" s="412">
        <f>Asset25</f>
        <v>0</v>
      </c>
      <c r="E502" s="390"/>
      <c r="F502" s="390"/>
      <c r="G502" s="1373"/>
      <c r="H502" s="1408"/>
      <c r="I502" s="1408">
        <f>IF(I$321&gt;0, IF(J$321=0, 'Adjustment for previous period'!$G403, 0), 0)</f>
        <v>0</v>
      </c>
      <c r="J502" s="1408">
        <f>IF(J$321&gt;0, IF(K$321=0, 'Adjustment for previous period'!$G403, 0), 0)</f>
        <v>0</v>
      </c>
      <c r="K502" s="1408">
        <f>IF(K$321&gt;0, IF(L$321=0, 'Adjustment for previous period'!$G403, 0), 0)</f>
        <v>0</v>
      </c>
      <c r="L502" s="1408">
        <f>IF(L$321&gt;0, IF(M$321=0, 'Adjustment for previous period'!$G403, 0), 0)</f>
        <v>0</v>
      </c>
      <c r="M502" s="1408">
        <f>IF(M$321&gt;0, IF(N$321=0, 'Adjustment for previous period'!$G403, 0), 0)</f>
        <v>0</v>
      </c>
      <c r="N502" s="1408">
        <f>IF(N$321&gt;0, IF(O$321=0, 'Adjustment for previous period'!$G403, 0), 0)</f>
        <v>0</v>
      </c>
      <c r="O502" s="1408">
        <f>IF(O$321&gt;0, IF(P$321=0, 'Adjustment for previous period'!$G403, 0), 0)</f>
        <v>0</v>
      </c>
      <c r="P502" s="1408">
        <f>IF(P$321&gt;0, IF(Q$321=0, 'Adjustment for previous period'!$G403, 0), 0)</f>
        <v>0</v>
      </c>
      <c r="Q502" s="1408">
        <f>IF(Q$321&gt;0, IF(R$321=0, 'Adjustment for previous period'!$G403, 0), 0)</f>
        <v>0</v>
      </c>
      <c r="R502" s="1397"/>
      <c r="S502" s="4"/>
      <c r="T502" s="4"/>
      <c r="U502" s="4"/>
      <c r="V502" s="4"/>
      <c r="W502" s="4"/>
      <c r="X502" s="4"/>
      <c r="Y502" s="4"/>
      <c r="Z502" s="4"/>
      <c r="AA502" s="152"/>
    </row>
    <row r="503" spans="1:27" ht="12" hidden="1" customHeight="1" outlineLevel="1">
      <c r="A503" s="152"/>
      <c r="B503" s="3"/>
      <c r="C503" s="390"/>
      <c r="D503" s="412">
        <f>Asset26</f>
        <v>0</v>
      </c>
      <c r="E503" s="390"/>
      <c r="F503" s="390"/>
      <c r="G503" s="1373"/>
      <c r="H503" s="1408"/>
      <c r="I503" s="1408">
        <f>IF(I$321&gt;0, IF(J$321=0, 'Adjustment for previous period'!$G404, 0), 0)</f>
        <v>0</v>
      </c>
      <c r="J503" s="1408">
        <f>IF(J$321&gt;0, IF(K$321=0, 'Adjustment for previous period'!$G404, 0), 0)</f>
        <v>0</v>
      </c>
      <c r="K503" s="1408">
        <f>IF(K$321&gt;0, IF(L$321=0, 'Adjustment for previous period'!$G404, 0), 0)</f>
        <v>0</v>
      </c>
      <c r="L503" s="1408">
        <f>IF(L$321&gt;0, IF(M$321=0, 'Adjustment for previous period'!$G404, 0), 0)</f>
        <v>0</v>
      </c>
      <c r="M503" s="1408">
        <f>IF(M$321&gt;0, IF(N$321=0, 'Adjustment for previous period'!$G404, 0), 0)</f>
        <v>0</v>
      </c>
      <c r="N503" s="1408">
        <f>IF(N$321&gt;0, IF(O$321=0, 'Adjustment for previous period'!$G404, 0), 0)</f>
        <v>0</v>
      </c>
      <c r="O503" s="1408">
        <f>IF(O$321&gt;0, IF(P$321=0, 'Adjustment for previous period'!$G404, 0), 0)</f>
        <v>0</v>
      </c>
      <c r="P503" s="1408">
        <f>IF(P$321&gt;0, IF(Q$321=0, 'Adjustment for previous period'!$G404, 0), 0)</f>
        <v>0</v>
      </c>
      <c r="Q503" s="1408">
        <f>IF(Q$321&gt;0, IF(R$321=0, 'Adjustment for previous period'!$G404, 0), 0)</f>
        <v>0</v>
      </c>
      <c r="R503" s="1397"/>
      <c r="S503" s="4"/>
      <c r="T503" s="4"/>
      <c r="U503" s="4"/>
      <c r="V503" s="4"/>
      <c r="W503" s="4"/>
      <c r="X503" s="4"/>
      <c r="Y503" s="4"/>
      <c r="Z503" s="4"/>
      <c r="AA503" s="152"/>
    </row>
    <row r="504" spans="1:27" ht="12" hidden="1" customHeight="1" outlineLevel="1">
      <c r="A504" s="152"/>
      <c r="B504" s="3"/>
      <c r="C504" s="390"/>
      <c r="D504" s="412">
        <f>Asset27</f>
        <v>0</v>
      </c>
      <c r="E504" s="390"/>
      <c r="F504" s="390"/>
      <c r="G504" s="1373"/>
      <c r="H504" s="1408"/>
      <c r="I504" s="1408">
        <f>IF(I$321&gt;0, IF(J$321=0, 'Adjustment for previous period'!$G405, 0), 0)</f>
        <v>0</v>
      </c>
      <c r="J504" s="1408">
        <f>IF(J$321&gt;0, IF(K$321=0, 'Adjustment for previous period'!$G405, 0), 0)</f>
        <v>0</v>
      </c>
      <c r="K504" s="1408">
        <f>IF(K$321&gt;0, IF(L$321=0, 'Adjustment for previous period'!$G405, 0), 0)</f>
        <v>0</v>
      </c>
      <c r="L504" s="1408">
        <f>IF(L$321&gt;0, IF(M$321=0, 'Adjustment for previous period'!$G405, 0), 0)</f>
        <v>0</v>
      </c>
      <c r="M504" s="1408">
        <f>IF(M$321&gt;0, IF(N$321=0, 'Adjustment for previous period'!$G405, 0), 0)</f>
        <v>0</v>
      </c>
      <c r="N504" s="1408">
        <f>IF(N$321&gt;0, IF(O$321=0, 'Adjustment for previous period'!$G405, 0), 0)</f>
        <v>0</v>
      </c>
      <c r="O504" s="1408">
        <f>IF(O$321&gt;0, IF(P$321=0, 'Adjustment for previous period'!$G405, 0), 0)</f>
        <v>0</v>
      </c>
      <c r="P504" s="1408">
        <f>IF(P$321&gt;0, IF(Q$321=0, 'Adjustment for previous period'!$G405, 0), 0)</f>
        <v>0</v>
      </c>
      <c r="Q504" s="1408">
        <f>IF(Q$321&gt;0, IF(R$321=0, 'Adjustment for previous period'!$G405, 0), 0)</f>
        <v>0</v>
      </c>
      <c r="R504" s="1397"/>
      <c r="S504" s="4"/>
      <c r="T504" s="4"/>
      <c r="U504" s="4"/>
      <c r="V504" s="4"/>
      <c r="W504" s="4"/>
      <c r="X504" s="4"/>
      <c r="Y504" s="4"/>
      <c r="Z504" s="4"/>
      <c r="AA504" s="152"/>
    </row>
    <row r="505" spans="1:27" ht="12" hidden="1" customHeight="1" outlineLevel="1">
      <c r="A505" s="152"/>
      <c r="B505" s="3"/>
      <c r="C505" s="390"/>
      <c r="D505" s="412">
        <f>Asset28</f>
        <v>0</v>
      </c>
      <c r="E505" s="390"/>
      <c r="F505" s="390"/>
      <c r="G505" s="1373"/>
      <c r="H505" s="1408"/>
      <c r="I505" s="1408">
        <f>IF(I$321&gt;0, IF(J$321=0, 'Adjustment for previous period'!$G406, 0), 0)</f>
        <v>0</v>
      </c>
      <c r="J505" s="1408">
        <f>IF(J$321&gt;0, IF(K$321=0, 'Adjustment for previous period'!$G406, 0), 0)</f>
        <v>0</v>
      </c>
      <c r="K505" s="1408">
        <f>IF(K$321&gt;0, IF(L$321=0, 'Adjustment for previous period'!$G406, 0), 0)</f>
        <v>0</v>
      </c>
      <c r="L505" s="1408">
        <f>IF(L$321&gt;0, IF(M$321=0, 'Adjustment for previous period'!$G406, 0), 0)</f>
        <v>0</v>
      </c>
      <c r="M505" s="1408">
        <f>IF(M$321&gt;0, IF(N$321=0, 'Adjustment for previous period'!$G406, 0), 0)</f>
        <v>0</v>
      </c>
      <c r="N505" s="1408">
        <f>IF(N$321&gt;0, IF(O$321=0, 'Adjustment for previous period'!$G406, 0), 0)</f>
        <v>0</v>
      </c>
      <c r="O505" s="1408">
        <f>IF(O$321&gt;0, IF(P$321=0, 'Adjustment for previous period'!$G406, 0), 0)</f>
        <v>0</v>
      </c>
      <c r="P505" s="1408">
        <f>IF(P$321&gt;0, IF(Q$321=0, 'Adjustment for previous period'!$G406, 0), 0)</f>
        <v>0</v>
      </c>
      <c r="Q505" s="1408">
        <f>IF(Q$321&gt;0, IF(R$321=0, 'Adjustment for previous period'!$G406, 0), 0)</f>
        <v>0</v>
      </c>
      <c r="R505" s="1397"/>
      <c r="S505" s="4"/>
      <c r="T505" s="4"/>
      <c r="U505" s="4"/>
      <c r="V505" s="4"/>
      <c r="W505" s="4"/>
      <c r="X505" s="4"/>
      <c r="Y505" s="4"/>
      <c r="Z505" s="4"/>
      <c r="AA505" s="152"/>
    </row>
    <row r="506" spans="1:27" ht="12" hidden="1" customHeight="1" outlineLevel="1">
      <c r="A506" s="152"/>
      <c r="B506" s="3"/>
      <c r="C506" s="390"/>
      <c r="D506" s="412">
        <f>Asset29</f>
        <v>0</v>
      </c>
      <c r="E506" s="390"/>
      <c r="F506" s="390"/>
      <c r="G506" s="1373"/>
      <c r="H506" s="1408"/>
      <c r="I506" s="1408">
        <f>IF(I$321&gt;0, IF(J$321=0, 'Adjustment for previous period'!$G407, 0), 0)</f>
        <v>0</v>
      </c>
      <c r="J506" s="1408">
        <f>IF(J$321&gt;0, IF(K$321=0, 'Adjustment for previous period'!$G407, 0), 0)</f>
        <v>0</v>
      </c>
      <c r="K506" s="1408">
        <f>IF(K$321&gt;0, IF(L$321=0, 'Adjustment for previous period'!$G407, 0), 0)</f>
        <v>0</v>
      </c>
      <c r="L506" s="1408">
        <f>IF(L$321&gt;0, IF(M$321=0, 'Adjustment for previous period'!$G407, 0), 0)</f>
        <v>0</v>
      </c>
      <c r="M506" s="1408">
        <f>IF(M$321&gt;0, IF(N$321=0, 'Adjustment for previous period'!$G407, 0), 0)</f>
        <v>0</v>
      </c>
      <c r="N506" s="1408">
        <f>IF(N$321&gt;0, IF(O$321=0, 'Adjustment for previous period'!$G407, 0), 0)</f>
        <v>0</v>
      </c>
      <c r="O506" s="1408">
        <f>IF(O$321&gt;0, IF(P$321=0, 'Adjustment for previous period'!$G407, 0), 0)</f>
        <v>0</v>
      </c>
      <c r="P506" s="1408">
        <f>IF(P$321&gt;0, IF(Q$321=0, 'Adjustment for previous period'!$G407, 0), 0)</f>
        <v>0</v>
      </c>
      <c r="Q506" s="1408">
        <f>IF(Q$321&gt;0, IF(R$321=0, 'Adjustment for previous period'!$G407, 0), 0)</f>
        <v>0</v>
      </c>
      <c r="R506" s="1397"/>
      <c r="S506" s="4"/>
      <c r="T506" s="4"/>
      <c r="U506" s="4"/>
      <c r="V506" s="4"/>
      <c r="W506" s="4"/>
      <c r="X506" s="4"/>
      <c r="Y506" s="4"/>
      <c r="Z506" s="4"/>
      <c r="AA506" s="152"/>
    </row>
    <row r="507" spans="1:27" ht="12" hidden="1" customHeight="1" outlineLevel="1">
      <c r="A507" s="152"/>
      <c r="B507" s="3"/>
      <c r="C507" s="390"/>
      <c r="D507" s="412">
        <f>Asset30</f>
        <v>0</v>
      </c>
      <c r="E507" s="390"/>
      <c r="F507" s="390"/>
      <c r="G507" s="1373"/>
      <c r="H507" s="1408"/>
      <c r="I507" s="1408">
        <f>IF(I$321&gt;0, IF(J$321=0, 'Adjustment for previous period'!$G408, 0), 0)</f>
        <v>0</v>
      </c>
      <c r="J507" s="1408">
        <f>IF(J$321&gt;0, IF(K$321=0, 'Adjustment for previous period'!$G408, 0), 0)</f>
        <v>0</v>
      </c>
      <c r="K507" s="1408">
        <f>IF(K$321&gt;0, IF(L$321=0, 'Adjustment for previous period'!$G408, 0), 0)</f>
        <v>0</v>
      </c>
      <c r="L507" s="1408">
        <f>IF(L$321&gt;0, IF(M$321=0, 'Adjustment for previous period'!$G408, 0), 0)</f>
        <v>0</v>
      </c>
      <c r="M507" s="1408">
        <f>IF(M$321&gt;0, IF(N$321=0, 'Adjustment for previous period'!$G408, 0), 0)</f>
        <v>0</v>
      </c>
      <c r="N507" s="1408">
        <f>IF(N$321&gt;0, IF(O$321=0, 'Adjustment for previous period'!$G408, 0), 0)</f>
        <v>0</v>
      </c>
      <c r="O507" s="1408">
        <f>IF(O$321&gt;0, IF(P$321=0, 'Adjustment for previous period'!$G408, 0), 0)</f>
        <v>0</v>
      </c>
      <c r="P507" s="1408">
        <f>IF(P$321&gt;0, IF(Q$321=0, 'Adjustment for previous period'!$G408, 0), 0)</f>
        <v>0</v>
      </c>
      <c r="Q507" s="1408">
        <f>IF(Q$321&gt;0, IF(R$321=0, 'Adjustment for previous period'!$G408, 0), 0)</f>
        <v>0</v>
      </c>
      <c r="R507" s="1397"/>
      <c r="S507" s="4"/>
      <c r="T507" s="4"/>
      <c r="U507" s="4"/>
      <c r="V507" s="4"/>
      <c r="W507" s="4"/>
      <c r="X507" s="4"/>
      <c r="Y507" s="4"/>
      <c r="Z507" s="4"/>
      <c r="AA507" s="152"/>
    </row>
    <row r="508" spans="1:27" ht="12" hidden="1" customHeight="1" outlineLevel="1">
      <c r="A508" s="152"/>
      <c r="B508" s="3"/>
      <c r="C508" s="390"/>
      <c r="D508" s="412">
        <f>Asset31</f>
        <v>0</v>
      </c>
      <c r="E508" s="390"/>
      <c r="F508" s="390"/>
      <c r="G508" s="1373"/>
      <c r="H508" s="1408"/>
      <c r="I508" s="1408">
        <f>IF(I$321&gt;0, IF(J$321=0, 'Adjustment for previous period'!$G409, 0), 0)</f>
        <v>0</v>
      </c>
      <c r="J508" s="1408">
        <f>IF(J$321&gt;0, IF(K$321=0, 'Adjustment for previous period'!$G409, 0), 0)</f>
        <v>0</v>
      </c>
      <c r="K508" s="1408">
        <f>IF(K$321&gt;0, IF(L$321=0, 'Adjustment for previous period'!$G409, 0), 0)</f>
        <v>0</v>
      </c>
      <c r="L508" s="1408">
        <f>IF(L$321&gt;0, IF(M$321=0, 'Adjustment for previous period'!$G409, 0), 0)</f>
        <v>0</v>
      </c>
      <c r="M508" s="1408">
        <f>IF(M$321&gt;0, IF(N$321=0, 'Adjustment for previous period'!$G409, 0), 0)</f>
        <v>0</v>
      </c>
      <c r="N508" s="1408">
        <f>IF(N$321&gt;0, IF(O$321=0, 'Adjustment for previous period'!$G409, 0), 0)</f>
        <v>0</v>
      </c>
      <c r="O508" s="1408">
        <f>IF(O$321&gt;0, IF(P$321=0, 'Adjustment for previous period'!$G409, 0), 0)</f>
        <v>0</v>
      </c>
      <c r="P508" s="1408">
        <f>IF(P$321&gt;0, IF(Q$321=0, 'Adjustment for previous period'!$G409, 0), 0)</f>
        <v>0</v>
      </c>
      <c r="Q508" s="1408">
        <f>IF(Q$321&gt;0, IF(R$321=0, 'Adjustment for previous period'!$G409, 0), 0)</f>
        <v>0</v>
      </c>
      <c r="R508" s="1397"/>
      <c r="S508" s="4"/>
      <c r="T508" s="4"/>
      <c r="U508" s="4"/>
      <c r="V508" s="4"/>
      <c r="W508" s="4"/>
      <c r="X508" s="4"/>
      <c r="Y508" s="4"/>
      <c r="Z508" s="4"/>
      <c r="AA508" s="152"/>
    </row>
    <row r="509" spans="1:27" ht="12" hidden="1" customHeight="1" outlineLevel="1">
      <c r="A509" s="152"/>
      <c r="B509" s="3"/>
      <c r="C509" s="390"/>
      <c r="D509" s="412">
        <f>Asset32</f>
        <v>0</v>
      </c>
      <c r="E509" s="390"/>
      <c r="F509" s="390"/>
      <c r="G509" s="1373"/>
      <c r="H509" s="1408"/>
      <c r="I509" s="1408">
        <f>IF(I$321&gt;0, IF(J$321=0, 'Adjustment for previous period'!$G410, 0), 0)</f>
        <v>0</v>
      </c>
      <c r="J509" s="1408">
        <f>IF(J$321&gt;0, IF(K$321=0, 'Adjustment for previous period'!$G410, 0), 0)</f>
        <v>0</v>
      </c>
      <c r="K509" s="1408">
        <f>IF(K$321&gt;0, IF(L$321=0, 'Adjustment for previous period'!$G410, 0), 0)</f>
        <v>0</v>
      </c>
      <c r="L509" s="1408">
        <f>IF(L$321&gt;0, IF(M$321=0, 'Adjustment for previous period'!$G410, 0), 0)</f>
        <v>0</v>
      </c>
      <c r="M509" s="1408">
        <f>IF(M$321&gt;0, IF(N$321=0, 'Adjustment for previous period'!$G410, 0), 0)</f>
        <v>0</v>
      </c>
      <c r="N509" s="1408">
        <f>IF(N$321&gt;0, IF(O$321=0, 'Adjustment for previous period'!$G410, 0), 0)</f>
        <v>0</v>
      </c>
      <c r="O509" s="1408">
        <f>IF(O$321&gt;0, IF(P$321=0, 'Adjustment for previous period'!$G410, 0), 0)</f>
        <v>0</v>
      </c>
      <c r="P509" s="1408">
        <f>IF(P$321&gt;0, IF(Q$321=0, 'Adjustment for previous period'!$G410, 0), 0)</f>
        <v>0</v>
      </c>
      <c r="Q509" s="1408">
        <f>IF(Q$321&gt;0, IF(R$321=0, 'Adjustment for previous period'!$G410, 0), 0)</f>
        <v>0</v>
      </c>
      <c r="R509" s="1397"/>
      <c r="S509" s="4"/>
      <c r="T509" s="4"/>
      <c r="U509" s="4"/>
      <c r="V509" s="4"/>
      <c r="W509" s="4"/>
      <c r="X509" s="4"/>
      <c r="Y509" s="4"/>
      <c r="Z509" s="4"/>
      <c r="AA509" s="152"/>
    </row>
    <row r="510" spans="1:27" ht="12" hidden="1" customHeight="1" outlineLevel="1">
      <c r="A510" s="152"/>
      <c r="B510" s="3"/>
      <c r="C510" s="390"/>
      <c r="D510" s="412">
        <f>Asset33</f>
        <v>0</v>
      </c>
      <c r="E510" s="390"/>
      <c r="F510" s="390"/>
      <c r="G510" s="1373"/>
      <c r="H510" s="1408"/>
      <c r="I510" s="1408">
        <f>IF(I$321&gt;0, IF(J$321=0, 'Adjustment for previous period'!$G411, 0), 0)</f>
        <v>0</v>
      </c>
      <c r="J510" s="1408">
        <f>IF(J$321&gt;0, IF(K$321=0, 'Adjustment for previous period'!$G411, 0), 0)</f>
        <v>0</v>
      </c>
      <c r="K510" s="1408">
        <f>IF(K$321&gt;0, IF(L$321=0, 'Adjustment for previous period'!$G411, 0), 0)</f>
        <v>0</v>
      </c>
      <c r="L510" s="1408">
        <f>IF(L$321&gt;0, IF(M$321=0, 'Adjustment for previous period'!$G411, 0), 0)</f>
        <v>0</v>
      </c>
      <c r="M510" s="1408">
        <f>IF(M$321&gt;0, IF(N$321=0, 'Adjustment for previous period'!$G411, 0), 0)</f>
        <v>0</v>
      </c>
      <c r="N510" s="1408">
        <f>IF(N$321&gt;0, IF(O$321=0, 'Adjustment for previous period'!$G411, 0), 0)</f>
        <v>0</v>
      </c>
      <c r="O510" s="1408">
        <f>IF(O$321&gt;0, IF(P$321=0, 'Adjustment for previous period'!$G411, 0), 0)</f>
        <v>0</v>
      </c>
      <c r="P510" s="1408">
        <f>IF(P$321&gt;0, IF(Q$321=0, 'Adjustment for previous period'!$G411, 0), 0)</f>
        <v>0</v>
      </c>
      <c r="Q510" s="1408">
        <f>IF(Q$321&gt;0, IF(R$321=0, 'Adjustment for previous period'!$G411, 0), 0)</f>
        <v>0</v>
      </c>
      <c r="R510" s="1397"/>
      <c r="S510" s="4"/>
      <c r="T510" s="4"/>
      <c r="U510" s="4"/>
      <c r="V510" s="4"/>
      <c r="W510" s="4"/>
      <c r="X510" s="4"/>
      <c r="Y510" s="4"/>
      <c r="Z510" s="4"/>
      <c r="AA510" s="152"/>
    </row>
    <row r="511" spans="1:27" ht="12" hidden="1" customHeight="1" outlineLevel="1">
      <c r="A511" s="152"/>
      <c r="B511" s="3"/>
      <c r="C511" s="390"/>
      <c r="D511" s="412">
        <f>Asset34</f>
        <v>0</v>
      </c>
      <c r="E511" s="390"/>
      <c r="F511" s="390"/>
      <c r="G511" s="1373"/>
      <c r="H511" s="1408"/>
      <c r="I511" s="1408">
        <f>IF(I$321&gt;0, IF(J$321=0, 'Adjustment for previous period'!$G412, 0), 0)</f>
        <v>0</v>
      </c>
      <c r="J511" s="1408">
        <f>IF(J$321&gt;0, IF(K$321=0, 'Adjustment for previous period'!$G412, 0), 0)</f>
        <v>0</v>
      </c>
      <c r="K511" s="1408">
        <f>IF(K$321&gt;0, IF(L$321=0, 'Adjustment for previous period'!$G412, 0), 0)</f>
        <v>0</v>
      </c>
      <c r="L511" s="1408">
        <f>IF(L$321&gt;0, IF(M$321=0, 'Adjustment for previous period'!$G412, 0), 0)</f>
        <v>0</v>
      </c>
      <c r="M511" s="1408">
        <f>IF(M$321&gt;0, IF(N$321=0, 'Adjustment for previous period'!$G412, 0), 0)</f>
        <v>0</v>
      </c>
      <c r="N511" s="1408">
        <f>IF(N$321&gt;0, IF(O$321=0, 'Adjustment for previous period'!$G412, 0), 0)</f>
        <v>0</v>
      </c>
      <c r="O511" s="1408">
        <f>IF(O$321&gt;0, IF(P$321=0, 'Adjustment for previous period'!$G412, 0), 0)</f>
        <v>0</v>
      </c>
      <c r="P511" s="1408">
        <f>IF(P$321&gt;0, IF(Q$321=0, 'Adjustment for previous period'!$G412, 0), 0)</f>
        <v>0</v>
      </c>
      <c r="Q511" s="1408">
        <f>IF(Q$321&gt;0, IF(R$321=0, 'Adjustment for previous period'!$G412, 0), 0)</f>
        <v>0</v>
      </c>
      <c r="R511" s="1397"/>
      <c r="S511" s="4"/>
      <c r="T511" s="4"/>
      <c r="U511" s="4"/>
      <c r="V511" s="4"/>
      <c r="W511" s="4"/>
      <c r="X511" s="4"/>
      <c r="Y511" s="4"/>
      <c r="Z511" s="4"/>
      <c r="AA511" s="152"/>
    </row>
    <row r="512" spans="1:27" ht="12" hidden="1" customHeight="1" outlineLevel="1">
      <c r="A512" s="152"/>
      <c r="B512" s="3"/>
      <c r="C512" s="390"/>
      <c r="D512" s="412">
        <f>Asset35</f>
        <v>0</v>
      </c>
      <c r="E512" s="390"/>
      <c r="F512" s="390"/>
      <c r="G512" s="1373"/>
      <c r="H512" s="1408"/>
      <c r="I512" s="1408">
        <f>IF(I$321&gt;0, IF(J$321=0, 'Adjustment for previous period'!$G413, 0), 0)</f>
        <v>0</v>
      </c>
      <c r="J512" s="1408">
        <f>IF(J$321&gt;0, IF(K$321=0, 'Adjustment for previous period'!$G413, 0), 0)</f>
        <v>0</v>
      </c>
      <c r="K512" s="1408">
        <f>IF(K$321&gt;0, IF(L$321=0, 'Adjustment for previous period'!$G413, 0), 0)</f>
        <v>0</v>
      </c>
      <c r="L512" s="1408">
        <f>IF(L$321&gt;0, IF(M$321=0, 'Adjustment for previous period'!$G413, 0), 0)</f>
        <v>0</v>
      </c>
      <c r="M512" s="1408">
        <f>IF(M$321&gt;0, IF(N$321=0, 'Adjustment for previous period'!$G413, 0), 0)</f>
        <v>0</v>
      </c>
      <c r="N512" s="1408">
        <f>IF(N$321&gt;0, IF(O$321=0, 'Adjustment for previous period'!$G413, 0), 0)</f>
        <v>0</v>
      </c>
      <c r="O512" s="1408">
        <f>IF(O$321&gt;0, IF(P$321=0, 'Adjustment for previous period'!$G413, 0), 0)</f>
        <v>0</v>
      </c>
      <c r="P512" s="1408">
        <f>IF(P$321&gt;0, IF(Q$321=0, 'Adjustment for previous period'!$G413, 0), 0)</f>
        <v>0</v>
      </c>
      <c r="Q512" s="1408">
        <f>IF(Q$321&gt;0, IF(R$321=0, 'Adjustment for previous period'!$G413, 0), 0)</f>
        <v>0</v>
      </c>
      <c r="R512" s="1397"/>
      <c r="S512" s="4"/>
      <c r="T512" s="4"/>
      <c r="U512" s="4"/>
      <c r="V512" s="4"/>
      <c r="W512" s="4"/>
      <c r="X512" s="4"/>
      <c r="Y512" s="4"/>
      <c r="Z512" s="4"/>
      <c r="AA512" s="152"/>
    </row>
    <row r="513" spans="1:27" ht="12" hidden="1" customHeight="1" outlineLevel="1">
      <c r="A513" s="152"/>
      <c r="B513" s="3"/>
      <c r="C513" s="390"/>
      <c r="D513" s="412">
        <f>Asset36</f>
        <v>0</v>
      </c>
      <c r="E513" s="390"/>
      <c r="F513" s="390"/>
      <c r="G513" s="1373"/>
      <c r="H513" s="1408"/>
      <c r="I513" s="1408">
        <f>IF(I$321&gt;0, IF(J$321=0, 'Adjustment for previous period'!$G414, 0), 0)</f>
        <v>0</v>
      </c>
      <c r="J513" s="1408">
        <f>IF(J$321&gt;0, IF(K$321=0, 'Adjustment for previous period'!$G414, 0), 0)</f>
        <v>0</v>
      </c>
      <c r="K513" s="1408">
        <f>IF(K$321&gt;0, IF(L$321=0, 'Adjustment for previous period'!$G414, 0), 0)</f>
        <v>0</v>
      </c>
      <c r="L513" s="1408">
        <f>IF(L$321&gt;0, IF(M$321=0, 'Adjustment for previous period'!$G414, 0), 0)</f>
        <v>0</v>
      </c>
      <c r="M513" s="1408">
        <f>IF(M$321&gt;0, IF(N$321=0, 'Adjustment for previous period'!$G414, 0), 0)</f>
        <v>0</v>
      </c>
      <c r="N513" s="1408">
        <f>IF(N$321&gt;0, IF(O$321=0, 'Adjustment for previous period'!$G414, 0), 0)</f>
        <v>0</v>
      </c>
      <c r="O513" s="1408">
        <f>IF(O$321&gt;0, IF(P$321=0, 'Adjustment for previous period'!$G414, 0), 0)</f>
        <v>0</v>
      </c>
      <c r="P513" s="1408">
        <f>IF(P$321&gt;0, IF(Q$321=0, 'Adjustment for previous period'!$G414, 0), 0)</f>
        <v>0</v>
      </c>
      <c r="Q513" s="1408">
        <f>IF(Q$321&gt;0, IF(R$321=0, 'Adjustment for previous period'!$G414, 0), 0)</f>
        <v>0</v>
      </c>
      <c r="R513" s="1397"/>
      <c r="S513" s="4"/>
      <c r="T513" s="4"/>
      <c r="U513" s="4"/>
      <c r="V513" s="4"/>
      <c r="W513" s="4"/>
      <c r="X513" s="4"/>
      <c r="Y513" s="4"/>
      <c r="Z513" s="4"/>
      <c r="AA513" s="152"/>
    </row>
    <row r="514" spans="1:27" ht="12" hidden="1" customHeight="1" outlineLevel="1">
      <c r="A514" s="152"/>
      <c r="B514" s="3"/>
      <c r="C514" s="390"/>
      <c r="D514" s="412">
        <f>Asset37</f>
        <v>0</v>
      </c>
      <c r="E514" s="390"/>
      <c r="F514" s="390"/>
      <c r="G514" s="1373"/>
      <c r="H514" s="1408"/>
      <c r="I514" s="1408">
        <f>IF(I$321&gt;0, IF(J$321=0, 'Adjustment for previous period'!$G415, 0), 0)</f>
        <v>0</v>
      </c>
      <c r="J514" s="1408">
        <f>IF(J$321&gt;0, IF(K$321=0, 'Adjustment for previous period'!$G415, 0), 0)</f>
        <v>0</v>
      </c>
      <c r="K514" s="1408">
        <f>IF(K$321&gt;0, IF(L$321=0, 'Adjustment for previous period'!$G415, 0), 0)</f>
        <v>0</v>
      </c>
      <c r="L514" s="1408">
        <f>IF(L$321&gt;0, IF(M$321=0, 'Adjustment for previous period'!$G415, 0), 0)</f>
        <v>0</v>
      </c>
      <c r="M514" s="1408">
        <f>IF(M$321&gt;0, IF(N$321=0, 'Adjustment for previous period'!$G415, 0), 0)</f>
        <v>0</v>
      </c>
      <c r="N514" s="1408">
        <f>IF(N$321&gt;0, IF(O$321=0, 'Adjustment for previous period'!$G415, 0), 0)</f>
        <v>0</v>
      </c>
      <c r="O514" s="1408">
        <f>IF(O$321&gt;0, IF(P$321=0, 'Adjustment for previous period'!$G415, 0), 0)</f>
        <v>0</v>
      </c>
      <c r="P514" s="1408">
        <f>IF(P$321&gt;0, IF(Q$321=0, 'Adjustment for previous period'!$G415, 0), 0)</f>
        <v>0</v>
      </c>
      <c r="Q514" s="1408">
        <f>IF(Q$321&gt;0, IF(R$321=0, 'Adjustment for previous period'!$G415, 0), 0)</f>
        <v>0</v>
      </c>
      <c r="R514" s="1397"/>
      <c r="S514" s="4"/>
      <c r="T514" s="4"/>
      <c r="U514" s="4"/>
      <c r="V514" s="4"/>
      <c r="W514" s="4"/>
      <c r="X514" s="4"/>
      <c r="Y514" s="4"/>
      <c r="Z514" s="4"/>
      <c r="AA514" s="152"/>
    </row>
    <row r="515" spans="1:27" ht="12" hidden="1" customHeight="1" outlineLevel="1">
      <c r="A515" s="152"/>
      <c r="B515" s="3"/>
      <c r="C515" s="390"/>
      <c r="D515" s="412">
        <f>Asset38</f>
        <v>0</v>
      </c>
      <c r="E515" s="390"/>
      <c r="F515" s="390"/>
      <c r="G515" s="1373"/>
      <c r="H515" s="1408"/>
      <c r="I515" s="1408">
        <f>IF(I$321&gt;0, IF(J$321=0, 'Adjustment for previous period'!$G416, 0), 0)</f>
        <v>0</v>
      </c>
      <c r="J515" s="1408">
        <f>IF(J$321&gt;0, IF(K$321=0, 'Adjustment for previous period'!$G416, 0), 0)</f>
        <v>0</v>
      </c>
      <c r="K515" s="1408">
        <f>IF(K$321&gt;0, IF(L$321=0, 'Adjustment for previous period'!$G416, 0), 0)</f>
        <v>0</v>
      </c>
      <c r="L515" s="1408">
        <f>IF(L$321&gt;0, IF(M$321=0, 'Adjustment for previous period'!$G416, 0), 0)</f>
        <v>0</v>
      </c>
      <c r="M515" s="1408">
        <f>IF(M$321&gt;0, IF(N$321=0, 'Adjustment for previous period'!$G416, 0), 0)</f>
        <v>0</v>
      </c>
      <c r="N515" s="1408">
        <f>IF(N$321&gt;0, IF(O$321=0, 'Adjustment for previous period'!$G416, 0), 0)</f>
        <v>0</v>
      </c>
      <c r="O515" s="1408">
        <f>IF(O$321&gt;0, IF(P$321=0, 'Adjustment for previous period'!$G416, 0), 0)</f>
        <v>0</v>
      </c>
      <c r="P515" s="1408">
        <f>IF(P$321&gt;0, IF(Q$321=0, 'Adjustment for previous period'!$G416, 0), 0)</f>
        <v>0</v>
      </c>
      <c r="Q515" s="1408">
        <f>IF(Q$321&gt;0, IF(R$321=0, 'Adjustment for previous period'!$G416, 0), 0)</f>
        <v>0</v>
      </c>
      <c r="R515" s="1397"/>
      <c r="S515" s="4"/>
      <c r="T515" s="4"/>
      <c r="U515" s="4"/>
      <c r="V515" s="4"/>
      <c r="W515" s="4"/>
      <c r="X515" s="4"/>
      <c r="Y515" s="4"/>
      <c r="Z515" s="4"/>
      <c r="AA515" s="152"/>
    </row>
    <row r="516" spans="1:27" ht="12" hidden="1" customHeight="1" outlineLevel="1">
      <c r="A516" s="152"/>
      <c r="B516" s="3"/>
      <c r="C516" s="390"/>
      <c r="D516" s="412">
        <f>Asset39</f>
        <v>0</v>
      </c>
      <c r="E516" s="390"/>
      <c r="F516" s="390"/>
      <c r="G516" s="1373"/>
      <c r="H516" s="1408"/>
      <c r="I516" s="1408">
        <f>IF(I$321&gt;0, IF(J$321=0, 'Adjustment for previous period'!$G417, 0), 0)</f>
        <v>0</v>
      </c>
      <c r="J516" s="1408">
        <f>IF(J$321&gt;0, IF(K$321=0, 'Adjustment for previous period'!$G417, 0), 0)</f>
        <v>0</v>
      </c>
      <c r="K516" s="1408">
        <f>IF(K$321&gt;0, IF(L$321=0, 'Adjustment for previous period'!$G417, 0), 0)</f>
        <v>0</v>
      </c>
      <c r="L516" s="1408">
        <f>IF(L$321&gt;0, IF(M$321=0, 'Adjustment for previous period'!$G417, 0), 0)</f>
        <v>0</v>
      </c>
      <c r="M516" s="1408">
        <f>IF(M$321&gt;0, IF(N$321=0, 'Adjustment for previous period'!$G417, 0), 0)</f>
        <v>0</v>
      </c>
      <c r="N516" s="1408">
        <f>IF(N$321&gt;0, IF(O$321=0, 'Adjustment for previous period'!$G417, 0), 0)</f>
        <v>0</v>
      </c>
      <c r="O516" s="1408">
        <f>IF(O$321&gt;0, IF(P$321=0, 'Adjustment for previous period'!$G417, 0), 0)</f>
        <v>0</v>
      </c>
      <c r="P516" s="1408">
        <f>IF(P$321&gt;0, IF(Q$321=0, 'Adjustment for previous period'!$G417, 0), 0)</f>
        <v>0</v>
      </c>
      <c r="Q516" s="1408">
        <f>IF(Q$321&gt;0, IF(R$321=0, 'Adjustment for previous period'!$G417, 0), 0)</f>
        <v>0</v>
      </c>
      <c r="R516" s="1397"/>
      <c r="S516" s="4"/>
      <c r="T516" s="4"/>
      <c r="U516" s="4"/>
      <c r="V516" s="4"/>
      <c r="W516" s="4"/>
      <c r="X516" s="4"/>
      <c r="Y516" s="4"/>
      <c r="Z516" s="4"/>
      <c r="AA516" s="152"/>
    </row>
    <row r="517" spans="1:27" ht="12" hidden="1" customHeight="1" outlineLevel="1">
      <c r="A517" s="152"/>
      <c r="B517" s="3"/>
      <c r="C517" s="390"/>
      <c r="D517" s="412">
        <f>Asset40</f>
        <v>0</v>
      </c>
      <c r="E517" s="390"/>
      <c r="F517" s="390"/>
      <c r="G517" s="1373"/>
      <c r="H517" s="1408"/>
      <c r="I517" s="1408">
        <f>IF(I$321&gt;0, IF(J$321=0, 'Adjustment for previous period'!$G418, 0), 0)</f>
        <v>0</v>
      </c>
      <c r="J517" s="1408">
        <f>IF(J$321&gt;0, IF(K$321=0, 'Adjustment for previous period'!$G418, 0), 0)</f>
        <v>0</v>
      </c>
      <c r="K517" s="1408">
        <f>IF(K$321&gt;0, IF(L$321=0, 'Adjustment for previous period'!$G418, 0), 0)</f>
        <v>0</v>
      </c>
      <c r="L517" s="1408">
        <f>IF(L$321&gt;0, IF(M$321=0, 'Adjustment for previous period'!$G418, 0), 0)</f>
        <v>0</v>
      </c>
      <c r="M517" s="1408">
        <f>IF(M$321&gt;0, IF(N$321=0, 'Adjustment for previous period'!$G418, 0), 0)</f>
        <v>0</v>
      </c>
      <c r="N517" s="1408">
        <f>IF(N$321&gt;0, IF(O$321=0, 'Adjustment for previous period'!$G418, 0), 0)</f>
        <v>0</v>
      </c>
      <c r="O517" s="1408">
        <f>IF(O$321&gt;0, IF(P$321=0, 'Adjustment for previous period'!$G418, 0), 0)</f>
        <v>0</v>
      </c>
      <c r="P517" s="1408">
        <f>IF(P$321&gt;0, IF(Q$321=0, 'Adjustment for previous period'!$G418, 0), 0)</f>
        <v>0</v>
      </c>
      <c r="Q517" s="1408">
        <f>IF(Q$321&gt;0, IF(R$321=0, 'Adjustment for previous period'!$G418, 0), 0)</f>
        <v>0</v>
      </c>
      <c r="R517" s="1397"/>
      <c r="S517" s="4"/>
      <c r="T517" s="4"/>
      <c r="U517" s="4"/>
      <c r="V517" s="4"/>
      <c r="W517" s="4"/>
      <c r="X517" s="4"/>
      <c r="Y517" s="4"/>
      <c r="Z517" s="4"/>
      <c r="AA517" s="152"/>
    </row>
    <row r="518" spans="1:27" ht="12" hidden="1" customHeight="1" outlineLevel="1">
      <c r="A518" s="152"/>
      <c r="B518" s="3"/>
      <c r="C518" s="390"/>
      <c r="D518" s="412">
        <f>Asset41</f>
        <v>0</v>
      </c>
      <c r="E518" s="390"/>
      <c r="F518" s="390"/>
      <c r="G518" s="1373"/>
      <c r="H518" s="1408"/>
      <c r="I518" s="1408">
        <f>IF(I$321&gt;0, IF(J$321=0, 'Adjustment for previous period'!$G419, 0), 0)</f>
        <v>0</v>
      </c>
      <c r="J518" s="1408">
        <f>IF(J$321&gt;0, IF(K$321=0, 'Adjustment for previous period'!$G419, 0), 0)</f>
        <v>0</v>
      </c>
      <c r="K518" s="1408">
        <f>IF(K$321&gt;0, IF(L$321=0, 'Adjustment for previous period'!$G419, 0), 0)</f>
        <v>0</v>
      </c>
      <c r="L518" s="1408">
        <f>IF(L$321&gt;0, IF(M$321=0, 'Adjustment for previous period'!$G419, 0), 0)</f>
        <v>0</v>
      </c>
      <c r="M518" s="1408">
        <f>IF(M$321&gt;0, IF(N$321=0, 'Adjustment for previous period'!$G419, 0), 0)</f>
        <v>0</v>
      </c>
      <c r="N518" s="1408">
        <f>IF(N$321&gt;0, IF(O$321=0, 'Adjustment for previous period'!$G419, 0), 0)</f>
        <v>0</v>
      </c>
      <c r="O518" s="1408">
        <f>IF(O$321&gt;0, IF(P$321=0, 'Adjustment for previous period'!$G419, 0), 0)</f>
        <v>0</v>
      </c>
      <c r="P518" s="1408">
        <f>IF(P$321&gt;0, IF(Q$321=0, 'Adjustment for previous period'!$G419, 0), 0)</f>
        <v>0</v>
      </c>
      <c r="Q518" s="1408">
        <f>IF(Q$321&gt;0, IF(R$321=0, 'Adjustment for previous period'!$G419, 0), 0)</f>
        <v>0</v>
      </c>
      <c r="R518" s="1397"/>
      <c r="S518" s="4"/>
      <c r="T518" s="4"/>
      <c r="U518" s="4"/>
      <c r="V518" s="4"/>
      <c r="W518" s="4"/>
      <c r="X518" s="4"/>
      <c r="Y518" s="4"/>
      <c r="Z518" s="4"/>
      <c r="AA518" s="152"/>
    </row>
    <row r="519" spans="1:27" ht="12" hidden="1" customHeight="1" outlineLevel="1">
      <c r="A519" s="152"/>
      <c r="B519" s="3"/>
      <c r="C519" s="390"/>
      <c r="D519" s="412">
        <f>Asset42</f>
        <v>0</v>
      </c>
      <c r="E519" s="390"/>
      <c r="F519" s="390"/>
      <c r="G519" s="1373"/>
      <c r="H519" s="1408"/>
      <c r="I519" s="1408">
        <f>IF(I$321&gt;0, IF(J$321=0, 'Adjustment for previous period'!$G420, 0), 0)</f>
        <v>0</v>
      </c>
      <c r="J519" s="1408">
        <f>IF(J$321&gt;0, IF(K$321=0, 'Adjustment for previous period'!$G420, 0), 0)</f>
        <v>0</v>
      </c>
      <c r="K519" s="1408">
        <f>IF(K$321&gt;0, IF(L$321=0, 'Adjustment for previous period'!$G420, 0), 0)</f>
        <v>0</v>
      </c>
      <c r="L519" s="1408">
        <f>IF(L$321&gt;0, IF(M$321=0, 'Adjustment for previous period'!$G420, 0), 0)</f>
        <v>0</v>
      </c>
      <c r="M519" s="1408">
        <f>IF(M$321&gt;0, IF(N$321=0, 'Adjustment for previous period'!$G420, 0), 0)</f>
        <v>0</v>
      </c>
      <c r="N519" s="1408">
        <f>IF(N$321&gt;0, IF(O$321=0, 'Adjustment for previous period'!$G420, 0), 0)</f>
        <v>0</v>
      </c>
      <c r="O519" s="1408">
        <f>IF(O$321&gt;0, IF(P$321=0, 'Adjustment for previous period'!$G420, 0), 0)</f>
        <v>0</v>
      </c>
      <c r="P519" s="1408">
        <f>IF(P$321&gt;0, IF(Q$321=0, 'Adjustment for previous period'!$G420, 0), 0)</f>
        <v>0</v>
      </c>
      <c r="Q519" s="1408">
        <f>IF(Q$321&gt;0, IF(R$321=0, 'Adjustment for previous period'!$G420, 0), 0)</f>
        <v>0</v>
      </c>
      <c r="R519" s="1397"/>
      <c r="S519" s="4"/>
      <c r="T519" s="4"/>
      <c r="U519" s="4"/>
      <c r="V519" s="4"/>
      <c r="W519" s="4"/>
      <c r="X519" s="4"/>
      <c r="Y519" s="4"/>
      <c r="Z519" s="4"/>
      <c r="AA519" s="152"/>
    </row>
    <row r="520" spans="1:27" ht="12" hidden="1" customHeight="1" outlineLevel="1">
      <c r="A520" s="152"/>
      <c r="B520" s="3"/>
      <c r="C520" s="390"/>
      <c r="D520" s="412">
        <f>Asset43</f>
        <v>0</v>
      </c>
      <c r="E520" s="390"/>
      <c r="F520" s="390"/>
      <c r="G520" s="1373"/>
      <c r="H520" s="1408"/>
      <c r="I520" s="1408">
        <f>IF(I$321&gt;0, IF(J$321=0, 'Adjustment for previous period'!$G421, 0), 0)</f>
        <v>0</v>
      </c>
      <c r="J520" s="1408">
        <f>IF(J$321&gt;0, IF(K$321=0, 'Adjustment for previous period'!$G421, 0), 0)</f>
        <v>0</v>
      </c>
      <c r="K520" s="1408">
        <f>IF(K$321&gt;0, IF(L$321=0, 'Adjustment for previous period'!$G421, 0), 0)</f>
        <v>0</v>
      </c>
      <c r="L520" s="1408">
        <f>IF(L$321&gt;0, IF(M$321=0, 'Adjustment for previous period'!$G421, 0), 0)</f>
        <v>0</v>
      </c>
      <c r="M520" s="1408">
        <f>IF(M$321&gt;0, IF(N$321=0, 'Adjustment for previous period'!$G421, 0), 0)</f>
        <v>0</v>
      </c>
      <c r="N520" s="1408">
        <f>IF(N$321&gt;0, IF(O$321=0, 'Adjustment for previous period'!$G421, 0), 0)</f>
        <v>0</v>
      </c>
      <c r="O520" s="1408">
        <f>IF(O$321&gt;0, IF(P$321=0, 'Adjustment for previous period'!$G421, 0), 0)</f>
        <v>0</v>
      </c>
      <c r="P520" s="1408">
        <f>IF(P$321&gt;0, IF(Q$321=0, 'Adjustment for previous period'!$G421, 0), 0)</f>
        <v>0</v>
      </c>
      <c r="Q520" s="1408">
        <f>IF(Q$321&gt;0, IF(R$321=0, 'Adjustment for previous period'!$G421, 0), 0)</f>
        <v>0</v>
      </c>
      <c r="R520" s="1397"/>
      <c r="S520" s="4"/>
      <c r="T520" s="4"/>
      <c r="U520" s="4"/>
      <c r="V520" s="4"/>
      <c r="W520" s="4"/>
      <c r="X520" s="4"/>
      <c r="Y520" s="4"/>
      <c r="Z520" s="4"/>
      <c r="AA520" s="152"/>
    </row>
    <row r="521" spans="1:27" ht="12" hidden="1" customHeight="1" outlineLevel="1">
      <c r="A521" s="152"/>
      <c r="B521" s="3"/>
      <c r="C521" s="390"/>
      <c r="D521" s="412">
        <f>Asset44</f>
        <v>0</v>
      </c>
      <c r="E521" s="390"/>
      <c r="F521" s="390"/>
      <c r="G521" s="1373"/>
      <c r="H521" s="1408"/>
      <c r="I521" s="1408">
        <f>IF(I$321&gt;0, IF(J$321=0, 'Adjustment for previous period'!$G422, 0), 0)</f>
        <v>0</v>
      </c>
      <c r="J521" s="1408">
        <f>IF(J$321&gt;0, IF(K$321=0, 'Adjustment for previous period'!$G422, 0), 0)</f>
        <v>0</v>
      </c>
      <c r="K521" s="1408">
        <f>IF(K$321&gt;0, IF(L$321=0, 'Adjustment for previous period'!$G422, 0), 0)</f>
        <v>0</v>
      </c>
      <c r="L521" s="1408">
        <f>IF(L$321&gt;0, IF(M$321=0, 'Adjustment for previous period'!$G422, 0), 0)</f>
        <v>0</v>
      </c>
      <c r="M521" s="1408">
        <f>IF(M$321&gt;0, IF(N$321=0, 'Adjustment for previous period'!$G422, 0), 0)</f>
        <v>0</v>
      </c>
      <c r="N521" s="1408">
        <f>IF(N$321&gt;0, IF(O$321=0, 'Adjustment for previous period'!$G422, 0), 0)</f>
        <v>0</v>
      </c>
      <c r="O521" s="1408">
        <f>IF(O$321&gt;0, IF(P$321=0, 'Adjustment for previous period'!$G422, 0), 0)</f>
        <v>0</v>
      </c>
      <c r="P521" s="1408">
        <f>IF(P$321&gt;0, IF(Q$321=0, 'Adjustment for previous period'!$G422, 0), 0)</f>
        <v>0</v>
      </c>
      <c r="Q521" s="1408">
        <f>IF(Q$321&gt;0, IF(R$321=0, 'Adjustment for previous period'!$G422, 0), 0)</f>
        <v>0</v>
      </c>
      <c r="R521" s="1397"/>
      <c r="S521" s="4"/>
      <c r="T521" s="4"/>
      <c r="U521" s="4"/>
      <c r="V521" s="4"/>
      <c r="W521" s="4"/>
      <c r="X521" s="4"/>
      <c r="Y521" s="4"/>
      <c r="Z521" s="4"/>
      <c r="AA521" s="152"/>
    </row>
    <row r="522" spans="1:27" ht="12" hidden="1" customHeight="1" outlineLevel="1">
      <c r="A522" s="152"/>
      <c r="B522" s="3"/>
      <c r="C522" s="390"/>
      <c r="D522" s="412">
        <f>Asset45</f>
        <v>0</v>
      </c>
      <c r="E522" s="390"/>
      <c r="F522" s="390"/>
      <c r="G522" s="1373"/>
      <c r="H522" s="1408"/>
      <c r="I522" s="1408">
        <f>IF(I$321&gt;0, IF(J$321=0, 'Adjustment for previous period'!$G423, 0), 0)</f>
        <v>0</v>
      </c>
      <c r="J522" s="1408">
        <f>IF(J$321&gt;0, IF(K$321=0, 'Adjustment for previous period'!$G423, 0), 0)</f>
        <v>0</v>
      </c>
      <c r="K522" s="1408">
        <f>IF(K$321&gt;0, IF(L$321=0, 'Adjustment for previous period'!$G423, 0), 0)</f>
        <v>0</v>
      </c>
      <c r="L522" s="1408">
        <f>IF(L$321&gt;0, IF(M$321=0, 'Adjustment for previous period'!$G423, 0), 0)</f>
        <v>0</v>
      </c>
      <c r="M522" s="1408">
        <f>IF(M$321&gt;0, IF(N$321=0, 'Adjustment for previous period'!$G423, 0), 0)</f>
        <v>0</v>
      </c>
      <c r="N522" s="1408">
        <f>IF(N$321&gt;0, IF(O$321=0, 'Adjustment for previous period'!$G423, 0), 0)</f>
        <v>0</v>
      </c>
      <c r="O522" s="1408">
        <f>IF(O$321&gt;0, IF(P$321=0, 'Adjustment for previous period'!$G423, 0), 0)</f>
        <v>0</v>
      </c>
      <c r="P522" s="1408">
        <f>IF(P$321&gt;0, IF(Q$321=0, 'Adjustment for previous period'!$G423, 0), 0)</f>
        <v>0</v>
      </c>
      <c r="Q522" s="1408">
        <f>IF(Q$321&gt;0, IF(R$321=0, 'Adjustment for previous period'!$G423, 0), 0)</f>
        <v>0</v>
      </c>
      <c r="R522" s="1397"/>
      <c r="S522" s="4"/>
      <c r="T522" s="4"/>
      <c r="U522" s="4"/>
      <c r="V522" s="4"/>
      <c r="W522" s="4"/>
      <c r="X522" s="4"/>
      <c r="Y522" s="4"/>
      <c r="Z522" s="4"/>
      <c r="AA522" s="152"/>
    </row>
    <row r="523" spans="1:27" ht="12" hidden="1" customHeight="1" outlineLevel="1">
      <c r="A523" s="152"/>
      <c r="B523" s="3"/>
      <c r="C523" s="390"/>
      <c r="D523" s="412">
        <f>Asset46</f>
        <v>0</v>
      </c>
      <c r="E523" s="390"/>
      <c r="F523" s="390"/>
      <c r="G523" s="1373"/>
      <c r="H523" s="1408"/>
      <c r="I523" s="1408">
        <f>IF(I$321&gt;0, IF(J$321=0, 'Adjustment for previous period'!$G424, 0), 0)</f>
        <v>0</v>
      </c>
      <c r="J523" s="1408">
        <f>IF(J$321&gt;0, IF(K$321=0, 'Adjustment for previous period'!$G424, 0), 0)</f>
        <v>0</v>
      </c>
      <c r="K523" s="1408">
        <f>IF(K$321&gt;0, IF(L$321=0, 'Adjustment for previous period'!$G424, 0), 0)</f>
        <v>0</v>
      </c>
      <c r="L523" s="1408">
        <f>IF(L$321&gt;0, IF(M$321=0, 'Adjustment for previous period'!$G424, 0), 0)</f>
        <v>0</v>
      </c>
      <c r="M523" s="1408">
        <f>IF(M$321&gt;0, IF(N$321=0, 'Adjustment for previous period'!$G424, 0), 0)</f>
        <v>0</v>
      </c>
      <c r="N523" s="1408">
        <f>IF(N$321&gt;0, IF(O$321=0, 'Adjustment for previous period'!$G424, 0), 0)</f>
        <v>0</v>
      </c>
      <c r="O523" s="1408">
        <f>IF(O$321&gt;0, IF(P$321=0, 'Adjustment for previous period'!$G424, 0), 0)</f>
        <v>0</v>
      </c>
      <c r="P523" s="1408">
        <f>IF(P$321&gt;0, IF(Q$321=0, 'Adjustment for previous period'!$G424, 0), 0)</f>
        <v>0</v>
      </c>
      <c r="Q523" s="1408">
        <f>IF(Q$321&gt;0, IF(R$321=0, 'Adjustment for previous period'!$G424, 0), 0)</f>
        <v>0</v>
      </c>
      <c r="R523" s="1397"/>
      <c r="S523" s="4"/>
      <c r="T523" s="4"/>
      <c r="U523" s="4"/>
      <c r="V523" s="4"/>
      <c r="W523" s="4"/>
      <c r="X523" s="4"/>
      <c r="Y523" s="4"/>
      <c r="Z523" s="4"/>
      <c r="AA523" s="152"/>
    </row>
    <row r="524" spans="1:27" ht="12" hidden="1" customHeight="1" outlineLevel="1">
      <c r="A524" s="152"/>
      <c r="B524" s="3"/>
      <c r="C524" s="390"/>
      <c r="D524" s="412">
        <f>Asset47</f>
        <v>0</v>
      </c>
      <c r="E524" s="390"/>
      <c r="F524" s="390"/>
      <c r="G524" s="1373"/>
      <c r="H524" s="1408"/>
      <c r="I524" s="1408">
        <f>IF(I$321&gt;0, IF(J$321=0, 'Adjustment for previous period'!$G425, 0), 0)</f>
        <v>0</v>
      </c>
      <c r="J524" s="1408">
        <f>IF(J$321&gt;0, IF(K$321=0, 'Adjustment for previous period'!$G425, 0), 0)</f>
        <v>0</v>
      </c>
      <c r="K524" s="1408">
        <f>IF(K$321&gt;0, IF(L$321=0, 'Adjustment for previous period'!$G425, 0), 0)</f>
        <v>0</v>
      </c>
      <c r="L524" s="1408">
        <f>IF(L$321&gt;0, IF(M$321=0, 'Adjustment for previous period'!$G425, 0), 0)</f>
        <v>0</v>
      </c>
      <c r="M524" s="1408">
        <f>IF(M$321&gt;0, IF(N$321=0, 'Adjustment for previous period'!$G425, 0), 0)</f>
        <v>0</v>
      </c>
      <c r="N524" s="1408">
        <f>IF(N$321&gt;0, IF(O$321=0, 'Adjustment for previous period'!$G425, 0), 0)</f>
        <v>0</v>
      </c>
      <c r="O524" s="1408">
        <f>IF(O$321&gt;0, IF(P$321=0, 'Adjustment for previous period'!$G425, 0), 0)</f>
        <v>0</v>
      </c>
      <c r="P524" s="1408">
        <f>IF(P$321&gt;0, IF(Q$321=0, 'Adjustment for previous period'!$G425, 0), 0)</f>
        <v>0</v>
      </c>
      <c r="Q524" s="1408">
        <f>IF(Q$321&gt;0, IF(R$321=0, 'Adjustment for previous period'!$G425, 0), 0)</f>
        <v>0</v>
      </c>
      <c r="R524" s="1397"/>
      <c r="S524" s="4"/>
      <c r="T524" s="4"/>
      <c r="U524" s="4"/>
      <c r="V524" s="4"/>
      <c r="W524" s="4"/>
      <c r="X524" s="4"/>
      <c r="Y524" s="4"/>
      <c r="Z524" s="4"/>
      <c r="AA524" s="152"/>
    </row>
    <row r="525" spans="1:27" ht="12" hidden="1" customHeight="1" outlineLevel="1">
      <c r="A525" s="152"/>
      <c r="B525" s="3"/>
      <c r="C525" s="390"/>
      <c r="D525" s="412">
        <f>Asset48</f>
        <v>0</v>
      </c>
      <c r="E525" s="390"/>
      <c r="F525" s="390"/>
      <c r="G525" s="1373"/>
      <c r="H525" s="1408"/>
      <c r="I525" s="1408">
        <f>IF(I$321&gt;0, IF(J$321=0, 'Adjustment for previous period'!$G426, 0), 0)</f>
        <v>0</v>
      </c>
      <c r="J525" s="1408">
        <f>IF(J$321&gt;0, IF(K$321=0, 'Adjustment for previous period'!$G426, 0), 0)</f>
        <v>0</v>
      </c>
      <c r="K525" s="1408">
        <f>IF(K$321&gt;0, IF(L$321=0, 'Adjustment for previous period'!$G426, 0), 0)</f>
        <v>0</v>
      </c>
      <c r="L525" s="1408">
        <f>IF(L$321&gt;0, IF(M$321=0, 'Adjustment for previous period'!$G426, 0), 0)</f>
        <v>0</v>
      </c>
      <c r="M525" s="1408">
        <f>IF(M$321&gt;0, IF(N$321=0, 'Adjustment for previous period'!$G426, 0), 0)</f>
        <v>0</v>
      </c>
      <c r="N525" s="1408">
        <f>IF(N$321&gt;0, IF(O$321=0, 'Adjustment for previous period'!$G426, 0), 0)</f>
        <v>0</v>
      </c>
      <c r="O525" s="1408">
        <f>IF(O$321&gt;0, IF(P$321=0, 'Adjustment for previous period'!$G426, 0), 0)</f>
        <v>0</v>
      </c>
      <c r="P525" s="1408">
        <f>IF(P$321&gt;0, IF(Q$321=0, 'Adjustment for previous period'!$G426, 0), 0)</f>
        <v>0</v>
      </c>
      <c r="Q525" s="1408">
        <f>IF(Q$321&gt;0, IF(R$321=0, 'Adjustment for previous period'!$G426, 0), 0)</f>
        <v>0</v>
      </c>
      <c r="R525" s="1397"/>
      <c r="S525" s="4"/>
      <c r="T525" s="4"/>
      <c r="U525" s="4"/>
      <c r="V525" s="4"/>
      <c r="W525" s="4"/>
      <c r="X525" s="4"/>
      <c r="Y525" s="4"/>
      <c r="Z525" s="4"/>
      <c r="AA525" s="152"/>
    </row>
    <row r="526" spans="1:27" ht="12" hidden="1" customHeight="1" outlineLevel="1">
      <c r="A526" s="152"/>
      <c r="B526" s="3"/>
      <c r="C526" s="390"/>
      <c r="D526" s="412">
        <f>Asset49</f>
        <v>0</v>
      </c>
      <c r="E526" s="390"/>
      <c r="F526" s="390"/>
      <c r="G526" s="1373"/>
      <c r="H526" s="1408"/>
      <c r="I526" s="1408">
        <f>IF(I$321&gt;0, IF(J$321=0, 'Adjustment for previous period'!$G427, 0), 0)</f>
        <v>0</v>
      </c>
      <c r="J526" s="1408">
        <f>IF(J$321&gt;0, IF(K$321=0, 'Adjustment for previous period'!$G427, 0), 0)</f>
        <v>0</v>
      </c>
      <c r="K526" s="1408">
        <f>IF(K$321&gt;0, IF(L$321=0, 'Adjustment for previous period'!$G427, 0), 0)</f>
        <v>0</v>
      </c>
      <c r="L526" s="1408">
        <f>IF(L$321&gt;0, IF(M$321=0, 'Adjustment for previous period'!$G427, 0), 0)</f>
        <v>0</v>
      </c>
      <c r="M526" s="1408">
        <f>IF(M$321&gt;0, IF(N$321=0, 'Adjustment for previous period'!$G427, 0), 0)</f>
        <v>0</v>
      </c>
      <c r="N526" s="1408">
        <f>IF(N$321&gt;0, IF(O$321=0, 'Adjustment for previous period'!$G427, 0), 0)</f>
        <v>0</v>
      </c>
      <c r="O526" s="1408">
        <f>IF(O$321&gt;0, IF(P$321=0, 'Adjustment for previous period'!$G427, 0), 0)</f>
        <v>0</v>
      </c>
      <c r="P526" s="1408">
        <f>IF(P$321&gt;0, IF(Q$321=0, 'Adjustment for previous period'!$G427, 0), 0)</f>
        <v>0</v>
      </c>
      <c r="Q526" s="1408">
        <f>IF(Q$321&gt;0, IF(R$321=0, 'Adjustment for previous period'!$G427, 0), 0)</f>
        <v>0</v>
      </c>
      <c r="R526" s="1397"/>
      <c r="S526" s="4"/>
      <c r="T526" s="4"/>
      <c r="U526" s="4"/>
      <c r="V526" s="4"/>
      <c r="W526" s="4"/>
      <c r="X526" s="4"/>
      <c r="Y526" s="4"/>
      <c r="Z526" s="4"/>
      <c r="AA526" s="152"/>
    </row>
    <row r="527" spans="1:27" ht="12" hidden="1" customHeight="1" outlineLevel="1">
      <c r="A527" s="152"/>
      <c r="B527" s="3"/>
      <c r="C527" s="390"/>
      <c r="D527" s="412">
        <f>Asset50</f>
        <v>0</v>
      </c>
      <c r="E527" s="390"/>
      <c r="F527" s="390"/>
      <c r="G527" s="1373"/>
      <c r="H527" s="1408"/>
      <c r="I527" s="1408">
        <f>IF(I$321&gt;0, IF(J$321=0, 'Adjustment for previous period'!$G428, 0), 0)</f>
        <v>0</v>
      </c>
      <c r="J527" s="1408">
        <f>IF(J$321&gt;0, IF(K$321=0, 'Adjustment for previous period'!$G428, 0), 0)</f>
        <v>0</v>
      </c>
      <c r="K527" s="1408">
        <f>IF(K$321&gt;0, IF(L$321=0, 'Adjustment for previous period'!$G428, 0), 0)</f>
        <v>0</v>
      </c>
      <c r="L527" s="1408">
        <f>IF(L$321&gt;0, IF(M$321=0, 'Adjustment for previous period'!$G428, 0), 0)</f>
        <v>0</v>
      </c>
      <c r="M527" s="1408">
        <f>IF(M$321&gt;0, IF(N$321=0, 'Adjustment for previous period'!$G428, 0), 0)</f>
        <v>0</v>
      </c>
      <c r="N527" s="1408">
        <f>IF(N$321&gt;0, IF(O$321=0, 'Adjustment for previous period'!$G428, 0), 0)</f>
        <v>0</v>
      </c>
      <c r="O527" s="1408">
        <f>IF(O$321&gt;0, IF(P$321=0, 'Adjustment for previous period'!$G428, 0), 0)</f>
        <v>0</v>
      </c>
      <c r="P527" s="1408">
        <f>IF(P$321&gt;0, IF(Q$321=0, 'Adjustment for previous period'!$G428, 0), 0)</f>
        <v>0</v>
      </c>
      <c r="Q527" s="1408">
        <f>IF(Q$321&gt;0, IF(R$321=0, 'Adjustment for previous period'!$G428, 0), 0)</f>
        <v>0</v>
      </c>
      <c r="R527" s="1397"/>
      <c r="S527" s="4"/>
      <c r="T527" s="4"/>
      <c r="U527" s="4"/>
      <c r="V527" s="4"/>
      <c r="W527" s="4"/>
      <c r="X527" s="4"/>
      <c r="Y527" s="4"/>
      <c r="Z527" s="4"/>
      <c r="AA527" s="152"/>
    </row>
    <row r="528" spans="1:27" ht="12" customHeight="1" collapsed="1">
      <c r="A528" s="152"/>
      <c r="B528" s="3"/>
      <c r="C528" s="390"/>
      <c r="D528" s="390"/>
      <c r="E528" s="390"/>
      <c r="F528" s="390"/>
      <c r="G528" s="1373"/>
      <c r="H528" s="1370"/>
      <c r="I528" s="1370"/>
      <c r="J528" s="1370"/>
      <c r="K528" s="1370"/>
      <c r="L528" s="1370"/>
      <c r="M528" s="1370"/>
      <c r="N528" s="1370"/>
      <c r="O528" s="1370"/>
      <c r="P528" s="1370"/>
      <c r="Q528" s="1370"/>
      <c r="R528" s="1397"/>
      <c r="S528" s="4"/>
      <c r="T528" s="4"/>
      <c r="U528" s="4"/>
      <c r="V528" s="4"/>
      <c r="W528" s="4"/>
      <c r="X528" s="4"/>
      <c r="Y528" s="4"/>
      <c r="Z528" s="4"/>
      <c r="AA528" s="152"/>
    </row>
    <row r="529" spans="1:27" ht="12" customHeight="1">
      <c r="A529" s="152"/>
      <c r="B529" s="4"/>
      <c r="C529" s="418" t="s">
        <v>545</v>
      </c>
      <c r="D529" s="406"/>
      <c r="E529" s="406"/>
      <c r="F529" s="406"/>
      <c r="G529" s="1407"/>
      <c r="H529" s="1407"/>
      <c r="I529" s="1407">
        <f>SUM(I530:I579)</f>
        <v>0</v>
      </c>
      <c r="J529" s="1407">
        <f t="shared" ref="J529:Q529" si="21">SUM(J530:J579)</f>
        <v>0</v>
      </c>
      <c r="K529" s="1407">
        <f t="shared" si="21"/>
        <v>0</v>
      </c>
      <c r="L529" s="1407">
        <f t="shared" si="21"/>
        <v>0</v>
      </c>
      <c r="M529" s="1407">
        <f t="shared" si="21"/>
        <v>0</v>
      </c>
      <c r="N529" s="1407">
        <f t="shared" si="21"/>
        <v>0</v>
      </c>
      <c r="O529" s="1407">
        <f t="shared" si="21"/>
        <v>0</v>
      </c>
      <c r="P529" s="1407">
        <f t="shared" si="21"/>
        <v>0</v>
      </c>
      <c r="Q529" s="1407">
        <f t="shared" si="21"/>
        <v>0</v>
      </c>
      <c r="R529" s="1397"/>
      <c r="S529" s="4"/>
      <c r="T529" s="4"/>
      <c r="U529" s="4"/>
      <c r="V529" s="4"/>
      <c r="W529" s="4"/>
      <c r="X529" s="4"/>
      <c r="Y529" s="4"/>
      <c r="Z529" s="4"/>
      <c r="AA529" s="152"/>
    </row>
    <row r="530" spans="1:27" ht="12" hidden="1" customHeight="1" outlineLevel="1">
      <c r="A530" s="152"/>
      <c r="B530" s="283">
        <v>2</v>
      </c>
      <c r="C530" s="390"/>
      <c r="D530" s="412" t="str">
        <f>Asset1</f>
        <v>Mains</v>
      </c>
      <c r="E530" s="390"/>
      <c r="F530" s="390"/>
      <c r="G530" s="1373"/>
      <c r="H530" s="1408"/>
      <c r="I530" s="1408">
        <f>IF(J$321=0, INDEX('Adjustment for previous period'!I$431:I$530,2*COUNT(I$529:I529)), 0)</f>
        <v>0</v>
      </c>
      <c r="J530" s="1408">
        <f>IF(K$321=0, INDEX('Adjustment for previous period'!J$431:J$530,$B530), 0)</f>
        <v>0</v>
      </c>
      <c r="K530" s="1408">
        <f>IF(L$321=0, INDEX('Adjustment for previous period'!K$431:K$530,$B530), 0)</f>
        <v>0</v>
      </c>
      <c r="L530" s="1408">
        <f>IF(M$321=0, INDEX('Adjustment for previous period'!L$431:L$530,$B530), 0)</f>
        <v>0</v>
      </c>
      <c r="M530" s="1408">
        <f>IF(N$321=0, INDEX('Adjustment for previous period'!M$431:M$530,$B530), 0)</f>
        <v>0</v>
      </c>
      <c r="N530" s="1408">
        <f>IF(O$321=0, INDEX('Adjustment for previous period'!N$431:N$530,$B530), 0)</f>
        <v>0</v>
      </c>
      <c r="O530" s="1408">
        <f>IF(P$321=0, INDEX('Adjustment for previous period'!O$431:O$530,$B530), 0)</f>
        <v>0</v>
      </c>
      <c r="P530" s="1408">
        <f>IF(Q$321=0, INDEX('Adjustment for previous period'!P$431:P$530,$B530), 0)</f>
        <v>0</v>
      </c>
      <c r="Q530" s="1408">
        <f>IF(R$321=0, INDEX('Adjustment for previous period'!Q$431:Q$530,$B530), 0)</f>
        <v>0</v>
      </c>
      <c r="R530" s="1397"/>
      <c r="S530" s="4"/>
      <c r="T530" s="4"/>
      <c r="U530" s="4"/>
      <c r="V530" s="4"/>
      <c r="W530" s="4"/>
      <c r="X530" s="4"/>
      <c r="Y530" s="4"/>
      <c r="Z530" s="4"/>
      <c r="AA530" s="152"/>
    </row>
    <row r="531" spans="1:27" hidden="1" outlineLevel="1">
      <c r="A531" s="152"/>
      <c r="B531" s="283">
        <v>4</v>
      </c>
      <c r="C531" s="390"/>
      <c r="D531" s="412" t="str">
        <f>Asset2</f>
        <v>Inlets</v>
      </c>
      <c r="E531" s="390"/>
      <c r="F531" s="390"/>
      <c r="G531" s="1373"/>
      <c r="H531" s="1408"/>
      <c r="I531" s="1408">
        <f>IF(J$321=0, INDEX('Adjustment for previous period'!I$431:I$530,$B531), 0)</f>
        <v>0</v>
      </c>
      <c r="J531" s="1408">
        <f>IF(K$321=0, INDEX('Adjustment for previous period'!J$431:J$530,$B531), 0)</f>
        <v>0</v>
      </c>
      <c r="K531" s="1408">
        <f>IF(L$321=0, INDEX('Adjustment for previous period'!K$431:K$530,$B531), 0)</f>
        <v>0</v>
      </c>
      <c r="L531" s="1408">
        <f>IF(M$321=0, INDEX('Adjustment for previous period'!L$431:L$530,$B531), 0)</f>
        <v>0</v>
      </c>
      <c r="M531" s="1408">
        <f>IF(N$321=0, INDEX('Adjustment for previous period'!M$431:M$530,$B531), 0)</f>
        <v>0</v>
      </c>
      <c r="N531" s="1408">
        <f>IF(O$321=0, INDEX('Adjustment for previous period'!N$431:N$530,$B531), 0)</f>
        <v>0</v>
      </c>
      <c r="O531" s="1408">
        <f>IF(P$321=0, INDEX('Adjustment for previous period'!O$431:O$530,$B531), 0)</f>
        <v>0</v>
      </c>
      <c r="P531" s="1408">
        <f>IF(Q$321=0, INDEX('Adjustment for previous period'!P$431:P$530,$B531), 0)</f>
        <v>0</v>
      </c>
      <c r="Q531" s="1408">
        <f>IF(R$321=0, INDEX('Adjustment for previous period'!Q$431:Q$530,$B531), 0)</f>
        <v>0</v>
      </c>
      <c r="R531" s="1397"/>
      <c r="S531" s="71"/>
      <c r="T531" s="71"/>
      <c r="U531" s="71"/>
      <c r="V531" s="71"/>
      <c r="W531" s="71"/>
      <c r="X531" s="71"/>
      <c r="Y531" s="71"/>
      <c r="Z531" s="71"/>
      <c r="AA531" s="152"/>
    </row>
    <row r="532" spans="1:27" ht="12" hidden="1" customHeight="1" outlineLevel="1">
      <c r="A532" s="152"/>
      <c r="B532" s="283">
        <v>6</v>
      </c>
      <c r="C532" s="390"/>
      <c r="D532" s="412" t="str">
        <f>Asset3</f>
        <v>Meters</v>
      </c>
      <c r="E532" s="390"/>
      <c r="F532" s="390"/>
      <c r="G532" s="1373"/>
      <c r="H532" s="1408"/>
      <c r="I532" s="1408">
        <f>IF(J$321=0, INDEX('Adjustment for previous period'!I$431:I$530,$B532), 0)</f>
        <v>0</v>
      </c>
      <c r="J532" s="1408">
        <f>IF(K$321=0, INDEX('Adjustment for previous period'!J$431:J$530,$B532), 0)</f>
        <v>0</v>
      </c>
      <c r="K532" s="1408">
        <f>IF(L$321=0, INDEX('Adjustment for previous period'!K$431:K$530,$B532), 0)</f>
        <v>0</v>
      </c>
      <c r="L532" s="1408">
        <f>IF(M$321=0, INDEX('Adjustment for previous period'!L$431:L$530,$B532), 0)</f>
        <v>0</v>
      </c>
      <c r="M532" s="1408">
        <f>IF(N$321=0, INDEX('Adjustment for previous period'!M$431:M$530,$B532), 0)</f>
        <v>0</v>
      </c>
      <c r="N532" s="1408">
        <f>IF(O$321=0, INDEX('Adjustment for previous period'!N$431:N$530,$B532), 0)</f>
        <v>0</v>
      </c>
      <c r="O532" s="1408">
        <f>IF(P$321=0, INDEX('Adjustment for previous period'!O$431:O$530,$B532), 0)</f>
        <v>0</v>
      </c>
      <c r="P532" s="1408">
        <f>IF(Q$321=0, INDEX('Adjustment for previous period'!P$431:P$530,$B532), 0)</f>
        <v>0</v>
      </c>
      <c r="Q532" s="1408">
        <f>IF(R$321=0, INDEX('Adjustment for previous period'!Q$431:Q$530,$B532), 0)</f>
        <v>0</v>
      </c>
      <c r="R532" s="1397"/>
      <c r="S532" s="4"/>
      <c r="T532" s="4"/>
      <c r="U532" s="4"/>
      <c r="V532" s="4"/>
      <c r="W532" s="4"/>
      <c r="X532" s="4"/>
      <c r="Y532" s="4"/>
      <c r="Z532" s="4"/>
      <c r="AA532" s="152"/>
    </row>
    <row r="533" spans="1:27" ht="12" hidden="1" customHeight="1" outlineLevel="1">
      <c r="A533" s="152"/>
      <c r="B533" s="283">
        <v>8</v>
      </c>
      <c r="C533" s="390"/>
      <c r="D533" s="412" t="str">
        <f>Asset4</f>
        <v>Telemetry</v>
      </c>
      <c r="E533" s="390"/>
      <c r="F533" s="390"/>
      <c r="G533" s="1373"/>
      <c r="H533" s="1408"/>
      <c r="I533" s="1408">
        <f>IF(J$321=0, INDEX('Adjustment for previous period'!I$431:I$530,$B533), 0)</f>
        <v>0</v>
      </c>
      <c r="J533" s="1408">
        <f>IF(K$321=0, INDEX('Adjustment for previous period'!J$431:J$530,$B533), 0)</f>
        <v>0</v>
      </c>
      <c r="K533" s="1408">
        <f>IF(L$321=0, INDEX('Adjustment for previous period'!K$431:K$530,$B533), 0)</f>
        <v>0</v>
      </c>
      <c r="L533" s="1408">
        <f>IF(M$321=0, INDEX('Adjustment for previous period'!L$431:L$530,$B533), 0)</f>
        <v>0</v>
      </c>
      <c r="M533" s="1408">
        <f>IF(N$321=0, INDEX('Adjustment for previous period'!M$431:M$530,$B533), 0)</f>
        <v>0</v>
      </c>
      <c r="N533" s="1408">
        <f>IF(O$321=0, INDEX('Adjustment for previous period'!N$431:N$530,$B533), 0)</f>
        <v>0</v>
      </c>
      <c r="O533" s="1408">
        <f>IF(P$321=0, INDEX('Adjustment for previous period'!O$431:O$530,$B533), 0)</f>
        <v>0</v>
      </c>
      <c r="P533" s="1408">
        <f>IF(Q$321=0, INDEX('Adjustment for previous period'!P$431:P$530,$B533), 0)</f>
        <v>0</v>
      </c>
      <c r="Q533" s="1408">
        <f>IF(R$321=0, INDEX('Adjustment for previous period'!Q$431:Q$530,$B533), 0)</f>
        <v>0</v>
      </c>
      <c r="R533" s="1397"/>
      <c r="S533" s="4"/>
      <c r="T533" s="4"/>
      <c r="U533" s="4"/>
      <c r="V533" s="4"/>
      <c r="W533" s="4"/>
      <c r="X533" s="4"/>
      <c r="Y533" s="4"/>
      <c r="Z533" s="4"/>
      <c r="AA533" s="152"/>
    </row>
    <row r="534" spans="1:27" ht="12" hidden="1" customHeight="1" outlineLevel="1">
      <c r="A534" s="152"/>
      <c r="B534" s="283">
        <v>10</v>
      </c>
      <c r="C534" s="390"/>
      <c r="D534" s="412" t="str">
        <f>Asset5</f>
        <v>IT System</v>
      </c>
      <c r="E534" s="390"/>
      <c r="F534" s="390"/>
      <c r="G534" s="1373"/>
      <c r="H534" s="1408"/>
      <c r="I534" s="1408">
        <f>IF(J$321=0, INDEX('Adjustment for previous period'!I$431:I$530,$B534), 0)</f>
        <v>0</v>
      </c>
      <c r="J534" s="1408">
        <f>IF(K$321=0, INDEX('Adjustment for previous period'!J$431:J$530,$B534), 0)</f>
        <v>0</v>
      </c>
      <c r="K534" s="1408">
        <f>IF(L$321=0, INDEX('Adjustment for previous period'!K$431:K$530,$B534), 0)</f>
        <v>0</v>
      </c>
      <c r="L534" s="1408">
        <f>IF(M$321=0, INDEX('Adjustment for previous period'!L$431:L$530,$B534), 0)</f>
        <v>0</v>
      </c>
      <c r="M534" s="1408">
        <f>IF(N$321=0, INDEX('Adjustment for previous period'!M$431:M$530,$B534), 0)</f>
        <v>0</v>
      </c>
      <c r="N534" s="1408">
        <f>IF(O$321=0, INDEX('Adjustment for previous period'!N$431:N$530,$B534), 0)</f>
        <v>0</v>
      </c>
      <c r="O534" s="1408">
        <f>IF(P$321=0, INDEX('Adjustment for previous period'!O$431:O$530,$B534), 0)</f>
        <v>0</v>
      </c>
      <c r="P534" s="1408">
        <f>IF(Q$321=0, INDEX('Adjustment for previous period'!P$431:P$530,$B534), 0)</f>
        <v>0</v>
      </c>
      <c r="Q534" s="1408">
        <f>IF(R$321=0, INDEX('Adjustment for previous period'!Q$431:Q$530,$B534), 0)</f>
        <v>0</v>
      </c>
      <c r="R534" s="1397"/>
      <c r="S534" s="4"/>
      <c r="T534" s="4"/>
      <c r="U534" s="4"/>
      <c r="V534" s="4"/>
      <c r="W534" s="4"/>
      <c r="X534" s="4"/>
      <c r="Y534" s="4"/>
      <c r="Z534" s="4"/>
      <c r="AA534" s="152"/>
    </row>
    <row r="535" spans="1:27" hidden="1" outlineLevel="1">
      <c r="A535" s="152"/>
      <c r="B535" s="283">
        <v>12</v>
      </c>
      <c r="C535" s="390"/>
      <c r="D535" s="412" t="str">
        <f>Asset6</f>
        <v>Other Distribution System Equipment</v>
      </c>
      <c r="E535" s="390"/>
      <c r="F535" s="390"/>
      <c r="G535" s="1373"/>
      <c r="H535" s="1408"/>
      <c r="I535" s="1408">
        <f>IF(J$321=0, INDEX('Adjustment for previous period'!I$431:I$530,$B535), 0)</f>
        <v>0</v>
      </c>
      <c r="J535" s="1408">
        <f>IF(K$321=0, INDEX('Adjustment for previous period'!J$431:J$530,$B535), 0)</f>
        <v>0</v>
      </c>
      <c r="K535" s="1408">
        <f>IF(L$321=0, INDEX('Adjustment for previous period'!K$431:K$530,$B535), 0)</f>
        <v>0</v>
      </c>
      <c r="L535" s="1408">
        <f>IF(M$321=0, INDEX('Adjustment for previous period'!L$431:L$530,$B535), 0)</f>
        <v>0</v>
      </c>
      <c r="M535" s="1408">
        <f>IF(N$321=0, INDEX('Adjustment for previous period'!M$431:M$530,$B535), 0)</f>
        <v>0</v>
      </c>
      <c r="N535" s="1408">
        <f>IF(O$321=0, INDEX('Adjustment for previous period'!N$431:N$530,$B535), 0)</f>
        <v>0</v>
      </c>
      <c r="O535" s="1408">
        <f>IF(P$321=0, INDEX('Adjustment for previous period'!O$431:O$530,$B535), 0)</f>
        <v>0</v>
      </c>
      <c r="P535" s="1408">
        <f>IF(Q$321=0, INDEX('Adjustment for previous period'!P$431:P$530,$B535), 0)</f>
        <v>0</v>
      </c>
      <c r="Q535" s="1408">
        <f>IF(R$321=0, INDEX('Adjustment for previous period'!Q$431:Q$530,$B535), 0)</f>
        <v>0</v>
      </c>
      <c r="R535" s="1397"/>
      <c r="S535" s="4"/>
      <c r="T535" s="4"/>
      <c r="U535" s="4"/>
      <c r="V535" s="4"/>
      <c r="W535" s="4"/>
      <c r="X535" s="4"/>
      <c r="Y535" s="4"/>
      <c r="Z535" s="4"/>
      <c r="AA535" s="152"/>
    </row>
    <row r="536" spans="1:27" hidden="1" outlineLevel="1">
      <c r="A536" s="152"/>
      <c r="B536" s="283">
        <v>14</v>
      </c>
      <c r="C536" s="390"/>
      <c r="D536" s="412" t="str">
        <f>Asset7</f>
        <v>Other</v>
      </c>
      <c r="E536" s="390"/>
      <c r="F536" s="390"/>
      <c r="G536" s="1373"/>
      <c r="H536" s="1408"/>
      <c r="I536" s="1408">
        <f>IF(J$321=0, INDEX('Adjustment for previous period'!I$431:I$530,$B536), 0)</f>
        <v>0</v>
      </c>
      <c r="J536" s="1408">
        <f>IF(K$321=0, INDEX('Adjustment for previous period'!J$431:J$530,$B536), 0)</f>
        <v>0</v>
      </c>
      <c r="K536" s="1408">
        <f>IF(L$321=0, INDEX('Adjustment for previous period'!K$431:K$530,$B536), 0)</f>
        <v>0</v>
      </c>
      <c r="L536" s="1408">
        <f>IF(M$321=0, INDEX('Adjustment for previous period'!L$431:L$530,$B536), 0)</f>
        <v>0</v>
      </c>
      <c r="M536" s="1408">
        <f>IF(N$321=0, INDEX('Adjustment for previous period'!M$431:M$530,$B536), 0)</f>
        <v>0</v>
      </c>
      <c r="N536" s="1408">
        <f>IF(O$321=0, INDEX('Adjustment for previous period'!N$431:N$530,$B536), 0)</f>
        <v>0</v>
      </c>
      <c r="O536" s="1408">
        <f>IF(P$321=0, INDEX('Adjustment for previous period'!O$431:O$530,$B536), 0)</f>
        <v>0</v>
      </c>
      <c r="P536" s="1408">
        <f>IF(Q$321=0, INDEX('Adjustment for previous period'!P$431:P$530,$B536), 0)</f>
        <v>0</v>
      </c>
      <c r="Q536" s="1408">
        <f>IF(R$321=0, INDEX('Adjustment for previous period'!Q$431:Q$530,$B536), 0)</f>
        <v>0</v>
      </c>
      <c r="R536" s="1397"/>
      <c r="S536" s="3"/>
      <c r="T536" s="3"/>
      <c r="U536" s="3"/>
      <c r="V536" s="3"/>
      <c r="W536" s="3"/>
      <c r="X536" s="3"/>
      <c r="Y536" s="3"/>
      <c r="Z536" s="3"/>
      <c r="AA536" s="152"/>
    </row>
    <row r="537" spans="1:27" hidden="1" outlineLevel="1">
      <c r="A537" s="152"/>
      <c r="B537" s="283">
        <v>16</v>
      </c>
      <c r="C537" s="390"/>
      <c r="D537" s="412">
        <f>Asset8</f>
        <v>0</v>
      </c>
      <c r="E537" s="390"/>
      <c r="F537" s="390"/>
      <c r="G537" s="1373"/>
      <c r="H537" s="1408"/>
      <c r="I537" s="1408">
        <f>IF(J$321=0, INDEX('Adjustment for previous period'!I$431:I$530,$B537), 0)</f>
        <v>0</v>
      </c>
      <c r="J537" s="1408">
        <f>IF(K$321=0, INDEX('Adjustment for previous period'!J$431:J$530,$B537), 0)</f>
        <v>0</v>
      </c>
      <c r="K537" s="1408">
        <f>IF(L$321=0, INDEX('Adjustment for previous period'!K$431:K$530,$B537), 0)</f>
        <v>0</v>
      </c>
      <c r="L537" s="1408">
        <f>IF(M$321=0, INDEX('Adjustment for previous period'!L$431:L$530,$B537), 0)</f>
        <v>0</v>
      </c>
      <c r="M537" s="1408">
        <f>IF(N$321=0, INDEX('Adjustment for previous period'!M$431:M$530,$B537), 0)</f>
        <v>0</v>
      </c>
      <c r="N537" s="1408">
        <f>IF(O$321=0, INDEX('Adjustment for previous period'!N$431:N$530,$B537), 0)</f>
        <v>0</v>
      </c>
      <c r="O537" s="1408">
        <f>IF(P$321=0, INDEX('Adjustment for previous period'!O$431:O$530,$B537), 0)</f>
        <v>0</v>
      </c>
      <c r="P537" s="1408">
        <f>IF(Q$321=0, INDEX('Adjustment for previous period'!P$431:P$530,$B537), 0)</f>
        <v>0</v>
      </c>
      <c r="Q537" s="1408">
        <f>IF(R$321=0, INDEX('Adjustment for previous period'!Q$431:Q$530,$B537), 0)</f>
        <v>0</v>
      </c>
      <c r="R537" s="1397"/>
      <c r="S537" s="3"/>
      <c r="T537" s="3"/>
      <c r="U537" s="3"/>
      <c r="V537" s="3"/>
      <c r="W537" s="3"/>
      <c r="X537" s="3"/>
      <c r="Y537" s="3"/>
      <c r="Z537" s="3"/>
      <c r="AA537" s="152"/>
    </row>
    <row r="538" spans="1:27" hidden="1" outlineLevel="1">
      <c r="A538" s="152"/>
      <c r="B538" s="283">
        <v>18</v>
      </c>
      <c r="C538" s="390"/>
      <c r="D538" s="412">
        <f>Asset9</f>
        <v>0</v>
      </c>
      <c r="E538" s="390"/>
      <c r="F538" s="390"/>
      <c r="G538" s="1373"/>
      <c r="H538" s="1408"/>
      <c r="I538" s="1408">
        <f>IF(J$321=0, INDEX('Adjustment for previous period'!I$431:I$530,$B538), 0)</f>
        <v>0</v>
      </c>
      <c r="J538" s="1408">
        <f>IF(K$321=0, INDEX('Adjustment for previous period'!J$431:J$530,$B538), 0)</f>
        <v>0</v>
      </c>
      <c r="K538" s="1408">
        <f>IF(L$321=0, INDEX('Adjustment for previous period'!K$431:K$530,$B538), 0)</f>
        <v>0</v>
      </c>
      <c r="L538" s="1408">
        <f>IF(M$321=0, INDEX('Adjustment for previous period'!L$431:L$530,$B538), 0)</f>
        <v>0</v>
      </c>
      <c r="M538" s="1408">
        <f>IF(N$321=0, INDEX('Adjustment for previous period'!M$431:M$530,$B538), 0)</f>
        <v>0</v>
      </c>
      <c r="N538" s="1408">
        <f>IF(O$321=0, INDEX('Adjustment for previous period'!N$431:N$530,$B538), 0)</f>
        <v>0</v>
      </c>
      <c r="O538" s="1408">
        <f>IF(P$321=0, INDEX('Adjustment for previous period'!O$431:O$530,$B538), 0)</f>
        <v>0</v>
      </c>
      <c r="P538" s="1408">
        <f>IF(Q$321=0, INDEX('Adjustment for previous period'!P$431:P$530,$B538), 0)</f>
        <v>0</v>
      </c>
      <c r="Q538" s="1408">
        <f>IF(R$321=0, INDEX('Adjustment for previous period'!Q$431:Q$530,$B538), 0)</f>
        <v>0</v>
      </c>
      <c r="R538" s="1397"/>
      <c r="S538" s="3"/>
      <c r="T538" s="3"/>
      <c r="U538" s="3"/>
      <c r="V538" s="3"/>
      <c r="W538" s="3"/>
      <c r="X538" s="3"/>
      <c r="Y538" s="3"/>
      <c r="Z538" s="3"/>
      <c r="AA538" s="152"/>
    </row>
    <row r="539" spans="1:27" hidden="1" outlineLevel="1">
      <c r="A539" s="152"/>
      <c r="B539" s="283">
        <v>20</v>
      </c>
      <c r="C539" s="390"/>
      <c r="D539" s="412">
        <f>Asset10</f>
        <v>0</v>
      </c>
      <c r="E539" s="390"/>
      <c r="F539" s="390"/>
      <c r="G539" s="1373"/>
      <c r="H539" s="1408"/>
      <c r="I539" s="1408">
        <f>IF(J$321=0, INDEX('Adjustment for previous period'!I$431:I$530,$B539), 0)</f>
        <v>0</v>
      </c>
      <c r="J539" s="1408">
        <f>IF(K$321=0, INDEX('Adjustment for previous period'!J$431:J$530,$B539), 0)</f>
        <v>0</v>
      </c>
      <c r="K539" s="1408">
        <f>IF(L$321=0, INDEX('Adjustment for previous period'!K$431:K$530,$B539), 0)</f>
        <v>0</v>
      </c>
      <c r="L539" s="1408">
        <f>IF(M$321=0, INDEX('Adjustment for previous period'!L$431:L$530,$B539), 0)</f>
        <v>0</v>
      </c>
      <c r="M539" s="1408">
        <f>IF(N$321=0, INDEX('Adjustment for previous period'!M$431:M$530,$B539), 0)</f>
        <v>0</v>
      </c>
      <c r="N539" s="1408">
        <f>IF(O$321=0, INDEX('Adjustment for previous period'!N$431:N$530,$B539), 0)</f>
        <v>0</v>
      </c>
      <c r="O539" s="1408">
        <f>IF(P$321=0, INDEX('Adjustment for previous period'!O$431:O$530,$B539), 0)</f>
        <v>0</v>
      </c>
      <c r="P539" s="1408">
        <f>IF(Q$321=0, INDEX('Adjustment for previous period'!P$431:P$530,$B539), 0)</f>
        <v>0</v>
      </c>
      <c r="Q539" s="1408">
        <f>IF(R$321=0, INDEX('Adjustment for previous period'!Q$431:Q$530,$B539), 0)</f>
        <v>0</v>
      </c>
      <c r="R539" s="1397"/>
      <c r="S539" s="3"/>
      <c r="T539" s="3"/>
      <c r="U539" s="3"/>
      <c r="V539" s="3"/>
      <c r="W539" s="3"/>
      <c r="X539" s="3"/>
      <c r="Y539" s="3"/>
      <c r="Z539" s="3"/>
      <c r="AA539" s="152"/>
    </row>
    <row r="540" spans="1:27" hidden="1" outlineLevel="1">
      <c r="A540" s="152"/>
      <c r="B540" s="283">
        <v>22</v>
      </c>
      <c r="C540" s="390"/>
      <c r="D540" s="412">
        <f>Asset11</f>
        <v>0</v>
      </c>
      <c r="E540" s="390"/>
      <c r="F540" s="390"/>
      <c r="G540" s="1373"/>
      <c r="H540" s="1408"/>
      <c r="I540" s="1408">
        <f>IF(J$321=0, INDEX('Adjustment for previous period'!I$431:I$530,$B540), 0)</f>
        <v>0</v>
      </c>
      <c r="J540" s="1408">
        <f>IF(K$321=0, INDEX('Adjustment for previous period'!J$431:J$530,$B540), 0)</f>
        <v>0</v>
      </c>
      <c r="K540" s="1408">
        <f>IF(L$321=0, INDEX('Adjustment for previous period'!K$431:K$530,$B540), 0)</f>
        <v>0</v>
      </c>
      <c r="L540" s="1408">
        <f>IF(M$321=0, INDEX('Adjustment for previous period'!L$431:L$530,$B540), 0)</f>
        <v>0</v>
      </c>
      <c r="M540" s="1408">
        <f>IF(N$321=0, INDEX('Adjustment for previous period'!M$431:M$530,$B540), 0)</f>
        <v>0</v>
      </c>
      <c r="N540" s="1408">
        <f>IF(O$321=0, INDEX('Adjustment for previous period'!N$431:N$530,$B540), 0)</f>
        <v>0</v>
      </c>
      <c r="O540" s="1408">
        <f>IF(P$321=0, INDEX('Adjustment for previous period'!O$431:O$530,$B540), 0)</f>
        <v>0</v>
      </c>
      <c r="P540" s="1408">
        <f>IF(Q$321=0, INDEX('Adjustment for previous period'!P$431:P$530,$B540), 0)</f>
        <v>0</v>
      </c>
      <c r="Q540" s="1408">
        <f>IF(R$321=0, INDEX('Adjustment for previous period'!Q$431:Q$530,$B540), 0)</f>
        <v>0</v>
      </c>
      <c r="R540" s="1397"/>
      <c r="S540" s="3"/>
      <c r="T540" s="3"/>
      <c r="U540" s="3"/>
      <c r="V540" s="3"/>
      <c r="W540" s="3"/>
      <c r="X540" s="3"/>
      <c r="Y540" s="3"/>
      <c r="Z540" s="3"/>
      <c r="AA540" s="152"/>
    </row>
    <row r="541" spans="1:27" hidden="1" outlineLevel="1">
      <c r="A541" s="152"/>
      <c r="B541" s="283">
        <v>24</v>
      </c>
      <c r="C541" s="390"/>
      <c r="D541" s="412">
        <f>Asset12</f>
        <v>0</v>
      </c>
      <c r="E541" s="390"/>
      <c r="F541" s="390"/>
      <c r="G541" s="1373"/>
      <c r="H541" s="1408"/>
      <c r="I541" s="1408">
        <f>IF(J$321=0, INDEX('Adjustment for previous period'!I$431:I$530,$B541), 0)</f>
        <v>0</v>
      </c>
      <c r="J541" s="1408">
        <f>IF(K$321=0, INDEX('Adjustment for previous period'!J$431:J$530,$B541), 0)</f>
        <v>0</v>
      </c>
      <c r="K541" s="1408">
        <f>IF(L$321=0, INDEX('Adjustment for previous period'!K$431:K$530,$B541), 0)</f>
        <v>0</v>
      </c>
      <c r="L541" s="1408">
        <f>IF(M$321=0, INDEX('Adjustment for previous period'!L$431:L$530,$B541), 0)</f>
        <v>0</v>
      </c>
      <c r="M541" s="1408">
        <f>IF(N$321=0, INDEX('Adjustment for previous period'!M$431:M$530,$B541), 0)</f>
        <v>0</v>
      </c>
      <c r="N541" s="1408">
        <f>IF(O$321=0, INDEX('Adjustment for previous period'!N$431:N$530,$B541), 0)</f>
        <v>0</v>
      </c>
      <c r="O541" s="1408">
        <f>IF(P$321=0, INDEX('Adjustment for previous period'!O$431:O$530,$B541), 0)</f>
        <v>0</v>
      </c>
      <c r="P541" s="1408">
        <f>IF(Q$321=0, INDEX('Adjustment for previous period'!P$431:P$530,$B541), 0)</f>
        <v>0</v>
      </c>
      <c r="Q541" s="1408">
        <f>IF(R$321=0, INDEX('Adjustment for previous period'!Q$431:Q$530,$B541), 0)</f>
        <v>0</v>
      </c>
      <c r="R541" s="1397"/>
      <c r="S541" s="3"/>
      <c r="T541" s="3"/>
      <c r="U541" s="3"/>
      <c r="V541" s="3"/>
      <c r="W541" s="3"/>
      <c r="X541" s="3"/>
      <c r="Y541" s="3"/>
      <c r="Z541" s="3"/>
      <c r="AA541" s="152"/>
    </row>
    <row r="542" spans="1:27" hidden="1" outlineLevel="1">
      <c r="A542" s="152"/>
      <c r="B542" s="283">
        <v>26</v>
      </c>
      <c r="C542" s="390"/>
      <c r="D542" s="412">
        <f>Asset13</f>
        <v>0</v>
      </c>
      <c r="E542" s="390"/>
      <c r="F542" s="390"/>
      <c r="G542" s="1373"/>
      <c r="H542" s="1408"/>
      <c r="I542" s="1408">
        <f>IF(J$321=0, INDEX('Adjustment for previous period'!I$431:I$530,$B542), 0)</f>
        <v>0</v>
      </c>
      <c r="J542" s="1408">
        <f>IF(K$321=0, INDEX('Adjustment for previous period'!J$431:J$530,$B542), 0)</f>
        <v>0</v>
      </c>
      <c r="K542" s="1408">
        <f>IF(L$321=0, INDEX('Adjustment for previous period'!K$431:K$530,$B542), 0)</f>
        <v>0</v>
      </c>
      <c r="L542" s="1408">
        <f>IF(M$321=0, INDEX('Adjustment for previous period'!L$431:L$530,$B542), 0)</f>
        <v>0</v>
      </c>
      <c r="M542" s="1408">
        <f>IF(N$321=0, INDEX('Adjustment for previous period'!M$431:M$530,$B542), 0)</f>
        <v>0</v>
      </c>
      <c r="N542" s="1408">
        <f>IF(O$321=0, INDEX('Adjustment for previous period'!N$431:N$530,$B542), 0)</f>
        <v>0</v>
      </c>
      <c r="O542" s="1408">
        <f>IF(P$321=0, INDEX('Adjustment for previous period'!O$431:O$530,$B542), 0)</f>
        <v>0</v>
      </c>
      <c r="P542" s="1408">
        <f>IF(Q$321=0, INDEX('Adjustment for previous period'!P$431:P$530,$B542), 0)</f>
        <v>0</v>
      </c>
      <c r="Q542" s="1408">
        <f>IF(R$321=0, INDEX('Adjustment for previous period'!Q$431:Q$530,$B542), 0)</f>
        <v>0</v>
      </c>
      <c r="R542" s="1397"/>
      <c r="S542" s="3"/>
      <c r="T542" s="3"/>
      <c r="U542" s="3"/>
      <c r="V542" s="3"/>
      <c r="W542" s="3"/>
      <c r="X542" s="3"/>
      <c r="Y542" s="3"/>
      <c r="Z542" s="3"/>
      <c r="AA542" s="152"/>
    </row>
    <row r="543" spans="1:27" hidden="1" outlineLevel="1">
      <c r="A543" s="152"/>
      <c r="B543" s="283">
        <v>28</v>
      </c>
      <c r="C543" s="390"/>
      <c r="D543" s="412">
        <f>Asset14</f>
        <v>0</v>
      </c>
      <c r="E543" s="390"/>
      <c r="F543" s="390"/>
      <c r="G543" s="1373"/>
      <c r="H543" s="1408"/>
      <c r="I543" s="1408">
        <f>IF(J$321=0, INDEX('Adjustment for previous period'!I$431:I$530,$B543), 0)</f>
        <v>0</v>
      </c>
      <c r="J543" s="1408">
        <f>IF(K$321=0, INDEX('Adjustment for previous period'!J$431:J$530,$B543), 0)</f>
        <v>0</v>
      </c>
      <c r="K543" s="1408">
        <f>IF(L$321=0, INDEX('Adjustment for previous period'!K$431:K$530,$B543), 0)</f>
        <v>0</v>
      </c>
      <c r="L543" s="1408">
        <f>IF(M$321=0, INDEX('Adjustment for previous period'!L$431:L$530,$B543), 0)</f>
        <v>0</v>
      </c>
      <c r="M543" s="1408">
        <f>IF(N$321=0, INDEX('Adjustment for previous period'!M$431:M$530,$B543), 0)</f>
        <v>0</v>
      </c>
      <c r="N543" s="1408">
        <f>IF(O$321=0, INDEX('Adjustment for previous period'!N$431:N$530,$B543), 0)</f>
        <v>0</v>
      </c>
      <c r="O543" s="1408">
        <f>IF(P$321=0, INDEX('Adjustment for previous period'!O$431:O$530,$B543), 0)</f>
        <v>0</v>
      </c>
      <c r="P543" s="1408">
        <f>IF(Q$321=0, INDEX('Adjustment for previous period'!P$431:P$530,$B543), 0)</f>
        <v>0</v>
      </c>
      <c r="Q543" s="1408">
        <f>IF(R$321=0, INDEX('Adjustment for previous period'!Q$431:Q$530,$B543), 0)</f>
        <v>0</v>
      </c>
      <c r="R543" s="1397"/>
      <c r="S543" s="3"/>
      <c r="T543" s="3"/>
      <c r="U543" s="3"/>
      <c r="V543" s="3"/>
      <c r="W543" s="3"/>
      <c r="X543" s="3"/>
      <c r="Y543" s="3"/>
      <c r="Z543" s="3"/>
      <c r="AA543" s="152"/>
    </row>
    <row r="544" spans="1:27" hidden="1" outlineLevel="1">
      <c r="A544" s="152"/>
      <c r="B544" s="283">
        <v>30</v>
      </c>
      <c r="C544" s="390"/>
      <c r="D544" s="412">
        <f>Asset15</f>
        <v>0</v>
      </c>
      <c r="E544" s="390"/>
      <c r="F544" s="390"/>
      <c r="G544" s="1373"/>
      <c r="H544" s="1408"/>
      <c r="I544" s="1408">
        <f>IF(J$321=0, INDEX('Adjustment for previous period'!I$431:I$530,$B544), 0)</f>
        <v>0</v>
      </c>
      <c r="J544" s="1408">
        <f>IF(K$321=0, INDEX('Adjustment for previous period'!J$431:J$530,$B544), 0)</f>
        <v>0</v>
      </c>
      <c r="K544" s="1408">
        <f>IF(L$321=0, INDEX('Adjustment for previous period'!K$431:K$530,$B544), 0)</f>
        <v>0</v>
      </c>
      <c r="L544" s="1408">
        <f>IF(M$321=0, INDEX('Adjustment for previous period'!L$431:L$530,$B544), 0)</f>
        <v>0</v>
      </c>
      <c r="M544" s="1408">
        <f>IF(N$321=0, INDEX('Adjustment for previous period'!M$431:M$530,$B544), 0)</f>
        <v>0</v>
      </c>
      <c r="N544" s="1408">
        <f>IF(O$321=0, INDEX('Adjustment for previous period'!N$431:N$530,$B544), 0)</f>
        <v>0</v>
      </c>
      <c r="O544" s="1408">
        <f>IF(P$321=0, INDEX('Adjustment for previous period'!O$431:O$530,$B544), 0)</f>
        <v>0</v>
      </c>
      <c r="P544" s="1408">
        <f>IF(Q$321=0, INDEX('Adjustment for previous period'!P$431:P$530,$B544), 0)</f>
        <v>0</v>
      </c>
      <c r="Q544" s="1408">
        <f>IF(R$321=0, INDEX('Adjustment for previous period'!Q$431:Q$530,$B544), 0)</f>
        <v>0</v>
      </c>
      <c r="R544" s="1397"/>
      <c r="S544" s="3"/>
      <c r="T544" s="3"/>
      <c r="U544" s="3"/>
      <c r="V544" s="3"/>
      <c r="W544" s="3"/>
      <c r="X544" s="3"/>
      <c r="Y544" s="3"/>
      <c r="Z544" s="3"/>
      <c r="AA544" s="152"/>
    </row>
    <row r="545" spans="1:27" hidden="1" outlineLevel="1">
      <c r="A545" s="152"/>
      <c r="B545" s="283">
        <v>32</v>
      </c>
      <c r="C545" s="390"/>
      <c r="D545" s="412">
        <f>Asset16</f>
        <v>0</v>
      </c>
      <c r="E545" s="390"/>
      <c r="F545" s="390"/>
      <c r="G545" s="1373"/>
      <c r="H545" s="1408"/>
      <c r="I545" s="1408">
        <f>IF(J$321=0, INDEX('Adjustment for previous period'!I$431:I$530,$B545), 0)</f>
        <v>0</v>
      </c>
      <c r="J545" s="1408">
        <f>IF(K$321=0, INDEX('Adjustment for previous period'!J$431:J$530,$B545), 0)</f>
        <v>0</v>
      </c>
      <c r="K545" s="1408">
        <f>IF(L$321=0, INDEX('Adjustment for previous period'!K$431:K$530,$B545), 0)</f>
        <v>0</v>
      </c>
      <c r="L545" s="1408">
        <f>IF(M$321=0, INDEX('Adjustment for previous period'!L$431:L$530,$B545), 0)</f>
        <v>0</v>
      </c>
      <c r="M545" s="1408">
        <f>IF(N$321=0, INDEX('Adjustment for previous period'!M$431:M$530,$B545), 0)</f>
        <v>0</v>
      </c>
      <c r="N545" s="1408">
        <f>IF(O$321=0, INDEX('Adjustment for previous period'!N$431:N$530,$B545), 0)</f>
        <v>0</v>
      </c>
      <c r="O545" s="1408">
        <f>IF(P$321=0, INDEX('Adjustment for previous period'!O$431:O$530,$B545), 0)</f>
        <v>0</v>
      </c>
      <c r="P545" s="1408">
        <f>IF(Q$321=0, INDEX('Adjustment for previous period'!P$431:P$530,$B545), 0)</f>
        <v>0</v>
      </c>
      <c r="Q545" s="1408">
        <f>IF(R$321=0, INDEX('Adjustment for previous period'!Q$431:Q$530,$B545), 0)</f>
        <v>0</v>
      </c>
      <c r="R545" s="1397"/>
      <c r="S545" s="3"/>
      <c r="T545" s="3"/>
      <c r="U545" s="3"/>
      <c r="V545" s="3"/>
      <c r="W545" s="3"/>
      <c r="X545" s="3"/>
      <c r="Y545" s="3"/>
      <c r="Z545" s="3"/>
      <c r="AA545" s="152"/>
    </row>
    <row r="546" spans="1:27" hidden="1" outlineLevel="1">
      <c r="A546" s="152"/>
      <c r="B546" s="283">
        <v>34</v>
      </c>
      <c r="C546" s="390"/>
      <c r="D546" s="412">
        <f>Asset17</f>
        <v>0</v>
      </c>
      <c r="E546" s="390"/>
      <c r="F546" s="390"/>
      <c r="G546" s="1373"/>
      <c r="H546" s="1408"/>
      <c r="I546" s="1408">
        <f>IF(J$321=0, INDEX('Adjustment for previous period'!I$431:I$530,$B546), 0)</f>
        <v>0</v>
      </c>
      <c r="J546" s="1408">
        <f>IF(K$321=0, INDEX('Adjustment for previous period'!J$431:J$530,$B546), 0)</f>
        <v>0</v>
      </c>
      <c r="K546" s="1408">
        <f>IF(L$321=0, INDEX('Adjustment for previous period'!K$431:K$530,$B546), 0)</f>
        <v>0</v>
      </c>
      <c r="L546" s="1408">
        <f>IF(M$321=0, INDEX('Adjustment for previous period'!L$431:L$530,$B546), 0)</f>
        <v>0</v>
      </c>
      <c r="M546" s="1408">
        <f>IF(N$321=0, INDEX('Adjustment for previous period'!M$431:M$530,$B546), 0)</f>
        <v>0</v>
      </c>
      <c r="N546" s="1408">
        <f>IF(O$321=0, INDEX('Adjustment for previous period'!N$431:N$530,$B546), 0)</f>
        <v>0</v>
      </c>
      <c r="O546" s="1408">
        <f>IF(P$321=0, INDEX('Adjustment for previous period'!O$431:O$530,$B546), 0)</f>
        <v>0</v>
      </c>
      <c r="P546" s="1408">
        <f>IF(Q$321=0, INDEX('Adjustment for previous period'!P$431:P$530,$B546), 0)</f>
        <v>0</v>
      </c>
      <c r="Q546" s="1408">
        <f>IF(R$321=0, INDEX('Adjustment for previous period'!Q$431:Q$530,$B546), 0)</f>
        <v>0</v>
      </c>
      <c r="R546" s="1397"/>
      <c r="S546" s="3"/>
      <c r="T546" s="3"/>
      <c r="U546" s="3"/>
      <c r="V546" s="3"/>
      <c r="W546" s="3"/>
      <c r="X546" s="3"/>
      <c r="Y546" s="3"/>
      <c r="Z546" s="3"/>
      <c r="AA546" s="152"/>
    </row>
    <row r="547" spans="1:27" hidden="1" outlineLevel="1">
      <c r="A547" s="152"/>
      <c r="B547" s="283">
        <v>36</v>
      </c>
      <c r="C547" s="390"/>
      <c r="D547" s="412">
        <f>Asset18</f>
        <v>0</v>
      </c>
      <c r="E547" s="390"/>
      <c r="F547" s="390"/>
      <c r="G547" s="1373"/>
      <c r="H547" s="1408"/>
      <c r="I547" s="1408">
        <f>IF(J$321=0, INDEX('Adjustment for previous period'!I$431:I$530,$B547), 0)</f>
        <v>0</v>
      </c>
      <c r="J547" s="1408">
        <f>IF(K$321=0, INDEX('Adjustment for previous period'!J$431:J$530,$B547), 0)</f>
        <v>0</v>
      </c>
      <c r="K547" s="1408">
        <f>IF(L$321=0, INDEX('Adjustment for previous period'!K$431:K$530,$B547), 0)</f>
        <v>0</v>
      </c>
      <c r="L547" s="1408">
        <f>IF(M$321=0, INDEX('Adjustment for previous period'!L$431:L$530,$B547), 0)</f>
        <v>0</v>
      </c>
      <c r="M547" s="1408">
        <f>IF(N$321=0, INDEX('Adjustment for previous period'!M$431:M$530,$B547), 0)</f>
        <v>0</v>
      </c>
      <c r="N547" s="1408">
        <f>IF(O$321=0, INDEX('Adjustment for previous period'!N$431:N$530,$B547), 0)</f>
        <v>0</v>
      </c>
      <c r="O547" s="1408">
        <f>IF(P$321=0, INDEX('Adjustment for previous period'!O$431:O$530,$B547), 0)</f>
        <v>0</v>
      </c>
      <c r="P547" s="1408">
        <f>IF(Q$321=0, INDEX('Adjustment for previous period'!P$431:P$530,$B547), 0)</f>
        <v>0</v>
      </c>
      <c r="Q547" s="1408">
        <f>IF(R$321=0, INDEX('Adjustment for previous period'!Q$431:Q$530,$B547), 0)</f>
        <v>0</v>
      </c>
      <c r="R547" s="1397"/>
      <c r="S547" s="3"/>
      <c r="T547" s="3"/>
      <c r="U547" s="3"/>
      <c r="V547" s="3"/>
      <c r="W547" s="3"/>
      <c r="X547" s="3"/>
      <c r="Y547" s="3"/>
      <c r="Z547" s="3"/>
      <c r="AA547" s="152"/>
    </row>
    <row r="548" spans="1:27" hidden="1" outlineLevel="1">
      <c r="A548" s="152"/>
      <c r="B548" s="283">
        <v>38</v>
      </c>
      <c r="C548" s="390"/>
      <c r="D548" s="412">
        <f>Asset19</f>
        <v>0</v>
      </c>
      <c r="E548" s="390"/>
      <c r="F548" s="390"/>
      <c r="G548" s="1373"/>
      <c r="H548" s="1408"/>
      <c r="I548" s="1408">
        <f>IF(J$321=0, INDEX('Adjustment for previous period'!I$431:I$530,$B548), 0)</f>
        <v>0</v>
      </c>
      <c r="J548" s="1408">
        <f>IF(K$321=0, INDEX('Adjustment for previous period'!J$431:J$530,$B548), 0)</f>
        <v>0</v>
      </c>
      <c r="K548" s="1408">
        <f>IF(L$321=0, INDEX('Adjustment for previous period'!K$431:K$530,$B548), 0)</f>
        <v>0</v>
      </c>
      <c r="L548" s="1408">
        <f>IF(M$321=0, INDEX('Adjustment for previous period'!L$431:L$530,$B548), 0)</f>
        <v>0</v>
      </c>
      <c r="M548" s="1408">
        <f>IF(N$321=0, INDEX('Adjustment for previous period'!M$431:M$530,$B548), 0)</f>
        <v>0</v>
      </c>
      <c r="N548" s="1408">
        <f>IF(O$321=0, INDEX('Adjustment for previous period'!N$431:N$530,$B548), 0)</f>
        <v>0</v>
      </c>
      <c r="O548" s="1408">
        <f>IF(P$321=0, INDEX('Adjustment for previous period'!O$431:O$530,$B548), 0)</f>
        <v>0</v>
      </c>
      <c r="P548" s="1408">
        <f>IF(Q$321=0, INDEX('Adjustment for previous period'!P$431:P$530,$B548), 0)</f>
        <v>0</v>
      </c>
      <c r="Q548" s="1408">
        <f>IF(R$321=0, INDEX('Adjustment for previous period'!Q$431:Q$530,$B548), 0)</f>
        <v>0</v>
      </c>
      <c r="R548" s="1397"/>
      <c r="S548" s="3"/>
      <c r="T548" s="3"/>
      <c r="U548" s="3"/>
      <c r="V548" s="3"/>
      <c r="W548" s="3"/>
      <c r="X548" s="3"/>
      <c r="Y548" s="3"/>
      <c r="Z548" s="3"/>
      <c r="AA548" s="152"/>
    </row>
    <row r="549" spans="1:27" hidden="1" outlineLevel="1">
      <c r="A549" s="152"/>
      <c r="B549" s="283">
        <v>40</v>
      </c>
      <c r="C549" s="390"/>
      <c r="D549" s="412">
        <f>Asset20</f>
        <v>0</v>
      </c>
      <c r="E549" s="390"/>
      <c r="F549" s="390"/>
      <c r="G549" s="1373"/>
      <c r="H549" s="1408"/>
      <c r="I549" s="1408">
        <f>IF(J$321=0, INDEX('Adjustment for previous period'!I$431:I$530,$B549), 0)</f>
        <v>0</v>
      </c>
      <c r="J549" s="1408">
        <f>IF(K$321=0, INDEX('Adjustment for previous period'!J$431:J$530,$B549), 0)</f>
        <v>0</v>
      </c>
      <c r="K549" s="1408">
        <f>IF(L$321=0, INDEX('Adjustment for previous period'!K$431:K$530,$B549), 0)</f>
        <v>0</v>
      </c>
      <c r="L549" s="1408">
        <f>IF(M$321=0, INDEX('Adjustment for previous period'!L$431:L$530,$B549), 0)</f>
        <v>0</v>
      </c>
      <c r="M549" s="1408">
        <f>IF(N$321=0, INDEX('Adjustment for previous period'!M$431:M$530,$B549), 0)</f>
        <v>0</v>
      </c>
      <c r="N549" s="1408">
        <f>IF(O$321=0, INDEX('Adjustment for previous period'!N$431:N$530,$B549), 0)</f>
        <v>0</v>
      </c>
      <c r="O549" s="1408">
        <f>IF(P$321=0, INDEX('Adjustment for previous period'!O$431:O$530,$B549), 0)</f>
        <v>0</v>
      </c>
      <c r="P549" s="1408">
        <f>IF(Q$321=0, INDEX('Adjustment for previous period'!P$431:P$530,$B549), 0)</f>
        <v>0</v>
      </c>
      <c r="Q549" s="1408">
        <f>IF(R$321=0, INDEX('Adjustment for previous period'!Q$431:Q$530,$B549), 0)</f>
        <v>0</v>
      </c>
      <c r="R549" s="1397"/>
      <c r="S549" s="3"/>
      <c r="T549" s="3"/>
      <c r="U549" s="3"/>
      <c r="V549" s="3"/>
      <c r="W549" s="3"/>
      <c r="X549" s="3"/>
      <c r="Y549" s="3"/>
      <c r="Z549" s="3"/>
      <c r="AA549" s="152"/>
    </row>
    <row r="550" spans="1:27" hidden="1" outlineLevel="1">
      <c r="A550" s="152"/>
      <c r="B550" s="283">
        <v>42</v>
      </c>
      <c r="C550" s="390"/>
      <c r="D550" s="412">
        <f>Asset21</f>
        <v>0</v>
      </c>
      <c r="E550" s="390"/>
      <c r="F550" s="390"/>
      <c r="G550" s="1373"/>
      <c r="H550" s="1408"/>
      <c r="I550" s="1408">
        <f>IF(J$321=0, INDEX('Adjustment for previous period'!I$431:I$530,$B550), 0)</f>
        <v>0</v>
      </c>
      <c r="J550" s="1408">
        <f>IF(K$321=0, INDEX('Adjustment for previous period'!J$431:J$530,$B550), 0)</f>
        <v>0</v>
      </c>
      <c r="K550" s="1408">
        <f>IF(L$321=0, INDEX('Adjustment for previous period'!K$431:K$530,$B550), 0)</f>
        <v>0</v>
      </c>
      <c r="L550" s="1408">
        <f>IF(M$321=0, INDEX('Adjustment for previous period'!L$431:L$530,$B550), 0)</f>
        <v>0</v>
      </c>
      <c r="M550" s="1408">
        <f>IF(N$321=0, INDEX('Adjustment for previous period'!M$431:M$530,$B550), 0)</f>
        <v>0</v>
      </c>
      <c r="N550" s="1408">
        <f>IF(O$321=0, INDEX('Adjustment for previous period'!N$431:N$530,$B550), 0)</f>
        <v>0</v>
      </c>
      <c r="O550" s="1408">
        <f>IF(P$321=0, INDEX('Adjustment for previous period'!O$431:O$530,$B550), 0)</f>
        <v>0</v>
      </c>
      <c r="P550" s="1408">
        <f>IF(Q$321=0, INDEX('Adjustment for previous period'!P$431:P$530,$B550), 0)</f>
        <v>0</v>
      </c>
      <c r="Q550" s="1408">
        <f>IF(R$321=0, INDEX('Adjustment for previous period'!Q$431:Q$530,$B550), 0)</f>
        <v>0</v>
      </c>
      <c r="R550" s="1397"/>
      <c r="S550" s="3"/>
      <c r="T550" s="3"/>
      <c r="U550" s="3"/>
      <c r="V550" s="3"/>
      <c r="W550" s="3"/>
      <c r="X550" s="3"/>
      <c r="Y550" s="3"/>
      <c r="Z550" s="3"/>
      <c r="AA550" s="152"/>
    </row>
    <row r="551" spans="1:27" hidden="1" outlineLevel="1">
      <c r="A551" s="152"/>
      <c r="B551" s="283">
        <v>44</v>
      </c>
      <c r="C551" s="390"/>
      <c r="D551" s="412">
        <f>Asset22</f>
        <v>0</v>
      </c>
      <c r="E551" s="390"/>
      <c r="F551" s="390"/>
      <c r="G551" s="1373"/>
      <c r="H551" s="1408"/>
      <c r="I551" s="1408">
        <f>IF(J$321=0, INDEX('Adjustment for previous period'!I$431:I$530,$B551), 0)</f>
        <v>0</v>
      </c>
      <c r="J551" s="1408">
        <f>IF(K$321=0, INDEX('Adjustment for previous period'!J$431:J$530,$B551), 0)</f>
        <v>0</v>
      </c>
      <c r="K551" s="1408">
        <f>IF(L$321=0, INDEX('Adjustment for previous period'!K$431:K$530,$B551), 0)</f>
        <v>0</v>
      </c>
      <c r="L551" s="1408">
        <f>IF(M$321=0, INDEX('Adjustment for previous period'!L$431:L$530,$B551), 0)</f>
        <v>0</v>
      </c>
      <c r="M551" s="1408">
        <f>IF(N$321=0, INDEX('Adjustment for previous period'!M$431:M$530,$B551), 0)</f>
        <v>0</v>
      </c>
      <c r="N551" s="1408">
        <f>IF(O$321=0, INDEX('Adjustment for previous period'!N$431:N$530,$B551), 0)</f>
        <v>0</v>
      </c>
      <c r="O551" s="1408">
        <f>IF(P$321=0, INDEX('Adjustment for previous period'!O$431:O$530,$B551), 0)</f>
        <v>0</v>
      </c>
      <c r="P551" s="1408">
        <f>IF(Q$321=0, INDEX('Adjustment for previous period'!P$431:P$530,$B551), 0)</f>
        <v>0</v>
      </c>
      <c r="Q551" s="1408">
        <f>IF(R$321=0, INDEX('Adjustment for previous period'!Q$431:Q$530,$B551), 0)</f>
        <v>0</v>
      </c>
      <c r="R551" s="1397"/>
      <c r="S551" s="3"/>
      <c r="T551" s="3"/>
      <c r="U551" s="3"/>
      <c r="V551" s="3"/>
      <c r="W551" s="3"/>
      <c r="X551" s="3"/>
      <c r="Y551" s="3"/>
      <c r="Z551" s="3"/>
      <c r="AA551" s="152"/>
    </row>
    <row r="552" spans="1:27" hidden="1" outlineLevel="1">
      <c r="A552" s="152"/>
      <c r="B552" s="283">
        <v>46</v>
      </c>
      <c r="C552" s="390"/>
      <c r="D552" s="412">
        <f>Asset23</f>
        <v>0</v>
      </c>
      <c r="E552" s="390"/>
      <c r="F552" s="390"/>
      <c r="G552" s="1373"/>
      <c r="H552" s="1408"/>
      <c r="I552" s="1408">
        <f>IF(J$321=0, INDEX('Adjustment for previous period'!I$431:I$530,$B552), 0)</f>
        <v>0</v>
      </c>
      <c r="J552" s="1408">
        <f>IF(K$321=0, INDEX('Adjustment for previous period'!J$431:J$530,$B552), 0)</f>
        <v>0</v>
      </c>
      <c r="K552" s="1408">
        <f>IF(L$321=0, INDEX('Adjustment for previous period'!K$431:K$530,$B552), 0)</f>
        <v>0</v>
      </c>
      <c r="L552" s="1408">
        <f>IF(M$321=0, INDEX('Adjustment for previous period'!L$431:L$530,$B552), 0)</f>
        <v>0</v>
      </c>
      <c r="M552" s="1408">
        <f>IF(N$321=0, INDEX('Adjustment for previous period'!M$431:M$530,$B552), 0)</f>
        <v>0</v>
      </c>
      <c r="N552" s="1408">
        <f>IF(O$321=0, INDEX('Adjustment for previous period'!N$431:N$530,$B552), 0)</f>
        <v>0</v>
      </c>
      <c r="O552" s="1408">
        <f>IF(P$321=0, INDEX('Adjustment for previous period'!O$431:O$530,$B552), 0)</f>
        <v>0</v>
      </c>
      <c r="P552" s="1408">
        <f>IF(Q$321=0, INDEX('Adjustment for previous period'!P$431:P$530,$B552), 0)</f>
        <v>0</v>
      </c>
      <c r="Q552" s="1408">
        <f>IF(R$321=0, INDEX('Adjustment for previous period'!Q$431:Q$530,$B552), 0)</f>
        <v>0</v>
      </c>
      <c r="R552" s="1397"/>
      <c r="S552" s="3"/>
      <c r="T552" s="3"/>
      <c r="U552" s="3"/>
      <c r="V552" s="3"/>
      <c r="W552" s="3"/>
      <c r="X552" s="3"/>
      <c r="Y552" s="3"/>
      <c r="Z552" s="3"/>
      <c r="AA552" s="152"/>
    </row>
    <row r="553" spans="1:27" hidden="1" outlineLevel="1">
      <c r="A553" s="152"/>
      <c r="B553" s="283">
        <v>48</v>
      </c>
      <c r="C553" s="390"/>
      <c r="D553" s="412">
        <f>Asset24</f>
        <v>0</v>
      </c>
      <c r="E553" s="390"/>
      <c r="F553" s="390"/>
      <c r="G553" s="1373"/>
      <c r="H553" s="1408"/>
      <c r="I553" s="1408">
        <f>IF(J$321=0, INDEX('Adjustment for previous period'!I$431:I$530,$B553), 0)</f>
        <v>0</v>
      </c>
      <c r="J553" s="1408">
        <f>IF(K$321=0, INDEX('Adjustment for previous period'!J$431:J$530,$B553), 0)</f>
        <v>0</v>
      </c>
      <c r="K553" s="1408">
        <f>IF(L$321=0, INDEX('Adjustment for previous period'!K$431:K$530,$B553), 0)</f>
        <v>0</v>
      </c>
      <c r="L553" s="1408">
        <f>IF(M$321=0, INDEX('Adjustment for previous period'!L$431:L$530,$B553), 0)</f>
        <v>0</v>
      </c>
      <c r="M553" s="1408">
        <f>IF(N$321=0, INDEX('Adjustment for previous period'!M$431:M$530,$B553), 0)</f>
        <v>0</v>
      </c>
      <c r="N553" s="1408">
        <f>IF(O$321=0, INDEX('Adjustment for previous period'!N$431:N$530,$B553), 0)</f>
        <v>0</v>
      </c>
      <c r="O553" s="1408">
        <f>IF(P$321=0, INDEX('Adjustment for previous period'!O$431:O$530,$B553), 0)</f>
        <v>0</v>
      </c>
      <c r="P553" s="1408">
        <f>IF(Q$321=0, INDEX('Adjustment for previous period'!P$431:P$530,$B553), 0)</f>
        <v>0</v>
      </c>
      <c r="Q553" s="1408">
        <f>IF(R$321=0, INDEX('Adjustment for previous period'!Q$431:Q$530,$B553), 0)</f>
        <v>0</v>
      </c>
      <c r="R553" s="1397"/>
      <c r="S553" s="3"/>
      <c r="T553" s="3"/>
      <c r="U553" s="3"/>
      <c r="V553" s="3"/>
      <c r="W553" s="3"/>
      <c r="X553" s="3"/>
      <c r="Y553" s="3"/>
      <c r="Z553" s="3"/>
      <c r="AA553" s="152"/>
    </row>
    <row r="554" spans="1:27" hidden="1" outlineLevel="1">
      <c r="A554" s="152"/>
      <c r="B554" s="283">
        <v>50</v>
      </c>
      <c r="C554" s="390"/>
      <c r="D554" s="412">
        <f>Asset25</f>
        <v>0</v>
      </c>
      <c r="E554" s="390"/>
      <c r="F554" s="390"/>
      <c r="G554" s="1373"/>
      <c r="H554" s="1408"/>
      <c r="I554" s="1408">
        <f>IF(J$321=0, INDEX('Adjustment for previous period'!I$431:I$530,$B554), 0)</f>
        <v>0</v>
      </c>
      <c r="J554" s="1408">
        <f>IF(K$321=0, INDEX('Adjustment for previous period'!J$431:J$530,$B554), 0)</f>
        <v>0</v>
      </c>
      <c r="K554" s="1408">
        <f>IF(L$321=0, INDEX('Adjustment for previous period'!K$431:K$530,$B554), 0)</f>
        <v>0</v>
      </c>
      <c r="L554" s="1408">
        <f>IF(M$321=0, INDEX('Adjustment for previous period'!L$431:L$530,$B554), 0)</f>
        <v>0</v>
      </c>
      <c r="M554" s="1408">
        <f>IF(N$321=0, INDEX('Adjustment for previous period'!M$431:M$530,$B554), 0)</f>
        <v>0</v>
      </c>
      <c r="N554" s="1408">
        <f>IF(O$321=0, INDEX('Adjustment for previous period'!N$431:N$530,$B554), 0)</f>
        <v>0</v>
      </c>
      <c r="O554" s="1408">
        <f>IF(P$321=0, INDEX('Adjustment for previous period'!O$431:O$530,$B554), 0)</f>
        <v>0</v>
      </c>
      <c r="P554" s="1408">
        <f>IF(Q$321=0, INDEX('Adjustment for previous period'!P$431:P$530,$B554), 0)</f>
        <v>0</v>
      </c>
      <c r="Q554" s="1408">
        <f>IF(R$321=0, INDEX('Adjustment for previous period'!Q$431:Q$530,$B554), 0)</f>
        <v>0</v>
      </c>
      <c r="R554" s="1397"/>
      <c r="S554" s="3"/>
      <c r="T554" s="3"/>
      <c r="U554" s="3"/>
      <c r="V554" s="3"/>
      <c r="W554" s="3"/>
      <c r="X554" s="3"/>
      <c r="Y554" s="3"/>
      <c r="Z554" s="3"/>
      <c r="AA554" s="152"/>
    </row>
    <row r="555" spans="1:27" hidden="1" outlineLevel="1">
      <c r="A555" s="152"/>
      <c r="B555" s="283">
        <v>52</v>
      </c>
      <c r="C555" s="390"/>
      <c r="D555" s="412">
        <f>Asset26</f>
        <v>0</v>
      </c>
      <c r="E555" s="390"/>
      <c r="F555" s="390"/>
      <c r="G555" s="1373"/>
      <c r="H555" s="1408"/>
      <c r="I555" s="1408">
        <f>IF(J$321=0, INDEX('Adjustment for previous period'!I$431:I$530,$B555), 0)</f>
        <v>0</v>
      </c>
      <c r="J555" s="1408">
        <f>IF(K$321=0, INDEX('Adjustment for previous period'!J$431:J$530,$B555), 0)</f>
        <v>0</v>
      </c>
      <c r="K555" s="1408">
        <f>IF(L$321=0, INDEX('Adjustment for previous period'!K$431:K$530,$B555), 0)</f>
        <v>0</v>
      </c>
      <c r="L555" s="1408">
        <f>IF(M$321=0, INDEX('Adjustment for previous period'!L$431:L$530,$B555), 0)</f>
        <v>0</v>
      </c>
      <c r="M555" s="1408">
        <f>IF(N$321=0, INDEX('Adjustment for previous period'!M$431:M$530,$B555), 0)</f>
        <v>0</v>
      </c>
      <c r="N555" s="1408">
        <f>IF(O$321=0, INDEX('Adjustment for previous period'!N$431:N$530,$B555), 0)</f>
        <v>0</v>
      </c>
      <c r="O555" s="1408">
        <f>IF(P$321=0, INDEX('Adjustment for previous period'!O$431:O$530,$B555), 0)</f>
        <v>0</v>
      </c>
      <c r="P555" s="1408">
        <f>IF(Q$321=0, INDEX('Adjustment for previous period'!P$431:P$530,$B555), 0)</f>
        <v>0</v>
      </c>
      <c r="Q555" s="1408">
        <f>IF(R$321=0, INDEX('Adjustment for previous period'!Q$431:Q$530,$B555), 0)</f>
        <v>0</v>
      </c>
      <c r="R555" s="1397"/>
      <c r="S555" s="3"/>
      <c r="T555" s="3"/>
      <c r="U555" s="3"/>
      <c r="V555" s="3"/>
      <c r="W555" s="3"/>
      <c r="X555" s="3"/>
      <c r="Y555" s="3"/>
      <c r="Z555" s="3"/>
      <c r="AA555" s="152"/>
    </row>
    <row r="556" spans="1:27" hidden="1" outlineLevel="1">
      <c r="A556" s="152"/>
      <c r="B556" s="283">
        <v>54</v>
      </c>
      <c r="C556" s="390"/>
      <c r="D556" s="412">
        <f>Asset27</f>
        <v>0</v>
      </c>
      <c r="E556" s="390"/>
      <c r="F556" s="390"/>
      <c r="G556" s="1373"/>
      <c r="H556" s="1408"/>
      <c r="I556" s="1408">
        <f>IF(J$321=0, INDEX('Adjustment for previous period'!I$431:I$530,$B556), 0)</f>
        <v>0</v>
      </c>
      <c r="J556" s="1408">
        <f>IF(K$321=0, INDEX('Adjustment for previous period'!J$431:J$530,$B556), 0)</f>
        <v>0</v>
      </c>
      <c r="K556" s="1408">
        <f>IF(L$321=0, INDEX('Adjustment for previous period'!K$431:K$530,$B556), 0)</f>
        <v>0</v>
      </c>
      <c r="L556" s="1408">
        <f>IF(M$321=0, INDEX('Adjustment for previous period'!L$431:L$530,$B556), 0)</f>
        <v>0</v>
      </c>
      <c r="M556" s="1408">
        <f>IF(N$321=0, INDEX('Adjustment for previous period'!M$431:M$530,$B556), 0)</f>
        <v>0</v>
      </c>
      <c r="N556" s="1408">
        <f>IF(O$321=0, INDEX('Adjustment for previous period'!N$431:N$530,$B556), 0)</f>
        <v>0</v>
      </c>
      <c r="O556" s="1408">
        <f>IF(P$321=0, INDEX('Adjustment for previous period'!O$431:O$530,$B556), 0)</f>
        <v>0</v>
      </c>
      <c r="P556" s="1408">
        <f>IF(Q$321=0, INDEX('Adjustment for previous period'!P$431:P$530,$B556), 0)</f>
        <v>0</v>
      </c>
      <c r="Q556" s="1408">
        <f>IF(R$321=0, INDEX('Adjustment for previous period'!Q$431:Q$530,$B556), 0)</f>
        <v>0</v>
      </c>
      <c r="R556" s="1397"/>
      <c r="S556" s="3"/>
      <c r="T556" s="3"/>
      <c r="U556" s="3"/>
      <c r="V556" s="3"/>
      <c r="W556" s="3"/>
      <c r="X556" s="3"/>
      <c r="Y556" s="3"/>
      <c r="Z556" s="3"/>
      <c r="AA556" s="152"/>
    </row>
    <row r="557" spans="1:27" hidden="1" outlineLevel="1">
      <c r="A557" s="152"/>
      <c r="B557" s="283">
        <v>56</v>
      </c>
      <c r="C557" s="390"/>
      <c r="D557" s="412">
        <f>Asset28</f>
        <v>0</v>
      </c>
      <c r="E557" s="390"/>
      <c r="F557" s="390"/>
      <c r="G557" s="1373"/>
      <c r="H557" s="1408"/>
      <c r="I557" s="1408">
        <f>IF(J$321=0, INDEX('Adjustment for previous period'!I$431:I$530,$B557), 0)</f>
        <v>0</v>
      </c>
      <c r="J557" s="1408">
        <f>IF(K$321=0, INDEX('Adjustment for previous period'!J$431:J$530,$B557), 0)</f>
        <v>0</v>
      </c>
      <c r="K557" s="1408">
        <f>IF(L$321=0, INDEX('Adjustment for previous period'!K$431:K$530,$B557), 0)</f>
        <v>0</v>
      </c>
      <c r="L557" s="1408">
        <f>IF(M$321=0, INDEX('Adjustment for previous period'!L$431:L$530,$B557), 0)</f>
        <v>0</v>
      </c>
      <c r="M557" s="1408">
        <f>IF(N$321=0, INDEX('Adjustment for previous period'!M$431:M$530,$B557), 0)</f>
        <v>0</v>
      </c>
      <c r="N557" s="1408">
        <f>IF(O$321=0, INDEX('Adjustment for previous period'!N$431:N$530,$B557), 0)</f>
        <v>0</v>
      </c>
      <c r="O557" s="1408">
        <f>IF(P$321=0, INDEX('Adjustment for previous period'!O$431:O$530,$B557), 0)</f>
        <v>0</v>
      </c>
      <c r="P557" s="1408">
        <f>IF(Q$321=0, INDEX('Adjustment for previous period'!P$431:P$530,$B557), 0)</f>
        <v>0</v>
      </c>
      <c r="Q557" s="1408">
        <f>IF(R$321=0, INDEX('Adjustment for previous period'!Q$431:Q$530,$B557), 0)</f>
        <v>0</v>
      </c>
      <c r="R557" s="1397"/>
      <c r="S557" s="3"/>
      <c r="T557" s="3"/>
      <c r="U557" s="3"/>
      <c r="V557" s="3"/>
      <c r="W557" s="3"/>
      <c r="X557" s="3"/>
      <c r="Y557" s="3"/>
      <c r="Z557" s="3"/>
      <c r="AA557" s="152"/>
    </row>
    <row r="558" spans="1:27" hidden="1" outlineLevel="1">
      <c r="A558" s="152"/>
      <c r="B558" s="283">
        <v>58</v>
      </c>
      <c r="C558" s="390"/>
      <c r="D558" s="412">
        <f>Asset29</f>
        <v>0</v>
      </c>
      <c r="E558" s="390"/>
      <c r="F558" s="390"/>
      <c r="G558" s="1373"/>
      <c r="H558" s="1408"/>
      <c r="I558" s="1408">
        <f>IF(J$321=0, INDEX('Adjustment for previous period'!I$431:I$530,$B558), 0)</f>
        <v>0</v>
      </c>
      <c r="J558" s="1408">
        <f>IF(K$321=0, INDEX('Adjustment for previous period'!J$431:J$530,$B558), 0)</f>
        <v>0</v>
      </c>
      <c r="K558" s="1408">
        <f>IF(L$321=0, INDEX('Adjustment for previous period'!K$431:K$530,$B558), 0)</f>
        <v>0</v>
      </c>
      <c r="L558" s="1408">
        <f>IF(M$321=0, INDEX('Adjustment for previous period'!L$431:L$530,$B558), 0)</f>
        <v>0</v>
      </c>
      <c r="M558" s="1408">
        <f>IF(N$321=0, INDEX('Adjustment for previous period'!M$431:M$530,$B558), 0)</f>
        <v>0</v>
      </c>
      <c r="N558" s="1408">
        <f>IF(O$321=0, INDEX('Adjustment for previous period'!N$431:N$530,$B558), 0)</f>
        <v>0</v>
      </c>
      <c r="O558" s="1408">
        <f>IF(P$321=0, INDEX('Adjustment for previous period'!O$431:O$530,$B558), 0)</f>
        <v>0</v>
      </c>
      <c r="P558" s="1408">
        <f>IF(Q$321=0, INDEX('Adjustment for previous period'!P$431:P$530,$B558), 0)</f>
        <v>0</v>
      </c>
      <c r="Q558" s="1408">
        <f>IF(R$321=0, INDEX('Adjustment for previous period'!Q$431:Q$530,$B558), 0)</f>
        <v>0</v>
      </c>
      <c r="R558" s="1397"/>
      <c r="S558" s="3"/>
      <c r="T558" s="3"/>
      <c r="U558" s="3"/>
      <c r="V558" s="3"/>
      <c r="W558" s="3"/>
      <c r="X558" s="3"/>
      <c r="Y558" s="3"/>
      <c r="Z558" s="3"/>
      <c r="AA558" s="152"/>
    </row>
    <row r="559" spans="1:27" hidden="1" outlineLevel="1">
      <c r="A559" s="152"/>
      <c r="B559" s="283">
        <v>60</v>
      </c>
      <c r="C559" s="390"/>
      <c r="D559" s="412">
        <f>Asset30</f>
        <v>0</v>
      </c>
      <c r="E559" s="390"/>
      <c r="F559" s="390"/>
      <c r="G559" s="1373"/>
      <c r="H559" s="1408"/>
      <c r="I559" s="1408">
        <f>IF(J$321=0, INDEX('Adjustment for previous period'!I$431:I$530,$B559), 0)</f>
        <v>0</v>
      </c>
      <c r="J559" s="1408">
        <f>IF(K$321=0, INDEX('Adjustment for previous period'!J$431:J$530,$B559), 0)</f>
        <v>0</v>
      </c>
      <c r="K559" s="1408">
        <f>IF(L$321=0, INDEX('Adjustment for previous period'!K$431:K$530,$B559), 0)</f>
        <v>0</v>
      </c>
      <c r="L559" s="1408">
        <f>IF(M$321=0, INDEX('Adjustment for previous period'!L$431:L$530,$B559), 0)</f>
        <v>0</v>
      </c>
      <c r="M559" s="1408">
        <f>IF(N$321=0, INDEX('Adjustment for previous period'!M$431:M$530,$B559), 0)</f>
        <v>0</v>
      </c>
      <c r="N559" s="1408">
        <f>IF(O$321=0, INDEX('Adjustment for previous period'!N$431:N$530,$B559), 0)</f>
        <v>0</v>
      </c>
      <c r="O559" s="1408">
        <f>IF(P$321=0, INDEX('Adjustment for previous period'!O$431:O$530,$B559), 0)</f>
        <v>0</v>
      </c>
      <c r="P559" s="1408">
        <f>IF(Q$321=0, INDEX('Adjustment for previous period'!P$431:P$530,$B559), 0)</f>
        <v>0</v>
      </c>
      <c r="Q559" s="1408">
        <f>IF(R$321=0, INDEX('Adjustment for previous period'!Q$431:Q$530,$B559), 0)</f>
        <v>0</v>
      </c>
      <c r="R559" s="1397"/>
      <c r="S559" s="3"/>
      <c r="T559" s="3"/>
      <c r="U559" s="3"/>
      <c r="V559" s="3"/>
      <c r="W559" s="3"/>
      <c r="X559" s="3"/>
      <c r="Y559" s="3"/>
      <c r="Z559" s="3"/>
      <c r="AA559" s="152"/>
    </row>
    <row r="560" spans="1:27" hidden="1" outlineLevel="1">
      <c r="A560" s="152"/>
      <c r="B560" s="283">
        <v>62</v>
      </c>
      <c r="C560" s="390"/>
      <c r="D560" s="412">
        <f>Asset31</f>
        <v>0</v>
      </c>
      <c r="E560" s="390"/>
      <c r="F560" s="390"/>
      <c r="G560" s="1373"/>
      <c r="H560" s="1408"/>
      <c r="I560" s="1408">
        <f>IF(J$321=0, INDEX('Adjustment for previous period'!I$431:I$530,$B560), 0)</f>
        <v>0</v>
      </c>
      <c r="J560" s="1408">
        <f>IF(K$321=0, INDEX('Adjustment for previous period'!J$431:J$530,$B560), 0)</f>
        <v>0</v>
      </c>
      <c r="K560" s="1408">
        <f>IF(L$321=0, INDEX('Adjustment for previous period'!K$431:K$530,$B560), 0)</f>
        <v>0</v>
      </c>
      <c r="L560" s="1408">
        <f>IF(M$321=0, INDEX('Adjustment for previous period'!L$431:L$530,$B560), 0)</f>
        <v>0</v>
      </c>
      <c r="M560" s="1408">
        <f>IF(N$321=0, INDEX('Adjustment for previous period'!M$431:M$530,$B560), 0)</f>
        <v>0</v>
      </c>
      <c r="N560" s="1408">
        <f>IF(O$321=0, INDEX('Adjustment for previous period'!N$431:N$530,$B560), 0)</f>
        <v>0</v>
      </c>
      <c r="O560" s="1408">
        <f>IF(P$321=0, INDEX('Adjustment for previous period'!O$431:O$530,$B560), 0)</f>
        <v>0</v>
      </c>
      <c r="P560" s="1408">
        <f>IF(Q$321=0, INDEX('Adjustment for previous period'!P$431:P$530,$B560), 0)</f>
        <v>0</v>
      </c>
      <c r="Q560" s="1408">
        <f>IF(R$321=0, INDEX('Adjustment for previous period'!Q$431:Q$530,$B560), 0)</f>
        <v>0</v>
      </c>
      <c r="R560" s="1397"/>
      <c r="S560" s="3"/>
      <c r="T560" s="3"/>
      <c r="U560" s="3"/>
      <c r="V560" s="3"/>
      <c r="W560" s="3"/>
      <c r="X560" s="3"/>
      <c r="Y560" s="3"/>
      <c r="Z560" s="3"/>
      <c r="AA560" s="152"/>
    </row>
    <row r="561" spans="1:27" hidden="1" outlineLevel="1">
      <c r="A561" s="152"/>
      <c r="B561" s="283">
        <v>64</v>
      </c>
      <c r="C561" s="390"/>
      <c r="D561" s="412">
        <f>Asset32</f>
        <v>0</v>
      </c>
      <c r="E561" s="390"/>
      <c r="F561" s="390"/>
      <c r="G561" s="1373"/>
      <c r="H561" s="1408"/>
      <c r="I561" s="1408">
        <f>IF(J$321=0, INDEX('Adjustment for previous period'!I$431:I$530,$B561), 0)</f>
        <v>0</v>
      </c>
      <c r="J561" s="1408">
        <f>IF(K$321=0, INDEX('Adjustment for previous period'!J$431:J$530,$B561), 0)</f>
        <v>0</v>
      </c>
      <c r="K561" s="1408">
        <f>IF(L$321=0, INDEX('Adjustment for previous period'!K$431:K$530,$B561), 0)</f>
        <v>0</v>
      </c>
      <c r="L561" s="1408">
        <f>IF(M$321=0, INDEX('Adjustment for previous period'!L$431:L$530,$B561), 0)</f>
        <v>0</v>
      </c>
      <c r="M561" s="1408">
        <f>IF(N$321=0, INDEX('Adjustment for previous period'!M$431:M$530,$B561), 0)</f>
        <v>0</v>
      </c>
      <c r="N561" s="1408">
        <f>IF(O$321=0, INDEX('Adjustment for previous period'!N$431:N$530,$B561), 0)</f>
        <v>0</v>
      </c>
      <c r="O561" s="1408">
        <f>IF(P$321=0, INDEX('Adjustment for previous period'!O$431:O$530,$B561), 0)</f>
        <v>0</v>
      </c>
      <c r="P561" s="1408">
        <f>IF(Q$321=0, INDEX('Adjustment for previous period'!P$431:P$530,$B561), 0)</f>
        <v>0</v>
      </c>
      <c r="Q561" s="1408">
        <f>IF(R$321=0, INDEX('Adjustment for previous period'!Q$431:Q$530,$B561), 0)</f>
        <v>0</v>
      </c>
      <c r="R561" s="1397"/>
      <c r="S561" s="3"/>
      <c r="T561" s="3"/>
      <c r="U561" s="3"/>
      <c r="V561" s="3"/>
      <c r="W561" s="3"/>
      <c r="X561" s="3"/>
      <c r="Y561" s="3"/>
      <c r="Z561" s="3"/>
      <c r="AA561" s="152"/>
    </row>
    <row r="562" spans="1:27" hidden="1" outlineLevel="1">
      <c r="A562" s="152"/>
      <c r="B562" s="283">
        <v>66</v>
      </c>
      <c r="C562" s="390"/>
      <c r="D562" s="412">
        <f>Asset33</f>
        <v>0</v>
      </c>
      <c r="E562" s="390"/>
      <c r="F562" s="390"/>
      <c r="G562" s="1373"/>
      <c r="H562" s="1408"/>
      <c r="I562" s="1408">
        <f>IF(J$321=0, INDEX('Adjustment for previous period'!I$431:I$530,$B562), 0)</f>
        <v>0</v>
      </c>
      <c r="J562" s="1408">
        <f>IF(K$321=0, INDEX('Adjustment for previous period'!J$431:J$530,$B562), 0)</f>
        <v>0</v>
      </c>
      <c r="K562" s="1408">
        <f>IF(L$321=0, INDEX('Adjustment for previous period'!K$431:K$530,$B562), 0)</f>
        <v>0</v>
      </c>
      <c r="L562" s="1408">
        <f>IF(M$321=0, INDEX('Adjustment for previous period'!L$431:L$530,$B562), 0)</f>
        <v>0</v>
      </c>
      <c r="M562" s="1408">
        <f>IF(N$321=0, INDEX('Adjustment for previous period'!M$431:M$530,$B562), 0)</f>
        <v>0</v>
      </c>
      <c r="N562" s="1408">
        <f>IF(O$321=0, INDEX('Adjustment for previous period'!N$431:N$530,$B562), 0)</f>
        <v>0</v>
      </c>
      <c r="O562" s="1408">
        <f>IF(P$321=0, INDEX('Adjustment for previous period'!O$431:O$530,$B562), 0)</f>
        <v>0</v>
      </c>
      <c r="P562" s="1408">
        <f>IF(Q$321=0, INDEX('Adjustment for previous period'!P$431:P$530,$B562), 0)</f>
        <v>0</v>
      </c>
      <c r="Q562" s="1408">
        <f>IF(R$321=0, INDEX('Adjustment for previous period'!Q$431:Q$530,$B562), 0)</f>
        <v>0</v>
      </c>
      <c r="R562" s="1397"/>
      <c r="S562" s="3"/>
      <c r="T562" s="3"/>
      <c r="U562" s="3"/>
      <c r="V562" s="3"/>
      <c r="W562" s="3"/>
      <c r="X562" s="3"/>
      <c r="Y562" s="3"/>
      <c r="Z562" s="3"/>
      <c r="AA562" s="152"/>
    </row>
    <row r="563" spans="1:27" hidden="1" outlineLevel="1">
      <c r="A563" s="152"/>
      <c r="B563" s="283">
        <v>68</v>
      </c>
      <c r="C563" s="390"/>
      <c r="D563" s="412">
        <f>Asset34</f>
        <v>0</v>
      </c>
      <c r="E563" s="390"/>
      <c r="F563" s="390"/>
      <c r="G563" s="1373"/>
      <c r="H563" s="1408"/>
      <c r="I563" s="1408">
        <f>IF(J$321=0, INDEX('Adjustment for previous period'!I$431:I$530,$B563), 0)</f>
        <v>0</v>
      </c>
      <c r="J563" s="1408">
        <f>IF(K$321=0, INDEX('Adjustment for previous period'!J$431:J$530,$B563), 0)</f>
        <v>0</v>
      </c>
      <c r="K563" s="1408">
        <f>IF(L$321=0, INDEX('Adjustment for previous period'!K$431:K$530,$B563), 0)</f>
        <v>0</v>
      </c>
      <c r="L563" s="1408">
        <f>IF(M$321=0, INDEX('Adjustment for previous period'!L$431:L$530,$B563), 0)</f>
        <v>0</v>
      </c>
      <c r="M563" s="1408">
        <f>IF(N$321=0, INDEX('Adjustment for previous period'!M$431:M$530,$B563), 0)</f>
        <v>0</v>
      </c>
      <c r="N563" s="1408">
        <f>IF(O$321=0, INDEX('Adjustment for previous period'!N$431:N$530,$B563), 0)</f>
        <v>0</v>
      </c>
      <c r="O563" s="1408">
        <f>IF(P$321=0, INDEX('Adjustment for previous period'!O$431:O$530,$B563), 0)</f>
        <v>0</v>
      </c>
      <c r="P563" s="1408">
        <f>IF(Q$321=0, INDEX('Adjustment for previous period'!P$431:P$530,$B563), 0)</f>
        <v>0</v>
      </c>
      <c r="Q563" s="1408">
        <f>IF(R$321=0, INDEX('Adjustment for previous period'!Q$431:Q$530,$B563), 0)</f>
        <v>0</v>
      </c>
      <c r="R563" s="1397"/>
      <c r="S563" s="3"/>
      <c r="T563" s="3"/>
      <c r="U563" s="3"/>
      <c r="V563" s="3"/>
      <c r="W563" s="3"/>
      <c r="X563" s="3"/>
      <c r="Y563" s="3"/>
      <c r="Z563" s="3"/>
      <c r="AA563" s="152"/>
    </row>
    <row r="564" spans="1:27" hidden="1" outlineLevel="1">
      <c r="A564" s="152"/>
      <c r="B564" s="283">
        <v>70</v>
      </c>
      <c r="C564" s="390"/>
      <c r="D564" s="412">
        <f>Asset35</f>
        <v>0</v>
      </c>
      <c r="E564" s="390"/>
      <c r="F564" s="390"/>
      <c r="G564" s="1373"/>
      <c r="H564" s="1408"/>
      <c r="I564" s="1408">
        <f>IF(J$321=0, INDEX('Adjustment for previous period'!I$431:I$530,$B564), 0)</f>
        <v>0</v>
      </c>
      <c r="J564" s="1408">
        <f>IF(K$321=0, INDEX('Adjustment for previous period'!J$431:J$530,$B564), 0)</f>
        <v>0</v>
      </c>
      <c r="K564" s="1408">
        <f>IF(L$321=0, INDEX('Adjustment for previous period'!K$431:K$530,$B564), 0)</f>
        <v>0</v>
      </c>
      <c r="L564" s="1408">
        <f>IF(M$321=0, INDEX('Adjustment for previous period'!L$431:L$530,$B564), 0)</f>
        <v>0</v>
      </c>
      <c r="M564" s="1408">
        <f>IF(N$321=0, INDEX('Adjustment for previous period'!M$431:M$530,$B564), 0)</f>
        <v>0</v>
      </c>
      <c r="N564" s="1408">
        <f>IF(O$321=0, INDEX('Adjustment for previous period'!N$431:N$530,$B564), 0)</f>
        <v>0</v>
      </c>
      <c r="O564" s="1408">
        <f>IF(P$321=0, INDEX('Adjustment for previous period'!O$431:O$530,$B564), 0)</f>
        <v>0</v>
      </c>
      <c r="P564" s="1408">
        <f>IF(Q$321=0, INDEX('Adjustment for previous period'!P$431:P$530,$B564), 0)</f>
        <v>0</v>
      </c>
      <c r="Q564" s="1408">
        <f>IF(R$321=0, INDEX('Adjustment for previous period'!Q$431:Q$530,$B564), 0)</f>
        <v>0</v>
      </c>
      <c r="R564" s="1397"/>
      <c r="S564" s="3"/>
      <c r="T564" s="3"/>
      <c r="U564" s="3"/>
      <c r="V564" s="3"/>
      <c r="W564" s="3"/>
      <c r="X564" s="3"/>
      <c r="Y564" s="3"/>
      <c r="Z564" s="3"/>
      <c r="AA564" s="152"/>
    </row>
    <row r="565" spans="1:27" hidden="1" outlineLevel="1">
      <c r="A565" s="152"/>
      <c r="B565" s="283">
        <v>72</v>
      </c>
      <c r="C565" s="390"/>
      <c r="D565" s="412">
        <f>Asset36</f>
        <v>0</v>
      </c>
      <c r="E565" s="390"/>
      <c r="F565" s="390"/>
      <c r="G565" s="1373"/>
      <c r="H565" s="1408"/>
      <c r="I565" s="1408">
        <f>IF(J$321=0, INDEX('Adjustment for previous period'!I$431:I$530,$B565), 0)</f>
        <v>0</v>
      </c>
      <c r="J565" s="1408">
        <f>IF(K$321=0, INDEX('Adjustment for previous period'!J$431:J$530,$B565), 0)</f>
        <v>0</v>
      </c>
      <c r="K565" s="1408">
        <f>IF(L$321=0, INDEX('Adjustment for previous period'!K$431:K$530,$B565), 0)</f>
        <v>0</v>
      </c>
      <c r="L565" s="1408">
        <f>IF(M$321=0, INDEX('Adjustment for previous period'!L$431:L$530,$B565), 0)</f>
        <v>0</v>
      </c>
      <c r="M565" s="1408">
        <f>IF(N$321=0, INDEX('Adjustment for previous period'!M$431:M$530,$B565), 0)</f>
        <v>0</v>
      </c>
      <c r="N565" s="1408">
        <f>IF(O$321=0, INDEX('Adjustment for previous period'!N$431:N$530,$B565), 0)</f>
        <v>0</v>
      </c>
      <c r="O565" s="1408">
        <f>IF(P$321=0, INDEX('Adjustment for previous period'!O$431:O$530,$B565), 0)</f>
        <v>0</v>
      </c>
      <c r="P565" s="1408">
        <f>IF(Q$321=0, INDEX('Adjustment for previous period'!P$431:P$530,$B565), 0)</f>
        <v>0</v>
      </c>
      <c r="Q565" s="1408">
        <f>IF(R$321=0, INDEX('Adjustment for previous period'!Q$431:Q$530,$B565), 0)</f>
        <v>0</v>
      </c>
      <c r="R565" s="1397"/>
      <c r="S565" s="3"/>
      <c r="T565" s="3"/>
      <c r="U565" s="3"/>
      <c r="V565" s="3"/>
      <c r="W565" s="3"/>
      <c r="X565" s="3"/>
      <c r="Y565" s="3"/>
      <c r="Z565" s="3"/>
      <c r="AA565" s="152"/>
    </row>
    <row r="566" spans="1:27" hidden="1" outlineLevel="1">
      <c r="A566" s="152"/>
      <c r="B566" s="283">
        <v>74</v>
      </c>
      <c r="C566" s="390"/>
      <c r="D566" s="412">
        <f>Asset37</f>
        <v>0</v>
      </c>
      <c r="E566" s="390"/>
      <c r="F566" s="390"/>
      <c r="G566" s="1373"/>
      <c r="H566" s="1408"/>
      <c r="I566" s="1408">
        <f>IF(J$321=0, INDEX('Adjustment for previous period'!I$431:I$530,$B566), 0)</f>
        <v>0</v>
      </c>
      <c r="J566" s="1408">
        <f>IF(K$321=0, INDEX('Adjustment for previous period'!J$431:J$530,$B566), 0)</f>
        <v>0</v>
      </c>
      <c r="K566" s="1408">
        <f>IF(L$321=0, INDEX('Adjustment for previous period'!K$431:K$530,$B566), 0)</f>
        <v>0</v>
      </c>
      <c r="L566" s="1408">
        <f>IF(M$321=0, INDEX('Adjustment for previous period'!L$431:L$530,$B566), 0)</f>
        <v>0</v>
      </c>
      <c r="M566" s="1408">
        <f>IF(N$321=0, INDEX('Adjustment for previous period'!M$431:M$530,$B566), 0)</f>
        <v>0</v>
      </c>
      <c r="N566" s="1408">
        <f>IF(O$321=0, INDEX('Adjustment for previous period'!N$431:N$530,$B566), 0)</f>
        <v>0</v>
      </c>
      <c r="O566" s="1408">
        <f>IF(P$321=0, INDEX('Adjustment for previous period'!O$431:O$530,$B566), 0)</f>
        <v>0</v>
      </c>
      <c r="P566" s="1408">
        <f>IF(Q$321=0, INDEX('Adjustment for previous period'!P$431:P$530,$B566), 0)</f>
        <v>0</v>
      </c>
      <c r="Q566" s="1408">
        <f>IF(R$321=0, INDEX('Adjustment for previous period'!Q$431:Q$530,$B566), 0)</f>
        <v>0</v>
      </c>
      <c r="R566" s="1397"/>
      <c r="S566" s="3"/>
      <c r="T566" s="3"/>
      <c r="U566" s="3"/>
      <c r="V566" s="3"/>
      <c r="W566" s="3"/>
      <c r="X566" s="3"/>
      <c r="Y566" s="3"/>
      <c r="Z566" s="3"/>
      <c r="AA566" s="152"/>
    </row>
    <row r="567" spans="1:27" hidden="1" outlineLevel="1">
      <c r="A567" s="152"/>
      <c r="B567" s="283">
        <v>76</v>
      </c>
      <c r="C567" s="390"/>
      <c r="D567" s="412">
        <f>Asset38</f>
        <v>0</v>
      </c>
      <c r="E567" s="390"/>
      <c r="F567" s="390"/>
      <c r="G567" s="1373"/>
      <c r="H567" s="1408"/>
      <c r="I567" s="1408">
        <f>IF(J$321=0, INDEX('Adjustment for previous period'!I$431:I$530,$B567), 0)</f>
        <v>0</v>
      </c>
      <c r="J567" s="1408">
        <f>IF(K$321=0, INDEX('Adjustment for previous period'!J$431:J$530,$B567), 0)</f>
        <v>0</v>
      </c>
      <c r="K567" s="1408">
        <f>IF(L$321=0, INDEX('Adjustment for previous period'!K$431:K$530,$B567), 0)</f>
        <v>0</v>
      </c>
      <c r="L567" s="1408">
        <f>IF(M$321=0, INDEX('Adjustment for previous period'!L$431:L$530,$B567), 0)</f>
        <v>0</v>
      </c>
      <c r="M567" s="1408">
        <f>IF(N$321=0, INDEX('Adjustment for previous period'!M$431:M$530,$B567), 0)</f>
        <v>0</v>
      </c>
      <c r="N567" s="1408">
        <f>IF(O$321=0, INDEX('Adjustment for previous period'!N$431:N$530,$B567), 0)</f>
        <v>0</v>
      </c>
      <c r="O567" s="1408">
        <f>IF(P$321=0, INDEX('Adjustment for previous period'!O$431:O$530,$B567), 0)</f>
        <v>0</v>
      </c>
      <c r="P567" s="1408">
        <f>IF(Q$321=0, INDEX('Adjustment for previous period'!P$431:P$530,$B567), 0)</f>
        <v>0</v>
      </c>
      <c r="Q567" s="1408">
        <f>IF(R$321=0, INDEX('Adjustment for previous period'!Q$431:Q$530,$B567), 0)</f>
        <v>0</v>
      </c>
      <c r="R567" s="1397"/>
      <c r="S567" s="3"/>
      <c r="T567" s="3"/>
      <c r="U567" s="3"/>
      <c r="V567" s="3"/>
      <c r="W567" s="3"/>
      <c r="X567" s="3"/>
      <c r="Y567" s="3"/>
      <c r="Z567" s="3"/>
      <c r="AA567" s="152"/>
    </row>
    <row r="568" spans="1:27" hidden="1" outlineLevel="1">
      <c r="A568" s="152"/>
      <c r="B568" s="283">
        <v>78</v>
      </c>
      <c r="C568" s="390"/>
      <c r="D568" s="412">
        <f>Asset39</f>
        <v>0</v>
      </c>
      <c r="E568" s="390"/>
      <c r="F568" s="390"/>
      <c r="G568" s="1373"/>
      <c r="H568" s="1408"/>
      <c r="I568" s="1408">
        <f>IF(J$321=0, INDEX('Adjustment for previous period'!I$431:I$530,$B568), 0)</f>
        <v>0</v>
      </c>
      <c r="J568" s="1408">
        <f>IF(K$321=0, INDEX('Adjustment for previous period'!J$431:J$530,$B568), 0)</f>
        <v>0</v>
      </c>
      <c r="K568" s="1408">
        <f>IF(L$321=0, INDEX('Adjustment for previous period'!K$431:K$530,$B568), 0)</f>
        <v>0</v>
      </c>
      <c r="L568" s="1408">
        <f>IF(M$321=0, INDEX('Adjustment for previous period'!L$431:L$530,$B568), 0)</f>
        <v>0</v>
      </c>
      <c r="M568" s="1408">
        <f>IF(N$321=0, INDEX('Adjustment for previous period'!M$431:M$530,$B568), 0)</f>
        <v>0</v>
      </c>
      <c r="N568" s="1408">
        <f>IF(O$321=0, INDEX('Adjustment for previous period'!N$431:N$530,$B568), 0)</f>
        <v>0</v>
      </c>
      <c r="O568" s="1408">
        <f>IF(P$321=0, INDEX('Adjustment for previous period'!O$431:O$530,$B568), 0)</f>
        <v>0</v>
      </c>
      <c r="P568" s="1408">
        <f>IF(Q$321=0, INDEX('Adjustment for previous period'!P$431:P$530,$B568), 0)</f>
        <v>0</v>
      </c>
      <c r="Q568" s="1408">
        <f>IF(R$321=0, INDEX('Adjustment for previous period'!Q$431:Q$530,$B568), 0)</f>
        <v>0</v>
      </c>
      <c r="R568" s="1397"/>
      <c r="S568" s="3"/>
      <c r="T568" s="3"/>
      <c r="U568" s="3"/>
      <c r="V568" s="3"/>
      <c r="W568" s="3"/>
      <c r="X568" s="3"/>
      <c r="Y568" s="3"/>
      <c r="Z568" s="3"/>
      <c r="AA568" s="152"/>
    </row>
    <row r="569" spans="1:27" hidden="1" outlineLevel="1">
      <c r="A569" s="152"/>
      <c r="B569" s="283">
        <v>80</v>
      </c>
      <c r="C569" s="390"/>
      <c r="D569" s="412">
        <f>Asset40</f>
        <v>0</v>
      </c>
      <c r="E569" s="390"/>
      <c r="F569" s="390"/>
      <c r="G569" s="1373"/>
      <c r="H569" s="1408"/>
      <c r="I569" s="1408">
        <f>IF(J$321=0, INDEX('Adjustment for previous period'!I$431:I$530,$B569), 0)</f>
        <v>0</v>
      </c>
      <c r="J569" s="1408">
        <f>IF(K$321=0, INDEX('Adjustment for previous period'!J$431:J$530,$B569), 0)</f>
        <v>0</v>
      </c>
      <c r="K569" s="1408">
        <f>IF(L$321=0, INDEX('Adjustment for previous period'!K$431:K$530,$B569), 0)</f>
        <v>0</v>
      </c>
      <c r="L569" s="1408">
        <f>IF(M$321=0, INDEX('Adjustment for previous period'!L$431:L$530,$B569), 0)</f>
        <v>0</v>
      </c>
      <c r="M569" s="1408">
        <f>IF(N$321=0, INDEX('Adjustment for previous period'!M$431:M$530,$B569), 0)</f>
        <v>0</v>
      </c>
      <c r="N569" s="1408">
        <f>IF(O$321=0, INDEX('Adjustment for previous period'!N$431:N$530,$B569), 0)</f>
        <v>0</v>
      </c>
      <c r="O569" s="1408">
        <f>IF(P$321=0, INDEX('Adjustment for previous period'!O$431:O$530,$B569), 0)</f>
        <v>0</v>
      </c>
      <c r="P569" s="1408">
        <f>IF(Q$321=0, INDEX('Adjustment for previous period'!P$431:P$530,$B569), 0)</f>
        <v>0</v>
      </c>
      <c r="Q569" s="1408">
        <f>IF(R$321=0, INDEX('Adjustment for previous period'!Q$431:Q$530,$B569), 0)</f>
        <v>0</v>
      </c>
      <c r="R569" s="1397"/>
      <c r="S569" s="3"/>
      <c r="T569" s="3"/>
      <c r="U569" s="3"/>
      <c r="V569" s="3"/>
      <c r="W569" s="3"/>
      <c r="X569" s="3"/>
      <c r="Y569" s="3"/>
      <c r="Z569" s="3"/>
      <c r="AA569" s="152"/>
    </row>
    <row r="570" spans="1:27" hidden="1" outlineLevel="1">
      <c r="A570" s="152"/>
      <c r="B570" s="283">
        <v>82</v>
      </c>
      <c r="C570" s="390"/>
      <c r="D570" s="412">
        <f>Asset41</f>
        <v>0</v>
      </c>
      <c r="E570" s="390"/>
      <c r="F570" s="390"/>
      <c r="G570" s="1373"/>
      <c r="H570" s="1408"/>
      <c r="I570" s="1408">
        <f>IF(J$321=0, INDEX('Adjustment for previous period'!I$431:I$530,$B570), 0)</f>
        <v>0</v>
      </c>
      <c r="J570" s="1408">
        <f>IF(K$321=0, INDEX('Adjustment for previous period'!J$431:J$530,$B570), 0)</f>
        <v>0</v>
      </c>
      <c r="K570" s="1408">
        <f>IF(L$321=0, INDEX('Adjustment for previous period'!K$431:K$530,$B570), 0)</f>
        <v>0</v>
      </c>
      <c r="L570" s="1408">
        <f>IF(M$321=0, INDEX('Adjustment for previous period'!L$431:L$530,$B570), 0)</f>
        <v>0</v>
      </c>
      <c r="M570" s="1408">
        <f>IF(N$321=0, INDEX('Adjustment for previous period'!M$431:M$530,$B570), 0)</f>
        <v>0</v>
      </c>
      <c r="N570" s="1408">
        <f>IF(O$321=0, INDEX('Adjustment for previous period'!N$431:N$530,$B570), 0)</f>
        <v>0</v>
      </c>
      <c r="O570" s="1408">
        <f>IF(P$321=0, INDEX('Adjustment for previous period'!O$431:O$530,$B570), 0)</f>
        <v>0</v>
      </c>
      <c r="P570" s="1408">
        <f>IF(Q$321=0, INDEX('Adjustment for previous period'!P$431:P$530,$B570), 0)</f>
        <v>0</v>
      </c>
      <c r="Q570" s="1408">
        <f>IF(R$321=0, INDEX('Adjustment for previous period'!Q$431:Q$530,$B570), 0)</f>
        <v>0</v>
      </c>
      <c r="R570" s="1397"/>
      <c r="S570" s="3"/>
      <c r="T570" s="3"/>
      <c r="U570" s="3"/>
      <c r="V570" s="3"/>
      <c r="W570" s="3"/>
      <c r="X570" s="3"/>
      <c r="Y570" s="3"/>
      <c r="Z570" s="3"/>
      <c r="AA570" s="152"/>
    </row>
    <row r="571" spans="1:27" hidden="1" outlineLevel="1">
      <c r="A571" s="152"/>
      <c r="B571" s="283">
        <v>84</v>
      </c>
      <c r="C571" s="390"/>
      <c r="D571" s="412">
        <f>Asset42</f>
        <v>0</v>
      </c>
      <c r="E571" s="390"/>
      <c r="F571" s="390"/>
      <c r="G571" s="1373"/>
      <c r="H571" s="1408"/>
      <c r="I571" s="1408">
        <f>IF(J$321=0, INDEX('Adjustment for previous period'!I$431:I$530,$B571), 0)</f>
        <v>0</v>
      </c>
      <c r="J571" s="1408">
        <f>IF(K$321=0, INDEX('Adjustment for previous period'!J$431:J$530,$B571), 0)</f>
        <v>0</v>
      </c>
      <c r="K571" s="1408">
        <f>IF(L$321=0, INDEX('Adjustment for previous period'!K$431:K$530,$B571), 0)</f>
        <v>0</v>
      </c>
      <c r="L571" s="1408">
        <f>IF(M$321=0, INDEX('Adjustment for previous period'!L$431:L$530,$B571), 0)</f>
        <v>0</v>
      </c>
      <c r="M571" s="1408">
        <f>IF(N$321=0, INDEX('Adjustment for previous period'!M$431:M$530,$B571), 0)</f>
        <v>0</v>
      </c>
      <c r="N571" s="1408">
        <f>IF(O$321=0, INDEX('Adjustment for previous period'!N$431:N$530,$B571), 0)</f>
        <v>0</v>
      </c>
      <c r="O571" s="1408">
        <f>IF(P$321=0, INDEX('Adjustment for previous period'!O$431:O$530,$B571), 0)</f>
        <v>0</v>
      </c>
      <c r="P571" s="1408">
        <f>IF(Q$321=0, INDEX('Adjustment for previous period'!P$431:P$530,$B571), 0)</f>
        <v>0</v>
      </c>
      <c r="Q571" s="1408">
        <f>IF(R$321=0, INDEX('Adjustment for previous period'!Q$431:Q$530,$B571), 0)</f>
        <v>0</v>
      </c>
      <c r="R571" s="1397"/>
      <c r="S571" s="3"/>
      <c r="T571" s="3"/>
      <c r="U571" s="3"/>
      <c r="V571" s="3"/>
      <c r="W571" s="3"/>
      <c r="X571" s="3"/>
      <c r="Y571" s="3"/>
      <c r="Z571" s="3"/>
      <c r="AA571" s="152"/>
    </row>
    <row r="572" spans="1:27" hidden="1" outlineLevel="1">
      <c r="A572" s="152"/>
      <c r="B572" s="283">
        <v>86</v>
      </c>
      <c r="C572" s="390"/>
      <c r="D572" s="412">
        <f>Asset43</f>
        <v>0</v>
      </c>
      <c r="E572" s="390"/>
      <c r="F572" s="390"/>
      <c r="G572" s="1373"/>
      <c r="H572" s="1408"/>
      <c r="I572" s="1408">
        <f>IF(J$321=0, INDEX('Adjustment for previous period'!I$431:I$530,$B572), 0)</f>
        <v>0</v>
      </c>
      <c r="J572" s="1408">
        <f>IF(K$321=0, INDEX('Adjustment for previous period'!J$431:J$530,$B572), 0)</f>
        <v>0</v>
      </c>
      <c r="K572" s="1408">
        <f>IF(L$321=0, INDEX('Adjustment for previous period'!K$431:K$530,$B572), 0)</f>
        <v>0</v>
      </c>
      <c r="L572" s="1408">
        <f>IF(M$321=0, INDEX('Adjustment for previous period'!L$431:L$530,$B572), 0)</f>
        <v>0</v>
      </c>
      <c r="M572" s="1408">
        <f>IF(N$321=0, INDEX('Adjustment for previous period'!M$431:M$530,$B572), 0)</f>
        <v>0</v>
      </c>
      <c r="N572" s="1408">
        <f>IF(O$321=0, INDEX('Adjustment for previous period'!N$431:N$530,$B572), 0)</f>
        <v>0</v>
      </c>
      <c r="O572" s="1408">
        <f>IF(P$321=0, INDEX('Adjustment for previous period'!O$431:O$530,$B572), 0)</f>
        <v>0</v>
      </c>
      <c r="P572" s="1408">
        <f>IF(Q$321=0, INDEX('Adjustment for previous period'!P$431:P$530,$B572), 0)</f>
        <v>0</v>
      </c>
      <c r="Q572" s="1408">
        <f>IF(R$321=0, INDEX('Adjustment for previous period'!Q$431:Q$530,$B572), 0)</f>
        <v>0</v>
      </c>
      <c r="R572" s="1397"/>
      <c r="S572" s="3"/>
      <c r="T572" s="3"/>
      <c r="U572" s="3"/>
      <c r="V572" s="3"/>
      <c r="W572" s="3"/>
      <c r="X572" s="3"/>
      <c r="Y572" s="3"/>
      <c r="Z572" s="3"/>
      <c r="AA572" s="152"/>
    </row>
    <row r="573" spans="1:27" hidden="1" outlineLevel="1">
      <c r="A573" s="152"/>
      <c r="B573" s="283">
        <v>88</v>
      </c>
      <c r="C573" s="390"/>
      <c r="D573" s="412">
        <f>Asset44</f>
        <v>0</v>
      </c>
      <c r="E573" s="390"/>
      <c r="F573" s="390"/>
      <c r="G573" s="1373"/>
      <c r="H573" s="1408"/>
      <c r="I573" s="1408">
        <f>IF(J$321=0, INDEX('Adjustment for previous period'!I$431:I$530,$B573), 0)</f>
        <v>0</v>
      </c>
      <c r="J573" s="1408">
        <f>IF(K$321=0, INDEX('Adjustment for previous period'!J$431:J$530,$B573), 0)</f>
        <v>0</v>
      </c>
      <c r="K573" s="1408">
        <f>IF(L$321=0, INDEX('Adjustment for previous period'!K$431:K$530,$B573), 0)</f>
        <v>0</v>
      </c>
      <c r="L573" s="1408">
        <f>IF(M$321=0, INDEX('Adjustment for previous period'!L$431:L$530,$B573), 0)</f>
        <v>0</v>
      </c>
      <c r="M573" s="1408">
        <f>IF(N$321=0, INDEX('Adjustment for previous period'!M$431:M$530,$B573), 0)</f>
        <v>0</v>
      </c>
      <c r="N573" s="1408">
        <f>IF(O$321=0, INDEX('Adjustment for previous period'!N$431:N$530,$B573), 0)</f>
        <v>0</v>
      </c>
      <c r="O573" s="1408">
        <f>IF(P$321=0, INDEX('Adjustment for previous period'!O$431:O$530,$B573), 0)</f>
        <v>0</v>
      </c>
      <c r="P573" s="1408">
        <f>IF(Q$321=0, INDEX('Adjustment for previous period'!P$431:P$530,$B573), 0)</f>
        <v>0</v>
      </c>
      <c r="Q573" s="1408">
        <f>IF(R$321=0, INDEX('Adjustment for previous period'!Q$431:Q$530,$B573), 0)</f>
        <v>0</v>
      </c>
      <c r="R573" s="1397"/>
      <c r="S573" s="3"/>
      <c r="T573" s="3"/>
      <c r="U573" s="3"/>
      <c r="V573" s="3"/>
      <c r="W573" s="3"/>
      <c r="X573" s="3"/>
      <c r="Y573" s="3"/>
      <c r="Z573" s="3"/>
      <c r="AA573" s="152"/>
    </row>
    <row r="574" spans="1:27" hidden="1" outlineLevel="1">
      <c r="A574" s="152"/>
      <c r="B574" s="283">
        <v>90</v>
      </c>
      <c r="C574" s="390"/>
      <c r="D574" s="412">
        <f>Asset45</f>
        <v>0</v>
      </c>
      <c r="E574" s="390"/>
      <c r="F574" s="390"/>
      <c r="G574" s="1373"/>
      <c r="H574" s="1408"/>
      <c r="I574" s="1408">
        <f>IF(J$321=0, INDEX('Adjustment for previous period'!I$431:I$530,$B574), 0)</f>
        <v>0</v>
      </c>
      <c r="J574" s="1408">
        <f>IF(K$321=0, INDEX('Adjustment for previous period'!J$431:J$530,$B574), 0)</f>
        <v>0</v>
      </c>
      <c r="K574" s="1408">
        <f>IF(L$321=0, INDEX('Adjustment for previous period'!K$431:K$530,$B574), 0)</f>
        <v>0</v>
      </c>
      <c r="L574" s="1408">
        <f>IF(M$321=0, INDEX('Adjustment for previous period'!L$431:L$530,$B574), 0)</f>
        <v>0</v>
      </c>
      <c r="M574" s="1408">
        <f>IF(N$321=0, INDEX('Adjustment for previous period'!M$431:M$530,$B574), 0)</f>
        <v>0</v>
      </c>
      <c r="N574" s="1408">
        <f>IF(O$321=0, INDEX('Adjustment for previous period'!N$431:N$530,$B574), 0)</f>
        <v>0</v>
      </c>
      <c r="O574" s="1408">
        <f>IF(P$321=0, INDEX('Adjustment for previous period'!O$431:O$530,$B574), 0)</f>
        <v>0</v>
      </c>
      <c r="P574" s="1408">
        <f>IF(Q$321=0, INDEX('Adjustment for previous period'!P$431:P$530,$B574), 0)</f>
        <v>0</v>
      </c>
      <c r="Q574" s="1408">
        <f>IF(R$321=0, INDEX('Adjustment for previous period'!Q$431:Q$530,$B574), 0)</f>
        <v>0</v>
      </c>
      <c r="R574" s="1397"/>
      <c r="S574" s="3"/>
      <c r="T574" s="3"/>
      <c r="U574" s="3"/>
      <c r="V574" s="3"/>
      <c r="W574" s="3"/>
      <c r="X574" s="3"/>
      <c r="Y574" s="3"/>
      <c r="Z574" s="3"/>
      <c r="AA574" s="152"/>
    </row>
    <row r="575" spans="1:27" hidden="1" outlineLevel="1">
      <c r="A575" s="152"/>
      <c r="B575" s="283">
        <v>92</v>
      </c>
      <c r="C575" s="390"/>
      <c r="D575" s="412">
        <f>Asset46</f>
        <v>0</v>
      </c>
      <c r="E575" s="390"/>
      <c r="F575" s="390"/>
      <c r="G575" s="1373"/>
      <c r="H575" s="1408"/>
      <c r="I575" s="1408">
        <f>IF(J$321=0, INDEX('Adjustment for previous period'!I$431:I$530,$B575), 0)</f>
        <v>0</v>
      </c>
      <c r="J575" s="1408">
        <f>IF(K$321=0, INDEX('Adjustment for previous period'!J$431:J$530,$B575), 0)</f>
        <v>0</v>
      </c>
      <c r="K575" s="1408">
        <f>IF(L$321=0, INDEX('Adjustment for previous period'!K$431:K$530,$B575), 0)</f>
        <v>0</v>
      </c>
      <c r="L575" s="1408">
        <f>IF(M$321=0, INDEX('Adjustment for previous period'!L$431:L$530,$B575), 0)</f>
        <v>0</v>
      </c>
      <c r="M575" s="1408">
        <f>IF(N$321=0, INDEX('Adjustment for previous period'!M$431:M$530,$B575), 0)</f>
        <v>0</v>
      </c>
      <c r="N575" s="1408">
        <f>IF(O$321=0, INDEX('Adjustment for previous period'!N$431:N$530,$B575), 0)</f>
        <v>0</v>
      </c>
      <c r="O575" s="1408">
        <f>IF(P$321=0, INDEX('Adjustment for previous period'!O$431:O$530,$B575), 0)</f>
        <v>0</v>
      </c>
      <c r="P575" s="1408">
        <f>IF(Q$321=0, INDEX('Adjustment for previous period'!P$431:P$530,$B575), 0)</f>
        <v>0</v>
      </c>
      <c r="Q575" s="1408">
        <f>IF(R$321=0, INDEX('Adjustment for previous period'!Q$431:Q$530,$B575), 0)</f>
        <v>0</v>
      </c>
      <c r="R575" s="1397"/>
      <c r="S575" s="3"/>
      <c r="T575" s="3"/>
      <c r="U575" s="3"/>
      <c r="V575" s="3"/>
      <c r="W575" s="3"/>
      <c r="X575" s="3"/>
      <c r="Y575" s="3"/>
      <c r="Z575" s="3"/>
      <c r="AA575" s="152"/>
    </row>
    <row r="576" spans="1:27" hidden="1" outlineLevel="1">
      <c r="A576" s="152"/>
      <c r="B576" s="283">
        <v>94</v>
      </c>
      <c r="C576" s="390"/>
      <c r="D576" s="412">
        <f>Asset47</f>
        <v>0</v>
      </c>
      <c r="E576" s="390"/>
      <c r="F576" s="390"/>
      <c r="G576" s="1373"/>
      <c r="H576" s="1408"/>
      <c r="I576" s="1408">
        <f>IF(J$321=0, INDEX('Adjustment for previous period'!I$431:I$530,$B576), 0)</f>
        <v>0</v>
      </c>
      <c r="J576" s="1408">
        <f>IF(K$321=0, INDEX('Adjustment for previous period'!J$431:J$530,$B576), 0)</f>
        <v>0</v>
      </c>
      <c r="K576" s="1408">
        <f>IF(L$321=0, INDEX('Adjustment for previous period'!K$431:K$530,$B576), 0)</f>
        <v>0</v>
      </c>
      <c r="L576" s="1408">
        <f>IF(M$321=0, INDEX('Adjustment for previous period'!L$431:L$530,$B576), 0)</f>
        <v>0</v>
      </c>
      <c r="M576" s="1408">
        <f>IF(N$321=0, INDEX('Adjustment for previous period'!M$431:M$530,$B576), 0)</f>
        <v>0</v>
      </c>
      <c r="N576" s="1408">
        <f>IF(O$321=0, INDEX('Adjustment for previous period'!N$431:N$530,$B576), 0)</f>
        <v>0</v>
      </c>
      <c r="O576" s="1408">
        <f>IF(P$321=0, INDEX('Adjustment for previous period'!O$431:O$530,$B576), 0)</f>
        <v>0</v>
      </c>
      <c r="P576" s="1408">
        <f>IF(Q$321=0, INDEX('Adjustment for previous period'!P$431:P$530,$B576), 0)</f>
        <v>0</v>
      </c>
      <c r="Q576" s="1408">
        <f>IF(R$321=0, INDEX('Adjustment for previous period'!Q$431:Q$530,$B576), 0)</f>
        <v>0</v>
      </c>
      <c r="R576" s="1397"/>
      <c r="S576" s="3"/>
      <c r="T576" s="3"/>
      <c r="U576" s="3"/>
      <c r="V576" s="3"/>
      <c r="W576" s="3"/>
      <c r="X576" s="3"/>
      <c r="Y576" s="3"/>
      <c r="Z576" s="3"/>
      <c r="AA576" s="152"/>
    </row>
    <row r="577" spans="1:27" hidden="1" outlineLevel="1">
      <c r="A577" s="152"/>
      <c r="B577" s="283">
        <v>96</v>
      </c>
      <c r="C577" s="390"/>
      <c r="D577" s="412">
        <f>Asset48</f>
        <v>0</v>
      </c>
      <c r="E577" s="390"/>
      <c r="F577" s="390"/>
      <c r="G577" s="1373"/>
      <c r="H577" s="1408"/>
      <c r="I577" s="1408">
        <f>IF(J$321=0, INDEX('Adjustment for previous period'!I$431:I$530,$B577), 0)</f>
        <v>0</v>
      </c>
      <c r="J577" s="1408">
        <f>IF(K$321=0, INDEX('Adjustment for previous period'!J$431:J$530,$B577), 0)</f>
        <v>0</v>
      </c>
      <c r="K577" s="1408">
        <f>IF(L$321=0, INDEX('Adjustment for previous period'!K$431:K$530,$B577), 0)</f>
        <v>0</v>
      </c>
      <c r="L577" s="1408">
        <f>IF(M$321=0, INDEX('Adjustment for previous period'!L$431:L$530,$B577), 0)</f>
        <v>0</v>
      </c>
      <c r="M577" s="1408">
        <f>IF(N$321=0, INDEX('Adjustment for previous period'!M$431:M$530,$B577), 0)</f>
        <v>0</v>
      </c>
      <c r="N577" s="1408">
        <f>IF(O$321=0, INDEX('Adjustment for previous period'!N$431:N$530,$B577), 0)</f>
        <v>0</v>
      </c>
      <c r="O577" s="1408">
        <f>IF(P$321=0, INDEX('Adjustment for previous period'!O$431:O$530,$B577), 0)</f>
        <v>0</v>
      </c>
      <c r="P577" s="1408">
        <f>IF(Q$321=0, INDEX('Adjustment for previous period'!P$431:P$530,$B577), 0)</f>
        <v>0</v>
      </c>
      <c r="Q577" s="1408">
        <f>IF(R$321=0, INDEX('Adjustment for previous period'!Q$431:Q$530,$B577), 0)</f>
        <v>0</v>
      </c>
      <c r="R577" s="1397"/>
      <c r="S577" s="3"/>
      <c r="T577" s="3"/>
      <c r="U577" s="3"/>
      <c r="V577" s="3"/>
      <c r="W577" s="3"/>
      <c r="X577" s="3"/>
      <c r="Y577" s="3"/>
      <c r="Z577" s="3"/>
      <c r="AA577" s="152"/>
    </row>
    <row r="578" spans="1:27" hidden="1" outlineLevel="1">
      <c r="A578" s="152"/>
      <c r="B578" s="283">
        <v>98</v>
      </c>
      <c r="C578" s="390"/>
      <c r="D578" s="412">
        <f>Asset49</f>
        <v>0</v>
      </c>
      <c r="E578" s="390"/>
      <c r="F578" s="390"/>
      <c r="G578" s="1373"/>
      <c r="H578" s="1408"/>
      <c r="I578" s="1408">
        <f>IF(J$321=0, INDEX('Adjustment for previous period'!I$431:I$530,$B578), 0)</f>
        <v>0</v>
      </c>
      <c r="J578" s="1408">
        <f>IF(K$321=0, INDEX('Adjustment for previous period'!J$431:J$530,$B578), 0)</f>
        <v>0</v>
      </c>
      <c r="K578" s="1408">
        <f>IF(L$321=0, INDEX('Adjustment for previous period'!K$431:K$530,$B578), 0)</f>
        <v>0</v>
      </c>
      <c r="L578" s="1408">
        <f>IF(M$321=0, INDEX('Adjustment for previous period'!L$431:L$530,$B578), 0)</f>
        <v>0</v>
      </c>
      <c r="M578" s="1408">
        <f>IF(N$321=0, INDEX('Adjustment for previous period'!M$431:M$530,$B578), 0)</f>
        <v>0</v>
      </c>
      <c r="N578" s="1408">
        <f>IF(O$321=0, INDEX('Adjustment for previous period'!N$431:N$530,$B578), 0)</f>
        <v>0</v>
      </c>
      <c r="O578" s="1408">
        <f>IF(P$321=0, INDEX('Adjustment for previous period'!O$431:O$530,$B578), 0)</f>
        <v>0</v>
      </c>
      <c r="P578" s="1408">
        <f>IF(Q$321=0, INDEX('Adjustment for previous period'!P$431:P$530,$B578), 0)</f>
        <v>0</v>
      </c>
      <c r="Q578" s="1408">
        <f>IF(R$321=0, INDEX('Adjustment for previous period'!Q$431:Q$530,$B578), 0)</f>
        <v>0</v>
      </c>
      <c r="R578" s="1397"/>
      <c r="S578" s="3"/>
      <c r="T578" s="3"/>
      <c r="U578" s="3"/>
      <c r="V578" s="3"/>
      <c r="W578" s="3"/>
      <c r="X578" s="3"/>
      <c r="Y578" s="3"/>
      <c r="Z578" s="3"/>
      <c r="AA578" s="152"/>
    </row>
    <row r="579" spans="1:27" hidden="1" outlineLevel="1">
      <c r="A579" s="152"/>
      <c r="B579" s="283">
        <v>100</v>
      </c>
      <c r="C579" s="390"/>
      <c r="D579" s="412">
        <f>Asset50</f>
        <v>0</v>
      </c>
      <c r="E579" s="390"/>
      <c r="F579" s="390"/>
      <c r="G579" s="1373"/>
      <c r="H579" s="1408"/>
      <c r="I579" s="1408">
        <f>IF(J$321=0, INDEX('Adjustment for previous period'!I$431:I$530,$B579), 0)</f>
        <v>0</v>
      </c>
      <c r="J579" s="1408">
        <f>IF(K$321=0, INDEX('Adjustment for previous period'!J$431:J$530,$B579), 0)</f>
        <v>0</v>
      </c>
      <c r="K579" s="1408">
        <f>IF(L$321=0, INDEX('Adjustment for previous period'!K$431:K$530,$B579), 0)</f>
        <v>0</v>
      </c>
      <c r="L579" s="1408">
        <f>IF(M$321=0, INDEX('Adjustment for previous period'!L$431:L$530,$B579), 0)</f>
        <v>0</v>
      </c>
      <c r="M579" s="1408">
        <f>IF(N$321=0, INDEX('Adjustment for previous period'!M$431:M$530,$B579), 0)</f>
        <v>0</v>
      </c>
      <c r="N579" s="1408">
        <f>IF(O$321=0, INDEX('Adjustment for previous period'!N$431:N$530,$B579), 0)</f>
        <v>0</v>
      </c>
      <c r="O579" s="1408">
        <f>IF(P$321=0, INDEX('Adjustment for previous period'!O$431:O$530,$B579), 0)</f>
        <v>0</v>
      </c>
      <c r="P579" s="1408">
        <f>IF(Q$321=0, INDEX('Adjustment for previous period'!P$431:P$530,$B579), 0)</f>
        <v>0</v>
      </c>
      <c r="Q579" s="1408">
        <f>IF(R$321=0, INDEX('Adjustment for previous period'!Q$431:Q$530,$B579), 0)</f>
        <v>0</v>
      </c>
      <c r="R579" s="1397"/>
      <c r="S579" s="3"/>
      <c r="T579" s="3"/>
      <c r="U579" s="3"/>
      <c r="V579" s="3"/>
      <c r="W579" s="3"/>
      <c r="X579" s="3"/>
      <c r="Y579" s="3"/>
      <c r="Z579" s="3"/>
      <c r="AA579" s="152"/>
    </row>
    <row r="580" spans="1:27" collapsed="1">
      <c r="A580" s="152"/>
      <c r="B580" s="3"/>
      <c r="C580" s="390"/>
      <c r="D580" s="412"/>
      <c r="E580" s="390"/>
      <c r="F580" s="390"/>
      <c r="G580" s="1373"/>
      <c r="H580" s="1408"/>
      <c r="I580" s="1408"/>
      <c r="J580" s="1408"/>
      <c r="K580" s="1408"/>
      <c r="L580" s="1408"/>
      <c r="M580" s="1408"/>
      <c r="N580" s="1408"/>
      <c r="O580" s="1408"/>
      <c r="P580" s="1408"/>
      <c r="Q580" s="1408"/>
      <c r="R580" s="1397"/>
      <c r="S580" s="3"/>
      <c r="T580" s="3"/>
      <c r="U580" s="3"/>
      <c r="V580" s="3"/>
      <c r="W580" s="3"/>
      <c r="X580" s="3"/>
      <c r="Y580" s="3"/>
      <c r="Z580" s="3"/>
      <c r="AA580" s="152"/>
    </row>
    <row r="581" spans="1:27" ht="12" customHeight="1">
      <c r="A581" s="3"/>
      <c r="B581" s="4"/>
      <c r="C581" s="195" t="s">
        <v>121</v>
      </c>
      <c r="D581" s="177"/>
      <c r="E581" s="4"/>
      <c r="F581" s="4"/>
      <c r="G581" s="77"/>
      <c r="H581" s="77"/>
      <c r="I581" s="1407">
        <f>SUM(I582:I631)</f>
        <v>0</v>
      </c>
      <c r="J581" s="1407">
        <f t="shared" ref="J581:Q581" si="22">SUM(J582:J631)</f>
        <v>0</v>
      </c>
      <c r="K581" s="1407">
        <f t="shared" si="22"/>
        <v>0</v>
      </c>
      <c r="L581" s="1407">
        <f t="shared" si="22"/>
        <v>0</v>
      </c>
      <c r="M581" s="1407">
        <f t="shared" si="22"/>
        <v>0</v>
      </c>
      <c r="N581" s="1407">
        <f t="shared" si="22"/>
        <v>0</v>
      </c>
      <c r="O581" s="1407">
        <f t="shared" si="22"/>
        <v>0</v>
      </c>
      <c r="P581" s="1407">
        <f t="shared" si="22"/>
        <v>0</v>
      </c>
      <c r="Q581" s="1407">
        <f t="shared" si="22"/>
        <v>0</v>
      </c>
      <c r="R581" s="248"/>
      <c r="S581" s="4"/>
      <c r="T581" s="4"/>
      <c r="U581" s="4"/>
      <c r="V581" s="4"/>
      <c r="W581" s="4"/>
      <c r="X581" s="4"/>
      <c r="Y581" s="4"/>
      <c r="Z581" s="4"/>
      <c r="AA581" s="152"/>
    </row>
    <row r="582" spans="1:27" ht="12" hidden="1" customHeight="1" outlineLevel="1">
      <c r="A582" s="3"/>
      <c r="B582" s="3"/>
      <c r="C582" s="152"/>
      <c r="D582" s="229" t="str">
        <f>Asset1</f>
        <v>Mains</v>
      </c>
      <c r="E582" s="3"/>
      <c r="F582" s="3"/>
      <c r="G582" s="248"/>
      <c r="H582" s="1341"/>
      <c r="I582" s="1363">
        <f>IF(I$321&gt;0, IF(J$321=0, 'RFM input'!$G412, 0), 0)</f>
        <v>0</v>
      </c>
      <c r="J582" s="1363">
        <f>IF(J$321&gt;0, IF(K$321=0, 'RFM input'!$G412, 0), 0)</f>
        <v>0</v>
      </c>
      <c r="K582" s="1363">
        <f>IF(K$321&gt;0, IF(L$321=0, 'RFM input'!$G412, 0), 0)</f>
        <v>0</v>
      </c>
      <c r="L582" s="1363">
        <f>IF(L$321&gt;0, IF(M$321=0, 'RFM input'!$G412, 0), 0)</f>
        <v>0</v>
      </c>
      <c r="M582" s="1363">
        <f>IF(M$321&gt;0, IF(N$321=0, 'RFM input'!$G412, 0), 0)</f>
        <v>0</v>
      </c>
      <c r="N582" s="1363">
        <f>IF(N$321&gt;0, IF(O$321=0, 'RFM input'!$G412, 0), 0)</f>
        <v>0</v>
      </c>
      <c r="O582" s="1363">
        <f>IF(O$321&gt;0, IF(P$321=0, 'RFM input'!$G412, 0), 0)</f>
        <v>0</v>
      </c>
      <c r="P582" s="1363">
        <f>IF(P$321&gt;0, IF(Q$321=0, 'RFM input'!$G412, 0), 0)</f>
        <v>0</v>
      </c>
      <c r="Q582" s="1363">
        <f>IF(Q$321&gt;0, IF(R$321=0, 'RFM input'!$G412, 0), 0)</f>
        <v>0</v>
      </c>
      <c r="R582" s="248"/>
      <c r="S582" s="4"/>
      <c r="T582" s="4"/>
      <c r="U582" s="4"/>
      <c r="V582" s="4"/>
      <c r="W582" s="4"/>
      <c r="X582" s="4"/>
      <c r="Y582" s="4"/>
      <c r="Z582" s="4"/>
      <c r="AA582" s="152"/>
    </row>
    <row r="583" spans="1:27" hidden="1" outlineLevel="1">
      <c r="A583" s="3"/>
      <c r="B583" s="3"/>
      <c r="C583" s="152"/>
      <c r="D583" s="229" t="str">
        <f>Asset2</f>
        <v>Inlets</v>
      </c>
      <c r="E583" s="3"/>
      <c r="F583" s="3"/>
      <c r="G583" s="248"/>
      <c r="H583" s="1341"/>
      <c r="I583" s="1363">
        <f>IF(I$321&gt;0, IF(J$321=0, 'RFM input'!$G413, 0), 0)</f>
        <v>0</v>
      </c>
      <c r="J583" s="1363">
        <f>IF(J$321&gt;0, IF(K$321=0, 'RFM input'!$G413, 0), 0)</f>
        <v>0</v>
      </c>
      <c r="K583" s="1363">
        <f>IF(K$321&gt;0, IF(L$321=0, 'RFM input'!$G413, 0), 0)</f>
        <v>0</v>
      </c>
      <c r="L583" s="1363">
        <f>IF(L$321&gt;0, IF(M$321=0, 'RFM input'!$G413, 0), 0)</f>
        <v>0</v>
      </c>
      <c r="M583" s="1363">
        <f>IF(M$321&gt;0, IF(N$321=0, 'RFM input'!$G413, 0), 0)</f>
        <v>0</v>
      </c>
      <c r="N583" s="1363">
        <f>IF(N$321&gt;0, IF(O$321=0, 'RFM input'!$G413, 0), 0)</f>
        <v>0</v>
      </c>
      <c r="O583" s="1363">
        <f>IF(O$321&gt;0, IF(P$321=0, 'RFM input'!$G413, 0), 0)</f>
        <v>0</v>
      </c>
      <c r="P583" s="1363">
        <f>IF(P$321&gt;0, IF(Q$321=0, 'RFM input'!$G413, 0), 0)</f>
        <v>0</v>
      </c>
      <c r="Q583" s="1363">
        <f>IF(Q$321&gt;0, IF(R$321=0, 'RFM input'!$G413, 0), 0)</f>
        <v>0</v>
      </c>
      <c r="R583" s="248"/>
      <c r="S583" s="71"/>
      <c r="T583" s="71"/>
      <c r="U583" s="71"/>
      <c r="V583" s="71"/>
      <c r="W583" s="71"/>
      <c r="X583" s="71"/>
      <c r="Y583" s="71"/>
      <c r="Z583" s="71"/>
      <c r="AA583" s="152"/>
    </row>
    <row r="584" spans="1:27" ht="12" hidden="1" customHeight="1" outlineLevel="1">
      <c r="A584" s="3"/>
      <c r="B584" s="3"/>
      <c r="C584" s="152"/>
      <c r="D584" s="229" t="str">
        <f>Asset3</f>
        <v>Meters</v>
      </c>
      <c r="E584" s="3"/>
      <c r="F584" s="3"/>
      <c r="G584" s="248"/>
      <c r="H584" s="1341"/>
      <c r="I584" s="1363">
        <f>IF(I$321&gt;0, IF(J$321=0, 'RFM input'!$G414, 0), 0)</f>
        <v>0</v>
      </c>
      <c r="J584" s="1363">
        <f>IF(J$321&gt;0, IF(K$321=0, 'RFM input'!$G414, 0), 0)</f>
        <v>0</v>
      </c>
      <c r="K584" s="1363">
        <f>IF(K$321&gt;0, IF(L$321=0, 'RFM input'!$G414, 0), 0)</f>
        <v>0</v>
      </c>
      <c r="L584" s="1363">
        <f>IF(L$321&gt;0, IF(M$321=0, 'RFM input'!$G414, 0), 0)</f>
        <v>0</v>
      </c>
      <c r="M584" s="1363">
        <f>IF(M$321&gt;0, IF(N$321=0, 'RFM input'!$G414, 0), 0)</f>
        <v>0</v>
      </c>
      <c r="N584" s="1363">
        <f>IF(N$321&gt;0, IF(O$321=0, 'RFM input'!$G414, 0), 0)</f>
        <v>0</v>
      </c>
      <c r="O584" s="1363">
        <f>IF(O$321&gt;0, IF(P$321=0, 'RFM input'!$G414, 0), 0)</f>
        <v>0</v>
      </c>
      <c r="P584" s="1363">
        <f>IF(P$321&gt;0, IF(Q$321=0, 'RFM input'!$G414, 0), 0)</f>
        <v>0</v>
      </c>
      <c r="Q584" s="1363">
        <f>IF(Q$321&gt;0, IF(R$321=0, 'RFM input'!$G414, 0), 0)</f>
        <v>0</v>
      </c>
      <c r="R584" s="248"/>
      <c r="S584" s="4"/>
      <c r="T584" s="4"/>
      <c r="U584" s="4"/>
      <c r="V584" s="4"/>
      <c r="W584" s="4"/>
      <c r="X584" s="4"/>
      <c r="Y584" s="4"/>
      <c r="Z584" s="4"/>
      <c r="AA584" s="152"/>
    </row>
    <row r="585" spans="1:27" ht="12" hidden="1" customHeight="1" outlineLevel="1">
      <c r="A585" s="3"/>
      <c r="B585" s="3"/>
      <c r="C585" s="152"/>
      <c r="D585" s="229" t="str">
        <f>Asset4</f>
        <v>Telemetry</v>
      </c>
      <c r="E585" s="3"/>
      <c r="F585" s="3"/>
      <c r="G585" s="248"/>
      <c r="H585" s="1341"/>
      <c r="I585" s="1363">
        <f>IF(I$321&gt;0, IF(J$321=0, 'RFM input'!$G415, 0), 0)</f>
        <v>0</v>
      </c>
      <c r="J585" s="1363">
        <f>IF(J$321&gt;0, IF(K$321=0, 'RFM input'!$G415, 0), 0)</f>
        <v>0</v>
      </c>
      <c r="K585" s="1363">
        <f>IF(K$321&gt;0, IF(L$321=0, 'RFM input'!$G415, 0), 0)</f>
        <v>0</v>
      </c>
      <c r="L585" s="1363">
        <f>IF(L$321&gt;0, IF(M$321=0, 'RFM input'!$G415, 0), 0)</f>
        <v>0</v>
      </c>
      <c r="M585" s="1363">
        <f>IF(M$321&gt;0, IF(N$321=0, 'RFM input'!$G415, 0), 0)</f>
        <v>0</v>
      </c>
      <c r="N585" s="1363">
        <f>IF(N$321&gt;0, IF(O$321=0, 'RFM input'!$G415, 0), 0)</f>
        <v>0</v>
      </c>
      <c r="O585" s="1363">
        <f>IF(O$321&gt;0, IF(P$321=0, 'RFM input'!$G415, 0), 0)</f>
        <v>0</v>
      </c>
      <c r="P585" s="1363">
        <f>IF(P$321&gt;0, IF(Q$321=0, 'RFM input'!$G415, 0), 0)</f>
        <v>0</v>
      </c>
      <c r="Q585" s="1363">
        <f>IF(Q$321&gt;0, IF(R$321=0, 'RFM input'!$G415, 0), 0)</f>
        <v>0</v>
      </c>
      <c r="R585" s="248"/>
      <c r="S585" s="4"/>
      <c r="T585" s="4"/>
      <c r="U585" s="4"/>
      <c r="V585" s="4"/>
      <c r="W585" s="4"/>
      <c r="X585" s="4"/>
      <c r="Y585" s="4"/>
      <c r="Z585" s="4"/>
      <c r="AA585" s="152"/>
    </row>
    <row r="586" spans="1:27" ht="12" hidden="1" customHeight="1" outlineLevel="1">
      <c r="A586" s="3"/>
      <c r="B586" s="3"/>
      <c r="C586" s="152"/>
      <c r="D586" s="229" t="str">
        <f>Asset5</f>
        <v>IT System</v>
      </c>
      <c r="E586" s="3"/>
      <c r="F586" s="3"/>
      <c r="G586" s="248"/>
      <c r="H586" s="1341"/>
      <c r="I586" s="1363">
        <f>IF(I$321&gt;0, IF(J$321=0, 'RFM input'!$G416, 0), 0)</f>
        <v>0</v>
      </c>
      <c r="J586" s="1363">
        <f>IF(J$321&gt;0, IF(K$321=0, 'RFM input'!$G416, 0), 0)</f>
        <v>0</v>
      </c>
      <c r="K586" s="1363">
        <f>IF(K$321&gt;0, IF(L$321=0, 'RFM input'!$G416, 0), 0)</f>
        <v>0</v>
      </c>
      <c r="L586" s="1363">
        <f>IF(L$321&gt;0, IF(M$321=0, 'RFM input'!$G416, 0), 0)</f>
        <v>0</v>
      </c>
      <c r="M586" s="1363">
        <f>IF(M$321&gt;0, IF(N$321=0, 'RFM input'!$G416, 0), 0)</f>
        <v>0</v>
      </c>
      <c r="N586" s="1363">
        <f>IF(N$321&gt;0, IF(O$321=0, 'RFM input'!$G416, 0), 0)</f>
        <v>0</v>
      </c>
      <c r="O586" s="1363">
        <f>IF(O$321&gt;0, IF(P$321=0, 'RFM input'!$G416, 0), 0)</f>
        <v>0</v>
      </c>
      <c r="P586" s="1363">
        <f>IF(P$321&gt;0, IF(Q$321=0, 'RFM input'!$G416, 0), 0)</f>
        <v>0</v>
      </c>
      <c r="Q586" s="1363">
        <f>IF(Q$321&gt;0, IF(R$321=0, 'RFM input'!$G416, 0), 0)</f>
        <v>0</v>
      </c>
      <c r="R586" s="248"/>
      <c r="S586" s="4"/>
      <c r="T586" s="4"/>
      <c r="U586" s="4"/>
      <c r="V586" s="4"/>
      <c r="W586" s="4"/>
      <c r="X586" s="4"/>
      <c r="Y586" s="4"/>
      <c r="Z586" s="4"/>
      <c r="AA586" s="152"/>
    </row>
    <row r="587" spans="1:27" hidden="1" outlineLevel="1">
      <c r="A587" s="3"/>
      <c r="B587" s="3"/>
      <c r="C587" s="152"/>
      <c r="D587" s="229" t="str">
        <f>Asset6</f>
        <v>Other Distribution System Equipment</v>
      </c>
      <c r="E587" s="3"/>
      <c r="F587" s="3"/>
      <c r="G587" s="248"/>
      <c r="H587" s="1341"/>
      <c r="I587" s="1363">
        <f>IF(I$321&gt;0, IF(J$321=0, 'RFM input'!$G417, 0), 0)</f>
        <v>0</v>
      </c>
      <c r="J587" s="1363">
        <f>IF(J$321&gt;0, IF(K$321=0, 'RFM input'!$G417, 0), 0)</f>
        <v>0</v>
      </c>
      <c r="K587" s="1363">
        <f>IF(K$321&gt;0, IF(L$321=0, 'RFM input'!$G417, 0), 0)</f>
        <v>0</v>
      </c>
      <c r="L587" s="1363">
        <f>IF(L$321&gt;0, IF(M$321=0, 'RFM input'!$G417, 0), 0)</f>
        <v>0</v>
      </c>
      <c r="M587" s="1363">
        <f>IF(M$321&gt;0, IF(N$321=0, 'RFM input'!$G417, 0), 0)</f>
        <v>0</v>
      </c>
      <c r="N587" s="1363">
        <f>IF(N$321&gt;0, IF(O$321=0, 'RFM input'!$G417, 0), 0)</f>
        <v>0</v>
      </c>
      <c r="O587" s="1363">
        <f>IF(O$321&gt;0, IF(P$321=0, 'RFM input'!$G417, 0), 0)</f>
        <v>0</v>
      </c>
      <c r="P587" s="1363">
        <f>IF(P$321&gt;0, IF(Q$321=0, 'RFM input'!$G417, 0), 0)</f>
        <v>0</v>
      </c>
      <c r="Q587" s="1363">
        <f>IF(Q$321&gt;0, IF(R$321=0, 'RFM input'!$G417, 0), 0)</f>
        <v>0</v>
      </c>
      <c r="R587" s="248"/>
      <c r="S587" s="4"/>
      <c r="T587" s="4"/>
      <c r="U587" s="4"/>
      <c r="V587" s="4"/>
      <c r="W587" s="4"/>
      <c r="X587" s="4"/>
      <c r="Y587" s="4"/>
      <c r="Z587" s="4"/>
      <c r="AA587" s="152"/>
    </row>
    <row r="588" spans="1:27" hidden="1" outlineLevel="1">
      <c r="A588" s="3"/>
      <c r="B588" s="3"/>
      <c r="C588" s="152"/>
      <c r="D588" s="229" t="str">
        <f>Asset7</f>
        <v>Other</v>
      </c>
      <c r="E588" s="3"/>
      <c r="F588" s="3"/>
      <c r="G588" s="248"/>
      <c r="H588" s="1341"/>
      <c r="I588" s="1363">
        <f>IF(I$321&gt;0, IF(J$321=0, 'RFM input'!$G418, 0), 0)</f>
        <v>0</v>
      </c>
      <c r="J588" s="1363">
        <f>IF(J$321&gt;0, IF(K$321=0, 'RFM input'!$G418, 0), 0)</f>
        <v>0</v>
      </c>
      <c r="K588" s="1363">
        <f>IF(K$321&gt;0, IF(L$321=0, 'RFM input'!$G418, 0), 0)</f>
        <v>0</v>
      </c>
      <c r="L588" s="1363">
        <f>IF(L$321&gt;0, IF(M$321=0, 'RFM input'!$G418, 0), 0)</f>
        <v>0</v>
      </c>
      <c r="M588" s="1363">
        <f>IF(M$321&gt;0, IF(N$321=0, 'RFM input'!$G418, 0), 0)</f>
        <v>0</v>
      </c>
      <c r="N588" s="1363">
        <f>IF(N$321&gt;0, IF(O$321=0, 'RFM input'!$G418, 0), 0)</f>
        <v>0</v>
      </c>
      <c r="O588" s="1363">
        <f>IF(O$321&gt;0, IF(P$321=0, 'RFM input'!$G418, 0), 0)</f>
        <v>0</v>
      </c>
      <c r="P588" s="1363">
        <f>IF(P$321&gt;0, IF(Q$321=0, 'RFM input'!$G418, 0), 0)</f>
        <v>0</v>
      </c>
      <c r="Q588" s="1363">
        <f>IF(Q$321&gt;0, IF(R$321=0, 'RFM input'!$G418, 0), 0)</f>
        <v>0</v>
      </c>
      <c r="R588" s="248"/>
      <c r="S588" s="3"/>
      <c r="T588" s="3"/>
      <c r="U588" s="3"/>
      <c r="V588" s="3"/>
      <c r="W588" s="3"/>
      <c r="X588" s="3"/>
      <c r="Y588" s="3"/>
      <c r="Z588" s="3"/>
      <c r="AA588" s="152"/>
    </row>
    <row r="589" spans="1:27" hidden="1" outlineLevel="1">
      <c r="A589" s="3"/>
      <c r="B589" s="3"/>
      <c r="C589" s="152"/>
      <c r="D589" s="229">
        <f>Asset8</f>
        <v>0</v>
      </c>
      <c r="E589" s="3"/>
      <c r="F589" s="3"/>
      <c r="G589" s="248"/>
      <c r="H589" s="1341"/>
      <c r="I589" s="1363">
        <f>IF(I$321&gt;0, IF(J$321=0, 'RFM input'!$G419, 0), 0)</f>
        <v>0</v>
      </c>
      <c r="J589" s="1363">
        <f>IF(J$321&gt;0, IF(K$321=0, 'RFM input'!$G419, 0), 0)</f>
        <v>0</v>
      </c>
      <c r="K589" s="1363">
        <f>IF(K$321&gt;0, IF(L$321=0, 'RFM input'!$G419, 0), 0)</f>
        <v>0</v>
      </c>
      <c r="L589" s="1363">
        <f>IF(L$321&gt;0, IF(M$321=0, 'RFM input'!$G419, 0), 0)</f>
        <v>0</v>
      </c>
      <c r="M589" s="1363">
        <f>IF(M$321&gt;0, IF(N$321=0, 'RFM input'!$G419, 0), 0)</f>
        <v>0</v>
      </c>
      <c r="N589" s="1363">
        <f>IF(N$321&gt;0, IF(O$321=0, 'RFM input'!$G419, 0), 0)</f>
        <v>0</v>
      </c>
      <c r="O589" s="1363">
        <f>IF(O$321&gt;0, IF(P$321=0, 'RFM input'!$G419, 0), 0)</f>
        <v>0</v>
      </c>
      <c r="P589" s="1363">
        <f>IF(P$321&gt;0, IF(Q$321=0, 'RFM input'!$G419, 0), 0)</f>
        <v>0</v>
      </c>
      <c r="Q589" s="1363">
        <f>IF(Q$321&gt;0, IF(R$321=0, 'RFM input'!$G419, 0), 0)</f>
        <v>0</v>
      </c>
      <c r="R589" s="248"/>
      <c r="S589" s="3"/>
      <c r="T589" s="3"/>
      <c r="U589" s="3"/>
      <c r="V589" s="3"/>
      <c r="W589" s="3"/>
      <c r="X589" s="3"/>
      <c r="Y589" s="3"/>
      <c r="Z589" s="3"/>
      <c r="AA589" s="152"/>
    </row>
    <row r="590" spans="1:27" hidden="1" outlineLevel="1">
      <c r="A590" s="3"/>
      <c r="B590" s="3"/>
      <c r="C590" s="152"/>
      <c r="D590" s="229">
        <f>Asset9</f>
        <v>0</v>
      </c>
      <c r="E590" s="3"/>
      <c r="F590" s="3"/>
      <c r="G590" s="248"/>
      <c r="H590" s="1341"/>
      <c r="I590" s="1363">
        <f>IF(I$321&gt;0, IF(J$321=0, 'RFM input'!$G420, 0), 0)</f>
        <v>0</v>
      </c>
      <c r="J590" s="1363">
        <f>IF(J$321&gt;0, IF(K$321=0, 'RFM input'!$G420, 0), 0)</f>
        <v>0</v>
      </c>
      <c r="K590" s="1363">
        <f>IF(K$321&gt;0, IF(L$321=0, 'RFM input'!$G420, 0), 0)</f>
        <v>0</v>
      </c>
      <c r="L590" s="1363">
        <f>IF(L$321&gt;0, IF(M$321=0, 'RFM input'!$G420, 0), 0)</f>
        <v>0</v>
      </c>
      <c r="M590" s="1363">
        <f>IF(M$321&gt;0, IF(N$321=0, 'RFM input'!$G420, 0), 0)</f>
        <v>0</v>
      </c>
      <c r="N590" s="1363">
        <f>IF(N$321&gt;0, IF(O$321=0, 'RFM input'!$G420, 0), 0)</f>
        <v>0</v>
      </c>
      <c r="O590" s="1363">
        <f>IF(O$321&gt;0, IF(P$321=0, 'RFM input'!$G420, 0), 0)</f>
        <v>0</v>
      </c>
      <c r="P590" s="1363">
        <f>IF(P$321&gt;0, IF(Q$321=0, 'RFM input'!$G420, 0), 0)</f>
        <v>0</v>
      </c>
      <c r="Q590" s="1363">
        <f>IF(Q$321&gt;0, IF(R$321=0, 'RFM input'!$G420, 0), 0)</f>
        <v>0</v>
      </c>
      <c r="R590" s="248"/>
      <c r="S590" s="3"/>
      <c r="T590" s="3"/>
      <c r="U590" s="3"/>
      <c r="V590" s="3"/>
      <c r="W590" s="3"/>
      <c r="X590" s="3"/>
      <c r="Y590" s="3"/>
      <c r="Z590" s="3"/>
      <c r="AA590" s="152"/>
    </row>
    <row r="591" spans="1:27" hidden="1" outlineLevel="1">
      <c r="A591" s="3"/>
      <c r="B591" s="3"/>
      <c r="C591" s="152"/>
      <c r="D591" s="229">
        <f>Asset10</f>
        <v>0</v>
      </c>
      <c r="E591" s="3"/>
      <c r="F591" s="3"/>
      <c r="G591" s="248"/>
      <c r="H591" s="1341"/>
      <c r="I591" s="1363">
        <f>IF(I$321&gt;0, IF(J$321=0, 'RFM input'!$G421, 0), 0)</f>
        <v>0</v>
      </c>
      <c r="J591" s="1363">
        <f>IF(J$321&gt;0, IF(K$321=0, 'RFM input'!$G421, 0), 0)</f>
        <v>0</v>
      </c>
      <c r="K591" s="1363">
        <f>IF(K$321&gt;0, IF(L$321=0, 'RFM input'!$G421, 0), 0)</f>
        <v>0</v>
      </c>
      <c r="L591" s="1363">
        <f>IF(L$321&gt;0, IF(M$321=0, 'RFM input'!$G421, 0), 0)</f>
        <v>0</v>
      </c>
      <c r="M591" s="1363">
        <f>IF(M$321&gt;0, IF(N$321=0, 'RFM input'!$G421, 0), 0)</f>
        <v>0</v>
      </c>
      <c r="N591" s="1363">
        <f>IF(N$321&gt;0, IF(O$321=0, 'RFM input'!$G421, 0), 0)</f>
        <v>0</v>
      </c>
      <c r="O591" s="1363">
        <f>IF(O$321&gt;0, IF(P$321=0, 'RFM input'!$G421, 0), 0)</f>
        <v>0</v>
      </c>
      <c r="P591" s="1363">
        <f>IF(P$321&gt;0, IF(Q$321=0, 'RFM input'!$G421, 0), 0)</f>
        <v>0</v>
      </c>
      <c r="Q591" s="1363">
        <f>IF(Q$321&gt;0, IF(R$321=0, 'RFM input'!$G421, 0), 0)</f>
        <v>0</v>
      </c>
      <c r="R591" s="248"/>
      <c r="S591" s="3"/>
      <c r="T591" s="3"/>
      <c r="U591" s="3"/>
      <c r="V591" s="3"/>
      <c r="W591" s="3"/>
      <c r="X591" s="3"/>
      <c r="Y591" s="3"/>
      <c r="Z591" s="3"/>
      <c r="AA591" s="152"/>
    </row>
    <row r="592" spans="1:27" hidden="1" outlineLevel="1">
      <c r="A592" s="3"/>
      <c r="B592" s="3"/>
      <c r="C592" s="152"/>
      <c r="D592" s="229">
        <f>Asset11</f>
        <v>0</v>
      </c>
      <c r="E592" s="3"/>
      <c r="F592" s="3"/>
      <c r="G592" s="248"/>
      <c r="H592" s="1341"/>
      <c r="I592" s="1363">
        <f>IF(I$321&gt;0, IF(J$321=0, 'RFM input'!$G422, 0), 0)</f>
        <v>0</v>
      </c>
      <c r="J592" s="1363">
        <f>IF(J$321&gt;0, IF(K$321=0, 'RFM input'!$G422, 0), 0)</f>
        <v>0</v>
      </c>
      <c r="K592" s="1363">
        <f>IF(K$321&gt;0, IF(L$321=0, 'RFM input'!$G422, 0), 0)</f>
        <v>0</v>
      </c>
      <c r="L592" s="1363">
        <f>IF(L$321&gt;0, IF(M$321=0, 'RFM input'!$G422, 0), 0)</f>
        <v>0</v>
      </c>
      <c r="M592" s="1363">
        <f>IF(M$321&gt;0, IF(N$321=0, 'RFM input'!$G422, 0), 0)</f>
        <v>0</v>
      </c>
      <c r="N592" s="1363">
        <f>IF(N$321&gt;0, IF(O$321=0, 'RFM input'!$G422, 0), 0)</f>
        <v>0</v>
      </c>
      <c r="O592" s="1363">
        <f>IF(O$321&gt;0, IF(P$321=0, 'RFM input'!$G422, 0), 0)</f>
        <v>0</v>
      </c>
      <c r="P592" s="1363">
        <f>IF(P$321&gt;0, IF(Q$321=0, 'RFM input'!$G422, 0), 0)</f>
        <v>0</v>
      </c>
      <c r="Q592" s="1363">
        <f>IF(Q$321&gt;0, IF(R$321=0, 'RFM input'!$G422, 0), 0)</f>
        <v>0</v>
      </c>
      <c r="R592" s="248"/>
      <c r="S592" s="3"/>
      <c r="T592" s="3"/>
      <c r="U592" s="3"/>
      <c r="V592" s="3"/>
      <c r="W592" s="3"/>
      <c r="X592" s="3"/>
      <c r="Y592" s="3"/>
      <c r="Z592" s="3"/>
      <c r="AA592" s="152"/>
    </row>
    <row r="593" spans="1:27" hidden="1" outlineLevel="1">
      <c r="A593" s="3"/>
      <c r="B593" s="3"/>
      <c r="C593" s="152"/>
      <c r="D593" s="229">
        <f>Asset12</f>
        <v>0</v>
      </c>
      <c r="E593" s="3"/>
      <c r="F593" s="3"/>
      <c r="G593" s="248"/>
      <c r="H593" s="1341"/>
      <c r="I593" s="1363">
        <f>IF(I$321&gt;0, IF(J$321=0, 'RFM input'!$G423, 0), 0)</f>
        <v>0</v>
      </c>
      <c r="J593" s="1363">
        <f>IF(J$321&gt;0, IF(K$321=0, 'RFM input'!$G423, 0), 0)</f>
        <v>0</v>
      </c>
      <c r="K593" s="1363">
        <f>IF(K$321&gt;0, IF(L$321=0, 'RFM input'!$G423, 0), 0)</f>
        <v>0</v>
      </c>
      <c r="L593" s="1363">
        <f>IF(L$321&gt;0, IF(M$321=0, 'RFM input'!$G423, 0), 0)</f>
        <v>0</v>
      </c>
      <c r="M593" s="1363">
        <f>IF(M$321&gt;0, IF(N$321=0, 'RFM input'!$G423, 0), 0)</f>
        <v>0</v>
      </c>
      <c r="N593" s="1363">
        <f>IF(N$321&gt;0, IF(O$321=0, 'RFM input'!$G423, 0), 0)</f>
        <v>0</v>
      </c>
      <c r="O593" s="1363">
        <f>IF(O$321&gt;0, IF(P$321=0, 'RFM input'!$G423, 0), 0)</f>
        <v>0</v>
      </c>
      <c r="P593" s="1363">
        <f>IF(P$321&gt;0, IF(Q$321=0, 'RFM input'!$G423, 0), 0)</f>
        <v>0</v>
      </c>
      <c r="Q593" s="1363">
        <f>IF(Q$321&gt;0, IF(R$321=0, 'RFM input'!$G423, 0), 0)</f>
        <v>0</v>
      </c>
      <c r="R593" s="248"/>
      <c r="S593" s="3"/>
      <c r="T593" s="3"/>
      <c r="U593" s="3"/>
      <c r="V593" s="3"/>
      <c r="W593" s="3"/>
      <c r="X593" s="3"/>
      <c r="Y593" s="3"/>
      <c r="Z593" s="3"/>
      <c r="AA593" s="152"/>
    </row>
    <row r="594" spans="1:27" hidden="1" outlineLevel="1">
      <c r="A594" s="3"/>
      <c r="B594" s="3"/>
      <c r="C594" s="152"/>
      <c r="D594" s="229">
        <f>Asset13</f>
        <v>0</v>
      </c>
      <c r="E594" s="3"/>
      <c r="F594" s="3"/>
      <c r="G594" s="248"/>
      <c r="H594" s="1341"/>
      <c r="I594" s="1363">
        <f>IF(I$321&gt;0, IF(J$321=0, 'RFM input'!$G424, 0), 0)</f>
        <v>0</v>
      </c>
      <c r="J594" s="1363">
        <f>IF(J$321&gt;0, IF(K$321=0, 'RFM input'!$G424, 0), 0)</f>
        <v>0</v>
      </c>
      <c r="K594" s="1363">
        <f>IF(K$321&gt;0, IF(L$321=0, 'RFM input'!$G424, 0), 0)</f>
        <v>0</v>
      </c>
      <c r="L594" s="1363">
        <f>IF(L$321&gt;0, IF(M$321=0, 'RFM input'!$G424, 0), 0)</f>
        <v>0</v>
      </c>
      <c r="M594" s="1363">
        <f>IF(M$321&gt;0, IF(N$321=0, 'RFM input'!$G424, 0), 0)</f>
        <v>0</v>
      </c>
      <c r="N594" s="1363">
        <f>IF(N$321&gt;0, IF(O$321=0, 'RFM input'!$G424, 0), 0)</f>
        <v>0</v>
      </c>
      <c r="O594" s="1363">
        <f>IF(O$321&gt;0, IF(P$321=0, 'RFM input'!$G424, 0), 0)</f>
        <v>0</v>
      </c>
      <c r="P594" s="1363">
        <f>IF(P$321&gt;0, IF(Q$321=0, 'RFM input'!$G424, 0), 0)</f>
        <v>0</v>
      </c>
      <c r="Q594" s="1363">
        <f>IF(Q$321&gt;0, IF(R$321=0, 'RFM input'!$G424, 0), 0)</f>
        <v>0</v>
      </c>
      <c r="R594" s="248"/>
      <c r="S594" s="3"/>
      <c r="T594" s="3"/>
      <c r="U594" s="3"/>
      <c r="V594" s="3"/>
      <c r="W594" s="3"/>
      <c r="X594" s="3"/>
      <c r="Y594" s="3"/>
      <c r="Z594" s="3"/>
      <c r="AA594" s="152"/>
    </row>
    <row r="595" spans="1:27" hidden="1" outlineLevel="1">
      <c r="A595" s="3"/>
      <c r="B595" s="3"/>
      <c r="C595" s="152"/>
      <c r="D595" s="229">
        <f>Asset14</f>
        <v>0</v>
      </c>
      <c r="E595" s="3"/>
      <c r="F595" s="3"/>
      <c r="G595" s="248"/>
      <c r="H595" s="1341"/>
      <c r="I595" s="1363">
        <f>IF(I$321&gt;0, IF(J$321=0, 'RFM input'!$G425, 0), 0)</f>
        <v>0</v>
      </c>
      <c r="J595" s="1363">
        <f>IF(J$321&gt;0, IF(K$321=0, 'RFM input'!$G425, 0), 0)</f>
        <v>0</v>
      </c>
      <c r="K595" s="1363">
        <f>IF(K$321&gt;0, IF(L$321=0, 'RFM input'!$G425, 0), 0)</f>
        <v>0</v>
      </c>
      <c r="L595" s="1363">
        <f>IF(L$321&gt;0, IF(M$321=0, 'RFM input'!$G425, 0), 0)</f>
        <v>0</v>
      </c>
      <c r="M595" s="1363">
        <f>IF(M$321&gt;0, IF(N$321=0, 'RFM input'!$G425, 0), 0)</f>
        <v>0</v>
      </c>
      <c r="N595" s="1363">
        <f>IF(N$321&gt;0, IF(O$321=0, 'RFM input'!$G425, 0), 0)</f>
        <v>0</v>
      </c>
      <c r="O595" s="1363">
        <f>IF(O$321&gt;0, IF(P$321=0, 'RFM input'!$G425, 0), 0)</f>
        <v>0</v>
      </c>
      <c r="P595" s="1363">
        <f>IF(P$321&gt;0, IF(Q$321=0, 'RFM input'!$G425, 0), 0)</f>
        <v>0</v>
      </c>
      <c r="Q595" s="1363">
        <f>IF(Q$321&gt;0, IF(R$321=0, 'RFM input'!$G425, 0), 0)</f>
        <v>0</v>
      </c>
      <c r="R595" s="248"/>
      <c r="S595" s="3"/>
      <c r="T595" s="3"/>
      <c r="U595" s="3"/>
      <c r="V595" s="3"/>
      <c r="W595" s="3"/>
      <c r="X595" s="3"/>
      <c r="Y595" s="3"/>
      <c r="Z595" s="3"/>
      <c r="AA595" s="152"/>
    </row>
    <row r="596" spans="1:27" hidden="1" outlineLevel="1">
      <c r="A596" s="3"/>
      <c r="B596" s="3"/>
      <c r="C596" s="152"/>
      <c r="D596" s="229">
        <f>Asset15</f>
        <v>0</v>
      </c>
      <c r="E596" s="3"/>
      <c r="F596" s="3"/>
      <c r="G596" s="248"/>
      <c r="H596" s="1341"/>
      <c r="I596" s="1363">
        <f>IF(I$321&gt;0, IF(J$321=0, 'RFM input'!$G426, 0), 0)</f>
        <v>0</v>
      </c>
      <c r="J596" s="1363">
        <f>IF(J$321&gt;0, IF(K$321=0, 'RFM input'!$G426, 0), 0)</f>
        <v>0</v>
      </c>
      <c r="K596" s="1363">
        <f>IF(K$321&gt;0, IF(L$321=0, 'RFM input'!$G426, 0), 0)</f>
        <v>0</v>
      </c>
      <c r="L596" s="1363">
        <f>IF(L$321&gt;0, IF(M$321=0, 'RFM input'!$G426, 0), 0)</f>
        <v>0</v>
      </c>
      <c r="M596" s="1363">
        <f>IF(M$321&gt;0, IF(N$321=0, 'RFM input'!$G426, 0), 0)</f>
        <v>0</v>
      </c>
      <c r="N596" s="1363">
        <f>IF(N$321&gt;0, IF(O$321=0, 'RFM input'!$G426, 0), 0)</f>
        <v>0</v>
      </c>
      <c r="O596" s="1363">
        <f>IF(O$321&gt;0, IF(P$321=0, 'RFM input'!$G426, 0), 0)</f>
        <v>0</v>
      </c>
      <c r="P596" s="1363">
        <f>IF(P$321&gt;0, IF(Q$321=0, 'RFM input'!$G426, 0), 0)</f>
        <v>0</v>
      </c>
      <c r="Q596" s="1363">
        <f>IF(Q$321&gt;0, IF(R$321=0, 'RFM input'!$G426, 0), 0)</f>
        <v>0</v>
      </c>
      <c r="R596" s="248"/>
      <c r="S596" s="3"/>
      <c r="T596" s="3"/>
      <c r="U596" s="3"/>
      <c r="V596" s="3"/>
      <c r="W596" s="3"/>
      <c r="X596" s="3"/>
      <c r="Y596" s="3"/>
      <c r="Z596" s="3"/>
      <c r="AA596" s="152"/>
    </row>
    <row r="597" spans="1:27" hidden="1" outlineLevel="1">
      <c r="A597" s="3"/>
      <c r="B597" s="3"/>
      <c r="C597" s="152"/>
      <c r="D597" s="229">
        <f>Asset16</f>
        <v>0</v>
      </c>
      <c r="E597" s="3"/>
      <c r="F597" s="3"/>
      <c r="G597" s="248"/>
      <c r="H597" s="1341"/>
      <c r="I597" s="1363">
        <f>IF(I$321&gt;0, IF(J$321=0, 'RFM input'!$G427, 0), 0)</f>
        <v>0</v>
      </c>
      <c r="J597" s="1363">
        <f>IF(J$321&gt;0, IF(K$321=0, 'RFM input'!$G427, 0), 0)</f>
        <v>0</v>
      </c>
      <c r="K597" s="1363">
        <f>IF(K$321&gt;0, IF(L$321=0, 'RFM input'!$G427, 0), 0)</f>
        <v>0</v>
      </c>
      <c r="L597" s="1363">
        <f>IF(L$321&gt;0, IF(M$321=0, 'RFM input'!$G427, 0), 0)</f>
        <v>0</v>
      </c>
      <c r="M597" s="1363">
        <f>IF(M$321&gt;0, IF(N$321=0, 'RFM input'!$G427, 0), 0)</f>
        <v>0</v>
      </c>
      <c r="N597" s="1363">
        <f>IF(N$321&gt;0, IF(O$321=0, 'RFM input'!$G427, 0), 0)</f>
        <v>0</v>
      </c>
      <c r="O597" s="1363">
        <f>IF(O$321&gt;0, IF(P$321=0, 'RFM input'!$G427, 0), 0)</f>
        <v>0</v>
      </c>
      <c r="P597" s="1363">
        <f>IF(P$321&gt;0, IF(Q$321=0, 'RFM input'!$G427, 0), 0)</f>
        <v>0</v>
      </c>
      <c r="Q597" s="1363">
        <f>IF(Q$321&gt;0, IF(R$321=0, 'RFM input'!$G427, 0), 0)</f>
        <v>0</v>
      </c>
      <c r="R597" s="248"/>
      <c r="S597" s="3"/>
      <c r="T597" s="3"/>
      <c r="U597" s="3"/>
      <c r="V597" s="3"/>
      <c r="W597" s="3"/>
      <c r="X597" s="3"/>
      <c r="Y597" s="3"/>
      <c r="Z597" s="3"/>
      <c r="AA597" s="152"/>
    </row>
    <row r="598" spans="1:27" hidden="1" outlineLevel="1">
      <c r="A598" s="3"/>
      <c r="B598" s="3"/>
      <c r="C598" s="152"/>
      <c r="D598" s="229">
        <f>Asset17</f>
        <v>0</v>
      </c>
      <c r="E598" s="3"/>
      <c r="F598" s="3"/>
      <c r="G598" s="248"/>
      <c r="H598" s="1341"/>
      <c r="I598" s="1363">
        <f>IF(I$321&gt;0, IF(J$321=0, 'RFM input'!$G428, 0), 0)</f>
        <v>0</v>
      </c>
      <c r="J598" s="1363">
        <f>IF(J$321&gt;0, IF(K$321=0, 'RFM input'!$G428, 0), 0)</f>
        <v>0</v>
      </c>
      <c r="K598" s="1363">
        <f>IF(K$321&gt;0, IF(L$321=0, 'RFM input'!$G428, 0), 0)</f>
        <v>0</v>
      </c>
      <c r="L598" s="1363">
        <f>IF(L$321&gt;0, IF(M$321=0, 'RFM input'!$G428, 0), 0)</f>
        <v>0</v>
      </c>
      <c r="M598" s="1363">
        <f>IF(M$321&gt;0, IF(N$321=0, 'RFM input'!$G428, 0), 0)</f>
        <v>0</v>
      </c>
      <c r="N598" s="1363">
        <f>IF(N$321&gt;0, IF(O$321=0, 'RFM input'!$G428, 0), 0)</f>
        <v>0</v>
      </c>
      <c r="O598" s="1363">
        <f>IF(O$321&gt;0, IF(P$321=0, 'RFM input'!$G428, 0), 0)</f>
        <v>0</v>
      </c>
      <c r="P598" s="1363">
        <f>IF(P$321&gt;0, IF(Q$321=0, 'RFM input'!$G428, 0), 0)</f>
        <v>0</v>
      </c>
      <c r="Q598" s="1363">
        <f>IF(Q$321&gt;0, IF(R$321=0, 'RFM input'!$G428, 0), 0)</f>
        <v>0</v>
      </c>
      <c r="R598" s="248"/>
      <c r="S598" s="3"/>
      <c r="T598" s="3"/>
      <c r="U598" s="3"/>
      <c r="V598" s="3"/>
      <c r="W598" s="3"/>
      <c r="X598" s="3"/>
      <c r="Y598" s="3"/>
      <c r="Z598" s="3"/>
      <c r="AA598" s="152"/>
    </row>
    <row r="599" spans="1:27" hidden="1" outlineLevel="1">
      <c r="A599" s="3"/>
      <c r="B599" s="3"/>
      <c r="C599" s="152"/>
      <c r="D599" s="229">
        <f>Asset18</f>
        <v>0</v>
      </c>
      <c r="E599" s="3"/>
      <c r="F599" s="3"/>
      <c r="G599" s="248"/>
      <c r="H599" s="1341"/>
      <c r="I599" s="1363">
        <f>IF(I$321&gt;0, IF(J$321=0, 'RFM input'!$G429, 0), 0)</f>
        <v>0</v>
      </c>
      <c r="J599" s="1363">
        <f>IF(J$321&gt;0, IF(K$321=0, 'RFM input'!$G429, 0), 0)</f>
        <v>0</v>
      </c>
      <c r="K599" s="1363">
        <f>IF(K$321&gt;0, IF(L$321=0, 'RFM input'!$G429, 0), 0)</f>
        <v>0</v>
      </c>
      <c r="L599" s="1363">
        <f>IF(L$321&gt;0, IF(M$321=0, 'RFM input'!$G429, 0), 0)</f>
        <v>0</v>
      </c>
      <c r="M599" s="1363">
        <f>IF(M$321&gt;0, IF(N$321=0, 'RFM input'!$G429, 0), 0)</f>
        <v>0</v>
      </c>
      <c r="N599" s="1363">
        <f>IF(N$321&gt;0, IF(O$321=0, 'RFM input'!$G429, 0), 0)</f>
        <v>0</v>
      </c>
      <c r="O599" s="1363">
        <f>IF(O$321&gt;0, IF(P$321=0, 'RFM input'!$G429, 0), 0)</f>
        <v>0</v>
      </c>
      <c r="P599" s="1363">
        <f>IF(P$321&gt;0, IF(Q$321=0, 'RFM input'!$G429, 0), 0)</f>
        <v>0</v>
      </c>
      <c r="Q599" s="1363">
        <f>IF(Q$321&gt;0, IF(R$321=0, 'RFM input'!$G429, 0), 0)</f>
        <v>0</v>
      </c>
      <c r="R599" s="248"/>
      <c r="S599" s="3"/>
      <c r="T599" s="3"/>
      <c r="U599" s="3"/>
      <c r="V599" s="3"/>
      <c r="W599" s="3"/>
      <c r="X599" s="3"/>
      <c r="Y599" s="3"/>
      <c r="Z599" s="3"/>
      <c r="AA599" s="152"/>
    </row>
    <row r="600" spans="1:27" hidden="1" outlineLevel="1">
      <c r="A600" s="3"/>
      <c r="B600" s="3"/>
      <c r="C600" s="152"/>
      <c r="D600" s="229">
        <f>Asset19</f>
        <v>0</v>
      </c>
      <c r="E600" s="3"/>
      <c r="F600" s="3"/>
      <c r="G600" s="248"/>
      <c r="H600" s="1341"/>
      <c r="I600" s="1363">
        <f>IF(I$321&gt;0, IF(J$321=0, 'RFM input'!$G430, 0), 0)</f>
        <v>0</v>
      </c>
      <c r="J600" s="1363">
        <f>IF(J$321&gt;0, IF(K$321=0, 'RFM input'!$G430, 0), 0)</f>
        <v>0</v>
      </c>
      <c r="K600" s="1363">
        <f>IF(K$321&gt;0, IF(L$321=0, 'RFM input'!$G430, 0), 0)</f>
        <v>0</v>
      </c>
      <c r="L600" s="1363">
        <f>IF(L$321&gt;0, IF(M$321=0, 'RFM input'!$G430, 0), 0)</f>
        <v>0</v>
      </c>
      <c r="M600" s="1363">
        <f>IF(M$321&gt;0, IF(N$321=0, 'RFM input'!$G430, 0), 0)</f>
        <v>0</v>
      </c>
      <c r="N600" s="1363">
        <f>IF(N$321&gt;0, IF(O$321=0, 'RFM input'!$G430, 0), 0)</f>
        <v>0</v>
      </c>
      <c r="O600" s="1363">
        <f>IF(O$321&gt;0, IF(P$321=0, 'RFM input'!$G430, 0), 0)</f>
        <v>0</v>
      </c>
      <c r="P600" s="1363">
        <f>IF(P$321&gt;0, IF(Q$321=0, 'RFM input'!$G430, 0), 0)</f>
        <v>0</v>
      </c>
      <c r="Q600" s="1363">
        <f>IF(Q$321&gt;0, IF(R$321=0, 'RFM input'!$G430, 0), 0)</f>
        <v>0</v>
      </c>
      <c r="R600" s="248"/>
      <c r="S600" s="3"/>
      <c r="T600" s="3"/>
      <c r="U600" s="3"/>
      <c r="V600" s="3"/>
      <c r="W600" s="3"/>
      <c r="X600" s="3"/>
      <c r="Y600" s="3"/>
      <c r="Z600" s="3"/>
      <c r="AA600" s="152"/>
    </row>
    <row r="601" spans="1:27" hidden="1" outlineLevel="1">
      <c r="A601" s="3"/>
      <c r="B601" s="3"/>
      <c r="C601" s="152"/>
      <c r="D601" s="229">
        <f>Asset20</f>
        <v>0</v>
      </c>
      <c r="E601" s="3"/>
      <c r="F601" s="3"/>
      <c r="G601" s="248"/>
      <c r="H601" s="1341"/>
      <c r="I601" s="1363">
        <f>IF(I$321&gt;0, IF(J$321=0, 'RFM input'!$G431, 0), 0)</f>
        <v>0</v>
      </c>
      <c r="J601" s="1363">
        <f>IF(J$321&gt;0, IF(K$321=0, 'RFM input'!$G431, 0), 0)</f>
        <v>0</v>
      </c>
      <c r="K601" s="1363">
        <f>IF(K$321&gt;0, IF(L$321=0, 'RFM input'!$G431, 0), 0)</f>
        <v>0</v>
      </c>
      <c r="L601" s="1363">
        <f>IF(L$321&gt;0, IF(M$321=0, 'RFM input'!$G431, 0), 0)</f>
        <v>0</v>
      </c>
      <c r="M601" s="1363">
        <f>IF(M$321&gt;0, IF(N$321=0, 'RFM input'!$G431, 0), 0)</f>
        <v>0</v>
      </c>
      <c r="N601" s="1363">
        <f>IF(N$321&gt;0, IF(O$321=0, 'RFM input'!$G431, 0), 0)</f>
        <v>0</v>
      </c>
      <c r="O601" s="1363">
        <f>IF(O$321&gt;0, IF(P$321=0, 'RFM input'!$G431, 0), 0)</f>
        <v>0</v>
      </c>
      <c r="P601" s="1363">
        <f>IF(P$321&gt;0, IF(Q$321=0, 'RFM input'!$G431, 0), 0)</f>
        <v>0</v>
      </c>
      <c r="Q601" s="1363">
        <f>IF(Q$321&gt;0, IF(R$321=0, 'RFM input'!$G431, 0), 0)</f>
        <v>0</v>
      </c>
      <c r="R601" s="248"/>
      <c r="S601" s="3"/>
      <c r="T601" s="3"/>
      <c r="U601" s="3"/>
      <c r="V601" s="3"/>
      <c r="W601" s="3"/>
      <c r="X601" s="3"/>
      <c r="Y601" s="3"/>
      <c r="Z601" s="3"/>
      <c r="AA601" s="152"/>
    </row>
    <row r="602" spans="1:27" hidden="1" outlineLevel="1">
      <c r="A602" s="3"/>
      <c r="B602" s="3"/>
      <c r="C602" s="152"/>
      <c r="D602" s="229">
        <f>Asset21</f>
        <v>0</v>
      </c>
      <c r="E602" s="3"/>
      <c r="F602" s="3"/>
      <c r="G602" s="248"/>
      <c r="H602" s="1341"/>
      <c r="I602" s="1363">
        <f>IF(I$321&gt;0, IF(J$321=0, 'RFM input'!$G432, 0), 0)</f>
        <v>0</v>
      </c>
      <c r="J602" s="1363">
        <f>IF(J$321&gt;0, IF(K$321=0, 'RFM input'!$G432, 0), 0)</f>
        <v>0</v>
      </c>
      <c r="K602" s="1363">
        <f>IF(K$321&gt;0, IF(L$321=0, 'RFM input'!$G432, 0), 0)</f>
        <v>0</v>
      </c>
      <c r="L602" s="1363">
        <f>IF(L$321&gt;0, IF(M$321=0, 'RFM input'!$G432, 0), 0)</f>
        <v>0</v>
      </c>
      <c r="M602" s="1363">
        <f>IF(M$321&gt;0, IF(N$321=0, 'RFM input'!$G432, 0), 0)</f>
        <v>0</v>
      </c>
      <c r="N602" s="1363">
        <f>IF(N$321&gt;0, IF(O$321=0, 'RFM input'!$G432, 0), 0)</f>
        <v>0</v>
      </c>
      <c r="O602" s="1363">
        <f>IF(O$321&gt;0, IF(P$321=0, 'RFM input'!$G432, 0), 0)</f>
        <v>0</v>
      </c>
      <c r="P602" s="1363">
        <f>IF(P$321&gt;0, IF(Q$321=0, 'RFM input'!$G432, 0), 0)</f>
        <v>0</v>
      </c>
      <c r="Q602" s="1363">
        <f>IF(Q$321&gt;0, IF(R$321=0, 'RFM input'!$G432, 0), 0)</f>
        <v>0</v>
      </c>
      <c r="R602" s="248"/>
      <c r="S602" s="3"/>
      <c r="T602" s="3"/>
      <c r="U602" s="3"/>
      <c r="V602" s="3"/>
      <c r="W602" s="3"/>
      <c r="X602" s="3"/>
      <c r="Y602" s="3"/>
      <c r="Z602" s="3"/>
      <c r="AA602" s="152"/>
    </row>
    <row r="603" spans="1:27" hidden="1" outlineLevel="1">
      <c r="A603" s="3"/>
      <c r="B603" s="3"/>
      <c r="C603" s="152"/>
      <c r="D603" s="229">
        <f>Asset22</f>
        <v>0</v>
      </c>
      <c r="E603" s="3"/>
      <c r="F603" s="3"/>
      <c r="G603" s="248"/>
      <c r="H603" s="1341"/>
      <c r="I603" s="1363">
        <f>IF(I$321&gt;0, IF(J$321=0, 'RFM input'!$G433, 0), 0)</f>
        <v>0</v>
      </c>
      <c r="J603" s="1363">
        <f>IF(J$321&gt;0, IF(K$321=0, 'RFM input'!$G433, 0), 0)</f>
        <v>0</v>
      </c>
      <c r="K603" s="1363">
        <f>IF(K$321&gt;0, IF(L$321=0, 'RFM input'!$G433, 0), 0)</f>
        <v>0</v>
      </c>
      <c r="L603" s="1363">
        <f>IF(L$321&gt;0, IF(M$321=0, 'RFM input'!$G433, 0), 0)</f>
        <v>0</v>
      </c>
      <c r="M603" s="1363">
        <f>IF(M$321&gt;0, IF(N$321=0, 'RFM input'!$G433, 0), 0)</f>
        <v>0</v>
      </c>
      <c r="N603" s="1363">
        <f>IF(N$321&gt;0, IF(O$321=0, 'RFM input'!$G433, 0), 0)</f>
        <v>0</v>
      </c>
      <c r="O603" s="1363">
        <f>IF(O$321&gt;0, IF(P$321=0, 'RFM input'!$G433, 0), 0)</f>
        <v>0</v>
      </c>
      <c r="P603" s="1363">
        <f>IF(P$321&gt;0, IF(Q$321=0, 'RFM input'!$G433, 0), 0)</f>
        <v>0</v>
      </c>
      <c r="Q603" s="1363">
        <f>IF(Q$321&gt;0, IF(R$321=0, 'RFM input'!$G433, 0), 0)</f>
        <v>0</v>
      </c>
      <c r="R603" s="248"/>
      <c r="S603" s="3"/>
      <c r="T603" s="3"/>
      <c r="U603" s="3"/>
      <c r="V603" s="3"/>
      <c r="W603" s="3"/>
      <c r="X603" s="3"/>
      <c r="Y603" s="3"/>
      <c r="Z603" s="3"/>
      <c r="AA603" s="152"/>
    </row>
    <row r="604" spans="1:27" hidden="1" outlineLevel="1">
      <c r="A604" s="3"/>
      <c r="B604" s="3"/>
      <c r="C604" s="152"/>
      <c r="D604" s="229">
        <f>Asset23</f>
        <v>0</v>
      </c>
      <c r="E604" s="3"/>
      <c r="F604" s="3"/>
      <c r="G604" s="248"/>
      <c r="H604" s="1341"/>
      <c r="I604" s="1363">
        <f>IF(I$321&gt;0, IF(J$321=0, 'RFM input'!$G434, 0), 0)</f>
        <v>0</v>
      </c>
      <c r="J604" s="1363">
        <f>IF(J$321&gt;0, IF(K$321=0, 'RFM input'!$G434, 0), 0)</f>
        <v>0</v>
      </c>
      <c r="K604" s="1363">
        <f>IF(K$321&gt;0, IF(L$321=0, 'RFM input'!$G434, 0), 0)</f>
        <v>0</v>
      </c>
      <c r="L604" s="1363">
        <f>IF(L$321&gt;0, IF(M$321=0, 'RFM input'!$G434, 0), 0)</f>
        <v>0</v>
      </c>
      <c r="M604" s="1363">
        <f>IF(M$321&gt;0, IF(N$321=0, 'RFM input'!$G434, 0), 0)</f>
        <v>0</v>
      </c>
      <c r="N604" s="1363">
        <f>IF(N$321&gt;0, IF(O$321=0, 'RFM input'!$G434, 0), 0)</f>
        <v>0</v>
      </c>
      <c r="O604" s="1363">
        <f>IF(O$321&gt;0, IF(P$321=0, 'RFM input'!$G434, 0), 0)</f>
        <v>0</v>
      </c>
      <c r="P604" s="1363">
        <f>IF(P$321&gt;0, IF(Q$321=0, 'RFM input'!$G434, 0), 0)</f>
        <v>0</v>
      </c>
      <c r="Q604" s="1363">
        <f>IF(Q$321&gt;0, IF(R$321=0, 'RFM input'!$G434, 0), 0)</f>
        <v>0</v>
      </c>
      <c r="R604" s="248"/>
      <c r="S604" s="3"/>
      <c r="T604" s="3"/>
      <c r="U604" s="3"/>
      <c r="V604" s="3"/>
      <c r="W604" s="3"/>
      <c r="X604" s="3"/>
      <c r="Y604" s="3"/>
      <c r="Z604" s="3"/>
      <c r="AA604" s="152"/>
    </row>
    <row r="605" spans="1:27" hidden="1" outlineLevel="1">
      <c r="A605" s="3"/>
      <c r="B605" s="3"/>
      <c r="C605" s="152"/>
      <c r="D605" s="229">
        <f>Asset24</f>
        <v>0</v>
      </c>
      <c r="E605" s="3"/>
      <c r="F605" s="3"/>
      <c r="G605" s="248"/>
      <c r="H605" s="1341"/>
      <c r="I605" s="1363">
        <f>IF(I$321&gt;0, IF(J$321=0, 'RFM input'!$G435, 0), 0)</f>
        <v>0</v>
      </c>
      <c r="J605" s="1363">
        <f>IF(J$321&gt;0, IF(K$321=0, 'RFM input'!$G435, 0), 0)</f>
        <v>0</v>
      </c>
      <c r="K605" s="1363">
        <f>IF(K$321&gt;0, IF(L$321=0, 'RFM input'!$G435, 0), 0)</f>
        <v>0</v>
      </c>
      <c r="L605" s="1363">
        <f>IF(L$321&gt;0, IF(M$321=0, 'RFM input'!$G435, 0), 0)</f>
        <v>0</v>
      </c>
      <c r="M605" s="1363">
        <f>IF(M$321&gt;0, IF(N$321=0, 'RFM input'!$G435, 0), 0)</f>
        <v>0</v>
      </c>
      <c r="N605" s="1363">
        <f>IF(N$321&gt;0, IF(O$321=0, 'RFM input'!$G435, 0), 0)</f>
        <v>0</v>
      </c>
      <c r="O605" s="1363">
        <f>IF(O$321&gt;0, IF(P$321=0, 'RFM input'!$G435, 0), 0)</f>
        <v>0</v>
      </c>
      <c r="P605" s="1363">
        <f>IF(P$321&gt;0, IF(Q$321=0, 'RFM input'!$G435, 0), 0)</f>
        <v>0</v>
      </c>
      <c r="Q605" s="1363">
        <f>IF(Q$321&gt;0, IF(R$321=0, 'RFM input'!$G435, 0), 0)</f>
        <v>0</v>
      </c>
      <c r="R605" s="248"/>
      <c r="S605" s="3"/>
      <c r="T605" s="3"/>
      <c r="U605" s="3"/>
      <c r="V605" s="3"/>
      <c r="W605" s="3"/>
      <c r="X605" s="3"/>
      <c r="Y605" s="3"/>
      <c r="Z605" s="3"/>
      <c r="AA605" s="152"/>
    </row>
    <row r="606" spans="1:27" hidden="1" outlineLevel="1">
      <c r="A606" s="3"/>
      <c r="B606" s="3"/>
      <c r="C606" s="152"/>
      <c r="D606" s="229">
        <f>Asset25</f>
        <v>0</v>
      </c>
      <c r="E606" s="3"/>
      <c r="F606" s="3"/>
      <c r="G606" s="248"/>
      <c r="H606" s="1341"/>
      <c r="I606" s="1363">
        <f>IF(I$321&gt;0, IF(J$321=0, 'RFM input'!$G436, 0), 0)</f>
        <v>0</v>
      </c>
      <c r="J606" s="1363">
        <f>IF(J$321&gt;0, IF(K$321=0, 'RFM input'!$G436, 0), 0)</f>
        <v>0</v>
      </c>
      <c r="K606" s="1363">
        <f>IF(K$321&gt;0, IF(L$321=0, 'RFM input'!$G436, 0), 0)</f>
        <v>0</v>
      </c>
      <c r="L606" s="1363">
        <f>IF(L$321&gt;0, IF(M$321=0, 'RFM input'!$G436, 0), 0)</f>
        <v>0</v>
      </c>
      <c r="M606" s="1363">
        <f>IF(M$321&gt;0, IF(N$321=0, 'RFM input'!$G436, 0), 0)</f>
        <v>0</v>
      </c>
      <c r="N606" s="1363">
        <f>IF(N$321&gt;0, IF(O$321=0, 'RFM input'!$G436, 0), 0)</f>
        <v>0</v>
      </c>
      <c r="O606" s="1363">
        <f>IF(O$321&gt;0, IF(P$321=0, 'RFM input'!$G436, 0), 0)</f>
        <v>0</v>
      </c>
      <c r="P606" s="1363">
        <f>IF(P$321&gt;0, IF(Q$321=0, 'RFM input'!$G436, 0), 0)</f>
        <v>0</v>
      </c>
      <c r="Q606" s="1363">
        <f>IF(Q$321&gt;0, IF(R$321=0, 'RFM input'!$G436, 0), 0)</f>
        <v>0</v>
      </c>
      <c r="R606" s="248"/>
      <c r="S606" s="3"/>
      <c r="T606" s="3"/>
      <c r="U606" s="3"/>
      <c r="V606" s="3"/>
      <c r="W606" s="3"/>
      <c r="X606" s="3"/>
      <c r="Y606" s="3"/>
      <c r="Z606" s="3"/>
      <c r="AA606" s="152"/>
    </row>
    <row r="607" spans="1:27" hidden="1" outlineLevel="1">
      <c r="A607" s="3"/>
      <c r="B607" s="3"/>
      <c r="C607" s="152"/>
      <c r="D607" s="229">
        <f>Asset26</f>
        <v>0</v>
      </c>
      <c r="E607" s="3"/>
      <c r="F607" s="3"/>
      <c r="G607" s="248"/>
      <c r="H607" s="1341"/>
      <c r="I607" s="1363">
        <f>IF(I$321&gt;0, IF(J$321=0, 'RFM input'!$G437, 0), 0)</f>
        <v>0</v>
      </c>
      <c r="J607" s="1363">
        <f>IF(J$321&gt;0, IF(K$321=0, 'RFM input'!$G437, 0), 0)</f>
        <v>0</v>
      </c>
      <c r="K607" s="1363">
        <f>IF(K$321&gt;0, IF(L$321=0, 'RFM input'!$G437, 0), 0)</f>
        <v>0</v>
      </c>
      <c r="L607" s="1363">
        <f>IF(L$321&gt;0, IF(M$321=0, 'RFM input'!$G437, 0), 0)</f>
        <v>0</v>
      </c>
      <c r="M607" s="1363">
        <f>IF(M$321&gt;0, IF(N$321=0, 'RFM input'!$G437, 0), 0)</f>
        <v>0</v>
      </c>
      <c r="N607" s="1363">
        <f>IF(N$321&gt;0, IF(O$321=0, 'RFM input'!$G437, 0), 0)</f>
        <v>0</v>
      </c>
      <c r="O607" s="1363">
        <f>IF(O$321&gt;0, IF(P$321=0, 'RFM input'!$G437, 0), 0)</f>
        <v>0</v>
      </c>
      <c r="P607" s="1363">
        <f>IF(P$321&gt;0, IF(Q$321=0, 'RFM input'!$G437, 0), 0)</f>
        <v>0</v>
      </c>
      <c r="Q607" s="1363">
        <f>IF(Q$321&gt;0, IF(R$321=0, 'RFM input'!$G437, 0), 0)</f>
        <v>0</v>
      </c>
      <c r="R607" s="248"/>
      <c r="S607" s="3"/>
      <c r="T607" s="3"/>
      <c r="U607" s="3"/>
      <c r="V607" s="3"/>
      <c r="W607" s="3"/>
      <c r="X607" s="3"/>
      <c r="Y607" s="3"/>
      <c r="Z607" s="3"/>
      <c r="AA607" s="152"/>
    </row>
    <row r="608" spans="1:27" hidden="1" outlineLevel="1">
      <c r="A608" s="3"/>
      <c r="B608" s="3"/>
      <c r="C608" s="152"/>
      <c r="D608" s="229">
        <f>Asset27</f>
        <v>0</v>
      </c>
      <c r="E608" s="3"/>
      <c r="F608" s="3"/>
      <c r="G608" s="248"/>
      <c r="H608" s="1341"/>
      <c r="I608" s="1363">
        <f>IF(I$321&gt;0, IF(J$321=0, 'RFM input'!$G438, 0), 0)</f>
        <v>0</v>
      </c>
      <c r="J608" s="1363">
        <f>IF(J$321&gt;0, IF(K$321=0, 'RFM input'!$G438, 0), 0)</f>
        <v>0</v>
      </c>
      <c r="K608" s="1363">
        <f>IF(K$321&gt;0, IF(L$321=0, 'RFM input'!$G438, 0), 0)</f>
        <v>0</v>
      </c>
      <c r="L608" s="1363">
        <f>IF(L$321&gt;0, IF(M$321=0, 'RFM input'!$G438, 0), 0)</f>
        <v>0</v>
      </c>
      <c r="M608" s="1363">
        <f>IF(M$321&gt;0, IF(N$321=0, 'RFM input'!$G438, 0), 0)</f>
        <v>0</v>
      </c>
      <c r="N608" s="1363">
        <f>IF(N$321&gt;0, IF(O$321=0, 'RFM input'!$G438, 0), 0)</f>
        <v>0</v>
      </c>
      <c r="O608" s="1363">
        <f>IF(O$321&gt;0, IF(P$321=0, 'RFM input'!$G438, 0), 0)</f>
        <v>0</v>
      </c>
      <c r="P608" s="1363">
        <f>IF(P$321&gt;0, IF(Q$321=0, 'RFM input'!$G438, 0), 0)</f>
        <v>0</v>
      </c>
      <c r="Q608" s="1363">
        <f>IF(Q$321&gt;0, IF(R$321=0, 'RFM input'!$G438, 0), 0)</f>
        <v>0</v>
      </c>
      <c r="R608" s="248"/>
      <c r="S608" s="3"/>
      <c r="T608" s="3"/>
      <c r="U608" s="3"/>
      <c r="V608" s="3"/>
      <c r="W608" s="3"/>
      <c r="X608" s="3"/>
      <c r="Y608" s="3"/>
      <c r="Z608" s="3"/>
      <c r="AA608" s="152"/>
    </row>
    <row r="609" spans="1:27" hidden="1" outlineLevel="1">
      <c r="A609" s="3"/>
      <c r="B609" s="3"/>
      <c r="C609" s="152"/>
      <c r="D609" s="229">
        <f>Asset28</f>
        <v>0</v>
      </c>
      <c r="E609" s="3"/>
      <c r="F609" s="3"/>
      <c r="G609" s="248"/>
      <c r="H609" s="1341"/>
      <c r="I609" s="1363">
        <f>IF(I$321&gt;0, IF(J$321=0, 'RFM input'!$G439, 0), 0)</f>
        <v>0</v>
      </c>
      <c r="J609" s="1363">
        <f>IF(J$321&gt;0, IF(K$321=0, 'RFM input'!$G439, 0), 0)</f>
        <v>0</v>
      </c>
      <c r="K609" s="1363">
        <f>IF(K$321&gt;0, IF(L$321=0, 'RFM input'!$G439, 0), 0)</f>
        <v>0</v>
      </c>
      <c r="L609" s="1363">
        <f>IF(L$321&gt;0, IF(M$321=0, 'RFM input'!$G439, 0), 0)</f>
        <v>0</v>
      </c>
      <c r="M609" s="1363">
        <f>IF(M$321&gt;0, IF(N$321=0, 'RFM input'!$G439, 0), 0)</f>
        <v>0</v>
      </c>
      <c r="N609" s="1363">
        <f>IF(N$321&gt;0, IF(O$321=0, 'RFM input'!$G439, 0), 0)</f>
        <v>0</v>
      </c>
      <c r="O609" s="1363">
        <f>IF(O$321&gt;0, IF(P$321=0, 'RFM input'!$G439, 0), 0)</f>
        <v>0</v>
      </c>
      <c r="P609" s="1363">
        <f>IF(P$321&gt;0, IF(Q$321=0, 'RFM input'!$G439, 0), 0)</f>
        <v>0</v>
      </c>
      <c r="Q609" s="1363">
        <f>IF(Q$321&gt;0, IF(R$321=0, 'RFM input'!$G439, 0), 0)</f>
        <v>0</v>
      </c>
      <c r="R609" s="248"/>
      <c r="S609" s="3"/>
      <c r="T609" s="3"/>
      <c r="U609" s="3"/>
      <c r="V609" s="3"/>
      <c r="W609" s="3"/>
      <c r="X609" s="3"/>
      <c r="Y609" s="3"/>
      <c r="Z609" s="3"/>
      <c r="AA609" s="152"/>
    </row>
    <row r="610" spans="1:27" hidden="1" outlineLevel="1">
      <c r="A610" s="3"/>
      <c r="B610" s="3"/>
      <c r="C610" s="152"/>
      <c r="D610" s="229">
        <f>Asset29</f>
        <v>0</v>
      </c>
      <c r="E610" s="3"/>
      <c r="F610" s="3"/>
      <c r="G610" s="248"/>
      <c r="H610" s="1341"/>
      <c r="I610" s="1363">
        <f>IF(I$321&gt;0, IF(J$321=0, 'RFM input'!$G440, 0), 0)</f>
        <v>0</v>
      </c>
      <c r="J610" s="1363">
        <f>IF(J$321&gt;0, IF(K$321=0, 'RFM input'!$G440, 0), 0)</f>
        <v>0</v>
      </c>
      <c r="K610" s="1363">
        <f>IF(K$321&gt;0, IF(L$321=0, 'RFM input'!$G440, 0), 0)</f>
        <v>0</v>
      </c>
      <c r="L610" s="1363">
        <f>IF(L$321&gt;0, IF(M$321=0, 'RFM input'!$G440, 0), 0)</f>
        <v>0</v>
      </c>
      <c r="M610" s="1363">
        <f>IF(M$321&gt;0, IF(N$321=0, 'RFM input'!$G440, 0), 0)</f>
        <v>0</v>
      </c>
      <c r="N610" s="1363">
        <f>IF(N$321&gt;0, IF(O$321=0, 'RFM input'!$G440, 0), 0)</f>
        <v>0</v>
      </c>
      <c r="O610" s="1363">
        <f>IF(O$321&gt;0, IF(P$321=0, 'RFM input'!$G440, 0), 0)</f>
        <v>0</v>
      </c>
      <c r="P610" s="1363">
        <f>IF(P$321&gt;0, IF(Q$321=0, 'RFM input'!$G440, 0), 0)</f>
        <v>0</v>
      </c>
      <c r="Q610" s="1363">
        <f>IF(Q$321&gt;0, IF(R$321=0, 'RFM input'!$G440, 0), 0)</f>
        <v>0</v>
      </c>
      <c r="R610" s="248"/>
      <c r="S610" s="3"/>
      <c r="T610" s="3"/>
      <c r="U610" s="3"/>
      <c r="V610" s="3"/>
      <c r="W610" s="3"/>
      <c r="X610" s="3"/>
      <c r="Y610" s="3"/>
      <c r="Z610" s="3"/>
      <c r="AA610" s="152"/>
    </row>
    <row r="611" spans="1:27" hidden="1" outlineLevel="1">
      <c r="A611" s="3"/>
      <c r="B611" s="3"/>
      <c r="C611" s="152"/>
      <c r="D611" s="229">
        <f>Asset30</f>
        <v>0</v>
      </c>
      <c r="E611" s="3"/>
      <c r="F611" s="3"/>
      <c r="G611" s="248"/>
      <c r="H611" s="1341"/>
      <c r="I611" s="1363">
        <f>IF(I$321&gt;0, IF(J$321=0, 'RFM input'!$G441, 0), 0)</f>
        <v>0</v>
      </c>
      <c r="J611" s="1363">
        <f>IF(J$321&gt;0, IF(K$321=0, 'RFM input'!$G441, 0), 0)</f>
        <v>0</v>
      </c>
      <c r="K611" s="1363">
        <f>IF(K$321&gt;0, IF(L$321=0, 'RFM input'!$G441, 0), 0)</f>
        <v>0</v>
      </c>
      <c r="L611" s="1363">
        <f>IF(L$321&gt;0, IF(M$321=0, 'RFM input'!$G441, 0), 0)</f>
        <v>0</v>
      </c>
      <c r="M611" s="1363">
        <f>IF(M$321&gt;0, IF(N$321=0, 'RFM input'!$G441, 0), 0)</f>
        <v>0</v>
      </c>
      <c r="N611" s="1363">
        <f>IF(N$321&gt;0, IF(O$321=0, 'RFM input'!$G441, 0), 0)</f>
        <v>0</v>
      </c>
      <c r="O611" s="1363">
        <f>IF(O$321&gt;0, IF(P$321=0, 'RFM input'!$G441, 0), 0)</f>
        <v>0</v>
      </c>
      <c r="P611" s="1363">
        <f>IF(P$321&gt;0, IF(Q$321=0, 'RFM input'!$G441, 0), 0)</f>
        <v>0</v>
      </c>
      <c r="Q611" s="1363">
        <f>IF(Q$321&gt;0, IF(R$321=0, 'RFM input'!$G441, 0), 0)</f>
        <v>0</v>
      </c>
      <c r="R611" s="248"/>
      <c r="S611" s="3"/>
      <c r="T611" s="3"/>
      <c r="U611" s="3"/>
      <c r="V611" s="3"/>
      <c r="W611" s="3"/>
      <c r="X611" s="3"/>
      <c r="Y611" s="3"/>
      <c r="Z611" s="3"/>
      <c r="AA611" s="152"/>
    </row>
    <row r="612" spans="1:27" hidden="1" outlineLevel="1">
      <c r="A612" s="3"/>
      <c r="B612" s="3"/>
      <c r="C612" s="152"/>
      <c r="D612" s="229">
        <f>Asset31</f>
        <v>0</v>
      </c>
      <c r="E612" s="3"/>
      <c r="F612" s="3"/>
      <c r="G612" s="248"/>
      <c r="H612" s="1341"/>
      <c r="I612" s="1363">
        <f>IF(I$321&gt;0, IF(J$321=0, 'RFM input'!$G442, 0), 0)</f>
        <v>0</v>
      </c>
      <c r="J612" s="1363">
        <f>IF(J$321&gt;0, IF(K$321=0, 'RFM input'!$G442, 0), 0)</f>
        <v>0</v>
      </c>
      <c r="K612" s="1363">
        <f>IF(K$321&gt;0, IF(L$321=0, 'RFM input'!$G442, 0), 0)</f>
        <v>0</v>
      </c>
      <c r="L612" s="1363">
        <f>IF(L$321&gt;0, IF(M$321=0, 'RFM input'!$G442, 0), 0)</f>
        <v>0</v>
      </c>
      <c r="M612" s="1363">
        <f>IF(M$321&gt;0, IF(N$321=0, 'RFM input'!$G442, 0), 0)</f>
        <v>0</v>
      </c>
      <c r="N612" s="1363">
        <f>IF(N$321&gt;0, IF(O$321=0, 'RFM input'!$G442, 0), 0)</f>
        <v>0</v>
      </c>
      <c r="O612" s="1363">
        <f>IF(O$321&gt;0, IF(P$321=0, 'RFM input'!$G442, 0), 0)</f>
        <v>0</v>
      </c>
      <c r="P612" s="1363">
        <f>IF(P$321&gt;0, IF(Q$321=0, 'RFM input'!$G442, 0), 0)</f>
        <v>0</v>
      </c>
      <c r="Q612" s="1363">
        <f>IF(Q$321&gt;0, IF(R$321=0, 'RFM input'!$G442, 0), 0)</f>
        <v>0</v>
      </c>
      <c r="R612" s="248"/>
      <c r="S612" s="3"/>
      <c r="T612" s="3"/>
      <c r="U612" s="3"/>
      <c r="V612" s="3"/>
      <c r="W612" s="3"/>
      <c r="X612" s="3"/>
      <c r="Y612" s="3"/>
      <c r="Z612" s="3"/>
      <c r="AA612" s="152"/>
    </row>
    <row r="613" spans="1:27" hidden="1" outlineLevel="1">
      <c r="A613" s="3"/>
      <c r="B613" s="3"/>
      <c r="C613" s="152"/>
      <c r="D613" s="229">
        <f>Asset32</f>
        <v>0</v>
      </c>
      <c r="E613" s="3"/>
      <c r="F613" s="3"/>
      <c r="G613" s="248"/>
      <c r="H613" s="1341"/>
      <c r="I613" s="1363">
        <f>IF(I$321&gt;0, IF(J$321=0, 'RFM input'!$G443, 0), 0)</f>
        <v>0</v>
      </c>
      <c r="J613" s="1363">
        <f>IF(J$321&gt;0, IF(K$321=0, 'RFM input'!$G443, 0), 0)</f>
        <v>0</v>
      </c>
      <c r="K613" s="1363">
        <f>IF(K$321&gt;0, IF(L$321=0, 'RFM input'!$G443, 0), 0)</f>
        <v>0</v>
      </c>
      <c r="L613" s="1363">
        <f>IF(L$321&gt;0, IF(M$321=0, 'RFM input'!$G443, 0), 0)</f>
        <v>0</v>
      </c>
      <c r="M613" s="1363">
        <f>IF(M$321&gt;0, IF(N$321=0, 'RFM input'!$G443, 0), 0)</f>
        <v>0</v>
      </c>
      <c r="N613" s="1363">
        <f>IF(N$321&gt;0, IF(O$321=0, 'RFM input'!$G443, 0), 0)</f>
        <v>0</v>
      </c>
      <c r="O613" s="1363">
        <f>IF(O$321&gt;0, IF(P$321=0, 'RFM input'!$G443, 0), 0)</f>
        <v>0</v>
      </c>
      <c r="P613" s="1363">
        <f>IF(P$321&gt;0, IF(Q$321=0, 'RFM input'!$G443, 0), 0)</f>
        <v>0</v>
      </c>
      <c r="Q613" s="1363">
        <f>IF(Q$321&gt;0, IF(R$321=0, 'RFM input'!$G443, 0), 0)</f>
        <v>0</v>
      </c>
      <c r="R613" s="248"/>
      <c r="S613" s="3"/>
      <c r="T613" s="3"/>
      <c r="U613" s="3"/>
      <c r="V613" s="3"/>
      <c r="W613" s="3"/>
      <c r="X613" s="3"/>
      <c r="Y613" s="3"/>
      <c r="Z613" s="3"/>
      <c r="AA613" s="152"/>
    </row>
    <row r="614" spans="1:27" hidden="1" outlineLevel="1">
      <c r="A614" s="3"/>
      <c r="B614" s="3"/>
      <c r="C614" s="152"/>
      <c r="D614" s="229">
        <f>Asset33</f>
        <v>0</v>
      </c>
      <c r="E614" s="3"/>
      <c r="F614" s="3"/>
      <c r="G614" s="248"/>
      <c r="H614" s="1341"/>
      <c r="I614" s="1363">
        <f>IF(I$321&gt;0, IF(J$321=0, 'RFM input'!$G444, 0), 0)</f>
        <v>0</v>
      </c>
      <c r="J614" s="1363">
        <f>IF(J$321&gt;0, IF(K$321=0, 'RFM input'!$G444, 0), 0)</f>
        <v>0</v>
      </c>
      <c r="K614" s="1363">
        <f>IF(K$321&gt;0, IF(L$321=0, 'RFM input'!$G444, 0), 0)</f>
        <v>0</v>
      </c>
      <c r="L614" s="1363">
        <f>IF(L$321&gt;0, IF(M$321=0, 'RFM input'!$G444, 0), 0)</f>
        <v>0</v>
      </c>
      <c r="M614" s="1363">
        <f>IF(M$321&gt;0, IF(N$321=0, 'RFM input'!$G444, 0), 0)</f>
        <v>0</v>
      </c>
      <c r="N614" s="1363">
        <f>IF(N$321&gt;0, IF(O$321=0, 'RFM input'!$G444, 0), 0)</f>
        <v>0</v>
      </c>
      <c r="O614" s="1363">
        <f>IF(O$321&gt;0, IF(P$321=0, 'RFM input'!$G444, 0), 0)</f>
        <v>0</v>
      </c>
      <c r="P614" s="1363">
        <f>IF(P$321&gt;0, IF(Q$321=0, 'RFM input'!$G444, 0), 0)</f>
        <v>0</v>
      </c>
      <c r="Q614" s="1363">
        <f>IF(Q$321&gt;0, IF(R$321=0, 'RFM input'!$G444, 0), 0)</f>
        <v>0</v>
      </c>
      <c r="R614" s="248"/>
      <c r="S614" s="3"/>
      <c r="T614" s="3"/>
      <c r="U614" s="3"/>
      <c r="V614" s="3"/>
      <c r="W614" s="3"/>
      <c r="X614" s="3"/>
      <c r="Y614" s="3"/>
      <c r="Z614" s="3"/>
      <c r="AA614" s="152"/>
    </row>
    <row r="615" spans="1:27" hidden="1" outlineLevel="1">
      <c r="A615" s="3"/>
      <c r="B615" s="3"/>
      <c r="C615" s="152"/>
      <c r="D615" s="229">
        <f>Asset34</f>
        <v>0</v>
      </c>
      <c r="E615" s="3"/>
      <c r="F615" s="3"/>
      <c r="G615" s="248"/>
      <c r="H615" s="1341"/>
      <c r="I615" s="1363">
        <f>IF(I$321&gt;0, IF(J$321=0, 'RFM input'!$G445, 0), 0)</f>
        <v>0</v>
      </c>
      <c r="J615" s="1363">
        <f>IF(J$321&gt;0, IF(K$321=0, 'RFM input'!$G445, 0), 0)</f>
        <v>0</v>
      </c>
      <c r="K615" s="1363">
        <f>IF(K$321&gt;0, IF(L$321=0, 'RFM input'!$G445, 0), 0)</f>
        <v>0</v>
      </c>
      <c r="L615" s="1363">
        <f>IF(L$321&gt;0, IF(M$321=0, 'RFM input'!$G445, 0), 0)</f>
        <v>0</v>
      </c>
      <c r="M615" s="1363">
        <f>IF(M$321&gt;0, IF(N$321=0, 'RFM input'!$G445, 0), 0)</f>
        <v>0</v>
      </c>
      <c r="N615" s="1363">
        <f>IF(N$321&gt;0, IF(O$321=0, 'RFM input'!$G445, 0), 0)</f>
        <v>0</v>
      </c>
      <c r="O615" s="1363">
        <f>IF(O$321&gt;0, IF(P$321=0, 'RFM input'!$G445, 0), 0)</f>
        <v>0</v>
      </c>
      <c r="P615" s="1363">
        <f>IF(P$321&gt;0, IF(Q$321=0, 'RFM input'!$G445, 0), 0)</f>
        <v>0</v>
      </c>
      <c r="Q615" s="1363">
        <f>IF(Q$321&gt;0, IF(R$321=0, 'RFM input'!$G445, 0), 0)</f>
        <v>0</v>
      </c>
      <c r="R615" s="248"/>
      <c r="S615" s="3"/>
      <c r="T615" s="3"/>
      <c r="U615" s="3"/>
      <c r="V615" s="3"/>
      <c r="W615" s="3"/>
      <c r="X615" s="3"/>
      <c r="Y615" s="3"/>
      <c r="Z615" s="3"/>
      <c r="AA615" s="152"/>
    </row>
    <row r="616" spans="1:27" hidden="1" outlineLevel="1">
      <c r="A616" s="3"/>
      <c r="B616" s="3"/>
      <c r="C616" s="152"/>
      <c r="D616" s="229">
        <f>Asset35</f>
        <v>0</v>
      </c>
      <c r="E616" s="3"/>
      <c r="F616" s="3"/>
      <c r="G616" s="248"/>
      <c r="H616" s="1341"/>
      <c r="I616" s="1363">
        <f>IF(I$321&gt;0, IF(J$321=0, 'RFM input'!$G446, 0), 0)</f>
        <v>0</v>
      </c>
      <c r="J616" s="1363">
        <f>IF(J$321&gt;0, IF(K$321=0, 'RFM input'!$G446, 0), 0)</f>
        <v>0</v>
      </c>
      <c r="K616" s="1363">
        <f>IF(K$321&gt;0, IF(L$321=0, 'RFM input'!$G446, 0), 0)</f>
        <v>0</v>
      </c>
      <c r="L616" s="1363">
        <f>IF(L$321&gt;0, IF(M$321=0, 'RFM input'!$G446, 0), 0)</f>
        <v>0</v>
      </c>
      <c r="M616" s="1363">
        <f>IF(M$321&gt;0, IF(N$321=0, 'RFM input'!$G446, 0), 0)</f>
        <v>0</v>
      </c>
      <c r="N616" s="1363">
        <f>IF(N$321&gt;0, IF(O$321=0, 'RFM input'!$G446, 0), 0)</f>
        <v>0</v>
      </c>
      <c r="O616" s="1363">
        <f>IF(O$321&gt;0, IF(P$321=0, 'RFM input'!$G446, 0), 0)</f>
        <v>0</v>
      </c>
      <c r="P616" s="1363">
        <f>IF(P$321&gt;0, IF(Q$321=0, 'RFM input'!$G446, 0), 0)</f>
        <v>0</v>
      </c>
      <c r="Q616" s="1363">
        <f>IF(Q$321&gt;0, IF(R$321=0, 'RFM input'!$G446, 0), 0)</f>
        <v>0</v>
      </c>
      <c r="R616" s="248"/>
      <c r="S616" s="3"/>
      <c r="T616" s="3"/>
      <c r="U616" s="3"/>
      <c r="V616" s="3"/>
      <c r="W616" s="3"/>
      <c r="X616" s="3"/>
      <c r="Y616" s="3"/>
      <c r="Z616" s="3"/>
      <c r="AA616" s="152"/>
    </row>
    <row r="617" spans="1:27" hidden="1" outlineLevel="1">
      <c r="A617" s="3"/>
      <c r="B617" s="3"/>
      <c r="C617" s="152"/>
      <c r="D617" s="229">
        <f>Asset36</f>
        <v>0</v>
      </c>
      <c r="E617" s="3"/>
      <c r="F617" s="3"/>
      <c r="G617" s="248"/>
      <c r="H617" s="1341"/>
      <c r="I617" s="1363">
        <f>IF(I$321&gt;0, IF(J$321=0, 'RFM input'!$G447, 0), 0)</f>
        <v>0</v>
      </c>
      <c r="J617" s="1363">
        <f>IF(J$321&gt;0, IF(K$321=0, 'RFM input'!$G447, 0), 0)</f>
        <v>0</v>
      </c>
      <c r="K617" s="1363">
        <f>IF(K$321&gt;0, IF(L$321=0, 'RFM input'!$G447, 0), 0)</f>
        <v>0</v>
      </c>
      <c r="L617" s="1363">
        <f>IF(L$321&gt;0, IF(M$321=0, 'RFM input'!$G447, 0), 0)</f>
        <v>0</v>
      </c>
      <c r="M617" s="1363">
        <f>IF(M$321&gt;0, IF(N$321=0, 'RFM input'!$G447, 0), 0)</f>
        <v>0</v>
      </c>
      <c r="N617" s="1363">
        <f>IF(N$321&gt;0, IF(O$321=0, 'RFM input'!$G447, 0), 0)</f>
        <v>0</v>
      </c>
      <c r="O617" s="1363">
        <f>IF(O$321&gt;0, IF(P$321=0, 'RFM input'!$G447, 0), 0)</f>
        <v>0</v>
      </c>
      <c r="P617" s="1363">
        <f>IF(P$321&gt;0, IF(Q$321=0, 'RFM input'!$G447, 0), 0)</f>
        <v>0</v>
      </c>
      <c r="Q617" s="1363">
        <f>IF(Q$321&gt;0, IF(R$321=0, 'RFM input'!$G447, 0), 0)</f>
        <v>0</v>
      </c>
      <c r="R617" s="248"/>
      <c r="S617" s="3"/>
      <c r="T617" s="3"/>
      <c r="U617" s="3"/>
      <c r="V617" s="3"/>
      <c r="W617" s="3"/>
      <c r="X617" s="3"/>
      <c r="Y617" s="3"/>
      <c r="Z617" s="3"/>
      <c r="AA617" s="152"/>
    </row>
    <row r="618" spans="1:27" hidden="1" outlineLevel="1">
      <c r="A618" s="3"/>
      <c r="B618" s="3"/>
      <c r="C618" s="152"/>
      <c r="D618" s="229">
        <f>Asset37</f>
        <v>0</v>
      </c>
      <c r="E618" s="3"/>
      <c r="F618" s="3"/>
      <c r="G618" s="248"/>
      <c r="H618" s="1341"/>
      <c r="I618" s="1363">
        <f>IF(I$321&gt;0, IF(J$321=0, 'RFM input'!$G448, 0), 0)</f>
        <v>0</v>
      </c>
      <c r="J618" s="1363">
        <f>IF(J$321&gt;0, IF(K$321=0, 'RFM input'!$G448, 0), 0)</f>
        <v>0</v>
      </c>
      <c r="K618" s="1363">
        <f>IF(K$321&gt;0, IF(L$321=0, 'RFM input'!$G448, 0), 0)</f>
        <v>0</v>
      </c>
      <c r="L618" s="1363">
        <f>IF(L$321&gt;0, IF(M$321=0, 'RFM input'!$G448, 0), 0)</f>
        <v>0</v>
      </c>
      <c r="M618" s="1363">
        <f>IF(M$321&gt;0, IF(N$321=0, 'RFM input'!$G448, 0), 0)</f>
        <v>0</v>
      </c>
      <c r="N618" s="1363">
        <f>IF(N$321&gt;0, IF(O$321=0, 'RFM input'!$G448, 0), 0)</f>
        <v>0</v>
      </c>
      <c r="O618" s="1363">
        <f>IF(O$321&gt;0, IF(P$321=0, 'RFM input'!$G448, 0), 0)</f>
        <v>0</v>
      </c>
      <c r="P618" s="1363">
        <f>IF(P$321&gt;0, IF(Q$321=0, 'RFM input'!$G448, 0), 0)</f>
        <v>0</v>
      </c>
      <c r="Q618" s="1363">
        <f>IF(Q$321&gt;0, IF(R$321=0, 'RFM input'!$G448, 0), 0)</f>
        <v>0</v>
      </c>
      <c r="R618" s="248"/>
      <c r="S618" s="3"/>
      <c r="T618" s="3"/>
      <c r="U618" s="3"/>
      <c r="V618" s="3"/>
      <c r="W618" s="3"/>
      <c r="X618" s="3"/>
      <c r="Y618" s="3"/>
      <c r="Z618" s="3"/>
      <c r="AA618" s="152"/>
    </row>
    <row r="619" spans="1:27" hidden="1" outlineLevel="1">
      <c r="A619" s="3"/>
      <c r="B619" s="3"/>
      <c r="C619" s="152"/>
      <c r="D619" s="229">
        <f>Asset38</f>
        <v>0</v>
      </c>
      <c r="E619" s="3"/>
      <c r="F619" s="3"/>
      <c r="G619" s="248"/>
      <c r="H619" s="1341"/>
      <c r="I619" s="1363">
        <f>IF(I$321&gt;0, IF(J$321=0, 'RFM input'!$G449, 0), 0)</f>
        <v>0</v>
      </c>
      <c r="J619" s="1363">
        <f>IF(J$321&gt;0, IF(K$321=0, 'RFM input'!$G449, 0), 0)</f>
        <v>0</v>
      </c>
      <c r="K619" s="1363">
        <f>IF(K$321&gt;0, IF(L$321=0, 'RFM input'!$G449, 0), 0)</f>
        <v>0</v>
      </c>
      <c r="L619" s="1363">
        <f>IF(L$321&gt;0, IF(M$321=0, 'RFM input'!$G449, 0), 0)</f>
        <v>0</v>
      </c>
      <c r="M619" s="1363">
        <f>IF(M$321&gt;0, IF(N$321=0, 'RFM input'!$G449, 0), 0)</f>
        <v>0</v>
      </c>
      <c r="N619" s="1363">
        <f>IF(N$321&gt;0, IF(O$321=0, 'RFM input'!$G449, 0), 0)</f>
        <v>0</v>
      </c>
      <c r="O619" s="1363">
        <f>IF(O$321&gt;0, IF(P$321=0, 'RFM input'!$G449, 0), 0)</f>
        <v>0</v>
      </c>
      <c r="P619" s="1363">
        <f>IF(P$321&gt;0, IF(Q$321=0, 'RFM input'!$G449, 0), 0)</f>
        <v>0</v>
      </c>
      <c r="Q619" s="1363">
        <f>IF(Q$321&gt;0, IF(R$321=0, 'RFM input'!$G449, 0), 0)</f>
        <v>0</v>
      </c>
      <c r="R619" s="248"/>
      <c r="S619" s="3"/>
      <c r="T619" s="3"/>
      <c r="U619" s="3"/>
      <c r="V619" s="3"/>
      <c r="W619" s="3"/>
      <c r="X619" s="3"/>
      <c r="Y619" s="3"/>
      <c r="Z619" s="3"/>
      <c r="AA619" s="152"/>
    </row>
    <row r="620" spans="1:27" hidden="1" outlineLevel="1">
      <c r="A620" s="3"/>
      <c r="B620" s="3"/>
      <c r="C620" s="152"/>
      <c r="D620" s="229">
        <f>Asset39</f>
        <v>0</v>
      </c>
      <c r="E620" s="3"/>
      <c r="F620" s="3"/>
      <c r="G620" s="248"/>
      <c r="H620" s="1341"/>
      <c r="I620" s="1363">
        <f>IF(I$321&gt;0, IF(J$321=0, 'RFM input'!$G450, 0), 0)</f>
        <v>0</v>
      </c>
      <c r="J620" s="1363">
        <f>IF(J$321&gt;0, IF(K$321=0, 'RFM input'!$G450, 0), 0)</f>
        <v>0</v>
      </c>
      <c r="K620" s="1363">
        <f>IF(K$321&gt;0, IF(L$321=0, 'RFM input'!$G450, 0), 0)</f>
        <v>0</v>
      </c>
      <c r="L620" s="1363">
        <f>IF(L$321&gt;0, IF(M$321=0, 'RFM input'!$G450, 0), 0)</f>
        <v>0</v>
      </c>
      <c r="M620" s="1363">
        <f>IF(M$321&gt;0, IF(N$321=0, 'RFM input'!$G450, 0), 0)</f>
        <v>0</v>
      </c>
      <c r="N620" s="1363">
        <f>IF(N$321&gt;0, IF(O$321=0, 'RFM input'!$G450, 0), 0)</f>
        <v>0</v>
      </c>
      <c r="O620" s="1363">
        <f>IF(O$321&gt;0, IF(P$321=0, 'RFM input'!$G450, 0), 0)</f>
        <v>0</v>
      </c>
      <c r="P620" s="1363">
        <f>IF(P$321&gt;0, IF(Q$321=0, 'RFM input'!$G450, 0), 0)</f>
        <v>0</v>
      </c>
      <c r="Q620" s="1363">
        <f>IF(Q$321&gt;0, IF(R$321=0, 'RFM input'!$G450, 0), 0)</f>
        <v>0</v>
      </c>
      <c r="R620" s="248"/>
      <c r="S620" s="3"/>
      <c r="T620" s="3"/>
      <c r="U620" s="3"/>
      <c r="V620" s="3"/>
      <c r="W620" s="3"/>
      <c r="X620" s="3"/>
      <c r="Y620" s="3"/>
      <c r="Z620" s="3"/>
      <c r="AA620" s="152"/>
    </row>
    <row r="621" spans="1:27" hidden="1" outlineLevel="1">
      <c r="A621" s="3"/>
      <c r="B621" s="3"/>
      <c r="C621" s="152"/>
      <c r="D621" s="229">
        <f>Asset40</f>
        <v>0</v>
      </c>
      <c r="E621" s="3"/>
      <c r="F621" s="3"/>
      <c r="G621" s="248"/>
      <c r="H621" s="1341"/>
      <c r="I621" s="1363">
        <f>IF(I$321&gt;0, IF(J$321=0, 'RFM input'!$G451, 0), 0)</f>
        <v>0</v>
      </c>
      <c r="J621" s="1363">
        <f>IF(J$321&gt;0, IF(K$321=0, 'RFM input'!$G451, 0), 0)</f>
        <v>0</v>
      </c>
      <c r="K621" s="1363">
        <f>IF(K$321&gt;0, IF(L$321=0, 'RFM input'!$G451, 0), 0)</f>
        <v>0</v>
      </c>
      <c r="L621" s="1363">
        <f>IF(L$321&gt;0, IF(M$321=0, 'RFM input'!$G451, 0), 0)</f>
        <v>0</v>
      </c>
      <c r="M621" s="1363">
        <f>IF(M$321&gt;0, IF(N$321=0, 'RFM input'!$G451, 0), 0)</f>
        <v>0</v>
      </c>
      <c r="N621" s="1363">
        <f>IF(N$321&gt;0, IF(O$321=0, 'RFM input'!$G451, 0), 0)</f>
        <v>0</v>
      </c>
      <c r="O621" s="1363">
        <f>IF(O$321&gt;0, IF(P$321=0, 'RFM input'!$G451, 0), 0)</f>
        <v>0</v>
      </c>
      <c r="P621" s="1363">
        <f>IF(P$321&gt;0, IF(Q$321=0, 'RFM input'!$G451, 0), 0)</f>
        <v>0</v>
      </c>
      <c r="Q621" s="1363">
        <f>IF(Q$321&gt;0, IF(R$321=0, 'RFM input'!$G451, 0), 0)</f>
        <v>0</v>
      </c>
      <c r="R621" s="248"/>
      <c r="S621" s="3"/>
      <c r="T621" s="3"/>
      <c r="U621" s="3"/>
      <c r="V621" s="3"/>
      <c r="W621" s="3"/>
      <c r="X621" s="3"/>
      <c r="Y621" s="3"/>
      <c r="Z621" s="3"/>
      <c r="AA621" s="152"/>
    </row>
    <row r="622" spans="1:27" hidden="1" outlineLevel="1">
      <c r="A622" s="3"/>
      <c r="B622" s="3"/>
      <c r="C622" s="152"/>
      <c r="D622" s="229">
        <f>Asset41</f>
        <v>0</v>
      </c>
      <c r="E622" s="3"/>
      <c r="F622" s="3"/>
      <c r="G622" s="248"/>
      <c r="H622" s="1341"/>
      <c r="I622" s="1363">
        <f>IF(I$321&gt;0, IF(J$321=0, 'RFM input'!$G452, 0), 0)</f>
        <v>0</v>
      </c>
      <c r="J622" s="1363">
        <f>IF(J$321&gt;0, IF(K$321=0, 'RFM input'!$G452, 0), 0)</f>
        <v>0</v>
      </c>
      <c r="K622" s="1363">
        <f>IF(K$321&gt;0, IF(L$321=0, 'RFM input'!$G452, 0), 0)</f>
        <v>0</v>
      </c>
      <c r="L622" s="1363">
        <f>IF(L$321&gt;0, IF(M$321=0, 'RFM input'!$G452, 0), 0)</f>
        <v>0</v>
      </c>
      <c r="M622" s="1363">
        <f>IF(M$321&gt;0, IF(N$321=0, 'RFM input'!$G452, 0), 0)</f>
        <v>0</v>
      </c>
      <c r="N622" s="1363">
        <f>IF(N$321&gt;0, IF(O$321=0, 'RFM input'!$G452, 0), 0)</f>
        <v>0</v>
      </c>
      <c r="O622" s="1363">
        <f>IF(O$321&gt;0, IF(P$321=0, 'RFM input'!$G452, 0), 0)</f>
        <v>0</v>
      </c>
      <c r="P622" s="1363">
        <f>IF(P$321&gt;0, IF(Q$321=0, 'RFM input'!$G452, 0), 0)</f>
        <v>0</v>
      </c>
      <c r="Q622" s="1363">
        <f>IF(Q$321&gt;0, IF(R$321=0, 'RFM input'!$G452, 0), 0)</f>
        <v>0</v>
      </c>
      <c r="R622" s="248"/>
      <c r="S622" s="3"/>
      <c r="T622" s="3"/>
      <c r="U622" s="3"/>
      <c r="V622" s="3"/>
      <c r="W622" s="3"/>
      <c r="X622" s="3"/>
      <c r="Y622" s="3"/>
      <c r="Z622" s="3"/>
      <c r="AA622" s="152"/>
    </row>
    <row r="623" spans="1:27" hidden="1" outlineLevel="1">
      <c r="A623" s="3"/>
      <c r="B623" s="3"/>
      <c r="C623" s="152"/>
      <c r="D623" s="229">
        <f>Asset42</f>
        <v>0</v>
      </c>
      <c r="E623" s="3"/>
      <c r="F623" s="3"/>
      <c r="G623" s="248"/>
      <c r="H623" s="1341"/>
      <c r="I623" s="1363">
        <f>IF(I$321&gt;0, IF(J$321=0, 'RFM input'!$G453, 0), 0)</f>
        <v>0</v>
      </c>
      <c r="J623" s="1363">
        <f>IF(J$321&gt;0, IF(K$321=0, 'RFM input'!$G453, 0), 0)</f>
        <v>0</v>
      </c>
      <c r="K623" s="1363">
        <f>IF(K$321&gt;0, IF(L$321=0, 'RFM input'!$G453, 0), 0)</f>
        <v>0</v>
      </c>
      <c r="L623" s="1363">
        <f>IF(L$321&gt;0, IF(M$321=0, 'RFM input'!$G453, 0), 0)</f>
        <v>0</v>
      </c>
      <c r="M623" s="1363">
        <f>IF(M$321&gt;0, IF(N$321=0, 'RFM input'!$G453, 0), 0)</f>
        <v>0</v>
      </c>
      <c r="N623" s="1363">
        <f>IF(N$321&gt;0, IF(O$321=0, 'RFM input'!$G453, 0), 0)</f>
        <v>0</v>
      </c>
      <c r="O623" s="1363">
        <f>IF(O$321&gt;0, IF(P$321=0, 'RFM input'!$G453, 0), 0)</f>
        <v>0</v>
      </c>
      <c r="P623" s="1363">
        <f>IF(P$321&gt;0, IF(Q$321=0, 'RFM input'!$G453, 0), 0)</f>
        <v>0</v>
      </c>
      <c r="Q623" s="1363">
        <f>IF(Q$321&gt;0, IF(R$321=0, 'RFM input'!$G453, 0), 0)</f>
        <v>0</v>
      </c>
      <c r="R623" s="248"/>
      <c r="S623" s="3"/>
      <c r="T623" s="3"/>
      <c r="U623" s="3"/>
      <c r="V623" s="3"/>
      <c r="W623" s="3"/>
      <c r="X623" s="3"/>
      <c r="Y623" s="3"/>
      <c r="Z623" s="3"/>
      <c r="AA623" s="152"/>
    </row>
    <row r="624" spans="1:27" hidden="1" outlineLevel="1">
      <c r="A624" s="3"/>
      <c r="B624" s="3"/>
      <c r="C624" s="152"/>
      <c r="D624" s="229">
        <f>Asset43</f>
        <v>0</v>
      </c>
      <c r="E624" s="3"/>
      <c r="F624" s="3"/>
      <c r="G624" s="248"/>
      <c r="H624" s="1341"/>
      <c r="I624" s="1363">
        <f>IF(I$321&gt;0, IF(J$321=0, 'RFM input'!$G454, 0), 0)</f>
        <v>0</v>
      </c>
      <c r="J624" s="1363">
        <f>IF(J$321&gt;0, IF(K$321=0, 'RFM input'!$G454, 0), 0)</f>
        <v>0</v>
      </c>
      <c r="K624" s="1363">
        <f>IF(K$321&gt;0, IF(L$321=0, 'RFM input'!$G454, 0), 0)</f>
        <v>0</v>
      </c>
      <c r="L624" s="1363">
        <f>IF(L$321&gt;0, IF(M$321=0, 'RFM input'!$G454, 0), 0)</f>
        <v>0</v>
      </c>
      <c r="M624" s="1363">
        <f>IF(M$321&gt;0, IF(N$321=0, 'RFM input'!$G454, 0), 0)</f>
        <v>0</v>
      </c>
      <c r="N624" s="1363">
        <f>IF(N$321&gt;0, IF(O$321=0, 'RFM input'!$G454, 0), 0)</f>
        <v>0</v>
      </c>
      <c r="O624" s="1363">
        <f>IF(O$321&gt;0, IF(P$321=0, 'RFM input'!$G454, 0), 0)</f>
        <v>0</v>
      </c>
      <c r="P624" s="1363">
        <f>IF(P$321&gt;0, IF(Q$321=0, 'RFM input'!$G454, 0), 0)</f>
        <v>0</v>
      </c>
      <c r="Q624" s="1363">
        <f>IF(Q$321&gt;0, IF(R$321=0, 'RFM input'!$G454, 0), 0)</f>
        <v>0</v>
      </c>
      <c r="R624" s="248"/>
      <c r="S624" s="3"/>
      <c r="T624" s="3"/>
      <c r="U624" s="3"/>
      <c r="V624" s="3"/>
      <c r="W624" s="3"/>
      <c r="X624" s="3"/>
      <c r="Y624" s="3"/>
      <c r="Z624" s="3"/>
      <c r="AA624" s="152"/>
    </row>
    <row r="625" spans="1:27" hidden="1" outlineLevel="1">
      <c r="A625" s="3"/>
      <c r="B625" s="3"/>
      <c r="C625" s="152"/>
      <c r="D625" s="229">
        <f>Asset44</f>
        <v>0</v>
      </c>
      <c r="E625" s="3"/>
      <c r="F625" s="3"/>
      <c r="G625" s="248"/>
      <c r="H625" s="1341"/>
      <c r="I625" s="1363">
        <f>IF(I$321&gt;0, IF(J$321=0, 'RFM input'!$G455, 0), 0)</f>
        <v>0</v>
      </c>
      <c r="J625" s="1363">
        <f>IF(J$321&gt;0, IF(K$321=0, 'RFM input'!$G455, 0), 0)</f>
        <v>0</v>
      </c>
      <c r="K625" s="1363">
        <f>IF(K$321&gt;0, IF(L$321=0, 'RFM input'!$G455, 0), 0)</f>
        <v>0</v>
      </c>
      <c r="L625" s="1363">
        <f>IF(L$321&gt;0, IF(M$321=0, 'RFM input'!$G455, 0), 0)</f>
        <v>0</v>
      </c>
      <c r="M625" s="1363">
        <f>IF(M$321&gt;0, IF(N$321=0, 'RFM input'!$G455, 0), 0)</f>
        <v>0</v>
      </c>
      <c r="N625" s="1363">
        <f>IF(N$321&gt;0, IF(O$321=0, 'RFM input'!$G455, 0), 0)</f>
        <v>0</v>
      </c>
      <c r="O625" s="1363">
        <f>IF(O$321&gt;0, IF(P$321=0, 'RFM input'!$G455, 0), 0)</f>
        <v>0</v>
      </c>
      <c r="P625" s="1363">
        <f>IF(P$321&gt;0, IF(Q$321=0, 'RFM input'!$G455, 0), 0)</f>
        <v>0</v>
      </c>
      <c r="Q625" s="1363">
        <f>IF(Q$321&gt;0, IF(R$321=0, 'RFM input'!$G455, 0), 0)</f>
        <v>0</v>
      </c>
      <c r="R625" s="248"/>
      <c r="S625" s="3"/>
      <c r="T625" s="3"/>
      <c r="U625" s="3"/>
      <c r="V625" s="3"/>
      <c r="W625" s="3"/>
      <c r="X625" s="3"/>
      <c r="Y625" s="3"/>
      <c r="Z625" s="3"/>
      <c r="AA625" s="152"/>
    </row>
    <row r="626" spans="1:27" hidden="1" outlineLevel="1">
      <c r="A626" s="3"/>
      <c r="B626" s="3"/>
      <c r="C626" s="152"/>
      <c r="D626" s="229">
        <f>Asset45</f>
        <v>0</v>
      </c>
      <c r="E626" s="3"/>
      <c r="F626" s="3"/>
      <c r="G626" s="248"/>
      <c r="H626" s="1341"/>
      <c r="I626" s="1363">
        <f>IF(I$321&gt;0, IF(J$321=0, 'RFM input'!$G456, 0), 0)</f>
        <v>0</v>
      </c>
      <c r="J626" s="1363">
        <f>IF(J$321&gt;0, IF(K$321=0, 'RFM input'!$G456, 0), 0)</f>
        <v>0</v>
      </c>
      <c r="K626" s="1363">
        <f>IF(K$321&gt;0, IF(L$321=0, 'RFM input'!$G456, 0), 0)</f>
        <v>0</v>
      </c>
      <c r="L626" s="1363">
        <f>IF(L$321&gt;0, IF(M$321=0, 'RFM input'!$G456, 0), 0)</f>
        <v>0</v>
      </c>
      <c r="M626" s="1363">
        <f>IF(M$321&gt;0, IF(N$321=0, 'RFM input'!$G456, 0), 0)</f>
        <v>0</v>
      </c>
      <c r="N626" s="1363">
        <f>IF(N$321&gt;0, IF(O$321=0, 'RFM input'!$G456, 0), 0)</f>
        <v>0</v>
      </c>
      <c r="O626" s="1363">
        <f>IF(O$321&gt;0, IF(P$321=0, 'RFM input'!$G456, 0), 0)</f>
        <v>0</v>
      </c>
      <c r="P626" s="1363">
        <f>IF(P$321&gt;0, IF(Q$321=0, 'RFM input'!$G456, 0), 0)</f>
        <v>0</v>
      </c>
      <c r="Q626" s="1363">
        <f>IF(Q$321&gt;0, IF(R$321=0, 'RFM input'!$G456, 0), 0)</f>
        <v>0</v>
      </c>
      <c r="R626" s="248"/>
      <c r="S626" s="3"/>
      <c r="T626" s="3"/>
      <c r="U626" s="3"/>
      <c r="V626" s="3"/>
      <c r="W626" s="3"/>
      <c r="X626" s="3"/>
      <c r="Y626" s="3"/>
      <c r="Z626" s="3"/>
      <c r="AA626" s="152"/>
    </row>
    <row r="627" spans="1:27" hidden="1" outlineLevel="1">
      <c r="A627" s="3"/>
      <c r="B627" s="3"/>
      <c r="C627" s="152"/>
      <c r="D627" s="229">
        <f>Asset46</f>
        <v>0</v>
      </c>
      <c r="E627" s="3"/>
      <c r="F627" s="3"/>
      <c r="G627" s="248"/>
      <c r="H627" s="1341"/>
      <c r="I627" s="1363">
        <f>IF(I$321&gt;0, IF(J$321=0, 'RFM input'!$G457, 0), 0)</f>
        <v>0</v>
      </c>
      <c r="J627" s="1363">
        <f>IF(J$321&gt;0, IF(K$321=0, 'RFM input'!$G457, 0), 0)</f>
        <v>0</v>
      </c>
      <c r="K627" s="1363">
        <f>IF(K$321&gt;0, IF(L$321=0, 'RFM input'!$G457, 0), 0)</f>
        <v>0</v>
      </c>
      <c r="L627" s="1363">
        <f>IF(L$321&gt;0, IF(M$321=0, 'RFM input'!$G457, 0), 0)</f>
        <v>0</v>
      </c>
      <c r="M627" s="1363">
        <f>IF(M$321&gt;0, IF(N$321=0, 'RFM input'!$G457, 0), 0)</f>
        <v>0</v>
      </c>
      <c r="N627" s="1363">
        <f>IF(N$321&gt;0, IF(O$321=0, 'RFM input'!$G457, 0), 0)</f>
        <v>0</v>
      </c>
      <c r="O627" s="1363">
        <f>IF(O$321&gt;0, IF(P$321=0, 'RFM input'!$G457, 0), 0)</f>
        <v>0</v>
      </c>
      <c r="P627" s="1363">
        <f>IF(P$321&gt;0, IF(Q$321=0, 'RFM input'!$G457, 0), 0)</f>
        <v>0</v>
      </c>
      <c r="Q627" s="1363">
        <f>IF(Q$321&gt;0, IF(R$321=0, 'RFM input'!$G457, 0), 0)</f>
        <v>0</v>
      </c>
      <c r="R627" s="248"/>
      <c r="S627" s="3"/>
      <c r="T627" s="3"/>
      <c r="U627" s="3"/>
      <c r="V627" s="3"/>
      <c r="W627" s="3"/>
      <c r="X627" s="3"/>
      <c r="Y627" s="3"/>
      <c r="Z627" s="3"/>
      <c r="AA627" s="152"/>
    </row>
    <row r="628" spans="1:27" hidden="1" outlineLevel="1">
      <c r="A628" s="3"/>
      <c r="B628" s="3"/>
      <c r="C628" s="152"/>
      <c r="D628" s="229">
        <f>Asset47</f>
        <v>0</v>
      </c>
      <c r="E628" s="3"/>
      <c r="F628" s="3"/>
      <c r="G628" s="248"/>
      <c r="H628" s="1341"/>
      <c r="I628" s="1363">
        <f>IF(I$321&gt;0, IF(J$321=0, 'RFM input'!$G458, 0), 0)</f>
        <v>0</v>
      </c>
      <c r="J628" s="1363">
        <f>IF(J$321&gt;0, IF(K$321=0, 'RFM input'!$G458, 0), 0)</f>
        <v>0</v>
      </c>
      <c r="K628" s="1363">
        <f>IF(K$321&gt;0, IF(L$321=0, 'RFM input'!$G458, 0), 0)</f>
        <v>0</v>
      </c>
      <c r="L628" s="1363">
        <f>IF(L$321&gt;0, IF(M$321=0, 'RFM input'!$G458, 0), 0)</f>
        <v>0</v>
      </c>
      <c r="M628" s="1363">
        <f>IF(M$321&gt;0, IF(N$321=0, 'RFM input'!$G458, 0), 0)</f>
        <v>0</v>
      </c>
      <c r="N628" s="1363">
        <f>IF(N$321&gt;0, IF(O$321=0, 'RFM input'!$G458, 0), 0)</f>
        <v>0</v>
      </c>
      <c r="O628" s="1363">
        <f>IF(O$321&gt;0, IF(P$321=0, 'RFM input'!$G458, 0), 0)</f>
        <v>0</v>
      </c>
      <c r="P628" s="1363">
        <f>IF(P$321&gt;0, IF(Q$321=0, 'RFM input'!$G458, 0), 0)</f>
        <v>0</v>
      </c>
      <c r="Q628" s="1363">
        <f>IF(Q$321&gt;0, IF(R$321=0, 'RFM input'!$G458, 0), 0)</f>
        <v>0</v>
      </c>
      <c r="R628" s="248"/>
      <c r="S628" s="3"/>
      <c r="T628" s="3"/>
      <c r="U628" s="3"/>
      <c r="V628" s="3"/>
      <c r="W628" s="3"/>
      <c r="X628" s="3"/>
      <c r="Y628" s="3"/>
      <c r="Z628" s="3"/>
      <c r="AA628" s="152"/>
    </row>
    <row r="629" spans="1:27" hidden="1" outlineLevel="1">
      <c r="A629" s="3"/>
      <c r="B629" s="3"/>
      <c r="C629" s="152"/>
      <c r="D629" s="229">
        <f>Asset48</f>
        <v>0</v>
      </c>
      <c r="E629" s="3"/>
      <c r="F629" s="3"/>
      <c r="G629" s="248"/>
      <c r="H629" s="1341"/>
      <c r="I629" s="1363">
        <f>IF(I$321&gt;0, IF(J$321=0, 'RFM input'!$G459, 0), 0)</f>
        <v>0</v>
      </c>
      <c r="J629" s="1363">
        <f>IF(J$321&gt;0, IF(K$321=0, 'RFM input'!$G459, 0), 0)</f>
        <v>0</v>
      </c>
      <c r="K629" s="1363">
        <f>IF(K$321&gt;0, IF(L$321=0, 'RFM input'!$G459, 0), 0)</f>
        <v>0</v>
      </c>
      <c r="L629" s="1363">
        <f>IF(L$321&gt;0, IF(M$321=0, 'RFM input'!$G459, 0), 0)</f>
        <v>0</v>
      </c>
      <c r="M629" s="1363">
        <f>IF(M$321&gt;0, IF(N$321=0, 'RFM input'!$G459, 0), 0)</f>
        <v>0</v>
      </c>
      <c r="N629" s="1363">
        <f>IF(N$321&gt;0, IF(O$321=0, 'RFM input'!$G459, 0), 0)</f>
        <v>0</v>
      </c>
      <c r="O629" s="1363">
        <f>IF(O$321&gt;0, IF(P$321=0, 'RFM input'!$G459, 0), 0)</f>
        <v>0</v>
      </c>
      <c r="P629" s="1363">
        <f>IF(P$321&gt;0, IF(Q$321=0, 'RFM input'!$G459, 0), 0)</f>
        <v>0</v>
      </c>
      <c r="Q629" s="1363">
        <f>IF(Q$321&gt;0, IF(R$321=0, 'RFM input'!$G459, 0), 0)</f>
        <v>0</v>
      </c>
      <c r="R629" s="248"/>
      <c r="S629" s="3"/>
      <c r="T629" s="3"/>
      <c r="U629" s="3"/>
      <c r="V629" s="3"/>
      <c r="W629" s="3"/>
      <c r="X629" s="3"/>
      <c r="Y629" s="3"/>
      <c r="Z629" s="3"/>
      <c r="AA629" s="152"/>
    </row>
    <row r="630" spans="1:27" hidden="1" outlineLevel="1">
      <c r="A630" s="3"/>
      <c r="B630" s="3"/>
      <c r="C630" s="152"/>
      <c r="D630" s="229">
        <f>Asset49</f>
        <v>0</v>
      </c>
      <c r="E630" s="3"/>
      <c r="F630" s="3"/>
      <c r="G630" s="248"/>
      <c r="H630" s="1341"/>
      <c r="I630" s="1363">
        <f>IF(I$321&gt;0, IF(J$321=0, 'RFM input'!$G460, 0), 0)</f>
        <v>0</v>
      </c>
      <c r="J630" s="1363">
        <f>IF(J$321&gt;0, IF(K$321=0, 'RFM input'!$G460, 0), 0)</f>
        <v>0</v>
      </c>
      <c r="K630" s="1363">
        <f>IF(K$321&gt;0, IF(L$321=0, 'RFM input'!$G460, 0), 0)</f>
        <v>0</v>
      </c>
      <c r="L630" s="1363">
        <f>IF(L$321&gt;0, IF(M$321=0, 'RFM input'!$G460, 0), 0)</f>
        <v>0</v>
      </c>
      <c r="M630" s="1363">
        <f>IF(M$321&gt;0, IF(N$321=0, 'RFM input'!$G460, 0), 0)</f>
        <v>0</v>
      </c>
      <c r="N630" s="1363">
        <f>IF(N$321&gt;0, IF(O$321=0, 'RFM input'!$G460, 0), 0)</f>
        <v>0</v>
      </c>
      <c r="O630" s="1363">
        <f>IF(O$321&gt;0, IF(P$321=0, 'RFM input'!$G460, 0), 0)</f>
        <v>0</v>
      </c>
      <c r="P630" s="1363">
        <f>IF(P$321&gt;0, IF(Q$321=0, 'RFM input'!$G460, 0), 0)</f>
        <v>0</v>
      </c>
      <c r="Q630" s="1363">
        <f>IF(Q$321&gt;0, IF(R$321=0, 'RFM input'!$G460, 0), 0)</f>
        <v>0</v>
      </c>
      <c r="R630" s="248"/>
      <c r="S630" s="3"/>
      <c r="T630" s="3"/>
      <c r="U630" s="3"/>
      <c r="V630" s="3"/>
      <c r="W630" s="3"/>
      <c r="X630" s="3"/>
      <c r="Y630" s="3"/>
      <c r="Z630" s="3"/>
      <c r="AA630" s="152"/>
    </row>
    <row r="631" spans="1:27" hidden="1" outlineLevel="1">
      <c r="A631" s="3"/>
      <c r="B631" s="3"/>
      <c r="C631" s="152"/>
      <c r="D631" s="229">
        <f>Asset50</f>
        <v>0</v>
      </c>
      <c r="E631" s="3"/>
      <c r="F631" s="3"/>
      <c r="G631" s="248"/>
      <c r="H631" s="1341"/>
      <c r="I631" s="1363">
        <f>IF(I$321&gt;0, IF(J$321=0, 'RFM input'!$G461, 0), 0)</f>
        <v>0</v>
      </c>
      <c r="J631" s="1363">
        <f>IF(J$321&gt;0, IF(K$321=0, 'RFM input'!$G461, 0), 0)</f>
        <v>0</v>
      </c>
      <c r="K631" s="1363">
        <f>IF(K$321&gt;0, IF(L$321=0, 'RFM input'!$G461, 0), 0)</f>
        <v>0</v>
      </c>
      <c r="L631" s="1363">
        <f>IF(L$321&gt;0, IF(M$321=0, 'RFM input'!$G461, 0), 0)</f>
        <v>0</v>
      </c>
      <c r="M631" s="1363">
        <f>IF(M$321&gt;0, IF(N$321=0, 'RFM input'!$G461, 0), 0)</f>
        <v>0</v>
      </c>
      <c r="N631" s="1363">
        <f>IF(N$321&gt;0, IF(O$321=0, 'RFM input'!$G461, 0), 0)</f>
        <v>0</v>
      </c>
      <c r="O631" s="1363">
        <f>IF(O$321&gt;0, IF(P$321=0, 'RFM input'!$G461, 0), 0)</f>
        <v>0</v>
      </c>
      <c r="P631" s="1363">
        <f>IF(P$321&gt;0, IF(Q$321=0, 'RFM input'!$G461, 0), 0)</f>
        <v>0</v>
      </c>
      <c r="Q631" s="1363">
        <f>IF(Q$321&gt;0, IF(R$321=0, 'RFM input'!$G461, 0), 0)</f>
        <v>0</v>
      </c>
      <c r="R631" s="248"/>
      <c r="S631" s="3"/>
      <c r="T631" s="3"/>
      <c r="U631" s="3"/>
      <c r="V631" s="3"/>
      <c r="W631" s="3"/>
      <c r="X631" s="3"/>
      <c r="Y631" s="3"/>
      <c r="Z631" s="3"/>
      <c r="AA631" s="152"/>
    </row>
    <row r="632" spans="1:27" collapsed="1">
      <c r="A632" s="3"/>
      <c r="B632" s="3"/>
      <c r="C632" s="3"/>
      <c r="D632" s="3"/>
      <c r="E632" s="3"/>
      <c r="F632" s="3"/>
      <c r="G632" s="248"/>
      <c r="H632" s="1409">
        <v>1</v>
      </c>
      <c r="I632" s="1410">
        <v>2</v>
      </c>
      <c r="J632" s="1410">
        <v>3</v>
      </c>
      <c r="K632" s="1410">
        <v>4</v>
      </c>
      <c r="L632" s="1410">
        <v>5</v>
      </c>
      <c r="M632" s="1410">
        <v>6</v>
      </c>
      <c r="N632" s="1411">
        <v>7</v>
      </c>
      <c r="O632" s="1410">
        <v>8</v>
      </c>
      <c r="P632" s="1410">
        <v>9</v>
      </c>
      <c r="Q632" s="1410">
        <v>10</v>
      </c>
      <c r="R632" s="248"/>
      <c r="S632" s="3"/>
      <c r="T632" s="3"/>
      <c r="U632" s="3"/>
      <c r="V632" s="3"/>
      <c r="W632" s="3"/>
      <c r="X632" s="3"/>
      <c r="Y632" s="3"/>
      <c r="Z632" s="3"/>
      <c r="AA632" s="152"/>
    </row>
    <row r="633" spans="1:27">
      <c r="A633" s="48"/>
      <c r="B633" s="48"/>
      <c r="C633" s="55" t="s">
        <v>539</v>
      </c>
      <c r="D633" s="48"/>
      <c r="E633" s="48"/>
      <c r="F633" s="48"/>
      <c r="G633" s="1368"/>
      <c r="H633" s="1368"/>
      <c r="I633" s="1412">
        <f t="shared" ref="I633:Q633" si="23">SUM(I634:I683)</f>
        <v>0</v>
      </c>
      <c r="J633" s="1412">
        <f t="shared" si="23"/>
        <v>0</v>
      </c>
      <c r="K633" s="1412">
        <f t="shared" si="23"/>
        <v>0</v>
      </c>
      <c r="L633" s="1412">
        <f t="shared" si="23"/>
        <v>0</v>
      </c>
      <c r="M633" s="1412">
        <f t="shared" si="23"/>
        <v>0</v>
      </c>
      <c r="N633" s="1412">
        <f t="shared" si="23"/>
        <v>577.61980341506899</v>
      </c>
      <c r="O633" s="1412">
        <f t="shared" si="23"/>
        <v>0</v>
      </c>
      <c r="P633" s="1412">
        <f t="shared" si="23"/>
        <v>0</v>
      </c>
      <c r="Q633" s="1412">
        <f t="shared" si="23"/>
        <v>0</v>
      </c>
      <c r="R633" s="1412"/>
      <c r="S633" s="3"/>
      <c r="T633" s="3"/>
      <c r="U633" s="3"/>
      <c r="V633" s="3"/>
      <c r="W633" s="3"/>
      <c r="X633" s="3"/>
      <c r="Y633" s="3"/>
      <c r="Z633" s="3"/>
      <c r="AA633" s="152"/>
    </row>
    <row r="634" spans="1:27" hidden="1" outlineLevel="1">
      <c r="A634" s="3"/>
      <c r="B634" s="3"/>
      <c r="C634" s="3"/>
      <c r="D634" s="133" t="str">
        <f>Asset1</f>
        <v>Mains</v>
      </c>
      <c r="E634" s="3"/>
      <c r="F634" s="3"/>
      <c r="G634" s="248"/>
      <c r="H634" s="248"/>
      <c r="I634" s="1363">
        <f t="shared" ref="I634:K634" si="24">IF(J$321=0, I322+I374+I426+I478+I530+I582, 0)</f>
        <v>0</v>
      </c>
      <c r="J634" s="1363">
        <f t="shared" si="24"/>
        <v>0</v>
      </c>
      <c r="K634" s="1363">
        <f t="shared" si="24"/>
        <v>0</v>
      </c>
      <c r="L634" s="1363">
        <f>IF(M$321=0, L322+L374+L426+L478+L530+L582, 0)</f>
        <v>0</v>
      </c>
      <c r="M634" s="1363">
        <f t="shared" ref="M634:Q634" si="25">IF(N$321=0, M322+M374+M426+M478+M530+M582, 0)</f>
        <v>0</v>
      </c>
      <c r="N634" s="1363">
        <f t="shared" si="25"/>
        <v>403.77788317863292</v>
      </c>
      <c r="O634" s="1363">
        <f t="shared" si="25"/>
        <v>0</v>
      </c>
      <c r="P634" s="1363">
        <f t="shared" si="25"/>
        <v>0</v>
      </c>
      <c r="Q634" s="1363">
        <f t="shared" si="25"/>
        <v>0</v>
      </c>
      <c r="R634" s="248"/>
      <c r="S634" s="3"/>
      <c r="T634" s="3"/>
      <c r="U634" s="3"/>
      <c r="V634" s="3"/>
      <c r="W634" s="3"/>
      <c r="X634" s="3"/>
      <c r="Y634" s="3"/>
      <c r="Z634" s="3"/>
      <c r="AA634" s="152"/>
    </row>
    <row r="635" spans="1:27" hidden="1" outlineLevel="1">
      <c r="A635" s="3"/>
      <c r="B635" s="3"/>
      <c r="C635" s="3"/>
      <c r="D635" s="133" t="str">
        <f>Asset2</f>
        <v>Inlets</v>
      </c>
      <c r="E635" s="3"/>
      <c r="F635" s="3"/>
      <c r="G635" s="248"/>
      <c r="H635" s="248"/>
      <c r="I635" s="1363">
        <f t="shared" ref="I635:L635" si="26">IF(J$321=0, I323+I375+I427+I479+I531+I583, 0)</f>
        <v>0</v>
      </c>
      <c r="J635" s="1363">
        <f t="shared" si="26"/>
        <v>0</v>
      </c>
      <c r="K635" s="1363">
        <f t="shared" si="26"/>
        <v>0</v>
      </c>
      <c r="L635" s="1363">
        <f t="shared" si="26"/>
        <v>0</v>
      </c>
      <c r="M635" s="1363">
        <f t="shared" ref="M635:Q635" si="27">IF(N$321=0, M323+M375+M427+M479+M531+M583, 0)</f>
        <v>0</v>
      </c>
      <c r="N635" s="1363">
        <f t="shared" si="27"/>
        <v>120.01515917462308</v>
      </c>
      <c r="O635" s="1363">
        <f t="shared" si="27"/>
        <v>0</v>
      </c>
      <c r="P635" s="1363">
        <f t="shared" si="27"/>
        <v>0</v>
      </c>
      <c r="Q635" s="1363">
        <f t="shared" si="27"/>
        <v>0</v>
      </c>
      <c r="R635" s="248"/>
      <c r="S635" s="3"/>
      <c r="T635" s="3"/>
      <c r="U635" s="3"/>
      <c r="V635" s="3"/>
      <c r="W635" s="3"/>
      <c r="X635" s="3"/>
      <c r="Y635" s="3"/>
      <c r="Z635" s="3"/>
      <c r="AA635" s="152"/>
    </row>
    <row r="636" spans="1:27" hidden="1" outlineLevel="1">
      <c r="A636" s="3"/>
      <c r="B636" s="3"/>
      <c r="C636" s="3"/>
      <c r="D636" s="133" t="str">
        <f>Asset3</f>
        <v>Meters</v>
      </c>
      <c r="E636" s="3"/>
      <c r="F636" s="3"/>
      <c r="G636" s="248"/>
      <c r="H636" s="248"/>
      <c r="I636" s="1363">
        <f t="shared" ref="I636:L636" si="28">IF(J$321=0, I324+I376+I428+I480+I532+I584, 0)</f>
        <v>0</v>
      </c>
      <c r="J636" s="1363">
        <f t="shared" si="28"/>
        <v>0</v>
      </c>
      <c r="K636" s="1363">
        <f t="shared" si="28"/>
        <v>0</v>
      </c>
      <c r="L636" s="1363">
        <f t="shared" si="28"/>
        <v>0</v>
      </c>
      <c r="M636" s="1363">
        <f t="shared" ref="M636:Q636" si="29">IF(N$321=0, M324+M376+M428+M480+M532+M584, 0)</f>
        <v>0</v>
      </c>
      <c r="N636" s="1363">
        <f t="shared" si="29"/>
        <v>22.979833548772593</v>
      </c>
      <c r="O636" s="1363">
        <f t="shared" si="29"/>
        <v>0</v>
      </c>
      <c r="P636" s="1363">
        <f t="shared" si="29"/>
        <v>0</v>
      </c>
      <c r="Q636" s="1363">
        <f t="shared" si="29"/>
        <v>0</v>
      </c>
      <c r="R636" s="248"/>
      <c r="S636" s="3"/>
      <c r="T636" s="3"/>
      <c r="U636" s="3"/>
      <c r="V636" s="3"/>
      <c r="W636" s="3"/>
      <c r="X636" s="3"/>
      <c r="Y636" s="3"/>
      <c r="Z636" s="3"/>
      <c r="AA636" s="152"/>
    </row>
    <row r="637" spans="1:27" hidden="1" outlineLevel="1">
      <c r="A637" s="3"/>
      <c r="B637" s="3"/>
      <c r="C637" s="3"/>
      <c r="D637" s="133" t="str">
        <f>Asset4</f>
        <v>Telemetry</v>
      </c>
      <c r="E637" s="3"/>
      <c r="F637" s="3"/>
      <c r="G637" s="248"/>
      <c r="H637" s="248"/>
      <c r="I637" s="1363">
        <f t="shared" ref="I637:L637" si="30">IF(J$321=0, I325+I377+I429+I481+I533+I585, 0)</f>
        <v>0</v>
      </c>
      <c r="J637" s="1363">
        <f t="shared" si="30"/>
        <v>0</v>
      </c>
      <c r="K637" s="1363">
        <f t="shared" si="30"/>
        <v>0</v>
      </c>
      <c r="L637" s="1363">
        <f t="shared" si="30"/>
        <v>0</v>
      </c>
      <c r="M637" s="1363">
        <f t="shared" ref="M637:Q637" si="31">IF(N$321=0, M325+M377+M429+M481+M533+M585, 0)</f>
        <v>0</v>
      </c>
      <c r="N637" s="1363">
        <f t="shared" si="31"/>
        <v>1.5989635233710837</v>
      </c>
      <c r="O637" s="1363">
        <f t="shared" si="31"/>
        <v>0</v>
      </c>
      <c r="P637" s="1363">
        <f t="shared" si="31"/>
        <v>0</v>
      </c>
      <c r="Q637" s="1363">
        <f t="shared" si="31"/>
        <v>0</v>
      </c>
      <c r="R637" s="248"/>
      <c r="S637" s="3"/>
      <c r="T637" s="3"/>
      <c r="U637" s="3"/>
      <c r="V637" s="3"/>
      <c r="W637" s="3"/>
      <c r="X637" s="3"/>
      <c r="Y637" s="3"/>
      <c r="Z637" s="3"/>
      <c r="AA637" s="152"/>
    </row>
    <row r="638" spans="1:27" hidden="1" outlineLevel="1">
      <c r="A638" s="3"/>
      <c r="B638" s="3"/>
      <c r="C638" s="3"/>
      <c r="D638" s="133" t="str">
        <f>Asset5</f>
        <v>IT System</v>
      </c>
      <c r="E638" s="3"/>
      <c r="F638" s="3"/>
      <c r="G638" s="248"/>
      <c r="H638" s="248"/>
      <c r="I638" s="1363">
        <f t="shared" ref="I638:L638" si="32">IF(J$321=0, I326+I378+I430+I482+I534+I586, 0)</f>
        <v>0</v>
      </c>
      <c r="J638" s="1363">
        <f t="shared" si="32"/>
        <v>0</v>
      </c>
      <c r="K638" s="1363">
        <f t="shared" si="32"/>
        <v>0</v>
      </c>
      <c r="L638" s="1363">
        <f t="shared" si="32"/>
        <v>0</v>
      </c>
      <c r="M638" s="1363">
        <f t="shared" ref="M638:Q638" si="33">IF(N$321=0, M326+M378+M430+M482+M534+M586, 0)</f>
        <v>0</v>
      </c>
      <c r="N638" s="1363">
        <f t="shared" si="33"/>
        <v>12.056009716826228</v>
      </c>
      <c r="O638" s="1363">
        <f t="shared" si="33"/>
        <v>0</v>
      </c>
      <c r="P638" s="1363">
        <f t="shared" si="33"/>
        <v>0</v>
      </c>
      <c r="Q638" s="1363">
        <f t="shared" si="33"/>
        <v>0</v>
      </c>
      <c r="R638" s="248"/>
      <c r="S638" s="3"/>
      <c r="T638" s="3"/>
      <c r="U638" s="3"/>
      <c r="V638" s="3"/>
      <c r="W638" s="3"/>
      <c r="X638" s="3"/>
      <c r="Y638" s="3"/>
      <c r="Z638" s="3"/>
      <c r="AA638" s="152"/>
    </row>
    <row r="639" spans="1:27" hidden="1" outlineLevel="1">
      <c r="A639" s="3"/>
      <c r="B639" s="3"/>
      <c r="C639" s="3"/>
      <c r="D639" s="133" t="str">
        <f>Asset6</f>
        <v>Other Distribution System Equipment</v>
      </c>
      <c r="E639" s="3"/>
      <c r="F639" s="3"/>
      <c r="G639" s="248"/>
      <c r="H639" s="248"/>
      <c r="I639" s="1363">
        <f t="shared" ref="I639:L639" si="34">IF(J$321=0, I327+I379+I431+I483+I535+I587, 0)</f>
        <v>0</v>
      </c>
      <c r="J639" s="1363">
        <f t="shared" si="34"/>
        <v>0</v>
      </c>
      <c r="K639" s="1363">
        <f t="shared" si="34"/>
        <v>0</v>
      </c>
      <c r="L639" s="1363">
        <f t="shared" si="34"/>
        <v>0</v>
      </c>
      <c r="M639" s="1363">
        <f t="shared" ref="M639:Q639" si="35">IF(N$321=0, M327+M379+M431+M483+M535+M587, 0)</f>
        <v>0</v>
      </c>
      <c r="N639" s="1363">
        <f t="shared" si="35"/>
        <v>17.232230540449116</v>
      </c>
      <c r="O639" s="1363">
        <f t="shared" si="35"/>
        <v>0</v>
      </c>
      <c r="P639" s="1363">
        <f t="shared" si="35"/>
        <v>0</v>
      </c>
      <c r="Q639" s="1363">
        <f t="shared" si="35"/>
        <v>0</v>
      </c>
      <c r="R639" s="248"/>
      <c r="S639" s="3"/>
      <c r="T639" s="3"/>
      <c r="U639" s="3"/>
      <c r="V639" s="3"/>
      <c r="W639" s="3"/>
      <c r="X639" s="3"/>
      <c r="Y639" s="3"/>
      <c r="Z639" s="3"/>
      <c r="AA639" s="152"/>
    </row>
    <row r="640" spans="1:27" hidden="1" outlineLevel="1">
      <c r="A640" s="3"/>
      <c r="B640" s="3"/>
      <c r="C640" s="3"/>
      <c r="D640" s="133" t="str">
        <f>Asset7</f>
        <v>Other</v>
      </c>
      <c r="E640" s="3"/>
      <c r="F640" s="3"/>
      <c r="G640" s="248"/>
      <c r="H640" s="248"/>
      <c r="I640" s="1363">
        <f t="shared" ref="I640:L640" si="36">IF(J$321=0, I328+I380+I432+I484+I536+I588, 0)</f>
        <v>0</v>
      </c>
      <c r="J640" s="1363">
        <f t="shared" si="36"/>
        <v>0</v>
      </c>
      <c r="K640" s="1363">
        <f t="shared" si="36"/>
        <v>0</v>
      </c>
      <c r="L640" s="1363">
        <f t="shared" si="36"/>
        <v>0</v>
      </c>
      <c r="M640" s="1363">
        <f t="shared" ref="M640:Q640" si="37">IF(N$321=0, M328+M380+M432+M484+M536+M588, 0)</f>
        <v>0</v>
      </c>
      <c r="N640" s="1363">
        <f t="shared" si="37"/>
        <v>-4.027626760602207E-2</v>
      </c>
      <c r="O640" s="1363">
        <f t="shared" si="37"/>
        <v>0</v>
      </c>
      <c r="P640" s="1363">
        <f t="shared" si="37"/>
        <v>0</v>
      </c>
      <c r="Q640" s="1363">
        <f t="shared" si="37"/>
        <v>0</v>
      </c>
      <c r="R640" s="248"/>
      <c r="S640" s="3"/>
      <c r="T640" s="3"/>
      <c r="U640" s="3"/>
      <c r="V640" s="3"/>
      <c r="W640" s="3"/>
      <c r="X640" s="3"/>
      <c r="Y640" s="3"/>
      <c r="Z640" s="3"/>
      <c r="AA640" s="152"/>
    </row>
    <row r="641" spans="1:27" hidden="1" outlineLevel="1">
      <c r="A641" s="3"/>
      <c r="B641" s="3"/>
      <c r="C641" s="3"/>
      <c r="D641" s="133">
        <f>Asset8</f>
        <v>0</v>
      </c>
      <c r="E641" s="3"/>
      <c r="F641" s="3"/>
      <c r="G641" s="248"/>
      <c r="H641" s="248"/>
      <c r="I641" s="1363">
        <f t="shared" ref="I641:L641" si="38">IF(J$321=0, I329+I381+I433+I485+I537+I589, 0)</f>
        <v>0</v>
      </c>
      <c r="J641" s="1363">
        <f t="shared" si="38"/>
        <v>0</v>
      </c>
      <c r="K641" s="1363">
        <f t="shared" si="38"/>
        <v>0</v>
      </c>
      <c r="L641" s="1363">
        <f t="shared" si="38"/>
        <v>0</v>
      </c>
      <c r="M641" s="1363">
        <f t="shared" ref="M641:Q641" si="39">IF(N$321=0, M329+M381+M433+M485+M537+M589, 0)</f>
        <v>0</v>
      </c>
      <c r="N641" s="1363">
        <f t="shared" si="39"/>
        <v>0</v>
      </c>
      <c r="O641" s="1363">
        <f t="shared" si="39"/>
        <v>0</v>
      </c>
      <c r="P641" s="1363">
        <f t="shared" si="39"/>
        <v>0</v>
      </c>
      <c r="Q641" s="1363">
        <f t="shared" si="39"/>
        <v>0</v>
      </c>
      <c r="R641" s="248"/>
      <c r="S641" s="3"/>
      <c r="T641" s="3"/>
      <c r="U641" s="3"/>
      <c r="V641" s="3"/>
      <c r="W641" s="3"/>
      <c r="X641" s="3"/>
      <c r="Y641" s="3"/>
      <c r="Z641" s="3"/>
      <c r="AA641" s="152"/>
    </row>
    <row r="642" spans="1:27" hidden="1" outlineLevel="1">
      <c r="A642" s="3"/>
      <c r="B642" s="3"/>
      <c r="C642" s="3"/>
      <c r="D642" s="133">
        <f>Asset9</f>
        <v>0</v>
      </c>
      <c r="E642" s="3"/>
      <c r="F642" s="3"/>
      <c r="G642" s="248"/>
      <c r="H642" s="248"/>
      <c r="I642" s="1363">
        <f t="shared" ref="I642:L642" si="40">IF(J$321=0, I330+I382+I434+I486+I538+I590, 0)</f>
        <v>0</v>
      </c>
      <c r="J642" s="1363">
        <f t="shared" si="40"/>
        <v>0</v>
      </c>
      <c r="K642" s="1363">
        <f t="shared" si="40"/>
        <v>0</v>
      </c>
      <c r="L642" s="1363">
        <f t="shared" si="40"/>
        <v>0</v>
      </c>
      <c r="M642" s="1363">
        <f t="shared" ref="M642:Q642" si="41">IF(N$321=0, M330+M382+M434+M486+M538+M590, 0)</f>
        <v>0</v>
      </c>
      <c r="N642" s="1363">
        <f t="shared" si="41"/>
        <v>0</v>
      </c>
      <c r="O642" s="1363">
        <f t="shared" si="41"/>
        <v>0</v>
      </c>
      <c r="P642" s="1363">
        <f t="shared" si="41"/>
        <v>0</v>
      </c>
      <c r="Q642" s="1363">
        <f t="shared" si="41"/>
        <v>0</v>
      </c>
      <c r="R642" s="248"/>
      <c r="S642" s="3"/>
      <c r="T642" s="3"/>
      <c r="U642" s="3"/>
      <c r="V642" s="3"/>
      <c r="W642" s="3"/>
      <c r="X642" s="3"/>
      <c r="Y642" s="3"/>
      <c r="Z642" s="3"/>
      <c r="AA642" s="152"/>
    </row>
    <row r="643" spans="1:27" hidden="1" outlineLevel="1">
      <c r="A643" s="3"/>
      <c r="B643" s="3"/>
      <c r="C643" s="3"/>
      <c r="D643" s="133">
        <f>Asset10</f>
        <v>0</v>
      </c>
      <c r="E643" s="3"/>
      <c r="F643" s="3"/>
      <c r="G643" s="248"/>
      <c r="H643" s="248"/>
      <c r="I643" s="1363">
        <f t="shared" ref="I643:L643" si="42">IF(J$321=0, I331+I383+I435+I487+I539+I591, 0)</f>
        <v>0</v>
      </c>
      <c r="J643" s="1363">
        <f t="shared" si="42"/>
        <v>0</v>
      </c>
      <c r="K643" s="1363">
        <f t="shared" si="42"/>
        <v>0</v>
      </c>
      <c r="L643" s="1363">
        <f t="shared" si="42"/>
        <v>0</v>
      </c>
      <c r="M643" s="1363">
        <f t="shared" ref="M643:Q643" si="43">IF(N$321=0, M331+M383+M435+M487+M539+M591, 0)</f>
        <v>0</v>
      </c>
      <c r="N643" s="1363">
        <f t="shared" si="43"/>
        <v>0</v>
      </c>
      <c r="O643" s="1363">
        <f t="shared" si="43"/>
        <v>0</v>
      </c>
      <c r="P643" s="1363">
        <f t="shared" si="43"/>
        <v>0</v>
      </c>
      <c r="Q643" s="1363">
        <f t="shared" si="43"/>
        <v>0</v>
      </c>
      <c r="R643" s="248"/>
      <c r="S643" s="3"/>
      <c r="T643" s="3"/>
      <c r="U643" s="3"/>
      <c r="V643" s="3"/>
      <c r="W643" s="3"/>
      <c r="X643" s="3"/>
      <c r="Y643" s="3"/>
      <c r="Z643" s="3"/>
      <c r="AA643" s="152"/>
    </row>
    <row r="644" spans="1:27" hidden="1" outlineLevel="1">
      <c r="A644" s="3"/>
      <c r="B644" s="3"/>
      <c r="C644" s="3"/>
      <c r="D644" s="133">
        <f>Asset11</f>
        <v>0</v>
      </c>
      <c r="E644" s="3"/>
      <c r="F644" s="3"/>
      <c r="G644" s="248"/>
      <c r="H644" s="248"/>
      <c r="I644" s="1363">
        <f t="shared" ref="I644:L644" si="44">IF(J$321=0, I332+I384+I436+I488+I540+I592, 0)</f>
        <v>0</v>
      </c>
      <c r="J644" s="1363">
        <f t="shared" si="44"/>
        <v>0</v>
      </c>
      <c r="K644" s="1363">
        <f t="shared" si="44"/>
        <v>0</v>
      </c>
      <c r="L644" s="1363">
        <f t="shared" si="44"/>
        <v>0</v>
      </c>
      <c r="M644" s="1363">
        <f t="shared" ref="M644:Q644" si="45">IF(N$321=0, M332+M384+M436+M488+M540+M592, 0)</f>
        <v>0</v>
      </c>
      <c r="N644" s="1363">
        <f t="shared" si="45"/>
        <v>0</v>
      </c>
      <c r="O644" s="1363">
        <f t="shared" si="45"/>
        <v>0</v>
      </c>
      <c r="P644" s="1363">
        <f t="shared" si="45"/>
        <v>0</v>
      </c>
      <c r="Q644" s="1363">
        <f t="shared" si="45"/>
        <v>0</v>
      </c>
      <c r="R644" s="248"/>
      <c r="S644" s="3"/>
      <c r="T644" s="3"/>
      <c r="U644" s="3"/>
      <c r="V644" s="3"/>
      <c r="W644" s="3"/>
      <c r="X644" s="3"/>
      <c r="Y644" s="3"/>
      <c r="Z644" s="3"/>
      <c r="AA644" s="152"/>
    </row>
    <row r="645" spans="1:27" hidden="1" outlineLevel="1">
      <c r="A645" s="3"/>
      <c r="B645" s="3"/>
      <c r="C645" s="3"/>
      <c r="D645" s="133">
        <f>Asset12</f>
        <v>0</v>
      </c>
      <c r="E645" s="3"/>
      <c r="F645" s="3"/>
      <c r="G645" s="248"/>
      <c r="H645" s="248"/>
      <c r="I645" s="1363">
        <f t="shared" ref="I645:L645" si="46">IF(J$321=0, I333+I385+I437+I489+I541+I593, 0)</f>
        <v>0</v>
      </c>
      <c r="J645" s="1363">
        <f t="shared" si="46"/>
        <v>0</v>
      </c>
      <c r="K645" s="1363">
        <f t="shared" si="46"/>
        <v>0</v>
      </c>
      <c r="L645" s="1363">
        <f t="shared" si="46"/>
        <v>0</v>
      </c>
      <c r="M645" s="1363">
        <f t="shared" ref="M645:Q645" si="47">IF(N$321=0, M333+M385+M437+M489+M541+M593, 0)</f>
        <v>0</v>
      </c>
      <c r="N645" s="1363">
        <f t="shared" si="47"/>
        <v>0</v>
      </c>
      <c r="O645" s="1363">
        <f t="shared" si="47"/>
        <v>0</v>
      </c>
      <c r="P645" s="1363">
        <f t="shared" si="47"/>
        <v>0</v>
      </c>
      <c r="Q645" s="1363">
        <f t="shared" si="47"/>
        <v>0</v>
      </c>
      <c r="R645" s="248"/>
      <c r="S645" s="3"/>
      <c r="T645" s="3"/>
      <c r="U645" s="3"/>
      <c r="V645" s="3"/>
      <c r="W645" s="3"/>
      <c r="X645" s="3"/>
      <c r="Y645" s="3"/>
      <c r="Z645" s="3"/>
      <c r="AA645" s="152"/>
    </row>
    <row r="646" spans="1:27" hidden="1" outlineLevel="1">
      <c r="A646" s="3"/>
      <c r="B646" s="3"/>
      <c r="C646" s="3"/>
      <c r="D646" s="133">
        <f>Asset13</f>
        <v>0</v>
      </c>
      <c r="E646" s="3"/>
      <c r="F646" s="3"/>
      <c r="G646" s="248"/>
      <c r="H646" s="248"/>
      <c r="I646" s="1363">
        <f t="shared" ref="I646:L646" si="48">IF(J$321=0, I334+I386+I438+I490+I542+I594, 0)</f>
        <v>0</v>
      </c>
      <c r="J646" s="1363">
        <f t="shared" si="48"/>
        <v>0</v>
      </c>
      <c r="K646" s="1363">
        <f t="shared" si="48"/>
        <v>0</v>
      </c>
      <c r="L646" s="1363">
        <f t="shared" si="48"/>
        <v>0</v>
      </c>
      <c r="M646" s="1363">
        <f t="shared" ref="M646:Q646" si="49">IF(N$321=0, M334+M386+M438+M490+M542+M594, 0)</f>
        <v>0</v>
      </c>
      <c r="N646" s="1363">
        <f t="shared" si="49"/>
        <v>0</v>
      </c>
      <c r="O646" s="1363">
        <f t="shared" si="49"/>
        <v>0</v>
      </c>
      <c r="P646" s="1363">
        <f t="shared" si="49"/>
        <v>0</v>
      </c>
      <c r="Q646" s="1363">
        <f t="shared" si="49"/>
        <v>0</v>
      </c>
      <c r="R646" s="248"/>
      <c r="S646" s="3"/>
      <c r="T646" s="3"/>
      <c r="U646" s="3"/>
      <c r="V646" s="3"/>
      <c r="W646" s="3"/>
      <c r="X646" s="3"/>
      <c r="Y646" s="3"/>
      <c r="Z646" s="3"/>
      <c r="AA646" s="152"/>
    </row>
    <row r="647" spans="1:27" hidden="1" outlineLevel="1">
      <c r="A647" s="3"/>
      <c r="B647" s="3"/>
      <c r="C647" s="3"/>
      <c r="D647" s="133">
        <f>Asset14</f>
        <v>0</v>
      </c>
      <c r="E647" s="3"/>
      <c r="F647" s="3"/>
      <c r="G647" s="248"/>
      <c r="H647" s="248"/>
      <c r="I647" s="1363">
        <f t="shared" ref="I647:L647" si="50">IF(J$321=0, I335+I387+I439+I491+I543+I595, 0)</f>
        <v>0</v>
      </c>
      <c r="J647" s="1363">
        <f t="shared" si="50"/>
        <v>0</v>
      </c>
      <c r="K647" s="1363">
        <f t="shared" si="50"/>
        <v>0</v>
      </c>
      <c r="L647" s="1363">
        <f t="shared" si="50"/>
        <v>0</v>
      </c>
      <c r="M647" s="1363">
        <f t="shared" ref="M647:Q647" si="51">IF(N$321=0, M335+M387+M439+M491+M543+M595, 0)</f>
        <v>0</v>
      </c>
      <c r="N647" s="1363">
        <f t="shared" si="51"/>
        <v>0</v>
      </c>
      <c r="O647" s="1363">
        <f t="shared" si="51"/>
        <v>0</v>
      </c>
      <c r="P647" s="1363">
        <f t="shared" si="51"/>
        <v>0</v>
      </c>
      <c r="Q647" s="1363">
        <f t="shared" si="51"/>
        <v>0</v>
      </c>
      <c r="R647" s="248"/>
      <c r="S647" s="3"/>
      <c r="T647" s="3"/>
      <c r="U647" s="3"/>
      <c r="V647" s="3"/>
      <c r="W647" s="3"/>
      <c r="X647" s="3"/>
      <c r="Y647" s="3"/>
      <c r="Z647" s="3"/>
      <c r="AA647" s="152"/>
    </row>
    <row r="648" spans="1:27" hidden="1" outlineLevel="1">
      <c r="A648" s="3"/>
      <c r="B648" s="3"/>
      <c r="C648" s="3"/>
      <c r="D648" s="133">
        <f>Asset15</f>
        <v>0</v>
      </c>
      <c r="E648" s="3"/>
      <c r="F648" s="3"/>
      <c r="G648" s="248"/>
      <c r="H648" s="248"/>
      <c r="I648" s="1363">
        <f t="shared" ref="I648:L648" si="52">IF(J$321=0, I336+I388+I440+I492+I544+I596, 0)</f>
        <v>0</v>
      </c>
      <c r="J648" s="1363">
        <f t="shared" si="52"/>
        <v>0</v>
      </c>
      <c r="K648" s="1363">
        <f t="shared" si="52"/>
        <v>0</v>
      </c>
      <c r="L648" s="1363">
        <f t="shared" si="52"/>
        <v>0</v>
      </c>
      <c r="M648" s="1363">
        <f t="shared" ref="M648:Q648" si="53">IF(N$321=0, M336+M388+M440+M492+M544+M596, 0)</f>
        <v>0</v>
      </c>
      <c r="N648" s="1363">
        <f t="shared" si="53"/>
        <v>0</v>
      </c>
      <c r="O648" s="1363">
        <f t="shared" si="53"/>
        <v>0</v>
      </c>
      <c r="P648" s="1363">
        <f t="shared" si="53"/>
        <v>0</v>
      </c>
      <c r="Q648" s="1363">
        <f t="shared" si="53"/>
        <v>0</v>
      </c>
      <c r="R648" s="248"/>
      <c r="S648" s="3"/>
      <c r="T648" s="3"/>
      <c r="U648" s="3"/>
      <c r="V648" s="3"/>
      <c r="W648" s="3"/>
      <c r="X648" s="3"/>
      <c r="Y648" s="3"/>
      <c r="Z648" s="3"/>
      <c r="AA648" s="152"/>
    </row>
    <row r="649" spans="1:27" hidden="1" outlineLevel="1">
      <c r="A649" s="3"/>
      <c r="B649" s="3"/>
      <c r="C649" s="3"/>
      <c r="D649" s="133">
        <f>Asset16</f>
        <v>0</v>
      </c>
      <c r="E649" s="3"/>
      <c r="F649" s="3"/>
      <c r="G649" s="248"/>
      <c r="H649" s="248"/>
      <c r="I649" s="1363">
        <f t="shared" ref="I649:L649" si="54">IF(J$321=0, I337+I389+I441+I493+I545+I597, 0)</f>
        <v>0</v>
      </c>
      <c r="J649" s="1363">
        <f t="shared" si="54"/>
        <v>0</v>
      </c>
      <c r="K649" s="1363">
        <f t="shared" si="54"/>
        <v>0</v>
      </c>
      <c r="L649" s="1363">
        <f t="shared" si="54"/>
        <v>0</v>
      </c>
      <c r="M649" s="1363">
        <f t="shared" ref="M649:Q649" si="55">IF(N$321=0, M337+M389+M441+M493+M545+M597, 0)</f>
        <v>0</v>
      </c>
      <c r="N649" s="1363">
        <f t="shared" si="55"/>
        <v>0</v>
      </c>
      <c r="O649" s="1363">
        <f t="shared" si="55"/>
        <v>0</v>
      </c>
      <c r="P649" s="1363">
        <f t="shared" si="55"/>
        <v>0</v>
      </c>
      <c r="Q649" s="1363">
        <f t="shared" si="55"/>
        <v>0</v>
      </c>
      <c r="R649" s="248"/>
      <c r="S649" s="3"/>
      <c r="T649" s="3"/>
      <c r="U649" s="3"/>
      <c r="V649" s="3"/>
      <c r="W649" s="3"/>
      <c r="X649" s="3"/>
      <c r="Y649" s="3"/>
      <c r="Z649" s="3"/>
      <c r="AA649" s="152"/>
    </row>
    <row r="650" spans="1:27" hidden="1" outlineLevel="1">
      <c r="A650" s="3"/>
      <c r="B650" s="3"/>
      <c r="C650" s="3"/>
      <c r="D650" s="133">
        <f>Asset17</f>
        <v>0</v>
      </c>
      <c r="E650" s="3"/>
      <c r="F650" s="3"/>
      <c r="G650" s="248"/>
      <c r="H650" s="248"/>
      <c r="I650" s="1363">
        <f t="shared" ref="I650:L650" si="56">IF(J$321=0, I338+I390+I442+I494+I546+I598, 0)</f>
        <v>0</v>
      </c>
      <c r="J650" s="1363">
        <f t="shared" si="56"/>
        <v>0</v>
      </c>
      <c r="K650" s="1363">
        <f t="shared" si="56"/>
        <v>0</v>
      </c>
      <c r="L650" s="1363">
        <f t="shared" si="56"/>
        <v>0</v>
      </c>
      <c r="M650" s="1363">
        <f t="shared" ref="M650:Q650" si="57">IF(N$321=0, M338+M390+M442+M494+M546+M598, 0)</f>
        <v>0</v>
      </c>
      <c r="N650" s="1363">
        <f t="shared" si="57"/>
        <v>0</v>
      </c>
      <c r="O650" s="1363">
        <f t="shared" si="57"/>
        <v>0</v>
      </c>
      <c r="P650" s="1363">
        <f t="shared" si="57"/>
        <v>0</v>
      </c>
      <c r="Q650" s="1363">
        <f t="shared" si="57"/>
        <v>0</v>
      </c>
      <c r="R650" s="248"/>
      <c r="S650" s="3"/>
      <c r="T650" s="3"/>
      <c r="U650" s="3"/>
      <c r="V650" s="3"/>
      <c r="W650" s="3"/>
      <c r="X650" s="3"/>
      <c r="Y650" s="3"/>
      <c r="Z650" s="3"/>
      <c r="AA650" s="152"/>
    </row>
    <row r="651" spans="1:27" hidden="1" outlineLevel="1">
      <c r="A651" s="3"/>
      <c r="B651" s="3"/>
      <c r="C651" s="3"/>
      <c r="D651" s="133">
        <f>Asset18</f>
        <v>0</v>
      </c>
      <c r="E651" s="3"/>
      <c r="F651" s="3"/>
      <c r="G651" s="248"/>
      <c r="H651" s="248"/>
      <c r="I651" s="1363">
        <f t="shared" ref="I651:L651" si="58">IF(J$321=0, I339+I391+I443+I495+I547+I599, 0)</f>
        <v>0</v>
      </c>
      <c r="J651" s="1363">
        <f t="shared" si="58"/>
        <v>0</v>
      </c>
      <c r="K651" s="1363">
        <f t="shared" si="58"/>
        <v>0</v>
      </c>
      <c r="L651" s="1363">
        <f t="shared" si="58"/>
        <v>0</v>
      </c>
      <c r="M651" s="1363">
        <f t="shared" ref="M651:Q651" si="59">IF(N$321=0, M339+M391+M443+M495+M547+M599, 0)</f>
        <v>0</v>
      </c>
      <c r="N651" s="1363">
        <f t="shared" si="59"/>
        <v>0</v>
      </c>
      <c r="O651" s="1363">
        <f t="shared" si="59"/>
        <v>0</v>
      </c>
      <c r="P651" s="1363">
        <f t="shared" si="59"/>
        <v>0</v>
      </c>
      <c r="Q651" s="1363">
        <f t="shared" si="59"/>
        <v>0</v>
      </c>
      <c r="R651" s="248"/>
      <c r="S651" s="3"/>
      <c r="T651" s="3"/>
      <c r="U651" s="3"/>
      <c r="V651" s="3"/>
      <c r="W651" s="3"/>
      <c r="X651" s="3"/>
      <c r="Y651" s="3"/>
      <c r="Z651" s="3"/>
      <c r="AA651" s="152"/>
    </row>
    <row r="652" spans="1:27" hidden="1" outlineLevel="1">
      <c r="A652" s="3"/>
      <c r="B652" s="3"/>
      <c r="C652" s="3"/>
      <c r="D652" s="133">
        <f>Asset19</f>
        <v>0</v>
      </c>
      <c r="E652" s="3"/>
      <c r="F652" s="3"/>
      <c r="G652" s="248"/>
      <c r="H652" s="248"/>
      <c r="I652" s="1363">
        <f t="shared" ref="I652:L652" si="60">IF(J$321=0, I340+I392+I444+I496+I548+I600, 0)</f>
        <v>0</v>
      </c>
      <c r="J652" s="1363">
        <f t="shared" si="60"/>
        <v>0</v>
      </c>
      <c r="K652" s="1363">
        <f t="shared" si="60"/>
        <v>0</v>
      </c>
      <c r="L652" s="1363">
        <f t="shared" si="60"/>
        <v>0</v>
      </c>
      <c r="M652" s="1363">
        <f t="shared" ref="M652:Q652" si="61">IF(N$321=0, M340+M392+M444+M496+M548+M600, 0)</f>
        <v>0</v>
      </c>
      <c r="N652" s="1363">
        <f t="shared" si="61"/>
        <v>0</v>
      </c>
      <c r="O652" s="1363">
        <f t="shared" si="61"/>
        <v>0</v>
      </c>
      <c r="P652" s="1363">
        <f t="shared" si="61"/>
        <v>0</v>
      </c>
      <c r="Q652" s="1363">
        <f t="shared" si="61"/>
        <v>0</v>
      </c>
      <c r="R652" s="248"/>
      <c r="S652" s="3"/>
      <c r="T652" s="3"/>
      <c r="U652" s="3"/>
      <c r="V652" s="3"/>
      <c r="W652" s="3"/>
      <c r="X652" s="3"/>
      <c r="Y652" s="3"/>
      <c r="Z652" s="3"/>
      <c r="AA652" s="152"/>
    </row>
    <row r="653" spans="1:27" hidden="1" outlineLevel="1">
      <c r="A653" s="3"/>
      <c r="B653" s="3"/>
      <c r="C653" s="3"/>
      <c r="D653" s="133">
        <f>Asset20</f>
        <v>0</v>
      </c>
      <c r="E653" s="3"/>
      <c r="F653" s="3"/>
      <c r="G653" s="248"/>
      <c r="H653" s="248"/>
      <c r="I653" s="1363">
        <f t="shared" ref="I653:L653" si="62">IF(J$321=0, I341+I393+I445+I497+I549+I601, 0)</f>
        <v>0</v>
      </c>
      <c r="J653" s="1363">
        <f t="shared" si="62"/>
        <v>0</v>
      </c>
      <c r="K653" s="1363">
        <f t="shared" si="62"/>
        <v>0</v>
      </c>
      <c r="L653" s="1363">
        <f t="shared" si="62"/>
        <v>0</v>
      </c>
      <c r="M653" s="1363">
        <f t="shared" ref="M653:Q653" si="63">IF(N$321=0, M341+M393+M445+M497+M549+M601, 0)</f>
        <v>0</v>
      </c>
      <c r="N653" s="1363">
        <f t="shared" si="63"/>
        <v>0</v>
      </c>
      <c r="O653" s="1363">
        <f t="shared" si="63"/>
        <v>0</v>
      </c>
      <c r="P653" s="1363">
        <f t="shared" si="63"/>
        <v>0</v>
      </c>
      <c r="Q653" s="1363">
        <f t="shared" si="63"/>
        <v>0</v>
      </c>
      <c r="R653" s="248"/>
      <c r="S653" s="3"/>
      <c r="T653" s="3"/>
      <c r="U653" s="3"/>
      <c r="V653" s="3"/>
      <c r="W653" s="3"/>
      <c r="X653" s="3"/>
      <c r="Y653" s="3"/>
      <c r="Z653" s="3"/>
      <c r="AA653" s="152"/>
    </row>
    <row r="654" spans="1:27" hidden="1" outlineLevel="1">
      <c r="A654" s="3"/>
      <c r="B654" s="3"/>
      <c r="C654" s="3"/>
      <c r="D654" s="133">
        <f>Asset21</f>
        <v>0</v>
      </c>
      <c r="E654" s="3"/>
      <c r="F654" s="3"/>
      <c r="G654" s="248"/>
      <c r="H654" s="248"/>
      <c r="I654" s="1363">
        <f t="shared" ref="I654:L654" si="64">IF(J$321=0, I342+I394+I446+I498+I550+I602, 0)</f>
        <v>0</v>
      </c>
      <c r="J654" s="1363">
        <f t="shared" si="64"/>
        <v>0</v>
      </c>
      <c r="K654" s="1363">
        <f t="shared" si="64"/>
        <v>0</v>
      </c>
      <c r="L654" s="1363">
        <f t="shared" si="64"/>
        <v>0</v>
      </c>
      <c r="M654" s="1363">
        <f t="shared" ref="M654:Q654" si="65">IF(N$321=0, M342+M394+M446+M498+M550+M602, 0)</f>
        <v>0</v>
      </c>
      <c r="N654" s="1363">
        <f t="shared" si="65"/>
        <v>0</v>
      </c>
      <c r="O654" s="1363">
        <f t="shared" si="65"/>
        <v>0</v>
      </c>
      <c r="P654" s="1363">
        <f t="shared" si="65"/>
        <v>0</v>
      </c>
      <c r="Q654" s="1363">
        <f t="shared" si="65"/>
        <v>0</v>
      </c>
      <c r="R654" s="248"/>
      <c r="S654" s="3"/>
      <c r="T654" s="3"/>
      <c r="U654" s="3"/>
      <c r="V654" s="3"/>
      <c r="W654" s="3"/>
      <c r="X654" s="3"/>
      <c r="Y654" s="3"/>
      <c r="Z654" s="3"/>
      <c r="AA654" s="152"/>
    </row>
    <row r="655" spans="1:27" hidden="1" outlineLevel="1">
      <c r="A655" s="3"/>
      <c r="B655" s="3"/>
      <c r="C655" s="3"/>
      <c r="D655" s="133">
        <f>Asset22</f>
        <v>0</v>
      </c>
      <c r="E655" s="3"/>
      <c r="F655" s="3"/>
      <c r="G655" s="248"/>
      <c r="H655" s="248"/>
      <c r="I655" s="1363">
        <f t="shared" ref="I655:L655" si="66">IF(J$321=0, I343+I395+I447+I499+I551+I603, 0)</f>
        <v>0</v>
      </c>
      <c r="J655" s="1363">
        <f t="shared" si="66"/>
        <v>0</v>
      </c>
      <c r="K655" s="1363">
        <f t="shared" si="66"/>
        <v>0</v>
      </c>
      <c r="L655" s="1363">
        <f t="shared" si="66"/>
        <v>0</v>
      </c>
      <c r="M655" s="1363">
        <f t="shared" ref="M655:Q655" si="67">IF(N$321=0, M343+M395+M447+M499+M551+M603, 0)</f>
        <v>0</v>
      </c>
      <c r="N655" s="1363">
        <f t="shared" si="67"/>
        <v>0</v>
      </c>
      <c r="O655" s="1363">
        <f t="shared" si="67"/>
        <v>0</v>
      </c>
      <c r="P655" s="1363">
        <f t="shared" si="67"/>
        <v>0</v>
      </c>
      <c r="Q655" s="1363">
        <f t="shared" si="67"/>
        <v>0</v>
      </c>
      <c r="R655" s="248"/>
      <c r="S655" s="3"/>
      <c r="T655" s="3"/>
      <c r="U655" s="3"/>
      <c r="V655" s="3"/>
      <c r="W655" s="3"/>
      <c r="X655" s="3"/>
      <c r="Y655" s="3"/>
      <c r="Z655" s="3"/>
      <c r="AA655" s="152"/>
    </row>
    <row r="656" spans="1:27" hidden="1" outlineLevel="1">
      <c r="A656" s="3"/>
      <c r="B656" s="3"/>
      <c r="C656" s="3"/>
      <c r="D656" s="133">
        <f>Asset23</f>
        <v>0</v>
      </c>
      <c r="E656" s="3"/>
      <c r="F656" s="3"/>
      <c r="G656" s="248"/>
      <c r="H656" s="248"/>
      <c r="I656" s="1363">
        <f t="shared" ref="I656:L656" si="68">IF(J$321=0, I344+I396+I448+I500+I552+I604, 0)</f>
        <v>0</v>
      </c>
      <c r="J656" s="1363">
        <f t="shared" si="68"/>
        <v>0</v>
      </c>
      <c r="K656" s="1363">
        <f t="shared" si="68"/>
        <v>0</v>
      </c>
      <c r="L656" s="1363">
        <f t="shared" si="68"/>
        <v>0</v>
      </c>
      <c r="M656" s="1363">
        <f t="shared" ref="M656:Q656" si="69">IF(N$321=0, M344+M396+M448+M500+M552+M604, 0)</f>
        <v>0</v>
      </c>
      <c r="N656" s="1363">
        <f t="shared" si="69"/>
        <v>0</v>
      </c>
      <c r="O656" s="1363">
        <f t="shared" si="69"/>
        <v>0</v>
      </c>
      <c r="P656" s="1363">
        <f t="shared" si="69"/>
        <v>0</v>
      </c>
      <c r="Q656" s="1363">
        <f t="shared" si="69"/>
        <v>0</v>
      </c>
      <c r="R656" s="248"/>
      <c r="S656" s="3"/>
      <c r="T656" s="3"/>
      <c r="U656" s="3"/>
      <c r="V656" s="3"/>
      <c r="W656" s="3"/>
      <c r="X656" s="3"/>
      <c r="Y656" s="3"/>
      <c r="Z656" s="3"/>
      <c r="AA656" s="152"/>
    </row>
    <row r="657" spans="1:27" hidden="1" outlineLevel="1">
      <c r="A657" s="3"/>
      <c r="B657" s="3"/>
      <c r="C657" s="3"/>
      <c r="D657" s="133">
        <f>Asset24</f>
        <v>0</v>
      </c>
      <c r="E657" s="3"/>
      <c r="F657" s="3"/>
      <c r="G657" s="248"/>
      <c r="H657" s="248"/>
      <c r="I657" s="1363">
        <f t="shared" ref="I657:L657" si="70">IF(J$321=0, I345+I397+I449+I501+I553+I605, 0)</f>
        <v>0</v>
      </c>
      <c r="J657" s="1363">
        <f t="shared" si="70"/>
        <v>0</v>
      </c>
      <c r="K657" s="1363">
        <f t="shared" si="70"/>
        <v>0</v>
      </c>
      <c r="L657" s="1363">
        <f t="shared" si="70"/>
        <v>0</v>
      </c>
      <c r="M657" s="1363">
        <f t="shared" ref="M657:Q657" si="71">IF(N$321=0, M345+M397+M449+M501+M553+M605, 0)</f>
        <v>0</v>
      </c>
      <c r="N657" s="1363">
        <f t="shared" si="71"/>
        <v>0</v>
      </c>
      <c r="O657" s="1363">
        <f t="shared" si="71"/>
        <v>0</v>
      </c>
      <c r="P657" s="1363">
        <f t="shared" si="71"/>
        <v>0</v>
      </c>
      <c r="Q657" s="1363">
        <f t="shared" si="71"/>
        <v>0</v>
      </c>
      <c r="R657" s="248"/>
      <c r="S657" s="3"/>
      <c r="T657" s="3"/>
      <c r="U657" s="3"/>
      <c r="V657" s="3"/>
      <c r="W657" s="3"/>
      <c r="X657" s="3"/>
      <c r="Y657" s="3"/>
      <c r="Z657" s="3"/>
      <c r="AA657" s="152"/>
    </row>
    <row r="658" spans="1:27" hidden="1" outlineLevel="1">
      <c r="A658" s="3"/>
      <c r="B658" s="3"/>
      <c r="C658" s="3"/>
      <c r="D658" s="133">
        <f>Asset25</f>
        <v>0</v>
      </c>
      <c r="E658" s="3"/>
      <c r="F658" s="3"/>
      <c r="G658" s="248"/>
      <c r="H658" s="248"/>
      <c r="I658" s="1363">
        <f t="shared" ref="I658:L658" si="72">IF(J$321=0, I346+I398+I450+I502+I554+I606, 0)</f>
        <v>0</v>
      </c>
      <c r="J658" s="1363">
        <f t="shared" si="72"/>
        <v>0</v>
      </c>
      <c r="K658" s="1363">
        <f t="shared" si="72"/>
        <v>0</v>
      </c>
      <c r="L658" s="1363">
        <f t="shared" si="72"/>
        <v>0</v>
      </c>
      <c r="M658" s="1363">
        <f t="shared" ref="M658:Q658" si="73">IF(N$321=0, M346+M398+M450+M502+M554+M606, 0)</f>
        <v>0</v>
      </c>
      <c r="N658" s="1363">
        <f t="shared" si="73"/>
        <v>0</v>
      </c>
      <c r="O658" s="1363">
        <f t="shared" si="73"/>
        <v>0</v>
      </c>
      <c r="P658" s="1363">
        <f t="shared" si="73"/>
        <v>0</v>
      </c>
      <c r="Q658" s="1363">
        <f t="shared" si="73"/>
        <v>0</v>
      </c>
      <c r="R658" s="248"/>
      <c r="S658" s="3"/>
      <c r="T658" s="3"/>
      <c r="U658" s="3"/>
      <c r="V658" s="3"/>
      <c r="W658" s="3"/>
      <c r="X658" s="3"/>
      <c r="Y658" s="3"/>
      <c r="Z658" s="3"/>
      <c r="AA658" s="152"/>
    </row>
    <row r="659" spans="1:27" hidden="1" outlineLevel="1">
      <c r="A659" s="3"/>
      <c r="B659" s="3"/>
      <c r="C659" s="3"/>
      <c r="D659" s="133">
        <f>Asset26</f>
        <v>0</v>
      </c>
      <c r="E659" s="3"/>
      <c r="F659" s="3"/>
      <c r="G659" s="248"/>
      <c r="H659" s="248"/>
      <c r="I659" s="1363">
        <f t="shared" ref="I659:L659" si="74">IF(J$321=0, I347+I399+I451+I503+I555+I607, 0)</f>
        <v>0</v>
      </c>
      <c r="J659" s="1363">
        <f t="shared" si="74"/>
        <v>0</v>
      </c>
      <c r="K659" s="1363">
        <f t="shared" si="74"/>
        <v>0</v>
      </c>
      <c r="L659" s="1363">
        <f t="shared" si="74"/>
        <v>0</v>
      </c>
      <c r="M659" s="1363">
        <f t="shared" ref="M659:Q659" si="75">IF(N$321=0, M347+M399+M451+M503+M555+M607, 0)</f>
        <v>0</v>
      </c>
      <c r="N659" s="1363">
        <f t="shared" si="75"/>
        <v>0</v>
      </c>
      <c r="O659" s="1363">
        <f t="shared" si="75"/>
        <v>0</v>
      </c>
      <c r="P659" s="1363">
        <f t="shared" si="75"/>
        <v>0</v>
      </c>
      <c r="Q659" s="1363">
        <f t="shared" si="75"/>
        <v>0</v>
      </c>
      <c r="R659" s="248"/>
      <c r="S659" s="3"/>
      <c r="T659" s="3"/>
      <c r="U659" s="3"/>
      <c r="V659" s="3"/>
      <c r="W659" s="3"/>
      <c r="X659" s="3"/>
      <c r="Y659" s="3"/>
      <c r="Z659" s="3"/>
      <c r="AA659" s="152"/>
    </row>
    <row r="660" spans="1:27" hidden="1" outlineLevel="1">
      <c r="A660" s="3"/>
      <c r="B660" s="3"/>
      <c r="C660" s="3"/>
      <c r="D660" s="133">
        <f>Asset27</f>
        <v>0</v>
      </c>
      <c r="E660" s="3"/>
      <c r="F660" s="3"/>
      <c r="G660" s="248"/>
      <c r="H660" s="248"/>
      <c r="I660" s="1363">
        <f t="shared" ref="I660:L660" si="76">IF(J$321=0, I348+I400+I452+I504+I556+I608, 0)</f>
        <v>0</v>
      </c>
      <c r="J660" s="1363">
        <f t="shared" si="76"/>
        <v>0</v>
      </c>
      <c r="K660" s="1363">
        <f t="shared" si="76"/>
        <v>0</v>
      </c>
      <c r="L660" s="1363">
        <f t="shared" si="76"/>
        <v>0</v>
      </c>
      <c r="M660" s="1363">
        <f t="shared" ref="M660:Q660" si="77">IF(N$321=0, M348+M400+M452+M504+M556+M608, 0)</f>
        <v>0</v>
      </c>
      <c r="N660" s="1363">
        <f t="shared" si="77"/>
        <v>0</v>
      </c>
      <c r="O660" s="1363">
        <f t="shared" si="77"/>
        <v>0</v>
      </c>
      <c r="P660" s="1363">
        <f t="shared" si="77"/>
        <v>0</v>
      </c>
      <c r="Q660" s="1363">
        <f t="shared" si="77"/>
        <v>0</v>
      </c>
      <c r="R660" s="248"/>
      <c r="S660" s="3"/>
      <c r="T660" s="3"/>
      <c r="U660" s="3"/>
      <c r="V660" s="3"/>
      <c r="W660" s="3"/>
      <c r="X660" s="3"/>
      <c r="Y660" s="3"/>
      <c r="Z660" s="3"/>
      <c r="AA660" s="152"/>
    </row>
    <row r="661" spans="1:27" hidden="1" outlineLevel="1">
      <c r="A661" s="3"/>
      <c r="B661" s="3"/>
      <c r="C661" s="3"/>
      <c r="D661" s="133">
        <f>Asset28</f>
        <v>0</v>
      </c>
      <c r="E661" s="3"/>
      <c r="F661" s="3"/>
      <c r="G661" s="248"/>
      <c r="H661" s="248"/>
      <c r="I661" s="1363">
        <f t="shared" ref="I661:L661" si="78">IF(J$321=0, I349+I401+I453+I505+I557+I609, 0)</f>
        <v>0</v>
      </c>
      <c r="J661" s="1363">
        <f t="shared" si="78"/>
        <v>0</v>
      </c>
      <c r="K661" s="1363">
        <f t="shared" si="78"/>
        <v>0</v>
      </c>
      <c r="L661" s="1363">
        <f t="shared" si="78"/>
        <v>0</v>
      </c>
      <c r="M661" s="1363">
        <f t="shared" ref="M661:Q661" si="79">IF(N$321=0, M349+M401+M453+M505+M557+M609, 0)</f>
        <v>0</v>
      </c>
      <c r="N661" s="1363">
        <f t="shared" si="79"/>
        <v>0</v>
      </c>
      <c r="O661" s="1363">
        <f t="shared" si="79"/>
        <v>0</v>
      </c>
      <c r="P661" s="1363">
        <f t="shared" si="79"/>
        <v>0</v>
      </c>
      <c r="Q661" s="1363">
        <f t="shared" si="79"/>
        <v>0</v>
      </c>
      <c r="R661" s="248"/>
      <c r="S661" s="3"/>
      <c r="T661" s="3"/>
      <c r="U661" s="3"/>
      <c r="V661" s="3"/>
      <c r="W661" s="3"/>
      <c r="X661" s="3"/>
      <c r="Y661" s="3"/>
      <c r="Z661" s="3"/>
      <c r="AA661" s="152"/>
    </row>
    <row r="662" spans="1:27" hidden="1" outlineLevel="1">
      <c r="A662" s="3"/>
      <c r="B662" s="3"/>
      <c r="C662" s="3"/>
      <c r="D662" s="133">
        <f>Asset29</f>
        <v>0</v>
      </c>
      <c r="E662" s="3"/>
      <c r="F662" s="3"/>
      <c r="G662" s="248"/>
      <c r="H662" s="248"/>
      <c r="I662" s="1363">
        <f t="shared" ref="I662:L662" si="80">IF(J$321=0, I350+I402+I454+I506+I558+I610, 0)</f>
        <v>0</v>
      </c>
      <c r="J662" s="1363">
        <f t="shared" si="80"/>
        <v>0</v>
      </c>
      <c r="K662" s="1363">
        <f t="shared" si="80"/>
        <v>0</v>
      </c>
      <c r="L662" s="1363">
        <f t="shared" si="80"/>
        <v>0</v>
      </c>
      <c r="M662" s="1363">
        <f t="shared" ref="M662:Q662" si="81">IF(N$321=0, M350+M402+M454+M506+M558+M610, 0)</f>
        <v>0</v>
      </c>
      <c r="N662" s="1363">
        <f t="shared" si="81"/>
        <v>0</v>
      </c>
      <c r="O662" s="1363">
        <f t="shared" si="81"/>
        <v>0</v>
      </c>
      <c r="P662" s="1363">
        <f t="shared" si="81"/>
        <v>0</v>
      </c>
      <c r="Q662" s="1363">
        <f t="shared" si="81"/>
        <v>0</v>
      </c>
      <c r="R662" s="248"/>
      <c r="S662" s="3"/>
      <c r="T662" s="3"/>
      <c r="U662" s="3"/>
      <c r="V662" s="3"/>
      <c r="W662" s="3"/>
      <c r="X662" s="3"/>
      <c r="Y662" s="3"/>
      <c r="Z662" s="3"/>
      <c r="AA662" s="152"/>
    </row>
    <row r="663" spans="1:27" hidden="1" outlineLevel="1">
      <c r="A663" s="3"/>
      <c r="B663" s="3"/>
      <c r="C663" s="3"/>
      <c r="D663" s="133">
        <f>Asset30</f>
        <v>0</v>
      </c>
      <c r="E663" s="3"/>
      <c r="F663" s="3"/>
      <c r="G663" s="248"/>
      <c r="H663" s="248"/>
      <c r="I663" s="1363">
        <f t="shared" ref="I663:L663" si="82">IF(J$321=0, I351+I403+I455+I507+I559+I611, 0)</f>
        <v>0</v>
      </c>
      <c r="J663" s="1363">
        <f t="shared" si="82"/>
        <v>0</v>
      </c>
      <c r="K663" s="1363">
        <f t="shared" si="82"/>
        <v>0</v>
      </c>
      <c r="L663" s="1363">
        <f t="shared" si="82"/>
        <v>0</v>
      </c>
      <c r="M663" s="1363">
        <f t="shared" ref="M663:Q663" si="83">IF(N$321=0, M351+M403+M455+M507+M559+M611, 0)</f>
        <v>0</v>
      </c>
      <c r="N663" s="1363">
        <f t="shared" si="83"/>
        <v>0</v>
      </c>
      <c r="O663" s="1363">
        <f t="shared" si="83"/>
        <v>0</v>
      </c>
      <c r="P663" s="1363">
        <f t="shared" si="83"/>
        <v>0</v>
      </c>
      <c r="Q663" s="1363">
        <f t="shared" si="83"/>
        <v>0</v>
      </c>
      <c r="R663" s="248"/>
      <c r="S663" s="3"/>
      <c r="T663" s="3"/>
      <c r="U663" s="3"/>
      <c r="V663" s="3"/>
      <c r="W663" s="3"/>
      <c r="X663" s="3"/>
      <c r="Y663" s="3"/>
      <c r="Z663" s="3"/>
      <c r="AA663" s="152"/>
    </row>
    <row r="664" spans="1:27" hidden="1" outlineLevel="1">
      <c r="A664" s="3"/>
      <c r="B664" s="3"/>
      <c r="C664" s="3"/>
      <c r="D664" s="133">
        <f>Asset31</f>
        <v>0</v>
      </c>
      <c r="E664" s="3"/>
      <c r="F664" s="3"/>
      <c r="G664" s="248"/>
      <c r="H664" s="248"/>
      <c r="I664" s="1363">
        <f t="shared" ref="I664:L664" si="84">IF(J$321=0, I352+I404+I456+I508+I560+I612, 0)</f>
        <v>0</v>
      </c>
      <c r="J664" s="1363">
        <f t="shared" si="84"/>
        <v>0</v>
      </c>
      <c r="K664" s="1363">
        <f t="shared" si="84"/>
        <v>0</v>
      </c>
      <c r="L664" s="1363">
        <f t="shared" si="84"/>
        <v>0</v>
      </c>
      <c r="M664" s="1363">
        <f t="shared" ref="M664:Q664" si="85">IF(N$321=0, M352+M404+M456+M508+M560+M612, 0)</f>
        <v>0</v>
      </c>
      <c r="N664" s="1363">
        <f t="shared" si="85"/>
        <v>0</v>
      </c>
      <c r="O664" s="1363">
        <f t="shared" si="85"/>
        <v>0</v>
      </c>
      <c r="P664" s="1363">
        <f t="shared" si="85"/>
        <v>0</v>
      </c>
      <c r="Q664" s="1363">
        <f t="shared" si="85"/>
        <v>0</v>
      </c>
      <c r="R664" s="248"/>
      <c r="S664" s="3"/>
      <c r="T664" s="3"/>
      <c r="U664" s="3"/>
      <c r="V664" s="3"/>
      <c r="W664" s="3"/>
      <c r="X664" s="3"/>
      <c r="Y664" s="3"/>
      <c r="Z664" s="3"/>
      <c r="AA664" s="152"/>
    </row>
    <row r="665" spans="1:27" hidden="1" outlineLevel="1">
      <c r="A665" s="3"/>
      <c r="B665" s="3"/>
      <c r="C665" s="3"/>
      <c r="D665" s="133">
        <f>Asset32</f>
        <v>0</v>
      </c>
      <c r="E665" s="3"/>
      <c r="F665" s="3"/>
      <c r="G665" s="248"/>
      <c r="H665" s="248"/>
      <c r="I665" s="1363">
        <f t="shared" ref="I665:L665" si="86">IF(J$321=0, I353+I405+I457+I509+I561+I613, 0)</f>
        <v>0</v>
      </c>
      <c r="J665" s="1363">
        <f t="shared" si="86"/>
        <v>0</v>
      </c>
      <c r="K665" s="1363">
        <f t="shared" si="86"/>
        <v>0</v>
      </c>
      <c r="L665" s="1363">
        <f t="shared" si="86"/>
        <v>0</v>
      </c>
      <c r="M665" s="1363">
        <f t="shared" ref="M665:Q665" si="87">IF(N$321=0, M353+M405+M457+M509+M561+M613, 0)</f>
        <v>0</v>
      </c>
      <c r="N665" s="1363">
        <f t="shared" si="87"/>
        <v>0</v>
      </c>
      <c r="O665" s="1363">
        <f t="shared" si="87"/>
        <v>0</v>
      </c>
      <c r="P665" s="1363">
        <f t="shared" si="87"/>
        <v>0</v>
      </c>
      <c r="Q665" s="1363">
        <f t="shared" si="87"/>
        <v>0</v>
      </c>
      <c r="R665" s="248"/>
      <c r="S665" s="3"/>
      <c r="T665" s="3"/>
      <c r="U665" s="3"/>
      <c r="V665" s="3"/>
      <c r="W665" s="3"/>
      <c r="X665" s="3"/>
      <c r="Y665" s="3"/>
      <c r="Z665" s="3"/>
      <c r="AA665" s="152"/>
    </row>
    <row r="666" spans="1:27" hidden="1" outlineLevel="1">
      <c r="A666" s="3"/>
      <c r="B666" s="3"/>
      <c r="C666" s="3"/>
      <c r="D666" s="133">
        <f>Asset33</f>
        <v>0</v>
      </c>
      <c r="E666" s="3"/>
      <c r="F666" s="3"/>
      <c r="G666" s="248"/>
      <c r="H666" s="248"/>
      <c r="I666" s="1363">
        <f t="shared" ref="I666:L666" si="88">IF(J$321=0, I354+I406+I458+I510+I562+I614, 0)</f>
        <v>0</v>
      </c>
      <c r="J666" s="1363">
        <f t="shared" si="88"/>
        <v>0</v>
      </c>
      <c r="K666" s="1363">
        <f t="shared" si="88"/>
        <v>0</v>
      </c>
      <c r="L666" s="1363">
        <f t="shared" si="88"/>
        <v>0</v>
      </c>
      <c r="M666" s="1363">
        <f t="shared" ref="M666:Q666" si="89">IF(N$321=0, M354+M406+M458+M510+M562+M614, 0)</f>
        <v>0</v>
      </c>
      <c r="N666" s="1363">
        <f t="shared" si="89"/>
        <v>0</v>
      </c>
      <c r="O666" s="1363">
        <f t="shared" si="89"/>
        <v>0</v>
      </c>
      <c r="P666" s="1363">
        <f t="shared" si="89"/>
        <v>0</v>
      </c>
      <c r="Q666" s="1363">
        <f t="shared" si="89"/>
        <v>0</v>
      </c>
      <c r="R666" s="248"/>
      <c r="S666" s="3"/>
      <c r="T666" s="3"/>
      <c r="U666" s="3"/>
      <c r="V666" s="3"/>
      <c r="W666" s="3"/>
      <c r="X666" s="3"/>
      <c r="Y666" s="3"/>
      <c r="Z666" s="3"/>
      <c r="AA666" s="152"/>
    </row>
    <row r="667" spans="1:27" hidden="1" outlineLevel="1">
      <c r="A667" s="3"/>
      <c r="B667" s="3"/>
      <c r="C667" s="3"/>
      <c r="D667" s="133">
        <f>Asset34</f>
        <v>0</v>
      </c>
      <c r="E667" s="3"/>
      <c r="F667" s="3"/>
      <c r="G667" s="248"/>
      <c r="H667" s="248"/>
      <c r="I667" s="1363">
        <f t="shared" ref="I667:L667" si="90">IF(J$321=0, I355+I407+I459+I511+I563+I615, 0)</f>
        <v>0</v>
      </c>
      <c r="J667" s="1363">
        <f t="shared" si="90"/>
        <v>0</v>
      </c>
      <c r="K667" s="1363">
        <f t="shared" si="90"/>
        <v>0</v>
      </c>
      <c r="L667" s="1363">
        <f t="shared" si="90"/>
        <v>0</v>
      </c>
      <c r="M667" s="1363">
        <f t="shared" ref="M667:Q667" si="91">IF(N$321=0, M355+M407+M459+M511+M563+M615, 0)</f>
        <v>0</v>
      </c>
      <c r="N667" s="1363">
        <f t="shared" si="91"/>
        <v>0</v>
      </c>
      <c r="O667" s="1363">
        <f t="shared" si="91"/>
        <v>0</v>
      </c>
      <c r="P667" s="1363">
        <f t="shared" si="91"/>
        <v>0</v>
      </c>
      <c r="Q667" s="1363">
        <f t="shared" si="91"/>
        <v>0</v>
      </c>
      <c r="R667" s="248"/>
      <c r="S667" s="3"/>
      <c r="T667" s="3"/>
      <c r="U667" s="3"/>
      <c r="V667" s="3"/>
      <c r="W667" s="3"/>
      <c r="X667" s="3"/>
      <c r="Y667" s="3"/>
      <c r="Z667" s="3"/>
      <c r="AA667" s="152"/>
    </row>
    <row r="668" spans="1:27" hidden="1" outlineLevel="1">
      <c r="A668" s="3"/>
      <c r="B668" s="3"/>
      <c r="C668" s="3"/>
      <c r="D668" s="133">
        <f>Asset35</f>
        <v>0</v>
      </c>
      <c r="E668" s="3"/>
      <c r="F668" s="3"/>
      <c r="G668" s="248"/>
      <c r="H668" s="248"/>
      <c r="I668" s="1363">
        <f t="shared" ref="I668:L668" si="92">IF(J$321=0, I356+I408+I460+I512+I564+I616, 0)</f>
        <v>0</v>
      </c>
      <c r="J668" s="1363">
        <f t="shared" si="92"/>
        <v>0</v>
      </c>
      <c r="K668" s="1363">
        <f t="shared" si="92"/>
        <v>0</v>
      </c>
      <c r="L668" s="1363">
        <f t="shared" si="92"/>
        <v>0</v>
      </c>
      <c r="M668" s="1363">
        <f t="shared" ref="M668:Q668" si="93">IF(N$321=0, M356+M408+M460+M512+M564+M616, 0)</f>
        <v>0</v>
      </c>
      <c r="N668" s="1363">
        <f t="shared" si="93"/>
        <v>0</v>
      </c>
      <c r="O668" s="1363">
        <f t="shared" si="93"/>
        <v>0</v>
      </c>
      <c r="P668" s="1363">
        <f t="shared" si="93"/>
        <v>0</v>
      </c>
      <c r="Q668" s="1363">
        <f t="shared" si="93"/>
        <v>0</v>
      </c>
      <c r="R668" s="248"/>
      <c r="S668" s="3"/>
      <c r="T668" s="3"/>
      <c r="U668" s="3"/>
      <c r="V668" s="3"/>
      <c r="W668" s="3"/>
      <c r="X668" s="3"/>
      <c r="Y668" s="3"/>
      <c r="Z668" s="3"/>
      <c r="AA668" s="152"/>
    </row>
    <row r="669" spans="1:27" hidden="1" outlineLevel="1">
      <c r="A669" s="3"/>
      <c r="B669" s="3"/>
      <c r="C669" s="3"/>
      <c r="D669" s="133">
        <f>Asset36</f>
        <v>0</v>
      </c>
      <c r="E669" s="3"/>
      <c r="F669" s="3"/>
      <c r="G669" s="248"/>
      <c r="H669" s="248"/>
      <c r="I669" s="1363">
        <f t="shared" ref="I669:L669" si="94">IF(J$321=0, I357+I409+I461+I513+I565+I617, 0)</f>
        <v>0</v>
      </c>
      <c r="J669" s="1363">
        <f t="shared" si="94"/>
        <v>0</v>
      </c>
      <c r="K669" s="1363">
        <f t="shared" si="94"/>
        <v>0</v>
      </c>
      <c r="L669" s="1363">
        <f t="shared" si="94"/>
        <v>0</v>
      </c>
      <c r="M669" s="1363">
        <f t="shared" ref="M669:Q669" si="95">IF(N$321=0, M357+M409+M461+M513+M565+M617, 0)</f>
        <v>0</v>
      </c>
      <c r="N669" s="1363">
        <f t="shared" si="95"/>
        <v>0</v>
      </c>
      <c r="O669" s="1363">
        <f t="shared" si="95"/>
        <v>0</v>
      </c>
      <c r="P669" s="1363">
        <f t="shared" si="95"/>
        <v>0</v>
      </c>
      <c r="Q669" s="1363">
        <f t="shared" si="95"/>
        <v>0</v>
      </c>
      <c r="R669" s="248"/>
      <c r="S669" s="3"/>
      <c r="T669" s="3"/>
      <c r="U669" s="3"/>
      <c r="V669" s="3"/>
      <c r="W669" s="3"/>
      <c r="X669" s="3"/>
      <c r="Y669" s="3"/>
      <c r="Z669" s="3"/>
      <c r="AA669" s="152"/>
    </row>
    <row r="670" spans="1:27" hidden="1" outlineLevel="1">
      <c r="A670" s="3"/>
      <c r="B670" s="3"/>
      <c r="C670" s="3"/>
      <c r="D670" s="133">
        <f>Asset37</f>
        <v>0</v>
      </c>
      <c r="E670" s="3"/>
      <c r="F670" s="3"/>
      <c r="G670" s="248"/>
      <c r="H670" s="248"/>
      <c r="I670" s="1363">
        <f t="shared" ref="I670:L670" si="96">IF(J$321=0, I358+I410+I462+I514+I566+I618, 0)</f>
        <v>0</v>
      </c>
      <c r="J670" s="1363">
        <f t="shared" si="96"/>
        <v>0</v>
      </c>
      <c r="K670" s="1363">
        <f t="shared" si="96"/>
        <v>0</v>
      </c>
      <c r="L670" s="1363">
        <f t="shared" si="96"/>
        <v>0</v>
      </c>
      <c r="M670" s="1363">
        <f t="shared" ref="M670:Q670" si="97">IF(N$321=0, M358+M410+M462+M514+M566+M618, 0)</f>
        <v>0</v>
      </c>
      <c r="N670" s="1363">
        <f t="shared" si="97"/>
        <v>0</v>
      </c>
      <c r="O670" s="1363">
        <f t="shared" si="97"/>
        <v>0</v>
      </c>
      <c r="P670" s="1363">
        <f t="shared" si="97"/>
        <v>0</v>
      </c>
      <c r="Q670" s="1363">
        <f t="shared" si="97"/>
        <v>0</v>
      </c>
      <c r="R670" s="248"/>
      <c r="S670" s="3"/>
      <c r="T670" s="3"/>
      <c r="U670" s="3"/>
      <c r="V670" s="3"/>
      <c r="W670" s="3"/>
      <c r="X670" s="3"/>
      <c r="Y670" s="3"/>
      <c r="Z670" s="3"/>
      <c r="AA670" s="152"/>
    </row>
    <row r="671" spans="1:27" hidden="1" outlineLevel="1">
      <c r="A671" s="3"/>
      <c r="B671" s="3"/>
      <c r="C671" s="3"/>
      <c r="D671" s="133">
        <f>Asset38</f>
        <v>0</v>
      </c>
      <c r="E671" s="3"/>
      <c r="F671" s="3"/>
      <c r="G671" s="248"/>
      <c r="H671" s="248"/>
      <c r="I671" s="1363">
        <f t="shared" ref="I671:L671" si="98">IF(J$321=0, I359+I411+I463+I515+I567+I619, 0)</f>
        <v>0</v>
      </c>
      <c r="J671" s="1363">
        <f t="shared" si="98"/>
        <v>0</v>
      </c>
      <c r="K671" s="1363">
        <f t="shared" si="98"/>
        <v>0</v>
      </c>
      <c r="L671" s="1363">
        <f t="shared" si="98"/>
        <v>0</v>
      </c>
      <c r="M671" s="1363">
        <f t="shared" ref="M671:Q671" si="99">IF(N$321=0, M359+M411+M463+M515+M567+M619, 0)</f>
        <v>0</v>
      </c>
      <c r="N671" s="1363">
        <f t="shared" si="99"/>
        <v>0</v>
      </c>
      <c r="O671" s="1363">
        <f t="shared" si="99"/>
        <v>0</v>
      </c>
      <c r="P671" s="1363">
        <f t="shared" si="99"/>
        <v>0</v>
      </c>
      <c r="Q671" s="1363">
        <f t="shared" si="99"/>
        <v>0</v>
      </c>
      <c r="R671" s="248"/>
      <c r="S671" s="3"/>
      <c r="T671" s="3"/>
      <c r="U671" s="3"/>
      <c r="V671" s="3"/>
      <c r="W671" s="3"/>
      <c r="X671" s="3"/>
      <c r="Y671" s="3"/>
      <c r="Z671" s="3"/>
      <c r="AA671" s="152"/>
    </row>
    <row r="672" spans="1:27" hidden="1" outlineLevel="1">
      <c r="A672" s="3"/>
      <c r="B672" s="3"/>
      <c r="C672" s="3"/>
      <c r="D672" s="133">
        <f>Asset39</f>
        <v>0</v>
      </c>
      <c r="E672" s="3"/>
      <c r="F672" s="3"/>
      <c r="G672" s="248"/>
      <c r="H672" s="248"/>
      <c r="I672" s="1363">
        <f t="shared" ref="I672:L672" si="100">IF(J$321=0, I360+I412+I464+I516+I568+I620, 0)</f>
        <v>0</v>
      </c>
      <c r="J672" s="1363">
        <f t="shared" si="100"/>
        <v>0</v>
      </c>
      <c r="K672" s="1363">
        <f t="shared" si="100"/>
        <v>0</v>
      </c>
      <c r="L672" s="1363">
        <f t="shared" si="100"/>
        <v>0</v>
      </c>
      <c r="M672" s="1363">
        <f t="shared" ref="M672:Q672" si="101">IF(N$321=0, M360+M412+M464+M516+M568+M620, 0)</f>
        <v>0</v>
      </c>
      <c r="N672" s="1363">
        <f t="shared" si="101"/>
        <v>0</v>
      </c>
      <c r="O672" s="1363">
        <f t="shared" si="101"/>
        <v>0</v>
      </c>
      <c r="P672" s="1363">
        <f t="shared" si="101"/>
        <v>0</v>
      </c>
      <c r="Q672" s="1363">
        <f t="shared" si="101"/>
        <v>0</v>
      </c>
      <c r="R672" s="248"/>
      <c r="S672" s="3"/>
      <c r="T672" s="3"/>
      <c r="U672" s="3"/>
      <c r="V672" s="3"/>
      <c r="W672" s="3"/>
      <c r="X672" s="3"/>
      <c r="Y672" s="3"/>
      <c r="Z672" s="3"/>
      <c r="AA672" s="152"/>
    </row>
    <row r="673" spans="1:27" hidden="1" outlineLevel="1">
      <c r="A673" s="3"/>
      <c r="B673" s="3"/>
      <c r="C673" s="3"/>
      <c r="D673" s="133">
        <f>Asset40</f>
        <v>0</v>
      </c>
      <c r="E673" s="3"/>
      <c r="F673" s="3"/>
      <c r="G673" s="248"/>
      <c r="H673" s="248"/>
      <c r="I673" s="1363">
        <f t="shared" ref="I673:L673" si="102">IF(J$321=0, I361+I413+I465+I517+I569+I621, 0)</f>
        <v>0</v>
      </c>
      <c r="J673" s="1363">
        <f t="shared" si="102"/>
        <v>0</v>
      </c>
      <c r="K673" s="1363">
        <f t="shared" si="102"/>
        <v>0</v>
      </c>
      <c r="L673" s="1363">
        <f t="shared" si="102"/>
        <v>0</v>
      </c>
      <c r="M673" s="1363">
        <f t="shared" ref="M673:Q673" si="103">IF(N$321=0, M361+M413+M465+M517+M569+M621, 0)</f>
        <v>0</v>
      </c>
      <c r="N673" s="1363">
        <f t="shared" si="103"/>
        <v>0</v>
      </c>
      <c r="O673" s="1363">
        <f t="shared" si="103"/>
        <v>0</v>
      </c>
      <c r="P673" s="1363">
        <f t="shared" si="103"/>
        <v>0</v>
      </c>
      <c r="Q673" s="1363">
        <f t="shared" si="103"/>
        <v>0</v>
      </c>
      <c r="R673" s="248"/>
      <c r="S673" s="3"/>
      <c r="T673" s="3"/>
      <c r="U673" s="3"/>
      <c r="V673" s="3"/>
      <c r="W673" s="3"/>
      <c r="X673" s="3"/>
      <c r="Y673" s="3"/>
      <c r="Z673" s="3"/>
      <c r="AA673" s="152"/>
    </row>
    <row r="674" spans="1:27" hidden="1" outlineLevel="1">
      <c r="A674" s="3"/>
      <c r="B674" s="3"/>
      <c r="C674" s="3"/>
      <c r="D674" s="133">
        <f>Asset41</f>
        <v>0</v>
      </c>
      <c r="E674" s="3"/>
      <c r="F674" s="3"/>
      <c r="G674" s="248"/>
      <c r="H674" s="248"/>
      <c r="I674" s="1363">
        <f t="shared" ref="I674:L674" si="104">IF(J$321=0, I362+I414+I466+I518+I570+I622, 0)</f>
        <v>0</v>
      </c>
      <c r="J674" s="1363">
        <f t="shared" si="104"/>
        <v>0</v>
      </c>
      <c r="K674" s="1363">
        <f t="shared" si="104"/>
        <v>0</v>
      </c>
      <c r="L674" s="1363">
        <f t="shared" si="104"/>
        <v>0</v>
      </c>
      <c r="M674" s="1363">
        <f t="shared" ref="M674:Q674" si="105">IF(N$321=0, M362+M414+M466+M518+M570+M622, 0)</f>
        <v>0</v>
      </c>
      <c r="N674" s="1363">
        <f t="shared" si="105"/>
        <v>0</v>
      </c>
      <c r="O674" s="1363">
        <f t="shared" si="105"/>
        <v>0</v>
      </c>
      <c r="P674" s="1363">
        <f t="shared" si="105"/>
        <v>0</v>
      </c>
      <c r="Q674" s="1363">
        <f t="shared" si="105"/>
        <v>0</v>
      </c>
      <c r="R674" s="248"/>
      <c r="S674" s="3"/>
      <c r="T674" s="3"/>
      <c r="U674" s="3"/>
      <c r="V674" s="3"/>
      <c r="W674" s="3"/>
      <c r="X674" s="3"/>
      <c r="Y674" s="3"/>
      <c r="Z674" s="3"/>
      <c r="AA674" s="152"/>
    </row>
    <row r="675" spans="1:27" hidden="1" outlineLevel="1">
      <c r="A675" s="3"/>
      <c r="B675" s="3"/>
      <c r="C675" s="3"/>
      <c r="D675" s="133">
        <f>Asset42</f>
        <v>0</v>
      </c>
      <c r="E675" s="3"/>
      <c r="F675" s="3"/>
      <c r="G675" s="248"/>
      <c r="H675" s="248"/>
      <c r="I675" s="1363">
        <f t="shared" ref="I675:L675" si="106">IF(J$321=0, I363+I415+I467+I519+I571+I623, 0)</f>
        <v>0</v>
      </c>
      <c r="J675" s="1363">
        <f t="shared" si="106"/>
        <v>0</v>
      </c>
      <c r="K675" s="1363">
        <f t="shared" si="106"/>
        <v>0</v>
      </c>
      <c r="L675" s="1363">
        <f t="shared" si="106"/>
        <v>0</v>
      </c>
      <c r="M675" s="1363">
        <f t="shared" ref="M675:Q675" si="107">IF(N$321=0, M363+M415+M467+M519+M571+M623, 0)</f>
        <v>0</v>
      </c>
      <c r="N675" s="1363">
        <f t="shared" si="107"/>
        <v>0</v>
      </c>
      <c r="O675" s="1363">
        <f t="shared" si="107"/>
        <v>0</v>
      </c>
      <c r="P675" s="1363">
        <f t="shared" si="107"/>
        <v>0</v>
      </c>
      <c r="Q675" s="1363">
        <f t="shared" si="107"/>
        <v>0</v>
      </c>
      <c r="R675" s="248"/>
      <c r="S675" s="3"/>
      <c r="T675" s="3"/>
      <c r="U675" s="3"/>
      <c r="V675" s="3"/>
      <c r="W675" s="3"/>
      <c r="X675" s="3"/>
      <c r="Y675" s="3"/>
      <c r="Z675" s="3"/>
      <c r="AA675" s="152"/>
    </row>
    <row r="676" spans="1:27" hidden="1" outlineLevel="1">
      <c r="A676" s="3"/>
      <c r="B676" s="3"/>
      <c r="C676" s="3"/>
      <c r="D676" s="133">
        <f>Asset43</f>
        <v>0</v>
      </c>
      <c r="E676" s="3"/>
      <c r="F676" s="3"/>
      <c r="G676" s="248"/>
      <c r="H676" s="248"/>
      <c r="I676" s="1363">
        <f t="shared" ref="I676:L676" si="108">IF(J$321=0, I364+I416+I468+I520+I572+I624, 0)</f>
        <v>0</v>
      </c>
      <c r="J676" s="1363">
        <f t="shared" si="108"/>
        <v>0</v>
      </c>
      <c r="K676" s="1363">
        <f t="shared" si="108"/>
        <v>0</v>
      </c>
      <c r="L676" s="1363">
        <f t="shared" si="108"/>
        <v>0</v>
      </c>
      <c r="M676" s="1363">
        <f t="shared" ref="M676:Q676" si="109">IF(N$321=0, M364+M416+M468+M520+M572+M624, 0)</f>
        <v>0</v>
      </c>
      <c r="N676" s="1363">
        <f t="shared" si="109"/>
        <v>0</v>
      </c>
      <c r="O676" s="1363">
        <f t="shared" si="109"/>
        <v>0</v>
      </c>
      <c r="P676" s="1363">
        <f t="shared" si="109"/>
        <v>0</v>
      </c>
      <c r="Q676" s="1363">
        <f t="shared" si="109"/>
        <v>0</v>
      </c>
      <c r="R676" s="248"/>
      <c r="S676" s="3"/>
      <c r="T676" s="3"/>
      <c r="U676" s="3"/>
      <c r="V676" s="3"/>
      <c r="W676" s="3"/>
      <c r="X676" s="3"/>
      <c r="Y676" s="3"/>
      <c r="Z676" s="3"/>
      <c r="AA676" s="152"/>
    </row>
    <row r="677" spans="1:27" hidden="1" outlineLevel="1">
      <c r="A677" s="3"/>
      <c r="B677" s="3"/>
      <c r="C677" s="3"/>
      <c r="D677" s="133">
        <f>Asset44</f>
        <v>0</v>
      </c>
      <c r="E677" s="3"/>
      <c r="F677" s="3"/>
      <c r="G677" s="248"/>
      <c r="H677" s="248"/>
      <c r="I677" s="1363">
        <f t="shared" ref="I677:L677" si="110">IF(J$321=0, I365+I417+I469+I521+I573+I625, 0)</f>
        <v>0</v>
      </c>
      <c r="J677" s="1363">
        <f t="shared" si="110"/>
        <v>0</v>
      </c>
      <c r="K677" s="1363">
        <f t="shared" si="110"/>
        <v>0</v>
      </c>
      <c r="L677" s="1363">
        <f t="shared" si="110"/>
        <v>0</v>
      </c>
      <c r="M677" s="1363">
        <f t="shared" ref="M677:Q677" si="111">IF(N$321=0, M365+M417+M469+M521+M573+M625, 0)</f>
        <v>0</v>
      </c>
      <c r="N677" s="1363">
        <f t="shared" si="111"/>
        <v>0</v>
      </c>
      <c r="O677" s="1363">
        <f t="shared" si="111"/>
        <v>0</v>
      </c>
      <c r="P677" s="1363">
        <f t="shared" si="111"/>
        <v>0</v>
      </c>
      <c r="Q677" s="1363">
        <f t="shared" si="111"/>
        <v>0</v>
      </c>
      <c r="R677" s="248"/>
      <c r="S677" s="3"/>
      <c r="T677" s="3"/>
      <c r="U677" s="3"/>
      <c r="V677" s="3"/>
      <c r="W677" s="3"/>
      <c r="X677" s="3"/>
      <c r="Y677" s="3"/>
      <c r="Z677" s="3"/>
      <c r="AA677" s="152"/>
    </row>
    <row r="678" spans="1:27" hidden="1" outlineLevel="1">
      <c r="A678" s="3"/>
      <c r="B678" s="3"/>
      <c r="C678" s="3"/>
      <c r="D678" s="133">
        <f>Asset45</f>
        <v>0</v>
      </c>
      <c r="E678" s="3"/>
      <c r="F678" s="3"/>
      <c r="G678" s="248"/>
      <c r="H678" s="248"/>
      <c r="I678" s="1363">
        <f t="shared" ref="I678:L678" si="112">IF(J$321=0, I366+I418+I470+I522+I574+I626, 0)</f>
        <v>0</v>
      </c>
      <c r="J678" s="1363">
        <f t="shared" si="112"/>
        <v>0</v>
      </c>
      <c r="K678" s="1363">
        <f t="shared" si="112"/>
        <v>0</v>
      </c>
      <c r="L678" s="1363">
        <f t="shared" si="112"/>
        <v>0</v>
      </c>
      <c r="M678" s="1363">
        <f t="shared" ref="M678:Q678" si="113">IF(N$321=0, M366+M418+M470+M522+M574+M626, 0)</f>
        <v>0</v>
      </c>
      <c r="N678" s="1363">
        <f t="shared" si="113"/>
        <v>0</v>
      </c>
      <c r="O678" s="1363">
        <f t="shared" si="113"/>
        <v>0</v>
      </c>
      <c r="P678" s="1363">
        <f t="shared" si="113"/>
        <v>0</v>
      </c>
      <c r="Q678" s="1363">
        <f t="shared" si="113"/>
        <v>0</v>
      </c>
      <c r="R678" s="248"/>
      <c r="S678" s="3"/>
      <c r="T678" s="3"/>
      <c r="U678" s="3"/>
      <c r="V678" s="3"/>
      <c r="W678" s="3"/>
      <c r="X678" s="3"/>
      <c r="Y678" s="3"/>
      <c r="Z678" s="3"/>
      <c r="AA678" s="152"/>
    </row>
    <row r="679" spans="1:27" hidden="1" outlineLevel="1">
      <c r="A679" s="3"/>
      <c r="B679" s="3"/>
      <c r="C679" s="3"/>
      <c r="D679" s="133">
        <f>Asset46</f>
        <v>0</v>
      </c>
      <c r="E679" s="3"/>
      <c r="F679" s="3"/>
      <c r="G679" s="248"/>
      <c r="H679" s="248"/>
      <c r="I679" s="1363">
        <f t="shared" ref="I679:L679" si="114">IF(J$321=0, I367+I419+I471+I523+I575+I627, 0)</f>
        <v>0</v>
      </c>
      <c r="J679" s="1363">
        <f t="shared" si="114"/>
        <v>0</v>
      </c>
      <c r="K679" s="1363">
        <f t="shared" si="114"/>
        <v>0</v>
      </c>
      <c r="L679" s="1363">
        <f t="shared" si="114"/>
        <v>0</v>
      </c>
      <c r="M679" s="1363">
        <f t="shared" ref="M679:Q679" si="115">IF(N$321=0, M367+M419+M471+M523+M575+M627, 0)</f>
        <v>0</v>
      </c>
      <c r="N679" s="1363">
        <f t="shared" si="115"/>
        <v>0</v>
      </c>
      <c r="O679" s="1363">
        <f t="shared" si="115"/>
        <v>0</v>
      </c>
      <c r="P679" s="1363">
        <f t="shared" si="115"/>
        <v>0</v>
      </c>
      <c r="Q679" s="1363">
        <f t="shared" si="115"/>
        <v>0</v>
      </c>
      <c r="R679" s="248"/>
      <c r="S679" s="3"/>
      <c r="T679" s="3"/>
      <c r="U679" s="3"/>
      <c r="V679" s="3"/>
      <c r="W679" s="3"/>
      <c r="X679" s="3"/>
      <c r="Y679" s="3"/>
      <c r="Z679" s="3"/>
      <c r="AA679" s="152"/>
    </row>
    <row r="680" spans="1:27" hidden="1" outlineLevel="1">
      <c r="A680" s="3"/>
      <c r="B680" s="3"/>
      <c r="C680" s="3"/>
      <c r="D680" s="133">
        <f>Asset47</f>
        <v>0</v>
      </c>
      <c r="E680" s="3"/>
      <c r="F680" s="3"/>
      <c r="G680" s="248"/>
      <c r="H680" s="248"/>
      <c r="I680" s="1363">
        <f t="shared" ref="I680:L680" si="116">IF(J$321=0, I368+I420+I472+I524+I576+I628, 0)</f>
        <v>0</v>
      </c>
      <c r="J680" s="1363">
        <f t="shared" si="116"/>
        <v>0</v>
      </c>
      <c r="K680" s="1363">
        <f t="shared" si="116"/>
        <v>0</v>
      </c>
      <c r="L680" s="1363">
        <f t="shared" si="116"/>
        <v>0</v>
      </c>
      <c r="M680" s="1363">
        <f t="shared" ref="M680:Q680" si="117">IF(N$321=0, M368+M420+M472+M524+M576+M628, 0)</f>
        <v>0</v>
      </c>
      <c r="N680" s="1363">
        <f t="shared" si="117"/>
        <v>0</v>
      </c>
      <c r="O680" s="1363">
        <f t="shared" si="117"/>
        <v>0</v>
      </c>
      <c r="P680" s="1363">
        <f t="shared" si="117"/>
        <v>0</v>
      </c>
      <c r="Q680" s="1363">
        <f t="shared" si="117"/>
        <v>0</v>
      </c>
      <c r="R680" s="248"/>
      <c r="S680" s="3"/>
      <c r="T680" s="3"/>
      <c r="U680" s="3"/>
      <c r="V680" s="3"/>
      <c r="W680" s="3"/>
      <c r="X680" s="3"/>
      <c r="Y680" s="3"/>
      <c r="Z680" s="3"/>
      <c r="AA680" s="152"/>
    </row>
    <row r="681" spans="1:27" hidden="1" outlineLevel="1">
      <c r="A681" s="3"/>
      <c r="B681" s="3"/>
      <c r="C681" s="3"/>
      <c r="D681" s="133">
        <f>Asset48</f>
        <v>0</v>
      </c>
      <c r="E681" s="3"/>
      <c r="F681" s="3"/>
      <c r="G681" s="248"/>
      <c r="H681" s="248"/>
      <c r="I681" s="1363">
        <f t="shared" ref="I681:L681" si="118">IF(J$321=0, I369+I421+I473+I525+I577+I629, 0)</f>
        <v>0</v>
      </c>
      <c r="J681" s="1363">
        <f t="shared" si="118"/>
        <v>0</v>
      </c>
      <c r="K681" s="1363">
        <f t="shared" si="118"/>
        <v>0</v>
      </c>
      <c r="L681" s="1363">
        <f t="shared" si="118"/>
        <v>0</v>
      </c>
      <c r="M681" s="1363">
        <f t="shared" ref="M681:Q681" si="119">IF(N$321=0, M369+M421+M473+M525+M577+M629, 0)</f>
        <v>0</v>
      </c>
      <c r="N681" s="1363">
        <f t="shared" si="119"/>
        <v>0</v>
      </c>
      <c r="O681" s="1363">
        <f t="shared" si="119"/>
        <v>0</v>
      </c>
      <c r="P681" s="1363">
        <f t="shared" si="119"/>
        <v>0</v>
      </c>
      <c r="Q681" s="1363">
        <f t="shared" si="119"/>
        <v>0</v>
      </c>
      <c r="R681" s="248"/>
      <c r="S681" s="3"/>
      <c r="T681" s="3"/>
      <c r="U681" s="3"/>
      <c r="V681" s="3"/>
      <c r="W681" s="3"/>
      <c r="X681" s="3"/>
      <c r="Y681" s="3"/>
      <c r="Z681" s="3"/>
      <c r="AA681" s="152"/>
    </row>
    <row r="682" spans="1:27" hidden="1" outlineLevel="1">
      <c r="A682" s="3"/>
      <c r="B682" s="3"/>
      <c r="C682" s="3"/>
      <c r="D682" s="133">
        <f>Asset49</f>
        <v>0</v>
      </c>
      <c r="E682" s="3"/>
      <c r="F682" s="3"/>
      <c r="G682" s="248"/>
      <c r="H682" s="248"/>
      <c r="I682" s="1363">
        <f t="shared" ref="I682:L682" si="120">IF(J$321=0, I370+I422+I474+I526+I578+I630, 0)</f>
        <v>0</v>
      </c>
      <c r="J682" s="1363">
        <f t="shared" si="120"/>
        <v>0</v>
      </c>
      <c r="K682" s="1363">
        <f t="shared" si="120"/>
        <v>0</v>
      </c>
      <c r="L682" s="1363">
        <f t="shared" si="120"/>
        <v>0</v>
      </c>
      <c r="M682" s="1363">
        <f t="shared" ref="M682:Q682" si="121">IF(N$321=0, M370+M422+M474+M526+M578+M630, 0)</f>
        <v>0</v>
      </c>
      <c r="N682" s="1363">
        <f t="shared" si="121"/>
        <v>0</v>
      </c>
      <c r="O682" s="1363">
        <f t="shared" si="121"/>
        <v>0</v>
      </c>
      <c r="P682" s="1363">
        <f t="shared" si="121"/>
        <v>0</v>
      </c>
      <c r="Q682" s="1363">
        <f t="shared" si="121"/>
        <v>0</v>
      </c>
      <c r="R682" s="248"/>
      <c r="S682" s="3"/>
      <c r="T682" s="3"/>
      <c r="U682" s="3"/>
      <c r="V682" s="3"/>
      <c r="W682" s="3"/>
      <c r="X682" s="3"/>
      <c r="Y682" s="3"/>
      <c r="Z682" s="3"/>
      <c r="AA682" s="152"/>
    </row>
    <row r="683" spans="1:27" hidden="1" outlineLevel="1">
      <c r="A683" s="3"/>
      <c r="B683" s="3"/>
      <c r="C683" s="3"/>
      <c r="D683" s="133">
        <f>Asset50</f>
        <v>0</v>
      </c>
      <c r="E683" s="3"/>
      <c r="F683" s="3"/>
      <c r="G683" s="248"/>
      <c r="H683" s="248"/>
      <c r="I683" s="1363">
        <f t="shared" ref="I683:L683" si="122">IF(J$321=0, I371+I423+I475+I527+I579+I631, 0)</f>
        <v>0</v>
      </c>
      <c r="J683" s="1363">
        <f t="shared" si="122"/>
        <v>0</v>
      </c>
      <c r="K683" s="1363">
        <f t="shared" si="122"/>
        <v>0</v>
      </c>
      <c r="L683" s="1363">
        <f t="shared" si="122"/>
        <v>0</v>
      </c>
      <c r="M683" s="1363">
        <f t="shared" ref="M683:Q683" si="123">IF(N$321=0, M371+M423+M475+M527+M579+M631, 0)</f>
        <v>0</v>
      </c>
      <c r="N683" s="1363">
        <f t="shared" si="123"/>
        <v>0</v>
      </c>
      <c r="O683" s="1363">
        <f t="shared" si="123"/>
        <v>0</v>
      </c>
      <c r="P683" s="1363">
        <f t="shared" si="123"/>
        <v>0</v>
      </c>
      <c r="Q683" s="1363">
        <f t="shared" si="123"/>
        <v>0</v>
      </c>
      <c r="R683" s="248"/>
      <c r="S683" s="3"/>
      <c r="T683" s="3"/>
      <c r="U683" s="3"/>
      <c r="V683" s="3"/>
      <c r="W683" s="3"/>
      <c r="X683" s="3"/>
      <c r="Y683" s="3"/>
      <c r="Z683" s="3"/>
      <c r="AA683" s="152"/>
    </row>
    <row r="684" spans="1:27" collapsed="1">
      <c r="A684" s="3"/>
      <c r="B684" s="3"/>
      <c r="C684" s="3"/>
      <c r="D684" s="3"/>
      <c r="E684" s="3"/>
      <c r="F684" s="3"/>
      <c r="G684" s="248"/>
      <c r="H684" s="248"/>
      <c r="I684" s="248"/>
      <c r="J684" s="248"/>
      <c r="K684" s="248"/>
      <c r="L684" s="248"/>
      <c r="M684" s="248"/>
      <c r="N684" s="248"/>
      <c r="O684" s="248"/>
      <c r="P684" s="248"/>
      <c r="Q684" s="248"/>
      <c r="R684" s="248"/>
      <c r="S684" s="3"/>
      <c r="T684" s="3"/>
      <c r="U684" s="3"/>
      <c r="V684" s="3"/>
      <c r="W684" s="3"/>
      <c r="X684" s="3"/>
      <c r="Y684" s="3"/>
      <c r="Z684" s="3"/>
      <c r="AA684" s="152"/>
    </row>
    <row r="685" spans="1:27">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152"/>
    </row>
    <row r="686" spans="1:27">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152"/>
    </row>
    <row r="687" spans="1:2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152"/>
    </row>
    <row r="688" spans="1:27">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152"/>
    </row>
    <row r="689" spans="1:27">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152"/>
    </row>
    <row r="690" spans="1:27">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152"/>
    </row>
    <row r="691" spans="1:27">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152"/>
    </row>
    <row r="692" spans="1:27">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152"/>
    </row>
    <row r="693" spans="1:27">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152"/>
    </row>
    <row r="694" spans="1:27">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152"/>
    </row>
    <row r="695" spans="1:27">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152"/>
    </row>
    <row r="696" spans="1:27">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152"/>
    </row>
    <row r="697" spans="1:2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152"/>
    </row>
    <row r="698" spans="1:27">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152"/>
    </row>
    <row r="699" spans="1:27">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152"/>
    </row>
    <row r="700" spans="1:27">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152"/>
    </row>
    <row r="701" spans="1:27">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152"/>
    </row>
    <row r="702" spans="1:27">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152"/>
    </row>
    <row r="703" spans="1:27">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152"/>
    </row>
    <row r="704" spans="1:27">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152"/>
    </row>
    <row r="705" spans="1:27">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152"/>
    </row>
    <row r="706" spans="1:27">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152"/>
    </row>
    <row r="707" spans="1:2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152"/>
    </row>
    <row r="708" spans="1:27">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c r="AA708" s="152"/>
    </row>
    <row r="709" spans="1:27">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c r="AA709" s="152"/>
    </row>
    <row r="710" spans="1:27">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c r="AA710" s="152"/>
    </row>
    <row r="711" spans="1:27">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c r="AA711" s="152"/>
    </row>
    <row r="712" spans="1:27">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c r="AA712" s="152"/>
    </row>
    <row r="713" spans="1:27">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c r="AA713" s="152"/>
    </row>
    <row r="714" spans="1:27">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c r="AA714" s="152"/>
    </row>
    <row r="715" spans="1:27">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c r="AA715" s="152"/>
    </row>
    <row r="716" spans="1:27">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c r="AA716" s="152"/>
    </row>
    <row r="717" spans="1:27">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c r="AA717" s="152"/>
    </row>
    <row r="718" spans="1:27">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c r="AA718" s="152"/>
    </row>
    <row r="719" spans="1:27">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c r="AA719" s="152"/>
    </row>
    <row r="720" spans="1:27">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c r="AA720" s="152"/>
    </row>
    <row r="721" spans="1:27">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c r="AA721" s="152"/>
    </row>
    <row r="722" spans="1:27">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c r="AA722" s="152"/>
    </row>
    <row r="723" spans="1:27">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c r="AA723" s="152"/>
    </row>
    <row r="724" spans="1:27">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c r="AA724" s="152"/>
    </row>
    <row r="725" spans="1:27">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c r="AA725" s="152"/>
    </row>
  </sheetData>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&amp;C&amp;A</oddHeader>
    <oddFooter>&amp;LAppendix A - Transmission roll forward model - version 3&amp;R&amp;P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1:AA800"/>
  <sheetViews>
    <sheetView showGridLines="0" zoomScale="90" zoomScaleNormal="90" workbookViewId="0">
      <selection activeCell="H7" sqref="H7"/>
    </sheetView>
  </sheetViews>
  <sheetFormatPr defaultRowHeight="12.75" outlineLevelRow="2"/>
  <cols>
    <col min="1" max="1" width="3.5703125" customWidth="1"/>
    <col min="2" max="2" width="22.5703125" customWidth="1"/>
    <col min="3" max="3" width="12.42578125" customWidth="1"/>
    <col min="4" max="4" width="10.42578125" customWidth="1"/>
    <col min="5" max="5" width="3.5703125" customWidth="1"/>
    <col min="6" max="6" width="6" customWidth="1"/>
    <col min="7" max="7" width="8.42578125" customWidth="1"/>
    <col min="8" max="18" width="11.42578125" customWidth="1"/>
    <col min="19" max="26" width="9.5703125" bestFit="1" customWidth="1"/>
  </cols>
  <sheetData>
    <row r="1" spans="1:27">
      <c r="A1" s="3"/>
      <c r="B1" s="3"/>
      <c r="C1" s="3"/>
      <c r="D1" s="3"/>
      <c r="E1" s="3"/>
      <c r="F1" s="34"/>
      <c r="G1" s="34"/>
      <c r="H1" s="252"/>
      <c r="I1" s="249"/>
      <c r="J1" s="249"/>
      <c r="K1" s="249"/>
      <c r="L1" s="249"/>
      <c r="M1" s="249"/>
      <c r="N1" s="249"/>
      <c r="O1" s="249"/>
      <c r="P1" s="249"/>
      <c r="Q1" s="249"/>
      <c r="R1" s="249"/>
      <c r="S1" s="34"/>
      <c r="T1" s="34"/>
      <c r="U1" s="34"/>
      <c r="V1" s="34"/>
      <c r="W1" s="34"/>
      <c r="X1" s="34"/>
      <c r="Y1" s="34"/>
      <c r="Z1" s="34"/>
      <c r="AA1" s="152"/>
    </row>
    <row r="2" spans="1:27" ht="15.75">
      <c r="A2" s="3"/>
      <c r="B2" s="176" t="str">
        <f>'DMS input'!$C$16&amp;" - Tax Asset Roll Forward"&amp;" - DNSP RFM - version "&amp;Intro!$M$4</f>
        <v>Aus Gas Qld - Tax Asset Roll Forward - DNSP RFM - version 3</v>
      </c>
      <c r="C2" s="3"/>
      <c r="D2" s="3"/>
      <c r="E2" s="3"/>
      <c r="F2" s="3"/>
      <c r="H2" s="283"/>
      <c r="I2" s="283">
        <v>1</v>
      </c>
      <c r="J2" s="283">
        <v>2</v>
      </c>
      <c r="K2" s="283">
        <v>3</v>
      </c>
      <c r="L2" s="283">
        <v>4</v>
      </c>
      <c r="M2" s="283">
        <v>5</v>
      </c>
      <c r="N2" s="283">
        <v>6</v>
      </c>
      <c r="O2" s="283">
        <v>7</v>
      </c>
      <c r="P2" s="283">
        <v>8</v>
      </c>
      <c r="Q2" s="283">
        <v>9</v>
      </c>
      <c r="R2" s="283">
        <v>10</v>
      </c>
      <c r="S2" s="3"/>
      <c r="T2" s="3"/>
      <c r="U2" s="3"/>
      <c r="V2" s="3"/>
      <c r="W2" s="3"/>
      <c r="X2" s="3"/>
      <c r="Y2" s="3"/>
      <c r="Z2" s="3"/>
      <c r="AA2" s="152"/>
    </row>
    <row r="3" spans="1:27">
      <c r="A3" s="39"/>
      <c r="B3" s="40"/>
      <c r="C3" s="39"/>
      <c r="D3" s="39"/>
      <c r="E3" s="39"/>
      <c r="F3" s="3"/>
      <c r="G3" s="41">
        <v>0</v>
      </c>
      <c r="H3" s="284">
        <f t="shared" ref="H3:R3" si="0">G3+1</f>
        <v>1</v>
      </c>
      <c r="I3" s="284">
        <f>H3+1</f>
        <v>2</v>
      </c>
      <c r="J3" s="284">
        <f t="shared" si="0"/>
        <v>3</v>
      </c>
      <c r="K3" s="284">
        <f t="shared" si="0"/>
        <v>4</v>
      </c>
      <c r="L3" s="284">
        <f t="shared" si="0"/>
        <v>5</v>
      </c>
      <c r="M3" s="285">
        <f t="shared" si="0"/>
        <v>6</v>
      </c>
      <c r="N3" s="285">
        <f t="shared" si="0"/>
        <v>7</v>
      </c>
      <c r="O3" s="285">
        <f t="shared" si="0"/>
        <v>8</v>
      </c>
      <c r="P3" s="285">
        <f t="shared" si="0"/>
        <v>9</v>
      </c>
      <c r="Q3" s="285">
        <f t="shared" si="0"/>
        <v>10</v>
      </c>
      <c r="R3" s="285">
        <f t="shared" si="0"/>
        <v>11</v>
      </c>
      <c r="S3" s="34"/>
      <c r="T3" s="34"/>
      <c r="U3" s="34"/>
      <c r="V3" s="34"/>
      <c r="W3" s="34"/>
      <c r="X3" s="34"/>
      <c r="Y3" s="34"/>
      <c r="Z3" s="34"/>
      <c r="AA3" s="152"/>
    </row>
    <row r="4" spans="1:27" ht="15.75">
      <c r="A4" s="56"/>
      <c r="B4" s="57" t="s">
        <v>2</v>
      </c>
      <c r="C4" s="56"/>
      <c r="D4" s="56"/>
      <c r="E4" s="56"/>
      <c r="F4" s="95"/>
      <c r="G4" s="95"/>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t="str">
        <f>IF(LEN(Q4)&gt;4,CONCATENATE(LEFT(Q4, 4)+1 &amp;"-" &amp;IF(Q4&gt;"2007-08",,"0") &amp;RIGHT(Q4,2)+1),Q4+1)</f>
        <v>2026-27</v>
      </c>
      <c r="S4" s="8"/>
      <c r="T4" s="8"/>
      <c r="U4" s="8"/>
      <c r="V4" s="8"/>
      <c r="W4" s="8"/>
      <c r="X4" s="8"/>
      <c r="Y4" s="8"/>
      <c r="Z4" s="8"/>
      <c r="AA4" s="152"/>
    </row>
    <row r="5" spans="1:27">
      <c r="A5" s="48"/>
      <c r="B5" s="55" t="s">
        <v>51</v>
      </c>
      <c r="C5" s="48"/>
      <c r="D5" s="48"/>
      <c r="E5" s="48"/>
      <c r="F5" s="58"/>
      <c r="G5" s="58"/>
      <c r="H5" s="240"/>
      <c r="I5" s="240"/>
      <c r="J5" s="240"/>
      <c r="K5" s="240"/>
      <c r="L5" s="240"/>
      <c r="M5" s="59"/>
      <c r="N5" s="59"/>
      <c r="O5" s="59"/>
      <c r="P5" s="59"/>
      <c r="Q5" s="59"/>
      <c r="R5" s="59"/>
      <c r="S5" s="77"/>
      <c r="T5" s="77"/>
      <c r="U5" s="77"/>
      <c r="V5" s="77"/>
      <c r="W5" s="77"/>
      <c r="X5" s="77"/>
      <c r="Y5" s="77"/>
      <c r="Z5" s="77"/>
      <c r="AA5" s="152"/>
    </row>
    <row r="6" spans="1:27">
      <c r="A6" s="4"/>
      <c r="B6" s="8"/>
      <c r="C6" s="4"/>
      <c r="D6" s="4"/>
      <c r="E6" s="4"/>
      <c r="F6" s="82"/>
      <c r="G6" s="82"/>
      <c r="H6" s="77"/>
      <c r="I6" s="77"/>
      <c r="J6" s="77"/>
      <c r="K6" s="77"/>
      <c r="L6" s="77"/>
      <c r="M6" s="77"/>
      <c r="N6" s="77"/>
      <c r="O6" s="77"/>
      <c r="P6" s="77"/>
      <c r="Q6" s="77"/>
      <c r="R6" s="77"/>
      <c r="S6" s="77"/>
      <c r="T6" s="77"/>
      <c r="U6" s="77"/>
      <c r="V6" s="77"/>
      <c r="W6" s="77"/>
      <c r="X6" s="77"/>
      <c r="Y6" s="77"/>
      <c r="Z6" s="77"/>
      <c r="AA6" s="152"/>
    </row>
    <row r="7" spans="1:27">
      <c r="A7" s="3"/>
      <c r="B7" s="29" t="s">
        <v>36</v>
      </c>
      <c r="C7" s="3"/>
      <c r="D7" s="3"/>
      <c r="E7" s="3"/>
      <c r="F7" s="3"/>
      <c r="G7" s="3"/>
      <c r="H7" s="1459">
        <f>SUM(H8:H57)</f>
        <v>262.11638759815025</v>
      </c>
      <c r="I7" s="1391">
        <f t="shared" ref="I7:R7" si="1">SUM(I8:I57)</f>
        <v>269.61660742020626</v>
      </c>
      <c r="J7" s="1391">
        <f t="shared" si="1"/>
        <v>279.37734274009222</v>
      </c>
      <c r="K7" s="1391">
        <f t="shared" si="1"/>
        <v>293.6049884979065</v>
      </c>
      <c r="L7" s="1391">
        <f t="shared" si="1"/>
        <v>301.2749155599426</v>
      </c>
      <c r="M7" s="1391">
        <f t="shared" si="1"/>
        <v>301.063703143434</v>
      </c>
      <c r="N7" s="1391">
        <f t="shared" si="1"/>
        <v>304.49844064834809</v>
      </c>
      <c r="O7" s="1391">
        <f t="shared" si="1"/>
        <v>291.00323216750007</v>
      </c>
      <c r="P7" s="1391">
        <f t="shared" si="1"/>
        <v>0</v>
      </c>
      <c r="Q7" s="1391">
        <f t="shared" si="1"/>
        <v>0</v>
      </c>
      <c r="R7" s="1391">
        <f t="shared" si="1"/>
        <v>0</v>
      </c>
      <c r="S7" s="77"/>
      <c r="T7" s="77"/>
      <c r="U7" s="77"/>
      <c r="V7" s="77"/>
      <c r="W7" s="77"/>
      <c r="X7" s="77"/>
      <c r="Y7" s="77"/>
      <c r="Z7" s="77"/>
      <c r="AA7" s="152"/>
    </row>
    <row r="8" spans="1:27" hidden="1" outlineLevel="1">
      <c r="A8" s="3"/>
      <c r="B8" s="3"/>
      <c r="C8" s="133" t="str">
        <f>Asset1</f>
        <v>Mains</v>
      </c>
      <c r="D8" s="3"/>
      <c r="E8" s="3"/>
      <c r="F8" s="3"/>
      <c r="G8" s="22"/>
      <c r="H8" s="1405">
        <f>'RFM input'!R7
-('RFM input'!L7/(1+previous_vanilla)^0.5+'RFM input'!N7)
+('RFM input'!G61-'RFM input'!G115)
+IF('RFM input'!$F$467='RFM input'!$H$467,0,'RFM input'!G475-'RFM input'!M475)</f>
        <v>179.73767130411522</v>
      </c>
      <c r="I8" s="1363">
        <f>H8+H60+H124</f>
        <v>185.53548786147053</v>
      </c>
      <c r="J8" s="1363">
        <f>I8+I60+I124</f>
        <v>194.15246305178385</v>
      </c>
      <c r="K8" s="1363">
        <f>IF(COUNT($H8:J8)&gt;'RFM input'!$V$7,0, J8+J60+J124+IF(K$111=0,'RFM input'!$H$412,0))</f>
        <v>206.34077628805329</v>
      </c>
      <c r="L8" s="1363">
        <f>IF(COUNT($H8:K8)&gt;'RFM input'!$V$7,0, K8+K60+K124+IF(L$111=0,'RFM input'!$H$412,0))</f>
        <v>212.60176471800949</v>
      </c>
      <c r="M8" s="1363">
        <f>IF(COUNT($H8:L8)&gt;'RFM input'!$V$7,0, L8+L60+L124+IF(M$111=0,'RFM input'!$H$412,0))</f>
        <v>210.16124840422037</v>
      </c>
      <c r="N8" s="1363">
        <f>IF(COUNT($H8:M8)&gt;'RFM input'!$V$7,0, M8+M60+M124+IF(N$111=0,'RFM input'!$H$412,0))</f>
        <v>213.15269767537603</v>
      </c>
      <c r="O8" s="1363">
        <f>IF(COUNT($H8:N8)&gt;'RFM input'!$V$7,0, N8+N60+N124+IF(O$111=0,'RFM input'!$H$412,0))</f>
        <v>204.00084546198488</v>
      </c>
      <c r="P8" s="1363">
        <f>IF(COUNT($H8:O8)&gt;'RFM input'!$V$7,0, O8+O60+O124+IF(P$111=0,'RFM input'!$H$412,0))</f>
        <v>0</v>
      </c>
      <c r="Q8" s="1363">
        <f>IF(COUNT($H8:P8)&gt;'RFM input'!$V$7,0, P8+P60+P124+IF(Q$111=0,'RFM input'!$H$412,0))</f>
        <v>0</v>
      </c>
      <c r="R8" s="1363">
        <f>IF(COUNT($H8:Q8)&gt;'RFM input'!$V$7,0, Q8+Q60+Q124+IF(R$111=0,'RFM input'!$H$412,0))</f>
        <v>0</v>
      </c>
      <c r="S8" s="77"/>
      <c r="T8" s="77"/>
      <c r="U8" s="77"/>
      <c r="V8" s="77"/>
      <c r="W8" s="77"/>
      <c r="X8" s="77"/>
      <c r="Y8" s="77"/>
      <c r="Z8" s="77"/>
      <c r="AA8" s="152"/>
    </row>
    <row r="9" spans="1:27" hidden="1" outlineLevel="1">
      <c r="A9" s="3"/>
      <c r="B9" s="29"/>
      <c r="C9" s="133" t="str">
        <f>Asset2</f>
        <v>Inlets</v>
      </c>
      <c r="D9" s="3"/>
      <c r="E9" s="3"/>
      <c r="F9" s="3"/>
      <c r="G9" s="22"/>
      <c r="H9" s="1405">
        <f>'RFM input'!R8
-('RFM input'!L8/(1+previous_vanilla)^0.5+'RFM input'!N8)
+('RFM input'!G62-'RFM input'!G116)
+IF('RFM input'!$F$467='RFM input'!$H$467,0,'RFM input'!G476-'RFM input'!M476)</f>
        <v>44.656863616280049</v>
      </c>
      <c r="I9" s="1363">
        <f>H9+H61+H137</f>
        <v>46.799890087308782</v>
      </c>
      <c r="J9" s="1363">
        <f>I9+I61+I137</f>
        <v>49.064390384456637</v>
      </c>
      <c r="K9" s="1363">
        <f>IF(COUNT($H9:J9)&gt;'RFM input'!$V$7,0, J9+J61+J137+IF(K$111=0,'RFM input'!$H$413,0))</f>
        <v>51.446180381442431</v>
      </c>
      <c r="L9" s="1363">
        <f>IF(COUNT($H9:K9)&gt;'RFM input'!$V$7,0, K9+K61+K137+IF(L$111=0,'RFM input'!$H$413,0))</f>
        <v>52.863666903393323</v>
      </c>
      <c r="M9" s="1363">
        <f>IF(COUNT($H9:L9)&gt;'RFM input'!$V$7,0, L9+L61+L137+IF(M$111=0,'RFM input'!$H$413,0))</f>
        <v>54.682456944059297</v>
      </c>
      <c r="N9" s="1363">
        <f>IF(COUNT($H9:M9)&gt;'RFM input'!$V$7,0, M9+M61+M137+IF(N$111=0,'RFM input'!$H$413,0))</f>
        <v>54.946419274343498</v>
      </c>
      <c r="O9" s="1363">
        <f>IF(COUNT($H9:N9)&gt;'RFM input'!$V$7,0, N9+N61+N137+IF(O$111=0,'RFM input'!$H$413,0))</f>
        <v>53.154973019733603</v>
      </c>
      <c r="P9" s="1363">
        <f>IF(COUNT($H9:O9)&gt;'RFM input'!$V$7,0, O9+O61+O137+IF(P$111=0,'RFM input'!$H$413,0))</f>
        <v>0</v>
      </c>
      <c r="Q9" s="1363">
        <f>IF(COUNT($H9:P9)&gt;'RFM input'!$V$7,0, P9+P61+P137+IF(Q$111=0,'RFM input'!$H$413,0))</f>
        <v>0</v>
      </c>
      <c r="R9" s="1363">
        <f>IF(COUNT($H9:Q9)&gt;'RFM input'!$V$7,0, Q9+Q61+Q137+IF(R$111=0,'RFM input'!$H$413,0))</f>
        <v>0</v>
      </c>
      <c r="S9" s="77"/>
      <c r="T9" s="77"/>
      <c r="U9" s="77"/>
      <c r="V9" s="77"/>
      <c r="W9" s="77"/>
      <c r="X9" s="77"/>
      <c r="Y9" s="77"/>
      <c r="Z9" s="77"/>
      <c r="AA9" s="152"/>
    </row>
    <row r="10" spans="1:27" hidden="1" outlineLevel="1">
      <c r="A10" s="3"/>
      <c r="B10" s="29"/>
      <c r="C10" s="133" t="str">
        <f>Asset3</f>
        <v>Meters</v>
      </c>
      <c r="D10" s="3"/>
      <c r="E10" s="3"/>
      <c r="F10" s="3"/>
      <c r="G10" s="22"/>
      <c r="H10" s="1405">
        <f>'RFM input'!R9
-('RFM input'!L9/(1+previous_vanilla)^0.5+'RFM input'!N9)
+('RFM input'!G63-'RFM input'!G117)
+IF('RFM input'!$F$467='RFM input'!$H$467,0,'RFM input'!G477-'RFM input'!M477)</f>
        <v>19.489608698910086</v>
      </c>
      <c r="I10" s="1363">
        <f>H10+H62+H150</f>
        <v>20.609941230152707</v>
      </c>
      <c r="J10" s="1363">
        <f>I10+I62+I150</f>
        <v>21.576399915513409</v>
      </c>
      <c r="K10" s="1363">
        <f>IF(COUNT($H10:J10)&gt;'RFM input'!$V$7,0, J10+J62+J150+IF(K$111=0,'RFM input'!$H$414,0))</f>
        <v>22.887746798471024</v>
      </c>
      <c r="L10" s="1363">
        <f>IF(COUNT($H10:K10)&gt;'RFM input'!$V$7,0, K10+K62+K150+IF(L$111=0,'RFM input'!$H$414,0))</f>
        <v>22.300810056215404</v>
      </c>
      <c r="M10" s="1363">
        <f>IF(COUNT($H10:L10)&gt;'RFM input'!$V$7,0, L10+L62+L150+IF(M$111=0,'RFM input'!$H$414,0))</f>
        <v>21.883599623703816</v>
      </c>
      <c r="N10" s="1363">
        <f>IF(COUNT($H10:M10)&gt;'RFM input'!$V$7,0, M10+M62+M150+IF(N$111=0,'RFM input'!$H$414,0))</f>
        <v>21.177735019910664</v>
      </c>
      <c r="O10" s="1363">
        <f>IF(COUNT($H10:N10)&gt;'RFM input'!$V$7,0, N10+N62+N150+IF(O$111=0,'RFM input'!$H$414,0))</f>
        <v>19.331097530037752</v>
      </c>
      <c r="P10" s="1363">
        <f>IF(COUNT($H10:O10)&gt;'RFM input'!$V$7,0, O10+O62+O150+IF(P$111=0,'RFM input'!$H$414,0))</f>
        <v>0</v>
      </c>
      <c r="Q10" s="1363">
        <f>IF(COUNT($H10:P10)&gt;'RFM input'!$V$7,0, P10+P62+P150+IF(Q$111=0,'RFM input'!$H$414,0))</f>
        <v>0</v>
      </c>
      <c r="R10" s="1363">
        <f>IF(COUNT($H10:Q10)&gt;'RFM input'!$V$7,0, Q10+Q62+Q150+IF(R$111=0,'RFM input'!$H$414,0))</f>
        <v>0</v>
      </c>
      <c r="S10" s="77"/>
      <c r="T10" s="77"/>
      <c r="U10" s="77"/>
      <c r="V10" s="77"/>
      <c r="W10" s="77"/>
      <c r="X10" s="77"/>
      <c r="Y10" s="77"/>
      <c r="Z10" s="77"/>
      <c r="AA10" s="152"/>
    </row>
    <row r="11" spans="1:27" hidden="1" outlineLevel="1">
      <c r="A11" s="3"/>
      <c r="B11" s="29"/>
      <c r="C11" s="133" t="str">
        <f>Asset4</f>
        <v>Telemetry</v>
      </c>
      <c r="D11" s="3"/>
      <c r="E11" s="3"/>
      <c r="F11" s="3"/>
      <c r="G11" s="3"/>
      <c r="H11" s="1405">
        <f>'RFM input'!R10
-('RFM input'!L10/(1+previous_vanilla)^0.5+'RFM input'!N10)
+('RFM input'!G64-'RFM input'!G118)
+IF('RFM input'!$F$467='RFM input'!$H$467,0,'RFM input'!G478-'RFM input'!M478)</f>
        <v>1.3970380345021669</v>
      </c>
      <c r="I11" s="1363">
        <f>H11+H63+H163</f>
        <v>1.6219825407508073</v>
      </c>
      <c r="J11" s="1363">
        <f>I11+I63+I163</f>
        <v>1.5891344430475582</v>
      </c>
      <c r="K11" s="1363">
        <f>IF(COUNT($H11:J11)&gt;'RFM input'!$V$7,0, J11+J63+J163+IF(K$111=0,'RFM input'!$H$415,0))</f>
        <v>1.4168144402919853</v>
      </c>
      <c r="L11" s="1363">
        <f>IF(COUNT($H11:K11)&gt;'RFM input'!$V$7,0, K11+K63+K163+IF(L$111=0,'RFM input'!$H$415,0))</f>
        <v>1.2954366501369399</v>
      </c>
      <c r="M11" s="1363">
        <f>IF(COUNT($H11:L11)&gt;'RFM input'!$V$7,0, L11+L63+L163+IF(M$111=0,'RFM input'!$H$415,0))</f>
        <v>1.1235202671820661</v>
      </c>
      <c r="N11" s="1363">
        <f>IF(COUNT($H11:M11)&gt;'RFM input'!$V$7,0, M11+M63+M163+IF(N$111=0,'RFM input'!$H$415,0))</f>
        <v>0.94005238785700007</v>
      </c>
      <c r="O11" s="1363">
        <f>IF(COUNT($H11:N11)&gt;'RFM input'!$V$7,0, N11+N63+N163+IF(O$111=0,'RFM input'!$H$415,0))</f>
        <v>0.72812700049236545</v>
      </c>
      <c r="P11" s="1363">
        <f>IF(COUNT($H11:O11)&gt;'RFM input'!$V$7,0, O11+O63+O163+IF(P$111=0,'RFM input'!$H$415,0))</f>
        <v>0</v>
      </c>
      <c r="Q11" s="1363">
        <f>IF(COUNT($H11:P11)&gt;'RFM input'!$V$7,0, P11+P63+P163+IF(Q$111=0,'RFM input'!$H$415,0))</f>
        <v>0</v>
      </c>
      <c r="R11" s="1363">
        <f>IF(COUNT($H11:Q11)&gt;'RFM input'!$V$7,0, Q11+Q63+Q163+IF(R$111=0,'RFM input'!$H$415,0))</f>
        <v>0</v>
      </c>
      <c r="S11" s="77"/>
      <c r="T11" s="77"/>
      <c r="U11" s="77"/>
      <c r="V11" s="77"/>
      <c r="W11" s="77"/>
      <c r="X11" s="77"/>
      <c r="Y11" s="77"/>
      <c r="Z11" s="77"/>
      <c r="AA11" s="152"/>
    </row>
    <row r="12" spans="1:27" hidden="1" outlineLevel="1">
      <c r="A12" s="3"/>
      <c r="B12" s="29"/>
      <c r="C12" s="133" t="str">
        <f>Asset5</f>
        <v>IT System</v>
      </c>
      <c r="D12" s="3"/>
      <c r="E12" s="3"/>
      <c r="F12" s="3"/>
      <c r="G12" s="3"/>
      <c r="H12" s="1405">
        <f>'RFM input'!R11
-('RFM input'!L11/(1+previous_vanilla)^0.5+'RFM input'!N11)
+('RFM input'!G65-'RFM input'!G119)
+IF('RFM input'!$F$467='RFM input'!$H$467,0,'RFM input'!G479-'RFM input'!M479)</f>
        <v>8.8025424398874303</v>
      </c>
      <c r="I12" s="1363">
        <f>H12+H64+H176</f>
        <v>6.5704807887915475</v>
      </c>
      <c r="J12" s="1363">
        <f>I12+I64+I176</f>
        <v>4.6173730231216652</v>
      </c>
      <c r="K12" s="1363">
        <f>IF(COUNT($H12:J12)&gt;'RFM input'!$V$7,0, J12+J64+J176+IF(K$111=0,'RFM input'!$H$416,0))</f>
        <v>2.9080903078684037</v>
      </c>
      <c r="L12" s="1363">
        <f>IF(COUNT($H12:K12)&gt;'RFM input'!$V$7,0, K12+K64+K176+IF(L$111=0,'RFM input'!$H$416,0))</f>
        <v>2.4060386332440471</v>
      </c>
      <c r="M12" s="1363">
        <f>IF(COUNT($H12:L12)&gt;'RFM input'!$V$7,0, L12+L64+L176+IF(M$111=0,'RFM input'!$H$416,0))</f>
        <v>3.1575811609237849</v>
      </c>
      <c r="N12" s="1363">
        <f>IF(COUNT($H12:M12)&gt;'RFM input'!$V$7,0, M12+M64+M176+IF(N$111=0,'RFM input'!$H$416,0))</f>
        <v>4.0142900598316853</v>
      </c>
      <c r="O12" s="1363">
        <f>IF(COUNT($H12:N12)&gt;'RFM input'!$V$7,0, N12+N64+N176+IF(O$111=0,'RFM input'!$H$416,0))</f>
        <v>3.3954685585892936</v>
      </c>
      <c r="P12" s="1363">
        <f>IF(COUNT($H12:O12)&gt;'RFM input'!$V$7,0, O12+O64+O176+IF(P$111=0,'RFM input'!$H$416,0))</f>
        <v>0</v>
      </c>
      <c r="Q12" s="1363">
        <f>IF(COUNT($H12:P12)&gt;'RFM input'!$V$7,0, P12+P64+P176+IF(Q$111=0,'RFM input'!$H$416,0))</f>
        <v>0</v>
      </c>
      <c r="R12" s="1363">
        <f>IF(COUNT($H12:Q12)&gt;'RFM input'!$V$7,0, Q12+Q64+Q176+IF(R$111=0,'RFM input'!$H$416,0))</f>
        <v>0</v>
      </c>
      <c r="S12" s="77"/>
      <c r="T12" s="77"/>
      <c r="U12" s="77"/>
      <c r="V12" s="77"/>
      <c r="W12" s="77"/>
      <c r="X12" s="77"/>
      <c r="Y12" s="77"/>
      <c r="Z12" s="77"/>
      <c r="AA12" s="152"/>
    </row>
    <row r="13" spans="1:27" hidden="1" outlineLevel="1">
      <c r="A13" s="3"/>
      <c r="B13" s="29"/>
      <c r="C13" s="133" t="str">
        <f>Asset6</f>
        <v>Other Distribution System Equipment</v>
      </c>
      <c r="D13" s="3"/>
      <c r="E13" s="3"/>
      <c r="F13" s="3"/>
      <c r="G13" s="3"/>
      <c r="H13" s="1405">
        <f>'RFM input'!R12
-('RFM input'!L12/(1+previous_vanilla)^0.5+'RFM input'!N12)
+('RFM input'!G66-'RFM input'!G120)
+IF('RFM input'!$F$467='RFM input'!$H$467,0,'RFM input'!G480-'RFM input'!M480)</f>
        <v>7.835480637984821</v>
      </c>
      <c r="I13" s="1363">
        <f>H13+H65+H189</f>
        <v>8.4352151266328121</v>
      </c>
      <c r="J13" s="1363">
        <f>I13+I65+I189</f>
        <v>8.4036081221690964</v>
      </c>
      <c r="K13" s="1363">
        <f>IF(COUNT($H13:J13)&gt;'RFM input'!$V$7,0, J13+J65+J189+IF(K$111=0,'RFM input'!$H$417,0))</f>
        <v>8.628514681779329</v>
      </c>
      <c r="L13" s="1363">
        <f>IF(COUNT($H13:K13)&gt;'RFM input'!$V$7,0, K13+K65+K189+IF(L$111=0,'RFM input'!$H$417,0))</f>
        <v>9.8274411989434309</v>
      </c>
      <c r="M13" s="1363">
        <f>IF(COUNT($H13:L13)&gt;'RFM input'!$V$7,0, L13+L65+L189+IF(M$111=0,'RFM input'!$H$417,0))</f>
        <v>10.072647543344658</v>
      </c>
      <c r="N13" s="1363">
        <f>IF(COUNT($H13:M13)&gt;'RFM input'!$V$7,0, M13+M65+M189+IF(N$111=0,'RFM input'!$H$417,0))</f>
        <v>10.281705231029205</v>
      </c>
      <c r="O13" s="1363">
        <f>IF(COUNT($H13:N13)&gt;'RFM input'!$V$7,0, N13+N65+N189+IF(O$111=0,'RFM input'!$H$417,0))</f>
        <v>10.404287796662164</v>
      </c>
      <c r="P13" s="1363">
        <f>IF(COUNT($H13:O13)&gt;'RFM input'!$V$7,0, O13+O65+O189+IF(P$111=0,'RFM input'!$H$417,0))</f>
        <v>0</v>
      </c>
      <c r="Q13" s="1363">
        <f>IF(COUNT($H13:P13)&gt;'RFM input'!$V$7,0, P13+P65+P189+IF(Q$111=0,'RFM input'!$H$417,0))</f>
        <v>0</v>
      </c>
      <c r="R13" s="1363">
        <f>IF(COUNT($H13:Q13)&gt;'RFM input'!$V$7,0, Q13+Q65+Q189+IF(R$111=0,'RFM input'!$H$417,0))</f>
        <v>0</v>
      </c>
      <c r="S13" s="77"/>
      <c r="T13" s="77"/>
      <c r="U13" s="77"/>
      <c r="V13" s="77"/>
      <c r="W13" s="77"/>
      <c r="X13" s="77"/>
      <c r="Y13" s="77"/>
      <c r="Z13" s="77"/>
      <c r="AA13" s="152"/>
    </row>
    <row r="14" spans="1:27" hidden="1" outlineLevel="1">
      <c r="A14" s="3"/>
      <c r="B14" s="29"/>
      <c r="C14" s="133" t="str">
        <f>Asset7</f>
        <v>Other</v>
      </c>
      <c r="D14" s="3"/>
      <c r="E14" s="3"/>
      <c r="F14" s="3"/>
      <c r="G14" s="3"/>
      <c r="H14" s="1405">
        <f>'RFM input'!R13
-('RFM input'!L13/(1+previous_vanilla)^0.5+'RFM input'!N13)
+('RFM input'!G67-'RFM input'!G121)
+IF('RFM input'!$F$467='RFM input'!$H$467,0,'RFM input'!G481-'RFM input'!M481)</f>
        <v>0.19718286647050909</v>
      </c>
      <c r="I14" s="1363">
        <f>H14+H66+H202</f>
        <v>4.3609785099060383E-2</v>
      </c>
      <c r="J14" s="1363">
        <f>I14+I66+I202</f>
        <v>-2.6026199999999999E-2</v>
      </c>
      <c r="K14" s="1363">
        <f>IF(COUNT($H14:J14)&gt;'RFM input'!$V$7,0, J14+J66+J202+IF(K$111=0,'RFM input'!$H$418,0))</f>
        <v>-2.3134399999999999E-2</v>
      </c>
      <c r="L14" s="1363">
        <f>IF(COUNT($H14:K14)&gt;'RFM input'!$V$7,0, K14+K66+K202+IF(L$111=0,'RFM input'!$H$418,0))</f>
        <v>-2.0242599999999999E-2</v>
      </c>
      <c r="M14" s="1363">
        <f>IF(COUNT($H14:L14)&gt;'RFM input'!$V$7,0, L14+L66+L202+IF(M$111=0,'RFM input'!$H$418,0))</f>
        <v>-1.73508E-2</v>
      </c>
      <c r="N14" s="1363">
        <f>IF(COUNT($H14:M14)&gt;'RFM input'!$V$7,0, M14+M66+M202+IF(N$111=0,'RFM input'!$H$418,0))</f>
        <v>-1.4459E-2</v>
      </c>
      <c r="O14" s="1363">
        <f>IF(COUNT($H14:N14)&gt;'RFM input'!$V$7,0, N14+N66+N202+IF(O$111=0,'RFM input'!$H$418,0))</f>
        <v>-1.15672E-2</v>
      </c>
      <c r="P14" s="1363">
        <f>IF(COUNT($H14:O14)&gt;'RFM input'!$V$7,0, O14+O66+O202+IF(P$111=0,'RFM input'!$H$418,0))</f>
        <v>0</v>
      </c>
      <c r="Q14" s="1363">
        <f>IF(COUNT($H14:P14)&gt;'RFM input'!$V$7,0, P14+P66+P202+IF(Q$111=0,'RFM input'!$H$418,0))</f>
        <v>0</v>
      </c>
      <c r="R14" s="1363">
        <f>IF(COUNT($H14:Q14)&gt;'RFM input'!$V$7,0, Q14+Q66+Q202+IF(R$111=0,'RFM input'!$H$418,0))</f>
        <v>0</v>
      </c>
      <c r="S14" s="77"/>
      <c r="T14" s="77"/>
      <c r="U14" s="77"/>
      <c r="V14" s="77"/>
      <c r="W14" s="77"/>
      <c r="X14" s="77"/>
      <c r="Y14" s="77"/>
      <c r="Z14" s="77"/>
      <c r="AA14" s="152"/>
    </row>
    <row r="15" spans="1:27" hidden="1" outlineLevel="1">
      <c r="A15" s="3"/>
      <c r="B15" s="29"/>
      <c r="C15" s="133">
        <f>Asset8</f>
        <v>0</v>
      </c>
      <c r="D15" s="3"/>
      <c r="E15" s="3"/>
      <c r="F15" s="3"/>
      <c r="G15" s="3"/>
      <c r="H15" s="1405">
        <f>'RFM input'!R14
-('RFM input'!L14/(1+previous_vanilla)^0.5+'RFM input'!N14)
+('RFM input'!G68-'RFM input'!G122)
+IF('RFM input'!$F$467='RFM input'!$H$467,0,'RFM input'!G482-'RFM input'!M482)</f>
        <v>0</v>
      </c>
      <c r="I15" s="1363">
        <f>H15+H67+H215</f>
        <v>0</v>
      </c>
      <c r="J15" s="1363">
        <f>I15+I67+I215</f>
        <v>0</v>
      </c>
      <c r="K15" s="1363">
        <f>IF(COUNT($H15:J15)&gt;'RFM input'!$V$7,0, J15+J67+J215+IF(K$111=0,'RFM input'!$H$419,0))</f>
        <v>0</v>
      </c>
      <c r="L15" s="1363">
        <f>IF(COUNT($H15:K15)&gt;'RFM input'!$V$7,0, K15+K67+K215+IF(L$111=0,'RFM input'!$H$419,0))</f>
        <v>0</v>
      </c>
      <c r="M15" s="1363">
        <f>IF(COUNT($H15:L15)&gt;'RFM input'!$V$7,0, L15+L67+L215+IF(M$111=0,'RFM input'!$H$419,0))</f>
        <v>0</v>
      </c>
      <c r="N15" s="1363">
        <f>IF(COUNT($H15:M15)&gt;'RFM input'!$V$7,0, M15+M67+M215+IF(N$111=0,'RFM input'!$H$419,0))</f>
        <v>0</v>
      </c>
      <c r="O15" s="1363">
        <f>IF(COUNT($H15:N15)&gt;'RFM input'!$V$7,0, N15+N67+N215+IF(O$111=0,'RFM input'!$H$419,0))</f>
        <v>0</v>
      </c>
      <c r="P15" s="1363">
        <f>IF(COUNT($H15:O15)&gt;'RFM input'!$V$7,0, O15+O67+O215+IF(P$111=0,'RFM input'!$H$419,0))</f>
        <v>0</v>
      </c>
      <c r="Q15" s="1363">
        <f>IF(COUNT($H15:P15)&gt;'RFM input'!$V$7,0, P15+P67+P215+IF(Q$111=0,'RFM input'!$H$419,0))</f>
        <v>0</v>
      </c>
      <c r="R15" s="1363">
        <f>IF(COUNT($H15:Q15)&gt;'RFM input'!$V$7,0, Q15+Q67+Q215+IF(R$111=0,'RFM input'!$H$419,0))</f>
        <v>0</v>
      </c>
      <c r="S15" s="77"/>
      <c r="T15" s="77"/>
      <c r="U15" s="77"/>
      <c r="V15" s="77"/>
      <c r="W15" s="77"/>
      <c r="X15" s="77"/>
      <c r="Y15" s="77"/>
      <c r="Z15" s="77"/>
      <c r="AA15" s="152"/>
    </row>
    <row r="16" spans="1:27" hidden="1" outlineLevel="1">
      <c r="A16" s="3"/>
      <c r="B16" s="29"/>
      <c r="C16" s="133">
        <f>Asset9</f>
        <v>0</v>
      </c>
      <c r="D16" s="3"/>
      <c r="E16" s="3"/>
      <c r="F16" s="3"/>
      <c r="G16" s="3"/>
      <c r="H16" s="1405">
        <f>'RFM input'!R15
-('RFM input'!L15/(1+previous_vanilla)^0.5+'RFM input'!N15)
+('RFM input'!G69-'RFM input'!G123)
+IF('RFM input'!$F$467='RFM input'!$H$467,0,'RFM input'!G483-'RFM input'!M483)</f>
        <v>0</v>
      </c>
      <c r="I16" s="1363">
        <f>H16+H68+H228</f>
        <v>0</v>
      </c>
      <c r="J16" s="1363">
        <f>I16+I68+I228</f>
        <v>0</v>
      </c>
      <c r="K16" s="1363">
        <f>IF(COUNT($H16:J16)&gt;'RFM input'!$V$7,0, J16+J68+J228+IF(K$111=0,'RFM input'!$H$420,0))</f>
        <v>0</v>
      </c>
      <c r="L16" s="1363">
        <f>IF(COUNT($H16:K16)&gt;'RFM input'!$V$7,0, K16+K68+K228+IF(L$111=0,'RFM input'!$H$420,0))</f>
        <v>0</v>
      </c>
      <c r="M16" s="1363">
        <f>IF(COUNT($H16:L16)&gt;'RFM input'!$V$7,0, L16+L68+L228+IF(M$111=0,'RFM input'!$H$420,0))</f>
        <v>0</v>
      </c>
      <c r="N16" s="1363">
        <f>IF(COUNT($H16:M16)&gt;'RFM input'!$V$7,0, M16+M68+M228+IF(N$111=0,'RFM input'!$H$420,0))</f>
        <v>0</v>
      </c>
      <c r="O16" s="1363">
        <f>IF(COUNT($H16:N16)&gt;'RFM input'!$V$7,0, N16+N68+N228+IF(O$111=0,'RFM input'!$H$420,0))</f>
        <v>0</v>
      </c>
      <c r="P16" s="1363">
        <f>IF(COUNT($H16:O16)&gt;'RFM input'!$V$7,0, O16+O68+O228+IF(P$111=0,'RFM input'!$H$420,0))</f>
        <v>0</v>
      </c>
      <c r="Q16" s="1363">
        <f>IF(COUNT($H16:P16)&gt;'RFM input'!$V$7,0, P16+P68+P228+IF(Q$111=0,'RFM input'!$H$420,0))</f>
        <v>0</v>
      </c>
      <c r="R16" s="1363">
        <f>IF(COUNT($H16:Q16)&gt;'RFM input'!$V$7,0, Q16+Q68+Q228+IF(R$111=0,'RFM input'!$H$420,0))</f>
        <v>0</v>
      </c>
      <c r="S16" s="77"/>
      <c r="T16" s="77"/>
      <c r="U16" s="77"/>
      <c r="V16" s="77"/>
      <c r="W16" s="77"/>
      <c r="X16" s="77"/>
      <c r="Y16" s="77"/>
      <c r="Z16" s="77"/>
      <c r="AA16" s="152"/>
    </row>
    <row r="17" spans="1:27" hidden="1" outlineLevel="1">
      <c r="A17" s="3"/>
      <c r="B17" s="29"/>
      <c r="C17" s="133">
        <f>Asset10</f>
        <v>0</v>
      </c>
      <c r="D17" s="3"/>
      <c r="E17" s="3"/>
      <c r="F17" s="3"/>
      <c r="G17" s="3"/>
      <c r="H17" s="1405">
        <f>'RFM input'!R16
-('RFM input'!L16/(1+previous_vanilla)^0.5+'RFM input'!N16)
+('RFM input'!G70-'RFM input'!G124)
+IF('RFM input'!$F$467='RFM input'!$H$467,0,'RFM input'!G484-'RFM input'!M484)</f>
        <v>0</v>
      </c>
      <c r="I17" s="1363">
        <f>H17+H69+H241</f>
        <v>0</v>
      </c>
      <c r="J17" s="1363">
        <f>I17+I69+I241</f>
        <v>0</v>
      </c>
      <c r="K17" s="1363">
        <f>IF(COUNT($H17:J17)&gt;'RFM input'!$V$7,0, J17+J69+J241+IF(K$111=0,'RFM input'!$H$421,0))</f>
        <v>0</v>
      </c>
      <c r="L17" s="1363">
        <f>IF(COUNT($H17:K17)&gt;'RFM input'!$V$7,0, K17+K69+K241+IF(L$111=0,'RFM input'!$H$421,0))</f>
        <v>0</v>
      </c>
      <c r="M17" s="1363">
        <f>IF(COUNT($H17:L17)&gt;'RFM input'!$V$7,0, L17+L69+L241+IF(M$111=0,'RFM input'!$H$421,0))</f>
        <v>0</v>
      </c>
      <c r="N17" s="1363">
        <f>IF(COUNT($H17:M17)&gt;'RFM input'!$V$7,0, M17+M69+M241+IF(N$111=0,'RFM input'!$H$421,0))</f>
        <v>0</v>
      </c>
      <c r="O17" s="1363">
        <f>IF(COUNT($H17:N17)&gt;'RFM input'!$V$7,0, N17+N69+N241+IF(O$111=0,'RFM input'!$H$421,0))</f>
        <v>0</v>
      </c>
      <c r="P17" s="1363">
        <f>IF(COUNT($H17:O17)&gt;'RFM input'!$V$7,0, O17+O69+O241+IF(P$111=0,'RFM input'!$H$421,0))</f>
        <v>0</v>
      </c>
      <c r="Q17" s="1363">
        <f>IF(COUNT($H17:P17)&gt;'RFM input'!$V$7,0, P17+P69+P241+IF(Q$111=0,'RFM input'!$H$421,0))</f>
        <v>0</v>
      </c>
      <c r="R17" s="1363">
        <f>IF(COUNT($H17:Q17)&gt;'RFM input'!$V$7,0, Q17+Q69+Q241+IF(R$111=0,'RFM input'!$H$421,0))</f>
        <v>0</v>
      </c>
      <c r="S17" s="77"/>
      <c r="T17" s="77"/>
      <c r="U17" s="77"/>
      <c r="V17" s="77"/>
      <c r="W17" s="77"/>
      <c r="X17" s="77"/>
      <c r="Y17" s="77"/>
      <c r="Z17" s="77"/>
      <c r="AA17" s="152"/>
    </row>
    <row r="18" spans="1:27" hidden="1" outlineLevel="1">
      <c r="A18" s="3"/>
      <c r="B18" s="29"/>
      <c r="C18" s="133">
        <f>Asset11</f>
        <v>0</v>
      </c>
      <c r="D18" s="3"/>
      <c r="E18" s="3"/>
      <c r="F18" s="3"/>
      <c r="G18" s="3"/>
      <c r="H18" s="1405">
        <f>'RFM input'!R17
-('RFM input'!L17/(1+previous_vanilla)^0.5+'RFM input'!N17)
+('RFM input'!G71-'RFM input'!G125)
+IF('RFM input'!$F$467='RFM input'!$H$467,0,'RFM input'!G485-'RFM input'!M485)</f>
        <v>0</v>
      </c>
      <c r="I18" s="1363">
        <f>H18+H70+H254</f>
        <v>0</v>
      </c>
      <c r="J18" s="1363">
        <f>I18+I70+I254</f>
        <v>0</v>
      </c>
      <c r="K18" s="1363">
        <f>IF(COUNT($H18:J18)&gt;'RFM input'!$V$7,0, J18+J70+J254+IF(K$111=0,'RFM input'!$H$422,0))</f>
        <v>0</v>
      </c>
      <c r="L18" s="1363">
        <f>IF(COUNT($H18:K18)&gt;'RFM input'!$V$7,0, K18+K70+K254+IF(L$111=0,'RFM input'!$H$422,0))</f>
        <v>0</v>
      </c>
      <c r="M18" s="1363">
        <f>IF(COUNT($H18:L18)&gt;'RFM input'!$V$7,0, L18+L70+L254+IF(M$111=0,'RFM input'!$H$422,0))</f>
        <v>0</v>
      </c>
      <c r="N18" s="1363">
        <f>IF(COUNT($H18:M18)&gt;'RFM input'!$V$7,0, M18+M70+M254+IF(N$111=0,'RFM input'!$H$422,0))</f>
        <v>0</v>
      </c>
      <c r="O18" s="1363">
        <f>IF(COUNT($H18:N18)&gt;'RFM input'!$V$7,0, N18+N70+N254+IF(O$111=0,'RFM input'!$H$422,0))</f>
        <v>0</v>
      </c>
      <c r="P18" s="1363">
        <f>IF(COUNT($H18:O18)&gt;'RFM input'!$V$7,0, O18+O70+O254+IF(P$111=0,'RFM input'!$H$422,0))</f>
        <v>0</v>
      </c>
      <c r="Q18" s="1363">
        <f>IF(COUNT($H18:P18)&gt;'RFM input'!$V$7,0, P18+P70+P254+IF(Q$111=0,'RFM input'!$H$422,0))</f>
        <v>0</v>
      </c>
      <c r="R18" s="1363">
        <f>IF(COUNT($H18:Q18)&gt;'RFM input'!$V$7,0, Q18+Q70+Q254+IF(R$111=0,'RFM input'!$H$422,0))</f>
        <v>0</v>
      </c>
      <c r="S18" s="77"/>
      <c r="T18" s="77"/>
      <c r="U18" s="77"/>
      <c r="V18" s="77"/>
      <c r="W18" s="77"/>
      <c r="X18" s="77"/>
      <c r="Y18" s="77"/>
      <c r="Z18" s="77"/>
      <c r="AA18" s="152"/>
    </row>
    <row r="19" spans="1:27" hidden="1" outlineLevel="1">
      <c r="A19" s="3"/>
      <c r="B19" s="29"/>
      <c r="C19" s="133">
        <f>Asset12</f>
        <v>0</v>
      </c>
      <c r="D19" s="3"/>
      <c r="E19" s="3"/>
      <c r="F19" s="3"/>
      <c r="G19" s="3"/>
      <c r="H19" s="1405">
        <f>'RFM input'!R18
-('RFM input'!L18/(1+previous_vanilla)^0.5+'RFM input'!N18)
+('RFM input'!G72-'RFM input'!G126)
+IF('RFM input'!$F$467='RFM input'!$H$467,0,'RFM input'!G486-'RFM input'!M486)</f>
        <v>0</v>
      </c>
      <c r="I19" s="1363">
        <f>H19+H71+H267</f>
        <v>0</v>
      </c>
      <c r="J19" s="1363">
        <f>I19+I71+I267</f>
        <v>0</v>
      </c>
      <c r="K19" s="1363">
        <f>IF(COUNT($H19:J19)&gt;'RFM input'!$V$7,0, J19+J71+J267+IF(K$111=0,'RFM input'!$H$423,0))</f>
        <v>0</v>
      </c>
      <c r="L19" s="1363">
        <f>IF(COUNT($H19:K19)&gt;'RFM input'!$V$7,0, K19+K71+K267+IF(L$111=0,'RFM input'!$H$423,0))</f>
        <v>0</v>
      </c>
      <c r="M19" s="1363">
        <f>IF(COUNT($H19:L19)&gt;'RFM input'!$V$7,0, L19+L71+L267+IF(M$111=0,'RFM input'!$H$423,0))</f>
        <v>0</v>
      </c>
      <c r="N19" s="1363">
        <f>IF(COUNT($H19:M19)&gt;'RFM input'!$V$7,0, M19+M71+M267+IF(N$111=0,'RFM input'!$H$423,0))</f>
        <v>0</v>
      </c>
      <c r="O19" s="1363">
        <f>IF(COUNT($H19:N19)&gt;'RFM input'!$V$7,0, N19+N71+N267+IF(O$111=0,'RFM input'!$H$423,0))</f>
        <v>0</v>
      </c>
      <c r="P19" s="1363">
        <f>IF(COUNT($H19:O19)&gt;'RFM input'!$V$7,0, O19+O71+O267+IF(P$111=0,'RFM input'!$H$423,0))</f>
        <v>0</v>
      </c>
      <c r="Q19" s="1363">
        <f>IF(COUNT($H19:P19)&gt;'RFM input'!$V$7,0, P19+P71+P267+IF(Q$111=0,'RFM input'!$H$423,0))</f>
        <v>0</v>
      </c>
      <c r="R19" s="1363">
        <f>IF(COUNT($H19:Q19)&gt;'RFM input'!$V$7,0, Q19+Q71+Q267+IF(R$111=0,'RFM input'!$H$423,0))</f>
        <v>0</v>
      </c>
      <c r="S19" s="77"/>
      <c r="T19" s="77"/>
      <c r="U19" s="77"/>
      <c r="V19" s="77"/>
      <c r="W19" s="77"/>
      <c r="X19" s="77"/>
      <c r="Y19" s="77"/>
      <c r="Z19" s="77"/>
      <c r="AA19" s="152"/>
    </row>
    <row r="20" spans="1:27" hidden="1" outlineLevel="1">
      <c r="A20" s="3"/>
      <c r="B20" s="29"/>
      <c r="C20" s="133">
        <f>Asset13</f>
        <v>0</v>
      </c>
      <c r="D20" s="3"/>
      <c r="E20" s="3"/>
      <c r="F20" s="3"/>
      <c r="G20" s="3"/>
      <c r="H20" s="1405">
        <f>'RFM input'!R19
-('RFM input'!L19/(1+previous_vanilla)^0.5+'RFM input'!N19)
+('RFM input'!G73-'RFM input'!G127)
+IF('RFM input'!$F$467='RFM input'!$H$467,0,'RFM input'!G487-'RFM input'!M487)</f>
        <v>0</v>
      </c>
      <c r="I20" s="1363">
        <f>H20+H72+H280</f>
        <v>0</v>
      </c>
      <c r="J20" s="1363">
        <f>I20+I72+I280</f>
        <v>0</v>
      </c>
      <c r="K20" s="1363">
        <f>IF(COUNT($H20:J20)&gt;'RFM input'!$V$7,0, J20+J72+J280+IF(K$111=0,'RFM input'!$H$424,0))</f>
        <v>0</v>
      </c>
      <c r="L20" s="1363">
        <f>IF(COUNT($H20:K20)&gt;'RFM input'!$V$7,0, K20+K72+K280+IF(L$111=0,'RFM input'!$H$424,0))</f>
        <v>0</v>
      </c>
      <c r="M20" s="1363">
        <f>IF(COUNT($H20:L20)&gt;'RFM input'!$V$7,0, L20+L72+L280+IF(M$111=0,'RFM input'!$H$424,0))</f>
        <v>0</v>
      </c>
      <c r="N20" s="1363">
        <f>IF(COUNT($H20:M20)&gt;'RFM input'!$V$7,0, M20+M72+M280+IF(N$111=0,'RFM input'!$H$424,0))</f>
        <v>0</v>
      </c>
      <c r="O20" s="1363">
        <f>IF(COUNT($H20:N20)&gt;'RFM input'!$V$7,0, N20+N72+N280+IF(O$111=0,'RFM input'!$H$424,0))</f>
        <v>0</v>
      </c>
      <c r="P20" s="1363">
        <f>IF(COUNT($H20:O20)&gt;'RFM input'!$V$7,0, O20+O72+O280+IF(P$111=0,'RFM input'!$H$424,0))</f>
        <v>0</v>
      </c>
      <c r="Q20" s="1363">
        <f>IF(COUNT($H20:P20)&gt;'RFM input'!$V$7,0, P20+P72+P280+IF(Q$111=0,'RFM input'!$H$424,0))</f>
        <v>0</v>
      </c>
      <c r="R20" s="1363">
        <f>IF(COUNT($H20:Q20)&gt;'RFM input'!$V$7,0, Q20+Q72+Q280+IF(R$111=0,'RFM input'!$H$424,0))</f>
        <v>0</v>
      </c>
      <c r="S20" s="77"/>
      <c r="T20" s="77"/>
      <c r="U20" s="77"/>
      <c r="V20" s="77"/>
      <c r="W20" s="77"/>
      <c r="X20" s="77"/>
      <c r="Y20" s="77"/>
      <c r="Z20" s="77"/>
      <c r="AA20" s="152"/>
    </row>
    <row r="21" spans="1:27" hidden="1" outlineLevel="1">
      <c r="A21" s="3"/>
      <c r="B21" s="29"/>
      <c r="C21" s="133">
        <f>Asset14</f>
        <v>0</v>
      </c>
      <c r="D21" s="3"/>
      <c r="E21" s="3"/>
      <c r="F21" s="3"/>
      <c r="G21" s="3"/>
      <c r="H21" s="1405">
        <f>'RFM input'!R20
-('RFM input'!L20/(1+previous_vanilla)^0.5+'RFM input'!N20)
+('RFM input'!G74-'RFM input'!G128)
+IF('RFM input'!$F$467='RFM input'!$H$467,0,'RFM input'!G488-'RFM input'!M488)</f>
        <v>0</v>
      </c>
      <c r="I21" s="1363">
        <f>H21+H73+H293</f>
        <v>0</v>
      </c>
      <c r="J21" s="1363">
        <f>I21+I73+I293</f>
        <v>0</v>
      </c>
      <c r="K21" s="1363">
        <f>IF(COUNT($H21:J21)&gt;'RFM input'!$V$7,0, J21+J73+J293+IF(K$111=0,'RFM input'!$H$425,0))</f>
        <v>0</v>
      </c>
      <c r="L21" s="1363">
        <f>IF(COUNT($H21:K21)&gt;'RFM input'!$V$7,0, K21+K73+K293+IF(L$111=0,'RFM input'!$H$425,0))</f>
        <v>0</v>
      </c>
      <c r="M21" s="1363">
        <f>IF(COUNT($H21:L21)&gt;'RFM input'!$V$7,0, L21+L73+L293+IF(M$111=0,'RFM input'!$H$425,0))</f>
        <v>0</v>
      </c>
      <c r="N21" s="1363">
        <f>IF(COUNT($H21:M21)&gt;'RFM input'!$V$7,0, M21+M73+M293+IF(N$111=0,'RFM input'!$H$425,0))</f>
        <v>0</v>
      </c>
      <c r="O21" s="1363">
        <f>IF(COUNT($H21:N21)&gt;'RFM input'!$V$7,0, N21+N73+N293+IF(O$111=0,'RFM input'!$H$425,0))</f>
        <v>0</v>
      </c>
      <c r="P21" s="1363">
        <f>IF(COUNT($H21:O21)&gt;'RFM input'!$V$7,0, O21+O73+O293+IF(P$111=0,'RFM input'!$H$425,0))</f>
        <v>0</v>
      </c>
      <c r="Q21" s="1363">
        <f>IF(COUNT($H21:P21)&gt;'RFM input'!$V$7,0, P21+P73+P293+IF(Q$111=0,'RFM input'!$H$425,0))</f>
        <v>0</v>
      </c>
      <c r="R21" s="1363">
        <f>IF(COUNT($H21:Q21)&gt;'RFM input'!$V$7,0, Q21+Q73+Q293+IF(R$111=0,'RFM input'!$H$425,0))</f>
        <v>0</v>
      </c>
      <c r="S21" s="77"/>
      <c r="T21" s="77"/>
      <c r="U21" s="77"/>
      <c r="V21" s="77"/>
      <c r="W21" s="77"/>
      <c r="X21" s="77"/>
      <c r="Y21" s="77"/>
      <c r="Z21" s="77"/>
      <c r="AA21" s="152"/>
    </row>
    <row r="22" spans="1:27" hidden="1" outlineLevel="1">
      <c r="A22" s="3"/>
      <c r="B22" s="29"/>
      <c r="C22" s="133">
        <f>Asset15</f>
        <v>0</v>
      </c>
      <c r="D22" s="3"/>
      <c r="E22" s="3"/>
      <c r="F22" s="3"/>
      <c r="G22" s="3"/>
      <c r="H22" s="1405">
        <f>'RFM input'!R21
-('RFM input'!L21/(1+previous_vanilla)^0.5+'RFM input'!N21)
+('RFM input'!G75-'RFM input'!G129)
+IF('RFM input'!$F$467='RFM input'!$H$467,0,'RFM input'!G489-'RFM input'!M489)</f>
        <v>0</v>
      </c>
      <c r="I22" s="1363">
        <f>H22+H74+H306</f>
        <v>0</v>
      </c>
      <c r="J22" s="1363">
        <f>I22+I74+I306</f>
        <v>0</v>
      </c>
      <c r="K22" s="1363">
        <f>IF(COUNT($H22:J22)&gt;'RFM input'!$V$7,0, J22+J74+J306+IF(K$111=0,'RFM input'!$H$426,0))</f>
        <v>0</v>
      </c>
      <c r="L22" s="1363">
        <f>IF(COUNT($H22:K22)&gt;'RFM input'!$V$7,0, K22+K74+K306+IF(L$111=0,'RFM input'!$H$426,0))</f>
        <v>0</v>
      </c>
      <c r="M22" s="1363">
        <f>IF(COUNT($H22:L22)&gt;'RFM input'!$V$7,0, L22+L74+L306+IF(M$111=0,'RFM input'!$H$426,0))</f>
        <v>0</v>
      </c>
      <c r="N22" s="1363">
        <f>IF(COUNT($H22:M22)&gt;'RFM input'!$V$7,0, M22+M74+M306+IF(N$111=0,'RFM input'!$H$426,0))</f>
        <v>0</v>
      </c>
      <c r="O22" s="1363">
        <f>IF(COUNT($H22:N22)&gt;'RFM input'!$V$7,0, N22+N74+N306+IF(O$111=0,'RFM input'!$H$426,0))</f>
        <v>0</v>
      </c>
      <c r="P22" s="1363">
        <f>IF(COUNT($H22:O22)&gt;'RFM input'!$V$7,0, O22+O74+O306+IF(P$111=0,'RFM input'!$H$426,0))</f>
        <v>0</v>
      </c>
      <c r="Q22" s="1363">
        <f>IF(COUNT($H22:P22)&gt;'RFM input'!$V$7,0, P22+P74+P306+IF(Q$111=0,'RFM input'!$H$426,0))</f>
        <v>0</v>
      </c>
      <c r="R22" s="1363">
        <f>IF(COUNT($H22:Q22)&gt;'RFM input'!$V$7,0, Q22+Q74+Q306+IF(R$111=0,'RFM input'!$H$426,0))</f>
        <v>0</v>
      </c>
      <c r="S22" s="77"/>
      <c r="T22" s="77"/>
      <c r="U22" s="77"/>
      <c r="V22" s="77"/>
      <c r="W22" s="77"/>
      <c r="X22" s="77"/>
      <c r="Y22" s="77"/>
      <c r="Z22" s="77"/>
      <c r="AA22" s="152"/>
    </row>
    <row r="23" spans="1:27" hidden="1" outlineLevel="1">
      <c r="A23" s="3"/>
      <c r="B23" s="29"/>
      <c r="C23" s="133">
        <f>Asset16</f>
        <v>0</v>
      </c>
      <c r="D23" s="3"/>
      <c r="E23" s="3"/>
      <c r="F23" s="3"/>
      <c r="G23" s="3"/>
      <c r="H23" s="1405">
        <f>'RFM input'!R22
-('RFM input'!L22/(1+previous_vanilla)^0.5+'RFM input'!N22)
+('RFM input'!G76-'RFM input'!G130)
+IF('RFM input'!$F$467='RFM input'!$H$467,0,'RFM input'!G490-'RFM input'!M490)</f>
        <v>0</v>
      </c>
      <c r="I23" s="1363">
        <f>H23+H75+H319</f>
        <v>0</v>
      </c>
      <c r="J23" s="1363">
        <f>I23+I75+I319</f>
        <v>0</v>
      </c>
      <c r="K23" s="1363">
        <f>IF(COUNT($H23:J23)&gt;'RFM input'!$V$7,0, J23+J75+J319+IF(K$111=0,'RFM input'!$H$427,0))</f>
        <v>0</v>
      </c>
      <c r="L23" s="1363">
        <f>IF(COUNT($H23:K23)&gt;'RFM input'!$V$7,0, K23+K75+K319+IF(L$111=0,'RFM input'!$H$427,0))</f>
        <v>0</v>
      </c>
      <c r="M23" s="1363">
        <f>IF(COUNT($H23:L23)&gt;'RFM input'!$V$7,0, L23+L75+L319+IF(M$111=0,'RFM input'!$H$427,0))</f>
        <v>0</v>
      </c>
      <c r="N23" s="1363">
        <f>IF(COUNT($H23:M23)&gt;'RFM input'!$V$7,0, M23+M75+M319+IF(N$111=0,'RFM input'!$H$427,0))</f>
        <v>0</v>
      </c>
      <c r="O23" s="1363">
        <f>IF(COUNT($H23:N23)&gt;'RFM input'!$V$7,0, N23+N75+N319+IF(O$111=0,'RFM input'!$H$427,0))</f>
        <v>0</v>
      </c>
      <c r="P23" s="1363">
        <f>IF(COUNT($H23:O23)&gt;'RFM input'!$V$7,0, O23+O75+O319+IF(P$111=0,'RFM input'!$H$427,0))</f>
        <v>0</v>
      </c>
      <c r="Q23" s="1363">
        <f>IF(COUNT($H23:P23)&gt;'RFM input'!$V$7,0, P23+P75+P319+IF(Q$111=0,'RFM input'!$H$427,0))</f>
        <v>0</v>
      </c>
      <c r="R23" s="1363">
        <f>IF(COUNT($H23:Q23)&gt;'RFM input'!$V$7,0, Q23+Q75+Q319+IF(R$111=0,'RFM input'!$H$427,0))</f>
        <v>0</v>
      </c>
      <c r="S23" s="77"/>
      <c r="T23" s="77"/>
      <c r="U23" s="77"/>
      <c r="V23" s="77"/>
      <c r="W23" s="77"/>
      <c r="X23" s="77"/>
      <c r="Y23" s="77"/>
      <c r="Z23" s="77"/>
      <c r="AA23" s="152"/>
    </row>
    <row r="24" spans="1:27" hidden="1" outlineLevel="1">
      <c r="A24" s="3"/>
      <c r="B24" s="29"/>
      <c r="C24" s="133">
        <f>Asset17</f>
        <v>0</v>
      </c>
      <c r="D24" s="3"/>
      <c r="E24" s="3"/>
      <c r="F24" s="3"/>
      <c r="G24" s="3"/>
      <c r="H24" s="1405">
        <f>'RFM input'!R23
-('RFM input'!L23/(1+previous_vanilla)^0.5+'RFM input'!N23)
+('RFM input'!G77-'RFM input'!G131)
+IF('RFM input'!$F$467='RFM input'!$H$467,0,'RFM input'!G491-'RFM input'!M491)</f>
        <v>0</v>
      </c>
      <c r="I24" s="1363">
        <f>H24+H76+H332</f>
        <v>0</v>
      </c>
      <c r="J24" s="1363">
        <f>I24+I76+I332</f>
        <v>0</v>
      </c>
      <c r="K24" s="1363">
        <f>IF(COUNT($H24:J24)&gt;'RFM input'!$V$7,0, J24+J76+J332+IF(K$111=0,'RFM input'!$H$428,0))</f>
        <v>0</v>
      </c>
      <c r="L24" s="1363">
        <f>IF(COUNT($H24:K24)&gt;'RFM input'!$V$7,0, K24+K76+K332+IF(L$111=0,'RFM input'!$H$428,0))</f>
        <v>0</v>
      </c>
      <c r="M24" s="1363">
        <f>IF(COUNT($H24:L24)&gt;'RFM input'!$V$7,0, L24+L76+L332+IF(M$111=0,'RFM input'!$H$428,0))</f>
        <v>0</v>
      </c>
      <c r="N24" s="1363">
        <f>IF(COUNT($H24:M24)&gt;'RFM input'!$V$7,0, M24+M76+M332+IF(N$111=0,'RFM input'!$H$428,0))</f>
        <v>0</v>
      </c>
      <c r="O24" s="1363">
        <f>IF(COUNT($H24:N24)&gt;'RFM input'!$V$7,0, N24+N76+N332+IF(O$111=0,'RFM input'!$H$428,0))</f>
        <v>0</v>
      </c>
      <c r="P24" s="1363">
        <f>IF(COUNT($H24:O24)&gt;'RFM input'!$V$7,0, O24+O76+O332+IF(P$111=0,'RFM input'!$H$428,0))</f>
        <v>0</v>
      </c>
      <c r="Q24" s="1363">
        <f>IF(COUNT($H24:P24)&gt;'RFM input'!$V$7,0, P24+P76+P332+IF(Q$111=0,'RFM input'!$H$428,0))</f>
        <v>0</v>
      </c>
      <c r="R24" s="1363">
        <f>IF(COUNT($H24:Q24)&gt;'RFM input'!$V$7,0, Q24+Q76+Q332+IF(R$111=0,'RFM input'!$H$428,0))</f>
        <v>0</v>
      </c>
      <c r="S24" s="77"/>
      <c r="T24" s="77"/>
      <c r="U24" s="77"/>
      <c r="V24" s="77"/>
      <c r="W24" s="77"/>
      <c r="X24" s="77"/>
      <c r="Y24" s="77"/>
      <c r="Z24" s="77"/>
      <c r="AA24" s="152"/>
    </row>
    <row r="25" spans="1:27" hidden="1" outlineLevel="1">
      <c r="A25" s="3"/>
      <c r="B25" s="29"/>
      <c r="C25" s="133">
        <f>Asset18</f>
        <v>0</v>
      </c>
      <c r="D25" s="3"/>
      <c r="E25" s="3"/>
      <c r="F25" s="3"/>
      <c r="G25" s="3"/>
      <c r="H25" s="1405">
        <f>'RFM input'!R24
-('RFM input'!L24/(1+previous_vanilla)^0.5+'RFM input'!N24)
+('RFM input'!G78-'RFM input'!G132)
+IF('RFM input'!$F$467='RFM input'!$H$467,0,'RFM input'!G492-'RFM input'!M492)</f>
        <v>0</v>
      </c>
      <c r="I25" s="1363">
        <f>H25+H77+H345</f>
        <v>0</v>
      </c>
      <c r="J25" s="1363">
        <f>I25+I77+I345</f>
        <v>0</v>
      </c>
      <c r="K25" s="1363">
        <f>IF(COUNT($H25:J25)&gt;'RFM input'!$V$7,0, J25+J77+J345+IF(K$111=0,'RFM input'!$H$429,0))</f>
        <v>0</v>
      </c>
      <c r="L25" s="1363">
        <f>IF(COUNT($H25:K25)&gt;'RFM input'!$V$7,0, K25+K77+K345+IF(L$111=0,'RFM input'!$H$429,0))</f>
        <v>0</v>
      </c>
      <c r="M25" s="1363">
        <f>IF(COUNT($H25:L25)&gt;'RFM input'!$V$7,0, L25+L77+L345+IF(M$111=0,'RFM input'!$H$429,0))</f>
        <v>0</v>
      </c>
      <c r="N25" s="1363">
        <f>IF(COUNT($H25:M25)&gt;'RFM input'!$V$7,0, M25+M77+M345+IF(N$111=0,'RFM input'!$H$429,0))</f>
        <v>0</v>
      </c>
      <c r="O25" s="1363">
        <f>IF(COUNT($H25:N25)&gt;'RFM input'!$V$7,0, N25+N77+N345+IF(O$111=0,'RFM input'!$H$429,0))</f>
        <v>0</v>
      </c>
      <c r="P25" s="1363">
        <f>IF(COUNT($H25:O25)&gt;'RFM input'!$V$7,0, O25+O77+O345+IF(P$111=0,'RFM input'!$H$429,0))</f>
        <v>0</v>
      </c>
      <c r="Q25" s="1363">
        <f>IF(COUNT($H25:P25)&gt;'RFM input'!$V$7,0, P25+P77+P345+IF(Q$111=0,'RFM input'!$H$429,0))</f>
        <v>0</v>
      </c>
      <c r="R25" s="1363">
        <f>IF(COUNT($H25:Q25)&gt;'RFM input'!$V$7,0, Q25+Q77+Q345+IF(R$111=0,'RFM input'!$H$429,0))</f>
        <v>0</v>
      </c>
      <c r="S25" s="77"/>
      <c r="T25" s="77"/>
      <c r="U25" s="77"/>
      <c r="V25" s="77"/>
      <c r="W25" s="77"/>
      <c r="X25" s="77"/>
      <c r="Y25" s="77"/>
      <c r="Z25" s="77"/>
      <c r="AA25" s="152"/>
    </row>
    <row r="26" spans="1:27" hidden="1" outlineLevel="1">
      <c r="A26" s="3"/>
      <c r="B26" s="29"/>
      <c r="C26" s="133">
        <f>Asset19</f>
        <v>0</v>
      </c>
      <c r="D26" s="3"/>
      <c r="E26" s="3"/>
      <c r="F26" s="3"/>
      <c r="G26" s="3"/>
      <c r="H26" s="1405">
        <f>'RFM input'!R25
-('RFM input'!L25/(1+previous_vanilla)^0.5+'RFM input'!N25)
+('RFM input'!G79-'RFM input'!G133)
+IF('RFM input'!$F$467='RFM input'!$H$467,0,'RFM input'!G493-'RFM input'!M493)</f>
        <v>0</v>
      </c>
      <c r="I26" s="1363">
        <f>H26+H78+H358</f>
        <v>0</v>
      </c>
      <c r="J26" s="1363">
        <f>I26+I78+I358</f>
        <v>0</v>
      </c>
      <c r="K26" s="1363">
        <f>IF(COUNT($H26:J26)&gt;'RFM input'!$V$7,0, J26+J78+J358+IF(K$111=0,'RFM input'!$H$430,0))</f>
        <v>0</v>
      </c>
      <c r="L26" s="1363">
        <f>IF(COUNT($H26:K26)&gt;'RFM input'!$V$7,0, K26+K78+K358+IF(L$111=0,'RFM input'!$H$430,0))</f>
        <v>0</v>
      </c>
      <c r="M26" s="1363">
        <f>IF(COUNT($H26:L26)&gt;'RFM input'!$V$7,0, L26+L78+L358+IF(M$111=0,'RFM input'!$H$430,0))</f>
        <v>0</v>
      </c>
      <c r="N26" s="1363">
        <f>IF(COUNT($H26:M26)&gt;'RFM input'!$V$7,0, M26+M78+M358+IF(N$111=0,'RFM input'!$H$430,0))</f>
        <v>0</v>
      </c>
      <c r="O26" s="1363">
        <f>IF(COUNT($H26:N26)&gt;'RFM input'!$V$7,0, N26+N78+N358+IF(O$111=0,'RFM input'!$H$430,0))</f>
        <v>0</v>
      </c>
      <c r="P26" s="1363">
        <f>IF(COUNT($H26:O26)&gt;'RFM input'!$V$7,0, O26+O78+O358+IF(P$111=0,'RFM input'!$H$430,0))</f>
        <v>0</v>
      </c>
      <c r="Q26" s="1363">
        <f>IF(COUNT($H26:P26)&gt;'RFM input'!$V$7,0, P26+P78+P358+IF(Q$111=0,'RFM input'!$H$430,0))</f>
        <v>0</v>
      </c>
      <c r="R26" s="1363">
        <f>IF(COUNT($H26:Q26)&gt;'RFM input'!$V$7,0, Q26+Q78+Q358+IF(R$111=0,'RFM input'!$H$430,0))</f>
        <v>0</v>
      </c>
      <c r="S26" s="77"/>
      <c r="T26" s="77"/>
      <c r="U26" s="77"/>
      <c r="V26" s="77"/>
      <c r="W26" s="77"/>
      <c r="X26" s="77"/>
      <c r="Y26" s="77"/>
      <c r="Z26" s="77"/>
      <c r="AA26" s="152"/>
    </row>
    <row r="27" spans="1:27" hidden="1" outlineLevel="1">
      <c r="A27" s="3"/>
      <c r="B27" s="29"/>
      <c r="C27" s="133">
        <f>Asset20</f>
        <v>0</v>
      </c>
      <c r="D27" s="3"/>
      <c r="E27" s="3"/>
      <c r="F27" s="3"/>
      <c r="G27" s="3"/>
      <c r="H27" s="1405">
        <f>'RFM input'!R26
-('RFM input'!L26/(1+previous_vanilla)^0.5+'RFM input'!N26)
+('RFM input'!G80-'RFM input'!G134)
+IF('RFM input'!$F$467='RFM input'!$H$467,0,'RFM input'!G494-'RFM input'!M494)</f>
        <v>0</v>
      </c>
      <c r="I27" s="1363">
        <f>H27+H79+H371</f>
        <v>0</v>
      </c>
      <c r="J27" s="1363">
        <f>I27+I79+I371</f>
        <v>0</v>
      </c>
      <c r="K27" s="1363">
        <f>IF(COUNT($H27:J27)&gt;'RFM input'!$V$7,0, J27+J79+J371+IF(K$111=0,'RFM input'!$H$431,0))</f>
        <v>0</v>
      </c>
      <c r="L27" s="1363">
        <f>IF(COUNT($H27:K27)&gt;'RFM input'!$V$7,0, K27+K79+K371+IF(L$111=0,'RFM input'!$H$431,0))</f>
        <v>0</v>
      </c>
      <c r="M27" s="1363">
        <f>IF(COUNT($H27:L27)&gt;'RFM input'!$V$7,0, L27+L79+L371+IF(M$111=0,'RFM input'!$H$431,0))</f>
        <v>0</v>
      </c>
      <c r="N27" s="1363">
        <f>IF(COUNT($H27:M27)&gt;'RFM input'!$V$7,0, M27+M79+M371+IF(N$111=0,'RFM input'!$H$431,0))</f>
        <v>0</v>
      </c>
      <c r="O27" s="1363">
        <f>IF(COUNT($H27:N27)&gt;'RFM input'!$V$7,0, N27+N79+N371+IF(O$111=0,'RFM input'!$H$431,0))</f>
        <v>0</v>
      </c>
      <c r="P27" s="1363">
        <f>IF(COUNT($H27:O27)&gt;'RFM input'!$V$7,0, O27+O79+O371+IF(P$111=0,'RFM input'!$H$431,0))</f>
        <v>0</v>
      </c>
      <c r="Q27" s="1363">
        <f>IF(COUNT($H27:P27)&gt;'RFM input'!$V$7,0, P27+P79+P371+IF(Q$111=0,'RFM input'!$H$431,0))</f>
        <v>0</v>
      </c>
      <c r="R27" s="1363">
        <f>IF(COUNT($H27:Q27)&gt;'RFM input'!$V$7,0, Q27+Q79+Q371+IF(R$111=0,'RFM input'!$H$431,0))</f>
        <v>0</v>
      </c>
      <c r="S27" s="77"/>
      <c r="T27" s="77"/>
      <c r="U27" s="77"/>
      <c r="V27" s="77"/>
      <c r="W27" s="77"/>
      <c r="X27" s="77"/>
      <c r="Y27" s="77"/>
      <c r="Z27" s="77"/>
      <c r="AA27" s="152"/>
    </row>
    <row r="28" spans="1:27" hidden="1" outlineLevel="1">
      <c r="A28" s="3"/>
      <c r="B28" s="29"/>
      <c r="C28" s="133">
        <f>Asset21</f>
        <v>0</v>
      </c>
      <c r="D28" s="3"/>
      <c r="E28" s="3"/>
      <c r="F28" s="3"/>
      <c r="G28" s="3"/>
      <c r="H28" s="1405">
        <f>'RFM input'!R27
-('RFM input'!L27/(1+previous_vanilla)^0.5+'RFM input'!N27)
+('RFM input'!G81-'RFM input'!G135)
+IF('RFM input'!$F$467='RFM input'!$H$467,0,'RFM input'!G495-'RFM input'!M495)</f>
        <v>0</v>
      </c>
      <c r="I28" s="1363">
        <f>H28+H80+H384</f>
        <v>0</v>
      </c>
      <c r="J28" s="1363">
        <f>I28+I80+I384</f>
        <v>0</v>
      </c>
      <c r="K28" s="1363">
        <f>IF(COUNT($H28:J28)&gt;'RFM input'!$V$7,0, J28+J80+J384+IF(K$111=0,'RFM input'!$H$432,0))</f>
        <v>0</v>
      </c>
      <c r="L28" s="1363">
        <f>IF(COUNT($H28:K28)&gt;'RFM input'!$V$7,0, K28+K80+K384+IF(L$111=0,'RFM input'!$H$432,0))</f>
        <v>0</v>
      </c>
      <c r="M28" s="1363">
        <f>IF(COUNT($H28:L28)&gt;'RFM input'!$V$7,0, L28+L80+L384+IF(M$111=0,'RFM input'!$H$432,0))</f>
        <v>0</v>
      </c>
      <c r="N28" s="1363">
        <f>IF(COUNT($H28:M28)&gt;'RFM input'!$V$7,0, M28+M80+M384+IF(N$111=0,'RFM input'!$H$432,0))</f>
        <v>0</v>
      </c>
      <c r="O28" s="1363">
        <f>IF(COUNT($H28:N28)&gt;'RFM input'!$V$7,0, N28+N80+N384+IF(O$111=0,'RFM input'!$H$432,0))</f>
        <v>0</v>
      </c>
      <c r="P28" s="1363">
        <f>IF(COUNT($H28:O28)&gt;'RFM input'!$V$7,0, O28+O80+O384+IF(P$111=0,'RFM input'!$H$432,0))</f>
        <v>0</v>
      </c>
      <c r="Q28" s="1363">
        <f>IF(COUNT($H28:P28)&gt;'RFM input'!$V$7,0, P28+P80+P384+IF(Q$111=0,'RFM input'!$H$432,0))</f>
        <v>0</v>
      </c>
      <c r="R28" s="1363">
        <f>IF(COUNT($H28:Q28)&gt;'RFM input'!$V$7,0, Q28+Q80+Q384+IF(R$111=0,'RFM input'!$H$432,0))</f>
        <v>0</v>
      </c>
      <c r="S28" s="77"/>
      <c r="T28" s="77"/>
      <c r="U28" s="77"/>
      <c r="V28" s="77"/>
      <c r="W28" s="77"/>
      <c r="X28" s="77"/>
      <c r="Y28" s="77"/>
      <c r="Z28" s="77"/>
      <c r="AA28" s="152"/>
    </row>
    <row r="29" spans="1:27" hidden="1" outlineLevel="1">
      <c r="A29" s="3"/>
      <c r="B29" s="29"/>
      <c r="C29" s="133">
        <f>Asset22</f>
        <v>0</v>
      </c>
      <c r="D29" s="3"/>
      <c r="E29" s="3"/>
      <c r="F29" s="3"/>
      <c r="G29" s="3"/>
      <c r="H29" s="1405">
        <f>'RFM input'!R28
-('RFM input'!L28/(1+previous_vanilla)^0.5+'RFM input'!N28)
+('RFM input'!G82-'RFM input'!G136)
+IF('RFM input'!$F$467='RFM input'!$H$467,0,'RFM input'!G496-'RFM input'!M496)</f>
        <v>0</v>
      </c>
      <c r="I29" s="1363">
        <f>H29+H81+H397</f>
        <v>0</v>
      </c>
      <c r="J29" s="1363">
        <f>I29+I81+I397</f>
        <v>0</v>
      </c>
      <c r="K29" s="1363">
        <f>IF(COUNT($H29:J29)&gt;'RFM input'!$V$7,0, J29+J81+J397+IF(K$111=0,'RFM input'!$H$433,0))</f>
        <v>0</v>
      </c>
      <c r="L29" s="1363">
        <f>IF(COUNT($H29:K29)&gt;'RFM input'!$V$7,0, K29+K81+K397+IF(L$111=0,'RFM input'!$H$433,0))</f>
        <v>0</v>
      </c>
      <c r="M29" s="1363">
        <f>IF(COUNT($H29:L29)&gt;'RFM input'!$V$7,0, L29+L81+L397+IF(M$111=0,'RFM input'!$H$433,0))</f>
        <v>0</v>
      </c>
      <c r="N29" s="1363">
        <f>IF(COUNT($H29:M29)&gt;'RFM input'!$V$7,0, M29+M81+M397+IF(N$111=0,'RFM input'!$H$433,0))</f>
        <v>0</v>
      </c>
      <c r="O29" s="1363">
        <f>IF(COUNT($H29:N29)&gt;'RFM input'!$V$7,0, N29+N81+N397+IF(O$111=0,'RFM input'!$H$433,0))</f>
        <v>0</v>
      </c>
      <c r="P29" s="1363">
        <f>IF(COUNT($H29:O29)&gt;'RFM input'!$V$7,0, O29+O81+O397+IF(P$111=0,'RFM input'!$H$433,0))</f>
        <v>0</v>
      </c>
      <c r="Q29" s="1363">
        <f>IF(COUNT($H29:P29)&gt;'RFM input'!$V$7,0, P29+P81+P397+IF(Q$111=0,'RFM input'!$H$433,0))</f>
        <v>0</v>
      </c>
      <c r="R29" s="1363">
        <f>IF(COUNT($H29:Q29)&gt;'RFM input'!$V$7,0, Q29+Q81+Q397+IF(R$111=0,'RFM input'!$H$433,0))</f>
        <v>0</v>
      </c>
      <c r="S29" s="77"/>
      <c r="T29" s="77"/>
      <c r="U29" s="77"/>
      <c r="V29" s="77"/>
      <c r="W29" s="77"/>
      <c r="X29" s="77"/>
      <c r="Y29" s="77"/>
      <c r="Z29" s="77"/>
      <c r="AA29" s="152"/>
    </row>
    <row r="30" spans="1:27" hidden="1" outlineLevel="1">
      <c r="A30" s="3"/>
      <c r="B30" s="29"/>
      <c r="C30" s="133">
        <f>Asset23</f>
        <v>0</v>
      </c>
      <c r="D30" s="3"/>
      <c r="E30" s="3"/>
      <c r="F30" s="3"/>
      <c r="G30" s="3"/>
      <c r="H30" s="1405">
        <f>'RFM input'!R29
-('RFM input'!L29/(1+previous_vanilla)^0.5+'RFM input'!N29)
+('RFM input'!G83-'RFM input'!G137)
+IF('RFM input'!$F$467='RFM input'!$H$467,0,'RFM input'!G497-'RFM input'!M497)</f>
        <v>0</v>
      </c>
      <c r="I30" s="1363">
        <f>H30+H82+H410</f>
        <v>0</v>
      </c>
      <c r="J30" s="1363">
        <f>I30+I82+I410</f>
        <v>0</v>
      </c>
      <c r="K30" s="1363">
        <f>IF(COUNT($H30:J30)&gt;'RFM input'!$V$7,0, J30+J82+J410+IF(K$111=0,'RFM input'!$H$434,0))</f>
        <v>0</v>
      </c>
      <c r="L30" s="1363">
        <f>IF(COUNT($H30:K30)&gt;'RFM input'!$V$7,0, K30+K82+K410+IF(L$111=0,'RFM input'!$H$434,0))</f>
        <v>0</v>
      </c>
      <c r="M30" s="1363">
        <f>IF(COUNT($H30:L30)&gt;'RFM input'!$V$7,0, L30+L82+L410+IF(M$111=0,'RFM input'!$H$434,0))</f>
        <v>0</v>
      </c>
      <c r="N30" s="1363">
        <f>IF(COUNT($H30:M30)&gt;'RFM input'!$V$7,0, M30+M82+M410+IF(N$111=0,'RFM input'!$H$434,0))</f>
        <v>0</v>
      </c>
      <c r="O30" s="1363">
        <f>IF(COUNT($H30:N30)&gt;'RFM input'!$V$7,0, N30+N82+N410+IF(O$111=0,'RFM input'!$H$434,0))</f>
        <v>0</v>
      </c>
      <c r="P30" s="1363">
        <f>IF(COUNT($H30:O30)&gt;'RFM input'!$V$7,0, O30+O82+O410+IF(P$111=0,'RFM input'!$H$434,0))</f>
        <v>0</v>
      </c>
      <c r="Q30" s="1363">
        <f>IF(COUNT($H30:P30)&gt;'RFM input'!$V$7,0, P30+P82+P410+IF(Q$111=0,'RFM input'!$H$434,0))</f>
        <v>0</v>
      </c>
      <c r="R30" s="1363">
        <f>IF(COUNT($H30:Q30)&gt;'RFM input'!$V$7,0, Q30+Q82+Q410+IF(R$111=0,'RFM input'!$H$434,0))</f>
        <v>0</v>
      </c>
      <c r="S30" s="77"/>
      <c r="T30" s="77"/>
      <c r="U30" s="77"/>
      <c r="V30" s="77"/>
      <c r="W30" s="77"/>
      <c r="X30" s="77"/>
      <c r="Y30" s="77"/>
      <c r="Z30" s="77"/>
      <c r="AA30" s="152"/>
    </row>
    <row r="31" spans="1:27" hidden="1" outlineLevel="1">
      <c r="A31" s="3"/>
      <c r="B31" s="29"/>
      <c r="C31" s="133">
        <f>Asset24</f>
        <v>0</v>
      </c>
      <c r="D31" s="3"/>
      <c r="E31" s="3"/>
      <c r="F31" s="3"/>
      <c r="G31" s="3"/>
      <c r="H31" s="1405">
        <f>'RFM input'!R30
-('RFM input'!L30/(1+previous_vanilla)^0.5+'RFM input'!N30)
+('RFM input'!G84-'RFM input'!G138)
+IF('RFM input'!$F$467='RFM input'!$H$467,0,'RFM input'!G498-'RFM input'!M498)</f>
        <v>0</v>
      </c>
      <c r="I31" s="1363">
        <f>H31+H83+H423</f>
        <v>0</v>
      </c>
      <c r="J31" s="1363">
        <f>I31+I83+I423</f>
        <v>0</v>
      </c>
      <c r="K31" s="1363">
        <f>IF(COUNT($H31:J31)&gt;'RFM input'!$V$7,0, J31+J83+J423+IF(K$111=0,'RFM input'!$H$435,0))</f>
        <v>0</v>
      </c>
      <c r="L31" s="1363">
        <f>IF(COUNT($H31:K31)&gt;'RFM input'!$V$7,0, K31+K83+K423+IF(L$111=0,'RFM input'!$H$435,0))</f>
        <v>0</v>
      </c>
      <c r="M31" s="1363">
        <f>IF(COUNT($H31:L31)&gt;'RFM input'!$V$7,0, L31+L83+L423+IF(M$111=0,'RFM input'!$H$435,0))</f>
        <v>0</v>
      </c>
      <c r="N31" s="1363">
        <f>IF(COUNT($H31:M31)&gt;'RFM input'!$V$7,0, M31+M83+M423+IF(N$111=0,'RFM input'!$H$435,0))</f>
        <v>0</v>
      </c>
      <c r="O31" s="1363">
        <f>IF(COUNT($H31:N31)&gt;'RFM input'!$V$7,0, N31+N83+N423+IF(O$111=0,'RFM input'!$H$435,0))</f>
        <v>0</v>
      </c>
      <c r="P31" s="1363">
        <f>IF(COUNT($H31:O31)&gt;'RFM input'!$V$7,0, O31+O83+O423+IF(P$111=0,'RFM input'!$H$435,0))</f>
        <v>0</v>
      </c>
      <c r="Q31" s="1363">
        <f>IF(COUNT($H31:P31)&gt;'RFM input'!$V$7,0, P31+P83+P423+IF(Q$111=0,'RFM input'!$H$435,0))</f>
        <v>0</v>
      </c>
      <c r="R31" s="1363">
        <f>IF(COUNT($H31:Q31)&gt;'RFM input'!$V$7,0, Q31+Q83+Q423+IF(R$111=0,'RFM input'!$H$435,0))</f>
        <v>0</v>
      </c>
      <c r="S31" s="77"/>
      <c r="T31" s="77"/>
      <c r="U31" s="77"/>
      <c r="V31" s="77"/>
      <c r="W31" s="77"/>
      <c r="X31" s="77"/>
      <c r="Y31" s="77"/>
      <c r="Z31" s="77"/>
      <c r="AA31" s="152"/>
    </row>
    <row r="32" spans="1:27" hidden="1" outlineLevel="1">
      <c r="A32" s="3"/>
      <c r="B32" s="29"/>
      <c r="C32" s="133">
        <f>Asset25</f>
        <v>0</v>
      </c>
      <c r="D32" s="3"/>
      <c r="E32" s="3"/>
      <c r="F32" s="3"/>
      <c r="G32" s="3"/>
      <c r="H32" s="1405">
        <f>'RFM input'!R31
-('RFM input'!L31/(1+previous_vanilla)^0.5+'RFM input'!N31)
+('RFM input'!G85-'RFM input'!G139)
+IF('RFM input'!$F$467='RFM input'!$H$467,0,'RFM input'!G499-'RFM input'!M499)</f>
        <v>0</v>
      </c>
      <c r="I32" s="1363">
        <f>H32+H84+H436</f>
        <v>0</v>
      </c>
      <c r="J32" s="1363">
        <f>I32+I84+I436</f>
        <v>0</v>
      </c>
      <c r="K32" s="1363">
        <f>IF(COUNT($H32:J32)&gt;'RFM input'!$V$7,0, J32+J84+J436+IF(K$111=0,'RFM input'!$H$436,0))</f>
        <v>0</v>
      </c>
      <c r="L32" s="1363">
        <f>IF(COUNT($H32:K32)&gt;'RFM input'!$V$7,0, K32+K84+K436+IF(L$111=0,'RFM input'!$H$436,0))</f>
        <v>0</v>
      </c>
      <c r="M32" s="1363">
        <f>IF(COUNT($H32:L32)&gt;'RFM input'!$V$7,0, L32+L84+L436+IF(M$111=0,'RFM input'!$H$436,0))</f>
        <v>0</v>
      </c>
      <c r="N32" s="1363">
        <f>IF(COUNT($H32:M32)&gt;'RFM input'!$V$7,0, M32+M84+M436+IF(N$111=0,'RFM input'!$H$436,0))</f>
        <v>0</v>
      </c>
      <c r="O32" s="1363">
        <f>IF(COUNT($H32:N32)&gt;'RFM input'!$V$7,0, N32+N84+N436+IF(O$111=0,'RFM input'!$H$436,0))</f>
        <v>0</v>
      </c>
      <c r="P32" s="1363">
        <f>IF(COUNT($H32:O32)&gt;'RFM input'!$V$7,0, O32+O84+O436+IF(P$111=0,'RFM input'!$H$436,0))</f>
        <v>0</v>
      </c>
      <c r="Q32" s="1363">
        <f>IF(COUNT($H32:P32)&gt;'RFM input'!$V$7,0, P32+P84+P436+IF(Q$111=0,'RFM input'!$H$436,0))</f>
        <v>0</v>
      </c>
      <c r="R32" s="1363">
        <f>IF(COUNT($H32:Q32)&gt;'RFM input'!$V$7,0, Q32+Q84+Q436+IF(R$111=0,'RFM input'!$H$436,0))</f>
        <v>0</v>
      </c>
      <c r="S32" s="77"/>
      <c r="T32" s="77"/>
      <c r="U32" s="77"/>
      <c r="V32" s="77"/>
      <c r="W32" s="77"/>
      <c r="X32" s="77"/>
      <c r="Y32" s="77"/>
      <c r="Z32" s="77"/>
      <c r="AA32" s="152"/>
    </row>
    <row r="33" spans="1:27" hidden="1" outlineLevel="1">
      <c r="A33" s="3"/>
      <c r="B33" s="29"/>
      <c r="C33" s="133">
        <f>Asset26</f>
        <v>0</v>
      </c>
      <c r="D33" s="3"/>
      <c r="E33" s="3"/>
      <c r="F33" s="3"/>
      <c r="G33" s="3"/>
      <c r="H33" s="1405">
        <f>'RFM input'!R32
-('RFM input'!L32/(1+previous_vanilla)^0.5+'RFM input'!N32)
+('RFM input'!G86-'RFM input'!G140)
+IF('RFM input'!$F$467='RFM input'!$H$467,0,'RFM input'!G500-'RFM input'!M500)</f>
        <v>0</v>
      </c>
      <c r="I33" s="1363">
        <f>H33+H85+H449</f>
        <v>0</v>
      </c>
      <c r="J33" s="1363">
        <f>I33+I85+I449</f>
        <v>0</v>
      </c>
      <c r="K33" s="1363">
        <f>IF(COUNT($H33:J33)&gt;'RFM input'!$V$7,0, J33+J85+J449+IF(K$111=0,'RFM input'!$H$437,0))</f>
        <v>0</v>
      </c>
      <c r="L33" s="1363">
        <f>IF(COUNT($H33:K33)&gt;'RFM input'!$V$7,0, K33+K85+K449+IF(L$111=0,'RFM input'!$H$437,0))</f>
        <v>0</v>
      </c>
      <c r="M33" s="1363">
        <f>IF(COUNT($H33:L33)&gt;'RFM input'!$V$7,0, L33+L85+L449+IF(M$111=0,'RFM input'!$H$437,0))</f>
        <v>0</v>
      </c>
      <c r="N33" s="1363">
        <f>IF(COUNT($H33:M33)&gt;'RFM input'!$V$7,0, M33+M85+M449+IF(N$111=0,'RFM input'!$H$437,0))</f>
        <v>0</v>
      </c>
      <c r="O33" s="1363">
        <f>IF(COUNT($H33:N33)&gt;'RFM input'!$V$7,0, N33+N85+N449+IF(O$111=0,'RFM input'!$H$437,0))</f>
        <v>0</v>
      </c>
      <c r="P33" s="1363">
        <f>IF(COUNT($H33:O33)&gt;'RFM input'!$V$7,0, O33+O85+O449+IF(P$111=0,'RFM input'!$H$437,0))</f>
        <v>0</v>
      </c>
      <c r="Q33" s="1363">
        <f>IF(COUNT($H33:P33)&gt;'RFM input'!$V$7,0, P33+P85+P449+IF(Q$111=0,'RFM input'!$H$437,0))</f>
        <v>0</v>
      </c>
      <c r="R33" s="1363">
        <f>IF(COUNT($H33:Q33)&gt;'RFM input'!$V$7,0, Q33+Q85+Q449+IF(R$111=0,'RFM input'!$H$437,0))</f>
        <v>0</v>
      </c>
      <c r="S33" s="77"/>
      <c r="T33" s="77"/>
      <c r="U33" s="77"/>
      <c r="V33" s="77"/>
      <c r="W33" s="77"/>
      <c r="X33" s="77"/>
      <c r="Y33" s="77"/>
      <c r="Z33" s="77"/>
      <c r="AA33" s="152"/>
    </row>
    <row r="34" spans="1:27" hidden="1" outlineLevel="1">
      <c r="A34" s="3"/>
      <c r="B34" s="29"/>
      <c r="C34" s="133">
        <f>Asset27</f>
        <v>0</v>
      </c>
      <c r="D34" s="3"/>
      <c r="E34" s="3"/>
      <c r="F34" s="3"/>
      <c r="G34" s="3"/>
      <c r="H34" s="1405">
        <f>'RFM input'!R33
-('RFM input'!L33/(1+previous_vanilla)^0.5+'RFM input'!N33)
+('RFM input'!G87-'RFM input'!G141)
+IF('RFM input'!$F$467='RFM input'!$H$467,0,'RFM input'!G501-'RFM input'!M501)</f>
        <v>0</v>
      </c>
      <c r="I34" s="1363">
        <f>H34+H86+H462</f>
        <v>0</v>
      </c>
      <c r="J34" s="1363">
        <f>I34+I86+I462</f>
        <v>0</v>
      </c>
      <c r="K34" s="1363">
        <f>IF(COUNT($H34:J34)&gt;'RFM input'!$V$7,0, J34+J86+J462+IF(K$111=0,'RFM input'!$H$438,0))</f>
        <v>0</v>
      </c>
      <c r="L34" s="1363">
        <f>IF(COUNT($H34:K34)&gt;'RFM input'!$V$7,0, K34+K86+K462+IF(L$111=0,'RFM input'!$H$438,0))</f>
        <v>0</v>
      </c>
      <c r="M34" s="1363">
        <f>IF(COUNT($H34:L34)&gt;'RFM input'!$V$7,0, L34+L86+L462+IF(M$111=0,'RFM input'!$H$438,0))</f>
        <v>0</v>
      </c>
      <c r="N34" s="1363">
        <f>IF(COUNT($H34:M34)&gt;'RFM input'!$V$7,0, M34+M86+M462+IF(N$111=0,'RFM input'!$H$438,0))</f>
        <v>0</v>
      </c>
      <c r="O34" s="1363">
        <f>IF(COUNT($H34:N34)&gt;'RFM input'!$V$7,0, N34+N86+N462+IF(O$111=0,'RFM input'!$H$438,0))</f>
        <v>0</v>
      </c>
      <c r="P34" s="1363">
        <f>IF(COUNT($H34:O34)&gt;'RFM input'!$V$7,0, O34+O86+O462+IF(P$111=0,'RFM input'!$H$438,0))</f>
        <v>0</v>
      </c>
      <c r="Q34" s="1363">
        <f>IF(COUNT($H34:P34)&gt;'RFM input'!$V$7,0, P34+P86+P462+IF(Q$111=0,'RFM input'!$H$438,0))</f>
        <v>0</v>
      </c>
      <c r="R34" s="1363">
        <f>IF(COUNT($H34:Q34)&gt;'RFM input'!$V$7,0, Q34+Q86+Q462+IF(R$111=0,'RFM input'!$H$438,0))</f>
        <v>0</v>
      </c>
      <c r="S34" s="77"/>
      <c r="T34" s="77"/>
      <c r="U34" s="77"/>
      <c r="V34" s="77"/>
      <c r="W34" s="77"/>
      <c r="X34" s="77"/>
      <c r="Y34" s="77"/>
      <c r="Z34" s="77"/>
      <c r="AA34" s="152"/>
    </row>
    <row r="35" spans="1:27" hidden="1" outlineLevel="1">
      <c r="A35" s="3"/>
      <c r="B35" s="29"/>
      <c r="C35" s="133">
        <f>Asset28</f>
        <v>0</v>
      </c>
      <c r="D35" s="3"/>
      <c r="E35" s="3"/>
      <c r="F35" s="3"/>
      <c r="G35" s="3"/>
      <c r="H35" s="1405">
        <f>'RFM input'!R34
-('RFM input'!L34/(1+previous_vanilla)^0.5+'RFM input'!N34)
+('RFM input'!G88-'RFM input'!G142)
+IF('RFM input'!$F$467='RFM input'!$H$467,0,'RFM input'!G502-'RFM input'!M502)</f>
        <v>0</v>
      </c>
      <c r="I35" s="1363">
        <f>H35+H87+H475</f>
        <v>0</v>
      </c>
      <c r="J35" s="1363">
        <f>I35+I87+I475</f>
        <v>0</v>
      </c>
      <c r="K35" s="1363">
        <f>IF(COUNT($H35:J35)&gt;'RFM input'!$V$7,0, J35+J87+J475+IF(K$111=0,'RFM input'!$H$439,0))</f>
        <v>0</v>
      </c>
      <c r="L35" s="1363">
        <f>IF(COUNT($H35:K35)&gt;'RFM input'!$V$7,0, K35+K87+K475+IF(L$111=0,'RFM input'!$H$439,0))</f>
        <v>0</v>
      </c>
      <c r="M35" s="1363">
        <f>IF(COUNT($H35:L35)&gt;'RFM input'!$V$7,0, L35+L87+L475+IF(M$111=0,'RFM input'!$H$439,0))</f>
        <v>0</v>
      </c>
      <c r="N35" s="1363">
        <f>IF(COUNT($H35:M35)&gt;'RFM input'!$V$7,0, M35+M87+M475+IF(N$111=0,'RFM input'!$H$439,0))</f>
        <v>0</v>
      </c>
      <c r="O35" s="1363">
        <f>IF(COUNT($H35:N35)&gt;'RFM input'!$V$7,0, N35+N87+N475+IF(O$111=0,'RFM input'!$H$439,0))</f>
        <v>0</v>
      </c>
      <c r="P35" s="1363">
        <f>IF(COUNT($H35:O35)&gt;'RFM input'!$V$7,0, O35+O87+O475+IF(P$111=0,'RFM input'!$H$439,0))</f>
        <v>0</v>
      </c>
      <c r="Q35" s="1363">
        <f>IF(COUNT($H35:P35)&gt;'RFM input'!$V$7,0, P35+P87+P475+IF(Q$111=0,'RFM input'!$H$439,0))</f>
        <v>0</v>
      </c>
      <c r="R35" s="1363">
        <f>IF(COUNT($H35:Q35)&gt;'RFM input'!$V$7,0, Q35+Q87+Q475+IF(R$111=0,'RFM input'!$H$439,0))</f>
        <v>0</v>
      </c>
      <c r="S35" s="77"/>
      <c r="T35" s="77"/>
      <c r="U35" s="77"/>
      <c r="V35" s="77"/>
      <c r="W35" s="77"/>
      <c r="X35" s="77"/>
      <c r="Y35" s="77"/>
      <c r="Z35" s="77"/>
      <c r="AA35" s="152"/>
    </row>
    <row r="36" spans="1:27" hidden="1" outlineLevel="1">
      <c r="A36" s="3"/>
      <c r="B36" s="29"/>
      <c r="C36" s="133">
        <f>Asset29</f>
        <v>0</v>
      </c>
      <c r="D36" s="3"/>
      <c r="E36" s="3"/>
      <c r="F36" s="3"/>
      <c r="G36" s="3"/>
      <c r="H36" s="1405">
        <f>'RFM input'!R35
-('RFM input'!L35/(1+previous_vanilla)^0.5+'RFM input'!N35)
+('RFM input'!G89-'RFM input'!G143)
+IF('RFM input'!$F$467='RFM input'!$H$467,0,'RFM input'!G503-'RFM input'!M503)</f>
        <v>0</v>
      </c>
      <c r="I36" s="1363">
        <f>H36+H88+H488</f>
        <v>0</v>
      </c>
      <c r="J36" s="1363">
        <f>I36+I88+I488</f>
        <v>0</v>
      </c>
      <c r="K36" s="1363">
        <f>IF(COUNT($H36:J36)&gt;'RFM input'!$V$7,0, J36+J88+J488+IF(K$111=0,'RFM input'!$H$440,0))</f>
        <v>0</v>
      </c>
      <c r="L36" s="1363">
        <f>IF(COUNT($H36:K36)&gt;'RFM input'!$V$7,0, K36+K88+K488+IF(L$111=0,'RFM input'!$H$440,0))</f>
        <v>0</v>
      </c>
      <c r="M36" s="1363">
        <f>IF(COUNT($H36:L36)&gt;'RFM input'!$V$7,0, L36+L88+L488+IF(M$111=0,'RFM input'!$H$440,0))</f>
        <v>0</v>
      </c>
      <c r="N36" s="1363">
        <f>IF(COUNT($H36:M36)&gt;'RFM input'!$V$7,0, M36+M88+M488+IF(N$111=0,'RFM input'!$H$440,0))</f>
        <v>0</v>
      </c>
      <c r="O36" s="1363">
        <f>IF(COUNT($H36:N36)&gt;'RFM input'!$V$7,0, N36+N88+N488+IF(O$111=0,'RFM input'!$H$440,0))</f>
        <v>0</v>
      </c>
      <c r="P36" s="1363">
        <f>IF(COUNT($H36:O36)&gt;'RFM input'!$V$7,0, O36+O88+O488+IF(P$111=0,'RFM input'!$H$440,0))</f>
        <v>0</v>
      </c>
      <c r="Q36" s="1363">
        <f>IF(COUNT($H36:P36)&gt;'RFM input'!$V$7,0, P36+P88+P488+IF(Q$111=0,'RFM input'!$H$440,0))</f>
        <v>0</v>
      </c>
      <c r="R36" s="1363">
        <f>IF(COUNT($H36:Q36)&gt;'RFM input'!$V$7,0, Q36+Q88+Q488+IF(R$111=0,'RFM input'!$H$440,0))</f>
        <v>0</v>
      </c>
      <c r="S36" s="77"/>
      <c r="T36" s="77"/>
      <c r="U36" s="77"/>
      <c r="V36" s="77"/>
      <c r="W36" s="77"/>
      <c r="X36" s="77"/>
      <c r="Y36" s="77"/>
      <c r="Z36" s="77"/>
      <c r="AA36" s="152"/>
    </row>
    <row r="37" spans="1:27" hidden="1" outlineLevel="1">
      <c r="A37" s="3"/>
      <c r="B37" s="29"/>
      <c r="C37" s="133">
        <f>Asset30</f>
        <v>0</v>
      </c>
      <c r="D37" s="3"/>
      <c r="E37" s="3"/>
      <c r="F37" s="3"/>
      <c r="G37" s="3"/>
      <c r="H37" s="1405">
        <f>'RFM input'!R36
-('RFM input'!L36/(1+previous_vanilla)^0.5+'RFM input'!N36)
+('RFM input'!G90-'RFM input'!G144)
+IF('RFM input'!$F$467='RFM input'!$H$467,0,'RFM input'!G504-'RFM input'!M504)</f>
        <v>0</v>
      </c>
      <c r="I37" s="1363">
        <f>H37+H89+H501</f>
        <v>0</v>
      </c>
      <c r="J37" s="1363">
        <f>I37+I89+I501</f>
        <v>0</v>
      </c>
      <c r="K37" s="1363">
        <f>IF(COUNT($H37:J37)&gt;'RFM input'!$V$7,0, J37+J89+J501+IF(K$111=0,'RFM input'!$H$441,0))</f>
        <v>0</v>
      </c>
      <c r="L37" s="1363">
        <f>IF(COUNT($H37:K37)&gt;'RFM input'!$V$7,0, K37+K89+K501+IF(L$111=0,'RFM input'!$H$441,0))</f>
        <v>0</v>
      </c>
      <c r="M37" s="1363">
        <f>IF(COUNT($H37:L37)&gt;'RFM input'!$V$7,0, L37+L89+L501+IF(M$111=0,'RFM input'!$H$441,0))</f>
        <v>0</v>
      </c>
      <c r="N37" s="1363">
        <f>IF(COUNT($H37:M37)&gt;'RFM input'!$V$7,0, M37+M89+M501+IF(N$111=0,'RFM input'!$H$441,0))</f>
        <v>0</v>
      </c>
      <c r="O37" s="1363">
        <f>IF(COUNT($H37:N37)&gt;'RFM input'!$V$7,0, N37+N89+N501+IF(O$111=0,'RFM input'!$H$441,0))</f>
        <v>0</v>
      </c>
      <c r="P37" s="1363">
        <f>IF(COUNT($H37:O37)&gt;'RFM input'!$V$7,0, O37+O89+O501+IF(P$111=0,'RFM input'!$H$441,0))</f>
        <v>0</v>
      </c>
      <c r="Q37" s="1363">
        <f>IF(COUNT($H37:P37)&gt;'RFM input'!$V$7,0, P37+P89+P501+IF(Q$111=0,'RFM input'!$H$441,0))</f>
        <v>0</v>
      </c>
      <c r="R37" s="1363">
        <f>IF(COUNT($H37:Q37)&gt;'RFM input'!$V$7,0, Q37+Q89+Q501+IF(R$111=0,'RFM input'!$H$441,0))</f>
        <v>0</v>
      </c>
      <c r="S37" s="77"/>
      <c r="T37" s="77"/>
      <c r="U37" s="77"/>
      <c r="V37" s="77"/>
      <c r="W37" s="77"/>
      <c r="X37" s="77"/>
      <c r="Y37" s="77"/>
      <c r="Z37" s="77"/>
      <c r="AA37" s="152"/>
    </row>
    <row r="38" spans="1:27" hidden="1" outlineLevel="1">
      <c r="A38" s="3"/>
      <c r="B38" s="29"/>
      <c r="C38" s="133">
        <f>Asset31</f>
        <v>0</v>
      </c>
      <c r="D38" s="3"/>
      <c r="E38" s="3"/>
      <c r="F38" s="3"/>
      <c r="G38" s="3"/>
      <c r="H38" s="1405">
        <f>'RFM input'!R37
-('RFM input'!L37/(1+previous_vanilla)^0.5+'RFM input'!N37)
+('RFM input'!G91-'RFM input'!G145)
+IF('RFM input'!$F$467='RFM input'!$H$467,0,'RFM input'!G505-'RFM input'!M505)</f>
        <v>0</v>
      </c>
      <c r="I38" s="1363">
        <f>H38+H90+H514</f>
        <v>0</v>
      </c>
      <c r="J38" s="1363">
        <f>I38+I90+I514</f>
        <v>0</v>
      </c>
      <c r="K38" s="1363">
        <f>IF(COUNT($H38:J38)&gt;'RFM input'!$V$7,0, J38+J90+J514+IF(K$111=0,'RFM input'!$H$442,0))</f>
        <v>0</v>
      </c>
      <c r="L38" s="1363">
        <f>IF(COUNT($H38:K38)&gt;'RFM input'!$V$7,0, K38+K90+K514+IF(L$111=0,'RFM input'!$H$442,0))</f>
        <v>0</v>
      </c>
      <c r="M38" s="1363">
        <f>IF(COUNT($H38:L38)&gt;'RFM input'!$V$7,0, L38+L90+L514+IF(M$111=0,'RFM input'!$H$442,0))</f>
        <v>0</v>
      </c>
      <c r="N38" s="1363">
        <f>IF(COUNT($H38:M38)&gt;'RFM input'!$V$7,0, M38+M90+M514+IF(N$111=0,'RFM input'!$H$442,0))</f>
        <v>0</v>
      </c>
      <c r="O38" s="1363">
        <f>IF(COUNT($H38:N38)&gt;'RFM input'!$V$7,0, N38+N90+N514+IF(O$111=0,'RFM input'!$H$442,0))</f>
        <v>0</v>
      </c>
      <c r="P38" s="1363">
        <f>IF(COUNT($H38:O38)&gt;'RFM input'!$V$7,0, O38+O90+O514+IF(P$111=0,'RFM input'!$H$442,0))</f>
        <v>0</v>
      </c>
      <c r="Q38" s="1363">
        <f>IF(COUNT($H38:P38)&gt;'RFM input'!$V$7,0, P38+P90+P514+IF(Q$111=0,'RFM input'!$H$442,0))</f>
        <v>0</v>
      </c>
      <c r="R38" s="1363">
        <f>IF(COUNT($H38:Q38)&gt;'RFM input'!$V$7,0, Q38+Q90+Q514+IF(R$111=0,'RFM input'!$H$442,0))</f>
        <v>0</v>
      </c>
      <c r="S38" s="77"/>
      <c r="T38" s="77"/>
      <c r="U38" s="77"/>
      <c r="V38" s="77"/>
      <c r="W38" s="77"/>
      <c r="X38" s="77"/>
      <c r="Y38" s="77"/>
      <c r="Z38" s="77"/>
      <c r="AA38" s="152"/>
    </row>
    <row r="39" spans="1:27" hidden="1" outlineLevel="1">
      <c r="A39" s="3"/>
      <c r="B39" s="29"/>
      <c r="C39" s="133">
        <f>Asset32</f>
        <v>0</v>
      </c>
      <c r="D39" s="3"/>
      <c r="E39" s="3"/>
      <c r="F39" s="3"/>
      <c r="G39" s="3"/>
      <c r="H39" s="1405">
        <f>'RFM input'!R38
-('RFM input'!L38/(1+previous_vanilla)^0.5+'RFM input'!N38)
+('RFM input'!G92-'RFM input'!G146)
+IF('RFM input'!$F$467='RFM input'!$H$467,0,'RFM input'!G506-'RFM input'!M506)</f>
        <v>0</v>
      </c>
      <c r="I39" s="1363">
        <f>H39+H91+H527</f>
        <v>0</v>
      </c>
      <c r="J39" s="1363">
        <f>I39+I91+I527</f>
        <v>0</v>
      </c>
      <c r="K39" s="1363">
        <f>IF(COUNT($H39:J39)&gt;'RFM input'!$V$7,0, J39+J91+J527+IF(K$111=0,'RFM input'!$H$443,0))</f>
        <v>0</v>
      </c>
      <c r="L39" s="1363">
        <f>IF(COUNT($H39:K39)&gt;'RFM input'!$V$7,0, K39+K91+K527+IF(L$111=0,'RFM input'!$H$443,0))</f>
        <v>0</v>
      </c>
      <c r="M39" s="1363">
        <f>IF(COUNT($H39:L39)&gt;'RFM input'!$V$7,0, L39+L91+L527+IF(M$111=0,'RFM input'!$H$443,0))</f>
        <v>0</v>
      </c>
      <c r="N39" s="1363">
        <f>IF(COUNT($H39:M39)&gt;'RFM input'!$V$7,0, M39+M91+M527+IF(N$111=0,'RFM input'!$H$443,0))</f>
        <v>0</v>
      </c>
      <c r="O39" s="1363">
        <f>IF(COUNT($H39:N39)&gt;'RFM input'!$V$7,0, N39+N91+N527+IF(O$111=0,'RFM input'!$H$443,0))</f>
        <v>0</v>
      </c>
      <c r="P39" s="1363">
        <f>IF(COUNT($H39:O39)&gt;'RFM input'!$V$7,0, O39+O91+O527+IF(P$111=0,'RFM input'!$H$443,0))</f>
        <v>0</v>
      </c>
      <c r="Q39" s="1363">
        <f>IF(COUNT($H39:P39)&gt;'RFM input'!$V$7,0, P39+P91+P527+IF(Q$111=0,'RFM input'!$H$443,0))</f>
        <v>0</v>
      </c>
      <c r="R39" s="1363">
        <f>IF(COUNT($H39:Q39)&gt;'RFM input'!$V$7,0, Q39+Q91+Q527+IF(R$111=0,'RFM input'!$H$443,0))</f>
        <v>0</v>
      </c>
      <c r="S39" s="77"/>
      <c r="T39" s="77"/>
      <c r="U39" s="77"/>
      <c r="V39" s="77"/>
      <c r="W39" s="77"/>
      <c r="X39" s="77"/>
      <c r="Y39" s="77"/>
      <c r="Z39" s="77"/>
      <c r="AA39" s="152"/>
    </row>
    <row r="40" spans="1:27" hidden="1" outlineLevel="1">
      <c r="A40" s="3"/>
      <c r="B40" s="29"/>
      <c r="C40" s="133">
        <f>Asset33</f>
        <v>0</v>
      </c>
      <c r="D40" s="3"/>
      <c r="E40" s="3"/>
      <c r="F40" s="3"/>
      <c r="G40" s="3"/>
      <c r="H40" s="1405">
        <f>'RFM input'!R39
-('RFM input'!L39/(1+previous_vanilla)^0.5+'RFM input'!N39)
+('RFM input'!G93-'RFM input'!G147)
+IF('RFM input'!$F$467='RFM input'!$H$467,0,'RFM input'!G507-'RFM input'!M507)</f>
        <v>0</v>
      </c>
      <c r="I40" s="1363">
        <f>H40+H92+H540</f>
        <v>0</v>
      </c>
      <c r="J40" s="1363">
        <f>I40+I92+I540</f>
        <v>0</v>
      </c>
      <c r="K40" s="1363">
        <f>IF(COUNT($H40:J40)&gt;'RFM input'!$V$7,0, J40+J92+J540+IF(K$111=0,'RFM input'!$H$444,0))</f>
        <v>0</v>
      </c>
      <c r="L40" s="1363">
        <f>IF(COUNT($H40:K40)&gt;'RFM input'!$V$7,0, K40+K92+K540+IF(L$111=0,'RFM input'!$H$444,0))</f>
        <v>0</v>
      </c>
      <c r="M40" s="1363">
        <f>IF(COUNT($H40:L40)&gt;'RFM input'!$V$7,0, L40+L92+L540+IF(M$111=0,'RFM input'!$H$444,0))</f>
        <v>0</v>
      </c>
      <c r="N40" s="1363">
        <f>IF(COUNT($H40:M40)&gt;'RFM input'!$V$7,0, M40+M92+M540+IF(N$111=0,'RFM input'!$H$444,0))</f>
        <v>0</v>
      </c>
      <c r="O40" s="1363">
        <f>IF(COUNT($H40:N40)&gt;'RFM input'!$V$7,0, N40+N92+N540+IF(O$111=0,'RFM input'!$H$444,0))</f>
        <v>0</v>
      </c>
      <c r="P40" s="1363">
        <f>IF(COUNT($H40:O40)&gt;'RFM input'!$V$7,0, O40+O92+O540+IF(P$111=0,'RFM input'!$H$444,0))</f>
        <v>0</v>
      </c>
      <c r="Q40" s="1363">
        <f>IF(COUNT($H40:P40)&gt;'RFM input'!$V$7,0, P40+P92+P540+IF(Q$111=0,'RFM input'!$H$444,0))</f>
        <v>0</v>
      </c>
      <c r="R40" s="1363">
        <f>IF(COUNT($H40:Q40)&gt;'RFM input'!$V$7,0, Q40+Q92+Q540+IF(R$111=0,'RFM input'!$H$444,0))</f>
        <v>0</v>
      </c>
      <c r="S40" s="77"/>
      <c r="T40" s="77"/>
      <c r="U40" s="77"/>
      <c r="V40" s="77"/>
      <c r="W40" s="77"/>
      <c r="X40" s="77"/>
      <c r="Y40" s="77"/>
      <c r="Z40" s="77"/>
      <c r="AA40" s="152"/>
    </row>
    <row r="41" spans="1:27" hidden="1" outlineLevel="1">
      <c r="A41" s="3"/>
      <c r="B41" s="29"/>
      <c r="C41" s="133">
        <f>Asset34</f>
        <v>0</v>
      </c>
      <c r="D41" s="3"/>
      <c r="E41" s="3"/>
      <c r="F41" s="3"/>
      <c r="G41" s="3"/>
      <c r="H41" s="1405">
        <f>'RFM input'!R40
-('RFM input'!L40/(1+previous_vanilla)^0.5+'RFM input'!N40)
+('RFM input'!G94-'RFM input'!G148)
+IF('RFM input'!$F$467='RFM input'!$H$467,0,'RFM input'!G508-'RFM input'!M508)</f>
        <v>0</v>
      </c>
      <c r="I41" s="1363">
        <f>H41+H93+H553</f>
        <v>0</v>
      </c>
      <c r="J41" s="1363">
        <f>I41+I93+I553</f>
        <v>0</v>
      </c>
      <c r="K41" s="1363">
        <f>IF(COUNT($H41:J41)&gt;'RFM input'!$V$7,0, J41+J93+J553+IF(K$111=0,'RFM input'!$H$445,0))</f>
        <v>0</v>
      </c>
      <c r="L41" s="1363">
        <f>IF(COUNT($H41:K41)&gt;'RFM input'!$V$7,0, K41+K93+K553+IF(L$111=0,'RFM input'!$H$445,0))</f>
        <v>0</v>
      </c>
      <c r="M41" s="1363">
        <f>IF(COUNT($H41:L41)&gt;'RFM input'!$V$7,0, L41+L93+L553+IF(M$111=0,'RFM input'!$H$445,0))</f>
        <v>0</v>
      </c>
      <c r="N41" s="1363">
        <f>IF(COUNT($H41:M41)&gt;'RFM input'!$V$7,0, M41+M93+M553+IF(N$111=0,'RFM input'!$H$445,0))</f>
        <v>0</v>
      </c>
      <c r="O41" s="1363">
        <f>IF(COUNT($H41:N41)&gt;'RFM input'!$V$7,0, N41+N93+N553+IF(O$111=0,'RFM input'!$H$445,0))</f>
        <v>0</v>
      </c>
      <c r="P41" s="1363">
        <f>IF(COUNT($H41:O41)&gt;'RFM input'!$V$7,0, O41+O93+O553+IF(P$111=0,'RFM input'!$H$445,0))</f>
        <v>0</v>
      </c>
      <c r="Q41" s="1363">
        <f>IF(COUNT($H41:P41)&gt;'RFM input'!$V$7,0, P41+P93+P553+IF(Q$111=0,'RFM input'!$H$445,0))</f>
        <v>0</v>
      </c>
      <c r="R41" s="1363">
        <f>IF(COUNT($H41:Q41)&gt;'RFM input'!$V$7,0, Q41+Q93+Q553+IF(R$111=0,'RFM input'!$H$445,0))</f>
        <v>0</v>
      </c>
      <c r="S41" s="77"/>
      <c r="T41" s="77"/>
      <c r="U41" s="77"/>
      <c r="V41" s="77"/>
      <c r="W41" s="77"/>
      <c r="X41" s="77"/>
      <c r="Y41" s="77"/>
      <c r="Z41" s="77"/>
      <c r="AA41" s="152"/>
    </row>
    <row r="42" spans="1:27" hidden="1" outlineLevel="1">
      <c r="A42" s="3"/>
      <c r="B42" s="29"/>
      <c r="C42" s="133">
        <f>Asset35</f>
        <v>0</v>
      </c>
      <c r="D42" s="3"/>
      <c r="E42" s="3"/>
      <c r="F42" s="3"/>
      <c r="G42" s="3"/>
      <c r="H42" s="1405">
        <f>'RFM input'!R41
-('RFM input'!L41/(1+previous_vanilla)^0.5+'RFM input'!N41)
+('RFM input'!G95-'RFM input'!G149)
+IF('RFM input'!$F$467='RFM input'!$H$467,0,'RFM input'!G509-'RFM input'!M509)</f>
        <v>0</v>
      </c>
      <c r="I42" s="1363">
        <f>H42+H94+H566</f>
        <v>0</v>
      </c>
      <c r="J42" s="1363">
        <f>I42+I94+I566</f>
        <v>0</v>
      </c>
      <c r="K42" s="1363">
        <f>IF(COUNT($H42:J42)&gt;'RFM input'!$V$7,0, J42+J94+J566+IF(K$111=0,'RFM input'!$H$446,0))</f>
        <v>0</v>
      </c>
      <c r="L42" s="1363">
        <f>IF(COUNT($H42:K42)&gt;'RFM input'!$V$7,0, K42+K94+K566+IF(L$111=0,'RFM input'!$H$446,0))</f>
        <v>0</v>
      </c>
      <c r="M42" s="1363">
        <f>IF(COUNT($H42:L42)&gt;'RFM input'!$V$7,0, L42+L94+L566+IF(M$111=0,'RFM input'!$H$446,0))</f>
        <v>0</v>
      </c>
      <c r="N42" s="1363">
        <f>IF(COUNT($H42:M42)&gt;'RFM input'!$V$7,0, M42+M94+M566+IF(N$111=0,'RFM input'!$H$446,0))</f>
        <v>0</v>
      </c>
      <c r="O42" s="1363">
        <f>IF(COUNT($H42:N42)&gt;'RFM input'!$V$7,0, N42+N94+N566+IF(O$111=0,'RFM input'!$H$446,0))</f>
        <v>0</v>
      </c>
      <c r="P42" s="1363">
        <f>IF(COUNT($H42:O42)&gt;'RFM input'!$V$7,0, O42+O94+O566+IF(P$111=0,'RFM input'!$H$446,0))</f>
        <v>0</v>
      </c>
      <c r="Q42" s="1363">
        <f>IF(COUNT($H42:P42)&gt;'RFM input'!$V$7,0, P42+P94+P566+IF(Q$111=0,'RFM input'!$H$446,0))</f>
        <v>0</v>
      </c>
      <c r="R42" s="1363">
        <f>IF(COUNT($H42:Q42)&gt;'RFM input'!$V$7,0, Q42+Q94+Q566+IF(R$111=0,'RFM input'!$H$446,0))</f>
        <v>0</v>
      </c>
      <c r="S42" s="77"/>
      <c r="T42" s="77"/>
      <c r="U42" s="77"/>
      <c r="V42" s="77"/>
      <c r="W42" s="77"/>
      <c r="X42" s="77"/>
      <c r="Y42" s="77"/>
      <c r="Z42" s="77"/>
      <c r="AA42" s="152"/>
    </row>
    <row r="43" spans="1:27" hidden="1" outlineLevel="1">
      <c r="A43" s="3"/>
      <c r="B43" s="29"/>
      <c r="C43" s="133">
        <f>Asset36</f>
        <v>0</v>
      </c>
      <c r="D43" s="3"/>
      <c r="E43" s="3"/>
      <c r="F43" s="3"/>
      <c r="G43" s="3"/>
      <c r="H43" s="1405">
        <f>'RFM input'!R42
-('RFM input'!L42/(1+previous_vanilla)^0.5+'RFM input'!N42)
+('RFM input'!G96-'RFM input'!G150)
+IF('RFM input'!$F$467='RFM input'!$H$467,0,'RFM input'!G510-'RFM input'!M510)</f>
        <v>0</v>
      </c>
      <c r="I43" s="1363">
        <f>H43+H95+H579</f>
        <v>0</v>
      </c>
      <c r="J43" s="1363">
        <f>I43+I95+I579</f>
        <v>0</v>
      </c>
      <c r="K43" s="1363">
        <f>IF(COUNT($H43:J43)&gt;'RFM input'!$V$7,0, J43+J95+J579+IF(K$111=0,'RFM input'!$H$447,0))</f>
        <v>0</v>
      </c>
      <c r="L43" s="1363">
        <f>IF(COUNT($H43:K43)&gt;'RFM input'!$V$7,0, K43+K95+K579+IF(L$111=0,'RFM input'!$H$447,0))</f>
        <v>0</v>
      </c>
      <c r="M43" s="1363">
        <f>IF(COUNT($H43:L43)&gt;'RFM input'!$V$7,0, L43+L95+L579+IF(M$111=0,'RFM input'!$H$447,0))</f>
        <v>0</v>
      </c>
      <c r="N43" s="1363">
        <f>IF(COUNT($H43:M43)&gt;'RFM input'!$V$7,0, M43+M95+M579+IF(N$111=0,'RFM input'!$H$447,0))</f>
        <v>0</v>
      </c>
      <c r="O43" s="1363">
        <f>IF(COUNT($H43:N43)&gt;'RFM input'!$V$7,0, N43+N95+N579+IF(O$111=0,'RFM input'!$H$447,0))</f>
        <v>0</v>
      </c>
      <c r="P43" s="1363">
        <f>IF(COUNT($H43:O43)&gt;'RFM input'!$V$7,0, O43+O95+O579+IF(P$111=0,'RFM input'!$H$447,0))</f>
        <v>0</v>
      </c>
      <c r="Q43" s="1363">
        <f>IF(COUNT($H43:P43)&gt;'RFM input'!$V$7,0, P43+P95+P579+IF(Q$111=0,'RFM input'!$H$447,0))</f>
        <v>0</v>
      </c>
      <c r="R43" s="1363">
        <f>IF(COUNT($H43:Q43)&gt;'RFM input'!$V$7,0, Q43+Q95+Q579+IF(R$111=0,'RFM input'!$H$447,0))</f>
        <v>0</v>
      </c>
      <c r="S43" s="77"/>
      <c r="T43" s="77"/>
      <c r="U43" s="77"/>
      <c r="V43" s="77"/>
      <c r="W43" s="77"/>
      <c r="X43" s="77"/>
      <c r="Y43" s="77"/>
      <c r="Z43" s="77"/>
      <c r="AA43" s="152"/>
    </row>
    <row r="44" spans="1:27" hidden="1" outlineLevel="1">
      <c r="A44" s="3"/>
      <c r="B44" s="29"/>
      <c r="C44" s="133">
        <f>Asset37</f>
        <v>0</v>
      </c>
      <c r="D44" s="3"/>
      <c r="E44" s="3"/>
      <c r="F44" s="3"/>
      <c r="G44" s="3"/>
      <c r="H44" s="1405">
        <f>'RFM input'!R43
-('RFM input'!L43/(1+previous_vanilla)^0.5+'RFM input'!N43)
+('RFM input'!G97-'RFM input'!G151)
+IF('RFM input'!$F$467='RFM input'!$H$467,0,'RFM input'!G511-'RFM input'!M511)</f>
        <v>0</v>
      </c>
      <c r="I44" s="1363">
        <f>H44+H96+H592</f>
        <v>0</v>
      </c>
      <c r="J44" s="1363">
        <f>I44+I96+I592</f>
        <v>0</v>
      </c>
      <c r="K44" s="1363">
        <f>IF(COUNT($H44:J44)&gt;'RFM input'!$V$7,0, J44+J96+J592+IF(K$111=0,'RFM input'!$H$448,0))</f>
        <v>0</v>
      </c>
      <c r="L44" s="1363">
        <f>IF(COUNT($H44:K44)&gt;'RFM input'!$V$7,0, K44+K96+K592+IF(L$111=0,'RFM input'!$H$448,0))</f>
        <v>0</v>
      </c>
      <c r="M44" s="1363">
        <f>IF(COUNT($H44:L44)&gt;'RFM input'!$V$7,0, L44+L96+L592+IF(M$111=0,'RFM input'!$H$448,0))</f>
        <v>0</v>
      </c>
      <c r="N44" s="1363">
        <f>IF(COUNT($H44:M44)&gt;'RFM input'!$V$7,0, M44+M96+M592+IF(N$111=0,'RFM input'!$H$448,0))</f>
        <v>0</v>
      </c>
      <c r="O44" s="1363">
        <f>IF(COUNT($H44:N44)&gt;'RFM input'!$V$7,0, N44+N96+N592+IF(O$111=0,'RFM input'!$H$448,0))</f>
        <v>0</v>
      </c>
      <c r="P44" s="1363">
        <f>IF(COUNT($H44:O44)&gt;'RFM input'!$V$7,0, O44+O96+O592+IF(P$111=0,'RFM input'!$H$448,0))</f>
        <v>0</v>
      </c>
      <c r="Q44" s="1363">
        <f>IF(COUNT($H44:P44)&gt;'RFM input'!$V$7,0, P44+P96+P592+IF(Q$111=0,'RFM input'!$H$448,0))</f>
        <v>0</v>
      </c>
      <c r="R44" s="1363">
        <f>IF(COUNT($H44:Q44)&gt;'RFM input'!$V$7,0, Q44+Q96+Q592+IF(R$111=0,'RFM input'!$H$448,0))</f>
        <v>0</v>
      </c>
      <c r="S44" s="77"/>
      <c r="T44" s="77"/>
      <c r="U44" s="77"/>
      <c r="V44" s="77"/>
      <c r="W44" s="77"/>
      <c r="X44" s="77"/>
      <c r="Y44" s="77"/>
      <c r="Z44" s="77"/>
      <c r="AA44" s="152"/>
    </row>
    <row r="45" spans="1:27" hidden="1" outlineLevel="1">
      <c r="A45" s="3"/>
      <c r="B45" s="29"/>
      <c r="C45" s="133">
        <f>Asset38</f>
        <v>0</v>
      </c>
      <c r="D45" s="3"/>
      <c r="E45" s="3"/>
      <c r="F45" s="3"/>
      <c r="G45" s="3"/>
      <c r="H45" s="1405">
        <f>'RFM input'!R44
-('RFM input'!L44/(1+previous_vanilla)^0.5+'RFM input'!N44)
+('RFM input'!G98-'RFM input'!G152)
+IF('RFM input'!$F$467='RFM input'!$H$467,0,'RFM input'!G512-'RFM input'!M512)</f>
        <v>0</v>
      </c>
      <c r="I45" s="1363">
        <f>H45+H97+H605</f>
        <v>0</v>
      </c>
      <c r="J45" s="1363">
        <f>I45+I97+I605</f>
        <v>0</v>
      </c>
      <c r="K45" s="1363">
        <f>IF(COUNT($H45:J45)&gt;'RFM input'!$V$7,0, J45+J97+J605+IF(K$111=0,'RFM input'!$H$449,0))</f>
        <v>0</v>
      </c>
      <c r="L45" s="1363">
        <f>IF(COUNT($H45:K45)&gt;'RFM input'!$V$7,0, K45+K97+K605+IF(L$111=0,'RFM input'!$H$449,0))</f>
        <v>0</v>
      </c>
      <c r="M45" s="1363">
        <f>IF(COUNT($H45:L45)&gt;'RFM input'!$V$7,0, L45+L97+L605+IF(M$111=0,'RFM input'!$H$449,0))</f>
        <v>0</v>
      </c>
      <c r="N45" s="1363">
        <f>IF(COUNT($H45:M45)&gt;'RFM input'!$V$7,0, M45+M97+M605+IF(N$111=0,'RFM input'!$H$449,0))</f>
        <v>0</v>
      </c>
      <c r="O45" s="1363">
        <f>IF(COUNT($H45:N45)&gt;'RFM input'!$V$7,0, N45+N97+N605+IF(O$111=0,'RFM input'!$H$449,0))</f>
        <v>0</v>
      </c>
      <c r="P45" s="1363">
        <f>IF(COUNT($H45:O45)&gt;'RFM input'!$V$7,0, O45+O97+O605+IF(P$111=0,'RFM input'!$H$449,0))</f>
        <v>0</v>
      </c>
      <c r="Q45" s="1363">
        <f>IF(COUNT($H45:P45)&gt;'RFM input'!$V$7,0, P45+P97+P605+IF(Q$111=0,'RFM input'!$H$449,0))</f>
        <v>0</v>
      </c>
      <c r="R45" s="1363">
        <f>IF(COUNT($H45:Q45)&gt;'RFM input'!$V$7,0, Q45+Q97+Q605+IF(R$111=0,'RFM input'!$H$449,0))</f>
        <v>0</v>
      </c>
      <c r="S45" s="77"/>
      <c r="T45" s="77"/>
      <c r="U45" s="77"/>
      <c r="V45" s="77"/>
      <c r="W45" s="77"/>
      <c r="X45" s="77"/>
      <c r="Y45" s="77"/>
      <c r="Z45" s="77"/>
      <c r="AA45" s="152"/>
    </row>
    <row r="46" spans="1:27" hidden="1" outlineLevel="1">
      <c r="A46" s="3"/>
      <c r="B46" s="29"/>
      <c r="C46" s="133">
        <f>Asset39</f>
        <v>0</v>
      </c>
      <c r="D46" s="3"/>
      <c r="E46" s="3"/>
      <c r="F46" s="3"/>
      <c r="G46" s="3"/>
      <c r="H46" s="1405">
        <f>'RFM input'!R45
-('RFM input'!L45/(1+previous_vanilla)^0.5+'RFM input'!N45)
+('RFM input'!G99-'RFM input'!G153)
+IF('RFM input'!$F$467='RFM input'!$H$467,0,'RFM input'!G513-'RFM input'!M513)</f>
        <v>0</v>
      </c>
      <c r="I46" s="1363">
        <f>H46+H98+H618</f>
        <v>0</v>
      </c>
      <c r="J46" s="1363">
        <f>I46+I98+I618</f>
        <v>0</v>
      </c>
      <c r="K46" s="1363">
        <f>IF(COUNT($H46:J46)&gt;'RFM input'!$V$7,0, J46+J98+J618+IF(K$111=0,'RFM input'!$H$450,0))</f>
        <v>0</v>
      </c>
      <c r="L46" s="1363">
        <f>IF(COUNT($H46:K46)&gt;'RFM input'!$V$7,0, K46+K98+K618+IF(L$111=0,'RFM input'!$H$450,0))</f>
        <v>0</v>
      </c>
      <c r="M46" s="1363">
        <f>IF(COUNT($H46:L46)&gt;'RFM input'!$V$7,0, L46+L98+L618+IF(M$111=0,'RFM input'!$H$450,0))</f>
        <v>0</v>
      </c>
      <c r="N46" s="1363">
        <f>IF(COUNT($H46:M46)&gt;'RFM input'!$V$7,0, M46+M98+M618+IF(N$111=0,'RFM input'!$H$450,0))</f>
        <v>0</v>
      </c>
      <c r="O46" s="1363">
        <f>IF(COUNT($H46:N46)&gt;'RFM input'!$V$7,0, N46+N98+N618+IF(O$111=0,'RFM input'!$H$450,0))</f>
        <v>0</v>
      </c>
      <c r="P46" s="1363">
        <f>IF(COUNT($H46:O46)&gt;'RFM input'!$V$7,0, O46+O98+O618+IF(P$111=0,'RFM input'!$H$450,0))</f>
        <v>0</v>
      </c>
      <c r="Q46" s="1363">
        <f>IF(COUNT($H46:P46)&gt;'RFM input'!$V$7,0, P46+P98+P618+IF(Q$111=0,'RFM input'!$H$450,0))</f>
        <v>0</v>
      </c>
      <c r="R46" s="1363">
        <f>IF(COUNT($H46:Q46)&gt;'RFM input'!$V$7,0, Q46+Q98+Q618+IF(R$111=0,'RFM input'!$H$450,0))</f>
        <v>0</v>
      </c>
      <c r="S46" s="77"/>
      <c r="T46" s="77"/>
      <c r="U46" s="77"/>
      <c r="V46" s="77"/>
      <c r="W46" s="77"/>
      <c r="X46" s="77"/>
      <c r="Y46" s="77"/>
      <c r="Z46" s="77"/>
      <c r="AA46" s="152"/>
    </row>
    <row r="47" spans="1:27" hidden="1" outlineLevel="1">
      <c r="A47" s="3"/>
      <c r="B47" s="29"/>
      <c r="C47" s="133">
        <f>Asset40</f>
        <v>0</v>
      </c>
      <c r="D47" s="3"/>
      <c r="E47" s="3"/>
      <c r="F47" s="3"/>
      <c r="G47" s="3"/>
      <c r="H47" s="1405">
        <f>'RFM input'!R46
-('RFM input'!L46/(1+previous_vanilla)^0.5+'RFM input'!N46)
+('RFM input'!G100-'RFM input'!G154)
+IF('RFM input'!$F$467='RFM input'!$H$467,0,'RFM input'!G514-'RFM input'!M514)</f>
        <v>0</v>
      </c>
      <c r="I47" s="1363">
        <f>H47+H99+H631</f>
        <v>0</v>
      </c>
      <c r="J47" s="1363">
        <f>I47+I99+I631</f>
        <v>0</v>
      </c>
      <c r="K47" s="1363">
        <f>IF(COUNT($H47:J47)&gt;'RFM input'!$V$7,0, J47+J99+J631+IF(K$111=0,'RFM input'!$H$451,0))</f>
        <v>0</v>
      </c>
      <c r="L47" s="1363">
        <f>IF(COUNT($H47:K47)&gt;'RFM input'!$V$7,0, K47+K99+K631+IF(L$111=0,'RFM input'!$H$451,0))</f>
        <v>0</v>
      </c>
      <c r="M47" s="1363">
        <f>IF(COUNT($H47:L47)&gt;'RFM input'!$V$7,0, L47+L99+L631+IF(M$111=0,'RFM input'!$H$451,0))</f>
        <v>0</v>
      </c>
      <c r="N47" s="1363">
        <f>IF(COUNT($H47:M47)&gt;'RFM input'!$V$7,0, M47+M99+M631+IF(N$111=0,'RFM input'!$H$451,0))</f>
        <v>0</v>
      </c>
      <c r="O47" s="1363">
        <f>IF(COUNT($H47:N47)&gt;'RFM input'!$V$7,0, N47+N99+N631+IF(O$111=0,'RFM input'!$H$451,0))</f>
        <v>0</v>
      </c>
      <c r="P47" s="1363">
        <f>IF(COUNT($H47:O47)&gt;'RFM input'!$V$7,0, O47+O99+O631+IF(P$111=0,'RFM input'!$H$451,0))</f>
        <v>0</v>
      </c>
      <c r="Q47" s="1363">
        <f>IF(COUNT($H47:P47)&gt;'RFM input'!$V$7,0, P47+P99+P631+IF(Q$111=0,'RFM input'!$H$451,0))</f>
        <v>0</v>
      </c>
      <c r="R47" s="1363">
        <f>IF(COUNT($H47:Q47)&gt;'RFM input'!$V$7,0, Q47+Q99+Q631+IF(R$111=0,'RFM input'!$H$451,0))</f>
        <v>0</v>
      </c>
      <c r="S47" s="77"/>
      <c r="T47" s="77"/>
      <c r="U47" s="77"/>
      <c r="V47" s="77"/>
      <c r="W47" s="77"/>
      <c r="X47" s="77"/>
      <c r="Y47" s="77"/>
      <c r="Z47" s="77"/>
      <c r="AA47" s="152"/>
    </row>
    <row r="48" spans="1:27" hidden="1" outlineLevel="1">
      <c r="A48" s="3"/>
      <c r="B48" s="29"/>
      <c r="C48" s="133">
        <f>Asset41</f>
        <v>0</v>
      </c>
      <c r="D48" s="3"/>
      <c r="E48" s="3"/>
      <c r="F48" s="3"/>
      <c r="G48" s="3"/>
      <c r="H48" s="1405">
        <f>'RFM input'!R47
-('RFM input'!L47/(1+previous_vanilla)^0.5+'RFM input'!N47)
+('RFM input'!G101-'RFM input'!G155)
+IF('RFM input'!$F$467='RFM input'!$H$467,0,'RFM input'!G515-'RFM input'!M515)</f>
        <v>0</v>
      </c>
      <c r="I48" s="1363">
        <f>H48+H100+H644</f>
        <v>0</v>
      </c>
      <c r="J48" s="1363">
        <f>I48+I100+I644</f>
        <v>0</v>
      </c>
      <c r="K48" s="1363">
        <f>IF(COUNT($H48:J48)&gt;'RFM input'!$V$7,0, J48+J100+J644+IF(K$111=0,'RFM input'!$H$452,0))</f>
        <v>0</v>
      </c>
      <c r="L48" s="1363">
        <f>IF(COUNT($H48:K48)&gt;'RFM input'!$V$7,0, K48+K100+K644+IF(L$111=0,'RFM input'!$H$452,0))</f>
        <v>0</v>
      </c>
      <c r="M48" s="1363">
        <f>IF(COUNT($H48:L48)&gt;'RFM input'!$V$7,0, L48+L100+L644+IF(M$111=0,'RFM input'!$H$452,0))</f>
        <v>0</v>
      </c>
      <c r="N48" s="1363">
        <f>IF(COUNT($H48:M48)&gt;'RFM input'!$V$7,0, M48+M100+M644+IF(N$111=0,'RFM input'!$H$452,0))</f>
        <v>0</v>
      </c>
      <c r="O48" s="1363">
        <f>IF(COUNT($H48:N48)&gt;'RFM input'!$V$7,0, N48+N100+N644+IF(O$111=0,'RFM input'!$H$452,0))</f>
        <v>0</v>
      </c>
      <c r="P48" s="1363">
        <f>IF(COUNT($H48:O48)&gt;'RFM input'!$V$7,0, O48+O100+O644+IF(P$111=0,'RFM input'!$H$452,0))</f>
        <v>0</v>
      </c>
      <c r="Q48" s="1363">
        <f>IF(COUNT($H48:P48)&gt;'RFM input'!$V$7,0, P48+P100+P644+IF(Q$111=0,'RFM input'!$H$452,0))</f>
        <v>0</v>
      </c>
      <c r="R48" s="1363">
        <f>IF(COUNT($H48:Q48)&gt;'RFM input'!$V$7,0, Q48+Q100+Q644+IF(R$111=0,'RFM input'!$H$452,0))</f>
        <v>0</v>
      </c>
      <c r="S48" s="77"/>
      <c r="T48" s="77"/>
      <c r="U48" s="77"/>
      <c r="V48" s="77"/>
      <c r="W48" s="77"/>
      <c r="X48" s="77"/>
      <c r="Y48" s="77"/>
      <c r="Z48" s="77"/>
      <c r="AA48" s="152"/>
    </row>
    <row r="49" spans="1:27" hidden="1" outlineLevel="1">
      <c r="A49" s="3"/>
      <c r="B49" s="29"/>
      <c r="C49" s="133">
        <f>Asset42</f>
        <v>0</v>
      </c>
      <c r="D49" s="3"/>
      <c r="E49" s="3"/>
      <c r="F49" s="3"/>
      <c r="G49" s="3"/>
      <c r="H49" s="1405">
        <f>'RFM input'!R48
-('RFM input'!L48/(1+previous_vanilla)^0.5+'RFM input'!N48)
+('RFM input'!G102-'RFM input'!G156)
+IF('RFM input'!$F$467='RFM input'!$H$467,0,'RFM input'!G516-'RFM input'!M516)</f>
        <v>0</v>
      </c>
      <c r="I49" s="1363">
        <f>H49+H101+H657</f>
        <v>0</v>
      </c>
      <c r="J49" s="1363">
        <f>I49+I101+I657</f>
        <v>0</v>
      </c>
      <c r="K49" s="1363">
        <f>IF(COUNT($H49:J49)&gt;'RFM input'!$V$7,0, J49+J101+J657+IF(K$111=0,'RFM input'!$H$453,0))</f>
        <v>0</v>
      </c>
      <c r="L49" s="1363">
        <f>IF(COUNT($H49:K49)&gt;'RFM input'!$V$7,0, K49+K101+K657+IF(L$111=0,'RFM input'!$H$453,0))</f>
        <v>0</v>
      </c>
      <c r="M49" s="1363">
        <f>IF(COUNT($H49:L49)&gt;'RFM input'!$V$7,0, L49+L101+L657+IF(M$111=0,'RFM input'!$H$453,0))</f>
        <v>0</v>
      </c>
      <c r="N49" s="1363">
        <f>IF(COUNT($H49:M49)&gt;'RFM input'!$V$7,0, M49+M101+M657+IF(N$111=0,'RFM input'!$H$453,0))</f>
        <v>0</v>
      </c>
      <c r="O49" s="1363">
        <f>IF(COUNT($H49:N49)&gt;'RFM input'!$V$7,0, N49+N101+N657+IF(O$111=0,'RFM input'!$H$453,0))</f>
        <v>0</v>
      </c>
      <c r="P49" s="1363">
        <f>IF(COUNT($H49:O49)&gt;'RFM input'!$V$7,0, O49+O101+O657+IF(P$111=0,'RFM input'!$H$453,0))</f>
        <v>0</v>
      </c>
      <c r="Q49" s="1363">
        <f>IF(COUNT($H49:P49)&gt;'RFM input'!$V$7,0, P49+P101+P657+IF(Q$111=0,'RFM input'!$H$453,0))</f>
        <v>0</v>
      </c>
      <c r="R49" s="1363">
        <f>IF(COUNT($H49:Q49)&gt;'RFM input'!$V$7,0, Q49+Q101+Q657+IF(R$111=0,'RFM input'!$H$453,0))</f>
        <v>0</v>
      </c>
      <c r="S49" s="77"/>
      <c r="T49" s="77"/>
      <c r="U49" s="77"/>
      <c r="V49" s="77"/>
      <c r="W49" s="77"/>
      <c r="X49" s="77"/>
      <c r="Y49" s="77"/>
      <c r="Z49" s="77"/>
      <c r="AA49" s="152"/>
    </row>
    <row r="50" spans="1:27" hidden="1" outlineLevel="1">
      <c r="A50" s="3"/>
      <c r="B50" s="29"/>
      <c r="C50" s="133">
        <f>Asset43</f>
        <v>0</v>
      </c>
      <c r="D50" s="3"/>
      <c r="E50" s="3"/>
      <c r="F50" s="3"/>
      <c r="G50" s="3"/>
      <c r="H50" s="1405">
        <f>'RFM input'!R49
-('RFM input'!L49/(1+previous_vanilla)^0.5+'RFM input'!N49)
+('RFM input'!G103-'RFM input'!G157)
+IF('RFM input'!$F$467='RFM input'!$H$467,0,'RFM input'!G517-'RFM input'!M517)</f>
        <v>0</v>
      </c>
      <c r="I50" s="1363">
        <f>H50+H102+H670</f>
        <v>0</v>
      </c>
      <c r="J50" s="1363">
        <f>I50+I102+I670</f>
        <v>0</v>
      </c>
      <c r="K50" s="1363">
        <f>IF(COUNT($H50:J50)&gt;'RFM input'!$V$7,0, J50+J102+J670+IF(K$111=0,'RFM input'!$H$454,0))</f>
        <v>0</v>
      </c>
      <c r="L50" s="1363">
        <f>IF(COUNT($H50:K50)&gt;'RFM input'!$V$7,0, K50+K102+K670+IF(L$111=0,'RFM input'!$H$454,0))</f>
        <v>0</v>
      </c>
      <c r="M50" s="1363">
        <f>IF(COUNT($H50:L50)&gt;'RFM input'!$V$7,0, L50+L102+L670+IF(M$111=0,'RFM input'!$H$454,0))</f>
        <v>0</v>
      </c>
      <c r="N50" s="1363">
        <f>IF(COUNT($H50:M50)&gt;'RFM input'!$V$7,0, M50+M102+M670+IF(N$111=0,'RFM input'!$H$454,0))</f>
        <v>0</v>
      </c>
      <c r="O50" s="1363">
        <f>IF(COUNT($H50:N50)&gt;'RFM input'!$V$7,0, N50+N102+N670+IF(O$111=0,'RFM input'!$H$454,0))</f>
        <v>0</v>
      </c>
      <c r="P50" s="1363">
        <f>IF(COUNT($H50:O50)&gt;'RFM input'!$V$7,0, O50+O102+O670+IF(P$111=0,'RFM input'!$H$454,0))</f>
        <v>0</v>
      </c>
      <c r="Q50" s="1363">
        <f>IF(COUNT($H50:P50)&gt;'RFM input'!$V$7,0, P50+P102+P670+IF(Q$111=0,'RFM input'!$H$454,0))</f>
        <v>0</v>
      </c>
      <c r="R50" s="1363">
        <f>IF(COUNT($H50:Q50)&gt;'RFM input'!$V$7,0, Q50+Q102+Q670+IF(R$111=0,'RFM input'!$H$454,0))</f>
        <v>0</v>
      </c>
      <c r="S50" s="77"/>
      <c r="T50" s="77"/>
      <c r="U50" s="77"/>
      <c r="V50" s="77"/>
      <c r="W50" s="77"/>
      <c r="X50" s="77"/>
      <c r="Y50" s="77"/>
      <c r="Z50" s="77"/>
      <c r="AA50" s="152"/>
    </row>
    <row r="51" spans="1:27" hidden="1" outlineLevel="1">
      <c r="A51" s="3"/>
      <c r="B51" s="29"/>
      <c r="C51" s="133">
        <f>Asset44</f>
        <v>0</v>
      </c>
      <c r="D51" s="3"/>
      <c r="E51" s="3"/>
      <c r="F51" s="3"/>
      <c r="G51" s="3"/>
      <c r="H51" s="1405">
        <f>'RFM input'!R50
-('RFM input'!L50/(1+previous_vanilla)^0.5+'RFM input'!N50)
+('RFM input'!G104-'RFM input'!G158)
+IF('RFM input'!$F$467='RFM input'!$H$467,0,'RFM input'!G518-'RFM input'!M518)</f>
        <v>0</v>
      </c>
      <c r="I51" s="1363">
        <f>H51+H103+H683</f>
        <v>0</v>
      </c>
      <c r="J51" s="1363">
        <f>I51+I103+I683</f>
        <v>0</v>
      </c>
      <c r="K51" s="1363">
        <f>IF(COUNT($H51:J51)&gt;'RFM input'!$V$7,0, J51+J103+J683+IF(K$111=0,'RFM input'!$H$455,0))</f>
        <v>0</v>
      </c>
      <c r="L51" s="1363">
        <f>IF(COUNT($H51:K51)&gt;'RFM input'!$V$7,0, K51+K103+K683+IF(L$111=0,'RFM input'!$H$455,0))</f>
        <v>0</v>
      </c>
      <c r="M51" s="1363">
        <f>IF(COUNT($H51:L51)&gt;'RFM input'!$V$7,0, L51+L103+L683+IF(M$111=0,'RFM input'!$H$455,0))</f>
        <v>0</v>
      </c>
      <c r="N51" s="1363">
        <f>IF(COUNT($H51:M51)&gt;'RFM input'!$V$7,0, M51+M103+M683+IF(N$111=0,'RFM input'!$H$455,0))</f>
        <v>0</v>
      </c>
      <c r="O51" s="1363">
        <f>IF(COUNT($H51:N51)&gt;'RFM input'!$V$7,0, N51+N103+N683+IF(O$111=0,'RFM input'!$H$455,0))</f>
        <v>0</v>
      </c>
      <c r="P51" s="1363">
        <f>IF(COUNT($H51:O51)&gt;'RFM input'!$V$7,0, O51+O103+O683+IF(P$111=0,'RFM input'!$H$455,0))</f>
        <v>0</v>
      </c>
      <c r="Q51" s="1363">
        <f>IF(COUNT($H51:P51)&gt;'RFM input'!$V$7,0, P51+P103+P683+IF(Q$111=0,'RFM input'!$H$455,0))</f>
        <v>0</v>
      </c>
      <c r="R51" s="1363">
        <f>IF(COUNT($H51:Q51)&gt;'RFM input'!$V$7,0, Q51+Q103+Q683+IF(R$111=0,'RFM input'!$H$455,0))</f>
        <v>0</v>
      </c>
      <c r="S51" s="77"/>
      <c r="T51" s="77"/>
      <c r="U51" s="77"/>
      <c r="V51" s="77"/>
      <c r="W51" s="77"/>
      <c r="X51" s="77"/>
      <c r="Y51" s="77"/>
      <c r="Z51" s="77"/>
      <c r="AA51" s="152"/>
    </row>
    <row r="52" spans="1:27" hidden="1" outlineLevel="1">
      <c r="A52" s="3"/>
      <c r="B52" s="29"/>
      <c r="C52" s="133">
        <f>Asset45</f>
        <v>0</v>
      </c>
      <c r="D52" s="3"/>
      <c r="E52" s="3"/>
      <c r="F52" s="3"/>
      <c r="G52" s="3"/>
      <c r="H52" s="1405">
        <f>'RFM input'!R51
-('RFM input'!L51/(1+previous_vanilla)^0.5+'RFM input'!N51)
+('RFM input'!G105-'RFM input'!G159)
+IF('RFM input'!$F$467='RFM input'!$H$467,0,'RFM input'!G519-'RFM input'!M519)</f>
        <v>0</v>
      </c>
      <c r="I52" s="1363">
        <f>H52+H104+H696</f>
        <v>0</v>
      </c>
      <c r="J52" s="1363">
        <f>I52+I104+I696</f>
        <v>0</v>
      </c>
      <c r="K52" s="1363">
        <f>IF(COUNT($H52:J52)&gt;'RFM input'!$V$7,0, J52+J104+J696+IF(K$111=0,'RFM input'!$H$456,0))</f>
        <v>0</v>
      </c>
      <c r="L52" s="1363">
        <f>IF(COUNT($H52:K52)&gt;'RFM input'!$V$7,0, K52+K104+K696+IF(L$111=0,'RFM input'!$H$456,0))</f>
        <v>0</v>
      </c>
      <c r="M52" s="1363">
        <f>IF(COUNT($H52:L52)&gt;'RFM input'!$V$7,0, L52+L104+L696+IF(M$111=0,'RFM input'!$H$456,0))</f>
        <v>0</v>
      </c>
      <c r="N52" s="1363">
        <f>IF(COUNT($H52:M52)&gt;'RFM input'!$V$7,0, M52+M104+M696+IF(N$111=0,'RFM input'!$H$456,0))</f>
        <v>0</v>
      </c>
      <c r="O52" s="1363">
        <f>IF(COUNT($H52:N52)&gt;'RFM input'!$V$7,0, N52+N104+N696+IF(O$111=0,'RFM input'!$H$456,0))</f>
        <v>0</v>
      </c>
      <c r="P52" s="1363">
        <f>IF(COUNT($H52:O52)&gt;'RFM input'!$V$7,0, O52+O104+O696+IF(P$111=0,'RFM input'!$H$456,0))</f>
        <v>0</v>
      </c>
      <c r="Q52" s="1363">
        <f>IF(COUNT($H52:P52)&gt;'RFM input'!$V$7,0, P52+P104+P696+IF(Q$111=0,'RFM input'!$H$456,0))</f>
        <v>0</v>
      </c>
      <c r="R52" s="1363">
        <f>IF(COUNT($H52:Q52)&gt;'RFM input'!$V$7,0, Q52+Q104+Q696+IF(R$111=0,'RFM input'!$H$456,0))</f>
        <v>0</v>
      </c>
      <c r="S52" s="77"/>
      <c r="T52" s="77"/>
      <c r="U52" s="77"/>
      <c r="V52" s="77"/>
      <c r="W52" s="77"/>
      <c r="X52" s="77"/>
      <c r="Y52" s="77"/>
      <c r="Z52" s="77"/>
      <c r="AA52" s="152"/>
    </row>
    <row r="53" spans="1:27" hidden="1" outlineLevel="1">
      <c r="A53" s="3"/>
      <c r="B53" s="29"/>
      <c r="C53" s="133">
        <f>Asset46</f>
        <v>0</v>
      </c>
      <c r="D53" s="3"/>
      <c r="E53" s="3"/>
      <c r="F53" s="3"/>
      <c r="G53" s="3"/>
      <c r="H53" s="1405">
        <f>'RFM input'!R52
-('RFM input'!L52/(1+previous_vanilla)^0.5+'RFM input'!N52)
+('RFM input'!G106-'RFM input'!G160)
+IF('RFM input'!$F$467='RFM input'!$H$467,0,'RFM input'!G520-'RFM input'!M520)</f>
        <v>0</v>
      </c>
      <c r="I53" s="1363">
        <f>H53+H105+H709</f>
        <v>0</v>
      </c>
      <c r="J53" s="1363">
        <f>I53+I105+I709</f>
        <v>0</v>
      </c>
      <c r="K53" s="1363">
        <f>IF(COUNT($H53:J53)&gt;'RFM input'!$V$7,0, J53+J105+J709+IF(K$111=0,'RFM input'!$H$457,0))</f>
        <v>0</v>
      </c>
      <c r="L53" s="1363">
        <f>IF(COUNT($H53:K53)&gt;'RFM input'!$V$7,0, K53+K105+K709+IF(L$111=0,'RFM input'!$H$457,0))</f>
        <v>0</v>
      </c>
      <c r="M53" s="1363">
        <f>IF(COUNT($H53:L53)&gt;'RFM input'!$V$7,0, L53+L105+L709+IF(M$111=0,'RFM input'!$H$457,0))</f>
        <v>0</v>
      </c>
      <c r="N53" s="1363">
        <f>IF(COUNT($H53:M53)&gt;'RFM input'!$V$7,0, M53+M105+M709+IF(N$111=0,'RFM input'!$H$457,0))</f>
        <v>0</v>
      </c>
      <c r="O53" s="1363">
        <f>IF(COUNT($H53:N53)&gt;'RFM input'!$V$7,0, N53+N105+N709+IF(O$111=0,'RFM input'!$H$457,0))</f>
        <v>0</v>
      </c>
      <c r="P53" s="1363">
        <f>IF(COUNT($H53:O53)&gt;'RFM input'!$V$7,0, O53+O105+O709+IF(P$111=0,'RFM input'!$H$457,0))</f>
        <v>0</v>
      </c>
      <c r="Q53" s="1363">
        <f>IF(COUNT($H53:P53)&gt;'RFM input'!$V$7,0, P53+P105+P709+IF(Q$111=0,'RFM input'!$H$457,0))</f>
        <v>0</v>
      </c>
      <c r="R53" s="1363">
        <f>IF(COUNT($H53:Q53)&gt;'RFM input'!$V$7,0, Q53+Q105+Q709+IF(R$111=0,'RFM input'!$H$457,0))</f>
        <v>0</v>
      </c>
      <c r="S53" s="77"/>
      <c r="T53" s="77"/>
      <c r="U53" s="77"/>
      <c r="V53" s="77"/>
      <c r="W53" s="77"/>
      <c r="X53" s="77"/>
      <c r="Y53" s="77"/>
      <c r="Z53" s="77"/>
      <c r="AA53" s="152"/>
    </row>
    <row r="54" spans="1:27" hidden="1" outlineLevel="1">
      <c r="A54" s="3"/>
      <c r="B54" s="29"/>
      <c r="C54" s="133">
        <f>Asset47</f>
        <v>0</v>
      </c>
      <c r="D54" s="3"/>
      <c r="E54" s="3"/>
      <c r="F54" s="3"/>
      <c r="G54" s="3"/>
      <c r="H54" s="1405">
        <f>'RFM input'!R53
-('RFM input'!L53/(1+previous_vanilla)^0.5+'RFM input'!N53)
+('RFM input'!G107-'RFM input'!G161)
+IF('RFM input'!$F$467='RFM input'!$H$467,0,'RFM input'!G521-'RFM input'!M521)</f>
        <v>0</v>
      </c>
      <c r="I54" s="1363">
        <f>H54+H106+H722</f>
        <v>0</v>
      </c>
      <c r="J54" s="1363">
        <f>I54+I106+I722</f>
        <v>0</v>
      </c>
      <c r="K54" s="1363">
        <f>IF(COUNT($H54:J54)&gt;'RFM input'!$V$7,0, J54+J106+J722+IF(K$111=0,'RFM input'!$H$458,0))</f>
        <v>0</v>
      </c>
      <c r="L54" s="1363">
        <f>IF(COUNT($H54:K54)&gt;'RFM input'!$V$7,0, K54+K106+K722+IF(L$111=0,'RFM input'!$H$458,0))</f>
        <v>0</v>
      </c>
      <c r="M54" s="1363">
        <f>IF(COUNT($H54:L54)&gt;'RFM input'!$V$7,0, L54+L106+L722+IF(M$111=0,'RFM input'!$H$458,0))</f>
        <v>0</v>
      </c>
      <c r="N54" s="1363">
        <f>IF(COUNT($H54:M54)&gt;'RFM input'!$V$7,0, M54+M106+M722+IF(N$111=0,'RFM input'!$H$458,0))</f>
        <v>0</v>
      </c>
      <c r="O54" s="1363">
        <f>IF(COUNT($H54:N54)&gt;'RFM input'!$V$7,0, N54+N106+N722+IF(O$111=0,'RFM input'!$H$458,0))</f>
        <v>0</v>
      </c>
      <c r="P54" s="1363">
        <f>IF(COUNT($H54:O54)&gt;'RFM input'!$V$7,0, O54+O106+O722+IF(P$111=0,'RFM input'!$H$458,0))</f>
        <v>0</v>
      </c>
      <c r="Q54" s="1363">
        <f>IF(COUNT($H54:P54)&gt;'RFM input'!$V$7,0, P54+P106+P722+IF(Q$111=0,'RFM input'!$H$458,0))</f>
        <v>0</v>
      </c>
      <c r="R54" s="1363">
        <f>IF(COUNT($H54:Q54)&gt;'RFM input'!$V$7,0, Q54+Q106+Q722+IF(R$111=0,'RFM input'!$H$458,0))</f>
        <v>0</v>
      </c>
      <c r="S54" s="77"/>
      <c r="T54" s="77"/>
      <c r="U54" s="77"/>
      <c r="V54" s="77"/>
      <c r="W54" s="77"/>
      <c r="X54" s="77"/>
      <c r="Y54" s="77"/>
      <c r="Z54" s="77"/>
      <c r="AA54" s="152"/>
    </row>
    <row r="55" spans="1:27" hidden="1" outlineLevel="1">
      <c r="A55" s="3"/>
      <c r="B55" s="29"/>
      <c r="C55" s="133">
        <f>Asset48</f>
        <v>0</v>
      </c>
      <c r="D55" s="3"/>
      <c r="E55" s="3"/>
      <c r="F55" s="3"/>
      <c r="G55" s="3"/>
      <c r="H55" s="1405">
        <f>'RFM input'!R54
-('RFM input'!L54/(1+previous_vanilla)^0.5+'RFM input'!N54)
+('RFM input'!G108-'RFM input'!G162)
+IF('RFM input'!$F$467='RFM input'!$H$467,0,'RFM input'!G522-'RFM input'!M522)</f>
        <v>0</v>
      </c>
      <c r="I55" s="1363">
        <f>H55+H107+H735</f>
        <v>0</v>
      </c>
      <c r="J55" s="1363">
        <f>I55+I107+I735</f>
        <v>0</v>
      </c>
      <c r="K55" s="1363">
        <f>IF(COUNT($H55:J55)&gt;'RFM input'!$V$7,0, J55+J107+J735+IF(K$111=0,'RFM input'!$H$459,0))</f>
        <v>0</v>
      </c>
      <c r="L55" s="1363">
        <f>IF(COUNT($H55:K55)&gt;'RFM input'!$V$7,0, K55+K107+K735+IF(L$111=0,'RFM input'!$H$459,0))</f>
        <v>0</v>
      </c>
      <c r="M55" s="1363">
        <f>IF(COUNT($H55:L55)&gt;'RFM input'!$V$7,0, L55+L107+L735+IF(M$111=0,'RFM input'!$H$459,0))</f>
        <v>0</v>
      </c>
      <c r="N55" s="1363">
        <f>IF(COUNT($H55:M55)&gt;'RFM input'!$V$7,0, M55+M107+M735+IF(N$111=0,'RFM input'!$H$459,0))</f>
        <v>0</v>
      </c>
      <c r="O55" s="1363">
        <f>IF(COUNT($H55:N55)&gt;'RFM input'!$V$7,0, N55+N107+N735+IF(O$111=0,'RFM input'!$H$459,0))</f>
        <v>0</v>
      </c>
      <c r="P55" s="1363">
        <f>IF(COUNT($H55:O55)&gt;'RFM input'!$V$7,0, O55+O107+O735+IF(P$111=0,'RFM input'!$H$459,0))</f>
        <v>0</v>
      </c>
      <c r="Q55" s="1363">
        <f>IF(COUNT($H55:P55)&gt;'RFM input'!$V$7,0, P55+P107+P735+IF(Q$111=0,'RFM input'!$H$459,0))</f>
        <v>0</v>
      </c>
      <c r="R55" s="1363">
        <f>IF(COUNT($H55:Q55)&gt;'RFM input'!$V$7,0, Q55+Q107+Q735+IF(R$111=0,'RFM input'!$H$459,0))</f>
        <v>0</v>
      </c>
      <c r="S55" s="77"/>
      <c r="T55" s="77"/>
      <c r="U55" s="77"/>
      <c r="V55" s="77"/>
      <c r="W55" s="77"/>
      <c r="X55" s="77"/>
      <c r="Y55" s="77"/>
      <c r="Z55" s="77"/>
      <c r="AA55" s="152"/>
    </row>
    <row r="56" spans="1:27" hidden="1" outlineLevel="1">
      <c r="A56" s="3"/>
      <c r="B56" s="29"/>
      <c r="C56" s="133">
        <f>Asset49</f>
        <v>0</v>
      </c>
      <c r="D56" s="3"/>
      <c r="E56" s="3"/>
      <c r="F56" s="3"/>
      <c r="G56" s="3"/>
      <c r="H56" s="1405">
        <f>'RFM input'!R55
-('RFM input'!L55/(1+previous_vanilla)^0.5+'RFM input'!N55)
+('RFM input'!G109-'RFM input'!G163)
+IF('RFM input'!$F$467='RFM input'!$H$467,0,'RFM input'!G523-'RFM input'!M523)</f>
        <v>0</v>
      </c>
      <c r="I56" s="1363">
        <f>H56+H108+H748</f>
        <v>0</v>
      </c>
      <c r="J56" s="1363">
        <f>I56+I108+I748</f>
        <v>0</v>
      </c>
      <c r="K56" s="1363">
        <f>IF(COUNT($H56:J56)&gt;'RFM input'!$V$7,0, J56+J108+J748+IF(K$111=0,'RFM input'!$H$460,0))</f>
        <v>0</v>
      </c>
      <c r="L56" s="1363">
        <f>IF(COUNT($H56:K56)&gt;'RFM input'!$V$7,0, K56+K108+K748+IF(L$111=0,'RFM input'!$H$460,0))</f>
        <v>0</v>
      </c>
      <c r="M56" s="1363">
        <f>IF(COUNT($H56:L56)&gt;'RFM input'!$V$7,0, L56+L108+L748+IF(M$111=0,'RFM input'!$H$460,0))</f>
        <v>0</v>
      </c>
      <c r="N56" s="1363">
        <f>IF(COUNT($H56:M56)&gt;'RFM input'!$V$7,0, M56+M108+M748+IF(N$111=0,'RFM input'!$H$460,0))</f>
        <v>0</v>
      </c>
      <c r="O56" s="1363">
        <f>IF(COUNT($H56:N56)&gt;'RFM input'!$V$7,0, N56+N108+N748+IF(O$111=0,'RFM input'!$H$460,0))</f>
        <v>0</v>
      </c>
      <c r="P56" s="1363">
        <f>IF(COUNT($H56:O56)&gt;'RFM input'!$V$7,0, O56+O108+O748+IF(P$111=0,'RFM input'!$H$460,0))</f>
        <v>0</v>
      </c>
      <c r="Q56" s="1363">
        <f>IF(COUNT($H56:P56)&gt;'RFM input'!$V$7,0, P56+P108+P748+IF(Q$111=0,'RFM input'!$H$460,0))</f>
        <v>0</v>
      </c>
      <c r="R56" s="1363">
        <f>IF(COUNT($H56:Q56)&gt;'RFM input'!$V$7,0, Q56+Q108+Q748+IF(R$111=0,'RFM input'!$H$460,0))</f>
        <v>0</v>
      </c>
      <c r="S56" s="77"/>
      <c r="T56" s="77"/>
      <c r="U56" s="77"/>
      <c r="V56" s="77"/>
      <c r="W56" s="77"/>
      <c r="X56" s="77"/>
      <c r="Y56" s="77"/>
      <c r="Z56" s="77"/>
      <c r="AA56" s="152"/>
    </row>
    <row r="57" spans="1:27" hidden="1" outlineLevel="1">
      <c r="A57" s="3"/>
      <c r="B57" s="29"/>
      <c r="C57" s="133">
        <f>Asset50</f>
        <v>0</v>
      </c>
      <c r="D57" s="3"/>
      <c r="E57" s="3"/>
      <c r="F57" s="3"/>
      <c r="G57" s="3"/>
      <c r="H57" s="1405">
        <f>'RFM input'!R56
-('RFM input'!L56/(1+previous_vanilla)^0.5+'RFM input'!N56)
+('RFM input'!G110-'RFM input'!G164)
+IF('RFM input'!$F$467='RFM input'!$H$467,0,'RFM input'!G524-'RFM input'!M524)</f>
        <v>0</v>
      </c>
      <c r="I57" s="1363">
        <f>H57+H109+H761</f>
        <v>0</v>
      </c>
      <c r="J57" s="1363">
        <f>I57+I109+I761</f>
        <v>0</v>
      </c>
      <c r="K57" s="1363">
        <f>IF(COUNT($H57:J57)&gt;'RFM input'!$V$7,0, J57+J109+J761+IF(K$111=0,'RFM input'!$H$461,0))</f>
        <v>0</v>
      </c>
      <c r="L57" s="1363">
        <f>IF(COUNT($H57:K57)&gt;'RFM input'!$V$7,0, K57+K109+K761+IF(L$111=0,'RFM input'!$H$461,0))</f>
        <v>0</v>
      </c>
      <c r="M57" s="1363">
        <f>IF(COUNT($H57:L57)&gt;'RFM input'!$V$7,0, L57+L109+L761+IF(M$111=0,'RFM input'!$H$461,0))</f>
        <v>0</v>
      </c>
      <c r="N57" s="1363">
        <f>IF(COUNT($H57:M57)&gt;'RFM input'!$V$7,0, M57+M109+M761+IF(N$111=0,'RFM input'!$H$461,0))</f>
        <v>0</v>
      </c>
      <c r="O57" s="1363">
        <f>IF(COUNT($H57:N57)&gt;'RFM input'!$V$7,0, N57+N109+N761+IF(O$111=0,'RFM input'!$H$461,0))</f>
        <v>0</v>
      </c>
      <c r="P57" s="1363">
        <f>IF(COUNT($H57:O57)&gt;'RFM input'!$V$7,0, O57+O109+O761+IF(P$111=0,'RFM input'!$H$461,0))</f>
        <v>0</v>
      </c>
      <c r="Q57" s="1363">
        <f>IF(COUNT($H57:P57)&gt;'RFM input'!$V$7,0, P57+P109+P761+IF(Q$111=0,'RFM input'!$H$461,0))</f>
        <v>0</v>
      </c>
      <c r="R57" s="1363">
        <f>IF(COUNT($H57:Q57)&gt;'RFM input'!$V$7,0, Q57+Q109+Q761+IF(R$111=0,'RFM input'!$H$461,0))</f>
        <v>0</v>
      </c>
      <c r="S57" s="77"/>
      <c r="T57" s="77"/>
      <c r="U57" s="77"/>
      <c r="V57" s="77"/>
      <c r="W57" s="77"/>
      <c r="X57" s="77"/>
      <c r="Y57" s="77"/>
      <c r="Z57" s="77"/>
      <c r="AA57" s="152"/>
    </row>
    <row r="58" spans="1:27" collapsed="1">
      <c r="A58" s="4"/>
      <c r="B58" s="8"/>
      <c r="C58" s="4"/>
      <c r="D58" s="4"/>
      <c r="E58" s="4"/>
      <c r="F58" s="82"/>
      <c r="G58" s="82"/>
      <c r="H58" s="233"/>
      <c r="I58" s="233"/>
      <c r="J58" s="233"/>
      <c r="K58" s="233"/>
      <c r="L58" s="233"/>
      <c r="M58" s="233"/>
      <c r="N58" s="233"/>
      <c r="O58" s="233"/>
      <c r="P58" s="233"/>
      <c r="Q58" s="233"/>
      <c r="R58" s="233"/>
      <c r="S58" s="77"/>
      <c r="T58" s="77"/>
      <c r="U58" s="77"/>
      <c r="V58" s="77"/>
      <c r="W58" s="77"/>
      <c r="X58" s="77"/>
      <c r="Y58" s="77"/>
      <c r="Z58" s="77"/>
      <c r="AA58" s="152"/>
    </row>
    <row r="59" spans="1:27">
      <c r="A59" s="4"/>
      <c r="B59" s="29" t="s">
        <v>35</v>
      </c>
      <c r="C59" s="3"/>
      <c r="D59" s="4"/>
      <c r="E59" s="4"/>
      <c r="F59" s="82"/>
      <c r="G59" s="82"/>
      <c r="H59" s="77">
        <f>SUM(H60:H109)</f>
        <v>25.253388789279629</v>
      </c>
      <c r="I59" s="77">
        <f t="shared" ref="I59:Q59" si="2">SUM(I60:I109)</f>
        <v>28.828904388230505</v>
      </c>
      <c r="J59" s="77">
        <f t="shared" si="2"/>
        <v>34.825646159629137</v>
      </c>
      <c r="K59" s="77">
        <f t="shared" si="2"/>
        <v>29.362360860792183</v>
      </c>
      <c r="L59" s="77">
        <f t="shared" si="2"/>
        <v>21.734923845255068</v>
      </c>
      <c r="M59" s="77">
        <f t="shared" si="2"/>
        <v>26.760336354209421</v>
      </c>
      <c r="N59" s="77">
        <f t="shared" si="2"/>
        <v>11.463777272366185</v>
      </c>
      <c r="O59" s="77">
        <f t="shared" si="2"/>
        <v>0</v>
      </c>
      <c r="P59" s="77">
        <f t="shared" si="2"/>
        <v>0</v>
      </c>
      <c r="Q59" s="77">
        <f t="shared" si="2"/>
        <v>0</v>
      </c>
      <c r="R59" s="77"/>
      <c r="S59" s="77"/>
      <c r="T59" s="77"/>
      <c r="U59" s="77"/>
      <c r="V59" s="77"/>
      <c r="W59" s="77"/>
      <c r="X59" s="77"/>
      <c r="Y59" s="77"/>
      <c r="Z59" s="77"/>
      <c r="AA59" s="152"/>
    </row>
    <row r="60" spans="1:27" ht="12.75" hidden="1" customHeight="1" outlineLevel="1">
      <c r="A60" s="4"/>
      <c r="B60" s="3"/>
      <c r="C60" s="133" t="str">
        <f>Asset1</f>
        <v>Mains</v>
      </c>
      <c r="D60" s="4"/>
      <c r="E60" s="4"/>
      <c r="F60" s="82"/>
      <c r="G60" s="82"/>
      <c r="H60" s="77">
        <f>'RFM input'!H61-'RFM input'!H115</f>
        <v>15.658028445032723</v>
      </c>
      <c r="I60" s="77">
        <f>'RFM input'!I61-'RFM input'!I115</f>
        <v>19.260088500242386</v>
      </c>
      <c r="J60" s="77">
        <f>'RFM input'!J61-'RFM input'!J115</f>
        <v>23.794430971210588</v>
      </c>
      <c r="K60" s="77">
        <f>'RFM input'!K61-'RFM input'!K115</f>
        <v>19.056827713457906</v>
      </c>
      <c r="L60" s="77">
        <f>'RFM input'!L61-'RFM input'!L115</f>
        <v>11.308164355385486</v>
      </c>
      <c r="M60" s="77">
        <f>'RFM input'!M61-'RFM input'!M115</f>
        <v>17.305538158099527</v>
      </c>
      <c r="N60" s="77">
        <f>'RFM input'!N61-'RFM input'!N115</f>
        <v>6.0275135814576961</v>
      </c>
      <c r="O60" s="77">
        <f>'RFM input'!O61-'RFM input'!O115</f>
        <v>0</v>
      </c>
      <c r="P60" s="77">
        <f>'RFM input'!P61-'RFM input'!P115</f>
        <v>0</v>
      </c>
      <c r="Q60" s="77">
        <f>'RFM input'!Q61-'RFM input'!Q115</f>
        <v>0</v>
      </c>
      <c r="R60" s="77"/>
      <c r="S60" s="77"/>
      <c r="T60" s="77"/>
      <c r="U60" s="77"/>
      <c r="V60" s="77"/>
      <c r="W60" s="77"/>
      <c r="X60" s="77"/>
      <c r="Y60" s="77"/>
      <c r="Z60" s="77"/>
      <c r="AA60" s="152"/>
    </row>
    <row r="61" spans="1:27" ht="12.75" hidden="1" customHeight="1" outlineLevel="1">
      <c r="A61" s="4"/>
      <c r="B61" s="29"/>
      <c r="C61" s="133" t="str">
        <f>Asset2</f>
        <v>Inlets</v>
      </c>
      <c r="D61" s="4"/>
      <c r="E61" s="4"/>
      <c r="F61" s="82"/>
      <c r="G61" s="82"/>
      <c r="H61" s="77">
        <f>'RFM input'!H62-'RFM input'!H116</f>
        <v>5.0805792841198203</v>
      </c>
      <c r="I61" s="77">
        <f>'RFM input'!I62-'RFM input'!I116</f>
        <v>5.4560820744449376</v>
      </c>
      <c r="J61" s="77">
        <f>'RFM input'!J62-'RFM input'!J116</f>
        <v>5.8461758780051181</v>
      </c>
      <c r="K61" s="77">
        <f>'RFM input'!K62-'RFM input'!K116</f>
        <v>5.1741811968704745</v>
      </c>
      <c r="L61" s="77">
        <f>'RFM input'!L62-'RFM input'!L116</f>
        <v>5.8341937754290756</v>
      </c>
      <c r="M61" s="77">
        <f>'RFM input'!M62-'RFM input'!M116</f>
        <v>4.5710757538187599</v>
      </c>
      <c r="N61" s="77">
        <f>'RFM input'!N62-'RFM input'!N116</f>
        <v>2.7442209566156053</v>
      </c>
      <c r="O61" s="77">
        <f>'RFM input'!O62-'RFM input'!O116</f>
        <v>0</v>
      </c>
      <c r="P61" s="77">
        <f>'RFM input'!P62-'RFM input'!P116</f>
        <v>0</v>
      </c>
      <c r="Q61" s="77">
        <f>'RFM input'!Q62-'RFM input'!Q116</f>
        <v>0</v>
      </c>
      <c r="R61" s="77"/>
      <c r="S61" s="77"/>
      <c r="T61" s="77"/>
      <c r="U61" s="77"/>
      <c r="V61" s="77"/>
      <c r="W61" s="77"/>
      <c r="X61" s="77"/>
      <c r="Y61" s="77"/>
      <c r="Z61" s="77"/>
      <c r="AA61" s="152"/>
    </row>
    <row r="62" spans="1:27" ht="12.75" hidden="1" customHeight="1" outlineLevel="1">
      <c r="A62" s="4"/>
      <c r="B62" s="29"/>
      <c r="C62" s="133" t="str">
        <f>Asset3</f>
        <v>Meters</v>
      </c>
      <c r="D62" s="4"/>
      <c r="E62" s="4"/>
      <c r="F62" s="82"/>
      <c r="G62" s="82"/>
      <c r="H62" s="77">
        <f>'RFM input'!H63-'RFM input'!H117</f>
        <v>2.9043043091550298</v>
      </c>
      <c r="I62" s="77">
        <f>'RFM input'!I63-'RFM input'!I117</f>
        <v>2.9440507505501161</v>
      </c>
      <c r="J62" s="77">
        <f>'RFM input'!J63-'RFM input'!J117</f>
        <v>3.4852089981836998</v>
      </c>
      <c r="K62" s="77">
        <f>'RFM input'!K63-'RFM input'!K117</f>
        <v>1.8192726395160452</v>
      </c>
      <c r="L62" s="77">
        <f>'RFM input'!L63-'RFM input'!L117</f>
        <v>2.1102837918944823</v>
      </c>
      <c r="M62" s="77">
        <f>'RFM input'!M63-'RFM input'!M117</f>
        <v>1.9623152067392149</v>
      </c>
      <c r="N62" s="77">
        <f>'RFM input'!N63-'RFM input'!N117</f>
        <v>0.95236333444207322</v>
      </c>
      <c r="O62" s="77">
        <f>'RFM input'!O63-'RFM input'!O117</f>
        <v>0</v>
      </c>
      <c r="P62" s="77">
        <f>'RFM input'!P63-'RFM input'!P117</f>
        <v>0</v>
      </c>
      <c r="Q62" s="77">
        <f>'RFM input'!Q63-'RFM input'!Q117</f>
        <v>0</v>
      </c>
      <c r="R62" s="77"/>
      <c r="S62" s="77"/>
      <c r="T62" s="77"/>
      <c r="U62" s="77"/>
      <c r="V62" s="77"/>
      <c r="W62" s="77"/>
      <c r="X62" s="77"/>
      <c r="Y62" s="77"/>
      <c r="Z62" s="77"/>
      <c r="AA62" s="152"/>
    </row>
    <row r="63" spans="1:27" ht="12.75" hidden="1" customHeight="1" outlineLevel="1">
      <c r="A63" s="4"/>
      <c r="B63" s="29"/>
      <c r="C63" s="133" t="str">
        <f>Asset4</f>
        <v>Telemetry</v>
      </c>
      <c r="D63" s="4"/>
      <c r="E63" s="4"/>
      <c r="F63" s="82"/>
      <c r="G63" s="82"/>
      <c r="H63" s="77">
        <f>'RFM input'!H64-'RFM input'!H118</f>
        <v>0.39043238351205295</v>
      </c>
      <c r="I63" s="77">
        <f>'RFM input'!I64-'RFM input'!I118</f>
        <v>0.17168301791136867</v>
      </c>
      <c r="J63" s="77">
        <f>'RFM input'!J64-'RFM input'!J118</f>
        <v>4.9379414650181835E-2</v>
      </c>
      <c r="K63" s="77">
        <f>'RFM input'!K64-'RFM input'!K118</f>
        <v>0.10525956871572739</v>
      </c>
      <c r="L63" s="77">
        <f>'RFM input'!L64-'RFM input'!L118</f>
        <v>6.5246932787471734E-2</v>
      </c>
      <c r="M63" s="77">
        <f>'RFM input'!M64-'RFM input'!M118</f>
        <v>6.0220129696026775E-2</v>
      </c>
      <c r="N63" s="77">
        <f>'RFM input'!N64-'RFM input'!N118</f>
        <v>3.7784634626060895E-2</v>
      </c>
      <c r="O63" s="77">
        <f>'RFM input'!O64-'RFM input'!O118</f>
        <v>0</v>
      </c>
      <c r="P63" s="77">
        <f>'RFM input'!P64-'RFM input'!P118</f>
        <v>0</v>
      </c>
      <c r="Q63" s="77">
        <f>'RFM input'!Q64-'RFM input'!Q118</f>
        <v>0</v>
      </c>
      <c r="R63" s="77"/>
      <c r="S63" s="77"/>
      <c r="T63" s="77"/>
      <c r="U63" s="77"/>
      <c r="V63" s="77"/>
      <c r="W63" s="77"/>
      <c r="X63" s="77"/>
      <c r="Y63" s="77"/>
      <c r="Z63" s="77"/>
      <c r="AA63" s="152"/>
    </row>
    <row r="64" spans="1:27" ht="12.75" hidden="1" customHeight="1" outlineLevel="1">
      <c r="A64" s="4"/>
      <c r="B64" s="29"/>
      <c r="C64" s="133" t="str">
        <f>Asset5</f>
        <v>IT System</v>
      </c>
      <c r="D64" s="4"/>
      <c r="E64" s="4"/>
      <c r="F64" s="82"/>
      <c r="G64" s="82"/>
      <c r="H64" s="77">
        <f>'RFM input'!H65-'RFM input'!H119</f>
        <v>0.1898858346720001</v>
      </c>
      <c r="I64" s="77">
        <f>'RFM input'!I65-'RFM input'!I119</f>
        <v>0.51631117876599997</v>
      </c>
      <c r="J64" s="77">
        <f>'RFM input'!J65-'RFM input'!J119</f>
        <v>0.88921402387412019</v>
      </c>
      <c r="K64" s="77">
        <f>'RFM input'!K65-'RFM input'!K119</f>
        <v>1.4335010672874571</v>
      </c>
      <c r="L64" s="77">
        <f>'RFM input'!L65-'RFM input'!L119</f>
        <v>1.5087705538296319</v>
      </c>
      <c r="M64" s="77">
        <f>'RFM input'!M65-'RFM input'!M119</f>
        <v>1.9436581048472017</v>
      </c>
      <c r="N64" s="77">
        <f>'RFM input'!N65-'RFM input'!N119</f>
        <v>0.82496443621721094</v>
      </c>
      <c r="O64" s="77">
        <f>'RFM input'!O65-'RFM input'!O119</f>
        <v>0</v>
      </c>
      <c r="P64" s="77">
        <f>'RFM input'!P65-'RFM input'!P119</f>
        <v>0</v>
      </c>
      <c r="Q64" s="77">
        <f>'RFM input'!Q65-'RFM input'!Q119</f>
        <v>0</v>
      </c>
      <c r="R64" s="77"/>
      <c r="S64" s="77"/>
      <c r="T64" s="77"/>
      <c r="U64" s="77"/>
      <c r="V64" s="77"/>
      <c r="W64" s="77"/>
      <c r="X64" s="77"/>
      <c r="Y64" s="77"/>
      <c r="Z64" s="77"/>
      <c r="AA64" s="152"/>
    </row>
    <row r="65" spans="1:27" ht="12.75" hidden="1" customHeight="1" outlineLevel="1">
      <c r="A65" s="4"/>
      <c r="B65" s="29"/>
      <c r="C65" s="133" t="str">
        <f>Asset6</f>
        <v>Other Distribution System Equipment</v>
      </c>
      <c r="D65" s="4"/>
      <c r="E65" s="4"/>
      <c r="F65" s="82"/>
      <c r="G65" s="82"/>
      <c r="H65" s="77">
        <f>'RFM input'!H66-'RFM input'!H120</f>
        <v>1.0590765327880023</v>
      </c>
      <c r="I65" s="77">
        <f>'RFM input'!I66-'RFM input'!I120</f>
        <v>0.48068886631569696</v>
      </c>
      <c r="J65" s="77">
        <f>'RFM input'!J66-'RFM input'!J120</f>
        <v>0.76123687370543058</v>
      </c>
      <c r="K65" s="77">
        <f>'RFM input'!K66-'RFM input'!K120</f>
        <v>1.7733186749445713</v>
      </c>
      <c r="L65" s="77">
        <f>'RFM input'!L66-'RFM input'!L120</f>
        <v>0.90826443592892436</v>
      </c>
      <c r="M65" s="77">
        <f>'RFM input'!M66-'RFM input'!M120</f>
        <v>0.91752900100868973</v>
      </c>
      <c r="N65" s="77">
        <f>'RFM input'!N66-'RFM input'!N120</f>
        <v>0.8769303290075372</v>
      </c>
      <c r="O65" s="77">
        <f>'RFM input'!O66-'RFM input'!O120</f>
        <v>0</v>
      </c>
      <c r="P65" s="77">
        <f>'RFM input'!P66-'RFM input'!P120</f>
        <v>0</v>
      </c>
      <c r="Q65" s="77">
        <f>'RFM input'!Q66-'RFM input'!Q120</f>
        <v>0</v>
      </c>
      <c r="R65" s="77"/>
      <c r="S65" s="77"/>
      <c r="T65" s="77"/>
      <c r="U65" s="77"/>
      <c r="V65" s="77"/>
      <c r="W65" s="77"/>
      <c r="X65" s="77"/>
      <c r="Y65" s="77"/>
      <c r="Z65" s="77"/>
      <c r="AA65" s="152"/>
    </row>
    <row r="66" spans="1:27" ht="12.75" hidden="1" customHeight="1" outlineLevel="1">
      <c r="A66" s="4"/>
      <c r="B66" s="29"/>
      <c r="C66" s="133" t="str">
        <f>Asset7</f>
        <v>Other</v>
      </c>
      <c r="D66" s="4"/>
      <c r="E66" s="4"/>
      <c r="F66" s="82"/>
      <c r="G66" s="82"/>
      <c r="H66" s="77">
        <f>'RFM input'!H67-'RFM input'!H121</f>
        <v>-2.8917999999999999E-2</v>
      </c>
      <c r="I66" s="77">
        <f>'RFM input'!I67-'RFM input'!I121</f>
        <v>0</v>
      </c>
      <c r="J66" s="77">
        <f>'RFM input'!J67-'RFM input'!J121</f>
        <v>0</v>
      </c>
      <c r="K66" s="77">
        <f>'RFM input'!K67-'RFM input'!K121</f>
        <v>0</v>
      </c>
      <c r="L66" s="77">
        <f>'RFM input'!L67-'RFM input'!L121</f>
        <v>0</v>
      </c>
      <c r="M66" s="77">
        <f>'RFM input'!M67-'RFM input'!M121</f>
        <v>0</v>
      </c>
      <c r="N66" s="77">
        <f>'RFM input'!N67-'RFM input'!N121</f>
        <v>0</v>
      </c>
      <c r="O66" s="77">
        <f>'RFM input'!O67-'RFM input'!O121</f>
        <v>0</v>
      </c>
      <c r="P66" s="77">
        <f>'RFM input'!P67-'RFM input'!P121</f>
        <v>0</v>
      </c>
      <c r="Q66" s="77">
        <f>'RFM input'!Q67-'RFM input'!Q121</f>
        <v>0</v>
      </c>
      <c r="R66" s="77"/>
      <c r="S66" s="77"/>
      <c r="T66" s="77"/>
      <c r="U66" s="77"/>
      <c r="V66" s="77"/>
      <c r="W66" s="77"/>
      <c r="X66" s="77"/>
      <c r="Y66" s="77"/>
      <c r="Z66" s="77"/>
      <c r="AA66" s="152"/>
    </row>
    <row r="67" spans="1:27" ht="12.75" hidden="1" customHeight="1" outlineLevel="1">
      <c r="A67" s="4"/>
      <c r="B67" s="29"/>
      <c r="C67" s="133">
        <f>Asset8</f>
        <v>0</v>
      </c>
      <c r="D67" s="4"/>
      <c r="E67" s="4"/>
      <c r="F67" s="82"/>
      <c r="G67" s="82"/>
      <c r="H67" s="77">
        <f>'RFM input'!H68-'RFM input'!H122</f>
        <v>0</v>
      </c>
      <c r="I67" s="77">
        <f>'RFM input'!I68-'RFM input'!I122</f>
        <v>0</v>
      </c>
      <c r="J67" s="77">
        <f>'RFM input'!J68-'RFM input'!J122</f>
        <v>0</v>
      </c>
      <c r="K67" s="77">
        <f>'RFM input'!K68-'RFM input'!K122</f>
        <v>0</v>
      </c>
      <c r="L67" s="77">
        <f>'RFM input'!L68-'RFM input'!L122</f>
        <v>0</v>
      </c>
      <c r="M67" s="77">
        <f>'RFM input'!M68-'RFM input'!M122</f>
        <v>0</v>
      </c>
      <c r="N67" s="77">
        <f>'RFM input'!N68-'RFM input'!N122</f>
        <v>0</v>
      </c>
      <c r="O67" s="77">
        <f>'RFM input'!O68-'RFM input'!O122</f>
        <v>0</v>
      </c>
      <c r="P67" s="77">
        <f>'RFM input'!P68-'RFM input'!P122</f>
        <v>0</v>
      </c>
      <c r="Q67" s="77">
        <f>'RFM input'!Q68-'RFM input'!Q122</f>
        <v>0</v>
      </c>
      <c r="R67" s="77"/>
      <c r="S67" s="77"/>
      <c r="T67" s="77"/>
      <c r="U67" s="77"/>
      <c r="V67" s="77"/>
      <c r="W67" s="77"/>
      <c r="X67" s="77"/>
      <c r="Y67" s="77"/>
      <c r="Z67" s="77"/>
      <c r="AA67" s="152"/>
    </row>
    <row r="68" spans="1:27" ht="12.75" hidden="1" customHeight="1" outlineLevel="1">
      <c r="A68" s="4"/>
      <c r="B68" s="29"/>
      <c r="C68" s="133">
        <f>Asset9</f>
        <v>0</v>
      </c>
      <c r="D68" s="4"/>
      <c r="E68" s="4"/>
      <c r="F68" s="82"/>
      <c r="G68" s="82"/>
      <c r="H68" s="77">
        <f>'RFM input'!H69-'RFM input'!H123</f>
        <v>0</v>
      </c>
      <c r="I68" s="77">
        <f>'RFM input'!I69-'RFM input'!I123</f>
        <v>0</v>
      </c>
      <c r="J68" s="77">
        <f>'RFM input'!J69-'RFM input'!J123</f>
        <v>0</v>
      </c>
      <c r="K68" s="77">
        <f>'RFM input'!K69-'RFM input'!K123</f>
        <v>0</v>
      </c>
      <c r="L68" s="77">
        <f>'RFM input'!L69-'RFM input'!L123</f>
        <v>0</v>
      </c>
      <c r="M68" s="77">
        <f>'RFM input'!M69-'RFM input'!M123</f>
        <v>0</v>
      </c>
      <c r="N68" s="77">
        <f>'RFM input'!N69-'RFM input'!N123</f>
        <v>0</v>
      </c>
      <c r="O68" s="77">
        <f>'RFM input'!O69-'RFM input'!O123</f>
        <v>0</v>
      </c>
      <c r="P68" s="77">
        <f>'RFM input'!P69-'RFM input'!P123</f>
        <v>0</v>
      </c>
      <c r="Q68" s="77">
        <f>'RFM input'!Q69-'RFM input'!Q123</f>
        <v>0</v>
      </c>
      <c r="R68" s="77"/>
      <c r="S68" s="77"/>
      <c r="T68" s="77"/>
      <c r="U68" s="77"/>
      <c r="V68" s="77"/>
      <c r="W68" s="77"/>
      <c r="X68" s="77"/>
      <c r="Y68" s="77"/>
      <c r="Z68" s="77"/>
      <c r="AA68" s="152"/>
    </row>
    <row r="69" spans="1:27" ht="12.75" hidden="1" customHeight="1" outlineLevel="1">
      <c r="A69" s="4"/>
      <c r="B69" s="29"/>
      <c r="C69" s="133">
        <f>Asset10</f>
        <v>0</v>
      </c>
      <c r="D69" s="4"/>
      <c r="E69" s="4"/>
      <c r="F69" s="82"/>
      <c r="G69" s="82"/>
      <c r="H69" s="77">
        <f>'RFM input'!H70-'RFM input'!H124</f>
        <v>0</v>
      </c>
      <c r="I69" s="77">
        <f>'RFM input'!I70-'RFM input'!I124</f>
        <v>0</v>
      </c>
      <c r="J69" s="77">
        <f>'RFM input'!J70-'RFM input'!J124</f>
        <v>0</v>
      </c>
      <c r="K69" s="77">
        <f>'RFM input'!K70-'RFM input'!K124</f>
        <v>0</v>
      </c>
      <c r="L69" s="77">
        <f>'RFM input'!L70-'RFM input'!L124</f>
        <v>0</v>
      </c>
      <c r="M69" s="77">
        <f>'RFM input'!M70-'RFM input'!M124</f>
        <v>0</v>
      </c>
      <c r="N69" s="77">
        <f>'RFM input'!N70-'RFM input'!N124</f>
        <v>0</v>
      </c>
      <c r="O69" s="77">
        <f>'RFM input'!O70-'RFM input'!O124</f>
        <v>0</v>
      </c>
      <c r="P69" s="77">
        <f>'RFM input'!P70-'RFM input'!P124</f>
        <v>0</v>
      </c>
      <c r="Q69" s="77">
        <f>'RFM input'!Q70-'RFM input'!Q124</f>
        <v>0</v>
      </c>
      <c r="R69" s="77"/>
      <c r="S69" s="77"/>
      <c r="T69" s="77"/>
      <c r="U69" s="77"/>
      <c r="V69" s="77"/>
      <c r="W69" s="77"/>
      <c r="X69" s="77"/>
      <c r="Y69" s="77"/>
      <c r="Z69" s="77"/>
      <c r="AA69" s="152"/>
    </row>
    <row r="70" spans="1:27" ht="12.75" hidden="1" customHeight="1" outlineLevel="1">
      <c r="A70" s="4"/>
      <c r="B70" s="29"/>
      <c r="C70" s="133">
        <f>Asset11</f>
        <v>0</v>
      </c>
      <c r="D70" s="4"/>
      <c r="E70" s="4"/>
      <c r="F70" s="82"/>
      <c r="G70" s="82"/>
      <c r="H70" s="77">
        <f>'RFM input'!H71-'RFM input'!H125</f>
        <v>0</v>
      </c>
      <c r="I70" s="77">
        <f>'RFM input'!I71-'RFM input'!I125</f>
        <v>0</v>
      </c>
      <c r="J70" s="77">
        <f>'RFM input'!J71-'RFM input'!J125</f>
        <v>0</v>
      </c>
      <c r="K70" s="77">
        <f>'RFM input'!K71-'RFM input'!K125</f>
        <v>0</v>
      </c>
      <c r="L70" s="77">
        <f>'RFM input'!L71-'RFM input'!L125</f>
        <v>0</v>
      </c>
      <c r="M70" s="77">
        <f>'RFM input'!M71-'RFM input'!M125</f>
        <v>0</v>
      </c>
      <c r="N70" s="77">
        <f>'RFM input'!N71-'RFM input'!N125</f>
        <v>0</v>
      </c>
      <c r="O70" s="77">
        <f>'RFM input'!O71-'RFM input'!O125</f>
        <v>0</v>
      </c>
      <c r="P70" s="77">
        <f>'RFM input'!P71-'RFM input'!P125</f>
        <v>0</v>
      </c>
      <c r="Q70" s="77">
        <f>'RFM input'!Q71-'RFM input'!Q125</f>
        <v>0</v>
      </c>
      <c r="R70" s="77"/>
      <c r="S70" s="77"/>
      <c r="T70" s="77"/>
      <c r="U70" s="77"/>
      <c r="V70" s="77"/>
      <c r="W70" s="77"/>
      <c r="X70" s="77"/>
      <c r="Y70" s="77"/>
      <c r="Z70" s="77"/>
      <c r="AA70" s="152"/>
    </row>
    <row r="71" spans="1:27" ht="12.75" hidden="1" customHeight="1" outlineLevel="1">
      <c r="A71" s="4"/>
      <c r="B71" s="29"/>
      <c r="C71" s="133">
        <f>Asset12</f>
        <v>0</v>
      </c>
      <c r="D71" s="4"/>
      <c r="E71" s="4"/>
      <c r="F71" s="82"/>
      <c r="G71" s="82"/>
      <c r="H71" s="77">
        <f>'RFM input'!H72-'RFM input'!H126</f>
        <v>0</v>
      </c>
      <c r="I71" s="77">
        <f>'RFM input'!I72-'RFM input'!I126</f>
        <v>0</v>
      </c>
      <c r="J71" s="77">
        <f>'RFM input'!J72-'RFM input'!J126</f>
        <v>0</v>
      </c>
      <c r="K71" s="77">
        <f>'RFM input'!K72-'RFM input'!K126</f>
        <v>0</v>
      </c>
      <c r="L71" s="77">
        <f>'RFM input'!L72-'RFM input'!L126</f>
        <v>0</v>
      </c>
      <c r="M71" s="77">
        <f>'RFM input'!M72-'RFM input'!M126</f>
        <v>0</v>
      </c>
      <c r="N71" s="77">
        <f>'RFM input'!N72-'RFM input'!N126</f>
        <v>0</v>
      </c>
      <c r="O71" s="77">
        <f>'RFM input'!O72-'RFM input'!O126</f>
        <v>0</v>
      </c>
      <c r="P71" s="77">
        <f>'RFM input'!P72-'RFM input'!P126</f>
        <v>0</v>
      </c>
      <c r="Q71" s="77">
        <f>'RFM input'!Q72-'RFM input'!Q126</f>
        <v>0</v>
      </c>
      <c r="R71" s="77"/>
      <c r="S71" s="77"/>
      <c r="T71" s="77"/>
      <c r="U71" s="77"/>
      <c r="V71" s="77"/>
      <c r="W71" s="77"/>
      <c r="X71" s="77"/>
      <c r="Y71" s="77"/>
      <c r="Z71" s="77"/>
      <c r="AA71" s="152"/>
    </row>
    <row r="72" spans="1:27" ht="12.75" hidden="1" customHeight="1" outlineLevel="1">
      <c r="A72" s="4"/>
      <c r="B72" s="29"/>
      <c r="C72" s="133">
        <f>Asset13</f>
        <v>0</v>
      </c>
      <c r="D72" s="4"/>
      <c r="E72" s="4"/>
      <c r="F72" s="82"/>
      <c r="G72" s="82"/>
      <c r="H72" s="77">
        <f>'RFM input'!H73-'RFM input'!H127</f>
        <v>0</v>
      </c>
      <c r="I72" s="77">
        <f>'RFM input'!I73-'RFM input'!I127</f>
        <v>0</v>
      </c>
      <c r="J72" s="77">
        <f>'RFM input'!J73-'RFM input'!J127</f>
        <v>0</v>
      </c>
      <c r="K72" s="77">
        <f>'RFM input'!K73-'RFM input'!K127</f>
        <v>0</v>
      </c>
      <c r="L72" s="77">
        <f>'RFM input'!L73-'RFM input'!L127</f>
        <v>0</v>
      </c>
      <c r="M72" s="77">
        <f>'RFM input'!M73-'RFM input'!M127</f>
        <v>0</v>
      </c>
      <c r="N72" s="77">
        <f>'RFM input'!N73-'RFM input'!N127</f>
        <v>0</v>
      </c>
      <c r="O72" s="77">
        <f>'RFM input'!O73-'RFM input'!O127</f>
        <v>0</v>
      </c>
      <c r="P72" s="77">
        <f>'RFM input'!P73-'RFM input'!P127</f>
        <v>0</v>
      </c>
      <c r="Q72" s="77">
        <f>'RFM input'!Q73-'RFM input'!Q127</f>
        <v>0</v>
      </c>
      <c r="R72" s="77"/>
      <c r="S72" s="77"/>
      <c r="T72" s="77"/>
      <c r="U72" s="77"/>
      <c r="V72" s="77"/>
      <c r="W72" s="77"/>
      <c r="X72" s="77"/>
      <c r="Y72" s="77"/>
      <c r="Z72" s="77"/>
      <c r="AA72" s="152"/>
    </row>
    <row r="73" spans="1:27" ht="12.75" hidden="1" customHeight="1" outlineLevel="1">
      <c r="A73" s="4"/>
      <c r="B73" s="29"/>
      <c r="C73" s="133">
        <f>Asset14</f>
        <v>0</v>
      </c>
      <c r="D73" s="4"/>
      <c r="E73" s="4"/>
      <c r="F73" s="82"/>
      <c r="G73" s="82"/>
      <c r="H73" s="77">
        <f>'RFM input'!H74-'RFM input'!H128</f>
        <v>0</v>
      </c>
      <c r="I73" s="77">
        <f>'RFM input'!I74-'RFM input'!I128</f>
        <v>0</v>
      </c>
      <c r="J73" s="77">
        <f>'RFM input'!J74-'RFM input'!J128</f>
        <v>0</v>
      </c>
      <c r="K73" s="77">
        <f>'RFM input'!K74-'RFM input'!K128</f>
        <v>0</v>
      </c>
      <c r="L73" s="77">
        <f>'RFM input'!L74-'RFM input'!L128</f>
        <v>0</v>
      </c>
      <c r="M73" s="77">
        <f>'RFM input'!M74-'RFM input'!M128</f>
        <v>0</v>
      </c>
      <c r="N73" s="77">
        <f>'RFM input'!N74-'RFM input'!N128</f>
        <v>0</v>
      </c>
      <c r="O73" s="77">
        <f>'RFM input'!O74-'RFM input'!O128</f>
        <v>0</v>
      </c>
      <c r="P73" s="77">
        <f>'RFM input'!P74-'RFM input'!P128</f>
        <v>0</v>
      </c>
      <c r="Q73" s="77">
        <f>'RFM input'!Q74-'RFM input'!Q128</f>
        <v>0</v>
      </c>
      <c r="R73" s="77"/>
      <c r="S73" s="77"/>
      <c r="T73" s="77"/>
      <c r="U73" s="77"/>
      <c r="V73" s="77"/>
      <c r="W73" s="77"/>
      <c r="X73" s="77"/>
      <c r="Y73" s="77"/>
      <c r="Z73" s="77"/>
      <c r="AA73" s="152"/>
    </row>
    <row r="74" spans="1:27" ht="12.75" hidden="1" customHeight="1" outlineLevel="1">
      <c r="A74" s="4"/>
      <c r="B74" s="29"/>
      <c r="C74" s="133">
        <f>Asset15</f>
        <v>0</v>
      </c>
      <c r="D74" s="4"/>
      <c r="E74" s="4"/>
      <c r="F74" s="82"/>
      <c r="G74" s="82"/>
      <c r="H74" s="77">
        <f>'RFM input'!H75-'RFM input'!H129</f>
        <v>0</v>
      </c>
      <c r="I74" s="77">
        <f>'RFM input'!I75-'RFM input'!I129</f>
        <v>0</v>
      </c>
      <c r="J74" s="77">
        <f>'RFM input'!J75-'RFM input'!J129</f>
        <v>0</v>
      </c>
      <c r="K74" s="77">
        <f>'RFM input'!K75-'RFM input'!K129</f>
        <v>0</v>
      </c>
      <c r="L74" s="77">
        <f>'RFM input'!L75-'RFM input'!L129</f>
        <v>0</v>
      </c>
      <c r="M74" s="77">
        <f>'RFM input'!M75-'RFM input'!M129</f>
        <v>0</v>
      </c>
      <c r="N74" s="77">
        <f>'RFM input'!N75-'RFM input'!N129</f>
        <v>0</v>
      </c>
      <c r="O74" s="77">
        <f>'RFM input'!O75-'RFM input'!O129</f>
        <v>0</v>
      </c>
      <c r="P74" s="77">
        <f>'RFM input'!P75-'RFM input'!P129</f>
        <v>0</v>
      </c>
      <c r="Q74" s="77">
        <f>'RFM input'!Q75-'RFM input'!Q129</f>
        <v>0</v>
      </c>
      <c r="R74" s="77"/>
      <c r="S74" s="77"/>
      <c r="T74" s="77"/>
      <c r="U74" s="77"/>
      <c r="V74" s="77"/>
      <c r="W74" s="77"/>
      <c r="X74" s="77"/>
      <c r="Y74" s="77"/>
      <c r="Z74" s="77"/>
      <c r="AA74" s="152"/>
    </row>
    <row r="75" spans="1:27" ht="12.75" hidden="1" customHeight="1" outlineLevel="1">
      <c r="A75" s="4"/>
      <c r="B75" s="29"/>
      <c r="C75" s="133">
        <f>Asset16</f>
        <v>0</v>
      </c>
      <c r="D75" s="4"/>
      <c r="E75" s="4"/>
      <c r="F75" s="82"/>
      <c r="G75" s="82"/>
      <c r="H75" s="77">
        <f>'RFM input'!H76-'RFM input'!H130</f>
        <v>0</v>
      </c>
      <c r="I75" s="77">
        <f>'RFM input'!I76-'RFM input'!I130</f>
        <v>0</v>
      </c>
      <c r="J75" s="77">
        <f>'RFM input'!J76-'RFM input'!J130</f>
        <v>0</v>
      </c>
      <c r="K75" s="77">
        <f>'RFM input'!K76-'RFM input'!K130</f>
        <v>0</v>
      </c>
      <c r="L75" s="77">
        <f>'RFM input'!L76-'RFM input'!L130</f>
        <v>0</v>
      </c>
      <c r="M75" s="77">
        <f>'RFM input'!M76-'RFM input'!M130</f>
        <v>0</v>
      </c>
      <c r="N75" s="77">
        <f>'RFM input'!N76-'RFM input'!N130</f>
        <v>0</v>
      </c>
      <c r="O75" s="77">
        <f>'RFM input'!O76-'RFM input'!O130</f>
        <v>0</v>
      </c>
      <c r="P75" s="77">
        <f>'RFM input'!P76-'RFM input'!P130</f>
        <v>0</v>
      </c>
      <c r="Q75" s="77">
        <f>'RFM input'!Q76-'RFM input'!Q130</f>
        <v>0</v>
      </c>
      <c r="R75" s="77"/>
      <c r="S75" s="77"/>
      <c r="T75" s="77"/>
      <c r="U75" s="77"/>
      <c r="V75" s="77"/>
      <c r="W75" s="77"/>
      <c r="X75" s="77"/>
      <c r="Y75" s="77"/>
      <c r="Z75" s="77"/>
      <c r="AA75" s="152"/>
    </row>
    <row r="76" spans="1:27" ht="12.75" hidden="1" customHeight="1" outlineLevel="1">
      <c r="A76" s="4"/>
      <c r="B76" s="29"/>
      <c r="C76" s="133">
        <f>Asset17</f>
        <v>0</v>
      </c>
      <c r="D76" s="4"/>
      <c r="E76" s="4"/>
      <c r="F76" s="82"/>
      <c r="G76" s="82"/>
      <c r="H76" s="77">
        <f>'RFM input'!H77-'RFM input'!H131</f>
        <v>0</v>
      </c>
      <c r="I76" s="77">
        <f>'RFM input'!I77-'RFM input'!I131</f>
        <v>0</v>
      </c>
      <c r="J76" s="77">
        <f>'RFM input'!J77-'RFM input'!J131</f>
        <v>0</v>
      </c>
      <c r="K76" s="77">
        <f>'RFM input'!K77-'RFM input'!K131</f>
        <v>0</v>
      </c>
      <c r="L76" s="77">
        <f>'RFM input'!L77-'RFM input'!L131</f>
        <v>0</v>
      </c>
      <c r="M76" s="77">
        <f>'RFM input'!M77-'RFM input'!M131</f>
        <v>0</v>
      </c>
      <c r="N76" s="77">
        <f>'RFM input'!N77-'RFM input'!N131</f>
        <v>0</v>
      </c>
      <c r="O76" s="77">
        <f>'RFM input'!O77-'RFM input'!O131</f>
        <v>0</v>
      </c>
      <c r="P76" s="77">
        <f>'RFM input'!P77-'RFM input'!P131</f>
        <v>0</v>
      </c>
      <c r="Q76" s="77">
        <f>'RFM input'!Q77-'RFM input'!Q131</f>
        <v>0</v>
      </c>
      <c r="R76" s="77"/>
      <c r="S76" s="77"/>
      <c r="T76" s="77"/>
      <c r="U76" s="77"/>
      <c r="V76" s="77"/>
      <c r="W76" s="77"/>
      <c r="X76" s="77"/>
      <c r="Y76" s="77"/>
      <c r="Z76" s="77"/>
      <c r="AA76" s="152"/>
    </row>
    <row r="77" spans="1:27" ht="12.75" hidden="1" customHeight="1" outlineLevel="1">
      <c r="A77" s="4"/>
      <c r="B77" s="29"/>
      <c r="C77" s="133">
        <f>Asset18</f>
        <v>0</v>
      </c>
      <c r="D77" s="4"/>
      <c r="E77" s="4"/>
      <c r="F77" s="82"/>
      <c r="G77" s="82"/>
      <c r="H77" s="77">
        <f>'RFM input'!H78-'RFM input'!H132</f>
        <v>0</v>
      </c>
      <c r="I77" s="77">
        <f>'RFM input'!I78-'RFM input'!I132</f>
        <v>0</v>
      </c>
      <c r="J77" s="77">
        <f>'RFM input'!J78-'RFM input'!J132</f>
        <v>0</v>
      </c>
      <c r="K77" s="77">
        <f>'RFM input'!K78-'RFM input'!K132</f>
        <v>0</v>
      </c>
      <c r="L77" s="77">
        <f>'RFM input'!L78-'RFM input'!L132</f>
        <v>0</v>
      </c>
      <c r="M77" s="77">
        <f>'RFM input'!M78-'RFM input'!M132</f>
        <v>0</v>
      </c>
      <c r="N77" s="77">
        <f>'RFM input'!N78-'RFM input'!N132</f>
        <v>0</v>
      </c>
      <c r="O77" s="77">
        <f>'RFM input'!O78-'RFM input'!O132</f>
        <v>0</v>
      </c>
      <c r="P77" s="77">
        <f>'RFM input'!P78-'RFM input'!P132</f>
        <v>0</v>
      </c>
      <c r="Q77" s="77">
        <f>'RFM input'!Q78-'RFM input'!Q132</f>
        <v>0</v>
      </c>
      <c r="R77" s="77"/>
      <c r="S77" s="77"/>
      <c r="T77" s="77"/>
      <c r="U77" s="77"/>
      <c r="V77" s="77"/>
      <c r="W77" s="77"/>
      <c r="X77" s="77"/>
      <c r="Y77" s="77"/>
      <c r="Z77" s="77"/>
      <c r="AA77" s="152"/>
    </row>
    <row r="78" spans="1:27" ht="12.75" hidden="1" customHeight="1" outlineLevel="1">
      <c r="A78" s="4"/>
      <c r="B78" s="29"/>
      <c r="C78" s="133">
        <f>Asset19</f>
        <v>0</v>
      </c>
      <c r="D78" s="4"/>
      <c r="E78" s="4"/>
      <c r="F78" s="82"/>
      <c r="G78" s="82"/>
      <c r="H78" s="77">
        <f>'RFM input'!H79-'RFM input'!H133</f>
        <v>0</v>
      </c>
      <c r="I78" s="77">
        <f>'RFM input'!I79-'RFM input'!I133</f>
        <v>0</v>
      </c>
      <c r="J78" s="77">
        <f>'RFM input'!J79-'RFM input'!J133</f>
        <v>0</v>
      </c>
      <c r="K78" s="77">
        <f>'RFM input'!K79-'RFM input'!K133</f>
        <v>0</v>
      </c>
      <c r="L78" s="77">
        <f>'RFM input'!L79-'RFM input'!L133</f>
        <v>0</v>
      </c>
      <c r="M78" s="77">
        <f>'RFM input'!M79-'RFM input'!M133</f>
        <v>0</v>
      </c>
      <c r="N78" s="77">
        <f>'RFM input'!N79-'RFM input'!N133</f>
        <v>0</v>
      </c>
      <c r="O78" s="77">
        <f>'RFM input'!O79-'RFM input'!O133</f>
        <v>0</v>
      </c>
      <c r="P78" s="77">
        <f>'RFM input'!P79-'RFM input'!P133</f>
        <v>0</v>
      </c>
      <c r="Q78" s="77">
        <f>'RFM input'!Q79-'RFM input'!Q133</f>
        <v>0</v>
      </c>
      <c r="R78" s="77"/>
      <c r="S78" s="77"/>
      <c r="T78" s="77"/>
      <c r="U78" s="77"/>
      <c r="V78" s="77"/>
      <c r="W78" s="77"/>
      <c r="X78" s="77"/>
      <c r="Y78" s="77"/>
      <c r="Z78" s="77"/>
      <c r="AA78" s="152"/>
    </row>
    <row r="79" spans="1:27" ht="12.75" hidden="1" customHeight="1" outlineLevel="1">
      <c r="A79" s="4"/>
      <c r="B79" s="29"/>
      <c r="C79" s="133">
        <f>Asset20</f>
        <v>0</v>
      </c>
      <c r="D79" s="4"/>
      <c r="E79" s="4"/>
      <c r="F79" s="82"/>
      <c r="G79" s="82"/>
      <c r="H79" s="77">
        <f>'RFM input'!H80-'RFM input'!H134</f>
        <v>0</v>
      </c>
      <c r="I79" s="77">
        <f>'RFM input'!I80-'RFM input'!I134</f>
        <v>0</v>
      </c>
      <c r="J79" s="77">
        <f>'RFM input'!J80-'RFM input'!J134</f>
        <v>0</v>
      </c>
      <c r="K79" s="77">
        <f>'RFM input'!K80-'RFM input'!K134</f>
        <v>0</v>
      </c>
      <c r="L79" s="77">
        <f>'RFM input'!L80-'RFM input'!L134</f>
        <v>0</v>
      </c>
      <c r="M79" s="77">
        <f>'RFM input'!M80-'RFM input'!M134</f>
        <v>0</v>
      </c>
      <c r="N79" s="77">
        <f>'RFM input'!N80-'RFM input'!N134</f>
        <v>0</v>
      </c>
      <c r="O79" s="77">
        <f>'RFM input'!O80-'RFM input'!O134</f>
        <v>0</v>
      </c>
      <c r="P79" s="77">
        <f>'RFM input'!P80-'RFM input'!P134</f>
        <v>0</v>
      </c>
      <c r="Q79" s="77">
        <f>'RFM input'!Q80-'RFM input'!Q134</f>
        <v>0</v>
      </c>
      <c r="R79" s="77"/>
      <c r="S79" s="77"/>
      <c r="T79" s="77"/>
      <c r="U79" s="77"/>
      <c r="V79" s="77"/>
      <c r="W79" s="77"/>
      <c r="X79" s="77"/>
      <c r="Y79" s="77"/>
      <c r="Z79" s="77"/>
      <c r="AA79" s="152"/>
    </row>
    <row r="80" spans="1:27" ht="12.75" hidden="1" customHeight="1" outlineLevel="1">
      <c r="A80" s="4"/>
      <c r="B80" s="29"/>
      <c r="C80" s="133">
        <f>Asset21</f>
        <v>0</v>
      </c>
      <c r="D80" s="4"/>
      <c r="E80" s="4"/>
      <c r="F80" s="82"/>
      <c r="G80" s="82"/>
      <c r="H80" s="77">
        <f>'RFM input'!H81-'RFM input'!H135</f>
        <v>0</v>
      </c>
      <c r="I80" s="77">
        <f>'RFM input'!I81-'RFM input'!I135</f>
        <v>0</v>
      </c>
      <c r="J80" s="77">
        <f>'RFM input'!J81-'RFM input'!J135</f>
        <v>0</v>
      </c>
      <c r="K80" s="77">
        <f>'RFM input'!K81-'RFM input'!K135</f>
        <v>0</v>
      </c>
      <c r="L80" s="77">
        <f>'RFM input'!L81-'RFM input'!L135</f>
        <v>0</v>
      </c>
      <c r="M80" s="77">
        <f>'RFM input'!M81-'RFM input'!M135</f>
        <v>0</v>
      </c>
      <c r="N80" s="77">
        <f>'RFM input'!N81-'RFM input'!N135</f>
        <v>0</v>
      </c>
      <c r="O80" s="77">
        <f>'RFM input'!O81-'RFM input'!O135</f>
        <v>0</v>
      </c>
      <c r="P80" s="77">
        <f>'RFM input'!P81-'RFM input'!P135</f>
        <v>0</v>
      </c>
      <c r="Q80" s="77">
        <f>'RFM input'!Q81-'RFM input'!Q135</f>
        <v>0</v>
      </c>
      <c r="R80" s="77"/>
      <c r="S80" s="77"/>
      <c r="T80" s="77"/>
      <c r="U80" s="77"/>
      <c r="V80" s="77"/>
      <c r="W80" s="77"/>
      <c r="X80" s="77"/>
      <c r="Y80" s="77"/>
      <c r="Z80" s="77"/>
      <c r="AA80" s="152"/>
    </row>
    <row r="81" spans="1:27" ht="12.75" hidden="1" customHeight="1" outlineLevel="1">
      <c r="A81" s="4"/>
      <c r="B81" s="29"/>
      <c r="C81" s="133">
        <f>Asset22</f>
        <v>0</v>
      </c>
      <c r="D81" s="4"/>
      <c r="E81" s="4"/>
      <c r="F81" s="82"/>
      <c r="G81" s="82"/>
      <c r="H81" s="77">
        <f>'RFM input'!H82-'RFM input'!H136</f>
        <v>0</v>
      </c>
      <c r="I81" s="77">
        <f>'RFM input'!I82-'RFM input'!I136</f>
        <v>0</v>
      </c>
      <c r="J81" s="77">
        <f>'RFM input'!J82-'RFM input'!J136</f>
        <v>0</v>
      </c>
      <c r="K81" s="77">
        <f>'RFM input'!K82-'RFM input'!K136</f>
        <v>0</v>
      </c>
      <c r="L81" s="77">
        <f>'RFM input'!L82-'RFM input'!L136</f>
        <v>0</v>
      </c>
      <c r="M81" s="77">
        <f>'RFM input'!M82-'RFM input'!M136</f>
        <v>0</v>
      </c>
      <c r="N81" s="77">
        <f>'RFM input'!N82-'RFM input'!N136</f>
        <v>0</v>
      </c>
      <c r="O81" s="77">
        <f>'RFM input'!O82-'RFM input'!O136</f>
        <v>0</v>
      </c>
      <c r="P81" s="77">
        <f>'RFM input'!P82-'RFM input'!P136</f>
        <v>0</v>
      </c>
      <c r="Q81" s="77">
        <f>'RFM input'!Q82-'RFM input'!Q136</f>
        <v>0</v>
      </c>
      <c r="R81" s="77"/>
      <c r="S81" s="77"/>
      <c r="T81" s="77"/>
      <c r="U81" s="77"/>
      <c r="V81" s="77"/>
      <c r="W81" s="77"/>
      <c r="X81" s="77"/>
      <c r="Y81" s="77"/>
      <c r="Z81" s="77"/>
      <c r="AA81" s="152"/>
    </row>
    <row r="82" spans="1:27" ht="12.75" hidden="1" customHeight="1" outlineLevel="1">
      <c r="A82" s="4"/>
      <c r="B82" s="29"/>
      <c r="C82" s="133">
        <f>Asset23</f>
        <v>0</v>
      </c>
      <c r="D82" s="4"/>
      <c r="E82" s="4"/>
      <c r="F82" s="82"/>
      <c r="G82" s="82"/>
      <c r="H82" s="77">
        <f>'RFM input'!H83-'RFM input'!H137</f>
        <v>0</v>
      </c>
      <c r="I82" s="77">
        <f>'RFM input'!I83-'RFM input'!I137</f>
        <v>0</v>
      </c>
      <c r="J82" s="77">
        <f>'RFM input'!J83-'RFM input'!J137</f>
        <v>0</v>
      </c>
      <c r="K82" s="77">
        <f>'RFM input'!K83-'RFM input'!K137</f>
        <v>0</v>
      </c>
      <c r="L82" s="77">
        <f>'RFM input'!L83-'RFM input'!L137</f>
        <v>0</v>
      </c>
      <c r="M82" s="77">
        <f>'RFM input'!M83-'RFM input'!M137</f>
        <v>0</v>
      </c>
      <c r="N82" s="77">
        <f>'RFM input'!N83-'RFM input'!N137</f>
        <v>0</v>
      </c>
      <c r="O82" s="77">
        <f>'RFM input'!O83-'RFM input'!O137</f>
        <v>0</v>
      </c>
      <c r="P82" s="77">
        <f>'RFM input'!P83-'RFM input'!P137</f>
        <v>0</v>
      </c>
      <c r="Q82" s="77">
        <f>'RFM input'!Q83-'RFM input'!Q137</f>
        <v>0</v>
      </c>
      <c r="R82" s="77"/>
      <c r="S82" s="77"/>
      <c r="T82" s="77"/>
      <c r="U82" s="77"/>
      <c r="V82" s="77"/>
      <c r="W82" s="77"/>
      <c r="X82" s="77"/>
      <c r="Y82" s="77"/>
      <c r="Z82" s="77"/>
      <c r="AA82" s="152"/>
    </row>
    <row r="83" spans="1:27" ht="12.75" hidden="1" customHeight="1" outlineLevel="1">
      <c r="A83" s="4"/>
      <c r="B83" s="29"/>
      <c r="C83" s="133">
        <f>Asset24</f>
        <v>0</v>
      </c>
      <c r="D83" s="4"/>
      <c r="E83" s="4"/>
      <c r="F83" s="82"/>
      <c r="G83" s="82"/>
      <c r="H83" s="77">
        <f>'RFM input'!H84-'RFM input'!H138</f>
        <v>0</v>
      </c>
      <c r="I83" s="77">
        <f>'RFM input'!I84-'RFM input'!I138</f>
        <v>0</v>
      </c>
      <c r="J83" s="77">
        <f>'RFM input'!J84-'RFM input'!J138</f>
        <v>0</v>
      </c>
      <c r="K83" s="77">
        <f>'RFM input'!K84-'RFM input'!K138</f>
        <v>0</v>
      </c>
      <c r="L83" s="77">
        <f>'RFM input'!L84-'RFM input'!L138</f>
        <v>0</v>
      </c>
      <c r="M83" s="77">
        <f>'RFM input'!M84-'RFM input'!M138</f>
        <v>0</v>
      </c>
      <c r="N83" s="77">
        <f>'RFM input'!N84-'RFM input'!N138</f>
        <v>0</v>
      </c>
      <c r="O83" s="77">
        <f>'RFM input'!O84-'RFM input'!O138</f>
        <v>0</v>
      </c>
      <c r="P83" s="77">
        <f>'RFM input'!P84-'RFM input'!P138</f>
        <v>0</v>
      </c>
      <c r="Q83" s="77">
        <f>'RFM input'!Q84-'RFM input'!Q138</f>
        <v>0</v>
      </c>
      <c r="R83" s="77"/>
      <c r="S83" s="77"/>
      <c r="T83" s="77"/>
      <c r="U83" s="77"/>
      <c r="V83" s="77"/>
      <c r="W83" s="77"/>
      <c r="X83" s="77"/>
      <c r="Y83" s="77"/>
      <c r="Z83" s="77"/>
      <c r="AA83" s="152"/>
    </row>
    <row r="84" spans="1:27" ht="12.75" hidden="1" customHeight="1" outlineLevel="1">
      <c r="A84" s="4"/>
      <c r="B84" s="29"/>
      <c r="C84" s="133">
        <f>Asset25</f>
        <v>0</v>
      </c>
      <c r="D84" s="4"/>
      <c r="E84" s="4"/>
      <c r="F84" s="82"/>
      <c r="G84" s="82"/>
      <c r="H84" s="77">
        <f>'RFM input'!H85-'RFM input'!H139</f>
        <v>0</v>
      </c>
      <c r="I84" s="77">
        <f>'RFM input'!I85-'RFM input'!I139</f>
        <v>0</v>
      </c>
      <c r="J84" s="77">
        <f>'RFM input'!J85-'RFM input'!J139</f>
        <v>0</v>
      </c>
      <c r="K84" s="77">
        <f>'RFM input'!K85-'RFM input'!K139</f>
        <v>0</v>
      </c>
      <c r="L84" s="77">
        <f>'RFM input'!L85-'RFM input'!L139</f>
        <v>0</v>
      </c>
      <c r="M84" s="77">
        <f>'RFM input'!M85-'RFM input'!M139</f>
        <v>0</v>
      </c>
      <c r="N84" s="77">
        <f>'RFM input'!N85-'RFM input'!N139</f>
        <v>0</v>
      </c>
      <c r="O84" s="77">
        <f>'RFM input'!O85-'RFM input'!O139</f>
        <v>0</v>
      </c>
      <c r="P84" s="77">
        <f>'RFM input'!P85-'RFM input'!P139</f>
        <v>0</v>
      </c>
      <c r="Q84" s="77">
        <f>'RFM input'!Q85-'RFM input'!Q139</f>
        <v>0</v>
      </c>
      <c r="R84" s="77"/>
      <c r="S84" s="77"/>
      <c r="T84" s="77"/>
      <c r="U84" s="77"/>
      <c r="V84" s="77"/>
      <c r="W84" s="77"/>
      <c r="X84" s="77"/>
      <c r="Y84" s="77"/>
      <c r="Z84" s="77"/>
      <c r="AA84" s="152"/>
    </row>
    <row r="85" spans="1:27" ht="12.75" hidden="1" customHeight="1" outlineLevel="1">
      <c r="A85" s="4"/>
      <c r="B85" s="29"/>
      <c r="C85" s="133">
        <f>Asset26</f>
        <v>0</v>
      </c>
      <c r="D85" s="4"/>
      <c r="E85" s="4"/>
      <c r="F85" s="82"/>
      <c r="G85" s="82"/>
      <c r="H85" s="77">
        <f>'RFM input'!H86-'RFM input'!H140</f>
        <v>0</v>
      </c>
      <c r="I85" s="77">
        <f>'RFM input'!I86-'RFM input'!I140</f>
        <v>0</v>
      </c>
      <c r="J85" s="77">
        <f>'RFM input'!J86-'RFM input'!J140</f>
        <v>0</v>
      </c>
      <c r="K85" s="77">
        <f>'RFM input'!K86-'RFM input'!K140</f>
        <v>0</v>
      </c>
      <c r="L85" s="77">
        <f>'RFM input'!L86-'RFM input'!L140</f>
        <v>0</v>
      </c>
      <c r="M85" s="77">
        <f>'RFM input'!M86-'RFM input'!M140</f>
        <v>0</v>
      </c>
      <c r="N85" s="77">
        <f>'RFM input'!N86-'RFM input'!N140</f>
        <v>0</v>
      </c>
      <c r="O85" s="77">
        <f>'RFM input'!O86-'RFM input'!O140</f>
        <v>0</v>
      </c>
      <c r="P85" s="77">
        <f>'RFM input'!P86-'RFM input'!P140</f>
        <v>0</v>
      </c>
      <c r="Q85" s="77">
        <f>'RFM input'!Q86-'RFM input'!Q140</f>
        <v>0</v>
      </c>
      <c r="R85" s="77"/>
      <c r="S85" s="77"/>
      <c r="T85" s="77"/>
      <c r="U85" s="77"/>
      <c r="V85" s="77"/>
      <c r="W85" s="77"/>
      <c r="X85" s="77"/>
      <c r="Y85" s="77"/>
      <c r="Z85" s="77"/>
      <c r="AA85" s="152"/>
    </row>
    <row r="86" spans="1:27" ht="12.75" hidden="1" customHeight="1" outlineLevel="1">
      <c r="A86" s="4"/>
      <c r="B86" s="29"/>
      <c r="C86" s="133">
        <f>Asset27</f>
        <v>0</v>
      </c>
      <c r="D86" s="4"/>
      <c r="E86" s="4"/>
      <c r="F86" s="82"/>
      <c r="G86" s="82"/>
      <c r="H86" s="77">
        <f>'RFM input'!H87-'RFM input'!H141</f>
        <v>0</v>
      </c>
      <c r="I86" s="77">
        <f>'RFM input'!I87-'RFM input'!I141</f>
        <v>0</v>
      </c>
      <c r="J86" s="77">
        <f>'RFM input'!J87-'RFM input'!J141</f>
        <v>0</v>
      </c>
      <c r="K86" s="77">
        <f>'RFM input'!K87-'RFM input'!K141</f>
        <v>0</v>
      </c>
      <c r="L86" s="77">
        <f>'RFM input'!L87-'RFM input'!L141</f>
        <v>0</v>
      </c>
      <c r="M86" s="77">
        <f>'RFM input'!M87-'RFM input'!M141</f>
        <v>0</v>
      </c>
      <c r="N86" s="77">
        <f>'RFM input'!N87-'RFM input'!N141</f>
        <v>0</v>
      </c>
      <c r="O86" s="77">
        <f>'RFM input'!O87-'RFM input'!O141</f>
        <v>0</v>
      </c>
      <c r="P86" s="77">
        <f>'RFM input'!P87-'RFM input'!P141</f>
        <v>0</v>
      </c>
      <c r="Q86" s="77">
        <f>'RFM input'!Q87-'RFM input'!Q141</f>
        <v>0</v>
      </c>
      <c r="R86" s="77"/>
      <c r="S86" s="77"/>
      <c r="T86" s="77"/>
      <c r="U86" s="77"/>
      <c r="V86" s="77"/>
      <c r="W86" s="77"/>
      <c r="X86" s="77"/>
      <c r="Y86" s="77"/>
      <c r="Z86" s="77"/>
      <c r="AA86" s="152"/>
    </row>
    <row r="87" spans="1:27" ht="12.75" hidden="1" customHeight="1" outlineLevel="1">
      <c r="A87" s="4"/>
      <c r="B87" s="29"/>
      <c r="C87" s="133">
        <f>Asset28</f>
        <v>0</v>
      </c>
      <c r="D87" s="4"/>
      <c r="E87" s="4"/>
      <c r="F87" s="82"/>
      <c r="G87" s="82"/>
      <c r="H87" s="77">
        <f>'RFM input'!H88-'RFM input'!H142</f>
        <v>0</v>
      </c>
      <c r="I87" s="77">
        <f>'RFM input'!I88-'RFM input'!I142</f>
        <v>0</v>
      </c>
      <c r="J87" s="77">
        <f>'RFM input'!J88-'RFM input'!J142</f>
        <v>0</v>
      </c>
      <c r="K87" s="77">
        <f>'RFM input'!K88-'RFM input'!K142</f>
        <v>0</v>
      </c>
      <c r="L87" s="77">
        <f>'RFM input'!L88-'RFM input'!L142</f>
        <v>0</v>
      </c>
      <c r="M87" s="77">
        <f>'RFM input'!M88-'RFM input'!M142</f>
        <v>0</v>
      </c>
      <c r="N87" s="77">
        <f>'RFM input'!N88-'RFM input'!N142</f>
        <v>0</v>
      </c>
      <c r="O87" s="77">
        <f>'RFM input'!O88-'RFM input'!O142</f>
        <v>0</v>
      </c>
      <c r="P87" s="77">
        <f>'RFM input'!P88-'RFM input'!P142</f>
        <v>0</v>
      </c>
      <c r="Q87" s="77">
        <f>'RFM input'!Q88-'RFM input'!Q142</f>
        <v>0</v>
      </c>
      <c r="R87" s="77"/>
      <c r="S87" s="77"/>
      <c r="T87" s="77"/>
      <c r="U87" s="77"/>
      <c r="V87" s="77"/>
      <c r="W87" s="77"/>
      <c r="X87" s="77"/>
      <c r="Y87" s="77"/>
      <c r="Z87" s="77"/>
      <c r="AA87" s="152"/>
    </row>
    <row r="88" spans="1:27" ht="12.75" hidden="1" customHeight="1" outlineLevel="1">
      <c r="A88" s="4"/>
      <c r="B88" s="29"/>
      <c r="C88" s="133">
        <f>Asset29</f>
        <v>0</v>
      </c>
      <c r="D88" s="4"/>
      <c r="E88" s="4"/>
      <c r="F88" s="82"/>
      <c r="G88" s="82"/>
      <c r="H88" s="77">
        <f>'RFM input'!H89-'RFM input'!H143</f>
        <v>0</v>
      </c>
      <c r="I88" s="77">
        <f>'RFM input'!I89-'RFM input'!I143</f>
        <v>0</v>
      </c>
      <c r="J88" s="77">
        <f>'RFM input'!J89-'RFM input'!J143</f>
        <v>0</v>
      </c>
      <c r="K88" s="77">
        <f>'RFM input'!K89-'RFM input'!K143</f>
        <v>0</v>
      </c>
      <c r="L88" s="77">
        <f>'RFM input'!L89-'RFM input'!L143</f>
        <v>0</v>
      </c>
      <c r="M88" s="77">
        <f>'RFM input'!M89-'RFM input'!M143</f>
        <v>0</v>
      </c>
      <c r="N88" s="77">
        <f>'RFM input'!N89-'RFM input'!N143</f>
        <v>0</v>
      </c>
      <c r="O88" s="77">
        <f>'RFM input'!O89-'RFM input'!O143</f>
        <v>0</v>
      </c>
      <c r="P88" s="77">
        <f>'RFM input'!P89-'RFM input'!P143</f>
        <v>0</v>
      </c>
      <c r="Q88" s="77">
        <f>'RFM input'!Q89-'RFM input'!Q143</f>
        <v>0</v>
      </c>
      <c r="R88" s="77"/>
      <c r="S88" s="77"/>
      <c r="T88" s="77"/>
      <c r="U88" s="77"/>
      <c r="V88" s="77"/>
      <c r="W88" s="77"/>
      <c r="X88" s="77"/>
      <c r="Y88" s="77"/>
      <c r="Z88" s="77"/>
      <c r="AA88" s="152"/>
    </row>
    <row r="89" spans="1:27" ht="12.75" hidden="1" customHeight="1" outlineLevel="1">
      <c r="A89" s="4"/>
      <c r="B89" s="29"/>
      <c r="C89" s="133">
        <f>Asset30</f>
        <v>0</v>
      </c>
      <c r="D89" s="4"/>
      <c r="E89" s="4"/>
      <c r="F89" s="82"/>
      <c r="G89" s="82"/>
      <c r="H89" s="77">
        <f>'RFM input'!H90-'RFM input'!H144</f>
        <v>0</v>
      </c>
      <c r="I89" s="77">
        <f>'RFM input'!I90-'RFM input'!I144</f>
        <v>0</v>
      </c>
      <c r="J89" s="77">
        <f>'RFM input'!J90-'RFM input'!J144</f>
        <v>0</v>
      </c>
      <c r="K89" s="77">
        <f>'RFM input'!K90-'RFM input'!K144</f>
        <v>0</v>
      </c>
      <c r="L89" s="77">
        <f>'RFM input'!L90-'RFM input'!L144</f>
        <v>0</v>
      </c>
      <c r="M89" s="77">
        <f>'RFM input'!M90-'RFM input'!M144</f>
        <v>0</v>
      </c>
      <c r="N89" s="77">
        <f>'RFM input'!N90-'RFM input'!N144</f>
        <v>0</v>
      </c>
      <c r="O89" s="77">
        <f>'RFM input'!O90-'RFM input'!O144</f>
        <v>0</v>
      </c>
      <c r="P89" s="77">
        <f>'RFM input'!P90-'RFM input'!P144</f>
        <v>0</v>
      </c>
      <c r="Q89" s="77">
        <f>'RFM input'!Q90-'RFM input'!Q144</f>
        <v>0</v>
      </c>
      <c r="R89" s="77"/>
      <c r="S89" s="77"/>
      <c r="T89" s="77"/>
      <c r="U89" s="77"/>
      <c r="V89" s="77"/>
      <c r="W89" s="77"/>
      <c r="X89" s="77"/>
      <c r="Y89" s="77"/>
      <c r="Z89" s="77"/>
      <c r="AA89" s="152"/>
    </row>
    <row r="90" spans="1:27" ht="12.75" hidden="1" customHeight="1" outlineLevel="1">
      <c r="A90" s="4"/>
      <c r="B90" s="29"/>
      <c r="C90" s="133">
        <f>Asset31</f>
        <v>0</v>
      </c>
      <c r="D90" s="4"/>
      <c r="E90" s="4"/>
      <c r="F90" s="82"/>
      <c r="G90" s="82"/>
      <c r="H90" s="77">
        <f>'RFM input'!H91-'RFM input'!H145</f>
        <v>0</v>
      </c>
      <c r="I90" s="77">
        <f>'RFM input'!I91-'RFM input'!I145</f>
        <v>0</v>
      </c>
      <c r="J90" s="77">
        <f>'RFM input'!J91-'RFM input'!J145</f>
        <v>0</v>
      </c>
      <c r="K90" s="77">
        <f>'RFM input'!K91-'RFM input'!K145</f>
        <v>0</v>
      </c>
      <c r="L90" s="77">
        <f>'RFM input'!L91-'RFM input'!L145</f>
        <v>0</v>
      </c>
      <c r="M90" s="77">
        <f>'RFM input'!M91-'RFM input'!M145</f>
        <v>0</v>
      </c>
      <c r="N90" s="77">
        <f>'RFM input'!N91-'RFM input'!N145</f>
        <v>0</v>
      </c>
      <c r="O90" s="77">
        <f>'RFM input'!O91-'RFM input'!O145</f>
        <v>0</v>
      </c>
      <c r="P90" s="77">
        <f>'RFM input'!P91-'RFM input'!P145</f>
        <v>0</v>
      </c>
      <c r="Q90" s="77">
        <f>'RFM input'!Q91-'RFM input'!Q145</f>
        <v>0</v>
      </c>
      <c r="R90" s="77"/>
      <c r="S90" s="77"/>
      <c r="T90" s="77"/>
      <c r="U90" s="77"/>
      <c r="V90" s="77"/>
      <c r="W90" s="77"/>
      <c r="X90" s="77"/>
      <c r="Y90" s="77"/>
      <c r="Z90" s="77"/>
      <c r="AA90" s="152"/>
    </row>
    <row r="91" spans="1:27" ht="12.75" hidden="1" customHeight="1" outlineLevel="1">
      <c r="A91" s="4"/>
      <c r="B91" s="29"/>
      <c r="C91" s="133">
        <f>Asset32</f>
        <v>0</v>
      </c>
      <c r="D91" s="4"/>
      <c r="E91" s="4"/>
      <c r="F91" s="82"/>
      <c r="G91" s="82"/>
      <c r="H91" s="77">
        <f>'RFM input'!H92-'RFM input'!H146</f>
        <v>0</v>
      </c>
      <c r="I91" s="77">
        <f>'RFM input'!I92-'RFM input'!I146</f>
        <v>0</v>
      </c>
      <c r="J91" s="77">
        <f>'RFM input'!J92-'RFM input'!J146</f>
        <v>0</v>
      </c>
      <c r="K91" s="77">
        <f>'RFM input'!K92-'RFM input'!K146</f>
        <v>0</v>
      </c>
      <c r="L91" s="77">
        <f>'RFM input'!L92-'RFM input'!L146</f>
        <v>0</v>
      </c>
      <c r="M91" s="77">
        <f>'RFM input'!M92-'RFM input'!M146</f>
        <v>0</v>
      </c>
      <c r="N91" s="77">
        <f>'RFM input'!N92-'RFM input'!N146</f>
        <v>0</v>
      </c>
      <c r="O91" s="77">
        <f>'RFM input'!O92-'RFM input'!O146</f>
        <v>0</v>
      </c>
      <c r="P91" s="77">
        <f>'RFM input'!P92-'RFM input'!P146</f>
        <v>0</v>
      </c>
      <c r="Q91" s="77">
        <f>'RFM input'!Q92-'RFM input'!Q146</f>
        <v>0</v>
      </c>
      <c r="R91" s="77"/>
      <c r="S91" s="77"/>
      <c r="T91" s="77"/>
      <c r="U91" s="77"/>
      <c r="V91" s="77"/>
      <c r="W91" s="77"/>
      <c r="X91" s="77"/>
      <c r="Y91" s="77"/>
      <c r="Z91" s="77"/>
      <c r="AA91" s="152"/>
    </row>
    <row r="92" spans="1:27" ht="12.75" hidden="1" customHeight="1" outlineLevel="1">
      <c r="A92" s="4"/>
      <c r="B92" s="29"/>
      <c r="C92" s="133">
        <f>Asset33</f>
        <v>0</v>
      </c>
      <c r="D92" s="4"/>
      <c r="E92" s="4"/>
      <c r="F92" s="82"/>
      <c r="G92" s="82"/>
      <c r="H92" s="77">
        <f>'RFM input'!H93-'RFM input'!H147</f>
        <v>0</v>
      </c>
      <c r="I92" s="77">
        <f>'RFM input'!I93-'RFM input'!I147</f>
        <v>0</v>
      </c>
      <c r="J92" s="77">
        <f>'RFM input'!J93-'RFM input'!J147</f>
        <v>0</v>
      </c>
      <c r="K92" s="77">
        <f>'RFM input'!K93-'RFM input'!K147</f>
        <v>0</v>
      </c>
      <c r="L92" s="77">
        <f>'RFM input'!L93-'RFM input'!L147</f>
        <v>0</v>
      </c>
      <c r="M92" s="77">
        <f>'RFM input'!M93-'RFM input'!M147</f>
        <v>0</v>
      </c>
      <c r="N92" s="77">
        <f>'RFM input'!N93-'RFM input'!N147</f>
        <v>0</v>
      </c>
      <c r="O92" s="77">
        <f>'RFM input'!O93-'RFM input'!O147</f>
        <v>0</v>
      </c>
      <c r="P92" s="77">
        <f>'RFM input'!P93-'RFM input'!P147</f>
        <v>0</v>
      </c>
      <c r="Q92" s="77">
        <f>'RFM input'!Q93-'RFM input'!Q147</f>
        <v>0</v>
      </c>
      <c r="R92" s="77"/>
      <c r="S92" s="77"/>
      <c r="T92" s="77"/>
      <c r="U92" s="77"/>
      <c r="V92" s="77"/>
      <c r="W92" s="77"/>
      <c r="X92" s="77"/>
      <c r="Y92" s="77"/>
      <c r="Z92" s="77"/>
      <c r="AA92" s="152"/>
    </row>
    <row r="93" spans="1:27" ht="12.75" hidden="1" customHeight="1" outlineLevel="1">
      <c r="A93" s="4"/>
      <c r="B93" s="29"/>
      <c r="C93" s="133">
        <f>Asset34</f>
        <v>0</v>
      </c>
      <c r="D93" s="4"/>
      <c r="E93" s="4"/>
      <c r="F93" s="82"/>
      <c r="G93" s="82"/>
      <c r="H93" s="77">
        <f>'RFM input'!H94-'RFM input'!H148</f>
        <v>0</v>
      </c>
      <c r="I93" s="77">
        <f>'RFM input'!I94-'RFM input'!I148</f>
        <v>0</v>
      </c>
      <c r="J93" s="77">
        <f>'RFM input'!J94-'RFM input'!J148</f>
        <v>0</v>
      </c>
      <c r="K93" s="77">
        <f>'RFM input'!K94-'RFM input'!K148</f>
        <v>0</v>
      </c>
      <c r="L93" s="77">
        <f>'RFM input'!L94-'RFM input'!L148</f>
        <v>0</v>
      </c>
      <c r="M93" s="77">
        <f>'RFM input'!M94-'RFM input'!M148</f>
        <v>0</v>
      </c>
      <c r="N93" s="77">
        <f>'RFM input'!N94-'RFM input'!N148</f>
        <v>0</v>
      </c>
      <c r="O93" s="77">
        <f>'RFM input'!O94-'RFM input'!O148</f>
        <v>0</v>
      </c>
      <c r="P93" s="77">
        <f>'RFM input'!P94-'RFM input'!P148</f>
        <v>0</v>
      </c>
      <c r="Q93" s="77">
        <f>'RFM input'!Q94-'RFM input'!Q148</f>
        <v>0</v>
      </c>
      <c r="R93" s="77"/>
      <c r="S93" s="77"/>
      <c r="T93" s="77"/>
      <c r="U93" s="77"/>
      <c r="V93" s="77"/>
      <c r="W93" s="77"/>
      <c r="X93" s="77"/>
      <c r="Y93" s="77"/>
      <c r="Z93" s="77"/>
      <c r="AA93" s="152"/>
    </row>
    <row r="94" spans="1:27" ht="12.75" hidden="1" customHeight="1" outlineLevel="1">
      <c r="A94" s="4"/>
      <c r="B94" s="29"/>
      <c r="C94" s="133">
        <f>Asset35</f>
        <v>0</v>
      </c>
      <c r="D94" s="4"/>
      <c r="E94" s="4"/>
      <c r="F94" s="82"/>
      <c r="G94" s="82"/>
      <c r="H94" s="77">
        <f>'RFM input'!H95-'RFM input'!H149</f>
        <v>0</v>
      </c>
      <c r="I94" s="77">
        <f>'RFM input'!I95-'RFM input'!I149</f>
        <v>0</v>
      </c>
      <c r="J94" s="77">
        <f>'RFM input'!J95-'RFM input'!J149</f>
        <v>0</v>
      </c>
      <c r="K94" s="77">
        <f>'RFM input'!K95-'RFM input'!K149</f>
        <v>0</v>
      </c>
      <c r="L94" s="77">
        <f>'RFM input'!L95-'RFM input'!L149</f>
        <v>0</v>
      </c>
      <c r="M94" s="77">
        <f>'RFM input'!M95-'RFM input'!M149</f>
        <v>0</v>
      </c>
      <c r="N94" s="77">
        <f>'RFM input'!N95-'RFM input'!N149</f>
        <v>0</v>
      </c>
      <c r="O94" s="77">
        <f>'RFM input'!O95-'RFM input'!O149</f>
        <v>0</v>
      </c>
      <c r="P94" s="77">
        <f>'RFM input'!P95-'RFM input'!P149</f>
        <v>0</v>
      </c>
      <c r="Q94" s="77">
        <f>'RFM input'!Q95-'RFM input'!Q149</f>
        <v>0</v>
      </c>
      <c r="R94" s="77"/>
      <c r="S94" s="77"/>
      <c r="T94" s="77"/>
      <c r="U94" s="77"/>
      <c r="V94" s="77"/>
      <c r="W94" s="77"/>
      <c r="X94" s="77"/>
      <c r="Y94" s="77"/>
      <c r="Z94" s="77"/>
      <c r="AA94" s="152"/>
    </row>
    <row r="95" spans="1:27" ht="12.75" hidden="1" customHeight="1" outlineLevel="1">
      <c r="A95" s="4"/>
      <c r="B95" s="29"/>
      <c r="C95" s="133">
        <f>Asset36</f>
        <v>0</v>
      </c>
      <c r="D95" s="4"/>
      <c r="E95" s="4"/>
      <c r="F95" s="82"/>
      <c r="G95" s="82"/>
      <c r="H95" s="77">
        <f>'RFM input'!H96-'RFM input'!H150</f>
        <v>0</v>
      </c>
      <c r="I95" s="77">
        <f>'RFM input'!I96-'RFM input'!I150</f>
        <v>0</v>
      </c>
      <c r="J95" s="77">
        <f>'RFM input'!J96-'RFM input'!J150</f>
        <v>0</v>
      </c>
      <c r="K95" s="77">
        <f>'RFM input'!K96-'RFM input'!K150</f>
        <v>0</v>
      </c>
      <c r="L95" s="77">
        <f>'RFM input'!L96-'RFM input'!L150</f>
        <v>0</v>
      </c>
      <c r="M95" s="77">
        <f>'RFM input'!M96-'RFM input'!M150</f>
        <v>0</v>
      </c>
      <c r="N95" s="77">
        <f>'RFM input'!N96-'RFM input'!N150</f>
        <v>0</v>
      </c>
      <c r="O95" s="77">
        <f>'RFM input'!O96-'RFM input'!O150</f>
        <v>0</v>
      </c>
      <c r="P95" s="77">
        <f>'RFM input'!P96-'RFM input'!P150</f>
        <v>0</v>
      </c>
      <c r="Q95" s="77">
        <f>'RFM input'!Q96-'RFM input'!Q150</f>
        <v>0</v>
      </c>
      <c r="R95" s="77"/>
      <c r="S95" s="77"/>
      <c r="T95" s="77"/>
      <c r="U95" s="77"/>
      <c r="V95" s="77"/>
      <c r="W95" s="77"/>
      <c r="X95" s="77"/>
      <c r="Y95" s="77"/>
      <c r="Z95" s="77"/>
      <c r="AA95" s="152"/>
    </row>
    <row r="96" spans="1:27" ht="12.75" hidden="1" customHeight="1" outlineLevel="1">
      <c r="A96" s="4"/>
      <c r="B96" s="29"/>
      <c r="C96" s="133">
        <f>Asset37</f>
        <v>0</v>
      </c>
      <c r="D96" s="4"/>
      <c r="E96" s="4"/>
      <c r="F96" s="82"/>
      <c r="G96" s="82"/>
      <c r="H96" s="77">
        <f>'RFM input'!H97-'RFM input'!H151</f>
        <v>0</v>
      </c>
      <c r="I96" s="77">
        <f>'RFM input'!I97-'RFM input'!I151</f>
        <v>0</v>
      </c>
      <c r="J96" s="77">
        <f>'RFM input'!J97-'RFM input'!J151</f>
        <v>0</v>
      </c>
      <c r="K96" s="77">
        <f>'RFM input'!K97-'RFM input'!K151</f>
        <v>0</v>
      </c>
      <c r="L96" s="77">
        <f>'RFM input'!L97-'RFM input'!L151</f>
        <v>0</v>
      </c>
      <c r="M96" s="77">
        <f>'RFM input'!M97-'RFM input'!M151</f>
        <v>0</v>
      </c>
      <c r="N96" s="77">
        <f>'RFM input'!N97-'RFM input'!N151</f>
        <v>0</v>
      </c>
      <c r="O96" s="77">
        <f>'RFM input'!O97-'RFM input'!O151</f>
        <v>0</v>
      </c>
      <c r="P96" s="77">
        <f>'RFM input'!P97-'RFM input'!P151</f>
        <v>0</v>
      </c>
      <c r="Q96" s="77">
        <f>'RFM input'!Q97-'RFM input'!Q151</f>
        <v>0</v>
      </c>
      <c r="R96" s="77"/>
      <c r="S96" s="77"/>
      <c r="T96" s="77"/>
      <c r="U96" s="77"/>
      <c r="V96" s="77"/>
      <c r="W96" s="77"/>
      <c r="X96" s="77"/>
      <c r="Y96" s="77"/>
      <c r="Z96" s="77"/>
      <c r="AA96" s="152"/>
    </row>
    <row r="97" spans="1:27" ht="12.75" hidden="1" customHeight="1" outlineLevel="1">
      <c r="A97" s="4"/>
      <c r="B97" s="29"/>
      <c r="C97" s="133">
        <f>Asset38</f>
        <v>0</v>
      </c>
      <c r="D97" s="4"/>
      <c r="E97" s="4"/>
      <c r="F97" s="82"/>
      <c r="G97" s="82"/>
      <c r="H97" s="77">
        <f>'RFM input'!H98-'RFM input'!H152</f>
        <v>0</v>
      </c>
      <c r="I97" s="77">
        <f>'RFM input'!I98-'RFM input'!I152</f>
        <v>0</v>
      </c>
      <c r="J97" s="77">
        <f>'RFM input'!J98-'RFM input'!J152</f>
        <v>0</v>
      </c>
      <c r="K97" s="77">
        <f>'RFM input'!K98-'RFM input'!K152</f>
        <v>0</v>
      </c>
      <c r="L97" s="77">
        <f>'RFM input'!L98-'RFM input'!L152</f>
        <v>0</v>
      </c>
      <c r="M97" s="77">
        <f>'RFM input'!M98-'RFM input'!M152</f>
        <v>0</v>
      </c>
      <c r="N97" s="77">
        <f>'RFM input'!N98-'RFM input'!N152</f>
        <v>0</v>
      </c>
      <c r="O97" s="77">
        <f>'RFM input'!O98-'RFM input'!O152</f>
        <v>0</v>
      </c>
      <c r="P97" s="77">
        <f>'RFM input'!P98-'RFM input'!P152</f>
        <v>0</v>
      </c>
      <c r="Q97" s="77">
        <f>'RFM input'!Q98-'RFM input'!Q152</f>
        <v>0</v>
      </c>
      <c r="R97" s="77"/>
      <c r="S97" s="77"/>
      <c r="T97" s="77"/>
      <c r="U97" s="77"/>
      <c r="V97" s="77"/>
      <c r="W97" s="77"/>
      <c r="X97" s="77"/>
      <c r="Y97" s="77"/>
      <c r="Z97" s="77"/>
      <c r="AA97" s="152"/>
    </row>
    <row r="98" spans="1:27" ht="12.75" hidden="1" customHeight="1" outlineLevel="1">
      <c r="A98" s="4"/>
      <c r="B98" s="29"/>
      <c r="C98" s="133">
        <f>Asset39</f>
        <v>0</v>
      </c>
      <c r="D98" s="4"/>
      <c r="E98" s="4"/>
      <c r="F98" s="82"/>
      <c r="G98" s="82"/>
      <c r="H98" s="77">
        <f>'RFM input'!H99-'RFM input'!H153</f>
        <v>0</v>
      </c>
      <c r="I98" s="77">
        <f>'RFM input'!I99-'RFM input'!I153</f>
        <v>0</v>
      </c>
      <c r="J98" s="77">
        <f>'RFM input'!J99-'RFM input'!J153</f>
        <v>0</v>
      </c>
      <c r="K98" s="77">
        <f>'RFM input'!K99-'RFM input'!K153</f>
        <v>0</v>
      </c>
      <c r="L98" s="77">
        <f>'RFM input'!L99-'RFM input'!L153</f>
        <v>0</v>
      </c>
      <c r="M98" s="77">
        <f>'RFM input'!M99-'RFM input'!M153</f>
        <v>0</v>
      </c>
      <c r="N98" s="77">
        <f>'RFM input'!N99-'RFM input'!N153</f>
        <v>0</v>
      </c>
      <c r="O98" s="77">
        <f>'RFM input'!O99-'RFM input'!O153</f>
        <v>0</v>
      </c>
      <c r="P98" s="77">
        <f>'RFM input'!P99-'RFM input'!P153</f>
        <v>0</v>
      </c>
      <c r="Q98" s="77">
        <f>'RFM input'!Q99-'RFM input'!Q153</f>
        <v>0</v>
      </c>
      <c r="R98" s="77"/>
      <c r="S98" s="77"/>
      <c r="T98" s="77"/>
      <c r="U98" s="77"/>
      <c r="V98" s="77"/>
      <c r="W98" s="77"/>
      <c r="X98" s="77"/>
      <c r="Y98" s="77"/>
      <c r="Z98" s="77"/>
      <c r="AA98" s="152"/>
    </row>
    <row r="99" spans="1:27" ht="12.75" hidden="1" customHeight="1" outlineLevel="1">
      <c r="A99" s="4"/>
      <c r="B99" s="29"/>
      <c r="C99" s="133">
        <f>Asset40</f>
        <v>0</v>
      </c>
      <c r="D99" s="4"/>
      <c r="E99" s="4"/>
      <c r="F99" s="82"/>
      <c r="G99" s="82"/>
      <c r="H99" s="77">
        <f>'RFM input'!H100-'RFM input'!H154</f>
        <v>0</v>
      </c>
      <c r="I99" s="77">
        <f>'RFM input'!I100-'RFM input'!I154</f>
        <v>0</v>
      </c>
      <c r="J99" s="77">
        <f>'RFM input'!J100-'RFM input'!J154</f>
        <v>0</v>
      </c>
      <c r="K99" s="77">
        <f>'RFM input'!K100-'RFM input'!K154</f>
        <v>0</v>
      </c>
      <c r="L99" s="77">
        <f>'RFM input'!L100-'RFM input'!L154</f>
        <v>0</v>
      </c>
      <c r="M99" s="77">
        <f>'RFM input'!M100-'RFM input'!M154</f>
        <v>0</v>
      </c>
      <c r="N99" s="77">
        <f>'RFM input'!N100-'RFM input'!N154</f>
        <v>0</v>
      </c>
      <c r="O99" s="77">
        <f>'RFM input'!O100-'RFM input'!O154</f>
        <v>0</v>
      </c>
      <c r="P99" s="77">
        <f>'RFM input'!P100-'RFM input'!P154</f>
        <v>0</v>
      </c>
      <c r="Q99" s="77">
        <f>'RFM input'!Q100-'RFM input'!Q154</f>
        <v>0</v>
      </c>
      <c r="R99" s="77"/>
      <c r="S99" s="77"/>
      <c r="T99" s="77"/>
      <c r="U99" s="77"/>
      <c r="V99" s="77"/>
      <c r="W99" s="77"/>
      <c r="X99" s="77"/>
      <c r="Y99" s="77"/>
      <c r="Z99" s="77"/>
      <c r="AA99" s="152"/>
    </row>
    <row r="100" spans="1:27" ht="12.75" hidden="1" customHeight="1" outlineLevel="1">
      <c r="A100" s="4"/>
      <c r="B100" s="29"/>
      <c r="C100" s="133">
        <f>Asset41</f>
        <v>0</v>
      </c>
      <c r="D100" s="4"/>
      <c r="E100" s="4"/>
      <c r="F100" s="82"/>
      <c r="G100" s="82"/>
      <c r="H100" s="77">
        <f>'RFM input'!H101-'RFM input'!H155</f>
        <v>0</v>
      </c>
      <c r="I100" s="77">
        <f>'RFM input'!I101-'RFM input'!I155</f>
        <v>0</v>
      </c>
      <c r="J100" s="77">
        <f>'RFM input'!J101-'RFM input'!J155</f>
        <v>0</v>
      </c>
      <c r="K100" s="77">
        <f>'RFM input'!K101-'RFM input'!K155</f>
        <v>0</v>
      </c>
      <c r="L100" s="77">
        <f>'RFM input'!L101-'RFM input'!L155</f>
        <v>0</v>
      </c>
      <c r="M100" s="77">
        <f>'RFM input'!M101-'RFM input'!M155</f>
        <v>0</v>
      </c>
      <c r="N100" s="77">
        <f>'RFM input'!N101-'RFM input'!N155</f>
        <v>0</v>
      </c>
      <c r="O100" s="77">
        <f>'RFM input'!O101-'RFM input'!O155</f>
        <v>0</v>
      </c>
      <c r="P100" s="77">
        <f>'RFM input'!P101-'RFM input'!P155</f>
        <v>0</v>
      </c>
      <c r="Q100" s="77">
        <f>'RFM input'!Q101-'RFM input'!Q155</f>
        <v>0</v>
      </c>
      <c r="R100" s="77"/>
      <c r="S100" s="77"/>
      <c r="T100" s="77"/>
      <c r="U100" s="77"/>
      <c r="V100" s="77"/>
      <c r="W100" s="77"/>
      <c r="X100" s="77"/>
      <c r="Y100" s="77"/>
      <c r="Z100" s="77"/>
      <c r="AA100" s="152"/>
    </row>
    <row r="101" spans="1:27" ht="12.75" hidden="1" customHeight="1" outlineLevel="1">
      <c r="A101" s="4"/>
      <c r="B101" s="29"/>
      <c r="C101" s="133">
        <f>Asset42</f>
        <v>0</v>
      </c>
      <c r="D101" s="4"/>
      <c r="E101" s="4"/>
      <c r="F101" s="82"/>
      <c r="G101" s="82"/>
      <c r="H101" s="77">
        <f>'RFM input'!H102-'RFM input'!H156</f>
        <v>0</v>
      </c>
      <c r="I101" s="77">
        <f>'RFM input'!I102-'RFM input'!I156</f>
        <v>0</v>
      </c>
      <c r="J101" s="77">
        <f>'RFM input'!J102-'RFM input'!J156</f>
        <v>0</v>
      </c>
      <c r="K101" s="77">
        <f>'RFM input'!K102-'RFM input'!K156</f>
        <v>0</v>
      </c>
      <c r="L101" s="77">
        <f>'RFM input'!L102-'RFM input'!L156</f>
        <v>0</v>
      </c>
      <c r="M101" s="77">
        <f>'RFM input'!M102-'RFM input'!M156</f>
        <v>0</v>
      </c>
      <c r="N101" s="77">
        <f>'RFM input'!N102-'RFM input'!N156</f>
        <v>0</v>
      </c>
      <c r="O101" s="77">
        <f>'RFM input'!O102-'RFM input'!O156</f>
        <v>0</v>
      </c>
      <c r="P101" s="77">
        <f>'RFM input'!P102-'RFM input'!P156</f>
        <v>0</v>
      </c>
      <c r="Q101" s="77">
        <f>'RFM input'!Q102-'RFM input'!Q156</f>
        <v>0</v>
      </c>
      <c r="R101" s="77"/>
      <c r="S101" s="77"/>
      <c r="T101" s="77"/>
      <c r="U101" s="77"/>
      <c r="V101" s="77"/>
      <c r="W101" s="77"/>
      <c r="X101" s="77"/>
      <c r="Y101" s="77"/>
      <c r="Z101" s="77"/>
      <c r="AA101" s="152"/>
    </row>
    <row r="102" spans="1:27" ht="12.75" hidden="1" customHeight="1" outlineLevel="1">
      <c r="A102" s="4"/>
      <c r="B102" s="29"/>
      <c r="C102" s="133">
        <f>Asset43</f>
        <v>0</v>
      </c>
      <c r="D102" s="4"/>
      <c r="E102" s="4"/>
      <c r="F102" s="82"/>
      <c r="G102" s="82"/>
      <c r="H102" s="77">
        <f>'RFM input'!H103-'RFM input'!H157</f>
        <v>0</v>
      </c>
      <c r="I102" s="77">
        <f>'RFM input'!I103-'RFM input'!I157</f>
        <v>0</v>
      </c>
      <c r="J102" s="77">
        <f>'RFM input'!J103-'RFM input'!J157</f>
        <v>0</v>
      </c>
      <c r="K102" s="77">
        <f>'RFM input'!K103-'RFM input'!K157</f>
        <v>0</v>
      </c>
      <c r="L102" s="77">
        <f>'RFM input'!L103-'RFM input'!L157</f>
        <v>0</v>
      </c>
      <c r="M102" s="77">
        <f>'RFM input'!M103-'RFM input'!M157</f>
        <v>0</v>
      </c>
      <c r="N102" s="77">
        <f>'RFM input'!N103-'RFM input'!N157</f>
        <v>0</v>
      </c>
      <c r="O102" s="77">
        <f>'RFM input'!O103-'RFM input'!O157</f>
        <v>0</v>
      </c>
      <c r="P102" s="77">
        <f>'RFM input'!P103-'RFM input'!P157</f>
        <v>0</v>
      </c>
      <c r="Q102" s="77">
        <f>'RFM input'!Q103-'RFM input'!Q157</f>
        <v>0</v>
      </c>
      <c r="R102" s="77"/>
      <c r="S102" s="77"/>
      <c r="T102" s="77"/>
      <c r="U102" s="77"/>
      <c r="V102" s="77"/>
      <c r="W102" s="77"/>
      <c r="X102" s="77"/>
      <c r="Y102" s="77"/>
      <c r="Z102" s="77"/>
      <c r="AA102" s="152"/>
    </row>
    <row r="103" spans="1:27" ht="12.75" hidden="1" customHeight="1" outlineLevel="1">
      <c r="A103" s="4"/>
      <c r="B103" s="29"/>
      <c r="C103" s="133">
        <f>Asset44</f>
        <v>0</v>
      </c>
      <c r="D103" s="4"/>
      <c r="E103" s="4"/>
      <c r="F103" s="82"/>
      <c r="G103" s="82"/>
      <c r="H103" s="77">
        <f>'RFM input'!H104-'RFM input'!H158</f>
        <v>0</v>
      </c>
      <c r="I103" s="77">
        <f>'RFM input'!I104-'RFM input'!I158</f>
        <v>0</v>
      </c>
      <c r="J103" s="77">
        <f>'RFM input'!J104-'RFM input'!J158</f>
        <v>0</v>
      </c>
      <c r="K103" s="77">
        <f>'RFM input'!K104-'RFM input'!K158</f>
        <v>0</v>
      </c>
      <c r="L103" s="77">
        <f>'RFM input'!L104-'RFM input'!L158</f>
        <v>0</v>
      </c>
      <c r="M103" s="77">
        <f>'RFM input'!M104-'RFM input'!M158</f>
        <v>0</v>
      </c>
      <c r="N103" s="77">
        <f>'RFM input'!N104-'RFM input'!N158</f>
        <v>0</v>
      </c>
      <c r="O103" s="77">
        <f>'RFM input'!O104-'RFM input'!O158</f>
        <v>0</v>
      </c>
      <c r="P103" s="77">
        <f>'RFM input'!P104-'RFM input'!P158</f>
        <v>0</v>
      </c>
      <c r="Q103" s="77">
        <f>'RFM input'!Q104-'RFM input'!Q158</f>
        <v>0</v>
      </c>
      <c r="R103" s="77"/>
      <c r="S103" s="77"/>
      <c r="T103" s="77"/>
      <c r="U103" s="77"/>
      <c r="V103" s="77"/>
      <c r="W103" s="77"/>
      <c r="X103" s="77"/>
      <c r="Y103" s="77"/>
      <c r="Z103" s="77"/>
      <c r="AA103" s="152"/>
    </row>
    <row r="104" spans="1:27" ht="12.75" hidden="1" customHeight="1" outlineLevel="1">
      <c r="A104" s="4"/>
      <c r="B104" s="29"/>
      <c r="C104" s="133">
        <f>Asset45</f>
        <v>0</v>
      </c>
      <c r="D104" s="4"/>
      <c r="E104" s="4"/>
      <c r="F104" s="82"/>
      <c r="G104" s="82"/>
      <c r="H104" s="77">
        <f>'RFM input'!H105-'RFM input'!H159</f>
        <v>0</v>
      </c>
      <c r="I104" s="77">
        <f>'RFM input'!I105-'RFM input'!I159</f>
        <v>0</v>
      </c>
      <c r="J104" s="77">
        <f>'RFM input'!J105-'RFM input'!J159</f>
        <v>0</v>
      </c>
      <c r="K104" s="77">
        <f>'RFM input'!K105-'RFM input'!K159</f>
        <v>0</v>
      </c>
      <c r="L104" s="77">
        <f>'RFM input'!L105-'RFM input'!L159</f>
        <v>0</v>
      </c>
      <c r="M104" s="77">
        <f>'RFM input'!M105-'RFM input'!M159</f>
        <v>0</v>
      </c>
      <c r="N104" s="77">
        <f>'RFM input'!N105-'RFM input'!N159</f>
        <v>0</v>
      </c>
      <c r="O104" s="77">
        <f>'RFM input'!O105-'RFM input'!O159</f>
        <v>0</v>
      </c>
      <c r="P104" s="77">
        <f>'RFM input'!P105-'RFM input'!P159</f>
        <v>0</v>
      </c>
      <c r="Q104" s="77">
        <f>'RFM input'!Q105-'RFM input'!Q159</f>
        <v>0</v>
      </c>
      <c r="R104" s="77"/>
      <c r="S104" s="77"/>
      <c r="T104" s="77"/>
      <c r="U104" s="77"/>
      <c r="V104" s="77"/>
      <c r="W104" s="77"/>
      <c r="X104" s="77"/>
      <c r="Y104" s="77"/>
      <c r="Z104" s="77"/>
      <c r="AA104" s="152"/>
    </row>
    <row r="105" spans="1:27" ht="12.75" hidden="1" customHeight="1" outlineLevel="1">
      <c r="A105" s="4"/>
      <c r="B105" s="29"/>
      <c r="C105" s="133">
        <f>Asset46</f>
        <v>0</v>
      </c>
      <c r="D105" s="4"/>
      <c r="E105" s="4"/>
      <c r="F105" s="82"/>
      <c r="G105" s="82"/>
      <c r="H105" s="77">
        <f>'RFM input'!H106-'RFM input'!H160</f>
        <v>0</v>
      </c>
      <c r="I105" s="77">
        <f>'RFM input'!I106-'RFM input'!I160</f>
        <v>0</v>
      </c>
      <c r="J105" s="77">
        <f>'RFM input'!J106-'RFM input'!J160</f>
        <v>0</v>
      </c>
      <c r="K105" s="77">
        <f>'RFM input'!K106-'RFM input'!K160</f>
        <v>0</v>
      </c>
      <c r="L105" s="77">
        <f>'RFM input'!L106-'RFM input'!L160</f>
        <v>0</v>
      </c>
      <c r="M105" s="77">
        <f>'RFM input'!M106-'RFM input'!M160</f>
        <v>0</v>
      </c>
      <c r="N105" s="77">
        <f>'RFM input'!N106-'RFM input'!N160</f>
        <v>0</v>
      </c>
      <c r="O105" s="77">
        <f>'RFM input'!O106-'RFM input'!O160</f>
        <v>0</v>
      </c>
      <c r="P105" s="77">
        <f>'RFM input'!P106-'RFM input'!P160</f>
        <v>0</v>
      </c>
      <c r="Q105" s="77">
        <f>'RFM input'!Q106-'RFM input'!Q160</f>
        <v>0</v>
      </c>
      <c r="R105" s="77"/>
      <c r="S105" s="77"/>
      <c r="T105" s="77"/>
      <c r="U105" s="77"/>
      <c r="V105" s="77"/>
      <c r="W105" s="77"/>
      <c r="X105" s="77"/>
      <c r="Y105" s="77"/>
      <c r="Z105" s="77"/>
      <c r="AA105" s="152"/>
    </row>
    <row r="106" spans="1:27" ht="12.75" hidden="1" customHeight="1" outlineLevel="1">
      <c r="A106" s="4"/>
      <c r="B106" s="29"/>
      <c r="C106" s="133">
        <f>Asset47</f>
        <v>0</v>
      </c>
      <c r="D106" s="4"/>
      <c r="E106" s="4"/>
      <c r="F106" s="82"/>
      <c r="G106" s="82"/>
      <c r="H106" s="77">
        <f>'RFM input'!H107-'RFM input'!H161</f>
        <v>0</v>
      </c>
      <c r="I106" s="77">
        <f>'RFM input'!I107-'RFM input'!I161</f>
        <v>0</v>
      </c>
      <c r="J106" s="77">
        <f>'RFM input'!J107-'RFM input'!J161</f>
        <v>0</v>
      </c>
      <c r="K106" s="77">
        <f>'RFM input'!K107-'RFM input'!K161</f>
        <v>0</v>
      </c>
      <c r="L106" s="77">
        <f>'RFM input'!L107-'RFM input'!L161</f>
        <v>0</v>
      </c>
      <c r="M106" s="77">
        <f>'RFM input'!M107-'RFM input'!M161</f>
        <v>0</v>
      </c>
      <c r="N106" s="77">
        <f>'RFM input'!N107-'RFM input'!N161</f>
        <v>0</v>
      </c>
      <c r="O106" s="77">
        <f>'RFM input'!O107-'RFM input'!O161</f>
        <v>0</v>
      </c>
      <c r="P106" s="77">
        <f>'RFM input'!P107-'RFM input'!P161</f>
        <v>0</v>
      </c>
      <c r="Q106" s="77">
        <f>'RFM input'!Q107-'RFM input'!Q161</f>
        <v>0</v>
      </c>
      <c r="R106" s="77"/>
      <c r="S106" s="77"/>
      <c r="T106" s="77"/>
      <c r="U106" s="77"/>
      <c r="V106" s="77"/>
      <c r="W106" s="77"/>
      <c r="X106" s="77"/>
      <c r="Y106" s="77"/>
      <c r="Z106" s="77"/>
      <c r="AA106" s="152"/>
    </row>
    <row r="107" spans="1:27" ht="12.75" hidden="1" customHeight="1" outlineLevel="1">
      <c r="A107" s="4"/>
      <c r="B107" s="29"/>
      <c r="C107" s="133">
        <f>Asset48</f>
        <v>0</v>
      </c>
      <c r="D107" s="4"/>
      <c r="E107" s="4"/>
      <c r="F107" s="82"/>
      <c r="G107" s="82"/>
      <c r="H107" s="77">
        <f>'RFM input'!H108-'RFM input'!H162</f>
        <v>0</v>
      </c>
      <c r="I107" s="77">
        <f>'RFM input'!I108-'RFM input'!I162</f>
        <v>0</v>
      </c>
      <c r="J107" s="77">
        <f>'RFM input'!J108-'RFM input'!J162</f>
        <v>0</v>
      </c>
      <c r="K107" s="77">
        <f>'RFM input'!K108-'RFM input'!K162</f>
        <v>0</v>
      </c>
      <c r="L107" s="77">
        <f>'RFM input'!L108-'RFM input'!L162</f>
        <v>0</v>
      </c>
      <c r="M107" s="77">
        <f>'RFM input'!M108-'RFM input'!M162</f>
        <v>0</v>
      </c>
      <c r="N107" s="77">
        <f>'RFM input'!N108-'RFM input'!N162</f>
        <v>0</v>
      </c>
      <c r="O107" s="77">
        <f>'RFM input'!O108-'RFM input'!O162</f>
        <v>0</v>
      </c>
      <c r="P107" s="77">
        <f>'RFM input'!P108-'RFM input'!P162</f>
        <v>0</v>
      </c>
      <c r="Q107" s="77">
        <f>'RFM input'!Q108-'RFM input'!Q162</f>
        <v>0</v>
      </c>
      <c r="R107" s="77"/>
      <c r="S107" s="77"/>
      <c r="T107" s="77"/>
      <c r="U107" s="77"/>
      <c r="V107" s="77"/>
      <c r="W107" s="77"/>
      <c r="X107" s="77"/>
      <c r="Y107" s="77"/>
      <c r="Z107" s="77"/>
      <c r="AA107" s="152"/>
    </row>
    <row r="108" spans="1:27" ht="12.75" hidden="1" customHeight="1" outlineLevel="1">
      <c r="A108" s="4"/>
      <c r="B108" s="29"/>
      <c r="C108" s="133">
        <f>Asset49</f>
        <v>0</v>
      </c>
      <c r="D108" s="4"/>
      <c r="E108" s="4"/>
      <c r="F108" s="82"/>
      <c r="G108" s="82"/>
      <c r="H108" s="77">
        <f>'RFM input'!H109-'RFM input'!H163</f>
        <v>0</v>
      </c>
      <c r="I108" s="77">
        <f>'RFM input'!I109-'RFM input'!I163</f>
        <v>0</v>
      </c>
      <c r="J108" s="77">
        <f>'RFM input'!J109-'RFM input'!J163</f>
        <v>0</v>
      </c>
      <c r="K108" s="77">
        <f>'RFM input'!K109-'RFM input'!K163</f>
        <v>0</v>
      </c>
      <c r="L108" s="77">
        <f>'RFM input'!L109-'RFM input'!L163</f>
        <v>0</v>
      </c>
      <c r="M108" s="77">
        <f>'RFM input'!M109-'RFM input'!M163</f>
        <v>0</v>
      </c>
      <c r="N108" s="77">
        <f>'RFM input'!N109-'RFM input'!N163</f>
        <v>0</v>
      </c>
      <c r="O108" s="77">
        <f>'RFM input'!O109-'RFM input'!O163</f>
        <v>0</v>
      </c>
      <c r="P108" s="77">
        <f>'RFM input'!P109-'RFM input'!P163</f>
        <v>0</v>
      </c>
      <c r="Q108" s="77">
        <f>'RFM input'!Q109-'RFM input'!Q163</f>
        <v>0</v>
      </c>
      <c r="R108" s="77"/>
      <c r="S108" s="77"/>
      <c r="T108" s="77"/>
      <c r="U108" s="77"/>
      <c r="V108" s="77"/>
      <c r="W108" s="77"/>
      <c r="X108" s="77"/>
      <c r="Y108" s="77"/>
      <c r="Z108" s="77"/>
      <c r="AA108" s="152"/>
    </row>
    <row r="109" spans="1:27" ht="12.75" hidden="1" customHeight="1" outlineLevel="1">
      <c r="A109" s="4"/>
      <c r="B109" s="29"/>
      <c r="C109" s="133">
        <f>Asset50</f>
        <v>0</v>
      </c>
      <c r="D109" s="4"/>
      <c r="E109" s="4"/>
      <c r="F109" s="82"/>
      <c r="G109" s="82"/>
      <c r="H109" s="77">
        <f>'RFM input'!H110-'RFM input'!H164</f>
        <v>0</v>
      </c>
      <c r="I109" s="77">
        <f>'RFM input'!I110-'RFM input'!I164</f>
        <v>0</v>
      </c>
      <c r="J109" s="77">
        <f>'RFM input'!J110-'RFM input'!J164</f>
        <v>0</v>
      </c>
      <c r="K109" s="77">
        <f>'RFM input'!K110-'RFM input'!K164</f>
        <v>0</v>
      </c>
      <c r="L109" s="77">
        <f>'RFM input'!L110-'RFM input'!L164</f>
        <v>0</v>
      </c>
      <c r="M109" s="77">
        <f>'RFM input'!M110-'RFM input'!M164</f>
        <v>0</v>
      </c>
      <c r="N109" s="77">
        <f>'RFM input'!N110-'RFM input'!N164</f>
        <v>0</v>
      </c>
      <c r="O109" s="77">
        <f>'RFM input'!O110-'RFM input'!O164</f>
        <v>0</v>
      </c>
      <c r="P109" s="77">
        <f>'RFM input'!P110-'RFM input'!P164</f>
        <v>0</v>
      </c>
      <c r="Q109" s="77">
        <f>'RFM input'!Q110-'RFM input'!Q164</f>
        <v>0</v>
      </c>
      <c r="R109" s="77"/>
      <c r="S109" s="77"/>
      <c r="T109" s="77"/>
      <c r="U109" s="77"/>
      <c r="V109" s="77"/>
      <c r="W109" s="77"/>
      <c r="X109" s="77"/>
      <c r="Y109" s="77"/>
      <c r="Z109" s="77"/>
      <c r="AA109" s="152"/>
    </row>
    <row r="110" spans="1:27" collapsed="1">
      <c r="A110" s="4"/>
      <c r="B110" s="8"/>
      <c r="C110" s="4"/>
      <c r="D110" s="4"/>
      <c r="E110" s="4"/>
      <c r="F110" s="82"/>
      <c r="G110" s="82"/>
      <c r="H110" s="77"/>
      <c r="I110" s="77"/>
      <c r="J110" s="77"/>
      <c r="K110" s="77"/>
      <c r="L110" s="77"/>
      <c r="M110" s="77"/>
      <c r="N110" s="77"/>
      <c r="O110" s="77"/>
      <c r="P110" s="77"/>
      <c r="Q110" s="77"/>
      <c r="R110" s="77"/>
      <c r="S110" s="77"/>
      <c r="T110" s="77"/>
      <c r="U110" s="77"/>
      <c r="V110" s="77"/>
      <c r="W110" s="77"/>
      <c r="X110" s="77"/>
      <c r="Y110" s="77"/>
      <c r="Z110" s="77"/>
      <c r="AA110" s="152"/>
    </row>
    <row r="111" spans="1:27">
      <c r="A111" s="3"/>
      <c r="B111" s="3" t="s">
        <v>37</v>
      </c>
      <c r="C111" s="3"/>
      <c r="D111" s="3"/>
      <c r="E111" s="3"/>
      <c r="F111" s="14"/>
      <c r="G111" s="14"/>
      <c r="H111" s="1407">
        <f>H124+H137+H150+H163+H176+H189+H202+H215+H228+H241+H254+H267+H280+H293+H306+H319+H332+H345+H358+H371+H384+H397+H410+H423+H436+H449+H462+H475+H488+H501+H514+H527+H540+H553+H566+H579+H592+H605+H618+H631+H644+H657+H670+H683+H696+H709+H722+H735+H748+H761</f>
        <v>-17.753168967223665</v>
      </c>
      <c r="I111" s="1407">
        <f t="shared" ref="I111:Q111" si="3">I124+I137+I150+I163+I176+I189+I202+I215+I228+I241+I254+I267+I280+I293+I306+I319+I332+I345+I358+I371+I384+I397+I410+I423+I436+I449+I462+I475+I488+I501+I514+I527+I540+I553+I566+I579+I592+I605+I618+I631+I644+I657+I670+I683+I696+I709+I722+I735+I748+I761</f>
        <v>-19.068169068344513</v>
      </c>
      <c r="J111" s="1407">
        <f t="shared" si="3"/>
        <v>-20.598000401814915</v>
      </c>
      <c r="K111" s="1407">
        <f t="shared" si="3"/>
        <v>-21.692433798755999</v>
      </c>
      <c r="L111" s="1407">
        <f t="shared" si="3"/>
        <v>-21.946136261763709</v>
      </c>
      <c r="M111" s="1407">
        <f t="shared" si="3"/>
        <v>-23.325598849295332</v>
      </c>
      <c r="N111" s="1407">
        <f t="shared" si="3"/>
        <v>-24.958985753214197</v>
      </c>
      <c r="O111" s="1407">
        <f t="shared" si="3"/>
        <v>0</v>
      </c>
      <c r="P111" s="1407">
        <f t="shared" si="3"/>
        <v>0</v>
      </c>
      <c r="Q111" s="1407">
        <f t="shared" si="3"/>
        <v>0</v>
      </c>
      <c r="R111" s="1362"/>
      <c r="S111" s="109"/>
      <c r="T111" s="109"/>
      <c r="U111" s="109"/>
      <c r="V111" s="109"/>
      <c r="W111" s="109"/>
      <c r="X111" s="109"/>
      <c r="Y111" s="109"/>
      <c r="Z111" s="109"/>
      <c r="AA111" s="152"/>
    </row>
    <row r="112" spans="1:27" hidden="1" outlineLevel="2">
      <c r="A112" s="3"/>
      <c r="B112" s="135" t="str">
        <f>Asset1</f>
        <v>Mains</v>
      </c>
      <c r="C112" s="19"/>
      <c r="D112" s="234" t="s">
        <v>119</v>
      </c>
      <c r="E112" s="19"/>
      <c r="F112" s="19"/>
      <c r="G112" s="19"/>
      <c r="H112" s="21">
        <f>IF(H$3&gt;A1taxremlife,A1taxvalue-SUM($F112:F112),IF(A1taxremlife="N/A","n/a",A1taxvalue/A1taxremlife))</f>
        <v>9.8602118876774085</v>
      </c>
      <c r="I112" s="21">
        <f>IF(I$3&gt;A1taxremlife,A1taxvalue-SUM($F112:H112),IF(A1taxremlife="N/A","n/a",A1taxvalue/A1taxremlife))</f>
        <v>9.8602118876774085</v>
      </c>
      <c r="J112" s="21">
        <f>IF(J$3&gt;A1taxremlife,A1taxvalue-SUM($F112:I112),IF(A1taxremlife="N/A","n/a",A1taxvalue/A1taxremlife))</f>
        <v>9.8602118876774085</v>
      </c>
      <c r="K112" s="21">
        <f>IF(K$3&gt;A1taxremlife,A1taxvalue-SUM($F112:J112),IF(A1taxremlife="N/A","n/a",A1taxvalue/A1taxremlife))</f>
        <v>9.8602118876774085</v>
      </c>
      <c r="L112" s="21">
        <f>IF(L$3&gt;A1taxremlife,A1taxvalue-SUM($F112:K112),IF(A1taxremlife="N/A","n/a",A1taxvalue/A1taxremlife))</f>
        <v>9.8602118876774085</v>
      </c>
      <c r="M112" s="21">
        <f>IF(M$3&gt;A1taxremlife,A1taxvalue-SUM($F112:L112),IF(A1taxremlife="N/A","n/a",A1taxvalue/A1taxremlife))</f>
        <v>9.8602118876774085</v>
      </c>
      <c r="N112" s="21">
        <f>IF(N$3&gt;A1taxremlife,A1taxvalue-SUM($F112:M112),IF(A1taxremlife="N/A","n/a",A1taxvalue/A1taxremlife))</f>
        <v>9.8602118876774085</v>
      </c>
      <c r="O112" s="21">
        <f>IF(O$3&gt;A1taxremlife,A1taxvalue-SUM($F112:N112),IF(A1taxremlife="N/A","n/a",A1taxvalue/A1taxremlife))</f>
        <v>9.8602118876774085</v>
      </c>
      <c r="P112" s="21">
        <f>IF(P$3&gt;A1taxremlife,A1taxvalue-SUM($F112:O112),IF(A1taxremlife="N/A","n/a",A1taxvalue/A1taxremlife))</f>
        <v>9.8602118876774085</v>
      </c>
      <c r="Q112" s="21">
        <f>IF(Q$3&gt;A1taxremlife,A1taxvalue-SUM($F112:P112),IF(A1taxremlife="N/A","n/a",A1taxvalue/A1taxremlife))</f>
        <v>9.8602118876774085</v>
      </c>
      <c r="R112" s="21"/>
      <c r="S112" s="74"/>
      <c r="T112" s="74"/>
      <c r="U112" s="74"/>
      <c r="V112" s="74"/>
      <c r="W112" s="74"/>
      <c r="X112" s="74"/>
      <c r="Y112" s="74"/>
      <c r="Z112" s="74"/>
      <c r="AA112" s="152"/>
    </row>
    <row r="113" spans="1:27" ht="12.75" hidden="1" customHeight="1" outlineLevel="2">
      <c r="A113" s="3"/>
      <c r="B113" s="16"/>
      <c r="C113" s="15"/>
      <c r="D113" s="1593" t="s">
        <v>43</v>
      </c>
      <c r="E113" s="61"/>
      <c r="F113" s="17"/>
      <c r="G113" s="17"/>
      <c r="H113" s="1413"/>
      <c r="I113" s="72"/>
      <c r="J113" s="18"/>
      <c r="K113" s="18"/>
      <c r="L113" s="18"/>
      <c r="M113" s="18"/>
      <c r="N113" s="18"/>
      <c r="O113" s="18"/>
      <c r="P113" s="18"/>
      <c r="Q113" s="18"/>
      <c r="R113" s="18"/>
      <c r="S113" s="74"/>
      <c r="T113" s="74"/>
      <c r="U113" s="74"/>
      <c r="V113" s="74"/>
      <c r="W113" s="74"/>
      <c r="X113" s="74"/>
      <c r="Y113" s="74"/>
      <c r="Z113" s="74"/>
      <c r="AA113" s="152"/>
    </row>
    <row r="114" spans="1:27" hidden="1" outlineLevel="2">
      <c r="A114" s="3"/>
      <c r="B114" s="16"/>
      <c r="C114" s="15"/>
      <c r="D114" s="1594"/>
      <c r="E114" s="61">
        <v>1</v>
      </c>
      <c r="F114" s="17"/>
      <c r="G114" s="17"/>
      <c r="H114" s="1414"/>
      <c r="I114" s="1415">
        <f>IF(A1taxstdlife="n/a","n/a",IF(I$3&gt;(A1taxstdlife+$E114),('RFM input'!$H$61-'RFM input'!$H$115)-SUM($H114:H114),('RFM input'!$H$61-'RFM input'!$H$115)/A1taxstdlife))</f>
        <v>0.78290142225163617</v>
      </c>
      <c r="J114" s="18">
        <f>IF(A1taxstdlife="n/a","n/a",IF(J$3&gt;(A1taxstdlife+$E114),('RFM input'!$H$61-'RFM input'!$H$115)-SUM($H114:I114),('RFM input'!$H$61-'RFM input'!$H$115)/A1taxstdlife))</f>
        <v>0.78290142225163617</v>
      </c>
      <c r="K114" s="18">
        <f>IF(A1taxstdlife="n/a","n/a",IF(K$3&gt;(A1taxstdlife+$E114),('RFM input'!$H$61-'RFM input'!$H$115)-SUM($H114:J114),('RFM input'!$H$61-'RFM input'!$H$115)/A1taxstdlife))</f>
        <v>0.78290142225163617</v>
      </c>
      <c r="L114" s="18">
        <f>IF(A1taxstdlife="n/a","n/a",IF(L$3&gt;(A1taxstdlife+$E114),('RFM input'!$H$61-'RFM input'!$H$115)-SUM($H114:K114),('RFM input'!$H$61-'RFM input'!$H$115)/A1taxstdlife))</f>
        <v>0.78290142225163617</v>
      </c>
      <c r="M114" s="18">
        <f>IF(A1taxstdlife="n/a","n/a",IF(M$3&gt;(A1taxstdlife+$E114),('RFM input'!$H$61-'RFM input'!$H$115)-SUM($H114:L114),('RFM input'!$H$61-'RFM input'!$H$115)/A1taxstdlife))</f>
        <v>0.78290142225163617</v>
      </c>
      <c r="N114" s="18">
        <f>IF(A1taxstdlife="n/a","n/a",IF(N$3&gt;(A1taxstdlife+$E114),('RFM input'!$H$61-'RFM input'!$H$115)-SUM($H114:M114),('RFM input'!$H$61-'RFM input'!$H$115)/A1taxstdlife))</f>
        <v>0.78290142225163617</v>
      </c>
      <c r="O114" s="18">
        <f>IF(A1taxstdlife="n/a","n/a",IF(O$3&gt;(A1taxstdlife+$E114),('RFM input'!$H$61-'RFM input'!$H$115)-SUM($H114:N114),('RFM input'!$H$61-'RFM input'!$H$115)/A1taxstdlife))</f>
        <v>0.78290142225163617</v>
      </c>
      <c r="P114" s="18">
        <f>IF(A1taxstdlife="n/a","n/a",IF(P$3&gt;(A1taxstdlife+$E114),('RFM input'!$H$61-'RFM input'!$H$115)-SUM($H114:O114),('RFM input'!$H$61-'RFM input'!$H$115)/A1taxstdlife))</f>
        <v>0.78290142225163617</v>
      </c>
      <c r="Q114" s="18">
        <f>IF(A1taxstdlife="n/a","n/a",IF(Q$3&gt;(A1taxstdlife+$E114),('RFM input'!$H$61-'RFM input'!$H$115)-SUM($H114:P114),('RFM input'!$H$61-'RFM input'!$H$115)/A1taxstdlife))</f>
        <v>0.78290142225163617</v>
      </c>
      <c r="R114" s="18"/>
      <c r="S114" s="74"/>
      <c r="T114" s="74"/>
      <c r="U114" s="74"/>
      <c r="V114" s="74"/>
      <c r="W114" s="74"/>
      <c r="X114" s="74"/>
      <c r="Y114" s="74"/>
      <c r="Z114" s="74"/>
      <c r="AA114" s="152"/>
    </row>
    <row r="115" spans="1:27" hidden="1" outlineLevel="2">
      <c r="A115" s="3"/>
      <c r="B115" s="16"/>
      <c r="C115" s="15"/>
      <c r="D115" s="1594"/>
      <c r="E115" s="61">
        <v>2</v>
      </c>
      <c r="F115" s="17"/>
      <c r="G115" s="17"/>
      <c r="H115" s="1414"/>
      <c r="I115" s="1414"/>
      <c r="J115" s="18">
        <f>IF(A1taxstdlife="n/a","n/a",IF(J$3&gt;(A1taxstdlife+$E115),('RFM input'!$I$61-'RFM input'!$I$115)-SUM($I115:I115),('RFM input'!$I$61-'RFM input'!$I$115)/A1taxstdlife))</f>
        <v>0.96300442501211925</v>
      </c>
      <c r="K115" s="18">
        <f>IF(A1taxstdlife="n/a","n/a",IF(K$3&gt;(A1taxstdlife+$E115),('RFM input'!$I$61-'RFM input'!$I$115)-SUM($I115:J115),('RFM input'!$I$61-'RFM input'!$I$115)/A1taxstdlife))</f>
        <v>0.96300442501211925</v>
      </c>
      <c r="L115" s="18">
        <f>IF(A1taxstdlife="n/a","n/a",IF(L$3&gt;(A1taxstdlife+$E115),('RFM input'!$I$61-'RFM input'!$I$115)-SUM($I115:K115),('RFM input'!$I$61-'RFM input'!$I$115)/A1taxstdlife))</f>
        <v>0.96300442501211925</v>
      </c>
      <c r="M115" s="18">
        <f>IF(A1taxstdlife="n/a","n/a",IF(M$3&gt;(A1taxstdlife+$E115),('RFM input'!$I$61-'RFM input'!$I$115)-SUM($I115:L115),('RFM input'!$I$61-'RFM input'!$I$115)/A1taxstdlife))</f>
        <v>0.96300442501211925</v>
      </c>
      <c r="N115" s="18">
        <f>IF(A1taxstdlife="n/a","n/a",IF(N$3&gt;(A1taxstdlife+$E115),('RFM input'!$I$61-'RFM input'!$I$115)-SUM($I115:M115),('RFM input'!$I$61-'RFM input'!$I$115)/A1taxstdlife))</f>
        <v>0.96300442501211925</v>
      </c>
      <c r="O115" s="18">
        <f>IF(A1taxstdlife="n/a","n/a",IF(O$3&gt;(A1taxstdlife+$E115),('RFM input'!$I$61-'RFM input'!$I$115)-SUM($I115:N115),('RFM input'!$I$61-'RFM input'!$I$115)/A1taxstdlife))</f>
        <v>0.96300442501211925</v>
      </c>
      <c r="P115" s="18">
        <f>IF(A1taxstdlife="n/a","n/a",IF(P$3&gt;(A1taxstdlife+$E115),('RFM input'!$I$61-'RFM input'!$I$115)-SUM($I115:O115),('RFM input'!$I$61-'RFM input'!$I$115)/A1taxstdlife))</f>
        <v>0.96300442501211925</v>
      </c>
      <c r="Q115" s="18">
        <f>IF(A1taxstdlife="n/a","n/a",IF(Q$3&gt;(A1taxstdlife+$E115),('RFM input'!$I$61-'RFM input'!$I$115)-SUM($I115:P115),('RFM input'!$I$61-'RFM input'!$I$115)/A1taxstdlife))</f>
        <v>0.96300442501211925</v>
      </c>
      <c r="R115" s="18"/>
      <c r="S115" s="74"/>
      <c r="T115" s="74"/>
      <c r="U115" s="74"/>
      <c r="V115" s="74"/>
      <c r="W115" s="74"/>
      <c r="X115" s="74"/>
      <c r="Y115" s="74"/>
      <c r="Z115" s="74"/>
      <c r="AA115" s="152"/>
    </row>
    <row r="116" spans="1:27" hidden="1" outlineLevel="2">
      <c r="A116" s="3"/>
      <c r="B116" s="16"/>
      <c r="C116" s="15"/>
      <c r="D116" s="1594"/>
      <c r="E116" s="61">
        <v>3</v>
      </c>
      <c r="F116" s="17"/>
      <c r="G116" s="17"/>
      <c r="H116" s="1414"/>
      <c r="I116" s="1414"/>
      <c r="J116" s="116"/>
      <c r="K116" s="18">
        <f>IF(A1taxstdlife="n/a","n/a",IF(K$3&gt;(A1taxstdlife+$E116),('RFM input'!$J$61-'RFM input'!$J$115)-SUM($J116:J116),('RFM input'!$J$61-'RFM input'!$J$115)/A1taxstdlife))</f>
        <v>1.1897215485605295</v>
      </c>
      <c r="L116" s="18">
        <f>IF(A1taxstdlife="n/a","n/a",IF(L$3&gt;(A1taxstdlife+$E116),('RFM input'!$J$61-'RFM input'!$J$115)-SUM($J116:K116),('RFM input'!$J$61-'RFM input'!$J$115)/A1taxstdlife))</f>
        <v>1.1897215485605295</v>
      </c>
      <c r="M116" s="18">
        <f>IF(A1taxstdlife="n/a","n/a",IF(M$3&gt;(A1taxstdlife+$E116),('RFM input'!$J$61-'RFM input'!$J$115)-SUM($J116:L116),('RFM input'!$J$61-'RFM input'!$J$115)/A1taxstdlife))</f>
        <v>1.1897215485605295</v>
      </c>
      <c r="N116" s="18">
        <f>IF(A1taxstdlife="n/a","n/a",IF(N$3&gt;(A1taxstdlife+$E116),('RFM input'!$J$61-'RFM input'!$J$115)-SUM($J116:M116),('RFM input'!$J$61-'RFM input'!$J$115)/A1taxstdlife))</f>
        <v>1.1897215485605295</v>
      </c>
      <c r="O116" s="18">
        <f>IF(A1taxstdlife="n/a","n/a",IF(O$3&gt;(A1taxstdlife+$E116),('RFM input'!$J$61-'RFM input'!$J$115)-SUM($J116:N116),('RFM input'!$J$61-'RFM input'!$J$115)/A1taxstdlife))</f>
        <v>1.1897215485605295</v>
      </c>
      <c r="P116" s="18">
        <f>IF(A1taxstdlife="n/a","n/a",IF(P$3&gt;(A1taxstdlife+$E116),('RFM input'!$J$61-'RFM input'!$J$115)-SUM($J116:O116),('RFM input'!$J$61-'RFM input'!$J$115)/A1taxstdlife))</f>
        <v>1.1897215485605295</v>
      </c>
      <c r="Q116" s="18">
        <f>IF(A1taxstdlife="n/a","n/a",IF(Q$3&gt;(A1taxstdlife+$E116),('RFM input'!$J$61-'RFM input'!$J$115)-SUM($J116:P116),('RFM input'!$J$61-'RFM input'!$J$115)/A1taxstdlife))</f>
        <v>1.1897215485605295</v>
      </c>
      <c r="R116" s="18"/>
      <c r="S116" s="74"/>
      <c r="T116" s="74"/>
      <c r="U116" s="74"/>
      <c r="V116" s="74"/>
      <c r="W116" s="74"/>
      <c r="X116" s="74"/>
      <c r="Y116" s="74"/>
      <c r="Z116" s="74"/>
      <c r="AA116" s="152"/>
    </row>
    <row r="117" spans="1:27" hidden="1" outlineLevel="2">
      <c r="A117" s="3"/>
      <c r="B117" s="16"/>
      <c r="C117" s="15"/>
      <c r="D117" s="1594"/>
      <c r="E117" s="61">
        <v>4</v>
      </c>
      <c r="F117" s="17"/>
      <c r="G117" s="17"/>
      <c r="H117" s="1414"/>
      <c r="I117" s="1414"/>
      <c r="J117" s="115"/>
      <c r="K117" s="116"/>
      <c r="L117" s="18">
        <f>IF(A1taxstdlife="n/a","n/a",IF(L$3&gt;(A1taxstdlife+$E117),('RFM input'!$K$61-'RFM input'!$K$115)-SUM($K117:K117),('RFM input'!$K$61-'RFM input'!$K$115)/A1taxstdlife))</f>
        <v>0.95284138567289534</v>
      </c>
      <c r="M117" s="18">
        <f>IF(A1taxstdlife="n/a","n/a",IF(M$3&gt;(A1taxstdlife+$E117),('RFM input'!$K$61-'RFM input'!$K$115)-SUM($K117:L117),('RFM input'!$K$61-'RFM input'!$K$115)/A1taxstdlife))</f>
        <v>0.95284138567289534</v>
      </c>
      <c r="N117" s="18">
        <f>IF(A1taxstdlife="n/a","n/a",IF(N$3&gt;(A1taxstdlife+$E117),('RFM input'!$K$61-'RFM input'!$K$115)-SUM($K117:M117),('RFM input'!$K$61-'RFM input'!$K$115)/A1taxstdlife))</f>
        <v>0.95284138567289534</v>
      </c>
      <c r="O117" s="18">
        <f>IF(A1taxstdlife="n/a","n/a",IF(O$3&gt;(A1taxstdlife+$E117),('RFM input'!$K$61-'RFM input'!$K$115)-SUM($K117:N117),('RFM input'!$K$61-'RFM input'!$K$115)/A1taxstdlife))</f>
        <v>0.95284138567289534</v>
      </c>
      <c r="P117" s="18">
        <f>IF(A1taxstdlife="n/a","n/a",IF(P$3&gt;(A1taxstdlife+$E117),('RFM input'!$K$61-'RFM input'!$K$115)-SUM($K117:O117),('RFM input'!$K$61-'RFM input'!$K$115)/A1taxstdlife))</f>
        <v>0.95284138567289534</v>
      </c>
      <c r="Q117" s="18">
        <f>IF(A1taxstdlife="n/a","n/a",IF(Q$3&gt;(A1taxstdlife+$E117),('RFM input'!$K$61-'RFM input'!$K$115)-SUM($K117:P117),('RFM input'!$K$61-'RFM input'!$K$115)/A1taxstdlife))</f>
        <v>0.95284138567289534</v>
      </c>
      <c r="R117" s="18"/>
      <c r="S117" s="74"/>
      <c r="T117" s="74"/>
      <c r="U117" s="74"/>
      <c r="V117" s="74"/>
      <c r="W117" s="74"/>
      <c r="X117" s="74"/>
      <c r="Y117" s="74"/>
      <c r="Z117" s="74"/>
      <c r="AA117" s="152"/>
    </row>
    <row r="118" spans="1:27" hidden="1" outlineLevel="2">
      <c r="A118" s="3"/>
      <c r="B118" s="16"/>
      <c r="C118" s="15"/>
      <c r="D118" s="1594"/>
      <c r="E118" s="61">
        <v>5</v>
      </c>
      <c r="F118" s="17"/>
      <c r="G118" s="17"/>
      <c r="H118" s="1414"/>
      <c r="I118" s="1414"/>
      <c r="J118" s="115"/>
      <c r="K118" s="115"/>
      <c r="L118" s="116"/>
      <c r="M118" s="18">
        <f>IF(A1taxstdlife="n/a","n/a",IF(M$3&gt;(A1taxstdlife+$E118),('RFM input'!$L$61-'RFM input'!$L$115)-SUM($L118:L118),('RFM input'!$L$61-'RFM input'!$L$115)/A1taxstdlife))</f>
        <v>0.5654082177692743</v>
      </c>
      <c r="N118" s="18">
        <f>IF(A1taxstdlife="n/a","n/a",IF(N$3&gt;(A1taxstdlife+$E118),('RFM input'!$L$61-'RFM input'!$L$115)-SUM($L118:M118),('RFM input'!$L$61-'RFM input'!$L$115)/A1taxstdlife))</f>
        <v>0.5654082177692743</v>
      </c>
      <c r="O118" s="18">
        <f>IF(A1taxstdlife="n/a","n/a",IF(O$3&gt;(A1taxstdlife+$E118),('RFM input'!$L$61-'RFM input'!$L$115)-SUM($L118:N118),('RFM input'!$L$61-'RFM input'!$L$115)/A1taxstdlife))</f>
        <v>0.5654082177692743</v>
      </c>
      <c r="P118" s="18">
        <f>IF(A1taxstdlife="n/a","n/a",IF(P$3&gt;(A1taxstdlife+$E118),('RFM input'!$L$61-'RFM input'!$L$115)-SUM($L118:O118),('RFM input'!$L$61-'RFM input'!$L$115)/A1taxstdlife))</f>
        <v>0.5654082177692743</v>
      </c>
      <c r="Q118" s="18">
        <f>IF(A1taxstdlife="n/a","n/a",IF(Q$3&gt;(A1taxstdlife+$E118),('RFM input'!$L$61-'RFM input'!$L$115)-SUM($L118:P118),('RFM input'!$L$61-'RFM input'!$L$115)/A1taxstdlife))</f>
        <v>0.5654082177692743</v>
      </c>
      <c r="R118" s="18"/>
      <c r="S118" s="74"/>
      <c r="T118" s="74"/>
      <c r="U118" s="74"/>
      <c r="V118" s="74"/>
      <c r="W118" s="74"/>
      <c r="X118" s="74"/>
      <c r="Y118" s="74"/>
      <c r="Z118" s="74"/>
      <c r="AA118" s="152"/>
    </row>
    <row r="119" spans="1:27" hidden="1" outlineLevel="2">
      <c r="A119" s="3"/>
      <c r="B119" s="16"/>
      <c r="C119" s="15"/>
      <c r="D119" s="1594"/>
      <c r="E119" s="61">
        <v>6</v>
      </c>
      <c r="F119" s="17"/>
      <c r="G119" s="17"/>
      <c r="H119" s="1414"/>
      <c r="I119" s="1414"/>
      <c r="J119" s="115"/>
      <c r="K119" s="115"/>
      <c r="L119" s="115"/>
      <c r="M119" s="116"/>
      <c r="N119" s="18">
        <f>IF(A1taxstdlife="n/a","n/a",IF(N$3&gt;(A1taxstdlife+$E119),('RFM input'!$M$61-'RFM input'!$M$115)-SUM($M119:M119),('RFM input'!$M$61-'RFM input'!$M$115)/A1taxstdlife))</f>
        <v>0.86527690790497636</v>
      </c>
      <c r="O119" s="18">
        <f>IF(A1taxstdlife="n/a","n/a",IF(O$3&gt;(A1taxstdlife+$E119),('RFM input'!$M$61-'RFM input'!$M$115)-SUM($M119:N119),('RFM input'!$M$61-'RFM input'!$M$115)/A1taxstdlife))</f>
        <v>0.86527690790497636</v>
      </c>
      <c r="P119" s="18">
        <f>IF(A1taxstdlife="n/a","n/a",IF(P$3&gt;(A1taxstdlife+$E119),('RFM input'!$M$61-'RFM input'!$M$115)-SUM($M119:O119),('RFM input'!$M$61-'RFM input'!$M$115)/A1taxstdlife))</f>
        <v>0.86527690790497636</v>
      </c>
      <c r="Q119" s="18">
        <f>IF(A1taxstdlife="n/a","n/a",IF(Q$3&gt;(A1taxstdlife+$E119),('RFM input'!$M$61-'RFM input'!$M$115)-SUM($M119:P119),('RFM input'!$M$61-'RFM input'!$M$115)/A1taxstdlife))</f>
        <v>0.86527690790497636</v>
      </c>
      <c r="R119" s="18"/>
      <c r="S119" s="74"/>
      <c r="T119" s="74"/>
      <c r="U119" s="74"/>
      <c r="V119" s="74"/>
      <c r="W119" s="74"/>
      <c r="X119" s="74"/>
      <c r="Y119" s="74"/>
      <c r="Z119" s="74"/>
      <c r="AA119" s="152"/>
    </row>
    <row r="120" spans="1:27" hidden="1" outlineLevel="2">
      <c r="A120" s="3"/>
      <c r="B120" s="16"/>
      <c r="C120" s="15"/>
      <c r="D120" s="1594"/>
      <c r="E120" s="61">
        <v>7</v>
      </c>
      <c r="F120" s="17"/>
      <c r="G120" s="17"/>
      <c r="H120" s="1414"/>
      <c r="I120" s="1414"/>
      <c r="J120" s="115"/>
      <c r="K120" s="115"/>
      <c r="L120" s="115"/>
      <c r="M120" s="115"/>
      <c r="N120" s="116"/>
      <c r="O120" s="18">
        <f>IF(A1taxstdlife="n/a","n/a",IF(O$3&gt;(A1taxstdlife+$E120),('RFM input'!$N$61-'RFM input'!$N$115)-SUM($N120:N120),('RFM input'!$N$61-'RFM input'!$N$115)/A1taxstdlife))</f>
        <v>0.30137567907288482</v>
      </c>
      <c r="P120" s="18">
        <f>IF(A1taxstdlife="n/a","n/a",IF(P$3&gt;(A1taxstdlife+$E120),('RFM input'!$N$61-'RFM input'!$N$115)-SUM($N120:O120),('RFM input'!$N$61-'RFM input'!$N$115)/A1taxstdlife))</f>
        <v>0.30137567907288482</v>
      </c>
      <c r="Q120" s="18">
        <f>IF(A1taxstdlife="n/a","n/a",IF(Q$3&gt;(A1taxstdlife+$E120),('RFM input'!$N$61-'RFM input'!$N$115)-SUM($N120:P120),('RFM input'!$N$61-'RFM input'!$N$115)/A1taxstdlife))</f>
        <v>0.30137567907288482</v>
      </c>
      <c r="R120" s="18"/>
      <c r="S120" s="74"/>
      <c r="T120" s="74"/>
      <c r="U120" s="74"/>
      <c r="V120" s="74"/>
      <c r="W120" s="74"/>
      <c r="X120" s="74"/>
      <c r="Y120" s="74"/>
      <c r="Z120" s="74"/>
      <c r="AA120" s="152"/>
    </row>
    <row r="121" spans="1:27" hidden="1" outlineLevel="2">
      <c r="A121" s="3"/>
      <c r="B121" s="16"/>
      <c r="C121" s="15"/>
      <c r="D121" s="1594"/>
      <c r="E121" s="61">
        <v>8</v>
      </c>
      <c r="F121" s="17"/>
      <c r="G121" s="17"/>
      <c r="H121" s="1414"/>
      <c r="I121" s="1414"/>
      <c r="J121" s="115"/>
      <c r="K121" s="115"/>
      <c r="L121" s="115"/>
      <c r="M121" s="115"/>
      <c r="N121" s="115"/>
      <c r="O121" s="116"/>
      <c r="P121" s="18">
        <f>IF(A1taxstdlife="n/a","n/a",IF(P$3&gt;(A1taxstdlife+$E121),('RFM input'!$O$61-'RFM input'!$O$115)-SUM($O121:O121),('RFM input'!$O$61-'RFM input'!$O$115)/A1taxstdlife))</f>
        <v>0</v>
      </c>
      <c r="Q121" s="18">
        <f>IF(A1taxstdlife="n/a","n/a",IF(Q$3&gt;(A1taxstdlife+$E121),('RFM input'!$O$61-'RFM input'!$O$115)-SUM($O121:P121),('RFM input'!$O$61-'RFM input'!$O$115)/A1taxstdlife))</f>
        <v>0</v>
      </c>
      <c r="R121" s="18"/>
      <c r="S121" s="74"/>
      <c r="T121" s="74"/>
      <c r="U121" s="74"/>
      <c r="V121" s="74"/>
      <c r="W121" s="74"/>
      <c r="X121" s="74"/>
      <c r="Y121" s="74"/>
      <c r="Z121" s="74"/>
      <c r="AA121" s="152"/>
    </row>
    <row r="122" spans="1:27" hidden="1" outlineLevel="2">
      <c r="A122" s="3"/>
      <c r="B122" s="16"/>
      <c r="C122" s="15"/>
      <c r="D122" s="1594"/>
      <c r="E122" s="61">
        <v>9</v>
      </c>
      <c r="F122" s="17"/>
      <c r="G122" s="17"/>
      <c r="H122" s="1414"/>
      <c r="I122" s="1414"/>
      <c r="J122" s="115"/>
      <c r="K122" s="115"/>
      <c r="L122" s="115"/>
      <c r="M122" s="115"/>
      <c r="N122" s="115"/>
      <c r="O122" s="115"/>
      <c r="P122" s="116"/>
      <c r="Q122" s="18">
        <f>IF(A1taxstdlife="n/a","n/a",IF(Q$3&gt;(A1taxstdlife+$E122),('RFM input'!$P$61-'RFM input'!$P$115)-SUM($P122:P122),('RFM input'!$P$61-'RFM input'!$P$115)/A1taxstdlife))</f>
        <v>0</v>
      </c>
      <c r="R122" s="18"/>
      <c r="S122" s="74"/>
      <c r="T122" s="74"/>
      <c r="U122" s="74"/>
      <c r="V122" s="74"/>
      <c r="W122" s="74"/>
      <c r="X122" s="74"/>
      <c r="Y122" s="74"/>
      <c r="Z122" s="74"/>
      <c r="AA122" s="152"/>
    </row>
    <row r="123" spans="1:27" hidden="1" outlineLevel="2">
      <c r="A123" s="3"/>
      <c r="B123" s="16"/>
      <c r="C123" s="15"/>
      <c r="D123" s="1594"/>
      <c r="E123" s="62">
        <v>10</v>
      </c>
      <c r="F123" s="17"/>
      <c r="G123" s="17"/>
      <c r="H123" s="1414"/>
      <c r="I123" s="1414"/>
      <c r="J123" s="115"/>
      <c r="K123" s="115"/>
      <c r="L123" s="115"/>
      <c r="M123" s="115"/>
      <c r="N123" s="115"/>
      <c r="O123" s="115"/>
      <c r="P123" s="115"/>
      <c r="Q123" s="116"/>
      <c r="R123" s="18"/>
      <c r="S123" s="74"/>
      <c r="T123" s="74"/>
      <c r="U123" s="74"/>
      <c r="V123" s="74"/>
      <c r="W123" s="74"/>
      <c r="X123" s="74"/>
      <c r="Y123" s="74"/>
      <c r="Z123" s="74"/>
      <c r="AA123" s="152"/>
    </row>
    <row r="124" spans="1:27" hidden="1" outlineLevel="1">
      <c r="A124" s="3"/>
      <c r="B124" s="3"/>
      <c r="C124" s="134" t="str">
        <f>Asset1</f>
        <v>Mains</v>
      </c>
      <c r="D124" s="3"/>
      <c r="E124" s="3"/>
      <c r="F124" s="3"/>
      <c r="G124" s="17"/>
      <c r="H124" s="1460">
        <f>IF('RFM input'!$G$354="Tracked",-1*INDEX('RFM input'!H$358:H$407,MATCH('TAB roll forward'!$C124,'RFM input'!$E$358:$E$407,0)),-SUM(H112:H123))</f>
        <v>-9.8602118876774085</v>
      </c>
      <c r="I124" s="1460">
        <f>IF('RFM input'!$G$354="Tracked",-1*INDEX('RFM input'!I$358:I$407,MATCH('TAB roll forward'!$C124,'RFM input'!$E$358:$E$407,0)),-SUM(I112:I123))</f>
        <v>-10.643113309929046</v>
      </c>
      <c r="J124" s="1460">
        <f>IF(COUNT($H124:I124)&gt;='RFM input'!$V$7,0,IF('RFM input'!$G$354="Tracked",-1*INDEX('RFM input'!J$358:J$407,MATCH('TAB roll forward'!$C124,'RFM input'!$E$358:$E$407,0)),-SUM(J112:J123)))</f>
        <v>-11.606117734941165</v>
      </c>
      <c r="K124" s="1460">
        <f>IF(COUNT($H124:J124)&gt;='RFM input'!$V$7,0,IF('RFM input'!$G$354="Tracked",-1*INDEX('RFM input'!K$358:K$407,MATCH('TAB roll forward'!$C124,'RFM input'!$E$358:$E$407,0)),-SUM(K112:K123)))</f>
        <v>-12.795839283501694</v>
      </c>
      <c r="L124" s="1460">
        <f>IF(COUNT($H124:K124)&gt;='RFM input'!$V$7,0,IF('RFM input'!$G$354="Tracked",-1*INDEX('RFM input'!L$358:L$407,MATCH('TAB roll forward'!$C124,'RFM input'!$E$358:$E$407,0)),-SUM(L112:L123)))</f>
        <v>-13.74868066917459</v>
      </c>
      <c r="M124" s="1460">
        <f>IF(COUNT($H124:L124)&gt;='RFM input'!$V$7,0,IF('RFM input'!$G$354="Tracked",-1*INDEX('RFM input'!M$358:M$407,MATCH('TAB roll forward'!$C124,'RFM input'!$E$358:$E$407,0)),-SUM(M112:M123)))</f>
        <v>-14.314088886943864</v>
      </c>
      <c r="N124" s="1460">
        <f>IF(COUNT($H124:M124)&gt;='RFM input'!$V$7,0,IF('RFM input'!$G$354="Tracked",-1*INDEX('RFM input'!N$358:N$407,MATCH('TAB roll forward'!$C124,'RFM input'!$E$358:$E$407,0)),-SUM(N112:N123)))</f>
        <v>-15.17936579484884</v>
      </c>
      <c r="O124" s="1460">
        <f>IF(COUNT($H124:N124)&gt;='RFM input'!$V$7,0,IF('RFM input'!$G$354="Tracked",-1*INDEX('RFM input'!O$358:O$407,MATCH('TAB roll forward'!$C124,'RFM input'!$E$358:$E$407,0)),-SUM(O112:O123)))</f>
        <v>0</v>
      </c>
      <c r="P124" s="1460">
        <f>IF(COUNT($H124:O124)&gt;='RFM input'!$V$7,0,IF('RFM input'!$G$354="Tracked",-1*INDEX('RFM input'!P$358:P$407,MATCH('TAB roll forward'!$C124,'RFM input'!$E$358:$E$407,0)),-SUM(P112:P123)))</f>
        <v>0</v>
      </c>
      <c r="Q124" s="1460">
        <f>IF(COUNT($H124:P124)&gt;='RFM input'!$V$7,0,IF('RFM input'!$G$354="Tracked",-1*INDEX('RFM input'!Q$358:Q$407,MATCH('TAB roll forward'!$C124,'RFM input'!$E$358:$E$407,0)),-SUM(Q112:Q123)))</f>
        <v>0</v>
      </c>
      <c r="R124" s="1382"/>
      <c r="S124" s="73"/>
      <c r="T124" s="73"/>
      <c r="U124" s="73"/>
      <c r="V124" s="73"/>
      <c r="W124" s="73"/>
      <c r="X124" s="73"/>
      <c r="Y124" s="73"/>
      <c r="Z124" s="73"/>
      <c r="AA124" s="152"/>
    </row>
    <row r="125" spans="1:27" hidden="1" outlineLevel="2">
      <c r="A125" s="3"/>
      <c r="B125" s="135" t="str">
        <f>Asset2</f>
        <v>Inlets</v>
      </c>
      <c r="C125" s="19"/>
      <c r="D125" s="234" t="s">
        <v>119</v>
      </c>
      <c r="E125" s="19"/>
      <c r="F125" s="148"/>
      <c r="G125" s="148"/>
      <c r="H125" s="21">
        <f>IF(H$3&gt;A2taxremlife,A2taxvalue-SUM($F125:F125),IF(A2taxremlife="N/A","n/a",A2taxvalue/A2taxremlife))</f>
        <v>2.9375528130910906</v>
      </c>
      <c r="I125" s="21">
        <f>IF(I$3&gt;A2taxremlife,A2taxvalue-SUM($F125:H125),IF(A2taxremlife="N/A","n/a",A2taxvalue/A2taxremlife))</f>
        <v>2.9375528130910906</v>
      </c>
      <c r="J125" s="21">
        <f>IF(J$3&gt;A2taxremlife,A2taxvalue-SUM($F125:I125),IF(A2taxremlife="N/A","n/a",A2taxvalue/A2taxremlife))</f>
        <v>2.9375528130910906</v>
      </c>
      <c r="K125" s="21">
        <f>IF(K$3&gt;A2taxremlife,A2taxvalue-SUM($F125:J125),IF(A2taxremlife="N/A","n/a",A2taxvalue/A2taxremlife))</f>
        <v>2.9375528130910906</v>
      </c>
      <c r="L125" s="21">
        <f>IF(L$3&gt;A2taxremlife,A2taxvalue-SUM($F125:K125),IF(A2taxremlife="N/A","n/a",A2taxvalue/A2taxremlife))</f>
        <v>2.9375528130910906</v>
      </c>
      <c r="M125" s="21">
        <f>IF(M$3&gt;A2taxremlife,A2taxvalue-SUM($F125:L125),IF(A2taxremlife="N/A","n/a",A2taxvalue/A2taxremlife))</f>
        <v>2.9375528130910906</v>
      </c>
      <c r="N125" s="21">
        <f>IF(N$3&gt;A2taxremlife,A2taxvalue-SUM($F125:M125),IF(A2taxremlife="N/A","n/a",A2taxvalue/A2taxremlife))</f>
        <v>2.9375528130910906</v>
      </c>
      <c r="O125" s="21">
        <f>IF(O$3&gt;A2taxremlife,A2taxvalue-SUM($F125:N125),IF(A2taxremlife="N/A","n/a",A2taxvalue/A2taxremlife))</f>
        <v>2.9375528130910906</v>
      </c>
      <c r="P125" s="21">
        <f>IF(P$3&gt;A2taxremlife,A2taxvalue-SUM($F125:O125),IF(A2taxremlife="N/A","n/a",A2taxvalue/A2taxremlife))</f>
        <v>2.9375528130910906</v>
      </c>
      <c r="Q125" s="21">
        <f>IF(Q$3&gt;A2taxremlife,A2taxvalue-SUM($F125:P125),IF(A2taxremlife="N/A","n/a",A2taxvalue/A2taxremlife))</f>
        <v>2.9375528130910906</v>
      </c>
      <c r="R125" s="21"/>
      <c r="S125" s="74"/>
      <c r="T125" s="74"/>
      <c r="U125" s="74"/>
      <c r="V125" s="74"/>
      <c r="W125" s="74"/>
      <c r="X125" s="74"/>
      <c r="Y125" s="74"/>
      <c r="Z125" s="74"/>
      <c r="AA125" s="152"/>
    </row>
    <row r="126" spans="1:27" ht="12.75" hidden="1" customHeight="1" outlineLevel="2">
      <c r="A126" s="3"/>
      <c r="B126" s="3"/>
      <c r="C126" s="16"/>
      <c r="D126" s="1593" t="s">
        <v>43</v>
      </c>
      <c r="E126" s="61"/>
      <c r="F126" s="17"/>
      <c r="G126" s="17"/>
      <c r="H126" s="1413"/>
      <c r="I126" s="72"/>
      <c r="J126" s="18"/>
      <c r="K126" s="18"/>
      <c r="L126" s="18"/>
      <c r="M126" s="18"/>
      <c r="N126" s="18"/>
      <c r="O126" s="18"/>
      <c r="P126" s="18"/>
      <c r="Q126" s="18"/>
      <c r="R126" s="18"/>
      <c r="S126" s="74"/>
      <c r="T126" s="74"/>
      <c r="U126" s="74"/>
      <c r="V126" s="74"/>
      <c r="W126" s="74"/>
      <c r="X126" s="74"/>
      <c r="Y126" s="74"/>
      <c r="Z126" s="74"/>
      <c r="AA126" s="152"/>
    </row>
    <row r="127" spans="1:27" hidden="1" outlineLevel="2">
      <c r="A127" s="3"/>
      <c r="B127" s="3"/>
      <c r="C127" s="16"/>
      <c r="D127" s="1594"/>
      <c r="E127" s="61">
        <v>1</v>
      </c>
      <c r="F127" s="17"/>
      <c r="G127" s="17"/>
      <c r="H127" s="1414"/>
      <c r="I127" s="1415">
        <f>IF(A2taxstdlife="n/a","n/a",IF(I$3&gt;(A2taxstdlife+$E127),('RFM input'!$H$62-'RFM input'!$H$116)-SUM($H127:H127),('RFM input'!$H$62-'RFM input'!$H$116)/A2taxstdlife))</f>
        <v>0.25402896420599103</v>
      </c>
      <c r="J127" s="18">
        <f>IF(A2taxstdlife="n/a","n/a",IF(J$3&gt;(A2taxstdlife+$E127),('RFM input'!$H$62-'RFM input'!$H$116)-SUM($H127:I127),('RFM input'!$H$62-'RFM input'!$H$116)/A2taxstdlife))</f>
        <v>0.25402896420599103</v>
      </c>
      <c r="K127" s="18">
        <f>IF(A2taxstdlife="n/a","n/a",IF(K$3&gt;(A2taxstdlife+$E127),('RFM input'!$H$62-'RFM input'!$H$116)-SUM($H127:J127),('RFM input'!$H$62-'RFM input'!$H$116)/A2taxstdlife))</f>
        <v>0.25402896420599103</v>
      </c>
      <c r="L127" s="18">
        <f>IF(A2taxstdlife="n/a","n/a",IF(L$3&gt;(A2taxstdlife+$E127),('RFM input'!$H$62-'RFM input'!$H$116)-SUM($H127:K127),('RFM input'!$H$62-'RFM input'!$H$116)/A2taxstdlife))</f>
        <v>0.25402896420599103</v>
      </c>
      <c r="M127" s="18">
        <f>IF(A2taxstdlife="n/a","n/a",IF(M$3&gt;(A2taxstdlife+$E127),('RFM input'!$H$62-'RFM input'!$H$116)-SUM($H127:L127),('RFM input'!$H$62-'RFM input'!$H$116)/A2taxstdlife))</f>
        <v>0.25402896420599103</v>
      </c>
      <c r="N127" s="18">
        <f>IF(A2taxstdlife="n/a","n/a",IF(N$3&gt;(A2taxstdlife+$E127),('RFM input'!$H$62-'RFM input'!$H$116)-SUM($H127:M127),('RFM input'!$H$62-'RFM input'!$H$116)/A2taxstdlife))</f>
        <v>0.25402896420599103</v>
      </c>
      <c r="O127" s="18">
        <f>IF(A2taxstdlife="n/a","n/a",IF(O$3&gt;(A2taxstdlife+$E127),('RFM input'!$H$62-'RFM input'!$H$116)-SUM($H127:N127),('RFM input'!$H$62-'RFM input'!$H$116)/A2taxstdlife))</f>
        <v>0.25402896420599103</v>
      </c>
      <c r="P127" s="18">
        <f>IF(A2taxstdlife="n/a","n/a",IF(P$3&gt;(A2taxstdlife+$E127),('RFM input'!$H$62-'RFM input'!$H$116)-SUM($H127:O127),('RFM input'!$H$62-'RFM input'!$H$116)/A2taxstdlife))</f>
        <v>0.25402896420599103</v>
      </c>
      <c r="Q127" s="18">
        <f>IF(A2taxstdlife="n/a","n/a",IF(Q$3&gt;(A2taxstdlife+$E127),('RFM input'!$H$62-'RFM input'!$H$116)-SUM($H127:P127),('RFM input'!$H$62-'RFM input'!$H$116)/A2taxstdlife))</f>
        <v>0.25402896420599103</v>
      </c>
      <c r="R127" s="18"/>
      <c r="S127" s="74"/>
      <c r="T127" s="74"/>
      <c r="U127" s="74"/>
      <c r="V127" s="74"/>
      <c r="W127" s="74"/>
      <c r="X127" s="74"/>
      <c r="Y127" s="74"/>
      <c r="Z127" s="74"/>
      <c r="AA127" s="152"/>
    </row>
    <row r="128" spans="1:27" hidden="1" outlineLevel="2">
      <c r="A128" s="3"/>
      <c r="B128" s="3"/>
      <c r="C128" s="16"/>
      <c r="D128" s="1594"/>
      <c r="E128" s="61">
        <v>2</v>
      </c>
      <c r="F128" s="17"/>
      <c r="G128" s="17"/>
      <c r="H128" s="1414"/>
      <c r="I128" s="1414"/>
      <c r="J128" s="18">
        <f>IF(A2taxstdlife="n/a","n/a",IF(J$3&gt;(A2taxstdlife+$E128),('RFM input'!$I$62-'RFM input'!$I$116)-SUM($I128:I128),('RFM input'!$I$62-'RFM input'!$I$116)/A2taxstdlife))</f>
        <v>0.27280410372224689</v>
      </c>
      <c r="K128" s="18">
        <f>IF(A2taxstdlife="n/a","n/a",IF(K$3&gt;(A2taxstdlife+$E128),('RFM input'!$I$62-'RFM input'!$I$116)-SUM($I128:J128),('RFM input'!$I$62-'RFM input'!$I$116)/A2taxstdlife))</f>
        <v>0.27280410372224689</v>
      </c>
      <c r="L128" s="18">
        <f>IF(A2taxstdlife="n/a","n/a",IF(L$3&gt;(A2taxstdlife+$E128),('RFM input'!$I$62-'RFM input'!$I$116)-SUM($I128:K128),('RFM input'!$I$62-'RFM input'!$I$116)/A2taxstdlife))</f>
        <v>0.27280410372224689</v>
      </c>
      <c r="M128" s="18">
        <f>IF(A2taxstdlife="n/a","n/a",IF(M$3&gt;(A2taxstdlife+$E128),('RFM input'!$I$62-'RFM input'!$I$116)-SUM($I128:L128),('RFM input'!$I$62-'RFM input'!$I$116)/A2taxstdlife))</f>
        <v>0.27280410372224689</v>
      </c>
      <c r="N128" s="18">
        <f>IF(A2taxstdlife="n/a","n/a",IF(N$3&gt;(A2taxstdlife+$E128),('RFM input'!$I$62-'RFM input'!$I$116)-SUM($I128:M128),('RFM input'!$I$62-'RFM input'!$I$116)/A2taxstdlife))</f>
        <v>0.27280410372224689</v>
      </c>
      <c r="O128" s="18">
        <f>IF(A2taxstdlife="n/a","n/a",IF(O$3&gt;(A2taxstdlife+$E128),('RFM input'!$I$62-'RFM input'!$I$116)-SUM($I128:N128),('RFM input'!$I$62-'RFM input'!$I$116)/A2taxstdlife))</f>
        <v>0.27280410372224689</v>
      </c>
      <c r="P128" s="18">
        <f>IF(A2taxstdlife="n/a","n/a",IF(P$3&gt;(A2taxstdlife+$E128),('RFM input'!$I$62-'RFM input'!$I$116)-SUM($I128:O128),('RFM input'!$I$62-'RFM input'!$I$116)/A2taxstdlife))</f>
        <v>0.27280410372224689</v>
      </c>
      <c r="Q128" s="18">
        <f>IF(A2taxstdlife="n/a","n/a",IF(Q$3&gt;(A2taxstdlife+$E128),('RFM input'!$I$62-'RFM input'!$I$116)-SUM($I128:P128),('RFM input'!$I$62-'RFM input'!$I$116)/A2taxstdlife))</f>
        <v>0.27280410372224689</v>
      </c>
      <c r="R128" s="18"/>
      <c r="S128" s="74"/>
      <c r="T128" s="74"/>
      <c r="U128" s="74"/>
      <c r="V128" s="74"/>
      <c r="W128" s="74"/>
      <c r="X128" s="74"/>
      <c r="Y128" s="74"/>
      <c r="Z128" s="74"/>
      <c r="AA128" s="152"/>
    </row>
    <row r="129" spans="1:27" hidden="1" outlineLevel="2">
      <c r="A129" s="3"/>
      <c r="B129" s="3"/>
      <c r="C129" s="16"/>
      <c r="D129" s="1594"/>
      <c r="E129" s="61">
        <v>3</v>
      </c>
      <c r="F129" s="17"/>
      <c r="G129" s="17"/>
      <c r="H129" s="1414"/>
      <c r="I129" s="1414"/>
      <c r="J129" s="116"/>
      <c r="K129" s="18">
        <f>IF(A2taxstdlife="n/a","n/a",IF(K$3&gt;(A2taxstdlife+$E129),('RFM input'!$J$62-'RFM input'!$J$116)-SUM($J129:J129),('RFM input'!$J$62-'RFM input'!$J$116)/A2taxstdlife))</f>
        <v>0.29230879390025588</v>
      </c>
      <c r="L129" s="18">
        <f>IF(A2taxstdlife="n/a","n/a",IF(L$3&gt;(A2taxstdlife+$E129),('RFM input'!$J$62-'RFM input'!$J$116)-SUM($J129:K129),('RFM input'!$J$62-'RFM input'!$J$116)/A2taxstdlife))</f>
        <v>0.29230879390025588</v>
      </c>
      <c r="M129" s="18">
        <f>IF(A2taxstdlife="n/a","n/a",IF(M$3&gt;(A2taxstdlife+$E129),('RFM input'!$J$62-'RFM input'!$J$116)-SUM($J129:L129),('RFM input'!$J$62-'RFM input'!$J$116)/A2taxstdlife))</f>
        <v>0.29230879390025588</v>
      </c>
      <c r="N129" s="18">
        <f>IF(A2taxstdlife="n/a","n/a",IF(N$3&gt;(A2taxstdlife+$E129),('RFM input'!$J$62-'RFM input'!$J$116)-SUM($J129:M129),('RFM input'!$J$62-'RFM input'!$J$116)/A2taxstdlife))</f>
        <v>0.29230879390025588</v>
      </c>
      <c r="O129" s="18">
        <f>IF(A2taxstdlife="n/a","n/a",IF(O$3&gt;(A2taxstdlife+$E129),('RFM input'!$J$62-'RFM input'!$J$116)-SUM($J129:N129),('RFM input'!$J$62-'RFM input'!$J$116)/A2taxstdlife))</f>
        <v>0.29230879390025588</v>
      </c>
      <c r="P129" s="18">
        <f>IF(A2taxstdlife="n/a","n/a",IF(P$3&gt;(A2taxstdlife+$E129),('RFM input'!$J$62-'RFM input'!$J$116)-SUM($J129:O129),('RFM input'!$J$62-'RFM input'!$J$116)/A2taxstdlife))</f>
        <v>0.29230879390025588</v>
      </c>
      <c r="Q129" s="18">
        <f>IF(A2taxstdlife="n/a","n/a",IF(Q$3&gt;(A2taxstdlife+$E129),('RFM input'!$J$62-'RFM input'!$J$116)-SUM($J129:P129),('RFM input'!$J$62-'RFM input'!$J$116)/A2taxstdlife))</f>
        <v>0.29230879390025588</v>
      </c>
      <c r="R129" s="18"/>
      <c r="S129" s="74"/>
      <c r="T129" s="74"/>
      <c r="U129" s="74"/>
      <c r="V129" s="74"/>
      <c r="W129" s="74"/>
      <c r="X129" s="74"/>
      <c r="Y129" s="74"/>
      <c r="Z129" s="74"/>
      <c r="AA129" s="152"/>
    </row>
    <row r="130" spans="1:27" hidden="1" outlineLevel="2">
      <c r="A130" s="3"/>
      <c r="B130" s="3"/>
      <c r="C130" s="16"/>
      <c r="D130" s="1594"/>
      <c r="E130" s="61">
        <v>4</v>
      </c>
      <c r="F130" s="17"/>
      <c r="G130" s="17"/>
      <c r="H130" s="1414"/>
      <c r="I130" s="1414"/>
      <c r="J130" s="115"/>
      <c r="K130" s="116"/>
      <c r="L130" s="18">
        <f>IF(A2taxstdlife="n/a","n/a",IF(L$3&gt;(A2taxstdlife+$E130),('RFM input'!$K$62-'RFM input'!$K$116)-SUM($K130:K130),('RFM input'!$K$62-'RFM input'!$K$116)/A2taxstdlife))</f>
        <v>0.25870905984352371</v>
      </c>
      <c r="M130" s="18">
        <f>IF(A2taxstdlife="n/a","n/a",IF(M$3&gt;(A2taxstdlife+$E130),('RFM input'!$K$62-'RFM input'!$K$116)-SUM($K130:L130),('RFM input'!$K$62-'RFM input'!$K$116)/A2taxstdlife))</f>
        <v>0.25870905984352371</v>
      </c>
      <c r="N130" s="18">
        <f>IF(A2taxstdlife="n/a","n/a",IF(N$3&gt;(A2taxstdlife+$E130),('RFM input'!$K$62-'RFM input'!$K$116)-SUM($K130:M130),('RFM input'!$K$62-'RFM input'!$K$116)/A2taxstdlife))</f>
        <v>0.25870905984352371</v>
      </c>
      <c r="O130" s="18">
        <f>IF(A2taxstdlife="n/a","n/a",IF(O$3&gt;(A2taxstdlife+$E130),('RFM input'!$K$62-'RFM input'!$K$116)-SUM($K130:N130),('RFM input'!$K$62-'RFM input'!$K$116)/A2taxstdlife))</f>
        <v>0.25870905984352371</v>
      </c>
      <c r="P130" s="18">
        <f>IF(A2taxstdlife="n/a","n/a",IF(P$3&gt;(A2taxstdlife+$E130),('RFM input'!$K$62-'RFM input'!$K$116)-SUM($K130:O130),('RFM input'!$K$62-'RFM input'!$K$116)/A2taxstdlife))</f>
        <v>0.25870905984352371</v>
      </c>
      <c r="Q130" s="18">
        <f>IF(A2taxstdlife="n/a","n/a",IF(Q$3&gt;(A2taxstdlife+$E130),('RFM input'!$K$62-'RFM input'!$K$116)-SUM($K130:P130),('RFM input'!$K$62-'RFM input'!$K$116)/A2taxstdlife))</f>
        <v>0.25870905984352371</v>
      </c>
      <c r="R130" s="18"/>
      <c r="S130" s="74"/>
      <c r="T130" s="74"/>
      <c r="U130" s="74"/>
      <c r="V130" s="74"/>
      <c r="W130" s="74"/>
      <c r="X130" s="74"/>
      <c r="Y130" s="74"/>
      <c r="Z130" s="74"/>
      <c r="AA130" s="152"/>
    </row>
    <row r="131" spans="1:27" hidden="1" outlineLevel="2">
      <c r="A131" s="3"/>
      <c r="B131" s="3"/>
      <c r="C131" s="16"/>
      <c r="D131" s="1594"/>
      <c r="E131" s="61">
        <v>5</v>
      </c>
      <c r="F131" s="17"/>
      <c r="G131" s="17"/>
      <c r="H131" s="1414"/>
      <c r="I131" s="1414"/>
      <c r="J131" s="115"/>
      <c r="K131" s="115"/>
      <c r="L131" s="116"/>
      <c r="M131" s="18">
        <f>IF(A2taxstdlife="n/a","n/a",IF(M$3&gt;(A2taxstdlife+$E131),('RFM input'!$L$62-'RFM input'!$L$116)-SUM($L131:L131),('RFM input'!$L$62-'RFM input'!$L$116)/A2taxstdlife))</f>
        <v>0.29170968877145376</v>
      </c>
      <c r="N131" s="18">
        <f>IF(A2taxstdlife="n/a","n/a",IF(N$3&gt;(A2taxstdlife+$E131),('RFM input'!$L$62-'RFM input'!$L$116)-SUM($L131:M131),('RFM input'!$L$62-'RFM input'!$L$116)/A2taxstdlife))</f>
        <v>0.29170968877145376</v>
      </c>
      <c r="O131" s="18">
        <f>IF(A2taxstdlife="n/a","n/a",IF(O$3&gt;(A2taxstdlife+$E131),('RFM input'!$L$62-'RFM input'!$L$116)-SUM($L131:N131),('RFM input'!$L$62-'RFM input'!$L$116)/A2taxstdlife))</f>
        <v>0.29170968877145376</v>
      </c>
      <c r="P131" s="18">
        <f>IF(A2taxstdlife="n/a","n/a",IF(P$3&gt;(A2taxstdlife+$E131),('RFM input'!$L$62-'RFM input'!$L$116)-SUM($L131:O131),('RFM input'!$L$62-'RFM input'!$L$116)/A2taxstdlife))</f>
        <v>0.29170968877145376</v>
      </c>
      <c r="Q131" s="18">
        <f>IF(A2taxstdlife="n/a","n/a",IF(Q$3&gt;(A2taxstdlife+$E131),('RFM input'!$L$62-'RFM input'!$L$116)-SUM($L131:P131),('RFM input'!$L$62-'RFM input'!$L$116)/A2taxstdlife))</f>
        <v>0.29170968877145376</v>
      </c>
      <c r="R131" s="18"/>
      <c r="S131" s="74"/>
      <c r="T131" s="74"/>
      <c r="U131" s="74"/>
      <c r="V131" s="74"/>
      <c r="W131" s="74"/>
      <c r="X131" s="74"/>
      <c r="Y131" s="74"/>
      <c r="Z131" s="74"/>
      <c r="AA131" s="152"/>
    </row>
    <row r="132" spans="1:27" hidden="1" outlineLevel="2">
      <c r="A132" s="3"/>
      <c r="B132" s="3"/>
      <c r="C132" s="16"/>
      <c r="D132" s="1594"/>
      <c r="E132" s="61">
        <v>6</v>
      </c>
      <c r="F132" s="17"/>
      <c r="G132" s="17"/>
      <c r="H132" s="1414"/>
      <c r="I132" s="1414"/>
      <c r="J132" s="115"/>
      <c r="K132" s="115"/>
      <c r="L132" s="115"/>
      <c r="M132" s="116"/>
      <c r="N132" s="18">
        <f>IF(A2taxstdlife="n/a","n/a",IF(N$3&gt;(A2taxstdlife+$E132),('RFM input'!$M$62-'RFM input'!$M$116)-SUM($M132:M132),('RFM input'!$M$62-'RFM input'!$M$116)/A2taxstdlife))</f>
        <v>0.22855378769093798</v>
      </c>
      <c r="O132" s="18">
        <f>IF(A2taxstdlife="n/a","n/a",IF(O$3&gt;(A2taxstdlife+$E132),('RFM input'!$M$62-'RFM input'!$M$116)-SUM($M132:N132),('RFM input'!$M$62-'RFM input'!$M$116)/A2taxstdlife))</f>
        <v>0.22855378769093798</v>
      </c>
      <c r="P132" s="18">
        <f>IF(A2taxstdlife="n/a","n/a",IF(P$3&gt;(A2taxstdlife+$E132),('RFM input'!$M$62-'RFM input'!$M$116)-SUM($M132:O132),('RFM input'!$M$62-'RFM input'!$M$116)/A2taxstdlife))</f>
        <v>0.22855378769093798</v>
      </c>
      <c r="Q132" s="18">
        <f>IF(A2taxstdlife="n/a","n/a",IF(Q$3&gt;(A2taxstdlife+$E132),('RFM input'!$M$62-'RFM input'!$M$116)-SUM($M132:P132),('RFM input'!$M$62-'RFM input'!$M$116)/A2taxstdlife))</f>
        <v>0.22855378769093798</v>
      </c>
      <c r="R132" s="18"/>
      <c r="S132" s="74"/>
      <c r="T132" s="74"/>
      <c r="U132" s="74"/>
      <c r="V132" s="74"/>
      <c r="W132" s="74"/>
      <c r="X132" s="74"/>
      <c r="Y132" s="74"/>
      <c r="Z132" s="74"/>
      <c r="AA132" s="152"/>
    </row>
    <row r="133" spans="1:27" hidden="1" outlineLevel="2">
      <c r="A133" s="3"/>
      <c r="B133" s="3"/>
      <c r="C133" s="16"/>
      <c r="D133" s="1594"/>
      <c r="E133" s="61">
        <v>7</v>
      </c>
      <c r="F133" s="17"/>
      <c r="G133" s="17"/>
      <c r="H133" s="1414"/>
      <c r="I133" s="1414"/>
      <c r="J133" s="115"/>
      <c r="K133" s="115"/>
      <c r="L133" s="115"/>
      <c r="M133" s="115"/>
      <c r="N133" s="116"/>
      <c r="O133" s="18">
        <f>IF(A2taxstdlife="n/a","n/a",IF(O$3&gt;(A2taxstdlife+$E133),('RFM input'!$N$62-'RFM input'!$N$116)-SUM($N133:N133),('RFM input'!$N$62-'RFM input'!$N$116)/A2taxstdlife))</f>
        <v>0.13721104783078025</v>
      </c>
      <c r="P133" s="18">
        <f>IF(A2taxstdlife="n/a","n/a",IF(P$3&gt;(A2taxstdlife+$E133),('RFM input'!$N$62-'RFM input'!$N$116)-SUM($N133:O133),('RFM input'!$N$62-'RFM input'!$N$116)/A2taxstdlife))</f>
        <v>0.13721104783078025</v>
      </c>
      <c r="Q133" s="18">
        <f>IF(A2taxstdlife="n/a","n/a",IF(Q$3&gt;(A2taxstdlife+$E133),('RFM input'!$N$62-'RFM input'!$N$116)-SUM($N133:P133),('RFM input'!$N$62-'RFM input'!$N$116)/A2taxstdlife))</f>
        <v>0.13721104783078025</v>
      </c>
      <c r="R133" s="18"/>
      <c r="S133" s="74"/>
      <c r="T133" s="74"/>
      <c r="U133" s="74"/>
      <c r="V133" s="74"/>
      <c r="W133" s="74"/>
      <c r="X133" s="74"/>
      <c r="Y133" s="74"/>
      <c r="Z133" s="74"/>
      <c r="AA133" s="152"/>
    </row>
    <row r="134" spans="1:27" hidden="1" outlineLevel="2">
      <c r="A134" s="3"/>
      <c r="B134" s="3"/>
      <c r="C134" s="16"/>
      <c r="D134" s="1594"/>
      <c r="E134" s="61">
        <v>8</v>
      </c>
      <c r="F134" s="17"/>
      <c r="G134" s="17"/>
      <c r="H134" s="1414"/>
      <c r="I134" s="1414"/>
      <c r="J134" s="115"/>
      <c r="K134" s="115"/>
      <c r="L134" s="115"/>
      <c r="M134" s="115"/>
      <c r="N134" s="115"/>
      <c r="O134" s="116"/>
      <c r="P134" s="18">
        <f>IF(A2taxstdlife="n/a","n/a",IF(P$3&gt;(A2taxstdlife+$E134),('RFM input'!$O$62-'RFM input'!$O$116)-SUM($O134:O134),('RFM input'!$O$62-'RFM input'!$O$116)/A2taxstdlife))</f>
        <v>0</v>
      </c>
      <c r="Q134" s="18">
        <f>IF(A2taxstdlife="n/a","n/a",IF(Q$3&gt;(A2taxstdlife+$E134),('RFM input'!$O$62-'RFM input'!$O$116)-SUM($O134:P134),('RFM input'!$O$62-'RFM input'!$O$116)/A2taxstdlife))</f>
        <v>0</v>
      </c>
      <c r="R134" s="18"/>
      <c r="S134" s="74"/>
      <c r="T134" s="74"/>
      <c r="U134" s="74"/>
      <c r="V134" s="74"/>
      <c r="W134" s="74"/>
      <c r="X134" s="74"/>
      <c r="Y134" s="74"/>
      <c r="Z134" s="74"/>
      <c r="AA134" s="152"/>
    </row>
    <row r="135" spans="1:27" hidden="1" outlineLevel="2">
      <c r="A135" s="3"/>
      <c r="B135" s="3"/>
      <c r="C135" s="16"/>
      <c r="D135" s="1594"/>
      <c r="E135" s="61">
        <v>9</v>
      </c>
      <c r="F135" s="17"/>
      <c r="G135" s="17"/>
      <c r="H135" s="1414"/>
      <c r="I135" s="1414"/>
      <c r="J135" s="115"/>
      <c r="K135" s="115"/>
      <c r="L135" s="115"/>
      <c r="M135" s="115"/>
      <c r="N135" s="115"/>
      <c r="O135" s="115"/>
      <c r="P135" s="116"/>
      <c r="Q135" s="18">
        <f>IF(A2taxstdlife="n/a","n/a",IF(Q$3&gt;(A2taxstdlife+$E135),('RFM input'!$P$62-'RFM input'!$P$116)-SUM($P135:P135),('RFM input'!$P$62-'RFM input'!$P$116)/A2taxstdlife))</f>
        <v>0</v>
      </c>
      <c r="R135" s="18"/>
      <c r="S135" s="74"/>
      <c r="T135" s="74"/>
      <c r="U135" s="74"/>
      <c r="V135" s="74"/>
      <c r="W135" s="74"/>
      <c r="X135" s="74"/>
      <c r="Y135" s="74"/>
      <c r="Z135" s="74"/>
      <c r="AA135" s="152"/>
    </row>
    <row r="136" spans="1:27" hidden="1" outlineLevel="2">
      <c r="A136" s="3"/>
      <c r="B136" s="3"/>
      <c r="C136" s="16"/>
      <c r="D136" s="1594"/>
      <c r="E136" s="62">
        <v>10</v>
      </c>
      <c r="F136" s="17"/>
      <c r="G136" s="17"/>
      <c r="H136" s="1414"/>
      <c r="I136" s="1414"/>
      <c r="J136" s="115"/>
      <c r="K136" s="115"/>
      <c r="L136" s="115"/>
      <c r="M136" s="115"/>
      <c r="N136" s="115"/>
      <c r="O136" s="115"/>
      <c r="P136" s="115"/>
      <c r="Q136" s="116"/>
      <c r="R136" s="18"/>
      <c r="S136" s="74"/>
      <c r="T136" s="74"/>
      <c r="U136" s="74"/>
      <c r="V136" s="74"/>
      <c r="W136" s="74"/>
      <c r="X136" s="74"/>
      <c r="Y136" s="74"/>
      <c r="Z136" s="74"/>
      <c r="AA136" s="152"/>
    </row>
    <row r="137" spans="1:27" hidden="1" outlineLevel="1">
      <c r="A137" s="3"/>
      <c r="B137" s="3"/>
      <c r="C137" s="134" t="str">
        <f>Asset2</f>
        <v>Inlets</v>
      </c>
      <c r="D137" s="3"/>
      <c r="E137" s="3"/>
      <c r="F137" s="14"/>
      <c r="G137" s="14"/>
      <c r="H137" s="1460">
        <f>IF('RFM input'!$G$354="Tracked",-1*INDEX('RFM input'!H$358:H$407,MATCH('TAB roll forward'!$C137,'RFM input'!$E$358:$E$407,0)),-SUM(H125:H136))</f>
        <v>-2.9375528130910906</v>
      </c>
      <c r="I137" s="1460">
        <f>IF('RFM input'!$G$354="Tracked",-1*INDEX('RFM input'!I$358:I$407,MATCH('TAB roll forward'!$C137,'RFM input'!$E$358:$E$407,0)),-SUM(I125:I136))</f>
        <v>-3.1915817772970816</v>
      </c>
      <c r="J137" s="1460">
        <f>IF(COUNT($H137:I137)&gt;='RFM input'!$V$7,0,IF('RFM input'!$G$354="Tracked",-1*INDEX('RFM input'!J$358:J$407,MATCH('TAB roll forward'!$C137,'RFM input'!$E$358:$E$407,0)),-SUM(J125:J136)))</f>
        <v>-3.4643858810193287</v>
      </c>
      <c r="K137" s="1460">
        <f>IF(COUNT($H137:J137)&gt;='RFM input'!$V$7,0,IF('RFM input'!$G$354="Tracked",-1*INDEX('RFM input'!K$358:K$407,MATCH('TAB roll forward'!$C137,'RFM input'!$E$358:$E$407,0)),-SUM(K125:K136)))</f>
        <v>-3.7566946749195846</v>
      </c>
      <c r="L137" s="1460">
        <f>IF(COUNT($H137:K137)&gt;='RFM input'!$V$7,0,IF('RFM input'!$G$354="Tracked",-1*INDEX('RFM input'!L$358:L$407,MATCH('TAB roll forward'!$C137,'RFM input'!$E$358:$E$407,0)),-SUM(L125:L136)))</f>
        <v>-4.0154037347631082</v>
      </c>
      <c r="M137" s="1460">
        <f>IF(COUNT($H137:L137)&gt;='RFM input'!$V$7,0,IF('RFM input'!$G$354="Tracked",-1*INDEX('RFM input'!M$358:M$407,MATCH('TAB roll forward'!$C137,'RFM input'!$E$358:$E$407,0)),-SUM(M125:M136)))</f>
        <v>-4.3071134235345623</v>
      </c>
      <c r="N137" s="1460">
        <f>IF(COUNT($H137:M137)&gt;='RFM input'!$V$7,0,IF('RFM input'!$G$354="Tracked",-1*INDEX('RFM input'!N$358:N$407,MATCH('TAB roll forward'!$C137,'RFM input'!$E$358:$E$407,0)),-SUM(N125:N136)))</f>
        <v>-4.5356672112255003</v>
      </c>
      <c r="O137" s="1460">
        <f>IF(COUNT($H137:N137)&gt;='RFM input'!$V$7,0,IF('RFM input'!$G$354="Tracked",-1*INDEX('RFM input'!O$358:O$407,MATCH('TAB roll forward'!$C137,'RFM input'!$E$358:$E$407,0)),-SUM(O125:O136)))</f>
        <v>0</v>
      </c>
      <c r="P137" s="1460">
        <f>IF(COUNT($H137:O137)&gt;='RFM input'!$V$7,0,IF('RFM input'!$G$354="Tracked",-1*INDEX('RFM input'!P$358:P$407,MATCH('TAB roll forward'!$C137,'RFM input'!$E$358:$E$407,0)),-SUM(P125:P136)))</f>
        <v>0</v>
      </c>
      <c r="Q137" s="1460">
        <f>IF(COUNT($H137:P137)&gt;='RFM input'!$V$7,0,IF('RFM input'!$G$354="Tracked",-1*INDEX('RFM input'!Q$358:Q$407,MATCH('TAB roll forward'!$C137,'RFM input'!$E$358:$E$407,0)),-SUM(Q125:Q136)))</f>
        <v>0</v>
      </c>
      <c r="R137" s="1382"/>
      <c r="S137" s="73"/>
      <c r="T137" s="73"/>
      <c r="U137" s="73"/>
      <c r="V137" s="73"/>
      <c r="W137" s="73"/>
      <c r="X137" s="73"/>
      <c r="Y137" s="73"/>
      <c r="Z137" s="73"/>
      <c r="AA137" s="152"/>
    </row>
    <row r="138" spans="1:27" hidden="1" outlineLevel="2">
      <c r="A138" s="3"/>
      <c r="B138" s="135" t="str">
        <f>Asset3</f>
        <v>Meters</v>
      </c>
      <c r="C138" s="19"/>
      <c r="D138" s="234" t="s">
        <v>119</v>
      </c>
      <c r="E138" s="19"/>
      <c r="F138" s="148"/>
      <c r="G138" s="148"/>
      <c r="H138" s="21">
        <f>IF(H$3&gt;A3taxremlife,A3taxvalue-SUM($F138:F138),IF(A3taxremlife="N/A","n/a",A3taxvalue/A3taxremlife))</f>
        <v>1.7839717779124109</v>
      </c>
      <c r="I138" s="21">
        <f>IF(I$3&gt;A3taxremlife,A3taxvalue-SUM($F138:H138),IF(A3taxremlife="N/A","n/a",A3taxvalue/A3taxremlife))</f>
        <v>1.7839717779124109</v>
      </c>
      <c r="J138" s="21">
        <f>IF(J$3&gt;A3taxremlife,A3taxvalue-SUM($F138:I138),IF(A3taxremlife="N/A","n/a",A3taxvalue/A3taxremlife))</f>
        <v>1.7839717779124109</v>
      </c>
      <c r="K138" s="21">
        <f>IF(K$3&gt;A3taxremlife,A3taxvalue-SUM($F138:J138),IF(A3taxremlife="N/A","n/a",A3taxvalue/A3taxremlife))</f>
        <v>1.7839717779124109</v>
      </c>
      <c r="L138" s="21">
        <f>IF(L$3&gt;A3taxremlife,A3taxvalue-SUM($F138:K138),IF(A3taxremlife="N/A","n/a",A3taxvalue/A3taxremlife))</f>
        <v>1.7839717779124109</v>
      </c>
      <c r="M138" s="21">
        <f>IF(M$3&gt;A3taxremlife,A3taxvalue-SUM($F138:L138),IF(A3taxremlife="N/A","n/a",A3taxvalue/A3taxremlife))</f>
        <v>1.7839717779124109</v>
      </c>
      <c r="N138" s="21">
        <f>IF(N$3&gt;A3taxremlife,A3taxvalue-SUM($F138:M138),IF(A3taxremlife="N/A","n/a",A3taxvalue/A3taxremlife))</f>
        <v>1.7839717779124109</v>
      </c>
      <c r="O138" s="21">
        <f>IF(O$3&gt;A3taxremlife,A3taxvalue-SUM($F138:N138),IF(A3taxremlife="N/A","n/a",A3taxvalue/A3taxremlife))</f>
        <v>1.7839717779124109</v>
      </c>
      <c r="P138" s="21">
        <f>IF(P$3&gt;A3taxremlife,A3taxvalue-SUM($F138:O138),IF(A3taxremlife="N/A","n/a",A3taxvalue/A3taxremlife))</f>
        <v>1.7839717779124109</v>
      </c>
      <c r="Q138" s="21">
        <f>IF(Q$3&gt;A3taxremlife,A3taxvalue-SUM($F138:P138),IF(A3taxremlife="N/A","n/a",A3taxvalue/A3taxremlife))</f>
        <v>1.7839717779124109</v>
      </c>
      <c r="R138" s="21"/>
      <c r="S138" s="74"/>
      <c r="T138" s="74"/>
      <c r="U138" s="74"/>
      <c r="V138" s="74"/>
      <c r="W138" s="74"/>
      <c r="X138" s="74"/>
      <c r="Y138" s="74"/>
      <c r="Z138" s="74"/>
      <c r="AA138" s="152"/>
    </row>
    <row r="139" spans="1:27" ht="12.75" hidden="1" customHeight="1" outlineLevel="2">
      <c r="A139" s="3"/>
      <c r="B139" s="3"/>
      <c r="C139" s="16"/>
      <c r="D139" s="1593" t="s">
        <v>43</v>
      </c>
      <c r="E139" s="61"/>
      <c r="F139" s="17"/>
      <c r="G139" s="17"/>
      <c r="H139" s="1413"/>
      <c r="I139" s="72"/>
      <c r="J139" s="18"/>
      <c r="K139" s="18"/>
      <c r="L139" s="18"/>
      <c r="M139" s="18"/>
      <c r="N139" s="18"/>
      <c r="O139" s="18"/>
      <c r="P139" s="18"/>
      <c r="Q139" s="18"/>
      <c r="R139" s="18"/>
      <c r="S139" s="74"/>
      <c r="T139" s="74"/>
      <c r="U139" s="74"/>
      <c r="V139" s="74"/>
      <c r="W139" s="74"/>
      <c r="X139" s="74"/>
      <c r="Y139" s="74"/>
      <c r="Z139" s="74"/>
      <c r="AA139" s="152"/>
    </row>
    <row r="140" spans="1:27" hidden="1" outlineLevel="2">
      <c r="A140" s="3"/>
      <c r="B140" s="3"/>
      <c r="C140" s="16"/>
      <c r="D140" s="1594"/>
      <c r="E140" s="61">
        <v>1</v>
      </c>
      <c r="F140" s="17"/>
      <c r="G140" s="17"/>
      <c r="H140" s="1414"/>
      <c r="I140" s="1415">
        <f>IF(A3taxstdlife="n/a","n/a",IF(I$3&gt;(A3taxstdlife+$E140),('RFM input'!$H$63-'RFM input'!$H$117)-SUM($H140:H140),('RFM input'!$H$63-'RFM input'!$H$117)/A3taxstdlife))</f>
        <v>0.19362028727700198</v>
      </c>
      <c r="J140" s="18">
        <f>IF(A3taxstdlife="n/a","n/a",IF(J$3&gt;(A3taxstdlife+$E140),('RFM input'!$H$63-'RFM input'!$H$117)-SUM($H140:I140),('RFM input'!$H$63-'RFM input'!$H$117)/A3taxstdlife))</f>
        <v>0.19362028727700198</v>
      </c>
      <c r="K140" s="18">
        <f>IF(A3taxstdlife="n/a","n/a",IF(K$3&gt;(A3taxstdlife+$E140),('RFM input'!$H$63-'RFM input'!$H$117)-SUM($H140:J140),('RFM input'!$H$63-'RFM input'!$H$117)/A3taxstdlife))</f>
        <v>0.19362028727700198</v>
      </c>
      <c r="L140" s="18">
        <f>IF(A3taxstdlife="n/a","n/a",IF(L$3&gt;(A3taxstdlife+$E140),('RFM input'!$H$63-'RFM input'!$H$117)-SUM($H140:K140),('RFM input'!$H$63-'RFM input'!$H$117)/A3taxstdlife))</f>
        <v>0.19362028727700198</v>
      </c>
      <c r="M140" s="18">
        <f>IF(A3taxstdlife="n/a","n/a",IF(M$3&gt;(A3taxstdlife+$E140),('RFM input'!$H$63-'RFM input'!$H$117)-SUM($H140:L140),('RFM input'!$H$63-'RFM input'!$H$117)/A3taxstdlife))</f>
        <v>0.19362028727700198</v>
      </c>
      <c r="N140" s="18">
        <f>IF(A3taxstdlife="n/a","n/a",IF(N$3&gt;(A3taxstdlife+$E140),('RFM input'!$H$63-'RFM input'!$H$117)-SUM($H140:M140),('RFM input'!$H$63-'RFM input'!$H$117)/A3taxstdlife))</f>
        <v>0.19362028727700198</v>
      </c>
      <c r="O140" s="18">
        <f>IF(A3taxstdlife="n/a","n/a",IF(O$3&gt;(A3taxstdlife+$E140),('RFM input'!$H$63-'RFM input'!$H$117)-SUM($H140:N140),('RFM input'!$H$63-'RFM input'!$H$117)/A3taxstdlife))</f>
        <v>0.19362028727700198</v>
      </c>
      <c r="P140" s="18">
        <f>IF(A3taxstdlife="n/a","n/a",IF(P$3&gt;(A3taxstdlife+$E140),('RFM input'!$H$63-'RFM input'!$H$117)-SUM($H140:O140),('RFM input'!$H$63-'RFM input'!$H$117)/A3taxstdlife))</f>
        <v>0.19362028727700198</v>
      </c>
      <c r="Q140" s="18">
        <f>IF(A3taxstdlife="n/a","n/a",IF(Q$3&gt;(A3taxstdlife+$E140),('RFM input'!$H$63-'RFM input'!$H$117)-SUM($H140:P140),('RFM input'!$H$63-'RFM input'!$H$117)/A3taxstdlife))</f>
        <v>0.19362028727700198</v>
      </c>
      <c r="R140" s="18"/>
      <c r="S140" s="74"/>
      <c r="T140" s="74"/>
      <c r="U140" s="74"/>
      <c r="V140" s="74"/>
      <c r="W140" s="74"/>
      <c r="X140" s="74"/>
      <c r="Y140" s="74"/>
      <c r="Z140" s="74"/>
      <c r="AA140" s="152"/>
    </row>
    <row r="141" spans="1:27" hidden="1" outlineLevel="2">
      <c r="A141" s="3"/>
      <c r="B141" s="3"/>
      <c r="C141" s="16"/>
      <c r="D141" s="1594"/>
      <c r="E141" s="61">
        <v>2</v>
      </c>
      <c r="F141" s="17"/>
      <c r="G141" s="17"/>
      <c r="H141" s="1414"/>
      <c r="I141" s="1414"/>
      <c r="J141" s="18">
        <f>IF(A3taxstdlife="n/a","n/a",IF(J$3&gt;(A3taxstdlife+$E141),('RFM input'!$I$63-'RFM input'!$I$117)-SUM($I141:I141),('RFM input'!$I$63-'RFM input'!$I$117)/A3taxstdlife))</f>
        <v>0.19627005003667441</v>
      </c>
      <c r="K141" s="18">
        <f>IF(A3taxstdlife="n/a","n/a",IF(K$3&gt;(A3taxstdlife+$E141),('RFM input'!$I$63-'RFM input'!$I$117)-SUM($I141:J141),('RFM input'!$I$63-'RFM input'!$I$117)/A3taxstdlife))</f>
        <v>0.19627005003667441</v>
      </c>
      <c r="L141" s="18">
        <f>IF(A3taxstdlife="n/a","n/a",IF(L$3&gt;(A3taxstdlife+$E141),('RFM input'!$I$63-'RFM input'!$I$117)-SUM($I141:K141),('RFM input'!$I$63-'RFM input'!$I$117)/A3taxstdlife))</f>
        <v>0.19627005003667441</v>
      </c>
      <c r="M141" s="18">
        <f>IF(A3taxstdlife="n/a","n/a",IF(M$3&gt;(A3taxstdlife+$E141),('RFM input'!$I$63-'RFM input'!$I$117)-SUM($I141:L141),('RFM input'!$I$63-'RFM input'!$I$117)/A3taxstdlife))</f>
        <v>0.19627005003667441</v>
      </c>
      <c r="N141" s="18">
        <f>IF(A3taxstdlife="n/a","n/a",IF(N$3&gt;(A3taxstdlife+$E141),('RFM input'!$I$63-'RFM input'!$I$117)-SUM($I141:M141),('RFM input'!$I$63-'RFM input'!$I$117)/A3taxstdlife))</f>
        <v>0.19627005003667441</v>
      </c>
      <c r="O141" s="18">
        <f>IF(A3taxstdlife="n/a","n/a",IF(O$3&gt;(A3taxstdlife+$E141),('RFM input'!$I$63-'RFM input'!$I$117)-SUM($I141:N141),('RFM input'!$I$63-'RFM input'!$I$117)/A3taxstdlife))</f>
        <v>0.19627005003667441</v>
      </c>
      <c r="P141" s="18">
        <f>IF(A3taxstdlife="n/a","n/a",IF(P$3&gt;(A3taxstdlife+$E141),('RFM input'!$I$63-'RFM input'!$I$117)-SUM($I141:O141),('RFM input'!$I$63-'RFM input'!$I$117)/A3taxstdlife))</f>
        <v>0.19627005003667441</v>
      </c>
      <c r="Q141" s="18">
        <f>IF(A3taxstdlife="n/a","n/a",IF(Q$3&gt;(A3taxstdlife+$E141),('RFM input'!$I$63-'RFM input'!$I$117)-SUM($I141:P141),('RFM input'!$I$63-'RFM input'!$I$117)/A3taxstdlife))</f>
        <v>0.19627005003667441</v>
      </c>
      <c r="R141" s="18"/>
      <c r="S141" s="74"/>
      <c r="T141" s="74"/>
      <c r="U141" s="74"/>
      <c r="V141" s="74"/>
      <c r="W141" s="74"/>
      <c r="X141" s="74"/>
      <c r="Y141" s="74"/>
      <c r="Z141" s="74"/>
      <c r="AA141" s="152"/>
    </row>
    <row r="142" spans="1:27" hidden="1" outlineLevel="2">
      <c r="A142" s="3"/>
      <c r="B142" s="3"/>
      <c r="C142" s="16"/>
      <c r="D142" s="1594"/>
      <c r="E142" s="61">
        <v>3</v>
      </c>
      <c r="F142" s="17"/>
      <c r="G142" s="17"/>
      <c r="H142" s="1414"/>
      <c r="I142" s="1414"/>
      <c r="J142" s="116"/>
      <c r="K142" s="18">
        <f>IF(A3taxstdlife="n/a","n/a",IF(K$3&gt;(A3taxstdlife+$E142),('RFM input'!$J$63-'RFM input'!$J$117)-SUM($J142:J142),('RFM input'!$J$63-'RFM input'!$J$117)/A3taxstdlife))</f>
        <v>0.23234726654557999</v>
      </c>
      <c r="L142" s="18">
        <f>IF(A3taxstdlife="n/a","n/a",IF(L$3&gt;(A3taxstdlife+$E142),('RFM input'!$J$63-'RFM input'!$J$117)-SUM($J142:K142),('RFM input'!$J$63-'RFM input'!$J$117)/A3taxstdlife))</f>
        <v>0.23234726654557999</v>
      </c>
      <c r="M142" s="18">
        <f>IF(A3taxstdlife="n/a","n/a",IF(M$3&gt;(A3taxstdlife+$E142),('RFM input'!$J$63-'RFM input'!$J$117)-SUM($J142:L142),('RFM input'!$J$63-'RFM input'!$J$117)/A3taxstdlife))</f>
        <v>0.23234726654557999</v>
      </c>
      <c r="N142" s="18">
        <f>IF(A3taxstdlife="n/a","n/a",IF(N$3&gt;(A3taxstdlife+$E142),('RFM input'!$J$63-'RFM input'!$J$117)-SUM($J142:M142),('RFM input'!$J$63-'RFM input'!$J$117)/A3taxstdlife))</f>
        <v>0.23234726654557999</v>
      </c>
      <c r="O142" s="18">
        <f>IF(A3taxstdlife="n/a","n/a",IF(O$3&gt;(A3taxstdlife+$E142),('RFM input'!$J$63-'RFM input'!$J$117)-SUM($J142:N142),('RFM input'!$J$63-'RFM input'!$J$117)/A3taxstdlife))</f>
        <v>0.23234726654557999</v>
      </c>
      <c r="P142" s="18">
        <f>IF(A3taxstdlife="n/a","n/a",IF(P$3&gt;(A3taxstdlife+$E142),('RFM input'!$J$63-'RFM input'!$J$117)-SUM($J142:O142),('RFM input'!$J$63-'RFM input'!$J$117)/A3taxstdlife))</f>
        <v>0.23234726654557999</v>
      </c>
      <c r="Q142" s="18">
        <f>IF(A3taxstdlife="n/a","n/a",IF(Q$3&gt;(A3taxstdlife+$E142),('RFM input'!$J$63-'RFM input'!$J$117)-SUM($J142:P142),('RFM input'!$J$63-'RFM input'!$J$117)/A3taxstdlife))</f>
        <v>0.23234726654557999</v>
      </c>
      <c r="R142" s="18"/>
      <c r="S142" s="74"/>
      <c r="T142" s="74"/>
      <c r="U142" s="74"/>
      <c r="V142" s="74"/>
      <c r="W142" s="74"/>
      <c r="X142" s="74"/>
      <c r="Y142" s="74"/>
      <c r="Z142" s="74"/>
      <c r="AA142" s="152"/>
    </row>
    <row r="143" spans="1:27" hidden="1" outlineLevel="2">
      <c r="A143" s="3"/>
      <c r="B143" s="3"/>
      <c r="C143" s="16"/>
      <c r="D143" s="1594"/>
      <c r="E143" s="61">
        <v>4</v>
      </c>
      <c r="F143" s="17"/>
      <c r="G143" s="17"/>
      <c r="H143" s="1414"/>
      <c r="I143" s="1414"/>
      <c r="J143" s="115"/>
      <c r="K143" s="116"/>
      <c r="L143" s="18">
        <f>IF(A3taxstdlife="n/a","n/a",IF(L$3&gt;(A3taxstdlife+$E143),('RFM input'!$K$63-'RFM input'!$K$117)-SUM($K143:K143),('RFM input'!$K$63-'RFM input'!$K$117)/A3taxstdlife))</f>
        <v>0.12128484263440302</v>
      </c>
      <c r="M143" s="18">
        <f>IF(A3taxstdlife="n/a","n/a",IF(M$3&gt;(A3taxstdlife+$E143),('RFM input'!$K$63-'RFM input'!$K$117)-SUM($K143:L143),('RFM input'!$K$63-'RFM input'!$K$117)/A3taxstdlife))</f>
        <v>0.12128484263440302</v>
      </c>
      <c r="N143" s="18">
        <f>IF(A3taxstdlife="n/a","n/a",IF(N$3&gt;(A3taxstdlife+$E143),('RFM input'!$K$63-'RFM input'!$K$117)-SUM($K143:M143),('RFM input'!$K$63-'RFM input'!$K$117)/A3taxstdlife))</f>
        <v>0.12128484263440302</v>
      </c>
      <c r="O143" s="18">
        <f>IF(A3taxstdlife="n/a","n/a",IF(O$3&gt;(A3taxstdlife+$E143),('RFM input'!$K$63-'RFM input'!$K$117)-SUM($K143:N143),('RFM input'!$K$63-'RFM input'!$K$117)/A3taxstdlife))</f>
        <v>0.12128484263440302</v>
      </c>
      <c r="P143" s="18">
        <f>IF(A3taxstdlife="n/a","n/a",IF(P$3&gt;(A3taxstdlife+$E143),('RFM input'!$K$63-'RFM input'!$K$117)-SUM($K143:O143),('RFM input'!$K$63-'RFM input'!$K$117)/A3taxstdlife))</f>
        <v>0.12128484263440302</v>
      </c>
      <c r="Q143" s="18">
        <f>IF(A3taxstdlife="n/a","n/a",IF(Q$3&gt;(A3taxstdlife+$E143),('RFM input'!$K$63-'RFM input'!$K$117)-SUM($K143:P143),('RFM input'!$K$63-'RFM input'!$K$117)/A3taxstdlife))</f>
        <v>0.12128484263440302</v>
      </c>
      <c r="R143" s="18"/>
      <c r="S143" s="74"/>
      <c r="T143" s="74"/>
      <c r="U143" s="74"/>
      <c r="V143" s="74"/>
      <c r="W143" s="74"/>
      <c r="X143" s="74"/>
      <c r="Y143" s="74"/>
      <c r="Z143" s="74"/>
      <c r="AA143" s="152"/>
    </row>
    <row r="144" spans="1:27" hidden="1" outlineLevel="2">
      <c r="A144" s="3"/>
      <c r="B144" s="3"/>
      <c r="C144" s="16"/>
      <c r="D144" s="1594"/>
      <c r="E144" s="61">
        <v>5</v>
      </c>
      <c r="F144" s="17"/>
      <c r="G144" s="17"/>
      <c r="H144" s="1414"/>
      <c r="I144" s="1414"/>
      <c r="J144" s="115"/>
      <c r="K144" s="115"/>
      <c r="L144" s="116"/>
      <c r="M144" s="18">
        <f>IF(A3taxstdlife="n/a","n/a",IF(M$3&gt;(A3taxstdlife+$E144),('RFM input'!$L$63-'RFM input'!$L$117)-SUM($L144:L144),('RFM input'!$L$63-'RFM input'!$L$117)/A3taxstdlife))</f>
        <v>0.14068558612629883</v>
      </c>
      <c r="N144" s="18">
        <f>IF(A3taxstdlife="n/a","n/a",IF(N$3&gt;(A3taxstdlife+$E144),('RFM input'!$L$63-'RFM input'!$L$117)-SUM($L144:M144),('RFM input'!$L$63-'RFM input'!$L$117)/A3taxstdlife))</f>
        <v>0.14068558612629883</v>
      </c>
      <c r="O144" s="18">
        <f>IF(A3taxstdlife="n/a","n/a",IF(O$3&gt;(A3taxstdlife+$E144),('RFM input'!$L$63-'RFM input'!$L$117)-SUM($L144:N144),('RFM input'!$L$63-'RFM input'!$L$117)/A3taxstdlife))</f>
        <v>0.14068558612629883</v>
      </c>
      <c r="P144" s="18">
        <f>IF(A3taxstdlife="n/a","n/a",IF(P$3&gt;(A3taxstdlife+$E144),('RFM input'!$L$63-'RFM input'!$L$117)-SUM($L144:O144),('RFM input'!$L$63-'RFM input'!$L$117)/A3taxstdlife))</f>
        <v>0.14068558612629883</v>
      </c>
      <c r="Q144" s="18">
        <f>IF(A3taxstdlife="n/a","n/a",IF(Q$3&gt;(A3taxstdlife+$E144),('RFM input'!$L$63-'RFM input'!$L$117)-SUM($L144:P144),('RFM input'!$L$63-'RFM input'!$L$117)/A3taxstdlife))</f>
        <v>0.14068558612629883</v>
      </c>
      <c r="R144" s="18"/>
      <c r="S144" s="74"/>
      <c r="T144" s="74"/>
      <c r="U144" s="74"/>
      <c r="V144" s="74"/>
      <c r="W144" s="74"/>
      <c r="X144" s="74"/>
      <c r="Y144" s="74"/>
      <c r="Z144" s="74"/>
      <c r="AA144" s="152"/>
    </row>
    <row r="145" spans="1:27" hidden="1" outlineLevel="2">
      <c r="A145" s="3"/>
      <c r="B145" s="3"/>
      <c r="C145" s="16"/>
      <c r="D145" s="1594"/>
      <c r="E145" s="61">
        <v>6</v>
      </c>
      <c r="F145" s="17"/>
      <c r="G145" s="17"/>
      <c r="H145" s="1414"/>
      <c r="I145" s="1414"/>
      <c r="J145" s="115"/>
      <c r="K145" s="115"/>
      <c r="L145" s="115"/>
      <c r="M145" s="116"/>
      <c r="N145" s="18">
        <f>IF(A3taxstdlife="n/a","n/a",IF(N$3&gt;(A3taxstdlife+$E145),('RFM input'!$M$63-'RFM input'!$M$117)-SUM($M145:M145),('RFM input'!$M$63-'RFM input'!$M$117)/A3taxstdlife))</f>
        <v>0.13082101378261432</v>
      </c>
      <c r="O145" s="18">
        <f>IF(A3taxstdlife="n/a","n/a",IF(O$3&gt;(A3taxstdlife+$E145),('RFM input'!$M$63-'RFM input'!$M$117)-SUM($M145:N145),('RFM input'!$M$63-'RFM input'!$M$117)/A3taxstdlife))</f>
        <v>0.13082101378261432</v>
      </c>
      <c r="P145" s="18">
        <f>IF(A3taxstdlife="n/a","n/a",IF(P$3&gt;(A3taxstdlife+$E145),('RFM input'!$M$63-'RFM input'!$M$117)-SUM($M145:O145),('RFM input'!$M$63-'RFM input'!$M$117)/A3taxstdlife))</f>
        <v>0.13082101378261432</v>
      </c>
      <c r="Q145" s="18">
        <f>IF(A3taxstdlife="n/a","n/a",IF(Q$3&gt;(A3taxstdlife+$E145),('RFM input'!$M$63-'RFM input'!$M$117)-SUM($M145:P145),('RFM input'!$M$63-'RFM input'!$M$117)/A3taxstdlife))</f>
        <v>0.13082101378261432</v>
      </c>
      <c r="R145" s="18"/>
      <c r="S145" s="74"/>
      <c r="T145" s="74"/>
      <c r="U145" s="74"/>
      <c r="V145" s="74"/>
      <c r="W145" s="74"/>
      <c r="X145" s="74"/>
      <c r="Y145" s="74"/>
      <c r="Z145" s="74"/>
      <c r="AA145" s="152"/>
    </row>
    <row r="146" spans="1:27" hidden="1" outlineLevel="2">
      <c r="A146" s="3"/>
      <c r="B146" s="3"/>
      <c r="C146" s="16"/>
      <c r="D146" s="1594"/>
      <c r="E146" s="61">
        <v>7</v>
      </c>
      <c r="F146" s="17"/>
      <c r="G146" s="17"/>
      <c r="H146" s="1414"/>
      <c r="I146" s="1414"/>
      <c r="J146" s="115"/>
      <c r="K146" s="115"/>
      <c r="L146" s="115"/>
      <c r="M146" s="115"/>
      <c r="N146" s="116"/>
      <c r="O146" s="18">
        <f>IF(A3taxstdlife="n/a","n/a",IF(O$3&gt;(A3taxstdlife+$E146),('RFM input'!$N$63-'RFM input'!$N$117)-SUM($N146:N146),('RFM input'!$N$63-'RFM input'!$N$117)/A3taxstdlife))</f>
        <v>6.3490888962804887E-2</v>
      </c>
      <c r="P146" s="18">
        <f>IF(A3taxstdlife="n/a","n/a",IF(P$3&gt;(A3taxstdlife+$E146),('RFM input'!$N$63-'RFM input'!$N$117)-SUM($N146:O146),('RFM input'!$N$63-'RFM input'!$N$117)/A3taxstdlife))</f>
        <v>6.3490888962804887E-2</v>
      </c>
      <c r="Q146" s="18">
        <f>IF(A3taxstdlife="n/a","n/a",IF(Q$3&gt;(A3taxstdlife+$E146),('RFM input'!$N$63-'RFM input'!$N$117)-SUM($N146:P146),('RFM input'!$N$63-'RFM input'!$N$117)/A3taxstdlife))</f>
        <v>6.3490888962804887E-2</v>
      </c>
      <c r="R146" s="18"/>
      <c r="S146" s="74"/>
      <c r="T146" s="74"/>
      <c r="U146" s="74"/>
      <c r="V146" s="74"/>
      <c r="W146" s="74"/>
      <c r="X146" s="74"/>
      <c r="Y146" s="74"/>
      <c r="Z146" s="74"/>
      <c r="AA146" s="152"/>
    </row>
    <row r="147" spans="1:27" hidden="1" outlineLevel="2">
      <c r="A147" s="3"/>
      <c r="B147" s="3"/>
      <c r="C147" s="16"/>
      <c r="D147" s="1594"/>
      <c r="E147" s="61">
        <v>8</v>
      </c>
      <c r="F147" s="17"/>
      <c r="G147" s="17"/>
      <c r="H147" s="1414"/>
      <c r="I147" s="1414"/>
      <c r="J147" s="115"/>
      <c r="K147" s="115"/>
      <c r="L147" s="115"/>
      <c r="M147" s="115"/>
      <c r="N147" s="115"/>
      <c r="O147" s="116"/>
      <c r="P147" s="18">
        <f>IF(A3taxstdlife="n/a","n/a",IF(P$3&gt;(A3taxstdlife+$E147),('RFM input'!$O$63-'RFM input'!$O$117)-SUM($O147:O147),('RFM input'!$O$63-'RFM input'!$O$117)/A3taxstdlife))</f>
        <v>0</v>
      </c>
      <c r="Q147" s="18">
        <f>IF(A3taxstdlife="n/a","n/a",IF(Q$3&gt;(A3taxstdlife+$E147),('RFM input'!$O$63-'RFM input'!$O$117)-SUM($O147:P147),('RFM input'!$O$63-'RFM input'!$O$117)/A3taxstdlife))</f>
        <v>0</v>
      </c>
      <c r="R147" s="18"/>
      <c r="S147" s="74"/>
      <c r="T147" s="74"/>
      <c r="U147" s="74"/>
      <c r="V147" s="74"/>
      <c r="W147" s="74"/>
      <c r="X147" s="74"/>
      <c r="Y147" s="74"/>
      <c r="Z147" s="74"/>
      <c r="AA147" s="152"/>
    </row>
    <row r="148" spans="1:27" hidden="1" outlineLevel="2">
      <c r="A148" s="3"/>
      <c r="B148" s="3"/>
      <c r="C148" s="16"/>
      <c r="D148" s="1594"/>
      <c r="E148" s="61">
        <v>9</v>
      </c>
      <c r="F148" s="17"/>
      <c r="G148" s="17"/>
      <c r="H148" s="1414"/>
      <c r="I148" s="1414"/>
      <c r="J148" s="115"/>
      <c r="K148" s="115"/>
      <c r="L148" s="115"/>
      <c r="M148" s="115"/>
      <c r="N148" s="115"/>
      <c r="O148" s="115"/>
      <c r="P148" s="116"/>
      <c r="Q148" s="18">
        <f>IF(A3taxstdlife="n/a","n/a",IF(Q$3&gt;(A3taxstdlife+$E148),('RFM input'!$P$63-'RFM input'!$P$117)-SUM($P148:P148),('RFM input'!$P$63-'RFM input'!$P$117)/A3taxstdlife))</f>
        <v>0</v>
      </c>
      <c r="R148" s="18"/>
      <c r="S148" s="74"/>
      <c r="T148" s="74"/>
      <c r="U148" s="74"/>
      <c r="V148" s="74"/>
      <c r="W148" s="74"/>
      <c r="X148" s="74"/>
      <c r="Y148" s="74"/>
      <c r="Z148" s="74"/>
      <c r="AA148" s="152"/>
    </row>
    <row r="149" spans="1:27" hidden="1" outlineLevel="2">
      <c r="A149" s="3"/>
      <c r="B149" s="3"/>
      <c r="C149" s="16"/>
      <c r="D149" s="1594"/>
      <c r="E149" s="62">
        <v>10</v>
      </c>
      <c r="F149" s="17"/>
      <c r="G149" s="17"/>
      <c r="H149" s="1414"/>
      <c r="I149" s="1414"/>
      <c r="J149" s="115"/>
      <c r="K149" s="115"/>
      <c r="L149" s="115"/>
      <c r="M149" s="115"/>
      <c r="N149" s="115"/>
      <c r="O149" s="115"/>
      <c r="P149" s="115"/>
      <c r="Q149" s="116"/>
      <c r="R149" s="18"/>
      <c r="S149" s="74"/>
      <c r="T149" s="74"/>
      <c r="U149" s="74"/>
      <c r="V149" s="74"/>
      <c r="W149" s="74"/>
      <c r="X149" s="74"/>
      <c r="Y149" s="74"/>
      <c r="Z149" s="74"/>
      <c r="AA149" s="152"/>
    </row>
    <row r="150" spans="1:27" hidden="1" outlineLevel="1">
      <c r="A150" s="3"/>
      <c r="B150" s="3"/>
      <c r="C150" s="134" t="str">
        <f>Asset3</f>
        <v>Meters</v>
      </c>
      <c r="D150" s="3"/>
      <c r="E150" s="3"/>
      <c r="F150" s="14"/>
      <c r="G150" s="14"/>
      <c r="H150" s="1460">
        <f>IF('RFM input'!$G$354="Tracked",-1*INDEX('RFM input'!H$358:H$407,MATCH('TAB roll forward'!$C150,'RFM input'!$E$358:$E$407,0)),-SUM(H138:H149))</f>
        <v>-1.7839717779124109</v>
      </c>
      <c r="I150" s="1460">
        <f>IF('RFM input'!$G$354="Tracked",-1*INDEX('RFM input'!I$358:I$407,MATCH('TAB roll forward'!$C150,'RFM input'!$E$358:$E$407,0)),-SUM(I138:I149))</f>
        <v>-1.977592065189413</v>
      </c>
      <c r="J150" s="1460">
        <f>IF(COUNT($H150:I150)&gt;='RFM input'!$V$7,0,IF('RFM input'!$G$354="Tracked",-1*INDEX('RFM input'!J$358:J$407,MATCH('TAB roll forward'!$C150,'RFM input'!$E$358:$E$407,0)),-SUM(J138:J149)))</f>
        <v>-2.1738621152260875</v>
      </c>
      <c r="K150" s="1460">
        <f>IF(COUNT($H150:J150)&gt;='RFM input'!$V$7,0,IF('RFM input'!$G$354="Tracked",-1*INDEX('RFM input'!K$358:K$407,MATCH('TAB roll forward'!$C150,'RFM input'!$E$358:$E$407,0)),-SUM(K138:K149)))</f>
        <v>-2.4062093817716677</v>
      </c>
      <c r="L150" s="1460">
        <f>IF(COUNT($H150:K150)&gt;='RFM input'!$V$7,0,IF('RFM input'!$G$354="Tracked",-1*INDEX('RFM input'!L$358:L$407,MATCH('TAB roll forward'!$C150,'RFM input'!$E$358:$E$407,0)),-SUM(L138:L149)))</f>
        <v>-2.5274942244060705</v>
      </c>
      <c r="M150" s="1460">
        <f>IF(COUNT($H150:L150)&gt;='RFM input'!$V$7,0,IF('RFM input'!$G$354="Tracked",-1*INDEX('RFM input'!M$358:M$407,MATCH('TAB roll forward'!$C150,'RFM input'!$E$358:$E$407,0)),-SUM(M138:M149)))</f>
        <v>-2.6681798105323695</v>
      </c>
      <c r="N150" s="1460">
        <f>IF(COUNT($H150:M150)&gt;='RFM input'!$V$7,0,IF('RFM input'!$G$354="Tracked",-1*INDEX('RFM input'!N$358:N$407,MATCH('TAB roll forward'!$C150,'RFM input'!$E$358:$E$407,0)),-SUM(N138:N149)))</f>
        <v>-2.7990008243149838</v>
      </c>
      <c r="O150" s="1460">
        <f>IF(COUNT($H150:N150)&gt;='RFM input'!$V$7,0,IF('RFM input'!$G$354="Tracked",-1*INDEX('RFM input'!O$358:O$407,MATCH('TAB roll forward'!$C150,'RFM input'!$E$358:$E$407,0)),-SUM(O138:O149)))</f>
        <v>0</v>
      </c>
      <c r="P150" s="1460">
        <f>IF(COUNT($H150:O150)&gt;='RFM input'!$V$7,0,IF('RFM input'!$G$354="Tracked",-1*INDEX('RFM input'!P$358:P$407,MATCH('TAB roll forward'!$C150,'RFM input'!$E$358:$E$407,0)),-SUM(P138:P149)))</f>
        <v>0</v>
      </c>
      <c r="Q150" s="1460">
        <f>IF(COUNT($H150:P150)&gt;='RFM input'!$V$7,0,IF('RFM input'!$G$354="Tracked",-1*INDEX('RFM input'!Q$358:Q$407,MATCH('TAB roll forward'!$C150,'RFM input'!$E$358:$E$407,0)),-SUM(Q138:Q149)))</f>
        <v>0</v>
      </c>
      <c r="R150" s="1382"/>
      <c r="S150" s="73"/>
      <c r="T150" s="73"/>
      <c r="U150" s="73"/>
      <c r="V150" s="73"/>
      <c r="W150" s="73"/>
      <c r="X150" s="73"/>
      <c r="Y150" s="73"/>
      <c r="Z150" s="73"/>
      <c r="AA150" s="152"/>
    </row>
    <row r="151" spans="1:27" ht="12.75" hidden="1" customHeight="1" outlineLevel="2">
      <c r="A151" s="3"/>
      <c r="B151" s="135" t="str">
        <f>Asset4</f>
        <v>Telemetry</v>
      </c>
      <c r="C151" s="19"/>
      <c r="D151" s="234" t="s">
        <v>119</v>
      </c>
      <c r="E151" s="19"/>
      <c r="F151" s="148"/>
      <c r="G151" s="148"/>
      <c r="H151" s="21">
        <f>IF(H$3&gt;A4taxremlife,A4taxvalue-SUM($F151:F151),IF(A4taxremlife="N/A","n/a",A4taxvalue/A4taxremlife))</f>
        <v>0.16548787726341249</v>
      </c>
      <c r="I151" s="21">
        <f>IF(I$3&gt;A4taxremlife,A4taxvalue-SUM($F151:H151),IF(A4taxremlife="N/A","n/a",A4taxvalue/A4taxremlife))</f>
        <v>0.16548787726341249</v>
      </c>
      <c r="J151" s="21">
        <f>IF(J$3&gt;A4taxremlife,A4taxvalue-SUM($F151:I151),IF(A4taxremlife="N/A","n/a",A4taxvalue/A4taxremlife))</f>
        <v>0.16548787726341249</v>
      </c>
      <c r="K151" s="21">
        <f>IF(K$3&gt;A4taxremlife,A4taxvalue-SUM($F151:J151),IF(A4taxremlife="N/A","n/a",A4taxvalue/A4taxremlife))</f>
        <v>0.16548787726341249</v>
      </c>
      <c r="L151" s="21">
        <f>IF(L$3&gt;A4taxremlife,A4taxvalue-SUM($F151:K151),IF(A4taxremlife="N/A","n/a",A4taxvalue/A4taxremlife))</f>
        <v>0.16548787726341249</v>
      </c>
      <c r="M151" s="21">
        <f>IF(M$3&gt;A4taxremlife,A4taxvalue-SUM($F151:L151),IF(A4taxremlife="N/A","n/a",A4taxvalue/A4taxremlife))</f>
        <v>0.16548787726341249</v>
      </c>
      <c r="N151" s="21">
        <f>IF(N$3&gt;A4taxremlife,A4taxvalue-SUM($F151:M151),IF(A4taxremlife="N/A","n/a",A4taxvalue/A4taxremlife))</f>
        <v>0.16548787726341249</v>
      </c>
      <c r="O151" s="21">
        <f>IF(O$3&gt;A4taxremlife,A4taxvalue-SUM($F151:N151),IF(A4taxremlife="N/A","n/a",A4taxvalue/A4taxremlife))</f>
        <v>0.16548787726341249</v>
      </c>
      <c r="P151" s="21">
        <f>IF(P$3&gt;A4taxremlife,A4taxvalue-SUM($F151:O151),IF(A4taxremlife="N/A","n/a",A4taxvalue/A4taxremlife))</f>
        <v>7.313501639486697E-2</v>
      </c>
      <c r="Q151" s="21">
        <f>IF(Q$3&gt;A4taxremlife,A4taxvalue-SUM($F151:P151),IF(A4taxremlife="N/A","n/a",A4taxvalue/A4taxremlife))</f>
        <v>0</v>
      </c>
      <c r="R151" s="21"/>
      <c r="S151" s="74"/>
      <c r="T151" s="74"/>
      <c r="U151" s="74"/>
      <c r="V151" s="74"/>
      <c r="W151" s="74"/>
      <c r="X151" s="74"/>
      <c r="Y151" s="74"/>
      <c r="Z151" s="74"/>
      <c r="AA151" s="152"/>
    </row>
    <row r="152" spans="1:27" ht="12.75" hidden="1" customHeight="1" outlineLevel="2">
      <c r="A152" s="3"/>
      <c r="B152" s="3"/>
      <c r="C152" s="16"/>
      <c r="D152" s="1593" t="s">
        <v>43</v>
      </c>
      <c r="E152" s="61"/>
      <c r="F152" s="17"/>
      <c r="G152" s="17"/>
      <c r="H152" s="1413"/>
      <c r="I152" s="72"/>
      <c r="J152" s="18"/>
      <c r="K152" s="18"/>
      <c r="L152" s="18"/>
      <c r="M152" s="18"/>
      <c r="N152" s="18"/>
      <c r="O152" s="18"/>
      <c r="P152" s="18"/>
      <c r="Q152" s="18"/>
      <c r="R152" s="18"/>
      <c r="S152" s="74"/>
      <c r="T152" s="74"/>
      <c r="U152" s="74"/>
      <c r="V152" s="74"/>
      <c r="W152" s="74"/>
      <c r="X152" s="74"/>
      <c r="Y152" s="74"/>
      <c r="Z152" s="74"/>
      <c r="AA152" s="152"/>
    </row>
    <row r="153" spans="1:27" ht="12.75" hidden="1" customHeight="1" outlineLevel="2">
      <c r="A153" s="3"/>
      <c r="B153" s="3"/>
      <c r="C153" s="16"/>
      <c r="D153" s="1594"/>
      <c r="E153" s="61">
        <v>1</v>
      </c>
      <c r="F153" s="17"/>
      <c r="G153" s="17"/>
      <c r="H153" s="1414"/>
      <c r="I153" s="1415">
        <f>IF(A4taxstdlife="n/a","n/a",IF(I$3&gt;(A4taxstdlife+$E153),('RFM input'!$H$64-'RFM input'!$H$118)-SUM($H153:H153),('RFM input'!$H$64-'RFM input'!$H$118)/A4taxstdlife))</f>
        <v>3.9043238351205295E-2</v>
      </c>
      <c r="J153" s="18">
        <f>IF(A4taxstdlife="n/a","n/a",IF(J$3&gt;(A4taxstdlife+$E153),('RFM input'!$H$64-'RFM input'!$H$118)-SUM($H153:I153),('RFM input'!$H$64-'RFM input'!$H$118)/A4taxstdlife))</f>
        <v>3.9043238351205295E-2</v>
      </c>
      <c r="K153" s="18">
        <f>IF(A4taxstdlife="n/a","n/a",IF(K$3&gt;(A4taxstdlife+$E153),('RFM input'!$H$64-'RFM input'!$H$118)-SUM($H153:J153),('RFM input'!$H$64-'RFM input'!$H$118)/A4taxstdlife))</f>
        <v>3.9043238351205295E-2</v>
      </c>
      <c r="L153" s="18">
        <f>IF(A4taxstdlife="n/a","n/a",IF(L$3&gt;(A4taxstdlife+$E153),('RFM input'!$H$64-'RFM input'!$H$118)-SUM($H153:K153),('RFM input'!$H$64-'RFM input'!$H$118)/A4taxstdlife))</f>
        <v>3.9043238351205295E-2</v>
      </c>
      <c r="M153" s="18">
        <f>IF(A4taxstdlife="n/a","n/a",IF(M$3&gt;(A4taxstdlife+$E153),('RFM input'!$H$64-'RFM input'!$H$118)-SUM($H153:L153),('RFM input'!$H$64-'RFM input'!$H$118)/A4taxstdlife))</f>
        <v>3.9043238351205295E-2</v>
      </c>
      <c r="N153" s="18">
        <f>IF(A4taxstdlife="n/a","n/a",IF(N$3&gt;(A4taxstdlife+$E153),('RFM input'!$H$64-'RFM input'!$H$118)-SUM($H153:M153),('RFM input'!$H$64-'RFM input'!$H$118)/A4taxstdlife))</f>
        <v>3.9043238351205295E-2</v>
      </c>
      <c r="O153" s="18">
        <f>IF(A4taxstdlife="n/a","n/a",IF(O$3&gt;(A4taxstdlife+$E153),('RFM input'!$H$64-'RFM input'!$H$118)-SUM($H153:N153),('RFM input'!$H$64-'RFM input'!$H$118)/A4taxstdlife))</f>
        <v>3.9043238351205295E-2</v>
      </c>
      <c r="P153" s="18">
        <f>IF(A4taxstdlife="n/a","n/a",IF(P$3&gt;(A4taxstdlife+$E153),('RFM input'!$H$64-'RFM input'!$H$118)-SUM($H153:O153),('RFM input'!$H$64-'RFM input'!$H$118)/A4taxstdlife))</f>
        <v>3.9043238351205295E-2</v>
      </c>
      <c r="Q153" s="18">
        <f>IF(A4taxstdlife="n/a","n/a",IF(Q$3&gt;(A4taxstdlife+$E153),('RFM input'!$H$64-'RFM input'!$H$118)-SUM($H153:P153),('RFM input'!$H$64-'RFM input'!$H$118)/A4taxstdlife))</f>
        <v>3.9043238351205295E-2</v>
      </c>
      <c r="R153" s="18"/>
      <c r="S153" s="74"/>
      <c r="T153" s="74"/>
      <c r="U153" s="74"/>
      <c r="V153" s="74"/>
      <c r="W153" s="74"/>
      <c r="X153" s="74"/>
      <c r="Y153" s="74"/>
      <c r="Z153" s="74"/>
      <c r="AA153" s="152"/>
    </row>
    <row r="154" spans="1:27" ht="12.75" hidden="1" customHeight="1" outlineLevel="2">
      <c r="A154" s="3"/>
      <c r="B154" s="3"/>
      <c r="C154" s="16"/>
      <c r="D154" s="1594"/>
      <c r="E154" s="61">
        <v>2</v>
      </c>
      <c r="F154" s="17"/>
      <c r="G154" s="17"/>
      <c r="H154" s="1414"/>
      <c r="I154" s="1414"/>
      <c r="J154" s="18">
        <f>IF(A4taxstdlife="n/a","n/a",IF(J$3&gt;(A4taxstdlife+$E154),('RFM input'!$I$64-'RFM input'!$I$118)-SUM($I154:I154),('RFM input'!$I$64-'RFM input'!$I$118)/A4taxstdlife))</f>
        <v>1.7168301791136868E-2</v>
      </c>
      <c r="K154" s="18">
        <f>IF(A4taxstdlife="n/a","n/a",IF(K$3&gt;(A4taxstdlife+$E154),('RFM input'!$I$64-'RFM input'!$I$118)-SUM($I154:J154),('RFM input'!$I$64-'RFM input'!$I$118)/A4taxstdlife))</f>
        <v>1.7168301791136868E-2</v>
      </c>
      <c r="L154" s="18">
        <f>IF(A4taxstdlife="n/a","n/a",IF(L$3&gt;(A4taxstdlife+$E154),('RFM input'!$I$64-'RFM input'!$I$118)-SUM($I154:K154),('RFM input'!$I$64-'RFM input'!$I$118)/A4taxstdlife))</f>
        <v>1.7168301791136868E-2</v>
      </c>
      <c r="M154" s="18">
        <f>IF(A4taxstdlife="n/a","n/a",IF(M$3&gt;(A4taxstdlife+$E154),('RFM input'!$I$64-'RFM input'!$I$118)-SUM($I154:L154),('RFM input'!$I$64-'RFM input'!$I$118)/A4taxstdlife))</f>
        <v>1.7168301791136868E-2</v>
      </c>
      <c r="N154" s="18">
        <f>IF(A4taxstdlife="n/a","n/a",IF(N$3&gt;(A4taxstdlife+$E154),('RFM input'!$I$64-'RFM input'!$I$118)-SUM($I154:M154),('RFM input'!$I$64-'RFM input'!$I$118)/A4taxstdlife))</f>
        <v>1.7168301791136868E-2</v>
      </c>
      <c r="O154" s="18">
        <f>IF(A4taxstdlife="n/a","n/a",IF(O$3&gt;(A4taxstdlife+$E154),('RFM input'!$I$64-'RFM input'!$I$118)-SUM($I154:N154),('RFM input'!$I$64-'RFM input'!$I$118)/A4taxstdlife))</f>
        <v>1.7168301791136868E-2</v>
      </c>
      <c r="P154" s="18">
        <f>IF(A4taxstdlife="n/a","n/a",IF(P$3&gt;(A4taxstdlife+$E154),('RFM input'!$I$64-'RFM input'!$I$118)-SUM($I154:O154),('RFM input'!$I$64-'RFM input'!$I$118)/A4taxstdlife))</f>
        <v>1.7168301791136868E-2</v>
      </c>
      <c r="Q154" s="18">
        <f>IF(A4taxstdlife="n/a","n/a",IF(Q$3&gt;(A4taxstdlife+$E154),('RFM input'!$I$64-'RFM input'!$I$118)-SUM($I154:P154),('RFM input'!$I$64-'RFM input'!$I$118)/A4taxstdlife))</f>
        <v>1.7168301791136868E-2</v>
      </c>
      <c r="R154" s="18"/>
      <c r="S154" s="74"/>
      <c r="T154" s="74"/>
      <c r="U154" s="74"/>
      <c r="V154" s="74"/>
      <c r="W154" s="74"/>
      <c r="X154" s="74"/>
      <c r="Y154" s="74"/>
      <c r="Z154" s="74"/>
      <c r="AA154" s="152"/>
    </row>
    <row r="155" spans="1:27" ht="12.75" hidden="1" customHeight="1" outlineLevel="2">
      <c r="A155" s="3"/>
      <c r="B155" s="3"/>
      <c r="C155" s="16"/>
      <c r="D155" s="1594"/>
      <c r="E155" s="61">
        <v>3</v>
      </c>
      <c r="F155" s="17"/>
      <c r="G155" s="17"/>
      <c r="H155" s="1414"/>
      <c r="I155" s="1414"/>
      <c r="J155" s="116"/>
      <c r="K155" s="18">
        <f>IF(A4taxstdlife="n/a","n/a",IF(K$3&gt;(A4taxstdlife+$E155),('RFM input'!$J$64-'RFM input'!$J$118)-SUM($J155:J155),('RFM input'!$J$64-'RFM input'!$J$118)/A4taxstdlife))</f>
        <v>4.9379414650181832E-3</v>
      </c>
      <c r="L155" s="18">
        <f>IF(A4taxstdlife="n/a","n/a",IF(L$3&gt;(A4taxstdlife+$E155),('RFM input'!$J$64-'RFM input'!$J$118)-SUM($J155:K155),('RFM input'!$J$64-'RFM input'!$J$118)/A4taxstdlife))</f>
        <v>4.9379414650181832E-3</v>
      </c>
      <c r="M155" s="18">
        <f>IF(A4taxstdlife="n/a","n/a",IF(M$3&gt;(A4taxstdlife+$E155),('RFM input'!$J$64-'RFM input'!$J$118)-SUM($J155:L155),('RFM input'!$J$64-'RFM input'!$J$118)/A4taxstdlife))</f>
        <v>4.9379414650181832E-3</v>
      </c>
      <c r="N155" s="18">
        <f>IF(A4taxstdlife="n/a","n/a",IF(N$3&gt;(A4taxstdlife+$E155),('RFM input'!$J$64-'RFM input'!$J$118)-SUM($J155:M155),('RFM input'!$J$64-'RFM input'!$J$118)/A4taxstdlife))</f>
        <v>4.9379414650181832E-3</v>
      </c>
      <c r="O155" s="18">
        <f>IF(A4taxstdlife="n/a","n/a",IF(O$3&gt;(A4taxstdlife+$E155),('RFM input'!$J$64-'RFM input'!$J$118)-SUM($J155:N155),('RFM input'!$J$64-'RFM input'!$J$118)/A4taxstdlife))</f>
        <v>4.9379414650181832E-3</v>
      </c>
      <c r="P155" s="18">
        <f>IF(A4taxstdlife="n/a","n/a",IF(P$3&gt;(A4taxstdlife+$E155),('RFM input'!$J$64-'RFM input'!$J$118)-SUM($J155:O155),('RFM input'!$J$64-'RFM input'!$J$118)/A4taxstdlife))</f>
        <v>4.9379414650181832E-3</v>
      </c>
      <c r="Q155" s="18">
        <f>IF(A4taxstdlife="n/a","n/a",IF(Q$3&gt;(A4taxstdlife+$E155),('RFM input'!$J$64-'RFM input'!$J$118)-SUM($J155:P155),('RFM input'!$J$64-'RFM input'!$J$118)/A4taxstdlife))</f>
        <v>4.9379414650181832E-3</v>
      </c>
      <c r="R155" s="18"/>
      <c r="S155" s="74"/>
      <c r="T155" s="74"/>
      <c r="U155" s="74"/>
      <c r="V155" s="74"/>
      <c r="W155" s="74"/>
      <c r="X155" s="74"/>
      <c r="Y155" s="74"/>
      <c r="Z155" s="74"/>
      <c r="AA155" s="152"/>
    </row>
    <row r="156" spans="1:27" ht="12.75" hidden="1" customHeight="1" outlineLevel="2">
      <c r="A156" s="3"/>
      <c r="B156" s="3"/>
      <c r="C156" s="16"/>
      <c r="D156" s="1594"/>
      <c r="E156" s="61">
        <v>4</v>
      </c>
      <c r="F156" s="17"/>
      <c r="G156" s="17"/>
      <c r="H156" s="1414"/>
      <c r="I156" s="1414"/>
      <c r="J156" s="115"/>
      <c r="K156" s="116"/>
      <c r="L156" s="18">
        <f>IF(A4taxstdlife="n/a","n/a",IF(L$3&gt;(A4taxstdlife+$E156),('RFM input'!$K$64-'RFM input'!$K$118)-SUM($K156:K156),('RFM input'!$K$64-'RFM input'!$K$118)/A4taxstdlife))</f>
        <v>1.0525956871572739E-2</v>
      </c>
      <c r="M156" s="18">
        <f>IF(A4taxstdlife="n/a","n/a",IF(M$3&gt;(A4taxstdlife+$E156),('RFM input'!$K$64-'RFM input'!$K$118)-SUM($K156:L156),('RFM input'!$K$64-'RFM input'!$K$118)/A4taxstdlife))</f>
        <v>1.0525956871572739E-2</v>
      </c>
      <c r="N156" s="18">
        <f>IF(A4taxstdlife="n/a","n/a",IF(N$3&gt;(A4taxstdlife+$E156),('RFM input'!$K$64-'RFM input'!$K$118)-SUM($K156:M156),('RFM input'!$K$64-'RFM input'!$K$118)/A4taxstdlife))</f>
        <v>1.0525956871572739E-2</v>
      </c>
      <c r="O156" s="18">
        <f>IF(A4taxstdlife="n/a","n/a",IF(O$3&gt;(A4taxstdlife+$E156),('RFM input'!$K$64-'RFM input'!$K$118)-SUM($K156:N156),('RFM input'!$K$64-'RFM input'!$K$118)/A4taxstdlife))</f>
        <v>1.0525956871572739E-2</v>
      </c>
      <c r="P156" s="18">
        <f>IF(A4taxstdlife="n/a","n/a",IF(P$3&gt;(A4taxstdlife+$E156),('RFM input'!$K$64-'RFM input'!$K$118)-SUM($K156:O156),('RFM input'!$K$64-'RFM input'!$K$118)/A4taxstdlife))</f>
        <v>1.0525956871572739E-2</v>
      </c>
      <c r="Q156" s="18">
        <f>IF(A4taxstdlife="n/a","n/a",IF(Q$3&gt;(A4taxstdlife+$E156),('RFM input'!$K$64-'RFM input'!$K$118)-SUM($K156:P156),('RFM input'!$K$64-'RFM input'!$K$118)/A4taxstdlife))</f>
        <v>1.0525956871572739E-2</v>
      </c>
      <c r="R156" s="18"/>
      <c r="S156" s="74"/>
      <c r="T156" s="74"/>
      <c r="U156" s="74"/>
      <c r="V156" s="74"/>
      <c r="W156" s="74"/>
      <c r="X156" s="74"/>
      <c r="Y156" s="74"/>
      <c r="Z156" s="74"/>
      <c r="AA156" s="152"/>
    </row>
    <row r="157" spans="1:27" ht="12.75" hidden="1" customHeight="1" outlineLevel="2">
      <c r="A157" s="3"/>
      <c r="B157" s="3"/>
      <c r="C157" s="16"/>
      <c r="D157" s="1594"/>
      <c r="E157" s="61">
        <v>5</v>
      </c>
      <c r="F157" s="17"/>
      <c r="G157" s="17"/>
      <c r="H157" s="1414"/>
      <c r="I157" s="1414"/>
      <c r="J157" s="115"/>
      <c r="K157" s="115"/>
      <c r="L157" s="116"/>
      <c r="M157" s="18">
        <f>IF(A4taxstdlife="n/a","n/a",IF(M$3&gt;(A4taxstdlife+$E157),('RFM input'!$L$64-'RFM input'!$L$118)-SUM($L157:L157),('RFM input'!$L$64-'RFM input'!$L$118)/A4taxstdlife))</f>
        <v>6.5246932787471736E-3</v>
      </c>
      <c r="N157" s="18">
        <f>IF(A4taxstdlife="n/a","n/a",IF(N$3&gt;(A4taxstdlife+$E157),('RFM input'!$L$64-'RFM input'!$L$118)-SUM($L157:M157),('RFM input'!$L$64-'RFM input'!$L$118)/A4taxstdlife))</f>
        <v>6.5246932787471736E-3</v>
      </c>
      <c r="O157" s="18">
        <f>IF(A4taxstdlife="n/a","n/a",IF(O$3&gt;(A4taxstdlife+$E157),('RFM input'!$L$64-'RFM input'!$L$118)-SUM($L157:N157),('RFM input'!$L$64-'RFM input'!$L$118)/A4taxstdlife))</f>
        <v>6.5246932787471736E-3</v>
      </c>
      <c r="P157" s="18">
        <f>IF(A4taxstdlife="n/a","n/a",IF(P$3&gt;(A4taxstdlife+$E157),('RFM input'!$L$64-'RFM input'!$L$118)-SUM($L157:O157),('RFM input'!$L$64-'RFM input'!$L$118)/A4taxstdlife))</f>
        <v>6.5246932787471736E-3</v>
      </c>
      <c r="Q157" s="18">
        <f>IF(A4taxstdlife="n/a","n/a",IF(Q$3&gt;(A4taxstdlife+$E157),('RFM input'!$L$64-'RFM input'!$L$118)-SUM($L157:P157),('RFM input'!$L$64-'RFM input'!$L$118)/A4taxstdlife))</f>
        <v>6.5246932787471736E-3</v>
      </c>
      <c r="R157" s="18"/>
      <c r="S157" s="74"/>
      <c r="T157" s="74"/>
      <c r="U157" s="74"/>
      <c r="V157" s="74"/>
      <c r="W157" s="74"/>
      <c r="X157" s="74"/>
      <c r="Y157" s="74"/>
      <c r="Z157" s="74"/>
      <c r="AA157" s="152"/>
    </row>
    <row r="158" spans="1:27" ht="12.75" hidden="1" customHeight="1" outlineLevel="2">
      <c r="A158" s="3"/>
      <c r="B158" s="3"/>
      <c r="C158" s="16"/>
      <c r="D158" s="1594"/>
      <c r="E158" s="61">
        <v>6</v>
      </c>
      <c r="F158" s="17"/>
      <c r="G158" s="17"/>
      <c r="H158" s="1414"/>
      <c r="I158" s="1414"/>
      <c r="J158" s="115"/>
      <c r="K158" s="115"/>
      <c r="L158" s="115"/>
      <c r="M158" s="116"/>
      <c r="N158" s="18">
        <f>IF(A4taxstdlife="n/a","n/a",IF(N$3&gt;(A4taxstdlife+$E158),('RFM input'!$M$64-'RFM input'!$M$118)-SUM($M158:M158),('RFM input'!$M$64-'RFM input'!$M$118)/A4taxstdlife))</f>
        <v>6.0220129696026779E-3</v>
      </c>
      <c r="O158" s="18">
        <f>IF(A4taxstdlife="n/a","n/a",IF(O$3&gt;(A4taxstdlife+$E158),('RFM input'!$M$64-'RFM input'!$M$118)-SUM($M158:N158),('RFM input'!$M$64-'RFM input'!$M$118)/A4taxstdlife))</f>
        <v>6.0220129696026779E-3</v>
      </c>
      <c r="P158" s="18">
        <f>IF(A4taxstdlife="n/a","n/a",IF(P$3&gt;(A4taxstdlife+$E158),('RFM input'!$M$64-'RFM input'!$M$118)-SUM($M158:O158),('RFM input'!$M$64-'RFM input'!$M$118)/A4taxstdlife))</f>
        <v>6.0220129696026779E-3</v>
      </c>
      <c r="Q158" s="18">
        <f>IF(A4taxstdlife="n/a","n/a",IF(Q$3&gt;(A4taxstdlife+$E158),('RFM input'!$M$64-'RFM input'!$M$118)-SUM($M158:P158),('RFM input'!$M$64-'RFM input'!$M$118)/A4taxstdlife))</f>
        <v>6.0220129696026779E-3</v>
      </c>
      <c r="R158" s="18"/>
      <c r="S158" s="74"/>
      <c r="T158" s="74"/>
      <c r="U158" s="74"/>
      <c r="V158" s="74"/>
      <c r="W158" s="74"/>
      <c r="X158" s="74"/>
      <c r="Y158" s="74"/>
      <c r="Z158" s="74"/>
      <c r="AA158" s="152"/>
    </row>
    <row r="159" spans="1:27" ht="12.75" hidden="1" customHeight="1" outlineLevel="2">
      <c r="A159" s="3"/>
      <c r="B159" s="3"/>
      <c r="C159" s="16"/>
      <c r="D159" s="1594"/>
      <c r="E159" s="61">
        <v>7</v>
      </c>
      <c r="F159" s="17"/>
      <c r="G159" s="17"/>
      <c r="H159" s="1414"/>
      <c r="I159" s="1414"/>
      <c r="J159" s="115"/>
      <c r="K159" s="115"/>
      <c r="L159" s="115"/>
      <c r="M159" s="115"/>
      <c r="N159" s="116"/>
      <c r="O159" s="18">
        <f>IF(A4taxstdlife="n/a","n/a",IF(O$3&gt;(A4taxstdlife+$E159),('RFM input'!$N$64-'RFM input'!$N$118)-SUM($N159:N159),('RFM input'!$N$64-'RFM input'!$N$118)/A4taxstdlife))</f>
        <v>3.7784634626060894E-3</v>
      </c>
      <c r="P159" s="18">
        <f>IF(A4taxstdlife="n/a","n/a",IF(P$3&gt;(A4taxstdlife+$E159),('RFM input'!$N$64-'RFM input'!$N$118)-SUM($N159:O159),('RFM input'!$N$64-'RFM input'!$N$118)/A4taxstdlife))</f>
        <v>3.7784634626060894E-3</v>
      </c>
      <c r="Q159" s="18">
        <f>IF(A4taxstdlife="n/a","n/a",IF(Q$3&gt;(A4taxstdlife+$E159),('RFM input'!$N$64-'RFM input'!$N$118)-SUM($N159:P159),('RFM input'!$N$64-'RFM input'!$N$118)/A4taxstdlife))</f>
        <v>3.7784634626060894E-3</v>
      </c>
      <c r="R159" s="18"/>
      <c r="S159" s="74"/>
      <c r="T159" s="74"/>
      <c r="U159" s="74"/>
      <c r="V159" s="74"/>
      <c r="W159" s="74"/>
      <c r="X159" s="74"/>
      <c r="Y159" s="74"/>
      <c r="Z159" s="74"/>
      <c r="AA159" s="152"/>
    </row>
    <row r="160" spans="1:27" ht="12.75" hidden="1" customHeight="1" outlineLevel="2">
      <c r="A160" s="3"/>
      <c r="B160" s="3"/>
      <c r="C160" s="16"/>
      <c r="D160" s="1594"/>
      <c r="E160" s="61">
        <v>8</v>
      </c>
      <c r="F160" s="17"/>
      <c r="G160" s="17"/>
      <c r="H160" s="1414"/>
      <c r="I160" s="1414"/>
      <c r="J160" s="115"/>
      <c r="K160" s="115"/>
      <c r="L160" s="115"/>
      <c r="M160" s="115"/>
      <c r="N160" s="115"/>
      <c r="O160" s="116"/>
      <c r="P160" s="18">
        <f>IF(A4taxstdlife="n/a","n/a",IF(P$3&gt;(A4taxstdlife+$E160),('RFM input'!$O$64-'RFM input'!$O$118)-SUM($O160:O160),('RFM input'!$O$64-'RFM input'!$O$118)/A4taxstdlife))</f>
        <v>0</v>
      </c>
      <c r="Q160" s="18">
        <f>IF(A4taxstdlife="n/a","n/a",IF(Q$3&gt;(A4taxstdlife+$E160),('RFM input'!$O$64-'RFM input'!$O$118)-SUM($O160:P160),('RFM input'!$O$64-'RFM input'!$O$118)/A4taxstdlife))</f>
        <v>0</v>
      </c>
      <c r="R160" s="18"/>
      <c r="S160" s="74"/>
      <c r="T160" s="74"/>
      <c r="U160" s="74"/>
      <c r="V160" s="74"/>
      <c r="W160" s="74"/>
      <c r="X160" s="74"/>
      <c r="Y160" s="74"/>
      <c r="Z160" s="74"/>
      <c r="AA160" s="152"/>
    </row>
    <row r="161" spans="1:27" ht="12.75" hidden="1" customHeight="1" outlineLevel="2">
      <c r="A161" s="3"/>
      <c r="B161" s="3"/>
      <c r="C161" s="16"/>
      <c r="D161" s="1594"/>
      <c r="E161" s="61">
        <v>9</v>
      </c>
      <c r="F161" s="17"/>
      <c r="G161" s="17"/>
      <c r="H161" s="1414"/>
      <c r="I161" s="1414"/>
      <c r="J161" s="115"/>
      <c r="K161" s="115"/>
      <c r="L161" s="115"/>
      <c r="M161" s="115"/>
      <c r="N161" s="115"/>
      <c r="O161" s="115"/>
      <c r="P161" s="116"/>
      <c r="Q161" s="18">
        <f>IF(A4taxstdlife="n/a","n/a",IF(Q$3&gt;(A4taxstdlife+$E161),('RFM input'!$P$64-'RFM input'!$P$118)-SUM($P161:P161),('RFM input'!$P$64-'RFM input'!$P$118)/A4taxstdlife))</f>
        <v>0</v>
      </c>
      <c r="R161" s="18"/>
      <c r="S161" s="74"/>
      <c r="T161" s="74"/>
      <c r="U161" s="74"/>
      <c r="V161" s="74"/>
      <c r="W161" s="74"/>
      <c r="X161" s="74"/>
      <c r="Y161" s="74"/>
      <c r="Z161" s="74"/>
      <c r="AA161" s="152"/>
    </row>
    <row r="162" spans="1:27" ht="12.75" hidden="1" customHeight="1" outlineLevel="2">
      <c r="A162" s="3"/>
      <c r="B162" s="3"/>
      <c r="C162" s="16"/>
      <c r="D162" s="1594"/>
      <c r="E162" s="62">
        <v>10</v>
      </c>
      <c r="F162" s="17"/>
      <c r="G162" s="17"/>
      <c r="H162" s="1414"/>
      <c r="I162" s="1414"/>
      <c r="J162" s="115"/>
      <c r="K162" s="115"/>
      <c r="L162" s="115"/>
      <c r="M162" s="115"/>
      <c r="N162" s="115"/>
      <c r="O162" s="115"/>
      <c r="P162" s="115"/>
      <c r="Q162" s="116"/>
      <c r="R162" s="18"/>
      <c r="S162" s="74"/>
      <c r="T162" s="74"/>
      <c r="U162" s="74"/>
      <c r="V162" s="74"/>
      <c r="W162" s="74"/>
      <c r="X162" s="74"/>
      <c r="Y162" s="74"/>
      <c r="Z162" s="74"/>
      <c r="AA162" s="152"/>
    </row>
    <row r="163" spans="1:27" hidden="1" outlineLevel="1">
      <c r="A163" s="3"/>
      <c r="B163" s="3"/>
      <c r="C163" s="134" t="str">
        <f>Asset4</f>
        <v>Telemetry</v>
      </c>
      <c r="D163" s="3"/>
      <c r="E163" s="3"/>
      <c r="F163" s="14"/>
      <c r="G163" s="14"/>
      <c r="H163" s="1460">
        <f>IF('RFM input'!$G$354="Tracked",-1*INDEX('RFM input'!H$358:H$407,MATCH('TAB roll forward'!$C163,'RFM input'!$E$358:$E$407,0)),-SUM(H151:H162))</f>
        <v>-0.16548787726341249</v>
      </c>
      <c r="I163" s="1460">
        <f>IF('RFM input'!$G$354="Tracked",-1*INDEX('RFM input'!I$358:I$407,MATCH('TAB roll forward'!$C163,'RFM input'!$E$358:$E$407,0)),-SUM(I151:I162))</f>
        <v>-0.20453111561461779</v>
      </c>
      <c r="J163" s="1460">
        <f>IF(COUNT($H163:I163)&gt;='RFM input'!$V$7,0,IF('RFM input'!$G$354="Tracked",-1*INDEX('RFM input'!J$358:J$407,MATCH('TAB roll forward'!$C163,'RFM input'!$E$358:$E$407,0)),-SUM(J151:J162)))</f>
        <v>-0.22169941740575466</v>
      </c>
      <c r="K163" s="1460">
        <f>IF(COUNT($H163:J163)&gt;='RFM input'!$V$7,0,IF('RFM input'!$G$354="Tracked",-1*INDEX('RFM input'!K$358:K$407,MATCH('TAB roll forward'!$C163,'RFM input'!$E$358:$E$407,0)),-SUM(K151:K162)))</f>
        <v>-0.22663735887077285</v>
      </c>
      <c r="L163" s="1460">
        <f>IF(COUNT($H163:K163)&gt;='RFM input'!$V$7,0,IF('RFM input'!$G$354="Tracked",-1*INDEX('RFM input'!L$358:L$407,MATCH('TAB roll forward'!$C163,'RFM input'!$E$358:$E$407,0)),-SUM(L151:L162)))</f>
        <v>-0.23716331574234559</v>
      </c>
      <c r="M163" s="1460">
        <f>IF(COUNT($H163:L163)&gt;='RFM input'!$V$7,0,IF('RFM input'!$G$354="Tracked",-1*INDEX('RFM input'!M$358:M$407,MATCH('TAB roll forward'!$C163,'RFM input'!$E$358:$E$407,0)),-SUM(M151:M162)))</f>
        <v>-0.24368800902109275</v>
      </c>
      <c r="N163" s="1460">
        <f>IF(COUNT($H163:M163)&gt;='RFM input'!$V$7,0,IF('RFM input'!$G$354="Tracked",-1*INDEX('RFM input'!N$358:N$407,MATCH('TAB roll forward'!$C163,'RFM input'!$E$358:$E$407,0)),-SUM(N151:N162)))</f>
        <v>-0.24971002199069542</v>
      </c>
      <c r="O163" s="1460">
        <f>IF(COUNT($H163:N163)&gt;='RFM input'!$V$7,0,IF('RFM input'!$G$354="Tracked",-1*INDEX('RFM input'!O$358:O$407,MATCH('TAB roll forward'!$C163,'RFM input'!$E$358:$E$407,0)),-SUM(O151:O162)))</f>
        <v>0</v>
      </c>
      <c r="P163" s="1460">
        <f>IF(COUNT($H163:O163)&gt;='RFM input'!$V$7,0,IF('RFM input'!$G$354="Tracked",-1*INDEX('RFM input'!P$358:P$407,MATCH('TAB roll forward'!$C163,'RFM input'!$E$358:$E$407,0)),-SUM(P151:P162)))</f>
        <v>0</v>
      </c>
      <c r="Q163" s="1460">
        <f>IF(COUNT($H163:P163)&gt;='RFM input'!$V$7,0,IF('RFM input'!$G$354="Tracked",-1*INDEX('RFM input'!Q$358:Q$407,MATCH('TAB roll forward'!$C163,'RFM input'!$E$358:$E$407,0)),-SUM(Q151:Q162)))</f>
        <v>0</v>
      </c>
      <c r="R163" s="1382"/>
      <c r="S163" s="73"/>
      <c r="T163" s="73"/>
      <c r="U163" s="73"/>
      <c r="V163" s="73"/>
      <c r="W163" s="73"/>
      <c r="X163" s="73"/>
      <c r="Y163" s="73"/>
      <c r="Z163" s="73"/>
      <c r="AA163" s="152"/>
    </row>
    <row r="164" spans="1:27" hidden="1" outlineLevel="2">
      <c r="A164" s="3"/>
      <c r="B164" s="135" t="str">
        <f>Asset5</f>
        <v>IT System</v>
      </c>
      <c r="C164" s="19"/>
      <c r="D164" s="234" t="s">
        <v>119</v>
      </c>
      <c r="E164" s="19"/>
      <c r="F164" s="148"/>
      <c r="G164" s="148"/>
      <c r="H164" s="21">
        <f>IF(H$3&gt;A5taxremlife,A5taxvalue-SUM($F164:F164),IF(A5taxremlife="N/A","n/a",A5taxvalue/A5taxremlife))</f>
        <v>2.4219474857678822</v>
      </c>
      <c r="I164" s="21">
        <f>IF(I$3&gt;A5taxremlife,A5taxvalue-SUM($F164:H164),IF(A5taxremlife="N/A","n/a",A5taxvalue/A5taxremlife))</f>
        <v>2.4219474857678822</v>
      </c>
      <c r="J164" s="21">
        <f>IF(J$3&gt;A5taxremlife,A5taxvalue-SUM($F164:I164),IF(A5taxremlife="N/A","n/a",A5taxvalue/A5taxremlife))</f>
        <v>2.4219474857678822</v>
      </c>
      <c r="K164" s="21">
        <f>IF(K$3&gt;A5taxremlife,A5taxvalue-SUM($F164:J164),IF(A5taxremlife="N/A","n/a",A5taxvalue/A5taxremlife))</f>
        <v>1.5366999825837837</v>
      </c>
      <c r="L164" s="21">
        <f>IF(L$3&gt;A5taxremlife,A5taxvalue-SUM($F164:K164),IF(A5taxremlife="N/A","n/a",A5taxvalue/A5taxremlife))</f>
        <v>0</v>
      </c>
      <c r="M164" s="21">
        <f>IF(M$3&gt;A5taxremlife,A5taxvalue-SUM($F164:L164),IF(A5taxremlife="N/A","n/a",A5taxvalue/A5taxremlife))</f>
        <v>0</v>
      </c>
      <c r="N164" s="21">
        <f>IF(N$3&gt;A5taxremlife,A5taxvalue-SUM($F164:M164),IF(A5taxremlife="N/A","n/a",A5taxvalue/A5taxremlife))</f>
        <v>0</v>
      </c>
      <c r="O164" s="21">
        <f>IF(O$3&gt;A5taxremlife,A5taxvalue-SUM($F164:N164),IF(A5taxremlife="N/A","n/a",A5taxvalue/A5taxremlife))</f>
        <v>0</v>
      </c>
      <c r="P164" s="21">
        <f>IF(P$3&gt;A5taxremlife,A5taxvalue-SUM($F164:O164),IF(A5taxremlife="N/A","n/a",A5taxvalue/A5taxremlife))</f>
        <v>0</v>
      </c>
      <c r="Q164" s="21">
        <f>IF(Q$3&gt;A5taxremlife,A5taxvalue-SUM($F164:P164),IF(A5taxremlife="N/A","n/a",A5taxvalue/A5taxremlife))</f>
        <v>0</v>
      </c>
      <c r="R164" s="21"/>
      <c r="S164" s="74"/>
      <c r="T164" s="74"/>
      <c r="U164" s="74"/>
      <c r="V164" s="74"/>
      <c r="W164" s="74"/>
      <c r="X164" s="74"/>
      <c r="Y164" s="74"/>
      <c r="Z164" s="74"/>
      <c r="AA164" s="152"/>
    </row>
    <row r="165" spans="1:27" ht="12.75" hidden="1" customHeight="1" outlineLevel="2">
      <c r="A165" s="3"/>
      <c r="B165" s="3"/>
      <c r="C165" s="16"/>
      <c r="D165" s="1593" t="s">
        <v>43</v>
      </c>
      <c r="E165" s="61"/>
      <c r="F165" s="17"/>
      <c r="G165" s="17"/>
      <c r="H165" s="1413"/>
      <c r="I165" s="72"/>
      <c r="J165" s="18"/>
      <c r="K165" s="18"/>
      <c r="L165" s="18"/>
      <c r="M165" s="18"/>
      <c r="N165" s="18"/>
      <c r="O165" s="18"/>
      <c r="P165" s="18"/>
      <c r="Q165" s="18"/>
      <c r="R165" s="18"/>
      <c r="S165" s="74"/>
      <c r="T165" s="74"/>
      <c r="U165" s="74"/>
      <c r="V165" s="74"/>
      <c r="W165" s="74"/>
      <c r="X165" s="74"/>
      <c r="Y165" s="74"/>
      <c r="Z165" s="74"/>
      <c r="AA165" s="152"/>
    </row>
    <row r="166" spans="1:27" hidden="1" outlineLevel="2">
      <c r="A166" s="3"/>
      <c r="B166" s="3"/>
      <c r="C166" s="16"/>
      <c r="D166" s="1594"/>
      <c r="E166" s="61">
        <v>1</v>
      </c>
      <c r="F166" s="17"/>
      <c r="G166" s="17"/>
      <c r="H166" s="1414"/>
      <c r="I166" s="1415">
        <f>IF(A5taxstdlife="n/a","n/a",IF(I$3&gt;(A5taxstdlife+$E166),('RFM input'!$H$65-'RFM input'!$H$119)-SUM($H166:H166),('RFM input'!$H$65-'RFM input'!$H$119)/A5taxstdlife))</f>
        <v>4.7471458668000024E-2</v>
      </c>
      <c r="J166" s="18">
        <f>IF(A5taxstdlife="n/a","n/a",IF(J$3&gt;(A5taxstdlife+$E166),('RFM input'!$H$65-'RFM input'!$H$119)-SUM($H166:I166),('RFM input'!$H$65-'RFM input'!$H$119)/A5taxstdlife))</f>
        <v>4.7471458668000024E-2</v>
      </c>
      <c r="K166" s="18">
        <f>IF(A5taxstdlife="n/a","n/a",IF(K$3&gt;(A5taxstdlife+$E166),('RFM input'!$H$65-'RFM input'!$H$119)-SUM($H166:J166),('RFM input'!$H$65-'RFM input'!$H$119)/A5taxstdlife))</f>
        <v>4.7471458668000024E-2</v>
      </c>
      <c r="L166" s="18">
        <f>IF(A5taxstdlife="n/a","n/a",IF(L$3&gt;(A5taxstdlife+$E166),('RFM input'!$H$65-'RFM input'!$H$119)-SUM($H166:K166),('RFM input'!$H$65-'RFM input'!$H$119)/A5taxstdlife))</f>
        <v>4.7471458668000024E-2</v>
      </c>
      <c r="M166" s="18">
        <f>IF(A5taxstdlife="n/a","n/a",IF(M$3&gt;(A5taxstdlife+$E166),('RFM input'!$H$65-'RFM input'!$H$119)-SUM($H166:L166),('RFM input'!$H$65-'RFM input'!$H$119)/A5taxstdlife))</f>
        <v>0</v>
      </c>
      <c r="N166" s="18">
        <f>IF(A5taxstdlife="n/a","n/a",IF(N$3&gt;(A5taxstdlife+$E166),('RFM input'!$H$65-'RFM input'!$H$119)-SUM($H166:M166),('RFM input'!$H$65-'RFM input'!$H$119)/A5taxstdlife))</f>
        <v>0</v>
      </c>
      <c r="O166" s="18">
        <f>IF(A5taxstdlife="n/a","n/a",IF(O$3&gt;(A5taxstdlife+$E166),('RFM input'!$H$65-'RFM input'!$H$119)-SUM($H166:N166),('RFM input'!$H$65-'RFM input'!$H$119)/A5taxstdlife))</f>
        <v>0</v>
      </c>
      <c r="P166" s="18">
        <f>IF(A5taxstdlife="n/a","n/a",IF(P$3&gt;(A5taxstdlife+$E166),('RFM input'!$H$65-'RFM input'!$H$119)-SUM($H166:O166),('RFM input'!$H$65-'RFM input'!$H$119)/A5taxstdlife))</f>
        <v>0</v>
      </c>
      <c r="Q166" s="18">
        <f>IF(A5taxstdlife="n/a","n/a",IF(Q$3&gt;(A5taxstdlife+$E166),('RFM input'!$H$65-'RFM input'!$H$119)-SUM($H166:P166),('RFM input'!$H$65-'RFM input'!$H$119)/A5taxstdlife))</f>
        <v>0</v>
      </c>
      <c r="R166" s="18"/>
      <c r="S166" s="74"/>
      <c r="T166" s="74"/>
      <c r="U166" s="74"/>
      <c r="V166" s="74"/>
      <c r="W166" s="74"/>
      <c r="X166" s="74"/>
      <c r="Y166" s="74"/>
      <c r="Z166" s="74"/>
      <c r="AA166" s="152"/>
    </row>
    <row r="167" spans="1:27" hidden="1" outlineLevel="2">
      <c r="A167" s="3"/>
      <c r="B167" s="3"/>
      <c r="C167" s="16"/>
      <c r="D167" s="1594"/>
      <c r="E167" s="61">
        <v>2</v>
      </c>
      <c r="F167" s="17"/>
      <c r="G167" s="17"/>
      <c r="H167" s="1414"/>
      <c r="I167" s="1414"/>
      <c r="J167" s="18">
        <f>IF(A5taxstdlife="n/a","n/a",IF(J$3&gt;(A5taxstdlife+$E167),('RFM input'!$I$65-'RFM input'!$I$119)-SUM($I167:I167),('RFM input'!$I$65-'RFM input'!$I$119)/A5taxstdlife))</f>
        <v>0.12907779469149999</v>
      </c>
      <c r="K167" s="18">
        <f>IF(A5taxstdlife="n/a","n/a",IF(K$3&gt;(A5taxstdlife+$E167),('RFM input'!$I$65-'RFM input'!$I$119)-SUM($I167:J167),('RFM input'!$I$65-'RFM input'!$I$119)/A5taxstdlife))</f>
        <v>0.12907779469149999</v>
      </c>
      <c r="L167" s="18">
        <f>IF(A5taxstdlife="n/a","n/a",IF(L$3&gt;(A5taxstdlife+$E167),('RFM input'!$I$65-'RFM input'!$I$119)-SUM($I167:K167),('RFM input'!$I$65-'RFM input'!$I$119)/A5taxstdlife))</f>
        <v>0.12907779469149999</v>
      </c>
      <c r="M167" s="18">
        <f>IF(A5taxstdlife="n/a","n/a",IF(M$3&gt;(A5taxstdlife+$E167),('RFM input'!$I$65-'RFM input'!$I$119)-SUM($I167:L167),('RFM input'!$I$65-'RFM input'!$I$119)/A5taxstdlife))</f>
        <v>0.12907779469149999</v>
      </c>
      <c r="N167" s="18">
        <f>IF(A5taxstdlife="n/a","n/a",IF(N$3&gt;(A5taxstdlife+$E167),('RFM input'!$I$65-'RFM input'!$I$119)-SUM($I167:M167),('RFM input'!$I$65-'RFM input'!$I$119)/A5taxstdlife))</f>
        <v>0</v>
      </c>
      <c r="O167" s="18">
        <f>IF(A5taxstdlife="n/a","n/a",IF(O$3&gt;(A5taxstdlife+$E167),('RFM input'!$I$65-'RFM input'!$I$119)-SUM($I167:N167),('RFM input'!$I$65-'RFM input'!$I$119)/A5taxstdlife))</f>
        <v>0</v>
      </c>
      <c r="P167" s="18">
        <f>IF(A5taxstdlife="n/a","n/a",IF(P$3&gt;(A5taxstdlife+$E167),('RFM input'!$I$65-'RFM input'!$I$119)-SUM($I167:O167),('RFM input'!$I$65-'RFM input'!$I$119)/A5taxstdlife))</f>
        <v>0</v>
      </c>
      <c r="Q167" s="18">
        <f>IF(A5taxstdlife="n/a","n/a",IF(Q$3&gt;(A5taxstdlife+$E167),('RFM input'!$I$65-'RFM input'!$I$119)-SUM($I167:P167),('RFM input'!$I$65-'RFM input'!$I$119)/A5taxstdlife))</f>
        <v>0</v>
      </c>
      <c r="R167" s="18"/>
      <c r="S167" s="74"/>
      <c r="T167" s="74"/>
      <c r="U167" s="74"/>
      <c r="V167" s="74"/>
      <c r="W167" s="74"/>
      <c r="X167" s="74"/>
      <c r="Y167" s="74"/>
      <c r="Z167" s="74"/>
      <c r="AA167" s="152"/>
    </row>
    <row r="168" spans="1:27" hidden="1" outlineLevel="2">
      <c r="A168" s="3"/>
      <c r="B168" s="3"/>
      <c r="C168" s="16"/>
      <c r="D168" s="1594"/>
      <c r="E168" s="61">
        <v>3</v>
      </c>
      <c r="F168" s="17"/>
      <c r="G168" s="17"/>
      <c r="H168" s="1414"/>
      <c r="I168" s="1414"/>
      <c r="J168" s="116"/>
      <c r="K168" s="18">
        <f>IF(A5taxstdlife="n/a","n/a",IF(K$3&gt;(A5taxstdlife+$E168),('RFM input'!$J$65-'RFM input'!$J$119)-SUM($J168:J168),('RFM input'!$J$65-'RFM input'!$J$119)/A5taxstdlife))</f>
        <v>0.22230350596853005</v>
      </c>
      <c r="L168" s="18">
        <f>IF(A5taxstdlife="n/a","n/a",IF(L$3&gt;(A5taxstdlife+$E168),('RFM input'!$J$65-'RFM input'!$J$119)-SUM($J168:K168),('RFM input'!$J$65-'RFM input'!$J$119)/A5taxstdlife))</f>
        <v>0.22230350596853005</v>
      </c>
      <c r="M168" s="18">
        <f>IF(A5taxstdlife="n/a","n/a",IF(M$3&gt;(A5taxstdlife+$E168),('RFM input'!$J$65-'RFM input'!$J$119)-SUM($J168:L168),('RFM input'!$J$65-'RFM input'!$J$119)/A5taxstdlife))</f>
        <v>0.22230350596853005</v>
      </c>
      <c r="N168" s="18">
        <f>IF(A5taxstdlife="n/a","n/a",IF(N$3&gt;(A5taxstdlife+$E168),('RFM input'!$J$65-'RFM input'!$J$119)-SUM($J168:M168),('RFM input'!$J$65-'RFM input'!$J$119)/A5taxstdlife))</f>
        <v>0.22230350596853005</v>
      </c>
      <c r="O168" s="18">
        <f>IF(A5taxstdlife="n/a","n/a",IF(O$3&gt;(A5taxstdlife+$E168),('RFM input'!$J$65-'RFM input'!$J$119)-SUM($J168:N168),('RFM input'!$J$65-'RFM input'!$J$119)/A5taxstdlife))</f>
        <v>0</v>
      </c>
      <c r="P168" s="18">
        <f>IF(A5taxstdlife="n/a","n/a",IF(P$3&gt;(A5taxstdlife+$E168),('RFM input'!$J$65-'RFM input'!$J$119)-SUM($J168:O168),('RFM input'!$J$65-'RFM input'!$J$119)/A5taxstdlife))</f>
        <v>0</v>
      </c>
      <c r="Q168" s="18">
        <f>IF(A5taxstdlife="n/a","n/a",IF(Q$3&gt;(A5taxstdlife+$E168),('RFM input'!$J$65-'RFM input'!$J$119)-SUM($J168:P168),('RFM input'!$J$65-'RFM input'!$J$119)/A5taxstdlife))</f>
        <v>0</v>
      </c>
      <c r="R168" s="18"/>
      <c r="S168" s="74"/>
      <c r="T168" s="74"/>
      <c r="U168" s="74"/>
      <c r="V168" s="74"/>
      <c r="W168" s="74"/>
      <c r="X168" s="74"/>
      <c r="Y168" s="74"/>
      <c r="Z168" s="74"/>
      <c r="AA168" s="152"/>
    </row>
    <row r="169" spans="1:27" hidden="1" outlineLevel="2">
      <c r="A169" s="3"/>
      <c r="B169" s="3"/>
      <c r="C169" s="16"/>
      <c r="D169" s="1594"/>
      <c r="E169" s="61">
        <v>4</v>
      </c>
      <c r="F169" s="17"/>
      <c r="G169" s="17"/>
      <c r="H169" s="1414"/>
      <c r="I169" s="1414"/>
      <c r="J169" s="115"/>
      <c r="K169" s="116"/>
      <c r="L169" s="18">
        <f>IF(A5taxstdlife="n/a","n/a",IF(L$3&gt;(A5taxstdlife+$E169),('RFM input'!$K$65-'RFM input'!$K$119)-SUM($K169:K169),('RFM input'!$K$65-'RFM input'!$K$119)/A5taxstdlife))</f>
        <v>0.35837526682186427</v>
      </c>
      <c r="M169" s="18">
        <f>IF(A5taxstdlife="n/a","n/a",IF(M$3&gt;(A5taxstdlife+$E169),('RFM input'!$K$65-'RFM input'!$K$119)-SUM($K169:L169),('RFM input'!$K$65-'RFM input'!$K$119)/A5taxstdlife))</f>
        <v>0.35837526682186427</v>
      </c>
      <c r="N169" s="18">
        <f>IF(A5taxstdlife="n/a","n/a",IF(N$3&gt;(A5taxstdlife+$E169),('RFM input'!$K$65-'RFM input'!$K$119)-SUM($K169:M169),('RFM input'!$K$65-'RFM input'!$K$119)/A5taxstdlife))</f>
        <v>0.35837526682186427</v>
      </c>
      <c r="O169" s="18">
        <f>IF(A5taxstdlife="n/a","n/a",IF(O$3&gt;(A5taxstdlife+$E169),('RFM input'!$K$65-'RFM input'!$K$119)-SUM($K169:N169),('RFM input'!$K$65-'RFM input'!$K$119)/A5taxstdlife))</f>
        <v>0.35837526682186427</v>
      </c>
      <c r="P169" s="18">
        <f>IF(A5taxstdlife="n/a","n/a",IF(P$3&gt;(A5taxstdlife+$E169),('RFM input'!$K$65-'RFM input'!$K$119)-SUM($K169:O169),('RFM input'!$K$65-'RFM input'!$K$119)/A5taxstdlife))</f>
        <v>0</v>
      </c>
      <c r="Q169" s="18">
        <f>IF(A5taxstdlife="n/a","n/a",IF(Q$3&gt;(A5taxstdlife+$E169),('RFM input'!$K$65-'RFM input'!$K$119)-SUM($K169:P169),('RFM input'!$K$65-'RFM input'!$K$119)/A5taxstdlife))</f>
        <v>0</v>
      </c>
      <c r="R169" s="18"/>
      <c r="S169" s="74"/>
      <c r="T169" s="74"/>
      <c r="U169" s="74"/>
      <c r="V169" s="74"/>
      <c r="W169" s="74"/>
      <c r="X169" s="74"/>
      <c r="Y169" s="74"/>
      <c r="Z169" s="74"/>
      <c r="AA169" s="152"/>
    </row>
    <row r="170" spans="1:27" hidden="1" outlineLevel="2">
      <c r="A170" s="3"/>
      <c r="B170" s="3"/>
      <c r="C170" s="16"/>
      <c r="D170" s="1594"/>
      <c r="E170" s="61">
        <v>5</v>
      </c>
      <c r="F170" s="17"/>
      <c r="G170" s="17"/>
      <c r="H170" s="1414"/>
      <c r="I170" s="1414"/>
      <c r="J170" s="115"/>
      <c r="K170" s="115"/>
      <c r="L170" s="116"/>
      <c r="M170" s="18">
        <f>IF(A5taxstdlife="n/a","n/a",IF(M$3&gt;(A5taxstdlife+$E170),('RFM input'!$L$65-'RFM input'!$L$119)-SUM($L170:L170),('RFM input'!$L$65-'RFM input'!$L$119)/A5taxstdlife))</f>
        <v>0.37719263845740797</v>
      </c>
      <c r="N170" s="18">
        <f>IF(A5taxstdlife="n/a","n/a",IF(N$3&gt;(A5taxstdlife+$E170),('RFM input'!$L$65-'RFM input'!$L$119)-SUM($L170:M170),('RFM input'!$L$65-'RFM input'!$L$119)/A5taxstdlife))</f>
        <v>0.37719263845740797</v>
      </c>
      <c r="O170" s="18">
        <f>IF(A5taxstdlife="n/a","n/a",IF(O$3&gt;(A5taxstdlife+$E170),('RFM input'!$L$65-'RFM input'!$L$119)-SUM($L170:N170),('RFM input'!$L$65-'RFM input'!$L$119)/A5taxstdlife))</f>
        <v>0.37719263845740797</v>
      </c>
      <c r="P170" s="18">
        <f>IF(A5taxstdlife="n/a","n/a",IF(P$3&gt;(A5taxstdlife+$E170),('RFM input'!$L$65-'RFM input'!$L$119)-SUM($L170:O170),('RFM input'!$L$65-'RFM input'!$L$119)/A5taxstdlife))</f>
        <v>0.37719263845740797</v>
      </c>
      <c r="Q170" s="18">
        <f>IF(A5taxstdlife="n/a","n/a",IF(Q$3&gt;(A5taxstdlife+$E170),('RFM input'!$L$65-'RFM input'!$L$119)-SUM($L170:P170),('RFM input'!$L$65-'RFM input'!$L$119)/A5taxstdlife))</f>
        <v>0</v>
      </c>
      <c r="R170" s="18"/>
      <c r="S170" s="74"/>
      <c r="T170" s="74"/>
      <c r="U170" s="74"/>
      <c r="V170" s="74"/>
      <c r="W170" s="74"/>
      <c r="X170" s="74"/>
      <c r="Y170" s="74"/>
      <c r="Z170" s="74"/>
      <c r="AA170" s="152"/>
    </row>
    <row r="171" spans="1:27" hidden="1" outlineLevel="2">
      <c r="A171" s="3"/>
      <c r="B171" s="3"/>
      <c r="C171" s="16"/>
      <c r="D171" s="1594"/>
      <c r="E171" s="61">
        <v>6</v>
      </c>
      <c r="F171" s="17"/>
      <c r="G171" s="17"/>
      <c r="H171" s="1414"/>
      <c r="I171" s="1414"/>
      <c r="J171" s="115"/>
      <c r="K171" s="115"/>
      <c r="L171" s="115"/>
      <c r="M171" s="116"/>
      <c r="N171" s="18">
        <f>IF(A5taxstdlife="n/a","n/a",IF(N$3&gt;(A5taxstdlife+$E171),('RFM input'!$M$65-'RFM input'!$M$119)-SUM($M171:M171),('RFM input'!$M$65-'RFM input'!$M$119)/A5taxstdlife))</f>
        <v>0.48591452621180042</v>
      </c>
      <c r="O171" s="18">
        <f>IF(A5taxstdlife="n/a","n/a",IF(O$3&gt;(A5taxstdlife+$E171),('RFM input'!$M$65-'RFM input'!$M$119)-SUM($M171:N171),('RFM input'!$M$65-'RFM input'!$M$119)/A5taxstdlife))</f>
        <v>0.48591452621180042</v>
      </c>
      <c r="P171" s="18">
        <f>IF(A5taxstdlife="n/a","n/a",IF(P$3&gt;(A5taxstdlife+$E171),('RFM input'!$M$65-'RFM input'!$M$119)-SUM($M171:O171),('RFM input'!$M$65-'RFM input'!$M$119)/A5taxstdlife))</f>
        <v>0.48591452621180042</v>
      </c>
      <c r="Q171" s="18">
        <f>IF(A5taxstdlife="n/a","n/a",IF(Q$3&gt;(A5taxstdlife+$E171),('RFM input'!$M$65-'RFM input'!$M$119)-SUM($M171:P171),('RFM input'!$M$65-'RFM input'!$M$119)/A5taxstdlife))</f>
        <v>0.48591452621180042</v>
      </c>
      <c r="R171" s="18"/>
      <c r="S171" s="74"/>
      <c r="T171" s="74"/>
      <c r="U171" s="74"/>
      <c r="V171" s="74"/>
      <c r="W171" s="74"/>
      <c r="X171" s="74"/>
      <c r="Y171" s="74"/>
      <c r="Z171" s="74"/>
      <c r="AA171" s="152"/>
    </row>
    <row r="172" spans="1:27" hidden="1" outlineLevel="2">
      <c r="A172" s="3"/>
      <c r="B172" s="3"/>
      <c r="C172" s="16"/>
      <c r="D172" s="1594"/>
      <c r="E172" s="61">
        <v>7</v>
      </c>
      <c r="F172" s="17"/>
      <c r="G172" s="17"/>
      <c r="H172" s="1414"/>
      <c r="I172" s="1414"/>
      <c r="J172" s="115"/>
      <c r="K172" s="115"/>
      <c r="L172" s="115"/>
      <c r="M172" s="115"/>
      <c r="N172" s="116"/>
      <c r="O172" s="18">
        <f>IF(A5taxstdlife="n/a","n/a",IF(O$3&gt;(A5taxstdlife+$E172),('RFM input'!$N$65-'RFM input'!$N$119)-SUM($N172:N172),('RFM input'!$N$65-'RFM input'!$N$119)/A5taxstdlife))</f>
        <v>0.20624110905430273</v>
      </c>
      <c r="P172" s="18">
        <f>IF(A5taxstdlife="n/a","n/a",IF(P$3&gt;(A5taxstdlife+$E172),('RFM input'!$N$65-'RFM input'!$N$119)-SUM($N172:O172),('RFM input'!$N$65-'RFM input'!$N$119)/A5taxstdlife))</f>
        <v>0.20624110905430273</v>
      </c>
      <c r="Q172" s="18">
        <f>IF(A5taxstdlife="n/a","n/a",IF(Q$3&gt;(A5taxstdlife+$E172),('RFM input'!$N$65-'RFM input'!$N$119)-SUM($N172:P172),('RFM input'!$N$65-'RFM input'!$N$119)/A5taxstdlife))</f>
        <v>0.20624110905430273</v>
      </c>
      <c r="R172" s="18"/>
      <c r="S172" s="74"/>
      <c r="T172" s="74"/>
      <c r="U172" s="74"/>
      <c r="V172" s="74"/>
      <c r="W172" s="74"/>
      <c r="X172" s="74"/>
      <c r="Y172" s="74"/>
      <c r="Z172" s="74"/>
      <c r="AA172" s="152"/>
    </row>
    <row r="173" spans="1:27" hidden="1" outlineLevel="2">
      <c r="A173" s="3"/>
      <c r="B173" s="3"/>
      <c r="C173" s="16"/>
      <c r="D173" s="1594"/>
      <c r="E173" s="61">
        <v>8</v>
      </c>
      <c r="F173" s="17"/>
      <c r="G173" s="17"/>
      <c r="H173" s="1414"/>
      <c r="I173" s="1414"/>
      <c r="J173" s="115"/>
      <c r="K173" s="115"/>
      <c r="L173" s="115"/>
      <c r="M173" s="115"/>
      <c r="N173" s="115"/>
      <c r="O173" s="116"/>
      <c r="P173" s="18">
        <f>IF(A5taxstdlife="n/a","n/a",IF(P$3&gt;(A5taxstdlife+$E173),('RFM input'!$O$65-'RFM input'!$O$119)-SUM($O173:O173),('RFM input'!$O$65-'RFM input'!$O$119)/A5taxstdlife))</f>
        <v>0</v>
      </c>
      <c r="Q173" s="18">
        <f>IF(A5taxstdlife="n/a","n/a",IF(Q$3&gt;(A5taxstdlife+$E173),('RFM input'!$O$65-'RFM input'!$O$119)-SUM($O173:P173),('RFM input'!$O$65-'RFM input'!$O$119)/A5taxstdlife))</f>
        <v>0</v>
      </c>
      <c r="R173" s="18"/>
      <c r="S173" s="74"/>
      <c r="T173" s="74"/>
      <c r="U173" s="74"/>
      <c r="V173" s="74"/>
      <c r="W173" s="74"/>
      <c r="X173" s="74"/>
      <c r="Y173" s="74"/>
      <c r="Z173" s="74"/>
      <c r="AA173" s="152"/>
    </row>
    <row r="174" spans="1:27" hidden="1" outlineLevel="2">
      <c r="A174" s="3"/>
      <c r="B174" s="3"/>
      <c r="C174" s="16"/>
      <c r="D174" s="1594"/>
      <c r="E174" s="61">
        <v>9</v>
      </c>
      <c r="F174" s="17"/>
      <c r="G174" s="17"/>
      <c r="H174" s="1414"/>
      <c r="I174" s="1414"/>
      <c r="J174" s="115"/>
      <c r="K174" s="115"/>
      <c r="L174" s="115"/>
      <c r="M174" s="115"/>
      <c r="N174" s="115"/>
      <c r="O174" s="115"/>
      <c r="P174" s="116"/>
      <c r="Q174" s="18">
        <f>IF(A5taxstdlife="n/a","n/a",IF(Q$3&gt;(A5taxstdlife+$E174),('RFM input'!$P$65-'RFM input'!$P$119)-SUM($P174:P174),('RFM input'!$P$65-'RFM input'!$P$119)/A5taxstdlife))</f>
        <v>0</v>
      </c>
      <c r="R174" s="18"/>
      <c r="S174" s="74"/>
      <c r="T174" s="74"/>
      <c r="U174" s="74"/>
      <c r="V174" s="74"/>
      <c r="W174" s="74"/>
      <c r="X174" s="74"/>
      <c r="Y174" s="74"/>
      <c r="Z174" s="74"/>
      <c r="AA174" s="152"/>
    </row>
    <row r="175" spans="1:27" hidden="1" outlineLevel="2">
      <c r="A175" s="3"/>
      <c r="B175" s="3"/>
      <c r="C175" s="16"/>
      <c r="D175" s="1594"/>
      <c r="E175" s="62">
        <v>10</v>
      </c>
      <c r="F175" s="17"/>
      <c r="G175" s="17"/>
      <c r="H175" s="1414"/>
      <c r="I175" s="1414"/>
      <c r="J175" s="115"/>
      <c r="K175" s="115"/>
      <c r="L175" s="115"/>
      <c r="M175" s="115"/>
      <c r="N175" s="115"/>
      <c r="O175" s="115"/>
      <c r="P175" s="115"/>
      <c r="Q175" s="116"/>
      <c r="R175" s="18"/>
      <c r="S175" s="74"/>
      <c r="T175" s="74"/>
      <c r="U175" s="74"/>
      <c r="V175" s="74"/>
      <c r="W175" s="74"/>
      <c r="X175" s="74"/>
      <c r="Y175" s="74"/>
      <c r="Z175" s="74"/>
      <c r="AA175" s="152"/>
    </row>
    <row r="176" spans="1:27" hidden="1" outlineLevel="1">
      <c r="A176" s="3"/>
      <c r="B176" s="3"/>
      <c r="C176" s="134" t="str">
        <f>Asset5</f>
        <v>IT System</v>
      </c>
      <c r="D176" s="3"/>
      <c r="E176" s="3"/>
      <c r="F176" s="14"/>
      <c r="G176" s="14"/>
      <c r="H176" s="1460">
        <f>IF('RFM input'!$G$354="Tracked",-1*INDEX('RFM input'!H$358:H$407,MATCH('TAB roll forward'!$C176,'RFM input'!$E$358:$E$407,0)),-SUM(H164:H175))</f>
        <v>-2.4219474857678822</v>
      </c>
      <c r="I176" s="1460">
        <f>IF('RFM input'!$G$354="Tracked",-1*INDEX('RFM input'!I$358:I$407,MATCH('TAB roll forward'!$C176,'RFM input'!$E$358:$E$407,0)),-SUM(I164:I175))</f>
        <v>-2.4694189444358821</v>
      </c>
      <c r="J176" s="1460">
        <f>IF(COUNT($H176:I176)&gt;='RFM input'!$V$7,0,IF('RFM input'!$G$354="Tracked",-1*INDEX('RFM input'!J$358:J$407,MATCH('TAB roll forward'!$C176,'RFM input'!$E$358:$E$407,0)),-SUM(J164:J175)))</f>
        <v>-2.5984967391273819</v>
      </c>
      <c r="K176" s="1460">
        <f>IF(COUNT($H176:J176)&gt;='RFM input'!$V$7,0,IF('RFM input'!$G$354="Tracked",-1*INDEX('RFM input'!K$358:K$407,MATCH('TAB roll forward'!$C176,'RFM input'!$E$358:$E$407,0)),-SUM(K164:K175)))</f>
        <v>-1.9355527419118139</v>
      </c>
      <c r="L176" s="1460">
        <f>IF(COUNT($H176:K176)&gt;='RFM input'!$V$7,0,IF('RFM input'!$G$354="Tracked",-1*INDEX('RFM input'!L$358:L$407,MATCH('TAB roll forward'!$C176,'RFM input'!$E$358:$E$407,0)),-SUM(L164:L175)))</f>
        <v>-0.75722802614989426</v>
      </c>
      <c r="M176" s="1460">
        <f>IF(COUNT($H176:L176)&gt;='RFM input'!$V$7,0,IF('RFM input'!$G$354="Tracked",-1*INDEX('RFM input'!M$358:M$407,MATCH('TAB roll forward'!$C176,'RFM input'!$E$358:$E$407,0)),-SUM(M164:M175)))</f>
        <v>-1.0869492059393022</v>
      </c>
      <c r="N176" s="1460">
        <f>IF(COUNT($H176:M176)&gt;='RFM input'!$V$7,0,IF('RFM input'!$G$354="Tracked",-1*INDEX('RFM input'!N$358:N$407,MATCH('TAB roll forward'!$C176,'RFM input'!$E$358:$E$407,0)),-SUM(N164:N175)))</f>
        <v>-1.4437859374596029</v>
      </c>
      <c r="O176" s="1460">
        <f>IF(COUNT($H176:N176)&gt;='RFM input'!$V$7,0,IF('RFM input'!$G$354="Tracked",-1*INDEX('RFM input'!O$358:O$407,MATCH('TAB roll forward'!$C176,'RFM input'!$E$358:$E$407,0)),-SUM(O164:O175)))</f>
        <v>0</v>
      </c>
      <c r="P176" s="1460">
        <f>IF(COUNT($H176:O176)&gt;='RFM input'!$V$7,0,IF('RFM input'!$G$354="Tracked",-1*INDEX('RFM input'!P$358:P$407,MATCH('TAB roll forward'!$C176,'RFM input'!$E$358:$E$407,0)),-SUM(P164:P175)))</f>
        <v>0</v>
      </c>
      <c r="Q176" s="1460">
        <f>IF(COUNT($H176:P176)&gt;='RFM input'!$V$7,0,IF('RFM input'!$G$354="Tracked",-1*INDEX('RFM input'!Q$358:Q$407,MATCH('TAB roll forward'!$C176,'RFM input'!$E$358:$E$407,0)),-SUM(Q164:Q175)))</f>
        <v>0</v>
      </c>
      <c r="R176" s="1382"/>
      <c r="S176" s="73"/>
      <c r="T176" s="73"/>
      <c r="U176" s="73"/>
      <c r="V176" s="73"/>
      <c r="W176" s="73"/>
      <c r="X176" s="73"/>
      <c r="Y176" s="73"/>
      <c r="Z176" s="73"/>
      <c r="AA176" s="152"/>
    </row>
    <row r="177" spans="1:27" hidden="1" outlineLevel="2">
      <c r="A177" s="3"/>
      <c r="B177" s="135" t="str">
        <f>Asset6</f>
        <v>Other Distribution System Equipment</v>
      </c>
      <c r="C177" s="19"/>
      <c r="D177" s="234" t="s">
        <v>119</v>
      </c>
      <c r="E177" s="19"/>
      <c r="F177" s="148"/>
      <c r="G177" s="148"/>
      <c r="H177" s="21">
        <f>IF(H$3&gt;A6taxremlife,A6taxvalue-SUM($F177:F177),IF(A6taxremlife="N/A","n/a",A6taxvalue/A6taxremlife))</f>
        <v>0.45934204414001245</v>
      </c>
      <c r="I177" s="21">
        <f>IF(I$3&gt;A6taxremlife,A6taxvalue-SUM($F177:H177),IF(A6taxremlife="N/A","n/a",A6taxvalue/A6taxremlife))</f>
        <v>0.45934204414001245</v>
      </c>
      <c r="J177" s="21">
        <f>IF(J$3&gt;A6taxremlife,A6taxvalue-SUM($F177:I177),IF(A6taxremlife="N/A","n/a",A6taxvalue/A6taxremlife))</f>
        <v>0.45934204414001245</v>
      </c>
      <c r="K177" s="21">
        <f>IF(K$3&gt;A6taxremlife,A6taxvalue-SUM($F177:J177),IF(A6taxremlife="N/A","n/a",A6taxvalue/A6taxremlife))</f>
        <v>0.45934204414001245</v>
      </c>
      <c r="L177" s="21">
        <f>IF(L$3&gt;A6taxremlife,A6taxvalue-SUM($F177:K177),IF(A6taxremlife="N/A","n/a",A6taxvalue/A6taxremlife))</f>
        <v>0.45934204414001245</v>
      </c>
      <c r="M177" s="21">
        <f>IF(M$3&gt;A6taxremlife,A6taxvalue-SUM($F177:L177),IF(A6taxremlife="N/A","n/a",A6taxvalue/A6taxremlife))</f>
        <v>0.45934204414001245</v>
      </c>
      <c r="N177" s="21">
        <f>IF(N$3&gt;A6taxremlife,A6taxvalue-SUM($F177:M177),IF(A6taxremlife="N/A","n/a",A6taxvalue/A6taxremlife))</f>
        <v>0.45934204414001245</v>
      </c>
      <c r="O177" s="21">
        <f>IF(O$3&gt;A6taxremlife,A6taxvalue-SUM($F177:N177),IF(A6taxremlife="N/A","n/a",A6taxvalue/A6taxremlife))</f>
        <v>0.45934204414001245</v>
      </c>
      <c r="P177" s="21">
        <f>IF(P$3&gt;A6taxremlife,A6taxvalue-SUM($F177:O177),IF(A6taxremlife="N/A","n/a",A6taxvalue/A6taxremlife))</f>
        <v>0.45934204414001245</v>
      </c>
      <c r="Q177" s="21">
        <f>IF(Q$3&gt;A6taxremlife,A6taxvalue-SUM($F177:P177),IF(A6taxremlife="N/A","n/a",A6taxvalue/A6taxremlife))</f>
        <v>0.45934204414001245</v>
      </c>
      <c r="R177" s="21"/>
      <c r="S177" s="74"/>
      <c r="T177" s="74"/>
      <c r="U177" s="74"/>
      <c r="V177" s="74"/>
      <c r="W177" s="74"/>
      <c r="X177" s="74"/>
      <c r="Y177" s="74"/>
      <c r="Z177" s="74"/>
      <c r="AA177" s="152"/>
    </row>
    <row r="178" spans="1:27" ht="12.75" hidden="1" customHeight="1" outlineLevel="2">
      <c r="A178" s="3"/>
      <c r="B178" s="3"/>
      <c r="C178" s="16"/>
      <c r="D178" s="1593" t="s">
        <v>43</v>
      </c>
      <c r="E178" s="61"/>
      <c r="F178" s="17"/>
      <c r="G178" s="17"/>
      <c r="H178" s="1413"/>
      <c r="I178" s="72"/>
      <c r="J178" s="18"/>
      <c r="K178" s="18"/>
      <c r="L178" s="18"/>
      <c r="M178" s="18"/>
      <c r="N178" s="18"/>
      <c r="O178" s="18"/>
      <c r="P178" s="18"/>
      <c r="Q178" s="18"/>
      <c r="R178" s="18"/>
      <c r="S178" s="74"/>
      <c r="T178" s="74"/>
      <c r="U178" s="74"/>
      <c r="V178" s="74"/>
      <c r="W178" s="74"/>
      <c r="X178" s="74"/>
      <c r="Y178" s="74"/>
      <c r="Z178" s="74"/>
      <c r="AA178" s="152"/>
    </row>
    <row r="179" spans="1:27" hidden="1" outlineLevel="2">
      <c r="A179" s="3"/>
      <c r="B179" s="3"/>
      <c r="C179" s="16"/>
      <c r="D179" s="1594"/>
      <c r="E179" s="61">
        <v>1</v>
      </c>
      <c r="F179" s="17"/>
      <c r="G179" s="17"/>
      <c r="H179" s="1414"/>
      <c r="I179" s="1415">
        <f>IF(A6taxstdlife="n/a","n/a",IF(I$3&gt;(A6taxstdlife+$E179),('RFM input'!$H$66-'RFM input'!$H$120)-SUM($H179:H179),('RFM input'!$H$66-'RFM input'!$H$120)/A6taxstdlife))</f>
        <v>5.2953826639400112E-2</v>
      </c>
      <c r="J179" s="18">
        <f>IF(A6taxstdlife="n/a","n/a",IF(J$3&gt;(A6taxstdlife+$E179),('RFM input'!$H$66-'RFM input'!$H$120)-SUM($H179:I179),('RFM input'!$H$66-'RFM input'!$H$120)/A6taxstdlife))</f>
        <v>5.2953826639400112E-2</v>
      </c>
      <c r="K179" s="18">
        <f>IF(A6taxstdlife="n/a","n/a",IF(K$3&gt;(A6taxstdlife+$E179),('RFM input'!$H$66-'RFM input'!$H$120)-SUM($H179:J179),('RFM input'!$H$66-'RFM input'!$H$120)/A6taxstdlife))</f>
        <v>5.2953826639400112E-2</v>
      </c>
      <c r="L179" s="18">
        <f>IF(A6taxstdlife="n/a","n/a",IF(L$3&gt;(A6taxstdlife+$E179),('RFM input'!$H$66-'RFM input'!$H$120)-SUM($H179:K179),('RFM input'!$H$66-'RFM input'!$H$120)/A6taxstdlife))</f>
        <v>5.2953826639400112E-2</v>
      </c>
      <c r="M179" s="18">
        <f>IF(A6taxstdlife="n/a","n/a",IF(M$3&gt;(A6taxstdlife+$E179),('RFM input'!$H$66-'RFM input'!$H$120)-SUM($H179:L179),('RFM input'!$H$66-'RFM input'!$H$120)/A6taxstdlife))</f>
        <v>5.2953826639400112E-2</v>
      </c>
      <c r="N179" s="18">
        <f>IF(A6taxstdlife="n/a","n/a",IF(N$3&gt;(A6taxstdlife+$E179),('RFM input'!$H$66-'RFM input'!$H$120)-SUM($H179:M179),('RFM input'!$H$66-'RFM input'!$H$120)/A6taxstdlife))</f>
        <v>5.2953826639400112E-2</v>
      </c>
      <c r="O179" s="18">
        <f>IF(A6taxstdlife="n/a","n/a",IF(O$3&gt;(A6taxstdlife+$E179),('RFM input'!$H$66-'RFM input'!$H$120)-SUM($H179:N179),('RFM input'!$H$66-'RFM input'!$H$120)/A6taxstdlife))</f>
        <v>5.2953826639400112E-2</v>
      </c>
      <c r="P179" s="18">
        <f>IF(A6taxstdlife="n/a","n/a",IF(P$3&gt;(A6taxstdlife+$E179),('RFM input'!$H$66-'RFM input'!$H$120)-SUM($H179:O179),('RFM input'!$H$66-'RFM input'!$H$120)/A6taxstdlife))</f>
        <v>5.2953826639400112E-2</v>
      </c>
      <c r="Q179" s="18">
        <f>IF(A6taxstdlife="n/a","n/a",IF(Q$3&gt;(A6taxstdlife+$E179),('RFM input'!$H$66-'RFM input'!$H$120)-SUM($H179:P179),('RFM input'!$H$66-'RFM input'!$H$120)/A6taxstdlife))</f>
        <v>5.2953826639400112E-2</v>
      </c>
      <c r="R179" s="18"/>
      <c r="S179" s="74"/>
      <c r="T179" s="74"/>
      <c r="U179" s="74"/>
      <c r="V179" s="74"/>
      <c r="W179" s="74"/>
      <c r="X179" s="74"/>
      <c r="Y179" s="74"/>
      <c r="Z179" s="74"/>
      <c r="AA179" s="152"/>
    </row>
    <row r="180" spans="1:27" hidden="1" outlineLevel="2">
      <c r="A180" s="3"/>
      <c r="B180" s="3"/>
      <c r="C180" s="16"/>
      <c r="D180" s="1594"/>
      <c r="E180" s="61">
        <v>2</v>
      </c>
      <c r="F180" s="17"/>
      <c r="G180" s="17"/>
      <c r="H180" s="1414"/>
      <c r="I180" s="1414"/>
      <c r="J180" s="18">
        <f>IF(A6taxstdlife="n/a","n/a",IF(J$3&gt;(A6taxstdlife+$E180),('RFM input'!$I$66-'RFM input'!$I$120)-SUM($I180:I180),('RFM input'!$I$66-'RFM input'!$I$120)/A6taxstdlife))</f>
        <v>2.4034443315784849E-2</v>
      </c>
      <c r="K180" s="18">
        <f>IF(A6taxstdlife="n/a","n/a",IF(K$3&gt;(A6taxstdlife+$E180),('RFM input'!$I$66-'RFM input'!$I$120)-SUM($I180:J180),('RFM input'!$I$66-'RFM input'!$I$120)/A6taxstdlife))</f>
        <v>2.4034443315784849E-2</v>
      </c>
      <c r="L180" s="18">
        <f>IF(A6taxstdlife="n/a","n/a",IF(L$3&gt;(A6taxstdlife+$E180),('RFM input'!$I$66-'RFM input'!$I$120)-SUM($I180:K180),('RFM input'!$I$66-'RFM input'!$I$120)/A6taxstdlife))</f>
        <v>2.4034443315784849E-2</v>
      </c>
      <c r="M180" s="18">
        <f>IF(A6taxstdlife="n/a","n/a",IF(M$3&gt;(A6taxstdlife+$E180),('RFM input'!$I$66-'RFM input'!$I$120)-SUM($I180:L180),('RFM input'!$I$66-'RFM input'!$I$120)/A6taxstdlife))</f>
        <v>2.4034443315784849E-2</v>
      </c>
      <c r="N180" s="18">
        <f>IF(A6taxstdlife="n/a","n/a",IF(N$3&gt;(A6taxstdlife+$E180),('RFM input'!$I$66-'RFM input'!$I$120)-SUM($I180:M180),('RFM input'!$I$66-'RFM input'!$I$120)/A6taxstdlife))</f>
        <v>2.4034443315784849E-2</v>
      </c>
      <c r="O180" s="18">
        <f>IF(A6taxstdlife="n/a","n/a",IF(O$3&gt;(A6taxstdlife+$E180),('RFM input'!$I$66-'RFM input'!$I$120)-SUM($I180:N180),('RFM input'!$I$66-'RFM input'!$I$120)/A6taxstdlife))</f>
        <v>2.4034443315784849E-2</v>
      </c>
      <c r="P180" s="18">
        <f>IF(A6taxstdlife="n/a","n/a",IF(P$3&gt;(A6taxstdlife+$E180),('RFM input'!$I$66-'RFM input'!$I$120)-SUM($I180:O180),('RFM input'!$I$66-'RFM input'!$I$120)/A6taxstdlife))</f>
        <v>2.4034443315784849E-2</v>
      </c>
      <c r="Q180" s="18">
        <f>IF(A6taxstdlife="n/a","n/a",IF(Q$3&gt;(A6taxstdlife+$E180),('RFM input'!$I$66-'RFM input'!$I$120)-SUM($I180:P180),('RFM input'!$I$66-'RFM input'!$I$120)/A6taxstdlife))</f>
        <v>2.4034443315784849E-2</v>
      </c>
      <c r="R180" s="18"/>
      <c r="S180" s="74"/>
      <c r="T180" s="74"/>
      <c r="U180" s="74"/>
      <c r="V180" s="74"/>
      <c r="W180" s="74"/>
      <c r="X180" s="74"/>
      <c r="Y180" s="74"/>
      <c r="Z180" s="74"/>
      <c r="AA180" s="152"/>
    </row>
    <row r="181" spans="1:27" hidden="1" outlineLevel="2">
      <c r="A181" s="3"/>
      <c r="B181" s="3"/>
      <c r="C181" s="16"/>
      <c r="D181" s="1594"/>
      <c r="E181" s="61">
        <v>3</v>
      </c>
      <c r="F181" s="17"/>
      <c r="G181" s="17"/>
      <c r="H181" s="1414"/>
      <c r="I181" s="1414"/>
      <c r="J181" s="116"/>
      <c r="K181" s="18">
        <f>IF(A6taxstdlife="n/a","n/a",IF(K$3&gt;(A6taxstdlife+$E181),('RFM input'!$J$66-'RFM input'!$J$120)-SUM($J181:J181),('RFM input'!$J$66-'RFM input'!$J$120)/A6taxstdlife))</f>
        <v>3.8061843685271532E-2</v>
      </c>
      <c r="L181" s="18">
        <f>IF(A6taxstdlife="n/a","n/a",IF(L$3&gt;(A6taxstdlife+$E181),('RFM input'!$J$66-'RFM input'!$J$120)-SUM($J181:K181),('RFM input'!$J$66-'RFM input'!$J$120)/A6taxstdlife))</f>
        <v>3.8061843685271532E-2</v>
      </c>
      <c r="M181" s="18">
        <f>IF(A6taxstdlife="n/a","n/a",IF(M$3&gt;(A6taxstdlife+$E181),('RFM input'!$J$66-'RFM input'!$J$120)-SUM($J181:L181),('RFM input'!$J$66-'RFM input'!$J$120)/A6taxstdlife))</f>
        <v>3.8061843685271532E-2</v>
      </c>
      <c r="N181" s="18">
        <f>IF(A6taxstdlife="n/a","n/a",IF(N$3&gt;(A6taxstdlife+$E181),('RFM input'!$J$66-'RFM input'!$J$120)-SUM($J181:M181),('RFM input'!$J$66-'RFM input'!$J$120)/A6taxstdlife))</f>
        <v>3.8061843685271532E-2</v>
      </c>
      <c r="O181" s="18">
        <f>IF(A6taxstdlife="n/a","n/a",IF(O$3&gt;(A6taxstdlife+$E181),('RFM input'!$J$66-'RFM input'!$J$120)-SUM($J181:N181),('RFM input'!$J$66-'RFM input'!$J$120)/A6taxstdlife))</f>
        <v>3.8061843685271532E-2</v>
      </c>
      <c r="P181" s="18">
        <f>IF(A6taxstdlife="n/a","n/a",IF(P$3&gt;(A6taxstdlife+$E181),('RFM input'!$J$66-'RFM input'!$J$120)-SUM($J181:O181),('RFM input'!$J$66-'RFM input'!$J$120)/A6taxstdlife))</f>
        <v>3.8061843685271532E-2</v>
      </c>
      <c r="Q181" s="18">
        <f>IF(A6taxstdlife="n/a","n/a",IF(Q$3&gt;(A6taxstdlife+$E181),('RFM input'!$J$66-'RFM input'!$J$120)-SUM($J181:P181),('RFM input'!$J$66-'RFM input'!$J$120)/A6taxstdlife))</f>
        <v>3.8061843685271532E-2</v>
      </c>
      <c r="R181" s="18"/>
      <c r="S181" s="74"/>
      <c r="T181" s="74"/>
      <c r="U181" s="74"/>
      <c r="V181" s="74"/>
      <c r="W181" s="74"/>
      <c r="X181" s="74"/>
      <c r="Y181" s="74"/>
      <c r="Z181" s="74"/>
      <c r="AA181" s="152"/>
    </row>
    <row r="182" spans="1:27" hidden="1" outlineLevel="2">
      <c r="A182" s="3"/>
      <c r="B182" s="3"/>
      <c r="C182" s="16"/>
      <c r="D182" s="1594"/>
      <c r="E182" s="61">
        <v>4</v>
      </c>
      <c r="F182" s="17"/>
      <c r="G182" s="17"/>
      <c r="H182" s="1414"/>
      <c r="I182" s="1414"/>
      <c r="J182" s="115"/>
      <c r="K182" s="116"/>
      <c r="L182" s="18">
        <f>IF(A6taxstdlife="n/a","n/a",IF(L$3&gt;(A6taxstdlife+$E182),('RFM input'!$K$66-'RFM input'!$K$120)-SUM($K182:K182),('RFM input'!$K$66-'RFM input'!$K$120)/A6taxstdlife))</f>
        <v>8.8665933747228559E-2</v>
      </c>
      <c r="M182" s="18">
        <f>IF(A6taxstdlife="n/a","n/a",IF(M$3&gt;(A6taxstdlife+$E182),('RFM input'!$K$66-'RFM input'!$K$120)-SUM($K182:L182),('RFM input'!$K$66-'RFM input'!$K$120)/A6taxstdlife))</f>
        <v>8.8665933747228559E-2</v>
      </c>
      <c r="N182" s="18">
        <f>IF(A6taxstdlife="n/a","n/a",IF(N$3&gt;(A6taxstdlife+$E182),('RFM input'!$K$66-'RFM input'!$K$120)-SUM($K182:M182),('RFM input'!$K$66-'RFM input'!$K$120)/A6taxstdlife))</f>
        <v>8.8665933747228559E-2</v>
      </c>
      <c r="O182" s="18">
        <f>IF(A6taxstdlife="n/a","n/a",IF(O$3&gt;(A6taxstdlife+$E182),('RFM input'!$K$66-'RFM input'!$K$120)-SUM($K182:N182),('RFM input'!$K$66-'RFM input'!$K$120)/A6taxstdlife))</f>
        <v>8.8665933747228559E-2</v>
      </c>
      <c r="P182" s="18">
        <f>IF(A6taxstdlife="n/a","n/a",IF(P$3&gt;(A6taxstdlife+$E182),('RFM input'!$K$66-'RFM input'!$K$120)-SUM($K182:O182),('RFM input'!$K$66-'RFM input'!$K$120)/A6taxstdlife))</f>
        <v>8.8665933747228559E-2</v>
      </c>
      <c r="Q182" s="18">
        <f>IF(A6taxstdlife="n/a","n/a",IF(Q$3&gt;(A6taxstdlife+$E182),('RFM input'!$K$66-'RFM input'!$K$120)-SUM($K182:P182),('RFM input'!$K$66-'RFM input'!$K$120)/A6taxstdlife))</f>
        <v>8.8665933747228559E-2</v>
      </c>
      <c r="R182" s="18"/>
      <c r="S182" s="74"/>
      <c r="T182" s="74"/>
      <c r="U182" s="74"/>
      <c r="V182" s="74"/>
      <c r="W182" s="74"/>
      <c r="X182" s="74"/>
      <c r="Y182" s="74"/>
      <c r="Z182" s="74"/>
      <c r="AA182" s="152"/>
    </row>
    <row r="183" spans="1:27" hidden="1" outlineLevel="2">
      <c r="A183" s="3"/>
      <c r="B183" s="3"/>
      <c r="C183" s="16"/>
      <c r="D183" s="1594"/>
      <c r="E183" s="61">
        <v>5</v>
      </c>
      <c r="F183" s="17"/>
      <c r="G183" s="17"/>
      <c r="H183" s="1414"/>
      <c r="I183" s="1414"/>
      <c r="J183" s="115"/>
      <c r="K183" s="115"/>
      <c r="L183" s="116"/>
      <c r="M183" s="18">
        <f>IF(A6taxstdlife="n/a","n/a",IF(M$3&gt;(A6taxstdlife+$E183),('RFM input'!$L$66-'RFM input'!$L$120)-SUM($L183:L183),('RFM input'!$L$66-'RFM input'!$L$120)/A6taxstdlife))</f>
        <v>4.5413221796446218E-2</v>
      </c>
      <c r="N183" s="18">
        <f>IF(A6taxstdlife="n/a","n/a",IF(N$3&gt;(A6taxstdlife+$E183),('RFM input'!$L$66-'RFM input'!$L$120)-SUM($L183:M183),('RFM input'!$L$66-'RFM input'!$L$120)/A6taxstdlife))</f>
        <v>4.5413221796446218E-2</v>
      </c>
      <c r="O183" s="18">
        <f>IF(A6taxstdlife="n/a","n/a",IF(O$3&gt;(A6taxstdlife+$E183),('RFM input'!$L$66-'RFM input'!$L$120)-SUM($L183:N183),('RFM input'!$L$66-'RFM input'!$L$120)/A6taxstdlife))</f>
        <v>4.5413221796446218E-2</v>
      </c>
      <c r="P183" s="18">
        <f>IF(A6taxstdlife="n/a","n/a",IF(P$3&gt;(A6taxstdlife+$E183),('RFM input'!$L$66-'RFM input'!$L$120)-SUM($L183:O183),('RFM input'!$L$66-'RFM input'!$L$120)/A6taxstdlife))</f>
        <v>4.5413221796446218E-2</v>
      </c>
      <c r="Q183" s="18">
        <f>IF(A6taxstdlife="n/a","n/a",IF(Q$3&gt;(A6taxstdlife+$E183),('RFM input'!$L$66-'RFM input'!$L$120)-SUM($L183:P183),('RFM input'!$L$66-'RFM input'!$L$120)/A6taxstdlife))</f>
        <v>4.5413221796446218E-2</v>
      </c>
      <c r="R183" s="18"/>
      <c r="S183" s="74"/>
      <c r="T183" s="74"/>
      <c r="U183" s="74"/>
      <c r="V183" s="74"/>
      <c r="W183" s="74"/>
      <c r="X183" s="74"/>
      <c r="Y183" s="74"/>
      <c r="Z183" s="74"/>
      <c r="AA183" s="152"/>
    </row>
    <row r="184" spans="1:27" hidden="1" outlineLevel="2">
      <c r="A184" s="3"/>
      <c r="B184" s="3"/>
      <c r="C184" s="16"/>
      <c r="D184" s="1594"/>
      <c r="E184" s="61">
        <v>6</v>
      </c>
      <c r="F184" s="17"/>
      <c r="G184" s="17"/>
      <c r="H184" s="1414"/>
      <c r="I184" s="1414"/>
      <c r="J184" s="115"/>
      <c r="K184" s="115"/>
      <c r="L184" s="115"/>
      <c r="M184" s="116"/>
      <c r="N184" s="18">
        <f>IF(A6taxstdlife="n/a","n/a",IF(N$3&gt;(A6taxstdlife+$E184),('RFM input'!$M$66-'RFM input'!$M$120)-SUM($M184:M184),('RFM input'!$M$66-'RFM input'!$M$120)/A6taxstdlife))</f>
        <v>4.5876450050434489E-2</v>
      </c>
      <c r="O184" s="18">
        <f>IF(A6taxstdlife="n/a","n/a",IF(O$3&gt;(A6taxstdlife+$E184),('RFM input'!$M$66-'RFM input'!$M$120)-SUM($M184:N184),('RFM input'!$M$66-'RFM input'!$M$120)/A6taxstdlife))</f>
        <v>4.5876450050434489E-2</v>
      </c>
      <c r="P184" s="18">
        <f>IF(A6taxstdlife="n/a","n/a",IF(P$3&gt;(A6taxstdlife+$E184),('RFM input'!$M$66-'RFM input'!$M$120)-SUM($M184:O184),('RFM input'!$M$66-'RFM input'!$M$120)/A6taxstdlife))</f>
        <v>4.5876450050434489E-2</v>
      </c>
      <c r="Q184" s="18">
        <f>IF(A6taxstdlife="n/a","n/a",IF(Q$3&gt;(A6taxstdlife+$E184),('RFM input'!$M$66-'RFM input'!$M$120)-SUM($M184:P184),('RFM input'!$M$66-'RFM input'!$M$120)/A6taxstdlife))</f>
        <v>4.5876450050434489E-2</v>
      </c>
      <c r="R184" s="18"/>
      <c r="S184" s="74"/>
      <c r="T184" s="74"/>
      <c r="U184" s="74"/>
      <c r="V184" s="74"/>
      <c r="W184" s="74"/>
      <c r="X184" s="74"/>
      <c r="Y184" s="74"/>
      <c r="Z184" s="74"/>
      <c r="AA184" s="152"/>
    </row>
    <row r="185" spans="1:27" hidden="1" outlineLevel="2">
      <c r="A185" s="3"/>
      <c r="B185" s="3"/>
      <c r="C185" s="16"/>
      <c r="D185" s="1594"/>
      <c r="E185" s="61">
        <v>7</v>
      </c>
      <c r="F185" s="17"/>
      <c r="G185" s="17"/>
      <c r="H185" s="1414"/>
      <c r="I185" s="1414"/>
      <c r="J185" s="115"/>
      <c r="K185" s="115"/>
      <c r="L185" s="115"/>
      <c r="M185" s="115"/>
      <c r="N185" s="116"/>
      <c r="O185" s="18">
        <f>IF(A6taxstdlife="n/a","n/a",IF(O$3&gt;(A6taxstdlife+$E185),('RFM input'!$N$66-'RFM input'!$N$120)-SUM($N185:N185),('RFM input'!$N$66-'RFM input'!$N$120)/A6taxstdlife))</f>
        <v>4.3846516450376863E-2</v>
      </c>
      <c r="P185" s="18">
        <f>IF(A6taxstdlife="n/a","n/a",IF(P$3&gt;(A6taxstdlife+$E185),('RFM input'!$N$66-'RFM input'!$N$120)-SUM($N185:O185),('RFM input'!$N$66-'RFM input'!$N$120)/A6taxstdlife))</f>
        <v>4.3846516450376863E-2</v>
      </c>
      <c r="Q185" s="18">
        <f>IF(A6taxstdlife="n/a","n/a",IF(Q$3&gt;(A6taxstdlife+$E185),('RFM input'!$N$66-'RFM input'!$N$120)-SUM($N185:P185),('RFM input'!$N$66-'RFM input'!$N$120)/A6taxstdlife))</f>
        <v>4.3846516450376863E-2</v>
      </c>
      <c r="R185" s="18"/>
      <c r="S185" s="74"/>
      <c r="T185" s="74"/>
      <c r="U185" s="74"/>
      <c r="V185" s="74"/>
      <c r="W185" s="74"/>
      <c r="X185" s="74"/>
      <c r="Y185" s="74"/>
      <c r="Z185" s="74"/>
      <c r="AA185" s="152"/>
    </row>
    <row r="186" spans="1:27" hidden="1" outlineLevel="2">
      <c r="A186" s="3"/>
      <c r="B186" s="3"/>
      <c r="C186" s="16"/>
      <c r="D186" s="1594"/>
      <c r="E186" s="61">
        <v>8</v>
      </c>
      <c r="F186" s="17"/>
      <c r="G186" s="17"/>
      <c r="H186" s="1414"/>
      <c r="I186" s="1414"/>
      <c r="J186" s="115"/>
      <c r="K186" s="115"/>
      <c r="L186" s="115"/>
      <c r="M186" s="115"/>
      <c r="N186" s="115"/>
      <c r="O186" s="116"/>
      <c r="P186" s="18">
        <f>IF(A6taxstdlife="n/a","n/a",IF(P$3&gt;(A6taxstdlife+$E186),('RFM input'!$O$66-'RFM input'!$O$120)-SUM($O186:O186),('RFM input'!$O$66-'RFM input'!$O$120)/A6taxstdlife))</f>
        <v>0</v>
      </c>
      <c r="Q186" s="18">
        <f>IF(A6taxstdlife="n/a","n/a",IF(Q$3&gt;(A6taxstdlife+$E186),('RFM input'!$O$66-'RFM input'!$O$120)-SUM($O186:P186),('RFM input'!$O$66-'RFM input'!$O$120)/A6taxstdlife))</f>
        <v>0</v>
      </c>
      <c r="R186" s="18"/>
      <c r="S186" s="74"/>
      <c r="T186" s="74"/>
      <c r="U186" s="74"/>
      <c r="V186" s="74"/>
      <c r="W186" s="74"/>
      <c r="X186" s="74"/>
      <c r="Y186" s="74"/>
      <c r="Z186" s="74"/>
      <c r="AA186" s="152"/>
    </row>
    <row r="187" spans="1:27" hidden="1" outlineLevel="2">
      <c r="A187" s="3"/>
      <c r="B187" s="3"/>
      <c r="C187" s="16"/>
      <c r="D187" s="1594"/>
      <c r="E187" s="61">
        <v>9</v>
      </c>
      <c r="F187" s="17"/>
      <c r="G187" s="17"/>
      <c r="H187" s="1414"/>
      <c r="I187" s="1414"/>
      <c r="J187" s="115"/>
      <c r="K187" s="115"/>
      <c r="L187" s="115"/>
      <c r="M187" s="115"/>
      <c r="N187" s="115"/>
      <c r="O187" s="115"/>
      <c r="P187" s="116"/>
      <c r="Q187" s="18">
        <f>IF(A6taxstdlife="n/a","n/a",IF(Q$3&gt;(A6taxstdlife+$E187),('RFM input'!$P$66-'RFM input'!$P$120)-SUM($P187:P187),('RFM input'!$P$66-'RFM input'!$P$120)/A6taxstdlife))</f>
        <v>0</v>
      </c>
      <c r="R187" s="18"/>
      <c r="S187" s="74"/>
      <c r="T187" s="74"/>
      <c r="U187" s="74"/>
      <c r="V187" s="74"/>
      <c r="W187" s="74"/>
      <c r="X187" s="74"/>
      <c r="Y187" s="74"/>
      <c r="Z187" s="74"/>
      <c r="AA187" s="152"/>
    </row>
    <row r="188" spans="1:27" hidden="1" outlineLevel="2">
      <c r="A188" s="3"/>
      <c r="B188" s="3"/>
      <c r="C188" s="16"/>
      <c r="D188" s="1594"/>
      <c r="E188" s="62">
        <v>10</v>
      </c>
      <c r="F188" s="17"/>
      <c r="G188" s="17"/>
      <c r="H188" s="1414"/>
      <c r="I188" s="1414"/>
      <c r="J188" s="115"/>
      <c r="K188" s="115"/>
      <c r="L188" s="115"/>
      <c r="M188" s="115"/>
      <c r="N188" s="115"/>
      <c r="O188" s="115"/>
      <c r="P188" s="115"/>
      <c r="Q188" s="116"/>
      <c r="R188" s="18"/>
      <c r="S188" s="74"/>
      <c r="T188" s="74"/>
      <c r="U188" s="74"/>
      <c r="V188" s="74"/>
      <c r="W188" s="74"/>
      <c r="X188" s="74"/>
      <c r="Y188" s="74"/>
      <c r="Z188" s="74"/>
      <c r="AA188" s="152"/>
    </row>
    <row r="189" spans="1:27" hidden="1" outlineLevel="1">
      <c r="A189" s="3"/>
      <c r="B189" s="3"/>
      <c r="C189" s="134" t="str">
        <f>Asset6</f>
        <v>Other Distribution System Equipment</v>
      </c>
      <c r="D189" s="3"/>
      <c r="E189" s="3"/>
      <c r="F189" s="14"/>
      <c r="G189" s="14"/>
      <c r="H189" s="1460">
        <f>IF('RFM input'!$G$354="Tracked",-1*INDEX('RFM input'!H$358:H$407,MATCH('TAB roll forward'!$C189,'RFM input'!$E$358:$E$407,0)),-SUM(H177:H188))</f>
        <v>-0.45934204414001245</v>
      </c>
      <c r="I189" s="1460">
        <f>IF('RFM input'!$G$354="Tracked",-1*INDEX('RFM input'!I$358:I$407,MATCH('TAB roll forward'!$C189,'RFM input'!$E$358:$E$407,0)),-SUM(I177:I188))</f>
        <v>-0.51229587077941252</v>
      </c>
      <c r="J189" s="1460">
        <f>IF(COUNT($H189:I189)&gt;='RFM input'!$V$7,0,IF('RFM input'!$G$354="Tracked",-1*INDEX('RFM input'!J$358:J$407,MATCH('TAB roll forward'!$C189,'RFM input'!$E$358:$E$407,0)),-SUM(J177:J188)))</f>
        <v>-0.53633031409519738</v>
      </c>
      <c r="K189" s="1460">
        <f>IF(COUNT($H189:J189)&gt;='RFM input'!$V$7,0,IF('RFM input'!$G$354="Tracked",-1*INDEX('RFM input'!K$358:K$407,MATCH('TAB roll forward'!$C189,'RFM input'!$E$358:$E$407,0)),-SUM(K177:K188)))</f>
        <v>-0.57439215778046893</v>
      </c>
      <c r="L189" s="1460">
        <f>IF(COUNT($H189:K189)&gt;='RFM input'!$V$7,0,IF('RFM input'!$G$354="Tracked",-1*INDEX('RFM input'!L$358:L$407,MATCH('TAB roll forward'!$C189,'RFM input'!$E$358:$E$407,0)),-SUM(L177:L188)))</f>
        <v>-0.66305809152769746</v>
      </c>
      <c r="M189" s="1460">
        <f>IF(COUNT($H189:L189)&gt;='RFM input'!$V$7,0,IF('RFM input'!$G$354="Tracked",-1*INDEX('RFM input'!M$358:M$407,MATCH('TAB roll forward'!$C189,'RFM input'!$E$358:$E$407,0)),-SUM(M177:M188)))</f>
        <v>-0.7084713133241437</v>
      </c>
      <c r="N189" s="1460">
        <f>IF(COUNT($H189:M189)&gt;='RFM input'!$V$7,0,IF('RFM input'!$G$354="Tracked",-1*INDEX('RFM input'!N$358:N$407,MATCH('TAB roll forward'!$C189,'RFM input'!$E$358:$E$407,0)),-SUM(N177:N188)))</f>
        <v>-0.75434776337457821</v>
      </c>
      <c r="O189" s="1460">
        <f>IF(COUNT($H189:N189)&gt;='RFM input'!$V$7,0,IF('RFM input'!$G$354="Tracked",-1*INDEX('RFM input'!O$358:O$407,MATCH('TAB roll forward'!$C189,'RFM input'!$E$358:$E$407,0)),-SUM(O177:O188)))</f>
        <v>0</v>
      </c>
      <c r="P189" s="1460">
        <f>IF(COUNT($H189:O189)&gt;='RFM input'!$V$7,0,IF('RFM input'!$G$354="Tracked",-1*INDEX('RFM input'!P$358:P$407,MATCH('TAB roll forward'!$C189,'RFM input'!$E$358:$E$407,0)),-SUM(P177:P188)))</f>
        <v>0</v>
      </c>
      <c r="Q189" s="1460">
        <f>IF(COUNT($H189:P189)&gt;='RFM input'!$V$7,0,IF('RFM input'!$G$354="Tracked",-1*INDEX('RFM input'!Q$358:Q$407,MATCH('TAB roll forward'!$C189,'RFM input'!$E$358:$E$407,0)),-SUM(Q177:Q188)))</f>
        <v>0</v>
      </c>
      <c r="R189" s="1382"/>
      <c r="S189" s="73"/>
      <c r="T189" s="73"/>
      <c r="U189" s="73"/>
      <c r="V189" s="73"/>
      <c r="W189" s="73"/>
      <c r="X189" s="73"/>
      <c r="Y189" s="73"/>
      <c r="Z189" s="73"/>
      <c r="AA189" s="152"/>
    </row>
    <row r="190" spans="1:27" hidden="1" outlineLevel="2">
      <c r="A190" s="3"/>
      <c r="B190" s="135" t="str">
        <f>Asset7</f>
        <v>Other</v>
      </c>
      <c r="C190" s="19"/>
      <c r="D190" s="234" t="s">
        <v>119</v>
      </c>
      <c r="E190" s="19"/>
      <c r="F190" s="148"/>
      <c r="G190" s="148"/>
      <c r="H190" s="21">
        <f>IF(H$3&gt;A7taxremlife,A7taxvalue-SUM($F190:F190),IF(A7taxremlife="N/A","n/a",A7taxvalue/A7taxremlife))</f>
        <v>0.12465508137144871</v>
      </c>
      <c r="I190" s="21">
        <f>IF(I$3&gt;A7taxremlife,A7taxvalue-SUM($F190:H190),IF(A7taxremlife="N/A","n/a",A7taxvalue/A7taxremlife))</f>
        <v>7.2527785099060382E-2</v>
      </c>
      <c r="J190" s="21">
        <f>IF(J$3&gt;A7taxremlife,A7taxvalue-SUM($F190:I190),IF(A7taxremlife="N/A","n/a",A7taxvalue/A7taxremlife))</f>
        <v>0</v>
      </c>
      <c r="K190" s="21">
        <f>IF(K$3&gt;A7taxremlife,A7taxvalue-SUM($F190:J190),IF(A7taxremlife="N/A","n/a",A7taxvalue/A7taxremlife))</f>
        <v>0</v>
      </c>
      <c r="L190" s="21">
        <f>IF(L$3&gt;A7taxremlife,A7taxvalue-SUM($F190:K190),IF(A7taxremlife="N/A","n/a",A7taxvalue/A7taxremlife))</f>
        <v>0</v>
      </c>
      <c r="M190" s="21">
        <f>IF(M$3&gt;A7taxremlife,A7taxvalue-SUM($F190:L190),IF(A7taxremlife="N/A","n/a",A7taxvalue/A7taxremlife))</f>
        <v>0</v>
      </c>
      <c r="N190" s="21">
        <f>IF(N$3&gt;A7taxremlife,A7taxvalue-SUM($F190:M190),IF(A7taxremlife="N/A","n/a",A7taxvalue/A7taxremlife))</f>
        <v>0</v>
      </c>
      <c r="O190" s="21">
        <f>IF(O$3&gt;A7taxremlife,A7taxvalue-SUM($F190:N190),IF(A7taxremlife="N/A","n/a",A7taxvalue/A7taxremlife))</f>
        <v>0</v>
      </c>
      <c r="P190" s="21">
        <f>IF(P$3&gt;A7taxremlife,A7taxvalue-SUM($F190:O190),IF(A7taxremlife="N/A","n/a",A7taxvalue/A7taxremlife))</f>
        <v>0</v>
      </c>
      <c r="Q190" s="21">
        <f>IF(Q$3&gt;A7taxremlife,A7taxvalue-SUM($F190:P190),IF(A7taxremlife="N/A","n/a",A7taxvalue/A7taxremlife))</f>
        <v>0</v>
      </c>
      <c r="R190" s="21"/>
      <c r="S190" s="74"/>
      <c r="T190" s="74"/>
      <c r="U190" s="74"/>
      <c r="V190" s="74"/>
      <c r="W190" s="74"/>
      <c r="X190" s="74"/>
      <c r="Y190" s="74"/>
      <c r="Z190" s="74"/>
      <c r="AA190" s="152"/>
    </row>
    <row r="191" spans="1:27" ht="12.75" hidden="1" customHeight="1" outlineLevel="2">
      <c r="A191" s="3"/>
      <c r="B191" s="3"/>
      <c r="C191" s="16"/>
      <c r="D191" s="1593" t="s">
        <v>43</v>
      </c>
      <c r="E191" s="61"/>
      <c r="F191" s="17"/>
      <c r="G191" s="17"/>
      <c r="H191" s="1413"/>
      <c r="I191" s="72"/>
      <c r="J191" s="18"/>
      <c r="K191" s="18"/>
      <c r="L191" s="18"/>
      <c r="M191" s="18"/>
      <c r="N191" s="18"/>
      <c r="O191" s="18"/>
      <c r="P191" s="18"/>
      <c r="Q191" s="18"/>
      <c r="R191" s="18"/>
      <c r="S191" s="74"/>
      <c r="T191" s="74"/>
      <c r="U191" s="74"/>
      <c r="V191" s="74"/>
      <c r="W191" s="74"/>
      <c r="X191" s="74"/>
      <c r="Y191" s="74"/>
      <c r="Z191" s="74"/>
      <c r="AA191" s="152"/>
    </row>
    <row r="192" spans="1:27" hidden="1" outlineLevel="2">
      <c r="A192" s="3"/>
      <c r="B192" s="3"/>
      <c r="C192" s="16"/>
      <c r="D192" s="1594"/>
      <c r="E192" s="61">
        <v>1</v>
      </c>
      <c r="F192" s="17"/>
      <c r="G192" s="17"/>
      <c r="H192" s="1414"/>
      <c r="I192" s="1415">
        <f>IF(A7taxstdlife="n/a","n/a",IF(I$3&gt;(A7taxstdlife+$E192),('RFM input'!$H$67-'RFM input'!$H$121)-SUM($H192:H192),('RFM input'!$H$67-'RFM input'!$H$121)/A7taxstdlife))</f>
        <v>-2.8917999999999999E-3</v>
      </c>
      <c r="J192" s="18">
        <f>IF(A7taxstdlife="n/a","n/a",IF(J$3&gt;(A7taxstdlife+$E192),('RFM input'!$H$67-'RFM input'!$H$121)-SUM($H192:I192),('RFM input'!$H$67-'RFM input'!$H$121)/A7taxstdlife))</f>
        <v>-2.8917999999999999E-3</v>
      </c>
      <c r="K192" s="18">
        <f>IF(A7taxstdlife="n/a","n/a",IF(K$3&gt;(A7taxstdlife+$E192),('RFM input'!$H$67-'RFM input'!$H$121)-SUM($H192:J192),('RFM input'!$H$67-'RFM input'!$H$121)/A7taxstdlife))</f>
        <v>-2.8917999999999999E-3</v>
      </c>
      <c r="L192" s="18">
        <f>IF(A7taxstdlife="n/a","n/a",IF(L$3&gt;(A7taxstdlife+$E192),('RFM input'!$H$67-'RFM input'!$H$121)-SUM($H192:K192),('RFM input'!$H$67-'RFM input'!$H$121)/A7taxstdlife))</f>
        <v>-2.8917999999999999E-3</v>
      </c>
      <c r="M192" s="18">
        <f>IF(A7taxstdlife="n/a","n/a",IF(M$3&gt;(A7taxstdlife+$E192),('RFM input'!$H$67-'RFM input'!$H$121)-SUM($H192:L192),('RFM input'!$H$67-'RFM input'!$H$121)/A7taxstdlife))</f>
        <v>-2.8917999999999999E-3</v>
      </c>
      <c r="N192" s="18">
        <f>IF(A7taxstdlife="n/a","n/a",IF(N$3&gt;(A7taxstdlife+$E192),('RFM input'!$H$67-'RFM input'!$H$121)-SUM($H192:M192),('RFM input'!$H$67-'RFM input'!$H$121)/A7taxstdlife))</f>
        <v>-2.8917999999999999E-3</v>
      </c>
      <c r="O192" s="18">
        <f>IF(A7taxstdlife="n/a","n/a",IF(O$3&gt;(A7taxstdlife+$E192),('RFM input'!$H$67-'RFM input'!$H$121)-SUM($H192:N192),('RFM input'!$H$67-'RFM input'!$H$121)/A7taxstdlife))</f>
        <v>-2.8917999999999999E-3</v>
      </c>
      <c r="P192" s="18">
        <f>IF(A7taxstdlife="n/a","n/a",IF(P$3&gt;(A7taxstdlife+$E192),('RFM input'!$H$67-'RFM input'!$H$121)-SUM($H192:O192),('RFM input'!$H$67-'RFM input'!$H$121)/A7taxstdlife))</f>
        <v>-2.8917999999999999E-3</v>
      </c>
      <c r="Q192" s="18">
        <f>IF(A7taxstdlife="n/a","n/a",IF(Q$3&gt;(A7taxstdlife+$E192),('RFM input'!$H$67-'RFM input'!$H$121)-SUM($H192:P192),('RFM input'!$H$67-'RFM input'!$H$121)/A7taxstdlife))</f>
        <v>-2.8917999999999999E-3</v>
      </c>
      <c r="R192" s="18"/>
      <c r="S192" s="74"/>
      <c r="T192" s="74"/>
      <c r="U192" s="74"/>
      <c r="V192" s="74"/>
      <c r="W192" s="74"/>
      <c r="X192" s="74"/>
      <c r="Y192" s="74"/>
      <c r="Z192" s="74"/>
      <c r="AA192" s="152"/>
    </row>
    <row r="193" spans="1:27" hidden="1" outlineLevel="2">
      <c r="A193" s="3"/>
      <c r="B193" s="3"/>
      <c r="C193" s="16"/>
      <c r="D193" s="1594"/>
      <c r="E193" s="61">
        <v>2</v>
      </c>
      <c r="F193" s="17"/>
      <c r="G193" s="17"/>
      <c r="H193" s="1414"/>
      <c r="I193" s="1414"/>
      <c r="J193" s="18">
        <f>IF(A7taxstdlife="n/a","n/a",IF(J$3&gt;(A7taxstdlife+$E193),('RFM input'!$I$67-'RFM input'!$I$121)-SUM($I193:I193),('RFM input'!$I$67-'RFM input'!$I$121)/A7taxstdlife))</f>
        <v>0</v>
      </c>
      <c r="K193" s="18">
        <f>IF(A7taxstdlife="n/a","n/a",IF(K$3&gt;(A7taxstdlife+$E193),('RFM input'!$I$67-'RFM input'!$I$121)-SUM($I193:J193),('RFM input'!$I$67-'RFM input'!$I$121)/A7taxstdlife))</f>
        <v>0</v>
      </c>
      <c r="L193" s="18">
        <f>IF(A7taxstdlife="n/a","n/a",IF(L$3&gt;(A7taxstdlife+$E193),('RFM input'!$I$67-'RFM input'!$I$121)-SUM($I193:K193),('RFM input'!$I$67-'RFM input'!$I$121)/A7taxstdlife))</f>
        <v>0</v>
      </c>
      <c r="M193" s="18">
        <f>IF(A7taxstdlife="n/a","n/a",IF(M$3&gt;(A7taxstdlife+$E193),('RFM input'!$I$67-'RFM input'!$I$121)-SUM($I193:L193),('RFM input'!$I$67-'RFM input'!$I$121)/A7taxstdlife))</f>
        <v>0</v>
      </c>
      <c r="N193" s="18">
        <f>IF(A7taxstdlife="n/a","n/a",IF(N$3&gt;(A7taxstdlife+$E193),('RFM input'!$I$67-'RFM input'!$I$121)-SUM($I193:M193),('RFM input'!$I$67-'RFM input'!$I$121)/A7taxstdlife))</f>
        <v>0</v>
      </c>
      <c r="O193" s="18">
        <f>IF(A7taxstdlife="n/a","n/a",IF(O$3&gt;(A7taxstdlife+$E193),('RFM input'!$I$67-'RFM input'!$I$121)-SUM($I193:N193),('RFM input'!$I$67-'RFM input'!$I$121)/A7taxstdlife))</f>
        <v>0</v>
      </c>
      <c r="P193" s="18">
        <f>IF(A7taxstdlife="n/a","n/a",IF(P$3&gt;(A7taxstdlife+$E193),('RFM input'!$I$67-'RFM input'!$I$121)-SUM($I193:O193),('RFM input'!$I$67-'RFM input'!$I$121)/A7taxstdlife))</f>
        <v>0</v>
      </c>
      <c r="Q193" s="18">
        <f>IF(A7taxstdlife="n/a","n/a",IF(Q$3&gt;(A7taxstdlife+$E193),('RFM input'!$I$67-'RFM input'!$I$121)-SUM($I193:P193),('RFM input'!$I$67-'RFM input'!$I$121)/A7taxstdlife))</f>
        <v>0</v>
      </c>
      <c r="R193" s="18"/>
      <c r="S193" s="74"/>
      <c r="T193" s="74"/>
      <c r="U193" s="74"/>
      <c r="V193" s="74"/>
      <c r="W193" s="74"/>
      <c r="X193" s="74"/>
      <c r="Y193" s="74"/>
      <c r="Z193" s="74"/>
      <c r="AA193" s="152"/>
    </row>
    <row r="194" spans="1:27" hidden="1" outlineLevel="2">
      <c r="A194" s="3"/>
      <c r="B194" s="3"/>
      <c r="C194" s="16"/>
      <c r="D194" s="1594"/>
      <c r="E194" s="61">
        <v>3</v>
      </c>
      <c r="F194" s="17"/>
      <c r="G194" s="17"/>
      <c r="H194" s="1414"/>
      <c r="I194" s="1414"/>
      <c r="J194" s="116"/>
      <c r="K194" s="18">
        <f>IF(A7taxstdlife="n/a","n/a",IF(K$3&gt;(A7taxstdlife+$E194),('RFM input'!$J$67-'RFM input'!$J$121)-SUM($J194:J194),('RFM input'!$J$67-'RFM input'!$J$121)/A7taxstdlife))</f>
        <v>0</v>
      </c>
      <c r="L194" s="18">
        <f>IF(A7taxstdlife="n/a","n/a",IF(L$3&gt;(A7taxstdlife+$E194),('RFM input'!$J$67-'RFM input'!$J$121)-SUM($J194:K194),('RFM input'!$J$67-'RFM input'!$J$121)/A7taxstdlife))</f>
        <v>0</v>
      </c>
      <c r="M194" s="18">
        <f>IF(A7taxstdlife="n/a","n/a",IF(M$3&gt;(A7taxstdlife+$E194),('RFM input'!$J$67-'RFM input'!$J$121)-SUM($J194:L194),('RFM input'!$J$67-'RFM input'!$J$121)/A7taxstdlife))</f>
        <v>0</v>
      </c>
      <c r="N194" s="18">
        <f>IF(A7taxstdlife="n/a","n/a",IF(N$3&gt;(A7taxstdlife+$E194),('RFM input'!$J$67-'RFM input'!$J$121)-SUM($J194:M194),('RFM input'!$J$67-'RFM input'!$J$121)/A7taxstdlife))</f>
        <v>0</v>
      </c>
      <c r="O194" s="18">
        <f>IF(A7taxstdlife="n/a","n/a",IF(O$3&gt;(A7taxstdlife+$E194),('RFM input'!$J$67-'RFM input'!$J$121)-SUM($J194:N194),('RFM input'!$J$67-'RFM input'!$J$121)/A7taxstdlife))</f>
        <v>0</v>
      </c>
      <c r="P194" s="18">
        <f>IF(A7taxstdlife="n/a","n/a",IF(P$3&gt;(A7taxstdlife+$E194),('RFM input'!$J$67-'RFM input'!$J$121)-SUM($J194:O194),('RFM input'!$J$67-'RFM input'!$J$121)/A7taxstdlife))</f>
        <v>0</v>
      </c>
      <c r="Q194" s="18">
        <f>IF(A7taxstdlife="n/a","n/a",IF(Q$3&gt;(A7taxstdlife+$E194),('RFM input'!$J$67-'RFM input'!$J$121)-SUM($J194:P194),('RFM input'!$J$67-'RFM input'!$J$121)/A7taxstdlife))</f>
        <v>0</v>
      </c>
      <c r="R194" s="18"/>
      <c r="S194" s="74"/>
      <c r="T194" s="74"/>
      <c r="U194" s="74"/>
      <c r="V194" s="74"/>
      <c r="W194" s="74"/>
      <c r="X194" s="74"/>
      <c r="Y194" s="74"/>
      <c r="Z194" s="74"/>
      <c r="AA194" s="152"/>
    </row>
    <row r="195" spans="1:27" hidden="1" outlineLevel="2">
      <c r="A195" s="3"/>
      <c r="B195" s="3"/>
      <c r="C195" s="16"/>
      <c r="D195" s="1594"/>
      <c r="E195" s="61">
        <v>4</v>
      </c>
      <c r="F195" s="17"/>
      <c r="G195" s="17"/>
      <c r="H195" s="1414"/>
      <c r="I195" s="1414"/>
      <c r="J195" s="115"/>
      <c r="K195" s="116"/>
      <c r="L195" s="18">
        <f>IF(A7taxstdlife="n/a","n/a",IF(L$3&gt;(A7taxstdlife+$E195),('RFM input'!$K$67-'RFM input'!$K$121)-SUM($K195:K195),('RFM input'!$K$67-'RFM input'!$K$121)/A7taxstdlife))</f>
        <v>0</v>
      </c>
      <c r="M195" s="18">
        <f>IF(A7taxstdlife="n/a","n/a",IF(M$3&gt;(A7taxstdlife+$E195),('RFM input'!$K$67-'RFM input'!$K$121)-SUM($K195:L195),('RFM input'!$K$67-'RFM input'!$K$121)/A7taxstdlife))</f>
        <v>0</v>
      </c>
      <c r="N195" s="18">
        <f>IF(A7taxstdlife="n/a","n/a",IF(N$3&gt;(A7taxstdlife+$E195),('RFM input'!$K$67-'RFM input'!$K$121)-SUM($K195:M195),('RFM input'!$K$67-'RFM input'!$K$121)/A7taxstdlife))</f>
        <v>0</v>
      </c>
      <c r="O195" s="18">
        <f>IF(A7taxstdlife="n/a","n/a",IF(O$3&gt;(A7taxstdlife+$E195),('RFM input'!$K$67-'RFM input'!$K$121)-SUM($K195:N195),('RFM input'!$K$67-'RFM input'!$K$121)/A7taxstdlife))</f>
        <v>0</v>
      </c>
      <c r="P195" s="18">
        <f>IF(A7taxstdlife="n/a","n/a",IF(P$3&gt;(A7taxstdlife+$E195),('RFM input'!$K$67-'RFM input'!$K$121)-SUM($K195:O195),('RFM input'!$K$67-'RFM input'!$K$121)/A7taxstdlife))</f>
        <v>0</v>
      </c>
      <c r="Q195" s="18">
        <f>IF(A7taxstdlife="n/a","n/a",IF(Q$3&gt;(A7taxstdlife+$E195),('RFM input'!$K$67-'RFM input'!$K$121)-SUM($K195:P195),('RFM input'!$K$67-'RFM input'!$K$121)/A7taxstdlife))</f>
        <v>0</v>
      </c>
      <c r="R195" s="18"/>
      <c r="S195" s="74"/>
      <c r="T195" s="74"/>
      <c r="U195" s="74"/>
      <c r="V195" s="74"/>
      <c r="W195" s="74"/>
      <c r="X195" s="74"/>
      <c r="Y195" s="74"/>
      <c r="Z195" s="74"/>
      <c r="AA195" s="152"/>
    </row>
    <row r="196" spans="1:27" hidden="1" outlineLevel="2">
      <c r="A196" s="3"/>
      <c r="B196" s="3"/>
      <c r="C196" s="16"/>
      <c r="D196" s="1594"/>
      <c r="E196" s="61">
        <v>5</v>
      </c>
      <c r="F196" s="17"/>
      <c r="G196" s="17"/>
      <c r="H196" s="1414"/>
      <c r="I196" s="1414"/>
      <c r="J196" s="115"/>
      <c r="K196" s="115"/>
      <c r="L196" s="116"/>
      <c r="M196" s="18">
        <f>IF(A7taxstdlife="n/a","n/a",IF(M$3&gt;(A7taxstdlife+$E196),('RFM input'!$L$67-'RFM input'!$L$121)-SUM($L196:L196),('RFM input'!$L$67-'RFM input'!$L$121)/A7taxstdlife))</f>
        <v>0</v>
      </c>
      <c r="N196" s="18">
        <f>IF(A7taxstdlife="n/a","n/a",IF(N$3&gt;(A7taxstdlife+$E196),('RFM input'!$L$67-'RFM input'!$L$121)-SUM($L196:M196),('RFM input'!$L$67-'RFM input'!$L$121)/A7taxstdlife))</f>
        <v>0</v>
      </c>
      <c r="O196" s="18">
        <f>IF(A7taxstdlife="n/a","n/a",IF(O$3&gt;(A7taxstdlife+$E196),('RFM input'!$L$67-'RFM input'!$L$121)-SUM($L196:N196),('RFM input'!$L$67-'RFM input'!$L$121)/A7taxstdlife))</f>
        <v>0</v>
      </c>
      <c r="P196" s="18">
        <f>IF(A7taxstdlife="n/a","n/a",IF(P$3&gt;(A7taxstdlife+$E196),('RFM input'!$L$67-'RFM input'!$L$121)-SUM($L196:O196),('RFM input'!$L$67-'RFM input'!$L$121)/A7taxstdlife))</f>
        <v>0</v>
      </c>
      <c r="Q196" s="18">
        <f>IF(A7taxstdlife="n/a","n/a",IF(Q$3&gt;(A7taxstdlife+$E196),('RFM input'!$L$67-'RFM input'!$L$121)-SUM($L196:P196),('RFM input'!$L$67-'RFM input'!$L$121)/A7taxstdlife))</f>
        <v>0</v>
      </c>
      <c r="R196" s="18"/>
      <c r="S196" s="74"/>
      <c r="T196" s="74"/>
      <c r="U196" s="74"/>
      <c r="V196" s="74"/>
      <c r="W196" s="74"/>
      <c r="X196" s="74"/>
      <c r="Y196" s="74"/>
      <c r="Z196" s="74"/>
      <c r="AA196" s="152"/>
    </row>
    <row r="197" spans="1:27" hidden="1" outlineLevel="2">
      <c r="A197" s="3"/>
      <c r="B197" s="3"/>
      <c r="C197" s="16"/>
      <c r="D197" s="1594"/>
      <c r="E197" s="61">
        <v>6</v>
      </c>
      <c r="F197" s="17"/>
      <c r="G197" s="17"/>
      <c r="H197" s="1414"/>
      <c r="I197" s="1414"/>
      <c r="J197" s="115"/>
      <c r="K197" s="115"/>
      <c r="L197" s="115"/>
      <c r="M197" s="116"/>
      <c r="N197" s="18">
        <f>IF(A7taxstdlife="n/a","n/a",IF(N$3&gt;(A7taxstdlife+$E197),('RFM input'!$M$67-'RFM input'!$M$121)-SUM($M197:M197),('RFM input'!$M$67-'RFM input'!$M$121)/A7taxstdlife))</f>
        <v>0</v>
      </c>
      <c r="O197" s="18">
        <f>IF(A7taxstdlife="n/a","n/a",IF(O$3&gt;(A7taxstdlife+$E197),('RFM input'!$M$67-'RFM input'!$M$121)-SUM($M197:N197),('RFM input'!$M$67-'RFM input'!$M$121)/A7taxstdlife))</f>
        <v>0</v>
      </c>
      <c r="P197" s="18">
        <f>IF(A7taxstdlife="n/a","n/a",IF(P$3&gt;(A7taxstdlife+$E197),('RFM input'!$M$67-'RFM input'!$M$121)-SUM($M197:O197),('RFM input'!$M$67-'RFM input'!$M$121)/A7taxstdlife))</f>
        <v>0</v>
      </c>
      <c r="Q197" s="18">
        <f>IF(A7taxstdlife="n/a","n/a",IF(Q$3&gt;(A7taxstdlife+$E197),('RFM input'!$M$67-'RFM input'!$M$121)-SUM($M197:P197),('RFM input'!$M$67-'RFM input'!$M$121)/A7taxstdlife))</f>
        <v>0</v>
      </c>
      <c r="R197" s="18"/>
      <c r="S197" s="74"/>
      <c r="T197" s="74"/>
      <c r="U197" s="74"/>
      <c r="V197" s="74"/>
      <c r="W197" s="74"/>
      <c r="X197" s="74"/>
      <c r="Y197" s="74"/>
      <c r="Z197" s="74"/>
      <c r="AA197" s="152"/>
    </row>
    <row r="198" spans="1:27" hidden="1" outlineLevel="2">
      <c r="A198" s="3"/>
      <c r="B198" s="3"/>
      <c r="C198" s="16"/>
      <c r="D198" s="1594"/>
      <c r="E198" s="61">
        <v>7</v>
      </c>
      <c r="F198" s="17"/>
      <c r="G198" s="17"/>
      <c r="H198" s="1414"/>
      <c r="I198" s="1414"/>
      <c r="J198" s="115"/>
      <c r="K198" s="115"/>
      <c r="L198" s="115"/>
      <c r="M198" s="115"/>
      <c r="N198" s="116"/>
      <c r="O198" s="18">
        <f>IF(A7taxstdlife="n/a","n/a",IF(O$3&gt;(A7taxstdlife+$E198),('RFM input'!$N$67-'RFM input'!$N$121)-SUM($N198:N198),('RFM input'!$N$67-'RFM input'!$N$121)/A7taxstdlife))</f>
        <v>0</v>
      </c>
      <c r="P198" s="18">
        <f>IF(A7taxstdlife="n/a","n/a",IF(P$3&gt;(A7taxstdlife+$E198),('RFM input'!$N$67-'RFM input'!$N$121)-SUM($N198:O198),('RFM input'!$N$67-'RFM input'!$N$121)/A7taxstdlife))</f>
        <v>0</v>
      </c>
      <c r="Q198" s="18">
        <f>IF(A7taxstdlife="n/a","n/a",IF(Q$3&gt;(A7taxstdlife+$E198),('RFM input'!$N$67-'RFM input'!$N$121)-SUM($N198:P198),('RFM input'!$N$67-'RFM input'!$N$121)/A7taxstdlife))</f>
        <v>0</v>
      </c>
      <c r="R198" s="18"/>
      <c r="S198" s="74"/>
      <c r="T198" s="74"/>
      <c r="U198" s="74"/>
      <c r="V198" s="74"/>
      <c r="W198" s="74"/>
      <c r="X198" s="74"/>
      <c r="Y198" s="74"/>
      <c r="Z198" s="74"/>
      <c r="AA198" s="152"/>
    </row>
    <row r="199" spans="1:27" hidden="1" outlineLevel="2">
      <c r="A199" s="3"/>
      <c r="B199" s="3"/>
      <c r="C199" s="16"/>
      <c r="D199" s="1594"/>
      <c r="E199" s="61">
        <v>8</v>
      </c>
      <c r="F199" s="17"/>
      <c r="G199" s="17"/>
      <c r="H199" s="1414"/>
      <c r="I199" s="1414"/>
      <c r="J199" s="115"/>
      <c r="K199" s="115"/>
      <c r="L199" s="115"/>
      <c r="M199" s="115"/>
      <c r="N199" s="115"/>
      <c r="O199" s="116"/>
      <c r="P199" s="18">
        <f>IF(A7taxstdlife="n/a","n/a",IF(P$3&gt;(A7taxstdlife+$E199),('RFM input'!$O$67-'RFM input'!$O$121)-SUM($O199:O199),('RFM input'!$O$67-'RFM input'!$O$121)/A7taxstdlife))</f>
        <v>0</v>
      </c>
      <c r="Q199" s="18">
        <f>IF(A7taxstdlife="n/a","n/a",IF(Q$3&gt;(A7taxstdlife+$E199),('RFM input'!$O$67-'RFM input'!$O$121)-SUM($O199:P199),('RFM input'!$O$67-'RFM input'!$O$121)/A7taxstdlife))</f>
        <v>0</v>
      </c>
      <c r="R199" s="18"/>
      <c r="S199" s="74"/>
      <c r="T199" s="74"/>
      <c r="U199" s="74"/>
      <c r="V199" s="74"/>
      <c r="W199" s="74"/>
      <c r="X199" s="74"/>
      <c r="Y199" s="74"/>
      <c r="Z199" s="74"/>
      <c r="AA199" s="152"/>
    </row>
    <row r="200" spans="1:27" hidden="1" outlineLevel="2">
      <c r="A200" s="3"/>
      <c r="B200" s="3"/>
      <c r="C200" s="16"/>
      <c r="D200" s="1594"/>
      <c r="E200" s="61">
        <v>9</v>
      </c>
      <c r="F200" s="17"/>
      <c r="G200" s="17"/>
      <c r="H200" s="1414"/>
      <c r="I200" s="1414"/>
      <c r="J200" s="115"/>
      <c r="K200" s="115"/>
      <c r="L200" s="115"/>
      <c r="M200" s="115"/>
      <c r="N200" s="115"/>
      <c r="O200" s="115"/>
      <c r="P200" s="116"/>
      <c r="Q200" s="18">
        <f>IF(A7taxstdlife="n/a","n/a",IF(Q$3&gt;(A7taxstdlife+$E200),('RFM input'!$P$67-'RFM input'!$P$121)-SUM($P200:P200),('RFM input'!$P$67-'RFM input'!$P$121)/A7taxstdlife))</f>
        <v>0</v>
      </c>
      <c r="R200" s="18"/>
      <c r="S200" s="74"/>
      <c r="T200" s="74"/>
      <c r="U200" s="74"/>
      <c r="V200" s="74"/>
      <c r="W200" s="74"/>
      <c r="X200" s="74"/>
      <c r="Y200" s="74"/>
      <c r="Z200" s="74"/>
      <c r="AA200" s="152"/>
    </row>
    <row r="201" spans="1:27" hidden="1" outlineLevel="2">
      <c r="A201" s="3"/>
      <c r="B201" s="3"/>
      <c r="C201" s="16"/>
      <c r="D201" s="1594"/>
      <c r="E201" s="62">
        <v>10</v>
      </c>
      <c r="F201" s="17"/>
      <c r="G201" s="17"/>
      <c r="H201" s="1414"/>
      <c r="I201" s="1414"/>
      <c r="J201" s="115"/>
      <c r="K201" s="115"/>
      <c r="L201" s="115"/>
      <c r="M201" s="115"/>
      <c r="N201" s="115"/>
      <c r="O201" s="115"/>
      <c r="P201" s="115"/>
      <c r="Q201" s="116"/>
      <c r="R201" s="18"/>
      <c r="S201" s="74"/>
      <c r="T201" s="74"/>
      <c r="U201" s="74"/>
      <c r="V201" s="74"/>
      <c r="W201" s="74"/>
      <c r="X201" s="74"/>
      <c r="Y201" s="74"/>
      <c r="Z201" s="74"/>
      <c r="AA201" s="152"/>
    </row>
    <row r="202" spans="1:27" hidden="1" outlineLevel="1">
      <c r="A202" s="3"/>
      <c r="B202" s="3"/>
      <c r="C202" s="134" t="str">
        <f>Asset7</f>
        <v>Other</v>
      </c>
      <c r="D202" s="3"/>
      <c r="E202" s="3"/>
      <c r="F202" s="14"/>
      <c r="G202" s="14"/>
      <c r="H202" s="1460">
        <f>IF('RFM input'!$G$354="Tracked",-1*INDEX('RFM input'!H$358:H$407,MATCH('TAB roll forward'!$C202,'RFM input'!$E$358:$E$407,0)),-SUM(H190:H201))</f>
        <v>-0.12465508137144871</v>
      </c>
      <c r="I202" s="1460">
        <f>IF('RFM input'!$G$354="Tracked",-1*INDEX('RFM input'!I$358:I$407,MATCH('TAB roll forward'!$C202,'RFM input'!$E$358:$E$407,0)),-SUM(I190:I201))</f>
        <v>-6.9635985099060382E-2</v>
      </c>
      <c r="J202" s="1460">
        <f>IF(COUNT($H202:I202)&gt;='RFM input'!$V$7,0,IF('RFM input'!$G$354="Tracked",-1*INDEX('RFM input'!J$358:J$407,MATCH('TAB roll forward'!$C202,'RFM input'!$E$358:$E$407,0)),-SUM(J190:J201)))</f>
        <v>2.8917999999999999E-3</v>
      </c>
      <c r="K202" s="1460">
        <f>IF(COUNT($H202:J202)&gt;='RFM input'!$V$7,0,IF('RFM input'!$G$354="Tracked",-1*INDEX('RFM input'!K$358:K$407,MATCH('TAB roll forward'!$C202,'RFM input'!$E$358:$E$407,0)),-SUM(K190:K201)))</f>
        <v>2.8917999999999999E-3</v>
      </c>
      <c r="L202" s="1460">
        <f>IF(COUNT($H202:K202)&gt;='RFM input'!$V$7,0,IF('RFM input'!$G$354="Tracked",-1*INDEX('RFM input'!L$358:L$407,MATCH('TAB roll forward'!$C202,'RFM input'!$E$358:$E$407,0)),-SUM(L190:L201)))</f>
        <v>2.8917999999999999E-3</v>
      </c>
      <c r="M202" s="1460">
        <f>IF(COUNT($H202:L202)&gt;='RFM input'!$V$7,0,IF('RFM input'!$G$354="Tracked",-1*INDEX('RFM input'!M$358:M$407,MATCH('TAB roll forward'!$C202,'RFM input'!$E$358:$E$407,0)),-SUM(M190:M201)))</f>
        <v>2.8917999999999999E-3</v>
      </c>
      <c r="N202" s="1460">
        <f>IF(COUNT($H202:M202)&gt;='RFM input'!$V$7,0,IF('RFM input'!$G$354="Tracked",-1*INDEX('RFM input'!N$358:N$407,MATCH('TAB roll forward'!$C202,'RFM input'!$E$358:$E$407,0)),-SUM(N190:N201)))</f>
        <v>2.8917999999999999E-3</v>
      </c>
      <c r="O202" s="1460">
        <f>IF(COUNT($H202:N202)&gt;='RFM input'!$V$7,0,IF('RFM input'!$G$354="Tracked",-1*INDEX('RFM input'!O$358:O$407,MATCH('TAB roll forward'!$C202,'RFM input'!$E$358:$E$407,0)),-SUM(O190:O201)))</f>
        <v>0</v>
      </c>
      <c r="P202" s="1460">
        <f>IF(COUNT($H202:O202)&gt;='RFM input'!$V$7,0,IF('RFM input'!$G$354="Tracked",-1*INDEX('RFM input'!P$358:P$407,MATCH('TAB roll forward'!$C202,'RFM input'!$E$358:$E$407,0)),-SUM(P190:P201)))</f>
        <v>0</v>
      </c>
      <c r="Q202" s="1460">
        <f>IF(COUNT($H202:P202)&gt;='RFM input'!$V$7,0,IF('RFM input'!$G$354="Tracked",-1*INDEX('RFM input'!Q$358:Q$407,MATCH('TAB roll forward'!$C202,'RFM input'!$E$358:$E$407,0)),-SUM(Q190:Q201)))</f>
        <v>0</v>
      </c>
      <c r="R202" s="1382"/>
      <c r="S202" s="73"/>
      <c r="T202" s="73"/>
      <c r="U202" s="73"/>
      <c r="V202" s="73"/>
      <c r="W202" s="73"/>
      <c r="X202" s="73"/>
      <c r="Y202" s="73"/>
      <c r="Z202" s="73"/>
      <c r="AA202" s="152"/>
    </row>
    <row r="203" spans="1:27" hidden="1" outlineLevel="2">
      <c r="A203" s="3"/>
      <c r="B203" s="135">
        <f>Asset8</f>
        <v>0</v>
      </c>
      <c r="C203" s="19"/>
      <c r="D203" s="234" t="s">
        <v>119</v>
      </c>
      <c r="E203" s="19"/>
      <c r="F203" s="148"/>
      <c r="G203" s="148"/>
      <c r="H203" s="21">
        <f>IF(H$3&gt;A8taxremlife,A8taxvalue-SUM($F203:F203),IF(A8taxremlife="N/A","n/a",A8taxvalue/A8taxremlife))</f>
        <v>0</v>
      </c>
      <c r="I203" s="21">
        <f>IF(I$3&gt;A8taxremlife,A8taxvalue-SUM($F203:H203),IF(A8taxremlife="N/A","n/a",A8taxvalue/A8taxremlife))</f>
        <v>0</v>
      </c>
      <c r="J203" s="21">
        <f>IF(J$3&gt;A8taxremlife,A8taxvalue-SUM($F203:I203),IF(A8taxremlife="N/A","n/a",A8taxvalue/A8taxremlife))</f>
        <v>0</v>
      </c>
      <c r="K203" s="21">
        <f>IF(K$3&gt;A8taxremlife,A8taxvalue-SUM($F203:J203),IF(A8taxremlife="N/A","n/a",A8taxvalue/A8taxremlife))</f>
        <v>0</v>
      </c>
      <c r="L203" s="21">
        <f>IF(L$3&gt;A8taxremlife,A8taxvalue-SUM($F203:K203),IF(A8taxremlife="N/A","n/a",A8taxvalue/A8taxremlife))</f>
        <v>0</v>
      </c>
      <c r="M203" s="21">
        <f>IF(M$3&gt;A8taxremlife,A8taxvalue-SUM($F203:L203),IF(A8taxremlife="N/A","n/a",A8taxvalue/A8taxremlife))</f>
        <v>0</v>
      </c>
      <c r="N203" s="21">
        <f>IF(N$3&gt;A8taxremlife,A8taxvalue-SUM($F203:M203),IF(A8taxremlife="N/A","n/a",A8taxvalue/A8taxremlife))</f>
        <v>0</v>
      </c>
      <c r="O203" s="21">
        <f>IF(O$3&gt;A8taxremlife,A8taxvalue-SUM($F203:N203),IF(A8taxremlife="N/A","n/a",A8taxvalue/A8taxremlife))</f>
        <v>0</v>
      </c>
      <c r="P203" s="21">
        <f>IF(P$3&gt;A8taxremlife,A8taxvalue-SUM($F203:O203),IF(A8taxremlife="N/A","n/a",A8taxvalue/A8taxremlife))</f>
        <v>0</v>
      </c>
      <c r="Q203" s="21">
        <f>IF(Q$3&gt;A8taxremlife,A8taxvalue-SUM($F203:P203),IF(A8taxremlife="N/A","n/a",A8taxvalue/A8taxremlife))</f>
        <v>0</v>
      </c>
      <c r="R203" s="21"/>
      <c r="S203" s="74"/>
      <c r="T203" s="74"/>
      <c r="U203" s="74"/>
      <c r="V203" s="74"/>
      <c r="W203" s="74"/>
      <c r="X203" s="74"/>
      <c r="Y203" s="74"/>
      <c r="Z203" s="74"/>
      <c r="AA203" s="152"/>
    </row>
    <row r="204" spans="1:27" ht="12.75" hidden="1" customHeight="1" outlineLevel="2">
      <c r="A204" s="3"/>
      <c r="B204" s="3"/>
      <c r="C204" s="16"/>
      <c r="D204" s="1593" t="s">
        <v>43</v>
      </c>
      <c r="E204" s="61"/>
      <c r="F204" s="17"/>
      <c r="G204" s="17"/>
      <c r="H204" s="1413"/>
      <c r="I204" s="72"/>
      <c r="J204" s="18"/>
      <c r="K204" s="18"/>
      <c r="L204" s="18"/>
      <c r="M204" s="18"/>
      <c r="N204" s="18"/>
      <c r="O204" s="18"/>
      <c r="P204" s="18"/>
      <c r="Q204" s="18"/>
      <c r="R204" s="18"/>
      <c r="S204" s="74"/>
      <c r="T204" s="74"/>
      <c r="U204" s="74"/>
      <c r="V204" s="74"/>
      <c r="W204" s="74"/>
      <c r="X204" s="74"/>
      <c r="Y204" s="74"/>
      <c r="Z204" s="74"/>
      <c r="AA204" s="152"/>
    </row>
    <row r="205" spans="1:27" hidden="1" outlineLevel="2">
      <c r="A205" s="3"/>
      <c r="B205" s="3"/>
      <c r="C205" s="16"/>
      <c r="D205" s="1594"/>
      <c r="E205" s="61">
        <v>1</v>
      </c>
      <c r="F205" s="17"/>
      <c r="G205" s="17"/>
      <c r="H205" s="1414"/>
      <c r="I205" s="1415">
        <f>IF(A8taxstdlife="n/a","n/a",IF(I$3&gt;(A8taxstdlife+$E205),('RFM input'!$H$68-'RFM input'!$H$122)-SUM($H205:H205),('RFM input'!$H$68-'RFM input'!$H$122)/A8taxstdlife))</f>
        <v>0</v>
      </c>
      <c r="J205" s="18">
        <f>IF(A8taxstdlife="n/a","n/a",IF(J$3&gt;(A8taxstdlife+$E205),('RFM input'!$H$68-'RFM input'!$H$122)-SUM($H205:I205),('RFM input'!$H$68-'RFM input'!$H$122)/A8taxstdlife))</f>
        <v>0</v>
      </c>
      <c r="K205" s="18">
        <f>IF(A8taxstdlife="n/a","n/a",IF(K$3&gt;(A8taxstdlife+$E205),('RFM input'!$H$68-'RFM input'!$H$122)-SUM($H205:J205),('RFM input'!$H$68-'RFM input'!$H$122)/A8taxstdlife))</f>
        <v>0</v>
      </c>
      <c r="L205" s="18">
        <f>IF(A8taxstdlife="n/a","n/a",IF(L$3&gt;(A8taxstdlife+$E205),('RFM input'!$H$68-'RFM input'!$H$122)-SUM($H205:K205),('RFM input'!$H$68-'RFM input'!$H$122)/A8taxstdlife))</f>
        <v>0</v>
      </c>
      <c r="M205" s="18">
        <f>IF(A8taxstdlife="n/a","n/a",IF(M$3&gt;(A8taxstdlife+$E205),('RFM input'!$H$68-'RFM input'!$H$122)-SUM($H205:L205),('RFM input'!$H$68-'RFM input'!$H$122)/A8taxstdlife))</f>
        <v>0</v>
      </c>
      <c r="N205" s="18">
        <f>IF(A8taxstdlife="n/a","n/a",IF(N$3&gt;(A8taxstdlife+$E205),('RFM input'!$H$68-'RFM input'!$H$122)-SUM($H205:M205),('RFM input'!$H$68-'RFM input'!$H$122)/A8taxstdlife))</f>
        <v>0</v>
      </c>
      <c r="O205" s="18">
        <f>IF(A8taxstdlife="n/a","n/a",IF(O$3&gt;(A8taxstdlife+$E205),('RFM input'!$H$68-'RFM input'!$H$122)-SUM($H205:N205),('RFM input'!$H$68-'RFM input'!$H$122)/A8taxstdlife))</f>
        <v>0</v>
      </c>
      <c r="P205" s="18">
        <f>IF(A8taxstdlife="n/a","n/a",IF(P$3&gt;(A8taxstdlife+$E205),('RFM input'!$H$68-'RFM input'!$H$122)-SUM($H205:O205),('RFM input'!$H$68-'RFM input'!$H$122)/A8taxstdlife))</f>
        <v>0</v>
      </c>
      <c r="Q205" s="18">
        <f>IF(A8taxstdlife="n/a","n/a",IF(Q$3&gt;(A8taxstdlife+$E205),('RFM input'!$H$68-'RFM input'!$H$122)-SUM($H205:P205),('RFM input'!$H$68-'RFM input'!$H$122)/A8taxstdlife))</f>
        <v>0</v>
      </c>
      <c r="R205" s="18"/>
      <c r="S205" s="74"/>
      <c r="T205" s="74"/>
      <c r="U205" s="74"/>
      <c r="V205" s="74"/>
      <c r="W205" s="74"/>
      <c r="X205" s="74"/>
      <c r="Y205" s="74"/>
      <c r="Z205" s="74"/>
      <c r="AA205" s="152"/>
    </row>
    <row r="206" spans="1:27" hidden="1" outlineLevel="2">
      <c r="A206" s="3"/>
      <c r="B206" s="3"/>
      <c r="C206" s="16"/>
      <c r="D206" s="1594"/>
      <c r="E206" s="61">
        <v>2</v>
      </c>
      <c r="F206" s="17"/>
      <c r="G206" s="17"/>
      <c r="H206" s="1414"/>
      <c r="I206" s="1414"/>
      <c r="J206" s="18">
        <f>IF(A8taxstdlife="n/a","n/a",IF(J$3&gt;(A8taxstdlife+$E206),('RFM input'!$I$68-'RFM input'!$I$122)-SUM($I206:I206),('RFM input'!$I$68-'RFM input'!$I$122)/A8taxstdlife))</f>
        <v>0</v>
      </c>
      <c r="K206" s="18">
        <f>IF(A8taxstdlife="n/a","n/a",IF(K$3&gt;(A8taxstdlife+$E206),('RFM input'!$I$68-'RFM input'!$I$122)-SUM($I206:J206),('RFM input'!$I$68-'RFM input'!$I$122)/A8taxstdlife))</f>
        <v>0</v>
      </c>
      <c r="L206" s="18">
        <f>IF(A8taxstdlife="n/a","n/a",IF(L$3&gt;(A8taxstdlife+$E206),('RFM input'!$I$68-'RFM input'!$I$122)-SUM($I206:K206),('RFM input'!$I$68-'RFM input'!$I$122)/A8taxstdlife))</f>
        <v>0</v>
      </c>
      <c r="M206" s="18">
        <f>IF(A8taxstdlife="n/a","n/a",IF(M$3&gt;(A8taxstdlife+$E206),('RFM input'!$I$68-'RFM input'!$I$122)-SUM($I206:L206),('RFM input'!$I$68-'RFM input'!$I$122)/A8taxstdlife))</f>
        <v>0</v>
      </c>
      <c r="N206" s="18">
        <f>IF(A8taxstdlife="n/a","n/a",IF(N$3&gt;(A8taxstdlife+$E206),('RFM input'!$I$68-'RFM input'!$I$122)-SUM($I206:M206),('RFM input'!$I$68-'RFM input'!$I$122)/A8taxstdlife))</f>
        <v>0</v>
      </c>
      <c r="O206" s="18">
        <f>IF(A8taxstdlife="n/a","n/a",IF(O$3&gt;(A8taxstdlife+$E206),('RFM input'!$I$68-'RFM input'!$I$122)-SUM($I206:N206),('RFM input'!$I$68-'RFM input'!$I$122)/A8taxstdlife))</f>
        <v>0</v>
      </c>
      <c r="P206" s="18">
        <f>IF(A8taxstdlife="n/a","n/a",IF(P$3&gt;(A8taxstdlife+$E206),('RFM input'!$I$68-'RFM input'!$I$122)-SUM($I206:O206),('RFM input'!$I$68-'RFM input'!$I$122)/A8taxstdlife))</f>
        <v>0</v>
      </c>
      <c r="Q206" s="18">
        <f>IF(A8taxstdlife="n/a","n/a",IF(Q$3&gt;(A8taxstdlife+$E206),('RFM input'!$I$68-'RFM input'!$I$122)-SUM($I206:P206),('RFM input'!$I$68-'RFM input'!$I$122)/A8taxstdlife))</f>
        <v>0</v>
      </c>
      <c r="R206" s="18"/>
      <c r="S206" s="74"/>
      <c r="T206" s="74"/>
      <c r="U206" s="74"/>
      <c r="V206" s="74"/>
      <c r="W206" s="74"/>
      <c r="X206" s="74"/>
      <c r="Y206" s="74"/>
      <c r="Z206" s="74"/>
      <c r="AA206" s="152"/>
    </row>
    <row r="207" spans="1:27" hidden="1" outlineLevel="2">
      <c r="A207" s="3"/>
      <c r="B207" s="3"/>
      <c r="C207" s="16"/>
      <c r="D207" s="1594"/>
      <c r="E207" s="61">
        <v>3</v>
      </c>
      <c r="F207" s="17"/>
      <c r="G207" s="17"/>
      <c r="H207" s="1414"/>
      <c r="I207" s="1414"/>
      <c r="J207" s="116"/>
      <c r="K207" s="18">
        <f>IF(A8taxstdlife="n/a","n/a",IF(K$3&gt;(A8taxstdlife+$E207),('RFM input'!$J$68-'RFM input'!$J$122)-SUM($J207:J207),('RFM input'!$J$68-'RFM input'!$J$122)/A8taxstdlife))</f>
        <v>0</v>
      </c>
      <c r="L207" s="18">
        <f>IF(A8taxstdlife="n/a","n/a",IF(L$3&gt;(A8taxstdlife+$E207),('RFM input'!$J$68-'RFM input'!$J$122)-SUM($J207:K207),('RFM input'!$J$68-'RFM input'!$J$122)/A8taxstdlife))</f>
        <v>0</v>
      </c>
      <c r="M207" s="18">
        <f>IF(A8taxstdlife="n/a","n/a",IF(M$3&gt;(A8taxstdlife+$E207),('RFM input'!$J$68-'RFM input'!$J$122)-SUM($J207:L207),('RFM input'!$J$68-'RFM input'!$J$122)/A8taxstdlife))</f>
        <v>0</v>
      </c>
      <c r="N207" s="18">
        <f>IF(A8taxstdlife="n/a","n/a",IF(N$3&gt;(A8taxstdlife+$E207),('RFM input'!$J$68-'RFM input'!$J$122)-SUM($J207:M207),('RFM input'!$J$68-'RFM input'!$J$122)/A8taxstdlife))</f>
        <v>0</v>
      </c>
      <c r="O207" s="18">
        <f>IF(A8taxstdlife="n/a","n/a",IF(O$3&gt;(A8taxstdlife+$E207),('RFM input'!$J$68-'RFM input'!$J$122)-SUM($J207:N207),('RFM input'!$J$68-'RFM input'!$J$122)/A8taxstdlife))</f>
        <v>0</v>
      </c>
      <c r="P207" s="18">
        <f>IF(A8taxstdlife="n/a","n/a",IF(P$3&gt;(A8taxstdlife+$E207),('RFM input'!$J$68-'RFM input'!$J$122)-SUM($J207:O207),('RFM input'!$J$68-'RFM input'!$J$122)/A8taxstdlife))</f>
        <v>0</v>
      </c>
      <c r="Q207" s="18">
        <f>IF(A8taxstdlife="n/a","n/a",IF(Q$3&gt;(A8taxstdlife+$E207),('RFM input'!$J$68-'RFM input'!$J$122)-SUM($J207:P207),('RFM input'!$J$68-'RFM input'!$J$122)/A8taxstdlife))</f>
        <v>0</v>
      </c>
      <c r="R207" s="18"/>
      <c r="S207" s="74"/>
      <c r="T207" s="74"/>
      <c r="U207" s="74"/>
      <c r="V207" s="74"/>
      <c r="W207" s="74"/>
      <c r="X207" s="74"/>
      <c r="Y207" s="74"/>
      <c r="Z207" s="74"/>
      <c r="AA207" s="152"/>
    </row>
    <row r="208" spans="1:27" hidden="1" outlineLevel="2">
      <c r="A208" s="3"/>
      <c r="B208" s="3"/>
      <c r="C208" s="16"/>
      <c r="D208" s="1594"/>
      <c r="E208" s="61">
        <v>4</v>
      </c>
      <c r="F208" s="17"/>
      <c r="G208" s="17"/>
      <c r="H208" s="1414"/>
      <c r="I208" s="1414"/>
      <c r="J208" s="115"/>
      <c r="K208" s="116"/>
      <c r="L208" s="18">
        <f>IF(A8taxstdlife="n/a","n/a",IF(L$3&gt;(A8taxstdlife+$E208),('RFM input'!$K$68-'RFM input'!$K$122)-SUM($K208:K208),('RFM input'!$K$68-'RFM input'!$K$122)/A8taxstdlife))</f>
        <v>0</v>
      </c>
      <c r="M208" s="18">
        <f>IF(A8taxstdlife="n/a","n/a",IF(M$3&gt;(A8taxstdlife+$E208),('RFM input'!$K$68-'RFM input'!$K$122)-SUM($K208:L208),('RFM input'!$K$68-'RFM input'!$K$122)/A8taxstdlife))</f>
        <v>0</v>
      </c>
      <c r="N208" s="18">
        <f>IF(A8taxstdlife="n/a","n/a",IF(N$3&gt;(A8taxstdlife+$E208),('RFM input'!$K$68-'RFM input'!$K$122)-SUM($K208:M208),('RFM input'!$K$68-'RFM input'!$K$122)/A8taxstdlife))</f>
        <v>0</v>
      </c>
      <c r="O208" s="18">
        <f>IF(A8taxstdlife="n/a","n/a",IF(O$3&gt;(A8taxstdlife+$E208),('RFM input'!$K$68-'RFM input'!$K$122)-SUM($K208:N208),('RFM input'!$K$68-'RFM input'!$K$122)/A8taxstdlife))</f>
        <v>0</v>
      </c>
      <c r="P208" s="18">
        <f>IF(A8taxstdlife="n/a","n/a",IF(P$3&gt;(A8taxstdlife+$E208),('RFM input'!$K$68-'RFM input'!$K$122)-SUM($K208:O208),('RFM input'!$K$68-'RFM input'!$K$122)/A8taxstdlife))</f>
        <v>0</v>
      </c>
      <c r="Q208" s="18">
        <f>IF(A8taxstdlife="n/a","n/a",IF(Q$3&gt;(A8taxstdlife+$E208),('RFM input'!$K$68-'RFM input'!$K$122)-SUM($K208:P208),('RFM input'!$K$68-'RFM input'!$K$122)/A8taxstdlife))</f>
        <v>0</v>
      </c>
      <c r="R208" s="18"/>
      <c r="S208" s="74"/>
      <c r="T208" s="74"/>
      <c r="U208" s="74"/>
      <c r="V208" s="74"/>
      <c r="W208" s="74"/>
      <c r="X208" s="74"/>
      <c r="Y208" s="74"/>
      <c r="Z208" s="74"/>
      <c r="AA208" s="152"/>
    </row>
    <row r="209" spans="1:27" hidden="1" outlineLevel="2">
      <c r="A209" s="3"/>
      <c r="B209" s="3"/>
      <c r="C209" s="16"/>
      <c r="D209" s="1594"/>
      <c r="E209" s="61">
        <v>5</v>
      </c>
      <c r="F209" s="17"/>
      <c r="G209" s="17"/>
      <c r="H209" s="1414"/>
      <c r="I209" s="1414"/>
      <c r="J209" s="115"/>
      <c r="K209" s="115"/>
      <c r="L209" s="116"/>
      <c r="M209" s="18">
        <f>IF(A8taxstdlife="n/a","n/a",IF(M$3&gt;(A8taxstdlife+$E209),('RFM input'!$L$68-'RFM input'!$L$122)-SUM($L209:L209),('RFM input'!$L$68-'RFM input'!$L$122)/A8taxstdlife))</f>
        <v>0</v>
      </c>
      <c r="N209" s="18">
        <f>IF(A8taxstdlife="n/a","n/a",IF(N$3&gt;(A8taxstdlife+$E209),('RFM input'!$L$68-'RFM input'!$L$122)-SUM($L209:M209),('RFM input'!$L$68-'RFM input'!$L$122)/A8taxstdlife))</f>
        <v>0</v>
      </c>
      <c r="O209" s="18">
        <f>IF(A8taxstdlife="n/a","n/a",IF(O$3&gt;(A8taxstdlife+$E209),('RFM input'!$L$68-'RFM input'!$L$122)-SUM($L209:N209),('RFM input'!$L$68-'RFM input'!$L$122)/A8taxstdlife))</f>
        <v>0</v>
      </c>
      <c r="P209" s="18">
        <f>IF(A8taxstdlife="n/a","n/a",IF(P$3&gt;(A8taxstdlife+$E209),('RFM input'!$L$68-'RFM input'!$L$122)-SUM($L209:O209),('RFM input'!$L$68-'RFM input'!$L$122)/A8taxstdlife))</f>
        <v>0</v>
      </c>
      <c r="Q209" s="18">
        <f>IF(A8taxstdlife="n/a","n/a",IF(Q$3&gt;(A8taxstdlife+$E209),('RFM input'!$L$68-'RFM input'!$L$122)-SUM($L209:P209),('RFM input'!$L$68-'RFM input'!$L$122)/A8taxstdlife))</f>
        <v>0</v>
      </c>
      <c r="R209" s="18"/>
      <c r="S209" s="74"/>
      <c r="T209" s="74"/>
      <c r="U209" s="74"/>
      <c r="V209" s="74"/>
      <c r="W209" s="74"/>
      <c r="X209" s="74"/>
      <c r="Y209" s="74"/>
      <c r="Z209" s="74"/>
      <c r="AA209" s="152"/>
    </row>
    <row r="210" spans="1:27" hidden="1" outlineLevel="2">
      <c r="A210" s="3"/>
      <c r="B210" s="3"/>
      <c r="C210" s="16"/>
      <c r="D210" s="1594"/>
      <c r="E210" s="61">
        <v>6</v>
      </c>
      <c r="F210" s="17"/>
      <c r="G210" s="17"/>
      <c r="H210" s="1414"/>
      <c r="I210" s="1414"/>
      <c r="J210" s="115"/>
      <c r="K210" s="115"/>
      <c r="L210" s="115"/>
      <c r="M210" s="116"/>
      <c r="N210" s="18">
        <f>IF(A8taxstdlife="n/a","n/a",IF(N$3&gt;(A8taxstdlife+$E210),('RFM input'!$M$68-'RFM input'!$M$122)-SUM($M210:M210),('RFM input'!$M$68-'RFM input'!$M$122)/A8taxstdlife))</f>
        <v>0</v>
      </c>
      <c r="O210" s="18">
        <f>IF(A8taxstdlife="n/a","n/a",IF(O$3&gt;(A8taxstdlife+$E210),('RFM input'!$M$68-'RFM input'!$M$122)-SUM($M210:N210),('RFM input'!$M$68-'RFM input'!$M$122)/A8taxstdlife))</f>
        <v>0</v>
      </c>
      <c r="P210" s="18">
        <f>IF(A8taxstdlife="n/a","n/a",IF(P$3&gt;(A8taxstdlife+$E210),('RFM input'!$M$68-'RFM input'!$M$122)-SUM($M210:O210),('RFM input'!$M$68-'RFM input'!$M$122)/A8taxstdlife))</f>
        <v>0</v>
      </c>
      <c r="Q210" s="18">
        <f>IF(A8taxstdlife="n/a","n/a",IF(Q$3&gt;(A8taxstdlife+$E210),('RFM input'!$M$68-'RFM input'!$M$122)-SUM($M210:P210),('RFM input'!$M$68-'RFM input'!$M$122)/A8taxstdlife))</f>
        <v>0</v>
      </c>
      <c r="R210" s="18"/>
      <c r="S210" s="74"/>
      <c r="T210" s="74"/>
      <c r="U210" s="74"/>
      <c r="V210" s="74"/>
      <c r="W210" s="74"/>
      <c r="X210" s="74"/>
      <c r="Y210" s="74"/>
      <c r="Z210" s="74"/>
      <c r="AA210" s="152"/>
    </row>
    <row r="211" spans="1:27" hidden="1" outlineLevel="2">
      <c r="A211" s="3"/>
      <c r="B211" s="3"/>
      <c r="C211" s="16"/>
      <c r="D211" s="1594"/>
      <c r="E211" s="61">
        <v>7</v>
      </c>
      <c r="F211" s="17"/>
      <c r="G211" s="17"/>
      <c r="H211" s="1414"/>
      <c r="I211" s="1414"/>
      <c r="J211" s="115"/>
      <c r="K211" s="115"/>
      <c r="L211" s="115"/>
      <c r="M211" s="115"/>
      <c r="N211" s="116"/>
      <c r="O211" s="18">
        <f>IF(A8taxstdlife="n/a","n/a",IF(O$3&gt;(A8taxstdlife+$E211),('RFM input'!$N$68-'RFM input'!$N$122)-SUM($N211:N211),('RFM input'!$N$68-'RFM input'!$N$122)/A8taxstdlife))</f>
        <v>0</v>
      </c>
      <c r="P211" s="18">
        <f>IF(A8taxstdlife="n/a","n/a",IF(P$3&gt;(A8taxstdlife+$E211),('RFM input'!$N$68-'RFM input'!$N$122)-SUM($N211:O211),('RFM input'!$N$68-'RFM input'!$N$122)/A8taxstdlife))</f>
        <v>0</v>
      </c>
      <c r="Q211" s="18">
        <f>IF(A8taxstdlife="n/a","n/a",IF(Q$3&gt;(A8taxstdlife+$E211),('RFM input'!$N$68-'RFM input'!$N$122)-SUM($N211:P211),('RFM input'!$N$68-'RFM input'!$N$122)/A8taxstdlife))</f>
        <v>0</v>
      </c>
      <c r="R211" s="18"/>
      <c r="S211" s="74"/>
      <c r="T211" s="74"/>
      <c r="U211" s="74"/>
      <c r="V211" s="74"/>
      <c r="W211" s="74"/>
      <c r="X211" s="74"/>
      <c r="Y211" s="74"/>
      <c r="Z211" s="74"/>
      <c r="AA211" s="152"/>
    </row>
    <row r="212" spans="1:27" hidden="1" outlineLevel="2">
      <c r="A212" s="3"/>
      <c r="B212" s="3"/>
      <c r="C212" s="16"/>
      <c r="D212" s="1594"/>
      <c r="E212" s="61">
        <v>8</v>
      </c>
      <c r="F212" s="17"/>
      <c r="G212" s="17"/>
      <c r="H212" s="1414"/>
      <c r="I212" s="1414"/>
      <c r="J212" s="115"/>
      <c r="K212" s="115"/>
      <c r="L212" s="115"/>
      <c r="M212" s="115"/>
      <c r="N212" s="115"/>
      <c r="O212" s="116"/>
      <c r="P212" s="18">
        <f>IF(A8taxstdlife="n/a","n/a",IF(P$3&gt;(A8taxstdlife+$E212),('RFM input'!$O$68-'RFM input'!$O$122)-SUM($O212:O212),('RFM input'!$O$68-'RFM input'!$O$122)/A8taxstdlife))</f>
        <v>0</v>
      </c>
      <c r="Q212" s="18">
        <f>IF(A8taxstdlife="n/a","n/a",IF(Q$3&gt;(A8taxstdlife+$E212),('RFM input'!$O$68-'RFM input'!$O$122)-SUM($O212:P212),('RFM input'!$O$68-'RFM input'!$O$122)/A8taxstdlife))</f>
        <v>0</v>
      </c>
      <c r="R212" s="18"/>
      <c r="S212" s="74"/>
      <c r="T212" s="74"/>
      <c r="U212" s="74"/>
      <c r="V212" s="74"/>
      <c r="W212" s="74"/>
      <c r="X212" s="74"/>
      <c r="Y212" s="74"/>
      <c r="Z212" s="74"/>
      <c r="AA212" s="152"/>
    </row>
    <row r="213" spans="1:27" hidden="1" outlineLevel="2">
      <c r="A213" s="3"/>
      <c r="B213" s="3"/>
      <c r="C213" s="16"/>
      <c r="D213" s="1594"/>
      <c r="E213" s="61">
        <v>9</v>
      </c>
      <c r="F213" s="17"/>
      <c r="G213" s="17"/>
      <c r="H213" s="1414"/>
      <c r="I213" s="1414"/>
      <c r="J213" s="115"/>
      <c r="K213" s="115"/>
      <c r="L213" s="115"/>
      <c r="M213" s="115"/>
      <c r="N213" s="115"/>
      <c r="O213" s="115"/>
      <c r="P213" s="116"/>
      <c r="Q213" s="18">
        <f>IF(A8taxstdlife="n/a","n/a",IF(Q$3&gt;(A8taxstdlife+$E213),('RFM input'!$P$68-'RFM input'!$P$122)-SUM($P213:P213),('RFM input'!$P$68-'RFM input'!$P$122)/A8taxstdlife))</f>
        <v>0</v>
      </c>
      <c r="R213" s="18"/>
      <c r="S213" s="74"/>
      <c r="T213" s="74"/>
      <c r="U213" s="74"/>
      <c r="V213" s="74"/>
      <c r="W213" s="74"/>
      <c r="X213" s="74"/>
      <c r="Y213" s="74"/>
      <c r="Z213" s="74"/>
      <c r="AA213" s="152"/>
    </row>
    <row r="214" spans="1:27" hidden="1" outlineLevel="2">
      <c r="A214" s="3"/>
      <c r="B214" s="3"/>
      <c r="C214" s="16"/>
      <c r="D214" s="1594"/>
      <c r="E214" s="62">
        <v>10</v>
      </c>
      <c r="F214" s="17"/>
      <c r="G214" s="17"/>
      <c r="H214" s="1414"/>
      <c r="I214" s="1414"/>
      <c r="J214" s="115"/>
      <c r="K214" s="115"/>
      <c r="L214" s="115"/>
      <c r="M214" s="115"/>
      <c r="N214" s="115"/>
      <c r="O214" s="115"/>
      <c r="P214" s="115"/>
      <c r="Q214" s="116"/>
      <c r="R214" s="18"/>
      <c r="S214" s="74"/>
      <c r="T214" s="74"/>
      <c r="U214" s="74"/>
      <c r="V214" s="74"/>
      <c r="W214" s="74"/>
      <c r="X214" s="74"/>
      <c r="Y214" s="74"/>
      <c r="Z214" s="74"/>
      <c r="AA214" s="152"/>
    </row>
    <row r="215" spans="1:27" hidden="1" outlineLevel="1">
      <c r="A215" s="3"/>
      <c r="B215" s="3"/>
      <c r="C215" s="134">
        <f>Asset8</f>
        <v>0</v>
      </c>
      <c r="D215" s="3"/>
      <c r="E215" s="3"/>
      <c r="F215" s="14"/>
      <c r="G215" s="14"/>
      <c r="H215" s="1460">
        <f>IF('RFM input'!$G$354="Tracked",-1*INDEX('RFM input'!H$358:H$407,MATCH('TAB roll forward'!$C215,'RFM input'!$E$358:$E$407,0)),-SUM(H203:H214))</f>
        <v>0</v>
      </c>
      <c r="I215" s="1460">
        <f>IF('RFM input'!$G$354="Tracked",-1*INDEX('RFM input'!I$358:I$407,MATCH('TAB roll forward'!$C215,'RFM input'!$E$358:$E$407,0)),-SUM(I203:I214))</f>
        <v>0</v>
      </c>
      <c r="J215" s="1460">
        <f>IF(COUNT($H215:I215)&gt;='RFM input'!$V$7,0,IF('RFM input'!$G$354="Tracked",-1*INDEX('RFM input'!J$358:J$407,MATCH('TAB roll forward'!$C215,'RFM input'!$E$358:$E$407,0)),-SUM(J203:J214)))</f>
        <v>0</v>
      </c>
      <c r="K215" s="1460">
        <f>IF(COUNT($H215:J215)&gt;='RFM input'!$V$7,0,IF('RFM input'!$G$354="Tracked",-1*INDEX('RFM input'!K$358:K$407,MATCH('TAB roll forward'!$C215,'RFM input'!$E$358:$E$407,0)),-SUM(K203:K214)))</f>
        <v>0</v>
      </c>
      <c r="L215" s="1460">
        <f>IF(COUNT($H215:K215)&gt;='RFM input'!$V$7,0,IF('RFM input'!$G$354="Tracked",-1*INDEX('RFM input'!L$358:L$407,MATCH('TAB roll forward'!$C215,'RFM input'!$E$358:$E$407,0)),-SUM(L203:L214)))</f>
        <v>0</v>
      </c>
      <c r="M215" s="1460">
        <f>IF(COUNT($H215:L215)&gt;='RFM input'!$V$7,0,IF('RFM input'!$G$354="Tracked",-1*INDEX('RFM input'!M$358:M$407,MATCH('TAB roll forward'!$C215,'RFM input'!$E$358:$E$407,0)),-SUM(M203:M214)))</f>
        <v>0</v>
      </c>
      <c r="N215" s="1460">
        <f>IF(COUNT($H215:M215)&gt;='RFM input'!$V$7,0,IF('RFM input'!$G$354="Tracked",-1*INDEX('RFM input'!N$358:N$407,MATCH('TAB roll forward'!$C215,'RFM input'!$E$358:$E$407,0)),-SUM(N203:N214)))</f>
        <v>0</v>
      </c>
      <c r="O215" s="1460">
        <f>IF(COUNT($H215:N215)&gt;='RFM input'!$V$7,0,IF('RFM input'!$G$354="Tracked",-1*INDEX('RFM input'!O$358:O$407,MATCH('TAB roll forward'!$C215,'RFM input'!$E$358:$E$407,0)),-SUM(O203:O214)))</f>
        <v>0</v>
      </c>
      <c r="P215" s="1460">
        <f>IF(COUNT($H215:O215)&gt;='RFM input'!$V$7,0,IF('RFM input'!$G$354="Tracked",-1*INDEX('RFM input'!P$358:P$407,MATCH('TAB roll forward'!$C215,'RFM input'!$E$358:$E$407,0)),-SUM(P203:P214)))</f>
        <v>0</v>
      </c>
      <c r="Q215" s="1460">
        <f>IF(COUNT($H215:P215)&gt;='RFM input'!$V$7,0,IF('RFM input'!$G$354="Tracked",-1*INDEX('RFM input'!Q$358:Q$407,MATCH('TAB roll forward'!$C215,'RFM input'!$E$358:$E$407,0)),-SUM(Q203:Q214)))</f>
        <v>0</v>
      </c>
      <c r="R215" s="1382"/>
      <c r="S215" s="73"/>
      <c r="T215" s="73"/>
      <c r="U215" s="73"/>
      <c r="V215" s="73"/>
      <c r="W215" s="73"/>
      <c r="X215" s="73"/>
      <c r="Y215" s="73"/>
      <c r="Z215" s="73"/>
      <c r="AA215" s="152"/>
    </row>
    <row r="216" spans="1:27" hidden="1" outlineLevel="2">
      <c r="A216" s="3"/>
      <c r="B216" s="135">
        <f>Asset9</f>
        <v>0</v>
      </c>
      <c r="C216" s="19"/>
      <c r="D216" s="234" t="s">
        <v>119</v>
      </c>
      <c r="E216" s="19"/>
      <c r="F216" s="148"/>
      <c r="G216" s="148"/>
      <c r="H216" s="21">
        <f>IF(H$3&gt;A9taxremlife,A9taxvalue-SUM($F216:F216),IF(A9taxremlife="N/A","n/a",A9taxvalue/A9taxremlife))</f>
        <v>0</v>
      </c>
      <c r="I216" s="21">
        <f>IF(I$3&gt;A9taxremlife,A9taxvalue-SUM($F216:H216),IF(A9taxremlife="N/A","n/a",A9taxvalue/A9taxremlife))</f>
        <v>0</v>
      </c>
      <c r="J216" s="21">
        <f>IF(J$3&gt;A9taxremlife,A9taxvalue-SUM($F216:I216),IF(A9taxremlife="N/A","n/a",A9taxvalue/A9taxremlife))</f>
        <v>0</v>
      </c>
      <c r="K216" s="21">
        <f>IF(K$3&gt;A9taxremlife,A9taxvalue-SUM($F216:J216),IF(A9taxremlife="N/A","n/a",A9taxvalue/A9taxremlife))</f>
        <v>0</v>
      </c>
      <c r="L216" s="21">
        <f>IF(L$3&gt;A9taxremlife,A9taxvalue-SUM($F216:K216),IF(A9taxremlife="N/A","n/a",A9taxvalue/A9taxremlife))</f>
        <v>0</v>
      </c>
      <c r="M216" s="21">
        <f>IF(M$3&gt;A9taxremlife,A9taxvalue-SUM($F216:L216),IF(A9taxremlife="N/A","n/a",A9taxvalue/A9taxremlife))</f>
        <v>0</v>
      </c>
      <c r="N216" s="21">
        <f>IF(N$3&gt;A9taxremlife,A9taxvalue-SUM($F216:M216),IF(A9taxremlife="N/A","n/a",A9taxvalue/A9taxremlife))</f>
        <v>0</v>
      </c>
      <c r="O216" s="21">
        <f>IF(O$3&gt;A9taxremlife,A9taxvalue-SUM($F216:N216),IF(A9taxremlife="N/A","n/a",A9taxvalue/A9taxremlife))</f>
        <v>0</v>
      </c>
      <c r="P216" s="21">
        <f>IF(P$3&gt;A9taxremlife,A9taxvalue-SUM($F216:O216),IF(A9taxremlife="N/A","n/a",A9taxvalue/A9taxremlife))</f>
        <v>0</v>
      </c>
      <c r="Q216" s="21">
        <f>IF(Q$3&gt;A9taxremlife,A9taxvalue-SUM($F216:P216),IF(A9taxremlife="N/A","n/a",A9taxvalue/A9taxremlife))</f>
        <v>0</v>
      </c>
      <c r="R216" s="21"/>
      <c r="S216" s="74"/>
      <c r="T216" s="74"/>
      <c r="U216" s="74"/>
      <c r="V216" s="74"/>
      <c r="W216" s="74"/>
      <c r="X216" s="74"/>
      <c r="Y216" s="74"/>
      <c r="Z216" s="74"/>
      <c r="AA216" s="152"/>
    </row>
    <row r="217" spans="1:27" ht="12.75" hidden="1" customHeight="1" outlineLevel="2">
      <c r="A217" s="3"/>
      <c r="B217" s="3"/>
      <c r="C217" s="16"/>
      <c r="D217" s="1593" t="s">
        <v>43</v>
      </c>
      <c r="E217" s="61"/>
      <c r="F217" s="17"/>
      <c r="G217" s="17"/>
      <c r="H217" s="1413"/>
      <c r="I217" s="72"/>
      <c r="J217" s="18"/>
      <c r="K217" s="18"/>
      <c r="L217" s="18"/>
      <c r="M217" s="18"/>
      <c r="N217" s="18"/>
      <c r="O217" s="18"/>
      <c r="P217" s="18"/>
      <c r="Q217" s="18"/>
      <c r="R217" s="18"/>
      <c r="S217" s="74"/>
      <c r="T217" s="74"/>
      <c r="U217" s="74"/>
      <c r="V217" s="74"/>
      <c r="W217" s="74"/>
      <c r="X217" s="74"/>
      <c r="Y217" s="74"/>
      <c r="Z217" s="74"/>
      <c r="AA217" s="152"/>
    </row>
    <row r="218" spans="1:27" hidden="1" outlineLevel="2">
      <c r="A218" s="3"/>
      <c r="B218" s="3"/>
      <c r="C218" s="16"/>
      <c r="D218" s="1594"/>
      <c r="E218" s="61">
        <v>1</v>
      </c>
      <c r="F218" s="17"/>
      <c r="G218" s="17"/>
      <c r="H218" s="1414"/>
      <c r="I218" s="1415">
        <f>IF(A9taxstdlife="n/a","n/a",IF(I$3&gt;(A9taxstdlife+$E218),('RFM input'!$H$69-'RFM input'!$H$123)-SUM($H218:H218),('RFM input'!$H$69-'RFM input'!$H$123)/A9taxstdlife))</f>
        <v>0</v>
      </c>
      <c r="J218" s="18">
        <f>IF(A9taxstdlife="n/a","n/a",IF(J$3&gt;(A9taxstdlife+$E218),('RFM input'!$H$69-'RFM input'!$H$123)-SUM($H218:I218),('RFM input'!$H$69-'RFM input'!$H$123)/A9taxstdlife))</f>
        <v>0</v>
      </c>
      <c r="K218" s="18">
        <f>IF(A9taxstdlife="n/a","n/a",IF(K$3&gt;(A9taxstdlife+$E218),('RFM input'!$H$69-'RFM input'!$H$123)-SUM($H218:J218),('RFM input'!$H$69-'RFM input'!$H$123)/A9taxstdlife))</f>
        <v>0</v>
      </c>
      <c r="L218" s="18">
        <f>IF(A9taxstdlife="n/a","n/a",IF(L$3&gt;(A9taxstdlife+$E218),('RFM input'!$H$69-'RFM input'!$H$123)-SUM($H218:K218),('RFM input'!$H$69-'RFM input'!$H$123)/A9taxstdlife))</f>
        <v>0</v>
      </c>
      <c r="M218" s="18">
        <f>IF(A9taxstdlife="n/a","n/a",IF(M$3&gt;(A9taxstdlife+$E218),('RFM input'!$H$69-'RFM input'!$H$123)-SUM($H218:L218),('RFM input'!$H$69-'RFM input'!$H$123)/A9taxstdlife))</f>
        <v>0</v>
      </c>
      <c r="N218" s="18">
        <f>IF(A9taxstdlife="n/a","n/a",IF(N$3&gt;(A9taxstdlife+$E218),('RFM input'!$H$69-'RFM input'!$H$123)-SUM($H218:M218),('RFM input'!$H$69-'RFM input'!$H$123)/A9taxstdlife))</f>
        <v>0</v>
      </c>
      <c r="O218" s="18">
        <f>IF(A9taxstdlife="n/a","n/a",IF(O$3&gt;(A9taxstdlife+$E218),('RFM input'!$H$69-'RFM input'!$H$123)-SUM($H218:N218),('RFM input'!$H$69-'RFM input'!$H$123)/A9taxstdlife))</f>
        <v>0</v>
      </c>
      <c r="P218" s="18">
        <f>IF(A9taxstdlife="n/a","n/a",IF(P$3&gt;(A9taxstdlife+$E218),('RFM input'!$H$69-'RFM input'!$H$123)-SUM($H218:O218),('RFM input'!$H$69-'RFM input'!$H$123)/A9taxstdlife))</f>
        <v>0</v>
      </c>
      <c r="Q218" s="18">
        <f>IF(A9taxstdlife="n/a","n/a",IF(Q$3&gt;(A9taxstdlife+$E218),('RFM input'!$H$69-'RFM input'!$H$123)-SUM($H218:P218),('RFM input'!$H$69-'RFM input'!$H$123)/A9taxstdlife))</f>
        <v>0</v>
      </c>
      <c r="R218" s="18"/>
      <c r="S218" s="74"/>
      <c r="T218" s="74"/>
      <c r="U218" s="74"/>
      <c r="V218" s="74"/>
      <c r="W218" s="74"/>
      <c r="X218" s="74"/>
      <c r="Y218" s="74"/>
      <c r="Z218" s="74"/>
      <c r="AA218" s="152"/>
    </row>
    <row r="219" spans="1:27" hidden="1" outlineLevel="2">
      <c r="A219" s="3"/>
      <c r="B219" s="3"/>
      <c r="C219" s="16"/>
      <c r="D219" s="1594"/>
      <c r="E219" s="61">
        <v>2</v>
      </c>
      <c r="F219" s="17"/>
      <c r="G219" s="17"/>
      <c r="H219" s="1414"/>
      <c r="I219" s="1414"/>
      <c r="J219" s="18">
        <f>IF(A9taxstdlife="n/a","n/a",IF(J$3&gt;(A9taxstdlife+$E219),('RFM input'!$I$69-'RFM input'!$I$123)-SUM($I219:I219),('RFM input'!$I$69-'RFM input'!$I$123)/A9taxstdlife))</f>
        <v>0</v>
      </c>
      <c r="K219" s="18">
        <f>IF(A9taxstdlife="n/a","n/a",IF(K$3&gt;(A9taxstdlife+$E219),('RFM input'!$I$69-'RFM input'!$I$123)-SUM($I219:J219),('RFM input'!$I$69-'RFM input'!$I$123)/A9taxstdlife))</f>
        <v>0</v>
      </c>
      <c r="L219" s="18">
        <f>IF(A9taxstdlife="n/a","n/a",IF(L$3&gt;(A9taxstdlife+$E219),('RFM input'!$I$69-'RFM input'!$I$123)-SUM($I219:K219),('RFM input'!$I$69-'RFM input'!$I$123)/A9taxstdlife))</f>
        <v>0</v>
      </c>
      <c r="M219" s="18">
        <f>IF(A9taxstdlife="n/a","n/a",IF(M$3&gt;(A9taxstdlife+$E219),('RFM input'!$I$69-'RFM input'!$I$123)-SUM($I219:L219),('RFM input'!$I$69-'RFM input'!$I$123)/A9taxstdlife))</f>
        <v>0</v>
      </c>
      <c r="N219" s="18">
        <f>IF(A9taxstdlife="n/a","n/a",IF(N$3&gt;(A9taxstdlife+$E219),('RFM input'!$I$69-'RFM input'!$I$123)-SUM($I219:M219),('RFM input'!$I$69-'RFM input'!$I$123)/A9taxstdlife))</f>
        <v>0</v>
      </c>
      <c r="O219" s="18">
        <f>IF(A9taxstdlife="n/a","n/a",IF(O$3&gt;(A9taxstdlife+$E219),('RFM input'!$I$69-'RFM input'!$I$123)-SUM($I219:N219),('RFM input'!$I$69-'RFM input'!$I$123)/A9taxstdlife))</f>
        <v>0</v>
      </c>
      <c r="P219" s="18">
        <f>IF(A9taxstdlife="n/a","n/a",IF(P$3&gt;(A9taxstdlife+$E219),('RFM input'!$I$69-'RFM input'!$I$123)-SUM($I219:O219),('RFM input'!$I$69-'RFM input'!$I$123)/A9taxstdlife))</f>
        <v>0</v>
      </c>
      <c r="Q219" s="18">
        <f>IF(A9taxstdlife="n/a","n/a",IF(Q$3&gt;(A9taxstdlife+$E219),('RFM input'!$I$69-'RFM input'!$I$123)-SUM($I219:P219),('RFM input'!$I$69-'RFM input'!$I$123)/A9taxstdlife))</f>
        <v>0</v>
      </c>
      <c r="R219" s="18"/>
      <c r="S219" s="74"/>
      <c r="T219" s="74"/>
      <c r="U219" s="74"/>
      <c r="V219" s="74"/>
      <c r="W219" s="74"/>
      <c r="X219" s="74"/>
      <c r="Y219" s="74"/>
      <c r="Z219" s="74"/>
      <c r="AA219" s="152"/>
    </row>
    <row r="220" spans="1:27" hidden="1" outlineLevel="2">
      <c r="A220" s="3"/>
      <c r="B220" s="3"/>
      <c r="C220" s="16"/>
      <c r="D220" s="1594"/>
      <c r="E220" s="61">
        <v>3</v>
      </c>
      <c r="F220" s="17"/>
      <c r="G220" s="17"/>
      <c r="H220" s="1414"/>
      <c r="I220" s="1414"/>
      <c r="J220" s="116"/>
      <c r="K220" s="18">
        <f>IF(A9taxstdlife="n/a","n/a",IF(K$3&gt;(A9taxstdlife+$E220),('RFM input'!$J$69-'RFM input'!$J$123)-SUM($J220:J220),('RFM input'!$J$69-'RFM input'!$J$123)/A9taxstdlife))</f>
        <v>0</v>
      </c>
      <c r="L220" s="18">
        <f>IF(A9taxstdlife="n/a","n/a",IF(L$3&gt;(A9taxstdlife+$E220),('RFM input'!$J$69-'RFM input'!$J$123)-SUM($J220:K220),('RFM input'!$J$69-'RFM input'!$J$123)/A9taxstdlife))</f>
        <v>0</v>
      </c>
      <c r="M220" s="18">
        <f>IF(A9taxstdlife="n/a","n/a",IF(M$3&gt;(A9taxstdlife+$E220),('RFM input'!$J$69-'RFM input'!$J$123)-SUM($J220:L220),('RFM input'!$J$69-'RFM input'!$J$123)/A9taxstdlife))</f>
        <v>0</v>
      </c>
      <c r="N220" s="18">
        <f>IF(A9taxstdlife="n/a","n/a",IF(N$3&gt;(A9taxstdlife+$E220),('RFM input'!$J$69-'RFM input'!$J$123)-SUM($J220:M220),('RFM input'!$J$69-'RFM input'!$J$123)/A9taxstdlife))</f>
        <v>0</v>
      </c>
      <c r="O220" s="18">
        <f>IF(A9taxstdlife="n/a","n/a",IF(O$3&gt;(A9taxstdlife+$E220),('RFM input'!$J$69-'RFM input'!$J$123)-SUM($J220:N220),('RFM input'!$J$69-'RFM input'!$J$123)/A9taxstdlife))</f>
        <v>0</v>
      </c>
      <c r="P220" s="18">
        <f>IF(A9taxstdlife="n/a","n/a",IF(P$3&gt;(A9taxstdlife+$E220),('RFM input'!$J$69-'RFM input'!$J$123)-SUM($J220:O220),('RFM input'!$J$69-'RFM input'!$J$123)/A9taxstdlife))</f>
        <v>0</v>
      </c>
      <c r="Q220" s="18">
        <f>IF(A9taxstdlife="n/a","n/a",IF(Q$3&gt;(A9taxstdlife+$E220),('RFM input'!$J$69-'RFM input'!$J$123)-SUM($J220:P220),('RFM input'!$J$69-'RFM input'!$J$123)/A9taxstdlife))</f>
        <v>0</v>
      </c>
      <c r="R220" s="18"/>
      <c r="S220" s="74"/>
      <c r="T220" s="74"/>
      <c r="U220" s="74"/>
      <c r="V220" s="74"/>
      <c r="W220" s="74"/>
      <c r="X220" s="74"/>
      <c r="Y220" s="74"/>
      <c r="Z220" s="74"/>
      <c r="AA220" s="152"/>
    </row>
    <row r="221" spans="1:27" hidden="1" outlineLevel="2">
      <c r="A221" s="3"/>
      <c r="B221" s="3"/>
      <c r="C221" s="16"/>
      <c r="D221" s="1594"/>
      <c r="E221" s="61">
        <v>4</v>
      </c>
      <c r="F221" s="17"/>
      <c r="G221" s="17"/>
      <c r="H221" s="1414"/>
      <c r="I221" s="1414"/>
      <c r="J221" s="115"/>
      <c r="K221" s="116"/>
      <c r="L221" s="18">
        <f>IF(A9taxstdlife="n/a","n/a",IF(L$3&gt;(A9taxstdlife+$E221),('RFM input'!$K$69-'RFM input'!$K$123)-SUM($K221:K221),('RFM input'!$K$69-'RFM input'!$K$123)/A9taxstdlife))</f>
        <v>0</v>
      </c>
      <c r="M221" s="18">
        <f>IF(A9taxstdlife="n/a","n/a",IF(M$3&gt;(A9taxstdlife+$E221),('RFM input'!$K$69-'RFM input'!$K$123)-SUM($K221:L221),('RFM input'!$K$69-'RFM input'!$K$123)/A9taxstdlife))</f>
        <v>0</v>
      </c>
      <c r="N221" s="18">
        <f>IF(A9taxstdlife="n/a","n/a",IF(N$3&gt;(A9taxstdlife+$E221),('RFM input'!$K$69-'RFM input'!$K$123)-SUM($K221:M221),('RFM input'!$K$69-'RFM input'!$K$123)/A9taxstdlife))</f>
        <v>0</v>
      </c>
      <c r="O221" s="18">
        <f>IF(A9taxstdlife="n/a","n/a",IF(O$3&gt;(A9taxstdlife+$E221),('RFM input'!$K$69-'RFM input'!$K$123)-SUM($K221:N221),('RFM input'!$K$69-'RFM input'!$K$123)/A9taxstdlife))</f>
        <v>0</v>
      </c>
      <c r="P221" s="18">
        <f>IF(A9taxstdlife="n/a","n/a",IF(P$3&gt;(A9taxstdlife+$E221),('RFM input'!$K$69-'RFM input'!$K$123)-SUM($K221:O221),('RFM input'!$K$69-'RFM input'!$K$123)/A9taxstdlife))</f>
        <v>0</v>
      </c>
      <c r="Q221" s="18">
        <f>IF(A9taxstdlife="n/a","n/a",IF(Q$3&gt;(A9taxstdlife+$E221),('RFM input'!$K$69-'RFM input'!$K$123)-SUM($K221:P221),('RFM input'!$K$69-'RFM input'!$K$123)/A9taxstdlife))</f>
        <v>0</v>
      </c>
      <c r="R221" s="18"/>
      <c r="S221" s="74"/>
      <c r="T221" s="74"/>
      <c r="U221" s="74"/>
      <c r="V221" s="74"/>
      <c r="W221" s="74"/>
      <c r="X221" s="74"/>
      <c r="Y221" s="74"/>
      <c r="Z221" s="74"/>
      <c r="AA221" s="152"/>
    </row>
    <row r="222" spans="1:27" hidden="1" outlineLevel="2">
      <c r="A222" s="3"/>
      <c r="B222" s="3"/>
      <c r="C222" s="16"/>
      <c r="D222" s="1594"/>
      <c r="E222" s="61">
        <v>5</v>
      </c>
      <c r="F222" s="17"/>
      <c r="G222" s="17"/>
      <c r="H222" s="1414"/>
      <c r="I222" s="1414"/>
      <c r="J222" s="115"/>
      <c r="K222" s="115"/>
      <c r="L222" s="116"/>
      <c r="M222" s="18">
        <f>IF(A9taxstdlife="n/a","n/a",IF(M$3&gt;(A9taxstdlife+$E222),('RFM input'!$L$69-'RFM input'!$L$123)-SUM($L222:L222),('RFM input'!$L$69-'RFM input'!$L$123)/A9taxstdlife))</f>
        <v>0</v>
      </c>
      <c r="N222" s="18">
        <f>IF(A9taxstdlife="n/a","n/a",IF(N$3&gt;(A9taxstdlife+$E222),('RFM input'!$L$69-'RFM input'!$L$123)-SUM($L222:M222),('RFM input'!$L$69-'RFM input'!$L$123)/A9taxstdlife))</f>
        <v>0</v>
      </c>
      <c r="O222" s="18">
        <f>IF(A9taxstdlife="n/a","n/a",IF(O$3&gt;(A9taxstdlife+$E222),('RFM input'!$L$69-'RFM input'!$L$123)-SUM($L222:N222),('RFM input'!$L$69-'RFM input'!$L$123)/A9taxstdlife))</f>
        <v>0</v>
      </c>
      <c r="P222" s="18">
        <f>IF(A9taxstdlife="n/a","n/a",IF(P$3&gt;(A9taxstdlife+$E222),('RFM input'!$L$69-'RFM input'!$L$123)-SUM($L222:O222),('RFM input'!$L$69-'RFM input'!$L$123)/A9taxstdlife))</f>
        <v>0</v>
      </c>
      <c r="Q222" s="18">
        <f>IF(A9taxstdlife="n/a","n/a",IF(Q$3&gt;(A9taxstdlife+$E222),('RFM input'!$L$69-'RFM input'!$L$123)-SUM($L222:P222),('RFM input'!$L$69-'RFM input'!$L$123)/A9taxstdlife))</f>
        <v>0</v>
      </c>
      <c r="R222" s="18"/>
      <c r="S222" s="74"/>
      <c r="T222" s="74"/>
      <c r="U222" s="74"/>
      <c r="V222" s="74"/>
      <c r="W222" s="74"/>
      <c r="X222" s="74"/>
      <c r="Y222" s="74"/>
      <c r="Z222" s="74"/>
      <c r="AA222" s="152"/>
    </row>
    <row r="223" spans="1:27" hidden="1" outlineLevel="2">
      <c r="A223" s="3"/>
      <c r="B223" s="3"/>
      <c r="C223" s="16"/>
      <c r="D223" s="1594"/>
      <c r="E223" s="61">
        <v>6</v>
      </c>
      <c r="F223" s="17"/>
      <c r="G223" s="17"/>
      <c r="H223" s="1414"/>
      <c r="I223" s="1414"/>
      <c r="J223" s="115"/>
      <c r="K223" s="115"/>
      <c r="L223" s="115"/>
      <c r="M223" s="116"/>
      <c r="N223" s="18">
        <f>IF(A9taxstdlife="n/a","n/a",IF(N$3&gt;(A9taxstdlife+$E223),('RFM input'!$M$69-'RFM input'!$M$123)-SUM($M223:M223),('RFM input'!$M$69-'RFM input'!$M$123)/A9taxstdlife))</f>
        <v>0</v>
      </c>
      <c r="O223" s="18">
        <f>IF(A9taxstdlife="n/a","n/a",IF(O$3&gt;(A9taxstdlife+$E223),('RFM input'!$M$69-'RFM input'!$M$123)-SUM($M223:N223),('RFM input'!$M$69-'RFM input'!$M$123)/A9taxstdlife))</f>
        <v>0</v>
      </c>
      <c r="P223" s="18">
        <f>IF(A9taxstdlife="n/a","n/a",IF(P$3&gt;(A9taxstdlife+$E223),('RFM input'!$M$69-'RFM input'!$M$123)-SUM($M223:O223),('RFM input'!$M$69-'RFM input'!$M$123)/A9taxstdlife))</f>
        <v>0</v>
      </c>
      <c r="Q223" s="18">
        <f>IF(A9taxstdlife="n/a","n/a",IF(Q$3&gt;(A9taxstdlife+$E223),('RFM input'!$M$69-'RFM input'!$M$123)-SUM($M223:P223),('RFM input'!$M$69-'RFM input'!$M$123)/A9taxstdlife))</f>
        <v>0</v>
      </c>
      <c r="R223" s="18"/>
      <c r="S223" s="74"/>
      <c r="T223" s="74"/>
      <c r="U223" s="74"/>
      <c r="V223" s="74"/>
      <c r="W223" s="74"/>
      <c r="X223" s="74"/>
      <c r="Y223" s="74"/>
      <c r="Z223" s="74"/>
      <c r="AA223" s="152"/>
    </row>
    <row r="224" spans="1:27" hidden="1" outlineLevel="2">
      <c r="A224" s="3"/>
      <c r="B224" s="3"/>
      <c r="C224" s="16"/>
      <c r="D224" s="1594"/>
      <c r="E224" s="61">
        <v>7</v>
      </c>
      <c r="F224" s="17"/>
      <c r="G224" s="17"/>
      <c r="H224" s="1414"/>
      <c r="I224" s="1414"/>
      <c r="J224" s="115"/>
      <c r="K224" s="115"/>
      <c r="L224" s="115"/>
      <c r="M224" s="115"/>
      <c r="N224" s="116"/>
      <c r="O224" s="18">
        <f>IF(A9taxstdlife="n/a","n/a",IF(O$3&gt;(A9taxstdlife+$E224),('RFM input'!$N$69-'RFM input'!$N$123)-SUM($N224:N224),('RFM input'!$N$69-'RFM input'!$N$123)/A9taxstdlife))</f>
        <v>0</v>
      </c>
      <c r="P224" s="18">
        <f>IF(A9taxstdlife="n/a","n/a",IF(P$3&gt;(A9taxstdlife+$E224),('RFM input'!$N$69-'RFM input'!$N$123)-SUM($N224:O224),('RFM input'!$N$69-'RFM input'!$N$123)/A9taxstdlife))</f>
        <v>0</v>
      </c>
      <c r="Q224" s="18">
        <f>IF(A9taxstdlife="n/a","n/a",IF(Q$3&gt;(A9taxstdlife+$E224),('RFM input'!$N$69-'RFM input'!$N$123)-SUM($N224:P224),('RFM input'!$N$69-'RFM input'!$N$123)/A9taxstdlife))</f>
        <v>0</v>
      </c>
      <c r="R224" s="18"/>
      <c r="S224" s="74"/>
      <c r="T224" s="74"/>
      <c r="U224" s="74"/>
      <c r="V224" s="74"/>
      <c r="W224" s="74"/>
      <c r="X224" s="74"/>
      <c r="Y224" s="74"/>
      <c r="Z224" s="74"/>
      <c r="AA224" s="152"/>
    </row>
    <row r="225" spans="1:27" hidden="1" outlineLevel="2">
      <c r="A225" s="3"/>
      <c r="B225" s="3"/>
      <c r="C225" s="16"/>
      <c r="D225" s="1594"/>
      <c r="E225" s="61">
        <v>8</v>
      </c>
      <c r="F225" s="17"/>
      <c r="G225" s="17"/>
      <c r="H225" s="1414"/>
      <c r="I225" s="1414"/>
      <c r="J225" s="115"/>
      <c r="K225" s="115"/>
      <c r="L225" s="115"/>
      <c r="M225" s="115"/>
      <c r="N225" s="115"/>
      <c r="O225" s="116"/>
      <c r="P225" s="18">
        <f>IF(A9taxstdlife="n/a","n/a",IF(P$3&gt;(A9taxstdlife+$E225),('RFM input'!$O$69-'RFM input'!$O$123)-SUM($O225:O225),('RFM input'!$O$69-'RFM input'!$O$123)/A9taxstdlife))</f>
        <v>0</v>
      </c>
      <c r="Q225" s="18">
        <f>IF(A9taxstdlife="n/a","n/a",IF(Q$3&gt;(A9taxstdlife+$E225),('RFM input'!$O$69-'RFM input'!$O$123)-SUM($O225:P225),('RFM input'!$O$69-'RFM input'!$O$123)/A9taxstdlife))</f>
        <v>0</v>
      </c>
      <c r="R225" s="18"/>
      <c r="S225" s="74"/>
      <c r="T225" s="74"/>
      <c r="U225" s="74"/>
      <c r="V225" s="74"/>
      <c r="W225" s="74"/>
      <c r="X225" s="74"/>
      <c r="Y225" s="74"/>
      <c r="Z225" s="74"/>
      <c r="AA225" s="152"/>
    </row>
    <row r="226" spans="1:27" hidden="1" outlineLevel="2">
      <c r="A226" s="3"/>
      <c r="B226" s="3"/>
      <c r="C226" s="16"/>
      <c r="D226" s="1594"/>
      <c r="E226" s="61">
        <v>9</v>
      </c>
      <c r="F226" s="17"/>
      <c r="G226" s="17"/>
      <c r="H226" s="1414"/>
      <c r="I226" s="1414"/>
      <c r="J226" s="115"/>
      <c r="K226" s="115"/>
      <c r="L226" s="115"/>
      <c r="M226" s="115"/>
      <c r="N226" s="115"/>
      <c r="O226" s="115"/>
      <c r="P226" s="116"/>
      <c r="Q226" s="18">
        <f>IF(A9taxstdlife="n/a","n/a",IF(Q$3&gt;(A9taxstdlife+$E226),('RFM input'!$P$69-'RFM input'!$P$123)-SUM($P226:P226),('RFM input'!$P$69-'RFM input'!$P$123)/A9taxstdlife))</f>
        <v>0</v>
      </c>
      <c r="R226" s="18"/>
      <c r="S226" s="74"/>
      <c r="T226" s="74"/>
      <c r="U226" s="74"/>
      <c r="V226" s="74"/>
      <c r="W226" s="74"/>
      <c r="X226" s="74"/>
      <c r="Y226" s="74"/>
      <c r="Z226" s="74"/>
      <c r="AA226" s="152"/>
    </row>
    <row r="227" spans="1:27" hidden="1" outlineLevel="2">
      <c r="A227" s="3"/>
      <c r="B227" s="3"/>
      <c r="C227" s="16"/>
      <c r="D227" s="1594"/>
      <c r="E227" s="62">
        <v>10</v>
      </c>
      <c r="F227" s="17"/>
      <c r="G227" s="17"/>
      <c r="H227" s="1414"/>
      <c r="I227" s="1414"/>
      <c r="J227" s="115"/>
      <c r="K227" s="115"/>
      <c r="L227" s="115"/>
      <c r="M227" s="115"/>
      <c r="N227" s="115"/>
      <c r="O227" s="115"/>
      <c r="P227" s="115"/>
      <c r="Q227" s="116"/>
      <c r="R227" s="18"/>
      <c r="S227" s="74"/>
      <c r="T227" s="74"/>
      <c r="U227" s="74"/>
      <c r="V227" s="74"/>
      <c r="W227" s="74"/>
      <c r="X227" s="74"/>
      <c r="Y227" s="74"/>
      <c r="Z227" s="74"/>
      <c r="AA227" s="152"/>
    </row>
    <row r="228" spans="1:27" hidden="1" outlineLevel="1">
      <c r="A228" s="3"/>
      <c r="B228" s="3"/>
      <c r="C228" s="134">
        <f>Asset9</f>
        <v>0</v>
      </c>
      <c r="D228" s="3"/>
      <c r="E228" s="3"/>
      <c r="F228" s="14"/>
      <c r="G228" s="14"/>
      <c r="H228" s="1460">
        <f>IF('RFM input'!$G$354="Tracked",-1*INDEX('RFM input'!H$358:H$407,MATCH('TAB roll forward'!$C228,'RFM input'!$E$358:$E$407,0)),-SUM(H216:H227))</f>
        <v>0</v>
      </c>
      <c r="I228" s="1460">
        <f>IF('RFM input'!$G$354="Tracked",-1*INDEX('RFM input'!I$358:I$407,MATCH('TAB roll forward'!$C228,'RFM input'!$E$358:$E$407,0)),-SUM(I216:I227))</f>
        <v>0</v>
      </c>
      <c r="J228" s="1460">
        <f>IF(COUNT($H228:I228)&gt;='RFM input'!$V$7,0,IF('RFM input'!$G$354="Tracked",-1*INDEX('RFM input'!J$358:J$407,MATCH('TAB roll forward'!$C228,'RFM input'!$E$358:$E$407,0)),-SUM(J216:J227)))</f>
        <v>0</v>
      </c>
      <c r="K228" s="1460">
        <f>IF(COUNT($H228:J228)&gt;='RFM input'!$V$7,0,IF('RFM input'!$G$354="Tracked",-1*INDEX('RFM input'!K$358:K$407,MATCH('TAB roll forward'!$C228,'RFM input'!$E$358:$E$407,0)),-SUM(K216:K227)))</f>
        <v>0</v>
      </c>
      <c r="L228" s="1460">
        <f>IF(COUNT($H228:K228)&gt;='RFM input'!$V$7,0,IF('RFM input'!$G$354="Tracked",-1*INDEX('RFM input'!L$358:L$407,MATCH('TAB roll forward'!$C228,'RFM input'!$E$358:$E$407,0)),-SUM(L216:L227)))</f>
        <v>0</v>
      </c>
      <c r="M228" s="1460">
        <f>IF(COUNT($H228:L228)&gt;='RFM input'!$V$7,0,IF('RFM input'!$G$354="Tracked",-1*INDEX('RFM input'!M$358:M$407,MATCH('TAB roll forward'!$C228,'RFM input'!$E$358:$E$407,0)),-SUM(M216:M227)))</f>
        <v>0</v>
      </c>
      <c r="N228" s="1460">
        <f>IF(COUNT($H228:M228)&gt;='RFM input'!$V$7,0,IF('RFM input'!$G$354="Tracked",-1*INDEX('RFM input'!N$358:N$407,MATCH('TAB roll forward'!$C228,'RFM input'!$E$358:$E$407,0)),-SUM(N216:N227)))</f>
        <v>0</v>
      </c>
      <c r="O228" s="1460">
        <f>IF(COUNT($H228:N228)&gt;='RFM input'!$V$7,0,IF('RFM input'!$G$354="Tracked",-1*INDEX('RFM input'!O$358:O$407,MATCH('TAB roll forward'!$C228,'RFM input'!$E$358:$E$407,0)),-SUM(O216:O227)))</f>
        <v>0</v>
      </c>
      <c r="P228" s="1460">
        <f>IF(COUNT($H228:O228)&gt;='RFM input'!$V$7,0,IF('RFM input'!$G$354="Tracked",-1*INDEX('RFM input'!P$358:P$407,MATCH('TAB roll forward'!$C228,'RFM input'!$E$358:$E$407,0)),-SUM(P216:P227)))</f>
        <v>0</v>
      </c>
      <c r="Q228" s="1460">
        <f>IF(COUNT($H228:P228)&gt;='RFM input'!$V$7,0,IF('RFM input'!$G$354="Tracked",-1*INDEX('RFM input'!Q$358:Q$407,MATCH('TAB roll forward'!$C228,'RFM input'!$E$358:$E$407,0)),-SUM(Q216:Q227)))</f>
        <v>0</v>
      </c>
      <c r="R228" s="1382"/>
      <c r="S228" s="73"/>
      <c r="T228" s="73"/>
      <c r="U228" s="73"/>
      <c r="V228" s="73"/>
      <c r="W228" s="73"/>
      <c r="X228" s="73"/>
      <c r="Y228" s="73"/>
      <c r="Z228" s="73"/>
      <c r="AA228" s="152"/>
    </row>
    <row r="229" spans="1:27" hidden="1" outlineLevel="2">
      <c r="A229" s="3"/>
      <c r="B229" s="135">
        <f>Asset10</f>
        <v>0</v>
      </c>
      <c r="C229" s="19"/>
      <c r="D229" s="234" t="s">
        <v>119</v>
      </c>
      <c r="E229" s="19"/>
      <c r="F229" s="148"/>
      <c r="G229" s="148"/>
      <c r="H229" s="21">
        <f>IF(H$3&gt;A10taxremlife,A10taxvalue-SUM($F229:F229),IF(A10taxremlife="N/A","n/a",A10taxvalue/A10taxremlife))</f>
        <v>0</v>
      </c>
      <c r="I229" s="21">
        <f>IF(I$3&gt;A10taxremlife,A10taxvalue-SUM($F229:H229),IF(A10taxremlife="N/A","n/a",A10taxvalue/A10taxremlife))</f>
        <v>0</v>
      </c>
      <c r="J229" s="21">
        <f>IF(J$3&gt;A10taxremlife,A10taxvalue-SUM($F229:I229),IF(A10taxremlife="N/A","n/a",A10taxvalue/A10taxremlife))</f>
        <v>0</v>
      </c>
      <c r="K229" s="21">
        <f>IF(K$3&gt;A10taxremlife,A10taxvalue-SUM($F229:J229),IF(A10taxremlife="N/A","n/a",A10taxvalue/A10taxremlife))</f>
        <v>0</v>
      </c>
      <c r="L229" s="21">
        <f>IF(L$3&gt;A10taxremlife,A10taxvalue-SUM($F229:K229),IF(A10taxremlife="N/A","n/a",A10taxvalue/A10taxremlife))</f>
        <v>0</v>
      </c>
      <c r="M229" s="21">
        <f>IF(M$3&gt;A10taxremlife,A10taxvalue-SUM($F229:L229),IF(A10taxremlife="N/A","n/a",A10taxvalue/A10taxremlife))</f>
        <v>0</v>
      </c>
      <c r="N229" s="21">
        <f>IF(N$3&gt;A10taxremlife,A10taxvalue-SUM($F229:M229),IF(A10taxremlife="N/A","n/a",A10taxvalue/A10taxremlife))</f>
        <v>0</v>
      </c>
      <c r="O229" s="21">
        <f>IF(O$3&gt;A10taxremlife,A10taxvalue-SUM($F229:N229),IF(A10taxremlife="N/A","n/a",A10taxvalue/A10taxremlife))</f>
        <v>0</v>
      </c>
      <c r="P229" s="21">
        <f>IF(P$3&gt;A10taxremlife,A10taxvalue-SUM($F229:O229),IF(A10taxremlife="N/A","n/a",A10taxvalue/A10taxremlife))</f>
        <v>0</v>
      </c>
      <c r="Q229" s="21">
        <f>IF(Q$3&gt;A10taxremlife,A10taxvalue-SUM($F229:P229),IF(A10taxremlife="N/A","n/a",A10taxvalue/A10taxremlife))</f>
        <v>0</v>
      </c>
      <c r="R229" s="21"/>
      <c r="S229" s="74"/>
      <c r="T229" s="74"/>
      <c r="U229" s="74"/>
      <c r="V229" s="74"/>
      <c r="W229" s="74"/>
      <c r="X229" s="74"/>
      <c r="Y229" s="74"/>
      <c r="Z229" s="74"/>
      <c r="AA229" s="152"/>
    </row>
    <row r="230" spans="1:27" ht="12.75" hidden="1" customHeight="1" outlineLevel="2">
      <c r="A230" s="3"/>
      <c r="B230" s="3"/>
      <c r="C230" s="16"/>
      <c r="D230" s="1593" t="s">
        <v>43</v>
      </c>
      <c r="E230" s="61"/>
      <c r="F230" s="17"/>
      <c r="G230" s="17"/>
      <c r="H230" s="1413"/>
      <c r="I230" s="72"/>
      <c r="J230" s="18"/>
      <c r="K230" s="18"/>
      <c r="L230" s="18"/>
      <c r="M230" s="18"/>
      <c r="N230" s="18"/>
      <c r="O230" s="18"/>
      <c r="P230" s="18"/>
      <c r="Q230" s="18"/>
      <c r="R230" s="18"/>
      <c r="S230" s="74"/>
      <c r="T230" s="74"/>
      <c r="U230" s="74"/>
      <c r="V230" s="74"/>
      <c r="W230" s="74"/>
      <c r="X230" s="74"/>
      <c r="Y230" s="74"/>
      <c r="Z230" s="74"/>
      <c r="AA230" s="152"/>
    </row>
    <row r="231" spans="1:27" hidden="1" outlineLevel="2">
      <c r="A231" s="3"/>
      <c r="B231" s="3"/>
      <c r="C231" s="16"/>
      <c r="D231" s="1594"/>
      <c r="E231" s="61">
        <v>1</v>
      </c>
      <c r="F231" s="17"/>
      <c r="G231" s="17"/>
      <c r="H231" s="1414"/>
      <c r="I231" s="1415">
        <f>IF(A10taxstdlife="n/a","n/a",IF(I$3&gt;(A10taxstdlife+$E231),('RFM input'!$H$70-'RFM input'!$H$124)-SUM($H231:H231),('RFM input'!$H$70-'RFM input'!$H$124)/A10taxstdlife))</f>
        <v>0</v>
      </c>
      <c r="J231" s="18">
        <f>IF(A10taxstdlife="n/a","n/a",IF(J$3&gt;(A10taxstdlife+$E231),('RFM input'!$H$70-'RFM input'!$H$124)-SUM($H231:I231),('RFM input'!$H$70-'RFM input'!$H$124)/A10taxstdlife))</f>
        <v>0</v>
      </c>
      <c r="K231" s="18">
        <f>IF(A10taxstdlife="n/a","n/a",IF(K$3&gt;(A10taxstdlife+$E231),('RFM input'!$H$70-'RFM input'!$H$124)-SUM($H231:J231),('RFM input'!$H$70-'RFM input'!$H$124)/A10taxstdlife))</f>
        <v>0</v>
      </c>
      <c r="L231" s="18">
        <f>IF(A10taxstdlife="n/a","n/a",IF(L$3&gt;(A10taxstdlife+$E231),('RFM input'!$H$70-'RFM input'!$H$124)-SUM($H231:K231),('RFM input'!$H$70-'RFM input'!$H$124)/A10taxstdlife))</f>
        <v>0</v>
      </c>
      <c r="M231" s="18">
        <f>IF(A10taxstdlife="n/a","n/a",IF(M$3&gt;(A10taxstdlife+$E231),('RFM input'!$H$70-'RFM input'!$H$124)-SUM($H231:L231),('RFM input'!$H$70-'RFM input'!$H$124)/A10taxstdlife))</f>
        <v>0</v>
      </c>
      <c r="N231" s="18">
        <f>IF(A10taxstdlife="n/a","n/a",IF(N$3&gt;(A10taxstdlife+$E231),('RFM input'!$H$70-'RFM input'!$H$124)-SUM($H231:M231),('RFM input'!$H$70-'RFM input'!$H$124)/A10taxstdlife))</f>
        <v>0</v>
      </c>
      <c r="O231" s="18">
        <f>IF(A10taxstdlife="n/a","n/a",IF(O$3&gt;(A10taxstdlife+$E231),('RFM input'!$H$70-'RFM input'!$H$124)-SUM($H231:N231),('RFM input'!$H$70-'RFM input'!$H$124)/A10taxstdlife))</f>
        <v>0</v>
      </c>
      <c r="P231" s="18">
        <f>IF(A10taxstdlife="n/a","n/a",IF(P$3&gt;(A10taxstdlife+$E231),('RFM input'!$H$70-'RFM input'!$H$124)-SUM($H231:O231),('RFM input'!$H$70-'RFM input'!$H$124)/A10taxstdlife))</f>
        <v>0</v>
      </c>
      <c r="Q231" s="18">
        <f>IF(A10taxstdlife="n/a","n/a",IF(Q$3&gt;(A10taxstdlife+$E231),('RFM input'!$H$70-'RFM input'!$H$124)-SUM($H231:P231),('RFM input'!$H$70-'RFM input'!$H$124)/A10taxstdlife))</f>
        <v>0</v>
      </c>
      <c r="R231" s="18"/>
      <c r="S231" s="74"/>
      <c r="T231" s="74"/>
      <c r="U231" s="74"/>
      <c r="V231" s="74"/>
      <c r="W231" s="74"/>
      <c r="X231" s="74"/>
      <c r="Y231" s="74"/>
      <c r="Z231" s="74"/>
      <c r="AA231" s="152"/>
    </row>
    <row r="232" spans="1:27" hidden="1" outlineLevel="2">
      <c r="A232" s="3"/>
      <c r="B232" s="3"/>
      <c r="C232" s="16"/>
      <c r="D232" s="1594"/>
      <c r="E232" s="61">
        <v>2</v>
      </c>
      <c r="F232" s="17"/>
      <c r="G232" s="17"/>
      <c r="H232" s="1414"/>
      <c r="I232" s="1414"/>
      <c r="J232" s="18">
        <f>IF(A10taxstdlife="n/a","n/a",IF(J$3&gt;(A10taxstdlife+$E232),('RFM input'!$I$70-'RFM input'!$I$124)-SUM($I232:I232),('RFM input'!$I$70-'RFM input'!$I$124)/A10taxstdlife))</f>
        <v>0</v>
      </c>
      <c r="K232" s="18">
        <f>IF(A10taxstdlife="n/a","n/a",IF(K$3&gt;(A10taxstdlife+$E232),('RFM input'!$I$70-'RFM input'!$I$124)-SUM($I232:J232),('RFM input'!$I$70-'RFM input'!$I$124)/A10taxstdlife))</f>
        <v>0</v>
      </c>
      <c r="L232" s="18">
        <f>IF(A10taxstdlife="n/a","n/a",IF(L$3&gt;(A10taxstdlife+$E232),('RFM input'!$I$70-'RFM input'!$I$124)-SUM($I232:K232),('RFM input'!$I$70-'RFM input'!$I$124)/A10taxstdlife))</f>
        <v>0</v>
      </c>
      <c r="M232" s="18">
        <f>IF(A10taxstdlife="n/a","n/a",IF(M$3&gt;(A10taxstdlife+$E232),('RFM input'!$I$70-'RFM input'!$I$124)-SUM($I232:L232),('RFM input'!$I$70-'RFM input'!$I$124)/A10taxstdlife))</f>
        <v>0</v>
      </c>
      <c r="N232" s="18">
        <f>IF(A10taxstdlife="n/a","n/a",IF(N$3&gt;(A10taxstdlife+$E232),('RFM input'!$I$70-'RFM input'!$I$124)-SUM($I232:M232),('RFM input'!$I$70-'RFM input'!$I$124)/A10taxstdlife))</f>
        <v>0</v>
      </c>
      <c r="O232" s="18">
        <f>IF(A10taxstdlife="n/a","n/a",IF(O$3&gt;(A10taxstdlife+$E232),('RFM input'!$I$70-'RFM input'!$I$124)-SUM($I232:N232),('RFM input'!$I$70-'RFM input'!$I$124)/A10taxstdlife))</f>
        <v>0</v>
      </c>
      <c r="P232" s="18">
        <f>IF(A10taxstdlife="n/a","n/a",IF(P$3&gt;(A10taxstdlife+$E232),('RFM input'!$I$70-'RFM input'!$I$124)-SUM($I232:O232),('RFM input'!$I$70-'RFM input'!$I$124)/A10taxstdlife))</f>
        <v>0</v>
      </c>
      <c r="Q232" s="18">
        <f>IF(A10taxstdlife="n/a","n/a",IF(Q$3&gt;(A10taxstdlife+$E232),('RFM input'!$I$70-'RFM input'!$I$124)-SUM($I232:P232),('RFM input'!$I$70-'RFM input'!$I$124)/A10taxstdlife))</f>
        <v>0</v>
      </c>
      <c r="R232" s="18"/>
      <c r="S232" s="74"/>
      <c r="T232" s="74"/>
      <c r="U232" s="74"/>
      <c r="V232" s="74"/>
      <c r="W232" s="74"/>
      <c r="X232" s="74"/>
      <c r="Y232" s="74"/>
      <c r="Z232" s="74"/>
      <c r="AA232" s="152"/>
    </row>
    <row r="233" spans="1:27" hidden="1" outlineLevel="2">
      <c r="A233" s="3"/>
      <c r="B233" s="3"/>
      <c r="C233" s="16"/>
      <c r="D233" s="1594"/>
      <c r="E233" s="61">
        <v>3</v>
      </c>
      <c r="F233" s="17"/>
      <c r="G233" s="17"/>
      <c r="H233" s="1414"/>
      <c r="I233" s="1414"/>
      <c r="J233" s="116"/>
      <c r="K233" s="18">
        <f>IF(A10taxstdlife="n/a","n/a",IF(K$3&gt;(A10taxstdlife+$E233),('RFM input'!$J$70-'RFM input'!$J$124)-SUM($J233:J233),('RFM input'!$J$70-'RFM input'!$J$124)/A10taxstdlife))</f>
        <v>0</v>
      </c>
      <c r="L233" s="18">
        <f>IF(A10taxstdlife="n/a","n/a",IF(L$3&gt;(A10taxstdlife+$E233),('RFM input'!$J$70-'RFM input'!$J$124)-SUM($J233:K233),('RFM input'!$J$70-'RFM input'!$J$124)/A10taxstdlife))</f>
        <v>0</v>
      </c>
      <c r="M233" s="18">
        <f>IF(A10taxstdlife="n/a","n/a",IF(M$3&gt;(A10taxstdlife+$E233),('RFM input'!$J$70-'RFM input'!$J$124)-SUM($J233:L233),('RFM input'!$J$70-'RFM input'!$J$124)/A10taxstdlife))</f>
        <v>0</v>
      </c>
      <c r="N233" s="18">
        <f>IF(A10taxstdlife="n/a","n/a",IF(N$3&gt;(A10taxstdlife+$E233),('RFM input'!$J$70-'RFM input'!$J$124)-SUM($J233:M233),('RFM input'!$J$70-'RFM input'!$J$124)/A10taxstdlife))</f>
        <v>0</v>
      </c>
      <c r="O233" s="18">
        <f>IF(A10taxstdlife="n/a","n/a",IF(O$3&gt;(A10taxstdlife+$E233),('RFM input'!$J$70-'RFM input'!$J$124)-SUM($J233:N233),('RFM input'!$J$70-'RFM input'!$J$124)/A10taxstdlife))</f>
        <v>0</v>
      </c>
      <c r="P233" s="18">
        <f>IF(A10taxstdlife="n/a","n/a",IF(P$3&gt;(A10taxstdlife+$E233),('RFM input'!$J$70-'RFM input'!$J$124)-SUM($J233:O233),('RFM input'!$J$70-'RFM input'!$J$124)/A10taxstdlife))</f>
        <v>0</v>
      </c>
      <c r="Q233" s="18">
        <f>IF(A10taxstdlife="n/a","n/a",IF(Q$3&gt;(A10taxstdlife+$E233),('RFM input'!$J$70-'RFM input'!$J$124)-SUM($J233:P233),('RFM input'!$J$70-'RFM input'!$J$124)/A10taxstdlife))</f>
        <v>0</v>
      </c>
      <c r="R233" s="18"/>
      <c r="S233" s="74"/>
      <c r="T233" s="74"/>
      <c r="U233" s="74"/>
      <c r="V233" s="74"/>
      <c r="W233" s="74"/>
      <c r="X233" s="74"/>
      <c r="Y233" s="74"/>
      <c r="Z233" s="74"/>
      <c r="AA233" s="152"/>
    </row>
    <row r="234" spans="1:27" hidden="1" outlineLevel="2">
      <c r="A234" s="3"/>
      <c r="B234" s="3"/>
      <c r="C234" s="16"/>
      <c r="D234" s="1594"/>
      <c r="E234" s="61">
        <v>4</v>
      </c>
      <c r="F234" s="17"/>
      <c r="G234" s="17"/>
      <c r="H234" s="1414"/>
      <c r="I234" s="1414"/>
      <c r="J234" s="115"/>
      <c r="K234" s="116"/>
      <c r="L234" s="18">
        <f>IF(A10taxstdlife="n/a","n/a",IF(L$3&gt;(A10taxstdlife+$E234),('RFM input'!$K$70-'RFM input'!$K$124)-SUM($K234:K234),('RFM input'!$K$70-'RFM input'!$K$124)/A10taxstdlife))</f>
        <v>0</v>
      </c>
      <c r="M234" s="18">
        <f>IF(A10taxstdlife="n/a","n/a",IF(M$3&gt;(A10taxstdlife+$E234),('RFM input'!$K$70-'RFM input'!$K$124)-SUM($K234:L234),('RFM input'!$K$70-'RFM input'!$K$124)/A10taxstdlife))</f>
        <v>0</v>
      </c>
      <c r="N234" s="18">
        <f>IF(A10taxstdlife="n/a","n/a",IF(N$3&gt;(A10taxstdlife+$E234),('RFM input'!$K$70-'RFM input'!$K$124)-SUM($K234:M234),('RFM input'!$K$70-'RFM input'!$K$124)/A10taxstdlife))</f>
        <v>0</v>
      </c>
      <c r="O234" s="18">
        <f>IF(A10taxstdlife="n/a","n/a",IF(O$3&gt;(A10taxstdlife+$E234),('RFM input'!$K$70-'RFM input'!$K$124)-SUM($K234:N234),('RFM input'!$K$70-'RFM input'!$K$124)/A10taxstdlife))</f>
        <v>0</v>
      </c>
      <c r="P234" s="18">
        <f>IF(A10taxstdlife="n/a","n/a",IF(P$3&gt;(A10taxstdlife+$E234),('RFM input'!$K$70-'RFM input'!$K$124)-SUM($K234:O234),('RFM input'!$K$70-'RFM input'!$K$124)/A10taxstdlife))</f>
        <v>0</v>
      </c>
      <c r="Q234" s="18">
        <f>IF(A10taxstdlife="n/a","n/a",IF(Q$3&gt;(A10taxstdlife+$E234),('RFM input'!$K$70-'RFM input'!$K$124)-SUM($K234:P234),('RFM input'!$K$70-'RFM input'!$K$124)/A10taxstdlife))</f>
        <v>0</v>
      </c>
      <c r="R234" s="18"/>
      <c r="S234" s="74"/>
      <c r="T234" s="74"/>
      <c r="U234" s="74"/>
      <c r="V234" s="74"/>
      <c r="W234" s="74"/>
      <c r="X234" s="74"/>
      <c r="Y234" s="74"/>
      <c r="Z234" s="74"/>
      <c r="AA234" s="152"/>
    </row>
    <row r="235" spans="1:27" hidden="1" outlineLevel="2">
      <c r="A235" s="3"/>
      <c r="B235" s="3"/>
      <c r="C235" s="16"/>
      <c r="D235" s="1594"/>
      <c r="E235" s="61">
        <v>5</v>
      </c>
      <c r="F235" s="17"/>
      <c r="G235" s="17"/>
      <c r="H235" s="1414"/>
      <c r="I235" s="1414"/>
      <c r="J235" s="115"/>
      <c r="K235" s="115"/>
      <c r="L235" s="116"/>
      <c r="M235" s="18">
        <f>IF(A10taxstdlife="n/a","n/a",IF(M$3&gt;(A10taxstdlife+$E235),('RFM input'!$L$70-'RFM input'!$L$124)-SUM($L235:L235),('RFM input'!$L$70-'RFM input'!$L$124)/A10taxstdlife))</f>
        <v>0</v>
      </c>
      <c r="N235" s="18">
        <f>IF(A10taxstdlife="n/a","n/a",IF(N$3&gt;(A10taxstdlife+$E235),('RFM input'!$L$70-'RFM input'!$L$124)-SUM($L235:M235),('RFM input'!$L$70-'RFM input'!$L$124)/A10taxstdlife))</f>
        <v>0</v>
      </c>
      <c r="O235" s="18">
        <f>IF(A10taxstdlife="n/a","n/a",IF(O$3&gt;(A10taxstdlife+$E235),('RFM input'!$L$70-'RFM input'!$L$124)-SUM($L235:N235),('RFM input'!$L$70-'RFM input'!$L$124)/A10taxstdlife))</f>
        <v>0</v>
      </c>
      <c r="P235" s="18">
        <f>IF(A10taxstdlife="n/a","n/a",IF(P$3&gt;(A10taxstdlife+$E235),('RFM input'!$L$70-'RFM input'!$L$124)-SUM($L235:O235),('RFM input'!$L$70-'RFM input'!$L$124)/A10taxstdlife))</f>
        <v>0</v>
      </c>
      <c r="Q235" s="18">
        <f>IF(A10taxstdlife="n/a","n/a",IF(Q$3&gt;(A10taxstdlife+$E235),('RFM input'!$L$70-'RFM input'!$L$124)-SUM($L235:P235),('RFM input'!$L$70-'RFM input'!$L$124)/A10taxstdlife))</f>
        <v>0</v>
      </c>
      <c r="R235" s="18"/>
      <c r="S235" s="74"/>
      <c r="T235" s="74"/>
      <c r="U235" s="74"/>
      <c r="V235" s="74"/>
      <c r="W235" s="74"/>
      <c r="X235" s="74"/>
      <c r="Y235" s="74"/>
      <c r="Z235" s="74"/>
      <c r="AA235" s="152"/>
    </row>
    <row r="236" spans="1:27" hidden="1" outlineLevel="2">
      <c r="A236" s="3"/>
      <c r="B236" s="3"/>
      <c r="C236" s="16"/>
      <c r="D236" s="1594"/>
      <c r="E236" s="61">
        <v>6</v>
      </c>
      <c r="F236" s="17"/>
      <c r="G236" s="17"/>
      <c r="H236" s="1414"/>
      <c r="I236" s="1414"/>
      <c r="J236" s="115"/>
      <c r="K236" s="115"/>
      <c r="L236" s="115"/>
      <c r="M236" s="116"/>
      <c r="N236" s="18">
        <f>IF(A10taxstdlife="n/a","n/a",IF(N$3&gt;(A10taxstdlife+$E236),('RFM input'!$M$70-'RFM input'!$M$124)-SUM($M236:M236),('RFM input'!$M$70-'RFM input'!$M$124)/A10taxstdlife))</f>
        <v>0</v>
      </c>
      <c r="O236" s="18">
        <f>IF(A10taxstdlife="n/a","n/a",IF(O$3&gt;(A10taxstdlife+$E236),('RFM input'!$M$70-'RFM input'!$M$124)-SUM($M236:N236),('RFM input'!$M$70-'RFM input'!$M$124)/A10taxstdlife))</f>
        <v>0</v>
      </c>
      <c r="P236" s="18">
        <f>IF(A10taxstdlife="n/a","n/a",IF(P$3&gt;(A10taxstdlife+$E236),('RFM input'!$M$70-'RFM input'!$M$124)-SUM($M236:O236),('RFM input'!$M$70-'RFM input'!$M$124)/A10taxstdlife))</f>
        <v>0</v>
      </c>
      <c r="Q236" s="18">
        <f>IF(A10taxstdlife="n/a","n/a",IF(Q$3&gt;(A10taxstdlife+$E236),('RFM input'!$M$70-'RFM input'!$M$124)-SUM($M236:P236),('RFM input'!$M$70-'RFM input'!$M$124)/A10taxstdlife))</f>
        <v>0</v>
      </c>
      <c r="R236" s="18"/>
      <c r="S236" s="74"/>
      <c r="T236" s="74"/>
      <c r="U236" s="74"/>
      <c r="V236" s="74"/>
      <c r="W236" s="74"/>
      <c r="X236" s="74"/>
      <c r="Y236" s="74"/>
      <c r="Z236" s="74"/>
      <c r="AA236" s="152"/>
    </row>
    <row r="237" spans="1:27" hidden="1" outlineLevel="2">
      <c r="A237" s="3"/>
      <c r="B237" s="3"/>
      <c r="C237" s="16"/>
      <c r="D237" s="1594"/>
      <c r="E237" s="61">
        <v>7</v>
      </c>
      <c r="F237" s="17"/>
      <c r="G237" s="17"/>
      <c r="H237" s="1414"/>
      <c r="I237" s="1414"/>
      <c r="J237" s="115"/>
      <c r="K237" s="115"/>
      <c r="L237" s="115"/>
      <c r="M237" s="115"/>
      <c r="N237" s="116"/>
      <c r="O237" s="18">
        <f>IF(A10taxstdlife="n/a","n/a",IF(O$3&gt;(A10taxstdlife+$E237),('RFM input'!$N$70-'RFM input'!$N$124)-SUM($N237:N237),('RFM input'!$N$70-'RFM input'!$N$124)/A10taxstdlife))</f>
        <v>0</v>
      </c>
      <c r="P237" s="18">
        <f>IF(A10taxstdlife="n/a","n/a",IF(P$3&gt;(A10taxstdlife+$E237),('RFM input'!$N$70-'RFM input'!$N$124)-SUM($N237:O237),('RFM input'!$N$70-'RFM input'!$N$124)/A10taxstdlife))</f>
        <v>0</v>
      </c>
      <c r="Q237" s="18">
        <f>IF(A10taxstdlife="n/a","n/a",IF(Q$3&gt;(A10taxstdlife+$E237),('RFM input'!$N$70-'RFM input'!$N$124)-SUM($N237:P237),('RFM input'!$N$70-'RFM input'!$N$124)/A10taxstdlife))</f>
        <v>0</v>
      </c>
      <c r="R237" s="18"/>
      <c r="S237" s="74"/>
      <c r="T237" s="74"/>
      <c r="U237" s="74"/>
      <c r="V237" s="74"/>
      <c r="W237" s="74"/>
      <c r="X237" s="74"/>
      <c r="Y237" s="74"/>
      <c r="Z237" s="74"/>
      <c r="AA237" s="152"/>
    </row>
    <row r="238" spans="1:27" hidden="1" outlineLevel="2">
      <c r="A238" s="3"/>
      <c r="B238" s="3"/>
      <c r="C238" s="16"/>
      <c r="D238" s="1594"/>
      <c r="E238" s="61">
        <v>8</v>
      </c>
      <c r="F238" s="17"/>
      <c r="G238" s="17"/>
      <c r="H238" s="1414"/>
      <c r="I238" s="1414"/>
      <c r="J238" s="115"/>
      <c r="K238" s="115"/>
      <c r="L238" s="115"/>
      <c r="M238" s="115"/>
      <c r="N238" s="115"/>
      <c r="O238" s="116"/>
      <c r="P238" s="18">
        <f>IF(A10taxstdlife="n/a","n/a",IF(P$3&gt;(A10taxstdlife+$E238),('RFM input'!$O$70-'RFM input'!$O$124)-SUM($O238:O238),('RFM input'!$O$70-'RFM input'!$O$124)/A10taxstdlife))</f>
        <v>0</v>
      </c>
      <c r="Q238" s="18">
        <f>IF(A10taxstdlife="n/a","n/a",IF(Q$3&gt;(A10taxstdlife+$E238),('RFM input'!$O$70-'RFM input'!$O$124)-SUM($O238:P238),('RFM input'!$O$70-'RFM input'!$O$124)/A10taxstdlife))</f>
        <v>0</v>
      </c>
      <c r="R238" s="18"/>
      <c r="S238" s="74"/>
      <c r="T238" s="74"/>
      <c r="U238" s="74"/>
      <c r="V238" s="74"/>
      <c r="W238" s="74"/>
      <c r="X238" s="74"/>
      <c r="Y238" s="74"/>
      <c r="Z238" s="74"/>
      <c r="AA238" s="152"/>
    </row>
    <row r="239" spans="1:27" hidden="1" outlineLevel="2">
      <c r="A239" s="3"/>
      <c r="B239" s="3"/>
      <c r="C239" s="16"/>
      <c r="D239" s="1594"/>
      <c r="E239" s="61">
        <v>9</v>
      </c>
      <c r="F239" s="17"/>
      <c r="G239" s="17"/>
      <c r="H239" s="1414"/>
      <c r="I239" s="1414"/>
      <c r="J239" s="115"/>
      <c r="K239" s="115"/>
      <c r="L239" s="115"/>
      <c r="M239" s="115"/>
      <c r="N239" s="115"/>
      <c r="O239" s="115"/>
      <c r="P239" s="116"/>
      <c r="Q239" s="18">
        <f>IF(A10taxstdlife="n/a","n/a",IF(Q$3&gt;(A10taxstdlife+$E239),('RFM input'!$P$70-'RFM input'!$P$124)-SUM($P239:P239),('RFM input'!$P$70-'RFM input'!$P$124)/A10taxstdlife))</f>
        <v>0</v>
      </c>
      <c r="R239" s="18"/>
      <c r="S239" s="74"/>
      <c r="T239" s="74"/>
      <c r="U239" s="74"/>
      <c r="V239" s="74"/>
      <c r="W239" s="74"/>
      <c r="X239" s="74"/>
      <c r="Y239" s="74"/>
      <c r="Z239" s="74"/>
      <c r="AA239" s="152"/>
    </row>
    <row r="240" spans="1:27" hidden="1" outlineLevel="2">
      <c r="A240" s="3"/>
      <c r="B240" s="3"/>
      <c r="C240" s="16"/>
      <c r="D240" s="1594"/>
      <c r="E240" s="62">
        <v>10</v>
      </c>
      <c r="F240" s="17"/>
      <c r="G240" s="17"/>
      <c r="H240" s="1414"/>
      <c r="I240" s="1414"/>
      <c r="J240" s="115"/>
      <c r="K240" s="115"/>
      <c r="L240" s="115"/>
      <c r="M240" s="115"/>
      <c r="N240" s="115"/>
      <c r="O240" s="115"/>
      <c r="P240" s="115"/>
      <c r="Q240" s="116"/>
      <c r="R240" s="18"/>
      <c r="S240" s="74"/>
      <c r="T240" s="74"/>
      <c r="U240" s="74"/>
      <c r="V240" s="74"/>
      <c r="W240" s="74"/>
      <c r="X240" s="74"/>
      <c r="Y240" s="74"/>
      <c r="Z240" s="74"/>
      <c r="AA240" s="152"/>
    </row>
    <row r="241" spans="1:27" hidden="1" outlineLevel="1">
      <c r="A241" s="3"/>
      <c r="B241" s="3"/>
      <c r="C241" s="134">
        <f>Asset10</f>
        <v>0</v>
      </c>
      <c r="D241" s="3"/>
      <c r="E241" s="3"/>
      <c r="F241" s="14"/>
      <c r="G241" s="14"/>
      <c r="H241" s="1460">
        <f>IF('RFM input'!$G$354="Tracked",-1*INDEX('RFM input'!H$358:H$407,MATCH('TAB roll forward'!$C241,'RFM input'!$E$358:$E$407,0)),-SUM(H229:H240))</f>
        <v>0</v>
      </c>
      <c r="I241" s="1460">
        <f>IF('RFM input'!$G$354="Tracked",-1*INDEX('RFM input'!I$358:I$407,MATCH('TAB roll forward'!$C241,'RFM input'!$E$358:$E$407,0)),-SUM(I229:I240))</f>
        <v>0</v>
      </c>
      <c r="J241" s="1460">
        <f>IF(COUNT($H241:I241)&gt;='RFM input'!$V$7,0,IF('RFM input'!$G$354="Tracked",-1*INDEX('RFM input'!J$358:J$407,MATCH('TAB roll forward'!$C241,'RFM input'!$E$358:$E$407,0)),-SUM(J229:J240)))</f>
        <v>0</v>
      </c>
      <c r="K241" s="1460">
        <f>IF(COUNT($H241:J241)&gt;='RFM input'!$V$7,0,IF('RFM input'!$G$354="Tracked",-1*INDEX('RFM input'!K$358:K$407,MATCH('TAB roll forward'!$C241,'RFM input'!$E$358:$E$407,0)),-SUM(K229:K240)))</f>
        <v>0</v>
      </c>
      <c r="L241" s="1460">
        <f>IF(COUNT($H241:K241)&gt;='RFM input'!$V$7,0,IF('RFM input'!$G$354="Tracked",-1*INDEX('RFM input'!L$358:L$407,MATCH('TAB roll forward'!$C241,'RFM input'!$E$358:$E$407,0)),-SUM(L229:L240)))</f>
        <v>0</v>
      </c>
      <c r="M241" s="1460">
        <f>IF(COUNT($H241:L241)&gt;='RFM input'!$V$7,0,IF('RFM input'!$G$354="Tracked",-1*INDEX('RFM input'!M$358:M$407,MATCH('TAB roll forward'!$C241,'RFM input'!$E$358:$E$407,0)),-SUM(M229:M240)))</f>
        <v>0</v>
      </c>
      <c r="N241" s="1460">
        <f>IF(COUNT($H241:M241)&gt;='RFM input'!$V$7,0,IF('RFM input'!$G$354="Tracked",-1*INDEX('RFM input'!N$358:N$407,MATCH('TAB roll forward'!$C241,'RFM input'!$E$358:$E$407,0)),-SUM(N229:N240)))</f>
        <v>0</v>
      </c>
      <c r="O241" s="1460">
        <f>IF(COUNT($H241:N241)&gt;='RFM input'!$V$7,0,IF('RFM input'!$G$354="Tracked",-1*INDEX('RFM input'!O$358:O$407,MATCH('TAB roll forward'!$C241,'RFM input'!$E$358:$E$407,0)),-SUM(O229:O240)))</f>
        <v>0</v>
      </c>
      <c r="P241" s="1460">
        <f>IF(COUNT($H241:O241)&gt;='RFM input'!$V$7,0,IF('RFM input'!$G$354="Tracked",-1*INDEX('RFM input'!P$358:P$407,MATCH('TAB roll forward'!$C241,'RFM input'!$E$358:$E$407,0)),-SUM(P229:P240)))</f>
        <v>0</v>
      </c>
      <c r="Q241" s="1460">
        <f>IF(COUNT($H241:P241)&gt;='RFM input'!$V$7,0,IF('RFM input'!$G$354="Tracked",-1*INDEX('RFM input'!Q$358:Q$407,MATCH('TAB roll forward'!$C241,'RFM input'!$E$358:$E$407,0)),-SUM(Q229:Q240)))</f>
        <v>0</v>
      </c>
      <c r="R241" s="1382"/>
      <c r="S241" s="73"/>
      <c r="T241" s="73"/>
      <c r="U241" s="73"/>
      <c r="V241" s="73"/>
      <c r="W241" s="73"/>
      <c r="X241" s="73"/>
      <c r="Y241" s="73"/>
      <c r="Z241" s="73"/>
      <c r="AA241" s="152"/>
    </row>
    <row r="242" spans="1:27" hidden="1" outlineLevel="2">
      <c r="A242" s="3"/>
      <c r="B242" s="135">
        <f>Asset11</f>
        <v>0</v>
      </c>
      <c r="C242" s="19"/>
      <c r="D242" s="234" t="s">
        <v>119</v>
      </c>
      <c r="E242" s="19"/>
      <c r="F242" s="148"/>
      <c r="G242" s="148"/>
      <c r="H242" s="21">
        <f>IF(H$3&gt;A11taxremlife,A11taxvalue-SUM($F242:F242),IF(A11taxremlife="N/A","n/a",A11taxvalue/A11taxremlife))</f>
        <v>0</v>
      </c>
      <c r="I242" s="21">
        <f>IF(I$3&gt;A11taxremlife,A11taxvalue-SUM($F242:H242),IF(A11taxremlife="N/A","n/a",A11taxvalue/A11taxremlife))</f>
        <v>0</v>
      </c>
      <c r="J242" s="21">
        <f>IF(J$3&gt;A11taxremlife,A11taxvalue-SUM($F242:I242),IF(A11taxremlife="N/A","n/a",A11taxvalue/A11taxremlife))</f>
        <v>0</v>
      </c>
      <c r="K242" s="21">
        <f>IF(K$3&gt;A11taxremlife,A11taxvalue-SUM($F242:J242),IF(A11taxremlife="N/A","n/a",A11taxvalue/A11taxremlife))</f>
        <v>0</v>
      </c>
      <c r="L242" s="21">
        <f>IF(L$3&gt;A11taxremlife,A11taxvalue-SUM($F242:K242),IF(A11taxremlife="N/A","n/a",A11taxvalue/A11taxremlife))</f>
        <v>0</v>
      </c>
      <c r="M242" s="21">
        <f>IF(M$3&gt;A11taxremlife,A11taxvalue-SUM($F242:L242),IF(A11taxremlife="N/A","n/a",A11taxvalue/A11taxremlife))</f>
        <v>0</v>
      </c>
      <c r="N242" s="21">
        <f>IF(N$3&gt;A11taxremlife,A11taxvalue-SUM($F242:M242),IF(A11taxremlife="N/A","n/a",A11taxvalue/A11taxremlife))</f>
        <v>0</v>
      </c>
      <c r="O242" s="21">
        <f>IF(O$3&gt;A11taxremlife,A11taxvalue-SUM($F242:N242),IF(A11taxremlife="N/A","n/a",A11taxvalue/A11taxremlife))</f>
        <v>0</v>
      </c>
      <c r="P242" s="21">
        <f>IF(P$3&gt;A11taxremlife,A11taxvalue-SUM($F242:O242),IF(A11taxremlife="N/A","n/a",A11taxvalue/A11taxremlife))</f>
        <v>0</v>
      </c>
      <c r="Q242" s="21">
        <f>IF(Q$3&gt;A11taxremlife,A11taxvalue-SUM($F242:P242),IF(A11taxremlife="N/A","n/a",A11taxvalue/A11taxremlife))</f>
        <v>0</v>
      </c>
      <c r="R242" s="21"/>
      <c r="S242" s="74"/>
      <c r="T242" s="74"/>
      <c r="U242" s="74"/>
      <c r="V242" s="74"/>
      <c r="W242" s="74"/>
      <c r="X242" s="74"/>
      <c r="Y242" s="74"/>
      <c r="Z242" s="74"/>
      <c r="AA242" s="152"/>
    </row>
    <row r="243" spans="1:27" ht="12.75" hidden="1" customHeight="1" outlineLevel="2">
      <c r="A243" s="3"/>
      <c r="B243" s="3"/>
      <c r="C243" s="16"/>
      <c r="D243" s="1593" t="s">
        <v>43</v>
      </c>
      <c r="E243" s="61"/>
      <c r="F243" s="17"/>
      <c r="G243" s="17"/>
      <c r="H243" s="1413"/>
      <c r="I243" s="72"/>
      <c r="J243" s="18"/>
      <c r="K243" s="18"/>
      <c r="L243" s="18"/>
      <c r="M243" s="18"/>
      <c r="N243" s="18"/>
      <c r="O243" s="18"/>
      <c r="P243" s="18"/>
      <c r="Q243" s="18"/>
      <c r="R243" s="18"/>
      <c r="S243" s="74"/>
      <c r="T243" s="74"/>
      <c r="U243" s="74"/>
      <c r="V243" s="74"/>
      <c r="W243" s="74"/>
      <c r="X243" s="74"/>
      <c r="Y243" s="74"/>
      <c r="Z243" s="74"/>
      <c r="AA243" s="152"/>
    </row>
    <row r="244" spans="1:27" hidden="1" outlineLevel="2">
      <c r="A244" s="3"/>
      <c r="B244" s="3"/>
      <c r="C244" s="16"/>
      <c r="D244" s="1594"/>
      <c r="E244" s="61">
        <v>1</v>
      </c>
      <c r="F244" s="17"/>
      <c r="G244" s="17"/>
      <c r="H244" s="1414"/>
      <c r="I244" s="1415">
        <f>IF(A11taxstdlife="n/a","n/a",IF(I$3&gt;(A11taxstdlife+$E244),('RFM input'!$H$71-'RFM input'!$H$125)-SUM($H244:H244),('RFM input'!$H$71-'RFM input'!$H$125)/A11taxstdlife))</f>
        <v>0</v>
      </c>
      <c r="J244" s="18">
        <f>IF(A11taxstdlife="n/a","n/a",IF(J$3&gt;(A11taxstdlife+$E244),('RFM input'!$H$71-'RFM input'!$H$125)-SUM($H244:I244),('RFM input'!$H$71-'RFM input'!$H$125)/A11taxstdlife))</f>
        <v>0</v>
      </c>
      <c r="K244" s="18">
        <f>IF(A11taxstdlife="n/a","n/a",IF(K$3&gt;(A11taxstdlife+$E244),('RFM input'!$H$71-'RFM input'!$H$125)-SUM($H244:J244),('RFM input'!$H$71-'RFM input'!$H$125)/A11taxstdlife))</f>
        <v>0</v>
      </c>
      <c r="L244" s="18">
        <f>IF(A11taxstdlife="n/a","n/a",IF(L$3&gt;(A11taxstdlife+$E244),('RFM input'!$H$71-'RFM input'!$H$125)-SUM($H244:K244),('RFM input'!$H$71-'RFM input'!$H$125)/A11taxstdlife))</f>
        <v>0</v>
      </c>
      <c r="M244" s="18">
        <f>IF(A11taxstdlife="n/a","n/a",IF(M$3&gt;(A11taxstdlife+$E244),('RFM input'!$H$71-'RFM input'!$H$125)-SUM($H244:L244),('RFM input'!$H$71-'RFM input'!$H$125)/A11taxstdlife))</f>
        <v>0</v>
      </c>
      <c r="N244" s="18">
        <f>IF(A11taxstdlife="n/a","n/a",IF(N$3&gt;(A11taxstdlife+$E244),('RFM input'!$H$71-'RFM input'!$H$125)-SUM($H244:M244),('RFM input'!$H$71-'RFM input'!$H$125)/A11taxstdlife))</f>
        <v>0</v>
      </c>
      <c r="O244" s="18">
        <f>IF(A11taxstdlife="n/a","n/a",IF(O$3&gt;(A11taxstdlife+$E244),('RFM input'!$H$71-'RFM input'!$H$125)-SUM($H244:N244),('RFM input'!$H$71-'RFM input'!$H$125)/A11taxstdlife))</f>
        <v>0</v>
      </c>
      <c r="P244" s="18">
        <f>IF(A11taxstdlife="n/a","n/a",IF(P$3&gt;(A11taxstdlife+$E244),('RFM input'!$H$71-'RFM input'!$H$125)-SUM($H244:O244),('RFM input'!$H$71-'RFM input'!$H$125)/A11taxstdlife))</f>
        <v>0</v>
      </c>
      <c r="Q244" s="18">
        <f>IF(A11taxstdlife="n/a","n/a",IF(Q$3&gt;(A11taxstdlife+$E244),('RFM input'!$H$71-'RFM input'!$H$125)-SUM($H244:P244),('RFM input'!$H$71-'RFM input'!$H$125)/A11taxstdlife))</f>
        <v>0</v>
      </c>
      <c r="R244" s="18"/>
      <c r="S244" s="74"/>
      <c r="T244" s="74"/>
      <c r="U244" s="74"/>
      <c r="V244" s="74"/>
      <c r="W244" s="74"/>
      <c r="X244" s="74"/>
      <c r="Y244" s="74"/>
      <c r="Z244" s="74"/>
      <c r="AA244" s="152"/>
    </row>
    <row r="245" spans="1:27" hidden="1" outlineLevel="2">
      <c r="A245" s="3"/>
      <c r="B245" s="3"/>
      <c r="C245" s="16"/>
      <c r="D245" s="1594"/>
      <c r="E245" s="61">
        <v>2</v>
      </c>
      <c r="F245" s="17"/>
      <c r="G245" s="17"/>
      <c r="H245" s="1414"/>
      <c r="I245" s="1414"/>
      <c r="J245" s="18">
        <f>IF(A11taxstdlife="n/a","n/a",IF(J$3&gt;(A11taxstdlife+$E245),('RFM input'!$I$71-'RFM input'!$I$125)-SUM($I245:I245),('RFM input'!$I$71-'RFM input'!$I$125)/A11taxstdlife))</f>
        <v>0</v>
      </c>
      <c r="K245" s="18">
        <f>IF(A11taxstdlife="n/a","n/a",IF(K$3&gt;(A11taxstdlife+$E245),('RFM input'!$I$71-'RFM input'!$I$125)-SUM($I245:J245),('RFM input'!$I$71-'RFM input'!$I$125)/A11taxstdlife))</f>
        <v>0</v>
      </c>
      <c r="L245" s="18">
        <f>IF(A11taxstdlife="n/a","n/a",IF(L$3&gt;(A11taxstdlife+$E245),('RFM input'!$I$71-'RFM input'!$I$125)-SUM($I245:K245),('RFM input'!$I$71-'RFM input'!$I$125)/A11taxstdlife))</f>
        <v>0</v>
      </c>
      <c r="M245" s="18">
        <f>IF(A11taxstdlife="n/a","n/a",IF(M$3&gt;(A11taxstdlife+$E245),('RFM input'!$I$71-'RFM input'!$I$125)-SUM($I245:L245),('RFM input'!$I$71-'RFM input'!$I$125)/A11taxstdlife))</f>
        <v>0</v>
      </c>
      <c r="N245" s="18">
        <f>IF(A11taxstdlife="n/a","n/a",IF(N$3&gt;(A11taxstdlife+$E245),('RFM input'!$I$71-'RFM input'!$I$125)-SUM($I245:M245),('RFM input'!$I$71-'RFM input'!$I$125)/A11taxstdlife))</f>
        <v>0</v>
      </c>
      <c r="O245" s="18">
        <f>IF(A11taxstdlife="n/a","n/a",IF(O$3&gt;(A11taxstdlife+$E245),('RFM input'!$I$71-'RFM input'!$I$125)-SUM($I245:N245),('RFM input'!$I$71-'RFM input'!$I$125)/A11taxstdlife))</f>
        <v>0</v>
      </c>
      <c r="P245" s="18">
        <f>IF(A11taxstdlife="n/a","n/a",IF(P$3&gt;(A11taxstdlife+$E245),('RFM input'!$I$71-'RFM input'!$I$125)-SUM($I245:O245),('RFM input'!$I$71-'RFM input'!$I$125)/A11taxstdlife))</f>
        <v>0</v>
      </c>
      <c r="Q245" s="18">
        <f>IF(A11taxstdlife="n/a","n/a",IF(Q$3&gt;(A11taxstdlife+$E245),('RFM input'!$I$71-'RFM input'!$I$125)-SUM($I245:P245),('RFM input'!$I$71-'RFM input'!$I$125)/A11taxstdlife))</f>
        <v>0</v>
      </c>
      <c r="R245" s="18"/>
      <c r="S245" s="74"/>
      <c r="T245" s="74"/>
      <c r="U245" s="74"/>
      <c r="V245" s="74"/>
      <c r="W245" s="74"/>
      <c r="X245" s="74"/>
      <c r="Y245" s="74"/>
      <c r="Z245" s="74"/>
      <c r="AA245" s="152"/>
    </row>
    <row r="246" spans="1:27" hidden="1" outlineLevel="2">
      <c r="A246" s="3"/>
      <c r="B246" s="3"/>
      <c r="C246" s="16"/>
      <c r="D246" s="1594"/>
      <c r="E246" s="61">
        <v>3</v>
      </c>
      <c r="F246" s="17"/>
      <c r="G246" s="17"/>
      <c r="H246" s="1414"/>
      <c r="I246" s="1414"/>
      <c r="J246" s="116"/>
      <c r="K246" s="18">
        <f>IF(A11taxstdlife="n/a","n/a",IF(K$3&gt;(A11taxstdlife+$E246),('RFM input'!$J$71-'RFM input'!$J$125)-SUM($J246:J246),('RFM input'!$J$71-'RFM input'!$J$125)/A11taxstdlife))</f>
        <v>0</v>
      </c>
      <c r="L246" s="18">
        <f>IF(A11taxstdlife="n/a","n/a",IF(L$3&gt;(A11taxstdlife+$E246),('RFM input'!$J$71-'RFM input'!$J$125)-SUM($J246:K246),('RFM input'!$J$71-'RFM input'!$J$125)/A11taxstdlife))</f>
        <v>0</v>
      </c>
      <c r="M246" s="18">
        <f>IF(A11taxstdlife="n/a","n/a",IF(M$3&gt;(A11taxstdlife+$E246),('RFM input'!$J$71-'RFM input'!$J$125)-SUM($J246:L246),('RFM input'!$J$71-'RFM input'!$J$125)/A11taxstdlife))</f>
        <v>0</v>
      </c>
      <c r="N246" s="18">
        <f>IF(A11taxstdlife="n/a","n/a",IF(N$3&gt;(A11taxstdlife+$E246),('RFM input'!$J$71-'RFM input'!$J$125)-SUM($J246:M246),('RFM input'!$J$71-'RFM input'!$J$125)/A11taxstdlife))</f>
        <v>0</v>
      </c>
      <c r="O246" s="18">
        <f>IF(A11taxstdlife="n/a","n/a",IF(O$3&gt;(A11taxstdlife+$E246),('RFM input'!$J$71-'RFM input'!$J$125)-SUM($J246:N246),('RFM input'!$J$71-'RFM input'!$J$125)/A11taxstdlife))</f>
        <v>0</v>
      </c>
      <c r="P246" s="18">
        <f>IF(A11taxstdlife="n/a","n/a",IF(P$3&gt;(A11taxstdlife+$E246),('RFM input'!$J$71-'RFM input'!$J$125)-SUM($J246:O246),('RFM input'!$J$71-'RFM input'!$J$125)/A11taxstdlife))</f>
        <v>0</v>
      </c>
      <c r="Q246" s="18">
        <f>IF(A11taxstdlife="n/a","n/a",IF(Q$3&gt;(A11taxstdlife+$E246),('RFM input'!$J$71-'RFM input'!$J$125)-SUM($J246:P246),('RFM input'!$J$71-'RFM input'!$J$125)/A11taxstdlife))</f>
        <v>0</v>
      </c>
      <c r="R246" s="18"/>
      <c r="S246" s="74"/>
      <c r="T246" s="74"/>
      <c r="U246" s="74"/>
      <c r="V246" s="74"/>
      <c r="W246" s="74"/>
      <c r="X246" s="74"/>
      <c r="Y246" s="74"/>
      <c r="Z246" s="74"/>
      <c r="AA246" s="152"/>
    </row>
    <row r="247" spans="1:27" hidden="1" outlineLevel="2">
      <c r="A247" s="3"/>
      <c r="B247" s="3"/>
      <c r="C247" s="16"/>
      <c r="D247" s="1594"/>
      <c r="E247" s="61">
        <v>4</v>
      </c>
      <c r="F247" s="17"/>
      <c r="G247" s="17"/>
      <c r="H247" s="1414"/>
      <c r="I247" s="1414"/>
      <c r="J247" s="115"/>
      <c r="K247" s="116"/>
      <c r="L247" s="18">
        <f>IF(A11taxstdlife="n/a","n/a",IF(L$3&gt;(A11taxstdlife+$E247),('RFM input'!$K$71-'RFM input'!$K$125)-SUM($K247:K247),('RFM input'!$K$71-'RFM input'!$K$125)/A11taxstdlife))</f>
        <v>0</v>
      </c>
      <c r="M247" s="18">
        <f>IF(A11taxstdlife="n/a","n/a",IF(M$3&gt;(A11taxstdlife+$E247),('RFM input'!$K$71-'RFM input'!$K$125)-SUM($K247:L247),('RFM input'!$K$71-'RFM input'!$K$125)/A11taxstdlife))</f>
        <v>0</v>
      </c>
      <c r="N247" s="18">
        <f>IF(A11taxstdlife="n/a","n/a",IF(N$3&gt;(A11taxstdlife+$E247),('RFM input'!$K$71-'RFM input'!$K$125)-SUM($K247:M247),('RFM input'!$K$71-'RFM input'!$K$125)/A11taxstdlife))</f>
        <v>0</v>
      </c>
      <c r="O247" s="18">
        <f>IF(A11taxstdlife="n/a","n/a",IF(O$3&gt;(A11taxstdlife+$E247),('RFM input'!$K$71-'RFM input'!$K$125)-SUM($K247:N247),('RFM input'!$K$71-'RFM input'!$K$125)/A11taxstdlife))</f>
        <v>0</v>
      </c>
      <c r="P247" s="18">
        <f>IF(A11taxstdlife="n/a","n/a",IF(P$3&gt;(A11taxstdlife+$E247),('RFM input'!$K$71-'RFM input'!$K$125)-SUM($K247:O247),('RFM input'!$K$71-'RFM input'!$K$125)/A11taxstdlife))</f>
        <v>0</v>
      </c>
      <c r="Q247" s="18">
        <f>IF(A11taxstdlife="n/a","n/a",IF(Q$3&gt;(A11taxstdlife+$E247),('RFM input'!$K$71-'RFM input'!$K$125)-SUM($K247:P247),('RFM input'!$K$71-'RFM input'!$K$125)/A11taxstdlife))</f>
        <v>0</v>
      </c>
      <c r="R247" s="18"/>
      <c r="S247" s="74"/>
      <c r="T247" s="74"/>
      <c r="U247" s="74"/>
      <c r="V247" s="74"/>
      <c r="W247" s="74"/>
      <c r="X247" s="74"/>
      <c r="Y247" s="74"/>
      <c r="Z247" s="74"/>
      <c r="AA247" s="152"/>
    </row>
    <row r="248" spans="1:27" hidden="1" outlineLevel="2">
      <c r="A248" s="3"/>
      <c r="B248" s="3"/>
      <c r="C248" s="16"/>
      <c r="D248" s="1594"/>
      <c r="E248" s="61">
        <v>5</v>
      </c>
      <c r="F248" s="17"/>
      <c r="G248" s="17"/>
      <c r="H248" s="1414"/>
      <c r="I248" s="1414"/>
      <c r="J248" s="115"/>
      <c r="K248" s="115"/>
      <c r="L248" s="116"/>
      <c r="M248" s="18">
        <f>IF(A11taxstdlife="n/a","n/a",IF(M$3&gt;(A11taxstdlife+$E248),('RFM input'!$L$71-'RFM input'!$L$125)-SUM($L248:L248),('RFM input'!$L$71-'RFM input'!$L$125)/A11taxstdlife))</f>
        <v>0</v>
      </c>
      <c r="N248" s="18">
        <f>IF(A11taxstdlife="n/a","n/a",IF(N$3&gt;(A11taxstdlife+$E248),('RFM input'!$L$71-'RFM input'!$L$125)-SUM($L248:M248),('RFM input'!$L$71-'RFM input'!$L$125)/A11taxstdlife))</f>
        <v>0</v>
      </c>
      <c r="O248" s="18">
        <f>IF(A11taxstdlife="n/a","n/a",IF(O$3&gt;(A11taxstdlife+$E248),('RFM input'!$L$71-'RFM input'!$L$125)-SUM($L248:N248),('RFM input'!$L$71-'RFM input'!$L$125)/A11taxstdlife))</f>
        <v>0</v>
      </c>
      <c r="P248" s="18">
        <f>IF(A11taxstdlife="n/a","n/a",IF(P$3&gt;(A11taxstdlife+$E248),('RFM input'!$L$71-'RFM input'!$L$125)-SUM($L248:O248),('RFM input'!$L$71-'RFM input'!$L$125)/A11taxstdlife))</f>
        <v>0</v>
      </c>
      <c r="Q248" s="18">
        <f>IF(A11taxstdlife="n/a","n/a",IF(Q$3&gt;(A11taxstdlife+$E248),('RFM input'!$L$71-'RFM input'!$L$125)-SUM($L248:P248),('RFM input'!$L$71-'RFM input'!$L$125)/A11taxstdlife))</f>
        <v>0</v>
      </c>
      <c r="R248" s="18"/>
      <c r="S248" s="74"/>
      <c r="T248" s="74"/>
      <c r="U248" s="74"/>
      <c r="V248" s="74"/>
      <c r="W248" s="74"/>
      <c r="X248" s="74"/>
      <c r="Y248" s="74"/>
      <c r="Z248" s="74"/>
      <c r="AA248" s="152"/>
    </row>
    <row r="249" spans="1:27" hidden="1" outlineLevel="2">
      <c r="A249" s="3"/>
      <c r="B249" s="3"/>
      <c r="C249" s="16"/>
      <c r="D249" s="1594"/>
      <c r="E249" s="61">
        <v>6</v>
      </c>
      <c r="F249" s="17"/>
      <c r="G249" s="17"/>
      <c r="H249" s="1414"/>
      <c r="I249" s="1414"/>
      <c r="J249" s="115"/>
      <c r="K249" s="115"/>
      <c r="L249" s="115"/>
      <c r="M249" s="116"/>
      <c r="N249" s="18">
        <f>IF(A11taxstdlife="n/a","n/a",IF(N$3&gt;(A11taxstdlife+$E249),('RFM input'!$M$71-'RFM input'!$M$125)-SUM($M249:M249),('RFM input'!$M$71-'RFM input'!$M$125)/A11taxstdlife))</f>
        <v>0</v>
      </c>
      <c r="O249" s="18">
        <f>IF(A11taxstdlife="n/a","n/a",IF(O$3&gt;(A11taxstdlife+$E249),('RFM input'!$M$71-'RFM input'!$M$125)-SUM($M249:N249),('RFM input'!$M$71-'RFM input'!$M$125)/A11taxstdlife))</f>
        <v>0</v>
      </c>
      <c r="P249" s="18">
        <f>IF(A11taxstdlife="n/a","n/a",IF(P$3&gt;(A11taxstdlife+$E249),('RFM input'!$M$71-'RFM input'!$M$125)-SUM($M249:O249),('RFM input'!$M$71-'RFM input'!$M$125)/A11taxstdlife))</f>
        <v>0</v>
      </c>
      <c r="Q249" s="18">
        <f>IF(A11taxstdlife="n/a","n/a",IF(Q$3&gt;(A11taxstdlife+$E249),('RFM input'!$M$71-'RFM input'!$M$125)-SUM($M249:P249),('RFM input'!$M$71-'RFM input'!$M$125)/A11taxstdlife))</f>
        <v>0</v>
      </c>
      <c r="R249" s="18"/>
      <c r="S249" s="74"/>
      <c r="T249" s="74"/>
      <c r="U249" s="74"/>
      <c r="V249" s="74"/>
      <c r="W249" s="74"/>
      <c r="X249" s="74"/>
      <c r="Y249" s="74"/>
      <c r="Z249" s="74"/>
      <c r="AA249" s="152"/>
    </row>
    <row r="250" spans="1:27" hidden="1" outlineLevel="2">
      <c r="A250" s="3"/>
      <c r="B250" s="3"/>
      <c r="C250" s="16"/>
      <c r="D250" s="1594"/>
      <c r="E250" s="61">
        <v>7</v>
      </c>
      <c r="F250" s="17"/>
      <c r="G250" s="17"/>
      <c r="H250" s="1414"/>
      <c r="I250" s="1414"/>
      <c r="J250" s="115"/>
      <c r="K250" s="115"/>
      <c r="L250" s="115"/>
      <c r="M250" s="115"/>
      <c r="N250" s="116"/>
      <c r="O250" s="18">
        <f>IF(A11taxstdlife="n/a","n/a",IF(O$3&gt;(A11taxstdlife+$E250),('RFM input'!$N$71-'RFM input'!$N$125)-SUM($N250:N250),('RFM input'!$N$71-'RFM input'!$N$125)/A11taxstdlife))</f>
        <v>0</v>
      </c>
      <c r="P250" s="18">
        <f>IF(A11taxstdlife="n/a","n/a",IF(P$3&gt;(A11taxstdlife+$E250),('RFM input'!$N$71-'RFM input'!$N$125)-SUM($N250:O250),('RFM input'!$N$71-'RFM input'!$N$125)/A11taxstdlife))</f>
        <v>0</v>
      </c>
      <c r="Q250" s="18">
        <f>IF(A11taxstdlife="n/a","n/a",IF(Q$3&gt;(A11taxstdlife+$E250),('RFM input'!$N$71-'RFM input'!$N$125)-SUM($N250:P250),('RFM input'!$N$71-'RFM input'!$N$125)/A11taxstdlife))</f>
        <v>0</v>
      </c>
      <c r="R250" s="18"/>
      <c r="S250" s="74"/>
      <c r="T250" s="74"/>
      <c r="U250" s="74"/>
      <c r="V250" s="74"/>
      <c r="W250" s="74"/>
      <c r="X250" s="74"/>
      <c r="Y250" s="74"/>
      <c r="Z250" s="74"/>
      <c r="AA250" s="152"/>
    </row>
    <row r="251" spans="1:27" hidden="1" outlineLevel="2">
      <c r="A251" s="3"/>
      <c r="B251" s="3"/>
      <c r="C251" s="16"/>
      <c r="D251" s="1594"/>
      <c r="E251" s="61">
        <v>8</v>
      </c>
      <c r="F251" s="17"/>
      <c r="G251" s="17"/>
      <c r="H251" s="1414"/>
      <c r="I251" s="1414"/>
      <c r="J251" s="115"/>
      <c r="K251" s="115"/>
      <c r="L251" s="115"/>
      <c r="M251" s="115"/>
      <c r="N251" s="115"/>
      <c r="O251" s="116"/>
      <c r="P251" s="18">
        <f>IF(A11taxstdlife="n/a","n/a",IF(P$3&gt;(A11taxstdlife+$E251),('RFM input'!$O$71-'RFM input'!$O$125)-SUM($O251:O251),('RFM input'!$O$71-'RFM input'!$O$125)/A11taxstdlife))</f>
        <v>0</v>
      </c>
      <c r="Q251" s="18">
        <f>IF(A11taxstdlife="n/a","n/a",IF(Q$3&gt;(A11taxstdlife+$E251),('RFM input'!$O$71-'RFM input'!$O$125)-SUM($O251:P251),('RFM input'!$O$71-'RFM input'!$O$125)/A11taxstdlife))</f>
        <v>0</v>
      </c>
      <c r="R251" s="18"/>
      <c r="S251" s="74"/>
      <c r="T251" s="74"/>
      <c r="U251" s="74"/>
      <c r="V251" s="74"/>
      <c r="W251" s="74"/>
      <c r="X251" s="74"/>
      <c r="Y251" s="74"/>
      <c r="Z251" s="74"/>
      <c r="AA251" s="152"/>
    </row>
    <row r="252" spans="1:27" hidden="1" outlineLevel="2">
      <c r="A252" s="3"/>
      <c r="B252" s="3"/>
      <c r="C252" s="16"/>
      <c r="D252" s="1594"/>
      <c r="E252" s="61">
        <v>9</v>
      </c>
      <c r="F252" s="17"/>
      <c r="G252" s="17"/>
      <c r="H252" s="1414"/>
      <c r="I252" s="1414"/>
      <c r="J252" s="115"/>
      <c r="K252" s="115"/>
      <c r="L252" s="115"/>
      <c r="M252" s="115"/>
      <c r="N252" s="115"/>
      <c r="O252" s="115"/>
      <c r="P252" s="116"/>
      <c r="Q252" s="18">
        <f>IF(A11taxstdlife="n/a","n/a",IF(Q$3&gt;(A11taxstdlife+$E252),('RFM input'!$P$71-'RFM input'!$P$125)-SUM($P252:P252),('RFM input'!$P$71-'RFM input'!$P$125)/A11taxstdlife))</f>
        <v>0</v>
      </c>
      <c r="R252" s="18"/>
      <c r="S252" s="74"/>
      <c r="T252" s="74"/>
      <c r="U252" s="74"/>
      <c r="V252" s="74"/>
      <c r="W252" s="74"/>
      <c r="X252" s="74"/>
      <c r="Y252" s="74"/>
      <c r="Z252" s="74"/>
      <c r="AA252" s="152"/>
    </row>
    <row r="253" spans="1:27" hidden="1" outlineLevel="2">
      <c r="A253" s="3"/>
      <c r="B253" s="3"/>
      <c r="C253" s="16"/>
      <c r="D253" s="1594"/>
      <c r="E253" s="62">
        <v>10</v>
      </c>
      <c r="F253" s="17"/>
      <c r="G253" s="17"/>
      <c r="H253" s="1414"/>
      <c r="I253" s="1414"/>
      <c r="J253" s="115"/>
      <c r="K253" s="115"/>
      <c r="L253" s="115"/>
      <c r="M253" s="115"/>
      <c r="N253" s="115"/>
      <c r="O253" s="115"/>
      <c r="P253" s="115"/>
      <c r="Q253" s="116"/>
      <c r="R253" s="18"/>
      <c r="S253" s="74"/>
      <c r="T253" s="74"/>
      <c r="U253" s="74"/>
      <c r="V253" s="74"/>
      <c r="W253" s="74"/>
      <c r="X253" s="74"/>
      <c r="Y253" s="74"/>
      <c r="Z253" s="74"/>
      <c r="AA253" s="152"/>
    </row>
    <row r="254" spans="1:27" hidden="1" outlineLevel="1">
      <c r="A254" s="3"/>
      <c r="B254" s="3"/>
      <c r="C254" s="134">
        <f>Asset11</f>
        <v>0</v>
      </c>
      <c r="D254" s="3"/>
      <c r="E254" s="3"/>
      <c r="F254" s="14"/>
      <c r="G254" s="14"/>
      <c r="H254" s="1460">
        <f>IF('RFM input'!$G$354="Tracked",-1*INDEX('RFM input'!H$358:H$407,MATCH('TAB roll forward'!$C254,'RFM input'!$E$358:$E$407,0)),-SUM(H242:H253))</f>
        <v>0</v>
      </c>
      <c r="I254" s="1460">
        <f>IF('RFM input'!$G$354="Tracked",-1*INDEX('RFM input'!I$358:I$407,MATCH('TAB roll forward'!$C254,'RFM input'!$E$358:$E$407,0)),-SUM(I242:I253))</f>
        <v>0</v>
      </c>
      <c r="J254" s="1460">
        <f>IF(COUNT($H254:I254)&gt;='RFM input'!$V$7,0,IF('RFM input'!$G$354="Tracked",-1*INDEX('RFM input'!J$358:J$407,MATCH('TAB roll forward'!$C254,'RFM input'!$E$358:$E$407,0)),-SUM(J242:J253)))</f>
        <v>0</v>
      </c>
      <c r="K254" s="1460">
        <f>IF(COUNT($H254:J254)&gt;='RFM input'!$V$7,0,IF('RFM input'!$G$354="Tracked",-1*INDEX('RFM input'!K$358:K$407,MATCH('TAB roll forward'!$C254,'RFM input'!$E$358:$E$407,0)),-SUM(K242:K253)))</f>
        <v>0</v>
      </c>
      <c r="L254" s="1460">
        <f>IF(COUNT($H254:K254)&gt;='RFM input'!$V$7,0,IF('RFM input'!$G$354="Tracked",-1*INDEX('RFM input'!L$358:L$407,MATCH('TAB roll forward'!$C254,'RFM input'!$E$358:$E$407,0)),-SUM(L242:L253)))</f>
        <v>0</v>
      </c>
      <c r="M254" s="1460">
        <f>IF(COUNT($H254:L254)&gt;='RFM input'!$V$7,0,IF('RFM input'!$G$354="Tracked",-1*INDEX('RFM input'!M$358:M$407,MATCH('TAB roll forward'!$C254,'RFM input'!$E$358:$E$407,0)),-SUM(M242:M253)))</f>
        <v>0</v>
      </c>
      <c r="N254" s="1460">
        <f>IF(COUNT($H254:M254)&gt;='RFM input'!$V$7,0,IF('RFM input'!$G$354="Tracked",-1*INDEX('RFM input'!N$358:N$407,MATCH('TAB roll forward'!$C254,'RFM input'!$E$358:$E$407,0)),-SUM(N242:N253)))</f>
        <v>0</v>
      </c>
      <c r="O254" s="1460">
        <f>IF(COUNT($H254:N254)&gt;='RFM input'!$V$7,0,IF('RFM input'!$G$354="Tracked",-1*INDEX('RFM input'!O$358:O$407,MATCH('TAB roll forward'!$C254,'RFM input'!$E$358:$E$407,0)),-SUM(O242:O253)))</f>
        <v>0</v>
      </c>
      <c r="P254" s="1460">
        <f>IF(COUNT($H254:O254)&gt;='RFM input'!$V$7,0,IF('RFM input'!$G$354="Tracked",-1*INDEX('RFM input'!P$358:P$407,MATCH('TAB roll forward'!$C254,'RFM input'!$E$358:$E$407,0)),-SUM(P242:P253)))</f>
        <v>0</v>
      </c>
      <c r="Q254" s="1460">
        <f>IF(COUNT($H254:P254)&gt;='RFM input'!$V$7,0,IF('RFM input'!$G$354="Tracked",-1*INDEX('RFM input'!Q$358:Q$407,MATCH('TAB roll forward'!$C254,'RFM input'!$E$358:$E$407,0)),-SUM(Q242:Q253)))</f>
        <v>0</v>
      </c>
      <c r="R254" s="1382"/>
      <c r="S254" s="73"/>
      <c r="T254" s="73"/>
      <c r="U254" s="73"/>
      <c r="V254" s="73"/>
      <c r="W254" s="73"/>
      <c r="X254" s="73"/>
      <c r="Y254" s="73"/>
      <c r="Z254" s="73"/>
      <c r="AA254" s="152"/>
    </row>
    <row r="255" spans="1:27" hidden="1" outlineLevel="2">
      <c r="A255" s="3"/>
      <c r="B255" s="135">
        <f>Asset12</f>
        <v>0</v>
      </c>
      <c r="C255" s="19"/>
      <c r="D255" s="234" t="s">
        <v>119</v>
      </c>
      <c r="E255" s="19"/>
      <c r="F255" s="148"/>
      <c r="G255" s="148"/>
      <c r="H255" s="21">
        <f>IF(H$3&gt;A12taxremlife,A12taxvalue-SUM($F255:F255),IF(A12taxremlife="N/A","n/a",A12taxvalue/A12taxremlife))</f>
        <v>0</v>
      </c>
      <c r="I255" s="21">
        <f>IF(I$3&gt;A12taxremlife,A12taxvalue-SUM($F255:H255),IF(A12taxremlife="N/A","n/a",A12taxvalue/A12taxremlife))</f>
        <v>0</v>
      </c>
      <c r="J255" s="21">
        <f>IF(J$3&gt;A12taxremlife,A12taxvalue-SUM($F255:I255),IF(A12taxremlife="N/A","n/a",A12taxvalue/A12taxremlife))</f>
        <v>0</v>
      </c>
      <c r="K255" s="21">
        <f>IF(K$3&gt;A12taxremlife,A12taxvalue-SUM($F255:J255),IF(A12taxremlife="N/A","n/a",A12taxvalue/A12taxremlife))</f>
        <v>0</v>
      </c>
      <c r="L255" s="21">
        <f>IF(L$3&gt;A12taxremlife,A12taxvalue-SUM($F255:K255),IF(A12taxremlife="N/A","n/a",A12taxvalue/A12taxremlife))</f>
        <v>0</v>
      </c>
      <c r="M255" s="21">
        <f>IF(M$3&gt;A12taxremlife,A12taxvalue-SUM($F255:L255),IF(A12taxremlife="N/A","n/a",A12taxvalue/A12taxremlife))</f>
        <v>0</v>
      </c>
      <c r="N255" s="21">
        <f>IF(N$3&gt;A12taxremlife,A12taxvalue-SUM($F255:M255),IF(A12taxremlife="N/A","n/a",A12taxvalue/A12taxremlife))</f>
        <v>0</v>
      </c>
      <c r="O255" s="21">
        <f>IF(O$3&gt;A12taxremlife,A12taxvalue-SUM($F255:N255),IF(A12taxremlife="N/A","n/a",A12taxvalue/A12taxremlife))</f>
        <v>0</v>
      </c>
      <c r="P255" s="21">
        <f>IF(P$3&gt;A12taxremlife,A12taxvalue-SUM($F255:O255),IF(A12taxremlife="N/A","n/a",A12taxvalue/A12taxremlife))</f>
        <v>0</v>
      </c>
      <c r="Q255" s="21">
        <f>IF(Q$3&gt;A12taxremlife,A12taxvalue-SUM($F255:P255),IF(A12taxremlife="N/A","n/a",A12taxvalue/A12taxremlife))</f>
        <v>0</v>
      </c>
      <c r="R255" s="21"/>
      <c r="S255" s="74"/>
      <c r="T255" s="74"/>
      <c r="U255" s="74"/>
      <c r="V255" s="74"/>
      <c r="W255" s="74"/>
      <c r="X255" s="74"/>
      <c r="Y255" s="74"/>
      <c r="Z255" s="74"/>
      <c r="AA255" s="152"/>
    </row>
    <row r="256" spans="1:27" ht="12.75" hidden="1" customHeight="1" outlineLevel="2">
      <c r="A256" s="3"/>
      <c r="B256" s="3"/>
      <c r="C256" s="16"/>
      <c r="D256" s="1593" t="s">
        <v>43</v>
      </c>
      <c r="E256" s="61"/>
      <c r="F256" s="17"/>
      <c r="G256" s="17"/>
      <c r="H256" s="1413"/>
      <c r="I256" s="72"/>
      <c r="J256" s="18"/>
      <c r="K256" s="18"/>
      <c r="L256" s="18"/>
      <c r="M256" s="18"/>
      <c r="N256" s="18"/>
      <c r="O256" s="18"/>
      <c r="P256" s="18"/>
      <c r="Q256" s="18"/>
      <c r="R256" s="18"/>
      <c r="S256" s="74"/>
      <c r="T256" s="74"/>
      <c r="U256" s="74"/>
      <c r="V256" s="74"/>
      <c r="W256" s="74"/>
      <c r="X256" s="74"/>
      <c r="Y256" s="74"/>
      <c r="Z256" s="74"/>
      <c r="AA256" s="152"/>
    </row>
    <row r="257" spans="1:27" hidden="1" outlineLevel="2">
      <c r="A257" s="3"/>
      <c r="B257" s="3"/>
      <c r="C257" s="16"/>
      <c r="D257" s="1594"/>
      <c r="E257" s="61">
        <v>1</v>
      </c>
      <c r="F257" s="17"/>
      <c r="G257" s="17"/>
      <c r="H257" s="1414"/>
      <c r="I257" s="1415">
        <f>IF(A12taxstdlife="n/a","n/a",IF(I$3&gt;(A12taxstdlife+$E257),('RFM input'!$H$72-'RFM input'!$H$126)-SUM($H257:H257),('RFM input'!$H$72-'RFM input'!$H$126)/A12taxstdlife))</f>
        <v>0</v>
      </c>
      <c r="J257" s="18">
        <f>IF(A12taxstdlife="n/a","n/a",IF(J$3&gt;(A12taxstdlife+$E257),('RFM input'!$H$72-'RFM input'!$H$126)-SUM($H257:I257),('RFM input'!$H$72-'RFM input'!$H$126)/A12taxstdlife))</f>
        <v>0</v>
      </c>
      <c r="K257" s="18">
        <f>IF(A12taxstdlife="n/a","n/a",IF(K$3&gt;(A12taxstdlife+$E257),('RFM input'!$H$72-'RFM input'!$H$126)-SUM($H257:J257),('RFM input'!$H$72-'RFM input'!$H$126)/A12taxstdlife))</f>
        <v>0</v>
      </c>
      <c r="L257" s="18">
        <f>IF(A12taxstdlife="n/a","n/a",IF(L$3&gt;(A12taxstdlife+$E257),('RFM input'!$H$72-'RFM input'!$H$126)-SUM($H257:K257),('RFM input'!$H$72-'RFM input'!$H$126)/A12taxstdlife))</f>
        <v>0</v>
      </c>
      <c r="M257" s="18">
        <f>IF(A12taxstdlife="n/a","n/a",IF(M$3&gt;(A12taxstdlife+$E257),('RFM input'!$H$72-'RFM input'!$H$126)-SUM($H257:L257),('RFM input'!$H$72-'RFM input'!$H$126)/A12taxstdlife))</f>
        <v>0</v>
      </c>
      <c r="N257" s="18">
        <f>IF(A12taxstdlife="n/a","n/a",IF(N$3&gt;(A12taxstdlife+$E257),('RFM input'!$H$72-'RFM input'!$H$126)-SUM($H257:M257),('RFM input'!$H$72-'RFM input'!$H$126)/A12taxstdlife))</f>
        <v>0</v>
      </c>
      <c r="O257" s="18">
        <f>IF(A12taxstdlife="n/a","n/a",IF(O$3&gt;(A12taxstdlife+$E257),('RFM input'!$H$72-'RFM input'!$H$126)-SUM($H257:N257),('RFM input'!$H$72-'RFM input'!$H$126)/A12taxstdlife))</f>
        <v>0</v>
      </c>
      <c r="P257" s="18">
        <f>IF(A12taxstdlife="n/a","n/a",IF(P$3&gt;(A12taxstdlife+$E257),('RFM input'!$H$72-'RFM input'!$H$126)-SUM($H257:O257),('RFM input'!$H$72-'RFM input'!$H$126)/A12taxstdlife))</f>
        <v>0</v>
      </c>
      <c r="Q257" s="18">
        <f>IF(A12taxstdlife="n/a","n/a",IF(Q$3&gt;(A12taxstdlife+$E257),('RFM input'!$H$72-'RFM input'!$H$126)-SUM($H257:P257),('RFM input'!$H$72-'RFM input'!$H$126)/A12taxstdlife))</f>
        <v>0</v>
      </c>
      <c r="R257" s="18"/>
      <c r="S257" s="74"/>
      <c r="T257" s="74"/>
      <c r="U257" s="74"/>
      <c r="V257" s="74"/>
      <c r="W257" s="74"/>
      <c r="X257" s="74"/>
      <c r="Y257" s="74"/>
      <c r="Z257" s="74"/>
      <c r="AA257" s="152"/>
    </row>
    <row r="258" spans="1:27" hidden="1" outlineLevel="2">
      <c r="A258" s="3"/>
      <c r="B258" s="3"/>
      <c r="C258" s="16"/>
      <c r="D258" s="1594"/>
      <c r="E258" s="61">
        <v>2</v>
      </c>
      <c r="F258" s="17"/>
      <c r="G258" s="17"/>
      <c r="H258" s="1414"/>
      <c r="I258" s="1414"/>
      <c r="J258" s="18">
        <f>IF(A12taxstdlife="n/a","n/a",IF(J$3&gt;(A12taxstdlife+$E258),('RFM input'!$I$72-'RFM input'!$I$126)-SUM($I258:I258),('RFM input'!$I$72-'RFM input'!$I$126)/A12taxstdlife))</f>
        <v>0</v>
      </c>
      <c r="K258" s="18">
        <f>IF(A12taxstdlife="n/a","n/a",IF(K$3&gt;(A12taxstdlife+$E258),('RFM input'!$I$72-'RFM input'!$I$126)-SUM($I258:J258),('RFM input'!$I$72-'RFM input'!$I$126)/A12taxstdlife))</f>
        <v>0</v>
      </c>
      <c r="L258" s="18">
        <f>IF(A12taxstdlife="n/a","n/a",IF(L$3&gt;(A12taxstdlife+$E258),('RFM input'!$I$72-'RFM input'!$I$126)-SUM($I258:K258),('RFM input'!$I$72-'RFM input'!$I$126)/A12taxstdlife))</f>
        <v>0</v>
      </c>
      <c r="M258" s="18">
        <f>IF(A12taxstdlife="n/a","n/a",IF(M$3&gt;(A12taxstdlife+$E258),('RFM input'!$I$72-'RFM input'!$I$126)-SUM($I258:L258),('RFM input'!$I$72-'RFM input'!$I$126)/A12taxstdlife))</f>
        <v>0</v>
      </c>
      <c r="N258" s="18">
        <f>IF(A12taxstdlife="n/a","n/a",IF(N$3&gt;(A12taxstdlife+$E258),('RFM input'!$I$72-'RFM input'!$I$126)-SUM($I258:M258),('RFM input'!$I$72-'RFM input'!$I$126)/A12taxstdlife))</f>
        <v>0</v>
      </c>
      <c r="O258" s="18">
        <f>IF(A12taxstdlife="n/a","n/a",IF(O$3&gt;(A12taxstdlife+$E258),('RFM input'!$I$72-'RFM input'!$I$126)-SUM($I258:N258),('RFM input'!$I$72-'RFM input'!$I$126)/A12taxstdlife))</f>
        <v>0</v>
      </c>
      <c r="P258" s="18">
        <f>IF(A12taxstdlife="n/a","n/a",IF(P$3&gt;(A12taxstdlife+$E258),('RFM input'!$I$72-'RFM input'!$I$126)-SUM($I258:O258),('RFM input'!$I$72-'RFM input'!$I$126)/A12taxstdlife))</f>
        <v>0</v>
      </c>
      <c r="Q258" s="18">
        <f>IF(A12taxstdlife="n/a","n/a",IF(Q$3&gt;(A12taxstdlife+$E258),('RFM input'!$I$72-'RFM input'!$I$126)-SUM($I258:P258),('RFM input'!$I$72-'RFM input'!$I$126)/A12taxstdlife))</f>
        <v>0</v>
      </c>
      <c r="R258" s="18"/>
      <c r="S258" s="74"/>
      <c r="T258" s="74"/>
      <c r="U258" s="74"/>
      <c r="V258" s="74"/>
      <c r="W258" s="74"/>
      <c r="X258" s="74"/>
      <c r="Y258" s="74"/>
      <c r="Z258" s="74"/>
      <c r="AA258" s="152"/>
    </row>
    <row r="259" spans="1:27" hidden="1" outlineLevel="2">
      <c r="A259" s="3"/>
      <c r="B259" s="3"/>
      <c r="C259" s="16"/>
      <c r="D259" s="1594"/>
      <c r="E259" s="61">
        <v>3</v>
      </c>
      <c r="F259" s="17"/>
      <c r="G259" s="17"/>
      <c r="H259" s="1414"/>
      <c r="I259" s="1414"/>
      <c r="J259" s="116"/>
      <c r="K259" s="18">
        <f>IF(A12taxstdlife="n/a","n/a",IF(K$3&gt;(A12taxstdlife+$E259),('RFM input'!$J$72-'RFM input'!$J$126)-SUM($J259:J259),('RFM input'!$J$72-'RFM input'!$J$126)/A12taxstdlife))</f>
        <v>0</v>
      </c>
      <c r="L259" s="18">
        <f>IF(A12taxstdlife="n/a","n/a",IF(L$3&gt;(A12taxstdlife+$E259),('RFM input'!$J$72-'RFM input'!$J$126)-SUM($J259:K259),('RFM input'!$J$72-'RFM input'!$J$126)/A12taxstdlife))</f>
        <v>0</v>
      </c>
      <c r="M259" s="18">
        <f>IF(A12taxstdlife="n/a","n/a",IF(M$3&gt;(A12taxstdlife+$E259),('RFM input'!$J$72-'RFM input'!$J$126)-SUM($J259:L259),('RFM input'!$J$72-'RFM input'!$J$126)/A12taxstdlife))</f>
        <v>0</v>
      </c>
      <c r="N259" s="18">
        <f>IF(A12taxstdlife="n/a","n/a",IF(N$3&gt;(A12taxstdlife+$E259),('RFM input'!$J$72-'RFM input'!$J$126)-SUM($J259:M259),('RFM input'!$J$72-'RFM input'!$J$126)/A12taxstdlife))</f>
        <v>0</v>
      </c>
      <c r="O259" s="18">
        <f>IF(A12taxstdlife="n/a","n/a",IF(O$3&gt;(A12taxstdlife+$E259),('RFM input'!$J$72-'RFM input'!$J$126)-SUM($J259:N259),('RFM input'!$J$72-'RFM input'!$J$126)/A12taxstdlife))</f>
        <v>0</v>
      </c>
      <c r="P259" s="18">
        <f>IF(A12taxstdlife="n/a","n/a",IF(P$3&gt;(A12taxstdlife+$E259),('RFM input'!$J$72-'RFM input'!$J$126)-SUM($J259:O259),('RFM input'!$J$72-'RFM input'!$J$126)/A12taxstdlife))</f>
        <v>0</v>
      </c>
      <c r="Q259" s="18">
        <f>IF(A12taxstdlife="n/a","n/a",IF(Q$3&gt;(A12taxstdlife+$E259),('RFM input'!$J$72-'RFM input'!$J$126)-SUM($J259:P259),('RFM input'!$J$72-'RFM input'!$J$126)/A12taxstdlife))</f>
        <v>0</v>
      </c>
      <c r="R259" s="18"/>
      <c r="S259" s="74"/>
      <c r="T259" s="74"/>
      <c r="U259" s="74"/>
      <c r="V259" s="74"/>
      <c r="W259" s="74"/>
      <c r="X259" s="74"/>
      <c r="Y259" s="74"/>
      <c r="Z259" s="74"/>
      <c r="AA259" s="152"/>
    </row>
    <row r="260" spans="1:27" hidden="1" outlineLevel="2">
      <c r="A260" s="3"/>
      <c r="B260" s="3"/>
      <c r="C260" s="16"/>
      <c r="D260" s="1594"/>
      <c r="E260" s="61">
        <v>4</v>
      </c>
      <c r="F260" s="17"/>
      <c r="G260" s="17"/>
      <c r="H260" s="1414"/>
      <c r="I260" s="1414"/>
      <c r="J260" s="115"/>
      <c r="K260" s="116"/>
      <c r="L260" s="18">
        <f>IF(A12taxstdlife="n/a","n/a",IF(L$3&gt;(A12taxstdlife+$E260),('RFM input'!$K$72-'RFM input'!$K$126)-SUM($K260:K260),('RFM input'!$K$72-'RFM input'!$K$126)/A12taxstdlife))</f>
        <v>0</v>
      </c>
      <c r="M260" s="18">
        <f>IF(A12taxstdlife="n/a","n/a",IF(M$3&gt;(A12taxstdlife+$E260),('RFM input'!$K$72-'RFM input'!$K$126)-SUM($K260:L260),('RFM input'!$K$72-'RFM input'!$K$126)/A12taxstdlife))</f>
        <v>0</v>
      </c>
      <c r="N260" s="18">
        <f>IF(A12taxstdlife="n/a","n/a",IF(N$3&gt;(A12taxstdlife+$E260),('RFM input'!$K$72-'RFM input'!$K$126)-SUM($K260:M260),('RFM input'!$K$72-'RFM input'!$K$126)/A12taxstdlife))</f>
        <v>0</v>
      </c>
      <c r="O260" s="18">
        <f>IF(A12taxstdlife="n/a","n/a",IF(O$3&gt;(A12taxstdlife+$E260),('RFM input'!$K$72-'RFM input'!$K$126)-SUM($K260:N260),('RFM input'!$K$72-'RFM input'!$K$126)/A12taxstdlife))</f>
        <v>0</v>
      </c>
      <c r="P260" s="18">
        <f>IF(A12taxstdlife="n/a","n/a",IF(P$3&gt;(A12taxstdlife+$E260),('RFM input'!$K$72-'RFM input'!$K$126)-SUM($K260:O260),('RFM input'!$K$72-'RFM input'!$K$126)/A12taxstdlife))</f>
        <v>0</v>
      </c>
      <c r="Q260" s="18">
        <f>IF(A12taxstdlife="n/a","n/a",IF(Q$3&gt;(A12taxstdlife+$E260),('RFM input'!$K$72-'RFM input'!$K$126)-SUM($K260:P260),('RFM input'!$K$72-'RFM input'!$K$126)/A12taxstdlife))</f>
        <v>0</v>
      </c>
      <c r="R260" s="18"/>
      <c r="S260" s="74"/>
      <c r="T260" s="74"/>
      <c r="U260" s="74"/>
      <c r="V260" s="74"/>
      <c r="W260" s="74"/>
      <c r="X260" s="74"/>
      <c r="Y260" s="74"/>
      <c r="Z260" s="74"/>
      <c r="AA260" s="152"/>
    </row>
    <row r="261" spans="1:27" hidden="1" outlineLevel="2">
      <c r="A261" s="3"/>
      <c r="B261" s="3"/>
      <c r="C261" s="16"/>
      <c r="D261" s="1594"/>
      <c r="E261" s="61">
        <v>5</v>
      </c>
      <c r="F261" s="17"/>
      <c r="G261" s="17"/>
      <c r="H261" s="1414"/>
      <c r="I261" s="1414"/>
      <c r="J261" s="115"/>
      <c r="K261" s="115"/>
      <c r="L261" s="116"/>
      <c r="M261" s="18">
        <f>IF(A12taxstdlife="n/a","n/a",IF(M$3&gt;(A12taxstdlife+$E261),('RFM input'!$L$72-'RFM input'!$L$126)-SUM($L261:L261),('RFM input'!$L$72-'RFM input'!$L$126)/A12taxstdlife))</f>
        <v>0</v>
      </c>
      <c r="N261" s="18">
        <f>IF(A12taxstdlife="n/a","n/a",IF(N$3&gt;(A12taxstdlife+$E261),('RFM input'!$L$72-'RFM input'!$L$126)-SUM($L261:M261),('RFM input'!$L$72-'RFM input'!$L$126)/A12taxstdlife))</f>
        <v>0</v>
      </c>
      <c r="O261" s="18">
        <f>IF(A12taxstdlife="n/a","n/a",IF(O$3&gt;(A12taxstdlife+$E261),('RFM input'!$L$72-'RFM input'!$L$126)-SUM($L261:N261),('RFM input'!$L$72-'RFM input'!$L$126)/A12taxstdlife))</f>
        <v>0</v>
      </c>
      <c r="P261" s="18">
        <f>IF(A12taxstdlife="n/a","n/a",IF(P$3&gt;(A12taxstdlife+$E261),('RFM input'!$L$72-'RFM input'!$L$126)-SUM($L261:O261),('RFM input'!$L$72-'RFM input'!$L$126)/A12taxstdlife))</f>
        <v>0</v>
      </c>
      <c r="Q261" s="18">
        <f>IF(A12taxstdlife="n/a","n/a",IF(Q$3&gt;(A12taxstdlife+$E261),('RFM input'!$L$72-'RFM input'!$L$126)-SUM($L261:P261),('RFM input'!$L$72-'RFM input'!$L$126)/A12taxstdlife))</f>
        <v>0</v>
      </c>
      <c r="R261" s="18"/>
      <c r="S261" s="74"/>
      <c r="T261" s="74"/>
      <c r="U261" s="74"/>
      <c r="V261" s="74"/>
      <c r="W261" s="74"/>
      <c r="X261" s="74"/>
      <c r="Y261" s="74"/>
      <c r="Z261" s="74"/>
      <c r="AA261" s="152"/>
    </row>
    <row r="262" spans="1:27" hidden="1" outlineLevel="2">
      <c r="A262" s="3"/>
      <c r="B262" s="3"/>
      <c r="C262" s="16"/>
      <c r="D262" s="1594"/>
      <c r="E262" s="61">
        <v>6</v>
      </c>
      <c r="F262" s="17"/>
      <c r="G262" s="17"/>
      <c r="H262" s="1414"/>
      <c r="I262" s="1414"/>
      <c r="J262" s="115"/>
      <c r="K262" s="115"/>
      <c r="L262" s="115"/>
      <c r="M262" s="116"/>
      <c r="N262" s="18">
        <f>IF(A12taxstdlife="n/a","n/a",IF(N$3&gt;(A12taxstdlife+$E262),('RFM input'!$M$72-'RFM input'!$M$126)-SUM($M262:M262),('RFM input'!$M$72-'RFM input'!$M$126)/A12taxstdlife))</f>
        <v>0</v>
      </c>
      <c r="O262" s="18">
        <f>IF(A12taxstdlife="n/a","n/a",IF(O$3&gt;(A12taxstdlife+$E262),('RFM input'!$M$72-'RFM input'!$M$126)-SUM($M262:N262),('RFM input'!$M$72-'RFM input'!$M$126)/A12taxstdlife))</f>
        <v>0</v>
      </c>
      <c r="P262" s="18">
        <f>IF(A12taxstdlife="n/a","n/a",IF(P$3&gt;(A12taxstdlife+$E262),('RFM input'!$M$72-'RFM input'!$M$126)-SUM($M262:O262),('RFM input'!$M$72-'RFM input'!$M$126)/A12taxstdlife))</f>
        <v>0</v>
      </c>
      <c r="Q262" s="18">
        <f>IF(A12taxstdlife="n/a","n/a",IF(Q$3&gt;(A12taxstdlife+$E262),('RFM input'!$M$72-'RFM input'!$M$126)-SUM($M262:P262),('RFM input'!$M$72-'RFM input'!$M$126)/A12taxstdlife))</f>
        <v>0</v>
      </c>
      <c r="R262" s="18"/>
      <c r="S262" s="74"/>
      <c r="T262" s="74"/>
      <c r="U262" s="74"/>
      <c r="V262" s="74"/>
      <c r="W262" s="74"/>
      <c r="X262" s="74"/>
      <c r="Y262" s="74"/>
      <c r="Z262" s="74"/>
      <c r="AA262" s="152"/>
    </row>
    <row r="263" spans="1:27" hidden="1" outlineLevel="2">
      <c r="A263" s="3"/>
      <c r="B263" s="3"/>
      <c r="C263" s="16"/>
      <c r="D263" s="1594"/>
      <c r="E263" s="61">
        <v>7</v>
      </c>
      <c r="F263" s="17"/>
      <c r="G263" s="17"/>
      <c r="H263" s="1414"/>
      <c r="I263" s="1414"/>
      <c r="J263" s="115"/>
      <c r="K263" s="115"/>
      <c r="L263" s="115"/>
      <c r="M263" s="115"/>
      <c r="N263" s="116"/>
      <c r="O263" s="18">
        <f>IF(A12taxstdlife="n/a","n/a",IF(O$3&gt;(A12taxstdlife+$E263),('RFM input'!$N$72-'RFM input'!$N$126)-SUM($N263:N263),('RFM input'!$N$72-'RFM input'!$N$126)/A12taxstdlife))</f>
        <v>0</v>
      </c>
      <c r="P263" s="18">
        <f>IF(A12taxstdlife="n/a","n/a",IF(P$3&gt;(A12taxstdlife+$E263),('RFM input'!$N$72-'RFM input'!$N$126)-SUM($N263:O263),('RFM input'!$N$72-'RFM input'!$N$126)/A12taxstdlife))</f>
        <v>0</v>
      </c>
      <c r="Q263" s="18">
        <f>IF(A12taxstdlife="n/a","n/a",IF(Q$3&gt;(A12taxstdlife+$E263),('RFM input'!$N$72-'RFM input'!$N$126)-SUM($N263:P263),('RFM input'!$N$72-'RFM input'!$N$126)/A12taxstdlife))</f>
        <v>0</v>
      </c>
      <c r="R263" s="18"/>
      <c r="S263" s="74"/>
      <c r="T263" s="74"/>
      <c r="U263" s="74"/>
      <c r="V263" s="74"/>
      <c r="W263" s="74"/>
      <c r="X263" s="74"/>
      <c r="Y263" s="74"/>
      <c r="Z263" s="74"/>
      <c r="AA263" s="152"/>
    </row>
    <row r="264" spans="1:27" hidden="1" outlineLevel="2">
      <c r="A264" s="3"/>
      <c r="B264" s="3"/>
      <c r="C264" s="16"/>
      <c r="D264" s="1594"/>
      <c r="E264" s="61">
        <v>8</v>
      </c>
      <c r="F264" s="17"/>
      <c r="G264" s="17"/>
      <c r="H264" s="1414"/>
      <c r="I264" s="1414"/>
      <c r="J264" s="115"/>
      <c r="K264" s="115"/>
      <c r="L264" s="115"/>
      <c r="M264" s="115"/>
      <c r="N264" s="115"/>
      <c r="O264" s="116"/>
      <c r="P264" s="18">
        <f>IF(A12taxstdlife="n/a","n/a",IF(P$3&gt;(A12taxstdlife+$E264),('RFM input'!$O$72-'RFM input'!$O$126)-SUM($O264:O264),('RFM input'!$O$72-'RFM input'!$O$126)/A12taxstdlife))</f>
        <v>0</v>
      </c>
      <c r="Q264" s="18">
        <f>IF(A12taxstdlife="n/a","n/a",IF(Q$3&gt;(A12taxstdlife+$E264),('RFM input'!$O$72-'RFM input'!$O$126)-SUM($O264:P264),('RFM input'!$O$72-'RFM input'!$O$126)/A12taxstdlife))</f>
        <v>0</v>
      </c>
      <c r="R264" s="18"/>
      <c r="S264" s="74"/>
      <c r="T264" s="74"/>
      <c r="U264" s="74"/>
      <c r="V264" s="74"/>
      <c r="W264" s="74"/>
      <c r="X264" s="74"/>
      <c r="Y264" s="74"/>
      <c r="Z264" s="74"/>
      <c r="AA264" s="152"/>
    </row>
    <row r="265" spans="1:27" hidden="1" outlineLevel="2">
      <c r="A265" s="3"/>
      <c r="B265" s="3"/>
      <c r="C265" s="16"/>
      <c r="D265" s="1594"/>
      <c r="E265" s="61">
        <v>9</v>
      </c>
      <c r="F265" s="17"/>
      <c r="G265" s="17"/>
      <c r="H265" s="1414"/>
      <c r="I265" s="1414"/>
      <c r="J265" s="115"/>
      <c r="K265" s="115"/>
      <c r="L265" s="115"/>
      <c r="M265" s="115"/>
      <c r="N265" s="115"/>
      <c r="O265" s="115"/>
      <c r="P265" s="116"/>
      <c r="Q265" s="18">
        <f>IF(A12taxstdlife="n/a","n/a",IF(Q$3&gt;(A12taxstdlife+$E265),('RFM input'!$P$72-'RFM input'!$P$126)-SUM($P265:P265),('RFM input'!$P$72-'RFM input'!$P$126)/A12taxstdlife))</f>
        <v>0</v>
      </c>
      <c r="R265" s="18"/>
      <c r="S265" s="74"/>
      <c r="T265" s="74"/>
      <c r="U265" s="74"/>
      <c r="V265" s="74"/>
      <c r="W265" s="74"/>
      <c r="X265" s="74"/>
      <c r="Y265" s="74"/>
      <c r="Z265" s="74"/>
      <c r="AA265" s="152"/>
    </row>
    <row r="266" spans="1:27" hidden="1" outlineLevel="2">
      <c r="A266" s="3"/>
      <c r="B266" s="3"/>
      <c r="C266" s="16"/>
      <c r="D266" s="1594"/>
      <c r="E266" s="62">
        <v>10</v>
      </c>
      <c r="F266" s="17"/>
      <c r="G266" s="17"/>
      <c r="H266" s="1414"/>
      <c r="I266" s="1414"/>
      <c r="J266" s="115"/>
      <c r="K266" s="115"/>
      <c r="L266" s="115"/>
      <c r="M266" s="115"/>
      <c r="N266" s="115"/>
      <c r="O266" s="115"/>
      <c r="P266" s="115"/>
      <c r="Q266" s="116"/>
      <c r="R266" s="18"/>
      <c r="S266" s="74"/>
      <c r="T266" s="74"/>
      <c r="U266" s="74"/>
      <c r="V266" s="74"/>
      <c r="W266" s="74"/>
      <c r="X266" s="74"/>
      <c r="Y266" s="74"/>
      <c r="Z266" s="74"/>
      <c r="AA266" s="152"/>
    </row>
    <row r="267" spans="1:27" hidden="1" outlineLevel="1">
      <c r="A267" s="3"/>
      <c r="B267" s="3"/>
      <c r="C267" s="134">
        <f>Asset12</f>
        <v>0</v>
      </c>
      <c r="D267" s="3"/>
      <c r="E267" s="3"/>
      <c r="F267" s="14"/>
      <c r="G267" s="14"/>
      <c r="H267" s="1460">
        <f>IF('RFM input'!$G$354="Tracked",-1*INDEX('RFM input'!H$358:H$407,MATCH('TAB roll forward'!$C267,'RFM input'!$E$358:$E$407,0)),-SUM(H255:H266))</f>
        <v>0</v>
      </c>
      <c r="I267" s="1460">
        <f>IF('RFM input'!$G$354="Tracked",-1*INDEX('RFM input'!I$358:I$407,MATCH('TAB roll forward'!$C267,'RFM input'!$E$358:$E$407,0)),-SUM(I255:I266))</f>
        <v>0</v>
      </c>
      <c r="J267" s="1460">
        <f>IF(COUNT($H267:I267)&gt;='RFM input'!$V$7,0,IF('RFM input'!$G$354="Tracked",-1*INDEX('RFM input'!J$358:J$407,MATCH('TAB roll forward'!$C267,'RFM input'!$E$358:$E$407,0)),-SUM(J255:J266)))</f>
        <v>0</v>
      </c>
      <c r="K267" s="1460">
        <f>IF(COUNT($H267:J267)&gt;='RFM input'!$V$7,0,IF('RFM input'!$G$354="Tracked",-1*INDEX('RFM input'!K$358:K$407,MATCH('TAB roll forward'!$C267,'RFM input'!$E$358:$E$407,0)),-SUM(K255:K266)))</f>
        <v>0</v>
      </c>
      <c r="L267" s="1460">
        <f>IF(COUNT($H267:K267)&gt;='RFM input'!$V$7,0,IF('RFM input'!$G$354="Tracked",-1*INDEX('RFM input'!L$358:L$407,MATCH('TAB roll forward'!$C267,'RFM input'!$E$358:$E$407,0)),-SUM(L255:L266)))</f>
        <v>0</v>
      </c>
      <c r="M267" s="1460">
        <f>IF(COUNT($H267:L267)&gt;='RFM input'!$V$7,0,IF('RFM input'!$G$354="Tracked",-1*INDEX('RFM input'!M$358:M$407,MATCH('TAB roll forward'!$C267,'RFM input'!$E$358:$E$407,0)),-SUM(M255:M266)))</f>
        <v>0</v>
      </c>
      <c r="N267" s="1460">
        <f>IF(COUNT($H267:M267)&gt;='RFM input'!$V$7,0,IF('RFM input'!$G$354="Tracked",-1*INDEX('RFM input'!N$358:N$407,MATCH('TAB roll forward'!$C267,'RFM input'!$E$358:$E$407,0)),-SUM(N255:N266)))</f>
        <v>0</v>
      </c>
      <c r="O267" s="1460">
        <f>IF(COUNT($H267:N267)&gt;='RFM input'!$V$7,0,IF('RFM input'!$G$354="Tracked",-1*INDEX('RFM input'!O$358:O$407,MATCH('TAB roll forward'!$C267,'RFM input'!$E$358:$E$407,0)),-SUM(O255:O266)))</f>
        <v>0</v>
      </c>
      <c r="P267" s="1460">
        <f>IF(COUNT($H267:O267)&gt;='RFM input'!$V$7,0,IF('RFM input'!$G$354="Tracked",-1*INDEX('RFM input'!P$358:P$407,MATCH('TAB roll forward'!$C267,'RFM input'!$E$358:$E$407,0)),-SUM(P255:P266)))</f>
        <v>0</v>
      </c>
      <c r="Q267" s="1460">
        <f>IF(COUNT($H267:P267)&gt;='RFM input'!$V$7,0,IF('RFM input'!$G$354="Tracked",-1*INDEX('RFM input'!Q$358:Q$407,MATCH('TAB roll forward'!$C267,'RFM input'!$E$358:$E$407,0)),-SUM(Q255:Q266)))</f>
        <v>0</v>
      </c>
      <c r="R267" s="1382"/>
      <c r="S267" s="73"/>
      <c r="T267" s="73"/>
      <c r="U267" s="73"/>
      <c r="V267" s="73"/>
      <c r="W267" s="73"/>
      <c r="X267" s="73"/>
      <c r="Y267" s="73"/>
      <c r="Z267" s="73"/>
      <c r="AA267" s="152"/>
    </row>
    <row r="268" spans="1:27" hidden="1" outlineLevel="2">
      <c r="A268" s="3"/>
      <c r="B268" s="135">
        <f>Asset13</f>
        <v>0</v>
      </c>
      <c r="C268" s="19"/>
      <c r="D268" s="234" t="s">
        <v>119</v>
      </c>
      <c r="E268" s="19"/>
      <c r="F268" s="148"/>
      <c r="G268" s="148"/>
      <c r="H268" s="21">
        <f>IF(H$3&gt;A13taxremlife,A13taxvalue-SUM($F268:F268),IF(A13taxremlife="N/A","n/a",A13taxvalue/A13taxremlife))</f>
        <v>0</v>
      </c>
      <c r="I268" s="21">
        <f>IF(I$3&gt;A13taxremlife,A13taxvalue-SUM($F268:H268),IF(A13taxremlife="N/A","n/a",A13taxvalue/A13taxremlife))</f>
        <v>0</v>
      </c>
      <c r="J268" s="21">
        <f>IF(J$3&gt;A13taxremlife,A13taxvalue-SUM($F268:I268),IF(A13taxremlife="N/A","n/a",A13taxvalue/A13taxremlife))</f>
        <v>0</v>
      </c>
      <c r="K268" s="21">
        <f>IF(K$3&gt;A13taxremlife,A13taxvalue-SUM($F268:J268),IF(A13taxremlife="N/A","n/a",A13taxvalue/A13taxremlife))</f>
        <v>0</v>
      </c>
      <c r="L268" s="21">
        <f>IF(L$3&gt;A13taxremlife,A13taxvalue-SUM($F268:K268),IF(A13taxremlife="N/A","n/a",A13taxvalue/A13taxremlife))</f>
        <v>0</v>
      </c>
      <c r="M268" s="21">
        <f>IF(M$3&gt;A13taxremlife,A13taxvalue-SUM($F268:L268),IF(A13taxremlife="N/A","n/a",A13taxvalue/A13taxremlife))</f>
        <v>0</v>
      </c>
      <c r="N268" s="21">
        <f>IF(N$3&gt;A13taxremlife,A13taxvalue-SUM($F268:M268),IF(A13taxremlife="N/A","n/a",A13taxvalue/A13taxremlife))</f>
        <v>0</v>
      </c>
      <c r="O268" s="21">
        <f>IF(O$3&gt;A13taxremlife,A13taxvalue-SUM($F268:N268),IF(A13taxremlife="N/A","n/a",A13taxvalue/A13taxremlife))</f>
        <v>0</v>
      </c>
      <c r="P268" s="21">
        <f>IF(P$3&gt;A13taxremlife,A13taxvalue-SUM($F268:O268),IF(A13taxremlife="N/A","n/a",A13taxvalue/A13taxremlife))</f>
        <v>0</v>
      </c>
      <c r="Q268" s="21">
        <f>IF(Q$3&gt;A13taxremlife,A13taxvalue-SUM($F268:P268),IF(A13taxremlife="N/A","n/a",A13taxvalue/A13taxremlife))</f>
        <v>0</v>
      </c>
      <c r="R268" s="21"/>
      <c r="S268" s="74"/>
      <c r="T268" s="74"/>
      <c r="U268" s="74"/>
      <c r="V268" s="74"/>
      <c r="W268" s="74"/>
      <c r="X268" s="74"/>
      <c r="Y268" s="74"/>
      <c r="Z268" s="74"/>
      <c r="AA268" s="152"/>
    </row>
    <row r="269" spans="1:27" ht="12.75" hidden="1" customHeight="1" outlineLevel="2">
      <c r="A269" s="3"/>
      <c r="B269" s="3"/>
      <c r="C269" s="16"/>
      <c r="D269" s="1593" t="s">
        <v>43</v>
      </c>
      <c r="E269" s="61"/>
      <c r="F269" s="17"/>
      <c r="G269" s="17"/>
      <c r="H269" s="1413"/>
      <c r="I269" s="72"/>
      <c r="J269" s="18"/>
      <c r="K269" s="18"/>
      <c r="L269" s="18"/>
      <c r="M269" s="18"/>
      <c r="N269" s="18"/>
      <c r="O269" s="18"/>
      <c r="P269" s="18"/>
      <c r="Q269" s="18"/>
      <c r="R269" s="18"/>
      <c r="S269" s="74"/>
      <c r="T269" s="74"/>
      <c r="U269" s="74"/>
      <c r="V269" s="74"/>
      <c r="W269" s="74"/>
      <c r="X269" s="74"/>
      <c r="Y269" s="74"/>
      <c r="Z269" s="74"/>
      <c r="AA269" s="152"/>
    </row>
    <row r="270" spans="1:27" hidden="1" outlineLevel="2">
      <c r="A270" s="3"/>
      <c r="B270" s="3"/>
      <c r="C270" s="16"/>
      <c r="D270" s="1594"/>
      <c r="E270" s="61">
        <v>1</v>
      </c>
      <c r="F270" s="17"/>
      <c r="G270" s="17"/>
      <c r="H270" s="1414"/>
      <c r="I270" s="1415">
        <f>IF(A13taxstdlife="n/a","n/a",IF(I$3&gt;(A13taxstdlife+$E270),('RFM input'!$H$73-'RFM input'!$H$127)-SUM($H270:H270),('RFM input'!$H$73-'RFM input'!$H$127)/A13taxstdlife))</f>
        <v>0</v>
      </c>
      <c r="J270" s="18">
        <f>IF(A13taxstdlife="n/a","n/a",IF(J$3&gt;(A13taxstdlife+$E270),('RFM input'!$H$73-'RFM input'!$H$127)-SUM($H270:I270),('RFM input'!$H$73-'RFM input'!$H$127)/A13taxstdlife))</f>
        <v>0</v>
      </c>
      <c r="K270" s="18">
        <f>IF(A13taxstdlife="n/a","n/a",IF(K$3&gt;(A13taxstdlife+$E270),('RFM input'!$H$73-'RFM input'!$H$127)-SUM($H270:J270),('RFM input'!$H$73-'RFM input'!$H$127)/A13taxstdlife))</f>
        <v>0</v>
      </c>
      <c r="L270" s="18">
        <f>IF(A13taxstdlife="n/a","n/a",IF(L$3&gt;(A13taxstdlife+$E270),('RFM input'!$H$73-'RFM input'!$H$127)-SUM($H270:K270),('RFM input'!$H$73-'RFM input'!$H$127)/A13taxstdlife))</f>
        <v>0</v>
      </c>
      <c r="M270" s="18">
        <f>IF(A13taxstdlife="n/a","n/a",IF(M$3&gt;(A13taxstdlife+$E270),('RFM input'!$H$73-'RFM input'!$H$127)-SUM($H270:L270),('RFM input'!$H$73-'RFM input'!$H$127)/A13taxstdlife))</f>
        <v>0</v>
      </c>
      <c r="N270" s="18">
        <f>IF(A13taxstdlife="n/a","n/a",IF(N$3&gt;(A13taxstdlife+$E270),('RFM input'!$H$73-'RFM input'!$H$127)-SUM($H270:M270),('RFM input'!$H$73-'RFM input'!$H$127)/A13taxstdlife))</f>
        <v>0</v>
      </c>
      <c r="O270" s="18">
        <f>IF(A13taxstdlife="n/a","n/a",IF(O$3&gt;(A13taxstdlife+$E270),('RFM input'!$H$73-'RFM input'!$H$127)-SUM($H270:N270),('RFM input'!$H$73-'RFM input'!$H$127)/A13taxstdlife))</f>
        <v>0</v>
      </c>
      <c r="P270" s="18">
        <f>IF(A13taxstdlife="n/a","n/a",IF(P$3&gt;(A13taxstdlife+$E270),('RFM input'!$H$73-'RFM input'!$H$127)-SUM($H270:O270),('RFM input'!$H$73-'RFM input'!$H$127)/A13taxstdlife))</f>
        <v>0</v>
      </c>
      <c r="Q270" s="18">
        <f>IF(A13taxstdlife="n/a","n/a",IF(Q$3&gt;(A13taxstdlife+$E270),('RFM input'!$H$73-'RFM input'!$H$127)-SUM($H270:P270),('RFM input'!$H$73-'RFM input'!$H$127)/A13taxstdlife))</f>
        <v>0</v>
      </c>
      <c r="R270" s="18"/>
      <c r="S270" s="74"/>
      <c r="T270" s="74"/>
      <c r="U270" s="74"/>
      <c r="V270" s="74"/>
      <c r="W270" s="74"/>
      <c r="X270" s="74"/>
      <c r="Y270" s="74"/>
      <c r="Z270" s="74"/>
      <c r="AA270" s="152"/>
    </row>
    <row r="271" spans="1:27" hidden="1" outlineLevel="2">
      <c r="A271" s="3"/>
      <c r="B271" s="3"/>
      <c r="C271" s="16"/>
      <c r="D271" s="1594"/>
      <c r="E271" s="61">
        <v>2</v>
      </c>
      <c r="F271" s="17"/>
      <c r="G271" s="17"/>
      <c r="H271" s="1414"/>
      <c r="I271" s="1414"/>
      <c r="J271" s="18">
        <f>IF(A13taxstdlife="n/a","n/a",IF(J$3&gt;(A13taxstdlife+$E271),('RFM input'!$I$73-'RFM input'!$I$127)-SUM($I271:I271),('RFM input'!$I$73-'RFM input'!$I$127)/A13taxstdlife))</f>
        <v>0</v>
      </c>
      <c r="K271" s="18">
        <f>IF(A13taxstdlife="n/a","n/a",IF(K$3&gt;(A13taxstdlife+$E271),('RFM input'!$I$73-'RFM input'!$I$127)-SUM($I271:J271),('RFM input'!$I$73-'RFM input'!$I$127)/A13taxstdlife))</f>
        <v>0</v>
      </c>
      <c r="L271" s="18">
        <f>IF(A13taxstdlife="n/a","n/a",IF(L$3&gt;(A13taxstdlife+$E271),('RFM input'!$I$73-'RFM input'!$I$127)-SUM($I271:K271),('RFM input'!$I$73-'RFM input'!$I$127)/A13taxstdlife))</f>
        <v>0</v>
      </c>
      <c r="M271" s="18">
        <f>IF(A13taxstdlife="n/a","n/a",IF(M$3&gt;(A13taxstdlife+$E271),('RFM input'!$I$73-'RFM input'!$I$127)-SUM($I271:L271),('RFM input'!$I$73-'RFM input'!$I$127)/A13taxstdlife))</f>
        <v>0</v>
      </c>
      <c r="N271" s="18">
        <f>IF(A13taxstdlife="n/a","n/a",IF(N$3&gt;(A13taxstdlife+$E271),('RFM input'!$I$73-'RFM input'!$I$127)-SUM($I271:M271),('RFM input'!$I$73-'RFM input'!$I$127)/A13taxstdlife))</f>
        <v>0</v>
      </c>
      <c r="O271" s="18">
        <f>IF(A13taxstdlife="n/a","n/a",IF(O$3&gt;(A13taxstdlife+$E271),('RFM input'!$I$73-'RFM input'!$I$127)-SUM($I271:N271),('RFM input'!$I$73-'RFM input'!$I$127)/A13taxstdlife))</f>
        <v>0</v>
      </c>
      <c r="P271" s="18">
        <f>IF(A13taxstdlife="n/a","n/a",IF(P$3&gt;(A13taxstdlife+$E271),('RFM input'!$I$73-'RFM input'!$I$127)-SUM($I271:O271),('RFM input'!$I$73-'RFM input'!$I$127)/A13taxstdlife))</f>
        <v>0</v>
      </c>
      <c r="Q271" s="18">
        <f>IF(A13taxstdlife="n/a","n/a",IF(Q$3&gt;(A13taxstdlife+$E271),('RFM input'!$I$73-'RFM input'!$I$127)-SUM($I271:P271),('RFM input'!$I$73-'RFM input'!$I$127)/A13taxstdlife))</f>
        <v>0</v>
      </c>
      <c r="R271" s="18"/>
      <c r="S271" s="74"/>
      <c r="T271" s="74"/>
      <c r="U271" s="74"/>
      <c r="V271" s="74"/>
      <c r="W271" s="74"/>
      <c r="X271" s="74"/>
      <c r="Y271" s="74"/>
      <c r="Z271" s="74"/>
      <c r="AA271" s="152"/>
    </row>
    <row r="272" spans="1:27" hidden="1" outlineLevel="2">
      <c r="A272" s="3"/>
      <c r="B272" s="3"/>
      <c r="C272" s="16"/>
      <c r="D272" s="1594"/>
      <c r="E272" s="61">
        <v>3</v>
      </c>
      <c r="F272" s="17"/>
      <c r="G272" s="17"/>
      <c r="H272" s="1414"/>
      <c r="I272" s="1414"/>
      <c r="J272" s="116"/>
      <c r="K272" s="18">
        <f>IF(A13taxstdlife="n/a","n/a",IF(K$3&gt;(A13taxstdlife+$E272),('RFM input'!$J$73-'RFM input'!$J$127)-SUM($J272:J272),('RFM input'!$J$73-'RFM input'!$J$127)/A13taxstdlife))</f>
        <v>0</v>
      </c>
      <c r="L272" s="18">
        <f>IF(A13taxstdlife="n/a","n/a",IF(L$3&gt;(A13taxstdlife+$E272),('RFM input'!$J$73-'RFM input'!$J$127)-SUM($J272:K272),('RFM input'!$J$73-'RFM input'!$J$127)/A13taxstdlife))</f>
        <v>0</v>
      </c>
      <c r="M272" s="18">
        <f>IF(A13taxstdlife="n/a","n/a",IF(M$3&gt;(A13taxstdlife+$E272),('RFM input'!$J$73-'RFM input'!$J$127)-SUM($J272:L272),('RFM input'!$J$73-'RFM input'!$J$127)/A13taxstdlife))</f>
        <v>0</v>
      </c>
      <c r="N272" s="18">
        <f>IF(A13taxstdlife="n/a","n/a",IF(N$3&gt;(A13taxstdlife+$E272),('RFM input'!$J$73-'RFM input'!$J$127)-SUM($J272:M272),('RFM input'!$J$73-'RFM input'!$J$127)/A13taxstdlife))</f>
        <v>0</v>
      </c>
      <c r="O272" s="18">
        <f>IF(A13taxstdlife="n/a","n/a",IF(O$3&gt;(A13taxstdlife+$E272),('RFM input'!$J$73-'RFM input'!$J$127)-SUM($J272:N272),('RFM input'!$J$73-'RFM input'!$J$127)/A13taxstdlife))</f>
        <v>0</v>
      </c>
      <c r="P272" s="18">
        <f>IF(A13taxstdlife="n/a","n/a",IF(P$3&gt;(A13taxstdlife+$E272),('RFM input'!$J$73-'RFM input'!$J$127)-SUM($J272:O272),('RFM input'!$J$73-'RFM input'!$J$127)/A13taxstdlife))</f>
        <v>0</v>
      </c>
      <c r="Q272" s="18">
        <f>IF(A13taxstdlife="n/a","n/a",IF(Q$3&gt;(A13taxstdlife+$E272),('RFM input'!$J$73-'RFM input'!$J$127)-SUM($J272:P272),('RFM input'!$J$73-'RFM input'!$J$127)/A13taxstdlife))</f>
        <v>0</v>
      </c>
      <c r="R272" s="18"/>
      <c r="S272" s="74"/>
      <c r="T272" s="74"/>
      <c r="U272" s="74"/>
      <c r="V272" s="74"/>
      <c r="W272" s="74"/>
      <c r="X272" s="74"/>
      <c r="Y272" s="74"/>
      <c r="Z272" s="74"/>
      <c r="AA272" s="152"/>
    </row>
    <row r="273" spans="1:27" hidden="1" outlineLevel="2">
      <c r="A273" s="3"/>
      <c r="B273" s="3"/>
      <c r="C273" s="16"/>
      <c r="D273" s="1594"/>
      <c r="E273" s="61">
        <v>4</v>
      </c>
      <c r="F273" s="17"/>
      <c r="G273" s="17"/>
      <c r="H273" s="1414"/>
      <c r="I273" s="1414"/>
      <c r="J273" s="115"/>
      <c r="K273" s="116"/>
      <c r="L273" s="18">
        <f>IF(A13taxstdlife="n/a","n/a",IF(L$3&gt;(A13taxstdlife+$E273),('RFM input'!$K$73-'RFM input'!$K$127)-SUM($K273:K273),('RFM input'!$K$73-'RFM input'!$K$127)/A13taxstdlife))</f>
        <v>0</v>
      </c>
      <c r="M273" s="18">
        <f>IF(A13taxstdlife="n/a","n/a",IF(M$3&gt;(A13taxstdlife+$E273),('RFM input'!$K$73-'RFM input'!$K$127)-SUM($K273:L273),('RFM input'!$K$73-'RFM input'!$K$127)/A13taxstdlife))</f>
        <v>0</v>
      </c>
      <c r="N273" s="18">
        <f>IF(A13taxstdlife="n/a","n/a",IF(N$3&gt;(A13taxstdlife+$E273),('RFM input'!$K$73-'RFM input'!$K$127)-SUM($K273:M273),('RFM input'!$K$73-'RFM input'!$K$127)/A13taxstdlife))</f>
        <v>0</v>
      </c>
      <c r="O273" s="18">
        <f>IF(A13taxstdlife="n/a","n/a",IF(O$3&gt;(A13taxstdlife+$E273),('RFM input'!$K$73-'RFM input'!$K$127)-SUM($K273:N273),('RFM input'!$K$73-'RFM input'!$K$127)/A13taxstdlife))</f>
        <v>0</v>
      </c>
      <c r="P273" s="18">
        <f>IF(A13taxstdlife="n/a","n/a",IF(P$3&gt;(A13taxstdlife+$E273),('RFM input'!$K$73-'RFM input'!$K$127)-SUM($K273:O273),('RFM input'!$K$73-'RFM input'!$K$127)/A13taxstdlife))</f>
        <v>0</v>
      </c>
      <c r="Q273" s="18">
        <f>IF(A13taxstdlife="n/a","n/a",IF(Q$3&gt;(A13taxstdlife+$E273),('RFM input'!$K$73-'RFM input'!$K$127)-SUM($K273:P273),('RFM input'!$K$73-'RFM input'!$K$127)/A13taxstdlife))</f>
        <v>0</v>
      </c>
      <c r="R273" s="18"/>
      <c r="S273" s="74"/>
      <c r="T273" s="74"/>
      <c r="U273" s="74"/>
      <c r="V273" s="74"/>
      <c r="W273" s="74"/>
      <c r="X273" s="74"/>
      <c r="Y273" s="74"/>
      <c r="Z273" s="74"/>
      <c r="AA273" s="152"/>
    </row>
    <row r="274" spans="1:27" hidden="1" outlineLevel="2">
      <c r="A274" s="3"/>
      <c r="B274" s="3"/>
      <c r="C274" s="16"/>
      <c r="D274" s="1594"/>
      <c r="E274" s="61">
        <v>5</v>
      </c>
      <c r="F274" s="17"/>
      <c r="G274" s="17"/>
      <c r="H274" s="1414"/>
      <c r="I274" s="1414"/>
      <c r="J274" s="115"/>
      <c r="K274" s="115"/>
      <c r="L274" s="116"/>
      <c r="M274" s="18">
        <f>IF(A13taxstdlife="n/a","n/a",IF(M$3&gt;(A13taxstdlife+$E274),('RFM input'!$L$73-'RFM input'!$L$127)-SUM($L274:L274),('RFM input'!$L$73-'RFM input'!$L$127)/A13taxstdlife))</f>
        <v>0</v>
      </c>
      <c r="N274" s="18">
        <f>IF(A13taxstdlife="n/a","n/a",IF(N$3&gt;(A13taxstdlife+$E274),('RFM input'!$L$73-'RFM input'!$L$127)-SUM($L274:M274),('RFM input'!$L$73-'RFM input'!$L$127)/A13taxstdlife))</f>
        <v>0</v>
      </c>
      <c r="O274" s="18">
        <f>IF(A13taxstdlife="n/a","n/a",IF(O$3&gt;(A13taxstdlife+$E274),('RFM input'!$L$73-'RFM input'!$L$127)-SUM($L274:N274),('RFM input'!$L$73-'RFM input'!$L$127)/A13taxstdlife))</f>
        <v>0</v>
      </c>
      <c r="P274" s="18">
        <f>IF(A13taxstdlife="n/a","n/a",IF(P$3&gt;(A13taxstdlife+$E274),('RFM input'!$L$73-'RFM input'!$L$127)-SUM($L274:O274),('RFM input'!$L$73-'RFM input'!$L$127)/A13taxstdlife))</f>
        <v>0</v>
      </c>
      <c r="Q274" s="18">
        <f>IF(A13taxstdlife="n/a","n/a",IF(Q$3&gt;(A13taxstdlife+$E274),('RFM input'!$L$73-'RFM input'!$L$127)-SUM($L274:P274),('RFM input'!$L$73-'RFM input'!$L$127)/A13taxstdlife))</f>
        <v>0</v>
      </c>
      <c r="R274" s="18"/>
      <c r="S274" s="74"/>
      <c r="T274" s="74"/>
      <c r="U274" s="74"/>
      <c r="V274" s="74"/>
      <c r="W274" s="74"/>
      <c r="X274" s="74"/>
      <c r="Y274" s="74"/>
      <c r="Z274" s="74"/>
      <c r="AA274" s="152"/>
    </row>
    <row r="275" spans="1:27" hidden="1" outlineLevel="2">
      <c r="A275" s="3"/>
      <c r="B275" s="3"/>
      <c r="C275" s="16"/>
      <c r="D275" s="1594"/>
      <c r="E275" s="61">
        <v>6</v>
      </c>
      <c r="F275" s="17"/>
      <c r="G275" s="17"/>
      <c r="H275" s="1414"/>
      <c r="I275" s="1414"/>
      <c r="J275" s="115"/>
      <c r="K275" s="115"/>
      <c r="L275" s="115"/>
      <c r="M275" s="116"/>
      <c r="N275" s="18">
        <f>IF(A13taxstdlife="n/a","n/a",IF(N$3&gt;(A13taxstdlife+$E275),('RFM input'!$M$73-'RFM input'!$M$127)-SUM($M275:M275),('RFM input'!$M$73-'RFM input'!$M$127)/A13taxstdlife))</f>
        <v>0</v>
      </c>
      <c r="O275" s="18">
        <f>IF(A13taxstdlife="n/a","n/a",IF(O$3&gt;(A13taxstdlife+$E275),('RFM input'!$M$73-'RFM input'!$M$127)-SUM($M275:N275),('RFM input'!$M$73-'RFM input'!$M$127)/A13taxstdlife))</f>
        <v>0</v>
      </c>
      <c r="P275" s="18">
        <f>IF(A13taxstdlife="n/a","n/a",IF(P$3&gt;(A13taxstdlife+$E275),('RFM input'!$M$73-'RFM input'!$M$127)-SUM($M275:O275),('RFM input'!$M$73-'RFM input'!$M$127)/A13taxstdlife))</f>
        <v>0</v>
      </c>
      <c r="Q275" s="18">
        <f>IF(A13taxstdlife="n/a","n/a",IF(Q$3&gt;(A13taxstdlife+$E275),('RFM input'!$M$73-'RFM input'!$M$127)-SUM($M275:P275),('RFM input'!$M$73-'RFM input'!$M$127)/A13taxstdlife))</f>
        <v>0</v>
      </c>
      <c r="R275" s="18"/>
      <c r="S275" s="74"/>
      <c r="T275" s="74"/>
      <c r="U275" s="74"/>
      <c r="V275" s="74"/>
      <c r="W275" s="74"/>
      <c r="X275" s="74"/>
      <c r="Y275" s="74"/>
      <c r="Z275" s="74"/>
      <c r="AA275" s="152"/>
    </row>
    <row r="276" spans="1:27" hidden="1" outlineLevel="2">
      <c r="A276" s="3"/>
      <c r="B276" s="3"/>
      <c r="C276" s="16"/>
      <c r="D276" s="1594"/>
      <c r="E276" s="61">
        <v>7</v>
      </c>
      <c r="F276" s="17"/>
      <c r="G276" s="17"/>
      <c r="H276" s="1414"/>
      <c r="I276" s="1414"/>
      <c r="J276" s="115"/>
      <c r="K276" s="115"/>
      <c r="L276" s="115"/>
      <c r="M276" s="115"/>
      <c r="N276" s="116"/>
      <c r="O276" s="18">
        <f>IF(A13taxstdlife="n/a","n/a",IF(O$3&gt;(A13taxstdlife+$E276),('RFM input'!$N$73-'RFM input'!$N$127)-SUM($N276:N276),('RFM input'!$N$73-'RFM input'!$N$127)/A13taxstdlife))</f>
        <v>0</v>
      </c>
      <c r="P276" s="18">
        <f>IF(A13taxstdlife="n/a","n/a",IF(P$3&gt;(A13taxstdlife+$E276),('RFM input'!$N$73-'RFM input'!$N$127)-SUM($N276:O276),('RFM input'!$N$73-'RFM input'!$N$127)/A13taxstdlife))</f>
        <v>0</v>
      </c>
      <c r="Q276" s="18">
        <f>IF(A13taxstdlife="n/a","n/a",IF(Q$3&gt;(A13taxstdlife+$E276),('RFM input'!$N$73-'RFM input'!$N$127)-SUM($N276:P276),('RFM input'!$N$73-'RFM input'!$N$127)/A13taxstdlife))</f>
        <v>0</v>
      </c>
      <c r="R276" s="18"/>
      <c r="S276" s="74"/>
      <c r="T276" s="74"/>
      <c r="U276" s="74"/>
      <c r="V276" s="74"/>
      <c r="W276" s="74"/>
      <c r="X276" s="74"/>
      <c r="Y276" s="74"/>
      <c r="Z276" s="74"/>
      <c r="AA276" s="152"/>
    </row>
    <row r="277" spans="1:27" hidden="1" outlineLevel="2">
      <c r="A277" s="3"/>
      <c r="B277" s="3"/>
      <c r="C277" s="16"/>
      <c r="D277" s="1594"/>
      <c r="E277" s="61">
        <v>8</v>
      </c>
      <c r="F277" s="17"/>
      <c r="G277" s="17"/>
      <c r="H277" s="1414"/>
      <c r="I277" s="1414"/>
      <c r="J277" s="115"/>
      <c r="K277" s="115"/>
      <c r="L277" s="115"/>
      <c r="M277" s="115"/>
      <c r="N277" s="115"/>
      <c r="O277" s="116"/>
      <c r="P277" s="18">
        <f>IF(A13taxstdlife="n/a","n/a",IF(P$3&gt;(A13taxstdlife+$E277),('RFM input'!$O$73-'RFM input'!$O$127)-SUM($O277:O277),('RFM input'!$O$73-'RFM input'!$O$127)/A13taxstdlife))</f>
        <v>0</v>
      </c>
      <c r="Q277" s="18">
        <f>IF(A13taxstdlife="n/a","n/a",IF(Q$3&gt;(A13taxstdlife+$E277),('RFM input'!$O$73-'RFM input'!$O$127)-SUM($O277:P277),('RFM input'!$O$73-'RFM input'!$O$127)/A13taxstdlife))</f>
        <v>0</v>
      </c>
      <c r="R277" s="18"/>
      <c r="S277" s="74"/>
      <c r="T277" s="74"/>
      <c r="U277" s="74"/>
      <c r="V277" s="74"/>
      <c r="W277" s="74"/>
      <c r="X277" s="74"/>
      <c r="Y277" s="74"/>
      <c r="Z277" s="74"/>
      <c r="AA277" s="152"/>
    </row>
    <row r="278" spans="1:27" hidden="1" outlineLevel="2">
      <c r="A278" s="3"/>
      <c r="B278" s="3"/>
      <c r="C278" s="16"/>
      <c r="D278" s="1594"/>
      <c r="E278" s="61">
        <v>9</v>
      </c>
      <c r="F278" s="17"/>
      <c r="G278" s="17"/>
      <c r="H278" s="1414"/>
      <c r="I278" s="1414"/>
      <c r="J278" s="115"/>
      <c r="K278" s="115"/>
      <c r="L278" s="115"/>
      <c r="M278" s="115"/>
      <c r="N278" s="115"/>
      <c r="O278" s="115"/>
      <c r="P278" s="116"/>
      <c r="Q278" s="18">
        <f>IF(A13taxstdlife="n/a","n/a",IF(Q$3&gt;(A13taxstdlife+$E278),('RFM input'!$P$73-'RFM input'!$P$127)-SUM($P278:P278),('RFM input'!$P$73-'RFM input'!$P$127)/A13taxstdlife))</f>
        <v>0</v>
      </c>
      <c r="R278" s="18"/>
      <c r="S278" s="74"/>
      <c r="T278" s="74"/>
      <c r="U278" s="74"/>
      <c r="V278" s="74"/>
      <c r="W278" s="74"/>
      <c r="X278" s="74"/>
      <c r="Y278" s="74"/>
      <c r="Z278" s="74"/>
      <c r="AA278" s="152"/>
    </row>
    <row r="279" spans="1:27" hidden="1" outlineLevel="2">
      <c r="A279" s="3"/>
      <c r="B279" s="3"/>
      <c r="C279" s="16"/>
      <c r="D279" s="1594"/>
      <c r="E279" s="62">
        <v>10</v>
      </c>
      <c r="F279" s="17"/>
      <c r="G279" s="17"/>
      <c r="H279" s="1414"/>
      <c r="I279" s="1414"/>
      <c r="J279" s="115"/>
      <c r="K279" s="115"/>
      <c r="L279" s="115"/>
      <c r="M279" s="115"/>
      <c r="N279" s="115"/>
      <c r="O279" s="115"/>
      <c r="P279" s="115"/>
      <c r="Q279" s="116"/>
      <c r="R279" s="18"/>
      <c r="S279" s="74"/>
      <c r="T279" s="74"/>
      <c r="U279" s="74"/>
      <c r="V279" s="74"/>
      <c r="W279" s="74"/>
      <c r="X279" s="74"/>
      <c r="Y279" s="74"/>
      <c r="Z279" s="74"/>
      <c r="AA279" s="152"/>
    </row>
    <row r="280" spans="1:27" hidden="1" outlineLevel="1">
      <c r="A280" s="3"/>
      <c r="B280" s="3"/>
      <c r="C280" s="134">
        <f>Asset13</f>
        <v>0</v>
      </c>
      <c r="D280" s="3"/>
      <c r="E280" s="3"/>
      <c r="F280" s="14"/>
      <c r="G280" s="14"/>
      <c r="H280" s="1460">
        <f>IF('RFM input'!$G$354="Tracked",-1*INDEX('RFM input'!H$358:H$407,MATCH('TAB roll forward'!$C280,'RFM input'!$E$358:$E$407,0)),-SUM(H268:H279))</f>
        <v>0</v>
      </c>
      <c r="I280" s="1460">
        <f>IF('RFM input'!$G$354="Tracked",-1*INDEX('RFM input'!I$358:I$407,MATCH('TAB roll forward'!$C280,'RFM input'!$E$358:$E$407,0)),-SUM(I268:I279))</f>
        <v>0</v>
      </c>
      <c r="J280" s="1460">
        <f>IF(COUNT($H280:I280)&gt;='RFM input'!$V$7,0,IF('RFM input'!$G$354="Tracked",-1*INDEX('RFM input'!J$358:J$407,MATCH('TAB roll forward'!$C280,'RFM input'!$E$358:$E$407,0)),-SUM(J268:J279)))</f>
        <v>0</v>
      </c>
      <c r="K280" s="1460">
        <f>IF(COUNT($H280:J280)&gt;='RFM input'!$V$7,0,IF('RFM input'!$G$354="Tracked",-1*INDEX('RFM input'!K$358:K$407,MATCH('TAB roll forward'!$C280,'RFM input'!$E$358:$E$407,0)),-SUM(K268:K279)))</f>
        <v>0</v>
      </c>
      <c r="L280" s="1460">
        <f>IF(COUNT($H280:K280)&gt;='RFM input'!$V$7,0,IF('RFM input'!$G$354="Tracked",-1*INDEX('RFM input'!L$358:L$407,MATCH('TAB roll forward'!$C280,'RFM input'!$E$358:$E$407,0)),-SUM(L268:L279)))</f>
        <v>0</v>
      </c>
      <c r="M280" s="1460">
        <f>IF(COUNT($H280:L280)&gt;='RFM input'!$V$7,0,IF('RFM input'!$G$354="Tracked",-1*INDEX('RFM input'!M$358:M$407,MATCH('TAB roll forward'!$C280,'RFM input'!$E$358:$E$407,0)),-SUM(M268:M279)))</f>
        <v>0</v>
      </c>
      <c r="N280" s="1460">
        <f>IF(COUNT($H280:M280)&gt;='RFM input'!$V$7,0,IF('RFM input'!$G$354="Tracked",-1*INDEX('RFM input'!N$358:N$407,MATCH('TAB roll forward'!$C280,'RFM input'!$E$358:$E$407,0)),-SUM(N268:N279)))</f>
        <v>0</v>
      </c>
      <c r="O280" s="1460">
        <f>IF(COUNT($H280:N280)&gt;='RFM input'!$V$7,0,IF('RFM input'!$G$354="Tracked",-1*INDEX('RFM input'!O$358:O$407,MATCH('TAB roll forward'!$C280,'RFM input'!$E$358:$E$407,0)),-SUM(O268:O279)))</f>
        <v>0</v>
      </c>
      <c r="P280" s="1460">
        <f>IF(COUNT($H280:O280)&gt;='RFM input'!$V$7,0,IF('RFM input'!$G$354="Tracked",-1*INDEX('RFM input'!P$358:P$407,MATCH('TAB roll forward'!$C280,'RFM input'!$E$358:$E$407,0)),-SUM(P268:P279)))</f>
        <v>0</v>
      </c>
      <c r="Q280" s="1460">
        <f>IF(COUNT($H280:P280)&gt;='RFM input'!$V$7,0,IF('RFM input'!$G$354="Tracked",-1*INDEX('RFM input'!Q$358:Q$407,MATCH('TAB roll forward'!$C280,'RFM input'!$E$358:$E$407,0)),-SUM(Q268:Q279)))</f>
        <v>0</v>
      </c>
      <c r="R280" s="1382"/>
      <c r="S280" s="73"/>
      <c r="T280" s="73"/>
      <c r="U280" s="73"/>
      <c r="V280" s="73"/>
      <c r="W280" s="73"/>
      <c r="X280" s="73"/>
      <c r="Y280" s="73"/>
      <c r="Z280" s="73"/>
      <c r="AA280" s="152"/>
    </row>
    <row r="281" spans="1:27" hidden="1" outlineLevel="2">
      <c r="A281" s="3"/>
      <c r="B281" s="135">
        <f>Asset14</f>
        <v>0</v>
      </c>
      <c r="C281" s="19"/>
      <c r="D281" s="234" t="s">
        <v>119</v>
      </c>
      <c r="E281" s="19"/>
      <c r="F281" s="148"/>
      <c r="G281" s="148"/>
      <c r="H281" s="21">
        <f>IF(H$3&gt;A14taxremlife,A14taxvalue-SUM($F281:F281),IF(A14taxremlife="N/A","n/a",A14taxvalue/A14taxremlife))</f>
        <v>0</v>
      </c>
      <c r="I281" s="21">
        <f>IF(I$3&gt;A14taxremlife,A14taxvalue-SUM($F281:H281),IF(A14taxremlife="N/A","n/a",A14taxvalue/A14taxremlife))</f>
        <v>0</v>
      </c>
      <c r="J281" s="21">
        <f>IF(J$3&gt;A14taxremlife,A14taxvalue-SUM($F281:I281),IF(A14taxremlife="N/A","n/a",A14taxvalue/A14taxremlife))</f>
        <v>0</v>
      </c>
      <c r="K281" s="21">
        <f>IF(K$3&gt;A14taxremlife,A14taxvalue-SUM($F281:J281),IF(A14taxremlife="N/A","n/a",A14taxvalue/A14taxremlife))</f>
        <v>0</v>
      </c>
      <c r="L281" s="21">
        <f>IF(L$3&gt;A14taxremlife,A14taxvalue-SUM($F281:K281),IF(A14taxremlife="N/A","n/a",A14taxvalue/A14taxremlife))</f>
        <v>0</v>
      </c>
      <c r="M281" s="21">
        <f>IF(M$3&gt;A14taxremlife,A14taxvalue-SUM($F281:L281),IF(A14taxremlife="N/A","n/a",A14taxvalue/A14taxremlife))</f>
        <v>0</v>
      </c>
      <c r="N281" s="21">
        <f>IF(N$3&gt;A14taxremlife,A14taxvalue-SUM($F281:M281),IF(A14taxremlife="N/A","n/a",A14taxvalue/A14taxremlife))</f>
        <v>0</v>
      </c>
      <c r="O281" s="21">
        <f>IF(O$3&gt;A14taxremlife,A14taxvalue-SUM($F281:N281),IF(A14taxremlife="N/A","n/a",A14taxvalue/A14taxremlife))</f>
        <v>0</v>
      </c>
      <c r="P281" s="21">
        <f>IF(P$3&gt;A14taxremlife,A14taxvalue-SUM($F281:O281),IF(A14taxremlife="N/A","n/a",A14taxvalue/A14taxremlife))</f>
        <v>0</v>
      </c>
      <c r="Q281" s="21">
        <f>IF(Q$3&gt;A14taxremlife,A14taxvalue-SUM($F281:P281),IF(A14taxremlife="N/A","n/a",A14taxvalue/A14taxremlife))</f>
        <v>0</v>
      </c>
      <c r="R281" s="21"/>
      <c r="S281" s="74"/>
      <c r="T281" s="74"/>
      <c r="U281" s="74"/>
      <c r="V281" s="74"/>
      <c r="W281" s="74"/>
      <c r="X281" s="74"/>
      <c r="Y281" s="74"/>
      <c r="Z281" s="74"/>
      <c r="AA281" s="152"/>
    </row>
    <row r="282" spans="1:27" ht="12.75" hidden="1" customHeight="1" outlineLevel="2">
      <c r="A282" s="3"/>
      <c r="B282" s="3"/>
      <c r="C282" s="16"/>
      <c r="D282" s="1593" t="s">
        <v>43</v>
      </c>
      <c r="E282" s="61"/>
      <c r="F282" s="17"/>
      <c r="G282" s="17"/>
      <c r="H282" s="1413"/>
      <c r="I282" s="72"/>
      <c r="J282" s="18"/>
      <c r="K282" s="18"/>
      <c r="L282" s="18"/>
      <c r="M282" s="18"/>
      <c r="N282" s="18"/>
      <c r="O282" s="18"/>
      <c r="P282" s="18"/>
      <c r="Q282" s="18"/>
      <c r="R282" s="18"/>
      <c r="S282" s="74"/>
      <c r="T282" s="74"/>
      <c r="U282" s="74"/>
      <c r="V282" s="74"/>
      <c r="W282" s="74"/>
      <c r="X282" s="74"/>
      <c r="Y282" s="74"/>
      <c r="Z282" s="74"/>
      <c r="AA282" s="152"/>
    </row>
    <row r="283" spans="1:27" hidden="1" outlineLevel="2">
      <c r="A283" s="3"/>
      <c r="B283" s="3"/>
      <c r="C283" s="16"/>
      <c r="D283" s="1594"/>
      <c r="E283" s="61">
        <v>1</v>
      </c>
      <c r="F283" s="17"/>
      <c r="G283" s="17"/>
      <c r="H283" s="1414"/>
      <c r="I283" s="1415">
        <f>IF(A14taxstdlife="n/a","n/a",IF(I$3&gt;(A14taxstdlife+$E283),('RFM input'!$H$74-'RFM input'!$H$128)-SUM($H283:H283),('RFM input'!$H$74-'RFM input'!$H$128)/A14taxstdlife))</f>
        <v>0</v>
      </c>
      <c r="J283" s="18">
        <f>IF(A14taxstdlife="n/a","n/a",IF(J$3&gt;(A14taxstdlife+$E283),('RFM input'!$H$74-'RFM input'!$H$128)-SUM($H283:I283),('RFM input'!$H$74-'RFM input'!$H$128)/A14taxstdlife))</f>
        <v>0</v>
      </c>
      <c r="K283" s="18">
        <f>IF(A14taxstdlife="n/a","n/a",IF(K$3&gt;(A14taxstdlife+$E283),('RFM input'!$H$74-'RFM input'!$H$128)-SUM($H283:J283),('RFM input'!$H$74-'RFM input'!$H$128)/A14taxstdlife))</f>
        <v>0</v>
      </c>
      <c r="L283" s="18">
        <f>IF(A14taxstdlife="n/a","n/a",IF(L$3&gt;(A14taxstdlife+$E283),('RFM input'!$H$74-'RFM input'!$H$128)-SUM($H283:K283),('RFM input'!$H$74-'RFM input'!$H$128)/A14taxstdlife))</f>
        <v>0</v>
      </c>
      <c r="M283" s="18">
        <f>IF(A14taxstdlife="n/a","n/a",IF(M$3&gt;(A14taxstdlife+$E283),('RFM input'!$H$74-'RFM input'!$H$128)-SUM($H283:L283),('RFM input'!$H$74-'RFM input'!$H$128)/A14taxstdlife))</f>
        <v>0</v>
      </c>
      <c r="N283" s="18">
        <f>IF(A14taxstdlife="n/a","n/a",IF(N$3&gt;(A14taxstdlife+$E283),('RFM input'!$H$74-'RFM input'!$H$128)-SUM($H283:M283),('RFM input'!$H$74-'RFM input'!$H$128)/A14taxstdlife))</f>
        <v>0</v>
      </c>
      <c r="O283" s="18">
        <f>IF(A14taxstdlife="n/a","n/a",IF(O$3&gt;(A14taxstdlife+$E283),('RFM input'!$H$74-'RFM input'!$H$128)-SUM($H283:N283),('RFM input'!$H$74-'RFM input'!$H$128)/A14taxstdlife))</f>
        <v>0</v>
      </c>
      <c r="P283" s="18">
        <f>IF(A14taxstdlife="n/a","n/a",IF(P$3&gt;(A14taxstdlife+$E283),('RFM input'!$H$74-'RFM input'!$H$128)-SUM($H283:O283),('RFM input'!$H$74-'RFM input'!$H$128)/A14taxstdlife))</f>
        <v>0</v>
      </c>
      <c r="Q283" s="18">
        <f>IF(A14taxstdlife="n/a","n/a",IF(Q$3&gt;(A14taxstdlife+$E283),('RFM input'!$H$74-'RFM input'!$H$128)-SUM($H283:P283),('RFM input'!$H$74-'RFM input'!$H$128)/A14taxstdlife))</f>
        <v>0</v>
      </c>
      <c r="R283" s="18"/>
      <c r="S283" s="74"/>
      <c r="T283" s="74"/>
      <c r="U283" s="74"/>
      <c r="V283" s="74"/>
      <c r="W283" s="74"/>
      <c r="X283" s="74"/>
      <c r="Y283" s="74"/>
      <c r="Z283" s="74"/>
      <c r="AA283" s="152"/>
    </row>
    <row r="284" spans="1:27" hidden="1" outlineLevel="2">
      <c r="A284" s="3"/>
      <c r="B284" s="3"/>
      <c r="C284" s="16"/>
      <c r="D284" s="1594"/>
      <c r="E284" s="61">
        <v>2</v>
      </c>
      <c r="F284" s="17"/>
      <c r="G284" s="17"/>
      <c r="H284" s="1414"/>
      <c r="I284" s="1414"/>
      <c r="J284" s="18">
        <f>IF(A14taxstdlife="n/a","n/a",IF(J$3&gt;(A14taxstdlife+$E284),('RFM input'!$I$74-'RFM input'!$I$128)-SUM($I284:I284),('RFM input'!$I$74-'RFM input'!$I$128)/A14taxstdlife))</f>
        <v>0</v>
      </c>
      <c r="K284" s="18">
        <f>IF(A14taxstdlife="n/a","n/a",IF(K$3&gt;(A14taxstdlife+$E284),('RFM input'!$I$74-'RFM input'!$I$128)-SUM($I284:J284),('RFM input'!$I$74-'RFM input'!$I$128)/A14taxstdlife))</f>
        <v>0</v>
      </c>
      <c r="L284" s="18">
        <f>IF(A14taxstdlife="n/a","n/a",IF(L$3&gt;(A14taxstdlife+$E284),('RFM input'!$I$74-'RFM input'!$I$128)-SUM($I284:K284),('RFM input'!$I$74-'RFM input'!$I$128)/A14taxstdlife))</f>
        <v>0</v>
      </c>
      <c r="M284" s="18">
        <f>IF(A14taxstdlife="n/a","n/a",IF(M$3&gt;(A14taxstdlife+$E284),('RFM input'!$I$74-'RFM input'!$I$128)-SUM($I284:L284),('RFM input'!$I$74-'RFM input'!$I$128)/A14taxstdlife))</f>
        <v>0</v>
      </c>
      <c r="N284" s="18">
        <f>IF(A14taxstdlife="n/a","n/a",IF(N$3&gt;(A14taxstdlife+$E284),('RFM input'!$I$74-'RFM input'!$I$128)-SUM($I284:M284),('RFM input'!$I$74-'RFM input'!$I$128)/A14taxstdlife))</f>
        <v>0</v>
      </c>
      <c r="O284" s="18">
        <f>IF(A14taxstdlife="n/a","n/a",IF(O$3&gt;(A14taxstdlife+$E284),('RFM input'!$I$74-'RFM input'!$I$128)-SUM($I284:N284),('RFM input'!$I$74-'RFM input'!$I$128)/A14taxstdlife))</f>
        <v>0</v>
      </c>
      <c r="P284" s="18">
        <f>IF(A14taxstdlife="n/a","n/a",IF(P$3&gt;(A14taxstdlife+$E284),('RFM input'!$I$74-'RFM input'!$I$128)-SUM($I284:O284),('RFM input'!$I$74-'RFM input'!$I$128)/A14taxstdlife))</f>
        <v>0</v>
      </c>
      <c r="Q284" s="18">
        <f>IF(A14taxstdlife="n/a","n/a",IF(Q$3&gt;(A14taxstdlife+$E284),('RFM input'!$I$74-'RFM input'!$I$128)-SUM($I284:P284),('RFM input'!$I$74-'RFM input'!$I$128)/A14taxstdlife))</f>
        <v>0</v>
      </c>
      <c r="R284" s="18"/>
      <c r="S284" s="74"/>
      <c r="T284" s="74"/>
      <c r="U284" s="74"/>
      <c r="V284" s="74"/>
      <c r="W284" s="74"/>
      <c r="X284" s="74"/>
      <c r="Y284" s="74"/>
      <c r="Z284" s="74"/>
      <c r="AA284" s="152"/>
    </row>
    <row r="285" spans="1:27" hidden="1" outlineLevel="2">
      <c r="A285" s="3"/>
      <c r="B285" s="3"/>
      <c r="C285" s="16"/>
      <c r="D285" s="1594"/>
      <c r="E285" s="61">
        <v>3</v>
      </c>
      <c r="F285" s="17"/>
      <c r="G285" s="17"/>
      <c r="H285" s="1414"/>
      <c r="I285" s="1414"/>
      <c r="J285" s="116"/>
      <c r="K285" s="18">
        <f>IF(A14taxstdlife="n/a","n/a",IF(K$3&gt;(A14taxstdlife+$E285),('RFM input'!$J$74-'RFM input'!$J$128)-SUM($J285:J285),('RFM input'!$J$74-'RFM input'!$J$128)/A14taxstdlife))</f>
        <v>0</v>
      </c>
      <c r="L285" s="18">
        <f>IF(A14taxstdlife="n/a","n/a",IF(L$3&gt;(A14taxstdlife+$E285),('RFM input'!$J$74-'RFM input'!$J$128)-SUM($J285:K285),('RFM input'!$J$74-'RFM input'!$J$128)/A14taxstdlife))</f>
        <v>0</v>
      </c>
      <c r="M285" s="18">
        <f>IF(A14taxstdlife="n/a","n/a",IF(M$3&gt;(A14taxstdlife+$E285),('RFM input'!$J$74-'RFM input'!$J$128)-SUM($J285:L285),('RFM input'!$J$74-'RFM input'!$J$128)/A14taxstdlife))</f>
        <v>0</v>
      </c>
      <c r="N285" s="18">
        <f>IF(A14taxstdlife="n/a","n/a",IF(N$3&gt;(A14taxstdlife+$E285),('RFM input'!$J$74-'RFM input'!$J$128)-SUM($J285:M285),('RFM input'!$J$74-'RFM input'!$J$128)/A14taxstdlife))</f>
        <v>0</v>
      </c>
      <c r="O285" s="18">
        <f>IF(A14taxstdlife="n/a","n/a",IF(O$3&gt;(A14taxstdlife+$E285),('RFM input'!$J$74-'RFM input'!$J$128)-SUM($J285:N285),('RFM input'!$J$74-'RFM input'!$J$128)/A14taxstdlife))</f>
        <v>0</v>
      </c>
      <c r="P285" s="18">
        <f>IF(A14taxstdlife="n/a","n/a",IF(P$3&gt;(A14taxstdlife+$E285),('RFM input'!$J$74-'RFM input'!$J$128)-SUM($J285:O285),('RFM input'!$J$74-'RFM input'!$J$128)/A14taxstdlife))</f>
        <v>0</v>
      </c>
      <c r="Q285" s="18">
        <f>IF(A14taxstdlife="n/a","n/a",IF(Q$3&gt;(A14taxstdlife+$E285),('RFM input'!$J$74-'RFM input'!$J$128)-SUM($J285:P285),('RFM input'!$J$74-'RFM input'!$J$128)/A14taxstdlife))</f>
        <v>0</v>
      </c>
      <c r="R285" s="18"/>
      <c r="S285" s="74"/>
      <c r="T285" s="74"/>
      <c r="U285" s="74"/>
      <c r="V285" s="74"/>
      <c r="W285" s="74"/>
      <c r="X285" s="74"/>
      <c r="Y285" s="74"/>
      <c r="Z285" s="74"/>
      <c r="AA285" s="152"/>
    </row>
    <row r="286" spans="1:27" hidden="1" outlineLevel="2">
      <c r="A286" s="3"/>
      <c r="B286" s="3"/>
      <c r="C286" s="16"/>
      <c r="D286" s="1594"/>
      <c r="E286" s="61">
        <v>4</v>
      </c>
      <c r="F286" s="17"/>
      <c r="G286" s="17"/>
      <c r="H286" s="1414"/>
      <c r="I286" s="1414"/>
      <c r="J286" s="115"/>
      <c r="K286" s="116"/>
      <c r="L286" s="18">
        <f>IF(A14taxstdlife="n/a","n/a",IF(L$3&gt;(A14taxstdlife+$E286),('RFM input'!$K$74-'RFM input'!$K$128)-SUM($K286:K286),('RFM input'!$K$74-'RFM input'!$K$128)/A14taxstdlife))</f>
        <v>0</v>
      </c>
      <c r="M286" s="18">
        <f>IF(A14taxstdlife="n/a","n/a",IF(M$3&gt;(A14taxstdlife+$E286),('RFM input'!$K$74-'RFM input'!$K$128)-SUM($K286:L286),('RFM input'!$K$74-'RFM input'!$K$128)/A14taxstdlife))</f>
        <v>0</v>
      </c>
      <c r="N286" s="18">
        <f>IF(A14taxstdlife="n/a","n/a",IF(N$3&gt;(A14taxstdlife+$E286),('RFM input'!$K$74-'RFM input'!$K$128)-SUM($K286:M286),('RFM input'!$K$74-'RFM input'!$K$128)/A14taxstdlife))</f>
        <v>0</v>
      </c>
      <c r="O286" s="18">
        <f>IF(A14taxstdlife="n/a","n/a",IF(O$3&gt;(A14taxstdlife+$E286),('RFM input'!$K$74-'RFM input'!$K$128)-SUM($K286:N286),('RFM input'!$K$74-'RFM input'!$K$128)/A14taxstdlife))</f>
        <v>0</v>
      </c>
      <c r="P286" s="18">
        <f>IF(A14taxstdlife="n/a","n/a",IF(P$3&gt;(A14taxstdlife+$E286),('RFM input'!$K$74-'RFM input'!$K$128)-SUM($K286:O286),('RFM input'!$K$74-'RFM input'!$K$128)/A14taxstdlife))</f>
        <v>0</v>
      </c>
      <c r="Q286" s="18">
        <f>IF(A14taxstdlife="n/a","n/a",IF(Q$3&gt;(A14taxstdlife+$E286),('RFM input'!$K$74-'RFM input'!$K$128)-SUM($K286:P286),('RFM input'!$K$74-'RFM input'!$K$128)/A14taxstdlife))</f>
        <v>0</v>
      </c>
      <c r="R286" s="18"/>
      <c r="S286" s="74"/>
      <c r="T286" s="74"/>
      <c r="U286" s="74"/>
      <c r="V286" s="74"/>
      <c r="W286" s="74"/>
      <c r="X286" s="74"/>
      <c r="Y286" s="74"/>
      <c r="Z286" s="74"/>
      <c r="AA286" s="152"/>
    </row>
    <row r="287" spans="1:27" hidden="1" outlineLevel="2">
      <c r="A287" s="3"/>
      <c r="B287" s="3"/>
      <c r="C287" s="16"/>
      <c r="D287" s="1594"/>
      <c r="E287" s="61">
        <v>5</v>
      </c>
      <c r="F287" s="17"/>
      <c r="G287" s="17"/>
      <c r="H287" s="1414"/>
      <c r="I287" s="1414"/>
      <c r="J287" s="115"/>
      <c r="K287" s="115"/>
      <c r="L287" s="116"/>
      <c r="M287" s="18">
        <f>IF(A14taxstdlife="n/a","n/a",IF(M$3&gt;(A14taxstdlife+$E287),('RFM input'!$L$74-'RFM input'!$L$128)-SUM($L287:L287),('RFM input'!$L$74-'RFM input'!$L$128)/A14taxstdlife))</f>
        <v>0</v>
      </c>
      <c r="N287" s="18">
        <f>IF(A14taxstdlife="n/a","n/a",IF(N$3&gt;(A14taxstdlife+$E287),('RFM input'!$L$74-'RFM input'!$L$128)-SUM($L287:M287),('RFM input'!$L$74-'RFM input'!$L$128)/A14taxstdlife))</f>
        <v>0</v>
      </c>
      <c r="O287" s="18">
        <f>IF(A14taxstdlife="n/a","n/a",IF(O$3&gt;(A14taxstdlife+$E287),('RFM input'!$L$74-'RFM input'!$L$128)-SUM($L287:N287),('RFM input'!$L$74-'RFM input'!$L$128)/A14taxstdlife))</f>
        <v>0</v>
      </c>
      <c r="P287" s="18">
        <f>IF(A14taxstdlife="n/a","n/a",IF(P$3&gt;(A14taxstdlife+$E287),('RFM input'!$L$74-'RFM input'!$L$128)-SUM($L287:O287),('RFM input'!$L$74-'RFM input'!$L$128)/A14taxstdlife))</f>
        <v>0</v>
      </c>
      <c r="Q287" s="18">
        <f>IF(A14taxstdlife="n/a","n/a",IF(Q$3&gt;(A14taxstdlife+$E287),('RFM input'!$L$74-'RFM input'!$L$128)-SUM($L287:P287),('RFM input'!$L$74-'RFM input'!$L$128)/A14taxstdlife))</f>
        <v>0</v>
      </c>
      <c r="R287" s="18"/>
      <c r="S287" s="74"/>
      <c r="T287" s="74"/>
      <c r="U287" s="74"/>
      <c r="V287" s="74"/>
      <c r="W287" s="74"/>
      <c r="X287" s="74"/>
      <c r="Y287" s="74"/>
      <c r="Z287" s="74"/>
      <c r="AA287" s="152"/>
    </row>
    <row r="288" spans="1:27" hidden="1" outlineLevel="2">
      <c r="A288" s="3"/>
      <c r="B288" s="3"/>
      <c r="C288" s="16"/>
      <c r="D288" s="1594"/>
      <c r="E288" s="61">
        <v>6</v>
      </c>
      <c r="F288" s="17"/>
      <c r="G288" s="17"/>
      <c r="H288" s="1414"/>
      <c r="I288" s="1414"/>
      <c r="J288" s="115"/>
      <c r="K288" s="115"/>
      <c r="L288" s="115"/>
      <c r="M288" s="116"/>
      <c r="N288" s="18">
        <f>IF(A14taxstdlife="n/a","n/a",IF(N$3&gt;(A14taxstdlife+$E288),('RFM input'!$M$74-'RFM input'!$M$128)-SUM($M288:M288),('RFM input'!$M$74-'RFM input'!$M$128)/A14taxstdlife))</f>
        <v>0</v>
      </c>
      <c r="O288" s="18">
        <f>IF(A14taxstdlife="n/a","n/a",IF(O$3&gt;(A14taxstdlife+$E288),('RFM input'!$M$74-'RFM input'!$M$128)-SUM($M288:N288),('RFM input'!$M$74-'RFM input'!$M$128)/A14taxstdlife))</f>
        <v>0</v>
      </c>
      <c r="P288" s="18">
        <f>IF(A14taxstdlife="n/a","n/a",IF(P$3&gt;(A14taxstdlife+$E288),('RFM input'!$M$74-'RFM input'!$M$128)-SUM($M288:O288),('RFM input'!$M$74-'RFM input'!$M$128)/A14taxstdlife))</f>
        <v>0</v>
      </c>
      <c r="Q288" s="18">
        <f>IF(A14taxstdlife="n/a","n/a",IF(Q$3&gt;(A14taxstdlife+$E288),('RFM input'!$M$74-'RFM input'!$M$128)-SUM($M288:P288),('RFM input'!$M$74-'RFM input'!$M$128)/A14taxstdlife))</f>
        <v>0</v>
      </c>
      <c r="R288" s="18"/>
      <c r="S288" s="74"/>
      <c r="T288" s="74"/>
      <c r="U288" s="74"/>
      <c r="V288" s="74"/>
      <c r="W288" s="74"/>
      <c r="X288" s="74"/>
      <c r="Y288" s="74"/>
      <c r="Z288" s="74"/>
      <c r="AA288" s="152"/>
    </row>
    <row r="289" spans="1:27" hidden="1" outlineLevel="2">
      <c r="A289" s="3"/>
      <c r="B289" s="3"/>
      <c r="C289" s="16"/>
      <c r="D289" s="1594"/>
      <c r="E289" s="61">
        <v>7</v>
      </c>
      <c r="F289" s="17"/>
      <c r="G289" s="17"/>
      <c r="H289" s="1414"/>
      <c r="I289" s="1414"/>
      <c r="J289" s="115"/>
      <c r="K289" s="115"/>
      <c r="L289" s="115"/>
      <c r="M289" s="115"/>
      <c r="N289" s="116"/>
      <c r="O289" s="18">
        <f>IF(A14taxstdlife="n/a","n/a",IF(O$3&gt;(A14taxstdlife+$E289),('RFM input'!$N$74-'RFM input'!$N$128)-SUM($N289:N289),('RFM input'!$N$74-'RFM input'!$N$128)/A14taxstdlife))</f>
        <v>0</v>
      </c>
      <c r="P289" s="18">
        <f>IF(A14taxstdlife="n/a","n/a",IF(P$3&gt;(A14taxstdlife+$E289),('RFM input'!$N$74-'RFM input'!$N$128)-SUM($N289:O289),('RFM input'!$N$74-'RFM input'!$N$128)/A14taxstdlife))</f>
        <v>0</v>
      </c>
      <c r="Q289" s="18">
        <f>IF(A14taxstdlife="n/a","n/a",IF(Q$3&gt;(A14taxstdlife+$E289),('RFM input'!$N$74-'RFM input'!$N$128)-SUM($N289:P289),('RFM input'!$N$74-'RFM input'!$N$128)/A14taxstdlife))</f>
        <v>0</v>
      </c>
      <c r="R289" s="18"/>
      <c r="S289" s="74"/>
      <c r="T289" s="74"/>
      <c r="U289" s="74"/>
      <c r="V289" s="74"/>
      <c r="W289" s="74"/>
      <c r="X289" s="74"/>
      <c r="Y289" s="74"/>
      <c r="Z289" s="74"/>
      <c r="AA289" s="152"/>
    </row>
    <row r="290" spans="1:27" hidden="1" outlineLevel="2">
      <c r="A290" s="3"/>
      <c r="B290" s="3"/>
      <c r="C290" s="16"/>
      <c r="D290" s="1594"/>
      <c r="E290" s="61">
        <v>8</v>
      </c>
      <c r="F290" s="17"/>
      <c r="G290" s="17"/>
      <c r="H290" s="1414"/>
      <c r="I290" s="1414"/>
      <c r="J290" s="115"/>
      <c r="K290" s="115"/>
      <c r="L290" s="115"/>
      <c r="M290" s="115"/>
      <c r="N290" s="115"/>
      <c r="O290" s="116"/>
      <c r="P290" s="18">
        <f>IF(A14taxstdlife="n/a","n/a",IF(P$3&gt;(A14taxstdlife+$E290),('RFM input'!$O$74-'RFM input'!$O$128)-SUM($O290:O290),('RFM input'!$O$74-'RFM input'!$O$128)/A14taxstdlife))</f>
        <v>0</v>
      </c>
      <c r="Q290" s="18">
        <f>IF(A14taxstdlife="n/a","n/a",IF(Q$3&gt;(A14taxstdlife+$E290),('RFM input'!$O$74-'RFM input'!$O$128)-SUM($O290:P290),('RFM input'!$O$74-'RFM input'!$O$128)/A14taxstdlife))</f>
        <v>0</v>
      </c>
      <c r="R290" s="18"/>
      <c r="S290" s="74"/>
      <c r="T290" s="74"/>
      <c r="U290" s="74"/>
      <c r="V290" s="74"/>
      <c r="W290" s="74"/>
      <c r="X290" s="74"/>
      <c r="Y290" s="74"/>
      <c r="Z290" s="74"/>
      <c r="AA290" s="152"/>
    </row>
    <row r="291" spans="1:27" hidden="1" outlineLevel="2">
      <c r="A291" s="3"/>
      <c r="B291" s="3"/>
      <c r="C291" s="16"/>
      <c r="D291" s="1594"/>
      <c r="E291" s="61">
        <v>9</v>
      </c>
      <c r="F291" s="17"/>
      <c r="G291" s="17"/>
      <c r="H291" s="1414"/>
      <c r="I291" s="1414"/>
      <c r="J291" s="115"/>
      <c r="K291" s="115"/>
      <c r="L291" s="115"/>
      <c r="M291" s="115"/>
      <c r="N291" s="115"/>
      <c r="O291" s="115"/>
      <c r="P291" s="116"/>
      <c r="Q291" s="18">
        <f>IF(A14taxstdlife="n/a","n/a",IF(Q$3&gt;(A14taxstdlife+$E291),('RFM input'!$P$74-'RFM input'!$P$128)-SUM($P291:P291),('RFM input'!$P$74-'RFM input'!$P$128)/A14taxstdlife))</f>
        <v>0</v>
      </c>
      <c r="R291" s="18"/>
      <c r="S291" s="74"/>
      <c r="T291" s="74"/>
      <c r="U291" s="74"/>
      <c r="V291" s="74"/>
      <c r="W291" s="74"/>
      <c r="X291" s="74"/>
      <c r="Y291" s="74"/>
      <c r="Z291" s="74"/>
      <c r="AA291" s="152"/>
    </row>
    <row r="292" spans="1:27" hidden="1" outlineLevel="2">
      <c r="A292" s="3"/>
      <c r="B292" s="3"/>
      <c r="C292" s="16"/>
      <c r="D292" s="1594"/>
      <c r="E292" s="62">
        <v>10</v>
      </c>
      <c r="F292" s="17"/>
      <c r="G292" s="17"/>
      <c r="H292" s="1414"/>
      <c r="I292" s="1414"/>
      <c r="J292" s="115"/>
      <c r="K292" s="115"/>
      <c r="L292" s="115"/>
      <c r="M292" s="115"/>
      <c r="N292" s="115"/>
      <c r="O292" s="115"/>
      <c r="P292" s="115"/>
      <c r="Q292" s="116"/>
      <c r="R292" s="18"/>
      <c r="S292" s="74"/>
      <c r="T292" s="74"/>
      <c r="U292" s="74"/>
      <c r="V292" s="74"/>
      <c r="W292" s="74"/>
      <c r="X292" s="74"/>
      <c r="Y292" s="74"/>
      <c r="Z292" s="74"/>
      <c r="AA292" s="152"/>
    </row>
    <row r="293" spans="1:27" hidden="1" outlineLevel="1">
      <c r="A293" s="3"/>
      <c r="B293" s="3"/>
      <c r="C293" s="134">
        <f>Asset14</f>
        <v>0</v>
      </c>
      <c r="D293" s="3"/>
      <c r="E293" s="3"/>
      <c r="F293" s="14"/>
      <c r="G293" s="14"/>
      <c r="H293" s="1460">
        <f>IF('RFM input'!$G$354="Tracked",-1*INDEX('RFM input'!H$358:H$407,MATCH('TAB roll forward'!$C293,'RFM input'!$E$358:$E$407,0)),-SUM(H281:H292))</f>
        <v>0</v>
      </c>
      <c r="I293" s="1460">
        <f>IF('RFM input'!$G$354="Tracked",-1*INDEX('RFM input'!I$358:I$407,MATCH('TAB roll forward'!$C293,'RFM input'!$E$358:$E$407,0)),-SUM(I281:I292))</f>
        <v>0</v>
      </c>
      <c r="J293" s="1460">
        <f>IF(COUNT($H293:I293)&gt;='RFM input'!$V$7,0,IF('RFM input'!$G$354="Tracked",-1*INDEX('RFM input'!J$358:J$407,MATCH('TAB roll forward'!$C293,'RFM input'!$E$358:$E$407,0)),-SUM(J281:J292)))</f>
        <v>0</v>
      </c>
      <c r="K293" s="1460">
        <f>IF(COUNT($H293:J293)&gt;='RFM input'!$V$7,0,IF('RFM input'!$G$354="Tracked",-1*INDEX('RFM input'!K$358:K$407,MATCH('TAB roll forward'!$C293,'RFM input'!$E$358:$E$407,0)),-SUM(K281:K292)))</f>
        <v>0</v>
      </c>
      <c r="L293" s="1460">
        <f>IF(COUNT($H293:K293)&gt;='RFM input'!$V$7,0,IF('RFM input'!$G$354="Tracked",-1*INDEX('RFM input'!L$358:L$407,MATCH('TAB roll forward'!$C293,'RFM input'!$E$358:$E$407,0)),-SUM(L281:L292)))</f>
        <v>0</v>
      </c>
      <c r="M293" s="1460">
        <f>IF(COUNT($H293:L293)&gt;='RFM input'!$V$7,0,IF('RFM input'!$G$354="Tracked",-1*INDEX('RFM input'!M$358:M$407,MATCH('TAB roll forward'!$C293,'RFM input'!$E$358:$E$407,0)),-SUM(M281:M292)))</f>
        <v>0</v>
      </c>
      <c r="N293" s="1460">
        <f>IF(COUNT($H293:M293)&gt;='RFM input'!$V$7,0,IF('RFM input'!$G$354="Tracked",-1*INDEX('RFM input'!N$358:N$407,MATCH('TAB roll forward'!$C293,'RFM input'!$E$358:$E$407,0)),-SUM(N281:N292)))</f>
        <v>0</v>
      </c>
      <c r="O293" s="1460">
        <f>IF(COUNT($H293:N293)&gt;='RFM input'!$V$7,0,IF('RFM input'!$G$354="Tracked",-1*INDEX('RFM input'!O$358:O$407,MATCH('TAB roll forward'!$C293,'RFM input'!$E$358:$E$407,0)),-SUM(O281:O292)))</f>
        <v>0</v>
      </c>
      <c r="P293" s="1460">
        <f>IF(COUNT($H293:O293)&gt;='RFM input'!$V$7,0,IF('RFM input'!$G$354="Tracked",-1*INDEX('RFM input'!P$358:P$407,MATCH('TAB roll forward'!$C293,'RFM input'!$E$358:$E$407,0)),-SUM(P281:P292)))</f>
        <v>0</v>
      </c>
      <c r="Q293" s="1460">
        <f>IF(COUNT($H293:P293)&gt;='RFM input'!$V$7,0,IF('RFM input'!$G$354="Tracked",-1*INDEX('RFM input'!Q$358:Q$407,MATCH('TAB roll forward'!$C293,'RFM input'!$E$358:$E$407,0)),-SUM(Q281:Q292)))</f>
        <v>0</v>
      </c>
      <c r="R293" s="1382"/>
      <c r="S293" s="73"/>
      <c r="T293" s="73"/>
      <c r="U293" s="73"/>
      <c r="V293" s="73"/>
      <c r="W293" s="73"/>
      <c r="X293" s="73"/>
      <c r="Y293" s="73"/>
      <c r="Z293" s="73"/>
      <c r="AA293" s="152"/>
    </row>
    <row r="294" spans="1:27" hidden="1" outlineLevel="2">
      <c r="A294" s="3"/>
      <c r="B294" s="135">
        <f>Asset15</f>
        <v>0</v>
      </c>
      <c r="C294" s="19"/>
      <c r="D294" s="234" t="s">
        <v>119</v>
      </c>
      <c r="E294" s="19"/>
      <c r="F294" s="148"/>
      <c r="G294" s="148"/>
      <c r="H294" s="21">
        <f>IF(H$3&gt;A15taxremlife,A15taxvalue-SUM($F294:F294),IF(A15taxremlife="N/A","n/a",A15taxvalue/A15taxremlife))</f>
        <v>0</v>
      </c>
      <c r="I294" s="21">
        <f>IF(I$3&gt;A15taxremlife,A15taxvalue-SUM($F294:H294),IF(A15taxremlife="N/A","n/a",A15taxvalue/A15taxremlife))</f>
        <v>0</v>
      </c>
      <c r="J294" s="21">
        <f>IF(J$3&gt;A15taxremlife,A15taxvalue-SUM($F294:I294),IF(A15taxremlife="N/A","n/a",A15taxvalue/A15taxremlife))</f>
        <v>0</v>
      </c>
      <c r="K294" s="21">
        <f>IF(K$3&gt;A15taxremlife,A15taxvalue-SUM($F294:J294),IF(A15taxremlife="N/A","n/a",A15taxvalue/A15taxremlife))</f>
        <v>0</v>
      </c>
      <c r="L294" s="21">
        <f>IF(L$3&gt;A15taxremlife,A15taxvalue-SUM($F294:K294),IF(A15taxremlife="N/A","n/a",A15taxvalue/A15taxremlife))</f>
        <v>0</v>
      </c>
      <c r="M294" s="21">
        <f>IF(M$3&gt;A15taxremlife,A15taxvalue-SUM($F294:L294),IF(A15taxremlife="N/A","n/a",A15taxvalue/A15taxremlife))</f>
        <v>0</v>
      </c>
      <c r="N294" s="21">
        <f>IF(N$3&gt;A15taxremlife,A15taxvalue-SUM($F294:M294),IF(A15taxremlife="N/A","n/a",A15taxvalue/A15taxremlife))</f>
        <v>0</v>
      </c>
      <c r="O294" s="21">
        <f>IF(O$3&gt;A15taxremlife,A15taxvalue-SUM($F294:N294),IF(A15taxremlife="N/A","n/a",A15taxvalue/A15taxremlife))</f>
        <v>0</v>
      </c>
      <c r="P294" s="21">
        <f>IF(P$3&gt;A15taxremlife,A15taxvalue-SUM($F294:O294),IF(A15taxremlife="N/A","n/a",A15taxvalue/A15taxremlife))</f>
        <v>0</v>
      </c>
      <c r="Q294" s="21">
        <f>IF(Q$3&gt;A15taxremlife,A15taxvalue-SUM($F294:P294),IF(A15taxremlife="N/A","n/a",A15taxvalue/A15taxremlife))</f>
        <v>0</v>
      </c>
      <c r="R294" s="21"/>
      <c r="S294" s="74"/>
      <c r="T294" s="74"/>
      <c r="U294" s="74"/>
      <c r="V294" s="74"/>
      <c r="W294" s="74"/>
      <c r="X294" s="74"/>
      <c r="Y294" s="74"/>
      <c r="Z294" s="74"/>
      <c r="AA294" s="152"/>
    </row>
    <row r="295" spans="1:27" ht="12.75" hidden="1" customHeight="1" outlineLevel="2">
      <c r="A295" s="3"/>
      <c r="B295" s="3"/>
      <c r="C295" s="16"/>
      <c r="D295" s="1593" t="s">
        <v>43</v>
      </c>
      <c r="E295" s="61">
        <v>0</v>
      </c>
      <c r="F295" s="17"/>
      <c r="G295" s="17"/>
      <c r="H295" s="1413"/>
      <c r="I295" s="72"/>
      <c r="J295" s="18"/>
      <c r="K295" s="18"/>
      <c r="L295" s="18"/>
      <c r="M295" s="18"/>
      <c r="N295" s="18"/>
      <c r="O295" s="18"/>
      <c r="P295" s="18"/>
      <c r="Q295" s="18"/>
      <c r="R295" s="18"/>
      <c r="S295" s="74"/>
      <c r="T295" s="74"/>
      <c r="U295" s="74"/>
      <c r="V295" s="74"/>
      <c r="W295" s="74"/>
      <c r="X295" s="74"/>
      <c r="Y295" s="74"/>
      <c r="Z295" s="74"/>
      <c r="AA295" s="152"/>
    </row>
    <row r="296" spans="1:27" hidden="1" outlineLevel="2">
      <c r="A296" s="3"/>
      <c r="B296" s="3"/>
      <c r="C296" s="16"/>
      <c r="D296" s="1594"/>
      <c r="E296" s="61">
        <v>1</v>
      </c>
      <c r="F296" s="17"/>
      <c r="G296" s="17"/>
      <c r="H296" s="1414"/>
      <c r="I296" s="1415">
        <f>IF(A15taxstdlife="n/a","n/a",IF(I$3&gt;(A15taxstdlife+$E296),('RFM input'!$H$75-'RFM input'!$H$129)-SUM($H296:H296),('RFM input'!$H$75-'RFM input'!$H$129)/A15taxstdlife))</f>
        <v>0</v>
      </c>
      <c r="J296" s="18">
        <f>IF(A15taxstdlife="n/a","n/a",IF(J$3&gt;(A15taxstdlife+$E296),('RFM input'!$H$75-'RFM input'!$H$129)-SUM($H296:I296),('RFM input'!$H$75-'RFM input'!$H$129)/A15taxstdlife))</f>
        <v>0</v>
      </c>
      <c r="K296" s="18">
        <f>IF(A15taxstdlife="n/a","n/a",IF(K$3&gt;(A15taxstdlife+$E296),('RFM input'!$H$75-'RFM input'!$H$129)-SUM($H296:J296),('RFM input'!$H$75-'RFM input'!$H$129)/A15taxstdlife))</f>
        <v>0</v>
      </c>
      <c r="L296" s="18">
        <f>IF(A15taxstdlife="n/a","n/a",IF(L$3&gt;(A15taxstdlife+$E296),('RFM input'!$H$75-'RFM input'!$H$129)-SUM($H296:K296),('RFM input'!$H$75-'RFM input'!$H$129)/A15taxstdlife))</f>
        <v>0</v>
      </c>
      <c r="M296" s="18">
        <f>IF(A15taxstdlife="n/a","n/a",IF(M$3&gt;(A15taxstdlife+$E296),('RFM input'!$H$75-'RFM input'!$H$129)-SUM($H296:L296),('RFM input'!$H$75-'RFM input'!$H$129)/A15taxstdlife))</f>
        <v>0</v>
      </c>
      <c r="N296" s="18">
        <f>IF(A15taxstdlife="n/a","n/a",IF(N$3&gt;(A15taxstdlife+$E296),('RFM input'!$H$75-'RFM input'!$H$129)-SUM($H296:M296),('RFM input'!$H$75-'RFM input'!$H$129)/A15taxstdlife))</f>
        <v>0</v>
      </c>
      <c r="O296" s="18">
        <f>IF(A15taxstdlife="n/a","n/a",IF(O$3&gt;(A15taxstdlife+$E296),('RFM input'!$H$75-'RFM input'!$H$129)-SUM($H296:N296),('RFM input'!$H$75-'RFM input'!$H$129)/A15taxstdlife))</f>
        <v>0</v>
      </c>
      <c r="P296" s="18">
        <f>IF(A15taxstdlife="n/a","n/a",IF(P$3&gt;(A15taxstdlife+$E296),('RFM input'!$H$75-'RFM input'!$H$129)-SUM($H296:O296),('RFM input'!$H$75-'RFM input'!$H$129)/A15taxstdlife))</f>
        <v>0</v>
      </c>
      <c r="Q296" s="18">
        <f>IF(A15taxstdlife="n/a","n/a",IF(Q$3&gt;(A15taxstdlife+$E296),('RFM input'!$H$75-'RFM input'!$H$129)-SUM($H296:P296),('RFM input'!$H$75-'RFM input'!$H$129)/A15taxstdlife))</f>
        <v>0</v>
      </c>
      <c r="R296" s="18"/>
      <c r="S296" s="74"/>
      <c r="T296" s="74"/>
      <c r="U296" s="74"/>
      <c r="V296" s="74"/>
      <c r="W296" s="74"/>
      <c r="X296" s="74"/>
      <c r="Y296" s="74"/>
      <c r="Z296" s="74"/>
      <c r="AA296" s="152"/>
    </row>
    <row r="297" spans="1:27" hidden="1" outlineLevel="2">
      <c r="A297" s="3"/>
      <c r="B297" s="3"/>
      <c r="C297" s="16"/>
      <c r="D297" s="1594"/>
      <c r="E297" s="61">
        <v>2</v>
      </c>
      <c r="F297" s="17"/>
      <c r="G297" s="17"/>
      <c r="H297" s="1414"/>
      <c r="I297" s="1414"/>
      <c r="J297" s="18">
        <f>IF(A15taxstdlife="n/a","n/a",IF(J$3&gt;(A15taxstdlife+$E297),('RFM input'!$I$75-'RFM input'!$I$129)-SUM($I297:I297),('RFM input'!$I$75-'RFM input'!$I$129)/A15taxstdlife))</f>
        <v>0</v>
      </c>
      <c r="K297" s="18">
        <f>IF(A15taxstdlife="n/a","n/a",IF(K$3&gt;(A15taxstdlife+$E297),('RFM input'!$I$75-'RFM input'!$I$129)-SUM($I297:J297),('RFM input'!$I$75-'RFM input'!$I$129)/A15taxstdlife))</f>
        <v>0</v>
      </c>
      <c r="L297" s="18">
        <f>IF(A15taxstdlife="n/a","n/a",IF(L$3&gt;(A15taxstdlife+$E297),('RFM input'!$I$75-'RFM input'!$I$129)-SUM($I297:K297),('RFM input'!$I$75-'RFM input'!$I$129)/A15taxstdlife))</f>
        <v>0</v>
      </c>
      <c r="M297" s="18">
        <f>IF(A15taxstdlife="n/a","n/a",IF(M$3&gt;(A15taxstdlife+$E297),('RFM input'!$I$75-'RFM input'!$I$129)-SUM($I297:L297),('RFM input'!$I$75-'RFM input'!$I$129)/A15taxstdlife))</f>
        <v>0</v>
      </c>
      <c r="N297" s="18">
        <f>IF(A15taxstdlife="n/a","n/a",IF(N$3&gt;(A15taxstdlife+$E297),('RFM input'!$I$75-'RFM input'!$I$129)-SUM($I297:M297),('RFM input'!$I$75-'RFM input'!$I$129)/A15taxstdlife))</f>
        <v>0</v>
      </c>
      <c r="O297" s="18">
        <f>IF(A15taxstdlife="n/a","n/a",IF(O$3&gt;(A15taxstdlife+$E297),('RFM input'!$I$75-'RFM input'!$I$129)-SUM($I297:N297),('RFM input'!$I$75-'RFM input'!$I$129)/A15taxstdlife))</f>
        <v>0</v>
      </c>
      <c r="P297" s="18">
        <f>IF(A15taxstdlife="n/a","n/a",IF(P$3&gt;(A15taxstdlife+$E297),('RFM input'!$I$75-'RFM input'!$I$129)-SUM($I297:O297),('RFM input'!$I$75-'RFM input'!$I$129)/A15taxstdlife))</f>
        <v>0</v>
      </c>
      <c r="Q297" s="18">
        <f>IF(A15taxstdlife="n/a","n/a",IF(Q$3&gt;(A15taxstdlife+$E297),('RFM input'!$I$75-'RFM input'!$I$129)-SUM($I297:P297),('RFM input'!$I$75-'RFM input'!$I$129)/A15taxstdlife))</f>
        <v>0</v>
      </c>
      <c r="R297" s="18"/>
      <c r="S297" s="74"/>
      <c r="T297" s="74"/>
      <c r="U297" s="74"/>
      <c r="V297" s="74"/>
      <c r="W297" s="74"/>
      <c r="X297" s="74"/>
      <c r="Y297" s="74"/>
      <c r="Z297" s="74"/>
      <c r="AA297" s="152"/>
    </row>
    <row r="298" spans="1:27" hidden="1" outlineLevel="2">
      <c r="A298" s="3"/>
      <c r="B298" s="3"/>
      <c r="C298" s="16"/>
      <c r="D298" s="1594"/>
      <c r="E298" s="61">
        <v>3</v>
      </c>
      <c r="F298" s="17"/>
      <c r="G298" s="17"/>
      <c r="H298" s="1414"/>
      <c r="I298" s="1414"/>
      <c r="J298" s="116"/>
      <c r="K298" s="18">
        <f>IF(A15taxstdlife="n/a","n/a",IF(K$3&gt;(A15taxstdlife+$E298),('RFM input'!$J$75-'RFM input'!$J$129)-SUM($J298:J298),('RFM input'!$J$75-'RFM input'!$J$129)/A15taxstdlife))</f>
        <v>0</v>
      </c>
      <c r="L298" s="18">
        <f>IF(A15taxstdlife="n/a","n/a",IF(L$3&gt;(A15taxstdlife+$E298),('RFM input'!$J$75-'RFM input'!$J$129)-SUM($J298:K298),('RFM input'!$J$75-'RFM input'!$J$129)/A15taxstdlife))</f>
        <v>0</v>
      </c>
      <c r="M298" s="18">
        <f>IF(A15taxstdlife="n/a","n/a",IF(M$3&gt;(A15taxstdlife+$E298),('RFM input'!$J$75-'RFM input'!$J$129)-SUM($J298:L298),('RFM input'!$J$75-'RFM input'!$J$129)/A15taxstdlife))</f>
        <v>0</v>
      </c>
      <c r="N298" s="18">
        <f>IF(A15taxstdlife="n/a","n/a",IF(N$3&gt;(A15taxstdlife+$E298),('RFM input'!$J$75-'RFM input'!$J$129)-SUM($J298:M298),('RFM input'!$J$75-'RFM input'!$J$129)/A15taxstdlife))</f>
        <v>0</v>
      </c>
      <c r="O298" s="18">
        <f>IF(A15taxstdlife="n/a","n/a",IF(O$3&gt;(A15taxstdlife+$E298),('RFM input'!$J$75-'RFM input'!$J$129)-SUM($J298:N298),('RFM input'!$J$75-'RFM input'!$J$129)/A15taxstdlife))</f>
        <v>0</v>
      </c>
      <c r="P298" s="18">
        <f>IF(A15taxstdlife="n/a","n/a",IF(P$3&gt;(A15taxstdlife+$E298),('RFM input'!$J$75-'RFM input'!$J$129)-SUM($J298:O298),('RFM input'!$J$75-'RFM input'!$J$129)/A15taxstdlife))</f>
        <v>0</v>
      </c>
      <c r="Q298" s="18">
        <f>IF(A15taxstdlife="n/a","n/a",IF(Q$3&gt;(A15taxstdlife+$E298),('RFM input'!$J$75-'RFM input'!$J$129)-SUM($J298:P298),('RFM input'!$J$75-'RFM input'!$J$129)/A15taxstdlife))</f>
        <v>0</v>
      </c>
      <c r="R298" s="18"/>
      <c r="S298" s="74"/>
      <c r="T298" s="74"/>
      <c r="U298" s="74"/>
      <c r="V298" s="74"/>
      <c r="W298" s="74"/>
      <c r="X298" s="74"/>
      <c r="Y298" s="74"/>
      <c r="Z298" s="74"/>
      <c r="AA298" s="152"/>
    </row>
    <row r="299" spans="1:27" hidden="1" outlineLevel="2">
      <c r="A299" s="3"/>
      <c r="B299" s="3"/>
      <c r="C299" s="16"/>
      <c r="D299" s="1594"/>
      <c r="E299" s="61">
        <v>4</v>
      </c>
      <c r="F299" s="17"/>
      <c r="G299" s="17"/>
      <c r="H299" s="1414"/>
      <c r="I299" s="1414"/>
      <c r="J299" s="115"/>
      <c r="K299" s="116"/>
      <c r="L299" s="18">
        <f>IF(A15taxstdlife="n/a","n/a",IF(L$3&gt;(A15taxstdlife+$E299),('RFM input'!$K$75-'RFM input'!$K$129)-SUM($K299:K299),('RFM input'!$K$75-'RFM input'!$K$129)/A15taxstdlife))</f>
        <v>0</v>
      </c>
      <c r="M299" s="18">
        <f>IF(A15taxstdlife="n/a","n/a",IF(M$3&gt;(A15taxstdlife+$E299),('RFM input'!$K$75-'RFM input'!$K$129)-SUM($K299:L299),('RFM input'!$K$75-'RFM input'!$K$129)/A15taxstdlife))</f>
        <v>0</v>
      </c>
      <c r="N299" s="18">
        <f>IF(A15taxstdlife="n/a","n/a",IF(N$3&gt;(A15taxstdlife+$E299),('RFM input'!$K$75-'RFM input'!$K$129)-SUM($K299:M299),('RFM input'!$K$75-'RFM input'!$K$129)/A15taxstdlife))</f>
        <v>0</v>
      </c>
      <c r="O299" s="18">
        <f>IF(A15taxstdlife="n/a","n/a",IF(O$3&gt;(A15taxstdlife+$E299),('RFM input'!$K$75-'RFM input'!$K$129)-SUM($K299:N299),('RFM input'!$K$75-'RFM input'!$K$129)/A15taxstdlife))</f>
        <v>0</v>
      </c>
      <c r="P299" s="18">
        <f>IF(A15taxstdlife="n/a","n/a",IF(P$3&gt;(A15taxstdlife+$E299),('RFM input'!$K$75-'RFM input'!$K$129)-SUM($K299:O299),('RFM input'!$K$75-'RFM input'!$K$129)/A15taxstdlife))</f>
        <v>0</v>
      </c>
      <c r="Q299" s="18">
        <f>IF(A15taxstdlife="n/a","n/a",IF(Q$3&gt;(A15taxstdlife+$E299),('RFM input'!$K$75-'RFM input'!$K$129)-SUM($K299:P299),('RFM input'!$K$75-'RFM input'!$K$129)/A15taxstdlife))</f>
        <v>0</v>
      </c>
      <c r="R299" s="18"/>
      <c r="S299" s="74"/>
      <c r="T299" s="74"/>
      <c r="U299" s="74"/>
      <c r="V299" s="74"/>
      <c r="W299" s="74"/>
      <c r="X299" s="74"/>
      <c r="Y299" s="74"/>
      <c r="Z299" s="74"/>
      <c r="AA299" s="152"/>
    </row>
    <row r="300" spans="1:27" hidden="1" outlineLevel="2">
      <c r="A300" s="3"/>
      <c r="B300" s="3"/>
      <c r="C300" s="16"/>
      <c r="D300" s="1594"/>
      <c r="E300" s="61">
        <v>5</v>
      </c>
      <c r="F300" s="17"/>
      <c r="G300" s="17"/>
      <c r="H300" s="1414"/>
      <c r="I300" s="1414"/>
      <c r="J300" s="115"/>
      <c r="K300" s="115"/>
      <c r="L300" s="116"/>
      <c r="M300" s="18">
        <f>IF(A15taxstdlife="n/a","n/a",IF(M$3&gt;(A15taxstdlife+$E300),('RFM input'!$L$75-'RFM input'!$L$129)-SUM($L300:L300),('RFM input'!$L$75-'RFM input'!$L$129)/A15taxstdlife))</f>
        <v>0</v>
      </c>
      <c r="N300" s="18">
        <f>IF(A15taxstdlife="n/a","n/a",IF(N$3&gt;(A15taxstdlife+$E300),('RFM input'!$L$75-'RFM input'!$L$129)-SUM($L300:M300),('RFM input'!$L$75-'RFM input'!$L$129)/A15taxstdlife))</f>
        <v>0</v>
      </c>
      <c r="O300" s="18">
        <f>IF(A15taxstdlife="n/a","n/a",IF(O$3&gt;(A15taxstdlife+$E300),('RFM input'!$L$75-'RFM input'!$L$129)-SUM($L300:N300),('RFM input'!$L$75-'RFM input'!$L$129)/A15taxstdlife))</f>
        <v>0</v>
      </c>
      <c r="P300" s="18">
        <f>IF(A15taxstdlife="n/a","n/a",IF(P$3&gt;(A15taxstdlife+$E300),('RFM input'!$L$75-'RFM input'!$L$129)-SUM($L300:O300),('RFM input'!$L$75-'RFM input'!$L$129)/A15taxstdlife))</f>
        <v>0</v>
      </c>
      <c r="Q300" s="18">
        <f>IF(A15taxstdlife="n/a","n/a",IF(Q$3&gt;(A15taxstdlife+$E300),('RFM input'!$L$75-'RFM input'!$L$129)-SUM($L300:P300),('RFM input'!$L$75-'RFM input'!$L$129)/A15taxstdlife))</f>
        <v>0</v>
      </c>
      <c r="R300" s="18"/>
      <c r="S300" s="74"/>
      <c r="T300" s="74"/>
      <c r="U300" s="74"/>
      <c r="V300" s="74"/>
      <c r="W300" s="74"/>
      <c r="X300" s="74"/>
      <c r="Y300" s="74"/>
      <c r="Z300" s="74"/>
      <c r="AA300" s="152"/>
    </row>
    <row r="301" spans="1:27" hidden="1" outlineLevel="2">
      <c r="A301" s="3"/>
      <c r="B301" s="3"/>
      <c r="C301" s="16"/>
      <c r="D301" s="1594"/>
      <c r="E301" s="61">
        <v>6</v>
      </c>
      <c r="F301" s="17"/>
      <c r="G301" s="17"/>
      <c r="H301" s="1414"/>
      <c r="I301" s="1414"/>
      <c r="J301" s="115"/>
      <c r="K301" s="115"/>
      <c r="L301" s="115"/>
      <c r="M301" s="116"/>
      <c r="N301" s="18">
        <f>IF(A15taxstdlife="n/a","n/a",IF(N$3&gt;(A15taxstdlife+$E301),('RFM input'!$M$75-'RFM input'!$M$129)-SUM($M301:M301),('RFM input'!$M$75-'RFM input'!$M$129)/A15taxstdlife))</f>
        <v>0</v>
      </c>
      <c r="O301" s="18">
        <f>IF(A15taxstdlife="n/a","n/a",IF(O$3&gt;(A15taxstdlife+$E301),('RFM input'!$M$75-'RFM input'!$M$129)-SUM($M301:N301),('RFM input'!$M$75-'RFM input'!$M$129)/A15taxstdlife))</f>
        <v>0</v>
      </c>
      <c r="P301" s="18">
        <f>IF(A15taxstdlife="n/a","n/a",IF(P$3&gt;(A15taxstdlife+$E301),('RFM input'!$M$75-'RFM input'!$M$129)-SUM($M301:O301),('RFM input'!$M$75-'RFM input'!$M$129)/A15taxstdlife))</f>
        <v>0</v>
      </c>
      <c r="Q301" s="18">
        <f>IF(A15taxstdlife="n/a","n/a",IF(Q$3&gt;(A15taxstdlife+$E301),('RFM input'!$M$75-'RFM input'!$M$129)-SUM($M301:P301),('RFM input'!$M$75-'RFM input'!$M$129)/A15taxstdlife))</f>
        <v>0</v>
      </c>
      <c r="R301" s="18"/>
      <c r="S301" s="74"/>
      <c r="T301" s="74"/>
      <c r="U301" s="74"/>
      <c r="V301" s="74"/>
      <c r="W301" s="74"/>
      <c r="X301" s="74"/>
      <c r="Y301" s="74"/>
      <c r="Z301" s="74"/>
      <c r="AA301" s="152"/>
    </row>
    <row r="302" spans="1:27" hidden="1" outlineLevel="2">
      <c r="A302" s="3"/>
      <c r="B302" s="3"/>
      <c r="C302" s="16"/>
      <c r="D302" s="1594"/>
      <c r="E302" s="61">
        <v>7</v>
      </c>
      <c r="F302" s="17"/>
      <c r="G302" s="17"/>
      <c r="H302" s="1414"/>
      <c r="I302" s="1414"/>
      <c r="J302" s="115"/>
      <c r="K302" s="115"/>
      <c r="L302" s="115"/>
      <c r="M302" s="115"/>
      <c r="N302" s="116"/>
      <c r="O302" s="18">
        <f>IF(A15taxstdlife="n/a","n/a",IF(O$3&gt;(A15taxstdlife+$E302),('RFM input'!$N$75-'RFM input'!$N$129)-SUM($N302:N302),('RFM input'!$N$75-'RFM input'!$N$129)/A15taxstdlife))</f>
        <v>0</v>
      </c>
      <c r="P302" s="18">
        <f>IF(A15taxstdlife="n/a","n/a",IF(P$3&gt;(A15taxstdlife+$E302),('RFM input'!$N$75-'RFM input'!$N$129)-SUM($N302:O302),('RFM input'!$N$75-'RFM input'!$N$129)/A15taxstdlife))</f>
        <v>0</v>
      </c>
      <c r="Q302" s="18">
        <f>IF(A15taxstdlife="n/a","n/a",IF(Q$3&gt;(A15taxstdlife+$E302),('RFM input'!$N$75-'RFM input'!$N$129)-SUM($N302:P302),('RFM input'!$N$75-'RFM input'!$N$129)/A15taxstdlife))</f>
        <v>0</v>
      </c>
      <c r="R302" s="18"/>
      <c r="S302" s="74"/>
      <c r="T302" s="74"/>
      <c r="U302" s="74"/>
      <c r="V302" s="74"/>
      <c r="W302" s="74"/>
      <c r="X302" s="74"/>
      <c r="Y302" s="74"/>
      <c r="Z302" s="74"/>
      <c r="AA302" s="152"/>
    </row>
    <row r="303" spans="1:27" hidden="1" outlineLevel="2">
      <c r="A303" s="3"/>
      <c r="B303" s="3"/>
      <c r="C303" s="16"/>
      <c r="D303" s="1594"/>
      <c r="E303" s="61">
        <v>8</v>
      </c>
      <c r="F303" s="17"/>
      <c r="G303" s="17"/>
      <c r="H303" s="1414"/>
      <c r="I303" s="1414"/>
      <c r="J303" s="115"/>
      <c r="K303" s="115"/>
      <c r="L303" s="115"/>
      <c r="M303" s="115"/>
      <c r="N303" s="115"/>
      <c r="O303" s="116"/>
      <c r="P303" s="18">
        <f>IF(A15taxstdlife="n/a","n/a",IF(P$3&gt;(A15taxstdlife+$E303),('RFM input'!$O$75-'RFM input'!$O$129)-SUM($O303:O303),('RFM input'!$O$75-'RFM input'!$O$129)/A15taxstdlife))</f>
        <v>0</v>
      </c>
      <c r="Q303" s="18">
        <f>IF(A15taxstdlife="n/a","n/a",IF(Q$3&gt;(A15taxstdlife+$E303),('RFM input'!$O$75-'RFM input'!$O$129)-SUM($O303:P303),('RFM input'!$O$75-'RFM input'!$O$129)/A15taxstdlife))</f>
        <v>0</v>
      </c>
      <c r="R303" s="18"/>
      <c r="S303" s="74"/>
      <c r="T303" s="74"/>
      <c r="U303" s="74"/>
      <c r="V303" s="74"/>
      <c r="W303" s="74"/>
      <c r="X303" s="74"/>
      <c r="Y303" s="74"/>
      <c r="Z303" s="74"/>
      <c r="AA303" s="152"/>
    </row>
    <row r="304" spans="1:27" hidden="1" outlineLevel="2">
      <c r="A304" s="3"/>
      <c r="B304" s="3"/>
      <c r="C304" s="16"/>
      <c r="D304" s="1594"/>
      <c r="E304" s="61">
        <v>9</v>
      </c>
      <c r="F304" s="17"/>
      <c r="G304" s="17"/>
      <c r="H304" s="1414"/>
      <c r="I304" s="1414"/>
      <c r="J304" s="115"/>
      <c r="K304" s="115"/>
      <c r="L304" s="115"/>
      <c r="M304" s="115"/>
      <c r="N304" s="115"/>
      <c r="O304" s="115"/>
      <c r="P304" s="116"/>
      <c r="Q304" s="18">
        <f>IF(A15taxstdlife="n/a","n/a",IF(Q$3&gt;(A15taxstdlife+$E304),('RFM input'!$P$75-'RFM input'!$P$129)-SUM($P304:P304),('RFM input'!$P$75-'RFM input'!$P$129)/A15taxstdlife))</f>
        <v>0</v>
      </c>
      <c r="R304" s="18"/>
      <c r="S304" s="74"/>
      <c r="T304" s="74"/>
      <c r="U304" s="74"/>
      <c r="V304" s="74"/>
      <c r="W304" s="74"/>
      <c r="X304" s="74"/>
      <c r="Y304" s="74"/>
      <c r="Z304" s="74"/>
      <c r="AA304" s="152"/>
    </row>
    <row r="305" spans="1:27" hidden="1" outlineLevel="2">
      <c r="A305" s="3"/>
      <c r="B305" s="3"/>
      <c r="C305" s="16"/>
      <c r="D305" s="1594"/>
      <c r="E305" s="62">
        <v>10</v>
      </c>
      <c r="F305" s="17"/>
      <c r="G305" s="17"/>
      <c r="H305" s="1414"/>
      <c r="I305" s="1414"/>
      <c r="J305" s="115"/>
      <c r="K305" s="115"/>
      <c r="L305" s="115"/>
      <c r="M305" s="115"/>
      <c r="N305" s="115"/>
      <c r="O305" s="115"/>
      <c r="P305" s="115"/>
      <c r="Q305" s="116"/>
      <c r="R305" s="18"/>
      <c r="S305" s="74"/>
      <c r="T305" s="74"/>
      <c r="U305" s="74"/>
      <c r="V305" s="74"/>
      <c r="W305" s="74"/>
      <c r="X305" s="74"/>
      <c r="Y305" s="74"/>
      <c r="Z305" s="74"/>
      <c r="AA305" s="152"/>
    </row>
    <row r="306" spans="1:27" hidden="1" outlineLevel="1">
      <c r="A306" s="3"/>
      <c r="B306" s="3"/>
      <c r="C306" s="134">
        <f>Asset15</f>
        <v>0</v>
      </c>
      <c r="D306" s="3"/>
      <c r="E306" s="3"/>
      <c r="F306" s="14"/>
      <c r="G306" s="14"/>
      <c r="H306" s="1460">
        <f>IF('RFM input'!$G$354="Tracked",-1*INDEX('RFM input'!H$358:H$407,MATCH('TAB roll forward'!$C306,'RFM input'!$E$358:$E$407,0)),-SUM(H294:H305))</f>
        <v>0</v>
      </c>
      <c r="I306" s="1460">
        <f>IF('RFM input'!$G$354="Tracked",-1*INDEX('RFM input'!I$358:I$407,MATCH('TAB roll forward'!$C306,'RFM input'!$E$358:$E$407,0)),-SUM(I294:I305))</f>
        <v>0</v>
      </c>
      <c r="J306" s="1460">
        <f>IF(COUNT($H306:I306)&gt;='RFM input'!$V$7,0,IF('RFM input'!$G$354="Tracked",-1*INDEX('RFM input'!J$358:J$407,MATCH('TAB roll forward'!$C306,'RFM input'!$E$358:$E$407,0)),-SUM(J294:J305)))</f>
        <v>0</v>
      </c>
      <c r="K306" s="1460">
        <f>IF(COUNT($H306:J306)&gt;='RFM input'!$V$7,0,IF('RFM input'!$G$354="Tracked",-1*INDEX('RFM input'!K$358:K$407,MATCH('TAB roll forward'!$C306,'RFM input'!$E$358:$E$407,0)),-SUM(K294:K305)))</f>
        <v>0</v>
      </c>
      <c r="L306" s="1460">
        <f>IF(COUNT($H306:K306)&gt;='RFM input'!$V$7,0,IF('RFM input'!$G$354="Tracked",-1*INDEX('RFM input'!L$358:L$407,MATCH('TAB roll forward'!$C306,'RFM input'!$E$358:$E$407,0)),-SUM(L294:L305)))</f>
        <v>0</v>
      </c>
      <c r="M306" s="1460">
        <f>IF(COUNT($H306:L306)&gt;='RFM input'!$V$7,0,IF('RFM input'!$G$354="Tracked",-1*INDEX('RFM input'!M$358:M$407,MATCH('TAB roll forward'!$C306,'RFM input'!$E$358:$E$407,0)),-SUM(M294:M305)))</f>
        <v>0</v>
      </c>
      <c r="N306" s="1460">
        <f>IF(COUNT($H306:M306)&gt;='RFM input'!$V$7,0,IF('RFM input'!$G$354="Tracked",-1*INDEX('RFM input'!N$358:N$407,MATCH('TAB roll forward'!$C306,'RFM input'!$E$358:$E$407,0)),-SUM(N294:N305)))</f>
        <v>0</v>
      </c>
      <c r="O306" s="1460">
        <f>IF(COUNT($H306:N306)&gt;='RFM input'!$V$7,0,IF('RFM input'!$G$354="Tracked",-1*INDEX('RFM input'!O$358:O$407,MATCH('TAB roll forward'!$C306,'RFM input'!$E$358:$E$407,0)),-SUM(O294:O305)))</f>
        <v>0</v>
      </c>
      <c r="P306" s="1460">
        <f>IF(COUNT($H306:O306)&gt;='RFM input'!$V$7,0,IF('RFM input'!$G$354="Tracked",-1*INDEX('RFM input'!P$358:P$407,MATCH('TAB roll forward'!$C306,'RFM input'!$E$358:$E$407,0)),-SUM(P294:P305)))</f>
        <v>0</v>
      </c>
      <c r="Q306" s="1460">
        <f>IF(COUNT($H306:P306)&gt;='RFM input'!$V$7,0,IF('RFM input'!$G$354="Tracked",-1*INDEX('RFM input'!Q$358:Q$407,MATCH('TAB roll forward'!$C306,'RFM input'!$E$358:$E$407,0)),-SUM(Q294:Q305)))</f>
        <v>0</v>
      </c>
      <c r="R306" s="1382"/>
      <c r="S306" s="73"/>
      <c r="T306" s="73"/>
      <c r="U306" s="73"/>
      <c r="V306" s="73"/>
      <c r="W306" s="73"/>
      <c r="X306" s="73"/>
      <c r="Y306" s="73"/>
      <c r="Z306" s="73"/>
      <c r="AA306" s="152"/>
    </row>
    <row r="307" spans="1:27" hidden="1" outlineLevel="2">
      <c r="A307" s="3"/>
      <c r="B307" s="135">
        <f>Asset16</f>
        <v>0</v>
      </c>
      <c r="C307" s="19"/>
      <c r="D307" s="234" t="s">
        <v>119</v>
      </c>
      <c r="E307" s="19"/>
      <c r="F307" s="148"/>
      <c r="G307" s="148"/>
      <c r="H307" s="21">
        <f>IF(H$3&gt;A16taxremlife,A16taxvalue-SUM($F307:F307),IF(A16taxremlife="N/A","n/a",A16taxvalue/A16taxremlife))</f>
        <v>0</v>
      </c>
      <c r="I307" s="21">
        <f>IF(I$3&gt;A16taxremlife,A16taxvalue-SUM($F307:H307),IF(A16taxremlife="N/A","n/a",A16taxvalue/A16taxremlife))</f>
        <v>0</v>
      </c>
      <c r="J307" s="21">
        <f>IF(J$3&gt;A16taxremlife,A16taxvalue-SUM($F307:I307),IF(A16taxremlife="N/A","n/a",A16taxvalue/A16taxremlife))</f>
        <v>0</v>
      </c>
      <c r="K307" s="21">
        <f>IF(K$3&gt;A16taxremlife,A16taxvalue-SUM($F307:J307),IF(A16taxremlife="N/A","n/a",A16taxvalue/A16taxremlife))</f>
        <v>0</v>
      </c>
      <c r="L307" s="21">
        <f>IF(L$3&gt;A16taxremlife,A16taxvalue-SUM($F307:K307),IF(A16taxremlife="N/A","n/a",A16taxvalue/A16taxremlife))</f>
        <v>0</v>
      </c>
      <c r="M307" s="21">
        <f>IF(M$3&gt;A16taxremlife,A16taxvalue-SUM($F307:L307),IF(A16taxremlife="N/A","n/a",A16taxvalue/A16taxremlife))</f>
        <v>0</v>
      </c>
      <c r="N307" s="21">
        <f>IF(N$3&gt;A16taxremlife,A16taxvalue-SUM($F307:M307),IF(A16taxremlife="N/A","n/a",A16taxvalue/A16taxremlife))</f>
        <v>0</v>
      </c>
      <c r="O307" s="21">
        <f>IF(O$3&gt;A16taxremlife,A16taxvalue-SUM($F307:N307),IF(A16taxremlife="N/A","n/a",A16taxvalue/A16taxremlife))</f>
        <v>0</v>
      </c>
      <c r="P307" s="21">
        <f>IF(P$3&gt;A16taxremlife,A16taxvalue-SUM($F307:O307),IF(A16taxremlife="N/A","n/a",A16taxvalue/A16taxremlife))</f>
        <v>0</v>
      </c>
      <c r="Q307" s="21">
        <f>IF(Q$3&gt;A16taxremlife,A16taxvalue-SUM($F307:P307),IF(A16taxremlife="N/A","n/a",A16taxvalue/A16taxremlife))</f>
        <v>0</v>
      </c>
      <c r="R307" s="21"/>
      <c r="S307" s="74"/>
      <c r="T307" s="74"/>
      <c r="U307" s="74"/>
      <c r="V307" s="74"/>
      <c r="W307" s="74"/>
      <c r="X307" s="74"/>
      <c r="Y307" s="74"/>
      <c r="Z307" s="74"/>
      <c r="AA307" s="152"/>
    </row>
    <row r="308" spans="1:27" ht="12.75" hidden="1" customHeight="1" outlineLevel="2">
      <c r="A308" s="3"/>
      <c r="B308" s="3"/>
      <c r="C308" s="16"/>
      <c r="D308" s="1593" t="s">
        <v>43</v>
      </c>
      <c r="E308" s="61"/>
      <c r="F308" s="17"/>
      <c r="G308" s="17"/>
      <c r="H308" s="1413"/>
      <c r="I308" s="72"/>
      <c r="J308" s="18"/>
      <c r="K308" s="18"/>
      <c r="L308" s="18"/>
      <c r="M308" s="18"/>
      <c r="N308" s="18"/>
      <c r="O308" s="18"/>
      <c r="P308" s="18"/>
      <c r="Q308" s="18"/>
      <c r="R308" s="18"/>
      <c r="S308" s="74"/>
      <c r="T308" s="74"/>
      <c r="U308" s="74"/>
      <c r="V308" s="74"/>
      <c r="W308" s="74"/>
      <c r="X308" s="74"/>
      <c r="Y308" s="74"/>
      <c r="Z308" s="74"/>
      <c r="AA308" s="152"/>
    </row>
    <row r="309" spans="1:27" hidden="1" outlineLevel="2">
      <c r="A309" s="3"/>
      <c r="B309" s="3"/>
      <c r="C309" s="16"/>
      <c r="D309" s="1594"/>
      <c r="E309" s="61">
        <v>1</v>
      </c>
      <c r="F309" s="17"/>
      <c r="G309" s="17"/>
      <c r="H309" s="1414"/>
      <c r="I309" s="1415">
        <f>IF(A16taxstdlife="n/a","n/a",IF(I$3&gt;(A16taxstdlife+$E309),('RFM input'!$H$76-'RFM input'!$H$130)-SUM($H309:H309),('RFM input'!$H$76-'RFM input'!$H$130)/A16taxstdlife))</f>
        <v>0</v>
      </c>
      <c r="J309" s="18">
        <f>IF(A16taxstdlife="n/a","n/a",IF(J$3&gt;(A16taxstdlife+$E309),('RFM input'!$H$76-'RFM input'!$H$130)-SUM($H309:I309),('RFM input'!$H$76-'RFM input'!$H$130)/A16taxstdlife))</f>
        <v>0</v>
      </c>
      <c r="K309" s="18">
        <f>IF(A16taxstdlife="n/a","n/a",IF(K$3&gt;(A16taxstdlife+$E309),('RFM input'!$H$76-'RFM input'!$H$130)-SUM($H309:J309),('RFM input'!$H$76-'RFM input'!$H$130)/A16taxstdlife))</f>
        <v>0</v>
      </c>
      <c r="L309" s="18">
        <f>IF(A16taxstdlife="n/a","n/a",IF(L$3&gt;(A16taxstdlife+$E309),('RFM input'!$H$76-'RFM input'!$H$130)-SUM($H309:K309),('RFM input'!$H$76-'RFM input'!$H$130)/A16taxstdlife))</f>
        <v>0</v>
      </c>
      <c r="M309" s="18">
        <f>IF(A16taxstdlife="n/a","n/a",IF(M$3&gt;(A16taxstdlife+$E309),('RFM input'!$H$76-'RFM input'!$H$130)-SUM($H309:L309),('RFM input'!$H$76-'RFM input'!$H$130)/A16taxstdlife))</f>
        <v>0</v>
      </c>
      <c r="N309" s="18">
        <f>IF(A16taxstdlife="n/a","n/a",IF(N$3&gt;(A16taxstdlife+$E309),('RFM input'!$H$76-'RFM input'!$H$130)-SUM($H309:M309),('RFM input'!$H$76-'RFM input'!$H$130)/A16taxstdlife))</f>
        <v>0</v>
      </c>
      <c r="O309" s="18">
        <f>IF(A16taxstdlife="n/a","n/a",IF(O$3&gt;(A16taxstdlife+$E309),('RFM input'!$H$76-'RFM input'!$H$130)-SUM($H309:N309),('RFM input'!$H$76-'RFM input'!$H$130)/A16taxstdlife))</f>
        <v>0</v>
      </c>
      <c r="P309" s="18">
        <f>IF(A16taxstdlife="n/a","n/a",IF(P$3&gt;(A16taxstdlife+$E309),('RFM input'!$H$76-'RFM input'!$H$130)-SUM($H309:O309),('RFM input'!$H$76-'RFM input'!$H$130)/A16taxstdlife))</f>
        <v>0</v>
      </c>
      <c r="Q309" s="18">
        <f>IF(A16taxstdlife="n/a","n/a",IF(Q$3&gt;(A16taxstdlife+$E309),('RFM input'!$H$76-'RFM input'!$H$130)-SUM($H309:P309),('RFM input'!$H$76-'RFM input'!$H$130)/A16taxstdlife))</f>
        <v>0</v>
      </c>
      <c r="R309" s="18"/>
      <c r="S309" s="74"/>
      <c r="T309" s="74"/>
      <c r="U309" s="74"/>
      <c r="V309" s="74"/>
      <c r="W309" s="74"/>
      <c r="X309" s="74"/>
      <c r="Y309" s="74"/>
      <c r="Z309" s="74"/>
      <c r="AA309" s="152"/>
    </row>
    <row r="310" spans="1:27" hidden="1" outlineLevel="2">
      <c r="A310" s="3"/>
      <c r="B310" s="3"/>
      <c r="C310" s="16"/>
      <c r="D310" s="1594"/>
      <c r="E310" s="61">
        <v>2</v>
      </c>
      <c r="F310" s="17"/>
      <c r="G310" s="17"/>
      <c r="H310" s="1414"/>
      <c r="I310" s="1414"/>
      <c r="J310" s="18">
        <f>IF(A16taxstdlife="n/a","n/a",IF(J$3&gt;(A16taxstdlife+$E310),('RFM input'!$I$76-'RFM input'!$I$130)-SUM($I310:I310),('RFM input'!$I$76-'RFM input'!$I$130)/A16taxstdlife))</f>
        <v>0</v>
      </c>
      <c r="K310" s="18">
        <f>IF(A16taxstdlife="n/a","n/a",IF(K$3&gt;(A16taxstdlife+$E310),('RFM input'!$I$76-'RFM input'!$I$130)-SUM($I310:J310),('RFM input'!$I$76-'RFM input'!$I$130)/A16taxstdlife))</f>
        <v>0</v>
      </c>
      <c r="L310" s="18">
        <f>IF(A16taxstdlife="n/a","n/a",IF(L$3&gt;(A16taxstdlife+$E310),('RFM input'!$I$76-'RFM input'!$I$130)-SUM($I310:K310),('RFM input'!$I$76-'RFM input'!$I$130)/A16taxstdlife))</f>
        <v>0</v>
      </c>
      <c r="M310" s="18">
        <f>IF(A16taxstdlife="n/a","n/a",IF(M$3&gt;(A16taxstdlife+$E310),('RFM input'!$I$76-'RFM input'!$I$130)-SUM($I310:L310),('RFM input'!$I$76-'RFM input'!$I$130)/A16taxstdlife))</f>
        <v>0</v>
      </c>
      <c r="N310" s="18">
        <f>IF(A16taxstdlife="n/a","n/a",IF(N$3&gt;(A16taxstdlife+$E310),('RFM input'!$I$76-'RFM input'!$I$130)-SUM($I310:M310),('RFM input'!$I$76-'RFM input'!$I$130)/A16taxstdlife))</f>
        <v>0</v>
      </c>
      <c r="O310" s="18">
        <f>IF(A16taxstdlife="n/a","n/a",IF(O$3&gt;(A16taxstdlife+$E310),('RFM input'!$I$76-'RFM input'!$I$130)-SUM($I310:N310),('RFM input'!$I$76-'RFM input'!$I$130)/A16taxstdlife))</f>
        <v>0</v>
      </c>
      <c r="P310" s="18">
        <f>IF(A16taxstdlife="n/a","n/a",IF(P$3&gt;(A16taxstdlife+$E310),('RFM input'!$I$76-'RFM input'!$I$130)-SUM($I310:O310),('RFM input'!$I$76-'RFM input'!$I$130)/A16taxstdlife))</f>
        <v>0</v>
      </c>
      <c r="Q310" s="18">
        <f>IF(A16taxstdlife="n/a","n/a",IF(Q$3&gt;(A16taxstdlife+$E310),('RFM input'!$I$76-'RFM input'!$I$130)-SUM($I310:P310),('RFM input'!$I$76-'RFM input'!$I$130)/A16taxstdlife))</f>
        <v>0</v>
      </c>
      <c r="R310" s="18"/>
      <c r="S310" s="74"/>
      <c r="T310" s="74"/>
      <c r="U310" s="74"/>
      <c r="V310" s="74"/>
      <c r="W310" s="74"/>
      <c r="X310" s="74"/>
      <c r="Y310" s="74"/>
      <c r="Z310" s="74"/>
      <c r="AA310" s="152"/>
    </row>
    <row r="311" spans="1:27" hidden="1" outlineLevel="2">
      <c r="A311" s="3"/>
      <c r="B311" s="3"/>
      <c r="C311" s="16"/>
      <c r="D311" s="1594"/>
      <c r="E311" s="61">
        <v>3</v>
      </c>
      <c r="F311" s="17"/>
      <c r="G311" s="17"/>
      <c r="H311" s="1414"/>
      <c r="I311" s="1414"/>
      <c r="J311" s="116"/>
      <c r="K311" s="18">
        <f>IF(A16taxstdlife="n/a","n/a",IF(K$3&gt;(A16taxstdlife+$E311),('RFM input'!$J$76-'RFM input'!$J$130)-SUM($J311:J311),('RFM input'!$J$76-'RFM input'!$J$130)/A16taxstdlife))</f>
        <v>0</v>
      </c>
      <c r="L311" s="18">
        <f>IF(A16taxstdlife="n/a","n/a",IF(L$3&gt;(A16taxstdlife+$E311),('RFM input'!$J$76-'RFM input'!$J$130)-SUM($J311:K311),('RFM input'!$J$76-'RFM input'!$J$130)/A16taxstdlife))</f>
        <v>0</v>
      </c>
      <c r="M311" s="18">
        <f>IF(A16taxstdlife="n/a","n/a",IF(M$3&gt;(A16taxstdlife+$E311),('RFM input'!$J$76-'RFM input'!$J$130)-SUM($J311:L311),('RFM input'!$J$76-'RFM input'!$J$130)/A16taxstdlife))</f>
        <v>0</v>
      </c>
      <c r="N311" s="18">
        <f>IF(A16taxstdlife="n/a","n/a",IF(N$3&gt;(A16taxstdlife+$E311),('RFM input'!$J$76-'RFM input'!$J$130)-SUM($J311:M311),('RFM input'!$J$76-'RFM input'!$J$130)/A16taxstdlife))</f>
        <v>0</v>
      </c>
      <c r="O311" s="18">
        <f>IF(A16taxstdlife="n/a","n/a",IF(O$3&gt;(A16taxstdlife+$E311),('RFM input'!$J$76-'RFM input'!$J$130)-SUM($J311:N311),('RFM input'!$J$76-'RFM input'!$J$130)/A16taxstdlife))</f>
        <v>0</v>
      </c>
      <c r="P311" s="18">
        <f>IF(A16taxstdlife="n/a","n/a",IF(P$3&gt;(A16taxstdlife+$E311),('RFM input'!$J$76-'RFM input'!$J$130)-SUM($J311:O311),('RFM input'!$J$76-'RFM input'!$J$130)/A16taxstdlife))</f>
        <v>0</v>
      </c>
      <c r="Q311" s="18">
        <f>IF(A16taxstdlife="n/a","n/a",IF(Q$3&gt;(A16taxstdlife+$E311),('RFM input'!$J$76-'RFM input'!$J$130)-SUM($J311:P311),('RFM input'!$J$76-'RFM input'!$J$130)/A16taxstdlife))</f>
        <v>0</v>
      </c>
      <c r="R311" s="18"/>
      <c r="S311" s="74"/>
      <c r="T311" s="74"/>
      <c r="U311" s="74"/>
      <c r="V311" s="74"/>
      <c r="W311" s="74"/>
      <c r="X311" s="74"/>
      <c r="Y311" s="74"/>
      <c r="Z311" s="74"/>
      <c r="AA311" s="152"/>
    </row>
    <row r="312" spans="1:27" hidden="1" outlineLevel="2">
      <c r="A312" s="3"/>
      <c r="B312" s="3"/>
      <c r="C312" s="16"/>
      <c r="D312" s="1594"/>
      <c r="E312" s="61">
        <v>4</v>
      </c>
      <c r="F312" s="17"/>
      <c r="G312" s="17"/>
      <c r="H312" s="1414"/>
      <c r="I312" s="1414"/>
      <c r="J312" s="115"/>
      <c r="K312" s="116"/>
      <c r="L312" s="18">
        <f>IF(A16taxstdlife="n/a","n/a",IF(L$3&gt;(A16taxstdlife+$E312),('RFM input'!$K$76-'RFM input'!$K$130)-SUM($K312:K312),('RFM input'!$K$76-'RFM input'!$K$130)/A16taxstdlife))</f>
        <v>0</v>
      </c>
      <c r="M312" s="18">
        <f>IF(A16taxstdlife="n/a","n/a",IF(M$3&gt;(A16taxstdlife+$E312),('RFM input'!$K$76-'RFM input'!$K$130)-SUM($K312:L312),('RFM input'!$K$76-'RFM input'!$K$130)/A16taxstdlife))</f>
        <v>0</v>
      </c>
      <c r="N312" s="18">
        <f>IF(A16taxstdlife="n/a","n/a",IF(N$3&gt;(A16taxstdlife+$E312),('RFM input'!$K$76-'RFM input'!$K$130)-SUM($K312:M312),('RFM input'!$K$76-'RFM input'!$K$130)/A16taxstdlife))</f>
        <v>0</v>
      </c>
      <c r="O312" s="18">
        <f>IF(A16taxstdlife="n/a","n/a",IF(O$3&gt;(A16taxstdlife+$E312),('RFM input'!$K$76-'RFM input'!$K$130)-SUM($K312:N312),('RFM input'!$K$76-'RFM input'!$K$130)/A16taxstdlife))</f>
        <v>0</v>
      </c>
      <c r="P312" s="18">
        <f>IF(A16taxstdlife="n/a","n/a",IF(P$3&gt;(A16taxstdlife+$E312),('RFM input'!$K$76-'RFM input'!$K$130)-SUM($K312:O312),('RFM input'!$K$76-'RFM input'!$K$130)/A16taxstdlife))</f>
        <v>0</v>
      </c>
      <c r="Q312" s="18">
        <f>IF(A16taxstdlife="n/a","n/a",IF(Q$3&gt;(A16taxstdlife+$E312),('RFM input'!$K$76-'RFM input'!$K$130)-SUM($K312:P312),('RFM input'!$K$76-'RFM input'!$K$130)/A16taxstdlife))</f>
        <v>0</v>
      </c>
      <c r="R312" s="18"/>
      <c r="S312" s="74"/>
      <c r="T312" s="74"/>
      <c r="U312" s="74"/>
      <c r="V312" s="74"/>
      <c r="W312" s="74"/>
      <c r="X312" s="74"/>
      <c r="Y312" s="74"/>
      <c r="Z312" s="74"/>
      <c r="AA312" s="152"/>
    </row>
    <row r="313" spans="1:27" hidden="1" outlineLevel="2">
      <c r="A313" s="3"/>
      <c r="B313" s="3"/>
      <c r="C313" s="16"/>
      <c r="D313" s="1594"/>
      <c r="E313" s="61">
        <v>5</v>
      </c>
      <c r="F313" s="17"/>
      <c r="G313" s="17"/>
      <c r="H313" s="1414"/>
      <c r="I313" s="1414"/>
      <c r="J313" s="115"/>
      <c r="K313" s="115"/>
      <c r="L313" s="116"/>
      <c r="M313" s="18">
        <f>IF(A16taxstdlife="n/a","n/a",IF(M$3&gt;(A16taxstdlife+$E313),('RFM input'!$L$76-'RFM input'!$L$130)-SUM($L313:L313),('RFM input'!$L$76-'RFM input'!$L$130)/A16taxstdlife))</f>
        <v>0</v>
      </c>
      <c r="N313" s="18">
        <f>IF(A16taxstdlife="n/a","n/a",IF(N$3&gt;(A16taxstdlife+$E313),('RFM input'!$L$76-'RFM input'!$L$130)-SUM($L313:M313),('RFM input'!$L$76-'RFM input'!$L$130)/A16taxstdlife))</f>
        <v>0</v>
      </c>
      <c r="O313" s="18">
        <f>IF(A16taxstdlife="n/a","n/a",IF(O$3&gt;(A16taxstdlife+$E313),('RFM input'!$L$76-'RFM input'!$L$130)-SUM($L313:N313),('RFM input'!$L$76-'RFM input'!$L$130)/A16taxstdlife))</f>
        <v>0</v>
      </c>
      <c r="P313" s="18">
        <f>IF(A16taxstdlife="n/a","n/a",IF(P$3&gt;(A16taxstdlife+$E313),('RFM input'!$L$76-'RFM input'!$L$130)-SUM($L313:O313),('RFM input'!$L$76-'RFM input'!$L$130)/A16taxstdlife))</f>
        <v>0</v>
      </c>
      <c r="Q313" s="18">
        <f>IF(A16taxstdlife="n/a","n/a",IF(Q$3&gt;(A16taxstdlife+$E313),('RFM input'!$L$76-'RFM input'!$L$130)-SUM($L313:P313),('RFM input'!$L$76-'RFM input'!$L$130)/A16taxstdlife))</f>
        <v>0</v>
      </c>
      <c r="R313" s="18"/>
      <c r="S313" s="74"/>
      <c r="T313" s="74"/>
      <c r="U313" s="74"/>
      <c r="V313" s="74"/>
      <c r="W313" s="74"/>
      <c r="X313" s="74"/>
      <c r="Y313" s="74"/>
      <c r="Z313" s="74"/>
      <c r="AA313" s="152"/>
    </row>
    <row r="314" spans="1:27" hidden="1" outlineLevel="2">
      <c r="A314" s="3"/>
      <c r="B314" s="3"/>
      <c r="C314" s="16"/>
      <c r="D314" s="1594"/>
      <c r="E314" s="61">
        <v>6</v>
      </c>
      <c r="F314" s="17"/>
      <c r="G314" s="17"/>
      <c r="H314" s="1414"/>
      <c r="I314" s="1414"/>
      <c r="J314" s="115"/>
      <c r="K314" s="115"/>
      <c r="L314" s="115"/>
      <c r="M314" s="116"/>
      <c r="N314" s="18">
        <f>IF(A16taxstdlife="n/a","n/a",IF(N$3&gt;(A16taxstdlife+$E314),('RFM input'!$M$76-'RFM input'!$M$130)-SUM($M314:M314),('RFM input'!$M$76-'RFM input'!$M$130)/A16taxstdlife))</f>
        <v>0</v>
      </c>
      <c r="O314" s="18">
        <f>IF(A16taxstdlife="n/a","n/a",IF(O$3&gt;(A16taxstdlife+$E314),('RFM input'!$M$76-'RFM input'!$M$130)-SUM($M314:N314),('RFM input'!$M$76-'RFM input'!$M$130)/A16taxstdlife))</f>
        <v>0</v>
      </c>
      <c r="P314" s="18">
        <f>IF(A16taxstdlife="n/a","n/a",IF(P$3&gt;(A16taxstdlife+$E314),('RFM input'!$M$76-'RFM input'!$M$130)-SUM($M314:O314),('RFM input'!$M$76-'RFM input'!$M$130)/A16taxstdlife))</f>
        <v>0</v>
      </c>
      <c r="Q314" s="18">
        <f>IF(A16taxstdlife="n/a","n/a",IF(Q$3&gt;(A16taxstdlife+$E314),('RFM input'!$M$76-'RFM input'!$M$130)-SUM($M314:P314),('RFM input'!$M$76-'RFM input'!$M$130)/A16taxstdlife))</f>
        <v>0</v>
      </c>
      <c r="R314" s="18"/>
      <c r="S314" s="74"/>
      <c r="T314" s="74"/>
      <c r="U314" s="74"/>
      <c r="V314" s="74"/>
      <c r="W314" s="74"/>
      <c r="X314" s="74"/>
      <c r="Y314" s="74"/>
      <c r="Z314" s="74"/>
      <c r="AA314" s="152"/>
    </row>
    <row r="315" spans="1:27" hidden="1" outlineLevel="2">
      <c r="A315" s="3"/>
      <c r="B315" s="3"/>
      <c r="C315" s="16"/>
      <c r="D315" s="1594"/>
      <c r="E315" s="61">
        <v>7</v>
      </c>
      <c r="F315" s="17"/>
      <c r="G315" s="17"/>
      <c r="H315" s="1414"/>
      <c r="I315" s="1414"/>
      <c r="J315" s="115"/>
      <c r="K315" s="115"/>
      <c r="L315" s="115"/>
      <c r="M315" s="115"/>
      <c r="N315" s="116"/>
      <c r="O315" s="18">
        <f>IF(A16taxstdlife="n/a","n/a",IF(O$3&gt;(A16taxstdlife+$E315),('RFM input'!$N$76-'RFM input'!$N$130)-SUM($N315:N315),('RFM input'!$N$76-'RFM input'!$N$130)/A16taxstdlife))</f>
        <v>0</v>
      </c>
      <c r="P315" s="18">
        <f>IF(A16taxstdlife="n/a","n/a",IF(P$3&gt;(A16taxstdlife+$E315),('RFM input'!$N$76-'RFM input'!$N$130)-SUM($N315:O315),('RFM input'!$N$76-'RFM input'!$N$130)/A16taxstdlife))</f>
        <v>0</v>
      </c>
      <c r="Q315" s="18">
        <f>IF(A16taxstdlife="n/a","n/a",IF(Q$3&gt;(A16taxstdlife+$E315),('RFM input'!$N$76-'RFM input'!$N$130)-SUM($N315:P315),('RFM input'!$N$76-'RFM input'!$N$130)/A16taxstdlife))</f>
        <v>0</v>
      </c>
      <c r="R315" s="18"/>
      <c r="S315" s="74"/>
      <c r="T315" s="74"/>
      <c r="U315" s="74"/>
      <c r="V315" s="74"/>
      <c r="W315" s="74"/>
      <c r="X315" s="74"/>
      <c r="Y315" s="74"/>
      <c r="Z315" s="74"/>
      <c r="AA315" s="152"/>
    </row>
    <row r="316" spans="1:27" hidden="1" outlineLevel="2">
      <c r="A316" s="3"/>
      <c r="B316" s="3"/>
      <c r="C316" s="16"/>
      <c r="D316" s="1594"/>
      <c r="E316" s="61">
        <v>8</v>
      </c>
      <c r="F316" s="17"/>
      <c r="G316" s="17"/>
      <c r="H316" s="1414"/>
      <c r="I316" s="1414"/>
      <c r="J316" s="115"/>
      <c r="K316" s="115"/>
      <c r="L316" s="115"/>
      <c r="M316" s="115"/>
      <c r="N316" s="115"/>
      <c r="O316" s="116"/>
      <c r="P316" s="18">
        <f>IF(A16taxstdlife="n/a","n/a",IF(P$3&gt;(A16taxstdlife+$E316),('RFM input'!$O$76-'RFM input'!$O$130)-SUM($O316:O316),('RFM input'!$O$76-'RFM input'!$O$130)/A16taxstdlife))</f>
        <v>0</v>
      </c>
      <c r="Q316" s="18">
        <f>IF(A16taxstdlife="n/a","n/a",IF(Q$3&gt;(A16taxstdlife+$E316),('RFM input'!$O$76-'RFM input'!$O$130)-SUM($O316:P316),('RFM input'!$O$76-'RFM input'!$O$130)/A16taxstdlife))</f>
        <v>0</v>
      </c>
      <c r="R316" s="18"/>
      <c r="S316" s="74"/>
      <c r="T316" s="74"/>
      <c r="U316" s="74"/>
      <c r="V316" s="74"/>
      <c r="W316" s="74"/>
      <c r="X316" s="74"/>
      <c r="Y316" s="74"/>
      <c r="Z316" s="74"/>
      <c r="AA316" s="152"/>
    </row>
    <row r="317" spans="1:27" hidden="1" outlineLevel="2">
      <c r="A317" s="3"/>
      <c r="B317" s="3"/>
      <c r="C317" s="16"/>
      <c r="D317" s="1594"/>
      <c r="E317" s="61">
        <v>9</v>
      </c>
      <c r="F317" s="17"/>
      <c r="G317" s="17"/>
      <c r="H317" s="1414"/>
      <c r="I317" s="1414"/>
      <c r="J317" s="115"/>
      <c r="K317" s="115"/>
      <c r="L317" s="115"/>
      <c r="M317" s="115"/>
      <c r="N317" s="115"/>
      <c r="O317" s="115"/>
      <c r="P317" s="116"/>
      <c r="Q317" s="18">
        <f>IF(A16taxstdlife="n/a","n/a",IF(Q$3&gt;(A16taxstdlife+$E317),('RFM input'!$P$76-'RFM input'!$P$130)-SUM($P317:P317),('RFM input'!$P$76-'RFM input'!$P$130)/A16taxstdlife))</f>
        <v>0</v>
      </c>
      <c r="R317" s="18"/>
      <c r="S317" s="74"/>
      <c r="T317" s="74"/>
      <c r="U317" s="74"/>
      <c r="V317" s="74"/>
      <c r="W317" s="74"/>
      <c r="X317" s="74"/>
      <c r="Y317" s="74"/>
      <c r="Z317" s="74"/>
      <c r="AA317" s="152"/>
    </row>
    <row r="318" spans="1:27" hidden="1" outlineLevel="2">
      <c r="A318" s="3"/>
      <c r="B318" s="3"/>
      <c r="C318" s="16"/>
      <c r="D318" s="1594"/>
      <c r="E318" s="62">
        <v>10</v>
      </c>
      <c r="F318" s="17"/>
      <c r="G318" s="17"/>
      <c r="H318" s="1414"/>
      <c r="I318" s="1414"/>
      <c r="J318" s="115"/>
      <c r="K318" s="115"/>
      <c r="L318" s="115"/>
      <c r="M318" s="115"/>
      <c r="N318" s="115"/>
      <c r="O318" s="115"/>
      <c r="P318" s="115"/>
      <c r="Q318" s="116"/>
      <c r="R318" s="18"/>
      <c r="S318" s="74"/>
      <c r="T318" s="74"/>
      <c r="U318" s="74"/>
      <c r="V318" s="74"/>
      <c r="W318" s="74"/>
      <c r="X318" s="74"/>
      <c r="Y318" s="74"/>
      <c r="Z318" s="74"/>
      <c r="AA318" s="152"/>
    </row>
    <row r="319" spans="1:27" hidden="1" outlineLevel="1">
      <c r="A319" s="3"/>
      <c r="B319" s="3"/>
      <c r="C319" s="134">
        <f>Asset16</f>
        <v>0</v>
      </c>
      <c r="D319" s="3"/>
      <c r="E319" s="3"/>
      <c r="F319" s="14"/>
      <c r="G319" s="14"/>
      <c r="H319" s="1460">
        <f>IF('RFM input'!$G$354="Tracked",-1*INDEX('RFM input'!H$358:H$407,MATCH('TAB roll forward'!$C319,'RFM input'!$E$358:$E$407,0)),-SUM(H307:H318))</f>
        <v>0</v>
      </c>
      <c r="I319" s="1460">
        <f>IF('RFM input'!$G$354="Tracked",-1*INDEX('RFM input'!I$358:I$407,MATCH('TAB roll forward'!$C319,'RFM input'!$E$358:$E$407,0)),-SUM(I307:I318))</f>
        <v>0</v>
      </c>
      <c r="J319" s="1460">
        <f>IF(COUNT($H319:I319)&gt;='RFM input'!$V$7,0,IF('RFM input'!$G$354="Tracked",-1*INDEX('RFM input'!J$358:J$407,MATCH('TAB roll forward'!$C319,'RFM input'!$E$358:$E$407,0)),-SUM(J307:J318)))</f>
        <v>0</v>
      </c>
      <c r="K319" s="1460">
        <f>IF(COUNT($H319:J319)&gt;='RFM input'!$V$7,0,IF('RFM input'!$G$354="Tracked",-1*INDEX('RFM input'!K$358:K$407,MATCH('TAB roll forward'!$C319,'RFM input'!$E$358:$E$407,0)),-SUM(K307:K318)))</f>
        <v>0</v>
      </c>
      <c r="L319" s="1460">
        <f>IF(COUNT($H319:K319)&gt;='RFM input'!$V$7,0,IF('RFM input'!$G$354="Tracked",-1*INDEX('RFM input'!L$358:L$407,MATCH('TAB roll forward'!$C319,'RFM input'!$E$358:$E$407,0)),-SUM(L307:L318)))</f>
        <v>0</v>
      </c>
      <c r="M319" s="1460">
        <f>IF(COUNT($H319:L319)&gt;='RFM input'!$V$7,0,IF('RFM input'!$G$354="Tracked",-1*INDEX('RFM input'!M$358:M$407,MATCH('TAB roll forward'!$C319,'RFM input'!$E$358:$E$407,0)),-SUM(M307:M318)))</f>
        <v>0</v>
      </c>
      <c r="N319" s="1460">
        <f>IF(COUNT($H319:M319)&gt;='RFM input'!$V$7,0,IF('RFM input'!$G$354="Tracked",-1*INDEX('RFM input'!N$358:N$407,MATCH('TAB roll forward'!$C319,'RFM input'!$E$358:$E$407,0)),-SUM(N307:N318)))</f>
        <v>0</v>
      </c>
      <c r="O319" s="1460">
        <f>IF(COUNT($H319:N319)&gt;='RFM input'!$V$7,0,IF('RFM input'!$G$354="Tracked",-1*INDEX('RFM input'!O$358:O$407,MATCH('TAB roll forward'!$C319,'RFM input'!$E$358:$E$407,0)),-SUM(O307:O318)))</f>
        <v>0</v>
      </c>
      <c r="P319" s="1460">
        <f>IF(COUNT($H319:O319)&gt;='RFM input'!$V$7,0,IF('RFM input'!$G$354="Tracked",-1*INDEX('RFM input'!P$358:P$407,MATCH('TAB roll forward'!$C319,'RFM input'!$E$358:$E$407,0)),-SUM(P307:P318)))</f>
        <v>0</v>
      </c>
      <c r="Q319" s="1460">
        <f>IF(COUNT($H319:P319)&gt;='RFM input'!$V$7,0,IF('RFM input'!$G$354="Tracked",-1*INDEX('RFM input'!Q$358:Q$407,MATCH('TAB roll forward'!$C319,'RFM input'!$E$358:$E$407,0)),-SUM(Q307:Q318)))</f>
        <v>0</v>
      </c>
      <c r="R319" s="1382"/>
      <c r="S319" s="73"/>
      <c r="T319" s="73"/>
      <c r="U319" s="73"/>
      <c r="V319" s="73"/>
      <c r="W319" s="73"/>
      <c r="X319" s="73"/>
      <c r="Y319" s="73"/>
      <c r="Z319" s="73"/>
      <c r="AA319" s="152"/>
    </row>
    <row r="320" spans="1:27" hidden="1" outlineLevel="2">
      <c r="A320" s="3"/>
      <c r="B320" s="136">
        <f>Asset17</f>
        <v>0</v>
      </c>
      <c r="C320" s="19"/>
      <c r="D320" s="234" t="s">
        <v>119</v>
      </c>
      <c r="E320" s="19"/>
      <c r="F320" s="148"/>
      <c r="G320" s="148"/>
      <c r="H320" s="21">
        <f>IF(H$3&gt;A17taxremlife,A17taxvalue-SUM($F320:F320),IF(A17taxremlife="N/A","n/a",A17taxvalue/A17taxremlife))</f>
        <v>0</v>
      </c>
      <c r="I320" s="21">
        <f>IF(I$3&gt;A17taxremlife,A17taxvalue-SUM($F320:H320),IF(A17taxremlife="N/A","n/a",A17taxvalue/A17taxremlife))</f>
        <v>0</v>
      </c>
      <c r="J320" s="21">
        <f>IF(J$3&gt;A17taxremlife,A17taxvalue-SUM($F320:I320),IF(A17taxremlife="N/A","n/a",A17taxvalue/A17taxremlife))</f>
        <v>0</v>
      </c>
      <c r="K320" s="21">
        <f>IF(K$3&gt;A17taxremlife,A17taxvalue-SUM($F320:J320),IF(A17taxremlife="N/A","n/a",A17taxvalue/A17taxremlife))</f>
        <v>0</v>
      </c>
      <c r="L320" s="21">
        <f>IF(L$3&gt;A17taxremlife,A17taxvalue-SUM($F320:K320),IF(A17taxremlife="N/A","n/a",A17taxvalue/A17taxremlife))</f>
        <v>0</v>
      </c>
      <c r="M320" s="21">
        <f>IF(M$3&gt;A17taxremlife,A17taxvalue-SUM($F320:L320),IF(A17taxremlife="N/A","n/a",A17taxvalue/A17taxremlife))</f>
        <v>0</v>
      </c>
      <c r="N320" s="21">
        <f>IF(N$3&gt;A17taxremlife,A17taxvalue-SUM($F320:M320),IF(A17taxremlife="N/A","n/a",A17taxvalue/A17taxremlife))</f>
        <v>0</v>
      </c>
      <c r="O320" s="21">
        <f>IF(O$3&gt;A17taxremlife,A17taxvalue-SUM($F320:N320),IF(A17taxremlife="N/A","n/a",A17taxvalue/A17taxremlife))</f>
        <v>0</v>
      </c>
      <c r="P320" s="21">
        <f>IF(P$3&gt;A17taxremlife,A17taxvalue-SUM($F320:O320),IF(A17taxremlife="N/A","n/a",A17taxvalue/A17taxremlife))</f>
        <v>0</v>
      </c>
      <c r="Q320" s="21">
        <f>IF(Q$3&gt;A17taxremlife,A17taxvalue-SUM($F320:P320),IF(A17taxremlife="N/A","n/a",A17taxvalue/A17taxremlife))</f>
        <v>0</v>
      </c>
      <c r="R320" s="21"/>
      <c r="S320" s="74"/>
      <c r="T320" s="74"/>
      <c r="U320" s="74"/>
      <c r="V320" s="74"/>
      <c r="W320" s="74"/>
      <c r="X320" s="74"/>
      <c r="Y320" s="74"/>
      <c r="Z320" s="74"/>
      <c r="AA320" s="152"/>
    </row>
    <row r="321" spans="1:27" ht="12.75" hidden="1" customHeight="1" outlineLevel="2">
      <c r="A321" s="3"/>
      <c r="B321" s="3"/>
      <c r="C321" s="16"/>
      <c r="D321" s="1593" t="s">
        <v>43</v>
      </c>
      <c r="E321" s="61"/>
      <c r="F321" s="17"/>
      <c r="G321" s="17"/>
      <c r="H321" s="1413"/>
      <c r="I321" s="72"/>
      <c r="J321" s="18"/>
      <c r="K321" s="18"/>
      <c r="L321" s="18"/>
      <c r="M321" s="18"/>
      <c r="N321" s="18"/>
      <c r="O321" s="18"/>
      <c r="P321" s="18"/>
      <c r="Q321" s="18"/>
      <c r="R321" s="18"/>
      <c r="S321" s="74"/>
      <c r="T321" s="74"/>
      <c r="U321" s="74"/>
      <c r="V321" s="74"/>
      <c r="W321" s="74"/>
      <c r="X321" s="74"/>
      <c r="Y321" s="74"/>
      <c r="Z321" s="74"/>
      <c r="AA321" s="152"/>
    </row>
    <row r="322" spans="1:27" hidden="1" outlineLevel="2">
      <c r="A322" s="3"/>
      <c r="B322" s="3"/>
      <c r="C322" s="16"/>
      <c r="D322" s="1594"/>
      <c r="E322" s="61">
        <v>1</v>
      </c>
      <c r="F322" s="17"/>
      <c r="G322" s="17"/>
      <c r="H322" s="1414"/>
      <c r="I322" s="1415">
        <f>IF(A17taxstdlife="n/a","n/a",IF(I$3&gt;(A17taxstdlife+$E322),('RFM input'!$H$77-'RFM input'!$H$131)-SUM($H322:H322),('RFM input'!$H$77-'RFM input'!$H$131)/A17taxstdlife))</f>
        <v>0</v>
      </c>
      <c r="J322" s="18">
        <f>IF(A17taxstdlife="n/a","n/a",IF(J$3&gt;(A17taxstdlife+$E322),('RFM input'!$H$77-'RFM input'!$H$131)-SUM($H322:I322),('RFM input'!$H$77-'RFM input'!$H$131)/A17taxstdlife))</f>
        <v>0</v>
      </c>
      <c r="K322" s="18">
        <f>IF(A17taxstdlife="n/a","n/a",IF(K$3&gt;(A17taxstdlife+$E322),('RFM input'!$H$77-'RFM input'!$H$131)-SUM($H322:J322),('RFM input'!$H$77-'RFM input'!$H$131)/A17taxstdlife))</f>
        <v>0</v>
      </c>
      <c r="L322" s="18">
        <f>IF(A17taxstdlife="n/a","n/a",IF(L$3&gt;(A17taxstdlife+$E322),('RFM input'!$H$77-'RFM input'!$H$131)-SUM($H322:K322),('RFM input'!$H$77-'RFM input'!$H$131)/A17taxstdlife))</f>
        <v>0</v>
      </c>
      <c r="M322" s="18">
        <f>IF(A17taxstdlife="n/a","n/a",IF(M$3&gt;(A17taxstdlife+$E322),('RFM input'!$H$77-'RFM input'!$H$131)-SUM($H322:L322),('RFM input'!$H$77-'RFM input'!$H$131)/A17taxstdlife))</f>
        <v>0</v>
      </c>
      <c r="N322" s="18">
        <f>IF(A17taxstdlife="n/a","n/a",IF(N$3&gt;(A17taxstdlife+$E322),('RFM input'!$H$77-'RFM input'!$H$131)-SUM($H322:M322),('RFM input'!$H$77-'RFM input'!$H$131)/A17taxstdlife))</f>
        <v>0</v>
      </c>
      <c r="O322" s="18">
        <f>IF(A17taxstdlife="n/a","n/a",IF(O$3&gt;(A17taxstdlife+$E322),('RFM input'!$H$77-'RFM input'!$H$131)-SUM($H322:N322),('RFM input'!$H$77-'RFM input'!$H$131)/A17taxstdlife))</f>
        <v>0</v>
      </c>
      <c r="P322" s="18">
        <f>IF(A17taxstdlife="n/a","n/a",IF(P$3&gt;(A17taxstdlife+$E322),('RFM input'!$H$77-'RFM input'!$H$131)-SUM($H322:O322),('RFM input'!$H$77-'RFM input'!$H$131)/A17taxstdlife))</f>
        <v>0</v>
      </c>
      <c r="Q322" s="18">
        <f>IF(A17taxstdlife="n/a","n/a",IF(Q$3&gt;(A17taxstdlife+$E322),('RFM input'!$H$77-'RFM input'!$H$131)-SUM($H322:P322),('RFM input'!$H$77-'RFM input'!$H$131)/A17taxstdlife))</f>
        <v>0</v>
      </c>
      <c r="R322" s="18"/>
      <c r="S322" s="74"/>
      <c r="T322" s="74"/>
      <c r="U322" s="74"/>
      <c r="V322" s="74"/>
      <c r="W322" s="74"/>
      <c r="X322" s="74"/>
      <c r="Y322" s="74"/>
      <c r="Z322" s="74"/>
      <c r="AA322" s="152"/>
    </row>
    <row r="323" spans="1:27" hidden="1" outlineLevel="2">
      <c r="A323" s="3"/>
      <c r="B323" s="3"/>
      <c r="C323" s="16"/>
      <c r="D323" s="1594"/>
      <c r="E323" s="61">
        <v>2</v>
      </c>
      <c r="F323" s="17"/>
      <c r="G323" s="17"/>
      <c r="H323" s="1414"/>
      <c r="I323" s="1414"/>
      <c r="J323" s="18">
        <f>IF(A17taxstdlife="n/a","n/a",IF(J$3&gt;(A17taxstdlife+$E323),('RFM input'!$I$77-'RFM input'!$I$131)-SUM($I323:I323),('RFM input'!$I$77-'RFM input'!$I$131)/A17taxstdlife))</f>
        <v>0</v>
      </c>
      <c r="K323" s="18">
        <f>IF(A17taxstdlife="n/a","n/a",IF(K$3&gt;(A17taxstdlife+$E323),('RFM input'!$I$77-'RFM input'!$I$131)-SUM($I323:J323),('RFM input'!$I$77-'RFM input'!$I$131)/A17taxstdlife))</f>
        <v>0</v>
      </c>
      <c r="L323" s="18">
        <f>IF(A17taxstdlife="n/a","n/a",IF(L$3&gt;(A17taxstdlife+$E323),('RFM input'!$I$77-'RFM input'!$I$131)-SUM($I323:K323),('RFM input'!$I$77-'RFM input'!$I$131)/A17taxstdlife))</f>
        <v>0</v>
      </c>
      <c r="M323" s="18">
        <f>IF(A17taxstdlife="n/a","n/a",IF(M$3&gt;(A17taxstdlife+$E323),('RFM input'!$I$77-'RFM input'!$I$131)-SUM($I323:L323),('RFM input'!$I$77-'RFM input'!$I$131)/A17taxstdlife))</f>
        <v>0</v>
      </c>
      <c r="N323" s="18">
        <f>IF(A17taxstdlife="n/a","n/a",IF(N$3&gt;(A17taxstdlife+$E323),('RFM input'!$I$77-'RFM input'!$I$131)-SUM($I323:M323),('RFM input'!$I$77-'RFM input'!$I$131)/A17taxstdlife))</f>
        <v>0</v>
      </c>
      <c r="O323" s="18">
        <f>IF(A17taxstdlife="n/a","n/a",IF(O$3&gt;(A17taxstdlife+$E323),('RFM input'!$I$77-'RFM input'!$I$131)-SUM($I323:N323),('RFM input'!$I$77-'RFM input'!$I$131)/A17taxstdlife))</f>
        <v>0</v>
      </c>
      <c r="P323" s="18">
        <f>IF(A17taxstdlife="n/a","n/a",IF(P$3&gt;(A17taxstdlife+$E323),('RFM input'!$I$77-'RFM input'!$I$131)-SUM($I323:O323),('RFM input'!$I$77-'RFM input'!$I$131)/A17taxstdlife))</f>
        <v>0</v>
      </c>
      <c r="Q323" s="18">
        <f>IF(A17taxstdlife="n/a","n/a",IF(Q$3&gt;(A17taxstdlife+$E323),('RFM input'!$I$77-'RFM input'!$I$131)-SUM($I323:P323),('RFM input'!$I$77-'RFM input'!$I$131)/A17taxstdlife))</f>
        <v>0</v>
      </c>
      <c r="R323" s="18"/>
      <c r="S323" s="74"/>
      <c r="T323" s="74"/>
      <c r="U323" s="74"/>
      <c r="V323" s="74"/>
      <c r="W323" s="74"/>
      <c r="X323" s="74"/>
      <c r="Y323" s="74"/>
      <c r="Z323" s="74"/>
      <c r="AA323" s="152"/>
    </row>
    <row r="324" spans="1:27" hidden="1" outlineLevel="2">
      <c r="A324" s="3"/>
      <c r="B324" s="3"/>
      <c r="C324" s="16"/>
      <c r="D324" s="1594"/>
      <c r="E324" s="61">
        <v>3</v>
      </c>
      <c r="F324" s="17"/>
      <c r="G324" s="17"/>
      <c r="H324" s="1414"/>
      <c r="I324" s="1414"/>
      <c r="J324" s="116"/>
      <c r="K324" s="18">
        <f>IF(A17taxstdlife="n/a","n/a",IF(K$3&gt;(A17taxstdlife+$E324),('RFM input'!$J$77-'RFM input'!$J$131)-SUM($J324:J324),('RFM input'!$J$77-'RFM input'!$J$131)/A17taxstdlife))</f>
        <v>0</v>
      </c>
      <c r="L324" s="18">
        <f>IF(A17taxstdlife="n/a","n/a",IF(L$3&gt;(A17taxstdlife+$E324),('RFM input'!$J$77-'RFM input'!$J$131)-SUM($J324:K324),('RFM input'!$J$77-'RFM input'!$J$131)/A17taxstdlife))</f>
        <v>0</v>
      </c>
      <c r="M324" s="18">
        <f>IF(A17taxstdlife="n/a","n/a",IF(M$3&gt;(A17taxstdlife+$E324),('RFM input'!$J$77-'RFM input'!$J$131)-SUM($J324:L324),('RFM input'!$J$77-'RFM input'!$J$131)/A17taxstdlife))</f>
        <v>0</v>
      </c>
      <c r="N324" s="18">
        <f>IF(A17taxstdlife="n/a","n/a",IF(N$3&gt;(A17taxstdlife+$E324),('RFM input'!$J$77-'RFM input'!$J$131)-SUM($J324:M324),('RFM input'!$J$77-'RFM input'!$J$131)/A17taxstdlife))</f>
        <v>0</v>
      </c>
      <c r="O324" s="18">
        <f>IF(A17taxstdlife="n/a","n/a",IF(O$3&gt;(A17taxstdlife+$E324),('RFM input'!$J$77-'RFM input'!$J$131)-SUM($J324:N324),('RFM input'!$J$77-'RFM input'!$J$131)/A17taxstdlife))</f>
        <v>0</v>
      </c>
      <c r="P324" s="18">
        <f>IF(A17taxstdlife="n/a","n/a",IF(P$3&gt;(A17taxstdlife+$E324),('RFM input'!$J$77-'RFM input'!$J$131)-SUM($J324:O324),('RFM input'!$J$77-'RFM input'!$J$131)/A17taxstdlife))</f>
        <v>0</v>
      </c>
      <c r="Q324" s="18">
        <f>IF(A17taxstdlife="n/a","n/a",IF(Q$3&gt;(A17taxstdlife+$E324),('RFM input'!$J$77-'RFM input'!$J$131)-SUM($J324:P324),('RFM input'!$J$77-'RFM input'!$J$131)/A17taxstdlife))</f>
        <v>0</v>
      </c>
      <c r="R324" s="18"/>
      <c r="S324" s="74"/>
      <c r="T324" s="74"/>
      <c r="U324" s="74"/>
      <c r="V324" s="74"/>
      <c r="W324" s="74"/>
      <c r="X324" s="74"/>
      <c r="Y324" s="74"/>
      <c r="Z324" s="74"/>
      <c r="AA324" s="152"/>
    </row>
    <row r="325" spans="1:27" hidden="1" outlineLevel="2">
      <c r="A325" s="3"/>
      <c r="B325" s="3"/>
      <c r="C325" s="16"/>
      <c r="D325" s="1594"/>
      <c r="E325" s="61">
        <v>4</v>
      </c>
      <c r="F325" s="17"/>
      <c r="G325" s="17"/>
      <c r="H325" s="1414"/>
      <c r="I325" s="1414"/>
      <c r="J325" s="115"/>
      <c r="K325" s="116"/>
      <c r="L325" s="18">
        <f>IF(A17taxstdlife="n/a","n/a",IF(L$3&gt;(A17taxstdlife+$E325),('RFM input'!$K$77-'RFM input'!$K$131)-SUM($K325:K325),('RFM input'!$K$77-'RFM input'!$K$131)/A17taxstdlife))</f>
        <v>0</v>
      </c>
      <c r="M325" s="18">
        <f>IF(A17taxstdlife="n/a","n/a",IF(M$3&gt;(A17taxstdlife+$E325),('RFM input'!$K$77-'RFM input'!$K$131)-SUM($K325:L325),('RFM input'!$K$77-'RFM input'!$K$131)/A17taxstdlife))</f>
        <v>0</v>
      </c>
      <c r="N325" s="18">
        <f>IF(A17taxstdlife="n/a","n/a",IF(N$3&gt;(A17taxstdlife+$E325),('RFM input'!$K$77-'RFM input'!$K$131)-SUM($K325:M325),('RFM input'!$K$77-'RFM input'!$K$131)/A17taxstdlife))</f>
        <v>0</v>
      </c>
      <c r="O325" s="18">
        <f>IF(A17taxstdlife="n/a","n/a",IF(O$3&gt;(A17taxstdlife+$E325),('RFM input'!$K$77-'RFM input'!$K$131)-SUM($K325:N325),('RFM input'!$K$77-'RFM input'!$K$131)/A17taxstdlife))</f>
        <v>0</v>
      </c>
      <c r="P325" s="18">
        <f>IF(A17taxstdlife="n/a","n/a",IF(P$3&gt;(A17taxstdlife+$E325),('RFM input'!$K$77-'RFM input'!$K$131)-SUM($K325:O325),('RFM input'!$K$77-'RFM input'!$K$131)/A17taxstdlife))</f>
        <v>0</v>
      </c>
      <c r="Q325" s="18">
        <f>IF(A17taxstdlife="n/a","n/a",IF(Q$3&gt;(A17taxstdlife+$E325),('RFM input'!$K$77-'RFM input'!$K$131)-SUM($K325:P325),('RFM input'!$K$77-'RFM input'!$K$131)/A17taxstdlife))</f>
        <v>0</v>
      </c>
      <c r="R325" s="18"/>
      <c r="S325" s="74"/>
      <c r="T325" s="74"/>
      <c r="U325" s="74"/>
      <c r="V325" s="74"/>
      <c r="W325" s="74"/>
      <c r="X325" s="74"/>
      <c r="Y325" s="74"/>
      <c r="Z325" s="74"/>
      <c r="AA325" s="152"/>
    </row>
    <row r="326" spans="1:27" hidden="1" outlineLevel="2">
      <c r="A326" s="3"/>
      <c r="B326" s="3"/>
      <c r="C326" s="16"/>
      <c r="D326" s="1594"/>
      <c r="E326" s="61">
        <v>5</v>
      </c>
      <c r="F326" s="17"/>
      <c r="G326" s="17"/>
      <c r="H326" s="1414"/>
      <c r="I326" s="1414"/>
      <c r="J326" s="115"/>
      <c r="K326" s="115"/>
      <c r="L326" s="116"/>
      <c r="M326" s="18">
        <f>IF(A17taxstdlife="n/a","n/a",IF(M$3&gt;(A17taxstdlife+$E326),('RFM input'!$L$77-'RFM input'!$L$131)-SUM($L326:L326),('RFM input'!$L$77-'RFM input'!$L$131)/A17taxstdlife))</f>
        <v>0</v>
      </c>
      <c r="N326" s="18">
        <f>IF(A17taxstdlife="n/a","n/a",IF(N$3&gt;(A17taxstdlife+$E326),('RFM input'!$L$77-'RFM input'!$L$131)-SUM($L326:M326),('RFM input'!$L$77-'RFM input'!$L$131)/A17taxstdlife))</f>
        <v>0</v>
      </c>
      <c r="O326" s="18">
        <f>IF(A17taxstdlife="n/a","n/a",IF(O$3&gt;(A17taxstdlife+$E326),('RFM input'!$L$77-'RFM input'!$L$131)-SUM($L326:N326),('RFM input'!$L$77-'RFM input'!$L$131)/A17taxstdlife))</f>
        <v>0</v>
      </c>
      <c r="P326" s="18">
        <f>IF(A17taxstdlife="n/a","n/a",IF(P$3&gt;(A17taxstdlife+$E326),('RFM input'!$L$77-'RFM input'!$L$131)-SUM($L326:O326),('RFM input'!$L$77-'RFM input'!$L$131)/A17taxstdlife))</f>
        <v>0</v>
      </c>
      <c r="Q326" s="18">
        <f>IF(A17taxstdlife="n/a","n/a",IF(Q$3&gt;(A17taxstdlife+$E326),('RFM input'!$L$77-'RFM input'!$L$131)-SUM($L326:P326),('RFM input'!$L$77-'RFM input'!$L$131)/A17taxstdlife))</f>
        <v>0</v>
      </c>
      <c r="R326" s="18"/>
      <c r="S326" s="74"/>
      <c r="T326" s="74"/>
      <c r="U326" s="74"/>
      <c r="V326" s="74"/>
      <c r="W326" s="74"/>
      <c r="X326" s="74"/>
      <c r="Y326" s="74"/>
      <c r="Z326" s="74"/>
      <c r="AA326" s="152"/>
    </row>
    <row r="327" spans="1:27" hidden="1" outlineLevel="2">
      <c r="A327" s="3"/>
      <c r="B327" s="3"/>
      <c r="C327" s="16"/>
      <c r="D327" s="1594"/>
      <c r="E327" s="61">
        <v>6</v>
      </c>
      <c r="F327" s="17"/>
      <c r="G327" s="17"/>
      <c r="H327" s="1414"/>
      <c r="I327" s="1414"/>
      <c r="J327" s="115"/>
      <c r="K327" s="115"/>
      <c r="L327" s="115"/>
      <c r="M327" s="116"/>
      <c r="N327" s="18">
        <f>IF(A17taxstdlife="n/a","n/a",IF(N$3&gt;(A17taxstdlife+$E327),('RFM input'!$M$77-'RFM input'!$M$131)-SUM($M327:M327),('RFM input'!$M$77-'RFM input'!$M$131)/A17taxstdlife))</f>
        <v>0</v>
      </c>
      <c r="O327" s="18">
        <f>IF(A17taxstdlife="n/a","n/a",IF(O$3&gt;(A17taxstdlife+$E327),('RFM input'!$M$77-'RFM input'!$M$131)-SUM($M327:N327),('RFM input'!$M$77-'RFM input'!$M$131)/A17taxstdlife))</f>
        <v>0</v>
      </c>
      <c r="P327" s="18">
        <f>IF(A17taxstdlife="n/a","n/a",IF(P$3&gt;(A17taxstdlife+$E327),('RFM input'!$M$77-'RFM input'!$M$131)-SUM($M327:O327),('RFM input'!$M$77-'RFM input'!$M$131)/A17taxstdlife))</f>
        <v>0</v>
      </c>
      <c r="Q327" s="18">
        <f>IF(A17taxstdlife="n/a","n/a",IF(Q$3&gt;(A17taxstdlife+$E327),('RFM input'!$M$77-'RFM input'!$M$131)-SUM($M327:P327),('RFM input'!$M$77-'RFM input'!$M$131)/A17taxstdlife))</f>
        <v>0</v>
      </c>
      <c r="R327" s="18"/>
      <c r="S327" s="74"/>
      <c r="T327" s="74"/>
      <c r="U327" s="74"/>
      <c r="V327" s="74"/>
      <c r="W327" s="74"/>
      <c r="X327" s="74"/>
      <c r="Y327" s="74"/>
      <c r="Z327" s="74"/>
      <c r="AA327" s="152"/>
    </row>
    <row r="328" spans="1:27" hidden="1" outlineLevel="2">
      <c r="A328" s="3"/>
      <c r="B328" s="3"/>
      <c r="C328" s="16"/>
      <c r="D328" s="1594"/>
      <c r="E328" s="61">
        <v>7</v>
      </c>
      <c r="F328" s="17"/>
      <c r="G328" s="17"/>
      <c r="H328" s="1414"/>
      <c r="I328" s="1414"/>
      <c r="J328" s="115"/>
      <c r="K328" s="115"/>
      <c r="L328" s="115"/>
      <c r="M328" s="115"/>
      <c r="N328" s="116"/>
      <c r="O328" s="18">
        <f>IF(A17taxstdlife="n/a","n/a",IF(O$3&gt;(A17taxstdlife+$E328),('RFM input'!$N$77-'RFM input'!$N$131)-SUM($N328:N328),('RFM input'!$N$77-'RFM input'!$N$131)/A17taxstdlife))</f>
        <v>0</v>
      </c>
      <c r="P328" s="18">
        <f>IF(A17taxstdlife="n/a","n/a",IF(P$3&gt;(A17taxstdlife+$E328),('RFM input'!$N$77-'RFM input'!$N$131)-SUM($N328:O328),('RFM input'!$N$77-'RFM input'!$N$131)/A17taxstdlife))</f>
        <v>0</v>
      </c>
      <c r="Q328" s="18">
        <f>IF(A17taxstdlife="n/a","n/a",IF(Q$3&gt;(A17taxstdlife+$E328),('RFM input'!$N$77-'RFM input'!$N$131)-SUM($N328:P328),('RFM input'!$N$77-'RFM input'!$N$131)/A17taxstdlife))</f>
        <v>0</v>
      </c>
      <c r="R328" s="18"/>
      <c r="S328" s="74"/>
      <c r="T328" s="74"/>
      <c r="U328" s="74"/>
      <c r="V328" s="74"/>
      <c r="W328" s="74"/>
      <c r="X328" s="74"/>
      <c r="Y328" s="74"/>
      <c r="Z328" s="74"/>
      <c r="AA328" s="152"/>
    </row>
    <row r="329" spans="1:27" hidden="1" outlineLevel="2">
      <c r="A329" s="3"/>
      <c r="B329" s="3"/>
      <c r="C329" s="16"/>
      <c r="D329" s="1594"/>
      <c r="E329" s="61">
        <v>8</v>
      </c>
      <c r="F329" s="17"/>
      <c r="G329" s="17"/>
      <c r="H329" s="1414"/>
      <c r="I329" s="1414"/>
      <c r="J329" s="115"/>
      <c r="K329" s="115"/>
      <c r="L329" s="115"/>
      <c r="M329" s="115"/>
      <c r="N329" s="115"/>
      <c r="O329" s="116"/>
      <c r="P329" s="18">
        <f>IF(A17taxstdlife="n/a","n/a",IF(P$3&gt;(A17taxstdlife+$E329),('RFM input'!$O$77-'RFM input'!$O$131)-SUM($O329:O329),('RFM input'!$O$77-'RFM input'!$O$131)/A17taxstdlife))</f>
        <v>0</v>
      </c>
      <c r="Q329" s="18">
        <f>IF(A17taxstdlife="n/a","n/a",IF(Q$3&gt;(A17taxstdlife+$E329),('RFM input'!$O$77-'RFM input'!$O$131)-SUM($O329:P329),('RFM input'!$O$77-'RFM input'!$O$131)/A17taxstdlife))</f>
        <v>0</v>
      </c>
      <c r="R329" s="18"/>
      <c r="S329" s="74"/>
      <c r="T329" s="74"/>
      <c r="U329" s="74"/>
      <c r="V329" s="74"/>
      <c r="W329" s="74"/>
      <c r="X329" s="74"/>
      <c r="Y329" s="74"/>
      <c r="Z329" s="74"/>
      <c r="AA329" s="152"/>
    </row>
    <row r="330" spans="1:27" hidden="1" outlineLevel="2">
      <c r="A330" s="3"/>
      <c r="B330" s="3"/>
      <c r="C330" s="16"/>
      <c r="D330" s="1594"/>
      <c r="E330" s="61">
        <v>9</v>
      </c>
      <c r="F330" s="17"/>
      <c r="G330" s="17"/>
      <c r="H330" s="1414"/>
      <c r="I330" s="1414"/>
      <c r="J330" s="115"/>
      <c r="K330" s="115"/>
      <c r="L330" s="115"/>
      <c r="M330" s="115"/>
      <c r="N330" s="115"/>
      <c r="O330" s="115"/>
      <c r="P330" s="116"/>
      <c r="Q330" s="18">
        <f>IF(A17taxstdlife="n/a","n/a",IF(Q$3&gt;(A17taxstdlife+$E330),('RFM input'!$P$77-'RFM input'!$P$131)-SUM($P330:P330),('RFM input'!$P$77-'RFM input'!$P$131)/A17taxstdlife))</f>
        <v>0</v>
      </c>
      <c r="R330" s="18"/>
      <c r="S330" s="74"/>
      <c r="T330" s="74"/>
      <c r="U330" s="74"/>
      <c r="V330" s="74"/>
      <c r="W330" s="74"/>
      <c r="X330" s="74"/>
      <c r="Y330" s="74"/>
      <c r="Z330" s="74"/>
      <c r="AA330" s="152"/>
    </row>
    <row r="331" spans="1:27" hidden="1" outlineLevel="2">
      <c r="A331" s="3"/>
      <c r="B331" s="3"/>
      <c r="C331" s="16"/>
      <c r="D331" s="1594"/>
      <c r="E331" s="62">
        <v>10</v>
      </c>
      <c r="F331" s="17"/>
      <c r="G331" s="17"/>
      <c r="H331" s="1414"/>
      <c r="I331" s="1414"/>
      <c r="J331" s="115"/>
      <c r="K331" s="115"/>
      <c r="L331" s="115"/>
      <c r="M331" s="115"/>
      <c r="N331" s="115"/>
      <c r="O331" s="115"/>
      <c r="P331" s="115"/>
      <c r="Q331" s="116"/>
      <c r="R331" s="18"/>
      <c r="S331" s="74"/>
      <c r="T331" s="74"/>
      <c r="U331" s="74"/>
      <c r="V331" s="74"/>
      <c r="W331" s="74"/>
      <c r="X331" s="74"/>
      <c r="Y331" s="74"/>
      <c r="Z331" s="74"/>
      <c r="AA331" s="152"/>
    </row>
    <row r="332" spans="1:27" hidden="1" outlineLevel="1">
      <c r="A332" s="3"/>
      <c r="B332" s="3"/>
      <c r="C332" s="134">
        <f>Asset17</f>
        <v>0</v>
      </c>
      <c r="D332" s="3"/>
      <c r="E332" s="3"/>
      <c r="F332" s="14"/>
      <c r="G332" s="14"/>
      <c r="H332" s="1460">
        <f>IF('RFM input'!$G$354="Tracked",-1*INDEX('RFM input'!H$358:H$407,MATCH('TAB roll forward'!$C332,'RFM input'!$E$358:$E$407,0)),-SUM(H320:H331))</f>
        <v>0</v>
      </c>
      <c r="I332" s="1460">
        <f>IF('RFM input'!$G$354="Tracked",-1*INDEX('RFM input'!I$358:I$407,MATCH('TAB roll forward'!$C332,'RFM input'!$E$358:$E$407,0)),-SUM(I320:I331))</f>
        <v>0</v>
      </c>
      <c r="J332" s="1460">
        <f>IF(COUNT($H332:I332)&gt;='RFM input'!$V$7,0,IF('RFM input'!$G$354="Tracked",-1*INDEX('RFM input'!J$358:J$407,MATCH('TAB roll forward'!$C332,'RFM input'!$E$358:$E$407,0)),-SUM(J320:J331)))</f>
        <v>0</v>
      </c>
      <c r="K332" s="1460">
        <f>IF(COUNT($H332:J332)&gt;='RFM input'!$V$7,0,IF('RFM input'!$G$354="Tracked",-1*INDEX('RFM input'!K$358:K$407,MATCH('TAB roll forward'!$C332,'RFM input'!$E$358:$E$407,0)),-SUM(K320:K331)))</f>
        <v>0</v>
      </c>
      <c r="L332" s="1460">
        <f>IF(COUNT($H332:K332)&gt;='RFM input'!$V$7,0,IF('RFM input'!$G$354="Tracked",-1*INDEX('RFM input'!L$358:L$407,MATCH('TAB roll forward'!$C332,'RFM input'!$E$358:$E$407,0)),-SUM(L320:L331)))</f>
        <v>0</v>
      </c>
      <c r="M332" s="1460">
        <f>IF(COUNT($H332:L332)&gt;='RFM input'!$V$7,0,IF('RFM input'!$G$354="Tracked",-1*INDEX('RFM input'!M$358:M$407,MATCH('TAB roll forward'!$C332,'RFM input'!$E$358:$E$407,0)),-SUM(M320:M331)))</f>
        <v>0</v>
      </c>
      <c r="N332" s="1460">
        <f>IF(COUNT($H332:M332)&gt;='RFM input'!$V$7,0,IF('RFM input'!$G$354="Tracked",-1*INDEX('RFM input'!N$358:N$407,MATCH('TAB roll forward'!$C332,'RFM input'!$E$358:$E$407,0)),-SUM(N320:N331)))</f>
        <v>0</v>
      </c>
      <c r="O332" s="1460">
        <f>IF(COUNT($H332:N332)&gt;='RFM input'!$V$7,0,IF('RFM input'!$G$354="Tracked",-1*INDEX('RFM input'!O$358:O$407,MATCH('TAB roll forward'!$C332,'RFM input'!$E$358:$E$407,0)),-SUM(O320:O331)))</f>
        <v>0</v>
      </c>
      <c r="P332" s="1460">
        <f>IF(COUNT($H332:O332)&gt;='RFM input'!$V$7,0,IF('RFM input'!$G$354="Tracked",-1*INDEX('RFM input'!P$358:P$407,MATCH('TAB roll forward'!$C332,'RFM input'!$E$358:$E$407,0)),-SUM(P320:P331)))</f>
        <v>0</v>
      </c>
      <c r="Q332" s="1460">
        <f>IF(COUNT($H332:P332)&gt;='RFM input'!$V$7,0,IF('RFM input'!$G$354="Tracked",-1*INDEX('RFM input'!Q$358:Q$407,MATCH('TAB roll forward'!$C332,'RFM input'!$E$358:$E$407,0)),-SUM(Q320:Q331)))</f>
        <v>0</v>
      </c>
      <c r="R332" s="1382"/>
      <c r="S332" s="73"/>
      <c r="T332" s="73"/>
      <c r="U332" s="73"/>
      <c r="V332" s="73"/>
      <c r="W332" s="73"/>
      <c r="X332" s="73"/>
      <c r="Y332" s="73"/>
      <c r="Z332" s="73"/>
      <c r="AA332" s="152"/>
    </row>
    <row r="333" spans="1:27" hidden="1" outlineLevel="2">
      <c r="A333" s="3"/>
      <c r="B333" s="136">
        <f>Asset18</f>
        <v>0</v>
      </c>
      <c r="C333" s="19"/>
      <c r="D333" s="234" t="s">
        <v>119</v>
      </c>
      <c r="E333" s="19"/>
      <c r="F333" s="148"/>
      <c r="G333" s="148"/>
      <c r="H333" s="21">
        <f>IF(H$3&gt;A18taxremlife,A18taxvalue-SUM($F333:F333),IF(A18taxremlife="N/A","n/a",A18taxvalue/A18taxremlife))</f>
        <v>0</v>
      </c>
      <c r="I333" s="21">
        <f>IF(I$3&gt;A18taxremlife,A18taxvalue-SUM($F333:H333),IF(A18taxremlife="N/A","n/a",A18taxvalue/A18taxremlife))</f>
        <v>0</v>
      </c>
      <c r="J333" s="21">
        <f>IF(J$3&gt;A18taxremlife,A18taxvalue-SUM($F333:I333),IF(A18taxremlife="N/A","n/a",A18taxvalue/A18taxremlife))</f>
        <v>0</v>
      </c>
      <c r="K333" s="21">
        <f>IF(K$3&gt;A18taxremlife,A18taxvalue-SUM($F333:J333),IF(A18taxremlife="N/A","n/a",A18taxvalue/A18taxremlife))</f>
        <v>0</v>
      </c>
      <c r="L333" s="21">
        <f>IF(L$3&gt;A18taxremlife,A18taxvalue-SUM($F333:K333),IF(A18taxremlife="N/A","n/a",A18taxvalue/A18taxremlife))</f>
        <v>0</v>
      </c>
      <c r="M333" s="21">
        <f>IF(M$3&gt;A18taxremlife,A18taxvalue-SUM($F333:L333),IF(A18taxremlife="N/A","n/a",A18taxvalue/A18taxremlife))</f>
        <v>0</v>
      </c>
      <c r="N333" s="21">
        <f>IF(N$3&gt;A18taxremlife,A18taxvalue-SUM($F333:M333),IF(A18taxremlife="N/A","n/a",A18taxvalue/A18taxremlife))</f>
        <v>0</v>
      </c>
      <c r="O333" s="21">
        <f>IF(O$3&gt;A18taxremlife,A18taxvalue-SUM($F333:N333),IF(A18taxremlife="N/A","n/a",A18taxvalue/A18taxremlife))</f>
        <v>0</v>
      </c>
      <c r="P333" s="21">
        <f>IF(P$3&gt;A18taxremlife,A18taxvalue-SUM($F333:O333),IF(A18taxremlife="N/A","n/a",A18taxvalue/A18taxremlife))</f>
        <v>0</v>
      </c>
      <c r="Q333" s="21">
        <f>IF(Q$3&gt;A18taxremlife,A18taxvalue-SUM($F333:P333),IF(A18taxremlife="N/A","n/a",A18taxvalue/A18taxremlife))</f>
        <v>0</v>
      </c>
      <c r="R333" s="21"/>
      <c r="S333" s="74"/>
      <c r="T333" s="74"/>
      <c r="U333" s="74"/>
      <c r="V333" s="74"/>
      <c r="W333" s="74"/>
      <c r="X333" s="74"/>
      <c r="Y333" s="74"/>
      <c r="Z333" s="74"/>
      <c r="AA333" s="152"/>
    </row>
    <row r="334" spans="1:27" ht="12.75" hidden="1" customHeight="1" outlineLevel="2">
      <c r="A334" s="3"/>
      <c r="B334" s="3"/>
      <c r="C334" s="16"/>
      <c r="D334" s="1593" t="s">
        <v>43</v>
      </c>
      <c r="E334" s="61"/>
      <c r="F334" s="17"/>
      <c r="G334" s="17"/>
      <c r="H334" s="1413"/>
      <c r="I334" s="72"/>
      <c r="J334" s="18"/>
      <c r="K334" s="18"/>
      <c r="L334" s="18"/>
      <c r="M334" s="18"/>
      <c r="N334" s="18"/>
      <c r="O334" s="18"/>
      <c r="P334" s="18"/>
      <c r="Q334" s="18"/>
      <c r="R334" s="18"/>
      <c r="S334" s="74"/>
      <c r="T334" s="74"/>
      <c r="U334" s="74"/>
      <c r="V334" s="74"/>
      <c r="W334" s="74"/>
      <c r="X334" s="74"/>
      <c r="Y334" s="74"/>
      <c r="Z334" s="74"/>
      <c r="AA334" s="152"/>
    </row>
    <row r="335" spans="1:27" hidden="1" outlineLevel="2">
      <c r="A335" s="3"/>
      <c r="B335" s="3"/>
      <c r="C335" s="16"/>
      <c r="D335" s="1594"/>
      <c r="E335" s="61">
        <v>1</v>
      </c>
      <c r="F335" s="17"/>
      <c r="G335" s="17"/>
      <c r="H335" s="1414"/>
      <c r="I335" s="1415">
        <f>IF(A18taxstdlife="n/a","n/a",IF(I$3&gt;(A18taxstdlife+$E335),('RFM input'!$H$78-'RFM input'!$H$132)-SUM($H335:H335),('RFM input'!$H$78-'RFM input'!$H$132)/A18taxstdlife))</f>
        <v>0</v>
      </c>
      <c r="J335" s="18">
        <f>IF(A18taxstdlife="n/a","n/a",IF(J$3&gt;(A18taxstdlife+$E335),('RFM input'!$H$78-'RFM input'!$H$132)-SUM($H335:I335),('RFM input'!$H$78-'RFM input'!$H$132)/A18taxstdlife))</f>
        <v>0</v>
      </c>
      <c r="K335" s="18">
        <f>IF(A18taxstdlife="n/a","n/a",IF(K$3&gt;(A18taxstdlife+$E335),('RFM input'!$H$78-'RFM input'!$H$132)-SUM($H335:J335),('RFM input'!$H$78-'RFM input'!$H$132)/A18taxstdlife))</f>
        <v>0</v>
      </c>
      <c r="L335" s="18">
        <f>IF(A18taxstdlife="n/a","n/a",IF(L$3&gt;(A18taxstdlife+$E335),('RFM input'!$H$78-'RFM input'!$H$132)-SUM($H335:K335),('RFM input'!$H$78-'RFM input'!$H$132)/A18taxstdlife))</f>
        <v>0</v>
      </c>
      <c r="M335" s="18">
        <f>IF(A18taxstdlife="n/a","n/a",IF(M$3&gt;(A18taxstdlife+$E335),('RFM input'!$H$78-'RFM input'!$H$132)-SUM($H335:L335),('RFM input'!$H$78-'RFM input'!$H$132)/A18taxstdlife))</f>
        <v>0</v>
      </c>
      <c r="N335" s="18">
        <f>IF(A18taxstdlife="n/a","n/a",IF(N$3&gt;(A18taxstdlife+$E335),('RFM input'!$H$78-'RFM input'!$H$132)-SUM($H335:M335),('RFM input'!$H$78-'RFM input'!$H$132)/A18taxstdlife))</f>
        <v>0</v>
      </c>
      <c r="O335" s="18">
        <f>IF(A18taxstdlife="n/a","n/a",IF(O$3&gt;(A18taxstdlife+$E335),('RFM input'!$H$78-'RFM input'!$H$132)-SUM($H335:N335),('RFM input'!$H$78-'RFM input'!$H$132)/A18taxstdlife))</f>
        <v>0</v>
      </c>
      <c r="P335" s="18">
        <f>IF(A18taxstdlife="n/a","n/a",IF(P$3&gt;(A18taxstdlife+$E335),('RFM input'!$H$78-'RFM input'!$H$132)-SUM($H335:O335),('RFM input'!$H$78-'RFM input'!$H$132)/A18taxstdlife))</f>
        <v>0</v>
      </c>
      <c r="Q335" s="18">
        <f>IF(A18taxstdlife="n/a","n/a",IF(Q$3&gt;(A18taxstdlife+$E335),('RFM input'!$H$78-'RFM input'!$H$132)-SUM($H335:P335),('RFM input'!$H$78-'RFM input'!$H$132)/A18taxstdlife))</f>
        <v>0</v>
      </c>
      <c r="R335" s="18"/>
      <c r="S335" s="74"/>
      <c r="T335" s="74"/>
      <c r="U335" s="74"/>
      <c r="V335" s="74"/>
      <c r="W335" s="74"/>
      <c r="X335" s="74"/>
      <c r="Y335" s="74"/>
      <c r="Z335" s="74"/>
      <c r="AA335" s="152"/>
    </row>
    <row r="336" spans="1:27" hidden="1" outlineLevel="2">
      <c r="A336" s="3"/>
      <c r="B336" s="3"/>
      <c r="C336" s="16"/>
      <c r="D336" s="1594"/>
      <c r="E336" s="61">
        <v>2</v>
      </c>
      <c r="F336" s="17"/>
      <c r="G336" s="17"/>
      <c r="H336" s="1414"/>
      <c r="I336" s="1414"/>
      <c r="J336" s="18">
        <f>IF(A18taxstdlife="n/a","n/a",IF(J$3&gt;(A18taxstdlife+$E336),('RFM input'!$I$78-'RFM input'!$I$132)-SUM($I336:I336),('RFM input'!$I$78-'RFM input'!$I$132)/A18taxstdlife))</f>
        <v>0</v>
      </c>
      <c r="K336" s="18">
        <f>IF(A18taxstdlife="n/a","n/a",IF(K$3&gt;(A18taxstdlife+$E336),('RFM input'!$I$78-'RFM input'!$I$132)-SUM($I336:J336),('RFM input'!$I$78-'RFM input'!$I$132)/A18taxstdlife))</f>
        <v>0</v>
      </c>
      <c r="L336" s="18">
        <f>IF(A18taxstdlife="n/a","n/a",IF(L$3&gt;(A18taxstdlife+$E336),('RFM input'!$I$78-'RFM input'!$I$132)-SUM($I336:K336),('RFM input'!$I$78-'RFM input'!$I$132)/A18taxstdlife))</f>
        <v>0</v>
      </c>
      <c r="M336" s="18">
        <f>IF(A18taxstdlife="n/a","n/a",IF(M$3&gt;(A18taxstdlife+$E336),('RFM input'!$I$78-'RFM input'!$I$132)-SUM($I336:L336),('RFM input'!$I$78-'RFM input'!$I$132)/A18taxstdlife))</f>
        <v>0</v>
      </c>
      <c r="N336" s="18">
        <f>IF(A18taxstdlife="n/a","n/a",IF(N$3&gt;(A18taxstdlife+$E336),('RFM input'!$I$78-'RFM input'!$I$132)-SUM($I336:M336),('RFM input'!$I$78-'RFM input'!$I$132)/A18taxstdlife))</f>
        <v>0</v>
      </c>
      <c r="O336" s="18">
        <f>IF(A18taxstdlife="n/a","n/a",IF(O$3&gt;(A18taxstdlife+$E336),('RFM input'!$I$78-'RFM input'!$I$132)-SUM($I336:N336),('RFM input'!$I$78-'RFM input'!$I$132)/A18taxstdlife))</f>
        <v>0</v>
      </c>
      <c r="P336" s="18">
        <f>IF(A18taxstdlife="n/a","n/a",IF(P$3&gt;(A18taxstdlife+$E336),('RFM input'!$I$78-'RFM input'!$I$132)-SUM($I336:O336),('RFM input'!$I$78-'RFM input'!$I$132)/A18taxstdlife))</f>
        <v>0</v>
      </c>
      <c r="Q336" s="18">
        <f>IF(A18taxstdlife="n/a","n/a",IF(Q$3&gt;(A18taxstdlife+$E336),('RFM input'!$I$78-'RFM input'!$I$132)-SUM($I336:P336),('RFM input'!$I$78-'RFM input'!$I$132)/A18taxstdlife))</f>
        <v>0</v>
      </c>
      <c r="R336" s="18"/>
      <c r="S336" s="74"/>
      <c r="T336" s="74"/>
      <c r="U336" s="74"/>
      <c r="V336" s="74"/>
      <c r="W336" s="74"/>
      <c r="X336" s="74"/>
      <c r="Y336" s="74"/>
      <c r="Z336" s="74"/>
      <c r="AA336" s="152"/>
    </row>
    <row r="337" spans="1:27" hidden="1" outlineLevel="2">
      <c r="A337" s="3"/>
      <c r="B337" s="3"/>
      <c r="C337" s="16"/>
      <c r="D337" s="1594"/>
      <c r="E337" s="61">
        <v>3</v>
      </c>
      <c r="F337" s="17"/>
      <c r="G337" s="17"/>
      <c r="H337" s="1414"/>
      <c r="I337" s="1414"/>
      <c r="J337" s="116"/>
      <c r="K337" s="18">
        <f>IF(A18taxstdlife="n/a","n/a",IF(K$3&gt;(A18taxstdlife+$E337),('RFM input'!$J$78-'RFM input'!$J$132)-SUM($J337:J337),('RFM input'!$J$78-'RFM input'!$J$132)/A18taxstdlife))</f>
        <v>0</v>
      </c>
      <c r="L337" s="18">
        <f>IF(A18taxstdlife="n/a","n/a",IF(L$3&gt;(A18taxstdlife+$E337),('RFM input'!$J$78-'RFM input'!$J$132)-SUM($J337:K337),('RFM input'!$J$78-'RFM input'!$J$132)/A18taxstdlife))</f>
        <v>0</v>
      </c>
      <c r="M337" s="18">
        <f>IF(A18taxstdlife="n/a","n/a",IF(M$3&gt;(A18taxstdlife+$E337),('RFM input'!$J$78-'RFM input'!$J$132)-SUM($J337:L337),('RFM input'!$J$78-'RFM input'!$J$132)/A18taxstdlife))</f>
        <v>0</v>
      </c>
      <c r="N337" s="18">
        <f>IF(A18taxstdlife="n/a","n/a",IF(N$3&gt;(A18taxstdlife+$E337),('RFM input'!$J$78-'RFM input'!$J$132)-SUM($J337:M337),('RFM input'!$J$78-'RFM input'!$J$132)/A18taxstdlife))</f>
        <v>0</v>
      </c>
      <c r="O337" s="18">
        <f>IF(A18taxstdlife="n/a","n/a",IF(O$3&gt;(A18taxstdlife+$E337),('RFM input'!$J$78-'RFM input'!$J$132)-SUM($J337:N337),('RFM input'!$J$78-'RFM input'!$J$132)/A18taxstdlife))</f>
        <v>0</v>
      </c>
      <c r="P337" s="18">
        <f>IF(A18taxstdlife="n/a","n/a",IF(P$3&gt;(A18taxstdlife+$E337),('RFM input'!$J$78-'RFM input'!$J$132)-SUM($J337:O337),('RFM input'!$J$78-'RFM input'!$J$132)/A18taxstdlife))</f>
        <v>0</v>
      </c>
      <c r="Q337" s="18">
        <f>IF(A18taxstdlife="n/a","n/a",IF(Q$3&gt;(A18taxstdlife+$E337),('RFM input'!$J$78-'RFM input'!$J$132)-SUM($J337:P337),('RFM input'!$J$78-'RFM input'!$J$132)/A18taxstdlife))</f>
        <v>0</v>
      </c>
      <c r="R337" s="18"/>
      <c r="S337" s="74"/>
      <c r="T337" s="74"/>
      <c r="U337" s="74"/>
      <c r="V337" s="74"/>
      <c r="W337" s="74"/>
      <c r="X337" s="74"/>
      <c r="Y337" s="74"/>
      <c r="Z337" s="74"/>
      <c r="AA337" s="152"/>
    </row>
    <row r="338" spans="1:27" hidden="1" outlineLevel="2">
      <c r="A338" s="3"/>
      <c r="B338" s="3"/>
      <c r="C338" s="16"/>
      <c r="D338" s="1594"/>
      <c r="E338" s="61">
        <v>4</v>
      </c>
      <c r="F338" s="17"/>
      <c r="G338" s="17"/>
      <c r="H338" s="1414"/>
      <c r="I338" s="1414"/>
      <c r="J338" s="115"/>
      <c r="K338" s="116"/>
      <c r="L338" s="18">
        <f>IF(A18taxstdlife="n/a","n/a",IF(L$3&gt;(A18taxstdlife+$E338),('RFM input'!$K$78-'RFM input'!$K$132)-SUM($K338:K338),('RFM input'!$K$78-'RFM input'!$K$132)/A18taxstdlife))</f>
        <v>0</v>
      </c>
      <c r="M338" s="18">
        <f>IF(A18taxstdlife="n/a","n/a",IF(M$3&gt;(A18taxstdlife+$E338),('RFM input'!$K$78-'RFM input'!$K$132)-SUM($K338:L338),('RFM input'!$K$78-'RFM input'!$K$132)/A18taxstdlife))</f>
        <v>0</v>
      </c>
      <c r="N338" s="18">
        <f>IF(A18taxstdlife="n/a","n/a",IF(N$3&gt;(A18taxstdlife+$E338),('RFM input'!$K$78-'RFM input'!$K$132)-SUM($K338:M338),('RFM input'!$K$78-'RFM input'!$K$132)/A18taxstdlife))</f>
        <v>0</v>
      </c>
      <c r="O338" s="18">
        <f>IF(A18taxstdlife="n/a","n/a",IF(O$3&gt;(A18taxstdlife+$E338),('RFM input'!$K$78-'RFM input'!$K$132)-SUM($K338:N338),('RFM input'!$K$78-'RFM input'!$K$132)/A18taxstdlife))</f>
        <v>0</v>
      </c>
      <c r="P338" s="18">
        <f>IF(A18taxstdlife="n/a","n/a",IF(P$3&gt;(A18taxstdlife+$E338),('RFM input'!$K$78-'RFM input'!$K$132)-SUM($K338:O338),('RFM input'!$K$78-'RFM input'!$K$132)/A18taxstdlife))</f>
        <v>0</v>
      </c>
      <c r="Q338" s="18">
        <f>IF(A18taxstdlife="n/a","n/a",IF(Q$3&gt;(A18taxstdlife+$E338),('RFM input'!$K$78-'RFM input'!$K$132)-SUM($K338:P338),('RFM input'!$K$78-'RFM input'!$K$132)/A18taxstdlife))</f>
        <v>0</v>
      </c>
      <c r="R338" s="18"/>
      <c r="S338" s="74"/>
      <c r="T338" s="74"/>
      <c r="U338" s="74"/>
      <c r="V338" s="74"/>
      <c r="W338" s="74"/>
      <c r="X338" s="74"/>
      <c r="Y338" s="74"/>
      <c r="Z338" s="74"/>
      <c r="AA338" s="152"/>
    </row>
    <row r="339" spans="1:27" hidden="1" outlineLevel="2">
      <c r="A339" s="3"/>
      <c r="B339" s="3"/>
      <c r="C339" s="16"/>
      <c r="D339" s="1594"/>
      <c r="E339" s="61">
        <v>5</v>
      </c>
      <c r="F339" s="17"/>
      <c r="G339" s="17"/>
      <c r="H339" s="1414"/>
      <c r="I339" s="1414"/>
      <c r="J339" s="115"/>
      <c r="K339" s="115"/>
      <c r="L339" s="116"/>
      <c r="M339" s="18">
        <f>IF(A18taxstdlife="n/a","n/a",IF(M$3&gt;(A18taxstdlife+$E339),('RFM input'!$L$78-'RFM input'!$L$132)-SUM($L339:L339),('RFM input'!$L$78-'RFM input'!$L$132)/A18taxstdlife))</f>
        <v>0</v>
      </c>
      <c r="N339" s="18">
        <f>IF(A18taxstdlife="n/a","n/a",IF(N$3&gt;(A18taxstdlife+$E339),('RFM input'!$L$78-'RFM input'!$L$132)-SUM($L339:M339),('RFM input'!$L$78-'RFM input'!$L$132)/A18taxstdlife))</f>
        <v>0</v>
      </c>
      <c r="O339" s="18">
        <f>IF(A18taxstdlife="n/a","n/a",IF(O$3&gt;(A18taxstdlife+$E339),('RFM input'!$L$78-'RFM input'!$L$132)-SUM($L339:N339),('RFM input'!$L$78-'RFM input'!$L$132)/A18taxstdlife))</f>
        <v>0</v>
      </c>
      <c r="P339" s="18">
        <f>IF(A18taxstdlife="n/a","n/a",IF(P$3&gt;(A18taxstdlife+$E339),('RFM input'!$L$78-'RFM input'!$L$132)-SUM($L339:O339),('RFM input'!$L$78-'RFM input'!$L$132)/A18taxstdlife))</f>
        <v>0</v>
      </c>
      <c r="Q339" s="18">
        <f>IF(A18taxstdlife="n/a","n/a",IF(Q$3&gt;(A18taxstdlife+$E339),('RFM input'!$L$78-'RFM input'!$L$132)-SUM($L339:P339),('RFM input'!$L$78-'RFM input'!$L$132)/A18taxstdlife))</f>
        <v>0</v>
      </c>
      <c r="R339" s="18"/>
      <c r="S339" s="74"/>
      <c r="T339" s="74"/>
      <c r="U339" s="74"/>
      <c r="V339" s="74"/>
      <c r="W339" s="74"/>
      <c r="X339" s="74"/>
      <c r="Y339" s="74"/>
      <c r="Z339" s="74"/>
      <c r="AA339" s="152"/>
    </row>
    <row r="340" spans="1:27" hidden="1" outlineLevel="2">
      <c r="A340" s="3"/>
      <c r="B340" s="3"/>
      <c r="C340" s="16"/>
      <c r="D340" s="1594"/>
      <c r="E340" s="61">
        <v>6</v>
      </c>
      <c r="F340" s="17"/>
      <c r="G340" s="17"/>
      <c r="H340" s="1414"/>
      <c r="I340" s="1414"/>
      <c r="J340" s="115"/>
      <c r="K340" s="115"/>
      <c r="L340" s="115"/>
      <c r="M340" s="116"/>
      <c r="N340" s="18">
        <f>IF(A18taxstdlife="n/a","n/a",IF(N$3&gt;(A18taxstdlife+$E340),('RFM input'!$M$78-'RFM input'!$M$132)-SUM($M340:M340),('RFM input'!$M$78-'RFM input'!$M$132)/A18taxstdlife))</f>
        <v>0</v>
      </c>
      <c r="O340" s="18">
        <f>IF(A18taxstdlife="n/a","n/a",IF(O$3&gt;(A18taxstdlife+$E340),('RFM input'!$M$78-'RFM input'!$M$132)-SUM($M340:N340),('RFM input'!$M$78-'RFM input'!$M$132)/A18taxstdlife))</f>
        <v>0</v>
      </c>
      <c r="P340" s="18">
        <f>IF(A18taxstdlife="n/a","n/a",IF(P$3&gt;(A18taxstdlife+$E340),('RFM input'!$M$78-'RFM input'!$M$132)-SUM($M340:O340),('RFM input'!$M$78-'RFM input'!$M$132)/A18taxstdlife))</f>
        <v>0</v>
      </c>
      <c r="Q340" s="18">
        <f>IF(A18taxstdlife="n/a","n/a",IF(Q$3&gt;(A18taxstdlife+$E340),('RFM input'!$M$78-'RFM input'!$M$132)-SUM($M340:P340),('RFM input'!$M$78-'RFM input'!$M$132)/A18taxstdlife))</f>
        <v>0</v>
      </c>
      <c r="R340" s="18"/>
      <c r="S340" s="74"/>
      <c r="T340" s="74"/>
      <c r="U340" s="74"/>
      <c r="V340" s="74"/>
      <c r="W340" s="74"/>
      <c r="X340" s="74"/>
      <c r="Y340" s="74"/>
      <c r="Z340" s="74"/>
      <c r="AA340" s="152"/>
    </row>
    <row r="341" spans="1:27" hidden="1" outlineLevel="2">
      <c r="A341" s="3"/>
      <c r="B341" s="3"/>
      <c r="C341" s="16"/>
      <c r="D341" s="1594"/>
      <c r="E341" s="61">
        <v>7</v>
      </c>
      <c r="F341" s="17"/>
      <c r="G341" s="17"/>
      <c r="H341" s="1414"/>
      <c r="I341" s="1414"/>
      <c r="J341" s="115"/>
      <c r="K341" s="115"/>
      <c r="L341" s="115"/>
      <c r="M341" s="115"/>
      <c r="N341" s="116"/>
      <c r="O341" s="18">
        <f>IF(A18taxstdlife="n/a","n/a",IF(O$3&gt;(A18taxstdlife+$E341),('RFM input'!$N$78-'RFM input'!$N$132)-SUM($N341:N341),('RFM input'!$N$78-'RFM input'!$N$132)/A18taxstdlife))</f>
        <v>0</v>
      </c>
      <c r="P341" s="18">
        <f>IF(A18taxstdlife="n/a","n/a",IF(P$3&gt;(A18taxstdlife+$E341),('RFM input'!$N$78-'RFM input'!$N$132)-SUM($N341:O341),('RFM input'!$N$78-'RFM input'!$N$132)/A18taxstdlife))</f>
        <v>0</v>
      </c>
      <c r="Q341" s="18">
        <f>IF(A18taxstdlife="n/a","n/a",IF(Q$3&gt;(A18taxstdlife+$E341),('RFM input'!$N$78-'RFM input'!$N$132)-SUM($N341:P341),('RFM input'!$N$78-'RFM input'!$N$132)/A18taxstdlife))</f>
        <v>0</v>
      </c>
      <c r="R341" s="18"/>
      <c r="S341" s="74"/>
      <c r="T341" s="74"/>
      <c r="U341" s="74"/>
      <c r="V341" s="74"/>
      <c r="W341" s="74"/>
      <c r="X341" s="74"/>
      <c r="Y341" s="74"/>
      <c r="Z341" s="74"/>
      <c r="AA341" s="152"/>
    </row>
    <row r="342" spans="1:27" hidden="1" outlineLevel="2">
      <c r="A342" s="3"/>
      <c r="B342" s="3"/>
      <c r="C342" s="16"/>
      <c r="D342" s="1594"/>
      <c r="E342" s="61">
        <v>8</v>
      </c>
      <c r="F342" s="17"/>
      <c r="G342" s="17"/>
      <c r="H342" s="1414"/>
      <c r="I342" s="1414"/>
      <c r="J342" s="115"/>
      <c r="K342" s="115"/>
      <c r="L342" s="115"/>
      <c r="M342" s="115"/>
      <c r="N342" s="115"/>
      <c r="O342" s="116"/>
      <c r="P342" s="18">
        <f>IF(A18taxstdlife="n/a","n/a",IF(P$3&gt;(A18taxstdlife+$E342),('RFM input'!$O$78-'RFM input'!$O$132)-SUM($O342:O342),('RFM input'!$O$78-'RFM input'!$O$132)/A18taxstdlife))</f>
        <v>0</v>
      </c>
      <c r="Q342" s="18">
        <f>IF(A18taxstdlife="n/a","n/a",IF(Q$3&gt;(A18taxstdlife+$E342),('RFM input'!$O$78-'RFM input'!$O$132)-SUM($O342:P342),('RFM input'!$O$78-'RFM input'!$O$132)/A18taxstdlife))</f>
        <v>0</v>
      </c>
      <c r="R342" s="18"/>
      <c r="S342" s="74"/>
      <c r="T342" s="74"/>
      <c r="U342" s="74"/>
      <c r="V342" s="74"/>
      <c r="W342" s="74"/>
      <c r="X342" s="74"/>
      <c r="Y342" s="74"/>
      <c r="Z342" s="74"/>
      <c r="AA342" s="152"/>
    </row>
    <row r="343" spans="1:27" hidden="1" outlineLevel="2">
      <c r="A343" s="3"/>
      <c r="B343" s="3"/>
      <c r="C343" s="16"/>
      <c r="D343" s="1594"/>
      <c r="E343" s="61">
        <v>9</v>
      </c>
      <c r="F343" s="17"/>
      <c r="G343" s="17"/>
      <c r="H343" s="1414"/>
      <c r="I343" s="1414"/>
      <c r="J343" s="115"/>
      <c r="K343" s="115"/>
      <c r="L343" s="115"/>
      <c r="M343" s="115"/>
      <c r="N343" s="115"/>
      <c r="O343" s="115"/>
      <c r="P343" s="116"/>
      <c r="Q343" s="18">
        <f>IF(A18taxstdlife="n/a","n/a",IF(Q$3&gt;(A18taxstdlife+$E343),('RFM input'!$P$78-'RFM input'!$P$132)-SUM($P343:P343),('RFM input'!$P$78-'RFM input'!$P$132)/A18taxstdlife))</f>
        <v>0</v>
      </c>
      <c r="R343" s="18"/>
      <c r="S343" s="74"/>
      <c r="T343" s="74"/>
      <c r="U343" s="74"/>
      <c r="V343" s="74"/>
      <c r="W343" s="74"/>
      <c r="X343" s="74"/>
      <c r="Y343" s="74"/>
      <c r="Z343" s="74"/>
      <c r="AA343" s="152"/>
    </row>
    <row r="344" spans="1:27" hidden="1" outlineLevel="2">
      <c r="A344" s="3"/>
      <c r="B344" s="3"/>
      <c r="C344" s="16"/>
      <c r="D344" s="1594"/>
      <c r="E344" s="62">
        <v>10</v>
      </c>
      <c r="F344" s="17"/>
      <c r="G344" s="17"/>
      <c r="H344" s="1414"/>
      <c r="I344" s="1414"/>
      <c r="J344" s="115"/>
      <c r="K344" s="115"/>
      <c r="L344" s="115"/>
      <c r="M344" s="115"/>
      <c r="N344" s="115"/>
      <c r="O344" s="115"/>
      <c r="P344" s="115"/>
      <c r="Q344" s="116"/>
      <c r="R344" s="18"/>
      <c r="S344" s="74"/>
      <c r="T344" s="74"/>
      <c r="U344" s="74"/>
      <c r="V344" s="74"/>
      <c r="W344" s="74"/>
      <c r="X344" s="74"/>
      <c r="Y344" s="74"/>
      <c r="Z344" s="74"/>
      <c r="AA344" s="152"/>
    </row>
    <row r="345" spans="1:27" hidden="1" outlineLevel="1">
      <c r="A345" s="3"/>
      <c r="B345" s="3"/>
      <c r="C345" s="134">
        <f>Asset18</f>
        <v>0</v>
      </c>
      <c r="D345" s="3"/>
      <c r="E345" s="3"/>
      <c r="F345" s="14"/>
      <c r="G345" s="14"/>
      <c r="H345" s="1460">
        <f>IF('RFM input'!$G$354="Tracked",-1*INDEX('RFM input'!H$358:H$407,MATCH('TAB roll forward'!$C345,'RFM input'!$E$358:$E$407,0)),-SUM(H333:H344))</f>
        <v>0</v>
      </c>
      <c r="I345" s="1460">
        <f>IF('RFM input'!$G$354="Tracked",-1*INDEX('RFM input'!I$358:I$407,MATCH('TAB roll forward'!$C345,'RFM input'!$E$358:$E$407,0)),-SUM(I333:I344))</f>
        <v>0</v>
      </c>
      <c r="J345" s="1460">
        <f>IF(COUNT($H345:I345)&gt;='RFM input'!$V$7,0,IF('RFM input'!$G$354="Tracked",-1*INDEX('RFM input'!J$358:J$407,MATCH('TAB roll forward'!$C345,'RFM input'!$E$358:$E$407,0)),-SUM(J333:J344)))</f>
        <v>0</v>
      </c>
      <c r="K345" s="1460">
        <f>IF(COUNT($H345:J345)&gt;='RFM input'!$V$7,0,IF('RFM input'!$G$354="Tracked",-1*INDEX('RFM input'!K$358:K$407,MATCH('TAB roll forward'!$C345,'RFM input'!$E$358:$E$407,0)),-SUM(K333:K344)))</f>
        <v>0</v>
      </c>
      <c r="L345" s="1460">
        <f>IF(COUNT($H345:K345)&gt;='RFM input'!$V$7,0,IF('RFM input'!$G$354="Tracked",-1*INDEX('RFM input'!L$358:L$407,MATCH('TAB roll forward'!$C345,'RFM input'!$E$358:$E$407,0)),-SUM(L333:L344)))</f>
        <v>0</v>
      </c>
      <c r="M345" s="1460">
        <f>IF(COUNT($H345:L345)&gt;='RFM input'!$V$7,0,IF('RFM input'!$G$354="Tracked",-1*INDEX('RFM input'!M$358:M$407,MATCH('TAB roll forward'!$C345,'RFM input'!$E$358:$E$407,0)),-SUM(M333:M344)))</f>
        <v>0</v>
      </c>
      <c r="N345" s="1460">
        <f>IF(COUNT($H345:M345)&gt;='RFM input'!$V$7,0,IF('RFM input'!$G$354="Tracked",-1*INDEX('RFM input'!N$358:N$407,MATCH('TAB roll forward'!$C345,'RFM input'!$E$358:$E$407,0)),-SUM(N333:N344)))</f>
        <v>0</v>
      </c>
      <c r="O345" s="1460">
        <f>IF(COUNT($H345:N345)&gt;='RFM input'!$V$7,0,IF('RFM input'!$G$354="Tracked",-1*INDEX('RFM input'!O$358:O$407,MATCH('TAB roll forward'!$C345,'RFM input'!$E$358:$E$407,0)),-SUM(O333:O344)))</f>
        <v>0</v>
      </c>
      <c r="P345" s="1460">
        <f>IF(COUNT($H345:O345)&gt;='RFM input'!$V$7,0,IF('RFM input'!$G$354="Tracked",-1*INDEX('RFM input'!P$358:P$407,MATCH('TAB roll forward'!$C345,'RFM input'!$E$358:$E$407,0)),-SUM(P333:P344)))</f>
        <v>0</v>
      </c>
      <c r="Q345" s="1460">
        <f>IF(COUNT($H345:P345)&gt;='RFM input'!$V$7,0,IF('RFM input'!$G$354="Tracked",-1*INDEX('RFM input'!Q$358:Q$407,MATCH('TAB roll forward'!$C345,'RFM input'!$E$358:$E$407,0)),-SUM(Q333:Q344)))</f>
        <v>0</v>
      </c>
      <c r="R345" s="1382"/>
      <c r="S345" s="73"/>
      <c r="T345" s="73"/>
      <c r="U345" s="73"/>
      <c r="V345" s="73"/>
      <c r="W345" s="73"/>
      <c r="X345" s="73"/>
      <c r="Y345" s="73"/>
      <c r="Z345" s="73"/>
      <c r="AA345" s="152"/>
    </row>
    <row r="346" spans="1:27" hidden="1" outlineLevel="2">
      <c r="A346" s="3"/>
      <c r="B346" s="136">
        <f>Asset19</f>
        <v>0</v>
      </c>
      <c r="C346" s="19"/>
      <c r="D346" s="234" t="s">
        <v>119</v>
      </c>
      <c r="E346" s="19"/>
      <c r="F346" s="148"/>
      <c r="G346" s="148"/>
      <c r="H346" s="21">
        <f>IF(H$3&gt;A19taxremlife,A19taxvalue-SUM($F346:F346),IF(A19taxremlife="N/A","n/a",A19taxvalue/A19taxremlife))</f>
        <v>0</v>
      </c>
      <c r="I346" s="21">
        <f>IF(I$3&gt;A19taxremlife,A19taxvalue-SUM($F346:H346),IF(A19taxremlife="N/A","n/a",A19taxvalue/A19taxremlife))</f>
        <v>0</v>
      </c>
      <c r="J346" s="21">
        <f>IF(J$3&gt;A19taxremlife,A19taxvalue-SUM($F346:I346),IF(A19taxremlife="N/A","n/a",A19taxvalue/A19taxremlife))</f>
        <v>0</v>
      </c>
      <c r="K346" s="21">
        <f>IF(K$3&gt;A19taxremlife,A19taxvalue-SUM($F346:J346),IF(A19taxremlife="N/A","n/a",A19taxvalue/A19taxremlife))</f>
        <v>0</v>
      </c>
      <c r="L346" s="21">
        <f>IF(L$3&gt;A19taxremlife,A19taxvalue-SUM($F346:K346),IF(A19taxremlife="N/A","n/a",A19taxvalue/A19taxremlife))</f>
        <v>0</v>
      </c>
      <c r="M346" s="21">
        <f>IF(M$3&gt;A19taxremlife,A19taxvalue-SUM($F346:L346),IF(A19taxremlife="N/A","n/a",A19taxvalue/A19taxremlife))</f>
        <v>0</v>
      </c>
      <c r="N346" s="21">
        <f>IF(N$3&gt;A19taxremlife,A19taxvalue-SUM($F346:M346),IF(A19taxremlife="N/A","n/a",A19taxvalue/A19taxremlife))</f>
        <v>0</v>
      </c>
      <c r="O346" s="21">
        <f>IF(O$3&gt;A19taxremlife,A19taxvalue-SUM($F346:N346),IF(A19taxremlife="N/A","n/a",A19taxvalue/A19taxremlife))</f>
        <v>0</v>
      </c>
      <c r="P346" s="21">
        <f>IF(P$3&gt;A19taxremlife,A19taxvalue-SUM($F346:O346),IF(A19taxremlife="N/A","n/a",A19taxvalue/A19taxremlife))</f>
        <v>0</v>
      </c>
      <c r="Q346" s="21">
        <f>IF(Q$3&gt;A19taxremlife,A19taxvalue-SUM($F346:P346),IF(A19taxremlife="N/A","n/a",A19taxvalue/A19taxremlife))</f>
        <v>0</v>
      </c>
      <c r="R346" s="21"/>
      <c r="S346" s="74"/>
      <c r="T346" s="74"/>
      <c r="U346" s="74"/>
      <c r="V346" s="74"/>
      <c r="W346" s="74"/>
      <c r="X346" s="74"/>
      <c r="Y346" s="74"/>
      <c r="Z346" s="74"/>
      <c r="AA346" s="152"/>
    </row>
    <row r="347" spans="1:27" ht="12.75" hidden="1" customHeight="1" outlineLevel="2">
      <c r="A347" s="3"/>
      <c r="B347" s="3"/>
      <c r="C347" s="16"/>
      <c r="D347" s="1593" t="s">
        <v>43</v>
      </c>
      <c r="E347" s="61"/>
      <c r="F347" s="17"/>
      <c r="G347" s="17"/>
      <c r="H347" s="1413"/>
      <c r="I347" s="72"/>
      <c r="J347" s="18"/>
      <c r="K347" s="18"/>
      <c r="L347" s="18"/>
      <c r="M347" s="18"/>
      <c r="N347" s="18"/>
      <c r="O347" s="18"/>
      <c r="P347" s="18"/>
      <c r="Q347" s="18"/>
      <c r="R347" s="18"/>
      <c r="S347" s="74"/>
      <c r="T347" s="74"/>
      <c r="U347" s="74"/>
      <c r="V347" s="74"/>
      <c r="W347" s="74"/>
      <c r="X347" s="74"/>
      <c r="Y347" s="74"/>
      <c r="Z347" s="74"/>
      <c r="AA347" s="152"/>
    </row>
    <row r="348" spans="1:27" hidden="1" outlineLevel="2">
      <c r="A348" s="3"/>
      <c r="B348" s="3"/>
      <c r="C348" s="16"/>
      <c r="D348" s="1594"/>
      <c r="E348" s="61">
        <v>1</v>
      </c>
      <c r="F348" s="17"/>
      <c r="G348" s="17"/>
      <c r="H348" s="1414"/>
      <c r="I348" s="1415">
        <f>IF(A19taxstdlife="n/a","n/a",IF(I$3&gt;(A19taxstdlife+$E348),('RFM input'!$H$79-'RFM input'!$H$133)-SUM($H348:H348),('RFM input'!$H$79-'RFM input'!$H$133)/A19taxstdlife))</f>
        <v>0</v>
      </c>
      <c r="J348" s="18">
        <f>IF(A19taxstdlife="n/a","n/a",IF(J$3&gt;(A19taxstdlife+$E348),('RFM input'!$H$79-'RFM input'!$H$133)-SUM($H348:I348),('RFM input'!$H$79-'RFM input'!$H$133)/A19taxstdlife))</f>
        <v>0</v>
      </c>
      <c r="K348" s="18">
        <f>IF(A19taxstdlife="n/a","n/a",IF(K$3&gt;(A19taxstdlife+$E348),('RFM input'!$H$79-'RFM input'!$H$133)-SUM($H348:J348),('RFM input'!$H$79-'RFM input'!$H$133)/A19taxstdlife))</f>
        <v>0</v>
      </c>
      <c r="L348" s="18">
        <f>IF(A19taxstdlife="n/a","n/a",IF(L$3&gt;(A19taxstdlife+$E348),('RFM input'!$H$79-'RFM input'!$H$133)-SUM($H348:K348),('RFM input'!$H$79-'RFM input'!$H$133)/A19taxstdlife))</f>
        <v>0</v>
      </c>
      <c r="M348" s="18">
        <f>IF(A19taxstdlife="n/a","n/a",IF(M$3&gt;(A19taxstdlife+$E348),('RFM input'!$H$79-'RFM input'!$H$133)-SUM($H348:L348),('RFM input'!$H$79-'RFM input'!$H$133)/A19taxstdlife))</f>
        <v>0</v>
      </c>
      <c r="N348" s="18">
        <f>IF(A19taxstdlife="n/a","n/a",IF(N$3&gt;(A19taxstdlife+$E348),('RFM input'!$H$79-'RFM input'!$H$133)-SUM($H348:M348),('RFM input'!$H$79-'RFM input'!$H$133)/A19taxstdlife))</f>
        <v>0</v>
      </c>
      <c r="O348" s="18">
        <f>IF(A19taxstdlife="n/a","n/a",IF(O$3&gt;(A19taxstdlife+$E348),('RFM input'!$H$79-'RFM input'!$H$133)-SUM($H348:N348),('RFM input'!$H$79-'RFM input'!$H$133)/A19taxstdlife))</f>
        <v>0</v>
      </c>
      <c r="P348" s="18">
        <f>IF(A19taxstdlife="n/a","n/a",IF(P$3&gt;(A19taxstdlife+$E348),('RFM input'!$H$79-'RFM input'!$H$133)-SUM($H348:O348),('RFM input'!$H$79-'RFM input'!$H$133)/A19taxstdlife))</f>
        <v>0</v>
      </c>
      <c r="Q348" s="18">
        <f>IF(A19taxstdlife="n/a","n/a",IF(Q$3&gt;(A19taxstdlife+$E348),('RFM input'!$H$79-'RFM input'!$H$133)-SUM($H348:P348),('RFM input'!$H$79-'RFM input'!$H$133)/A19taxstdlife))</f>
        <v>0</v>
      </c>
      <c r="R348" s="18"/>
      <c r="S348" s="74"/>
      <c r="T348" s="74"/>
      <c r="U348" s="74"/>
      <c r="V348" s="74"/>
      <c r="W348" s="74"/>
      <c r="X348" s="74"/>
      <c r="Y348" s="74"/>
      <c r="Z348" s="74"/>
      <c r="AA348" s="152"/>
    </row>
    <row r="349" spans="1:27" hidden="1" outlineLevel="2">
      <c r="A349" s="3"/>
      <c r="B349" s="3"/>
      <c r="C349" s="16"/>
      <c r="D349" s="1594"/>
      <c r="E349" s="61">
        <v>2</v>
      </c>
      <c r="F349" s="17"/>
      <c r="G349" s="17"/>
      <c r="H349" s="1414"/>
      <c r="I349" s="1414"/>
      <c r="J349" s="18">
        <f>IF(A19taxstdlife="n/a","n/a",IF(J$3&gt;(A19taxstdlife+$E349),('RFM input'!$I$79-'RFM input'!$I$133)-SUM($I349:I349),('RFM input'!$I$79-'RFM input'!$I$133)/A19taxstdlife))</f>
        <v>0</v>
      </c>
      <c r="K349" s="18">
        <f>IF(A19taxstdlife="n/a","n/a",IF(K$3&gt;(A19taxstdlife+$E349),('RFM input'!$I$79-'RFM input'!$I$133)-SUM($I349:J349),('RFM input'!$I$79-'RFM input'!$I$133)/A19taxstdlife))</f>
        <v>0</v>
      </c>
      <c r="L349" s="18">
        <f>IF(A19taxstdlife="n/a","n/a",IF(L$3&gt;(A19taxstdlife+$E349),('RFM input'!$I$79-'RFM input'!$I$133)-SUM($I349:K349),('RFM input'!$I$79-'RFM input'!$I$133)/A19taxstdlife))</f>
        <v>0</v>
      </c>
      <c r="M349" s="18">
        <f>IF(A19taxstdlife="n/a","n/a",IF(M$3&gt;(A19taxstdlife+$E349),('RFM input'!$I$79-'RFM input'!$I$133)-SUM($I349:L349),('RFM input'!$I$79-'RFM input'!$I$133)/A19taxstdlife))</f>
        <v>0</v>
      </c>
      <c r="N349" s="18">
        <f>IF(A19taxstdlife="n/a","n/a",IF(N$3&gt;(A19taxstdlife+$E349),('RFM input'!$I$79-'RFM input'!$I$133)-SUM($I349:M349),('RFM input'!$I$79-'RFM input'!$I$133)/A19taxstdlife))</f>
        <v>0</v>
      </c>
      <c r="O349" s="18">
        <f>IF(A19taxstdlife="n/a","n/a",IF(O$3&gt;(A19taxstdlife+$E349),('RFM input'!$I$79-'RFM input'!$I$133)-SUM($I349:N349),('RFM input'!$I$79-'RFM input'!$I$133)/A19taxstdlife))</f>
        <v>0</v>
      </c>
      <c r="P349" s="18">
        <f>IF(A19taxstdlife="n/a","n/a",IF(P$3&gt;(A19taxstdlife+$E349),('RFM input'!$I$79-'RFM input'!$I$133)-SUM($I349:O349),('RFM input'!$I$79-'RFM input'!$I$133)/A19taxstdlife))</f>
        <v>0</v>
      </c>
      <c r="Q349" s="18">
        <f>IF(A19taxstdlife="n/a","n/a",IF(Q$3&gt;(A19taxstdlife+$E349),('RFM input'!$I$79-'RFM input'!$I$133)-SUM($I349:P349),('RFM input'!$I$79-'RFM input'!$I$133)/A19taxstdlife))</f>
        <v>0</v>
      </c>
      <c r="R349" s="18"/>
      <c r="S349" s="74"/>
      <c r="T349" s="74"/>
      <c r="U349" s="74"/>
      <c r="V349" s="74"/>
      <c r="W349" s="74"/>
      <c r="X349" s="74"/>
      <c r="Y349" s="74"/>
      <c r="Z349" s="74"/>
      <c r="AA349" s="152"/>
    </row>
    <row r="350" spans="1:27" hidden="1" outlineLevel="2">
      <c r="A350" s="3"/>
      <c r="B350" s="3"/>
      <c r="C350" s="16"/>
      <c r="D350" s="1594"/>
      <c r="E350" s="61">
        <v>3</v>
      </c>
      <c r="F350" s="17"/>
      <c r="G350" s="17"/>
      <c r="H350" s="1414"/>
      <c r="I350" s="1414"/>
      <c r="J350" s="116"/>
      <c r="K350" s="18">
        <f>IF(A19taxstdlife="n/a","n/a",IF(K$3&gt;(A19taxstdlife+$E350),('RFM input'!$J$79-'RFM input'!$J$133)-SUM($J350:J350),('RFM input'!$J$79-'RFM input'!$J$133)/A19taxstdlife))</f>
        <v>0</v>
      </c>
      <c r="L350" s="18">
        <f>IF(A19taxstdlife="n/a","n/a",IF(L$3&gt;(A19taxstdlife+$E350),('RFM input'!$J$79-'RFM input'!$J$133)-SUM($J350:K350),('RFM input'!$J$79-'RFM input'!$J$133)/A19taxstdlife))</f>
        <v>0</v>
      </c>
      <c r="M350" s="18">
        <f>IF(A19taxstdlife="n/a","n/a",IF(M$3&gt;(A19taxstdlife+$E350),('RFM input'!$J$79-'RFM input'!$J$133)-SUM($J350:L350),('RFM input'!$J$79-'RFM input'!$J$133)/A19taxstdlife))</f>
        <v>0</v>
      </c>
      <c r="N350" s="18">
        <f>IF(A19taxstdlife="n/a","n/a",IF(N$3&gt;(A19taxstdlife+$E350),('RFM input'!$J$79-'RFM input'!$J$133)-SUM($J350:M350),('RFM input'!$J$79-'RFM input'!$J$133)/A19taxstdlife))</f>
        <v>0</v>
      </c>
      <c r="O350" s="18">
        <f>IF(A19taxstdlife="n/a","n/a",IF(O$3&gt;(A19taxstdlife+$E350),('RFM input'!$J$79-'RFM input'!$J$133)-SUM($J350:N350),('RFM input'!$J$79-'RFM input'!$J$133)/A19taxstdlife))</f>
        <v>0</v>
      </c>
      <c r="P350" s="18">
        <f>IF(A19taxstdlife="n/a","n/a",IF(P$3&gt;(A19taxstdlife+$E350),('RFM input'!$J$79-'RFM input'!$J$133)-SUM($J350:O350),('RFM input'!$J$79-'RFM input'!$J$133)/A19taxstdlife))</f>
        <v>0</v>
      </c>
      <c r="Q350" s="18">
        <f>IF(A19taxstdlife="n/a","n/a",IF(Q$3&gt;(A19taxstdlife+$E350),('RFM input'!$J$79-'RFM input'!$J$133)-SUM($J350:P350),('RFM input'!$J$79-'RFM input'!$J$133)/A19taxstdlife))</f>
        <v>0</v>
      </c>
      <c r="R350" s="18"/>
      <c r="S350" s="74"/>
      <c r="T350" s="74"/>
      <c r="U350" s="74"/>
      <c r="V350" s="74"/>
      <c r="W350" s="74"/>
      <c r="X350" s="74"/>
      <c r="Y350" s="74"/>
      <c r="Z350" s="74"/>
      <c r="AA350" s="152"/>
    </row>
    <row r="351" spans="1:27" hidden="1" outlineLevel="2">
      <c r="A351" s="3"/>
      <c r="B351" s="3"/>
      <c r="C351" s="16"/>
      <c r="D351" s="1594"/>
      <c r="E351" s="61">
        <v>4</v>
      </c>
      <c r="F351" s="17"/>
      <c r="G351" s="17"/>
      <c r="H351" s="1414"/>
      <c r="I351" s="1414"/>
      <c r="J351" s="115"/>
      <c r="K351" s="116"/>
      <c r="L351" s="18">
        <f>IF(A19taxstdlife="n/a","n/a",IF(L$3&gt;(A19taxstdlife+$E351),('RFM input'!$K$79-'RFM input'!$K$133)-SUM($K351:K351),('RFM input'!$K$79-'RFM input'!$K$133)/A19taxstdlife))</f>
        <v>0</v>
      </c>
      <c r="M351" s="18">
        <f>IF(A19taxstdlife="n/a","n/a",IF(M$3&gt;(A19taxstdlife+$E351),('RFM input'!$K$79-'RFM input'!$K$133)-SUM($K351:L351),('RFM input'!$K$79-'RFM input'!$K$133)/A19taxstdlife))</f>
        <v>0</v>
      </c>
      <c r="N351" s="18">
        <f>IF(A19taxstdlife="n/a","n/a",IF(N$3&gt;(A19taxstdlife+$E351),('RFM input'!$K$79-'RFM input'!$K$133)-SUM($K351:M351),('RFM input'!$K$79-'RFM input'!$K$133)/A19taxstdlife))</f>
        <v>0</v>
      </c>
      <c r="O351" s="18">
        <f>IF(A19taxstdlife="n/a","n/a",IF(O$3&gt;(A19taxstdlife+$E351),('RFM input'!$K$79-'RFM input'!$K$133)-SUM($K351:N351),('RFM input'!$K$79-'RFM input'!$K$133)/A19taxstdlife))</f>
        <v>0</v>
      </c>
      <c r="P351" s="18">
        <f>IF(A19taxstdlife="n/a","n/a",IF(P$3&gt;(A19taxstdlife+$E351),('RFM input'!$K$79-'RFM input'!$K$133)-SUM($K351:O351),('RFM input'!$K$79-'RFM input'!$K$133)/A19taxstdlife))</f>
        <v>0</v>
      </c>
      <c r="Q351" s="18">
        <f>IF(A19taxstdlife="n/a","n/a",IF(Q$3&gt;(A19taxstdlife+$E351),('RFM input'!$K$79-'RFM input'!$K$133)-SUM($K351:P351),('RFM input'!$K$79-'RFM input'!$K$133)/A19taxstdlife))</f>
        <v>0</v>
      </c>
      <c r="R351" s="18"/>
      <c r="S351" s="74"/>
      <c r="T351" s="74"/>
      <c r="U351" s="74"/>
      <c r="V351" s="74"/>
      <c r="W351" s="74"/>
      <c r="X351" s="74"/>
      <c r="Y351" s="74"/>
      <c r="Z351" s="74"/>
      <c r="AA351" s="152"/>
    </row>
    <row r="352" spans="1:27" hidden="1" outlineLevel="2">
      <c r="A352" s="3"/>
      <c r="B352" s="3"/>
      <c r="C352" s="16"/>
      <c r="D352" s="1594"/>
      <c r="E352" s="61">
        <v>5</v>
      </c>
      <c r="F352" s="17"/>
      <c r="G352" s="17"/>
      <c r="H352" s="1414"/>
      <c r="I352" s="1414"/>
      <c r="J352" s="115"/>
      <c r="K352" s="115"/>
      <c r="L352" s="116"/>
      <c r="M352" s="18">
        <f>IF(A19taxstdlife="n/a","n/a",IF(M$3&gt;(A19taxstdlife+$E352),('RFM input'!$L$79-'RFM input'!$L$133)-SUM($L352:L352),('RFM input'!$L$79-'RFM input'!$L$133)/A19taxstdlife))</f>
        <v>0</v>
      </c>
      <c r="N352" s="18">
        <f>IF(A19taxstdlife="n/a","n/a",IF(N$3&gt;(A19taxstdlife+$E352),('RFM input'!$L$79-'RFM input'!$L$133)-SUM($L352:M352),('RFM input'!$L$79-'RFM input'!$L$133)/A19taxstdlife))</f>
        <v>0</v>
      </c>
      <c r="O352" s="18">
        <f>IF(A19taxstdlife="n/a","n/a",IF(O$3&gt;(A19taxstdlife+$E352),('RFM input'!$L$79-'RFM input'!$L$133)-SUM($L352:N352),('RFM input'!$L$79-'RFM input'!$L$133)/A19taxstdlife))</f>
        <v>0</v>
      </c>
      <c r="P352" s="18">
        <f>IF(A19taxstdlife="n/a","n/a",IF(P$3&gt;(A19taxstdlife+$E352),('RFM input'!$L$79-'RFM input'!$L$133)-SUM($L352:O352),('RFM input'!$L$79-'RFM input'!$L$133)/A19taxstdlife))</f>
        <v>0</v>
      </c>
      <c r="Q352" s="18">
        <f>IF(A19taxstdlife="n/a","n/a",IF(Q$3&gt;(A19taxstdlife+$E352),('RFM input'!$L$79-'RFM input'!$L$133)-SUM($L352:P352),('RFM input'!$L$79-'RFM input'!$L$133)/A19taxstdlife))</f>
        <v>0</v>
      </c>
      <c r="R352" s="18"/>
      <c r="S352" s="74"/>
      <c r="T352" s="74"/>
      <c r="U352" s="74"/>
      <c r="V352" s="74"/>
      <c r="W352" s="74"/>
      <c r="X352" s="74"/>
      <c r="Y352" s="74"/>
      <c r="Z352" s="74"/>
      <c r="AA352" s="152"/>
    </row>
    <row r="353" spans="1:27" hidden="1" outlineLevel="2">
      <c r="A353" s="3"/>
      <c r="B353" s="3"/>
      <c r="C353" s="16"/>
      <c r="D353" s="1594"/>
      <c r="E353" s="61">
        <v>6</v>
      </c>
      <c r="F353" s="17"/>
      <c r="G353" s="17"/>
      <c r="H353" s="1414"/>
      <c r="I353" s="1414"/>
      <c r="J353" s="115"/>
      <c r="K353" s="115"/>
      <c r="L353" s="115"/>
      <c r="M353" s="116"/>
      <c r="N353" s="18">
        <f>IF(A19taxstdlife="n/a","n/a",IF(N$3&gt;(A19taxstdlife+$E353),('RFM input'!$M$79-'RFM input'!$M$133)-SUM($M353:M353),('RFM input'!$M$79-'RFM input'!$M$133)/A19taxstdlife))</f>
        <v>0</v>
      </c>
      <c r="O353" s="18">
        <f>IF(A19taxstdlife="n/a","n/a",IF(O$3&gt;(A19taxstdlife+$E353),('RFM input'!$M$79-'RFM input'!$M$133)-SUM($M353:N353),('RFM input'!$M$79-'RFM input'!$M$133)/A19taxstdlife))</f>
        <v>0</v>
      </c>
      <c r="P353" s="18">
        <f>IF(A19taxstdlife="n/a","n/a",IF(P$3&gt;(A19taxstdlife+$E353),('RFM input'!$M$79-'RFM input'!$M$133)-SUM($M353:O353),('RFM input'!$M$79-'RFM input'!$M$133)/A19taxstdlife))</f>
        <v>0</v>
      </c>
      <c r="Q353" s="18">
        <f>IF(A19taxstdlife="n/a","n/a",IF(Q$3&gt;(A19taxstdlife+$E353),('RFM input'!$M$79-'RFM input'!$M$133)-SUM($M353:P353),('RFM input'!$M$79-'RFM input'!$M$133)/A19taxstdlife))</f>
        <v>0</v>
      </c>
      <c r="R353" s="18"/>
      <c r="S353" s="74"/>
      <c r="T353" s="74"/>
      <c r="U353" s="74"/>
      <c r="V353" s="74"/>
      <c r="W353" s="74"/>
      <c r="X353" s="74"/>
      <c r="Y353" s="74"/>
      <c r="Z353" s="74"/>
      <c r="AA353" s="152"/>
    </row>
    <row r="354" spans="1:27" hidden="1" outlineLevel="2">
      <c r="A354" s="3"/>
      <c r="B354" s="3"/>
      <c r="C354" s="16"/>
      <c r="D354" s="1594"/>
      <c r="E354" s="61">
        <v>7</v>
      </c>
      <c r="F354" s="17"/>
      <c r="G354" s="17"/>
      <c r="H354" s="1414"/>
      <c r="I354" s="1414"/>
      <c r="J354" s="115"/>
      <c r="K354" s="115"/>
      <c r="L354" s="115"/>
      <c r="M354" s="115"/>
      <c r="N354" s="116"/>
      <c r="O354" s="18">
        <f>IF(A19taxstdlife="n/a","n/a",IF(O$3&gt;(A19taxstdlife+$E354),('RFM input'!$N$79-'RFM input'!$N$133)-SUM($N354:N354),('RFM input'!$N$79-'RFM input'!$N$133)/A19taxstdlife))</f>
        <v>0</v>
      </c>
      <c r="P354" s="18">
        <f>IF(A19taxstdlife="n/a","n/a",IF(P$3&gt;(A19taxstdlife+$E354),('RFM input'!$N$79-'RFM input'!$N$133)-SUM($N354:O354),('RFM input'!$N$79-'RFM input'!$N$133)/A19taxstdlife))</f>
        <v>0</v>
      </c>
      <c r="Q354" s="18">
        <f>IF(A19taxstdlife="n/a","n/a",IF(Q$3&gt;(A19taxstdlife+$E354),('RFM input'!$N$79-'RFM input'!$N$133)-SUM($N354:P354),('RFM input'!$N$79-'RFM input'!$N$133)/A19taxstdlife))</f>
        <v>0</v>
      </c>
      <c r="R354" s="18"/>
      <c r="S354" s="74"/>
      <c r="T354" s="74"/>
      <c r="U354" s="74"/>
      <c r="V354" s="74"/>
      <c r="W354" s="74"/>
      <c r="X354" s="74"/>
      <c r="Y354" s="74"/>
      <c r="Z354" s="74"/>
      <c r="AA354" s="152"/>
    </row>
    <row r="355" spans="1:27" hidden="1" outlineLevel="2">
      <c r="A355" s="3"/>
      <c r="B355" s="3"/>
      <c r="C355" s="16"/>
      <c r="D355" s="1594"/>
      <c r="E355" s="61">
        <v>8</v>
      </c>
      <c r="F355" s="17"/>
      <c r="G355" s="17"/>
      <c r="H355" s="1414"/>
      <c r="I355" s="1414"/>
      <c r="J355" s="115"/>
      <c r="K355" s="115"/>
      <c r="L355" s="115"/>
      <c r="M355" s="115"/>
      <c r="N355" s="115"/>
      <c r="O355" s="116"/>
      <c r="P355" s="18">
        <f>IF(A19taxstdlife="n/a","n/a",IF(P$3&gt;(A19taxstdlife+$E355),('RFM input'!$O$79-'RFM input'!$O$133)-SUM($O355:O355),('RFM input'!$O$79-'RFM input'!$O$133)/A19taxstdlife))</f>
        <v>0</v>
      </c>
      <c r="Q355" s="18">
        <f>IF(A19taxstdlife="n/a","n/a",IF(Q$3&gt;(A19taxstdlife+$E355),('RFM input'!$O$79-'RFM input'!$O$133)-SUM($O355:P355),('RFM input'!$O$79-'RFM input'!$O$133)/A19taxstdlife))</f>
        <v>0</v>
      </c>
      <c r="R355" s="18"/>
      <c r="S355" s="74"/>
      <c r="T355" s="74"/>
      <c r="U355" s="74"/>
      <c r="V355" s="74"/>
      <c r="W355" s="74"/>
      <c r="X355" s="74"/>
      <c r="Y355" s="74"/>
      <c r="Z355" s="74"/>
      <c r="AA355" s="152"/>
    </row>
    <row r="356" spans="1:27" hidden="1" outlineLevel="2">
      <c r="A356" s="3"/>
      <c r="B356" s="3"/>
      <c r="C356" s="16"/>
      <c r="D356" s="1594"/>
      <c r="E356" s="61">
        <v>9</v>
      </c>
      <c r="F356" s="17"/>
      <c r="G356" s="17"/>
      <c r="H356" s="1414"/>
      <c r="I356" s="1414"/>
      <c r="J356" s="115"/>
      <c r="K356" s="115"/>
      <c r="L356" s="115"/>
      <c r="M356" s="115"/>
      <c r="N356" s="115"/>
      <c r="O356" s="115"/>
      <c r="P356" s="116"/>
      <c r="Q356" s="18">
        <f>IF(A19taxstdlife="n/a","n/a",IF(Q$3&gt;(A19taxstdlife+$E356),('RFM input'!$P$79-'RFM input'!$P$133)-SUM($P356:P356),('RFM input'!$P$79-'RFM input'!$P$133)/A19taxstdlife))</f>
        <v>0</v>
      </c>
      <c r="R356" s="18"/>
      <c r="S356" s="74"/>
      <c r="T356" s="74"/>
      <c r="U356" s="74"/>
      <c r="V356" s="74"/>
      <c r="W356" s="74"/>
      <c r="X356" s="74"/>
      <c r="Y356" s="74"/>
      <c r="Z356" s="74"/>
      <c r="AA356" s="152"/>
    </row>
    <row r="357" spans="1:27" hidden="1" outlineLevel="2">
      <c r="A357" s="3"/>
      <c r="B357" s="3"/>
      <c r="C357" s="16"/>
      <c r="D357" s="1594"/>
      <c r="E357" s="62">
        <v>10</v>
      </c>
      <c r="F357" s="17"/>
      <c r="G357" s="17"/>
      <c r="H357" s="1414"/>
      <c r="I357" s="1414"/>
      <c r="J357" s="115"/>
      <c r="K357" s="115"/>
      <c r="L357" s="115"/>
      <c r="M357" s="115"/>
      <c r="N357" s="115"/>
      <c r="O357" s="115"/>
      <c r="P357" s="115"/>
      <c r="Q357" s="116"/>
      <c r="R357" s="18"/>
      <c r="S357" s="74"/>
      <c r="T357" s="74"/>
      <c r="U357" s="74"/>
      <c r="V357" s="74"/>
      <c r="W357" s="74"/>
      <c r="X357" s="74"/>
      <c r="Y357" s="74"/>
      <c r="Z357" s="74"/>
      <c r="AA357" s="152"/>
    </row>
    <row r="358" spans="1:27" hidden="1" outlineLevel="1">
      <c r="A358" s="3"/>
      <c r="B358" s="3"/>
      <c r="C358" s="134">
        <f>Asset19</f>
        <v>0</v>
      </c>
      <c r="D358" s="3"/>
      <c r="E358" s="3"/>
      <c r="F358" s="14"/>
      <c r="G358" s="14"/>
      <c r="H358" s="1460">
        <f>IF('RFM input'!$G$354="Tracked",-1*INDEX('RFM input'!H$358:H$407,MATCH('TAB roll forward'!$C358,'RFM input'!$E$358:$E$407,0)),-SUM(H346:H357))</f>
        <v>0</v>
      </c>
      <c r="I358" s="1460">
        <f>IF('RFM input'!$G$354="Tracked",-1*INDEX('RFM input'!I$358:I$407,MATCH('TAB roll forward'!$C358,'RFM input'!$E$358:$E$407,0)),-SUM(I346:I357))</f>
        <v>0</v>
      </c>
      <c r="J358" s="1460">
        <f>IF(COUNT($H358:I358)&gt;='RFM input'!$V$7,0,IF('RFM input'!$G$354="Tracked",-1*INDEX('RFM input'!J$358:J$407,MATCH('TAB roll forward'!$C358,'RFM input'!$E$358:$E$407,0)),-SUM(J346:J357)))</f>
        <v>0</v>
      </c>
      <c r="K358" s="1460">
        <f>IF(COUNT($H358:J358)&gt;='RFM input'!$V$7,0,IF('RFM input'!$G$354="Tracked",-1*INDEX('RFM input'!K$358:K$407,MATCH('TAB roll forward'!$C358,'RFM input'!$E$358:$E$407,0)),-SUM(K346:K357)))</f>
        <v>0</v>
      </c>
      <c r="L358" s="1460">
        <f>IF(COUNT($H358:K358)&gt;='RFM input'!$V$7,0,IF('RFM input'!$G$354="Tracked",-1*INDEX('RFM input'!L$358:L$407,MATCH('TAB roll forward'!$C358,'RFM input'!$E$358:$E$407,0)),-SUM(L346:L357)))</f>
        <v>0</v>
      </c>
      <c r="M358" s="1460">
        <f>IF(COUNT($H358:L358)&gt;='RFM input'!$V$7,0,IF('RFM input'!$G$354="Tracked",-1*INDEX('RFM input'!M$358:M$407,MATCH('TAB roll forward'!$C358,'RFM input'!$E$358:$E$407,0)),-SUM(M346:M357)))</f>
        <v>0</v>
      </c>
      <c r="N358" s="1460">
        <f>IF(COUNT($H358:M358)&gt;='RFM input'!$V$7,0,IF('RFM input'!$G$354="Tracked",-1*INDEX('RFM input'!N$358:N$407,MATCH('TAB roll forward'!$C358,'RFM input'!$E$358:$E$407,0)),-SUM(N346:N357)))</f>
        <v>0</v>
      </c>
      <c r="O358" s="1460">
        <f>IF(COUNT($H358:N358)&gt;='RFM input'!$V$7,0,IF('RFM input'!$G$354="Tracked",-1*INDEX('RFM input'!O$358:O$407,MATCH('TAB roll forward'!$C358,'RFM input'!$E$358:$E$407,0)),-SUM(O346:O357)))</f>
        <v>0</v>
      </c>
      <c r="P358" s="1460">
        <f>IF(COUNT($H358:O358)&gt;='RFM input'!$V$7,0,IF('RFM input'!$G$354="Tracked",-1*INDEX('RFM input'!P$358:P$407,MATCH('TAB roll forward'!$C358,'RFM input'!$E$358:$E$407,0)),-SUM(P346:P357)))</f>
        <v>0</v>
      </c>
      <c r="Q358" s="1460">
        <f>IF(COUNT($H358:P358)&gt;='RFM input'!$V$7,0,IF('RFM input'!$G$354="Tracked",-1*INDEX('RFM input'!Q$358:Q$407,MATCH('TAB roll forward'!$C358,'RFM input'!$E$358:$E$407,0)),-SUM(Q346:Q357)))</f>
        <v>0</v>
      </c>
      <c r="R358" s="1382"/>
      <c r="S358" s="73"/>
      <c r="T358" s="73"/>
      <c r="U358" s="73"/>
      <c r="V358" s="73"/>
      <c r="W358" s="73"/>
      <c r="X358" s="73"/>
      <c r="Y358" s="73"/>
      <c r="Z358" s="73"/>
      <c r="AA358" s="152"/>
    </row>
    <row r="359" spans="1:27" ht="12.75" hidden="1" customHeight="1" outlineLevel="2">
      <c r="A359" s="3"/>
      <c r="B359" s="136">
        <f>Asset20</f>
        <v>0</v>
      </c>
      <c r="C359" s="19"/>
      <c r="D359" s="234" t="s">
        <v>119</v>
      </c>
      <c r="E359" s="19"/>
      <c r="F359" s="148"/>
      <c r="G359" s="148"/>
      <c r="H359" s="21">
        <f>IF(H$3&gt;A20taxremlife,A20taxvalue-SUM($F359:F359),IF(A20taxremlife="N/A","n/a",A20taxvalue/A20taxremlife))</f>
        <v>0</v>
      </c>
      <c r="I359" s="21">
        <f>IF(I$3&gt;A20taxremlife,A20taxvalue-SUM($F359:H359),IF(A20taxremlife="N/A","n/a",A20taxvalue/A20taxremlife))</f>
        <v>0</v>
      </c>
      <c r="J359" s="1380">
        <f>IF(J$3&gt;A20taxremlife,A20taxvalue-SUM($F359:I359),IF(A20taxremlife="N/A","n/a",A20taxvalue/A20taxremlife))</f>
        <v>0</v>
      </c>
      <c r="K359" s="1380">
        <f>IF(K$3&gt;A20taxremlife,A20taxvalue-SUM($F359:J359),IF(A20taxremlife="N/A","n/a",A20taxvalue/A20taxremlife))</f>
        <v>0</v>
      </c>
      <c r="L359" s="1380">
        <f>IF(L$3&gt;A20taxremlife,A20taxvalue-SUM($F359:K359),IF(A20taxremlife="N/A","n/a",A20taxvalue/A20taxremlife))</f>
        <v>0</v>
      </c>
      <c r="M359" s="21">
        <f>IF(M$3&gt;A20taxremlife,A20taxvalue-SUM($F359:L359),IF(A20taxremlife="N/A","n/a",A20taxvalue/A20taxremlife))</f>
        <v>0</v>
      </c>
      <c r="N359" s="21">
        <f>IF(N$3&gt;A20taxremlife,A20taxvalue-SUM($F359:M359),IF(A20taxremlife="N/A","n/a",A20taxvalue/A20taxremlife))</f>
        <v>0</v>
      </c>
      <c r="O359" s="21">
        <f>IF(O$3&gt;A20taxremlife,A20taxvalue-SUM($F359:N359),IF(A20taxremlife="N/A","n/a",A20taxvalue/A20taxremlife))</f>
        <v>0</v>
      </c>
      <c r="P359" s="21">
        <f>IF(P$3&gt;A20taxremlife,A20taxvalue-SUM($F359:O359),IF(A20taxremlife="N/A","n/a",A20taxvalue/A20taxremlife))</f>
        <v>0</v>
      </c>
      <c r="Q359" s="21">
        <f>IF(Q$3&gt;A20taxremlife,A20taxvalue-SUM($F359:P359),IF(A20taxremlife="N/A","n/a",A20taxvalue/A20taxremlife))</f>
        <v>0</v>
      </c>
      <c r="R359" s="21"/>
      <c r="S359" s="74"/>
      <c r="T359" s="74"/>
      <c r="U359" s="74"/>
      <c r="V359" s="74"/>
      <c r="W359" s="74"/>
      <c r="X359" s="74"/>
      <c r="Y359" s="74"/>
      <c r="Z359" s="74"/>
      <c r="AA359" s="152"/>
    </row>
    <row r="360" spans="1:27" ht="12.75" hidden="1" customHeight="1" outlineLevel="2">
      <c r="A360" s="3"/>
      <c r="B360" s="3"/>
      <c r="C360" s="16"/>
      <c r="D360" s="1593" t="s">
        <v>43</v>
      </c>
      <c r="E360" s="61"/>
      <c r="F360" s="17"/>
      <c r="G360" s="17"/>
      <c r="H360" s="1413"/>
      <c r="I360" s="72"/>
      <c r="J360" s="18"/>
      <c r="K360" s="18"/>
      <c r="L360" s="18"/>
      <c r="M360" s="18"/>
      <c r="N360" s="18"/>
      <c r="O360" s="18"/>
      <c r="P360" s="18"/>
      <c r="Q360" s="18"/>
      <c r="R360" s="18"/>
      <c r="S360" s="74"/>
      <c r="T360" s="74"/>
      <c r="U360" s="74"/>
      <c r="V360" s="74"/>
      <c r="W360" s="74"/>
      <c r="X360" s="74"/>
      <c r="Y360" s="74"/>
      <c r="Z360" s="74"/>
      <c r="AA360" s="152"/>
    </row>
    <row r="361" spans="1:27" ht="12.75" hidden="1" customHeight="1" outlineLevel="2">
      <c r="A361" s="3"/>
      <c r="B361" s="3"/>
      <c r="C361" s="16"/>
      <c r="D361" s="1594"/>
      <c r="E361" s="61">
        <v>1</v>
      </c>
      <c r="F361" s="17"/>
      <c r="G361" s="17"/>
      <c r="H361" s="1414"/>
      <c r="I361" s="1415">
        <f>IF(A20taxstdlife="n/a","n/a",IF(I$3&gt;(A20taxstdlife+$E361),('RFM input'!$H$80-'RFM input'!$H$134)-SUM($H361:H361),('RFM input'!$H$80-'RFM input'!$H$134)/A20taxstdlife))</f>
        <v>0</v>
      </c>
      <c r="J361" s="18">
        <f>IF(A20taxstdlife="n/a","n/a",IF(J$3&gt;(A20taxstdlife+$E361),('RFM input'!$H$80-'RFM input'!$H$134)-SUM($H361:I361),('RFM input'!$H$80-'RFM input'!$H$134)/A20taxstdlife))</f>
        <v>0</v>
      </c>
      <c r="K361" s="18">
        <f>IF(A20taxstdlife="n/a","n/a",IF(K$3&gt;(A20taxstdlife+$E361),('RFM input'!$H$80-'RFM input'!$H$134)-SUM($H361:J361),('RFM input'!$H$80-'RFM input'!$H$134)/A20taxstdlife))</f>
        <v>0</v>
      </c>
      <c r="L361" s="18">
        <f>IF(A20taxstdlife="n/a","n/a",IF(L$3&gt;(A20taxstdlife+$E361),('RFM input'!$H$80-'RFM input'!$H$134)-SUM($H361:K361),('RFM input'!$H$80-'RFM input'!$H$134)/A20taxstdlife))</f>
        <v>0</v>
      </c>
      <c r="M361" s="18">
        <f>IF(A20taxstdlife="n/a","n/a",IF(M$3&gt;(A20taxstdlife+$E361),('RFM input'!$H$80-'RFM input'!$H$134)-SUM($H361:L361),('RFM input'!$H$80-'RFM input'!$H$134)/A20taxstdlife))</f>
        <v>0</v>
      </c>
      <c r="N361" s="18">
        <f>IF(A20taxstdlife="n/a","n/a",IF(N$3&gt;(A20taxstdlife+$E361),('RFM input'!$H$80-'RFM input'!$H$134)-SUM($H361:M361),('RFM input'!$H$80-'RFM input'!$H$134)/A20taxstdlife))</f>
        <v>0</v>
      </c>
      <c r="O361" s="18">
        <f>IF(A20taxstdlife="n/a","n/a",IF(O$3&gt;(A20taxstdlife+$E361),('RFM input'!$H$80-'RFM input'!$H$134)-SUM($H361:N361),('RFM input'!$H$80-'RFM input'!$H$134)/A20taxstdlife))</f>
        <v>0</v>
      </c>
      <c r="P361" s="18">
        <f>IF(A20taxstdlife="n/a","n/a",IF(P$3&gt;(A20taxstdlife+$E361),('RFM input'!$H$80-'RFM input'!$H$134)-SUM($H361:O361),('RFM input'!$H$80-'RFM input'!$H$134)/A20taxstdlife))</f>
        <v>0</v>
      </c>
      <c r="Q361" s="18">
        <f>IF(A20taxstdlife="n/a","n/a",IF(Q$3&gt;(A20taxstdlife+$E361),('RFM input'!$H$80-'RFM input'!$H$134)-SUM($H361:P361),('RFM input'!$H$80-'RFM input'!$H$134)/A20taxstdlife))</f>
        <v>0</v>
      </c>
      <c r="R361" s="18"/>
      <c r="S361" s="74"/>
      <c r="T361" s="74"/>
      <c r="U361" s="74"/>
      <c r="V361" s="74"/>
      <c r="W361" s="74"/>
      <c r="X361" s="74"/>
      <c r="Y361" s="74"/>
      <c r="Z361" s="74"/>
      <c r="AA361" s="152"/>
    </row>
    <row r="362" spans="1:27" ht="12.75" hidden="1" customHeight="1" outlineLevel="2">
      <c r="A362" s="3"/>
      <c r="B362" s="3"/>
      <c r="C362" s="16"/>
      <c r="D362" s="1594"/>
      <c r="E362" s="61">
        <v>2</v>
      </c>
      <c r="F362" s="17"/>
      <c r="G362" s="17"/>
      <c r="H362" s="1414"/>
      <c r="I362" s="1414"/>
      <c r="J362" s="18">
        <f>IF(A20taxstdlife="n/a","n/a",IF(J$3&gt;(A20taxstdlife+$E362),('RFM input'!$I$80-'RFM input'!$I$134)-SUM($I362:I362),('RFM input'!$I$80-'RFM input'!$I$134)/A20taxstdlife))</f>
        <v>0</v>
      </c>
      <c r="K362" s="18">
        <f>IF(A20taxstdlife="n/a","n/a",IF(K$3&gt;(A20taxstdlife+$E362),('RFM input'!$I$80-'RFM input'!$I$134)-SUM($I362:J362),('RFM input'!$I$80-'RFM input'!$I$134)/A20taxstdlife))</f>
        <v>0</v>
      </c>
      <c r="L362" s="18">
        <f>IF(A20taxstdlife="n/a","n/a",IF(L$3&gt;(A20taxstdlife+$E362),('RFM input'!$I$80-'RFM input'!$I$134)-SUM($I362:K362),('RFM input'!$I$80-'RFM input'!$I$134)/A20taxstdlife))</f>
        <v>0</v>
      </c>
      <c r="M362" s="18">
        <f>IF(A20taxstdlife="n/a","n/a",IF(M$3&gt;(A20taxstdlife+$E362),('RFM input'!$I$80-'RFM input'!$I$134)-SUM($I362:L362),('RFM input'!$I$80-'RFM input'!$I$134)/A20taxstdlife))</f>
        <v>0</v>
      </c>
      <c r="N362" s="18">
        <f>IF(A20taxstdlife="n/a","n/a",IF(N$3&gt;(A20taxstdlife+$E362),('RFM input'!$I$80-'RFM input'!$I$134)-SUM($I362:M362),('RFM input'!$I$80-'RFM input'!$I$134)/A20taxstdlife))</f>
        <v>0</v>
      </c>
      <c r="O362" s="18">
        <f>IF(A20taxstdlife="n/a","n/a",IF(O$3&gt;(A20taxstdlife+$E362),('RFM input'!$I$80-'RFM input'!$I$134)-SUM($I362:N362),('RFM input'!$I$80-'RFM input'!$I$134)/A20taxstdlife))</f>
        <v>0</v>
      </c>
      <c r="P362" s="18">
        <f>IF(A20taxstdlife="n/a","n/a",IF(P$3&gt;(A20taxstdlife+$E362),('RFM input'!$I$80-'RFM input'!$I$134)-SUM($I362:O362),('RFM input'!$I$80-'RFM input'!$I$134)/A20taxstdlife))</f>
        <v>0</v>
      </c>
      <c r="Q362" s="18">
        <f>IF(A20taxstdlife="n/a","n/a",IF(Q$3&gt;(A20taxstdlife+$E362),('RFM input'!$I$80-'RFM input'!$I$134)-SUM($I362:P362),('RFM input'!$I$80-'RFM input'!$I$134)/A20taxstdlife))</f>
        <v>0</v>
      </c>
      <c r="R362" s="18"/>
      <c r="S362" s="74"/>
      <c r="T362" s="74"/>
      <c r="U362" s="74"/>
      <c r="V362" s="74"/>
      <c r="W362" s="74"/>
      <c r="X362" s="74"/>
      <c r="Y362" s="74"/>
      <c r="Z362" s="74"/>
      <c r="AA362" s="152"/>
    </row>
    <row r="363" spans="1:27" ht="12.75" hidden="1" customHeight="1" outlineLevel="2">
      <c r="A363" s="3"/>
      <c r="B363" s="3"/>
      <c r="C363" s="16"/>
      <c r="D363" s="1594"/>
      <c r="E363" s="61">
        <v>3</v>
      </c>
      <c r="F363" s="17"/>
      <c r="G363" s="17"/>
      <c r="H363" s="1414"/>
      <c r="I363" s="1414"/>
      <c r="J363" s="116"/>
      <c r="K363" s="18">
        <f>IF(A20taxstdlife="n/a","n/a",IF(K$3&gt;(A20taxstdlife+$E363),('RFM input'!$J$80-'RFM input'!$J$134)-SUM($J363:J363),('RFM input'!$J$80-'RFM input'!$J$134)/A20taxstdlife))</f>
        <v>0</v>
      </c>
      <c r="L363" s="18">
        <f>IF(A20taxstdlife="n/a","n/a",IF(L$3&gt;(A20taxstdlife+$E363),('RFM input'!$J$80-'RFM input'!$J$134)-SUM($J363:K363),('RFM input'!$J$80-'RFM input'!$J$134)/A20taxstdlife))</f>
        <v>0</v>
      </c>
      <c r="M363" s="18">
        <f>IF(A20taxstdlife="n/a","n/a",IF(M$3&gt;(A20taxstdlife+$E363),('RFM input'!$J$80-'RFM input'!$J$134)-SUM($J363:L363),('RFM input'!$J$80-'RFM input'!$J$134)/A20taxstdlife))</f>
        <v>0</v>
      </c>
      <c r="N363" s="18">
        <f>IF(A20taxstdlife="n/a","n/a",IF(N$3&gt;(A20taxstdlife+$E363),('RFM input'!$J$80-'RFM input'!$J$134)-SUM($J363:M363),('RFM input'!$J$80-'RFM input'!$J$134)/A20taxstdlife))</f>
        <v>0</v>
      </c>
      <c r="O363" s="18">
        <f>IF(A20taxstdlife="n/a","n/a",IF(O$3&gt;(A20taxstdlife+$E363),('RFM input'!$J$80-'RFM input'!$J$134)-SUM($J363:N363),('RFM input'!$J$80-'RFM input'!$J$134)/A20taxstdlife))</f>
        <v>0</v>
      </c>
      <c r="P363" s="18">
        <f>IF(A20taxstdlife="n/a","n/a",IF(P$3&gt;(A20taxstdlife+$E363),('RFM input'!$J$80-'RFM input'!$J$134)-SUM($J363:O363),('RFM input'!$J$80-'RFM input'!$J$134)/A20taxstdlife))</f>
        <v>0</v>
      </c>
      <c r="Q363" s="18">
        <f>IF(A20taxstdlife="n/a","n/a",IF(Q$3&gt;(A20taxstdlife+$E363),('RFM input'!$J$80-'RFM input'!$J$134)-SUM($J363:P363),('RFM input'!$J$80-'RFM input'!$J$134)/A20taxstdlife))</f>
        <v>0</v>
      </c>
      <c r="R363" s="18"/>
      <c r="S363" s="74"/>
      <c r="T363" s="74"/>
      <c r="U363" s="74"/>
      <c r="V363" s="74"/>
      <c r="W363" s="74"/>
      <c r="X363" s="74"/>
      <c r="Y363" s="74"/>
      <c r="Z363" s="74"/>
      <c r="AA363" s="152"/>
    </row>
    <row r="364" spans="1:27" ht="12.75" hidden="1" customHeight="1" outlineLevel="2">
      <c r="A364" s="3"/>
      <c r="B364" s="3"/>
      <c r="C364" s="16"/>
      <c r="D364" s="1594"/>
      <c r="E364" s="61">
        <v>4</v>
      </c>
      <c r="F364" s="17"/>
      <c r="G364" s="17"/>
      <c r="H364" s="1414"/>
      <c r="I364" s="1414"/>
      <c r="J364" s="115"/>
      <c r="K364" s="116"/>
      <c r="L364" s="18">
        <f>IF(A20taxstdlife="n/a","n/a",IF(L$3&gt;(A20taxstdlife+$E364),('RFM input'!$K$80-'RFM input'!$K$134)-SUM($K364:K364),('RFM input'!$K$80-'RFM input'!$K$134)/A20taxstdlife))</f>
        <v>0</v>
      </c>
      <c r="M364" s="18">
        <f>IF(A20taxstdlife="n/a","n/a",IF(M$3&gt;(A20taxstdlife+$E364),('RFM input'!$K$80-'RFM input'!$K$134)-SUM($K364:L364),('RFM input'!$K$80-'RFM input'!$K$134)/A20taxstdlife))</f>
        <v>0</v>
      </c>
      <c r="N364" s="18">
        <f>IF(A20taxstdlife="n/a","n/a",IF(N$3&gt;(A20taxstdlife+$E364),('RFM input'!$K$80-'RFM input'!$K$134)-SUM($K364:M364),('RFM input'!$K$80-'RFM input'!$K$134)/A20taxstdlife))</f>
        <v>0</v>
      </c>
      <c r="O364" s="18">
        <f>IF(A20taxstdlife="n/a","n/a",IF(O$3&gt;(A20taxstdlife+$E364),('RFM input'!$K$80-'RFM input'!$K$134)-SUM($K364:N364),('RFM input'!$K$80-'RFM input'!$K$134)/A20taxstdlife))</f>
        <v>0</v>
      </c>
      <c r="P364" s="18">
        <f>IF(A20taxstdlife="n/a","n/a",IF(P$3&gt;(A20taxstdlife+$E364),('RFM input'!$K$80-'RFM input'!$K$134)-SUM($K364:O364),('RFM input'!$K$80-'RFM input'!$K$134)/A20taxstdlife))</f>
        <v>0</v>
      </c>
      <c r="Q364" s="18">
        <f>IF(A20taxstdlife="n/a","n/a",IF(Q$3&gt;(A20taxstdlife+$E364),('RFM input'!$K$80-'RFM input'!$K$134)-SUM($K364:P364),('RFM input'!$K$80-'RFM input'!$K$134)/A20taxstdlife))</f>
        <v>0</v>
      </c>
      <c r="R364" s="18"/>
      <c r="S364" s="74"/>
      <c r="T364" s="74"/>
      <c r="U364" s="74"/>
      <c r="V364" s="74"/>
      <c r="W364" s="74"/>
      <c r="X364" s="74"/>
      <c r="Y364" s="74"/>
      <c r="Z364" s="74"/>
      <c r="AA364" s="152"/>
    </row>
    <row r="365" spans="1:27" ht="12.75" hidden="1" customHeight="1" outlineLevel="2">
      <c r="A365" s="3"/>
      <c r="B365" s="3"/>
      <c r="C365" s="16"/>
      <c r="D365" s="1594"/>
      <c r="E365" s="61">
        <v>5</v>
      </c>
      <c r="F365" s="17"/>
      <c r="G365" s="17"/>
      <c r="H365" s="1414"/>
      <c r="I365" s="1414"/>
      <c r="J365" s="115"/>
      <c r="K365" s="115"/>
      <c r="L365" s="116"/>
      <c r="M365" s="18">
        <f>IF(A20taxstdlife="n/a","n/a",IF(M$3&gt;(A20taxstdlife+$E365),('RFM input'!$L$80-'RFM input'!$L$134)-SUM($L365:L365),('RFM input'!$L$80-'RFM input'!$L$134)/A20taxstdlife))</f>
        <v>0</v>
      </c>
      <c r="N365" s="18">
        <f>IF(A20taxstdlife="n/a","n/a",IF(N$3&gt;(A20taxstdlife+$E365),('RFM input'!$L$80-'RFM input'!$L$134)-SUM($L365:M365),('RFM input'!$L$80-'RFM input'!$L$134)/A20taxstdlife))</f>
        <v>0</v>
      </c>
      <c r="O365" s="18">
        <f>IF(A20taxstdlife="n/a","n/a",IF(O$3&gt;(A20taxstdlife+$E365),('RFM input'!$L$80-'RFM input'!$L$134)-SUM($L365:N365),('RFM input'!$L$80-'RFM input'!$L$134)/A20taxstdlife))</f>
        <v>0</v>
      </c>
      <c r="P365" s="18">
        <f>IF(A20taxstdlife="n/a","n/a",IF(P$3&gt;(A20taxstdlife+$E365),('RFM input'!$L$80-'RFM input'!$L$134)-SUM($L365:O365),('RFM input'!$L$80-'RFM input'!$L$134)/A20taxstdlife))</f>
        <v>0</v>
      </c>
      <c r="Q365" s="18">
        <f>IF(A20taxstdlife="n/a","n/a",IF(Q$3&gt;(A20taxstdlife+$E365),('RFM input'!$L$80-'RFM input'!$L$134)-SUM($L365:P365),('RFM input'!$L$80-'RFM input'!$L$134)/A20taxstdlife))</f>
        <v>0</v>
      </c>
      <c r="R365" s="18"/>
      <c r="S365" s="74"/>
      <c r="T365" s="74"/>
      <c r="U365" s="74"/>
      <c r="V365" s="74"/>
      <c r="W365" s="74"/>
      <c r="X365" s="74"/>
      <c r="Y365" s="74"/>
      <c r="Z365" s="74"/>
      <c r="AA365" s="152"/>
    </row>
    <row r="366" spans="1:27" ht="12.75" hidden="1" customHeight="1" outlineLevel="2">
      <c r="A366" s="3"/>
      <c r="B366" s="3"/>
      <c r="C366" s="16"/>
      <c r="D366" s="1594"/>
      <c r="E366" s="61">
        <v>6</v>
      </c>
      <c r="F366" s="17"/>
      <c r="G366" s="17"/>
      <c r="H366" s="1414"/>
      <c r="I366" s="1414"/>
      <c r="J366" s="115"/>
      <c r="K366" s="115"/>
      <c r="L366" s="115"/>
      <c r="M366" s="116"/>
      <c r="N366" s="18">
        <f>IF(A20taxstdlife="n/a","n/a",IF(N$3&gt;(A20taxstdlife+$E366),('RFM input'!$M$80-'RFM input'!$M$134)-SUM($M366:M366),('RFM input'!$M$80-'RFM input'!$M$134)/A20taxstdlife))</f>
        <v>0</v>
      </c>
      <c r="O366" s="18">
        <f>IF(A20taxstdlife="n/a","n/a",IF(O$3&gt;(A20taxstdlife+$E366),('RFM input'!$M$80-'RFM input'!$M$134)-SUM($M366:N366),('RFM input'!$M$80-'RFM input'!$M$134)/A20taxstdlife))</f>
        <v>0</v>
      </c>
      <c r="P366" s="18">
        <f>IF(A20taxstdlife="n/a","n/a",IF(P$3&gt;(A20taxstdlife+$E366),('RFM input'!$M$80-'RFM input'!$M$134)-SUM($M366:O366),('RFM input'!$M$80-'RFM input'!$M$134)/A20taxstdlife))</f>
        <v>0</v>
      </c>
      <c r="Q366" s="18">
        <f>IF(A20taxstdlife="n/a","n/a",IF(Q$3&gt;(A20taxstdlife+$E366),('RFM input'!$M$80-'RFM input'!$M$134)-SUM($M366:P366),('RFM input'!$M$80-'RFM input'!$M$134)/A20taxstdlife))</f>
        <v>0</v>
      </c>
      <c r="R366" s="18"/>
      <c r="S366" s="74"/>
      <c r="T366" s="74"/>
      <c r="U366" s="74"/>
      <c r="V366" s="74"/>
      <c r="W366" s="74"/>
      <c r="X366" s="74"/>
      <c r="Y366" s="74"/>
      <c r="Z366" s="74"/>
      <c r="AA366" s="152"/>
    </row>
    <row r="367" spans="1:27" ht="12.75" hidden="1" customHeight="1" outlineLevel="2">
      <c r="A367" s="3"/>
      <c r="B367" s="3"/>
      <c r="C367" s="16"/>
      <c r="D367" s="1594"/>
      <c r="E367" s="61">
        <v>7</v>
      </c>
      <c r="F367" s="17"/>
      <c r="G367" s="17"/>
      <c r="H367" s="1414"/>
      <c r="I367" s="1414"/>
      <c r="J367" s="115"/>
      <c r="K367" s="115"/>
      <c r="L367" s="115"/>
      <c r="M367" s="115"/>
      <c r="N367" s="116"/>
      <c r="O367" s="18">
        <f>IF(A20taxstdlife="n/a","n/a",IF(O$3&gt;(A20taxstdlife+$E367),('RFM input'!$N$80-'RFM input'!$N$134)-SUM($N367:N367),('RFM input'!$N$80-'RFM input'!$N$134)/A20taxstdlife))</f>
        <v>0</v>
      </c>
      <c r="P367" s="18">
        <f>IF(A20taxstdlife="n/a","n/a",IF(P$3&gt;(A20taxstdlife+$E367),('RFM input'!$N$80-'RFM input'!$N$134)-SUM($N367:O367),('RFM input'!$N$80-'RFM input'!$N$134)/A20taxstdlife))</f>
        <v>0</v>
      </c>
      <c r="Q367" s="18">
        <f>IF(A20taxstdlife="n/a","n/a",IF(Q$3&gt;(A20taxstdlife+$E367),('RFM input'!$N$80-'RFM input'!$N$134)-SUM($N367:P367),('RFM input'!$N$80-'RFM input'!$N$134)/A20taxstdlife))</f>
        <v>0</v>
      </c>
      <c r="R367" s="18"/>
      <c r="S367" s="74"/>
      <c r="T367" s="74"/>
      <c r="U367" s="74"/>
      <c r="V367" s="74"/>
      <c r="W367" s="74"/>
      <c r="X367" s="74"/>
      <c r="Y367" s="74"/>
      <c r="Z367" s="74"/>
      <c r="AA367" s="152"/>
    </row>
    <row r="368" spans="1:27" ht="12.75" hidden="1" customHeight="1" outlineLevel="2">
      <c r="A368" s="3"/>
      <c r="B368" s="3"/>
      <c r="C368" s="16"/>
      <c r="D368" s="1594"/>
      <c r="E368" s="61">
        <v>8</v>
      </c>
      <c r="F368" s="17"/>
      <c r="G368" s="17"/>
      <c r="H368" s="1414"/>
      <c r="I368" s="1414"/>
      <c r="J368" s="115"/>
      <c r="K368" s="115"/>
      <c r="L368" s="115"/>
      <c r="M368" s="115"/>
      <c r="N368" s="115"/>
      <c r="O368" s="116"/>
      <c r="P368" s="18">
        <f>IF(A20taxstdlife="n/a","n/a",IF(P$3&gt;(A20taxstdlife+$E368),('RFM input'!$O$80-'RFM input'!$O$134)-SUM($O368:O368),('RFM input'!$O$80-'RFM input'!$O$134)/A20taxstdlife))</f>
        <v>0</v>
      </c>
      <c r="Q368" s="18">
        <f>IF(A20taxstdlife="n/a","n/a",IF(Q$3&gt;(A20taxstdlife+$E368),('RFM input'!$O$80-'RFM input'!$O$134)-SUM($O368:P368),('RFM input'!$O$80-'RFM input'!$O$134)/A20taxstdlife))</f>
        <v>0</v>
      </c>
      <c r="R368" s="18"/>
      <c r="S368" s="74"/>
      <c r="T368" s="74"/>
      <c r="U368" s="74"/>
      <c r="V368" s="74"/>
      <c r="W368" s="74"/>
      <c r="X368" s="74"/>
      <c r="Y368" s="74"/>
      <c r="Z368" s="74"/>
      <c r="AA368" s="152"/>
    </row>
    <row r="369" spans="1:27" ht="12.75" hidden="1" customHeight="1" outlineLevel="2">
      <c r="A369" s="3"/>
      <c r="B369" s="3"/>
      <c r="C369" s="16"/>
      <c r="D369" s="1594"/>
      <c r="E369" s="61">
        <v>9</v>
      </c>
      <c r="F369" s="17"/>
      <c r="G369" s="17"/>
      <c r="H369" s="1414"/>
      <c r="I369" s="1414"/>
      <c r="J369" s="115"/>
      <c r="K369" s="115"/>
      <c r="L369" s="115"/>
      <c r="M369" s="115"/>
      <c r="N369" s="115"/>
      <c r="O369" s="115"/>
      <c r="P369" s="116"/>
      <c r="Q369" s="18">
        <f>IF(A20taxstdlife="n/a","n/a",IF(Q$3&gt;(A20taxstdlife+$E369),('RFM input'!$P$80-'RFM input'!$P$134)-SUM($P369:P369),('RFM input'!$P$80-'RFM input'!$P$134)/A20taxstdlife))</f>
        <v>0</v>
      </c>
      <c r="R369" s="18"/>
      <c r="S369" s="74"/>
      <c r="T369" s="74"/>
      <c r="U369" s="74"/>
      <c r="V369" s="74"/>
      <c r="W369" s="74"/>
      <c r="X369" s="74"/>
      <c r="Y369" s="74"/>
      <c r="Z369" s="74"/>
      <c r="AA369" s="152"/>
    </row>
    <row r="370" spans="1:27" ht="12.75" hidden="1" customHeight="1" outlineLevel="2">
      <c r="A370" s="3"/>
      <c r="B370" s="3"/>
      <c r="C370" s="16"/>
      <c r="D370" s="1594"/>
      <c r="E370" s="62">
        <v>10</v>
      </c>
      <c r="F370" s="17"/>
      <c r="G370" s="17"/>
      <c r="H370" s="1414"/>
      <c r="I370" s="1414"/>
      <c r="J370" s="115"/>
      <c r="K370" s="115"/>
      <c r="L370" s="115"/>
      <c r="M370" s="115"/>
      <c r="N370" s="115"/>
      <c r="O370" s="115"/>
      <c r="P370" s="115"/>
      <c r="Q370" s="116"/>
      <c r="R370" s="18"/>
      <c r="S370" s="74"/>
      <c r="T370" s="74"/>
      <c r="U370" s="74"/>
      <c r="V370" s="74"/>
      <c r="W370" s="74"/>
      <c r="X370" s="74"/>
      <c r="Y370" s="74"/>
      <c r="Z370" s="74"/>
      <c r="AA370" s="152"/>
    </row>
    <row r="371" spans="1:27" hidden="1" outlineLevel="1">
      <c r="A371" s="3"/>
      <c r="B371" s="3"/>
      <c r="C371" s="134">
        <f>Asset20</f>
        <v>0</v>
      </c>
      <c r="D371" s="3"/>
      <c r="E371" s="3"/>
      <c r="F371" s="14"/>
      <c r="G371" s="14"/>
      <c r="H371" s="1460">
        <f>IF('RFM input'!$G$354="Tracked",-1*INDEX('RFM input'!H$358:H$407,MATCH('TAB roll forward'!$C371,'RFM input'!$E$358:$E$407,0)),-SUM(H359:H370))</f>
        <v>0</v>
      </c>
      <c r="I371" s="1460">
        <f>IF('RFM input'!$G$354="Tracked",-1*INDEX('RFM input'!I$358:I$407,MATCH('TAB roll forward'!$C371,'RFM input'!$E$358:$E$407,0)),-SUM(I359:I370))</f>
        <v>0</v>
      </c>
      <c r="J371" s="1460">
        <f>IF(COUNT($H371:I371)&gt;='RFM input'!$V$7,0,IF('RFM input'!$G$354="Tracked",-1*INDEX('RFM input'!J$358:J$407,MATCH('TAB roll forward'!$C371,'RFM input'!$E$358:$E$407,0)),-SUM(J359:J370)))</f>
        <v>0</v>
      </c>
      <c r="K371" s="1460">
        <f>IF(COUNT($H371:J371)&gt;='RFM input'!$V$7,0,IF('RFM input'!$G$354="Tracked",-1*INDEX('RFM input'!K$358:K$407,MATCH('TAB roll forward'!$C371,'RFM input'!$E$358:$E$407,0)),-SUM(K359:K370)))</f>
        <v>0</v>
      </c>
      <c r="L371" s="1460">
        <f>IF(COUNT($H371:K371)&gt;='RFM input'!$V$7,0,IF('RFM input'!$G$354="Tracked",-1*INDEX('RFM input'!L$358:L$407,MATCH('TAB roll forward'!$C371,'RFM input'!$E$358:$E$407,0)),-SUM(L359:L370)))</f>
        <v>0</v>
      </c>
      <c r="M371" s="1460">
        <f>IF(COUNT($H371:L371)&gt;='RFM input'!$V$7,0,IF('RFM input'!$G$354="Tracked",-1*INDEX('RFM input'!M$358:M$407,MATCH('TAB roll forward'!$C371,'RFM input'!$E$358:$E$407,0)),-SUM(M359:M370)))</f>
        <v>0</v>
      </c>
      <c r="N371" s="1460">
        <f>IF(COUNT($H371:M371)&gt;='RFM input'!$V$7,0,IF('RFM input'!$G$354="Tracked",-1*INDEX('RFM input'!N$358:N$407,MATCH('TAB roll forward'!$C371,'RFM input'!$E$358:$E$407,0)),-SUM(N359:N370)))</f>
        <v>0</v>
      </c>
      <c r="O371" s="1460">
        <f>IF(COUNT($H371:N371)&gt;='RFM input'!$V$7,0,IF('RFM input'!$G$354="Tracked",-1*INDEX('RFM input'!O$358:O$407,MATCH('TAB roll forward'!$C371,'RFM input'!$E$358:$E$407,0)),-SUM(O359:O370)))</f>
        <v>0</v>
      </c>
      <c r="P371" s="1460">
        <f>IF(COUNT($H371:O371)&gt;='RFM input'!$V$7,0,IF('RFM input'!$G$354="Tracked",-1*INDEX('RFM input'!P$358:P$407,MATCH('TAB roll forward'!$C371,'RFM input'!$E$358:$E$407,0)),-SUM(P359:P370)))</f>
        <v>0</v>
      </c>
      <c r="Q371" s="1460">
        <f>IF(COUNT($H371:P371)&gt;='RFM input'!$V$7,0,IF('RFM input'!$G$354="Tracked",-1*INDEX('RFM input'!Q$358:Q$407,MATCH('TAB roll forward'!$C371,'RFM input'!$E$358:$E$407,0)),-SUM(Q359:Q370)))</f>
        <v>0</v>
      </c>
      <c r="R371" s="1382"/>
      <c r="S371" s="73"/>
      <c r="T371" s="73"/>
      <c r="U371" s="73"/>
      <c r="V371" s="73"/>
      <c r="W371" s="73"/>
      <c r="X371" s="73"/>
      <c r="Y371" s="73"/>
      <c r="Z371" s="73"/>
      <c r="AA371" s="152"/>
    </row>
    <row r="372" spans="1:27" ht="12.75" hidden="1" customHeight="1" outlineLevel="2">
      <c r="A372" s="3"/>
      <c r="B372" s="135">
        <f>Asset21</f>
        <v>0</v>
      </c>
      <c r="C372" s="19"/>
      <c r="D372" s="234" t="s">
        <v>119</v>
      </c>
      <c r="E372" s="19"/>
      <c r="F372" s="148"/>
      <c r="G372" s="148"/>
      <c r="H372" s="21">
        <f>IF(H$3&gt;A21taxremlife,A21taxvalue-SUM($F372:F372),IF(A21taxremlife="N/A","n/a",A21taxvalue/A21taxremlife))</f>
        <v>0</v>
      </c>
      <c r="I372" s="21">
        <f>IF(I$3&gt;A21taxremlife,A21taxvalue-SUM($F372:H372),IF(A21taxremlife="N/A","n/a",A21taxvalue/A21taxremlife))</f>
        <v>0</v>
      </c>
      <c r="J372" s="21">
        <f>IF(J$3&gt;A21taxremlife,A21taxvalue-SUM($F372:I372),IF(A21taxremlife="N/A","n/a",A21taxvalue/A21taxremlife))</f>
        <v>0</v>
      </c>
      <c r="K372" s="21">
        <f>IF(K$3&gt;A21taxremlife,A21taxvalue-SUM($F372:J372),IF(A21taxremlife="N/A","n/a",A21taxvalue/A21taxremlife))</f>
        <v>0</v>
      </c>
      <c r="L372" s="21">
        <f>IF(L$3&gt;A21taxremlife,A21taxvalue-SUM($F372:K372),IF(A21taxremlife="N/A","n/a",A21taxvalue/A21taxremlife))</f>
        <v>0</v>
      </c>
      <c r="M372" s="21">
        <f>IF(M$3&gt;A21taxremlife,A21taxvalue-SUM($F372:L372),IF(A21taxremlife="N/A","n/a",A21taxvalue/A21taxremlife))</f>
        <v>0</v>
      </c>
      <c r="N372" s="21">
        <f>IF(N$3&gt;A21taxremlife,A21taxvalue-SUM($F372:M372),IF(A21taxremlife="N/A","n/a",A21taxvalue/A21taxremlife))</f>
        <v>0</v>
      </c>
      <c r="O372" s="21">
        <f>IF(O$3&gt;A21taxremlife,A21taxvalue-SUM($F372:N372),IF(A21taxremlife="N/A","n/a",A21taxvalue/A21taxremlife))</f>
        <v>0</v>
      </c>
      <c r="P372" s="21">
        <f>IF(P$3&gt;A21taxremlife,A21taxvalue-SUM($F372:O372),IF(A21taxremlife="N/A","n/a",A21taxvalue/A21taxremlife))</f>
        <v>0</v>
      </c>
      <c r="Q372" s="21">
        <f>IF(Q$3&gt;A21taxremlife,A21taxvalue-SUM($F372:P372),IF(A21taxremlife="N/A","n/a",A21taxvalue/A21taxremlife))</f>
        <v>0</v>
      </c>
      <c r="R372" s="21"/>
      <c r="S372" s="74"/>
      <c r="T372" s="74"/>
      <c r="U372" s="74"/>
      <c r="V372" s="74"/>
      <c r="W372" s="74"/>
      <c r="X372" s="74"/>
      <c r="Y372" s="74"/>
      <c r="Z372" s="74"/>
      <c r="AA372" s="152"/>
    </row>
    <row r="373" spans="1:27" ht="12.75" hidden="1" customHeight="1" outlineLevel="2">
      <c r="A373" s="3"/>
      <c r="B373" s="3"/>
      <c r="C373" s="16"/>
      <c r="D373" s="1593" t="s">
        <v>43</v>
      </c>
      <c r="E373" s="61"/>
      <c r="F373" s="17"/>
      <c r="G373" s="17"/>
      <c r="H373" s="1413"/>
      <c r="I373" s="72"/>
      <c r="J373" s="18"/>
      <c r="K373" s="18"/>
      <c r="L373" s="18"/>
      <c r="M373" s="18"/>
      <c r="N373" s="18"/>
      <c r="O373" s="18"/>
      <c r="P373" s="18"/>
      <c r="Q373" s="18"/>
      <c r="R373" s="18"/>
      <c r="S373" s="74"/>
      <c r="T373" s="74"/>
      <c r="U373" s="74"/>
      <c r="V373" s="74"/>
      <c r="W373" s="74"/>
      <c r="X373" s="74"/>
      <c r="Y373" s="74"/>
      <c r="Z373" s="74"/>
      <c r="AA373" s="152"/>
    </row>
    <row r="374" spans="1:27" ht="12.75" hidden="1" customHeight="1" outlineLevel="2">
      <c r="A374" s="3"/>
      <c r="B374" s="3"/>
      <c r="C374" s="16"/>
      <c r="D374" s="1594"/>
      <c r="E374" s="61">
        <v>1</v>
      </c>
      <c r="F374" s="17"/>
      <c r="G374" s="17"/>
      <c r="H374" s="1414"/>
      <c r="I374" s="1415">
        <f>IF(A21taxstdlife="n/a","n/a",IF(I$3&gt;(A21taxstdlife+$E374),('RFM input'!$H$81-'RFM input'!$H$135)-SUM($H374:H374),('RFM input'!$H$81-'RFM input'!$H$135)/A21taxstdlife))</f>
        <v>0</v>
      </c>
      <c r="J374" s="18">
        <f>IF(A21taxstdlife="n/a","n/a",IF(J$3&gt;(A21taxstdlife+$E374),('RFM input'!$H$81-'RFM input'!$H$135)-SUM($H374:I374),('RFM input'!$H$81-'RFM input'!$H$135)/A21taxstdlife))</f>
        <v>0</v>
      </c>
      <c r="K374" s="18">
        <f>IF(A21taxstdlife="n/a","n/a",IF(K$3&gt;(A21taxstdlife+$E374),('RFM input'!$H$81-'RFM input'!$H$135)-SUM($H374:J374),('RFM input'!$H$81-'RFM input'!$H$135)/A21taxstdlife))</f>
        <v>0</v>
      </c>
      <c r="L374" s="18">
        <f>IF(A21taxstdlife="n/a","n/a",IF(L$3&gt;(A21taxstdlife+$E374),('RFM input'!$H$81-'RFM input'!$H$135)-SUM($H374:K374),('RFM input'!$H$81-'RFM input'!$H$135)/A21taxstdlife))</f>
        <v>0</v>
      </c>
      <c r="M374" s="18">
        <f>IF(A21taxstdlife="n/a","n/a",IF(M$3&gt;(A21taxstdlife+$E374),('RFM input'!$H$81-'RFM input'!$H$135)-SUM($H374:L374),('RFM input'!$H$81-'RFM input'!$H$135)/A21taxstdlife))</f>
        <v>0</v>
      </c>
      <c r="N374" s="18">
        <f>IF(A21taxstdlife="n/a","n/a",IF(N$3&gt;(A21taxstdlife+$E374),('RFM input'!$H$81-'RFM input'!$H$135)-SUM($H374:M374),('RFM input'!$H$81-'RFM input'!$H$135)/A21taxstdlife))</f>
        <v>0</v>
      </c>
      <c r="O374" s="18">
        <f>IF(A21taxstdlife="n/a","n/a",IF(O$3&gt;(A21taxstdlife+$E374),('RFM input'!$H$81-'RFM input'!$H$135)-SUM($H374:N374),('RFM input'!$H$81-'RFM input'!$H$135)/A21taxstdlife))</f>
        <v>0</v>
      </c>
      <c r="P374" s="18">
        <f>IF(A21taxstdlife="n/a","n/a",IF(P$3&gt;(A21taxstdlife+$E374),('RFM input'!$H$81-'RFM input'!$H$135)-SUM($H374:O374),('RFM input'!$H$81-'RFM input'!$H$135)/A21taxstdlife))</f>
        <v>0</v>
      </c>
      <c r="Q374" s="18">
        <f>IF(A21taxstdlife="n/a","n/a",IF(Q$3&gt;(A21taxstdlife+$E374),('RFM input'!$H$81-'RFM input'!$H$135)-SUM($H374:P374),('RFM input'!$H$81-'RFM input'!$H$135)/A21taxstdlife))</f>
        <v>0</v>
      </c>
      <c r="R374" s="18"/>
      <c r="S374" s="74"/>
      <c r="T374" s="74"/>
      <c r="U374" s="74"/>
      <c r="V374" s="74"/>
      <c r="W374" s="74"/>
      <c r="X374" s="74"/>
      <c r="Y374" s="74"/>
      <c r="Z374" s="74"/>
      <c r="AA374" s="152"/>
    </row>
    <row r="375" spans="1:27" ht="12.75" hidden="1" customHeight="1" outlineLevel="2">
      <c r="A375" s="3"/>
      <c r="B375" s="3"/>
      <c r="C375" s="16"/>
      <c r="D375" s="1594"/>
      <c r="E375" s="61">
        <v>2</v>
      </c>
      <c r="F375" s="17"/>
      <c r="G375" s="17"/>
      <c r="H375" s="1414"/>
      <c r="I375" s="1414"/>
      <c r="J375" s="18">
        <f>IF(A21taxstdlife="n/a","n/a",IF(J$3&gt;(A21taxstdlife+$E375),('RFM input'!$I$81-'RFM input'!$I$135)-SUM($I375:I375),('RFM input'!$I$81-'RFM input'!$I$135)/A21taxstdlife))</f>
        <v>0</v>
      </c>
      <c r="K375" s="18">
        <f>IF(A21taxstdlife="n/a","n/a",IF(K$3&gt;(A21taxstdlife+$E375),('RFM input'!$I$81-'RFM input'!$I$135)-SUM($I375:J375),('RFM input'!$I$81-'RFM input'!$I$135)/A21taxstdlife))</f>
        <v>0</v>
      </c>
      <c r="L375" s="18">
        <f>IF(A21taxstdlife="n/a","n/a",IF(L$3&gt;(A21taxstdlife+$E375),('RFM input'!$I$81-'RFM input'!$I$135)-SUM($I375:K375),('RFM input'!$I$81-'RFM input'!$I$135)/A21taxstdlife))</f>
        <v>0</v>
      </c>
      <c r="M375" s="18">
        <f>IF(A21taxstdlife="n/a","n/a",IF(M$3&gt;(A21taxstdlife+$E375),('RFM input'!$I$81-'RFM input'!$I$135)-SUM($I375:L375),('RFM input'!$I$81-'RFM input'!$I$135)/A21taxstdlife))</f>
        <v>0</v>
      </c>
      <c r="N375" s="18">
        <f>IF(A21taxstdlife="n/a","n/a",IF(N$3&gt;(A21taxstdlife+$E375),('RFM input'!$I$81-'RFM input'!$I$135)-SUM($I375:M375),('RFM input'!$I$81-'RFM input'!$I$135)/A21taxstdlife))</f>
        <v>0</v>
      </c>
      <c r="O375" s="18">
        <f>IF(A21taxstdlife="n/a","n/a",IF(O$3&gt;(A21taxstdlife+$E375),('RFM input'!$I$81-'RFM input'!$I$135)-SUM($I375:N375),('RFM input'!$I$81-'RFM input'!$I$135)/A21taxstdlife))</f>
        <v>0</v>
      </c>
      <c r="P375" s="18">
        <f>IF(A21taxstdlife="n/a","n/a",IF(P$3&gt;(A21taxstdlife+$E375),('RFM input'!$I$81-'RFM input'!$I$135)-SUM($I375:O375),('RFM input'!$I$81-'RFM input'!$I$135)/A21taxstdlife))</f>
        <v>0</v>
      </c>
      <c r="Q375" s="18">
        <f>IF(A21taxstdlife="n/a","n/a",IF(Q$3&gt;(A21taxstdlife+$E375),('RFM input'!$I$81-'RFM input'!$I$135)-SUM($I375:P375),('RFM input'!$I$81-'RFM input'!$I$135)/A21taxstdlife))</f>
        <v>0</v>
      </c>
      <c r="R375" s="18"/>
      <c r="S375" s="74"/>
      <c r="T375" s="74"/>
      <c r="U375" s="74"/>
      <c r="V375" s="74"/>
      <c r="W375" s="74"/>
      <c r="X375" s="74"/>
      <c r="Y375" s="74"/>
      <c r="Z375" s="74"/>
      <c r="AA375" s="152"/>
    </row>
    <row r="376" spans="1:27" ht="12.75" hidden="1" customHeight="1" outlineLevel="2">
      <c r="A376" s="3"/>
      <c r="B376" s="3"/>
      <c r="C376" s="16"/>
      <c r="D376" s="1594"/>
      <c r="E376" s="61">
        <v>3</v>
      </c>
      <c r="F376" s="17"/>
      <c r="G376" s="17"/>
      <c r="H376" s="1414"/>
      <c r="I376" s="1414"/>
      <c r="J376" s="116"/>
      <c r="K376" s="18">
        <f>IF(A21taxstdlife="n/a","n/a",IF(K$3&gt;(A21taxstdlife+$E376),('RFM input'!$J$81-'RFM input'!$J$135)-SUM($J376:J376),('RFM input'!$J$81-'RFM input'!$J$135)/A21taxstdlife))</f>
        <v>0</v>
      </c>
      <c r="L376" s="18">
        <f>IF(A21taxstdlife="n/a","n/a",IF(L$3&gt;(A21taxstdlife+$E376),('RFM input'!$J$81-'RFM input'!$J$135)-SUM($J376:K376),('RFM input'!$J$81-'RFM input'!$J$135)/A21taxstdlife))</f>
        <v>0</v>
      </c>
      <c r="M376" s="18">
        <f>IF(A21taxstdlife="n/a","n/a",IF(M$3&gt;(A21taxstdlife+$E376),('RFM input'!$J$81-'RFM input'!$J$135)-SUM($J376:L376),('RFM input'!$J$81-'RFM input'!$J$135)/A21taxstdlife))</f>
        <v>0</v>
      </c>
      <c r="N376" s="18">
        <f>IF(A21taxstdlife="n/a","n/a",IF(N$3&gt;(A21taxstdlife+$E376),('RFM input'!$J$81-'RFM input'!$J$135)-SUM($J376:M376),('RFM input'!$J$81-'RFM input'!$J$135)/A21taxstdlife))</f>
        <v>0</v>
      </c>
      <c r="O376" s="18">
        <f>IF(A21taxstdlife="n/a","n/a",IF(O$3&gt;(A21taxstdlife+$E376),('RFM input'!$J$81-'RFM input'!$J$135)-SUM($J376:N376),('RFM input'!$J$81-'RFM input'!$J$135)/A21taxstdlife))</f>
        <v>0</v>
      </c>
      <c r="P376" s="18">
        <f>IF(A21taxstdlife="n/a","n/a",IF(P$3&gt;(A21taxstdlife+$E376),('RFM input'!$J$81-'RFM input'!$J$135)-SUM($J376:O376),('RFM input'!$J$81-'RFM input'!$J$135)/A21taxstdlife))</f>
        <v>0</v>
      </c>
      <c r="Q376" s="18">
        <f>IF(A21taxstdlife="n/a","n/a",IF(Q$3&gt;(A21taxstdlife+$E376),('RFM input'!$J$81-'RFM input'!$J$135)-SUM($J376:P376),('RFM input'!$J$81-'RFM input'!$J$135)/A21taxstdlife))</f>
        <v>0</v>
      </c>
      <c r="R376" s="18"/>
      <c r="S376" s="74"/>
      <c r="T376" s="74"/>
      <c r="U376" s="74"/>
      <c r="V376" s="74"/>
      <c r="W376" s="74"/>
      <c r="X376" s="74"/>
      <c r="Y376" s="74"/>
      <c r="Z376" s="74"/>
      <c r="AA376" s="152"/>
    </row>
    <row r="377" spans="1:27" ht="12.75" hidden="1" customHeight="1" outlineLevel="2">
      <c r="A377" s="3"/>
      <c r="B377" s="3"/>
      <c r="C377" s="16"/>
      <c r="D377" s="1594"/>
      <c r="E377" s="61">
        <v>4</v>
      </c>
      <c r="F377" s="17"/>
      <c r="G377" s="17"/>
      <c r="H377" s="1414"/>
      <c r="I377" s="1414"/>
      <c r="J377" s="115"/>
      <c r="K377" s="116"/>
      <c r="L377" s="18">
        <f>IF(A21taxstdlife="n/a","n/a",IF(L$3&gt;(A21taxstdlife+$E377),('RFM input'!$K$81-'RFM input'!$K$135)-SUM($K377:K377),('RFM input'!$K$81-'RFM input'!$K$135)/A21taxstdlife))</f>
        <v>0</v>
      </c>
      <c r="M377" s="18">
        <f>IF(A21taxstdlife="n/a","n/a",IF(M$3&gt;(A21taxstdlife+$E377),('RFM input'!$K$81-'RFM input'!$K$135)-SUM($K377:L377),('RFM input'!$K$81-'RFM input'!$K$135)/A21taxstdlife))</f>
        <v>0</v>
      </c>
      <c r="N377" s="18">
        <f>IF(A21taxstdlife="n/a","n/a",IF(N$3&gt;(A21taxstdlife+$E377),('RFM input'!$K$81-'RFM input'!$K$135)-SUM($K377:M377),('RFM input'!$K$81-'RFM input'!$K$135)/A21taxstdlife))</f>
        <v>0</v>
      </c>
      <c r="O377" s="18">
        <f>IF(A21taxstdlife="n/a","n/a",IF(O$3&gt;(A21taxstdlife+$E377),('RFM input'!$K$81-'RFM input'!$K$135)-SUM($K377:N377),('RFM input'!$K$81-'RFM input'!$K$135)/A21taxstdlife))</f>
        <v>0</v>
      </c>
      <c r="P377" s="18">
        <f>IF(A21taxstdlife="n/a","n/a",IF(P$3&gt;(A21taxstdlife+$E377),('RFM input'!$K$81-'RFM input'!$K$135)-SUM($K377:O377),('RFM input'!$K$81-'RFM input'!$K$135)/A21taxstdlife))</f>
        <v>0</v>
      </c>
      <c r="Q377" s="18">
        <f>IF(A21taxstdlife="n/a","n/a",IF(Q$3&gt;(A21taxstdlife+$E377),('RFM input'!$K$81-'RFM input'!$K$135)-SUM($K377:P377),('RFM input'!$K$81-'RFM input'!$K$135)/A21taxstdlife))</f>
        <v>0</v>
      </c>
      <c r="R377" s="18"/>
      <c r="S377" s="74"/>
      <c r="T377" s="74"/>
      <c r="U377" s="74"/>
      <c r="V377" s="74"/>
      <c r="W377" s="74"/>
      <c r="X377" s="74"/>
      <c r="Y377" s="74"/>
      <c r="Z377" s="74"/>
      <c r="AA377" s="152"/>
    </row>
    <row r="378" spans="1:27" ht="12.75" hidden="1" customHeight="1" outlineLevel="2">
      <c r="A378" s="3"/>
      <c r="B378" s="3"/>
      <c r="C378" s="16"/>
      <c r="D378" s="1594"/>
      <c r="E378" s="61">
        <v>5</v>
      </c>
      <c r="F378" s="17"/>
      <c r="G378" s="17"/>
      <c r="H378" s="1414"/>
      <c r="I378" s="1414"/>
      <c r="J378" s="115"/>
      <c r="K378" s="115"/>
      <c r="L378" s="116"/>
      <c r="M378" s="18">
        <f>IF(A21taxstdlife="n/a","n/a",IF(M$3&gt;(A21taxstdlife+$E378),('RFM input'!$L$81-'RFM input'!$L$135)-SUM($L378:L378),('RFM input'!$L$81-'RFM input'!$L$135)/A21taxstdlife))</f>
        <v>0</v>
      </c>
      <c r="N378" s="18">
        <f>IF(A21taxstdlife="n/a","n/a",IF(N$3&gt;(A21taxstdlife+$E378),('RFM input'!$L$81-'RFM input'!$L$135)-SUM($L378:M378),('RFM input'!$L$81-'RFM input'!$L$135)/A21taxstdlife))</f>
        <v>0</v>
      </c>
      <c r="O378" s="18">
        <f>IF(A21taxstdlife="n/a","n/a",IF(O$3&gt;(A21taxstdlife+$E378),('RFM input'!$L$81-'RFM input'!$L$135)-SUM($L378:N378),('RFM input'!$L$81-'RFM input'!$L$135)/A21taxstdlife))</f>
        <v>0</v>
      </c>
      <c r="P378" s="18">
        <f>IF(A21taxstdlife="n/a","n/a",IF(P$3&gt;(A21taxstdlife+$E378),('RFM input'!$L$81-'RFM input'!$L$135)-SUM($L378:O378),('RFM input'!$L$81-'RFM input'!$L$135)/A21taxstdlife))</f>
        <v>0</v>
      </c>
      <c r="Q378" s="18">
        <f>IF(A21taxstdlife="n/a","n/a",IF(Q$3&gt;(A21taxstdlife+$E378),('RFM input'!$L$81-'RFM input'!$L$135)-SUM($L378:P378),('RFM input'!$L$81-'RFM input'!$L$135)/A21taxstdlife))</f>
        <v>0</v>
      </c>
      <c r="R378" s="18"/>
      <c r="S378" s="74"/>
      <c r="T378" s="74"/>
      <c r="U378" s="74"/>
      <c r="V378" s="74"/>
      <c r="W378" s="74"/>
      <c r="X378" s="74"/>
      <c r="Y378" s="74"/>
      <c r="Z378" s="74"/>
      <c r="AA378" s="152"/>
    </row>
    <row r="379" spans="1:27" ht="12.75" hidden="1" customHeight="1" outlineLevel="2">
      <c r="A379" s="3"/>
      <c r="B379" s="3"/>
      <c r="C379" s="16"/>
      <c r="D379" s="1594"/>
      <c r="E379" s="61">
        <v>6</v>
      </c>
      <c r="F379" s="17"/>
      <c r="G379" s="17"/>
      <c r="H379" s="1414"/>
      <c r="I379" s="1414"/>
      <c r="J379" s="115"/>
      <c r="K379" s="115"/>
      <c r="L379" s="115"/>
      <c r="M379" s="116"/>
      <c r="N379" s="18">
        <f>IF(A21taxstdlife="n/a","n/a",IF(N$3&gt;(A21taxstdlife+$E379),('RFM input'!$M$81-'RFM input'!$M$135)-SUM($M379:M379),('RFM input'!$M$81-'RFM input'!$M$135)/A21taxstdlife))</f>
        <v>0</v>
      </c>
      <c r="O379" s="18">
        <f>IF(A21taxstdlife="n/a","n/a",IF(O$3&gt;(A21taxstdlife+$E379),('RFM input'!$M$81-'RFM input'!$M$135)-SUM($M379:N379),('RFM input'!$M$81-'RFM input'!$M$135)/A21taxstdlife))</f>
        <v>0</v>
      </c>
      <c r="P379" s="18">
        <f>IF(A21taxstdlife="n/a","n/a",IF(P$3&gt;(A21taxstdlife+$E379),('RFM input'!$M$81-'RFM input'!$M$135)-SUM($M379:O379),('RFM input'!$M$81-'RFM input'!$M$135)/A21taxstdlife))</f>
        <v>0</v>
      </c>
      <c r="Q379" s="18">
        <f>IF(A21taxstdlife="n/a","n/a",IF(Q$3&gt;(A21taxstdlife+$E379),('RFM input'!$M$81-'RFM input'!$M$135)-SUM($M379:P379),('RFM input'!$M$81-'RFM input'!$M$135)/A21taxstdlife))</f>
        <v>0</v>
      </c>
      <c r="R379" s="18"/>
      <c r="S379" s="74"/>
      <c r="T379" s="74"/>
      <c r="U379" s="74"/>
      <c r="V379" s="74"/>
      <c r="W379" s="74"/>
      <c r="X379" s="74"/>
      <c r="Y379" s="74"/>
      <c r="Z379" s="74"/>
      <c r="AA379" s="152"/>
    </row>
    <row r="380" spans="1:27" ht="12.75" hidden="1" customHeight="1" outlineLevel="2">
      <c r="A380" s="3"/>
      <c r="B380" s="3"/>
      <c r="C380" s="16"/>
      <c r="D380" s="1594"/>
      <c r="E380" s="61">
        <v>7</v>
      </c>
      <c r="F380" s="17"/>
      <c r="G380" s="17"/>
      <c r="H380" s="1414"/>
      <c r="I380" s="1414"/>
      <c r="J380" s="115"/>
      <c r="K380" s="115"/>
      <c r="L380" s="115"/>
      <c r="M380" s="115"/>
      <c r="N380" s="116"/>
      <c r="O380" s="18">
        <f>IF(A21taxstdlife="n/a","n/a",IF(O$3&gt;(A21taxstdlife+$E380),('RFM input'!$N$81-'RFM input'!$N$135)-SUM($N380:N380),('RFM input'!$N$81-'RFM input'!$N$135)/A21taxstdlife))</f>
        <v>0</v>
      </c>
      <c r="P380" s="18">
        <f>IF(A21taxstdlife="n/a","n/a",IF(P$3&gt;(A21taxstdlife+$E380),('RFM input'!$N$81-'RFM input'!$N$135)-SUM($N380:O380),('RFM input'!$N$81-'RFM input'!$N$135)/A21taxstdlife))</f>
        <v>0</v>
      </c>
      <c r="Q380" s="18">
        <f>IF(A21taxstdlife="n/a","n/a",IF(Q$3&gt;(A21taxstdlife+$E380),('RFM input'!$N$81-'RFM input'!$N$135)-SUM($N380:P380),('RFM input'!$N$81-'RFM input'!$N$135)/A21taxstdlife))</f>
        <v>0</v>
      </c>
      <c r="R380" s="18"/>
      <c r="S380" s="74"/>
      <c r="T380" s="74"/>
      <c r="U380" s="74"/>
      <c r="V380" s="74"/>
      <c r="W380" s="74"/>
      <c r="X380" s="74"/>
      <c r="Y380" s="74"/>
      <c r="Z380" s="74"/>
      <c r="AA380" s="152"/>
    </row>
    <row r="381" spans="1:27" ht="12.75" hidden="1" customHeight="1" outlineLevel="2">
      <c r="A381" s="3"/>
      <c r="B381" s="3"/>
      <c r="C381" s="16"/>
      <c r="D381" s="1594"/>
      <c r="E381" s="61">
        <v>8</v>
      </c>
      <c r="F381" s="17"/>
      <c r="G381" s="17"/>
      <c r="H381" s="1414"/>
      <c r="I381" s="1414"/>
      <c r="J381" s="115"/>
      <c r="K381" s="115"/>
      <c r="L381" s="115"/>
      <c r="M381" s="115"/>
      <c r="N381" s="115"/>
      <c r="O381" s="116"/>
      <c r="P381" s="18">
        <f>IF(A21taxstdlife="n/a","n/a",IF(P$3&gt;(A21taxstdlife+$E381),('RFM input'!$O$81-'RFM input'!$O$135)-SUM($O381:O381),('RFM input'!$O$81-'RFM input'!$O$135)/A21taxstdlife))</f>
        <v>0</v>
      </c>
      <c r="Q381" s="18">
        <f>IF(A21taxstdlife="n/a","n/a",IF(Q$3&gt;(A21taxstdlife+$E381),('RFM input'!$O$81-'RFM input'!$O$135)-SUM($O381:P381),('RFM input'!$O$81-'RFM input'!$O$135)/A21taxstdlife))</f>
        <v>0</v>
      </c>
      <c r="R381" s="18"/>
      <c r="S381" s="74"/>
      <c r="T381" s="74"/>
      <c r="U381" s="74"/>
      <c r="V381" s="74"/>
      <c r="W381" s="74"/>
      <c r="X381" s="74"/>
      <c r="Y381" s="74"/>
      <c r="Z381" s="74"/>
      <c r="AA381" s="152"/>
    </row>
    <row r="382" spans="1:27" ht="12.75" hidden="1" customHeight="1" outlineLevel="2">
      <c r="A382" s="3"/>
      <c r="B382" s="3"/>
      <c r="C382" s="16"/>
      <c r="D382" s="1594"/>
      <c r="E382" s="61">
        <v>9</v>
      </c>
      <c r="F382" s="17"/>
      <c r="G382" s="17"/>
      <c r="H382" s="1414"/>
      <c r="I382" s="1414"/>
      <c r="J382" s="115"/>
      <c r="K382" s="115"/>
      <c r="L382" s="115"/>
      <c r="M382" s="115"/>
      <c r="N382" s="115"/>
      <c r="O382" s="115"/>
      <c r="P382" s="116"/>
      <c r="Q382" s="18">
        <f>IF(A21taxstdlife="n/a","n/a",IF(Q$3&gt;(A21taxstdlife+$E382),('RFM input'!$P$81-'RFM input'!$P$135)-SUM($P382:P382),('RFM input'!$P$81-'RFM input'!$P$135)/A21taxstdlife))</f>
        <v>0</v>
      </c>
      <c r="R382" s="18"/>
      <c r="S382" s="74"/>
      <c r="T382" s="74"/>
      <c r="U382" s="74"/>
      <c r="V382" s="74"/>
      <c r="W382" s="74"/>
      <c r="X382" s="74"/>
      <c r="Y382" s="74"/>
      <c r="Z382" s="74"/>
      <c r="AA382" s="152"/>
    </row>
    <row r="383" spans="1:27" ht="12.75" hidden="1" customHeight="1" outlineLevel="2">
      <c r="A383" s="3"/>
      <c r="B383" s="3"/>
      <c r="C383" s="16"/>
      <c r="D383" s="1594"/>
      <c r="E383" s="62">
        <v>10</v>
      </c>
      <c r="F383" s="17"/>
      <c r="G383" s="17"/>
      <c r="H383" s="1414"/>
      <c r="I383" s="1414"/>
      <c r="J383" s="115"/>
      <c r="K383" s="115"/>
      <c r="L383" s="115"/>
      <c r="M383" s="115"/>
      <c r="N383" s="115"/>
      <c r="O383" s="115"/>
      <c r="P383" s="115"/>
      <c r="Q383" s="116"/>
      <c r="R383" s="18"/>
      <c r="S383" s="74"/>
      <c r="T383" s="74"/>
      <c r="U383" s="74"/>
      <c r="V383" s="74"/>
      <c r="W383" s="74"/>
      <c r="X383" s="74"/>
      <c r="Y383" s="74"/>
      <c r="Z383" s="74"/>
      <c r="AA383" s="152"/>
    </row>
    <row r="384" spans="1:27" hidden="1" outlineLevel="1">
      <c r="A384" s="3"/>
      <c r="B384" s="3"/>
      <c r="C384" s="134">
        <f>Asset21</f>
        <v>0</v>
      </c>
      <c r="D384" s="3"/>
      <c r="E384" s="3"/>
      <c r="F384" s="14"/>
      <c r="G384" s="14"/>
      <c r="H384" s="1460">
        <f>IF('RFM input'!$G$354="Tracked",-1*INDEX('RFM input'!H$358:H$407,MATCH('TAB roll forward'!$C384,'RFM input'!$E$358:$E$407,0)),-SUM(H372:H383))</f>
        <v>0</v>
      </c>
      <c r="I384" s="1460">
        <f>IF('RFM input'!$G$354="Tracked",-1*INDEX('RFM input'!I$358:I$407,MATCH('TAB roll forward'!$C384,'RFM input'!$E$358:$E$407,0)),-SUM(I372:I383))</f>
        <v>0</v>
      </c>
      <c r="J384" s="1460">
        <f>IF(COUNT($H384:I384)&gt;='RFM input'!$V$7,0,IF('RFM input'!$G$354="Tracked",-1*INDEX('RFM input'!J$358:J$407,MATCH('TAB roll forward'!$C384,'RFM input'!$E$358:$E$407,0)),-SUM(J372:J383)))</f>
        <v>0</v>
      </c>
      <c r="K384" s="1460">
        <f>IF(COUNT($H384:J384)&gt;='RFM input'!$V$7,0,IF('RFM input'!$G$354="Tracked",-1*INDEX('RFM input'!K$358:K$407,MATCH('TAB roll forward'!$C384,'RFM input'!$E$358:$E$407,0)),-SUM(K372:K383)))</f>
        <v>0</v>
      </c>
      <c r="L384" s="1460">
        <f>IF(COUNT($H384:K384)&gt;='RFM input'!$V$7,0,IF('RFM input'!$G$354="Tracked",-1*INDEX('RFM input'!L$358:L$407,MATCH('TAB roll forward'!$C384,'RFM input'!$E$358:$E$407,0)),-SUM(L372:L383)))</f>
        <v>0</v>
      </c>
      <c r="M384" s="1460">
        <f>IF(COUNT($H384:L384)&gt;='RFM input'!$V$7,0,IF('RFM input'!$G$354="Tracked",-1*INDEX('RFM input'!M$358:M$407,MATCH('TAB roll forward'!$C384,'RFM input'!$E$358:$E$407,0)),-SUM(M372:M383)))</f>
        <v>0</v>
      </c>
      <c r="N384" s="1460">
        <f>IF(COUNT($H384:M384)&gt;='RFM input'!$V$7,0,IF('RFM input'!$G$354="Tracked",-1*INDEX('RFM input'!N$358:N$407,MATCH('TAB roll forward'!$C384,'RFM input'!$E$358:$E$407,0)),-SUM(N372:N383)))</f>
        <v>0</v>
      </c>
      <c r="O384" s="1460">
        <f>IF(COUNT($H384:N384)&gt;='RFM input'!$V$7,0,IF('RFM input'!$G$354="Tracked",-1*INDEX('RFM input'!O$358:O$407,MATCH('TAB roll forward'!$C384,'RFM input'!$E$358:$E$407,0)),-SUM(O372:O383)))</f>
        <v>0</v>
      </c>
      <c r="P384" s="1460">
        <f>IF(COUNT($H384:O384)&gt;='RFM input'!$V$7,0,IF('RFM input'!$G$354="Tracked",-1*INDEX('RFM input'!P$358:P$407,MATCH('TAB roll forward'!$C384,'RFM input'!$E$358:$E$407,0)),-SUM(P372:P383)))</f>
        <v>0</v>
      </c>
      <c r="Q384" s="1460">
        <f>IF(COUNT($H384:P384)&gt;='RFM input'!$V$7,0,IF('RFM input'!$G$354="Tracked",-1*INDEX('RFM input'!Q$358:Q$407,MATCH('TAB roll forward'!$C384,'RFM input'!$E$358:$E$407,0)),-SUM(Q372:Q383)))</f>
        <v>0</v>
      </c>
      <c r="R384" s="1382"/>
      <c r="S384" s="73"/>
      <c r="T384" s="73"/>
      <c r="U384" s="73"/>
      <c r="V384" s="73"/>
      <c r="W384" s="73"/>
      <c r="X384" s="73"/>
      <c r="Y384" s="73"/>
      <c r="Z384" s="73"/>
      <c r="AA384" s="152"/>
    </row>
    <row r="385" spans="1:27" ht="12.75" hidden="1" customHeight="1" outlineLevel="2">
      <c r="A385" s="3"/>
      <c r="B385" s="135">
        <f>Asset22</f>
        <v>0</v>
      </c>
      <c r="C385" s="19"/>
      <c r="D385" s="234" t="s">
        <v>119</v>
      </c>
      <c r="E385" s="19"/>
      <c r="F385" s="148"/>
      <c r="G385" s="148"/>
      <c r="H385" s="21">
        <f>IF(H$3&gt;A22taxremlife,A22taxvalue-SUM($F385:F385),IF(A22taxremlife="N/A","n/a",A22taxvalue/A22taxremlife))</f>
        <v>0</v>
      </c>
      <c r="I385" s="21">
        <f>IF(I$3&gt;A22taxremlife,A22taxvalue-SUM($F385:H385),IF(A22taxremlife="N/A","n/a",A22taxvalue/A22taxremlife))</f>
        <v>0</v>
      </c>
      <c r="J385" s="21">
        <f>IF(J$3&gt;A22taxremlife,A22taxvalue-SUM($F385:I385),IF(A22taxremlife="N/A","n/a",A22taxvalue/A22taxremlife))</f>
        <v>0</v>
      </c>
      <c r="K385" s="21">
        <f>IF(K$3&gt;A22taxremlife,A22taxvalue-SUM($F385:J385),IF(A22taxremlife="N/A","n/a",A22taxvalue/A22taxremlife))</f>
        <v>0</v>
      </c>
      <c r="L385" s="21">
        <f>IF(L$3&gt;A22taxremlife,A22taxvalue-SUM($F385:K385),IF(A22taxremlife="N/A","n/a",A22taxvalue/A22taxremlife))</f>
        <v>0</v>
      </c>
      <c r="M385" s="21">
        <f>IF(M$3&gt;A22taxremlife,A22taxvalue-SUM($F385:L385),IF(A22taxremlife="N/A","n/a",A22taxvalue/A22taxremlife))</f>
        <v>0</v>
      </c>
      <c r="N385" s="21">
        <f>IF(N$3&gt;A22taxremlife,A22taxvalue-SUM($F385:M385),IF(A22taxremlife="N/A","n/a",A22taxvalue/A22taxremlife))</f>
        <v>0</v>
      </c>
      <c r="O385" s="21">
        <f>IF(O$3&gt;A22taxremlife,A22taxvalue-SUM($F385:N385),IF(A22taxremlife="N/A","n/a",A22taxvalue/A22taxremlife))</f>
        <v>0</v>
      </c>
      <c r="P385" s="21">
        <f>IF(P$3&gt;A22taxremlife,A22taxvalue-SUM($F385:O385),IF(A22taxremlife="N/A","n/a",A22taxvalue/A22taxremlife))</f>
        <v>0</v>
      </c>
      <c r="Q385" s="21">
        <f>IF(Q$3&gt;A22taxremlife,A22taxvalue-SUM($F385:P385),IF(A22taxremlife="N/A","n/a",A22taxvalue/A22taxremlife))</f>
        <v>0</v>
      </c>
      <c r="R385" s="21"/>
      <c r="S385" s="74"/>
      <c r="T385" s="74"/>
      <c r="U385" s="74"/>
      <c r="V385" s="74"/>
      <c r="W385" s="74"/>
      <c r="X385" s="74"/>
      <c r="Y385" s="74"/>
      <c r="Z385" s="74"/>
      <c r="AA385" s="152"/>
    </row>
    <row r="386" spans="1:27" ht="12.75" hidden="1" customHeight="1" outlineLevel="2">
      <c r="A386" s="3"/>
      <c r="B386" s="3"/>
      <c r="C386" s="16"/>
      <c r="D386" s="1593" t="s">
        <v>43</v>
      </c>
      <c r="E386" s="61"/>
      <c r="F386" s="17"/>
      <c r="G386" s="17"/>
      <c r="H386" s="1413"/>
      <c r="I386" s="72"/>
      <c r="J386" s="18"/>
      <c r="K386" s="18"/>
      <c r="L386" s="18"/>
      <c r="M386" s="18"/>
      <c r="N386" s="18"/>
      <c r="O386" s="18"/>
      <c r="P386" s="18"/>
      <c r="Q386" s="18"/>
      <c r="R386" s="18"/>
      <c r="S386" s="74"/>
      <c r="T386" s="74"/>
      <c r="U386" s="74"/>
      <c r="V386" s="74"/>
      <c r="W386" s="74"/>
      <c r="X386" s="74"/>
      <c r="Y386" s="74"/>
      <c r="Z386" s="74"/>
      <c r="AA386" s="152"/>
    </row>
    <row r="387" spans="1:27" ht="12.75" hidden="1" customHeight="1" outlineLevel="2">
      <c r="A387" s="3"/>
      <c r="B387" s="3"/>
      <c r="C387" s="16"/>
      <c r="D387" s="1594"/>
      <c r="E387" s="61">
        <v>1</v>
      </c>
      <c r="F387" s="17"/>
      <c r="G387" s="17"/>
      <c r="H387" s="1414"/>
      <c r="I387" s="1415">
        <f>IF(A22taxstdlife="n/a","n/a",IF(I$3&gt;(A22taxstdlife+$E387),('RFM input'!$H$82-'RFM input'!$H$136)-SUM($H387:H387),('RFM input'!$H$82-'RFM input'!$H$136)/A22taxstdlife))</f>
        <v>0</v>
      </c>
      <c r="J387" s="18">
        <f>IF(A22taxstdlife="n/a","n/a",IF(J$3&gt;(A22taxstdlife+$E387),('RFM input'!$H$82-'RFM input'!$H$136)-SUM($H387:I387),('RFM input'!$H$82-'RFM input'!$H$136)/A22taxstdlife))</f>
        <v>0</v>
      </c>
      <c r="K387" s="18">
        <f>IF(A22taxstdlife="n/a","n/a",IF(K$3&gt;(A22taxstdlife+$E387),('RFM input'!$H$82-'RFM input'!$H$136)-SUM($H387:J387),('RFM input'!$H$82-'RFM input'!$H$136)/A22taxstdlife))</f>
        <v>0</v>
      </c>
      <c r="L387" s="18">
        <f>IF(A22taxstdlife="n/a","n/a",IF(L$3&gt;(A22taxstdlife+$E387),('RFM input'!$H$82-'RFM input'!$H$136)-SUM($H387:K387),('RFM input'!$H$82-'RFM input'!$H$136)/A22taxstdlife))</f>
        <v>0</v>
      </c>
      <c r="M387" s="18">
        <f>IF(A22taxstdlife="n/a","n/a",IF(M$3&gt;(A22taxstdlife+$E387),('RFM input'!$H$82-'RFM input'!$H$136)-SUM($H387:L387),('RFM input'!$H$82-'RFM input'!$H$136)/A22taxstdlife))</f>
        <v>0</v>
      </c>
      <c r="N387" s="18">
        <f>IF(A22taxstdlife="n/a","n/a",IF(N$3&gt;(A22taxstdlife+$E387),('RFM input'!$H$82-'RFM input'!$H$136)-SUM($H387:M387),('RFM input'!$H$82-'RFM input'!$H$136)/A22taxstdlife))</f>
        <v>0</v>
      </c>
      <c r="O387" s="18">
        <f>IF(A22taxstdlife="n/a","n/a",IF(O$3&gt;(A22taxstdlife+$E387),('RFM input'!$H$82-'RFM input'!$H$136)-SUM($H387:N387),('RFM input'!$H$82-'RFM input'!$H$136)/A22taxstdlife))</f>
        <v>0</v>
      </c>
      <c r="P387" s="18">
        <f>IF(A22taxstdlife="n/a","n/a",IF(P$3&gt;(A22taxstdlife+$E387),('RFM input'!$H$82-'RFM input'!$H$136)-SUM($H387:O387),('RFM input'!$H$82-'RFM input'!$H$136)/A22taxstdlife))</f>
        <v>0</v>
      </c>
      <c r="Q387" s="18">
        <f>IF(A22taxstdlife="n/a","n/a",IF(Q$3&gt;(A22taxstdlife+$E387),('RFM input'!$H$82-'RFM input'!$H$136)-SUM($H387:P387),('RFM input'!$H$82-'RFM input'!$H$136)/A22taxstdlife))</f>
        <v>0</v>
      </c>
      <c r="R387" s="18"/>
      <c r="S387" s="74"/>
      <c r="T387" s="74"/>
      <c r="U387" s="74"/>
      <c r="V387" s="74"/>
      <c r="W387" s="74"/>
      <c r="X387" s="74"/>
      <c r="Y387" s="74"/>
      <c r="Z387" s="74"/>
      <c r="AA387" s="152"/>
    </row>
    <row r="388" spans="1:27" ht="12.75" hidden="1" customHeight="1" outlineLevel="2">
      <c r="A388" s="3"/>
      <c r="B388" s="3"/>
      <c r="C388" s="16"/>
      <c r="D388" s="1594"/>
      <c r="E388" s="61">
        <v>2</v>
      </c>
      <c r="F388" s="17"/>
      <c r="G388" s="17"/>
      <c r="H388" s="1414"/>
      <c r="I388" s="1414"/>
      <c r="J388" s="18">
        <f>IF(A22taxstdlife="n/a","n/a",IF(J$3&gt;(A22taxstdlife+$E388),('RFM input'!$I$82-'RFM input'!$I$136)-SUM($I388:I388),('RFM input'!$I$82-'RFM input'!$I$136)/A22taxstdlife))</f>
        <v>0</v>
      </c>
      <c r="K388" s="18">
        <f>IF(A22taxstdlife="n/a","n/a",IF(K$3&gt;(A22taxstdlife+$E388),('RFM input'!$I$82-'RFM input'!$I$136)-SUM($I388:J388),('RFM input'!$I$82-'RFM input'!$I$136)/A22taxstdlife))</f>
        <v>0</v>
      </c>
      <c r="L388" s="18">
        <f>IF(A22taxstdlife="n/a","n/a",IF(L$3&gt;(A22taxstdlife+$E388),('RFM input'!$I$82-'RFM input'!$I$136)-SUM($I388:K388),('RFM input'!$I$82-'RFM input'!$I$136)/A22taxstdlife))</f>
        <v>0</v>
      </c>
      <c r="M388" s="18">
        <f>IF(A22taxstdlife="n/a","n/a",IF(M$3&gt;(A22taxstdlife+$E388),('RFM input'!$I$82-'RFM input'!$I$136)-SUM($I388:L388),('RFM input'!$I$82-'RFM input'!$I$136)/A22taxstdlife))</f>
        <v>0</v>
      </c>
      <c r="N388" s="18">
        <f>IF(A22taxstdlife="n/a","n/a",IF(N$3&gt;(A22taxstdlife+$E388),('RFM input'!$I$82-'RFM input'!$I$136)-SUM($I388:M388),('RFM input'!$I$82-'RFM input'!$I$136)/A22taxstdlife))</f>
        <v>0</v>
      </c>
      <c r="O388" s="18">
        <f>IF(A22taxstdlife="n/a","n/a",IF(O$3&gt;(A22taxstdlife+$E388),('RFM input'!$I$82-'RFM input'!$I$136)-SUM($I388:N388),('RFM input'!$I$82-'RFM input'!$I$136)/A22taxstdlife))</f>
        <v>0</v>
      </c>
      <c r="P388" s="18">
        <f>IF(A22taxstdlife="n/a","n/a",IF(P$3&gt;(A22taxstdlife+$E388),('RFM input'!$I$82-'RFM input'!$I$136)-SUM($I388:O388),('RFM input'!$I$82-'RFM input'!$I$136)/A22taxstdlife))</f>
        <v>0</v>
      </c>
      <c r="Q388" s="18">
        <f>IF(A22taxstdlife="n/a","n/a",IF(Q$3&gt;(A22taxstdlife+$E388),('RFM input'!$I$82-'RFM input'!$I$136)-SUM($I388:P388),('RFM input'!$I$82-'RFM input'!$I$136)/A22taxstdlife))</f>
        <v>0</v>
      </c>
      <c r="R388" s="18"/>
      <c r="S388" s="74"/>
      <c r="T388" s="74"/>
      <c r="U388" s="74"/>
      <c r="V388" s="74"/>
      <c r="W388" s="74"/>
      <c r="X388" s="74"/>
      <c r="Y388" s="74"/>
      <c r="Z388" s="74"/>
      <c r="AA388" s="152"/>
    </row>
    <row r="389" spans="1:27" ht="12.75" hidden="1" customHeight="1" outlineLevel="2">
      <c r="A389" s="3"/>
      <c r="B389" s="3"/>
      <c r="C389" s="16"/>
      <c r="D389" s="1594"/>
      <c r="E389" s="61">
        <v>3</v>
      </c>
      <c r="F389" s="17"/>
      <c r="G389" s="17"/>
      <c r="H389" s="1414"/>
      <c r="I389" s="1414"/>
      <c r="J389" s="116"/>
      <c r="K389" s="18">
        <f>IF(A22taxstdlife="n/a","n/a",IF(K$3&gt;(A22taxstdlife+$E389),('RFM input'!$J$82-'RFM input'!$J$136)-SUM($J389:J389),('RFM input'!$J$82-'RFM input'!$J$136)/A22taxstdlife))</f>
        <v>0</v>
      </c>
      <c r="L389" s="18">
        <f>IF(A22taxstdlife="n/a","n/a",IF(L$3&gt;(A22taxstdlife+$E389),('RFM input'!$J$82-'RFM input'!$J$136)-SUM($J389:K389),('RFM input'!$J$82-'RFM input'!$J$136)/A22taxstdlife))</f>
        <v>0</v>
      </c>
      <c r="M389" s="18">
        <f>IF(A22taxstdlife="n/a","n/a",IF(M$3&gt;(A22taxstdlife+$E389),('RFM input'!$J$82-'RFM input'!$J$136)-SUM($J389:L389),('RFM input'!$J$82-'RFM input'!$J$136)/A22taxstdlife))</f>
        <v>0</v>
      </c>
      <c r="N389" s="18">
        <f>IF(A22taxstdlife="n/a","n/a",IF(N$3&gt;(A22taxstdlife+$E389),('RFM input'!$J$82-'RFM input'!$J$136)-SUM($J389:M389),('RFM input'!$J$82-'RFM input'!$J$136)/A22taxstdlife))</f>
        <v>0</v>
      </c>
      <c r="O389" s="18">
        <f>IF(A22taxstdlife="n/a","n/a",IF(O$3&gt;(A22taxstdlife+$E389),('RFM input'!$J$82-'RFM input'!$J$136)-SUM($J389:N389),('RFM input'!$J$82-'RFM input'!$J$136)/A22taxstdlife))</f>
        <v>0</v>
      </c>
      <c r="P389" s="18">
        <f>IF(A22taxstdlife="n/a","n/a",IF(P$3&gt;(A22taxstdlife+$E389),('RFM input'!$J$82-'RFM input'!$J$136)-SUM($J389:O389),('RFM input'!$J$82-'RFM input'!$J$136)/A22taxstdlife))</f>
        <v>0</v>
      </c>
      <c r="Q389" s="18">
        <f>IF(A22taxstdlife="n/a","n/a",IF(Q$3&gt;(A22taxstdlife+$E389),('RFM input'!$J$82-'RFM input'!$J$136)-SUM($J389:P389),('RFM input'!$J$82-'RFM input'!$J$136)/A22taxstdlife))</f>
        <v>0</v>
      </c>
      <c r="R389" s="18"/>
      <c r="S389" s="74"/>
      <c r="T389" s="74"/>
      <c r="U389" s="74"/>
      <c r="V389" s="74"/>
      <c r="W389" s="74"/>
      <c r="X389" s="74"/>
      <c r="Y389" s="74"/>
      <c r="Z389" s="74"/>
      <c r="AA389" s="152"/>
    </row>
    <row r="390" spans="1:27" ht="12.75" hidden="1" customHeight="1" outlineLevel="2">
      <c r="A390" s="3"/>
      <c r="B390" s="3"/>
      <c r="C390" s="16"/>
      <c r="D390" s="1594"/>
      <c r="E390" s="61">
        <v>4</v>
      </c>
      <c r="F390" s="17"/>
      <c r="G390" s="17"/>
      <c r="H390" s="1414"/>
      <c r="I390" s="1414"/>
      <c r="J390" s="115"/>
      <c r="K390" s="116"/>
      <c r="L390" s="18">
        <f>IF(A22taxstdlife="n/a","n/a",IF(L$3&gt;(A22taxstdlife+$E390),('RFM input'!$K$82-'RFM input'!$K$136)-SUM($K390:K390),('RFM input'!$K$82-'RFM input'!$K$136)/A22taxstdlife))</f>
        <v>0</v>
      </c>
      <c r="M390" s="18">
        <f>IF(A22taxstdlife="n/a","n/a",IF(M$3&gt;(A22taxstdlife+$E390),('RFM input'!$K$82-'RFM input'!$K$136)-SUM($K390:L390),('RFM input'!$K$82-'RFM input'!$K$136)/A22taxstdlife))</f>
        <v>0</v>
      </c>
      <c r="N390" s="18">
        <f>IF(A22taxstdlife="n/a","n/a",IF(N$3&gt;(A22taxstdlife+$E390),('RFM input'!$K$82-'RFM input'!$K$136)-SUM($K390:M390),('RFM input'!$K$82-'RFM input'!$K$136)/A22taxstdlife))</f>
        <v>0</v>
      </c>
      <c r="O390" s="18">
        <f>IF(A22taxstdlife="n/a","n/a",IF(O$3&gt;(A22taxstdlife+$E390),('RFM input'!$K$82-'RFM input'!$K$136)-SUM($K390:N390),('RFM input'!$K$82-'RFM input'!$K$136)/A22taxstdlife))</f>
        <v>0</v>
      </c>
      <c r="P390" s="18">
        <f>IF(A22taxstdlife="n/a","n/a",IF(P$3&gt;(A22taxstdlife+$E390),('RFM input'!$K$82-'RFM input'!$K$136)-SUM($K390:O390),('RFM input'!$K$82-'RFM input'!$K$136)/A22taxstdlife))</f>
        <v>0</v>
      </c>
      <c r="Q390" s="18">
        <f>IF(A22taxstdlife="n/a","n/a",IF(Q$3&gt;(A22taxstdlife+$E390),('RFM input'!$K$82-'RFM input'!$K$136)-SUM($K390:P390),('RFM input'!$K$82-'RFM input'!$K$136)/A22taxstdlife))</f>
        <v>0</v>
      </c>
      <c r="R390" s="18"/>
      <c r="S390" s="74"/>
      <c r="T390" s="74"/>
      <c r="U390" s="74"/>
      <c r="V390" s="74"/>
      <c r="W390" s="74"/>
      <c r="X390" s="74"/>
      <c r="Y390" s="74"/>
      <c r="Z390" s="74"/>
      <c r="AA390" s="152"/>
    </row>
    <row r="391" spans="1:27" ht="12.75" hidden="1" customHeight="1" outlineLevel="2">
      <c r="A391" s="3"/>
      <c r="B391" s="3"/>
      <c r="C391" s="16"/>
      <c r="D391" s="1594"/>
      <c r="E391" s="61">
        <v>5</v>
      </c>
      <c r="F391" s="17"/>
      <c r="G391" s="17"/>
      <c r="H391" s="1414"/>
      <c r="I391" s="1414"/>
      <c r="J391" s="115"/>
      <c r="K391" s="115"/>
      <c r="L391" s="116"/>
      <c r="M391" s="18">
        <f>IF(A22taxstdlife="n/a","n/a",IF(M$3&gt;(A22taxstdlife+$E391),('RFM input'!$L$82-'RFM input'!$L$136)-SUM($L391:L391),('RFM input'!$L$82-'RFM input'!$L$136)/A22taxstdlife))</f>
        <v>0</v>
      </c>
      <c r="N391" s="18">
        <f>IF(A22taxstdlife="n/a","n/a",IF(N$3&gt;(A22taxstdlife+$E391),('RFM input'!$L$82-'RFM input'!$L$136)-SUM($L391:M391),('RFM input'!$L$82-'RFM input'!$L$136)/A22taxstdlife))</f>
        <v>0</v>
      </c>
      <c r="O391" s="18">
        <f>IF(A22taxstdlife="n/a","n/a",IF(O$3&gt;(A22taxstdlife+$E391),('RFM input'!$L$82-'RFM input'!$L$136)-SUM($L391:N391),('RFM input'!$L$82-'RFM input'!$L$136)/A22taxstdlife))</f>
        <v>0</v>
      </c>
      <c r="P391" s="18">
        <f>IF(A22taxstdlife="n/a","n/a",IF(P$3&gt;(A22taxstdlife+$E391),('RFM input'!$L$82-'RFM input'!$L$136)-SUM($L391:O391),('RFM input'!$L$82-'RFM input'!$L$136)/A22taxstdlife))</f>
        <v>0</v>
      </c>
      <c r="Q391" s="18">
        <f>IF(A22taxstdlife="n/a","n/a",IF(Q$3&gt;(A22taxstdlife+$E391),('RFM input'!$L$82-'RFM input'!$L$136)-SUM($L391:P391),('RFM input'!$L$82-'RFM input'!$L$136)/A22taxstdlife))</f>
        <v>0</v>
      </c>
      <c r="R391" s="18"/>
      <c r="S391" s="74"/>
      <c r="T391" s="74"/>
      <c r="U391" s="74"/>
      <c r="V391" s="74"/>
      <c r="W391" s="74"/>
      <c r="X391" s="74"/>
      <c r="Y391" s="74"/>
      <c r="Z391" s="74"/>
      <c r="AA391" s="152"/>
    </row>
    <row r="392" spans="1:27" ht="12.75" hidden="1" customHeight="1" outlineLevel="2">
      <c r="A392" s="3"/>
      <c r="B392" s="3"/>
      <c r="C392" s="16"/>
      <c r="D392" s="1594"/>
      <c r="E392" s="61">
        <v>6</v>
      </c>
      <c r="F392" s="17"/>
      <c r="G392" s="17"/>
      <c r="H392" s="1414"/>
      <c r="I392" s="1414"/>
      <c r="J392" s="115"/>
      <c r="K392" s="115"/>
      <c r="L392" s="115"/>
      <c r="M392" s="116"/>
      <c r="N392" s="18">
        <f>IF(A22taxstdlife="n/a","n/a",IF(N$3&gt;(A22taxstdlife+$E392),('RFM input'!$M$82-'RFM input'!$M$136)-SUM($M392:M392),('RFM input'!$M$82-'RFM input'!$M$136)/A22taxstdlife))</f>
        <v>0</v>
      </c>
      <c r="O392" s="18">
        <f>IF(A22taxstdlife="n/a","n/a",IF(O$3&gt;(A22taxstdlife+$E392),('RFM input'!$M$82-'RFM input'!$M$136)-SUM($M392:N392),('RFM input'!$M$82-'RFM input'!$M$136)/A22taxstdlife))</f>
        <v>0</v>
      </c>
      <c r="P392" s="18">
        <f>IF(A22taxstdlife="n/a","n/a",IF(P$3&gt;(A22taxstdlife+$E392),('RFM input'!$M$82-'RFM input'!$M$136)-SUM($M392:O392),('RFM input'!$M$82-'RFM input'!$M$136)/A22taxstdlife))</f>
        <v>0</v>
      </c>
      <c r="Q392" s="18">
        <f>IF(A22taxstdlife="n/a","n/a",IF(Q$3&gt;(A22taxstdlife+$E392),('RFM input'!$M$82-'RFM input'!$M$136)-SUM($M392:P392),('RFM input'!$M$82-'RFM input'!$M$136)/A22taxstdlife))</f>
        <v>0</v>
      </c>
      <c r="R392" s="18"/>
      <c r="S392" s="74"/>
      <c r="T392" s="74"/>
      <c r="U392" s="74"/>
      <c r="V392" s="74"/>
      <c r="W392" s="74"/>
      <c r="X392" s="74"/>
      <c r="Y392" s="74"/>
      <c r="Z392" s="74"/>
      <c r="AA392" s="152"/>
    </row>
    <row r="393" spans="1:27" ht="12.75" hidden="1" customHeight="1" outlineLevel="2">
      <c r="A393" s="3"/>
      <c r="B393" s="3"/>
      <c r="C393" s="16"/>
      <c r="D393" s="1594"/>
      <c r="E393" s="61">
        <v>7</v>
      </c>
      <c r="F393" s="17"/>
      <c r="G393" s="17"/>
      <c r="H393" s="1414"/>
      <c r="I393" s="1414"/>
      <c r="J393" s="115"/>
      <c r="K393" s="115"/>
      <c r="L393" s="115"/>
      <c r="M393" s="115"/>
      <c r="N393" s="116"/>
      <c r="O393" s="18">
        <f>IF(A22taxstdlife="n/a","n/a",IF(O$3&gt;(A22taxstdlife+$E393),('RFM input'!$N$82-'RFM input'!$N$136)-SUM($N393:N393),('RFM input'!$N$82-'RFM input'!$N$136)/A22taxstdlife))</f>
        <v>0</v>
      </c>
      <c r="P393" s="18">
        <f>IF(A22taxstdlife="n/a","n/a",IF(P$3&gt;(A22taxstdlife+$E393),('RFM input'!$N$82-'RFM input'!$N$136)-SUM($N393:O393),('RFM input'!$N$82-'RFM input'!$N$136)/A22taxstdlife))</f>
        <v>0</v>
      </c>
      <c r="Q393" s="18">
        <f>IF(A22taxstdlife="n/a","n/a",IF(Q$3&gt;(A22taxstdlife+$E393),('RFM input'!$N$82-'RFM input'!$N$136)-SUM($N393:P393),('RFM input'!$N$82-'RFM input'!$N$136)/A22taxstdlife))</f>
        <v>0</v>
      </c>
      <c r="R393" s="18"/>
      <c r="S393" s="74"/>
      <c r="T393" s="74"/>
      <c r="U393" s="74"/>
      <c r="V393" s="74"/>
      <c r="W393" s="74"/>
      <c r="X393" s="74"/>
      <c r="Y393" s="74"/>
      <c r="Z393" s="74"/>
      <c r="AA393" s="152"/>
    </row>
    <row r="394" spans="1:27" ht="12.75" hidden="1" customHeight="1" outlineLevel="2">
      <c r="A394" s="3"/>
      <c r="B394" s="3"/>
      <c r="C394" s="16"/>
      <c r="D394" s="1594"/>
      <c r="E394" s="61">
        <v>8</v>
      </c>
      <c r="F394" s="17"/>
      <c r="G394" s="17"/>
      <c r="H394" s="1414"/>
      <c r="I394" s="1414"/>
      <c r="J394" s="115"/>
      <c r="K394" s="115"/>
      <c r="L394" s="115"/>
      <c r="M394" s="115"/>
      <c r="N394" s="115"/>
      <c r="O394" s="116"/>
      <c r="P394" s="18">
        <f>IF(A22taxstdlife="n/a","n/a",IF(P$3&gt;(A22taxstdlife+$E394),('RFM input'!$O$82-'RFM input'!$O$136)-SUM($O394:O394),('RFM input'!$O$82-'RFM input'!$O$136)/A22taxstdlife))</f>
        <v>0</v>
      </c>
      <c r="Q394" s="18">
        <f>IF(A22taxstdlife="n/a","n/a",IF(Q$3&gt;(A22taxstdlife+$E394),('RFM input'!$O$82-'RFM input'!$O$136)-SUM($O394:P394),('RFM input'!$O$82-'RFM input'!$O$136)/A22taxstdlife))</f>
        <v>0</v>
      </c>
      <c r="R394" s="18"/>
      <c r="S394" s="74"/>
      <c r="T394" s="74"/>
      <c r="U394" s="74"/>
      <c r="V394" s="74"/>
      <c r="W394" s="74"/>
      <c r="X394" s="74"/>
      <c r="Y394" s="74"/>
      <c r="Z394" s="74"/>
      <c r="AA394" s="152"/>
    </row>
    <row r="395" spans="1:27" ht="12.75" hidden="1" customHeight="1" outlineLevel="2">
      <c r="A395" s="3"/>
      <c r="B395" s="3"/>
      <c r="C395" s="16"/>
      <c r="D395" s="1594"/>
      <c r="E395" s="61">
        <v>9</v>
      </c>
      <c r="F395" s="17"/>
      <c r="G395" s="17"/>
      <c r="H395" s="1414"/>
      <c r="I395" s="1414"/>
      <c r="J395" s="115"/>
      <c r="K395" s="115"/>
      <c r="L395" s="115"/>
      <c r="M395" s="115"/>
      <c r="N395" s="115"/>
      <c r="O395" s="115"/>
      <c r="P395" s="116"/>
      <c r="Q395" s="18">
        <f>IF(A22taxstdlife="n/a","n/a",IF(Q$3&gt;(A22taxstdlife+$E395),('RFM input'!$P$82-'RFM input'!$P$136)-SUM($P395:P395),('RFM input'!$P$82-'RFM input'!$P$136)/A22taxstdlife))</f>
        <v>0</v>
      </c>
      <c r="R395" s="18"/>
      <c r="S395" s="74"/>
      <c r="T395" s="74"/>
      <c r="U395" s="74"/>
      <c r="V395" s="74"/>
      <c r="W395" s="74"/>
      <c r="X395" s="74"/>
      <c r="Y395" s="74"/>
      <c r="Z395" s="74"/>
      <c r="AA395" s="152"/>
    </row>
    <row r="396" spans="1:27" ht="12.75" hidden="1" customHeight="1" outlineLevel="2">
      <c r="A396" s="3"/>
      <c r="B396" s="3"/>
      <c r="C396" s="16"/>
      <c r="D396" s="1594"/>
      <c r="E396" s="62">
        <v>10</v>
      </c>
      <c r="F396" s="17"/>
      <c r="G396" s="17"/>
      <c r="H396" s="1414"/>
      <c r="I396" s="1414"/>
      <c r="J396" s="115"/>
      <c r="K396" s="115"/>
      <c r="L396" s="115"/>
      <c r="M396" s="115"/>
      <c r="N396" s="115"/>
      <c r="O396" s="115"/>
      <c r="P396" s="115"/>
      <c r="Q396" s="116"/>
      <c r="R396" s="18"/>
      <c r="S396" s="74"/>
      <c r="T396" s="74"/>
      <c r="U396" s="74"/>
      <c r="V396" s="74"/>
      <c r="W396" s="74"/>
      <c r="X396" s="74"/>
      <c r="Y396" s="74"/>
      <c r="Z396" s="74"/>
      <c r="AA396" s="152"/>
    </row>
    <row r="397" spans="1:27" hidden="1" outlineLevel="1">
      <c r="A397" s="3"/>
      <c r="B397" s="3"/>
      <c r="C397" s="134">
        <f>Asset22</f>
        <v>0</v>
      </c>
      <c r="D397" s="3"/>
      <c r="E397" s="3"/>
      <c r="F397" s="14"/>
      <c r="G397" s="14"/>
      <c r="H397" s="1460">
        <f>IF('RFM input'!$G$354="Tracked",-1*INDEX('RFM input'!H$358:H$407,MATCH('TAB roll forward'!$C397,'RFM input'!$E$358:$E$407,0)),-SUM(H385:H396))</f>
        <v>0</v>
      </c>
      <c r="I397" s="1460">
        <f>IF('RFM input'!$G$354="Tracked",-1*INDEX('RFM input'!I$358:I$407,MATCH('TAB roll forward'!$C397,'RFM input'!$E$358:$E$407,0)),-SUM(I385:I396))</f>
        <v>0</v>
      </c>
      <c r="J397" s="1460">
        <f>IF(COUNT($H397:I397)&gt;='RFM input'!$V$7,0,IF('RFM input'!$G$354="Tracked",-1*INDEX('RFM input'!J$358:J$407,MATCH('TAB roll forward'!$C397,'RFM input'!$E$358:$E$407,0)),-SUM(J385:J396)))</f>
        <v>0</v>
      </c>
      <c r="K397" s="1460">
        <f>IF(COUNT($H397:J397)&gt;='RFM input'!$V$7,0,IF('RFM input'!$G$354="Tracked",-1*INDEX('RFM input'!K$358:K$407,MATCH('TAB roll forward'!$C397,'RFM input'!$E$358:$E$407,0)),-SUM(K385:K396)))</f>
        <v>0</v>
      </c>
      <c r="L397" s="1460">
        <f>IF(COUNT($H397:K397)&gt;='RFM input'!$V$7,0,IF('RFM input'!$G$354="Tracked",-1*INDEX('RFM input'!L$358:L$407,MATCH('TAB roll forward'!$C397,'RFM input'!$E$358:$E$407,0)),-SUM(L385:L396)))</f>
        <v>0</v>
      </c>
      <c r="M397" s="1460">
        <f>IF(COUNT($H397:L397)&gt;='RFM input'!$V$7,0,IF('RFM input'!$G$354="Tracked",-1*INDEX('RFM input'!M$358:M$407,MATCH('TAB roll forward'!$C397,'RFM input'!$E$358:$E$407,0)),-SUM(M385:M396)))</f>
        <v>0</v>
      </c>
      <c r="N397" s="1460">
        <f>IF(COUNT($H397:M397)&gt;='RFM input'!$V$7,0,IF('RFM input'!$G$354="Tracked",-1*INDEX('RFM input'!N$358:N$407,MATCH('TAB roll forward'!$C397,'RFM input'!$E$358:$E$407,0)),-SUM(N385:N396)))</f>
        <v>0</v>
      </c>
      <c r="O397" s="1460">
        <f>IF(COUNT($H397:N397)&gt;='RFM input'!$V$7,0,IF('RFM input'!$G$354="Tracked",-1*INDEX('RFM input'!O$358:O$407,MATCH('TAB roll forward'!$C397,'RFM input'!$E$358:$E$407,0)),-SUM(O385:O396)))</f>
        <v>0</v>
      </c>
      <c r="P397" s="1460">
        <f>IF(COUNT($H397:O397)&gt;='RFM input'!$V$7,0,IF('RFM input'!$G$354="Tracked",-1*INDEX('RFM input'!P$358:P$407,MATCH('TAB roll forward'!$C397,'RFM input'!$E$358:$E$407,0)),-SUM(P385:P396)))</f>
        <v>0</v>
      </c>
      <c r="Q397" s="1460">
        <f>IF(COUNT($H397:P397)&gt;='RFM input'!$V$7,0,IF('RFM input'!$G$354="Tracked",-1*INDEX('RFM input'!Q$358:Q$407,MATCH('TAB roll forward'!$C397,'RFM input'!$E$358:$E$407,0)),-SUM(Q385:Q396)))</f>
        <v>0</v>
      </c>
      <c r="R397" s="1382"/>
      <c r="S397" s="73"/>
      <c r="T397" s="73"/>
      <c r="U397" s="73"/>
      <c r="V397" s="73"/>
      <c r="W397" s="73"/>
      <c r="X397" s="73"/>
      <c r="Y397" s="73"/>
      <c r="Z397" s="73"/>
      <c r="AA397" s="152"/>
    </row>
    <row r="398" spans="1:27" ht="12.75" hidden="1" customHeight="1" outlineLevel="2">
      <c r="A398" s="3"/>
      <c r="B398" s="135">
        <f>Asset23</f>
        <v>0</v>
      </c>
      <c r="C398" s="19"/>
      <c r="D398" s="234" t="s">
        <v>119</v>
      </c>
      <c r="E398" s="19"/>
      <c r="F398" s="148"/>
      <c r="G398" s="148"/>
      <c r="H398" s="21">
        <f>IF(H$3&gt;A23taxremlife,A23taxvalue-SUM($F398:F398),IF(A23taxremlife="N/A","n/a",A23taxvalue/A23taxremlife))</f>
        <v>0</v>
      </c>
      <c r="I398" s="21">
        <f>IF(I$3&gt;A23taxremlife,A23taxvalue-SUM($F398:H398),IF(A23taxremlife="N/A","n/a",A23taxvalue/A23taxremlife))</f>
        <v>0</v>
      </c>
      <c r="J398" s="21">
        <f>IF(J$3&gt;A23taxremlife,A23taxvalue-SUM($F398:I398),IF(A23taxremlife="N/A","n/a",A23taxvalue/A23taxremlife))</f>
        <v>0</v>
      </c>
      <c r="K398" s="21">
        <f>IF(K$3&gt;A23taxremlife,A23taxvalue-SUM($F398:J398),IF(A23taxremlife="N/A","n/a",A23taxvalue/A23taxremlife))</f>
        <v>0</v>
      </c>
      <c r="L398" s="21">
        <f>IF(L$3&gt;A23taxremlife,A23taxvalue-SUM($F398:K398),IF(A23taxremlife="N/A","n/a",A23taxvalue/A23taxremlife))</f>
        <v>0</v>
      </c>
      <c r="M398" s="21">
        <f>IF(M$3&gt;A23taxremlife,A23taxvalue-SUM($F398:L398),IF(A23taxremlife="N/A","n/a",A23taxvalue/A23taxremlife))</f>
        <v>0</v>
      </c>
      <c r="N398" s="21">
        <f>IF(N$3&gt;A23taxremlife,A23taxvalue-SUM($F398:M398),IF(A23taxremlife="N/A","n/a",A23taxvalue/A23taxremlife))</f>
        <v>0</v>
      </c>
      <c r="O398" s="21">
        <f>IF(O$3&gt;A23taxremlife,A23taxvalue-SUM($F398:N398),IF(A23taxremlife="N/A","n/a",A23taxvalue/A23taxremlife))</f>
        <v>0</v>
      </c>
      <c r="P398" s="21">
        <f>IF(P$3&gt;A23taxremlife,A23taxvalue-SUM($F398:O398),IF(A23taxremlife="N/A","n/a",A23taxvalue/A23taxremlife))</f>
        <v>0</v>
      </c>
      <c r="Q398" s="21">
        <f>IF(Q$3&gt;A23taxremlife,A23taxvalue-SUM($F398:P398),IF(A23taxremlife="N/A","n/a",A23taxvalue/A23taxremlife))</f>
        <v>0</v>
      </c>
      <c r="R398" s="21"/>
      <c r="S398" s="74"/>
      <c r="T398" s="74"/>
      <c r="U398" s="74"/>
      <c r="V398" s="74"/>
      <c r="W398" s="74"/>
      <c r="X398" s="74"/>
      <c r="Y398" s="74"/>
      <c r="Z398" s="74"/>
      <c r="AA398" s="152"/>
    </row>
    <row r="399" spans="1:27" ht="12.75" hidden="1" customHeight="1" outlineLevel="2">
      <c r="A399" s="3"/>
      <c r="B399" s="3"/>
      <c r="C399" s="16"/>
      <c r="D399" s="1593" t="s">
        <v>43</v>
      </c>
      <c r="E399" s="61"/>
      <c r="F399" s="17"/>
      <c r="G399" s="17"/>
      <c r="H399" s="1413"/>
      <c r="I399" s="72"/>
      <c r="J399" s="18"/>
      <c r="K399" s="18"/>
      <c r="L399" s="18"/>
      <c r="M399" s="18"/>
      <c r="N399" s="18"/>
      <c r="O399" s="18"/>
      <c r="P399" s="18"/>
      <c r="Q399" s="18"/>
      <c r="R399" s="18"/>
      <c r="S399" s="74"/>
      <c r="T399" s="74"/>
      <c r="U399" s="74"/>
      <c r="V399" s="74"/>
      <c r="W399" s="74"/>
      <c r="X399" s="74"/>
      <c r="Y399" s="74"/>
      <c r="Z399" s="74"/>
      <c r="AA399" s="152"/>
    </row>
    <row r="400" spans="1:27" ht="12.75" hidden="1" customHeight="1" outlineLevel="2">
      <c r="A400" s="3"/>
      <c r="B400" s="3"/>
      <c r="C400" s="16"/>
      <c r="D400" s="1594"/>
      <c r="E400" s="61">
        <v>1</v>
      </c>
      <c r="F400" s="17"/>
      <c r="G400" s="17"/>
      <c r="H400" s="1414"/>
      <c r="I400" s="1415">
        <f>IF(A23taxstdlife="n/a","n/a",IF(I$3&gt;(A23taxstdlife+$E400),('RFM input'!$H$83-'RFM input'!$H$137)-SUM($H400:H400),('RFM input'!$H$83-'RFM input'!$H$137)/A23taxstdlife))</f>
        <v>0</v>
      </c>
      <c r="J400" s="18">
        <f>IF(A23taxstdlife="n/a","n/a",IF(J$3&gt;(A23taxstdlife+$E400),('RFM input'!$H$83-'RFM input'!$H$137)-SUM($H400:I400),('RFM input'!$H$83-'RFM input'!$H$137)/A23taxstdlife))</f>
        <v>0</v>
      </c>
      <c r="K400" s="18">
        <f>IF(A23taxstdlife="n/a","n/a",IF(K$3&gt;(A23taxstdlife+$E400),('RFM input'!$H$83-'RFM input'!$H$137)-SUM($H400:J400),('RFM input'!$H$83-'RFM input'!$H$137)/A23taxstdlife))</f>
        <v>0</v>
      </c>
      <c r="L400" s="18">
        <f>IF(A23taxstdlife="n/a","n/a",IF(L$3&gt;(A23taxstdlife+$E400),('RFM input'!$H$83-'RFM input'!$H$137)-SUM($H400:K400),('RFM input'!$H$83-'RFM input'!$H$137)/A23taxstdlife))</f>
        <v>0</v>
      </c>
      <c r="M400" s="18">
        <f>IF(A23taxstdlife="n/a","n/a",IF(M$3&gt;(A23taxstdlife+$E400),('RFM input'!$H$83-'RFM input'!$H$137)-SUM($H400:L400),('RFM input'!$H$83-'RFM input'!$H$137)/A23taxstdlife))</f>
        <v>0</v>
      </c>
      <c r="N400" s="18">
        <f>IF(A23taxstdlife="n/a","n/a",IF(N$3&gt;(A23taxstdlife+$E400),('RFM input'!$H$83-'RFM input'!$H$137)-SUM($H400:M400),('RFM input'!$H$83-'RFM input'!$H$137)/A23taxstdlife))</f>
        <v>0</v>
      </c>
      <c r="O400" s="18">
        <f>IF(A23taxstdlife="n/a","n/a",IF(O$3&gt;(A23taxstdlife+$E400),('RFM input'!$H$83-'RFM input'!$H$137)-SUM($H400:N400),('RFM input'!$H$83-'RFM input'!$H$137)/A23taxstdlife))</f>
        <v>0</v>
      </c>
      <c r="P400" s="18">
        <f>IF(A23taxstdlife="n/a","n/a",IF(P$3&gt;(A23taxstdlife+$E400),('RFM input'!$H$83-'RFM input'!$H$137)-SUM($H400:O400),('RFM input'!$H$83-'RFM input'!$H$137)/A23taxstdlife))</f>
        <v>0</v>
      </c>
      <c r="Q400" s="18">
        <f>IF(A23taxstdlife="n/a","n/a",IF(Q$3&gt;(A23taxstdlife+$E400),('RFM input'!$H$83-'RFM input'!$H$137)-SUM($H400:P400),('RFM input'!$H$83-'RFM input'!$H$137)/A23taxstdlife))</f>
        <v>0</v>
      </c>
      <c r="R400" s="18"/>
      <c r="S400" s="74"/>
      <c r="T400" s="74"/>
      <c r="U400" s="74"/>
      <c r="V400" s="74"/>
      <c r="W400" s="74"/>
      <c r="X400" s="74"/>
      <c r="Y400" s="74"/>
      <c r="Z400" s="74"/>
      <c r="AA400" s="152"/>
    </row>
    <row r="401" spans="1:27" ht="12.75" hidden="1" customHeight="1" outlineLevel="2">
      <c r="A401" s="3"/>
      <c r="B401" s="3"/>
      <c r="C401" s="16"/>
      <c r="D401" s="1594"/>
      <c r="E401" s="61">
        <v>2</v>
      </c>
      <c r="F401" s="17"/>
      <c r="G401" s="17"/>
      <c r="H401" s="1414"/>
      <c r="I401" s="1414"/>
      <c r="J401" s="18">
        <f>IF(A23taxstdlife="n/a","n/a",IF(J$3&gt;(A23taxstdlife+$E401),('RFM input'!$I$83-'RFM input'!$I$137)-SUM($I401:I401),('RFM input'!$I$83-'RFM input'!$I$137)/A23taxstdlife))</f>
        <v>0</v>
      </c>
      <c r="K401" s="18">
        <f>IF(A23taxstdlife="n/a","n/a",IF(K$3&gt;(A23taxstdlife+$E401),('RFM input'!$I$83-'RFM input'!$I$137)-SUM($I401:J401),('RFM input'!$I$83-'RFM input'!$I$137)/A23taxstdlife))</f>
        <v>0</v>
      </c>
      <c r="L401" s="18">
        <f>IF(A23taxstdlife="n/a","n/a",IF(L$3&gt;(A23taxstdlife+$E401),('RFM input'!$I$83-'RFM input'!$I$137)-SUM($I401:K401),('RFM input'!$I$83-'RFM input'!$I$137)/A23taxstdlife))</f>
        <v>0</v>
      </c>
      <c r="M401" s="18">
        <f>IF(A23taxstdlife="n/a","n/a",IF(M$3&gt;(A23taxstdlife+$E401),('RFM input'!$I$83-'RFM input'!$I$137)-SUM($I401:L401),('RFM input'!$I$83-'RFM input'!$I$137)/A23taxstdlife))</f>
        <v>0</v>
      </c>
      <c r="N401" s="18">
        <f>IF(A23taxstdlife="n/a","n/a",IF(N$3&gt;(A23taxstdlife+$E401),('RFM input'!$I$83-'RFM input'!$I$137)-SUM($I401:M401),('RFM input'!$I$83-'RFM input'!$I$137)/A23taxstdlife))</f>
        <v>0</v>
      </c>
      <c r="O401" s="18">
        <f>IF(A23taxstdlife="n/a","n/a",IF(O$3&gt;(A23taxstdlife+$E401),('RFM input'!$I$83-'RFM input'!$I$137)-SUM($I401:N401),('RFM input'!$I$83-'RFM input'!$I$137)/A23taxstdlife))</f>
        <v>0</v>
      </c>
      <c r="P401" s="18">
        <f>IF(A23taxstdlife="n/a","n/a",IF(P$3&gt;(A23taxstdlife+$E401),('RFM input'!$I$83-'RFM input'!$I$137)-SUM($I401:O401),('RFM input'!$I$83-'RFM input'!$I$137)/A23taxstdlife))</f>
        <v>0</v>
      </c>
      <c r="Q401" s="18">
        <f>IF(A23taxstdlife="n/a","n/a",IF(Q$3&gt;(A23taxstdlife+$E401),('RFM input'!$I$83-'RFM input'!$I$137)-SUM($I401:P401),('RFM input'!$I$83-'RFM input'!$I$137)/A23taxstdlife))</f>
        <v>0</v>
      </c>
      <c r="R401" s="18"/>
      <c r="S401" s="74"/>
      <c r="T401" s="74"/>
      <c r="U401" s="74"/>
      <c r="V401" s="74"/>
      <c r="W401" s="74"/>
      <c r="X401" s="74"/>
      <c r="Y401" s="74"/>
      <c r="Z401" s="74"/>
      <c r="AA401" s="152"/>
    </row>
    <row r="402" spans="1:27" ht="12.75" hidden="1" customHeight="1" outlineLevel="2">
      <c r="A402" s="3"/>
      <c r="B402" s="3"/>
      <c r="C402" s="16"/>
      <c r="D402" s="1594"/>
      <c r="E402" s="61">
        <v>3</v>
      </c>
      <c r="F402" s="17"/>
      <c r="G402" s="17"/>
      <c r="H402" s="1414"/>
      <c r="I402" s="1414"/>
      <c r="J402" s="116"/>
      <c r="K402" s="18">
        <f>IF(A23taxstdlife="n/a","n/a",IF(K$3&gt;(A23taxstdlife+$E402),('RFM input'!$J$83-'RFM input'!$J$137)-SUM($J402:J402),('RFM input'!$J$83-'RFM input'!$J$137)/A23taxstdlife))</f>
        <v>0</v>
      </c>
      <c r="L402" s="18">
        <f>IF(A23taxstdlife="n/a","n/a",IF(L$3&gt;(A23taxstdlife+$E402),('RFM input'!$J$83-'RFM input'!$J$137)-SUM($J402:K402),('RFM input'!$J$83-'RFM input'!$J$137)/A23taxstdlife))</f>
        <v>0</v>
      </c>
      <c r="M402" s="18">
        <f>IF(A23taxstdlife="n/a","n/a",IF(M$3&gt;(A23taxstdlife+$E402),('RFM input'!$J$83-'RFM input'!$J$137)-SUM($J402:L402),('RFM input'!$J$83-'RFM input'!$J$137)/A23taxstdlife))</f>
        <v>0</v>
      </c>
      <c r="N402" s="18">
        <f>IF(A23taxstdlife="n/a","n/a",IF(N$3&gt;(A23taxstdlife+$E402),('RFM input'!$J$83-'RFM input'!$J$137)-SUM($J402:M402),('RFM input'!$J$83-'RFM input'!$J$137)/A23taxstdlife))</f>
        <v>0</v>
      </c>
      <c r="O402" s="18">
        <f>IF(A23taxstdlife="n/a","n/a",IF(O$3&gt;(A23taxstdlife+$E402),('RFM input'!$J$83-'RFM input'!$J$137)-SUM($J402:N402),('RFM input'!$J$83-'RFM input'!$J$137)/A23taxstdlife))</f>
        <v>0</v>
      </c>
      <c r="P402" s="18">
        <f>IF(A23taxstdlife="n/a","n/a",IF(P$3&gt;(A23taxstdlife+$E402),('RFM input'!$J$83-'RFM input'!$J$137)-SUM($J402:O402),('RFM input'!$J$83-'RFM input'!$J$137)/A23taxstdlife))</f>
        <v>0</v>
      </c>
      <c r="Q402" s="18">
        <f>IF(A23taxstdlife="n/a","n/a",IF(Q$3&gt;(A23taxstdlife+$E402),('RFM input'!$J$83-'RFM input'!$J$137)-SUM($J402:P402),('RFM input'!$J$83-'RFM input'!$J$137)/A23taxstdlife))</f>
        <v>0</v>
      </c>
      <c r="R402" s="18"/>
      <c r="S402" s="74"/>
      <c r="T402" s="74"/>
      <c r="U402" s="74"/>
      <c r="V402" s="74"/>
      <c r="W402" s="74"/>
      <c r="X402" s="74"/>
      <c r="Y402" s="74"/>
      <c r="Z402" s="74"/>
      <c r="AA402" s="152"/>
    </row>
    <row r="403" spans="1:27" ht="12.75" hidden="1" customHeight="1" outlineLevel="2">
      <c r="A403" s="3"/>
      <c r="B403" s="3"/>
      <c r="C403" s="16"/>
      <c r="D403" s="1594"/>
      <c r="E403" s="61">
        <v>4</v>
      </c>
      <c r="F403" s="17"/>
      <c r="G403" s="17"/>
      <c r="H403" s="1414"/>
      <c r="I403" s="1414"/>
      <c r="J403" s="115"/>
      <c r="K403" s="116"/>
      <c r="L403" s="18">
        <f>IF(A23taxstdlife="n/a","n/a",IF(L$3&gt;(A23taxstdlife+$E403),('RFM input'!$K$83-'RFM input'!$K$137)-SUM($K403:K403),('RFM input'!$K$83-'RFM input'!$K$137)/A23taxstdlife))</f>
        <v>0</v>
      </c>
      <c r="M403" s="18">
        <f>IF(A23taxstdlife="n/a","n/a",IF(M$3&gt;(A23taxstdlife+$E403),('RFM input'!$K$83-'RFM input'!$K$137)-SUM($K403:L403),('RFM input'!$K$83-'RFM input'!$K$137)/A23taxstdlife))</f>
        <v>0</v>
      </c>
      <c r="N403" s="18">
        <f>IF(A23taxstdlife="n/a","n/a",IF(N$3&gt;(A23taxstdlife+$E403),('RFM input'!$K$83-'RFM input'!$K$137)-SUM($K403:M403),('RFM input'!$K$83-'RFM input'!$K$137)/A23taxstdlife))</f>
        <v>0</v>
      </c>
      <c r="O403" s="18">
        <f>IF(A23taxstdlife="n/a","n/a",IF(O$3&gt;(A23taxstdlife+$E403),('RFM input'!$K$83-'RFM input'!$K$137)-SUM($K403:N403),('RFM input'!$K$83-'RFM input'!$K$137)/A23taxstdlife))</f>
        <v>0</v>
      </c>
      <c r="P403" s="18">
        <f>IF(A23taxstdlife="n/a","n/a",IF(P$3&gt;(A23taxstdlife+$E403),('RFM input'!$K$83-'RFM input'!$K$137)-SUM($K403:O403),('RFM input'!$K$83-'RFM input'!$K$137)/A23taxstdlife))</f>
        <v>0</v>
      </c>
      <c r="Q403" s="18">
        <f>IF(A23taxstdlife="n/a","n/a",IF(Q$3&gt;(A23taxstdlife+$E403),('RFM input'!$K$83-'RFM input'!$K$137)-SUM($K403:P403),('RFM input'!$K$83-'RFM input'!$K$137)/A23taxstdlife))</f>
        <v>0</v>
      </c>
      <c r="R403" s="18"/>
      <c r="S403" s="74"/>
      <c r="T403" s="74"/>
      <c r="U403" s="74"/>
      <c r="V403" s="74"/>
      <c r="W403" s="74"/>
      <c r="X403" s="74"/>
      <c r="Y403" s="74"/>
      <c r="Z403" s="74"/>
      <c r="AA403" s="152"/>
    </row>
    <row r="404" spans="1:27" ht="12.75" hidden="1" customHeight="1" outlineLevel="2">
      <c r="A404" s="3"/>
      <c r="B404" s="3"/>
      <c r="C404" s="16"/>
      <c r="D404" s="1594"/>
      <c r="E404" s="61">
        <v>5</v>
      </c>
      <c r="F404" s="17"/>
      <c r="G404" s="17"/>
      <c r="H404" s="1414"/>
      <c r="I404" s="1414"/>
      <c r="J404" s="115"/>
      <c r="K404" s="115"/>
      <c r="L404" s="116"/>
      <c r="M404" s="18">
        <f>IF(A23taxstdlife="n/a","n/a",IF(M$3&gt;(A23taxstdlife+$E404),('RFM input'!$L$83-'RFM input'!$L$137)-SUM($L404:L404),('RFM input'!$L$83-'RFM input'!$L$137)/A23taxstdlife))</f>
        <v>0</v>
      </c>
      <c r="N404" s="18">
        <f>IF(A23taxstdlife="n/a","n/a",IF(N$3&gt;(A23taxstdlife+$E404),('RFM input'!$L$83-'RFM input'!$L$137)-SUM($L404:M404),('RFM input'!$L$83-'RFM input'!$L$137)/A23taxstdlife))</f>
        <v>0</v>
      </c>
      <c r="O404" s="18">
        <f>IF(A23taxstdlife="n/a","n/a",IF(O$3&gt;(A23taxstdlife+$E404),('RFM input'!$L$83-'RFM input'!$L$137)-SUM($L404:N404),('RFM input'!$L$83-'RFM input'!$L$137)/A23taxstdlife))</f>
        <v>0</v>
      </c>
      <c r="P404" s="18">
        <f>IF(A23taxstdlife="n/a","n/a",IF(P$3&gt;(A23taxstdlife+$E404),('RFM input'!$L$83-'RFM input'!$L$137)-SUM($L404:O404),('RFM input'!$L$83-'RFM input'!$L$137)/A23taxstdlife))</f>
        <v>0</v>
      </c>
      <c r="Q404" s="18">
        <f>IF(A23taxstdlife="n/a","n/a",IF(Q$3&gt;(A23taxstdlife+$E404),('RFM input'!$L$83-'RFM input'!$L$137)-SUM($L404:P404),('RFM input'!$L$83-'RFM input'!$L$137)/A23taxstdlife))</f>
        <v>0</v>
      </c>
      <c r="R404" s="18"/>
      <c r="S404" s="74"/>
      <c r="T404" s="74"/>
      <c r="U404" s="74"/>
      <c r="V404" s="74"/>
      <c r="W404" s="74"/>
      <c r="X404" s="74"/>
      <c r="Y404" s="74"/>
      <c r="Z404" s="74"/>
      <c r="AA404" s="152"/>
    </row>
    <row r="405" spans="1:27" ht="12.75" hidden="1" customHeight="1" outlineLevel="2">
      <c r="A405" s="3"/>
      <c r="B405" s="3"/>
      <c r="C405" s="16"/>
      <c r="D405" s="1594"/>
      <c r="E405" s="61">
        <v>6</v>
      </c>
      <c r="F405" s="17"/>
      <c r="G405" s="17"/>
      <c r="H405" s="1414"/>
      <c r="I405" s="1414"/>
      <c r="J405" s="115"/>
      <c r="K405" s="115"/>
      <c r="L405" s="115"/>
      <c r="M405" s="116"/>
      <c r="N405" s="18">
        <f>IF(A23taxstdlife="n/a","n/a",IF(N$3&gt;(A23taxstdlife+$E405),('RFM input'!$M$83-'RFM input'!$M$137)-SUM($M405:M405),('RFM input'!$M$83-'RFM input'!$M$137)/A23taxstdlife))</f>
        <v>0</v>
      </c>
      <c r="O405" s="18">
        <f>IF(A23taxstdlife="n/a","n/a",IF(O$3&gt;(A23taxstdlife+$E405),('RFM input'!$M$83-'RFM input'!$M$137)-SUM($M405:N405),('RFM input'!$M$83-'RFM input'!$M$137)/A23taxstdlife))</f>
        <v>0</v>
      </c>
      <c r="P405" s="18">
        <f>IF(A23taxstdlife="n/a","n/a",IF(P$3&gt;(A23taxstdlife+$E405),('RFM input'!$M$83-'RFM input'!$M$137)-SUM($M405:O405),('RFM input'!$M$83-'RFM input'!$M$137)/A23taxstdlife))</f>
        <v>0</v>
      </c>
      <c r="Q405" s="18">
        <f>IF(A23taxstdlife="n/a","n/a",IF(Q$3&gt;(A23taxstdlife+$E405),('RFM input'!$M$83-'RFM input'!$M$137)-SUM($M405:P405),('RFM input'!$M$83-'RFM input'!$M$137)/A23taxstdlife))</f>
        <v>0</v>
      </c>
      <c r="R405" s="18"/>
      <c r="S405" s="74"/>
      <c r="T405" s="74"/>
      <c r="U405" s="74"/>
      <c r="V405" s="74"/>
      <c r="W405" s="74"/>
      <c r="X405" s="74"/>
      <c r="Y405" s="74"/>
      <c r="Z405" s="74"/>
      <c r="AA405" s="152"/>
    </row>
    <row r="406" spans="1:27" ht="12.75" hidden="1" customHeight="1" outlineLevel="2">
      <c r="A406" s="3"/>
      <c r="B406" s="3"/>
      <c r="C406" s="16"/>
      <c r="D406" s="1594"/>
      <c r="E406" s="61">
        <v>7</v>
      </c>
      <c r="F406" s="17"/>
      <c r="G406" s="17"/>
      <c r="H406" s="1414"/>
      <c r="I406" s="1414"/>
      <c r="J406" s="115"/>
      <c r="K406" s="115"/>
      <c r="L406" s="115"/>
      <c r="M406" s="115"/>
      <c r="N406" s="116"/>
      <c r="O406" s="18">
        <f>IF(A23taxstdlife="n/a","n/a",IF(O$3&gt;(A23taxstdlife+$E406),('RFM input'!$N$83-'RFM input'!$N$137)-SUM($N406:N406),('RFM input'!$N$83-'RFM input'!$N$137)/A23taxstdlife))</f>
        <v>0</v>
      </c>
      <c r="P406" s="18">
        <f>IF(A23taxstdlife="n/a","n/a",IF(P$3&gt;(A23taxstdlife+$E406),('RFM input'!$N$83-'RFM input'!$N$137)-SUM($N406:O406),('RFM input'!$N$83-'RFM input'!$N$137)/A23taxstdlife))</f>
        <v>0</v>
      </c>
      <c r="Q406" s="18">
        <f>IF(A23taxstdlife="n/a","n/a",IF(Q$3&gt;(A23taxstdlife+$E406),('RFM input'!$N$83-'RFM input'!$N$137)-SUM($N406:P406),('RFM input'!$N$83-'RFM input'!$N$137)/A23taxstdlife))</f>
        <v>0</v>
      </c>
      <c r="R406" s="18"/>
      <c r="S406" s="74"/>
      <c r="T406" s="74"/>
      <c r="U406" s="74"/>
      <c r="V406" s="74"/>
      <c r="W406" s="74"/>
      <c r="X406" s="74"/>
      <c r="Y406" s="74"/>
      <c r="Z406" s="74"/>
      <c r="AA406" s="152"/>
    </row>
    <row r="407" spans="1:27" ht="12.75" hidden="1" customHeight="1" outlineLevel="2">
      <c r="A407" s="3"/>
      <c r="B407" s="3"/>
      <c r="C407" s="16"/>
      <c r="D407" s="1594"/>
      <c r="E407" s="61">
        <v>8</v>
      </c>
      <c r="F407" s="17"/>
      <c r="G407" s="17"/>
      <c r="H407" s="1414"/>
      <c r="I407" s="1414"/>
      <c r="J407" s="115"/>
      <c r="K407" s="115"/>
      <c r="L407" s="115"/>
      <c r="M407" s="115"/>
      <c r="N407" s="115"/>
      <c r="O407" s="116"/>
      <c r="P407" s="18">
        <f>IF(A23taxstdlife="n/a","n/a",IF(P$3&gt;(A23taxstdlife+$E407),('RFM input'!$O$83-'RFM input'!$O$137)-SUM($O407:O407),('RFM input'!$O$83-'RFM input'!$O$137)/A23taxstdlife))</f>
        <v>0</v>
      </c>
      <c r="Q407" s="18">
        <f>IF(A23taxstdlife="n/a","n/a",IF(Q$3&gt;(A23taxstdlife+$E407),('RFM input'!$O$83-'RFM input'!$O$137)-SUM($O407:P407),('RFM input'!$O$83-'RFM input'!$O$137)/A23taxstdlife))</f>
        <v>0</v>
      </c>
      <c r="R407" s="18"/>
      <c r="S407" s="74"/>
      <c r="T407" s="74"/>
      <c r="U407" s="74"/>
      <c r="V407" s="74"/>
      <c r="W407" s="74"/>
      <c r="X407" s="74"/>
      <c r="Y407" s="74"/>
      <c r="Z407" s="74"/>
      <c r="AA407" s="152"/>
    </row>
    <row r="408" spans="1:27" ht="12.75" hidden="1" customHeight="1" outlineLevel="2">
      <c r="A408" s="3"/>
      <c r="B408" s="3"/>
      <c r="C408" s="16"/>
      <c r="D408" s="1594"/>
      <c r="E408" s="61">
        <v>9</v>
      </c>
      <c r="F408" s="17"/>
      <c r="G408" s="17"/>
      <c r="H408" s="1414"/>
      <c r="I408" s="1414"/>
      <c r="J408" s="115"/>
      <c r="K408" s="115"/>
      <c r="L408" s="115"/>
      <c r="M408" s="115"/>
      <c r="N408" s="115"/>
      <c r="O408" s="115"/>
      <c r="P408" s="116"/>
      <c r="Q408" s="18">
        <f>IF(A23taxstdlife="n/a","n/a",IF(Q$3&gt;(A23taxstdlife+$E408),('RFM input'!$P$83-'RFM input'!$P$137)-SUM($P408:P408),('RFM input'!$P$83-'RFM input'!$P$137)/A23taxstdlife))</f>
        <v>0</v>
      </c>
      <c r="R408" s="18"/>
      <c r="S408" s="74"/>
      <c r="T408" s="74"/>
      <c r="U408" s="74"/>
      <c r="V408" s="74"/>
      <c r="W408" s="74"/>
      <c r="X408" s="74"/>
      <c r="Y408" s="74"/>
      <c r="Z408" s="74"/>
      <c r="AA408" s="152"/>
    </row>
    <row r="409" spans="1:27" ht="12.75" hidden="1" customHeight="1" outlineLevel="2">
      <c r="A409" s="3"/>
      <c r="B409" s="3"/>
      <c r="C409" s="16"/>
      <c r="D409" s="1594"/>
      <c r="E409" s="62">
        <v>10</v>
      </c>
      <c r="F409" s="17"/>
      <c r="G409" s="17"/>
      <c r="H409" s="1414"/>
      <c r="I409" s="1414"/>
      <c r="J409" s="115"/>
      <c r="K409" s="115"/>
      <c r="L409" s="115"/>
      <c r="M409" s="115"/>
      <c r="N409" s="115"/>
      <c r="O409" s="115"/>
      <c r="P409" s="115"/>
      <c r="Q409" s="116"/>
      <c r="R409" s="18"/>
      <c r="S409" s="74"/>
      <c r="T409" s="74"/>
      <c r="U409" s="74"/>
      <c r="V409" s="74"/>
      <c r="W409" s="74"/>
      <c r="X409" s="74"/>
      <c r="Y409" s="74"/>
      <c r="Z409" s="74"/>
      <c r="AA409" s="152"/>
    </row>
    <row r="410" spans="1:27" hidden="1" outlineLevel="1">
      <c r="A410" s="3"/>
      <c r="B410" s="3"/>
      <c r="C410" s="134">
        <f>Asset23</f>
        <v>0</v>
      </c>
      <c r="D410" s="3"/>
      <c r="E410" s="3"/>
      <c r="F410" s="14"/>
      <c r="G410" s="14"/>
      <c r="H410" s="1460">
        <f>IF('RFM input'!$G$354="Tracked",-1*INDEX('RFM input'!H$358:H$407,MATCH('TAB roll forward'!$C410,'RFM input'!$E$358:$E$407,0)),-SUM(H398:H409))</f>
        <v>0</v>
      </c>
      <c r="I410" s="1460">
        <f>IF('RFM input'!$G$354="Tracked",-1*INDEX('RFM input'!I$358:I$407,MATCH('TAB roll forward'!$C410,'RFM input'!$E$358:$E$407,0)),-SUM(I398:I409))</f>
        <v>0</v>
      </c>
      <c r="J410" s="1460">
        <f>IF(COUNT($H410:I410)&gt;='RFM input'!$V$7,0,IF('RFM input'!$G$354="Tracked",-1*INDEX('RFM input'!J$358:J$407,MATCH('TAB roll forward'!$C410,'RFM input'!$E$358:$E$407,0)),-SUM(J398:J409)))</f>
        <v>0</v>
      </c>
      <c r="K410" s="1460">
        <f>IF(COUNT($H410:J410)&gt;='RFM input'!$V$7,0,IF('RFM input'!$G$354="Tracked",-1*INDEX('RFM input'!K$358:K$407,MATCH('TAB roll forward'!$C410,'RFM input'!$E$358:$E$407,0)),-SUM(K398:K409)))</f>
        <v>0</v>
      </c>
      <c r="L410" s="1460">
        <f>IF(COUNT($H410:K410)&gt;='RFM input'!$V$7,0,IF('RFM input'!$G$354="Tracked",-1*INDEX('RFM input'!L$358:L$407,MATCH('TAB roll forward'!$C410,'RFM input'!$E$358:$E$407,0)),-SUM(L398:L409)))</f>
        <v>0</v>
      </c>
      <c r="M410" s="1460">
        <f>IF(COUNT($H410:L410)&gt;='RFM input'!$V$7,0,IF('RFM input'!$G$354="Tracked",-1*INDEX('RFM input'!M$358:M$407,MATCH('TAB roll forward'!$C410,'RFM input'!$E$358:$E$407,0)),-SUM(M398:M409)))</f>
        <v>0</v>
      </c>
      <c r="N410" s="1460">
        <f>IF(COUNT($H410:M410)&gt;='RFM input'!$V$7,0,IF('RFM input'!$G$354="Tracked",-1*INDEX('RFM input'!N$358:N$407,MATCH('TAB roll forward'!$C410,'RFM input'!$E$358:$E$407,0)),-SUM(N398:N409)))</f>
        <v>0</v>
      </c>
      <c r="O410" s="1460">
        <f>IF(COUNT($H410:N410)&gt;='RFM input'!$V$7,0,IF('RFM input'!$G$354="Tracked",-1*INDEX('RFM input'!O$358:O$407,MATCH('TAB roll forward'!$C410,'RFM input'!$E$358:$E$407,0)),-SUM(O398:O409)))</f>
        <v>0</v>
      </c>
      <c r="P410" s="1460">
        <f>IF(COUNT($H410:O410)&gt;='RFM input'!$V$7,0,IF('RFM input'!$G$354="Tracked",-1*INDEX('RFM input'!P$358:P$407,MATCH('TAB roll forward'!$C410,'RFM input'!$E$358:$E$407,0)),-SUM(P398:P409)))</f>
        <v>0</v>
      </c>
      <c r="Q410" s="1460">
        <f>IF(COUNT($H410:P410)&gt;='RFM input'!$V$7,0,IF('RFM input'!$G$354="Tracked",-1*INDEX('RFM input'!Q$358:Q$407,MATCH('TAB roll forward'!$C410,'RFM input'!$E$358:$E$407,0)),-SUM(Q398:Q409)))</f>
        <v>0</v>
      </c>
      <c r="R410" s="1382"/>
      <c r="S410" s="73"/>
      <c r="T410" s="73"/>
      <c r="U410" s="73"/>
      <c r="V410" s="73"/>
      <c r="W410" s="73"/>
      <c r="X410" s="73"/>
      <c r="Y410" s="73"/>
      <c r="Z410" s="73"/>
      <c r="AA410" s="152"/>
    </row>
    <row r="411" spans="1:27" ht="12.75" hidden="1" customHeight="1" outlineLevel="2">
      <c r="A411" s="3"/>
      <c r="B411" s="135">
        <f>Asset24</f>
        <v>0</v>
      </c>
      <c r="C411" s="19"/>
      <c r="D411" s="234" t="s">
        <v>119</v>
      </c>
      <c r="E411" s="19"/>
      <c r="F411" s="148"/>
      <c r="G411" s="148"/>
      <c r="H411" s="21">
        <f>IF(H$3&gt;A24taxremlife,A24taxvalue-SUM($F411:F411),IF(A24taxremlife="N/A","n/a",A24taxvalue/A24taxremlife))</f>
        <v>0</v>
      </c>
      <c r="I411" s="21">
        <f>IF(I$3&gt;A24taxremlife,A24taxvalue-SUM($F411:H411),IF(A24taxremlife="N/A","n/a",A24taxvalue/A24taxremlife))</f>
        <v>0</v>
      </c>
      <c r="J411" s="21">
        <f>IF(J$3&gt;A24taxremlife,A24taxvalue-SUM($F411:I411),IF(A24taxremlife="N/A","n/a",A24taxvalue/A24taxremlife))</f>
        <v>0</v>
      </c>
      <c r="K411" s="21">
        <f>IF(K$3&gt;A24taxremlife,A24taxvalue-SUM($F411:J411),IF(A24taxremlife="N/A","n/a",A24taxvalue/A24taxremlife))</f>
        <v>0</v>
      </c>
      <c r="L411" s="21">
        <f>IF(L$3&gt;A24taxremlife,A24taxvalue-SUM($F411:K411),IF(A24taxremlife="N/A","n/a",A24taxvalue/A24taxremlife))</f>
        <v>0</v>
      </c>
      <c r="M411" s="21">
        <f>IF(M$3&gt;A24taxremlife,A24taxvalue-SUM($F411:L411),IF(A24taxremlife="N/A","n/a",A24taxvalue/A24taxremlife))</f>
        <v>0</v>
      </c>
      <c r="N411" s="21">
        <f>IF(N$3&gt;A24taxremlife,A24taxvalue-SUM($F411:M411),IF(A24taxremlife="N/A","n/a",A24taxvalue/A24taxremlife))</f>
        <v>0</v>
      </c>
      <c r="O411" s="21">
        <f>IF(O$3&gt;A24taxremlife,A24taxvalue-SUM($F411:N411),IF(A24taxremlife="N/A","n/a",A24taxvalue/A24taxremlife))</f>
        <v>0</v>
      </c>
      <c r="P411" s="21">
        <f>IF(P$3&gt;A24taxremlife,A24taxvalue-SUM($F411:O411),IF(A24taxremlife="N/A","n/a",A24taxvalue/A24taxremlife))</f>
        <v>0</v>
      </c>
      <c r="Q411" s="21">
        <f>IF(Q$3&gt;A24taxremlife,A24taxvalue-SUM($F411:P411),IF(A24taxremlife="N/A","n/a",A24taxvalue/A24taxremlife))</f>
        <v>0</v>
      </c>
      <c r="R411" s="21"/>
      <c r="S411" s="74"/>
      <c r="T411" s="74"/>
      <c r="U411" s="74"/>
      <c r="V411" s="74"/>
      <c r="W411" s="74"/>
      <c r="X411" s="74"/>
      <c r="Y411" s="74"/>
      <c r="Z411" s="74"/>
      <c r="AA411" s="152"/>
    </row>
    <row r="412" spans="1:27" ht="12.75" hidden="1" customHeight="1" outlineLevel="2">
      <c r="A412" s="3"/>
      <c r="B412" s="3"/>
      <c r="C412" s="16"/>
      <c r="D412" s="1593" t="s">
        <v>43</v>
      </c>
      <c r="E412" s="61"/>
      <c r="F412" s="17"/>
      <c r="G412" s="17"/>
      <c r="H412" s="1413"/>
      <c r="I412" s="72"/>
      <c r="J412" s="18"/>
      <c r="K412" s="18"/>
      <c r="L412" s="18"/>
      <c r="M412" s="18"/>
      <c r="N412" s="18"/>
      <c r="O412" s="18"/>
      <c r="P412" s="18"/>
      <c r="Q412" s="18"/>
      <c r="R412" s="18"/>
      <c r="S412" s="74"/>
      <c r="T412" s="74"/>
      <c r="U412" s="74"/>
      <c r="V412" s="74"/>
      <c r="W412" s="74"/>
      <c r="X412" s="74"/>
      <c r="Y412" s="74"/>
      <c r="Z412" s="74"/>
      <c r="AA412" s="152"/>
    </row>
    <row r="413" spans="1:27" ht="12.75" hidden="1" customHeight="1" outlineLevel="2">
      <c r="A413" s="3"/>
      <c r="B413" s="3"/>
      <c r="C413" s="16"/>
      <c r="D413" s="1594"/>
      <c r="E413" s="61">
        <v>1</v>
      </c>
      <c r="F413" s="17"/>
      <c r="G413" s="17"/>
      <c r="H413" s="1414"/>
      <c r="I413" s="1415">
        <f>IF(A24taxstdlife="n/a","n/a",IF(I$3&gt;(A24taxstdlife+$E413),('RFM input'!$H$84-'RFM input'!$H$138)-SUM($H413:H413),('RFM input'!$H$84-'RFM input'!$H$138)/A24taxstdlife))</f>
        <v>0</v>
      </c>
      <c r="J413" s="18">
        <f>IF(A24taxstdlife="n/a","n/a",IF(J$3&gt;(A24taxstdlife+$E413),('RFM input'!$H$84-'RFM input'!$H$138)-SUM($H413:I413),('RFM input'!$H$84-'RFM input'!$H$138)/A24taxstdlife))</f>
        <v>0</v>
      </c>
      <c r="K413" s="18">
        <f>IF(A24taxstdlife="n/a","n/a",IF(K$3&gt;(A24taxstdlife+$E413),('RFM input'!$H$84-'RFM input'!$H$138)-SUM($H413:J413),('RFM input'!$H$84-'RFM input'!$H$138)/A24taxstdlife))</f>
        <v>0</v>
      </c>
      <c r="L413" s="18">
        <f>IF(A24taxstdlife="n/a","n/a",IF(L$3&gt;(A24taxstdlife+$E413),('RFM input'!$H$84-'RFM input'!$H$138)-SUM($H413:K413),('RFM input'!$H$84-'RFM input'!$H$138)/A24taxstdlife))</f>
        <v>0</v>
      </c>
      <c r="M413" s="18">
        <f>IF(A24taxstdlife="n/a","n/a",IF(M$3&gt;(A24taxstdlife+$E413),('RFM input'!$H$84-'RFM input'!$H$138)-SUM($H413:L413),('RFM input'!$H$84-'RFM input'!$H$138)/A24taxstdlife))</f>
        <v>0</v>
      </c>
      <c r="N413" s="18">
        <f>IF(A24taxstdlife="n/a","n/a",IF(N$3&gt;(A24taxstdlife+$E413),('RFM input'!$H$84-'RFM input'!$H$138)-SUM($H413:M413),('RFM input'!$H$84-'RFM input'!$H$138)/A24taxstdlife))</f>
        <v>0</v>
      </c>
      <c r="O413" s="18">
        <f>IF(A24taxstdlife="n/a","n/a",IF(O$3&gt;(A24taxstdlife+$E413),('RFM input'!$H$84-'RFM input'!$H$138)-SUM($H413:N413),('RFM input'!$H$84-'RFM input'!$H$138)/A24taxstdlife))</f>
        <v>0</v>
      </c>
      <c r="P413" s="18">
        <f>IF(A24taxstdlife="n/a","n/a",IF(P$3&gt;(A24taxstdlife+$E413),('RFM input'!$H$84-'RFM input'!$H$138)-SUM($H413:O413),('RFM input'!$H$84-'RFM input'!$H$138)/A24taxstdlife))</f>
        <v>0</v>
      </c>
      <c r="Q413" s="18">
        <f>IF(A24taxstdlife="n/a","n/a",IF(Q$3&gt;(A24taxstdlife+$E413),('RFM input'!$H$84-'RFM input'!$H$138)-SUM($H413:P413),('RFM input'!$H$84-'RFM input'!$H$138)/A24taxstdlife))</f>
        <v>0</v>
      </c>
      <c r="R413" s="18"/>
      <c r="S413" s="74"/>
      <c r="T413" s="74"/>
      <c r="U413" s="74"/>
      <c r="V413" s="74"/>
      <c r="W413" s="74"/>
      <c r="X413" s="74"/>
      <c r="Y413" s="74"/>
      <c r="Z413" s="74"/>
      <c r="AA413" s="152"/>
    </row>
    <row r="414" spans="1:27" ht="12.75" hidden="1" customHeight="1" outlineLevel="2">
      <c r="A414" s="3"/>
      <c r="B414" s="3"/>
      <c r="C414" s="16"/>
      <c r="D414" s="1594"/>
      <c r="E414" s="61">
        <v>2</v>
      </c>
      <c r="F414" s="17"/>
      <c r="G414" s="17"/>
      <c r="H414" s="1414"/>
      <c r="I414" s="1414"/>
      <c r="J414" s="18">
        <f>IF(A24taxstdlife="n/a","n/a",IF(J$3&gt;(A24taxstdlife+$E414),('RFM input'!$I$84-'RFM input'!$I$138)-SUM($I414:I414),('RFM input'!$I$84-'RFM input'!$I$138)/A24taxstdlife))</f>
        <v>0</v>
      </c>
      <c r="K414" s="18">
        <f>IF(A24taxstdlife="n/a","n/a",IF(K$3&gt;(A24taxstdlife+$E414),('RFM input'!$I$84-'RFM input'!$I$138)-SUM($I414:J414),('RFM input'!$I$84-'RFM input'!$I$138)/A24taxstdlife))</f>
        <v>0</v>
      </c>
      <c r="L414" s="18">
        <f>IF(A24taxstdlife="n/a","n/a",IF(L$3&gt;(A24taxstdlife+$E414),('RFM input'!$I$84-'RFM input'!$I$138)-SUM($I414:K414),('RFM input'!$I$84-'RFM input'!$I$138)/A24taxstdlife))</f>
        <v>0</v>
      </c>
      <c r="M414" s="18">
        <f>IF(A24taxstdlife="n/a","n/a",IF(M$3&gt;(A24taxstdlife+$E414),('RFM input'!$I$84-'RFM input'!$I$138)-SUM($I414:L414),('RFM input'!$I$84-'RFM input'!$I$138)/A24taxstdlife))</f>
        <v>0</v>
      </c>
      <c r="N414" s="18">
        <f>IF(A24taxstdlife="n/a","n/a",IF(N$3&gt;(A24taxstdlife+$E414),('RFM input'!$I$84-'RFM input'!$I$138)-SUM($I414:M414),('RFM input'!$I$84-'RFM input'!$I$138)/A24taxstdlife))</f>
        <v>0</v>
      </c>
      <c r="O414" s="18">
        <f>IF(A24taxstdlife="n/a","n/a",IF(O$3&gt;(A24taxstdlife+$E414),('RFM input'!$I$84-'RFM input'!$I$138)-SUM($I414:N414),('RFM input'!$I$84-'RFM input'!$I$138)/A24taxstdlife))</f>
        <v>0</v>
      </c>
      <c r="P414" s="18">
        <f>IF(A24taxstdlife="n/a","n/a",IF(P$3&gt;(A24taxstdlife+$E414),('RFM input'!$I$84-'RFM input'!$I$138)-SUM($I414:O414),('RFM input'!$I$84-'RFM input'!$I$138)/A24taxstdlife))</f>
        <v>0</v>
      </c>
      <c r="Q414" s="18">
        <f>IF(A24taxstdlife="n/a","n/a",IF(Q$3&gt;(A24taxstdlife+$E414),('RFM input'!$I$84-'RFM input'!$I$138)-SUM($I414:P414),('RFM input'!$I$84-'RFM input'!$I$138)/A24taxstdlife))</f>
        <v>0</v>
      </c>
      <c r="R414" s="18"/>
      <c r="S414" s="74"/>
      <c r="T414" s="74"/>
      <c r="U414" s="74"/>
      <c r="V414" s="74"/>
      <c r="W414" s="74"/>
      <c r="X414" s="74"/>
      <c r="Y414" s="74"/>
      <c r="Z414" s="74"/>
      <c r="AA414" s="152"/>
    </row>
    <row r="415" spans="1:27" ht="12.75" hidden="1" customHeight="1" outlineLevel="2">
      <c r="A415" s="3"/>
      <c r="B415" s="3"/>
      <c r="C415" s="16"/>
      <c r="D415" s="1594"/>
      <c r="E415" s="61">
        <v>3</v>
      </c>
      <c r="F415" s="17"/>
      <c r="G415" s="17"/>
      <c r="H415" s="1414"/>
      <c r="I415" s="1414"/>
      <c r="J415" s="116"/>
      <c r="K415" s="18">
        <f>IF(A24taxstdlife="n/a","n/a",IF(K$3&gt;(A24taxstdlife+$E415),('RFM input'!$J$84-'RFM input'!$J$138)-SUM($J415:J415),('RFM input'!$J$84-'RFM input'!$J$138)/A24taxstdlife))</f>
        <v>0</v>
      </c>
      <c r="L415" s="18">
        <f>IF(A24taxstdlife="n/a","n/a",IF(L$3&gt;(A24taxstdlife+$E415),('RFM input'!$J$84-'RFM input'!$J$138)-SUM($J415:K415),('RFM input'!$J$84-'RFM input'!$J$138)/A24taxstdlife))</f>
        <v>0</v>
      </c>
      <c r="M415" s="18">
        <f>IF(A24taxstdlife="n/a","n/a",IF(M$3&gt;(A24taxstdlife+$E415),('RFM input'!$J$84-'RFM input'!$J$138)-SUM($J415:L415),('RFM input'!$J$84-'RFM input'!$J$138)/A24taxstdlife))</f>
        <v>0</v>
      </c>
      <c r="N415" s="18">
        <f>IF(A24taxstdlife="n/a","n/a",IF(N$3&gt;(A24taxstdlife+$E415),('RFM input'!$J$84-'RFM input'!$J$138)-SUM($J415:M415),('RFM input'!$J$84-'RFM input'!$J$138)/A24taxstdlife))</f>
        <v>0</v>
      </c>
      <c r="O415" s="18">
        <f>IF(A24taxstdlife="n/a","n/a",IF(O$3&gt;(A24taxstdlife+$E415),('RFM input'!$J$84-'RFM input'!$J$138)-SUM($J415:N415),('RFM input'!$J$84-'RFM input'!$J$138)/A24taxstdlife))</f>
        <v>0</v>
      </c>
      <c r="P415" s="18">
        <f>IF(A24taxstdlife="n/a","n/a",IF(P$3&gt;(A24taxstdlife+$E415),('RFM input'!$J$84-'RFM input'!$J$138)-SUM($J415:O415),('RFM input'!$J$84-'RFM input'!$J$138)/A24taxstdlife))</f>
        <v>0</v>
      </c>
      <c r="Q415" s="18">
        <f>IF(A24taxstdlife="n/a","n/a",IF(Q$3&gt;(A24taxstdlife+$E415),('RFM input'!$J$84-'RFM input'!$J$138)-SUM($J415:P415),('RFM input'!$J$84-'RFM input'!$J$138)/A24taxstdlife))</f>
        <v>0</v>
      </c>
      <c r="R415" s="18"/>
      <c r="S415" s="74"/>
      <c r="T415" s="74"/>
      <c r="U415" s="74"/>
      <c r="V415" s="74"/>
      <c r="W415" s="74"/>
      <c r="X415" s="74"/>
      <c r="Y415" s="74"/>
      <c r="Z415" s="74"/>
      <c r="AA415" s="152"/>
    </row>
    <row r="416" spans="1:27" ht="12.75" hidden="1" customHeight="1" outlineLevel="2">
      <c r="A416" s="3"/>
      <c r="B416" s="3"/>
      <c r="C416" s="16"/>
      <c r="D416" s="1594"/>
      <c r="E416" s="61">
        <v>4</v>
      </c>
      <c r="F416" s="17"/>
      <c r="G416" s="17"/>
      <c r="H416" s="1414"/>
      <c r="I416" s="1414"/>
      <c r="J416" s="115"/>
      <c r="K416" s="116"/>
      <c r="L416" s="18">
        <f>IF(A24taxstdlife="n/a","n/a",IF(L$3&gt;(A24taxstdlife+$E416),('RFM input'!$K$84-'RFM input'!$K$138)-SUM($K416:K416),('RFM input'!$K$84-'RFM input'!$K$138)/A24taxstdlife))</f>
        <v>0</v>
      </c>
      <c r="M416" s="18">
        <f>IF(A24taxstdlife="n/a","n/a",IF(M$3&gt;(A24taxstdlife+$E416),('RFM input'!$K$84-'RFM input'!$K$138)-SUM($K416:L416),('RFM input'!$K$84-'RFM input'!$K$138)/A24taxstdlife))</f>
        <v>0</v>
      </c>
      <c r="N416" s="18">
        <f>IF(A24taxstdlife="n/a","n/a",IF(N$3&gt;(A24taxstdlife+$E416),('RFM input'!$K$84-'RFM input'!$K$138)-SUM($K416:M416),('RFM input'!$K$84-'RFM input'!$K$138)/A24taxstdlife))</f>
        <v>0</v>
      </c>
      <c r="O416" s="18">
        <f>IF(A24taxstdlife="n/a","n/a",IF(O$3&gt;(A24taxstdlife+$E416),('RFM input'!$K$84-'RFM input'!$K$138)-SUM($K416:N416),('RFM input'!$K$84-'RFM input'!$K$138)/A24taxstdlife))</f>
        <v>0</v>
      </c>
      <c r="P416" s="18">
        <f>IF(A24taxstdlife="n/a","n/a",IF(P$3&gt;(A24taxstdlife+$E416),('RFM input'!$K$84-'RFM input'!$K$138)-SUM($K416:O416),('RFM input'!$K$84-'RFM input'!$K$138)/A24taxstdlife))</f>
        <v>0</v>
      </c>
      <c r="Q416" s="18">
        <f>IF(A24taxstdlife="n/a","n/a",IF(Q$3&gt;(A24taxstdlife+$E416),('RFM input'!$K$84-'RFM input'!$K$138)-SUM($K416:P416),('RFM input'!$K$84-'RFM input'!$K$138)/A24taxstdlife))</f>
        <v>0</v>
      </c>
      <c r="R416" s="18"/>
      <c r="S416" s="74"/>
      <c r="T416" s="74"/>
      <c r="U416" s="74"/>
      <c r="V416" s="74"/>
      <c r="W416" s="74"/>
      <c r="X416" s="74"/>
      <c r="Y416" s="74"/>
      <c r="Z416" s="74"/>
      <c r="AA416" s="152"/>
    </row>
    <row r="417" spans="1:27" ht="12.75" hidden="1" customHeight="1" outlineLevel="2">
      <c r="A417" s="3"/>
      <c r="B417" s="3"/>
      <c r="C417" s="16"/>
      <c r="D417" s="1594"/>
      <c r="E417" s="61">
        <v>5</v>
      </c>
      <c r="F417" s="17"/>
      <c r="G417" s="17"/>
      <c r="H417" s="1414"/>
      <c r="I417" s="1414"/>
      <c r="J417" s="115"/>
      <c r="K417" s="115"/>
      <c r="L417" s="116"/>
      <c r="M417" s="18">
        <f>IF(A24taxstdlife="n/a","n/a",IF(M$3&gt;(A24taxstdlife+$E417),('RFM input'!$L$84-'RFM input'!$L$138)-SUM($L417:L417),('RFM input'!$L$84-'RFM input'!$L$138)/A24taxstdlife))</f>
        <v>0</v>
      </c>
      <c r="N417" s="18">
        <f>IF(A24taxstdlife="n/a","n/a",IF(N$3&gt;(A24taxstdlife+$E417),('RFM input'!$L$84-'RFM input'!$L$138)-SUM($L417:M417),('RFM input'!$L$84-'RFM input'!$L$138)/A24taxstdlife))</f>
        <v>0</v>
      </c>
      <c r="O417" s="18">
        <f>IF(A24taxstdlife="n/a","n/a",IF(O$3&gt;(A24taxstdlife+$E417),('RFM input'!$L$84-'RFM input'!$L$138)-SUM($L417:N417),('RFM input'!$L$84-'RFM input'!$L$138)/A24taxstdlife))</f>
        <v>0</v>
      </c>
      <c r="P417" s="18">
        <f>IF(A24taxstdlife="n/a","n/a",IF(P$3&gt;(A24taxstdlife+$E417),('RFM input'!$L$84-'RFM input'!$L$138)-SUM($L417:O417),('RFM input'!$L$84-'RFM input'!$L$138)/A24taxstdlife))</f>
        <v>0</v>
      </c>
      <c r="Q417" s="18">
        <f>IF(A24taxstdlife="n/a","n/a",IF(Q$3&gt;(A24taxstdlife+$E417),('RFM input'!$L$84-'RFM input'!$L$138)-SUM($L417:P417),('RFM input'!$L$84-'RFM input'!$L$138)/A24taxstdlife))</f>
        <v>0</v>
      </c>
      <c r="R417" s="18"/>
      <c r="S417" s="74"/>
      <c r="T417" s="74"/>
      <c r="U417" s="74"/>
      <c r="V417" s="74"/>
      <c r="W417" s="74"/>
      <c r="X417" s="74"/>
      <c r="Y417" s="74"/>
      <c r="Z417" s="74"/>
      <c r="AA417" s="152"/>
    </row>
    <row r="418" spans="1:27" ht="12.75" hidden="1" customHeight="1" outlineLevel="2">
      <c r="A418" s="3"/>
      <c r="B418" s="3"/>
      <c r="C418" s="16"/>
      <c r="D418" s="1594"/>
      <c r="E418" s="61">
        <v>6</v>
      </c>
      <c r="F418" s="17"/>
      <c r="G418" s="17"/>
      <c r="H418" s="1414"/>
      <c r="I418" s="1414"/>
      <c r="J418" s="115"/>
      <c r="K418" s="115"/>
      <c r="L418" s="115"/>
      <c r="M418" s="116"/>
      <c r="N418" s="18">
        <f>IF(A24taxstdlife="n/a","n/a",IF(N$3&gt;(A24taxstdlife+$E418),('RFM input'!$M$84-'RFM input'!$M$138)-SUM($M418:M418),('RFM input'!$M$84-'RFM input'!$M$138)/A24taxstdlife))</f>
        <v>0</v>
      </c>
      <c r="O418" s="18">
        <f>IF(A24taxstdlife="n/a","n/a",IF(O$3&gt;(A24taxstdlife+$E418),('RFM input'!$M$84-'RFM input'!$M$138)-SUM($M418:N418),('RFM input'!$M$84-'RFM input'!$M$138)/A24taxstdlife))</f>
        <v>0</v>
      </c>
      <c r="P418" s="18">
        <f>IF(A24taxstdlife="n/a","n/a",IF(P$3&gt;(A24taxstdlife+$E418),('RFM input'!$M$84-'RFM input'!$M$138)-SUM($M418:O418),('RFM input'!$M$84-'RFM input'!$M$138)/A24taxstdlife))</f>
        <v>0</v>
      </c>
      <c r="Q418" s="18">
        <f>IF(A24taxstdlife="n/a","n/a",IF(Q$3&gt;(A24taxstdlife+$E418),('RFM input'!$M$84-'RFM input'!$M$138)-SUM($M418:P418),('RFM input'!$M$84-'RFM input'!$M$138)/A24taxstdlife))</f>
        <v>0</v>
      </c>
      <c r="R418" s="18"/>
      <c r="S418" s="74"/>
      <c r="T418" s="74"/>
      <c r="U418" s="74"/>
      <c r="V418" s="74"/>
      <c r="W418" s="74"/>
      <c r="X418" s="74"/>
      <c r="Y418" s="74"/>
      <c r="Z418" s="74"/>
      <c r="AA418" s="152"/>
    </row>
    <row r="419" spans="1:27" ht="12.75" hidden="1" customHeight="1" outlineLevel="2">
      <c r="A419" s="3"/>
      <c r="B419" s="3"/>
      <c r="C419" s="16"/>
      <c r="D419" s="1594"/>
      <c r="E419" s="61">
        <v>7</v>
      </c>
      <c r="F419" s="17"/>
      <c r="G419" s="17"/>
      <c r="H419" s="1414"/>
      <c r="I419" s="1414"/>
      <c r="J419" s="115"/>
      <c r="K419" s="115"/>
      <c r="L419" s="115"/>
      <c r="M419" s="115"/>
      <c r="N419" s="116"/>
      <c r="O419" s="18">
        <f>IF(A24taxstdlife="n/a","n/a",IF(O$3&gt;(A24taxstdlife+$E419),('RFM input'!$N$84-'RFM input'!$N$138)-SUM($N419:N419),('RFM input'!$N$84-'RFM input'!$N$138)/A24taxstdlife))</f>
        <v>0</v>
      </c>
      <c r="P419" s="18">
        <f>IF(A24taxstdlife="n/a","n/a",IF(P$3&gt;(A24taxstdlife+$E419),('RFM input'!$N$84-'RFM input'!$N$138)-SUM($N419:O419),('RFM input'!$N$84-'RFM input'!$N$138)/A24taxstdlife))</f>
        <v>0</v>
      </c>
      <c r="Q419" s="18">
        <f>IF(A24taxstdlife="n/a","n/a",IF(Q$3&gt;(A24taxstdlife+$E419),('RFM input'!$N$84-'RFM input'!$N$138)-SUM($N419:P419),('RFM input'!$N$84-'RFM input'!$N$138)/A24taxstdlife))</f>
        <v>0</v>
      </c>
      <c r="R419" s="18"/>
      <c r="S419" s="74"/>
      <c r="T419" s="74"/>
      <c r="U419" s="74"/>
      <c r="V419" s="74"/>
      <c r="W419" s="74"/>
      <c r="X419" s="74"/>
      <c r="Y419" s="74"/>
      <c r="Z419" s="74"/>
      <c r="AA419" s="152"/>
    </row>
    <row r="420" spans="1:27" ht="12.75" hidden="1" customHeight="1" outlineLevel="2">
      <c r="A420" s="3"/>
      <c r="B420" s="3"/>
      <c r="C420" s="16"/>
      <c r="D420" s="1594"/>
      <c r="E420" s="61">
        <v>8</v>
      </c>
      <c r="F420" s="17"/>
      <c r="G420" s="17"/>
      <c r="H420" s="1414"/>
      <c r="I420" s="1414"/>
      <c r="J420" s="115"/>
      <c r="K420" s="115"/>
      <c r="L420" s="115"/>
      <c r="M420" s="115"/>
      <c r="N420" s="115"/>
      <c r="O420" s="116"/>
      <c r="P420" s="18">
        <f>IF(A24taxstdlife="n/a","n/a",IF(P$3&gt;(A24taxstdlife+$E420),('RFM input'!$O$84-'RFM input'!$O$138)-SUM($O420:O420),('RFM input'!$O$84-'RFM input'!$O$138)/A24taxstdlife))</f>
        <v>0</v>
      </c>
      <c r="Q420" s="18">
        <f>IF(A24taxstdlife="n/a","n/a",IF(Q$3&gt;(A24taxstdlife+$E420),('RFM input'!$O$84-'RFM input'!$O$138)-SUM($O420:P420),('RFM input'!$O$84-'RFM input'!$O$138)/A24taxstdlife))</f>
        <v>0</v>
      </c>
      <c r="R420" s="18"/>
      <c r="S420" s="74"/>
      <c r="T420" s="74"/>
      <c r="U420" s="74"/>
      <c r="V420" s="74"/>
      <c r="W420" s="74"/>
      <c r="X420" s="74"/>
      <c r="Y420" s="74"/>
      <c r="Z420" s="74"/>
      <c r="AA420" s="152"/>
    </row>
    <row r="421" spans="1:27" ht="12.75" hidden="1" customHeight="1" outlineLevel="2">
      <c r="A421" s="3"/>
      <c r="B421" s="3"/>
      <c r="C421" s="16"/>
      <c r="D421" s="1594"/>
      <c r="E421" s="61">
        <v>9</v>
      </c>
      <c r="F421" s="17"/>
      <c r="G421" s="17"/>
      <c r="H421" s="1414"/>
      <c r="I421" s="1414"/>
      <c r="J421" s="115"/>
      <c r="K421" s="115"/>
      <c r="L421" s="115"/>
      <c r="M421" s="115"/>
      <c r="N421" s="115"/>
      <c r="O421" s="115"/>
      <c r="P421" s="116"/>
      <c r="Q421" s="18">
        <f>IF(A24taxstdlife="n/a","n/a",IF(Q$3&gt;(A24taxstdlife+$E421),('RFM input'!$P$84-'RFM input'!$P$138)-SUM($P421:P421),('RFM input'!$P$84-'RFM input'!$P$138)/A24taxstdlife))</f>
        <v>0</v>
      </c>
      <c r="R421" s="18"/>
      <c r="S421" s="74"/>
      <c r="T421" s="74"/>
      <c r="U421" s="74"/>
      <c r="V421" s="74"/>
      <c r="W421" s="74"/>
      <c r="X421" s="74"/>
      <c r="Y421" s="74"/>
      <c r="Z421" s="74"/>
      <c r="AA421" s="152"/>
    </row>
    <row r="422" spans="1:27" ht="12.75" hidden="1" customHeight="1" outlineLevel="2">
      <c r="A422" s="3"/>
      <c r="B422" s="3"/>
      <c r="C422" s="16"/>
      <c r="D422" s="1594"/>
      <c r="E422" s="62">
        <v>10</v>
      </c>
      <c r="F422" s="17"/>
      <c r="G422" s="17"/>
      <c r="H422" s="1414"/>
      <c r="I422" s="1414"/>
      <c r="J422" s="115"/>
      <c r="K422" s="115"/>
      <c r="L422" s="115"/>
      <c r="M422" s="115"/>
      <c r="N422" s="115"/>
      <c r="O422" s="115"/>
      <c r="P422" s="115"/>
      <c r="Q422" s="116"/>
      <c r="R422" s="18"/>
      <c r="S422" s="74"/>
      <c r="T422" s="74"/>
      <c r="U422" s="74"/>
      <c r="V422" s="74"/>
      <c r="W422" s="74"/>
      <c r="X422" s="74"/>
      <c r="Y422" s="74"/>
      <c r="Z422" s="74"/>
      <c r="AA422" s="152"/>
    </row>
    <row r="423" spans="1:27" hidden="1" outlineLevel="1">
      <c r="A423" s="3"/>
      <c r="B423" s="3"/>
      <c r="C423" s="134">
        <f>Asset24</f>
        <v>0</v>
      </c>
      <c r="D423" s="3"/>
      <c r="E423" s="3"/>
      <c r="F423" s="14"/>
      <c r="G423" s="14"/>
      <c r="H423" s="1460">
        <f>IF('RFM input'!$G$354="Tracked",-1*INDEX('RFM input'!H$358:H$407,MATCH('TAB roll forward'!$C423,'RFM input'!$E$358:$E$407,0)),-SUM(H411:H422))</f>
        <v>0</v>
      </c>
      <c r="I423" s="1460">
        <f>IF('RFM input'!$G$354="Tracked",-1*INDEX('RFM input'!I$358:I$407,MATCH('TAB roll forward'!$C423,'RFM input'!$E$358:$E$407,0)),-SUM(I411:I422))</f>
        <v>0</v>
      </c>
      <c r="J423" s="1460">
        <f>IF(COUNT($H423:I423)&gt;='RFM input'!$V$7,0,IF('RFM input'!$G$354="Tracked",-1*INDEX('RFM input'!J$358:J$407,MATCH('TAB roll forward'!$C423,'RFM input'!$E$358:$E$407,0)),-SUM(J411:J422)))</f>
        <v>0</v>
      </c>
      <c r="K423" s="1460">
        <f>IF(COUNT($H423:J423)&gt;='RFM input'!$V$7,0,IF('RFM input'!$G$354="Tracked",-1*INDEX('RFM input'!K$358:K$407,MATCH('TAB roll forward'!$C423,'RFM input'!$E$358:$E$407,0)),-SUM(K411:K422)))</f>
        <v>0</v>
      </c>
      <c r="L423" s="1460">
        <f>IF(COUNT($H423:K423)&gt;='RFM input'!$V$7,0,IF('RFM input'!$G$354="Tracked",-1*INDEX('RFM input'!L$358:L$407,MATCH('TAB roll forward'!$C423,'RFM input'!$E$358:$E$407,0)),-SUM(L411:L422)))</f>
        <v>0</v>
      </c>
      <c r="M423" s="1460">
        <f>IF(COUNT($H423:L423)&gt;='RFM input'!$V$7,0,IF('RFM input'!$G$354="Tracked",-1*INDEX('RFM input'!M$358:M$407,MATCH('TAB roll forward'!$C423,'RFM input'!$E$358:$E$407,0)),-SUM(M411:M422)))</f>
        <v>0</v>
      </c>
      <c r="N423" s="1460">
        <f>IF(COUNT($H423:M423)&gt;='RFM input'!$V$7,0,IF('RFM input'!$G$354="Tracked",-1*INDEX('RFM input'!N$358:N$407,MATCH('TAB roll forward'!$C423,'RFM input'!$E$358:$E$407,0)),-SUM(N411:N422)))</f>
        <v>0</v>
      </c>
      <c r="O423" s="1460">
        <f>IF(COUNT($H423:N423)&gt;='RFM input'!$V$7,0,IF('RFM input'!$G$354="Tracked",-1*INDEX('RFM input'!O$358:O$407,MATCH('TAB roll forward'!$C423,'RFM input'!$E$358:$E$407,0)),-SUM(O411:O422)))</f>
        <v>0</v>
      </c>
      <c r="P423" s="1460">
        <f>IF(COUNT($H423:O423)&gt;='RFM input'!$V$7,0,IF('RFM input'!$G$354="Tracked",-1*INDEX('RFM input'!P$358:P$407,MATCH('TAB roll forward'!$C423,'RFM input'!$E$358:$E$407,0)),-SUM(P411:P422)))</f>
        <v>0</v>
      </c>
      <c r="Q423" s="1460">
        <f>IF(COUNT($H423:P423)&gt;='RFM input'!$V$7,0,IF('RFM input'!$G$354="Tracked",-1*INDEX('RFM input'!Q$358:Q$407,MATCH('TAB roll forward'!$C423,'RFM input'!$E$358:$E$407,0)),-SUM(Q411:Q422)))</f>
        <v>0</v>
      </c>
      <c r="R423" s="1382"/>
      <c r="S423" s="73"/>
      <c r="T423" s="73"/>
      <c r="U423" s="73"/>
      <c r="V423" s="73"/>
      <c r="W423" s="73"/>
      <c r="X423" s="73"/>
      <c r="Y423" s="73"/>
      <c r="Z423" s="73"/>
      <c r="AA423" s="152"/>
    </row>
    <row r="424" spans="1:27" ht="12.75" hidden="1" customHeight="1" outlineLevel="2">
      <c r="A424" s="3"/>
      <c r="B424" s="135">
        <f>Asset25</f>
        <v>0</v>
      </c>
      <c r="C424" s="19"/>
      <c r="D424" s="234" t="s">
        <v>119</v>
      </c>
      <c r="E424" s="19"/>
      <c r="F424" s="148"/>
      <c r="G424" s="148"/>
      <c r="H424" s="21">
        <f>IF(H$3&gt;A25taxremlife,A25taxvalue-SUM($F424:F424),IF(A25taxremlife="N/A","n/a",A25taxvalue/A25taxremlife))</f>
        <v>0</v>
      </c>
      <c r="I424" s="21">
        <f>IF(I$3&gt;A25taxremlife,A25taxvalue-SUM($F424:H424),IF(A25taxremlife="N/A","n/a",A25taxvalue/A25taxremlife))</f>
        <v>0</v>
      </c>
      <c r="J424" s="21">
        <f>IF(J$3&gt;A25taxremlife,A25taxvalue-SUM($F424:I424),IF(A25taxremlife="N/A","n/a",A25taxvalue/A25taxremlife))</f>
        <v>0</v>
      </c>
      <c r="K424" s="21">
        <f>IF(K$3&gt;A25taxremlife,A25taxvalue-SUM($F424:J424),IF(A25taxremlife="N/A","n/a",A25taxvalue/A25taxremlife))</f>
        <v>0</v>
      </c>
      <c r="L424" s="21">
        <f>IF(L$3&gt;A25taxremlife,A25taxvalue-SUM($F424:K424),IF(A25taxremlife="N/A","n/a",A25taxvalue/A25taxremlife))</f>
        <v>0</v>
      </c>
      <c r="M424" s="21">
        <f>IF(M$3&gt;A25taxremlife,A25taxvalue-SUM($F424:L424),IF(A25taxremlife="N/A","n/a",A25taxvalue/A25taxremlife))</f>
        <v>0</v>
      </c>
      <c r="N424" s="21">
        <f>IF(N$3&gt;A25taxremlife,A25taxvalue-SUM($F424:M424),IF(A25taxremlife="N/A","n/a",A25taxvalue/A25taxremlife))</f>
        <v>0</v>
      </c>
      <c r="O424" s="21">
        <f>IF(O$3&gt;A25taxremlife,A25taxvalue-SUM($F424:N424),IF(A25taxremlife="N/A","n/a",A25taxvalue/A25taxremlife))</f>
        <v>0</v>
      </c>
      <c r="P424" s="21">
        <f>IF(P$3&gt;A25taxremlife,A25taxvalue-SUM($F424:O424),IF(A25taxremlife="N/A","n/a",A25taxvalue/A25taxremlife))</f>
        <v>0</v>
      </c>
      <c r="Q424" s="21">
        <f>IF(Q$3&gt;A25taxremlife,A25taxvalue-SUM($F424:P424),IF(A25taxremlife="N/A","n/a",A25taxvalue/A25taxremlife))</f>
        <v>0</v>
      </c>
      <c r="R424" s="21"/>
      <c r="S424" s="74"/>
      <c r="T424" s="74"/>
      <c r="U424" s="74"/>
      <c r="V424" s="74"/>
      <c r="W424" s="74"/>
      <c r="X424" s="74"/>
      <c r="Y424" s="74"/>
      <c r="Z424" s="74"/>
      <c r="AA424" s="152"/>
    </row>
    <row r="425" spans="1:27" ht="12.75" hidden="1" customHeight="1" outlineLevel="2">
      <c r="A425" s="3"/>
      <c r="B425" s="3"/>
      <c r="C425" s="16"/>
      <c r="D425" s="1593" t="s">
        <v>43</v>
      </c>
      <c r="E425" s="61"/>
      <c r="F425" s="17"/>
      <c r="G425" s="17"/>
      <c r="H425" s="1413"/>
      <c r="I425" s="72"/>
      <c r="J425" s="18"/>
      <c r="K425" s="18"/>
      <c r="L425" s="18"/>
      <c r="M425" s="18"/>
      <c r="N425" s="18"/>
      <c r="O425" s="18"/>
      <c r="P425" s="18"/>
      <c r="Q425" s="18"/>
      <c r="R425" s="18"/>
      <c r="S425" s="74"/>
      <c r="T425" s="74"/>
      <c r="U425" s="74"/>
      <c r="V425" s="74"/>
      <c r="W425" s="74"/>
      <c r="X425" s="74"/>
      <c r="Y425" s="74"/>
      <c r="Z425" s="74"/>
      <c r="AA425" s="152"/>
    </row>
    <row r="426" spans="1:27" ht="12.75" hidden="1" customHeight="1" outlineLevel="2">
      <c r="A426" s="3"/>
      <c r="B426" s="3"/>
      <c r="C426" s="16"/>
      <c r="D426" s="1594"/>
      <c r="E426" s="61">
        <v>1</v>
      </c>
      <c r="F426" s="17"/>
      <c r="G426" s="17"/>
      <c r="H426" s="1414"/>
      <c r="I426" s="1415">
        <f>IF(A25taxstdlife="n/a","n/a",IF(I$3&gt;(A25taxstdlife+$E426),('RFM input'!$H$85-'RFM input'!$H$139)-SUM($H426:H426),('RFM input'!$H$85-'RFM input'!$H$139)/A25taxstdlife))</f>
        <v>0</v>
      </c>
      <c r="J426" s="18">
        <f>IF(A25taxstdlife="n/a","n/a",IF(J$3&gt;(A25taxstdlife+$E426),('RFM input'!$H$85-'RFM input'!$H$139)-SUM($H426:I426),('RFM input'!$H$85-'RFM input'!$H$139)/A25taxstdlife))</f>
        <v>0</v>
      </c>
      <c r="K426" s="18">
        <f>IF(A25taxstdlife="n/a","n/a",IF(K$3&gt;(A25taxstdlife+$E426),('RFM input'!$H$85-'RFM input'!$H$139)-SUM($H426:J426),('RFM input'!$H$85-'RFM input'!$H$139)/A25taxstdlife))</f>
        <v>0</v>
      </c>
      <c r="L426" s="18">
        <f>IF(A25taxstdlife="n/a","n/a",IF(L$3&gt;(A25taxstdlife+$E426),('RFM input'!$H$85-'RFM input'!$H$139)-SUM($H426:K426),('RFM input'!$H$85-'RFM input'!$H$139)/A25taxstdlife))</f>
        <v>0</v>
      </c>
      <c r="M426" s="18">
        <f>IF(A25taxstdlife="n/a","n/a",IF(M$3&gt;(A25taxstdlife+$E426),('RFM input'!$H$85-'RFM input'!$H$139)-SUM($H426:L426),('RFM input'!$H$85-'RFM input'!$H$139)/A25taxstdlife))</f>
        <v>0</v>
      </c>
      <c r="N426" s="18">
        <f>IF(A25taxstdlife="n/a","n/a",IF(N$3&gt;(A25taxstdlife+$E426),('RFM input'!$H$85-'RFM input'!$H$139)-SUM($H426:M426),('RFM input'!$H$85-'RFM input'!$H$139)/A25taxstdlife))</f>
        <v>0</v>
      </c>
      <c r="O426" s="18">
        <f>IF(A25taxstdlife="n/a","n/a",IF(O$3&gt;(A25taxstdlife+$E426),('RFM input'!$H$85-'RFM input'!$H$139)-SUM($H426:N426),('RFM input'!$H$85-'RFM input'!$H$139)/A25taxstdlife))</f>
        <v>0</v>
      </c>
      <c r="P426" s="18">
        <f>IF(A25taxstdlife="n/a","n/a",IF(P$3&gt;(A25taxstdlife+$E426),('RFM input'!$H$85-'RFM input'!$H$139)-SUM($H426:O426),('RFM input'!$H$85-'RFM input'!$H$139)/A25taxstdlife))</f>
        <v>0</v>
      </c>
      <c r="Q426" s="18">
        <f>IF(A25taxstdlife="n/a","n/a",IF(Q$3&gt;(A25taxstdlife+$E426),('RFM input'!$H$85-'RFM input'!$H$139)-SUM($H426:P426),('RFM input'!$H$85-'RFM input'!$H$139)/A25taxstdlife))</f>
        <v>0</v>
      </c>
      <c r="R426" s="18"/>
      <c r="S426" s="74"/>
      <c r="T426" s="74"/>
      <c r="U426" s="74"/>
      <c r="V426" s="74"/>
      <c r="W426" s="74"/>
      <c r="X426" s="74"/>
      <c r="Y426" s="74"/>
      <c r="Z426" s="74"/>
      <c r="AA426" s="152"/>
    </row>
    <row r="427" spans="1:27" ht="12.75" hidden="1" customHeight="1" outlineLevel="2">
      <c r="A427" s="3"/>
      <c r="B427" s="3"/>
      <c r="C427" s="16"/>
      <c r="D427" s="1594"/>
      <c r="E427" s="61">
        <v>2</v>
      </c>
      <c r="F427" s="17"/>
      <c r="G427" s="17"/>
      <c r="H427" s="1414"/>
      <c r="I427" s="1414"/>
      <c r="J427" s="18">
        <f>IF(A25taxstdlife="n/a","n/a",IF(J$3&gt;(A25taxstdlife+$E427),('RFM input'!$I$85-'RFM input'!$I$139)-SUM($I427:I427),('RFM input'!$I$85-'RFM input'!$I$139)/A25taxstdlife))</f>
        <v>0</v>
      </c>
      <c r="K427" s="18">
        <f>IF(A25taxstdlife="n/a","n/a",IF(K$3&gt;(A25taxstdlife+$E427),('RFM input'!$I$85-'RFM input'!$I$139)-SUM($I427:J427),('RFM input'!$I$85-'RFM input'!$I$139)/A25taxstdlife))</f>
        <v>0</v>
      </c>
      <c r="L427" s="18">
        <f>IF(A25taxstdlife="n/a","n/a",IF(L$3&gt;(A25taxstdlife+$E427),('RFM input'!$I$85-'RFM input'!$I$139)-SUM($I427:K427),('RFM input'!$I$85-'RFM input'!$I$139)/A25taxstdlife))</f>
        <v>0</v>
      </c>
      <c r="M427" s="18">
        <f>IF(A25taxstdlife="n/a","n/a",IF(M$3&gt;(A25taxstdlife+$E427),('RFM input'!$I$85-'RFM input'!$I$139)-SUM($I427:L427),('RFM input'!$I$85-'RFM input'!$I$139)/A25taxstdlife))</f>
        <v>0</v>
      </c>
      <c r="N427" s="18">
        <f>IF(A25taxstdlife="n/a","n/a",IF(N$3&gt;(A25taxstdlife+$E427),('RFM input'!$I$85-'RFM input'!$I$139)-SUM($I427:M427),('RFM input'!$I$85-'RFM input'!$I$139)/A25taxstdlife))</f>
        <v>0</v>
      </c>
      <c r="O427" s="18">
        <f>IF(A25taxstdlife="n/a","n/a",IF(O$3&gt;(A25taxstdlife+$E427),('RFM input'!$I$85-'RFM input'!$I$139)-SUM($I427:N427),('RFM input'!$I$85-'RFM input'!$I$139)/A25taxstdlife))</f>
        <v>0</v>
      </c>
      <c r="P427" s="18">
        <f>IF(A25taxstdlife="n/a","n/a",IF(P$3&gt;(A25taxstdlife+$E427),('RFM input'!$I$85-'RFM input'!$I$139)-SUM($I427:O427),('RFM input'!$I$85-'RFM input'!$I$139)/A25taxstdlife))</f>
        <v>0</v>
      </c>
      <c r="Q427" s="18">
        <f>IF(A25taxstdlife="n/a","n/a",IF(Q$3&gt;(A25taxstdlife+$E427),('RFM input'!$I$85-'RFM input'!$I$139)-SUM($I427:P427),('RFM input'!$I$85-'RFM input'!$I$139)/A25taxstdlife))</f>
        <v>0</v>
      </c>
      <c r="R427" s="18"/>
      <c r="S427" s="74"/>
      <c r="T427" s="74"/>
      <c r="U427" s="74"/>
      <c r="V427" s="74"/>
      <c r="W427" s="74"/>
      <c r="X427" s="74"/>
      <c r="Y427" s="74"/>
      <c r="Z427" s="74"/>
      <c r="AA427" s="152"/>
    </row>
    <row r="428" spans="1:27" ht="12.75" hidden="1" customHeight="1" outlineLevel="2">
      <c r="A428" s="3"/>
      <c r="B428" s="3"/>
      <c r="C428" s="16"/>
      <c r="D428" s="1594"/>
      <c r="E428" s="61">
        <v>3</v>
      </c>
      <c r="F428" s="17"/>
      <c r="G428" s="17"/>
      <c r="H428" s="1414"/>
      <c r="I428" s="1414"/>
      <c r="J428" s="116"/>
      <c r="K428" s="18">
        <f>IF(A25taxstdlife="n/a","n/a",IF(K$3&gt;(A25taxstdlife+$E428),('RFM input'!$J$85-'RFM input'!$J$139)-SUM($J428:J428),('RFM input'!$J$85-'RFM input'!$J$139)/A25taxstdlife))</f>
        <v>0</v>
      </c>
      <c r="L428" s="18">
        <f>IF(A25taxstdlife="n/a","n/a",IF(L$3&gt;(A25taxstdlife+$E428),('RFM input'!$J$85-'RFM input'!$J$139)-SUM($J428:K428),('RFM input'!$J$85-'RFM input'!$J$139)/A25taxstdlife))</f>
        <v>0</v>
      </c>
      <c r="M428" s="18">
        <f>IF(A25taxstdlife="n/a","n/a",IF(M$3&gt;(A25taxstdlife+$E428),('RFM input'!$J$85-'RFM input'!$J$139)-SUM($J428:L428),('RFM input'!$J$85-'RFM input'!$J$139)/A25taxstdlife))</f>
        <v>0</v>
      </c>
      <c r="N428" s="18">
        <f>IF(A25taxstdlife="n/a","n/a",IF(N$3&gt;(A25taxstdlife+$E428),('RFM input'!$J$85-'RFM input'!$J$139)-SUM($J428:M428),('RFM input'!$J$85-'RFM input'!$J$139)/A25taxstdlife))</f>
        <v>0</v>
      </c>
      <c r="O428" s="18">
        <f>IF(A25taxstdlife="n/a","n/a",IF(O$3&gt;(A25taxstdlife+$E428),('RFM input'!$J$85-'RFM input'!$J$139)-SUM($J428:N428),('RFM input'!$J$85-'RFM input'!$J$139)/A25taxstdlife))</f>
        <v>0</v>
      </c>
      <c r="P428" s="18">
        <f>IF(A25taxstdlife="n/a","n/a",IF(P$3&gt;(A25taxstdlife+$E428),('RFM input'!$J$85-'RFM input'!$J$139)-SUM($J428:O428),('RFM input'!$J$85-'RFM input'!$J$139)/A25taxstdlife))</f>
        <v>0</v>
      </c>
      <c r="Q428" s="18">
        <f>IF(A25taxstdlife="n/a","n/a",IF(Q$3&gt;(A25taxstdlife+$E428),('RFM input'!$J$85-'RFM input'!$J$139)-SUM($J428:P428),('RFM input'!$J$85-'RFM input'!$J$139)/A25taxstdlife))</f>
        <v>0</v>
      </c>
      <c r="R428" s="18"/>
      <c r="S428" s="74"/>
      <c r="T428" s="74"/>
      <c r="U428" s="74"/>
      <c r="V428" s="74"/>
      <c r="W428" s="74"/>
      <c r="X428" s="74"/>
      <c r="Y428" s="74"/>
      <c r="Z428" s="74"/>
      <c r="AA428" s="152"/>
    </row>
    <row r="429" spans="1:27" ht="12.75" hidden="1" customHeight="1" outlineLevel="2">
      <c r="A429" s="3"/>
      <c r="B429" s="3"/>
      <c r="C429" s="16"/>
      <c r="D429" s="1594"/>
      <c r="E429" s="61">
        <v>4</v>
      </c>
      <c r="F429" s="17"/>
      <c r="G429" s="17"/>
      <c r="H429" s="1414"/>
      <c r="I429" s="1414"/>
      <c r="J429" s="115"/>
      <c r="K429" s="116"/>
      <c r="L429" s="18">
        <f>IF(A25taxstdlife="n/a","n/a",IF(L$3&gt;(A25taxstdlife+$E429),('RFM input'!$K$85-'RFM input'!$K$139)-SUM($K429:K429),('RFM input'!$K$85-'RFM input'!$K$139)/A25taxstdlife))</f>
        <v>0</v>
      </c>
      <c r="M429" s="18">
        <f>IF(A25taxstdlife="n/a","n/a",IF(M$3&gt;(A25taxstdlife+$E429),('RFM input'!$K$85-'RFM input'!$K$139)-SUM($K429:L429),('RFM input'!$K$85-'RFM input'!$K$139)/A25taxstdlife))</f>
        <v>0</v>
      </c>
      <c r="N429" s="18">
        <f>IF(A25taxstdlife="n/a","n/a",IF(N$3&gt;(A25taxstdlife+$E429),('RFM input'!$K$85-'RFM input'!$K$139)-SUM($K429:M429),('RFM input'!$K$85-'RFM input'!$K$139)/A25taxstdlife))</f>
        <v>0</v>
      </c>
      <c r="O429" s="18">
        <f>IF(A25taxstdlife="n/a","n/a",IF(O$3&gt;(A25taxstdlife+$E429),('RFM input'!$K$85-'RFM input'!$K$139)-SUM($K429:N429),('RFM input'!$K$85-'RFM input'!$K$139)/A25taxstdlife))</f>
        <v>0</v>
      </c>
      <c r="P429" s="18">
        <f>IF(A25taxstdlife="n/a","n/a",IF(P$3&gt;(A25taxstdlife+$E429),('RFM input'!$K$85-'RFM input'!$K$139)-SUM($K429:O429),('RFM input'!$K$85-'RFM input'!$K$139)/A25taxstdlife))</f>
        <v>0</v>
      </c>
      <c r="Q429" s="18">
        <f>IF(A25taxstdlife="n/a","n/a",IF(Q$3&gt;(A25taxstdlife+$E429),('RFM input'!$K$85-'RFM input'!$K$139)-SUM($K429:P429),('RFM input'!$K$85-'RFM input'!$K$139)/A25taxstdlife))</f>
        <v>0</v>
      </c>
      <c r="R429" s="18"/>
      <c r="S429" s="74"/>
      <c r="T429" s="74"/>
      <c r="U429" s="74"/>
      <c r="V429" s="74"/>
      <c r="W429" s="74"/>
      <c r="X429" s="74"/>
      <c r="Y429" s="74"/>
      <c r="Z429" s="74"/>
      <c r="AA429" s="152"/>
    </row>
    <row r="430" spans="1:27" ht="12.75" hidden="1" customHeight="1" outlineLevel="2">
      <c r="A430" s="3"/>
      <c r="B430" s="3"/>
      <c r="C430" s="16"/>
      <c r="D430" s="1594"/>
      <c r="E430" s="61">
        <v>5</v>
      </c>
      <c r="F430" s="17"/>
      <c r="G430" s="17"/>
      <c r="H430" s="1414"/>
      <c r="I430" s="1414"/>
      <c r="J430" s="115"/>
      <c r="K430" s="115"/>
      <c r="L430" s="116"/>
      <c r="M430" s="18">
        <f>IF(A25taxstdlife="n/a","n/a",IF(M$3&gt;(A25taxstdlife+$E430),('RFM input'!$L$85-'RFM input'!$L$139)-SUM($L430:L430),('RFM input'!$L$85-'RFM input'!$L$139)/A25taxstdlife))</f>
        <v>0</v>
      </c>
      <c r="N430" s="18">
        <f>IF(A25taxstdlife="n/a","n/a",IF(N$3&gt;(A25taxstdlife+$E430),('RFM input'!$L$85-'RFM input'!$L$139)-SUM($L430:M430),('RFM input'!$L$85-'RFM input'!$L$139)/A25taxstdlife))</f>
        <v>0</v>
      </c>
      <c r="O430" s="18">
        <f>IF(A25taxstdlife="n/a","n/a",IF(O$3&gt;(A25taxstdlife+$E430),('RFM input'!$L$85-'RFM input'!$L$139)-SUM($L430:N430),('RFM input'!$L$85-'RFM input'!$L$139)/A25taxstdlife))</f>
        <v>0</v>
      </c>
      <c r="P430" s="18">
        <f>IF(A25taxstdlife="n/a","n/a",IF(P$3&gt;(A25taxstdlife+$E430),('RFM input'!$L$85-'RFM input'!$L$139)-SUM($L430:O430),('RFM input'!$L$85-'RFM input'!$L$139)/A25taxstdlife))</f>
        <v>0</v>
      </c>
      <c r="Q430" s="18">
        <f>IF(A25taxstdlife="n/a","n/a",IF(Q$3&gt;(A25taxstdlife+$E430),('RFM input'!$L$85-'RFM input'!$L$139)-SUM($L430:P430),('RFM input'!$L$85-'RFM input'!$L$139)/A25taxstdlife))</f>
        <v>0</v>
      </c>
      <c r="R430" s="18"/>
      <c r="S430" s="74"/>
      <c r="T430" s="74"/>
      <c r="U430" s="74"/>
      <c r="V430" s="74"/>
      <c r="W430" s="74"/>
      <c r="X430" s="74"/>
      <c r="Y430" s="74"/>
      <c r="Z430" s="74"/>
      <c r="AA430" s="152"/>
    </row>
    <row r="431" spans="1:27" ht="12.75" hidden="1" customHeight="1" outlineLevel="2">
      <c r="A431" s="3"/>
      <c r="B431" s="3"/>
      <c r="C431" s="16"/>
      <c r="D431" s="1594"/>
      <c r="E431" s="61">
        <v>6</v>
      </c>
      <c r="F431" s="17"/>
      <c r="G431" s="17"/>
      <c r="H431" s="1414"/>
      <c r="I431" s="1414"/>
      <c r="J431" s="115"/>
      <c r="K431" s="115"/>
      <c r="L431" s="115"/>
      <c r="M431" s="116"/>
      <c r="N431" s="18">
        <f>IF(A25taxstdlife="n/a","n/a",IF(N$3&gt;(A25taxstdlife+$E431),('RFM input'!$M$85-'RFM input'!$M$139)-SUM($M431:M431),('RFM input'!$M$85-'RFM input'!$M$139)/A25taxstdlife))</f>
        <v>0</v>
      </c>
      <c r="O431" s="18">
        <f>IF(A25taxstdlife="n/a","n/a",IF(O$3&gt;(A25taxstdlife+$E431),('RFM input'!$M$85-'RFM input'!$M$139)-SUM($M431:N431),('RFM input'!$M$85-'RFM input'!$M$139)/A25taxstdlife))</f>
        <v>0</v>
      </c>
      <c r="P431" s="18">
        <f>IF(A25taxstdlife="n/a","n/a",IF(P$3&gt;(A25taxstdlife+$E431),('RFM input'!$M$85-'RFM input'!$M$139)-SUM($M431:O431),('RFM input'!$M$85-'RFM input'!$M$139)/A25taxstdlife))</f>
        <v>0</v>
      </c>
      <c r="Q431" s="18">
        <f>IF(A25taxstdlife="n/a","n/a",IF(Q$3&gt;(A25taxstdlife+$E431),('RFM input'!$M$85-'RFM input'!$M$139)-SUM($M431:P431),('RFM input'!$M$85-'RFM input'!$M$139)/A25taxstdlife))</f>
        <v>0</v>
      </c>
      <c r="R431" s="18"/>
      <c r="S431" s="74"/>
      <c r="T431" s="74"/>
      <c r="U431" s="74"/>
      <c r="V431" s="74"/>
      <c r="W431" s="74"/>
      <c r="X431" s="74"/>
      <c r="Y431" s="74"/>
      <c r="Z431" s="74"/>
      <c r="AA431" s="152"/>
    </row>
    <row r="432" spans="1:27" ht="12.75" hidden="1" customHeight="1" outlineLevel="2">
      <c r="A432" s="3"/>
      <c r="B432" s="3"/>
      <c r="C432" s="16"/>
      <c r="D432" s="1594"/>
      <c r="E432" s="61">
        <v>7</v>
      </c>
      <c r="F432" s="17"/>
      <c r="G432" s="17"/>
      <c r="H432" s="1414"/>
      <c r="I432" s="1414"/>
      <c r="J432" s="115"/>
      <c r="K432" s="115"/>
      <c r="L432" s="115"/>
      <c r="M432" s="115"/>
      <c r="N432" s="116"/>
      <c r="O432" s="18">
        <f>IF(A25taxstdlife="n/a","n/a",IF(O$3&gt;(A25taxstdlife+$E432),('RFM input'!$N$85-'RFM input'!$N$139)-SUM($N432:N432),('RFM input'!$N$85-'RFM input'!$N$139)/A25taxstdlife))</f>
        <v>0</v>
      </c>
      <c r="P432" s="18">
        <f>IF(A25taxstdlife="n/a","n/a",IF(P$3&gt;(A25taxstdlife+$E432),('RFM input'!$N$85-'RFM input'!$N$139)-SUM($N432:O432),('RFM input'!$N$85-'RFM input'!$N$139)/A25taxstdlife))</f>
        <v>0</v>
      </c>
      <c r="Q432" s="18">
        <f>IF(A25taxstdlife="n/a","n/a",IF(Q$3&gt;(A25taxstdlife+$E432),('RFM input'!$N$85-'RFM input'!$N$139)-SUM($N432:P432),('RFM input'!$N$85-'RFM input'!$N$139)/A25taxstdlife))</f>
        <v>0</v>
      </c>
      <c r="R432" s="18"/>
      <c r="S432" s="74"/>
      <c r="T432" s="74"/>
      <c r="U432" s="74"/>
      <c r="V432" s="74"/>
      <c r="W432" s="74"/>
      <c r="X432" s="74"/>
      <c r="Y432" s="74"/>
      <c r="Z432" s="74"/>
      <c r="AA432" s="152"/>
    </row>
    <row r="433" spans="1:27" ht="12.75" hidden="1" customHeight="1" outlineLevel="2">
      <c r="A433" s="3"/>
      <c r="B433" s="3"/>
      <c r="C433" s="16"/>
      <c r="D433" s="1594"/>
      <c r="E433" s="61">
        <v>8</v>
      </c>
      <c r="F433" s="17"/>
      <c r="G433" s="17"/>
      <c r="H433" s="1414"/>
      <c r="I433" s="1414"/>
      <c r="J433" s="115"/>
      <c r="K433" s="115"/>
      <c r="L433" s="115"/>
      <c r="M433" s="115"/>
      <c r="N433" s="115"/>
      <c r="O433" s="116"/>
      <c r="P433" s="18">
        <f>IF(A25taxstdlife="n/a","n/a",IF(P$3&gt;(A25taxstdlife+$E433),('RFM input'!$O$85-'RFM input'!$O$139)-SUM($O433:O433),('RFM input'!$O$85-'RFM input'!$O$139)/A25taxstdlife))</f>
        <v>0</v>
      </c>
      <c r="Q433" s="18">
        <f>IF(A25taxstdlife="n/a","n/a",IF(Q$3&gt;(A25taxstdlife+$E433),('RFM input'!$O$85-'RFM input'!$O$139)-SUM($O433:P433),('RFM input'!$O$85-'RFM input'!$O$139)/A25taxstdlife))</f>
        <v>0</v>
      </c>
      <c r="R433" s="18"/>
      <c r="S433" s="74"/>
      <c r="T433" s="74"/>
      <c r="U433" s="74"/>
      <c r="V433" s="74"/>
      <c r="W433" s="74"/>
      <c r="X433" s="74"/>
      <c r="Y433" s="74"/>
      <c r="Z433" s="74"/>
      <c r="AA433" s="152"/>
    </row>
    <row r="434" spans="1:27" ht="12.75" hidden="1" customHeight="1" outlineLevel="2">
      <c r="A434" s="3"/>
      <c r="B434" s="3"/>
      <c r="C434" s="16"/>
      <c r="D434" s="1594"/>
      <c r="E434" s="61">
        <v>9</v>
      </c>
      <c r="F434" s="17"/>
      <c r="G434" s="17"/>
      <c r="H434" s="1414"/>
      <c r="I434" s="1414"/>
      <c r="J434" s="115"/>
      <c r="K434" s="115"/>
      <c r="L434" s="115"/>
      <c r="M434" s="115"/>
      <c r="N434" s="115"/>
      <c r="O434" s="115"/>
      <c r="P434" s="116"/>
      <c r="Q434" s="18">
        <f>IF(A25taxstdlife="n/a","n/a",IF(Q$3&gt;(A25taxstdlife+$E434),('RFM input'!$P$85-'RFM input'!$P$139)-SUM($P434:P434),('RFM input'!$P$85-'RFM input'!$P$139)/A25taxstdlife))</f>
        <v>0</v>
      </c>
      <c r="R434" s="18"/>
      <c r="S434" s="74"/>
      <c r="T434" s="74"/>
      <c r="U434" s="74"/>
      <c r="V434" s="74"/>
      <c r="W434" s="74"/>
      <c r="X434" s="74"/>
      <c r="Y434" s="74"/>
      <c r="Z434" s="74"/>
      <c r="AA434" s="152"/>
    </row>
    <row r="435" spans="1:27" ht="12.75" hidden="1" customHeight="1" outlineLevel="2">
      <c r="A435" s="3"/>
      <c r="B435" s="3"/>
      <c r="C435" s="16"/>
      <c r="D435" s="1594"/>
      <c r="E435" s="62">
        <v>10</v>
      </c>
      <c r="F435" s="17"/>
      <c r="G435" s="17"/>
      <c r="H435" s="1414"/>
      <c r="I435" s="1414"/>
      <c r="J435" s="115"/>
      <c r="K435" s="115"/>
      <c r="L435" s="115"/>
      <c r="M435" s="115"/>
      <c r="N435" s="115"/>
      <c r="O435" s="115"/>
      <c r="P435" s="115"/>
      <c r="Q435" s="116"/>
      <c r="R435" s="18"/>
      <c r="S435" s="74"/>
      <c r="T435" s="74"/>
      <c r="U435" s="74"/>
      <c r="V435" s="74"/>
      <c r="W435" s="74"/>
      <c r="X435" s="74"/>
      <c r="Y435" s="74"/>
      <c r="Z435" s="74"/>
      <c r="AA435" s="152"/>
    </row>
    <row r="436" spans="1:27" hidden="1" outlineLevel="1">
      <c r="A436" s="3"/>
      <c r="B436" s="3"/>
      <c r="C436" s="134">
        <f>Asset25</f>
        <v>0</v>
      </c>
      <c r="D436" s="3"/>
      <c r="E436" s="3"/>
      <c r="F436" s="14"/>
      <c r="G436" s="14"/>
      <c r="H436" s="1460">
        <f>IF('RFM input'!$G$354="Tracked",-1*INDEX('RFM input'!H$358:H$407,MATCH('TAB roll forward'!$C436,'RFM input'!$E$358:$E$407,0)),-SUM(H424:H435))</f>
        <v>0</v>
      </c>
      <c r="I436" s="1460">
        <f>IF('RFM input'!$G$354="Tracked",-1*INDEX('RFM input'!I$358:I$407,MATCH('TAB roll forward'!$C436,'RFM input'!$E$358:$E$407,0)),-SUM(I424:I435))</f>
        <v>0</v>
      </c>
      <c r="J436" s="1460">
        <f>IF(COUNT($H436:I436)&gt;='RFM input'!$V$7,0,IF('RFM input'!$G$354="Tracked",-1*INDEX('RFM input'!J$358:J$407,MATCH('TAB roll forward'!$C436,'RFM input'!$E$358:$E$407,0)),-SUM(J424:J435)))</f>
        <v>0</v>
      </c>
      <c r="K436" s="1460">
        <f>IF(COUNT($H436:J436)&gt;='RFM input'!$V$7,0,IF('RFM input'!$G$354="Tracked",-1*INDEX('RFM input'!K$358:K$407,MATCH('TAB roll forward'!$C436,'RFM input'!$E$358:$E$407,0)),-SUM(K424:K435)))</f>
        <v>0</v>
      </c>
      <c r="L436" s="1460">
        <f>IF(COUNT($H436:K436)&gt;='RFM input'!$V$7,0,IF('RFM input'!$G$354="Tracked",-1*INDEX('RFM input'!L$358:L$407,MATCH('TAB roll forward'!$C436,'RFM input'!$E$358:$E$407,0)),-SUM(L424:L435)))</f>
        <v>0</v>
      </c>
      <c r="M436" s="1460">
        <f>IF(COUNT($H436:L436)&gt;='RFM input'!$V$7,0,IF('RFM input'!$G$354="Tracked",-1*INDEX('RFM input'!M$358:M$407,MATCH('TAB roll forward'!$C436,'RFM input'!$E$358:$E$407,0)),-SUM(M424:M435)))</f>
        <v>0</v>
      </c>
      <c r="N436" s="1460">
        <f>IF(COUNT($H436:M436)&gt;='RFM input'!$V$7,0,IF('RFM input'!$G$354="Tracked",-1*INDEX('RFM input'!N$358:N$407,MATCH('TAB roll forward'!$C436,'RFM input'!$E$358:$E$407,0)),-SUM(N424:N435)))</f>
        <v>0</v>
      </c>
      <c r="O436" s="1460">
        <f>IF(COUNT($H436:N436)&gt;='RFM input'!$V$7,0,IF('RFM input'!$G$354="Tracked",-1*INDEX('RFM input'!O$358:O$407,MATCH('TAB roll forward'!$C436,'RFM input'!$E$358:$E$407,0)),-SUM(O424:O435)))</f>
        <v>0</v>
      </c>
      <c r="P436" s="1460">
        <f>IF(COUNT($H436:O436)&gt;='RFM input'!$V$7,0,IF('RFM input'!$G$354="Tracked",-1*INDEX('RFM input'!P$358:P$407,MATCH('TAB roll forward'!$C436,'RFM input'!$E$358:$E$407,0)),-SUM(P424:P435)))</f>
        <v>0</v>
      </c>
      <c r="Q436" s="1460">
        <f>IF(COUNT($H436:P436)&gt;='RFM input'!$V$7,0,IF('RFM input'!$G$354="Tracked",-1*INDEX('RFM input'!Q$358:Q$407,MATCH('TAB roll forward'!$C436,'RFM input'!$E$358:$E$407,0)),-SUM(Q424:Q435)))</f>
        <v>0</v>
      </c>
      <c r="R436" s="1382"/>
      <c r="S436" s="73"/>
      <c r="T436" s="73"/>
      <c r="U436" s="73"/>
      <c r="V436" s="73"/>
      <c r="W436" s="73"/>
      <c r="X436" s="73"/>
      <c r="Y436" s="73"/>
      <c r="Z436" s="73"/>
      <c r="AA436" s="152"/>
    </row>
    <row r="437" spans="1:27" ht="12.75" hidden="1" customHeight="1" outlineLevel="2">
      <c r="A437" s="3"/>
      <c r="B437" s="135">
        <f>Asset26</f>
        <v>0</v>
      </c>
      <c r="C437" s="19"/>
      <c r="D437" s="234" t="s">
        <v>119</v>
      </c>
      <c r="E437" s="19"/>
      <c r="F437" s="148"/>
      <c r="G437" s="148"/>
      <c r="H437" s="21">
        <f>IF(H$3&gt;A26taxremlife,A26taxvalue-SUM($F437:F437),IF(A26taxremlife="N/A","n/a",A26taxvalue/A26taxremlife))</f>
        <v>0</v>
      </c>
      <c r="I437" s="21">
        <f>IF(I$3&gt;A26taxremlife,A26taxvalue-SUM($F437:H437),IF(A26taxremlife="N/A","n/a",A26taxvalue/A26taxremlife))</f>
        <v>0</v>
      </c>
      <c r="J437" s="1380">
        <f>IF(J$3&gt;A26taxremlife,A26taxvalue-SUM($F437:I437),IF(A26taxremlife="N/A","n/a",A26taxvalue/A26taxremlife))</f>
        <v>0</v>
      </c>
      <c r="K437" s="1380">
        <f>IF(K$3&gt;A26taxremlife,A26taxvalue-SUM($F437:J437),IF(A26taxremlife="N/A","n/a",A26taxvalue/A26taxremlife))</f>
        <v>0</v>
      </c>
      <c r="L437" s="1380">
        <f>IF(L$3&gt;A26taxremlife,A26taxvalue-SUM($F437:K437),IF(A26taxremlife="N/A","n/a",A26taxvalue/A26taxremlife))</f>
        <v>0</v>
      </c>
      <c r="M437" s="21">
        <f>IF(M$3&gt;A26taxremlife,A26taxvalue-SUM($F437:L437),IF(A26taxremlife="N/A","n/a",A26taxvalue/A26taxremlife))</f>
        <v>0</v>
      </c>
      <c r="N437" s="21">
        <f>IF(N$3&gt;A26taxremlife,A26taxvalue-SUM($F437:M437),IF(A26taxremlife="N/A","n/a",A26taxvalue/A26taxremlife))</f>
        <v>0</v>
      </c>
      <c r="O437" s="21">
        <f>IF(O$3&gt;A26taxremlife,A26taxvalue-SUM($F437:N437),IF(A26taxremlife="N/A","n/a",A26taxvalue/A26taxremlife))</f>
        <v>0</v>
      </c>
      <c r="P437" s="21">
        <f>IF(P$3&gt;A26taxremlife,A26taxvalue-SUM($F437:O437),IF(A26taxremlife="N/A","n/a",A26taxvalue/A26taxremlife))</f>
        <v>0</v>
      </c>
      <c r="Q437" s="21">
        <f>IF(Q$3&gt;A26taxremlife,A26taxvalue-SUM($F437:P437),IF(A26taxremlife="N/A","n/a",A26taxvalue/A26taxremlife))</f>
        <v>0</v>
      </c>
      <c r="R437" s="21"/>
      <c r="S437" s="74"/>
      <c r="T437" s="74"/>
      <c r="U437" s="74"/>
      <c r="V437" s="74"/>
      <c r="W437" s="74"/>
      <c r="X437" s="74"/>
      <c r="Y437" s="74"/>
      <c r="Z437" s="74"/>
      <c r="AA437" s="152"/>
    </row>
    <row r="438" spans="1:27" ht="12.75" hidden="1" customHeight="1" outlineLevel="2">
      <c r="A438" s="3"/>
      <c r="B438" s="3"/>
      <c r="C438" s="16"/>
      <c r="D438" s="1593" t="s">
        <v>43</v>
      </c>
      <c r="E438" s="61"/>
      <c r="F438" s="17"/>
      <c r="G438" s="17"/>
      <c r="H438" s="1413"/>
      <c r="I438" s="72"/>
      <c r="J438" s="18"/>
      <c r="K438" s="18"/>
      <c r="L438" s="18"/>
      <c r="M438" s="18"/>
      <c r="N438" s="18"/>
      <c r="O438" s="18"/>
      <c r="P438" s="18"/>
      <c r="Q438" s="18"/>
      <c r="R438" s="18"/>
      <c r="S438" s="74"/>
      <c r="T438" s="74"/>
      <c r="U438" s="74"/>
      <c r="V438" s="74"/>
      <c r="W438" s="74"/>
      <c r="X438" s="74"/>
      <c r="Y438" s="74"/>
      <c r="Z438" s="74"/>
      <c r="AA438" s="152"/>
    </row>
    <row r="439" spans="1:27" ht="12.75" hidden="1" customHeight="1" outlineLevel="2">
      <c r="A439" s="3"/>
      <c r="B439" s="3"/>
      <c r="C439" s="16"/>
      <c r="D439" s="1594"/>
      <c r="E439" s="61">
        <v>1</v>
      </c>
      <c r="F439" s="17"/>
      <c r="G439" s="17"/>
      <c r="H439" s="1414"/>
      <c r="I439" s="1415">
        <f>IF(A26taxstdlife="n/a","n/a",IF(I$3&gt;(A26taxstdlife+$E439),('RFM input'!$H$86-'RFM input'!$H$140)-SUM($H439:H439),('RFM input'!$H$86-'RFM input'!$H$140)/A26taxstdlife))</f>
        <v>0</v>
      </c>
      <c r="J439" s="18">
        <f>IF(A26taxstdlife="n/a","n/a",IF(J$3&gt;(A26taxstdlife+$E439),('RFM input'!$H$86-'RFM input'!$H$140)-SUM($H439:I439),('RFM input'!$H$86-'RFM input'!$H$140)/A26taxstdlife))</f>
        <v>0</v>
      </c>
      <c r="K439" s="18">
        <f>IF(A26taxstdlife="n/a","n/a",IF(K$3&gt;(A26taxstdlife+$E439),('RFM input'!$H$86-'RFM input'!$H$140)-SUM($H439:J439),('RFM input'!$H$86-'RFM input'!$H$140)/A26taxstdlife))</f>
        <v>0</v>
      </c>
      <c r="L439" s="18">
        <f>IF(A26taxstdlife="n/a","n/a",IF(L$3&gt;(A26taxstdlife+$E439),('RFM input'!$H$86-'RFM input'!$H$140)-SUM($H439:K439),('RFM input'!$H$86-'RFM input'!$H$140)/A26taxstdlife))</f>
        <v>0</v>
      </c>
      <c r="M439" s="18">
        <f>IF(A26taxstdlife="n/a","n/a",IF(M$3&gt;(A26taxstdlife+$E439),('RFM input'!$H$86-'RFM input'!$H$140)-SUM($H439:L439),('RFM input'!$H$86-'RFM input'!$H$140)/A26taxstdlife))</f>
        <v>0</v>
      </c>
      <c r="N439" s="18">
        <f>IF(A26taxstdlife="n/a","n/a",IF(N$3&gt;(A26taxstdlife+$E439),('RFM input'!$H$86-'RFM input'!$H$140)-SUM($H439:M439),('RFM input'!$H$86-'RFM input'!$H$140)/A26taxstdlife))</f>
        <v>0</v>
      </c>
      <c r="O439" s="18">
        <f>IF(A26taxstdlife="n/a","n/a",IF(O$3&gt;(A26taxstdlife+$E439),('RFM input'!$H$86-'RFM input'!$H$140)-SUM($H439:N439),('RFM input'!$H$86-'RFM input'!$H$140)/A26taxstdlife))</f>
        <v>0</v>
      </c>
      <c r="P439" s="18">
        <f>IF(A26taxstdlife="n/a","n/a",IF(P$3&gt;(A26taxstdlife+$E439),('RFM input'!$H$86-'RFM input'!$H$140)-SUM($H439:O439),('RFM input'!$H$86-'RFM input'!$H$140)/A26taxstdlife))</f>
        <v>0</v>
      </c>
      <c r="Q439" s="18">
        <f>IF(A26taxstdlife="n/a","n/a",IF(Q$3&gt;(A26taxstdlife+$E439),('RFM input'!$H$86-'RFM input'!$H$140)-SUM($H439:P439),('RFM input'!$H$86-'RFM input'!$H$140)/A26taxstdlife))</f>
        <v>0</v>
      </c>
      <c r="R439" s="18"/>
      <c r="S439" s="74"/>
      <c r="T439" s="74"/>
      <c r="U439" s="74"/>
      <c r="V439" s="74"/>
      <c r="W439" s="74"/>
      <c r="X439" s="74"/>
      <c r="Y439" s="74"/>
      <c r="Z439" s="74"/>
      <c r="AA439" s="152"/>
    </row>
    <row r="440" spans="1:27" ht="12.75" hidden="1" customHeight="1" outlineLevel="2">
      <c r="A440" s="3"/>
      <c r="B440" s="3"/>
      <c r="C440" s="16"/>
      <c r="D440" s="1594"/>
      <c r="E440" s="61">
        <v>2</v>
      </c>
      <c r="F440" s="17"/>
      <c r="G440" s="17"/>
      <c r="H440" s="1414"/>
      <c r="I440" s="1414"/>
      <c r="J440" s="18">
        <f>IF(A26taxstdlife="n/a","n/a",IF(J$3&gt;(A26taxstdlife+$E440),('RFM input'!$I$86-'RFM input'!$I$140)-SUM($I440:I440),('RFM input'!$I$86-'RFM input'!$I$140)/A26taxstdlife))</f>
        <v>0</v>
      </c>
      <c r="K440" s="18">
        <f>IF(A26taxstdlife="n/a","n/a",IF(K$3&gt;(A26taxstdlife+$E440),('RFM input'!$I$86-'RFM input'!$I$140)-SUM($I440:J440),('RFM input'!$I$86-'RFM input'!$I$140)/A26taxstdlife))</f>
        <v>0</v>
      </c>
      <c r="L440" s="18">
        <f>IF(A26taxstdlife="n/a","n/a",IF(L$3&gt;(A26taxstdlife+$E440),('RFM input'!$I$86-'RFM input'!$I$140)-SUM($I440:K440),('RFM input'!$I$86-'RFM input'!$I$140)/A26taxstdlife))</f>
        <v>0</v>
      </c>
      <c r="M440" s="18">
        <f>IF(A26taxstdlife="n/a","n/a",IF(M$3&gt;(A26taxstdlife+$E440),('RFM input'!$I$86-'RFM input'!$I$140)-SUM($I440:L440),('RFM input'!$I$86-'RFM input'!$I$140)/A26taxstdlife))</f>
        <v>0</v>
      </c>
      <c r="N440" s="18">
        <f>IF(A26taxstdlife="n/a","n/a",IF(N$3&gt;(A26taxstdlife+$E440),('RFM input'!$I$86-'RFM input'!$I$140)-SUM($I440:M440),('RFM input'!$I$86-'RFM input'!$I$140)/A26taxstdlife))</f>
        <v>0</v>
      </c>
      <c r="O440" s="18">
        <f>IF(A26taxstdlife="n/a","n/a",IF(O$3&gt;(A26taxstdlife+$E440),('RFM input'!$I$86-'RFM input'!$I$140)-SUM($I440:N440),('RFM input'!$I$86-'RFM input'!$I$140)/A26taxstdlife))</f>
        <v>0</v>
      </c>
      <c r="P440" s="18">
        <f>IF(A26taxstdlife="n/a","n/a",IF(P$3&gt;(A26taxstdlife+$E440),('RFM input'!$I$86-'RFM input'!$I$140)-SUM($I440:O440),('RFM input'!$I$86-'RFM input'!$I$140)/A26taxstdlife))</f>
        <v>0</v>
      </c>
      <c r="Q440" s="18">
        <f>IF(A26taxstdlife="n/a","n/a",IF(Q$3&gt;(A26taxstdlife+$E440),('RFM input'!$I$86-'RFM input'!$I$140)-SUM($I440:P440),('RFM input'!$I$86-'RFM input'!$I$140)/A26taxstdlife))</f>
        <v>0</v>
      </c>
      <c r="R440" s="18"/>
      <c r="S440" s="74"/>
      <c r="T440" s="74"/>
      <c r="U440" s="74"/>
      <c r="V440" s="74"/>
      <c r="W440" s="74"/>
      <c r="X440" s="74"/>
      <c r="Y440" s="74"/>
      <c r="Z440" s="74"/>
      <c r="AA440" s="152"/>
    </row>
    <row r="441" spans="1:27" ht="12.75" hidden="1" customHeight="1" outlineLevel="2">
      <c r="A441" s="3"/>
      <c r="B441" s="3"/>
      <c r="C441" s="16"/>
      <c r="D441" s="1594"/>
      <c r="E441" s="61">
        <v>3</v>
      </c>
      <c r="F441" s="17"/>
      <c r="G441" s="17"/>
      <c r="H441" s="1414"/>
      <c r="I441" s="1414"/>
      <c r="J441" s="116"/>
      <c r="K441" s="18">
        <f>IF(A26taxstdlife="n/a","n/a",IF(K$3&gt;(A26taxstdlife+$E441),('RFM input'!$J$86-'RFM input'!$J$140)-SUM($J441:J441),('RFM input'!$J$86-'RFM input'!$J$140)/A26taxstdlife))</f>
        <v>0</v>
      </c>
      <c r="L441" s="18">
        <f>IF(A26taxstdlife="n/a","n/a",IF(L$3&gt;(A26taxstdlife+$E441),('RFM input'!$J$86-'RFM input'!$J$140)-SUM($J441:K441),('RFM input'!$J$86-'RFM input'!$J$140)/A26taxstdlife))</f>
        <v>0</v>
      </c>
      <c r="M441" s="18">
        <f>IF(A26taxstdlife="n/a","n/a",IF(M$3&gt;(A26taxstdlife+$E441),('RFM input'!$J$86-'RFM input'!$J$140)-SUM($J441:L441),('RFM input'!$J$86-'RFM input'!$J$140)/A26taxstdlife))</f>
        <v>0</v>
      </c>
      <c r="N441" s="18">
        <f>IF(A26taxstdlife="n/a","n/a",IF(N$3&gt;(A26taxstdlife+$E441),('RFM input'!$J$86-'RFM input'!$J$140)-SUM($J441:M441),('RFM input'!$J$86-'RFM input'!$J$140)/A26taxstdlife))</f>
        <v>0</v>
      </c>
      <c r="O441" s="18">
        <f>IF(A26taxstdlife="n/a","n/a",IF(O$3&gt;(A26taxstdlife+$E441),('RFM input'!$J$86-'RFM input'!$J$140)-SUM($J441:N441),('RFM input'!$J$86-'RFM input'!$J$140)/A26taxstdlife))</f>
        <v>0</v>
      </c>
      <c r="P441" s="18">
        <f>IF(A26taxstdlife="n/a","n/a",IF(P$3&gt;(A26taxstdlife+$E441),('RFM input'!$J$86-'RFM input'!$J$140)-SUM($J441:O441),('RFM input'!$J$86-'RFM input'!$J$140)/A26taxstdlife))</f>
        <v>0</v>
      </c>
      <c r="Q441" s="18">
        <f>IF(A26taxstdlife="n/a","n/a",IF(Q$3&gt;(A26taxstdlife+$E441),('RFM input'!$J$86-'RFM input'!$J$140)-SUM($J441:P441),('RFM input'!$J$86-'RFM input'!$J$140)/A26taxstdlife))</f>
        <v>0</v>
      </c>
      <c r="R441" s="18"/>
      <c r="S441" s="74"/>
      <c r="T441" s="74"/>
      <c r="U441" s="74"/>
      <c r="V441" s="74"/>
      <c r="W441" s="74"/>
      <c r="X441" s="74"/>
      <c r="Y441" s="74"/>
      <c r="Z441" s="74"/>
      <c r="AA441" s="152"/>
    </row>
    <row r="442" spans="1:27" ht="12.75" hidden="1" customHeight="1" outlineLevel="2">
      <c r="A442" s="3"/>
      <c r="B442" s="3"/>
      <c r="C442" s="16"/>
      <c r="D442" s="1594"/>
      <c r="E442" s="61">
        <v>4</v>
      </c>
      <c r="F442" s="17"/>
      <c r="G442" s="17"/>
      <c r="H442" s="1414"/>
      <c r="I442" s="1414"/>
      <c r="J442" s="115"/>
      <c r="K442" s="116"/>
      <c r="L442" s="18">
        <f>IF(A26taxstdlife="n/a","n/a",IF(L$3&gt;(A26taxstdlife+$E442),('RFM input'!$K$86-'RFM input'!$K$140)-SUM($K442:K442),('RFM input'!$K$86-'RFM input'!$K$140)/A26taxstdlife))</f>
        <v>0</v>
      </c>
      <c r="M442" s="18">
        <f>IF(A26taxstdlife="n/a","n/a",IF(M$3&gt;(A26taxstdlife+$E442),('RFM input'!$K$86-'RFM input'!$K$140)-SUM($K442:L442),('RFM input'!$K$86-'RFM input'!$K$140)/A26taxstdlife))</f>
        <v>0</v>
      </c>
      <c r="N442" s="18">
        <f>IF(A26taxstdlife="n/a","n/a",IF(N$3&gt;(A26taxstdlife+$E442),('RFM input'!$K$86-'RFM input'!$K$140)-SUM($K442:M442),('RFM input'!$K$86-'RFM input'!$K$140)/A26taxstdlife))</f>
        <v>0</v>
      </c>
      <c r="O442" s="18">
        <f>IF(A26taxstdlife="n/a","n/a",IF(O$3&gt;(A26taxstdlife+$E442),('RFM input'!$K$86-'RFM input'!$K$140)-SUM($K442:N442),('RFM input'!$K$86-'RFM input'!$K$140)/A26taxstdlife))</f>
        <v>0</v>
      </c>
      <c r="P442" s="18">
        <f>IF(A26taxstdlife="n/a","n/a",IF(P$3&gt;(A26taxstdlife+$E442),('RFM input'!$K$86-'RFM input'!$K$140)-SUM($K442:O442),('RFM input'!$K$86-'RFM input'!$K$140)/A26taxstdlife))</f>
        <v>0</v>
      </c>
      <c r="Q442" s="18">
        <f>IF(A26taxstdlife="n/a","n/a",IF(Q$3&gt;(A26taxstdlife+$E442),('RFM input'!$K$86-'RFM input'!$K$140)-SUM($K442:P442),('RFM input'!$K$86-'RFM input'!$K$140)/A26taxstdlife))</f>
        <v>0</v>
      </c>
      <c r="R442" s="18"/>
      <c r="S442" s="74"/>
      <c r="T442" s="74"/>
      <c r="U442" s="74"/>
      <c r="V442" s="74"/>
      <c r="W442" s="74"/>
      <c r="X442" s="74"/>
      <c r="Y442" s="74"/>
      <c r="Z442" s="74"/>
      <c r="AA442" s="152"/>
    </row>
    <row r="443" spans="1:27" ht="12.75" hidden="1" customHeight="1" outlineLevel="2">
      <c r="A443" s="3"/>
      <c r="B443" s="3"/>
      <c r="C443" s="16"/>
      <c r="D443" s="1594"/>
      <c r="E443" s="61">
        <v>5</v>
      </c>
      <c r="F443" s="17"/>
      <c r="G443" s="17"/>
      <c r="H443" s="1414"/>
      <c r="I443" s="1414"/>
      <c r="J443" s="115"/>
      <c r="K443" s="115"/>
      <c r="L443" s="116"/>
      <c r="M443" s="18">
        <f>IF(A26taxstdlife="n/a","n/a",IF(M$3&gt;(A26taxstdlife+$E443),('RFM input'!$L$86-'RFM input'!$L$140)-SUM($L443:L443),('RFM input'!$L$86-'RFM input'!$L$140)/A26taxstdlife))</f>
        <v>0</v>
      </c>
      <c r="N443" s="18">
        <f>IF(A26taxstdlife="n/a","n/a",IF(N$3&gt;(A26taxstdlife+$E443),('RFM input'!$L$86-'RFM input'!$L$140)-SUM($L443:M443),('RFM input'!$L$86-'RFM input'!$L$140)/A26taxstdlife))</f>
        <v>0</v>
      </c>
      <c r="O443" s="18">
        <f>IF(A26taxstdlife="n/a","n/a",IF(O$3&gt;(A26taxstdlife+$E443),('RFM input'!$L$86-'RFM input'!$L$140)-SUM($L443:N443),('RFM input'!$L$86-'RFM input'!$L$140)/A26taxstdlife))</f>
        <v>0</v>
      </c>
      <c r="P443" s="18">
        <f>IF(A26taxstdlife="n/a","n/a",IF(P$3&gt;(A26taxstdlife+$E443),('RFM input'!$L$86-'RFM input'!$L$140)-SUM($L443:O443),('RFM input'!$L$86-'RFM input'!$L$140)/A26taxstdlife))</f>
        <v>0</v>
      </c>
      <c r="Q443" s="18">
        <f>IF(A26taxstdlife="n/a","n/a",IF(Q$3&gt;(A26taxstdlife+$E443),('RFM input'!$L$86-'RFM input'!$L$140)-SUM($L443:P443),('RFM input'!$L$86-'RFM input'!$L$140)/A26taxstdlife))</f>
        <v>0</v>
      </c>
      <c r="R443" s="18"/>
      <c r="S443" s="74"/>
      <c r="T443" s="74"/>
      <c r="U443" s="74"/>
      <c r="V443" s="74"/>
      <c r="W443" s="74"/>
      <c r="X443" s="74"/>
      <c r="Y443" s="74"/>
      <c r="Z443" s="74"/>
      <c r="AA443" s="152"/>
    </row>
    <row r="444" spans="1:27" ht="12.75" hidden="1" customHeight="1" outlineLevel="2">
      <c r="A444" s="3"/>
      <c r="B444" s="3"/>
      <c r="C444" s="16"/>
      <c r="D444" s="1594"/>
      <c r="E444" s="61">
        <v>6</v>
      </c>
      <c r="F444" s="17"/>
      <c r="G444" s="17"/>
      <c r="H444" s="1414"/>
      <c r="I444" s="1414"/>
      <c r="J444" s="115"/>
      <c r="K444" s="115"/>
      <c r="L444" s="115"/>
      <c r="M444" s="116"/>
      <c r="N444" s="18">
        <f>IF(A26taxstdlife="n/a","n/a",IF(N$3&gt;(A26taxstdlife+$E444),('RFM input'!$M$86-'RFM input'!$M$140)-SUM($M444:M444),('RFM input'!$M$86-'RFM input'!$M$140)/A26taxstdlife))</f>
        <v>0</v>
      </c>
      <c r="O444" s="18">
        <f>IF(A26taxstdlife="n/a","n/a",IF(O$3&gt;(A26taxstdlife+$E444),('RFM input'!$M$86-'RFM input'!$M$140)-SUM($M444:N444),('RFM input'!$M$86-'RFM input'!$M$140)/A26taxstdlife))</f>
        <v>0</v>
      </c>
      <c r="P444" s="18">
        <f>IF(A26taxstdlife="n/a","n/a",IF(P$3&gt;(A26taxstdlife+$E444),('RFM input'!$M$86-'RFM input'!$M$140)-SUM($M444:O444),('RFM input'!$M$86-'RFM input'!$M$140)/A26taxstdlife))</f>
        <v>0</v>
      </c>
      <c r="Q444" s="18">
        <f>IF(A26taxstdlife="n/a","n/a",IF(Q$3&gt;(A26taxstdlife+$E444),('RFM input'!$M$86-'RFM input'!$M$140)-SUM($M444:P444),('RFM input'!$M$86-'RFM input'!$M$140)/A26taxstdlife))</f>
        <v>0</v>
      </c>
      <c r="R444" s="18"/>
      <c r="S444" s="74"/>
      <c r="T444" s="74"/>
      <c r="U444" s="74"/>
      <c r="V444" s="74"/>
      <c r="W444" s="74"/>
      <c r="X444" s="74"/>
      <c r="Y444" s="74"/>
      <c r="Z444" s="74"/>
      <c r="AA444" s="152"/>
    </row>
    <row r="445" spans="1:27" ht="12.75" hidden="1" customHeight="1" outlineLevel="2">
      <c r="A445" s="3"/>
      <c r="B445" s="3"/>
      <c r="C445" s="16"/>
      <c r="D445" s="1594"/>
      <c r="E445" s="61">
        <v>7</v>
      </c>
      <c r="F445" s="17"/>
      <c r="G445" s="17"/>
      <c r="H445" s="1414"/>
      <c r="I445" s="1414"/>
      <c r="J445" s="115"/>
      <c r="K445" s="115"/>
      <c r="L445" s="115"/>
      <c r="M445" s="115"/>
      <c r="N445" s="116"/>
      <c r="O445" s="18">
        <f>IF(A26taxstdlife="n/a","n/a",IF(O$3&gt;(A26taxstdlife+$E445),('RFM input'!$N$86-'RFM input'!$N$140)-SUM($N445:N445),('RFM input'!$N$86-'RFM input'!$N$140)/A26taxstdlife))</f>
        <v>0</v>
      </c>
      <c r="P445" s="18">
        <f>IF(A26taxstdlife="n/a","n/a",IF(P$3&gt;(A26taxstdlife+$E445),('RFM input'!$N$86-'RFM input'!$N$140)-SUM($N445:O445),('RFM input'!$N$86-'RFM input'!$N$140)/A26taxstdlife))</f>
        <v>0</v>
      </c>
      <c r="Q445" s="18">
        <f>IF(A26taxstdlife="n/a","n/a",IF(Q$3&gt;(A26taxstdlife+$E445),('RFM input'!$N$86-'RFM input'!$N$140)-SUM($N445:P445),('RFM input'!$N$86-'RFM input'!$N$140)/A26taxstdlife))</f>
        <v>0</v>
      </c>
      <c r="R445" s="18"/>
      <c r="S445" s="74"/>
      <c r="T445" s="74"/>
      <c r="U445" s="74"/>
      <c r="V445" s="74"/>
      <c r="W445" s="74"/>
      <c r="X445" s="74"/>
      <c r="Y445" s="74"/>
      <c r="Z445" s="74"/>
      <c r="AA445" s="152"/>
    </row>
    <row r="446" spans="1:27" ht="12.75" hidden="1" customHeight="1" outlineLevel="2">
      <c r="A446" s="3"/>
      <c r="B446" s="3"/>
      <c r="C446" s="16"/>
      <c r="D446" s="1594"/>
      <c r="E446" s="61">
        <v>8</v>
      </c>
      <c r="F446" s="17"/>
      <c r="G446" s="17"/>
      <c r="H446" s="1414"/>
      <c r="I446" s="1414"/>
      <c r="J446" s="115"/>
      <c r="K446" s="115"/>
      <c r="L446" s="115"/>
      <c r="M446" s="115"/>
      <c r="N446" s="115"/>
      <c r="O446" s="116"/>
      <c r="P446" s="18">
        <f>IF(A26taxstdlife="n/a","n/a",IF(P$3&gt;(A26taxstdlife+$E446),('RFM input'!$O$86-'RFM input'!$O$140)-SUM($O446:O446),('RFM input'!$O$86-'RFM input'!$O$140)/A26taxstdlife))</f>
        <v>0</v>
      </c>
      <c r="Q446" s="18">
        <f>IF(A26taxstdlife="n/a","n/a",IF(Q$3&gt;(A26taxstdlife+$E446),('RFM input'!$O$86-'RFM input'!$O$140)-SUM($O446:P446),('RFM input'!$O$86-'RFM input'!$O$140)/A26taxstdlife))</f>
        <v>0</v>
      </c>
      <c r="R446" s="18"/>
      <c r="S446" s="74"/>
      <c r="T446" s="74"/>
      <c r="U446" s="74"/>
      <c r="V446" s="74"/>
      <c r="W446" s="74"/>
      <c r="X446" s="74"/>
      <c r="Y446" s="74"/>
      <c r="Z446" s="74"/>
      <c r="AA446" s="152"/>
    </row>
    <row r="447" spans="1:27" ht="12.75" hidden="1" customHeight="1" outlineLevel="2">
      <c r="A447" s="3"/>
      <c r="B447" s="3"/>
      <c r="C447" s="16"/>
      <c r="D447" s="1594"/>
      <c r="E447" s="61">
        <v>9</v>
      </c>
      <c r="F447" s="17"/>
      <c r="G447" s="17"/>
      <c r="H447" s="1414"/>
      <c r="I447" s="1414"/>
      <c r="J447" s="115"/>
      <c r="K447" s="115"/>
      <c r="L447" s="115"/>
      <c r="M447" s="115"/>
      <c r="N447" s="115"/>
      <c r="O447" s="115"/>
      <c r="P447" s="116"/>
      <c r="Q447" s="18">
        <f>IF(A26taxstdlife="n/a","n/a",IF(Q$3&gt;(A26taxstdlife+$E447),('RFM input'!$P$86-'RFM input'!$P$140)-SUM($P447:P447),('RFM input'!$P$86-'RFM input'!$P$140)/A26taxstdlife))</f>
        <v>0</v>
      </c>
      <c r="R447" s="18"/>
      <c r="S447" s="74"/>
      <c r="T447" s="74"/>
      <c r="U447" s="74"/>
      <c r="V447" s="74"/>
      <c r="W447" s="74"/>
      <c r="X447" s="74"/>
      <c r="Y447" s="74"/>
      <c r="Z447" s="74"/>
      <c r="AA447" s="152"/>
    </row>
    <row r="448" spans="1:27" ht="12.75" hidden="1" customHeight="1" outlineLevel="2">
      <c r="A448" s="3"/>
      <c r="B448" s="3"/>
      <c r="C448" s="16"/>
      <c r="D448" s="1594"/>
      <c r="E448" s="62">
        <v>10</v>
      </c>
      <c r="F448" s="17"/>
      <c r="G448" s="17"/>
      <c r="H448" s="1414"/>
      <c r="I448" s="1414"/>
      <c r="J448" s="115"/>
      <c r="K448" s="115"/>
      <c r="L448" s="115"/>
      <c r="M448" s="115"/>
      <c r="N448" s="115"/>
      <c r="O448" s="115"/>
      <c r="P448" s="115"/>
      <c r="Q448" s="116"/>
      <c r="R448" s="18"/>
      <c r="S448" s="74"/>
      <c r="T448" s="74"/>
      <c r="U448" s="74"/>
      <c r="V448" s="74"/>
      <c r="W448" s="74"/>
      <c r="X448" s="74"/>
      <c r="Y448" s="74"/>
      <c r="Z448" s="74"/>
      <c r="AA448" s="152"/>
    </row>
    <row r="449" spans="1:27" hidden="1" outlineLevel="1">
      <c r="A449" s="3"/>
      <c r="B449" s="3"/>
      <c r="C449" s="134">
        <f>Asset26</f>
        <v>0</v>
      </c>
      <c r="D449" s="3"/>
      <c r="E449" s="3"/>
      <c r="F449" s="14"/>
      <c r="G449" s="14"/>
      <c r="H449" s="1460">
        <f>IF('RFM input'!$G$354="Tracked",-1*INDEX('RFM input'!H$358:H$407,MATCH('TAB roll forward'!$C449,'RFM input'!$E$358:$E$407,0)),-SUM(H437:H448))</f>
        <v>0</v>
      </c>
      <c r="I449" s="1460">
        <f>IF('RFM input'!$G$354="Tracked",-1*INDEX('RFM input'!I$358:I$407,MATCH('TAB roll forward'!$C449,'RFM input'!$E$358:$E$407,0)),-SUM(I437:I448))</f>
        <v>0</v>
      </c>
      <c r="J449" s="1460">
        <f>IF(COUNT($H449:I449)&gt;='RFM input'!$V$7,0,IF('RFM input'!$G$354="Tracked",-1*INDEX('RFM input'!J$358:J$407,MATCH('TAB roll forward'!$C449,'RFM input'!$E$358:$E$407,0)),-SUM(J437:J448)))</f>
        <v>0</v>
      </c>
      <c r="K449" s="1460">
        <f>IF(COUNT($H449:J449)&gt;='RFM input'!$V$7,0,IF('RFM input'!$G$354="Tracked",-1*INDEX('RFM input'!K$358:K$407,MATCH('TAB roll forward'!$C449,'RFM input'!$E$358:$E$407,0)),-SUM(K437:K448)))</f>
        <v>0</v>
      </c>
      <c r="L449" s="1460">
        <f>IF(COUNT($H449:K449)&gt;='RFM input'!$V$7,0,IF('RFM input'!$G$354="Tracked",-1*INDEX('RFM input'!L$358:L$407,MATCH('TAB roll forward'!$C449,'RFM input'!$E$358:$E$407,0)),-SUM(L437:L448)))</f>
        <v>0</v>
      </c>
      <c r="M449" s="1460">
        <f>IF(COUNT($H449:L449)&gt;='RFM input'!$V$7,0,IF('RFM input'!$G$354="Tracked",-1*INDEX('RFM input'!M$358:M$407,MATCH('TAB roll forward'!$C449,'RFM input'!$E$358:$E$407,0)),-SUM(M437:M448)))</f>
        <v>0</v>
      </c>
      <c r="N449" s="1460">
        <f>IF(COUNT($H449:M449)&gt;='RFM input'!$V$7,0,IF('RFM input'!$G$354="Tracked",-1*INDEX('RFM input'!N$358:N$407,MATCH('TAB roll forward'!$C449,'RFM input'!$E$358:$E$407,0)),-SUM(N437:N448)))</f>
        <v>0</v>
      </c>
      <c r="O449" s="1460">
        <f>IF(COUNT($H449:N449)&gt;='RFM input'!$V$7,0,IF('RFM input'!$G$354="Tracked",-1*INDEX('RFM input'!O$358:O$407,MATCH('TAB roll forward'!$C449,'RFM input'!$E$358:$E$407,0)),-SUM(O437:O448)))</f>
        <v>0</v>
      </c>
      <c r="P449" s="1460">
        <f>IF(COUNT($H449:O449)&gt;='RFM input'!$V$7,0,IF('RFM input'!$G$354="Tracked",-1*INDEX('RFM input'!P$358:P$407,MATCH('TAB roll forward'!$C449,'RFM input'!$E$358:$E$407,0)),-SUM(P437:P448)))</f>
        <v>0</v>
      </c>
      <c r="Q449" s="1460">
        <f>IF(COUNT($H449:P449)&gt;='RFM input'!$V$7,0,IF('RFM input'!$G$354="Tracked",-1*INDEX('RFM input'!Q$358:Q$407,MATCH('TAB roll forward'!$C449,'RFM input'!$E$358:$E$407,0)),-SUM(Q437:Q448)))</f>
        <v>0</v>
      </c>
      <c r="R449" s="1382"/>
      <c r="S449" s="73"/>
      <c r="T449" s="73"/>
      <c r="U449" s="73"/>
      <c r="V449" s="73"/>
      <c r="W449" s="73"/>
      <c r="X449" s="73"/>
      <c r="Y449" s="73"/>
      <c r="Z449" s="73"/>
      <c r="AA449" s="152"/>
    </row>
    <row r="450" spans="1:27" ht="12.75" hidden="1" customHeight="1" outlineLevel="2">
      <c r="A450" s="3"/>
      <c r="B450" s="135">
        <f>Asset27</f>
        <v>0</v>
      </c>
      <c r="C450" s="19"/>
      <c r="D450" s="234" t="s">
        <v>119</v>
      </c>
      <c r="E450" s="19"/>
      <c r="F450" s="148"/>
      <c r="G450" s="148"/>
      <c r="H450" s="21">
        <f>IF(H$3&gt;A27taxremlife,A27taxvalue-SUM($F450:F450),IF(A27taxremlife="N/A","n/a",A27taxvalue/A27taxremlife))</f>
        <v>0</v>
      </c>
      <c r="I450" s="21">
        <f>IF(I$3&gt;A27taxremlife,A27taxvalue-SUM($F450:H450),IF(A27taxremlife="N/A","n/a",A27taxvalue/A27taxremlife))</f>
        <v>0</v>
      </c>
      <c r="J450" s="21">
        <f>IF(J$3&gt;A27taxremlife,A27taxvalue-SUM($F450:I450),IF(A27taxremlife="N/A","n/a",A27taxvalue/A27taxremlife))</f>
        <v>0</v>
      </c>
      <c r="K450" s="21">
        <f>IF(K$3&gt;A27taxremlife,A27taxvalue-SUM($F450:J450),IF(A27taxremlife="N/A","n/a",A27taxvalue/A27taxremlife))</f>
        <v>0</v>
      </c>
      <c r="L450" s="21">
        <f>IF(L$3&gt;A27taxremlife,A27taxvalue-SUM($F450:K450),IF(A27taxremlife="N/A","n/a",A27taxvalue/A27taxremlife))</f>
        <v>0</v>
      </c>
      <c r="M450" s="21">
        <f>IF(M$3&gt;A27taxremlife,A27taxvalue-SUM($F450:L450),IF(A27taxremlife="N/A","n/a",A27taxvalue/A27taxremlife))</f>
        <v>0</v>
      </c>
      <c r="N450" s="21">
        <f>IF(N$3&gt;A27taxremlife,A27taxvalue-SUM($F450:M450),IF(A27taxremlife="N/A","n/a",A27taxvalue/A27taxremlife))</f>
        <v>0</v>
      </c>
      <c r="O450" s="21">
        <f>IF(O$3&gt;A27taxremlife,A27taxvalue-SUM($F450:N450),IF(A27taxremlife="N/A","n/a",A27taxvalue/A27taxremlife))</f>
        <v>0</v>
      </c>
      <c r="P450" s="21">
        <f>IF(P$3&gt;A27taxremlife,A27taxvalue-SUM($F450:O450),IF(A27taxremlife="N/A","n/a",A27taxvalue/A27taxremlife))</f>
        <v>0</v>
      </c>
      <c r="Q450" s="21">
        <f>IF(Q$3&gt;A27taxremlife,A27taxvalue-SUM($F450:P450),IF(A27taxremlife="N/A","n/a",A27taxvalue/A27taxremlife))</f>
        <v>0</v>
      </c>
      <c r="R450" s="21"/>
      <c r="S450" s="74"/>
      <c r="T450" s="74"/>
      <c r="U450" s="74"/>
      <c r="V450" s="74"/>
      <c r="W450" s="74"/>
      <c r="X450" s="74"/>
      <c r="Y450" s="74"/>
      <c r="Z450" s="74"/>
      <c r="AA450" s="152"/>
    </row>
    <row r="451" spans="1:27" ht="12.75" hidden="1" customHeight="1" outlineLevel="2">
      <c r="A451" s="3"/>
      <c r="B451" s="3"/>
      <c r="C451" s="16"/>
      <c r="D451" s="1593" t="s">
        <v>43</v>
      </c>
      <c r="E451" s="61"/>
      <c r="F451" s="17"/>
      <c r="G451" s="17"/>
      <c r="H451" s="1413"/>
      <c r="I451" s="72"/>
      <c r="J451" s="18"/>
      <c r="K451" s="18"/>
      <c r="L451" s="18"/>
      <c r="M451" s="18"/>
      <c r="N451" s="18"/>
      <c r="O451" s="18"/>
      <c r="P451" s="18"/>
      <c r="Q451" s="18"/>
      <c r="R451" s="18"/>
      <c r="S451" s="74"/>
      <c r="T451" s="74"/>
      <c r="U451" s="74"/>
      <c r="V451" s="74"/>
      <c r="W451" s="74"/>
      <c r="X451" s="74"/>
      <c r="Y451" s="74"/>
      <c r="Z451" s="74"/>
      <c r="AA451" s="152"/>
    </row>
    <row r="452" spans="1:27" ht="12.75" hidden="1" customHeight="1" outlineLevel="2">
      <c r="A452" s="3"/>
      <c r="B452" s="3"/>
      <c r="C452" s="16"/>
      <c r="D452" s="1594"/>
      <c r="E452" s="61">
        <v>1</v>
      </c>
      <c r="F452" s="17"/>
      <c r="G452" s="17"/>
      <c r="H452" s="1414"/>
      <c r="I452" s="1415">
        <f>IF(A27taxstdlife="n/a","n/a",IF(I$3&gt;(A27taxstdlife+$E452),('RFM input'!$H$87-'RFM input'!$H$141)-SUM($H452:H452),('RFM input'!$H$87-'RFM input'!$H$141)/A27taxstdlife))</f>
        <v>0</v>
      </c>
      <c r="J452" s="18">
        <f>IF(A27taxstdlife="n/a","n/a",IF(J$3&gt;(A27taxstdlife+$E452),('RFM input'!$H$87-'RFM input'!$H$141)-SUM($H452:I452),('RFM input'!$H$87-'RFM input'!$H$141)/A27taxstdlife))</f>
        <v>0</v>
      </c>
      <c r="K452" s="18">
        <f>IF(A27taxstdlife="n/a","n/a",IF(K$3&gt;(A27taxstdlife+$E452),('RFM input'!$H$87-'RFM input'!$H$141)-SUM($H452:J452),('RFM input'!$H$87-'RFM input'!$H$141)/A27taxstdlife))</f>
        <v>0</v>
      </c>
      <c r="L452" s="18">
        <f>IF(A27taxstdlife="n/a","n/a",IF(L$3&gt;(A27taxstdlife+$E452),('RFM input'!$H$87-'RFM input'!$H$141)-SUM($H452:K452),('RFM input'!$H$87-'RFM input'!$H$141)/A27taxstdlife))</f>
        <v>0</v>
      </c>
      <c r="M452" s="18">
        <f>IF(A27taxstdlife="n/a","n/a",IF(M$3&gt;(A27taxstdlife+$E452),('RFM input'!$H$87-'RFM input'!$H$141)-SUM($H452:L452),('RFM input'!$H$87-'RFM input'!$H$141)/A27taxstdlife))</f>
        <v>0</v>
      </c>
      <c r="N452" s="18">
        <f>IF(A27taxstdlife="n/a","n/a",IF(N$3&gt;(A27taxstdlife+$E452),('RFM input'!$H$87-'RFM input'!$H$141)-SUM($H452:M452),('RFM input'!$H$87-'RFM input'!$H$141)/A27taxstdlife))</f>
        <v>0</v>
      </c>
      <c r="O452" s="18">
        <f>IF(A27taxstdlife="n/a","n/a",IF(O$3&gt;(A27taxstdlife+$E452),('RFM input'!$H$87-'RFM input'!$H$141)-SUM($H452:N452),('RFM input'!$H$87-'RFM input'!$H$141)/A27taxstdlife))</f>
        <v>0</v>
      </c>
      <c r="P452" s="18">
        <f>IF(A27taxstdlife="n/a","n/a",IF(P$3&gt;(A27taxstdlife+$E452),('RFM input'!$H$87-'RFM input'!$H$141)-SUM($H452:O452),('RFM input'!$H$87-'RFM input'!$H$141)/A27taxstdlife))</f>
        <v>0</v>
      </c>
      <c r="Q452" s="18">
        <f>IF(A27taxstdlife="n/a","n/a",IF(Q$3&gt;(A27taxstdlife+$E452),('RFM input'!$H$87-'RFM input'!$H$141)-SUM($H452:P452),('RFM input'!$H$87-'RFM input'!$H$141)/A27taxstdlife))</f>
        <v>0</v>
      </c>
      <c r="R452" s="18"/>
      <c r="S452" s="74"/>
      <c r="T452" s="74"/>
      <c r="U452" s="74"/>
      <c r="V452" s="74"/>
      <c r="W452" s="74"/>
      <c r="X452" s="74"/>
      <c r="Y452" s="74"/>
      <c r="Z452" s="74"/>
      <c r="AA452" s="152"/>
    </row>
    <row r="453" spans="1:27" ht="12.75" hidden="1" customHeight="1" outlineLevel="2">
      <c r="A453" s="3"/>
      <c r="B453" s="3"/>
      <c r="C453" s="16"/>
      <c r="D453" s="1594"/>
      <c r="E453" s="61">
        <v>2</v>
      </c>
      <c r="F453" s="17"/>
      <c r="G453" s="17"/>
      <c r="H453" s="1414"/>
      <c r="I453" s="1414"/>
      <c r="J453" s="18">
        <f>IF(A27taxstdlife="n/a","n/a",IF(J$3&gt;(A27taxstdlife+$E453),('RFM input'!$I$87-'RFM input'!$I$141)-SUM($I453:I453),('RFM input'!$I$87-'RFM input'!$I$141)/A27taxstdlife))</f>
        <v>0</v>
      </c>
      <c r="K453" s="18">
        <f>IF(A27taxstdlife="n/a","n/a",IF(K$3&gt;(A27taxstdlife+$E453),('RFM input'!$I$87-'RFM input'!$I$141)-SUM($I453:J453),('RFM input'!$I$87-'RFM input'!$I$141)/A27taxstdlife))</f>
        <v>0</v>
      </c>
      <c r="L453" s="18">
        <f>IF(A27taxstdlife="n/a","n/a",IF(L$3&gt;(A27taxstdlife+$E453),('RFM input'!$I$87-'RFM input'!$I$141)-SUM($I453:K453),('RFM input'!$I$87-'RFM input'!$I$141)/A27taxstdlife))</f>
        <v>0</v>
      </c>
      <c r="M453" s="18">
        <f>IF(A27taxstdlife="n/a","n/a",IF(M$3&gt;(A27taxstdlife+$E453),('RFM input'!$I$87-'RFM input'!$I$141)-SUM($I453:L453),('RFM input'!$I$87-'RFM input'!$I$141)/A27taxstdlife))</f>
        <v>0</v>
      </c>
      <c r="N453" s="18">
        <f>IF(A27taxstdlife="n/a","n/a",IF(N$3&gt;(A27taxstdlife+$E453),('RFM input'!$I$87-'RFM input'!$I$141)-SUM($I453:M453),('RFM input'!$I$87-'RFM input'!$I$141)/A27taxstdlife))</f>
        <v>0</v>
      </c>
      <c r="O453" s="18">
        <f>IF(A27taxstdlife="n/a","n/a",IF(O$3&gt;(A27taxstdlife+$E453),('RFM input'!$I$87-'RFM input'!$I$141)-SUM($I453:N453),('RFM input'!$I$87-'RFM input'!$I$141)/A27taxstdlife))</f>
        <v>0</v>
      </c>
      <c r="P453" s="18">
        <f>IF(A27taxstdlife="n/a","n/a",IF(P$3&gt;(A27taxstdlife+$E453),('RFM input'!$I$87-'RFM input'!$I$141)-SUM($I453:O453),('RFM input'!$I$87-'RFM input'!$I$141)/A27taxstdlife))</f>
        <v>0</v>
      </c>
      <c r="Q453" s="18">
        <f>IF(A27taxstdlife="n/a","n/a",IF(Q$3&gt;(A27taxstdlife+$E453),('RFM input'!$I$87-'RFM input'!$I$141)-SUM($I453:P453),('RFM input'!$I$87-'RFM input'!$I$141)/A27taxstdlife))</f>
        <v>0</v>
      </c>
      <c r="R453" s="18"/>
      <c r="S453" s="74"/>
      <c r="T453" s="74"/>
      <c r="U453" s="74"/>
      <c r="V453" s="74"/>
      <c r="W453" s="74"/>
      <c r="X453" s="74"/>
      <c r="Y453" s="74"/>
      <c r="Z453" s="74"/>
      <c r="AA453" s="152"/>
    </row>
    <row r="454" spans="1:27" ht="12.75" hidden="1" customHeight="1" outlineLevel="2">
      <c r="A454" s="3"/>
      <c r="B454" s="3"/>
      <c r="C454" s="16"/>
      <c r="D454" s="1594"/>
      <c r="E454" s="61">
        <v>3</v>
      </c>
      <c r="F454" s="17"/>
      <c r="G454" s="17"/>
      <c r="H454" s="1414"/>
      <c r="I454" s="1414"/>
      <c r="J454" s="116"/>
      <c r="K454" s="18">
        <f>IF(A27taxstdlife="n/a","n/a",IF(K$3&gt;(A27taxstdlife+$E454),('RFM input'!$J$87-'RFM input'!$J$141)-SUM($J454:J454),('RFM input'!$J$87-'RFM input'!$J$141)/A27taxstdlife))</f>
        <v>0</v>
      </c>
      <c r="L454" s="18">
        <f>IF(A27taxstdlife="n/a","n/a",IF(L$3&gt;(A27taxstdlife+$E454),('RFM input'!$J$87-'RFM input'!$J$141)-SUM($J454:K454),('RFM input'!$J$87-'RFM input'!$J$141)/A27taxstdlife))</f>
        <v>0</v>
      </c>
      <c r="M454" s="18">
        <f>IF(A27taxstdlife="n/a","n/a",IF(M$3&gt;(A27taxstdlife+$E454),('RFM input'!$J$87-'RFM input'!$J$141)-SUM($J454:L454),('RFM input'!$J$87-'RFM input'!$J$141)/A27taxstdlife))</f>
        <v>0</v>
      </c>
      <c r="N454" s="18">
        <f>IF(A27taxstdlife="n/a","n/a",IF(N$3&gt;(A27taxstdlife+$E454),('RFM input'!$J$87-'RFM input'!$J$141)-SUM($J454:M454),('RFM input'!$J$87-'RFM input'!$J$141)/A27taxstdlife))</f>
        <v>0</v>
      </c>
      <c r="O454" s="18">
        <f>IF(A27taxstdlife="n/a","n/a",IF(O$3&gt;(A27taxstdlife+$E454),('RFM input'!$J$87-'RFM input'!$J$141)-SUM($J454:N454),('RFM input'!$J$87-'RFM input'!$J$141)/A27taxstdlife))</f>
        <v>0</v>
      </c>
      <c r="P454" s="18">
        <f>IF(A27taxstdlife="n/a","n/a",IF(P$3&gt;(A27taxstdlife+$E454),('RFM input'!$J$87-'RFM input'!$J$141)-SUM($J454:O454),('RFM input'!$J$87-'RFM input'!$J$141)/A27taxstdlife))</f>
        <v>0</v>
      </c>
      <c r="Q454" s="18">
        <f>IF(A27taxstdlife="n/a","n/a",IF(Q$3&gt;(A27taxstdlife+$E454),('RFM input'!$J$87-'RFM input'!$J$141)-SUM($J454:P454),('RFM input'!$J$87-'RFM input'!$J$141)/A27taxstdlife))</f>
        <v>0</v>
      </c>
      <c r="R454" s="18"/>
      <c r="S454" s="74"/>
      <c r="T454" s="74"/>
      <c r="U454" s="74"/>
      <c r="V454" s="74"/>
      <c r="W454" s="74"/>
      <c r="X454" s="74"/>
      <c r="Y454" s="74"/>
      <c r="Z454" s="74"/>
      <c r="AA454" s="152"/>
    </row>
    <row r="455" spans="1:27" ht="12.75" hidden="1" customHeight="1" outlineLevel="2">
      <c r="A455" s="3"/>
      <c r="B455" s="3"/>
      <c r="C455" s="16"/>
      <c r="D455" s="1594"/>
      <c r="E455" s="61">
        <v>4</v>
      </c>
      <c r="F455" s="17"/>
      <c r="G455" s="17"/>
      <c r="H455" s="1414"/>
      <c r="I455" s="1414"/>
      <c r="J455" s="115"/>
      <c r="K455" s="116"/>
      <c r="L455" s="18">
        <f>IF(A27taxstdlife="n/a","n/a",IF(L$3&gt;(A27taxstdlife+$E455),('RFM input'!$K$87-'RFM input'!$K$141)-SUM($K455:K455),('RFM input'!$K$87-'RFM input'!$K$141)/A27taxstdlife))</f>
        <v>0</v>
      </c>
      <c r="M455" s="18">
        <f>IF(A27taxstdlife="n/a","n/a",IF(M$3&gt;(A27taxstdlife+$E455),('RFM input'!$K$87-'RFM input'!$K$141)-SUM($K455:L455),('RFM input'!$K$87-'RFM input'!$K$141)/A27taxstdlife))</f>
        <v>0</v>
      </c>
      <c r="N455" s="18">
        <f>IF(A27taxstdlife="n/a","n/a",IF(N$3&gt;(A27taxstdlife+$E455),('RFM input'!$K$87-'RFM input'!$K$141)-SUM($K455:M455),('RFM input'!$K$87-'RFM input'!$K$141)/A27taxstdlife))</f>
        <v>0</v>
      </c>
      <c r="O455" s="18">
        <f>IF(A27taxstdlife="n/a","n/a",IF(O$3&gt;(A27taxstdlife+$E455),('RFM input'!$K$87-'RFM input'!$K$141)-SUM($K455:N455),('RFM input'!$K$87-'RFM input'!$K$141)/A27taxstdlife))</f>
        <v>0</v>
      </c>
      <c r="P455" s="18">
        <f>IF(A27taxstdlife="n/a","n/a",IF(P$3&gt;(A27taxstdlife+$E455),('RFM input'!$K$87-'RFM input'!$K$141)-SUM($K455:O455),('RFM input'!$K$87-'RFM input'!$K$141)/A27taxstdlife))</f>
        <v>0</v>
      </c>
      <c r="Q455" s="18">
        <f>IF(A27taxstdlife="n/a","n/a",IF(Q$3&gt;(A27taxstdlife+$E455),('RFM input'!$K$87-'RFM input'!$K$141)-SUM($K455:P455),('RFM input'!$K$87-'RFM input'!$K$141)/A27taxstdlife))</f>
        <v>0</v>
      </c>
      <c r="R455" s="18"/>
      <c r="S455" s="74"/>
      <c r="T455" s="74"/>
      <c r="U455" s="74"/>
      <c r="V455" s="74"/>
      <c r="W455" s="74"/>
      <c r="X455" s="74"/>
      <c r="Y455" s="74"/>
      <c r="Z455" s="74"/>
      <c r="AA455" s="152"/>
    </row>
    <row r="456" spans="1:27" ht="12.75" hidden="1" customHeight="1" outlineLevel="2">
      <c r="A456" s="3"/>
      <c r="B456" s="3"/>
      <c r="C456" s="16"/>
      <c r="D456" s="1594"/>
      <c r="E456" s="61">
        <v>5</v>
      </c>
      <c r="F456" s="17"/>
      <c r="G456" s="17"/>
      <c r="H456" s="1414"/>
      <c r="I456" s="1414"/>
      <c r="J456" s="115"/>
      <c r="K456" s="115"/>
      <c r="L456" s="116"/>
      <c r="M456" s="18">
        <f>IF(A27taxstdlife="n/a","n/a",IF(M$3&gt;(A27taxstdlife+$E456),('RFM input'!$L$87-'RFM input'!$L$141)-SUM($L456:L456),('RFM input'!$L$87-'RFM input'!$L$141)/A27taxstdlife))</f>
        <v>0</v>
      </c>
      <c r="N456" s="18">
        <f>IF(A27taxstdlife="n/a","n/a",IF(N$3&gt;(A27taxstdlife+$E456),('RFM input'!$L$87-'RFM input'!$L$141)-SUM($L456:M456),('RFM input'!$L$87-'RFM input'!$L$141)/A27taxstdlife))</f>
        <v>0</v>
      </c>
      <c r="O456" s="18">
        <f>IF(A27taxstdlife="n/a","n/a",IF(O$3&gt;(A27taxstdlife+$E456),('RFM input'!$L$87-'RFM input'!$L$141)-SUM($L456:N456),('RFM input'!$L$87-'RFM input'!$L$141)/A27taxstdlife))</f>
        <v>0</v>
      </c>
      <c r="P456" s="18">
        <f>IF(A27taxstdlife="n/a","n/a",IF(P$3&gt;(A27taxstdlife+$E456),('RFM input'!$L$87-'RFM input'!$L$141)-SUM($L456:O456),('RFM input'!$L$87-'RFM input'!$L$141)/A27taxstdlife))</f>
        <v>0</v>
      </c>
      <c r="Q456" s="18">
        <f>IF(A27taxstdlife="n/a","n/a",IF(Q$3&gt;(A27taxstdlife+$E456),('RFM input'!$L$87-'RFM input'!$L$141)-SUM($L456:P456),('RFM input'!$L$87-'RFM input'!$L$141)/A27taxstdlife))</f>
        <v>0</v>
      </c>
      <c r="R456" s="18"/>
      <c r="S456" s="74"/>
      <c r="T456" s="74"/>
      <c r="U456" s="74"/>
      <c r="V456" s="74"/>
      <c r="W456" s="74"/>
      <c r="X456" s="74"/>
      <c r="Y456" s="74"/>
      <c r="Z456" s="74"/>
      <c r="AA456" s="152"/>
    </row>
    <row r="457" spans="1:27" ht="12.75" hidden="1" customHeight="1" outlineLevel="2">
      <c r="A457" s="3"/>
      <c r="B457" s="3"/>
      <c r="C457" s="16"/>
      <c r="D457" s="1594"/>
      <c r="E457" s="61">
        <v>6</v>
      </c>
      <c r="F457" s="17"/>
      <c r="G457" s="17"/>
      <c r="H457" s="1414"/>
      <c r="I457" s="1414"/>
      <c r="J457" s="115"/>
      <c r="K457" s="115"/>
      <c r="L457" s="115"/>
      <c r="M457" s="116"/>
      <c r="N457" s="18">
        <f>IF(A27taxstdlife="n/a","n/a",IF(N$3&gt;(A27taxstdlife+$E457),('RFM input'!$M$87-'RFM input'!$M$141)-SUM($M457:M457),('RFM input'!$M$87-'RFM input'!$M$141)/A27taxstdlife))</f>
        <v>0</v>
      </c>
      <c r="O457" s="18">
        <f>IF(A27taxstdlife="n/a","n/a",IF(O$3&gt;(A27taxstdlife+$E457),('RFM input'!$M$87-'RFM input'!$M$141)-SUM($M457:N457),('RFM input'!$M$87-'RFM input'!$M$141)/A27taxstdlife))</f>
        <v>0</v>
      </c>
      <c r="P457" s="18">
        <f>IF(A27taxstdlife="n/a","n/a",IF(P$3&gt;(A27taxstdlife+$E457),('RFM input'!$M$87-'RFM input'!$M$141)-SUM($M457:O457),('RFM input'!$M$87-'RFM input'!$M$141)/A27taxstdlife))</f>
        <v>0</v>
      </c>
      <c r="Q457" s="18">
        <f>IF(A27taxstdlife="n/a","n/a",IF(Q$3&gt;(A27taxstdlife+$E457),('RFM input'!$M$87-'RFM input'!$M$141)-SUM($M457:P457),('RFM input'!$M$87-'RFM input'!$M$141)/A27taxstdlife))</f>
        <v>0</v>
      </c>
      <c r="R457" s="18"/>
      <c r="S457" s="74"/>
      <c r="T457" s="74"/>
      <c r="U457" s="74"/>
      <c r="V457" s="74"/>
      <c r="W457" s="74"/>
      <c r="X457" s="74"/>
      <c r="Y457" s="74"/>
      <c r="Z457" s="74"/>
      <c r="AA457" s="152"/>
    </row>
    <row r="458" spans="1:27" ht="12.75" hidden="1" customHeight="1" outlineLevel="2">
      <c r="A458" s="3"/>
      <c r="B458" s="3"/>
      <c r="C458" s="16"/>
      <c r="D458" s="1594"/>
      <c r="E458" s="61">
        <v>7</v>
      </c>
      <c r="F458" s="17"/>
      <c r="G458" s="17"/>
      <c r="H458" s="1414"/>
      <c r="I458" s="1414"/>
      <c r="J458" s="115"/>
      <c r="K458" s="115"/>
      <c r="L458" s="115"/>
      <c r="M458" s="115"/>
      <c r="N458" s="116"/>
      <c r="O458" s="18">
        <f>IF(A27taxstdlife="n/a","n/a",IF(O$3&gt;(A27taxstdlife+$E458),('RFM input'!$N$87-'RFM input'!$N$141)-SUM($N458:N458),('RFM input'!$N$87-'RFM input'!$N$141)/A27taxstdlife))</f>
        <v>0</v>
      </c>
      <c r="P458" s="18">
        <f>IF(A27taxstdlife="n/a","n/a",IF(P$3&gt;(A27taxstdlife+$E458),('RFM input'!$N$87-'RFM input'!$N$141)-SUM($N458:O458),('RFM input'!$N$87-'RFM input'!$N$141)/A27taxstdlife))</f>
        <v>0</v>
      </c>
      <c r="Q458" s="18">
        <f>IF(A27taxstdlife="n/a","n/a",IF(Q$3&gt;(A27taxstdlife+$E458),('RFM input'!$N$87-'RFM input'!$N$141)-SUM($N458:P458),('RFM input'!$N$87-'RFM input'!$N$141)/A27taxstdlife))</f>
        <v>0</v>
      </c>
      <c r="R458" s="18"/>
      <c r="S458" s="74"/>
      <c r="T458" s="74"/>
      <c r="U458" s="74"/>
      <c r="V458" s="74"/>
      <c r="W458" s="74"/>
      <c r="X458" s="74"/>
      <c r="Y458" s="74"/>
      <c r="Z458" s="74"/>
      <c r="AA458" s="152"/>
    </row>
    <row r="459" spans="1:27" ht="12.75" hidden="1" customHeight="1" outlineLevel="2">
      <c r="A459" s="3"/>
      <c r="B459" s="3"/>
      <c r="C459" s="16"/>
      <c r="D459" s="1594"/>
      <c r="E459" s="61">
        <v>8</v>
      </c>
      <c r="F459" s="17"/>
      <c r="G459" s="17"/>
      <c r="H459" s="1414"/>
      <c r="I459" s="1414"/>
      <c r="J459" s="115"/>
      <c r="K459" s="115"/>
      <c r="L459" s="115"/>
      <c r="M459" s="115"/>
      <c r="N459" s="115"/>
      <c r="O459" s="116"/>
      <c r="P459" s="18">
        <f>IF(A27taxstdlife="n/a","n/a",IF(P$3&gt;(A27taxstdlife+$E459),('RFM input'!$O$87-'RFM input'!$O$141)-SUM($O459:O459),('RFM input'!$O$87-'RFM input'!$O$141)/A27taxstdlife))</f>
        <v>0</v>
      </c>
      <c r="Q459" s="18">
        <f>IF(A27taxstdlife="n/a","n/a",IF(Q$3&gt;(A27taxstdlife+$E459),('RFM input'!$O$87-'RFM input'!$O$141)-SUM($O459:P459),('RFM input'!$O$87-'RFM input'!$O$141)/A27taxstdlife))</f>
        <v>0</v>
      </c>
      <c r="R459" s="18"/>
      <c r="S459" s="74"/>
      <c r="T459" s="74"/>
      <c r="U459" s="74"/>
      <c r="V459" s="74"/>
      <c r="W459" s="74"/>
      <c r="X459" s="74"/>
      <c r="Y459" s="74"/>
      <c r="Z459" s="74"/>
      <c r="AA459" s="152"/>
    </row>
    <row r="460" spans="1:27" ht="12.75" hidden="1" customHeight="1" outlineLevel="2">
      <c r="A460" s="3"/>
      <c r="B460" s="3"/>
      <c r="C460" s="16"/>
      <c r="D460" s="1594"/>
      <c r="E460" s="61">
        <v>9</v>
      </c>
      <c r="F460" s="17"/>
      <c r="G460" s="17"/>
      <c r="H460" s="1414"/>
      <c r="I460" s="1414"/>
      <c r="J460" s="115"/>
      <c r="K460" s="115"/>
      <c r="L460" s="115"/>
      <c r="M460" s="115"/>
      <c r="N460" s="115"/>
      <c r="O460" s="115"/>
      <c r="P460" s="116"/>
      <c r="Q460" s="18">
        <f>IF(A27taxstdlife="n/a","n/a",IF(Q$3&gt;(A27taxstdlife+$E460),('RFM input'!$P$87-'RFM input'!$P$141)-SUM($P460:P460),('RFM input'!$P$87-'RFM input'!$P$141)/A27taxstdlife))</f>
        <v>0</v>
      </c>
      <c r="R460" s="18"/>
      <c r="S460" s="74"/>
      <c r="T460" s="74"/>
      <c r="U460" s="74"/>
      <c r="V460" s="74"/>
      <c r="W460" s="74"/>
      <c r="X460" s="74"/>
      <c r="Y460" s="74"/>
      <c r="Z460" s="74"/>
      <c r="AA460" s="152"/>
    </row>
    <row r="461" spans="1:27" ht="12.75" hidden="1" customHeight="1" outlineLevel="2">
      <c r="A461" s="3"/>
      <c r="B461" s="3"/>
      <c r="C461" s="16"/>
      <c r="D461" s="1594"/>
      <c r="E461" s="62">
        <v>10</v>
      </c>
      <c r="F461" s="17"/>
      <c r="G461" s="17"/>
      <c r="H461" s="1414"/>
      <c r="I461" s="1414"/>
      <c r="J461" s="115"/>
      <c r="K461" s="115"/>
      <c r="L461" s="115"/>
      <c r="M461" s="115"/>
      <c r="N461" s="115"/>
      <c r="O461" s="115"/>
      <c r="P461" s="115"/>
      <c r="Q461" s="116"/>
      <c r="R461" s="18"/>
      <c r="S461" s="74"/>
      <c r="T461" s="74"/>
      <c r="U461" s="74"/>
      <c r="V461" s="74"/>
      <c r="W461" s="74"/>
      <c r="X461" s="74"/>
      <c r="Y461" s="74"/>
      <c r="Z461" s="74"/>
      <c r="AA461" s="152"/>
    </row>
    <row r="462" spans="1:27" hidden="1" outlineLevel="1">
      <c r="A462" s="3"/>
      <c r="B462" s="3"/>
      <c r="C462" s="134">
        <f>Asset27</f>
        <v>0</v>
      </c>
      <c r="D462" s="3"/>
      <c r="E462" s="3"/>
      <c r="F462" s="14"/>
      <c r="G462" s="14"/>
      <c r="H462" s="1460">
        <f>IF('RFM input'!$G$354="Tracked",-1*INDEX('RFM input'!H$358:H$407,MATCH('TAB roll forward'!$C462,'RFM input'!$E$358:$E$407,0)),-SUM(H450:H461))</f>
        <v>0</v>
      </c>
      <c r="I462" s="1460">
        <f>IF('RFM input'!$G$354="Tracked",-1*INDEX('RFM input'!I$358:I$407,MATCH('TAB roll forward'!$C462,'RFM input'!$E$358:$E$407,0)),-SUM(I450:I461))</f>
        <v>0</v>
      </c>
      <c r="J462" s="1460">
        <f>IF(COUNT($H462:I462)&gt;='RFM input'!$V$7,0,IF('RFM input'!$G$354="Tracked",-1*INDEX('RFM input'!J$358:J$407,MATCH('TAB roll forward'!$C462,'RFM input'!$E$358:$E$407,0)),-SUM(J450:J461)))</f>
        <v>0</v>
      </c>
      <c r="K462" s="1460">
        <f>IF(COUNT($H462:J462)&gt;='RFM input'!$V$7,0,IF('RFM input'!$G$354="Tracked",-1*INDEX('RFM input'!K$358:K$407,MATCH('TAB roll forward'!$C462,'RFM input'!$E$358:$E$407,0)),-SUM(K450:K461)))</f>
        <v>0</v>
      </c>
      <c r="L462" s="1460">
        <f>IF(COUNT($H462:K462)&gt;='RFM input'!$V$7,0,IF('RFM input'!$G$354="Tracked",-1*INDEX('RFM input'!L$358:L$407,MATCH('TAB roll forward'!$C462,'RFM input'!$E$358:$E$407,0)),-SUM(L450:L461)))</f>
        <v>0</v>
      </c>
      <c r="M462" s="1460">
        <f>IF(COUNT($H462:L462)&gt;='RFM input'!$V$7,0,IF('RFM input'!$G$354="Tracked",-1*INDEX('RFM input'!M$358:M$407,MATCH('TAB roll forward'!$C462,'RFM input'!$E$358:$E$407,0)),-SUM(M450:M461)))</f>
        <v>0</v>
      </c>
      <c r="N462" s="1460">
        <f>IF(COUNT($H462:M462)&gt;='RFM input'!$V$7,0,IF('RFM input'!$G$354="Tracked",-1*INDEX('RFM input'!N$358:N$407,MATCH('TAB roll forward'!$C462,'RFM input'!$E$358:$E$407,0)),-SUM(N450:N461)))</f>
        <v>0</v>
      </c>
      <c r="O462" s="1460">
        <f>IF(COUNT($H462:N462)&gt;='RFM input'!$V$7,0,IF('RFM input'!$G$354="Tracked",-1*INDEX('RFM input'!O$358:O$407,MATCH('TAB roll forward'!$C462,'RFM input'!$E$358:$E$407,0)),-SUM(O450:O461)))</f>
        <v>0</v>
      </c>
      <c r="P462" s="1460">
        <f>IF(COUNT($H462:O462)&gt;='RFM input'!$V$7,0,IF('RFM input'!$G$354="Tracked",-1*INDEX('RFM input'!P$358:P$407,MATCH('TAB roll forward'!$C462,'RFM input'!$E$358:$E$407,0)),-SUM(P450:P461)))</f>
        <v>0</v>
      </c>
      <c r="Q462" s="1460">
        <f>IF(COUNT($H462:P462)&gt;='RFM input'!$V$7,0,IF('RFM input'!$G$354="Tracked",-1*INDEX('RFM input'!Q$358:Q$407,MATCH('TAB roll forward'!$C462,'RFM input'!$E$358:$E$407,0)),-SUM(Q450:Q461)))</f>
        <v>0</v>
      </c>
      <c r="R462" s="1382"/>
      <c r="S462" s="73"/>
      <c r="T462" s="73"/>
      <c r="U462" s="73"/>
      <c r="V462" s="73"/>
      <c r="W462" s="73"/>
      <c r="X462" s="73"/>
      <c r="Y462" s="73"/>
      <c r="Z462" s="73"/>
      <c r="AA462" s="152"/>
    </row>
    <row r="463" spans="1:27" ht="12.75" hidden="1" customHeight="1" outlineLevel="2">
      <c r="A463" s="3"/>
      <c r="B463" s="135">
        <f>Asset28</f>
        <v>0</v>
      </c>
      <c r="C463" s="19"/>
      <c r="D463" s="234" t="s">
        <v>119</v>
      </c>
      <c r="E463" s="19"/>
      <c r="F463" s="148"/>
      <c r="G463" s="148"/>
      <c r="H463" s="21">
        <f>IF(H$3&gt;A28taxremlife,A28taxvalue-SUM($F463:F463),IF(A28taxremlife="N/A","n/a",A28taxvalue/A28taxremlife))</f>
        <v>0</v>
      </c>
      <c r="I463" s="21">
        <f>IF(I$3&gt;A28taxremlife,A28taxvalue-SUM($F463:H463),IF(A28taxremlife="N/A","n/a",A28taxvalue/A28taxremlife))</f>
        <v>0</v>
      </c>
      <c r="J463" s="21">
        <f>IF(J$3&gt;A28taxremlife,A28taxvalue-SUM($F463:I463),IF(A28taxremlife="N/A","n/a",A28taxvalue/A28taxremlife))</f>
        <v>0</v>
      </c>
      <c r="K463" s="21">
        <f>IF(K$3&gt;A28taxremlife,A28taxvalue-SUM($F463:J463),IF(A28taxremlife="N/A","n/a",A28taxvalue/A28taxremlife))</f>
        <v>0</v>
      </c>
      <c r="L463" s="21">
        <f>IF(L$3&gt;A28taxremlife,A28taxvalue-SUM($F463:K463),IF(A28taxremlife="N/A","n/a",A28taxvalue/A28taxremlife))</f>
        <v>0</v>
      </c>
      <c r="M463" s="21">
        <f>IF(M$3&gt;A28taxremlife,A28taxvalue-SUM($F463:L463),IF(A28taxremlife="N/A","n/a",A28taxvalue/A28taxremlife))</f>
        <v>0</v>
      </c>
      <c r="N463" s="21">
        <f>IF(N$3&gt;A28taxremlife,A28taxvalue-SUM($F463:M463),IF(A28taxremlife="N/A","n/a",A28taxvalue/A28taxremlife))</f>
        <v>0</v>
      </c>
      <c r="O463" s="21">
        <f>IF(O$3&gt;A28taxremlife,A28taxvalue-SUM($F463:N463),IF(A28taxremlife="N/A","n/a",A28taxvalue/A28taxremlife))</f>
        <v>0</v>
      </c>
      <c r="P463" s="21">
        <f>IF(P$3&gt;A28taxremlife,A28taxvalue-SUM($F463:O463),IF(A28taxremlife="N/A","n/a",A28taxvalue/A28taxremlife))</f>
        <v>0</v>
      </c>
      <c r="Q463" s="21">
        <f>IF(Q$3&gt;A28taxremlife,A28taxvalue-SUM($F463:P463),IF(A28taxremlife="N/A","n/a",A28taxvalue/A28taxremlife))</f>
        <v>0</v>
      </c>
      <c r="R463" s="21"/>
      <c r="S463" s="74"/>
      <c r="T463" s="74"/>
      <c r="U463" s="74"/>
      <c r="V463" s="74"/>
      <c r="W463" s="74"/>
      <c r="X463" s="74"/>
      <c r="Y463" s="74"/>
      <c r="Z463" s="74"/>
      <c r="AA463" s="152"/>
    </row>
    <row r="464" spans="1:27" ht="12.75" hidden="1" customHeight="1" outlineLevel="2">
      <c r="A464" s="3"/>
      <c r="B464" s="3"/>
      <c r="C464" s="16"/>
      <c r="D464" s="1593" t="s">
        <v>43</v>
      </c>
      <c r="E464" s="61"/>
      <c r="F464" s="17"/>
      <c r="G464" s="17"/>
      <c r="H464" s="1413"/>
      <c r="I464" s="72"/>
      <c r="J464" s="18"/>
      <c r="K464" s="18"/>
      <c r="L464" s="18"/>
      <c r="M464" s="18"/>
      <c r="N464" s="18"/>
      <c r="O464" s="18"/>
      <c r="P464" s="18"/>
      <c r="Q464" s="18"/>
      <c r="R464" s="18"/>
      <c r="S464" s="74"/>
      <c r="T464" s="74"/>
      <c r="U464" s="74"/>
      <c r="V464" s="74"/>
      <c r="W464" s="74"/>
      <c r="X464" s="74"/>
      <c r="Y464" s="74"/>
      <c r="Z464" s="74"/>
      <c r="AA464" s="152"/>
    </row>
    <row r="465" spans="1:27" ht="12.75" hidden="1" customHeight="1" outlineLevel="2">
      <c r="A465" s="3"/>
      <c r="B465" s="3"/>
      <c r="C465" s="16"/>
      <c r="D465" s="1594"/>
      <c r="E465" s="61">
        <v>1</v>
      </c>
      <c r="F465" s="17"/>
      <c r="G465" s="17"/>
      <c r="H465" s="1414"/>
      <c r="I465" s="1415">
        <f>IF(A28taxstdlife="n/a","n/a",IF(I$3&gt;(A28taxstdlife+$E465),('RFM input'!$H$88-'RFM input'!$H$142)-SUM($H465:H465),('RFM input'!$H$88-'RFM input'!$H$142)/A28taxstdlife))</f>
        <v>0</v>
      </c>
      <c r="J465" s="18">
        <f>IF(A28taxstdlife="n/a","n/a",IF(J$3&gt;(A28taxstdlife+$E465),('RFM input'!$H$88-'RFM input'!$H$142)-SUM($H465:I465),('RFM input'!$H$88-'RFM input'!$H$142)/A28taxstdlife))</f>
        <v>0</v>
      </c>
      <c r="K465" s="18">
        <f>IF(A28taxstdlife="n/a","n/a",IF(K$3&gt;(A28taxstdlife+$E465),('RFM input'!$H$88-'RFM input'!$H$142)-SUM($H465:J465),('RFM input'!$H$88-'RFM input'!$H$142)/A28taxstdlife))</f>
        <v>0</v>
      </c>
      <c r="L465" s="18">
        <f>IF(A28taxstdlife="n/a","n/a",IF(L$3&gt;(A28taxstdlife+$E465),('RFM input'!$H$88-'RFM input'!$H$142)-SUM($H465:K465),('RFM input'!$H$88-'RFM input'!$H$142)/A28taxstdlife))</f>
        <v>0</v>
      </c>
      <c r="M465" s="18">
        <f>IF(A28taxstdlife="n/a","n/a",IF(M$3&gt;(A28taxstdlife+$E465),('RFM input'!$H$88-'RFM input'!$H$142)-SUM($H465:L465),('RFM input'!$H$88-'RFM input'!$H$142)/A28taxstdlife))</f>
        <v>0</v>
      </c>
      <c r="N465" s="18">
        <f>IF(A28taxstdlife="n/a","n/a",IF(N$3&gt;(A28taxstdlife+$E465),('RFM input'!$H$88-'RFM input'!$H$142)-SUM($H465:M465),('RFM input'!$H$88-'RFM input'!$H$142)/A28taxstdlife))</f>
        <v>0</v>
      </c>
      <c r="O465" s="18">
        <f>IF(A28taxstdlife="n/a","n/a",IF(O$3&gt;(A28taxstdlife+$E465),('RFM input'!$H$88-'RFM input'!$H$142)-SUM($H465:N465),('RFM input'!$H$88-'RFM input'!$H$142)/A28taxstdlife))</f>
        <v>0</v>
      </c>
      <c r="P465" s="18">
        <f>IF(A28taxstdlife="n/a","n/a",IF(P$3&gt;(A28taxstdlife+$E465),('RFM input'!$H$88-'RFM input'!$H$142)-SUM($H465:O465),('RFM input'!$H$88-'RFM input'!$H$142)/A28taxstdlife))</f>
        <v>0</v>
      </c>
      <c r="Q465" s="18">
        <f>IF(A28taxstdlife="n/a","n/a",IF(Q$3&gt;(A28taxstdlife+$E465),('RFM input'!$H$88-'RFM input'!$H$142)-SUM($H465:P465),('RFM input'!$H$88-'RFM input'!$H$142)/A28taxstdlife))</f>
        <v>0</v>
      </c>
      <c r="R465" s="18"/>
      <c r="S465" s="74"/>
      <c r="T465" s="74"/>
      <c r="U465" s="74"/>
      <c r="V465" s="74"/>
      <c r="W465" s="74"/>
      <c r="X465" s="74"/>
      <c r="Y465" s="74"/>
      <c r="Z465" s="74"/>
      <c r="AA465" s="152"/>
    </row>
    <row r="466" spans="1:27" ht="12.75" hidden="1" customHeight="1" outlineLevel="2">
      <c r="A466" s="3"/>
      <c r="B466" s="3"/>
      <c r="C466" s="16"/>
      <c r="D466" s="1594"/>
      <c r="E466" s="61">
        <v>2</v>
      </c>
      <c r="F466" s="17"/>
      <c r="G466" s="17"/>
      <c r="H466" s="1414"/>
      <c r="I466" s="1414"/>
      <c r="J466" s="18">
        <f>IF(A28taxstdlife="n/a","n/a",IF(J$3&gt;(A28taxstdlife+$E466),('RFM input'!$I$88-'RFM input'!$I$142)-SUM($I466:I466),('RFM input'!$I$88-'RFM input'!$I$142)/A28taxstdlife))</f>
        <v>0</v>
      </c>
      <c r="K466" s="18">
        <f>IF(A28taxstdlife="n/a","n/a",IF(K$3&gt;(A28taxstdlife+$E466),('RFM input'!$I$88-'RFM input'!$I$142)-SUM($I466:J466),('RFM input'!$I$88-'RFM input'!$I$142)/A28taxstdlife))</f>
        <v>0</v>
      </c>
      <c r="L466" s="18">
        <f>IF(A28taxstdlife="n/a","n/a",IF(L$3&gt;(A28taxstdlife+$E466),('RFM input'!$I$88-'RFM input'!$I$142)-SUM($I466:K466),('RFM input'!$I$88-'RFM input'!$I$142)/A28taxstdlife))</f>
        <v>0</v>
      </c>
      <c r="M466" s="18">
        <f>IF(A28taxstdlife="n/a","n/a",IF(M$3&gt;(A28taxstdlife+$E466),('RFM input'!$I$88-'RFM input'!$I$142)-SUM($I466:L466),('RFM input'!$I$88-'RFM input'!$I$142)/A28taxstdlife))</f>
        <v>0</v>
      </c>
      <c r="N466" s="18">
        <f>IF(A28taxstdlife="n/a","n/a",IF(N$3&gt;(A28taxstdlife+$E466),('RFM input'!$I$88-'RFM input'!$I$142)-SUM($I466:M466),('RFM input'!$I$88-'RFM input'!$I$142)/A28taxstdlife))</f>
        <v>0</v>
      </c>
      <c r="O466" s="18">
        <f>IF(A28taxstdlife="n/a","n/a",IF(O$3&gt;(A28taxstdlife+$E466),('RFM input'!$I$88-'RFM input'!$I$142)-SUM($I466:N466),('RFM input'!$I$88-'RFM input'!$I$142)/A28taxstdlife))</f>
        <v>0</v>
      </c>
      <c r="P466" s="18">
        <f>IF(A28taxstdlife="n/a","n/a",IF(P$3&gt;(A28taxstdlife+$E466),('RFM input'!$I$88-'RFM input'!$I$142)-SUM($I466:O466),('RFM input'!$I$88-'RFM input'!$I$142)/A28taxstdlife))</f>
        <v>0</v>
      </c>
      <c r="Q466" s="18">
        <f>IF(A28taxstdlife="n/a","n/a",IF(Q$3&gt;(A28taxstdlife+$E466),('RFM input'!$I$88-'RFM input'!$I$142)-SUM($I466:P466),('RFM input'!$I$88-'RFM input'!$I$142)/A28taxstdlife))</f>
        <v>0</v>
      </c>
      <c r="R466" s="18"/>
      <c r="S466" s="74"/>
      <c r="T466" s="74"/>
      <c r="U466" s="74"/>
      <c r="V466" s="74"/>
      <c r="W466" s="74"/>
      <c r="X466" s="74"/>
      <c r="Y466" s="74"/>
      <c r="Z466" s="74"/>
      <c r="AA466" s="152"/>
    </row>
    <row r="467" spans="1:27" ht="12.75" hidden="1" customHeight="1" outlineLevel="2">
      <c r="A467" s="3"/>
      <c r="B467" s="3"/>
      <c r="C467" s="16"/>
      <c r="D467" s="1594"/>
      <c r="E467" s="61">
        <v>3</v>
      </c>
      <c r="F467" s="17"/>
      <c r="G467" s="17"/>
      <c r="H467" s="1414"/>
      <c r="I467" s="1414"/>
      <c r="J467" s="116"/>
      <c r="K467" s="18">
        <f>IF(A28taxstdlife="n/a","n/a",IF(K$3&gt;(A28taxstdlife+$E467),('RFM input'!$J$88-'RFM input'!$J$142)-SUM($J467:J467),('RFM input'!$J$88-'RFM input'!$J$142)/A28taxstdlife))</f>
        <v>0</v>
      </c>
      <c r="L467" s="18">
        <f>IF(A28taxstdlife="n/a","n/a",IF(L$3&gt;(A28taxstdlife+$E467),('RFM input'!$J$88-'RFM input'!$J$142)-SUM($J467:K467),('RFM input'!$J$88-'RFM input'!$J$142)/A28taxstdlife))</f>
        <v>0</v>
      </c>
      <c r="M467" s="18">
        <f>IF(A28taxstdlife="n/a","n/a",IF(M$3&gt;(A28taxstdlife+$E467),('RFM input'!$J$88-'RFM input'!$J$142)-SUM($J467:L467),('RFM input'!$J$88-'RFM input'!$J$142)/A28taxstdlife))</f>
        <v>0</v>
      </c>
      <c r="N467" s="18">
        <f>IF(A28taxstdlife="n/a","n/a",IF(N$3&gt;(A28taxstdlife+$E467),('RFM input'!$J$88-'RFM input'!$J$142)-SUM($J467:M467),('RFM input'!$J$88-'RFM input'!$J$142)/A28taxstdlife))</f>
        <v>0</v>
      </c>
      <c r="O467" s="18">
        <f>IF(A28taxstdlife="n/a","n/a",IF(O$3&gt;(A28taxstdlife+$E467),('RFM input'!$J$88-'RFM input'!$J$142)-SUM($J467:N467),('RFM input'!$J$88-'RFM input'!$J$142)/A28taxstdlife))</f>
        <v>0</v>
      </c>
      <c r="P467" s="18">
        <f>IF(A28taxstdlife="n/a","n/a",IF(P$3&gt;(A28taxstdlife+$E467),('RFM input'!$J$88-'RFM input'!$J$142)-SUM($J467:O467),('RFM input'!$J$88-'RFM input'!$J$142)/A28taxstdlife))</f>
        <v>0</v>
      </c>
      <c r="Q467" s="18">
        <f>IF(A28taxstdlife="n/a","n/a",IF(Q$3&gt;(A28taxstdlife+$E467),('RFM input'!$J$88-'RFM input'!$J$142)-SUM($J467:P467),('RFM input'!$J$88-'RFM input'!$J$142)/A28taxstdlife))</f>
        <v>0</v>
      </c>
      <c r="R467" s="18"/>
      <c r="S467" s="74"/>
      <c r="T467" s="74"/>
      <c r="U467" s="74"/>
      <c r="V467" s="74"/>
      <c r="W467" s="74"/>
      <c r="X467" s="74"/>
      <c r="Y467" s="74"/>
      <c r="Z467" s="74"/>
      <c r="AA467" s="152"/>
    </row>
    <row r="468" spans="1:27" ht="12.75" hidden="1" customHeight="1" outlineLevel="2">
      <c r="A468" s="3"/>
      <c r="B468" s="3"/>
      <c r="C468" s="16"/>
      <c r="D468" s="1594"/>
      <c r="E468" s="61">
        <v>4</v>
      </c>
      <c r="F468" s="17"/>
      <c r="G468" s="17"/>
      <c r="H468" s="1414"/>
      <c r="I468" s="1414"/>
      <c r="J468" s="115"/>
      <c r="K468" s="116"/>
      <c r="L468" s="18">
        <f>IF(A28taxstdlife="n/a","n/a",IF(L$3&gt;(A28taxstdlife+$E468),('RFM input'!$K$88-'RFM input'!$K$142)-SUM($K468:K468),('RFM input'!$K$88-'RFM input'!$K$142)/A28taxstdlife))</f>
        <v>0</v>
      </c>
      <c r="M468" s="18">
        <f>IF(A28taxstdlife="n/a","n/a",IF(M$3&gt;(A28taxstdlife+$E468),('RFM input'!$K$88-'RFM input'!$K$142)-SUM($K468:L468),('RFM input'!$K$88-'RFM input'!$K$142)/A28taxstdlife))</f>
        <v>0</v>
      </c>
      <c r="N468" s="18">
        <f>IF(A28taxstdlife="n/a","n/a",IF(N$3&gt;(A28taxstdlife+$E468),('RFM input'!$K$88-'RFM input'!$K$142)-SUM($K468:M468),('RFM input'!$K$88-'RFM input'!$K$142)/A28taxstdlife))</f>
        <v>0</v>
      </c>
      <c r="O468" s="18">
        <f>IF(A28taxstdlife="n/a","n/a",IF(O$3&gt;(A28taxstdlife+$E468),('RFM input'!$K$88-'RFM input'!$K$142)-SUM($K468:N468),('RFM input'!$K$88-'RFM input'!$K$142)/A28taxstdlife))</f>
        <v>0</v>
      </c>
      <c r="P468" s="18">
        <f>IF(A28taxstdlife="n/a","n/a",IF(P$3&gt;(A28taxstdlife+$E468),('RFM input'!$K$88-'RFM input'!$K$142)-SUM($K468:O468),('RFM input'!$K$88-'RFM input'!$K$142)/A28taxstdlife))</f>
        <v>0</v>
      </c>
      <c r="Q468" s="18">
        <f>IF(A28taxstdlife="n/a","n/a",IF(Q$3&gt;(A28taxstdlife+$E468),('RFM input'!$K$88-'RFM input'!$K$142)-SUM($K468:P468),('RFM input'!$K$88-'RFM input'!$K$142)/A28taxstdlife))</f>
        <v>0</v>
      </c>
      <c r="R468" s="18"/>
      <c r="S468" s="74"/>
      <c r="T468" s="74"/>
      <c r="U468" s="74"/>
      <c r="V468" s="74"/>
      <c r="W468" s="74"/>
      <c r="X468" s="74"/>
      <c r="Y468" s="74"/>
      <c r="Z468" s="74"/>
      <c r="AA468" s="152"/>
    </row>
    <row r="469" spans="1:27" ht="12.75" hidden="1" customHeight="1" outlineLevel="2">
      <c r="A469" s="3"/>
      <c r="B469" s="3"/>
      <c r="C469" s="16"/>
      <c r="D469" s="1594"/>
      <c r="E469" s="61">
        <v>5</v>
      </c>
      <c r="F469" s="17"/>
      <c r="G469" s="17"/>
      <c r="H469" s="1414"/>
      <c r="I469" s="1414"/>
      <c r="J469" s="115"/>
      <c r="K469" s="115"/>
      <c r="L469" s="116"/>
      <c r="M469" s="18">
        <f>IF(A28taxstdlife="n/a","n/a",IF(M$3&gt;(A28taxstdlife+$E469),('RFM input'!$L$88-'RFM input'!$L$142)-SUM($L469:L469),('RFM input'!$L$88-'RFM input'!$L$142)/A28taxstdlife))</f>
        <v>0</v>
      </c>
      <c r="N469" s="18">
        <f>IF(A28taxstdlife="n/a","n/a",IF(N$3&gt;(A28taxstdlife+$E469),('RFM input'!$L$88-'RFM input'!$L$142)-SUM($L469:M469),('RFM input'!$L$88-'RFM input'!$L$142)/A28taxstdlife))</f>
        <v>0</v>
      </c>
      <c r="O469" s="18">
        <f>IF(A28taxstdlife="n/a","n/a",IF(O$3&gt;(A28taxstdlife+$E469),('RFM input'!$L$88-'RFM input'!$L$142)-SUM($L469:N469),('RFM input'!$L$88-'RFM input'!$L$142)/A28taxstdlife))</f>
        <v>0</v>
      </c>
      <c r="P469" s="18">
        <f>IF(A28taxstdlife="n/a","n/a",IF(P$3&gt;(A28taxstdlife+$E469),('RFM input'!$L$88-'RFM input'!$L$142)-SUM($L469:O469),('RFM input'!$L$88-'RFM input'!$L$142)/A28taxstdlife))</f>
        <v>0</v>
      </c>
      <c r="Q469" s="18">
        <f>IF(A28taxstdlife="n/a","n/a",IF(Q$3&gt;(A28taxstdlife+$E469),('RFM input'!$L$88-'RFM input'!$L$142)-SUM($L469:P469),('RFM input'!$L$88-'RFM input'!$L$142)/A28taxstdlife))</f>
        <v>0</v>
      </c>
      <c r="R469" s="18"/>
      <c r="S469" s="74"/>
      <c r="T469" s="74"/>
      <c r="U469" s="74"/>
      <c r="V469" s="74"/>
      <c r="W469" s="74"/>
      <c r="X469" s="74"/>
      <c r="Y469" s="74"/>
      <c r="Z469" s="74"/>
      <c r="AA469" s="152"/>
    </row>
    <row r="470" spans="1:27" ht="12.75" hidden="1" customHeight="1" outlineLevel="2">
      <c r="A470" s="3"/>
      <c r="B470" s="3"/>
      <c r="C470" s="16"/>
      <c r="D470" s="1594"/>
      <c r="E470" s="61">
        <v>6</v>
      </c>
      <c r="F470" s="17"/>
      <c r="G470" s="17"/>
      <c r="H470" s="1414"/>
      <c r="I470" s="1414"/>
      <c r="J470" s="115"/>
      <c r="K470" s="115"/>
      <c r="L470" s="115"/>
      <c r="M470" s="116"/>
      <c r="N470" s="18">
        <f>IF(A28taxstdlife="n/a","n/a",IF(N$3&gt;(A28taxstdlife+$E470),('RFM input'!$M$88-'RFM input'!$M$142)-SUM($M470:M470),('RFM input'!$M$88-'RFM input'!$M$142)/A28taxstdlife))</f>
        <v>0</v>
      </c>
      <c r="O470" s="18">
        <f>IF(A28taxstdlife="n/a","n/a",IF(O$3&gt;(A28taxstdlife+$E470),('RFM input'!$M$88-'RFM input'!$M$142)-SUM($M470:N470),('RFM input'!$M$88-'RFM input'!$M$142)/A28taxstdlife))</f>
        <v>0</v>
      </c>
      <c r="P470" s="18">
        <f>IF(A28taxstdlife="n/a","n/a",IF(P$3&gt;(A28taxstdlife+$E470),('RFM input'!$M$88-'RFM input'!$M$142)-SUM($M470:O470),('RFM input'!$M$88-'RFM input'!$M$142)/A28taxstdlife))</f>
        <v>0</v>
      </c>
      <c r="Q470" s="18">
        <f>IF(A28taxstdlife="n/a","n/a",IF(Q$3&gt;(A28taxstdlife+$E470),('RFM input'!$M$88-'RFM input'!$M$142)-SUM($M470:P470),('RFM input'!$M$88-'RFM input'!$M$142)/A28taxstdlife))</f>
        <v>0</v>
      </c>
      <c r="R470" s="18"/>
      <c r="S470" s="74"/>
      <c r="T470" s="74"/>
      <c r="U470" s="74"/>
      <c r="V470" s="74"/>
      <c r="W470" s="74"/>
      <c r="X470" s="74"/>
      <c r="Y470" s="74"/>
      <c r="Z470" s="74"/>
      <c r="AA470" s="152"/>
    </row>
    <row r="471" spans="1:27" ht="12.75" hidden="1" customHeight="1" outlineLevel="2">
      <c r="A471" s="3"/>
      <c r="B471" s="3"/>
      <c r="C471" s="16"/>
      <c r="D471" s="1594"/>
      <c r="E471" s="61">
        <v>7</v>
      </c>
      <c r="F471" s="17"/>
      <c r="G471" s="17"/>
      <c r="H471" s="1414"/>
      <c r="I471" s="1414"/>
      <c r="J471" s="115"/>
      <c r="K471" s="115"/>
      <c r="L471" s="115"/>
      <c r="M471" s="115"/>
      <c r="N471" s="116"/>
      <c r="O471" s="18">
        <f>IF(A28taxstdlife="n/a","n/a",IF(O$3&gt;(A28taxstdlife+$E471),('RFM input'!$N$88-'RFM input'!$N$142)-SUM($N471:N471),('RFM input'!$N$88-'RFM input'!$N$142)/A28taxstdlife))</f>
        <v>0</v>
      </c>
      <c r="P471" s="18">
        <f>IF(A28taxstdlife="n/a","n/a",IF(P$3&gt;(A28taxstdlife+$E471),('RFM input'!$N$88-'RFM input'!$N$142)-SUM($N471:O471),('RFM input'!$N$88-'RFM input'!$N$142)/A28taxstdlife))</f>
        <v>0</v>
      </c>
      <c r="Q471" s="18">
        <f>IF(A28taxstdlife="n/a","n/a",IF(Q$3&gt;(A28taxstdlife+$E471),('RFM input'!$N$88-'RFM input'!$N$142)-SUM($N471:P471),('RFM input'!$N$88-'RFM input'!$N$142)/A28taxstdlife))</f>
        <v>0</v>
      </c>
      <c r="R471" s="18"/>
      <c r="S471" s="74"/>
      <c r="T471" s="74"/>
      <c r="U471" s="74"/>
      <c r="V471" s="74"/>
      <c r="W471" s="74"/>
      <c r="X471" s="74"/>
      <c r="Y471" s="74"/>
      <c r="Z471" s="74"/>
      <c r="AA471" s="152"/>
    </row>
    <row r="472" spans="1:27" ht="12.75" hidden="1" customHeight="1" outlineLevel="2">
      <c r="A472" s="3"/>
      <c r="B472" s="3"/>
      <c r="C472" s="16"/>
      <c r="D472" s="1594"/>
      <c r="E472" s="61">
        <v>8</v>
      </c>
      <c r="F472" s="17"/>
      <c r="G472" s="17"/>
      <c r="H472" s="1414"/>
      <c r="I472" s="1414"/>
      <c r="J472" s="115"/>
      <c r="K472" s="115"/>
      <c r="L472" s="115"/>
      <c r="M472" s="115"/>
      <c r="N472" s="115"/>
      <c r="O472" s="116"/>
      <c r="P472" s="18">
        <f>IF(A28taxstdlife="n/a","n/a",IF(P$3&gt;(A28taxstdlife+$E472),('RFM input'!$O$88-'RFM input'!$O$142)-SUM($O472:O472),('RFM input'!$O$88-'RFM input'!$O$142)/A28taxstdlife))</f>
        <v>0</v>
      </c>
      <c r="Q472" s="18">
        <f>IF(A28taxstdlife="n/a","n/a",IF(Q$3&gt;(A28taxstdlife+$E472),('RFM input'!$O$88-'RFM input'!$O$142)-SUM($O472:P472),('RFM input'!$O$88-'RFM input'!$O$142)/A28taxstdlife))</f>
        <v>0</v>
      </c>
      <c r="R472" s="18"/>
      <c r="S472" s="74"/>
      <c r="T472" s="74"/>
      <c r="U472" s="74"/>
      <c r="V472" s="74"/>
      <c r="W472" s="74"/>
      <c r="X472" s="74"/>
      <c r="Y472" s="74"/>
      <c r="Z472" s="74"/>
      <c r="AA472" s="152"/>
    </row>
    <row r="473" spans="1:27" ht="12.75" hidden="1" customHeight="1" outlineLevel="2">
      <c r="A473" s="3"/>
      <c r="B473" s="3"/>
      <c r="C473" s="16"/>
      <c r="D473" s="1594"/>
      <c r="E473" s="61">
        <v>9</v>
      </c>
      <c r="F473" s="17"/>
      <c r="G473" s="17"/>
      <c r="H473" s="1414"/>
      <c r="I473" s="1414"/>
      <c r="J473" s="115"/>
      <c r="K473" s="115"/>
      <c r="L473" s="115"/>
      <c r="M473" s="115"/>
      <c r="N473" s="115"/>
      <c r="O473" s="115"/>
      <c r="P473" s="116"/>
      <c r="Q473" s="18">
        <f>IF(A28taxstdlife="n/a","n/a",IF(Q$3&gt;(A28taxstdlife+$E473),('RFM input'!$P$88-'RFM input'!$P$142)-SUM($P473:P473),('RFM input'!$P$88-'RFM input'!$P$142)/A28taxstdlife))</f>
        <v>0</v>
      </c>
      <c r="R473" s="18"/>
      <c r="S473" s="74"/>
      <c r="T473" s="74"/>
      <c r="U473" s="74"/>
      <c r="V473" s="74"/>
      <c r="W473" s="74"/>
      <c r="X473" s="74"/>
      <c r="Y473" s="74"/>
      <c r="Z473" s="74"/>
      <c r="AA473" s="152"/>
    </row>
    <row r="474" spans="1:27" ht="12.75" hidden="1" customHeight="1" outlineLevel="2">
      <c r="A474" s="3"/>
      <c r="B474" s="3"/>
      <c r="C474" s="16"/>
      <c r="D474" s="1594"/>
      <c r="E474" s="62">
        <v>10</v>
      </c>
      <c r="F474" s="17"/>
      <c r="G474" s="17"/>
      <c r="H474" s="1414"/>
      <c r="I474" s="1414"/>
      <c r="J474" s="115"/>
      <c r="K474" s="115"/>
      <c r="L474" s="115"/>
      <c r="M474" s="115"/>
      <c r="N474" s="115"/>
      <c r="O474" s="115"/>
      <c r="P474" s="115"/>
      <c r="Q474" s="116"/>
      <c r="R474" s="18"/>
      <c r="S474" s="74"/>
      <c r="T474" s="74"/>
      <c r="U474" s="74"/>
      <c r="V474" s="74"/>
      <c r="W474" s="74"/>
      <c r="X474" s="74"/>
      <c r="Y474" s="74"/>
      <c r="Z474" s="74"/>
      <c r="AA474" s="152"/>
    </row>
    <row r="475" spans="1:27" hidden="1" outlineLevel="1">
      <c r="A475" s="3"/>
      <c r="B475" s="3"/>
      <c r="C475" s="134">
        <f>Asset28</f>
        <v>0</v>
      </c>
      <c r="D475" s="3"/>
      <c r="E475" s="3"/>
      <c r="F475" s="14"/>
      <c r="G475" s="14"/>
      <c r="H475" s="1460">
        <f>IF('RFM input'!$G$354="Tracked",-1*INDEX('RFM input'!H$358:H$407,MATCH('TAB roll forward'!$C475,'RFM input'!$E$358:$E$407,0)),-SUM(H463:H474))</f>
        <v>0</v>
      </c>
      <c r="I475" s="1460">
        <f>IF('RFM input'!$G$354="Tracked",-1*INDEX('RFM input'!I$358:I$407,MATCH('TAB roll forward'!$C475,'RFM input'!$E$358:$E$407,0)),-SUM(I463:I474))</f>
        <v>0</v>
      </c>
      <c r="J475" s="1460">
        <f>IF(COUNT($H475:I475)&gt;='RFM input'!$V$7,0,IF('RFM input'!$G$354="Tracked",-1*INDEX('RFM input'!J$358:J$407,MATCH('TAB roll forward'!$C475,'RFM input'!$E$358:$E$407,0)),-SUM(J463:J474)))</f>
        <v>0</v>
      </c>
      <c r="K475" s="1460">
        <f>IF(COUNT($H475:J475)&gt;='RFM input'!$V$7,0,IF('RFM input'!$G$354="Tracked",-1*INDEX('RFM input'!K$358:K$407,MATCH('TAB roll forward'!$C475,'RFM input'!$E$358:$E$407,0)),-SUM(K463:K474)))</f>
        <v>0</v>
      </c>
      <c r="L475" s="1460">
        <f>IF(COUNT($H475:K475)&gt;='RFM input'!$V$7,0,IF('RFM input'!$G$354="Tracked",-1*INDEX('RFM input'!L$358:L$407,MATCH('TAB roll forward'!$C475,'RFM input'!$E$358:$E$407,0)),-SUM(L463:L474)))</f>
        <v>0</v>
      </c>
      <c r="M475" s="1460">
        <f>IF(COUNT($H475:L475)&gt;='RFM input'!$V$7,0,IF('RFM input'!$G$354="Tracked",-1*INDEX('RFM input'!M$358:M$407,MATCH('TAB roll forward'!$C475,'RFM input'!$E$358:$E$407,0)),-SUM(M463:M474)))</f>
        <v>0</v>
      </c>
      <c r="N475" s="1460">
        <f>IF(COUNT($H475:M475)&gt;='RFM input'!$V$7,0,IF('RFM input'!$G$354="Tracked",-1*INDEX('RFM input'!N$358:N$407,MATCH('TAB roll forward'!$C475,'RFM input'!$E$358:$E$407,0)),-SUM(N463:N474)))</f>
        <v>0</v>
      </c>
      <c r="O475" s="1460">
        <f>IF(COUNT($H475:N475)&gt;='RFM input'!$V$7,0,IF('RFM input'!$G$354="Tracked",-1*INDEX('RFM input'!O$358:O$407,MATCH('TAB roll forward'!$C475,'RFM input'!$E$358:$E$407,0)),-SUM(O463:O474)))</f>
        <v>0</v>
      </c>
      <c r="P475" s="1460">
        <f>IF(COUNT($H475:O475)&gt;='RFM input'!$V$7,0,IF('RFM input'!$G$354="Tracked",-1*INDEX('RFM input'!P$358:P$407,MATCH('TAB roll forward'!$C475,'RFM input'!$E$358:$E$407,0)),-SUM(P463:P474)))</f>
        <v>0</v>
      </c>
      <c r="Q475" s="1460">
        <f>IF(COUNT($H475:P475)&gt;='RFM input'!$V$7,0,IF('RFM input'!$G$354="Tracked",-1*INDEX('RFM input'!Q$358:Q$407,MATCH('TAB roll forward'!$C475,'RFM input'!$E$358:$E$407,0)),-SUM(Q463:Q474)))</f>
        <v>0</v>
      </c>
      <c r="R475" s="1382"/>
      <c r="S475" s="73"/>
      <c r="T475" s="73"/>
      <c r="U475" s="73"/>
      <c r="V475" s="73"/>
      <c r="W475" s="73"/>
      <c r="X475" s="73"/>
      <c r="Y475" s="73"/>
      <c r="Z475" s="73"/>
      <c r="AA475" s="152"/>
    </row>
    <row r="476" spans="1:27" ht="12.75" hidden="1" customHeight="1" outlineLevel="2">
      <c r="A476" s="3"/>
      <c r="B476" s="135">
        <f>Asset29</f>
        <v>0</v>
      </c>
      <c r="C476" s="19"/>
      <c r="D476" s="234" t="s">
        <v>119</v>
      </c>
      <c r="E476" s="19"/>
      <c r="F476" s="148"/>
      <c r="G476" s="148"/>
      <c r="H476" s="21">
        <f>IF(H$3&gt;A29taxremlife,A29taxvalue-SUM($F476:F476),IF(A29taxremlife="N/A","n/a",A29taxvalue/A29taxremlife))</f>
        <v>0</v>
      </c>
      <c r="I476" s="21">
        <f>IF(I$3&gt;A29taxremlife,A29taxvalue-SUM($F476:H476),IF(A29taxremlife="N/A","n/a",A29taxvalue/A29taxremlife))</f>
        <v>0</v>
      </c>
      <c r="J476" s="21">
        <f>IF(J$3&gt;A29taxremlife,A29taxvalue-SUM($F476:I476),IF(A29taxremlife="N/A","n/a",A29taxvalue/A29taxremlife))</f>
        <v>0</v>
      </c>
      <c r="K476" s="21">
        <f>IF(K$3&gt;A29taxremlife,A29taxvalue-SUM($F476:J476),IF(A29taxremlife="N/A","n/a",A29taxvalue/A29taxremlife))</f>
        <v>0</v>
      </c>
      <c r="L476" s="21">
        <f>IF(L$3&gt;A29taxremlife,A29taxvalue-SUM($F476:K476),IF(A29taxremlife="N/A","n/a",A29taxvalue/A29taxremlife))</f>
        <v>0</v>
      </c>
      <c r="M476" s="21">
        <f>IF(M$3&gt;A29taxremlife,A29taxvalue-SUM($F476:L476),IF(A29taxremlife="N/A","n/a",A29taxvalue/A29taxremlife))</f>
        <v>0</v>
      </c>
      <c r="N476" s="21">
        <f>IF(N$3&gt;A29taxremlife,A29taxvalue-SUM($F476:M476),IF(A29taxremlife="N/A","n/a",A29taxvalue/A29taxremlife))</f>
        <v>0</v>
      </c>
      <c r="O476" s="21">
        <f>IF(O$3&gt;A29taxremlife,A29taxvalue-SUM($F476:N476),IF(A29taxremlife="N/A","n/a",A29taxvalue/A29taxremlife))</f>
        <v>0</v>
      </c>
      <c r="P476" s="21">
        <f>IF(P$3&gt;A29taxremlife,A29taxvalue-SUM($F476:O476),IF(A29taxremlife="N/A","n/a",A29taxvalue/A29taxremlife))</f>
        <v>0</v>
      </c>
      <c r="Q476" s="21">
        <f>IF(Q$3&gt;A29taxremlife,A29taxvalue-SUM($F476:P476),IF(A29taxremlife="N/A","n/a",A29taxvalue/A29taxremlife))</f>
        <v>0</v>
      </c>
      <c r="R476" s="21"/>
      <c r="S476" s="74"/>
      <c r="T476" s="74"/>
      <c r="U476" s="74"/>
      <c r="V476" s="74"/>
      <c r="W476" s="74"/>
      <c r="X476" s="74"/>
      <c r="Y476" s="74"/>
      <c r="Z476" s="74"/>
      <c r="AA476" s="152"/>
    </row>
    <row r="477" spans="1:27" ht="12.75" hidden="1" customHeight="1" outlineLevel="2">
      <c r="A477" s="3"/>
      <c r="B477" s="3"/>
      <c r="C477" s="16"/>
      <c r="D477" s="1593" t="s">
        <v>43</v>
      </c>
      <c r="E477" s="61"/>
      <c r="F477" s="17"/>
      <c r="G477" s="17"/>
      <c r="H477" s="1413"/>
      <c r="I477" s="72"/>
      <c r="J477" s="18"/>
      <c r="K477" s="18"/>
      <c r="L477" s="18"/>
      <c r="M477" s="18"/>
      <c r="N477" s="18"/>
      <c r="O477" s="18"/>
      <c r="P477" s="18"/>
      <c r="Q477" s="18"/>
      <c r="R477" s="18"/>
      <c r="S477" s="74"/>
      <c r="T477" s="74"/>
      <c r="U477" s="74"/>
      <c r="V477" s="74"/>
      <c r="W477" s="74"/>
      <c r="X477" s="74"/>
      <c r="Y477" s="74"/>
      <c r="Z477" s="74"/>
      <c r="AA477" s="152"/>
    </row>
    <row r="478" spans="1:27" ht="12.75" hidden="1" customHeight="1" outlineLevel="2">
      <c r="A478" s="3"/>
      <c r="B478" s="3"/>
      <c r="C478" s="16"/>
      <c r="D478" s="1594"/>
      <c r="E478" s="61">
        <v>1</v>
      </c>
      <c r="F478" s="17"/>
      <c r="G478" s="17"/>
      <c r="H478" s="1414"/>
      <c r="I478" s="1415">
        <f>IF(A29taxstdlife="n/a","n/a",IF(I$3&gt;(A29taxstdlife+$E478),('RFM input'!$H$89-'RFM input'!$H$143)-SUM($H478:H478),('RFM input'!$H$89-'RFM input'!$H$143)/A29taxstdlife))</f>
        <v>0</v>
      </c>
      <c r="J478" s="18">
        <f>IF(A29taxstdlife="n/a","n/a",IF(J$3&gt;(A29taxstdlife+$E478),('RFM input'!$H$89-'RFM input'!$H$143)-SUM($H478:I478),('RFM input'!$H$89-'RFM input'!$H$143)/A29taxstdlife))</f>
        <v>0</v>
      </c>
      <c r="K478" s="18">
        <f>IF(A29taxstdlife="n/a","n/a",IF(K$3&gt;(A29taxstdlife+$E478),('RFM input'!$H$89-'RFM input'!$H$143)-SUM($H478:J478),('RFM input'!$H$89-'RFM input'!$H$143)/A29taxstdlife))</f>
        <v>0</v>
      </c>
      <c r="L478" s="18">
        <f>IF(A29taxstdlife="n/a","n/a",IF(L$3&gt;(A29taxstdlife+$E478),('RFM input'!$H$89-'RFM input'!$H$143)-SUM($H478:K478),('RFM input'!$H$89-'RFM input'!$H$143)/A29taxstdlife))</f>
        <v>0</v>
      </c>
      <c r="M478" s="18">
        <f>IF(A29taxstdlife="n/a","n/a",IF(M$3&gt;(A29taxstdlife+$E478),('RFM input'!$H$89-'RFM input'!$H$143)-SUM($H478:L478),('RFM input'!$H$89-'RFM input'!$H$143)/A29taxstdlife))</f>
        <v>0</v>
      </c>
      <c r="N478" s="18">
        <f>IF(A29taxstdlife="n/a","n/a",IF(N$3&gt;(A29taxstdlife+$E478),('RFM input'!$H$89-'RFM input'!$H$143)-SUM($H478:M478),('RFM input'!$H$89-'RFM input'!$H$143)/A29taxstdlife))</f>
        <v>0</v>
      </c>
      <c r="O478" s="18">
        <f>IF(A29taxstdlife="n/a","n/a",IF(O$3&gt;(A29taxstdlife+$E478),('RFM input'!$H$89-'RFM input'!$H$143)-SUM($H478:N478),('RFM input'!$H$89-'RFM input'!$H$143)/A29taxstdlife))</f>
        <v>0</v>
      </c>
      <c r="P478" s="18">
        <f>IF(A29taxstdlife="n/a","n/a",IF(P$3&gt;(A29taxstdlife+$E478),('RFM input'!$H$89-'RFM input'!$H$143)-SUM($H478:O478),('RFM input'!$H$89-'RFM input'!$H$143)/A29taxstdlife))</f>
        <v>0</v>
      </c>
      <c r="Q478" s="18">
        <f>IF(A29taxstdlife="n/a","n/a",IF(Q$3&gt;(A29taxstdlife+$E478),('RFM input'!$H$89-'RFM input'!$H$143)-SUM($H478:P478),('RFM input'!$H$89-'RFM input'!$H$143)/A29taxstdlife))</f>
        <v>0</v>
      </c>
      <c r="R478" s="18"/>
      <c r="S478" s="74"/>
      <c r="T478" s="74"/>
      <c r="U478" s="74"/>
      <c r="V478" s="74"/>
      <c r="W478" s="74"/>
      <c r="X478" s="74"/>
      <c r="Y478" s="74"/>
      <c r="Z478" s="74"/>
      <c r="AA478" s="152"/>
    </row>
    <row r="479" spans="1:27" ht="12.75" hidden="1" customHeight="1" outlineLevel="2">
      <c r="A479" s="3"/>
      <c r="B479" s="3"/>
      <c r="C479" s="16"/>
      <c r="D479" s="1594"/>
      <c r="E479" s="61">
        <v>2</v>
      </c>
      <c r="F479" s="17"/>
      <c r="G479" s="17"/>
      <c r="H479" s="1414"/>
      <c r="I479" s="1414"/>
      <c r="J479" s="18">
        <f>IF(A29taxstdlife="n/a","n/a",IF(J$3&gt;(A29taxstdlife+$E479),('RFM input'!$I$89-'RFM input'!$I$143)-SUM($I479:I479),('RFM input'!$I$89-'RFM input'!$I$143)/A29taxstdlife))</f>
        <v>0</v>
      </c>
      <c r="K479" s="18">
        <f>IF(A29taxstdlife="n/a","n/a",IF(K$3&gt;(A29taxstdlife+$E479),('RFM input'!$I$89-'RFM input'!$I$143)-SUM($I479:J479),('RFM input'!$I$89-'RFM input'!$I$143)/A29taxstdlife))</f>
        <v>0</v>
      </c>
      <c r="L479" s="18">
        <f>IF(A29taxstdlife="n/a","n/a",IF(L$3&gt;(A29taxstdlife+$E479),('RFM input'!$I$89-'RFM input'!$I$143)-SUM($I479:K479),('RFM input'!$I$89-'RFM input'!$I$143)/A29taxstdlife))</f>
        <v>0</v>
      </c>
      <c r="M479" s="18">
        <f>IF(A29taxstdlife="n/a","n/a",IF(M$3&gt;(A29taxstdlife+$E479),('RFM input'!$I$89-'RFM input'!$I$143)-SUM($I479:L479),('RFM input'!$I$89-'RFM input'!$I$143)/A29taxstdlife))</f>
        <v>0</v>
      </c>
      <c r="N479" s="18">
        <f>IF(A29taxstdlife="n/a","n/a",IF(N$3&gt;(A29taxstdlife+$E479),('RFM input'!$I$89-'RFM input'!$I$143)-SUM($I479:M479),('RFM input'!$I$89-'RFM input'!$I$143)/A29taxstdlife))</f>
        <v>0</v>
      </c>
      <c r="O479" s="18">
        <f>IF(A29taxstdlife="n/a","n/a",IF(O$3&gt;(A29taxstdlife+$E479),('RFM input'!$I$89-'RFM input'!$I$143)-SUM($I479:N479),('RFM input'!$I$89-'RFM input'!$I$143)/A29taxstdlife))</f>
        <v>0</v>
      </c>
      <c r="P479" s="18">
        <f>IF(A29taxstdlife="n/a","n/a",IF(P$3&gt;(A29taxstdlife+$E479),('RFM input'!$I$89-'RFM input'!$I$143)-SUM($I479:O479),('RFM input'!$I$89-'RFM input'!$I$143)/A29taxstdlife))</f>
        <v>0</v>
      </c>
      <c r="Q479" s="18">
        <f>IF(A29taxstdlife="n/a","n/a",IF(Q$3&gt;(A29taxstdlife+$E479),('RFM input'!$I$89-'RFM input'!$I$143)-SUM($I479:P479),('RFM input'!$I$89-'RFM input'!$I$143)/A29taxstdlife))</f>
        <v>0</v>
      </c>
      <c r="R479" s="18"/>
      <c r="S479" s="74"/>
      <c r="T479" s="74"/>
      <c r="U479" s="74"/>
      <c r="V479" s="74"/>
      <c r="W479" s="74"/>
      <c r="X479" s="74"/>
      <c r="Y479" s="74"/>
      <c r="Z479" s="74"/>
      <c r="AA479" s="152"/>
    </row>
    <row r="480" spans="1:27" ht="12.75" hidden="1" customHeight="1" outlineLevel="2">
      <c r="A480" s="3"/>
      <c r="B480" s="3"/>
      <c r="C480" s="16"/>
      <c r="D480" s="1594"/>
      <c r="E480" s="61">
        <v>3</v>
      </c>
      <c r="F480" s="17"/>
      <c r="G480" s="17"/>
      <c r="H480" s="1414"/>
      <c r="I480" s="1414"/>
      <c r="J480" s="116"/>
      <c r="K480" s="18">
        <f>IF(A29taxstdlife="n/a","n/a",IF(K$3&gt;(A29taxstdlife+$E480),('RFM input'!$J$89-'RFM input'!$J$143)-SUM($J480:J480),('RFM input'!$J$89-'RFM input'!$J$143)/A29taxstdlife))</f>
        <v>0</v>
      </c>
      <c r="L480" s="18">
        <f>IF(A29taxstdlife="n/a","n/a",IF(L$3&gt;(A29taxstdlife+$E480),('RFM input'!$J$89-'RFM input'!$J$143)-SUM($J480:K480),('RFM input'!$J$89-'RFM input'!$J$143)/A29taxstdlife))</f>
        <v>0</v>
      </c>
      <c r="M480" s="18">
        <f>IF(A29taxstdlife="n/a","n/a",IF(M$3&gt;(A29taxstdlife+$E480),('RFM input'!$J$89-'RFM input'!$J$143)-SUM($J480:L480),('RFM input'!$J$89-'RFM input'!$J$143)/A29taxstdlife))</f>
        <v>0</v>
      </c>
      <c r="N480" s="18">
        <f>IF(A29taxstdlife="n/a","n/a",IF(N$3&gt;(A29taxstdlife+$E480),('RFM input'!$J$89-'RFM input'!$J$143)-SUM($J480:M480),('RFM input'!$J$89-'RFM input'!$J$143)/A29taxstdlife))</f>
        <v>0</v>
      </c>
      <c r="O480" s="18">
        <f>IF(A29taxstdlife="n/a","n/a",IF(O$3&gt;(A29taxstdlife+$E480),('RFM input'!$J$89-'RFM input'!$J$143)-SUM($J480:N480),('RFM input'!$J$89-'RFM input'!$J$143)/A29taxstdlife))</f>
        <v>0</v>
      </c>
      <c r="P480" s="18">
        <f>IF(A29taxstdlife="n/a","n/a",IF(P$3&gt;(A29taxstdlife+$E480),('RFM input'!$J$89-'RFM input'!$J$143)-SUM($J480:O480),('RFM input'!$J$89-'RFM input'!$J$143)/A29taxstdlife))</f>
        <v>0</v>
      </c>
      <c r="Q480" s="18">
        <f>IF(A29taxstdlife="n/a","n/a",IF(Q$3&gt;(A29taxstdlife+$E480),('RFM input'!$J$89-'RFM input'!$J$143)-SUM($J480:P480),('RFM input'!$J$89-'RFM input'!$J$143)/A29taxstdlife))</f>
        <v>0</v>
      </c>
      <c r="R480" s="18"/>
      <c r="S480" s="74"/>
      <c r="T480" s="74"/>
      <c r="U480" s="74"/>
      <c r="V480" s="74"/>
      <c r="W480" s="74"/>
      <c r="X480" s="74"/>
      <c r="Y480" s="74"/>
      <c r="Z480" s="74"/>
      <c r="AA480" s="152"/>
    </row>
    <row r="481" spans="1:27" ht="12.75" hidden="1" customHeight="1" outlineLevel="2">
      <c r="A481" s="3"/>
      <c r="B481" s="3"/>
      <c r="C481" s="16"/>
      <c r="D481" s="1594"/>
      <c r="E481" s="61">
        <v>4</v>
      </c>
      <c r="F481" s="17"/>
      <c r="G481" s="17"/>
      <c r="H481" s="1414"/>
      <c r="I481" s="1414"/>
      <c r="J481" s="115"/>
      <c r="K481" s="116"/>
      <c r="L481" s="18">
        <f>IF(A29taxstdlife="n/a","n/a",IF(L$3&gt;(A29taxstdlife+$E481),('RFM input'!$K$89-'RFM input'!$K$143)-SUM($K481:K481),('RFM input'!$K$89-'RFM input'!$K$143)/A29taxstdlife))</f>
        <v>0</v>
      </c>
      <c r="M481" s="18">
        <f>IF(A29taxstdlife="n/a","n/a",IF(M$3&gt;(A29taxstdlife+$E481),('RFM input'!$K$89-'RFM input'!$K$143)-SUM($K481:L481),('RFM input'!$K$89-'RFM input'!$K$143)/A29taxstdlife))</f>
        <v>0</v>
      </c>
      <c r="N481" s="18">
        <f>IF(A29taxstdlife="n/a","n/a",IF(N$3&gt;(A29taxstdlife+$E481),('RFM input'!$K$89-'RFM input'!$K$143)-SUM($K481:M481),('RFM input'!$K$89-'RFM input'!$K$143)/A29taxstdlife))</f>
        <v>0</v>
      </c>
      <c r="O481" s="18">
        <f>IF(A29taxstdlife="n/a","n/a",IF(O$3&gt;(A29taxstdlife+$E481),('RFM input'!$K$89-'RFM input'!$K$143)-SUM($K481:N481),('RFM input'!$K$89-'RFM input'!$K$143)/A29taxstdlife))</f>
        <v>0</v>
      </c>
      <c r="P481" s="18">
        <f>IF(A29taxstdlife="n/a","n/a",IF(P$3&gt;(A29taxstdlife+$E481),('RFM input'!$K$89-'RFM input'!$K$143)-SUM($K481:O481),('RFM input'!$K$89-'RFM input'!$K$143)/A29taxstdlife))</f>
        <v>0</v>
      </c>
      <c r="Q481" s="18">
        <f>IF(A29taxstdlife="n/a","n/a",IF(Q$3&gt;(A29taxstdlife+$E481),('RFM input'!$K$89-'RFM input'!$K$143)-SUM($K481:P481),('RFM input'!$K$89-'RFM input'!$K$143)/A29taxstdlife))</f>
        <v>0</v>
      </c>
      <c r="R481" s="18"/>
      <c r="S481" s="74"/>
      <c r="T481" s="74"/>
      <c r="U481" s="74"/>
      <c r="V481" s="74"/>
      <c r="W481" s="74"/>
      <c r="X481" s="74"/>
      <c r="Y481" s="74"/>
      <c r="Z481" s="74"/>
      <c r="AA481" s="152"/>
    </row>
    <row r="482" spans="1:27" ht="12.75" hidden="1" customHeight="1" outlineLevel="2">
      <c r="A482" s="3"/>
      <c r="B482" s="3"/>
      <c r="C482" s="16"/>
      <c r="D482" s="1594"/>
      <c r="E482" s="61">
        <v>5</v>
      </c>
      <c r="F482" s="17"/>
      <c r="G482" s="17"/>
      <c r="H482" s="1414"/>
      <c r="I482" s="1414"/>
      <c r="J482" s="115"/>
      <c r="K482" s="115"/>
      <c r="L482" s="116"/>
      <c r="M482" s="18">
        <f>IF(A29taxstdlife="n/a","n/a",IF(M$3&gt;(A29taxstdlife+$E482),('RFM input'!$L$89-'RFM input'!$L$143)-SUM($L482:L482),('RFM input'!$L$89-'RFM input'!$L$143)/A29taxstdlife))</f>
        <v>0</v>
      </c>
      <c r="N482" s="18">
        <f>IF(A29taxstdlife="n/a","n/a",IF(N$3&gt;(A29taxstdlife+$E482),('RFM input'!$L$89-'RFM input'!$L$143)-SUM($L482:M482),('RFM input'!$L$89-'RFM input'!$L$143)/A29taxstdlife))</f>
        <v>0</v>
      </c>
      <c r="O482" s="18">
        <f>IF(A29taxstdlife="n/a","n/a",IF(O$3&gt;(A29taxstdlife+$E482),('RFM input'!$L$89-'RFM input'!$L$143)-SUM($L482:N482),('RFM input'!$L$89-'RFM input'!$L$143)/A29taxstdlife))</f>
        <v>0</v>
      </c>
      <c r="P482" s="18">
        <f>IF(A29taxstdlife="n/a","n/a",IF(P$3&gt;(A29taxstdlife+$E482),('RFM input'!$L$89-'RFM input'!$L$143)-SUM($L482:O482),('RFM input'!$L$89-'RFM input'!$L$143)/A29taxstdlife))</f>
        <v>0</v>
      </c>
      <c r="Q482" s="18">
        <f>IF(A29taxstdlife="n/a","n/a",IF(Q$3&gt;(A29taxstdlife+$E482),('RFM input'!$L$89-'RFM input'!$L$143)-SUM($L482:P482),('RFM input'!$L$89-'RFM input'!$L$143)/A29taxstdlife))</f>
        <v>0</v>
      </c>
      <c r="R482" s="18"/>
      <c r="S482" s="74"/>
      <c r="T482" s="74"/>
      <c r="U482" s="74"/>
      <c r="V482" s="74"/>
      <c r="W482" s="74"/>
      <c r="X482" s="74"/>
      <c r="Y482" s="74"/>
      <c r="Z482" s="74"/>
      <c r="AA482" s="152"/>
    </row>
    <row r="483" spans="1:27" ht="12.75" hidden="1" customHeight="1" outlineLevel="2">
      <c r="A483" s="3"/>
      <c r="B483" s="3"/>
      <c r="C483" s="16"/>
      <c r="D483" s="1594"/>
      <c r="E483" s="61">
        <v>6</v>
      </c>
      <c r="F483" s="17"/>
      <c r="G483" s="17"/>
      <c r="H483" s="1414"/>
      <c r="I483" s="1414"/>
      <c r="J483" s="115"/>
      <c r="K483" s="115"/>
      <c r="L483" s="115"/>
      <c r="M483" s="116"/>
      <c r="N483" s="18">
        <f>IF(A29taxstdlife="n/a","n/a",IF(N$3&gt;(A29taxstdlife+$E483),('RFM input'!$M$89-'RFM input'!$M$143)-SUM($M483:M483),('RFM input'!$M$89-'RFM input'!$M$143)/A29taxstdlife))</f>
        <v>0</v>
      </c>
      <c r="O483" s="18">
        <f>IF(A29taxstdlife="n/a","n/a",IF(O$3&gt;(A29taxstdlife+$E483),('RFM input'!$M$89-'RFM input'!$M$143)-SUM($M483:N483),('RFM input'!$M$89-'RFM input'!$M$143)/A29taxstdlife))</f>
        <v>0</v>
      </c>
      <c r="P483" s="18">
        <f>IF(A29taxstdlife="n/a","n/a",IF(P$3&gt;(A29taxstdlife+$E483),('RFM input'!$M$89-'RFM input'!$M$143)-SUM($M483:O483),('RFM input'!$M$89-'RFM input'!$M$143)/A29taxstdlife))</f>
        <v>0</v>
      </c>
      <c r="Q483" s="18">
        <f>IF(A29taxstdlife="n/a","n/a",IF(Q$3&gt;(A29taxstdlife+$E483),('RFM input'!$M$89-'RFM input'!$M$143)-SUM($M483:P483),('RFM input'!$M$89-'RFM input'!$M$143)/A29taxstdlife))</f>
        <v>0</v>
      </c>
      <c r="R483" s="18"/>
      <c r="S483" s="74"/>
      <c r="T483" s="74"/>
      <c r="U483" s="74"/>
      <c r="V483" s="74"/>
      <c r="W483" s="74"/>
      <c r="X483" s="74"/>
      <c r="Y483" s="74"/>
      <c r="Z483" s="74"/>
      <c r="AA483" s="152"/>
    </row>
    <row r="484" spans="1:27" ht="12.75" hidden="1" customHeight="1" outlineLevel="2">
      <c r="A484" s="3"/>
      <c r="B484" s="3"/>
      <c r="C484" s="16"/>
      <c r="D484" s="1594"/>
      <c r="E484" s="61">
        <v>7</v>
      </c>
      <c r="F484" s="17"/>
      <c r="G484" s="17"/>
      <c r="H484" s="1414"/>
      <c r="I484" s="1414"/>
      <c r="J484" s="115"/>
      <c r="K484" s="115"/>
      <c r="L484" s="115"/>
      <c r="M484" s="115"/>
      <c r="N484" s="116"/>
      <c r="O484" s="18">
        <f>IF(A29taxstdlife="n/a","n/a",IF(O$3&gt;(A29taxstdlife+$E484),('RFM input'!$N$89-'RFM input'!$N$143)-SUM($N484:N484),('RFM input'!$N$89-'RFM input'!$N$143)/A29taxstdlife))</f>
        <v>0</v>
      </c>
      <c r="P484" s="18">
        <f>IF(A29taxstdlife="n/a","n/a",IF(P$3&gt;(A29taxstdlife+$E484),('RFM input'!$N$89-'RFM input'!$N$143)-SUM($N484:O484),('RFM input'!$N$89-'RFM input'!$N$143)/A29taxstdlife))</f>
        <v>0</v>
      </c>
      <c r="Q484" s="18">
        <f>IF(A29taxstdlife="n/a","n/a",IF(Q$3&gt;(A29taxstdlife+$E484),('RFM input'!$N$89-'RFM input'!$N$143)-SUM($N484:P484),('RFM input'!$N$89-'RFM input'!$N$143)/A29taxstdlife))</f>
        <v>0</v>
      </c>
      <c r="R484" s="18"/>
      <c r="S484" s="74"/>
      <c r="T484" s="74"/>
      <c r="U484" s="74"/>
      <c r="V484" s="74"/>
      <c r="W484" s="74"/>
      <c r="X484" s="74"/>
      <c r="Y484" s="74"/>
      <c r="Z484" s="74"/>
      <c r="AA484" s="152"/>
    </row>
    <row r="485" spans="1:27" ht="12.75" hidden="1" customHeight="1" outlineLevel="2">
      <c r="A485" s="3"/>
      <c r="B485" s="3"/>
      <c r="C485" s="16"/>
      <c r="D485" s="1594"/>
      <c r="E485" s="61">
        <v>8</v>
      </c>
      <c r="F485" s="17"/>
      <c r="G485" s="17"/>
      <c r="H485" s="1414"/>
      <c r="I485" s="1414"/>
      <c r="J485" s="115"/>
      <c r="K485" s="115"/>
      <c r="L485" s="115"/>
      <c r="M485" s="115"/>
      <c r="N485" s="115"/>
      <c r="O485" s="116"/>
      <c r="P485" s="18">
        <f>IF(A29taxstdlife="n/a","n/a",IF(P$3&gt;(A29taxstdlife+$E485),('RFM input'!$O$89-'RFM input'!$O$143)-SUM($O485:O485),('RFM input'!$O$89-'RFM input'!$O$143)/A29taxstdlife))</f>
        <v>0</v>
      </c>
      <c r="Q485" s="18">
        <f>IF(A29taxstdlife="n/a","n/a",IF(Q$3&gt;(A29taxstdlife+$E485),('RFM input'!$O$89-'RFM input'!$O$143)-SUM($O485:P485),('RFM input'!$O$89-'RFM input'!$O$143)/A29taxstdlife))</f>
        <v>0</v>
      </c>
      <c r="R485" s="18"/>
      <c r="S485" s="74"/>
      <c r="T485" s="74"/>
      <c r="U485" s="74"/>
      <c r="V485" s="74"/>
      <c r="W485" s="74"/>
      <c r="X485" s="74"/>
      <c r="Y485" s="74"/>
      <c r="Z485" s="74"/>
      <c r="AA485" s="152"/>
    </row>
    <row r="486" spans="1:27" ht="12.75" hidden="1" customHeight="1" outlineLevel="2">
      <c r="A486" s="3"/>
      <c r="B486" s="3"/>
      <c r="C486" s="16"/>
      <c r="D486" s="1594"/>
      <c r="E486" s="61">
        <v>9</v>
      </c>
      <c r="F486" s="17"/>
      <c r="G486" s="17"/>
      <c r="H486" s="1414"/>
      <c r="I486" s="1414"/>
      <c r="J486" s="115"/>
      <c r="K486" s="115"/>
      <c r="L486" s="115"/>
      <c r="M486" s="115"/>
      <c r="N486" s="115"/>
      <c r="O486" s="115"/>
      <c r="P486" s="116"/>
      <c r="Q486" s="18">
        <f>IF(A29taxstdlife="n/a","n/a",IF(Q$3&gt;(A29taxstdlife+$E486),('RFM input'!$P$89-'RFM input'!$P$143)-SUM($P486:P486),('RFM input'!$P$89-'RFM input'!$P$143)/A29taxstdlife))</f>
        <v>0</v>
      </c>
      <c r="R486" s="18"/>
      <c r="S486" s="74"/>
      <c r="T486" s="74"/>
      <c r="U486" s="74"/>
      <c r="V486" s="74"/>
      <c r="W486" s="74"/>
      <c r="X486" s="74"/>
      <c r="Y486" s="74"/>
      <c r="Z486" s="74"/>
      <c r="AA486" s="152"/>
    </row>
    <row r="487" spans="1:27" ht="12.75" hidden="1" customHeight="1" outlineLevel="2">
      <c r="A487" s="3"/>
      <c r="B487" s="3"/>
      <c r="C487" s="16"/>
      <c r="D487" s="1594"/>
      <c r="E487" s="62">
        <v>10</v>
      </c>
      <c r="F487" s="17"/>
      <c r="G487" s="17"/>
      <c r="H487" s="1414"/>
      <c r="I487" s="1414"/>
      <c r="J487" s="115"/>
      <c r="K487" s="115"/>
      <c r="L487" s="115"/>
      <c r="M487" s="115"/>
      <c r="N487" s="115"/>
      <c r="O487" s="115"/>
      <c r="P487" s="115"/>
      <c r="Q487" s="116"/>
      <c r="R487" s="18"/>
      <c r="S487" s="74"/>
      <c r="T487" s="74"/>
      <c r="U487" s="74"/>
      <c r="V487" s="74"/>
      <c r="W487" s="74"/>
      <c r="X487" s="74"/>
      <c r="Y487" s="74"/>
      <c r="Z487" s="74"/>
      <c r="AA487" s="152"/>
    </row>
    <row r="488" spans="1:27" hidden="1" outlineLevel="1">
      <c r="A488" s="3"/>
      <c r="B488" s="3"/>
      <c r="C488" s="134">
        <f>Asset29</f>
        <v>0</v>
      </c>
      <c r="D488" s="3"/>
      <c r="E488" s="3"/>
      <c r="F488" s="14"/>
      <c r="G488" s="14"/>
      <c r="H488" s="1460">
        <f>IF('RFM input'!$G$354="Tracked",-1*INDEX('RFM input'!H$358:H$407,MATCH('TAB roll forward'!$C488,'RFM input'!$E$358:$E$407,0)),-SUM(H476:H487))</f>
        <v>0</v>
      </c>
      <c r="I488" s="1460">
        <f>IF('RFM input'!$G$354="Tracked",-1*INDEX('RFM input'!I$358:I$407,MATCH('TAB roll forward'!$C488,'RFM input'!$E$358:$E$407,0)),-SUM(I476:I487))</f>
        <v>0</v>
      </c>
      <c r="J488" s="1460">
        <f>IF(COUNT($H488:I488)&gt;='RFM input'!$V$7,0,IF('RFM input'!$G$354="Tracked",-1*INDEX('RFM input'!J$358:J$407,MATCH('TAB roll forward'!$C488,'RFM input'!$E$358:$E$407,0)),-SUM(J476:J487)))</f>
        <v>0</v>
      </c>
      <c r="K488" s="1460">
        <f>IF(COUNT($H488:J488)&gt;='RFM input'!$V$7,0,IF('RFM input'!$G$354="Tracked",-1*INDEX('RFM input'!K$358:K$407,MATCH('TAB roll forward'!$C488,'RFM input'!$E$358:$E$407,0)),-SUM(K476:K487)))</f>
        <v>0</v>
      </c>
      <c r="L488" s="1460">
        <f>IF(COUNT($H488:K488)&gt;='RFM input'!$V$7,0,IF('RFM input'!$G$354="Tracked",-1*INDEX('RFM input'!L$358:L$407,MATCH('TAB roll forward'!$C488,'RFM input'!$E$358:$E$407,0)),-SUM(L476:L487)))</f>
        <v>0</v>
      </c>
      <c r="M488" s="1460">
        <f>IF(COUNT($H488:L488)&gt;='RFM input'!$V$7,0,IF('RFM input'!$G$354="Tracked",-1*INDEX('RFM input'!M$358:M$407,MATCH('TAB roll forward'!$C488,'RFM input'!$E$358:$E$407,0)),-SUM(M476:M487)))</f>
        <v>0</v>
      </c>
      <c r="N488" s="1460">
        <f>IF(COUNT($H488:M488)&gt;='RFM input'!$V$7,0,IF('RFM input'!$G$354="Tracked",-1*INDEX('RFM input'!N$358:N$407,MATCH('TAB roll forward'!$C488,'RFM input'!$E$358:$E$407,0)),-SUM(N476:N487)))</f>
        <v>0</v>
      </c>
      <c r="O488" s="1460">
        <f>IF(COUNT($H488:N488)&gt;='RFM input'!$V$7,0,IF('RFM input'!$G$354="Tracked",-1*INDEX('RFM input'!O$358:O$407,MATCH('TAB roll forward'!$C488,'RFM input'!$E$358:$E$407,0)),-SUM(O476:O487)))</f>
        <v>0</v>
      </c>
      <c r="P488" s="1460">
        <f>IF(COUNT($H488:O488)&gt;='RFM input'!$V$7,0,IF('RFM input'!$G$354="Tracked",-1*INDEX('RFM input'!P$358:P$407,MATCH('TAB roll forward'!$C488,'RFM input'!$E$358:$E$407,0)),-SUM(P476:P487)))</f>
        <v>0</v>
      </c>
      <c r="Q488" s="1460">
        <f>IF(COUNT($H488:P488)&gt;='RFM input'!$V$7,0,IF('RFM input'!$G$354="Tracked",-1*INDEX('RFM input'!Q$358:Q$407,MATCH('TAB roll forward'!$C488,'RFM input'!$E$358:$E$407,0)),-SUM(Q476:Q487)))</f>
        <v>0</v>
      </c>
      <c r="R488" s="1382"/>
      <c r="S488" s="73"/>
      <c r="T488" s="73"/>
      <c r="U488" s="73"/>
      <c r="V488" s="73"/>
      <c r="W488" s="73"/>
      <c r="X488" s="73"/>
      <c r="Y488" s="73"/>
      <c r="Z488" s="73"/>
      <c r="AA488" s="152"/>
    </row>
    <row r="489" spans="1:27" ht="12.75" hidden="1" customHeight="1" outlineLevel="2">
      <c r="A489" s="3"/>
      <c r="B489" s="135">
        <f>Asset30</f>
        <v>0</v>
      </c>
      <c r="C489" s="19"/>
      <c r="D489" s="234" t="s">
        <v>119</v>
      </c>
      <c r="E489" s="19"/>
      <c r="F489" s="148"/>
      <c r="G489" s="148"/>
      <c r="H489" s="21">
        <f>IF(H$3&gt;A30taxremlife,A30taxvalue-SUM($F489:F489),IF(A30taxremlife="N/A","n/a",A30taxvalue/A30taxremlife))</f>
        <v>0</v>
      </c>
      <c r="I489" s="21">
        <f>IF(I$3&gt;A30taxremlife,A30taxvalue-SUM($F489:H489),IF(A30taxremlife="N/A","n/a",A30taxvalue/A30taxremlife))</f>
        <v>0</v>
      </c>
      <c r="J489" s="21">
        <f>IF(J$3&gt;A30taxremlife,A30taxvalue-SUM($F489:I489),IF(A30taxremlife="N/A","n/a",A30taxvalue/A30taxremlife))</f>
        <v>0</v>
      </c>
      <c r="K489" s="21">
        <f>IF(K$3&gt;A30taxremlife,A30taxvalue-SUM($F489:J489),IF(A30taxremlife="N/A","n/a",A30taxvalue/A30taxremlife))</f>
        <v>0</v>
      </c>
      <c r="L489" s="21">
        <f>IF(L$3&gt;A30taxremlife,A30taxvalue-SUM($F489:K489),IF(A30taxremlife="N/A","n/a",A30taxvalue/A30taxremlife))</f>
        <v>0</v>
      </c>
      <c r="M489" s="21">
        <f>IF(M$3&gt;A30taxremlife,A30taxvalue-SUM($F489:L489),IF(A30taxremlife="N/A","n/a",A30taxvalue/A30taxremlife))</f>
        <v>0</v>
      </c>
      <c r="N489" s="21">
        <f>IF(N$3&gt;A30taxremlife,A30taxvalue-SUM($F489:M489),IF(A30taxremlife="N/A","n/a",A30taxvalue/A30taxremlife))</f>
        <v>0</v>
      </c>
      <c r="O489" s="21">
        <f>IF(O$3&gt;A30taxremlife,A30taxvalue-SUM($F489:N489),IF(A30taxremlife="N/A","n/a",A30taxvalue/A30taxremlife))</f>
        <v>0</v>
      </c>
      <c r="P489" s="21">
        <f>IF(P$3&gt;A30taxremlife,A30taxvalue-SUM($F489:O489),IF(A30taxremlife="N/A","n/a",A30taxvalue/A30taxremlife))</f>
        <v>0</v>
      </c>
      <c r="Q489" s="21">
        <f>IF(Q$3&gt;A30taxremlife,A30taxvalue-SUM($F489:P489),IF(A30taxremlife="N/A","n/a",A30taxvalue/A30taxremlife))</f>
        <v>0</v>
      </c>
      <c r="R489" s="21"/>
      <c r="S489" s="74"/>
      <c r="T489" s="74"/>
      <c r="U489" s="74"/>
      <c r="V489" s="74"/>
      <c r="W489" s="74"/>
      <c r="X489" s="74"/>
      <c r="Y489" s="74"/>
      <c r="Z489" s="74"/>
      <c r="AA489" s="152"/>
    </row>
    <row r="490" spans="1:27" ht="12.75" hidden="1" customHeight="1" outlineLevel="2">
      <c r="A490" s="3"/>
      <c r="B490" s="3"/>
      <c r="C490" s="16"/>
      <c r="D490" s="1593" t="s">
        <v>43</v>
      </c>
      <c r="E490" s="61"/>
      <c r="F490" s="17"/>
      <c r="G490" s="17"/>
      <c r="H490" s="1413"/>
      <c r="I490" s="72"/>
      <c r="J490" s="18"/>
      <c r="K490" s="18"/>
      <c r="L490" s="18"/>
      <c r="M490" s="18"/>
      <c r="N490" s="18"/>
      <c r="O490" s="18"/>
      <c r="P490" s="18"/>
      <c r="Q490" s="18"/>
      <c r="R490" s="18"/>
      <c r="S490" s="74"/>
      <c r="T490" s="74"/>
      <c r="U490" s="74"/>
      <c r="V490" s="74"/>
      <c r="W490" s="74"/>
      <c r="X490" s="74"/>
      <c r="Y490" s="74"/>
      <c r="Z490" s="74"/>
      <c r="AA490" s="152"/>
    </row>
    <row r="491" spans="1:27" ht="12.75" hidden="1" customHeight="1" outlineLevel="2">
      <c r="A491" s="3"/>
      <c r="B491" s="3"/>
      <c r="C491" s="16"/>
      <c r="D491" s="1594"/>
      <c r="E491" s="61">
        <v>1</v>
      </c>
      <c r="F491" s="17"/>
      <c r="G491" s="17"/>
      <c r="H491" s="1414"/>
      <c r="I491" s="1415">
        <f>IF(A30taxstdlife="n/a","n/a",IF(I$3&gt;(A30taxstdlife+$E491),('RFM input'!$H$90-'RFM input'!$H$144)-SUM($H491:H491),('RFM input'!$H$90-'RFM input'!$H$144)/A30taxstdlife))</f>
        <v>0</v>
      </c>
      <c r="J491" s="18">
        <f>IF(A30taxstdlife="n/a","n/a",IF(J$3&gt;(A30taxstdlife+$E491),('RFM input'!$H$90-'RFM input'!$H$144)-SUM($H491:I491),('RFM input'!$H$90-'RFM input'!$H$144)/A30taxstdlife))</f>
        <v>0</v>
      </c>
      <c r="K491" s="18">
        <f>IF(A30taxstdlife="n/a","n/a",IF(K$3&gt;(A30taxstdlife+$E491),('RFM input'!$H$90-'RFM input'!$H$144)-SUM($H491:J491),('RFM input'!$H$90-'RFM input'!$H$144)/A30taxstdlife))</f>
        <v>0</v>
      </c>
      <c r="L491" s="18">
        <f>IF(A30taxstdlife="n/a","n/a",IF(L$3&gt;(A30taxstdlife+$E491),('RFM input'!$H$90-'RFM input'!$H$144)-SUM($H491:K491),('RFM input'!$H$90-'RFM input'!$H$144)/A30taxstdlife))</f>
        <v>0</v>
      </c>
      <c r="M491" s="18">
        <f>IF(A30taxstdlife="n/a","n/a",IF(M$3&gt;(A30taxstdlife+$E491),('RFM input'!$H$90-'RFM input'!$H$144)-SUM($H491:L491),('RFM input'!$H$90-'RFM input'!$H$144)/A30taxstdlife))</f>
        <v>0</v>
      </c>
      <c r="N491" s="18">
        <f>IF(A30taxstdlife="n/a","n/a",IF(N$3&gt;(A30taxstdlife+$E491),('RFM input'!$H$90-'RFM input'!$H$144)-SUM($H491:M491),('RFM input'!$H$90-'RFM input'!$H$144)/A30taxstdlife))</f>
        <v>0</v>
      </c>
      <c r="O491" s="18">
        <f>IF(A30taxstdlife="n/a","n/a",IF(O$3&gt;(A30taxstdlife+$E491),('RFM input'!$H$90-'RFM input'!$H$144)-SUM($H491:N491),('RFM input'!$H$90-'RFM input'!$H$144)/A30taxstdlife))</f>
        <v>0</v>
      </c>
      <c r="P491" s="18">
        <f>IF(A30taxstdlife="n/a","n/a",IF(P$3&gt;(A30taxstdlife+$E491),('RFM input'!$H$90-'RFM input'!$H$144)-SUM($H491:O491),('RFM input'!$H$90-'RFM input'!$H$144)/A30taxstdlife))</f>
        <v>0</v>
      </c>
      <c r="Q491" s="18">
        <f>IF(A30taxstdlife="n/a","n/a",IF(Q$3&gt;(A30taxstdlife+$E491),('RFM input'!$H$90-'RFM input'!$H$144)-SUM($H491:P491),('RFM input'!$H$90-'RFM input'!$H$144)/A30taxstdlife))</f>
        <v>0</v>
      </c>
      <c r="R491" s="18"/>
      <c r="S491" s="74"/>
      <c r="T491" s="74"/>
      <c r="U491" s="74"/>
      <c r="V491" s="74"/>
      <c r="W491" s="74"/>
      <c r="X491" s="74"/>
      <c r="Y491" s="74"/>
      <c r="Z491" s="74"/>
      <c r="AA491" s="152"/>
    </row>
    <row r="492" spans="1:27" ht="12.75" hidden="1" customHeight="1" outlineLevel="2">
      <c r="A492" s="3"/>
      <c r="B492" s="3"/>
      <c r="C492" s="16"/>
      <c r="D492" s="1594"/>
      <c r="E492" s="61">
        <v>2</v>
      </c>
      <c r="F492" s="17"/>
      <c r="G492" s="17"/>
      <c r="H492" s="1414"/>
      <c r="I492" s="1414"/>
      <c r="J492" s="18">
        <f>IF(A30taxstdlife="n/a","n/a",IF(J$3&gt;(A30taxstdlife+$E492),('RFM input'!$I$90-'RFM input'!$I$144)-SUM($I492:I492),('RFM input'!$I$90-'RFM input'!$I$144)/A30taxstdlife))</f>
        <v>0</v>
      </c>
      <c r="K492" s="18">
        <f>IF(A30taxstdlife="n/a","n/a",IF(K$3&gt;(A30taxstdlife+$E492),('RFM input'!$I$90-'RFM input'!$I$144)-SUM($I492:J492),('RFM input'!$I$90-'RFM input'!$I$144)/A30taxstdlife))</f>
        <v>0</v>
      </c>
      <c r="L492" s="18">
        <f>IF(A30taxstdlife="n/a","n/a",IF(L$3&gt;(A30taxstdlife+$E492),('RFM input'!$I$90-'RFM input'!$I$144)-SUM($I492:K492),('RFM input'!$I$90-'RFM input'!$I$144)/A30taxstdlife))</f>
        <v>0</v>
      </c>
      <c r="M492" s="18">
        <f>IF(A30taxstdlife="n/a","n/a",IF(M$3&gt;(A30taxstdlife+$E492),('RFM input'!$I$90-'RFM input'!$I$144)-SUM($I492:L492),('RFM input'!$I$90-'RFM input'!$I$144)/A30taxstdlife))</f>
        <v>0</v>
      </c>
      <c r="N492" s="18">
        <f>IF(A30taxstdlife="n/a","n/a",IF(N$3&gt;(A30taxstdlife+$E492),('RFM input'!$I$90-'RFM input'!$I$144)-SUM($I492:M492),('RFM input'!$I$90-'RFM input'!$I$144)/A30taxstdlife))</f>
        <v>0</v>
      </c>
      <c r="O492" s="18">
        <f>IF(A30taxstdlife="n/a","n/a",IF(O$3&gt;(A30taxstdlife+$E492),('RFM input'!$I$90-'RFM input'!$I$144)-SUM($I492:N492),('RFM input'!$I$90-'RFM input'!$I$144)/A30taxstdlife))</f>
        <v>0</v>
      </c>
      <c r="P492" s="18">
        <f>IF(A30taxstdlife="n/a","n/a",IF(P$3&gt;(A30taxstdlife+$E492),('RFM input'!$I$90-'RFM input'!$I$144)-SUM($I492:O492),('RFM input'!$I$90-'RFM input'!$I$144)/A30taxstdlife))</f>
        <v>0</v>
      </c>
      <c r="Q492" s="18">
        <f>IF(A30taxstdlife="n/a","n/a",IF(Q$3&gt;(A30taxstdlife+$E492),('RFM input'!$I$90-'RFM input'!$I$144)-SUM($I492:P492),('RFM input'!$I$90-'RFM input'!$I$144)/A30taxstdlife))</f>
        <v>0</v>
      </c>
      <c r="R492" s="18"/>
      <c r="S492" s="74"/>
      <c r="T492" s="74"/>
      <c r="U492" s="74"/>
      <c r="V492" s="74"/>
      <c r="W492" s="74"/>
      <c r="X492" s="74"/>
      <c r="Y492" s="74"/>
      <c r="Z492" s="74"/>
      <c r="AA492" s="152"/>
    </row>
    <row r="493" spans="1:27" ht="12.75" hidden="1" customHeight="1" outlineLevel="2">
      <c r="A493" s="3"/>
      <c r="B493" s="3"/>
      <c r="C493" s="16"/>
      <c r="D493" s="1594"/>
      <c r="E493" s="61">
        <v>3</v>
      </c>
      <c r="F493" s="17"/>
      <c r="G493" s="17"/>
      <c r="H493" s="1414"/>
      <c r="I493" s="1414"/>
      <c r="J493" s="116"/>
      <c r="K493" s="18">
        <f>IF(A30taxstdlife="n/a","n/a",IF(K$3&gt;(A30taxstdlife+$E493),('RFM input'!$J$90-'RFM input'!$J$144)-SUM($J493:J493),('RFM input'!$J$90-'RFM input'!$J$144)/A30taxstdlife))</f>
        <v>0</v>
      </c>
      <c r="L493" s="18">
        <f>IF(A30taxstdlife="n/a","n/a",IF(L$3&gt;(A30taxstdlife+$E493),('RFM input'!$J$90-'RFM input'!$J$144)-SUM($J493:K493),('RFM input'!$J$90-'RFM input'!$J$144)/A30taxstdlife))</f>
        <v>0</v>
      </c>
      <c r="M493" s="18">
        <f>IF(A30taxstdlife="n/a","n/a",IF(M$3&gt;(A30taxstdlife+$E493),('RFM input'!$J$90-'RFM input'!$J$144)-SUM($J493:L493),('RFM input'!$J$90-'RFM input'!$J$144)/A30taxstdlife))</f>
        <v>0</v>
      </c>
      <c r="N493" s="18">
        <f>IF(A30taxstdlife="n/a","n/a",IF(N$3&gt;(A30taxstdlife+$E493),('RFM input'!$J$90-'RFM input'!$J$144)-SUM($J493:M493),('RFM input'!$J$90-'RFM input'!$J$144)/A30taxstdlife))</f>
        <v>0</v>
      </c>
      <c r="O493" s="18">
        <f>IF(A30taxstdlife="n/a","n/a",IF(O$3&gt;(A30taxstdlife+$E493),('RFM input'!$J$90-'RFM input'!$J$144)-SUM($J493:N493),('RFM input'!$J$90-'RFM input'!$J$144)/A30taxstdlife))</f>
        <v>0</v>
      </c>
      <c r="P493" s="18">
        <f>IF(A30taxstdlife="n/a","n/a",IF(P$3&gt;(A30taxstdlife+$E493),('RFM input'!$J$90-'RFM input'!$J$144)-SUM($J493:O493),('RFM input'!$J$90-'RFM input'!$J$144)/A30taxstdlife))</f>
        <v>0</v>
      </c>
      <c r="Q493" s="18">
        <f>IF(A30taxstdlife="n/a","n/a",IF(Q$3&gt;(A30taxstdlife+$E493),('RFM input'!$J$90-'RFM input'!$J$144)-SUM($J493:P493),('RFM input'!$J$90-'RFM input'!$J$144)/A30taxstdlife))</f>
        <v>0</v>
      </c>
      <c r="R493" s="18"/>
      <c r="S493" s="74"/>
      <c r="T493" s="74"/>
      <c r="U493" s="74"/>
      <c r="V493" s="74"/>
      <c r="W493" s="74"/>
      <c r="X493" s="74"/>
      <c r="Y493" s="74"/>
      <c r="Z493" s="74"/>
      <c r="AA493" s="152"/>
    </row>
    <row r="494" spans="1:27" ht="12.75" hidden="1" customHeight="1" outlineLevel="2">
      <c r="A494" s="3"/>
      <c r="B494" s="3"/>
      <c r="C494" s="16"/>
      <c r="D494" s="1594"/>
      <c r="E494" s="61">
        <v>4</v>
      </c>
      <c r="F494" s="17"/>
      <c r="G494" s="17"/>
      <c r="H494" s="1414"/>
      <c r="I494" s="1414"/>
      <c r="J494" s="115"/>
      <c r="K494" s="116"/>
      <c r="L494" s="18">
        <f>IF(A30taxstdlife="n/a","n/a",IF(L$3&gt;(A30taxstdlife+$E494),('RFM input'!$K$90-'RFM input'!$K$144)-SUM($K494:K494),('RFM input'!$K$90-'RFM input'!$K$144)/A30taxstdlife))</f>
        <v>0</v>
      </c>
      <c r="M494" s="18">
        <f>IF(A30taxstdlife="n/a","n/a",IF(M$3&gt;(A30taxstdlife+$E494),('RFM input'!$K$90-'RFM input'!$K$144)-SUM($K494:L494),('RFM input'!$K$90-'RFM input'!$K$144)/A30taxstdlife))</f>
        <v>0</v>
      </c>
      <c r="N494" s="18">
        <f>IF(A30taxstdlife="n/a","n/a",IF(N$3&gt;(A30taxstdlife+$E494),('RFM input'!$K$90-'RFM input'!$K$144)-SUM($K494:M494),('RFM input'!$K$90-'RFM input'!$K$144)/A30taxstdlife))</f>
        <v>0</v>
      </c>
      <c r="O494" s="18">
        <f>IF(A30taxstdlife="n/a","n/a",IF(O$3&gt;(A30taxstdlife+$E494),('RFM input'!$K$90-'RFM input'!$K$144)-SUM($K494:N494),('RFM input'!$K$90-'RFM input'!$K$144)/A30taxstdlife))</f>
        <v>0</v>
      </c>
      <c r="P494" s="18">
        <f>IF(A30taxstdlife="n/a","n/a",IF(P$3&gt;(A30taxstdlife+$E494),('RFM input'!$K$90-'RFM input'!$K$144)-SUM($K494:O494),('RFM input'!$K$90-'RFM input'!$K$144)/A30taxstdlife))</f>
        <v>0</v>
      </c>
      <c r="Q494" s="18">
        <f>IF(A30taxstdlife="n/a","n/a",IF(Q$3&gt;(A30taxstdlife+$E494),('RFM input'!$K$90-'RFM input'!$K$144)-SUM($K494:P494),('RFM input'!$K$90-'RFM input'!$K$144)/A30taxstdlife))</f>
        <v>0</v>
      </c>
      <c r="R494" s="18"/>
      <c r="S494" s="74"/>
      <c r="T494" s="74"/>
      <c r="U494" s="74"/>
      <c r="V494" s="74"/>
      <c r="W494" s="74"/>
      <c r="X494" s="74"/>
      <c r="Y494" s="74"/>
      <c r="Z494" s="74"/>
      <c r="AA494" s="152"/>
    </row>
    <row r="495" spans="1:27" ht="12.75" hidden="1" customHeight="1" outlineLevel="2">
      <c r="A495" s="3"/>
      <c r="B495" s="3"/>
      <c r="C495" s="16"/>
      <c r="D495" s="1594"/>
      <c r="E495" s="61">
        <v>5</v>
      </c>
      <c r="F495" s="17"/>
      <c r="G495" s="17"/>
      <c r="H495" s="1414"/>
      <c r="I495" s="1414"/>
      <c r="J495" s="115"/>
      <c r="K495" s="115"/>
      <c r="L495" s="116"/>
      <c r="M495" s="18">
        <f>IF(A30taxstdlife="n/a","n/a",IF(M$3&gt;(A30taxstdlife+$E495),('RFM input'!$L$90-'RFM input'!$L$144)-SUM($L495:L495),('RFM input'!$L$90-'RFM input'!$L$144)/A30taxstdlife))</f>
        <v>0</v>
      </c>
      <c r="N495" s="18">
        <f>IF(A30taxstdlife="n/a","n/a",IF(N$3&gt;(A30taxstdlife+$E495),('RFM input'!$L$90-'RFM input'!$L$144)-SUM($L495:M495),('RFM input'!$L$90-'RFM input'!$L$144)/A30taxstdlife))</f>
        <v>0</v>
      </c>
      <c r="O495" s="18">
        <f>IF(A30taxstdlife="n/a","n/a",IF(O$3&gt;(A30taxstdlife+$E495),('RFM input'!$L$90-'RFM input'!$L$144)-SUM($L495:N495),('RFM input'!$L$90-'RFM input'!$L$144)/A30taxstdlife))</f>
        <v>0</v>
      </c>
      <c r="P495" s="18">
        <f>IF(A30taxstdlife="n/a","n/a",IF(P$3&gt;(A30taxstdlife+$E495),('RFM input'!$L$90-'RFM input'!$L$144)-SUM($L495:O495),('RFM input'!$L$90-'RFM input'!$L$144)/A30taxstdlife))</f>
        <v>0</v>
      </c>
      <c r="Q495" s="18">
        <f>IF(A30taxstdlife="n/a","n/a",IF(Q$3&gt;(A30taxstdlife+$E495),('RFM input'!$L$90-'RFM input'!$L$144)-SUM($L495:P495),('RFM input'!$L$90-'RFM input'!$L$144)/A30taxstdlife))</f>
        <v>0</v>
      </c>
      <c r="R495" s="18"/>
      <c r="S495" s="74"/>
      <c r="T495" s="74"/>
      <c r="U495" s="74"/>
      <c r="V495" s="74"/>
      <c r="W495" s="74"/>
      <c r="X495" s="74"/>
      <c r="Y495" s="74"/>
      <c r="Z495" s="74"/>
      <c r="AA495" s="152"/>
    </row>
    <row r="496" spans="1:27" ht="12.75" hidden="1" customHeight="1" outlineLevel="2">
      <c r="A496" s="3"/>
      <c r="B496" s="3"/>
      <c r="C496" s="16"/>
      <c r="D496" s="1594"/>
      <c r="E496" s="61">
        <v>6</v>
      </c>
      <c r="F496" s="17"/>
      <c r="G496" s="17"/>
      <c r="H496" s="1414"/>
      <c r="I496" s="1414"/>
      <c r="J496" s="115"/>
      <c r="K496" s="115"/>
      <c r="L496" s="115"/>
      <c r="M496" s="116"/>
      <c r="N496" s="18">
        <f>IF(A30taxstdlife="n/a","n/a",IF(N$3&gt;(A30taxstdlife+$E496),('RFM input'!$M$90-'RFM input'!$M$144)-SUM($M496:M496),('RFM input'!$M$90-'RFM input'!$M$144)/A30taxstdlife))</f>
        <v>0</v>
      </c>
      <c r="O496" s="18">
        <f>IF(A30taxstdlife="n/a","n/a",IF(O$3&gt;(A30taxstdlife+$E496),('RFM input'!$M$90-'RFM input'!$M$144)-SUM($M496:N496),('RFM input'!$M$90-'RFM input'!$M$144)/A30taxstdlife))</f>
        <v>0</v>
      </c>
      <c r="P496" s="18">
        <f>IF(A30taxstdlife="n/a","n/a",IF(P$3&gt;(A30taxstdlife+$E496),('RFM input'!$M$90-'RFM input'!$M$144)-SUM($M496:O496),('RFM input'!$M$90-'RFM input'!$M$144)/A30taxstdlife))</f>
        <v>0</v>
      </c>
      <c r="Q496" s="18">
        <f>IF(A30taxstdlife="n/a","n/a",IF(Q$3&gt;(A30taxstdlife+$E496),('RFM input'!$M$90-'RFM input'!$M$144)-SUM($M496:P496),('RFM input'!$M$90-'RFM input'!$M$144)/A30taxstdlife))</f>
        <v>0</v>
      </c>
      <c r="R496" s="18"/>
      <c r="S496" s="74"/>
      <c r="T496" s="74"/>
      <c r="U496" s="74"/>
      <c r="V496" s="74"/>
      <c r="W496" s="74"/>
      <c r="X496" s="74"/>
      <c r="Y496" s="74"/>
      <c r="Z496" s="74"/>
      <c r="AA496" s="152"/>
    </row>
    <row r="497" spans="1:27" ht="12.75" hidden="1" customHeight="1" outlineLevel="2">
      <c r="A497" s="3"/>
      <c r="B497" s="3"/>
      <c r="C497" s="16"/>
      <c r="D497" s="1594"/>
      <c r="E497" s="61">
        <v>7</v>
      </c>
      <c r="F497" s="17"/>
      <c r="G497" s="17"/>
      <c r="H497" s="1414"/>
      <c r="I497" s="1414"/>
      <c r="J497" s="115"/>
      <c r="K497" s="115"/>
      <c r="L497" s="115"/>
      <c r="M497" s="115"/>
      <c r="N497" s="116"/>
      <c r="O497" s="18">
        <f>IF(A30taxstdlife="n/a","n/a",IF(O$3&gt;(A30taxstdlife+$E497),('RFM input'!$N$90-'RFM input'!$N$144)-SUM($N497:N497),('RFM input'!$N$90-'RFM input'!$N$144)/A30taxstdlife))</f>
        <v>0</v>
      </c>
      <c r="P497" s="18">
        <f>IF(A30taxstdlife="n/a","n/a",IF(P$3&gt;(A30taxstdlife+$E497),('RFM input'!$N$90-'RFM input'!$N$144)-SUM($N497:O497),('RFM input'!$N$90-'RFM input'!$N$144)/A30taxstdlife))</f>
        <v>0</v>
      </c>
      <c r="Q497" s="18">
        <f>IF(A30taxstdlife="n/a","n/a",IF(Q$3&gt;(A30taxstdlife+$E497),('RFM input'!$N$90-'RFM input'!$N$144)-SUM($N497:P497),('RFM input'!$N$90-'RFM input'!$N$144)/A30taxstdlife))</f>
        <v>0</v>
      </c>
      <c r="R497" s="18"/>
      <c r="S497" s="74"/>
      <c r="T497" s="74"/>
      <c r="U497" s="74"/>
      <c r="V497" s="74"/>
      <c r="W497" s="74"/>
      <c r="X497" s="74"/>
      <c r="Y497" s="74"/>
      <c r="Z497" s="74"/>
      <c r="AA497" s="152"/>
    </row>
    <row r="498" spans="1:27" ht="12.75" hidden="1" customHeight="1" outlineLevel="2">
      <c r="A498" s="3"/>
      <c r="B498" s="3"/>
      <c r="C498" s="16"/>
      <c r="D498" s="1594"/>
      <c r="E498" s="61">
        <v>8</v>
      </c>
      <c r="F498" s="17"/>
      <c r="G498" s="17"/>
      <c r="H498" s="1414"/>
      <c r="I498" s="1414"/>
      <c r="J498" s="115"/>
      <c r="K498" s="115"/>
      <c r="L498" s="115"/>
      <c r="M498" s="115"/>
      <c r="N498" s="115"/>
      <c r="O498" s="116"/>
      <c r="P498" s="18">
        <f>IF(A30taxstdlife="n/a","n/a",IF(P$3&gt;(A30taxstdlife+$E498),('RFM input'!$O$90-'RFM input'!$O$144)-SUM($O498:O498),('RFM input'!$O$90-'RFM input'!$O$144)/A30taxstdlife))</f>
        <v>0</v>
      </c>
      <c r="Q498" s="18">
        <f>IF(A30taxstdlife="n/a","n/a",IF(Q$3&gt;(A30taxstdlife+$E498),('RFM input'!$O$90-'RFM input'!$O$144)-SUM($O498:P498),('RFM input'!$O$90-'RFM input'!$O$144)/A30taxstdlife))</f>
        <v>0</v>
      </c>
      <c r="R498" s="18"/>
      <c r="S498" s="74"/>
      <c r="T498" s="74"/>
      <c r="U498" s="74"/>
      <c r="V498" s="74"/>
      <c r="W498" s="74"/>
      <c r="X498" s="74"/>
      <c r="Y498" s="74"/>
      <c r="Z498" s="74"/>
      <c r="AA498" s="152"/>
    </row>
    <row r="499" spans="1:27" ht="12.75" hidden="1" customHeight="1" outlineLevel="2">
      <c r="A499" s="3"/>
      <c r="B499" s="3"/>
      <c r="C499" s="16"/>
      <c r="D499" s="1594"/>
      <c r="E499" s="61">
        <v>9</v>
      </c>
      <c r="F499" s="17"/>
      <c r="G499" s="17"/>
      <c r="H499" s="1414"/>
      <c r="I499" s="1414"/>
      <c r="J499" s="115"/>
      <c r="K499" s="115"/>
      <c r="L499" s="115"/>
      <c r="M499" s="115"/>
      <c r="N499" s="115"/>
      <c r="O499" s="115"/>
      <c r="P499" s="116"/>
      <c r="Q499" s="18">
        <f>IF(A30taxstdlife="n/a","n/a",IF(Q$3&gt;(A30taxstdlife+$E499),('RFM input'!$P$90-'RFM input'!$P$144)-SUM($P499:P499),('RFM input'!$P$90-'RFM input'!$P$144)/A30taxstdlife))</f>
        <v>0</v>
      </c>
      <c r="R499" s="18"/>
      <c r="S499" s="74"/>
      <c r="T499" s="74"/>
      <c r="U499" s="74"/>
      <c r="V499" s="74"/>
      <c r="W499" s="74"/>
      <c r="X499" s="74"/>
      <c r="Y499" s="74"/>
      <c r="Z499" s="74"/>
      <c r="AA499" s="152"/>
    </row>
    <row r="500" spans="1:27" ht="12.75" hidden="1" customHeight="1" outlineLevel="2">
      <c r="A500" s="3"/>
      <c r="B500" s="3"/>
      <c r="C500" s="16"/>
      <c r="D500" s="1594"/>
      <c r="E500" s="62">
        <v>10</v>
      </c>
      <c r="F500" s="17"/>
      <c r="G500" s="17"/>
      <c r="H500" s="1414"/>
      <c r="I500" s="1414"/>
      <c r="J500" s="115"/>
      <c r="K500" s="115"/>
      <c r="L500" s="115"/>
      <c r="M500" s="115"/>
      <c r="N500" s="115"/>
      <c r="O500" s="115"/>
      <c r="P500" s="115"/>
      <c r="Q500" s="116"/>
      <c r="R500" s="18"/>
      <c r="S500" s="74"/>
      <c r="T500" s="74"/>
      <c r="U500" s="74"/>
      <c r="V500" s="74"/>
      <c r="W500" s="74"/>
      <c r="X500" s="74"/>
      <c r="Y500" s="74"/>
      <c r="Z500" s="74"/>
      <c r="AA500" s="152"/>
    </row>
    <row r="501" spans="1:27" hidden="1" outlineLevel="1">
      <c r="A501" s="3"/>
      <c r="B501" s="3"/>
      <c r="C501" s="134">
        <f>Asset30</f>
        <v>0</v>
      </c>
      <c r="D501" s="3"/>
      <c r="E501" s="3"/>
      <c r="F501" s="14"/>
      <c r="G501" s="14"/>
      <c r="H501" s="1460">
        <f>IF('RFM input'!$G$354="Tracked",-1*INDEX('RFM input'!H$358:H$407,MATCH('TAB roll forward'!$C501,'RFM input'!$E$358:$E$407,0)),-SUM(H489:H500))</f>
        <v>0</v>
      </c>
      <c r="I501" s="1460">
        <f>IF('RFM input'!$G$354="Tracked",-1*INDEX('RFM input'!I$358:I$407,MATCH('TAB roll forward'!$C501,'RFM input'!$E$358:$E$407,0)),-SUM(I489:I500))</f>
        <v>0</v>
      </c>
      <c r="J501" s="1460">
        <f>IF(COUNT($H501:I501)&gt;='RFM input'!$V$7,0,IF('RFM input'!$G$354="Tracked",-1*INDEX('RFM input'!J$358:J$407,MATCH('TAB roll forward'!$C501,'RFM input'!$E$358:$E$407,0)),-SUM(J489:J500)))</f>
        <v>0</v>
      </c>
      <c r="K501" s="1460">
        <f>IF(COUNT($H501:J501)&gt;='RFM input'!$V$7,0,IF('RFM input'!$G$354="Tracked",-1*INDEX('RFM input'!K$358:K$407,MATCH('TAB roll forward'!$C501,'RFM input'!$E$358:$E$407,0)),-SUM(K489:K500)))</f>
        <v>0</v>
      </c>
      <c r="L501" s="1460">
        <f>IF(COUNT($H501:K501)&gt;='RFM input'!$V$7,0,IF('RFM input'!$G$354="Tracked",-1*INDEX('RFM input'!L$358:L$407,MATCH('TAB roll forward'!$C501,'RFM input'!$E$358:$E$407,0)),-SUM(L489:L500)))</f>
        <v>0</v>
      </c>
      <c r="M501" s="1460">
        <f>IF(COUNT($H501:L501)&gt;='RFM input'!$V$7,0,IF('RFM input'!$G$354="Tracked",-1*INDEX('RFM input'!M$358:M$407,MATCH('TAB roll forward'!$C501,'RFM input'!$E$358:$E$407,0)),-SUM(M489:M500)))</f>
        <v>0</v>
      </c>
      <c r="N501" s="1460">
        <f>IF(COUNT($H501:M501)&gt;='RFM input'!$V$7,0,IF('RFM input'!$G$354="Tracked",-1*INDEX('RFM input'!N$358:N$407,MATCH('TAB roll forward'!$C501,'RFM input'!$E$358:$E$407,0)),-SUM(N489:N500)))</f>
        <v>0</v>
      </c>
      <c r="O501" s="1460">
        <f>IF(COUNT($H501:N501)&gt;='RFM input'!$V$7,0,IF('RFM input'!$G$354="Tracked",-1*INDEX('RFM input'!O$358:O$407,MATCH('TAB roll forward'!$C501,'RFM input'!$E$358:$E$407,0)),-SUM(O489:O500)))</f>
        <v>0</v>
      </c>
      <c r="P501" s="1460">
        <f>IF(COUNT($H501:O501)&gt;='RFM input'!$V$7,0,IF('RFM input'!$G$354="Tracked",-1*INDEX('RFM input'!P$358:P$407,MATCH('TAB roll forward'!$C501,'RFM input'!$E$358:$E$407,0)),-SUM(P489:P500)))</f>
        <v>0</v>
      </c>
      <c r="Q501" s="1460">
        <f>IF(COUNT($H501:P501)&gt;='RFM input'!$V$7,0,IF('RFM input'!$G$354="Tracked",-1*INDEX('RFM input'!Q$358:Q$407,MATCH('TAB roll forward'!$C501,'RFM input'!$E$358:$E$407,0)),-SUM(Q489:Q500)))</f>
        <v>0</v>
      </c>
      <c r="R501" s="1382"/>
      <c r="S501" s="73"/>
      <c r="T501" s="73"/>
      <c r="U501" s="73"/>
      <c r="V501" s="73"/>
      <c r="W501" s="73"/>
      <c r="X501" s="73"/>
      <c r="Y501" s="73"/>
      <c r="Z501" s="73"/>
      <c r="AA501" s="152"/>
    </row>
    <row r="502" spans="1:27" ht="12.75" hidden="1" customHeight="1" outlineLevel="2">
      <c r="A502" s="3"/>
      <c r="B502" s="135">
        <f>Asset31</f>
        <v>0</v>
      </c>
      <c r="C502" s="19"/>
      <c r="D502" s="234" t="s">
        <v>119</v>
      </c>
      <c r="E502" s="19"/>
      <c r="F502" s="148"/>
      <c r="G502" s="148"/>
      <c r="H502" s="21">
        <f>IF(H$3&gt;A31taxremlife,A31taxvalue-SUM($F502:F502),IF(A31taxremlife="N/A","n/a",A31taxvalue/A31taxremlife))</f>
        <v>0</v>
      </c>
      <c r="I502" s="21">
        <f>IF(I$3&gt;A31taxremlife,A31taxvalue-SUM($F502:H502),IF(A31taxremlife="N/A","n/a",A31taxvalue/A31taxremlife))</f>
        <v>0</v>
      </c>
      <c r="J502" s="21">
        <f>IF(J$3&gt;A31taxremlife,A31taxvalue-SUM($F502:I502),IF(A31taxremlife="N/A","n/a",A31taxvalue/A31taxremlife))</f>
        <v>0</v>
      </c>
      <c r="K502" s="21">
        <f>IF(K$3&gt;A31taxremlife,A31taxvalue-SUM($F502:J502),IF(A31taxremlife="N/A","n/a",A31taxvalue/A31taxremlife))</f>
        <v>0</v>
      </c>
      <c r="L502" s="21">
        <f>IF(L$3&gt;A31taxremlife,A31taxvalue-SUM($F502:K502),IF(A31taxremlife="N/A","n/a",A31taxvalue/A31taxremlife))</f>
        <v>0</v>
      </c>
      <c r="M502" s="21">
        <f>IF(M$3&gt;A31taxremlife,A31taxvalue-SUM($F502:L502),IF(A31taxremlife="N/A","n/a",A31taxvalue/A31taxremlife))</f>
        <v>0</v>
      </c>
      <c r="N502" s="21">
        <f>IF(N$3&gt;A31taxremlife,A31taxvalue-SUM($F502:M502),IF(A31taxremlife="N/A","n/a",A31taxvalue/A31taxremlife))</f>
        <v>0</v>
      </c>
      <c r="O502" s="21">
        <f>IF(O$3&gt;A31taxremlife,A31taxvalue-SUM($F502:N502),IF(A31taxremlife="N/A","n/a",A31taxvalue/A31taxremlife))</f>
        <v>0</v>
      </c>
      <c r="P502" s="21">
        <f>IF(P$3&gt;A31taxremlife,A31taxvalue-SUM($F502:O502),IF(A31taxremlife="N/A","n/a",A31taxvalue/A31taxremlife))</f>
        <v>0</v>
      </c>
      <c r="Q502" s="21">
        <f>IF(Q$3&gt;A31taxremlife,A31taxvalue-SUM($F502:P502),IF(A31taxremlife="N/A","n/a",A31taxvalue/A31taxremlife))</f>
        <v>0</v>
      </c>
      <c r="R502" s="21"/>
      <c r="S502" s="74"/>
      <c r="T502" s="74"/>
      <c r="U502" s="74"/>
      <c r="V502" s="74"/>
      <c r="W502" s="74"/>
      <c r="X502" s="74"/>
      <c r="Y502" s="74"/>
      <c r="Z502" s="74"/>
      <c r="AA502" s="152"/>
    </row>
    <row r="503" spans="1:27" ht="12.75" hidden="1" customHeight="1" outlineLevel="2">
      <c r="A503" s="3"/>
      <c r="B503" s="3"/>
      <c r="C503" s="16"/>
      <c r="D503" s="1593" t="s">
        <v>43</v>
      </c>
      <c r="E503" s="61"/>
      <c r="F503" s="17"/>
      <c r="G503" s="17"/>
      <c r="H503" s="1413"/>
      <c r="I503" s="72"/>
      <c r="J503" s="18"/>
      <c r="K503" s="18"/>
      <c r="L503" s="18"/>
      <c r="M503" s="18"/>
      <c r="N503" s="18"/>
      <c r="O503" s="18"/>
      <c r="P503" s="18"/>
      <c r="Q503" s="18"/>
      <c r="R503" s="18"/>
      <c r="S503" s="74"/>
      <c r="T503" s="74"/>
      <c r="U503" s="74"/>
      <c r="V503" s="74"/>
      <c r="W503" s="74"/>
      <c r="X503" s="74"/>
      <c r="Y503" s="74"/>
      <c r="Z503" s="74"/>
      <c r="AA503" s="152"/>
    </row>
    <row r="504" spans="1:27" ht="12.75" hidden="1" customHeight="1" outlineLevel="2">
      <c r="A504" s="3"/>
      <c r="B504" s="3"/>
      <c r="C504" s="16"/>
      <c r="D504" s="1594"/>
      <c r="E504" s="61">
        <v>1</v>
      </c>
      <c r="F504" s="17"/>
      <c r="G504" s="17"/>
      <c r="H504" s="1414"/>
      <c r="I504" s="1415">
        <f>IF(A31taxstdlife="n/a","n/a",IF(I$3&gt;(A31taxstdlife+$E504),('RFM input'!$H$91-'RFM input'!$H$145)-SUM($H504:H504),('RFM input'!$H$91-'RFM input'!$H$145)/A31taxstdlife))</f>
        <v>0</v>
      </c>
      <c r="J504" s="18">
        <f>IF(A31taxstdlife="n/a","n/a",IF(J$3&gt;(A31taxstdlife+$E504),('RFM input'!$H$91-'RFM input'!$H$145)-SUM($H504:I504),('RFM input'!$H$91-'RFM input'!$H$145)/A31taxstdlife))</f>
        <v>0</v>
      </c>
      <c r="K504" s="18">
        <f>IF(A31taxstdlife="n/a","n/a",IF(K$3&gt;(A31taxstdlife+$E504),('RFM input'!$H$91-'RFM input'!$H$145)-SUM($H504:J504),('RFM input'!$H$91-'RFM input'!$H$145)/A31taxstdlife))</f>
        <v>0</v>
      </c>
      <c r="L504" s="18">
        <f>IF(A31taxstdlife="n/a","n/a",IF(L$3&gt;(A31taxstdlife+$E504),('RFM input'!$H$91-'RFM input'!$H$145)-SUM($H504:K504),('RFM input'!$H$91-'RFM input'!$H$145)/A31taxstdlife))</f>
        <v>0</v>
      </c>
      <c r="M504" s="18">
        <f>IF(A31taxstdlife="n/a","n/a",IF(M$3&gt;(A31taxstdlife+$E504),('RFM input'!$H$91-'RFM input'!$H$145)-SUM($H504:L504),('RFM input'!$H$91-'RFM input'!$H$145)/A31taxstdlife))</f>
        <v>0</v>
      </c>
      <c r="N504" s="18">
        <f>IF(A31taxstdlife="n/a","n/a",IF(N$3&gt;(A31taxstdlife+$E504),('RFM input'!$H$91-'RFM input'!$H$145)-SUM($H504:M504),('RFM input'!$H$91-'RFM input'!$H$145)/A31taxstdlife))</f>
        <v>0</v>
      </c>
      <c r="O504" s="18">
        <f>IF(A31taxstdlife="n/a","n/a",IF(O$3&gt;(A31taxstdlife+$E504),('RFM input'!$H$91-'RFM input'!$H$145)-SUM($H504:N504),('RFM input'!$H$91-'RFM input'!$H$145)/A31taxstdlife))</f>
        <v>0</v>
      </c>
      <c r="P504" s="18">
        <f>IF(A31taxstdlife="n/a","n/a",IF(P$3&gt;(A31taxstdlife+$E504),('RFM input'!$H$91-'RFM input'!$H$145)-SUM($H504:O504),('RFM input'!$H$91-'RFM input'!$H$145)/A31taxstdlife))</f>
        <v>0</v>
      </c>
      <c r="Q504" s="18">
        <f>IF(A31taxstdlife="n/a","n/a",IF(Q$3&gt;(A31taxstdlife+$E504),('RFM input'!$H$91-'RFM input'!$H$145)-SUM($H504:P504),('RFM input'!$H$91-'RFM input'!$H$145)/A31taxstdlife))</f>
        <v>0</v>
      </c>
      <c r="R504" s="18"/>
      <c r="S504" s="74"/>
      <c r="T504" s="74"/>
      <c r="U504" s="74"/>
      <c r="V504" s="74"/>
      <c r="W504" s="74"/>
      <c r="X504" s="74"/>
      <c r="Y504" s="74"/>
      <c r="Z504" s="74"/>
      <c r="AA504" s="152"/>
    </row>
    <row r="505" spans="1:27" ht="12.75" hidden="1" customHeight="1" outlineLevel="2">
      <c r="A505" s="3"/>
      <c r="B505" s="3"/>
      <c r="C505" s="16"/>
      <c r="D505" s="1594"/>
      <c r="E505" s="61">
        <v>2</v>
      </c>
      <c r="F505" s="17"/>
      <c r="G505" s="17"/>
      <c r="H505" s="1414"/>
      <c r="I505" s="1414"/>
      <c r="J505" s="18">
        <f>IF(A31taxstdlife="n/a","n/a",IF(J$3&gt;(A31taxstdlife+$E505),('RFM input'!$I$91-'RFM input'!$I$145)-SUM($I505:I505),('RFM input'!$I$91-'RFM input'!$I$145)/A31taxstdlife))</f>
        <v>0</v>
      </c>
      <c r="K505" s="18">
        <f>IF(A31taxstdlife="n/a","n/a",IF(K$3&gt;(A31taxstdlife+$E505),('RFM input'!$I$91-'RFM input'!$I$145)-SUM($I505:J505),('RFM input'!$I$91-'RFM input'!$I$145)/A31taxstdlife))</f>
        <v>0</v>
      </c>
      <c r="L505" s="18">
        <f>IF(A31taxstdlife="n/a","n/a",IF(L$3&gt;(A31taxstdlife+$E505),('RFM input'!$I$91-'RFM input'!$I$145)-SUM($I505:K505),('RFM input'!$I$91-'RFM input'!$I$145)/A31taxstdlife))</f>
        <v>0</v>
      </c>
      <c r="M505" s="18">
        <f>IF(A31taxstdlife="n/a","n/a",IF(M$3&gt;(A31taxstdlife+$E505),('RFM input'!$I$91-'RFM input'!$I$145)-SUM($I505:L505),('RFM input'!$I$91-'RFM input'!$I$145)/A31taxstdlife))</f>
        <v>0</v>
      </c>
      <c r="N505" s="18">
        <f>IF(A31taxstdlife="n/a","n/a",IF(N$3&gt;(A31taxstdlife+$E505),('RFM input'!$I$91-'RFM input'!$I$145)-SUM($I505:M505),('RFM input'!$I$91-'RFM input'!$I$145)/A31taxstdlife))</f>
        <v>0</v>
      </c>
      <c r="O505" s="18">
        <f>IF(A31taxstdlife="n/a","n/a",IF(O$3&gt;(A31taxstdlife+$E505),('RFM input'!$I$91-'RFM input'!$I$145)-SUM($I505:N505),('RFM input'!$I$91-'RFM input'!$I$145)/A31taxstdlife))</f>
        <v>0</v>
      </c>
      <c r="P505" s="18">
        <f>IF(A31taxstdlife="n/a","n/a",IF(P$3&gt;(A31taxstdlife+$E505),('RFM input'!$I$91-'RFM input'!$I$145)-SUM($I505:O505),('RFM input'!$I$91-'RFM input'!$I$145)/A31taxstdlife))</f>
        <v>0</v>
      </c>
      <c r="Q505" s="18">
        <f>IF(A31taxstdlife="n/a","n/a",IF(Q$3&gt;(A31taxstdlife+$E505),('RFM input'!$I$91-'RFM input'!$I$145)-SUM($I505:P505),('RFM input'!$I$91-'RFM input'!$I$145)/A31taxstdlife))</f>
        <v>0</v>
      </c>
      <c r="R505" s="18"/>
      <c r="S505" s="74"/>
      <c r="T505" s="74"/>
      <c r="U505" s="74"/>
      <c r="V505" s="74"/>
      <c r="W505" s="74"/>
      <c r="X505" s="74"/>
      <c r="Y505" s="74"/>
      <c r="Z505" s="74"/>
      <c r="AA505" s="152"/>
    </row>
    <row r="506" spans="1:27" ht="12.75" hidden="1" customHeight="1" outlineLevel="2">
      <c r="A506" s="3"/>
      <c r="B506" s="3"/>
      <c r="C506" s="16"/>
      <c r="D506" s="1594"/>
      <c r="E506" s="61">
        <v>3</v>
      </c>
      <c r="F506" s="17"/>
      <c r="G506" s="17"/>
      <c r="H506" s="1414"/>
      <c r="I506" s="1414"/>
      <c r="J506" s="116"/>
      <c r="K506" s="18">
        <f>IF(A31taxstdlife="n/a","n/a",IF(K$3&gt;(A31taxstdlife+$E506),('RFM input'!$J$91-'RFM input'!$J$145)-SUM($J506:J506),('RFM input'!$J$91-'RFM input'!$J$145)/A31taxstdlife))</f>
        <v>0</v>
      </c>
      <c r="L506" s="18">
        <f>IF(A31taxstdlife="n/a","n/a",IF(L$3&gt;(A31taxstdlife+$E506),('RFM input'!$J$91-'RFM input'!$J$145)-SUM($J506:K506),('RFM input'!$J$91-'RFM input'!$J$145)/A31taxstdlife))</f>
        <v>0</v>
      </c>
      <c r="M506" s="18">
        <f>IF(A31taxstdlife="n/a","n/a",IF(M$3&gt;(A31taxstdlife+$E506),('RFM input'!$J$91-'RFM input'!$J$145)-SUM($J506:L506),('RFM input'!$J$91-'RFM input'!$J$145)/A31taxstdlife))</f>
        <v>0</v>
      </c>
      <c r="N506" s="18">
        <f>IF(A31taxstdlife="n/a","n/a",IF(N$3&gt;(A31taxstdlife+$E506),('RFM input'!$J$91-'RFM input'!$J$145)-SUM($J506:M506),('RFM input'!$J$91-'RFM input'!$J$145)/A31taxstdlife))</f>
        <v>0</v>
      </c>
      <c r="O506" s="18">
        <f>IF(A31taxstdlife="n/a","n/a",IF(O$3&gt;(A31taxstdlife+$E506),('RFM input'!$J$91-'RFM input'!$J$145)-SUM($J506:N506),('RFM input'!$J$91-'RFM input'!$J$145)/A31taxstdlife))</f>
        <v>0</v>
      </c>
      <c r="P506" s="18">
        <f>IF(A31taxstdlife="n/a","n/a",IF(P$3&gt;(A31taxstdlife+$E506),('RFM input'!$J$91-'RFM input'!$J$145)-SUM($J506:O506),('RFM input'!$J$91-'RFM input'!$J$145)/A31taxstdlife))</f>
        <v>0</v>
      </c>
      <c r="Q506" s="18">
        <f>IF(A31taxstdlife="n/a","n/a",IF(Q$3&gt;(A31taxstdlife+$E506),('RFM input'!$J$91-'RFM input'!$J$145)-SUM($J506:P506),('RFM input'!$J$91-'RFM input'!$J$145)/A31taxstdlife))</f>
        <v>0</v>
      </c>
      <c r="R506" s="18"/>
      <c r="S506" s="74"/>
      <c r="T506" s="74"/>
      <c r="U506" s="74"/>
      <c r="V506" s="74"/>
      <c r="W506" s="74"/>
      <c r="X506" s="74"/>
      <c r="Y506" s="74"/>
      <c r="Z506" s="74"/>
      <c r="AA506" s="152"/>
    </row>
    <row r="507" spans="1:27" ht="12.75" hidden="1" customHeight="1" outlineLevel="2">
      <c r="A507" s="3"/>
      <c r="B507" s="3"/>
      <c r="C507" s="16"/>
      <c r="D507" s="1594"/>
      <c r="E507" s="61">
        <v>4</v>
      </c>
      <c r="F507" s="17"/>
      <c r="G507" s="17"/>
      <c r="H507" s="1414"/>
      <c r="I507" s="1414"/>
      <c r="J507" s="115"/>
      <c r="K507" s="116"/>
      <c r="L507" s="18">
        <f>IF(A31taxstdlife="n/a","n/a",IF(L$3&gt;(A31taxstdlife+$E507),('RFM input'!$K$91-'RFM input'!$K$145)-SUM($K507:K507),('RFM input'!$K$91-'RFM input'!$K$145)/A31taxstdlife))</f>
        <v>0</v>
      </c>
      <c r="M507" s="18">
        <f>IF(A31taxstdlife="n/a","n/a",IF(M$3&gt;(A31taxstdlife+$E507),('RFM input'!$K$91-'RFM input'!$K$145)-SUM($K507:L507),('RFM input'!$K$91-'RFM input'!$K$145)/A31taxstdlife))</f>
        <v>0</v>
      </c>
      <c r="N507" s="18">
        <f>IF(A31taxstdlife="n/a","n/a",IF(N$3&gt;(A31taxstdlife+$E507),('RFM input'!$K$91-'RFM input'!$K$145)-SUM($K507:M507),('RFM input'!$K$91-'RFM input'!$K$145)/A31taxstdlife))</f>
        <v>0</v>
      </c>
      <c r="O507" s="18">
        <f>IF(A31taxstdlife="n/a","n/a",IF(O$3&gt;(A31taxstdlife+$E507),('RFM input'!$K$91-'RFM input'!$K$145)-SUM($K507:N507),('RFM input'!$K$91-'RFM input'!$K$145)/A31taxstdlife))</f>
        <v>0</v>
      </c>
      <c r="P507" s="18">
        <f>IF(A31taxstdlife="n/a","n/a",IF(P$3&gt;(A31taxstdlife+$E507),('RFM input'!$K$91-'RFM input'!$K$145)-SUM($K507:O507),('RFM input'!$K$91-'RFM input'!$K$145)/A31taxstdlife))</f>
        <v>0</v>
      </c>
      <c r="Q507" s="18">
        <f>IF(A31taxstdlife="n/a","n/a",IF(Q$3&gt;(A31taxstdlife+$E507),('RFM input'!$K$91-'RFM input'!$K$145)-SUM($K507:P507),('RFM input'!$K$91-'RFM input'!$K$145)/A31taxstdlife))</f>
        <v>0</v>
      </c>
      <c r="R507" s="18"/>
      <c r="S507" s="74"/>
      <c r="T507" s="74"/>
      <c r="U507" s="74"/>
      <c r="V507" s="74"/>
      <c r="W507" s="74"/>
      <c r="X507" s="74"/>
      <c r="Y507" s="74"/>
      <c r="Z507" s="74"/>
      <c r="AA507" s="152"/>
    </row>
    <row r="508" spans="1:27" ht="12.75" hidden="1" customHeight="1" outlineLevel="2">
      <c r="A508" s="3"/>
      <c r="B508" s="3"/>
      <c r="C508" s="16"/>
      <c r="D508" s="1594"/>
      <c r="E508" s="61">
        <v>5</v>
      </c>
      <c r="F508" s="17"/>
      <c r="G508" s="17"/>
      <c r="H508" s="1414"/>
      <c r="I508" s="1414"/>
      <c r="J508" s="115"/>
      <c r="K508" s="115"/>
      <c r="L508" s="116"/>
      <c r="M508" s="18">
        <f>IF(A31taxstdlife="n/a","n/a",IF(M$3&gt;(A31taxstdlife+$E508),('RFM input'!$L$91-'RFM input'!$L$145)-SUM($L508:L508),('RFM input'!$L$91-'RFM input'!$L$145)/A31taxstdlife))</f>
        <v>0</v>
      </c>
      <c r="N508" s="18">
        <f>IF(A31taxstdlife="n/a","n/a",IF(N$3&gt;(A31taxstdlife+$E508),('RFM input'!$L$91-'RFM input'!$L$145)-SUM($L508:M508),('RFM input'!$L$91-'RFM input'!$L$145)/A31taxstdlife))</f>
        <v>0</v>
      </c>
      <c r="O508" s="18">
        <f>IF(A31taxstdlife="n/a","n/a",IF(O$3&gt;(A31taxstdlife+$E508),('RFM input'!$L$91-'RFM input'!$L$145)-SUM($L508:N508),('RFM input'!$L$91-'RFM input'!$L$145)/A31taxstdlife))</f>
        <v>0</v>
      </c>
      <c r="P508" s="18">
        <f>IF(A31taxstdlife="n/a","n/a",IF(P$3&gt;(A31taxstdlife+$E508),('RFM input'!$L$91-'RFM input'!$L$145)-SUM($L508:O508),('RFM input'!$L$91-'RFM input'!$L$145)/A31taxstdlife))</f>
        <v>0</v>
      </c>
      <c r="Q508" s="18">
        <f>IF(A31taxstdlife="n/a","n/a",IF(Q$3&gt;(A31taxstdlife+$E508),('RFM input'!$L$91-'RFM input'!$L$145)-SUM($L508:P508),('RFM input'!$L$91-'RFM input'!$L$145)/A31taxstdlife))</f>
        <v>0</v>
      </c>
      <c r="R508" s="18"/>
      <c r="S508" s="74"/>
      <c r="T508" s="74"/>
      <c r="U508" s="74"/>
      <c r="V508" s="74"/>
      <c r="W508" s="74"/>
      <c r="X508" s="74"/>
      <c r="Y508" s="74"/>
      <c r="Z508" s="74"/>
      <c r="AA508" s="152"/>
    </row>
    <row r="509" spans="1:27" ht="12.75" hidden="1" customHeight="1" outlineLevel="2">
      <c r="A509" s="3"/>
      <c r="B509" s="3"/>
      <c r="C509" s="16"/>
      <c r="D509" s="1594"/>
      <c r="E509" s="61">
        <v>6</v>
      </c>
      <c r="F509" s="17"/>
      <c r="G509" s="17"/>
      <c r="H509" s="1414"/>
      <c r="I509" s="1414"/>
      <c r="J509" s="115"/>
      <c r="K509" s="115"/>
      <c r="L509" s="115"/>
      <c r="M509" s="116"/>
      <c r="N509" s="18">
        <f>IF(A31taxstdlife="n/a","n/a",IF(N$3&gt;(A31taxstdlife+$E509),('RFM input'!$M$91-'RFM input'!$M$145)-SUM($M509:M509),('RFM input'!$M$91-'RFM input'!$M$145)/A31taxstdlife))</f>
        <v>0</v>
      </c>
      <c r="O509" s="18">
        <f>IF(A31taxstdlife="n/a","n/a",IF(O$3&gt;(A31taxstdlife+$E509),('RFM input'!$M$91-'RFM input'!$M$145)-SUM($M509:N509),('RFM input'!$M$91-'RFM input'!$M$145)/A31taxstdlife))</f>
        <v>0</v>
      </c>
      <c r="P509" s="18">
        <f>IF(A31taxstdlife="n/a","n/a",IF(P$3&gt;(A31taxstdlife+$E509),('RFM input'!$M$91-'RFM input'!$M$145)-SUM($M509:O509),('RFM input'!$M$91-'RFM input'!$M$145)/A31taxstdlife))</f>
        <v>0</v>
      </c>
      <c r="Q509" s="18">
        <f>IF(A31taxstdlife="n/a","n/a",IF(Q$3&gt;(A31taxstdlife+$E509),('RFM input'!$M$91-'RFM input'!$M$145)-SUM($M509:P509),('RFM input'!$M$91-'RFM input'!$M$145)/A31taxstdlife))</f>
        <v>0</v>
      </c>
      <c r="R509" s="18"/>
      <c r="S509" s="74"/>
      <c r="T509" s="74"/>
      <c r="U509" s="74"/>
      <c r="V509" s="74"/>
      <c r="W509" s="74"/>
      <c r="X509" s="74"/>
      <c r="Y509" s="74"/>
      <c r="Z509" s="74"/>
      <c r="AA509" s="152"/>
    </row>
    <row r="510" spans="1:27" ht="12.75" hidden="1" customHeight="1" outlineLevel="2">
      <c r="A510" s="3"/>
      <c r="B510" s="3"/>
      <c r="C510" s="16"/>
      <c r="D510" s="1594"/>
      <c r="E510" s="61">
        <v>7</v>
      </c>
      <c r="F510" s="17"/>
      <c r="G510" s="17"/>
      <c r="H510" s="1414"/>
      <c r="I510" s="1414"/>
      <c r="J510" s="115"/>
      <c r="K510" s="115"/>
      <c r="L510" s="115"/>
      <c r="M510" s="115"/>
      <c r="N510" s="116"/>
      <c r="O510" s="18">
        <f>IF(A31taxstdlife="n/a","n/a",IF(O$3&gt;(A31taxstdlife+$E510),('RFM input'!$N$91-'RFM input'!$N$145)-SUM($N510:N510),('RFM input'!$N$91-'RFM input'!$N$145)/A31taxstdlife))</f>
        <v>0</v>
      </c>
      <c r="P510" s="18">
        <f>IF(A31taxstdlife="n/a","n/a",IF(P$3&gt;(A31taxstdlife+$E510),('RFM input'!$N$91-'RFM input'!$N$145)-SUM($N510:O510),('RFM input'!$N$91-'RFM input'!$N$145)/A31taxstdlife))</f>
        <v>0</v>
      </c>
      <c r="Q510" s="18">
        <f>IF(A31taxstdlife="n/a","n/a",IF(Q$3&gt;(A31taxstdlife+$E510),('RFM input'!$N$91-'RFM input'!$N$145)-SUM($N510:P510),('RFM input'!$N$91-'RFM input'!$N$145)/A31taxstdlife))</f>
        <v>0</v>
      </c>
      <c r="R510" s="18"/>
      <c r="S510" s="74"/>
      <c r="T510" s="74"/>
      <c r="U510" s="74"/>
      <c r="V510" s="74"/>
      <c r="W510" s="74"/>
      <c r="X510" s="74"/>
      <c r="Y510" s="74"/>
      <c r="Z510" s="74"/>
      <c r="AA510" s="152"/>
    </row>
    <row r="511" spans="1:27" ht="12.75" hidden="1" customHeight="1" outlineLevel="2">
      <c r="A511" s="3"/>
      <c r="B511" s="3"/>
      <c r="C511" s="16"/>
      <c r="D511" s="1594"/>
      <c r="E511" s="61">
        <v>8</v>
      </c>
      <c r="F511" s="17"/>
      <c r="G511" s="17"/>
      <c r="H511" s="1414"/>
      <c r="I511" s="1414"/>
      <c r="J511" s="115"/>
      <c r="K511" s="115"/>
      <c r="L511" s="115"/>
      <c r="M511" s="115"/>
      <c r="N511" s="115"/>
      <c r="O511" s="116"/>
      <c r="P511" s="18">
        <f>IF(A31taxstdlife="n/a","n/a",IF(P$3&gt;(A31taxstdlife+$E511),('RFM input'!$O$91-'RFM input'!$O$145)-SUM($O511:O511),('RFM input'!$O$91-'RFM input'!$O$145)/A31taxstdlife))</f>
        <v>0</v>
      </c>
      <c r="Q511" s="18">
        <f>IF(A31taxstdlife="n/a","n/a",IF(Q$3&gt;(A31taxstdlife+$E511),('RFM input'!$O$91-'RFM input'!$O$145)-SUM($O511:P511),('RFM input'!$O$91-'RFM input'!$O$145)/A31taxstdlife))</f>
        <v>0</v>
      </c>
      <c r="R511" s="18"/>
      <c r="S511" s="74"/>
      <c r="T511" s="74"/>
      <c r="U511" s="74"/>
      <c r="V511" s="74"/>
      <c r="W511" s="74"/>
      <c r="X511" s="74"/>
      <c r="Y511" s="74"/>
      <c r="Z511" s="74"/>
      <c r="AA511" s="152"/>
    </row>
    <row r="512" spans="1:27" ht="12.75" hidden="1" customHeight="1" outlineLevel="2">
      <c r="A512" s="3"/>
      <c r="B512" s="3"/>
      <c r="C512" s="16"/>
      <c r="D512" s="1594"/>
      <c r="E512" s="61">
        <v>9</v>
      </c>
      <c r="F512" s="17"/>
      <c r="G512" s="17"/>
      <c r="H512" s="1414"/>
      <c r="I512" s="1414"/>
      <c r="J512" s="115"/>
      <c r="K512" s="115"/>
      <c r="L512" s="115"/>
      <c r="M512" s="115"/>
      <c r="N512" s="115"/>
      <c r="O512" s="115"/>
      <c r="P512" s="116"/>
      <c r="Q512" s="18">
        <f>IF(A31taxstdlife="n/a","n/a",IF(Q$3&gt;(A31taxstdlife+$E512),('RFM input'!$P$91-'RFM input'!$P$145)-SUM($P512:P512),('RFM input'!$P$91-'RFM input'!$P$145)/A31taxstdlife))</f>
        <v>0</v>
      </c>
      <c r="R512" s="18"/>
      <c r="S512" s="74"/>
      <c r="T512" s="74"/>
      <c r="U512" s="74"/>
      <c r="V512" s="74"/>
      <c r="W512" s="74"/>
      <c r="X512" s="74"/>
      <c r="Y512" s="74"/>
      <c r="Z512" s="74"/>
      <c r="AA512" s="152"/>
    </row>
    <row r="513" spans="1:27" ht="12.75" hidden="1" customHeight="1" outlineLevel="2">
      <c r="A513" s="3"/>
      <c r="B513" s="3"/>
      <c r="C513" s="16"/>
      <c r="D513" s="1594"/>
      <c r="E513" s="62">
        <v>10</v>
      </c>
      <c r="F513" s="17"/>
      <c r="G513" s="17"/>
      <c r="H513" s="1414"/>
      <c r="I513" s="1414"/>
      <c r="J513" s="115"/>
      <c r="K513" s="115"/>
      <c r="L513" s="115"/>
      <c r="M513" s="115"/>
      <c r="N513" s="115"/>
      <c r="O513" s="115"/>
      <c r="P513" s="115"/>
      <c r="Q513" s="116"/>
      <c r="R513" s="18"/>
      <c r="S513" s="74"/>
      <c r="T513" s="74"/>
      <c r="U513" s="74"/>
      <c r="V513" s="74"/>
      <c r="W513" s="74"/>
      <c r="X513" s="74"/>
      <c r="Y513" s="74"/>
      <c r="Z513" s="74"/>
      <c r="AA513" s="152"/>
    </row>
    <row r="514" spans="1:27" hidden="1" outlineLevel="1">
      <c r="A514" s="3"/>
      <c r="B514" s="3"/>
      <c r="C514" s="134">
        <f>Asset31</f>
        <v>0</v>
      </c>
      <c r="D514" s="3"/>
      <c r="E514" s="3"/>
      <c r="F514" s="14"/>
      <c r="G514" s="14"/>
      <c r="H514" s="1460">
        <f>IF('RFM input'!$G$354="Tracked",-1*INDEX('RFM input'!H$358:H$407,MATCH('TAB roll forward'!$C514,'RFM input'!$E$358:$E$407,0)),-SUM(H502:H513))</f>
        <v>0</v>
      </c>
      <c r="I514" s="1460">
        <f>IF('RFM input'!$G$354="Tracked",-1*INDEX('RFM input'!I$358:I$407,MATCH('TAB roll forward'!$C514,'RFM input'!$E$358:$E$407,0)),-SUM(I502:I513))</f>
        <v>0</v>
      </c>
      <c r="J514" s="1460">
        <f>IF(COUNT($H514:I514)&gt;='RFM input'!$V$7,0,IF('RFM input'!$G$354="Tracked",-1*INDEX('RFM input'!J$358:J$407,MATCH('TAB roll forward'!$C514,'RFM input'!$E$358:$E$407,0)),-SUM(J502:J513)))</f>
        <v>0</v>
      </c>
      <c r="K514" s="1460">
        <f>IF(COUNT($H514:J514)&gt;='RFM input'!$V$7,0,IF('RFM input'!$G$354="Tracked",-1*INDEX('RFM input'!K$358:K$407,MATCH('TAB roll forward'!$C514,'RFM input'!$E$358:$E$407,0)),-SUM(K502:K513)))</f>
        <v>0</v>
      </c>
      <c r="L514" s="1460">
        <f>IF(COUNT($H514:K514)&gt;='RFM input'!$V$7,0,IF('RFM input'!$G$354="Tracked",-1*INDEX('RFM input'!L$358:L$407,MATCH('TAB roll forward'!$C514,'RFM input'!$E$358:$E$407,0)),-SUM(L502:L513)))</f>
        <v>0</v>
      </c>
      <c r="M514" s="1460">
        <f>IF(COUNT($H514:L514)&gt;='RFM input'!$V$7,0,IF('RFM input'!$G$354="Tracked",-1*INDEX('RFM input'!M$358:M$407,MATCH('TAB roll forward'!$C514,'RFM input'!$E$358:$E$407,0)),-SUM(M502:M513)))</f>
        <v>0</v>
      </c>
      <c r="N514" s="1460">
        <f>IF(COUNT($H514:M514)&gt;='RFM input'!$V$7,0,IF('RFM input'!$G$354="Tracked",-1*INDEX('RFM input'!N$358:N$407,MATCH('TAB roll forward'!$C514,'RFM input'!$E$358:$E$407,0)),-SUM(N502:N513)))</f>
        <v>0</v>
      </c>
      <c r="O514" s="1460">
        <f>IF(COUNT($H514:N514)&gt;='RFM input'!$V$7,0,IF('RFM input'!$G$354="Tracked",-1*INDEX('RFM input'!O$358:O$407,MATCH('TAB roll forward'!$C514,'RFM input'!$E$358:$E$407,0)),-SUM(O502:O513)))</f>
        <v>0</v>
      </c>
      <c r="P514" s="1460">
        <f>IF(COUNT($H514:O514)&gt;='RFM input'!$V$7,0,IF('RFM input'!$G$354="Tracked",-1*INDEX('RFM input'!P$358:P$407,MATCH('TAB roll forward'!$C514,'RFM input'!$E$358:$E$407,0)),-SUM(P502:P513)))</f>
        <v>0</v>
      </c>
      <c r="Q514" s="1460">
        <f>IF(COUNT($H514:P514)&gt;='RFM input'!$V$7,0,IF('RFM input'!$G$354="Tracked",-1*INDEX('RFM input'!Q$358:Q$407,MATCH('TAB roll forward'!$C514,'RFM input'!$E$358:$E$407,0)),-SUM(Q502:Q513)))</f>
        <v>0</v>
      </c>
      <c r="R514" s="1382"/>
      <c r="S514" s="73"/>
      <c r="T514" s="73"/>
      <c r="U514" s="73"/>
      <c r="V514" s="73"/>
      <c r="W514" s="73"/>
      <c r="X514" s="73"/>
      <c r="Y514" s="73"/>
      <c r="Z514" s="73"/>
      <c r="AA514" s="152"/>
    </row>
    <row r="515" spans="1:27" ht="12.75" hidden="1" customHeight="1" outlineLevel="2">
      <c r="A515" s="3"/>
      <c r="B515" s="135">
        <f>Asset32</f>
        <v>0</v>
      </c>
      <c r="C515" s="19"/>
      <c r="D515" s="234" t="s">
        <v>119</v>
      </c>
      <c r="E515" s="19"/>
      <c r="F515" s="148"/>
      <c r="G515" s="148"/>
      <c r="H515" s="21">
        <f>IF(H$3&gt;A32taxremlife,A32taxvalue-SUM($F515:F515),IF(A32taxremlife="N/A","n/a",A32taxvalue/A32taxremlife))</f>
        <v>0</v>
      </c>
      <c r="I515" s="21">
        <f>IF(I$3&gt;A32taxremlife,A32taxvalue-SUM($F515:H515),IF(A32taxremlife="N/A","n/a",A32taxvalue/A32taxremlife))</f>
        <v>0</v>
      </c>
      <c r="J515" s="21">
        <f>IF(J$3&gt;A32taxremlife,A32taxvalue-SUM($F515:I515),IF(A32taxremlife="N/A","n/a",A32taxvalue/A32taxremlife))</f>
        <v>0</v>
      </c>
      <c r="K515" s="21">
        <f>IF(K$3&gt;A32taxremlife,A32taxvalue-SUM($F515:J515),IF(A32taxremlife="N/A","n/a",A32taxvalue/A32taxremlife))</f>
        <v>0</v>
      </c>
      <c r="L515" s="21">
        <f>IF(L$3&gt;A32taxremlife,A32taxvalue-SUM($F515:K515),IF(A32taxremlife="N/A","n/a",A32taxvalue/A32taxremlife))</f>
        <v>0</v>
      </c>
      <c r="M515" s="21">
        <f>IF(M$3&gt;A32taxremlife,A32taxvalue-SUM($F515:L515),IF(A32taxremlife="N/A","n/a",A32taxvalue/A32taxremlife))</f>
        <v>0</v>
      </c>
      <c r="N515" s="21">
        <f>IF(N$3&gt;A32taxremlife,A32taxvalue-SUM($F515:M515),IF(A32taxremlife="N/A","n/a",A32taxvalue/A32taxremlife))</f>
        <v>0</v>
      </c>
      <c r="O515" s="21">
        <f>IF(O$3&gt;A32taxremlife,A32taxvalue-SUM($F515:N515),IF(A32taxremlife="N/A","n/a",A32taxvalue/A32taxremlife))</f>
        <v>0</v>
      </c>
      <c r="P515" s="21">
        <f>IF(P$3&gt;A32taxremlife,A32taxvalue-SUM($F515:O515),IF(A32taxremlife="N/A","n/a",A32taxvalue/A32taxremlife))</f>
        <v>0</v>
      </c>
      <c r="Q515" s="21">
        <f>IF(Q$3&gt;A32taxremlife,A32taxvalue-SUM($F515:P515),IF(A32taxremlife="N/A","n/a",A32taxvalue/A32taxremlife))</f>
        <v>0</v>
      </c>
      <c r="R515" s="21"/>
      <c r="S515" s="74"/>
      <c r="T515" s="74"/>
      <c r="U515" s="74"/>
      <c r="V515" s="74"/>
      <c r="W515" s="74"/>
      <c r="X515" s="74"/>
      <c r="Y515" s="74"/>
      <c r="Z515" s="74"/>
      <c r="AA515" s="152"/>
    </row>
    <row r="516" spans="1:27" ht="12.75" hidden="1" customHeight="1" outlineLevel="2">
      <c r="A516" s="3"/>
      <c r="B516" s="3"/>
      <c r="C516" s="16"/>
      <c r="D516" s="1593" t="s">
        <v>43</v>
      </c>
      <c r="E516" s="61"/>
      <c r="F516" s="17"/>
      <c r="G516" s="17"/>
      <c r="H516" s="1413"/>
      <c r="I516" s="72"/>
      <c r="J516" s="18"/>
      <c r="K516" s="18"/>
      <c r="L516" s="18"/>
      <c r="M516" s="18"/>
      <c r="N516" s="18"/>
      <c r="O516" s="18"/>
      <c r="P516" s="18"/>
      <c r="Q516" s="18"/>
      <c r="R516" s="18"/>
      <c r="S516" s="74"/>
      <c r="T516" s="74"/>
      <c r="U516" s="74"/>
      <c r="V516" s="74"/>
      <c r="W516" s="74"/>
      <c r="X516" s="74"/>
      <c r="Y516" s="74"/>
      <c r="Z516" s="74"/>
      <c r="AA516" s="152"/>
    </row>
    <row r="517" spans="1:27" ht="12.75" hidden="1" customHeight="1" outlineLevel="2">
      <c r="A517" s="3"/>
      <c r="B517" s="3"/>
      <c r="C517" s="16"/>
      <c r="D517" s="1594"/>
      <c r="E517" s="61">
        <v>1</v>
      </c>
      <c r="F517" s="17"/>
      <c r="G517" s="17"/>
      <c r="H517" s="1414"/>
      <c r="I517" s="1415">
        <f>IF(A32taxstdlife="n/a","n/a",IF(I$3&gt;(A32taxstdlife+$E517),('RFM input'!$H$92-'RFM input'!$H$146)-SUM($H517:H517),('RFM input'!$H$92-'RFM input'!$H$146)/A32taxstdlife))</f>
        <v>0</v>
      </c>
      <c r="J517" s="18">
        <f>IF(A32taxstdlife="n/a","n/a",IF(J$3&gt;(A32taxstdlife+$E517),('RFM input'!$H$92-'RFM input'!$H$146)-SUM($H517:I517),('RFM input'!$H$92-'RFM input'!$H$146)/A32taxstdlife))</f>
        <v>0</v>
      </c>
      <c r="K517" s="18">
        <f>IF(A32taxstdlife="n/a","n/a",IF(K$3&gt;(A32taxstdlife+$E517),('RFM input'!$H$92-'RFM input'!$H$146)-SUM($H517:J517),('RFM input'!$H$92-'RFM input'!$H$146)/A32taxstdlife))</f>
        <v>0</v>
      </c>
      <c r="L517" s="18">
        <f>IF(A32taxstdlife="n/a","n/a",IF(L$3&gt;(A32taxstdlife+$E517),('RFM input'!$H$92-'RFM input'!$H$146)-SUM($H517:K517),('RFM input'!$H$92-'RFM input'!$H$146)/A32taxstdlife))</f>
        <v>0</v>
      </c>
      <c r="M517" s="18">
        <f>IF(A32taxstdlife="n/a","n/a",IF(M$3&gt;(A32taxstdlife+$E517),('RFM input'!$H$92-'RFM input'!$H$146)-SUM($H517:L517),('RFM input'!$H$92-'RFM input'!$H$146)/A32taxstdlife))</f>
        <v>0</v>
      </c>
      <c r="N517" s="18">
        <f>IF(A32taxstdlife="n/a","n/a",IF(N$3&gt;(A32taxstdlife+$E517),('RFM input'!$H$92-'RFM input'!$H$146)-SUM($H517:M517),('RFM input'!$H$92-'RFM input'!$H$146)/A32taxstdlife))</f>
        <v>0</v>
      </c>
      <c r="O517" s="18">
        <f>IF(A32taxstdlife="n/a","n/a",IF(O$3&gt;(A32taxstdlife+$E517),('RFM input'!$H$92-'RFM input'!$H$146)-SUM($H517:N517),('RFM input'!$H$92-'RFM input'!$H$146)/A32taxstdlife))</f>
        <v>0</v>
      </c>
      <c r="P517" s="18">
        <f>IF(A32taxstdlife="n/a","n/a",IF(P$3&gt;(A32taxstdlife+$E517),('RFM input'!$H$92-'RFM input'!$H$146)-SUM($H517:O517),('RFM input'!$H$92-'RFM input'!$H$146)/A32taxstdlife))</f>
        <v>0</v>
      </c>
      <c r="Q517" s="18">
        <f>IF(A32taxstdlife="n/a","n/a",IF(Q$3&gt;(A32taxstdlife+$E517),('RFM input'!$H$92-'RFM input'!$H$146)-SUM($H517:P517),('RFM input'!$H$92-'RFM input'!$H$146)/A32taxstdlife))</f>
        <v>0</v>
      </c>
      <c r="R517" s="18"/>
      <c r="S517" s="74"/>
      <c r="T517" s="74"/>
      <c r="U517" s="74"/>
      <c r="V517" s="74"/>
      <c r="W517" s="74"/>
      <c r="X517" s="74"/>
      <c r="Y517" s="74"/>
      <c r="Z517" s="74"/>
      <c r="AA517" s="152"/>
    </row>
    <row r="518" spans="1:27" ht="12.75" hidden="1" customHeight="1" outlineLevel="2">
      <c r="A518" s="3"/>
      <c r="B518" s="3"/>
      <c r="C518" s="16"/>
      <c r="D518" s="1594"/>
      <c r="E518" s="61">
        <v>2</v>
      </c>
      <c r="F518" s="17"/>
      <c r="G518" s="17"/>
      <c r="H518" s="1414"/>
      <c r="I518" s="1414"/>
      <c r="J518" s="18">
        <f>IF(A32taxstdlife="n/a","n/a",IF(J$3&gt;(A32taxstdlife+$E518),('RFM input'!$I$92-'RFM input'!$I$146)-SUM($I518:I518),('RFM input'!$I$92-'RFM input'!$I$146)/A32taxstdlife))</f>
        <v>0</v>
      </c>
      <c r="K518" s="18">
        <f>IF(A32taxstdlife="n/a","n/a",IF(K$3&gt;(A32taxstdlife+$E518),('RFM input'!$I$92-'RFM input'!$I$146)-SUM($I518:J518),('RFM input'!$I$92-'RFM input'!$I$146)/A32taxstdlife))</f>
        <v>0</v>
      </c>
      <c r="L518" s="18">
        <f>IF(A32taxstdlife="n/a","n/a",IF(L$3&gt;(A32taxstdlife+$E518),('RFM input'!$I$92-'RFM input'!$I$146)-SUM($I518:K518),('RFM input'!$I$92-'RFM input'!$I$146)/A32taxstdlife))</f>
        <v>0</v>
      </c>
      <c r="M518" s="18">
        <f>IF(A32taxstdlife="n/a","n/a",IF(M$3&gt;(A32taxstdlife+$E518),('RFM input'!$I$92-'RFM input'!$I$146)-SUM($I518:L518),('RFM input'!$I$92-'RFM input'!$I$146)/A32taxstdlife))</f>
        <v>0</v>
      </c>
      <c r="N518" s="18">
        <f>IF(A32taxstdlife="n/a","n/a",IF(N$3&gt;(A32taxstdlife+$E518),('RFM input'!$I$92-'RFM input'!$I$146)-SUM($I518:M518),('RFM input'!$I$92-'RFM input'!$I$146)/A32taxstdlife))</f>
        <v>0</v>
      </c>
      <c r="O518" s="18">
        <f>IF(A32taxstdlife="n/a","n/a",IF(O$3&gt;(A32taxstdlife+$E518),('RFM input'!$I$92-'RFM input'!$I$146)-SUM($I518:N518),('RFM input'!$I$92-'RFM input'!$I$146)/A32taxstdlife))</f>
        <v>0</v>
      </c>
      <c r="P518" s="18">
        <f>IF(A32taxstdlife="n/a","n/a",IF(P$3&gt;(A32taxstdlife+$E518),('RFM input'!$I$92-'RFM input'!$I$146)-SUM($I518:O518),('RFM input'!$I$92-'RFM input'!$I$146)/A32taxstdlife))</f>
        <v>0</v>
      </c>
      <c r="Q518" s="18">
        <f>IF(A32taxstdlife="n/a","n/a",IF(Q$3&gt;(A32taxstdlife+$E518),('RFM input'!$I$92-'RFM input'!$I$146)-SUM($I518:P518),('RFM input'!$I$92-'RFM input'!$I$146)/A32taxstdlife))</f>
        <v>0</v>
      </c>
      <c r="R518" s="18"/>
      <c r="S518" s="74"/>
      <c r="T518" s="74"/>
      <c r="U518" s="74"/>
      <c r="V518" s="74"/>
      <c r="W518" s="74"/>
      <c r="X518" s="74"/>
      <c r="Y518" s="74"/>
      <c r="Z518" s="74"/>
      <c r="AA518" s="152"/>
    </row>
    <row r="519" spans="1:27" ht="12.75" hidden="1" customHeight="1" outlineLevel="2">
      <c r="A519" s="3"/>
      <c r="B519" s="3"/>
      <c r="C519" s="16"/>
      <c r="D519" s="1594"/>
      <c r="E519" s="61">
        <v>3</v>
      </c>
      <c r="F519" s="17"/>
      <c r="G519" s="17"/>
      <c r="H519" s="1414"/>
      <c r="I519" s="1414"/>
      <c r="J519" s="116"/>
      <c r="K519" s="18">
        <f>IF(A32taxstdlife="n/a","n/a",IF(K$3&gt;(A32taxstdlife+$E519),('RFM input'!$J$92-'RFM input'!$J$146)-SUM($J519:J519),('RFM input'!$J$92-'RFM input'!$J$146)/A32taxstdlife))</f>
        <v>0</v>
      </c>
      <c r="L519" s="18">
        <f>IF(A32taxstdlife="n/a","n/a",IF(L$3&gt;(A32taxstdlife+$E519),('RFM input'!$J$92-'RFM input'!$J$146)-SUM($J519:K519),('RFM input'!$J$92-'RFM input'!$J$146)/A32taxstdlife))</f>
        <v>0</v>
      </c>
      <c r="M519" s="18">
        <f>IF(A32taxstdlife="n/a","n/a",IF(M$3&gt;(A32taxstdlife+$E519),('RFM input'!$J$92-'RFM input'!$J$146)-SUM($J519:L519),('RFM input'!$J$92-'RFM input'!$J$146)/A32taxstdlife))</f>
        <v>0</v>
      </c>
      <c r="N519" s="18">
        <f>IF(A32taxstdlife="n/a","n/a",IF(N$3&gt;(A32taxstdlife+$E519),('RFM input'!$J$92-'RFM input'!$J$146)-SUM($J519:M519),('RFM input'!$J$92-'RFM input'!$J$146)/A32taxstdlife))</f>
        <v>0</v>
      </c>
      <c r="O519" s="18">
        <f>IF(A32taxstdlife="n/a","n/a",IF(O$3&gt;(A32taxstdlife+$E519),('RFM input'!$J$92-'RFM input'!$J$146)-SUM($J519:N519),('RFM input'!$J$92-'RFM input'!$J$146)/A32taxstdlife))</f>
        <v>0</v>
      </c>
      <c r="P519" s="18">
        <f>IF(A32taxstdlife="n/a","n/a",IF(P$3&gt;(A32taxstdlife+$E519),('RFM input'!$J$92-'RFM input'!$J$146)-SUM($J519:O519),('RFM input'!$J$92-'RFM input'!$J$146)/A32taxstdlife))</f>
        <v>0</v>
      </c>
      <c r="Q519" s="18">
        <f>IF(A32taxstdlife="n/a","n/a",IF(Q$3&gt;(A32taxstdlife+$E519),('RFM input'!$J$92-'RFM input'!$J$146)-SUM($J519:P519),('RFM input'!$J$92-'RFM input'!$J$146)/A32taxstdlife))</f>
        <v>0</v>
      </c>
      <c r="R519" s="18"/>
      <c r="S519" s="74"/>
      <c r="T519" s="74"/>
      <c r="U519" s="74"/>
      <c r="V519" s="74"/>
      <c r="W519" s="74"/>
      <c r="X519" s="74"/>
      <c r="Y519" s="74"/>
      <c r="Z519" s="74"/>
      <c r="AA519" s="152"/>
    </row>
    <row r="520" spans="1:27" ht="12.75" hidden="1" customHeight="1" outlineLevel="2">
      <c r="A520" s="3"/>
      <c r="B520" s="3"/>
      <c r="C520" s="16"/>
      <c r="D520" s="1594"/>
      <c r="E520" s="61">
        <v>4</v>
      </c>
      <c r="F520" s="17"/>
      <c r="G520" s="17"/>
      <c r="H520" s="1414"/>
      <c r="I520" s="1414"/>
      <c r="J520" s="115"/>
      <c r="K520" s="116"/>
      <c r="L520" s="18">
        <f>IF(A32taxstdlife="n/a","n/a",IF(L$3&gt;(A32taxstdlife+$E520),('RFM input'!$K$92-'RFM input'!$K$146)-SUM($K520:K520),('RFM input'!$K$92-'RFM input'!$K$146)/A32taxstdlife))</f>
        <v>0</v>
      </c>
      <c r="M520" s="18">
        <f>IF(A32taxstdlife="n/a","n/a",IF(M$3&gt;(A32taxstdlife+$E520),('RFM input'!$K$92-'RFM input'!$K$146)-SUM($K520:L520),('RFM input'!$K$92-'RFM input'!$K$146)/A32taxstdlife))</f>
        <v>0</v>
      </c>
      <c r="N520" s="18">
        <f>IF(A32taxstdlife="n/a","n/a",IF(N$3&gt;(A32taxstdlife+$E520),('RFM input'!$K$92-'RFM input'!$K$146)-SUM($K520:M520),('RFM input'!$K$92-'RFM input'!$K$146)/A32taxstdlife))</f>
        <v>0</v>
      </c>
      <c r="O520" s="18">
        <f>IF(A32taxstdlife="n/a","n/a",IF(O$3&gt;(A32taxstdlife+$E520),('RFM input'!$K$92-'RFM input'!$K$146)-SUM($K520:N520),('RFM input'!$K$92-'RFM input'!$K$146)/A32taxstdlife))</f>
        <v>0</v>
      </c>
      <c r="P520" s="18">
        <f>IF(A32taxstdlife="n/a","n/a",IF(P$3&gt;(A32taxstdlife+$E520),('RFM input'!$K$92-'RFM input'!$K$146)-SUM($K520:O520),('RFM input'!$K$92-'RFM input'!$K$146)/A32taxstdlife))</f>
        <v>0</v>
      </c>
      <c r="Q520" s="18">
        <f>IF(A32taxstdlife="n/a","n/a",IF(Q$3&gt;(A32taxstdlife+$E520),('RFM input'!$K$92-'RFM input'!$K$146)-SUM($K520:P520),('RFM input'!$K$92-'RFM input'!$K$146)/A32taxstdlife))</f>
        <v>0</v>
      </c>
      <c r="R520" s="18"/>
      <c r="S520" s="74"/>
      <c r="T520" s="74"/>
      <c r="U520" s="74"/>
      <c r="V520" s="74"/>
      <c r="W520" s="74"/>
      <c r="X520" s="74"/>
      <c r="Y520" s="74"/>
      <c r="Z520" s="74"/>
      <c r="AA520" s="152"/>
    </row>
    <row r="521" spans="1:27" ht="12.75" hidden="1" customHeight="1" outlineLevel="2">
      <c r="A521" s="3"/>
      <c r="B521" s="3"/>
      <c r="C521" s="16"/>
      <c r="D521" s="1594"/>
      <c r="E521" s="61">
        <v>5</v>
      </c>
      <c r="F521" s="17"/>
      <c r="G521" s="17"/>
      <c r="H521" s="1414"/>
      <c r="I521" s="1414"/>
      <c r="J521" s="115"/>
      <c r="K521" s="115"/>
      <c r="L521" s="116"/>
      <c r="M521" s="18">
        <f>IF(A32taxstdlife="n/a","n/a",IF(M$3&gt;(A32taxstdlife+$E521),('RFM input'!$L$92-'RFM input'!$L$146)-SUM($L521:L521),('RFM input'!$L$92-'RFM input'!$L$146)/A32taxstdlife))</f>
        <v>0</v>
      </c>
      <c r="N521" s="18">
        <f>IF(A32taxstdlife="n/a","n/a",IF(N$3&gt;(A32taxstdlife+$E521),('RFM input'!$L$92-'RFM input'!$L$146)-SUM($L521:M521),('RFM input'!$L$92-'RFM input'!$L$146)/A32taxstdlife))</f>
        <v>0</v>
      </c>
      <c r="O521" s="18">
        <f>IF(A32taxstdlife="n/a","n/a",IF(O$3&gt;(A32taxstdlife+$E521),('RFM input'!$L$92-'RFM input'!$L$146)-SUM($L521:N521),('RFM input'!$L$92-'RFM input'!$L$146)/A32taxstdlife))</f>
        <v>0</v>
      </c>
      <c r="P521" s="18">
        <f>IF(A32taxstdlife="n/a","n/a",IF(P$3&gt;(A32taxstdlife+$E521),('RFM input'!$L$92-'RFM input'!$L$146)-SUM($L521:O521),('RFM input'!$L$92-'RFM input'!$L$146)/A32taxstdlife))</f>
        <v>0</v>
      </c>
      <c r="Q521" s="18">
        <f>IF(A32taxstdlife="n/a","n/a",IF(Q$3&gt;(A32taxstdlife+$E521),('RFM input'!$L$92-'RFM input'!$L$146)-SUM($L521:P521),('RFM input'!$L$92-'RFM input'!$L$146)/A32taxstdlife))</f>
        <v>0</v>
      </c>
      <c r="R521" s="18"/>
      <c r="S521" s="74"/>
      <c r="T521" s="74"/>
      <c r="U521" s="74"/>
      <c r="V521" s="74"/>
      <c r="W521" s="74"/>
      <c r="X521" s="74"/>
      <c r="Y521" s="74"/>
      <c r="Z521" s="74"/>
      <c r="AA521" s="152"/>
    </row>
    <row r="522" spans="1:27" ht="12.75" hidden="1" customHeight="1" outlineLevel="2">
      <c r="A522" s="3"/>
      <c r="B522" s="3"/>
      <c r="C522" s="16"/>
      <c r="D522" s="1594"/>
      <c r="E522" s="61">
        <v>6</v>
      </c>
      <c r="F522" s="17"/>
      <c r="G522" s="17"/>
      <c r="H522" s="1414"/>
      <c r="I522" s="1414"/>
      <c r="J522" s="115"/>
      <c r="K522" s="115"/>
      <c r="L522" s="115"/>
      <c r="M522" s="116"/>
      <c r="N522" s="18">
        <f>IF(A32taxstdlife="n/a","n/a",IF(N$3&gt;(A32taxstdlife+$E522),('RFM input'!$M$92-'RFM input'!$M$146)-SUM($M522:M522),('RFM input'!$M$92-'RFM input'!$M$146)/A32taxstdlife))</f>
        <v>0</v>
      </c>
      <c r="O522" s="18">
        <f>IF(A32taxstdlife="n/a","n/a",IF(O$3&gt;(A32taxstdlife+$E522),('RFM input'!$M$92-'RFM input'!$M$146)-SUM($M522:N522),('RFM input'!$M$92-'RFM input'!$M$146)/A32taxstdlife))</f>
        <v>0</v>
      </c>
      <c r="P522" s="18">
        <f>IF(A32taxstdlife="n/a","n/a",IF(P$3&gt;(A32taxstdlife+$E522),('RFM input'!$M$92-'RFM input'!$M$146)-SUM($M522:O522),('RFM input'!$M$92-'RFM input'!$M$146)/A32taxstdlife))</f>
        <v>0</v>
      </c>
      <c r="Q522" s="18">
        <f>IF(A32taxstdlife="n/a","n/a",IF(Q$3&gt;(A32taxstdlife+$E522),('RFM input'!$M$92-'RFM input'!$M$146)-SUM($M522:P522),('RFM input'!$M$92-'RFM input'!$M$146)/A32taxstdlife))</f>
        <v>0</v>
      </c>
      <c r="R522" s="18"/>
      <c r="S522" s="74"/>
      <c r="T522" s="74"/>
      <c r="U522" s="74"/>
      <c r="V522" s="74"/>
      <c r="W522" s="74"/>
      <c r="X522" s="74"/>
      <c r="Y522" s="74"/>
      <c r="Z522" s="74"/>
      <c r="AA522" s="152"/>
    </row>
    <row r="523" spans="1:27" ht="12.75" hidden="1" customHeight="1" outlineLevel="2">
      <c r="A523" s="3"/>
      <c r="B523" s="3"/>
      <c r="C523" s="16"/>
      <c r="D523" s="1594"/>
      <c r="E523" s="61">
        <v>7</v>
      </c>
      <c r="F523" s="17"/>
      <c r="G523" s="17"/>
      <c r="H523" s="1414"/>
      <c r="I523" s="1414"/>
      <c r="J523" s="115"/>
      <c r="K523" s="115"/>
      <c r="L523" s="115"/>
      <c r="M523" s="115"/>
      <c r="N523" s="116"/>
      <c r="O523" s="18">
        <f>IF(A32taxstdlife="n/a","n/a",IF(O$3&gt;(A32taxstdlife+$E523),('RFM input'!$N$92-'RFM input'!$N$146)-SUM($N523:N523),('RFM input'!$N$92-'RFM input'!$N$146)/A32taxstdlife))</f>
        <v>0</v>
      </c>
      <c r="P523" s="18">
        <f>IF(A32taxstdlife="n/a","n/a",IF(P$3&gt;(A32taxstdlife+$E523),('RFM input'!$N$92-'RFM input'!$N$146)-SUM($N523:O523),('RFM input'!$N$92-'RFM input'!$N$146)/A32taxstdlife))</f>
        <v>0</v>
      </c>
      <c r="Q523" s="18">
        <f>IF(A32taxstdlife="n/a","n/a",IF(Q$3&gt;(A32taxstdlife+$E523),('RFM input'!$N$92-'RFM input'!$N$146)-SUM($N523:P523),('RFM input'!$N$92-'RFM input'!$N$146)/A32taxstdlife))</f>
        <v>0</v>
      </c>
      <c r="R523" s="18"/>
      <c r="S523" s="74"/>
      <c r="T523" s="74"/>
      <c r="U523" s="74"/>
      <c r="V523" s="74"/>
      <c r="W523" s="74"/>
      <c r="X523" s="74"/>
      <c r="Y523" s="74"/>
      <c r="Z523" s="74"/>
      <c r="AA523" s="152"/>
    </row>
    <row r="524" spans="1:27" ht="12.75" hidden="1" customHeight="1" outlineLevel="2">
      <c r="A524" s="3"/>
      <c r="B524" s="3"/>
      <c r="C524" s="16"/>
      <c r="D524" s="1594"/>
      <c r="E524" s="61">
        <v>8</v>
      </c>
      <c r="F524" s="17"/>
      <c r="G524" s="17"/>
      <c r="H524" s="1414"/>
      <c r="I524" s="1414"/>
      <c r="J524" s="115"/>
      <c r="K524" s="115"/>
      <c r="L524" s="115"/>
      <c r="M524" s="115"/>
      <c r="N524" s="115"/>
      <c r="O524" s="116"/>
      <c r="P524" s="18">
        <f>IF(A32taxstdlife="n/a","n/a",IF(P$3&gt;(A32taxstdlife+$E524),('RFM input'!$O$92-'RFM input'!$O$146)-SUM($O524:O524),('RFM input'!$O$92-'RFM input'!$O$146)/A32taxstdlife))</f>
        <v>0</v>
      </c>
      <c r="Q524" s="18">
        <f>IF(A32taxstdlife="n/a","n/a",IF(Q$3&gt;(A32taxstdlife+$E524),('RFM input'!$O$92-'RFM input'!$O$146)-SUM($O524:P524),('RFM input'!$O$92-'RFM input'!$O$146)/A32taxstdlife))</f>
        <v>0</v>
      </c>
      <c r="R524" s="18"/>
      <c r="S524" s="74"/>
      <c r="T524" s="74"/>
      <c r="U524" s="74"/>
      <c r="V524" s="74"/>
      <c r="W524" s="74"/>
      <c r="X524" s="74"/>
      <c r="Y524" s="74"/>
      <c r="Z524" s="74"/>
      <c r="AA524" s="152"/>
    </row>
    <row r="525" spans="1:27" ht="12.75" hidden="1" customHeight="1" outlineLevel="2">
      <c r="A525" s="3"/>
      <c r="B525" s="3"/>
      <c r="C525" s="16"/>
      <c r="D525" s="1594"/>
      <c r="E525" s="61">
        <v>9</v>
      </c>
      <c r="F525" s="17"/>
      <c r="G525" s="17"/>
      <c r="H525" s="1414"/>
      <c r="I525" s="1414"/>
      <c r="J525" s="115"/>
      <c r="K525" s="115"/>
      <c r="L525" s="115"/>
      <c r="M525" s="115"/>
      <c r="N525" s="115"/>
      <c r="O525" s="115"/>
      <c r="P525" s="116"/>
      <c r="Q525" s="18">
        <f>IF(A32taxstdlife="n/a","n/a",IF(Q$3&gt;(A32taxstdlife+$E525),('RFM input'!$P$92-'RFM input'!$P$146)-SUM($P525:P525),('RFM input'!$P$92-'RFM input'!$P$146)/A32taxstdlife))</f>
        <v>0</v>
      </c>
      <c r="R525" s="18"/>
      <c r="S525" s="74"/>
      <c r="T525" s="74"/>
      <c r="U525" s="74"/>
      <c r="V525" s="74"/>
      <c r="W525" s="74"/>
      <c r="X525" s="74"/>
      <c r="Y525" s="74"/>
      <c r="Z525" s="74"/>
      <c r="AA525" s="152"/>
    </row>
    <row r="526" spans="1:27" ht="12.75" hidden="1" customHeight="1" outlineLevel="2">
      <c r="A526" s="3"/>
      <c r="B526" s="3"/>
      <c r="C526" s="16"/>
      <c r="D526" s="1594"/>
      <c r="E526" s="62">
        <v>10</v>
      </c>
      <c r="F526" s="17"/>
      <c r="G526" s="17"/>
      <c r="H526" s="1414"/>
      <c r="I526" s="1414"/>
      <c r="J526" s="115"/>
      <c r="K526" s="115"/>
      <c r="L526" s="115"/>
      <c r="M526" s="115"/>
      <c r="N526" s="115"/>
      <c r="O526" s="115"/>
      <c r="P526" s="115"/>
      <c r="Q526" s="116"/>
      <c r="R526" s="18"/>
      <c r="S526" s="74"/>
      <c r="T526" s="74"/>
      <c r="U526" s="74"/>
      <c r="V526" s="74"/>
      <c r="W526" s="74"/>
      <c r="X526" s="74"/>
      <c r="Y526" s="74"/>
      <c r="Z526" s="74"/>
      <c r="AA526" s="152"/>
    </row>
    <row r="527" spans="1:27" hidden="1" outlineLevel="1">
      <c r="A527" s="3"/>
      <c r="B527" s="3"/>
      <c r="C527" s="134">
        <f>Asset32</f>
        <v>0</v>
      </c>
      <c r="D527" s="3"/>
      <c r="E527" s="3"/>
      <c r="F527" s="14"/>
      <c r="G527" s="14"/>
      <c r="H527" s="1460">
        <f>IF('RFM input'!$G$354="Tracked",-1*INDEX('RFM input'!H$358:H$407,MATCH('TAB roll forward'!$C527,'RFM input'!$E$358:$E$407,0)),-SUM(H515:H526))</f>
        <v>0</v>
      </c>
      <c r="I527" s="1460">
        <f>IF('RFM input'!$G$354="Tracked",-1*INDEX('RFM input'!I$358:I$407,MATCH('TAB roll forward'!$C527,'RFM input'!$E$358:$E$407,0)),-SUM(I515:I526))</f>
        <v>0</v>
      </c>
      <c r="J527" s="1460">
        <f>IF(COUNT($H527:I527)&gt;='RFM input'!$V$7,0,IF('RFM input'!$G$354="Tracked",-1*INDEX('RFM input'!J$358:J$407,MATCH('TAB roll forward'!$C527,'RFM input'!$E$358:$E$407,0)),-SUM(J515:J526)))</f>
        <v>0</v>
      </c>
      <c r="K527" s="1460">
        <f>IF(COUNT($H527:J527)&gt;='RFM input'!$V$7,0,IF('RFM input'!$G$354="Tracked",-1*INDEX('RFM input'!K$358:K$407,MATCH('TAB roll forward'!$C527,'RFM input'!$E$358:$E$407,0)),-SUM(K515:K526)))</f>
        <v>0</v>
      </c>
      <c r="L527" s="1460">
        <f>IF(COUNT($H527:K527)&gt;='RFM input'!$V$7,0,IF('RFM input'!$G$354="Tracked",-1*INDEX('RFM input'!L$358:L$407,MATCH('TAB roll forward'!$C527,'RFM input'!$E$358:$E$407,0)),-SUM(L515:L526)))</f>
        <v>0</v>
      </c>
      <c r="M527" s="1460">
        <f>IF(COUNT($H527:L527)&gt;='RFM input'!$V$7,0,IF('RFM input'!$G$354="Tracked",-1*INDEX('RFM input'!M$358:M$407,MATCH('TAB roll forward'!$C527,'RFM input'!$E$358:$E$407,0)),-SUM(M515:M526)))</f>
        <v>0</v>
      </c>
      <c r="N527" s="1460">
        <f>IF(COUNT($H527:M527)&gt;='RFM input'!$V$7,0,IF('RFM input'!$G$354="Tracked",-1*INDEX('RFM input'!N$358:N$407,MATCH('TAB roll forward'!$C527,'RFM input'!$E$358:$E$407,0)),-SUM(N515:N526)))</f>
        <v>0</v>
      </c>
      <c r="O527" s="1460">
        <f>IF(COUNT($H527:N527)&gt;='RFM input'!$V$7,0,IF('RFM input'!$G$354="Tracked",-1*INDEX('RFM input'!O$358:O$407,MATCH('TAB roll forward'!$C527,'RFM input'!$E$358:$E$407,0)),-SUM(O515:O526)))</f>
        <v>0</v>
      </c>
      <c r="P527" s="1460">
        <f>IF(COUNT($H527:O527)&gt;='RFM input'!$V$7,0,IF('RFM input'!$G$354="Tracked",-1*INDEX('RFM input'!P$358:P$407,MATCH('TAB roll forward'!$C527,'RFM input'!$E$358:$E$407,0)),-SUM(P515:P526)))</f>
        <v>0</v>
      </c>
      <c r="Q527" s="1460">
        <f>IF(COUNT($H527:P527)&gt;='RFM input'!$V$7,0,IF('RFM input'!$G$354="Tracked",-1*INDEX('RFM input'!Q$358:Q$407,MATCH('TAB roll forward'!$C527,'RFM input'!$E$358:$E$407,0)),-SUM(Q515:Q526)))</f>
        <v>0</v>
      </c>
      <c r="R527" s="1382"/>
      <c r="S527" s="73"/>
      <c r="T527" s="73"/>
      <c r="U527" s="73"/>
      <c r="V527" s="73"/>
      <c r="W527" s="73"/>
      <c r="X527" s="73"/>
      <c r="Y527" s="73"/>
      <c r="Z527" s="73"/>
      <c r="AA527" s="152"/>
    </row>
    <row r="528" spans="1:27" ht="12.75" hidden="1" customHeight="1" outlineLevel="2">
      <c r="A528" s="3"/>
      <c r="B528" s="135">
        <f>Asset33</f>
        <v>0</v>
      </c>
      <c r="C528" s="19"/>
      <c r="D528" s="234" t="s">
        <v>119</v>
      </c>
      <c r="E528" s="19"/>
      <c r="F528" s="148"/>
      <c r="G528" s="148"/>
      <c r="H528" s="21">
        <f>IF(H$3&gt;A33taxremlife,A33taxvalue-SUM($F528:F528),IF(A33taxremlife="N/A","n/a",A33taxvalue/A33taxremlife))</f>
        <v>0</v>
      </c>
      <c r="I528" s="21">
        <f>IF(I$3&gt;A33taxremlife,A33taxvalue-SUM($F528:H528),IF(A33taxremlife="N/A","n/a",A33taxvalue/A33taxremlife))</f>
        <v>0</v>
      </c>
      <c r="J528" s="21">
        <f>IF(J$3&gt;A33taxremlife,A33taxvalue-SUM($F528:I528),IF(A33taxremlife="N/A","n/a",A33taxvalue/A33taxremlife))</f>
        <v>0</v>
      </c>
      <c r="K528" s="21">
        <f>IF(K$3&gt;A33taxremlife,A33taxvalue-SUM($F528:J528),IF(A33taxremlife="N/A","n/a",A33taxvalue/A33taxremlife))</f>
        <v>0</v>
      </c>
      <c r="L528" s="21">
        <f>IF(L$3&gt;A33taxremlife,A33taxvalue-SUM($F528:K528),IF(A33taxremlife="N/A","n/a",A33taxvalue/A33taxremlife))</f>
        <v>0</v>
      </c>
      <c r="M528" s="21">
        <f>IF(M$3&gt;A33taxremlife,A33taxvalue-SUM($F528:L528),IF(A33taxremlife="N/A","n/a",A33taxvalue/A33taxremlife))</f>
        <v>0</v>
      </c>
      <c r="N528" s="21">
        <f>IF(N$3&gt;A33taxremlife,A33taxvalue-SUM($F528:M528),IF(A33taxremlife="N/A","n/a",A33taxvalue/A33taxremlife))</f>
        <v>0</v>
      </c>
      <c r="O528" s="21">
        <f>IF(O$3&gt;A33taxremlife,A33taxvalue-SUM($F528:N528),IF(A33taxremlife="N/A","n/a",A33taxvalue/A33taxremlife))</f>
        <v>0</v>
      </c>
      <c r="P528" s="21">
        <f>IF(P$3&gt;A33taxremlife,A33taxvalue-SUM($F528:O528),IF(A33taxremlife="N/A","n/a",A33taxvalue/A33taxremlife))</f>
        <v>0</v>
      </c>
      <c r="Q528" s="21">
        <f>IF(Q$3&gt;A33taxremlife,A33taxvalue-SUM($F528:P528),IF(A33taxremlife="N/A","n/a",A33taxvalue/A33taxremlife))</f>
        <v>0</v>
      </c>
      <c r="R528" s="21"/>
      <c r="S528" s="74"/>
      <c r="T528" s="74"/>
      <c r="U528" s="74"/>
      <c r="V528" s="74"/>
      <c r="W528" s="74"/>
      <c r="X528" s="74"/>
      <c r="Y528" s="74"/>
      <c r="Z528" s="74"/>
      <c r="AA528" s="152"/>
    </row>
    <row r="529" spans="1:27" ht="12.75" hidden="1" customHeight="1" outlineLevel="2">
      <c r="A529" s="3"/>
      <c r="B529" s="3"/>
      <c r="C529" s="16"/>
      <c r="D529" s="1593" t="s">
        <v>43</v>
      </c>
      <c r="E529" s="61"/>
      <c r="F529" s="17"/>
      <c r="G529" s="17"/>
      <c r="H529" s="1413"/>
      <c r="I529" s="72"/>
      <c r="J529" s="18"/>
      <c r="K529" s="18"/>
      <c r="L529" s="18"/>
      <c r="M529" s="18"/>
      <c r="N529" s="18"/>
      <c r="O529" s="18"/>
      <c r="P529" s="18"/>
      <c r="Q529" s="18"/>
      <c r="R529" s="18"/>
      <c r="S529" s="74"/>
      <c r="T529" s="74"/>
      <c r="U529" s="74"/>
      <c r="V529" s="74"/>
      <c r="W529" s="74"/>
      <c r="X529" s="74"/>
      <c r="Y529" s="74"/>
      <c r="Z529" s="74"/>
      <c r="AA529" s="152"/>
    </row>
    <row r="530" spans="1:27" ht="12.75" hidden="1" customHeight="1" outlineLevel="2">
      <c r="A530" s="3"/>
      <c r="B530" s="3"/>
      <c r="C530" s="16"/>
      <c r="D530" s="1594"/>
      <c r="E530" s="61">
        <v>1</v>
      </c>
      <c r="F530" s="17"/>
      <c r="G530" s="17"/>
      <c r="H530" s="1414"/>
      <c r="I530" s="1415">
        <f>IF(A33taxstdlife="n/a","n/a",IF(I$3&gt;(A33taxstdlife+$E530),('RFM input'!$H$93-'RFM input'!$H$147)-SUM($H530:H530),('RFM input'!$H$93-'RFM input'!$H$147)/A33taxstdlife))</f>
        <v>0</v>
      </c>
      <c r="J530" s="18">
        <f>IF(A33taxstdlife="n/a","n/a",IF(J$3&gt;(A33taxstdlife+$E530),('RFM input'!$H$93-'RFM input'!$H$147)-SUM($H530:I530),('RFM input'!$H$93-'RFM input'!$H$147)/A33taxstdlife))</f>
        <v>0</v>
      </c>
      <c r="K530" s="18">
        <f>IF(A33taxstdlife="n/a","n/a",IF(K$3&gt;(A33taxstdlife+$E530),('RFM input'!$H$93-'RFM input'!$H$147)-SUM($H530:J530),('RFM input'!$H$93-'RFM input'!$H$147)/A33taxstdlife))</f>
        <v>0</v>
      </c>
      <c r="L530" s="18">
        <f>IF(A33taxstdlife="n/a","n/a",IF(L$3&gt;(A33taxstdlife+$E530),('RFM input'!$H$93-'RFM input'!$H$147)-SUM($H530:K530),('RFM input'!$H$93-'RFM input'!$H$147)/A33taxstdlife))</f>
        <v>0</v>
      </c>
      <c r="M530" s="18">
        <f>IF(A33taxstdlife="n/a","n/a",IF(M$3&gt;(A33taxstdlife+$E530),('RFM input'!$H$93-'RFM input'!$H$147)-SUM($H530:L530),('RFM input'!$H$93-'RFM input'!$H$147)/A33taxstdlife))</f>
        <v>0</v>
      </c>
      <c r="N530" s="18">
        <f>IF(A33taxstdlife="n/a","n/a",IF(N$3&gt;(A33taxstdlife+$E530),('RFM input'!$H$93-'RFM input'!$H$147)-SUM($H530:M530),('RFM input'!$H$93-'RFM input'!$H$147)/A33taxstdlife))</f>
        <v>0</v>
      </c>
      <c r="O530" s="18">
        <f>IF(A33taxstdlife="n/a","n/a",IF(O$3&gt;(A33taxstdlife+$E530),('RFM input'!$H$93-'RFM input'!$H$147)-SUM($H530:N530),('RFM input'!$H$93-'RFM input'!$H$147)/A33taxstdlife))</f>
        <v>0</v>
      </c>
      <c r="P530" s="18">
        <f>IF(A33taxstdlife="n/a","n/a",IF(P$3&gt;(A33taxstdlife+$E530),('RFM input'!$H$93-'RFM input'!$H$147)-SUM($H530:O530),('RFM input'!$H$93-'RFM input'!$H$147)/A33taxstdlife))</f>
        <v>0</v>
      </c>
      <c r="Q530" s="18">
        <f>IF(A33taxstdlife="n/a","n/a",IF(Q$3&gt;(A33taxstdlife+$E530),('RFM input'!$H$93-'RFM input'!$H$147)-SUM($H530:P530),('RFM input'!$H$93-'RFM input'!$H$147)/A33taxstdlife))</f>
        <v>0</v>
      </c>
      <c r="R530" s="18"/>
      <c r="S530" s="74"/>
      <c r="T530" s="74"/>
      <c r="U530" s="74"/>
      <c r="V530" s="74"/>
      <c r="W530" s="74"/>
      <c r="X530" s="74"/>
      <c r="Y530" s="74"/>
      <c r="Z530" s="74"/>
      <c r="AA530" s="152"/>
    </row>
    <row r="531" spans="1:27" ht="12.75" hidden="1" customHeight="1" outlineLevel="2">
      <c r="A531" s="3"/>
      <c r="B531" s="3"/>
      <c r="C531" s="16"/>
      <c r="D531" s="1594"/>
      <c r="E531" s="61">
        <v>2</v>
      </c>
      <c r="F531" s="17"/>
      <c r="G531" s="17"/>
      <c r="H531" s="1414"/>
      <c r="I531" s="1414"/>
      <c r="J531" s="18">
        <f>IF(A33taxstdlife="n/a","n/a",IF(J$3&gt;(A33taxstdlife+$E531),('RFM input'!$I$93-'RFM input'!$I$147)-SUM($I531:I531),('RFM input'!$I$93-'RFM input'!$I$147)/A33taxstdlife))</f>
        <v>0</v>
      </c>
      <c r="K531" s="18">
        <f>IF(A33taxstdlife="n/a","n/a",IF(K$3&gt;(A33taxstdlife+$E531),('RFM input'!$I$93-'RFM input'!$I$147)-SUM($I531:J531),('RFM input'!$I$93-'RFM input'!$I$147)/A33taxstdlife))</f>
        <v>0</v>
      </c>
      <c r="L531" s="18">
        <f>IF(A33taxstdlife="n/a","n/a",IF(L$3&gt;(A33taxstdlife+$E531),('RFM input'!$I$93-'RFM input'!$I$147)-SUM($I531:K531),('RFM input'!$I$93-'RFM input'!$I$147)/A33taxstdlife))</f>
        <v>0</v>
      </c>
      <c r="M531" s="18">
        <f>IF(A33taxstdlife="n/a","n/a",IF(M$3&gt;(A33taxstdlife+$E531),('RFM input'!$I$93-'RFM input'!$I$147)-SUM($I531:L531),('RFM input'!$I$93-'RFM input'!$I$147)/A33taxstdlife))</f>
        <v>0</v>
      </c>
      <c r="N531" s="18">
        <f>IF(A33taxstdlife="n/a","n/a",IF(N$3&gt;(A33taxstdlife+$E531),('RFM input'!$I$93-'RFM input'!$I$147)-SUM($I531:M531),('RFM input'!$I$93-'RFM input'!$I$147)/A33taxstdlife))</f>
        <v>0</v>
      </c>
      <c r="O531" s="18">
        <f>IF(A33taxstdlife="n/a","n/a",IF(O$3&gt;(A33taxstdlife+$E531),('RFM input'!$I$93-'RFM input'!$I$147)-SUM($I531:N531),('RFM input'!$I$93-'RFM input'!$I$147)/A33taxstdlife))</f>
        <v>0</v>
      </c>
      <c r="P531" s="18">
        <f>IF(A33taxstdlife="n/a","n/a",IF(P$3&gt;(A33taxstdlife+$E531),('RFM input'!$I$93-'RFM input'!$I$147)-SUM($I531:O531),('RFM input'!$I$93-'RFM input'!$I$147)/A33taxstdlife))</f>
        <v>0</v>
      </c>
      <c r="Q531" s="18">
        <f>IF(A33taxstdlife="n/a","n/a",IF(Q$3&gt;(A33taxstdlife+$E531),('RFM input'!$I$93-'RFM input'!$I$147)-SUM($I531:P531),('RFM input'!$I$93-'RFM input'!$I$147)/A33taxstdlife))</f>
        <v>0</v>
      </c>
      <c r="R531" s="18"/>
      <c r="S531" s="74"/>
      <c r="T531" s="74"/>
      <c r="U531" s="74"/>
      <c r="V531" s="74"/>
      <c r="W531" s="74"/>
      <c r="X531" s="74"/>
      <c r="Y531" s="74"/>
      <c r="Z531" s="74"/>
      <c r="AA531" s="152"/>
    </row>
    <row r="532" spans="1:27" ht="12.75" hidden="1" customHeight="1" outlineLevel="2">
      <c r="A532" s="3"/>
      <c r="B532" s="3"/>
      <c r="C532" s="16"/>
      <c r="D532" s="1594"/>
      <c r="E532" s="61">
        <v>3</v>
      </c>
      <c r="F532" s="17"/>
      <c r="G532" s="17"/>
      <c r="H532" s="1414"/>
      <c r="I532" s="1414"/>
      <c r="J532" s="116"/>
      <c r="K532" s="18">
        <f>IF(A33taxstdlife="n/a","n/a",IF(K$3&gt;(A33taxstdlife+$E532),('RFM input'!$J$93-'RFM input'!$J$147)-SUM($J532:J532),('RFM input'!$J$93-'RFM input'!$J$147)/A33taxstdlife))</f>
        <v>0</v>
      </c>
      <c r="L532" s="18">
        <f>IF(A33taxstdlife="n/a","n/a",IF(L$3&gt;(A33taxstdlife+$E532),('RFM input'!$J$93-'RFM input'!$J$147)-SUM($J532:K532),('RFM input'!$J$93-'RFM input'!$J$147)/A33taxstdlife))</f>
        <v>0</v>
      </c>
      <c r="M532" s="18">
        <f>IF(A33taxstdlife="n/a","n/a",IF(M$3&gt;(A33taxstdlife+$E532),('RFM input'!$J$93-'RFM input'!$J$147)-SUM($J532:L532),('RFM input'!$J$93-'RFM input'!$J$147)/A33taxstdlife))</f>
        <v>0</v>
      </c>
      <c r="N532" s="18">
        <f>IF(A33taxstdlife="n/a","n/a",IF(N$3&gt;(A33taxstdlife+$E532),('RFM input'!$J$93-'RFM input'!$J$147)-SUM($J532:M532),('RFM input'!$J$93-'RFM input'!$J$147)/A33taxstdlife))</f>
        <v>0</v>
      </c>
      <c r="O532" s="18">
        <f>IF(A33taxstdlife="n/a","n/a",IF(O$3&gt;(A33taxstdlife+$E532),('RFM input'!$J$93-'RFM input'!$J$147)-SUM($J532:N532),('RFM input'!$J$93-'RFM input'!$J$147)/A33taxstdlife))</f>
        <v>0</v>
      </c>
      <c r="P532" s="18">
        <f>IF(A33taxstdlife="n/a","n/a",IF(P$3&gt;(A33taxstdlife+$E532),('RFM input'!$J$93-'RFM input'!$J$147)-SUM($J532:O532),('RFM input'!$J$93-'RFM input'!$J$147)/A33taxstdlife))</f>
        <v>0</v>
      </c>
      <c r="Q532" s="18">
        <f>IF(A33taxstdlife="n/a","n/a",IF(Q$3&gt;(A33taxstdlife+$E532),('RFM input'!$J$93-'RFM input'!$J$147)-SUM($J532:P532),('RFM input'!$J$93-'RFM input'!$J$147)/A33taxstdlife))</f>
        <v>0</v>
      </c>
      <c r="R532" s="18"/>
      <c r="S532" s="74"/>
      <c r="T532" s="74"/>
      <c r="U532" s="74"/>
      <c r="V532" s="74"/>
      <c r="W532" s="74"/>
      <c r="X532" s="74"/>
      <c r="Y532" s="74"/>
      <c r="Z532" s="74"/>
      <c r="AA532" s="152"/>
    </row>
    <row r="533" spans="1:27" ht="12.75" hidden="1" customHeight="1" outlineLevel="2">
      <c r="A533" s="3"/>
      <c r="B533" s="3"/>
      <c r="C533" s="16"/>
      <c r="D533" s="1594"/>
      <c r="E533" s="61">
        <v>4</v>
      </c>
      <c r="F533" s="17"/>
      <c r="G533" s="17"/>
      <c r="H533" s="1414"/>
      <c r="I533" s="1414"/>
      <c r="J533" s="115"/>
      <c r="K533" s="116"/>
      <c r="L533" s="18">
        <f>IF(A33taxstdlife="n/a","n/a",IF(L$3&gt;(A33taxstdlife+$E533),('RFM input'!$K$93-'RFM input'!$K$147)-SUM($K533:K533),('RFM input'!$K$93-'RFM input'!$K$147)/A33taxstdlife))</f>
        <v>0</v>
      </c>
      <c r="M533" s="18">
        <f>IF(A33taxstdlife="n/a","n/a",IF(M$3&gt;(A33taxstdlife+$E533),('RFM input'!$K$93-'RFM input'!$K$147)-SUM($K533:L533),('RFM input'!$K$93-'RFM input'!$K$147)/A33taxstdlife))</f>
        <v>0</v>
      </c>
      <c r="N533" s="18">
        <f>IF(A33taxstdlife="n/a","n/a",IF(N$3&gt;(A33taxstdlife+$E533),('RFM input'!$K$93-'RFM input'!$K$147)-SUM($K533:M533),('RFM input'!$K$93-'RFM input'!$K$147)/A33taxstdlife))</f>
        <v>0</v>
      </c>
      <c r="O533" s="18">
        <f>IF(A33taxstdlife="n/a","n/a",IF(O$3&gt;(A33taxstdlife+$E533),('RFM input'!$K$93-'RFM input'!$K$147)-SUM($K533:N533),('RFM input'!$K$93-'RFM input'!$K$147)/A33taxstdlife))</f>
        <v>0</v>
      </c>
      <c r="P533" s="18">
        <f>IF(A33taxstdlife="n/a","n/a",IF(P$3&gt;(A33taxstdlife+$E533),('RFM input'!$K$93-'RFM input'!$K$147)-SUM($K533:O533),('RFM input'!$K$93-'RFM input'!$K$147)/A33taxstdlife))</f>
        <v>0</v>
      </c>
      <c r="Q533" s="18">
        <f>IF(A33taxstdlife="n/a","n/a",IF(Q$3&gt;(A33taxstdlife+$E533),('RFM input'!$K$93-'RFM input'!$K$147)-SUM($K533:P533),('RFM input'!$K$93-'RFM input'!$K$147)/A33taxstdlife))</f>
        <v>0</v>
      </c>
      <c r="R533" s="18"/>
      <c r="S533" s="74"/>
      <c r="T533" s="74"/>
      <c r="U533" s="74"/>
      <c r="V533" s="74"/>
      <c r="W533" s="74"/>
      <c r="X533" s="74"/>
      <c r="Y533" s="74"/>
      <c r="Z533" s="74"/>
      <c r="AA533" s="152"/>
    </row>
    <row r="534" spans="1:27" ht="12.75" hidden="1" customHeight="1" outlineLevel="2">
      <c r="A534" s="3"/>
      <c r="B534" s="3"/>
      <c r="C534" s="16"/>
      <c r="D534" s="1594"/>
      <c r="E534" s="61">
        <v>5</v>
      </c>
      <c r="F534" s="17"/>
      <c r="G534" s="17"/>
      <c r="H534" s="1414"/>
      <c r="I534" s="1414"/>
      <c r="J534" s="115"/>
      <c r="K534" s="115"/>
      <c r="L534" s="116"/>
      <c r="M534" s="18">
        <f>IF(A33taxstdlife="n/a","n/a",IF(M$3&gt;(A33taxstdlife+$E534),('RFM input'!$L$93-'RFM input'!$L$147)-SUM($L534:L534),('RFM input'!$L$93-'RFM input'!$L$147)/A33taxstdlife))</f>
        <v>0</v>
      </c>
      <c r="N534" s="18">
        <f>IF(A33taxstdlife="n/a","n/a",IF(N$3&gt;(A33taxstdlife+$E534),('RFM input'!$L$93-'RFM input'!$L$147)-SUM($L534:M534),('RFM input'!$L$93-'RFM input'!$L$147)/A33taxstdlife))</f>
        <v>0</v>
      </c>
      <c r="O534" s="18">
        <f>IF(A33taxstdlife="n/a","n/a",IF(O$3&gt;(A33taxstdlife+$E534),('RFM input'!$L$93-'RFM input'!$L$147)-SUM($L534:N534),('RFM input'!$L$93-'RFM input'!$L$147)/A33taxstdlife))</f>
        <v>0</v>
      </c>
      <c r="P534" s="18">
        <f>IF(A33taxstdlife="n/a","n/a",IF(P$3&gt;(A33taxstdlife+$E534),('RFM input'!$L$93-'RFM input'!$L$147)-SUM($L534:O534),('RFM input'!$L$93-'RFM input'!$L$147)/A33taxstdlife))</f>
        <v>0</v>
      </c>
      <c r="Q534" s="18">
        <f>IF(A33taxstdlife="n/a","n/a",IF(Q$3&gt;(A33taxstdlife+$E534),('RFM input'!$L$93-'RFM input'!$L$147)-SUM($L534:P534),('RFM input'!$L$93-'RFM input'!$L$147)/A33taxstdlife))</f>
        <v>0</v>
      </c>
      <c r="R534" s="18"/>
      <c r="S534" s="74"/>
      <c r="T534" s="74"/>
      <c r="U534" s="74"/>
      <c r="V534" s="74"/>
      <c r="W534" s="74"/>
      <c r="X534" s="74"/>
      <c r="Y534" s="74"/>
      <c r="Z534" s="74"/>
      <c r="AA534" s="152"/>
    </row>
    <row r="535" spans="1:27" ht="12.75" hidden="1" customHeight="1" outlineLevel="2">
      <c r="A535" s="3"/>
      <c r="B535" s="3"/>
      <c r="C535" s="16"/>
      <c r="D535" s="1594"/>
      <c r="E535" s="61">
        <v>6</v>
      </c>
      <c r="F535" s="17"/>
      <c r="G535" s="17"/>
      <c r="H535" s="1414"/>
      <c r="I535" s="1414"/>
      <c r="J535" s="115"/>
      <c r="K535" s="115"/>
      <c r="L535" s="115"/>
      <c r="M535" s="116"/>
      <c r="N535" s="18">
        <f>IF(A33taxstdlife="n/a","n/a",IF(N$3&gt;(A33taxstdlife+$E535),('RFM input'!$M$93-'RFM input'!$M$147)-SUM($M535:M535),('RFM input'!$M$93-'RFM input'!$M$147)/A33taxstdlife))</f>
        <v>0</v>
      </c>
      <c r="O535" s="18">
        <f>IF(A33taxstdlife="n/a","n/a",IF(O$3&gt;(A33taxstdlife+$E535),('RFM input'!$M$93-'RFM input'!$M$147)-SUM($M535:N535),('RFM input'!$M$93-'RFM input'!$M$147)/A33taxstdlife))</f>
        <v>0</v>
      </c>
      <c r="P535" s="18">
        <f>IF(A33taxstdlife="n/a","n/a",IF(P$3&gt;(A33taxstdlife+$E535),('RFM input'!$M$93-'RFM input'!$M$147)-SUM($M535:O535),('RFM input'!$M$93-'RFM input'!$M$147)/A33taxstdlife))</f>
        <v>0</v>
      </c>
      <c r="Q535" s="18">
        <f>IF(A33taxstdlife="n/a","n/a",IF(Q$3&gt;(A33taxstdlife+$E535),('RFM input'!$M$93-'RFM input'!$M$147)-SUM($M535:P535),('RFM input'!$M$93-'RFM input'!$M$147)/A33taxstdlife))</f>
        <v>0</v>
      </c>
      <c r="R535" s="18"/>
      <c r="S535" s="74"/>
      <c r="T535" s="74"/>
      <c r="U535" s="74"/>
      <c r="V535" s="74"/>
      <c r="W535" s="74"/>
      <c r="X535" s="74"/>
      <c r="Y535" s="74"/>
      <c r="Z535" s="74"/>
      <c r="AA535" s="152"/>
    </row>
    <row r="536" spans="1:27" ht="12.75" hidden="1" customHeight="1" outlineLevel="2">
      <c r="A536" s="3"/>
      <c r="B536" s="3"/>
      <c r="C536" s="16"/>
      <c r="D536" s="1594"/>
      <c r="E536" s="61">
        <v>7</v>
      </c>
      <c r="F536" s="17"/>
      <c r="G536" s="17"/>
      <c r="H536" s="1414"/>
      <c r="I536" s="1414"/>
      <c r="J536" s="115"/>
      <c r="K536" s="115"/>
      <c r="L536" s="115"/>
      <c r="M536" s="115"/>
      <c r="N536" s="116"/>
      <c r="O536" s="18">
        <f>IF(A33taxstdlife="n/a","n/a",IF(O$3&gt;(A33taxstdlife+$E536),('RFM input'!$N$93-'RFM input'!$N$147)-SUM($N536:N536),('RFM input'!$N$93-'RFM input'!$N$147)/A33taxstdlife))</f>
        <v>0</v>
      </c>
      <c r="P536" s="18">
        <f>IF(A33taxstdlife="n/a","n/a",IF(P$3&gt;(A33taxstdlife+$E536),('RFM input'!$N$93-'RFM input'!$N$147)-SUM($N536:O536),('RFM input'!$N$93-'RFM input'!$N$147)/A33taxstdlife))</f>
        <v>0</v>
      </c>
      <c r="Q536" s="18">
        <f>IF(A33taxstdlife="n/a","n/a",IF(Q$3&gt;(A33taxstdlife+$E536),('RFM input'!$N$93-'RFM input'!$N$147)-SUM($N536:P536),('RFM input'!$N$93-'RFM input'!$N$147)/A33taxstdlife))</f>
        <v>0</v>
      </c>
      <c r="R536" s="18"/>
      <c r="S536" s="74"/>
      <c r="T536" s="74"/>
      <c r="U536" s="74"/>
      <c r="V536" s="74"/>
      <c r="W536" s="74"/>
      <c r="X536" s="74"/>
      <c r="Y536" s="74"/>
      <c r="Z536" s="74"/>
      <c r="AA536" s="152"/>
    </row>
    <row r="537" spans="1:27" ht="12.75" hidden="1" customHeight="1" outlineLevel="2">
      <c r="A537" s="3"/>
      <c r="B537" s="3"/>
      <c r="C537" s="16"/>
      <c r="D537" s="1594"/>
      <c r="E537" s="61">
        <v>8</v>
      </c>
      <c r="F537" s="17"/>
      <c r="G537" s="17"/>
      <c r="H537" s="1414"/>
      <c r="I537" s="1414"/>
      <c r="J537" s="115"/>
      <c r="K537" s="115"/>
      <c r="L537" s="115"/>
      <c r="M537" s="115"/>
      <c r="N537" s="115"/>
      <c r="O537" s="116"/>
      <c r="P537" s="18">
        <f>IF(A33taxstdlife="n/a","n/a",IF(P$3&gt;(A33taxstdlife+$E537),('RFM input'!$O$93-'RFM input'!$O$147)-SUM($O537:O537),('RFM input'!$O$93-'RFM input'!$O$147)/A33taxstdlife))</f>
        <v>0</v>
      </c>
      <c r="Q537" s="18">
        <f>IF(A33taxstdlife="n/a","n/a",IF(Q$3&gt;(A33taxstdlife+$E537),('RFM input'!$O$93-'RFM input'!$O$147)-SUM($O537:P537),('RFM input'!$O$93-'RFM input'!$O$147)/A33taxstdlife))</f>
        <v>0</v>
      </c>
      <c r="R537" s="18"/>
      <c r="S537" s="74"/>
      <c r="T537" s="74"/>
      <c r="U537" s="74"/>
      <c r="V537" s="74"/>
      <c r="W537" s="74"/>
      <c r="X537" s="74"/>
      <c r="Y537" s="74"/>
      <c r="Z537" s="74"/>
      <c r="AA537" s="152"/>
    </row>
    <row r="538" spans="1:27" ht="12.75" hidden="1" customHeight="1" outlineLevel="2">
      <c r="A538" s="3"/>
      <c r="B538" s="3"/>
      <c r="C538" s="16"/>
      <c r="D538" s="1594"/>
      <c r="E538" s="61">
        <v>9</v>
      </c>
      <c r="F538" s="17"/>
      <c r="G538" s="17"/>
      <c r="H538" s="1414"/>
      <c r="I538" s="1414"/>
      <c r="J538" s="115"/>
      <c r="K538" s="115"/>
      <c r="L538" s="115"/>
      <c r="M538" s="115"/>
      <c r="N538" s="115"/>
      <c r="O538" s="115"/>
      <c r="P538" s="116"/>
      <c r="Q538" s="18">
        <f>IF(A33taxstdlife="n/a","n/a",IF(Q$3&gt;(A33taxstdlife+$E538),('RFM input'!$P$93-'RFM input'!$P$147)-SUM($P538:P538),('RFM input'!$P$93-'RFM input'!$P$147)/A33taxstdlife))</f>
        <v>0</v>
      </c>
      <c r="R538" s="18"/>
      <c r="S538" s="74"/>
      <c r="T538" s="74"/>
      <c r="U538" s="74"/>
      <c r="V538" s="74"/>
      <c r="W538" s="74"/>
      <c r="X538" s="74"/>
      <c r="Y538" s="74"/>
      <c r="Z538" s="74"/>
      <c r="AA538" s="152"/>
    </row>
    <row r="539" spans="1:27" ht="12.75" hidden="1" customHeight="1" outlineLevel="2">
      <c r="A539" s="3"/>
      <c r="B539" s="3"/>
      <c r="C539" s="16"/>
      <c r="D539" s="1594"/>
      <c r="E539" s="62">
        <v>10</v>
      </c>
      <c r="F539" s="17"/>
      <c r="G539" s="17"/>
      <c r="H539" s="1414"/>
      <c r="I539" s="1414"/>
      <c r="J539" s="115"/>
      <c r="K539" s="115"/>
      <c r="L539" s="115"/>
      <c r="M539" s="115"/>
      <c r="N539" s="115"/>
      <c r="O539" s="115"/>
      <c r="P539" s="115"/>
      <c r="Q539" s="116"/>
      <c r="R539" s="18"/>
      <c r="S539" s="74"/>
      <c r="T539" s="74"/>
      <c r="U539" s="74"/>
      <c r="V539" s="74"/>
      <c r="W539" s="74"/>
      <c r="X539" s="74"/>
      <c r="Y539" s="74"/>
      <c r="Z539" s="74"/>
      <c r="AA539" s="152"/>
    </row>
    <row r="540" spans="1:27" hidden="1" outlineLevel="1">
      <c r="A540" s="3"/>
      <c r="B540" s="3"/>
      <c r="C540" s="134">
        <f>Asset33</f>
        <v>0</v>
      </c>
      <c r="D540" s="3"/>
      <c r="E540" s="3"/>
      <c r="F540" s="14"/>
      <c r="G540" s="14"/>
      <c r="H540" s="1460">
        <f>IF('RFM input'!$G$354="Tracked",-1*INDEX('RFM input'!H$358:H$407,MATCH('TAB roll forward'!$C540,'RFM input'!$E$358:$E$407,0)),-SUM(H528:H539))</f>
        <v>0</v>
      </c>
      <c r="I540" s="1460">
        <f>IF('RFM input'!$G$354="Tracked",-1*INDEX('RFM input'!I$358:I$407,MATCH('TAB roll forward'!$C540,'RFM input'!$E$358:$E$407,0)),-SUM(I528:I539))</f>
        <v>0</v>
      </c>
      <c r="J540" s="1460">
        <f>IF(COUNT($H540:I540)&gt;='RFM input'!$V$7,0,IF('RFM input'!$G$354="Tracked",-1*INDEX('RFM input'!J$358:J$407,MATCH('TAB roll forward'!$C540,'RFM input'!$E$358:$E$407,0)),-SUM(J528:J539)))</f>
        <v>0</v>
      </c>
      <c r="K540" s="1460">
        <f>IF(COUNT($H540:J540)&gt;='RFM input'!$V$7,0,IF('RFM input'!$G$354="Tracked",-1*INDEX('RFM input'!K$358:K$407,MATCH('TAB roll forward'!$C540,'RFM input'!$E$358:$E$407,0)),-SUM(K528:K539)))</f>
        <v>0</v>
      </c>
      <c r="L540" s="1460">
        <f>IF(COUNT($H540:K540)&gt;='RFM input'!$V$7,0,IF('RFM input'!$G$354="Tracked",-1*INDEX('RFM input'!L$358:L$407,MATCH('TAB roll forward'!$C540,'RFM input'!$E$358:$E$407,0)),-SUM(L528:L539)))</f>
        <v>0</v>
      </c>
      <c r="M540" s="1460">
        <f>IF(COUNT($H540:L540)&gt;='RFM input'!$V$7,0,IF('RFM input'!$G$354="Tracked",-1*INDEX('RFM input'!M$358:M$407,MATCH('TAB roll forward'!$C540,'RFM input'!$E$358:$E$407,0)),-SUM(M528:M539)))</f>
        <v>0</v>
      </c>
      <c r="N540" s="1460">
        <f>IF(COUNT($H540:M540)&gt;='RFM input'!$V$7,0,IF('RFM input'!$G$354="Tracked",-1*INDEX('RFM input'!N$358:N$407,MATCH('TAB roll forward'!$C540,'RFM input'!$E$358:$E$407,0)),-SUM(N528:N539)))</f>
        <v>0</v>
      </c>
      <c r="O540" s="1460">
        <f>IF(COUNT($H540:N540)&gt;='RFM input'!$V$7,0,IF('RFM input'!$G$354="Tracked",-1*INDEX('RFM input'!O$358:O$407,MATCH('TAB roll forward'!$C540,'RFM input'!$E$358:$E$407,0)),-SUM(O528:O539)))</f>
        <v>0</v>
      </c>
      <c r="P540" s="1460">
        <f>IF(COUNT($H540:O540)&gt;='RFM input'!$V$7,0,IF('RFM input'!$G$354="Tracked",-1*INDEX('RFM input'!P$358:P$407,MATCH('TAB roll forward'!$C540,'RFM input'!$E$358:$E$407,0)),-SUM(P528:P539)))</f>
        <v>0</v>
      </c>
      <c r="Q540" s="1460">
        <f>IF(COUNT($H540:P540)&gt;='RFM input'!$V$7,0,IF('RFM input'!$G$354="Tracked",-1*INDEX('RFM input'!Q$358:Q$407,MATCH('TAB roll forward'!$C540,'RFM input'!$E$358:$E$407,0)),-SUM(Q528:Q539)))</f>
        <v>0</v>
      </c>
      <c r="R540" s="1382"/>
      <c r="S540" s="73"/>
      <c r="T540" s="73"/>
      <c r="U540" s="73"/>
      <c r="V540" s="73"/>
      <c r="W540" s="73"/>
      <c r="X540" s="73"/>
      <c r="Y540" s="73"/>
      <c r="Z540" s="73"/>
      <c r="AA540" s="152"/>
    </row>
    <row r="541" spans="1:27" ht="12.75" hidden="1" customHeight="1" outlineLevel="2">
      <c r="A541" s="3"/>
      <c r="B541" s="135">
        <f>Asset34</f>
        <v>0</v>
      </c>
      <c r="C541" s="19"/>
      <c r="D541" s="234" t="s">
        <v>119</v>
      </c>
      <c r="E541" s="19"/>
      <c r="F541" s="148"/>
      <c r="G541" s="148"/>
      <c r="H541" s="21">
        <f>IF(H$3&gt;A34taxremlife,A34taxvalue-SUM($F541:F541),IF(A34taxremlife="N/A","n/a",A34taxvalue/A34taxremlife))</f>
        <v>0</v>
      </c>
      <c r="I541" s="21">
        <f>IF(I$3&gt;A34taxremlife,A34taxvalue-SUM($F541:H541),IF(A34taxremlife="N/A","n/a",A34taxvalue/A34taxremlife))</f>
        <v>0</v>
      </c>
      <c r="J541" s="21">
        <f>IF(J$3&gt;A34taxremlife,A34taxvalue-SUM($F541:I541),IF(A34taxremlife="N/A","n/a",A34taxvalue/A34taxremlife))</f>
        <v>0</v>
      </c>
      <c r="K541" s="21">
        <f>IF(K$3&gt;A34taxremlife,A34taxvalue-SUM($F541:J541),IF(A34taxremlife="N/A","n/a",A34taxvalue/A34taxremlife))</f>
        <v>0</v>
      </c>
      <c r="L541" s="21">
        <f>IF(L$3&gt;A34taxremlife,A34taxvalue-SUM($F541:K541),IF(A34taxremlife="N/A","n/a",A34taxvalue/A34taxremlife))</f>
        <v>0</v>
      </c>
      <c r="M541" s="21">
        <f>IF(M$3&gt;A34taxremlife,A34taxvalue-SUM($F541:L541),IF(A34taxremlife="N/A","n/a",A34taxvalue/A34taxremlife))</f>
        <v>0</v>
      </c>
      <c r="N541" s="21">
        <f>IF(N$3&gt;A34taxremlife,A34taxvalue-SUM($F541:M541),IF(A34taxremlife="N/A","n/a",A34taxvalue/A34taxremlife))</f>
        <v>0</v>
      </c>
      <c r="O541" s="21">
        <f>IF(O$3&gt;A34taxremlife,A34taxvalue-SUM($F541:N541),IF(A34taxremlife="N/A","n/a",A34taxvalue/A34taxremlife))</f>
        <v>0</v>
      </c>
      <c r="P541" s="21">
        <f>IF(P$3&gt;A34taxremlife,A34taxvalue-SUM($F541:O541),IF(A34taxremlife="N/A","n/a",A34taxvalue/A34taxremlife))</f>
        <v>0</v>
      </c>
      <c r="Q541" s="21">
        <f>IF(Q$3&gt;A34taxremlife,A34taxvalue-SUM($F541:P541),IF(A34taxremlife="N/A","n/a",A34taxvalue/A34taxremlife))</f>
        <v>0</v>
      </c>
      <c r="R541" s="21"/>
      <c r="S541" s="74"/>
      <c r="T541" s="74"/>
      <c r="U541" s="74"/>
      <c r="V541" s="74"/>
      <c r="W541" s="74"/>
      <c r="X541" s="74"/>
      <c r="Y541" s="74"/>
      <c r="Z541" s="74"/>
      <c r="AA541" s="152"/>
    </row>
    <row r="542" spans="1:27" ht="12.75" hidden="1" customHeight="1" outlineLevel="2">
      <c r="A542" s="3"/>
      <c r="B542" s="3"/>
      <c r="C542" s="16"/>
      <c r="D542" s="1593" t="s">
        <v>43</v>
      </c>
      <c r="E542" s="61"/>
      <c r="F542" s="17"/>
      <c r="G542" s="17"/>
      <c r="H542" s="1413"/>
      <c r="I542" s="72"/>
      <c r="J542" s="18"/>
      <c r="K542" s="18"/>
      <c r="L542" s="18"/>
      <c r="M542" s="18"/>
      <c r="N542" s="18"/>
      <c r="O542" s="18"/>
      <c r="P542" s="18"/>
      <c r="Q542" s="18"/>
      <c r="R542" s="18"/>
      <c r="S542" s="74"/>
      <c r="T542" s="74"/>
      <c r="U542" s="74"/>
      <c r="V542" s="74"/>
      <c r="W542" s="74"/>
      <c r="X542" s="74"/>
      <c r="Y542" s="74"/>
      <c r="Z542" s="74"/>
      <c r="AA542" s="152"/>
    </row>
    <row r="543" spans="1:27" ht="12.75" hidden="1" customHeight="1" outlineLevel="2">
      <c r="A543" s="3"/>
      <c r="B543" s="3"/>
      <c r="C543" s="16"/>
      <c r="D543" s="1594"/>
      <c r="E543" s="61">
        <v>1</v>
      </c>
      <c r="F543" s="17"/>
      <c r="G543" s="17"/>
      <c r="H543" s="1414"/>
      <c r="I543" s="1415">
        <f>IF(A34taxstdlife="n/a","n/a",IF(I$3&gt;(A34taxstdlife+$E543),('RFM input'!$H$94-'RFM input'!$H$148)-SUM($H543:H543),('RFM input'!$H$94-'RFM input'!$H$148)/A34taxstdlife))</f>
        <v>0</v>
      </c>
      <c r="J543" s="18">
        <f>IF(A34taxstdlife="n/a","n/a",IF(J$3&gt;(A34taxstdlife+$E543),('RFM input'!$H$94-'RFM input'!$H$148)-SUM($H543:I543),('RFM input'!$H$94-'RFM input'!$H$148)/A34taxstdlife))</f>
        <v>0</v>
      </c>
      <c r="K543" s="18">
        <f>IF(A34taxstdlife="n/a","n/a",IF(K$3&gt;(A34taxstdlife+$E543),('RFM input'!$H$94-'RFM input'!$H$148)-SUM($H543:J543),('RFM input'!$H$94-'RFM input'!$H$148)/A34taxstdlife))</f>
        <v>0</v>
      </c>
      <c r="L543" s="18">
        <f>IF(A34taxstdlife="n/a","n/a",IF(L$3&gt;(A34taxstdlife+$E543),('RFM input'!$H$94-'RFM input'!$H$148)-SUM($H543:K543),('RFM input'!$H$94-'RFM input'!$H$148)/A34taxstdlife))</f>
        <v>0</v>
      </c>
      <c r="M543" s="18">
        <f>IF(A34taxstdlife="n/a","n/a",IF(M$3&gt;(A34taxstdlife+$E543),('RFM input'!$H$94-'RFM input'!$H$148)-SUM($H543:L543),('RFM input'!$H$94-'RFM input'!$H$148)/A34taxstdlife))</f>
        <v>0</v>
      </c>
      <c r="N543" s="18">
        <f>IF(A34taxstdlife="n/a","n/a",IF(N$3&gt;(A34taxstdlife+$E543),('RFM input'!$H$94-'RFM input'!$H$148)-SUM($H543:M543),('RFM input'!$H$94-'RFM input'!$H$148)/A34taxstdlife))</f>
        <v>0</v>
      </c>
      <c r="O543" s="18">
        <f>IF(A34taxstdlife="n/a","n/a",IF(O$3&gt;(A34taxstdlife+$E543),('RFM input'!$H$94-'RFM input'!$H$148)-SUM($H543:N543),('RFM input'!$H$94-'RFM input'!$H$148)/A34taxstdlife))</f>
        <v>0</v>
      </c>
      <c r="P543" s="18">
        <f>IF(A34taxstdlife="n/a","n/a",IF(P$3&gt;(A34taxstdlife+$E543),('RFM input'!$H$94-'RFM input'!$H$148)-SUM($H543:O543),('RFM input'!$H$94-'RFM input'!$H$148)/A34taxstdlife))</f>
        <v>0</v>
      </c>
      <c r="Q543" s="18">
        <f>IF(A34taxstdlife="n/a","n/a",IF(Q$3&gt;(A34taxstdlife+$E543),('RFM input'!$H$94-'RFM input'!$H$148)-SUM($H543:P543),('RFM input'!$H$94-'RFM input'!$H$148)/A34taxstdlife))</f>
        <v>0</v>
      </c>
      <c r="R543" s="18"/>
      <c r="S543" s="74"/>
      <c r="T543" s="74"/>
      <c r="U543" s="74"/>
      <c r="V543" s="74"/>
      <c r="W543" s="74"/>
      <c r="X543" s="74"/>
      <c r="Y543" s="74"/>
      <c r="Z543" s="74"/>
      <c r="AA543" s="152"/>
    </row>
    <row r="544" spans="1:27" ht="12.75" hidden="1" customHeight="1" outlineLevel="2">
      <c r="A544" s="3"/>
      <c r="B544" s="3"/>
      <c r="C544" s="16"/>
      <c r="D544" s="1594"/>
      <c r="E544" s="61">
        <v>2</v>
      </c>
      <c r="F544" s="17"/>
      <c r="G544" s="17"/>
      <c r="H544" s="1414"/>
      <c r="I544" s="1414"/>
      <c r="J544" s="18">
        <f>IF(A34taxstdlife="n/a","n/a",IF(J$3&gt;(A34taxstdlife+$E544),('RFM input'!$I$94-'RFM input'!$I$148)-SUM($I544:I544),('RFM input'!$I$94-'RFM input'!$I$148)/A34taxstdlife))</f>
        <v>0</v>
      </c>
      <c r="K544" s="18">
        <f>IF(A34taxstdlife="n/a","n/a",IF(K$3&gt;(A34taxstdlife+$E544),('RFM input'!$I$94-'RFM input'!$I$148)-SUM($I544:J544),('RFM input'!$I$94-'RFM input'!$I$148)/A34taxstdlife))</f>
        <v>0</v>
      </c>
      <c r="L544" s="18">
        <f>IF(A34taxstdlife="n/a","n/a",IF(L$3&gt;(A34taxstdlife+$E544),('RFM input'!$I$94-'RFM input'!$I$148)-SUM($I544:K544),('RFM input'!$I$94-'RFM input'!$I$148)/A34taxstdlife))</f>
        <v>0</v>
      </c>
      <c r="M544" s="18">
        <f>IF(A34taxstdlife="n/a","n/a",IF(M$3&gt;(A34taxstdlife+$E544),('RFM input'!$I$94-'RFM input'!$I$148)-SUM($I544:L544),('RFM input'!$I$94-'RFM input'!$I$148)/A34taxstdlife))</f>
        <v>0</v>
      </c>
      <c r="N544" s="18">
        <f>IF(A34taxstdlife="n/a","n/a",IF(N$3&gt;(A34taxstdlife+$E544),('RFM input'!$I$94-'RFM input'!$I$148)-SUM($I544:M544),('RFM input'!$I$94-'RFM input'!$I$148)/A34taxstdlife))</f>
        <v>0</v>
      </c>
      <c r="O544" s="18">
        <f>IF(A34taxstdlife="n/a","n/a",IF(O$3&gt;(A34taxstdlife+$E544),('RFM input'!$I$94-'RFM input'!$I$148)-SUM($I544:N544),('RFM input'!$I$94-'RFM input'!$I$148)/A34taxstdlife))</f>
        <v>0</v>
      </c>
      <c r="P544" s="18">
        <f>IF(A34taxstdlife="n/a","n/a",IF(P$3&gt;(A34taxstdlife+$E544),('RFM input'!$I$94-'RFM input'!$I$148)-SUM($I544:O544),('RFM input'!$I$94-'RFM input'!$I$148)/A34taxstdlife))</f>
        <v>0</v>
      </c>
      <c r="Q544" s="18">
        <f>IF(A34taxstdlife="n/a","n/a",IF(Q$3&gt;(A34taxstdlife+$E544),('RFM input'!$I$94-'RFM input'!$I$148)-SUM($I544:P544),('RFM input'!$I$94-'RFM input'!$I$148)/A34taxstdlife))</f>
        <v>0</v>
      </c>
      <c r="R544" s="18"/>
      <c r="S544" s="74"/>
      <c r="T544" s="74"/>
      <c r="U544" s="74"/>
      <c r="V544" s="74"/>
      <c r="W544" s="74"/>
      <c r="X544" s="74"/>
      <c r="Y544" s="74"/>
      <c r="Z544" s="74"/>
      <c r="AA544" s="152"/>
    </row>
    <row r="545" spans="1:27" ht="12.75" hidden="1" customHeight="1" outlineLevel="2">
      <c r="A545" s="3"/>
      <c r="B545" s="3"/>
      <c r="C545" s="16"/>
      <c r="D545" s="1594"/>
      <c r="E545" s="61">
        <v>3</v>
      </c>
      <c r="F545" s="17"/>
      <c r="G545" s="17"/>
      <c r="H545" s="1414"/>
      <c r="I545" s="1414"/>
      <c r="J545" s="116"/>
      <c r="K545" s="18">
        <f>IF(A34taxstdlife="n/a","n/a",IF(K$3&gt;(A34taxstdlife+$E545),('RFM input'!$J$94-'RFM input'!$J$148)-SUM($J545:J545),('RFM input'!$J$94-'RFM input'!$J$148)/A34taxstdlife))</f>
        <v>0</v>
      </c>
      <c r="L545" s="18">
        <f>IF(A34taxstdlife="n/a","n/a",IF(L$3&gt;(A34taxstdlife+$E545),('RFM input'!$J$94-'RFM input'!$J$148)-SUM($J545:K545),('RFM input'!$J$94-'RFM input'!$J$148)/A34taxstdlife))</f>
        <v>0</v>
      </c>
      <c r="M545" s="18">
        <f>IF(A34taxstdlife="n/a","n/a",IF(M$3&gt;(A34taxstdlife+$E545),('RFM input'!$J$94-'RFM input'!$J$148)-SUM($J545:L545),('RFM input'!$J$94-'RFM input'!$J$148)/A34taxstdlife))</f>
        <v>0</v>
      </c>
      <c r="N545" s="18">
        <f>IF(A34taxstdlife="n/a","n/a",IF(N$3&gt;(A34taxstdlife+$E545),('RFM input'!$J$94-'RFM input'!$J$148)-SUM($J545:M545),('RFM input'!$J$94-'RFM input'!$J$148)/A34taxstdlife))</f>
        <v>0</v>
      </c>
      <c r="O545" s="18">
        <f>IF(A34taxstdlife="n/a","n/a",IF(O$3&gt;(A34taxstdlife+$E545),('RFM input'!$J$94-'RFM input'!$J$148)-SUM($J545:N545),('RFM input'!$J$94-'RFM input'!$J$148)/A34taxstdlife))</f>
        <v>0</v>
      </c>
      <c r="P545" s="18">
        <f>IF(A34taxstdlife="n/a","n/a",IF(P$3&gt;(A34taxstdlife+$E545),('RFM input'!$J$94-'RFM input'!$J$148)-SUM($J545:O545),('RFM input'!$J$94-'RFM input'!$J$148)/A34taxstdlife))</f>
        <v>0</v>
      </c>
      <c r="Q545" s="18">
        <f>IF(A34taxstdlife="n/a","n/a",IF(Q$3&gt;(A34taxstdlife+$E545),('RFM input'!$J$94-'RFM input'!$J$148)-SUM($J545:P545),('RFM input'!$J$94-'RFM input'!$J$148)/A34taxstdlife))</f>
        <v>0</v>
      </c>
      <c r="R545" s="18"/>
      <c r="S545" s="74"/>
      <c r="T545" s="74"/>
      <c r="U545" s="74"/>
      <c r="V545" s="74"/>
      <c r="W545" s="74"/>
      <c r="X545" s="74"/>
      <c r="Y545" s="74"/>
      <c r="Z545" s="74"/>
      <c r="AA545" s="152"/>
    </row>
    <row r="546" spans="1:27" ht="12.75" hidden="1" customHeight="1" outlineLevel="2">
      <c r="A546" s="3"/>
      <c r="B546" s="3"/>
      <c r="C546" s="16"/>
      <c r="D546" s="1594"/>
      <c r="E546" s="61">
        <v>4</v>
      </c>
      <c r="F546" s="17"/>
      <c r="G546" s="17"/>
      <c r="H546" s="1414"/>
      <c r="I546" s="1414"/>
      <c r="J546" s="115"/>
      <c r="K546" s="116"/>
      <c r="L546" s="18">
        <f>IF(A34taxstdlife="n/a","n/a",IF(L$3&gt;(A34taxstdlife+$E546),('RFM input'!$K$94-'RFM input'!$K$148)-SUM($K546:K546),('RFM input'!$K$94-'RFM input'!$K$148)/A34taxstdlife))</f>
        <v>0</v>
      </c>
      <c r="M546" s="18">
        <f>IF(A34taxstdlife="n/a","n/a",IF(M$3&gt;(A34taxstdlife+$E546),('RFM input'!$K$94-'RFM input'!$K$148)-SUM($K546:L546),('RFM input'!$K$94-'RFM input'!$K$148)/A34taxstdlife))</f>
        <v>0</v>
      </c>
      <c r="N546" s="18">
        <f>IF(A34taxstdlife="n/a","n/a",IF(N$3&gt;(A34taxstdlife+$E546),('RFM input'!$K$94-'RFM input'!$K$148)-SUM($K546:M546),('RFM input'!$K$94-'RFM input'!$K$148)/A34taxstdlife))</f>
        <v>0</v>
      </c>
      <c r="O546" s="18">
        <f>IF(A34taxstdlife="n/a","n/a",IF(O$3&gt;(A34taxstdlife+$E546),('RFM input'!$K$94-'RFM input'!$K$148)-SUM($K546:N546),('RFM input'!$K$94-'RFM input'!$K$148)/A34taxstdlife))</f>
        <v>0</v>
      </c>
      <c r="P546" s="18">
        <f>IF(A34taxstdlife="n/a","n/a",IF(P$3&gt;(A34taxstdlife+$E546),('RFM input'!$K$94-'RFM input'!$K$148)-SUM($K546:O546),('RFM input'!$K$94-'RFM input'!$K$148)/A34taxstdlife))</f>
        <v>0</v>
      </c>
      <c r="Q546" s="18">
        <f>IF(A34taxstdlife="n/a","n/a",IF(Q$3&gt;(A34taxstdlife+$E546),('RFM input'!$K$94-'RFM input'!$K$148)-SUM($K546:P546),('RFM input'!$K$94-'RFM input'!$K$148)/A34taxstdlife))</f>
        <v>0</v>
      </c>
      <c r="R546" s="18"/>
      <c r="S546" s="74"/>
      <c r="T546" s="74"/>
      <c r="U546" s="74"/>
      <c r="V546" s="74"/>
      <c r="W546" s="74"/>
      <c r="X546" s="74"/>
      <c r="Y546" s="74"/>
      <c r="Z546" s="74"/>
      <c r="AA546" s="152"/>
    </row>
    <row r="547" spans="1:27" ht="12.75" hidden="1" customHeight="1" outlineLevel="2">
      <c r="A547" s="3"/>
      <c r="B547" s="3"/>
      <c r="C547" s="16"/>
      <c r="D547" s="1594"/>
      <c r="E547" s="61">
        <v>5</v>
      </c>
      <c r="F547" s="17"/>
      <c r="G547" s="17"/>
      <c r="H547" s="1414"/>
      <c r="I547" s="1414"/>
      <c r="J547" s="115"/>
      <c r="K547" s="115"/>
      <c r="L547" s="116"/>
      <c r="M547" s="18">
        <f>IF(A34taxstdlife="n/a","n/a",IF(M$3&gt;(A34taxstdlife+$E547),('RFM input'!$L$94-'RFM input'!$L$148)-SUM($L547:L547),('RFM input'!$L$94-'RFM input'!$L$148)/A34taxstdlife))</f>
        <v>0</v>
      </c>
      <c r="N547" s="18">
        <f>IF(A34taxstdlife="n/a","n/a",IF(N$3&gt;(A34taxstdlife+$E547),('RFM input'!$L$94-'RFM input'!$L$148)-SUM($L547:M547),('RFM input'!$L$94-'RFM input'!$L$148)/A34taxstdlife))</f>
        <v>0</v>
      </c>
      <c r="O547" s="18">
        <f>IF(A34taxstdlife="n/a","n/a",IF(O$3&gt;(A34taxstdlife+$E547),('RFM input'!$L$94-'RFM input'!$L$148)-SUM($L547:N547),('RFM input'!$L$94-'RFM input'!$L$148)/A34taxstdlife))</f>
        <v>0</v>
      </c>
      <c r="P547" s="18">
        <f>IF(A34taxstdlife="n/a","n/a",IF(P$3&gt;(A34taxstdlife+$E547),('RFM input'!$L$94-'RFM input'!$L$148)-SUM($L547:O547),('RFM input'!$L$94-'RFM input'!$L$148)/A34taxstdlife))</f>
        <v>0</v>
      </c>
      <c r="Q547" s="18">
        <f>IF(A34taxstdlife="n/a","n/a",IF(Q$3&gt;(A34taxstdlife+$E547),('RFM input'!$L$94-'RFM input'!$L$148)-SUM($L547:P547),('RFM input'!$L$94-'RFM input'!$L$148)/A34taxstdlife))</f>
        <v>0</v>
      </c>
      <c r="R547" s="18"/>
      <c r="S547" s="74"/>
      <c r="T547" s="74"/>
      <c r="U547" s="74"/>
      <c r="V547" s="74"/>
      <c r="W547" s="74"/>
      <c r="X547" s="74"/>
      <c r="Y547" s="74"/>
      <c r="Z547" s="74"/>
      <c r="AA547" s="152"/>
    </row>
    <row r="548" spans="1:27" ht="12.75" hidden="1" customHeight="1" outlineLevel="2">
      <c r="A548" s="3"/>
      <c r="B548" s="3"/>
      <c r="C548" s="16"/>
      <c r="D548" s="1594"/>
      <c r="E548" s="61">
        <v>6</v>
      </c>
      <c r="F548" s="17"/>
      <c r="G548" s="17"/>
      <c r="H548" s="1414"/>
      <c r="I548" s="1414"/>
      <c r="J548" s="115"/>
      <c r="K548" s="115"/>
      <c r="L548" s="115"/>
      <c r="M548" s="116"/>
      <c r="N548" s="18">
        <f>IF(A34taxstdlife="n/a","n/a",IF(N$3&gt;(A34taxstdlife+$E548),('RFM input'!$M$94-'RFM input'!$M$148)-SUM($M548:M548),('RFM input'!$M$94-'RFM input'!$M$148)/A34taxstdlife))</f>
        <v>0</v>
      </c>
      <c r="O548" s="18">
        <f>IF(A34taxstdlife="n/a","n/a",IF(O$3&gt;(A34taxstdlife+$E548),('RFM input'!$M$94-'RFM input'!$M$148)-SUM($M548:N548),('RFM input'!$M$94-'RFM input'!$M$148)/A34taxstdlife))</f>
        <v>0</v>
      </c>
      <c r="P548" s="18">
        <f>IF(A34taxstdlife="n/a","n/a",IF(P$3&gt;(A34taxstdlife+$E548),('RFM input'!$M$94-'RFM input'!$M$148)-SUM($M548:O548),('RFM input'!$M$94-'RFM input'!$M$148)/A34taxstdlife))</f>
        <v>0</v>
      </c>
      <c r="Q548" s="18">
        <f>IF(A34taxstdlife="n/a","n/a",IF(Q$3&gt;(A34taxstdlife+$E548),('RFM input'!$M$94-'RFM input'!$M$148)-SUM($M548:P548),('RFM input'!$M$94-'RFM input'!$M$148)/A34taxstdlife))</f>
        <v>0</v>
      </c>
      <c r="R548" s="18"/>
      <c r="S548" s="74"/>
      <c r="T548" s="74"/>
      <c r="U548" s="74"/>
      <c r="V548" s="74"/>
      <c r="W548" s="74"/>
      <c r="X548" s="74"/>
      <c r="Y548" s="74"/>
      <c r="Z548" s="74"/>
      <c r="AA548" s="152"/>
    </row>
    <row r="549" spans="1:27" ht="12.75" hidden="1" customHeight="1" outlineLevel="2">
      <c r="A549" s="3"/>
      <c r="B549" s="3"/>
      <c r="C549" s="16"/>
      <c r="D549" s="1594"/>
      <c r="E549" s="61">
        <v>7</v>
      </c>
      <c r="F549" s="17"/>
      <c r="G549" s="17"/>
      <c r="H549" s="1414"/>
      <c r="I549" s="1414"/>
      <c r="J549" s="115"/>
      <c r="K549" s="115"/>
      <c r="L549" s="115"/>
      <c r="M549" s="115"/>
      <c r="N549" s="116"/>
      <c r="O549" s="18">
        <f>IF(A34taxstdlife="n/a","n/a",IF(O$3&gt;(A34taxstdlife+$E549),('RFM input'!$N$94-'RFM input'!$N$148)-SUM($N549:N549),('RFM input'!$N$94-'RFM input'!$N$148)/A34taxstdlife))</f>
        <v>0</v>
      </c>
      <c r="P549" s="18">
        <f>IF(A34taxstdlife="n/a","n/a",IF(P$3&gt;(A34taxstdlife+$E549),('RFM input'!$N$94-'RFM input'!$N$148)-SUM($N549:O549),('RFM input'!$N$94-'RFM input'!$N$148)/A34taxstdlife))</f>
        <v>0</v>
      </c>
      <c r="Q549" s="18">
        <f>IF(A34taxstdlife="n/a","n/a",IF(Q$3&gt;(A34taxstdlife+$E549),('RFM input'!$N$94-'RFM input'!$N$148)-SUM($N549:P549),('RFM input'!$N$94-'RFM input'!$N$148)/A34taxstdlife))</f>
        <v>0</v>
      </c>
      <c r="R549" s="18"/>
      <c r="S549" s="74"/>
      <c r="T549" s="74"/>
      <c r="U549" s="74"/>
      <c r="V549" s="74"/>
      <c r="W549" s="74"/>
      <c r="X549" s="74"/>
      <c r="Y549" s="74"/>
      <c r="Z549" s="74"/>
      <c r="AA549" s="152"/>
    </row>
    <row r="550" spans="1:27" ht="12.75" hidden="1" customHeight="1" outlineLevel="2">
      <c r="A550" s="3"/>
      <c r="B550" s="3"/>
      <c r="C550" s="16"/>
      <c r="D550" s="1594"/>
      <c r="E550" s="61">
        <v>8</v>
      </c>
      <c r="F550" s="17"/>
      <c r="G550" s="17"/>
      <c r="H550" s="1414"/>
      <c r="I550" s="1414"/>
      <c r="J550" s="115"/>
      <c r="K550" s="115"/>
      <c r="L550" s="115"/>
      <c r="M550" s="115"/>
      <c r="N550" s="115"/>
      <c r="O550" s="116"/>
      <c r="P550" s="18">
        <f>IF(A34taxstdlife="n/a","n/a",IF(P$3&gt;(A34taxstdlife+$E550),('RFM input'!$O$94-'RFM input'!$O$148)-SUM($O550:O550),('RFM input'!$O$94-'RFM input'!$O$148)/A34taxstdlife))</f>
        <v>0</v>
      </c>
      <c r="Q550" s="18">
        <f>IF(A34taxstdlife="n/a","n/a",IF(Q$3&gt;(A34taxstdlife+$E550),('RFM input'!$O$94-'RFM input'!$O$148)-SUM($O550:P550),('RFM input'!$O$94-'RFM input'!$O$148)/A34taxstdlife))</f>
        <v>0</v>
      </c>
      <c r="R550" s="18"/>
      <c r="S550" s="74"/>
      <c r="T550" s="74"/>
      <c r="U550" s="74"/>
      <c r="V550" s="74"/>
      <c r="W550" s="74"/>
      <c r="X550" s="74"/>
      <c r="Y550" s="74"/>
      <c r="Z550" s="74"/>
      <c r="AA550" s="152"/>
    </row>
    <row r="551" spans="1:27" ht="12.75" hidden="1" customHeight="1" outlineLevel="2">
      <c r="A551" s="3"/>
      <c r="B551" s="3"/>
      <c r="C551" s="16"/>
      <c r="D551" s="1594"/>
      <c r="E551" s="61">
        <v>9</v>
      </c>
      <c r="F551" s="17"/>
      <c r="G551" s="17"/>
      <c r="H551" s="1414"/>
      <c r="I551" s="1414"/>
      <c r="J551" s="115"/>
      <c r="K551" s="115"/>
      <c r="L551" s="115"/>
      <c r="M551" s="115"/>
      <c r="N551" s="115"/>
      <c r="O551" s="115"/>
      <c r="P551" s="116"/>
      <c r="Q551" s="18">
        <f>IF(A34taxstdlife="n/a","n/a",IF(Q$3&gt;(A34taxstdlife+$E551),('RFM input'!$P$94-'RFM input'!$P$148)-SUM($P551:P551),('RFM input'!$P$94-'RFM input'!$P$148)/A34taxstdlife))</f>
        <v>0</v>
      </c>
      <c r="R551" s="18"/>
      <c r="S551" s="74"/>
      <c r="T551" s="74"/>
      <c r="U551" s="74"/>
      <c r="V551" s="74"/>
      <c r="W551" s="74"/>
      <c r="X551" s="74"/>
      <c r="Y551" s="74"/>
      <c r="Z551" s="74"/>
      <c r="AA551" s="152"/>
    </row>
    <row r="552" spans="1:27" ht="12.75" hidden="1" customHeight="1" outlineLevel="2">
      <c r="A552" s="3"/>
      <c r="B552" s="3"/>
      <c r="C552" s="16"/>
      <c r="D552" s="1594"/>
      <c r="E552" s="62">
        <v>10</v>
      </c>
      <c r="F552" s="17"/>
      <c r="G552" s="17"/>
      <c r="H552" s="1414"/>
      <c r="I552" s="1414"/>
      <c r="J552" s="115"/>
      <c r="K552" s="115"/>
      <c r="L552" s="115"/>
      <c r="M552" s="115"/>
      <c r="N552" s="115"/>
      <c r="O552" s="115"/>
      <c r="P552" s="115"/>
      <c r="Q552" s="116"/>
      <c r="R552" s="18"/>
      <c r="S552" s="74"/>
      <c r="T552" s="74"/>
      <c r="U552" s="74"/>
      <c r="V552" s="74"/>
      <c r="W552" s="74"/>
      <c r="X552" s="74"/>
      <c r="Y552" s="74"/>
      <c r="Z552" s="74"/>
      <c r="AA552" s="152"/>
    </row>
    <row r="553" spans="1:27" hidden="1" outlineLevel="1">
      <c r="A553" s="3"/>
      <c r="B553" s="3"/>
      <c r="C553" s="134">
        <f>Asset34</f>
        <v>0</v>
      </c>
      <c r="D553" s="3"/>
      <c r="E553" s="3"/>
      <c r="F553" s="14"/>
      <c r="G553" s="14"/>
      <c r="H553" s="1460">
        <f>IF('RFM input'!$G$354="Tracked",-1*INDEX('RFM input'!H$358:H$407,MATCH('TAB roll forward'!$C553,'RFM input'!$E$358:$E$407,0)),-SUM(H541:H552))</f>
        <v>0</v>
      </c>
      <c r="I553" s="1460">
        <f>IF('RFM input'!$G$354="Tracked",-1*INDEX('RFM input'!I$358:I$407,MATCH('TAB roll forward'!$C553,'RFM input'!$E$358:$E$407,0)),-SUM(I541:I552))</f>
        <v>0</v>
      </c>
      <c r="J553" s="1460">
        <f>IF(COUNT($H553:I553)&gt;='RFM input'!$V$7,0,IF('RFM input'!$G$354="Tracked",-1*INDEX('RFM input'!J$358:J$407,MATCH('TAB roll forward'!$C553,'RFM input'!$E$358:$E$407,0)),-SUM(J541:J552)))</f>
        <v>0</v>
      </c>
      <c r="K553" s="1460">
        <f>IF(COUNT($H553:J553)&gt;='RFM input'!$V$7,0,IF('RFM input'!$G$354="Tracked",-1*INDEX('RFM input'!K$358:K$407,MATCH('TAB roll forward'!$C553,'RFM input'!$E$358:$E$407,0)),-SUM(K541:K552)))</f>
        <v>0</v>
      </c>
      <c r="L553" s="1460">
        <f>IF(COUNT($H553:K553)&gt;='RFM input'!$V$7,0,IF('RFM input'!$G$354="Tracked",-1*INDEX('RFM input'!L$358:L$407,MATCH('TAB roll forward'!$C553,'RFM input'!$E$358:$E$407,0)),-SUM(L541:L552)))</f>
        <v>0</v>
      </c>
      <c r="M553" s="1460">
        <f>IF(COUNT($H553:L553)&gt;='RFM input'!$V$7,0,IF('RFM input'!$G$354="Tracked",-1*INDEX('RFM input'!M$358:M$407,MATCH('TAB roll forward'!$C553,'RFM input'!$E$358:$E$407,0)),-SUM(M541:M552)))</f>
        <v>0</v>
      </c>
      <c r="N553" s="1460">
        <f>IF(COUNT($H553:M553)&gt;='RFM input'!$V$7,0,IF('RFM input'!$G$354="Tracked",-1*INDEX('RFM input'!N$358:N$407,MATCH('TAB roll forward'!$C553,'RFM input'!$E$358:$E$407,0)),-SUM(N541:N552)))</f>
        <v>0</v>
      </c>
      <c r="O553" s="1460">
        <f>IF(COUNT($H553:N553)&gt;='RFM input'!$V$7,0,IF('RFM input'!$G$354="Tracked",-1*INDEX('RFM input'!O$358:O$407,MATCH('TAB roll forward'!$C553,'RFM input'!$E$358:$E$407,0)),-SUM(O541:O552)))</f>
        <v>0</v>
      </c>
      <c r="P553" s="1460">
        <f>IF(COUNT($H553:O553)&gt;='RFM input'!$V$7,0,IF('RFM input'!$G$354="Tracked",-1*INDEX('RFM input'!P$358:P$407,MATCH('TAB roll forward'!$C553,'RFM input'!$E$358:$E$407,0)),-SUM(P541:P552)))</f>
        <v>0</v>
      </c>
      <c r="Q553" s="1460">
        <f>IF(COUNT($H553:P553)&gt;='RFM input'!$V$7,0,IF('RFM input'!$G$354="Tracked",-1*INDEX('RFM input'!Q$358:Q$407,MATCH('TAB roll forward'!$C553,'RFM input'!$E$358:$E$407,0)),-SUM(Q541:Q552)))</f>
        <v>0</v>
      </c>
      <c r="R553" s="1382"/>
      <c r="S553" s="73"/>
      <c r="T553" s="73"/>
      <c r="U553" s="73"/>
      <c r="V553" s="73"/>
      <c r="W553" s="73"/>
      <c r="X553" s="73"/>
      <c r="Y553" s="73"/>
      <c r="Z553" s="73"/>
      <c r="AA553" s="152"/>
    </row>
    <row r="554" spans="1:27" ht="12.75" hidden="1" customHeight="1" outlineLevel="2">
      <c r="A554" s="3"/>
      <c r="B554" s="135">
        <f>Asset35</f>
        <v>0</v>
      </c>
      <c r="C554" s="19"/>
      <c r="D554" s="234" t="s">
        <v>119</v>
      </c>
      <c r="E554" s="19"/>
      <c r="F554" s="148"/>
      <c r="G554" s="148"/>
      <c r="H554" s="21">
        <f>IF(H$3&gt;A35taxremlife,A35taxvalue-SUM($F554:F554),IF(A35taxremlife="N/A","n/a",A35taxvalue/A35taxremlife))</f>
        <v>0</v>
      </c>
      <c r="I554" s="21">
        <f>IF(I$3&gt;A35taxremlife,A35taxvalue-SUM($F554:H554),IF(A35taxremlife="N/A","n/a",A35taxvalue/A35taxremlife))</f>
        <v>0</v>
      </c>
      <c r="J554" s="1380">
        <f>IF(J$3&gt;A35taxremlife,A35taxvalue-SUM($F554:I554),IF(A35taxremlife="N/A","n/a",A35taxvalue/A35taxremlife))</f>
        <v>0</v>
      </c>
      <c r="K554" s="1380">
        <f>IF(K$3&gt;A35taxremlife,A35taxvalue-SUM($F554:J554),IF(A35taxremlife="N/A","n/a",A35taxvalue/A35taxremlife))</f>
        <v>0</v>
      </c>
      <c r="L554" s="1380">
        <f>IF(L$3&gt;A35taxremlife,A35taxvalue-SUM($F554:K554),IF(A35taxremlife="N/A","n/a",A35taxvalue/A35taxremlife))</f>
        <v>0</v>
      </c>
      <c r="M554" s="21">
        <f>IF(M$3&gt;A35taxremlife,A35taxvalue-SUM($F554:L554),IF(A35taxremlife="N/A","n/a",A35taxvalue/A35taxremlife))</f>
        <v>0</v>
      </c>
      <c r="N554" s="21">
        <f>IF(N$3&gt;A35taxremlife,A35taxvalue-SUM($F554:M554),IF(A35taxremlife="N/A","n/a",A35taxvalue/A35taxremlife))</f>
        <v>0</v>
      </c>
      <c r="O554" s="21">
        <f>IF(O$3&gt;A35taxremlife,A35taxvalue-SUM($F554:N554),IF(A35taxremlife="N/A","n/a",A35taxvalue/A35taxremlife))</f>
        <v>0</v>
      </c>
      <c r="P554" s="21">
        <f>IF(P$3&gt;A35taxremlife,A35taxvalue-SUM($F554:O554),IF(A35taxremlife="N/A","n/a",A35taxvalue/A35taxremlife))</f>
        <v>0</v>
      </c>
      <c r="Q554" s="21">
        <f>IF(Q$3&gt;A35taxremlife,A35taxvalue-SUM($F554:P554),IF(A35taxremlife="N/A","n/a",A35taxvalue/A35taxremlife))</f>
        <v>0</v>
      </c>
      <c r="R554" s="21"/>
      <c r="S554" s="74"/>
      <c r="T554" s="74"/>
      <c r="U554" s="74"/>
      <c r="V554" s="74"/>
      <c r="W554" s="74"/>
      <c r="X554" s="74"/>
      <c r="Y554" s="74"/>
      <c r="Z554" s="74"/>
      <c r="AA554" s="152"/>
    </row>
    <row r="555" spans="1:27" ht="12.75" hidden="1" customHeight="1" outlineLevel="2">
      <c r="A555" s="3"/>
      <c r="B555" s="3"/>
      <c r="C555" s="16"/>
      <c r="D555" s="1593" t="s">
        <v>43</v>
      </c>
      <c r="E555" s="61"/>
      <c r="F555" s="17"/>
      <c r="G555" s="17"/>
      <c r="H555" s="1413"/>
      <c r="I555" s="72"/>
      <c r="J555" s="18"/>
      <c r="K555" s="18"/>
      <c r="L555" s="18"/>
      <c r="M555" s="18"/>
      <c r="N555" s="18"/>
      <c r="O555" s="18"/>
      <c r="P555" s="18"/>
      <c r="Q555" s="18"/>
      <c r="R555" s="18"/>
      <c r="S555" s="74"/>
      <c r="T555" s="74"/>
      <c r="U555" s="74"/>
      <c r="V555" s="74"/>
      <c r="W555" s="74"/>
      <c r="X555" s="74"/>
      <c r="Y555" s="74"/>
      <c r="Z555" s="74"/>
      <c r="AA555" s="152"/>
    </row>
    <row r="556" spans="1:27" ht="12.75" hidden="1" customHeight="1" outlineLevel="2">
      <c r="A556" s="3"/>
      <c r="B556" s="3"/>
      <c r="C556" s="16"/>
      <c r="D556" s="1594"/>
      <c r="E556" s="61">
        <v>1</v>
      </c>
      <c r="F556" s="17"/>
      <c r="G556" s="17"/>
      <c r="H556" s="1414"/>
      <c r="I556" s="1415">
        <f>IF(A35taxstdlife="n/a","n/a",IF(I$3&gt;(A35taxstdlife+$E556),('RFM input'!$H$95-'RFM input'!$H$149)-SUM($H556:H556),('RFM input'!$H$95-'RFM input'!$H$149)/A35taxstdlife))</f>
        <v>0</v>
      </c>
      <c r="J556" s="18">
        <f>IF(A35taxstdlife="n/a","n/a",IF(J$3&gt;(A35taxstdlife+$E556),('RFM input'!$H$95-'RFM input'!$H$149)-SUM($H556:I556),('RFM input'!$H$95-'RFM input'!$H$149)/A35taxstdlife))</f>
        <v>0</v>
      </c>
      <c r="K556" s="18">
        <f>IF(A35taxstdlife="n/a","n/a",IF(K$3&gt;(A35taxstdlife+$E556),('RFM input'!$H$95-'RFM input'!$H$149)-SUM($H556:J556),('RFM input'!$H$95-'RFM input'!$H$149)/A35taxstdlife))</f>
        <v>0</v>
      </c>
      <c r="L556" s="18">
        <f>IF(A35taxstdlife="n/a","n/a",IF(L$3&gt;(A35taxstdlife+$E556),('RFM input'!$H$95-'RFM input'!$H$149)-SUM($H556:K556),('RFM input'!$H$95-'RFM input'!$H$149)/A35taxstdlife))</f>
        <v>0</v>
      </c>
      <c r="M556" s="18">
        <f>IF(A35taxstdlife="n/a","n/a",IF(M$3&gt;(A35taxstdlife+$E556),('RFM input'!$H$95-'RFM input'!$H$149)-SUM($H556:L556),('RFM input'!$H$95-'RFM input'!$H$149)/A35taxstdlife))</f>
        <v>0</v>
      </c>
      <c r="N556" s="18">
        <f>IF(A35taxstdlife="n/a","n/a",IF(N$3&gt;(A35taxstdlife+$E556),('RFM input'!$H$95-'RFM input'!$H$149)-SUM($H556:M556),('RFM input'!$H$95-'RFM input'!$H$149)/A35taxstdlife))</f>
        <v>0</v>
      </c>
      <c r="O556" s="18">
        <f>IF(A35taxstdlife="n/a","n/a",IF(O$3&gt;(A35taxstdlife+$E556),('RFM input'!$H$95-'RFM input'!$H$149)-SUM($H556:N556),('RFM input'!$H$95-'RFM input'!$H$149)/A35taxstdlife))</f>
        <v>0</v>
      </c>
      <c r="P556" s="18">
        <f>IF(A35taxstdlife="n/a","n/a",IF(P$3&gt;(A35taxstdlife+$E556),('RFM input'!$H$95-'RFM input'!$H$149)-SUM($H556:O556),('RFM input'!$H$95-'RFM input'!$H$149)/A35taxstdlife))</f>
        <v>0</v>
      </c>
      <c r="Q556" s="18">
        <f>IF(A35taxstdlife="n/a","n/a",IF(Q$3&gt;(A35taxstdlife+$E556),('RFM input'!$H$95-'RFM input'!$H$149)-SUM($H556:P556),('RFM input'!$H$95-'RFM input'!$H$149)/A35taxstdlife))</f>
        <v>0</v>
      </c>
      <c r="R556" s="18"/>
      <c r="S556" s="74"/>
      <c r="T556" s="74"/>
      <c r="U556" s="74"/>
      <c r="V556" s="74"/>
      <c r="W556" s="74"/>
      <c r="X556" s="74"/>
      <c r="Y556" s="74"/>
      <c r="Z556" s="74"/>
      <c r="AA556" s="152"/>
    </row>
    <row r="557" spans="1:27" ht="12.75" hidden="1" customHeight="1" outlineLevel="2">
      <c r="A557" s="3"/>
      <c r="B557" s="3"/>
      <c r="C557" s="16"/>
      <c r="D557" s="1594"/>
      <c r="E557" s="61">
        <v>2</v>
      </c>
      <c r="F557" s="17"/>
      <c r="G557" s="17"/>
      <c r="H557" s="1414"/>
      <c r="I557" s="1414"/>
      <c r="J557" s="18">
        <f>IF(A35taxstdlife="n/a","n/a",IF(J$3&gt;(A35taxstdlife+$E557),('RFM input'!$I$95-'RFM input'!$I$149)-SUM($I557:I557),('RFM input'!$I$95-'RFM input'!$I$149)/A35taxstdlife))</f>
        <v>0</v>
      </c>
      <c r="K557" s="18">
        <f>IF(A35taxstdlife="n/a","n/a",IF(K$3&gt;(A35taxstdlife+$E557),('RFM input'!$I$95-'RFM input'!$I$149)-SUM($I557:J557),('RFM input'!$I$95-'RFM input'!$I$149)/A35taxstdlife))</f>
        <v>0</v>
      </c>
      <c r="L557" s="18">
        <f>IF(A35taxstdlife="n/a","n/a",IF(L$3&gt;(A35taxstdlife+$E557),('RFM input'!$I$95-'RFM input'!$I$149)-SUM($I557:K557),('RFM input'!$I$95-'RFM input'!$I$149)/A35taxstdlife))</f>
        <v>0</v>
      </c>
      <c r="M557" s="18">
        <f>IF(A35taxstdlife="n/a","n/a",IF(M$3&gt;(A35taxstdlife+$E557),('RFM input'!$I$95-'RFM input'!$I$149)-SUM($I557:L557),('RFM input'!$I$95-'RFM input'!$I$149)/A35taxstdlife))</f>
        <v>0</v>
      </c>
      <c r="N557" s="18">
        <f>IF(A35taxstdlife="n/a","n/a",IF(N$3&gt;(A35taxstdlife+$E557),('RFM input'!$I$95-'RFM input'!$I$149)-SUM($I557:M557),('RFM input'!$I$95-'RFM input'!$I$149)/A35taxstdlife))</f>
        <v>0</v>
      </c>
      <c r="O557" s="18">
        <f>IF(A35taxstdlife="n/a","n/a",IF(O$3&gt;(A35taxstdlife+$E557),('RFM input'!$I$95-'RFM input'!$I$149)-SUM($I557:N557),('RFM input'!$I$95-'RFM input'!$I$149)/A35taxstdlife))</f>
        <v>0</v>
      </c>
      <c r="P557" s="18">
        <f>IF(A35taxstdlife="n/a","n/a",IF(P$3&gt;(A35taxstdlife+$E557),('RFM input'!$I$95-'RFM input'!$I$149)-SUM($I557:O557),('RFM input'!$I$95-'RFM input'!$I$149)/A35taxstdlife))</f>
        <v>0</v>
      </c>
      <c r="Q557" s="18">
        <f>IF(A35taxstdlife="n/a","n/a",IF(Q$3&gt;(A35taxstdlife+$E557),('RFM input'!$I$95-'RFM input'!$I$149)-SUM($I557:P557),('RFM input'!$I$95-'RFM input'!$I$149)/A35taxstdlife))</f>
        <v>0</v>
      </c>
      <c r="R557" s="18"/>
      <c r="S557" s="74"/>
      <c r="T557" s="74"/>
      <c r="U557" s="74"/>
      <c r="V557" s="74"/>
      <c r="W557" s="74"/>
      <c r="X557" s="74"/>
      <c r="Y557" s="74"/>
      <c r="Z557" s="74"/>
      <c r="AA557" s="152"/>
    </row>
    <row r="558" spans="1:27" ht="12.75" hidden="1" customHeight="1" outlineLevel="2">
      <c r="A558" s="3"/>
      <c r="B558" s="3"/>
      <c r="C558" s="16"/>
      <c r="D558" s="1594"/>
      <c r="E558" s="61">
        <v>3</v>
      </c>
      <c r="F558" s="17"/>
      <c r="G558" s="17"/>
      <c r="H558" s="1414"/>
      <c r="I558" s="1414"/>
      <c r="J558" s="116"/>
      <c r="K558" s="18">
        <f>IF(A35taxstdlife="n/a","n/a",IF(K$3&gt;(A35taxstdlife+$E558),('RFM input'!$J$95-'RFM input'!$J$149)-SUM($J558:J558),('RFM input'!$J$95-'RFM input'!$J$149)/A35taxstdlife))</f>
        <v>0</v>
      </c>
      <c r="L558" s="18">
        <f>IF(A35taxstdlife="n/a","n/a",IF(L$3&gt;(A35taxstdlife+$E558),('RFM input'!$J$95-'RFM input'!$J$149)-SUM($J558:K558),('RFM input'!$J$95-'RFM input'!$J$149)/A35taxstdlife))</f>
        <v>0</v>
      </c>
      <c r="M558" s="18">
        <f>IF(A35taxstdlife="n/a","n/a",IF(M$3&gt;(A35taxstdlife+$E558),('RFM input'!$J$95-'RFM input'!$J$149)-SUM($J558:L558),('RFM input'!$J$95-'RFM input'!$J$149)/A35taxstdlife))</f>
        <v>0</v>
      </c>
      <c r="N558" s="18">
        <f>IF(A35taxstdlife="n/a","n/a",IF(N$3&gt;(A35taxstdlife+$E558),('RFM input'!$J$95-'RFM input'!$J$149)-SUM($J558:M558),('RFM input'!$J$95-'RFM input'!$J$149)/A35taxstdlife))</f>
        <v>0</v>
      </c>
      <c r="O558" s="18">
        <f>IF(A35taxstdlife="n/a","n/a",IF(O$3&gt;(A35taxstdlife+$E558),('RFM input'!$J$95-'RFM input'!$J$149)-SUM($J558:N558),('RFM input'!$J$95-'RFM input'!$J$149)/A35taxstdlife))</f>
        <v>0</v>
      </c>
      <c r="P558" s="18">
        <f>IF(A35taxstdlife="n/a","n/a",IF(P$3&gt;(A35taxstdlife+$E558),('RFM input'!$J$95-'RFM input'!$J$149)-SUM($J558:O558),('RFM input'!$J$95-'RFM input'!$J$149)/A35taxstdlife))</f>
        <v>0</v>
      </c>
      <c r="Q558" s="18">
        <f>IF(A35taxstdlife="n/a","n/a",IF(Q$3&gt;(A35taxstdlife+$E558),('RFM input'!$J$95-'RFM input'!$J$149)-SUM($J558:P558),('RFM input'!$J$95-'RFM input'!$J$149)/A35taxstdlife))</f>
        <v>0</v>
      </c>
      <c r="R558" s="18"/>
      <c r="S558" s="74"/>
      <c r="T558" s="74"/>
      <c r="U558" s="74"/>
      <c r="V558" s="74"/>
      <c r="W558" s="74"/>
      <c r="X558" s="74"/>
      <c r="Y558" s="74"/>
      <c r="Z558" s="74"/>
      <c r="AA558" s="152"/>
    </row>
    <row r="559" spans="1:27" ht="12.75" hidden="1" customHeight="1" outlineLevel="2">
      <c r="A559" s="3"/>
      <c r="B559" s="3"/>
      <c r="C559" s="16"/>
      <c r="D559" s="1594"/>
      <c r="E559" s="61">
        <v>4</v>
      </c>
      <c r="F559" s="17"/>
      <c r="G559" s="17"/>
      <c r="H559" s="1414"/>
      <c r="I559" s="1414"/>
      <c r="J559" s="115"/>
      <c r="K559" s="116"/>
      <c r="L559" s="18">
        <f>IF(A35taxstdlife="n/a","n/a",IF(L$3&gt;(A35taxstdlife+$E559),('RFM input'!$K$95-'RFM input'!$K$149)-SUM($K559:K559),('RFM input'!$K$95-'RFM input'!$K$149)/A35taxstdlife))</f>
        <v>0</v>
      </c>
      <c r="M559" s="18">
        <f>IF(A35taxstdlife="n/a","n/a",IF(M$3&gt;(A35taxstdlife+$E559),('RFM input'!$K$95-'RFM input'!$K$149)-SUM($K559:L559),('RFM input'!$K$95-'RFM input'!$K$149)/A35taxstdlife))</f>
        <v>0</v>
      </c>
      <c r="N559" s="18">
        <f>IF(A35taxstdlife="n/a","n/a",IF(N$3&gt;(A35taxstdlife+$E559),('RFM input'!$K$95-'RFM input'!$K$149)-SUM($K559:M559),('RFM input'!$K$95-'RFM input'!$K$149)/A35taxstdlife))</f>
        <v>0</v>
      </c>
      <c r="O559" s="18">
        <f>IF(A35taxstdlife="n/a","n/a",IF(O$3&gt;(A35taxstdlife+$E559),('RFM input'!$K$95-'RFM input'!$K$149)-SUM($K559:N559),('RFM input'!$K$95-'RFM input'!$K$149)/A35taxstdlife))</f>
        <v>0</v>
      </c>
      <c r="P559" s="18">
        <f>IF(A35taxstdlife="n/a","n/a",IF(P$3&gt;(A35taxstdlife+$E559),('RFM input'!$K$95-'RFM input'!$K$149)-SUM($K559:O559),('RFM input'!$K$95-'RFM input'!$K$149)/A35taxstdlife))</f>
        <v>0</v>
      </c>
      <c r="Q559" s="18">
        <f>IF(A35taxstdlife="n/a","n/a",IF(Q$3&gt;(A35taxstdlife+$E559),('RFM input'!$K$95-'RFM input'!$K$149)-SUM($K559:P559),('RFM input'!$K$95-'RFM input'!$K$149)/A35taxstdlife))</f>
        <v>0</v>
      </c>
      <c r="R559" s="18"/>
      <c r="S559" s="74"/>
      <c r="T559" s="74"/>
      <c r="U559" s="74"/>
      <c r="V559" s="74"/>
      <c r="W559" s="74"/>
      <c r="X559" s="74"/>
      <c r="Y559" s="74"/>
      <c r="Z559" s="74"/>
      <c r="AA559" s="152"/>
    </row>
    <row r="560" spans="1:27" ht="12.75" hidden="1" customHeight="1" outlineLevel="2">
      <c r="A560" s="3"/>
      <c r="B560" s="3"/>
      <c r="C560" s="16"/>
      <c r="D560" s="1594"/>
      <c r="E560" s="61">
        <v>5</v>
      </c>
      <c r="F560" s="17"/>
      <c r="G560" s="17"/>
      <c r="H560" s="1414"/>
      <c r="I560" s="1414"/>
      <c r="J560" s="115"/>
      <c r="K560" s="115"/>
      <c r="L560" s="116"/>
      <c r="M560" s="18">
        <f>IF(A35taxstdlife="n/a","n/a",IF(M$3&gt;(A35taxstdlife+$E560),('RFM input'!$L$95-'RFM input'!$L$149)-SUM($L560:L560),('RFM input'!$L$95-'RFM input'!$L$149)/A35taxstdlife))</f>
        <v>0</v>
      </c>
      <c r="N560" s="18">
        <f>IF(A35taxstdlife="n/a","n/a",IF(N$3&gt;(A35taxstdlife+$E560),('RFM input'!$L$95-'RFM input'!$L$149)-SUM($L560:M560),('RFM input'!$L$95-'RFM input'!$L$149)/A35taxstdlife))</f>
        <v>0</v>
      </c>
      <c r="O560" s="18">
        <f>IF(A35taxstdlife="n/a","n/a",IF(O$3&gt;(A35taxstdlife+$E560),('RFM input'!$L$95-'RFM input'!$L$149)-SUM($L560:N560),('RFM input'!$L$95-'RFM input'!$L$149)/A35taxstdlife))</f>
        <v>0</v>
      </c>
      <c r="P560" s="18">
        <f>IF(A35taxstdlife="n/a","n/a",IF(P$3&gt;(A35taxstdlife+$E560),('RFM input'!$L$95-'RFM input'!$L$149)-SUM($L560:O560),('RFM input'!$L$95-'RFM input'!$L$149)/A35taxstdlife))</f>
        <v>0</v>
      </c>
      <c r="Q560" s="18">
        <f>IF(A35taxstdlife="n/a","n/a",IF(Q$3&gt;(A35taxstdlife+$E560),('RFM input'!$L$95-'RFM input'!$L$149)-SUM($L560:P560),('RFM input'!$L$95-'RFM input'!$L$149)/A35taxstdlife))</f>
        <v>0</v>
      </c>
      <c r="R560" s="18"/>
      <c r="S560" s="74"/>
      <c r="T560" s="74"/>
      <c r="U560" s="74"/>
      <c r="V560" s="74"/>
      <c r="W560" s="74"/>
      <c r="X560" s="74"/>
      <c r="Y560" s="74"/>
      <c r="Z560" s="74"/>
      <c r="AA560" s="152"/>
    </row>
    <row r="561" spans="1:27" ht="12.75" hidden="1" customHeight="1" outlineLevel="2">
      <c r="A561" s="3"/>
      <c r="B561" s="3"/>
      <c r="C561" s="16"/>
      <c r="D561" s="1594"/>
      <c r="E561" s="61">
        <v>6</v>
      </c>
      <c r="F561" s="17"/>
      <c r="G561" s="17"/>
      <c r="H561" s="1414"/>
      <c r="I561" s="1414"/>
      <c r="J561" s="115"/>
      <c r="K561" s="115"/>
      <c r="L561" s="115"/>
      <c r="M561" s="116"/>
      <c r="N561" s="18">
        <f>IF(A35taxstdlife="n/a","n/a",IF(N$3&gt;(A35taxstdlife+$E561),('RFM input'!$M$95-'RFM input'!$M$149)-SUM($M561:M561),('RFM input'!$M$95-'RFM input'!$M$149)/A35taxstdlife))</f>
        <v>0</v>
      </c>
      <c r="O561" s="18">
        <f>IF(A35taxstdlife="n/a","n/a",IF(O$3&gt;(A35taxstdlife+$E561),('RFM input'!$M$95-'RFM input'!$M$149)-SUM($M561:N561),('RFM input'!$M$95-'RFM input'!$M$149)/A35taxstdlife))</f>
        <v>0</v>
      </c>
      <c r="P561" s="18">
        <f>IF(A35taxstdlife="n/a","n/a",IF(P$3&gt;(A35taxstdlife+$E561),('RFM input'!$M$95-'RFM input'!$M$149)-SUM($M561:O561),('RFM input'!$M$95-'RFM input'!$M$149)/A35taxstdlife))</f>
        <v>0</v>
      </c>
      <c r="Q561" s="18">
        <f>IF(A35taxstdlife="n/a","n/a",IF(Q$3&gt;(A35taxstdlife+$E561),('RFM input'!$M$95-'RFM input'!$M$149)-SUM($M561:P561),('RFM input'!$M$95-'RFM input'!$M$149)/A35taxstdlife))</f>
        <v>0</v>
      </c>
      <c r="R561" s="18"/>
      <c r="S561" s="74"/>
      <c r="T561" s="74"/>
      <c r="U561" s="74"/>
      <c r="V561" s="74"/>
      <c r="W561" s="74"/>
      <c r="X561" s="74"/>
      <c r="Y561" s="74"/>
      <c r="Z561" s="74"/>
      <c r="AA561" s="152"/>
    </row>
    <row r="562" spans="1:27" ht="12.75" hidden="1" customHeight="1" outlineLevel="2">
      <c r="A562" s="3"/>
      <c r="B562" s="3"/>
      <c r="C562" s="16"/>
      <c r="D562" s="1594"/>
      <c r="E562" s="61">
        <v>7</v>
      </c>
      <c r="F562" s="17"/>
      <c r="G562" s="17"/>
      <c r="H562" s="1414"/>
      <c r="I562" s="1414"/>
      <c r="J562" s="115"/>
      <c r="K562" s="115"/>
      <c r="L562" s="115"/>
      <c r="M562" s="115"/>
      <c r="N562" s="116"/>
      <c r="O562" s="18">
        <f>IF(A35taxstdlife="n/a","n/a",IF(O$3&gt;(A35taxstdlife+$E562),('RFM input'!$N$95-'RFM input'!$N$149)-SUM($N562:N562),('RFM input'!$N$95-'RFM input'!$N$149)/A35taxstdlife))</f>
        <v>0</v>
      </c>
      <c r="P562" s="18">
        <f>IF(A35taxstdlife="n/a","n/a",IF(P$3&gt;(A35taxstdlife+$E562),('RFM input'!$N$95-'RFM input'!$N$149)-SUM($N562:O562),('RFM input'!$N$95-'RFM input'!$N$149)/A35taxstdlife))</f>
        <v>0</v>
      </c>
      <c r="Q562" s="18">
        <f>IF(A35taxstdlife="n/a","n/a",IF(Q$3&gt;(A35taxstdlife+$E562),('RFM input'!$N$95-'RFM input'!$N$149)-SUM($N562:P562),('RFM input'!$N$95-'RFM input'!$N$149)/A35taxstdlife))</f>
        <v>0</v>
      </c>
      <c r="R562" s="18"/>
      <c r="S562" s="74"/>
      <c r="T562" s="74"/>
      <c r="U562" s="74"/>
      <c r="V562" s="74"/>
      <c r="W562" s="74"/>
      <c r="X562" s="74"/>
      <c r="Y562" s="74"/>
      <c r="Z562" s="74"/>
      <c r="AA562" s="152"/>
    </row>
    <row r="563" spans="1:27" ht="12.75" hidden="1" customHeight="1" outlineLevel="2">
      <c r="A563" s="3"/>
      <c r="B563" s="3"/>
      <c r="C563" s="16"/>
      <c r="D563" s="1594"/>
      <c r="E563" s="61">
        <v>8</v>
      </c>
      <c r="F563" s="17"/>
      <c r="G563" s="17"/>
      <c r="H563" s="1414"/>
      <c r="I563" s="1414"/>
      <c r="J563" s="115"/>
      <c r="K563" s="115"/>
      <c r="L563" s="115"/>
      <c r="M563" s="115"/>
      <c r="N563" s="115"/>
      <c r="O563" s="116"/>
      <c r="P563" s="18">
        <f>IF(A35taxstdlife="n/a","n/a",IF(P$3&gt;(A35taxstdlife+$E563),('RFM input'!$O$95-'RFM input'!$O$149)-SUM($O563:O563),('RFM input'!$O$95-'RFM input'!$O$149)/A35taxstdlife))</f>
        <v>0</v>
      </c>
      <c r="Q563" s="18">
        <f>IF(A35taxstdlife="n/a","n/a",IF(Q$3&gt;(A35taxstdlife+$E563),('RFM input'!$O$95-'RFM input'!$O$149)-SUM($O563:P563),('RFM input'!$O$95-'RFM input'!$O$149)/A35taxstdlife))</f>
        <v>0</v>
      </c>
      <c r="R563" s="18"/>
      <c r="S563" s="74"/>
      <c r="T563" s="74"/>
      <c r="U563" s="74"/>
      <c r="V563" s="74"/>
      <c r="W563" s="74"/>
      <c r="X563" s="74"/>
      <c r="Y563" s="74"/>
      <c r="Z563" s="74"/>
      <c r="AA563" s="152"/>
    </row>
    <row r="564" spans="1:27" ht="12.75" hidden="1" customHeight="1" outlineLevel="2">
      <c r="A564" s="3"/>
      <c r="B564" s="3"/>
      <c r="C564" s="16"/>
      <c r="D564" s="1594"/>
      <c r="E564" s="61">
        <v>9</v>
      </c>
      <c r="F564" s="17"/>
      <c r="G564" s="17"/>
      <c r="H564" s="1414"/>
      <c r="I564" s="1414"/>
      <c r="J564" s="115"/>
      <c r="K564" s="115"/>
      <c r="L564" s="115"/>
      <c r="M564" s="115"/>
      <c r="N564" s="115"/>
      <c r="O564" s="115"/>
      <c r="P564" s="116"/>
      <c r="Q564" s="18">
        <f>IF(A35taxstdlife="n/a","n/a",IF(Q$3&gt;(A35taxstdlife+$E564),('RFM input'!$P$95-'RFM input'!$P$149)-SUM($P564:P564),('RFM input'!$P$95-'RFM input'!$P$149)/A35taxstdlife))</f>
        <v>0</v>
      </c>
      <c r="R564" s="18"/>
      <c r="S564" s="74"/>
      <c r="T564" s="74"/>
      <c r="U564" s="74"/>
      <c r="V564" s="74"/>
      <c r="W564" s="74"/>
      <c r="X564" s="74"/>
      <c r="Y564" s="74"/>
      <c r="Z564" s="74"/>
      <c r="AA564" s="152"/>
    </row>
    <row r="565" spans="1:27" ht="12.75" hidden="1" customHeight="1" outlineLevel="2">
      <c r="A565" s="3"/>
      <c r="B565" s="3"/>
      <c r="C565" s="16"/>
      <c r="D565" s="1594"/>
      <c r="E565" s="62">
        <v>10</v>
      </c>
      <c r="F565" s="17"/>
      <c r="G565" s="17"/>
      <c r="H565" s="1414"/>
      <c r="I565" s="1414"/>
      <c r="J565" s="115"/>
      <c r="K565" s="115"/>
      <c r="L565" s="115"/>
      <c r="M565" s="115"/>
      <c r="N565" s="115"/>
      <c r="O565" s="115"/>
      <c r="P565" s="115"/>
      <c r="Q565" s="116"/>
      <c r="R565" s="18"/>
      <c r="S565" s="74"/>
      <c r="T565" s="74"/>
      <c r="U565" s="74"/>
      <c r="V565" s="74"/>
      <c r="W565" s="74"/>
      <c r="X565" s="74"/>
      <c r="Y565" s="74"/>
      <c r="Z565" s="74"/>
      <c r="AA565" s="152"/>
    </row>
    <row r="566" spans="1:27" hidden="1" outlineLevel="1">
      <c r="A566" s="3"/>
      <c r="B566" s="3"/>
      <c r="C566" s="134">
        <f>Asset35</f>
        <v>0</v>
      </c>
      <c r="D566" s="3"/>
      <c r="E566" s="3"/>
      <c r="F566" s="14"/>
      <c r="G566" s="14"/>
      <c r="H566" s="1460">
        <f>IF('RFM input'!$G$354="Tracked",-1*INDEX('RFM input'!H$358:H$407,MATCH('TAB roll forward'!$C566,'RFM input'!$E$358:$E$407,0)),-SUM(H554:H565))</f>
        <v>0</v>
      </c>
      <c r="I566" s="1460">
        <f>IF('RFM input'!$G$354="Tracked",-1*INDEX('RFM input'!I$358:I$407,MATCH('TAB roll forward'!$C566,'RFM input'!$E$358:$E$407,0)),-SUM(I554:I565))</f>
        <v>0</v>
      </c>
      <c r="J566" s="1460">
        <f>IF(COUNT($H566:I566)&gt;='RFM input'!$V$7,0,IF('RFM input'!$G$354="Tracked",-1*INDEX('RFM input'!J$358:J$407,MATCH('TAB roll forward'!$C566,'RFM input'!$E$358:$E$407,0)),-SUM(J554:J565)))</f>
        <v>0</v>
      </c>
      <c r="K566" s="1460">
        <f>IF(COUNT($H566:J566)&gt;='RFM input'!$V$7,0,IF('RFM input'!$G$354="Tracked",-1*INDEX('RFM input'!K$358:K$407,MATCH('TAB roll forward'!$C566,'RFM input'!$E$358:$E$407,0)),-SUM(K554:K565)))</f>
        <v>0</v>
      </c>
      <c r="L566" s="1460">
        <f>IF(COUNT($H566:K566)&gt;='RFM input'!$V$7,0,IF('RFM input'!$G$354="Tracked",-1*INDEX('RFM input'!L$358:L$407,MATCH('TAB roll forward'!$C566,'RFM input'!$E$358:$E$407,0)),-SUM(L554:L565)))</f>
        <v>0</v>
      </c>
      <c r="M566" s="1460">
        <f>IF(COUNT($H566:L566)&gt;='RFM input'!$V$7,0,IF('RFM input'!$G$354="Tracked",-1*INDEX('RFM input'!M$358:M$407,MATCH('TAB roll forward'!$C566,'RFM input'!$E$358:$E$407,0)),-SUM(M554:M565)))</f>
        <v>0</v>
      </c>
      <c r="N566" s="1460">
        <f>IF(COUNT($H566:M566)&gt;='RFM input'!$V$7,0,IF('RFM input'!$G$354="Tracked",-1*INDEX('RFM input'!N$358:N$407,MATCH('TAB roll forward'!$C566,'RFM input'!$E$358:$E$407,0)),-SUM(N554:N565)))</f>
        <v>0</v>
      </c>
      <c r="O566" s="1460">
        <f>IF(COUNT($H566:N566)&gt;='RFM input'!$V$7,0,IF('RFM input'!$G$354="Tracked",-1*INDEX('RFM input'!O$358:O$407,MATCH('TAB roll forward'!$C566,'RFM input'!$E$358:$E$407,0)),-SUM(O554:O565)))</f>
        <v>0</v>
      </c>
      <c r="P566" s="1460">
        <f>IF(COUNT($H566:O566)&gt;='RFM input'!$V$7,0,IF('RFM input'!$G$354="Tracked",-1*INDEX('RFM input'!P$358:P$407,MATCH('TAB roll forward'!$C566,'RFM input'!$E$358:$E$407,0)),-SUM(P554:P565)))</f>
        <v>0</v>
      </c>
      <c r="Q566" s="1460">
        <f>IF(COUNT($H566:P566)&gt;='RFM input'!$V$7,0,IF('RFM input'!$G$354="Tracked",-1*INDEX('RFM input'!Q$358:Q$407,MATCH('TAB roll forward'!$C566,'RFM input'!$E$358:$E$407,0)),-SUM(Q554:Q565)))</f>
        <v>0</v>
      </c>
      <c r="R566" s="1382"/>
      <c r="S566" s="73"/>
      <c r="T566" s="73"/>
      <c r="U566" s="73"/>
      <c r="V566" s="73"/>
      <c r="W566" s="73"/>
      <c r="X566" s="73"/>
      <c r="Y566" s="73"/>
      <c r="Z566" s="73"/>
      <c r="AA566" s="152"/>
    </row>
    <row r="567" spans="1:27" ht="12.75" hidden="1" customHeight="1" outlineLevel="2">
      <c r="A567" s="3"/>
      <c r="B567" s="135">
        <f>Asset36</f>
        <v>0</v>
      </c>
      <c r="C567" s="19"/>
      <c r="D567" s="234" t="s">
        <v>119</v>
      </c>
      <c r="E567" s="19"/>
      <c r="F567" s="148"/>
      <c r="G567" s="148"/>
      <c r="H567" s="21">
        <f>IF(H$3&gt;A36taxremlife,A36taxvalue-SUM($F567:F567),IF(A36taxremlife="N/A","n/a",A36taxvalue/A36taxremlife))</f>
        <v>0</v>
      </c>
      <c r="I567" s="21">
        <f>IF(I$3&gt;A36taxremlife,A36taxvalue-SUM($F567:H567),IF(A36taxremlife="N/A","n/a",A36taxvalue/A36taxremlife))</f>
        <v>0</v>
      </c>
      <c r="J567" s="21">
        <f>IF(J$3&gt;A36taxremlife,A36taxvalue-SUM($F567:I567),IF(A36taxremlife="N/A","n/a",A36taxvalue/A36taxremlife))</f>
        <v>0</v>
      </c>
      <c r="K567" s="21">
        <f>IF(K$3&gt;A36taxremlife,A36taxvalue-SUM($F567:J567),IF(A36taxremlife="N/A","n/a",A36taxvalue/A36taxremlife))</f>
        <v>0</v>
      </c>
      <c r="L567" s="21">
        <f>IF(L$3&gt;A36taxremlife,A36taxvalue-SUM($F567:K567),IF(A36taxremlife="N/A","n/a",A36taxvalue/A36taxremlife))</f>
        <v>0</v>
      </c>
      <c r="M567" s="21">
        <f>IF(M$3&gt;A36taxremlife,A36taxvalue-SUM($F567:L567),IF(A36taxremlife="N/A","n/a",A36taxvalue/A36taxremlife))</f>
        <v>0</v>
      </c>
      <c r="N567" s="21">
        <f>IF(N$3&gt;A36taxremlife,A36taxvalue-SUM($F567:M567),IF(A36taxremlife="N/A","n/a",A36taxvalue/A36taxremlife))</f>
        <v>0</v>
      </c>
      <c r="O567" s="21">
        <f>IF(O$3&gt;A36taxremlife,A36taxvalue-SUM($F567:N567),IF(A36taxremlife="N/A","n/a",A36taxvalue/A36taxremlife))</f>
        <v>0</v>
      </c>
      <c r="P567" s="21">
        <f>IF(P$3&gt;A36taxremlife,A36taxvalue-SUM($F567:O567),IF(A36taxremlife="N/A","n/a",A36taxvalue/A36taxremlife))</f>
        <v>0</v>
      </c>
      <c r="Q567" s="21">
        <f>IF(Q$3&gt;A36taxremlife,A36taxvalue-SUM($F567:P567),IF(A36taxremlife="N/A","n/a",A36taxvalue/A36taxremlife))</f>
        <v>0</v>
      </c>
      <c r="R567" s="21"/>
      <c r="S567" s="74"/>
      <c r="T567" s="74"/>
      <c r="U567" s="74"/>
      <c r="V567" s="74"/>
      <c r="W567" s="74"/>
      <c r="X567" s="74"/>
      <c r="Y567" s="74"/>
      <c r="Z567" s="74"/>
      <c r="AA567" s="152"/>
    </row>
    <row r="568" spans="1:27" ht="12.75" hidden="1" customHeight="1" outlineLevel="2">
      <c r="A568" s="3"/>
      <c r="B568" s="3"/>
      <c r="C568" s="16"/>
      <c r="D568" s="1593" t="s">
        <v>43</v>
      </c>
      <c r="E568" s="61"/>
      <c r="F568" s="17"/>
      <c r="G568" s="17"/>
      <c r="H568" s="1413"/>
      <c r="I568" s="72"/>
      <c r="J568" s="18"/>
      <c r="K568" s="18"/>
      <c r="L568" s="18"/>
      <c r="M568" s="18"/>
      <c r="N568" s="18"/>
      <c r="O568" s="18"/>
      <c r="P568" s="18"/>
      <c r="Q568" s="18"/>
      <c r="R568" s="18"/>
      <c r="S568" s="74"/>
      <c r="T568" s="74"/>
      <c r="U568" s="74"/>
      <c r="V568" s="74"/>
      <c r="W568" s="74"/>
      <c r="X568" s="74"/>
      <c r="Y568" s="74"/>
      <c r="Z568" s="74"/>
      <c r="AA568" s="152"/>
    </row>
    <row r="569" spans="1:27" ht="12.75" hidden="1" customHeight="1" outlineLevel="2">
      <c r="A569" s="3"/>
      <c r="B569" s="3"/>
      <c r="C569" s="16"/>
      <c r="D569" s="1594"/>
      <c r="E569" s="61">
        <v>1</v>
      </c>
      <c r="F569" s="17"/>
      <c r="G569" s="17"/>
      <c r="H569" s="1414"/>
      <c r="I569" s="1415">
        <f>IF(A36taxstdlife="n/a","n/a",IF(I$3&gt;(A36taxstdlife+$E569),('RFM input'!$H$96-'RFM input'!$H$150)-SUM($H569:H569),('RFM input'!$H$96-'RFM input'!$H$150)/A36taxstdlife))</f>
        <v>0</v>
      </c>
      <c r="J569" s="18">
        <f>IF(A36taxstdlife="n/a","n/a",IF(J$3&gt;(A36taxstdlife+$E569),('RFM input'!$H$96-'RFM input'!$H$150)-SUM($H569:I569),('RFM input'!$H$96-'RFM input'!$H$150)/A36taxstdlife))</f>
        <v>0</v>
      </c>
      <c r="K569" s="18">
        <f>IF(A36taxstdlife="n/a","n/a",IF(K$3&gt;(A36taxstdlife+$E569),('RFM input'!$H$96-'RFM input'!$H$150)-SUM($H569:J569),('RFM input'!$H$96-'RFM input'!$H$150)/A36taxstdlife))</f>
        <v>0</v>
      </c>
      <c r="L569" s="18">
        <f>IF(A36taxstdlife="n/a","n/a",IF(L$3&gt;(A36taxstdlife+$E569),('RFM input'!$H$96-'RFM input'!$H$150)-SUM($H569:K569),('RFM input'!$H$96-'RFM input'!$H$150)/A36taxstdlife))</f>
        <v>0</v>
      </c>
      <c r="M569" s="18">
        <f>IF(A36taxstdlife="n/a","n/a",IF(M$3&gt;(A36taxstdlife+$E569),('RFM input'!$H$96-'RFM input'!$H$150)-SUM($H569:L569),('RFM input'!$H$96-'RFM input'!$H$150)/A36taxstdlife))</f>
        <v>0</v>
      </c>
      <c r="N569" s="18">
        <f>IF(A36taxstdlife="n/a","n/a",IF(N$3&gt;(A36taxstdlife+$E569),('RFM input'!$H$96-'RFM input'!$H$150)-SUM($H569:M569),('RFM input'!$H$96-'RFM input'!$H$150)/A36taxstdlife))</f>
        <v>0</v>
      </c>
      <c r="O569" s="18">
        <f>IF(A36taxstdlife="n/a","n/a",IF(O$3&gt;(A36taxstdlife+$E569),('RFM input'!$H$96-'RFM input'!$H$150)-SUM($H569:N569),('RFM input'!$H$96-'RFM input'!$H$150)/A36taxstdlife))</f>
        <v>0</v>
      </c>
      <c r="P569" s="18">
        <f>IF(A36taxstdlife="n/a","n/a",IF(P$3&gt;(A36taxstdlife+$E569),('RFM input'!$H$96-'RFM input'!$H$150)-SUM($H569:O569),('RFM input'!$H$96-'RFM input'!$H$150)/A36taxstdlife))</f>
        <v>0</v>
      </c>
      <c r="Q569" s="18">
        <f>IF(A36taxstdlife="n/a","n/a",IF(Q$3&gt;(A36taxstdlife+$E569),('RFM input'!$H$96-'RFM input'!$H$150)-SUM($H569:P569),('RFM input'!$H$96-'RFM input'!$H$150)/A36taxstdlife))</f>
        <v>0</v>
      </c>
      <c r="R569" s="18"/>
      <c r="S569" s="74"/>
      <c r="T569" s="74"/>
      <c r="U569" s="74"/>
      <c r="V569" s="74"/>
      <c r="W569" s="74"/>
      <c r="X569" s="74"/>
      <c r="Y569" s="74"/>
      <c r="Z569" s="74"/>
      <c r="AA569" s="152"/>
    </row>
    <row r="570" spans="1:27" ht="12.75" hidden="1" customHeight="1" outlineLevel="2">
      <c r="A570" s="3"/>
      <c r="B570" s="3"/>
      <c r="C570" s="16"/>
      <c r="D570" s="1594"/>
      <c r="E570" s="61">
        <v>2</v>
      </c>
      <c r="F570" s="17"/>
      <c r="G570" s="17"/>
      <c r="H570" s="1414"/>
      <c r="I570" s="1414"/>
      <c r="J570" s="18">
        <f>IF(A36taxstdlife="n/a","n/a",IF(J$3&gt;(A36taxstdlife+$E570),('RFM input'!$I$96-'RFM input'!$I$150)-SUM($I570:I570),('RFM input'!$I$96-'RFM input'!$I$150)/A36taxstdlife))</f>
        <v>0</v>
      </c>
      <c r="K570" s="18">
        <f>IF(A36taxstdlife="n/a","n/a",IF(K$3&gt;(A36taxstdlife+$E570),('RFM input'!$I$96-'RFM input'!$I$150)-SUM($I570:J570),('RFM input'!$I$96-'RFM input'!$I$150)/A36taxstdlife))</f>
        <v>0</v>
      </c>
      <c r="L570" s="18">
        <f>IF(A36taxstdlife="n/a","n/a",IF(L$3&gt;(A36taxstdlife+$E570),('RFM input'!$I$96-'RFM input'!$I$150)-SUM($I570:K570),('RFM input'!$I$96-'RFM input'!$I$150)/A36taxstdlife))</f>
        <v>0</v>
      </c>
      <c r="M570" s="18">
        <f>IF(A36taxstdlife="n/a","n/a",IF(M$3&gt;(A36taxstdlife+$E570),('RFM input'!$I$96-'RFM input'!$I$150)-SUM($I570:L570),('RFM input'!$I$96-'RFM input'!$I$150)/A36taxstdlife))</f>
        <v>0</v>
      </c>
      <c r="N570" s="18">
        <f>IF(A36taxstdlife="n/a","n/a",IF(N$3&gt;(A36taxstdlife+$E570),('RFM input'!$I$96-'RFM input'!$I$150)-SUM($I570:M570),('RFM input'!$I$96-'RFM input'!$I$150)/A36taxstdlife))</f>
        <v>0</v>
      </c>
      <c r="O570" s="18">
        <f>IF(A36taxstdlife="n/a","n/a",IF(O$3&gt;(A36taxstdlife+$E570),('RFM input'!$I$96-'RFM input'!$I$150)-SUM($I570:N570),('RFM input'!$I$96-'RFM input'!$I$150)/A36taxstdlife))</f>
        <v>0</v>
      </c>
      <c r="P570" s="18">
        <f>IF(A36taxstdlife="n/a","n/a",IF(P$3&gt;(A36taxstdlife+$E570),('RFM input'!$I$96-'RFM input'!$I$150)-SUM($I570:O570),('RFM input'!$I$96-'RFM input'!$I$150)/A36taxstdlife))</f>
        <v>0</v>
      </c>
      <c r="Q570" s="18">
        <f>IF(A36taxstdlife="n/a","n/a",IF(Q$3&gt;(A36taxstdlife+$E570),('RFM input'!$I$96-'RFM input'!$I$150)-SUM($I570:P570),('RFM input'!$I$96-'RFM input'!$I$150)/A36taxstdlife))</f>
        <v>0</v>
      </c>
      <c r="R570" s="18"/>
      <c r="S570" s="74"/>
      <c r="T570" s="74"/>
      <c r="U570" s="74"/>
      <c r="V570" s="74"/>
      <c r="W570" s="74"/>
      <c r="X570" s="74"/>
      <c r="Y570" s="74"/>
      <c r="Z570" s="74"/>
      <c r="AA570" s="152"/>
    </row>
    <row r="571" spans="1:27" ht="12.75" hidden="1" customHeight="1" outlineLevel="2">
      <c r="A571" s="3"/>
      <c r="B571" s="3"/>
      <c r="C571" s="16"/>
      <c r="D571" s="1594"/>
      <c r="E571" s="61">
        <v>3</v>
      </c>
      <c r="F571" s="17"/>
      <c r="G571" s="17"/>
      <c r="H571" s="1414"/>
      <c r="I571" s="1414"/>
      <c r="J571" s="116"/>
      <c r="K571" s="18">
        <f>IF(A36taxstdlife="n/a","n/a",IF(K$3&gt;(A36taxstdlife+$E571),('RFM input'!$J$96-'RFM input'!$J$150)-SUM($J571:J571),('RFM input'!$J$96-'RFM input'!$J$150)/A36taxstdlife))</f>
        <v>0</v>
      </c>
      <c r="L571" s="18">
        <f>IF(A36taxstdlife="n/a","n/a",IF(L$3&gt;(A36taxstdlife+$E571),('RFM input'!$J$96-'RFM input'!$J$150)-SUM($J571:K571),('RFM input'!$J$96-'RFM input'!$J$150)/A36taxstdlife))</f>
        <v>0</v>
      </c>
      <c r="M571" s="18">
        <f>IF(A36taxstdlife="n/a","n/a",IF(M$3&gt;(A36taxstdlife+$E571),('RFM input'!$J$96-'RFM input'!$J$150)-SUM($J571:L571),('RFM input'!$J$96-'RFM input'!$J$150)/A36taxstdlife))</f>
        <v>0</v>
      </c>
      <c r="N571" s="18">
        <f>IF(A36taxstdlife="n/a","n/a",IF(N$3&gt;(A36taxstdlife+$E571),('RFM input'!$J$96-'RFM input'!$J$150)-SUM($J571:M571),('RFM input'!$J$96-'RFM input'!$J$150)/A36taxstdlife))</f>
        <v>0</v>
      </c>
      <c r="O571" s="18">
        <f>IF(A36taxstdlife="n/a","n/a",IF(O$3&gt;(A36taxstdlife+$E571),('RFM input'!$J$96-'RFM input'!$J$150)-SUM($J571:N571),('RFM input'!$J$96-'RFM input'!$J$150)/A36taxstdlife))</f>
        <v>0</v>
      </c>
      <c r="P571" s="18">
        <f>IF(A36taxstdlife="n/a","n/a",IF(P$3&gt;(A36taxstdlife+$E571),('RFM input'!$J$96-'RFM input'!$J$150)-SUM($J571:O571),('RFM input'!$J$96-'RFM input'!$J$150)/A36taxstdlife))</f>
        <v>0</v>
      </c>
      <c r="Q571" s="18">
        <f>IF(A36taxstdlife="n/a","n/a",IF(Q$3&gt;(A36taxstdlife+$E571),('RFM input'!$J$96-'RFM input'!$J$150)-SUM($J571:P571),('RFM input'!$J$96-'RFM input'!$J$150)/A36taxstdlife))</f>
        <v>0</v>
      </c>
      <c r="R571" s="18"/>
      <c r="S571" s="74"/>
      <c r="T571" s="74"/>
      <c r="U571" s="74"/>
      <c r="V571" s="74"/>
      <c r="W571" s="74"/>
      <c r="X571" s="74"/>
      <c r="Y571" s="74"/>
      <c r="Z571" s="74"/>
      <c r="AA571" s="152"/>
    </row>
    <row r="572" spans="1:27" ht="12.75" hidden="1" customHeight="1" outlineLevel="2">
      <c r="A572" s="3"/>
      <c r="B572" s="3"/>
      <c r="C572" s="16"/>
      <c r="D572" s="1594"/>
      <c r="E572" s="61">
        <v>4</v>
      </c>
      <c r="F572" s="17"/>
      <c r="G572" s="17"/>
      <c r="H572" s="1414"/>
      <c r="I572" s="1414"/>
      <c r="J572" s="115"/>
      <c r="K572" s="116"/>
      <c r="L572" s="18">
        <f>IF(A36taxstdlife="n/a","n/a",IF(L$3&gt;(A36taxstdlife+$E572),('RFM input'!$K$96-'RFM input'!$K$150)-SUM($K572:K572),('RFM input'!$K$96-'RFM input'!$K$150)/A36taxstdlife))</f>
        <v>0</v>
      </c>
      <c r="M572" s="18">
        <f>IF(A36taxstdlife="n/a","n/a",IF(M$3&gt;(A36taxstdlife+$E572),('RFM input'!$K$96-'RFM input'!$K$150)-SUM($K572:L572),('RFM input'!$K$96-'RFM input'!$K$150)/A36taxstdlife))</f>
        <v>0</v>
      </c>
      <c r="N572" s="18">
        <f>IF(A36taxstdlife="n/a","n/a",IF(N$3&gt;(A36taxstdlife+$E572),('RFM input'!$K$96-'RFM input'!$K$150)-SUM($K572:M572),('RFM input'!$K$96-'RFM input'!$K$150)/A36taxstdlife))</f>
        <v>0</v>
      </c>
      <c r="O572" s="18">
        <f>IF(A36taxstdlife="n/a","n/a",IF(O$3&gt;(A36taxstdlife+$E572),('RFM input'!$K$96-'RFM input'!$K$150)-SUM($K572:N572),('RFM input'!$K$96-'RFM input'!$K$150)/A36taxstdlife))</f>
        <v>0</v>
      </c>
      <c r="P572" s="18">
        <f>IF(A36taxstdlife="n/a","n/a",IF(P$3&gt;(A36taxstdlife+$E572),('RFM input'!$K$96-'RFM input'!$K$150)-SUM($K572:O572),('RFM input'!$K$96-'RFM input'!$K$150)/A36taxstdlife))</f>
        <v>0</v>
      </c>
      <c r="Q572" s="18">
        <f>IF(A36taxstdlife="n/a","n/a",IF(Q$3&gt;(A36taxstdlife+$E572),('RFM input'!$K$96-'RFM input'!$K$150)-SUM($K572:P572),('RFM input'!$K$96-'RFM input'!$K$150)/A36taxstdlife))</f>
        <v>0</v>
      </c>
      <c r="R572" s="18"/>
      <c r="S572" s="74"/>
      <c r="T572" s="74"/>
      <c r="U572" s="74"/>
      <c r="V572" s="74"/>
      <c r="W572" s="74"/>
      <c r="X572" s="74"/>
      <c r="Y572" s="74"/>
      <c r="Z572" s="74"/>
      <c r="AA572" s="152"/>
    </row>
    <row r="573" spans="1:27" ht="12.75" hidden="1" customHeight="1" outlineLevel="2">
      <c r="A573" s="3"/>
      <c r="B573" s="3"/>
      <c r="C573" s="16"/>
      <c r="D573" s="1594"/>
      <c r="E573" s="61">
        <v>5</v>
      </c>
      <c r="F573" s="17"/>
      <c r="G573" s="17"/>
      <c r="H573" s="1414"/>
      <c r="I573" s="1414"/>
      <c r="J573" s="115"/>
      <c r="K573" s="115"/>
      <c r="L573" s="116"/>
      <c r="M573" s="18">
        <f>IF(A36taxstdlife="n/a","n/a",IF(M$3&gt;(A36taxstdlife+$E573),('RFM input'!$L$96-'RFM input'!$L$150)-SUM($L573:L573),('RFM input'!$L$96-'RFM input'!$L$150)/A36taxstdlife))</f>
        <v>0</v>
      </c>
      <c r="N573" s="18">
        <f>IF(A36taxstdlife="n/a","n/a",IF(N$3&gt;(A36taxstdlife+$E573),('RFM input'!$L$96-'RFM input'!$L$150)-SUM($L573:M573),('RFM input'!$L$96-'RFM input'!$L$150)/A36taxstdlife))</f>
        <v>0</v>
      </c>
      <c r="O573" s="18">
        <f>IF(A36taxstdlife="n/a","n/a",IF(O$3&gt;(A36taxstdlife+$E573),('RFM input'!$L$96-'RFM input'!$L$150)-SUM($L573:N573),('RFM input'!$L$96-'RFM input'!$L$150)/A36taxstdlife))</f>
        <v>0</v>
      </c>
      <c r="P573" s="18">
        <f>IF(A36taxstdlife="n/a","n/a",IF(P$3&gt;(A36taxstdlife+$E573),('RFM input'!$L$96-'RFM input'!$L$150)-SUM($L573:O573),('RFM input'!$L$96-'RFM input'!$L$150)/A36taxstdlife))</f>
        <v>0</v>
      </c>
      <c r="Q573" s="18">
        <f>IF(A36taxstdlife="n/a","n/a",IF(Q$3&gt;(A36taxstdlife+$E573),('RFM input'!$L$96-'RFM input'!$L$150)-SUM($L573:P573),('RFM input'!$L$96-'RFM input'!$L$150)/A36taxstdlife))</f>
        <v>0</v>
      </c>
      <c r="R573" s="18"/>
      <c r="S573" s="74"/>
      <c r="T573" s="74"/>
      <c r="U573" s="74"/>
      <c r="V573" s="74"/>
      <c r="W573" s="74"/>
      <c r="X573" s="74"/>
      <c r="Y573" s="74"/>
      <c r="Z573" s="74"/>
      <c r="AA573" s="152"/>
    </row>
    <row r="574" spans="1:27" ht="12.75" hidden="1" customHeight="1" outlineLevel="2">
      <c r="A574" s="3"/>
      <c r="B574" s="3"/>
      <c r="C574" s="16"/>
      <c r="D574" s="1594"/>
      <c r="E574" s="61">
        <v>6</v>
      </c>
      <c r="F574" s="17"/>
      <c r="G574" s="17"/>
      <c r="H574" s="1414"/>
      <c r="I574" s="1414"/>
      <c r="J574" s="115"/>
      <c r="K574" s="115"/>
      <c r="L574" s="115"/>
      <c r="M574" s="116"/>
      <c r="N574" s="18">
        <f>IF(A36taxstdlife="n/a","n/a",IF(N$3&gt;(A36taxstdlife+$E574),('RFM input'!$M$96-'RFM input'!$M$150)-SUM($M574:M574),('RFM input'!$M$96-'RFM input'!$M$150)/A36taxstdlife))</f>
        <v>0</v>
      </c>
      <c r="O574" s="18">
        <f>IF(A36taxstdlife="n/a","n/a",IF(O$3&gt;(A36taxstdlife+$E574),('RFM input'!$M$96-'RFM input'!$M$150)-SUM($M574:N574),('RFM input'!$M$96-'RFM input'!$M$150)/A36taxstdlife))</f>
        <v>0</v>
      </c>
      <c r="P574" s="18">
        <f>IF(A36taxstdlife="n/a","n/a",IF(P$3&gt;(A36taxstdlife+$E574),('RFM input'!$M$96-'RFM input'!$M$150)-SUM($M574:O574),('RFM input'!$M$96-'RFM input'!$M$150)/A36taxstdlife))</f>
        <v>0</v>
      </c>
      <c r="Q574" s="18">
        <f>IF(A36taxstdlife="n/a","n/a",IF(Q$3&gt;(A36taxstdlife+$E574),('RFM input'!$M$96-'RFM input'!$M$150)-SUM($M574:P574),('RFM input'!$M$96-'RFM input'!$M$150)/A36taxstdlife))</f>
        <v>0</v>
      </c>
      <c r="R574" s="18"/>
      <c r="S574" s="74"/>
      <c r="T574" s="74"/>
      <c r="U574" s="74"/>
      <c r="V574" s="74"/>
      <c r="W574" s="74"/>
      <c r="X574" s="74"/>
      <c r="Y574" s="74"/>
      <c r="Z574" s="74"/>
      <c r="AA574" s="152"/>
    </row>
    <row r="575" spans="1:27" ht="12.75" hidden="1" customHeight="1" outlineLevel="2">
      <c r="A575" s="3"/>
      <c r="B575" s="3"/>
      <c r="C575" s="16"/>
      <c r="D575" s="1594"/>
      <c r="E575" s="61">
        <v>7</v>
      </c>
      <c r="F575" s="17"/>
      <c r="G575" s="17"/>
      <c r="H575" s="1414"/>
      <c r="I575" s="1414"/>
      <c r="J575" s="115"/>
      <c r="K575" s="115"/>
      <c r="L575" s="115"/>
      <c r="M575" s="115"/>
      <c r="N575" s="116"/>
      <c r="O575" s="18">
        <f>IF(A36taxstdlife="n/a","n/a",IF(O$3&gt;(A36taxstdlife+$E575),('RFM input'!$N$96-'RFM input'!$N$150)-SUM($N575:N575),('RFM input'!$N$96-'RFM input'!$N$150)/A36taxstdlife))</f>
        <v>0</v>
      </c>
      <c r="P575" s="18">
        <f>IF(A36taxstdlife="n/a","n/a",IF(P$3&gt;(A36taxstdlife+$E575),('RFM input'!$N$96-'RFM input'!$N$150)-SUM($N575:O575),('RFM input'!$N$96-'RFM input'!$N$150)/A36taxstdlife))</f>
        <v>0</v>
      </c>
      <c r="Q575" s="18">
        <f>IF(A36taxstdlife="n/a","n/a",IF(Q$3&gt;(A36taxstdlife+$E575),('RFM input'!$N$96-'RFM input'!$N$150)-SUM($N575:P575),('RFM input'!$N$96-'RFM input'!$N$150)/A36taxstdlife))</f>
        <v>0</v>
      </c>
      <c r="R575" s="18"/>
      <c r="S575" s="74"/>
      <c r="T575" s="74"/>
      <c r="U575" s="74"/>
      <c r="V575" s="74"/>
      <c r="W575" s="74"/>
      <c r="X575" s="74"/>
      <c r="Y575" s="74"/>
      <c r="Z575" s="74"/>
      <c r="AA575" s="152"/>
    </row>
    <row r="576" spans="1:27" ht="12.75" hidden="1" customHeight="1" outlineLevel="2">
      <c r="A576" s="3"/>
      <c r="B576" s="3"/>
      <c r="C576" s="16"/>
      <c r="D576" s="1594"/>
      <c r="E576" s="61">
        <v>8</v>
      </c>
      <c r="F576" s="17"/>
      <c r="G576" s="17"/>
      <c r="H576" s="1414"/>
      <c r="I576" s="1414"/>
      <c r="J576" s="115"/>
      <c r="K576" s="115"/>
      <c r="L576" s="115"/>
      <c r="M576" s="115"/>
      <c r="N576" s="115"/>
      <c r="O576" s="116"/>
      <c r="P576" s="18">
        <f>IF(A36taxstdlife="n/a","n/a",IF(P$3&gt;(A36taxstdlife+$E576),('RFM input'!$O$96-'RFM input'!$O$150)-SUM($O576:O576),('RFM input'!$O$96-'RFM input'!$O$150)/A36taxstdlife))</f>
        <v>0</v>
      </c>
      <c r="Q576" s="18">
        <f>IF(A36taxstdlife="n/a","n/a",IF(Q$3&gt;(A36taxstdlife+$E576),('RFM input'!$O$96-'RFM input'!$O$150)-SUM($O576:P576),('RFM input'!$O$96-'RFM input'!$O$150)/A36taxstdlife))</f>
        <v>0</v>
      </c>
      <c r="R576" s="18"/>
      <c r="S576" s="74"/>
      <c r="T576" s="74"/>
      <c r="U576" s="74"/>
      <c r="V576" s="74"/>
      <c r="W576" s="74"/>
      <c r="X576" s="74"/>
      <c r="Y576" s="74"/>
      <c r="Z576" s="74"/>
      <c r="AA576" s="152"/>
    </row>
    <row r="577" spans="1:27" ht="12.75" hidden="1" customHeight="1" outlineLevel="2">
      <c r="A577" s="3"/>
      <c r="B577" s="3"/>
      <c r="C577" s="16"/>
      <c r="D577" s="1594"/>
      <c r="E577" s="61">
        <v>9</v>
      </c>
      <c r="F577" s="17"/>
      <c r="G577" s="17"/>
      <c r="H577" s="1414"/>
      <c r="I577" s="1414"/>
      <c r="J577" s="115"/>
      <c r="K577" s="115"/>
      <c r="L577" s="115"/>
      <c r="M577" s="115"/>
      <c r="N577" s="115"/>
      <c r="O577" s="115"/>
      <c r="P577" s="116"/>
      <c r="Q577" s="18">
        <f>IF(A36taxstdlife="n/a","n/a",IF(Q$3&gt;(A36taxstdlife+$E577),('RFM input'!$P$96-'RFM input'!$P$150)-SUM($P577:P577),('RFM input'!$P$96-'RFM input'!$P$150)/A36taxstdlife))</f>
        <v>0</v>
      </c>
      <c r="R577" s="18"/>
      <c r="S577" s="74"/>
      <c r="T577" s="74"/>
      <c r="U577" s="74"/>
      <c r="V577" s="74"/>
      <c r="W577" s="74"/>
      <c r="X577" s="74"/>
      <c r="Y577" s="74"/>
      <c r="Z577" s="74"/>
      <c r="AA577" s="152"/>
    </row>
    <row r="578" spans="1:27" ht="12.75" hidden="1" customHeight="1" outlineLevel="2">
      <c r="A578" s="3"/>
      <c r="B578" s="3"/>
      <c r="C578" s="16"/>
      <c r="D578" s="1594"/>
      <c r="E578" s="62">
        <v>10</v>
      </c>
      <c r="F578" s="17"/>
      <c r="G578" s="17"/>
      <c r="H578" s="1414"/>
      <c r="I578" s="1414"/>
      <c r="J578" s="115"/>
      <c r="K578" s="115"/>
      <c r="L578" s="115"/>
      <c r="M578" s="115"/>
      <c r="N578" s="115"/>
      <c r="O578" s="115"/>
      <c r="P578" s="115"/>
      <c r="Q578" s="116"/>
      <c r="R578" s="18"/>
      <c r="S578" s="74"/>
      <c r="T578" s="74"/>
      <c r="U578" s="74"/>
      <c r="V578" s="74"/>
      <c r="W578" s="74"/>
      <c r="X578" s="74"/>
      <c r="Y578" s="74"/>
      <c r="Z578" s="74"/>
      <c r="AA578" s="152"/>
    </row>
    <row r="579" spans="1:27" hidden="1" outlineLevel="1">
      <c r="A579" s="3"/>
      <c r="B579" s="3"/>
      <c r="C579" s="134">
        <f>Asset36</f>
        <v>0</v>
      </c>
      <c r="D579" s="3"/>
      <c r="E579" s="3"/>
      <c r="F579" s="14"/>
      <c r="G579" s="14"/>
      <c r="H579" s="1460">
        <f>IF('RFM input'!$G$354="Tracked",-1*INDEX('RFM input'!H$358:H$407,MATCH('TAB roll forward'!$C579,'RFM input'!$E$358:$E$407,0)),-SUM(H567:H578))</f>
        <v>0</v>
      </c>
      <c r="I579" s="1460">
        <f>IF('RFM input'!$G$354="Tracked",-1*INDEX('RFM input'!I$358:I$407,MATCH('TAB roll forward'!$C579,'RFM input'!$E$358:$E$407,0)),-SUM(I567:I578))</f>
        <v>0</v>
      </c>
      <c r="J579" s="1460">
        <f>IF(COUNT($H579:I579)&gt;='RFM input'!$V$7,0,IF('RFM input'!$G$354="Tracked",-1*INDEX('RFM input'!J$358:J$407,MATCH('TAB roll forward'!$C579,'RFM input'!$E$358:$E$407,0)),-SUM(J567:J578)))</f>
        <v>0</v>
      </c>
      <c r="K579" s="1460">
        <f>IF(COUNT($H579:J579)&gt;='RFM input'!$V$7,0,IF('RFM input'!$G$354="Tracked",-1*INDEX('RFM input'!K$358:K$407,MATCH('TAB roll forward'!$C579,'RFM input'!$E$358:$E$407,0)),-SUM(K567:K578)))</f>
        <v>0</v>
      </c>
      <c r="L579" s="1460">
        <f>IF(COUNT($H579:K579)&gt;='RFM input'!$V$7,0,IF('RFM input'!$G$354="Tracked",-1*INDEX('RFM input'!L$358:L$407,MATCH('TAB roll forward'!$C579,'RFM input'!$E$358:$E$407,0)),-SUM(L567:L578)))</f>
        <v>0</v>
      </c>
      <c r="M579" s="1460">
        <f>IF(COUNT($H579:L579)&gt;='RFM input'!$V$7,0,IF('RFM input'!$G$354="Tracked",-1*INDEX('RFM input'!M$358:M$407,MATCH('TAB roll forward'!$C579,'RFM input'!$E$358:$E$407,0)),-SUM(M567:M578)))</f>
        <v>0</v>
      </c>
      <c r="N579" s="1460">
        <f>IF(COUNT($H579:M579)&gt;='RFM input'!$V$7,0,IF('RFM input'!$G$354="Tracked",-1*INDEX('RFM input'!N$358:N$407,MATCH('TAB roll forward'!$C579,'RFM input'!$E$358:$E$407,0)),-SUM(N567:N578)))</f>
        <v>0</v>
      </c>
      <c r="O579" s="1460">
        <f>IF(COUNT($H579:N579)&gt;='RFM input'!$V$7,0,IF('RFM input'!$G$354="Tracked",-1*INDEX('RFM input'!O$358:O$407,MATCH('TAB roll forward'!$C579,'RFM input'!$E$358:$E$407,0)),-SUM(O567:O578)))</f>
        <v>0</v>
      </c>
      <c r="P579" s="1460">
        <f>IF(COUNT($H579:O579)&gt;='RFM input'!$V$7,0,IF('RFM input'!$G$354="Tracked",-1*INDEX('RFM input'!P$358:P$407,MATCH('TAB roll forward'!$C579,'RFM input'!$E$358:$E$407,0)),-SUM(P567:P578)))</f>
        <v>0</v>
      </c>
      <c r="Q579" s="1460">
        <f>IF(COUNT($H579:P579)&gt;='RFM input'!$V$7,0,IF('RFM input'!$G$354="Tracked",-1*INDEX('RFM input'!Q$358:Q$407,MATCH('TAB roll forward'!$C579,'RFM input'!$E$358:$E$407,0)),-SUM(Q567:Q578)))</f>
        <v>0</v>
      </c>
      <c r="R579" s="1382"/>
      <c r="S579" s="73"/>
      <c r="T579" s="73"/>
      <c r="U579" s="73"/>
      <c r="V579" s="73"/>
      <c r="W579" s="73"/>
      <c r="X579" s="73"/>
      <c r="Y579" s="73"/>
      <c r="Z579" s="73"/>
      <c r="AA579" s="152"/>
    </row>
    <row r="580" spans="1:27" ht="12.75" hidden="1" customHeight="1" outlineLevel="2">
      <c r="A580" s="3"/>
      <c r="B580" s="135">
        <f>Asset37</f>
        <v>0</v>
      </c>
      <c r="C580" s="19"/>
      <c r="D580" s="234" t="s">
        <v>119</v>
      </c>
      <c r="E580" s="19"/>
      <c r="F580" s="148"/>
      <c r="G580" s="148"/>
      <c r="H580" s="21">
        <f>IF(H$3&gt;A37taxremlife,A37taxvalue-SUM($F580:F580),IF(A37taxremlife="N/A","n/a",A37taxvalue/A37taxremlife))</f>
        <v>0</v>
      </c>
      <c r="I580" s="21">
        <f>IF(I$3&gt;A37taxremlife,A37taxvalue-SUM($F580:H580),IF(A37taxremlife="N/A","n/a",A37taxvalue/A37taxremlife))</f>
        <v>0</v>
      </c>
      <c r="J580" s="21">
        <f>IF(J$3&gt;A37taxremlife,A37taxvalue-SUM($F580:I580),IF(A37taxremlife="N/A","n/a",A37taxvalue/A37taxremlife))</f>
        <v>0</v>
      </c>
      <c r="K580" s="21">
        <f>IF(K$3&gt;A37taxremlife,A37taxvalue-SUM($F580:J580),IF(A37taxremlife="N/A","n/a",A37taxvalue/A37taxremlife))</f>
        <v>0</v>
      </c>
      <c r="L580" s="21">
        <f>IF(L$3&gt;A37taxremlife,A37taxvalue-SUM($F580:K580),IF(A37taxremlife="N/A","n/a",A37taxvalue/A37taxremlife))</f>
        <v>0</v>
      </c>
      <c r="M580" s="21">
        <f>IF(M$3&gt;A37taxremlife,A37taxvalue-SUM($F580:L580),IF(A37taxremlife="N/A","n/a",A37taxvalue/A37taxremlife))</f>
        <v>0</v>
      </c>
      <c r="N580" s="21">
        <f>IF(N$3&gt;A37taxremlife,A37taxvalue-SUM($F580:M580),IF(A37taxremlife="N/A","n/a",A37taxvalue/A37taxremlife))</f>
        <v>0</v>
      </c>
      <c r="O580" s="21">
        <f>IF(O$3&gt;A37taxremlife,A37taxvalue-SUM($F580:N580),IF(A37taxremlife="N/A","n/a",A37taxvalue/A37taxremlife))</f>
        <v>0</v>
      </c>
      <c r="P580" s="21">
        <f>IF(P$3&gt;A37taxremlife,A37taxvalue-SUM($F580:O580),IF(A37taxremlife="N/A","n/a",A37taxvalue/A37taxremlife))</f>
        <v>0</v>
      </c>
      <c r="Q580" s="21">
        <f>IF(Q$3&gt;A37taxremlife,A37taxvalue-SUM($F580:P580),IF(A37taxremlife="N/A","n/a",A37taxvalue/A37taxremlife))</f>
        <v>0</v>
      </c>
      <c r="R580" s="21"/>
      <c r="S580" s="74"/>
      <c r="T580" s="74"/>
      <c r="U580" s="74"/>
      <c r="V580" s="74"/>
      <c r="W580" s="74"/>
      <c r="X580" s="74"/>
      <c r="Y580" s="74"/>
      <c r="Z580" s="74"/>
      <c r="AA580" s="152"/>
    </row>
    <row r="581" spans="1:27" ht="12.75" hidden="1" customHeight="1" outlineLevel="2">
      <c r="A581" s="3"/>
      <c r="B581" s="3"/>
      <c r="C581" s="16"/>
      <c r="D581" s="1593" t="s">
        <v>43</v>
      </c>
      <c r="E581" s="61"/>
      <c r="F581" s="17"/>
      <c r="G581" s="17"/>
      <c r="H581" s="1413"/>
      <c r="I581" s="72"/>
      <c r="J581" s="18"/>
      <c r="K581" s="18"/>
      <c r="L581" s="18"/>
      <c r="M581" s="18"/>
      <c r="N581" s="18"/>
      <c r="O581" s="18"/>
      <c r="P581" s="18"/>
      <c r="Q581" s="18"/>
      <c r="R581" s="18"/>
      <c r="S581" s="74"/>
      <c r="T581" s="74"/>
      <c r="U581" s="74"/>
      <c r="V581" s="74"/>
      <c r="W581" s="74"/>
      <c r="X581" s="74"/>
      <c r="Y581" s="74"/>
      <c r="Z581" s="74"/>
      <c r="AA581" s="152"/>
    </row>
    <row r="582" spans="1:27" ht="12.75" hidden="1" customHeight="1" outlineLevel="2">
      <c r="A582" s="3"/>
      <c r="B582" s="3"/>
      <c r="C582" s="16"/>
      <c r="D582" s="1594"/>
      <c r="E582" s="61">
        <v>1</v>
      </c>
      <c r="F582" s="17"/>
      <c r="G582" s="17"/>
      <c r="H582" s="1414"/>
      <c r="I582" s="1415">
        <f>IF(A37taxstdlife="n/a","n/a",IF(I$3&gt;(A37taxstdlife+$E582),('RFM input'!$H$97-'RFM input'!$H$151)-SUM($H582:H582),('RFM input'!$H$97-'RFM input'!$H$151)/A37taxstdlife))</f>
        <v>0</v>
      </c>
      <c r="J582" s="18">
        <f>IF(A37taxstdlife="n/a","n/a",IF(J$3&gt;(A37taxstdlife+$E582),('RFM input'!$H$97-'RFM input'!$H$151)-SUM($H582:I582),('RFM input'!$H$97-'RFM input'!$H$151)/A37taxstdlife))</f>
        <v>0</v>
      </c>
      <c r="K582" s="18">
        <f>IF(A37taxstdlife="n/a","n/a",IF(K$3&gt;(A37taxstdlife+$E582),('RFM input'!$H$97-'RFM input'!$H$151)-SUM($H582:J582),('RFM input'!$H$97-'RFM input'!$H$151)/A37taxstdlife))</f>
        <v>0</v>
      </c>
      <c r="L582" s="18">
        <f>IF(A37taxstdlife="n/a","n/a",IF(L$3&gt;(A37taxstdlife+$E582),('RFM input'!$H$97-'RFM input'!$H$151)-SUM($H582:K582),('RFM input'!$H$97-'RFM input'!$H$151)/A37taxstdlife))</f>
        <v>0</v>
      </c>
      <c r="M582" s="18">
        <f>IF(A37taxstdlife="n/a","n/a",IF(M$3&gt;(A37taxstdlife+$E582),('RFM input'!$H$97-'RFM input'!$H$151)-SUM($H582:L582),('RFM input'!$H$97-'RFM input'!$H$151)/A37taxstdlife))</f>
        <v>0</v>
      </c>
      <c r="N582" s="18">
        <f>IF(A37taxstdlife="n/a","n/a",IF(N$3&gt;(A37taxstdlife+$E582),('RFM input'!$H$97-'RFM input'!$H$151)-SUM($H582:M582),('RFM input'!$H$97-'RFM input'!$H$151)/A37taxstdlife))</f>
        <v>0</v>
      </c>
      <c r="O582" s="18">
        <f>IF(A37taxstdlife="n/a","n/a",IF(O$3&gt;(A37taxstdlife+$E582),('RFM input'!$H$97-'RFM input'!$H$151)-SUM($H582:N582),('RFM input'!$H$97-'RFM input'!$H$151)/A37taxstdlife))</f>
        <v>0</v>
      </c>
      <c r="P582" s="18">
        <f>IF(A37taxstdlife="n/a","n/a",IF(P$3&gt;(A37taxstdlife+$E582),('RFM input'!$H$97-'RFM input'!$H$151)-SUM($H582:O582),('RFM input'!$H$97-'RFM input'!$H$151)/A37taxstdlife))</f>
        <v>0</v>
      </c>
      <c r="Q582" s="18">
        <f>IF(A37taxstdlife="n/a","n/a",IF(Q$3&gt;(A37taxstdlife+$E582),('RFM input'!$H$97-'RFM input'!$H$151)-SUM($H582:P582),('RFM input'!$H$97-'RFM input'!$H$151)/A37taxstdlife))</f>
        <v>0</v>
      </c>
      <c r="R582" s="18"/>
      <c r="S582" s="74"/>
      <c r="T582" s="74"/>
      <c r="U582" s="74"/>
      <c r="V582" s="74"/>
      <c r="W582" s="74"/>
      <c r="X582" s="74"/>
      <c r="Y582" s="74"/>
      <c r="Z582" s="74"/>
      <c r="AA582" s="152"/>
    </row>
    <row r="583" spans="1:27" ht="12.75" hidden="1" customHeight="1" outlineLevel="2">
      <c r="A583" s="3"/>
      <c r="B583" s="3"/>
      <c r="C583" s="16"/>
      <c r="D583" s="1594"/>
      <c r="E583" s="61">
        <v>2</v>
      </c>
      <c r="F583" s="17"/>
      <c r="G583" s="17"/>
      <c r="H583" s="1414"/>
      <c r="I583" s="1414"/>
      <c r="J583" s="18">
        <f>IF(A37taxstdlife="n/a","n/a",IF(J$3&gt;(A37taxstdlife+$E583),('RFM input'!$I$97-'RFM input'!$I$151)-SUM($I583:I583),('RFM input'!$I$97-'RFM input'!$I$151)/A37taxstdlife))</f>
        <v>0</v>
      </c>
      <c r="K583" s="18">
        <f>IF(A37taxstdlife="n/a","n/a",IF(K$3&gt;(A37taxstdlife+$E583),('RFM input'!$I$97-'RFM input'!$I$151)-SUM($I583:J583),('RFM input'!$I$97-'RFM input'!$I$151)/A37taxstdlife))</f>
        <v>0</v>
      </c>
      <c r="L583" s="18">
        <f>IF(A37taxstdlife="n/a","n/a",IF(L$3&gt;(A37taxstdlife+$E583),('RFM input'!$I$97-'RFM input'!$I$151)-SUM($I583:K583),('RFM input'!$I$97-'RFM input'!$I$151)/A37taxstdlife))</f>
        <v>0</v>
      </c>
      <c r="M583" s="18">
        <f>IF(A37taxstdlife="n/a","n/a",IF(M$3&gt;(A37taxstdlife+$E583),('RFM input'!$I$97-'RFM input'!$I$151)-SUM($I583:L583),('RFM input'!$I$97-'RFM input'!$I$151)/A37taxstdlife))</f>
        <v>0</v>
      </c>
      <c r="N583" s="18">
        <f>IF(A37taxstdlife="n/a","n/a",IF(N$3&gt;(A37taxstdlife+$E583),('RFM input'!$I$97-'RFM input'!$I$151)-SUM($I583:M583),('RFM input'!$I$97-'RFM input'!$I$151)/A37taxstdlife))</f>
        <v>0</v>
      </c>
      <c r="O583" s="18">
        <f>IF(A37taxstdlife="n/a","n/a",IF(O$3&gt;(A37taxstdlife+$E583),('RFM input'!$I$97-'RFM input'!$I$151)-SUM($I583:N583),('RFM input'!$I$97-'RFM input'!$I$151)/A37taxstdlife))</f>
        <v>0</v>
      </c>
      <c r="P583" s="18">
        <f>IF(A37taxstdlife="n/a","n/a",IF(P$3&gt;(A37taxstdlife+$E583),('RFM input'!$I$97-'RFM input'!$I$151)-SUM($I583:O583),('RFM input'!$I$97-'RFM input'!$I$151)/A37taxstdlife))</f>
        <v>0</v>
      </c>
      <c r="Q583" s="18">
        <f>IF(A37taxstdlife="n/a","n/a",IF(Q$3&gt;(A37taxstdlife+$E583),('RFM input'!$I$97-'RFM input'!$I$151)-SUM($I583:P583),('RFM input'!$I$97-'RFM input'!$I$151)/A37taxstdlife))</f>
        <v>0</v>
      </c>
      <c r="R583" s="18"/>
      <c r="S583" s="74"/>
      <c r="T583" s="74"/>
      <c r="U583" s="74"/>
      <c r="V583" s="74"/>
      <c r="W583" s="74"/>
      <c r="X583" s="74"/>
      <c r="Y583" s="74"/>
      <c r="Z583" s="74"/>
      <c r="AA583" s="152"/>
    </row>
    <row r="584" spans="1:27" ht="12.75" hidden="1" customHeight="1" outlineLevel="2">
      <c r="A584" s="3"/>
      <c r="B584" s="3"/>
      <c r="C584" s="16"/>
      <c r="D584" s="1594"/>
      <c r="E584" s="61">
        <v>3</v>
      </c>
      <c r="F584" s="17"/>
      <c r="G584" s="17"/>
      <c r="H584" s="1414"/>
      <c r="I584" s="1414"/>
      <c r="J584" s="116"/>
      <c r="K584" s="18">
        <f>IF(A37taxstdlife="n/a","n/a",IF(K$3&gt;(A37taxstdlife+$E584),('RFM input'!$J$97-'RFM input'!$J$151)-SUM($J584:J584),('RFM input'!$J$97-'RFM input'!$J$151)/A37taxstdlife))</f>
        <v>0</v>
      </c>
      <c r="L584" s="18">
        <f>IF(A37taxstdlife="n/a","n/a",IF(L$3&gt;(A37taxstdlife+$E584),('RFM input'!$J$97-'RFM input'!$J$151)-SUM($J584:K584),('RFM input'!$J$97-'RFM input'!$J$151)/A37taxstdlife))</f>
        <v>0</v>
      </c>
      <c r="M584" s="18">
        <f>IF(A37taxstdlife="n/a","n/a",IF(M$3&gt;(A37taxstdlife+$E584),('RFM input'!$J$97-'RFM input'!$J$151)-SUM($J584:L584),('RFM input'!$J$97-'RFM input'!$J$151)/A37taxstdlife))</f>
        <v>0</v>
      </c>
      <c r="N584" s="18">
        <f>IF(A37taxstdlife="n/a","n/a",IF(N$3&gt;(A37taxstdlife+$E584),('RFM input'!$J$97-'RFM input'!$J$151)-SUM($J584:M584),('RFM input'!$J$97-'RFM input'!$J$151)/A37taxstdlife))</f>
        <v>0</v>
      </c>
      <c r="O584" s="18">
        <f>IF(A37taxstdlife="n/a","n/a",IF(O$3&gt;(A37taxstdlife+$E584),('RFM input'!$J$97-'RFM input'!$J$151)-SUM($J584:N584),('RFM input'!$J$97-'RFM input'!$J$151)/A37taxstdlife))</f>
        <v>0</v>
      </c>
      <c r="P584" s="18">
        <f>IF(A37taxstdlife="n/a","n/a",IF(P$3&gt;(A37taxstdlife+$E584),('RFM input'!$J$97-'RFM input'!$J$151)-SUM($J584:O584),('RFM input'!$J$97-'RFM input'!$J$151)/A37taxstdlife))</f>
        <v>0</v>
      </c>
      <c r="Q584" s="18">
        <f>IF(A37taxstdlife="n/a","n/a",IF(Q$3&gt;(A37taxstdlife+$E584),('RFM input'!$J$97-'RFM input'!$J$151)-SUM($J584:P584),('RFM input'!$J$97-'RFM input'!$J$151)/A37taxstdlife))</f>
        <v>0</v>
      </c>
      <c r="R584" s="18"/>
      <c r="S584" s="74"/>
      <c r="T584" s="74"/>
      <c r="U584" s="74"/>
      <c r="V584" s="74"/>
      <c r="W584" s="74"/>
      <c r="X584" s="74"/>
      <c r="Y584" s="74"/>
      <c r="Z584" s="74"/>
      <c r="AA584" s="152"/>
    </row>
    <row r="585" spans="1:27" ht="12.75" hidden="1" customHeight="1" outlineLevel="2">
      <c r="A585" s="3"/>
      <c r="B585" s="3"/>
      <c r="C585" s="16"/>
      <c r="D585" s="1594"/>
      <c r="E585" s="61">
        <v>4</v>
      </c>
      <c r="F585" s="17"/>
      <c r="G585" s="17"/>
      <c r="H585" s="1414"/>
      <c r="I585" s="1414"/>
      <c r="J585" s="115"/>
      <c r="K585" s="116"/>
      <c r="L585" s="18">
        <f>IF(A37taxstdlife="n/a","n/a",IF(L$3&gt;(A37taxstdlife+$E585),('RFM input'!$K$97-'RFM input'!$K$151)-SUM($K585:K585),('RFM input'!$K$97-'RFM input'!$K$151)/A37taxstdlife))</f>
        <v>0</v>
      </c>
      <c r="M585" s="18">
        <f>IF(A37taxstdlife="n/a","n/a",IF(M$3&gt;(A37taxstdlife+$E585),('RFM input'!$K$97-'RFM input'!$K$151)-SUM($K585:L585),('RFM input'!$K$97-'RFM input'!$K$151)/A37taxstdlife))</f>
        <v>0</v>
      </c>
      <c r="N585" s="18">
        <f>IF(A37taxstdlife="n/a","n/a",IF(N$3&gt;(A37taxstdlife+$E585),('RFM input'!$K$97-'RFM input'!$K$151)-SUM($K585:M585),('RFM input'!$K$97-'RFM input'!$K$151)/A37taxstdlife))</f>
        <v>0</v>
      </c>
      <c r="O585" s="18">
        <f>IF(A37taxstdlife="n/a","n/a",IF(O$3&gt;(A37taxstdlife+$E585),('RFM input'!$K$97-'RFM input'!$K$151)-SUM($K585:N585),('RFM input'!$K$97-'RFM input'!$K$151)/A37taxstdlife))</f>
        <v>0</v>
      </c>
      <c r="P585" s="18">
        <f>IF(A37taxstdlife="n/a","n/a",IF(P$3&gt;(A37taxstdlife+$E585),('RFM input'!$K$97-'RFM input'!$K$151)-SUM($K585:O585),('RFM input'!$K$97-'RFM input'!$K$151)/A37taxstdlife))</f>
        <v>0</v>
      </c>
      <c r="Q585" s="18">
        <f>IF(A37taxstdlife="n/a","n/a",IF(Q$3&gt;(A37taxstdlife+$E585),('RFM input'!$K$97-'RFM input'!$K$151)-SUM($K585:P585),('RFM input'!$K$97-'RFM input'!$K$151)/A37taxstdlife))</f>
        <v>0</v>
      </c>
      <c r="R585" s="18"/>
      <c r="S585" s="74"/>
      <c r="T585" s="74"/>
      <c r="U585" s="74"/>
      <c r="V585" s="74"/>
      <c r="W585" s="74"/>
      <c r="X585" s="74"/>
      <c r="Y585" s="74"/>
      <c r="Z585" s="74"/>
      <c r="AA585" s="152"/>
    </row>
    <row r="586" spans="1:27" ht="12.75" hidden="1" customHeight="1" outlineLevel="2">
      <c r="A586" s="3"/>
      <c r="B586" s="3"/>
      <c r="C586" s="16"/>
      <c r="D586" s="1594"/>
      <c r="E586" s="61">
        <v>5</v>
      </c>
      <c r="F586" s="17"/>
      <c r="G586" s="17"/>
      <c r="H586" s="1414"/>
      <c r="I586" s="1414"/>
      <c r="J586" s="115"/>
      <c r="K586" s="115"/>
      <c r="L586" s="116"/>
      <c r="M586" s="18">
        <f>IF(A37taxstdlife="n/a","n/a",IF(M$3&gt;(A37taxstdlife+$E586),('RFM input'!$L$97-'RFM input'!$L$151)-SUM($L586:L586),('RFM input'!$L$97-'RFM input'!$L$151)/A37taxstdlife))</f>
        <v>0</v>
      </c>
      <c r="N586" s="18">
        <f>IF(A37taxstdlife="n/a","n/a",IF(N$3&gt;(A37taxstdlife+$E586),('RFM input'!$L$97-'RFM input'!$L$151)-SUM($L586:M586),('RFM input'!$L$97-'RFM input'!$L$151)/A37taxstdlife))</f>
        <v>0</v>
      </c>
      <c r="O586" s="18">
        <f>IF(A37taxstdlife="n/a","n/a",IF(O$3&gt;(A37taxstdlife+$E586),('RFM input'!$L$97-'RFM input'!$L$151)-SUM($L586:N586),('RFM input'!$L$97-'RFM input'!$L$151)/A37taxstdlife))</f>
        <v>0</v>
      </c>
      <c r="P586" s="18">
        <f>IF(A37taxstdlife="n/a","n/a",IF(P$3&gt;(A37taxstdlife+$E586),('RFM input'!$L$97-'RFM input'!$L$151)-SUM($L586:O586),('RFM input'!$L$97-'RFM input'!$L$151)/A37taxstdlife))</f>
        <v>0</v>
      </c>
      <c r="Q586" s="18">
        <f>IF(A37taxstdlife="n/a","n/a",IF(Q$3&gt;(A37taxstdlife+$E586),('RFM input'!$L$97-'RFM input'!$L$151)-SUM($L586:P586),('RFM input'!$L$97-'RFM input'!$L$151)/A37taxstdlife))</f>
        <v>0</v>
      </c>
      <c r="R586" s="18"/>
      <c r="S586" s="74"/>
      <c r="T586" s="74"/>
      <c r="U586" s="74"/>
      <c r="V586" s="74"/>
      <c r="W586" s="74"/>
      <c r="X586" s="74"/>
      <c r="Y586" s="74"/>
      <c r="Z586" s="74"/>
      <c r="AA586" s="152"/>
    </row>
    <row r="587" spans="1:27" ht="12.75" hidden="1" customHeight="1" outlineLevel="2">
      <c r="A587" s="3"/>
      <c r="B587" s="3"/>
      <c r="C587" s="16"/>
      <c r="D587" s="1594"/>
      <c r="E587" s="61">
        <v>6</v>
      </c>
      <c r="F587" s="17"/>
      <c r="G587" s="17"/>
      <c r="H587" s="1414"/>
      <c r="I587" s="1414"/>
      <c r="J587" s="115"/>
      <c r="K587" s="115"/>
      <c r="L587" s="115"/>
      <c r="M587" s="116"/>
      <c r="N587" s="18">
        <f>IF(A37taxstdlife="n/a","n/a",IF(N$3&gt;(A37taxstdlife+$E587),('RFM input'!$M$97-'RFM input'!$M$151)-SUM($M587:M587),('RFM input'!$M$97-'RFM input'!$M$151)/A37taxstdlife))</f>
        <v>0</v>
      </c>
      <c r="O587" s="18">
        <f>IF(A37taxstdlife="n/a","n/a",IF(O$3&gt;(A37taxstdlife+$E587),('RFM input'!$M$97-'RFM input'!$M$151)-SUM($M587:N587),('RFM input'!$M$97-'RFM input'!$M$151)/A37taxstdlife))</f>
        <v>0</v>
      </c>
      <c r="P587" s="18">
        <f>IF(A37taxstdlife="n/a","n/a",IF(P$3&gt;(A37taxstdlife+$E587),('RFM input'!$M$97-'RFM input'!$M$151)-SUM($M587:O587),('RFM input'!$M$97-'RFM input'!$M$151)/A37taxstdlife))</f>
        <v>0</v>
      </c>
      <c r="Q587" s="18">
        <f>IF(A37taxstdlife="n/a","n/a",IF(Q$3&gt;(A37taxstdlife+$E587),('RFM input'!$M$97-'RFM input'!$M$151)-SUM($M587:P587),('RFM input'!$M$97-'RFM input'!$M$151)/A37taxstdlife))</f>
        <v>0</v>
      </c>
      <c r="R587" s="18"/>
      <c r="S587" s="74"/>
      <c r="T587" s="74"/>
      <c r="U587" s="74"/>
      <c r="V587" s="74"/>
      <c r="W587" s="74"/>
      <c r="X587" s="74"/>
      <c r="Y587" s="74"/>
      <c r="Z587" s="74"/>
      <c r="AA587" s="152"/>
    </row>
    <row r="588" spans="1:27" ht="12.75" hidden="1" customHeight="1" outlineLevel="2">
      <c r="A588" s="3"/>
      <c r="B588" s="3"/>
      <c r="C588" s="16"/>
      <c r="D588" s="1594"/>
      <c r="E588" s="61">
        <v>7</v>
      </c>
      <c r="F588" s="17"/>
      <c r="G588" s="17"/>
      <c r="H588" s="1414"/>
      <c r="I588" s="1414"/>
      <c r="J588" s="115"/>
      <c r="K588" s="115"/>
      <c r="L588" s="115"/>
      <c r="M588" s="115"/>
      <c r="N588" s="116"/>
      <c r="O588" s="18">
        <f>IF(A37taxstdlife="n/a","n/a",IF(O$3&gt;(A37taxstdlife+$E588),('RFM input'!$N$97-'RFM input'!$N$151)-SUM($N588:N588),('RFM input'!$N$97-'RFM input'!$N$151)/A37taxstdlife))</f>
        <v>0</v>
      </c>
      <c r="P588" s="18">
        <f>IF(A37taxstdlife="n/a","n/a",IF(P$3&gt;(A37taxstdlife+$E588),('RFM input'!$N$97-'RFM input'!$N$151)-SUM($N588:O588),('RFM input'!$N$97-'RFM input'!$N$151)/A37taxstdlife))</f>
        <v>0</v>
      </c>
      <c r="Q588" s="18">
        <f>IF(A37taxstdlife="n/a","n/a",IF(Q$3&gt;(A37taxstdlife+$E588),('RFM input'!$N$97-'RFM input'!$N$151)-SUM($N588:P588),('RFM input'!$N$97-'RFM input'!$N$151)/A37taxstdlife))</f>
        <v>0</v>
      </c>
      <c r="R588" s="18"/>
      <c r="S588" s="74"/>
      <c r="T588" s="74"/>
      <c r="U588" s="74"/>
      <c r="V588" s="74"/>
      <c r="W588" s="74"/>
      <c r="X588" s="74"/>
      <c r="Y588" s="74"/>
      <c r="Z588" s="74"/>
      <c r="AA588" s="152"/>
    </row>
    <row r="589" spans="1:27" ht="12.75" hidden="1" customHeight="1" outlineLevel="2">
      <c r="A589" s="3"/>
      <c r="B589" s="3"/>
      <c r="C589" s="16"/>
      <c r="D589" s="1594"/>
      <c r="E589" s="61">
        <v>8</v>
      </c>
      <c r="F589" s="17"/>
      <c r="G589" s="17"/>
      <c r="H589" s="1414"/>
      <c r="I589" s="1414"/>
      <c r="J589" s="115"/>
      <c r="K589" s="115"/>
      <c r="L589" s="115"/>
      <c r="M589" s="115"/>
      <c r="N589" s="115"/>
      <c r="O589" s="116"/>
      <c r="P589" s="18">
        <f>IF(A37taxstdlife="n/a","n/a",IF(P$3&gt;(A37taxstdlife+$E589),('RFM input'!$O$97-'RFM input'!$O$151)-SUM($O589:O589),('RFM input'!$O$97-'RFM input'!$O$151)/A37taxstdlife))</f>
        <v>0</v>
      </c>
      <c r="Q589" s="18">
        <f>IF(A37taxstdlife="n/a","n/a",IF(Q$3&gt;(A37taxstdlife+$E589),('RFM input'!$O$97-'RFM input'!$O$151)-SUM($O589:P589),('RFM input'!$O$97-'RFM input'!$O$151)/A37taxstdlife))</f>
        <v>0</v>
      </c>
      <c r="R589" s="18"/>
      <c r="S589" s="74"/>
      <c r="T589" s="74"/>
      <c r="U589" s="74"/>
      <c r="V589" s="74"/>
      <c r="W589" s="74"/>
      <c r="X589" s="74"/>
      <c r="Y589" s="74"/>
      <c r="Z589" s="74"/>
      <c r="AA589" s="152"/>
    </row>
    <row r="590" spans="1:27" ht="12.75" hidden="1" customHeight="1" outlineLevel="2">
      <c r="A590" s="3"/>
      <c r="B590" s="3"/>
      <c r="C590" s="16"/>
      <c r="D590" s="1594"/>
      <c r="E590" s="61">
        <v>9</v>
      </c>
      <c r="F590" s="17"/>
      <c r="G590" s="17"/>
      <c r="H590" s="1414"/>
      <c r="I590" s="1414"/>
      <c r="J590" s="115"/>
      <c r="K590" s="115"/>
      <c r="L590" s="115"/>
      <c r="M590" s="115"/>
      <c r="N590" s="115"/>
      <c r="O590" s="115"/>
      <c r="P590" s="116"/>
      <c r="Q590" s="18">
        <f>IF(A37taxstdlife="n/a","n/a",IF(Q$3&gt;(A37taxstdlife+$E590),('RFM input'!$P$97-'RFM input'!$P$151)-SUM($P590:P590),('RFM input'!$P$97-'RFM input'!$P$151)/A37taxstdlife))</f>
        <v>0</v>
      </c>
      <c r="R590" s="18"/>
      <c r="S590" s="74"/>
      <c r="T590" s="74"/>
      <c r="U590" s="74"/>
      <c r="V590" s="74"/>
      <c r="W590" s="74"/>
      <c r="X590" s="74"/>
      <c r="Y590" s="74"/>
      <c r="Z590" s="74"/>
      <c r="AA590" s="152"/>
    </row>
    <row r="591" spans="1:27" ht="12.75" hidden="1" customHeight="1" outlineLevel="2">
      <c r="A591" s="3"/>
      <c r="B591" s="3"/>
      <c r="C591" s="16"/>
      <c r="D591" s="1594"/>
      <c r="E591" s="62">
        <v>10</v>
      </c>
      <c r="F591" s="17"/>
      <c r="G591" s="17"/>
      <c r="H591" s="1414"/>
      <c r="I591" s="1414"/>
      <c r="J591" s="115"/>
      <c r="K591" s="115"/>
      <c r="L591" s="115"/>
      <c r="M591" s="115"/>
      <c r="N591" s="115"/>
      <c r="O591" s="115"/>
      <c r="P591" s="115"/>
      <c r="Q591" s="116"/>
      <c r="R591" s="18"/>
      <c r="S591" s="74"/>
      <c r="T591" s="74"/>
      <c r="U591" s="74"/>
      <c r="V591" s="74"/>
      <c r="W591" s="74"/>
      <c r="X591" s="74"/>
      <c r="Y591" s="74"/>
      <c r="Z591" s="74"/>
      <c r="AA591" s="152"/>
    </row>
    <row r="592" spans="1:27" hidden="1" outlineLevel="1">
      <c r="A592" s="3"/>
      <c r="B592" s="3"/>
      <c r="C592" s="134">
        <f>Asset37</f>
        <v>0</v>
      </c>
      <c r="D592" s="3"/>
      <c r="E592" s="3"/>
      <c r="F592" s="14"/>
      <c r="G592" s="14"/>
      <c r="H592" s="1460">
        <f>IF('RFM input'!$G$354="Tracked",-1*INDEX('RFM input'!H$358:H$407,MATCH('TAB roll forward'!$C592,'RFM input'!$E$358:$E$407,0)),-SUM(H580:H591))</f>
        <v>0</v>
      </c>
      <c r="I592" s="1460">
        <f>IF('RFM input'!$G$354="Tracked",-1*INDEX('RFM input'!I$358:I$407,MATCH('TAB roll forward'!$C592,'RFM input'!$E$358:$E$407,0)),-SUM(I580:I591))</f>
        <v>0</v>
      </c>
      <c r="J592" s="1460">
        <f>IF(COUNT($H592:I592)&gt;='RFM input'!$V$7,0,IF('RFM input'!$G$354="Tracked",-1*INDEX('RFM input'!J$358:J$407,MATCH('TAB roll forward'!$C592,'RFM input'!$E$358:$E$407,0)),-SUM(J580:J591)))</f>
        <v>0</v>
      </c>
      <c r="K592" s="1460">
        <f>IF(COUNT($H592:J592)&gt;='RFM input'!$V$7,0,IF('RFM input'!$G$354="Tracked",-1*INDEX('RFM input'!K$358:K$407,MATCH('TAB roll forward'!$C592,'RFM input'!$E$358:$E$407,0)),-SUM(K580:K591)))</f>
        <v>0</v>
      </c>
      <c r="L592" s="1460">
        <f>IF(COUNT($H592:K592)&gt;='RFM input'!$V$7,0,IF('RFM input'!$G$354="Tracked",-1*INDEX('RFM input'!L$358:L$407,MATCH('TAB roll forward'!$C592,'RFM input'!$E$358:$E$407,0)),-SUM(L580:L591)))</f>
        <v>0</v>
      </c>
      <c r="M592" s="1460">
        <f>IF(COUNT($H592:L592)&gt;='RFM input'!$V$7,0,IF('RFM input'!$G$354="Tracked",-1*INDEX('RFM input'!M$358:M$407,MATCH('TAB roll forward'!$C592,'RFM input'!$E$358:$E$407,0)),-SUM(M580:M591)))</f>
        <v>0</v>
      </c>
      <c r="N592" s="1460">
        <f>IF(COUNT($H592:M592)&gt;='RFM input'!$V$7,0,IF('RFM input'!$G$354="Tracked",-1*INDEX('RFM input'!N$358:N$407,MATCH('TAB roll forward'!$C592,'RFM input'!$E$358:$E$407,0)),-SUM(N580:N591)))</f>
        <v>0</v>
      </c>
      <c r="O592" s="1460">
        <f>IF(COUNT($H592:N592)&gt;='RFM input'!$V$7,0,IF('RFM input'!$G$354="Tracked",-1*INDEX('RFM input'!O$358:O$407,MATCH('TAB roll forward'!$C592,'RFM input'!$E$358:$E$407,0)),-SUM(O580:O591)))</f>
        <v>0</v>
      </c>
      <c r="P592" s="1460">
        <f>IF(COUNT($H592:O592)&gt;='RFM input'!$V$7,0,IF('RFM input'!$G$354="Tracked",-1*INDEX('RFM input'!P$358:P$407,MATCH('TAB roll forward'!$C592,'RFM input'!$E$358:$E$407,0)),-SUM(P580:P591)))</f>
        <v>0</v>
      </c>
      <c r="Q592" s="1460">
        <f>IF(COUNT($H592:P592)&gt;='RFM input'!$V$7,0,IF('RFM input'!$G$354="Tracked",-1*INDEX('RFM input'!Q$358:Q$407,MATCH('TAB roll forward'!$C592,'RFM input'!$E$358:$E$407,0)),-SUM(Q580:Q591)))</f>
        <v>0</v>
      </c>
      <c r="R592" s="1382"/>
      <c r="S592" s="73"/>
      <c r="T592" s="73"/>
      <c r="U592" s="73"/>
      <c r="V592" s="73"/>
      <c r="W592" s="73"/>
      <c r="X592" s="73"/>
      <c r="Y592" s="73"/>
      <c r="Z592" s="73"/>
      <c r="AA592" s="152"/>
    </row>
    <row r="593" spans="1:27" ht="12.75" hidden="1" customHeight="1" outlineLevel="2">
      <c r="A593" s="3"/>
      <c r="B593" s="135">
        <f>Asset38</f>
        <v>0</v>
      </c>
      <c r="C593" s="19"/>
      <c r="D593" s="234" t="s">
        <v>119</v>
      </c>
      <c r="E593" s="19"/>
      <c r="F593" s="148"/>
      <c r="G593" s="148"/>
      <c r="H593" s="21">
        <f>IF(H$3&gt;A38taxremlife,A38taxvalue-SUM($F593:F593),IF(A38taxremlife="N/A","n/a",A38taxvalue/A38taxremlife))</f>
        <v>0</v>
      </c>
      <c r="I593" s="21">
        <f>IF(I$3&gt;A38taxremlife,A38taxvalue-SUM($F593:H593),IF(A38taxremlife="N/A","n/a",A38taxvalue/A38taxremlife))</f>
        <v>0</v>
      </c>
      <c r="J593" s="21">
        <f>IF(J$3&gt;A38taxremlife,A38taxvalue-SUM($F593:I593),IF(A38taxremlife="N/A","n/a",A38taxvalue/A38taxremlife))</f>
        <v>0</v>
      </c>
      <c r="K593" s="21">
        <f>IF(K$3&gt;A38taxremlife,A38taxvalue-SUM($F593:J593),IF(A38taxremlife="N/A","n/a",A38taxvalue/A38taxremlife))</f>
        <v>0</v>
      </c>
      <c r="L593" s="21">
        <f>IF(L$3&gt;A38taxremlife,A38taxvalue-SUM($F593:K593),IF(A38taxremlife="N/A","n/a",A38taxvalue/A38taxremlife))</f>
        <v>0</v>
      </c>
      <c r="M593" s="21">
        <f>IF(M$3&gt;A38taxremlife,A38taxvalue-SUM($F593:L593),IF(A38taxremlife="N/A","n/a",A38taxvalue/A38taxremlife))</f>
        <v>0</v>
      </c>
      <c r="N593" s="21">
        <f>IF(N$3&gt;A38taxremlife,A38taxvalue-SUM($F593:M593),IF(A38taxremlife="N/A","n/a",A38taxvalue/A38taxremlife))</f>
        <v>0</v>
      </c>
      <c r="O593" s="21">
        <f>IF(O$3&gt;A38taxremlife,A38taxvalue-SUM($F593:N593),IF(A38taxremlife="N/A","n/a",A38taxvalue/A38taxremlife))</f>
        <v>0</v>
      </c>
      <c r="P593" s="21">
        <f>IF(P$3&gt;A38taxremlife,A38taxvalue-SUM($F593:O593),IF(A38taxremlife="N/A","n/a",A38taxvalue/A38taxremlife))</f>
        <v>0</v>
      </c>
      <c r="Q593" s="21">
        <f>IF(Q$3&gt;A38taxremlife,A38taxvalue-SUM($F593:P593),IF(A38taxremlife="N/A","n/a",A38taxvalue/A38taxremlife))</f>
        <v>0</v>
      </c>
      <c r="R593" s="21"/>
      <c r="S593" s="74"/>
      <c r="T593" s="74"/>
      <c r="U593" s="74"/>
      <c r="V593" s="74"/>
      <c r="W593" s="74"/>
      <c r="X593" s="74"/>
      <c r="Y593" s="74"/>
      <c r="Z593" s="74"/>
      <c r="AA593" s="152"/>
    </row>
    <row r="594" spans="1:27" ht="12.75" hidden="1" customHeight="1" outlineLevel="2">
      <c r="A594" s="3"/>
      <c r="B594" s="3"/>
      <c r="C594" s="16"/>
      <c r="D594" s="1593" t="s">
        <v>43</v>
      </c>
      <c r="E594" s="61"/>
      <c r="F594" s="17"/>
      <c r="G594" s="17"/>
      <c r="H594" s="1413"/>
      <c r="I594" s="72"/>
      <c r="J594" s="18"/>
      <c r="K594" s="18"/>
      <c r="L594" s="18"/>
      <c r="M594" s="18"/>
      <c r="N594" s="18"/>
      <c r="O594" s="18"/>
      <c r="P594" s="18"/>
      <c r="Q594" s="18"/>
      <c r="R594" s="18"/>
      <c r="S594" s="74"/>
      <c r="T594" s="74"/>
      <c r="U594" s="74"/>
      <c r="V594" s="74"/>
      <c r="W594" s="74"/>
      <c r="X594" s="74"/>
      <c r="Y594" s="74"/>
      <c r="Z594" s="74"/>
      <c r="AA594" s="152"/>
    </row>
    <row r="595" spans="1:27" ht="12.75" hidden="1" customHeight="1" outlineLevel="2">
      <c r="A595" s="3"/>
      <c r="B595" s="3"/>
      <c r="C595" s="16"/>
      <c r="D595" s="1594"/>
      <c r="E595" s="61">
        <v>1</v>
      </c>
      <c r="F595" s="17"/>
      <c r="G595" s="17"/>
      <c r="H595" s="1414"/>
      <c r="I595" s="1415">
        <f>IF(A38taxstdlife="n/a","n/a",IF(I$3&gt;(A38taxstdlife+$E595),('RFM input'!$H$98-'RFM input'!$H$152)-SUM($H595:H595),('RFM input'!$H$98-'RFM input'!$H$152)/A38taxstdlife))</f>
        <v>0</v>
      </c>
      <c r="J595" s="18">
        <f>IF(A38taxstdlife="n/a","n/a",IF(J$3&gt;(A38taxstdlife+$E595),('RFM input'!$H$98-'RFM input'!$H$152)-SUM($H595:I595),('RFM input'!$H$98-'RFM input'!$H$152)/A38taxstdlife))</f>
        <v>0</v>
      </c>
      <c r="K595" s="18">
        <f>IF(A38taxstdlife="n/a","n/a",IF(K$3&gt;(A38taxstdlife+$E595),('RFM input'!$H$98-'RFM input'!$H$152)-SUM($H595:J595),('RFM input'!$H$98-'RFM input'!$H$152)/A38taxstdlife))</f>
        <v>0</v>
      </c>
      <c r="L595" s="18">
        <f>IF(A38taxstdlife="n/a","n/a",IF(L$3&gt;(A38taxstdlife+$E595),('RFM input'!$H$98-'RFM input'!$H$152)-SUM($H595:K595),('RFM input'!$H$98-'RFM input'!$H$152)/A38taxstdlife))</f>
        <v>0</v>
      </c>
      <c r="M595" s="18">
        <f>IF(A38taxstdlife="n/a","n/a",IF(M$3&gt;(A38taxstdlife+$E595),('RFM input'!$H$98-'RFM input'!$H$152)-SUM($H595:L595),('RFM input'!$H$98-'RFM input'!$H$152)/A38taxstdlife))</f>
        <v>0</v>
      </c>
      <c r="N595" s="18">
        <f>IF(A38taxstdlife="n/a","n/a",IF(N$3&gt;(A38taxstdlife+$E595),('RFM input'!$H$98-'RFM input'!$H$152)-SUM($H595:M595),('RFM input'!$H$98-'RFM input'!$H$152)/A38taxstdlife))</f>
        <v>0</v>
      </c>
      <c r="O595" s="18">
        <f>IF(A38taxstdlife="n/a","n/a",IF(O$3&gt;(A38taxstdlife+$E595),('RFM input'!$H$98-'RFM input'!$H$152)-SUM($H595:N595),('RFM input'!$H$98-'RFM input'!$H$152)/A38taxstdlife))</f>
        <v>0</v>
      </c>
      <c r="P595" s="18">
        <f>IF(A38taxstdlife="n/a","n/a",IF(P$3&gt;(A38taxstdlife+$E595),('RFM input'!$H$98-'RFM input'!$H$152)-SUM($H595:O595),('RFM input'!$H$98-'RFM input'!$H$152)/A38taxstdlife))</f>
        <v>0</v>
      </c>
      <c r="Q595" s="18">
        <f>IF(A38taxstdlife="n/a","n/a",IF(Q$3&gt;(A38taxstdlife+$E595),('RFM input'!$H$98-'RFM input'!$H$152)-SUM($H595:P595),('RFM input'!$H$98-'RFM input'!$H$152)/A38taxstdlife))</f>
        <v>0</v>
      </c>
      <c r="R595" s="18"/>
      <c r="S595" s="74"/>
      <c r="T595" s="74"/>
      <c r="U595" s="74"/>
      <c r="V595" s="74"/>
      <c r="W595" s="74"/>
      <c r="X595" s="74"/>
      <c r="Y595" s="74"/>
      <c r="Z595" s="74"/>
      <c r="AA595" s="152"/>
    </row>
    <row r="596" spans="1:27" ht="12.75" hidden="1" customHeight="1" outlineLevel="2">
      <c r="A596" s="3"/>
      <c r="B596" s="3"/>
      <c r="C596" s="16"/>
      <c r="D596" s="1594"/>
      <c r="E596" s="61">
        <v>2</v>
      </c>
      <c r="F596" s="17"/>
      <c r="G596" s="17"/>
      <c r="H596" s="1414"/>
      <c r="I596" s="1414"/>
      <c r="J596" s="18">
        <f>IF(A38taxstdlife="n/a","n/a",IF(J$3&gt;(A38taxstdlife+$E596),('RFM input'!$I$98-'RFM input'!$I$152)-SUM($I596:I596),('RFM input'!$I$98-'RFM input'!$I$152)/A38taxstdlife))</f>
        <v>0</v>
      </c>
      <c r="K596" s="18">
        <f>IF(A38taxstdlife="n/a","n/a",IF(K$3&gt;(A38taxstdlife+$E596),('RFM input'!$I$98-'RFM input'!$I$152)-SUM($I596:J596),('RFM input'!$I$98-'RFM input'!$I$152)/A38taxstdlife))</f>
        <v>0</v>
      </c>
      <c r="L596" s="18">
        <f>IF(A38taxstdlife="n/a","n/a",IF(L$3&gt;(A38taxstdlife+$E596),('RFM input'!$I$98-'RFM input'!$I$152)-SUM($I596:K596),('RFM input'!$I$98-'RFM input'!$I$152)/A38taxstdlife))</f>
        <v>0</v>
      </c>
      <c r="M596" s="18">
        <f>IF(A38taxstdlife="n/a","n/a",IF(M$3&gt;(A38taxstdlife+$E596),('RFM input'!$I$98-'RFM input'!$I$152)-SUM($I596:L596),('RFM input'!$I$98-'RFM input'!$I$152)/A38taxstdlife))</f>
        <v>0</v>
      </c>
      <c r="N596" s="18">
        <f>IF(A38taxstdlife="n/a","n/a",IF(N$3&gt;(A38taxstdlife+$E596),('RFM input'!$I$98-'RFM input'!$I$152)-SUM($I596:M596),('RFM input'!$I$98-'RFM input'!$I$152)/A38taxstdlife))</f>
        <v>0</v>
      </c>
      <c r="O596" s="18">
        <f>IF(A38taxstdlife="n/a","n/a",IF(O$3&gt;(A38taxstdlife+$E596),('RFM input'!$I$98-'RFM input'!$I$152)-SUM($I596:N596),('RFM input'!$I$98-'RFM input'!$I$152)/A38taxstdlife))</f>
        <v>0</v>
      </c>
      <c r="P596" s="18">
        <f>IF(A38taxstdlife="n/a","n/a",IF(P$3&gt;(A38taxstdlife+$E596),('RFM input'!$I$98-'RFM input'!$I$152)-SUM($I596:O596),('RFM input'!$I$98-'RFM input'!$I$152)/A38taxstdlife))</f>
        <v>0</v>
      </c>
      <c r="Q596" s="18">
        <f>IF(A38taxstdlife="n/a","n/a",IF(Q$3&gt;(A38taxstdlife+$E596),('RFM input'!$I$98-'RFM input'!$I$152)-SUM($I596:P596),('RFM input'!$I$98-'RFM input'!$I$152)/A38taxstdlife))</f>
        <v>0</v>
      </c>
      <c r="R596" s="18"/>
      <c r="S596" s="74"/>
      <c r="T596" s="74"/>
      <c r="U596" s="74"/>
      <c r="V596" s="74"/>
      <c r="W596" s="74"/>
      <c r="X596" s="74"/>
      <c r="Y596" s="74"/>
      <c r="Z596" s="74"/>
      <c r="AA596" s="152"/>
    </row>
    <row r="597" spans="1:27" ht="12.75" hidden="1" customHeight="1" outlineLevel="2">
      <c r="A597" s="3"/>
      <c r="B597" s="3"/>
      <c r="C597" s="16"/>
      <c r="D597" s="1594"/>
      <c r="E597" s="61">
        <v>3</v>
      </c>
      <c r="F597" s="17"/>
      <c r="G597" s="17"/>
      <c r="H597" s="1414"/>
      <c r="I597" s="1414"/>
      <c r="J597" s="116"/>
      <c r="K597" s="18">
        <f>IF(A38taxstdlife="n/a","n/a",IF(K$3&gt;(A38taxstdlife+$E597),('RFM input'!$J$98-'RFM input'!$J$152)-SUM($J597:J597),('RFM input'!$J$98-'RFM input'!$J$152)/A38taxstdlife))</f>
        <v>0</v>
      </c>
      <c r="L597" s="18">
        <f>IF(A38taxstdlife="n/a","n/a",IF(L$3&gt;(A38taxstdlife+$E597),('RFM input'!$J$98-'RFM input'!$J$152)-SUM($J597:K597),('RFM input'!$J$98-'RFM input'!$J$152)/A38taxstdlife))</f>
        <v>0</v>
      </c>
      <c r="M597" s="18">
        <f>IF(A38taxstdlife="n/a","n/a",IF(M$3&gt;(A38taxstdlife+$E597),('RFM input'!$J$98-'RFM input'!$J$152)-SUM($J597:L597),('RFM input'!$J$98-'RFM input'!$J$152)/A38taxstdlife))</f>
        <v>0</v>
      </c>
      <c r="N597" s="18">
        <f>IF(A38taxstdlife="n/a","n/a",IF(N$3&gt;(A38taxstdlife+$E597),('RFM input'!$J$98-'RFM input'!$J$152)-SUM($J597:M597),('RFM input'!$J$98-'RFM input'!$J$152)/A38taxstdlife))</f>
        <v>0</v>
      </c>
      <c r="O597" s="18">
        <f>IF(A38taxstdlife="n/a","n/a",IF(O$3&gt;(A38taxstdlife+$E597),('RFM input'!$J$98-'RFM input'!$J$152)-SUM($J597:N597),('RFM input'!$J$98-'RFM input'!$J$152)/A38taxstdlife))</f>
        <v>0</v>
      </c>
      <c r="P597" s="18">
        <f>IF(A38taxstdlife="n/a","n/a",IF(P$3&gt;(A38taxstdlife+$E597),('RFM input'!$J$98-'RFM input'!$J$152)-SUM($J597:O597),('RFM input'!$J$98-'RFM input'!$J$152)/A38taxstdlife))</f>
        <v>0</v>
      </c>
      <c r="Q597" s="18">
        <f>IF(A38taxstdlife="n/a","n/a",IF(Q$3&gt;(A38taxstdlife+$E597),('RFM input'!$J$98-'RFM input'!$J$152)-SUM($J597:P597),('RFM input'!$J$98-'RFM input'!$J$152)/A38taxstdlife))</f>
        <v>0</v>
      </c>
      <c r="R597" s="18"/>
      <c r="S597" s="74"/>
      <c r="T597" s="74"/>
      <c r="U597" s="74"/>
      <c r="V597" s="74"/>
      <c r="W597" s="74"/>
      <c r="X597" s="74"/>
      <c r="Y597" s="74"/>
      <c r="Z597" s="74"/>
      <c r="AA597" s="152"/>
    </row>
    <row r="598" spans="1:27" ht="12.75" hidden="1" customHeight="1" outlineLevel="2">
      <c r="A598" s="3"/>
      <c r="B598" s="3"/>
      <c r="C598" s="16"/>
      <c r="D598" s="1594"/>
      <c r="E598" s="61">
        <v>4</v>
      </c>
      <c r="F598" s="17"/>
      <c r="G598" s="17"/>
      <c r="H598" s="1414"/>
      <c r="I598" s="1414"/>
      <c r="J598" s="115"/>
      <c r="K598" s="116"/>
      <c r="L598" s="18">
        <f>IF(A38taxstdlife="n/a","n/a",IF(L$3&gt;(A38taxstdlife+$E598),('RFM input'!$K$98-'RFM input'!$K$152)-SUM($K598:K598),('RFM input'!$K$98-'RFM input'!$K$152)/A38taxstdlife))</f>
        <v>0</v>
      </c>
      <c r="M598" s="18">
        <f>IF(A38taxstdlife="n/a","n/a",IF(M$3&gt;(A38taxstdlife+$E598),('RFM input'!$K$98-'RFM input'!$K$152)-SUM($K598:L598),('RFM input'!$K$98-'RFM input'!$K$152)/A38taxstdlife))</f>
        <v>0</v>
      </c>
      <c r="N598" s="18">
        <f>IF(A38taxstdlife="n/a","n/a",IF(N$3&gt;(A38taxstdlife+$E598),('RFM input'!$K$98-'RFM input'!$K$152)-SUM($K598:M598),('RFM input'!$K$98-'RFM input'!$K$152)/A38taxstdlife))</f>
        <v>0</v>
      </c>
      <c r="O598" s="18">
        <f>IF(A38taxstdlife="n/a","n/a",IF(O$3&gt;(A38taxstdlife+$E598),('RFM input'!$K$98-'RFM input'!$K$152)-SUM($K598:N598),('RFM input'!$K$98-'RFM input'!$K$152)/A38taxstdlife))</f>
        <v>0</v>
      </c>
      <c r="P598" s="18">
        <f>IF(A38taxstdlife="n/a","n/a",IF(P$3&gt;(A38taxstdlife+$E598),('RFM input'!$K$98-'RFM input'!$K$152)-SUM($K598:O598),('RFM input'!$K$98-'RFM input'!$K$152)/A38taxstdlife))</f>
        <v>0</v>
      </c>
      <c r="Q598" s="18">
        <f>IF(A38taxstdlife="n/a","n/a",IF(Q$3&gt;(A38taxstdlife+$E598),('RFM input'!$K$98-'RFM input'!$K$152)-SUM($K598:P598),('RFM input'!$K$98-'RFM input'!$K$152)/A38taxstdlife))</f>
        <v>0</v>
      </c>
      <c r="R598" s="18"/>
      <c r="S598" s="74"/>
      <c r="T598" s="74"/>
      <c r="U598" s="74"/>
      <c r="V598" s="74"/>
      <c r="W598" s="74"/>
      <c r="X598" s="74"/>
      <c r="Y598" s="74"/>
      <c r="Z598" s="74"/>
      <c r="AA598" s="152"/>
    </row>
    <row r="599" spans="1:27" ht="12.75" hidden="1" customHeight="1" outlineLevel="2">
      <c r="A599" s="3"/>
      <c r="B599" s="3"/>
      <c r="C599" s="16"/>
      <c r="D599" s="1594"/>
      <c r="E599" s="61">
        <v>5</v>
      </c>
      <c r="F599" s="17"/>
      <c r="G599" s="17"/>
      <c r="H599" s="1414"/>
      <c r="I599" s="1414"/>
      <c r="J599" s="115"/>
      <c r="K599" s="115"/>
      <c r="L599" s="116"/>
      <c r="M599" s="18">
        <f>IF(A38taxstdlife="n/a","n/a",IF(M$3&gt;(A38taxstdlife+$E599),('RFM input'!$L$98-'RFM input'!$L$152)-SUM($L599:L599),('RFM input'!$L$98-'RFM input'!$L$152)/A38taxstdlife))</f>
        <v>0</v>
      </c>
      <c r="N599" s="18">
        <f>IF(A38taxstdlife="n/a","n/a",IF(N$3&gt;(A38taxstdlife+$E599),('RFM input'!$L$98-'RFM input'!$L$152)-SUM($L599:M599),('RFM input'!$L$98-'RFM input'!$L$152)/A38taxstdlife))</f>
        <v>0</v>
      </c>
      <c r="O599" s="18">
        <f>IF(A38taxstdlife="n/a","n/a",IF(O$3&gt;(A38taxstdlife+$E599),('RFM input'!$L$98-'RFM input'!$L$152)-SUM($L599:N599),('RFM input'!$L$98-'RFM input'!$L$152)/A38taxstdlife))</f>
        <v>0</v>
      </c>
      <c r="P599" s="18">
        <f>IF(A38taxstdlife="n/a","n/a",IF(P$3&gt;(A38taxstdlife+$E599),('RFM input'!$L$98-'RFM input'!$L$152)-SUM($L599:O599),('RFM input'!$L$98-'RFM input'!$L$152)/A38taxstdlife))</f>
        <v>0</v>
      </c>
      <c r="Q599" s="18">
        <f>IF(A38taxstdlife="n/a","n/a",IF(Q$3&gt;(A38taxstdlife+$E599),('RFM input'!$L$98-'RFM input'!$L$152)-SUM($L599:P599),('RFM input'!$L$98-'RFM input'!$L$152)/A38taxstdlife))</f>
        <v>0</v>
      </c>
      <c r="R599" s="18"/>
      <c r="S599" s="74"/>
      <c r="T599" s="74"/>
      <c r="U599" s="74"/>
      <c r="V599" s="74"/>
      <c r="W599" s="74"/>
      <c r="X599" s="74"/>
      <c r="Y599" s="74"/>
      <c r="Z599" s="74"/>
      <c r="AA599" s="152"/>
    </row>
    <row r="600" spans="1:27" ht="12.75" hidden="1" customHeight="1" outlineLevel="2">
      <c r="A600" s="3"/>
      <c r="B600" s="3"/>
      <c r="C600" s="16"/>
      <c r="D600" s="1594"/>
      <c r="E600" s="61">
        <v>6</v>
      </c>
      <c r="F600" s="17"/>
      <c r="G600" s="17"/>
      <c r="H600" s="1414"/>
      <c r="I600" s="1414"/>
      <c r="J600" s="115"/>
      <c r="K600" s="115"/>
      <c r="L600" s="115"/>
      <c r="M600" s="116"/>
      <c r="N600" s="18">
        <f>IF(A38taxstdlife="n/a","n/a",IF(N$3&gt;(A38taxstdlife+$E600),('RFM input'!$M$98-'RFM input'!$M$152)-SUM($M600:M600),('RFM input'!$M$98-'RFM input'!$M$152)/A38taxstdlife))</f>
        <v>0</v>
      </c>
      <c r="O600" s="18">
        <f>IF(A38taxstdlife="n/a","n/a",IF(O$3&gt;(A38taxstdlife+$E600),('RFM input'!$M$98-'RFM input'!$M$152)-SUM($M600:N600),('RFM input'!$M$98-'RFM input'!$M$152)/A38taxstdlife))</f>
        <v>0</v>
      </c>
      <c r="P600" s="18">
        <f>IF(A38taxstdlife="n/a","n/a",IF(P$3&gt;(A38taxstdlife+$E600),('RFM input'!$M$98-'RFM input'!$M$152)-SUM($M600:O600),('RFM input'!$M$98-'RFM input'!$M$152)/A38taxstdlife))</f>
        <v>0</v>
      </c>
      <c r="Q600" s="18">
        <f>IF(A38taxstdlife="n/a","n/a",IF(Q$3&gt;(A38taxstdlife+$E600),('RFM input'!$M$98-'RFM input'!$M$152)-SUM($M600:P600),('RFM input'!$M$98-'RFM input'!$M$152)/A38taxstdlife))</f>
        <v>0</v>
      </c>
      <c r="R600" s="18"/>
      <c r="S600" s="74"/>
      <c r="T600" s="74"/>
      <c r="U600" s="74"/>
      <c r="V600" s="74"/>
      <c r="W600" s="74"/>
      <c r="X600" s="74"/>
      <c r="Y600" s="74"/>
      <c r="Z600" s="74"/>
      <c r="AA600" s="152"/>
    </row>
    <row r="601" spans="1:27" ht="12.75" hidden="1" customHeight="1" outlineLevel="2">
      <c r="A601" s="3"/>
      <c r="B601" s="3"/>
      <c r="C601" s="16"/>
      <c r="D601" s="1594"/>
      <c r="E601" s="61">
        <v>7</v>
      </c>
      <c r="F601" s="17"/>
      <c r="G601" s="17"/>
      <c r="H601" s="1414"/>
      <c r="I601" s="1414"/>
      <c r="J601" s="115"/>
      <c r="K601" s="115"/>
      <c r="L601" s="115"/>
      <c r="M601" s="115"/>
      <c r="N601" s="116"/>
      <c r="O601" s="18">
        <f>IF(A38taxstdlife="n/a","n/a",IF(O$3&gt;(A38taxstdlife+$E601),('RFM input'!$N$98-'RFM input'!$N$152)-SUM($N601:N601),('RFM input'!$N$98-'RFM input'!$N$152)/A38taxstdlife))</f>
        <v>0</v>
      </c>
      <c r="P601" s="18">
        <f>IF(A38taxstdlife="n/a","n/a",IF(P$3&gt;(A38taxstdlife+$E601),('RFM input'!$N$98-'RFM input'!$N$152)-SUM($N601:O601),('RFM input'!$N$98-'RFM input'!$N$152)/A38taxstdlife))</f>
        <v>0</v>
      </c>
      <c r="Q601" s="18">
        <f>IF(A38taxstdlife="n/a","n/a",IF(Q$3&gt;(A38taxstdlife+$E601),('RFM input'!$N$98-'RFM input'!$N$152)-SUM($N601:P601),('RFM input'!$N$98-'RFM input'!$N$152)/A38taxstdlife))</f>
        <v>0</v>
      </c>
      <c r="R601" s="18"/>
      <c r="S601" s="74"/>
      <c r="T601" s="74"/>
      <c r="U601" s="74"/>
      <c r="V601" s="74"/>
      <c r="W601" s="74"/>
      <c r="X601" s="74"/>
      <c r="Y601" s="74"/>
      <c r="Z601" s="74"/>
      <c r="AA601" s="152"/>
    </row>
    <row r="602" spans="1:27" ht="12.75" hidden="1" customHeight="1" outlineLevel="2">
      <c r="A602" s="3"/>
      <c r="B602" s="3"/>
      <c r="C602" s="16"/>
      <c r="D602" s="1594"/>
      <c r="E602" s="61">
        <v>8</v>
      </c>
      <c r="F602" s="17"/>
      <c r="G602" s="17"/>
      <c r="H602" s="1414"/>
      <c r="I602" s="1414"/>
      <c r="J602" s="115"/>
      <c r="K602" s="115"/>
      <c r="L602" s="115"/>
      <c r="M602" s="115"/>
      <c r="N602" s="115"/>
      <c r="O602" s="116"/>
      <c r="P602" s="18">
        <f>IF(A38taxstdlife="n/a","n/a",IF(P$3&gt;(A38taxstdlife+$E602),('RFM input'!$O$98-'RFM input'!$O$152)-SUM($O602:O602),('RFM input'!$O$98-'RFM input'!$O$152)/A38taxstdlife))</f>
        <v>0</v>
      </c>
      <c r="Q602" s="18">
        <f>IF(A38taxstdlife="n/a","n/a",IF(Q$3&gt;(A38taxstdlife+$E602),('RFM input'!$O$98-'RFM input'!$O$152)-SUM($O602:P602),('RFM input'!$O$98-'RFM input'!$O$152)/A38taxstdlife))</f>
        <v>0</v>
      </c>
      <c r="R602" s="18"/>
      <c r="S602" s="74"/>
      <c r="T602" s="74"/>
      <c r="U602" s="74"/>
      <c r="V602" s="74"/>
      <c r="W602" s="74"/>
      <c r="X602" s="74"/>
      <c r="Y602" s="74"/>
      <c r="Z602" s="74"/>
      <c r="AA602" s="152"/>
    </row>
    <row r="603" spans="1:27" ht="12.75" hidden="1" customHeight="1" outlineLevel="2">
      <c r="A603" s="3"/>
      <c r="B603" s="3"/>
      <c r="C603" s="16"/>
      <c r="D603" s="1594"/>
      <c r="E603" s="61">
        <v>9</v>
      </c>
      <c r="F603" s="17"/>
      <c r="G603" s="17"/>
      <c r="H603" s="1414"/>
      <c r="I603" s="1414"/>
      <c r="J603" s="115"/>
      <c r="K603" s="115"/>
      <c r="L603" s="115"/>
      <c r="M603" s="115"/>
      <c r="N603" s="115"/>
      <c r="O603" s="115"/>
      <c r="P603" s="116"/>
      <c r="Q603" s="18">
        <f>IF(A38taxstdlife="n/a","n/a",IF(Q$3&gt;(A38taxstdlife+$E603),('RFM input'!$P$98-'RFM input'!$P$152)-SUM($P603:P603),('RFM input'!$P$98-'RFM input'!$P$152)/A38taxstdlife))</f>
        <v>0</v>
      </c>
      <c r="R603" s="18"/>
      <c r="S603" s="74"/>
      <c r="T603" s="74"/>
      <c r="U603" s="74"/>
      <c r="V603" s="74"/>
      <c r="W603" s="74"/>
      <c r="X603" s="74"/>
      <c r="Y603" s="74"/>
      <c r="Z603" s="74"/>
      <c r="AA603" s="152"/>
    </row>
    <row r="604" spans="1:27" ht="12.75" hidden="1" customHeight="1" outlineLevel="2">
      <c r="A604" s="3"/>
      <c r="B604" s="3"/>
      <c r="C604" s="16"/>
      <c r="D604" s="1594"/>
      <c r="E604" s="62">
        <v>10</v>
      </c>
      <c r="F604" s="17"/>
      <c r="G604" s="17"/>
      <c r="H604" s="1414"/>
      <c r="I604" s="1414"/>
      <c r="J604" s="115"/>
      <c r="K604" s="115"/>
      <c r="L604" s="115"/>
      <c r="M604" s="115"/>
      <c r="N604" s="115"/>
      <c r="O604" s="115"/>
      <c r="P604" s="115"/>
      <c r="Q604" s="116"/>
      <c r="R604" s="18"/>
      <c r="S604" s="74"/>
      <c r="T604" s="74"/>
      <c r="U604" s="74"/>
      <c r="V604" s="74"/>
      <c r="W604" s="74"/>
      <c r="X604" s="74"/>
      <c r="Y604" s="74"/>
      <c r="Z604" s="74"/>
      <c r="AA604" s="152"/>
    </row>
    <row r="605" spans="1:27" hidden="1" outlineLevel="1">
      <c r="A605" s="3"/>
      <c r="B605" s="3"/>
      <c r="C605" s="134">
        <f>Asset38</f>
        <v>0</v>
      </c>
      <c r="D605" s="3"/>
      <c r="E605" s="3"/>
      <c r="F605" s="14"/>
      <c r="G605" s="14"/>
      <c r="H605" s="1460">
        <f>IF('RFM input'!$G$354="Tracked",-1*INDEX('RFM input'!H$358:H$407,MATCH('TAB roll forward'!$C605,'RFM input'!$E$358:$E$407,0)),-SUM(H593:H604))</f>
        <v>0</v>
      </c>
      <c r="I605" s="1460">
        <f>IF('RFM input'!$G$354="Tracked",-1*INDEX('RFM input'!I$358:I$407,MATCH('TAB roll forward'!$C605,'RFM input'!$E$358:$E$407,0)),-SUM(I593:I604))</f>
        <v>0</v>
      </c>
      <c r="J605" s="1460">
        <f>IF(COUNT($H605:I605)&gt;='RFM input'!$V$7,0,IF('RFM input'!$G$354="Tracked",-1*INDEX('RFM input'!J$358:J$407,MATCH('TAB roll forward'!$C605,'RFM input'!$E$358:$E$407,0)),-SUM(J593:J604)))</f>
        <v>0</v>
      </c>
      <c r="K605" s="1460">
        <f>IF(COUNT($H605:J605)&gt;='RFM input'!$V$7,0,IF('RFM input'!$G$354="Tracked",-1*INDEX('RFM input'!K$358:K$407,MATCH('TAB roll forward'!$C605,'RFM input'!$E$358:$E$407,0)),-SUM(K593:K604)))</f>
        <v>0</v>
      </c>
      <c r="L605" s="1460">
        <f>IF(COUNT($H605:K605)&gt;='RFM input'!$V$7,0,IF('RFM input'!$G$354="Tracked",-1*INDEX('RFM input'!L$358:L$407,MATCH('TAB roll forward'!$C605,'RFM input'!$E$358:$E$407,0)),-SUM(L593:L604)))</f>
        <v>0</v>
      </c>
      <c r="M605" s="1460">
        <f>IF(COUNT($H605:L605)&gt;='RFM input'!$V$7,0,IF('RFM input'!$G$354="Tracked",-1*INDEX('RFM input'!M$358:M$407,MATCH('TAB roll forward'!$C605,'RFM input'!$E$358:$E$407,0)),-SUM(M593:M604)))</f>
        <v>0</v>
      </c>
      <c r="N605" s="1460">
        <f>IF(COUNT($H605:M605)&gt;='RFM input'!$V$7,0,IF('RFM input'!$G$354="Tracked",-1*INDEX('RFM input'!N$358:N$407,MATCH('TAB roll forward'!$C605,'RFM input'!$E$358:$E$407,0)),-SUM(N593:N604)))</f>
        <v>0</v>
      </c>
      <c r="O605" s="1460">
        <f>IF(COUNT($H605:N605)&gt;='RFM input'!$V$7,0,IF('RFM input'!$G$354="Tracked",-1*INDEX('RFM input'!O$358:O$407,MATCH('TAB roll forward'!$C605,'RFM input'!$E$358:$E$407,0)),-SUM(O593:O604)))</f>
        <v>0</v>
      </c>
      <c r="P605" s="1460">
        <f>IF(COUNT($H605:O605)&gt;='RFM input'!$V$7,0,IF('RFM input'!$G$354="Tracked",-1*INDEX('RFM input'!P$358:P$407,MATCH('TAB roll forward'!$C605,'RFM input'!$E$358:$E$407,0)),-SUM(P593:P604)))</f>
        <v>0</v>
      </c>
      <c r="Q605" s="1460">
        <f>IF(COUNT($H605:P605)&gt;='RFM input'!$V$7,0,IF('RFM input'!$G$354="Tracked",-1*INDEX('RFM input'!Q$358:Q$407,MATCH('TAB roll forward'!$C605,'RFM input'!$E$358:$E$407,0)),-SUM(Q593:Q604)))</f>
        <v>0</v>
      </c>
      <c r="R605" s="1382"/>
      <c r="S605" s="73"/>
      <c r="T605" s="73"/>
      <c r="U605" s="73"/>
      <c r="V605" s="73"/>
      <c r="W605" s="73"/>
      <c r="X605" s="73"/>
      <c r="Y605" s="73"/>
      <c r="Z605" s="73"/>
      <c r="AA605" s="152"/>
    </row>
    <row r="606" spans="1:27" ht="12.75" hidden="1" customHeight="1" outlineLevel="2">
      <c r="A606" s="3"/>
      <c r="B606" s="135">
        <f>Asset39</f>
        <v>0</v>
      </c>
      <c r="C606" s="19"/>
      <c r="D606" s="234" t="s">
        <v>119</v>
      </c>
      <c r="E606" s="19"/>
      <c r="F606" s="148"/>
      <c r="G606" s="148"/>
      <c r="H606" s="21">
        <f>IF(H$3&gt;A39taxremlife,A39taxvalue-SUM($F606:F606),IF(A39taxremlife="N/A","n/a",A39taxvalue/A39taxremlife))</f>
        <v>0</v>
      </c>
      <c r="I606" s="21">
        <f>IF(I$3&gt;A39taxremlife,A39taxvalue-SUM($F606:H606),IF(A39taxremlife="N/A","n/a",A39taxvalue/A39taxremlife))</f>
        <v>0</v>
      </c>
      <c r="J606" s="21">
        <f>IF(J$3&gt;A39taxremlife,A39taxvalue-SUM($F606:I606),IF(A39taxremlife="N/A","n/a",A39taxvalue/A39taxremlife))</f>
        <v>0</v>
      </c>
      <c r="K606" s="21">
        <f>IF(K$3&gt;A39taxremlife,A39taxvalue-SUM($F606:J606),IF(A39taxremlife="N/A","n/a",A39taxvalue/A39taxremlife))</f>
        <v>0</v>
      </c>
      <c r="L606" s="21">
        <f>IF(L$3&gt;A39taxremlife,A39taxvalue-SUM($F606:K606),IF(A39taxremlife="N/A","n/a",A39taxvalue/A39taxremlife))</f>
        <v>0</v>
      </c>
      <c r="M606" s="21">
        <f>IF(M$3&gt;A39taxremlife,A39taxvalue-SUM($F606:L606),IF(A39taxremlife="N/A","n/a",A39taxvalue/A39taxremlife))</f>
        <v>0</v>
      </c>
      <c r="N606" s="21">
        <f>IF(N$3&gt;A39taxremlife,A39taxvalue-SUM($F606:M606),IF(A39taxremlife="N/A","n/a",A39taxvalue/A39taxremlife))</f>
        <v>0</v>
      </c>
      <c r="O606" s="21">
        <f>IF(O$3&gt;A39taxremlife,A39taxvalue-SUM($F606:N606),IF(A39taxremlife="N/A","n/a",A39taxvalue/A39taxremlife))</f>
        <v>0</v>
      </c>
      <c r="P606" s="21">
        <f>IF(P$3&gt;A39taxremlife,A39taxvalue-SUM($F606:O606),IF(A39taxremlife="N/A","n/a",A39taxvalue/A39taxremlife))</f>
        <v>0</v>
      </c>
      <c r="Q606" s="21">
        <f>IF(Q$3&gt;A39taxremlife,A39taxvalue-SUM($F606:P606),IF(A39taxremlife="N/A","n/a",A39taxvalue/A39taxremlife))</f>
        <v>0</v>
      </c>
      <c r="R606" s="21"/>
      <c r="S606" s="74"/>
      <c r="T606" s="74"/>
      <c r="U606" s="74"/>
      <c r="V606" s="74"/>
      <c r="W606" s="74"/>
      <c r="X606" s="74"/>
      <c r="Y606" s="74"/>
      <c r="Z606" s="74"/>
      <c r="AA606" s="152"/>
    </row>
    <row r="607" spans="1:27" ht="12.75" hidden="1" customHeight="1" outlineLevel="2">
      <c r="A607" s="3"/>
      <c r="B607" s="3"/>
      <c r="C607" s="16"/>
      <c r="D607" s="1593" t="s">
        <v>43</v>
      </c>
      <c r="E607" s="61"/>
      <c r="F607" s="17"/>
      <c r="G607" s="17"/>
      <c r="H607" s="1413"/>
      <c r="I607" s="72"/>
      <c r="J607" s="18"/>
      <c r="K607" s="18"/>
      <c r="L607" s="18"/>
      <c r="M607" s="18"/>
      <c r="N607" s="18"/>
      <c r="O607" s="18"/>
      <c r="P607" s="18"/>
      <c r="Q607" s="18"/>
      <c r="R607" s="18"/>
      <c r="S607" s="74"/>
      <c r="T607" s="74"/>
      <c r="U607" s="74"/>
      <c r="V607" s="74"/>
      <c r="W607" s="74"/>
      <c r="X607" s="74"/>
      <c r="Y607" s="74"/>
      <c r="Z607" s="74"/>
      <c r="AA607" s="152"/>
    </row>
    <row r="608" spans="1:27" ht="12.75" hidden="1" customHeight="1" outlineLevel="2">
      <c r="A608" s="3"/>
      <c r="B608" s="3"/>
      <c r="C608" s="16"/>
      <c r="D608" s="1594"/>
      <c r="E608" s="61">
        <v>1</v>
      </c>
      <c r="F608" s="17"/>
      <c r="G608" s="17"/>
      <c r="H608" s="1414"/>
      <c r="I608" s="1415">
        <f>IF(A39taxstdlife="n/a","n/a",IF(I$3&gt;(A39taxstdlife+$E608),('RFM input'!$H$99-'RFM input'!$H$153)-SUM($H608:H608),('RFM input'!$H$99-'RFM input'!$H$153)/A39taxstdlife))</f>
        <v>0</v>
      </c>
      <c r="J608" s="18">
        <f>IF(A39taxstdlife="n/a","n/a",IF(J$3&gt;(A39taxstdlife+$E608),('RFM input'!$H$99-'RFM input'!$H$153)-SUM($H608:I608),('RFM input'!$H$99-'RFM input'!$H$153)/A39taxstdlife))</f>
        <v>0</v>
      </c>
      <c r="K608" s="18">
        <f>IF(A39taxstdlife="n/a","n/a",IF(K$3&gt;(A39taxstdlife+$E608),('RFM input'!$H$99-'RFM input'!$H$153)-SUM($H608:J608),('RFM input'!$H$99-'RFM input'!$H$153)/A39taxstdlife))</f>
        <v>0</v>
      </c>
      <c r="L608" s="18">
        <f>IF(A39taxstdlife="n/a","n/a",IF(L$3&gt;(A39taxstdlife+$E608),('RFM input'!$H$99-'RFM input'!$H$153)-SUM($H608:K608),('RFM input'!$H$99-'RFM input'!$H$153)/A39taxstdlife))</f>
        <v>0</v>
      </c>
      <c r="M608" s="18">
        <f>IF(A39taxstdlife="n/a","n/a",IF(M$3&gt;(A39taxstdlife+$E608),('RFM input'!$H$99-'RFM input'!$H$153)-SUM($H608:L608),('RFM input'!$H$99-'RFM input'!$H$153)/A39taxstdlife))</f>
        <v>0</v>
      </c>
      <c r="N608" s="18">
        <f>IF(A39taxstdlife="n/a","n/a",IF(N$3&gt;(A39taxstdlife+$E608),('RFM input'!$H$99-'RFM input'!$H$153)-SUM($H608:M608),('RFM input'!$H$99-'RFM input'!$H$153)/A39taxstdlife))</f>
        <v>0</v>
      </c>
      <c r="O608" s="18">
        <f>IF(A39taxstdlife="n/a","n/a",IF(O$3&gt;(A39taxstdlife+$E608),('RFM input'!$H$99-'RFM input'!$H$153)-SUM($H608:N608),('RFM input'!$H$99-'RFM input'!$H$153)/A39taxstdlife))</f>
        <v>0</v>
      </c>
      <c r="P608" s="18">
        <f>IF(A39taxstdlife="n/a","n/a",IF(P$3&gt;(A39taxstdlife+$E608),('RFM input'!$H$99-'RFM input'!$H$153)-SUM($H608:O608),('RFM input'!$H$99-'RFM input'!$H$153)/A39taxstdlife))</f>
        <v>0</v>
      </c>
      <c r="Q608" s="18">
        <f>IF(A39taxstdlife="n/a","n/a",IF(Q$3&gt;(A39taxstdlife+$E608),('RFM input'!$H$99-'RFM input'!$H$153)-SUM($H608:P608),('RFM input'!$H$99-'RFM input'!$H$153)/A39taxstdlife))</f>
        <v>0</v>
      </c>
      <c r="R608" s="18"/>
      <c r="S608" s="74"/>
      <c r="T608" s="74"/>
      <c r="U608" s="74"/>
      <c r="V608" s="74"/>
      <c r="W608" s="74"/>
      <c r="X608" s="74"/>
      <c r="Y608" s="74"/>
      <c r="Z608" s="74"/>
      <c r="AA608" s="152"/>
    </row>
    <row r="609" spans="1:27" ht="12.75" hidden="1" customHeight="1" outlineLevel="2">
      <c r="A609" s="3"/>
      <c r="B609" s="3"/>
      <c r="C609" s="16"/>
      <c r="D609" s="1594"/>
      <c r="E609" s="61">
        <v>2</v>
      </c>
      <c r="F609" s="17"/>
      <c r="G609" s="17"/>
      <c r="H609" s="1414"/>
      <c r="I609" s="1414"/>
      <c r="J609" s="18">
        <f>IF(A39taxstdlife="n/a","n/a",IF(J$3&gt;(A39taxstdlife+$E609),('RFM input'!$I$99-'RFM input'!$I$153)-SUM($I609:I609),('RFM input'!$I$99-'RFM input'!$I$153)/A39taxstdlife))</f>
        <v>0</v>
      </c>
      <c r="K609" s="18">
        <f>IF(A39taxstdlife="n/a","n/a",IF(K$3&gt;(A39taxstdlife+$E609),('RFM input'!$I$99-'RFM input'!$I$153)-SUM($I609:J609),('RFM input'!$I$99-'RFM input'!$I$153)/A39taxstdlife))</f>
        <v>0</v>
      </c>
      <c r="L609" s="18">
        <f>IF(A39taxstdlife="n/a","n/a",IF(L$3&gt;(A39taxstdlife+$E609),('RFM input'!$I$99-'RFM input'!$I$153)-SUM($I609:K609),('RFM input'!$I$99-'RFM input'!$I$153)/A39taxstdlife))</f>
        <v>0</v>
      </c>
      <c r="M609" s="18">
        <f>IF(A39taxstdlife="n/a","n/a",IF(M$3&gt;(A39taxstdlife+$E609),('RFM input'!$I$99-'RFM input'!$I$153)-SUM($I609:L609),('RFM input'!$I$99-'RFM input'!$I$153)/A39taxstdlife))</f>
        <v>0</v>
      </c>
      <c r="N609" s="18">
        <f>IF(A39taxstdlife="n/a","n/a",IF(N$3&gt;(A39taxstdlife+$E609),('RFM input'!$I$99-'RFM input'!$I$153)-SUM($I609:M609),('RFM input'!$I$99-'RFM input'!$I$153)/A39taxstdlife))</f>
        <v>0</v>
      </c>
      <c r="O609" s="18">
        <f>IF(A39taxstdlife="n/a","n/a",IF(O$3&gt;(A39taxstdlife+$E609),('RFM input'!$I$99-'RFM input'!$I$153)-SUM($I609:N609),('RFM input'!$I$99-'RFM input'!$I$153)/A39taxstdlife))</f>
        <v>0</v>
      </c>
      <c r="P609" s="18">
        <f>IF(A39taxstdlife="n/a","n/a",IF(P$3&gt;(A39taxstdlife+$E609),('RFM input'!$I$99-'RFM input'!$I$153)-SUM($I609:O609),('RFM input'!$I$99-'RFM input'!$I$153)/A39taxstdlife))</f>
        <v>0</v>
      </c>
      <c r="Q609" s="18">
        <f>IF(A39taxstdlife="n/a","n/a",IF(Q$3&gt;(A39taxstdlife+$E609),('RFM input'!$I$99-'RFM input'!$I$153)-SUM($I609:P609),('RFM input'!$I$99-'RFM input'!$I$153)/A39taxstdlife))</f>
        <v>0</v>
      </c>
      <c r="R609" s="18"/>
      <c r="S609" s="74"/>
      <c r="T609" s="74"/>
      <c r="U609" s="74"/>
      <c r="V609" s="74"/>
      <c r="W609" s="74"/>
      <c r="X609" s="74"/>
      <c r="Y609" s="74"/>
      <c r="Z609" s="74"/>
      <c r="AA609" s="152"/>
    </row>
    <row r="610" spans="1:27" ht="12.75" hidden="1" customHeight="1" outlineLevel="2">
      <c r="A610" s="3"/>
      <c r="B610" s="3"/>
      <c r="C610" s="16"/>
      <c r="D610" s="1594"/>
      <c r="E610" s="61">
        <v>3</v>
      </c>
      <c r="F610" s="17"/>
      <c r="G610" s="17"/>
      <c r="H610" s="1414"/>
      <c r="I610" s="1414"/>
      <c r="J610" s="116"/>
      <c r="K610" s="18">
        <f>IF(A39taxstdlife="n/a","n/a",IF(K$3&gt;(A39taxstdlife+$E610),('RFM input'!$J$99-'RFM input'!$J$153)-SUM($J610:J610),('RFM input'!$J$99-'RFM input'!$J$153)/A39taxstdlife))</f>
        <v>0</v>
      </c>
      <c r="L610" s="18">
        <f>IF(A39taxstdlife="n/a","n/a",IF(L$3&gt;(A39taxstdlife+$E610),('RFM input'!$J$99-'RFM input'!$J$153)-SUM($J610:K610),('RFM input'!$J$99-'RFM input'!$J$153)/A39taxstdlife))</f>
        <v>0</v>
      </c>
      <c r="M610" s="18">
        <f>IF(A39taxstdlife="n/a","n/a",IF(M$3&gt;(A39taxstdlife+$E610),('RFM input'!$J$99-'RFM input'!$J$153)-SUM($J610:L610),('RFM input'!$J$99-'RFM input'!$J$153)/A39taxstdlife))</f>
        <v>0</v>
      </c>
      <c r="N610" s="18">
        <f>IF(A39taxstdlife="n/a","n/a",IF(N$3&gt;(A39taxstdlife+$E610),('RFM input'!$J$99-'RFM input'!$J$153)-SUM($J610:M610),('RFM input'!$J$99-'RFM input'!$J$153)/A39taxstdlife))</f>
        <v>0</v>
      </c>
      <c r="O610" s="18">
        <f>IF(A39taxstdlife="n/a","n/a",IF(O$3&gt;(A39taxstdlife+$E610),('RFM input'!$J$99-'RFM input'!$J$153)-SUM($J610:N610),('RFM input'!$J$99-'RFM input'!$J$153)/A39taxstdlife))</f>
        <v>0</v>
      </c>
      <c r="P610" s="18">
        <f>IF(A39taxstdlife="n/a","n/a",IF(P$3&gt;(A39taxstdlife+$E610),('RFM input'!$J$99-'RFM input'!$J$153)-SUM($J610:O610),('RFM input'!$J$99-'RFM input'!$J$153)/A39taxstdlife))</f>
        <v>0</v>
      </c>
      <c r="Q610" s="18">
        <f>IF(A39taxstdlife="n/a","n/a",IF(Q$3&gt;(A39taxstdlife+$E610),('RFM input'!$J$99-'RFM input'!$J$153)-SUM($J610:P610),('RFM input'!$J$99-'RFM input'!$J$153)/A39taxstdlife))</f>
        <v>0</v>
      </c>
      <c r="R610" s="18"/>
      <c r="S610" s="74"/>
      <c r="T610" s="74"/>
      <c r="U610" s="74"/>
      <c r="V610" s="74"/>
      <c r="W610" s="74"/>
      <c r="X610" s="74"/>
      <c r="Y610" s="74"/>
      <c r="Z610" s="74"/>
      <c r="AA610" s="152"/>
    </row>
    <row r="611" spans="1:27" ht="12.75" hidden="1" customHeight="1" outlineLevel="2">
      <c r="A611" s="3"/>
      <c r="B611" s="3"/>
      <c r="C611" s="16"/>
      <c r="D611" s="1594"/>
      <c r="E611" s="61">
        <v>4</v>
      </c>
      <c r="F611" s="17"/>
      <c r="G611" s="17"/>
      <c r="H611" s="1414"/>
      <c r="I611" s="1414"/>
      <c r="J611" s="115"/>
      <c r="K611" s="116"/>
      <c r="L611" s="18">
        <f>IF(A39taxstdlife="n/a","n/a",IF(L$3&gt;(A39taxstdlife+$E611),('RFM input'!$K$99-'RFM input'!$K$153)-SUM($K611:K611),('RFM input'!$K$99-'RFM input'!$K$153)/A39taxstdlife))</f>
        <v>0</v>
      </c>
      <c r="M611" s="18">
        <f>IF(A39taxstdlife="n/a","n/a",IF(M$3&gt;(A39taxstdlife+$E611),('RFM input'!$K$99-'RFM input'!$K$153)-SUM($K611:L611),('RFM input'!$K$99-'RFM input'!$K$153)/A39taxstdlife))</f>
        <v>0</v>
      </c>
      <c r="N611" s="18">
        <f>IF(A39taxstdlife="n/a","n/a",IF(N$3&gt;(A39taxstdlife+$E611),('RFM input'!$K$99-'RFM input'!$K$153)-SUM($K611:M611),('RFM input'!$K$99-'RFM input'!$K$153)/A39taxstdlife))</f>
        <v>0</v>
      </c>
      <c r="O611" s="18">
        <f>IF(A39taxstdlife="n/a","n/a",IF(O$3&gt;(A39taxstdlife+$E611),('RFM input'!$K$99-'RFM input'!$K$153)-SUM($K611:N611),('RFM input'!$K$99-'RFM input'!$K$153)/A39taxstdlife))</f>
        <v>0</v>
      </c>
      <c r="P611" s="18">
        <f>IF(A39taxstdlife="n/a","n/a",IF(P$3&gt;(A39taxstdlife+$E611),('RFM input'!$K$99-'RFM input'!$K$153)-SUM($K611:O611),('RFM input'!$K$99-'RFM input'!$K$153)/A39taxstdlife))</f>
        <v>0</v>
      </c>
      <c r="Q611" s="18">
        <f>IF(A39taxstdlife="n/a","n/a",IF(Q$3&gt;(A39taxstdlife+$E611),('RFM input'!$K$99-'RFM input'!$K$153)-SUM($K611:P611),('RFM input'!$K$99-'RFM input'!$K$153)/A39taxstdlife))</f>
        <v>0</v>
      </c>
      <c r="R611" s="18"/>
      <c r="S611" s="74"/>
      <c r="T611" s="74"/>
      <c r="U611" s="74"/>
      <c r="V611" s="74"/>
      <c r="W611" s="74"/>
      <c r="X611" s="74"/>
      <c r="Y611" s="74"/>
      <c r="Z611" s="74"/>
      <c r="AA611" s="152"/>
    </row>
    <row r="612" spans="1:27" ht="12.75" hidden="1" customHeight="1" outlineLevel="2">
      <c r="A612" s="3"/>
      <c r="B612" s="3"/>
      <c r="C612" s="16"/>
      <c r="D612" s="1594"/>
      <c r="E612" s="61">
        <v>5</v>
      </c>
      <c r="F612" s="17"/>
      <c r="G612" s="17"/>
      <c r="H612" s="1414"/>
      <c r="I612" s="1414"/>
      <c r="J612" s="115"/>
      <c r="K612" s="115"/>
      <c r="L612" s="116"/>
      <c r="M612" s="18">
        <f>IF(A39taxstdlife="n/a","n/a",IF(M$3&gt;(A39taxstdlife+$E612),('RFM input'!$L$99-'RFM input'!$L$153)-SUM($L612:L612),('RFM input'!$L$99-'RFM input'!$L$153)/A39taxstdlife))</f>
        <v>0</v>
      </c>
      <c r="N612" s="18">
        <f>IF(A39taxstdlife="n/a","n/a",IF(N$3&gt;(A39taxstdlife+$E612),('RFM input'!$L$99-'RFM input'!$L$153)-SUM($L612:M612),('RFM input'!$L$99-'RFM input'!$L$153)/A39taxstdlife))</f>
        <v>0</v>
      </c>
      <c r="O612" s="18">
        <f>IF(A39taxstdlife="n/a","n/a",IF(O$3&gt;(A39taxstdlife+$E612),('RFM input'!$L$99-'RFM input'!$L$153)-SUM($L612:N612),('RFM input'!$L$99-'RFM input'!$L$153)/A39taxstdlife))</f>
        <v>0</v>
      </c>
      <c r="P612" s="18">
        <f>IF(A39taxstdlife="n/a","n/a",IF(P$3&gt;(A39taxstdlife+$E612),('RFM input'!$L$99-'RFM input'!$L$153)-SUM($L612:O612),('RFM input'!$L$99-'RFM input'!$L$153)/A39taxstdlife))</f>
        <v>0</v>
      </c>
      <c r="Q612" s="18">
        <f>IF(A39taxstdlife="n/a","n/a",IF(Q$3&gt;(A39taxstdlife+$E612),('RFM input'!$L$99-'RFM input'!$L$153)-SUM($L612:P612),('RFM input'!$L$99-'RFM input'!$L$153)/A39taxstdlife))</f>
        <v>0</v>
      </c>
      <c r="R612" s="18"/>
      <c r="S612" s="74"/>
      <c r="T612" s="74"/>
      <c r="U612" s="74"/>
      <c r="V612" s="74"/>
      <c r="W612" s="74"/>
      <c r="X612" s="74"/>
      <c r="Y612" s="74"/>
      <c r="Z612" s="74"/>
      <c r="AA612" s="152"/>
    </row>
    <row r="613" spans="1:27" ht="12.75" hidden="1" customHeight="1" outlineLevel="2">
      <c r="A613" s="3"/>
      <c r="B613" s="3"/>
      <c r="C613" s="16"/>
      <c r="D613" s="1594"/>
      <c r="E613" s="61">
        <v>6</v>
      </c>
      <c r="F613" s="17"/>
      <c r="G613" s="17"/>
      <c r="H613" s="1414"/>
      <c r="I613" s="1414"/>
      <c r="J613" s="115"/>
      <c r="K613" s="115"/>
      <c r="L613" s="115"/>
      <c r="M613" s="116"/>
      <c r="N613" s="18">
        <f>IF(A39taxstdlife="n/a","n/a",IF(N$3&gt;(A39taxstdlife+$E613),('RFM input'!$M$99-'RFM input'!$M$153)-SUM($M613:M613),('RFM input'!$M$99-'RFM input'!$M$153)/A39taxstdlife))</f>
        <v>0</v>
      </c>
      <c r="O613" s="18">
        <f>IF(A39taxstdlife="n/a","n/a",IF(O$3&gt;(A39taxstdlife+$E613),('RFM input'!$M$99-'RFM input'!$M$153)-SUM($M613:N613),('RFM input'!$M$99-'RFM input'!$M$153)/A39taxstdlife))</f>
        <v>0</v>
      </c>
      <c r="P613" s="18">
        <f>IF(A39taxstdlife="n/a","n/a",IF(P$3&gt;(A39taxstdlife+$E613),('RFM input'!$M$99-'RFM input'!$M$153)-SUM($M613:O613),('RFM input'!$M$99-'RFM input'!$M$153)/A39taxstdlife))</f>
        <v>0</v>
      </c>
      <c r="Q613" s="18">
        <f>IF(A39taxstdlife="n/a","n/a",IF(Q$3&gt;(A39taxstdlife+$E613),('RFM input'!$M$99-'RFM input'!$M$153)-SUM($M613:P613),('RFM input'!$M$99-'RFM input'!$M$153)/A39taxstdlife))</f>
        <v>0</v>
      </c>
      <c r="R613" s="18"/>
      <c r="S613" s="74"/>
      <c r="T613" s="74"/>
      <c r="U613" s="74"/>
      <c r="V613" s="74"/>
      <c r="W613" s="74"/>
      <c r="X613" s="74"/>
      <c r="Y613" s="74"/>
      <c r="Z613" s="74"/>
      <c r="AA613" s="152"/>
    </row>
    <row r="614" spans="1:27" ht="12.75" hidden="1" customHeight="1" outlineLevel="2">
      <c r="A614" s="3"/>
      <c r="B614" s="3"/>
      <c r="C614" s="16"/>
      <c r="D614" s="1594"/>
      <c r="E614" s="61">
        <v>7</v>
      </c>
      <c r="F614" s="17"/>
      <c r="G614" s="17"/>
      <c r="H614" s="1414"/>
      <c r="I614" s="1414"/>
      <c r="J614" s="115"/>
      <c r="K614" s="115"/>
      <c r="L614" s="115"/>
      <c r="M614" s="115"/>
      <c r="N614" s="116"/>
      <c r="O614" s="18">
        <f>IF(A39taxstdlife="n/a","n/a",IF(O$3&gt;(A39taxstdlife+$E614),('RFM input'!$N$99-'RFM input'!$N$153)-SUM($N614:N614),('RFM input'!$N$99-'RFM input'!$N$153)/A39taxstdlife))</f>
        <v>0</v>
      </c>
      <c r="P614" s="18">
        <f>IF(A39taxstdlife="n/a","n/a",IF(P$3&gt;(A39taxstdlife+$E614),('RFM input'!$N$99-'RFM input'!$N$153)-SUM($N614:O614),('RFM input'!$N$99-'RFM input'!$N$153)/A39taxstdlife))</f>
        <v>0</v>
      </c>
      <c r="Q614" s="18">
        <f>IF(A39taxstdlife="n/a","n/a",IF(Q$3&gt;(A39taxstdlife+$E614),('RFM input'!$N$99-'RFM input'!$N$153)-SUM($N614:P614),('RFM input'!$N$99-'RFM input'!$N$153)/A39taxstdlife))</f>
        <v>0</v>
      </c>
      <c r="R614" s="18"/>
      <c r="S614" s="74"/>
      <c r="T614" s="74"/>
      <c r="U614" s="74"/>
      <c r="V614" s="74"/>
      <c r="W614" s="74"/>
      <c r="X614" s="74"/>
      <c r="Y614" s="74"/>
      <c r="Z614" s="74"/>
      <c r="AA614" s="152"/>
    </row>
    <row r="615" spans="1:27" ht="12.75" hidden="1" customHeight="1" outlineLevel="2">
      <c r="A615" s="3"/>
      <c r="B615" s="3"/>
      <c r="C615" s="16"/>
      <c r="D615" s="1594"/>
      <c r="E615" s="61">
        <v>8</v>
      </c>
      <c r="F615" s="17"/>
      <c r="G615" s="17"/>
      <c r="H615" s="1414"/>
      <c r="I615" s="1414"/>
      <c r="J615" s="115"/>
      <c r="K615" s="115"/>
      <c r="L615" s="115"/>
      <c r="M615" s="115"/>
      <c r="N615" s="115"/>
      <c r="O615" s="116"/>
      <c r="P615" s="18">
        <f>IF(A39taxstdlife="n/a","n/a",IF(P$3&gt;(A39taxstdlife+$E615),('RFM input'!$O$99-'RFM input'!$O$153)-SUM($O615:O615),('RFM input'!$O$99-'RFM input'!$O$153)/A39taxstdlife))</f>
        <v>0</v>
      </c>
      <c r="Q615" s="18">
        <f>IF(A39taxstdlife="n/a","n/a",IF(Q$3&gt;(A39taxstdlife+$E615),('RFM input'!$O$99-'RFM input'!$O$153)-SUM($O615:P615),('RFM input'!$O$99-'RFM input'!$O$153)/A39taxstdlife))</f>
        <v>0</v>
      </c>
      <c r="R615" s="18"/>
      <c r="S615" s="74"/>
      <c r="T615" s="74"/>
      <c r="U615" s="74"/>
      <c r="V615" s="74"/>
      <c r="W615" s="74"/>
      <c r="X615" s="74"/>
      <c r="Y615" s="74"/>
      <c r="Z615" s="74"/>
      <c r="AA615" s="152"/>
    </row>
    <row r="616" spans="1:27" ht="12.75" hidden="1" customHeight="1" outlineLevel="2">
      <c r="A616" s="3"/>
      <c r="B616" s="3"/>
      <c r="C616" s="16"/>
      <c r="D616" s="1594"/>
      <c r="E616" s="61">
        <v>9</v>
      </c>
      <c r="F616" s="17"/>
      <c r="G616" s="17"/>
      <c r="H616" s="1414"/>
      <c r="I616" s="1414"/>
      <c r="J616" s="115"/>
      <c r="K616" s="115"/>
      <c r="L616" s="115"/>
      <c r="M616" s="115"/>
      <c r="N616" s="115"/>
      <c r="O616" s="115"/>
      <c r="P616" s="116"/>
      <c r="Q616" s="18">
        <f>IF(A39taxstdlife="n/a","n/a",IF(Q$3&gt;(A39taxstdlife+$E616),('RFM input'!$P$99-'RFM input'!$P$153)-SUM($P616:P616),('RFM input'!$P$99-'RFM input'!$P$153)/A39taxstdlife))</f>
        <v>0</v>
      </c>
      <c r="R616" s="18"/>
      <c r="S616" s="74"/>
      <c r="T616" s="74"/>
      <c r="U616" s="74"/>
      <c r="V616" s="74"/>
      <c r="W616" s="74"/>
      <c r="X616" s="74"/>
      <c r="Y616" s="74"/>
      <c r="Z616" s="74"/>
      <c r="AA616" s="152"/>
    </row>
    <row r="617" spans="1:27" ht="12.75" hidden="1" customHeight="1" outlineLevel="2">
      <c r="A617" s="3"/>
      <c r="B617" s="3"/>
      <c r="C617" s="16"/>
      <c r="D617" s="1594"/>
      <c r="E617" s="62">
        <v>10</v>
      </c>
      <c r="F617" s="17"/>
      <c r="G617" s="17"/>
      <c r="H617" s="1414"/>
      <c r="I617" s="1414"/>
      <c r="J617" s="115"/>
      <c r="K617" s="115"/>
      <c r="L617" s="115"/>
      <c r="M617" s="115"/>
      <c r="N617" s="115"/>
      <c r="O617" s="115"/>
      <c r="P617" s="115"/>
      <c r="Q617" s="116"/>
      <c r="R617" s="18"/>
      <c r="S617" s="74"/>
      <c r="T617" s="74"/>
      <c r="U617" s="74"/>
      <c r="V617" s="74"/>
      <c r="W617" s="74"/>
      <c r="X617" s="74"/>
      <c r="Y617" s="74"/>
      <c r="Z617" s="74"/>
      <c r="AA617" s="152"/>
    </row>
    <row r="618" spans="1:27" hidden="1" outlineLevel="1">
      <c r="A618" s="3"/>
      <c r="B618" s="3"/>
      <c r="C618" s="134">
        <f>Asset39</f>
        <v>0</v>
      </c>
      <c r="D618" s="3"/>
      <c r="E618" s="3"/>
      <c r="F618" s="14"/>
      <c r="G618" s="14"/>
      <c r="H618" s="1460">
        <f>IF('RFM input'!$G$354="Tracked",-1*INDEX('RFM input'!H$358:H$407,MATCH('TAB roll forward'!$C618,'RFM input'!$E$358:$E$407,0)),-SUM(H606:H617))</f>
        <v>0</v>
      </c>
      <c r="I618" s="1460">
        <f>IF('RFM input'!$G$354="Tracked",-1*INDEX('RFM input'!I$358:I$407,MATCH('TAB roll forward'!$C618,'RFM input'!$E$358:$E$407,0)),-SUM(I606:I617))</f>
        <v>0</v>
      </c>
      <c r="J618" s="1460">
        <f>IF(COUNT($H618:I618)&gt;='RFM input'!$V$7,0,IF('RFM input'!$G$354="Tracked",-1*INDEX('RFM input'!J$358:J$407,MATCH('TAB roll forward'!$C618,'RFM input'!$E$358:$E$407,0)),-SUM(J606:J617)))</f>
        <v>0</v>
      </c>
      <c r="K618" s="1460">
        <f>IF(COUNT($H618:J618)&gt;='RFM input'!$V$7,0,IF('RFM input'!$G$354="Tracked",-1*INDEX('RFM input'!K$358:K$407,MATCH('TAB roll forward'!$C618,'RFM input'!$E$358:$E$407,0)),-SUM(K606:K617)))</f>
        <v>0</v>
      </c>
      <c r="L618" s="1460">
        <f>IF(COUNT($H618:K618)&gt;='RFM input'!$V$7,0,IF('RFM input'!$G$354="Tracked",-1*INDEX('RFM input'!L$358:L$407,MATCH('TAB roll forward'!$C618,'RFM input'!$E$358:$E$407,0)),-SUM(L606:L617)))</f>
        <v>0</v>
      </c>
      <c r="M618" s="1460">
        <f>IF(COUNT($H618:L618)&gt;='RFM input'!$V$7,0,IF('RFM input'!$G$354="Tracked",-1*INDEX('RFM input'!M$358:M$407,MATCH('TAB roll forward'!$C618,'RFM input'!$E$358:$E$407,0)),-SUM(M606:M617)))</f>
        <v>0</v>
      </c>
      <c r="N618" s="1460">
        <f>IF(COUNT($H618:M618)&gt;='RFM input'!$V$7,0,IF('RFM input'!$G$354="Tracked",-1*INDEX('RFM input'!N$358:N$407,MATCH('TAB roll forward'!$C618,'RFM input'!$E$358:$E$407,0)),-SUM(N606:N617)))</f>
        <v>0</v>
      </c>
      <c r="O618" s="1460">
        <f>IF(COUNT($H618:N618)&gt;='RFM input'!$V$7,0,IF('RFM input'!$G$354="Tracked",-1*INDEX('RFM input'!O$358:O$407,MATCH('TAB roll forward'!$C618,'RFM input'!$E$358:$E$407,0)),-SUM(O606:O617)))</f>
        <v>0</v>
      </c>
      <c r="P618" s="1460">
        <f>IF(COUNT($H618:O618)&gt;='RFM input'!$V$7,0,IF('RFM input'!$G$354="Tracked",-1*INDEX('RFM input'!P$358:P$407,MATCH('TAB roll forward'!$C618,'RFM input'!$E$358:$E$407,0)),-SUM(P606:P617)))</f>
        <v>0</v>
      </c>
      <c r="Q618" s="1460">
        <f>IF(COUNT($H618:P618)&gt;='RFM input'!$V$7,0,IF('RFM input'!$G$354="Tracked",-1*INDEX('RFM input'!Q$358:Q$407,MATCH('TAB roll forward'!$C618,'RFM input'!$E$358:$E$407,0)),-SUM(Q606:Q617)))</f>
        <v>0</v>
      </c>
      <c r="R618" s="1382"/>
      <c r="S618" s="73"/>
      <c r="T618" s="73"/>
      <c r="U618" s="73"/>
      <c r="V618" s="73"/>
      <c r="W618" s="73"/>
      <c r="X618" s="73"/>
      <c r="Y618" s="73"/>
      <c r="Z618" s="73"/>
      <c r="AA618" s="152"/>
    </row>
    <row r="619" spans="1:27" ht="12.75" hidden="1" customHeight="1" outlineLevel="2">
      <c r="A619" s="3"/>
      <c r="B619" s="135">
        <f>Asset40</f>
        <v>0</v>
      </c>
      <c r="C619" s="19"/>
      <c r="D619" s="234" t="s">
        <v>119</v>
      </c>
      <c r="E619" s="19"/>
      <c r="F619" s="148"/>
      <c r="G619" s="148"/>
      <c r="H619" s="21">
        <f>IF(H$3&gt;A40taxremlife,A40taxvalue-SUM($F619:F619),IF(A40taxremlife="N/A","n/a",A40taxvalue/A40taxremlife))</f>
        <v>0</v>
      </c>
      <c r="I619" s="21">
        <f>IF(I$3&gt;A40taxremlife,A40taxvalue-SUM($F619:H619),IF(A40taxremlife="N/A","n/a",A40taxvalue/A40taxremlife))</f>
        <v>0</v>
      </c>
      <c r="J619" s="21">
        <f>IF(J$3&gt;A40taxremlife,A40taxvalue-SUM($F619:I619),IF(A40taxremlife="N/A","n/a",A40taxvalue/A40taxremlife))</f>
        <v>0</v>
      </c>
      <c r="K619" s="21">
        <f>IF(K$3&gt;A40taxremlife,A40taxvalue-SUM($F619:J619),IF(A40taxremlife="N/A","n/a",A40taxvalue/A40taxremlife))</f>
        <v>0</v>
      </c>
      <c r="L619" s="21">
        <f>IF(L$3&gt;A40taxremlife,A40taxvalue-SUM($F619:K619),IF(A40taxremlife="N/A","n/a",A40taxvalue/A40taxremlife))</f>
        <v>0</v>
      </c>
      <c r="M619" s="21">
        <f>IF(M$3&gt;A40taxremlife,A40taxvalue-SUM($F619:L619),IF(A40taxremlife="N/A","n/a",A40taxvalue/A40taxremlife))</f>
        <v>0</v>
      </c>
      <c r="N619" s="21">
        <f>IF(N$3&gt;A40taxremlife,A40taxvalue-SUM($F619:M619),IF(A40taxremlife="N/A","n/a",A40taxvalue/A40taxremlife))</f>
        <v>0</v>
      </c>
      <c r="O619" s="21">
        <f>IF(O$3&gt;A40taxremlife,A40taxvalue-SUM($F619:N619),IF(A40taxremlife="N/A","n/a",A40taxvalue/A40taxremlife))</f>
        <v>0</v>
      </c>
      <c r="P619" s="21">
        <f>IF(P$3&gt;A40taxremlife,A40taxvalue-SUM($F619:O619),IF(A40taxremlife="N/A","n/a",A40taxvalue/A40taxremlife))</f>
        <v>0</v>
      </c>
      <c r="Q619" s="21">
        <f>IF(Q$3&gt;A40taxremlife,A40taxvalue-SUM($F619:P619),IF(A40taxremlife="N/A","n/a",A40taxvalue/A40taxremlife))</f>
        <v>0</v>
      </c>
      <c r="R619" s="21"/>
      <c r="S619" s="74"/>
      <c r="T619" s="74"/>
      <c r="U619" s="74"/>
      <c r="V619" s="74"/>
      <c r="W619" s="74"/>
      <c r="X619" s="74"/>
      <c r="Y619" s="74"/>
      <c r="Z619" s="74"/>
      <c r="AA619" s="152"/>
    </row>
    <row r="620" spans="1:27" ht="12.75" hidden="1" customHeight="1" outlineLevel="2">
      <c r="A620" s="3"/>
      <c r="B620" s="3"/>
      <c r="C620" s="16"/>
      <c r="D620" s="1593" t="s">
        <v>43</v>
      </c>
      <c r="E620" s="61"/>
      <c r="F620" s="17"/>
      <c r="G620" s="17"/>
      <c r="H620" s="1413"/>
      <c r="I620" s="72"/>
      <c r="J620" s="18"/>
      <c r="K620" s="18"/>
      <c r="L620" s="18"/>
      <c r="M620" s="18"/>
      <c r="N620" s="18"/>
      <c r="O620" s="18"/>
      <c r="P620" s="18"/>
      <c r="Q620" s="18"/>
      <c r="R620" s="18"/>
      <c r="S620" s="74"/>
      <c r="T620" s="74"/>
      <c r="U620" s="74"/>
      <c r="V620" s="74"/>
      <c r="W620" s="74"/>
      <c r="X620" s="74"/>
      <c r="Y620" s="74"/>
      <c r="Z620" s="74"/>
      <c r="AA620" s="152"/>
    </row>
    <row r="621" spans="1:27" ht="12.75" hidden="1" customHeight="1" outlineLevel="2">
      <c r="A621" s="3"/>
      <c r="B621" s="3"/>
      <c r="C621" s="16"/>
      <c r="D621" s="1594"/>
      <c r="E621" s="61">
        <v>1</v>
      </c>
      <c r="F621" s="17"/>
      <c r="G621" s="17"/>
      <c r="H621" s="1414"/>
      <c r="I621" s="1415">
        <f>IF(A40taxstdlife="n/a","n/a",IF(I$3&gt;(A40taxstdlife+$E621),('RFM input'!$H$100-'RFM input'!$H$154)-SUM($H621:H621),('RFM input'!$H$100-'RFM input'!$H$154)/A40taxstdlife))</f>
        <v>0</v>
      </c>
      <c r="J621" s="18">
        <f>IF(A40taxstdlife="n/a","n/a",IF(J$3&gt;(A40taxstdlife+$E621),('RFM input'!$H$100-'RFM input'!$H$154)-SUM($H621:I621),('RFM input'!$H$100-'RFM input'!$H$154)/A40taxstdlife))</f>
        <v>0</v>
      </c>
      <c r="K621" s="18">
        <f>IF(A40taxstdlife="n/a","n/a",IF(K$3&gt;(A40taxstdlife+$E621),('RFM input'!$H$100-'RFM input'!$H$154)-SUM($H621:J621),('RFM input'!$H$100-'RFM input'!$H$154)/A40taxstdlife))</f>
        <v>0</v>
      </c>
      <c r="L621" s="18">
        <f>IF(A40taxstdlife="n/a","n/a",IF(L$3&gt;(A40taxstdlife+$E621),('RFM input'!$H$100-'RFM input'!$H$154)-SUM($H621:K621),('RFM input'!$H$100-'RFM input'!$H$154)/A40taxstdlife))</f>
        <v>0</v>
      </c>
      <c r="M621" s="18">
        <f>IF(A40taxstdlife="n/a","n/a",IF(M$3&gt;(A40taxstdlife+$E621),('RFM input'!$H$100-'RFM input'!$H$154)-SUM($H621:L621),('RFM input'!$H$100-'RFM input'!$H$154)/A40taxstdlife))</f>
        <v>0</v>
      </c>
      <c r="N621" s="18">
        <f>IF(A40taxstdlife="n/a","n/a",IF(N$3&gt;(A40taxstdlife+$E621),('RFM input'!$H$100-'RFM input'!$H$154)-SUM($H621:M621),('RFM input'!$H$100-'RFM input'!$H$154)/A40taxstdlife))</f>
        <v>0</v>
      </c>
      <c r="O621" s="18">
        <f>IF(A40taxstdlife="n/a","n/a",IF(O$3&gt;(A40taxstdlife+$E621),('RFM input'!$H$100-'RFM input'!$H$154)-SUM($H621:N621),('RFM input'!$H$100-'RFM input'!$H$154)/A40taxstdlife))</f>
        <v>0</v>
      </c>
      <c r="P621" s="18">
        <f>IF(A40taxstdlife="n/a","n/a",IF(P$3&gt;(A40taxstdlife+$E621),('RFM input'!$H$100-'RFM input'!$H$154)-SUM($H621:O621),('RFM input'!$H$100-'RFM input'!$H$154)/A40taxstdlife))</f>
        <v>0</v>
      </c>
      <c r="Q621" s="18">
        <f>IF(A40taxstdlife="n/a","n/a",IF(Q$3&gt;(A40taxstdlife+$E621),('RFM input'!$H$100-'RFM input'!$H$154)-SUM($H621:P621),('RFM input'!$H$100-'RFM input'!$H$154)/A40taxstdlife))</f>
        <v>0</v>
      </c>
      <c r="R621" s="18"/>
      <c r="S621" s="74"/>
      <c r="T621" s="74"/>
      <c r="U621" s="74"/>
      <c r="V621" s="74"/>
      <c r="W621" s="74"/>
      <c r="X621" s="74"/>
      <c r="Y621" s="74"/>
      <c r="Z621" s="74"/>
      <c r="AA621" s="152"/>
    </row>
    <row r="622" spans="1:27" ht="12.75" hidden="1" customHeight="1" outlineLevel="2">
      <c r="A622" s="3"/>
      <c r="B622" s="3"/>
      <c r="C622" s="16"/>
      <c r="D622" s="1594"/>
      <c r="E622" s="61">
        <v>2</v>
      </c>
      <c r="F622" s="17"/>
      <c r="G622" s="17"/>
      <c r="H622" s="1414"/>
      <c r="I622" s="1414"/>
      <c r="J622" s="18">
        <f>IF(A40taxstdlife="n/a","n/a",IF(J$3&gt;(A40taxstdlife+$E622),('RFM input'!$I$100-'RFM input'!$I$154)-SUM($I622:I622),('RFM input'!$I$100-'RFM input'!$I$154)/A40taxstdlife))</f>
        <v>0</v>
      </c>
      <c r="K622" s="18">
        <f>IF(A40taxstdlife="n/a","n/a",IF(K$3&gt;(A40taxstdlife+$E622),('RFM input'!$I$100-'RFM input'!$I$154)-SUM($I622:J622),('RFM input'!$I$100-'RFM input'!$I$154)/A40taxstdlife))</f>
        <v>0</v>
      </c>
      <c r="L622" s="18">
        <f>IF(A40taxstdlife="n/a","n/a",IF(L$3&gt;(A40taxstdlife+$E622),('RFM input'!$I$100-'RFM input'!$I$154)-SUM($I622:K622),('RFM input'!$I$100-'RFM input'!$I$154)/A40taxstdlife))</f>
        <v>0</v>
      </c>
      <c r="M622" s="18">
        <f>IF(A40taxstdlife="n/a","n/a",IF(M$3&gt;(A40taxstdlife+$E622),('RFM input'!$I$100-'RFM input'!$I$154)-SUM($I622:L622),('RFM input'!$I$100-'RFM input'!$I$154)/A40taxstdlife))</f>
        <v>0</v>
      </c>
      <c r="N622" s="18">
        <f>IF(A40taxstdlife="n/a","n/a",IF(N$3&gt;(A40taxstdlife+$E622),('RFM input'!$I$100-'RFM input'!$I$154)-SUM($I622:M622),('RFM input'!$I$100-'RFM input'!$I$154)/A40taxstdlife))</f>
        <v>0</v>
      </c>
      <c r="O622" s="18">
        <f>IF(A40taxstdlife="n/a","n/a",IF(O$3&gt;(A40taxstdlife+$E622),('RFM input'!$I$100-'RFM input'!$I$154)-SUM($I622:N622),('RFM input'!$I$100-'RFM input'!$I$154)/A40taxstdlife))</f>
        <v>0</v>
      </c>
      <c r="P622" s="18">
        <f>IF(A40taxstdlife="n/a","n/a",IF(P$3&gt;(A40taxstdlife+$E622),('RFM input'!$I$100-'RFM input'!$I$154)-SUM($I622:O622),('RFM input'!$I$100-'RFM input'!$I$154)/A40taxstdlife))</f>
        <v>0</v>
      </c>
      <c r="Q622" s="18">
        <f>IF(A40taxstdlife="n/a","n/a",IF(Q$3&gt;(A40taxstdlife+$E622),('RFM input'!$I$100-'RFM input'!$I$154)-SUM($I622:P622),('RFM input'!$I$100-'RFM input'!$I$154)/A40taxstdlife))</f>
        <v>0</v>
      </c>
      <c r="R622" s="18"/>
      <c r="S622" s="74"/>
      <c r="T622" s="74"/>
      <c r="U622" s="74"/>
      <c r="V622" s="74"/>
      <c r="W622" s="74"/>
      <c r="X622" s="74"/>
      <c r="Y622" s="74"/>
      <c r="Z622" s="74"/>
      <c r="AA622" s="152"/>
    </row>
    <row r="623" spans="1:27" ht="12.75" hidden="1" customHeight="1" outlineLevel="2">
      <c r="A623" s="3"/>
      <c r="B623" s="3"/>
      <c r="C623" s="16"/>
      <c r="D623" s="1594"/>
      <c r="E623" s="61">
        <v>3</v>
      </c>
      <c r="F623" s="17"/>
      <c r="G623" s="17"/>
      <c r="H623" s="1414"/>
      <c r="I623" s="1414"/>
      <c r="J623" s="116"/>
      <c r="K623" s="18">
        <f>IF(A40taxstdlife="n/a","n/a",IF(K$3&gt;(A40taxstdlife+$E623),('RFM input'!$J$100-'RFM input'!$J$154)-SUM($J623:J623),('RFM input'!$J$100-'RFM input'!$J$154)/A40taxstdlife))</f>
        <v>0</v>
      </c>
      <c r="L623" s="18">
        <f>IF(A40taxstdlife="n/a","n/a",IF(L$3&gt;(A40taxstdlife+$E623),('RFM input'!$J$100-'RFM input'!$J$154)-SUM($J623:K623),('RFM input'!$J$100-'RFM input'!$J$154)/A40taxstdlife))</f>
        <v>0</v>
      </c>
      <c r="M623" s="18">
        <f>IF(A40taxstdlife="n/a","n/a",IF(M$3&gt;(A40taxstdlife+$E623),('RFM input'!$J$100-'RFM input'!$J$154)-SUM($J623:L623),('RFM input'!$J$100-'RFM input'!$J$154)/A40taxstdlife))</f>
        <v>0</v>
      </c>
      <c r="N623" s="18">
        <f>IF(A40taxstdlife="n/a","n/a",IF(N$3&gt;(A40taxstdlife+$E623),('RFM input'!$J$100-'RFM input'!$J$154)-SUM($J623:M623),('RFM input'!$J$100-'RFM input'!$J$154)/A40taxstdlife))</f>
        <v>0</v>
      </c>
      <c r="O623" s="18">
        <f>IF(A40taxstdlife="n/a","n/a",IF(O$3&gt;(A40taxstdlife+$E623),('RFM input'!$J$100-'RFM input'!$J$154)-SUM($J623:N623),('RFM input'!$J$100-'RFM input'!$J$154)/A40taxstdlife))</f>
        <v>0</v>
      </c>
      <c r="P623" s="18">
        <f>IF(A40taxstdlife="n/a","n/a",IF(P$3&gt;(A40taxstdlife+$E623),('RFM input'!$J$100-'RFM input'!$J$154)-SUM($J623:O623),('RFM input'!$J$100-'RFM input'!$J$154)/A40taxstdlife))</f>
        <v>0</v>
      </c>
      <c r="Q623" s="18">
        <f>IF(A40taxstdlife="n/a","n/a",IF(Q$3&gt;(A40taxstdlife+$E623),('RFM input'!$J$100-'RFM input'!$J$154)-SUM($J623:P623),('RFM input'!$J$100-'RFM input'!$J$154)/A40taxstdlife))</f>
        <v>0</v>
      </c>
      <c r="R623" s="18"/>
      <c r="S623" s="74"/>
      <c r="T623" s="74"/>
      <c r="U623" s="74"/>
      <c r="V623" s="74"/>
      <c r="W623" s="74"/>
      <c r="X623" s="74"/>
      <c r="Y623" s="74"/>
      <c r="Z623" s="74"/>
      <c r="AA623" s="152"/>
    </row>
    <row r="624" spans="1:27" ht="12.75" hidden="1" customHeight="1" outlineLevel="2">
      <c r="A624" s="3"/>
      <c r="B624" s="3"/>
      <c r="C624" s="16"/>
      <c r="D624" s="1594"/>
      <c r="E624" s="61">
        <v>4</v>
      </c>
      <c r="F624" s="17"/>
      <c r="G624" s="17"/>
      <c r="H624" s="1414"/>
      <c r="I624" s="1414"/>
      <c r="J624" s="115"/>
      <c r="K624" s="116"/>
      <c r="L624" s="18">
        <f>IF(A40taxstdlife="n/a","n/a",IF(L$3&gt;(A40taxstdlife+$E624),('RFM input'!$K$100-'RFM input'!$K$154)-SUM($K624:K624),('RFM input'!$K$100-'RFM input'!$K$154)/A40taxstdlife))</f>
        <v>0</v>
      </c>
      <c r="M624" s="18">
        <f>IF(A40taxstdlife="n/a","n/a",IF(M$3&gt;(A40taxstdlife+$E624),('RFM input'!$K$100-'RFM input'!$K$154)-SUM($K624:L624),('RFM input'!$K$100-'RFM input'!$K$154)/A40taxstdlife))</f>
        <v>0</v>
      </c>
      <c r="N624" s="18">
        <f>IF(A40taxstdlife="n/a","n/a",IF(N$3&gt;(A40taxstdlife+$E624),('RFM input'!$K$100-'RFM input'!$K$154)-SUM($K624:M624),('RFM input'!$K$100-'RFM input'!$K$154)/A40taxstdlife))</f>
        <v>0</v>
      </c>
      <c r="O624" s="18">
        <f>IF(A40taxstdlife="n/a","n/a",IF(O$3&gt;(A40taxstdlife+$E624),('RFM input'!$K$100-'RFM input'!$K$154)-SUM($K624:N624),('RFM input'!$K$100-'RFM input'!$K$154)/A40taxstdlife))</f>
        <v>0</v>
      </c>
      <c r="P624" s="18">
        <f>IF(A40taxstdlife="n/a","n/a",IF(P$3&gt;(A40taxstdlife+$E624),('RFM input'!$K$100-'RFM input'!$K$154)-SUM($K624:O624),('RFM input'!$K$100-'RFM input'!$K$154)/A40taxstdlife))</f>
        <v>0</v>
      </c>
      <c r="Q624" s="18">
        <f>IF(A40taxstdlife="n/a","n/a",IF(Q$3&gt;(A40taxstdlife+$E624),('RFM input'!$K$100-'RFM input'!$K$154)-SUM($K624:P624),('RFM input'!$K$100-'RFM input'!$K$154)/A40taxstdlife))</f>
        <v>0</v>
      </c>
      <c r="R624" s="18"/>
      <c r="S624" s="74"/>
      <c r="T624" s="74"/>
      <c r="U624" s="74"/>
      <c r="V624" s="74"/>
      <c r="W624" s="74"/>
      <c r="X624" s="74"/>
      <c r="Y624" s="74"/>
      <c r="Z624" s="74"/>
      <c r="AA624" s="152"/>
    </row>
    <row r="625" spans="1:27" ht="12.75" hidden="1" customHeight="1" outlineLevel="2">
      <c r="A625" s="3"/>
      <c r="B625" s="3"/>
      <c r="C625" s="16"/>
      <c r="D625" s="1594"/>
      <c r="E625" s="61">
        <v>5</v>
      </c>
      <c r="F625" s="17"/>
      <c r="G625" s="17"/>
      <c r="H625" s="1414"/>
      <c r="I625" s="1414"/>
      <c r="J625" s="115"/>
      <c r="K625" s="115"/>
      <c r="L625" s="116"/>
      <c r="M625" s="18">
        <f>IF(A40taxstdlife="n/a","n/a",IF(M$3&gt;(A40taxstdlife+$E625),('RFM input'!$L$100-'RFM input'!$L$154)-SUM($L625:L625),('RFM input'!$L$100-'RFM input'!$L$154)/A40taxstdlife))</f>
        <v>0</v>
      </c>
      <c r="N625" s="18">
        <f>IF(A40taxstdlife="n/a","n/a",IF(N$3&gt;(A40taxstdlife+$E625),('RFM input'!$L$100-'RFM input'!$L$154)-SUM($L625:M625),('RFM input'!$L$100-'RFM input'!$L$154)/A40taxstdlife))</f>
        <v>0</v>
      </c>
      <c r="O625" s="18">
        <f>IF(A40taxstdlife="n/a","n/a",IF(O$3&gt;(A40taxstdlife+$E625),('RFM input'!$L$100-'RFM input'!$L$154)-SUM($L625:N625),('RFM input'!$L$100-'RFM input'!$L$154)/A40taxstdlife))</f>
        <v>0</v>
      </c>
      <c r="P625" s="18">
        <f>IF(A40taxstdlife="n/a","n/a",IF(P$3&gt;(A40taxstdlife+$E625),('RFM input'!$L$100-'RFM input'!$L$154)-SUM($L625:O625),('RFM input'!$L$100-'RFM input'!$L$154)/A40taxstdlife))</f>
        <v>0</v>
      </c>
      <c r="Q625" s="18">
        <f>IF(A40taxstdlife="n/a","n/a",IF(Q$3&gt;(A40taxstdlife+$E625),('RFM input'!$L$100-'RFM input'!$L$154)-SUM($L625:P625),('RFM input'!$L$100-'RFM input'!$L$154)/A40taxstdlife))</f>
        <v>0</v>
      </c>
      <c r="R625" s="18"/>
      <c r="S625" s="74"/>
      <c r="T625" s="74"/>
      <c r="U625" s="74"/>
      <c r="V625" s="74"/>
      <c r="W625" s="74"/>
      <c r="X625" s="74"/>
      <c r="Y625" s="74"/>
      <c r="Z625" s="74"/>
      <c r="AA625" s="152"/>
    </row>
    <row r="626" spans="1:27" ht="12.75" hidden="1" customHeight="1" outlineLevel="2">
      <c r="A626" s="3"/>
      <c r="B626" s="3"/>
      <c r="C626" s="16"/>
      <c r="D626" s="1594"/>
      <c r="E626" s="61">
        <v>6</v>
      </c>
      <c r="F626" s="17"/>
      <c r="G626" s="17"/>
      <c r="H626" s="1414"/>
      <c r="I626" s="1414"/>
      <c r="J626" s="115"/>
      <c r="K626" s="115"/>
      <c r="L626" s="115"/>
      <c r="M626" s="116"/>
      <c r="N626" s="18">
        <f>IF(A40taxstdlife="n/a","n/a",IF(N$3&gt;(A40taxstdlife+$E626),('RFM input'!$M$100-'RFM input'!$M$154)-SUM($M626:M626),('RFM input'!$M$100-'RFM input'!$M$154)/A40taxstdlife))</f>
        <v>0</v>
      </c>
      <c r="O626" s="18">
        <f>IF(A40taxstdlife="n/a","n/a",IF(O$3&gt;(A40taxstdlife+$E626),('RFM input'!$M$100-'RFM input'!$M$154)-SUM($M626:N626),('RFM input'!$M$100-'RFM input'!$M$154)/A40taxstdlife))</f>
        <v>0</v>
      </c>
      <c r="P626" s="18">
        <f>IF(A40taxstdlife="n/a","n/a",IF(P$3&gt;(A40taxstdlife+$E626),('RFM input'!$M$100-'RFM input'!$M$154)-SUM($M626:O626),('RFM input'!$M$100-'RFM input'!$M$154)/A40taxstdlife))</f>
        <v>0</v>
      </c>
      <c r="Q626" s="18">
        <f>IF(A40taxstdlife="n/a","n/a",IF(Q$3&gt;(A40taxstdlife+$E626),('RFM input'!$M$100-'RFM input'!$M$154)-SUM($M626:P626),('RFM input'!$M$100-'RFM input'!$M$154)/A40taxstdlife))</f>
        <v>0</v>
      </c>
      <c r="R626" s="18"/>
      <c r="S626" s="74"/>
      <c r="T626" s="74"/>
      <c r="U626" s="74"/>
      <c r="V626" s="74"/>
      <c r="W626" s="74"/>
      <c r="X626" s="74"/>
      <c r="Y626" s="74"/>
      <c r="Z626" s="74"/>
      <c r="AA626" s="152"/>
    </row>
    <row r="627" spans="1:27" ht="12.75" hidden="1" customHeight="1" outlineLevel="2">
      <c r="A627" s="3"/>
      <c r="B627" s="3"/>
      <c r="C627" s="16"/>
      <c r="D627" s="1594"/>
      <c r="E627" s="61">
        <v>7</v>
      </c>
      <c r="F627" s="17"/>
      <c r="G627" s="17"/>
      <c r="H627" s="1414"/>
      <c r="I627" s="1414"/>
      <c r="J627" s="115"/>
      <c r="K627" s="115"/>
      <c r="L627" s="115"/>
      <c r="M627" s="115"/>
      <c r="N627" s="116"/>
      <c r="O627" s="18">
        <f>IF(A40taxstdlife="n/a","n/a",IF(O$3&gt;(A40taxstdlife+$E627),('RFM input'!$N$100-'RFM input'!$N$154)-SUM($N627:N627),('RFM input'!$N$100-'RFM input'!$N$154)/A40taxstdlife))</f>
        <v>0</v>
      </c>
      <c r="P627" s="18">
        <f>IF(A40taxstdlife="n/a","n/a",IF(P$3&gt;(A40taxstdlife+$E627),('RFM input'!$N$100-'RFM input'!$N$154)-SUM($N627:O627),('RFM input'!$N$100-'RFM input'!$N$154)/A40taxstdlife))</f>
        <v>0</v>
      </c>
      <c r="Q627" s="18">
        <f>IF(A40taxstdlife="n/a","n/a",IF(Q$3&gt;(A40taxstdlife+$E627),('RFM input'!$N$100-'RFM input'!$N$154)-SUM($N627:P627),('RFM input'!$N$100-'RFM input'!$N$154)/A40taxstdlife))</f>
        <v>0</v>
      </c>
      <c r="R627" s="18"/>
      <c r="S627" s="74"/>
      <c r="T627" s="74"/>
      <c r="U627" s="74"/>
      <c r="V627" s="74"/>
      <c r="W627" s="74"/>
      <c r="X627" s="74"/>
      <c r="Y627" s="74"/>
      <c r="Z627" s="74"/>
      <c r="AA627" s="152"/>
    </row>
    <row r="628" spans="1:27" ht="12.75" hidden="1" customHeight="1" outlineLevel="2">
      <c r="A628" s="3"/>
      <c r="B628" s="3"/>
      <c r="C628" s="16"/>
      <c r="D628" s="1594"/>
      <c r="E628" s="61">
        <v>8</v>
      </c>
      <c r="F628" s="17"/>
      <c r="G628" s="17"/>
      <c r="H628" s="1414"/>
      <c r="I628" s="1414"/>
      <c r="J628" s="115"/>
      <c r="K628" s="115"/>
      <c r="L628" s="115"/>
      <c r="M628" s="115"/>
      <c r="N628" s="115"/>
      <c r="O628" s="116"/>
      <c r="P628" s="18">
        <f>IF(A40taxstdlife="n/a","n/a",IF(P$3&gt;(A40taxstdlife+$E628),('RFM input'!$O$100-'RFM input'!$O$154)-SUM($O628:O628),('RFM input'!$O$100-'RFM input'!$O$154)/A40taxstdlife))</f>
        <v>0</v>
      </c>
      <c r="Q628" s="18">
        <f>IF(A40taxstdlife="n/a","n/a",IF(Q$3&gt;(A40taxstdlife+$E628),('RFM input'!$O$100-'RFM input'!$O$154)-SUM($O628:P628),('RFM input'!$O$100-'RFM input'!$O$154)/A40taxstdlife))</f>
        <v>0</v>
      </c>
      <c r="R628" s="18"/>
      <c r="S628" s="74"/>
      <c r="T628" s="74"/>
      <c r="U628" s="74"/>
      <c r="V628" s="74"/>
      <c r="W628" s="74"/>
      <c r="X628" s="74"/>
      <c r="Y628" s="74"/>
      <c r="Z628" s="74"/>
      <c r="AA628" s="152"/>
    </row>
    <row r="629" spans="1:27" ht="12.75" hidden="1" customHeight="1" outlineLevel="2">
      <c r="A629" s="3"/>
      <c r="B629" s="3"/>
      <c r="C629" s="16"/>
      <c r="D629" s="1594"/>
      <c r="E629" s="61">
        <v>9</v>
      </c>
      <c r="F629" s="17"/>
      <c r="G629" s="17"/>
      <c r="H629" s="1414"/>
      <c r="I629" s="1414"/>
      <c r="J629" s="115"/>
      <c r="K629" s="115"/>
      <c r="L629" s="115"/>
      <c r="M629" s="115"/>
      <c r="N629" s="115"/>
      <c r="O629" s="115"/>
      <c r="P629" s="116"/>
      <c r="Q629" s="18">
        <f>IF(A40taxstdlife="n/a","n/a",IF(Q$3&gt;(A40taxstdlife+$E629),('RFM input'!$P$100-'RFM input'!$P$154)-SUM($P629:P629),('RFM input'!$P$100-'RFM input'!$P$154)/A40taxstdlife))</f>
        <v>0</v>
      </c>
      <c r="R629" s="18"/>
      <c r="S629" s="74"/>
      <c r="T629" s="74"/>
      <c r="U629" s="74"/>
      <c r="V629" s="74"/>
      <c r="W629" s="74"/>
      <c r="X629" s="74"/>
      <c r="Y629" s="74"/>
      <c r="Z629" s="74"/>
      <c r="AA629" s="152"/>
    </row>
    <row r="630" spans="1:27" ht="12.75" hidden="1" customHeight="1" outlineLevel="2">
      <c r="A630" s="3"/>
      <c r="B630" s="3"/>
      <c r="C630" s="16"/>
      <c r="D630" s="1594"/>
      <c r="E630" s="62">
        <v>10</v>
      </c>
      <c r="F630" s="17"/>
      <c r="G630" s="17"/>
      <c r="H630" s="1414"/>
      <c r="I630" s="1414"/>
      <c r="J630" s="115"/>
      <c r="K630" s="115"/>
      <c r="L630" s="115"/>
      <c r="M630" s="115"/>
      <c r="N630" s="115"/>
      <c r="O630" s="115"/>
      <c r="P630" s="115"/>
      <c r="Q630" s="116"/>
      <c r="R630" s="18"/>
      <c r="S630" s="74"/>
      <c r="T630" s="74"/>
      <c r="U630" s="74"/>
      <c r="V630" s="74"/>
      <c r="W630" s="74"/>
      <c r="X630" s="74"/>
      <c r="Y630" s="74"/>
      <c r="Z630" s="74"/>
      <c r="AA630" s="152"/>
    </row>
    <row r="631" spans="1:27" hidden="1" outlineLevel="1">
      <c r="A631" s="3"/>
      <c r="B631" s="3"/>
      <c r="C631" s="134">
        <f>Asset40</f>
        <v>0</v>
      </c>
      <c r="D631" s="3"/>
      <c r="E631" s="3"/>
      <c r="F631" s="14"/>
      <c r="G631" s="14"/>
      <c r="H631" s="1460">
        <f>IF('RFM input'!$G$354="Tracked",-1*INDEX('RFM input'!H$358:H$407,MATCH('TAB roll forward'!$C631,'RFM input'!$E$358:$E$407,0)),-SUM(H619:H630))</f>
        <v>0</v>
      </c>
      <c r="I631" s="1460">
        <f>IF('RFM input'!$G$354="Tracked",-1*INDEX('RFM input'!I$358:I$407,MATCH('TAB roll forward'!$C631,'RFM input'!$E$358:$E$407,0)),-SUM(I619:I630))</f>
        <v>0</v>
      </c>
      <c r="J631" s="1460">
        <f>IF(COUNT($H631:I631)&gt;='RFM input'!$V$7,0,IF('RFM input'!$G$354="Tracked",-1*INDEX('RFM input'!J$358:J$407,MATCH('TAB roll forward'!$C631,'RFM input'!$E$358:$E$407,0)),-SUM(J619:J630)))</f>
        <v>0</v>
      </c>
      <c r="K631" s="1460">
        <f>IF(COUNT($H631:J631)&gt;='RFM input'!$V$7,0,IF('RFM input'!$G$354="Tracked",-1*INDEX('RFM input'!K$358:K$407,MATCH('TAB roll forward'!$C631,'RFM input'!$E$358:$E$407,0)),-SUM(K619:K630)))</f>
        <v>0</v>
      </c>
      <c r="L631" s="1460">
        <f>IF(COUNT($H631:K631)&gt;='RFM input'!$V$7,0,IF('RFM input'!$G$354="Tracked",-1*INDEX('RFM input'!L$358:L$407,MATCH('TAB roll forward'!$C631,'RFM input'!$E$358:$E$407,0)),-SUM(L619:L630)))</f>
        <v>0</v>
      </c>
      <c r="M631" s="1460">
        <f>IF(COUNT($H631:L631)&gt;='RFM input'!$V$7,0,IF('RFM input'!$G$354="Tracked",-1*INDEX('RFM input'!M$358:M$407,MATCH('TAB roll forward'!$C631,'RFM input'!$E$358:$E$407,0)),-SUM(M619:M630)))</f>
        <v>0</v>
      </c>
      <c r="N631" s="1460">
        <f>IF(COUNT($H631:M631)&gt;='RFM input'!$V$7,0,IF('RFM input'!$G$354="Tracked",-1*INDEX('RFM input'!N$358:N$407,MATCH('TAB roll forward'!$C631,'RFM input'!$E$358:$E$407,0)),-SUM(N619:N630)))</f>
        <v>0</v>
      </c>
      <c r="O631" s="1460">
        <f>IF(COUNT($H631:N631)&gt;='RFM input'!$V$7,0,IF('RFM input'!$G$354="Tracked",-1*INDEX('RFM input'!O$358:O$407,MATCH('TAB roll forward'!$C631,'RFM input'!$E$358:$E$407,0)),-SUM(O619:O630)))</f>
        <v>0</v>
      </c>
      <c r="P631" s="1460">
        <f>IF(COUNT($H631:O631)&gt;='RFM input'!$V$7,0,IF('RFM input'!$G$354="Tracked",-1*INDEX('RFM input'!P$358:P$407,MATCH('TAB roll forward'!$C631,'RFM input'!$E$358:$E$407,0)),-SUM(P619:P630)))</f>
        <v>0</v>
      </c>
      <c r="Q631" s="1460">
        <f>IF(COUNT($H631:P631)&gt;='RFM input'!$V$7,0,IF('RFM input'!$G$354="Tracked",-1*INDEX('RFM input'!Q$358:Q$407,MATCH('TAB roll forward'!$C631,'RFM input'!$E$358:$E$407,0)),-SUM(Q619:Q630)))</f>
        <v>0</v>
      </c>
      <c r="R631" s="1382"/>
      <c r="S631" s="73"/>
      <c r="T631" s="73"/>
      <c r="U631" s="73"/>
      <c r="V631" s="73"/>
      <c r="W631" s="73"/>
      <c r="X631" s="73"/>
      <c r="Y631" s="73"/>
      <c r="Z631" s="73"/>
      <c r="AA631" s="152"/>
    </row>
    <row r="632" spans="1:27" ht="12.75" hidden="1" customHeight="1" outlineLevel="2">
      <c r="A632" s="3"/>
      <c r="B632" s="135">
        <f>Asset41</f>
        <v>0</v>
      </c>
      <c r="C632" s="19"/>
      <c r="D632" s="234" t="s">
        <v>119</v>
      </c>
      <c r="E632" s="19"/>
      <c r="F632" s="148"/>
      <c r="G632" s="148"/>
      <c r="H632" s="21">
        <f>IF(H$3&gt;A41taxremlife,A41taxvalue-SUM($F632:F632),IF(A41taxremlife="N/A","n/a",A41taxvalue/A41taxremlife))</f>
        <v>0</v>
      </c>
      <c r="I632" s="21">
        <f>IF(I$3&gt;A41taxremlife,A41taxvalue-SUM($F632:H632),IF(A41taxremlife="N/A","n/a",A41taxvalue/A41taxremlife))</f>
        <v>0</v>
      </c>
      <c r="J632" s="21">
        <f>IF(J$3&gt;A41taxremlife,A41taxvalue-SUM($F632:I632),IF(A41taxremlife="N/A","n/a",A41taxvalue/A41taxremlife))</f>
        <v>0</v>
      </c>
      <c r="K632" s="21">
        <f>IF(K$3&gt;A41taxremlife,A41taxvalue-SUM($F632:J632),IF(A41taxremlife="N/A","n/a",A41taxvalue/A41taxremlife))</f>
        <v>0</v>
      </c>
      <c r="L632" s="21">
        <f>IF(L$3&gt;A41taxremlife,A41taxvalue-SUM($F632:K632),IF(A41taxremlife="N/A","n/a",A41taxvalue/A41taxremlife))</f>
        <v>0</v>
      </c>
      <c r="M632" s="21">
        <f>IF(M$3&gt;A41taxremlife,A41taxvalue-SUM($F632:L632),IF(A41taxremlife="N/A","n/a",A41taxvalue/A41taxremlife))</f>
        <v>0</v>
      </c>
      <c r="N632" s="21">
        <f>IF(N$3&gt;A41taxremlife,A41taxvalue-SUM($F632:M632),IF(A41taxremlife="N/A","n/a",A41taxvalue/A41taxremlife))</f>
        <v>0</v>
      </c>
      <c r="O632" s="21">
        <f>IF(O$3&gt;A41taxremlife,A41taxvalue-SUM($F632:N632),IF(A41taxremlife="N/A","n/a",A41taxvalue/A41taxremlife))</f>
        <v>0</v>
      </c>
      <c r="P632" s="21">
        <f>IF(P$3&gt;A41taxremlife,A41taxvalue-SUM($F632:O632),IF(A41taxremlife="N/A","n/a",A41taxvalue/A41taxremlife))</f>
        <v>0</v>
      </c>
      <c r="Q632" s="21">
        <f>IF(Q$3&gt;A41taxremlife,A41taxvalue-SUM($F632:P632),IF(A41taxremlife="N/A","n/a",A41taxvalue/A41taxremlife))</f>
        <v>0</v>
      </c>
      <c r="R632" s="21"/>
      <c r="S632" s="74"/>
      <c r="T632" s="74"/>
      <c r="U632" s="74"/>
      <c r="V632" s="74"/>
      <c r="W632" s="74"/>
      <c r="X632" s="74"/>
      <c r="Y632" s="74"/>
      <c r="Z632" s="74"/>
      <c r="AA632" s="152"/>
    </row>
    <row r="633" spans="1:27" ht="12.75" hidden="1" customHeight="1" outlineLevel="2">
      <c r="A633" s="3"/>
      <c r="B633" s="3"/>
      <c r="C633" s="16"/>
      <c r="D633" s="1593" t="s">
        <v>43</v>
      </c>
      <c r="E633" s="61"/>
      <c r="F633" s="17"/>
      <c r="G633" s="17"/>
      <c r="H633" s="1413"/>
      <c r="I633" s="72"/>
      <c r="J633" s="18"/>
      <c r="K633" s="18"/>
      <c r="L633" s="18"/>
      <c r="M633" s="18"/>
      <c r="N633" s="18"/>
      <c r="O633" s="18"/>
      <c r="P633" s="18"/>
      <c r="Q633" s="18"/>
      <c r="R633" s="18"/>
      <c r="S633" s="74"/>
      <c r="T633" s="74"/>
      <c r="U633" s="74"/>
      <c r="V633" s="74"/>
      <c r="W633" s="74"/>
      <c r="X633" s="74"/>
      <c r="Y633" s="74"/>
      <c r="Z633" s="74"/>
      <c r="AA633" s="152"/>
    </row>
    <row r="634" spans="1:27" ht="12.75" hidden="1" customHeight="1" outlineLevel="2">
      <c r="A634" s="3"/>
      <c r="B634" s="3"/>
      <c r="C634" s="16"/>
      <c r="D634" s="1594"/>
      <c r="E634" s="61">
        <v>1</v>
      </c>
      <c r="F634" s="17"/>
      <c r="G634" s="17"/>
      <c r="H634" s="1414"/>
      <c r="I634" s="1415">
        <f>IF(A41taxstdlife="n/a","n/a",IF(I$3&gt;(A41taxstdlife+$E634),('RFM input'!$H$101-'RFM input'!$H$155)-SUM($H634:H634),('RFM input'!$H$101-'RFM input'!$H$155)/A41taxstdlife))</f>
        <v>0</v>
      </c>
      <c r="J634" s="18">
        <f>IF(A41taxstdlife="n/a","n/a",IF(J$3&gt;(A41taxstdlife+$E634),('RFM input'!$H$101-'RFM input'!$H$155)-SUM($H634:I634),('RFM input'!$H$101-'RFM input'!$H$155)/A41taxstdlife))</f>
        <v>0</v>
      </c>
      <c r="K634" s="18">
        <f>IF(A41taxstdlife="n/a","n/a",IF(K$3&gt;(A41taxstdlife+$E634),('RFM input'!$H$101-'RFM input'!$H$155)-SUM($H634:J634),('RFM input'!$H$101-'RFM input'!$H$155)/A41taxstdlife))</f>
        <v>0</v>
      </c>
      <c r="L634" s="18">
        <f>IF(A41taxstdlife="n/a","n/a",IF(L$3&gt;(A41taxstdlife+$E634),('RFM input'!$H$101-'RFM input'!$H$155)-SUM($H634:K634),('RFM input'!$H$101-'RFM input'!$H$155)/A41taxstdlife))</f>
        <v>0</v>
      </c>
      <c r="M634" s="18">
        <f>IF(A41taxstdlife="n/a","n/a",IF(M$3&gt;(A41taxstdlife+$E634),('RFM input'!$H$101-'RFM input'!$H$155)-SUM($H634:L634),('RFM input'!$H$101-'RFM input'!$H$155)/A41taxstdlife))</f>
        <v>0</v>
      </c>
      <c r="N634" s="18">
        <f>IF(A41taxstdlife="n/a","n/a",IF(N$3&gt;(A41taxstdlife+$E634),('RFM input'!$H$101-'RFM input'!$H$155)-SUM($H634:M634),('RFM input'!$H$101-'RFM input'!$H$155)/A41taxstdlife))</f>
        <v>0</v>
      </c>
      <c r="O634" s="18">
        <f>IF(A41taxstdlife="n/a","n/a",IF(O$3&gt;(A41taxstdlife+$E634),('RFM input'!$H$101-'RFM input'!$H$155)-SUM($H634:N634),('RFM input'!$H$101-'RFM input'!$H$155)/A41taxstdlife))</f>
        <v>0</v>
      </c>
      <c r="P634" s="18">
        <f>IF(A41taxstdlife="n/a","n/a",IF(P$3&gt;(A41taxstdlife+$E634),('RFM input'!$H$101-'RFM input'!$H$155)-SUM($H634:O634),('RFM input'!$H$101-'RFM input'!$H$155)/A41taxstdlife))</f>
        <v>0</v>
      </c>
      <c r="Q634" s="18">
        <f>IF(A41taxstdlife="n/a","n/a",IF(Q$3&gt;(A41taxstdlife+$E634),('RFM input'!$H$101-'RFM input'!$H$155)-SUM($H634:P634),('RFM input'!$H$101-'RFM input'!$H$155)/A41taxstdlife))</f>
        <v>0</v>
      </c>
      <c r="R634" s="18"/>
      <c r="S634" s="74"/>
      <c r="T634" s="74"/>
      <c r="U634" s="74"/>
      <c r="V634" s="74"/>
      <c r="W634" s="74"/>
      <c r="X634" s="74"/>
      <c r="Y634" s="74"/>
      <c r="Z634" s="74"/>
      <c r="AA634" s="152"/>
    </row>
    <row r="635" spans="1:27" ht="12.75" hidden="1" customHeight="1" outlineLevel="2">
      <c r="A635" s="3"/>
      <c r="B635" s="3"/>
      <c r="C635" s="16"/>
      <c r="D635" s="1594"/>
      <c r="E635" s="61">
        <v>2</v>
      </c>
      <c r="F635" s="17"/>
      <c r="G635" s="17"/>
      <c r="H635" s="1414"/>
      <c r="I635" s="1414"/>
      <c r="J635" s="18">
        <f>IF(A41taxstdlife="n/a","n/a",IF(J$3&gt;(A41taxstdlife+$E635),('RFM input'!$I$101-'RFM input'!$I$155)-SUM($I635:I635),('RFM input'!$I$101-'RFM input'!$I$155)/A41taxstdlife))</f>
        <v>0</v>
      </c>
      <c r="K635" s="18">
        <f>IF(A41taxstdlife="n/a","n/a",IF(K$3&gt;(A41taxstdlife+$E635),('RFM input'!$I$101-'RFM input'!$I$155)-SUM($I635:J635),('RFM input'!$I$101-'RFM input'!$I$155)/A41taxstdlife))</f>
        <v>0</v>
      </c>
      <c r="L635" s="18">
        <f>IF(A41taxstdlife="n/a","n/a",IF(L$3&gt;(A41taxstdlife+$E635),('RFM input'!$I$101-'RFM input'!$I$155)-SUM($I635:K635),('RFM input'!$I$101-'RFM input'!$I$155)/A41taxstdlife))</f>
        <v>0</v>
      </c>
      <c r="M635" s="18">
        <f>IF(A41taxstdlife="n/a","n/a",IF(M$3&gt;(A41taxstdlife+$E635),('RFM input'!$I$101-'RFM input'!$I$155)-SUM($I635:L635),('RFM input'!$I$101-'RFM input'!$I$155)/A41taxstdlife))</f>
        <v>0</v>
      </c>
      <c r="N635" s="18">
        <f>IF(A41taxstdlife="n/a","n/a",IF(N$3&gt;(A41taxstdlife+$E635),('RFM input'!$I$101-'RFM input'!$I$155)-SUM($I635:M635),('RFM input'!$I$101-'RFM input'!$I$155)/A41taxstdlife))</f>
        <v>0</v>
      </c>
      <c r="O635" s="18">
        <f>IF(A41taxstdlife="n/a","n/a",IF(O$3&gt;(A41taxstdlife+$E635),('RFM input'!$I$101-'RFM input'!$I$155)-SUM($I635:N635),('RFM input'!$I$101-'RFM input'!$I$155)/A41taxstdlife))</f>
        <v>0</v>
      </c>
      <c r="P635" s="18">
        <f>IF(A41taxstdlife="n/a","n/a",IF(P$3&gt;(A41taxstdlife+$E635),('RFM input'!$I$101-'RFM input'!$I$155)-SUM($I635:O635),('RFM input'!$I$101-'RFM input'!$I$155)/A41taxstdlife))</f>
        <v>0</v>
      </c>
      <c r="Q635" s="18">
        <f>IF(A41taxstdlife="n/a","n/a",IF(Q$3&gt;(A41taxstdlife+$E635),('RFM input'!$I$101-'RFM input'!$I$155)-SUM($I635:P635),('RFM input'!$I$101-'RFM input'!$I$155)/A41taxstdlife))</f>
        <v>0</v>
      </c>
      <c r="R635" s="18"/>
      <c r="S635" s="74"/>
      <c r="T635" s="74"/>
      <c r="U635" s="74"/>
      <c r="V635" s="74"/>
      <c r="W635" s="74"/>
      <c r="X635" s="74"/>
      <c r="Y635" s="74"/>
      <c r="Z635" s="74"/>
      <c r="AA635" s="152"/>
    </row>
    <row r="636" spans="1:27" ht="12.75" hidden="1" customHeight="1" outlineLevel="2">
      <c r="A636" s="3"/>
      <c r="B636" s="3"/>
      <c r="C636" s="16"/>
      <c r="D636" s="1594"/>
      <c r="E636" s="61">
        <v>3</v>
      </c>
      <c r="F636" s="17"/>
      <c r="G636" s="17"/>
      <c r="H636" s="1414"/>
      <c r="I636" s="1414"/>
      <c r="J636" s="116"/>
      <c r="K636" s="18">
        <f>IF(A41taxstdlife="n/a","n/a",IF(K$3&gt;(A41taxstdlife+$E636),('RFM input'!$J$101-'RFM input'!$J$155)-SUM($J636:J636),('RFM input'!$J$101-'RFM input'!$J$155)/A41taxstdlife))</f>
        <v>0</v>
      </c>
      <c r="L636" s="18">
        <f>IF(A41taxstdlife="n/a","n/a",IF(L$3&gt;(A41taxstdlife+$E636),('RFM input'!$J$101-'RFM input'!$J$155)-SUM($J636:K636),('RFM input'!$J$101-'RFM input'!$J$155)/A41taxstdlife))</f>
        <v>0</v>
      </c>
      <c r="M636" s="18">
        <f>IF(A41taxstdlife="n/a","n/a",IF(M$3&gt;(A41taxstdlife+$E636),('RFM input'!$J$101-'RFM input'!$J$155)-SUM($J636:L636),('RFM input'!$J$101-'RFM input'!$J$155)/A41taxstdlife))</f>
        <v>0</v>
      </c>
      <c r="N636" s="18">
        <f>IF(A41taxstdlife="n/a","n/a",IF(N$3&gt;(A41taxstdlife+$E636),('RFM input'!$J$101-'RFM input'!$J$155)-SUM($J636:M636),('RFM input'!$J$101-'RFM input'!$J$155)/A41taxstdlife))</f>
        <v>0</v>
      </c>
      <c r="O636" s="18">
        <f>IF(A41taxstdlife="n/a","n/a",IF(O$3&gt;(A41taxstdlife+$E636),('RFM input'!$J$101-'RFM input'!$J$155)-SUM($J636:N636),('RFM input'!$J$101-'RFM input'!$J$155)/A41taxstdlife))</f>
        <v>0</v>
      </c>
      <c r="P636" s="18">
        <f>IF(A41taxstdlife="n/a","n/a",IF(P$3&gt;(A41taxstdlife+$E636),('RFM input'!$J$101-'RFM input'!$J$155)-SUM($J636:O636),('RFM input'!$J$101-'RFM input'!$J$155)/A41taxstdlife))</f>
        <v>0</v>
      </c>
      <c r="Q636" s="18">
        <f>IF(A41taxstdlife="n/a","n/a",IF(Q$3&gt;(A41taxstdlife+$E636),('RFM input'!$J$101-'RFM input'!$J$155)-SUM($J636:P636),('RFM input'!$J$101-'RFM input'!$J$155)/A41taxstdlife))</f>
        <v>0</v>
      </c>
      <c r="R636" s="18"/>
      <c r="S636" s="74"/>
      <c r="T636" s="74"/>
      <c r="U636" s="74"/>
      <c r="V636" s="74"/>
      <c r="W636" s="74"/>
      <c r="X636" s="74"/>
      <c r="Y636" s="74"/>
      <c r="Z636" s="74"/>
      <c r="AA636" s="152"/>
    </row>
    <row r="637" spans="1:27" ht="12.75" hidden="1" customHeight="1" outlineLevel="2">
      <c r="A637" s="3"/>
      <c r="B637" s="3"/>
      <c r="C637" s="16"/>
      <c r="D637" s="1594"/>
      <c r="E637" s="61">
        <v>4</v>
      </c>
      <c r="F637" s="17"/>
      <c r="G637" s="17"/>
      <c r="H637" s="1414"/>
      <c r="I637" s="1414"/>
      <c r="J637" s="115"/>
      <c r="K637" s="116"/>
      <c r="L637" s="18">
        <f>IF(A41taxstdlife="n/a","n/a",IF(L$3&gt;(A41taxstdlife+$E637),('RFM input'!$K$101-'RFM input'!$K$155)-SUM($K637:K637),('RFM input'!$K$101-'RFM input'!$K$155)/A41taxstdlife))</f>
        <v>0</v>
      </c>
      <c r="M637" s="18">
        <f>IF(A41taxstdlife="n/a","n/a",IF(M$3&gt;(A41taxstdlife+$E637),('RFM input'!$K$101-'RFM input'!$K$155)-SUM($K637:L637),('RFM input'!$K$101-'RFM input'!$K$155)/A41taxstdlife))</f>
        <v>0</v>
      </c>
      <c r="N637" s="18">
        <f>IF(A41taxstdlife="n/a","n/a",IF(N$3&gt;(A41taxstdlife+$E637),('RFM input'!$K$101-'RFM input'!$K$155)-SUM($K637:M637),('RFM input'!$K$101-'RFM input'!$K$155)/A41taxstdlife))</f>
        <v>0</v>
      </c>
      <c r="O637" s="18">
        <f>IF(A41taxstdlife="n/a","n/a",IF(O$3&gt;(A41taxstdlife+$E637),('RFM input'!$K$101-'RFM input'!$K$155)-SUM($K637:N637),('RFM input'!$K$101-'RFM input'!$K$155)/A41taxstdlife))</f>
        <v>0</v>
      </c>
      <c r="P637" s="18">
        <f>IF(A41taxstdlife="n/a","n/a",IF(P$3&gt;(A41taxstdlife+$E637),('RFM input'!$K$101-'RFM input'!$K$155)-SUM($K637:O637),('RFM input'!$K$101-'RFM input'!$K$155)/A41taxstdlife))</f>
        <v>0</v>
      </c>
      <c r="Q637" s="18">
        <f>IF(A41taxstdlife="n/a","n/a",IF(Q$3&gt;(A41taxstdlife+$E637),('RFM input'!$K$101-'RFM input'!$K$155)-SUM($K637:P637),('RFM input'!$K$101-'RFM input'!$K$155)/A41taxstdlife))</f>
        <v>0</v>
      </c>
      <c r="R637" s="18"/>
      <c r="S637" s="74"/>
      <c r="T637" s="74"/>
      <c r="U637" s="74"/>
      <c r="V637" s="74"/>
      <c r="W637" s="74"/>
      <c r="X637" s="74"/>
      <c r="Y637" s="74"/>
      <c r="Z637" s="74"/>
      <c r="AA637" s="152"/>
    </row>
    <row r="638" spans="1:27" ht="12.75" hidden="1" customHeight="1" outlineLevel="2">
      <c r="A638" s="3"/>
      <c r="B638" s="3"/>
      <c r="C638" s="16"/>
      <c r="D638" s="1594"/>
      <c r="E638" s="61">
        <v>5</v>
      </c>
      <c r="F638" s="17"/>
      <c r="G638" s="17"/>
      <c r="H638" s="1414"/>
      <c r="I638" s="1414"/>
      <c r="J638" s="115"/>
      <c r="K638" s="115"/>
      <c r="L638" s="116"/>
      <c r="M638" s="18">
        <f>IF(A41taxstdlife="n/a","n/a",IF(M$3&gt;(A41taxstdlife+$E638),('RFM input'!$L$101-'RFM input'!$L$155)-SUM($L638:L638),('RFM input'!$L$101-'RFM input'!$L$155)/A41taxstdlife))</f>
        <v>0</v>
      </c>
      <c r="N638" s="18">
        <f>IF(A41taxstdlife="n/a","n/a",IF(N$3&gt;(A41taxstdlife+$E638),('RFM input'!$L$101-'RFM input'!$L$155)-SUM($L638:M638),('RFM input'!$L$101-'RFM input'!$L$155)/A41taxstdlife))</f>
        <v>0</v>
      </c>
      <c r="O638" s="18">
        <f>IF(A41taxstdlife="n/a","n/a",IF(O$3&gt;(A41taxstdlife+$E638),('RFM input'!$L$101-'RFM input'!$L$155)-SUM($L638:N638),('RFM input'!$L$101-'RFM input'!$L$155)/A41taxstdlife))</f>
        <v>0</v>
      </c>
      <c r="P638" s="18">
        <f>IF(A41taxstdlife="n/a","n/a",IF(P$3&gt;(A41taxstdlife+$E638),('RFM input'!$L$101-'RFM input'!$L$155)-SUM($L638:O638),('RFM input'!$L$101-'RFM input'!$L$155)/A41taxstdlife))</f>
        <v>0</v>
      </c>
      <c r="Q638" s="18">
        <f>IF(A41taxstdlife="n/a","n/a",IF(Q$3&gt;(A41taxstdlife+$E638),('RFM input'!$L$101-'RFM input'!$L$155)-SUM($L638:P638),('RFM input'!$L$101-'RFM input'!$L$155)/A41taxstdlife))</f>
        <v>0</v>
      </c>
      <c r="R638" s="18"/>
      <c r="S638" s="74"/>
      <c r="T638" s="74"/>
      <c r="U638" s="74"/>
      <c r="V638" s="74"/>
      <c r="W638" s="74"/>
      <c r="X638" s="74"/>
      <c r="Y638" s="74"/>
      <c r="Z638" s="74"/>
      <c r="AA638" s="152"/>
    </row>
    <row r="639" spans="1:27" ht="12.75" hidden="1" customHeight="1" outlineLevel="2">
      <c r="A639" s="3"/>
      <c r="B639" s="3"/>
      <c r="C639" s="16"/>
      <c r="D639" s="1594"/>
      <c r="E639" s="61">
        <v>6</v>
      </c>
      <c r="F639" s="17"/>
      <c r="G639" s="17"/>
      <c r="H639" s="1414"/>
      <c r="I639" s="1414"/>
      <c r="J639" s="115"/>
      <c r="K639" s="115"/>
      <c r="L639" s="115"/>
      <c r="M639" s="116"/>
      <c r="N639" s="18">
        <f>IF(A41taxstdlife="n/a","n/a",IF(N$3&gt;(A41taxstdlife+$E639),('RFM input'!$M$101-'RFM input'!$M$155)-SUM($M639:M639),('RFM input'!$M$101-'RFM input'!$M$155)/A41taxstdlife))</f>
        <v>0</v>
      </c>
      <c r="O639" s="18">
        <f>IF(A41taxstdlife="n/a","n/a",IF(O$3&gt;(A41taxstdlife+$E639),('RFM input'!$M$101-'RFM input'!$M$155)-SUM($M639:N639),('RFM input'!$M$101-'RFM input'!$M$155)/A41taxstdlife))</f>
        <v>0</v>
      </c>
      <c r="P639" s="18">
        <f>IF(A41taxstdlife="n/a","n/a",IF(P$3&gt;(A41taxstdlife+$E639),('RFM input'!$M$101-'RFM input'!$M$155)-SUM($M639:O639),('RFM input'!$M$101-'RFM input'!$M$155)/A41taxstdlife))</f>
        <v>0</v>
      </c>
      <c r="Q639" s="18">
        <f>IF(A41taxstdlife="n/a","n/a",IF(Q$3&gt;(A41taxstdlife+$E639),('RFM input'!$M$101-'RFM input'!$M$155)-SUM($M639:P639),('RFM input'!$M$101-'RFM input'!$M$155)/A41taxstdlife))</f>
        <v>0</v>
      </c>
      <c r="R639" s="18"/>
      <c r="S639" s="74"/>
      <c r="T639" s="74"/>
      <c r="U639" s="74"/>
      <c r="V639" s="74"/>
      <c r="W639" s="74"/>
      <c r="X639" s="74"/>
      <c r="Y639" s="74"/>
      <c r="Z639" s="74"/>
      <c r="AA639" s="152"/>
    </row>
    <row r="640" spans="1:27" ht="12.75" hidden="1" customHeight="1" outlineLevel="2">
      <c r="A640" s="3"/>
      <c r="B640" s="3"/>
      <c r="C640" s="16"/>
      <c r="D640" s="1594"/>
      <c r="E640" s="61">
        <v>7</v>
      </c>
      <c r="F640" s="17"/>
      <c r="G640" s="17"/>
      <c r="H640" s="1414"/>
      <c r="I640" s="1414"/>
      <c r="J640" s="115"/>
      <c r="K640" s="115"/>
      <c r="L640" s="115"/>
      <c r="M640" s="115"/>
      <c r="N640" s="116"/>
      <c r="O640" s="18">
        <f>IF(A41taxstdlife="n/a","n/a",IF(O$3&gt;(A41taxstdlife+$E640),('RFM input'!$N$101-'RFM input'!$N$155)-SUM($N640:N640),('RFM input'!$N$101-'RFM input'!$N$155)/A41taxstdlife))</f>
        <v>0</v>
      </c>
      <c r="P640" s="18">
        <f>IF(A41taxstdlife="n/a","n/a",IF(P$3&gt;(A41taxstdlife+$E640),('RFM input'!$N$101-'RFM input'!$N$155)-SUM($N640:O640),('RFM input'!$N$101-'RFM input'!$N$155)/A41taxstdlife))</f>
        <v>0</v>
      </c>
      <c r="Q640" s="18">
        <f>IF(A41taxstdlife="n/a","n/a",IF(Q$3&gt;(A41taxstdlife+$E640),('RFM input'!$N$101-'RFM input'!$N$155)-SUM($N640:P640),('RFM input'!$N$101-'RFM input'!$N$155)/A41taxstdlife))</f>
        <v>0</v>
      </c>
      <c r="R640" s="18"/>
      <c r="S640" s="74"/>
      <c r="T640" s="74"/>
      <c r="U640" s="74"/>
      <c r="V640" s="74"/>
      <c r="W640" s="74"/>
      <c r="X640" s="74"/>
      <c r="Y640" s="74"/>
      <c r="Z640" s="74"/>
      <c r="AA640" s="152"/>
    </row>
    <row r="641" spans="1:27" ht="12.75" hidden="1" customHeight="1" outlineLevel="2">
      <c r="A641" s="3"/>
      <c r="B641" s="3"/>
      <c r="C641" s="16"/>
      <c r="D641" s="1594"/>
      <c r="E641" s="61">
        <v>8</v>
      </c>
      <c r="F641" s="17"/>
      <c r="G641" s="17"/>
      <c r="H641" s="1414"/>
      <c r="I641" s="1414"/>
      <c r="J641" s="115"/>
      <c r="K641" s="115"/>
      <c r="L641" s="115"/>
      <c r="M641" s="115"/>
      <c r="N641" s="115"/>
      <c r="O641" s="116"/>
      <c r="P641" s="18">
        <f>IF(A41taxstdlife="n/a","n/a",IF(P$3&gt;(A41taxstdlife+$E641),('RFM input'!$O$101-'RFM input'!$O$155)-SUM($O641:O641),('RFM input'!$O$101-'RFM input'!$O$155)/A41taxstdlife))</f>
        <v>0</v>
      </c>
      <c r="Q641" s="18">
        <f>IF(A41taxstdlife="n/a","n/a",IF(Q$3&gt;(A41taxstdlife+$E641),('RFM input'!$O$101-'RFM input'!$O$155)-SUM($O641:P641),('RFM input'!$O$101-'RFM input'!$O$155)/A41taxstdlife))</f>
        <v>0</v>
      </c>
      <c r="R641" s="18"/>
      <c r="S641" s="74"/>
      <c r="T641" s="74"/>
      <c r="U641" s="74"/>
      <c r="V641" s="74"/>
      <c r="W641" s="74"/>
      <c r="X641" s="74"/>
      <c r="Y641" s="74"/>
      <c r="Z641" s="74"/>
      <c r="AA641" s="152"/>
    </row>
    <row r="642" spans="1:27" ht="12.75" hidden="1" customHeight="1" outlineLevel="2">
      <c r="A642" s="3"/>
      <c r="B642" s="3"/>
      <c r="C642" s="16"/>
      <c r="D642" s="1594"/>
      <c r="E642" s="61">
        <v>9</v>
      </c>
      <c r="F642" s="17"/>
      <c r="G642" s="17"/>
      <c r="H642" s="1414"/>
      <c r="I642" s="1414"/>
      <c r="J642" s="115"/>
      <c r="K642" s="115"/>
      <c r="L642" s="115"/>
      <c r="M642" s="115"/>
      <c r="N642" s="115"/>
      <c r="O642" s="115"/>
      <c r="P642" s="116"/>
      <c r="Q642" s="18">
        <f>IF(A41taxstdlife="n/a","n/a",IF(Q$3&gt;(A41taxstdlife+$E642),('RFM input'!$P$101-'RFM input'!$P$155)-SUM($P642:P642),('RFM input'!$P$101-'RFM input'!$P$155)/A41taxstdlife))</f>
        <v>0</v>
      </c>
      <c r="R642" s="18"/>
      <c r="S642" s="74"/>
      <c r="T642" s="74"/>
      <c r="U642" s="74"/>
      <c r="V642" s="74"/>
      <c r="W642" s="74"/>
      <c r="X642" s="74"/>
      <c r="Y642" s="74"/>
      <c r="Z642" s="74"/>
      <c r="AA642" s="152"/>
    </row>
    <row r="643" spans="1:27" ht="12.75" hidden="1" customHeight="1" outlineLevel="2">
      <c r="A643" s="3"/>
      <c r="B643" s="3"/>
      <c r="C643" s="16"/>
      <c r="D643" s="1594"/>
      <c r="E643" s="62">
        <v>10</v>
      </c>
      <c r="F643" s="17"/>
      <c r="G643" s="17"/>
      <c r="H643" s="1414"/>
      <c r="I643" s="1414"/>
      <c r="J643" s="115"/>
      <c r="K643" s="115"/>
      <c r="L643" s="115"/>
      <c r="M643" s="115"/>
      <c r="N643" s="115"/>
      <c r="O643" s="115"/>
      <c r="P643" s="115"/>
      <c r="Q643" s="116"/>
      <c r="R643" s="18"/>
      <c r="S643" s="74"/>
      <c r="T643" s="74"/>
      <c r="U643" s="74"/>
      <c r="V643" s="74"/>
      <c r="W643" s="74"/>
      <c r="X643" s="74"/>
      <c r="Y643" s="74"/>
      <c r="Z643" s="74"/>
      <c r="AA643" s="152"/>
    </row>
    <row r="644" spans="1:27" hidden="1" outlineLevel="1">
      <c r="A644" s="3"/>
      <c r="B644" s="3"/>
      <c r="C644" s="134">
        <f>Asset41</f>
        <v>0</v>
      </c>
      <c r="D644" s="3"/>
      <c r="E644" s="3"/>
      <c r="F644" s="14"/>
      <c r="G644" s="14"/>
      <c r="H644" s="1460">
        <f>IF('RFM input'!$G$354="Tracked",-1*INDEX('RFM input'!H$358:H$407,MATCH('TAB roll forward'!$C644,'RFM input'!$E$358:$E$407,0)),-SUM(H632:H643))</f>
        <v>0</v>
      </c>
      <c r="I644" s="1460">
        <f>IF('RFM input'!$G$354="Tracked",-1*INDEX('RFM input'!I$358:I$407,MATCH('TAB roll forward'!$C644,'RFM input'!$E$358:$E$407,0)),-SUM(I632:I643))</f>
        <v>0</v>
      </c>
      <c r="J644" s="1460">
        <f>IF(COUNT($H644:I644)&gt;='RFM input'!$V$7,0,IF('RFM input'!$G$354="Tracked",-1*INDEX('RFM input'!J$358:J$407,MATCH('TAB roll forward'!$C644,'RFM input'!$E$358:$E$407,0)),-SUM(J632:J643)))</f>
        <v>0</v>
      </c>
      <c r="K644" s="1460">
        <f>IF(COUNT($H644:J644)&gt;='RFM input'!$V$7,0,IF('RFM input'!$G$354="Tracked",-1*INDEX('RFM input'!K$358:K$407,MATCH('TAB roll forward'!$C644,'RFM input'!$E$358:$E$407,0)),-SUM(K632:K643)))</f>
        <v>0</v>
      </c>
      <c r="L644" s="1460">
        <f>IF(COUNT($H644:K644)&gt;='RFM input'!$V$7,0,IF('RFM input'!$G$354="Tracked",-1*INDEX('RFM input'!L$358:L$407,MATCH('TAB roll forward'!$C644,'RFM input'!$E$358:$E$407,0)),-SUM(L632:L643)))</f>
        <v>0</v>
      </c>
      <c r="M644" s="1460">
        <f>IF(COUNT($H644:L644)&gt;='RFM input'!$V$7,0,IF('RFM input'!$G$354="Tracked",-1*INDEX('RFM input'!M$358:M$407,MATCH('TAB roll forward'!$C644,'RFM input'!$E$358:$E$407,0)),-SUM(M632:M643)))</f>
        <v>0</v>
      </c>
      <c r="N644" s="1460">
        <f>IF(COUNT($H644:M644)&gt;='RFM input'!$V$7,0,IF('RFM input'!$G$354="Tracked",-1*INDEX('RFM input'!N$358:N$407,MATCH('TAB roll forward'!$C644,'RFM input'!$E$358:$E$407,0)),-SUM(N632:N643)))</f>
        <v>0</v>
      </c>
      <c r="O644" s="1460">
        <f>IF(COUNT($H644:N644)&gt;='RFM input'!$V$7,0,IF('RFM input'!$G$354="Tracked",-1*INDEX('RFM input'!O$358:O$407,MATCH('TAB roll forward'!$C644,'RFM input'!$E$358:$E$407,0)),-SUM(O632:O643)))</f>
        <v>0</v>
      </c>
      <c r="P644" s="1460">
        <f>IF(COUNT($H644:O644)&gt;='RFM input'!$V$7,0,IF('RFM input'!$G$354="Tracked",-1*INDEX('RFM input'!P$358:P$407,MATCH('TAB roll forward'!$C644,'RFM input'!$E$358:$E$407,0)),-SUM(P632:P643)))</f>
        <v>0</v>
      </c>
      <c r="Q644" s="1460">
        <f>IF(COUNT($H644:P644)&gt;='RFM input'!$V$7,0,IF('RFM input'!$G$354="Tracked",-1*INDEX('RFM input'!Q$358:Q$407,MATCH('TAB roll forward'!$C644,'RFM input'!$E$358:$E$407,0)),-SUM(Q632:Q643)))</f>
        <v>0</v>
      </c>
      <c r="R644" s="1382"/>
      <c r="S644" s="73"/>
      <c r="T644" s="73"/>
      <c r="U644" s="73"/>
      <c r="V644" s="73"/>
      <c r="W644" s="73"/>
      <c r="X644" s="73"/>
      <c r="Y644" s="73"/>
      <c r="Z644" s="73"/>
      <c r="AA644" s="152"/>
    </row>
    <row r="645" spans="1:27" ht="12.75" hidden="1" customHeight="1" outlineLevel="2">
      <c r="A645" s="3"/>
      <c r="B645" s="135">
        <f>Asset42</f>
        <v>0</v>
      </c>
      <c r="C645" s="19"/>
      <c r="D645" s="234" t="s">
        <v>119</v>
      </c>
      <c r="E645" s="19"/>
      <c r="F645" s="148"/>
      <c r="G645" s="148"/>
      <c r="H645" s="21">
        <f>IF(H$3&gt;A42taxremlife,A42taxvalue-SUM($F645:F645),IF(A42taxremlife="N/A","n/a",A42taxvalue/A42taxremlife))</f>
        <v>0</v>
      </c>
      <c r="I645" s="21">
        <f>IF(I$3&gt;A42taxremlife,A42taxvalue-SUM($F645:H645),IF(A42taxremlife="N/A","n/a",A42taxvalue/A42taxremlife))</f>
        <v>0</v>
      </c>
      <c r="J645" s="1380">
        <f>IF(J$3&gt;A42taxremlife,A42taxvalue-SUM($F645:I645),IF(A42taxremlife="N/A","n/a",A42taxvalue/A42taxremlife))</f>
        <v>0</v>
      </c>
      <c r="K645" s="1380">
        <f>IF(K$3&gt;A42taxremlife,A42taxvalue-SUM($F645:J645),IF(A42taxremlife="N/A","n/a",A42taxvalue/A42taxremlife))</f>
        <v>0</v>
      </c>
      <c r="L645" s="1380">
        <f>IF(L$3&gt;A42taxremlife,A42taxvalue-SUM($F645:K645),IF(A42taxremlife="N/A","n/a",A42taxvalue/A42taxremlife))</f>
        <v>0</v>
      </c>
      <c r="M645" s="21">
        <f>IF(M$3&gt;A42taxremlife,A42taxvalue-SUM($F645:L645),IF(A42taxremlife="N/A","n/a",A42taxvalue/A42taxremlife))</f>
        <v>0</v>
      </c>
      <c r="N645" s="21">
        <f>IF(N$3&gt;A42taxremlife,A42taxvalue-SUM($F645:M645),IF(A42taxremlife="N/A","n/a",A42taxvalue/A42taxremlife))</f>
        <v>0</v>
      </c>
      <c r="O645" s="21">
        <f>IF(O$3&gt;A42taxremlife,A42taxvalue-SUM($F645:N645),IF(A42taxremlife="N/A","n/a",A42taxvalue/A42taxremlife))</f>
        <v>0</v>
      </c>
      <c r="P645" s="21">
        <f>IF(P$3&gt;A42taxremlife,A42taxvalue-SUM($F645:O645),IF(A42taxremlife="N/A","n/a",A42taxvalue/A42taxremlife))</f>
        <v>0</v>
      </c>
      <c r="Q645" s="21">
        <f>IF(Q$3&gt;A42taxremlife,A42taxvalue-SUM($F645:P645),IF(A42taxremlife="N/A","n/a",A42taxvalue/A42taxremlife))</f>
        <v>0</v>
      </c>
      <c r="R645" s="21"/>
      <c r="S645" s="74"/>
      <c r="T645" s="74"/>
      <c r="U645" s="74"/>
      <c r="V645" s="74"/>
      <c r="W645" s="74"/>
      <c r="X645" s="74"/>
      <c r="Y645" s="74"/>
      <c r="Z645" s="74"/>
      <c r="AA645" s="152"/>
    </row>
    <row r="646" spans="1:27" ht="12.75" hidden="1" customHeight="1" outlineLevel="2">
      <c r="A646" s="3"/>
      <c r="B646" s="3"/>
      <c r="C646" s="16"/>
      <c r="D646" s="1593" t="s">
        <v>43</v>
      </c>
      <c r="E646" s="61"/>
      <c r="F646" s="17"/>
      <c r="G646" s="17"/>
      <c r="H646" s="1413"/>
      <c r="I646" s="72"/>
      <c r="J646" s="18"/>
      <c r="K646" s="18"/>
      <c r="L646" s="18"/>
      <c r="M646" s="18"/>
      <c r="N646" s="18"/>
      <c r="O646" s="18"/>
      <c r="P646" s="18"/>
      <c r="Q646" s="18"/>
      <c r="R646" s="18"/>
      <c r="S646" s="74"/>
      <c r="T646" s="74"/>
      <c r="U646" s="74"/>
      <c r="V646" s="74"/>
      <c r="W646" s="74"/>
      <c r="X646" s="74"/>
      <c r="Y646" s="74"/>
      <c r="Z646" s="74"/>
      <c r="AA646" s="152"/>
    </row>
    <row r="647" spans="1:27" ht="12.75" hidden="1" customHeight="1" outlineLevel="2">
      <c r="A647" s="3"/>
      <c r="B647" s="3"/>
      <c r="C647" s="16"/>
      <c r="D647" s="1594"/>
      <c r="E647" s="61">
        <v>1</v>
      </c>
      <c r="F647" s="17"/>
      <c r="G647" s="17"/>
      <c r="H647" s="1414"/>
      <c r="I647" s="1415">
        <f>IF(A42taxstdlife="n/a","n/a",IF(I$3&gt;(A42taxstdlife+$E647),('RFM input'!$H$102-'RFM input'!$H$156)-SUM($H647:H647),('RFM input'!$H$102-'RFM input'!$H$156)/A42taxstdlife))</f>
        <v>0</v>
      </c>
      <c r="J647" s="18">
        <f>IF(A42taxstdlife="n/a","n/a",IF(J$3&gt;(A42taxstdlife+$E647),('RFM input'!$H$102-'RFM input'!$H$156)-SUM($H647:I647),('RFM input'!$H$102-'RFM input'!$H$156)/A42taxstdlife))</f>
        <v>0</v>
      </c>
      <c r="K647" s="18">
        <f>IF(A42taxstdlife="n/a","n/a",IF(K$3&gt;(A42taxstdlife+$E647),('RFM input'!$H$102-'RFM input'!$H$156)-SUM($H647:J647),('RFM input'!$H$102-'RFM input'!$H$156)/A42taxstdlife))</f>
        <v>0</v>
      </c>
      <c r="L647" s="18">
        <f>IF(A42taxstdlife="n/a","n/a",IF(L$3&gt;(A42taxstdlife+$E647),('RFM input'!$H$102-'RFM input'!$H$156)-SUM($H647:K647),('RFM input'!$H$102-'RFM input'!$H$156)/A42taxstdlife))</f>
        <v>0</v>
      </c>
      <c r="M647" s="18">
        <f>IF(A42taxstdlife="n/a","n/a",IF(M$3&gt;(A42taxstdlife+$E647),('RFM input'!$H$102-'RFM input'!$H$156)-SUM($H647:L647),('RFM input'!$H$102-'RFM input'!$H$156)/A42taxstdlife))</f>
        <v>0</v>
      </c>
      <c r="N647" s="18">
        <f>IF(A42taxstdlife="n/a","n/a",IF(N$3&gt;(A42taxstdlife+$E647),('RFM input'!$H$102-'RFM input'!$H$156)-SUM($H647:M647),('RFM input'!$H$102-'RFM input'!$H$156)/A42taxstdlife))</f>
        <v>0</v>
      </c>
      <c r="O647" s="18">
        <f>IF(A42taxstdlife="n/a","n/a",IF(O$3&gt;(A42taxstdlife+$E647),('RFM input'!$H$102-'RFM input'!$H$156)-SUM($H647:N647),('RFM input'!$H$102-'RFM input'!$H$156)/A42taxstdlife))</f>
        <v>0</v>
      </c>
      <c r="P647" s="18">
        <f>IF(A42taxstdlife="n/a","n/a",IF(P$3&gt;(A42taxstdlife+$E647),('RFM input'!$H$102-'RFM input'!$H$156)-SUM($H647:O647),('RFM input'!$H$102-'RFM input'!$H$156)/A42taxstdlife))</f>
        <v>0</v>
      </c>
      <c r="Q647" s="18">
        <f>IF(A42taxstdlife="n/a","n/a",IF(Q$3&gt;(A42taxstdlife+$E647),('RFM input'!$H$102-'RFM input'!$H$156)-SUM($H647:P647),('RFM input'!$H$102-'RFM input'!$H$156)/A42taxstdlife))</f>
        <v>0</v>
      </c>
      <c r="R647" s="18"/>
      <c r="S647" s="74"/>
      <c r="T647" s="74"/>
      <c r="U647" s="74"/>
      <c r="V647" s="74"/>
      <c r="W647" s="74"/>
      <c r="X647" s="74"/>
      <c r="Y647" s="74"/>
      <c r="Z647" s="74"/>
      <c r="AA647" s="152"/>
    </row>
    <row r="648" spans="1:27" ht="12.75" hidden="1" customHeight="1" outlineLevel="2">
      <c r="A648" s="3"/>
      <c r="B648" s="3"/>
      <c r="C648" s="16"/>
      <c r="D648" s="1594"/>
      <c r="E648" s="61">
        <v>2</v>
      </c>
      <c r="F648" s="17"/>
      <c r="G648" s="17"/>
      <c r="H648" s="1414"/>
      <c r="I648" s="1414"/>
      <c r="J648" s="18">
        <f>IF(A42taxstdlife="n/a","n/a",IF(J$3&gt;(A42taxstdlife+$E648),('RFM input'!$I$102-'RFM input'!$I$156)-SUM($I648:I648),('RFM input'!$I$102-'RFM input'!$I$156)/A42taxstdlife))</f>
        <v>0</v>
      </c>
      <c r="K648" s="18">
        <f>IF(A42taxstdlife="n/a","n/a",IF(K$3&gt;(A42taxstdlife+$E648),('RFM input'!$I$102-'RFM input'!$I$156)-SUM($I648:J648),('RFM input'!$I$102-'RFM input'!$I$156)/A42taxstdlife))</f>
        <v>0</v>
      </c>
      <c r="L648" s="18">
        <f>IF(A42taxstdlife="n/a","n/a",IF(L$3&gt;(A42taxstdlife+$E648),('RFM input'!$I$102-'RFM input'!$I$156)-SUM($I648:K648),('RFM input'!$I$102-'RFM input'!$I$156)/A42taxstdlife))</f>
        <v>0</v>
      </c>
      <c r="M648" s="18">
        <f>IF(A42taxstdlife="n/a","n/a",IF(M$3&gt;(A42taxstdlife+$E648),('RFM input'!$I$102-'RFM input'!$I$156)-SUM($I648:L648),('RFM input'!$I$102-'RFM input'!$I$156)/A42taxstdlife))</f>
        <v>0</v>
      </c>
      <c r="N648" s="18">
        <f>IF(A42taxstdlife="n/a","n/a",IF(N$3&gt;(A42taxstdlife+$E648),('RFM input'!$I$102-'RFM input'!$I$156)-SUM($I648:M648),('RFM input'!$I$102-'RFM input'!$I$156)/A42taxstdlife))</f>
        <v>0</v>
      </c>
      <c r="O648" s="18">
        <f>IF(A42taxstdlife="n/a","n/a",IF(O$3&gt;(A42taxstdlife+$E648),('RFM input'!$I$102-'RFM input'!$I$156)-SUM($I648:N648),('RFM input'!$I$102-'RFM input'!$I$156)/A42taxstdlife))</f>
        <v>0</v>
      </c>
      <c r="P648" s="18">
        <f>IF(A42taxstdlife="n/a","n/a",IF(P$3&gt;(A42taxstdlife+$E648),('RFM input'!$I$102-'RFM input'!$I$156)-SUM($I648:O648),('RFM input'!$I$102-'RFM input'!$I$156)/A42taxstdlife))</f>
        <v>0</v>
      </c>
      <c r="Q648" s="18">
        <f>IF(A42taxstdlife="n/a","n/a",IF(Q$3&gt;(A42taxstdlife+$E648),('RFM input'!$I$102-'RFM input'!$I$156)-SUM($I648:P648),('RFM input'!$I$102-'RFM input'!$I$156)/A42taxstdlife))</f>
        <v>0</v>
      </c>
      <c r="R648" s="18"/>
      <c r="S648" s="74"/>
      <c r="T648" s="74"/>
      <c r="U648" s="74"/>
      <c r="V648" s="74"/>
      <c r="W648" s="74"/>
      <c r="X648" s="74"/>
      <c r="Y648" s="74"/>
      <c r="Z648" s="74"/>
      <c r="AA648" s="152"/>
    </row>
    <row r="649" spans="1:27" ht="12.75" hidden="1" customHeight="1" outlineLevel="2">
      <c r="A649" s="3"/>
      <c r="B649" s="3"/>
      <c r="C649" s="16"/>
      <c r="D649" s="1594"/>
      <c r="E649" s="61">
        <v>3</v>
      </c>
      <c r="F649" s="17"/>
      <c r="G649" s="17"/>
      <c r="H649" s="1414"/>
      <c r="I649" s="1414"/>
      <c r="J649" s="116"/>
      <c r="K649" s="18">
        <f>IF(A42taxstdlife="n/a","n/a",IF(K$3&gt;(A42taxstdlife+$E649),('RFM input'!$J$102-'RFM input'!$J$156)-SUM($J649:J649),('RFM input'!$J$102-'RFM input'!$J$156)/A42taxstdlife))</f>
        <v>0</v>
      </c>
      <c r="L649" s="18">
        <f>IF(A42taxstdlife="n/a","n/a",IF(L$3&gt;(A42taxstdlife+$E649),('RFM input'!$J$102-'RFM input'!$J$156)-SUM($J649:K649),('RFM input'!$J$102-'RFM input'!$J$156)/A42taxstdlife))</f>
        <v>0</v>
      </c>
      <c r="M649" s="18">
        <f>IF(A42taxstdlife="n/a","n/a",IF(M$3&gt;(A42taxstdlife+$E649),('RFM input'!$J$102-'RFM input'!$J$156)-SUM($J649:L649),('RFM input'!$J$102-'RFM input'!$J$156)/A42taxstdlife))</f>
        <v>0</v>
      </c>
      <c r="N649" s="18">
        <f>IF(A42taxstdlife="n/a","n/a",IF(N$3&gt;(A42taxstdlife+$E649),('RFM input'!$J$102-'RFM input'!$J$156)-SUM($J649:M649),('RFM input'!$J$102-'RFM input'!$J$156)/A42taxstdlife))</f>
        <v>0</v>
      </c>
      <c r="O649" s="18">
        <f>IF(A42taxstdlife="n/a","n/a",IF(O$3&gt;(A42taxstdlife+$E649),('RFM input'!$J$102-'RFM input'!$J$156)-SUM($J649:N649),('RFM input'!$J$102-'RFM input'!$J$156)/A42taxstdlife))</f>
        <v>0</v>
      </c>
      <c r="P649" s="18">
        <f>IF(A42taxstdlife="n/a","n/a",IF(P$3&gt;(A42taxstdlife+$E649),('RFM input'!$J$102-'RFM input'!$J$156)-SUM($J649:O649),('RFM input'!$J$102-'RFM input'!$J$156)/A42taxstdlife))</f>
        <v>0</v>
      </c>
      <c r="Q649" s="18">
        <f>IF(A42taxstdlife="n/a","n/a",IF(Q$3&gt;(A42taxstdlife+$E649),('RFM input'!$J$102-'RFM input'!$J$156)-SUM($J649:P649),('RFM input'!$J$102-'RFM input'!$J$156)/A42taxstdlife))</f>
        <v>0</v>
      </c>
      <c r="R649" s="18"/>
      <c r="S649" s="74"/>
      <c r="T649" s="74"/>
      <c r="U649" s="74"/>
      <c r="V649" s="74"/>
      <c r="W649" s="74"/>
      <c r="X649" s="74"/>
      <c r="Y649" s="74"/>
      <c r="Z649" s="74"/>
      <c r="AA649" s="152"/>
    </row>
    <row r="650" spans="1:27" ht="12.75" hidden="1" customHeight="1" outlineLevel="2">
      <c r="A650" s="3"/>
      <c r="B650" s="3"/>
      <c r="C650" s="16"/>
      <c r="D650" s="1594"/>
      <c r="E650" s="61">
        <v>4</v>
      </c>
      <c r="F650" s="17"/>
      <c r="G650" s="17"/>
      <c r="H650" s="1414"/>
      <c r="I650" s="1414"/>
      <c r="J650" s="115"/>
      <c r="K650" s="116"/>
      <c r="L650" s="18">
        <f>IF(A42taxstdlife="n/a","n/a",IF(L$3&gt;(A42taxstdlife+$E650),('RFM input'!$K$102-'RFM input'!$K$156)-SUM($K650:K650),('RFM input'!$K$102-'RFM input'!$K$156)/A42taxstdlife))</f>
        <v>0</v>
      </c>
      <c r="M650" s="18">
        <f>IF(A42taxstdlife="n/a","n/a",IF(M$3&gt;(A42taxstdlife+$E650),('RFM input'!$K$102-'RFM input'!$K$156)-SUM($K650:L650),('RFM input'!$K$102-'RFM input'!$K$156)/A42taxstdlife))</f>
        <v>0</v>
      </c>
      <c r="N650" s="18">
        <f>IF(A42taxstdlife="n/a","n/a",IF(N$3&gt;(A42taxstdlife+$E650),('RFM input'!$K$102-'RFM input'!$K$156)-SUM($K650:M650),('RFM input'!$K$102-'RFM input'!$K$156)/A42taxstdlife))</f>
        <v>0</v>
      </c>
      <c r="O650" s="18">
        <f>IF(A42taxstdlife="n/a","n/a",IF(O$3&gt;(A42taxstdlife+$E650),('RFM input'!$K$102-'RFM input'!$K$156)-SUM($K650:N650),('RFM input'!$K$102-'RFM input'!$K$156)/A42taxstdlife))</f>
        <v>0</v>
      </c>
      <c r="P650" s="18">
        <f>IF(A42taxstdlife="n/a","n/a",IF(P$3&gt;(A42taxstdlife+$E650),('RFM input'!$K$102-'RFM input'!$K$156)-SUM($K650:O650),('RFM input'!$K$102-'RFM input'!$K$156)/A42taxstdlife))</f>
        <v>0</v>
      </c>
      <c r="Q650" s="18">
        <f>IF(A42taxstdlife="n/a","n/a",IF(Q$3&gt;(A42taxstdlife+$E650),('RFM input'!$K$102-'RFM input'!$K$156)-SUM($K650:P650),('RFM input'!$K$102-'RFM input'!$K$156)/A42taxstdlife))</f>
        <v>0</v>
      </c>
      <c r="R650" s="18"/>
      <c r="S650" s="74"/>
      <c r="T650" s="74"/>
      <c r="U650" s="74"/>
      <c r="V650" s="74"/>
      <c r="W650" s="74"/>
      <c r="X650" s="74"/>
      <c r="Y650" s="74"/>
      <c r="Z650" s="74"/>
      <c r="AA650" s="152"/>
    </row>
    <row r="651" spans="1:27" ht="12.75" hidden="1" customHeight="1" outlineLevel="2">
      <c r="A651" s="3"/>
      <c r="B651" s="3"/>
      <c r="C651" s="16"/>
      <c r="D651" s="1594"/>
      <c r="E651" s="61">
        <v>5</v>
      </c>
      <c r="F651" s="17"/>
      <c r="G651" s="17"/>
      <c r="H651" s="1414"/>
      <c r="I651" s="1414"/>
      <c r="J651" s="115"/>
      <c r="K651" s="115"/>
      <c r="L651" s="116"/>
      <c r="M651" s="18">
        <f>IF(A42taxstdlife="n/a","n/a",IF(M$3&gt;(A42taxstdlife+$E651),('RFM input'!$L$102-'RFM input'!$L$156)-SUM($L651:L651),('RFM input'!$L$102-'RFM input'!$L$156)/A42taxstdlife))</f>
        <v>0</v>
      </c>
      <c r="N651" s="18">
        <f>IF(A42taxstdlife="n/a","n/a",IF(N$3&gt;(A42taxstdlife+$E651),('RFM input'!$L$102-'RFM input'!$L$156)-SUM($L651:M651),('RFM input'!$L$102-'RFM input'!$L$156)/A42taxstdlife))</f>
        <v>0</v>
      </c>
      <c r="O651" s="18">
        <f>IF(A42taxstdlife="n/a","n/a",IF(O$3&gt;(A42taxstdlife+$E651),('RFM input'!$L$102-'RFM input'!$L$156)-SUM($L651:N651),('RFM input'!$L$102-'RFM input'!$L$156)/A42taxstdlife))</f>
        <v>0</v>
      </c>
      <c r="P651" s="18">
        <f>IF(A42taxstdlife="n/a","n/a",IF(P$3&gt;(A42taxstdlife+$E651),('RFM input'!$L$102-'RFM input'!$L$156)-SUM($L651:O651),('RFM input'!$L$102-'RFM input'!$L$156)/A42taxstdlife))</f>
        <v>0</v>
      </c>
      <c r="Q651" s="18">
        <f>IF(A42taxstdlife="n/a","n/a",IF(Q$3&gt;(A42taxstdlife+$E651),('RFM input'!$L$102-'RFM input'!$L$156)-SUM($L651:P651),('RFM input'!$L$102-'RFM input'!$L$156)/A42taxstdlife))</f>
        <v>0</v>
      </c>
      <c r="R651" s="18"/>
      <c r="S651" s="74"/>
      <c r="T651" s="74"/>
      <c r="U651" s="74"/>
      <c r="V651" s="74"/>
      <c r="W651" s="74"/>
      <c r="X651" s="74"/>
      <c r="Y651" s="74"/>
      <c r="Z651" s="74"/>
      <c r="AA651" s="152"/>
    </row>
    <row r="652" spans="1:27" ht="12.75" hidden="1" customHeight="1" outlineLevel="2">
      <c r="A652" s="3"/>
      <c r="B652" s="3"/>
      <c r="C652" s="16"/>
      <c r="D652" s="1594"/>
      <c r="E652" s="61">
        <v>6</v>
      </c>
      <c r="F652" s="17"/>
      <c r="G652" s="17"/>
      <c r="H652" s="1414"/>
      <c r="I652" s="1414"/>
      <c r="J652" s="115"/>
      <c r="K652" s="115"/>
      <c r="L652" s="115"/>
      <c r="M652" s="116"/>
      <c r="N652" s="18">
        <f>IF(A42taxstdlife="n/a","n/a",IF(N$3&gt;(A42taxstdlife+$E652),('RFM input'!$M$102-'RFM input'!$M$156)-SUM($M652:M652),('RFM input'!$M$102-'RFM input'!$M$156)/A42taxstdlife))</f>
        <v>0</v>
      </c>
      <c r="O652" s="18">
        <f>IF(A42taxstdlife="n/a","n/a",IF(O$3&gt;(A42taxstdlife+$E652),('RFM input'!$M$102-'RFM input'!$M$156)-SUM($M652:N652),('RFM input'!$M$102-'RFM input'!$M$156)/A42taxstdlife))</f>
        <v>0</v>
      </c>
      <c r="P652" s="18">
        <f>IF(A42taxstdlife="n/a","n/a",IF(P$3&gt;(A42taxstdlife+$E652),('RFM input'!$M$102-'RFM input'!$M$156)-SUM($M652:O652),('RFM input'!$M$102-'RFM input'!$M$156)/A42taxstdlife))</f>
        <v>0</v>
      </c>
      <c r="Q652" s="18">
        <f>IF(A42taxstdlife="n/a","n/a",IF(Q$3&gt;(A42taxstdlife+$E652),('RFM input'!$M$102-'RFM input'!$M$156)-SUM($M652:P652),('RFM input'!$M$102-'RFM input'!$M$156)/A42taxstdlife))</f>
        <v>0</v>
      </c>
      <c r="R652" s="18"/>
      <c r="S652" s="74"/>
      <c r="T652" s="74"/>
      <c r="U652" s="74"/>
      <c r="V652" s="74"/>
      <c r="W652" s="74"/>
      <c r="X652" s="74"/>
      <c r="Y652" s="74"/>
      <c r="Z652" s="74"/>
      <c r="AA652" s="152"/>
    </row>
    <row r="653" spans="1:27" ht="12.75" hidden="1" customHeight="1" outlineLevel="2">
      <c r="A653" s="3"/>
      <c r="B653" s="3"/>
      <c r="C653" s="16"/>
      <c r="D653" s="1594"/>
      <c r="E653" s="61">
        <v>7</v>
      </c>
      <c r="F653" s="17"/>
      <c r="G653" s="17"/>
      <c r="H653" s="1414"/>
      <c r="I653" s="1414"/>
      <c r="J653" s="115"/>
      <c r="K653" s="115"/>
      <c r="L653" s="115"/>
      <c r="M653" s="115"/>
      <c r="N653" s="116"/>
      <c r="O653" s="18">
        <f>IF(A42taxstdlife="n/a","n/a",IF(O$3&gt;(A42taxstdlife+$E653),('RFM input'!$N$102-'RFM input'!$N$156)-SUM($N653:N653),('RFM input'!$N$102-'RFM input'!$N$156)/A42taxstdlife))</f>
        <v>0</v>
      </c>
      <c r="P653" s="18">
        <f>IF(A42taxstdlife="n/a","n/a",IF(P$3&gt;(A42taxstdlife+$E653),('RFM input'!$N$102-'RFM input'!$N$156)-SUM($N653:O653),('RFM input'!$N$102-'RFM input'!$N$156)/A42taxstdlife))</f>
        <v>0</v>
      </c>
      <c r="Q653" s="18">
        <f>IF(A42taxstdlife="n/a","n/a",IF(Q$3&gt;(A42taxstdlife+$E653),('RFM input'!$N$102-'RFM input'!$N$156)-SUM($N653:P653),('RFM input'!$N$102-'RFM input'!$N$156)/A42taxstdlife))</f>
        <v>0</v>
      </c>
      <c r="R653" s="18"/>
      <c r="S653" s="74"/>
      <c r="T653" s="74"/>
      <c r="U653" s="74"/>
      <c r="V653" s="74"/>
      <c r="W653" s="74"/>
      <c r="X653" s="74"/>
      <c r="Y653" s="74"/>
      <c r="Z653" s="74"/>
      <c r="AA653" s="152"/>
    </row>
    <row r="654" spans="1:27" ht="12.75" hidden="1" customHeight="1" outlineLevel="2">
      <c r="A654" s="3"/>
      <c r="B654" s="3"/>
      <c r="C654" s="16"/>
      <c r="D654" s="1594"/>
      <c r="E654" s="61">
        <v>8</v>
      </c>
      <c r="F654" s="17"/>
      <c r="G654" s="17"/>
      <c r="H654" s="1414"/>
      <c r="I654" s="1414"/>
      <c r="J654" s="115"/>
      <c r="K654" s="115"/>
      <c r="L654" s="115"/>
      <c r="M654" s="115"/>
      <c r="N654" s="115"/>
      <c r="O654" s="116"/>
      <c r="P654" s="18">
        <f>IF(A42taxstdlife="n/a","n/a",IF(P$3&gt;(A42taxstdlife+$E654),('RFM input'!$O$102-'RFM input'!$O$156)-SUM($O654:O654),('RFM input'!$O$102-'RFM input'!$O$156)/A42taxstdlife))</f>
        <v>0</v>
      </c>
      <c r="Q654" s="18">
        <f>IF(A42taxstdlife="n/a","n/a",IF(Q$3&gt;(A42taxstdlife+$E654),('RFM input'!$O$102-'RFM input'!$O$156)-SUM($O654:P654),('RFM input'!$O$102-'RFM input'!$O$156)/A42taxstdlife))</f>
        <v>0</v>
      </c>
      <c r="R654" s="18"/>
      <c r="S654" s="74"/>
      <c r="T654" s="74"/>
      <c r="U654" s="74"/>
      <c r="V654" s="74"/>
      <c r="W654" s="74"/>
      <c r="X654" s="74"/>
      <c r="Y654" s="74"/>
      <c r="Z654" s="74"/>
      <c r="AA654" s="152"/>
    </row>
    <row r="655" spans="1:27" ht="12.75" hidden="1" customHeight="1" outlineLevel="2">
      <c r="A655" s="3"/>
      <c r="B655" s="3"/>
      <c r="C655" s="16"/>
      <c r="D655" s="1594"/>
      <c r="E655" s="61">
        <v>9</v>
      </c>
      <c r="F655" s="17"/>
      <c r="G655" s="17"/>
      <c r="H655" s="1414"/>
      <c r="I655" s="1414"/>
      <c r="J655" s="115"/>
      <c r="K655" s="115"/>
      <c r="L655" s="115"/>
      <c r="M655" s="115"/>
      <c r="N655" s="115"/>
      <c r="O655" s="115"/>
      <c r="P655" s="116"/>
      <c r="Q655" s="18">
        <f>IF(A42taxstdlife="n/a","n/a",IF(Q$3&gt;(A42taxstdlife+$E655),('RFM input'!$P$102-'RFM input'!$P$156)-SUM($P655:P655),('RFM input'!$P$102-'RFM input'!$P$156)/A42taxstdlife))</f>
        <v>0</v>
      </c>
      <c r="R655" s="18"/>
      <c r="S655" s="74"/>
      <c r="T655" s="74"/>
      <c r="U655" s="74"/>
      <c r="V655" s="74"/>
      <c r="W655" s="74"/>
      <c r="X655" s="74"/>
      <c r="Y655" s="74"/>
      <c r="Z655" s="74"/>
      <c r="AA655" s="152"/>
    </row>
    <row r="656" spans="1:27" ht="12.75" hidden="1" customHeight="1" outlineLevel="2">
      <c r="A656" s="3"/>
      <c r="B656" s="3"/>
      <c r="C656" s="16"/>
      <c r="D656" s="1594"/>
      <c r="E656" s="62">
        <v>10</v>
      </c>
      <c r="F656" s="17"/>
      <c r="G656" s="17"/>
      <c r="H656" s="1414"/>
      <c r="I656" s="1414"/>
      <c r="J656" s="115"/>
      <c r="K656" s="115"/>
      <c r="L656" s="115"/>
      <c r="M656" s="115"/>
      <c r="N656" s="115"/>
      <c r="O656" s="115"/>
      <c r="P656" s="115"/>
      <c r="Q656" s="116"/>
      <c r="R656" s="18"/>
      <c r="S656" s="74"/>
      <c r="T656" s="74"/>
      <c r="U656" s="74"/>
      <c r="V656" s="74"/>
      <c r="W656" s="74"/>
      <c r="X656" s="74"/>
      <c r="Y656" s="74"/>
      <c r="Z656" s="74"/>
      <c r="AA656" s="152"/>
    </row>
    <row r="657" spans="1:27" hidden="1" outlineLevel="1">
      <c r="A657" s="3"/>
      <c r="B657" s="3"/>
      <c r="C657" s="134">
        <f>Asset42</f>
        <v>0</v>
      </c>
      <c r="D657" s="3"/>
      <c r="E657" s="3"/>
      <c r="F657" s="14"/>
      <c r="G657" s="14"/>
      <c r="H657" s="1460">
        <f>IF('RFM input'!$G$354="Tracked",-1*INDEX('RFM input'!H$358:H$407,MATCH('TAB roll forward'!$C657,'RFM input'!$E$358:$E$407,0)),-SUM(H645:H656))</f>
        <v>0</v>
      </c>
      <c r="I657" s="1460">
        <f>IF('RFM input'!$G$354="Tracked",-1*INDEX('RFM input'!I$358:I$407,MATCH('TAB roll forward'!$C657,'RFM input'!$E$358:$E$407,0)),-SUM(I645:I656))</f>
        <v>0</v>
      </c>
      <c r="J657" s="1460">
        <f>IF(COUNT($H657:I657)&gt;='RFM input'!$V$7,0,IF('RFM input'!$G$354="Tracked",-1*INDEX('RFM input'!J$358:J$407,MATCH('TAB roll forward'!$C657,'RFM input'!$E$358:$E$407,0)),-SUM(J645:J656)))</f>
        <v>0</v>
      </c>
      <c r="K657" s="1460">
        <f>IF(COUNT($H657:J657)&gt;='RFM input'!$V$7,0,IF('RFM input'!$G$354="Tracked",-1*INDEX('RFM input'!K$358:K$407,MATCH('TAB roll forward'!$C657,'RFM input'!$E$358:$E$407,0)),-SUM(K645:K656)))</f>
        <v>0</v>
      </c>
      <c r="L657" s="1460">
        <f>IF(COUNT($H657:K657)&gt;='RFM input'!$V$7,0,IF('RFM input'!$G$354="Tracked",-1*INDEX('RFM input'!L$358:L$407,MATCH('TAB roll forward'!$C657,'RFM input'!$E$358:$E$407,0)),-SUM(L645:L656)))</f>
        <v>0</v>
      </c>
      <c r="M657" s="1460">
        <f>IF(COUNT($H657:L657)&gt;='RFM input'!$V$7,0,IF('RFM input'!$G$354="Tracked",-1*INDEX('RFM input'!M$358:M$407,MATCH('TAB roll forward'!$C657,'RFM input'!$E$358:$E$407,0)),-SUM(M645:M656)))</f>
        <v>0</v>
      </c>
      <c r="N657" s="1460">
        <f>IF(COUNT($H657:M657)&gt;='RFM input'!$V$7,0,IF('RFM input'!$G$354="Tracked",-1*INDEX('RFM input'!N$358:N$407,MATCH('TAB roll forward'!$C657,'RFM input'!$E$358:$E$407,0)),-SUM(N645:N656)))</f>
        <v>0</v>
      </c>
      <c r="O657" s="1460">
        <f>IF(COUNT($H657:N657)&gt;='RFM input'!$V$7,0,IF('RFM input'!$G$354="Tracked",-1*INDEX('RFM input'!O$358:O$407,MATCH('TAB roll forward'!$C657,'RFM input'!$E$358:$E$407,0)),-SUM(O645:O656)))</f>
        <v>0</v>
      </c>
      <c r="P657" s="1460">
        <f>IF(COUNT($H657:O657)&gt;='RFM input'!$V$7,0,IF('RFM input'!$G$354="Tracked",-1*INDEX('RFM input'!P$358:P$407,MATCH('TAB roll forward'!$C657,'RFM input'!$E$358:$E$407,0)),-SUM(P645:P656)))</f>
        <v>0</v>
      </c>
      <c r="Q657" s="1460">
        <f>IF(COUNT($H657:P657)&gt;='RFM input'!$V$7,0,IF('RFM input'!$G$354="Tracked",-1*INDEX('RFM input'!Q$358:Q$407,MATCH('TAB roll forward'!$C657,'RFM input'!$E$358:$E$407,0)),-SUM(Q645:Q656)))</f>
        <v>0</v>
      </c>
      <c r="R657" s="1382"/>
      <c r="S657" s="73"/>
      <c r="T657" s="73"/>
      <c r="U657" s="73"/>
      <c r="V657" s="73"/>
      <c r="W657" s="73"/>
      <c r="X657" s="73"/>
      <c r="Y657" s="73"/>
      <c r="Z657" s="73"/>
      <c r="AA657" s="152"/>
    </row>
    <row r="658" spans="1:27" ht="12.75" hidden="1" customHeight="1" outlineLevel="2">
      <c r="A658" s="3"/>
      <c r="B658" s="135">
        <f>Asset43</f>
        <v>0</v>
      </c>
      <c r="C658" s="19"/>
      <c r="D658" s="234" t="s">
        <v>119</v>
      </c>
      <c r="E658" s="19"/>
      <c r="F658" s="148"/>
      <c r="G658" s="148"/>
      <c r="H658" s="21">
        <f>IF(H$3&gt;A43taxremlife,A43taxvalue-SUM($F658:F658),IF(A43taxremlife="N/A","n/a",A43taxvalue/A43taxremlife))</f>
        <v>0</v>
      </c>
      <c r="I658" s="21">
        <f>IF(I$3&gt;A43taxremlife,A43taxvalue-SUM($F658:H658),IF(A43taxremlife="N/A","n/a",A43taxvalue/A43taxremlife))</f>
        <v>0</v>
      </c>
      <c r="J658" s="21">
        <f>IF(J$3&gt;A43taxremlife,A43taxvalue-SUM($F658:I658),IF(A43taxremlife="N/A","n/a",A43taxvalue/A43taxremlife))</f>
        <v>0</v>
      </c>
      <c r="K658" s="21">
        <f>IF(K$3&gt;A43taxremlife,A43taxvalue-SUM($F658:J658),IF(A43taxremlife="N/A","n/a",A43taxvalue/A43taxremlife))</f>
        <v>0</v>
      </c>
      <c r="L658" s="21">
        <f>IF(L$3&gt;A43taxremlife,A43taxvalue-SUM($F658:K658),IF(A43taxremlife="N/A","n/a",A43taxvalue/A43taxremlife))</f>
        <v>0</v>
      </c>
      <c r="M658" s="21">
        <f>IF(M$3&gt;A43taxremlife,A43taxvalue-SUM($F658:L658),IF(A43taxremlife="N/A","n/a",A43taxvalue/A43taxremlife))</f>
        <v>0</v>
      </c>
      <c r="N658" s="21">
        <f>IF(N$3&gt;A43taxremlife,A43taxvalue-SUM($F658:M658),IF(A43taxremlife="N/A","n/a",A43taxvalue/A43taxremlife))</f>
        <v>0</v>
      </c>
      <c r="O658" s="21">
        <f>IF(O$3&gt;A43taxremlife,A43taxvalue-SUM($F658:N658),IF(A43taxremlife="N/A","n/a",A43taxvalue/A43taxremlife))</f>
        <v>0</v>
      </c>
      <c r="P658" s="21">
        <f>IF(P$3&gt;A43taxremlife,A43taxvalue-SUM($F658:O658),IF(A43taxremlife="N/A","n/a",A43taxvalue/A43taxremlife))</f>
        <v>0</v>
      </c>
      <c r="Q658" s="21">
        <f>IF(Q$3&gt;A43taxremlife,A43taxvalue-SUM($F658:P658),IF(A43taxremlife="N/A","n/a",A43taxvalue/A43taxremlife))</f>
        <v>0</v>
      </c>
      <c r="R658" s="21"/>
      <c r="S658" s="74"/>
      <c r="T658" s="74"/>
      <c r="U658" s="74"/>
      <c r="V658" s="74"/>
      <c r="W658" s="74"/>
      <c r="X658" s="74"/>
      <c r="Y658" s="74"/>
      <c r="Z658" s="74"/>
      <c r="AA658" s="152"/>
    </row>
    <row r="659" spans="1:27" ht="12.75" hidden="1" customHeight="1" outlineLevel="2">
      <c r="A659" s="3"/>
      <c r="B659" s="3"/>
      <c r="C659" s="16"/>
      <c r="D659" s="1593" t="s">
        <v>43</v>
      </c>
      <c r="E659" s="61"/>
      <c r="F659" s="17"/>
      <c r="G659" s="17"/>
      <c r="H659" s="1413"/>
      <c r="I659" s="72"/>
      <c r="J659" s="18"/>
      <c r="K659" s="18"/>
      <c r="L659" s="18"/>
      <c r="M659" s="18"/>
      <c r="N659" s="18"/>
      <c r="O659" s="18"/>
      <c r="P659" s="18"/>
      <c r="Q659" s="18"/>
      <c r="R659" s="18"/>
      <c r="S659" s="74"/>
      <c r="T659" s="74"/>
      <c r="U659" s="74"/>
      <c r="V659" s="74"/>
      <c r="W659" s="74"/>
      <c r="X659" s="74"/>
      <c r="Y659" s="74"/>
      <c r="Z659" s="74"/>
      <c r="AA659" s="152"/>
    </row>
    <row r="660" spans="1:27" ht="12.75" hidden="1" customHeight="1" outlineLevel="2">
      <c r="A660" s="3"/>
      <c r="B660" s="3"/>
      <c r="C660" s="16"/>
      <c r="D660" s="1594"/>
      <c r="E660" s="61">
        <v>1</v>
      </c>
      <c r="F660" s="17"/>
      <c r="G660" s="17"/>
      <c r="H660" s="1414"/>
      <c r="I660" s="1415">
        <f>IF(A43taxstdlife="n/a","n/a",IF(I$3&gt;(A43taxstdlife+$E660),('RFM input'!$H$103-'RFM input'!$H$157)-SUM($H660:H660),('RFM input'!$H$103-'RFM input'!$H$157)/A43taxstdlife))</f>
        <v>0</v>
      </c>
      <c r="J660" s="18">
        <f>IF(A43taxstdlife="n/a","n/a",IF(J$3&gt;(A43taxstdlife+$E660),('RFM input'!$H$103-'RFM input'!$H$157)-SUM($H660:I660),('RFM input'!$H$103-'RFM input'!$H$157)/A43taxstdlife))</f>
        <v>0</v>
      </c>
      <c r="K660" s="18">
        <f>IF(A43taxstdlife="n/a","n/a",IF(K$3&gt;(A43taxstdlife+$E660),('RFM input'!$H$103-'RFM input'!$H$157)-SUM($H660:J660),('RFM input'!$H$103-'RFM input'!$H$157)/A43taxstdlife))</f>
        <v>0</v>
      </c>
      <c r="L660" s="18">
        <f>IF(A43taxstdlife="n/a","n/a",IF(L$3&gt;(A43taxstdlife+$E660),('RFM input'!$H$103-'RFM input'!$H$157)-SUM($H660:K660),('RFM input'!$H$103-'RFM input'!$H$157)/A43taxstdlife))</f>
        <v>0</v>
      </c>
      <c r="M660" s="18">
        <f>IF(A43taxstdlife="n/a","n/a",IF(M$3&gt;(A43taxstdlife+$E660),('RFM input'!$H$103-'RFM input'!$H$157)-SUM($H660:L660),('RFM input'!$H$103-'RFM input'!$H$157)/A43taxstdlife))</f>
        <v>0</v>
      </c>
      <c r="N660" s="18">
        <f>IF(A43taxstdlife="n/a","n/a",IF(N$3&gt;(A43taxstdlife+$E660),('RFM input'!$H$103-'RFM input'!$H$157)-SUM($H660:M660),('RFM input'!$H$103-'RFM input'!$H$157)/A43taxstdlife))</f>
        <v>0</v>
      </c>
      <c r="O660" s="18">
        <f>IF(A43taxstdlife="n/a","n/a",IF(O$3&gt;(A43taxstdlife+$E660),('RFM input'!$H$103-'RFM input'!$H$157)-SUM($H660:N660),('RFM input'!$H$103-'RFM input'!$H$157)/A43taxstdlife))</f>
        <v>0</v>
      </c>
      <c r="P660" s="18">
        <f>IF(A43taxstdlife="n/a","n/a",IF(P$3&gt;(A43taxstdlife+$E660),('RFM input'!$H$103-'RFM input'!$H$157)-SUM($H660:O660),('RFM input'!$H$103-'RFM input'!$H$157)/A43taxstdlife))</f>
        <v>0</v>
      </c>
      <c r="Q660" s="18">
        <f>IF(A43taxstdlife="n/a","n/a",IF(Q$3&gt;(A43taxstdlife+$E660),('RFM input'!$H$103-'RFM input'!$H$157)-SUM($H660:P660),('RFM input'!$H$103-'RFM input'!$H$157)/A43taxstdlife))</f>
        <v>0</v>
      </c>
      <c r="R660" s="18"/>
      <c r="S660" s="74"/>
      <c r="T660" s="74"/>
      <c r="U660" s="74"/>
      <c r="V660" s="74"/>
      <c r="W660" s="74"/>
      <c r="X660" s="74"/>
      <c r="Y660" s="74"/>
      <c r="Z660" s="74"/>
      <c r="AA660" s="152"/>
    </row>
    <row r="661" spans="1:27" ht="12.75" hidden="1" customHeight="1" outlineLevel="2">
      <c r="A661" s="3"/>
      <c r="B661" s="3"/>
      <c r="C661" s="16"/>
      <c r="D661" s="1594"/>
      <c r="E661" s="61">
        <v>2</v>
      </c>
      <c r="F661" s="17"/>
      <c r="G661" s="17"/>
      <c r="H661" s="1414"/>
      <c r="I661" s="1414"/>
      <c r="J661" s="18">
        <f>IF(A43taxstdlife="n/a","n/a",IF(J$3&gt;(A43taxstdlife+$E661),('RFM input'!$I$103-'RFM input'!$I$157)-SUM($I661:I661),('RFM input'!$I$103-'RFM input'!$I$157)/A43taxstdlife))</f>
        <v>0</v>
      </c>
      <c r="K661" s="18">
        <f>IF(A43taxstdlife="n/a","n/a",IF(K$3&gt;(A43taxstdlife+$E661),('RFM input'!$I$103-'RFM input'!$I$157)-SUM($I661:J661),('RFM input'!$I$103-'RFM input'!$I$157)/A43taxstdlife))</f>
        <v>0</v>
      </c>
      <c r="L661" s="18">
        <f>IF(A43taxstdlife="n/a","n/a",IF(L$3&gt;(A43taxstdlife+$E661),('RFM input'!$I$103-'RFM input'!$I$157)-SUM($I661:K661),('RFM input'!$I$103-'RFM input'!$I$157)/A43taxstdlife))</f>
        <v>0</v>
      </c>
      <c r="M661" s="18">
        <f>IF(A43taxstdlife="n/a","n/a",IF(M$3&gt;(A43taxstdlife+$E661),('RFM input'!$I$103-'RFM input'!$I$157)-SUM($I661:L661),('RFM input'!$I$103-'RFM input'!$I$157)/A43taxstdlife))</f>
        <v>0</v>
      </c>
      <c r="N661" s="18">
        <f>IF(A43taxstdlife="n/a","n/a",IF(N$3&gt;(A43taxstdlife+$E661),('RFM input'!$I$103-'RFM input'!$I$157)-SUM($I661:M661),('RFM input'!$I$103-'RFM input'!$I$157)/A43taxstdlife))</f>
        <v>0</v>
      </c>
      <c r="O661" s="18">
        <f>IF(A43taxstdlife="n/a","n/a",IF(O$3&gt;(A43taxstdlife+$E661),('RFM input'!$I$103-'RFM input'!$I$157)-SUM($I661:N661),('RFM input'!$I$103-'RFM input'!$I$157)/A43taxstdlife))</f>
        <v>0</v>
      </c>
      <c r="P661" s="18">
        <f>IF(A43taxstdlife="n/a","n/a",IF(P$3&gt;(A43taxstdlife+$E661),('RFM input'!$I$103-'RFM input'!$I$157)-SUM($I661:O661),('RFM input'!$I$103-'RFM input'!$I$157)/A43taxstdlife))</f>
        <v>0</v>
      </c>
      <c r="Q661" s="18">
        <f>IF(A43taxstdlife="n/a","n/a",IF(Q$3&gt;(A43taxstdlife+$E661),('RFM input'!$I$103-'RFM input'!$I$157)-SUM($I661:P661),('RFM input'!$I$103-'RFM input'!$I$157)/A43taxstdlife))</f>
        <v>0</v>
      </c>
      <c r="R661" s="18"/>
      <c r="S661" s="74"/>
      <c r="T661" s="74"/>
      <c r="U661" s="74"/>
      <c r="V661" s="74"/>
      <c r="W661" s="74"/>
      <c r="X661" s="74"/>
      <c r="Y661" s="74"/>
      <c r="Z661" s="74"/>
      <c r="AA661" s="152"/>
    </row>
    <row r="662" spans="1:27" ht="12.75" hidden="1" customHeight="1" outlineLevel="2">
      <c r="A662" s="3"/>
      <c r="B662" s="3"/>
      <c r="C662" s="16"/>
      <c r="D662" s="1594"/>
      <c r="E662" s="61">
        <v>3</v>
      </c>
      <c r="F662" s="17"/>
      <c r="G662" s="17"/>
      <c r="H662" s="1414"/>
      <c r="I662" s="1414"/>
      <c r="J662" s="116"/>
      <c r="K662" s="18">
        <f>IF(A43taxstdlife="n/a","n/a",IF(K$3&gt;(A43taxstdlife+$E662),('RFM input'!$J$103-'RFM input'!$J$157)-SUM($J662:J662),('RFM input'!$J$103-'RFM input'!$J$157)/A43taxstdlife))</f>
        <v>0</v>
      </c>
      <c r="L662" s="18">
        <f>IF(A43taxstdlife="n/a","n/a",IF(L$3&gt;(A43taxstdlife+$E662),('RFM input'!$J$103-'RFM input'!$J$157)-SUM($J662:K662),('RFM input'!$J$103-'RFM input'!$J$157)/A43taxstdlife))</f>
        <v>0</v>
      </c>
      <c r="M662" s="18">
        <f>IF(A43taxstdlife="n/a","n/a",IF(M$3&gt;(A43taxstdlife+$E662),('RFM input'!$J$103-'RFM input'!$J$157)-SUM($J662:L662),('RFM input'!$J$103-'RFM input'!$J$157)/A43taxstdlife))</f>
        <v>0</v>
      </c>
      <c r="N662" s="18">
        <f>IF(A43taxstdlife="n/a","n/a",IF(N$3&gt;(A43taxstdlife+$E662),('RFM input'!$J$103-'RFM input'!$J$157)-SUM($J662:M662),('RFM input'!$J$103-'RFM input'!$J$157)/A43taxstdlife))</f>
        <v>0</v>
      </c>
      <c r="O662" s="18">
        <f>IF(A43taxstdlife="n/a","n/a",IF(O$3&gt;(A43taxstdlife+$E662),('RFM input'!$J$103-'RFM input'!$J$157)-SUM($J662:N662),('RFM input'!$J$103-'RFM input'!$J$157)/A43taxstdlife))</f>
        <v>0</v>
      </c>
      <c r="P662" s="18">
        <f>IF(A43taxstdlife="n/a","n/a",IF(P$3&gt;(A43taxstdlife+$E662),('RFM input'!$J$103-'RFM input'!$J$157)-SUM($J662:O662),('RFM input'!$J$103-'RFM input'!$J$157)/A43taxstdlife))</f>
        <v>0</v>
      </c>
      <c r="Q662" s="18">
        <f>IF(A43taxstdlife="n/a","n/a",IF(Q$3&gt;(A43taxstdlife+$E662),('RFM input'!$J$103-'RFM input'!$J$157)-SUM($J662:P662),('RFM input'!$J$103-'RFM input'!$J$157)/A43taxstdlife))</f>
        <v>0</v>
      </c>
      <c r="R662" s="18"/>
      <c r="S662" s="74"/>
      <c r="T662" s="74"/>
      <c r="U662" s="74"/>
      <c r="V662" s="74"/>
      <c r="W662" s="74"/>
      <c r="X662" s="74"/>
      <c r="Y662" s="74"/>
      <c r="Z662" s="74"/>
      <c r="AA662" s="152"/>
    </row>
    <row r="663" spans="1:27" ht="12.75" hidden="1" customHeight="1" outlineLevel="2">
      <c r="A663" s="3"/>
      <c r="B663" s="3"/>
      <c r="C663" s="16"/>
      <c r="D663" s="1594"/>
      <c r="E663" s="61">
        <v>4</v>
      </c>
      <c r="F663" s="17"/>
      <c r="G663" s="17"/>
      <c r="H663" s="1414"/>
      <c r="I663" s="1414"/>
      <c r="J663" s="115"/>
      <c r="K663" s="116"/>
      <c r="L663" s="18">
        <f>IF(A43taxstdlife="n/a","n/a",IF(L$3&gt;(A43taxstdlife+$E663),('RFM input'!$K$103-'RFM input'!$K$157)-SUM($K663:K663),('RFM input'!$K$103-'RFM input'!$K$157)/A43taxstdlife))</f>
        <v>0</v>
      </c>
      <c r="M663" s="18">
        <f>IF(A43taxstdlife="n/a","n/a",IF(M$3&gt;(A43taxstdlife+$E663),('RFM input'!$K$103-'RFM input'!$K$157)-SUM($K663:L663),('RFM input'!$K$103-'RFM input'!$K$157)/A43taxstdlife))</f>
        <v>0</v>
      </c>
      <c r="N663" s="18">
        <f>IF(A43taxstdlife="n/a","n/a",IF(N$3&gt;(A43taxstdlife+$E663),('RFM input'!$K$103-'RFM input'!$K$157)-SUM($K663:M663),('RFM input'!$K$103-'RFM input'!$K$157)/A43taxstdlife))</f>
        <v>0</v>
      </c>
      <c r="O663" s="18">
        <f>IF(A43taxstdlife="n/a","n/a",IF(O$3&gt;(A43taxstdlife+$E663),('RFM input'!$K$103-'RFM input'!$K$157)-SUM($K663:N663),('RFM input'!$K$103-'RFM input'!$K$157)/A43taxstdlife))</f>
        <v>0</v>
      </c>
      <c r="P663" s="18">
        <f>IF(A43taxstdlife="n/a","n/a",IF(P$3&gt;(A43taxstdlife+$E663),('RFM input'!$K$103-'RFM input'!$K$157)-SUM($K663:O663),('RFM input'!$K$103-'RFM input'!$K$157)/A43taxstdlife))</f>
        <v>0</v>
      </c>
      <c r="Q663" s="18">
        <f>IF(A43taxstdlife="n/a","n/a",IF(Q$3&gt;(A43taxstdlife+$E663),('RFM input'!$K$103-'RFM input'!$K$157)-SUM($K663:P663),('RFM input'!$K$103-'RFM input'!$K$157)/A43taxstdlife))</f>
        <v>0</v>
      </c>
      <c r="R663" s="18"/>
      <c r="S663" s="74"/>
      <c r="T663" s="74"/>
      <c r="U663" s="74"/>
      <c r="V663" s="74"/>
      <c r="W663" s="74"/>
      <c r="X663" s="74"/>
      <c r="Y663" s="74"/>
      <c r="Z663" s="74"/>
      <c r="AA663" s="152"/>
    </row>
    <row r="664" spans="1:27" ht="12.75" hidden="1" customHeight="1" outlineLevel="2">
      <c r="A664" s="3"/>
      <c r="B664" s="3"/>
      <c r="C664" s="16"/>
      <c r="D664" s="1594"/>
      <c r="E664" s="61">
        <v>5</v>
      </c>
      <c r="F664" s="17"/>
      <c r="G664" s="17"/>
      <c r="H664" s="1414"/>
      <c r="I664" s="1414"/>
      <c r="J664" s="115"/>
      <c r="K664" s="115"/>
      <c r="L664" s="116"/>
      <c r="M664" s="18">
        <f>IF(A43taxstdlife="n/a","n/a",IF(M$3&gt;(A43taxstdlife+$E664),('RFM input'!$L$103-'RFM input'!$L$157)-SUM($L664:L664),('RFM input'!$L$103-'RFM input'!$L$157)/A43taxstdlife))</f>
        <v>0</v>
      </c>
      <c r="N664" s="18">
        <f>IF(A43taxstdlife="n/a","n/a",IF(N$3&gt;(A43taxstdlife+$E664),('RFM input'!$L$103-'RFM input'!$L$157)-SUM($L664:M664),('RFM input'!$L$103-'RFM input'!$L$157)/A43taxstdlife))</f>
        <v>0</v>
      </c>
      <c r="O664" s="18">
        <f>IF(A43taxstdlife="n/a","n/a",IF(O$3&gt;(A43taxstdlife+$E664),('RFM input'!$L$103-'RFM input'!$L$157)-SUM($L664:N664),('RFM input'!$L$103-'RFM input'!$L$157)/A43taxstdlife))</f>
        <v>0</v>
      </c>
      <c r="P664" s="18">
        <f>IF(A43taxstdlife="n/a","n/a",IF(P$3&gt;(A43taxstdlife+$E664),('RFM input'!$L$103-'RFM input'!$L$157)-SUM($L664:O664),('RFM input'!$L$103-'RFM input'!$L$157)/A43taxstdlife))</f>
        <v>0</v>
      </c>
      <c r="Q664" s="18">
        <f>IF(A43taxstdlife="n/a","n/a",IF(Q$3&gt;(A43taxstdlife+$E664),('RFM input'!$L$103-'RFM input'!$L$157)-SUM($L664:P664),('RFM input'!$L$103-'RFM input'!$L$157)/A43taxstdlife))</f>
        <v>0</v>
      </c>
      <c r="R664" s="18"/>
      <c r="S664" s="74"/>
      <c r="T664" s="74"/>
      <c r="U664" s="74"/>
      <c r="V664" s="74"/>
      <c r="W664" s="74"/>
      <c r="X664" s="74"/>
      <c r="Y664" s="74"/>
      <c r="Z664" s="74"/>
      <c r="AA664" s="152"/>
    </row>
    <row r="665" spans="1:27" ht="12.75" hidden="1" customHeight="1" outlineLevel="2">
      <c r="A665" s="3"/>
      <c r="B665" s="3"/>
      <c r="C665" s="16"/>
      <c r="D665" s="1594"/>
      <c r="E665" s="61">
        <v>6</v>
      </c>
      <c r="F665" s="17"/>
      <c r="G665" s="17"/>
      <c r="H665" s="1414"/>
      <c r="I665" s="1414"/>
      <c r="J665" s="115"/>
      <c r="K665" s="115"/>
      <c r="L665" s="115"/>
      <c r="M665" s="116"/>
      <c r="N665" s="18">
        <f>IF(A43taxstdlife="n/a","n/a",IF(N$3&gt;(A43taxstdlife+$E665),('RFM input'!$M$103-'RFM input'!$M$157)-SUM($M665:M665),('RFM input'!$M$103-'RFM input'!$M$157)/A43taxstdlife))</f>
        <v>0</v>
      </c>
      <c r="O665" s="18">
        <f>IF(A43taxstdlife="n/a","n/a",IF(O$3&gt;(A43taxstdlife+$E665),('RFM input'!$M$103-'RFM input'!$M$157)-SUM($M665:N665),('RFM input'!$M$103-'RFM input'!$M$157)/A43taxstdlife))</f>
        <v>0</v>
      </c>
      <c r="P665" s="18">
        <f>IF(A43taxstdlife="n/a","n/a",IF(P$3&gt;(A43taxstdlife+$E665),('RFM input'!$M$103-'RFM input'!$M$157)-SUM($M665:O665),('RFM input'!$M$103-'RFM input'!$M$157)/A43taxstdlife))</f>
        <v>0</v>
      </c>
      <c r="Q665" s="18">
        <f>IF(A43taxstdlife="n/a","n/a",IF(Q$3&gt;(A43taxstdlife+$E665),('RFM input'!$M$103-'RFM input'!$M$157)-SUM($M665:P665),('RFM input'!$M$103-'RFM input'!$M$157)/A43taxstdlife))</f>
        <v>0</v>
      </c>
      <c r="R665" s="18"/>
      <c r="S665" s="74"/>
      <c r="T665" s="74"/>
      <c r="U665" s="74"/>
      <c r="V665" s="74"/>
      <c r="W665" s="74"/>
      <c r="X665" s="74"/>
      <c r="Y665" s="74"/>
      <c r="Z665" s="74"/>
      <c r="AA665" s="152"/>
    </row>
    <row r="666" spans="1:27" ht="12.75" hidden="1" customHeight="1" outlineLevel="2">
      <c r="A666" s="3"/>
      <c r="B666" s="3"/>
      <c r="C666" s="16"/>
      <c r="D666" s="1594"/>
      <c r="E666" s="61">
        <v>7</v>
      </c>
      <c r="F666" s="17"/>
      <c r="G666" s="17"/>
      <c r="H666" s="1414"/>
      <c r="I666" s="1414"/>
      <c r="J666" s="115"/>
      <c r="K666" s="115"/>
      <c r="L666" s="115"/>
      <c r="M666" s="115"/>
      <c r="N666" s="116"/>
      <c r="O666" s="18">
        <f>IF(A43taxstdlife="n/a","n/a",IF(O$3&gt;(A43taxstdlife+$E666),('RFM input'!$N$103-'RFM input'!$N$157)-SUM($N666:N666),('RFM input'!$N$103-'RFM input'!$N$157)/A43taxstdlife))</f>
        <v>0</v>
      </c>
      <c r="P666" s="18">
        <f>IF(A43taxstdlife="n/a","n/a",IF(P$3&gt;(A43taxstdlife+$E666),('RFM input'!$N$103-'RFM input'!$N$157)-SUM($N666:O666),('RFM input'!$N$103-'RFM input'!$N$157)/A43taxstdlife))</f>
        <v>0</v>
      </c>
      <c r="Q666" s="18">
        <f>IF(A43taxstdlife="n/a","n/a",IF(Q$3&gt;(A43taxstdlife+$E666),('RFM input'!$N$103-'RFM input'!$N$157)-SUM($N666:P666),('RFM input'!$N$103-'RFM input'!$N$157)/A43taxstdlife))</f>
        <v>0</v>
      </c>
      <c r="R666" s="18"/>
      <c r="S666" s="74"/>
      <c r="T666" s="74"/>
      <c r="U666" s="74"/>
      <c r="V666" s="74"/>
      <c r="W666" s="74"/>
      <c r="X666" s="74"/>
      <c r="Y666" s="74"/>
      <c r="Z666" s="74"/>
      <c r="AA666" s="152"/>
    </row>
    <row r="667" spans="1:27" ht="12.75" hidden="1" customHeight="1" outlineLevel="2">
      <c r="A667" s="3"/>
      <c r="B667" s="3"/>
      <c r="C667" s="16"/>
      <c r="D667" s="1594"/>
      <c r="E667" s="61">
        <v>8</v>
      </c>
      <c r="F667" s="17"/>
      <c r="G667" s="17"/>
      <c r="H667" s="1414"/>
      <c r="I667" s="1414"/>
      <c r="J667" s="115"/>
      <c r="K667" s="115"/>
      <c r="L667" s="115"/>
      <c r="M667" s="115"/>
      <c r="N667" s="115"/>
      <c r="O667" s="116"/>
      <c r="P667" s="18">
        <f>IF(A43taxstdlife="n/a","n/a",IF(P$3&gt;(A43taxstdlife+$E667),('RFM input'!$O$103-'RFM input'!$O$157)-SUM($O667:O667),('RFM input'!$O$103-'RFM input'!$O$157)/A43taxstdlife))</f>
        <v>0</v>
      </c>
      <c r="Q667" s="18">
        <f>IF(A43taxstdlife="n/a","n/a",IF(Q$3&gt;(A43taxstdlife+$E667),('RFM input'!$O$103-'RFM input'!$O$157)-SUM($O667:P667),('RFM input'!$O$103-'RFM input'!$O$157)/A43taxstdlife))</f>
        <v>0</v>
      </c>
      <c r="R667" s="18"/>
      <c r="S667" s="74"/>
      <c r="T667" s="74"/>
      <c r="U667" s="74"/>
      <c r="V667" s="74"/>
      <c r="W667" s="74"/>
      <c r="X667" s="74"/>
      <c r="Y667" s="74"/>
      <c r="Z667" s="74"/>
      <c r="AA667" s="152"/>
    </row>
    <row r="668" spans="1:27" ht="12.75" hidden="1" customHeight="1" outlineLevel="2">
      <c r="A668" s="3"/>
      <c r="B668" s="3"/>
      <c r="C668" s="16"/>
      <c r="D668" s="1594"/>
      <c r="E668" s="61">
        <v>9</v>
      </c>
      <c r="F668" s="17"/>
      <c r="G668" s="17"/>
      <c r="H668" s="1414"/>
      <c r="I668" s="1414"/>
      <c r="J668" s="115"/>
      <c r="K668" s="115"/>
      <c r="L668" s="115"/>
      <c r="M668" s="115"/>
      <c r="N668" s="115"/>
      <c r="O668" s="115"/>
      <c r="P668" s="116"/>
      <c r="Q668" s="18">
        <f>IF(A43taxstdlife="n/a","n/a",IF(Q$3&gt;(A43taxstdlife+$E668),('RFM input'!$P$103-'RFM input'!$P$157)-SUM($P668:P668),('RFM input'!$P$103-'RFM input'!$P$157)/A43taxstdlife))</f>
        <v>0</v>
      </c>
      <c r="R668" s="18"/>
      <c r="S668" s="74"/>
      <c r="T668" s="74"/>
      <c r="U668" s="74"/>
      <c r="V668" s="74"/>
      <c r="W668" s="74"/>
      <c r="X668" s="74"/>
      <c r="Y668" s="74"/>
      <c r="Z668" s="74"/>
      <c r="AA668" s="152"/>
    </row>
    <row r="669" spans="1:27" ht="12.75" hidden="1" customHeight="1" outlineLevel="2">
      <c r="A669" s="3"/>
      <c r="B669" s="3"/>
      <c r="C669" s="16"/>
      <c r="D669" s="1594"/>
      <c r="E669" s="62">
        <v>10</v>
      </c>
      <c r="F669" s="17"/>
      <c r="G669" s="17"/>
      <c r="H669" s="1414"/>
      <c r="I669" s="1414"/>
      <c r="J669" s="115"/>
      <c r="K669" s="115"/>
      <c r="L669" s="115"/>
      <c r="M669" s="115"/>
      <c r="N669" s="115"/>
      <c r="O669" s="115"/>
      <c r="P669" s="115"/>
      <c r="Q669" s="116"/>
      <c r="R669" s="18"/>
      <c r="S669" s="74"/>
      <c r="T669" s="74"/>
      <c r="U669" s="74"/>
      <c r="V669" s="74"/>
      <c r="W669" s="74"/>
      <c r="X669" s="74"/>
      <c r="Y669" s="74"/>
      <c r="Z669" s="74"/>
      <c r="AA669" s="152"/>
    </row>
    <row r="670" spans="1:27" hidden="1" outlineLevel="1">
      <c r="A670" s="3"/>
      <c r="B670" s="3"/>
      <c r="C670" s="134">
        <f>Asset43</f>
        <v>0</v>
      </c>
      <c r="D670" s="3"/>
      <c r="E670" s="3"/>
      <c r="F670" s="14"/>
      <c r="G670" s="14"/>
      <c r="H670" s="1460">
        <f>IF('RFM input'!$G$354="Tracked",-1*INDEX('RFM input'!H$358:H$407,MATCH('TAB roll forward'!$C670,'RFM input'!$E$358:$E$407,0)),-SUM(H658:H669))</f>
        <v>0</v>
      </c>
      <c r="I670" s="1460">
        <f>IF('RFM input'!$G$354="Tracked",-1*INDEX('RFM input'!I$358:I$407,MATCH('TAB roll forward'!$C670,'RFM input'!$E$358:$E$407,0)),-SUM(I658:I669))</f>
        <v>0</v>
      </c>
      <c r="J670" s="1460">
        <f>IF(COUNT($H670:I670)&gt;='RFM input'!$V$7,0,IF('RFM input'!$G$354="Tracked",-1*INDEX('RFM input'!J$358:J$407,MATCH('TAB roll forward'!$C670,'RFM input'!$E$358:$E$407,0)),-SUM(J658:J669)))</f>
        <v>0</v>
      </c>
      <c r="K670" s="1460">
        <f>IF(COUNT($H670:J670)&gt;='RFM input'!$V$7,0,IF('RFM input'!$G$354="Tracked",-1*INDEX('RFM input'!K$358:K$407,MATCH('TAB roll forward'!$C670,'RFM input'!$E$358:$E$407,0)),-SUM(K658:K669)))</f>
        <v>0</v>
      </c>
      <c r="L670" s="1460">
        <f>IF(COUNT($H670:K670)&gt;='RFM input'!$V$7,0,IF('RFM input'!$G$354="Tracked",-1*INDEX('RFM input'!L$358:L$407,MATCH('TAB roll forward'!$C670,'RFM input'!$E$358:$E$407,0)),-SUM(L658:L669)))</f>
        <v>0</v>
      </c>
      <c r="M670" s="1460">
        <f>IF(COUNT($H670:L670)&gt;='RFM input'!$V$7,0,IF('RFM input'!$G$354="Tracked",-1*INDEX('RFM input'!M$358:M$407,MATCH('TAB roll forward'!$C670,'RFM input'!$E$358:$E$407,0)),-SUM(M658:M669)))</f>
        <v>0</v>
      </c>
      <c r="N670" s="1460">
        <f>IF(COUNT($H670:M670)&gt;='RFM input'!$V$7,0,IF('RFM input'!$G$354="Tracked",-1*INDEX('RFM input'!N$358:N$407,MATCH('TAB roll forward'!$C670,'RFM input'!$E$358:$E$407,0)),-SUM(N658:N669)))</f>
        <v>0</v>
      </c>
      <c r="O670" s="1460">
        <f>IF(COUNT($H670:N670)&gt;='RFM input'!$V$7,0,IF('RFM input'!$G$354="Tracked",-1*INDEX('RFM input'!O$358:O$407,MATCH('TAB roll forward'!$C670,'RFM input'!$E$358:$E$407,0)),-SUM(O658:O669)))</f>
        <v>0</v>
      </c>
      <c r="P670" s="1460">
        <f>IF(COUNT($H670:O670)&gt;='RFM input'!$V$7,0,IF('RFM input'!$G$354="Tracked",-1*INDEX('RFM input'!P$358:P$407,MATCH('TAB roll forward'!$C670,'RFM input'!$E$358:$E$407,0)),-SUM(P658:P669)))</f>
        <v>0</v>
      </c>
      <c r="Q670" s="1460">
        <f>IF(COUNT($H670:P670)&gt;='RFM input'!$V$7,0,IF('RFM input'!$G$354="Tracked",-1*INDEX('RFM input'!Q$358:Q$407,MATCH('TAB roll forward'!$C670,'RFM input'!$E$358:$E$407,0)),-SUM(Q658:Q669)))</f>
        <v>0</v>
      </c>
      <c r="R670" s="1382"/>
      <c r="S670" s="73"/>
      <c r="T670" s="73"/>
      <c r="U670" s="73"/>
      <c r="V670" s="73"/>
      <c r="W670" s="73"/>
      <c r="X670" s="73"/>
      <c r="Y670" s="73"/>
      <c r="Z670" s="73"/>
      <c r="AA670" s="152"/>
    </row>
    <row r="671" spans="1:27" ht="12.75" hidden="1" customHeight="1" outlineLevel="2">
      <c r="A671" s="3"/>
      <c r="B671" s="135">
        <f>Asset44</f>
        <v>0</v>
      </c>
      <c r="C671" s="19"/>
      <c r="D671" s="234" t="s">
        <v>119</v>
      </c>
      <c r="E671" s="19"/>
      <c r="F671" s="148"/>
      <c r="G671" s="148"/>
      <c r="H671" s="21">
        <f>IF(H$3&gt;A44taxremlife,A44taxvalue-SUM($F671:F671),IF(A44taxremlife="N/A","n/a",A44taxvalue/A44taxremlife))</f>
        <v>0</v>
      </c>
      <c r="I671" s="21">
        <f>IF(I$3&gt;A44taxremlife,A44taxvalue-SUM($F671:H671),IF(A44taxremlife="N/A","n/a",A44taxvalue/A44taxremlife))</f>
        <v>0</v>
      </c>
      <c r="J671" s="21">
        <f>IF(J$3&gt;A44taxremlife,A44taxvalue-SUM($F671:I671),IF(A44taxremlife="N/A","n/a",A44taxvalue/A44taxremlife))</f>
        <v>0</v>
      </c>
      <c r="K671" s="21">
        <f>IF(K$3&gt;A44taxremlife,A44taxvalue-SUM($F671:J671),IF(A44taxremlife="N/A","n/a",A44taxvalue/A44taxremlife))</f>
        <v>0</v>
      </c>
      <c r="L671" s="21">
        <f>IF(L$3&gt;A44taxremlife,A44taxvalue-SUM($F671:K671),IF(A44taxremlife="N/A","n/a",A44taxvalue/A44taxremlife))</f>
        <v>0</v>
      </c>
      <c r="M671" s="21">
        <f>IF(M$3&gt;A44taxremlife,A44taxvalue-SUM($F671:L671),IF(A44taxremlife="N/A","n/a",A44taxvalue/A44taxremlife))</f>
        <v>0</v>
      </c>
      <c r="N671" s="21">
        <f>IF(N$3&gt;A44taxremlife,A44taxvalue-SUM($F671:M671),IF(A44taxremlife="N/A","n/a",A44taxvalue/A44taxremlife))</f>
        <v>0</v>
      </c>
      <c r="O671" s="21">
        <f>IF(O$3&gt;A44taxremlife,A44taxvalue-SUM($F671:N671),IF(A44taxremlife="N/A","n/a",A44taxvalue/A44taxremlife))</f>
        <v>0</v>
      </c>
      <c r="P671" s="21">
        <f>IF(P$3&gt;A44taxremlife,A44taxvalue-SUM($F671:O671),IF(A44taxremlife="N/A","n/a",A44taxvalue/A44taxremlife))</f>
        <v>0</v>
      </c>
      <c r="Q671" s="21">
        <f>IF(Q$3&gt;A44taxremlife,A44taxvalue-SUM($F671:P671),IF(A44taxremlife="N/A","n/a",A44taxvalue/A44taxremlife))</f>
        <v>0</v>
      </c>
      <c r="R671" s="21"/>
      <c r="S671" s="74"/>
      <c r="T671" s="74"/>
      <c r="U671" s="74"/>
      <c r="V671" s="74"/>
      <c r="W671" s="74"/>
      <c r="X671" s="74"/>
      <c r="Y671" s="74"/>
      <c r="Z671" s="74"/>
      <c r="AA671" s="152"/>
    </row>
    <row r="672" spans="1:27" ht="12.75" hidden="1" customHeight="1" outlineLevel="2">
      <c r="A672" s="3"/>
      <c r="B672" s="3"/>
      <c r="C672" s="16"/>
      <c r="D672" s="1593" t="s">
        <v>43</v>
      </c>
      <c r="E672" s="61"/>
      <c r="F672" s="17"/>
      <c r="G672" s="17"/>
      <c r="H672" s="1413"/>
      <c r="I672" s="72"/>
      <c r="J672" s="18"/>
      <c r="K672" s="18"/>
      <c r="L672" s="18"/>
      <c r="M672" s="18"/>
      <c r="N672" s="18"/>
      <c r="O672" s="18"/>
      <c r="P672" s="18"/>
      <c r="Q672" s="18"/>
      <c r="R672" s="18"/>
      <c r="S672" s="74"/>
      <c r="T672" s="74"/>
      <c r="U672" s="74"/>
      <c r="V672" s="74"/>
      <c r="W672" s="74"/>
      <c r="X672" s="74"/>
      <c r="Y672" s="74"/>
      <c r="Z672" s="74"/>
      <c r="AA672" s="152"/>
    </row>
    <row r="673" spans="1:27" ht="12.75" hidden="1" customHeight="1" outlineLevel="2">
      <c r="A673" s="3"/>
      <c r="B673" s="3"/>
      <c r="C673" s="16"/>
      <c r="D673" s="1594"/>
      <c r="E673" s="61">
        <v>1</v>
      </c>
      <c r="F673" s="17"/>
      <c r="G673" s="17"/>
      <c r="H673" s="1414"/>
      <c r="I673" s="1415">
        <f>IF(A44taxstdlife="n/a","n/a",IF(I$3&gt;(A44taxstdlife+$E673),('RFM input'!$H$104-'RFM input'!$H$158)-SUM($H673:H673),('RFM input'!$H$104-'RFM input'!$H$158)/A44taxstdlife))</f>
        <v>0</v>
      </c>
      <c r="J673" s="18">
        <f>IF(A44taxstdlife="n/a","n/a",IF(J$3&gt;(A44taxstdlife+$E673),('RFM input'!$H$104-'RFM input'!$H$158)-SUM($H673:I673),('RFM input'!$H$104-'RFM input'!$H$158)/A44taxstdlife))</f>
        <v>0</v>
      </c>
      <c r="K673" s="18">
        <f>IF(A44taxstdlife="n/a","n/a",IF(K$3&gt;(A44taxstdlife+$E673),('RFM input'!$H$104-'RFM input'!$H$158)-SUM($H673:J673),('RFM input'!$H$104-'RFM input'!$H$158)/A44taxstdlife))</f>
        <v>0</v>
      </c>
      <c r="L673" s="18">
        <f>IF(A44taxstdlife="n/a","n/a",IF(L$3&gt;(A44taxstdlife+$E673),('RFM input'!$H$104-'RFM input'!$H$158)-SUM($H673:K673),('RFM input'!$H$104-'RFM input'!$H$158)/A44taxstdlife))</f>
        <v>0</v>
      </c>
      <c r="M673" s="18">
        <f>IF(A44taxstdlife="n/a","n/a",IF(M$3&gt;(A44taxstdlife+$E673),('RFM input'!$H$104-'RFM input'!$H$158)-SUM($H673:L673),('RFM input'!$H$104-'RFM input'!$H$158)/A44taxstdlife))</f>
        <v>0</v>
      </c>
      <c r="N673" s="18">
        <f>IF(A44taxstdlife="n/a","n/a",IF(N$3&gt;(A44taxstdlife+$E673),('RFM input'!$H$104-'RFM input'!$H$158)-SUM($H673:M673),('RFM input'!$H$104-'RFM input'!$H$158)/A44taxstdlife))</f>
        <v>0</v>
      </c>
      <c r="O673" s="18">
        <f>IF(A44taxstdlife="n/a","n/a",IF(O$3&gt;(A44taxstdlife+$E673),('RFM input'!$H$104-'RFM input'!$H$158)-SUM($H673:N673),('RFM input'!$H$104-'RFM input'!$H$158)/A44taxstdlife))</f>
        <v>0</v>
      </c>
      <c r="P673" s="18">
        <f>IF(A44taxstdlife="n/a","n/a",IF(P$3&gt;(A44taxstdlife+$E673),('RFM input'!$H$104-'RFM input'!$H$158)-SUM($H673:O673),('RFM input'!$H$104-'RFM input'!$H$158)/A44taxstdlife))</f>
        <v>0</v>
      </c>
      <c r="Q673" s="18">
        <f>IF(A44taxstdlife="n/a","n/a",IF(Q$3&gt;(A44taxstdlife+$E673),('RFM input'!$H$104-'RFM input'!$H$158)-SUM($H673:P673),('RFM input'!$H$104-'RFM input'!$H$158)/A44taxstdlife))</f>
        <v>0</v>
      </c>
      <c r="R673" s="18"/>
      <c r="S673" s="74"/>
      <c r="T673" s="74"/>
      <c r="U673" s="74"/>
      <c r="V673" s="74"/>
      <c r="W673" s="74"/>
      <c r="X673" s="74"/>
      <c r="Y673" s="74"/>
      <c r="Z673" s="74"/>
      <c r="AA673" s="152"/>
    </row>
    <row r="674" spans="1:27" ht="12.75" hidden="1" customHeight="1" outlineLevel="2">
      <c r="A674" s="3"/>
      <c r="B674" s="3"/>
      <c r="C674" s="16"/>
      <c r="D674" s="1594"/>
      <c r="E674" s="61">
        <v>2</v>
      </c>
      <c r="F674" s="17"/>
      <c r="G674" s="17"/>
      <c r="H674" s="1414"/>
      <c r="I674" s="1414"/>
      <c r="J674" s="18">
        <f>IF(A44taxstdlife="n/a","n/a",IF(J$3&gt;(A44taxstdlife+$E674),('RFM input'!$I$104-'RFM input'!$I$158)-SUM($I674:I674),('RFM input'!$I$104-'RFM input'!$I$158)/A44taxstdlife))</f>
        <v>0</v>
      </c>
      <c r="K674" s="18">
        <f>IF(A44taxstdlife="n/a","n/a",IF(K$3&gt;(A44taxstdlife+$E674),('RFM input'!$I$104-'RFM input'!$I$158)-SUM($I674:J674),('RFM input'!$I$104-'RFM input'!$I$158)/A44taxstdlife))</f>
        <v>0</v>
      </c>
      <c r="L674" s="18">
        <f>IF(A44taxstdlife="n/a","n/a",IF(L$3&gt;(A44taxstdlife+$E674),('RFM input'!$I$104-'RFM input'!$I$158)-SUM($I674:K674),('RFM input'!$I$104-'RFM input'!$I$158)/A44taxstdlife))</f>
        <v>0</v>
      </c>
      <c r="M674" s="18">
        <f>IF(A44taxstdlife="n/a","n/a",IF(M$3&gt;(A44taxstdlife+$E674),('RFM input'!$I$104-'RFM input'!$I$158)-SUM($I674:L674),('RFM input'!$I$104-'RFM input'!$I$158)/A44taxstdlife))</f>
        <v>0</v>
      </c>
      <c r="N674" s="18">
        <f>IF(A44taxstdlife="n/a","n/a",IF(N$3&gt;(A44taxstdlife+$E674),('RFM input'!$I$104-'RFM input'!$I$158)-SUM($I674:M674),('RFM input'!$I$104-'RFM input'!$I$158)/A44taxstdlife))</f>
        <v>0</v>
      </c>
      <c r="O674" s="18">
        <f>IF(A44taxstdlife="n/a","n/a",IF(O$3&gt;(A44taxstdlife+$E674),('RFM input'!$I$104-'RFM input'!$I$158)-SUM($I674:N674),('RFM input'!$I$104-'RFM input'!$I$158)/A44taxstdlife))</f>
        <v>0</v>
      </c>
      <c r="P674" s="18">
        <f>IF(A44taxstdlife="n/a","n/a",IF(P$3&gt;(A44taxstdlife+$E674),('RFM input'!$I$104-'RFM input'!$I$158)-SUM($I674:O674),('RFM input'!$I$104-'RFM input'!$I$158)/A44taxstdlife))</f>
        <v>0</v>
      </c>
      <c r="Q674" s="18">
        <f>IF(A44taxstdlife="n/a","n/a",IF(Q$3&gt;(A44taxstdlife+$E674),('RFM input'!$I$104-'RFM input'!$I$158)-SUM($I674:P674),('RFM input'!$I$104-'RFM input'!$I$158)/A44taxstdlife))</f>
        <v>0</v>
      </c>
      <c r="R674" s="18"/>
      <c r="S674" s="74"/>
      <c r="T674" s="74"/>
      <c r="U674" s="74"/>
      <c r="V674" s="74"/>
      <c r="W674" s="74"/>
      <c r="X674" s="74"/>
      <c r="Y674" s="74"/>
      <c r="Z674" s="74"/>
      <c r="AA674" s="152"/>
    </row>
    <row r="675" spans="1:27" ht="12.75" hidden="1" customHeight="1" outlineLevel="2">
      <c r="A675" s="3"/>
      <c r="B675" s="3"/>
      <c r="C675" s="16"/>
      <c r="D675" s="1594"/>
      <c r="E675" s="61">
        <v>3</v>
      </c>
      <c r="F675" s="17"/>
      <c r="G675" s="17"/>
      <c r="H675" s="1414"/>
      <c r="I675" s="1414"/>
      <c r="J675" s="116"/>
      <c r="K675" s="18">
        <f>IF(A44taxstdlife="n/a","n/a",IF(K$3&gt;(A44taxstdlife+$E675),('RFM input'!$J$104-'RFM input'!$J$158)-SUM($J675:J675),('RFM input'!$J$104-'RFM input'!$J$158)/A44taxstdlife))</f>
        <v>0</v>
      </c>
      <c r="L675" s="18">
        <f>IF(A44taxstdlife="n/a","n/a",IF(L$3&gt;(A44taxstdlife+$E675),('RFM input'!$J$104-'RFM input'!$J$158)-SUM($J675:K675),('RFM input'!$J$104-'RFM input'!$J$158)/A44taxstdlife))</f>
        <v>0</v>
      </c>
      <c r="M675" s="18">
        <f>IF(A44taxstdlife="n/a","n/a",IF(M$3&gt;(A44taxstdlife+$E675),('RFM input'!$J$104-'RFM input'!$J$158)-SUM($J675:L675),('RFM input'!$J$104-'RFM input'!$J$158)/A44taxstdlife))</f>
        <v>0</v>
      </c>
      <c r="N675" s="18">
        <f>IF(A44taxstdlife="n/a","n/a",IF(N$3&gt;(A44taxstdlife+$E675),('RFM input'!$J$104-'RFM input'!$J$158)-SUM($J675:M675),('RFM input'!$J$104-'RFM input'!$J$158)/A44taxstdlife))</f>
        <v>0</v>
      </c>
      <c r="O675" s="18">
        <f>IF(A44taxstdlife="n/a","n/a",IF(O$3&gt;(A44taxstdlife+$E675),('RFM input'!$J$104-'RFM input'!$J$158)-SUM($J675:N675),('RFM input'!$J$104-'RFM input'!$J$158)/A44taxstdlife))</f>
        <v>0</v>
      </c>
      <c r="P675" s="18">
        <f>IF(A44taxstdlife="n/a","n/a",IF(P$3&gt;(A44taxstdlife+$E675),('RFM input'!$J$104-'RFM input'!$J$158)-SUM($J675:O675),('RFM input'!$J$104-'RFM input'!$J$158)/A44taxstdlife))</f>
        <v>0</v>
      </c>
      <c r="Q675" s="18">
        <f>IF(A44taxstdlife="n/a","n/a",IF(Q$3&gt;(A44taxstdlife+$E675),('RFM input'!$J$104-'RFM input'!$J$158)-SUM($J675:P675),('RFM input'!$J$104-'RFM input'!$J$158)/A44taxstdlife))</f>
        <v>0</v>
      </c>
      <c r="R675" s="18"/>
      <c r="S675" s="74"/>
      <c r="T675" s="74"/>
      <c r="U675" s="74"/>
      <c r="V675" s="74"/>
      <c r="W675" s="74"/>
      <c r="X675" s="74"/>
      <c r="Y675" s="74"/>
      <c r="Z675" s="74"/>
      <c r="AA675" s="152"/>
    </row>
    <row r="676" spans="1:27" ht="12.75" hidden="1" customHeight="1" outlineLevel="2">
      <c r="A676" s="3"/>
      <c r="B676" s="3"/>
      <c r="C676" s="16"/>
      <c r="D676" s="1594"/>
      <c r="E676" s="61">
        <v>4</v>
      </c>
      <c r="F676" s="17"/>
      <c r="G676" s="17"/>
      <c r="H676" s="1414"/>
      <c r="I676" s="1414"/>
      <c r="J676" s="115"/>
      <c r="K676" s="116"/>
      <c r="L676" s="18">
        <f>IF(A44taxstdlife="n/a","n/a",IF(L$3&gt;(A44taxstdlife+$E676),('RFM input'!$K$104-'RFM input'!$K$158)-SUM($K676:K676),('RFM input'!$K$104-'RFM input'!$K$158)/A44taxstdlife))</f>
        <v>0</v>
      </c>
      <c r="M676" s="18">
        <f>IF(A44taxstdlife="n/a","n/a",IF(M$3&gt;(A44taxstdlife+$E676),('RFM input'!$K$104-'RFM input'!$K$158)-SUM($K676:L676),('RFM input'!$K$104-'RFM input'!$K$158)/A44taxstdlife))</f>
        <v>0</v>
      </c>
      <c r="N676" s="18">
        <f>IF(A44taxstdlife="n/a","n/a",IF(N$3&gt;(A44taxstdlife+$E676),('RFM input'!$K$104-'RFM input'!$K$158)-SUM($K676:M676),('RFM input'!$K$104-'RFM input'!$K$158)/A44taxstdlife))</f>
        <v>0</v>
      </c>
      <c r="O676" s="18">
        <f>IF(A44taxstdlife="n/a","n/a",IF(O$3&gt;(A44taxstdlife+$E676),('RFM input'!$K$104-'RFM input'!$K$158)-SUM($K676:N676),('RFM input'!$K$104-'RFM input'!$K$158)/A44taxstdlife))</f>
        <v>0</v>
      </c>
      <c r="P676" s="18">
        <f>IF(A44taxstdlife="n/a","n/a",IF(P$3&gt;(A44taxstdlife+$E676),('RFM input'!$K$104-'RFM input'!$K$158)-SUM($K676:O676),('RFM input'!$K$104-'RFM input'!$K$158)/A44taxstdlife))</f>
        <v>0</v>
      </c>
      <c r="Q676" s="18">
        <f>IF(A44taxstdlife="n/a","n/a",IF(Q$3&gt;(A44taxstdlife+$E676),('RFM input'!$K$104-'RFM input'!$K$158)-SUM($K676:P676),('RFM input'!$K$104-'RFM input'!$K$158)/A44taxstdlife))</f>
        <v>0</v>
      </c>
      <c r="R676" s="18"/>
      <c r="S676" s="74"/>
      <c r="T676" s="74"/>
      <c r="U676" s="74"/>
      <c r="V676" s="74"/>
      <c r="W676" s="74"/>
      <c r="X676" s="74"/>
      <c r="Y676" s="74"/>
      <c r="Z676" s="74"/>
      <c r="AA676" s="152"/>
    </row>
    <row r="677" spans="1:27" ht="12.75" hidden="1" customHeight="1" outlineLevel="2">
      <c r="A677" s="3"/>
      <c r="B677" s="3"/>
      <c r="C677" s="16"/>
      <c r="D677" s="1594"/>
      <c r="E677" s="61">
        <v>5</v>
      </c>
      <c r="F677" s="17"/>
      <c r="G677" s="17"/>
      <c r="H677" s="1414"/>
      <c r="I677" s="1414"/>
      <c r="J677" s="115"/>
      <c r="K677" s="115"/>
      <c r="L677" s="116"/>
      <c r="M677" s="18">
        <f>IF(A44taxstdlife="n/a","n/a",IF(M$3&gt;(A44taxstdlife+$E677),('RFM input'!$L$104-'RFM input'!$L$158)-SUM($L677:L677),('RFM input'!$L$104-'RFM input'!$L$158)/A44taxstdlife))</f>
        <v>0</v>
      </c>
      <c r="N677" s="18">
        <f>IF(A44taxstdlife="n/a","n/a",IF(N$3&gt;(A44taxstdlife+$E677),('RFM input'!$L$104-'RFM input'!$L$158)-SUM($L677:M677),('RFM input'!$L$104-'RFM input'!$L$158)/A44taxstdlife))</f>
        <v>0</v>
      </c>
      <c r="O677" s="18">
        <f>IF(A44taxstdlife="n/a","n/a",IF(O$3&gt;(A44taxstdlife+$E677),('RFM input'!$L$104-'RFM input'!$L$158)-SUM($L677:N677),('RFM input'!$L$104-'RFM input'!$L$158)/A44taxstdlife))</f>
        <v>0</v>
      </c>
      <c r="P677" s="18">
        <f>IF(A44taxstdlife="n/a","n/a",IF(P$3&gt;(A44taxstdlife+$E677),('RFM input'!$L$104-'RFM input'!$L$158)-SUM($L677:O677),('RFM input'!$L$104-'RFM input'!$L$158)/A44taxstdlife))</f>
        <v>0</v>
      </c>
      <c r="Q677" s="18">
        <f>IF(A44taxstdlife="n/a","n/a",IF(Q$3&gt;(A44taxstdlife+$E677),('RFM input'!$L$104-'RFM input'!$L$158)-SUM($L677:P677),('RFM input'!$L$104-'RFM input'!$L$158)/A44taxstdlife))</f>
        <v>0</v>
      </c>
      <c r="R677" s="18"/>
      <c r="S677" s="74"/>
      <c r="T677" s="74"/>
      <c r="U677" s="74"/>
      <c r="V677" s="74"/>
      <c r="W677" s="74"/>
      <c r="X677" s="74"/>
      <c r="Y677" s="74"/>
      <c r="Z677" s="74"/>
      <c r="AA677" s="152"/>
    </row>
    <row r="678" spans="1:27" ht="12.75" hidden="1" customHeight="1" outlineLevel="2">
      <c r="A678" s="3"/>
      <c r="B678" s="3"/>
      <c r="C678" s="16"/>
      <c r="D678" s="1594"/>
      <c r="E678" s="61">
        <v>6</v>
      </c>
      <c r="F678" s="17"/>
      <c r="G678" s="17"/>
      <c r="H678" s="1414"/>
      <c r="I678" s="1414"/>
      <c r="J678" s="115"/>
      <c r="K678" s="115"/>
      <c r="L678" s="115"/>
      <c r="M678" s="116"/>
      <c r="N678" s="18">
        <f>IF(A44taxstdlife="n/a","n/a",IF(N$3&gt;(A44taxstdlife+$E678),('RFM input'!$M$104-'RFM input'!$M$158)-SUM($M678:M678),('RFM input'!$M$104-'RFM input'!$M$158)/A44taxstdlife))</f>
        <v>0</v>
      </c>
      <c r="O678" s="18">
        <f>IF(A44taxstdlife="n/a","n/a",IF(O$3&gt;(A44taxstdlife+$E678),('RFM input'!$M$104-'RFM input'!$M$158)-SUM($M678:N678),('RFM input'!$M$104-'RFM input'!$M$158)/A44taxstdlife))</f>
        <v>0</v>
      </c>
      <c r="P678" s="18">
        <f>IF(A44taxstdlife="n/a","n/a",IF(P$3&gt;(A44taxstdlife+$E678),('RFM input'!$M$104-'RFM input'!$M$158)-SUM($M678:O678),('RFM input'!$M$104-'RFM input'!$M$158)/A44taxstdlife))</f>
        <v>0</v>
      </c>
      <c r="Q678" s="18">
        <f>IF(A44taxstdlife="n/a","n/a",IF(Q$3&gt;(A44taxstdlife+$E678),('RFM input'!$M$104-'RFM input'!$M$158)-SUM($M678:P678),('RFM input'!$M$104-'RFM input'!$M$158)/A44taxstdlife))</f>
        <v>0</v>
      </c>
      <c r="R678" s="18"/>
      <c r="S678" s="74"/>
      <c r="T678" s="74"/>
      <c r="U678" s="74"/>
      <c r="V678" s="74"/>
      <c r="W678" s="74"/>
      <c r="X678" s="74"/>
      <c r="Y678" s="74"/>
      <c r="Z678" s="74"/>
      <c r="AA678" s="152"/>
    </row>
    <row r="679" spans="1:27" ht="12.75" hidden="1" customHeight="1" outlineLevel="2">
      <c r="A679" s="3"/>
      <c r="B679" s="3"/>
      <c r="C679" s="16"/>
      <c r="D679" s="1594"/>
      <c r="E679" s="61">
        <v>7</v>
      </c>
      <c r="F679" s="17"/>
      <c r="G679" s="17"/>
      <c r="H679" s="1414"/>
      <c r="I679" s="1414"/>
      <c r="J679" s="115"/>
      <c r="K679" s="115"/>
      <c r="L679" s="115"/>
      <c r="M679" s="115"/>
      <c r="N679" s="116"/>
      <c r="O679" s="18">
        <f>IF(A44taxstdlife="n/a","n/a",IF(O$3&gt;(A44taxstdlife+$E679),('RFM input'!$N$104-'RFM input'!$N$158)-SUM($N679:N679),('RFM input'!$N$104-'RFM input'!$N$158)/A44taxstdlife))</f>
        <v>0</v>
      </c>
      <c r="P679" s="18">
        <f>IF(A44taxstdlife="n/a","n/a",IF(P$3&gt;(A44taxstdlife+$E679),('RFM input'!$N$104-'RFM input'!$N$158)-SUM($N679:O679),('RFM input'!$N$104-'RFM input'!$N$158)/A44taxstdlife))</f>
        <v>0</v>
      </c>
      <c r="Q679" s="18">
        <f>IF(A44taxstdlife="n/a","n/a",IF(Q$3&gt;(A44taxstdlife+$E679),('RFM input'!$N$104-'RFM input'!$N$158)-SUM($N679:P679),('RFM input'!$N$104-'RFM input'!$N$158)/A44taxstdlife))</f>
        <v>0</v>
      </c>
      <c r="R679" s="18"/>
      <c r="S679" s="74"/>
      <c r="T679" s="74"/>
      <c r="U679" s="74"/>
      <c r="V679" s="74"/>
      <c r="W679" s="74"/>
      <c r="X679" s="74"/>
      <c r="Y679" s="74"/>
      <c r="Z679" s="74"/>
      <c r="AA679" s="152"/>
    </row>
    <row r="680" spans="1:27" ht="12.75" hidden="1" customHeight="1" outlineLevel="2">
      <c r="A680" s="3"/>
      <c r="B680" s="3"/>
      <c r="C680" s="16"/>
      <c r="D680" s="1594"/>
      <c r="E680" s="61">
        <v>8</v>
      </c>
      <c r="F680" s="17"/>
      <c r="G680" s="17"/>
      <c r="H680" s="1414"/>
      <c r="I680" s="1414"/>
      <c r="J680" s="115"/>
      <c r="K680" s="115"/>
      <c r="L680" s="115"/>
      <c r="M680" s="115"/>
      <c r="N680" s="115"/>
      <c r="O680" s="116"/>
      <c r="P680" s="18">
        <f>IF(A44taxstdlife="n/a","n/a",IF(P$3&gt;(A44taxstdlife+$E680),('RFM input'!$O$104-'RFM input'!$O$158)-SUM($O680:O680),('RFM input'!$O$104-'RFM input'!$O$158)/A44taxstdlife))</f>
        <v>0</v>
      </c>
      <c r="Q680" s="18">
        <f>IF(A44taxstdlife="n/a","n/a",IF(Q$3&gt;(A44taxstdlife+$E680),('RFM input'!$O$104-'RFM input'!$O$158)-SUM($O680:P680),('RFM input'!$O$104-'RFM input'!$O$158)/A44taxstdlife))</f>
        <v>0</v>
      </c>
      <c r="R680" s="18"/>
      <c r="S680" s="74"/>
      <c r="T680" s="74"/>
      <c r="U680" s="74"/>
      <c r="V680" s="74"/>
      <c r="W680" s="74"/>
      <c r="X680" s="74"/>
      <c r="Y680" s="74"/>
      <c r="Z680" s="74"/>
      <c r="AA680" s="152"/>
    </row>
    <row r="681" spans="1:27" ht="12.75" hidden="1" customHeight="1" outlineLevel="2">
      <c r="A681" s="3"/>
      <c r="B681" s="3"/>
      <c r="C681" s="16"/>
      <c r="D681" s="1594"/>
      <c r="E681" s="61">
        <v>9</v>
      </c>
      <c r="F681" s="17"/>
      <c r="G681" s="17"/>
      <c r="H681" s="1414"/>
      <c r="I681" s="1414"/>
      <c r="J681" s="115"/>
      <c r="K681" s="115"/>
      <c r="L681" s="115"/>
      <c r="M681" s="115"/>
      <c r="N681" s="115"/>
      <c r="O681" s="115"/>
      <c r="P681" s="116"/>
      <c r="Q681" s="18">
        <f>IF(A44taxstdlife="n/a","n/a",IF(Q$3&gt;(A44taxstdlife+$E681),('RFM input'!$P$104-'RFM input'!$P$158)-SUM($P681:P681),('RFM input'!$P$104-'RFM input'!$P$158)/A44taxstdlife))</f>
        <v>0</v>
      </c>
      <c r="R681" s="18"/>
      <c r="S681" s="74"/>
      <c r="T681" s="74"/>
      <c r="U681" s="74"/>
      <c r="V681" s="74"/>
      <c r="W681" s="74"/>
      <c r="X681" s="74"/>
      <c r="Y681" s="74"/>
      <c r="Z681" s="74"/>
      <c r="AA681" s="152"/>
    </row>
    <row r="682" spans="1:27" ht="12.75" hidden="1" customHeight="1" outlineLevel="2">
      <c r="A682" s="3"/>
      <c r="B682" s="3"/>
      <c r="C682" s="16"/>
      <c r="D682" s="1594"/>
      <c r="E682" s="62">
        <v>10</v>
      </c>
      <c r="F682" s="17"/>
      <c r="G682" s="17"/>
      <c r="H682" s="1414"/>
      <c r="I682" s="1414"/>
      <c r="J682" s="115"/>
      <c r="K682" s="115"/>
      <c r="L682" s="115"/>
      <c r="M682" s="115"/>
      <c r="N682" s="115"/>
      <c r="O682" s="115"/>
      <c r="P682" s="115"/>
      <c r="Q682" s="116"/>
      <c r="R682" s="18"/>
      <c r="S682" s="74"/>
      <c r="T682" s="74"/>
      <c r="U682" s="74"/>
      <c r="V682" s="74"/>
      <c r="W682" s="74"/>
      <c r="X682" s="74"/>
      <c r="Y682" s="74"/>
      <c r="Z682" s="74"/>
      <c r="AA682" s="152"/>
    </row>
    <row r="683" spans="1:27" hidden="1" outlineLevel="1">
      <c r="A683" s="3"/>
      <c r="B683" s="3"/>
      <c r="C683" s="134">
        <f>Asset44</f>
        <v>0</v>
      </c>
      <c r="D683" s="3"/>
      <c r="E683" s="3"/>
      <c r="F683" s="14"/>
      <c r="G683" s="14"/>
      <c r="H683" s="1460">
        <f>IF('RFM input'!$G$354="Tracked",-1*INDEX('RFM input'!H$358:H$407,MATCH('TAB roll forward'!$C683,'RFM input'!$E$358:$E$407,0)),-SUM(H671:H682))</f>
        <v>0</v>
      </c>
      <c r="I683" s="1460">
        <f>IF('RFM input'!$G$354="Tracked",-1*INDEX('RFM input'!I$358:I$407,MATCH('TAB roll forward'!$C683,'RFM input'!$E$358:$E$407,0)),-SUM(I671:I682))</f>
        <v>0</v>
      </c>
      <c r="J683" s="1460">
        <f>IF(COUNT($H683:I683)&gt;='RFM input'!$V$7,0,IF('RFM input'!$G$354="Tracked",-1*INDEX('RFM input'!J$358:J$407,MATCH('TAB roll forward'!$C683,'RFM input'!$E$358:$E$407,0)),-SUM(J671:J682)))</f>
        <v>0</v>
      </c>
      <c r="K683" s="1460">
        <f>IF(COUNT($H683:J683)&gt;='RFM input'!$V$7,0,IF('RFM input'!$G$354="Tracked",-1*INDEX('RFM input'!K$358:K$407,MATCH('TAB roll forward'!$C683,'RFM input'!$E$358:$E$407,0)),-SUM(K671:K682)))</f>
        <v>0</v>
      </c>
      <c r="L683" s="1460">
        <f>IF(COUNT($H683:K683)&gt;='RFM input'!$V$7,0,IF('RFM input'!$G$354="Tracked",-1*INDEX('RFM input'!L$358:L$407,MATCH('TAB roll forward'!$C683,'RFM input'!$E$358:$E$407,0)),-SUM(L671:L682)))</f>
        <v>0</v>
      </c>
      <c r="M683" s="1460">
        <f>IF(COUNT($H683:L683)&gt;='RFM input'!$V$7,0,IF('RFM input'!$G$354="Tracked",-1*INDEX('RFM input'!M$358:M$407,MATCH('TAB roll forward'!$C683,'RFM input'!$E$358:$E$407,0)),-SUM(M671:M682)))</f>
        <v>0</v>
      </c>
      <c r="N683" s="1460">
        <f>IF(COUNT($H683:M683)&gt;='RFM input'!$V$7,0,IF('RFM input'!$G$354="Tracked",-1*INDEX('RFM input'!N$358:N$407,MATCH('TAB roll forward'!$C683,'RFM input'!$E$358:$E$407,0)),-SUM(N671:N682)))</f>
        <v>0</v>
      </c>
      <c r="O683" s="1460">
        <f>IF(COUNT($H683:N683)&gt;='RFM input'!$V$7,0,IF('RFM input'!$G$354="Tracked",-1*INDEX('RFM input'!O$358:O$407,MATCH('TAB roll forward'!$C683,'RFM input'!$E$358:$E$407,0)),-SUM(O671:O682)))</f>
        <v>0</v>
      </c>
      <c r="P683" s="1460">
        <f>IF(COUNT($H683:O683)&gt;='RFM input'!$V$7,0,IF('RFM input'!$G$354="Tracked",-1*INDEX('RFM input'!P$358:P$407,MATCH('TAB roll forward'!$C683,'RFM input'!$E$358:$E$407,0)),-SUM(P671:P682)))</f>
        <v>0</v>
      </c>
      <c r="Q683" s="1460">
        <f>IF(COUNT($H683:P683)&gt;='RFM input'!$V$7,0,IF('RFM input'!$G$354="Tracked",-1*INDEX('RFM input'!Q$358:Q$407,MATCH('TAB roll forward'!$C683,'RFM input'!$E$358:$E$407,0)),-SUM(Q671:Q682)))</f>
        <v>0</v>
      </c>
      <c r="R683" s="1382"/>
      <c r="S683" s="73"/>
      <c r="T683" s="73"/>
      <c r="U683" s="73"/>
      <c r="V683" s="73"/>
      <c r="W683" s="73"/>
      <c r="X683" s="73"/>
      <c r="Y683" s="73"/>
      <c r="Z683" s="73"/>
      <c r="AA683" s="152"/>
    </row>
    <row r="684" spans="1:27" ht="12.75" hidden="1" customHeight="1" outlineLevel="2">
      <c r="A684" s="3"/>
      <c r="B684" s="135">
        <f>Asset45</f>
        <v>0</v>
      </c>
      <c r="C684" s="19"/>
      <c r="D684" s="234" t="s">
        <v>119</v>
      </c>
      <c r="E684" s="19"/>
      <c r="F684" s="148"/>
      <c r="G684" s="148"/>
      <c r="H684" s="21">
        <f>IF(H$3&gt;A45taxremlife,A45taxvalue-SUM($F684:F684),IF(A45taxremlife="N/A","n/a",A45taxvalue/A45taxremlife))</f>
        <v>0</v>
      </c>
      <c r="I684" s="21">
        <f>IF(I$3&gt;A45taxremlife,A45taxvalue-SUM($F684:H684),IF(A45taxremlife="N/A","n/a",A45taxvalue/A45taxremlife))</f>
        <v>0</v>
      </c>
      <c r="J684" s="21">
        <f>IF(J$3&gt;A45taxremlife,A45taxvalue-SUM($F684:I684),IF(A45taxremlife="N/A","n/a",A45taxvalue/A45taxremlife))</f>
        <v>0</v>
      </c>
      <c r="K684" s="21">
        <f>IF(K$3&gt;A45taxremlife,A45taxvalue-SUM($F684:J684),IF(A45taxremlife="N/A","n/a",A45taxvalue/A45taxremlife))</f>
        <v>0</v>
      </c>
      <c r="L684" s="21">
        <f>IF(L$3&gt;A45taxremlife,A45taxvalue-SUM($F684:K684),IF(A45taxremlife="N/A","n/a",A45taxvalue/A45taxremlife))</f>
        <v>0</v>
      </c>
      <c r="M684" s="21">
        <f>IF(M$3&gt;A45taxremlife,A45taxvalue-SUM($F684:L684),IF(A45taxremlife="N/A","n/a",A45taxvalue/A45taxremlife))</f>
        <v>0</v>
      </c>
      <c r="N684" s="21">
        <f>IF(N$3&gt;A45taxremlife,A45taxvalue-SUM($F684:M684),IF(A45taxremlife="N/A","n/a",A45taxvalue/A45taxremlife))</f>
        <v>0</v>
      </c>
      <c r="O684" s="21">
        <f>IF(O$3&gt;A45taxremlife,A45taxvalue-SUM($F684:N684),IF(A45taxremlife="N/A","n/a",A45taxvalue/A45taxremlife))</f>
        <v>0</v>
      </c>
      <c r="P684" s="21">
        <f>IF(P$3&gt;A45taxremlife,A45taxvalue-SUM($F684:O684),IF(A45taxremlife="N/A","n/a",A45taxvalue/A45taxremlife))</f>
        <v>0</v>
      </c>
      <c r="Q684" s="21">
        <f>IF(Q$3&gt;A45taxremlife,A45taxvalue-SUM($F684:P684),IF(A45taxremlife="N/A","n/a",A45taxvalue/A45taxremlife))</f>
        <v>0</v>
      </c>
      <c r="R684" s="21"/>
      <c r="S684" s="74"/>
      <c r="T684" s="74"/>
      <c r="U684" s="74"/>
      <c r="V684" s="74"/>
      <c r="W684" s="74"/>
      <c r="X684" s="74"/>
      <c r="Y684" s="74"/>
      <c r="Z684" s="74"/>
      <c r="AA684" s="152"/>
    </row>
    <row r="685" spans="1:27" ht="12.75" hidden="1" customHeight="1" outlineLevel="2">
      <c r="A685" s="3"/>
      <c r="B685" s="3"/>
      <c r="C685" s="16"/>
      <c r="D685" s="1593" t="s">
        <v>43</v>
      </c>
      <c r="E685" s="61"/>
      <c r="F685" s="17"/>
      <c r="G685" s="17"/>
      <c r="H685" s="1413"/>
      <c r="I685" s="72"/>
      <c r="J685" s="18"/>
      <c r="K685" s="18"/>
      <c r="L685" s="18"/>
      <c r="M685" s="18"/>
      <c r="N685" s="18"/>
      <c r="O685" s="18"/>
      <c r="P685" s="18"/>
      <c r="Q685" s="18"/>
      <c r="R685" s="18"/>
      <c r="S685" s="74"/>
      <c r="T685" s="74"/>
      <c r="U685" s="74"/>
      <c r="V685" s="74"/>
      <c r="W685" s="74"/>
      <c r="X685" s="74"/>
      <c r="Y685" s="74"/>
      <c r="Z685" s="74"/>
      <c r="AA685" s="152"/>
    </row>
    <row r="686" spans="1:27" ht="12.75" hidden="1" customHeight="1" outlineLevel="2">
      <c r="A686" s="3"/>
      <c r="B686" s="3"/>
      <c r="C686" s="16"/>
      <c r="D686" s="1594"/>
      <c r="E686" s="61">
        <v>1</v>
      </c>
      <c r="F686" s="17"/>
      <c r="G686" s="17"/>
      <c r="H686" s="1414"/>
      <c r="I686" s="1415">
        <f>IF(A45taxstdlife="n/a","n/a",IF(I$3&gt;(A45taxstdlife+$E686),('RFM input'!$H$105-'RFM input'!$H$159)-SUM($H686:H686),('RFM input'!$H$105-'RFM input'!$H$159)/A45taxstdlife))</f>
        <v>0</v>
      </c>
      <c r="J686" s="18">
        <f>IF(A45taxstdlife="n/a","n/a",IF(J$3&gt;(A45taxstdlife+$E686),('RFM input'!$H$105-'RFM input'!$H$159)-SUM($H686:I686),('RFM input'!$H$105-'RFM input'!$H$159)/A45taxstdlife))</f>
        <v>0</v>
      </c>
      <c r="K686" s="18">
        <f>IF(A45taxstdlife="n/a","n/a",IF(K$3&gt;(A45taxstdlife+$E686),('RFM input'!$H$105-'RFM input'!$H$159)-SUM($H686:J686),('RFM input'!$H$105-'RFM input'!$H$159)/A45taxstdlife))</f>
        <v>0</v>
      </c>
      <c r="L686" s="18">
        <f>IF(A45taxstdlife="n/a","n/a",IF(L$3&gt;(A45taxstdlife+$E686),('RFM input'!$H$105-'RFM input'!$H$159)-SUM($H686:K686),('RFM input'!$H$105-'RFM input'!$H$159)/A45taxstdlife))</f>
        <v>0</v>
      </c>
      <c r="M686" s="18">
        <f>IF(A45taxstdlife="n/a","n/a",IF(M$3&gt;(A45taxstdlife+$E686),('RFM input'!$H$105-'RFM input'!$H$159)-SUM($H686:L686),('RFM input'!$H$105-'RFM input'!$H$159)/A45taxstdlife))</f>
        <v>0</v>
      </c>
      <c r="N686" s="18">
        <f>IF(A45taxstdlife="n/a","n/a",IF(N$3&gt;(A45taxstdlife+$E686),('RFM input'!$H$105-'RFM input'!$H$159)-SUM($H686:M686),('RFM input'!$H$105-'RFM input'!$H$159)/A45taxstdlife))</f>
        <v>0</v>
      </c>
      <c r="O686" s="18">
        <f>IF(A45taxstdlife="n/a","n/a",IF(O$3&gt;(A45taxstdlife+$E686),('RFM input'!$H$105-'RFM input'!$H$159)-SUM($H686:N686),('RFM input'!$H$105-'RFM input'!$H$159)/A45taxstdlife))</f>
        <v>0</v>
      </c>
      <c r="P686" s="18">
        <f>IF(A45taxstdlife="n/a","n/a",IF(P$3&gt;(A45taxstdlife+$E686),('RFM input'!$H$105-'RFM input'!$H$159)-SUM($H686:O686),('RFM input'!$H$105-'RFM input'!$H$159)/A45taxstdlife))</f>
        <v>0</v>
      </c>
      <c r="Q686" s="18">
        <f>IF(A45taxstdlife="n/a","n/a",IF(Q$3&gt;(A45taxstdlife+$E686),('RFM input'!$H$105-'RFM input'!$H$159)-SUM($H686:P686),('RFM input'!$H$105-'RFM input'!$H$159)/A45taxstdlife))</f>
        <v>0</v>
      </c>
      <c r="R686" s="18"/>
      <c r="S686" s="74"/>
      <c r="T686" s="74"/>
      <c r="U686" s="74"/>
      <c r="V686" s="74"/>
      <c r="W686" s="74"/>
      <c r="X686" s="74"/>
      <c r="Y686" s="74"/>
      <c r="Z686" s="74"/>
      <c r="AA686" s="152"/>
    </row>
    <row r="687" spans="1:27" ht="12.75" hidden="1" customHeight="1" outlineLevel="2">
      <c r="A687" s="3"/>
      <c r="B687" s="3"/>
      <c r="C687" s="16"/>
      <c r="D687" s="1594"/>
      <c r="E687" s="61">
        <v>2</v>
      </c>
      <c r="F687" s="17"/>
      <c r="G687" s="17"/>
      <c r="H687" s="1414"/>
      <c r="I687" s="1414"/>
      <c r="J687" s="18">
        <f>IF(A45taxstdlife="n/a","n/a",IF(J$3&gt;(A45taxstdlife+$E687),('RFM input'!$I$105-'RFM input'!$I$159)-SUM($I687:I687),('RFM input'!$I$105-'RFM input'!$I$159)/A45taxstdlife))</f>
        <v>0</v>
      </c>
      <c r="K687" s="18">
        <f>IF(A45taxstdlife="n/a","n/a",IF(K$3&gt;(A45taxstdlife+$E687),('RFM input'!$I$105-'RFM input'!$I$159)-SUM($I687:J687),('RFM input'!$I$105-'RFM input'!$I$159)/A45taxstdlife))</f>
        <v>0</v>
      </c>
      <c r="L687" s="18">
        <f>IF(A45taxstdlife="n/a","n/a",IF(L$3&gt;(A45taxstdlife+$E687),('RFM input'!$I$105-'RFM input'!$I$159)-SUM($I687:K687),('RFM input'!$I$105-'RFM input'!$I$159)/A45taxstdlife))</f>
        <v>0</v>
      </c>
      <c r="M687" s="18">
        <f>IF(A45taxstdlife="n/a","n/a",IF(M$3&gt;(A45taxstdlife+$E687),('RFM input'!$I$105-'RFM input'!$I$159)-SUM($I687:L687),('RFM input'!$I$105-'RFM input'!$I$159)/A45taxstdlife))</f>
        <v>0</v>
      </c>
      <c r="N687" s="18">
        <f>IF(A45taxstdlife="n/a","n/a",IF(N$3&gt;(A45taxstdlife+$E687),('RFM input'!$I$105-'RFM input'!$I$159)-SUM($I687:M687),('RFM input'!$I$105-'RFM input'!$I$159)/A45taxstdlife))</f>
        <v>0</v>
      </c>
      <c r="O687" s="18">
        <f>IF(A45taxstdlife="n/a","n/a",IF(O$3&gt;(A45taxstdlife+$E687),('RFM input'!$I$105-'RFM input'!$I$159)-SUM($I687:N687),('RFM input'!$I$105-'RFM input'!$I$159)/A45taxstdlife))</f>
        <v>0</v>
      </c>
      <c r="P687" s="18">
        <f>IF(A45taxstdlife="n/a","n/a",IF(P$3&gt;(A45taxstdlife+$E687),('RFM input'!$I$105-'RFM input'!$I$159)-SUM($I687:O687),('RFM input'!$I$105-'RFM input'!$I$159)/A45taxstdlife))</f>
        <v>0</v>
      </c>
      <c r="Q687" s="18">
        <f>IF(A45taxstdlife="n/a","n/a",IF(Q$3&gt;(A45taxstdlife+$E687),('RFM input'!$I$105-'RFM input'!$I$159)-SUM($I687:P687),('RFM input'!$I$105-'RFM input'!$I$159)/A45taxstdlife))</f>
        <v>0</v>
      </c>
      <c r="R687" s="18"/>
      <c r="S687" s="74"/>
      <c r="T687" s="74"/>
      <c r="U687" s="74"/>
      <c r="V687" s="74"/>
      <c r="W687" s="74"/>
      <c r="X687" s="74"/>
      <c r="Y687" s="74"/>
      <c r="Z687" s="74"/>
      <c r="AA687" s="152"/>
    </row>
    <row r="688" spans="1:27" ht="12.75" hidden="1" customHeight="1" outlineLevel="2">
      <c r="A688" s="3"/>
      <c r="B688" s="3"/>
      <c r="C688" s="16"/>
      <c r="D688" s="1594"/>
      <c r="E688" s="61">
        <v>3</v>
      </c>
      <c r="F688" s="17"/>
      <c r="G688" s="17"/>
      <c r="H688" s="1414"/>
      <c r="I688" s="1414"/>
      <c r="J688" s="116"/>
      <c r="K688" s="18">
        <f>IF(A45taxstdlife="n/a","n/a",IF(K$3&gt;(A45taxstdlife+$E688),('RFM input'!$J$105-'RFM input'!$J$159)-SUM($J688:J688),('RFM input'!$J$105-'RFM input'!$J$159)/A45taxstdlife))</f>
        <v>0</v>
      </c>
      <c r="L688" s="18">
        <f>IF(A45taxstdlife="n/a","n/a",IF(L$3&gt;(A45taxstdlife+$E688),('RFM input'!$J$105-'RFM input'!$J$159)-SUM($J688:K688),('RFM input'!$J$105-'RFM input'!$J$159)/A45taxstdlife))</f>
        <v>0</v>
      </c>
      <c r="M688" s="18">
        <f>IF(A45taxstdlife="n/a","n/a",IF(M$3&gt;(A45taxstdlife+$E688),('RFM input'!$J$105-'RFM input'!$J$159)-SUM($J688:L688),('RFM input'!$J$105-'RFM input'!$J$159)/A45taxstdlife))</f>
        <v>0</v>
      </c>
      <c r="N688" s="18">
        <f>IF(A45taxstdlife="n/a","n/a",IF(N$3&gt;(A45taxstdlife+$E688),('RFM input'!$J$105-'RFM input'!$J$159)-SUM($J688:M688),('RFM input'!$J$105-'RFM input'!$J$159)/A45taxstdlife))</f>
        <v>0</v>
      </c>
      <c r="O688" s="18">
        <f>IF(A45taxstdlife="n/a","n/a",IF(O$3&gt;(A45taxstdlife+$E688),('RFM input'!$J$105-'RFM input'!$J$159)-SUM($J688:N688),('RFM input'!$J$105-'RFM input'!$J$159)/A45taxstdlife))</f>
        <v>0</v>
      </c>
      <c r="P688" s="18">
        <f>IF(A45taxstdlife="n/a","n/a",IF(P$3&gt;(A45taxstdlife+$E688),('RFM input'!$J$105-'RFM input'!$J$159)-SUM($J688:O688),('RFM input'!$J$105-'RFM input'!$J$159)/A45taxstdlife))</f>
        <v>0</v>
      </c>
      <c r="Q688" s="18">
        <f>IF(A45taxstdlife="n/a","n/a",IF(Q$3&gt;(A45taxstdlife+$E688),('RFM input'!$J$105-'RFM input'!$J$159)-SUM($J688:P688),('RFM input'!$J$105-'RFM input'!$J$159)/A45taxstdlife))</f>
        <v>0</v>
      </c>
      <c r="R688" s="18"/>
      <c r="S688" s="74"/>
      <c r="T688" s="74"/>
      <c r="U688" s="74"/>
      <c r="V688" s="74"/>
      <c r="W688" s="74"/>
      <c r="X688" s="74"/>
      <c r="Y688" s="74"/>
      <c r="Z688" s="74"/>
      <c r="AA688" s="152"/>
    </row>
    <row r="689" spans="1:27" ht="12.75" hidden="1" customHeight="1" outlineLevel="2">
      <c r="A689" s="3"/>
      <c r="B689" s="3"/>
      <c r="C689" s="16"/>
      <c r="D689" s="1594"/>
      <c r="E689" s="61">
        <v>4</v>
      </c>
      <c r="F689" s="17"/>
      <c r="G689" s="17"/>
      <c r="H689" s="1414"/>
      <c r="I689" s="1414"/>
      <c r="J689" s="115"/>
      <c r="K689" s="116"/>
      <c r="L689" s="18">
        <f>IF(A45taxstdlife="n/a","n/a",IF(L$3&gt;(A45taxstdlife+$E689),('RFM input'!$K$105-'RFM input'!$K$159)-SUM($K689:K689),('RFM input'!$K$105-'RFM input'!$K$159)/A45taxstdlife))</f>
        <v>0</v>
      </c>
      <c r="M689" s="18">
        <f>IF(A45taxstdlife="n/a","n/a",IF(M$3&gt;(A45taxstdlife+$E689),('RFM input'!$K$105-'RFM input'!$K$159)-SUM($K689:L689),('RFM input'!$K$105-'RFM input'!$K$159)/A45taxstdlife))</f>
        <v>0</v>
      </c>
      <c r="N689" s="18">
        <f>IF(A45taxstdlife="n/a","n/a",IF(N$3&gt;(A45taxstdlife+$E689),('RFM input'!$K$105-'RFM input'!$K$159)-SUM($K689:M689),('RFM input'!$K$105-'RFM input'!$K$159)/A45taxstdlife))</f>
        <v>0</v>
      </c>
      <c r="O689" s="18">
        <f>IF(A45taxstdlife="n/a","n/a",IF(O$3&gt;(A45taxstdlife+$E689),('RFM input'!$K$105-'RFM input'!$K$159)-SUM($K689:N689),('RFM input'!$K$105-'RFM input'!$K$159)/A45taxstdlife))</f>
        <v>0</v>
      </c>
      <c r="P689" s="18">
        <f>IF(A45taxstdlife="n/a","n/a",IF(P$3&gt;(A45taxstdlife+$E689),('RFM input'!$K$105-'RFM input'!$K$159)-SUM($K689:O689),('RFM input'!$K$105-'RFM input'!$K$159)/A45taxstdlife))</f>
        <v>0</v>
      </c>
      <c r="Q689" s="18">
        <f>IF(A45taxstdlife="n/a","n/a",IF(Q$3&gt;(A45taxstdlife+$E689),('RFM input'!$K$105-'RFM input'!$K$159)-SUM($K689:P689),('RFM input'!$K$105-'RFM input'!$K$159)/A45taxstdlife))</f>
        <v>0</v>
      </c>
      <c r="R689" s="18"/>
      <c r="S689" s="74"/>
      <c r="T689" s="74"/>
      <c r="U689" s="74"/>
      <c r="V689" s="74"/>
      <c r="W689" s="74"/>
      <c r="X689" s="74"/>
      <c r="Y689" s="74"/>
      <c r="Z689" s="74"/>
      <c r="AA689" s="152"/>
    </row>
    <row r="690" spans="1:27" ht="12.75" hidden="1" customHeight="1" outlineLevel="2">
      <c r="A690" s="3"/>
      <c r="B690" s="3"/>
      <c r="C690" s="16"/>
      <c r="D690" s="1594"/>
      <c r="E690" s="61">
        <v>5</v>
      </c>
      <c r="F690" s="17"/>
      <c r="G690" s="17"/>
      <c r="H690" s="1414"/>
      <c r="I690" s="1414"/>
      <c r="J690" s="115"/>
      <c r="K690" s="115"/>
      <c r="L690" s="116"/>
      <c r="M690" s="18">
        <f>IF(A45taxstdlife="n/a","n/a",IF(M$3&gt;(A45taxstdlife+$E690),('RFM input'!$L$105-'RFM input'!$L$159)-SUM($L690:L690),('RFM input'!$L$105-'RFM input'!$L$159)/A45taxstdlife))</f>
        <v>0</v>
      </c>
      <c r="N690" s="18">
        <f>IF(A45taxstdlife="n/a","n/a",IF(N$3&gt;(A45taxstdlife+$E690),('RFM input'!$L$105-'RFM input'!$L$159)-SUM($L690:M690),('RFM input'!$L$105-'RFM input'!$L$159)/A45taxstdlife))</f>
        <v>0</v>
      </c>
      <c r="O690" s="18">
        <f>IF(A45taxstdlife="n/a","n/a",IF(O$3&gt;(A45taxstdlife+$E690),('RFM input'!$L$105-'RFM input'!$L$159)-SUM($L690:N690),('RFM input'!$L$105-'RFM input'!$L$159)/A45taxstdlife))</f>
        <v>0</v>
      </c>
      <c r="P690" s="18">
        <f>IF(A45taxstdlife="n/a","n/a",IF(P$3&gt;(A45taxstdlife+$E690),('RFM input'!$L$105-'RFM input'!$L$159)-SUM($L690:O690),('RFM input'!$L$105-'RFM input'!$L$159)/A45taxstdlife))</f>
        <v>0</v>
      </c>
      <c r="Q690" s="18">
        <f>IF(A45taxstdlife="n/a","n/a",IF(Q$3&gt;(A45taxstdlife+$E690),('RFM input'!$L$105-'RFM input'!$L$159)-SUM($L690:P690),('RFM input'!$L$105-'RFM input'!$L$159)/A45taxstdlife))</f>
        <v>0</v>
      </c>
      <c r="R690" s="18"/>
      <c r="S690" s="74"/>
      <c r="T690" s="74"/>
      <c r="U690" s="74"/>
      <c r="V690" s="74"/>
      <c r="W690" s="74"/>
      <c r="X690" s="74"/>
      <c r="Y690" s="74"/>
      <c r="Z690" s="74"/>
      <c r="AA690" s="152"/>
    </row>
    <row r="691" spans="1:27" ht="12.75" hidden="1" customHeight="1" outlineLevel="2">
      <c r="A691" s="3"/>
      <c r="B691" s="3"/>
      <c r="C691" s="16"/>
      <c r="D691" s="1594"/>
      <c r="E691" s="61">
        <v>6</v>
      </c>
      <c r="F691" s="17"/>
      <c r="G691" s="17"/>
      <c r="H691" s="1414"/>
      <c r="I691" s="1414"/>
      <c r="J691" s="115"/>
      <c r="K691" s="115"/>
      <c r="L691" s="115"/>
      <c r="M691" s="116"/>
      <c r="N691" s="18">
        <f>IF(A45taxstdlife="n/a","n/a",IF(N$3&gt;(A45taxstdlife+$E691),('RFM input'!$M$105-'RFM input'!$M$159)-SUM($M691:M691),('RFM input'!$M$105-'RFM input'!$M$159)/A45taxstdlife))</f>
        <v>0</v>
      </c>
      <c r="O691" s="18">
        <f>IF(A45taxstdlife="n/a","n/a",IF(O$3&gt;(A45taxstdlife+$E691),('RFM input'!$M$105-'RFM input'!$M$159)-SUM($M691:N691),('RFM input'!$M$105-'RFM input'!$M$159)/A45taxstdlife))</f>
        <v>0</v>
      </c>
      <c r="P691" s="18">
        <f>IF(A45taxstdlife="n/a","n/a",IF(P$3&gt;(A45taxstdlife+$E691),('RFM input'!$M$105-'RFM input'!$M$159)-SUM($M691:O691),('RFM input'!$M$105-'RFM input'!$M$159)/A45taxstdlife))</f>
        <v>0</v>
      </c>
      <c r="Q691" s="18">
        <f>IF(A45taxstdlife="n/a","n/a",IF(Q$3&gt;(A45taxstdlife+$E691),('RFM input'!$M$105-'RFM input'!$M$159)-SUM($M691:P691),('RFM input'!$M$105-'RFM input'!$M$159)/A45taxstdlife))</f>
        <v>0</v>
      </c>
      <c r="R691" s="18"/>
      <c r="S691" s="74"/>
      <c r="T691" s="74"/>
      <c r="U691" s="74"/>
      <c r="V691" s="74"/>
      <c r="W691" s="74"/>
      <c r="X691" s="74"/>
      <c r="Y691" s="74"/>
      <c r="Z691" s="74"/>
      <c r="AA691" s="152"/>
    </row>
    <row r="692" spans="1:27" ht="12.75" hidden="1" customHeight="1" outlineLevel="2">
      <c r="A692" s="3"/>
      <c r="B692" s="3"/>
      <c r="C692" s="16"/>
      <c r="D692" s="1594"/>
      <c r="E692" s="61">
        <v>7</v>
      </c>
      <c r="F692" s="17"/>
      <c r="G692" s="17"/>
      <c r="H692" s="1414"/>
      <c r="I692" s="1414"/>
      <c r="J692" s="115"/>
      <c r="K692" s="115"/>
      <c r="L692" s="115"/>
      <c r="M692" s="115"/>
      <c r="N692" s="116"/>
      <c r="O692" s="18">
        <f>IF(A45taxstdlife="n/a","n/a",IF(O$3&gt;(A45taxstdlife+$E692),('RFM input'!$N$105-'RFM input'!$N$159)-SUM($N692:N692),('RFM input'!$N$105-'RFM input'!$N$159)/A45taxstdlife))</f>
        <v>0</v>
      </c>
      <c r="P692" s="18">
        <f>IF(A45taxstdlife="n/a","n/a",IF(P$3&gt;(A45taxstdlife+$E692),('RFM input'!$N$105-'RFM input'!$N$159)-SUM($N692:O692),('RFM input'!$N$105-'RFM input'!$N$159)/A45taxstdlife))</f>
        <v>0</v>
      </c>
      <c r="Q692" s="18">
        <f>IF(A45taxstdlife="n/a","n/a",IF(Q$3&gt;(A45taxstdlife+$E692),('RFM input'!$N$105-'RFM input'!$N$159)-SUM($N692:P692),('RFM input'!$N$105-'RFM input'!$N$159)/A45taxstdlife))</f>
        <v>0</v>
      </c>
      <c r="R692" s="18"/>
      <c r="S692" s="74"/>
      <c r="T692" s="74"/>
      <c r="U692" s="74"/>
      <c r="V692" s="74"/>
      <c r="W692" s="74"/>
      <c r="X692" s="74"/>
      <c r="Y692" s="74"/>
      <c r="Z692" s="74"/>
      <c r="AA692" s="152"/>
    </row>
    <row r="693" spans="1:27" ht="12.75" hidden="1" customHeight="1" outlineLevel="2">
      <c r="A693" s="3"/>
      <c r="B693" s="3"/>
      <c r="C693" s="16"/>
      <c r="D693" s="1594"/>
      <c r="E693" s="61">
        <v>8</v>
      </c>
      <c r="F693" s="17"/>
      <c r="G693" s="17"/>
      <c r="H693" s="1414"/>
      <c r="I693" s="1414"/>
      <c r="J693" s="115"/>
      <c r="K693" s="115"/>
      <c r="L693" s="115"/>
      <c r="M693" s="115"/>
      <c r="N693" s="115"/>
      <c r="O693" s="116"/>
      <c r="P693" s="18">
        <f>IF(A45taxstdlife="n/a","n/a",IF(P$3&gt;(A45taxstdlife+$E693),('RFM input'!$O$105-'RFM input'!$O$159)-SUM($O693:O693),('RFM input'!$O$105-'RFM input'!$O$159)/A45taxstdlife))</f>
        <v>0</v>
      </c>
      <c r="Q693" s="18">
        <f>IF(A45taxstdlife="n/a","n/a",IF(Q$3&gt;(A45taxstdlife+$E693),('RFM input'!$O$105-'RFM input'!$O$159)-SUM($O693:P693),('RFM input'!$O$105-'RFM input'!$O$159)/A45taxstdlife))</f>
        <v>0</v>
      </c>
      <c r="R693" s="18"/>
      <c r="S693" s="74"/>
      <c r="T693" s="74"/>
      <c r="U693" s="74"/>
      <c r="V693" s="74"/>
      <c r="W693" s="74"/>
      <c r="X693" s="74"/>
      <c r="Y693" s="74"/>
      <c r="Z693" s="74"/>
      <c r="AA693" s="152"/>
    </row>
    <row r="694" spans="1:27" ht="12.75" hidden="1" customHeight="1" outlineLevel="2">
      <c r="A694" s="3"/>
      <c r="B694" s="3"/>
      <c r="C694" s="16"/>
      <c r="D694" s="1594"/>
      <c r="E694" s="61">
        <v>9</v>
      </c>
      <c r="F694" s="17"/>
      <c r="G694" s="17"/>
      <c r="H694" s="1414"/>
      <c r="I694" s="1414"/>
      <c r="J694" s="115"/>
      <c r="K694" s="115"/>
      <c r="L694" s="115"/>
      <c r="M694" s="115"/>
      <c r="N694" s="115"/>
      <c r="O694" s="115"/>
      <c r="P694" s="116"/>
      <c r="Q694" s="18">
        <f>IF(A45taxstdlife="n/a","n/a",IF(Q$3&gt;(A45taxstdlife+$E694),('RFM input'!$P$105-'RFM input'!$P$159)-SUM($P694:P694),('RFM input'!$P$105-'RFM input'!$P$159)/A45taxstdlife))</f>
        <v>0</v>
      </c>
      <c r="R694" s="18"/>
      <c r="S694" s="74"/>
      <c r="T694" s="74"/>
      <c r="U694" s="74"/>
      <c r="V694" s="74"/>
      <c r="W694" s="74"/>
      <c r="X694" s="74"/>
      <c r="Y694" s="74"/>
      <c r="Z694" s="74"/>
      <c r="AA694" s="152"/>
    </row>
    <row r="695" spans="1:27" ht="12.75" hidden="1" customHeight="1" outlineLevel="2">
      <c r="A695" s="3"/>
      <c r="B695" s="3"/>
      <c r="C695" s="16"/>
      <c r="D695" s="1594"/>
      <c r="E695" s="62">
        <v>10</v>
      </c>
      <c r="F695" s="17"/>
      <c r="G695" s="17"/>
      <c r="H695" s="1414"/>
      <c r="I695" s="1414"/>
      <c r="J695" s="115"/>
      <c r="K695" s="115"/>
      <c r="L695" s="115"/>
      <c r="M695" s="115"/>
      <c r="N695" s="115"/>
      <c r="O695" s="115"/>
      <c r="P695" s="115"/>
      <c r="Q695" s="116"/>
      <c r="R695" s="18"/>
      <c r="S695" s="74"/>
      <c r="T695" s="74"/>
      <c r="U695" s="74"/>
      <c r="V695" s="74"/>
      <c r="W695" s="74"/>
      <c r="X695" s="74"/>
      <c r="Y695" s="74"/>
      <c r="Z695" s="74"/>
      <c r="AA695" s="152"/>
    </row>
    <row r="696" spans="1:27" hidden="1" outlineLevel="1">
      <c r="A696" s="3"/>
      <c r="B696" s="3"/>
      <c r="C696" s="134">
        <f>Asset45</f>
        <v>0</v>
      </c>
      <c r="D696" s="3"/>
      <c r="E696" s="3"/>
      <c r="F696" s="14"/>
      <c r="G696" s="14"/>
      <c r="H696" s="1460">
        <f>IF('RFM input'!$G$354="Tracked",-1*INDEX('RFM input'!H$358:H$407,MATCH('TAB roll forward'!$C696,'RFM input'!$E$358:$E$407,0)),-SUM(H684:H695))</f>
        <v>0</v>
      </c>
      <c r="I696" s="1460">
        <f>IF('RFM input'!$G$354="Tracked",-1*INDEX('RFM input'!I$358:I$407,MATCH('TAB roll forward'!$C696,'RFM input'!$E$358:$E$407,0)),-SUM(I684:I695))</f>
        <v>0</v>
      </c>
      <c r="J696" s="1460">
        <f>IF(COUNT($H696:I696)&gt;='RFM input'!$V$7,0,IF('RFM input'!$G$354="Tracked",-1*INDEX('RFM input'!J$358:J$407,MATCH('TAB roll forward'!$C696,'RFM input'!$E$358:$E$407,0)),-SUM(J684:J695)))</f>
        <v>0</v>
      </c>
      <c r="K696" s="1460">
        <f>IF(COUNT($H696:J696)&gt;='RFM input'!$V$7,0,IF('RFM input'!$G$354="Tracked",-1*INDEX('RFM input'!K$358:K$407,MATCH('TAB roll forward'!$C696,'RFM input'!$E$358:$E$407,0)),-SUM(K684:K695)))</f>
        <v>0</v>
      </c>
      <c r="L696" s="1460">
        <f>IF(COUNT($H696:K696)&gt;='RFM input'!$V$7,0,IF('RFM input'!$G$354="Tracked",-1*INDEX('RFM input'!L$358:L$407,MATCH('TAB roll forward'!$C696,'RFM input'!$E$358:$E$407,0)),-SUM(L684:L695)))</f>
        <v>0</v>
      </c>
      <c r="M696" s="1460">
        <f>IF(COUNT($H696:L696)&gt;='RFM input'!$V$7,0,IF('RFM input'!$G$354="Tracked",-1*INDEX('RFM input'!M$358:M$407,MATCH('TAB roll forward'!$C696,'RFM input'!$E$358:$E$407,0)),-SUM(M684:M695)))</f>
        <v>0</v>
      </c>
      <c r="N696" s="1460">
        <f>IF(COUNT($H696:M696)&gt;='RFM input'!$V$7,0,IF('RFM input'!$G$354="Tracked",-1*INDEX('RFM input'!N$358:N$407,MATCH('TAB roll forward'!$C696,'RFM input'!$E$358:$E$407,0)),-SUM(N684:N695)))</f>
        <v>0</v>
      </c>
      <c r="O696" s="1460">
        <f>IF(COUNT($H696:N696)&gt;='RFM input'!$V$7,0,IF('RFM input'!$G$354="Tracked",-1*INDEX('RFM input'!O$358:O$407,MATCH('TAB roll forward'!$C696,'RFM input'!$E$358:$E$407,0)),-SUM(O684:O695)))</f>
        <v>0</v>
      </c>
      <c r="P696" s="1460">
        <f>IF(COUNT($H696:O696)&gt;='RFM input'!$V$7,0,IF('RFM input'!$G$354="Tracked",-1*INDEX('RFM input'!P$358:P$407,MATCH('TAB roll forward'!$C696,'RFM input'!$E$358:$E$407,0)),-SUM(P684:P695)))</f>
        <v>0</v>
      </c>
      <c r="Q696" s="1460">
        <f>IF(COUNT($H696:P696)&gt;='RFM input'!$V$7,0,IF('RFM input'!$G$354="Tracked",-1*INDEX('RFM input'!Q$358:Q$407,MATCH('TAB roll forward'!$C696,'RFM input'!$E$358:$E$407,0)),-SUM(Q684:Q695)))</f>
        <v>0</v>
      </c>
      <c r="R696" s="1382"/>
      <c r="S696" s="73"/>
      <c r="T696" s="73"/>
      <c r="U696" s="73"/>
      <c r="V696" s="73"/>
      <c r="W696" s="73"/>
      <c r="X696" s="73"/>
      <c r="Y696" s="73"/>
      <c r="Z696" s="73"/>
      <c r="AA696" s="152"/>
    </row>
    <row r="697" spans="1:27" ht="12.75" hidden="1" customHeight="1" outlineLevel="2">
      <c r="A697" s="3"/>
      <c r="B697" s="135">
        <f>Asset46</f>
        <v>0</v>
      </c>
      <c r="C697" s="19"/>
      <c r="D697" s="234" t="s">
        <v>119</v>
      </c>
      <c r="E697" s="19"/>
      <c r="F697" s="148"/>
      <c r="G697" s="148"/>
      <c r="H697" s="21">
        <f>IF(H$3&gt;A46taxremlife,A46taxvalue-SUM($F697:F697),IF(A46taxremlife="N/A","n/a",A46taxvalue/A46taxremlife))</f>
        <v>0</v>
      </c>
      <c r="I697" s="21">
        <f>IF(I$3&gt;A46taxremlife,A46taxvalue-SUM($F697:H697),IF(A46taxremlife="N/A","n/a",A46taxvalue/A46taxremlife))</f>
        <v>0</v>
      </c>
      <c r="J697" s="21">
        <f>IF(J$3&gt;A46taxremlife,A46taxvalue-SUM($F697:I697),IF(A46taxremlife="N/A","n/a",A46taxvalue/A46taxremlife))</f>
        <v>0</v>
      </c>
      <c r="K697" s="21">
        <f>IF(K$3&gt;A46taxremlife,A46taxvalue-SUM($F697:J697),IF(A46taxremlife="N/A","n/a",A46taxvalue/A46taxremlife))</f>
        <v>0</v>
      </c>
      <c r="L697" s="21">
        <f>IF(L$3&gt;A46taxremlife,A46taxvalue-SUM($F697:K697),IF(A46taxremlife="N/A","n/a",A46taxvalue/A46taxremlife))</f>
        <v>0</v>
      </c>
      <c r="M697" s="21">
        <f>IF(M$3&gt;A46taxremlife,A46taxvalue-SUM($F697:L697),IF(A46taxremlife="N/A","n/a",A46taxvalue/A46taxremlife))</f>
        <v>0</v>
      </c>
      <c r="N697" s="21">
        <f>IF(N$3&gt;A46taxremlife,A46taxvalue-SUM($F697:M697),IF(A46taxremlife="N/A","n/a",A46taxvalue/A46taxremlife))</f>
        <v>0</v>
      </c>
      <c r="O697" s="21">
        <f>IF(O$3&gt;A46taxremlife,A46taxvalue-SUM($F697:N697),IF(A46taxremlife="N/A","n/a",A46taxvalue/A46taxremlife))</f>
        <v>0</v>
      </c>
      <c r="P697" s="21">
        <f>IF(P$3&gt;A46taxremlife,A46taxvalue-SUM($F697:O697),IF(A46taxremlife="N/A","n/a",A46taxvalue/A46taxremlife))</f>
        <v>0</v>
      </c>
      <c r="Q697" s="21">
        <f>IF(Q$3&gt;A46taxremlife,A46taxvalue-SUM($F697:P697),IF(A46taxremlife="N/A","n/a",A46taxvalue/A46taxremlife))</f>
        <v>0</v>
      </c>
      <c r="R697" s="21"/>
      <c r="S697" s="74"/>
      <c r="T697" s="74"/>
      <c r="U697" s="74"/>
      <c r="V697" s="74"/>
      <c r="W697" s="74"/>
      <c r="X697" s="74"/>
      <c r="Y697" s="74"/>
      <c r="Z697" s="74"/>
      <c r="AA697" s="152"/>
    </row>
    <row r="698" spans="1:27" ht="12.75" hidden="1" customHeight="1" outlineLevel="2">
      <c r="A698" s="3"/>
      <c r="B698" s="3"/>
      <c r="C698" s="16"/>
      <c r="D698" s="1593" t="s">
        <v>43</v>
      </c>
      <c r="E698" s="61"/>
      <c r="F698" s="17"/>
      <c r="G698" s="17"/>
      <c r="H698" s="1413"/>
      <c r="I698" s="72"/>
      <c r="J698" s="18"/>
      <c r="K698" s="18"/>
      <c r="L698" s="18"/>
      <c r="M698" s="18"/>
      <c r="N698" s="18"/>
      <c r="O698" s="18"/>
      <c r="P698" s="18"/>
      <c r="Q698" s="18"/>
      <c r="R698" s="18"/>
      <c r="S698" s="74"/>
      <c r="T698" s="74"/>
      <c r="U698" s="74"/>
      <c r="V698" s="74"/>
      <c r="W698" s="74"/>
      <c r="X698" s="74"/>
      <c r="Y698" s="74"/>
      <c r="Z698" s="74"/>
      <c r="AA698" s="152"/>
    </row>
    <row r="699" spans="1:27" ht="12.75" hidden="1" customHeight="1" outlineLevel="2">
      <c r="A699" s="3"/>
      <c r="B699" s="3"/>
      <c r="C699" s="16"/>
      <c r="D699" s="1594"/>
      <c r="E699" s="61">
        <v>1</v>
      </c>
      <c r="F699" s="17"/>
      <c r="G699" s="17"/>
      <c r="H699" s="1414"/>
      <c r="I699" s="1415">
        <f>IF(A46taxstdlife="n/a","n/a",IF(I$3&gt;(A46taxstdlife+$E699),('RFM input'!$H$106-'RFM input'!$H$160)-SUM($H699:H699),('RFM input'!$H$106-'RFM input'!$H$160)/A46taxstdlife))</f>
        <v>0</v>
      </c>
      <c r="J699" s="18">
        <f>IF(A46taxstdlife="n/a","n/a",IF(J$3&gt;(A46taxstdlife+$E699),('RFM input'!$H$106-'RFM input'!$H$160)-SUM($H699:I699),('RFM input'!$H$106-'RFM input'!$H$160)/A46taxstdlife))</f>
        <v>0</v>
      </c>
      <c r="K699" s="18">
        <f>IF(A46taxstdlife="n/a","n/a",IF(K$3&gt;(A46taxstdlife+$E699),('RFM input'!$H$106-'RFM input'!$H$160)-SUM($H699:J699),('RFM input'!$H$106-'RFM input'!$H$160)/A46taxstdlife))</f>
        <v>0</v>
      </c>
      <c r="L699" s="18">
        <f>IF(A46taxstdlife="n/a","n/a",IF(L$3&gt;(A46taxstdlife+$E699),('RFM input'!$H$106-'RFM input'!$H$160)-SUM($H699:K699),('RFM input'!$H$106-'RFM input'!$H$160)/A46taxstdlife))</f>
        <v>0</v>
      </c>
      <c r="M699" s="18">
        <f>IF(A46taxstdlife="n/a","n/a",IF(M$3&gt;(A46taxstdlife+$E699),('RFM input'!$H$106-'RFM input'!$H$160)-SUM($H699:L699),('RFM input'!$H$106-'RFM input'!$H$160)/A46taxstdlife))</f>
        <v>0</v>
      </c>
      <c r="N699" s="18">
        <f>IF(A46taxstdlife="n/a","n/a",IF(N$3&gt;(A46taxstdlife+$E699),('RFM input'!$H$106-'RFM input'!$H$160)-SUM($H699:M699),('RFM input'!$H$106-'RFM input'!$H$160)/A46taxstdlife))</f>
        <v>0</v>
      </c>
      <c r="O699" s="18">
        <f>IF(A46taxstdlife="n/a","n/a",IF(O$3&gt;(A46taxstdlife+$E699),('RFM input'!$H$106-'RFM input'!$H$160)-SUM($H699:N699),('RFM input'!$H$106-'RFM input'!$H$160)/A46taxstdlife))</f>
        <v>0</v>
      </c>
      <c r="P699" s="18">
        <f>IF(A46taxstdlife="n/a","n/a",IF(P$3&gt;(A46taxstdlife+$E699),('RFM input'!$H$106-'RFM input'!$H$160)-SUM($H699:O699),('RFM input'!$H$106-'RFM input'!$H$160)/A46taxstdlife))</f>
        <v>0</v>
      </c>
      <c r="Q699" s="18">
        <f>IF(A46taxstdlife="n/a","n/a",IF(Q$3&gt;(A46taxstdlife+$E699),('RFM input'!$H$106-'RFM input'!$H$160)-SUM($H699:P699),('RFM input'!$H$106-'RFM input'!$H$160)/A46taxstdlife))</f>
        <v>0</v>
      </c>
      <c r="R699" s="18"/>
      <c r="S699" s="74"/>
      <c r="T699" s="74"/>
      <c r="U699" s="74"/>
      <c r="V699" s="74"/>
      <c r="W699" s="74"/>
      <c r="X699" s="74"/>
      <c r="Y699" s="74"/>
      <c r="Z699" s="74"/>
      <c r="AA699" s="152"/>
    </row>
    <row r="700" spans="1:27" ht="12.75" hidden="1" customHeight="1" outlineLevel="2">
      <c r="A700" s="3"/>
      <c r="B700" s="3"/>
      <c r="C700" s="16"/>
      <c r="D700" s="1594"/>
      <c r="E700" s="61">
        <v>2</v>
      </c>
      <c r="F700" s="17"/>
      <c r="G700" s="17"/>
      <c r="H700" s="1414"/>
      <c r="I700" s="1414"/>
      <c r="J700" s="18">
        <f>IF(A46taxstdlife="n/a","n/a",IF(J$3&gt;(A46taxstdlife+$E700),('RFM input'!$I$106-'RFM input'!$I$160)-SUM($I700:I700),('RFM input'!$I$106-'RFM input'!$I$160)/A46taxstdlife))</f>
        <v>0</v>
      </c>
      <c r="K700" s="18">
        <f>IF(A46taxstdlife="n/a","n/a",IF(K$3&gt;(A46taxstdlife+$E700),('RFM input'!$I$106-'RFM input'!$I$160)-SUM($I700:J700),('RFM input'!$I$106-'RFM input'!$I$160)/A46taxstdlife))</f>
        <v>0</v>
      </c>
      <c r="L700" s="18">
        <f>IF(A46taxstdlife="n/a","n/a",IF(L$3&gt;(A46taxstdlife+$E700),('RFM input'!$I$106-'RFM input'!$I$160)-SUM($I700:K700),('RFM input'!$I$106-'RFM input'!$I$160)/A46taxstdlife))</f>
        <v>0</v>
      </c>
      <c r="M700" s="18">
        <f>IF(A46taxstdlife="n/a","n/a",IF(M$3&gt;(A46taxstdlife+$E700),('RFM input'!$I$106-'RFM input'!$I$160)-SUM($I700:L700),('RFM input'!$I$106-'RFM input'!$I$160)/A46taxstdlife))</f>
        <v>0</v>
      </c>
      <c r="N700" s="18">
        <f>IF(A46taxstdlife="n/a","n/a",IF(N$3&gt;(A46taxstdlife+$E700),('RFM input'!$I$106-'RFM input'!$I$160)-SUM($I700:M700),('RFM input'!$I$106-'RFM input'!$I$160)/A46taxstdlife))</f>
        <v>0</v>
      </c>
      <c r="O700" s="18">
        <f>IF(A46taxstdlife="n/a","n/a",IF(O$3&gt;(A46taxstdlife+$E700),('RFM input'!$I$106-'RFM input'!$I$160)-SUM($I700:N700),('RFM input'!$I$106-'RFM input'!$I$160)/A46taxstdlife))</f>
        <v>0</v>
      </c>
      <c r="P700" s="18">
        <f>IF(A46taxstdlife="n/a","n/a",IF(P$3&gt;(A46taxstdlife+$E700),('RFM input'!$I$106-'RFM input'!$I$160)-SUM($I700:O700),('RFM input'!$I$106-'RFM input'!$I$160)/A46taxstdlife))</f>
        <v>0</v>
      </c>
      <c r="Q700" s="18">
        <f>IF(A46taxstdlife="n/a","n/a",IF(Q$3&gt;(A46taxstdlife+$E700),('RFM input'!$I$106-'RFM input'!$I$160)-SUM($I700:P700),('RFM input'!$I$106-'RFM input'!$I$160)/A46taxstdlife))</f>
        <v>0</v>
      </c>
      <c r="R700" s="18"/>
      <c r="S700" s="74"/>
      <c r="T700" s="74"/>
      <c r="U700" s="74"/>
      <c r="V700" s="74"/>
      <c r="W700" s="74"/>
      <c r="X700" s="74"/>
      <c r="Y700" s="74"/>
      <c r="Z700" s="74"/>
      <c r="AA700" s="152"/>
    </row>
    <row r="701" spans="1:27" ht="12.75" hidden="1" customHeight="1" outlineLevel="2">
      <c r="A701" s="3"/>
      <c r="B701" s="3"/>
      <c r="C701" s="16"/>
      <c r="D701" s="1594"/>
      <c r="E701" s="61">
        <v>3</v>
      </c>
      <c r="F701" s="17"/>
      <c r="G701" s="17"/>
      <c r="H701" s="1414"/>
      <c r="I701" s="1414"/>
      <c r="J701" s="116"/>
      <c r="K701" s="18">
        <f>IF(A46taxstdlife="n/a","n/a",IF(K$3&gt;(A46taxstdlife+$E701),('RFM input'!$J$106-'RFM input'!$J$160)-SUM($J701:J701),('RFM input'!$J$106-'RFM input'!$J$160)/A46taxstdlife))</f>
        <v>0</v>
      </c>
      <c r="L701" s="18">
        <f>IF(A46taxstdlife="n/a","n/a",IF(L$3&gt;(A46taxstdlife+$E701),('RFM input'!$J$106-'RFM input'!$J$160)-SUM($J701:K701),('RFM input'!$J$106-'RFM input'!$J$160)/A46taxstdlife))</f>
        <v>0</v>
      </c>
      <c r="M701" s="18">
        <f>IF(A46taxstdlife="n/a","n/a",IF(M$3&gt;(A46taxstdlife+$E701),('RFM input'!$J$106-'RFM input'!$J$160)-SUM($J701:L701),('RFM input'!$J$106-'RFM input'!$J$160)/A46taxstdlife))</f>
        <v>0</v>
      </c>
      <c r="N701" s="18">
        <f>IF(A46taxstdlife="n/a","n/a",IF(N$3&gt;(A46taxstdlife+$E701),('RFM input'!$J$106-'RFM input'!$J$160)-SUM($J701:M701),('RFM input'!$J$106-'RFM input'!$J$160)/A46taxstdlife))</f>
        <v>0</v>
      </c>
      <c r="O701" s="18">
        <f>IF(A46taxstdlife="n/a","n/a",IF(O$3&gt;(A46taxstdlife+$E701),('RFM input'!$J$106-'RFM input'!$J$160)-SUM($J701:N701),('RFM input'!$J$106-'RFM input'!$J$160)/A46taxstdlife))</f>
        <v>0</v>
      </c>
      <c r="P701" s="18">
        <f>IF(A46taxstdlife="n/a","n/a",IF(P$3&gt;(A46taxstdlife+$E701),('RFM input'!$J$106-'RFM input'!$J$160)-SUM($J701:O701),('RFM input'!$J$106-'RFM input'!$J$160)/A46taxstdlife))</f>
        <v>0</v>
      </c>
      <c r="Q701" s="18">
        <f>IF(A46taxstdlife="n/a","n/a",IF(Q$3&gt;(A46taxstdlife+$E701),('RFM input'!$J$106-'RFM input'!$J$160)-SUM($J701:P701),('RFM input'!$J$106-'RFM input'!$J$160)/A46taxstdlife))</f>
        <v>0</v>
      </c>
      <c r="R701" s="18"/>
      <c r="S701" s="74"/>
      <c r="T701" s="74"/>
      <c r="U701" s="74"/>
      <c r="V701" s="74"/>
      <c r="W701" s="74"/>
      <c r="X701" s="74"/>
      <c r="Y701" s="74"/>
      <c r="Z701" s="74"/>
      <c r="AA701" s="152"/>
    </row>
    <row r="702" spans="1:27" ht="12.75" hidden="1" customHeight="1" outlineLevel="2">
      <c r="A702" s="3"/>
      <c r="B702" s="3"/>
      <c r="C702" s="16"/>
      <c r="D702" s="1594"/>
      <c r="E702" s="61">
        <v>4</v>
      </c>
      <c r="F702" s="17"/>
      <c r="G702" s="17"/>
      <c r="H702" s="1414"/>
      <c r="I702" s="1414"/>
      <c r="J702" s="115"/>
      <c r="K702" s="116"/>
      <c r="L702" s="18">
        <f>IF(A46taxstdlife="n/a","n/a",IF(L$3&gt;(A46taxstdlife+$E702),('RFM input'!$K$106-'RFM input'!$K$160)-SUM($K702:K702),('RFM input'!$K$106-'RFM input'!$K$160)/A46taxstdlife))</f>
        <v>0</v>
      </c>
      <c r="M702" s="18">
        <f>IF(A46taxstdlife="n/a","n/a",IF(M$3&gt;(A46taxstdlife+$E702),('RFM input'!$K$106-'RFM input'!$K$160)-SUM($K702:L702),('RFM input'!$K$106-'RFM input'!$K$160)/A46taxstdlife))</f>
        <v>0</v>
      </c>
      <c r="N702" s="18">
        <f>IF(A46taxstdlife="n/a","n/a",IF(N$3&gt;(A46taxstdlife+$E702),('RFM input'!$K$106-'RFM input'!$K$160)-SUM($K702:M702),('RFM input'!$K$106-'RFM input'!$K$160)/A46taxstdlife))</f>
        <v>0</v>
      </c>
      <c r="O702" s="18">
        <f>IF(A46taxstdlife="n/a","n/a",IF(O$3&gt;(A46taxstdlife+$E702),('RFM input'!$K$106-'RFM input'!$K$160)-SUM($K702:N702),('RFM input'!$K$106-'RFM input'!$K$160)/A46taxstdlife))</f>
        <v>0</v>
      </c>
      <c r="P702" s="18">
        <f>IF(A46taxstdlife="n/a","n/a",IF(P$3&gt;(A46taxstdlife+$E702),('RFM input'!$K$106-'RFM input'!$K$160)-SUM($K702:O702),('RFM input'!$K$106-'RFM input'!$K$160)/A46taxstdlife))</f>
        <v>0</v>
      </c>
      <c r="Q702" s="18">
        <f>IF(A46taxstdlife="n/a","n/a",IF(Q$3&gt;(A46taxstdlife+$E702),('RFM input'!$K$106-'RFM input'!$K$160)-SUM($K702:P702),('RFM input'!$K$106-'RFM input'!$K$160)/A46taxstdlife))</f>
        <v>0</v>
      </c>
      <c r="R702" s="18"/>
      <c r="S702" s="74"/>
      <c r="T702" s="74"/>
      <c r="U702" s="74"/>
      <c r="V702" s="74"/>
      <c r="W702" s="74"/>
      <c r="X702" s="74"/>
      <c r="Y702" s="74"/>
      <c r="Z702" s="74"/>
      <c r="AA702" s="152"/>
    </row>
    <row r="703" spans="1:27" ht="12.75" hidden="1" customHeight="1" outlineLevel="2">
      <c r="A703" s="3"/>
      <c r="B703" s="3"/>
      <c r="C703" s="16"/>
      <c r="D703" s="1594"/>
      <c r="E703" s="61">
        <v>5</v>
      </c>
      <c r="F703" s="17"/>
      <c r="G703" s="17"/>
      <c r="H703" s="1414"/>
      <c r="I703" s="1414"/>
      <c r="J703" s="115"/>
      <c r="K703" s="115"/>
      <c r="L703" s="116"/>
      <c r="M703" s="18">
        <f>IF(A46taxstdlife="n/a","n/a",IF(M$3&gt;(A46taxstdlife+$E703),('RFM input'!$L$106-'RFM input'!$L$160)-SUM($L703:L703),('RFM input'!$L$106-'RFM input'!$L$160)/A46taxstdlife))</f>
        <v>0</v>
      </c>
      <c r="N703" s="18">
        <f>IF(A46taxstdlife="n/a","n/a",IF(N$3&gt;(A46taxstdlife+$E703),('RFM input'!$L$106-'RFM input'!$L$160)-SUM($L703:M703),('RFM input'!$L$106-'RFM input'!$L$160)/A46taxstdlife))</f>
        <v>0</v>
      </c>
      <c r="O703" s="18">
        <f>IF(A46taxstdlife="n/a","n/a",IF(O$3&gt;(A46taxstdlife+$E703),('RFM input'!$L$106-'RFM input'!$L$160)-SUM($L703:N703),('RFM input'!$L$106-'RFM input'!$L$160)/A46taxstdlife))</f>
        <v>0</v>
      </c>
      <c r="P703" s="18">
        <f>IF(A46taxstdlife="n/a","n/a",IF(P$3&gt;(A46taxstdlife+$E703),('RFM input'!$L$106-'RFM input'!$L$160)-SUM($L703:O703),('RFM input'!$L$106-'RFM input'!$L$160)/A46taxstdlife))</f>
        <v>0</v>
      </c>
      <c r="Q703" s="18">
        <f>IF(A46taxstdlife="n/a","n/a",IF(Q$3&gt;(A46taxstdlife+$E703),('RFM input'!$L$106-'RFM input'!$L$160)-SUM($L703:P703),('RFM input'!$L$106-'RFM input'!$L$160)/A46taxstdlife))</f>
        <v>0</v>
      </c>
      <c r="R703" s="18"/>
      <c r="S703" s="74"/>
      <c r="T703" s="74"/>
      <c r="U703" s="74"/>
      <c r="V703" s="74"/>
      <c r="W703" s="74"/>
      <c r="X703" s="74"/>
      <c r="Y703" s="74"/>
      <c r="Z703" s="74"/>
      <c r="AA703" s="152"/>
    </row>
    <row r="704" spans="1:27" ht="12.75" hidden="1" customHeight="1" outlineLevel="2">
      <c r="A704" s="3"/>
      <c r="B704" s="3"/>
      <c r="C704" s="16"/>
      <c r="D704" s="1594"/>
      <c r="E704" s="61">
        <v>6</v>
      </c>
      <c r="F704" s="17"/>
      <c r="G704" s="17"/>
      <c r="H704" s="1414"/>
      <c r="I704" s="1414"/>
      <c r="J704" s="115"/>
      <c r="K704" s="115"/>
      <c r="L704" s="115"/>
      <c r="M704" s="116"/>
      <c r="N704" s="18">
        <f>IF(A46taxstdlife="n/a","n/a",IF(N$3&gt;(A46taxstdlife+$E704),('RFM input'!$M$106-'RFM input'!$M$160)-SUM($M704:M704),('RFM input'!$M$106-'RFM input'!$M$160)/A46taxstdlife))</f>
        <v>0</v>
      </c>
      <c r="O704" s="18">
        <f>IF(A46taxstdlife="n/a","n/a",IF(O$3&gt;(A46taxstdlife+$E704),('RFM input'!$M$106-'RFM input'!$M$160)-SUM($M704:N704),('RFM input'!$M$106-'RFM input'!$M$160)/A46taxstdlife))</f>
        <v>0</v>
      </c>
      <c r="P704" s="18">
        <f>IF(A46taxstdlife="n/a","n/a",IF(P$3&gt;(A46taxstdlife+$E704),('RFM input'!$M$106-'RFM input'!$M$160)-SUM($M704:O704),('RFM input'!$M$106-'RFM input'!$M$160)/A46taxstdlife))</f>
        <v>0</v>
      </c>
      <c r="Q704" s="18">
        <f>IF(A46taxstdlife="n/a","n/a",IF(Q$3&gt;(A46taxstdlife+$E704),('RFM input'!$M$106-'RFM input'!$M$160)-SUM($M704:P704),('RFM input'!$M$106-'RFM input'!$M$160)/A46taxstdlife))</f>
        <v>0</v>
      </c>
      <c r="R704" s="18"/>
      <c r="S704" s="74"/>
      <c r="T704" s="74"/>
      <c r="U704" s="74"/>
      <c r="V704" s="74"/>
      <c r="W704" s="74"/>
      <c r="X704" s="74"/>
      <c r="Y704" s="74"/>
      <c r="Z704" s="74"/>
      <c r="AA704" s="152"/>
    </row>
    <row r="705" spans="1:27" ht="12.75" hidden="1" customHeight="1" outlineLevel="2">
      <c r="A705" s="3"/>
      <c r="B705" s="3"/>
      <c r="C705" s="16"/>
      <c r="D705" s="1594"/>
      <c r="E705" s="61">
        <v>7</v>
      </c>
      <c r="F705" s="17"/>
      <c r="G705" s="17"/>
      <c r="H705" s="1414"/>
      <c r="I705" s="1414"/>
      <c r="J705" s="115"/>
      <c r="K705" s="115"/>
      <c r="L705" s="115"/>
      <c r="M705" s="115"/>
      <c r="N705" s="116"/>
      <c r="O705" s="18">
        <f>IF(A46taxstdlife="n/a","n/a",IF(O$3&gt;(A46taxstdlife+$E705),('RFM input'!$N$106-'RFM input'!$N$160)-SUM($N705:N705),('RFM input'!$N$106-'RFM input'!$N$160)/A46taxstdlife))</f>
        <v>0</v>
      </c>
      <c r="P705" s="18">
        <f>IF(A46taxstdlife="n/a","n/a",IF(P$3&gt;(A46taxstdlife+$E705),('RFM input'!$N$106-'RFM input'!$N$160)-SUM($N705:O705),('RFM input'!$N$106-'RFM input'!$N$160)/A46taxstdlife))</f>
        <v>0</v>
      </c>
      <c r="Q705" s="18">
        <f>IF(A46taxstdlife="n/a","n/a",IF(Q$3&gt;(A46taxstdlife+$E705),('RFM input'!$N$106-'RFM input'!$N$160)-SUM($N705:P705),('RFM input'!$N$106-'RFM input'!$N$160)/A46taxstdlife))</f>
        <v>0</v>
      </c>
      <c r="R705" s="18"/>
      <c r="S705" s="74"/>
      <c r="T705" s="74"/>
      <c r="U705" s="74"/>
      <c r="V705" s="74"/>
      <c r="W705" s="74"/>
      <c r="X705" s="74"/>
      <c r="Y705" s="74"/>
      <c r="Z705" s="74"/>
      <c r="AA705" s="152"/>
    </row>
    <row r="706" spans="1:27" ht="12.75" hidden="1" customHeight="1" outlineLevel="2">
      <c r="A706" s="3"/>
      <c r="B706" s="3"/>
      <c r="C706" s="16"/>
      <c r="D706" s="1594"/>
      <c r="E706" s="61">
        <v>8</v>
      </c>
      <c r="F706" s="17"/>
      <c r="G706" s="17"/>
      <c r="H706" s="1414"/>
      <c r="I706" s="1414"/>
      <c r="J706" s="115"/>
      <c r="K706" s="115"/>
      <c r="L706" s="115"/>
      <c r="M706" s="115"/>
      <c r="N706" s="115"/>
      <c r="O706" s="116"/>
      <c r="P706" s="18">
        <f>IF(A46taxstdlife="n/a","n/a",IF(P$3&gt;(A46taxstdlife+$E706),('RFM input'!$O$106-'RFM input'!$O$160)-SUM($O706:O706),('RFM input'!$O$106-'RFM input'!$O$160)/A46taxstdlife))</f>
        <v>0</v>
      </c>
      <c r="Q706" s="18">
        <f>IF(A46taxstdlife="n/a","n/a",IF(Q$3&gt;(A46taxstdlife+$E706),('RFM input'!$O$106-'RFM input'!$O$160)-SUM($O706:P706),('RFM input'!$O$106-'RFM input'!$O$160)/A46taxstdlife))</f>
        <v>0</v>
      </c>
      <c r="R706" s="18"/>
      <c r="S706" s="74"/>
      <c r="T706" s="74"/>
      <c r="U706" s="74"/>
      <c r="V706" s="74"/>
      <c r="W706" s="74"/>
      <c r="X706" s="74"/>
      <c r="Y706" s="74"/>
      <c r="Z706" s="74"/>
      <c r="AA706" s="152"/>
    </row>
    <row r="707" spans="1:27" ht="12.75" hidden="1" customHeight="1" outlineLevel="2">
      <c r="A707" s="3"/>
      <c r="B707" s="3"/>
      <c r="C707" s="16"/>
      <c r="D707" s="1594"/>
      <c r="E707" s="61">
        <v>9</v>
      </c>
      <c r="F707" s="17"/>
      <c r="G707" s="17"/>
      <c r="H707" s="1414"/>
      <c r="I707" s="1414"/>
      <c r="J707" s="115"/>
      <c r="K707" s="115"/>
      <c r="L707" s="115"/>
      <c r="M707" s="115"/>
      <c r="N707" s="115"/>
      <c r="O707" s="115"/>
      <c r="P707" s="116"/>
      <c r="Q707" s="18">
        <f>IF(A46taxstdlife="n/a","n/a",IF(Q$3&gt;(A46taxstdlife+$E707),('RFM input'!$P$106-'RFM input'!$P$160)-SUM($P707:P707),('RFM input'!$P$106-'RFM input'!$P$160)/A46taxstdlife))</f>
        <v>0</v>
      </c>
      <c r="R707" s="18"/>
      <c r="S707" s="74"/>
      <c r="T707" s="74"/>
      <c r="U707" s="74"/>
      <c r="V707" s="74"/>
      <c r="W707" s="74"/>
      <c r="X707" s="74"/>
      <c r="Y707" s="74"/>
      <c r="Z707" s="74"/>
      <c r="AA707" s="152"/>
    </row>
    <row r="708" spans="1:27" ht="12.75" hidden="1" customHeight="1" outlineLevel="2">
      <c r="A708" s="3"/>
      <c r="B708" s="3"/>
      <c r="C708" s="16"/>
      <c r="D708" s="1594"/>
      <c r="E708" s="62">
        <v>10</v>
      </c>
      <c r="F708" s="17"/>
      <c r="G708" s="17"/>
      <c r="H708" s="1414"/>
      <c r="I708" s="1414"/>
      <c r="J708" s="115"/>
      <c r="K708" s="115"/>
      <c r="L708" s="115"/>
      <c r="M708" s="115"/>
      <c r="N708" s="115"/>
      <c r="O708" s="115"/>
      <c r="P708" s="115"/>
      <c r="Q708" s="116"/>
      <c r="R708" s="18"/>
      <c r="S708" s="74"/>
      <c r="T708" s="74"/>
      <c r="U708" s="74"/>
      <c r="V708" s="74"/>
      <c r="W708" s="74"/>
      <c r="X708" s="74"/>
      <c r="Y708" s="74"/>
      <c r="Z708" s="74"/>
      <c r="AA708" s="152"/>
    </row>
    <row r="709" spans="1:27" hidden="1" outlineLevel="1">
      <c r="A709" s="3"/>
      <c r="B709" s="3"/>
      <c r="C709" s="134">
        <f>Asset46</f>
        <v>0</v>
      </c>
      <c r="D709" s="3"/>
      <c r="E709" s="3"/>
      <c r="F709" s="14"/>
      <c r="G709" s="14"/>
      <c r="H709" s="1460">
        <f>IF('RFM input'!$G$354="Tracked",-1*INDEX('RFM input'!H$358:H$407,MATCH('TAB roll forward'!$C709,'RFM input'!$E$358:$E$407,0)),-SUM(H697:H708))</f>
        <v>0</v>
      </c>
      <c r="I709" s="1460">
        <f>IF('RFM input'!$G$354="Tracked",-1*INDEX('RFM input'!I$358:I$407,MATCH('TAB roll forward'!$C709,'RFM input'!$E$358:$E$407,0)),-SUM(I697:I708))</f>
        <v>0</v>
      </c>
      <c r="J709" s="1460">
        <f>IF(COUNT($H709:I709)&gt;='RFM input'!$V$7,0,IF('RFM input'!$G$354="Tracked",-1*INDEX('RFM input'!J$358:J$407,MATCH('TAB roll forward'!$C709,'RFM input'!$E$358:$E$407,0)),-SUM(J697:J708)))</f>
        <v>0</v>
      </c>
      <c r="K709" s="1460">
        <f>IF(COUNT($H709:J709)&gt;='RFM input'!$V$7,0,IF('RFM input'!$G$354="Tracked",-1*INDEX('RFM input'!K$358:K$407,MATCH('TAB roll forward'!$C709,'RFM input'!$E$358:$E$407,0)),-SUM(K697:K708)))</f>
        <v>0</v>
      </c>
      <c r="L709" s="1460">
        <f>IF(COUNT($H709:K709)&gt;='RFM input'!$V$7,0,IF('RFM input'!$G$354="Tracked",-1*INDEX('RFM input'!L$358:L$407,MATCH('TAB roll forward'!$C709,'RFM input'!$E$358:$E$407,0)),-SUM(L697:L708)))</f>
        <v>0</v>
      </c>
      <c r="M709" s="1460">
        <f>IF(COUNT($H709:L709)&gt;='RFM input'!$V$7,0,IF('RFM input'!$G$354="Tracked",-1*INDEX('RFM input'!M$358:M$407,MATCH('TAB roll forward'!$C709,'RFM input'!$E$358:$E$407,0)),-SUM(M697:M708)))</f>
        <v>0</v>
      </c>
      <c r="N709" s="1460">
        <f>IF(COUNT($H709:M709)&gt;='RFM input'!$V$7,0,IF('RFM input'!$G$354="Tracked",-1*INDEX('RFM input'!N$358:N$407,MATCH('TAB roll forward'!$C709,'RFM input'!$E$358:$E$407,0)),-SUM(N697:N708)))</f>
        <v>0</v>
      </c>
      <c r="O709" s="1460">
        <f>IF(COUNT($H709:N709)&gt;='RFM input'!$V$7,0,IF('RFM input'!$G$354="Tracked",-1*INDEX('RFM input'!O$358:O$407,MATCH('TAB roll forward'!$C709,'RFM input'!$E$358:$E$407,0)),-SUM(O697:O708)))</f>
        <v>0</v>
      </c>
      <c r="P709" s="1460">
        <f>IF(COUNT($H709:O709)&gt;='RFM input'!$V$7,0,IF('RFM input'!$G$354="Tracked",-1*INDEX('RFM input'!P$358:P$407,MATCH('TAB roll forward'!$C709,'RFM input'!$E$358:$E$407,0)),-SUM(P697:P708)))</f>
        <v>0</v>
      </c>
      <c r="Q709" s="1460">
        <f>IF(COUNT($H709:P709)&gt;='RFM input'!$V$7,0,IF('RFM input'!$G$354="Tracked",-1*INDEX('RFM input'!Q$358:Q$407,MATCH('TAB roll forward'!$C709,'RFM input'!$E$358:$E$407,0)),-SUM(Q697:Q708)))</f>
        <v>0</v>
      </c>
      <c r="R709" s="1382"/>
      <c r="S709" s="73"/>
      <c r="T709" s="73"/>
      <c r="U709" s="73"/>
      <c r="V709" s="73"/>
      <c r="W709" s="73"/>
      <c r="X709" s="73"/>
      <c r="Y709" s="73"/>
      <c r="Z709" s="73"/>
      <c r="AA709" s="152"/>
    </row>
    <row r="710" spans="1:27" ht="12.75" hidden="1" customHeight="1" outlineLevel="2">
      <c r="A710" s="3"/>
      <c r="B710" s="135">
        <f>Asset47</f>
        <v>0</v>
      </c>
      <c r="C710" s="19"/>
      <c r="D710" s="234" t="s">
        <v>119</v>
      </c>
      <c r="E710" s="19"/>
      <c r="F710" s="148"/>
      <c r="G710" s="148"/>
      <c r="H710" s="21">
        <f>IF(H$3&gt;A47taxremlife,A47taxvalue-SUM($F710:F710),IF(A47taxremlife="N/A","n/a",A47taxvalue/A47taxremlife))</f>
        <v>0</v>
      </c>
      <c r="I710" s="21">
        <f>IF(I$3&gt;A47taxremlife,A47taxvalue-SUM($F710:H710),IF(A47taxremlife="N/A","n/a",A47taxvalue/A47taxremlife))</f>
        <v>0</v>
      </c>
      <c r="J710" s="21">
        <f>IF(J$3&gt;A47taxremlife,A47taxvalue-SUM($F710:I710),IF(A47taxremlife="N/A","n/a",A47taxvalue/A47taxremlife))</f>
        <v>0</v>
      </c>
      <c r="K710" s="21">
        <f>IF(K$3&gt;A47taxremlife,A47taxvalue-SUM($F710:J710),IF(A47taxremlife="N/A","n/a",A47taxvalue/A47taxremlife))</f>
        <v>0</v>
      </c>
      <c r="L710" s="21">
        <f>IF(L$3&gt;A47taxremlife,A47taxvalue-SUM($F710:K710),IF(A47taxremlife="N/A","n/a",A47taxvalue/A47taxremlife))</f>
        <v>0</v>
      </c>
      <c r="M710" s="21">
        <f>IF(M$3&gt;A47taxremlife,A47taxvalue-SUM($F710:L710),IF(A47taxremlife="N/A","n/a",A47taxvalue/A47taxremlife))</f>
        <v>0</v>
      </c>
      <c r="N710" s="21">
        <f>IF(N$3&gt;A47taxremlife,A47taxvalue-SUM($F710:M710),IF(A47taxremlife="N/A","n/a",A47taxvalue/A47taxremlife))</f>
        <v>0</v>
      </c>
      <c r="O710" s="21">
        <f>IF(O$3&gt;A47taxremlife,A47taxvalue-SUM($F710:N710),IF(A47taxremlife="N/A","n/a",A47taxvalue/A47taxremlife))</f>
        <v>0</v>
      </c>
      <c r="P710" s="21">
        <f>IF(P$3&gt;A47taxremlife,A47taxvalue-SUM($F710:O710),IF(A47taxremlife="N/A","n/a",A47taxvalue/A47taxremlife))</f>
        <v>0</v>
      </c>
      <c r="Q710" s="21">
        <f>IF(Q$3&gt;A47taxremlife,A47taxvalue-SUM($F710:P710),IF(A47taxremlife="N/A","n/a",A47taxvalue/A47taxremlife))</f>
        <v>0</v>
      </c>
      <c r="R710" s="21"/>
      <c r="S710" s="74"/>
      <c r="T710" s="74"/>
      <c r="U710" s="74"/>
      <c r="V710" s="74"/>
      <c r="W710" s="74"/>
      <c r="X710" s="74"/>
      <c r="Y710" s="74"/>
      <c r="Z710" s="74"/>
      <c r="AA710" s="152"/>
    </row>
    <row r="711" spans="1:27" ht="12.75" hidden="1" customHeight="1" outlineLevel="2">
      <c r="A711" s="3"/>
      <c r="B711" s="3"/>
      <c r="C711" s="16"/>
      <c r="D711" s="1593" t="s">
        <v>43</v>
      </c>
      <c r="E711" s="61"/>
      <c r="F711" s="17"/>
      <c r="G711" s="17"/>
      <c r="H711" s="1413"/>
      <c r="I711" s="72"/>
      <c r="J711" s="18"/>
      <c r="K711" s="18"/>
      <c r="L711" s="18"/>
      <c r="M711" s="18"/>
      <c r="N711" s="18"/>
      <c r="O711" s="18"/>
      <c r="P711" s="18"/>
      <c r="Q711" s="18"/>
      <c r="R711" s="18"/>
      <c r="S711" s="74"/>
      <c r="T711" s="74"/>
      <c r="U711" s="74"/>
      <c r="V711" s="74"/>
      <c r="W711" s="74"/>
      <c r="X711" s="74"/>
      <c r="Y711" s="74"/>
      <c r="Z711" s="74"/>
      <c r="AA711" s="152"/>
    </row>
    <row r="712" spans="1:27" ht="12.75" hidden="1" customHeight="1" outlineLevel="2">
      <c r="A712" s="3"/>
      <c r="B712" s="3"/>
      <c r="C712" s="16"/>
      <c r="D712" s="1594"/>
      <c r="E712" s="61">
        <v>1</v>
      </c>
      <c r="F712" s="17"/>
      <c r="G712" s="17"/>
      <c r="H712" s="1414"/>
      <c r="I712" s="1415">
        <f>IF(A47taxstdlife="n/a","n/a",IF(I$3&gt;(A47taxstdlife+$E712),('RFM input'!$H$107-'RFM input'!$H$161)-SUM($H712:H712),('RFM input'!$H$107-'RFM input'!$H$161)/A47taxstdlife))</f>
        <v>0</v>
      </c>
      <c r="J712" s="18">
        <f>IF(A47taxstdlife="n/a","n/a",IF(J$3&gt;(A47taxstdlife+$E712),('RFM input'!$H$107-'RFM input'!$H$161)-SUM($H712:I712),('RFM input'!$H$107-'RFM input'!$H$161)/A47taxstdlife))</f>
        <v>0</v>
      </c>
      <c r="K712" s="18">
        <f>IF(A47taxstdlife="n/a","n/a",IF(K$3&gt;(A47taxstdlife+$E712),('RFM input'!$H$107-'RFM input'!$H$161)-SUM($H712:J712),('RFM input'!$H$107-'RFM input'!$H$161)/A47taxstdlife))</f>
        <v>0</v>
      </c>
      <c r="L712" s="18">
        <f>IF(A47taxstdlife="n/a","n/a",IF(L$3&gt;(A47taxstdlife+$E712),('RFM input'!$H$107-'RFM input'!$H$161)-SUM($H712:K712),('RFM input'!$H$107-'RFM input'!$H$161)/A47taxstdlife))</f>
        <v>0</v>
      </c>
      <c r="M712" s="18">
        <f>IF(A47taxstdlife="n/a","n/a",IF(M$3&gt;(A47taxstdlife+$E712),('RFM input'!$H$107-'RFM input'!$H$161)-SUM($H712:L712),('RFM input'!$H$107-'RFM input'!$H$161)/A47taxstdlife))</f>
        <v>0</v>
      </c>
      <c r="N712" s="18">
        <f>IF(A47taxstdlife="n/a","n/a",IF(N$3&gt;(A47taxstdlife+$E712),('RFM input'!$H$107-'RFM input'!$H$161)-SUM($H712:M712),('RFM input'!$H$107-'RFM input'!$H$161)/A47taxstdlife))</f>
        <v>0</v>
      </c>
      <c r="O712" s="18">
        <f>IF(A47taxstdlife="n/a","n/a",IF(O$3&gt;(A47taxstdlife+$E712),('RFM input'!$H$107-'RFM input'!$H$161)-SUM($H712:N712),('RFM input'!$H$107-'RFM input'!$H$161)/A47taxstdlife))</f>
        <v>0</v>
      </c>
      <c r="P712" s="18">
        <f>IF(A47taxstdlife="n/a","n/a",IF(P$3&gt;(A47taxstdlife+$E712),('RFM input'!$H$107-'RFM input'!$H$161)-SUM($H712:O712),('RFM input'!$H$107-'RFM input'!$H$161)/A47taxstdlife))</f>
        <v>0</v>
      </c>
      <c r="Q712" s="18">
        <f>IF(A47taxstdlife="n/a","n/a",IF(Q$3&gt;(A47taxstdlife+$E712),('RFM input'!$H$107-'RFM input'!$H$161)-SUM($H712:P712),('RFM input'!$H$107-'RFM input'!$H$161)/A47taxstdlife))</f>
        <v>0</v>
      </c>
      <c r="R712" s="18"/>
      <c r="S712" s="74"/>
      <c r="T712" s="74"/>
      <c r="U712" s="74"/>
      <c r="V712" s="74"/>
      <c r="W712" s="74"/>
      <c r="X712" s="74"/>
      <c r="Y712" s="74"/>
      <c r="Z712" s="74"/>
      <c r="AA712" s="152"/>
    </row>
    <row r="713" spans="1:27" ht="12.75" hidden="1" customHeight="1" outlineLevel="2">
      <c r="A713" s="3"/>
      <c r="B713" s="3"/>
      <c r="C713" s="16"/>
      <c r="D713" s="1594"/>
      <c r="E713" s="61">
        <v>2</v>
      </c>
      <c r="F713" s="17"/>
      <c r="G713" s="17"/>
      <c r="H713" s="1414"/>
      <c r="I713" s="1414"/>
      <c r="J713" s="18">
        <f>IF(A47taxstdlife="n/a","n/a",IF(J$3&gt;(A47taxstdlife+$E713),('RFM input'!$I$107-'RFM input'!$I$161)-SUM($I713:I713),('RFM input'!$I$107-'RFM input'!$I$161)/A47taxstdlife))</f>
        <v>0</v>
      </c>
      <c r="K713" s="18">
        <f>IF(A47taxstdlife="n/a","n/a",IF(K$3&gt;(A47taxstdlife+$E713),('RFM input'!$I$107-'RFM input'!$I$161)-SUM($I713:J713),('RFM input'!$I$107-'RFM input'!$I$161)/A47taxstdlife))</f>
        <v>0</v>
      </c>
      <c r="L713" s="18">
        <f>IF(A47taxstdlife="n/a","n/a",IF(L$3&gt;(A47taxstdlife+$E713),('RFM input'!$I$107-'RFM input'!$I$161)-SUM($I713:K713),('RFM input'!$I$107-'RFM input'!$I$161)/A47taxstdlife))</f>
        <v>0</v>
      </c>
      <c r="M713" s="18">
        <f>IF(A47taxstdlife="n/a","n/a",IF(M$3&gt;(A47taxstdlife+$E713),('RFM input'!$I$107-'RFM input'!$I$161)-SUM($I713:L713),('RFM input'!$I$107-'RFM input'!$I$161)/A47taxstdlife))</f>
        <v>0</v>
      </c>
      <c r="N713" s="18">
        <f>IF(A47taxstdlife="n/a","n/a",IF(N$3&gt;(A47taxstdlife+$E713),('RFM input'!$I$107-'RFM input'!$I$161)-SUM($I713:M713),('RFM input'!$I$107-'RFM input'!$I$161)/A47taxstdlife))</f>
        <v>0</v>
      </c>
      <c r="O713" s="18">
        <f>IF(A47taxstdlife="n/a","n/a",IF(O$3&gt;(A47taxstdlife+$E713),('RFM input'!$I$107-'RFM input'!$I$161)-SUM($I713:N713),('RFM input'!$I$107-'RFM input'!$I$161)/A47taxstdlife))</f>
        <v>0</v>
      </c>
      <c r="P713" s="18">
        <f>IF(A47taxstdlife="n/a","n/a",IF(P$3&gt;(A47taxstdlife+$E713),('RFM input'!$I$107-'RFM input'!$I$161)-SUM($I713:O713),('RFM input'!$I$107-'RFM input'!$I$161)/A47taxstdlife))</f>
        <v>0</v>
      </c>
      <c r="Q713" s="18">
        <f>IF(A47taxstdlife="n/a","n/a",IF(Q$3&gt;(A47taxstdlife+$E713),('RFM input'!$I$107-'RFM input'!$I$161)-SUM($I713:P713),('RFM input'!$I$107-'RFM input'!$I$161)/A47taxstdlife))</f>
        <v>0</v>
      </c>
      <c r="R713" s="18"/>
      <c r="S713" s="74"/>
      <c r="T713" s="74"/>
      <c r="U713" s="74"/>
      <c r="V713" s="74"/>
      <c r="W713" s="74"/>
      <c r="X713" s="74"/>
      <c r="Y713" s="74"/>
      <c r="Z713" s="74"/>
      <c r="AA713" s="152"/>
    </row>
    <row r="714" spans="1:27" ht="12.75" hidden="1" customHeight="1" outlineLevel="2">
      <c r="A714" s="3"/>
      <c r="B714" s="3"/>
      <c r="C714" s="16"/>
      <c r="D714" s="1594"/>
      <c r="E714" s="61">
        <v>3</v>
      </c>
      <c r="F714" s="17"/>
      <c r="G714" s="17"/>
      <c r="H714" s="1414"/>
      <c r="I714" s="1414"/>
      <c r="J714" s="116"/>
      <c r="K714" s="18">
        <f>IF(A47taxstdlife="n/a","n/a",IF(K$3&gt;(A47taxstdlife+$E714),('RFM input'!$J$107-'RFM input'!$J$161)-SUM($J714:J714),('RFM input'!$J$107-'RFM input'!$J$161)/A47taxstdlife))</f>
        <v>0</v>
      </c>
      <c r="L714" s="18">
        <f>IF(A47taxstdlife="n/a","n/a",IF(L$3&gt;(A47taxstdlife+$E714),('RFM input'!$J$107-'RFM input'!$J$161)-SUM($J714:K714),('RFM input'!$J$107-'RFM input'!$J$161)/A47taxstdlife))</f>
        <v>0</v>
      </c>
      <c r="M714" s="18">
        <f>IF(A47taxstdlife="n/a","n/a",IF(M$3&gt;(A47taxstdlife+$E714),('RFM input'!$J$107-'RFM input'!$J$161)-SUM($J714:L714),('RFM input'!$J$107-'RFM input'!$J$161)/A47taxstdlife))</f>
        <v>0</v>
      </c>
      <c r="N714" s="18">
        <f>IF(A47taxstdlife="n/a","n/a",IF(N$3&gt;(A47taxstdlife+$E714),('RFM input'!$J$107-'RFM input'!$J$161)-SUM($J714:M714),('RFM input'!$J$107-'RFM input'!$J$161)/A47taxstdlife))</f>
        <v>0</v>
      </c>
      <c r="O714" s="18">
        <f>IF(A47taxstdlife="n/a","n/a",IF(O$3&gt;(A47taxstdlife+$E714),('RFM input'!$J$107-'RFM input'!$J$161)-SUM($J714:N714),('RFM input'!$J$107-'RFM input'!$J$161)/A47taxstdlife))</f>
        <v>0</v>
      </c>
      <c r="P714" s="18">
        <f>IF(A47taxstdlife="n/a","n/a",IF(P$3&gt;(A47taxstdlife+$E714),('RFM input'!$J$107-'RFM input'!$J$161)-SUM($J714:O714),('RFM input'!$J$107-'RFM input'!$J$161)/A47taxstdlife))</f>
        <v>0</v>
      </c>
      <c r="Q714" s="18">
        <f>IF(A47taxstdlife="n/a","n/a",IF(Q$3&gt;(A47taxstdlife+$E714),('RFM input'!$J$107-'RFM input'!$J$161)-SUM($J714:P714),('RFM input'!$J$107-'RFM input'!$J$161)/A47taxstdlife))</f>
        <v>0</v>
      </c>
      <c r="R714" s="18"/>
      <c r="S714" s="74"/>
      <c r="T714" s="74"/>
      <c r="U714" s="74"/>
      <c r="V714" s="74"/>
      <c r="W714" s="74"/>
      <c r="X714" s="74"/>
      <c r="Y714" s="74"/>
      <c r="Z714" s="74"/>
      <c r="AA714" s="152"/>
    </row>
    <row r="715" spans="1:27" ht="12.75" hidden="1" customHeight="1" outlineLevel="2">
      <c r="A715" s="3"/>
      <c r="B715" s="3"/>
      <c r="C715" s="16"/>
      <c r="D715" s="1594"/>
      <c r="E715" s="61">
        <v>4</v>
      </c>
      <c r="F715" s="17"/>
      <c r="G715" s="17"/>
      <c r="H715" s="1414"/>
      <c r="I715" s="1414"/>
      <c r="J715" s="115"/>
      <c r="K715" s="116"/>
      <c r="L715" s="18">
        <f>IF(A47taxstdlife="n/a","n/a",IF(L$3&gt;(A47taxstdlife+$E715),('RFM input'!$K$107-'RFM input'!$K$161)-SUM($K715:K715),('RFM input'!$K$107-'RFM input'!$K$161)/A47taxstdlife))</f>
        <v>0</v>
      </c>
      <c r="M715" s="18">
        <f>IF(A47taxstdlife="n/a","n/a",IF(M$3&gt;(A47taxstdlife+$E715),('RFM input'!$K$107-'RFM input'!$K$161)-SUM($K715:L715),('RFM input'!$K$107-'RFM input'!$K$161)/A47taxstdlife))</f>
        <v>0</v>
      </c>
      <c r="N715" s="18">
        <f>IF(A47taxstdlife="n/a","n/a",IF(N$3&gt;(A47taxstdlife+$E715),('RFM input'!$K$107-'RFM input'!$K$161)-SUM($K715:M715),('RFM input'!$K$107-'RFM input'!$K$161)/A47taxstdlife))</f>
        <v>0</v>
      </c>
      <c r="O715" s="18">
        <f>IF(A47taxstdlife="n/a","n/a",IF(O$3&gt;(A47taxstdlife+$E715),('RFM input'!$K$107-'RFM input'!$K$161)-SUM($K715:N715),('RFM input'!$K$107-'RFM input'!$K$161)/A47taxstdlife))</f>
        <v>0</v>
      </c>
      <c r="P715" s="18">
        <f>IF(A47taxstdlife="n/a","n/a",IF(P$3&gt;(A47taxstdlife+$E715),('RFM input'!$K$107-'RFM input'!$K$161)-SUM($K715:O715),('RFM input'!$K$107-'RFM input'!$K$161)/A47taxstdlife))</f>
        <v>0</v>
      </c>
      <c r="Q715" s="18">
        <f>IF(A47taxstdlife="n/a","n/a",IF(Q$3&gt;(A47taxstdlife+$E715),('RFM input'!$K$107-'RFM input'!$K$161)-SUM($K715:P715),('RFM input'!$K$107-'RFM input'!$K$161)/A47taxstdlife))</f>
        <v>0</v>
      </c>
      <c r="R715" s="18"/>
      <c r="S715" s="74"/>
      <c r="T715" s="74"/>
      <c r="U715" s="74"/>
      <c r="V715" s="74"/>
      <c r="W715" s="74"/>
      <c r="X715" s="74"/>
      <c r="Y715" s="74"/>
      <c r="Z715" s="74"/>
      <c r="AA715" s="152"/>
    </row>
    <row r="716" spans="1:27" ht="12.75" hidden="1" customHeight="1" outlineLevel="2">
      <c r="A716" s="3"/>
      <c r="B716" s="3"/>
      <c r="C716" s="16"/>
      <c r="D716" s="1594"/>
      <c r="E716" s="61">
        <v>5</v>
      </c>
      <c r="F716" s="17"/>
      <c r="G716" s="17"/>
      <c r="H716" s="1414"/>
      <c r="I716" s="1414"/>
      <c r="J716" s="115"/>
      <c r="K716" s="115"/>
      <c r="L716" s="116"/>
      <c r="M716" s="18">
        <f>IF(A47taxstdlife="n/a","n/a",IF(M$3&gt;(A47taxstdlife+$E716),('RFM input'!$L$107-'RFM input'!$L$161)-SUM($L716:L716),('RFM input'!$L$107-'RFM input'!$L$161)/A47taxstdlife))</f>
        <v>0</v>
      </c>
      <c r="N716" s="18">
        <f>IF(A47taxstdlife="n/a","n/a",IF(N$3&gt;(A47taxstdlife+$E716),('RFM input'!$L$107-'RFM input'!$L$161)-SUM($L716:M716),('RFM input'!$L$107-'RFM input'!$L$161)/A47taxstdlife))</f>
        <v>0</v>
      </c>
      <c r="O716" s="18">
        <f>IF(A47taxstdlife="n/a","n/a",IF(O$3&gt;(A47taxstdlife+$E716),('RFM input'!$L$107-'RFM input'!$L$161)-SUM($L716:N716),('RFM input'!$L$107-'RFM input'!$L$161)/A47taxstdlife))</f>
        <v>0</v>
      </c>
      <c r="P716" s="18">
        <f>IF(A47taxstdlife="n/a","n/a",IF(P$3&gt;(A47taxstdlife+$E716),('RFM input'!$L$107-'RFM input'!$L$161)-SUM($L716:O716),('RFM input'!$L$107-'RFM input'!$L$161)/A47taxstdlife))</f>
        <v>0</v>
      </c>
      <c r="Q716" s="18">
        <f>IF(A47taxstdlife="n/a","n/a",IF(Q$3&gt;(A47taxstdlife+$E716),('RFM input'!$L$107-'RFM input'!$L$161)-SUM($L716:P716),('RFM input'!$L$107-'RFM input'!$L$161)/A47taxstdlife))</f>
        <v>0</v>
      </c>
      <c r="R716" s="18"/>
      <c r="S716" s="74"/>
      <c r="T716" s="74"/>
      <c r="U716" s="74"/>
      <c r="V716" s="74"/>
      <c r="W716" s="74"/>
      <c r="X716" s="74"/>
      <c r="Y716" s="74"/>
      <c r="Z716" s="74"/>
      <c r="AA716" s="152"/>
    </row>
    <row r="717" spans="1:27" ht="12.75" hidden="1" customHeight="1" outlineLevel="2">
      <c r="A717" s="3"/>
      <c r="B717" s="3"/>
      <c r="C717" s="16"/>
      <c r="D717" s="1594"/>
      <c r="E717" s="61">
        <v>6</v>
      </c>
      <c r="F717" s="17"/>
      <c r="G717" s="17"/>
      <c r="H717" s="1414"/>
      <c r="I717" s="1414"/>
      <c r="J717" s="115"/>
      <c r="K717" s="115"/>
      <c r="L717" s="115"/>
      <c r="M717" s="116"/>
      <c r="N717" s="18">
        <f>IF(A47taxstdlife="n/a","n/a",IF(N$3&gt;(A47taxstdlife+$E717),('RFM input'!$M$107-'RFM input'!$M$161)-SUM($M717:M717),('RFM input'!$M$107-'RFM input'!$M$161)/A47taxstdlife))</f>
        <v>0</v>
      </c>
      <c r="O717" s="18">
        <f>IF(A47taxstdlife="n/a","n/a",IF(O$3&gt;(A47taxstdlife+$E717),('RFM input'!$M$107-'RFM input'!$M$161)-SUM($M717:N717),('RFM input'!$M$107-'RFM input'!$M$161)/A47taxstdlife))</f>
        <v>0</v>
      </c>
      <c r="P717" s="18">
        <f>IF(A47taxstdlife="n/a","n/a",IF(P$3&gt;(A47taxstdlife+$E717),('RFM input'!$M$107-'RFM input'!$M$161)-SUM($M717:O717),('RFM input'!$M$107-'RFM input'!$M$161)/A47taxstdlife))</f>
        <v>0</v>
      </c>
      <c r="Q717" s="18">
        <f>IF(A47taxstdlife="n/a","n/a",IF(Q$3&gt;(A47taxstdlife+$E717),('RFM input'!$M$107-'RFM input'!$M$161)-SUM($M717:P717),('RFM input'!$M$107-'RFM input'!$M$161)/A47taxstdlife))</f>
        <v>0</v>
      </c>
      <c r="R717" s="18"/>
      <c r="S717" s="74"/>
      <c r="T717" s="74"/>
      <c r="U717" s="74"/>
      <c r="V717" s="74"/>
      <c r="W717" s="74"/>
      <c r="X717" s="74"/>
      <c r="Y717" s="74"/>
      <c r="Z717" s="74"/>
      <c r="AA717" s="152"/>
    </row>
    <row r="718" spans="1:27" ht="12.75" hidden="1" customHeight="1" outlineLevel="2">
      <c r="A718" s="3"/>
      <c r="B718" s="3"/>
      <c r="C718" s="16"/>
      <c r="D718" s="1594"/>
      <c r="E718" s="61">
        <v>7</v>
      </c>
      <c r="F718" s="17"/>
      <c r="G718" s="17"/>
      <c r="H718" s="1414"/>
      <c r="I718" s="1414"/>
      <c r="J718" s="115"/>
      <c r="K718" s="115"/>
      <c r="L718" s="115"/>
      <c r="M718" s="115"/>
      <c r="N718" s="116"/>
      <c r="O718" s="18">
        <f>IF(A47taxstdlife="n/a","n/a",IF(O$3&gt;(A47taxstdlife+$E718),('RFM input'!$N$107-'RFM input'!$N$161)-SUM($N718:N718),('RFM input'!$N$107-'RFM input'!$N$161)/A47taxstdlife))</f>
        <v>0</v>
      </c>
      <c r="P718" s="18">
        <f>IF(A47taxstdlife="n/a","n/a",IF(P$3&gt;(A47taxstdlife+$E718),('RFM input'!$N$107-'RFM input'!$N$161)-SUM($N718:O718),('RFM input'!$N$107-'RFM input'!$N$161)/A47taxstdlife))</f>
        <v>0</v>
      </c>
      <c r="Q718" s="18">
        <f>IF(A47taxstdlife="n/a","n/a",IF(Q$3&gt;(A47taxstdlife+$E718),('RFM input'!$N$107-'RFM input'!$N$161)-SUM($N718:P718),('RFM input'!$N$107-'RFM input'!$N$161)/A47taxstdlife))</f>
        <v>0</v>
      </c>
      <c r="R718" s="18"/>
      <c r="S718" s="74"/>
      <c r="T718" s="74"/>
      <c r="U718" s="74"/>
      <c r="V718" s="74"/>
      <c r="W718" s="74"/>
      <c r="X718" s="74"/>
      <c r="Y718" s="74"/>
      <c r="Z718" s="74"/>
      <c r="AA718" s="152"/>
    </row>
    <row r="719" spans="1:27" ht="12.75" hidden="1" customHeight="1" outlineLevel="2">
      <c r="A719" s="3"/>
      <c r="B719" s="3"/>
      <c r="C719" s="16"/>
      <c r="D719" s="1594"/>
      <c r="E719" s="61">
        <v>8</v>
      </c>
      <c r="F719" s="17"/>
      <c r="G719" s="17"/>
      <c r="H719" s="1414"/>
      <c r="I719" s="1414"/>
      <c r="J719" s="115"/>
      <c r="K719" s="115"/>
      <c r="L719" s="115"/>
      <c r="M719" s="115"/>
      <c r="N719" s="115"/>
      <c r="O719" s="116"/>
      <c r="P719" s="18">
        <f>IF(A47taxstdlife="n/a","n/a",IF(P$3&gt;(A47taxstdlife+$E719),('RFM input'!$O$107-'RFM input'!$O$161)-SUM($O719:O719),('RFM input'!$O$107-'RFM input'!$O$161)/A47taxstdlife))</f>
        <v>0</v>
      </c>
      <c r="Q719" s="18">
        <f>IF(A47taxstdlife="n/a","n/a",IF(Q$3&gt;(A47taxstdlife+$E719),('RFM input'!$O$107-'RFM input'!$O$161)-SUM($O719:P719),('RFM input'!$O$107-'RFM input'!$O$161)/A47taxstdlife))</f>
        <v>0</v>
      </c>
      <c r="R719" s="18"/>
      <c r="S719" s="74"/>
      <c r="T719" s="74"/>
      <c r="U719" s="74"/>
      <c r="V719" s="74"/>
      <c r="W719" s="74"/>
      <c r="X719" s="74"/>
      <c r="Y719" s="74"/>
      <c r="Z719" s="74"/>
      <c r="AA719" s="152"/>
    </row>
    <row r="720" spans="1:27" ht="12.75" hidden="1" customHeight="1" outlineLevel="2">
      <c r="A720" s="3"/>
      <c r="B720" s="3"/>
      <c r="C720" s="16"/>
      <c r="D720" s="1594"/>
      <c r="E720" s="61">
        <v>9</v>
      </c>
      <c r="F720" s="17"/>
      <c r="G720" s="17"/>
      <c r="H720" s="1414"/>
      <c r="I720" s="1414"/>
      <c r="J720" s="115"/>
      <c r="K720" s="115"/>
      <c r="L720" s="115"/>
      <c r="M720" s="115"/>
      <c r="N720" s="115"/>
      <c r="O720" s="115"/>
      <c r="P720" s="116"/>
      <c r="Q720" s="18">
        <f>IF(A47taxstdlife="n/a","n/a",IF(Q$3&gt;(A47taxstdlife+$E720),('RFM input'!$P$107-'RFM input'!$P$161)-SUM($P720:P720),('RFM input'!$P$107-'RFM input'!$P$161)/A47taxstdlife))</f>
        <v>0</v>
      </c>
      <c r="R720" s="18"/>
      <c r="S720" s="74"/>
      <c r="T720" s="74"/>
      <c r="U720" s="74"/>
      <c r="V720" s="74"/>
      <c r="W720" s="74"/>
      <c r="X720" s="74"/>
      <c r="Y720" s="74"/>
      <c r="Z720" s="74"/>
      <c r="AA720" s="152"/>
    </row>
    <row r="721" spans="1:27" ht="12.75" hidden="1" customHeight="1" outlineLevel="2">
      <c r="A721" s="3"/>
      <c r="B721" s="3"/>
      <c r="C721" s="16"/>
      <c r="D721" s="1594"/>
      <c r="E721" s="62">
        <v>10</v>
      </c>
      <c r="F721" s="17"/>
      <c r="G721" s="17"/>
      <c r="H721" s="1414"/>
      <c r="I721" s="1414"/>
      <c r="J721" s="115"/>
      <c r="K721" s="115"/>
      <c r="L721" s="115"/>
      <c r="M721" s="115"/>
      <c r="N721" s="115"/>
      <c r="O721" s="115"/>
      <c r="P721" s="115"/>
      <c r="Q721" s="116"/>
      <c r="R721" s="18"/>
      <c r="S721" s="74"/>
      <c r="T721" s="74"/>
      <c r="U721" s="74"/>
      <c r="V721" s="74"/>
      <c r="W721" s="74"/>
      <c r="X721" s="74"/>
      <c r="Y721" s="74"/>
      <c r="Z721" s="74"/>
      <c r="AA721" s="152"/>
    </row>
    <row r="722" spans="1:27" hidden="1" outlineLevel="1">
      <c r="A722" s="3"/>
      <c r="B722" s="3"/>
      <c r="C722" s="134">
        <f>Asset47</f>
        <v>0</v>
      </c>
      <c r="D722" s="3"/>
      <c r="E722" s="3"/>
      <c r="F722" s="14"/>
      <c r="G722" s="14"/>
      <c r="H722" s="1460">
        <f>IF('RFM input'!$G$354="Tracked",-1*INDEX('RFM input'!H$358:H$407,MATCH('TAB roll forward'!$C722,'RFM input'!$E$358:$E$407,0)),-SUM(H710:H721))</f>
        <v>0</v>
      </c>
      <c r="I722" s="1460">
        <f>IF('RFM input'!$G$354="Tracked",-1*INDEX('RFM input'!I$358:I$407,MATCH('TAB roll forward'!$C722,'RFM input'!$E$358:$E$407,0)),-SUM(I710:I721))</f>
        <v>0</v>
      </c>
      <c r="J722" s="1460">
        <f>IF(COUNT($H722:I722)&gt;='RFM input'!$V$7,0,IF('RFM input'!$G$354="Tracked",-1*INDEX('RFM input'!J$358:J$407,MATCH('TAB roll forward'!$C722,'RFM input'!$E$358:$E$407,0)),-SUM(J710:J721)))</f>
        <v>0</v>
      </c>
      <c r="K722" s="1460">
        <f>IF(COUNT($H722:J722)&gt;='RFM input'!$V$7,0,IF('RFM input'!$G$354="Tracked",-1*INDEX('RFM input'!K$358:K$407,MATCH('TAB roll forward'!$C722,'RFM input'!$E$358:$E$407,0)),-SUM(K710:K721)))</f>
        <v>0</v>
      </c>
      <c r="L722" s="1460">
        <f>IF(COUNT($H722:K722)&gt;='RFM input'!$V$7,0,IF('RFM input'!$G$354="Tracked",-1*INDEX('RFM input'!L$358:L$407,MATCH('TAB roll forward'!$C722,'RFM input'!$E$358:$E$407,0)),-SUM(L710:L721)))</f>
        <v>0</v>
      </c>
      <c r="M722" s="1460">
        <f>IF(COUNT($H722:L722)&gt;='RFM input'!$V$7,0,IF('RFM input'!$G$354="Tracked",-1*INDEX('RFM input'!M$358:M$407,MATCH('TAB roll forward'!$C722,'RFM input'!$E$358:$E$407,0)),-SUM(M710:M721)))</f>
        <v>0</v>
      </c>
      <c r="N722" s="1460">
        <f>IF(COUNT($H722:M722)&gt;='RFM input'!$V$7,0,IF('RFM input'!$G$354="Tracked",-1*INDEX('RFM input'!N$358:N$407,MATCH('TAB roll forward'!$C722,'RFM input'!$E$358:$E$407,0)),-SUM(N710:N721)))</f>
        <v>0</v>
      </c>
      <c r="O722" s="1460">
        <f>IF(COUNT($H722:N722)&gt;='RFM input'!$V$7,0,IF('RFM input'!$G$354="Tracked",-1*INDEX('RFM input'!O$358:O$407,MATCH('TAB roll forward'!$C722,'RFM input'!$E$358:$E$407,0)),-SUM(O710:O721)))</f>
        <v>0</v>
      </c>
      <c r="P722" s="1460">
        <f>IF(COUNT($H722:O722)&gt;='RFM input'!$V$7,0,IF('RFM input'!$G$354="Tracked",-1*INDEX('RFM input'!P$358:P$407,MATCH('TAB roll forward'!$C722,'RFM input'!$E$358:$E$407,0)),-SUM(P710:P721)))</f>
        <v>0</v>
      </c>
      <c r="Q722" s="1460">
        <f>IF(COUNT($H722:P722)&gt;='RFM input'!$V$7,0,IF('RFM input'!$G$354="Tracked",-1*INDEX('RFM input'!Q$358:Q$407,MATCH('TAB roll forward'!$C722,'RFM input'!$E$358:$E$407,0)),-SUM(Q710:Q721)))</f>
        <v>0</v>
      </c>
      <c r="R722" s="1382"/>
      <c r="S722" s="73"/>
      <c r="T722" s="73"/>
      <c r="U722" s="73"/>
      <c r="V722" s="73"/>
      <c r="W722" s="73"/>
      <c r="X722" s="73"/>
      <c r="Y722" s="73"/>
      <c r="Z722" s="73"/>
      <c r="AA722" s="152"/>
    </row>
    <row r="723" spans="1:27" ht="12.75" hidden="1" customHeight="1" outlineLevel="2">
      <c r="A723" s="3"/>
      <c r="B723" s="135">
        <f>Asset48</f>
        <v>0</v>
      </c>
      <c r="C723" s="19"/>
      <c r="D723" s="234" t="s">
        <v>119</v>
      </c>
      <c r="E723" s="19"/>
      <c r="F723" s="148"/>
      <c r="G723" s="148"/>
      <c r="H723" s="21">
        <f>IF(H$3&gt;A48taxremlife,A48taxvalue-SUM($F723:F723),IF(A48taxremlife="N/A","n/a",A48taxvalue/A48taxremlife))</f>
        <v>0</v>
      </c>
      <c r="I723" s="21">
        <f>IF(I$3&gt;A48taxremlife,A48taxvalue-SUM($F723:H723),IF(A48taxremlife="N/A","n/a",A48taxvalue/A48taxremlife))</f>
        <v>0</v>
      </c>
      <c r="J723" s="21">
        <f>IF(J$3&gt;A48taxremlife,A48taxvalue-SUM($F723:I723),IF(A48taxremlife="N/A","n/a",A48taxvalue/A48taxremlife))</f>
        <v>0</v>
      </c>
      <c r="K723" s="21">
        <f>IF(K$3&gt;A48taxremlife,A48taxvalue-SUM($F723:J723),IF(A48taxremlife="N/A","n/a",A48taxvalue/A48taxremlife))</f>
        <v>0</v>
      </c>
      <c r="L723" s="21">
        <f>IF(L$3&gt;A48taxremlife,A48taxvalue-SUM($F723:K723),IF(A48taxremlife="N/A","n/a",A48taxvalue/A48taxremlife))</f>
        <v>0</v>
      </c>
      <c r="M723" s="21">
        <f>IF(M$3&gt;A48taxremlife,A48taxvalue-SUM($F723:L723),IF(A48taxremlife="N/A","n/a",A48taxvalue/A48taxremlife))</f>
        <v>0</v>
      </c>
      <c r="N723" s="21">
        <f>IF(N$3&gt;A48taxremlife,A48taxvalue-SUM($F723:M723),IF(A48taxremlife="N/A","n/a",A48taxvalue/A48taxremlife))</f>
        <v>0</v>
      </c>
      <c r="O723" s="21">
        <f>IF(O$3&gt;A48taxremlife,A48taxvalue-SUM($F723:N723),IF(A48taxremlife="N/A","n/a",A48taxvalue/A48taxremlife))</f>
        <v>0</v>
      </c>
      <c r="P723" s="21">
        <f>IF(P$3&gt;A48taxremlife,A48taxvalue-SUM($F723:O723),IF(A48taxremlife="N/A","n/a",A48taxvalue/A48taxremlife))</f>
        <v>0</v>
      </c>
      <c r="Q723" s="21">
        <f>IF(Q$3&gt;A48taxremlife,A48taxvalue-SUM($F723:P723),IF(A48taxremlife="N/A","n/a",A48taxvalue/A48taxremlife))</f>
        <v>0</v>
      </c>
      <c r="R723" s="21"/>
      <c r="S723" s="74"/>
      <c r="T723" s="74"/>
      <c r="U723" s="74"/>
      <c r="V723" s="74"/>
      <c r="W723" s="74"/>
      <c r="X723" s="74"/>
      <c r="Y723" s="74"/>
      <c r="Z723" s="74"/>
      <c r="AA723" s="152"/>
    </row>
    <row r="724" spans="1:27" ht="12.75" hidden="1" customHeight="1" outlineLevel="2">
      <c r="A724" s="3"/>
      <c r="B724" s="3"/>
      <c r="C724" s="16"/>
      <c r="D724" s="1593" t="s">
        <v>43</v>
      </c>
      <c r="E724" s="61"/>
      <c r="F724" s="17"/>
      <c r="G724" s="17"/>
      <c r="H724" s="1413"/>
      <c r="I724" s="72"/>
      <c r="J724" s="18"/>
      <c r="K724" s="18"/>
      <c r="L724" s="18"/>
      <c r="M724" s="18"/>
      <c r="N724" s="18"/>
      <c r="O724" s="18"/>
      <c r="P724" s="18"/>
      <c r="Q724" s="18"/>
      <c r="R724" s="18"/>
      <c r="S724" s="74"/>
      <c r="T724" s="74"/>
      <c r="U724" s="74"/>
      <c r="V724" s="74"/>
      <c r="W724" s="74"/>
      <c r="X724" s="74"/>
      <c r="Y724" s="74"/>
      <c r="Z724" s="74"/>
      <c r="AA724" s="152"/>
    </row>
    <row r="725" spans="1:27" ht="12.75" hidden="1" customHeight="1" outlineLevel="2">
      <c r="A725" s="3"/>
      <c r="B725" s="3"/>
      <c r="C725" s="16"/>
      <c r="D725" s="1594"/>
      <c r="E725" s="61">
        <v>1</v>
      </c>
      <c r="F725" s="17"/>
      <c r="G725" s="17"/>
      <c r="H725" s="1414"/>
      <c r="I725" s="1415">
        <f>IF(A48taxstdlife="n/a","n/a",IF(I$3&gt;(A48taxstdlife+$E725),('RFM input'!$H$108-'RFM input'!$H$162)-SUM($H725:H725),('RFM input'!$H$108-'RFM input'!$H$162)/A48taxstdlife))</f>
        <v>0</v>
      </c>
      <c r="J725" s="18">
        <f>IF(A48taxstdlife="n/a","n/a",IF(J$3&gt;(A48taxstdlife+$E725),('RFM input'!$H$108-'RFM input'!$H$162)-SUM($H725:I725),('RFM input'!$H$108-'RFM input'!$H$162)/A48taxstdlife))</f>
        <v>0</v>
      </c>
      <c r="K725" s="18">
        <f>IF(A48taxstdlife="n/a","n/a",IF(K$3&gt;(A48taxstdlife+$E725),('RFM input'!$H$108-'RFM input'!$H$162)-SUM($H725:J725),('RFM input'!$H$108-'RFM input'!$H$162)/A48taxstdlife))</f>
        <v>0</v>
      </c>
      <c r="L725" s="18">
        <f>IF(A48taxstdlife="n/a","n/a",IF(L$3&gt;(A48taxstdlife+$E725),('RFM input'!$H$108-'RFM input'!$H$162)-SUM($H725:K725),('RFM input'!$H$108-'RFM input'!$H$162)/A48taxstdlife))</f>
        <v>0</v>
      </c>
      <c r="M725" s="18">
        <f>IF(A48taxstdlife="n/a","n/a",IF(M$3&gt;(A48taxstdlife+$E725),('RFM input'!$H$108-'RFM input'!$H$162)-SUM($H725:L725),('RFM input'!$H$108-'RFM input'!$H$162)/A48taxstdlife))</f>
        <v>0</v>
      </c>
      <c r="N725" s="18">
        <f>IF(A48taxstdlife="n/a","n/a",IF(N$3&gt;(A48taxstdlife+$E725),('RFM input'!$H$108-'RFM input'!$H$162)-SUM($H725:M725),('RFM input'!$H$108-'RFM input'!$H$162)/A48taxstdlife))</f>
        <v>0</v>
      </c>
      <c r="O725" s="18">
        <f>IF(A48taxstdlife="n/a","n/a",IF(O$3&gt;(A48taxstdlife+$E725),('RFM input'!$H$108-'RFM input'!$H$162)-SUM($H725:N725),('RFM input'!$H$108-'RFM input'!$H$162)/A48taxstdlife))</f>
        <v>0</v>
      </c>
      <c r="P725" s="18">
        <f>IF(A48taxstdlife="n/a","n/a",IF(P$3&gt;(A48taxstdlife+$E725),('RFM input'!$H$108-'RFM input'!$H$162)-SUM($H725:O725),('RFM input'!$H$108-'RFM input'!$H$162)/A48taxstdlife))</f>
        <v>0</v>
      </c>
      <c r="Q725" s="18">
        <f>IF(A48taxstdlife="n/a","n/a",IF(Q$3&gt;(A48taxstdlife+$E725),('RFM input'!$H$108-'RFM input'!$H$162)-SUM($H725:P725),('RFM input'!$H$108-'RFM input'!$H$162)/A48taxstdlife))</f>
        <v>0</v>
      </c>
      <c r="R725" s="18"/>
      <c r="S725" s="74"/>
      <c r="T725" s="74"/>
      <c r="U725" s="74"/>
      <c r="V725" s="74"/>
      <c r="W725" s="74"/>
      <c r="X725" s="74"/>
      <c r="Y725" s="74"/>
      <c r="Z725" s="74"/>
      <c r="AA725" s="152"/>
    </row>
    <row r="726" spans="1:27" ht="12.75" hidden="1" customHeight="1" outlineLevel="2">
      <c r="A726" s="3"/>
      <c r="B726" s="3"/>
      <c r="C726" s="16"/>
      <c r="D726" s="1594"/>
      <c r="E726" s="61">
        <v>2</v>
      </c>
      <c r="F726" s="17"/>
      <c r="G726" s="17"/>
      <c r="H726" s="1414"/>
      <c r="I726" s="1414"/>
      <c r="J726" s="18">
        <f>IF(A48taxstdlife="n/a","n/a",IF(J$3&gt;(A48taxstdlife+$E726),('RFM input'!$I$108-'RFM input'!$I$162)-SUM($I726:I726),('RFM input'!$I$108-'RFM input'!$I$162)/A48taxstdlife))</f>
        <v>0</v>
      </c>
      <c r="K726" s="18">
        <f>IF(A48taxstdlife="n/a","n/a",IF(K$3&gt;(A48taxstdlife+$E726),('RFM input'!$I$108-'RFM input'!$I$162)-SUM($I726:J726),('RFM input'!$I$108-'RFM input'!$I$162)/A48taxstdlife))</f>
        <v>0</v>
      </c>
      <c r="L726" s="18">
        <f>IF(A48taxstdlife="n/a","n/a",IF(L$3&gt;(A48taxstdlife+$E726),('RFM input'!$I$108-'RFM input'!$I$162)-SUM($I726:K726),('RFM input'!$I$108-'RFM input'!$I$162)/A48taxstdlife))</f>
        <v>0</v>
      </c>
      <c r="M726" s="18">
        <f>IF(A48taxstdlife="n/a","n/a",IF(M$3&gt;(A48taxstdlife+$E726),('RFM input'!$I$108-'RFM input'!$I$162)-SUM($I726:L726),('RFM input'!$I$108-'RFM input'!$I$162)/A48taxstdlife))</f>
        <v>0</v>
      </c>
      <c r="N726" s="18">
        <f>IF(A48taxstdlife="n/a","n/a",IF(N$3&gt;(A48taxstdlife+$E726),('RFM input'!$I$108-'RFM input'!$I$162)-SUM($I726:M726),('RFM input'!$I$108-'RFM input'!$I$162)/A48taxstdlife))</f>
        <v>0</v>
      </c>
      <c r="O726" s="18">
        <f>IF(A48taxstdlife="n/a","n/a",IF(O$3&gt;(A48taxstdlife+$E726),('RFM input'!$I$108-'RFM input'!$I$162)-SUM($I726:N726),('RFM input'!$I$108-'RFM input'!$I$162)/A48taxstdlife))</f>
        <v>0</v>
      </c>
      <c r="P726" s="18">
        <f>IF(A48taxstdlife="n/a","n/a",IF(P$3&gt;(A48taxstdlife+$E726),('RFM input'!$I$108-'RFM input'!$I$162)-SUM($I726:O726),('RFM input'!$I$108-'RFM input'!$I$162)/A48taxstdlife))</f>
        <v>0</v>
      </c>
      <c r="Q726" s="18">
        <f>IF(A48taxstdlife="n/a","n/a",IF(Q$3&gt;(A48taxstdlife+$E726),('RFM input'!$I$108-'RFM input'!$I$162)-SUM($I726:P726),('RFM input'!$I$108-'RFM input'!$I$162)/A48taxstdlife))</f>
        <v>0</v>
      </c>
      <c r="R726" s="18"/>
      <c r="S726" s="74"/>
      <c r="T726" s="74"/>
      <c r="U726" s="74"/>
      <c r="V726" s="74"/>
      <c r="W726" s="74"/>
      <c r="X726" s="74"/>
      <c r="Y726" s="74"/>
      <c r="Z726" s="74"/>
      <c r="AA726" s="152"/>
    </row>
    <row r="727" spans="1:27" ht="12.75" hidden="1" customHeight="1" outlineLevel="2">
      <c r="A727" s="3"/>
      <c r="B727" s="3"/>
      <c r="C727" s="16"/>
      <c r="D727" s="1594"/>
      <c r="E727" s="61">
        <v>3</v>
      </c>
      <c r="F727" s="17"/>
      <c r="G727" s="17"/>
      <c r="H727" s="1414"/>
      <c r="I727" s="1414"/>
      <c r="J727" s="116"/>
      <c r="K727" s="18">
        <f>IF(A48taxstdlife="n/a","n/a",IF(K$3&gt;(A48taxstdlife+$E727),('RFM input'!$J$108-'RFM input'!$J$162)-SUM($J727:J727),('RFM input'!$J$108-'RFM input'!$J$162)/A48taxstdlife))</f>
        <v>0</v>
      </c>
      <c r="L727" s="18">
        <f>IF(A48taxstdlife="n/a","n/a",IF(L$3&gt;(A48taxstdlife+$E727),('RFM input'!$J$108-'RFM input'!$J$162)-SUM($J727:K727),('RFM input'!$J$108-'RFM input'!$J$162)/A48taxstdlife))</f>
        <v>0</v>
      </c>
      <c r="M727" s="18">
        <f>IF(A48taxstdlife="n/a","n/a",IF(M$3&gt;(A48taxstdlife+$E727),('RFM input'!$J$108-'RFM input'!$J$162)-SUM($J727:L727),('RFM input'!$J$108-'RFM input'!$J$162)/A48taxstdlife))</f>
        <v>0</v>
      </c>
      <c r="N727" s="18">
        <f>IF(A48taxstdlife="n/a","n/a",IF(N$3&gt;(A48taxstdlife+$E727),('RFM input'!$J$108-'RFM input'!$J$162)-SUM($J727:M727),('RFM input'!$J$108-'RFM input'!$J$162)/A48taxstdlife))</f>
        <v>0</v>
      </c>
      <c r="O727" s="18">
        <f>IF(A48taxstdlife="n/a","n/a",IF(O$3&gt;(A48taxstdlife+$E727),('RFM input'!$J$108-'RFM input'!$J$162)-SUM($J727:N727),('RFM input'!$J$108-'RFM input'!$J$162)/A48taxstdlife))</f>
        <v>0</v>
      </c>
      <c r="P727" s="18">
        <f>IF(A48taxstdlife="n/a","n/a",IF(P$3&gt;(A48taxstdlife+$E727),('RFM input'!$J$108-'RFM input'!$J$162)-SUM($J727:O727),('RFM input'!$J$108-'RFM input'!$J$162)/A48taxstdlife))</f>
        <v>0</v>
      </c>
      <c r="Q727" s="18">
        <f>IF(A48taxstdlife="n/a","n/a",IF(Q$3&gt;(A48taxstdlife+$E727),('RFM input'!$J$108-'RFM input'!$J$162)-SUM($J727:P727),('RFM input'!$J$108-'RFM input'!$J$162)/A48taxstdlife))</f>
        <v>0</v>
      </c>
      <c r="R727" s="18"/>
      <c r="S727" s="74"/>
      <c r="T727" s="74"/>
      <c r="U727" s="74"/>
      <c r="V727" s="74"/>
      <c r="W727" s="74"/>
      <c r="X727" s="74"/>
      <c r="Y727" s="74"/>
      <c r="Z727" s="74"/>
      <c r="AA727" s="152"/>
    </row>
    <row r="728" spans="1:27" ht="12.75" hidden="1" customHeight="1" outlineLevel="2">
      <c r="A728" s="3"/>
      <c r="B728" s="3"/>
      <c r="C728" s="16"/>
      <c r="D728" s="1594"/>
      <c r="E728" s="61">
        <v>4</v>
      </c>
      <c r="F728" s="17"/>
      <c r="G728" s="17"/>
      <c r="H728" s="1414"/>
      <c r="I728" s="1414"/>
      <c r="J728" s="115"/>
      <c r="K728" s="116"/>
      <c r="L728" s="18">
        <f>IF(A48taxstdlife="n/a","n/a",IF(L$3&gt;(A48taxstdlife+$E728),('RFM input'!$K$108-'RFM input'!$K$162)-SUM($K728:K728),('RFM input'!$K$108-'RFM input'!$K$162)/A48taxstdlife))</f>
        <v>0</v>
      </c>
      <c r="M728" s="18">
        <f>IF(A48taxstdlife="n/a","n/a",IF(M$3&gt;(A48taxstdlife+$E728),('RFM input'!$K$108-'RFM input'!$K$162)-SUM($K728:L728),('RFM input'!$K$108-'RFM input'!$K$162)/A48taxstdlife))</f>
        <v>0</v>
      </c>
      <c r="N728" s="18">
        <f>IF(A48taxstdlife="n/a","n/a",IF(N$3&gt;(A48taxstdlife+$E728),('RFM input'!$K$108-'RFM input'!$K$162)-SUM($K728:M728),('RFM input'!$K$108-'RFM input'!$K$162)/A48taxstdlife))</f>
        <v>0</v>
      </c>
      <c r="O728" s="18">
        <f>IF(A48taxstdlife="n/a","n/a",IF(O$3&gt;(A48taxstdlife+$E728),('RFM input'!$K$108-'RFM input'!$K$162)-SUM($K728:N728),('RFM input'!$K$108-'RFM input'!$K$162)/A48taxstdlife))</f>
        <v>0</v>
      </c>
      <c r="P728" s="18">
        <f>IF(A48taxstdlife="n/a","n/a",IF(P$3&gt;(A48taxstdlife+$E728),('RFM input'!$K$108-'RFM input'!$K$162)-SUM($K728:O728),('RFM input'!$K$108-'RFM input'!$K$162)/A48taxstdlife))</f>
        <v>0</v>
      </c>
      <c r="Q728" s="18">
        <f>IF(A48taxstdlife="n/a","n/a",IF(Q$3&gt;(A48taxstdlife+$E728),('RFM input'!$K$108-'RFM input'!$K$162)-SUM($K728:P728),('RFM input'!$K$108-'RFM input'!$K$162)/A48taxstdlife))</f>
        <v>0</v>
      </c>
      <c r="R728" s="18"/>
      <c r="S728" s="74"/>
      <c r="T728" s="74"/>
      <c r="U728" s="74"/>
      <c r="V728" s="74"/>
      <c r="W728" s="74"/>
      <c r="X728" s="74"/>
      <c r="Y728" s="74"/>
      <c r="Z728" s="74"/>
      <c r="AA728" s="152"/>
    </row>
    <row r="729" spans="1:27" ht="12.75" hidden="1" customHeight="1" outlineLevel="2">
      <c r="A729" s="3"/>
      <c r="B729" s="3"/>
      <c r="C729" s="16"/>
      <c r="D729" s="1594"/>
      <c r="E729" s="61">
        <v>5</v>
      </c>
      <c r="F729" s="17"/>
      <c r="G729" s="17"/>
      <c r="H729" s="1414"/>
      <c r="I729" s="1414"/>
      <c r="J729" s="115"/>
      <c r="K729" s="115"/>
      <c r="L729" s="116"/>
      <c r="M729" s="18">
        <f>IF(A48taxstdlife="n/a","n/a",IF(M$3&gt;(A48taxstdlife+$E729),('RFM input'!$L$108-'RFM input'!$L$162)-SUM($L729:L729),('RFM input'!$L$108-'RFM input'!$L$162)/A48taxstdlife))</f>
        <v>0</v>
      </c>
      <c r="N729" s="18">
        <f>IF(A48taxstdlife="n/a","n/a",IF(N$3&gt;(A48taxstdlife+$E729),('RFM input'!$L$108-'RFM input'!$L$162)-SUM($L729:M729),('RFM input'!$L$108-'RFM input'!$L$162)/A48taxstdlife))</f>
        <v>0</v>
      </c>
      <c r="O729" s="18">
        <f>IF(A48taxstdlife="n/a","n/a",IF(O$3&gt;(A48taxstdlife+$E729),('RFM input'!$L$108-'RFM input'!$L$162)-SUM($L729:N729),('RFM input'!$L$108-'RFM input'!$L$162)/A48taxstdlife))</f>
        <v>0</v>
      </c>
      <c r="P729" s="18">
        <f>IF(A48taxstdlife="n/a","n/a",IF(P$3&gt;(A48taxstdlife+$E729),('RFM input'!$L$108-'RFM input'!$L$162)-SUM($L729:O729),('RFM input'!$L$108-'RFM input'!$L$162)/A48taxstdlife))</f>
        <v>0</v>
      </c>
      <c r="Q729" s="18">
        <f>IF(A48taxstdlife="n/a","n/a",IF(Q$3&gt;(A48taxstdlife+$E729),('RFM input'!$L$108-'RFM input'!$L$162)-SUM($L729:P729),('RFM input'!$L$108-'RFM input'!$L$162)/A48taxstdlife))</f>
        <v>0</v>
      </c>
      <c r="R729" s="18"/>
      <c r="S729" s="74"/>
      <c r="T729" s="74"/>
      <c r="U729" s="74"/>
      <c r="V729" s="74"/>
      <c r="W729" s="74"/>
      <c r="X729" s="74"/>
      <c r="Y729" s="74"/>
      <c r="Z729" s="74"/>
      <c r="AA729" s="152"/>
    </row>
    <row r="730" spans="1:27" ht="12.75" hidden="1" customHeight="1" outlineLevel="2">
      <c r="A730" s="3"/>
      <c r="B730" s="3"/>
      <c r="C730" s="16"/>
      <c r="D730" s="1594"/>
      <c r="E730" s="61">
        <v>6</v>
      </c>
      <c r="F730" s="17"/>
      <c r="G730" s="17"/>
      <c r="H730" s="1414"/>
      <c r="I730" s="1414"/>
      <c r="J730" s="115"/>
      <c r="K730" s="115"/>
      <c r="L730" s="115"/>
      <c r="M730" s="116"/>
      <c r="N730" s="18">
        <f>IF(A48taxstdlife="n/a","n/a",IF(N$3&gt;(A48taxstdlife+$E730),('RFM input'!$M$108-'RFM input'!$M$162)-SUM($M730:M730),('RFM input'!$M$108-'RFM input'!$M$162)/A48taxstdlife))</f>
        <v>0</v>
      </c>
      <c r="O730" s="18">
        <f>IF(A48taxstdlife="n/a","n/a",IF(O$3&gt;(A48taxstdlife+$E730),('RFM input'!$M$108-'RFM input'!$M$162)-SUM($M730:N730),('RFM input'!$M$108-'RFM input'!$M$162)/A48taxstdlife))</f>
        <v>0</v>
      </c>
      <c r="P730" s="18">
        <f>IF(A48taxstdlife="n/a","n/a",IF(P$3&gt;(A48taxstdlife+$E730),('RFM input'!$M$108-'RFM input'!$M$162)-SUM($M730:O730),('RFM input'!$M$108-'RFM input'!$M$162)/A48taxstdlife))</f>
        <v>0</v>
      </c>
      <c r="Q730" s="18">
        <f>IF(A48taxstdlife="n/a","n/a",IF(Q$3&gt;(A48taxstdlife+$E730),('RFM input'!$M$108-'RFM input'!$M$162)-SUM($M730:P730),('RFM input'!$M$108-'RFM input'!$M$162)/A48taxstdlife))</f>
        <v>0</v>
      </c>
      <c r="R730" s="18"/>
      <c r="S730" s="74"/>
      <c r="T730" s="74"/>
      <c r="U730" s="74"/>
      <c r="V730" s="74"/>
      <c r="W730" s="74"/>
      <c r="X730" s="74"/>
      <c r="Y730" s="74"/>
      <c r="Z730" s="74"/>
      <c r="AA730" s="152"/>
    </row>
    <row r="731" spans="1:27" ht="12.75" hidden="1" customHeight="1" outlineLevel="2">
      <c r="A731" s="3"/>
      <c r="B731" s="3"/>
      <c r="C731" s="16"/>
      <c r="D731" s="1594"/>
      <c r="E731" s="61">
        <v>7</v>
      </c>
      <c r="F731" s="17"/>
      <c r="G731" s="17"/>
      <c r="H731" s="1414"/>
      <c r="I731" s="1414"/>
      <c r="J731" s="115"/>
      <c r="K731" s="115"/>
      <c r="L731" s="115"/>
      <c r="M731" s="115"/>
      <c r="N731" s="116"/>
      <c r="O731" s="18">
        <f>IF(A48taxstdlife="n/a","n/a",IF(O$3&gt;(A48taxstdlife+$E731),('RFM input'!$N$108-'RFM input'!$N$162)-SUM($N731:N731),('RFM input'!$N$108-'RFM input'!$N$162)/A48taxstdlife))</f>
        <v>0</v>
      </c>
      <c r="P731" s="18">
        <f>IF(A48taxstdlife="n/a","n/a",IF(P$3&gt;(A48taxstdlife+$E731),('RFM input'!$N$108-'RFM input'!$N$162)-SUM($N731:O731),('RFM input'!$N$108-'RFM input'!$N$162)/A48taxstdlife))</f>
        <v>0</v>
      </c>
      <c r="Q731" s="18">
        <f>IF(A48taxstdlife="n/a","n/a",IF(Q$3&gt;(A48taxstdlife+$E731),('RFM input'!$N$108-'RFM input'!$N$162)-SUM($N731:P731),('RFM input'!$N$108-'RFM input'!$N$162)/A48taxstdlife))</f>
        <v>0</v>
      </c>
      <c r="R731" s="18"/>
      <c r="S731" s="74"/>
      <c r="T731" s="74"/>
      <c r="U731" s="74"/>
      <c r="V731" s="74"/>
      <c r="W731" s="74"/>
      <c r="X731" s="74"/>
      <c r="Y731" s="74"/>
      <c r="Z731" s="74"/>
      <c r="AA731" s="152"/>
    </row>
    <row r="732" spans="1:27" ht="12.75" hidden="1" customHeight="1" outlineLevel="2">
      <c r="A732" s="3"/>
      <c r="B732" s="3"/>
      <c r="C732" s="16"/>
      <c r="D732" s="1594"/>
      <c r="E732" s="61">
        <v>8</v>
      </c>
      <c r="F732" s="17"/>
      <c r="G732" s="17"/>
      <c r="H732" s="1414"/>
      <c r="I732" s="1414"/>
      <c r="J732" s="115"/>
      <c r="K732" s="115"/>
      <c r="L732" s="115"/>
      <c r="M732" s="115"/>
      <c r="N732" s="115"/>
      <c r="O732" s="116"/>
      <c r="P732" s="18">
        <f>IF(A48taxstdlife="n/a","n/a",IF(P$3&gt;(A48taxstdlife+$E732),('RFM input'!$O$108-'RFM input'!$O$162)-SUM($O732:O732),('RFM input'!$O$108-'RFM input'!$O$162)/A48taxstdlife))</f>
        <v>0</v>
      </c>
      <c r="Q732" s="18">
        <f>IF(A48taxstdlife="n/a","n/a",IF(Q$3&gt;(A48taxstdlife+$E732),('RFM input'!$O$108-'RFM input'!$O$162)-SUM($O732:P732),('RFM input'!$O$108-'RFM input'!$O$162)/A48taxstdlife))</f>
        <v>0</v>
      </c>
      <c r="R732" s="18"/>
      <c r="S732" s="74"/>
      <c r="T732" s="74"/>
      <c r="U732" s="74"/>
      <c r="V732" s="74"/>
      <c r="W732" s="74"/>
      <c r="X732" s="74"/>
      <c r="Y732" s="74"/>
      <c r="Z732" s="74"/>
      <c r="AA732" s="152"/>
    </row>
    <row r="733" spans="1:27" ht="12.75" hidden="1" customHeight="1" outlineLevel="2">
      <c r="A733" s="3"/>
      <c r="B733" s="3"/>
      <c r="C733" s="16"/>
      <c r="D733" s="1594"/>
      <c r="E733" s="61">
        <v>9</v>
      </c>
      <c r="F733" s="17"/>
      <c r="G733" s="17"/>
      <c r="H733" s="1414"/>
      <c r="I733" s="1414"/>
      <c r="J733" s="115"/>
      <c r="K733" s="115"/>
      <c r="L733" s="115"/>
      <c r="M733" s="115"/>
      <c r="N733" s="115"/>
      <c r="O733" s="115"/>
      <c r="P733" s="116"/>
      <c r="Q733" s="18">
        <f>IF(A48taxstdlife="n/a","n/a",IF(Q$3&gt;(A48taxstdlife+$E733),('RFM input'!$P$108-'RFM input'!$P$162)-SUM($P733:P733),('RFM input'!$P$108-'RFM input'!$P$162)/A48taxstdlife))</f>
        <v>0</v>
      </c>
      <c r="R733" s="18"/>
      <c r="S733" s="74"/>
      <c r="T733" s="74"/>
      <c r="U733" s="74"/>
      <c r="V733" s="74"/>
      <c r="W733" s="74"/>
      <c r="X733" s="74"/>
      <c r="Y733" s="74"/>
      <c r="Z733" s="74"/>
      <c r="AA733" s="152"/>
    </row>
    <row r="734" spans="1:27" ht="12.75" hidden="1" customHeight="1" outlineLevel="2">
      <c r="A734" s="3"/>
      <c r="B734" s="3"/>
      <c r="C734" s="16"/>
      <c r="D734" s="1594"/>
      <c r="E734" s="62">
        <v>10</v>
      </c>
      <c r="F734" s="17"/>
      <c r="G734" s="17"/>
      <c r="H734" s="1414"/>
      <c r="I734" s="1414"/>
      <c r="J734" s="115"/>
      <c r="K734" s="115"/>
      <c r="L734" s="115"/>
      <c r="M734" s="115"/>
      <c r="N734" s="115"/>
      <c r="O734" s="115"/>
      <c r="P734" s="115"/>
      <c r="Q734" s="116"/>
      <c r="R734" s="18"/>
      <c r="S734" s="74"/>
      <c r="T734" s="74"/>
      <c r="U734" s="74"/>
      <c r="V734" s="74"/>
      <c r="W734" s="74"/>
      <c r="X734" s="74"/>
      <c r="Y734" s="74"/>
      <c r="Z734" s="74"/>
      <c r="AA734" s="152"/>
    </row>
    <row r="735" spans="1:27" hidden="1" outlineLevel="1">
      <c r="A735" s="3"/>
      <c r="B735" s="3"/>
      <c r="C735" s="134">
        <f>Asset48</f>
        <v>0</v>
      </c>
      <c r="D735" s="3"/>
      <c r="E735" s="3"/>
      <c r="F735" s="14"/>
      <c r="G735" s="14"/>
      <c r="H735" s="1460">
        <f>IF('RFM input'!$G$354="Tracked",-1*INDEX('RFM input'!H$358:H$407,MATCH('TAB roll forward'!$C735,'RFM input'!$E$358:$E$407,0)),-SUM(H723:H734))</f>
        <v>0</v>
      </c>
      <c r="I735" s="1460">
        <f>IF('RFM input'!$G$354="Tracked",-1*INDEX('RFM input'!I$358:I$407,MATCH('TAB roll forward'!$C735,'RFM input'!$E$358:$E$407,0)),-SUM(I723:I734))</f>
        <v>0</v>
      </c>
      <c r="J735" s="1460">
        <f>IF(COUNT($H735:I735)&gt;='RFM input'!$V$7,0,IF('RFM input'!$G$354="Tracked",-1*INDEX('RFM input'!J$358:J$407,MATCH('TAB roll forward'!$C735,'RFM input'!$E$358:$E$407,0)),-SUM(J723:J734)))</f>
        <v>0</v>
      </c>
      <c r="K735" s="1460">
        <f>IF(COUNT($H735:J735)&gt;='RFM input'!$V$7,0,IF('RFM input'!$G$354="Tracked",-1*INDEX('RFM input'!K$358:K$407,MATCH('TAB roll forward'!$C735,'RFM input'!$E$358:$E$407,0)),-SUM(K723:K734)))</f>
        <v>0</v>
      </c>
      <c r="L735" s="1460">
        <f>IF(COUNT($H735:K735)&gt;='RFM input'!$V$7,0,IF('RFM input'!$G$354="Tracked",-1*INDEX('RFM input'!L$358:L$407,MATCH('TAB roll forward'!$C735,'RFM input'!$E$358:$E$407,0)),-SUM(L723:L734)))</f>
        <v>0</v>
      </c>
      <c r="M735" s="1460">
        <f>IF(COUNT($H735:L735)&gt;='RFM input'!$V$7,0,IF('RFM input'!$G$354="Tracked",-1*INDEX('RFM input'!M$358:M$407,MATCH('TAB roll forward'!$C735,'RFM input'!$E$358:$E$407,0)),-SUM(M723:M734)))</f>
        <v>0</v>
      </c>
      <c r="N735" s="1460">
        <f>IF(COUNT($H735:M735)&gt;='RFM input'!$V$7,0,IF('RFM input'!$G$354="Tracked",-1*INDEX('RFM input'!N$358:N$407,MATCH('TAB roll forward'!$C735,'RFM input'!$E$358:$E$407,0)),-SUM(N723:N734)))</f>
        <v>0</v>
      </c>
      <c r="O735" s="1460">
        <f>IF(COUNT($H735:N735)&gt;='RFM input'!$V$7,0,IF('RFM input'!$G$354="Tracked",-1*INDEX('RFM input'!O$358:O$407,MATCH('TAB roll forward'!$C735,'RFM input'!$E$358:$E$407,0)),-SUM(O723:O734)))</f>
        <v>0</v>
      </c>
      <c r="P735" s="1460">
        <f>IF(COUNT($H735:O735)&gt;='RFM input'!$V$7,0,IF('RFM input'!$G$354="Tracked",-1*INDEX('RFM input'!P$358:P$407,MATCH('TAB roll forward'!$C735,'RFM input'!$E$358:$E$407,0)),-SUM(P723:P734)))</f>
        <v>0</v>
      </c>
      <c r="Q735" s="1460">
        <f>IF(COUNT($H735:P735)&gt;='RFM input'!$V$7,0,IF('RFM input'!$G$354="Tracked",-1*INDEX('RFM input'!Q$358:Q$407,MATCH('TAB roll forward'!$C735,'RFM input'!$E$358:$E$407,0)),-SUM(Q723:Q734)))</f>
        <v>0</v>
      </c>
      <c r="R735" s="1382"/>
      <c r="S735" s="73"/>
      <c r="T735" s="73"/>
      <c r="U735" s="73"/>
      <c r="V735" s="73"/>
      <c r="W735" s="73"/>
      <c r="X735" s="73"/>
      <c r="Y735" s="73"/>
      <c r="Z735" s="73"/>
      <c r="AA735" s="152"/>
    </row>
    <row r="736" spans="1:27" ht="12.75" hidden="1" customHeight="1" outlineLevel="2">
      <c r="A736" s="3"/>
      <c r="B736" s="135">
        <f>Asset49</f>
        <v>0</v>
      </c>
      <c r="C736" s="19"/>
      <c r="D736" s="234" t="s">
        <v>119</v>
      </c>
      <c r="E736" s="19"/>
      <c r="F736" s="148"/>
      <c r="G736" s="148"/>
      <c r="H736" s="21">
        <f>IF(H$3&gt;A49taxremlife,A49taxvalue-SUM($F736:F736),IF(A49taxremlife="N/A","n/a",A49taxvalue/A49taxremlife))</f>
        <v>0</v>
      </c>
      <c r="I736" s="21">
        <f>IF(I$3&gt;A49taxremlife,A49taxvalue-SUM($F736:H736),IF(A49taxremlife="N/A","n/a",A49taxvalue/A49taxremlife))</f>
        <v>0</v>
      </c>
      <c r="J736" s="21">
        <f>IF(J$3&gt;A49taxremlife,A49taxvalue-SUM($F736:I736),IF(A49taxremlife="N/A","n/a",A49taxvalue/A49taxremlife))</f>
        <v>0</v>
      </c>
      <c r="K736" s="21">
        <f>IF(K$3&gt;A49taxremlife,A49taxvalue-SUM($F736:J736),IF(A49taxremlife="N/A","n/a",A49taxvalue/A49taxremlife))</f>
        <v>0</v>
      </c>
      <c r="L736" s="21">
        <f>IF(L$3&gt;A49taxremlife,A49taxvalue-SUM($F736:K736),IF(A49taxremlife="N/A","n/a",A49taxvalue/A49taxremlife))</f>
        <v>0</v>
      </c>
      <c r="M736" s="21">
        <f>IF(M$3&gt;A49taxremlife,A49taxvalue-SUM($F736:L736),IF(A49taxremlife="N/A","n/a",A49taxvalue/A49taxremlife))</f>
        <v>0</v>
      </c>
      <c r="N736" s="21">
        <f>IF(N$3&gt;A49taxremlife,A49taxvalue-SUM($F736:M736),IF(A49taxremlife="N/A","n/a",A49taxvalue/A49taxremlife))</f>
        <v>0</v>
      </c>
      <c r="O736" s="21">
        <f>IF(O$3&gt;A49taxremlife,A49taxvalue-SUM($F736:N736),IF(A49taxremlife="N/A","n/a",A49taxvalue/A49taxremlife))</f>
        <v>0</v>
      </c>
      <c r="P736" s="21">
        <f>IF(P$3&gt;A49taxremlife,A49taxvalue-SUM($F736:O736),IF(A49taxremlife="N/A","n/a",A49taxvalue/A49taxremlife))</f>
        <v>0</v>
      </c>
      <c r="Q736" s="21">
        <f>IF(Q$3&gt;A49taxremlife,A49taxvalue-SUM($F736:P736),IF(A49taxremlife="N/A","n/a",A49taxvalue/A49taxremlife))</f>
        <v>0</v>
      </c>
      <c r="R736" s="21"/>
      <c r="S736" s="74"/>
      <c r="T736" s="74"/>
      <c r="U736" s="74"/>
      <c r="V736" s="74"/>
      <c r="W736" s="74"/>
      <c r="X736" s="74"/>
      <c r="Y736" s="74"/>
      <c r="Z736" s="74"/>
      <c r="AA736" s="152"/>
    </row>
    <row r="737" spans="1:27" ht="12.75" hidden="1" customHeight="1" outlineLevel="2">
      <c r="A737" s="3"/>
      <c r="B737" s="3"/>
      <c r="C737" s="16"/>
      <c r="D737" s="1593" t="s">
        <v>43</v>
      </c>
      <c r="E737" s="61"/>
      <c r="F737" s="17"/>
      <c r="G737" s="17"/>
      <c r="H737" s="1413"/>
      <c r="I737" s="72"/>
      <c r="J737" s="18"/>
      <c r="K737" s="18"/>
      <c r="L737" s="18"/>
      <c r="M737" s="18"/>
      <c r="N737" s="18"/>
      <c r="O737" s="18"/>
      <c r="P737" s="18"/>
      <c r="Q737" s="18"/>
      <c r="R737" s="18"/>
      <c r="S737" s="74"/>
      <c r="T737" s="74"/>
      <c r="U737" s="74"/>
      <c r="V737" s="74"/>
      <c r="W737" s="74"/>
      <c r="X737" s="74"/>
      <c r="Y737" s="74"/>
      <c r="Z737" s="74"/>
      <c r="AA737" s="152"/>
    </row>
    <row r="738" spans="1:27" ht="12.75" hidden="1" customHeight="1" outlineLevel="2">
      <c r="A738" s="3"/>
      <c r="B738" s="3"/>
      <c r="C738" s="16"/>
      <c r="D738" s="1594"/>
      <c r="E738" s="61">
        <v>1</v>
      </c>
      <c r="F738" s="17"/>
      <c r="G738" s="17"/>
      <c r="H738" s="1414"/>
      <c r="I738" s="1415">
        <f>IF(A49taxstdlife="n/a","n/a",IF(I$3&gt;(A49taxstdlife+$E738),('RFM input'!$H$109-'RFM input'!$H$163)-SUM($H738:H738),('RFM input'!$H$109-'RFM input'!$H$163)/A49taxstdlife))</f>
        <v>0</v>
      </c>
      <c r="J738" s="18">
        <f>IF(A49taxstdlife="n/a","n/a",IF(J$3&gt;(A49taxstdlife+$E738),('RFM input'!$H$109-'RFM input'!$H$163)-SUM($H738:I738),('RFM input'!$H$109-'RFM input'!$H$163)/A49taxstdlife))</f>
        <v>0</v>
      </c>
      <c r="K738" s="18">
        <f>IF(A49taxstdlife="n/a","n/a",IF(K$3&gt;(A49taxstdlife+$E738),('RFM input'!$H$109-'RFM input'!$H$163)-SUM($H738:J738),('RFM input'!$H$109-'RFM input'!$H$163)/A49taxstdlife))</f>
        <v>0</v>
      </c>
      <c r="L738" s="18">
        <f>IF(A49taxstdlife="n/a","n/a",IF(L$3&gt;(A49taxstdlife+$E738),('RFM input'!$H$109-'RFM input'!$H$163)-SUM($H738:K738),('RFM input'!$H$109-'RFM input'!$H$163)/A49taxstdlife))</f>
        <v>0</v>
      </c>
      <c r="M738" s="18">
        <f>IF(A49taxstdlife="n/a","n/a",IF(M$3&gt;(A49taxstdlife+$E738),('RFM input'!$H$109-'RFM input'!$H$163)-SUM($H738:L738),('RFM input'!$H$109-'RFM input'!$H$163)/A49taxstdlife))</f>
        <v>0</v>
      </c>
      <c r="N738" s="18">
        <f>IF(A49taxstdlife="n/a","n/a",IF(N$3&gt;(A49taxstdlife+$E738),('RFM input'!$H$109-'RFM input'!$H$163)-SUM($H738:M738),('RFM input'!$H$109-'RFM input'!$H$163)/A49taxstdlife))</f>
        <v>0</v>
      </c>
      <c r="O738" s="18">
        <f>IF(A49taxstdlife="n/a","n/a",IF(O$3&gt;(A49taxstdlife+$E738),('RFM input'!$H$109-'RFM input'!$H$163)-SUM($H738:N738),('RFM input'!$H$109-'RFM input'!$H$163)/A49taxstdlife))</f>
        <v>0</v>
      </c>
      <c r="P738" s="18">
        <f>IF(A49taxstdlife="n/a","n/a",IF(P$3&gt;(A49taxstdlife+$E738),('RFM input'!$H$109-'RFM input'!$H$163)-SUM($H738:O738),('RFM input'!$H$109-'RFM input'!$H$163)/A49taxstdlife))</f>
        <v>0</v>
      </c>
      <c r="Q738" s="18">
        <f>IF(A49taxstdlife="n/a","n/a",IF(Q$3&gt;(A49taxstdlife+$E738),('RFM input'!$H$109-'RFM input'!$H$163)-SUM($H738:P738),('RFM input'!$H$109-'RFM input'!$H$163)/A49taxstdlife))</f>
        <v>0</v>
      </c>
      <c r="R738" s="18"/>
      <c r="S738" s="74"/>
      <c r="T738" s="74"/>
      <c r="U738" s="74"/>
      <c r="V738" s="74"/>
      <c r="W738" s="74"/>
      <c r="X738" s="74"/>
      <c r="Y738" s="74"/>
      <c r="Z738" s="74"/>
      <c r="AA738" s="152"/>
    </row>
    <row r="739" spans="1:27" ht="12.75" hidden="1" customHeight="1" outlineLevel="2">
      <c r="A739" s="3"/>
      <c r="B739" s="3"/>
      <c r="C739" s="16"/>
      <c r="D739" s="1594"/>
      <c r="E739" s="61">
        <v>2</v>
      </c>
      <c r="F739" s="17"/>
      <c r="G739" s="17"/>
      <c r="H739" s="1414"/>
      <c r="I739" s="1414"/>
      <c r="J739" s="18">
        <f>IF(A49taxstdlife="n/a","n/a",IF(J$3&gt;(A49taxstdlife+$E739),('RFM input'!$I$109-'RFM input'!$I$163)-SUM($I739:I739),('RFM input'!$I$109-'RFM input'!$I$163)/A49taxstdlife))</f>
        <v>0</v>
      </c>
      <c r="K739" s="18">
        <f>IF(A49taxstdlife="n/a","n/a",IF(K$3&gt;(A49taxstdlife+$E739),('RFM input'!$I$109-'RFM input'!$I$163)-SUM($I739:J739),('RFM input'!$I$109-'RFM input'!$I$163)/A49taxstdlife))</f>
        <v>0</v>
      </c>
      <c r="L739" s="18">
        <f>IF(A49taxstdlife="n/a","n/a",IF(L$3&gt;(A49taxstdlife+$E739),('RFM input'!$I$109-'RFM input'!$I$163)-SUM($I739:K739),('RFM input'!$I$109-'RFM input'!$I$163)/A49taxstdlife))</f>
        <v>0</v>
      </c>
      <c r="M739" s="18">
        <f>IF(A49taxstdlife="n/a","n/a",IF(M$3&gt;(A49taxstdlife+$E739),('RFM input'!$I$109-'RFM input'!$I$163)-SUM($I739:L739),('RFM input'!$I$109-'RFM input'!$I$163)/A49taxstdlife))</f>
        <v>0</v>
      </c>
      <c r="N739" s="18">
        <f>IF(A49taxstdlife="n/a","n/a",IF(N$3&gt;(A49taxstdlife+$E739),('RFM input'!$I$109-'RFM input'!$I$163)-SUM($I739:M739),('RFM input'!$I$109-'RFM input'!$I$163)/A49taxstdlife))</f>
        <v>0</v>
      </c>
      <c r="O739" s="18">
        <f>IF(A49taxstdlife="n/a","n/a",IF(O$3&gt;(A49taxstdlife+$E739),('RFM input'!$I$109-'RFM input'!$I$163)-SUM($I739:N739),('RFM input'!$I$109-'RFM input'!$I$163)/A49taxstdlife))</f>
        <v>0</v>
      </c>
      <c r="P739" s="18">
        <f>IF(A49taxstdlife="n/a","n/a",IF(P$3&gt;(A49taxstdlife+$E739),('RFM input'!$I$109-'RFM input'!$I$163)-SUM($I739:O739),('RFM input'!$I$109-'RFM input'!$I$163)/A49taxstdlife))</f>
        <v>0</v>
      </c>
      <c r="Q739" s="18">
        <f>IF(A49taxstdlife="n/a","n/a",IF(Q$3&gt;(A49taxstdlife+$E739),('RFM input'!$I$109-'RFM input'!$I$163)-SUM($I739:P739),('RFM input'!$I$109-'RFM input'!$I$163)/A49taxstdlife))</f>
        <v>0</v>
      </c>
      <c r="R739" s="18"/>
      <c r="S739" s="74"/>
      <c r="T739" s="74"/>
      <c r="U739" s="74"/>
      <c r="V739" s="74"/>
      <c r="W739" s="74"/>
      <c r="X739" s="74"/>
      <c r="Y739" s="74"/>
      <c r="Z739" s="74"/>
      <c r="AA739" s="152"/>
    </row>
    <row r="740" spans="1:27" ht="12.75" hidden="1" customHeight="1" outlineLevel="2">
      <c r="A740" s="3"/>
      <c r="B740" s="3"/>
      <c r="C740" s="16"/>
      <c r="D740" s="1594"/>
      <c r="E740" s="61">
        <v>3</v>
      </c>
      <c r="F740" s="17"/>
      <c r="G740" s="17"/>
      <c r="H740" s="1414"/>
      <c r="I740" s="1414"/>
      <c r="J740" s="116"/>
      <c r="K740" s="18">
        <f>IF(A49taxstdlife="n/a","n/a",IF(K$3&gt;(A49taxstdlife+$E740),('RFM input'!$J$109-'RFM input'!$J$163)-SUM($J740:J740),('RFM input'!$J$109-'RFM input'!$J$163)/A49taxstdlife))</f>
        <v>0</v>
      </c>
      <c r="L740" s="18">
        <f>IF(A49taxstdlife="n/a","n/a",IF(L$3&gt;(A49taxstdlife+$E740),('RFM input'!$J$109-'RFM input'!$J$163)-SUM($J740:K740),('RFM input'!$J$109-'RFM input'!$J$163)/A49taxstdlife))</f>
        <v>0</v>
      </c>
      <c r="M740" s="18">
        <f>IF(A49taxstdlife="n/a","n/a",IF(M$3&gt;(A49taxstdlife+$E740),('RFM input'!$J$109-'RFM input'!$J$163)-SUM($J740:L740),('RFM input'!$J$109-'RFM input'!$J$163)/A49taxstdlife))</f>
        <v>0</v>
      </c>
      <c r="N740" s="18">
        <f>IF(A49taxstdlife="n/a","n/a",IF(N$3&gt;(A49taxstdlife+$E740),('RFM input'!$J$109-'RFM input'!$J$163)-SUM($J740:M740),('RFM input'!$J$109-'RFM input'!$J$163)/A49taxstdlife))</f>
        <v>0</v>
      </c>
      <c r="O740" s="18">
        <f>IF(A49taxstdlife="n/a","n/a",IF(O$3&gt;(A49taxstdlife+$E740),('RFM input'!$J$109-'RFM input'!$J$163)-SUM($J740:N740),('RFM input'!$J$109-'RFM input'!$J$163)/A49taxstdlife))</f>
        <v>0</v>
      </c>
      <c r="P740" s="18">
        <f>IF(A49taxstdlife="n/a","n/a",IF(P$3&gt;(A49taxstdlife+$E740),('RFM input'!$J$109-'RFM input'!$J$163)-SUM($J740:O740),('RFM input'!$J$109-'RFM input'!$J$163)/A49taxstdlife))</f>
        <v>0</v>
      </c>
      <c r="Q740" s="18">
        <f>IF(A49taxstdlife="n/a","n/a",IF(Q$3&gt;(A49taxstdlife+$E740),('RFM input'!$J$109-'RFM input'!$J$163)-SUM($J740:P740),('RFM input'!$J$109-'RFM input'!$J$163)/A49taxstdlife))</f>
        <v>0</v>
      </c>
      <c r="R740" s="18"/>
      <c r="S740" s="74"/>
      <c r="T740" s="74"/>
      <c r="U740" s="74"/>
      <c r="V740" s="74"/>
      <c r="W740" s="74"/>
      <c r="X740" s="74"/>
      <c r="Y740" s="74"/>
      <c r="Z740" s="74"/>
      <c r="AA740" s="152"/>
    </row>
    <row r="741" spans="1:27" ht="12.75" hidden="1" customHeight="1" outlineLevel="2">
      <c r="A741" s="3"/>
      <c r="B741" s="3"/>
      <c r="C741" s="16"/>
      <c r="D741" s="1594"/>
      <c r="E741" s="61">
        <v>4</v>
      </c>
      <c r="F741" s="17"/>
      <c r="G741" s="17"/>
      <c r="H741" s="1414"/>
      <c r="I741" s="1414"/>
      <c r="J741" s="115"/>
      <c r="K741" s="116"/>
      <c r="L741" s="18">
        <f>IF(A49taxstdlife="n/a","n/a",IF(L$3&gt;(A49taxstdlife+$E741),('RFM input'!$K$109-'RFM input'!$K$163)-SUM($K741:K741),('RFM input'!$K$109-'RFM input'!$K$163)/A49taxstdlife))</f>
        <v>0</v>
      </c>
      <c r="M741" s="18">
        <f>IF(A49taxstdlife="n/a","n/a",IF(M$3&gt;(A49taxstdlife+$E741),('RFM input'!$K$109-'RFM input'!$K$163)-SUM($K741:L741),('RFM input'!$K$109-'RFM input'!$K$163)/A49taxstdlife))</f>
        <v>0</v>
      </c>
      <c r="N741" s="18">
        <f>IF(A49taxstdlife="n/a","n/a",IF(N$3&gt;(A49taxstdlife+$E741),('RFM input'!$K$109-'RFM input'!$K$163)-SUM($K741:M741),('RFM input'!$K$109-'RFM input'!$K$163)/A49taxstdlife))</f>
        <v>0</v>
      </c>
      <c r="O741" s="18">
        <f>IF(A49taxstdlife="n/a","n/a",IF(O$3&gt;(A49taxstdlife+$E741),('RFM input'!$K$109-'RFM input'!$K$163)-SUM($K741:N741),('RFM input'!$K$109-'RFM input'!$K$163)/A49taxstdlife))</f>
        <v>0</v>
      </c>
      <c r="P741" s="18">
        <f>IF(A49taxstdlife="n/a","n/a",IF(P$3&gt;(A49taxstdlife+$E741),('RFM input'!$K$109-'RFM input'!$K$163)-SUM($K741:O741),('RFM input'!$K$109-'RFM input'!$K$163)/A49taxstdlife))</f>
        <v>0</v>
      </c>
      <c r="Q741" s="18">
        <f>IF(A49taxstdlife="n/a","n/a",IF(Q$3&gt;(A49taxstdlife+$E741),('RFM input'!$K$109-'RFM input'!$K$163)-SUM($K741:P741),('RFM input'!$K$109-'RFM input'!$K$163)/A49taxstdlife))</f>
        <v>0</v>
      </c>
      <c r="R741" s="18"/>
      <c r="S741" s="74"/>
      <c r="T741" s="74"/>
      <c r="U741" s="74"/>
      <c r="V741" s="74"/>
      <c r="W741" s="74"/>
      <c r="X741" s="74"/>
      <c r="Y741" s="74"/>
      <c r="Z741" s="74"/>
      <c r="AA741" s="152"/>
    </row>
    <row r="742" spans="1:27" ht="12.75" hidden="1" customHeight="1" outlineLevel="2">
      <c r="A742" s="3"/>
      <c r="B742" s="3"/>
      <c r="C742" s="16"/>
      <c r="D742" s="1594"/>
      <c r="E742" s="61">
        <v>5</v>
      </c>
      <c r="F742" s="17"/>
      <c r="G742" s="17"/>
      <c r="H742" s="1414"/>
      <c r="I742" s="1414"/>
      <c r="J742" s="115"/>
      <c r="K742" s="115"/>
      <c r="L742" s="116"/>
      <c r="M742" s="18">
        <f>IF(A49taxstdlife="n/a","n/a",IF(M$3&gt;(A49taxstdlife+$E742),('RFM input'!$L$109-'RFM input'!$L$163)-SUM($L742:L742),('RFM input'!$L$109-'RFM input'!$L$163)/A49taxstdlife))</f>
        <v>0</v>
      </c>
      <c r="N742" s="18">
        <f>IF(A49taxstdlife="n/a","n/a",IF(N$3&gt;(A49taxstdlife+$E742),('RFM input'!$L$109-'RFM input'!$L$163)-SUM($L742:M742),('RFM input'!$L$109-'RFM input'!$L$163)/A49taxstdlife))</f>
        <v>0</v>
      </c>
      <c r="O742" s="18">
        <f>IF(A49taxstdlife="n/a","n/a",IF(O$3&gt;(A49taxstdlife+$E742),('RFM input'!$L$109-'RFM input'!$L$163)-SUM($L742:N742),('RFM input'!$L$109-'RFM input'!$L$163)/A49taxstdlife))</f>
        <v>0</v>
      </c>
      <c r="P742" s="18">
        <f>IF(A49taxstdlife="n/a","n/a",IF(P$3&gt;(A49taxstdlife+$E742),('RFM input'!$L$109-'RFM input'!$L$163)-SUM($L742:O742),('RFM input'!$L$109-'RFM input'!$L$163)/A49taxstdlife))</f>
        <v>0</v>
      </c>
      <c r="Q742" s="18">
        <f>IF(A49taxstdlife="n/a","n/a",IF(Q$3&gt;(A49taxstdlife+$E742),('RFM input'!$L$109-'RFM input'!$L$163)-SUM($L742:P742),('RFM input'!$L$109-'RFM input'!$L$163)/A49taxstdlife))</f>
        <v>0</v>
      </c>
      <c r="R742" s="18"/>
      <c r="S742" s="74"/>
      <c r="T742" s="74"/>
      <c r="U742" s="74"/>
      <c r="V742" s="74"/>
      <c r="W742" s="74"/>
      <c r="X742" s="74"/>
      <c r="Y742" s="74"/>
      <c r="Z742" s="74"/>
      <c r="AA742" s="152"/>
    </row>
    <row r="743" spans="1:27" ht="12.75" hidden="1" customHeight="1" outlineLevel="2">
      <c r="A743" s="3"/>
      <c r="B743" s="3"/>
      <c r="C743" s="16"/>
      <c r="D743" s="1594"/>
      <c r="E743" s="61">
        <v>6</v>
      </c>
      <c r="F743" s="17"/>
      <c r="G743" s="17"/>
      <c r="H743" s="1414"/>
      <c r="I743" s="1414"/>
      <c r="J743" s="115"/>
      <c r="K743" s="115"/>
      <c r="L743" s="115"/>
      <c r="M743" s="116"/>
      <c r="N743" s="18">
        <f>IF(A49taxstdlife="n/a","n/a",IF(N$3&gt;(A49taxstdlife+$E743),('RFM input'!$M$109-'RFM input'!$M$163)-SUM($M743:M743),('RFM input'!$M$109-'RFM input'!$M$163)/A49taxstdlife))</f>
        <v>0</v>
      </c>
      <c r="O743" s="18">
        <f>IF(A49taxstdlife="n/a","n/a",IF(O$3&gt;(A49taxstdlife+$E743),('RFM input'!$M$109-'RFM input'!$M$163)-SUM($M743:N743),('RFM input'!$M$109-'RFM input'!$M$163)/A49taxstdlife))</f>
        <v>0</v>
      </c>
      <c r="P743" s="18">
        <f>IF(A49taxstdlife="n/a","n/a",IF(P$3&gt;(A49taxstdlife+$E743),('RFM input'!$M$109-'RFM input'!$M$163)-SUM($M743:O743),('RFM input'!$M$109-'RFM input'!$M$163)/A49taxstdlife))</f>
        <v>0</v>
      </c>
      <c r="Q743" s="18">
        <f>IF(A49taxstdlife="n/a","n/a",IF(Q$3&gt;(A49taxstdlife+$E743),('RFM input'!$M$109-'RFM input'!$M$163)-SUM($M743:P743),('RFM input'!$M$109-'RFM input'!$M$163)/A49taxstdlife))</f>
        <v>0</v>
      </c>
      <c r="R743" s="18"/>
      <c r="S743" s="74"/>
      <c r="T743" s="74"/>
      <c r="U743" s="74"/>
      <c r="V743" s="74"/>
      <c r="W743" s="74"/>
      <c r="X743" s="74"/>
      <c r="Y743" s="74"/>
      <c r="Z743" s="74"/>
      <c r="AA743" s="152"/>
    </row>
    <row r="744" spans="1:27" ht="12.75" hidden="1" customHeight="1" outlineLevel="2">
      <c r="A744" s="3"/>
      <c r="B744" s="3"/>
      <c r="C744" s="16"/>
      <c r="D744" s="1594"/>
      <c r="E744" s="61">
        <v>7</v>
      </c>
      <c r="F744" s="17"/>
      <c r="G744" s="17"/>
      <c r="H744" s="1414"/>
      <c r="I744" s="1414"/>
      <c r="J744" s="115"/>
      <c r="K744" s="115"/>
      <c r="L744" s="115"/>
      <c r="M744" s="115"/>
      <c r="N744" s="116"/>
      <c r="O744" s="18">
        <f>IF(A49taxstdlife="n/a","n/a",IF(O$3&gt;(A49taxstdlife+$E744),('RFM input'!$N$109-'RFM input'!$N$163)-SUM($N744:N744),('RFM input'!$N$109-'RFM input'!$N$163)/A49taxstdlife))</f>
        <v>0</v>
      </c>
      <c r="P744" s="18">
        <f>IF(A49taxstdlife="n/a","n/a",IF(P$3&gt;(A49taxstdlife+$E744),('RFM input'!$N$109-'RFM input'!$N$163)-SUM($N744:O744),('RFM input'!$N$109-'RFM input'!$N$163)/A49taxstdlife))</f>
        <v>0</v>
      </c>
      <c r="Q744" s="18">
        <f>IF(A49taxstdlife="n/a","n/a",IF(Q$3&gt;(A49taxstdlife+$E744),('RFM input'!$N$109-'RFM input'!$N$163)-SUM($N744:P744),('RFM input'!$N$109-'RFM input'!$N$163)/A49taxstdlife))</f>
        <v>0</v>
      </c>
      <c r="R744" s="18"/>
      <c r="S744" s="74"/>
      <c r="T744" s="74"/>
      <c r="U744" s="74"/>
      <c r="V744" s="74"/>
      <c r="W744" s="74"/>
      <c r="X744" s="74"/>
      <c r="Y744" s="74"/>
      <c r="Z744" s="74"/>
      <c r="AA744" s="152"/>
    </row>
    <row r="745" spans="1:27" ht="12.75" hidden="1" customHeight="1" outlineLevel="2">
      <c r="A745" s="3"/>
      <c r="B745" s="3"/>
      <c r="C745" s="16"/>
      <c r="D745" s="1594"/>
      <c r="E745" s="61">
        <v>8</v>
      </c>
      <c r="F745" s="17"/>
      <c r="G745" s="17"/>
      <c r="H745" s="1414"/>
      <c r="I745" s="1414"/>
      <c r="J745" s="115"/>
      <c r="K745" s="115"/>
      <c r="L745" s="115"/>
      <c r="M745" s="115"/>
      <c r="N745" s="115"/>
      <c r="O745" s="116"/>
      <c r="P745" s="18">
        <f>IF(A49taxstdlife="n/a","n/a",IF(P$3&gt;(A49taxstdlife+$E745),('RFM input'!$O$109-'RFM input'!$O$163)-SUM($O745:O745),('RFM input'!$O$109-'RFM input'!$O$163)/A49taxstdlife))</f>
        <v>0</v>
      </c>
      <c r="Q745" s="18">
        <f>IF(A49taxstdlife="n/a","n/a",IF(Q$3&gt;(A49taxstdlife+$E745),('RFM input'!$O$109-'RFM input'!$O$163)-SUM($O745:P745),('RFM input'!$O$109-'RFM input'!$O$163)/A49taxstdlife))</f>
        <v>0</v>
      </c>
      <c r="R745" s="18"/>
      <c r="S745" s="74"/>
      <c r="T745" s="74"/>
      <c r="U745" s="74"/>
      <c r="V745" s="74"/>
      <c r="W745" s="74"/>
      <c r="X745" s="74"/>
      <c r="Y745" s="74"/>
      <c r="Z745" s="74"/>
      <c r="AA745" s="152"/>
    </row>
    <row r="746" spans="1:27" ht="12.75" hidden="1" customHeight="1" outlineLevel="2">
      <c r="A746" s="3"/>
      <c r="B746" s="3"/>
      <c r="C746" s="16"/>
      <c r="D746" s="1594"/>
      <c r="E746" s="61">
        <v>9</v>
      </c>
      <c r="F746" s="17"/>
      <c r="G746" s="17"/>
      <c r="H746" s="1414"/>
      <c r="I746" s="1414"/>
      <c r="J746" s="115"/>
      <c r="K746" s="115"/>
      <c r="L746" s="115"/>
      <c r="M746" s="115"/>
      <c r="N746" s="115"/>
      <c r="O746" s="115"/>
      <c r="P746" s="116"/>
      <c r="Q746" s="18">
        <f>IF(A49taxstdlife="n/a","n/a",IF(Q$3&gt;(A49taxstdlife+$E746),('RFM input'!$P$109-'RFM input'!$P$163)-SUM($P746:P746),('RFM input'!$P$109-'RFM input'!$P$163)/A49taxstdlife))</f>
        <v>0</v>
      </c>
      <c r="R746" s="18"/>
      <c r="S746" s="74"/>
      <c r="T746" s="74"/>
      <c r="U746" s="74"/>
      <c r="V746" s="74"/>
      <c r="W746" s="74"/>
      <c r="X746" s="74"/>
      <c r="Y746" s="74"/>
      <c r="Z746" s="74"/>
      <c r="AA746" s="152"/>
    </row>
    <row r="747" spans="1:27" ht="12.75" hidden="1" customHeight="1" outlineLevel="2">
      <c r="A747" s="3"/>
      <c r="B747" s="3"/>
      <c r="C747" s="16"/>
      <c r="D747" s="1594"/>
      <c r="E747" s="62">
        <v>10</v>
      </c>
      <c r="F747" s="17"/>
      <c r="G747" s="17"/>
      <c r="H747" s="1414"/>
      <c r="I747" s="1414"/>
      <c r="J747" s="115"/>
      <c r="K747" s="115"/>
      <c r="L747" s="115"/>
      <c r="M747" s="115"/>
      <c r="N747" s="115"/>
      <c r="O747" s="115"/>
      <c r="P747" s="115"/>
      <c r="Q747" s="116"/>
      <c r="R747" s="18"/>
      <c r="S747" s="74"/>
      <c r="T747" s="74"/>
      <c r="U747" s="74"/>
      <c r="V747" s="74"/>
      <c r="W747" s="74"/>
      <c r="X747" s="74"/>
      <c r="Y747" s="74"/>
      <c r="Z747" s="74"/>
      <c r="AA747" s="152"/>
    </row>
    <row r="748" spans="1:27" hidden="1" outlineLevel="1">
      <c r="A748" s="3"/>
      <c r="B748" s="3"/>
      <c r="C748" s="134">
        <f>Asset49</f>
        <v>0</v>
      </c>
      <c r="D748" s="3"/>
      <c r="E748" s="3"/>
      <c r="F748" s="14"/>
      <c r="G748" s="14"/>
      <c r="H748" s="1460">
        <f>IF('RFM input'!$G$354="Tracked",-1*INDEX('RFM input'!H$358:H$407,MATCH('TAB roll forward'!$C748,'RFM input'!$E$358:$E$407,0)),-SUM(H736:H747))</f>
        <v>0</v>
      </c>
      <c r="I748" s="1460">
        <f>IF('RFM input'!$G$354="Tracked",-1*INDEX('RFM input'!I$358:I$407,MATCH('TAB roll forward'!$C748,'RFM input'!$E$358:$E$407,0)),-SUM(I736:I747))</f>
        <v>0</v>
      </c>
      <c r="J748" s="1460">
        <f>IF(COUNT($H748:I748)&gt;='RFM input'!$V$7,0,IF('RFM input'!$G$354="Tracked",-1*INDEX('RFM input'!J$358:J$407,MATCH('TAB roll forward'!$C748,'RFM input'!$E$358:$E$407,0)),-SUM(J736:J747)))</f>
        <v>0</v>
      </c>
      <c r="K748" s="1460">
        <f>IF(COUNT($H748:J748)&gt;='RFM input'!$V$7,0,IF('RFM input'!$G$354="Tracked",-1*INDEX('RFM input'!K$358:K$407,MATCH('TAB roll forward'!$C748,'RFM input'!$E$358:$E$407,0)),-SUM(K736:K747)))</f>
        <v>0</v>
      </c>
      <c r="L748" s="1460">
        <f>IF(COUNT($H748:K748)&gt;='RFM input'!$V$7,0,IF('RFM input'!$G$354="Tracked",-1*INDEX('RFM input'!L$358:L$407,MATCH('TAB roll forward'!$C748,'RFM input'!$E$358:$E$407,0)),-SUM(L736:L747)))</f>
        <v>0</v>
      </c>
      <c r="M748" s="1460">
        <f>IF(COUNT($H748:L748)&gt;='RFM input'!$V$7,0,IF('RFM input'!$G$354="Tracked",-1*INDEX('RFM input'!M$358:M$407,MATCH('TAB roll forward'!$C748,'RFM input'!$E$358:$E$407,0)),-SUM(M736:M747)))</f>
        <v>0</v>
      </c>
      <c r="N748" s="1460">
        <f>IF(COUNT($H748:M748)&gt;='RFM input'!$V$7,0,IF('RFM input'!$G$354="Tracked",-1*INDEX('RFM input'!N$358:N$407,MATCH('TAB roll forward'!$C748,'RFM input'!$E$358:$E$407,0)),-SUM(N736:N747)))</f>
        <v>0</v>
      </c>
      <c r="O748" s="1460">
        <f>IF(COUNT($H748:N748)&gt;='RFM input'!$V$7,0,IF('RFM input'!$G$354="Tracked",-1*INDEX('RFM input'!O$358:O$407,MATCH('TAB roll forward'!$C748,'RFM input'!$E$358:$E$407,0)),-SUM(O736:O747)))</f>
        <v>0</v>
      </c>
      <c r="P748" s="1460">
        <f>IF(COUNT($H748:O748)&gt;='RFM input'!$V$7,0,IF('RFM input'!$G$354="Tracked",-1*INDEX('RFM input'!P$358:P$407,MATCH('TAB roll forward'!$C748,'RFM input'!$E$358:$E$407,0)),-SUM(P736:P747)))</f>
        <v>0</v>
      </c>
      <c r="Q748" s="1460">
        <f>IF(COUNT($H748:P748)&gt;='RFM input'!$V$7,0,IF('RFM input'!$G$354="Tracked",-1*INDEX('RFM input'!Q$358:Q$407,MATCH('TAB roll forward'!$C748,'RFM input'!$E$358:$E$407,0)),-SUM(Q736:Q747)))</f>
        <v>0</v>
      </c>
      <c r="R748" s="1382"/>
      <c r="S748" s="73"/>
      <c r="T748" s="73"/>
      <c r="U748" s="73"/>
      <c r="V748" s="73"/>
      <c r="W748" s="73"/>
      <c r="X748" s="73"/>
      <c r="Y748" s="73"/>
      <c r="Z748" s="73"/>
      <c r="AA748" s="152"/>
    </row>
    <row r="749" spans="1:27" ht="12.75" hidden="1" customHeight="1" outlineLevel="2">
      <c r="A749" s="3"/>
      <c r="B749" s="135">
        <f>Asset50</f>
        <v>0</v>
      </c>
      <c r="C749" s="19"/>
      <c r="D749" s="234" t="s">
        <v>119</v>
      </c>
      <c r="E749" s="19"/>
      <c r="F749" s="148"/>
      <c r="G749" s="148"/>
      <c r="H749" s="21">
        <f>IF(H$3&gt;A50taxremlife,A50taxvalue-SUM($F749:F749),IF(A50taxremlife="N/A","n/a",A50taxvalue/A50taxremlife))</f>
        <v>0</v>
      </c>
      <c r="I749" s="21">
        <f>IF(I$3&gt;A50taxremlife,A50taxvalue-SUM($F749:H749),IF(A50taxremlife="N/A","n/a",A50taxvalue/A50taxremlife))</f>
        <v>0</v>
      </c>
      <c r="J749" s="21">
        <f>IF(J$3&gt;A50taxremlife,A50taxvalue-SUM($F749:I749),IF(A50taxremlife="N/A","n/a",A50taxvalue/A50taxremlife))</f>
        <v>0</v>
      </c>
      <c r="K749" s="21">
        <f>IF(K$3&gt;A50taxremlife,A50taxvalue-SUM($F749:J749),IF(A50taxremlife="N/A","n/a",A50taxvalue/A50taxremlife))</f>
        <v>0</v>
      </c>
      <c r="L749" s="21">
        <f>IF(L$3&gt;A50taxremlife,A50taxvalue-SUM($F749:K749),IF(A50taxremlife="N/A","n/a",A50taxvalue/A50taxremlife))</f>
        <v>0</v>
      </c>
      <c r="M749" s="21">
        <f>IF(M$3&gt;A50taxremlife,A50taxvalue-SUM($F749:L749),IF(A50taxremlife="N/A","n/a",A50taxvalue/A50taxremlife))</f>
        <v>0</v>
      </c>
      <c r="N749" s="21">
        <f>IF(N$3&gt;A50taxremlife,A50taxvalue-SUM($F749:M749),IF(A50taxremlife="N/A","n/a",A50taxvalue/A50taxremlife))</f>
        <v>0</v>
      </c>
      <c r="O749" s="21">
        <f>IF(O$3&gt;A50taxremlife,A50taxvalue-SUM($F749:N749),IF(A50taxremlife="N/A","n/a",A50taxvalue/A50taxremlife))</f>
        <v>0</v>
      </c>
      <c r="P749" s="21">
        <f>IF(P$3&gt;A50taxremlife,A50taxvalue-SUM($F749:O749),IF(A50taxremlife="N/A","n/a",A50taxvalue/A50taxremlife))</f>
        <v>0</v>
      </c>
      <c r="Q749" s="21">
        <f>IF(Q$3&gt;A50taxremlife,A50taxvalue-SUM($F749:P749),IF(A50taxremlife="N/A","n/a",A50taxvalue/A50taxremlife))</f>
        <v>0</v>
      </c>
      <c r="R749" s="21"/>
      <c r="S749" s="74"/>
      <c r="T749" s="74"/>
      <c r="U749" s="74"/>
      <c r="V749" s="74"/>
      <c r="W749" s="74"/>
      <c r="X749" s="74"/>
      <c r="Y749" s="74"/>
      <c r="Z749" s="74"/>
      <c r="AA749" s="152"/>
    </row>
    <row r="750" spans="1:27" ht="12.75" hidden="1" customHeight="1" outlineLevel="2">
      <c r="A750" s="3"/>
      <c r="B750" s="3"/>
      <c r="C750" s="16"/>
      <c r="D750" s="1593" t="s">
        <v>43</v>
      </c>
      <c r="E750" s="61"/>
      <c r="F750" s="17"/>
      <c r="G750" s="17"/>
      <c r="H750" s="1413"/>
      <c r="I750" s="72"/>
      <c r="J750" s="18"/>
      <c r="K750" s="18"/>
      <c r="L750" s="18"/>
      <c r="M750" s="18"/>
      <c r="N750" s="18"/>
      <c r="O750" s="18"/>
      <c r="P750" s="18"/>
      <c r="Q750" s="18"/>
      <c r="R750" s="18"/>
      <c r="S750" s="74"/>
      <c r="T750" s="74"/>
      <c r="U750" s="74"/>
      <c r="V750" s="74"/>
      <c r="W750" s="74"/>
      <c r="X750" s="74"/>
      <c r="Y750" s="74"/>
      <c r="Z750" s="74"/>
      <c r="AA750" s="152"/>
    </row>
    <row r="751" spans="1:27" ht="12.75" hidden="1" customHeight="1" outlineLevel="2">
      <c r="A751" s="3"/>
      <c r="B751" s="3"/>
      <c r="C751" s="16"/>
      <c r="D751" s="1594"/>
      <c r="E751" s="61">
        <v>1</v>
      </c>
      <c r="F751" s="17"/>
      <c r="G751" s="17"/>
      <c r="H751" s="1414"/>
      <c r="I751" s="1415">
        <f>IF(A50taxstdlife="n/a","n/a",IF(I$3&gt;(A50taxstdlife+$E751),('RFM input'!$H$110-'RFM input'!$H$164)-SUM($H751:H751),('RFM input'!$H$110-'RFM input'!$H$164)/A50taxstdlife))</f>
        <v>0</v>
      </c>
      <c r="J751" s="18">
        <f>IF(A50taxstdlife="n/a","n/a",IF(J$3&gt;(A50taxstdlife+$E751),('RFM input'!$H$110-'RFM input'!$H$164)-SUM($H751:I751),('RFM input'!$H$110-'RFM input'!$H$164)/A50taxstdlife))</f>
        <v>0</v>
      </c>
      <c r="K751" s="18">
        <f>IF(A50taxstdlife="n/a","n/a",IF(K$3&gt;(A50taxstdlife+$E751),('RFM input'!$H$110-'RFM input'!$H$164)-SUM($H751:J751),('RFM input'!$H$110-'RFM input'!$H$164)/A50taxstdlife))</f>
        <v>0</v>
      </c>
      <c r="L751" s="18">
        <f>IF(A50taxstdlife="n/a","n/a",IF(L$3&gt;(A50taxstdlife+$E751),('RFM input'!$H$110-'RFM input'!$H$164)-SUM($H751:K751),('RFM input'!$H$110-'RFM input'!$H$164)/A50taxstdlife))</f>
        <v>0</v>
      </c>
      <c r="M751" s="18">
        <f>IF(A50taxstdlife="n/a","n/a",IF(M$3&gt;(A50taxstdlife+$E751),('RFM input'!$H$110-'RFM input'!$H$164)-SUM($H751:L751),('RFM input'!$H$110-'RFM input'!$H$164)/A50taxstdlife))</f>
        <v>0</v>
      </c>
      <c r="N751" s="18">
        <f>IF(A50taxstdlife="n/a","n/a",IF(N$3&gt;(A50taxstdlife+$E751),('RFM input'!$H$110-'RFM input'!$H$164)-SUM($H751:M751),('RFM input'!$H$110-'RFM input'!$H$164)/A50taxstdlife))</f>
        <v>0</v>
      </c>
      <c r="O751" s="18">
        <f>IF(A50taxstdlife="n/a","n/a",IF(O$3&gt;(A50taxstdlife+$E751),('RFM input'!$H$110-'RFM input'!$H$164)-SUM($H751:N751),('RFM input'!$H$110-'RFM input'!$H$164)/A50taxstdlife))</f>
        <v>0</v>
      </c>
      <c r="P751" s="18">
        <f>IF(A50taxstdlife="n/a","n/a",IF(P$3&gt;(A50taxstdlife+$E751),('RFM input'!$H$110-'RFM input'!$H$164)-SUM($H751:O751),('RFM input'!$H$110-'RFM input'!$H$164)/A50taxstdlife))</f>
        <v>0</v>
      </c>
      <c r="Q751" s="18">
        <f>IF(A50taxstdlife="n/a","n/a",IF(Q$3&gt;(A50taxstdlife+$E751),('RFM input'!$H$110-'RFM input'!$H$164)-SUM($H751:P751),('RFM input'!$H$110-'RFM input'!$H$164)/A50taxstdlife))</f>
        <v>0</v>
      </c>
      <c r="R751" s="18"/>
      <c r="S751" s="74"/>
      <c r="T751" s="74"/>
      <c r="U751" s="74"/>
      <c r="V751" s="74"/>
      <c r="W751" s="74"/>
      <c r="X751" s="74"/>
      <c r="Y751" s="74"/>
      <c r="Z751" s="74"/>
      <c r="AA751" s="152"/>
    </row>
    <row r="752" spans="1:27" ht="12.75" hidden="1" customHeight="1" outlineLevel="2">
      <c r="A752" s="3"/>
      <c r="B752" s="3"/>
      <c r="C752" s="16"/>
      <c r="D752" s="1594"/>
      <c r="E752" s="61">
        <v>2</v>
      </c>
      <c r="F752" s="17"/>
      <c r="G752" s="17"/>
      <c r="H752" s="1414"/>
      <c r="I752" s="1414"/>
      <c r="J752" s="18">
        <f>IF(A50taxstdlife="n/a","n/a",IF(J$3&gt;(A50taxstdlife+$E752),('RFM input'!$I$110-'RFM input'!$I$164)-SUM($I752:I752),('RFM input'!$I$110-'RFM input'!$I$164)/A50taxstdlife))</f>
        <v>0</v>
      </c>
      <c r="K752" s="18">
        <f>IF(A50taxstdlife="n/a","n/a",IF(K$3&gt;(A50taxstdlife+$E752),('RFM input'!$I$110-'RFM input'!$I$164)-SUM($I752:J752),('RFM input'!$I$110-'RFM input'!$I$164)/A50taxstdlife))</f>
        <v>0</v>
      </c>
      <c r="L752" s="18">
        <f>IF(A50taxstdlife="n/a","n/a",IF(L$3&gt;(A50taxstdlife+$E752),('RFM input'!$I$110-'RFM input'!$I$164)-SUM($I752:K752),('RFM input'!$I$110-'RFM input'!$I$164)/A50taxstdlife))</f>
        <v>0</v>
      </c>
      <c r="M752" s="18">
        <f>IF(A50taxstdlife="n/a","n/a",IF(M$3&gt;(A50taxstdlife+$E752),('RFM input'!$I$110-'RFM input'!$I$164)-SUM($I752:L752),('RFM input'!$I$110-'RFM input'!$I$164)/A50taxstdlife))</f>
        <v>0</v>
      </c>
      <c r="N752" s="18">
        <f>IF(A50taxstdlife="n/a","n/a",IF(N$3&gt;(A50taxstdlife+$E752),('RFM input'!$I$110-'RFM input'!$I$164)-SUM($I752:M752),('RFM input'!$I$110-'RFM input'!$I$164)/A50taxstdlife))</f>
        <v>0</v>
      </c>
      <c r="O752" s="18">
        <f>IF(A50taxstdlife="n/a","n/a",IF(O$3&gt;(A50taxstdlife+$E752),('RFM input'!$I$110-'RFM input'!$I$164)-SUM($I752:N752),('RFM input'!$I$110-'RFM input'!$I$164)/A50taxstdlife))</f>
        <v>0</v>
      </c>
      <c r="P752" s="18">
        <f>IF(A50taxstdlife="n/a","n/a",IF(P$3&gt;(A50taxstdlife+$E752),('RFM input'!$I$110-'RFM input'!$I$164)-SUM($I752:O752),('RFM input'!$I$110-'RFM input'!$I$164)/A50taxstdlife))</f>
        <v>0</v>
      </c>
      <c r="Q752" s="18">
        <f>IF(A50taxstdlife="n/a","n/a",IF(Q$3&gt;(A50taxstdlife+$E752),('RFM input'!$I$110-'RFM input'!$I$164)-SUM($I752:P752),('RFM input'!$I$110-'RFM input'!$I$164)/A50taxstdlife))</f>
        <v>0</v>
      </c>
      <c r="R752" s="18"/>
      <c r="S752" s="74"/>
      <c r="T752" s="74"/>
      <c r="U752" s="74"/>
      <c r="V752" s="74"/>
      <c r="W752" s="74"/>
      <c r="X752" s="74"/>
      <c r="Y752" s="74"/>
      <c r="Z752" s="74"/>
      <c r="AA752" s="152"/>
    </row>
    <row r="753" spans="1:27" ht="12.75" hidden="1" customHeight="1" outlineLevel="2">
      <c r="A753" s="3"/>
      <c r="B753" s="3"/>
      <c r="C753" s="16"/>
      <c r="D753" s="1594"/>
      <c r="E753" s="61">
        <v>3</v>
      </c>
      <c r="F753" s="17"/>
      <c r="G753" s="17"/>
      <c r="H753" s="1414"/>
      <c r="I753" s="1414"/>
      <c r="J753" s="116"/>
      <c r="K753" s="18">
        <f>IF(A50taxstdlife="n/a","n/a",IF(K$3&gt;(A50taxstdlife+$E753),('RFM input'!$J$110-'RFM input'!$J$164)-SUM($J753:J753),('RFM input'!$J$110-'RFM input'!$J$164)/A50taxstdlife))</f>
        <v>0</v>
      </c>
      <c r="L753" s="18">
        <f>IF(A50taxstdlife="n/a","n/a",IF(L$3&gt;(A50taxstdlife+$E753),('RFM input'!$J$110-'RFM input'!$J$164)-SUM($J753:K753),('RFM input'!$J$110-'RFM input'!$J$164)/A50taxstdlife))</f>
        <v>0</v>
      </c>
      <c r="M753" s="18">
        <f>IF(A50taxstdlife="n/a","n/a",IF(M$3&gt;(A50taxstdlife+$E753),('RFM input'!$J$110-'RFM input'!$J$164)-SUM($J753:L753),('RFM input'!$J$110-'RFM input'!$J$164)/A50taxstdlife))</f>
        <v>0</v>
      </c>
      <c r="N753" s="18">
        <f>IF(A50taxstdlife="n/a","n/a",IF(N$3&gt;(A50taxstdlife+$E753),('RFM input'!$J$110-'RFM input'!$J$164)-SUM($J753:M753),('RFM input'!$J$110-'RFM input'!$J$164)/A50taxstdlife))</f>
        <v>0</v>
      </c>
      <c r="O753" s="18">
        <f>IF(A50taxstdlife="n/a","n/a",IF(O$3&gt;(A50taxstdlife+$E753),('RFM input'!$J$110-'RFM input'!$J$164)-SUM($J753:N753),('RFM input'!$J$110-'RFM input'!$J$164)/A50taxstdlife))</f>
        <v>0</v>
      </c>
      <c r="P753" s="18">
        <f>IF(A50taxstdlife="n/a","n/a",IF(P$3&gt;(A50taxstdlife+$E753),('RFM input'!$J$110-'RFM input'!$J$164)-SUM($J753:O753),('RFM input'!$J$110-'RFM input'!$J$164)/A50taxstdlife))</f>
        <v>0</v>
      </c>
      <c r="Q753" s="18">
        <f>IF(A50taxstdlife="n/a","n/a",IF(Q$3&gt;(A50taxstdlife+$E753),('RFM input'!$J$110-'RFM input'!$J$164)-SUM($J753:P753),('RFM input'!$J$110-'RFM input'!$J$164)/A50taxstdlife))</f>
        <v>0</v>
      </c>
      <c r="R753" s="18"/>
      <c r="S753" s="74"/>
      <c r="T753" s="74"/>
      <c r="U753" s="74"/>
      <c r="V753" s="74"/>
      <c r="W753" s="74"/>
      <c r="X753" s="74"/>
      <c r="Y753" s="74"/>
      <c r="Z753" s="74"/>
      <c r="AA753" s="152"/>
    </row>
    <row r="754" spans="1:27" ht="12.75" hidden="1" customHeight="1" outlineLevel="2">
      <c r="A754" s="3"/>
      <c r="B754" s="3"/>
      <c r="C754" s="16"/>
      <c r="D754" s="1594"/>
      <c r="E754" s="61">
        <v>4</v>
      </c>
      <c r="F754" s="17"/>
      <c r="G754" s="17"/>
      <c r="H754" s="1414"/>
      <c r="I754" s="1414"/>
      <c r="J754" s="115"/>
      <c r="K754" s="116"/>
      <c r="L754" s="18">
        <f>IF(A50taxstdlife="n/a","n/a",IF(L$3&gt;(A50taxstdlife+$E754),('RFM input'!$K$110-'RFM input'!$K$164)-SUM($K754:K754),('RFM input'!$K$110-'RFM input'!$K$164)/A50taxstdlife))</f>
        <v>0</v>
      </c>
      <c r="M754" s="18">
        <f>IF(A50taxstdlife="n/a","n/a",IF(M$3&gt;(A50taxstdlife+$E754),('RFM input'!$K$110-'RFM input'!$K$164)-SUM($K754:L754),('RFM input'!$K$110-'RFM input'!$K$164)/A50taxstdlife))</f>
        <v>0</v>
      </c>
      <c r="N754" s="18">
        <f>IF(A50taxstdlife="n/a","n/a",IF(N$3&gt;(A50taxstdlife+$E754),('RFM input'!$K$110-'RFM input'!$K$164)-SUM($K754:M754),('RFM input'!$K$110-'RFM input'!$K$164)/A50taxstdlife))</f>
        <v>0</v>
      </c>
      <c r="O754" s="18">
        <f>IF(A50taxstdlife="n/a","n/a",IF(O$3&gt;(A50taxstdlife+$E754),('RFM input'!$K$110-'RFM input'!$K$164)-SUM($K754:N754),('RFM input'!$K$110-'RFM input'!$K$164)/A50taxstdlife))</f>
        <v>0</v>
      </c>
      <c r="P754" s="18">
        <f>IF(A50taxstdlife="n/a","n/a",IF(P$3&gt;(A50taxstdlife+$E754),('RFM input'!$K$110-'RFM input'!$K$164)-SUM($K754:O754),('RFM input'!$K$110-'RFM input'!$K$164)/A50taxstdlife))</f>
        <v>0</v>
      </c>
      <c r="Q754" s="18">
        <f>IF(A50taxstdlife="n/a","n/a",IF(Q$3&gt;(A50taxstdlife+$E754),('RFM input'!$K$110-'RFM input'!$K$164)-SUM($K754:P754),('RFM input'!$K$110-'RFM input'!$K$164)/A50taxstdlife))</f>
        <v>0</v>
      </c>
      <c r="R754" s="18"/>
      <c r="S754" s="74"/>
      <c r="T754" s="74"/>
      <c r="U754" s="74"/>
      <c r="V754" s="74"/>
      <c r="W754" s="74"/>
      <c r="X754" s="74"/>
      <c r="Y754" s="74"/>
      <c r="Z754" s="74"/>
      <c r="AA754" s="152"/>
    </row>
    <row r="755" spans="1:27" ht="12.75" hidden="1" customHeight="1" outlineLevel="2">
      <c r="A755" s="3"/>
      <c r="B755" s="3"/>
      <c r="C755" s="16"/>
      <c r="D755" s="1594"/>
      <c r="E755" s="61">
        <v>5</v>
      </c>
      <c r="F755" s="17"/>
      <c r="G755" s="17"/>
      <c r="H755" s="1414"/>
      <c r="I755" s="1414"/>
      <c r="J755" s="115"/>
      <c r="K755" s="115"/>
      <c r="L755" s="116"/>
      <c r="M755" s="18">
        <f>IF(A50taxstdlife="n/a","n/a",IF(M$3&gt;(A50taxstdlife+$E755),('RFM input'!$L$110-'RFM input'!$L$164)-SUM($L755:L755),('RFM input'!$L$110-'RFM input'!$L$164)/A50taxstdlife))</f>
        <v>0</v>
      </c>
      <c r="N755" s="18">
        <f>IF(A50taxstdlife="n/a","n/a",IF(N$3&gt;(A50taxstdlife+$E755),('RFM input'!$L$110-'RFM input'!$L$164)-SUM($L755:M755),('RFM input'!$L$110-'RFM input'!$L$164)/A50taxstdlife))</f>
        <v>0</v>
      </c>
      <c r="O755" s="18">
        <f>IF(A50taxstdlife="n/a","n/a",IF(O$3&gt;(A50taxstdlife+$E755),('RFM input'!$L$110-'RFM input'!$L$164)-SUM($L755:N755),('RFM input'!$L$110-'RFM input'!$L$164)/A50taxstdlife))</f>
        <v>0</v>
      </c>
      <c r="P755" s="18">
        <f>IF(A50taxstdlife="n/a","n/a",IF(P$3&gt;(A50taxstdlife+$E755),('RFM input'!$L$110-'RFM input'!$L$164)-SUM($L755:O755),('RFM input'!$L$110-'RFM input'!$L$164)/A50taxstdlife))</f>
        <v>0</v>
      </c>
      <c r="Q755" s="18">
        <f>IF(A50taxstdlife="n/a","n/a",IF(Q$3&gt;(A50taxstdlife+$E755),('RFM input'!$L$110-'RFM input'!$L$164)-SUM($L755:P755),('RFM input'!$L$110-'RFM input'!$L$164)/A50taxstdlife))</f>
        <v>0</v>
      </c>
      <c r="R755" s="18"/>
      <c r="S755" s="74"/>
      <c r="T755" s="74"/>
      <c r="U755" s="74"/>
      <c r="V755" s="74"/>
      <c r="W755" s="74"/>
      <c r="X755" s="74"/>
      <c r="Y755" s="74"/>
      <c r="Z755" s="74"/>
      <c r="AA755" s="152"/>
    </row>
    <row r="756" spans="1:27" ht="12.75" hidden="1" customHeight="1" outlineLevel="2">
      <c r="A756" s="3"/>
      <c r="B756" s="3"/>
      <c r="C756" s="16"/>
      <c r="D756" s="1594"/>
      <c r="E756" s="61">
        <v>6</v>
      </c>
      <c r="F756" s="17"/>
      <c r="G756" s="17"/>
      <c r="H756" s="1414"/>
      <c r="I756" s="1414"/>
      <c r="J756" s="115"/>
      <c r="K756" s="115"/>
      <c r="L756" s="115"/>
      <c r="M756" s="116"/>
      <c r="N756" s="18">
        <f>IF(A50taxstdlife="n/a","n/a",IF(N$3&gt;(A50taxstdlife+$E756),('RFM input'!$M$110-'RFM input'!$M$164)-SUM($M756:M756),('RFM input'!$M$110-'RFM input'!$M$164)/A50taxstdlife))</f>
        <v>0</v>
      </c>
      <c r="O756" s="18">
        <f>IF(A50taxstdlife="n/a","n/a",IF(O$3&gt;(A50taxstdlife+$E756),('RFM input'!$M$110-'RFM input'!$M$164)-SUM($M756:N756),('RFM input'!$M$110-'RFM input'!$M$164)/A50taxstdlife))</f>
        <v>0</v>
      </c>
      <c r="P756" s="18">
        <f>IF(A50taxstdlife="n/a","n/a",IF(P$3&gt;(A50taxstdlife+$E756),('RFM input'!$M$110-'RFM input'!$M$164)-SUM($M756:O756),('RFM input'!$M$110-'RFM input'!$M$164)/A50taxstdlife))</f>
        <v>0</v>
      </c>
      <c r="Q756" s="18">
        <f>IF(A50taxstdlife="n/a","n/a",IF(Q$3&gt;(A50taxstdlife+$E756),('RFM input'!$M$110-'RFM input'!$M$164)-SUM($M756:P756),('RFM input'!$M$110-'RFM input'!$M$164)/A50taxstdlife))</f>
        <v>0</v>
      </c>
      <c r="R756" s="18"/>
      <c r="S756" s="74"/>
      <c r="T756" s="74"/>
      <c r="U756" s="74"/>
      <c r="V756" s="74"/>
      <c r="W756" s="74"/>
      <c r="X756" s="74"/>
      <c r="Y756" s="74"/>
      <c r="Z756" s="74"/>
      <c r="AA756" s="152"/>
    </row>
    <row r="757" spans="1:27" ht="12.75" hidden="1" customHeight="1" outlineLevel="2">
      <c r="A757" s="3"/>
      <c r="B757" s="3"/>
      <c r="C757" s="16"/>
      <c r="D757" s="1594"/>
      <c r="E757" s="61">
        <v>7</v>
      </c>
      <c r="F757" s="17"/>
      <c r="G757" s="17"/>
      <c r="H757" s="1414"/>
      <c r="I757" s="1414"/>
      <c r="J757" s="115"/>
      <c r="K757" s="115"/>
      <c r="L757" s="115"/>
      <c r="M757" s="115"/>
      <c r="N757" s="116"/>
      <c r="O757" s="18">
        <f>IF(A50taxstdlife="n/a","n/a",IF(O$3&gt;(A50taxstdlife+$E757),('RFM input'!$N$110-'RFM input'!$N$164)-SUM($N757:N757),('RFM input'!$N$110-'RFM input'!$N$164)/A50taxstdlife))</f>
        <v>0</v>
      </c>
      <c r="P757" s="18">
        <f>IF(A50taxstdlife="n/a","n/a",IF(P$3&gt;(A50taxstdlife+$E757),('RFM input'!$N$110-'RFM input'!$N$164)-SUM($N757:O757),('RFM input'!$N$110-'RFM input'!$N$164)/A50taxstdlife))</f>
        <v>0</v>
      </c>
      <c r="Q757" s="18">
        <f>IF(A50taxstdlife="n/a","n/a",IF(Q$3&gt;(A50taxstdlife+$E757),('RFM input'!$N$110-'RFM input'!$N$164)-SUM($N757:P757),('RFM input'!$N$110-'RFM input'!$N$164)/A50taxstdlife))</f>
        <v>0</v>
      </c>
      <c r="R757" s="18"/>
      <c r="S757" s="74"/>
      <c r="T757" s="74"/>
      <c r="U757" s="74"/>
      <c r="V757" s="74"/>
      <c r="W757" s="74"/>
      <c r="X757" s="74"/>
      <c r="Y757" s="74"/>
      <c r="Z757" s="74"/>
      <c r="AA757" s="152"/>
    </row>
    <row r="758" spans="1:27" ht="12.75" hidden="1" customHeight="1" outlineLevel="2">
      <c r="A758" s="3"/>
      <c r="B758" s="3"/>
      <c r="C758" s="16"/>
      <c r="D758" s="1594"/>
      <c r="E758" s="61">
        <v>8</v>
      </c>
      <c r="F758" s="17"/>
      <c r="G758" s="17"/>
      <c r="H758" s="1414"/>
      <c r="I758" s="1414"/>
      <c r="J758" s="115"/>
      <c r="K758" s="115"/>
      <c r="L758" s="115"/>
      <c r="M758" s="115"/>
      <c r="N758" s="115"/>
      <c r="O758" s="116"/>
      <c r="P758" s="18">
        <f>IF(A50taxstdlife="n/a","n/a",IF(P$3&gt;(A50taxstdlife+$E758),('RFM input'!$O$110-'RFM input'!$O$164)-SUM($O758:O758),('RFM input'!$O$110-'RFM input'!$O$164)/A50taxstdlife))</f>
        <v>0</v>
      </c>
      <c r="Q758" s="18">
        <f>IF(A50taxstdlife="n/a","n/a",IF(Q$3&gt;(A50taxstdlife+$E758),('RFM input'!$O$110-'RFM input'!$O$164)-SUM($O758:P758),('RFM input'!$O$110-'RFM input'!$O$164)/A50taxstdlife))</f>
        <v>0</v>
      </c>
      <c r="R758" s="18"/>
      <c r="S758" s="74"/>
      <c r="T758" s="74"/>
      <c r="U758" s="74"/>
      <c r="V758" s="74"/>
      <c r="W758" s="74"/>
      <c r="X758" s="74"/>
      <c r="Y758" s="74"/>
      <c r="Z758" s="74"/>
      <c r="AA758" s="152"/>
    </row>
    <row r="759" spans="1:27" ht="12.75" hidden="1" customHeight="1" outlineLevel="2">
      <c r="A759" s="3"/>
      <c r="B759" s="3"/>
      <c r="C759" s="16"/>
      <c r="D759" s="1594"/>
      <c r="E759" s="61">
        <v>9</v>
      </c>
      <c r="F759" s="17"/>
      <c r="G759" s="17"/>
      <c r="H759" s="1414"/>
      <c r="I759" s="1414"/>
      <c r="J759" s="115"/>
      <c r="K759" s="115"/>
      <c r="L759" s="115"/>
      <c r="M759" s="115"/>
      <c r="N759" s="115"/>
      <c r="O759" s="115"/>
      <c r="P759" s="116"/>
      <c r="Q759" s="18">
        <f>IF(A50taxstdlife="n/a","n/a",IF(Q$3&gt;(A50taxstdlife+$E759),('RFM input'!$P$110-'RFM input'!$P$164)-SUM($P759:P759),('RFM input'!$P$110-'RFM input'!$P$164)/A50taxstdlife))</f>
        <v>0</v>
      </c>
      <c r="R759" s="18"/>
      <c r="S759" s="74"/>
      <c r="T759" s="74"/>
      <c r="U759" s="74"/>
      <c r="V759" s="74"/>
      <c r="W759" s="74"/>
      <c r="X759" s="74"/>
      <c r="Y759" s="74"/>
      <c r="Z759" s="74"/>
      <c r="AA759" s="152"/>
    </row>
    <row r="760" spans="1:27" ht="12.75" hidden="1" customHeight="1" outlineLevel="2">
      <c r="A760" s="3"/>
      <c r="B760" s="3"/>
      <c r="C760" s="16"/>
      <c r="D760" s="1594"/>
      <c r="E760" s="62">
        <v>10</v>
      </c>
      <c r="F760" s="17"/>
      <c r="G760" s="17"/>
      <c r="H760" s="1414"/>
      <c r="I760" s="1414"/>
      <c r="J760" s="115"/>
      <c r="K760" s="115"/>
      <c r="L760" s="115"/>
      <c r="M760" s="115"/>
      <c r="N760" s="115"/>
      <c r="O760" s="115"/>
      <c r="P760" s="115"/>
      <c r="Q760" s="116"/>
      <c r="R760" s="18"/>
      <c r="S760" s="74"/>
      <c r="T760" s="74"/>
      <c r="U760" s="74"/>
      <c r="V760" s="74"/>
      <c r="W760" s="74"/>
      <c r="X760" s="74"/>
      <c r="Y760" s="74"/>
      <c r="Z760" s="74"/>
      <c r="AA760" s="152"/>
    </row>
    <row r="761" spans="1:27" hidden="1" outlineLevel="1">
      <c r="A761" s="3"/>
      <c r="B761" s="3"/>
      <c r="C761" s="134">
        <f>Asset50</f>
        <v>0</v>
      </c>
      <c r="D761" s="3"/>
      <c r="E761" s="3"/>
      <c r="F761" s="14"/>
      <c r="G761" s="14"/>
      <c r="H761" s="1460">
        <f>IF('RFM input'!$G$354="Tracked",-1*INDEX('RFM input'!H$358:H$407,MATCH('TAB roll forward'!$C761,'RFM input'!$E$358:$E$407,0)),-SUM(H749:H760))</f>
        <v>0</v>
      </c>
      <c r="I761" s="1460">
        <f>IF('RFM input'!$G$354="Tracked",-1*INDEX('RFM input'!I$358:I$407,MATCH('TAB roll forward'!$C761,'RFM input'!$E$358:$E$407,0)),-SUM(I749:I760))</f>
        <v>0</v>
      </c>
      <c r="J761" s="1460">
        <f>IF(COUNT($H761:I761)&gt;='RFM input'!$V$7,0,IF('RFM input'!$G$354="Tracked",-1*INDEX('RFM input'!J$358:J$407,MATCH('TAB roll forward'!$C761,'RFM input'!$E$358:$E$407,0)),-SUM(J749:J760)))</f>
        <v>0</v>
      </c>
      <c r="K761" s="1460">
        <f>IF(COUNT($H761:J761)&gt;='RFM input'!$V$7,0,IF('RFM input'!$G$354="Tracked",-1*INDEX('RFM input'!K$358:K$407,MATCH('TAB roll forward'!$C761,'RFM input'!$E$358:$E$407,0)),-SUM(K749:K760)))</f>
        <v>0</v>
      </c>
      <c r="L761" s="1460">
        <f>IF(COUNT($H761:K761)&gt;='RFM input'!$V$7,0,IF('RFM input'!$G$354="Tracked",-1*INDEX('RFM input'!L$358:L$407,MATCH('TAB roll forward'!$C761,'RFM input'!$E$358:$E$407,0)),-SUM(L749:L760)))</f>
        <v>0</v>
      </c>
      <c r="M761" s="1460">
        <f>IF(COUNT($H761:L761)&gt;='RFM input'!$V$7,0,IF('RFM input'!$G$354="Tracked",-1*INDEX('RFM input'!M$358:M$407,MATCH('TAB roll forward'!$C761,'RFM input'!$E$358:$E$407,0)),-SUM(M749:M760)))</f>
        <v>0</v>
      </c>
      <c r="N761" s="1460">
        <f>IF(COUNT($H761:M761)&gt;='RFM input'!$V$7,0,IF('RFM input'!$G$354="Tracked",-1*INDEX('RFM input'!N$358:N$407,MATCH('TAB roll forward'!$C761,'RFM input'!$E$358:$E$407,0)),-SUM(N749:N760)))</f>
        <v>0</v>
      </c>
      <c r="O761" s="1460">
        <f>IF(COUNT($H761:N761)&gt;='RFM input'!$V$7,0,IF('RFM input'!$G$354="Tracked",-1*INDEX('RFM input'!O$358:O$407,MATCH('TAB roll forward'!$C761,'RFM input'!$E$358:$E$407,0)),-SUM(O749:O760)))</f>
        <v>0</v>
      </c>
      <c r="P761" s="1460">
        <f>IF(COUNT($H761:O761)&gt;='RFM input'!$V$7,0,IF('RFM input'!$G$354="Tracked",-1*INDEX('RFM input'!P$358:P$407,MATCH('TAB roll forward'!$C761,'RFM input'!$E$358:$E$407,0)),-SUM(P749:P760)))</f>
        <v>0</v>
      </c>
      <c r="Q761" s="1460">
        <f>IF(COUNT($H761:P761)&gt;='RFM input'!$V$7,0,IF('RFM input'!$G$354="Tracked",-1*INDEX('RFM input'!Q$358:Q$407,MATCH('TAB roll forward'!$C761,'RFM input'!$E$358:$E$407,0)),-SUM(Q749:Q760)))</f>
        <v>0</v>
      </c>
      <c r="R761" s="1382"/>
      <c r="S761" s="73"/>
      <c r="T761" s="73"/>
      <c r="U761" s="73"/>
      <c r="V761" s="73"/>
      <c r="W761" s="73"/>
      <c r="X761" s="73"/>
      <c r="Y761" s="73"/>
      <c r="Z761" s="73"/>
      <c r="AA761" s="152"/>
    </row>
    <row r="762" spans="1:27" ht="12" customHeight="1" collapsed="1">
      <c r="A762" s="3"/>
      <c r="B762" s="3"/>
      <c r="C762" s="3"/>
      <c r="D762" s="3"/>
      <c r="E762" s="3"/>
      <c r="F762" s="3"/>
      <c r="G762" s="3"/>
      <c r="H762" s="248"/>
      <c r="I762" s="248"/>
      <c r="J762" s="248"/>
      <c r="K762" s="248"/>
      <c r="L762" s="248"/>
      <c r="M762" s="248"/>
      <c r="N762" s="248"/>
      <c r="O762" s="248"/>
      <c r="P762" s="248"/>
      <c r="Q762" s="248"/>
      <c r="R762" s="248"/>
      <c r="S762" s="3"/>
      <c r="T762" s="3"/>
      <c r="U762" s="3"/>
      <c r="V762" s="3"/>
      <c r="W762" s="3"/>
      <c r="X762" s="3"/>
      <c r="Y762" s="3"/>
      <c r="Z762" s="3"/>
      <c r="AA762" s="152"/>
    </row>
    <row r="763" spans="1:27" ht="1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152"/>
    </row>
    <row r="764" spans="1:27" ht="1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152"/>
    </row>
    <row r="765" spans="1:27" ht="1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152"/>
    </row>
    <row r="766" spans="1:27" ht="1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152"/>
    </row>
    <row r="767" spans="1:27" ht="1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152"/>
    </row>
    <row r="768" spans="1:27" ht="1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152"/>
    </row>
    <row r="769" spans="1:27" ht="1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152"/>
    </row>
    <row r="770" spans="1:27" ht="1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152"/>
    </row>
    <row r="771" spans="1:27" ht="1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152"/>
    </row>
    <row r="772" spans="1:27" ht="1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152"/>
    </row>
    <row r="773" spans="1:27" ht="1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152"/>
    </row>
    <row r="774" spans="1:27" ht="1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152"/>
    </row>
    <row r="775" spans="1:27" ht="1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152"/>
    </row>
    <row r="776" spans="1:27" ht="1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152"/>
    </row>
    <row r="777" spans="1:2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152"/>
    </row>
    <row r="778" spans="1:27">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152"/>
    </row>
    <row r="779" spans="1:27">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152"/>
    </row>
    <row r="780" spans="1:27">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152"/>
    </row>
    <row r="781" spans="1:27">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152"/>
    </row>
    <row r="782" spans="1:27">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152"/>
    </row>
    <row r="783" spans="1:27">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152"/>
    </row>
    <row r="784" spans="1:27">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152"/>
    </row>
    <row r="785" spans="1:27">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152"/>
    </row>
    <row r="786" spans="1:27">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152"/>
    </row>
    <row r="787" spans="1:2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152"/>
    </row>
    <row r="788" spans="1:27">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152"/>
    </row>
    <row r="789" spans="1:27">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152"/>
    </row>
    <row r="790" spans="1:27">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152"/>
    </row>
    <row r="791" spans="1:27">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152"/>
    </row>
    <row r="792" spans="1:27">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152"/>
    </row>
    <row r="793" spans="1:27">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152"/>
    </row>
    <row r="794" spans="1:27">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152"/>
    </row>
    <row r="795" spans="1:27">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152"/>
    </row>
    <row r="796" spans="1:27">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152"/>
    </row>
    <row r="797" spans="1:2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152"/>
    </row>
    <row r="798" spans="1:27">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152"/>
    </row>
    <row r="799" spans="1:27">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152"/>
    </row>
    <row r="800" spans="1:27">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152"/>
    </row>
  </sheetData>
  <mergeCells count="50">
    <mergeCell ref="D698:D708"/>
    <mergeCell ref="D711:D721"/>
    <mergeCell ref="D724:D734"/>
    <mergeCell ref="D737:D747"/>
    <mergeCell ref="D750:D760"/>
    <mergeCell ref="D633:D643"/>
    <mergeCell ref="D646:D656"/>
    <mergeCell ref="D659:D669"/>
    <mergeCell ref="D672:D682"/>
    <mergeCell ref="D685:D695"/>
    <mergeCell ref="D568:D578"/>
    <mergeCell ref="D581:D591"/>
    <mergeCell ref="D594:D604"/>
    <mergeCell ref="D607:D617"/>
    <mergeCell ref="D620:D630"/>
    <mergeCell ref="D503:D513"/>
    <mergeCell ref="D516:D526"/>
    <mergeCell ref="D529:D539"/>
    <mergeCell ref="D542:D552"/>
    <mergeCell ref="D555:D565"/>
    <mergeCell ref="D490:D500"/>
    <mergeCell ref="D425:D435"/>
    <mergeCell ref="D438:D448"/>
    <mergeCell ref="D451:D461"/>
    <mergeCell ref="D464:D474"/>
    <mergeCell ref="D373:D383"/>
    <mergeCell ref="D386:D396"/>
    <mergeCell ref="D399:D409"/>
    <mergeCell ref="D412:D422"/>
    <mergeCell ref="D477:D487"/>
    <mergeCell ref="D347:D357"/>
    <mergeCell ref="D360:D370"/>
    <mergeCell ref="D243:D253"/>
    <mergeCell ref="D256:D266"/>
    <mergeCell ref="D295:D305"/>
    <mergeCell ref="D308:D318"/>
    <mergeCell ref="D269:D279"/>
    <mergeCell ref="D282:D292"/>
    <mergeCell ref="D113:D123"/>
    <mergeCell ref="D321:D331"/>
    <mergeCell ref="D334:D344"/>
    <mergeCell ref="D126:D136"/>
    <mergeCell ref="D139:D149"/>
    <mergeCell ref="D152:D162"/>
    <mergeCell ref="D217:D227"/>
    <mergeCell ref="D230:D240"/>
    <mergeCell ref="D165:D175"/>
    <mergeCell ref="D178:D188"/>
    <mergeCell ref="D191:D201"/>
    <mergeCell ref="D204:D214"/>
  </mergeCells>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&amp;A</oddHeader>
    <oddFooter>&amp;LAppendix A - Transmission roll forward model - version 3&amp;R&amp;P</oddFooter>
  </headerFooter>
  <rowBreaks count="3" manualBreakCount="3">
    <brk id="48" max="17" man="1"/>
    <brk id="97" max="17" man="1"/>
    <brk id="475" max="17" man="1"/>
  </rowBreaks>
  <colBreaks count="1" manualBreakCount="1">
    <brk id="18" max="331" man="1"/>
  </col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B2750"/>
  <sheetViews>
    <sheetView showGridLines="0" zoomScale="90" zoomScaleNormal="90" workbookViewId="0"/>
  </sheetViews>
  <sheetFormatPr defaultRowHeight="12.75" outlineLevelRow="1"/>
  <cols>
    <col min="1" max="1" width="14.42578125" customWidth="1"/>
    <col min="2" max="2" width="38.5703125" customWidth="1"/>
    <col min="3" max="3" width="11.5703125" customWidth="1"/>
    <col min="4" max="23" width="10.5703125" customWidth="1"/>
  </cols>
  <sheetData>
    <row r="1" spans="1:28">
      <c r="A1" s="127"/>
      <c r="B1" s="127"/>
      <c r="C1" s="127"/>
      <c r="D1" s="127"/>
      <c r="E1" s="127"/>
      <c r="F1" s="127"/>
      <c r="G1" s="127"/>
      <c r="H1" s="127"/>
      <c r="I1" s="127"/>
      <c r="J1" s="213"/>
      <c r="K1" s="213"/>
      <c r="L1" s="213"/>
      <c r="M1" s="213"/>
      <c r="N1" s="213"/>
      <c r="O1" s="213"/>
      <c r="P1" s="213"/>
      <c r="Q1" s="213"/>
      <c r="R1" s="213"/>
      <c r="S1" s="127"/>
      <c r="T1" s="127"/>
      <c r="U1" s="127"/>
      <c r="V1" s="127"/>
      <c r="W1" s="127"/>
      <c r="X1" s="152"/>
      <c r="Y1" s="152"/>
      <c r="Z1" s="152"/>
      <c r="AA1" s="152"/>
      <c r="AB1" s="152"/>
    </row>
    <row r="2" spans="1:28" ht="15.75">
      <c r="A2" s="127"/>
      <c r="B2" s="176" t="str">
        <f>'DMS input'!$C$16&amp;" - Asset Lives Roll Forward"&amp;" - DNSP RFM - version "&amp;Intro!$M$4</f>
        <v>Aus Gas Qld - Asset Lives Roll Forward - DNSP RFM - version 3</v>
      </c>
      <c r="C2" s="128"/>
      <c r="D2" s="128"/>
      <c r="E2" s="128"/>
      <c r="F2" s="128"/>
      <c r="G2" s="128"/>
      <c r="H2" s="128"/>
      <c r="I2" s="128"/>
      <c r="J2" s="128"/>
      <c r="K2" s="128"/>
      <c r="L2" s="128"/>
      <c r="M2" s="128"/>
      <c r="N2" s="128"/>
      <c r="O2" s="128"/>
      <c r="P2" s="128"/>
      <c r="Q2" s="128"/>
      <c r="R2" s="128"/>
      <c r="S2" s="128"/>
      <c r="T2" s="128"/>
      <c r="U2" s="128"/>
      <c r="V2" s="128"/>
      <c r="W2" s="128"/>
      <c r="X2" s="152"/>
      <c r="Y2" s="152"/>
      <c r="Z2" s="152"/>
      <c r="AA2" s="152"/>
      <c r="AB2" s="152"/>
    </row>
    <row r="3" spans="1:28">
      <c r="A3" s="128"/>
      <c r="B3" s="128"/>
      <c r="C3" s="128"/>
      <c r="D3" s="128"/>
      <c r="E3" s="128"/>
      <c r="F3" s="128"/>
      <c r="G3" s="128"/>
      <c r="H3" s="128"/>
      <c r="I3" s="128"/>
      <c r="J3" s="128"/>
      <c r="K3" s="128"/>
      <c r="L3" s="128"/>
      <c r="M3" s="128"/>
      <c r="N3" s="128"/>
      <c r="O3" s="128"/>
      <c r="P3" s="128"/>
      <c r="Q3" s="128"/>
      <c r="R3" s="128"/>
      <c r="S3" s="128"/>
      <c r="T3" s="128"/>
      <c r="U3" s="128"/>
      <c r="V3" s="128"/>
      <c r="W3" s="128"/>
      <c r="X3" s="152"/>
      <c r="Y3" s="152"/>
      <c r="Z3" s="152"/>
      <c r="AA3" s="152"/>
      <c r="AB3" s="152"/>
    </row>
    <row r="4" spans="1:28" ht="16.5" customHeight="1">
      <c r="A4" s="56"/>
      <c r="B4" s="57"/>
      <c r="C4" s="56"/>
      <c r="D4" s="56"/>
      <c r="E4" s="56"/>
      <c r="F4" s="56"/>
      <c r="G4" s="95"/>
      <c r="H4" s="95"/>
      <c r="I4" s="95"/>
      <c r="J4" s="95"/>
      <c r="K4" s="95"/>
      <c r="L4" s="95"/>
      <c r="M4" s="95"/>
      <c r="N4" s="95"/>
      <c r="O4" s="95"/>
      <c r="P4" s="95"/>
      <c r="Q4" s="95"/>
      <c r="R4" s="95"/>
      <c r="S4" s="95"/>
      <c r="T4" s="95"/>
      <c r="U4" s="95"/>
      <c r="V4" s="95"/>
      <c r="W4" s="95"/>
      <c r="X4" s="152"/>
      <c r="Y4" s="152"/>
      <c r="Z4" s="152"/>
      <c r="AA4" s="152"/>
      <c r="AB4" s="152"/>
    </row>
    <row r="5" spans="1:28">
      <c r="A5" s="124"/>
      <c r="B5" s="106" t="s">
        <v>198</v>
      </c>
      <c r="C5" s="205"/>
      <c r="D5" s="124"/>
      <c r="E5" s="124"/>
      <c r="F5" s="124"/>
      <c r="G5" s="124"/>
      <c r="H5" s="124"/>
      <c r="I5" s="124"/>
      <c r="J5" s="124"/>
      <c r="K5" s="124"/>
      <c r="L5" s="124"/>
      <c r="M5" s="124"/>
      <c r="N5" s="124"/>
      <c r="O5" s="124"/>
      <c r="P5" s="124"/>
      <c r="Q5" s="124"/>
      <c r="R5" s="124"/>
      <c r="S5" s="124"/>
      <c r="T5" s="124"/>
      <c r="U5" s="124"/>
      <c r="V5" s="124"/>
      <c r="W5" s="124"/>
      <c r="X5" s="196"/>
      <c r="Y5" s="196"/>
      <c r="Z5" s="196"/>
      <c r="AA5" s="152"/>
      <c r="AB5" s="152"/>
    </row>
    <row r="6" spans="1:28" ht="15.75">
      <c r="A6" s="203"/>
      <c r="B6" s="203"/>
      <c r="C6" s="95" t="s">
        <v>124</v>
      </c>
      <c r="D6" s="95" t="str">
        <f>C8</f>
        <v>2016-17</v>
      </c>
      <c r="E6" s="95" t="str">
        <f>IF(LEN(D6)&gt;4,CONCATENATE(LEFT(D6,4)+1&amp;"-"&amp;IF(D6&gt;"2007-08",,"0")&amp;RIGHT(D6,2)+1),D6+1)</f>
        <v>2017-18</v>
      </c>
      <c r="F6" s="95" t="str">
        <f t="shared" ref="F6:W6" si="0">IF(LEN(E6)&gt;4,CONCATENATE(LEFT(E6,4)+1&amp;"-"&amp;IF(E6&gt;"2007-08",,"0")&amp;RIGHT(E6,2)+1),E6+1)</f>
        <v>2018-19</v>
      </c>
      <c r="G6" s="95" t="str">
        <f t="shared" si="0"/>
        <v>2019-20</v>
      </c>
      <c r="H6" s="95" t="str">
        <f t="shared" si="0"/>
        <v>2020-21</v>
      </c>
      <c r="I6" s="95" t="str">
        <f t="shared" si="0"/>
        <v>2021-22</v>
      </c>
      <c r="J6" s="95" t="str">
        <f t="shared" si="0"/>
        <v>2022-23</v>
      </c>
      <c r="K6" s="95" t="str">
        <f t="shared" si="0"/>
        <v>2023-24</v>
      </c>
      <c r="L6" s="95" t="str">
        <f t="shared" si="0"/>
        <v>2024-25</v>
      </c>
      <c r="M6" s="95" t="str">
        <f t="shared" si="0"/>
        <v>2025-26</v>
      </c>
      <c r="N6" s="95" t="str">
        <f t="shared" si="0"/>
        <v>2026-27</v>
      </c>
      <c r="O6" s="95" t="str">
        <f t="shared" si="0"/>
        <v>2027-28</v>
      </c>
      <c r="P6" s="95" t="str">
        <f t="shared" si="0"/>
        <v>2028-29</v>
      </c>
      <c r="Q6" s="95" t="str">
        <f t="shared" si="0"/>
        <v>2029-30</v>
      </c>
      <c r="R6" s="95" t="str">
        <f t="shared" si="0"/>
        <v>2030-31</v>
      </c>
      <c r="S6" s="95" t="str">
        <f t="shared" si="0"/>
        <v>2031-32</v>
      </c>
      <c r="T6" s="95" t="str">
        <f t="shared" si="0"/>
        <v>2032-33</v>
      </c>
      <c r="U6" s="95" t="str">
        <f t="shared" si="0"/>
        <v>2033-34</v>
      </c>
      <c r="V6" s="95" t="str">
        <f t="shared" si="0"/>
        <v>2034-35</v>
      </c>
      <c r="W6" s="95" t="str">
        <f t="shared" si="0"/>
        <v>2035-36</v>
      </c>
      <c r="X6" s="152"/>
      <c r="Y6" s="152"/>
      <c r="Z6" s="152"/>
      <c r="AA6" s="152"/>
      <c r="AB6" s="152"/>
    </row>
    <row r="7" spans="1:28" ht="9" customHeight="1">
      <c r="A7" s="206"/>
      <c r="B7" s="206"/>
      <c r="C7" s="196"/>
      <c r="D7" s="196"/>
      <c r="E7" s="196"/>
      <c r="F7" s="196"/>
      <c r="G7" s="196"/>
      <c r="H7" s="196"/>
      <c r="I7" s="196"/>
      <c r="J7" s="196"/>
      <c r="K7" s="196"/>
      <c r="L7" s="196"/>
      <c r="M7" s="196"/>
      <c r="N7" s="196"/>
      <c r="O7" s="196"/>
      <c r="P7" s="196"/>
      <c r="Q7" s="196"/>
      <c r="R7" s="196"/>
      <c r="S7" s="196"/>
      <c r="T7" s="196"/>
      <c r="U7" s="196"/>
      <c r="V7" s="196"/>
      <c r="W7" s="196"/>
      <c r="X7" s="152"/>
      <c r="Y7" s="152"/>
      <c r="Z7" s="152"/>
      <c r="AA7" s="152"/>
      <c r="AB7" s="152"/>
    </row>
    <row r="8" spans="1:28">
      <c r="A8" s="193"/>
      <c r="B8" s="193" t="s">
        <v>127</v>
      </c>
      <c r="C8" s="376" t="str">
        <f>'RFM input'!U7</f>
        <v>2016-17</v>
      </c>
      <c r="D8" s="216"/>
      <c r="E8" s="1461" t="str">
        <f ca="1">IF(AND(C8='RFM input'!Z7=FALSE,COUNTIF($9:$2711,"enter input")),"Note: The year entered in cell C8 as the 'first regulatory year' entered is different to the RFM base regulatory year. This requires inputs to be entered below for earlier regulatory control periods.","")</f>
        <v/>
      </c>
      <c r="F8" s="216"/>
      <c r="G8" s="216"/>
      <c r="H8" s="216"/>
      <c r="I8" s="216"/>
      <c r="J8" s="216"/>
      <c r="K8" s="216"/>
      <c r="L8" s="216"/>
      <c r="M8" s="216"/>
      <c r="N8" s="216"/>
      <c r="O8" s="216"/>
      <c r="P8" s="216"/>
      <c r="Q8" s="216"/>
      <c r="R8" s="216"/>
      <c r="S8" s="216"/>
      <c r="T8" s="216"/>
      <c r="U8" s="216"/>
      <c r="V8" s="216"/>
      <c r="W8" s="216"/>
      <c r="X8" s="152"/>
      <c r="Y8" s="152"/>
      <c r="Z8" s="152"/>
      <c r="AA8" s="152"/>
      <c r="AB8" s="152"/>
    </row>
    <row r="9" spans="1:28">
      <c r="A9" s="152"/>
      <c r="B9" s="193" t="str">
        <f>'RFM input'!E282</f>
        <v>Actual CPI Inflation Rate</v>
      </c>
      <c r="C9" s="377">
        <f>IFERROR(INDEX('RFM input'!$G$282:$Q$282,MATCH(D6,'RFM input'!$G$281:$Q$281,0)-1),"enter input")</f>
        <v>1.3108614232209881E-2</v>
      </c>
      <c r="D9" s="375">
        <f>IF(LEFT(D$6,4)&lt;LEFT('RFM input'!$G$60,4),"enter input",IF(LEFT(D$6,4)&gt;LEFT('RFM input'!$Q$60,4),0,INDEX('RFM input'!$E$281:$Q$289,MATCH($B9,'RFM input'!$E$281:$E$289,0),MATCH(D$6,'RFM input'!$E$281:$Q$281,0))))</f>
        <v>1.4760147601476037E-2</v>
      </c>
      <c r="E9" s="375">
        <f>IF(LEFT(E$6,4)&lt;LEFT('RFM input'!$G$60,4),"enter input",IF(LEFT(E$6,4)&gt;LEFT('RFM input'!$Q$60,4),0,INDEX('RFM input'!$E$281:$Q$289,MATCH($B9,'RFM input'!$E$281:$E$289,0),MATCH(E$6,'RFM input'!$E$281:$Q$281,0))))</f>
        <v>1.9090909090909047E-2</v>
      </c>
      <c r="F9" s="375">
        <f>IF(LEFT(F$6,4)&lt;LEFT('RFM input'!$G$60,4),"enter input",IF(LEFT(F$6,4)&gt;LEFT('RFM input'!$Q$60,4),0,INDEX('RFM input'!$E$281:$Q$289,MATCH($B9,'RFM input'!$E$281:$E$289,0),MATCH(F$6,'RFM input'!$E$281:$Q$281,0))))</f>
        <v>1.7841213202497874E-2</v>
      </c>
      <c r="G9" s="375">
        <f>IF(LEFT(G$6,4)&lt;LEFT('RFM input'!$G$60,4),"enter input",IF(LEFT(G$6,4)&gt;LEFT('RFM input'!$Q$60,4),0,INDEX('RFM input'!$E$281:$Q$289,MATCH($B9,'RFM input'!$E$281:$E$289,0),MATCH(G$6,'RFM input'!$E$281:$Q$281,0))))</f>
        <v>1.8404907975460238E-2</v>
      </c>
      <c r="H9" s="375">
        <f>IF(LEFT(H$6,4)&lt;LEFT('RFM input'!$G$60,4),"enter input",IF(LEFT(H$6,4)&gt;LEFT('RFM input'!$Q$60,4),0,INDEX('RFM input'!$E$281:$Q$289,MATCH($B9,'RFM input'!$E$281:$E$289,0),MATCH(H$6,'RFM input'!$E$281:$Q$281,0))))</f>
        <v>8.6E-3</v>
      </c>
      <c r="I9" s="375">
        <f>IF(LEFT(I$6,4)&lt;LEFT('RFM input'!$G$60,4),"enter input",IF(LEFT(I$6,4)&gt;LEFT('RFM input'!$Q$60,4),0,INDEX('RFM input'!$E$281:$Q$289,MATCH($B9,'RFM input'!$E$281:$E$289,0),MATCH(I$6,'RFM input'!$E$281:$Q$281,0))))</f>
        <v>3.4982935153583528E-2</v>
      </c>
      <c r="J9" s="375">
        <f>IF(LEFT(J$6,4)&lt;LEFT('RFM input'!$G$60,4),"enter input",IF(LEFT(J$6,4)&gt;LEFT('RFM input'!$Q$60,4),0,INDEX('RFM input'!$E$281:$Q$289,MATCH($B9,'RFM input'!$E$281:$E$289,0),MATCH(J$6,'RFM input'!$E$281:$Q$281,0))))</f>
        <v>7.8318219291014124E-2</v>
      </c>
      <c r="K9" s="375">
        <f>IF(LEFT(K$6,4)&lt;LEFT('RFM input'!$G$60,4),"enter input",IF(LEFT(K$6,4)&gt;LEFT('RFM input'!$Q$60,4),0,INDEX('RFM input'!$E$281:$Q$289,MATCH($B9,'RFM input'!$E$281:$E$289,0),MATCH(K$6,'RFM input'!$E$281:$Q$281,0))))</f>
        <v>0</v>
      </c>
      <c r="L9" s="375">
        <f>IF(LEFT(L$6,4)&lt;LEFT('RFM input'!$G$60,4),"enter input",IF(LEFT(L$6,4)&gt;LEFT('RFM input'!$Q$60,4),0,INDEX('RFM input'!$E$281:$Q$289,MATCH($B9,'RFM input'!$E$281:$E$289,0),MATCH(L$6,'RFM input'!$E$281:$Q$281,0))))</f>
        <v>0</v>
      </c>
      <c r="M9" s="375">
        <f>IF(LEFT(M$6,4)&lt;LEFT('RFM input'!$G$60,4),"enter input",IF(LEFT(M$6,4)&gt;LEFT('RFM input'!$Q$60,4),0,INDEX('RFM input'!$E$281:$Q$289,MATCH($B9,'RFM input'!$E$281:$E$289,0),MATCH(M$6,'RFM input'!$E$281:$Q$281,0))))</f>
        <v>0</v>
      </c>
      <c r="N9" s="375">
        <f>IF(LEFT(N$6,4)&lt;LEFT('RFM input'!$G$60,4),"enter input",IF(LEFT(N$6,4)&gt;LEFT('RFM input'!$Q$60,4),0,INDEX('RFM input'!$E$281:$Q$289,MATCH($B9,'RFM input'!$E$281:$E$289,0),MATCH(N$6,'RFM input'!$E$281:$Q$281,0))))</f>
        <v>0</v>
      </c>
      <c r="O9" s="375">
        <f>IF(LEFT(O$6,4)&lt;LEFT('RFM input'!$G$60,4),"enter input",IF(LEFT(O$6,4)&gt;LEFT('RFM input'!$Q$60,4),0,INDEX('RFM input'!$E$281:$Q$289,MATCH($B9,'RFM input'!$E$281:$E$289,0),MATCH(O$6,'RFM input'!$E$281:$Q$281,0))))</f>
        <v>0</v>
      </c>
      <c r="P9" s="375">
        <f>IF(LEFT(P$6,4)&lt;LEFT('RFM input'!$G$60,4),"enter input",IF(LEFT(P$6,4)&gt;LEFT('RFM input'!$Q$60,4),0,INDEX('RFM input'!$E$281:$Q$289,MATCH($B9,'RFM input'!$E$281:$E$289,0),MATCH(P$6,'RFM input'!$E$281:$Q$281,0))))</f>
        <v>0</v>
      </c>
      <c r="Q9" s="375">
        <f>IF(LEFT(Q$6,4)&lt;LEFT('RFM input'!$G$60,4),"enter input",IF(LEFT(Q$6,4)&gt;LEFT('RFM input'!$Q$60,4),0,INDEX('RFM input'!$E$281:$Q$289,MATCH($B9,'RFM input'!$E$281:$E$289,0),MATCH(Q$6,'RFM input'!$E$281:$Q$281,0))))</f>
        <v>0</v>
      </c>
      <c r="R9" s="375">
        <f>IF(LEFT(R$6,4)&lt;LEFT('RFM input'!$G$60,4),"enter input",IF(LEFT(R$6,4)&gt;LEFT('RFM input'!$Q$60,4),0,INDEX('RFM input'!$E$281:$Q$289,MATCH($B9,'RFM input'!$E$281:$E$289,0),MATCH(R$6,'RFM input'!$E$281:$Q$281,0))))</f>
        <v>0</v>
      </c>
      <c r="S9" s="375">
        <f>IF(LEFT(S$6,4)&lt;LEFT('RFM input'!$G$60,4),"enter input",IF(LEFT(S$6,4)&gt;LEFT('RFM input'!$Q$60,4),0,INDEX('RFM input'!$E$281:$Q$289,MATCH($B9,'RFM input'!$E$281:$E$289,0),MATCH(S$6,'RFM input'!$E$281:$Q$281,0))))</f>
        <v>0</v>
      </c>
      <c r="T9" s="375">
        <f>IF(LEFT(T$6,4)&lt;LEFT('RFM input'!$G$60,4),"enter input",IF(LEFT(T$6,4)&gt;LEFT('RFM input'!$Q$60,4),0,INDEX('RFM input'!$E$281:$Q$289,MATCH($B9,'RFM input'!$E$281:$E$289,0),MATCH(T$6,'RFM input'!$E$281:$Q$281,0))))</f>
        <v>0</v>
      </c>
      <c r="U9" s="375">
        <f>IF(LEFT(U$6,4)&lt;LEFT('RFM input'!$G$60,4),"enter input",IF(LEFT(U$6,4)&gt;LEFT('RFM input'!$Q$60,4),0,INDEX('RFM input'!$E$281:$Q$289,MATCH($B9,'RFM input'!$E$281:$E$289,0),MATCH(U$6,'RFM input'!$E$281:$Q$281,0))))</f>
        <v>0</v>
      </c>
      <c r="V9" s="375">
        <f>IF(LEFT(V$6,4)&lt;LEFT('RFM input'!$G$60,4),"enter input",IF(LEFT(V$6,4)&gt;LEFT('RFM input'!$Q$60,4),0,INDEX('RFM input'!$E$281:$Q$289,MATCH($B9,'RFM input'!$E$281:$E$289,0),MATCH(V$6,'RFM input'!$E$281:$Q$281,0))))</f>
        <v>0</v>
      </c>
      <c r="W9" s="375">
        <f>IF(LEFT(W$6,4)&lt;LEFT('RFM input'!$G$60,4),"enter input",IF(LEFT(W$6,4)&gt;LEFT('RFM input'!$Q$60,4),0,INDEX('RFM input'!$E$281:$Q$289,MATCH($B9,'RFM input'!$E$281:$E$289,0),MATCH(W$6,'RFM input'!$E$281:$Q$281,0))))</f>
        <v>0</v>
      </c>
      <c r="X9" s="152"/>
      <c r="Y9" s="152"/>
      <c r="Z9" s="152"/>
      <c r="AA9" s="152"/>
      <c r="AB9" s="152"/>
    </row>
    <row r="10" spans="1:28">
      <c r="A10" s="152"/>
      <c r="B10" s="193" t="s">
        <v>38</v>
      </c>
      <c r="C10" s="217">
        <v>1</v>
      </c>
      <c r="D10" s="247">
        <f>C10*(1+IF('RFM input'!$E$277='RFM input'!$G$276,C9,D9))</f>
        <v>1.0131086142322099</v>
      </c>
      <c r="E10" s="247">
        <f>D10*(1+IF('RFM input'!$E$277='RFM input'!$G$276,D9,E9))</f>
        <v>1.0280622469146041</v>
      </c>
      <c r="F10" s="247">
        <f>E10*(1+IF('RFM input'!$E$277='RFM input'!$G$276,E9,F9))</f>
        <v>1.0476888898102465</v>
      </c>
      <c r="G10" s="247">
        <f>F10*(1+IF('RFM input'!$E$277='RFM input'!$G$276,F9,G9))</f>
        <v>1.0663809306632395</v>
      </c>
      <c r="H10" s="247">
        <f>G10*(1+IF('RFM input'!$E$277='RFM input'!$G$276,G9,H9))</f>
        <v>1.0860075735588821</v>
      </c>
      <c r="I10" s="247">
        <f>H10*(1+IF('RFM input'!$E$277='RFM input'!$G$276,H9,I9))</f>
        <v>1.0953472386914884</v>
      </c>
      <c r="J10" s="247">
        <f>I10*(1+IF('RFM input'!$E$277='RFM input'!$G$276,I9,J9))</f>
        <v>1.1336657001132895</v>
      </c>
      <c r="K10" s="247">
        <f>J10*(1+IF('RFM input'!$E$277='RFM input'!$G$276,J9,K9))</f>
        <v>1.2224523790174631</v>
      </c>
      <c r="L10" s="247">
        <f>K10*(1+IF('RFM input'!$E$277='RFM input'!$G$276,K9,L9))</f>
        <v>1.2224523790174631</v>
      </c>
      <c r="M10" s="247">
        <f>L10*(1+IF('RFM input'!$E$277='RFM input'!$G$276,L9,M9))</f>
        <v>1.2224523790174631</v>
      </c>
      <c r="N10" s="217">
        <f t="shared" ref="N10:W10" si="1">M10*(1+M9)</f>
        <v>1.2224523790174631</v>
      </c>
      <c r="O10" s="217">
        <f t="shared" si="1"/>
        <v>1.2224523790174631</v>
      </c>
      <c r="P10" s="217">
        <f t="shared" si="1"/>
        <v>1.2224523790174631</v>
      </c>
      <c r="Q10" s="217">
        <f t="shared" si="1"/>
        <v>1.2224523790174631</v>
      </c>
      <c r="R10" s="217">
        <f t="shared" si="1"/>
        <v>1.2224523790174631</v>
      </c>
      <c r="S10" s="217">
        <f t="shared" si="1"/>
        <v>1.2224523790174631</v>
      </c>
      <c r="T10" s="217">
        <f t="shared" si="1"/>
        <v>1.2224523790174631</v>
      </c>
      <c r="U10" s="217">
        <f t="shared" si="1"/>
        <v>1.2224523790174631</v>
      </c>
      <c r="V10" s="217">
        <f t="shared" si="1"/>
        <v>1.2224523790174631</v>
      </c>
      <c r="W10" s="217">
        <f t="shared" si="1"/>
        <v>1.2224523790174631</v>
      </c>
      <c r="X10" s="152"/>
      <c r="Y10" s="152"/>
      <c r="Z10" s="152"/>
      <c r="AA10" s="152"/>
      <c r="AB10" s="152"/>
    </row>
    <row r="11" spans="1:28">
      <c r="A11" s="152"/>
      <c r="B11" s="198" t="s">
        <v>42</v>
      </c>
      <c r="C11" s="378">
        <f>IFERROR(INDEX('RFM input'!$E$281:$Q$289,MATCH($B11,'RFM input'!$E$281:$E$289,0),MATCH(D$6,'RFM input'!$E$281:$Q$281,0)-1),"enter input")</f>
        <v>8.9474578035378949E-2</v>
      </c>
      <c r="D11" s="375">
        <f>IF(LEFT(D$6,4)&lt;LEFT('RFM input'!$G$60,4),"enter input",IF(LEFT(D$6,4)&gt;LEFT('RFM input'!$Q$60,4),0,INDEX('RFM input'!$E$281:$Q$289,MATCH($B11,'RFM input'!$E$281:$E$289,0),MATCH(D$6,'RFM input'!$E$281:$Q$281,0))))</f>
        <v>5.1964535226901143E-2</v>
      </c>
      <c r="E11" s="375">
        <f>IF(LEFT(E$6,4)&lt;LEFT('RFM input'!$G$60,4),"enter input",IF(LEFT(E$6,4)&gt;LEFT('RFM input'!$Q$60,4),0,INDEX('RFM input'!$E$281:$Q$289,MATCH($B11,'RFM input'!$E$281:$E$289,0),MATCH(E$6,'RFM input'!$E$281:$Q$281,0))))</f>
        <v>5.6213644660474182E-2</v>
      </c>
      <c r="F11" s="375">
        <f>IF(LEFT(F$6,4)&lt;LEFT('RFM input'!$G$60,4),"enter input",IF(LEFT(F$6,4)&gt;LEFT('RFM input'!$Q$60,4),0,INDEX('RFM input'!$E$281:$Q$289,MATCH($B11,'RFM input'!$E$281:$E$289,0),MATCH(F$6,'RFM input'!$E$281:$Q$281,0))))</f>
        <v>5.4349388582837888E-2</v>
      </c>
      <c r="G11" s="375">
        <f>IF(LEFT(G$6,4)&lt;LEFT('RFM input'!$G$60,4),"enter input",IF(LEFT(G$6,4)&gt;LEFT('RFM input'!$Q$60,4),0,INDEX('RFM input'!$E$281:$Q$289,MATCH($B11,'RFM input'!$E$281:$E$289,0),MATCH(G$6,'RFM input'!$E$281:$Q$281,0))))</f>
        <v>5.4232330214774693E-2</v>
      </c>
      <c r="H11" s="375">
        <f>IF(LEFT(H$6,4)&lt;LEFT('RFM input'!$G$60,4),"enter input",IF(LEFT(H$6,4)&gt;LEFT('RFM input'!$Q$60,4),0,INDEX('RFM input'!$E$281:$Q$289,MATCH($B11,'RFM input'!$E$281:$E$289,0),MATCH(H$6,'RFM input'!$E$281:$Q$281,0))))</f>
        <v>4.6435292988958654E-2</v>
      </c>
      <c r="I11" s="375">
        <f>IF(LEFT(I$6,4)&lt;LEFT('RFM input'!$G$60,4),"enter input",IF(LEFT(I$6,4)&gt;LEFT('RFM input'!$Q$60,4),0,INDEX('RFM input'!$E$281:$Q$289,MATCH($B11,'RFM input'!$E$281:$E$289,0),MATCH(I$6,'RFM input'!$E$281:$Q$281,0))))</f>
        <v>6.5017734056079801E-2</v>
      </c>
      <c r="J11" s="375">
        <f>IF(LEFT(J$6,4)&lt;LEFT('RFM input'!$G$60,4),"enter input",IF(LEFT(J$6,4)&gt;LEFT('RFM input'!$Q$60,4),0,INDEX('RFM input'!$E$281:$Q$289,MATCH($B11,'RFM input'!$E$281:$E$289,0),MATCH(J$6,'RFM input'!$E$281:$Q$281,0))))</f>
        <v>0.10855341642015426</v>
      </c>
      <c r="K11" s="375">
        <f>IF(LEFT(K$6,4)&lt;LEFT('RFM input'!$G$60,4),"enter input",IF(LEFT(K$6,4)&gt;LEFT('RFM input'!$Q$60,4),0,INDEX('RFM input'!$E$281:$Q$289,MATCH($B11,'RFM input'!$E$281:$E$289,0),MATCH(K$6,'RFM input'!$E$281:$Q$281,0))))</f>
        <v>2.7156862745097987E-2</v>
      </c>
      <c r="L11" s="375">
        <f>IF(LEFT(L$6,4)&lt;LEFT('RFM input'!$G$60,4),"enter input",IF(LEFT(L$6,4)&gt;LEFT('RFM input'!$Q$60,4),0,INDEX('RFM input'!$E$281:$Q$289,MATCH($B11,'RFM input'!$E$281:$E$289,0),MATCH(L$6,'RFM input'!$E$281:$Q$281,0))))</f>
        <v>2.6372549019607838E-2</v>
      </c>
      <c r="M11" s="375">
        <f>IF(LEFT(M$6,4)&lt;LEFT('RFM input'!$G$60,4),"enter input",IF(LEFT(M$6,4)&gt;LEFT('RFM input'!$Q$60,4),0,INDEX('RFM input'!$E$281:$Q$289,MATCH($B11,'RFM input'!$E$281:$E$289,0),MATCH(M$6,'RFM input'!$E$281:$Q$281,0))))</f>
        <v>2.5686274509803875E-2</v>
      </c>
      <c r="N11" s="375">
        <f>IF(LEFT(N$6,4)&lt;LEFT('RFM input'!$G$60,4),"enter input",IF(LEFT(N$6,4)&gt;LEFT('RFM input'!$Q$60,4),0,INDEX('RFM input'!$E$281:$Q$289,MATCH($B11,'RFM input'!$E$281:$E$289,0),MATCH(N$6,'RFM input'!$E$281:$Q$281,0))))</f>
        <v>0</v>
      </c>
      <c r="O11" s="375">
        <f>IF(LEFT(O$6,4)&lt;LEFT('RFM input'!$G$60,4),"enter input",IF(LEFT(O$6,4)&gt;LEFT('RFM input'!$Q$60,4),0,INDEX('RFM input'!$E$281:$Q$289,MATCH($B11,'RFM input'!$E$281:$E$289,0),MATCH(O$6,'RFM input'!$E$281:$Q$281,0))))</f>
        <v>0</v>
      </c>
      <c r="P11" s="375">
        <f>IF(LEFT(P$6,4)&lt;LEFT('RFM input'!$G$60,4),"enter input",IF(LEFT(P$6,4)&gt;LEFT('RFM input'!$Q$60,4),0,INDEX('RFM input'!$E$281:$Q$289,MATCH($B11,'RFM input'!$E$281:$E$289,0),MATCH(P$6,'RFM input'!$E$281:$Q$281,0))))</f>
        <v>0</v>
      </c>
      <c r="Q11" s="375">
        <f>IF(LEFT(Q$6,4)&lt;LEFT('RFM input'!$G$60,4),"enter input",IF(LEFT(Q$6,4)&gt;LEFT('RFM input'!$Q$60,4),0,INDEX('RFM input'!$E$281:$Q$289,MATCH($B11,'RFM input'!$E$281:$E$289,0),MATCH(Q$6,'RFM input'!$E$281:$Q$281,0))))</f>
        <v>0</v>
      </c>
      <c r="R11" s="375">
        <f>IF(LEFT(R$6,4)&lt;LEFT('RFM input'!$G$60,4),"enter input",IF(LEFT(R$6,4)&gt;LEFT('RFM input'!$Q$60,4),0,INDEX('RFM input'!$E$281:$Q$289,MATCH($B11,'RFM input'!$E$281:$E$289,0),MATCH(R$6,'RFM input'!$E$281:$Q$281,0))))</f>
        <v>0</v>
      </c>
      <c r="S11" s="375">
        <f>IF(LEFT(S$6,4)&lt;LEFT('RFM input'!$G$60,4),"enter input",IF(LEFT(S$6,4)&gt;LEFT('RFM input'!$Q$60,4),0,INDEX('RFM input'!$E$281:$Q$289,MATCH($B11,'RFM input'!$E$281:$E$289,0),MATCH(S$6,'RFM input'!$E$281:$Q$281,0))))</f>
        <v>0</v>
      </c>
      <c r="T11" s="375">
        <f>IF(LEFT(T$6,4)&lt;LEFT('RFM input'!$G$60,4),"enter input",IF(LEFT(T$6,4)&gt;LEFT('RFM input'!$Q$60,4),0,INDEX('RFM input'!$E$281:$Q$289,MATCH($B11,'RFM input'!$E$281:$E$289,0),MATCH(T$6,'RFM input'!$E$281:$Q$281,0))))</f>
        <v>0</v>
      </c>
      <c r="U11" s="375">
        <f>IF(LEFT(U$6,4)&lt;LEFT('RFM input'!$G$60,4),"enter input",IF(LEFT(U$6,4)&gt;LEFT('RFM input'!$Q$60,4),0,INDEX('RFM input'!$E$281:$Q$289,MATCH($B11,'RFM input'!$E$281:$E$289,0),MATCH(U$6,'RFM input'!$E$281:$Q$281,0))))</f>
        <v>0</v>
      </c>
      <c r="V11" s="375">
        <f>IF(LEFT(V$6,4)&lt;LEFT('RFM input'!$G$60,4),"enter input",IF(LEFT(V$6,4)&gt;LEFT('RFM input'!$Q$60,4),0,INDEX('RFM input'!$E$281:$Q$289,MATCH($B11,'RFM input'!$E$281:$E$289,0),MATCH(V$6,'RFM input'!$E$281:$Q$281,0))))</f>
        <v>0</v>
      </c>
      <c r="W11" s="375">
        <f>IF(LEFT(W$6,4)&lt;LEFT('RFM input'!$G$60,4),"enter input",IF(LEFT(W$6,4)&gt;LEFT('RFM input'!$Q$60,4),0,INDEX('RFM input'!$E$281:$Q$289,MATCH($B11,'RFM input'!$E$281:$E$289,0),MATCH(W$6,'RFM input'!$E$281:$Q$281,0))))</f>
        <v>0</v>
      </c>
      <c r="X11" s="152"/>
      <c r="Y11" s="152"/>
      <c r="Z11" s="152"/>
      <c r="AA11" s="152"/>
      <c r="AB11" s="152"/>
    </row>
    <row r="12" spans="1:28">
      <c r="A12" s="152"/>
      <c r="B12" s="193"/>
      <c r="C12" s="201"/>
      <c r="D12" s="201"/>
      <c r="E12" s="201"/>
      <c r="F12" s="201"/>
      <c r="G12" s="201"/>
      <c r="H12" s="201"/>
      <c r="I12" s="201"/>
      <c r="J12" s="201"/>
      <c r="K12" s="201"/>
      <c r="L12" s="201"/>
      <c r="M12" s="201"/>
      <c r="N12" s="201"/>
      <c r="O12" s="201"/>
      <c r="P12" s="201"/>
      <c r="Q12" s="201"/>
      <c r="R12" s="201"/>
      <c r="S12" s="201"/>
      <c r="T12" s="201"/>
      <c r="U12" s="201"/>
      <c r="V12" s="201"/>
      <c r="W12" s="201"/>
      <c r="X12" s="152"/>
      <c r="Y12" s="152"/>
      <c r="Z12" s="152"/>
      <c r="AA12" s="152"/>
      <c r="AB12" s="152"/>
    </row>
    <row r="13" spans="1:28">
      <c r="A13" s="269" t="s">
        <v>0</v>
      </c>
      <c r="B13" s="274" t="str">
        <f>VLOOKUP($A13,'RFM input'!$E$7:$F$56,2,FALSE)</f>
        <v>Mains</v>
      </c>
      <c r="C13" s="275"/>
      <c r="D13" s="275"/>
      <c r="E13" s="275"/>
      <c r="F13" s="275"/>
      <c r="G13" s="275"/>
      <c r="H13" s="275"/>
      <c r="I13" s="275"/>
      <c r="J13" s="275"/>
      <c r="K13" s="275"/>
      <c r="L13" s="275"/>
      <c r="M13" s="275"/>
      <c r="N13" s="275"/>
      <c r="O13" s="275"/>
      <c r="P13" s="275"/>
      <c r="Q13" s="218"/>
      <c r="R13" s="218"/>
      <c r="S13" s="218"/>
      <c r="T13" s="218"/>
      <c r="U13" s="218"/>
      <c r="V13" s="218"/>
      <c r="W13" s="218"/>
      <c r="X13" s="152"/>
      <c r="Y13" s="152"/>
      <c r="Z13" s="152"/>
      <c r="AA13" s="152"/>
      <c r="AB13" s="152"/>
    </row>
    <row r="14" spans="1:28">
      <c r="A14" s="215">
        <f>VALUE(REPLACE(A13,1,12,""))</f>
        <v>1</v>
      </c>
      <c r="B14" s="193" t="s">
        <v>126</v>
      </c>
      <c r="C14" s="1416">
        <f ca="1">IF($C$8='Capital Base roll forward'!$H$4,OFFSET('Capital Base roll forward'!$H$717,'RAB remaining lives'!A14,0),"enter input")</f>
        <v>307.40493907947723</v>
      </c>
      <c r="D14" s="1417">
        <f>IF(LEFT(D$6,4)&lt;LEFT('RFM input'!$G$60,4),"enter input",IF(LEFT(D$6,4)&gt;LEFT('RFM input'!$Q$60,4),0,
INDEX('RFM input'!$G$61:$Q$110,$A14,MATCH(D$6,'RFM input'!$G$60:$Q$60,0))
-INDEX('RFM input'!$G$115:$Q$164,$A14,MATCH(D$6,'RFM input'!$G$60:$Q$60,0))
-INDEX('RFM input'!$G$169:$Q$218,$A14,MATCH(D$6,'RFM input'!$G$60:$Q$60,0))))</f>
        <v>10.32756350524788</v>
      </c>
      <c r="E14" s="1417">
        <f>IF(LEFT(E$6,4)&lt;LEFT('RFM input'!$G$60,4),"enter input",IF(LEFT(E$6,4)&gt;LEFT('RFM input'!$Q$60,4),0,INDEX('RFM input'!$G$61:$Q$110,$A14,MATCH(E$6,'RFM input'!$G$60:$Q$60,0))
-INDEX('RFM input'!$G$115:$Q$164,$A14,MATCH(E$6,'RFM input'!$G$60:$Q$60,0))
-INDEX('RFM input'!$G$169:$Q$218,$A14,MATCH(E$6,'RFM input'!$G$60:$Q$60,0))))</f>
        <v>11.423645682549747</v>
      </c>
      <c r="F14" s="1417">
        <f>IF(LEFT(F$6,4)&lt;LEFT('RFM input'!$G$60,4),"enter input",IF(LEFT(F$6,4)&gt;LEFT('RFM input'!$Q$60,4),0,INDEX('RFM input'!$G$61:$Q$110,$A14,MATCH(F$6,'RFM input'!$G$60:$Q$60,0))
-INDEX('RFM input'!$G$115:$Q$164,$A14,MATCH(F$6,'RFM input'!$G$60:$Q$60,0))
-INDEX('RFM input'!$G$169:$Q$218,$A14,MATCH(F$6,'RFM input'!$G$60:$Q$60,0))))</f>
        <v>11.110019130476418</v>
      </c>
      <c r="G14" s="1417">
        <f>IF(LEFT(G$6,4)&lt;LEFT('RFM input'!$G$60,4),"enter input",IF(LEFT(G$6,4)&gt;LEFT('RFM input'!$Q$60,4),0,INDEX('RFM input'!$G$61:$Q$110,$A14,MATCH(G$6,'RFM input'!$G$60:$Q$60,0))
-INDEX('RFM input'!$G$115:$Q$164,$A14,MATCH(G$6,'RFM input'!$G$60:$Q$60,0))
-INDEX('RFM input'!$G$169:$Q$218,$A14,MATCH(G$6,'RFM input'!$G$60:$Q$60,0))))</f>
        <v>9.6360363415819545</v>
      </c>
      <c r="H14" s="1417">
        <f>IF(LEFT(H$6,4)&lt;LEFT('RFM input'!$G$60,4),"enter input",IF(LEFT(H$6,4)&gt;LEFT('RFM input'!$Q$60,4),0,INDEX('RFM input'!$G$61:$Q$110,$A14,MATCH(H$6,'RFM input'!$G$60:$Q$60,0))
-INDEX('RFM input'!$G$115:$Q$164,$A14,MATCH(H$6,'RFM input'!$G$60:$Q$60,0))
-INDEX('RFM input'!$G$169:$Q$218,$A14,MATCH(H$6,'RFM input'!$G$60:$Q$60,0))))</f>
        <v>7.8688760001268196</v>
      </c>
      <c r="I14" s="1417">
        <f>IF(LEFT(I$6,4)&lt;LEFT('RFM input'!$G$60,4),"enter input",IF(LEFT(I$6,4)&gt;LEFT('RFM input'!$Q$60,4),0,INDEX('RFM input'!$G$61:$Q$110,$A14,MATCH(I$6,'RFM input'!$G$60:$Q$60,0))
-INDEX('RFM input'!$G$115:$Q$164,$A14,MATCH(I$6,'RFM input'!$G$60:$Q$60,0))
-INDEX('RFM input'!$G$169:$Q$218,$A14,MATCH(I$6,'RFM input'!$G$60:$Q$60,0))))</f>
        <v>14.809407528527405</v>
      </c>
      <c r="J14" s="1417">
        <f>IF(LEFT(J$6,4)&lt;LEFT('RFM input'!$G$60,4),"enter input",IF(LEFT(J$6,4)&gt;LEFT('RFM input'!$Q$60,4),0,INDEX('RFM input'!$G$61:$Q$110,$A14,MATCH(J$6,'RFM input'!$G$60:$Q$60,0))
-INDEX('RFM input'!$G$115:$Q$164,$A14,MATCH(J$6,'RFM input'!$G$60:$Q$60,0))
-INDEX('RFM input'!$G$169:$Q$218,$A14,MATCH(J$6,'RFM input'!$G$60:$Q$60,0))))</f>
        <v>3.6501634462205206</v>
      </c>
      <c r="K14" s="1417">
        <f>IF(LEFT(K$6,4)&lt;LEFT('RFM input'!$G$60,4),"enter input",IF(LEFT(K$6,4)&gt;LEFT('RFM input'!$Q$60,4),0,INDEX('RFM input'!$G$61:$Q$110,$A14,MATCH(K$6,'RFM input'!$G$60:$Q$60,0))
-INDEX('RFM input'!$G$115:$Q$164,$A14,MATCH(K$6,'RFM input'!$G$60:$Q$60,0))
-INDEX('RFM input'!$G$169:$Q$218,$A14,MATCH(K$6,'RFM input'!$G$60:$Q$60,0))))</f>
        <v>0</v>
      </c>
      <c r="L14" s="1417">
        <f>IF(LEFT(L$6,4)&lt;LEFT('RFM input'!$G$60,4),"enter input",IF(LEFT(L$6,4)&gt;LEFT('RFM input'!$Q$60,4),0,INDEX('RFM input'!$G$61:$Q$110,$A14,MATCH(L$6,'RFM input'!$G$60:$Q$60,0))
-INDEX('RFM input'!$G$115:$Q$164,$A14,MATCH(L$6,'RFM input'!$G$60:$Q$60,0))
-INDEX('RFM input'!$G$169:$Q$218,$A14,MATCH(L$6,'RFM input'!$G$60:$Q$60,0))))</f>
        <v>0</v>
      </c>
      <c r="M14" s="1417">
        <f>IF(LEFT(M$6,4)&lt;LEFT('RFM input'!$G$60,4),"enter input",IF(LEFT(M$6,4)&gt;LEFT('RFM input'!$Q$60,4),0,INDEX('RFM input'!$G$61:$Q$110,$A14,MATCH(M$6,'RFM input'!$G$60:$Q$60,0))
-INDEX('RFM input'!$G$115:$Q$164,$A14,MATCH(M$6,'RFM input'!$G$60:$Q$60,0))
-INDEX('RFM input'!$G$169:$Q$218,$A14,MATCH(M$6,'RFM input'!$G$60:$Q$60,0))))</f>
        <v>0</v>
      </c>
      <c r="N14" s="1417">
        <f>IF(LEFT(N$6,4)&lt;LEFT('RFM input'!$G$60,4),"enter input",IF(LEFT(N$6,4)&gt;LEFT('RFM input'!$Q$60,4),0,INDEX('RFM input'!$G$61:$Q$110,$A14,MATCH(N$6,'RFM input'!$G$60:$Q$60,0))
-INDEX('RFM input'!$G$115:$Q$164,$A14,MATCH(N$6,'RFM input'!$G$60:$Q$60,0))
-INDEX('RFM input'!$G$169:$Q$218,$A14,MATCH(N$6,'RFM input'!$G$60:$Q$60,0))))</f>
        <v>0</v>
      </c>
      <c r="O14" s="1417">
        <f>IF(LEFT(O$6,4)&lt;LEFT('RFM input'!$G$60,4),"enter input",IF(LEFT(O$6,4)&gt;LEFT('RFM input'!$Q$60,4),0,INDEX('RFM input'!$G$61:$Q$110,$A14,MATCH(O$6,'RFM input'!$G$60:$Q$60,0))
-INDEX('RFM input'!$G$115:$Q$164,$A14,MATCH(O$6,'RFM input'!$G$60:$Q$60,0))
-INDEX('RFM input'!$G$169:$Q$218,$A14,MATCH(O$6,'RFM input'!$G$60:$Q$60,0))))</f>
        <v>0</v>
      </c>
      <c r="P14" s="1417">
        <f>IF(LEFT(P$6,4)&lt;LEFT('RFM input'!$G$60,4),"enter input",IF(LEFT(P$6,4)&gt;LEFT('RFM input'!$Q$60,4),0,INDEX('RFM input'!$G$61:$Q$110,$A14,MATCH(P$6,'RFM input'!$G$60:$Q$60,0))
-INDEX('RFM input'!$G$115:$Q$164,$A14,MATCH(P$6,'RFM input'!$G$60:$Q$60,0))
-INDEX('RFM input'!$G$169:$Q$218,$A14,MATCH(P$6,'RFM input'!$G$60:$Q$60,0))))</f>
        <v>0</v>
      </c>
      <c r="Q14" s="1417">
        <f>IF(LEFT(Q$6,4)&lt;LEFT('RFM input'!$G$60,4),"enter input",IF(LEFT(Q$6,4)&gt;LEFT('RFM input'!$Q$60,4),0,INDEX('RFM input'!$G$61:$Q$110,$A14,MATCH(Q$6,'RFM input'!$G$60:$Q$60,0))
-INDEX('RFM input'!$G$115:$Q$164,$A14,MATCH(Q$6,'RFM input'!$G$60:$Q$60,0))
-INDEX('RFM input'!$G$169:$Q$218,$A14,MATCH(Q$6,'RFM input'!$G$60:$Q$60,0))))</f>
        <v>0</v>
      </c>
      <c r="R14" s="1417">
        <f>IF(LEFT(R$6,4)&lt;LEFT('RFM input'!$G$60,4),"enter input",IF(LEFT(R$6,4)&gt;LEFT('RFM input'!$Q$60,4),0,INDEX('RFM input'!$G$61:$Q$110,$A14,MATCH(R$6,'RFM input'!$G$60:$Q$60,0))
-INDEX('RFM input'!$G$115:$Q$164,$A14,MATCH(R$6,'RFM input'!$G$60:$Q$60,0))
-INDEX('RFM input'!$G$169:$Q$218,$A14,MATCH(R$6,'RFM input'!$G$60:$Q$60,0))))</f>
        <v>0</v>
      </c>
      <c r="S14" s="1417">
        <f>IF(LEFT(S$6,4)&lt;LEFT('RFM input'!$G$60,4),"enter input",IF(LEFT(S$6,4)&gt;LEFT('RFM input'!$Q$60,4),0,INDEX('RFM input'!$G$61:$Q$110,$A14,MATCH(S$6,'RFM input'!$G$60:$Q$60,0))
-INDEX('RFM input'!$G$115:$Q$164,$A14,MATCH(S$6,'RFM input'!$G$60:$Q$60,0))
-INDEX('RFM input'!$G$169:$Q$218,$A14,MATCH(S$6,'RFM input'!$G$60:$Q$60,0))))</f>
        <v>0</v>
      </c>
      <c r="T14" s="1417">
        <f>IF(LEFT(T$6,4)&lt;LEFT('RFM input'!$G$60,4),"enter input",IF(LEFT(T$6,4)&gt;LEFT('RFM input'!$Q$60,4),0,INDEX('RFM input'!$G$61:$Q$110,$A14,MATCH(T$6,'RFM input'!$G$60:$Q$60,0))
-INDEX('RFM input'!$G$115:$Q$164,$A14,MATCH(T$6,'RFM input'!$G$60:$Q$60,0))
-INDEX('RFM input'!$G$169:$Q$218,$A14,MATCH(T$6,'RFM input'!$G$60:$Q$60,0))))</f>
        <v>0</v>
      </c>
      <c r="U14" s="1417">
        <f>IF(LEFT(U$6,4)&lt;LEFT('RFM input'!$G$60,4),"enter input",IF(LEFT(U$6,4)&gt;LEFT('RFM input'!$Q$60,4),0,INDEX('RFM input'!$G$61:$Q$110,$A14,MATCH(U$6,'RFM input'!$G$60:$Q$60,0))
-INDEX('RFM input'!$G$115:$Q$164,$A14,MATCH(U$6,'RFM input'!$G$60:$Q$60,0))
-INDEX('RFM input'!$G$169:$Q$218,$A14,MATCH(U$6,'RFM input'!$G$60:$Q$60,0))))</f>
        <v>0</v>
      </c>
      <c r="V14" s="1417">
        <f>IF(LEFT(V$6,4)&lt;LEFT('RFM input'!$G$60,4),"enter input",IF(LEFT(V$6,4)&gt;LEFT('RFM input'!$Q$60,4),0,INDEX('RFM input'!$G$61:$Q$110,$A14,MATCH(V$6,'RFM input'!$G$60:$Q$60,0))
-INDEX('RFM input'!$G$115:$Q$164,$A14,MATCH(V$6,'RFM input'!$G$60:$Q$60,0))
-INDEX('RFM input'!$G$169:$Q$218,$A14,MATCH(V$6,'RFM input'!$G$60:$Q$60,0))))</f>
        <v>0</v>
      </c>
      <c r="W14" s="1417">
        <f>IF(LEFT(W$6,4)&lt;LEFT('RFM input'!$G$60,4),"enter input",IF(LEFT(W$6,4)&gt;LEFT('RFM input'!$Q$60,4),0,INDEX('RFM input'!$G$61:$Q$110,$A14,MATCH(W$6,'RFM input'!$G$60:$Q$60,0))
-INDEX('RFM input'!$G$115:$Q$164,$A14,MATCH(W$6,'RFM input'!$G$60:$Q$60,0))
-INDEX('RFM input'!$G$169:$Q$218,$A14,MATCH(W$6,'RFM input'!$G$60:$Q$60,0))))</f>
        <v>0</v>
      </c>
      <c r="X14" s="152"/>
      <c r="Y14" s="152"/>
      <c r="Z14" s="152"/>
      <c r="AA14" s="152"/>
      <c r="AB14" s="152"/>
    </row>
    <row r="15" spans="1:28">
      <c r="A15" s="152"/>
      <c r="B15" s="152" t="s">
        <v>204</v>
      </c>
      <c r="C15" s="1418">
        <f ca="1">IF($C$8='Capital Base roll forward'!$H$4,OFFSET('RFM input'!$J$6,'RAB remaining lives'!A14,0),"enter input")</f>
        <v>40</v>
      </c>
      <c r="D15" s="1417">
        <f>IF(LEFT(D$6,4)&lt;=LEFT('RFM input'!$G$60,4),"enter input",IF(LEFT(D$6,4)&gt;LEFT('RFM input'!$Q$60,4),0,IF(MATCH(D$6,'RFM input'!$H$60:$Q$60,0),INDEX('RFM input'!$K$7:$K$56,$A14,1))))</f>
        <v>40</v>
      </c>
      <c r="E15" s="1417">
        <f>IF(LEFT(E$6,4)&lt;=LEFT('RFM input'!$G$60,4),"enter input",IF(LEFT(E$6,4)&gt;LEFT('RFM input'!$Q$60,4),0,IF(MATCH(E$6,'RFM input'!$H$60:$Q$60,0),INDEX('RFM input'!$K$7:$K$56,$A14,1))))</f>
        <v>40</v>
      </c>
      <c r="F15" s="1417">
        <f>IF(LEFT(F$6,4)&lt;=LEFT('RFM input'!$G$60,4),"enter input",IF(LEFT(F$6,4)&gt;LEFT('RFM input'!$Q$60,4),0,IF(MATCH(F$6,'RFM input'!$H$60:$Q$60,0),INDEX('RFM input'!$K$7:$K$56,$A14,1))))</f>
        <v>40</v>
      </c>
      <c r="G15" s="1417">
        <f>IF(LEFT(G$6,4)&lt;=LEFT('RFM input'!$G$60,4),"enter input",IF(LEFT(G$6,4)&gt;LEFT('RFM input'!$Q$60,4),0,IF(MATCH(G$6,'RFM input'!$H$60:$Q$60,0),INDEX('RFM input'!$K$7:$K$56,$A14,1))))</f>
        <v>40</v>
      </c>
      <c r="H15" s="1417">
        <f>IF(LEFT(H$6,4)&lt;=LEFT('RFM input'!$G$60,4),"enter input",IF(LEFT(H$6,4)&gt;LEFT('RFM input'!$Q$60,4),0,IF(MATCH(H$6,'RFM input'!$H$60:$Q$60,0),INDEX('RFM input'!$K$7:$K$56,$A14,1))))</f>
        <v>40</v>
      </c>
      <c r="I15" s="1417">
        <f>IF(LEFT(I$6,4)&lt;=LEFT('RFM input'!$G$60,4),"enter input",IF(LEFT(I$6,4)&gt;LEFT('RFM input'!$Q$60,4),0,IF(MATCH(I$6,'RFM input'!$H$60:$Q$60,0),INDEX('RFM input'!$K$7:$K$56,$A14,1))))</f>
        <v>40</v>
      </c>
      <c r="J15" s="1417">
        <f>IF(LEFT(J$6,4)&lt;=LEFT('RFM input'!$G$60,4),"enter input",IF(LEFT(J$6,4)&gt;LEFT('RFM input'!$Q$60,4),0,IF(MATCH(J$6,'RFM input'!$H$60:$Q$60,0),INDEX('RFM input'!$K$7:$K$56,$A14,1))))</f>
        <v>40</v>
      </c>
      <c r="K15" s="1417">
        <f>IF(LEFT(K$6,4)&lt;=LEFT('RFM input'!$G$60,4),"enter input",IF(LEFT(K$6,4)&gt;LEFT('RFM input'!$Q$60,4),0,IF(MATCH(K$6,'RFM input'!$H$60:$Q$60,0),INDEX('RFM input'!$K$7:$K$56,$A14,1))))</f>
        <v>40</v>
      </c>
      <c r="L15" s="1417">
        <f>IF(LEFT(L$6,4)&lt;=LEFT('RFM input'!$G$60,4),"enter input",IF(LEFT(L$6,4)&gt;LEFT('RFM input'!$Q$60,4),0,IF(MATCH(L$6,'RFM input'!$H$60:$Q$60,0),INDEX('RFM input'!$K$7:$K$56,$A14,1))))</f>
        <v>40</v>
      </c>
      <c r="M15" s="1417">
        <f>IF(LEFT(M$6,4)&lt;=LEFT('RFM input'!$G$60,4),"enter input",IF(LEFT(M$6,4)&gt;LEFT('RFM input'!$Q$60,4),0,IF(MATCH(M$6,'RFM input'!$H$60:$Q$60,0),INDEX('RFM input'!$K$7:$K$56,$A14,1))))</f>
        <v>40</v>
      </c>
      <c r="N15" s="1417">
        <f>IF(LEFT(N$6,4)&lt;=LEFT('RFM input'!$G$60,4),"enter input",IF(LEFT(N$6,4)&gt;LEFT('RFM input'!$Q$60,4),0,IF(MATCH(N$6,'RFM input'!$H$60:$Q$60,0),INDEX('RFM input'!$K$7:$K$56,$A14,1))))</f>
        <v>0</v>
      </c>
      <c r="O15" s="1417">
        <f>IF(LEFT(O$6,4)&lt;=LEFT('RFM input'!$G$60,4),"enter input",IF(LEFT(O$6,4)&gt;LEFT('RFM input'!$Q$60,4),0,IF(MATCH(O$6,'RFM input'!$H$60:$Q$60,0),INDEX('RFM input'!$K$7:$K$56,$A14,1))))</f>
        <v>0</v>
      </c>
      <c r="P15" s="1417">
        <f>IF(LEFT(P$6,4)&lt;=LEFT('RFM input'!$G$60,4),"enter input",IF(LEFT(P$6,4)&gt;LEFT('RFM input'!$Q$60,4),0,IF(MATCH(P$6,'RFM input'!$H$60:$Q$60,0),INDEX('RFM input'!$K$7:$K$56,$A14,1))))</f>
        <v>0</v>
      </c>
      <c r="Q15" s="1417">
        <f>IF(LEFT(Q$6,4)&lt;=LEFT('RFM input'!$G$60,4),"enter input",IF(LEFT(Q$6,4)&gt;LEFT('RFM input'!$Q$60,4),0,IF(MATCH(Q$6,'RFM input'!$H$60:$Q$60,0),INDEX('RFM input'!$K$7:$K$56,$A14,1))))</f>
        <v>0</v>
      </c>
      <c r="R15" s="1417">
        <f>IF(LEFT(R$6,4)&lt;=LEFT('RFM input'!$G$60,4),"enter input",IF(LEFT(R$6,4)&gt;LEFT('RFM input'!$Q$60,4),0,IF(MATCH(R$6,'RFM input'!$H$60:$Q$60,0),INDEX('RFM input'!$K$7:$K$56,$A14,1))))</f>
        <v>0</v>
      </c>
      <c r="S15" s="1417">
        <f>IF(LEFT(S$6,4)&lt;=LEFT('RFM input'!$G$60,4),"enter input",IF(LEFT(S$6,4)&gt;LEFT('RFM input'!$Q$60,4),0,IF(MATCH(S$6,'RFM input'!$H$60:$Q$60,0),INDEX('RFM input'!$K$7:$K$56,$A14,1))))</f>
        <v>0</v>
      </c>
      <c r="T15" s="1417">
        <f>IF(LEFT(T$6,4)&lt;=LEFT('RFM input'!$G$60,4),"enter input",IF(LEFT(T$6,4)&gt;LEFT('RFM input'!$Q$60,4),0,IF(MATCH(T$6,'RFM input'!$H$60:$Q$60,0),INDEX('RFM input'!$K$7:$K$56,$A14,1))))</f>
        <v>0</v>
      </c>
      <c r="U15" s="1417">
        <f>IF(LEFT(U$6,4)&lt;=LEFT('RFM input'!$G$60,4),"enter input",IF(LEFT(U$6,4)&gt;LEFT('RFM input'!$Q$60,4),0,IF(MATCH(U$6,'RFM input'!$H$60:$Q$60,0),INDEX('RFM input'!$K$7:$K$56,$A14,1))))</f>
        <v>0</v>
      </c>
      <c r="V15" s="1417">
        <f>IF(LEFT(V$6,4)&lt;=LEFT('RFM input'!$G$60,4),"enter input",IF(LEFT(V$6,4)&gt;LEFT('RFM input'!$Q$60,4),0,IF(MATCH(V$6,'RFM input'!$H$60:$Q$60,0),INDEX('RFM input'!$K$7:$K$56,$A14,1))))</f>
        <v>0</v>
      </c>
      <c r="W15" s="1417">
        <f>IF(LEFT(W$6,4)&lt;=LEFT('RFM input'!$G$60,4),"enter input",IF(LEFT(W$6,4)&gt;LEFT('RFM input'!$Q$60,4),0,IF(MATCH(W$6,'RFM input'!$H$60:$Q$60,0),INDEX('RFM input'!$K$7:$K$56,$A14,1))))</f>
        <v>0</v>
      </c>
      <c r="X15" s="152"/>
      <c r="Y15" s="152"/>
      <c r="Z15" s="152"/>
      <c r="AA15" s="152"/>
      <c r="AB15" s="152"/>
    </row>
    <row r="16" spans="1:28">
      <c r="A16" s="152"/>
      <c r="B16" s="177" t="s">
        <v>191</v>
      </c>
      <c r="C16" s="1419"/>
      <c r="D16" s="1420">
        <f ca="1">IF(LEFT(D$6,4)&lt;=LEFT('RFM input'!$G$60,4),"enter input",IF(LEFT(D$6,4)&gt;LEFT('RFM input'!$Q$60,4),0,IF(D$6=(OFFSET('RFM input'!$G$60,0,'RFM input'!$V$7)),OFFSET('RFM input'!$G$411,$A14,0),0)))</f>
        <v>0</v>
      </c>
      <c r="E16" s="1421">
        <f ca="1">IF(LEFT(E$6,4)&lt;=LEFT('RFM input'!$G$60,4),"enter input",IF(LEFT(E$6,4)&gt;LEFT('RFM input'!$Q$60,4),0,IF(E$6=(OFFSET('RFM input'!$G$60,0,'RFM input'!$V$7)),OFFSET('RFM input'!$G$411,$A14,0),0)))</f>
        <v>0</v>
      </c>
      <c r="F16" s="1417">
        <f ca="1">IF(LEFT(F$6,4)&lt;=LEFT('RFM input'!$G$60,4),"enter input",IF(LEFT(F$6,4)&gt;LEFT('RFM input'!$Q$60,4),0,IF(F$6=(OFFSET('RFM input'!$G$60,0,'RFM input'!$V$7)),OFFSET('RFM input'!$G$411,$A14,0),0)))</f>
        <v>0</v>
      </c>
      <c r="G16" s="1417">
        <f ca="1">IF(LEFT(G$6,4)&lt;=LEFT('RFM input'!$G$60,4),"enter input",IF(LEFT(G$6,4)&gt;LEFT('RFM input'!$Q$60,4),0,IF(G$6=(OFFSET('RFM input'!$G$60,0,'RFM input'!$V$7)),OFFSET('RFM input'!$G$411,$A14,0),0)))</f>
        <v>0</v>
      </c>
      <c r="H16" s="1417">
        <f ca="1">IF(LEFT(H$6,4)&lt;=LEFT('RFM input'!$G$60,4),"enter input",IF(LEFT(H$6,4)&gt;LEFT('RFM input'!$Q$60,4),0,IF(H$6=(OFFSET('RFM input'!$G$60,0,'RFM input'!$V$7)),OFFSET('RFM input'!$G$411,$A14,0),0)))</f>
        <v>0</v>
      </c>
      <c r="I16" s="1417">
        <f ca="1">IF(LEFT(I$6,4)&lt;=LEFT('RFM input'!$G$60,4),"enter input",IF(LEFT(I$6,4)&gt;LEFT('RFM input'!$Q$60,4),0,IF(I$6=(OFFSET('RFM input'!$G$60,0,'RFM input'!$V$7)),OFFSET('RFM input'!$G$411,$A14,0),0)))</f>
        <v>0</v>
      </c>
      <c r="J16" s="1417">
        <f ca="1">IF(LEFT(J$6,4)&lt;=LEFT('RFM input'!$G$60,4),"enter input",IF(LEFT(J$6,4)&gt;LEFT('RFM input'!$Q$60,4),0,IF(J$6=(OFFSET('RFM input'!$G$60,0,'RFM input'!$V$7)),OFFSET('RFM input'!$G$411,$A14,0),0)))</f>
        <v>0</v>
      </c>
      <c r="K16" s="1417">
        <f ca="1">IF(LEFT(K$6,4)&lt;=LEFT('RFM input'!$G$60,4),"enter input",IF(LEFT(K$6,4)&gt;LEFT('RFM input'!$Q$60,4),0,IF(K$6=(OFFSET('RFM input'!$G$60,0,'RFM input'!$V$7)),OFFSET('RFM input'!$G$411,$A14,0),0)))</f>
        <v>0</v>
      </c>
      <c r="L16" s="1417">
        <f ca="1">IF(LEFT(L$6,4)&lt;=LEFT('RFM input'!$G$60,4),"enter input",IF(LEFT(L$6,4)&gt;LEFT('RFM input'!$Q$60,4),0,IF(L$6=(OFFSET('RFM input'!$G$60,0,'RFM input'!$V$7)),OFFSET('RFM input'!$G$411,$A14,0),0)))</f>
        <v>0</v>
      </c>
      <c r="M16" s="1417">
        <f ca="1">IF(LEFT(M$6,4)&lt;=LEFT('RFM input'!$G$60,4),"enter input",IF(LEFT(M$6,4)&gt;LEFT('RFM input'!$Q$60,4),0,IF(M$6=(OFFSET('RFM input'!$G$60,0,'RFM input'!$V$7)),OFFSET('RFM input'!$G$411,$A14,0),0)))</f>
        <v>0</v>
      </c>
      <c r="N16" s="1417">
        <f ca="1">IF(LEFT(N$6,4)&lt;=LEFT('RFM input'!$G$60,4),"enter input",IF(LEFT(N$6,4)&gt;LEFT('RFM input'!$Q$60,4),0,IF(N$6=(OFFSET('RFM input'!$G$60,0,'RFM input'!$V$7)),OFFSET('RFM input'!$G$411,$A14,0),0)))</f>
        <v>0</v>
      </c>
      <c r="O16" s="1417">
        <f ca="1">IF(LEFT(O$6,4)&lt;=LEFT('RFM input'!$G$60,4),"enter input",IF(LEFT(O$6,4)&gt;LEFT('RFM input'!$Q$60,4),0,IF(O$6=(OFFSET('RFM input'!$G$60,0,'RFM input'!$V$7)),OFFSET('RFM input'!$G$411,$A14,0),0)))</f>
        <v>0</v>
      </c>
      <c r="P16" s="1417">
        <f ca="1">IF(LEFT(P$6,4)&lt;=LEFT('RFM input'!$G$60,4),"enter input",IF(LEFT(P$6,4)&gt;LEFT('RFM input'!$Q$60,4),0,IF(P$6=(OFFSET('RFM input'!$G$60,0,'RFM input'!$V$7)),OFFSET('RFM input'!$G$411,$A14,0),0)))</f>
        <v>0</v>
      </c>
      <c r="Q16" s="1417">
        <f ca="1">IF(LEFT(Q$6,4)&lt;=LEFT('RFM input'!$G$60,4),"enter input",IF(LEFT(Q$6,4)&gt;LEFT('RFM input'!$Q$60,4),0,IF(Q$6=(OFFSET('RFM input'!$G$60,0,'RFM input'!$V$7)),OFFSET('RFM input'!$G$411,$A14,0),0)))</f>
        <v>0</v>
      </c>
      <c r="R16" s="1417">
        <f ca="1">IF(LEFT(R$6,4)&lt;=LEFT('RFM input'!$G$60,4),"enter input",IF(LEFT(R$6,4)&gt;LEFT('RFM input'!$Q$60,4),0,IF(R$6=(OFFSET('RFM input'!$G$60,0,'RFM input'!$V$7)),OFFSET('RFM input'!$G$411,$A14,0),0)))</f>
        <v>0</v>
      </c>
      <c r="S16" s="1417">
        <f ca="1">IF(LEFT(S$6,4)&lt;=LEFT('RFM input'!$G$60,4),"enter input",IF(LEFT(S$6,4)&gt;LEFT('RFM input'!$Q$60,4),0,IF(S$6=(OFFSET('RFM input'!$G$60,0,'RFM input'!$V$7)),OFFSET('RFM input'!$G$411,$A14,0),0)))</f>
        <v>0</v>
      </c>
      <c r="T16" s="1417">
        <f ca="1">IF(LEFT(T$6,4)&lt;=LEFT('RFM input'!$G$60,4),"enter input",IF(LEFT(T$6,4)&gt;LEFT('RFM input'!$Q$60,4),0,IF(T$6=(OFFSET('RFM input'!$G$60,0,'RFM input'!$V$7)),OFFSET('RFM input'!$G$411,$A14,0),0)))</f>
        <v>0</v>
      </c>
      <c r="U16" s="1417">
        <f ca="1">IF(LEFT(U$6,4)&lt;=LEFT('RFM input'!$G$60,4),"enter input",IF(LEFT(U$6,4)&gt;LEFT('RFM input'!$Q$60,4),0,IF(U$6=(OFFSET('RFM input'!$G$60,0,'RFM input'!$V$7)),OFFSET('RFM input'!$G$411,$A14,0),0)))</f>
        <v>0</v>
      </c>
      <c r="V16" s="1417">
        <f ca="1">IF(LEFT(V$6,4)&lt;=LEFT('RFM input'!$G$60,4),"enter input",IF(LEFT(V$6,4)&gt;LEFT('RFM input'!$Q$60,4),0,IF(V$6=(OFFSET('RFM input'!$G$60,0,'RFM input'!$V$7)),OFFSET('RFM input'!$G$411,$A14,0),0)))</f>
        <v>0</v>
      </c>
      <c r="W16" s="1417">
        <f ca="1">IF(LEFT(W$6,4)&lt;=LEFT('RFM input'!$G$60,4),"enter input",IF(LEFT(W$6,4)&gt;LEFT('RFM input'!$Q$60,4),0,IF(W$6=(OFFSET('RFM input'!$G$60,0,'RFM input'!$V$7)),OFFSET('RFM input'!$G$411,$A14,0),0)))</f>
        <v>0</v>
      </c>
      <c r="X16" s="152"/>
      <c r="Y16" s="152"/>
      <c r="Z16" s="152"/>
      <c r="AA16" s="152"/>
      <c r="AB16" s="152"/>
    </row>
    <row r="17" spans="1:28">
      <c r="A17" s="152"/>
      <c r="B17" s="195" t="s">
        <v>197</v>
      </c>
      <c r="C17" s="1419"/>
      <c r="D17" s="1418">
        <f ca="1">IF(LEFT(D$6,4)&lt;=LEFT('RFM input'!$G$60,4),"enter input",IF(LEFT(D$6,4)&gt;LEFT('RFM input'!$Q$60,4),0,IF(D$6=(OFFSET('RFM input'!$G$60,0,'RFM input'!$V$7)),OFFSET('RFM input'!$I$411,$A14,0),0)))</f>
        <v>0</v>
      </c>
      <c r="E17" s="1422">
        <f ca="1">IF(LEFT(E$6,4)&lt;=LEFT('RFM input'!$G$60,4),"enter input",IF(LEFT(E$6,4)&gt;LEFT('RFM input'!$Q$60,4),0,IF(E$6=(OFFSET('RFM input'!$G$60,0,'RFM input'!$V$7)),OFFSET('RFM input'!$I$411,$A14,0),0)))</f>
        <v>0</v>
      </c>
      <c r="F17" s="1422">
        <f ca="1">IF(LEFT(F$6,4)&lt;=LEFT('RFM input'!$G$60,4),"enter input",IF(LEFT(F$6,4)&gt;LEFT('RFM input'!$Q$60,4),0,IF(F$6=(OFFSET('RFM input'!$G$60,0,'RFM input'!$V$7)),OFFSET('RFM input'!$I$411,$A14,0),0)))</f>
        <v>0</v>
      </c>
      <c r="G17" s="1422">
        <f ca="1">IF(LEFT(G$6,4)&lt;=LEFT('RFM input'!$G$60,4),"enter input",IF(LEFT(G$6,4)&gt;LEFT('RFM input'!$Q$60,4),0,IF(G$6=(OFFSET('RFM input'!$G$60,0,'RFM input'!$V$7)),OFFSET('RFM input'!$I$411,$A14,0),0)))</f>
        <v>0</v>
      </c>
      <c r="H17" s="1422">
        <f ca="1">IF(LEFT(H$6,4)&lt;=LEFT('RFM input'!$G$60,4),"enter input",IF(LEFT(H$6,4)&gt;LEFT('RFM input'!$Q$60,4),0,IF(H$6=(OFFSET('RFM input'!$G$60,0,'RFM input'!$V$7)),OFFSET('RFM input'!$I$411,$A14,0),0)))</f>
        <v>0</v>
      </c>
      <c r="I17" s="1422">
        <f ca="1">IF(LEFT(I$6,4)&lt;=LEFT('RFM input'!$G$60,4),"enter input",IF(LEFT(I$6,4)&gt;LEFT('RFM input'!$Q$60,4),0,IF(I$6=(OFFSET('RFM input'!$G$60,0,'RFM input'!$V$7)),OFFSET('RFM input'!$I$411,$A14,0),0)))</f>
        <v>0</v>
      </c>
      <c r="J17" s="1422">
        <f ca="1">IF(LEFT(J$6,4)&lt;=LEFT('RFM input'!$G$60,4),"enter input",IF(LEFT(J$6,4)&gt;LEFT('RFM input'!$Q$60,4),0,IF(J$6=(OFFSET('RFM input'!$G$60,0,'RFM input'!$V$7)),OFFSET('RFM input'!$I$411,$A14,0),0)))</f>
        <v>0</v>
      </c>
      <c r="K17" s="1422">
        <f ca="1">IF(LEFT(K$6,4)&lt;=LEFT('RFM input'!$G$60,4),"enter input",IF(LEFT(K$6,4)&gt;LEFT('RFM input'!$Q$60,4),0,IF(K$6=(OFFSET('RFM input'!$G$60,0,'RFM input'!$V$7)),OFFSET('RFM input'!$I$411,$A14,0),0)))</f>
        <v>0</v>
      </c>
      <c r="L17" s="1422">
        <f ca="1">IF(LEFT(L$6,4)&lt;=LEFT('RFM input'!$G$60,4),"enter input",IF(LEFT(L$6,4)&gt;LEFT('RFM input'!$Q$60,4),0,IF(L$6=(OFFSET('RFM input'!$G$60,0,'RFM input'!$V$7)),OFFSET('RFM input'!$I$411,$A14,0),0)))</f>
        <v>0</v>
      </c>
      <c r="M17" s="1422">
        <f ca="1">IF(LEFT(M$6,4)&lt;=LEFT('RFM input'!$G$60,4),"enter input",IF(LEFT(M$6,4)&gt;LEFT('RFM input'!$Q$60,4),0,IF(M$6=(OFFSET('RFM input'!$G$60,0,'RFM input'!$V$7)),OFFSET('RFM input'!$I$411,$A14,0),0)))</f>
        <v>0</v>
      </c>
      <c r="N17" s="1422">
        <f ca="1">IF(LEFT(N$6,4)&lt;=LEFT('RFM input'!$G$60,4),"enter input",IF(LEFT(N$6,4)&gt;LEFT('RFM input'!$Q$60,4),0,IF(N$6=(OFFSET('RFM input'!$G$60,0,'RFM input'!$V$7)),OFFSET('RFM input'!$I$411,$A14,0),0)))</f>
        <v>0</v>
      </c>
      <c r="O17" s="1422">
        <f ca="1">IF(LEFT(O$6,4)&lt;=LEFT('RFM input'!$G$60,4),"enter input",IF(LEFT(O$6,4)&gt;LEFT('RFM input'!$Q$60,4),0,IF(O$6=(OFFSET('RFM input'!$G$60,0,'RFM input'!$V$7)),OFFSET('RFM input'!$I$411,$A14,0),0)))</f>
        <v>0</v>
      </c>
      <c r="P17" s="1422">
        <f ca="1">IF(LEFT(P$6,4)&lt;=LEFT('RFM input'!$G$60,4),"enter input",IF(LEFT(P$6,4)&gt;LEFT('RFM input'!$Q$60,4),0,IF(P$6=(OFFSET('RFM input'!$G$60,0,'RFM input'!$V$7)),OFFSET('RFM input'!$I$411,$A14,0),0)))</f>
        <v>0</v>
      </c>
      <c r="Q17" s="1422">
        <f ca="1">IF(LEFT(Q$6,4)&lt;=LEFT('RFM input'!$G$60,4),"enter input",IF(LEFT(Q$6,4)&gt;LEFT('RFM input'!$Q$60,4),0,IF(Q$6=(OFFSET('RFM input'!$G$60,0,'RFM input'!$V$7)),OFFSET('RFM input'!$I$411,$A14,0),0)))</f>
        <v>0</v>
      </c>
      <c r="R17" s="1422">
        <f ca="1">IF(LEFT(R$6,4)&lt;=LEFT('RFM input'!$G$60,4),"enter input",IF(LEFT(R$6,4)&gt;LEFT('RFM input'!$Q$60,4),0,IF(R$6=(OFFSET('RFM input'!$G$60,0,'RFM input'!$V$7)),OFFSET('RFM input'!$I$411,$A14,0),0)))</f>
        <v>0</v>
      </c>
      <c r="S17" s="1422">
        <f ca="1">IF(LEFT(S$6,4)&lt;=LEFT('RFM input'!$G$60,4),"enter input",IF(LEFT(S$6,4)&gt;LEFT('RFM input'!$Q$60,4),0,IF(S$6=(OFFSET('RFM input'!$G$60,0,'RFM input'!$V$7)),OFFSET('RFM input'!$I$411,$A14,0),0)))</f>
        <v>0</v>
      </c>
      <c r="T17" s="1422">
        <f ca="1">IF(LEFT(T$6,4)&lt;=LEFT('RFM input'!$G$60,4),"enter input",IF(LEFT(T$6,4)&gt;LEFT('RFM input'!$Q$60,4),0,IF(T$6=(OFFSET('RFM input'!$G$60,0,'RFM input'!$V$7)),OFFSET('RFM input'!$I$411,$A14,0),0)))</f>
        <v>0</v>
      </c>
      <c r="U17" s="1422">
        <f ca="1">IF(LEFT(U$6,4)&lt;=LEFT('RFM input'!$G$60,4),"enter input",IF(LEFT(U$6,4)&gt;LEFT('RFM input'!$Q$60,4),0,IF(U$6=(OFFSET('RFM input'!$G$60,0,'RFM input'!$V$7)),OFFSET('RFM input'!$I$411,$A14,0),0)))</f>
        <v>0</v>
      </c>
      <c r="V17" s="1422">
        <f ca="1">IF(LEFT(V$6,4)&lt;=LEFT('RFM input'!$G$60,4),"enter input",IF(LEFT(V$6,4)&gt;LEFT('RFM input'!$Q$60,4),0,IF(V$6=(OFFSET('RFM input'!$G$60,0,'RFM input'!$V$7)),OFFSET('RFM input'!$I$411,$A14,0),0)))</f>
        <v>0</v>
      </c>
      <c r="W17" s="1422">
        <f ca="1">IF(LEFT(W$6,4)&lt;=LEFT('RFM input'!$G$60,4),"enter input",IF(LEFT(W$6,4)&gt;LEFT('RFM input'!$Q$60,4),0,IF(W$6=(OFFSET('RFM input'!$G$60,0,'RFM input'!$V$7)),OFFSET('RFM input'!$I$411,$A14,0),0)))</f>
        <v>0</v>
      </c>
      <c r="X17" s="152"/>
      <c r="Y17" s="152"/>
      <c r="Z17" s="152"/>
      <c r="AA17" s="152"/>
      <c r="AB17" s="152"/>
    </row>
    <row r="18" spans="1:28" ht="12.75" hidden="1" customHeight="1" outlineLevel="1">
      <c r="A18" s="235">
        <v>-1</v>
      </c>
      <c r="B18" s="190" t="s">
        <v>189</v>
      </c>
      <c r="C18" s="1423"/>
      <c r="D18" s="1423">
        <f ca="1">IF(AND(D16=0,C18=0),0,
IF(AND(D16&lt;&gt;0,C18=0),(D16/D$10),
IF(AND(D17&lt;&gt;0,C18&lt;&gt;0),(C18-(C18/C42))+(D16/D$10),
IF(C42&lt;1,0,(C18-(C18/C42))))))</f>
        <v>0</v>
      </c>
      <c r="E18" s="1423">
        <f t="shared" ref="E18:W18" ca="1" si="2">IF(AND(E16=0,D18=0),0,
IF(AND(E16&lt;&gt;0,D18=0),(E16/E$10),
IF(AND(E17&lt;&gt;0,D18&lt;&gt;0),(D18-(D18/D42))+(E16/E$10),
IF(D42&lt;1,0,(D18-(D18/D42))))))</f>
        <v>0</v>
      </c>
      <c r="F18" s="1423">
        <f t="shared" ca="1" si="2"/>
        <v>0</v>
      </c>
      <c r="G18" s="1423">
        <f t="shared" ca="1" si="2"/>
        <v>0</v>
      </c>
      <c r="H18" s="1423">
        <f t="shared" ca="1" si="2"/>
        <v>0</v>
      </c>
      <c r="I18" s="1423">
        <f t="shared" ca="1" si="2"/>
        <v>0</v>
      </c>
      <c r="J18" s="1423">
        <f t="shared" ca="1" si="2"/>
        <v>0</v>
      </c>
      <c r="K18" s="1423">
        <f t="shared" ca="1" si="2"/>
        <v>0</v>
      </c>
      <c r="L18" s="1423">
        <f t="shared" ca="1" si="2"/>
        <v>0</v>
      </c>
      <c r="M18" s="1423">
        <f t="shared" ca="1" si="2"/>
        <v>0</v>
      </c>
      <c r="N18" s="1423">
        <f t="shared" ca="1" si="2"/>
        <v>0</v>
      </c>
      <c r="O18" s="1423">
        <f t="shared" ca="1" si="2"/>
        <v>0</v>
      </c>
      <c r="P18" s="1423">
        <f t="shared" ca="1" si="2"/>
        <v>0</v>
      </c>
      <c r="Q18" s="1423">
        <f t="shared" ca="1" si="2"/>
        <v>0</v>
      </c>
      <c r="R18" s="1423">
        <f t="shared" ca="1" si="2"/>
        <v>0</v>
      </c>
      <c r="S18" s="1423">
        <f t="shared" ca="1" si="2"/>
        <v>0</v>
      </c>
      <c r="T18" s="1423">
        <f t="shared" ca="1" si="2"/>
        <v>0</v>
      </c>
      <c r="U18" s="1423">
        <f t="shared" ca="1" si="2"/>
        <v>0</v>
      </c>
      <c r="V18" s="1423">
        <f t="shared" ca="1" si="2"/>
        <v>0</v>
      </c>
      <c r="W18" s="1423">
        <f t="shared" ca="1" si="2"/>
        <v>0</v>
      </c>
      <c r="X18" s="152"/>
      <c r="Y18" s="152"/>
      <c r="Z18" s="152"/>
      <c r="AA18" s="152"/>
      <c r="AB18" s="152"/>
    </row>
    <row r="19" spans="1:28" ht="12.75" hidden="1" customHeight="1" outlineLevel="1">
      <c r="A19" s="199">
        <f>A18+1</f>
        <v>0</v>
      </c>
      <c r="B19" s="190" t="s">
        <v>125</v>
      </c>
      <c r="C19" s="1423">
        <f ca="1">C14/C$10</f>
        <v>307.40493907947723</v>
      </c>
      <c r="D19" s="1423">
        <f ca="1">IF(C43="n/a",C19,IFERROR(IF((OFFSET($C19,0,$A19))&lt;0,
MIN(0,C19-(OFFSET($C19,0,$A19)/(OFFSET($C14,-$A18,$A19)))),
MAX(0,C19-(OFFSET($C19,0,$A19)/(OFFSET($C14,-$A18,$A19))))),0))</f>
        <v>299.71981560249031</v>
      </c>
      <c r="E19" s="1423">
        <f t="shared" ref="E19:W19" ca="1" si="3">IF(D43="n/a",D19,IFERROR(IF((OFFSET($C19,0,$A19))&lt;0,
MIN(0,D19-(OFFSET($C19,0,$A19)/(OFFSET($C14,-$A18,$A19)))),
MAX(0,D19-(OFFSET($C19,0,$A19)/(OFFSET($C14,-$A18,$A19))))),0))</f>
        <v>292.0346921255034</v>
      </c>
      <c r="F19" s="1423">
        <f t="shared" ca="1" si="3"/>
        <v>284.34956864851648</v>
      </c>
      <c r="G19" s="1423">
        <f t="shared" ca="1" si="3"/>
        <v>276.66444517152956</v>
      </c>
      <c r="H19" s="1423">
        <f t="shared" ca="1" si="3"/>
        <v>268.97932169454265</v>
      </c>
      <c r="I19" s="1423">
        <f t="shared" ca="1" si="3"/>
        <v>261.29419821755573</v>
      </c>
      <c r="J19" s="1423">
        <f t="shared" ca="1" si="3"/>
        <v>253.60907474056881</v>
      </c>
      <c r="K19" s="1423">
        <f t="shared" ca="1" si="3"/>
        <v>245.9239512635819</v>
      </c>
      <c r="L19" s="1423">
        <f t="shared" ca="1" si="3"/>
        <v>238.23882778659498</v>
      </c>
      <c r="M19" s="1423">
        <f t="shared" ca="1" si="3"/>
        <v>230.55370430960807</v>
      </c>
      <c r="N19" s="1423">
        <f t="shared" ca="1" si="3"/>
        <v>222.86858083262115</v>
      </c>
      <c r="O19" s="1423">
        <f t="shared" ca="1" si="3"/>
        <v>215.18345735563423</v>
      </c>
      <c r="P19" s="1423">
        <f t="shared" ca="1" si="3"/>
        <v>207.49833387864732</v>
      </c>
      <c r="Q19" s="1423">
        <f t="shared" ca="1" si="3"/>
        <v>199.8132104016604</v>
      </c>
      <c r="R19" s="1423">
        <f t="shared" ca="1" si="3"/>
        <v>192.12808692467348</v>
      </c>
      <c r="S19" s="1423">
        <f t="shared" ca="1" si="3"/>
        <v>184.44296344768657</v>
      </c>
      <c r="T19" s="1423">
        <f t="shared" ca="1" si="3"/>
        <v>176.75783997069965</v>
      </c>
      <c r="U19" s="1423">
        <f t="shared" ca="1" si="3"/>
        <v>169.07271649371273</v>
      </c>
      <c r="V19" s="1423">
        <f t="shared" ca="1" si="3"/>
        <v>161.38759301672582</v>
      </c>
      <c r="W19" s="1423">
        <f t="shared" ca="1" si="3"/>
        <v>153.7024695397389</v>
      </c>
      <c r="X19" s="152"/>
      <c r="Y19" s="152"/>
      <c r="Z19" s="152"/>
      <c r="AA19" s="152"/>
      <c r="AB19" s="152"/>
    </row>
    <row r="20" spans="1:28" ht="12.75" hidden="1" customHeight="1" outlineLevel="1">
      <c r="A20" s="199">
        <f t="shared" ref="A20:A39" si="4">A19+1</f>
        <v>1</v>
      </c>
      <c r="B20" s="190" t="str">
        <f t="shared" ref="B20:B38" ca="1" si="5">"Depreciated Net Capex "&amp;OFFSET($C$6,0,A20)</f>
        <v>Depreciated Net Capex 2016-17</v>
      </c>
      <c r="C20" s="1424"/>
      <c r="D20" s="1425">
        <f>(D14*((1+D$11)^0.5)/D$10)</f>
        <v>10.455442440249101</v>
      </c>
      <c r="E20" s="1423">
        <f ca="1">IF(D44="n/a",D20,IFERROR(IF((OFFSET($C20,0,$A20))&lt;0,
MIN(0,D20-(OFFSET($C20,0,$A20)/(OFFSET($C15,-$A19,$A20)))),
MAX(0,D20-(OFFSET($C20,0,$A20)/(OFFSET($C15,-$A19,$A20))))),0))</f>
        <v>10.194056379242873</v>
      </c>
      <c r="F20" s="1423">
        <f t="shared" ref="F20:W20" ca="1" si="6">IF(E44="n/a",E20,IFERROR(IF((OFFSET($C20,0,$A20))&lt;0,
MIN(0,E20-(OFFSET($C20,0,$A20)/(OFFSET($C15,-$A19,$A20)))),
MAX(0,E20-(OFFSET($C20,0,$A20)/(OFFSET($C15,-$A19,$A20))))),0))</f>
        <v>9.9326703182366458</v>
      </c>
      <c r="G20" s="1423">
        <f t="shared" ca="1" si="6"/>
        <v>9.6712842572304183</v>
      </c>
      <c r="H20" s="1423">
        <f t="shared" ca="1" si="6"/>
        <v>9.4098981962241908</v>
      </c>
      <c r="I20" s="1423">
        <f t="shared" ca="1" si="6"/>
        <v>9.1485121352179632</v>
      </c>
      <c r="J20" s="1423">
        <f t="shared" ca="1" si="6"/>
        <v>8.8871260742117357</v>
      </c>
      <c r="K20" s="1423">
        <f t="shared" ca="1" si="6"/>
        <v>8.6257400132055082</v>
      </c>
      <c r="L20" s="1423">
        <f t="shared" ca="1" si="6"/>
        <v>8.3643539521992807</v>
      </c>
      <c r="M20" s="1423">
        <f t="shared" ca="1" si="6"/>
        <v>8.1029678911930532</v>
      </c>
      <c r="N20" s="1423">
        <f t="shared" ca="1" si="6"/>
        <v>7.8415818301868256</v>
      </c>
      <c r="O20" s="1423">
        <f t="shared" ca="1" si="6"/>
        <v>7.5801957691805981</v>
      </c>
      <c r="P20" s="1423">
        <f t="shared" ca="1" si="6"/>
        <v>7.3188097081743706</v>
      </c>
      <c r="Q20" s="1423">
        <f t="shared" ca="1" si="6"/>
        <v>7.0574236471681431</v>
      </c>
      <c r="R20" s="1423">
        <f t="shared" ca="1" si="6"/>
        <v>6.7960375861619156</v>
      </c>
      <c r="S20" s="1423">
        <f t="shared" ca="1" si="6"/>
        <v>6.534651525155688</v>
      </c>
      <c r="T20" s="1423">
        <f t="shared" ca="1" si="6"/>
        <v>6.2732654641494605</v>
      </c>
      <c r="U20" s="1423">
        <f t="shared" ca="1" si="6"/>
        <v>6.011879403143233</v>
      </c>
      <c r="V20" s="1423">
        <f t="shared" ca="1" si="6"/>
        <v>5.7504933421370055</v>
      </c>
      <c r="W20" s="1423">
        <f t="shared" ca="1" si="6"/>
        <v>5.4891072811307779</v>
      </c>
      <c r="X20" s="152"/>
      <c r="Y20" s="152"/>
      <c r="Z20" s="152"/>
      <c r="AA20" s="152"/>
      <c r="AB20" s="152"/>
    </row>
    <row r="21" spans="1:28" ht="12.75" hidden="1" customHeight="1" outlineLevel="1">
      <c r="A21" s="199">
        <f t="shared" si="4"/>
        <v>2</v>
      </c>
      <c r="B21" s="190" t="str">
        <f t="shared" ca="1" si="5"/>
        <v>Depreciated Net Capex 2017-18</v>
      </c>
      <c r="C21" s="1426"/>
      <c r="D21" s="1427"/>
      <c r="E21" s="1425">
        <f>(E14*((1+E$11)^0.5)/E$10)</f>
        <v>11.419871056965771</v>
      </c>
      <c r="F21" s="1423">
        <f ca="1">IF(E45="n/a",E21,IFERROR(IF((OFFSET($C21,0,$A21))&lt;0,
MIN(0,E21-(OFFSET($C21,0,$A21)/(OFFSET($C16,-$A20,$A21)))),
MAX(0,E21-(OFFSET($C21,0,$A21)/(OFFSET($C16,-$A20,$A21))))),0))</f>
        <v>11.134374280541627</v>
      </c>
      <c r="G21" s="1423">
        <f t="shared" ref="G21" ca="1" si="7">IF(F45="n/a",F21,IFERROR(IF((OFFSET($C21,0,$A21))&lt;0,
MIN(0,F21-(OFFSET($C21,0,$A21)/(OFFSET($C16,-$A20,$A21)))),
MAX(0,F21-(OFFSET($C21,0,$A21)/(OFFSET($C16,-$A20,$A21))))),0))</f>
        <v>10.848877504117482</v>
      </c>
      <c r="H21" s="1423">
        <f t="shared" ref="H21:H22" ca="1" si="8">IF(G45="n/a",G21,IFERROR(IF((OFFSET($C21,0,$A21))&lt;0,
MIN(0,G21-(OFFSET($C21,0,$A21)/(OFFSET($C16,-$A20,$A21)))),
MAX(0,G21-(OFFSET($C21,0,$A21)/(OFFSET($C16,-$A20,$A21))))),0))</f>
        <v>10.563380727693337</v>
      </c>
      <c r="I21" s="1423">
        <f t="shared" ref="I21:I23" ca="1" si="9">IF(H45="n/a",H21,IFERROR(IF((OFFSET($C21,0,$A21))&lt;0,
MIN(0,H21-(OFFSET($C21,0,$A21)/(OFFSET($C16,-$A20,$A21)))),
MAX(0,H21-(OFFSET($C21,0,$A21)/(OFFSET($C16,-$A20,$A21))))),0))</f>
        <v>10.277883951269192</v>
      </c>
      <c r="J21" s="1423">
        <f t="shared" ref="J21:J24" ca="1" si="10">IF(I45="n/a",I21,IFERROR(IF((OFFSET($C21,0,$A21))&lt;0,
MIN(0,I21-(OFFSET($C21,0,$A21)/(OFFSET($C16,-$A20,$A21)))),
MAX(0,I21-(OFFSET($C21,0,$A21)/(OFFSET($C16,-$A20,$A21))))),0))</f>
        <v>9.9923871748450477</v>
      </c>
      <c r="K21" s="1423">
        <f t="shared" ref="K21:K25" ca="1" si="11">IF(J45="n/a",J21,IFERROR(IF((OFFSET($C21,0,$A21))&lt;0,
MIN(0,J21-(OFFSET($C21,0,$A21)/(OFFSET($C16,-$A20,$A21)))),
MAX(0,J21-(OFFSET($C21,0,$A21)/(OFFSET($C16,-$A20,$A21))))),0))</f>
        <v>9.706890398420903</v>
      </c>
      <c r="L21" s="1423">
        <f t="shared" ref="L21:L26" ca="1" si="12">IF(K45="n/a",K21,IFERROR(IF((OFFSET($C21,0,$A21))&lt;0,
MIN(0,K21-(OFFSET($C21,0,$A21)/(OFFSET($C16,-$A20,$A21)))),
MAX(0,K21-(OFFSET($C21,0,$A21)/(OFFSET($C16,-$A20,$A21))))),0))</f>
        <v>9.4213936219967582</v>
      </c>
      <c r="M21" s="1423">
        <f t="shared" ref="M21:M27" ca="1" si="13">IF(L45="n/a",L21,IFERROR(IF((OFFSET($C21,0,$A21))&lt;0,
MIN(0,L21-(OFFSET($C21,0,$A21)/(OFFSET($C16,-$A20,$A21)))),
MAX(0,L21-(OFFSET($C21,0,$A21)/(OFFSET($C16,-$A20,$A21))))),0))</f>
        <v>9.1358968455726135</v>
      </c>
      <c r="N21" s="1423">
        <f t="shared" ref="N21:N28" ca="1" si="14">IF(M45="n/a",M21,IFERROR(IF((OFFSET($C21,0,$A21))&lt;0,
MIN(0,M21-(OFFSET($C21,0,$A21)/(OFFSET($C16,-$A20,$A21)))),
MAX(0,M21-(OFFSET($C21,0,$A21)/(OFFSET($C16,-$A20,$A21))))),0))</f>
        <v>8.8504000691484688</v>
      </c>
      <c r="O21" s="1423">
        <f t="shared" ref="O21:O29" ca="1" si="15">IF(N45="n/a",N21,IFERROR(IF((OFFSET($C21,0,$A21))&lt;0,
MIN(0,N21-(OFFSET($C21,0,$A21)/(OFFSET($C16,-$A20,$A21)))),
MAX(0,N21-(OFFSET($C21,0,$A21)/(OFFSET($C16,-$A20,$A21))))),0))</f>
        <v>8.564903292724324</v>
      </c>
      <c r="P21" s="1423">
        <f t="shared" ref="P21:P30" ca="1" si="16">IF(O45="n/a",O21,IFERROR(IF((OFFSET($C21,0,$A21))&lt;0,
MIN(0,O21-(OFFSET($C21,0,$A21)/(OFFSET($C16,-$A20,$A21)))),
MAX(0,O21-(OFFSET($C21,0,$A21)/(OFFSET($C16,-$A20,$A21))))),0))</f>
        <v>8.2794065163001793</v>
      </c>
      <c r="Q21" s="1423">
        <f t="shared" ref="Q21:Q31" ca="1" si="17">IF(P45="n/a",P21,IFERROR(IF((OFFSET($C21,0,$A21))&lt;0,
MIN(0,P21-(OFFSET($C21,0,$A21)/(OFFSET($C16,-$A20,$A21)))),
MAX(0,P21-(OFFSET($C21,0,$A21)/(OFFSET($C16,-$A20,$A21))))),0))</f>
        <v>7.9939097398760346</v>
      </c>
      <c r="R21" s="1423">
        <f t="shared" ref="R21:R32" ca="1" si="18">IF(Q45="n/a",Q21,IFERROR(IF((OFFSET($C21,0,$A21))&lt;0,
MIN(0,Q21-(OFFSET($C21,0,$A21)/(OFFSET($C16,-$A20,$A21)))),
MAX(0,Q21-(OFFSET($C21,0,$A21)/(OFFSET($C16,-$A20,$A21))))),0))</f>
        <v>7.7084129634518899</v>
      </c>
      <c r="S21" s="1423">
        <f t="shared" ref="S21:S33" ca="1" si="19">IF(R45="n/a",R21,IFERROR(IF((OFFSET($C21,0,$A21))&lt;0,
MIN(0,R21-(OFFSET($C21,0,$A21)/(OFFSET($C16,-$A20,$A21)))),
MAX(0,R21-(OFFSET($C21,0,$A21)/(OFFSET($C16,-$A20,$A21))))),0))</f>
        <v>7.4229161870277451</v>
      </c>
      <c r="T21" s="1423">
        <f t="shared" ref="T21:T34" ca="1" si="20">IF(S45="n/a",S21,IFERROR(IF((OFFSET($C21,0,$A21))&lt;0,
MIN(0,S21-(OFFSET($C21,0,$A21)/(OFFSET($C16,-$A20,$A21)))),
MAX(0,S21-(OFFSET($C21,0,$A21)/(OFFSET($C16,-$A20,$A21))))),0))</f>
        <v>7.1374194106036004</v>
      </c>
      <c r="U21" s="1423">
        <f t="shared" ref="U21:U35" ca="1" si="21">IF(T45="n/a",T21,IFERROR(IF((OFFSET($C21,0,$A21))&lt;0,
MIN(0,T21-(OFFSET($C21,0,$A21)/(OFFSET($C16,-$A20,$A21)))),
MAX(0,T21-(OFFSET($C21,0,$A21)/(OFFSET($C16,-$A20,$A21))))),0))</f>
        <v>6.8519226341794557</v>
      </c>
      <c r="V21" s="1423">
        <f t="shared" ref="V21:V36" ca="1" si="22">IF(U45="n/a",U21,IFERROR(IF((OFFSET($C21,0,$A21))&lt;0,
MIN(0,U21-(OFFSET($C21,0,$A21)/(OFFSET($C16,-$A20,$A21)))),
MAX(0,U21-(OFFSET($C21,0,$A21)/(OFFSET($C16,-$A20,$A21))))),0))</f>
        <v>6.566425857755311</v>
      </c>
      <c r="W21" s="1423">
        <f t="shared" ref="W21:W37" ca="1" si="23">IF(V45="n/a",V21,IFERROR(IF((OFFSET($C21,0,$A21))&lt;0,
MIN(0,V21-(OFFSET($C21,0,$A21)/(OFFSET($C16,-$A20,$A21)))),
MAX(0,V21-(OFFSET($C21,0,$A21)/(OFFSET($C16,-$A20,$A21))))),0))</f>
        <v>6.2809290813311662</v>
      </c>
      <c r="X21" s="202"/>
      <c r="Y21" s="152"/>
      <c r="Z21" s="152"/>
      <c r="AA21" s="152"/>
      <c r="AB21" s="152"/>
    </row>
    <row r="22" spans="1:28" ht="12.75" hidden="1" customHeight="1" outlineLevel="1">
      <c r="A22" s="199">
        <f t="shared" si="4"/>
        <v>3</v>
      </c>
      <c r="B22" s="190" t="str">
        <f t="shared" ca="1" si="5"/>
        <v>Depreciated Net Capex 2018-19</v>
      </c>
      <c r="C22" s="1426"/>
      <c r="D22" s="1426"/>
      <c r="E22" s="1427"/>
      <c r="F22" s="1428">
        <f>($F14*((1+F$11)^0.5)/F$10)</f>
        <v>10.888667683096337</v>
      </c>
      <c r="G22" s="1423">
        <f ca="1">IF(F46="n/a",F22,IFERROR(IF((OFFSET($C22,0,$A22))&lt;0,
MIN(0,F22-(OFFSET($C22,0,$A22)/(OFFSET($C17,-$A21,$A22)))),
MAX(0,F22-(OFFSET($C22,0,$A22)/(OFFSET($C17,-$A21,$A22))))),0))</f>
        <v>10.616450991018928</v>
      </c>
      <c r="H22" s="1423">
        <f t="shared" ca="1" si="8"/>
        <v>10.344234298941519</v>
      </c>
      <c r="I22" s="1423">
        <f t="shared" ca="1" si="9"/>
        <v>10.07201760686411</v>
      </c>
      <c r="J22" s="1423">
        <f t="shared" ca="1" si="10"/>
        <v>9.7998009147867009</v>
      </c>
      <c r="K22" s="1423">
        <f t="shared" ca="1" si="11"/>
        <v>9.527584222709292</v>
      </c>
      <c r="L22" s="1423">
        <f t="shared" ca="1" si="12"/>
        <v>9.255367530631883</v>
      </c>
      <c r="M22" s="1423">
        <f t="shared" ca="1" si="13"/>
        <v>8.983150838554474</v>
      </c>
      <c r="N22" s="1423">
        <f t="shared" ca="1" si="14"/>
        <v>8.7109341464770651</v>
      </c>
      <c r="O22" s="1423">
        <f t="shared" ca="1" si="15"/>
        <v>8.4387174543996561</v>
      </c>
      <c r="P22" s="1423">
        <f t="shared" ca="1" si="16"/>
        <v>8.1665007623222472</v>
      </c>
      <c r="Q22" s="1423">
        <f t="shared" ca="1" si="17"/>
        <v>7.8942840702448391</v>
      </c>
      <c r="R22" s="1423">
        <f t="shared" ca="1" si="18"/>
        <v>7.6220673781674311</v>
      </c>
      <c r="S22" s="1423">
        <f t="shared" ca="1" si="19"/>
        <v>7.349850686090023</v>
      </c>
      <c r="T22" s="1423">
        <f t="shared" ca="1" si="20"/>
        <v>7.0776339940126149</v>
      </c>
      <c r="U22" s="1423">
        <f t="shared" ca="1" si="21"/>
        <v>6.8054173019352069</v>
      </c>
      <c r="V22" s="1423">
        <f t="shared" ca="1" si="22"/>
        <v>6.5332006098577988</v>
      </c>
      <c r="W22" s="1423">
        <f t="shared" ca="1" si="23"/>
        <v>6.2609839177803908</v>
      </c>
      <c r="X22" s="202"/>
      <c r="Y22" s="202"/>
      <c r="Z22" s="152"/>
      <c r="AA22" s="152"/>
      <c r="AB22" s="152"/>
    </row>
    <row r="23" spans="1:28" ht="12.75" hidden="1" customHeight="1" outlineLevel="1">
      <c r="A23" s="199">
        <f t="shared" si="4"/>
        <v>4</v>
      </c>
      <c r="B23" s="190" t="str">
        <f t="shared" ca="1" si="5"/>
        <v>Depreciated Net Capex 2019-20</v>
      </c>
      <c r="C23" s="1426"/>
      <c r="D23" s="1426"/>
      <c r="E23" s="1426"/>
      <c r="F23" s="1427"/>
      <c r="G23" s="1428">
        <f>($G14*((1+G$11)^0.5)/G$10)</f>
        <v>9.2779969252198953</v>
      </c>
      <c r="H23" s="1423">
        <f ca="1">IF(G47="n/a",G23,IFERROR(IF((OFFSET($C23,0,$A23))&lt;0,
MIN(0,G23-(OFFSET($C23,0,$A23)/(OFFSET($C18,-$A22,$A23)))),
MAX(0,G23-(OFFSET($C23,0,$A23)/(OFFSET($C18,-$A22,$A23))))),0))</f>
        <v>9.0460470020893986</v>
      </c>
      <c r="I23" s="1423">
        <f t="shared" ca="1" si="9"/>
        <v>8.8140970789589019</v>
      </c>
      <c r="J23" s="1423">
        <f t="shared" ca="1" si="10"/>
        <v>8.5821471558284053</v>
      </c>
      <c r="K23" s="1423">
        <f t="shared" ca="1" si="11"/>
        <v>8.3501972326979086</v>
      </c>
      <c r="L23" s="1423">
        <f t="shared" ca="1" si="12"/>
        <v>8.1182473095674119</v>
      </c>
      <c r="M23" s="1423">
        <f t="shared" ca="1" si="13"/>
        <v>7.8862973864369144</v>
      </c>
      <c r="N23" s="1423">
        <f t="shared" ca="1" si="14"/>
        <v>7.6543474633064168</v>
      </c>
      <c r="O23" s="1423">
        <f t="shared" ca="1" si="15"/>
        <v>7.4223975401759192</v>
      </c>
      <c r="P23" s="1423">
        <f t="shared" ca="1" si="16"/>
        <v>7.1904476170454217</v>
      </c>
      <c r="Q23" s="1423">
        <f t="shared" ca="1" si="17"/>
        <v>6.9584976939149241</v>
      </c>
      <c r="R23" s="1423">
        <f t="shared" ca="1" si="18"/>
        <v>6.7265477707844266</v>
      </c>
      <c r="S23" s="1423">
        <f t="shared" ca="1" si="19"/>
        <v>6.494597847653929</v>
      </c>
      <c r="T23" s="1423">
        <f t="shared" ca="1" si="20"/>
        <v>6.2626479245234314</v>
      </c>
      <c r="U23" s="1423">
        <f t="shared" ca="1" si="21"/>
        <v>6.0306980013929339</v>
      </c>
      <c r="V23" s="1423">
        <f t="shared" ca="1" si="22"/>
        <v>5.7987480782624363</v>
      </c>
      <c r="W23" s="1423">
        <f t="shared" ca="1" si="23"/>
        <v>5.5667981551319388</v>
      </c>
      <c r="X23" s="202"/>
      <c r="Y23" s="202"/>
      <c r="Z23" s="202"/>
      <c r="AA23" s="152"/>
      <c r="AB23" s="152"/>
    </row>
    <row r="24" spans="1:28" ht="12.75" hidden="1" customHeight="1" outlineLevel="1">
      <c r="A24" s="199">
        <f t="shared" si="4"/>
        <v>5</v>
      </c>
      <c r="B24" s="190" t="str">
        <f t="shared" ca="1" si="5"/>
        <v>Depreciated Net Capex 2020-21</v>
      </c>
      <c r="C24" s="1426"/>
      <c r="D24" s="1426"/>
      <c r="E24" s="1426"/>
      <c r="F24" s="1426"/>
      <c r="G24" s="1427"/>
      <c r="H24" s="1428">
        <f>(H14*((1+H$11)^0.5)/H$10)</f>
        <v>7.4120106900828677</v>
      </c>
      <c r="I24" s="1423">
        <f ca="1">IF(H48="n/a",H24,IFERROR(IF((OFFSET($C24,0,$A24))&lt;0,
MIN(0,H24-(OFFSET($C24,0,$A24)/(OFFSET($C19,-$A23,$A24)))),
MAX(0,H24-(OFFSET($C24,0,$A24)/(OFFSET($C19,-$A23,$A24))))),0))</f>
        <v>7.2267104228307959</v>
      </c>
      <c r="J24" s="1423">
        <f t="shared" ca="1" si="10"/>
        <v>7.0414101555787241</v>
      </c>
      <c r="K24" s="1423">
        <f t="shared" ca="1" si="11"/>
        <v>6.8561098883266522</v>
      </c>
      <c r="L24" s="1423">
        <f t="shared" ca="1" si="12"/>
        <v>6.6708096210745804</v>
      </c>
      <c r="M24" s="1423">
        <f t="shared" ca="1" si="13"/>
        <v>6.4855093538225086</v>
      </c>
      <c r="N24" s="1423">
        <f t="shared" ca="1" si="14"/>
        <v>6.3002090865704368</v>
      </c>
      <c r="O24" s="1423">
        <f t="shared" ca="1" si="15"/>
        <v>6.1149088193183649</v>
      </c>
      <c r="P24" s="1423">
        <f t="shared" ca="1" si="16"/>
        <v>5.9296085520662931</v>
      </c>
      <c r="Q24" s="1423">
        <f t="shared" ca="1" si="17"/>
        <v>5.7443082848142213</v>
      </c>
      <c r="R24" s="1423">
        <f t="shared" ca="1" si="18"/>
        <v>5.5590080175621495</v>
      </c>
      <c r="S24" s="1423">
        <f t="shared" ca="1" si="19"/>
        <v>5.3737077503100776</v>
      </c>
      <c r="T24" s="1423">
        <f t="shared" ca="1" si="20"/>
        <v>5.1884074830580058</v>
      </c>
      <c r="U24" s="1423">
        <f t="shared" ca="1" si="21"/>
        <v>5.003107215805934</v>
      </c>
      <c r="V24" s="1423">
        <f t="shared" ca="1" si="22"/>
        <v>4.8178069485538622</v>
      </c>
      <c r="W24" s="1423">
        <f t="shared" ca="1" si="23"/>
        <v>4.6325066813017903</v>
      </c>
      <c r="X24" s="202"/>
      <c r="Y24" s="202"/>
      <c r="Z24" s="202"/>
      <c r="AA24" s="152"/>
      <c r="AB24" s="152"/>
    </row>
    <row r="25" spans="1:28" ht="12.75" hidden="1" customHeight="1" outlineLevel="1">
      <c r="A25" s="199">
        <f t="shared" si="4"/>
        <v>6</v>
      </c>
      <c r="B25" s="190" t="str">
        <f t="shared" ca="1" si="5"/>
        <v>Depreciated Net Capex 2021-22</v>
      </c>
      <c r="C25" s="1426"/>
      <c r="D25" s="1426"/>
      <c r="E25" s="1426"/>
      <c r="F25" s="1426"/>
      <c r="G25" s="1426"/>
      <c r="H25" s="1427"/>
      <c r="I25" s="1428">
        <f>(I14*((1+I$11)^0.5)/I$10)</f>
        <v>13.952893722409005</v>
      </c>
      <c r="J25" s="1423">
        <f ca="1">IF(I49="n/a",I25,IFERROR(IF((OFFSET($C25,0,$A25))&lt;0,
MIN(0,I25-(OFFSET($C25,0,$A25)/(OFFSET($C20,-$A24,$A25)))),
MAX(0,I25-(OFFSET($C25,0,$A25)/(OFFSET($C20,-$A24,$A25))))),0))</f>
        <v>13.604071379348779</v>
      </c>
      <c r="K25" s="1423">
        <f t="shared" ca="1" si="11"/>
        <v>13.255249036288554</v>
      </c>
      <c r="L25" s="1423">
        <f t="shared" ca="1" si="12"/>
        <v>12.906426693228328</v>
      </c>
      <c r="M25" s="1423">
        <f t="shared" ca="1" si="13"/>
        <v>12.557604350168102</v>
      </c>
      <c r="N25" s="1423">
        <f t="shared" ca="1" si="14"/>
        <v>12.208782007107876</v>
      </c>
      <c r="O25" s="1423">
        <f t="shared" ca="1" si="15"/>
        <v>11.859959664047651</v>
      </c>
      <c r="P25" s="1423">
        <f t="shared" ca="1" si="16"/>
        <v>11.511137320987425</v>
      </c>
      <c r="Q25" s="1423">
        <f t="shared" ca="1" si="17"/>
        <v>11.162314977927199</v>
      </c>
      <c r="R25" s="1423">
        <f t="shared" ca="1" si="18"/>
        <v>10.813492634866973</v>
      </c>
      <c r="S25" s="1423">
        <f t="shared" ca="1" si="19"/>
        <v>10.464670291806748</v>
      </c>
      <c r="T25" s="1423">
        <f t="shared" ca="1" si="20"/>
        <v>10.115847948746522</v>
      </c>
      <c r="U25" s="1423">
        <f t="shared" ca="1" si="21"/>
        <v>9.7670256056862961</v>
      </c>
      <c r="V25" s="1423">
        <f t="shared" ca="1" si="22"/>
        <v>9.4182032626260703</v>
      </c>
      <c r="W25" s="1423">
        <f t="shared" ca="1" si="23"/>
        <v>9.0693809195658446</v>
      </c>
      <c r="X25" s="202"/>
      <c r="Y25" s="202"/>
      <c r="Z25" s="202"/>
      <c r="AA25" s="152"/>
      <c r="AB25" s="152"/>
    </row>
    <row r="26" spans="1:28" ht="12.75" hidden="1" customHeight="1" outlineLevel="1">
      <c r="A26" s="199">
        <f t="shared" si="4"/>
        <v>7</v>
      </c>
      <c r="B26" s="190" t="str">
        <f t="shared" ca="1" si="5"/>
        <v>Depreciated Net Capex 2022-23</v>
      </c>
      <c r="C26" s="1426"/>
      <c r="D26" s="1426"/>
      <c r="E26" s="1426"/>
      <c r="F26" s="1426"/>
      <c r="G26" s="1426"/>
      <c r="H26" s="1426"/>
      <c r="I26" s="1427"/>
      <c r="J26" s="1428">
        <f>(J14*((1+J$11)^0.5)/J$10)</f>
        <v>3.3900462015616379</v>
      </c>
      <c r="K26" s="1423">
        <f ca="1">IF(J50="n/a",J26,IFERROR(IF((OFFSET($C26,0,$A26))&lt;0,
MIN(0,J26-(OFFSET($C26,0,$A26)/(OFFSET($C21,-$A25,$A26)))),
MAX(0,J26-(OFFSET($C26,0,$A26)/(OFFSET($C21,-$A25,$A26))))),0))</f>
        <v>3.305295046522597</v>
      </c>
      <c r="L26" s="1423">
        <f t="shared" ca="1" si="12"/>
        <v>3.220543891483556</v>
      </c>
      <c r="M26" s="1423">
        <f t="shared" ca="1" si="13"/>
        <v>3.1357927364445151</v>
      </c>
      <c r="N26" s="1423">
        <f t="shared" ca="1" si="14"/>
        <v>3.0510415814054741</v>
      </c>
      <c r="O26" s="1423">
        <f t="shared" ca="1" si="15"/>
        <v>2.9662904263664331</v>
      </c>
      <c r="P26" s="1423">
        <f t="shared" ca="1" si="16"/>
        <v>2.8815392713273922</v>
      </c>
      <c r="Q26" s="1423">
        <f t="shared" ca="1" si="17"/>
        <v>2.7967881162883512</v>
      </c>
      <c r="R26" s="1423">
        <f t="shared" ca="1" si="18"/>
        <v>2.7120369612493103</v>
      </c>
      <c r="S26" s="1423">
        <f t="shared" ca="1" si="19"/>
        <v>2.6272858062102693</v>
      </c>
      <c r="T26" s="1423">
        <f t="shared" ca="1" si="20"/>
        <v>2.5425346511712283</v>
      </c>
      <c r="U26" s="1423">
        <f t="shared" ca="1" si="21"/>
        <v>2.4577834961321874</v>
      </c>
      <c r="V26" s="1423">
        <f t="shared" ca="1" si="22"/>
        <v>2.3730323410931464</v>
      </c>
      <c r="W26" s="1423">
        <f t="shared" ca="1" si="23"/>
        <v>2.2882811860541055</v>
      </c>
      <c r="X26" s="202"/>
      <c r="Y26" s="202"/>
      <c r="Z26" s="202"/>
      <c r="AA26" s="152"/>
      <c r="AB26" s="152"/>
    </row>
    <row r="27" spans="1:28" ht="12.75" hidden="1" customHeight="1" outlineLevel="1">
      <c r="A27" s="199">
        <f t="shared" si="4"/>
        <v>8</v>
      </c>
      <c r="B27" s="190" t="str">
        <f t="shared" ca="1" si="5"/>
        <v>Depreciated Net Capex 2023-24</v>
      </c>
      <c r="C27" s="1426"/>
      <c r="D27" s="1426"/>
      <c r="E27" s="1426"/>
      <c r="F27" s="1426"/>
      <c r="G27" s="1426"/>
      <c r="H27" s="1426"/>
      <c r="I27" s="1426"/>
      <c r="J27" s="1427"/>
      <c r="K27" s="1428">
        <f>(K14*((1+K$11)^0.5)/K$10)</f>
        <v>0</v>
      </c>
      <c r="L27" s="1423">
        <f ca="1">IF(K51="n/a",K27,IFERROR(IF((OFFSET($C27,0,$A27))&lt;0,
MIN(0,K27-(OFFSET($C27,0,$A27)/(OFFSET($C22,-$A26,$A27)))),
MAX(0,K27-(OFFSET($C27,0,$A27)/(OFFSET($C22,-$A26,$A27))))),0))</f>
        <v>0</v>
      </c>
      <c r="M27" s="1423">
        <f t="shared" ca="1" si="13"/>
        <v>0</v>
      </c>
      <c r="N27" s="1423">
        <f t="shared" ca="1" si="14"/>
        <v>0</v>
      </c>
      <c r="O27" s="1423">
        <f t="shared" ca="1" si="15"/>
        <v>0</v>
      </c>
      <c r="P27" s="1423">
        <f t="shared" ca="1" si="16"/>
        <v>0</v>
      </c>
      <c r="Q27" s="1423">
        <f t="shared" ca="1" si="17"/>
        <v>0</v>
      </c>
      <c r="R27" s="1423">
        <f t="shared" ca="1" si="18"/>
        <v>0</v>
      </c>
      <c r="S27" s="1423">
        <f t="shared" ca="1" si="19"/>
        <v>0</v>
      </c>
      <c r="T27" s="1423">
        <f t="shared" ca="1" si="20"/>
        <v>0</v>
      </c>
      <c r="U27" s="1423">
        <f t="shared" ca="1" si="21"/>
        <v>0</v>
      </c>
      <c r="V27" s="1423">
        <f t="shared" ca="1" si="22"/>
        <v>0</v>
      </c>
      <c r="W27" s="1423">
        <f t="shared" ca="1" si="23"/>
        <v>0</v>
      </c>
      <c r="X27" s="202"/>
      <c r="Y27" s="202"/>
      <c r="Z27" s="202"/>
      <c r="AA27" s="152"/>
      <c r="AB27" s="152"/>
    </row>
    <row r="28" spans="1:28" ht="12.75" hidden="1" customHeight="1" outlineLevel="1">
      <c r="A28" s="199">
        <f t="shared" si="4"/>
        <v>9</v>
      </c>
      <c r="B28" s="190" t="str">
        <f t="shared" ca="1" si="5"/>
        <v>Depreciated Net Capex 2024-25</v>
      </c>
      <c r="C28" s="1426"/>
      <c r="D28" s="1426"/>
      <c r="E28" s="1426"/>
      <c r="F28" s="1426"/>
      <c r="G28" s="1426"/>
      <c r="H28" s="1426"/>
      <c r="I28" s="1426"/>
      <c r="J28" s="1426"/>
      <c r="K28" s="1427"/>
      <c r="L28" s="1428">
        <f>(L14*((1+L$11)^0.5)/L$10)</f>
        <v>0</v>
      </c>
      <c r="M28" s="1423">
        <f ca="1">IF(L52="n/a",L28,IFERROR(IF((OFFSET($C28,0,$A28))&lt;0,
MIN(0,L28-(OFFSET($C28,0,$A28)/(OFFSET($C23,-$A27,$A28)))),
MAX(0,L28-(OFFSET($C28,0,$A28)/(OFFSET($C23,-$A27,$A28))))),0))</f>
        <v>0</v>
      </c>
      <c r="N28" s="1423">
        <f t="shared" ca="1" si="14"/>
        <v>0</v>
      </c>
      <c r="O28" s="1423">
        <f t="shared" ca="1" si="15"/>
        <v>0</v>
      </c>
      <c r="P28" s="1423">
        <f t="shared" ca="1" si="16"/>
        <v>0</v>
      </c>
      <c r="Q28" s="1423">
        <f t="shared" ca="1" si="17"/>
        <v>0</v>
      </c>
      <c r="R28" s="1423">
        <f t="shared" ca="1" si="18"/>
        <v>0</v>
      </c>
      <c r="S28" s="1423">
        <f t="shared" ca="1" si="19"/>
        <v>0</v>
      </c>
      <c r="T28" s="1423">
        <f t="shared" ca="1" si="20"/>
        <v>0</v>
      </c>
      <c r="U28" s="1423">
        <f t="shared" ca="1" si="21"/>
        <v>0</v>
      </c>
      <c r="V28" s="1423">
        <f t="shared" ca="1" si="22"/>
        <v>0</v>
      </c>
      <c r="W28" s="1423">
        <f t="shared" ca="1" si="23"/>
        <v>0</v>
      </c>
      <c r="X28" s="202"/>
      <c r="Y28" s="202"/>
      <c r="Z28" s="202"/>
      <c r="AA28" s="152"/>
      <c r="AB28" s="152"/>
    </row>
    <row r="29" spans="1:28" ht="12.75" hidden="1" customHeight="1" outlineLevel="1">
      <c r="A29" s="199">
        <f t="shared" si="4"/>
        <v>10</v>
      </c>
      <c r="B29" s="190" t="str">
        <f t="shared" ca="1" si="5"/>
        <v>Depreciated Net Capex 2025-26</v>
      </c>
      <c r="C29" s="1426"/>
      <c r="D29" s="1426"/>
      <c r="E29" s="1426"/>
      <c r="F29" s="1426"/>
      <c r="G29" s="1426"/>
      <c r="H29" s="1426"/>
      <c r="I29" s="1426"/>
      <c r="J29" s="1426"/>
      <c r="K29" s="1426"/>
      <c r="L29" s="1427"/>
      <c r="M29" s="1428">
        <f>(M14*((1+M$11)^0.5)/M$10)</f>
        <v>0</v>
      </c>
      <c r="N29" s="1423">
        <f ca="1">IF(M53="n/a",M29,IFERROR(IF((OFFSET($C29,0,$A29))&lt;0,
MIN(0,M29-(OFFSET($C29,0,$A29)/(OFFSET($C24,-$A28,$A29)))),
MAX(0,M29-(OFFSET($C29,0,$A29)/(OFFSET($C24,-$A28,$A29))))),0))</f>
        <v>0</v>
      </c>
      <c r="O29" s="1423">
        <f t="shared" ca="1" si="15"/>
        <v>0</v>
      </c>
      <c r="P29" s="1423">
        <f t="shared" ca="1" si="16"/>
        <v>0</v>
      </c>
      <c r="Q29" s="1423">
        <f t="shared" ca="1" si="17"/>
        <v>0</v>
      </c>
      <c r="R29" s="1423">
        <f t="shared" ca="1" si="18"/>
        <v>0</v>
      </c>
      <c r="S29" s="1423">
        <f t="shared" ca="1" si="19"/>
        <v>0</v>
      </c>
      <c r="T29" s="1423">
        <f t="shared" ca="1" si="20"/>
        <v>0</v>
      </c>
      <c r="U29" s="1423">
        <f t="shared" ca="1" si="21"/>
        <v>0</v>
      </c>
      <c r="V29" s="1423">
        <f t="shared" ca="1" si="22"/>
        <v>0</v>
      </c>
      <c r="W29" s="1423">
        <f t="shared" ca="1" si="23"/>
        <v>0</v>
      </c>
      <c r="X29" s="202"/>
      <c r="Y29" s="202"/>
      <c r="Z29" s="202"/>
      <c r="AA29" s="152"/>
      <c r="AB29" s="152"/>
    </row>
    <row r="30" spans="1:28" ht="12.75" hidden="1" customHeight="1" outlineLevel="1">
      <c r="A30" s="199">
        <f t="shared" si="4"/>
        <v>11</v>
      </c>
      <c r="B30" s="190" t="str">
        <f t="shared" ca="1" si="5"/>
        <v>Depreciated Net Capex 2026-27</v>
      </c>
      <c r="C30" s="1426"/>
      <c r="D30" s="1426"/>
      <c r="E30" s="1426"/>
      <c r="F30" s="1426"/>
      <c r="G30" s="1426"/>
      <c r="H30" s="1426"/>
      <c r="I30" s="1426"/>
      <c r="J30" s="1426"/>
      <c r="K30" s="1426"/>
      <c r="L30" s="1426"/>
      <c r="M30" s="1427"/>
      <c r="N30" s="1428">
        <f>(N14*((1+N$11)^0.5)/N$10)</f>
        <v>0</v>
      </c>
      <c r="O30" s="1423">
        <f ca="1">IF(N54="n/a",N30,IFERROR(IF((OFFSET($C30,0,$A30))&lt;0,
MIN(0,N30-(OFFSET($C30,0,$A30)/(OFFSET($C25,-$A29,$A30)))),
MAX(0,N30-(OFFSET($C30,0,$A30)/(OFFSET($C25,-$A29,$A30))))),0))</f>
        <v>0</v>
      </c>
      <c r="P30" s="1423">
        <f t="shared" ca="1" si="16"/>
        <v>0</v>
      </c>
      <c r="Q30" s="1423">
        <f t="shared" ca="1" si="17"/>
        <v>0</v>
      </c>
      <c r="R30" s="1423">
        <f t="shared" ca="1" si="18"/>
        <v>0</v>
      </c>
      <c r="S30" s="1423">
        <f t="shared" ca="1" si="19"/>
        <v>0</v>
      </c>
      <c r="T30" s="1423">
        <f t="shared" ca="1" si="20"/>
        <v>0</v>
      </c>
      <c r="U30" s="1423">
        <f t="shared" ca="1" si="21"/>
        <v>0</v>
      </c>
      <c r="V30" s="1423">
        <f t="shared" ca="1" si="22"/>
        <v>0</v>
      </c>
      <c r="W30" s="1423">
        <f t="shared" ca="1" si="23"/>
        <v>0</v>
      </c>
      <c r="X30" s="202"/>
      <c r="Y30" s="202"/>
      <c r="Z30" s="202"/>
      <c r="AA30" s="152"/>
      <c r="AB30" s="152"/>
    </row>
    <row r="31" spans="1:28" ht="12.75" hidden="1" customHeight="1" outlineLevel="1">
      <c r="A31" s="199">
        <f t="shared" si="4"/>
        <v>12</v>
      </c>
      <c r="B31" s="190" t="str">
        <f t="shared" ca="1" si="5"/>
        <v>Depreciated Net Capex 2027-28</v>
      </c>
      <c r="C31" s="1426"/>
      <c r="D31" s="1426"/>
      <c r="E31" s="1426"/>
      <c r="F31" s="1426"/>
      <c r="G31" s="1426"/>
      <c r="H31" s="1426"/>
      <c r="I31" s="1426"/>
      <c r="J31" s="1426"/>
      <c r="K31" s="1426"/>
      <c r="L31" s="1426"/>
      <c r="M31" s="1426"/>
      <c r="N31" s="1427"/>
      <c r="O31" s="1428">
        <f>(O14*((1+O$11)^0.5)/O$10)</f>
        <v>0</v>
      </c>
      <c r="P31" s="1423">
        <f ca="1">IF(O55="n/a",O31,IFERROR(IF((OFFSET($C31,0,$A31))&lt;0,
MIN(0,O31-(OFFSET($C31,0,$A31)/(OFFSET($C26,-$A30,$A31)))),
MAX(0,O31-(OFFSET($C31,0,$A31)/(OFFSET($C26,-$A30,$A31))))),0))</f>
        <v>0</v>
      </c>
      <c r="Q31" s="1423">
        <f t="shared" ca="1" si="17"/>
        <v>0</v>
      </c>
      <c r="R31" s="1423">
        <f t="shared" ca="1" si="18"/>
        <v>0</v>
      </c>
      <c r="S31" s="1423">
        <f t="shared" ca="1" si="19"/>
        <v>0</v>
      </c>
      <c r="T31" s="1423">
        <f t="shared" ca="1" si="20"/>
        <v>0</v>
      </c>
      <c r="U31" s="1423">
        <f t="shared" ca="1" si="21"/>
        <v>0</v>
      </c>
      <c r="V31" s="1423">
        <f t="shared" ca="1" si="22"/>
        <v>0</v>
      </c>
      <c r="W31" s="1423">
        <f t="shared" ca="1" si="23"/>
        <v>0</v>
      </c>
      <c r="X31" s="202"/>
      <c r="Y31" s="202"/>
      <c r="Z31" s="202"/>
      <c r="AA31" s="152"/>
      <c r="AB31" s="152"/>
    </row>
    <row r="32" spans="1:28" ht="12.75" hidden="1" customHeight="1" outlineLevel="1">
      <c r="A32" s="199">
        <f t="shared" si="4"/>
        <v>13</v>
      </c>
      <c r="B32" s="190" t="str">
        <f t="shared" ca="1" si="5"/>
        <v>Depreciated Net Capex 2028-29</v>
      </c>
      <c r="C32" s="1426"/>
      <c r="D32" s="1426"/>
      <c r="E32" s="1426"/>
      <c r="F32" s="1426"/>
      <c r="G32" s="1426"/>
      <c r="H32" s="1426"/>
      <c r="I32" s="1426"/>
      <c r="J32" s="1426"/>
      <c r="K32" s="1426"/>
      <c r="L32" s="1426"/>
      <c r="M32" s="1426"/>
      <c r="N32" s="1426"/>
      <c r="O32" s="1427"/>
      <c r="P32" s="1428">
        <f>(P14*((1+P$11)^0.5)/P$10)</f>
        <v>0</v>
      </c>
      <c r="Q32" s="1423">
        <f ca="1">IF(P56="n/a",P32,IFERROR(IF((OFFSET($C32,0,$A32))&lt;0,
MIN(0,P32-(OFFSET($C32,0,$A32)/(OFFSET($C27,-$A31,$A32)))),
MAX(0,P32-(OFFSET($C32,0,$A32)/(OFFSET($C27,-$A31,$A32))))),0))</f>
        <v>0</v>
      </c>
      <c r="R32" s="1423">
        <f t="shared" ca="1" si="18"/>
        <v>0</v>
      </c>
      <c r="S32" s="1423">
        <f t="shared" ca="1" si="19"/>
        <v>0</v>
      </c>
      <c r="T32" s="1423">
        <f t="shared" ca="1" si="20"/>
        <v>0</v>
      </c>
      <c r="U32" s="1423">
        <f t="shared" ca="1" si="21"/>
        <v>0</v>
      </c>
      <c r="V32" s="1423">
        <f t="shared" ca="1" si="22"/>
        <v>0</v>
      </c>
      <c r="W32" s="1423">
        <f t="shared" ca="1" si="23"/>
        <v>0</v>
      </c>
      <c r="X32" s="202"/>
      <c r="Y32" s="202"/>
      <c r="Z32" s="202"/>
      <c r="AA32" s="152"/>
      <c r="AB32" s="152"/>
    </row>
    <row r="33" spans="1:28" ht="12.75" hidden="1" customHeight="1" outlineLevel="1">
      <c r="A33" s="199">
        <f t="shared" si="4"/>
        <v>14</v>
      </c>
      <c r="B33" s="190" t="str">
        <f t="shared" ca="1" si="5"/>
        <v>Depreciated Net Capex 2029-30</v>
      </c>
      <c r="C33" s="1426"/>
      <c r="D33" s="1426"/>
      <c r="E33" s="1426"/>
      <c r="F33" s="1426"/>
      <c r="G33" s="1426"/>
      <c r="H33" s="1426"/>
      <c r="I33" s="1426"/>
      <c r="J33" s="1426"/>
      <c r="K33" s="1426"/>
      <c r="L33" s="1426"/>
      <c r="M33" s="1426"/>
      <c r="N33" s="1426"/>
      <c r="O33" s="1426"/>
      <c r="P33" s="1427"/>
      <c r="Q33" s="1428">
        <f>(Q14*((1+Q$11)^0.5)/Q$10)</f>
        <v>0</v>
      </c>
      <c r="R33" s="1423">
        <f ca="1">IF(Q57="n/a",Q33,IFERROR(IF((OFFSET($C33,0,$A33))&lt;0,
MIN(0,Q33-(OFFSET($C33,0,$A33)/(OFFSET($C28,-$A32,$A33)))),
MAX(0,Q33-(OFFSET($C33,0,$A33)/(OFFSET($C28,-$A32,$A33))))),0))</f>
        <v>0</v>
      </c>
      <c r="S33" s="1423">
        <f t="shared" ca="1" si="19"/>
        <v>0</v>
      </c>
      <c r="T33" s="1423">
        <f t="shared" ca="1" si="20"/>
        <v>0</v>
      </c>
      <c r="U33" s="1423">
        <f t="shared" ca="1" si="21"/>
        <v>0</v>
      </c>
      <c r="V33" s="1423">
        <f t="shared" ca="1" si="22"/>
        <v>0</v>
      </c>
      <c r="W33" s="1423">
        <f t="shared" ca="1" si="23"/>
        <v>0</v>
      </c>
      <c r="X33" s="202"/>
      <c r="Y33" s="202"/>
      <c r="Z33" s="202"/>
      <c r="AA33" s="152"/>
      <c r="AB33" s="152"/>
    </row>
    <row r="34" spans="1:28" ht="12.75" hidden="1" customHeight="1" outlineLevel="1">
      <c r="A34" s="199">
        <f t="shared" si="4"/>
        <v>15</v>
      </c>
      <c r="B34" s="190" t="str">
        <f t="shared" ca="1" si="5"/>
        <v>Depreciated Net Capex 2030-31</v>
      </c>
      <c r="C34" s="1426"/>
      <c r="D34" s="1426"/>
      <c r="E34" s="1426"/>
      <c r="F34" s="1426"/>
      <c r="G34" s="1426"/>
      <c r="H34" s="1426"/>
      <c r="I34" s="1426"/>
      <c r="J34" s="1426"/>
      <c r="K34" s="1426"/>
      <c r="L34" s="1426"/>
      <c r="M34" s="1426"/>
      <c r="N34" s="1426"/>
      <c r="O34" s="1426"/>
      <c r="P34" s="1426"/>
      <c r="Q34" s="1427"/>
      <c r="R34" s="1428">
        <f>(R14*((1+R$11)^0.5)/R$10)</f>
        <v>0</v>
      </c>
      <c r="S34" s="1423">
        <f ca="1">IF(R58="n/a",R34,IFERROR(IF((OFFSET($C34,0,$A34))&lt;0,
MIN(0,R34-(OFFSET($C34,0,$A34)/(OFFSET($C29,-$A33,$A34)))),
MAX(0,R34-(OFFSET($C34,0,$A34)/(OFFSET($C29,-$A33,$A34))))),0))</f>
        <v>0</v>
      </c>
      <c r="T34" s="1423">
        <f t="shared" ca="1" si="20"/>
        <v>0</v>
      </c>
      <c r="U34" s="1423">
        <f t="shared" ca="1" si="21"/>
        <v>0</v>
      </c>
      <c r="V34" s="1423">
        <f t="shared" ca="1" si="22"/>
        <v>0</v>
      </c>
      <c r="W34" s="1423">
        <f t="shared" ca="1" si="23"/>
        <v>0</v>
      </c>
      <c r="X34" s="202"/>
      <c r="Y34" s="202"/>
      <c r="Z34" s="202"/>
      <c r="AA34" s="152"/>
      <c r="AB34" s="152"/>
    </row>
    <row r="35" spans="1:28" ht="12.75" hidden="1" customHeight="1" outlineLevel="1">
      <c r="A35" s="199">
        <f t="shared" si="4"/>
        <v>16</v>
      </c>
      <c r="B35" s="190" t="str">
        <f t="shared" ca="1" si="5"/>
        <v>Depreciated Net Capex 2031-32</v>
      </c>
      <c r="C35" s="1426"/>
      <c r="D35" s="1426"/>
      <c r="E35" s="1426"/>
      <c r="F35" s="1426"/>
      <c r="G35" s="1426"/>
      <c r="H35" s="1426"/>
      <c r="I35" s="1426"/>
      <c r="J35" s="1426"/>
      <c r="K35" s="1426"/>
      <c r="L35" s="1426"/>
      <c r="M35" s="1426"/>
      <c r="N35" s="1426"/>
      <c r="O35" s="1426"/>
      <c r="P35" s="1426"/>
      <c r="Q35" s="1426"/>
      <c r="R35" s="1427"/>
      <c r="S35" s="1428">
        <f>(S14*((1+S$11)^0.5)/S$10)</f>
        <v>0</v>
      </c>
      <c r="T35" s="1423">
        <f ca="1">IF(S59="n/a",S35,IFERROR(IF((OFFSET($C35,0,$A35))&lt;0,
MIN(0,S35-(OFFSET($C35,0,$A35)/(OFFSET($C30,-$A34,$A35)))),
MAX(0,S35-(OFFSET($C35,0,$A35)/(OFFSET($C30,-$A34,$A35))))),0))</f>
        <v>0</v>
      </c>
      <c r="U35" s="1423">
        <f t="shared" ca="1" si="21"/>
        <v>0</v>
      </c>
      <c r="V35" s="1423">
        <f t="shared" ca="1" si="22"/>
        <v>0</v>
      </c>
      <c r="W35" s="1423">
        <f t="shared" ca="1" si="23"/>
        <v>0</v>
      </c>
      <c r="X35" s="202"/>
      <c r="Y35" s="202"/>
      <c r="Z35" s="202"/>
      <c r="AA35" s="152"/>
      <c r="AB35" s="152"/>
    </row>
    <row r="36" spans="1:28" ht="12.75" hidden="1" customHeight="1" outlineLevel="1">
      <c r="A36" s="199">
        <f t="shared" si="4"/>
        <v>17</v>
      </c>
      <c r="B36" s="190" t="str">
        <f t="shared" ca="1" si="5"/>
        <v>Depreciated Net Capex 2032-33</v>
      </c>
      <c r="C36" s="1426"/>
      <c r="D36" s="1426"/>
      <c r="E36" s="1426"/>
      <c r="F36" s="1426"/>
      <c r="G36" s="1426"/>
      <c r="H36" s="1426"/>
      <c r="I36" s="1426"/>
      <c r="J36" s="1426"/>
      <c r="K36" s="1426"/>
      <c r="L36" s="1426"/>
      <c r="M36" s="1426"/>
      <c r="N36" s="1426"/>
      <c r="O36" s="1426"/>
      <c r="P36" s="1426"/>
      <c r="Q36" s="1426"/>
      <c r="R36" s="1426"/>
      <c r="S36" s="1427"/>
      <c r="T36" s="1428">
        <f>(T14*((1+T$11)^0.5)/T$10)</f>
        <v>0</v>
      </c>
      <c r="U36" s="1423">
        <f ca="1">IF(T60="n/a",T36,IFERROR(IF((OFFSET($C36,0,$A36))&lt;0,
MIN(0,T36-(OFFSET($C36,0,$A36)/(OFFSET($C31,-$A35,$A36)))),
MAX(0,T36-(OFFSET($C36,0,$A36)/(OFFSET($C31,-$A35,$A36))))),0))</f>
        <v>0</v>
      </c>
      <c r="V36" s="1423">
        <f t="shared" ca="1" si="22"/>
        <v>0</v>
      </c>
      <c r="W36" s="1423">
        <f t="shared" ca="1" si="23"/>
        <v>0</v>
      </c>
      <c r="X36" s="202"/>
      <c r="Y36" s="202"/>
      <c r="Z36" s="202"/>
      <c r="AA36" s="152"/>
      <c r="AB36" s="152"/>
    </row>
    <row r="37" spans="1:28" ht="12.75" hidden="1" customHeight="1" outlineLevel="1">
      <c r="A37" s="199">
        <f t="shared" si="4"/>
        <v>18</v>
      </c>
      <c r="B37" s="190" t="str">
        <f t="shared" ca="1" si="5"/>
        <v>Depreciated Net Capex 2033-34</v>
      </c>
      <c r="C37" s="1426"/>
      <c r="D37" s="1426"/>
      <c r="E37" s="1426"/>
      <c r="F37" s="1426"/>
      <c r="G37" s="1426"/>
      <c r="H37" s="1426"/>
      <c r="I37" s="1426"/>
      <c r="J37" s="1426"/>
      <c r="K37" s="1426"/>
      <c r="L37" s="1426"/>
      <c r="M37" s="1426"/>
      <c r="N37" s="1426"/>
      <c r="O37" s="1426"/>
      <c r="P37" s="1426"/>
      <c r="Q37" s="1426"/>
      <c r="R37" s="1426"/>
      <c r="S37" s="1426"/>
      <c r="T37" s="1427"/>
      <c r="U37" s="1428">
        <f>(U14*((1+U$11)^0.5)/U$10)</f>
        <v>0</v>
      </c>
      <c r="V37" s="1423">
        <f ca="1">IF(U61="n/a",U37,IFERROR(IF((OFFSET($C37,0,$A37))&lt;0,
MIN(0,U37-(OFFSET($C37,0,$A37)/(OFFSET($C32,-$A36,$A37)))),
MAX(0,U37-(OFFSET($C37,0,$A37)/(OFFSET($C32,-$A36,$A37))))),0))</f>
        <v>0</v>
      </c>
      <c r="W37" s="1423">
        <f t="shared" ca="1" si="23"/>
        <v>0</v>
      </c>
      <c r="X37" s="202"/>
      <c r="Y37" s="202"/>
      <c r="Z37" s="202"/>
      <c r="AA37" s="152"/>
      <c r="AB37" s="152"/>
    </row>
    <row r="38" spans="1:28" ht="12.75" hidden="1" customHeight="1" outlineLevel="1">
      <c r="A38" s="199">
        <f t="shared" si="4"/>
        <v>19</v>
      </c>
      <c r="B38" s="190" t="str">
        <f t="shared" ca="1" si="5"/>
        <v>Depreciated Net Capex 2034-35</v>
      </c>
      <c r="C38" s="1426"/>
      <c r="D38" s="1426"/>
      <c r="E38" s="1426"/>
      <c r="F38" s="1426"/>
      <c r="G38" s="1426"/>
      <c r="H38" s="1426"/>
      <c r="I38" s="1426"/>
      <c r="J38" s="1426"/>
      <c r="K38" s="1426"/>
      <c r="L38" s="1426"/>
      <c r="M38" s="1426"/>
      <c r="N38" s="1426"/>
      <c r="O38" s="1426"/>
      <c r="P38" s="1426"/>
      <c r="Q38" s="1426"/>
      <c r="R38" s="1426"/>
      <c r="S38" s="1426"/>
      <c r="T38" s="1426"/>
      <c r="U38" s="1427"/>
      <c r="V38" s="1428">
        <f>(V14*((1+V$11)^0.5)/V$10)</f>
        <v>0</v>
      </c>
      <c r="W38" s="1423">
        <f ca="1">IF(V62="n/a",V38,IFERROR(IF((OFFSET($C38,0,$A38))&lt;0,
MIN(0,V38-(OFFSET($C38,0,$A38)/(OFFSET($C33,-$A37,$A38)))),
MAX(0,V38-(OFFSET($C38,0,$A38)/(OFFSET($C33,-$A37,$A38))))),0))</f>
        <v>0</v>
      </c>
      <c r="X38" s="202"/>
      <c r="Y38" s="202"/>
      <c r="Z38" s="202"/>
      <c r="AA38" s="152"/>
      <c r="AB38" s="152"/>
    </row>
    <row r="39" spans="1:28" ht="12.75" hidden="1" customHeight="1" outlineLevel="1">
      <c r="A39" s="199">
        <f t="shared" si="4"/>
        <v>20</v>
      </c>
      <c r="B39" s="190" t="str">
        <f ca="1">"Depreciated Net Capex "&amp;OFFSET($C$6,0,A39)</f>
        <v>Depreciated Net Capex 2035-36</v>
      </c>
      <c r="C39" s="1426"/>
      <c r="D39" s="1426"/>
      <c r="E39" s="1426"/>
      <c r="F39" s="1426"/>
      <c r="G39" s="1426"/>
      <c r="H39" s="1426"/>
      <c r="I39" s="1426"/>
      <c r="J39" s="1426"/>
      <c r="K39" s="1426"/>
      <c r="L39" s="1426"/>
      <c r="M39" s="1426"/>
      <c r="N39" s="1426"/>
      <c r="O39" s="1426"/>
      <c r="P39" s="1426"/>
      <c r="Q39" s="1426"/>
      <c r="R39" s="1426"/>
      <c r="S39" s="1426"/>
      <c r="T39" s="1426"/>
      <c r="U39" s="1426"/>
      <c r="V39" s="1427"/>
      <c r="W39" s="1423">
        <f>(W14*((1+W$11)^0.5)/W$10)</f>
        <v>0</v>
      </c>
      <c r="X39" s="152"/>
      <c r="Y39" s="152"/>
      <c r="Z39" s="152"/>
      <c r="AA39" s="152"/>
      <c r="AB39" s="152"/>
    </row>
    <row r="40" spans="1:28" ht="12.75" hidden="1" customHeight="1" outlineLevel="1">
      <c r="A40" s="152"/>
      <c r="B40" s="200"/>
      <c r="C40" s="1423"/>
      <c r="D40" s="1423"/>
      <c r="E40" s="1423"/>
      <c r="F40" s="1423"/>
      <c r="G40" s="1423"/>
      <c r="H40" s="1423"/>
      <c r="I40" s="1423"/>
      <c r="J40" s="1423"/>
      <c r="K40" s="1423"/>
      <c r="L40" s="1423"/>
      <c r="M40" s="1423"/>
      <c r="N40" s="1423"/>
      <c r="O40" s="1423"/>
      <c r="P40" s="1423"/>
      <c r="Q40" s="1423"/>
      <c r="R40" s="1423"/>
      <c r="S40" s="1423"/>
      <c r="T40" s="1423"/>
      <c r="U40" s="1423"/>
      <c r="V40" s="1423"/>
      <c r="W40" s="1423"/>
      <c r="X40" s="152"/>
      <c r="Y40" s="152"/>
      <c r="Z40" s="152"/>
      <c r="AA40" s="152"/>
      <c r="AB40" s="152"/>
    </row>
    <row r="41" spans="1:28" ht="12.75" hidden="1" customHeight="1" outlineLevel="1">
      <c r="A41" s="152"/>
      <c r="B41" s="200"/>
      <c r="C41" s="1423"/>
      <c r="D41" s="1423"/>
      <c r="E41" s="1423"/>
      <c r="F41" s="1423"/>
      <c r="G41" s="1423"/>
      <c r="H41" s="1423"/>
      <c r="I41" s="1423"/>
      <c r="J41" s="1423"/>
      <c r="K41" s="1423"/>
      <c r="L41" s="1423"/>
      <c r="M41" s="1423"/>
      <c r="N41" s="1423"/>
      <c r="O41" s="1423"/>
      <c r="P41" s="1423"/>
      <c r="Q41" s="1423"/>
      <c r="R41" s="1423"/>
      <c r="S41" s="1423"/>
      <c r="T41" s="1423"/>
      <c r="U41" s="1423"/>
      <c r="V41" s="1423"/>
      <c r="W41" s="1423"/>
      <c r="X41" s="152"/>
      <c r="Y41" s="152"/>
      <c r="Z41" s="152"/>
      <c r="AA41" s="152"/>
      <c r="AB41" s="152"/>
    </row>
    <row r="42" spans="1:28" ht="12.75" hidden="1" customHeight="1" outlineLevel="1">
      <c r="A42" s="152"/>
      <c r="B42" s="190" t="s">
        <v>190</v>
      </c>
      <c r="C42" s="1423"/>
      <c r="D42" s="1423">
        <f ca="1">IF(AND(C42&lt;1,D16=0),0,
IF(D16=0,C42-1,
IF(C42&lt;1,D17,
(((C42-1)*(C18-(C18/(C42))))+((D16/D$10)*D17))/(D18))))</f>
        <v>0</v>
      </c>
      <c r="E42" s="1423">
        <f t="shared" ref="E42:W42" ca="1" si="24">IF(AND(D42&lt;1,E16=0),0,
IF(E16=0,D42-1,
IF(D42&lt;1,E17,
(((D42-1)*(D18-(D18/(D42))))+((E16/E$10)*E17))/(E18))))</f>
        <v>0</v>
      </c>
      <c r="F42" s="1423">
        <f t="shared" ca="1" si="24"/>
        <v>0</v>
      </c>
      <c r="G42" s="1423">
        <f t="shared" ca="1" si="24"/>
        <v>0</v>
      </c>
      <c r="H42" s="1423">
        <f t="shared" ca="1" si="24"/>
        <v>0</v>
      </c>
      <c r="I42" s="1423">
        <f t="shared" ca="1" si="24"/>
        <v>0</v>
      </c>
      <c r="J42" s="1423">
        <f t="shared" ca="1" si="24"/>
        <v>0</v>
      </c>
      <c r="K42" s="1423">
        <f t="shared" ca="1" si="24"/>
        <v>0</v>
      </c>
      <c r="L42" s="1423">
        <f t="shared" ca="1" si="24"/>
        <v>0</v>
      </c>
      <c r="M42" s="1423">
        <f t="shared" ca="1" si="24"/>
        <v>0</v>
      </c>
      <c r="N42" s="1423">
        <f t="shared" ca="1" si="24"/>
        <v>0</v>
      </c>
      <c r="O42" s="1423">
        <f t="shared" ca="1" si="24"/>
        <v>0</v>
      </c>
      <c r="P42" s="1423">
        <f t="shared" ca="1" si="24"/>
        <v>0</v>
      </c>
      <c r="Q42" s="1423">
        <f t="shared" ca="1" si="24"/>
        <v>0</v>
      </c>
      <c r="R42" s="1423">
        <f t="shared" ca="1" si="24"/>
        <v>0</v>
      </c>
      <c r="S42" s="1423">
        <f t="shared" ca="1" si="24"/>
        <v>0</v>
      </c>
      <c r="T42" s="1423">
        <f t="shared" ca="1" si="24"/>
        <v>0</v>
      </c>
      <c r="U42" s="1423">
        <f t="shared" ca="1" si="24"/>
        <v>0</v>
      </c>
      <c r="V42" s="1423">
        <f t="shared" ca="1" si="24"/>
        <v>0</v>
      </c>
      <c r="W42" s="1423">
        <f t="shared" ca="1" si="24"/>
        <v>0</v>
      </c>
      <c r="X42" s="152"/>
      <c r="Y42" s="152"/>
      <c r="Z42" s="152"/>
      <c r="AA42" s="152"/>
      <c r="AB42" s="152"/>
    </row>
    <row r="43" spans="1:28" ht="12.75" hidden="1" customHeight="1" outlineLevel="1">
      <c r="A43" s="152"/>
      <c r="B43" s="190" t="s">
        <v>122</v>
      </c>
      <c r="C43" s="1423">
        <f ca="1">C15</f>
        <v>40</v>
      </c>
      <c r="D43" s="1423">
        <f t="shared" ref="D43:W43" ca="1" si="25">IF(C43="n/a","n/a",MAX(0,C43-1))</f>
        <v>39</v>
      </c>
      <c r="E43" s="1423">
        <f t="shared" ca="1" si="25"/>
        <v>38</v>
      </c>
      <c r="F43" s="1423">
        <f t="shared" ca="1" si="25"/>
        <v>37</v>
      </c>
      <c r="G43" s="1423">
        <f t="shared" ca="1" si="25"/>
        <v>36</v>
      </c>
      <c r="H43" s="1423">
        <f t="shared" ca="1" si="25"/>
        <v>35</v>
      </c>
      <c r="I43" s="1423">
        <f t="shared" ca="1" si="25"/>
        <v>34</v>
      </c>
      <c r="J43" s="1423">
        <f t="shared" ca="1" si="25"/>
        <v>33</v>
      </c>
      <c r="K43" s="1423">
        <f t="shared" ca="1" si="25"/>
        <v>32</v>
      </c>
      <c r="L43" s="1423">
        <f t="shared" ca="1" si="25"/>
        <v>31</v>
      </c>
      <c r="M43" s="1423">
        <f t="shared" ca="1" si="25"/>
        <v>30</v>
      </c>
      <c r="N43" s="1423">
        <f t="shared" ca="1" si="25"/>
        <v>29</v>
      </c>
      <c r="O43" s="1423">
        <f t="shared" ca="1" si="25"/>
        <v>28</v>
      </c>
      <c r="P43" s="1423">
        <f t="shared" ca="1" si="25"/>
        <v>27</v>
      </c>
      <c r="Q43" s="1423">
        <f t="shared" ca="1" si="25"/>
        <v>26</v>
      </c>
      <c r="R43" s="1423">
        <f t="shared" ca="1" si="25"/>
        <v>25</v>
      </c>
      <c r="S43" s="1423">
        <f t="shared" ca="1" si="25"/>
        <v>24</v>
      </c>
      <c r="T43" s="1423">
        <f t="shared" ca="1" si="25"/>
        <v>23</v>
      </c>
      <c r="U43" s="1423">
        <f t="shared" ca="1" si="25"/>
        <v>22</v>
      </c>
      <c r="V43" s="1423">
        <f t="shared" ca="1" si="25"/>
        <v>21</v>
      </c>
      <c r="W43" s="1423">
        <f t="shared" ca="1" si="25"/>
        <v>20</v>
      </c>
      <c r="X43" s="152"/>
      <c r="Y43" s="152"/>
      <c r="Z43" s="152"/>
      <c r="AA43" s="152"/>
      <c r="AB43" s="152"/>
    </row>
    <row r="44" spans="1:28" ht="12.75" hidden="1" customHeight="1" outlineLevel="1">
      <c r="A44" s="152"/>
      <c r="B44" s="190" t="str">
        <f t="shared" ref="B44:B63" ca="1" si="26">"RL Capex "&amp;OFFSET($C$6,0,A20)</f>
        <v>RL Capex 2016-17</v>
      </c>
      <c r="C44" s="1424"/>
      <c r="D44" s="1428">
        <f>D15</f>
        <v>40</v>
      </c>
      <c r="E44" s="1423">
        <f t="shared" ref="E44:W44" si="27">IF(D44="n/a","n/a",MAX(0,D44-1))</f>
        <v>39</v>
      </c>
      <c r="F44" s="1423">
        <f t="shared" si="27"/>
        <v>38</v>
      </c>
      <c r="G44" s="1423">
        <f t="shared" si="27"/>
        <v>37</v>
      </c>
      <c r="H44" s="1423">
        <f t="shared" si="27"/>
        <v>36</v>
      </c>
      <c r="I44" s="1423">
        <f t="shared" si="27"/>
        <v>35</v>
      </c>
      <c r="J44" s="1423">
        <f t="shared" si="27"/>
        <v>34</v>
      </c>
      <c r="K44" s="1423">
        <f t="shared" si="27"/>
        <v>33</v>
      </c>
      <c r="L44" s="1423">
        <f t="shared" si="27"/>
        <v>32</v>
      </c>
      <c r="M44" s="1423">
        <f t="shared" si="27"/>
        <v>31</v>
      </c>
      <c r="N44" s="1423">
        <f t="shared" si="27"/>
        <v>30</v>
      </c>
      <c r="O44" s="1423">
        <f t="shared" si="27"/>
        <v>29</v>
      </c>
      <c r="P44" s="1423">
        <f t="shared" si="27"/>
        <v>28</v>
      </c>
      <c r="Q44" s="1423">
        <f t="shared" si="27"/>
        <v>27</v>
      </c>
      <c r="R44" s="1423">
        <f t="shared" si="27"/>
        <v>26</v>
      </c>
      <c r="S44" s="1423">
        <f t="shared" si="27"/>
        <v>25</v>
      </c>
      <c r="T44" s="1423">
        <f t="shared" si="27"/>
        <v>24</v>
      </c>
      <c r="U44" s="1423">
        <f t="shared" si="27"/>
        <v>23</v>
      </c>
      <c r="V44" s="1423">
        <f t="shared" si="27"/>
        <v>22</v>
      </c>
      <c r="W44" s="1423">
        <f t="shared" si="27"/>
        <v>21</v>
      </c>
      <c r="X44" s="152"/>
      <c r="Y44" s="152"/>
      <c r="Z44" s="152"/>
      <c r="AA44" s="152"/>
      <c r="AB44" s="152"/>
    </row>
    <row r="45" spans="1:28" ht="12.75" hidden="1" customHeight="1" outlineLevel="1">
      <c r="A45" s="152"/>
      <c r="B45" s="190" t="str">
        <f t="shared" ca="1" si="26"/>
        <v>RL Capex 2017-18</v>
      </c>
      <c r="C45" s="1429"/>
      <c r="D45" s="1424"/>
      <c r="E45" s="1428">
        <f>E15</f>
        <v>40</v>
      </c>
      <c r="F45" s="1423">
        <f t="shared" ref="F45:W45" si="28">IF(E45="n/a","n/a",MAX(0,E45-1))</f>
        <v>39</v>
      </c>
      <c r="G45" s="1423">
        <f t="shared" si="28"/>
        <v>38</v>
      </c>
      <c r="H45" s="1423">
        <f t="shared" si="28"/>
        <v>37</v>
      </c>
      <c r="I45" s="1423">
        <f t="shared" si="28"/>
        <v>36</v>
      </c>
      <c r="J45" s="1423">
        <f t="shared" si="28"/>
        <v>35</v>
      </c>
      <c r="K45" s="1423">
        <f t="shared" si="28"/>
        <v>34</v>
      </c>
      <c r="L45" s="1423">
        <f t="shared" si="28"/>
        <v>33</v>
      </c>
      <c r="M45" s="1423">
        <f t="shared" si="28"/>
        <v>32</v>
      </c>
      <c r="N45" s="1423">
        <f t="shared" si="28"/>
        <v>31</v>
      </c>
      <c r="O45" s="1423">
        <f t="shared" si="28"/>
        <v>30</v>
      </c>
      <c r="P45" s="1423">
        <f t="shared" si="28"/>
        <v>29</v>
      </c>
      <c r="Q45" s="1423">
        <f t="shared" si="28"/>
        <v>28</v>
      </c>
      <c r="R45" s="1423">
        <f t="shared" si="28"/>
        <v>27</v>
      </c>
      <c r="S45" s="1423">
        <f t="shared" si="28"/>
        <v>26</v>
      </c>
      <c r="T45" s="1423">
        <f t="shared" si="28"/>
        <v>25</v>
      </c>
      <c r="U45" s="1423">
        <f t="shared" si="28"/>
        <v>24</v>
      </c>
      <c r="V45" s="1423">
        <f t="shared" si="28"/>
        <v>23</v>
      </c>
      <c r="W45" s="1423">
        <f t="shared" si="28"/>
        <v>22</v>
      </c>
      <c r="X45" s="152"/>
      <c r="Y45" s="152"/>
      <c r="Z45" s="152"/>
      <c r="AA45" s="152"/>
      <c r="AB45" s="152"/>
    </row>
    <row r="46" spans="1:28" ht="12.75" hidden="1" customHeight="1" outlineLevel="1">
      <c r="A46" s="152"/>
      <c r="B46" s="190" t="str">
        <f t="shared" ca="1" si="26"/>
        <v>RL Capex 2018-19</v>
      </c>
      <c r="C46" s="1429"/>
      <c r="D46" s="1429"/>
      <c r="E46" s="1424"/>
      <c r="F46" s="1428">
        <f>F15</f>
        <v>40</v>
      </c>
      <c r="G46" s="1423">
        <f t="shared" ref="G46:W46" si="29">IF(F46="n/a","n/a",MAX(0,F46-1))</f>
        <v>39</v>
      </c>
      <c r="H46" s="1423">
        <f t="shared" si="29"/>
        <v>38</v>
      </c>
      <c r="I46" s="1423">
        <f t="shared" si="29"/>
        <v>37</v>
      </c>
      <c r="J46" s="1423">
        <f t="shared" si="29"/>
        <v>36</v>
      </c>
      <c r="K46" s="1423">
        <f t="shared" si="29"/>
        <v>35</v>
      </c>
      <c r="L46" s="1423">
        <f t="shared" si="29"/>
        <v>34</v>
      </c>
      <c r="M46" s="1423">
        <f t="shared" si="29"/>
        <v>33</v>
      </c>
      <c r="N46" s="1423">
        <f t="shared" si="29"/>
        <v>32</v>
      </c>
      <c r="O46" s="1423">
        <f t="shared" si="29"/>
        <v>31</v>
      </c>
      <c r="P46" s="1423">
        <f t="shared" si="29"/>
        <v>30</v>
      </c>
      <c r="Q46" s="1423">
        <f t="shared" si="29"/>
        <v>29</v>
      </c>
      <c r="R46" s="1423">
        <f t="shared" si="29"/>
        <v>28</v>
      </c>
      <c r="S46" s="1423">
        <f t="shared" si="29"/>
        <v>27</v>
      </c>
      <c r="T46" s="1423">
        <f t="shared" si="29"/>
        <v>26</v>
      </c>
      <c r="U46" s="1423">
        <f t="shared" si="29"/>
        <v>25</v>
      </c>
      <c r="V46" s="1423">
        <f t="shared" si="29"/>
        <v>24</v>
      </c>
      <c r="W46" s="1423">
        <f t="shared" si="29"/>
        <v>23</v>
      </c>
      <c r="X46" s="152"/>
      <c r="Y46" s="152"/>
      <c r="Z46" s="152"/>
      <c r="AA46" s="152"/>
      <c r="AB46" s="152"/>
    </row>
    <row r="47" spans="1:28" ht="12.75" hidden="1" customHeight="1" outlineLevel="1">
      <c r="A47" s="152"/>
      <c r="B47" s="190" t="str">
        <f t="shared" ca="1" si="26"/>
        <v>RL Capex 2019-20</v>
      </c>
      <c r="C47" s="1429"/>
      <c r="D47" s="1429"/>
      <c r="E47" s="1429"/>
      <c r="F47" s="1424"/>
      <c r="G47" s="1428">
        <f>G15</f>
        <v>40</v>
      </c>
      <c r="H47" s="1423">
        <f t="shared" ref="H47:W47" si="30">IF(G47="n/a","n/a",MAX(0,G47-1))</f>
        <v>39</v>
      </c>
      <c r="I47" s="1423">
        <f t="shared" si="30"/>
        <v>38</v>
      </c>
      <c r="J47" s="1423">
        <f t="shared" si="30"/>
        <v>37</v>
      </c>
      <c r="K47" s="1423">
        <f t="shared" si="30"/>
        <v>36</v>
      </c>
      <c r="L47" s="1423">
        <f t="shared" si="30"/>
        <v>35</v>
      </c>
      <c r="M47" s="1423">
        <f t="shared" si="30"/>
        <v>34</v>
      </c>
      <c r="N47" s="1423">
        <f t="shared" si="30"/>
        <v>33</v>
      </c>
      <c r="O47" s="1423">
        <f t="shared" si="30"/>
        <v>32</v>
      </c>
      <c r="P47" s="1423">
        <f t="shared" si="30"/>
        <v>31</v>
      </c>
      <c r="Q47" s="1423">
        <f t="shared" si="30"/>
        <v>30</v>
      </c>
      <c r="R47" s="1423">
        <f t="shared" si="30"/>
        <v>29</v>
      </c>
      <c r="S47" s="1423">
        <f t="shared" si="30"/>
        <v>28</v>
      </c>
      <c r="T47" s="1423">
        <f t="shared" si="30"/>
        <v>27</v>
      </c>
      <c r="U47" s="1423">
        <f t="shared" si="30"/>
        <v>26</v>
      </c>
      <c r="V47" s="1423">
        <f t="shared" si="30"/>
        <v>25</v>
      </c>
      <c r="W47" s="1423">
        <f t="shared" si="30"/>
        <v>24</v>
      </c>
      <c r="X47" s="152"/>
      <c r="Y47" s="152"/>
      <c r="Z47" s="152"/>
      <c r="AA47" s="152"/>
      <c r="AB47" s="152"/>
    </row>
    <row r="48" spans="1:28" ht="12.75" hidden="1" customHeight="1" outlineLevel="1">
      <c r="A48" s="152"/>
      <c r="B48" s="190" t="str">
        <f t="shared" ca="1" si="26"/>
        <v>RL Capex 2020-21</v>
      </c>
      <c r="C48" s="1429"/>
      <c r="D48" s="1429"/>
      <c r="E48" s="1429"/>
      <c r="F48" s="1429"/>
      <c r="G48" s="1424"/>
      <c r="H48" s="1428">
        <f>H15</f>
        <v>40</v>
      </c>
      <c r="I48" s="1423">
        <f t="shared" ref="I48:W48" si="31">IF(H48="n/a","n/a",MAX(0,H48-1))</f>
        <v>39</v>
      </c>
      <c r="J48" s="1423">
        <f t="shared" si="31"/>
        <v>38</v>
      </c>
      <c r="K48" s="1423">
        <f t="shared" si="31"/>
        <v>37</v>
      </c>
      <c r="L48" s="1423">
        <f t="shared" si="31"/>
        <v>36</v>
      </c>
      <c r="M48" s="1423">
        <f t="shared" si="31"/>
        <v>35</v>
      </c>
      <c r="N48" s="1423">
        <f t="shared" si="31"/>
        <v>34</v>
      </c>
      <c r="O48" s="1423">
        <f t="shared" si="31"/>
        <v>33</v>
      </c>
      <c r="P48" s="1423">
        <f t="shared" si="31"/>
        <v>32</v>
      </c>
      <c r="Q48" s="1423">
        <f t="shared" si="31"/>
        <v>31</v>
      </c>
      <c r="R48" s="1423">
        <f t="shared" si="31"/>
        <v>30</v>
      </c>
      <c r="S48" s="1423">
        <f t="shared" si="31"/>
        <v>29</v>
      </c>
      <c r="T48" s="1423">
        <f t="shared" si="31"/>
        <v>28</v>
      </c>
      <c r="U48" s="1423">
        <f t="shared" si="31"/>
        <v>27</v>
      </c>
      <c r="V48" s="1423">
        <f t="shared" si="31"/>
        <v>26</v>
      </c>
      <c r="W48" s="1423">
        <f t="shared" si="31"/>
        <v>25</v>
      </c>
      <c r="X48" s="152"/>
      <c r="Y48" s="152"/>
      <c r="Z48" s="152"/>
      <c r="AA48" s="152"/>
      <c r="AB48" s="152"/>
    </row>
    <row r="49" spans="1:28" ht="12.75" hidden="1" customHeight="1" outlineLevel="1">
      <c r="A49" s="152"/>
      <c r="B49" s="190" t="str">
        <f t="shared" ca="1" si="26"/>
        <v>RL Capex 2021-22</v>
      </c>
      <c r="C49" s="1429"/>
      <c r="D49" s="1429"/>
      <c r="E49" s="1429"/>
      <c r="F49" s="1429"/>
      <c r="G49" s="1429"/>
      <c r="H49" s="1424"/>
      <c r="I49" s="1428">
        <f>I15</f>
        <v>40</v>
      </c>
      <c r="J49" s="1423">
        <f t="shared" ref="J49:W49" si="32">IF(I49="n/a","n/a",MAX(0,I49-1))</f>
        <v>39</v>
      </c>
      <c r="K49" s="1423">
        <f t="shared" si="32"/>
        <v>38</v>
      </c>
      <c r="L49" s="1423">
        <f t="shared" si="32"/>
        <v>37</v>
      </c>
      <c r="M49" s="1423">
        <f t="shared" si="32"/>
        <v>36</v>
      </c>
      <c r="N49" s="1423">
        <f t="shared" si="32"/>
        <v>35</v>
      </c>
      <c r="O49" s="1423">
        <f t="shared" si="32"/>
        <v>34</v>
      </c>
      <c r="P49" s="1423">
        <f t="shared" si="32"/>
        <v>33</v>
      </c>
      <c r="Q49" s="1423">
        <f t="shared" si="32"/>
        <v>32</v>
      </c>
      <c r="R49" s="1423">
        <f t="shared" si="32"/>
        <v>31</v>
      </c>
      <c r="S49" s="1423">
        <f t="shared" si="32"/>
        <v>30</v>
      </c>
      <c r="T49" s="1423">
        <f t="shared" si="32"/>
        <v>29</v>
      </c>
      <c r="U49" s="1423">
        <f t="shared" si="32"/>
        <v>28</v>
      </c>
      <c r="V49" s="1423">
        <f t="shared" si="32"/>
        <v>27</v>
      </c>
      <c r="W49" s="1423">
        <f t="shared" si="32"/>
        <v>26</v>
      </c>
      <c r="X49" s="152"/>
      <c r="Y49" s="152"/>
      <c r="Z49" s="152"/>
      <c r="AA49" s="152"/>
      <c r="AB49" s="152"/>
    </row>
    <row r="50" spans="1:28" ht="12.75" hidden="1" customHeight="1" outlineLevel="1">
      <c r="A50" s="152"/>
      <c r="B50" s="190" t="str">
        <f t="shared" ca="1" si="26"/>
        <v>RL Capex 2022-23</v>
      </c>
      <c r="C50" s="1429"/>
      <c r="D50" s="1429"/>
      <c r="E50" s="1429"/>
      <c r="F50" s="1429"/>
      <c r="G50" s="1429"/>
      <c r="H50" s="1429"/>
      <c r="I50" s="1424"/>
      <c r="J50" s="1428">
        <f>J15</f>
        <v>40</v>
      </c>
      <c r="K50" s="1423">
        <f t="shared" ref="K50:W50" si="33">IF(J50="n/a","n/a",MAX(0,J50-1))</f>
        <v>39</v>
      </c>
      <c r="L50" s="1423">
        <f t="shared" si="33"/>
        <v>38</v>
      </c>
      <c r="M50" s="1423">
        <f t="shared" si="33"/>
        <v>37</v>
      </c>
      <c r="N50" s="1423">
        <f t="shared" si="33"/>
        <v>36</v>
      </c>
      <c r="O50" s="1423">
        <f t="shared" si="33"/>
        <v>35</v>
      </c>
      <c r="P50" s="1423">
        <f t="shared" si="33"/>
        <v>34</v>
      </c>
      <c r="Q50" s="1423">
        <f t="shared" si="33"/>
        <v>33</v>
      </c>
      <c r="R50" s="1423">
        <f t="shared" si="33"/>
        <v>32</v>
      </c>
      <c r="S50" s="1423">
        <f t="shared" si="33"/>
        <v>31</v>
      </c>
      <c r="T50" s="1423">
        <f t="shared" si="33"/>
        <v>30</v>
      </c>
      <c r="U50" s="1423">
        <f t="shared" si="33"/>
        <v>29</v>
      </c>
      <c r="V50" s="1423">
        <f t="shared" si="33"/>
        <v>28</v>
      </c>
      <c r="W50" s="1423">
        <f t="shared" si="33"/>
        <v>27</v>
      </c>
      <c r="X50" s="152"/>
      <c r="Y50" s="152"/>
      <c r="Z50" s="152"/>
      <c r="AA50" s="152"/>
      <c r="AB50" s="152"/>
    </row>
    <row r="51" spans="1:28" ht="12.75" hidden="1" customHeight="1" outlineLevel="1">
      <c r="A51" s="152"/>
      <c r="B51" s="190" t="str">
        <f t="shared" ca="1" si="26"/>
        <v>RL Capex 2023-24</v>
      </c>
      <c r="C51" s="1429"/>
      <c r="D51" s="1429"/>
      <c r="E51" s="1429"/>
      <c r="F51" s="1429"/>
      <c r="G51" s="1429"/>
      <c r="H51" s="1429"/>
      <c r="I51" s="1429"/>
      <c r="J51" s="1424"/>
      <c r="K51" s="1428">
        <f>K15</f>
        <v>40</v>
      </c>
      <c r="L51" s="1423">
        <f t="shared" ref="L51:W51" si="34">IF(K51="n/a","n/a",MAX(0,K51-1))</f>
        <v>39</v>
      </c>
      <c r="M51" s="1423">
        <f t="shared" si="34"/>
        <v>38</v>
      </c>
      <c r="N51" s="1423">
        <f t="shared" si="34"/>
        <v>37</v>
      </c>
      <c r="O51" s="1423">
        <f t="shared" si="34"/>
        <v>36</v>
      </c>
      <c r="P51" s="1423">
        <f t="shared" si="34"/>
        <v>35</v>
      </c>
      <c r="Q51" s="1423">
        <f t="shared" si="34"/>
        <v>34</v>
      </c>
      <c r="R51" s="1423">
        <f t="shared" si="34"/>
        <v>33</v>
      </c>
      <c r="S51" s="1423">
        <f t="shared" si="34"/>
        <v>32</v>
      </c>
      <c r="T51" s="1423">
        <f t="shared" si="34"/>
        <v>31</v>
      </c>
      <c r="U51" s="1423">
        <f t="shared" si="34"/>
        <v>30</v>
      </c>
      <c r="V51" s="1423">
        <f t="shared" si="34"/>
        <v>29</v>
      </c>
      <c r="W51" s="1423">
        <f t="shared" si="34"/>
        <v>28</v>
      </c>
      <c r="X51" s="152"/>
      <c r="Y51" s="152"/>
      <c r="Z51" s="152"/>
      <c r="AA51" s="152"/>
      <c r="AB51" s="152"/>
    </row>
    <row r="52" spans="1:28" ht="12.75" hidden="1" customHeight="1" outlineLevel="1">
      <c r="A52" s="152"/>
      <c r="B52" s="190" t="str">
        <f t="shared" ca="1" si="26"/>
        <v>RL Capex 2024-25</v>
      </c>
      <c r="C52" s="1429"/>
      <c r="D52" s="1429"/>
      <c r="E52" s="1429"/>
      <c r="F52" s="1429"/>
      <c r="G52" s="1429"/>
      <c r="H52" s="1429"/>
      <c r="I52" s="1429"/>
      <c r="J52" s="1429"/>
      <c r="K52" s="1424"/>
      <c r="L52" s="1428">
        <f>L15</f>
        <v>40</v>
      </c>
      <c r="M52" s="1423">
        <f t="shared" ref="M52:W52" si="35">IF(L52="n/a","n/a",MAX(0,L52-1))</f>
        <v>39</v>
      </c>
      <c r="N52" s="1423">
        <f t="shared" si="35"/>
        <v>38</v>
      </c>
      <c r="O52" s="1423">
        <f t="shared" si="35"/>
        <v>37</v>
      </c>
      <c r="P52" s="1423">
        <f t="shared" si="35"/>
        <v>36</v>
      </c>
      <c r="Q52" s="1423">
        <f t="shared" si="35"/>
        <v>35</v>
      </c>
      <c r="R52" s="1423">
        <f t="shared" si="35"/>
        <v>34</v>
      </c>
      <c r="S52" s="1423">
        <f t="shared" si="35"/>
        <v>33</v>
      </c>
      <c r="T52" s="1423">
        <f t="shared" si="35"/>
        <v>32</v>
      </c>
      <c r="U52" s="1423">
        <f t="shared" si="35"/>
        <v>31</v>
      </c>
      <c r="V52" s="1423">
        <f t="shared" si="35"/>
        <v>30</v>
      </c>
      <c r="W52" s="1423">
        <f t="shared" si="35"/>
        <v>29</v>
      </c>
      <c r="X52" s="152"/>
      <c r="Y52" s="152"/>
      <c r="Z52" s="152"/>
      <c r="AA52" s="152"/>
      <c r="AB52" s="152"/>
    </row>
    <row r="53" spans="1:28" ht="12.75" hidden="1" customHeight="1" outlineLevel="1">
      <c r="A53" s="152"/>
      <c r="B53" s="190" t="str">
        <f t="shared" ca="1" si="26"/>
        <v>RL Capex 2025-26</v>
      </c>
      <c r="C53" s="1429"/>
      <c r="D53" s="1429"/>
      <c r="E53" s="1429"/>
      <c r="F53" s="1429"/>
      <c r="G53" s="1429"/>
      <c r="H53" s="1429"/>
      <c r="I53" s="1429"/>
      <c r="J53" s="1429"/>
      <c r="K53" s="1429"/>
      <c r="L53" s="1424"/>
      <c r="M53" s="1428">
        <f>M15</f>
        <v>40</v>
      </c>
      <c r="N53" s="1423">
        <f t="shared" ref="N53:W53" si="36">IF(M53="n/a","n/a",MAX(0,M53-1))</f>
        <v>39</v>
      </c>
      <c r="O53" s="1423">
        <f t="shared" si="36"/>
        <v>38</v>
      </c>
      <c r="P53" s="1423">
        <f t="shared" si="36"/>
        <v>37</v>
      </c>
      <c r="Q53" s="1423">
        <f t="shared" si="36"/>
        <v>36</v>
      </c>
      <c r="R53" s="1423">
        <f t="shared" si="36"/>
        <v>35</v>
      </c>
      <c r="S53" s="1423">
        <f t="shared" si="36"/>
        <v>34</v>
      </c>
      <c r="T53" s="1423">
        <f t="shared" si="36"/>
        <v>33</v>
      </c>
      <c r="U53" s="1423">
        <f t="shared" si="36"/>
        <v>32</v>
      </c>
      <c r="V53" s="1423">
        <f t="shared" si="36"/>
        <v>31</v>
      </c>
      <c r="W53" s="1423">
        <f t="shared" si="36"/>
        <v>30</v>
      </c>
      <c r="X53" s="152"/>
      <c r="Y53" s="152"/>
      <c r="Z53" s="152"/>
      <c r="AA53" s="152"/>
      <c r="AB53" s="152"/>
    </row>
    <row r="54" spans="1:28" ht="12.75" hidden="1" customHeight="1" outlineLevel="1">
      <c r="A54" s="152"/>
      <c r="B54" s="190" t="str">
        <f t="shared" ca="1" si="26"/>
        <v>RL Capex 2026-27</v>
      </c>
      <c r="C54" s="1429"/>
      <c r="D54" s="1429"/>
      <c r="E54" s="1429"/>
      <c r="F54" s="1429"/>
      <c r="G54" s="1429"/>
      <c r="H54" s="1429"/>
      <c r="I54" s="1429"/>
      <c r="J54" s="1429"/>
      <c r="K54" s="1429"/>
      <c r="L54" s="1429"/>
      <c r="M54" s="1424"/>
      <c r="N54" s="1428">
        <f>N15</f>
        <v>0</v>
      </c>
      <c r="O54" s="1423">
        <f t="shared" ref="O54:W54" si="37">IF(N54="n/a","n/a",MAX(0,N54-1))</f>
        <v>0</v>
      </c>
      <c r="P54" s="1423">
        <f t="shared" si="37"/>
        <v>0</v>
      </c>
      <c r="Q54" s="1423">
        <f t="shared" si="37"/>
        <v>0</v>
      </c>
      <c r="R54" s="1423">
        <f t="shared" si="37"/>
        <v>0</v>
      </c>
      <c r="S54" s="1423">
        <f t="shared" si="37"/>
        <v>0</v>
      </c>
      <c r="T54" s="1423">
        <f t="shared" si="37"/>
        <v>0</v>
      </c>
      <c r="U54" s="1423">
        <f t="shared" si="37"/>
        <v>0</v>
      </c>
      <c r="V54" s="1423">
        <f t="shared" si="37"/>
        <v>0</v>
      </c>
      <c r="W54" s="1423">
        <f t="shared" si="37"/>
        <v>0</v>
      </c>
      <c r="X54" s="152"/>
      <c r="Y54" s="152"/>
      <c r="Z54" s="152"/>
      <c r="AA54" s="152"/>
      <c r="AB54" s="152"/>
    </row>
    <row r="55" spans="1:28" ht="12.75" hidden="1" customHeight="1" outlineLevel="1">
      <c r="A55" s="152"/>
      <c r="B55" s="190" t="str">
        <f t="shared" ca="1" si="26"/>
        <v>RL Capex 2027-28</v>
      </c>
      <c r="C55" s="1429"/>
      <c r="D55" s="1429"/>
      <c r="E55" s="1429"/>
      <c r="F55" s="1429"/>
      <c r="G55" s="1429"/>
      <c r="H55" s="1429"/>
      <c r="I55" s="1429"/>
      <c r="J55" s="1429"/>
      <c r="K55" s="1429"/>
      <c r="L55" s="1429"/>
      <c r="M55" s="1429"/>
      <c r="N55" s="1424"/>
      <c r="O55" s="1428">
        <f>O15</f>
        <v>0</v>
      </c>
      <c r="P55" s="1423">
        <f t="shared" ref="P55:W55" si="38">IF(O55="n/a","n/a",MAX(0,O55-1))</f>
        <v>0</v>
      </c>
      <c r="Q55" s="1423">
        <f t="shared" si="38"/>
        <v>0</v>
      </c>
      <c r="R55" s="1423">
        <f t="shared" si="38"/>
        <v>0</v>
      </c>
      <c r="S55" s="1423">
        <f t="shared" si="38"/>
        <v>0</v>
      </c>
      <c r="T55" s="1423">
        <f t="shared" si="38"/>
        <v>0</v>
      </c>
      <c r="U55" s="1423">
        <f t="shared" si="38"/>
        <v>0</v>
      </c>
      <c r="V55" s="1423">
        <f t="shared" si="38"/>
        <v>0</v>
      </c>
      <c r="W55" s="1423">
        <f t="shared" si="38"/>
        <v>0</v>
      </c>
      <c r="X55" s="152"/>
      <c r="Y55" s="152"/>
      <c r="Z55" s="152"/>
      <c r="AA55" s="152"/>
      <c r="AB55" s="152"/>
    </row>
    <row r="56" spans="1:28" ht="12.75" hidden="1" customHeight="1" outlineLevel="1">
      <c r="A56" s="152"/>
      <c r="B56" s="190" t="str">
        <f t="shared" ca="1" si="26"/>
        <v>RL Capex 2028-29</v>
      </c>
      <c r="C56" s="1429"/>
      <c r="D56" s="1429"/>
      <c r="E56" s="1429"/>
      <c r="F56" s="1429"/>
      <c r="G56" s="1429"/>
      <c r="H56" s="1429"/>
      <c r="I56" s="1429"/>
      <c r="J56" s="1429"/>
      <c r="K56" s="1429"/>
      <c r="L56" s="1429"/>
      <c r="M56" s="1429"/>
      <c r="N56" s="1429"/>
      <c r="O56" s="1424"/>
      <c r="P56" s="1428">
        <f>P15</f>
        <v>0</v>
      </c>
      <c r="Q56" s="1423">
        <f t="shared" ref="Q56:W56" si="39">IF(P56="n/a","n/a",MAX(0,P56-1))</f>
        <v>0</v>
      </c>
      <c r="R56" s="1423">
        <f t="shared" si="39"/>
        <v>0</v>
      </c>
      <c r="S56" s="1423">
        <f t="shared" si="39"/>
        <v>0</v>
      </c>
      <c r="T56" s="1423">
        <f t="shared" si="39"/>
        <v>0</v>
      </c>
      <c r="U56" s="1423">
        <f t="shared" si="39"/>
        <v>0</v>
      </c>
      <c r="V56" s="1423">
        <f t="shared" si="39"/>
        <v>0</v>
      </c>
      <c r="W56" s="1423">
        <f t="shared" si="39"/>
        <v>0</v>
      </c>
      <c r="X56" s="152"/>
      <c r="Y56" s="152"/>
      <c r="Z56" s="152"/>
      <c r="AA56" s="152"/>
      <c r="AB56" s="152"/>
    </row>
    <row r="57" spans="1:28" ht="12.75" hidden="1" customHeight="1" outlineLevel="1">
      <c r="A57" s="152"/>
      <c r="B57" s="190" t="str">
        <f t="shared" ca="1" si="26"/>
        <v>RL Capex 2029-30</v>
      </c>
      <c r="C57" s="1429"/>
      <c r="D57" s="1429"/>
      <c r="E57" s="1429"/>
      <c r="F57" s="1429"/>
      <c r="G57" s="1429"/>
      <c r="H57" s="1429"/>
      <c r="I57" s="1429"/>
      <c r="J57" s="1429"/>
      <c r="K57" s="1429"/>
      <c r="L57" s="1429"/>
      <c r="M57" s="1429"/>
      <c r="N57" s="1429"/>
      <c r="O57" s="1429"/>
      <c r="P57" s="1424"/>
      <c r="Q57" s="1428">
        <f>Q15</f>
        <v>0</v>
      </c>
      <c r="R57" s="1423">
        <f t="shared" ref="R57:W57" si="40">IF(Q57="n/a","n/a",MAX(0,Q57-1))</f>
        <v>0</v>
      </c>
      <c r="S57" s="1423">
        <f t="shared" si="40"/>
        <v>0</v>
      </c>
      <c r="T57" s="1423">
        <f t="shared" si="40"/>
        <v>0</v>
      </c>
      <c r="U57" s="1423">
        <f t="shared" si="40"/>
        <v>0</v>
      </c>
      <c r="V57" s="1423">
        <f t="shared" si="40"/>
        <v>0</v>
      </c>
      <c r="W57" s="1423">
        <f t="shared" si="40"/>
        <v>0</v>
      </c>
      <c r="X57" s="152"/>
      <c r="Y57" s="152"/>
      <c r="Z57" s="152"/>
      <c r="AA57" s="152"/>
      <c r="AB57" s="152"/>
    </row>
    <row r="58" spans="1:28" ht="12.75" hidden="1" customHeight="1" outlineLevel="1">
      <c r="A58" s="152"/>
      <c r="B58" s="190" t="str">
        <f t="shared" ca="1" si="26"/>
        <v>RL Capex 2030-31</v>
      </c>
      <c r="C58" s="1429"/>
      <c r="D58" s="1429"/>
      <c r="E58" s="1429"/>
      <c r="F58" s="1429"/>
      <c r="G58" s="1429"/>
      <c r="H58" s="1429"/>
      <c r="I58" s="1429"/>
      <c r="J58" s="1429"/>
      <c r="K58" s="1429"/>
      <c r="L58" s="1429"/>
      <c r="M58" s="1429"/>
      <c r="N58" s="1429"/>
      <c r="O58" s="1429"/>
      <c r="P58" s="1429"/>
      <c r="Q58" s="1424"/>
      <c r="R58" s="1428">
        <f>R15</f>
        <v>0</v>
      </c>
      <c r="S58" s="1423">
        <f t="shared" ref="S58:W58" si="41">IF(R58="n/a","n/a",MAX(0,R58-1))</f>
        <v>0</v>
      </c>
      <c r="T58" s="1423">
        <f t="shared" si="41"/>
        <v>0</v>
      </c>
      <c r="U58" s="1423">
        <f t="shared" si="41"/>
        <v>0</v>
      </c>
      <c r="V58" s="1423">
        <f t="shared" si="41"/>
        <v>0</v>
      </c>
      <c r="W58" s="1423">
        <f t="shared" si="41"/>
        <v>0</v>
      </c>
      <c r="X58" s="152"/>
      <c r="Y58" s="152"/>
      <c r="Z58" s="152"/>
      <c r="AA58" s="152"/>
      <c r="AB58" s="152"/>
    </row>
    <row r="59" spans="1:28" ht="12.75" hidden="1" customHeight="1" outlineLevel="1">
      <c r="A59" s="152"/>
      <c r="B59" s="190" t="str">
        <f t="shared" ca="1" si="26"/>
        <v>RL Capex 2031-32</v>
      </c>
      <c r="C59" s="1429"/>
      <c r="D59" s="1429"/>
      <c r="E59" s="1429"/>
      <c r="F59" s="1429"/>
      <c r="G59" s="1429"/>
      <c r="H59" s="1429"/>
      <c r="I59" s="1429"/>
      <c r="J59" s="1429"/>
      <c r="K59" s="1429"/>
      <c r="L59" s="1429"/>
      <c r="M59" s="1429"/>
      <c r="N59" s="1429"/>
      <c r="O59" s="1429"/>
      <c r="P59" s="1429"/>
      <c r="Q59" s="1429"/>
      <c r="R59" s="1424"/>
      <c r="S59" s="1428">
        <f>S15</f>
        <v>0</v>
      </c>
      <c r="T59" s="1423">
        <f t="shared" ref="T59:W59" si="42">IF(S59="n/a","n/a",MAX(0,S59-1))</f>
        <v>0</v>
      </c>
      <c r="U59" s="1423">
        <f t="shared" si="42"/>
        <v>0</v>
      </c>
      <c r="V59" s="1423">
        <f t="shared" si="42"/>
        <v>0</v>
      </c>
      <c r="W59" s="1423">
        <f t="shared" si="42"/>
        <v>0</v>
      </c>
      <c r="X59" s="152"/>
      <c r="Y59" s="152"/>
      <c r="Z59" s="152"/>
      <c r="AA59" s="152"/>
      <c r="AB59" s="152"/>
    </row>
    <row r="60" spans="1:28" ht="12.75" hidden="1" customHeight="1" outlineLevel="1">
      <c r="A60" s="152"/>
      <c r="B60" s="190" t="str">
        <f t="shared" ca="1" si="26"/>
        <v>RL Capex 2032-33</v>
      </c>
      <c r="C60" s="1429"/>
      <c r="D60" s="1429"/>
      <c r="E60" s="1429"/>
      <c r="F60" s="1429"/>
      <c r="G60" s="1429"/>
      <c r="H60" s="1429"/>
      <c r="I60" s="1429"/>
      <c r="J60" s="1429"/>
      <c r="K60" s="1429"/>
      <c r="L60" s="1429"/>
      <c r="M60" s="1429"/>
      <c r="N60" s="1429"/>
      <c r="O60" s="1429"/>
      <c r="P60" s="1429"/>
      <c r="Q60" s="1429"/>
      <c r="R60" s="1429"/>
      <c r="S60" s="1424"/>
      <c r="T60" s="1428">
        <f>T15</f>
        <v>0</v>
      </c>
      <c r="U60" s="1423">
        <f t="shared" ref="U60:W60" si="43">IF(T60="n/a","n/a",MAX(0,T60-1))</f>
        <v>0</v>
      </c>
      <c r="V60" s="1423">
        <f t="shared" si="43"/>
        <v>0</v>
      </c>
      <c r="W60" s="1423">
        <f t="shared" si="43"/>
        <v>0</v>
      </c>
      <c r="X60" s="152"/>
      <c r="Y60" s="152"/>
      <c r="Z60" s="152"/>
      <c r="AA60" s="152"/>
      <c r="AB60" s="152"/>
    </row>
    <row r="61" spans="1:28" ht="12.75" hidden="1" customHeight="1" outlineLevel="1">
      <c r="A61" s="152"/>
      <c r="B61" s="190" t="str">
        <f t="shared" ca="1" si="26"/>
        <v>RL Capex 2033-34</v>
      </c>
      <c r="C61" s="1429"/>
      <c r="D61" s="1429"/>
      <c r="E61" s="1429"/>
      <c r="F61" s="1429"/>
      <c r="G61" s="1429"/>
      <c r="H61" s="1429"/>
      <c r="I61" s="1429"/>
      <c r="J61" s="1429"/>
      <c r="K61" s="1429"/>
      <c r="L61" s="1429"/>
      <c r="M61" s="1429"/>
      <c r="N61" s="1429"/>
      <c r="O61" s="1429"/>
      <c r="P61" s="1429"/>
      <c r="Q61" s="1429"/>
      <c r="R61" s="1429"/>
      <c r="S61" s="1429"/>
      <c r="T61" s="1424"/>
      <c r="U61" s="1428">
        <f>U15</f>
        <v>0</v>
      </c>
      <c r="V61" s="1423">
        <f t="shared" ref="V61:W61" si="44">IF(U61="n/a","n/a",MAX(0,U61-1))</f>
        <v>0</v>
      </c>
      <c r="W61" s="1423">
        <f t="shared" si="44"/>
        <v>0</v>
      </c>
      <c r="X61" s="152"/>
      <c r="Y61" s="152"/>
      <c r="Z61" s="152"/>
      <c r="AA61" s="152"/>
      <c r="AB61" s="152"/>
    </row>
    <row r="62" spans="1:28" ht="12.75" hidden="1" customHeight="1" outlineLevel="1">
      <c r="A62" s="152"/>
      <c r="B62" s="190" t="str">
        <f t="shared" ca="1" si="26"/>
        <v>RL Capex 2034-35</v>
      </c>
      <c r="C62" s="1429"/>
      <c r="D62" s="1429"/>
      <c r="E62" s="1429"/>
      <c r="F62" s="1429"/>
      <c r="G62" s="1429"/>
      <c r="H62" s="1429"/>
      <c r="I62" s="1429"/>
      <c r="J62" s="1429"/>
      <c r="K62" s="1429"/>
      <c r="L62" s="1429"/>
      <c r="M62" s="1429"/>
      <c r="N62" s="1429"/>
      <c r="O62" s="1429"/>
      <c r="P62" s="1429"/>
      <c r="Q62" s="1429"/>
      <c r="R62" s="1429"/>
      <c r="S62" s="1429"/>
      <c r="T62" s="1429"/>
      <c r="U62" s="1424"/>
      <c r="V62" s="1428">
        <f>V15</f>
        <v>0</v>
      </c>
      <c r="W62" s="1423">
        <f>IF(V62="n/a","n/a",MAX(0,V62-1))</f>
        <v>0</v>
      </c>
      <c r="X62" s="152"/>
      <c r="Y62" s="152"/>
      <c r="Z62" s="152"/>
      <c r="AA62" s="152"/>
      <c r="AB62" s="152"/>
    </row>
    <row r="63" spans="1:28" ht="12.75" hidden="1" customHeight="1" outlineLevel="1">
      <c r="A63" s="152"/>
      <c r="B63" s="190" t="str">
        <f t="shared" ca="1" si="26"/>
        <v>RL Capex 2035-36</v>
      </c>
      <c r="C63" s="1429"/>
      <c r="D63" s="1429"/>
      <c r="E63" s="1429"/>
      <c r="F63" s="1429"/>
      <c r="G63" s="1429"/>
      <c r="H63" s="1429"/>
      <c r="I63" s="1429"/>
      <c r="J63" s="1429"/>
      <c r="K63" s="1429"/>
      <c r="L63" s="1429"/>
      <c r="M63" s="1429"/>
      <c r="N63" s="1429"/>
      <c r="O63" s="1429"/>
      <c r="P63" s="1429"/>
      <c r="Q63" s="1429"/>
      <c r="R63" s="1429"/>
      <c r="S63" s="1429"/>
      <c r="T63" s="1429"/>
      <c r="U63" s="1429"/>
      <c r="V63" s="1424"/>
      <c r="W63" s="1423">
        <f>W15</f>
        <v>0</v>
      </c>
      <c r="X63" s="152"/>
      <c r="Y63" s="152"/>
      <c r="Z63" s="152"/>
      <c r="AA63" s="152"/>
      <c r="AB63" s="152"/>
    </row>
    <row r="64" spans="1:28" ht="12.75" hidden="1" customHeight="1" outlineLevel="1">
      <c r="A64" s="152"/>
      <c r="B64" s="200"/>
      <c r="C64" s="1423"/>
      <c r="D64" s="1423"/>
      <c r="E64" s="1423"/>
      <c r="F64" s="1423"/>
      <c r="G64" s="1423"/>
      <c r="H64" s="1423"/>
      <c r="I64" s="1423"/>
      <c r="J64" s="1423"/>
      <c r="K64" s="1423"/>
      <c r="L64" s="1423"/>
      <c r="M64" s="1423"/>
      <c r="N64" s="1423"/>
      <c r="O64" s="1423"/>
      <c r="P64" s="1423"/>
      <c r="Q64" s="1423"/>
      <c r="R64" s="1423"/>
      <c r="S64" s="1423"/>
      <c r="T64" s="1423"/>
      <c r="U64" s="1423"/>
      <c r="V64" s="1423"/>
      <c r="W64" s="1423"/>
      <c r="X64" s="152"/>
      <c r="Y64" s="152"/>
      <c r="Z64" s="152"/>
      <c r="AA64" s="152"/>
      <c r="AB64" s="152"/>
    </row>
    <row r="65" spans="1:28" collapsed="1">
      <c r="A65" s="194"/>
      <c r="B65" s="204" t="s">
        <v>123</v>
      </c>
      <c r="C65" s="1430">
        <f ca="1">(IF(OR($C15&lt;&gt;"n/a",C15&lt;&gt;"n/a"),IF(SUM(C18:C40)=0,0,IF((SUMPRODUCT(C18:C40,C42:C64)/SUM(C18:C40))&lt;0,1,(SUMPRODUCT(C18:C40,C42:C64)/SUM(C18:C40)))),"n/a"))</f>
        <v>40</v>
      </c>
      <c r="D65" s="1430">
        <f ca="1">(IF(OR($C15&lt;&gt;"n/a",D15&lt;&gt;"n/a"),IF(SUM(D18:D40)=0,0,IF((SUMPRODUCT(D18:D40,D42:D64)/SUM(D18:D40))&lt;0,1,(SUMPRODUCT(D18:D40,D42:D64)/SUM(D18:D40)))),"n/a"))</f>
        <v>39.03370817681018</v>
      </c>
      <c r="E65" s="1430">
        <f t="shared" ref="E65:W65" ca="1" si="45">(IF(OR($C15&lt;&gt;"n/a",E15&lt;&gt;"n/a"),IF(SUM(E18:E40)=0,0,IF((SUMPRODUCT(E18:E40,E42:E64)/SUM(E18:E40))&lt;0,1,(SUMPRODUCT(E18:E40,E42:E64)/SUM(E18:E40)))),"n/a"))</f>
        <v>38.105321039000067</v>
      </c>
      <c r="F65" s="1430">
        <f t="shared" ca="1" si="45"/>
        <v>37.205078529633795</v>
      </c>
      <c r="G65" s="1430">
        <f t="shared" ca="1" si="45"/>
        <v>36.316420710876486</v>
      </c>
      <c r="H65" s="1430">
        <f t="shared" ca="1" si="45"/>
        <v>35.426956500635768</v>
      </c>
      <c r="I65" s="1430">
        <f t="shared" ca="1" si="45"/>
        <v>34.670314246020304</v>
      </c>
      <c r="J65" s="1430">
        <f t="shared" ca="1" si="45"/>
        <v>33.740416654558288</v>
      </c>
      <c r="K65" s="1430">
        <f t="shared" ca="1" si="45"/>
        <v>32.74282904880139</v>
      </c>
      <c r="L65" s="1430">
        <f t="shared" ca="1" si="45"/>
        <v>31.745393829052691</v>
      </c>
      <c r="M65" s="1430">
        <f t="shared" ca="1" si="45"/>
        <v>30.748125905090834</v>
      </c>
      <c r="N65" s="1430">
        <f t="shared" ca="1" si="45"/>
        <v>29.751042197343409</v>
      </c>
      <c r="O65" s="1430">
        <f t="shared" ca="1" si="45"/>
        <v>28.754161987643307</v>
      </c>
      <c r="P65" s="1430">
        <f t="shared" ca="1" si="45"/>
        <v>27.757507346066507</v>
      </c>
      <c r="Q65" s="1430">
        <f t="shared" ca="1" si="45"/>
        <v>26.761103653826513</v>
      </c>
      <c r="R65" s="1430">
        <f t="shared" ca="1" si="45"/>
        <v>25.764980248427946</v>
      </c>
      <c r="S65" s="1430">
        <f t="shared" ca="1" si="45"/>
        <v>24.769171225781353</v>
      </c>
      <c r="T65" s="1430">
        <f t="shared" ca="1" si="45"/>
        <v>23.773716445714555</v>
      </c>
      <c r="U65" s="1430">
        <f t="shared" ca="1" si="45"/>
        <v>22.778662803707842</v>
      </c>
      <c r="V65" s="1430">
        <f t="shared" ca="1" si="45"/>
        <v>21.78406585488414</v>
      </c>
      <c r="W65" s="1430">
        <f t="shared" ca="1" si="45"/>
        <v>20.789991909595077</v>
      </c>
      <c r="X65" s="152"/>
      <c r="Y65" s="152"/>
      <c r="Z65" s="152"/>
      <c r="AA65" s="152"/>
      <c r="AB65" s="152"/>
    </row>
    <row r="66" spans="1:28">
      <c r="A66" s="152"/>
      <c r="B66" s="152"/>
      <c r="C66" s="1423"/>
      <c r="D66" s="1423"/>
      <c r="E66" s="1423"/>
      <c r="F66" s="1423"/>
      <c r="G66" s="1423"/>
      <c r="H66" s="1423"/>
      <c r="I66" s="1423"/>
      <c r="J66" s="1423"/>
      <c r="K66" s="1423"/>
      <c r="L66" s="1423"/>
      <c r="M66" s="1423"/>
      <c r="N66" s="1423"/>
      <c r="O66" s="1423"/>
      <c r="P66" s="1423"/>
      <c r="Q66" s="1423"/>
      <c r="R66" s="1423"/>
      <c r="S66" s="1423"/>
      <c r="T66" s="1423"/>
      <c r="U66" s="1423"/>
      <c r="V66" s="1423"/>
      <c r="W66" s="1423"/>
      <c r="X66" s="152"/>
      <c r="Y66" s="152"/>
      <c r="Z66" s="152"/>
      <c r="AA66" s="152"/>
      <c r="AB66" s="152"/>
    </row>
    <row r="67" spans="1:28">
      <c r="A67" s="269" t="s">
        <v>1</v>
      </c>
      <c r="B67" s="270" t="str">
        <f>VLOOKUP($A67,'RFM input'!$E$7:$F$56,2,FALSE)</f>
        <v>Inlets</v>
      </c>
      <c r="C67" s="1431"/>
      <c r="D67" s="1431"/>
      <c r="E67" s="1432"/>
      <c r="F67" s="1432"/>
      <c r="G67" s="1432"/>
      <c r="H67" s="1432"/>
      <c r="I67" s="1432"/>
      <c r="J67" s="1432"/>
      <c r="K67" s="1432"/>
      <c r="L67" s="1432"/>
      <c r="M67" s="1432"/>
      <c r="N67" s="1432"/>
      <c r="O67" s="1432"/>
      <c r="P67" s="1432"/>
      <c r="Q67" s="1432"/>
      <c r="R67" s="1432"/>
      <c r="S67" s="1432"/>
      <c r="T67" s="1432"/>
      <c r="U67" s="1432"/>
      <c r="V67" s="1432"/>
      <c r="W67" s="1432"/>
      <c r="X67" s="152"/>
      <c r="Y67" s="152"/>
      <c r="Z67" s="152"/>
      <c r="AA67" s="152"/>
      <c r="AB67" s="152"/>
    </row>
    <row r="68" spans="1:28">
      <c r="A68" s="215">
        <f>VALUE(REPLACE(A67,1,12,""))</f>
        <v>2</v>
      </c>
      <c r="B68" s="193" t="s">
        <v>126</v>
      </c>
      <c r="C68" s="1416">
        <f ca="1">IF($C$8='Capital Base roll forward'!$H$4,OFFSET('Capital Base roll forward'!$H$717,'RAB remaining lives'!A68,0),"enter input")</f>
        <v>74.835251396459029</v>
      </c>
      <c r="D68" s="1417">
        <f>IF(LEFT(D$6,4)&lt;LEFT('RFM input'!$G$60,4),"enter input",IF(LEFT(D$6,4)&gt;LEFT('RFM input'!$Q$60,4),0,INDEX('RFM input'!$G$61:$Q$110,$A68,MATCH(D$6,'RFM input'!$G$60:$Q$60,0))
-INDEX('RFM input'!$G$115:$Q$164,$A68,MATCH(D$6,'RFM input'!$G$60:$Q$60,0))
-INDEX('RFM input'!$G$169:$Q$218,$A68,MATCH(D$6,'RFM input'!$G$60:$Q$60,0))))</f>
        <v>5.0805792841198203</v>
      </c>
      <c r="E68" s="1417">
        <f>IF(LEFT(E$6,4)&lt;LEFT('RFM input'!$G$60,4),"enter input",IF(LEFT(E$6,4)&gt;LEFT('RFM input'!$Q$60,4),0,INDEX('RFM input'!$G$61:$Q$110,$A68,MATCH(E$6,'RFM input'!$G$60:$Q$60,0))
-INDEX('RFM input'!$G$115:$Q$164,$A68,MATCH(E$6,'RFM input'!$G$60:$Q$60,0))
-INDEX('RFM input'!$G$169:$Q$218,$A68,MATCH(E$6,'RFM input'!$G$60:$Q$60,0))))</f>
        <v>5.4560820744449376</v>
      </c>
      <c r="F68" s="1417">
        <f>IF(LEFT(F$6,4)&lt;LEFT('RFM input'!$G$60,4),"enter input",IF(LEFT(F$6,4)&gt;LEFT('RFM input'!$Q$60,4),0,INDEX('RFM input'!$G$61:$Q$110,$A68,MATCH(F$6,'RFM input'!$G$60:$Q$60,0))
-INDEX('RFM input'!$G$115:$Q$164,$A68,MATCH(F$6,'RFM input'!$G$60:$Q$60,0))
-INDEX('RFM input'!$G$169:$Q$218,$A68,MATCH(F$6,'RFM input'!$G$60:$Q$60,0))))</f>
        <v>5.8461758780051181</v>
      </c>
      <c r="G68" s="1417">
        <f>IF(LEFT(G$6,4)&lt;LEFT('RFM input'!$G$60,4),"enter input",IF(LEFT(G$6,4)&gt;LEFT('RFM input'!$Q$60,4),0,INDEX('RFM input'!$G$61:$Q$110,$A68,MATCH(G$6,'RFM input'!$G$60:$Q$60,0))
-INDEX('RFM input'!$G$115:$Q$164,$A68,MATCH(G$6,'RFM input'!$G$60:$Q$60,0))
-INDEX('RFM input'!$G$169:$Q$218,$A68,MATCH(G$6,'RFM input'!$G$60:$Q$60,0))))</f>
        <v>5.1741811968704745</v>
      </c>
      <c r="H68" s="1417">
        <f>IF(LEFT(H$6,4)&lt;LEFT('RFM input'!$G$60,4),"enter input",IF(LEFT(H$6,4)&gt;LEFT('RFM input'!$Q$60,4),0,INDEX('RFM input'!$G$61:$Q$110,$A68,MATCH(H$6,'RFM input'!$G$60:$Q$60,0))
-INDEX('RFM input'!$G$115:$Q$164,$A68,MATCH(H$6,'RFM input'!$G$60:$Q$60,0))
-INDEX('RFM input'!$G$169:$Q$218,$A68,MATCH(H$6,'RFM input'!$G$60:$Q$60,0))))</f>
        <v>5.8341937754290756</v>
      </c>
      <c r="I68" s="1417">
        <f>IF(LEFT(I$6,4)&lt;LEFT('RFM input'!$G$60,4),"enter input",IF(LEFT(I$6,4)&gt;LEFT('RFM input'!$Q$60,4),0,INDEX('RFM input'!$G$61:$Q$110,$A68,MATCH(I$6,'RFM input'!$G$60:$Q$60,0))
-INDEX('RFM input'!$G$115:$Q$164,$A68,MATCH(I$6,'RFM input'!$G$60:$Q$60,0))
-INDEX('RFM input'!$G$169:$Q$218,$A68,MATCH(I$6,'RFM input'!$G$60:$Q$60,0))))</f>
        <v>4.5566752938187598</v>
      </c>
      <c r="J68" s="1417">
        <f>IF(LEFT(J$6,4)&lt;LEFT('RFM input'!$G$60,4),"enter input",IF(LEFT(J$6,4)&gt;LEFT('RFM input'!$Q$60,4),0,INDEX('RFM input'!$G$61:$Q$110,$A68,MATCH(J$6,'RFM input'!$G$60:$Q$60,0))
-INDEX('RFM input'!$G$115:$Q$164,$A68,MATCH(J$6,'RFM input'!$G$60:$Q$60,0))
-INDEX('RFM input'!$G$169:$Q$218,$A68,MATCH(J$6,'RFM input'!$G$60:$Q$60,0))))</f>
        <v>2.7442209566156053</v>
      </c>
      <c r="K68" s="1417">
        <f>IF(LEFT(K$6,4)&lt;LEFT('RFM input'!$G$60,4),"enter input",IF(LEFT(K$6,4)&gt;LEFT('RFM input'!$Q$60,4),0,INDEX('RFM input'!$G$61:$Q$110,$A68,MATCH(K$6,'RFM input'!$G$60:$Q$60,0))
-INDEX('RFM input'!$G$115:$Q$164,$A68,MATCH(K$6,'RFM input'!$G$60:$Q$60,0))
-INDEX('RFM input'!$G$169:$Q$218,$A68,MATCH(K$6,'RFM input'!$G$60:$Q$60,0))))</f>
        <v>0</v>
      </c>
      <c r="L68" s="1417">
        <f>IF(LEFT(L$6,4)&lt;LEFT('RFM input'!$G$60,4),"enter input",IF(LEFT(L$6,4)&gt;LEFT('RFM input'!$Q$60,4),0,INDEX('RFM input'!$G$61:$Q$110,$A68,MATCH(L$6,'RFM input'!$G$60:$Q$60,0))
-INDEX('RFM input'!$G$115:$Q$164,$A68,MATCH(L$6,'RFM input'!$G$60:$Q$60,0))
-INDEX('RFM input'!$G$169:$Q$218,$A68,MATCH(L$6,'RFM input'!$G$60:$Q$60,0))))</f>
        <v>0</v>
      </c>
      <c r="M68" s="1417">
        <f>IF(LEFT(M$6,4)&lt;LEFT('RFM input'!$G$60,4),"enter input",IF(LEFT(M$6,4)&gt;LEFT('RFM input'!$Q$60,4),0,INDEX('RFM input'!$G$61:$Q$110,$A68,MATCH(M$6,'RFM input'!$G$60:$Q$60,0))
-INDEX('RFM input'!$G$115:$Q$164,$A68,MATCH(M$6,'RFM input'!$G$60:$Q$60,0))
-INDEX('RFM input'!$G$169:$Q$218,$A68,MATCH(M$6,'RFM input'!$G$60:$Q$60,0))))</f>
        <v>0</v>
      </c>
      <c r="N68" s="1417">
        <f>IF(LEFT(N$6,4)&lt;LEFT('RFM input'!$G$60,4),"enter input",IF(LEFT(N$6,4)&gt;LEFT('RFM input'!$Q$60,4),0,INDEX('RFM input'!$G$61:$Q$110,$A68,MATCH(N$6,'RFM input'!$G$60:$Q$60,0))
-INDEX('RFM input'!$G$115:$Q$164,$A68,MATCH(N$6,'RFM input'!$G$60:$Q$60,0))
-INDEX('RFM input'!$G$169:$Q$218,$A68,MATCH(N$6,'RFM input'!$G$60:$Q$60,0))))</f>
        <v>0</v>
      </c>
      <c r="O68" s="1417">
        <f>IF(LEFT(O$6,4)&lt;LEFT('RFM input'!$G$60,4),"enter input",IF(LEFT(O$6,4)&gt;LEFT('RFM input'!$Q$60,4),0,INDEX('RFM input'!$G$61:$Q$110,$A68,MATCH(O$6,'RFM input'!$G$60:$Q$60,0))
-INDEX('RFM input'!$G$115:$Q$164,$A68,MATCH(O$6,'RFM input'!$G$60:$Q$60,0))
-INDEX('RFM input'!$G$169:$Q$218,$A68,MATCH(O$6,'RFM input'!$G$60:$Q$60,0))))</f>
        <v>0</v>
      </c>
      <c r="P68" s="1417">
        <f>IF(LEFT(P$6,4)&lt;LEFT('RFM input'!$G$60,4),"enter input",IF(LEFT(P$6,4)&gt;LEFT('RFM input'!$Q$60,4),0,INDEX('RFM input'!$G$61:$Q$110,$A68,MATCH(P$6,'RFM input'!$G$60:$Q$60,0))
-INDEX('RFM input'!$G$115:$Q$164,$A68,MATCH(P$6,'RFM input'!$G$60:$Q$60,0))
-INDEX('RFM input'!$G$169:$Q$218,$A68,MATCH(P$6,'RFM input'!$G$60:$Q$60,0))))</f>
        <v>0</v>
      </c>
      <c r="Q68" s="1417">
        <f>IF(LEFT(Q$6,4)&lt;LEFT('RFM input'!$G$60,4),"enter input",IF(LEFT(Q$6,4)&gt;LEFT('RFM input'!$Q$60,4),0,INDEX('RFM input'!$G$61:$Q$110,$A68,MATCH(Q$6,'RFM input'!$G$60:$Q$60,0))
-INDEX('RFM input'!$G$115:$Q$164,$A68,MATCH(Q$6,'RFM input'!$G$60:$Q$60,0))
-INDEX('RFM input'!$G$169:$Q$218,$A68,MATCH(Q$6,'RFM input'!$G$60:$Q$60,0))))</f>
        <v>0</v>
      </c>
      <c r="R68" s="1417">
        <f>IF(LEFT(R$6,4)&lt;LEFT('RFM input'!$G$60,4),"enter input",IF(LEFT(R$6,4)&gt;LEFT('RFM input'!$Q$60,4),0,INDEX('RFM input'!$G$61:$Q$110,$A68,MATCH(R$6,'RFM input'!$G$60:$Q$60,0))
-INDEX('RFM input'!$G$115:$Q$164,$A68,MATCH(R$6,'RFM input'!$G$60:$Q$60,0))
-INDEX('RFM input'!$G$169:$Q$218,$A68,MATCH(R$6,'RFM input'!$G$60:$Q$60,0))))</f>
        <v>0</v>
      </c>
      <c r="S68" s="1417">
        <f>IF(LEFT(S$6,4)&lt;LEFT('RFM input'!$G$60,4),"enter input",IF(LEFT(S$6,4)&gt;LEFT('RFM input'!$Q$60,4),0,INDEX('RFM input'!$G$61:$Q$110,$A68,MATCH(S$6,'RFM input'!$G$60:$Q$60,0))
-INDEX('RFM input'!$G$115:$Q$164,$A68,MATCH(S$6,'RFM input'!$G$60:$Q$60,0))
-INDEX('RFM input'!$G$169:$Q$218,$A68,MATCH(S$6,'RFM input'!$G$60:$Q$60,0))))</f>
        <v>0</v>
      </c>
      <c r="T68" s="1417">
        <f>IF(LEFT(T$6,4)&lt;LEFT('RFM input'!$G$60,4),"enter input",IF(LEFT(T$6,4)&gt;LEFT('RFM input'!$Q$60,4),0,INDEX('RFM input'!$G$61:$Q$110,$A68,MATCH(T$6,'RFM input'!$G$60:$Q$60,0))
-INDEX('RFM input'!$G$115:$Q$164,$A68,MATCH(T$6,'RFM input'!$G$60:$Q$60,0))
-INDEX('RFM input'!$G$169:$Q$218,$A68,MATCH(T$6,'RFM input'!$G$60:$Q$60,0))))</f>
        <v>0</v>
      </c>
      <c r="U68" s="1417">
        <f>IF(LEFT(U$6,4)&lt;LEFT('RFM input'!$G$60,4),"enter input",IF(LEFT(U$6,4)&gt;LEFT('RFM input'!$Q$60,4),0,INDEX('RFM input'!$G$61:$Q$110,$A68,MATCH(U$6,'RFM input'!$G$60:$Q$60,0))
-INDEX('RFM input'!$G$115:$Q$164,$A68,MATCH(U$6,'RFM input'!$G$60:$Q$60,0))
-INDEX('RFM input'!$G$169:$Q$218,$A68,MATCH(U$6,'RFM input'!$G$60:$Q$60,0))))</f>
        <v>0</v>
      </c>
      <c r="V68" s="1417">
        <f>IF(LEFT(V$6,4)&lt;LEFT('RFM input'!$G$60,4),"enter input",IF(LEFT(V$6,4)&gt;LEFT('RFM input'!$Q$60,4),0,INDEX('RFM input'!$G$61:$Q$110,$A68,MATCH(V$6,'RFM input'!$G$60:$Q$60,0))
-INDEX('RFM input'!$G$115:$Q$164,$A68,MATCH(V$6,'RFM input'!$G$60:$Q$60,0))
-INDEX('RFM input'!$G$169:$Q$218,$A68,MATCH(V$6,'RFM input'!$G$60:$Q$60,0))))</f>
        <v>0</v>
      </c>
      <c r="W68" s="1417">
        <f>IF(LEFT(W$6,4)&lt;LEFT('RFM input'!$G$60,4),"enter input",IF(LEFT(W$6,4)&gt;LEFT('RFM input'!$Q$60,4),0,INDEX('RFM input'!$G$61:$Q$110,$A68,MATCH(W$6,'RFM input'!$G$60:$Q$60,0))
-INDEX('RFM input'!$G$115:$Q$164,$A68,MATCH(W$6,'RFM input'!$G$60:$Q$60,0))
-INDEX('RFM input'!$G$169:$Q$218,$A68,MATCH(W$6,'RFM input'!$G$60:$Q$60,0))))</f>
        <v>0</v>
      </c>
      <c r="X68" s="152"/>
      <c r="Y68" s="152"/>
      <c r="Z68" s="152"/>
      <c r="AA68" s="152"/>
      <c r="AB68" s="152"/>
    </row>
    <row r="69" spans="1:28">
      <c r="A69" s="152"/>
      <c r="B69" s="152" t="s">
        <v>204</v>
      </c>
      <c r="C69" s="1418">
        <f ca="1">IF($C$8='Capital Base roll forward'!$H$4,OFFSET('RFM input'!$J$6,'RAB remaining lives'!A68,0),"enter input")</f>
        <v>40</v>
      </c>
      <c r="D69" s="1417">
        <f>IF(LEFT(D$6,4)&lt;=LEFT('RFM input'!$G$60,4),"enter input",IF(LEFT(D$6,4)&gt;LEFT('RFM input'!$Q$60,4),0,IF(MATCH(D$6,'RFM input'!$H$60:$Q$60,0),INDEX('RFM input'!$K$7:$K$56,$A68,1))))</f>
        <v>40</v>
      </c>
      <c r="E69" s="1417">
        <f>IF(LEFT(E$6,4)&lt;=LEFT('RFM input'!$G$60,4),"enter input",IF(LEFT(E$6,4)&gt;LEFT('RFM input'!$Q$60,4),0,IF(MATCH(E$6,'RFM input'!$H$60:$Q$60,0),INDEX('RFM input'!$K$7:$K$56,$A68,1))))</f>
        <v>40</v>
      </c>
      <c r="F69" s="1417">
        <f>IF(LEFT(F$6,4)&lt;=LEFT('RFM input'!$G$60,4),"enter input",IF(LEFT(F$6,4)&gt;LEFT('RFM input'!$Q$60,4),0,IF(MATCH(F$6,'RFM input'!$H$60:$Q$60,0),INDEX('RFM input'!$K$7:$K$56,$A68,1))))</f>
        <v>40</v>
      </c>
      <c r="G69" s="1417">
        <f>IF(LEFT(G$6,4)&lt;=LEFT('RFM input'!$G$60,4),"enter input",IF(LEFT(G$6,4)&gt;LEFT('RFM input'!$Q$60,4),0,IF(MATCH(G$6,'RFM input'!$H$60:$Q$60,0),INDEX('RFM input'!$K$7:$K$56,$A68,1))))</f>
        <v>40</v>
      </c>
      <c r="H69" s="1417">
        <f>IF(LEFT(H$6,4)&lt;=LEFT('RFM input'!$G$60,4),"enter input",IF(LEFT(H$6,4)&gt;LEFT('RFM input'!$Q$60,4),0,IF(MATCH(H$6,'RFM input'!$H$60:$Q$60,0),INDEX('RFM input'!$K$7:$K$56,$A68,1))))</f>
        <v>40</v>
      </c>
      <c r="I69" s="1417">
        <f>IF(LEFT(I$6,4)&lt;=LEFT('RFM input'!$G$60,4),"enter input",IF(LEFT(I$6,4)&gt;LEFT('RFM input'!$Q$60,4),0,IF(MATCH(I$6,'RFM input'!$H$60:$Q$60,0),INDEX('RFM input'!$K$7:$K$56,$A68,1))))</f>
        <v>40</v>
      </c>
      <c r="J69" s="1417">
        <f>IF(LEFT(J$6,4)&lt;=LEFT('RFM input'!$G$60,4),"enter input",IF(LEFT(J$6,4)&gt;LEFT('RFM input'!$Q$60,4),0,IF(MATCH(J$6,'RFM input'!$H$60:$Q$60,0),INDEX('RFM input'!$K$7:$K$56,$A68,1))))</f>
        <v>40</v>
      </c>
      <c r="K69" s="1417">
        <f>IF(LEFT(K$6,4)&lt;=LEFT('RFM input'!$G$60,4),"enter input",IF(LEFT(K$6,4)&gt;LEFT('RFM input'!$Q$60,4),0,IF(MATCH(K$6,'RFM input'!$H$60:$Q$60,0),INDEX('RFM input'!$K$7:$K$56,$A68,1))))</f>
        <v>40</v>
      </c>
      <c r="L69" s="1417">
        <f>IF(LEFT(L$6,4)&lt;=LEFT('RFM input'!$G$60,4),"enter input",IF(LEFT(L$6,4)&gt;LEFT('RFM input'!$Q$60,4),0,IF(MATCH(L$6,'RFM input'!$H$60:$Q$60,0),INDEX('RFM input'!$K$7:$K$56,$A68,1))))</f>
        <v>40</v>
      </c>
      <c r="M69" s="1417">
        <f>IF(LEFT(M$6,4)&lt;=LEFT('RFM input'!$G$60,4),"enter input",IF(LEFT(M$6,4)&gt;LEFT('RFM input'!$Q$60,4),0,IF(MATCH(M$6,'RFM input'!$H$60:$Q$60,0),INDEX('RFM input'!$K$7:$K$56,$A68,1))))</f>
        <v>40</v>
      </c>
      <c r="N69" s="1417">
        <f>IF(LEFT(N$6,4)&lt;=LEFT('RFM input'!$G$60,4),"enter input",IF(LEFT(N$6,4)&gt;LEFT('RFM input'!$Q$60,4),0,IF(MATCH(N$6,'RFM input'!$H$60:$Q$60,0),INDEX('RFM input'!$K$7:$K$56,$A68,1))))</f>
        <v>0</v>
      </c>
      <c r="O69" s="1417">
        <f>IF(LEFT(O$6,4)&lt;=LEFT('RFM input'!$G$60,4),"enter input",IF(LEFT(O$6,4)&gt;LEFT('RFM input'!$Q$60,4),0,IF(MATCH(O$6,'RFM input'!$H$60:$Q$60,0),INDEX('RFM input'!$K$7:$K$56,$A68,1))))</f>
        <v>0</v>
      </c>
      <c r="P69" s="1417">
        <f>IF(LEFT(P$6,4)&lt;=LEFT('RFM input'!$G$60,4),"enter input",IF(LEFT(P$6,4)&gt;LEFT('RFM input'!$Q$60,4),0,IF(MATCH(P$6,'RFM input'!$H$60:$Q$60,0),INDEX('RFM input'!$K$7:$K$56,$A68,1))))</f>
        <v>0</v>
      </c>
      <c r="Q69" s="1417">
        <f>IF(LEFT(Q$6,4)&lt;=LEFT('RFM input'!$G$60,4),"enter input",IF(LEFT(Q$6,4)&gt;LEFT('RFM input'!$Q$60,4),0,IF(MATCH(Q$6,'RFM input'!$H$60:$Q$60,0),INDEX('RFM input'!$K$7:$K$56,$A68,1))))</f>
        <v>0</v>
      </c>
      <c r="R69" s="1417">
        <f>IF(LEFT(R$6,4)&lt;=LEFT('RFM input'!$G$60,4),"enter input",IF(LEFT(R$6,4)&gt;LEFT('RFM input'!$Q$60,4),0,IF(MATCH(R$6,'RFM input'!$H$60:$Q$60,0),INDEX('RFM input'!$K$7:$K$56,$A68,1))))</f>
        <v>0</v>
      </c>
      <c r="S69" s="1417">
        <f>IF(LEFT(S$6,4)&lt;=LEFT('RFM input'!$G$60,4),"enter input",IF(LEFT(S$6,4)&gt;LEFT('RFM input'!$Q$60,4),0,IF(MATCH(S$6,'RFM input'!$H$60:$Q$60,0),INDEX('RFM input'!$K$7:$K$56,$A68,1))))</f>
        <v>0</v>
      </c>
      <c r="T69" s="1417">
        <f>IF(LEFT(T$6,4)&lt;=LEFT('RFM input'!$G$60,4),"enter input",IF(LEFT(T$6,4)&gt;LEFT('RFM input'!$Q$60,4),0,IF(MATCH(T$6,'RFM input'!$H$60:$Q$60,0),INDEX('RFM input'!$K$7:$K$56,$A68,1))))</f>
        <v>0</v>
      </c>
      <c r="U69" s="1417">
        <f>IF(LEFT(U$6,4)&lt;=LEFT('RFM input'!$G$60,4),"enter input",IF(LEFT(U$6,4)&gt;LEFT('RFM input'!$Q$60,4),0,IF(MATCH(U$6,'RFM input'!$H$60:$Q$60,0),INDEX('RFM input'!$K$7:$K$56,$A68,1))))</f>
        <v>0</v>
      </c>
      <c r="V69" s="1417">
        <f>IF(LEFT(V$6,4)&lt;=LEFT('RFM input'!$G$60,4),"enter input",IF(LEFT(V$6,4)&gt;LEFT('RFM input'!$Q$60,4),0,IF(MATCH(V$6,'RFM input'!$H$60:$Q$60,0),INDEX('RFM input'!$K$7:$K$56,$A68,1))))</f>
        <v>0</v>
      </c>
      <c r="W69" s="1417">
        <f>IF(LEFT(W$6,4)&lt;=LEFT('RFM input'!$G$60,4),"enter input",IF(LEFT(W$6,4)&gt;LEFT('RFM input'!$Q$60,4),0,IF(MATCH(W$6,'RFM input'!$H$60:$Q$60,0),INDEX('RFM input'!$K$7:$K$56,$A68,1))))</f>
        <v>0</v>
      </c>
      <c r="X69" s="152"/>
      <c r="Y69" s="152"/>
      <c r="Z69" s="152"/>
      <c r="AA69" s="152"/>
      <c r="AB69" s="152"/>
    </row>
    <row r="70" spans="1:28">
      <c r="A70" s="152"/>
      <c r="B70" s="177" t="s">
        <v>191</v>
      </c>
      <c r="C70" s="1419"/>
      <c r="D70" s="1420">
        <f ca="1">IF(LEFT(D$6,4)&lt;=LEFT('RFM input'!$G$60,4),"enter input",IF(LEFT(D$6,4)&gt;LEFT('RFM input'!$Q$60,4),0,IF(D$6=(OFFSET('RFM input'!$G$60,0,'RFM input'!$V$7)),OFFSET('RFM input'!$G$411,$A68,0),0)))</f>
        <v>0</v>
      </c>
      <c r="E70" s="1417">
        <f ca="1">IF(LEFT(E$6,4)&lt;=LEFT('RFM input'!$G$60,4),"enter input",IF(LEFT(E$6,4)&gt;LEFT('RFM input'!$Q$60,4),0,IF(E$6=(OFFSET('RFM input'!$G$60,0,'RFM input'!$V$7)),OFFSET('RFM input'!$G$411,$A68,0),0)))</f>
        <v>0</v>
      </c>
      <c r="F70" s="1417">
        <f ca="1">IF(LEFT(F$6,4)&lt;=LEFT('RFM input'!$G$60,4),"enter input",IF(LEFT(F$6,4)&gt;LEFT('RFM input'!$Q$60,4),0,IF(F$6=(OFFSET('RFM input'!$G$60,0,'RFM input'!$V$7)),OFFSET('RFM input'!$G$411,$A68,0),0)))</f>
        <v>0</v>
      </c>
      <c r="G70" s="1417">
        <f ca="1">IF(LEFT(G$6,4)&lt;=LEFT('RFM input'!$G$60,4),"enter input",IF(LEFT(G$6,4)&gt;LEFT('RFM input'!$Q$60,4),0,IF(G$6=(OFFSET('RFM input'!$G$60,0,'RFM input'!$V$7)),OFFSET('RFM input'!$G$411,$A68,0),0)))</f>
        <v>0</v>
      </c>
      <c r="H70" s="1417">
        <f ca="1">IF(LEFT(H$6,4)&lt;=LEFT('RFM input'!$G$60,4),"enter input",IF(LEFT(H$6,4)&gt;LEFT('RFM input'!$Q$60,4),0,IF(H$6=(OFFSET('RFM input'!$G$60,0,'RFM input'!$V$7)),OFFSET('RFM input'!$G$411,$A68,0),0)))</f>
        <v>0</v>
      </c>
      <c r="I70" s="1417">
        <f ca="1">IF(LEFT(I$6,4)&lt;=LEFT('RFM input'!$G$60,4),"enter input",IF(LEFT(I$6,4)&gt;LEFT('RFM input'!$Q$60,4),0,IF(I$6=(OFFSET('RFM input'!$G$60,0,'RFM input'!$V$7)),OFFSET('RFM input'!$G$411,$A68,0),0)))</f>
        <v>0</v>
      </c>
      <c r="J70" s="1417">
        <f ca="1">IF(LEFT(J$6,4)&lt;=LEFT('RFM input'!$G$60,4),"enter input",IF(LEFT(J$6,4)&gt;LEFT('RFM input'!$Q$60,4),0,IF(J$6=(OFFSET('RFM input'!$G$60,0,'RFM input'!$V$7)),OFFSET('RFM input'!$G$411,$A68,0),0)))</f>
        <v>0</v>
      </c>
      <c r="K70" s="1417">
        <f ca="1">IF(LEFT(K$6,4)&lt;=LEFT('RFM input'!$G$60,4),"enter input",IF(LEFT(K$6,4)&gt;LEFT('RFM input'!$Q$60,4),0,IF(K$6=(OFFSET('RFM input'!$G$60,0,'RFM input'!$V$7)),OFFSET('RFM input'!$G$411,$A68,0),0)))</f>
        <v>0</v>
      </c>
      <c r="L70" s="1417">
        <f ca="1">IF(LEFT(L$6,4)&lt;=LEFT('RFM input'!$G$60,4),"enter input",IF(LEFT(L$6,4)&gt;LEFT('RFM input'!$Q$60,4),0,IF(L$6=(OFFSET('RFM input'!$G$60,0,'RFM input'!$V$7)),OFFSET('RFM input'!$G$411,$A68,0),0)))</f>
        <v>0</v>
      </c>
      <c r="M70" s="1417">
        <f ca="1">IF(LEFT(M$6,4)&lt;=LEFT('RFM input'!$G$60,4),"enter input",IF(LEFT(M$6,4)&gt;LEFT('RFM input'!$Q$60,4),0,IF(M$6=(OFFSET('RFM input'!$G$60,0,'RFM input'!$V$7)),OFFSET('RFM input'!$G$411,$A68,0),0)))</f>
        <v>0</v>
      </c>
      <c r="N70" s="1417">
        <f ca="1">IF(LEFT(N$6,4)&lt;=LEFT('RFM input'!$G$60,4),"enter input",IF(LEFT(N$6,4)&gt;LEFT('RFM input'!$Q$60,4),0,IF(N$6=(OFFSET('RFM input'!$G$60,0,'RFM input'!$V$7)),OFFSET('RFM input'!$G$411,$A68,0),0)))</f>
        <v>0</v>
      </c>
      <c r="O70" s="1417">
        <f ca="1">IF(LEFT(O$6,4)&lt;=LEFT('RFM input'!$G$60,4),"enter input",IF(LEFT(O$6,4)&gt;LEFT('RFM input'!$Q$60,4),0,IF(O$6=(OFFSET('RFM input'!$G$60,0,'RFM input'!$V$7)),OFFSET('RFM input'!$G$411,$A68,0),0)))</f>
        <v>0</v>
      </c>
      <c r="P70" s="1417">
        <f ca="1">IF(LEFT(P$6,4)&lt;=LEFT('RFM input'!$G$60,4),"enter input",IF(LEFT(P$6,4)&gt;LEFT('RFM input'!$Q$60,4),0,IF(P$6=(OFFSET('RFM input'!$G$60,0,'RFM input'!$V$7)),OFFSET('RFM input'!$G$411,$A68,0),0)))</f>
        <v>0</v>
      </c>
      <c r="Q70" s="1417">
        <f ca="1">IF(LEFT(Q$6,4)&lt;=LEFT('RFM input'!$G$60,4),"enter input",IF(LEFT(Q$6,4)&gt;LEFT('RFM input'!$Q$60,4),0,IF(Q$6=(OFFSET('RFM input'!$G$60,0,'RFM input'!$V$7)),OFFSET('RFM input'!$G$411,$A68,0),0)))</f>
        <v>0</v>
      </c>
      <c r="R70" s="1417">
        <f ca="1">IF(LEFT(R$6,4)&lt;=LEFT('RFM input'!$G$60,4),"enter input",IF(LEFT(R$6,4)&gt;LEFT('RFM input'!$Q$60,4),0,IF(R$6=(OFFSET('RFM input'!$G$60,0,'RFM input'!$V$7)),OFFSET('RFM input'!$G$411,$A68,0),0)))</f>
        <v>0</v>
      </c>
      <c r="S70" s="1417">
        <f ca="1">IF(LEFT(S$6,4)&lt;=LEFT('RFM input'!$G$60,4),"enter input",IF(LEFT(S$6,4)&gt;LEFT('RFM input'!$Q$60,4),0,IF(S$6=(OFFSET('RFM input'!$G$60,0,'RFM input'!$V$7)),OFFSET('RFM input'!$G$411,$A68,0),0)))</f>
        <v>0</v>
      </c>
      <c r="T70" s="1417">
        <f ca="1">IF(LEFT(T$6,4)&lt;=LEFT('RFM input'!$G$60,4),"enter input",IF(LEFT(T$6,4)&gt;LEFT('RFM input'!$Q$60,4),0,IF(T$6=(OFFSET('RFM input'!$G$60,0,'RFM input'!$V$7)),OFFSET('RFM input'!$G$411,$A68,0),0)))</f>
        <v>0</v>
      </c>
      <c r="U70" s="1417">
        <f ca="1">IF(LEFT(U$6,4)&lt;=LEFT('RFM input'!$G$60,4),"enter input",IF(LEFT(U$6,4)&gt;LEFT('RFM input'!$Q$60,4),0,IF(U$6=(OFFSET('RFM input'!$G$60,0,'RFM input'!$V$7)),OFFSET('RFM input'!$G$411,$A68,0),0)))</f>
        <v>0</v>
      </c>
      <c r="V70" s="1417">
        <f ca="1">IF(LEFT(V$6,4)&lt;=LEFT('RFM input'!$G$60,4),"enter input",IF(LEFT(V$6,4)&gt;LEFT('RFM input'!$Q$60,4),0,IF(V$6=(OFFSET('RFM input'!$G$60,0,'RFM input'!$V$7)),OFFSET('RFM input'!$G$411,$A68,0),0)))</f>
        <v>0</v>
      </c>
      <c r="W70" s="1417">
        <f ca="1">IF(LEFT(W$6,4)&lt;=LEFT('RFM input'!$G$60,4),"enter input",IF(LEFT(W$6,4)&gt;LEFT('RFM input'!$Q$60,4),0,IF(W$6=(OFFSET('RFM input'!$G$60,0,'RFM input'!$V$7)),OFFSET('RFM input'!$G$411,$A68,0),0)))</f>
        <v>0</v>
      </c>
      <c r="X70" s="152"/>
      <c r="Y70" s="152"/>
      <c r="Z70" s="152"/>
      <c r="AA70" s="152"/>
      <c r="AB70" s="152"/>
    </row>
    <row r="71" spans="1:28">
      <c r="A71" s="152"/>
      <c r="B71" s="195" t="s">
        <v>197</v>
      </c>
      <c r="C71" s="1419"/>
      <c r="D71" s="1418">
        <f ca="1">IF(LEFT(D$6,4)&lt;=LEFT('RFM input'!$G$60,4),"enter input",IF(LEFT(D$6,4)&gt;LEFT('RFM input'!$Q$60,4),0,IF(D$6=(OFFSET('RFM input'!$G$60,0,'RFM input'!$V$7)),OFFSET('RFM input'!$I$411,$A68,0),0)))</f>
        <v>0</v>
      </c>
      <c r="E71" s="1422">
        <f ca="1">IF(LEFT(E$6,4)&lt;=LEFT('RFM input'!$G$60,4),"enter input",IF(LEFT(E$6,4)&gt;LEFT('RFM input'!$Q$60,4),0,IF(E$6=(OFFSET('RFM input'!$G$60,0,'RFM input'!$V$7)),OFFSET('RFM input'!$I$411,$A68,0),0)))</f>
        <v>0</v>
      </c>
      <c r="F71" s="1422">
        <f ca="1">IF(LEFT(F$6,4)&lt;=LEFT('RFM input'!$G$60,4),"enter input",IF(LEFT(F$6,4)&gt;LEFT('RFM input'!$Q$60,4),0,IF(F$6=(OFFSET('RFM input'!$G$60,0,'RFM input'!$V$7)),OFFSET('RFM input'!$I$411,$A68,0),0)))</f>
        <v>0</v>
      </c>
      <c r="G71" s="1422">
        <f ca="1">IF(LEFT(G$6,4)&lt;=LEFT('RFM input'!$G$60,4),"enter input",IF(LEFT(G$6,4)&gt;LEFT('RFM input'!$Q$60,4),0,IF(G$6=(OFFSET('RFM input'!$G$60,0,'RFM input'!$V$7)),OFFSET('RFM input'!$I$411,$A68,0),0)))</f>
        <v>0</v>
      </c>
      <c r="H71" s="1422">
        <f ca="1">IF(LEFT(H$6,4)&lt;=LEFT('RFM input'!$G$60,4),"enter input",IF(LEFT(H$6,4)&gt;LEFT('RFM input'!$Q$60,4),0,IF(H$6=(OFFSET('RFM input'!$G$60,0,'RFM input'!$V$7)),OFFSET('RFM input'!$I$411,$A68,0),0)))</f>
        <v>0</v>
      </c>
      <c r="I71" s="1422">
        <f ca="1">IF(LEFT(I$6,4)&lt;=LEFT('RFM input'!$G$60,4),"enter input",IF(LEFT(I$6,4)&gt;LEFT('RFM input'!$Q$60,4),0,IF(I$6=(OFFSET('RFM input'!$G$60,0,'RFM input'!$V$7)),OFFSET('RFM input'!$I$411,$A68,0),0)))</f>
        <v>0</v>
      </c>
      <c r="J71" s="1422">
        <f ca="1">IF(LEFT(J$6,4)&lt;=LEFT('RFM input'!$G$60,4),"enter input",IF(LEFT(J$6,4)&gt;LEFT('RFM input'!$Q$60,4),0,IF(J$6=(OFFSET('RFM input'!$G$60,0,'RFM input'!$V$7)),OFFSET('RFM input'!$I$411,$A68,0),0)))</f>
        <v>0</v>
      </c>
      <c r="K71" s="1422">
        <f ca="1">IF(LEFT(K$6,4)&lt;=LEFT('RFM input'!$G$60,4),"enter input",IF(LEFT(K$6,4)&gt;LEFT('RFM input'!$Q$60,4),0,IF(K$6=(OFFSET('RFM input'!$G$60,0,'RFM input'!$V$7)),OFFSET('RFM input'!$I$411,$A68,0),0)))</f>
        <v>0</v>
      </c>
      <c r="L71" s="1422">
        <f ca="1">IF(LEFT(L$6,4)&lt;=LEFT('RFM input'!$G$60,4),"enter input",IF(LEFT(L$6,4)&gt;LEFT('RFM input'!$Q$60,4),0,IF(L$6=(OFFSET('RFM input'!$G$60,0,'RFM input'!$V$7)),OFFSET('RFM input'!$I$411,$A68,0),0)))</f>
        <v>0</v>
      </c>
      <c r="M71" s="1422">
        <f ca="1">IF(LEFT(M$6,4)&lt;=LEFT('RFM input'!$G$60,4),"enter input",IF(LEFT(M$6,4)&gt;LEFT('RFM input'!$Q$60,4),0,IF(M$6=(OFFSET('RFM input'!$G$60,0,'RFM input'!$V$7)),OFFSET('RFM input'!$I$411,$A68,0),0)))</f>
        <v>0</v>
      </c>
      <c r="N71" s="1422">
        <f ca="1">IF(LEFT(N$6,4)&lt;=LEFT('RFM input'!$G$60,4),"enter input",IF(LEFT(N$6,4)&gt;LEFT('RFM input'!$Q$60,4),0,IF(N$6=(OFFSET('RFM input'!$G$60,0,'RFM input'!$V$7)),OFFSET('RFM input'!$I$411,$A68,0),0)))</f>
        <v>0</v>
      </c>
      <c r="O71" s="1422">
        <f ca="1">IF(LEFT(O$6,4)&lt;=LEFT('RFM input'!$G$60,4),"enter input",IF(LEFT(O$6,4)&gt;LEFT('RFM input'!$Q$60,4),0,IF(O$6=(OFFSET('RFM input'!$G$60,0,'RFM input'!$V$7)),OFFSET('RFM input'!$I$411,$A68,0),0)))</f>
        <v>0</v>
      </c>
      <c r="P71" s="1422">
        <f ca="1">IF(LEFT(P$6,4)&lt;=LEFT('RFM input'!$G$60,4),"enter input",IF(LEFT(P$6,4)&gt;LEFT('RFM input'!$Q$60,4),0,IF(P$6=(OFFSET('RFM input'!$G$60,0,'RFM input'!$V$7)),OFFSET('RFM input'!$I$411,$A68,0),0)))</f>
        <v>0</v>
      </c>
      <c r="Q71" s="1422">
        <f ca="1">IF(LEFT(Q$6,4)&lt;=LEFT('RFM input'!$G$60,4),"enter input",IF(LEFT(Q$6,4)&gt;LEFT('RFM input'!$Q$60,4),0,IF(Q$6=(OFFSET('RFM input'!$G$60,0,'RFM input'!$V$7)),OFFSET('RFM input'!$I$411,$A68,0),0)))</f>
        <v>0</v>
      </c>
      <c r="R71" s="1422">
        <f ca="1">IF(LEFT(R$6,4)&lt;=LEFT('RFM input'!$G$60,4),"enter input",IF(LEFT(R$6,4)&gt;LEFT('RFM input'!$Q$60,4),0,IF(R$6=(OFFSET('RFM input'!$G$60,0,'RFM input'!$V$7)),OFFSET('RFM input'!$I$411,$A68,0),0)))</f>
        <v>0</v>
      </c>
      <c r="S71" s="1422">
        <f ca="1">IF(LEFT(S$6,4)&lt;=LEFT('RFM input'!$G$60,4),"enter input",IF(LEFT(S$6,4)&gt;LEFT('RFM input'!$Q$60,4),0,IF(S$6=(OFFSET('RFM input'!$G$60,0,'RFM input'!$V$7)),OFFSET('RFM input'!$I$411,$A68,0),0)))</f>
        <v>0</v>
      </c>
      <c r="T71" s="1422">
        <f ca="1">IF(LEFT(T$6,4)&lt;=LEFT('RFM input'!$G$60,4),"enter input",IF(LEFT(T$6,4)&gt;LEFT('RFM input'!$Q$60,4),0,IF(T$6=(OFFSET('RFM input'!$G$60,0,'RFM input'!$V$7)),OFFSET('RFM input'!$I$411,$A68,0),0)))</f>
        <v>0</v>
      </c>
      <c r="U71" s="1422">
        <f ca="1">IF(LEFT(U$6,4)&lt;=LEFT('RFM input'!$G$60,4),"enter input",IF(LEFT(U$6,4)&gt;LEFT('RFM input'!$Q$60,4),0,IF(U$6=(OFFSET('RFM input'!$G$60,0,'RFM input'!$V$7)),OFFSET('RFM input'!$I$411,$A68,0),0)))</f>
        <v>0</v>
      </c>
      <c r="V71" s="1422">
        <f ca="1">IF(LEFT(V$6,4)&lt;=LEFT('RFM input'!$G$60,4),"enter input",IF(LEFT(V$6,4)&gt;LEFT('RFM input'!$Q$60,4),0,IF(V$6=(OFFSET('RFM input'!$G$60,0,'RFM input'!$V$7)),OFFSET('RFM input'!$I$411,$A68,0),0)))</f>
        <v>0</v>
      </c>
      <c r="W71" s="1422">
        <f ca="1">IF(LEFT(W$6,4)&lt;=LEFT('RFM input'!$G$60,4),"enter input",IF(LEFT(W$6,4)&gt;LEFT('RFM input'!$Q$60,4),0,IF(W$6=(OFFSET('RFM input'!$G$60,0,'RFM input'!$V$7)),OFFSET('RFM input'!$I$411,$A68,0),0)))</f>
        <v>0</v>
      </c>
      <c r="X71" s="152"/>
      <c r="Y71" s="152"/>
      <c r="Z71" s="152"/>
      <c r="AA71" s="152"/>
      <c r="AB71" s="152"/>
    </row>
    <row r="72" spans="1:28" hidden="1" outlineLevel="1">
      <c r="A72" s="235">
        <v>-1</v>
      </c>
      <c r="B72" s="190" t="s">
        <v>189</v>
      </c>
      <c r="C72" s="1423"/>
      <c r="D72" s="1423">
        <f ca="1">IF(AND(D70=0,C72=0),0,
IF(AND(D70&lt;&gt;0,C72=0),(D70/D$10),
IF(AND(D71&lt;&gt;0,C72&lt;&gt;0),(C72-(C72/C96))+(D70/D$10),
IF(C96&lt;1,0,(C72-(C72/C96))))))</f>
        <v>0</v>
      </c>
      <c r="E72" s="1423">
        <f t="shared" ref="E72" ca="1" si="46">IF(AND(E70=0,D72=0),0,
IF(AND(E70&lt;&gt;0,D72=0),(E70/E$10),
IF(AND(E71&lt;&gt;0,D72&lt;&gt;0),(D72-(D72/D96))+(E70/E$10),
IF(D96&lt;1,0,(D72-(D72/D96))))))</f>
        <v>0</v>
      </c>
      <c r="F72" s="1423">
        <f t="shared" ref="F72" ca="1" si="47">IF(AND(F70=0,E72=0),0,
IF(AND(F70&lt;&gt;0,E72=0),(F70/F$10),
IF(AND(F71&lt;&gt;0,E72&lt;&gt;0),(E72-(E72/E96))+(F70/F$10),
IF(E96&lt;1,0,(E72-(E72/E96))))))</f>
        <v>0</v>
      </c>
      <c r="G72" s="1423">
        <f t="shared" ref="G72" ca="1" si="48">IF(AND(G70=0,F72=0),0,
IF(AND(G70&lt;&gt;0,F72=0),(G70/G$10),
IF(AND(G71&lt;&gt;0,F72&lt;&gt;0),(F72-(F72/F96))+(G70/G$10),
IF(F96&lt;1,0,(F72-(F72/F96))))))</f>
        <v>0</v>
      </c>
      <c r="H72" s="1423">
        <f t="shared" ref="H72" ca="1" si="49">IF(AND(H70=0,G72=0),0,
IF(AND(H70&lt;&gt;0,G72=0),(H70/H$10),
IF(AND(H71&lt;&gt;0,G72&lt;&gt;0),(G72-(G72/G96))+(H70/H$10),
IF(G96&lt;1,0,(G72-(G72/G96))))))</f>
        <v>0</v>
      </c>
      <c r="I72" s="1423">
        <f t="shared" ref="I72" ca="1" si="50">IF(AND(I70=0,H72=0),0,
IF(AND(I70&lt;&gt;0,H72=0),(I70/I$10),
IF(AND(I71&lt;&gt;0,H72&lt;&gt;0),(H72-(H72/H96))+(I70/I$10),
IF(H96&lt;1,0,(H72-(H72/H96))))))</f>
        <v>0</v>
      </c>
      <c r="J72" s="1423">
        <f t="shared" ref="J72" ca="1" si="51">IF(AND(J70=0,I72=0),0,
IF(AND(J70&lt;&gt;0,I72=0),(J70/J$10),
IF(AND(J71&lt;&gt;0,I72&lt;&gt;0),(I72-(I72/I96))+(J70/J$10),
IF(I96&lt;1,0,(I72-(I72/I96))))))</f>
        <v>0</v>
      </c>
      <c r="K72" s="1423">
        <f t="shared" ref="K72" ca="1" si="52">IF(AND(K70=0,J72=0),0,
IF(AND(K70&lt;&gt;0,J72=0),(K70/K$10),
IF(AND(K71&lt;&gt;0,J72&lt;&gt;0),(J72-(J72/J96))+(K70/K$10),
IF(J96&lt;1,0,(J72-(J72/J96))))))</f>
        <v>0</v>
      </c>
      <c r="L72" s="1423">
        <f t="shared" ref="L72" ca="1" si="53">IF(AND(L70=0,K72=0),0,
IF(AND(L70&lt;&gt;0,K72=0),(L70/L$10),
IF(AND(L71&lt;&gt;0,K72&lt;&gt;0),(K72-(K72/K96))+(L70/L$10),
IF(K96&lt;1,0,(K72-(K72/K96))))))</f>
        <v>0</v>
      </c>
      <c r="M72" s="1423">
        <f t="shared" ref="M72" ca="1" si="54">IF(AND(M70=0,L72=0),0,
IF(AND(M70&lt;&gt;0,L72=0),(M70/M$10),
IF(AND(M71&lt;&gt;0,L72&lt;&gt;0),(L72-(L72/L96))+(M70/M$10),
IF(L96&lt;1,0,(L72-(L72/L96))))))</f>
        <v>0</v>
      </c>
      <c r="N72" s="1423">
        <f t="shared" ref="N72" ca="1" si="55">IF(AND(N70=0,M72=0),0,
IF(AND(N70&lt;&gt;0,M72=0),(N70/N$10),
IF(AND(N71&lt;&gt;0,M72&lt;&gt;0),(M72-(M72/M96))+(N70/N$10),
IF(M96&lt;1,0,(M72-(M72/M96))))))</f>
        <v>0</v>
      </c>
      <c r="O72" s="1423">
        <f t="shared" ref="O72" ca="1" si="56">IF(AND(O70=0,N72=0),0,
IF(AND(O70&lt;&gt;0,N72=0),(O70/O$10),
IF(AND(O71&lt;&gt;0,N72&lt;&gt;0),(N72-(N72/N96))+(O70/O$10),
IF(N96&lt;1,0,(N72-(N72/N96))))))</f>
        <v>0</v>
      </c>
      <c r="P72" s="1423">
        <f t="shared" ref="P72" ca="1" si="57">IF(AND(P70=0,O72=0),0,
IF(AND(P70&lt;&gt;0,O72=0),(P70/P$10),
IF(AND(P71&lt;&gt;0,O72&lt;&gt;0),(O72-(O72/O96))+(P70/P$10),
IF(O96&lt;1,0,(O72-(O72/O96))))))</f>
        <v>0</v>
      </c>
      <c r="Q72" s="1423">
        <f t="shared" ref="Q72" ca="1" si="58">IF(AND(Q70=0,P72=0),0,
IF(AND(Q70&lt;&gt;0,P72=0),(Q70/Q$10),
IF(AND(Q71&lt;&gt;0,P72&lt;&gt;0),(P72-(P72/P96))+(Q70/Q$10),
IF(P96&lt;1,0,(P72-(P72/P96))))))</f>
        <v>0</v>
      </c>
      <c r="R72" s="1423">
        <f t="shared" ref="R72" ca="1" si="59">IF(AND(R70=0,Q72=0),0,
IF(AND(R70&lt;&gt;0,Q72=0),(R70/R$10),
IF(AND(R71&lt;&gt;0,Q72&lt;&gt;0),(Q72-(Q72/Q96))+(R70/R$10),
IF(Q96&lt;1,0,(Q72-(Q72/Q96))))))</f>
        <v>0</v>
      </c>
      <c r="S72" s="1423">
        <f t="shared" ref="S72" ca="1" si="60">IF(AND(S70=0,R72=0),0,
IF(AND(S70&lt;&gt;0,R72=0),(S70/S$10),
IF(AND(S71&lt;&gt;0,R72&lt;&gt;0),(R72-(R72/R96))+(S70/S$10),
IF(R96&lt;1,0,(R72-(R72/R96))))))</f>
        <v>0</v>
      </c>
      <c r="T72" s="1423">
        <f t="shared" ref="T72" ca="1" si="61">IF(AND(T70=0,S72=0),0,
IF(AND(T70&lt;&gt;0,S72=0),(T70/T$10),
IF(AND(T71&lt;&gt;0,S72&lt;&gt;0),(S72-(S72/S96))+(T70/T$10),
IF(S96&lt;1,0,(S72-(S72/S96))))))</f>
        <v>0</v>
      </c>
      <c r="U72" s="1423">
        <f t="shared" ref="U72" ca="1" si="62">IF(AND(U70=0,T72=0),0,
IF(AND(U70&lt;&gt;0,T72=0),(U70/U$10),
IF(AND(U71&lt;&gt;0,T72&lt;&gt;0),(T72-(T72/T96))+(U70/U$10),
IF(T96&lt;1,0,(T72-(T72/T96))))))</f>
        <v>0</v>
      </c>
      <c r="V72" s="1423">
        <f t="shared" ref="V72" ca="1" si="63">IF(AND(V70=0,U72=0),0,
IF(AND(V70&lt;&gt;0,U72=0),(V70/V$10),
IF(AND(V71&lt;&gt;0,U72&lt;&gt;0),(U72-(U72/U96))+(V70/V$10),
IF(U96&lt;1,0,(U72-(U72/U96))))))</f>
        <v>0</v>
      </c>
      <c r="W72" s="1423">
        <f t="shared" ref="W72" ca="1" si="64">IF(AND(W70=0,V72=0),0,
IF(AND(W70&lt;&gt;0,V72=0),(W70/W$10),
IF(AND(W71&lt;&gt;0,V72&lt;&gt;0),(V72-(V72/V96))+(W70/W$10),
IF(V96&lt;1,0,(V72-(V72/V96))))))</f>
        <v>0</v>
      </c>
      <c r="X72" s="152"/>
      <c r="Y72" s="152"/>
      <c r="Z72" s="152"/>
      <c r="AA72" s="152"/>
      <c r="AB72" s="152"/>
    </row>
    <row r="73" spans="1:28" hidden="1" outlineLevel="1">
      <c r="A73" s="199">
        <f>A72+1</f>
        <v>0</v>
      </c>
      <c r="B73" s="190" t="s">
        <v>125</v>
      </c>
      <c r="C73" s="1423">
        <f ca="1">C68/C$10</f>
        <v>74.835251396459029</v>
      </c>
      <c r="D73" s="1423">
        <f ca="1">IF(C97="n/a",C73,IFERROR(IF((OFFSET($C73,0,$A73))&lt;0,
MIN(0,C73-(OFFSET($C73,0,$A73)/(OFFSET($C68,-$A72,$A73)))),
MAX(0,C73-(OFFSET($C73,0,$A73)/(OFFSET($C68,-$A72,$A73))))),0))</f>
        <v>72.964370111547552</v>
      </c>
      <c r="E73" s="1423">
        <f t="shared" ref="E73" ca="1" si="65">IF(D97="n/a",D73,IFERROR(IF((OFFSET($C73,0,$A73))&lt;0,
MIN(0,D73-(OFFSET($C73,0,$A73)/(OFFSET($C68,-$A72,$A73)))),
MAX(0,D73-(OFFSET($C73,0,$A73)/(OFFSET($C68,-$A72,$A73))))),0))</f>
        <v>71.093488826636076</v>
      </c>
      <c r="F73" s="1423">
        <f t="shared" ref="F73:F74" ca="1" si="66">IF(E97="n/a",E73,IFERROR(IF((OFFSET($C73,0,$A73))&lt;0,
MIN(0,E73-(OFFSET($C73,0,$A73)/(OFFSET($C68,-$A72,$A73)))),
MAX(0,E73-(OFFSET($C73,0,$A73)/(OFFSET($C68,-$A72,$A73))))),0))</f>
        <v>69.222607541724599</v>
      </c>
      <c r="G73" s="1423">
        <f t="shared" ref="G73:G75" ca="1" si="67">IF(F97="n/a",F73,IFERROR(IF((OFFSET($C73,0,$A73))&lt;0,
MIN(0,F73-(OFFSET($C73,0,$A73)/(OFFSET($C68,-$A72,$A73)))),
MAX(0,F73-(OFFSET($C73,0,$A73)/(OFFSET($C68,-$A72,$A73))))),0))</f>
        <v>67.351726256813123</v>
      </c>
      <c r="H73" s="1423">
        <f t="shared" ref="H73:H76" ca="1" si="68">IF(G97="n/a",G73,IFERROR(IF((OFFSET($C73,0,$A73))&lt;0,
MIN(0,G73-(OFFSET($C73,0,$A73)/(OFFSET($C68,-$A72,$A73)))),
MAX(0,G73-(OFFSET($C73,0,$A73)/(OFFSET($C68,-$A72,$A73))))),0))</f>
        <v>65.480844971901647</v>
      </c>
      <c r="I73" s="1423">
        <f t="shared" ref="I73:I77" ca="1" si="69">IF(H97="n/a",H73,IFERROR(IF((OFFSET($C73,0,$A73))&lt;0,
MIN(0,H73-(OFFSET($C73,0,$A73)/(OFFSET($C68,-$A72,$A73)))),
MAX(0,H73-(OFFSET($C73,0,$A73)/(OFFSET($C68,-$A72,$A73))))),0))</f>
        <v>63.60996368699017</v>
      </c>
      <c r="J73" s="1423">
        <f t="shared" ref="J73:J78" ca="1" si="70">IF(I97="n/a",I73,IFERROR(IF((OFFSET($C73,0,$A73))&lt;0,
MIN(0,I73-(OFFSET($C73,0,$A73)/(OFFSET($C68,-$A72,$A73)))),
MAX(0,I73-(OFFSET($C73,0,$A73)/(OFFSET($C68,-$A72,$A73))))),0))</f>
        <v>61.739082402078694</v>
      </c>
      <c r="K73" s="1423">
        <f t="shared" ref="K73:K79" ca="1" si="71">IF(J97="n/a",J73,IFERROR(IF((OFFSET($C73,0,$A73))&lt;0,
MIN(0,J73-(OFFSET($C73,0,$A73)/(OFFSET($C68,-$A72,$A73)))),
MAX(0,J73-(OFFSET($C73,0,$A73)/(OFFSET($C68,-$A72,$A73))))),0))</f>
        <v>59.868201117167217</v>
      </c>
      <c r="L73" s="1423">
        <f t="shared" ref="L73:L80" ca="1" si="72">IF(K97="n/a",K73,IFERROR(IF((OFFSET($C73,0,$A73))&lt;0,
MIN(0,K73-(OFFSET($C73,0,$A73)/(OFFSET($C68,-$A72,$A73)))),
MAX(0,K73-(OFFSET($C73,0,$A73)/(OFFSET($C68,-$A72,$A73))))),0))</f>
        <v>57.997319832255741</v>
      </c>
      <c r="M73" s="1423">
        <f t="shared" ref="M73:M81" ca="1" si="73">IF(L97="n/a",L73,IFERROR(IF((OFFSET($C73,0,$A73))&lt;0,
MIN(0,L73-(OFFSET($C73,0,$A73)/(OFFSET($C68,-$A72,$A73)))),
MAX(0,L73-(OFFSET($C73,0,$A73)/(OFFSET($C68,-$A72,$A73))))),0))</f>
        <v>56.126438547344264</v>
      </c>
      <c r="N73" s="1423">
        <f t="shared" ref="N73:N82" ca="1" si="74">IF(M97="n/a",M73,IFERROR(IF((OFFSET($C73,0,$A73))&lt;0,
MIN(0,M73-(OFFSET($C73,0,$A73)/(OFFSET($C68,-$A72,$A73)))),
MAX(0,M73-(OFFSET($C73,0,$A73)/(OFFSET($C68,-$A72,$A73))))),0))</f>
        <v>54.255557262432788</v>
      </c>
      <c r="O73" s="1423">
        <f t="shared" ref="O73:O83" ca="1" si="75">IF(N97="n/a",N73,IFERROR(IF((OFFSET($C73,0,$A73))&lt;0,
MIN(0,N73-(OFFSET($C73,0,$A73)/(OFFSET($C68,-$A72,$A73)))),
MAX(0,N73-(OFFSET($C73,0,$A73)/(OFFSET($C68,-$A72,$A73))))),0))</f>
        <v>52.384675977521312</v>
      </c>
      <c r="P73" s="1423">
        <f t="shared" ref="P73:P84" ca="1" si="76">IF(O97="n/a",O73,IFERROR(IF((OFFSET($C73,0,$A73))&lt;0,
MIN(0,O73-(OFFSET($C73,0,$A73)/(OFFSET($C68,-$A72,$A73)))),
MAX(0,O73-(OFFSET($C73,0,$A73)/(OFFSET($C68,-$A72,$A73))))),0))</f>
        <v>50.513794692609835</v>
      </c>
      <c r="Q73" s="1423">
        <f t="shared" ref="Q73:Q85" ca="1" si="77">IF(P97="n/a",P73,IFERROR(IF((OFFSET($C73,0,$A73))&lt;0,
MIN(0,P73-(OFFSET($C73,0,$A73)/(OFFSET($C68,-$A72,$A73)))),
MAX(0,P73-(OFFSET($C73,0,$A73)/(OFFSET($C68,-$A72,$A73))))),0))</f>
        <v>48.642913407698359</v>
      </c>
      <c r="R73" s="1423">
        <f t="shared" ref="R73:R86" ca="1" si="78">IF(Q97="n/a",Q73,IFERROR(IF((OFFSET($C73,0,$A73))&lt;0,
MIN(0,Q73-(OFFSET($C73,0,$A73)/(OFFSET($C68,-$A72,$A73)))),
MAX(0,Q73-(OFFSET($C73,0,$A73)/(OFFSET($C68,-$A72,$A73))))),0))</f>
        <v>46.772032122786882</v>
      </c>
      <c r="S73" s="1423">
        <f t="shared" ref="S73:S87" ca="1" si="79">IF(R97="n/a",R73,IFERROR(IF((OFFSET($C73,0,$A73))&lt;0,
MIN(0,R73-(OFFSET($C73,0,$A73)/(OFFSET($C68,-$A72,$A73)))),
MAX(0,R73-(OFFSET($C73,0,$A73)/(OFFSET($C68,-$A72,$A73))))),0))</f>
        <v>44.901150837875406</v>
      </c>
      <c r="T73" s="1423">
        <f t="shared" ref="T73:T88" ca="1" si="80">IF(S97="n/a",S73,IFERROR(IF((OFFSET($C73,0,$A73))&lt;0,
MIN(0,S73-(OFFSET($C73,0,$A73)/(OFFSET($C68,-$A72,$A73)))),
MAX(0,S73-(OFFSET($C73,0,$A73)/(OFFSET($C68,-$A72,$A73))))),0))</f>
        <v>43.030269552963929</v>
      </c>
      <c r="U73" s="1423">
        <f t="shared" ref="U73:U89" ca="1" si="81">IF(T97="n/a",T73,IFERROR(IF((OFFSET($C73,0,$A73))&lt;0,
MIN(0,T73-(OFFSET($C73,0,$A73)/(OFFSET($C68,-$A72,$A73)))),
MAX(0,T73-(OFFSET($C73,0,$A73)/(OFFSET($C68,-$A72,$A73))))),0))</f>
        <v>41.159388268052453</v>
      </c>
      <c r="V73" s="1423">
        <f t="shared" ref="V73:V90" ca="1" si="82">IF(U97="n/a",U73,IFERROR(IF((OFFSET($C73,0,$A73))&lt;0,
MIN(0,U73-(OFFSET($C73,0,$A73)/(OFFSET($C68,-$A72,$A73)))),
MAX(0,U73-(OFFSET($C73,0,$A73)/(OFFSET($C68,-$A72,$A73))))),0))</f>
        <v>39.288506983140977</v>
      </c>
      <c r="W73" s="1423">
        <f t="shared" ref="W73:W91" ca="1" si="83">IF(V97="n/a",V73,IFERROR(IF((OFFSET($C73,0,$A73))&lt;0,
MIN(0,V73-(OFFSET($C73,0,$A73)/(OFFSET($C68,-$A72,$A73)))),
MAX(0,V73-(OFFSET($C73,0,$A73)/(OFFSET($C68,-$A72,$A73))))),0))</f>
        <v>37.4176256982295</v>
      </c>
      <c r="X73" s="152"/>
      <c r="Y73" s="152"/>
      <c r="Z73" s="152"/>
      <c r="AA73" s="152"/>
      <c r="AB73" s="152"/>
    </row>
    <row r="74" spans="1:28" hidden="1" outlineLevel="1">
      <c r="A74" s="199">
        <f t="shared" ref="A74:A93" si="84">A73+1</f>
        <v>1</v>
      </c>
      <c r="B74" s="190" t="str">
        <f t="shared" ref="B74:B92" ca="1" si="85">"Depreciated Net Capex "&amp;OFFSET($C$6,0,A74)</f>
        <v>Depreciated Net Capex 2016-17</v>
      </c>
      <c r="C74" s="1424"/>
      <c r="D74" s="1425">
        <f>(D68*((1+D$11)^0.5)/D$10)</f>
        <v>5.1434885141344671</v>
      </c>
      <c r="E74" s="1423">
        <f ca="1">IF(D98="n/a",D74,IFERROR(IF((OFFSET($C74,0,$A74))&lt;0,
MIN(0,D74-(OFFSET($C74,0,$A74)/(OFFSET($C69,-$A73,$A74)))),
MAX(0,D74-(OFFSET($C74,0,$A74)/(OFFSET($C69,-$A73,$A74))))),0))</f>
        <v>5.014901301281105</v>
      </c>
      <c r="F74" s="1423">
        <f t="shared" ca="1" si="66"/>
        <v>4.886314088427743</v>
      </c>
      <c r="G74" s="1423">
        <f t="shared" ca="1" si="67"/>
        <v>4.7577268755743809</v>
      </c>
      <c r="H74" s="1423">
        <f t="shared" ca="1" si="68"/>
        <v>4.6291396627210188</v>
      </c>
      <c r="I74" s="1423">
        <f t="shared" ca="1" si="69"/>
        <v>4.5005524498676568</v>
      </c>
      <c r="J74" s="1423">
        <f t="shared" ca="1" si="70"/>
        <v>4.3719652370142947</v>
      </c>
      <c r="K74" s="1423">
        <f t="shared" ca="1" si="71"/>
        <v>4.2433780241609327</v>
      </c>
      <c r="L74" s="1423">
        <f t="shared" ca="1" si="72"/>
        <v>4.1147908113075706</v>
      </c>
      <c r="M74" s="1423">
        <f t="shared" ca="1" si="73"/>
        <v>3.986203598454209</v>
      </c>
      <c r="N74" s="1423">
        <f t="shared" ca="1" si="74"/>
        <v>3.8576163856008474</v>
      </c>
      <c r="O74" s="1423">
        <f t="shared" ca="1" si="75"/>
        <v>3.7290291727474858</v>
      </c>
      <c r="P74" s="1423">
        <f t="shared" ca="1" si="76"/>
        <v>3.6004419598941242</v>
      </c>
      <c r="Q74" s="1423">
        <f t="shared" ca="1" si="77"/>
        <v>3.4718547470407626</v>
      </c>
      <c r="R74" s="1423">
        <f t="shared" ca="1" si="78"/>
        <v>3.343267534187401</v>
      </c>
      <c r="S74" s="1423">
        <f t="shared" ca="1" si="79"/>
        <v>3.2146803213340394</v>
      </c>
      <c r="T74" s="1423">
        <f t="shared" ca="1" si="80"/>
        <v>3.0860931084806777</v>
      </c>
      <c r="U74" s="1423">
        <f t="shared" ca="1" si="81"/>
        <v>2.9575058956273161</v>
      </c>
      <c r="V74" s="1423">
        <f t="shared" ca="1" si="82"/>
        <v>2.8289186827739545</v>
      </c>
      <c r="W74" s="1423">
        <f t="shared" ca="1" si="83"/>
        <v>2.7003314699205929</v>
      </c>
      <c r="X74" s="152"/>
      <c r="Y74" s="152"/>
      <c r="Z74" s="152"/>
      <c r="AA74" s="152"/>
      <c r="AB74" s="152"/>
    </row>
    <row r="75" spans="1:28" hidden="1" outlineLevel="1">
      <c r="A75" s="199">
        <f t="shared" si="84"/>
        <v>2</v>
      </c>
      <c r="B75" s="190" t="str">
        <f t="shared" ca="1" si="85"/>
        <v>Depreciated Net Capex 2017-18</v>
      </c>
      <c r="C75" s="1426"/>
      <c r="D75" s="1427"/>
      <c r="E75" s="1425">
        <f>(E68*((1+E$11)^0.5)/E$10)</f>
        <v>5.4542792640673419</v>
      </c>
      <c r="F75" s="1423">
        <f ca="1">IF(E99="n/a",E75,IFERROR(IF((OFFSET($C75,0,$A75))&lt;0,
MIN(0,E75-(OFFSET($C75,0,$A75)/(OFFSET($C70,-$A74,$A75)))),
MAX(0,E75-(OFFSET($C75,0,$A75)/(OFFSET($C70,-$A74,$A75))))),0))</f>
        <v>5.3179222824656582</v>
      </c>
      <c r="G75" s="1423">
        <f t="shared" ca="1" si="67"/>
        <v>5.1815653008639746</v>
      </c>
      <c r="H75" s="1423">
        <f t="shared" ca="1" si="68"/>
        <v>5.045208319262291</v>
      </c>
      <c r="I75" s="1423">
        <f t="shared" ca="1" si="69"/>
        <v>4.9088513376606073</v>
      </c>
      <c r="J75" s="1423">
        <f t="shared" ca="1" si="70"/>
        <v>4.7724943560589237</v>
      </c>
      <c r="K75" s="1423">
        <f t="shared" ca="1" si="71"/>
        <v>4.6361373744572401</v>
      </c>
      <c r="L75" s="1423">
        <f t="shared" ca="1" si="72"/>
        <v>4.4997803928555564</v>
      </c>
      <c r="M75" s="1423">
        <f t="shared" ca="1" si="73"/>
        <v>4.3634234112538728</v>
      </c>
      <c r="N75" s="1423">
        <f t="shared" ca="1" si="74"/>
        <v>4.2270664296521892</v>
      </c>
      <c r="O75" s="1423">
        <f t="shared" ca="1" si="75"/>
        <v>4.0907094480505055</v>
      </c>
      <c r="P75" s="1423">
        <f t="shared" ca="1" si="76"/>
        <v>3.9543524664488219</v>
      </c>
      <c r="Q75" s="1423">
        <f t="shared" ca="1" si="77"/>
        <v>3.8179954848471382</v>
      </c>
      <c r="R75" s="1423">
        <f t="shared" ca="1" si="78"/>
        <v>3.6816385032454546</v>
      </c>
      <c r="S75" s="1423">
        <f t="shared" ca="1" si="79"/>
        <v>3.545281521643771</v>
      </c>
      <c r="T75" s="1423">
        <f t="shared" ca="1" si="80"/>
        <v>3.4089245400420873</v>
      </c>
      <c r="U75" s="1423">
        <f t="shared" ca="1" si="81"/>
        <v>3.2725675584404037</v>
      </c>
      <c r="V75" s="1423">
        <f t="shared" ca="1" si="82"/>
        <v>3.1362105768387201</v>
      </c>
      <c r="W75" s="1423">
        <f t="shared" ca="1" si="83"/>
        <v>2.9998535952370364</v>
      </c>
      <c r="X75" s="202"/>
      <c r="Y75" s="152"/>
      <c r="Z75" s="152"/>
      <c r="AA75" s="152"/>
      <c r="AB75" s="152"/>
    </row>
    <row r="76" spans="1:28" hidden="1" outlineLevel="1">
      <c r="A76" s="199">
        <f t="shared" si="84"/>
        <v>3</v>
      </c>
      <c r="B76" s="190" t="str">
        <f t="shared" ca="1" si="85"/>
        <v>Depreciated Net Capex 2018-19</v>
      </c>
      <c r="C76" s="1426"/>
      <c r="D76" s="1426"/>
      <c r="E76" s="1427"/>
      <c r="F76" s="1428">
        <f>($F68*((1+F$11)^0.5)/F$10)</f>
        <v>5.7296990765669324</v>
      </c>
      <c r="G76" s="1423">
        <f ca="1">IF(F100="n/a",F76,IFERROR(IF((OFFSET($C76,0,$A76))&lt;0,
MIN(0,F76-(OFFSET($C76,0,$A76)/(OFFSET($C71,-$A75,$A76)))),
MAX(0,F76-(OFFSET($C76,0,$A76)/(OFFSET($C71,-$A75,$A76))))),0))</f>
        <v>5.5864565996527595</v>
      </c>
      <c r="H76" s="1423">
        <f t="shared" ca="1" si="68"/>
        <v>5.4432141227385866</v>
      </c>
      <c r="I76" s="1423">
        <f t="shared" ca="1" si="69"/>
        <v>5.2999716458244137</v>
      </c>
      <c r="J76" s="1423">
        <f t="shared" ca="1" si="70"/>
        <v>5.1567291689102408</v>
      </c>
      <c r="K76" s="1423">
        <f t="shared" ca="1" si="71"/>
        <v>5.0134866919960679</v>
      </c>
      <c r="L76" s="1423">
        <f t="shared" ca="1" si="72"/>
        <v>4.870244215081895</v>
      </c>
      <c r="M76" s="1423">
        <f t="shared" ca="1" si="73"/>
        <v>4.7270017381677221</v>
      </c>
      <c r="N76" s="1423">
        <f t="shared" ca="1" si="74"/>
        <v>4.5837592612535492</v>
      </c>
      <c r="O76" s="1423">
        <f t="shared" ca="1" si="75"/>
        <v>4.4405167843393762</v>
      </c>
      <c r="P76" s="1423">
        <f t="shared" ca="1" si="76"/>
        <v>4.2972743074252033</v>
      </c>
      <c r="Q76" s="1423">
        <f t="shared" ca="1" si="77"/>
        <v>4.1540318305110304</v>
      </c>
      <c r="R76" s="1423">
        <f t="shared" ca="1" si="78"/>
        <v>4.0107893535968575</v>
      </c>
      <c r="S76" s="1423">
        <f t="shared" ca="1" si="79"/>
        <v>3.8675468766826842</v>
      </c>
      <c r="T76" s="1423">
        <f t="shared" ca="1" si="80"/>
        <v>3.7243043997685108</v>
      </c>
      <c r="U76" s="1423">
        <f t="shared" ca="1" si="81"/>
        <v>3.5810619228543374</v>
      </c>
      <c r="V76" s="1423">
        <f t="shared" ca="1" si="82"/>
        <v>3.4378194459401641</v>
      </c>
      <c r="W76" s="1423">
        <f t="shared" ca="1" si="83"/>
        <v>3.2945769690259907</v>
      </c>
      <c r="X76" s="202"/>
      <c r="Y76" s="202"/>
      <c r="Z76" s="152"/>
      <c r="AA76" s="152"/>
      <c r="AB76" s="152"/>
    </row>
    <row r="77" spans="1:28" hidden="1" outlineLevel="1">
      <c r="A77" s="199">
        <f t="shared" si="84"/>
        <v>4</v>
      </c>
      <c r="B77" s="190" t="str">
        <f t="shared" ca="1" si="85"/>
        <v>Depreciated Net Capex 2019-20</v>
      </c>
      <c r="C77" s="1426"/>
      <c r="D77" s="1426"/>
      <c r="E77" s="1426"/>
      <c r="F77" s="1427"/>
      <c r="G77" s="1428">
        <f>($G68*((1+G$11)^0.5)/G$10)</f>
        <v>4.9819277899499577</v>
      </c>
      <c r="H77" s="1423">
        <f ca="1">IF(G101="n/a",G77,IFERROR(IF((OFFSET($C77,0,$A77))&lt;0,
MIN(0,G77-(OFFSET($C77,0,$A77)/(OFFSET($C72,-$A76,$A77)))),
MAX(0,G77-(OFFSET($C77,0,$A77)/(OFFSET($C72,-$A76,$A77))))),0))</f>
        <v>4.8573795952012091</v>
      </c>
      <c r="I77" s="1423">
        <f t="shared" ca="1" si="69"/>
        <v>4.7328314004524605</v>
      </c>
      <c r="J77" s="1423">
        <f t="shared" ca="1" si="70"/>
        <v>4.608283205703712</v>
      </c>
      <c r="K77" s="1423">
        <f t="shared" ca="1" si="71"/>
        <v>4.4837350109549634</v>
      </c>
      <c r="L77" s="1423">
        <f t="shared" ca="1" si="72"/>
        <v>4.3591868162062148</v>
      </c>
      <c r="M77" s="1423">
        <f t="shared" ca="1" si="73"/>
        <v>4.2346386214574663</v>
      </c>
      <c r="N77" s="1423">
        <f t="shared" ca="1" si="74"/>
        <v>4.1100904267087177</v>
      </c>
      <c r="O77" s="1423">
        <f t="shared" ca="1" si="75"/>
        <v>3.9855422319599687</v>
      </c>
      <c r="P77" s="1423">
        <f t="shared" ca="1" si="76"/>
        <v>3.8609940372112197</v>
      </c>
      <c r="Q77" s="1423">
        <f t="shared" ca="1" si="77"/>
        <v>3.7364458424624707</v>
      </c>
      <c r="R77" s="1423">
        <f t="shared" ca="1" si="78"/>
        <v>3.6118976477137217</v>
      </c>
      <c r="S77" s="1423">
        <f t="shared" ca="1" si="79"/>
        <v>3.4873494529649727</v>
      </c>
      <c r="T77" s="1423">
        <f t="shared" ca="1" si="80"/>
        <v>3.3628012582162237</v>
      </c>
      <c r="U77" s="1423">
        <f t="shared" ca="1" si="81"/>
        <v>3.2382530634674747</v>
      </c>
      <c r="V77" s="1423">
        <f t="shared" ca="1" si="82"/>
        <v>3.1137048687187256</v>
      </c>
      <c r="W77" s="1423">
        <f t="shared" ca="1" si="83"/>
        <v>2.9891566739699766</v>
      </c>
      <c r="X77" s="202"/>
      <c r="Y77" s="202"/>
      <c r="Z77" s="202"/>
      <c r="AA77" s="152"/>
      <c r="AB77" s="152"/>
    </row>
    <row r="78" spans="1:28" hidden="1" outlineLevel="1">
      <c r="A78" s="199">
        <f t="shared" si="84"/>
        <v>5</v>
      </c>
      <c r="B78" s="190" t="str">
        <f t="shared" ca="1" si="85"/>
        <v>Depreciated Net Capex 2020-21</v>
      </c>
      <c r="C78" s="1426"/>
      <c r="D78" s="1426"/>
      <c r="E78" s="1426"/>
      <c r="F78" s="1426"/>
      <c r="G78" s="1427"/>
      <c r="H78" s="1428">
        <f>(H68*((1+H$11)^0.5)/H$10)</f>
        <v>5.4954616937410501</v>
      </c>
      <c r="I78" s="1423">
        <f ca="1">IF(H102="n/a",H78,IFERROR(IF((OFFSET($C78,0,$A78))&lt;0,
MIN(0,H78-(OFFSET($C78,0,$A78)/(OFFSET($C73,-$A77,$A78)))),
MAX(0,H78-(OFFSET($C78,0,$A78)/(OFFSET($C73,-$A77,$A78))))),0))</f>
        <v>5.3580751513975242</v>
      </c>
      <c r="J78" s="1423">
        <f t="shared" ca="1" si="70"/>
        <v>5.2206886090539983</v>
      </c>
      <c r="K78" s="1423">
        <f t="shared" ca="1" si="71"/>
        <v>5.0833020667104725</v>
      </c>
      <c r="L78" s="1423">
        <f t="shared" ca="1" si="72"/>
        <v>4.9459155243669466</v>
      </c>
      <c r="M78" s="1423">
        <f t="shared" ca="1" si="73"/>
        <v>4.8085289820234207</v>
      </c>
      <c r="N78" s="1423">
        <f t="shared" ca="1" si="74"/>
        <v>4.6711424396798948</v>
      </c>
      <c r="O78" s="1423">
        <f t="shared" ca="1" si="75"/>
        <v>4.533755897336369</v>
      </c>
      <c r="P78" s="1423">
        <f t="shared" ca="1" si="76"/>
        <v>4.3963693549928431</v>
      </c>
      <c r="Q78" s="1423">
        <f t="shared" ca="1" si="77"/>
        <v>4.2589828126493172</v>
      </c>
      <c r="R78" s="1423">
        <f t="shared" ca="1" si="78"/>
        <v>4.1215962703057913</v>
      </c>
      <c r="S78" s="1423">
        <f t="shared" ca="1" si="79"/>
        <v>3.984209727962265</v>
      </c>
      <c r="T78" s="1423">
        <f t="shared" ca="1" si="80"/>
        <v>3.8468231856187387</v>
      </c>
      <c r="U78" s="1423">
        <f t="shared" ca="1" si="81"/>
        <v>3.7094366432752124</v>
      </c>
      <c r="V78" s="1423">
        <f t="shared" ca="1" si="82"/>
        <v>3.5720501009316861</v>
      </c>
      <c r="W78" s="1423">
        <f t="shared" ca="1" si="83"/>
        <v>3.4346635585881597</v>
      </c>
      <c r="X78" s="202"/>
      <c r="Y78" s="202"/>
      <c r="Z78" s="202"/>
      <c r="AA78" s="152"/>
      <c r="AB78" s="152"/>
    </row>
    <row r="79" spans="1:28" hidden="1" outlineLevel="1">
      <c r="A79" s="199">
        <f t="shared" si="84"/>
        <v>6</v>
      </c>
      <c r="B79" s="190" t="str">
        <f t="shared" ca="1" si="85"/>
        <v>Depreciated Net Capex 2021-22</v>
      </c>
      <c r="C79" s="1426"/>
      <c r="D79" s="1426"/>
      <c r="E79" s="1426"/>
      <c r="F79" s="1426"/>
      <c r="G79" s="1426"/>
      <c r="H79" s="1427"/>
      <c r="I79" s="1428">
        <f>(I68*((1+I$11)^0.5)/I$10)</f>
        <v>4.2931363715738078</v>
      </c>
      <c r="J79" s="1423">
        <f ca="1">IF(I103="n/a",I79,IFERROR(IF((OFFSET($C79,0,$A79))&lt;0,
MIN(0,I79-(OFFSET($C79,0,$A79)/(OFFSET($C74,-$A78,$A79)))),
MAX(0,I79-(OFFSET($C79,0,$A79)/(OFFSET($C74,-$A78,$A79))))),0))</f>
        <v>4.1858079622844624</v>
      </c>
      <c r="K79" s="1423">
        <f t="shared" ca="1" si="71"/>
        <v>4.078479552995117</v>
      </c>
      <c r="L79" s="1423">
        <f t="shared" ca="1" si="72"/>
        <v>3.9711511437057716</v>
      </c>
      <c r="M79" s="1423">
        <f t="shared" ca="1" si="73"/>
        <v>3.8638227344164262</v>
      </c>
      <c r="N79" s="1423">
        <f t="shared" ca="1" si="74"/>
        <v>3.7564943251270808</v>
      </c>
      <c r="O79" s="1423">
        <f t="shared" ca="1" si="75"/>
        <v>3.6491659158377354</v>
      </c>
      <c r="P79" s="1423">
        <f t="shared" ca="1" si="76"/>
        <v>3.54183750654839</v>
      </c>
      <c r="Q79" s="1423">
        <f t="shared" ca="1" si="77"/>
        <v>3.4345090972590446</v>
      </c>
      <c r="R79" s="1423">
        <f t="shared" ca="1" si="78"/>
        <v>3.3271806879696992</v>
      </c>
      <c r="S79" s="1423">
        <f t="shared" ca="1" si="79"/>
        <v>3.2198522786803538</v>
      </c>
      <c r="T79" s="1423">
        <f t="shared" ca="1" si="80"/>
        <v>3.1125238693910084</v>
      </c>
      <c r="U79" s="1423">
        <f t="shared" ca="1" si="81"/>
        <v>3.0051954601016631</v>
      </c>
      <c r="V79" s="1423">
        <f t="shared" ca="1" si="82"/>
        <v>2.8978670508123177</v>
      </c>
      <c r="W79" s="1423">
        <f t="shared" ca="1" si="83"/>
        <v>2.7905386415229723</v>
      </c>
      <c r="X79" s="202"/>
      <c r="Y79" s="202"/>
      <c r="Z79" s="202"/>
      <c r="AA79" s="152"/>
      <c r="AB79" s="152"/>
    </row>
    <row r="80" spans="1:28" hidden="1" outlineLevel="1">
      <c r="A80" s="199">
        <f t="shared" si="84"/>
        <v>7</v>
      </c>
      <c r="B80" s="190" t="str">
        <f t="shared" ca="1" si="85"/>
        <v>Depreciated Net Capex 2022-23</v>
      </c>
      <c r="C80" s="1426"/>
      <c r="D80" s="1426"/>
      <c r="E80" s="1426"/>
      <c r="F80" s="1426"/>
      <c r="G80" s="1426"/>
      <c r="H80" s="1426"/>
      <c r="I80" s="1427"/>
      <c r="J80" s="1428">
        <f>(J68*((1+J$11)^0.5)/J$10)</f>
        <v>2.5486628112100562</v>
      </c>
      <c r="K80" s="1423">
        <f ca="1">IF(J104="n/a",J80,IFERROR(IF((OFFSET($C80,0,$A80))&lt;0,
MIN(0,J80-(OFFSET($C80,0,$A80)/(OFFSET($C75,-$A79,$A80)))),
MAX(0,J80-(OFFSET($C80,0,$A80)/(OFFSET($C75,-$A79,$A80))))),0))</f>
        <v>2.4849462409298049</v>
      </c>
      <c r="L80" s="1423">
        <f t="shared" ca="1" si="72"/>
        <v>2.4212296706495535</v>
      </c>
      <c r="M80" s="1423">
        <f t="shared" ca="1" si="73"/>
        <v>2.3575131003693022</v>
      </c>
      <c r="N80" s="1423">
        <f t="shared" ca="1" si="74"/>
        <v>2.2937965300890508</v>
      </c>
      <c r="O80" s="1423">
        <f t="shared" ca="1" si="75"/>
        <v>2.2300799598087995</v>
      </c>
      <c r="P80" s="1423">
        <f t="shared" ca="1" si="76"/>
        <v>2.1663633895285481</v>
      </c>
      <c r="Q80" s="1423">
        <f t="shared" ca="1" si="77"/>
        <v>2.1026468192482968</v>
      </c>
      <c r="R80" s="1423">
        <f t="shared" ca="1" si="78"/>
        <v>2.0389302489680454</v>
      </c>
      <c r="S80" s="1423">
        <f t="shared" ca="1" si="79"/>
        <v>1.9752136786877941</v>
      </c>
      <c r="T80" s="1423">
        <f t="shared" ca="1" si="80"/>
        <v>1.9114971084075427</v>
      </c>
      <c r="U80" s="1423">
        <f t="shared" ca="1" si="81"/>
        <v>1.8477805381272914</v>
      </c>
      <c r="V80" s="1423">
        <f t="shared" ca="1" si="82"/>
        <v>1.78406396784704</v>
      </c>
      <c r="W80" s="1423">
        <f t="shared" ca="1" si="83"/>
        <v>1.7203473975667887</v>
      </c>
      <c r="X80" s="202"/>
      <c r="Y80" s="202"/>
      <c r="Z80" s="202"/>
      <c r="AA80" s="152"/>
      <c r="AB80" s="152"/>
    </row>
    <row r="81" spans="1:28" hidden="1" outlineLevel="1">
      <c r="A81" s="199">
        <f t="shared" si="84"/>
        <v>8</v>
      </c>
      <c r="B81" s="190" t="str">
        <f t="shared" ca="1" si="85"/>
        <v>Depreciated Net Capex 2023-24</v>
      </c>
      <c r="C81" s="1426"/>
      <c r="D81" s="1426"/>
      <c r="E81" s="1426"/>
      <c r="F81" s="1426"/>
      <c r="G81" s="1426"/>
      <c r="H81" s="1426"/>
      <c r="I81" s="1426"/>
      <c r="J81" s="1427"/>
      <c r="K81" s="1428">
        <f>(K68*((1+K$11)^0.5)/K$10)</f>
        <v>0</v>
      </c>
      <c r="L81" s="1423">
        <f ca="1">IF(K105="n/a",K81,IFERROR(IF((OFFSET($C81,0,$A81))&lt;0,
MIN(0,K81-(OFFSET($C81,0,$A81)/(OFFSET($C76,-$A80,$A81)))),
MAX(0,K81-(OFFSET($C81,0,$A81)/(OFFSET($C76,-$A80,$A81))))),0))</f>
        <v>0</v>
      </c>
      <c r="M81" s="1423">
        <f t="shared" ca="1" si="73"/>
        <v>0</v>
      </c>
      <c r="N81" s="1423">
        <f t="shared" ca="1" si="74"/>
        <v>0</v>
      </c>
      <c r="O81" s="1423">
        <f t="shared" ca="1" si="75"/>
        <v>0</v>
      </c>
      <c r="P81" s="1423">
        <f t="shared" ca="1" si="76"/>
        <v>0</v>
      </c>
      <c r="Q81" s="1423">
        <f t="shared" ca="1" si="77"/>
        <v>0</v>
      </c>
      <c r="R81" s="1423">
        <f t="shared" ca="1" si="78"/>
        <v>0</v>
      </c>
      <c r="S81" s="1423">
        <f t="shared" ca="1" si="79"/>
        <v>0</v>
      </c>
      <c r="T81" s="1423">
        <f t="shared" ca="1" si="80"/>
        <v>0</v>
      </c>
      <c r="U81" s="1423">
        <f t="shared" ca="1" si="81"/>
        <v>0</v>
      </c>
      <c r="V81" s="1423">
        <f t="shared" ca="1" si="82"/>
        <v>0</v>
      </c>
      <c r="W81" s="1423">
        <f t="shared" ca="1" si="83"/>
        <v>0</v>
      </c>
      <c r="X81" s="202"/>
      <c r="Y81" s="202"/>
      <c r="Z81" s="202"/>
      <c r="AA81" s="152"/>
      <c r="AB81" s="152"/>
    </row>
    <row r="82" spans="1:28" hidden="1" outlineLevel="1">
      <c r="A82" s="199">
        <f t="shared" si="84"/>
        <v>9</v>
      </c>
      <c r="B82" s="190" t="str">
        <f t="shared" ca="1" si="85"/>
        <v>Depreciated Net Capex 2024-25</v>
      </c>
      <c r="C82" s="1426"/>
      <c r="D82" s="1426"/>
      <c r="E82" s="1426"/>
      <c r="F82" s="1426"/>
      <c r="G82" s="1426"/>
      <c r="H82" s="1426"/>
      <c r="I82" s="1426"/>
      <c r="J82" s="1426"/>
      <c r="K82" s="1427"/>
      <c r="L82" s="1428">
        <f>(L68*((1+L$11)^0.5)/L$10)</f>
        <v>0</v>
      </c>
      <c r="M82" s="1423">
        <f ca="1">IF(L106="n/a",L82,IFERROR(IF((OFFSET($C82,0,$A82))&lt;0,
MIN(0,L82-(OFFSET($C82,0,$A82)/(OFFSET($C77,-$A81,$A82)))),
MAX(0,L82-(OFFSET($C82,0,$A82)/(OFFSET($C77,-$A81,$A82))))),0))</f>
        <v>0</v>
      </c>
      <c r="N82" s="1423">
        <f t="shared" ca="1" si="74"/>
        <v>0</v>
      </c>
      <c r="O82" s="1423">
        <f t="shared" ca="1" si="75"/>
        <v>0</v>
      </c>
      <c r="P82" s="1423">
        <f t="shared" ca="1" si="76"/>
        <v>0</v>
      </c>
      <c r="Q82" s="1423">
        <f t="shared" ca="1" si="77"/>
        <v>0</v>
      </c>
      <c r="R82" s="1423">
        <f t="shared" ca="1" si="78"/>
        <v>0</v>
      </c>
      <c r="S82" s="1423">
        <f t="shared" ca="1" si="79"/>
        <v>0</v>
      </c>
      <c r="T82" s="1423">
        <f t="shared" ca="1" si="80"/>
        <v>0</v>
      </c>
      <c r="U82" s="1423">
        <f t="shared" ca="1" si="81"/>
        <v>0</v>
      </c>
      <c r="V82" s="1423">
        <f t="shared" ca="1" si="82"/>
        <v>0</v>
      </c>
      <c r="W82" s="1423">
        <f t="shared" ca="1" si="83"/>
        <v>0</v>
      </c>
      <c r="X82" s="202"/>
      <c r="Y82" s="202"/>
      <c r="Z82" s="202"/>
      <c r="AA82" s="152"/>
      <c r="AB82" s="152"/>
    </row>
    <row r="83" spans="1:28" hidden="1" outlineLevel="1">
      <c r="A83" s="199">
        <f t="shared" si="84"/>
        <v>10</v>
      </c>
      <c r="B83" s="190" t="str">
        <f t="shared" ca="1" si="85"/>
        <v>Depreciated Net Capex 2025-26</v>
      </c>
      <c r="C83" s="1426"/>
      <c r="D83" s="1426"/>
      <c r="E83" s="1426"/>
      <c r="F83" s="1426"/>
      <c r="G83" s="1426"/>
      <c r="H83" s="1426"/>
      <c r="I83" s="1426"/>
      <c r="J83" s="1426"/>
      <c r="K83" s="1426"/>
      <c r="L83" s="1427"/>
      <c r="M83" s="1428">
        <f>(M68*((1+M$11)^0.5)/M$10)</f>
        <v>0</v>
      </c>
      <c r="N83" s="1423">
        <f ca="1">IF(M107="n/a",M83,IFERROR(IF((OFFSET($C83,0,$A83))&lt;0,
MIN(0,M83-(OFFSET($C83,0,$A83)/(OFFSET($C78,-$A82,$A83)))),
MAX(0,M83-(OFFSET($C83,0,$A83)/(OFFSET($C78,-$A82,$A83))))),0))</f>
        <v>0</v>
      </c>
      <c r="O83" s="1423">
        <f t="shared" ca="1" si="75"/>
        <v>0</v>
      </c>
      <c r="P83" s="1423">
        <f t="shared" ca="1" si="76"/>
        <v>0</v>
      </c>
      <c r="Q83" s="1423">
        <f t="shared" ca="1" si="77"/>
        <v>0</v>
      </c>
      <c r="R83" s="1423">
        <f t="shared" ca="1" si="78"/>
        <v>0</v>
      </c>
      <c r="S83" s="1423">
        <f t="shared" ca="1" si="79"/>
        <v>0</v>
      </c>
      <c r="T83" s="1423">
        <f t="shared" ca="1" si="80"/>
        <v>0</v>
      </c>
      <c r="U83" s="1423">
        <f t="shared" ca="1" si="81"/>
        <v>0</v>
      </c>
      <c r="V83" s="1423">
        <f t="shared" ca="1" si="82"/>
        <v>0</v>
      </c>
      <c r="W83" s="1423">
        <f t="shared" ca="1" si="83"/>
        <v>0</v>
      </c>
      <c r="X83" s="202"/>
      <c r="Y83" s="202"/>
      <c r="Z83" s="202"/>
      <c r="AA83" s="152"/>
      <c r="AB83" s="152"/>
    </row>
    <row r="84" spans="1:28" hidden="1" outlineLevel="1">
      <c r="A84" s="199">
        <f t="shared" si="84"/>
        <v>11</v>
      </c>
      <c r="B84" s="190" t="str">
        <f t="shared" ca="1" si="85"/>
        <v>Depreciated Net Capex 2026-27</v>
      </c>
      <c r="C84" s="1426"/>
      <c r="D84" s="1426"/>
      <c r="E84" s="1426"/>
      <c r="F84" s="1426"/>
      <c r="G84" s="1426"/>
      <c r="H84" s="1426"/>
      <c r="I84" s="1426"/>
      <c r="J84" s="1426"/>
      <c r="K84" s="1426"/>
      <c r="L84" s="1426"/>
      <c r="M84" s="1427"/>
      <c r="N84" s="1428">
        <f>(N68*((1+N$11)^0.5)/N$10)</f>
        <v>0</v>
      </c>
      <c r="O84" s="1423">
        <f ca="1">IF(N108="n/a",N84,IFERROR(IF((OFFSET($C84,0,$A84))&lt;0,
MIN(0,N84-(OFFSET($C84,0,$A84)/(OFFSET($C79,-$A83,$A84)))),
MAX(0,N84-(OFFSET($C84,0,$A84)/(OFFSET($C79,-$A83,$A84))))),0))</f>
        <v>0</v>
      </c>
      <c r="P84" s="1423">
        <f t="shared" ca="1" si="76"/>
        <v>0</v>
      </c>
      <c r="Q84" s="1423">
        <f t="shared" ca="1" si="77"/>
        <v>0</v>
      </c>
      <c r="R84" s="1423">
        <f t="shared" ca="1" si="78"/>
        <v>0</v>
      </c>
      <c r="S84" s="1423">
        <f t="shared" ca="1" si="79"/>
        <v>0</v>
      </c>
      <c r="T84" s="1423">
        <f t="shared" ca="1" si="80"/>
        <v>0</v>
      </c>
      <c r="U84" s="1423">
        <f t="shared" ca="1" si="81"/>
        <v>0</v>
      </c>
      <c r="V84" s="1423">
        <f t="shared" ca="1" si="82"/>
        <v>0</v>
      </c>
      <c r="W84" s="1423">
        <f t="shared" ca="1" si="83"/>
        <v>0</v>
      </c>
      <c r="X84" s="202"/>
      <c r="Y84" s="202"/>
      <c r="Z84" s="202"/>
      <c r="AA84" s="152"/>
      <c r="AB84" s="152"/>
    </row>
    <row r="85" spans="1:28" hidden="1" outlineLevel="1">
      <c r="A85" s="199">
        <f t="shared" si="84"/>
        <v>12</v>
      </c>
      <c r="B85" s="190" t="str">
        <f t="shared" ca="1" si="85"/>
        <v>Depreciated Net Capex 2027-28</v>
      </c>
      <c r="C85" s="1426"/>
      <c r="D85" s="1426"/>
      <c r="E85" s="1426"/>
      <c r="F85" s="1426"/>
      <c r="G85" s="1426"/>
      <c r="H85" s="1426"/>
      <c r="I85" s="1426"/>
      <c r="J85" s="1426"/>
      <c r="K85" s="1426"/>
      <c r="L85" s="1426"/>
      <c r="M85" s="1426"/>
      <c r="N85" s="1427"/>
      <c r="O85" s="1428">
        <f>(O68*((1+O$11)^0.5)/O$10)</f>
        <v>0</v>
      </c>
      <c r="P85" s="1423">
        <f ca="1">IF(O109="n/a",O85,IFERROR(IF((OFFSET($C85,0,$A85))&lt;0,
MIN(0,O85-(OFFSET($C85,0,$A85)/(OFFSET($C80,-$A84,$A85)))),
MAX(0,O85-(OFFSET($C85,0,$A85)/(OFFSET($C80,-$A84,$A85))))),0))</f>
        <v>0</v>
      </c>
      <c r="Q85" s="1423">
        <f t="shared" ca="1" si="77"/>
        <v>0</v>
      </c>
      <c r="R85" s="1423">
        <f t="shared" ca="1" si="78"/>
        <v>0</v>
      </c>
      <c r="S85" s="1423">
        <f t="shared" ca="1" si="79"/>
        <v>0</v>
      </c>
      <c r="T85" s="1423">
        <f t="shared" ca="1" si="80"/>
        <v>0</v>
      </c>
      <c r="U85" s="1423">
        <f t="shared" ca="1" si="81"/>
        <v>0</v>
      </c>
      <c r="V85" s="1423">
        <f t="shared" ca="1" si="82"/>
        <v>0</v>
      </c>
      <c r="W85" s="1423">
        <f t="shared" ca="1" si="83"/>
        <v>0</v>
      </c>
      <c r="X85" s="202"/>
      <c r="Y85" s="202"/>
      <c r="Z85" s="202"/>
      <c r="AA85" s="152"/>
      <c r="AB85" s="152"/>
    </row>
    <row r="86" spans="1:28" hidden="1" outlineLevel="1">
      <c r="A86" s="199">
        <f t="shared" si="84"/>
        <v>13</v>
      </c>
      <c r="B86" s="190" t="str">
        <f t="shared" ca="1" si="85"/>
        <v>Depreciated Net Capex 2028-29</v>
      </c>
      <c r="C86" s="1426"/>
      <c r="D86" s="1426"/>
      <c r="E86" s="1426"/>
      <c r="F86" s="1426"/>
      <c r="G86" s="1426"/>
      <c r="H86" s="1426"/>
      <c r="I86" s="1426"/>
      <c r="J86" s="1426"/>
      <c r="K86" s="1426"/>
      <c r="L86" s="1426"/>
      <c r="M86" s="1426"/>
      <c r="N86" s="1426"/>
      <c r="O86" s="1427"/>
      <c r="P86" s="1428">
        <f>(P68*((1+P$11)^0.5)/P$10)</f>
        <v>0</v>
      </c>
      <c r="Q86" s="1423">
        <f ca="1">IF(P110="n/a",P86,IFERROR(IF((OFFSET($C86,0,$A86))&lt;0,
MIN(0,P86-(OFFSET($C86,0,$A86)/(OFFSET($C81,-$A85,$A86)))),
MAX(0,P86-(OFFSET($C86,0,$A86)/(OFFSET($C81,-$A85,$A86))))),0))</f>
        <v>0</v>
      </c>
      <c r="R86" s="1423">
        <f t="shared" ca="1" si="78"/>
        <v>0</v>
      </c>
      <c r="S86" s="1423">
        <f t="shared" ca="1" si="79"/>
        <v>0</v>
      </c>
      <c r="T86" s="1423">
        <f t="shared" ca="1" si="80"/>
        <v>0</v>
      </c>
      <c r="U86" s="1423">
        <f t="shared" ca="1" si="81"/>
        <v>0</v>
      </c>
      <c r="V86" s="1423">
        <f t="shared" ca="1" si="82"/>
        <v>0</v>
      </c>
      <c r="W86" s="1423">
        <f t="shared" ca="1" si="83"/>
        <v>0</v>
      </c>
      <c r="X86" s="202"/>
      <c r="Y86" s="202"/>
      <c r="Z86" s="202"/>
      <c r="AA86" s="152"/>
      <c r="AB86" s="152"/>
    </row>
    <row r="87" spans="1:28" hidden="1" outlineLevel="1">
      <c r="A87" s="199">
        <f t="shared" si="84"/>
        <v>14</v>
      </c>
      <c r="B87" s="190" t="str">
        <f t="shared" ca="1" si="85"/>
        <v>Depreciated Net Capex 2029-30</v>
      </c>
      <c r="C87" s="1426"/>
      <c r="D87" s="1426"/>
      <c r="E87" s="1426"/>
      <c r="F87" s="1426"/>
      <c r="G87" s="1426"/>
      <c r="H87" s="1426"/>
      <c r="I87" s="1426"/>
      <c r="J87" s="1426"/>
      <c r="K87" s="1426"/>
      <c r="L87" s="1426"/>
      <c r="M87" s="1426"/>
      <c r="N87" s="1426"/>
      <c r="O87" s="1426"/>
      <c r="P87" s="1427"/>
      <c r="Q87" s="1428">
        <f>(Q68*((1+Q$11)^0.5)/Q$10)</f>
        <v>0</v>
      </c>
      <c r="R87" s="1423">
        <f ca="1">IF(Q111="n/a",Q87,IFERROR(IF((OFFSET($C87,0,$A87))&lt;0,
MIN(0,Q87-(OFFSET($C87,0,$A87)/(OFFSET($C82,-$A86,$A87)))),
MAX(0,Q87-(OFFSET($C87,0,$A87)/(OFFSET($C82,-$A86,$A87))))),0))</f>
        <v>0</v>
      </c>
      <c r="S87" s="1423">
        <f t="shared" ca="1" si="79"/>
        <v>0</v>
      </c>
      <c r="T87" s="1423">
        <f t="shared" ca="1" si="80"/>
        <v>0</v>
      </c>
      <c r="U87" s="1423">
        <f t="shared" ca="1" si="81"/>
        <v>0</v>
      </c>
      <c r="V87" s="1423">
        <f t="shared" ca="1" si="82"/>
        <v>0</v>
      </c>
      <c r="W87" s="1423">
        <f t="shared" ca="1" si="83"/>
        <v>0</v>
      </c>
      <c r="X87" s="202"/>
      <c r="Y87" s="202"/>
      <c r="Z87" s="202"/>
      <c r="AA87" s="152"/>
      <c r="AB87" s="152"/>
    </row>
    <row r="88" spans="1:28" hidden="1" outlineLevel="1">
      <c r="A88" s="199">
        <f t="shared" si="84"/>
        <v>15</v>
      </c>
      <c r="B88" s="190" t="str">
        <f t="shared" ca="1" si="85"/>
        <v>Depreciated Net Capex 2030-31</v>
      </c>
      <c r="C88" s="1426"/>
      <c r="D88" s="1426"/>
      <c r="E88" s="1426"/>
      <c r="F88" s="1426"/>
      <c r="G88" s="1426"/>
      <c r="H88" s="1426"/>
      <c r="I88" s="1426"/>
      <c r="J88" s="1426"/>
      <c r="K88" s="1426"/>
      <c r="L88" s="1426"/>
      <c r="M88" s="1426"/>
      <c r="N88" s="1426"/>
      <c r="O88" s="1426"/>
      <c r="P88" s="1426"/>
      <c r="Q88" s="1427"/>
      <c r="R88" s="1428">
        <f>(R68*((1+R$11)^0.5)/R$10)</f>
        <v>0</v>
      </c>
      <c r="S88" s="1423">
        <f ca="1">IF(R112="n/a",R88,IFERROR(IF((OFFSET($C88,0,$A88))&lt;0,
MIN(0,R88-(OFFSET($C88,0,$A88)/(OFFSET($C83,-$A87,$A88)))),
MAX(0,R88-(OFFSET($C88,0,$A88)/(OFFSET($C83,-$A87,$A88))))),0))</f>
        <v>0</v>
      </c>
      <c r="T88" s="1423">
        <f t="shared" ca="1" si="80"/>
        <v>0</v>
      </c>
      <c r="U88" s="1423">
        <f t="shared" ca="1" si="81"/>
        <v>0</v>
      </c>
      <c r="V88" s="1423">
        <f t="shared" ca="1" si="82"/>
        <v>0</v>
      </c>
      <c r="W88" s="1423">
        <f t="shared" ca="1" si="83"/>
        <v>0</v>
      </c>
      <c r="X88" s="202"/>
      <c r="Y88" s="202"/>
      <c r="Z88" s="202"/>
      <c r="AA88" s="152"/>
      <c r="AB88" s="152"/>
    </row>
    <row r="89" spans="1:28" hidden="1" outlineLevel="1">
      <c r="A89" s="199">
        <f t="shared" si="84"/>
        <v>16</v>
      </c>
      <c r="B89" s="190" t="str">
        <f t="shared" ca="1" si="85"/>
        <v>Depreciated Net Capex 2031-32</v>
      </c>
      <c r="C89" s="1426"/>
      <c r="D89" s="1426"/>
      <c r="E89" s="1426"/>
      <c r="F89" s="1426"/>
      <c r="G89" s="1426"/>
      <c r="H89" s="1426"/>
      <c r="I89" s="1426"/>
      <c r="J89" s="1426"/>
      <c r="K89" s="1426"/>
      <c r="L89" s="1426"/>
      <c r="M89" s="1426"/>
      <c r="N89" s="1426"/>
      <c r="O89" s="1426"/>
      <c r="P89" s="1426"/>
      <c r="Q89" s="1426"/>
      <c r="R89" s="1427"/>
      <c r="S89" s="1428">
        <f>(S68*((1+S$11)^0.5)/S$10)</f>
        <v>0</v>
      </c>
      <c r="T89" s="1423">
        <f ca="1">IF(S113="n/a",S89,IFERROR(IF((OFFSET($C89,0,$A89))&lt;0,
MIN(0,S89-(OFFSET($C89,0,$A89)/(OFFSET($C84,-$A88,$A89)))),
MAX(0,S89-(OFFSET($C89,0,$A89)/(OFFSET($C84,-$A88,$A89))))),0))</f>
        <v>0</v>
      </c>
      <c r="U89" s="1423">
        <f t="shared" ca="1" si="81"/>
        <v>0</v>
      </c>
      <c r="V89" s="1423">
        <f t="shared" ca="1" si="82"/>
        <v>0</v>
      </c>
      <c r="W89" s="1423">
        <f t="shared" ca="1" si="83"/>
        <v>0</v>
      </c>
      <c r="X89" s="202"/>
      <c r="Y89" s="202"/>
      <c r="Z89" s="202"/>
      <c r="AA89" s="152"/>
      <c r="AB89" s="152"/>
    </row>
    <row r="90" spans="1:28" hidden="1" outlineLevel="1">
      <c r="A90" s="199">
        <f t="shared" si="84"/>
        <v>17</v>
      </c>
      <c r="B90" s="190" t="str">
        <f t="shared" ca="1" si="85"/>
        <v>Depreciated Net Capex 2032-33</v>
      </c>
      <c r="C90" s="1426"/>
      <c r="D90" s="1426"/>
      <c r="E90" s="1426"/>
      <c r="F90" s="1426"/>
      <c r="G90" s="1426"/>
      <c r="H90" s="1426"/>
      <c r="I90" s="1426"/>
      <c r="J90" s="1426"/>
      <c r="K90" s="1426"/>
      <c r="L90" s="1426"/>
      <c r="M90" s="1426"/>
      <c r="N90" s="1426"/>
      <c r="O90" s="1426"/>
      <c r="P90" s="1426"/>
      <c r="Q90" s="1426"/>
      <c r="R90" s="1426"/>
      <c r="S90" s="1427"/>
      <c r="T90" s="1428">
        <f>(T68*((1+T$11)^0.5)/T$10)</f>
        <v>0</v>
      </c>
      <c r="U90" s="1423">
        <f ca="1">IF(T114="n/a",T90,IFERROR(IF((OFFSET($C90,0,$A90))&lt;0,
MIN(0,T90-(OFFSET($C90,0,$A90)/(OFFSET($C85,-$A89,$A90)))),
MAX(0,T90-(OFFSET($C90,0,$A90)/(OFFSET($C85,-$A89,$A90))))),0))</f>
        <v>0</v>
      </c>
      <c r="V90" s="1423">
        <f t="shared" ca="1" si="82"/>
        <v>0</v>
      </c>
      <c r="W90" s="1423">
        <f t="shared" ca="1" si="83"/>
        <v>0</v>
      </c>
      <c r="X90" s="202"/>
      <c r="Y90" s="202"/>
      <c r="Z90" s="202"/>
      <c r="AA90" s="152"/>
      <c r="AB90" s="152"/>
    </row>
    <row r="91" spans="1:28" hidden="1" outlineLevel="1">
      <c r="A91" s="199">
        <f t="shared" si="84"/>
        <v>18</v>
      </c>
      <c r="B91" s="190" t="str">
        <f t="shared" ca="1" si="85"/>
        <v>Depreciated Net Capex 2033-34</v>
      </c>
      <c r="C91" s="1426"/>
      <c r="D91" s="1426"/>
      <c r="E91" s="1426"/>
      <c r="F91" s="1426"/>
      <c r="G91" s="1426"/>
      <c r="H91" s="1426"/>
      <c r="I91" s="1426"/>
      <c r="J91" s="1426"/>
      <c r="K91" s="1426"/>
      <c r="L91" s="1426"/>
      <c r="M91" s="1426"/>
      <c r="N91" s="1426"/>
      <c r="O91" s="1426"/>
      <c r="P91" s="1426"/>
      <c r="Q91" s="1426"/>
      <c r="R91" s="1426"/>
      <c r="S91" s="1426"/>
      <c r="T91" s="1427"/>
      <c r="U91" s="1428">
        <f>(U68*((1+U$11)^0.5)/U$10)</f>
        <v>0</v>
      </c>
      <c r="V91" s="1423">
        <f ca="1">IF(U115="n/a",U91,IFERROR(IF((OFFSET($C91,0,$A91))&lt;0,
MIN(0,U91-(OFFSET($C91,0,$A91)/(OFFSET($C86,-$A90,$A91)))),
MAX(0,U91-(OFFSET($C91,0,$A91)/(OFFSET($C86,-$A90,$A91))))),0))</f>
        <v>0</v>
      </c>
      <c r="W91" s="1423">
        <f t="shared" ca="1" si="83"/>
        <v>0</v>
      </c>
      <c r="X91" s="202"/>
      <c r="Y91" s="202"/>
      <c r="Z91" s="202"/>
      <c r="AA91" s="152"/>
      <c r="AB91" s="152"/>
    </row>
    <row r="92" spans="1:28" hidden="1" outlineLevel="1">
      <c r="A92" s="199">
        <f t="shared" si="84"/>
        <v>19</v>
      </c>
      <c r="B92" s="190" t="str">
        <f t="shared" ca="1" si="85"/>
        <v>Depreciated Net Capex 2034-35</v>
      </c>
      <c r="C92" s="1426"/>
      <c r="D92" s="1426"/>
      <c r="E92" s="1426"/>
      <c r="F92" s="1426"/>
      <c r="G92" s="1426"/>
      <c r="H92" s="1426"/>
      <c r="I92" s="1426"/>
      <c r="J92" s="1426"/>
      <c r="K92" s="1426"/>
      <c r="L92" s="1426"/>
      <c r="M92" s="1426"/>
      <c r="N92" s="1426"/>
      <c r="O92" s="1426"/>
      <c r="P92" s="1426"/>
      <c r="Q92" s="1426"/>
      <c r="R92" s="1426"/>
      <c r="S92" s="1426"/>
      <c r="T92" s="1426"/>
      <c r="U92" s="1427"/>
      <c r="V92" s="1428">
        <f>(V68*((1+V$11)^0.5)/V$10)</f>
        <v>0</v>
      </c>
      <c r="W92" s="1423">
        <f ca="1">IF(V116="n/a",V92,IFERROR(IF((OFFSET($C92,0,$A92))&lt;0,
MIN(0,V92-(OFFSET($C92,0,$A92)/(OFFSET($C87,-$A91,$A92)))),
MAX(0,V92-(OFFSET($C92,0,$A92)/(OFFSET($C87,-$A91,$A92))))),0))</f>
        <v>0</v>
      </c>
      <c r="X92" s="202"/>
      <c r="Y92" s="202"/>
      <c r="Z92" s="202"/>
      <c r="AA92" s="152"/>
      <c r="AB92" s="152"/>
    </row>
    <row r="93" spans="1:28" hidden="1" outlineLevel="1">
      <c r="A93" s="199">
        <f t="shared" si="84"/>
        <v>20</v>
      </c>
      <c r="B93" s="190" t="str">
        <f ca="1">"Depreciated Net Capex "&amp;OFFSET($C$6,0,A93)</f>
        <v>Depreciated Net Capex 2035-36</v>
      </c>
      <c r="C93" s="1426"/>
      <c r="D93" s="1426"/>
      <c r="E93" s="1426"/>
      <c r="F93" s="1426"/>
      <c r="G93" s="1426"/>
      <c r="H93" s="1426"/>
      <c r="I93" s="1426"/>
      <c r="J93" s="1426"/>
      <c r="K93" s="1426"/>
      <c r="L93" s="1426"/>
      <c r="M93" s="1426"/>
      <c r="N93" s="1426"/>
      <c r="O93" s="1426"/>
      <c r="P93" s="1426"/>
      <c r="Q93" s="1426"/>
      <c r="R93" s="1426"/>
      <c r="S93" s="1426"/>
      <c r="T93" s="1426"/>
      <c r="U93" s="1426"/>
      <c r="V93" s="1427"/>
      <c r="W93" s="1423">
        <f>(W68*((1+W$11)^0.5)/W$10)</f>
        <v>0</v>
      </c>
      <c r="X93" s="152"/>
      <c r="Y93" s="152"/>
      <c r="Z93" s="152"/>
      <c r="AA93" s="152"/>
      <c r="AB93" s="152"/>
    </row>
    <row r="94" spans="1:28" hidden="1" outlineLevel="1">
      <c r="A94" s="152"/>
      <c r="B94" s="200"/>
      <c r="C94" s="1423"/>
      <c r="D94" s="1423"/>
      <c r="E94" s="1423"/>
      <c r="F94" s="1423"/>
      <c r="G94" s="1423"/>
      <c r="H94" s="1423"/>
      <c r="I94" s="1423"/>
      <c r="J94" s="1423"/>
      <c r="K94" s="1423"/>
      <c r="L94" s="1423"/>
      <c r="M94" s="1423"/>
      <c r="N94" s="1423"/>
      <c r="O94" s="1423"/>
      <c r="P94" s="1423"/>
      <c r="Q94" s="1423"/>
      <c r="R94" s="1423"/>
      <c r="S94" s="1423"/>
      <c r="T94" s="1423"/>
      <c r="U94" s="1423"/>
      <c r="V94" s="1423"/>
      <c r="W94" s="1423"/>
      <c r="X94" s="152"/>
      <c r="Y94" s="152"/>
      <c r="Z94" s="152"/>
      <c r="AA94" s="152"/>
      <c r="AB94" s="152"/>
    </row>
    <row r="95" spans="1:28" hidden="1" outlineLevel="1">
      <c r="A95" s="152"/>
      <c r="B95" s="200"/>
      <c r="C95" s="1423"/>
      <c r="D95" s="1423"/>
      <c r="E95" s="1423"/>
      <c r="F95" s="1423"/>
      <c r="G95" s="1423"/>
      <c r="H95" s="1423"/>
      <c r="I95" s="1423"/>
      <c r="J95" s="1423"/>
      <c r="K95" s="1423"/>
      <c r="L95" s="1423"/>
      <c r="M95" s="1423"/>
      <c r="N95" s="1423"/>
      <c r="O95" s="1423"/>
      <c r="P95" s="1423"/>
      <c r="Q95" s="1423"/>
      <c r="R95" s="1423"/>
      <c r="S95" s="1423"/>
      <c r="T95" s="1423"/>
      <c r="U95" s="1423"/>
      <c r="V95" s="1423"/>
      <c r="W95" s="1423"/>
      <c r="X95" s="152"/>
      <c r="Y95" s="152"/>
      <c r="Z95" s="152"/>
      <c r="AA95" s="152"/>
      <c r="AB95" s="152"/>
    </row>
    <row r="96" spans="1:28" hidden="1" outlineLevel="1">
      <c r="A96" s="152"/>
      <c r="B96" s="190" t="s">
        <v>190</v>
      </c>
      <c r="C96" s="1423"/>
      <c r="D96" s="1423">
        <f ca="1">IF(AND(C96&lt;1,D70=0),0,
IF(D70=0,C96-1,
IF(C96&lt;1,D71,
(((C96-1)*(C72-(C72/(C96))))+((D70/D$10)*D71))/(D72))))</f>
        <v>0</v>
      </c>
      <c r="E96" s="1423">
        <f t="shared" ref="E96" ca="1" si="86">IF(AND(D96&lt;1,E70=0),0,
IF(E70=0,D96-1,
IF(D96&lt;1,E71,
(((D96-1)*(D72-(D72/(D96))))+((E70/E$10)*E71))/(E72))))</f>
        <v>0</v>
      </c>
      <c r="F96" s="1423">
        <f t="shared" ref="F96" ca="1" si="87">IF(AND(E96&lt;1,F70=0),0,
IF(F70=0,E96-1,
IF(E96&lt;1,F71,
(((E96-1)*(E72-(E72/(E96))))+((F70/F$10)*F71))/(F72))))</f>
        <v>0</v>
      </c>
      <c r="G96" s="1423">
        <f t="shared" ref="G96" ca="1" si="88">IF(AND(F96&lt;1,G70=0),0,
IF(G70=0,F96-1,
IF(F96&lt;1,G71,
(((F96-1)*(F72-(F72/(F96))))+((G70/G$10)*G71))/(G72))))</f>
        <v>0</v>
      </c>
      <c r="H96" s="1423">
        <f t="shared" ref="H96" ca="1" si="89">IF(AND(G96&lt;1,H70=0),0,
IF(H70=0,G96-1,
IF(G96&lt;1,H71,
(((G96-1)*(G72-(G72/(G96))))+((H70/H$10)*H71))/(H72))))</f>
        <v>0</v>
      </c>
      <c r="I96" s="1423">
        <f t="shared" ref="I96" ca="1" si="90">IF(AND(H96&lt;1,I70=0),0,
IF(I70=0,H96-1,
IF(H96&lt;1,I71,
(((H96-1)*(H72-(H72/(H96))))+((I70/I$10)*I71))/(I72))))</f>
        <v>0</v>
      </c>
      <c r="J96" s="1423">
        <f t="shared" ref="J96" ca="1" si="91">IF(AND(I96&lt;1,J70=0),0,
IF(J70=0,I96-1,
IF(I96&lt;1,J71,
(((I96-1)*(I72-(I72/(I96))))+((J70/J$10)*J71))/(J72))))</f>
        <v>0</v>
      </c>
      <c r="K96" s="1423">
        <f t="shared" ref="K96" ca="1" si="92">IF(AND(J96&lt;1,K70=0),0,
IF(K70=0,J96-1,
IF(J96&lt;1,K71,
(((J96-1)*(J72-(J72/(J96))))+((K70/K$10)*K71))/(K72))))</f>
        <v>0</v>
      </c>
      <c r="L96" s="1423">
        <f t="shared" ref="L96" ca="1" si="93">IF(AND(K96&lt;1,L70=0),0,
IF(L70=0,K96-1,
IF(K96&lt;1,L71,
(((K96-1)*(K72-(K72/(K96))))+((L70/L$10)*L71))/(L72))))</f>
        <v>0</v>
      </c>
      <c r="M96" s="1423">
        <f t="shared" ref="M96" ca="1" si="94">IF(AND(L96&lt;1,M70=0),0,
IF(M70=0,L96-1,
IF(L96&lt;1,M71,
(((L96-1)*(L72-(L72/(L96))))+((M70/M$10)*M71))/(M72))))</f>
        <v>0</v>
      </c>
      <c r="N96" s="1423">
        <f t="shared" ref="N96" ca="1" si="95">IF(AND(M96&lt;1,N70=0),0,
IF(N70=0,M96-1,
IF(M96&lt;1,N71,
(((M96-1)*(M72-(M72/(M96))))+((N70/N$10)*N71))/(N72))))</f>
        <v>0</v>
      </c>
      <c r="O96" s="1423">
        <f t="shared" ref="O96" ca="1" si="96">IF(AND(N96&lt;1,O70=0),0,
IF(O70=0,N96-1,
IF(N96&lt;1,O71,
(((N96-1)*(N72-(N72/(N96))))+((O70/O$10)*O71))/(O72))))</f>
        <v>0</v>
      </c>
      <c r="P96" s="1423">
        <f t="shared" ref="P96" ca="1" si="97">IF(AND(O96&lt;1,P70=0),0,
IF(P70=0,O96-1,
IF(O96&lt;1,P71,
(((O96-1)*(O72-(O72/(O96))))+((P70/P$10)*P71))/(P72))))</f>
        <v>0</v>
      </c>
      <c r="Q96" s="1423">
        <f t="shared" ref="Q96" ca="1" si="98">IF(AND(P96&lt;1,Q70=0),0,
IF(Q70=0,P96-1,
IF(P96&lt;1,Q71,
(((P96-1)*(P72-(P72/(P96))))+((Q70/Q$10)*Q71))/(Q72))))</f>
        <v>0</v>
      </c>
      <c r="R96" s="1423">
        <f t="shared" ref="R96" ca="1" si="99">IF(AND(Q96&lt;1,R70=0),0,
IF(R70=0,Q96-1,
IF(Q96&lt;1,R71,
(((Q96-1)*(Q72-(Q72/(Q96))))+((R70/R$10)*R71))/(R72))))</f>
        <v>0</v>
      </c>
      <c r="S96" s="1423">
        <f t="shared" ref="S96" ca="1" si="100">IF(AND(R96&lt;1,S70=0),0,
IF(S70=0,R96-1,
IF(R96&lt;1,S71,
(((R96-1)*(R72-(R72/(R96))))+((S70/S$10)*S71))/(S72))))</f>
        <v>0</v>
      </c>
      <c r="T96" s="1423">
        <f t="shared" ref="T96" ca="1" si="101">IF(AND(S96&lt;1,T70=0),0,
IF(T70=0,S96-1,
IF(S96&lt;1,T71,
(((S96-1)*(S72-(S72/(S96))))+((T70/T$10)*T71))/(T72))))</f>
        <v>0</v>
      </c>
      <c r="U96" s="1423">
        <f t="shared" ref="U96" ca="1" si="102">IF(AND(T96&lt;1,U70=0),0,
IF(U70=0,T96-1,
IF(T96&lt;1,U71,
(((T96-1)*(T72-(T72/(T96))))+((U70/U$10)*U71))/(U72))))</f>
        <v>0</v>
      </c>
      <c r="V96" s="1423">
        <f t="shared" ref="V96" ca="1" si="103">IF(AND(U96&lt;1,V70=0),0,
IF(V70=0,U96-1,
IF(U96&lt;1,V71,
(((U96-1)*(U72-(U72/(U96))))+((V70/V$10)*V71))/(V72))))</f>
        <v>0</v>
      </c>
      <c r="W96" s="1423">
        <f t="shared" ref="W96" ca="1" si="104">IF(AND(V96&lt;1,W70=0),0,
IF(W70=0,V96-1,
IF(V96&lt;1,W71,
(((V96-1)*(V72-(V72/(V96))))+((W70/W$10)*W71))/(W72))))</f>
        <v>0</v>
      </c>
      <c r="X96" s="152"/>
      <c r="Y96" s="152"/>
      <c r="Z96" s="152"/>
      <c r="AA96" s="152"/>
      <c r="AB96" s="152"/>
    </row>
    <row r="97" spans="1:28" hidden="1" outlineLevel="1">
      <c r="A97" s="152"/>
      <c r="B97" s="190" t="s">
        <v>122</v>
      </c>
      <c r="C97" s="1423">
        <f ca="1">C69</f>
        <v>40</v>
      </c>
      <c r="D97" s="1423">
        <f t="shared" ref="D97" ca="1" si="105">IF(C97="n/a","n/a",MAX(0,C97-1))</f>
        <v>39</v>
      </c>
      <c r="E97" s="1423">
        <f t="shared" ref="E97:E98" ca="1" si="106">IF(D97="n/a","n/a",MAX(0,D97-1))</f>
        <v>38</v>
      </c>
      <c r="F97" s="1423">
        <f t="shared" ref="F97:F99" ca="1" si="107">IF(E97="n/a","n/a",MAX(0,E97-1))</f>
        <v>37</v>
      </c>
      <c r="G97" s="1423">
        <f t="shared" ref="G97:G100" ca="1" si="108">IF(F97="n/a","n/a",MAX(0,F97-1))</f>
        <v>36</v>
      </c>
      <c r="H97" s="1423">
        <f t="shared" ref="H97:H101" ca="1" si="109">IF(G97="n/a","n/a",MAX(0,G97-1))</f>
        <v>35</v>
      </c>
      <c r="I97" s="1423">
        <f t="shared" ref="I97:I102" ca="1" si="110">IF(H97="n/a","n/a",MAX(0,H97-1))</f>
        <v>34</v>
      </c>
      <c r="J97" s="1423">
        <f t="shared" ref="J97:J103" ca="1" si="111">IF(I97="n/a","n/a",MAX(0,I97-1))</f>
        <v>33</v>
      </c>
      <c r="K97" s="1423">
        <f t="shared" ref="K97:K104" ca="1" si="112">IF(J97="n/a","n/a",MAX(0,J97-1))</f>
        <v>32</v>
      </c>
      <c r="L97" s="1423">
        <f t="shared" ref="L97:L105" ca="1" si="113">IF(K97="n/a","n/a",MAX(0,K97-1))</f>
        <v>31</v>
      </c>
      <c r="M97" s="1423">
        <f t="shared" ref="M97:M106" ca="1" si="114">IF(L97="n/a","n/a",MAX(0,L97-1))</f>
        <v>30</v>
      </c>
      <c r="N97" s="1423">
        <f t="shared" ref="N97:N107" ca="1" si="115">IF(M97="n/a","n/a",MAX(0,M97-1))</f>
        <v>29</v>
      </c>
      <c r="O97" s="1423">
        <f t="shared" ref="O97:O108" ca="1" si="116">IF(N97="n/a","n/a",MAX(0,N97-1))</f>
        <v>28</v>
      </c>
      <c r="P97" s="1423">
        <f t="shared" ref="P97:P109" ca="1" si="117">IF(O97="n/a","n/a",MAX(0,O97-1))</f>
        <v>27</v>
      </c>
      <c r="Q97" s="1423">
        <f t="shared" ref="Q97:Q110" ca="1" si="118">IF(P97="n/a","n/a",MAX(0,P97-1))</f>
        <v>26</v>
      </c>
      <c r="R97" s="1423">
        <f t="shared" ref="R97:R111" ca="1" si="119">IF(Q97="n/a","n/a",MAX(0,Q97-1))</f>
        <v>25</v>
      </c>
      <c r="S97" s="1423">
        <f t="shared" ref="S97:S112" ca="1" si="120">IF(R97="n/a","n/a",MAX(0,R97-1))</f>
        <v>24</v>
      </c>
      <c r="T97" s="1423">
        <f t="shared" ref="T97:T113" ca="1" si="121">IF(S97="n/a","n/a",MAX(0,S97-1))</f>
        <v>23</v>
      </c>
      <c r="U97" s="1423">
        <f t="shared" ref="U97:U114" ca="1" si="122">IF(T97="n/a","n/a",MAX(0,T97-1))</f>
        <v>22</v>
      </c>
      <c r="V97" s="1423">
        <f t="shared" ref="V97:V115" ca="1" si="123">IF(U97="n/a","n/a",MAX(0,U97-1))</f>
        <v>21</v>
      </c>
      <c r="W97" s="1423">
        <f t="shared" ref="W97:W115" ca="1" si="124">IF(V97="n/a","n/a",MAX(0,V97-1))</f>
        <v>20</v>
      </c>
      <c r="X97" s="152"/>
      <c r="Y97" s="152"/>
      <c r="Z97" s="152"/>
      <c r="AA97" s="152"/>
      <c r="AB97" s="152"/>
    </row>
    <row r="98" spans="1:28" hidden="1" outlineLevel="1">
      <c r="A98" s="152"/>
      <c r="B98" s="190" t="str">
        <f t="shared" ref="B98:B117" ca="1" si="125">"RL Capex "&amp;OFFSET($C$6,0,A74)</f>
        <v>RL Capex 2016-17</v>
      </c>
      <c r="C98" s="1424"/>
      <c r="D98" s="1428">
        <f>D69</f>
        <v>40</v>
      </c>
      <c r="E98" s="1423">
        <f t="shared" si="106"/>
        <v>39</v>
      </c>
      <c r="F98" s="1423">
        <f t="shared" si="107"/>
        <v>38</v>
      </c>
      <c r="G98" s="1423">
        <f t="shared" si="108"/>
        <v>37</v>
      </c>
      <c r="H98" s="1423">
        <f t="shared" si="109"/>
        <v>36</v>
      </c>
      <c r="I98" s="1423">
        <f t="shared" si="110"/>
        <v>35</v>
      </c>
      <c r="J98" s="1423">
        <f t="shared" si="111"/>
        <v>34</v>
      </c>
      <c r="K98" s="1423">
        <f t="shared" si="112"/>
        <v>33</v>
      </c>
      <c r="L98" s="1423">
        <f t="shared" si="113"/>
        <v>32</v>
      </c>
      <c r="M98" s="1423">
        <f t="shared" si="114"/>
        <v>31</v>
      </c>
      <c r="N98" s="1423">
        <f t="shared" si="115"/>
        <v>30</v>
      </c>
      <c r="O98" s="1423">
        <f t="shared" si="116"/>
        <v>29</v>
      </c>
      <c r="P98" s="1423">
        <f t="shared" si="117"/>
        <v>28</v>
      </c>
      <c r="Q98" s="1423">
        <f t="shared" si="118"/>
        <v>27</v>
      </c>
      <c r="R98" s="1423">
        <f t="shared" si="119"/>
        <v>26</v>
      </c>
      <c r="S98" s="1423">
        <f t="shared" si="120"/>
        <v>25</v>
      </c>
      <c r="T98" s="1423">
        <f t="shared" si="121"/>
        <v>24</v>
      </c>
      <c r="U98" s="1423">
        <f t="shared" si="122"/>
        <v>23</v>
      </c>
      <c r="V98" s="1423">
        <f t="shared" si="123"/>
        <v>22</v>
      </c>
      <c r="W98" s="1423">
        <f t="shared" si="124"/>
        <v>21</v>
      </c>
      <c r="X98" s="152"/>
      <c r="Y98" s="152"/>
      <c r="Z98" s="152"/>
      <c r="AA98" s="152"/>
      <c r="AB98" s="152"/>
    </row>
    <row r="99" spans="1:28" hidden="1" outlineLevel="1">
      <c r="A99" s="152"/>
      <c r="B99" s="190" t="str">
        <f t="shared" ca="1" si="125"/>
        <v>RL Capex 2017-18</v>
      </c>
      <c r="C99" s="1429"/>
      <c r="D99" s="1424"/>
      <c r="E99" s="1428">
        <f>E69</f>
        <v>40</v>
      </c>
      <c r="F99" s="1423">
        <f t="shared" si="107"/>
        <v>39</v>
      </c>
      <c r="G99" s="1423">
        <f t="shared" si="108"/>
        <v>38</v>
      </c>
      <c r="H99" s="1423">
        <f t="shared" si="109"/>
        <v>37</v>
      </c>
      <c r="I99" s="1423">
        <f t="shared" si="110"/>
        <v>36</v>
      </c>
      <c r="J99" s="1423">
        <f t="shared" si="111"/>
        <v>35</v>
      </c>
      <c r="K99" s="1423">
        <f t="shared" si="112"/>
        <v>34</v>
      </c>
      <c r="L99" s="1423">
        <f t="shared" si="113"/>
        <v>33</v>
      </c>
      <c r="M99" s="1423">
        <f t="shared" si="114"/>
        <v>32</v>
      </c>
      <c r="N99" s="1423">
        <f t="shared" si="115"/>
        <v>31</v>
      </c>
      <c r="O99" s="1423">
        <f t="shared" si="116"/>
        <v>30</v>
      </c>
      <c r="P99" s="1423">
        <f t="shared" si="117"/>
        <v>29</v>
      </c>
      <c r="Q99" s="1423">
        <f t="shared" si="118"/>
        <v>28</v>
      </c>
      <c r="R99" s="1423">
        <f t="shared" si="119"/>
        <v>27</v>
      </c>
      <c r="S99" s="1423">
        <f t="shared" si="120"/>
        <v>26</v>
      </c>
      <c r="T99" s="1423">
        <f t="shared" si="121"/>
        <v>25</v>
      </c>
      <c r="U99" s="1423">
        <f t="shared" si="122"/>
        <v>24</v>
      </c>
      <c r="V99" s="1423">
        <f t="shared" si="123"/>
        <v>23</v>
      </c>
      <c r="W99" s="1423">
        <f t="shared" si="124"/>
        <v>22</v>
      </c>
      <c r="X99" s="152"/>
      <c r="Y99" s="152"/>
      <c r="Z99" s="152"/>
      <c r="AA99" s="152"/>
      <c r="AB99" s="152"/>
    </row>
    <row r="100" spans="1:28" hidden="1" outlineLevel="1">
      <c r="A100" s="152"/>
      <c r="B100" s="190" t="str">
        <f t="shared" ca="1" si="125"/>
        <v>RL Capex 2018-19</v>
      </c>
      <c r="C100" s="1429"/>
      <c r="D100" s="1429"/>
      <c r="E100" s="1424"/>
      <c r="F100" s="1428">
        <f>F69</f>
        <v>40</v>
      </c>
      <c r="G100" s="1423">
        <f t="shared" si="108"/>
        <v>39</v>
      </c>
      <c r="H100" s="1423">
        <f t="shared" si="109"/>
        <v>38</v>
      </c>
      <c r="I100" s="1423">
        <f t="shared" si="110"/>
        <v>37</v>
      </c>
      <c r="J100" s="1423">
        <f t="shared" si="111"/>
        <v>36</v>
      </c>
      <c r="K100" s="1423">
        <f t="shared" si="112"/>
        <v>35</v>
      </c>
      <c r="L100" s="1423">
        <f t="shared" si="113"/>
        <v>34</v>
      </c>
      <c r="M100" s="1423">
        <f t="shared" si="114"/>
        <v>33</v>
      </c>
      <c r="N100" s="1423">
        <f t="shared" si="115"/>
        <v>32</v>
      </c>
      <c r="O100" s="1423">
        <f t="shared" si="116"/>
        <v>31</v>
      </c>
      <c r="P100" s="1423">
        <f t="shared" si="117"/>
        <v>30</v>
      </c>
      <c r="Q100" s="1423">
        <f t="shared" si="118"/>
        <v>29</v>
      </c>
      <c r="R100" s="1423">
        <f t="shared" si="119"/>
        <v>28</v>
      </c>
      <c r="S100" s="1423">
        <f t="shared" si="120"/>
        <v>27</v>
      </c>
      <c r="T100" s="1423">
        <f t="shared" si="121"/>
        <v>26</v>
      </c>
      <c r="U100" s="1423">
        <f t="shared" si="122"/>
        <v>25</v>
      </c>
      <c r="V100" s="1423">
        <f t="shared" si="123"/>
        <v>24</v>
      </c>
      <c r="W100" s="1423">
        <f t="shared" si="124"/>
        <v>23</v>
      </c>
      <c r="X100" s="152"/>
      <c r="Y100" s="152"/>
      <c r="Z100" s="152"/>
      <c r="AA100" s="152"/>
      <c r="AB100" s="152"/>
    </row>
    <row r="101" spans="1:28" hidden="1" outlineLevel="1">
      <c r="A101" s="152"/>
      <c r="B101" s="190" t="str">
        <f t="shared" ca="1" si="125"/>
        <v>RL Capex 2019-20</v>
      </c>
      <c r="C101" s="1429"/>
      <c r="D101" s="1429"/>
      <c r="E101" s="1429"/>
      <c r="F101" s="1424"/>
      <c r="G101" s="1428">
        <f>G69</f>
        <v>40</v>
      </c>
      <c r="H101" s="1423">
        <f t="shared" si="109"/>
        <v>39</v>
      </c>
      <c r="I101" s="1423">
        <f t="shared" si="110"/>
        <v>38</v>
      </c>
      <c r="J101" s="1423">
        <f t="shared" si="111"/>
        <v>37</v>
      </c>
      <c r="K101" s="1423">
        <f t="shared" si="112"/>
        <v>36</v>
      </c>
      <c r="L101" s="1423">
        <f t="shared" si="113"/>
        <v>35</v>
      </c>
      <c r="M101" s="1423">
        <f t="shared" si="114"/>
        <v>34</v>
      </c>
      <c r="N101" s="1423">
        <f t="shared" si="115"/>
        <v>33</v>
      </c>
      <c r="O101" s="1423">
        <f t="shared" si="116"/>
        <v>32</v>
      </c>
      <c r="P101" s="1423">
        <f t="shared" si="117"/>
        <v>31</v>
      </c>
      <c r="Q101" s="1423">
        <f t="shared" si="118"/>
        <v>30</v>
      </c>
      <c r="R101" s="1423">
        <f t="shared" si="119"/>
        <v>29</v>
      </c>
      <c r="S101" s="1423">
        <f t="shared" si="120"/>
        <v>28</v>
      </c>
      <c r="T101" s="1423">
        <f t="shared" si="121"/>
        <v>27</v>
      </c>
      <c r="U101" s="1423">
        <f t="shared" si="122"/>
        <v>26</v>
      </c>
      <c r="V101" s="1423">
        <f t="shared" si="123"/>
        <v>25</v>
      </c>
      <c r="W101" s="1423">
        <f t="shared" si="124"/>
        <v>24</v>
      </c>
      <c r="X101" s="152"/>
      <c r="Y101" s="152"/>
      <c r="Z101" s="152"/>
      <c r="AA101" s="152"/>
      <c r="AB101" s="152"/>
    </row>
    <row r="102" spans="1:28" hidden="1" outlineLevel="1">
      <c r="A102" s="152"/>
      <c r="B102" s="190" t="str">
        <f t="shared" ca="1" si="125"/>
        <v>RL Capex 2020-21</v>
      </c>
      <c r="C102" s="1429"/>
      <c r="D102" s="1429"/>
      <c r="E102" s="1429"/>
      <c r="F102" s="1429"/>
      <c r="G102" s="1424"/>
      <c r="H102" s="1428">
        <f>H69</f>
        <v>40</v>
      </c>
      <c r="I102" s="1423">
        <f t="shared" si="110"/>
        <v>39</v>
      </c>
      <c r="J102" s="1423">
        <f t="shared" si="111"/>
        <v>38</v>
      </c>
      <c r="K102" s="1423">
        <f t="shared" si="112"/>
        <v>37</v>
      </c>
      <c r="L102" s="1423">
        <f t="shared" si="113"/>
        <v>36</v>
      </c>
      <c r="M102" s="1423">
        <f t="shared" si="114"/>
        <v>35</v>
      </c>
      <c r="N102" s="1423">
        <f t="shared" si="115"/>
        <v>34</v>
      </c>
      <c r="O102" s="1423">
        <f t="shared" si="116"/>
        <v>33</v>
      </c>
      <c r="P102" s="1423">
        <f t="shared" si="117"/>
        <v>32</v>
      </c>
      <c r="Q102" s="1423">
        <f t="shared" si="118"/>
        <v>31</v>
      </c>
      <c r="R102" s="1423">
        <f t="shared" si="119"/>
        <v>30</v>
      </c>
      <c r="S102" s="1423">
        <f t="shared" si="120"/>
        <v>29</v>
      </c>
      <c r="T102" s="1423">
        <f t="shared" si="121"/>
        <v>28</v>
      </c>
      <c r="U102" s="1423">
        <f t="shared" si="122"/>
        <v>27</v>
      </c>
      <c r="V102" s="1423">
        <f t="shared" si="123"/>
        <v>26</v>
      </c>
      <c r="W102" s="1423">
        <f t="shared" si="124"/>
        <v>25</v>
      </c>
      <c r="X102" s="152"/>
      <c r="Y102" s="152"/>
      <c r="Z102" s="152"/>
      <c r="AA102" s="152"/>
      <c r="AB102" s="152"/>
    </row>
    <row r="103" spans="1:28" hidden="1" outlineLevel="1">
      <c r="A103" s="152"/>
      <c r="B103" s="190" t="str">
        <f t="shared" ca="1" si="125"/>
        <v>RL Capex 2021-22</v>
      </c>
      <c r="C103" s="1429"/>
      <c r="D103" s="1429"/>
      <c r="E103" s="1429"/>
      <c r="F103" s="1429"/>
      <c r="G103" s="1429"/>
      <c r="H103" s="1424"/>
      <c r="I103" s="1428">
        <f>I69</f>
        <v>40</v>
      </c>
      <c r="J103" s="1423">
        <f t="shared" si="111"/>
        <v>39</v>
      </c>
      <c r="K103" s="1423">
        <f t="shared" si="112"/>
        <v>38</v>
      </c>
      <c r="L103" s="1423">
        <f t="shared" si="113"/>
        <v>37</v>
      </c>
      <c r="M103" s="1423">
        <f t="shared" si="114"/>
        <v>36</v>
      </c>
      <c r="N103" s="1423">
        <f t="shared" si="115"/>
        <v>35</v>
      </c>
      <c r="O103" s="1423">
        <f t="shared" si="116"/>
        <v>34</v>
      </c>
      <c r="P103" s="1423">
        <f t="shared" si="117"/>
        <v>33</v>
      </c>
      <c r="Q103" s="1423">
        <f t="shared" si="118"/>
        <v>32</v>
      </c>
      <c r="R103" s="1423">
        <f t="shared" si="119"/>
        <v>31</v>
      </c>
      <c r="S103" s="1423">
        <f t="shared" si="120"/>
        <v>30</v>
      </c>
      <c r="T103" s="1423">
        <f t="shared" si="121"/>
        <v>29</v>
      </c>
      <c r="U103" s="1423">
        <f t="shared" si="122"/>
        <v>28</v>
      </c>
      <c r="V103" s="1423">
        <f t="shared" si="123"/>
        <v>27</v>
      </c>
      <c r="W103" s="1423">
        <f t="shared" si="124"/>
        <v>26</v>
      </c>
      <c r="X103" s="152"/>
      <c r="Y103" s="152"/>
      <c r="Z103" s="152"/>
      <c r="AA103" s="152"/>
      <c r="AB103" s="152"/>
    </row>
    <row r="104" spans="1:28" hidden="1" outlineLevel="1">
      <c r="A104" s="152"/>
      <c r="B104" s="190" t="str">
        <f t="shared" ca="1" si="125"/>
        <v>RL Capex 2022-23</v>
      </c>
      <c r="C104" s="1429"/>
      <c r="D104" s="1429"/>
      <c r="E104" s="1429"/>
      <c r="F104" s="1429"/>
      <c r="G104" s="1429"/>
      <c r="H104" s="1429"/>
      <c r="I104" s="1424"/>
      <c r="J104" s="1428">
        <f>J69</f>
        <v>40</v>
      </c>
      <c r="K104" s="1423">
        <f t="shared" si="112"/>
        <v>39</v>
      </c>
      <c r="L104" s="1423">
        <f t="shared" si="113"/>
        <v>38</v>
      </c>
      <c r="M104" s="1423">
        <f t="shared" si="114"/>
        <v>37</v>
      </c>
      <c r="N104" s="1423">
        <f t="shared" si="115"/>
        <v>36</v>
      </c>
      <c r="O104" s="1423">
        <f t="shared" si="116"/>
        <v>35</v>
      </c>
      <c r="P104" s="1423">
        <f t="shared" si="117"/>
        <v>34</v>
      </c>
      <c r="Q104" s="1423">
        <f t="shared" si="118"/>
        <v>33</v>
      </c>
      <c r="R104" s="1423">
        <f t="shared" si="119"/>
        <v>32</v>
      </c>
      <c r="S104" s="1423">
        <f t="shared" si="120"/>
        <v>31</v>
      </c>
      <c r="T104" s="1423">
        <f t="shared" si="121"/>
        <v>30</v>
      </c>
      <c r="U104" s="1423">
        <f t="shared" si="122"/>
        <v>29</v>
      </c>
      <c r="V104" s="1423">
        <f t="shared" si="123"/>
        <v>28</v>
      </c>
      <c r="W104" s="1423">
        <f t="shared" si="124"/>
        <v>27</v>
      </c>
      <c r="X104" s="152"/>
      <c r="Y104" s="152"/>
      <c r="Z104" s="152"/>
      <c r="AA104" s="152"/>
      <c r="AB104" s="152"/>
    </row>
    <row r="105" spans="1:28" hidden="1" outlineLevel="1">
      <c r="A105" s="152"/>
      <c r="B105" s="190" t="str">
        <f t="shared" ca="1" si="125"/>
        <v>RL Capex 2023-24</v>
      </c>
      <c r="C105" s="1429"/>
      <c r="D105" s="1429"/>
      <c r="E105" s="1429"/>
      <c r="F105" s="1429"/>
      <c r="G105" s="1429"/>
      <c r="H105" s="1429"/>
      <c r="I105" s="1429"/>
      <c r="J105" s="1424"/>
      <c r="K105" s="1428">
        <f>K69</f>
        <v>40</v>
      </c>
      <c r="L105" s="1423">
        <f t="shared" si="113"/>
        <v>39</v>
      </c>
      <c r="M105" s="1423">
        <f t="shared" si="114"/>
        <v>38</v>
      </c>
      <c r="N105" s="1423">
        <f t="shared" si="115"/>
        <v>37</v>
      </c>
      <c r="O105" s="1423">
        <f t="shared" si="116"/>
        <v>36</v>
      </c>
      <c r="P105" s="1423">
        <f t="shared" si="117"/>
        <v>35</v>
      </c>
      <c r="Q105" s="1423">
        <f t="shared" si="118"/>
        <v>34</v>
      </c>
      <c r="R105" s="1423">
        <f t="shared" si="119"/>
        <v>33</v>
      </c>
      <c r="S105" s="1423">
        <f t="shared" si="120"/>
        <v>32</v>
      </c>
      <c r="T105" s="1423">
        <f t="shared" si="121"/>
        <v>31</v>
      </c>
      <c r="U105" s="1423">
        <f t="shared" si="122"/>
        <v>30</v>
      </c>
      <c r="V105" s="1423">
        <f t="shared" si="123"/>
        <v>29</v>
      </c>
      <c r="W105" s="1423">
        <f t="shared" si="124"/>
        <v>28</v>
      </c>
      <c r="X105" s="152"/>
      <c r="Y105" s="152"/>
      <c r="Z105" s="152"/>
      <c r="AA105" s="152"/>
      <c r="AB105" s="152"/>
    </row>
    <row r="106" spans="1:28" hidden="1" outlineLevel="1">
      <c r="A106" s="152"/>
      <c r="B106" s="190" t="str">
        <f t="shared" ca="1" si="125"/>
        <v>RL Capex 2024-25</v>
      </c>
      <c r="C106" s="1429"/>
      <c r="D106" s="1429"/>
      <c r="E106" s="1429"/>
      <c r="F106" s="1429"/>
      <c r="G106" s="1429"/>
      <c r="H106" s="1429"/>
      <c r="I106" s="1429"/>
      <c r="J106" s="1429"/>
      <c r="K106" s="1424"/>
      <c r="L106" s="1428">
        <f>L69</f>
        <v>40</v>
      </c>
      <c r="M106" s="1423">
        <f t="shared" si="114"/>
        <v>39</v>
      </c>
      <c r="N106" s="1423">
        <f t="shared" si="115"/>
        <v>38</v>
      </c>
      <c r="O106" s="1423">
        <f t="shared" si="116"/>
        <v>37</v>
      </c>
      <c r="P106" s="1423">
        <f t="shared" si="117"/>
        <v>36</v>
      </c>
      <c r="Q106" s="1423">
        <f t="shared" si="118"/>
        <v>35</v>
      </c>
      <c r="R106" s="1423">
        <f t="shared" si="119"/>
        <v>34</v>
      </c>
      <c r="S106" s="1423">
        <f t="shared" si="120"/>
        <v>33</v>
      </c>
      <c r="T106" s="1423">
        <f t="shared" si="121"/>
        <v>32</v>
      </c>
      <c r="U106" s="1423">
        <f t="shared" si="122"/>
        <v>31</v>
      </c>
      <c r="V106" s="1423">
        <f t="shared" si="123"/>
        <v>30</v>
      </c>
      <c r="W106" s="1423">
        <f t="shared" si="124"/>
        <v>29</v>
      </c>
      <c r="X106" s="152"/>
      <c r="Y106" s="152"/>
      <c r="Z106" s="152"/>
      <c r="AA106" s="152"/>
      <c r="AB106" s="152"/>
    </row>
    <row r="107" spans="1:28" hidden="1" outlineLevel="1">
      <c r="A107" s="152"/>
      <c r="B107" s="190" t="str">
        <f t="shared" ca="1" si="125"/>
        <v>RL Capex 2025-26</v>
      </c>
      <c r="C107" s="1429"/>
      <c r="D107" s="1429"/>
      <c r="E107" s="1429"/>
      <c r="F107" s="1429"/>
      <c r="G107" s="1429"/>
      <c r="H107" s="1429"/>
      <c r="I107" s="1429"/>
      <c r="J107" s="1429"/>
      <c r="K107" s="1429"/>
      <c r="L107" s="1424"/>
      <c r="M107" s="1428">
        <f>M69</f>
        <v>40</v>
      </c>
      <c r="N107" s="1423">
        <f t="shared" si="115"/>
        <v>39</v>
      </c>
      <c r="O107" s="1423">
        <f t="shared" si="116"/>
        <v>38</v>
      </c>
      <c r="P107" s="1423">
        <f t="shared" si="117"/>
        <v>37</v>
      </c>
      <c r="Q107" s="1423">
        <f t="shared" si="118"/>
        <v>36</v>
      </c>
      <c r="R107" s="1423">
        <f t="shared" si="119"/>
        <v>35</v>
      </c>
      <c r="S107" s="1423">
        <f t="shared" si="120"/>
        <v>34</v>
      </c>
      <c r="T107" s="1423">
        <f t="shared" si="121"/>
        <v>33</v>
      </c>
      <c r="U107" s="1423">
        <f t="shared" si="122"/>
        <v>32</v>
      </c>
      <c r="V107" s="1423">
        <f t="shared" si="123"/>
        <v>31</v>
      </c>
      <c r="W107" s="1423">
        <f t="shared" si="124"/>
        <v>30</v>
      </c>
      <c r="X107" s="152"/>
      <c r="Y107" s="152"/>
      <c r="Z107" s="152"/>
      <c r="AA107" s="152"/>
      <c r="AB107" s="152"/>
    </row>
    <row r="108" spans="1:28" hidden="1" outlineLevel="1">
      <c r="A108" s="152"/>
      <c r="B108" s="190" t="str">
        <f t="shared" ca="1" si="125"/>
        <v>RL Capex 2026-27</v>
      </c>
      <c r="C108" s="1429"/>
      <c r="D108" s="1429"/>
      <c r="E108" s="1429"/>
      <c r="F108" s="1429"/>
      <c r="G108" s="1429"/>
      <c r="H108" s="1429"/>
      <c r="I108" s="1429"/>
      <c r="J108" s="1429"/>
      <c r="K108" s="1429"/>
      <c r="L108" s="1429"/>
      <c r="M108" s="1424"/>
      <c r="N108" s="1428">
        <f>N69</f>
        <v>0</v>
      </c>
      <c r="O108" s="1423">
        <f t="shared" si="116"/>
        <v>0</v>
      </c>
      <c r="P108" s="1423">
        <f t="shared" si="117"/>
        <v>0</v>
      </c>
      <c r="Q108" s="1423">
        <f t="shared" si="118"/>
        <v>0</v>
      </c>
      <c r="R108" s="1423">
        <f t="shared" si="119"/>
        <v>0</v>
      </c>
      <c r="S108" s="1423">
        <f t="shared" si="120"/>
        <v>0</v>
      </c>
      <c r="T108" s="1423">
        <f t="shared" si="121"/>
        <v>0</v>
      </c>
      <c r="U108" s="1423">
        <f t="shared" si="122"/>
        <v>0</v>
      </c>
      <c r="V108" s="1423">
        <f t="shared" si="123"/>
        <v>0</v>
      </c>
      <c r="W108" s="1423">
        <f t="shared" si="124"/>
        <v>0</v>
      </c>
      <c r="X108" s="152"/>
      <c r="Y108" s="152"/>
      <c r="Z108" s="152"/>
      <c r="AA108" s="152"/>
      <c r="AB108" s="152"/>
    </row>
    <row r="109" spans="1:28" hidden="1" outlineLevel="1">
      <c r="A109" s="152"/>
      <c r="B109" s="190" t="str">
        <f t="shared" ca="1" si="125"/>
        <v>RL Capex 2027-28</v>
      </c>
      <c r="C109" s="1429"/>
      <c r="D109" s="1429"/>
      <c r="E109" s="1429"/>
      <c r="F109" s="1429"/>
      <c r="G109" s="1429"/>
      <c r="H109" s="1429"/>
      <c r="I109" s="1429"/>
      <c r="J109" s="1429"/>
      <c r="K109" s="1429"/>
      <c r="L109" s="1429"/>
      <c r="M109" s="1429"/>
      <c r="N109" s="1424"/>
      <c r="O109" s="1428">
        <f>O69</f>
        <v>0</v>
      </c>
      <c r="P109" s="1423">
        <f t="shared" si="117"/>
        <v>0</v>
      </c>
      <c r="Q109" s="1423">
        <f t="shared" si="118"/>
        <v>0</v>
      </c>
      <c r="R109" s="1423">
        <f t="shared" si="119"/>
        <v>0</v>
      </c>
      <c r="S109" s="1423">
        <f t="shared" si="120"/>
        <v>0</v>
      </c>
      <c r="T109" s="1423">
        <f t="shared" si="121"/>
        <v>0</v>
      </c>
      <c r="U109" s="1423">
        <f t="shared" si="122"/>
        <v>0</v>
      </c>
      <c r="V109" s="1423">
        <f t="shared" si="123"/>
        <v>0</v>
      </c>
      <c r="W109" s="1423">
        <f t="shared" si="124"/>
        <v>0</v>
      </c>
      <c r="X109" s="152"/>
      <c r="Y109" s="152"/>
      <c r="Z109" s="152"/>
      <c r="AA109" s="152"/>
      <c r="AB109" s="152"/>
    </row>
    <row r="110" spans="1:28" hidden="1" outlineLevel="1">
      <c r="A110" s="152"/>
      <c r="B110" s="190" t="str">
        <f t="shared" ca="1" si="125"/>
        <v>RL Capex 2028-29</v>
      </c>
      <c r="C110" s="1429"/>
      <c r="D110" s="1429"/>
      <c r="E110" s="1429"/>
      <c r="F110" s="1429"/>
      <c r="G110" s="1429"/>
      <c r="H110" s="1429"/>
      <c r="I110" s="1429"/>
      <c r="J110" s="1429"/>
      <c r="K110" s="1429"/>
      <c r="L110" s="1429"/>
      <c r="M110" s="1429"/>
      <c r="N110" s="1429"/>
      <c r="O110" s="1424"/>
      <c r="P110" s="1428">
        <f>P69</f>
        <v>0</v>
      </c>
      <c r="Q110" s="1423">
        <f t="shared" si="118"/>
        <v>0</v>
      </c>
      <c r="R110" s="1423">
        <f t="shared" si="119"/>
        <v>0</v>
      </c>
      <c r="S110" s="1423">
        <f t="shared" si="120"/>
        <v>0</v>
      </c>
      <c r="T110" s="1423">
        <f t="shared" si="121"/>
        <v>0</v>
      </c>
      <c r="U110" s="1423">
        <f t="shared" si="122"/>
        <v>0</v>
      </c>
      <c r="V110" s="1423">
        <f t="shared" si="123"/>
        <v>0</v>
      </c>
      <c r="W110" s="1423">
        <f t="shared" si="124"/>
        <v>0</v>
      </c>
      <c r="X110" s="152"/>
      <c r="Y110" s="152"/>
      <c r="Z110" s="152"/>
      <c r="AA110" s="152"/>
      <c r="AB110" s="152"/>
    </row>
    <row r="111" spans="1:28" hidden="1" outlineLevel="1">
      <c r="A111" s="152"/>
      <c r="B111" s="190" t="str">
        <f t="shared" ca="1" si="125"/>
        <v>RL Capex 2029-30</v>
      </c>
      <c r="C111" s="1429"/>
      <c r="D111" s="1429"/>
      <c r="E111" s="1429"/>
      <c r="F111" s="1429"/>
      <c r="G111" s="1429"/>
      <c r="H111" s="1429"/>
      <c r="I111" s="1429"/>
      <c r="J111" s="1429"/>
      <c r="K111" s="1429"/>
      <c r="L111" s="1429"/>
      <c r="M111" s="1429"/>
      <c r="N111" s="1429"/>
      <c r="O111" s="1429"/>
      <c r="P111" s="1424"/>
      <c r="Q111" s="1428">
        <f>Q69</f>
        <v>0</v>
      </c>
      <c r="R111" s="1423">
        <f t="shared" si="119"/>
        <v>0</v>
      </c>
      <c r="S111" s="1423">
        <f t="shared" si="120"/>
        <v>0</v>
      </c>
      <c r="T111" s="1423">
        <f t="shared" si="121"/>
        <v>0</v>
      </c>
      <c r="U111" s="1423">
        <f t="shared" si="122"/>
        <v>0</v>
      </c>
      <c r="V111" s="1423">
        <f t="shared" si="123"/>
        <v>0</v>
      </c>
      <c r="W111" s="1423">
        <f t="shared" si="124"/>
        <v>0</v>
      </c>
      <c r="X111" s="152"/>
      <c r="Y111" s="152"/>
      <c r="Z111" s="152"/>
      <c r="AA111" s="152"/>
      <c r="AB111" s="152"/>
    </row>
    <row r="112" spans="1:28" hidden="1" outlineLevel="1">
      <c r="A112" s="152"/>
      <c r="B112" s="190" t="str">
        <f t="shared" ca="1" si="125"/>
        <v>RL Capex 2030-31</v>
      </c>
      <c r="C112" s="1429"/>
      <c r="D112" s="1429"/>
      <c r="E112" s="1429"/>
      <c r="F112" s="1429"/>
      <c r="G112" s="1429"/>
      <c r="H112" s="1429"/>
      <c r="I112" s="1429"/>
      <c r="J112" s="1429"/>
      <c r="K112" s="1429"/>
      <c r="L112" s="1429"/>
      <c r="M112" s="1429"/>
      <c r="N112" s="1429"/>
      <c r="O112" s="1429"/>
      <c r="P112" s="1429"/>
      <c r="Q112" s="1424"/>
      <c r="R112" s="1428">
        <f>R69</f>
        <v>0</v>
      </c>
      <c r="S112" s="1423">
        <f t="shared" si="120"/>
        <v>0</v>
      </c>
      <c r="T112" s="1423">
        <f t="shared" si="121"/>
        <v>0</v>
      </c>
      <c r="U112" s="1423">
        <f t="shared" si="122"/>
        <v>0</v>
      </c>
      <c r="V112" s="1423">
        <f t="shared" si="123"/>
        <v>0</v>
      </c>
      <c r="W112" s="1423">
        <f t="shared" si="124"/>
        <v>0</v>
      </c>
      <c r="X112" s="152"/>
      <c r="Y112" s="152"/>
      <c r="Z112" s="152"/>
      <c r="AA112" s="152"/>
      <c r="AB112" s="152"/>
    </row>
    <row r="113" spans="1:28" hidden="1" outlineLevel="1">
      <c r="A113" s="152"/>
      <c r="B113" s="190" t="str">
        <f t="shared" ca="1" si="125"/>
        <v>RL Capex 2031-32</v>
      </c>
      <c r="C113" s="1429"/>
      <c r="D113" s="1429"/>
      <c r="E113" s="1429"/>
      <c r="F113" s="1429"/>
      <c r="G113" s="1429"/>
      <c r="H113" s="1429"/>
      <c r="I113" s="1429"/>
      <c r="J113" s="1429"/>
      <c r="K113" s="1429"/>
      <c r="L113" s="1429"/>
      <c r="M113" s="1429"/>
      <c r="N113" s="1429"/>
      <c r="O113" s="1429"/>
      <c r="P113" s="1429"/>
      <c r="Q113" s="1429"/>
      <c r="R113" s="1424"/>
      <c r="S113" s="1428">
        <f>S69</f>
        <v>0</v>
      </c>
      <c r="T113" s="1423">
        <f t="shared" si="121"/>
        <v>0</v>
      </c>
      <c r="U113" s="1423">
        <f t="shared" si="122"/>
        <v>0</v>
      </c>
      <c r="V113" s="1423">
        <f t="shared" si="123"/>
        <v>0</v>
      </c>
      <c r="W113" s="1423">
        <f t="shared" si="124"/>
        <v>0</v>
      </c>
      <c r="X113" s="152"/>
      <c r="Y113" s="152"/>
      <c r="Z113" s="152"/>
      <c r="AA113" s="152"/>
      <c r="AB113" s="152"/>
    </row>
    <row r="114" spans="1:28" hidden="1" outlineLevel="1">
      <c r="A114" s="152"/>
      <c r="B114" s="190" t="str">
        <f t="shared" ca="1" si="125"/>
        <v>RL Capex 2032-33</v>
      </c>
      <c r="C114" s="1429"/>
      <c r="D114" s="1429"/>
      <c r="E114" s="1429"/>
      <c r="F114" s="1429"/>
      <c r="G114" s="1429"/>
      <c r="H114" s="1429"/>
      <c r="I114" s="1429"/>
      <c r="J114" s="1429"/>
      <c r="K114" s="1429"/>
      <c r="L114" s="1429"/>
      <c r="M114" s="1429"/>
      <c r="N114" s="1429"/>
      <c r="O114" s="1429"/>
      <c r="P114" s="1429"/>
      <c r="Q114" s="1429"/>
      <c r="R114" s="1429"/>
      <c r="S114" s="1424"/>
      <c r="T114" s="1428">
        <f>T69</f>
        <v>0</v>
      </c>
      <c r="U114" s="1423">
        <f t="shared" si="122"/>
        <v>0</v>
      </c>
      <c r="V114" s="1423">
        <f t="shared" si="123"/>
        <v>0</v>
      </c>
      <c r="W114" s="1423">
        <f t="shared" si="124"/>
        <v>0</v>
      </c>
      <c r="X114" s="152"/>
      <c r="Y114" s="152"/>
      <c r="Z114" s="152"/>
      <c r="AA114" s="152"/>
      <c r="AB114" s="152"/>
    </row>
    <row r="115" spans="1:28" hidden="1" outlineLevel="1">
      <c r="A115" s="152"/>
      <c r="B115" s="190" t="str">
        <f t="shared" ca="1" si="125"/>
        <v>RL Capex 2033-34</v>
      </c>
      <c r="C115" s="1429"/>
      <c r="D115" s="1429"/>
      <c r="E115" s="1429"/>
      <c r="F115" s="1429"/>
      <c r="G115" s="1429"/>
      <c r="H115" s="1429"/>
      <c r="I115" s="1429"/>
      <c r="J115" s="1429"/>
      <c r="K115" s="1429"/>
      <c r="L115" s="1429"/>
      <c r="M115" s="1429"/>
      <c r="N115" s="1429"/>
      <c r="O115" s="1429"/>
      <c r="P115" s="1429"/>
      <c r="Q115" s="1429"/>
      <c r="R115" s="1429"/>
      <c r="S115" s="1429"/>
      <c r="T115" s="1424"/>
      <c r="U115" s="1428">
        <f>U69</f>
        <v>0</v>
      </c>
      <c r="V115" s="1423">
        <f t="shared" si="123"/>
        <v>0</v>
      </c>
      <c r="W115" s="1423">
        <f t="shared" si="124"/>
        <v>0</v>
      </c>
      <c r="X115" s="152"/>
      <c r="Y115" s="152"/>
      <c r="Z115" s="152"/>
      <c r="AA115" s="152"/>
      <c r="AB115" s="152"/>
    </row>
    <row r="116" spans="1:28" hidden="1" outlineLevel="1">
      <c r="A116" s="152"/>
      <c r="B116" s="190" t="str">
        <f t="shared" ca="1" si="125"/>
        <v>RL Capex 2034-35</v>
      </c>
      <c r="C116" s="1429"/>
      <c r="D116" s="1429"/>
      <c r="E116" s="1429"/>
      <c r="F116" s="1429"/>
      <c r="G116" s="1429"/>
      <c r="H116" s="1429"/>
      <c r="I116" s="1429"/>
      <c r="J116" s="1429"/>
      <c r="K116" s="1429"/>
      <c r="L116" s="1429"/>
      <c r="M116" s="1429"/>
      <c r="N116" s="1429"/>
      <c r="O116" s="1429"/>
      <c r="P116" s="1429"/>
      <c r="Q116" s="1429"/>
      <c r="R116" s="1429"/>
      <c r="S116" s="1429"/>
      <c r="T116" s="1429"/>
      <c r="U116" s="1424"/>
      <c r="V116" s="1428">
        <f>V69</f>
        <v>0</v>
      </c>
      <c r="W116" s="1423">
        <f>IF(V116="n/a","n/a",MAX(0,V116-1))</f>
        <v>0</v>
      </c>
      <c r="X116" s="152"/>
      <c r="Y116" s="152"/>
      <c r="Z116" s="152"/>
      <c r="AA116" s="152"/>
      <c r="AB116" s="152"/>
    </row>
    <row r="117" spans="1:28" hidden="1" outlineLevel="1">
      <c r="A117" s="152"/>
      <c r="B117" s="190" t="str">
        <f t="shared" ca="1" si="125"/>
        <v>RL Capex 2035-36</v>
      </c>
      <c r="C117" s="1429"/>
      <c r="D117" s="1429"/>
      <c r="E117" s="1429"/>
      <c r="F117" s="1429"/>
      <c r="G117" s="1429"/>
      <c r="H117" s="1429"/>
      <c r="I117" s="1429"/>
      <c r="J117" s="1429"/>
      <c r="K117" s="1429"/>
      <c r="L117" s="1429"/>
      <c r="M117" s="1429"/>
      <c r="N117" s="1429"/>
      <c r="O117" s="1429"/>
      <c r="P117" s="1429"/>
      <c r="Q117" s="1429"/>
      <c r="R117" s="1429"/>
      <c r="S117" s="1429"/>
      <c r="T117" s="1429"/>
      <c r="U117" s="1429"/>
      <c r="V117" s="1424"/>
      <c r="W117" s="1423">
        <f>W69</f>
        <v>0</v>
      </c>
      <c r="X117" s="152"/>
      <c r="Y117" s="152"/>
      <c r="Z117" s="152"/>
      <c r="AA117" s="152"/>
      <c r="AB117" s="152"/>
    </row>
    <row r="118" spans="1:28" hidden="1" outlineLevel="1">
      <c r="A118" s="152"/>
      <c r="B118" s="200"/>
      <c r="C118" s="1423"/>
      <c r="D118" s="1423"/>
      <c r="E118" s="1423"/>
      <c r="F118" s="1423"/>
      <c r="G118" s="1423"/>
      <c r="H118" s="1423"/>
      <c r="I118" s="1423"/>
      <c r="J118" s="1423"/>
      <c r="K118" s="1423"/>
      <c r="L118" s="1423"/>
      <c r="M118" s="1423"/>
      <c r="N118" s="1423"/>
      <c r="O118" s="1423"/>
      <c r="P118" s="1423"/>
      <c r="Q118" s="1423"/>
      <c r="R118" s="1423"/>
      <c r="S118" s="1423"/>
      <c r="T118" s="1423"/>
      <c r="U118" s="1423"/>
      <c r="V118" s="1423"/>
      <c r="W118" s="1423"/>
      <c r="X118" s="152"/>
      <c r="Y118" s="152"/>
      <c r="Z118" s="152"/>
      <c r="AA118" s="152"/>
      <c r="AB118" s="152"/>
    </row>
    <row r="119" spans="1:28" collapsed="1">
      <c r="A119" s="194"/>
      <c r="B119" s="204" t="s">
        <v>123</v>
      </c>
      <c r="C119" s="1430">
        <f ca="1">(IF(OR($C69&lt;&gt;"n/a",C69&lt;&gt;"n/a"),IF(SUM(C72:C94)=0,0,IF((SUMPRODUCT(C72:C94,C96:C118)/SUM(C72:C94))&lt;0,1,(SUMPRODUCT(C72:C94,C96:C118)/SUM(C72:C94)))),"n/a"))</f>
        <v>40</v>
      </c>
      <c r="D119" s="1430">
        <f ca="1">(IF(OR($C69&lt;&gt;"n/a",D69&lt;&gt;"n/a"),IF(SUM(D72:D94)=0,0,IF((SUMPRODUCT(D72:D94,D96:D118)/SUM(D72:D94))&lt;0,1,(SUMPRODUCT(D72:D94,D96:D118)/SUM(D72:D94)))),"n/a"))</f>
        <v>39.065851101344151</v>
      </c>
      <c r="E119" s="1430">
        <f t="shared" ref="E119:W119" ca="1" si="126">(IF(OR($C69&lt;&gt;"n/a",E69&lt;&gt;"n/a"),IF(SUM(E72:E94)=0,0,IF((SUMPRODUCT(E72:E94,E96:E118)/SUM(E72:E94))&lt;0,1,(SUMPRODUCT(E72:E94,E96:E118)/SUM(E72:E94)))),"n/a"))</f>
        <v>38.195229753367791</v>
      </c>
      <c r="F119" s="1430">
        <f t="shared" ca="1" si="126"/>
        <v>37.384130857533918</v>
      </c>
      <c r="G119" s="1430">
        <f t="shared" ca="1" si="126"/>
        <v>36.58966868395995</v>
      </c>
      <c r="H119" s="1430">
        <f t="shared" ca="1" si="126"/>
        <v>35.857118807271767</v>
      </c>
      <c r="I119" s="1430">
        <f t="shared" ca="1" si="126"/>
        <v>35.097033219380165</v>
      </c>
      <c r="J119" s="1430">
        <f t="shared" ca="1" si="126"/>
        <v>34.262143817349909</v>
      </c>
      <c r="K119" s="1430">
        <f t="shared" ca="1" si="126"/>
        <v>33.265668656429803</v>
      </c>
      <c r="L119" s="1430">
        <f t="shared" ca="1" si="126"/>
        <v>32.269412802081547</v>
      </c>
      <c r="M119" s="1430">
        <f t="shared" ca="1" si="126"/>
        <v>31.273397378502487</v>
      </c>
      <c r="N119" s="1430">
        <f t="shared" ca="1" si="126"/>
        <v>30.277646312872733</v>
      </c>
      <c r="O119" s="1430">
        <f t="shared" ca="1" si="126"/>
        <v>29.282186816218523</v>
      </c>
      <c r="P119" s="1430">
        <f t="shared" ca="1" si="126"/>
        <v>28.287049966785826</v>
      </c>
      <c r="Q119" s="1430">
        <f t="shared" ca="1" si="126"/>
        <v>27.292271422358464</v>
      </c>
      <c r="R119" s="1430">
        <f t="shared" ca="1" si="126"/>
        <v>26.297892296043777</v>
      </c>
      <c r="S119" s="1430">
        <f t="shared" ca="1" si="126"/>
        <v>25.303960241032232</v>
      </c>
      <c r="T119" s="1430">
        <f t="shared" ca="1" si="126"/>
        <v>24.310530804914723</v>
      </c>
      <c r="U119" s="1430">
        <f t="shared" ca="1" si="126"/>
        <v>23.317669135082102</v>
      </c>
      <c r="V119" s="1430">
        <f t="shared" ca="1" si="126"/>
        <v>22.32545214618159</v>
      </c>
      <c r="W119" s="1430">
        <f t="shared" ca="1" si="126"/>
        <v>21.333971302590871</v>
      </c>
      <c r="X119" s="152"/>
      <c r="Y119" s="152"/>
      <c r="Z119" s="152"/>
      <c r="AA119" s="152"/>
      <c r="AB119" s="152"/>
    </row>
    <row r="120" spans="1:28">
      <c r="A120" s="152"/>
      <c r="B120" s="152"/>
      <c r="C120" s="1423"/>
      <c r="D120" s="1423"/>
      <c r="E120" s="1423"/>
      <c r="F120" s="1423"/>
      <c r="G120" s="1423"/>
      <c r="H120" s="1423"/>
      <c r="I120" s="1423"/>
      <c r="J120" s="1423"/>
      <c r="K120" s="1423"/>
      <c r="L120" s="1423"/>
      <c r="M120" s="1423"/>
      <c r="N120" s="1423"/>
      <c r="O120" s="1423"/>
      <c r="P120" s="1423"/>
      <c r="Q120" s="1423"/>
      <c r="R120" s="1423"/>
      <c r="S120" s="1423"/>
      <c r="T120" s="1423"/>
      <c r="U120" s="1423"/>
      <c r="V120" s="1423"/>
      <c r="W120" s="1423"/>
      <c r="X120" s="207"/>
      <c r="Y120" s="152"/>
      <c r="Z120" s="208"/>
      <c r="AA120" s="152"/>
      <c r="AB120" s="152"/>
    </row>
    <row r="121" spans="1:28">
      <c r="A121" s="269" t="s">
        <v>3</v>
      </c>
      <c r="B121" s="270" t="str">
        <f>VLOOKUP($A121,'RFM input'!$E$7:$F$56,2,FALSE)</f>
        <v>Meters</v>
      </c>
      <c r="C121" s="1431"/>
      <c r="D121" s="1431"/>
      <c r="E121" s="1432"/>
      <c r="F121" s="1432"/>
      <c r="G121" s="1432"/>
      <c r="H121" s="1432"/>
      <c r="I121" s="1432"/>
      <c r="J121" s="1432"/>
      <c r="K121" s="1432"/>
      <c r="L121" s="1432"/>
      <c r="M121" s="1432"/>
      <c r="N121" s="1432"/>
      <c r="O121" s="1432"/>
      <c r="P121" s="1432"/>
      <c r="Q121" s="1432"/>
      <c r="R121" s="1432"/>
      <c r="S121" s="1432"/>
      <c r="T121" s="1432"/>
      <c r="U121" s="1432"/>
      <c r="V121" s="1432"/>
      <c r="W121" s="1432"/>
      <c r="X121" s="152"/>
      <c r="Y121" s="152"/>
      <c r="Z121" s="152"/>
      <c r="AA121" s="152"/>
      <c r="AB121" s="152"/>
    </row>
    <row r="122" spans="1:28">
      <c r="A122" s="215">
        <f>VALUE(REPLACE(A121,1,12,""))</f>
        <v>3</v>
      </c>
      <c r="B122" s="193" t="s">
        <v>126</v>
      </c>
      <c r="C122" s="1416">
        <f ca="1">IF($C$8='Capital Base roll forward'!$H$4,OFFSET('Capital Base roll forward'!$H$717,'RAB remaining lives'!A122,0),"enter input")</f>
        <v>24.328597289033493</v>
      </c>
      <c r="D122" s="1417">
        <f>IF(LEFT(D$6,4)&lt;LEFT('RFM input'!$G$60,4),"enter input",IF(LEFT(D$6,4)&gt;LEFT('RFM input'!$Q$60,4),0,INDEX('RFM input'!$G$61:$Q$110,$A122,MATCH(D$6,'RFM input'!$G$60:$Q$60,0))
-INDEX('RFM input'!$G$115:$Q$164,$A122,MATCH(D$6,'RFM input'!$G$60:$Q$60,0))
-INDEX('RFM input'!$G$169:$Q$218,$A122,MATCH(D$6,'RFM input'!$G$60:$Q$60,0))))</f>
        <v>2.9043043091550298</v>
      </c>
      <c r="E122" s="1417">
        <f>IF(LEFT(E$6,4)&lt;LEFT('RFM input'!$G$60,4),"enter input",IF(LEFT(E$6,4)&gt;LEFT('RFM input'!$Q$60,4),0,INDEX('RFM input'!$G$61:$Q$110,$A122,MATCH(E$6,'RFM input'!$G$60:$Q$60,0))
-INDEX('RFM input'!$G$115:$Q$164,$A122,MATCH(E$6,'RFM input'!$G$60:$Q$60,0))
-INDEX('RFM input'!$G$169:$Q$218,$A122,MATCH(E$6,'RFM input'!$G$60:$Q$60,0))))</f>
        <v>2.9440507505501161</v>
      </c>
      <c r="F122" s="1417">
        <f>IF(LEFT(F$6,4)&lt;LEFT('RFM input'!$G$60,4),"enter input",IF(LEFT(F$6,4)&gt;LEFT('RFM input'!$Q$60,4),0,INDEX('RFM input'!$G$61:$Q$110,$A122,MATCH(F$6,'RFM input'!$G$60:$Q$60,0))
-INDEX('RFM input'!$G$115:$Q$164,$A122,MATCH(F$6,'RFM input'!$G$60:$Q$60,0))
-INDEX('RFM input'!$G$169:$Q$218,$A122,MATCH(F$6,'RFM input'!$G$60:$Q$60,0))))</f>
        <v>3.4852089981836998</v>
      </c>
      <c r="G122" s="1417">
        <f>IF(LEFT(G$6,4)&lt;LEFT('RFM input'!$G$60,4),"enter input",IF(LEFT(G$6,4)&gt;LEFT('RFM input'!$Q$60,4),0,INDEX('RFM input'!$G$61:$Q$110,$A122,MATCH(G$6,'RFM input'!$G$60:$Q$60,0))
-INDEX('RFM input'!$G$115:$Q$164,$A122,MATCH(G$6,'RFM input'!$G$60:$Q$60,0))
-INDEX('RFM input'!$G$169:$Q$218,$A122,MATCH(G$6,'RFM input'!$G$60:$Q$60,0))))</f>
        <v>1.8192726395160452</v>
      </c>
      <c r="H122" s="1417">
        <f>IF(LEFT(H$6,4)&lt;LEFT('RFM input'!$G$60,4),"enter input",IF(LEFT(H$6,4)&gt;LEFT('RFM input'!$Q$60,4),0,INDEX('RFM input'!$G$61:$Q$110,$A122,MATCH(H$6,'RFM input'!$G$60:$Q$60,0))
-INDEX('RFM input'!$G$115:$Q$164,$A122,MATCH(H$6,'RFM input'!$G$60:$Q$60,0))
-INDEX('RFM input'!$G$169:$Q$218,$A122,MATCH(H$6,'RFM input'!$G$60:$Q$60,0))))</f>
        <v>2.0511874451432468</v>
      </c>
      <c r="I122" s="1417">
        <f>IF(LEFT(I$6,4)&lt;LEFT('RFM input'!$G$60,4),"enter input",IF(LEFT(I$6,4)&gt;LEFT('RFM input'!$Q$60,4),0,INDEX('RFM input'!$G$61:$Q$110,$A122,MATCH(I$6,'RFM input'!$G$60:$Q$60,0))
-INDEX('RFM input'!$G$115:$Q$164,$A122,MATCH(I$6,'RFM input'!$G$60:$Q$60,0))
-INDEX('RFM input'!$G$169:$Q$218,$A122,MATCH(I$6,'RFM input'!$G$60:$Q$60,0))))</f>
        <v>1.9258465267392151</v>
      </c>
      <c r="J122" s="1417">
        <f>IF(LEFT(J$6,4)&lt;LEFT('RFM input'!$G$60,4),"enter input",IF(LEFT(J$6,4)&gt;LEFT('RFM input'!$Q$60,4),0,INDEX('RFM input'!$G$61:$Q$110,$A122,MATCH(J$6,'RFM input'!$G$60:$Q$60,0))
-INDEX('RFM input'!$G$115:$Q$164,$A122,MATCH(J$6,'RFM input'!$G$60:$Q$60,0))
-INDEX('RFM input'!$G$169:$Q$218,$A122,MATCH(J$6,'RFM input'!$G$60:$Q$60,0))))</f>
        <v>0.95125370444207324</v>
      </c>
      <c r="K122" s="1417">
        <f>IF(LEFT(K$6,4)&lt;LEFT('RFM input'!$G$60,4),"enter input",IF(LEFT(K$6,4)&gt;LEFT('RFM input'!$Q$60,4),0,INDEX('RFM input'!$G$61:$Q$110,$A122,MATCH(K$6,'RFM input'!$G$60:$Q$60,0))
-INDEX('RFM input'!$G$115:$Q$164,$A122,MATCH(K$6,'RFM input'!$G$60:$Q$60,0))
-INDEX('RFM input'!$G$169:$Q$218,$A122,MATCH(K$6,'RFM input'!$G$60:$Q$60,0))))</f>
        <v>0</v>
      </c>
      <c r="L122" s="1417">
        <f>IF(LEFT(L$6,4)&lt;LEFT('RFM input'!$G$60,4),"enter input",IF(LEFT(L$6,4)&gt;LEFT('RFM input'!$Q$60,4),0,INDEX('RFM input'!$G$61:$Q$110,$A122,MATCH(L$6,'RFM input'!$G$60:$Q$60,0))
-INDEX('RFM input'!$G$115:$Q$164,$A122,MATCH(L$6,'RFM input'!$G$60:$Q$60,0))
-INDEX('RFM input'!$G$169:$Q$218,$A122,MATCH(L$6,'RFM input'!$G$60:$Q$60,0))))</f>
        <v>0</v>
      </c>
      <c r="M122" s="1417">
        <f>IF(LEFT(M$6,4)&lt;LEFT('RFM input'!$G$60,4),"enter input",IF(LEFT(M$6,4)&gt;LEFT('RFM input'!$Q$60,4),0,INDEX('RFM input'!$G$61:$Q$110,$A122,MATCH(M$6,'RFM input'!$G$60:$Q$60,0))
-INDEX('RFM input'!$G$115:$Q$164,$A122,MATCH(M$6,'RFM input'!$G$60:$Q$60,0))
-INDEX('RFM input'!$G$169:$Q$218,$A122,MATCH(M$6,'RFM input'!$G$60:$Q$60,0))))</f>
        <v>0</v>
      </c>
      <c r="N122" s="1417">
        <f>IF(LEFT(N$6,4)&lt;LEFT('RFM input'!$G$60,4),"enter input",IF(LEFT(N$6,4)&gt;LEFT('RFM input'!$Q$60,4),0,INDEX('RFM input'!$G$61:$Q$110,$A122,MATCH(N$6,'RFM input'!$G$60:$Q$60,0))
-INDEX('RFM input'!$G$115:$Q$164,$A122,MATCH(N$6,'RFM input'!$G$60:$Q$60,0))
-INDEX('RFM input'!$G$169:$Q$218,$A122,MATCH(N$6,'RFM input'!$G$60:$Q$60,0))))</f>
        <v>0</v>
      </c>
      <c r="O122" s="1417">
        <f>IF(LEFT(O$6,4)&lt;LEFT('RFM input'!$G$60,4),"enter input",IF(LEFT(O$6,4)&gt;LEFT('RFM input'!$Q$60,4),0,INDEX('RFM input'!$G$61:$Q$110,$A122,MATCH(O$6,'RFM input'!$G$60:$Q$60,0))
-INDEX('RFM input'!$G$115:$Q$164,$A122,MATCH(O$6,'RFM input'!$G$60:$Q$60,0))
-INDEX('RFM input'!$G$169:$Q$218,$A122,MATCH(O$6,'RFM input'!$G$60:$Q$60,0))))</f>
        <v>0</v>
      </c>
      <c r="P122" s="1417">
        <f>IF(LEFT(P$6,4)&lt;LEFT('RFM input'!$G$60,4),"enter input",IF(LEFT(P$6,4)&gt;LEFT('RFM input'!$Q$60,4),0,INDEX('RFM input'!$G$61:$Q$110,$A122,MATCH(P$6,'RFM input'!$G$60:$Q$60,0))
-INDEX('RFM input'!$G$115:$Q$164,$A122,MATCH(P$6,'RFM input'!$G$60:$Q$60,0))
-INDEX('RFM input'!$G$169:$Q$218,$A122,MATCH(P$6,'RFM input'!$G$60:$Q$60,0))))</f>
        <v>0</v>
      </c>
      <c r="Q122" s="1417">
        <f>IF(LEFT(Q$6,4)&lt;LEFT('RFM input'!$G$60,4),"enter input",IF(LEFT(Q$6,4)&gt;LEFT('RFM input'!$Q$60,4),0,INDEX('RFM input'!$G$61:$Q$110,$A122,MATCH(Q$6,'RFM input'!$G$60:$Q$60,0))
-INDEX('RFM input'!$G$115:$Q$164,$A122,MATCH(Q$6,'RFM input'!$G$60:$Q$60,0))
-INDEX('RFM input'!$G$169:$Q$218,$A122,MATCH(Q$6,'RFM input'!$G$60:$Q$60,0))))</f>
        <v>0</v>
      </c>
      <c r="R122" s="1417">
        <f>IF(LEFT(R$6,4)&lt;LEFT('RFM input'!$G$60,4),"enter input",IF(LEFT(R$6,4)&gt;LEFT('RFM input'!$Q$60,4),0,INDEX('RFM input'!$G$61:$Q$110,$A122,MATCH(R$6,'RFM input'!$G$60:$Q$60,0))
-INDEX('RFM input'!$G$115:$Q$164,$A122,MATCH(R$6,'RFM input'!$G$60:$Q$60,0))
-INDEX('RFM input'!$G$169:$Q$218,$A122,MATCH(R$6,'RFM input'!$G$60:$Q$60,0))))</f>
        <v>0</v>
      </c>
      <c r="S122" s="1417">
        <f>IF(LEFT(S$6,4)&lt;LEFT('RFM input'!$G$60,4),"enter input",IF(LEFT(S$6,4)&gt;LEFT('RFM input'!$Q$60,4),0,INDEX('RFM input'!$G$61:$Q$110,$A122,MATCH(S$6,'RFM input'!$G$60:$Q$60,0))
-INDEX('RFM input'!$G$115:$Q$164,$A122,MATCH(S$6,'RFM input'!$G$60:$Q$60,0))
-INDEX('RFM input'!$G$169:$Q$218,$A122,MATCH(S$6,'RFM input'!$G$60:$Q$60,0))))</f>
        <v>0</v>
      </c>
      <c r="T122" s="1417">
        <f>IF(LEFT(T$6,4)&lt;LEFT('RFM input'!$G$60,4),"enter input",IF(LEFT(T$6,4)&gt;LEFT('RFM input'!$Q$60,4),0,INDEX('RFM input'!$G$61:$Q$110,$A122,MATCH(T$6,'RFM input'!$G$60:$Q$60,0))
-INDEX('RFM input'!$G$115:$Q$164,$A122,MATCH(T$6,'RFM input'!$G$60:$Q$60,0))
-INDEX('RFM input'!$G$169:$Q$218,$A122,MATCH(T$6,'RFM input'!$G$60:$Q$60,0))))</f>
        <v>0</v>
      </c>
      <c r="U122" s="1417">
        <f>IF(LEFT(U$6,4)&lt;LEFT('RFM input'!$G$60,4),"enter input",IF(LEFT(U$6,4)&gt;LEFT('RFM input'!$Q$60,4),0,INDEX('RFM input'!$G$61:$Q$110,$A122,MATCH(U$6,'RFM input'!$G$60:$Q$60,0))
-INDEX('RFM input'!$G$115:$Q$164,$A122,MATCH(U$6,'RFM input'!$G$60:$Q$60,0))
-INDEX('RFM input'!$G$169:$Q$218,$A122,MATCH(U$6,'RFM input'!$G$60:$Q$60,0))))</f>
        <v>0</v>
      </c>
      <c r="V122" s="1417">
        <f>IF(LEFT(V$6,4)&lt;LEFT('RFM input'!$G$60,4),"enter input",IF(LEFT(V$6,4)&gt;LEFT('RFM input'!$Q$60,4),0,INDEX('RFM input'!$G$61:$Q$110,$A122,MATCH(V$6,'RFM input'!$G$60:$Q$60,0))
-INDEX('RFM input'!$G$115:$Q$164,$A122,MATCH(V$6,'RFM input'!$G$60:$Q$60,0))
-INDEX('RFM input'!$G$169:$Q$218,$A122,MATCH(V$6,'RFM input'!$G$60:$Q$60,0))))</f>
        <v>0</v>
      </c>
      <c r="W122" s="1417">
        <f>IF(LEFT(W$6,4)&lt;LEFT('RFM input'!$G$60,4),"enter input",IF(LEFT(W$6,4)&gt;LEFT('RFM input'!$Q$60,4),0,INDEX('RFM input'!$G$61:$Q$110,$A122,MATCH(W$6,'RFM input'!$G$60:$Q$60,0))
-INDEX('RFM input'!$G$115:$Q$164,$A122,MATCH(W$6,'RFM input'!$G$60:$Q$60,0))
-INDEX('RFM input'!$G$169:$Q$218,$A122,MATCH(W$6,'RFM input'!$G$60:$Q$60,0))))</f>
        <v>0</v>
      </c>
      <c r="X122" s="152"/>
      <c r="Y122" s="152"/>
      <c r="Z122" s="152"/>
      <c r="AA122" s="152"/>
      <c r="AB122" s="152"/>
    </row>
    <row r="123" spans="1:28">
      <c r="A123" s="152"/>
      <c r="B123" s="152" t="s">
        <v>204</v>
      </c>
      <c r="C123" s="1418">
        <f ca="1">IF($C$8='Capital Base roll forward'!$H$4,OFFSET('RFM input'!$J$6,'RAB remaining lives'!A122,0),"enter input")</f>
        <v>8.274971900545264</v>
      </c>
      <c r="D123" s="1417">
        <f>IF(LEFT(D$6,4)&lt;=LEFT('RFM input'!$G$60,4),"enter input",IF(LEFT(D$6,4)&gt;LEFT('RFM input'!$Q$60,4),0,IF(MATCH(D$6,'RFM input'!$H$60:$Q$60,0),INDEX('RFM input'!$K$7:$K$56,$A122,1))))</f>
        <v>15</v>
      </c>
      <c r="E123" s="1417">
        <f>IF(LEFT(E$6,4)&lt;=LEFT('RFM input'!$G$60,4),"enter input",IF(LEFT(E$6,4)&gt;LEFT('RFM input'!$Q$60,4),0,IF(MATCH(E$6,'RFM input'!$H$60:$Q$60,0),INDEX('RFM input'!$K$7:$K$56,$A122,1))))</f>
        <v>15</v>
      </c>
      <c r="F123" s="1417">
        <f>IF(LEFT(F$6,4)&lt;=LEFT('RFM input'!$G$60,4),"enter input",IF(LEFT(F$6,4)&gt;LEFT('RFM input'!$Q$60,4),0,IF(MATCH(F$6,'RFM input'!$H$60:$Q$60,0),INDEX('RFM input'!$K$7:$K$56,$A122,1))))</f>
        <v>15</v>
      </c>
      <c r="G123" s="1417">
        <f>IF(LEFT(G$6,4)&lt;=LEFT('RFM input'!$G$60,4),"enter input",IF(LEFT(G$6,4)&gt;LEFT('RFM input'!$Q$60,4),0,IF(MATCH(G$6,'RFM input'!$H$60:$Q$60,0),INDEX('RFM input'!$K$7:$K$56,$A122,1))))</f>
        <v>15</v>
      </c>
      <c r="H123" s="1417">
        <f>IF(LEFT(H$6,4)&lt;=LEFT('RFM input'!$G$60,4),"enter input",IF(LEFT(H$6,4)&gt;LEFT('RFM input'!$Q$60,4),0,IF(MATCH(H$6,'RFM input'!$H$60:$Q$60,0),INDEX('RFM input'!$K$7:$K$56,$A122,1))))</f>
        <v>15</v>
      </c>
      <c r="I123" s="1417">
        <f>IF(LEFT(I$6,4)&lt;=LEFT('RFM input'!$G$60,4),"enter input",IF(LEFT(I$6,4)&gt;LEFT('RFM input'!$Q$60,4),0,IF(MATCH(I$6,'RFM input'!$H$60:$Q$60,0),INDEX('RFM input'!$K$7:$K$56,$A122,1))))</f>
        <v>15</v>
      </c>
      <c r="J123" s="1417">
        <f>IF(LEFT(J$6,4)&lt;=LEFT('RFM input'!$G$60,4),"enter input",IF(LEFT(J$6,4)&gt;LEFT('RFM input'!$Q$60,4),0,IF(MATCH(J$6,'RFM input'!$H$60:$Q$60,0),INDEX('RFM input'!$K$7:$K$56,$A122,1))))</f>
        <v>15</v>
      </c>
      <c r="K123" s="1417">
        <f>IF(LEFT(K$6,4)&lt;=LEFT('RFM input'!$G$60,4),"enter input",IF(LEFT(K$6,4)&gt;LEFT('RFM input'!$Q$60,4),0,IF(MATCH(K$6,'RFM input'!$H$60:$Q$60,0),INDEX('RFM input'!$K$7:$K$56,$A122,1))))</f>
        <v>15</v>
      </c>
      <c r="L123" s="1417">
        <f>IF(LEFT(L$6,4)&lt;=LEFT('RFM input'!$G$60,4),"enter input",IF(LEFT(L$6,4)&gt;LEFT('RFM input'!$Q$60,4),0,IF(MATCH(L$6,'RFM input'!$H$60:$Q$60,0),INDEX('RFM input'!$K$7:$K$56,$A122,1))))</f>
        <v>15</v>
      </c>
      <c r="M123" s="1417">
        <f>IF(LEFT(M$6,4)&lt;=LEFT('RFM input'!$G$60,4),"enter input",IF(LEFT(M$6,4)&gt;LEFT('RFM input'!$Q$60,4),0,IF(MATCH(M$6,'RFM input'!$H$60:$Q$60,0),INDEX('RFM input'!$K$7:$K$56,$A122,1))))</f>
        <v>15</v>
      </c>
      <c r="N123" s="1417">
        <f>IF(LEFT(N$6,4)&lt;=LEFT('RFM input'!$G$60,4),"enter input",IF(LEFT(N$6,4)&gt;LEFT('RFM input'!$Q$60,4),0,IF(MATCH(N$6,'RFM input'!$H$60:$Q$60,0),INDEX('RFM input'!$K$7:$K$56,$A122,1))))</f>
        <v>0</v>
      </c>
      <c r="O123" s="1417">
        <f>IF(LEFT(O$6,4)&lt;=LEFT('RFM input'!$G$60,4),"enter input",IF(LEFT(O$6,4)&gt;LEFT('RFM input'!$Q$60,4),0,IF(MATCH(O$6,'RFM input'!$H$60:$Q$60,0),INDEX('RFM input'!$K$7:$K$56,$A122,1))))</f>
        <v>0</v>
      </c>
      <c r="P123" s="1417">
        <f>IF(LEFT(P$6,4)&lt;=LEFT('RFM input'!$G$60,4),"enter input",IF(LEFT(P$6,4)&gt;LEFT('RFM input'!$Q$60,4),0,IF(MATCH(P$6,'RFM input'!$H$60:$Q$60,0),INDEX('RFM input'!$K$7:$K$56,$A122,1))))</f>
        <v>0</v>
      </c>
      <c r="Q123" s="1417">
        <f>IF(LEFT(Q$6,4)&lt;=LEFT('RFM input'!$G$60,4),"enter input",IF(LEFT(Q$6,4)&gt;LEFT('RFM input'!$Q$60,4),0,IF(MATCH(Q$6,'RFM input'!$H$60:$Q$60,0),INDEX('RFM input'!$K$7:$K$56,$A122,1))))</f>
        <v>0</v>
      </c>
      <c r="R123" s="1417">
        <f>IF(LEFT(R$6,4)&lt;=LEFT('RFM input'!$G$60,4),"enter input",IF(LEFT(R$6,4)&gt;LEFT('RFM input'!$Q$60,4),0,IF(MATCH(R$6,'RFM input'!$H$60:$Q$60,0),INDEX('RFM input'!$K$7:$K$56,$A122,1))))</f>
        <v>0</v>
      </c>
      <c r="S123" s="1417">
        <f>IF(LEFT(S$6,4)&lt;=LEFT('RFM input'!$G$60,4),"enter input",IF(LEFT(S$6,4)&gt;LEFT('RFM input'!$Q$60,4),0,IF(MATCH(S$6,'RFM input'!$H$60:$Q$60,0),INDEX('RFM input'!$K$7:$K$56,$A122,1))))</f>
        <v>0</v>
      </c>
      <c r="T123" s="1417">
        <f>IF(LEFT(T$6,4)&lt;=LEFT('RFM input'!$G$60,4),"enter input",IF(LEFT(T$6,4)&gt;LEFT('RFM input'!$Q$60,4),0,IF(MATCH(T$6,'RFM input'!$H$60:$Q$60,0),INDEX('RFM input'!$K$7:$K$56,$A122,1))))</f>
        <v>0</v>
      </c>
      <c r="U123" s="1417">
        <f>IF(LEFT(U$6,4)&lt;=LEFT('RFM input'!$G$60,4),"enter input",IF(LEFT(U$6,4)&gt;LEFT('RFM input'!$Q$60,4),0,IF(MATCH(U$6,'RFM input'!$H$60:$Q$60,0),INDEX('RFM input'!$K$7:$K$56,$A122,1))))</f>
        <v>0</v>
      </c>
      <c r="V123" s="1417">
        <f>IF(LEFT(V$6,4)&lt;=LEFT('RFM input'!$G$60,4),"enter input",IF(LEFT(V$6,4)&gt;LEFT('RFM input'!$Q$60,4),0,IF(MATCH(V$6,'RFM input'!$H$60:$Q$60,0),INDEX('RFM input'!$K$7:$K$56,$A122,1))))</f>
        <v>0</v>
      </c>
      <c r="W123" s="1417">
        <f>IF(LEFT(W$6,4)&lt;=LEFT('RFM input'!$G$60,4),"enter input",IF(LEFT(W$6,4)&gt;LEFT('RFM input'!$Q$60,4),0,IF(MATCH(W$6,'RFM input'!$H$60:$Q$60,0),INDEX('RFM input'!$K$7:$K$56,$A122,1))))</f>
        <v>0</v>
      </c>
      <c r="X123" s="152"/>
      <c r="Y123" s="152"/>
      <c r="Z123" s="152"/>
      <c r="AA123" s="152"/>
      <c r="AB123" s="152"/>
    </row>
    <row r="124" spans="1:28">
      <c r="A124" s="152"/>
      <c r="B124" s="177" t="s">
        <v>191</v>
      </c>
      <c r="C124" s="1419"/>
      <c r="D124" s="1420">
        <f ca="1">IF(LEFT(D$6,4)&lt;=LEFT('RFM input'!$G$60,4),"enter input",IF(LEFT(D$6,4)&gt;LEFT('RFM input'!$Q$60,4),0,IF(D$6=(OFFSET('RFM input'!$G$60,0,'RFM input'!$V$7)),OFFSET('RFM input'!$G$411,$A122,0),0)))</f>
        <v>0</v>
      </c>
      <c r="E124" s="1417">
        <f ca="1">IF(LEFT(E$6,4)&lt;=LEFT('RFM input'!$G$60,4),"enter input",IF(LEFT(E$6,4)&gt;LEFT('RFM input'!$Q$60,4),0,IF(E$6=(OFFSET('RFM input'!$G$60,0,'RFM input'!$V$7)),OFFSET('RFM input'!$G$411,$A122,0),0)))</f>
        <v>0</v>
      </c>
      <c r="F124" s="1417">
        <f ca="1">IF(LEFT(F$6,4)&lt;=LEFT('RFM input'!$G$60,4),"enter input",IF(LEFT(F$6,4)&gt;LEFT('RFM input'!$Q$60,4),0,IF(F$6=(OFFSET('RFM input'!$G$60,0,'RFM input'!$V$7)),OFFSET('RFM input'!$G$411,$A122,0),0)))</f>
        <v>0</v>
      </c>
      <c r="G124" s="1417">
        <f ca="1">IF(LEFT(G$6,4)&lt;=LEFT('RFM input'!$G$60,4),"enter input",IF(LEFT(G$6,4)&gt;LEFT('RFM input'!$Q$60,4),0,IF(G$6=(OFFSET('RFM input'!$G$60,0,'RFM input'!$V$7)),OFFSET('RFM input'!$G$411,$A122,0),0)))</f>
        <v>0</v>
      </c>
      <c r="H124" s="1417">
        <f ca="1">IF(LEFT(H$6,4)&lt;=LEFT('RFM input'!$G$60,4),"enter input",IF(LEFT(H$6,4)&gt;LEFT('RFM input'!$Q$60,4),0,IF(H$6=(OFFSET('RFM input'!$G$60,0,'RFM input'!$V$7)),OFFSET('RFM input'!$G$411,$A122,0),0)))</f>
        <v>0</v>
      </c>
      <c r="I124" s="1417">
        <f ca="1">IF(LEFT(I$6,4)&lt;=LEFT('RFM input'!$G$60,4),"enter input",IF(LEFT(I$6,4)&gt;LEFT('RFM input'!$Q$60,4),0,IF(I$6=(OFFSET('RFM input'!$G$60,0,'RFM input'!$V$7)),OFFSET('RFM input'!$G$411,$A122,0),0)))</f>
        <v>0</v>
      </c>
      <c r="J124" s="1417">
        <f ca="1">IF(LEFT(J$6,4)&lt;=LEFT('RFM input'!$G$60,4),"enter input",IF(LEFT(J$6,4)&gt;LEFT('RFM input'!$Q$60,4),0,IF(J$6=(OFFSET('RFM input'!$G$60,0,'RFM input'!$V$7)),OFFSET('RFM input'!$G$411,$A122,0),0)))</f>
        <v>0</v>
      </c>
      <c r="K124" s="1417">
        <f ca="1">IF(LEFT(K$6,4)&lt;=LEFT('RFM input'!$G$60,4),"enter input",IF(LEFT(K$6,4)&gt;LEFT('RFM input'!$Q$60,4),0,IF(K$6=(OFFSET('RFM input'!$G$60,0,'RFM input'!$V$7)),OFFSET('RFM input'!$G$411,$A122,0),0)))</f>
        <v>0</v>
      </c>
      <c r="L124" s="1417">
        <f ca="1">IF(LEFT(L$6,4)&lt;=LEFT('RFM input'!$G$60,4),"enter input",IF(LEFT(L$6,4)&gt;LEFT('RFM input'!$Q$60,4),0,IF(L$6=(OFFSET('RFM input'!$G$60,0,'RFM input'!$V$7)),OFFSET('RFM input'!$G$411,$A122,0),0)))</f>
        <v>0</v>
      </c>
      <c r="M124" s="1417">
        <f ca="1">IF(LEFT(M$6,4)&lt;=LEFT('RFM input'!$G$60,4),"enter input",IF(LEFT(M$6,4)&gt;LEFT('RFM input'!$Q$60,4),0,IF(M$6=(OFFSET('RFM input'!$G$60,0,'RFM input'!$V$7)),OFFSET('RFM input'!$G$411,$A122,0),0)))</f>
        <v>0</v>
      </c>
      <c r="N124" s="1417">
        <f ca="1">IF(LEFT(N$6,4)&lt;=LEFT('RFM input'!$G$60,4),"enter input",IF(LEFT(N$6,4)&gt;LEFT('RFM input'!$Q$60,4),0,IF(N$6=(OFFSET('RFM input'!$G$60,0,'RFM input'!$V$7)),OFFSET('RFM input'!$G$411,$A122,0),0)))</f>
        <v>0</v>
      </c>
      <c r="O124" s="1417">
        <f ca="1">IF(LEFT(O$6,4)&lt;=LEFT('RFM input'!$G$60,4),"enter input",IF(LEFT(O$6,4)&gt;LEFT('RFM input'!$Q$60,4),0,IF(O$6=(OFFSET('RFM input'!$G$60,0,'RFM input'!$V$7)),OFFSET('RFM input'!$G$411,$A122,0),0)))</f>
        <v>0</v>
      </c>
      <c r="P124" s="1417">
        <f ca="1">IF(LEFT(P$6,4)&lt;=LEFT('RFM input'!$G$60,4),"enter input",IF(LEFT(P$6,4)&gt;LEFT('RFM input'!$Q$60,4),0,IF(P$6=(OFFSET('RFM input'!$G$60,0,'RFM input'!$V$7)),OFFSET('RFM input'!$G$411,$A122,0),0)))</f>
        <v>0</v>
      </c>
      <c r="Q124" s="1417">
        <f ca="1">IF(LEFT(Q$6,4)&lt;=LEFT('RFM input'!$G$60,4),"enter input",IF(LEFT(Q$6,4)&gt;LEFT('RFM input'!$Q$60,4),0,IF(Q$6=(OFFSET('RFM input'!$G$60,0,'RFM input'!$V$7)),OFFSET('RFM input'!$G$411,$A122,0),0)))</f>
        <v>0</v>
      </c>
      <c r="R124" s="1417">
        <f ca="1">IF(LEFT(R$6,4)&lt;=LEFT('RFM input'!$G$60,4),"enter input",IF(LEFT(R$6,4)&gt;LEFT('RFM input'!$Q$60,4),0,IF(R$6=(OFFSET('RFM input'!$G$60,0,'RFM input'!$V$7)),OFFSET('RFM input'!$G$411,$A122,0),0)))</f>
        <v>0</v>
      </c>
      <c r="S124" s="1417">
        <f ca="1">IF(LEFT(S$6,4)&lt;=LEFT('RFM input'!$G$60,4),"enter input",IF(LEFT(S$6,4)&gt;LEFT('RFM input'!$Q$60,4),0,IF(S$6=(OFFSET('RFM input'!$G$60,0,'RFM input'!$V$7)),OFFSET('RFM input'!$G$411,$A122,0),0)))</f>
        <v>0</v>
      </c>
      <c r="T124" s="1417">
        <f ca="1">IF(LEFT(T$6,4)&lt;=LEFT('RFM input'!$G$60,4),"enter input",IF(LEFT(T$6,4)&gt;LEFT('RFM input'!$Q$60,4),0,IF(T$6=(OFFSET('RFM input'!$G$60,0,'RFM input'!$V$7)),OFFSET('RFM input'!$G$411,$A122,0),0)))</f>
        <v>0</v>
      </c>
      <c r="U124" s="1417">
        <f ca="1">IF(LEFT(U$6,4)&lt;=LEFT('RFM input'!$G$60,4),"enter input",IF(LEFT(U$6,4)&gt;LEFT('RFM input'!$Q$60,4),0,IF(U$6=(OFFSET('RFM input'!$G$60,0,'RFM input'!$V$7)),OFFSET('RFM input'!$G$411,$A122,0),0)))</f>
        <v>0</v>
      </c>
      <c r="V124" s="1417">
        <f ca="1">IF(LEFT(V$6,4)&lt;=LEFT('RFM input'!$G$60,4),"enter input",IF(LEFT(V$6,4)&gt;LEFT('RFM input'!$Q$60,4),0,IF(V$6=(OFFSET('RFM input'!$G$60,0,'RFM input'!$V$7)),OFFSET('RFM input'!$G$411,$A122,0),0)))</f>
        <v>0</v>
      </c>
      <c r="W124" s="1417">
        <f ca="1">IF(LEFT(W$6,4)&lt;=LEFT('RFM input'!$G$60,4),"enter input",IF(LEFT(W$6,4)&gt;LEFT('RFM input'!$Q$60,4),0,IF(W$6=(OFFSET('RFM input'!$G$60,0,'RFM input'!$V$7)),OFFSET('RFM input'!$G$411,$A122,0),0)))</f>
        <v>0</v>
      </c>
      <c r="X124" s="152"/>
      <c r="Y124" s="152"/>
      <c r="Z124" s="152"/>
      <c r="AA124" s="152"/>
      <c r="AB124" s="152"/>
    </row>
    <row r="125" spans="1:28">
      <c r="A125" s="152"/>
      <c r="B125" s="195" t="s">
        <v>197</v>
      </c>
      <c r="C125" s="1419"/>
      <c r="D125" s="1418">
        <f ca="1">IF(LEFT(D$6,4)&lt;=LEFT('RFM input'!$G$60,4),"enter input",IF(LEFT(D$6,4)&gt;LEFT('RFM input'!$Q$60,4),0,IF(D$6=(OFFSET('RFM input'!$G$60,0,'RFM input'!$V$7)),OFFSET('RFM input'!$I$411,$A122,0),0)))</f>
        <v>0</v>
      </c>
      <c r="E125" s="1422">
        <f ca="1">IF(LEFT(E$6,4)&lt;=LEFT('RFM input'!$G$60,4),"enter input",IF(LEFT(E$6,4)&gt;LEFT('RFM input'!$Q$60,4),0,IF(E$6=(OFFSET('RFM input'!$G$60,0,'RFM input'!$V$7)),OFFSET('RFM input'!$I$411,$A122,0),0)))</f>
        <v>0</v>
      </c>
      <c r="F125" s="1422">
        <f ca="1">IF(LEFT(F$6,4)&lt;=LEFT('RFM input'!$G$60,4),"enter input",IF(LEFT(F$6,4)&gt;LEFT('RFM input'!$Q$60,4),0,IF(F$6=(OFFSET('RFM input'!$G$60,0,'RFM input'!$V$7)),OFFSET('RFM input'!$I$411,$A122,0),0)))</f>
        <v>0</v>
      </c>
      <c r="G125" s="1422">
        <f ca="1">IF(LEFT(G$6,4)&lt;=LEFT('RFM input'!$G$60,4),"enter input",IF(LEFT(G$6,4)&gt;LEFT('RFM input'!$Q$60,4),0,IF(G$6=(OFFSET('RFM input'!$G$60,0,'RFM input'!$V$7)),OFFSET('RFM input'!$I$411,$A122,0),0)))</f>
        <v>0</v>
      </c>
      <c r="H125" s="1422">
        <f ca="1">IF(LEFT(H$6,4)&lt;=LEFT('RFM input'!$G$60,4),"enter input",IF(LEFT(H$6,4)&gt;LEFT('RFM input'!$Q$60,4),0,IF(H$6=(OFFSET('RFM input'!$G$60,0,'RFM input'!$V$7)),OFFSET('RFM input'!$I$411,$A122,0),0)))</f>
        <v>0</v>
      </c>
      <c r="I125" s="1422">
        <f ca="1">IF(LEFT(I$6,4)&lt;=LEFT('RFM input'!$G$60,4),"enter input",IF(LEFT(I$6,4)&gt;LEFT('RFM input'!$Q$60,4),0,IF(I$6=(OFFSET('RFM input'!$G$60,0,'RFM input'!$V$7)),OFFSET('RFM input'!$I$411,$A122,0),0)))</f>
        <v>0</v>
      </c>
      <c r="J125" s="1422">
        <f ca="1">IF(LEFT(J$6,4)&lt;=LEFT('RFM input'!$G$60,4),"enter input",IF(LEFT(J$6,4)&gt;LEFT('RFM input'!$Q$60,4),0,IF(J$6=(OFFSET('RFM input'!$G$60,0,'RFM input'!$V$7)),OFFSET('RFM input'!$I$411,$A122,0),0)))</f>
        <v>0</v>
      </c>
      <c r="K125" s="1422">
        <f ca="1">IF(LEFT(K$6,4)&lt;=LEFT('RFM input'!$G$60,4),"enter input",IF(LEFT(K$6,4)&gt;LEFT('RFM input'!$Q$60,4),0,IF(K$6=(OFFSET('RFM input'!$G$60,0,'RFM input'!$V$7)),OFFSET('RFM input'!$I$411,$A122,0),0)))</f>
        <v>0</v>
      </c>
      <c r="L125" s="1422">
        <f ca="1">IF(LEFT(L$6,4)&lt;=LEFT('RFM input'!$G$60,4),"enter input",IF(LEFT(L$6,4)&gt;LEFT('RFM input'!$Q$60,4),0,IF(L$6=(OFFSET('RFM input'!$G$60,0,'RFM input'!$V$7)),OFFSET('RFM input'!$I$411,$A122,0),0)))</f>
        <v>0</v>
      </c>
      <c r="M125" s="1422">
        <f ca="1">IF(LEFT(M$6,4)&lt;=LEFT('RFM input'!$G$60,4),"enter input",IF(LEFT(M$6,4)&gt;LEFT('RFM input'!$Q$60,4),0,IF(M$6=(OFFSET('RFM input'!$G$60,0,'RFM input'!$V$7)),OFFSET('RFM input'!$I$411,$A122,0),0)))</f>
        <v>0</v>
      </c>
      <c r="N125" s="1422">
        <f ca="1">IF(LEFT(N$6,4)&lt;=LEFT('RFM input'!$G$60,4),"enter input",IF(LEFT(N$6,4)&gt;LEFT('RFM input'!$Q$60,4),0,IF(N$6=(OFFSET('RFM input'!$G$60,0,'RFM input'!$V$7)),OFFSET('RFM input'!$I$411,$A122,0),0)))</f>
        <v>0</v>
      </c>
      <c r="O125" s="1422">
        <f ca="1">IF(LEFT(O$6,4)&lt;=LEFT('RFM input'!$G$60,4),"enter input",IF(LEFT(O$6,4)&gt;LEFT('RFM input'!$Q$60,4),0,IF(O$6=(OFFSET('RFM input'!$G$60,0,'RFM input'!$V$7)),OFFSET('RFM input'!$I$411,$A122,0),0)))</f>
        <v>0</v>
      </c>
      <c r="P125" s="1422">
        <f ca="1">IF(LEFT(P$6,4)&lt;=LEFT('RFM input'!$G$60,4),"enter input",IF(LEFT(P$6,4)&gt;LEFT('RFM input'!$Q$60,4),0,IF(P$6=(OFFSET('RFM input'!$G$60,0,'RFM input'!$V$7)),OFFSET('RFM input'!$I$411,$A122,0),0)))</f>
        <v>0</v>
      </c>
      <c r="Q125" s="1422">
        <f ca="1">IF(LEFT(Q$6,4)&lt;=LEFT('RFM input'!$G$60,4),"enter input",IF(LEFT(Q$6,4)&gt;LEFT('RFM input'!$Q$60,4),0,IF(Q$6=(OFFSET('RFM input'!$G$60,0,'RFM input'!$V$7)),OFFSET('RFM input'!$I$411,$A122,0),0)))</f>
        <v>0</v>
      </c>
      <c r="R125" s="1422">
        <f ca="1">IF(LEFT(R$6,4)&lt;=LEFT('RFM input'!$G$60,4),"enter input",IF(LEFT(R$6,4)&gt;LEFT('RFM input'!$Q$60,4),0,IF(R$6=(OFFSET('RFM input'!$G$60,0,'RFM input'!$V$7)),OFFSET('RFM input'!$I$411,$A122,0),0)))</f>
        <v>0</v>
      </c>
      <c r="S125" s="1422">
        <f ca="1">IF(LEFT(S$6,4)&lt;=LEFT('RFM input'!$G$60,4),"enter input",IF(LEFT(S$6,4)&gt;LEFT('RFM input'!$Q$60,4),0,IF(S$6=(OFFSET('RFM input'!$G$60,0,'RFM input'!$V$7)),OFFSET('RFM input'!$I$411,$A122,0),0)))</f>
        <v>0</v>
      </c>
      <c r="T125" s="1422">
        <f ca="1">IF(LEFT(T$6,4)&lt;=LEFT('RFM input'!$G$60,4),"enter input",IF(LEFT(T$6,4)&gt;LEFT('RFM input'!$Q$60,4),0,IF(T$6=(OFFSET('RFM input'!$G$60,0,'RFM input'!$V$7)),OFFSET('RFM input'!$I$411,$A122,0),0)))</f>
        <v>0</v>
      </c>
      <c r="U125" s="1422">
        <f ca="1">IF(LEFT(U$6,4)&lt;=LEFT('RFM input'!$G$60,4),"enter input",IF(LEFT(U$6,4)&gt;LEFT('RFM input'!$Q$60,4),0,IF(U$6=(OFFSET('RFM input'!$G$60,0,'RFM input'!$V$7)),OFFSET('RFM input'!$I$411,$A122,0),0)))</f>
        <v>0</v>
      </c>
      <c r="V125" s="1422">
        <f ca="1">IF(LEFT(V$6,4)&lt;=LEFT('RFM input'!$G$60,4),"enter input",IF(LEFT(V$6,4)&gt;LEFT('RFM input'!$Q$60,4),0,IF(V$6=(OFFSET('RFM input'!$G$60,0,'RFM input'!$V$7)),OFFSET('RFM input'!$I$411,$A122,0),0)))</f>
        <v>0</v>
      </c>
      <c r="W125" s="1422">
        <f ca="1">IF(LEFT(W$6,4)&lt;=LEFT('RFM input'!$G$60,4),"enter input",IF(LEFT(W$6,4)&gt;LEFT('RFM input'!$Q$60,4),0,IF(W$6=(OFFSET('RFM input'!$G$60,0,'RFM input'!$V$7)),OFFSET('RFM input'!$I$411,$A122,0),0)))</f>
        <v>0</v>
      </c>
      <c r="X125" s="152"/>
      <c r="Y125" s="152"/>
      <c r="Z125" s="152"/>
      <c r="AA125" s="152"/>
      <c r="AB125" s="152"/>
    </row>
    <row r="126" spans="1:28" hidden="1" outlineLevel="1">
      <c r="A126" s="235">
        <v>-1</v>
      </c>
      <c r="B126" s="190" t="s">
        <v>189</v>
      </c>
      <c r="C126" s="1423"/>
      <c r="D126" s="1423">
        <f ca="1">IF(AND(D124=0,C126=0),0,
IF(AND(D124&lt;&gt;0,C126=0),(D124/D$10),
IF(AND(D125&lt;&gt;0,C126&lt;&gt;0),(C126-(C126/C150))+(D124/D$10),
IF(C150&lt;1,0,(C126-(C126/C150))))))</f>
        <v>0</v>
      </c>
      <c r="E126" s="1423">
        <f t="shared" ref="E126" ca="1" si="127">IF(AND(E124=0,D126=0),0,
IF(AND(E124&lt;&gt;0,D126=0),(E124/E$10),
IF(AND(E125&lt;&gt;0,D126&lt;&gt;0),(D126-(D126/D150))+(E124/E$10),
IF(D150&lt;1,0,(D126-(D126/D150))))))</f>
        <v>0</v>
      </c>
      <c r="F126" s="1423">
        <f t="shared" ref="F126" ca="1" si="128">IF(AND(F124=0,E126=0),0,
IF(AND(F124&lt;&gt;0,E126=0),(F124/F$10),
IF(AND(F125&lt;&gt;0,E126&lt;&gt;0),(E126-(E126/E150))+(F124/F$10),
IF(E150&lt;1,0,(E126-(E126/E150))))))</f>
        <v>0</v>
      </c>
      <c r="G126" s="1423">
        <f t="shared" ref="G126" ca="1" si="129">IF(AND(G124=0,F126=0),0,
IF(AND(G124&lt;&gt;0,F126=0),(G124/G$10),
IF(AND(G125&lt;&gt;0,F126&lt;&gt;0),(F126-(F126/F150))+(G124/G$10),
IF(F150&lt;1,0,(F126-(F126/F150))))))</f>
        <v>0</v>
      </c>
      <c r="H126" s="1423">
        <f t="shared" ref="H126" ca="1" si="130">IF(AND(H124=0,G126=0),0,
IF(AND(H124&lt;&gt;0,G126=0),(H124/H$10),
IF(AND(H125&lt;&gt;0,G126&lt;&gt;0),(G126-(G126/G150))+(H124/H$10),
IF(G150&lt;1,0,(G126-(G126/G150))))))</f>
        <v>0</v>
      </c>
      <c r="I126" s="1423">
        <f t="shared" ref="I126" ca="1" si="131">IF(AND(I124=0,H126=0),0,
IF(AND(I124&lt;&gt;0,H126=0),(I124/I$10),
IF(AND(I125&lt;&gt;0,H126&lt;&gt;0),(H126-(H126/H150))+(I124/I$10),
IF(H150&lt;1,0,(H126-(H126/H150))))))</f>
        <v>0</v>
      </c>
      <c r="J126" s="1423">
        <f t="shared" ref="J126" ca="1" si="132">IF(AND(J124=0,I126=0),0,
IF(AND(J124&lt;&gt;0,I126=0),(J124/J$10),
IF(AND(J125&lt;&gt;0,I126&lt;&gt;0),(I126-(I126/I150))+(J124/J$10),
IF(I150&lt;1,0,(I126-(I126/I150))))))</f>
        <v>0</v>
      </c>
      <c r="K126" s="1423">
        <f t="shared" ref="K126" ca="1" si="133">IF(AND(K124=0,J126=0),0,
IF(AND(K124&lt;&gt;0,J126=0),(K124/K$10),
IF(AND(K125&lt;&gt;0,J126&lt;&gt;0),(J126-(J126/J150))+(K124/K$10),
IF(J150&lt;1,0,(J126-(J126/J150))))))</f>
        <v>0</v>
      </c>
      <c r="L126" s="1423">
        <f t="shared" ref="L126" ca="1" si="134">IF(AND(L124=0,K126=0),0,
IF(AND(L124&lt;&gt;0,K126=0),(L124/L$10),
IF(AND(L125&lt;&gt;0,K126&lt;&gt;0),(K126-(K126/K150))+(L124/L$10),
IF(K150&lt;1,0,(K126-(K126/K150))))))</f>
        <v>0</v>
      </c>
      <c r="M126" s="1423">
        <f t="shared" ref="M126" ca="1" si="135">IF(AND(M124=0,L126=0),0,
IF(AND(M124&lt;&gt;0,L126=0),(M124/M$10),
IF(AND(M125&lt;&gt;0,L126&lt;&gt;0),(L126-(L126/L150))+(M124/M$10),
IF(L150&lt;1,0,(L126-(L126/L150))))))</f>
        <v>0</v>
      </c>
      <c r="N126" s="1423">
        <f t="shared" ref="N126" ca="1" si="136">IF(AND(N124=0,M126=0),0,
IF(AND(N124&lt;&gt;0,M126=0),(N124/N$10),
IF(AND(N125&lt;&gt;0,M126&lt;&gt;0),(M126-(M126/M150))+(N124/N$10),
IF(M150&lt;1,0,(M126-(M126/M150))))))</f>
        <v>0</v>
      </c>
      <c r="O126" s="1423">
        <f t="shared" ref="O126" ca="1" si="137">IF(AND(O124=0,N126=0),0,
IF(AND(O124&lt;&gt;0,N126=0),(O124/O$10),
IF(AND(O125&lt;&gt;0,N126&lt;&gt;0),(N126-(N126/N150))+(O124/O$10),
IF(N150&lt;1,0,(N126-(N126/N150))))))</f>
        <v>0</v>
      </c>
      <c r="P126" s="1423">
        <f t="shared" ref="P126" ca="1" si="138">IF(AND(P124=0,O126=0),0,
IF(AND(P124&lt;&gt;0,O126=0),(P124/P$10),
IF(AND(P125&lt;&gt;0,O126&lt;&gt;0),(O126-(O126/O150))+(P124/P$10),
IF(O150&lt;1,0,(O126-(O126/O150))))))</f>
        <v>0</v>
      </c>
      <c r="Q126" s="1423">
        <f t="shared" ref="Q126" ca="1" si="139">IF(AND(Q124=0,P126=0),0,
IF(AND(Q124&lt;&gt;0,P126=0),(Q124/Q$10),
IF(AND(Q125&lt;&gt;0,P126&lt;&gt;0),(P126-(P126/P150))+(Q124/Q$10),
IF(P150&lt;1,0,(P126-(P126/P150))))))</f>
        <v>0</v>
      </c>
      <c r="R126" s="1423">
        <f t="shared" ref="R126" ca="1" si="140">IF(AND(R124=0,Q126=0),0,
IF(AND(R124&lt;&gt;0,Q126=0),(R124/R$10),
IF(AND(R125&lt;&gt;0,Q126&lt;&gt;0),(Q126-(Q126/Q150))+(R124/R$10),
IF(Q150&lt;1,0,(Q126-(Q126/Q150))))))</f>
        <v>0</v>
      </c>
      <c r="S126" s="1423">
        <f t="shared" ref="S126" ca="1" si="141">IF(AND(S124=0,R126=0),0,
IF(AND(S124&lt;&gt;0,R126=0),(S124/S$10),
IF(AND(S125&lt;&gt;0,R126&lt;&gt;0),(R126-(R126/R150))+(S124/S$10),
IF(R150&lt;1,0,(R126-(R126/R150))))))</f>
        <v>0</v>
      </c>
      <c r="T126" s="1423">
        <f t="shared" ref="T126" ca="1" si="142">IF(AND(T124=0,S126=0),0,
IF(AND(T124&lt;&gt;0,S126=0),(T124/T$10),
IF(AND(T125&lt;&gt;0,S126&lt;&gt;0),(S126-(S126/S150))+(T124/T$10),
IF(S150&lt;1,0,(S126-(S126/S150))))))</f>
        <v>0</v>
      </c>
      <c r="U126" s="1423">
        <f t="shared" ref="U126" ca="1" si="143">IF(AND(U124=0,T126=0),0,
IF(AND(U124&lt;&gt;0,T126=0),(U124/U$10),
IF(AND(U125&lt;&gt;0,T126&lt;&gt;0),(T126-(T126/T150))+(U124/U$10),
IF(T150&lt;1,0,(T126-(T126/T150))))))</f>
        <v>0</v>
      </c>
      <c r="V126" s="1423">
        <f t="shared" ref="V126" ca="1" si="144">IF(AND(V124=0,U126=0),0,
IF(AND(V124&lt;&gt;0,U126=0),(V124/V$10),
IF(AND(V125&lt;&gt;0,U126&lt;&gt;0),(U126-(U126/U150))+(V124/V$10),
IF(U150&lt;1,0,(U126-(U126/U150))))))</f>
        <v>0</v>
      </c>
      <c r="W126" s="1423">
        <f t="shared" ref="W126" ca="1" si="145">IF(AND(W124=0,V126=0),0,
IF(AND(W124&lt;&gt;0,V126=0),(W124/W$10),
IF(AND(W125&lt;&gt;0,V126&lt;&gt;0),(V126-(V126/V150))+(W124/W$10),
IF(V150&lt;1,0,(V126-(V126/V150))))))</f>
        <v>0</v>
      </c>
      <c r="X126" s="152"/>
      <c r="Y126" s="152"/>
      <c r="Z126" s="152"/>
      <c r="AA126" s="152"/>
      <c r="AB126" s="152"/>
    </row>
    <row r="127" spans="1:28" hidden="1" outlineLevel="1">
      <c r="A127" s="199">
        <f>A126+1</f>
        <v>0</v>
      </c>
      <c r="B127" s="190" t="s">
        <v>125</v>
      </c>
      <c r="C127" s="1423">
        <f ca="1">C122/C$10</f>
        <v>24.328597289033493</v>
      </c>
      <c r="D127" s="1423">
        <f ca="1">IF(C151="n/a",C127,IFERROR(IF((OFFSET($C127,0,$A127))&lt;0,
MIN(0,C127-(OFFSET($C127,0,$A127)/(OFFSET($C122,-$A126,$A127)))),
MAX(0,C127-(OFFSET($C127,0,$A127)/(OFFSET($C122,-$A126,$A127))))),0))</f>
        <v>21.388575548605541</v>
      </c>
      <c r="E127" s="1423">
        <f t="shared" ref="E127" ca="1" si="146">IF(D151="n/a",D127,IFERROR(IF((OFFSET($C127,0,$A127))&lt;0,
MIN(0,D127-(OFFSET($C127,0,$A127)/(OFFSET($C122,-$A126,$A127)))),
MAX(0,D127-(OFFSET($C127,0,$A127)/(OFFSET($C122,-$A126,$A127))))),0))</f>
        <v>18.448553808177589</v>
      </c>
      <c r="F127" s="1423">
        <f t="shared" ref="F127:F128" ca="1" si="147">IF(E151="n/a",E127,IFERROR(IF((OFFSET($C127,0,$A127))&lt;0,
MIN(0,E127-(OFFSET($C127,0,$A127)/(OFFSET($C122,-$A126,$A127)))),
MAX(0,E127-(OFFSET($C127,0,$A127)/(OFFSET($C122,-$A126,$A127))))),0))</f>
        <v>15.508532067749636</v>
      </c>
      <c r="G127" s="1423">
        <f t="shared" ref="G127:G129" ca="1" si="148">IF(F151="n/a",F127,IFERROR(IF((OFFSET($C127,0,$A127))&lt;0,
MIN(0,F127-(OFFSET($C127,0,$A127)/(OFFSET($C122,-$A126,$A127)))),
MAX(0,F127-(OFFSET($C127,0,$A127)/(OFFSET($C122,-$A126,$A127))))),0))</f>
        <v>12.568510327321682</v>
      </c>
      <c r="H127" s="1423">
        <f t="shared" ref="H127:H130" ca="1" si="149">IF(G151="n/a",G127,IFERROR(IF((OFFSET($C127,0,$A127))&lt;0,
MIN(0,G127-(OFFSET($C127,0,$A127)/(OFFSET($C122,-$A126,$A127)))),
MAX(0,G127-(OFFSET($C127,0,$A127)/(OFFSET($C122,-$A126,$A127))))),0))</f>
        <v>9.6284885868937291</v>
      </c>
      <c r="I127" s="1423">
        <f t="shared" ref="I127:I131" ca="1" si="150">IF(H151="n/a",H127,IFERROR(IF((OFFSET($C127,0,$A127))&lt;0,
MIN(0,H127-(OFFSET($C127,0,$A127)/(OFFSET($C122,-$A126,$A127)))),
MAX(0,H127-(OFFSET($C127,0,$A127)/(OFFSET($C122,-$A126,$A127))))),0))</f>
        <v>6.6884668464657757</v>
      </c>
      <c r="J127" s="1423">
        <f t="shared" ref="J127:J132" ca="1" si="151">IF(I151="n/a",I127,IFERROR(IF((OFFSET($C127,0,$A127))&lt;0,
MIN(0,I127-(OFFSET($C127,0,$A127)/(OFFSET($C122,-$A126,$A127)))),
MAX(0,I127-(OFFSET($C127,0,$A127)/(OFFSET($C122,-$A126,$A127))))),0))</f>
        <v>3.7484451060378228</v>
      </c>
      <c r="K127" s="1423">
        <f t="shared" ref="K127:K133" ca="1" si="152">IF(J151="n/a",J127,IFERROR(IF((OFFSET($C127,0,$A127))&lt;0,
MIN(0,J127-(OFFSET($C127,0,$A127)/(OFFSET($C122,-$A126,$A127)))),
MAX(0,J127-(OFFSET($C127,0,$A127)/(OFFSET($C122,-$A126,$A127))))),0))</f>
        <v>0.80842336560986983</v>
      </c>
      <c r="L127" s="1423">
        <f t="shared" ref="L127:L134" ca="1" si="153">IF(K151="n/a",K127,IFERROR(IF((OFFSET($C127,0,$A127))&lt;0,
MIN(0,K127-(OFFSET($C127,0,$A127)/(OFFSET($C122,-$A126,$A127)))),
MAX(0,K127-(OFFSET($C127,0,$A127)/(OFFSET($C122,-$A126,$A127))))),0))</f>
        <v>0</v>
      </c>
      <c r="M127" s="1423">
        <f t="shared" ref="M127:M135" ca="1" si="154">IF(L151="n/a",L127,IFERROR(IF((OFFSET($C127,0,$A127))&lt;0,
MIN(0,L127-(OFFSET($C127,0,$A127)/(OFFSET($C122,-$A126,$A127)))),
MAX(0,L127-(OFFSET($C127,0,$A127)/(OFFSET($C122,-$A126,$A127))))),0))</f>
        <v>0</v>
      </c>
      <c r="N127" s="1423">
        <f t="shared" ref="N127:N136" ca="1" si="155">IF(M151="n/a",M127,IFERROR(IF((OFFSET($C127,0,$A127))&lt;0,
MIN(0,M127-(OFFSET($C127,0,$A127)/(OFFSET($C122,-$A126,$A127)))),
MAX(0,M127-(OFFSET($C127,0,$A127)/(OFFSET($C122,-$A126,$A127))))),0))</f>
        <v>0</v>
      </c>
      <c r="O127" s="1423">
        <f t="shared" ref="O127:O137" ca="1" si="156">IF(N151="n/a",N127,IFERROR(IF((OFFSET($C127,0,$A127))&lt;0,
MIN(0,N127-(OFFSET($C127,0,$A127)/(OFFSET($C122,-$A126,$A127)))),
MAX(0,N127-(OFFSET($C127,0,$A127)/(OFFSET($C122,-$A126,$A127))))),0))</f>
        <v>0</v>
      </c>
      <c r="P127" s="1423">
        <f t="shared" ref="P127:P138" ca="1" si="157">IF(O151="n/a",O127,IFERROR(IF((OFFSET($C127,0,$A127))&lt;0,
MIN(0,O127-(OFFSET($C127,0,$A127)/(OFFSET($C122,-$A126,$A127)))),
MAX(0,O127-(OFFSET($C127,0,$A127)/(OFFSET($C122,-$A126,$A127))))),0))</f>
        <v>0</v>
      </c>
      <c r="Q127" s="1423">
        <f t="shared" ref="Q127:Q139" ca="1" si="158">IF(P151="n/a",P127,IFERROR(IF((OFFSET($C127,0,$A127))&lt;0,
MIN(0,P127-(OFFSET($C127,0,$A127)/(OFFSET($C122,-$A126,$A127)))),
MAX(0,P127-(OFFSET($C127,0,$A127)/(OFFSET($C122,-$A126,$A127))))),0))</f>
        <v>0</v>
      </c>
      <c r="R127" s="1423">
        <f t="shared" ref="R127:R140" ca="1" si="159">IF(Q151="n/a",Q127,IFERROR(IF((OFFSET($C127,0,$A127))&lt;0,
MIN(0,Q127-(OFFSET($C127,0,$A127)/(OFFSET($C122,-$A126,$A127)))),
MAX(0,Q127-(OFFSET($C127,0,$A127)/(OFFSET($C122,-$A126,$A127))))),0))</f>
        <v>0</v>
      </c>
      <c r="S127" s="1423">
        <f t="shared" ref="S127:S141" ca="1" si="160">IF(R151="n/a",R127,IFERROR(IF((OFFSET($C127,0,$A127))&lt;0,
MIN(0,R127-(OFFSET($C127,0,$A127)/(OFFSET($C122,-$A126,$A127)))),
MAX(0,R127-(OFFSET($C127,0,$A127)/(OFFSET($C122,-$A126,$A127))))),0))</f>
        <v>0</v>
      </c>
      <c r="T127" s="1423">
        <f t="shared" ref="T127:T142" ca="1" si="161">IF(S151="n/a",S127,IFERROR(IF((OFFSET($C127,0,$A127))&lt;0,
MIN(0,S127-(OFFSET($C127,0,$A127)/(OFFSET($C122,-$A126,$A127)))),
MAX(0,S127-(OFFSET($C127,0,$A127)/(OFFSET($C122,-$A126,$A127))))),0))</f>
        <v>0</v>
      </c>
      <c r="U127" s="1423">
        <f t="shared" ref="U127:U143" ca="1" si="162">IF(T151="n/a",T127,IFERROR(IF((OFFSET($C127,0,$A127))&lt;0,
MIN(0,T127-(OFFSET($C127,0,$A127)/(OFFSET($C122,-$A126,$A127)))),
MAX(0,T127-(OFFSET($C127,0,$A127)/(OFFSET($C122,-$A126,$A127))))),0))</f>
        <v>0</v>
      </c>
      <c r="V127" s="1423">
        <f t="shared" ref="V127:V144" ca="1" si="163">IF(U151="n/a",U127,IFERROR(IF((OFFSET($C127,0,$A127))&lt;0,
MIN(0,U127-(OFFSET($C127,0,$A127)/(OFFSET($C122,-$A126,$A127)))),
MAX(0,U127-(OFFSET($C127,0,$A127)/(OFFSET($C122,-$A126,$A127))))),0))</f>
        <v>0</v>
      </c>
      <c r="W127" s="1423">
        <f t="shared" ref="W127:W145" ca="1" si="164">IF(V151="n/a",V127,IFERROR(IF((OFFSET($C127,0,$A127))&lt;0,
MIN(0,V127-(OFFSET($C127,0,$A127)/(OFFSET($C122,-$A126,$A127)))),
MAX(0,V127-(OFFSET($C127,0,$A127)/(OFFSET($C122,-$A126,$A127))))),0))</f>
        <v>0</v>
      </c>
      <c r="X127" s="152"/>
      <c r="Y127" s="152"/>
      <c r="Z127" s="152"/>
      <c r="AA127" s="152"/>
      <c r="AB127" s="152"/>
    </row>
    <row r="128" spans="1:28" hidden="1" outlineLevel="1">
      <c r="A128" s="199">
        <f t="shared" ref="A128:A147" si="165">A127+1</f>
        <v>1</v>
      </c>
      <c r="B128" s="190" t="str">
        <f t="shared" ref="B128:B146" ca="1" si="166">"Depreciated Net Capex "&amp;OFFSET($C$6,0,A128)</f>
        <v>Depreciated Net Capex 2016-17</v>
      </c>
      <c r="C128" s="1424"/>
      <c r="D128" s="1425">
        <f>(D122*((1+D$11)^0.5)/D$10)</f>
        <v>2.9402662610506032</v>
      </c>
      <c r="E128" s="1423">
        <f ca="1">IF(D152="n/a",D128,IFERROR(IF((OFFSET($C128,0,$A128))&lt;0,
MIN(0,D128-(OFFSET($C128,0,$A128)/(OFFSET($C123,-$A127,$A128)))),
MAX(0,D128-(OFFSET($C128,0,$A128)/(OFFSET($C123,-$A127,$A128))))),0))</f>
        <v>2.7442485103138963</v>
      </c>
      <c r="F128" s="1423">
        <f t="shared" ca="1" si="147"/>
        <v>2.5482307595771894</v>
      </c>
      <c r="G128" s="1423">
        <f t="shared" ca="1" si="148"/>
        <v>2.3522130088404825</v>
      </c>
      <c r="H128" s="1423">
        <f t="shared" ca="1" si="149"/>
        <v>2.1561952581037755</v>
      </c>
      <c r="I128" s="1423">
        <f t="shared" ca="1" si="150"/>
        <v>1.9601775073670686</v>
      </c>
      <c r="J128" s="1423">
        <f t="shared" ca="1" si="151"/>
        <v>1.7641597566303617</v>
      </c>
      <c r="K128" s="1423">
        <f t="shared" ca="1" si="152"/>
        <v>1.5681420058936548</v>
      </c>
      <c r="L128" s="1423">
        <f t="shared" ca="1" si="153"/>
        <v>1.3721242551569479</v>
      </c>
      <c r="M128" s="1423">
        <f t="shared" ca="1" si="154"/>
        <v>1.176106504420241</v>
      </c>
      <c r="N128" s="1423">
        <f t="shared" ca="1" si="155"/>
        <v>0.9800887536835341</v>
      </c>
      <c r="O128" s="1423">
        <f t="shared" ca="1" si="156"/>
        <v>0.78407100294682719</v>
      </c>
      <c r="P128" s="1423">
        <f t="shared" ca="1" si="157"/>
        <v>0.58805325221012028</v>
      </c>
      <c r="Q128" s="1423">
        <f t="shared" ca="1" si="158"/>
        <v>0.39203550147341337</v>
      </c>
      <c r="R128" s="1423">
        <f t="shared" ca="1" si="159"/>
        <v>0.19601775073670649</v>
      </c>
      <c r="S128" s="1423">
        <f t="shared" ca="1" si="160"/>
        <v>0</v>
      </c>
      <c r="T128" s="1423">
        <f t="shared" ca="1" si="161"/>
        <v>0</v>
      </c>
      <c r="U128" s="1423">
        <f t="shared" ca="1" si="162"/>
        <v>0</v>
      </c>
      <c r="V128" s="1423">
        <f t="shared" ca="1" si="163"/>
        <v>0</v>
      </c>
      <c r="W128" s="1423">
        <f t="shared" ca="1" si="164"/>
        <v>0</v>
      </c>
      <c r="X128" s="152"/>
      <c r="Y128" s="152"/>
      <c r="Z128" s="152"/>
      <c r="AA128" s="152"/>
      <c r="AB128" s="152"/>
    </row>
    <row r="129" spans="1:28" hidden="1" outlineLevel="1">
      <c r="A129" s="199">
        <f t="shared" si="165"/>
        <v>2</v>
      </c>
      <c r="B129" s="190" t="str">
        <f t="shared" ca="1" si="166"/>
        <v>Depreciated Net Capex 2017-18</v>
      </c>
      <c r="C129" s="1426"/>
      <c r="D129" s="1427"/>
      <c r="E129" s="1425">
        <f>(E122*((1+E$11)^0.5)/E$10)</f>
        <v>2.9430779709671038</v>
      </c>
      <c r="F129" s="1423">
        <f ca="1">IF(E153="n/a",E129,IFERROR(IF((OFFSET($C129,0,$A129))&lt;0,
MIN(0,E129-(OFFSET($C129,0,$A129)/(OFFSET($C124,-$A128,$A129)))),
MAX(0,E129-(OFFSET($C129,0,$A129)/(OFFSET($C124,-$A128,$A129))))),0))</f>
        <v>2.7468727729026301</v>
      </c>
      <c r="G129" s="1423">
        <f t="shared" ca="1" si="148"/>
        <v>2.5506675748381564</v>
      </c>
      <c r="H129" s="1423">
        <f t="shared" ca="1" si="149"/>
        <v>2.3544623767736828</v>
      </c>
      <c r="I129" s="1423">
        <f t="shared" ca="1" si="150"/>
        <v>2.1582571787092091</v>
      </c>
      <c r="J129" s="1423">
        <f t="shared" ca="1" si="151"/>
        <v>1.9620519806447354</v>
      </c>
      <c r="K129" s="1423">
        <f t="shared" ca="1" si="152"/>
        <v>1.7658467825802617</v>
      </c>
      <c r="L129" s="1423">
        <f t="shared" ca="1" si="153"/>
        <v>1.5696415845157881</v>
      </c>
      <c r="M129" s="1423">
        <f t="shared" ca="1" si="154"/>
        <v>1.3734363864513144</v>
      </c>
      <c r="N129" s="1423">
        <f t="shared" ca="1" si="155"/>
        <v>1.1772311883868407</v>
      </c>
      <c r="O129" s="1423">
        <f t="shared" ca="1" si="156"/>
        <v>0.98102599032236715</v>
      </c>
      <c r="P129" s="1423">
        <f t="shared" ca="1" si="157"/>
        <v>0.78482079225789358</v>
      </c>
      <c r="Q129" s="1423">
        <f t="shared" ca="1" si="158"/>
        <v>0.58861559419342002</v>
      </c>
      <c r="R129" s="1423">
        <f t="shared" ca="1" si="159"/>
        <v>0.39241039612894646</v>
      </c>
      <c r="S129" s="1423">
        <f t="shared" ca="1" si="160"/>
        <v>0.19620519806447287</v>
      </c>
      <c r="T129" s="1423">
        <f t="shared" ca="1" si="161"/>
        <v>0</v>
      </c>
      <c r="U129" s="1423">
        <f t="shared" ca="1" si="162"/>
        <v>0</v>
      </c>
      <c r="V129" s="1423">
        <f t="shared" ca="1" si="163"/>
        <v>0</v>
      </c>
      <c r="W129" s="1423">
        <f t="shared" ca="1" si="164"/>
        <v>0</v>
      </c>
      <c r="X129" s="202"/>
      <c r="Y129" s="152"/>
      <c r="Z129" s="152"/>
      <c r="AA129" s="152"/>
      <c r="AB129" s="152"/>
    </row>
    <row r="130" spans="1:28" hidden="1" outlineLevel="1">
      <c r="A130" s="199">
        <f t="shared" si="165"/>
        <v>3</v>
      </c>
      <c r="B130" s="190" t="str">
        <f t="shared" ca="1" si="166"/>
        <v>Depreciated Net Capex 2018-19</v>
      </c>
      <c r="C130" s="1426"/>
      <c r="D130" s="1426"/>
      <c r="E130" s="1427"/>
      <c r="F130" s="1428">
        <f>($F122*((1+F$11)^0.5)/F$10)</f>
        <v>3.4157711288956238</v>
      </c>
      <c r="G130" s="1423">
        <f ca="1">IF(F154="n/a",F130,IFERROR(IF((OFFSET($C130,0,$A130))&lt;0,
MIN(0,F130-(OFFSET($C130,0,$A130)/(OFFSET($C125,-$A129,$A130)))),
MAX(0,F130-(OFFSET($C130,0,$A130)/(OFFSET($C125,-$A129,$A130))))),0))</f>
        <v>3.1880530536359157</v>
      </c>
      <c r="H130" s="1423">
        <f t="shared" ca="1" si="149"/>
        <v>2.9603349783762076</v>
      </c>
      <c r="I130" s="1423">
        <f t="shared" ca="1" si="150"/>
        <v>2.7326169031164995</v>
      </c>
      <c r="J130" s="1423">
        <f t="shared" ca="1" si="151"/>
        <v>2.5048988278567914</v>
      </c>
      <c r="K130" s="1423">
        <f t="shared" ca="1" si="152"/>
        <v>2.2771807525970833</v>
      </c>
      <c r="L130" s="1423">
        <f t="shared" ca="1" si="153"/>
        <v>2.0494626773373752</v>
      </c>
      <c r="M130" s="1423">
        <f t="shared" ca="1" si="154"/>
        <v>1.8217446020776669</v>
      </c>
      <c r="N130" s="1423">
        <f t="shared" ca="1" si="155"/>
        <v>1.5940265268179585</v>
      </c>
      <c r="O130" s="1423">
        <f t="shared" ca="1" si="156"/>
        <v>1.3663084515582502</v>
      </c>
      <c r="P130" s="1423">
        <f t="shared" ca="1" si="157"/>
        <v>1.1385903762985419</v>
      </c>
      <c r="Q130" s="1423">
        <f t="shared" ca="1" si="158"/>
        <v>0.91087230103883365</v>
      </c>
      <c r="R130" s="1423">
        <f t="shared" ca="1" si="159"/>
        <v>0.68315422577912543</v>
      </c>
      <c r="S130" s="1423">
        <f t="shared" ca="1" si="160"/>
        <v>0.45543615051941722</v>
      </c>
      <c r="T130" s="1423">
        <f t="shared" ca="1" si="161"/>
        <v>0.22771807525970897</v>
      </c>
      <c r="U130" s="1423">
        <f t="shared" ca="1" si="162"/>
        <v>7.2164496600635175E-16</v>
      </c>
      <c r="V130" s="1423">
        <f t="shared" ca="1" si="163"/>
        <v>0</v>
      </c>
      <c r="W130" s="1423">
        <f t="shared" ca="1" si="164"/>
        <v>0</v>
      </c>
      <c r="X130" s="202"/>
      <c r="Y130" s="202"/>
      <c r="Z130" s="152"/>
      <c r="AA130" s="152"/>
      <c r="AB130" s="152"/>
    </row>
    <row r="131" spans="1:28" hidden="1" outlineLevel="1">
      <c r="A131" s="199">
        <f t="shared" si="165"/>
        <v>4</v>
      </c>
      <c r="B131" s="190" t="str">
        <f t="shared" ca="1" si="166"/>
        <v>Depreciated Net Capex 2019-20</v>
      </c>
      <c r="C131" s="1426"/>
      <c r="D131" s="1426"/>
      <c r="E131" s="1426"/>
      <c r="F131" s="1427"/>
      <c r="G131" s="1428">
        <f>($G122*((1+G$11)^0.5)/G$10)</f>
        <v>1.7516752072352064</v>
      </c>
      <c r="H131" s="1423">
        <f ca="1">IF(G155="n/a",G131,IFERROR(IF((OFFSET($C131,0,$A131))&lt;0,
MIN(0,G131-(OFFSET($C131,0,$A131)/(OFFSET($C126,-$A130,$A131)))),
MAX(0,G131-(OFFSET($C131,0,$A131)/(OFFSET($C126,-$A130,$A131))))),0))</f>
        <v>1.6348968600861926</v>
      </c>
      <c r="I131" s="1423">
        <f t="shared" ca="1" si="150"/>
        <v>1.5181185129371788</v>
      </c>
      <c r="J131" s="1423">
        <f t="shared" ca="1" si="151"/>
        <v>1.401340165788165</v>
      </c>
      <c r="K131" s="1423">
        <f t="shared" ca="1" si="152"/>
        <v>1.2845618186391512</v>
      </c>
      <c r="L131" s="1423">
        <f t="shared" ca="1" si="153"/>
        <v>1.1677834714901374</v>
      </c>
      <c r="M131" s="1423">
        <f t="shared" ca="1" si="154"/>
        <v>1.0510051243411236</v>
      </c>
      <c r="N131" s="1423">
        <f t="shared" ca="1" si="155"/>
        <v>0.93422677719210978</v>
      </c>
      <c r="O131" s="1423">
        <f t="shared" ca="1" si="156"/>
        <v>0.81744843004309597</v>
      </c>
      <c r="P131" s="1423">
        <f t="shared" ca="1" si="157"/>
        <v>0.70067008289408217</v>
      </c>
      <c r="Q131" s="1423">
        <f t="shared" ca="1" si="158"/>
        <v>0.58389173574506836</v>
      </c>
      <c r="R131" s="1423">
        <f t="shared" ca="1" si="159"/>
        <v>0.46711338859605461</v>
      </c>
      <c r="S131" s="1423">
        <f t="shared" ca="1" si="160"/>
        <v>0.35033504144704086</v>
      </c>
      <c r="T131" s="1423">
        <f t="shared" ca="1" si="161"/>
        <v>0.23355669429802711</v>
      </c>
      <c r="U131" s="1423">
        <f t="shared" ca="1" si="162"/>
        <v>0.11677834714901335</v>
      </c>
      <c r="V131" s="1423">
        <f t="shared" ca="1" si="163"/>
        <v>0</v>
      </c>
      <c r="W131" s="1423">
        <f t="shared" ca="1" si="164"/>
        <v>0</v>
      </c>
      <c r="X131" s="202"/>
      <c r="Y131" s="202"/>
      <c r="Z131" s="202"/>
      <c r="AA131" s="152"/>
      <c r="AB131" s="152"/>
    </row>
    <row r="132" spans="1:28" hidden="1" outlineLevel="1">
      <c r="A132" s="199">
        <f t="shared" si="165"/>
        <v>5</v>
      </c>
      <c r="B132" s="190" t="str">
        <f t="shared" ca="1" si="166"/>
        <v>Depreciated Net Capex 2020-21</v>
      </c>
      <c r="C132" s="1426"/>
      <c r="D132" s="1426"/>
      <c r="E132" s="1426"/>
      <c r="F132" s="1426"/>
      <c r="G132" s="1427"/>
      <c r="H132" s="1428">
        <f>(H122*((1+H$11)^0.5)/H$10)</f>
        <v>1.9320959271083293</v>
      </c>
      <c r="I132" s="1423">
        <f ca="1">IF(H156="n/a",H132,IFERROR(IF((OFFSET($C132,0,$A132))&lt;0,
MIN(0,H132-(OFFSET($C132,0,$A132)/(OFFSET($C127,-$A131,$A132)))),
MAX(0,H132-(OFFSET($C132,0,$A132)/(OFFSET($C127,-$A131,$A132))))),0))</f>
        <v>1.803289531967774</v>
      </c>
      <c r="J132" s="1423">
        <f t="shared" ca="1" si="151"/>
        <v>1.6744831368272186</v>
      </c>
      <c r="K132" s="1423">
        <f t="shared" ca="1" si="152"/>
        <v>1.5456767416866632</v>
      </c>
      <c r="L132" s="1423">
        <f t="shared" ca="1" si="153"/>
        <v>1.4168703465461079</v>
      </c>
      <c r="M132" s="1423">
        <f t="shared" ca="1" si="154"/>
        <v>1.2880639514055525</v>
      </c>
      <c r="N132" s="1423">
        <f t="shared" ca="1" si="155"/>
        <v>1.1592575562649972</v>
      </c>
      <c r="O132" s="1423">
        <f t="shared" ca="1" si="156"/>
        <v>1.0304511611244418</v>
      </c>
      <c r="P132" s="1423">
        <f t="shared" ca="1" si="157"/>
        <v>0.90164476598388654</v>
      </c>
      <c r="Q132" s="1423">
        <f t="shared" ca="1" si="158"/>
        <v>0.77283837084333129</v>
      </c>
      <c r="R132" s="1423">
        <f t="shared" ca="1" si="159"/>
        <v>0.64403197570277604</v>
      </c>
      <c r="S132" s="1423">
        <f t="shared" ca="1" si="160"/>
        <v>0.51522558056222079</v>
      </c>
      <c r="T132" s="1423">
        <f t="shared" ca="1" si="161"/>
        <v>0.38641918542166553</v>
      </c>
      <c r="U132" s="1423">
        <f t="shared" ca="1" si="162"/>
        <v>0.25761279028111028</v>
      </c>
      <c r="V132" s="1423">
        <f t="shared" ca="1" si="163"/>
        <v>0.128806395140555</v>
      </c>
      <c r="W132" s="1423">
        <f t="shared" ca="1" si="164"/>
        <v>0</v>
      </c>
      <c r="X132" s="202"/>
      <c r="Y132" s="202"/>
      <c r="Z132" s="202"/>
      <c r="AA132" s="152"/>
      <c r="AB132" s="152"/>
    </row>
    <row r="133" spans="1:28" hidden="1" outlineLevel="1">
      <c r="A133" s="199">
        <f t="shared" si="165"/>
        <v>6</v>
      </c>
      <c r="B133" s="190" t="str">
        <f t="shared" ca="1" si="166"/>
        <v>Depreciated Net Capex 2021-22</v>
      </c>
      <c r="C133" s="1426"/>
      <c r="D133" s="1426"/>
      <c r="E133" s="1426"/>
      <c r="F133" s="1426"/>
      <c r="G133" s="1426"/>
      <c r="H133" s="1427"/>
      <c r="I133" s="1428">
        <f>(I122*((1+I$11)^0.5)/I$10)</f>
        <v>1.8144636685499296</v>
      </c>
      <c r="J133" s="1423">
        <f ca="1">IF(I157="n/a",I133,IFERROR(IF((OFFSET($C133,0,$A133))&lt;0,
MIN(0,I133-(OFFSET($C133,0,$A133)/(OFFSET($C128,-$A132,$A133)))),
MAX(0,I133-(OFFSET($C133,0,$A133)/(OFFSET($C128,-$A132,$A133))))),0))</f>
        <v>1.6934994239799344</v>
      </c>
      <c r="K133" s="1423">
        <f t="shared" ca="1" si="152"/>
        <v>1.5725351794099391</v>
      </c>
      <c r="L133" s="1423">
        <f t="shared" ca="1" si="153"/>
        <v>1.4515709348399439</v>
      </c>
      <c r="M133" s="1423">
        <f t="shared" ca="1" si="154"/>
        <v>1.3306066902699487</v>
      </c>
      <c r="N133" s="1423">
        <f t="shared" ca="1" si="155"/>
        <v>1.2096424456999535</v>
      </c>
      <c r="O133" s="1423">
        <f t="shared" ca="1" si="156"/>
        <v>1.0886782011299583</v>
      </c>
      <c r="P133" s="1423">
        <f t="shared" ca="1" si="157"/>
        <v>0.96771395655996295</v>
      </c>
      <c r="Q133" s="1423">
        <f t="shared" ca="1" si="158"/>
        <v>0.84674971198996762</v>
      </c>
      <c r="R133" s="1423">
        <f t="shared" ca="1" si="159"/>
        <v>0.7257854674199723</v>
      </c>
      <c r="S133" s="1423">
        <f t="shared" ca="1" si="160"/>
        <v>0.60482122284997697</v>
      </c>
      <c r="T133" s="1423">
        <f t="shared" ca="1" si="161"/>
        <v>0.48385697827998164</v>
      </c>
      <c r="U133" s="1423">
        <f t="shared" ca="1" si="162"/>
        <v>0.36289273370998631</v>
      </c>
      <c r="V133" s="1423">
        <f t="shared" ca="1" si="163"/>
        <v>0.24192848913999102</v>
      </c>
      <c r="W133" s="1423">
        <f t="shared" ca="1" si="164"/>
        <v>0.12096424456999572</v>
      </c>
      <c r="X133" s="202"/>
      <c r="Y133" s="202"/>
      <c r="Z133" s="202"/>
      <c r="AA133" s="152"/>
      <c r="AB133" s="152"/>
    </row>
    <row r="134" spans="1:28" hidden="1" outlineLevel="1">
      <c r="A134" s="199">
        <f t="shared" si="165"/>
        <v>7</v>
      </c>
      <c r="B134" s="190" t="str">
        <f t="shared" ca="1" si="166"/>
        <v>Depreciated Net Capex 2022-23</v>
      </c>
      <c r="C134" s="1426"/>
      <c r="D134" s="1426"/>
      <c r="E134" s="1426"/>
      <c r="F134" s="1426"/>
      <c r="G134" s="1426"/>
      <c r="H134" s="1426"/>
      <c r="I134" s="1427"/>
      <c r="J134" s="1428">
        <f>(J122*((1+J$11)^0.5)/J$10)</f>
        <v>0.88346564612177236</v>
      </c>
      <c r="K134" s="1423">
        <f ca="1">IF(J158="n/a",J134,IFERROR(IF((OFFSET($C134,0,$A134))&lt;0,
MIN(0,J134-(OFFSET($C134,0,$A134)/(OFFSET($C129,-$A133,$A134)))),
MAX(0,J134-(OFFSET($C134,0,$A134)/(OFFSET($C129,-$A133,$A134))))),0))</f>
        <v>0.82456793638032089</v>
      </c>
      <c r="L134" s="1423">
        <f t="shared" ca="1" si="153"/>
        <v>0.76567022663886941</v>
      </c>
      <c r="M134" s="1423">
        <f t="shared" ca="1" si="154"/>
        <v>0.70677251689741794</v>
      </c>
      <c r="N134" s="1423">
        <f t="shared" ca="1" si="155"/>
        <v>0.64787480715596646</v>
      </c>
      <c r="O134" s="1423">
        <f t="shared" ca="1" si="156"/>
        <v>0.58897709741451498</v>
      </c>
      <c r="P134" s="1423">
        <f t="shared" ca="1" si="157"/>
        <v>0.53007938767306351</v>
      </c>
      <c r="Q134" s="1423">
        <f t="shared" ca="1" si="158"/>
        <v>0.47118167793161203</v>
      </c>
      <c r="R134" s="1423">
        <f t="shared" ca="1" si="159"/>
        <v>0.41228396819016055</v>
      </c>
      <c r="S134" s="1423">
        <f t="shared" ca="1" si="160"/>
        <v>0.35338625844870908</v>
      </c>
      <c r="T134" s="1423">
        <f t="shared" ca="1" si="161"/>
        <v>0.2944885487072576</v>
      </c>
      <c r="U134" s="1423">
        <f t="shared" ca="1" si="162"/>
        <v>0.23559083896580613</v>
      </c>
      <c r="V134" s="1423">
        <f t="shared" ca="1" si="163"/>
        <v>0.17669312922435465</v>
      </c>
      <c r="W134" s="1423">
        <f t="shared" ca="1" si="164"/>
        <v>0.11779541948290316</v>
      </c>
      <c r="X134" s="202"/>
      <c r="Y134" s="202"/>
      <c r="Z134" s="202"/>
      <c r="AA134" s="152"/>
      <c r="AB134" s="152"/>
    </row>
    <row r="135" spans="1:28" hidden="1" outlineLevel="1">
      <c r="A135" s="199">
        <f t="shared" si="165"/>
        <v>8</v>
      </c>
      <c r="B135" s="190" t="str">
        <f t="shared" ca="1" si="166"/>
        <v>Depreciated Net Capex 2023-24</v>
      </c>
      <c r="C135" s="1426"/>
      <c r="D135" s="1426"/>
      <c r="E135" s="1426"/>
      <c r="F135" s="1426"/>
      <c r="G135" s="1426"/>
      <c r="H135" s="1426"/>
      <c r="I135" s="1426"/>
      <c r="J135" s="1427"/>
      <c r="K135" s="1428">
        <f>(K122*((1+K$11)^0.5)/K$10)</f>
        <v>0</v>
      </c>
      <c r="L135" s="1423">
        <f ca="1">IF(K159="n/a",K135,IFERROR(IF((OFFSET($C135,0,$A135))&lt;0,
MIN(0,K135-(OFFSET($C135,0,$A135)/(OFFSET($C130,-$A134,$A135)))),
MAX(0,K135-(OFFSET($C135,0,$A135)/(OFFSET($C130,-$A134,$A135))))),0))</f>
        <v>0</v>
      </c>
      <c r="M135" s="1423">
        <f t="shared" ca="1" si="154"/>
        <v>0</v>
      </c>
      <c r="N135" s="1423">
        <f t="shared" ca="1" si="155"/>
        <v>0</v>
      </c>
      <c r="O135" s="1423">
        <f t="shared" ca="1" si="156"/>
        <v>0</v>
      </c>
      <c r="P135" s="1423">
        <f t="shared" ca="1" si="157"/>
        <v>0</v>
      </c>
      <c r="Q135" s="1423">
        <f t="shared" ca="1" si="158"/>
        <v>0</v>
      </c>
      <c r="R135" s="1423">
        <f t="shared" ca="1" si="159"/>
        <v>0</v>
      </c>
      <c r="S135" s="1423">
        <f t="shared" ca="1" si="160"/>
        <v>0</v>
      </c>
      <c r="T135" s="1423">
        <f t="shared" ca="1" si="161"/>
        <v>0</v>
      </c>
      <c r="U135" s="1423">
        <f t="shared" ca="1" si="162"/>
        <v>0</v>
      </c>
      <c r="V135" s="1423">
        <f t="shared" ca="1" si="163"/>
        <v>0</v>
      </c>
      <c r="W135" s="1423">
        <f t="shared" ca="1" si="164"/>
        <v>0</v>
      </c>
      <c r="X135" s="202"/>
      <c r="Y135" s="202"/>
      <c r="Z135" s="202"/>
      <c r="AA135" s="152"/>
      <c r="AB135" s="152"/>
    </row>
    <row r="136" spans="1:28" hidden="1" outlineLevel="1">
      <c r="A136" s="199">
        <f t="shared" si="165"/>
        <v>9</v>
      </c>
      <c r="B136" s="190" t="str">
        <f t="shared" ca="1" si="166"/>
        <v>Depreciated Net Capex 2024-25</v>
      </c>
      <c r="C136" s="1426"/>
      <c r="D136" s="1426"/>
      <c r="E136" s="1426"/>
      <c r="F136" s="1426"/>
      <c r="G136" s="1426"/>
      <c r="H136" s="1426"/>
      <c r="I136" s="1426"/>
      <c r="J136" s="1426"/>
      <c r="K136" s="1427"/>
      <c r="L136" s="1428">
        <f>(L122*((1+L$11)^0.5)/L$10)</f>
        <v>0</v>
      </c>
      <c r="M136" s="1423">
        <f ca="1">IF(L160="n/a",L136,IFERROR(IF((OFFSET($C136,0,$A136))&lt;0,
MIN(0,L136-(OFFSET($C136,0,$A136)/(OFFSET($C131,-$A135,$A136)))),
MAX(0,L136-(OFFSET($C136,0,$A136)/(OFFSET($C131,-$A135,$A136))))),0))</f>
        <v>0</v>
      </c>
      <c r="N136" s="1423">
        <f t="shared" ca="1" si="155"/>
        <v>0</v>
      </c>
      <c r="O136" s="1423">
        <f t="shared" ca="1" si="156"/>
        <v>0</v>
      </c>
      <c r="P136" s="1423">
        <f t="shared" ca="1" si="157"/>
        <v>0</v>
      </c>
      <c r="Q136" s="1423">
        <f t="shared" ca="1" si="158"/>
        <v>0</v>
      </c>
      <c r="R136" s="1423">
        <f t="shared" ca="1" si="159"/>
        <v>0</v>
      </c>
      <c r="S136" s="1423">
        <f t="shared" ca="1" si="160"/>
        <v>0</v>
      </c>
      <c r="T136" s="1423">
        <f t="shared" ca="1" si="161"/>
        <v>0</v>
      </c>
      <c r="U136" s="1423">
        <f t="shared" ca="1" si="162"/>
        <v>0</v>
      </c>
      <c r="V136" s="1423">
        <f t="shared" ca="1" si="163"/>
        <v>0</v>
      </c>
      <c r="W136" s="1423">
        <f t="shared" ca="1" si="164"/>
        <v>0</v>
      </c>
      <c r="X136" s="202"/>
      <c r="Y136" s="202"/>
      <c r="Z136" s="202"/>
      <c r="AA136" s="152"/>
      <c r="AB136" s="152"/>
    </row>
    <row r="137" spans="1:28" hidden="1" outlineLevel="1">
      <c r="A137" s="199">
        <f t="shared" si="165"/>
        <v>10</v>
      </c>
      <c r="B137" s="190" t="str">
        <f t="shared" ca="1" si="166"/>
        <v>Depreciated Net Capex 2025-26</v>
      </c>
      <c r="C137" s="1426"/>
      <c r="D137" s="1426"/>
      <c r="E137" s="1426"/>
      <c r="F137" s="1426"/>
      <c r="G137" s="1426"/>
      <c r="H137" s="1426"/>
      <c r="I137" s="1426"/>
      <c r="J137" s="1426"/>
      <c r="K137" s="1426"/>
      <c r="L137" s="1427"/>
      <c r="M137" s="1428">
        <f>(M122*((1+M$11)^0.5)/M$10)</f>
        <v>0</v>
      </c>
      <c r="N137" s="1423">
        <f ca="1">IF(M161="n/a",M137,IFERROR(IF((OFFSET($C137,0,$A137))&lt;0,
MIN(0,M137-(OFFSET($C137,0,$A137)/(OFFSET($C132,-$A136,$A137)))),
MAX(0,M137-(OFFSET($C137,0,$A137)/(OFFSET($C132,-$A136,$A137))))),0))</f>
        <v>0</v>
      </c>
      <c r="O137" s="1423">
        <f t="shared" ca="1" si="156"/>
        <v>0</v>
      </c>
      <c r="P137" s="1423">
        <f t="shared" ca="1" si="157"/>
        <v>0</v>
      </c>
      <c r="Q137" s="1423">
        <f t="shared" ca="1" si="158"/>
        <v>0</v>
      </c>
      <c r="R137" s="1423">
        <f t="shared" ca="1" si="159"/>
        <v>0</v>
      </c>
      <c r="S137" s="1423">
        <f t="shared" ca="1" si="160"/>
        <v>0</v>
      </c>
      <c r="T137" s="1423">
        <f t="shared" ca="1" si="161"/>
        <v>0</v>
      </c>
      <c r="U137" s="1423">
        <f t="shared" ca="1" si="162"/>
        <v>0</v>
      </c>
      <c r="V137" s="1423">
        <f t="shared" ca="1" si="163"/>
        <v>0</v>
      </c>
      <c r="W137" s="1423">
        <f t="shared" ca="1" si="164"/>
        <v>0</v>
      </c>
      <c r="X137" s="202"/>
      <c r="Y137" s="202"/>
      <c r="Z137" s="202"/>
      <c r="AA137" s="152"/>
      <c r="AB137" s="152"/>
    </row>
    <row r="138" spans="1:28" hidden="1" outlineLevel="1">
      <c r="A138" s="199">
        <f t="shared" si="165"/>
        <v>11</v>
      </c>
      <c r="B138" s="190" t="str">
        <f t="shared" ca="1" si="166"/>
        <v>Depreciated Net Capex 2026-27</v>
      </c>
      <c r="C138" s="1426"/>
      <c r="D138" s="1426"/>
      <c r="E138" s="1426"/>
      <c r="F138" s="1426"/>
      <c r="G138" s="1426"/>
      <c r="H138" s="1426"/>
      <c r="I138" s="1426"/>
      <c r="J138" s="1426"/>
      <c r="K138" s="1426"/>
      <c r="L138" s="1426"/>
      <c r="M138" s="1427"/>
      <c r="N138" s="1428">
        <f>(N122*((1+N$11)^0.5)/N$10)</f>
        <v>0</v>
      </c>
      <c r="O138" s="1423">
        <f ca="1">IF(N162="n/a",N138,IFERROR(IF((OFFSET($C138,0,$A138))&lt;0,
MIN(0,N138-(OFFSET($C138,0,$A138)/(OFFSET($C133,-$A137,$A138)))),
MAX(0,N138-(OFFSET($C138,0,$A138)/(OFFSET($C133,-$A137,$A138))))),0))</f>
        <v>0</v>
      </c>
      <c r="P138" s="1423">
        <f t="shared" ca="1" si="157"/>
        <v>0</v>
      </c>
      <c r="Q138" s="1423">
        <f t="shared" ca="1" si="158"/>
        <v>0</v>
      </c>
      <c r="R138" s="1423">
        <f t="shared" ca="1" si="159"/>
        <v>0</v>
      </c>
      <c r="S138" s="1423">
        <f t="shared" ca="1" si="160"/>
        <v>0</v>
      </c>
      <c r="T138" s="1423">
        <f t="shared" ca="1" si="161"/>
        <v>0</v>
      </c>
      <c r="U138" s="1423">
        <f t="shared" ca="1" si="162"/>
        <v>0</v>
      </c>
      <c r="V138" s="1423">
        <f t="shared" ca="1" si="163"/>
        <v>0</v>
      </c>
      <c r="W138" s="1423">
        <f t="shared" ca="1" si="164"/>
        <v>0</v>
      </c>
      <c r="X138" s="202"/>
      <c r="Y138" s="202"/>
      <c r="Z138" s="202"/>
      <c r="AA138" s="152"/>
      <c r="AB138" s="152"/>
    </row>
    <row r="139" spans="1:28" hidden="1" outlineLevel="1">
      <c r="A139" s="199">
        <f t="shared" si="165"/>
        <v>12</v>
      </c>
      <c r="B139" s="190" t="str">
        <f t="shared" ca="1" si="166"/>
        <v>Depreciated Net Capex 2027-28</v>
      </c>
      <c r="C139" s="1426"/>
      <c r="D139" s="1426"/>
      <c r="E139" s="1426"/>
      <c r="F139" s="1426"/>
      <c r="G139" s="1426"/>
      <c r="H139" s="1426"/>
      <c r="I139" s="1426"/>
      <c r="J139" s="1426"/>
      <c r="K139" s="1426"/>
      <c r="L139" s="1426"/>
      <c r="M139" s="1426"/>
      <c r="N139" s="1427"/>
      <c r="O139" s="1428">
        <f>(O122*((1+O$11)^0.5)/O$10)</f>
        <v>0</v>
      </c>
      <c r="P139" s="1423">
        <f ca="1">IF(O163="n/a",O139,IFERROR(IF((OFFSET($C139,0,$A139))&lt;0,
MIN(0,O139-(OFFSET($C139,0,$A139)/(OFFSET($C134,-$A138,$A139)))),
MAX(0,O139-(OFFSET($C139,0,$A139)/(OFFSET($C134,-$A138,$A139))))),0))</f>
        <v>0</v>
      </c>
      <c r="Q139" s="1423">
        <f t="shared" ca="1" si="158"/>
        <v>0</v>
      </c>
      <c r="R139" s="1423">
        <f t="shared" ca="1" si="159"/>
        <v>0</v>
      </c>
      <c r="S139" s="1423">
        <f t="shared" ca="1" si="160"/>
        <v>0</v>
      </c>
      <c r="T139" s="1423">
        <f t="shared" ca="1" si="161"/>
        <v>0</v>
      </c>
      <c r="U139" s="1423">
        <f t="shared" ca="1" si="162"/>
        <v>0</v>
      </c>
      <c r="V139" s="1423">
        <f t="shared" ca="1" si="163"/>
        <v>0</v>
      </c>
      <c r="W139" s="1423">
        <f t="shared" ca="1" si="164"/>
        <v>0</v>
      </c>
      <c r="X139" s="202"/>
      <c r="Y139" s="202"/>
      <c r="Z139" s="202"/>
      <c r="AA139" s="152"/>
      <c r="AB139" s="152"/>
    </row>
    <row r="140" spans="1:28" hidden="1" outlineLevel="1">
      <c r="A140" s="199">
        <f t="shared" si="165"/>
        <v>13</v>
      </c>
      <c r="B140" s="190" t="str">
        <f t="shared" ca="1" si="166"/>
        <v>Depreciated Net Capex 2028-29</v>
      </c>
      <c r="C140" s="1426"/>
      <c r="D140" s="1426"/>
      <c r="E140" s="1426"/>
      <c r="F140" s="1426"/>
      <c r="G140" s="1426"/>
      <c r="H140" s="1426"/>
      <c r="I140" s="1426"/>
      <c r="J140" s="1426"/>
      <c r="K140" s="1426"/>
      <c r="L140" s="1426"/>
      <c r="M140" s="1426"/>
      <c r="N140" s="1426"/>
      <c r="O140" s="1427"/>
      <c r="P140" s="1428">
        <f>(P122*((1+P$11)^0.5)/P$10)</f>
        <v>0</v>
      </c>
      <c r="Q140" s="1423">
        <f ca="1">IF(P164="n/a",P140,IFERROR(IF((OFFSET($C140,0,$A140))&lt;0,
MIN(0,P140-(OFFSET($C140,0,$A140)/(OFFSET($C135,-$A139,$A140)))),
MAX(0,P140-(OFFSET($C140,0,$A140)/(OFFSET($C135,-$A139,$A140))))),0))</f>
        <v>0</v>
      </c>
      <c r="R140" s="1423">
        <f t="shared" ca="1" si="159"/>
        <v>0</v>
      </c>
      <c r="S140" s="1423">
        <f t="shared" ca="1" si="160"/>
        <v>0</v>
      </c>
      <c r="T140" s="1423">
        <f t="shared" ca="1" si="161"/>
        <v>0</v>
      </c>
      <c r="U140" s="1423">
        <f t="shared" ca="1" si="162"/>
        <v>0</v>
      </c>
      <c r="V140" s="1423">
        <f t="shared" ca="1" si="163"/>
        <v>0</v>
      </c>
      <c r="W140" s="1423">
        <f t="shared" ca="1" si="164"/>
        <v>0</v>
      </c>
      <c r="X140" s="202"/>
      <c r="Y140" s="202"/>
      <c r="Z140" s="202"/>
      <c r="AA140" s="152"/>
      <c r="AB140" s="152"/>
    </row>
    <row r="141" spans="1:28" hidden="1" outlineLevel="1">
      <c r="A141" s="199">
        <f t="shared" si="165"/>
        <v>14</v>
      </c>
      <c r="B141" s="190" t="str">
        <f t="shared" ca="1" si="166"/>
        <v>Depreciated Net Capex 2029-30</v>
      </c>
      <c r="C141" s="1426"/>
      <c r="D141" s="1426"/>
      <c r="E141" s="1426"/>
      <c r="F141" s="1426"/>
      <c r="G141" s="1426"/>
      <c r="H141" s="1426"/>
      <c r="I141" s="1426"/>
      <c r="J141" s="1426"/>
      <c r="K141" s="1426"/>
      <c r="L141" s="1426"/>
      <c r="M141" s="1426"/>
      <c r="N141" s="1426"/>
      <c r="O141" s="1426"/>
      <c r="P141" s="1427"/>
      <c r="Q141" s="1428">
        <f>(Q122*((1+Q$11)^0.5)/Q$10)</f>
        <v>0</v>
      </c>
      <c r="R141" s="1423">
        <f ca="1">IF(Q165="n/a",Q141,IFERROR(IF((OFFSET($C141,0,$A141))&lt;0,
MIN(0,Q141-(OFFSET($C141,0,$A141)/(OFFSET($C136,-$A140,$A141)))),
MAX(0,Q141-(OFFSET($C141,0,$A141)/(OFFSET($C136,-$A140,$A141))))),0))</f>
        <v>0</v>
      </c>
      <c r="S141" s="1423">
        <f t="shared" ca="1" si="160"/>
        <v>0</v>
      </c>
      <c r="T141" s="1423">
        <f t="shared" ca="1" si="161"/>
        <v>0</v>
      </c>
      <c r="U141" s="1423">
        <f t="shared" ca="1" si="162"/>
        <v>0</v>
      </c>
      <c r="V141" s="1423">
        <f t="shared" ca="1" si="163"/>
        <v>0</v>
      </c>
      <c r="W141" s="1423">
        <f t="shared" ca="1" si="164"/>
        <v>0</v>
      </c>
      <c r="X141" s="202"/>
      <c r="Y141" s="202"/>
      <c r="Z141" s="202"/>
      <c r="AA141" s="152"/>
      <c r="AB141" s="152"/>
    </row>
    <row r="142" spans="1:28" hidden="1" outlineLevel="1">
      <c r="A142" s="199">
        <f t="shared" si="165"/>
        <v>15</v>
      </c>
      <c r="B142" s="190" t="str">
        <f t="shared" ca="1" si="166"/>
        <v>Depreciated Net Capex 2030-31</v>
      </c>
      <c r="C142" s="1426"/>
      <c r="D142" s="1426"/>
      <c r="E142" s="1426"/>
      <c r="F142" s="1426"/>
      <c r="G142" s="1426"/>
      <c r="H142" s="1426"/>
      <c r="I142" s="1426"/>
      <c r="J142" s="1426"/>
      <c r="K142" s="1426"/>
      <c r="L142" s="1426"/>
      <c r="M142" s="1426"/>
      <c r="N142" s="1426"/>
      <c r="O142" s="1426"/>
      <c r="P142" s="1426"/>
      <c r="Q142" s="1427"/>
      <c r="R142" s="1428">
        <f>(R122*((1+R$11)^0.5)/R$10)</f>
        <v>0</v>
      </c>
      <c r="S142" s="1423">
        <f ca="1">IF(R166="n/a",R142,IFERROR(IF((OFFSET($C142,0,$A142))&lt;0,
MIN(0,R142-(OFFSET($C142,0,$A142)/(OFFSET($C137,-$A141,$A142)))),
MAX(0,R142-(OFFSET($C142,0,$A142)/(OFFSET($C137,-$A141,$A142))))),0))</f>
        <v>0</v>
      </c>
      <c r="T142" s="1423">
        <f t="shared" ca="1" si="161"/>
        <v>0</v>
      </c>
      <c r="U142" s="1423">
        <f t="shared" ca="1" si="162"/>
        <v>0</v>
      </c>
      <c r="V142" s="1423">
        <f t="shared" ca="1" si="163"/>
        <v>0</v>
      </c>
      <c r="W142" s="1423">
        <f t="shared" ca="1" si="164"/>
        <v>0</v>
      </c>
      <c r="X142" s="202"/>
      <c r="Y142" s="202"/>
      <c r="Z142" s="202"/>
      <c r="AA142" s="152"/>
      <c r="AB142" s="152"/>
    </row>
    <row r="143" spans="1:28" hidden="1" outlineLevel="1">
      <c r="A143" s="199">
        <f t="shared" si="165"/>
        <v>16</v>
      </c>
      <c r="B143" s="190" t="str">
        <f t="shared" ca="1" si="166"/>
        <v>Depreciated Net Capex 2031-32</v>
      </c>
      <c r="C143" s="1426"/>
      <c r="D143" s="1426"/>
      <c r="E143" s="1426"/>
      <c r="F143" s="1426"/>
      <c r="G143" s="1426"/>
      <c r="H143" s="1426"/>
      <c r="I143" s="1426"/>
      <c r="J143" s="1426"/>
      <c r="K143" s="1426"/>
      <c r="L143" s="1426"/>
      <c r="M143" s="1426"/>
      <c r="N143" s="1426"/>
      <c r="O143" s="1426"/>
      <c r="P143" s="1426"/>
      <c r="Q143" s="1426"/>
      <c r="R143" s="1427"/>
      <c r="S143" s="1428">
        <f>(S122*((1+S$11)^0.5)/S$10)</f>
        <v>0</v>
      </c>
      <c r="T143" s="1423">
        <f ca="1">IF(S167="n/a",S143,IFERROR(IF((OFFSET($C143,0,$A143))&lt;0,
MIN(0,S143-(OFFSET($C143,0,$A143)/(OFFSET($C138,-$A142,$A143)))),
MAX(0,S143-(OFFSET($C143,0,$A143)/(OFFSET($C138,-$A142,$A143))))),0))</f>
        <v>0</v>
      </c>
      <c r="U143" s="1423">
        <f t="shared" ca="1" si="162"/>
        <v>0</v>
      </c>
      <c r="V143" s="1423">
        <f t="shared" ca="1" si="163"/>
        <v>0</v>
      </c>
      <c r="W143" s="1423">
        <f t="shared" ca="1" si="164"/>
        <v>0</v>
      </c>
      <c r="X143" s="202"/>
      <c r="Y143" s="202"/>
      <c r="Z143" s="202"/>
      <c r="AA143" s="152"/>
      <c r="AB143" s="152"/>
    </row>
    <row r="144" spans="1:28" hidden="1" outlineLevel="1">
      <c r="A144" s="199">
        <f t="shared" si="165"/>
        <v>17</v>
      </c>
      <c r="B144" s="190" t="str">
        <f t="shared" ca="1" si="166"/>
        <v>Depreciated Net Capex 2032-33</v>
      </c>
      <c r="C144" s="1426"/>
      <c r="D144" s="1426"/>
      <c r="E144" s="1426"/>
      <c r="F144" s="1426"/>
      <c r="G144" s="1426"/>
      <c r="H144" s="1426"/>
      <c r="I144" s="1426"/>
      <c r="J144" s="1426"/>
      <c r="K144" s="1426"/>
      <c r="L144" s="1426"/>
      <c r="M144" s="1426"/>
      <c r="N144" s="1426"/>
      <c r="O144" s="1426"/>
      <c r="P144" s="1426"/>
      <c r="Q144" s="1426"/>
      <c r="R144" s="1426"/>
      <c r="S144" s="1427"/>
      <c r="T144" s="1428">
        <f>(T122*((1+T$11)^0.5)/T$10)</f>
        <v>0</v>
      </c>
      <c r="U144" s="1423">
        <f ca="1">IF(T168="n/a",T144,IFERROR(IF((OFFSET($C144,0,$A144))&lt;0,
MIN(0,T144-(OFFSET($C144,0,$A144)/(OFFSET($C139,-$A143,$A144)))),
MAX(0,T144-(OFFSET($C144,0,$A144)/(OFFSET($C139,-$A143,$A144))))),0))</f>
        <v>0</v>
      </c>
      <c r="V144" s="1423">
        <f t="shared" ca="1" si="163"/>
        <v>0</v>
      </c>
      <c r="W144" s="1423">
        <f t="shared" ca="1" si="164"/>
        <v>0</v>
      </c>
      <c r="X144" s="202"/>
      <c r="Y144" s="202"/>
      <c r="Z144" s="202"/>
      <c r="AA144" s="152"/>
      <c r="AB144" s="152"/>
    </row>
    <row r="145" spans="1:28" hidden="1" outlineLevel="1">
      <c r="A145" s="199">
        <f t="shared" si="165"/>
        <v>18</v>
      </c>
      <c r="B145" s="190" t="str">
        <f t="shared" ca="1" si="166"/>
        <v>Depreciated Net Capex 2033-34</v>
      </c>
      <c r="C145" s="1426"/>
      <c r="D145" s="1426"/>
      <c r="E145" s="1426"/>
      <c r="F145" s="1426"/>
      <c r="G145" s="1426"/>
      <c r="H145" s="1426"/>
      <c r="I145" s="1426"/>
      <c r="J145" s="1426"/>
      <c r="K145" s="1426"/>
      <c r="L145" s="1426"/>
      <c r="M145" s="1426"/>
      <c r="N145" s="1426"/>
      <c r="O145" s="1426"/>
      <c r="P145" s="1426"/>
      <c r="Q145" s="1426"/>
      <c r="R145" s="1426"/>
      <c r="S145" s="1426"/>
      <c r="T145" s="1427"/>
      <c r="U145" s="1428">
        <f>(U122*((1+U$11)^0.5)/U$10)</f>
        <v>0</v>
      </c>
      <c r="V145" s="1423">
        <f ca="1">IF(U169="n/a",U145,IFERROR(IF((OFFSET($C145,0,$A145))&lt;0,
MIN(0,U145-(OFFSET($C145,0,$A145)/(OFFSET($C140,-$A144,$A145)))),
MAX(0,U145-(OFFSET($C145,0,$A145)/(OFFSET($C140,-$A144,$A145))))),0))</f>
        <v>0</v>
      </c>
      <c r="W145" s="1423">
        <f t="shared" ca="1" si="164"/>
        <v>0</v>
      </c>
      <c r="X145" s="202"/>
      <c r="Y145" s="202"/>
      <c r="Z145" s="202"/>
      <c r="AA145" s="152"/>
      <c r="AB145" s="152"/>
    </row>
    <row r="146" spans="1:28" hidden="1" outlineLevel="1">
      <c r="A146" s="199">
        <f t="shared" si="165"/>
        <v>19</v>
      </c>
      <c r="B146" s="190" t="str">
        <f t="shared" ca="1" si="166"/>
        <v>Depreciated Net Capex 2034-35</v>
      </c>
      <c r="C146" s="1426"/>
      <c r="D146" s="1426"/>
      <c r="E146" s="1426"/>
      <c r="F146" s="1426"/>
      <c r="G146" s="1426"/>
      <c r="H146" s="1426"/>
      <c r="I146" s="1426"/>
      <c r="J146" s="1426"/>
      <c r="K146" s="1426"/>
      <c r="L146" s="1426"/>
      <c r="M146" s="1426"/>
      <c r="N146" s="1426"/>
      <c r="O146" s="1426"/>
      <c r="P146" s="1426"/>
      <c r="Q146" s="1426"/>
      <c r="R146" s="1426"/>
      <c r="S146" s="1426"/>
      <c r="T146" s="1426"/>
      <c r="U146" s="1427"/>
      <c r="V146" s="1428">
        <f>(V122*((1+V$11)^0.5)/V$10)</f>
        <v>0</v>
      </c>
      <c r="W146" s="1423">
        <f ca="1">IF(V170="n/a",V146,IFERROR(IF((OFFSET($C146,0,$A146))&lt;0,
MIN(0,V146-(OFFSET($C146,0,$A146)/(OFFSET($C141,-$A145,$A146)))),
MAX(0,V146-(OFFSET($C146,0,$A146)/(OFFSET($C141,-$A145,$A146))))),0))</f>
        <v>0</v>
      </c>
      <c r="X146" s="202"/>
      <c r="Y146" s="202"/>
      <c r="Z146" s="202"/>
      <c r="AA146" s="152"/>
      <c r="AB146" s="152"/>
    </row>
    <row r="147" spans="1:28" hidden="1" outlineLevel="1">
      <c r="A147" s="199">
        <f t="shared" si="165"/>
        <v>20</v>
      </c>
      <c r="B147" s="190" t="str">
        <f ca="1">"Depreciated Net Capex "&amp;OFFSET($C$6,0,A147)</f>
        <v>Depreciated Net Capex 2035-36</v>
      </c>
      <c r="C147" s="1426"/>
      <c r="D147" s="1426"/>
      <c r="E147" s="1426"/>
      <c r="F147" s="1426"/>
      <c r="G147" s="1426"/>
      <c r="H147" s="1426"/>
      <c r="I147" s="1426"/>
      <c r="J147" s="1426"/>
      <c r="K147" s="1426"/>
      <c r="L147" s="1426"/>
      <c r="M147" s="1426"/>
      <c r="N147" s="1426"/>
      <c r="O147" s="1426"/>
      <c r="P147" s="1426"/>
      <c r="Q147" s="1426"/>
      <c r="R147" s="1426"/>
      <c r="S147" s="1426"/>
      <c r="T147" s="1426"/>
      <c r="U147" s="1426"/>
      <c r="V147" s="1427"/>
      <c r="W147" s="1423">
        <f>(W122*((1+W$11)^0.5)/W$10)</f>
        <v>0</v>
      </c>
      <c r="X147" s="152"/>
      <c r="Y147" s="152"/>
      <c r="Z147" s="152"/>
      <c r="AA147" s="152"/>
      <c r="AB147" s="152"/>
    </row>
    <row r="148" spans="1:28" hidden="1" outlineLevel="1">
      <c r="A148" s="152"/>
      <c r="B148" s="200"/>
      <c r="C148" s="1423"/>
      <c r="D148" s="1423"/>
      <c r="E148" s="1423"/>
      <c r="F148" s="1423"/>
      <c r="G148" s="1423"/>
      <c r="H148" s="1423"/>
      <c r="I148" s="1423"/>
      <c r="J148" s="1423"/>
      <c r="K148" s="1423"/>
      <c r="L148" s="1423"/>
      <c r="M148" s="1423"/>
      <c r="N148" s="1423"/>
      <c r="O148" s="1423"/>
      <c r="P148" s="1423"/>
      <c r="Q148" s="1423"/>
      <c r="R148" s="1423"/>
      <c r="S148" s="1423"/>
      <c r="T148" s="1423"/>
      <c r="U148" s="1423"/>
      <c r="V148" s="1423"/>
      <c r="W148" s="1423"/>
      <c r="X148" s="152"/>
      <c r="Y148" s="152"/>
      <c r="Z148" s="152"/>
      <c r="AA148" s="152"/>
      <c r="AB148" s="152"/>
    </row>
    <row r="149" spans="1:28" hidden="1" outlineLevel="1">
      <c r="A149" s="152"/>
      <c r="B149" s="200"/>
      <c r="C149" s="1423"/>
      <c r="D149" s="1423"/>
      <c r="E149" s="1423"/>
      <c r="F149" s="1423"/>
      <c r="G149" s="1423"/>
      <c r="H149" s="1423"/>
      <c r="I149" s="1423"/>
      <c r="J149" s="1423"/>
      <c r="K149" s="1423"/>
      <c r="L149" s="1423"/>
      <c r="M149" s="1423"/>
      <c r="N149" s="1423"/>
      <c r="O149" s="1423"/>
      <c r="P149" s="1423"/>
      <c r="Q149" s="1423"/>
      <c r="R149" s="1423"/>
      <c r="S149" s="1423"/>
      <c r="T149" s="1423"/>
      <c r="U149" s="1423"/>
      <c r="V149" s="1423"/>
      <c r="W149" s="1423"/>
      <c r="X149" s="152"/>
      <c r="Y149" s="152"/>
      <c r="Z149" s="152"/>
      <c r="AA149" s="152"/>
      <c r="AB149" s="152"/>
    </row>
    <row r="150" spans="1:28" hidden="1" outlineLevel="1">
      <c r="A150" s="152"/>
      <c r="B150" s="190" t="s">
        <v>190</v>
      </c>
      <c r="C150" s="1423"/>
      <c r="D150" s="1423">
        <f ca="1">IF(AND(C150&lt;1,D124=0),0,
IF(D124=0,C150-1,
IF(C150&lt;1,D125,
(((C150-1)*(C126-(C126/(C150))))+((D124/D$10)*D125))/(D126))))</f>
        <v>0</v>
      </c>
      <c r="E150" s="1423">
        <f t="shared" ref="E150" ca="1" si="167">IF(AND(D150&lt;1,E124=0),0,
IF(E124=0,D150-1,
IF(D150&lt;1,E125,
(((D150-1)*(D126-(D126/(D150))))+((E124/E$10)*E125))/(E126))))</f>
        <v>0</v>
      </c>
      <c r="F150" s="1423">
        <f t="shared" ref="F150" ca="1" si="168">IF(AND(E150&lt;1,F124=0),0,
IF(F124=0,E150-1,
IF(E150&lt;1,F125,
(((E150-1)*(E126-(E126/(E150))))+((F124/F$10)*F125))/(F126))))</f>
        <v>0</v>
      </c>
      <c r="G150" s="1423">
        <f t="shared" ref="G150" ca="1" si="169">IF(AND(F150&lt;1,G124=0),0,
IF(G124=0,F150-1,
IF(F150&lt;1,G125,
(((F150-1)*(F126-(F126/(F150))))+((G124/G$10)*G125))/(G126))))</f>
        <v>0</v>
      </c>
      <c r="H150" s="1423">
        <f t="shared" ref="H150" ca="1" si="170">IF(AND(G150&lt;1,H124=0),0,
IF(H124=0,G150-1,
IF(G150&lt;1,H125,
(((G150-1)*(G126-(G126/(G150))))+((H124/H$10)*H125))/(H126))))</f>
        <v>0</v>
      </c>
      <c r="I150" s="1423">
        <f t="shared" ref="I150" ca="1" si="171">IF(AND(H150&lt;1,I124=0),0,
IF(I124=0,H150-1,
IF(H150&lt;1,I125,
(((H150-1)*(H126-(H126/(H150))))+((I124/I$10)*I125))/(I126))))</f>
        <v>0</v>
      </c>
      <c r="J150" s="1423">
        <f t="shared" ref="J150" ca="1" si="172">IF(AND(I150&lt;1,J124=0),0,
IF(J124=0,I150-1,
IF(I150&lt;1,J125,
(((I150-1)*(I126-(I126/(I150))))+((J124/J$10)*J125))/(J126))))</f>
        <v>0</v>
      </c>
      <c r="K150" s="1423">
        <f t="shared" ref="K150" ca="1" si="173">IF(AND(J150&lt;1,K124=0),0,
IF(K124=0,J150-1,
IF(J150&lt;1,K125,
(((J150-1)*(J126-(J126/(J150))))+((K124/K$10)*K125))/(K126))))</f>
        <v>0</v>
      </c>
      <c r="L150" s="1423">
        <f t="shared" ref="L150" ca="1" si="174">IF(AND(K150&lt;1,L124=0),0,
IF(L124=0,K150-1,
IF(K150&lt;1,L125,
(((K150-1)*(K126-(K126/(K150))))+((L124/L$10)*L125))/(L126))))</f>
        <v>0</v>
      </c>
      <c r="M150" s="1423">
        <f t="shared" ref="M150" ca="1" si="175">IF(AND(L150&lt;1,M124=0),0,
IF(M124=0,L150-1,
IF(L150&lt;1,M125,
(((L150-1)*(L126-(L126/(L150))))+((M124/M$10)*M125))/(M126))))</f>
        <v>0</v>
      </c>
      <c r="N150" s="1423">
        <f t="shared" ref="N150" ca="1" si="176">IF(AND(M150&lt;1,N124=0),0,
IF(N124=0,M150-1,
IF(M150&lt;1,N125,
(((M150-1)*(M126-(M126/(M150))))+((N124/N$10)*N125))/(N126))))</f>
        <v>0</v>
      </c>
      <c r="O150" s="1423">
        <f t="shared" ref="O150" ca="1" si="177">IF(AND(N150&lt;1,O124=0),0,
IF(O124=0,N150-1,
IF(N150&lt;1,O125,
(((N150-1)*(N126-(N126/(N150))))+((O124/O$10)*O125))/(O126))))</f>
        <v>0</v>
      </c>
      <c r="P150" s="1423">
        <f t="shared" ref="P150" ca="1" si="178">IF(AND(O150&lt;1,P124=0),0,
IF(P124=0,O150-1,
IF(O150&lt;1,P125,
(((O150-1)*(O126-(O126/(O150))))+((P124/P$10)*P125))/(P126))))</f>
        <v>0</v>
      </c>
      <c r="Q150" s="1423">
        <f t="shared" ref="Q150" ca="1" si="179">IF(AND(P150&lt;1,Q124=0),0,
IF(Q124=0,P150-1,
IF(P150&lt;1,Q125,
(((P150-1)*(P126-(P126/(P150))))+((Q124/Q$10)*Q125))/(Q126))))</f>
        <v>0</v>
      </c>
      <c r="R150" s="1423">
        <f t="shared" ref="R150" ca="1" si="180">IF(AND(Q150&lt;1,R124=0),0,
IF(R124=0,Q150-1,
IF(Q150&lt;1,R125,
(((Q150-1)*(Q126-(Q126/(Q150))))+((R124/R$10)*R125))/(R126))))</f>
        <v>0</v>
      </c>
      <c r="S150" s="1423">
        <f t="shared" ref="S150" ca="1" si="181">IF(AND(R150&lt;1,S124=0),0,
IF(S124=0,R150-1,
IF(R150&lt;1,S125,
(((R150-1)*(R126-(R126/(R150))))+((S124/S$10)*S125))/(S126))))</f>
        <v>0</v>
      </c>
      <c r="T150" s="1423">
        <f t="shared" ref="T150" ca="1" si="182">IF(AND(S150&lt;1,T124=0),0,
IF(T124=0,S150-1,
IF(S150&lt;1,T125,
(((S150-1)*(S126-(S126/(S150))))+((T124/T$10)*T125))/(T126))))</f>
        <v>0</v>
      </c>
      <c r="U150" s="1423">
        <f t="shared" ref="U150" ca="1" si="183">IF(AND(T150&lt;1,U124=0),0,
IF(U124=0,T150-1,
IF(T150&lt;1,U125,
(((T150-1)*(T126-(T126/(T150))))+((U124/U$10)*U125))/(U126))))</f>
        <v>0</v>
      </c>
      <c r="V150" s="1423">
        <f t="shared" ref="V150" ca="1" si="184">IF(AND(U150&lt;1,V124=0),0,
IF(V124=0,U150-1,
IF(U150&lt;1,V125,
(((U150-1)*(U126-(U126/(U150))))+((V124/V$10)*V125))/(V126))))</f>
        <v>0</v>
      </c>
      <c r="W150" s="1423">
        <f t="shared" ref="W150" ca="1" si="185">IF(AND(V150&lt;1,W124=0),0,
IF(W124=0,V150-1,
IF(V150&lt;1,W125,
(((V150-1)*(V126-(V126/(V150))))+((W124/W$10)*W125))/(W126))))</f>
        <v>0</v>
      </c>
      <c r="X150" s="152"/>
      <c r="Y150" s="152"/>
      <c r="Z150" s="152"/>
      <c r="AA150" s="152"/>
      <c r="AB150" s="152"/>
    </row>
    <row r="151" spans="1:28" hidden="1" outlineLevel="1">
      <c r="A151" s="152"/>
      <c r="B151" s="190" t="s">
        <v>122</v>
      </c>
      <c r="C151" s="1423">
        <f ca="1">C123</f>
        <v>8.274971900545264</v>
      </c>
      <c r="D151" s="1423">
        <f t="shared" ref="D151" ca="1" si="186">IF(C151="n/a","n/a",MAX(0,C151-1))</f>
        <v>7.274971900545264</v>
      </c>
      <c r="E151" s="1423">
        <f t="shared" ref="E151:E152" ca="1" si="187">IF(D151="n/a","n/a",MAX(0,D151-1))</f>
        <v>6.274971900545264</v>
      </c>
      <c r="F151" s="1423">
        <f t="shared" ref="F151:F153" ca="1" si="188">IF(E151="n/a","n/a",MAX(0,E151-1))</f>
        <v>5.274971900545264</v>
      </c>
      <c r="G151" s="1423">
        <f t="shared" ref="G151:G154" ca="1" si="189">IF(F151="n/a","n/a",MAX(0,F151-1))</f>
        <v>4.274971900545264</v>
      </c>
      <c r="H151" s="1423">
        <f t="shared" ref="H151:H155" ca="1" si="190">IF(G151="n/a","n/a",MAX(0,G151-1))</f>
        <v>3.274971900545264</v>
      </c>
      <c r="I151" s="1423">
        <f t="shared" ref="I151:I156" ca="1" si="191">IF(H151="n/a","n/a",MAX(0,H151-1))</f>
        <v>2.274971900545264</v>
      </c>
      <c r="J151" s="1423">
        <f t="shared" ref="J151:J157" ca="1" si="192">IF(I151="n/a","n/a",MAX(0,I151-1))</f>
        <v>1.274971900545264</v>
      </c>
      <c r="K151" s="1423">
        <f t="shared" ref="K151:K158" ca="1" si="193">IF(J151="n/a","n/a",MAX(0,J151-1))</f>
        <v>0.27497190054526399</v>
      </c>
      <c r="L151" s="1423">
        <f t="shared" ref="L151:L159" ca="1" si="194">IF(K151="n/a","n/a",MAX(0,K151-1))</f>
        <v>0</v>
      </c>
      <c r="M151" s="1423">
        <f t="shared" ref="M151:M160" ca="1" si="195">IF(L151="n/a","n/a",MAX(0,L151-1))</f>
        <v>0</v>
      </c>
      <c r="N151" s="1423">
        <f t="shared" ref="N151:N161" ca="1" si="196">IF(M151="n/a","n/a",MAX(0,M151-1))</f>
        <v>0</v>
      </c>
      <c r="O151" s="1423">
        <f t="shared" ref="O151:O162" ca="1" si="197">IF(N151="n/a","n/a",MAX(0,N151-1))</f>
        <v>0</v>
      </c>
      <c r="P151" s="1423">
        <f t="shared" ref="P151:P163" ca="1" si="198">IF(O151="n/a","n/a",MAX(0,O151-1))</f>
        <v>0</v>
      </c>
      <c r="Q151" s="1423">
        <f t="shared" ref="Q151:Q164" ca="1" si="199">IF(P151="n/a","n/a",MAX(0,P151-1))</f>
        <v>0</v>
      </c>
      <c r="R151" s="1423">
        <f t="shared" ref="R151:R165" ca="1" si="200">IF(Q151="n/a","n/a",MAX(0,Q151-1))</f>
        <v>0</v>
      </c>
      <c r="S151" s="1423">
        <f t="shared" ref="S151:S166" ca="1" si="201">IF(R151="n/a","n/a",MAX(0,R151-1))</f>
        <v>0</v>
      </c>
      <c r="T151" s="1423">
        <f t="shared" ref="T151:T167" ca="1" si="202">IF(S151="n/a","n/a",MAX(0,S151-1))</f>
        <v>0</v>
      </c>
      <c r="U151" s="1423">
        <f t="shared" ref="U151:U168" ca="1" si="203">IF(T151="n/a","n/a",MAX(0,T151-1))</f>
        <v>0</v>
      </c>
      <c r="V151" s="1423">
        <f t="shared" ref="V151:V169" ca="1" si="204">IF(U151="n/a","n/a",MAX(0,U151-1))</f>
        <v>0</v>
      </c>
      <c r="W151" s="1423">
        <f t="shared" ref="W151:W169" ca="1" si="205">IF(V151="n/a","n/a",MAX(0,V151-1))</f>
        <v>0</v>
      </c>
      <c r="X151" s="152"/>
      <c r="Y151" s="152"/>
      <c r="Z151" s="152"/>
      <c r="AA151" s="152"/>
      <c r="AB151" s="152"/>
    </row>
    <row r="152" spans="1:28" hidden="1" outlineLevel="1">
      <c r="A152" s="152"/>
      <c r="B152" s="190" t="str">
        <f t="shared" ref="B152:B171" ca="1" si="206">"RL Capex "&amp;OFFSET($C$6,0,A128)</f>
        <v>RL Capex 2016-17</v>
      </c>
      <c r="C152" s="1424"/>
      <c r="D152" s="1428">
        <f>D123</f>
        <v>15</v>
      </c>
      <c r="E152" s="1423">
        <f t="shared" si="187"/>
        <v>14</v>
      </c>
      <c r="F152" s="1423">
        <f t="shared" si="188"/>
        <v>13</v>
      </c>
      <c r="G152" s="1423">
        <f t="shared" si="189"/>
        <v>12</v>
      </c>
      <c r="H152" s="1423">
        <f t="shared" si="190"/>
        <v>11</v>
      </c>
      <c r="I152" s="1423">
        <f t="shared" si="191"/>
        <v>10</v>
      </c>
      <c r="J152" s="1423">
        <f t="shared" si="192"/>
        <v>9</v>
      </c>
      <c r="K152" s="1423">
        <f t="shared" si="193"/>
        <v>8</v>
      </c>
      <c r="L152" s="1423">
        <f t="shared" si="194"/>
        <v>7</v>
      </c>
      <c r="M152" s="1423">
        <f t="shared" si="195"/>
        <v>6</v>
      </c>
      <c r="N152" s="1423">
        <f t="shared" si="196"/>
        <v>5</v>
      </c>
      <c r="O152" s="1423">
        <f t="shared" si="197"/>
        <v>4</v>
      </c>
      <c r="P152" s="1423">
        <f t="shared" si="198"/>
        <v>3</v>
      </c>
      <c r="Q152" s="1423">
        <f t="shared" si="199"/>
        <v>2</v>
      </c>
      <c r="R152" s="1423">
        <f t="shared" si="200"/>
        <v>1</v>
      </c>
      <c r="S152" s="1423">
        <f t="shared" si="201"/>
        <v>0</v>
      </c>
      <c r="T152" s="1423">
        <f t="shared" si="202"/>
        <v>0</v>
      </c>
      <c r="U152" s="1423">
        <f t="shared" si="203"/>
        <v>0</v>
      </c>
      <c r="V152" s="1423">
        <f t="shared" si="204"/>
        <v>0</v>
      </c>
      <c r="W152" s="1423">
        <f t="shared" si="205"/>
        <v>0</v>
      </c>
      <c r="X152" s="152"/>
      <c r="Y152" s="152"/>
      <c r="Z152" s="152"/>
      <c r="AA152" s="152"/>
      <c r="AB152" s="152"/>
    </row>
    <row r="153" spans="1:28" hidden="1" outlineLevel="1">
      <c r="A153" s="152"/>
      <c r="B153" s="190" t="str">
        <f t="shared" ca="1" si="206"/>
        <v>RL Capex 2017-18</v>
      </c>
      <c r="C153" s="1429"/>
      <c r="D153" s="1424"/>
      <c r="E153" s="1428">
        <f>E123</f>
        <v>15</v>
      </c>
      <c r="F153" s="1423">
        <f t="shared" si="188"/>
        <v>14</v>
      </c>
      <c r="G153" s="1423">
        <f t="shared" si="189"/>
        <v>13</v>
      </c>
      <c r="H153" s="1423">
        <f t="shared" si="190"/>
        <v>12</v>
      </c>
      <c r="I153" s="1423">
        <f t="shared" si="191"/>
        <v>11</v>
      </c>
      <c r="J153" s="1423">
        <f t="shared" si="192"/>
        <v>10</v>
      </c>
      <c r="K153" s="1423">
        <f t="shared" si="193"/>
        <v>9</v>
      </c>
      <c r="L153" s="1423">
        <f t="shared" si="194"/>
        <v>8</v>
      </c>
      <c r="M153" s="1423">
        <f t="shared" si="195"/>
        <v>7</v>
      </c>
      <c r="N153" s="1423">
        <f t="shared" si="196"/>
        <v>6</v>
      </c>
      <c r="O153" s="1423">
        <f t="shared" si="197"/>
        <v>5</v>
      </c>
      <c r="P153" s="1423">
        <f t="shared" si="198"/>
        <v>4</v>
      </c>
      <c r="Q153" s="1423">
        <f t="shared" si="199"/>
        <v>3</v>
      </c>
      <c r="R153" s="1423">
        <f t="shared" si="200"/>
        <v>2</v>
      </c>
      <c r="S153" s="1423">
        <f t="shared" si="201"/>
        <v>1</v>
      </c>
      <c r="T153" s="1423">
        <f t="shared" si="202"/>
        <v>0</v>
      </c>
      <c r="U153" s="1423">
        <f t="shared" si="203"/>
        <v>0</v>
      </c>
      <c r="V153" s="1423">
        <f t="shared" si="204"/>
        <v>0</v>
      </c>
      <c r="W153" s="1423">
        <f t="shared" si="205"/>
        <v>0</v>
      </c>
      <c r="X153" s="152"/>
      <c r="Y153" s="152"/>
      <c r="Z153" s="152"/>
      <c r="AA153" s="152"/>
      <c r="AB153" s="152"/>
    </row>
    <row r="154" spans="1:28" hidden="1" outlineLevel="1">
      <c r="A154" s="152"/>
      <c r="B154" s="190" t="str">
        <f t="shared" ca="1" si="206"/>
        <v>RL Capex 2018-19</v>
      </c>
      <c r="C154" s="1429"/>
      <c r="D154" s="1429"/>
      <c r="E154" s="1424"/>
      <c r="F154" s="1428">
        <f>F123</f>
        <v>15</v>
      </c>
      <c r="G154" s="1423">
        <f t="shared" si="189"/>
        <v>14</v>
      </c>
      <c r="H154" s="1423">
        <f t="shared" si="190"/>
        <v>13</v>
      </c>
      <c r="I154" s="1423">
        <f t="shared" si="191"/>
        <v>12</v>
      </c>
      <c r="J154" s="1423">
        <f t="shared" si="192"/>
        <v>11</v>
      </c>
      <c r="K154" s="1423">
        <f t="shared" si="193"/>
        <v>10</v>
      </c>
      <c r="L154" s="1423">
        <f t="shared" si="194"/>
        <v>9</v>
      </c>
      <c r="M154" s="1423">
        <f t="shared" si="195"/>
        <v>8</v>
      </c>
      <c r="N154" s="1423">
        <f t="shared" si="196"/>
        <v>7</v>
      </c>
      <c r="O154" s="1423">
        <f t="shared" si="197"/>
        <v>6</v>
      </c>
      <c r="P154" s="1423">
        <f t="shared" si="198"/>
        <v>5</v>
      </c>
      <c r="Q154" s="1423">
        <f t="shared" si="199"/>
        <v>4</v>
      </c>
      <c r="R154" s="1423">
        <f t="shared" si="200"/>
        <v>3</v>
      </c>
      <c r="S154" s="1423">
        <f t="shared" si="201"/>
        <v>2</v>
      </c>
      <c r="T154" s="1423">
        <f t="shared" si="202"/>
        <v>1</v>
      </c>
      <c r="U154" s="1423">
        <f t="shared" si="203"/>
        <v>0</v>
      </c>
      <c r="V154" s="1423">
        <f t="shared" si="204"/>
        <v>0</v>
      </c>
      <c r="W154" s="1423">
        <f t="shared" si="205"/>
        <v>0</v>
      </c>
      <c r="X154" s="152"/>
      <c r="Y154" s="152"/>
      <c r="Z154" s="152"/>
      <c r="AA154" s="152"/>
      <c r="AB154" s="152"/>
    </row>
    <row r="155" spans="1:28" hidden="1" outlineLevel="1">
      <c r="A155" s="152"/>
      <c r="B155" s="190" t="str">
        <f t="shared" ca="1" si="206"/>
        <v>RL Capex 2019-20</v>
      </c>
      <c r="C155" s="1429"/>
      <c r="D155" s="1429"/>
      <c r="E155" s="1429"/>
      <c r="F155" s="1424"/>
      <c r="G155" s="1428">
        <f>G123</f>
        <v>15</v>
      </c>
      <c r="H155" s="1423">
        <f t="shared" si="190"/>
        <v>14</v>
      </c>
      <c r="I155" s="1423">
        <f t="shared" si="191"/>
        <v>13</v>
      </c>
      <c r="J155" s="1423">
        <f t="shared" si="192"/>
        <v>12</v>
      </c>
      <c r="K155" s="1423">
        <f t="shared" si="193"/>
        <v>11</v>
      </c>
      <c r="L155" s="1423">
        <f t="shared" si="194"/>
        <v>10</v>
      </c>
      <c r="M155" s="1423">
        <f t="shared" si="195"/>
        <v>9</v>
      </c>
      <c r="N155" s="1423">
        <f t="shared" si="196"/>
        <v>8</v>
      </c>
      <c r="O155" s="1423">
        <f t="shared" si="197"/>
        <v>7</v>
      </c>
      <c r="P155" s="1423">
        <f t="shared" si="198"/>
        <v>6</v>
      </c>
      <c r="Q155" s="1423">
        <f t="shared" si="199"/>
        <v>5</v>
      </c>
      <c r="R155" s="1423">
        <f t="shared" si="200"/>
        <v>4</v>
      </c>
      <c r="S155" s="1423">
        <f t="shared" si="201"/>
        <v>3</v>
      </c>
      <c r="T155" s="1423">
        <f t="shared" si="202"/>
        <v>2</v>
      </c>
      <c r="U155" s="1423">
        <f t="shared" si="203"/>
        <v>1</v>
      </c>
      <c r="V155" s="1423">
        <f t="shared" si="204"/>
        <v>0</v>
      </c>
      <c r="W155" s="1423">
        <f t="shared" si="205"/>
        <v>0</v>
      </c>
      <c r="X155" s="152"/>
      <c r="Y155" s="152"/>
      <c r="Z155" s="152"/>
      <c r="AA155" s="152"/>
      <c r="AB155" s="152"/>
    </row>
    <row r="156" spans="1:28" hidden="1" outlineLevel="1">
      <c r="A156" s="152"/>
      <c r="B156" s="190" t="str">
        <f t="shared" ca="1" si="206"/>
        <v>RL Capex 2020-21</v>
      </c>
      <c r="C156" s="1429"/>
      <c r="D156" s="1429"/>
      <c r="E156" s="1429"/>
      <c r="F156" s="1429"/>
      <c r="G156" s="1424"/>
      <c r="H156" s="1428">
        <f>H123</f>
        <v>15</v>
      </c>
      <c r="I156" s="1423">
        <f t="shared" si="191"/>
        <v>14</v>
      </c>
      <c r="J156" s="1423">
        <f t="shared" si="192"/>
        <v>13</v>
      </c>
      <c r="K156" s="1423">
        <f t="shared" si="193"/>
        <v>12</v>
      </c>
      <c r="L156" s="1423">
        <f t="shared" si="194"/>
        <v>11</v>
      </c>
      <c r="M156" s="1423">
        <f t="shared" si="195"/>
        <v>10</v>
      </c>
      <c r="N156" s="1423">
        <f t="shared" si="196"/>
        <v>9</v>
      </c>
      <c r="O156" s="1423">
        <f t="shared" si="197"/>
        <v>8</v>
      </c>
      <c r="P156" s="1423">
        <f t="shared" si="198"/>
        <v>7</v>
      </c>
      <c r="Q156" s="1423">
        <f t="shared" si="199"/>
        <v>6</v>
      </c>
      <c r="R156" s="1423">
        <f t="shared" si="200"/>
        <v>5</v>
      </c>
      <c r="S156" s="1423">
        <f t="shared" si="201"/>
        <v>4</v>
      </c>
      <c r="T156" s="1423">
        <f t="shared" si="202"/>
        <v>3</v>
      </c>
      <c r="U156" s="1423">
        <f t="shared" si="203"/>
        <v>2</v>
      </c>
      <c r="V156" s="1423">
        <f t="shared" si="204"/>
        <v>1</v>
      </c>
      <c r="W156" s="1423">
        <f t="shared" si="205"/>
        <v>0</v>
      </c>
      <c r="X156" s="152"/>
      <c r="Y156" s="152"/>
      <c r="Z156" s="152"/>
      <c r="AA156" s="152"/>
      <c r="AB156" s="152"/>
    </row>
    <row r="157" spans="1:28" hidden="1" outlineLevel="1">
      <c r="A157" s="152"/>
      <c r="B157" s="190" t="str">
        <f t="shared" ca="1" si="206"/>
        <v>RL Capex 2021-22</v>
      </c>
      <c r="C157" s="1429"/>
      <c r="D157" s="1429"/>
      <c r="E157" s="1429"/>
      <c r="F157" s="1429"/>
      <c r="G157" s="1429"/>
      <c r="H157" s="1424"/>
      <c r="I157" s="1428">
        <f>I123</f>
        <v>15</v>
      </c>
      <c r="J157" s="1423">
        <f t="shared" si="192"/>
        <v>14</v>
      </c>
      <c r="K157" s="1423">
        <f t="shared" si="193"/>
        <v>13</v>
      </c>
      <c r="L157" s="1423">
        <f t="shared" si="194"/>
        <v>12</v>
      </c>
      <c r="M157" s="1423">
        <f t="shared" si="195"/>
        <v>11</v>
      </c>
      <c r="N157" s="1423">
        <f t="shared" si="196"/>
        <v>10</v>
      </c>
      <c r="O157" s="1423">
        <f t="shared" si="197"/>
        <v>9</v>
      </c>
      <c r="P157" s="1423">
        <f t="shared" si="198"/>
        <v>8</v>
      </c>
      <c r="Q157" s="1423">
        <f t="shared" si="199"/>
        <v>7</v>
      </c>
      <c r="R157" s="1423">
        <f t="shared" si="200"/>
        <v>6</v>
      </c>
      <c r="S157" s="1423">
        <f t="shared" si="201"/>
        <v>5</v>
      </c>
      <c r="T157" s="1423">
        <f t="shared" si="202"/>
        <v>4</v>
      </c>
      <c r="U157" s="1423">
        <f t="shared" si="203"/>
        <v>3</v>
      </c>
      <c r="V157" s="1423">
        <f t="shared" si="204"/>
        <v>2</v>
      </c>
      <c r="W157" s="1423">
        <f t="shared" si="205"/>
        <v>1</v>
      </c>
      <c r="X157" s="152"/>
      <c r="Y157" s="152"/>
      <c r="Z157" s="152"/>
      <c r="AA157" s="152"/>
      <c r="AB157" s="152"/>
    </row>
    <row r="158" spans="1:28" hidden="1" outlineLevel="1">
      <c r="A158" s="152"/>
      <c r="B158" s="190" t="str">
        <f t="shared" ca="1" si="206"/>
        <v>RL Capex 2022-23</v>
      </c>
      <c r="C158" s="1429"/>
      <c r="D158" s="1429"/>
      <c r="E158" s="1429"/>
      <c r="F158" s="1429"/>
      <c r="G158" s="1429"/>
      <c r="H158" s="1429"/>
      <c r="I158" s="1424"/>
      <c r="J158" s="1428">
        <f>J123</f>
        <v>15</v>
      </c>
      <c r="K158" s="1423">
        <f t="shared" si="193"/>
        <v>14</v>
      </c>
      <c r="L158" s="1423">
        <f t="shared" si="194"/>
        <v>13</v>
      </c>
      <c r="M158" s="1423">
        <f t="shared" si="195"/>
        <v>12</v>
      </c>
      <c r="N158" s="1423">
        <f t="shared" si="196"/>
        <v>11</v>
      </c>
      <c r="O158" s="1423">
        <f t="shared" si="197"/>
        <v>10</v>
      </c>
      <c r="P158" s="1423">
        <f t="shared" si="198"/>
        <v>9</v>
      </c>
      <c r="Q158" s="1423">
        <f t="shared" si="199"/>
        <v>8</v>
      </c>
      <c r="R158" s="1423">
        <f t="shared" si="200"/>
        <v>7</v>
      </c>
      <c r="S158" s="1423">
        <f t="shared" si="201"/>
        <v>6</v>
      </c>
      <c r="T158" s="1423">
        <f t="shared" si="202"/>
        <v>5</v>
      </c>
      <c r="U158" s="1423">
        <f t="shared" si="203"/>
        <v>4</v>
      </c>
      <c r="V158" s="1423">
        <f t="shared" si="204"/>
        <v>3</v>
      </c>
      <c r="W158" s="1423">
        <f t="shared" si="205"/>
        <v>2</v>
      </c>
      <c r="X158" s="152"/>
      <c r="Y158" s="152"/>
      <c r="Z158" s="152"/>
      <c r="AA158" s="152"/>
      <c r="AB158" s="152"/>
    </row>
    <row r="159" spans="1:28" hidden="1" outlineLevel="1">
      <c r="A159" s="152"/>
      <c r="B159" s="190" t="str">
        <f t="shared" ca="1" si="206"/>
        <v>RL Capex 2023-24</v>
      </c>
      <c r="C159" s="1429"/>
      <c r="D159" s="1429"/>
      <c r="E159" s="1429"/>
      <c r="F159" s="1429"/>
      <c r="G159" s="1429"/>
      <c r="H159" s="1429"/>
      <c r="I159" s="1429"/>
      <c r="J159" s="1424"/>
      <c r="K159" s="1428">
        <f>K123</f>
        <v>15</v>
      </c>
      <c r="L159" s="1423">
        <f t="shared" si="194"/>
        <v>14</v>
      </c>
      <c r="M159" s="1423">
        <f t="shared" si="195"/>
        <v>13</v>
      </c>
      <c r="N159" s="1423">
        <f t="shared" si="196"/>
        <v>12</v>
      </c>
      <c r="O159" s="1423">
        <f t="shared" si="197"/>
        <v>11</v>
      </c>
      <c r="P159" s="1423">
        <f t="shared" si="198"/>
        <v>10</v>
      </c>
      <c r="Q159" s="1423">
        <f t="shared" si="199"/>
        <v>9</v>
      </c>
      <c r="R159" s="1423">
        <f t="shared" si="200"/>
        <v>8</v>
      </c>
      <c r="S159" s="1423">
        <f t="shared" si="201"/>
        <v>7</v>
      </c>
      <c r="T159" s="1423">
        <f t="shared" si="202"/>
        <v>6</v>
      </c>
      <c r="U159" s="1423">
        <f t="shared" si="203"/>
        <v>5</v>
      </c>
      <c r="V159" s="1423">
        <f t="shared" si="204"/>
        <v>4</v>
      </c>
      <c r="W159" s="1423">
        <f t="shared" si="205"/>
        <v>3</v>
      </c>
      <c r="X159" s="152"/>
      <c r="Y159" s="152"/>
      <c r="Z159" s="152"/>
      <c r="AA159" s="152"/>
      <c r="AB159" s="152"/>
    </row>
    <row r="160" spans="1:28" hidden="1" outlineLevel="1">
      <c r="A160" s="152"/>
      <c r="B160" s="190" t="str">
        <f t="shared" ca="1" si="206"/>
        <v>RL Capex 2024-25</v>
      </c>
      <c r="C160" s="1429"/>
      <c r="D160" s="1429"/>
      <c r="E160" s="1429"/>
      <c r="F160" s="1429"/>
      <c r="G160" s="1429"/>
      <c r="H160" s="1429"/>
      <c r="I160" s="1429"/>
      <c r="J160" s="1429"/>
      <c r="K160" s="1424"/>
      <c r="L160" s="1428">
        <f>L123</f>
        <v>15</v>
      </c>
      <c r="M160" s="1423">
        <f t="shared" si="195"/>
        <v>14</v>
      </c>
      <c r="N160" s="1423">
        <f t="shared" si="196"/>
        <v>13</v>
      </c>
      <c r="O160" s="1423">
        <f t="shared" si="197"/>
        <v>12</v>
      </c>
      <c r="P160" s="1423">
        <f t="shared" si="198"/>
        <v>11</v>
      </c>
      <c r="Q160" s="1423">
        <f t="shared" si="199"/>
        <v>10</v>
      </c>
      <c r="R160" s="1423">
        <f t="shared" si="200"/>
        <v>9</v>
      </c>
      <c r="S160" s="1423">
        <f t="shared" si="201"/>
        <v>8</v>
      </c>
      <c r="T160" s="1423">
        <f t="shared" si="202"/>
        <v>7</v>
      </c>
      <c r="U160" s="1423">
        <f t="shared" si="203"/>
        <v>6</v>
      </c>
      <c r="V160" s="1423">
        <f t="shared" si="204"/>
        <v>5</v>
      </c>
      <c r="W160" s="1423">
        <f t="shared" si="205"/>
        <v>4</v>
      </c>
      <c r="X160" s="152"/>
      <c r="Y160" s="152"/>
      <c r="Z160" s="152"/>
      <c r="AA160" s="152"/>
      <c r="AB160" s="152"/>
    </row>
    <row r="161" spans="1:28" hidden="1" outlineLevel="1">
      <c r="A161" s="152"/>
      <c r="B161" s="190" t="str">
        <f t="shared" ca="1" si="206"/>
        <v>RL Capex 2025-26</v>
      </c>
      <c r="C161" s="1429"/>
      <c r="D161" s="1429"/>
      <c r="E161" s="1429"/>
      <c r="F161" s="1429"/>
      <c r="G161" s="1429"/>
      <c r="H161" s="1429"/>
      <c r="I161" s="1429"/>
      <c r="J161" s="1429"/>
      <c r="K161" s="1429"/>
      <c r="L161" s="1424"/>
      <c r="M161" s="1428">
        <f>M123</f>
        <v>15</v>
      </c>
      <c r="N161" s="1423">
        <f t="shared" si="196"/>
        <v>14</v>
      </c>
      <c r="O161" s="1423">
        <f t="shared" si="197"/>
        <v>13</v>
      </c>
      <c r="P161" s="1423">
        <f t="shared" si="198"/>
        <v>12</v>
      </c>
      <c r="Q161" s="1423">
        <f t="shared" si="199"/>
        <v>11</v>
      </c>
      <c r="R161" s="1423">
        <f t="shared" si="200"/>
        <v>10</v>
      </c>
      <c r="S161" s="1423">
        <f t="shared" si="201"/>
        <v>9</v>
      </c>
      <c r="T161" s="1423">
        <f t="shared" si="202"/>
        <v>8</v>
      </c>
      <c r="U161" s="1423">
        <f t="shared" si="203"/>
        <v>7</v>
      </c>
      <c r="V161" s="1423">
        <f t="shared" si="204"/>
        <v>6</v>
      </c>
      <c r="W161" s="1423">
        <f t="shared" si="205"/>
        <v>5</v>
      </c>
      <c r="X161" s="152"/>
      <c r="Y161" s="152"/>
      <c r="Z161" s="152"/>
      <c r="AA161" s="152"/>
      <c r="AB161" s="152"/>
    </row>
    <row r="162" spans="1:28" hidden="1" outlineLevel="1">
      <c r="A162" s="152"/>
      <c r="B162" s="190" t="str">
        <f t="shared" ca="1" si="206"/>
        <v>RL Capex 2026-27</v>
      </c>
      <c r="C162" s="1429"/>
      <c r="D162" s="1429"/>
      <c r="E162" s="1429"/>
      <c r="F162" s="1429"/>
      <c r="G162" s="1429"/>
      <c r="H162" s="1429"/>
      <c r="I162" s="1429"/>
      <c r="J162" s="1429"/>
      <c r="K162" s="1429"/>
      <c r="L162" s="1429"/>
      <c r="M162" s="1424"/>
      <c r="N162" s="1428">
        <f>N123</f>
        <v>0</v>
      </c>
      <c r="O162" s="1423">
        <f t="shared" si="197"/>
        <v>0</v>
      </c>
      <c r="P162" s="1423">
        <f t="shared" si="198"/>
        <v>0</v>
      </c>
      <c r="Q162" s="1423">
        <f t="shared" si="199"/>
        <v>0</v>
      </c>
      <c r="R162" s="1423">
        <f t="shared" si="200"/>
        <v>0</v>
      </c>
      <c r="S162" s="1423">
        <f t="shared" si="201"/>
        <v>0</v>
      </c>
      <c r="T162" s="1423">
        <f t="shared" si="202"/>
        <v>0</v>
      </c>
      <c r="U162" s="1423">
        <f t="shared" si="203"/>
        <v>0</v>
      </c>
      <c r="V162" s="1423">
        <f t="shared" si="204"/>
        <v>0</v>
      </c>
      <c r="W162" s="1423">
        <f t="shared" si="205"/>
        <v>0</v>
      </c>
      <c r="X162" s="152"/>
      <c r="Y162" s="152"/>
      <c r="Z162" s="152"/>
      <c r="AA162" s="152"/>
      <c r="AB162" s="152"/>
    </row>
    <row r="163" spans="1:28" hidden="1" outlineLevel="1">
      <c r="A163" s="152"/>
      <c r="B163" s="190" t="str">
        <f t="shared" ca="1" si="206"/>
        <v>RL Capex 2027-28</v>
      </c>
      <c r="C163" s="1429"/>
      <c r="D163" s="1429"/>
      <c r="E163" s="1429"/>
      <c r="F163" s="1429"/>
      <c r="G163" s="1429"/>
      <c r="H163" s="1429"/>
      <c r="I163" s="1429"/>
      <c r="J163" s="1429"/>
      <c r="K163" s="1429"/>
      <c r="L163" s="1429"/>
      <c r="M163" s="1429"/>
      <c r="N163" s="1424"/>
      <c r="O163" s="1428">
        <f>O123</f>
        <v>0</v>
      </c>
      <c r="P163" s="1423">
        <f t="shared" si="198"/>
        <v>0</v>
      </c>
      <c r="Q163" s="1423">
        <f t="shared" si="199"/>
        <v>0</v>
      </c>
      <c r="R163" s="1423">
        <f t="shared" si="200"/>
        <v>0</v>
      </c>
      <c r="S163" s="1423">
        <f t="shared" si="201"/>
        <v>0</v>
      </c>
      <c r="T163" s="1423">
        <f t="shared" si="202"/>
        <v>0</v>
      </c>
      <c r="U163" s="1423">
        <f t="shared" si="203"/>
        <v>0</v>
      </c>
      <c r="V163" s="1423">
        <f t="shared" si="204"/>
        <v>0</v>
      </c>
      <c r="W163" s="1423">
        <f t="shared" si="205"/>
        <v>0</v>
      </c>
      <c r="X163" s="152"/>
      <c r="Y163" s="152"/>
      <c r="Z163" s="152"/>
      <c r="AA163" s="152"/>
      <c r="AB163" s="152"/>
    </row>
    <row r="164" spans="1:28" hidden="1" outlineLevel="1">
      <c r="A164" s="152"/>
      <c r="B164" s="190" t="str">
        <f t="shared" ca="1" si="206"/>
        <v>RL Capex 2028-29</v>
      </c>
      <c r="C164" s="1429"/>
      <c r="D164" s="1429"/>
      <c r="E164" s="1429"/>
      <c r="F164" s="1429"/>
      <c r="G164" s="1429"/>
      <c r="H164" s="1429"/>
      <c r="I164" s="1429"/>
      <c r="J164" s="1429"/>
      <c r="K164" s="1429"/>
      <c r="L164" s="1429"/>
      <c r="M164" s="1429"/>
      <c r="N164" s="1429"/>
      <c r="O164" s="1424"/>
      <c r="P164" s="1428">
        <f>P123</f>
        <v>0</v>
      </c>
      <c r="Q164" s="1423">
        <f t="shared" si="199"/>
        <v>0</v>
      </c>
      <c r="R164" s="1423">
        <f t="shared" si="200"/>
        <v>0</v>
      </c>
      <c r="S164" s="1423">
        <f t="shared" si="201"/>
        <v>0</v>
      </c>
      <c r="T164" s="1423">
        <f t="shared" si="202"/>
        <v>0</v>
      </c>
      <c r="U164" s="1423">
        <f t="shared" si="203"/>
        <v>0</v>
      </c>
      <c r="V164" s="1423">
        <f t="shared" si="204"/>
        <v>0</v>
      </c>
      <c r="W164" s="1423">
        <f t="shared" si="205"/>
        <v>0</v>
      </c>
      <c r="X164" s="152"/>
      <c r="Y164" s="152"/>
      <c r="Z164" s="152"/>
      <c r="AA164" s="152"/>
      <c r="AB164" s="152"/>
    </row>
    <row r="165" spans="1:28" hidden="1" outlineLevel="1">
      <c r="A165" s="152"/>
      <c r="B165" s="190" t="str">
        <f t="shared" ca="1" si="206"/>
        <v>RL Capex 2029-30</v>
      </c>
      <c r="C165" s="1429"/>
      <c r="D165" s="1429"/>
      <c r="E165" s="1429"/>
      <c r="F165" s="1429"/>
      <c r="G165" s="1429"/>
      <c r="H165" s="1429"/>
      <c r="I165" s="1429"/>
      <c r="J165" s="1429"/>
      <c r="K165" s="1429"/>
      <c r="L165" s="1429"/>
      <c r="M165" s="1429"/>
      <c r="N165" s="1429"/>
      <c r="O165" s="1429"/>
      <c r="P165" s="1424"/>
      <c r="Q165" s="1428">
        <f>Q123</f>
        <v>0</v>
      </c>
      <c r="R165" s="1423">
        <f t="shared" si="200"/>
        <v>0</v>
      </c>
      <c r="S165" s="1423">
        <f t="shared" si="201"/>
        <v>0</v>
      </c>
      <c r="T165" s="1423">
        <f t="shared" si="202"/>
        <v>0</v>
      </c>
      <c r="U165" s="1423">
        <f t="shared" si="203"/>
        <v>0</v>
      </c>
      <c r="V165" s="1423">
        <f t="shared" si="204"/>
        <v>0</v>
      </c>
      <c r="W165" s="1423">
        <f t="shared" si="205"/>
        <v>0</v>
      </c>
      <c r="X165" s="152"/>
      <c r="Y165" s="152"/>
      <c r="Z165" s="152"/>
      <c r="AA165" s="152"/>
      <c r="AB165" s="152"/>
    </row>
    <row r="166" spans="1:28" hidden="1" outlineLevel="1">
      <c r="A166" s="152"/>
      <c r="B166" s="190" t="str">
        <f t="shared" ca="1" si="206"/>
        <v>RL Capex 2030-31</v>
      </c>
      <c r="C166" s="1429"/>
      <c r="D166" s="1429"/>
      <c r="E166" s="1429"/>
      <c r="F166" s="1429"/>
      <c r="G166" s="1429"/>
      <c r="H166" s="1429"/>
      <c r="I166" s="1429"/>
      <c r="J166" s="1429"/>
      <c r="K166" s="1429"/>
      <c r="L166" s="1429"/>
      <c r="M166" s="1429"/>
      <c r="N166" s="1429"/>
      <c r="O166" s="1429"/>
      <c r="P166" s="1429"/>
      <c r="Q166" s="1424"/>
      <c r="R166" s="1428">
        <f>R123</f>
        <v>0</v>
      </c>
      <c r="S166" s="1423">
        <f t="shared" si="201"/>
        <v>0</v>
      </c>
      <c r="T166" s="1423">
        <f t="shared" si="202"/>
        <v>0</v>
      </c>
      <c r="U166" s="1423">
        <f t="shared" si="203"/>
        <v>0</v>
      </c>
      <c r="V166" s="1423">
        <f t="shared" si="204"/>
        <v>0</v>
      </c>
      <c r="W166" s="1423">
        <f t="shared" si="205"/>
        <v>0</v>
      </c>
      <c r="X166" s="152"/>
      <c r="Y166" s="152"/>
      <c r="Z166" s="152"/>
      <c r="AA166" s="152"/>
      <c r="AB166" s="152"/>
    </row>
    <row r="167" spans="1:28" hidden="1" outlineLevel="1">
      <c r="A167" s="152"/>
      <c r="B167" s="190" t="str">
        <f t="shared" ca="1" si="206"/>
        <v>RL Capex 2031-32</v>
      </c>
      <c r="C167" s="1429"/>
      <c r="D167" s="1429"/>
      <c r="E167" s="1429"/>
      <c r="F167" s="1429"/>
      <c r="G167" s="1429"/>
      <c r="H167" s="1429"/>
      <c r="I167" s="1429"/>
      <c r="J167" s="1429"/>
      <c r="K167" s="1429"/>
      <c r="L167" s="1429"/>
      <c r="M167" s="1429"/>
      <c r="N167" s="1429"/>
      <c r="O167" s="1429"/>
      <c r="P167" s="1429"/>
      <c r="Q167" s="1429"/>
      <c r="R167" s="1424"/>
      <c r="S167" s="1428">
        <f>S123</f>
        <v>0</v>
      </c>
      <c r="T167" s="1423">
        <f t="shared" si="202"/>
        <v>0</v>
      </c>
      <c r="U167" s="1423">
        <f t="shared" si="203"/>
        <v>0</v>
      </c>
      <c r="V167" s="1423">
        <f t="shared" si="204"/>
        <v>0</v>
      </c>
      <c r="W167" s="1423">
        <f t="shared" si="205"/>
        <v>0</v>
      </c>
      <c r="X167" s="152"/>
      <c r="Y167" s="152"/>
      <c r="Z167" s="152"/>
      <c r="AA167" s="152"/>
      <c r="AB167" s="152"/>
    </row>
    <row r="168" spans="1:28" hidden="1" outlineLevel="1">
      <c r="A168" s="152"/>
      <c r="B168" s="190" t="str">
        <f t="shared" ca="1" si="206"/>
        <v>RL Capex 2032-33</v>
      </c>
      <c r="C168" s="1429"/>
      <c r="D168" s="1429"/>
      <c r="E168" s="1429"/>
      <c r="F168" s="1429"/>
      <c r="G168" s="1429"/>
      <c r="H168" s="1429"/>
      <c r="I168" s="1429"/>
      <c r="J168" s="1429"/>
      <c r="K168" s="1429"/>
      <c r="L168" s="1429"/>
      <c r="M168" s="1429"/>
      <c r="N168" s="1429"/>
      <c r="O168" s="1429"/>
      <c r="P168" s="1429"/>
      <c r="Q168" s="1429"/>
      <c r="R168" s="1429"/>
      <c r="S168" s="1424"/>
      <c r="T168" s="1428">
        <f>T123</f>
        <v>0</v>
      </c>
      <c r="U168" s="1423">
        <f t="shared" si="203"/>
        <v>0</v>
      </c>
      <c r="V168" s="1423">
        <f t="shared" si="204"/>
        <v>0</v>
      </c>
      <c r="W168" s="1423">
        <f t="shared" si="205"/>
        <v>0</v>
      </c>
      <c r="X168" s="152"/>
      <c r="Y168" s="152"/>
      <c r="Z168" s="152"/>
      <c r="AA168" s="152"/>
      <c r="AB168" s="152"/>
    </row>
    <row r="169" spans="1:28" hidden="1" outlineLevel="1">
      <c r="A169" s="152"/>
      <c r="B169" s="190" t="str">
        <f t="shared" ca="1" si="206"/>
        <v>RL Capex 2033-34</v>
      </c>
      <c r="C169" s="1429"/>
      <c r="D169" s="1429"/>
      <c r="E169" s="1429"/>
      <c r="F169" s="1429"/>
      <c r="G169" s="1429"/>
      <c r="H169" s="1429"/>
      <c r="I169" s="1429"/>
      <c r="J169" s="1429"/>
      <c r="K169" s="1429"/>
      <c r="L169" s="1429"/>
      <c r="M169" s="1429"/>
      <c r="N169" s="1429"/>
      <c r="O169" s="1429"/>
      <c r="P169" s="1429"/>
      <c r="Q169" s="1429"/>
      <c r="R169" s="1429"/>
      <c r="S169" s="1429"/>
      <c r="T169" s="1424"/>
      <c r="U169" s="1428">
        <f>U123</f>
        <v>0</v>
      </c>
      <c r="V169" s="1423">
        <f t="shared" si="204"/>
        <v>0</v>
      </c>
      <c r="W169" s="1423">
        <f t="shared" si="205"/>
        <v>0</v>
      </c>
      <c r="X169" s="152"/>
      <c r="Y169" s="152"/>
      <c r="Z169" s="152"/>
      <c r="AA169" s="152"/>
      <c r="AB169" s="152"/>
    </row>
    <row r="170" spans="1:28" hidden="1" outlineLevel="1">
      <c r="A170" s="152"/>
      <c r="B170" s="190" t="str">
        <f t="shared" ca="1" si="206"/>
        <v>RL Capex 2034-35</v>
      </c>
      <c r="C170" s="1429"/>
      <c r="D170" s="1429"/>
      <c r="E170" s="1429"/>
      <c r="F170" s="1429"/>
      <c r="G170" s="1429"/>
      <c r="H170" s="1429"/>
      <c r="I170" s="1429"/>
      <c r="J170" s="1429"/>
      <c r="K170" s="1429"/>
      <c r="L170" s="1429"/>
      <c r="M170" s="1429"/>
      <c r="N170" s="1429"/>
      <c r="O170" s="1429"/>
      <c r="P170" s="1429"/>
      <c r="Q170" s="1429"/>
      <c r="R170" s="1429"/>
      <c r="S170" s="1429"/>
      <c r="T170" s="1429"/>
      <c r="U170" s="1424"/>
      <c r="V170" s="1428">
        <f>V123</f>
        <v>0</v>
      </c>
      <c r="W170" s="1423">
        <f>IF(V170="n/a","n/a",MAX(0,V170-1))</f>
        <v>0</v>
      </c>
      <c r="X170" s="152"/>
      <c r="Y170" s="152"/>
      <c r="Z170" s="152"/>
      <c r="AA170" s="152"/>
      <c r="AB170" s="152"/>
    </row>
    <row r="171" spans="1:28" hidden="1" outlineLevel="1">
      <c r="A171" s="152"/>
      <c r="B171" s="190" t="str">
        <f t="shared" ca="1" si="206"/>
        <v>RL Capex 2035-36</v>
      </c>
      <c r="C171" s="1429"/>
      <c r="D171" s="1429"/>
      <c r="E171" s="1429"/>
      <c r="F171" s="1429"/>
      <c r="G171" s="1429"/>
      <c r="H171" s="1429"/>
      <c r="I171" s="1429"/>
      <c r="J171" s="1429"/>
      <c r="K171" s="1429"/>
      <c r="L171" s="1429"/>
      <c r="M171" s="1429"/>
      <c r="N171" s="1429"/>
      <c r="O171" s="1429"/>
      <c r="P171" s="1429"/>
      <c r="Q171" s="1429"/>
      <c r="R171" s="1429"/>
      <c r="S171" s="1429"/>
      <c r="T171" s="1429"/>
      <c r="U171" s="1429"/>
      <c r="V171" s="1424"/>
      <c r="W171" s="1423">
        <f>W123</f>
        <v>0</v>
      </c>
      <c r="X171" s="152"/>
      <c r="Y171" s="152"/>
      <c r="Z171" s="152"/>
      <c r="AA171" s="152"/>
      <c r="AB171" s="152"/>
    </row>
    <row r="172" spans="1:28" hidden="1" outlineLevel="1">
      <c r="A172" s="152"/>
      <c r="B172" s="200"/>
      <c r="C172" s="1423"/>
      <c r="D172" s="1423"/>
      <c r="E172" s="1423"/>
      <c r="F172" s="1423"/>
      <c r="G172" s="1423"/>
      <c r="H172" s="1423"/>
      <c r="I172" s="1423"/>
      <c r="J172" s="1423"/>
      <c r="K172" s="1423"/>
      <c r="L172" s="1423"/>
      <c r="M172" s="1423"/>
      <c r="N172" s="1423"/>
      <c r="O172" s="1423"/>
      <c r="P172" s="1423"/>
      <c r="Q172" s="1423"/>
      <c r="R172" s="1423"/>
      <c r="S172" s="1423"/>
      <c r="T172" s="1423"/>
      <c r="U172" s="1423"/>
      <c r="V172" s="1423"/>
      <c r="W172" s="1423"/>
      <c r="X172" s="152"/>
      <c r="Y172" s="152"/>
      <c r="Z172" s="152"/>
      <c r="AA172" s="152"/>
      <c r="AB172" s="152"/>
    </row>
    <row r="173" spans="1:28" collapsed="1">
      <c r="A173" s="194"/>
      <c r="B173" s="204" t="s">
        <v>123</v>
      </c>
      <c r="C173" s="1430">
        <f ca="1">(IF(OR($C123&lt;&gt;"n/a",C123&lt;&gt;"n/a"),IF(SUM(C126:C148)=0,0,IF((SUMPRODUCT(C126:C148,C150:C172)/SUM(C126:C148))&lt;0,1,(SUMPRODUCT(C126:C148,C150:C172)/SUM(C126:C148)))),"n/a"))</f>
        <v>8.274971900545264</v>
      </c>
      <c r="D173" s="1430">
        <f ca="1">(IF(OR($C123&lt;&gt;"n/a",D123&lt;&gt;"n/a"),IF(SUM(D126:D148)=0,0,IF((SUMPRODUCT(D126:D148,D150:D172)/SUM(D126:D148))&lt;0,1,(SUMPRODUCT(D126:D148,D150:D172)/SUM(D126:D148)))),"n/a"))</f>
        <v>8.2085814683249989</v>
      </c>
      <c r="E173" s="1430">
        <f t="shared" ref="E173:W173" ca="1" si="207">(IF(OR($C123&lt;&gt;"n/a",E123&lt;&gt;"n/a"),IF(SUM(E126:E148)=0,0,IF((SUMPRODUCT(E126:E148,E150:E172)/SUM(E126:E148))&lt;0,1,(SUMPRODUCT(E126:E148,E150:E172)/SUM(E126:E148)))),"n/a"))</f>
        <v>8.217218642219315</v>
      </c>
      <c r="F173" s="1430">
        <f t="shared" ca="1" si="207"/>
        <v>8.4488798092062591</v>
      </c>
      <c r="G173" s="1430">
        <f t="shared" ca="1" si="207"/>
        <v>8.3004839023348094</v>
      </c>
      <c r="H173" s="1430">
        <f t="shared" ca="1" si="207"/>
        <v>8.4126143482644089</v>
      </c>
      <c r="I173" s="1430">
        <f t="shared" ca="1" si="207"/>
        <v>8.7574411484010355</v>
      </c>
      <c r="J173" s="1430">
        <f t="shared" ca="1" si="207"/>
        <v>9.1717752562710722</v>
      </c>
      <c r="K173" s="1430">
        <f t="shared" ca="1" si="207"/>
        <v>9.9680363830697907</v>
      </c>
      <c r="L173" s="1430">
        <f t="shared" ca="1" si="207"/>
        <v>9.7255119149012064</v>
      </c>
      <c r="M173" s="1430">
        <f t="shared" ca="1" si="207"/>
        <v>8.7682437995901576</v>
      </c>
      <c r="N173" s="1430">
        <f t="shared" ca="1" si="207"/>
        <v>7.8225751049270498</v>
      </c>
      <c r="O173" s="1430">
        <f t="shared" ca="1" si="207"/>
        <v>6.8939704384667335</v>
      </c>
      <c r="P173" s="1430">
        <f t="shared" ca="1" si="207"/>
        <v>5.9919664453400818</v>
      </c>
      <c r="Q173" s="1430">
        <f t="shared" ca="1" si="207"/>
        <v>5.1348330935278037</v>
      </c>
      <c r="R173" s="1430">
        <f t="shared" ca="1" si="207"/>
        <v>4.3625390734849505</v>
      </c>
      <c r="S173" s="1430">
        <f t="shared" ca="1" si="207"/>
        <v>3.7825696284222579</v>
      </c>
      <c r="T173" s="1430">
        <f t="shared" ca="1" si="207"/>
        <v>3.2360589857343496</v>
      </c>
      <c r="U173" s="1430">
        <f t="shared" ca="1" si="207"/>
        <v>2.7372954164000132</v>
      </c>
      <c r="V173" s="1430">
        <f t="shared" ca="1" si="207"/>
        <v>2.0874758560074511</v>
      </c>
      <c r="W173" s="1430">
        <f t="shared" ca="1" si="207"/>
        <v>1.4933639857057459</v>
      </c>
      <c r="X173" s="152"/>
      <c r="Y173" s="152"/>
      <c r="Z173" s="152"/>
      <c r="AA173" s="152"/>
      <c r="AB173" s="152"/>
    </row>
    <row r="174" spans="1:28">
      <c r="A174" s="152"/>
      <c r="B174" s="152"/>
      <c r="C174" s="1423"/>
      <c r="D174" s="1423"/>
      <c r="E174" s="1423"/>
      <c r="F174" s="1423"/>
      <c r="G174" s="1423"/>
      <c r="H174" s="1423"/>
      <c r="I174" s="1423"/>
      <c r="J174" s="1423"/>
      <c r="K174" s="1423"/>
      <c r="L174" s="1423"/>
      <c r="M174" s="1423"/>
      <c r="N174" s="1423"/>
      <c r="O174" s="1423"/>
      <c r="P174" s="1423"/>
      <c r="Q174" s="1423"/>
      <c r="R174" s="1423"/>
      <c r="S174" s="1423"/>
      <c r="T174" s="1423"/>
      <c r="U174" s="1423"/>
      <c r="V174" s="1423"/>
      <c r="W174" s="1423"/>
      <c r="X174" s="152"/>
      <c r="Y174" s="152"/>
      <c r="Z174" s="152"/>
      <c r="AA174" s="152"/>
      <c r="AB174" s="152"/>
    </row>
    <row r="175" spans="1:28">
      <c r="A175" s="269" t="s">
        <v>4</v>
      </c>
      <c r="B175" s="270" t="str">
        <f>VLOOKUP($A175,'RFM input'!$E$7:$F$56,2,FALSE)</f>
        <v>Telemetry</v>
      </c>
      <c r="C175" s="1431"/>
      <c r="D175" s="1431"/>
      <c r="E175" s="1432"/>
      <c r="F175" s="1432"/>
      <c r="G175" s="1432"/>
      <c r="H175" s="1432"/>
      <c r="I175" s="1432"/>
      <c r="J175" s="1432"/>
      <c r="K175" s="1432"/>
      <c r="L175" s="1432"/>
      <c r="M175" s="1432"/>
      <c r="N175" s="1432"/>
      <c r="O175" s="1432"/>
      <c r="P175" s="1432"/>
      <c r="Q175" s="1432"/>
      <c r="R175" s="1432"/>
      <c r="S175" s="1432"/>
      <c r="T175" s="1432"/>
      <c r="U175" s="1432"/>
      <c r="V175" s="1432"/>
      <c r="W175" s="1432"/>
      <c r="X175" s="152"/>
      <c r="Y175" s="152"/>
      <c r="Z175" s="152"/>
      <c r="AA175" s="152"/>
      <c r="AB175" s="152"/>
    </row>
    <row r="176" spans="1:28">
      <c r="A176" s="215">
        <f>VALUE(REPLACE(A175,1,12,""))</f>
        <v>4</v>
      </c>
      <c r="B176" s="193" t="s">
        <v>126</v>
      </c>
      <c r="C176" s="1416">
        <f ca="1">IF($C$8='Capital Base roll forward'!$H$4,OFFSET('Capital Base roll forward'!$H$717,'RAB remaining lives'!A176,0),"enter input")</f>
        <v>-0.58034433790308881</v>
      </c>
      <c r="D176" s="1417">
        <f>IF(LEFT(D$6,4)&lt;LEFT('RFM input'!$G$60,4),"enter input",IF(LEFT(D$6,4)&gt;LEFT('RFM input'!$Q$60,4),0,INDEX('RFM input'!$G$61:$Q$110,$A176,MATCH(D$6,'RFM input'!$G$60:$Q$60,0))
-INDEX('RFM input'!$G$115:$Q$164,$A176,MATCH(D$6,'RFM input'!$G$60:$Q$60,0))
-INDEX('RFM input'!$G$169:$Q$218,$A176,MATCH(D$6,'RFM input'!$G$60:$Q$60,0))))</f>
        <v>0.39043238351205295</v>
      </c>
      <c r="E176" s="1417">
        <f>IF(LEFT(E$6,4)&lt;LEFT('RFM input'!$G$60,4),"enter input",IF(LEFT(E$6,4)&gt;LEFT('RFM input'!$Q$60,4),0,INDEX('RFM input'!$G$61:$Q$110,$A176,MATCH(E$6,'RFM input'!$G$60:$Q$60,0))
-INDEX('RFM input'!$G$115:$Q$164,$A176,MATCH(E$6,'RFM input'!$G$60:$Q$60,0))
-INDEX('RFM input'!$G$169:$Q$218,$A176,MATCH(E$6,'RFM input'!$G$60:$Q$60,0))))</f>
        <v>0.17168301791136867</v>
      </c>
      <c r="F176" s="1417">
        <f>IF(LEFT(F$6,4)&lt;LEFT('RFM input'!$G$60,4),"enter input",IF(LEFT(F$6,4)&gt;LEFT('RFM input'!$Q$60,4),0,INDEX('RFM input'!$G$61:$Q$110,$A176,MATCH(F$6,'RFM input'!$G$60:$Q$60,0))
-INDEX('RFM input'!$G$115:$Q$164,$A176,MATCH(F$6,'RFM input'!$G$60:$Q$60,0))
-INDEX('RFM input'!$G$169:$Q$218,$A176,MATCH(F$6,'RFM input'!$G$60:$Q$60,0))))</f>
        <v>4.9379414650181835E-2</v>
      </c>
      <c r="G176" s="1417">
        <f>IF(LEFT(G$6,4)&lt;LEFT('RFM input'!$G$60,4),"enter input",IF(LEFT(G$6,4)&gt;LEFT('RFM input'!$Q$60,4),0,INDEX('RFM input'!$G$61:$Q$110,$A176,MATCH(G$6,'RFM input'!$G$60:$Q$60,0))
-INDEX('RFM input'!$G$115:$Q$164,$A176,MATCH(G$6,'RFM input'!$G$60:$Q$60,0))
-INDEX('RFM input'!$G$169:$Q$218,$A176,MATCH(G$6,'RFM input'!$G$60:$Q$60,0))))</f>
        <v>0.10525956871572739</v>
      </c>
      <c r="H176" s="1417">
        <f>IF(LEFT(H$6,4)&lt;LEFT('RFM input'!$G$60,4),"enter input",IF(LEFT(H$6,4)&gt;LEFT('RFM input'!$Q$60,4),0,INDEX('RFM input'!$G$61:$Q$110,$A176,MATCH(H$6,'RFM input'!$G$60:$Q$60,0))
-INDEX('RFM input'!$G$115:$Q$164,$A176,MATCH(H$6,'RFM input'!$G$60:$Q$60,0))
-INDEX('RFM input'!$G$169:$Q$218,$A176,MATCH(H$6,'RFM input'!$G$60:$Q$60,0))))</f>
        <v>6.5246932787471734E-2</v>
      </c>
      <c r="I176" s="1417">
        <f>IF(LEFT(I$6,4)&lt;LEFT('RFM input'!$G$60,4),"enter input",IF(LEFT(I$6,4)&gt;LEFT('RFM input'!$Q$60,4),0,INDEX('RFM input'!$G$61:$Q$110,$A176,MATCH(I$6,'RFM input'!$G$60:$Q$60,0))
-INDEX('RFM input'!$G$115:$Q$164,$A176,MATCH(I$6,'RFM input'!$G$60:$Q$60,0))
-INDEX('RFM input'!$G$169:$Q$218,$A176,MATCH(I$6,'RFM input'!$G$60:$Q$60,0))))</f>
        <v>6.0220129696026775E-2</v>
      </c>
      <c r="J176" s="1417">
        <f>IF(LEFT(J$6,4)&lt;LEFT('RFM input'!$G$60,4),"enter input",IF(LEFT(J$6,4)&gt;LEFT('RFM input'!$Q$60,4),0,INDEX('RFM input'!$G$61:$Q$110,$A176,MATCH(J$6,'RFM input'!$G$60:$Q$60,0))
-INDEX('RFM input'!$G$115:$Q$164,$A176,MATCH(J$6,'RFM input'!$G$60:$Q$60,0))
-INDEX('RFM input'!$G$169:$Q$218,$A176,MATCH(J$6,'RFM input'!$G$60:$Q$60,0))))</f>
        <v>3.7784634626060895E-2</v>
      </c>
      <c r="K176" s="1417">
        <f>IF(LEFT(K$6,4)&lt;LEFT('RFM input'!$G$60,4),"enter input",IF(LEFT(K$6,4)&gt;LEFT('RFM input'!$Q$60,4),0,INDEX('RFM input'!$G$61:$Q$110,$A176,MATCH(K$6,'RFM input'!$G$60:$Q$60,0))
-INDEX('RFM input'!$G$115:$Q$164,$A176,MATCH(K$6,'RFM input'!$G$60:$Q$60,0))
-INDEX('RFM input'!$G$169:$Q$218,$A176,MATCH(K$6,'RFM input'!$G$60:$Q$60,0))))</f>
        <v>0</v>
      </c>
      <c r="L176" s="1417">
        <f>IF(LEFT(L$6,4)&lt;LEFT('RFM input'!$G$60,4),"enter input",IF(LEFT(L$6,4)&gt;LEFT('RFM input'!$Q$60,4),0,INDEX('RFM input'!$G$61:$Q$110,$A176,MATCH(L$6,'RFM input'!$G$60:$Q$60,0))
-INDEX('RFM input'!$G$115:$Q$164,$A176,MATCH(L$6,'RFM input'!$G$60:$Q$60,0))
-INDEX('RFM input'!$G$169:$Q$218,$A176,MATCH(L$6,'RFM input'!$G$60:$Q$60,0))))</f>
        <v>0</v>
      </c>
      <c r="M176" s="1417">
        <f>IF(LEFT(M$6,4)&lt;LEFT('RFM input'!$G$60,4),"enter input",IF(LEFT(M$6,4)&gt;LEFT('RFM input'!$Q$60,4),0,INDEX('RFM input'!$G$61:$Q$110,$A176,MATCH(M$6,'RFM input'!$G$60:$Q$60,0))
-INDEX('RFM input'!$G$115:$Q$164,$A176,MATCH(M$6,'RFM input'!$G$60:$Q$60,0))
-INDEX('RFM input'!$G$169:$Q$218,$A176,MATCH(M$6,'RFM input'!$G$60:$Q$60,0))))</f>
        <v>0</v>
      </c>
      <c r="N176" s="1417">
        <f>IF(LEFT(N$6,4)&lt;LEFT('RFM input'!$G$60,4),"enter input",IF(LEFT(N$6,4)&gt;LEFT('RFM input'!$Q$60,4),0,INDEX('RFM input'!$G$61:$Q$110,$A176,MATCH(N$6,'RFM input'!$G$60:$Q$60,0))
-INDEX('RFM input'!$G$115:$Q$164,$A176,MATCH(N$6,'RFM input'!$G$60:$Q$60,0))
-INDEX('RFM input'!$G$169:$Q$218,$A176,MATCH(N$6,'RFM input'!$G$60:$Q$60,0))))</f>
        <v>0</v>
      </c>
      <c r="O176" s="1417">
        <f>IF(LEFT(O$6,4)&lt;LEFT('RFM input'!$G$60,4),"enter input",IF(LEFT(O$6,4)&gt;LEFT('RFM input'!$Q$60,4),0,INDEX('RFM input'!$G$61:$Q$110,$A176,MATCH(O$6,'RFM input'!$G$60:$Q$60,0))
-INDEX('RFM input'!$G$115:$Q$164,$A176,MATCH(O$6,'RFM input'!$G$60:$Q$60,0))
-INDEX('RFM input'!$G$169:$Q$218,$A176,MATCH(O$6,'RFM input'!$G$60:$Q$60,0))))</f>
        <v>0</v>
      </c>
      <c r="P176" s="1417">
        <f>IF(LEFT(P$6,4)&lt;LEFT('RFM input'!$G$60,4),"enter input",IF(LEFT(P$6,4)&gt;LEFT('RFM input'!$Q$60,4),0,INDEX('RFM input'!$G$61:$Q$110,$A176,MATCH(P$6,'RFM input'!$G$60:$Q$60,0))
-INDEX('RFM input'!$G$115:$Q$164,$A176,MATCH(P$6,'RFM input'!$G$60:$Q$60,0))
-INDEX('RFM input'!$G$169:$Q$218,$A176,MATCH(P$6,'RFM input'!$G$60:$Q$60,0))))</f>
        <v>0</v>
      </c>
      <c r="Q176" s="1417">
        <f>IF(LEFT(Q$6,4)&lt;LEFT('RFM input'!$G$60,4),"enter input",IF(LEFT(Q$6,4)&gt;LEFT('RFM input'!$Q$60,4),0,INDEX('RFM input'!$G$61:$Q$110,$A176,MATCH(Q$6,'RFM input'!$G$60:$Q$60,0))
-INDEX('RFM input'!$G$115:$Q$164,$A176,MATCH(Q$6,'RFM input'!$G$60:$Q$60,0))
-INDEX('RFM input'!$G$169:$Q$218,$A176,MATCH(Q$6,'RFM input'!$G$60:$Q$60,0))))</f>
        <v>0</v>
      </c>
      <c r="R176" s="1417">
        <f>IF(LEFT(R$6,4)&lt;LEFT('RFM input'!$G$60,4),"enter input",IF(LEFT(R$6,4)&gt;LEFT('RFM input'!$Q$60,4),0,INDEX('RFM input'!$G$61:$Q$110,$A176,MATCH(R$6,'RFM input'!$G$60:$Q$60,0))
-INDEX('RFM input'!$G$115:$Q$164,$A176,MATCH(R$6,'RFM input'!$G$60:$Q$60,0))
-INDEX('RFM input'!$G$169:$Q$218,$A176,MATCH(R$6,'RFM input'!$G$60:$Q$60,0))))</f>
        <v>0</v>
      </c>
      <c r="S176" s="1417">
        <f>IF(LEFT(S$6,4)&lt;LEFT('RFM input'!$G$60,4),"enter input",IF(LEFT(S$6,4)&gt;LEFT('RFM input'!$Q$60,4),0,INDEX('RFM input'!$G$61:$Q$110,$A176,MATCH(S$6,'RFM input'!$G$60:$Q$60,0))
-INDEX('RFM input'!$G$115:$Q$164,$A176,MATCH(S$6,'RFM input'!$G$60:$Q$60,0))
-INDEX('RFM input'!$G$169:$Q$218,$A176,MATCH(S$6,'RFM input'!$G$60:$Q$60,0))))</f>
        <v>0</v>
      </c>
      <c r="T176" s="1417">
        <f>IF(LEFT(T$6,4)&lt;LEFT('RFM input'!$G$60,4),"enter input",IF(LEFT(T$6,4)&gt;LEFT('RFM input'!$Q$60,4),0,INDEX('RFM input'!$G$61:$Q$110,$A176,MATCH(T$6,'RFM input'!$G$60:$Q$60,0))
-INDEX('RFM input'!$G$115:$Q$164,$A176,MATCH(T$6,'RFM input'!$G$60:$Q$60,0))
-INDEX('RFM input'!$G$169:$Q$218,$A176,MATCH(T$6,'RFM input'!$G$60:$Q$60,0))))</f>
        <v>0</v>
      </c>
      <c r="U176" s="1417">
        <f>IF(LEFT(U$6,4)&lt;LEFT('RFM input'!$G$60,4),"enter input",IF(LEFT(U$6,4)&gt;LEFT('RFM input'!$Q$60,4),0,INDEX('RFM input'!$G$61:$Q$110,$A176,MATCH(U$6,'RFM input'!$G$60:$Q$60,0))
-INDEX('RFM input'!$G$115:$Q$164,$A176,MATCH(U$6,'RFM input'!$G$60:$Q$60,0))
-INDEX('RFM input'!$G$169:$Q$218,$A176,MATCH(U$6,'RFM input'!$G$60:$Q$60,0))))</f>
        <v>0</v>
      </c>
      <c r="V176" s="1417">
        <f>IF(LEFT(V$6,4)&lt;LEFT('RFM input'!$G$60,4),"enter input",IF(LEFT(V$6,4)&gt;LEFT('RFM input'!$Q$60,4),0,INDEX('RFM input'!$G$61:$Q$110,$A176,MATCH(V$6,'RFM input'!$G$60:$Q$60,0))
-INDEX('RFM input'!$G$115:$Q$164,$A176,MATCH(V$6,'RFM input'!$G$60:$Q$60,0))
-INDEX('RFM input'!$G$169:$Q$218,$A176,MATCH(V$6,'RFM input'!$G$60:$Q$60,0))))</f>
        <v>0</v>
      </c>
      <c r="W176" s="1417">
        <f>IF(LEFT(W$6,4)&lt;LEFT('RFM input'!$G$60,4),"enter input",IF(LEFT(W$6,4)&gt;LEFT('RFM input'!$Q$60,4),0,INDEX('RFM input'!$G$61:$Q$110,$A176,MATCH(W$6,'RFM input'!$G$60:$Q$60,0))
-INDEX('RFM input'!$G$115:$Q$164,$A176,MATCH(W$6,'RFM input'!$G$60:$Q$60,0))
-INDEX('RFM input'!$G$169:$Q$218,$A176,MATCH(W$6,'RFM input'!$G$60:$Q$60,0))))</f>
        <v>0</v>
      </c>
      <c r="X176" s="152"/>
      <c r="Y176" s="152"/>
      <c r="Z176" s="152"/>
      <c r="AA176" s="152"/>
      <c r="AB176" s="152"/>
    </row>
    <row r="177" spans="1:28">
      <c r="A177" s="152"/>
      <c r="B177" s="152" t="s">
        <v>204</v>
      </c>
      <c r="C177" s="1418">
        <f ca="1">IF($C$8='Capital Base roll forward'!$H$4,OFFSET('RFM input'!$J$6,'RAB remaining lives'!A176,0),"enter input")</f>
        <v>3.5482112903845522</v>
      </c>
      <c r="D177" s="1417">
        <f>IF(LEFT(D$6,4)&lt;=LEFT('RFM input'!$G$60,4),"enter input",IF(LEFT(D$6,4)&gt;LEFT('RFM input'!$Q$60,4),0,IF(MATCH(D$6,'RFM input'!$H$60:$Q$60,0),INDEX('RFM input'!$K$7:$K$56,$A176,1))))</f>
        <v>20</v>
      </c>
      <c r="E177" s="1417">
        <f>IF(LEFT(E$6,4)&lt;=LEFT('RFM input'!$G$60,4),"enter input",IF(LEFT(E$6,4)&gt;LEFT('RFM input'!$Q$60,4),0,IF(MATCH(E$6,'RFM input'!$H$60:$Q$60,0),INDEX('RFM input'!$K$7:$K$56,$A176,1))))</f>
        <v>20</v>
      </c>
      <c r="F177" s="1417">
        <f>IF(LEFT(F$6,4)&lt;=LEFT('RFM input'!$G$60,4),"enter input",IF(LEFT(F$6,4)&gt;LEFT('RFM input'!$Q$60,4),0,IF(MATCH(F$6,'RFM input'!$H$60:$Q$60,0),INDEX('RFM input'!$K$7:$K$56,$A176,1))))</f>
        <v>20</v>
      </c>
      <c r="G177" s="1417">
        <f>IF(LEFT(G$6,4)&lt;=LEFT('RFM input'!$G$60,4),"enter input",IF(LEFT(G$6,4)&gt;LEFT('RFM input'!$Q$60,4),0,IF(MATCH(G$6,'RFM input'!$H$60:$Q$60,0),INDEX('RFM input'!$K$7:$K$56,$A176,1))))</f>
        <v>20</v>
      </c>
      <c r="H177" s="1417">
        <f>IF(LEFT(H$6,4)&lt;=LEFT('RFM input'!$G$60,4),"enter input",IF(LEFT(H$6,4)&gt;LEFT('RFM input'!$Q$60,4),0,IF(MATCH(H$6,'RFM input'!$H$60:$Q$60,0),INDEX('RFM input'!$K$7:$K$56,$A176,1))))</f>
        <v>20</v>
      </c>
      <c r="I177" s="1417">
        <f>IF(LEFT(I$6,4)&lt;=LEFT('RFM input'!$G$60,4),"enter input",IF(LEFT(I$6,4)&gt;LEFT('RFM input'!$Q$60,4),0,IF(MATCH(I$6,'RFM input'!$H$60:$Q$60,0),INDEX('RFM input'!$K$7:$K$56,$A176,1))))</f>
        <v>20</v>
      </c>
      <c r="J177" s="1417">
        <f>IF(LEFT(J$6,4)&lt;=LEFT('RFM input'!$G$60,4),"enter input",IF(LEFT(J$6,4)&gt;LEFT('RFM input'!$Q$60,4),0,IF(MATCH(J$6,'RFM input'!$H$60:$Q$60,0),INDEX('RFM input'!$K$7:$K$56,$A176,1))))</f>
        <v>20</v>
      </c>
      <c r="K177" s="1417">
        <f>IF(LEFT(K$6,4)&lt;=LEFT('RFM input'!$G$60,4),"enter input",IF(LEFT(K$6,4)&gt;LEFT('RFM input'!$Q$60,4),0,IF(MATCH(K$6,'RFM input'!$H$60:$Q$60,0),INDEX('RFM input'!$K$7:$K$56,$A176,1))))</f>
        <v>20</v>
      </c>
      <c r="L177" s="1417">
        <f>IF(LEFT(L$6,4)&lt;=LEFT('RFM input'!$G$60,4),"enter input",IF(LEFT(L$6,4)&gt;LEFT('RFM input'!$Q$60,4),0,IF(MATCH(L$6,'RFM input'!$H$60:$Q$60,0),INDEX('RFM input'!$K$7:$K$56,$A176,1))))</f>
        <v>20</v>
      </c>
      <c r="M177" s="1417">
        <f>IF(LEFT(M$6,4)&lt;=LEFT('RFM input'!$G$60,4),"enter input",IF(LEFT(M$6,4)&gt;LEFT('RFM input'!$Q$60,4),0,IF(MATCH(M$6,'RFM input'!$H$60:$Q$60,0),INDEX('RFM input'!$K$7:$K$56,$A176,1))))</f>
        <v>20</v>
      </c>
      <c r="N177" s="1417">
        <f>IF(LEFT(N$6,4)&lt;=LEFT('RFM input'!$G$60,4),"enter input",IF(LEFT(N$6,4)&gt;LEFT('RFM input'!$Q$60,4),0,IF(MATCH(N$6,'RFM input'!$H$60:$Q$60,0),INDEX('RFM input'!$K$7:$K$56,$A176,1))))</f>
        <v>0</v>
      </c>
      <c r="O177" s="1417">
        <f>IF(LEFT(O$6,4)&lt;=LEFT('RFM input'!$G$60,4),"enter input",IF(LEFT(O$6,4)&gt;LEFT('RFM input'!$Q$60,4),0,IF(MATCH(O$6,'RFM input'!$H$60:$Q$60,0),INDEX('RFM input'!$K$7:$K$56,$A176,1))))</f>
        <v>0</v>
      </c>
      <c r="P177" s="1417">
        <f>IF(LEFT(P$6,4)&lt;=LEFT('RFM input'!$G$60,4),"enter input",IF(LEFT(P$6,4)&gt;LEFT('RFM input'!$Q$60,4),0,IF(MATCH(P$6,'RFM input'!$H$60:$Q$60,0),INDEX('RFM input'!$K$7:$K$56,$A176,1))))</f>
        <v>0</v>
      </c>
      <c r="Q177" s="1417">
        <f>IF(LEFT(Q$6,4)&lt;=LEFT('RFM input'!$G$60,4),"enter input",IF(LEFT(Q$6,4)&gt;LEFT('RFM input'!$Q$60,4),0,IF(MATCH(Q$6,'RFM input'!$H$60:$Q$60,0),INDEX('RFM input'!$K$7:$K$56,$A176,1))))</f>
        <v>0</v>
      </c>
      <c r="R177" s="1417">
        <f>IF(LEFT(R$6,4)&lt;=LEFT('RFM input'!$G$60,4),"enter input",IF(LEFT(R$6,4)&gt;LEFT('RFM input'!$Q$60,4),0,IF(MATCH(R$6,'RFM input'!$H$60:$Q$60,0),INDEX('RFM input'!$K$7:$K$56,$A176,1))))</f>
        <v>0</v>
      </c>
      <c r="S177" s="1417">
        <f>IF(LEFT(S$6,4)&lt;=LEFT('RFM input'!$G$60,4),"enter input",IF(LEFT(S$6,4)&gt;LEFT('RFM input'!$Q$60,4),0,IF(MATCH(S$6,'RFM input'!$H$60:$Q$60,0),INDEX('RFM input'!$K$7:$K$56,$A176,1))))</f>
        <v>0</v>
      </c>
      <c r="T177" s="1417">
        <f>IF(LEFT(T$6,4)&lt;=LEFT('RFM input'!$G$60,4),"enter input",IF(LEFT(T$6,4)&gt;LEFT('RFM input'!$Q$60,4),0,IF(MATCH(T$6,'RFM input'!$H$60:$Q$60,0),INDEX('RFM input'!$K$7:$K$56,$A176,1))))</f>
        <v>0</v>
      </c>
      <c r="U177" s="1417">
        <f>IF(LEFT(U$6,4)&lt;=LEFT('RFM input'!$G$60,4),"enter input",IF(LEFT(U$6,4)&gt;LEFT('RFM input'!$Q$60,4),0,IF(MATCH(U$6,'RFM input'!$H$60:$Q$60,0),INDEX('RFM input'!$K$7:$K$56,$A176,1))))</f>
        <v>0</v>
      </c>
      <c r="V177" s="1417">
        <f>IF(LEFT(V$6,4)&lt;=LEFT('RFM input'!$G$60,4),"enter input",IF(LEFT(V$6,4)&gt;LEFT('RFM input'!$Q$60,4),0,IF(MATCH(V$6,'RFM input'!$H$60:$Q$60,0),INDEX('RFM input'!$K$7:$K$56,$A176,1))))</f>
        <v>0</v>
      </c>
      <c r="W177" s="1417">
        <f>IF(LEFT(W$6,4)&lt;=LEFT('RFM input'!$G$60,4),"enter input",IF(LEFT(W$6,4)&gt;LEFT('RFM input'!$Q$60,4),0,IF(MATCH(W$6,'RFM input'!$H$60:$Q$60,0),INDEX('RFM input'!$K$7:$K$56,$A176,1))))</f>
        <v>0</v>
      </c>
      <c r="X177" s="152"/>
      <c r="Y177" s="152"/>
      <c r="Z177" s="152"/>
      <c r="AA177" s="152"/>
      <c r="AB177" s="152"/>
    </row>
    <row r="178" spans="1:28">
      <c r="A178" s="152"/>
      <c r="B178" s="177" t="s">
        <v>191</v>
      </c>
      <c r="C178" s="1419"/>
      <c r="D178" s="1420">
        <f ca="1">IF(LEFT(D$6,4)&lt;=LEFT('RFM input'!$G$60,4),"enter input",IF(LEFT(D$6,4)&gt;LEFT('RFM input'!$Q$60,4),0,IF(D$6=(OFFSET('RFM input'!$G$60,0,'RFM input'!$V$7)),OFFSET('RFM input'!$G$411,$A176,0),0)))</f>
        <v>0</v>
      </c>
      <c r="E178" s="1417">
        <f ca="1">IF(LEFT(E$6,4)&lt;=LEFT('RFM input'!$G$60,4),"enter input",IF(LEFT(E$6,4)&gt;LEFT('RFM input'!$Q$60,4),0,IF(E$6=(OFFSET('RFM input'!$G$60,0,'RFM input'!$V$7)),OFFSET('RFM input'!$G$411,$A176,0),0)))</f>
        <v>0</v>
      </c>
      <c r="F178" s="1417">
        <f ca="1">IF(LEFT(F$6,4)&lt;=LEFT('RFM input'!$G$60,4),"enter input",IF(LEFT(F$6,4)&gt;LEFT('RFM input'!$Q$60,4),0,IF(F$6=(OFFSET('RFM input'!$G$60,0,'RFM input'!$V$7)),OFFSET('RFM input'!$G$411,$A176,0),0)))</f>
        <v>0</v>
      </c>
      <c r="G178" s="1417">
        <f ca="1">IF(LEFT(G$6,4)&lt;=LEFT('RFM input'!$G$60,4),"enter input",IF(LEFT(G$6,4)&gt;LEFT('RFM input'!$Q$60,4),0,IF(G$6=(OFFSET('RFM input'!$G$60,0,'RFM input'!$V$7)),OFFSET('RFM input'!$G$411,$A176,0),0)))</f>
        <v>0</v>
      </c>
      <c r="H178" s="1417">
        <f ca="1">IF(LEFT(H$6,4)&lt;=LEFT('RFM input'!$G$60,4),"enter input",IF(LEFT(H$6,4)&gt;LEFT('RFM input'!$Q$60,4),0,IF(H$6=(OFFSET('RFM input'!$G$60,0,'RFM input'!$V$7)),OFFSET('RFM input'!$G$411,$A176,0),0)))</f>
        <v>0</v>
      </c>
      <c r="I178" s="1417">
        <f ca="1">IF(LEFT(I$6,4)&lt;=LEFT('RFM input'!$G$60,4),"enter input",IF(LEFT(I$6,4)&gt;LEFT('RFM input'!$Q$60,4),0,IF(I$6=(OFFSET('RFM input'!$G$60,0,'RFM input'!$V$7)),OFFSET('RFM input'!$G$411,$A176,0),0)))</f>
        <v>0</v>
      </c>
      <c r="J178" s="1417">
        <f ca="1">IF(LEFT(J$6,4)&lt;=LEFT('RFM input'!$G$60,4),"enter input",IF(LEFT(J$6,4)&gt;LEFT('RFM input'!$Q$60,4),0,IF(J$6=(OFFSET('RFM input'!$G$60,0,'RFM input'!$V$7)),OFFSET('RFM input'!$G$411,$A176,0),0)))</f>
        <v>0</v>
      </c>
      <c r="K178" s="1417">
        <f ca="1">IF(LEFT(K$6,4)&lt;=LEFT('RFM input'!$G$60,4),"enter input",IF(LEFT(K$6,4)&gt;LEFT('RFM input'!$Q$60,4),0,IF(K$6=(OFFSET('RFM input'!$G$60,0,'RFM input'!$V$7)),OFFSET('RFM input'!$G$411,$A176,0),0)))</f>
        <v>0</v>
      </c>
      <c r="L178" s="1417">
        <f ca="1">IF(LEFT(L$6,4)&lt;=LEFT('RFM input'!$G$60,4),"enter input",IF(LEFT(L$6,4)&gt;LEFT('RFM input'!$Q$60,4),0,IF(L$6=(OFFSET('RFM input'!$G$60,0,'RFM input'!$V$7)),OFFSET('RFM input'!$G$411,$A176,0),0)))</f>
        <v>0</v>
      </c>
      <c r="M178" s="1417">
        <f ca="1">IF(LEFT(M$6,4)&lt;=LEFT('RFM input'!$G$60,4),"enter input",IF(LEFT(M$6,4)&gt;LEFT('RFM input'!$Q$60,4),0,IF(M$6=(OFFSET('RFM input'!$G$60,0,'RFM input'!$V$7)),OFFSET('RFM input'!$G$411,$A176,0),0)))</f>
        <v>0</v>
      </c>
      <c r="N178" s="1417">
        <f ca="1">IF(LEFT(N$6,4)&lt;=LEFT('RFM input'!$G$60,4),"enter input",IF(LEFT(N$6,4)&gt;LEFT('RFM input'!$Q$60,4),0,IF(N$6=(OFFSET('RFM input'!$G$60,0,'RFM input'!$V$7)),OFFSET('RFM input'!$G$411,$A176,0),0)))</f>
        <v>0</v>
      </c>
      <c r="O178" s="1417">
        <f ca="1">IF(LEFT(O$6,4)&lt;=LEFT('RFM input'!$G$60,4),"enter input",IF(LEFT(O$6,4)&gt;LEFT('RFM input'!$Q$60,4),0,IF(O$6=(OFFSET('RFM input'!$G$60,0,'RFM input'!$V$7)),OFFSET('RFM input'!$G$411,$A176,0),0)))</f>
        <v>0</v>
      </c>
      <c r="P178" s="1417">
        <f ca="1">IF(LEFT(P$6,4)&lt;=LEFT('RFM input'!$G$60,4),"enter input",IF(LEFT(P$6,4)&gt;LEFT('RFM input'!$Q$60,4),0,IF(P$6=(OFFSET('RFM input'!$G$60,0,'RFM input'!$V$7)),OFFSET('RFM input'!$G$411,$A176,0),0)))</f>
        <v>0</v>
      </c>
      <c r="Q178" s="1417">
        <f ca="1">IF(LEFT(Q$6,4)&lt;=LEFT('RFM input'!$G$60,4),"enter input",IF(LEFT(Q$6,4)&gt;LEFT('RFM input'!$Q$60,4),0,IF(Q$6=(OFFSET('RFM input'!$G$60,0,'RFM input'!$V$7)),OFFSET('RFM input'!$G$411,$A176,0),0)))</f>
        <v>0</v>
      </c>
      <c r="R178" s="1417">
        <f ca="1">IF(LEFT(R$6,4)&lt;=LEFT('RFM input'!$G$60,4),"enter input",IF(LEFT(R$6,4)&gt;LEFT('RFM input'!$Q$60,4),0,IF(R$6=(OFFSET('RFM input'!$G$60,0,'RFM input'!$V$7)),OFFSET('RFM input'!$G$411,$A176,0),0)))</f>
        <v>0</v>
      </c>
      <c r="S178" s="1417">
        <f ca="1">IF(LEFT(S$6,4)&lt;=LEFT('RFM input'!$G$60,4),"enter input",IF(LEFT(S$6,4)&gt;LEFT('RFM input'!$Q$60,4),0,IF(S$6=(OFFSET('RFM input'!$G$60,0,'RFM input'!$V$7)),OFFSET('RFM input'!$G$411,$A176,0),0)))</f>
        <v>0</v>
      </c>
      <c r="T178" s="1417">
        <f ca="1">IF(LEFT(T$6,4)&lt;=LEFT('RFM input'!$G$60,4),"enter input",IF(LEFT(T$6,4)&gt;LEFT('RFM input'!$Q$60,4),0,IF(T$6=(OFFSET('RFM input'!$G$60,0,'RFM input'!$V$7)),OFFSET('RFM input'!$G$411,$A176,0),0)))</f>
        <v>0</v>
      </c>
      <c r="U178" s="1417">
        <f ca="1">IF(LEFT(U$6,4)&lt;=LEFT('RFM input'!$G$60,4),"enter input",IF(LEFT(U$6,4)&gt;LEFT('RFM input'!$Q$60,4),0,IF(U$6=(OFFSET('RFM input'!$G$60,0,'RFM input'!$V$7)),OFFSET('RFM input'!$G$411,$A176,0),0)))</f>
        <v>0</v>
      </c>
      <c r="V178" s="1417">
        <f ca="1">IF(LEFT(V$6,4)&lt;=LEFT('RFM input'!$G$60,4),"enter input",IF(LEFT(V$6,4)&gt;LEFT('RFM input'!$Q$60,4),0,IF(V$6=(OFFSET('RFM input'!$G$60,0,'RFM input'!$V$7)),OFFSET('RFM input'!$G$411,$A176,0),0)))</f>
        <v>0</v>
      </c>
      <c r="W178" s="1417">
        <f ca="1">IF(LEFT(W$6,4)&lt;=LEFT('RFM input'!$G$60,4),"enter input",IF(LEFT(W$6,4)&gt;LEFT('RFM input'!$Q$60,4),0,IF(W$6=(OFFSET('RFM input'!$G$60,0,'RFM input'!$V$7)),OFFSET('RFM input'!$G$411,$A176,0),0)))</f>
        <v>0</v>
      </c>
      <c r="X178" s="152"/>
      <c r="Y178" s="152"/>
      <c r="Z178" s="152"/>
      <c r="AA178" s="152"/>
      <c r="AB178" s="152"/>
    </row>
    <row r="179" spans="1:28">
      <c r="A179" s="152"/>
      <c r="B179" s="195" t="s">
        <v>197</v>
      </c>
      <c r="C179" s="1419"/>
      <c r="D179" s="1418">
        <f ca="1">IF(LEFT(D$6,4)&lt;=LEFT('RFM input'!$G$60,4),"enter input",IF(LEFT(D$6,4)&gt;LEFT('RFM input'!$Q$60,4),0,IF(D$6=(OFFSET('RFM input'!$G$60,0,'RFM input'!$V$7)),OFFSET('RFM input'!$I$411,$A176,0),0)))</f>
        <v>0</v>
      </c>
      <c r="E179" s="1422">
        <f ca="1">IF(LEFT(E$6,4)&lt;=LEFT('RFM input'!$G$60,4),"enter input",IF(LEFT(E$6,4)&gt;LEFT('RFM input'!$Q$60,4),0,IF(E$6=(OFFSET('RFM input'!$G$60,0,'RFM input'!$V$7)),OFFSET('RFM input'!$I$411,$A176,0),0)))</f>
        <v>0</v>
      </c>
      <c r="F179" s="1422">
        <f ca="1">IF(LEFT(F$6,4)&lt;=LEFT('RFM input'!$G$60,4),"enter input",IF(LEFT(F$6,4)&gt;LEFT('RFM input'!$Q$60,4),0,IF(F$6=(OFFSET('RFM input'!$G$60,0,'RFM input'!$V$7)),OFFSET('RFM input'!$I$411,$A176,0),0)))</f>
        <v>0</v>
      </c>
      <c r="G179" s="1422">
        <f ca="1">IF(LEFT(G$6,4)&lt;=LEFT('RFM input'!$G$60,4),"enter input",IF(LEFT(G$6,4)&gt;LEFT('RFM input'!$Q$60,4),0,IF(G$6=(OFFSET('RFM input'!$G$60,0,'RFM input'!$V$7)),OFFSET('RFM input'!$I$411,$A176,0),0)))</f>
        <v>0</v>
      </c>
      <c r="H179" s="1422">
        <f ca="1">IF(LEFT(H$6,4)&lt;=LEFT('RFM input'!$G$60,4),"enter input",IF(LEFT(H$6,4)&gt;LEFT('RFM input'!$Q$60,4),0,IF(H$6=(OFFSET('RFM input'!$G$60,0,'RFM input'!$V$7)),OFFSET('RFM input'!$I$411,$A176,0),0)))</f>
        <v>0</v>
      </c>
      <c r="I179" s="1422">
        <f ca="1">IF(LEFT(I$6,4)&lt;=LEFT('RFM input'!$G$60,4),"enter input",IF(LEFT(I$6,4)&gt;LEFT('RFM input'!$Q$60,4),0,IF(I$6=(OFFSET('RFM input'!$G$60,0,'RFM input'!$V$7)),OFFSET('RFM input'!$I$411,$A176,0),0)))</f>
        <v>0</v>
      </c>
      <c r="J179" s="1422">
        <f ca="1">IF(LEFT(J$6,4)&lt;=LEFT('RFM input'!$G$60,4),"enter input",IF(LEFT(J$6,4)&gt;LEFT('RFM input'!$Q$60,4),0,IF(J$6=(OFFSET('RFM input'!$G$60,0,'RFM input'!$V$7)),OFFSET('RFM input'!$I$411,$A176,0),0)))</f>
        <v>0</v>
      </c>
      <c r="K179" s="1422">
        <f ca="1">IF(LEFT(K$6,4)&lt;=LEFT('RFM input'!$G$60,4),"enter input",IF(LEFT(K$6,4)&gt;LEFT('RFM input'!$Q$60,4),0,IF(K$6=(OFFSET('RFM input'!$G$60,0,'RFM input'!$V$7)),OFFSET('RFM input'!$I$411,$A176,0),0)))</f>
        <v>0</v>
      </c>
      <c r="L179" s="1422">
        <f ca="1">IF(LEFT(L$6,4)&lt;=LEFT('RFM input'!$G$60,4),"enter input",IF(LEFT(L$6,4)&gt;LEFT('RFM input'!$Q$60,4),0,IF(L$6=(OFFSET('RFM input'!$G$60,0,'RFM input'!$V$7)),OFFSET('RFM input'!$I$411,$A176,0),0)))</f>
        <v>0</v>
      </c>
      <c r="M179" s="1422">
        <f ca="1">IF(LEFT(M$6,4)&lt;=LEFT('RFM input'!$G$60,4),"enter input",IF(LEFT(M$6,4)&gt;LEFT('RFM input'!$Q$60,4),0,IF(M$6=(OFFSET('RFM input'!$G$60,0,'RFM input'!$V$7)),OFFSET('RFM input'!$I$411,$A176,0),0)))</f>
        <v>0</v>
      </c>
      <c r="N179" s="1422">
        <f ca="1">IF(LEFT(N$6,4)&lt;=LEFT('RFM input'!$G$60,4),"enter input",IF(LEFT(N$6,4)&gt;LEFT('RFM input'!$Q$60,4),0,IF(N$6=(OFFSET('RFM input'!$G$60,0,'RFM input'!$V$7)),OFFSET('RFM input'!$I$411,$A176,0),0)))</f>
        <v>0</v>
      </c>
      <c r="O179" s="1422">
        <f ca="1">IF(LEFT(O$6,4)&lt;=LEFT('RFM input'!$G$60,4),"enter input",IF(LEFT(O$6,4)&gt;LEFT('RFM input'!$Q$60,4),0,IF(O$6=(OFFSET('RFM input'!$G$60,0,'RFM input'!$V$7)),OFFSET('RFM input'!$I$411,$A176,0),0)))</f>
        <v>0</v>
      </c>
      <c r="P179" s="1422">
        <f ca="1">IF(LEFT(P$6,4)&lt;=LEFT('RFM input'!$G$60,4),"enter input",IF(LEFT(P$6,4)&gt;LEFT('RFM input'!$Q$60,4),0,IF(P$6=(OFFSET('RFM input'!$G$60,0,'RFM input'!$V$7)),OFFSET('RFM input'!$I$411,$A176,0),0)))</f>
        <v>0</v>
      </c>
      <c r="Q179" s="1422">
        <f ca="1">IF(LEFT(Q$6,4)&lt;=LEFT('RFM input'!$G$60,4),"enter input",IF(LEFT(Q$6,4)&gt;LEFT('RFM input'!$Q$60,4),0,IF(Q$6=(OFFSET('RFM input'!$G$60,0,'RFM input'!$V$7)),OFFSET('RFM input'!$I$411,$A176,0),0)))</f>
        <v>0</v>
      </c>
      <c r="R179" s="1422">
        <f ca="1">IF(LEFT(R$6,4)&lt;=LEFT('RFM input'!$G$60,4),"enter input",IF(LEFT(R$6,4)&gt;LEFT('RFM input'!$Q$60,4),0,IF(R$6=(OFFSET('RFM input'!$G$60,0,'RFM input'!$V$7)),OFFSET('RFM input'!$I$411,$A176,0),0)))</f>
        <v>0</v>
      </c>
      <c r="S179" s="1422">
        <f ca="1">IF(LEFT(S$6,4)&lt;=LEFT('RFM input'!$G$60,4),"enter input",IF(LEFT(S$6,4)&gt;LEFT('RFM input'!$Q$60,4),0,IF(S$6=(OFFSET('RFM input'!$G$60,0,'RFM input'!$V$7)),OFFSET('RFM input'!$I$411,$A176,0),0)))</f>
        <v>0</v>
      </c>
      <c r="T179" s="1422">
        <f ca="1">IF(LEFT(T$6,4)&lt;=LEFT('RFM input'!$G$60,4),"enter input",IF(LEFT(T$6,4)&gt;LEFT('RFM input'!$Q$60,4),0,IF(T$6=(OFFSET('RFM input'!$G$60,0,'RFM input'!$V$7)),OFFSET('RFM input'!$I$411,$A176,0),0)))</f>
        <v>0</v>
      </c>
      <c r="U179" s="1422">
        <f ca="1">IF(LEFT(U$6,4)&lt;=LEFT('RFM input'!$G$60,4),"enter input",IF(LEFT(U$6,4)&gt;LEFT('RFM input'!$Q$60,4),0,IF(U$6=(OFFSET('RFM input'!$G$60,0,'RFM input'!$V$7)),OFFSET('RFM input'!$I$411,$A176,0),0)))</f>
        <v>0</v>
      </c>
      <c r="V179" s="1422">
        <f ca="1">IF(LEFT(V$6,4)&lt;=LEFT('RFM input'!$G$60,4),"enter input",IF(LEFT(V$6,4)&gt;LEFT('RFM input'!$Q$60,4),0,IF(V$6=(OFFSET('RFM input'!$G$60,0,'RFM input'!$V$7)),OFFSET('RFM input'!$I$411,$A176,0),0)))</f>
        <v>0</v>
      </c>
      <c r="W179" s="1422">
        <f ca="1">IF(LEFT(W$6,4)&lt;=LEFT('RFM input'!$G$60,4),"enter input",IF(LEFT(W$6,4)&gt;LEFT('RFM input'!$Q$60,4),0,IF(W$6=(OFFSET('RFM input'!$G$60,0,'RFM input'!$V$7)),OFFSET('RFM input'!$I$411,$A176,0),0)))</f>
        <v>0</v>
      </c>
      <c r="X179" s="152"/>
      <c r="Y179" s="152"/>
      <c r="Z179" s="152"/>
      <c r="AA179" s="152"/>
      <c r="AB179" s="152"/>
    </row>
    <row r="180" spans="1:28" hidden="1" outlineLevel="1">
      <c r="A180" s="235">
        <v>-1</v>
      </c>
      <c r="B180" s="190" t="s">
        <v>189</v>
      </c>
      <c r="C180" s="1423"/>
      <c r="D180" s="1423">
        <f ca="1">IF(AND(D178=0,C180=0),0,
IF(AND(D178&lt;&gt;0,C180=0),(D178/D$10),
IF(AND(D179&lt;&gt;0,C180&lt;&gt;0),(C180-(C180/C204))+(D178/D$10),
IF(C204&lt;1,0,(C180-(C180/C204))))))</f>
        <v>0</v>
      </c>
      <c r="E180" s="1423">
        <f t="shared" ref="E180" ca="1" si="208">IF(AND(E178=0,D180=0),0,
IF(AND(E178&lt;&gt;0,D180=0),(E178/E$10),
IF(AND(E179&lt;&gt;0,D180&lt;&gt;0),(D180-(D180/D204))+(E178/E$10),
IF(D204&lt;1,0,(D180-(D180/D204))))))</f>
        <v>0</v>
      </c>
      <c r="F180" s="1423">
        <f t="shared" ref="F180" ca="1" si="209">IF(AND(F178=0,E180=0),0,
IF(AND(F178&lt;&gt;0,E180=0),(F178/F$10),
IF(AND(F179&lt;&gt;0,E180&lt;&gt;0),(E180-(E180/E204))+(F178/F$10),
IF(E204&lt;1,0,(E180-(E180/E204))))))</f>
        <v>0</v>
      </c>
      <c r="G180" s="1423">
        <f t="shared" ref="G180" ca="1" si="210">IF(AND(G178=0,F180=0),0,
IF(AND(G178&lt;&gt;0,F180=0),(G178/G$10),
IF(AND(G179&lt;&gt;0,F180&lt;&gt;0),(F180-(F180/F204))+(G178/G$10),
IF(F204&lt;1,0,(F180-(F180/F204))))))</f>
        <v>0</v>
      </c>
      <c r="H180" s="1423">
        <f t="shared" ref="H180" ca="1" si="211">IF(AND(H178=0,G180=0),0,
IF(AND(H178&lt;&gt;0,G180=0),(H178/H$10),
IF(AND(H179&lt;&gt;0,G180&lt;&gt;0),(G180-(G180/G204))+(H178/H$10),
IF(G204&lt;1,0,(G180-(G180/G204))))))</f>
        <v>0</v>
      </c>
      <c r="I180" s="1423">
        <f t="shared" ref="I180" ca="1" si="212">IF(AND(I178=0,H180=0),0,
IF(AND(I178&lt;&gt;0,H180=0),(I178/I$10),
IF(AND(I179&lt;&gt;0,H180&lt;&gt;0),(H180-(H180/H204))+(I178/I$10),
IF(H204&lt;1,0,(H180-(H180/H204))))))</f>
        <v>0</v>
      </c>
      <c r="J180" s="1423">
        <f t="shared" ref="J180" ca="1" si="213">IF(AND(J178=0,I180=0),0,
IF(AND(J178&lt;&gt;0,I180=0),(J178/J$10),
IF(AND(J179&lt;&gt;0,I180&lt;&gt;0),(I180-(I180/I204))+(J178/J$10),
IF(I204&lt;1,0,(I180-(I180/I204))))))</f>
        <v>0</v>
      </c>
      <c r="K180" s="1423">
        <f t="shared" ref="K180" ca="1" si="214">IF(AND(K178=0,J180=0),0,
IF(AND(K178&lt;&gt;0,J180=0),(K178/K$10),
IF(AND(K179&lt;&gt;0,J180&lt;&gt;0),(J180-(J180/J204))+(K178/K$10),
IF(J204&lt;1,0,(J180-(J180/J204))))))</f>
        <v>0</v>
      </c>
      <c r="L180" s="1423">
        <f t="shared" ref="L180" ca="1" si="215">IF(AND(L178=0,K180=0),0,
IF(AND(L178&lt;&gt;0,K180=0),(L178/L$10),
IF(AND(L179&lt;&gt;0,K180&lt;&gt;0),(K180-(K180/K204))+(L178/L$10),
IF(K204&lt;1,0,(K180-(K180/K204))))))</f>
        <v>0</v>
      </c>
      <c r="M180" s="1423">
        <f t="shared" ref="M180" ca="1" si="216">IF(AND(M178=0,L180=0),0,
IF(AND(M178&lt;&gt;0,L180=0),(M178/M$10),
IF(AND(M179&lt;&gt;0,L180&lt;&gt;0),(L180-(L180/L204))+(M178/M$10),
IF(L204&lt;1,0,(L180-(L180/L204))))))</f>
        <v>0</v>
      </c>
      <c r="N180" s="1423">
        <f t="shared" ref="N180" ca="1" si="217">IF(AND(N178=0,M180=0),0,
IF(AND(N178&lt;&gt;0,M180=0),(N178/N$10),
IF(AND(N179&lt;&gt;0,M180&lt;&gt;0),(M180-(M180/M204))+(N178/N$10),
IF(M204&lt;1,0,(M180-(M180/M204))))))</f>
        <v>0</v>
      </c>
      <c r="O180" s="1423">
        <f t="shared" ref="O180" ca="1" si="218">IF(AND(O178=0,N180=0),0,
IF(AND(O178&lt;&gt;0,N180=0),(O178/O$10),
IF(AND(O179&lt;&gt;0,N180&lt;&gt;0),(N180-(N180/N204))+(O178/O$10),
IF(N204&lt;1,0,(N180-(N180/N204))))))</f>
        <v>0</v>
      </c>
      <c r="P180" s="1423">
        <f t="shared" ref="P180" ca="1" si="219">IF(AND(P178=0,O180=0),0,
IF(AND(P178&lt;&gt;0,O180=0),(P178/P$10),
IF(AND(P179&lt;&gt;0,O180&lt;&gt;0),(O180-(O180/O204))+(P178/P$10),
IF(O204&lt;1,0,(O180-(O180/O204))))))</f>
        <v>0</v>
      </c>
      <c r="Q180" s="1423">
        <f t="shared" ref="Q180" ca="1" si="220">IF(AND(Q178=0,P180=0),0,
IF(AND(Q178&lt;&gt;0,P180=0),(Q178/Q$10),
IF(AND(Q179&lt;&gt;0,P180&lt;&gt;0),(P180-(P180/P204))+(Q178/Q$10),
IF(P204&lt;1,0,(P180-(P180/P204))))))</f>
        <v>0</v>
      </c>
      <c r="R180" s="1423">
        <f t="shared" ref="R180" ca="1" si="221">IF(AND(R178=0,Q180=0),0,
IF(AND(R178&lt;&gt;0,Q180=0),(R178/R$10),
IF(AND(R179&lt;&gt;0,Q180&lt;&gt;0),(Q180-(Q180/Q204))+(R178/R$10),
IF(Q204&lt;1,0,(Q180-(Q180/Q204))))))</f>
        <v>0</v>
      </c>
      <c r="S180" s="1423">
        <f t="shared" ref="S180" ca="1" si="222">IF(AND(S178=0,R180=0),0,
IF(AND(S178&lt;&gt;0,R180=0),(S178/S$10),
IF(AND(S179&lt;&gt;0,R180&lt;&gt;0),(R180-(R180/R204))+(S178/S$10),
IF(R204&lt;1,0,(R180-(R180/R204))))))</f>
        <v>0</v>
      </c>
      <c r="T180" s="1423">
        <f t="shared" ref="T180" ca="1" si="223">IF(AND(T178=0,S180=0),0,
IF(AND(T178&lt;&gt;0,S180=0),(T178/T$10),
IF(AND(T179&lt;&gt;0,S180&lt;&gt;0),(S180-(S180/S204))+(T178/T$10),
IF(S204&lt;1,0,(S180-(S180/S204))))))</f>
        <v>0</v>
      </c>
      <c r="U180" s="1423">
        <f t="shared" ref="U180" ca="1" si="224">IF(AND(U178=0,T180=0),0,
IF(AND(U178&lt;&gt;0,T180=0),(U178/U$10),
IF(AND(U179&lt;&gt;0,T180&lt;&gt;0),(T180-(T180/T204))+(U178/U$10),
IF(T204&lt;1,0,(T180-(T180/T204))))))</f>
        <v>0</v>
      </c>
      <c r="V180" s="1423">
        <f t="shared" ref="V180" ca="1" si="225">IF(AND(V178=0,U180=0),0,
IF(AND(V178&lt;&gt;0,U180=0),(V178/V$10),
IF(AND(V179&lt;&gt;0,U180&lt;&gt;0),(U180-(U180/U204))+(V178/V$10),
IF(U204&lt;1,0,(U180-(U180/U204))))))</f>
        <v>0</v>
      </c>
      <c r="W180" s="1423">
        <f t="shared" ref="W180" ca="1" si="226">IF(AND(W178=0,V180=0),0,
IF(AND(W178&lt;&gt;0,V180=0),(W178/W$10),
IF(AND(W179&lt;&gt;0,V180&lt;&gt;0),(V180-(V180/V204))+(W178/W$10),
IF(V204&lt;1,0,(V180-(V180/V204))))))</f>
        <v>0</v>
      </c>
      <c r="X180" s="152"/>
      <c r="Y180" s="152"/>
      <c r="Z180" s="152"/>
      <c r="AA180" s="152"/>
      <c r="AB180" s="152"/>
    </row>
    <row r="181" spans="1:28" hidden="1" outlineLevel="1">
      <c r="A181" s="199">
        <f>A180+1</f>
        <v>0</v>
      </c>
      <c r="B181" s="190" t="s">
        <v>125</v>
      </c>
      <c r="C181" s="1423">
        <f ca="1">C176/C$10</f>
        <v>-0.58034433790308881</v>
      </c>
      <c r="D181" s="1423">
        <f ca="1">IF(C205="n/a",C181,IFERROR(IF((OFFSET($C181,0,$A181))&lt;0,
MIN(0,C181-(OFFSET($C181,0,$A181)/(OFFSET($C176,-$A180,$A181)))),
MAX(0,C181-(OFFSET($C181,0,$A181)/(OFFSET($C176,-$A180,$A181))))),0))</f>
        <v>-0.41678464813044525</v>
      </c>
      <c r="E181" s="1423">
        <f t="shared" ref="E181" ca="1" si="227">IF(D205="n/a",D181,IFERROR(IF((OFFSET($C181,0,$A181))&lt;0,
MIN(0,D181-(OFFSET($C181,0,$A181)/(OFFSET($C176,-$A180,$A181)))),
MAX(0,D181-(OFFSET($C181,0,$A181)/(OFFSET($C176,-$A180,$A181))))),0))</f>
        <v>-0.25322495835780168</v>
      </c>
      <c r="F181" s="1423">
        <f t="shared" ref="F181:F182" ca="1" si="228">IF(E205="n/a",E181,IFERROR(IF((OFFSET($C181,0,$A181))&lt;0,
MIN(0,E181-(OFFSET($C181,0,$A181)/(OFFSET($C176,-$A180,$A181)))),
MAX(0,E181-(OFFSET($C181,0,$A181)/(OFFSET($C176,-$A180,$A181))))),0))</f>
        <v>-8.9665268585158081E-2</v>
      </c>
      <c r="G181" s="1423">
        <f t="shared" ref="G181:G183" ca="1" si="229">IF(F205="n/a",F181,IFERROR(IF((OFFSET($C181,0,$A181))&lt;0,
MIN(0,F181-(OFFSET($C181,0,$A181)/(OFFSET($C176,-$A180,$A181)))),
MAX(0,F181-(OFFSET($C181,0,$A181)/(OFFSET($C176,-$A180,$A181))))),0))</f>
        <v>0</v>
      </c>
      <c r="H181" s="1423">
        <f t="shared" ref="H181:H184" ca="1" si="230">IF(G205="n/a",G181,IFERROR(IF((OFFSET($C181,0,$A181))&lt;0,
MIN(0,G181-(OFFSET($C181,0,$A181)/(OFFSET($C176,-$A180,$A181)))),
MAX(0,G181-(OFFSET($C181,0,$A181)/(OFFSET($C176,-$A180,$A181))))),0))</f>
        <v>0</v>
      </c>
      <c r="I181" s="1423">
        <f t="shared" ref="I181:I185" ca="1" si="231">IF(H205="n/a",H181,IFERROR(IF((OFFSET($C181,0,$A181))&lt;0,
MIN(0,H181-(OFFSET($C181,0,$A181)/(OFFSET($C176,-$A180,$A181)))),
MAX(0,H181-(OFFSET($C181,0,$A181)/(OFFSET($C176,-$A180,$A181))))),0))</f>
        <v>0</v>
      </c>
      <c r="J181" s="1423">
        <f t="shared" ref="J181:J186" ca="1" si="232">IF(I205="n/a",I181,IFERROR(IF((OFFSET($C181,0,$A181))&lt;0,
MIN(0,I181-(OFFSET($C181,0,$A181)/(OFFSET($C176,-$A180,$A181)))),
MAX(0,I181-(OFFSET($C181,0,$A181)/(OFFSET($C176,-$A180,$A181))))),0))</f>
        <v>0</v>
      </c>
      <c r="K181" s="1423">
        <f t="shared" ref="K181:K187" ca="1" si="233">IF(J205="n/a",J181,IFERROR(IF((OFFSET($C181,0,$A181))&lt;0,
MIN(0,J181-(OFFSET($C181,0,$A181)/(OFFSET($C176,-$A180,$A181)))),
MAX(0,J181-(OFFSET($C181,0,$A181)/(OFFSET($C176,-$A180,$A181))))),0))</f>
        <v>0</v>
      </c>
      <c r="L181" s="1423">
        <f t="shared" ref="L181:L188" ca="1" si="234">IF(K205="n/a",K181,IFERROR(IF((OFFSET($C181,0,$A181))&lt;0,
MIN(0,K181-(OFFSET($C181,0,$A181)/(OFFSET($C176,-$A180,$A181)))),
MAX(0,K181-(OFFSET($C181,0,$A181)/(OFFSET($C176,-$A180,$A181))))),0))</f>
        <v>0</v>
      </c>
      <c r="M181" s="1423">
        <f t="shared" ref="M181:M189" ca="1" si="235">IF(L205="n/a",L181,IFERROR(IF((OFFSET($C181,0,$A181))&lt;0,
MIN(0,L181-(OFFSET($C181,0,$A181)/(OFFSET($C176,-$A180,$A181)))),
MAX(0,L181-(OFFSET($C181,0,$A181)/(OFFSET($C176,-$A180,$A181))))),0))</f>
        <v>0</v>
      </c>
      <c r="N181" s="1423">
        <f t="shared" ref="N181:N190" ca="1" si="236">IF(M205="n/a",M181,IFERROR(IF((OFFSET($C181,0,$A181))&lt;0,
MIN(0,M181-(OFFSET($C181,0,$A181)/(OFFSET($C176,-$A180,$A181)))),
MAX(0,M181-(OFFSET($C181,0,$A181)/(OFFSET($C176,-$A180,$A181))))),0))</f>
        <v>0</v>
      </c>
      <c r="O181" s="1423">
        <f t="shared" ref="O181:O191" ca="1" si="237">IF(N205="n/a",N181,IFERROR(IF((OFFSET($C181,0,$A181))&lt;0,
MIN(0,N181-(OFFSET($C181,0,$A181)/(OFFSET($C176,-$A180,$A181)))),
MAX(0,N181-(OFFSET($C181,0,$A181)/(OFFSET($C176,-$A180,$A181))))),0))</f>
        <v>0</v>
      </c>
      <c r="P181" s="1423">
        <f t="shared" ref="P181:P192" ca="1" si="238">IF(O205="n/a",O181,IFERROR(IF((OFFSET($C181,0,$A181))&lt;0,
MIN(0,O181-(OFFSET($C181,0,$A181)/(OFFSET($C176,-$A180,$A181)))),
MAX(0,O181-(OFFSET($C181,0,$A181)/(OFFSET($C176,-$A180,$A181))))),0))</f>
        <v>0</v>
      </c>
      <c r="Q181" s="1423">
        <f t="shared" ref="Q181:Q193" ca="1" si="239">IF(P205="n/a",P181,IFERROR(IF((OFFSET($C181,0,$A181))&lt;0,
MIN(0,P181-(OFFSET($C181,0,$A181)/(OFFSET($C176,-$A180,$A181)))),
MAX(0,P181-(OFFSET($C181,0,$A181)/(OFFSET($C176,-$A180,$A181))))),0))</f>
        <v>0</v>
      </c>
      <c r="R181" s="1423">
        <f t="shared" ref="R181:R194" ca="1" si="240">IF(Q205="n/a",Q181,IFERROR(IF((OFFSET($C181,0,$A181))&lt;0,
MIN(0,Q181-(OFFSET($C181,0,$A181)/(OFFSET($C176,-$A180,$A181)))),
MAX(0,Q181-(OFFSET($C181,0,$A181)/(OFFSET($C176,-$A180,$A181))))),0))</f>
        <v>0</v>
      </c>
      <c r="S181" s="1423">
        <f t="shared" ref="S181:S195" ca="1" si="241">IF(R205="n/a",R181,IFERROR(IF((OFFSET($C181,0,$A181))&lt;0,
MIN(0,R181-(OFFSET($C181,0,$A181)/(OFFSET($C176,-$A180,$A181)))),
MAX(0,R181-(OFFSET($C181,0,$A181)/(OFFSET($C176,-$A180,$A181))))),0))</f>
        <v>0</v>
      </c>
      <c r="T181" s="1423">
        <f t="shared" ref="T181:T196" ca="1" si="242">IF(S205="n/a",S181,IFERROR(IF((OFFSET($C181,0,$A181))&lt;0,
MIN(0,S181-(OFFSET($C181,0,$A181)/(OFFSET($C176,-$A180,$A181)))),
MAX(0,S181-(OFFSET($C181,0,$A181)/(OFFSET($C176,-$A180,$A181))))),0))</f>
        <v>0</v>
      </c>
      <c r="U181" s="1423">
        <f t="shared" ref="U181:U197" ca="1" si="243">IF(T205="n/a",T181,IFERROR(IF((OFFSET($C181,0,$A181))&lt;0,
MIN(0,T181-(OFFSET($C181,0,$A181)/(OFFSET($C176,-$A180,$A181)))),
MAX(0,T181-(OFFSET($C181,0,$A181)/(OFFSET($C176,-$A180,$A181))))),0))</f>
        <v>0</v>
      </c>
      <c r="V181" s="1423">
        <f t="shared" ref="V181:V198" ca="1" si="244">IF(U205="n/a",U181,IFERROR(IF((OFFSET($C181,0,$A181))&lt;0,
MIN(0,U181-(OFFSET($C181,0,$A181)/(OFFSET($C176,-$A180,$A181)))),
MAX(0,U181-(OFFSET($C181,0,$A181)/(OFFSET($C176,-$A180,$A181))))),0))</f>
        <v>0</v>
      </c>
      <c r="W181" s="1423">
        <f t="shared" ref="W181:W199" ca="1" si="245">IF(V205="n/a",V181,IFERROR(IF((OFFSET($C181,0,$A181))&lt;0,
MIN(0,V181-(OFFSET($C181,0,$A181)/(OFFSET($C176,-$A180,$A181)))),
MAX(0,V181-(OFFSET($C181,0,$A181)/(OFFSET($C176,-$A180,$A181))))),0))</f>
        <v>0</v>
      </c>
      <c r="X181" s="152"/>
      <c r="Y181" s="152"/>
      <c r="Z181" s="152"/>
      <c r="AA181" s="152"/>
      <c r="AB181" s="152"/>
    </row>
    <row r="182" spans="1:28" hidden="1" outlineLevel="1">
      <c r="A182" s="199">
        <f t="shared" ref="A182:A201" si="246">A181+1</f>
        <v>1</v>
      </c>
      <c r="B182" s="190" t="str">
        <f t="shared" ref="B182:B200" ca="1" si="247">"Depreciated Net Capex "&amp;OFFSET($C$6,0,A182)</f>
        <v>Depreciated Net Capex 2016-17</v>
      </c>
      <c r="C182" s="1424"/>
      <c r="D182" s="1425">
        <f>(D176*((1+D$11)^0.5)/D$10)</f>
        <v>0.39526683235065257</v>
      </c>
      <c r="E182" s="1423">
        <f ca="1">IF(D206="n/a",D182,IFERROR(IF((OFFSET($C182,0,$A182))&lt;0,
MIN(0,D182-(OFFSET($C182,0,$A182)/(OFFSET($C177,-$A181,$A182)))),
MAX(0,D182-(OFFSET($C182,0,$A182)/(OFFSET($C177,-$A181,$A182))))),0))</f>
        <v>0.37550349073311995</v>
      </c>
      <c r="F182" s="1423">
        <f t="shared" ca="1" si="228"/>
        <v>0.35574014911558732</v>
      </c>
      <c r="G182" s="1423">
        <f t="shared" ca="1" si="229"/>
        <v>0.3359768074980547</v>
      </c>
      <c r="H182" s="1423">
        <f t="shared" ca="1" si="230"/>
        <v>0.31621346588052207</v>
      </c>
      <c r="I182" s="1423">
        <f t="shared" ca="1" si="231"/>
        <v>0.29645012426298945</v>
      </c>
      <c r="J182" s="1423">
        <f t="shared" ca="1" si="232"/>
        <v>0.27668678264545682</v>
      </c>
      <c r="K182" s="1423">
        <f t="shared" ca="1" si="233"/>
        <v>0.25692344102792419</v>
      </c>
      <c r="L182" s="1423">
        <f t="shared" ca="1" si="234"/>
        <v>0.23716009941039157</v>
      </c>
      <c r="M182" s="1423">
        <f t="shared" ca="1" si="235"/>
        <v>0.21739675779285894</v>
      </c>
      <c r="N182" s="1423">
        <f t="shared" ca="1" si="236"/>
        <v>0.19763341617532632</v>
      </c>
      <c r="O182" s="1423">
        <f t="shared" ca="1" si="237"/>
        <v>0.17787007455779369</v>
      </c>
      <c r="P182" s="1423">
        <f t="shared" ca="1" si="238"/>
        <v>0.15810673294026106</v>
      </c>
      <c r="Q182" s="1423">
        <f t="shared" ca="1" si="239"/>
        <v>0.13834339132272844</v>
      </c>
      <c r="R182" s="1423">
        <f t="shared" ca="1" si="240"/>
        <v>0.11858004970519581</v>
      </c>
      <c r="S182" s="1423">
        <f t="shared" ca="1" si="241"/>
        <v>9.8816708087663185E-2</v>
      </c>
      <c r="T182" s="1423">
        <f t="shared" ca="1" si="242"/>
        <v>7.9053366470130559E-2</v>
      </c>
      <c r="U182" s="1423">
        <f t="shared" ca="1" si="243"/>
        <v>5.9290024852597933E-2</v>
      </c>
      <c r="V182" s="1423">
        <f t="shared" ca="1" si="244"/>
        <v>3.9526683235065307E-2</v>
      </c>
      <c r="W182" s="1423">
        <f t="shared" ca="1" si="245"/>
        <v>1.9763341617532678E-2</v>
      </c>
      <c r="X182" s="152"/>
      <c r="Y182" s="152"/>
      <c r="Z182" s="152"/>
      <c r="AA182" s="152"/>
      <c r="AB182" s="152"/>
    </row>
    <row r="183" spans="1:28" hidden="1" outlineLevel="1">
      <c r="A183" s="199">
        <f t="shared" si="246"/>
        <v>2</v>
      </c>
      <c r="B183" s="190" t="str">
        <f t="shared" ca="1" si="247"/>
        <v>Depreciated Net Capex 2017-18</v>
      </c>
      <c r="C183" s="1426"/>
      <c r="D183" s="1427"/>
      <c r="E183" s="1425">
        <f>(E176*((1+E$11)^0.5)/E$10)</f>
        <v>0.17162629003922078</v>
      </c>
      <c r="F183" s="1423">
        <f ca="1">IF(E207="n/a",E183,IFERROR(IF((OFFSET($C183,0,$A183))&lt;0,
MIN(0,E183-(OFFSET($C183,0,$A183)/(OFFSET($C178,-$A182,$A183)))),
MAX(0,E183-(OFFSET($C183,0,$A183)/(OFFSET($C178,-$A182,$A183))))),0))</f>
        <v>0.16304497553725975</v>
      </c>
      <c r="G183" s="1423">
        <f t="shared" ca="1" si="229"/>
        <v>0.15446366103529871</v>
      </c>
      <c r="H183" s="1423">
        <f t="shared" ca="1" si="230"/>
        <v>0.14588234653333768</v>
      </c>
      <c r="I183" s="1423">
        <f t="shared" ca="1" si="231"/>
        <v>0.13730103203137664</v>
      </c>
      <c r="J183" s="1423">
        <f t="shared" ca="1" si="232"/>
        <v>0.12871971752941561</v>
      </c>
      <c r="K183" s="1423">
        <f t="shared" ca="1" si="233"/>
        <v>0.12013840302745457</v>
      </c>
      <c r="L183" s="1423">
        <f t="shared" ca="1" si="234"/>
        <v>0.11155708852549354</v>
      </c>
      <c r="M183" s="1423">
        <f t="shared" ca="1" si="235"/>
        <v>0.1029757740235325</v>
      </c>
      <c r="N183" s="1423">
        <f t="shared" ca="1" si="236"/>
        <v>9.4394459521571467E-2</v>
      </c>
      <c r="O183" s="1423">
        <f t="shared" ca="1" si="237"/>
        <v>8.5813145019610432E-2</v>
      </c>
      <c r="P183" s="1423">
        <f t="shared" ca="1" si="238"/>
        <v>7.7231830517649397E-2</v>
      </c>
      <c r="Q183" s="1423">
        <f t="shared" ca="1" si="239"/>
        <v>6.8650516015688362E-2</v>
      </c>
      <c r="R183" s="1423">
        <f t="shared" ca="1" si="240"/>
        <v>6.0069201513727327E-2</v>
      </c>
      <c r="S183" s="1423">
        <f t="shared" ca="1" si="241"/>
        <v>5.1487887011766292E-2</v>
      </c>
      <c r="T183" s="1423">
        <f t="shared" ca="1" si="242"/>
        <v>4.2906572509805257E-2</v>
      </c>
      <c r="U183" s="1423">
        <f t="shared" ca="1" si="243"/>
        <v>3.4325258007844223E-2</v>
      </c>
      <c r="V183" s="1423">
        <f t="shared" ca="1" si="244"/>
        <v>2.5743943505883184E-2</v>
      </c>
      <c r="W183" s="1423">
        <f t="shared" ca="1" si="245"/>
        <v>1.7162629003922146E-2</v>
      </c>
      <c r="X183" s="202"/>
      <c r="Y183" s="152"/>
      <c r="Z183" s="152"/>
      <c r="AA183" s="152"/>
      <c r="AB183" s="152"/>
    </row>
    <row r="184" spans="1:28" hidden="1" outlineLevel="1">
      <c r="A184" s="199">
        <f t="shared" si="246"/>
        <v>3</v>
      </c>
      <c r="B184" s="190" t="str">
        <f t="shared" ca="1" si="247"/>
        <v>Depreciated Net Capex 2018-19</v>
      </c>
      <c r="C184" s="1426"/>
      <c r="D184" s="1426"/>
      <c r="E184" s="1427"/>
      <c r="F184" s="1428">
        <f>($F176*((1+F$11)^0.5)/F$10)</f>
        <v>4.8395599521221723E-2</v>
      </c>
      <c r="G184" s="1423">
        <f ca="1">IF(F208="n/a",F184,IFERROR(IF((OFFSET($C184,0,$A184))&lt;0,
MIN(0,F184-(OFFSET($C184,0,$A184)/(OFFSET($C179,-$A183,$A184)))),
MAX(0,F184-(OFFSET($C184,0,$A184)/(OFFSET($C179,-$A183,$A184))))),0))</f>
        <v>4.597581954516064E-2</v>
      </c>
      <c r="H184" s="1423">
        <f t="shared" ca="1" si="230"/>
        <v>4.3556039569099557E-2</v>
      </c>
      <c r="I184" s="1423">
        <f t="shared" ca="1" si="231"/>
        <v>4.1136259593038474E-2</v>
      </c>
      <c r="J184" s="1423">
        <f t="shared" ca="1" si="232"/>
        <v>3.8716479616977391E-2</v>
      </c>
      <c r="K184" s="1423">
        <f t="shared" ca="1" si="233"/>
        <v>3.6296699640916308E-2</v>
      </c>
      <c r="L184" s="1423">
        <f t="shared" ca="1" si="234"/>
        <v>3.3876919664855225E-2</v>
      </c>
      <c r="M184" s="1423">
        <f t="shared" ca="1" si="235"/>
        <v>3.1457139688794142E-2</v>
      </c>
      <c r="N184" s="1423">
        <f t="shared" ca="1" si="236"/>
        <v>2.9037359712733055E-2</v>
      </c>
      <c r="O184" s="1423">
        <f t="shared" ca="1" si="237"/>
        <v>2.6617579736671969E-2</v>
      </c>
      <c r="P184" s="1423">
        <f t="shared" ca="1" si="238"/>
        <v>2.4197799760610882E-2</v>
      </c>
      <c r="Q184" s="1423">
        <f t="shared" ca="1" si="239"/>
        <v>2.1778019784549796E-2</v>
      </c>
      <c r="R184" s="1423">
        <f t="shared" ca="1" si="240"/>
        <v>1.9358239808488709E-2</v>
      </c>
      <c r="S184" s="1423">
        <f t="shared" ca="1" si="241"/>
        <v>1.6938459832427623E-2</v>
      </c>
      <c r="T184" s="1423">
        <f t="shared" ca="1" si="242"/>
        <v>1.4518679856366536E-2</v>
      </c>
      <c r="U184" s="1423">
        <f t="shared" ca="1" si="243"/>
        <v>1.209889988030545E-2</v>
      </c>
      <c r="V184" s="1423">
        <f t="shared" ca="1" si="244"/>
        <v>9.6791199042443633E-3</v>
      </c>
      <c r="W184" s="1423">
        <f t="shared" ca="1" si="245"/>
        <v>7.2593399281832768E-3</v>
      </c>
      <c r="X184" s="202"/>
      <c r="Y184" s="202"/>
      <c r="Z184" s="152"/>
      <c r="AA184" s="152"/>
      <c r="AB184" s="152"/>
    </row>
    <row r="185" spans="1:28" hidden="1" outlineLevel="1">
      <c r="A185" s="199">
        <f t="shared" si="246"/>
        <v>4</v>
      </c>
      <c r="B185" s="190" t="str">
        <f t="shared" ca="1" si="247"/>
        <v>Depreciated Net Capex 2019-20</v>
      </c>
      <c r="C185" s="1426"/>
      <c r="D185" s="1426"/>
      <c r="E185" s="1426"/>
      <c r="F185" s="1427"/>
      <c r="G185" s="1428">
        <f>($G176*((1+G$11)^0.5)/G$10)</f>
        <v>0.10134851304786199</v>
      </c>
      <c r="H185" s="1423">
        <f ca="1">IF(G209="n/a",G185,IFERROR(IF((OFFSET($C185,0,$A185))&lt;0,
MIN(0,G185-(OFFSET($C185,0,$A185)/(OFFSET($C180,-$A184,$A185)))),
MAX(0,G185-(OFFSET($C185,0,$A185)/(OFFSET($C180,-$A184,$A185))))),0))</f>
        <v>9.6281087395468895E-2</v>
      </c>
      <c r="I185" s="1423">
        <f t="shared" ca="1" si="231"/>
        <v>9.1213661743075797E-2</v>
      </c>
      <c r="J185" s="1423">
        <f t="shared" ca="1" si="232"/>
        <v>8.6146236090682698E-2</v>
      </c>
      <c r="K185" s="1423">
        <f t="shared" ca="1" si="233"/>
        <v>8.10788104382896E-2</v>
      </c>
      <c r="L185" s="1423">
        <f t="shared" ca="1" si="234"/>
        <v>7.6011384785896502E-2</v>
      </c>
      <c r="M185" s="1423">
        <f t="shared" ca="1" si="235"/>
        <v>7.0943959133503404E-2</v>
      </c>
      <c r="N185" s="1423">
        <f t="shared" ca="1" si="236"/>
        <v>6.5876533481110305E-2</v>
      </c>
      <c r="O185" s="1423">
        <f t="shared" ca="1" si="237"/>
        <v>6.0809107828717207E-2</v>
      </c>
      <c r="P185" s="1423">
        <f t="shared" ca="1" si="238"/>
        <v>5.5741682176324109E-2</v>
      </c>
      <c r="Q185" s="1423">
        <f t="shared" ca="1" si="239"/>
        <v>5.0674256523931011E-2</v>
      </c>
      <c r="R185" s="1423">
        <f t="shared" ca="1" si="240"/>
        <v>4.5606830871537912E-2</v>
      </c>
      <c r="S185" s="1423">
        <f t="shared" ca="1" si="241"/>
        <v>4.0539405219144814E-2</v>
      </c>
      <c r="T185" s="1423">
        <f t="shared" ca="1" si="242"/>
        <v>3.5471979566751716E-2</v>
      </c>
      <c r="U185" s="1423">
        <f t="shared" ca="1" si="243"/>
        <v>3.0404553914358617E-2</v>
      </c>
      <c r="V185" s="1423">
        <f t="shared" ca="1" si="244"/>
        <v>2.5337128261965519E-2</v>
      </c>
      <c r="W185" s="1423">
        <f t="shared" ca="1" si="245"/>
        <v>2.0269702609572421E-2</v>
      </c>
      <c r="X185" s="202"/>
      <c r="Y185" s="202"/>
      <c r="Z185" s="202"/>
      <c r="AA185" s="152"/>
      <c r="AB185" s="152"/>
    </row>
    <row r="186" spans="1:28" hidden="1" outlineLevel="1">
      <c r="A186" s="199">
        <f t="shared" si="246"/>
        <v>5</v>
      </c>
      <c r="B186" s="190" t="str">
        <f t="shared" ca="1" si="247"/>
        <v>Depreciated Net Capex 2020-21</v>
      </c>
      <c r="C186" s="1426"/>
      <c r="D186" s="1426"/>
      <c r="E186" s="1426"/>
      <c r="F186" s="1426"/>
      <c r="G186" s="1427"/>
      <c r="H186" s="1428">
        <f>(H176*((1+H$11)^0.5)/H$10)</f>
        <v>6.145870938976096E-2</v>
      </c>
      <c r="I186" s="1423">
        <f ca="1">IF(H210="n/a",H186,IFERROR(IF((OFFSET($C186,0,$A186))&lt;0,
MIN(0,H186-(OFFSET($C186,0,$A186)/(OFFSET($C181,-$A185,$A186)))),
MAX(0,H186-(OFFSET($C186,0,$A186)/(OFFSET($C181,-$A185,$A186))))),0))</f>
        <v>5.8385773920272915E-2</v>
      </c>
      <c r="J186" s="1423">
        <f t="shared" ca="1" si="232"/>
        <v>5.5312838450784871E-2</v>
      </c>
      <c r="K186" s="1423">
        <f t="shared" ca="1" si="233"/>
        <v>5.2239902981296826E-2</v>
      </c>
      <c r="L186" s="1423">
        <f t="shared" ca="1" si="234"/>
        <v>4.9166967511808782E-2</v>
      </c>
      <c r="M186" s="1423">
        <f t="shared" ca="1" si="235"/>
        <v>4.6094032042320737E-2</v>
      </c>
      <c r="N186" s="1423">
        <f t="shared" ca="1" si="236"/>
        <v>4.3021096572832693E-2</v>
      </c>
      <c r="O186" s="1423">
        <f t="shared" ca="1" si="237"/>
        <v>3.9948161103344648E-2</v>
      </c>
      <c r="P186" s="1423">
        <f t="shared" ca="1" si="238"/>
        <v>3.6875225633856604E-2</v>
      </c>
      <c r="Q186" s="1423">
        <f t="shared" ca="1" si="239"/>
        <v>3.3802290164368559E-2</v>
      </c>
      <c r="R186" s="1423">
        <f t="shared" ca="1" si="240"/>
        <v>3.0729354694880511E-2</v>
      </c>
      <c r="S186" s="1423">
        <f t="shared" ca="1" si="241"/>
        <v>2.7656419225392463E-2</v>
      </c>
      <c r="T186" s="1423">
        <f t="shared" ca="1" si="242"/>
        <v>2.4583483755904415E-2</v>
      </c>
      <c r="U186" s="1423">
        <f t="shared" ca="1" si="243"/>
        <v>2.1510548286416367E-2</v>
      </c>
      <c r="V186" s="1423">
        <f t="shared" ca="1" si="244"/>
        <v>1.8437612816928319E-2</v>
      </c>
      <c r="W186" s="1423">
        <f t="shared" ca="1" si="245"/>
        <v>1.5364677347440271E-2</v>
      </c>
      <c r="X186" s="202"/>
      <c r="Y186" s="202"/>
      <c r="Z186" s="202"/>
      <c r="AA186" s="152"/>
      <c r="AB186" s="152"/>
    </row>
    <row r="187" spans="1:28" hidden="1" outlineLevel="1">
      <c r="A187" s="199">
        <f t="shared" si="246"/>
        <v>6</v>
      </c>
      <c r="B187" s="190" t="str">
        <f t="shared" ca="1" si="247"/>
        <v>Depreciated Net Capex 2021-22</v>
      </c>
      <c r="C187" s="1426"/>
      <c r="D187" s="1426"/>
      <c r="E187" s="1426"/>
      <c r="F187" s="1426"/>
      <c r="G187" s="1426"/>
      <c r="H187" s="1427"/>
      <c r="I187" s="1428">
        <f>(I176*((1+I$11)^0.5)/I$10)</f>
        <v>5.6737250830580593E-2</v>
      </c>
      <c r="J187" s="1423">
        <f ca="1">IF(I211="n/a",I187,IFERROR(IF((OFFSET($C187,0,$A187))&lt;0,
MIN(0,I187-(OFFSET($C187,0,$A187)/(OFFSET($C182,-$A186,$A187)))),
MAX(0,I187-(OFFSET($C187,0,$A187)/(OFFSET($C182,-$A186,$A187))))),0))</f>
        <v>5.3900388289051561E-2</v>
      </c>
      <c r="K187" s="1423">
        <f t="shared" ca="1" si="233"/>
        <v>5.1063525747522528E-2</v>
      </c>
      <c r="L187" s="1423">
        <f t="shared" ca="1" si="234"/>
        <v>4.8226663205993496E-2</v>
      </c>
      <c r="M187" s="1423">
        <f t="shared" ca="1" si="235"/>
        <v>4.5389800664464464E-2</v>
      </c>
      <c r="N187" s="1423">
        <f t="shared" ca="1" si="236"/>
        <v>4.2552938122935431E-2</v>
      </c>
      <c r="O187" s="1423">
        <f t="shared" ca="1" si="237"/>
        <v>3.9716075581406399E-2</v>
      </c>
      <c r="P187" s="1423">
        <f t="shared" ca="1" si="238"/>
        <v>3.6879213039877366E-2</v>
      </c>
      <c r="Q187" s="1423">
        <f t="shared" ca="1" si="239"/>
        <v>3.4042350498348334E-2</v>
      </c>
      <c r="R187" s="1423">
        <f t="shared" ca="1" si="240"/>
        <v>3.1205487956819305E-2</v>
      </c>
      <c r="S187" s="1423">
        <f t="shared" ca="1" si="241"/>
        <v>2.8368625415290276E-2</v>
      </c>
      <c r="T187" s="1423">
        <f t="shared" ca="1" si="242"/>
        <v>2.5531762873761247E-2</v>
      </c>
      <c r="U187" s="1423">
        <f t="shared" ca="1" si="243"/>
        <v>2.2694900332232218E-2</v>
      </c>
      <c r="V187" s="1423">
        <f t="shared" ca="1" si="244"/>
        <v>1.9858037790703189E-2</v>
      </c>
      <c r="W187" s="1423">
        <f t="shared" ca="1" si="245"/>
        <v>1.702117524917416E-2</v>
      </c>
      <c r="X187" s="202"/>
      <c r="Y187" s="202"/>
      <c r="Z187" s="202"/>
      <c r="AA187" s="152"/>
      <c r="AB187" s="152"/>
    </row>
    <row r="188" spans="1:28" hidden="1" outlineLevel="1">
      <c r="A188" s="199">
        <f t="shared" si="246"/>
        <v>7</v>
      </c>
      <c r="B188" s="190" t="str">
        <f t="shared" ca="1" si="247"/>
        <v>Depreciated Net Capex 2022-23</v>
      </c>
      <c r="C188" s="1426"/>
      <c r="D188" s="1426"/>
      <c r="E188" s="1426"/>
      <c r="F188" s="1426"/>
      <c r="G188" s="1426"/>
      <c r="H188" s="1426"/>
      <c r="I188" s="1427"/>
      <c r="J188" s="1428">
        <f>(J176*((1+J$11)^0.5)/J$10)</f>
        <v>3.5092033268839432E-2</v>
      </c>
      <c r="K188" s="1423">
        <f ca="1">IF(J212="n/a",J188,IFERROR(IF((OFFSET($C188,0,$A188))&lt;0,
MIN(0,J188-(OFFSET($C188,0,$A188)/(OFFSET($C183,-$A187,$A188)))),
MAX(0,J188-(OFFSET($C188,0,$A188)/(OFFSET($C183,-$A187,$A188))))),0))</f>
        <v>3.3337431605397462E-2</v>
      </c>
      <c r="L188" s="1423">
        <f t="shared" ca="1" si="234"/>
        <v>3.1582829941955493E-2</v>
      </c>
      <c r="M188" s="1423">
        <f t="shared" ca="1" si="235"/>
        <v>2.982822827851352E-2</v>
      </c>
      <c r="N188" s="1423">
        <f t="shared" ca="1" si="236"/>
        <v>2.8073626615071547E-2</v>
      </c>
      <c r="O188" s="1423">
        <f t="shared" ca="1" si="237"/>
        <v>2.6319024951629574E-2</v>
      </c>
      <c r="P188" s="1423">
        <f t="shared" ca="1" si="238"/>
        <v>2.4564423288187601E-2</v>
      </c>
      <c r="Q188" s="1423">
        <f t="shared" ca="1" si="239"/>
        <v>2.2809821624745628E-2</v>
      </c>
      <c r="R188" s="1423">
        <f t="shared" ca="1" si="240"/>
        <v>2.1055219961303655E-2</v>
      </c>
      <c r="S188" s="1423">
        <f t="shared" ca="1" si="241"/>
        <v>1.9300618297861682E-2</v>
      </c>
      <c r="T188" s="1423">
        <f t="shared" ca="1" si="242"/>
        <v>1.7546016634419709E-2</v>
      </c>
      <c r="U188" s="1423">
        <f t="shared" ca="1" si="243"/>
        <v>1.5791414970977736E-2</v>
      </c>
      <c r="V188" s="1423">
        <f t="shared" ca="1" si="244"/>
        <v>1.4036813307535765E-2</v>
      </c>
      <c r="W188" s="1423">
        <f t="shared" ca="1" si="245"/>
        <v>1.2282211644093793E-2</v>
      </c>
      <c r="X188" s="202"/>
      <c r="Y188" s="202"/>
      <c r="Z188" s="202"/>
      <c r="AA188" s="152"/>
      <c r="AB188" s="152"/>
    </row>
    <row r="189" spans="1:28" hidden="1" outlineLevel="1">
      <c r="A189" s="199">
        <f t="shared" si="246"/>
        <v>8</v>
      </c>
      <c r="B189" s="190" t="str">
        <f t="shared" ca="1" si="247"/>
        <v>Depreciated Net Capex 2023-24</v>
      </c>
      <c r="C189" s="1426"/>
      <c r="D189" s="1426"/>
      <c r="E189" s="1426"/>
      <c r="F189" s="1426"/>
      <c r="G189" s="1426"/>
      <c r="H189" s="1426"/>
      <c r="I189" s="1426"/>
      <c r="J189" s="1427"/>
      <c r="K189" s="1428">
        <f>(K176*((1+K$11)^0.5)/K$10)</f>
        <v>0</v>
      </c>
      <c r="L189" s="1423">
        <f ca="1">IF(K213="n/a",K189,IFERROR(IF((OFFSET($C189,0,$A189))&lt;0,
MIN(0,K189-(OFFSET($C189,0,$A189)/(OFFSET($C184,-$A188,$A189)))),
MAX(0,K189-(OFFSET($C189,0,$A189)/(OFFSET($C184,-$A188,$A189))))),0))</f>
        <v>0</v>
      </c>
      <c r="M189" s="1423">
        <f t="shared" ca="1" si="235"/>
        <v>0</v>
      </c>
      <c r="N189" s="1423">
        <f t="shared" ca="1" si="236"/>
        <v>0</v>
      </c>
      <c r="O189" s="1423">
        <f t="shared" ca="1" si="237"/>
        <v>0</v>
      </c>
      <c r="P189" s="1423">
        <f t="shared" ca="1" si="238"/>
        <v>0</v>
      </c>
      <c r="Q189" s="1423">
        <f t="shared" ca="1" si="239"/>
        <v>0</v>
      </c>
      <c r="R189" s="1423">
        <f t="shared" ca="1" si="240"/>
        <v>0</v>
      </c>
      <c r="S189" s="1423">
        <f t="shared" ca="1" si="241"/>
        <v>0</v>
      </c>
      <c r="T189" s="1423">
        <f t="shared" ca="1" si="242"/>
        <v>0</v>
      </c>
      <c r="U189" s="1423">
        <f t="shared" ca="1" si="243"/>
        <v>0</v>
      </c>
      <c r="V189" s="1423">
        <f t="shared" ca="1" si="244"/>
        <v>0</v>
      </c>
      <c r="W189" s="1423">
        <f t="shared" ca="1" si="245"/>
        <v>0</v>
      </c>
      <c r="X189" s="202"/>
      <c r="Y189" s="202"/>
      <c r="Z189" s="202"/>
      <c r="AA189" s="152"/>
      <c r="AB189" s="152"/>
    </row>
    <row r="190" spans="1:28" hidden="1" outlineLevel="1">
      <c r="A190" s="199">
        <f t="shared" si="246"/>
        <v>9</v>
      </c>
      <c r="B190" s="190" t="str">
        <f t="shared" ca="1" si="247"/>
        <v>Depreciated Net Capex 2024-25</v>
      </c>
      <c r="C190" s="1426"/>
      <c r="D190" s="1426"/>
      <c r="E190" s="1426"/>
      <c r="F190" s="1426"/>
      <c r="G190" s="1426"/>
      <c r="H190" s="1426"/>
      <c r="I190" s="1426"/>
      <c r="J190" s="1426"/>
      <c r="K190" s="1427"/>
      <c r="L190" s="1428">
        <f>(L176*((1+L$11)^0.5)/L$10)</f>
        <v>0</v>
      </c>
      <c r="M190" s="1423">
        <f ca="1">IF(L214="n/a",L190,IFERROR(IF((OFFSET($C190,0,$A190))&lt;0,
MIN(0,L190-(OFFSET($C190,0,$A190)/(OFFSET($C185,-$A189,$A190)))),
MAX(0,L190-(OFFSET($C190,0,$A190)/(OFFSET($C185,-$A189,$A190))))),0))</f>
        <v>0</v>
      </c>
      <c r="N190" s="1423">
        <f t="shared" ca="1" si="236"/>
        <v>0</v>
      </c>
      <c r="O190" s="1423">
        <f t="shared" ca="1" si="237"/>
        <v>0</v>
      </c>
      <c r="P190" s="1423">
        <f t="shared" ca="1" si="238"/>
        <v>0</v>
      </c>
      <c r="Q190" s="1423">
        <f t="shared" ca="1" si="239"/>
        <v>0</v>
      </c>
      <c r="R190" s="1423">
        <f t="shared" ca="1" si="240"/>
        <v>0</v>
      </c>
      <c r="S190" s="1423">
        <f t="shared" ca="1" si="241"/>
        <v>0</v>
      </c>
      <c r="T190" s="1423">
        <f t="shared" ca="1" si="242"/>
        <v>0</v>
      </c>
      <c r="U190" s="1423">
        <f t="shared" ca="1" si="243"/>
        <v>0</v>
      </c>
      <c r="V190" s="1423">
        <f t="shared" ca="1" si="244"/>
        <v>0</v>
      </c>
      <c r="W190" s="1423">
        <f t="shared" ca="1" si="245"/>
        <v>0</v>
      </c>
      <c r="X190" s="202"/>
      <c r="Y190" s="202"/>
      <c r="Z190" s="202"/>
      <c r="AA190" s="152"/>
      <c r="AB190" s="152"/>
    </row>
    <row r="191" spans="1:28" hidden="1" outlineLevel="1">
      <c r="A191" s="199">
        <f t="shared" si="246"/>
        <v>10</v>
      </c>
      <c r="B191" s="190" t="str">
        <f t="shared" ca="1" si="247"/>
        <v>Depreciated Net Capex 2025-26</v>
      </c>
      <c r="C191" s="1426"/>
      <c r="D191" s="1426"/>
      <c r="E191" s="1426"/>
      <c r="F191" s="1426"/>
      <c r="G191" s="1426"/>
      <c r="H191" s="1426"/>
      <c r="I191" s="1426"/>
      <c r="J191" s="1426"/>
      <c r="K191" s="1426"/>
      <c r="L191" s="1427"/>
      <c r="M191" s="1428">
        <f>(M176*((1+M$11)^0.5)/M$10)</f>
        <v>0</v>
      </c>
      <c r="N191" s="1423">
        <f ca="1">IF(M215="n/a",M191,IFERROR(IF((OFFSET($C191,0,$A191))&lt;0,
MIN(0,M191-(OFFSET($C191,0,$A191)/(OFFSET($C186,-$A190,$A191)))),
MAX(0,M191-(OFFSET($C191,0,$A191)/(OFFSET($C186,-$A190,$A191))))),0))</f>
        <v>0</v>
      </c>
      <c r="O191" s="1423">
        <f t="shared" ca="1" si="237"/>
        <v>0</v>
      </c>
      <c r="P191" s="1423">
        <f t="shared" ca="1" si="238"/>
        <v>0</v>
      </c>
      <c r="Q191" s="1423">
        <f t="shared" ca="1" si="239"/>
        <v>0</v>
      </c>
      <c r="R191" s="1423">
        <f t="shared" ca="1" si="240"/>
        <v>0</v>
      </c>
      <c r="S191" s="1423">
        <f t="shared" ca="1" si="241"/>
        <v>0</v>
      </c>
      <c r="T191" s="1423">
        <f t="shared" ca="1" si="242"/>
        <v>0</v>
      </c>
      <c r="U191" s="1423">
        <f t="shared" ca="1" si="243"/>
        <v>0</v>
      </c>
      <c r="V191" s="1423">
        <f t="shared" ca="1" si="244"/>
        <v>0</v>
      </c>
      <c r="W191" s="1423">
        <f t="shared" ca="1" si="245"/>
        <v>0</v>
      </c>
      <c r="X191" s="202"/>
      <c r="Y191" s="202"/>
      <c r="Z191" s="202"/>
      <c r="AA191" s="152"/>
      <c r="AB191" s="152"/>
    </row>
    <row r="192" spans="1:28" hidden="1" outlineLevel="1">
      <c r="A192" s="199">
        <f t="shared" si="246"/>
        <v>11</v>
      </c>
      <c r="B192" s="190" t="str">
        <f t="shared" ca="1" si="247"/>
        <v>Depreciated Net Capex 2026-27</v>
      </c>
      <c r="C192" s="1426"/>
      <c r="D192" s="1426"/>
      <c r="E192" s="1426"/>
      <c r="F192" s="1426"/>
      <c r="G192" s="1426"/>
      <c r="H192" s="1426"/>
      <c r="I192" s="1426"/>
      <c r="J192" s="1426"/>
      <c r="K192" s="1426"/>
      <c r="L192" s="1426"/>
      <c r="M192" s="1427"/>
      <c r="N192" s="1428">
        <f>(N176*((1+N$11)^0.5)/N$10)</f>
        <v>0</v>
      </c>
      <c r="O192" s="1423">
        <f ca="1">IF(N216="n/a",N192,IFERROR(IF((OFFSET($C192,0,$A192))&lt;0,
MIN(0,N192-(OFFSET($C192,0,$A192)/(OFFSET($C187,-$A191,$A192)))),
MAX(0,N192-(OFFSET($C192,0,$A192)/(OFFSET($C187,-$A191,$A192))))),0))</f>
        <v>0</v>
      </c>
      <c r="P192" s="1423">
        <f t="shared" ca="1" si="238"/>
        <v>0</v>
      </c>
      <c r="Q192" s="1423">
        <f t="shared" ca="1" si="239"/>
        <v>0</v>
      </c>
      <c r="R192" s="1423">
        <f t="shared" ca="1" si="240"/>
        <v>0</v>
      </c>
      <c r="S192" s="1423">
        <f t="shared" ca="1" si="241"/>
        <v>0</v>
      </c>
      <c r="T192" s="1423">
        <f t="shared" ca="1" si="242"/>
        <v>0</v>
      </c>
      <c r="U192" s="1423">
        <f t="shared" ca="1" si="243"/>
        <v>0</v>
      </c>
      <c r="V192" s="1423">
        <f t="shared" ca="1" si="244"/>
        <v>0</v>
      </c>
      <c r="W192" s="1423">
        <f t="shared" ca="1" si="245"/>
        <v>0</v>
      </c>
      <c r="X192" s="202"/>
      <c r="Y192" s="202"/>
      <c r="Z192" s="202"/>
      <c r="AA192" s="152"/>
      <c r="AB192" s="152"/>
    </row>
    <row r="193" spans="1:28" hidden="1" outlineLevel="1">
      <c r="A193" s="199">
        <f t="shared" si="246"/>
        <v>12</v>
      </c>
      <c r="B193" s="190" t="str">
        <f t="shared" ca="1" si="247"/>
        <v>Depreciated Net Capex 2027-28</v>
      </c>
      <c r="C193" s="1426"/>
      <c r="D193" s="1426"/>
      <c r="E193" s="1426"/>
      <c r="F193" s="1426"/>
      <c r="G193" s="1426"/>
      <c r="H193" s="1426"/>
      <c r="I193" s="1426"/>
      <c r="J193" s="1426"/>
      <c r="K193" s="1426"/>
      <c r="L193" s="1426"/>
      <c r="M193" s="1426"/>
      <c r="N193" s="1427"/>
      <c r="O193" s="1428">
        <f>(O176*((1+O$11)^0.5)/O$10)</f>
        <v>0</v>
      </c>
      <c r="P193" s="1423">
        <f ca="1">IF(O217="n/a",O193,IFERROR(IF((OFFSET($C193,0,$A193))&lt;0,
MIN(0,O193-(OFFSET($C193,0,$A193)/(OFFSET($C188,-$A192,$A193)))),
MAX(0,O193-(OFFSET($C193,0,$A193)/(OFFSET($C188,-$A192,$A193))))),0))</f>
        <v>0</v>
      </c>
      <c r="Q193" s="1423">
        <f t="shared" ca="1" si="239"/>
        <v>0</v>
      </c>
      <c r="R193" s="1423">
        <f t="shared" ca="1" si="240"/>
        <v>0</v>
      </c>
      <c r="S193" s="1423">
        <f t="shared" ca="1" si="241"/>
        <v>0</v>
      </c>
      <c r="T193" s="1423">
        <f t="shared" ca="1" si="242"/>
        <v>0</v>
      </c>
      <c r="U193" s="1423">
        <f t="shared" ca="1" si="243"/>
        <v>0</v>
      </c>
      <c r="V193" s="1423">
        <f t="shared" ca="1" si="244"/>
        <v>0</v>
      </c>
      <c r="W193" s="1423">
        <f t="shared" ca="1" si="245"/>
        <v>0</v>
      </c>
      <c r="X193" s="202"/>
      <c r="Y193" s="202"/>
      <c r="Z193" s="202"/>
      <c r="AA193" s="152"/>
      <c r="AB193" s="152"/>
    </row>
    <row r="194" spans="1:28" hidden="1" outlineLevel="1">
      <c r="A194" s="199">
        <f t="shared" si="246"/>
        <v>13</v>
      </c>
      <c r="B194" s="190" t="str">
        <f t="shared" ca="1" si="247"/>
        <v>Depreciated Net Capex 2028-29</v>
      </c>
      <c r="C194" s="1426"/>
      <c r="D194" s="1426"/>
      <c r="E194" s="1426"/>
      <c r="F194" s="1426"/>
      <c r="G194" s="1426"/>
      <c r="H194" s="1426"/>
      <c r="I194" s="1426"/>
      <c r="J194" s="1426"/>
      <c r="K194" s="1426"/>
      <c r="L194" s="1426"/>
      <c r="M194" s="1426"/>
      <c r="N194" s="1426"/>
      <c r="O194" s="1427"/>
      <c r="P194" s="1428">
        <f>(P176*((1+P$11)^0.5)/P$10)</f>
        <v>0</v>
      </c>
      <c r="Q194" s="1423">
        <f ca="1">IF(P218="n/a",P194,IFERROR(IF((OFFSET($C194,0,$A194))&lt;0,
MIN(0,P194-(OFFSET($C194,0,$A194)/(OFFSET($C189,-$A193,$A194)))),
MAX(0,P194-(OFFSET($C194,0,$A194)/(OFFSET($C189,-$A193,$A194))))),0))</f>
        <v>0</v>
      </c>
      <c r="R194" s="1423">
        <f t="shared" ca="1" si="240"/>
        <v>0</v>
      </c>
      <c r="S194" s="1423">
        <f t="shared" ca="1" si="241"/>
        <v>0</v>
      </c>
      <c r="T194" s="1423">
        <f t="shared" ca="1" si="242"/>
        <v>0</v>
      </c>
      <c r="U194" s="1423">
        <f t="shared" ca="1" si="243"/>
        <v>0</v>
      </c>
      <c r="V194" s="1423">
        <f t="shared" ca="1" si="244"/>
        <v>0</v>
      </c>
      <c r="W194" s="1423">
        <f t="shared" ca="1" si="245"/>
        <v>0</v>
      </c>
      <c r="X194" s="202"/>
      <c r="Y194" s="202"/>
      <c r="Z194" s="202"/>
      <c r="AA194" s="152"/>
      <c r="AB194" s="152"/>
    </row>
    <row r="195" spans="1:28" hidden="1" outlineLevel="1">
      <c r="A195" s="199">
        <f t="shared" si="246"/>
        <v>14</v>
      </c>
      <c r="B195" s="190" t="str">
        <f t="shared" ca="1" si="247"/>
        <v>Depreciated Net Capex 2029-30</v>
      </c>
      <c r="C195" s="1426"/>
      <c r="D195" s="1426"/>
      <c r="E195" s="1426"/>
      <c r="F195" s="1426"/>
      <c r="G195" s="1426"/>
      <c r="H195" s="1426"/>
      <c r="I195" s="1426"/>
      <c r="J195" s="1426"/>
      <c r="K195" s="1426"/>
      <c r="L195" s="1426"/>
      <c r="M195" s="1426"/>
      <c r="N195" s="1426"/>
      <c r="O195" s="1426"/>
      <c r="P195" s="1427"/>
      <c r="Q195" s="1428">
        <f>(Q176*((1+Q$11)^0.5)/Q$10)</f>
        <v>0</v>
      </c>
      <c r="R195" s="1423">
        <f ca="1">IF(Q219="n/a",Q195,IFERROR(IF((OFFSET($C195,0,$A195))&lt;0,
MIN(0,Q195-(OFFSET($C195,0,$A195)/(OFFSET($C190,-$A194,$A195)))),
MAX(0,Q195-(OFFSET($C195,0,$A195)/(OFFSET($C190,-$A194,$A195))))),0))</f>
        <v>0</v>
      </c>
      <c r="S195" s="1423">
        <f t="shared" ca="1" si="241"/>
        <v>0</v>
      </c>
      <c r="T195" s="1423">
        <f t="shared" ca="1" si="242"/>
        <v>0</v>
      </c>
      <c r="U195" s="1423">
        <f t="shared" ca="1" si="243"/>
        <v>0</v>
      </c>
      <c r="V195" s="1423">
        <f t="shared" ca="1" si="244"/>
        <v>0</v>
      </c>
      <c r="W195" s="1423">
        <f t="shared" ca="1" si="245"/>
        <v>0</v>
      </c>
      <c r="X195" s="202"/>
      <c r="Y195" s="202"/>
      <c r="Z195" s="202"/>
      <c r="AA195" s="152"/>
      <c r="AB195" s="152"/>
    </row>
    <row r="196" spans="1:28" hidden="1" outlineLevel="1">
      <c r="A196" s="199">
        <f t="shared" si="246"/>
        <v>15</v>
      </c>
      <c r="B196" s="190" t="str">
        <f t="shared" ca="1" si="247"/>
        <v>Depreciated Net Capex 2030-31</v>
      </c>
      <c r="C196" s="1426"/>
      <c r="D196" s="1426"/>
      <c r="E196" s="1426"/>
      <c r="F196" s="1426"/>
      <c r="G196" s="1426"/>
      <c r="H196" s="1426"/>
      <c r="I196" s="1426"/>
      <c r="J196" s="1426"/>
      <c r="K196" s="1426"/>
      <c r="L196" s="1426"/>
      <c r="M196" s="1426"/>
      <c r="N196" s="1426"/>
      <c r="O196" s="1426"/>
      <c r="P196" s="1426"/>
      <c r="Q196" s="1427"/>
      <c r="R196" s="1428">
        <f>(R176*((1+R$11)^0.5)/R$10)</f>
        <v>0</v>
      </c>
      <c r="S196" s="1423">
        <f ca="1">IF(R220="n/a",R196,IFERROR(IF((OFFSET($C196,0,$A196))&lt;0,
MIN(0,R196-(OFFSET($C196,0,$A196)/(OFFSET($C191,-$A195,$A196)))),
MAX(0,R196-(OFFSET($C196,0,$A196)/(OFFSET($C191,-$A195,$A196))))),0))</f>
        <v>0</v>
      </c>
      <c r="T196" s="1423">
        <f t="shared" ca="1" si="242"/>
        <v>0</v>
      </c>
      <c r="U196" s="1423">
        <f t="shared" ca="1" si="243"/>
        <v>0</v>
      </c>
      <c r="V196" s="1423">
        <f t="shared" ca="1" si="244"/>
        <v>0</v>
      </c>
      <c r="W196" s="1423">
        <f t="shared" ca="1" si="245"/>
        <v>0</v>
      </c>
      <c r="X196" s="202"/>
      <c r="Y196" s="202"/>
      <c r="Z196" s="202"/>
      <c r="AA196" s="152"/>
      <c r="AB196" s="152"/>
    </row>
    <row r="197" spans="1:28" hidden="1" outlineLevel="1">
      <c r="A197" s="199">
        <f t="shared" si="246"/>
        <v>16</v>
      </c>
      <c r="B197" s="190" t="str">
        <f t="shared" ca="1" si="247"/>
        <v>Depreciated Net Capex 2031-32</v>
      </c>
      <c r="C197" s="1426"/>
      <c r="D197" s="1426"/>
      <c r="E197" s="1426"/>
      <c r="F197" s="1426"/>
      <c r="G197" s="1426"/>
      <c r="H197" s="1426"/>
      <c r="I197" s="1426"/>
      <c r="J197" s="1426"/>
      <c r="K197" s="1426"/>
      <c r="L197" s="1426"/>
      <c r="M197" s="1426"/>
      <c r="N197" s="1426"/>
      <c r="O197" s="1426"/>
      <c r="P197" s="1426"/>
      <c r="Q197" s="1426"/>
      <c r="R197" s="1427"/>
      <c r="S197" s="1428">
        <f>(S176*((1+S$11)^0.5)/S$10)</f>
        <v>0</v>
      </c>
      <c r="T197" s="1423">
        <f ca="1">IF(S221="n/a",S197,IFERROR(IF((OFFSET($C197,0,$A197))&lt;0,
MIN(0,S197-(OFFSET($C197,0,$A197)/(OFFSET($C192,-$A196,$A197)))),
MAX(0,S197-(OFFSET($C197,0,$A197)/(OFFSET($C192,-$A196,$A197))))),0))</f>
        <v>0</v>
      </c>
      <c r="U197" s="1423">
        <f t="shared" ca="1" si="243"/>
        <v>0</v>
      </c>
      <c r="V197" s="1423">
        <f t="shared" ca="1" si="244"/>
        <v>0</v>
      </c>
      <c r="W197" s="1423">
        <f t="shared" ca="1" si="245"/>
        <v>0</v>
      </c>
      <c r="X197" s="202"/>
      <c r="Y197" s="202"/>
      <c r="Z197" s="202"/>
      <c r="AA197" s="152"/>
      <c r="AB197" s="152"/>
    </row>
    <row r="198" spans="1:28" hidden="1" outlineLevel="1">
      <c r="A198" s="199">
        <f t="shared" si="246"/>
        <v>17</v>
      </c>
      <c r="B198" s="190" t="str">
        <f t="shared" ca="1" si="247"/>
        <v>Depreciated Net Capex 2032-33</v>
      </c>
      <c r="C198" s="1426"/>
      <c r="D198" s="1426"/>
      <c r="E198" s="1426"/>
      <c r="F198" s="1426"/>
      <c r="G198" s="1426"/>
      <c r="H198" s="1426"/>
      <c r="I198" s="1426"/>
      <c r="J198" s="1426"/>
      <c r="K198" s="1426"/>
      <c r="L198" s="1426"/>
      <c r="M198" s="1426"/>
      <c r="N198" s="1426"/>
      <c r="O198" s="1426"/>
      <c r="P198" s="1426"/>
      <c r="Q198" s="1426"/>
      <c r="R198" s="1426"/>
      <c r="S198" s="1427"/>
      <c r="T198" s="1428">
        <f>(T176*((1+T$11)^0.5)/T$10)</f>
        <v>0</v>
      </c>
      <c r="U198" s="1423">
        <f ca="1">IF(T222="n/a",T198,IFERROR(IF((OFFSET($C198,0,$A198))&lt;0,
MIN(0,T198-(OFFSET($C198,0,$A198)/(OFFSET($C193,-$A197,$A198)))),
MAX(0,T198-(OFFSET($C198,0,$A198)/(OFFSET($C193,-$A197,$A198))))),0))</f>
        <v>0</v>
      </c>
      <c r="V198" s="1423">
        <f t="shared" ca="1" si="244"/>
        <v>0</v>
      </c>
      <c r="W198" s="1423">
        <f t="shared" ca="1" si="245"/>
        <v>0</v>
      </c>
      <c r="X198" s="202"/>
      <c r="Y198" s="202"/>
      <c r="Z198" s="202"/>
      <c r="AA198" s="152"/>
      <c r="AB198" s="152"/>
    </row>
    <row r="199" spans="1:28" hidden="1" outlineLevel="1">
      <c r="A199" s="199">
        <f t="shared" si="246"/>
        <v>18</v>
      </c>
      <c r="B199" s="190" t="str">
        <f t="shared" ca="1" si="247"/>
        <v>Depreciated Net Capex 2033-34</v>
      </c>
      <c r="C199" s="1426"/>
      <c r="D199" s="1426"/>
      <c r="E199" s="1426"/>
      <c r="F199" s="1426"/>
      <c r="G199" s="1426"/>
      <c r="H199" s="1426"/>
      <c r="I199" s="1426"/>
      <c r="J199" s="1426"/>
      <c r="K199" s="1426"/>
      <c r="L199" s="1426"/>
      <c r="M199" s="1426"/>
      <c r="N199" s="1426"/>
      <c r="O199" s="1426"/>
      <c r="P199" s="1426"/>
      <c r="Q199" s="1426"/>
      <c r="R199" s="1426"/>
      <c r="S199" s="1426"/>
      <c r="T199" s="1427"/>
      <c r="U199" s="1428">
        <f>(U176*((1+U$11)^0.5)/U$10)</f>
        <v>0</v>
      </c>
      <c r="V199" s="1423">
        <f ca="1">IF(U223="n/a",U199,IFERROR(IF((OFFSET($C199,0,$A199))&lt;0,
MIN(0,U199-(OFFSET($C199,0,$A199)/(OFFSET($C194,-$A198,$A199)))),
MAX(0,U199-(OFFSET($C199,0,$A199)/(OFFSET($C194,-$A198,$A199))))),0))</f>
        <v>0</v>
      </c>
      <c r="W199" s="1423">
        <f t="shared" ca="1" si="245"/>
        <v>0</v>
      </c>
      <c r="X199" s="202"/>
      <c r="Y199" s="202"/>
      <c r="Z199" s="202"/>
      <c r="AA199" s="152"/>
      <c r="AB199" s="152"/>
    </row>
    <row r="200" spans="1:28" hidden="1" outlineLevel="1">
      <c r="A200" s="199">
        <f t="shared" si="246"/>
        <v>19</v>
      </c>
      <c r="B200" s="190" t="str">
        <f t="shared" ca="1" si="247"/>
        <v>Depreciated Net Capex 2034-35</v>
      </c>
      <c r="C200" s="1426"/>
      <c r="D200" s="1426"/>
      <c r="E200" s="1426"/>
      <c r="F200" s="1426"/>
      <c r="G200" s="1426"/>
      <c r="H200" s="1426"/>
      <c r="I200" s="1426"/>
      <c r="J200" s="1426"/>
      <c r="K200" s="1426"/>
      <c r="L200" s="1426"/>
      <c r="M200" s="1426"/>
      <c r="N200" s="1426"/>
      <c r="O200" s="1426"/>
      <c r="P200" s="1426"/>
      <c r="Q200" s="1426"/>
      <c r="R200" s="1426"/>
      <c r="S200" s="1426"/>
      <c r="T200" s="1426"/>
      <c r="U200" s="1427"/>
      <c r="V200" s="1428">
        <f>(V176*((1+V$11)^0.5)/V$10)</f>
        <v>0</v>
      </c>
      <c r="W200" s="1423">
        <f ca="1">IF(V224="n/a",V200,IFERROR(IF((OFFSET($C200,0,$A200))&lt;0,
MIN(0,V200-(OFFSET($C200,0,$A200)/(OFFSET($C195,-$A199,$A200)))),
MAX(0,V200-(OFFSET($C200,0,$A200)/(OFFSET($C195,-$A199,$A200))))),0))</f>
        <v>0</v>
      </c>
      <c r="X200" s="202"/>
      <c r="Y200" s="202"/>
      <c r="Z200" s="202"/>
      <c r="AA200" s="152"/>
      <c r="AB200" s="152"/>
    </row>
    <row r="201" spans="1:28" hidden="1" outlineLevel="1">
      <c r="A201" s="199">
        <f t="shared" si="246"/>
        <v>20</v>
      </c>
      <c r="B201" s="190" t="str">
        <f ca="1">"Depreciated Net Capex "&amp;OFFSET($C$6,0,A201)</f>
        <v>Depreciated Net Capex 2035-36</v>
      </c>
      <c r="C201" s="1426"/>
      <c r="D201" s="1426"/>
      <c r="E201" s="1426"/>
      <c r="F201" s="1426"/>
      <c r="G201" s="1426"/>
      <c r="H201" s="1426"/>
      <c r="I201" s="1426"/>
      <c r="J201" s="1426"/>
      <c r="K201" s="1426"/>
      <c r="L201" s="1426"/>
      <c r="M201" s="1426"/>
      <c r="N201" s="1426"/>
      <c r="O201" s="1426"/>
      <c r="P201" s="1426"/>
      <c r="Q201" s="1426"/>
      <c r="R201" s="1426"/>
      <c r="S201" s="1426"/>
      <c r="T201" s="1426"/>
      <c r="U201" s="1426"/>
      <c r="V201" s="1427"/>
      <c r="W201" s="1423">
        <f>(W176*((1+W$11)^0.5)/W$10)</f>
        <v>0</v>
      </c>
      <c r="X201" s="152"/>
      <c r="Y201" s="152"/>
      <c r="Z201" s="152"/>
      <c r="AA201" s="152"/>
      <c r="AB201" s="152"/>
    </row>
    <row r="202" spans="1:28" hidden="1" outlineLevel="1">
      <c r="A202" s="152"/>
      <c r="B202" s="200"/>
      <c r="C202" s="1423"/>
      <c r="D202" s="1423"/>
      <c r="E202" s="1423"/>
      <c r="F202" s="1423"/>
      <c r="G202" s="1423"/>
      <c r="H202" s="1423"/>
      <c r="I202" s="1423"/>
      <c r="J202" s="1423"/>
      <c r="K202" s="1423"/>
      <c r="L202" s="1423"/>
      <c r="M202" s="1423"/>
      <c r="N202" s="1423"/>
      <c r="O202" s="1423"/>
      <c r="P202" s="1423"/>
      <c r="Q202" s="1423"/>
      <c r="R202" s="1423"/>
      <c r="S202" s="1423"/>
      <c r="T202" s="1423"/>
      <c r="U202" s="1423"/>
      <c r="V202" s="1423"/>
      <c r="W202" s="1423"/>
      <c r="X202" s="152"/>
      <c r="Y202" s="152"/>
      <c r="Z202" s="152"/>
      <c r="AA202" s="152"/>
      <c r="AB202" s="152"/>
    </row>
    <row r="203" spans="1:28" hidden="1" outlineLevel="1">
      <c r="A203" s="152"/>
      <c r="B203" s="200"/>
      <c r="C203" s="1423"/>
      <c r="D203" s="1423"/>
      <c r="E203" s="1423"/>
      <c r="F203" s="1423"/>
      <c r="G203" s="1423"/>
      <c r="H203" s="1423"/>
      <c r="I203" s="1423"/>
      <c r="J203" s="1423"/>
      <c r="K203" s="1423"/>
      <c r="L203" s="1423"/>
      <c r="M203" s="1423"/>
      <c r="N203" s="1423"/>
      <c r="O203" s="1423"/>
      <c r="P203" s="1423"/>
      <c r="Q203" s="1423"/>
      <c r="R203" s="1423"/>
      <c r="S203" s="1423"/>
      <c r="T203" s="1423"/>
      <c r="U203" s="1423"/>
      <c r="V203" s="1423"/>
      <c r="W203" s="1423"/>
      <c r="X203" s="152"/>
      <c r="Y203" s="152"/>
      <c r="Z203" s="152"/>
      <c r="AA203" s="152"/>
      <c r="AB203" s="152"/>
    </row>
    <row r="204" spans="1:28" hidden="1" outlineLevel="1">
      <c r="A204" s="152"/>
      <c r="B204" s="190" t="s">
        <v>190</v>
      </c>
      <c r="C204" s="1423"/>
      <c r="D204" s="1423">
        <f ca="1">IF(AND(C204&lt;1,D178=0),0,
IF(D178=0,C204-1,
IF(C204&lt;1,D179,
(((C204-1)*(C180-(C180/(C204))))+((D178/D$10)*D179))/(D180))))</f>
        <v>0</v>
      </c>
      <c r="E204" s="1423">
        <f t="shared" ref="E204" ca="1" si="248">IF(AND(D204&lt;1,E178=0),0,
IF(E178=0,D204-1,
IF(D204&lt;1,E179,
(((D204-1)*(D180-(D180/(D204))))+((E178/E$10)*E179))/(E180))))</f>
        <v>0</v>
      </c>
      <c r="F204" s="1423">
        <f t="shared" ref="F204" ca="1" si="249">IF(AND(E204&lt;1,F178=0),0,
IF(F178=0,E204-1,
IF(E204&lt;1,F179,
(((E204-1)*(E180-(E180/(E204))))+((F178/F$10)*F179))/(F180))))</f>
        <v>0</v>
      </c>
      <c r="G204" s="1423">
        <f t="shared" ref="G204" ca="1" si="250">IF(AND(F204&lt;1,G178=0),0,
IF(G178=0,F204-1,
IF(F204&lt;1,G179,
(((F204-1)*(F180-(F180/(F204))))+((G178/G$10)*G179))/(G180))))</f>
        <v>0</v>
      </c>
      <c r="H204" s="1423">
        <f t="shared" ref="H204" ca="1" si="251">IF(AND(G204&lt;1,H178=0),0,
IF(H178=0,G204-1,
IF(G204&lt;1,H179,
(((G204-1)*(G180-(G180/(G204))))+((H178/H$10)*H179))/(H180))))</f>
        <v>0</v>
      </c>
      <c r="I204" s="1423">
        <f t="shared" ref="I204" ca="1" si="252">IF(AND(H204&lt;1,I178=0),0,
IF(I178=0,H204-1,
IF(H204&lt;1,I179,
(((H204-1)*(H180-(H180/(H204))))+((I178/I$10)*I179))/(I180))))</f>
        <v>0</v>
      </c>
      <c r="J204" s="1423">
        <f t="shared" ref="J204" ca="1" si="253">IF(AND(I204&lt;1,J178=0),0,
IF(J178=0,I204-1,
IF(I204&lt;1,J179,
(((I204-1)*(I180-(I180/(I204))))+((J178/J$10)*J179))/(J180))))</f>
        <v>0</v>
      </c>
      <c r="K204" s="1423">
        <f t="shared" ref="K204" ca="1" si="254">IF(AND(J204&lt;1,K178=0),0,
IF(K178=0,J204-1,
IF(J204&lt;1,K179,
(((J204-1)*(J180-(J180/(J204))))+((K178/K$10)*K179))/(K180))))</f>
        <v>0</v>
      </c>
      <c r="L204" s="1423">
        <f t="shared" ref="L204" ca="1" si="255">IF(AND(K204&lt;1,L178=0),0,
IF(L178=0,K204-1,
IF(K204&lt;1,L179,
(((K204-1)*(K180-(K180/(K204))))+((L178/L$10)*L179))/(L180))))</f>
        <v>0</v>
      </c>
      <c r="M204" s="1423">
        <f t="shared" ref="M204" ca="1" si="256">IF(AND(L204&lt;1,M178=0),0,
IF(M178=0,L204-1,
IF(L204&lt;1,M179,
(((L204-1)*(L180-(L180/(L204))))+((M178/M$10)*M179))/(M180))))</f>
        <v>0</v>
      </c>
      <c r="N204" s="1423">
        <f t="shared" ref="N204" ca="1" si="257">IF(AND(M204&lt;1,N178=0),0,
IF(N178=0,M204-1,
IF(M204&lt;1,N179,
(((M204-1)*(M180-(M180/(M204))))+((N178/N$10)*N179))/(N180))))</f>
        <v>0</v>
      </c>
      <c r="O204" s="1423">
        <f t="shared" ref="O204" ca="1" si="258">IF(AND(N204&lt;1,O178=0),0,
IF(O178=0,N204-1,
IF(N204&lt;1,O179,
(((N204-1)*(N180-(N180/(N204))))+((O178/O$10)*O179))/(O180))))</f>
        <v>0</v>
      </c>
      <c r="P204" s="1423">
        <f t="shared" ref="P204" ca="1" si="259">IF(AND(O204&lt;1,P178=0),0,
IF(P178=0,O204-1,
IF(O204&lt;1,P179,
(((O204-1)*(O180-(O180/(O204))))+((P178/P$10)*P179))/(P180))))</f>
        <v>0</v>
      </c>
      <c r="Q204" s="1423">
        <f t="shared" ref="Q204" ca="1" si="260">IF(AND(P204&lt;1,Q178=0),0,
IF(Q178=0,P204-1,
IF(P204&lt;1,Q179,
(((P204-1)*(P180-(P180/(P204))))+((Q178/Q$10)*Q179))/(Q180))))</f>
        <v>0</v>
      </c>
      <c r="R204" s="1423">
        <f t="shared" ref="R204" ca="1" si="261">IF(AND(Q204&lt;1,R178=0),0,
IF(R178=0,Q204-1,
IF(Q204&lt;1,R179,
(((Q204-1)*(Q180-(Q180/(Q204))))+((R178/R$10)*R179))/(R180))))</f>
        <v>0</v>
      </c>
      <c r="S204" s="1423">
        <f t="shared" ref="S204" ca="1" si="262">IF(AND(R204&lt;1,S178=0),0,
IF(S178=0,R204-1,
IF(R204&lt;1,S179,
(((R204-1)*(R180-(R180/(R204))))+((S178/S$10)*S179))/(S180))))</f>
        <v>0</v>
      </c>
      <c r="T204" s="1423">
        <f t="shared" ref="T204" ca="1" si="263">IF(AND(S204&lt;1,T178=0),0,
IF(T178=0,S204-1,
IF(S204&lt;1,T179,
(((S204-1)*(S180-(S180/(S204))))+((T178/T$10)*T179))/(T180))))</f>
        <v>0</v>
      </c>
      <c r="U204" s="1423">
        <f t="shared" ref="U204" ca="1" si="264">IF(AND(T204&lt;1,U178=0),0,
IF(U178=0,T204-1,
IF(T204&lt;1,U179,
(((T204-1)*(T180-(T180/(T204))))+((U178/U$10)*U179))/(U180))))</f>
        <v>0</v>
      </c>
      <c r="V204" s="1423">
        <f t="shared" ref="V204" ca="1" si="265">IF(AND(U204&lt;1,V178=0),0,
IF(V178=0,U204-1,
IF(U204&lt;1,V179,
(((U204-1)*(U180-(U180/(U204))))+((V178/V$10)*V179))/(V180))))</f>
        <v>0</v>
      </c>
      <c r="W204" s="1423">
        <f t="shared" ref="W204" ca="1" si="266">IF(AND(V204&lt;1,W178=0),0,
IF(W178=0,V204-1,
IF(V204&lt;1,W179,
(((V204-1)*(V180-(V180/(V204))))+((W178/W$10)*W179))/(W180))))</f>
        <v>0</v>
      </c>
      <c r="X204" s="152"/>
      <c r="Y204" s="152"/>
      <c r="Z204" s="152"/>
      <c r="AA204" s="152"/>
      <c r="AB204" s="152"/>
    </row>
    <row r="205" spans="1:28" hidden="1" outlineLevel="1">
      <c r="A205" s="152"/>
      <c r="B205" s="190" t="s">
        <v>122</v>
      </c>
      <c r="C205" s="1423">
        <f ca="1">C177</f>
        <v>3.5482112903845522</v>
      </c>
      <c r="D205" s="1423">
        <f t="shared" ref="D205" ca="1" si="267">IF(C205="n/a","n/a",MAX(0,C205-1))</f>
        <v>2.5482112903845522</v>
      </c>
      <c r="E205" s="1423">
        <f t="shared" ref="E205:E206" ca="1" si="268">IF(D205="n/a","n/a",MAX(0,D205-1))</f>
        <v>1.5482112903845522</v>
      </c>
      <c r="F205" s="1423">
        <f t="shared" ref="F205:F207" ca="1" si="269">IF(E205="n/a","n/a",MAX(0,E205-1))</f>
        <v>0.54821129038455219</v>
      </c>
      <c r="G205" s="1423">
        <f t="shared" ref="G205:G208" ca="1" si="270">IF(F205="n/a","n/a",MAX(0,F205-1))</f>
        <v>0</v>
      </c>
      <c r="H205" s="1423">
        <f t="shared" ref="H205:H209" ca="1" si="271">IF(G205="n/a","n/a",MAX(0,G205-1))</f>
        <v>0</v>
      </c>
      <c r="I205" s="1423">
        <f t="shared" ref="I205:I210" ca="1" si="272">IF(H205="n/a","n/a",MAX(0,H205-1))</f>
        <v>0</v>
      </c>
      <c r="J205" s="1423">
        <f t="shared" ref="J205:J211" ca="1" si="273">IF(I205="n/a","n/a",MAX(0,I205-1))</f>
        <v>0</v>
      </c>
      <c r="K205" s="1423">
        <f t="shared" ref="K205:K212" ca="1" si="274">IF(J205="n/a","n/a",MAX(0,J205-1))</f>
        <v>0</v>
      </c>
      <c r="L205" s="1423">
        <f t="shared" ref="L205:L213" ca="1" si="275">IF(K205="n/a","n/a",MAX(0,K205-1))</f>
        <v>0</v>
      </c>
      <c r="M205" s="1423">
        <f t="shared" ref="M205:M214" ca="1" si="276">IF(L205="n/a","n/a",MAX(0,L205-1))</f>
        <v>0</v>
      </c>
      <c r="N205" s="1423">
        <f t="shared" ref="N205:N215" ca="1" si="277">IF(M205="n/a","n/a",MAX(0,M205-1))</f>
        <v>0</v>
      </c>
      <c r="O205" s="1423">
        <f t="shared" ref="O205:O216" ca="1" si="278">IF(N205="n/a","n/a",MAX(0,N205-1))</f>
        <v>0</v>
      </c>
      <c r="P205" s="1423">
        <f t="shared" ref="P205:P217" ca="1" si="279">IF(O205="n/a","n/a",MAX(0,O205-1))</f>
        <v>0</v>
      </c>
      <c r="Q205" s="1423">
        <f t="shared" ref="Q205:Q218" ca="1" si="280">IF(P205="n/a","n/a",MAX(0,P205-1))</f>
        <v>0</v>
      </c>
      <c r="R205" s="1423">
        <f t="shared" ref="R205:R219" ca="1" si="281">IF(Q205="n/a","n/a",MAX(0,Q205-1))</f>
        <v>0</v>
      </c>
      <c r="S205" s="1423">
        <f t="shared" ref="S205:S220" ca="1" si="282">IF(R205="n/a","n/a",MAX(0,R205-1))</f>
        <v>0</v>
      </c>
      <c r="T205" s="1423">
        <f t="shared" ref="T205:T221" ca="1" si="283">IF(S205="n/a","n/a",MAX(0,S205-1))</f>
        <v>0</v>
      </c>
      <c r="U205" s="1423">
        <f t="shared" ref="U205:U222" ca="1" si="284">IF(T205="n/a","n/a",MAX(0,T205-1))</f>
        <v>0</v>
      </c>
      <c r="V205" s="1423">
        <f t="shared" ref="V205:V223" ca="1" si="285">IF(U205="n/a","n/a",MAX(0,U205-1))</f>
        <v>0</v>
      </c>
      <c r="W205" s="1423">
        <f t="shared" ref="W205:W223" ca="1" si="286">IF(V205="n/a","n/a",MAX(0,V205-1))</f>
        <v>0</v>
      </c>
      <c r="X205" s="152"/>
      <c r="Y205" s="152"/>
      <c r="Z205" s="152"/>
      <c r="AA205" s="152"/>
      <c r="AB205" s="152"/>
    </row>
    <row r="206" spans="1:28" hidden="1" outlineLevel="1">
      <c r="A206" s="152"/>
      <c r="B206" s="190" t="str">
        <f t="shared" ref="B206:B225" ca="1" si="287">"RL Capex "&amp;OFFSET($C$6,0,A182)</f>
        <v>RL Capex 2016-17</v>
      </c>
      <c r="C206" s="1424"/>
      <c r="D206" s="1428">
        <f>D177</f>
        <v>20</v>
      </c>
      <c r="E206" s="1423">
        <f t="shared" si="268"/>
        <v>19</v>
      </c>
      <c r="F206" s="1423">
        <f t="shared" si="269"/>
        <v>18</v>
      </c>
      <c r="G206" s="1423">
        <f t="shared" si="270"/>
        <v>17</v>
      </c>
      <c r="H206" s="1423">
        <f t="shared" si="271"/>
        <v>16</v>
      </c>
      <c r="I206" s="1423">
        <f t="shared" si="272"/>
        <v>15</v>
      </c>
      <c r="J206" s="1423">
        <f t="shared" si="273"/>
        <v>14</v>
      </c>
      <c r="K206" s="1423">
        <f t="shared" si="274"/>
        <v>13</v>
      </c>
      <c r="L206" s="1423">
        <f t="shared" si="275"/>
        <v>12</v>
      </c>
      <c r="M206" s="1423">
        <f t="shared" si="276"/>
        <v>11</v>
      </c>
      <c r="N206" s="1423">
        <f t="shared" si="277"/>
        <v>10</v>
      </c>
      <c r="O206" s="1423">
        <f t="shared" si="278"/>
        <v>9</v>
      </c>
      <c r="P206" s="1423">
        <f t="shared" si="279"/>
        <v>8</v>
      </c>
      <c r="Q206" s="1423">
        <f t="shared" si="280"/>
        <v>7</v>
      </c>
      <c r="R206" s="1423">
        <f t="shared" si="281"/>
        <v>6</v>
      </c>
      <c r="S206" s="1423">
        <f t="shared" si="282"/>
        <v>5</v>
      </c>
      <c r="T206" s="1423">
        <f t="shared" si="283"/>
        <v>4</v>
      </c>
      <c r="U206" s="1423">
        <f t="shared" si="284"/>
        <v>3</v>
      </c>
      <c r="V206" s="1423">
        <f t="shared" si="285"/>
        <v>2</v>
      </c>
      <c r="W206" s="1423">
        <f t="shared" si="286"/>
        <v>1</v>
      </c>
      <c r="X206" s="152"/>
      <c r="Y206" s="152"/>
      <c r="Z206" s="152"/>
      <c r="AA206" s="152"/>
      <c r="AB206" s="152"/>
    </row>
    <row r="207" spans="1:28" hidden="1" outlineLevel="1">
      <c r="A207" s="152"/>
      <c r="B207" s="190" t="str">
        <f t="shared" ca="1" si="287"/>
        <v>RL Capex 2017-18</v>
      </c>
      <c r="C207" s="1429"/>
      <c r="D207" s="1424"/>
      <c r="E207" s="1428">
        <f>E177</f>
        <v>20</v>
      </c>
      <c r="F207" s="1423">
        <f t="shared" si="269"/>
        <v>19</v>
      </c>
      <c r="G207" s="1423">
        <f t="shared" si="270"/>
        <v>18</v>
      </c>
      <c r="H207" s="1423">
        <f t="shared" si="271"/>
        <v>17</v>
      </c>
      <c r="I207" s="1423">
        <f t="shared" si="272"/>
        <v>16</v>
      </c>
      <c r="J207" s="1423">
        <f t="shared" si="273"/>
        <v>15</v>
      </c>
      <c r="K207" s="1423">
        <f t="shared" si="274"/>
        <v>14</v>
      </c>
      <c r="L207" s="1423">
        <f t="shared" si="275"/>
        <v>13</v>
      </c>
      <c r="M207" s="1423">
        <f t="shared" si="276"/>
        <v>12</v>
      </c>
      <c r="N207" s="1423">
        <f t="shared" si="277"/>
        <v>11</v>
      </c>
      <c r="O207" s="1423">
        <f t="shared" si="278"/>
        <v>10</v>
      </c>
      <c r="P207" s="1423">
        <f t="shared" si="279"/>
        <v>9</v>
      </c>
      <c r="Q207" s="1423">
        <f t="shared" si="280"/>
        <v>8</v>
      </c>
      <c r="R207" s="1423">
        <f t="shared" si="281"/>
        <v>7</v>
      </c>
      <c r="S207" s="1423">
        <f t="shared" si="282"/>
        <v>6</v>
      </c>
      <c r="T207" s="1423">
        <f t="shared" si="283"/>
        <v>5</v>
      </c>
      <c r="U207" s="1423">
        <f t="shared" si="284"/>
        <v>4</v>
      </c>
      <c r="V207" s="1423">
        <f t="shared" si="285"/>
        <v>3</v>
      </c>
      <c r="W207" s="1423">
        <f t="shared" si="286"/>
        <v>2</v>
      </c>
      <c r="X207" s="152"/>
      <c r="Y207" s="152"/>
      <c r="Z207" s="152"/>
      <c r="AA207" s="152"/>
      <c r="AB207" s="152"/>
    </row>
    <row r="208" spans="1:28" hidden="1" outlineLevel="1">
      <c r="A208" s="152"/>
      <c r="B208" s="190" t="str">
        <f t="shared" ca="1" si="287"/>
        <v>RL Capex 2018-19</v>
      </c>
      <c r="C208" s="1429"/>
      <c r="D208" s="1429"/>
      <c r="E208" s="1424"/>
      <c r="F208" s="1428">
        <f>F177</f>
        <v>20</v>
      </c>
      <c r="G208" s="1423">
        <f t="shared" si="270"/>
        <v>19</v>
      </c>
      <c r="H208" s="1423">
        <f t="shared" si="271"/>
        <v>18</v>
      </c>
      <c r="I208" s="1423">
        <f t="shared" si="272"/>
        <v>17</v>
      </c>
      <c r="J208" s="1423">
        <f t="shared" si="273"/>
        <v>16</v>
      </c>
      <c r="K208" s="1423">
        <f t="shared" si="274"/>
        <v>15</v>
      </c>
      <c r="L208" s="1423">
        <f t="shared" si="275"/>
        <v>14</v>
      </c>
      <c r="M208" s="1423">
        <f t="shared" si="276"/>
        <v>13</v>
      </c>
      <c r="N208" s="1423">
        <f t="shared" si="277"/>
        <v>12</v>
      </c>
      <c r="O208" s="1423">
        <f t="shared" si="278"/>
        <v>11</v>
      </c>
      <c r="P208" s="1423">
        <f t="shared" si="279"/>
        <v>10</v>
      </c>
      <c r="Q208" s="1423">
        <f t="shared" si="280"/>
        <v>9</v>
      </c>
      <c r="R208" s="1423">
        <f t="shared" si="281"/>
        <v>8</v>
      </c>
      <c r="S208" s="1423">
        <f t="shared" si="282"/>
        <v>7</v>
      </c>
      <c r="T208" s="1423">
        <f t="shared" si="283"/>
        <v>6</v>
      </c>
      <c r="U208" s="1423">
        <f t="shared" si="284"/>
        <v>5</v>
      </c>
      <c r="V208" s="1423">
        <f t="shared" si="285"/>
        <v>4</v>
      </c>
      <c r="W208" s="1423">
        <f t="shared" si="286"/>
        <v>3</v>
      </c>
      <c r="X208" s="152"/>
      <c r="Y208" s="152"/>
      <c r="Z208" s="152"/>
      <c r="AA208" s="152"/>
      <c r="AB208" s="152"/>
    </row>
    <row r="209" spans="1:28" hidden="1" outlineLevel="1">
      <c r="A209" s="152"/>
      <c r="B209" s="190" t="str">
        <f t="shared" ca="1" si="287"/>
        <v>RL Capex 2019-20</v>
      </c>
      <c r="C209" s="1429"/>
      <c r="D209" s="1429"/>
      <c r="E209" s="1429"/>
      <c r="F209" s="1424"/>
      <c r="G209" s="1428">
        <f>G177</f>
        <v>20</v>
      </c>
      <c r="H209" s="1423">
        <f t="shared" si="271"/>
        <v>19</v>
      </c>
      <c r="I209" s="1423">
        <f t="shared" si="272"/>
        <v>18</v>
      </c>
      <c r="J209" s="1423">
        <f t="shared" si="273"/>
        <v>17</v>
      </c>
      <c r="K209" s="1423">
        <f t="shared" si="274"/>
        <v>16</v>
      </c>
      <c r="L209" s="1423">
        <f t="shared" si="275"/>
        <v>15</v>
      </c>
      <c r="M209" s="1423">
        <f t="shared" si="276"/>
        <v>14</v>
      </c>
      <c r="N209" s="1423">
        <f t="shared" si="277"/>
        <v>13</v>
      </c>
      <c r="O209" s="1423">
        <f t="shared" si="278"/>
        <v>12</v>
      </c>
      <c r="P209" s="1423">
        <f t="shared" si="279"/>
        <v>11</v>
      </c>
      <c r="Q209" s="1423">
        <f t="shared" si="280"/>
        <v>10</v>
      </c>
      <c r="R209" s="1423">
        <f t="shared" si="281"/>
        <v>9</v>
      </c>
      <c r="S209" s="1423">
        <f t="shared" si="282"/>
        <v>8</v>
      </c>
      <c r="T209" s="1423">
        <f t="shared" si="283"/>
        <v>7</v>
      </c>
      <c r="U209" s="1423">
        <f t="shared" si="284"/>
        <v>6</v>
      </c>
      <c r="V209" s="1423">
        <f t="shared" si="285"/>
        <v>5</v>
      </c>
      <c r="W209" s="1423">
        <f t="shared" si="286"/>
        <v>4</v>
      </c>
      <c r="X209" s="152"/>
      <c r="Y209" s="152"/>
      <c r="Z209" s="152"/>
      <c r="AA209" s="152"/>
      <c r="AB209" s="152"/>
    </row>
    <row r="210" spans="1:28" hidden="1" outlineLevel="1">
      <c r="A210" s="152"/>
      <c r="B210" s="190" t="str">
        <f t="shared" ca="1" si="287"/>
        <v>RL Capex 2020-21</v>
      </c>
      <c r="C210" s="1429"/>
      <c r="D210" s="1429"/>
      <c r="E210" s="1429"/>
      <c r="F210" s="1429"/>
      <c r="G210" s="1424"/>
      <c r="H210" s="1428">
        <f>H177</f>
        <v>20</v>
      </c>
      <c r="I210" s="1423">
        <f t="shared" si="272"/>
        <v>19</v>
      </c>
      <c r="J210" s="1423">
        <f t="shared" si="273"/>
        <v>18</v>
      </c>
      <c r="K210" s="1423">
        <f t="shared" si="274"/>
        <v>17</v>
      </c>
      <c r="L210" s="1423">
        <f t="shared" si="275"/>
        <v>16</v>
      </c>
      <c r="M210" s="1423">
        <f t="shared" si="276"/>
        <v>15</v>
      </c>
      <c r="N210" s="1423">
        <f t="shared" si="277"/>
        <v>14</v>
      </c>
      <c r="O210" s="1423">
        <f t="shared" si="278"/>
        <v>13</v>
      </c>
      <c r="P210" s="1423">
        <f t="shared" si="279"/>
        <v>12</v>
      </c>
      <c r="Q210" s="1423">
        <f t="shared" si="280"/>
        <v>11</v>
      </c>
      <c r="R210" s="1423">
        <f t="shared" si="281"/>
        <v>10</v>
      </c>
      <c r="S210" s="1423">
        <f t="shared" si="282"/>
        <v>9</v>
      </c>
      <c r="T210" s="1423">
        <f t="shared" si="283"/>
        <v>8</v>
      </c>
      <c r="U210" s="1423">
        <f t="shared" si="284"/>
        <v>7</v>
      </c>
      <c r="V210" s="1423">
        <f t="shared" si="285"/>
        <v>6</v>
      </c>
      <c r="W210" s="1423">
        <f t="shared" si="286"/>
        <v>5</v>
      </c>
      <c r="X210" s="152"/>
      <c r="Y210" s="152"/>
      <c r="Z210" s="152"/>
      <c r="AA210" s="152"/>
      <c r="AB210" s="152"/>
    </row>
    <row r="211" spans="1:28" hidden="1" outlineLevel="1">
      <c r="A211" s="152"/>
      <c r="B211" s="190" t="str">
        <f t="shared" ca="1" si="287"/>
        <v>RL Capex 2021-22</v>
      </c>
      <c r="C211" s="1429"/>
      <c r="D211" s="1429"/>
      <c r="E211" s="1429"/>
      <c r="F211" s="1429"/>
      <c r="G211" s="1429"/>
      <c r="H211" s="1424"/>
      <c r="I211" s="1428">
        <f>I177</f>
        <v>20</v>
      </c>
      <c r="J211" s="1423">
        <f t="shared" si="273"/>
        <v>19</v>
      </c>
      <c r="K211" s="1423">
        <f t="shared" si="274"/>
        <v>18</v>
      </c>
      <c r="L211" s="1423">
        <f t="shared" si="275"/>
        <v>17</v>
      </c>
      <c r="M211" s="1423">
        <f t="shared" si="276"/>
        <v>16</v>
      </c>
      <c r="N211" s="1423">
        <f t="shared" si="277"/>
        <v>15</v>
      </c>
      <c r="O211" s="1423">
        <f t="shared" si="278"/>
        <v>14</v>
      </c>
      <c r="P211" s="1423">
        <f t="shared" si="279"/>
        <v>13</v>
      </c>
      <c r="Q211" s="1423">
        <f t="shared" si="280"/>
        <v>12</v>
      </c>
      <c r="R211" s="1423">
        <f t="shared" si="281"/>
        <v>11</v>
      </c>
      <c r="S211" s="1423">
        <f t="shared" si="282"/>
        <v>10</v>
      </c>
      <c r="T211" s="1423">
        <f t="shared" si="283"/>
        <v>9</v>
      </c>
      <c r="U211" s="1423">
        <f t="shared" si="284"/>
        <v>8</v>
      </c>
      <c r="V211" s="1423">
        <f t="shared" si="285"/>
        <v>7</v>
      </c>
      <c r="W211" s="1423">
        <f t="shared" si="286"/>
        <v>6</v>
      </c>
      <c r="X211" s="152"/>
      <c r="Y211" s="152"/>
      <c r="Z211" s="152"/>
      <c r="AA211" s="152"/>
      <c r="AB211" s="152"/>
    </row>
    <row r="212" spans="1:28" hidden="1" outlineLevel="1">
      <c r="A212" s="152"/>
      <c r="B212" s="190" t="str">
        <f t="shared" ca="1" si="287"/>
        <v>RL Capex 2022-23</v>
      </c>
      <c r="C212" s="1429"/>
      <c r="D212" s="1429"/>
      <c r="E212" s="1429"/>
      <c r="F212" s="1429"/>
      <c r="G212" s="1429"/>
      <c r="H212" s="1429"/>
      <c r="I212" s="1424"/>
      <c r="J212" s="1428">
        <f>J177</f>
        <v>20</v>
      </c>
      <c r="K212" s="1423">
        <f t="shared" si="274"/>
        <v>19</v>
      </c>
      <c r="L212" s="1423">
        <f t="shared" si="275"/>
        <v>18</v>
      </c>
      <c r="M212" s="1423">
        <f t="shared" si="276"/>
        <v>17</v>
      </c>
      <c r="N212" s="1423">
        <f t="shared" si="277"/>
        <v>16</v>
      </c>
      <c r="O212" s="1423">
        <f t="shared" si="278"/>
        <v>15</v>
      </c>
      <c r="P212" s="1423">
        <f t="shared" si="279"/>
        <v>14</v>
      </c>
      <c r="Q212" s="1423">
        <f t="shared" si="280"/>
        <v>13</v>
      </c>
      <c r="R212" s="1423">
        <f t="shared" si="281"/>
        <v>12</v>
      </c>
      <c r="S212" s="1423">
        <f t="shared" si="282"/>
        <v>11</v>
      </c>
      <c r="T212" s="1423">
        <f t="shared" si="283"/>
        <v>10</v>
      </c>
      <c r="U212" s="1423">
        <f t="shared" si="284"/>
        <v>9</v>
      </c>
      <c r="V212" s="1423">
        <f t="shared" si="285"/>
        <v>8</v>
      </c>
      <c r="W212" s="1423">
        <f t="shared" si="286"/>
        <v>7</v>
      </c>
      <c r="X212" s="152"/>
      <c r="Y212" s="152"/>
      <c r="Z212" s="152"/>
      <c r="AA212" s="152"/>
      <c r="AB212" s="152"/>
    </row>
    <row r="213" spans="1:28" hidden="1" outlineLevel="1">
      <c r="A213" s="152"/>
      <c r="B213" s="190" t="str">
        <f t="shared" ca="1" si="287"/>
        <v>RL Capex 2023-24</v>
      </c>
      <c r="C213" s="1429"/>
      <c r="D213" s="1429"/>
      <c r="E213" s="1429"/>
      <c r="F213" s="1429"/>
      <c r="G213" s="1429"/>
      <c r="H213" s="1429"/>
      <c r="I213" s="1429"/>
      <c r="J213" s="1424"/>
      <c r="K213" s="1428">
        <f>K177</f>
        <v>20</v>
      </c>
      <c r="L213" s="1423">
        <f t="shared" si="275"/>
        <v>19</v>
      </c>
      <c r="M213" s="1423">
        <f t="shared" si="276"/>
        <v>18</v>
      </c>
      <c r="N213" s="1423">
        <f t="shared" si="277"/>
        <v>17</v>
      </c>
      <c r="O213" s="1423">
        <f t="shared" si="278"/>
        <v>16</v>
      </c>
      <c r="P213" s="1423">
        <f t="shared" si="279"/>
        <v>15</v>
      </c>
      <c r="Q213" s="1423">
        <f t="shared" si="280"/>
        <v>14</v>
      </c>
      <c r="R213" s="1423">
        <f t="shared" si="281"/>
        <v>13</v>
      </c>
      <c r="S213" s="1423">
        <f t="shared" si="282"/>
        <v>12</v>
      </c>
      <c r="T213" s="1423">
        <f t="shared" si="283"/>
        <v>11</v>
      </c>
      <c r="U213" s="1423">
        <f t="shared" si="284"/>
        <v>10</v>
      </c>
      <c r="V213" s="1423">
        <f t="shared" si="285"/>
        <v>9</v>
      </c>
      <c r="W213" s="1423">
        <f t="shared" si="286"/>
        <v>8</v>
      </c>
      <c r="X213" s="152"/>
      <c r="Y213" s="152"/>
      <c r="Z213" s="152"/>
      <c r="AA213" s="152"/>
      <c r="AB213" s="152"/>
    </row>
    <row r="214" spans="1:28" hidden="1" outlineLevel="1">
      <c r="A214" s="152"/>
      <c r="B214" s="190" t="str">
        <f t="shared" ca="1" si="287"/>
        <v>RL Capex 2024-25</v>
      </c>
      <c r="C214" s="1429"/>
      <c r="D214" s="1429"/>
      <c r="E214" s="1429"/>
      <c r="F214" s="1429"/>
      <c r="G214" s="1429"/>
      <c r="H214" s="1429"/>
      <c r="I214" s="1429"/>
      <c r="J214" s="1429"/>
      <c r="K214" s="1424"/>
      <c r="L214" s="1428">
        <f>L177</f>
        <v>20</v>
      </c>
      <c r="M214" s="1423">
        <f t="shared" si="276"/>
        <v>19</v>
      </c>
      <c r="N214" s="1423">
        <f t="shared" si="277"/>
        <v>18</v>
      </c>
      <c r="O214" s="1423">
        <f t="shared" si="278"/>
        <v>17</v>
      </c>
      <c r="P214" s="1423">
        <f t="shared" si="279"/>
        <v>16</v>
      </c>
      <c r="Q214" s="1423">
        <f t="shared" si="280"/>
        <v>15</v>
      </c>
      <c r="R214" s="1423">
        <f t="shared" si="281"/>
        <v>14</v>
      </c>
      <c r="S214" s="1423">
        <f t="shared" si="282"/>
        <v>13</v>
      </c>
      <c r="T214" s="1423">
        <f t="shared" si="283"/>
        <v>12</v>
      </c>
      <c r="U214" s="1423">
        <f t="shared" si="284"/>
        <v>11</v>
      </c>
      <c r="V214" s="1423">
        <f t="shared" si="285"/>
        <v>10</v>
      </c>
      <c r="W214" s="1423">
        <f t="shared" si="286"/>
        <v>9</v>
      </c>
      <c r="X214" s="152"/>
      <c r="Y214" s="152"/>
      <c r="Z214" s="152"/>
      <c r="AA214" s="152"/>
      <c r="AB214" s="152"/>
    </row>
    <row r="215" spans="1:28" hidden="1" outlineLevel="1">
      <c r="A215" s="152"/>
      <c r="B215" s="190" t="str">
        <f t="shared" ca="1" si="287"/>
        <v>RL Capex 2025-26</v>
      </c>
      <c r="C215" s="1429"/>
      <c r="D215" s="1429"/>
      <c r="E215" s="1429"/>
      <c r="F215" s="1429"/>
      <c r="G215" s="1429"/>
      <c r="H215" s="1429"/>
      <c r="I215" s="1429"/>
      <c r="J215" s="1429"/>
      <c r="K215" s="1429"/>
      <c r="L215" s="1424"/>
      <c r="M215" s="1428">
        <f>M177</f>
        <v>20</v>
      </c>
      <c r="N215" s="1423">
        <f t="shared" si="277"/>
        <v>19</v>
      </c>
      <c r="O215" s="1423">
        <f t="shared" si="278"/>
        <v>18</v>
      </c>
      <c r="P215" s="1423">
        <f t="shared" si="279"/>
        <v>17</v>
      </c>
      <c r="Q215" s="1423">
        <f t="shared" si="280"/>
        <v>16</v>
      </c>
      <c r="R215" s="1423">
        <f t="shared" si="281"/>
        <v>15</v>
      </c>
      <c r="S215" s="1423">
        <f t="shared" si="282"/>
        <v>14</v>
      </c>
      <c r="T215" s="1423">
        <f t="shared" si="283"/>
        <v>13</v>
      </c>
      <c r="U215" s="1423">
        <f t="shared" si="284"/>
        <v>12</v>
      </c>
      <c r="V215" s="1423">
        <f t="shared" si="285"/>
        <v>11</v>
      </c>
      <c r="W215" s="1423">
        <f t="shared" si="286"/>
        <v>10</v>
      </c>
      <c r="X215" s="152"/>
      <c r="Y215" s="152"/>
      <c r="Z215" s="152"/>
      <c r="AA215" s="152"/>
      <c r="AB215" s="152"/>
    </row>
    <row r="216" spans="1:28" hidden="1" outlineLevel="1">
      <c r="A216" s="152"/>
      <c r="B216" s="190" t="str">
        <f t="shared" ca="1" si="287"/>
        <v>RL Capex 2026-27</v>
      </c>
      <c r="C216" s="1429"/>
      <c r="D216" s="1429"/>
      <c r="E216" s="1429"/>
      <c r="F216" s="1429"/>
      <c r="G216" s="1429"/>
      <c r="H216" s="1429"/>
      <c r="I216" s="1429"/>
      <c r="J216" s="1429"/>
      <c r="K216" s="1429"/>
      <c r="L216" s="1429"/>
      <c r="M216" s="1424"/>
      <c r="N216" s="1428">
        <f>N177</f>
        <v>0</v>
      </c>
      <c r="O216" s="1423">
        <f t="shared" si="278"/>
        <v>0</v>
      </c>
      <c r="P216" s="1423">
        <f t="shared" si="279"/>
        <v>0</v>
      </c>
      <c r="Q216" s="1423">
        <f t="shared" si="280"/>
        <v>0</v>
      </c>
      <c r="R216" s="1423">
        <f t="shared" si="281"/>
        <v>0</v>
      </c>
      <c r="S216" s="1423">
        <f t="shared" si="282"/>
        <v>0</v>
      </c>
      <c r="T216" s="1423">
        <f t="shared" si="283"/>
        <v>0</v>
      </c>
      <c r="U216" s="1423">
        <f t="shared" si="284"/>
        <v>0</v>
      </c>
      <c r="V216" s="1423">
        <f t="shared" si="285"/>
        <v>0</v>
      </c>
      <c r="W216" s="1423">
        <f t="shared" si="286"/>
        <v>0</v>
      </c>
      <c r="X216" s="152"/>
      <c r="Y216" s="152"/>
      <c r="Z216" s="152"/>
      <c r="AA216" s="152"/>
      <c r="AB216" s="152"/>
    </row>
    <row r="217" spans="1:28" hidden="1" outlineLevel="1">
      <c r="A217" s="152"/>
      <c r="B217" s="190" t="str">
        <f t="shared" ca="1" si="287"/>
        <v>RL Capex 2027-28</v>
      </c>
      <c r="C217" s="1429"/>
      <c r="D217" s="1429"/>
      <c r="E217" s="1429"/>
      <c r="F217" s="1429"/>
      <c r="G217" s="1429"/>
      <c r="H217" s="1429"/>
      <c r="I217" s="1429"/>
      <c r="J217" s="1429"/>
      <c r="K217" s="1429"/>
      <c r="L217" s="1429"/>
      <c r="M217" s="1429"/>
      <c r="N217" s="1424"/>
      <c r="O217" s="1428">
        <f>O177</f>
        <v>0</v>
      </c>
      <c r="P217" s="1423">
        <f t="shared" si="279"/>
        <v>0</v>
      </c>
      <c r="Q217" s="1423">
        <f t="shared" si="280"/>
        <v>0</v>
      </c>
      <c r="R217" s="1423">
        <f t="shared" si="281"/>
        <v>0</v>
      </c>
      <c r="S217" s="1423">
        <f t="shared" si="282"/>
        <v>0</v>
      </c>
      <c r="T217" s="1423">
        <f t="shared" si="283"/>
        <v>0</v>
      </c>
      <c r="U217" s="1423">
        <f t="shared" si="284"/>
        <v>0</v>
      </c>
      <c r="V217" s="1423">
        <f t="shared" si="285"/>
        <v>0</v>
      </c>
      <c r="W217" s="1423">
        <f t="shared" si="286"/>
        <v>0</v>
      </c>
      <c r="X217" s="152"/>
      <c r="Y217" s="152"/>
      <c r="Z217" s="152"/>
      <c r="AA217" s="152"/>
      <c r="AB217" s="152"/>
    </row>
    <row r="218" spans="1:28" hidden="1" outlineLevel="1">
      <c r="A218" s="152"/>
      <c r="B218" s="190" t="str">
        <f t="shared" ca="1" si="287"/>
        <v>RL Capex 2028-29</v>
      </c>
      <c r="C218" s="1429"/>
      <c r="D218" s="1429"/>
      <c r="E218" s="1429"/>
      <c r="F218" s="1429"/>
      <c r="G218" s="1429"/>
      <c r="H218" s="1429"/>
      <c r="I218" s="1429"/>
      <c r="J218" s="1429"/>
      <c r="K218" s="1429"/>
      <c r="L218" s="1429"/>
      <c r="M218" s="1429"/>
      <c r="N218" s="1429"/>
      <c r="O218" s="1424"/>
      <c r="P218" s="1428">
        <f>P177</f>
        <v>0</v>
      </c>
      <c r="Q218" s="1423">
        <f t="shared" si="280"/>
        <v>0</v>
      </c>
      <c r="R218" s="1423">
        <f t="shared" si="281"/>
        <v>0</v>
      </c>
      <c r="S218" s="1423">
        <f t="shared" si="282"/>
        <v>0</v>
      </c>
      <c r="T218" s="1423">
        <f t="shared" si="283"/>
        <v>0</v>
      </c>
      <c r="U218" s="1423">
        <f t="shared" si="284"/>
        <v>0</v>
      </c>
      <c r="V218" s="1423">
        <f t="shared" si="285"/>
        <v>0</v>
      </c>
      <c r="W218" s="1423">
        <f t="shared" si="286"/>
        <v>0</v>
      </c>
      <c r="X218" s="152"/>
      <c r="Y218" s="152"/>
      <c r="Z218" s="152"/>
      <c r="AA218" s="152"/>
      <c r="AB218" s="152"/>
    </row>
    <row r="219" spans="1:28" hidden="1" outlineLevel="1">
      <c r="A219" s="152"/>
      <c r="B219" s="190" t="str">
        <f t="shared" ca="1" si="287"/>
        <v>RL Capex 2029-30</v>
      </c>
      <c r="C219" s="1429"/>
      <c r="D219" s="1429"/>
      <c r="E219" s="1429"/>
      <c r="F219" s="1429"/>
      <c r="G219" s="1429"/>
      <c r="H219" s="1429"/>
      <c r="I219" s="1429"/>
      <c r="J219" s="1429"/>
      <c r="K219" s="1429"/>
      <c r="L219" s="1429"/>
      <c r="M219" s="1429"/>
      <c r="N219" s="1429"/>
      <c r="O219" s="1429"/>
      <c r="P219" s="1424"/>
      <c r="Q219" s="1428">
        <f>Q177</f>
        <v>0</v>
      </c>
      <c r="R219" s="1423">
        <f t="shared" si="281"/>
        <v>0</v>
      </c>
      <c r="S219" s="1423">
        <f t="shared" si="282"/>
        <v>0</v>
      </c>
      <c r="T219" s="1423">
        <f t="shared" si="283"/>
        <v>0</v>
      </c>
      <c r="U219" s="1423">
        <f t="shared" si="284"/>
        <v>0</v>
      </c>
      <c r="V219" s="1423">
        <f t="shared" si="285"/>
        <v>0</v>
      </c>
      <c r="W219" s="1423">
        <f t="shared" si="286"/>
        <v>0</v>
      </c>
      <c r="X219" s="152"/>
      <c r="Y219" s="152"/>
      <c r="Z219" s="152"/>
      <c r="AA219" s="152"/>
      <c r="AB219" s="152"/>
    </row>
    <row r="220" spans="1:28" hidden="1" outlineLevel="1">
      <c r="A220" s="152"/>
      <c r="B220" s="190" t="str">
        <f t="shared" ca="1" si="287"/>
        <v>RL Capex 2030-31</v>
      </c>
      <c r="C220" s="1429"/>
      <c r="D220" s="1429"/>
      <c r="E220" s="1429"/>
      <c r="F220" s="1429"/>
      <c r="G220" s="1429"/>
      <c r="H220" s="1429"/>
      <c r="I220" s="1429"/>
      <c r="J220" s="1429"/>
      <c r="K220" s="1429"/>
      <c r="L220" s="1429"/>
      <c r="M220" s="1429"/>
      <c r="N220" s="1429"/>
      <c r="O220" s="1429"/>
      <c r="P220" s="1429"/>
      <c r="Q220" s="1424"/>
      <c r="R220" s="1428">
        <f>R177</f>
        <v>0</v>
      </c>
      <c r="S220" s="1423">
        <f t="shared" si="282"/>
        <v>0</v>
      </c>
      <c r="T220" s="1423">
        <f t="shared" si="283"/>
        <v>0</v>
      </c>
      <c r="U220" s="1423">
        <f t="shared" si="284"/>
        <v>0</v>
      </c>
      <c r="V220" s="1423">
        <f t="shared" si="285"/>
        <v>0</v>
      </c>
      <c r="W220" s="1423">
        <f t="shared" si="286"/>
        <v>0</v>
      </c>
      <c r="X220" s="152"/>
      <c r="Y220" s="152"/>
      <c r="Z220" s="152"/>
      <c r="AA220" s="152"/>
      <c r="AB220" s="152"/>
    </row>
    <row r="221" spans="1:28" hidden="1" outlineLevel="1">
      <c r="A221" s="152"/>
      <c r="B221" s="190" t="str">
        <f t="shared" ca="1" si="287"/>
        <v>RL Capex 2031-32</v>
      </c>
      <c r="C221" s="1429"/>
      <c r="D221" s="1429"/>
      <c r="E221" s="1429"/>
      <c r="F221" s="1429"/>
      <c r="G221" s="1429"/>
      <c r="H221" s="1429"/>
      <c r="I221" s="1429"/>
      <c r="J221" s="1429"/>
      <c r="K221" s="1429"/>
      <c r="L221" s="1429"/>
      <c r="M221" s="1429"/>
      <c r="N221" s="1429"/>
      <c r="O221" s="1429"/>
      <c r="P221" s="1429"/>
      <c r="Q221" s="1429"/>
      <c r="R221" s="1424"/>
      <c r="S221" s="1428">
        <f>S177</f>
        <v>0</v>
      </c>
      <c r="T221" s="1423">
        <f t="shared" si="283"/>
        <v>0</v>
      </c>
      <c r="U221" s="1423">
        <f t="shared" si="284"/>
        <v>0</v>
      </c>
      <c r="V221" s="1423">
        <f t="shared" si="285"/>
        <v>0</v>
      </c>
      <c r="W221" s="1423">
        <f t="shared" si="286"/>
        <v>0</v>
      </c>
      <c r="X221" s="152"/>
      <c r="Y221" s="152"/>
      <c r="Z221" s="152"/>
      <c r="AA221" s="152"/>
      <c r="AB221" s="152"/>
    </row>
    <row r="222" spans="1:28" hidden="1" outlineLevel="1">
      <c r="A222" s="152"/>
      <c r="B222" s="190" t="str">
        <f t="shared" ca="1" si="287"/>
        <v>RL Capex 2032-33</v>
      </c>
      <c r="C222" s="1429"/>
      <c r="D222" s="1429"/>
      <c r="E222" s="1429"/>
      <c r="F222" s="1429"/>
      <c r="G222" s="1429"/>
      <c r="H222" s="1429"/>
      <c r="I222" s="1429"/>
      <c r="J222" s="1429"/>
      <c r="K222" s="1429"/>
      <c r="L222" s="1429"/>
      <c r="M222" s="1429"/>
      <c r="N222" s="1429"/>
      <c r="O222" s="1429"/>
      <c r="P222" s="1429"/>
      <c r="Q222" s="1429"/>
      <c r="R222" s="1429"/>
      <c r="S222" s="1424"/>
      <c r="T222" s="1428">
        <f>T177</f>
        <v>0</v>
      </c>
      <c r="U222" s="1423">
        <f t="shared" si="284"/>
        <v>0</v>
      </c>
      <c r="V222" s="1423">
        <f t="shared" si="285"/>
        <v>0</v>
      </c>
      <c r="W222" s="1423">
        <f t="shared" si="286"/>
        <v>0</v>
      </c>
      <c r="X222" s="152"/>
      <c r="Y222" s="152"/>
      <c r="Z222" s="152"/>
      <c r="AA222" s="152"/>
      <c r="AB222" s="152"/>
    </row>
    <row r="223" spans="1:28" hidden="1" outlineLevel="1">
      <c r="A223" s="152"/>
      <c r="B223" s="190" t="str">
        <f t="shared" ca="1" si="287"/>
        <v>RL Capex 2033-34</v>
      </c>
      <c r="C223" s="1429"/>
      <c r="D223" s="1429"/>
      <c r="E223" s="1429"/>
      <c r="F223" s="1429"/>
      <c r="G223" s="1429"/>
      <c r="H223" s="1429"/>
      <c r="I223" s="1429"/>
      <c r="J223" s="1429"/>
      <c r="K223" s="1429"/>
      <c r="L223" s="1429"/>
      <c r="M223" s="1429"/>
      <c r="N223" s="1429"/>
      <c r="O223" s="1429"/>
      <c r="P223" s="1429"/>
      <c r="Q223" s="1429"/>
      <c r="R223" s="1429"/>
      <c r="S223" s="1429"/>
      <c r="T223" s="1424"/>
      <c r="U223" s="1428">
        <f>U177</f>
        <v>0</v>
      </c>
      <c r="V223" s="1423">
        <f t="shared" si="285"/>
        <v>0</v>
      </c>
      <c r="W223" s="1423">
        <f t="shared" si="286"/>
        <v>0</v>
      </c>
      <c r="X223" s="152"/>
      <c r="Y223" s="152"/>
      <c r="Z223" s="152"/>
      <c r="AA223" s="152"/>
      <c r="AB223" s="152"/>
    </row>
    <row r="224" spans="1:28" hidden="1" outlineLevel="1">
      <c r="A224" s="152"/>
      <c r="B224" s="190" t="str">
        <f t="shared" ca="1" si="287"/>
        <v>RL Capex 2034-35</v>
      </c>
      <c r="C224" s="1429"/>
      <c r="D224" s="1429"/>
      <c r="E224" s="1429"/>
      <c r="F224" s="1429"/>
      <c r="G224" s="1429"/>
      <c r="H224" s="1429"/>
      <c r="I224" s="1429"/>
      <c r="J224" s="1429"/>
      <c r="K224" s="1429"/>
      <c r="L224" s="1429"/>
      <c r="M224" s="1429"/>
      <c r="N224" s="1429"/>
      <c r="O224" s="1429"/>
      <c r="P224" s="1429"/>
      <c r="Q224" s="1429"/>
      <c r="R224" s="1429"/>
      <c r="S224" s="1429"/>
      <c r="T224" s="1429"/>
      <c r="U224" s="1424"/>
      <c r="V224" s="1428">
        <f>V177</f>
        <v>0</v>
      </c>
      <c r="W224" s="1423">
        <f>IF(V224="n/a","n/a",MAX(0,V224-1))</f>
        <v>0</v>
      </c>
      <c r="X224" s="152"/>
      <c r="Y224" s="152"/>
      <c r="Z224" s="152"/>
      <c r="AA224" s="152"/>
      <c r="AB224" s="152"/>
    </row>
    <row r="225" spans="1:28" hidden="1" outlineLevel="1">
      <c r="A225" s="152"/>
      <c r="B225" s="190" t="str">
        <f t="shared" ca="1" si="287"/>
        <v>RL Capex 2035-36</v>
      </c>
      <c r="C225" s="1429"/>
      <c r="D225" s="1429"/>
      <c r="E225" s="1429"/>
      <c r="F225" s="1429"/>
      <c r="G225" s="1429"/>
      <c r="H225" s="1429"/>
      <c r="I225" s="1429"/>
      <c r="J225" s="1429"/>
      <c r="K225" s="1429"/>
      <c r="L225" s="1429"/>
      <c r="M225" s="1429"/>
      <c r="N225" s="1429"/>
      <c r="O225" s="1429"/>
      <c r="P225" s="1429"/>
      <c r="Q225" s="1429"/>
      <c r="R225" s="1429"/>
      <c r="S225" s="1429"/>
      <c r="T225" s="1429"/>
      <c r="U225" s="1429"/>
      <c r="V225" s="1424"/>
      <c r="W225" s="1423">
        <f>W177</f>
        <v>0</v>
      </c>
      <c r="X225" s="152"/>
      <c r="Y225" s="152"/>
      <c r="Z225" s="152"/>
      <c r="AA225" s="152"/>
      <c r="AB225" s="152"/>
    </row>
    <row r="226" spans="1:28" hidden="1" outlineLevel="1">
      <c r="A226" s="152"/>
      <c r="B226" s="200"/>
      <c r="C226" s="1423"/>
      <c r="D226" s="1423"/>
      <c r="E226" s="1423"/>
      <c r="F226" s="1423"/>
      <c r="G226" s="1423"/>
      <c r="H226" s="1423"/>
      <c r="I226" s="1423"/>
      <c r="J226" s="1423"/>
      <c r="K226" s="1423"/>
      <c r="L226" s="1423"/>
      <c r="M226" s="1423"/>
      <c r="N226" s="1423"/>
      <c r="O226" s="1423"/>
      <c r="P226" s="1423"/>
      <c r="Q226" s="1423"/>
      <c r="R226" s="1423"/>
      <c r="S226" s="1423"/>
      <c r="T226" s="1423"/>
      <c r="U226" s="1423"/>
      <c r="V226" s="1423"/>
      <c r="W226" s="1423"/>
      <c r="X226" s="152"/>
      <c r="Y226" s="152"/>
      <c r="Z226" s="152"/>
      <c r="AA226" s="152"/>
      <c r="AB226" s="152"/>
    </row>
    <row r="227" spans="1:28" collapsed="1">
      <c r="A227" s="194"/>
      <c r="B227" s="204" t="s">
        <v>123</v>
      </c>
      <c r="C227" s="1430">
        <f ca="1">(IF(OR($C177&lt;&gt;"n/a",C177&lt;&gt;"n/a"),IF(SUM(C180:C202)=0,0,IF((SUMPRODUCT(C180:C202,C204:C226)/SUM(C180:C202))&lt;0,1,(SUMPRODUCT(C180:C202,C204:C226)/SUM(C180:C202)))),"n/a"))</f>
        <v>3.5482112903845526</v>
      </c>
      <c r="D227" s="1430">
        <f ca="1">(IF(OR($C177&lt;&gt;"n/a",D177&lt;&gt;"n/a"),IF(SUM(D180:D202)=0,0,IF((SUMPRODUCT(D180:D202,D204:D226)/SUM(D180:D202))&lt;0,1,(SUMPRODUCT(D180:D202,D204:D226)/SUM(D180:D202)))),"n/a"))</f>
        <v>1</v>
      </c>
      <c r="E227" s="1430">
        <f t="shared" ref="E227:W227" ca="1" si="288">(IF(OR($C177&lt;&gt;"n/a",E177&lt;&gt;"n/a"),IF(SUM(E180:E202)=0,0,IF((SUMPRODUCT(E180:E202,E204:E226)/SUM(E180:E202))&lt;0,1,(SUMPRODUCT(E180:E202,E204:E226)/SUM(E180:E202)))),"n/a"))</f>
        <v>34.620209024081809</v>
      </c>
      <c r="F227" s="1430">
        <f t="shared" ca="1" si="288"/>
        <v>21.821144373784694</v>
      </c>
      <c r="G227" s="1430">
        <f t="shared" ca="1" si="288"/>
        <v>17.86310946966189</v>
      </c>
      <c r="H227" s="1430">
        <f t="shared" ca="1" si="288"/>
        <v>17.157193532421502</v>
      </c>
      <c r="I227" s="1430">
        <f t="shared" ca="1" si="288"/>
        <v>16.483276770079772</v>
      </c>
      <c r="J227" s="1430">
        <f t="shared" ca="1" si="288"/>
        <v>15.728344195585725</v>
      </c>
      <c r="K227" s="1430">
        <f t="shared" ca="1" si="288"/>
        <v>14.743476543308459</v>
      </c>
      <c r="L227" s="1430">
        <f t="shared" ca="1" si="288"/>
        <v>13.760849261243623</v>
      </c>
      <c r="M227" s="1430">
        <f t="shared" ca="1" si="288"/>
        <v>12.78099966031453</v>
      </c>
      <c r="N227" s="1430">
        <f t="shared" ca="1" si="288"/>
        <v>11.804651799425773</v>
      </c>
      <c r="O227" s="1430">
        <f t="shared" ca="1" si="288"/>
        <v>10.832805338672706</v>
      </c>
      <c r="P227" s="1430">
        <f t="shared" ca="1" si="288"/>
        <v>9.8668804584792031</v>
      </c>
      <c r="Q227" s="1430">
        <f t="shared" ca="1" si="288"/>
        <v>8.9089649688954449</v>
      </c>
      <c r="R227" s="1430">
        <f t="shared" ca="1" si="288"/>
        <v>7.9622588748599714</v>
      </c>
      <c r="S227" s="1430">
        <f t="shared" ca="1" si="288"/>
        <v>7.0319287550689449</v>
      </c>
      <c r="T227" s="1430">
        <f t="shared" ca="1" si="288"/>
        <v>6.1268927029568108</v>
      </c>
      <c r="U227" s="1430">
        <f t="shared" ca="1" si="288"/>
        <v>5.2639805481570781</v>
      </c>
      <c r="V227" s="1430">
        <f t="shared" ca="1" si="288"/>
        <v>4.4792080157495899</v>
      </c>
      <c r="W227" s="1430">
        <f t="shared" ca="1" si="288"/>
        <v>3.8660140425020084</v>
      </c>
      <c r="X227" s="152"/>
      <c r="Y227" s="152"/>
      <c r="Z227" s="152"/>
      <c r="AA227" s="152"/>
      <c r="AB227" s="152"/>
    </row>
    <row r="228" spans="1:28">
      <c r="A228" s="152"/>
      <c r="B228" s="152"/>
      <c r="C228" s="1423"/>
      <c r="D228" s="1423"/>
      <c r="E228" s="1423"/>
      <c r="F228" s="1423"/>
      <c r="G228" s="1423"/>
      <c r="H228" s="1423"/>
      <c r="I228" s="1423"/>
      <c r="J228" s="1423"/>
      <c r="K228" s="1423"/>
      <c r="L228" s="1423"/>
      <c r="M228" s="1423"/>
      <c r="N228" s="1423"/>
      <c r="O228" s="1423"/>
      <c r="P228" s="1423"/>
      <c r="Q228" s="1423"/>
      <c r="R228" s="1423"/>
      <c r="S228" s="1423"/>
      <c r="T228" s="1423"/>
      <c r="U228" s="1423"/>
      <c r="V228" s="1423"/>
      <c r="W228" s="1423"/>
      <c r="X228" s="152"/>
      <c r="Y228" s="152"/>
      <c r="Z228" s="152"/>
      <c r="AA228" s="152"/>
      <c r="AB228" s="152"/>
    </row>
    <row r="229" spans="1:28">
      <c r="A229" s="269" t="s">
        <v>5</v>
      </c>
      <c r="B229" s="270" t="str">
        <f>VLOOKUP($A229,'RFM input'!$E$7:$F$56,2,FALSE)</f>
        <v>IT System</v>
      </c>
      <c r="C229" s="1431"/>
      <c r="D229" s="1431"/>
      <c r="E229" s="1432"/>
      <c r="F229" s="1432"/>
      <c r="G229" s="1432"/>
      <c r="H229" s="1432"/>
      <c r="I229" s="1432"/>
      <c r="J229" s="1432"/>
      <c r="K229" s="1432"/>
      <c r="L229" s="1432"/>
      <c r="M229" s="1432"/>
      <c r="N229" s="1432"/>
      <c r="O229" s="1432"/>
      <c r="P229" s="1432"/>
      <c r="Q229" s="1432"/>
      <c r="R229" s="1432"/>
      <c r="S229" s="1432"/>
      <c r="T229" s="1432"/>
      <c r="U229" s="1432"/>
      <c r="V229" s="1432"/>
      <c r="W229" s="1432"/>
      <c r="X229" s="152"/>
      <c r="Y229" s="152"/>
      <c r="Z229" s="152"/>
      <c r="AA229" s="152"/>
      <c r="AB229" s="152"/>
    </row>
    <row r="230" spans="1:28">
      <c r="A230" s="215">
        <f>VALUE(REPLACE(A229,1,12,""))</f>
        <v>5</v>
      </c>
      <c r="B230" s="193" t="s">
        <v>126</v>
      </c>
      <c r="C230" s="1416">
        <f ca="1">IF($C$8='Capital Base roll forward'!$H$4,OFFSET('Capital Base roll forward'!$H$717,'RAB remaining lives'!A230,0),"enter input")</f>
        <v>6.3057802613645082</v>
      </c>
      <c r="D230" s="1417">
        <f>IF(LEFT(D$6,4)&lt;LEFT('RFM input'!$G$60,4),"enter input",IF(LEFT(D$6,4)&gt;LEFT('RFM input'!$Q$60,4),0,INDEX('RFM input'!$G$61:$Q$110,$A230,MATCH(D$6,'RFM input'!$G$60:$Q$60,0))
-INDEX('RFM input'!$G$115:$Q$164,$A230,MATCH(D$6,'RFM input'!$G$60:$Q$60,0))
-INDEX('RFM input'!$G$169:$Q$218,$A230,MATCH(D$6,'RFM input'!$G$60:$Q$60,0))))</f>
        <v>0.1898858346720001</v>
      </c>
      <c r="E230" s="1417">
        <f>IF(LEFT(E$6,4)&lt;LEFT('RFM input'!$G$60,4),"enter input",IF(LEFT(E$6,4)&gt;LEFT('RFM input'!$Q$60,4),0,INDEX('RFM input'!$G$61:$Q$110,$A230,MATCH(E$6,'RFM input'!$G$60:$Q$60,0))
-INDEX('RFM input'!$G$115:$Q$164,$A230,MATCH(E$6,'RFM input'!$G$60:$Q$60,0))
-INDEX('RFM input'!$G$169:$Q$218,$A230,MATCH(E$6,'RFM input'!$G$60:$Q$60,0))))</f>
        <v>0.51631117876599997</v>
      </c>
      <c r="F230" s="1417">
        <f>IF(LEFT(F$6,4)&lt;LEFT('RFM input'!$G$60,4),"enter input",IF(LEFT(F$6,4)&gt;LEFT('RFM input'!$Q$60,4),0,INDEX('RFM input'!$G$61:$Q$110,$A230,MATCH(F$6,'RFM input'!$G$60:$Q$60,0))
-INDEX('RFM input'!$G$115:$Q$164,$A230,MATCH(F$6,'RFM input'!$G$60:$Q$60,0))
-INDEX('RFM input'!$G$169:$Q$218,$A230,MATCH(F$6,'RFM input'!$G$60:$Q$60,0))))</f>
        <v>0.88921402387412019</v>
      </c>
      <c r="G230" s="1417">
        <f>IF(LEFT(G$6,4)&lt;LEFT('RFM input'!$G$60,4),"enter input",IF(LEFT(G$6,4)&gt;LEFT('RFM input'!$Q$60,4),0,INDEX('RFM input'!$G$61:$Q$110,$A230,MATCH(G$6,'RFM input'!$G$60:$Q$60,0))
-INDEX('RFM input'!$G$115:$Q$164,$A230,MATCH(G$6,'RFM input'!$G$60:$Q$60,0))
-INDEX('RFM input'!$G$169:$Q$218,$A230,MATCH(G$6,'RFM input'!$G$60:$Q$60,0))))</f>
        <v>1.4335010672874571</v>
      </c>
      <c r="H230" s="1417">
        <f>IF(LEFT(H$6,4)&lt;LEFT('RFM input'!$G$60,4),"enter input",IF(LEFT(H$6,4)&gt;LEFT('RFM input'!$Q$60,4),0,INDEX('RFM input'!$G$61:$Q$110,$A230,MATCH(H$6,'RFM input'!$G$60:$Q$60,0))
-INDEX('RFM input'!$G$115:$Q$164,$A230,MATCH(H$6,'RFM input'!$G$60:$Q$60,0))
-INDEX('RFM input'!$G$169:$Q$218,$A230,MATCH(H$6,'RFM input'!$G$60:$Q$60,0))))</f>
        <v>1.5087705538296319</v>
      </c>
      <c r="I230" s="1417">
        <f>IF(LEFT(I$6,4)&lt;LEFT('RFM input'!$G$60,4),"enter input",IF(LEFT(I$6,4)&gt;LEFT('RFM input'!$Q$60,4),0,INDEX('RFM input'!$G$61:$Q$110,$A230,MATCH(I$6,'RFM input'!$G$60:$Q$60,0))
-INDEX('RFM input'!$G$115:$Q$164,$A230,MATCH(I$6,'RFM input'!$G$60:$Q$60,0))
-INDEX('RFM input'!$G$169:$Q$218,$A230,MATCH(I$6,'RFM input'!$G$60:$Q$60,0))))</f>
        <v>1.9436581048472017</v>
      </c>
      <c r="J230" s="1417">
        <f>IF(LEFT(J$6,4)&lt;LEFT('RFM input'!$G$60,4),"enter input",IF(LEFT(J$6,4)&gt;LEFT('RFM input'!$Q$60,4),0,INDEX('RFM input'!$G$61:$Q$110,$A230,MATCH(J$6,'RFM input'!$G$60:$Q$60,0))
-INDEX('RFM input'!$G$115:$Q$164,$A230,MATCH(J$6,'RFM input'!$G$60:$Q$60,0))
-INDEX('RFM input'!$G$169:$Q$218,$A230,MATCH(J$6,'RFM input'!$G$60:$Q$60,0))))</f>
        <v>0.82496443621721094</v>
      </c>
      <c r="K230" s="1417">
        <f>IF(LEFT(K$6,4)&lt;LEFT('RFM input'!$G$60,4),"enter input",IF(LEFT(K$6,4)&gt;LEFT('RFM input'!$Q$60,4),0,INDEX('RFM input'!$G$61:$Q$110,$A230,MATCH(K$6,'RFM input'!$G$60:$Q$60,0))
-INDEX('RFM input'!$G$115:$Q$164,$A230,MATCH(K$6,'RFM input'!$G$60:$Q$60,0))
-INDEX('RFM input'!$G$169:$Q$218,$A230,MATCH(K$6,'RFM input'!$G$60:$Q$60,0))))</f>
        <v>0</v>
      </c>
      <c r="L230" s="1417">
        <f>IF(LEFT(L$6,4)&lt;LEFT('RFM input'!$G$60,4),"enter input",IF(LEFT(L$6,4)&gt;LEFT('RFM input'!$Q$60,4),0,INDEX('RFM input'!$G$61:$Q$110,$A230,MATCH(L$6,'RFM input'!$G$60:$Q$60,0))
-INDEX('RFM input'!$G$115:$Q$164,$A230,MATCH(L$6,'RFM input'!$G$60:$Q$60,0))
-INDEX('RFM input'!$G$169:$Q$218,$A230,MATCH(L$6,'RFM input'!$G$60:$Q$60,0))))</f>
        <v>0</v>
      </c>
      <c r="M230" s="1417">
        <f>IF(LEFT(M$6,4)&lt;LEFT('RFM input'!$G$60,4),"enter input",IF(LEFT(M$6,4)&gt;LEFT('RFM input'!$Q$60,4),0,INDEX('RFM input'!$G$61:$Q$110,$A230,MATCH(M$6,'RFM input'!$G$60:$Q$60,0))
-INDEX('RFM input'!$G$115:$Q$164,$A230,MATCH(M$6,'RFM input'!$G$60:$Q$60,0))
-INDEX('RFM input'!$G$169:$Q$218,$A230,MATCH(M$6,'RFM input'!$G$60:$Q$60,0))))</f>
        <v>0</v>
      </c>
      <c r="N230" s="1417">
        <f>IF(LEFT(N$6,4)&lt;LEFT('RFM input'!$G$60,4),"enter input",IF(LEFT(N$6,4)&gt;LEFT('RFM input'!$Q$60,4),0,INDEX('RFM input'!$G$61:$Q$110,$A230,MATCH(N$6,'RFM input'!$G$60:$Q$60,0))
-INDEX('RFM input'!$G$115:$Q$164,$A230,MATCH(N$6,'RFM input'!$G$60:$Q$60,0))
-INDEX('RFM input'!$G$169:$Q$218,$A230,MATCH(N$6,'RFM input'!$G$60:$Q$60,0))))</f>
        <v>0</v>
      </c>
      <c r="O230" s="1417">
        <f>IF(LEFT(O$6,4)&lt;LEFT('RFM input'!$G$60,4),"enter input",IF(LEFT(O$6,4)&gt;LEFT('RFM input'!$Q$60,4),0,INDEX('RFM input'!$G$61:$Q$110,$A230,MATCH(O$6,'RFM input'!$G$60:$Q$60,0))
-INDEX('RFM input'!$G$115:$Q$164,$A230,MATCH(O$6,'RFM input'!$G$60:$Q$60,0))
-INDEX('RFM input'!$G$169:$Q$218,$A230,MATCH(O$6,'RFM input'!$G$60:$Q$60,0))))</f>
        <v>0</v>
      </c>
      <c r="P230" s="1417">
        <f>IF(LEFT(P$6,4)&lt;LEFT('RFM input'!$G$60,4),"enter input",IF(LEFT(P$6,4)&gt;LEFT('RFM input'!$Q$60,4),0,INDEX('RFM input'!$G$61:$Q$110,$A230,MATCH(P$6,'RFM input'!$G$60:$Q$60,0))
-INDEX('RFM input'!$G$115:$Q$164,$A230,MATCH(P$6,'RFM input'!$G$60:$Q$60,0))
-INDEX('RFM input'!$G$169:$Q$218,$A230,MATCH(P$6,'RFM input'!$G$60:$Q$60,0))))</f>
        <v>0</v>
      </c>
      <c r="Q230" s="1417">
        <f>IF(LEFT(Q$6,4)&lt;LEFT('RFM input'!$G$60,4),"enter input",IF(LEFT(Q$6,4)&gt;LEFT('RFM input'!$Q$60,4),0,INDEX('RFM input'!$G$61:$Q$110,$A230,MATCH(Q$6,'RFM input'!$G$60:$Q$60,0))
-INDEX('RFM input'!$G$115:$Q$164,$A230,MATCH(Q$6,'RFM input'!$G$60:$Q$60,0))
-INDEX('RFM input'!$G$169:$Q$218,$A230,MATCH(Q$6,'RFM input'!$G$60:$Q$60,0))))</f>
        <v>0</v>
      </c>
      <c r="R230" s="1417">
        <f>IF(LEFT(R$6,4)&lt;LEFT('RFM input'!$G$60,4),"enter input",IF(LEFT(R$6,4)&gt;LEFT('RFM input'!$Q$60,4),0,INDEX('RFM input'!$G$61:$Q$110,$A230,MATCH(R$6,'RFM input'!$G$60:$Q$60,0))
-INDEX('RFM input'!$G$115:$Q$164,$A230,MATCH(R$6,'RFM input'!$G$60:$Q$60,0))
-INDEX('RFM input'!$G$169:$Q$218,$A230,MATCH(R$6,'RFM input'!$G$60:$Q$60,0))))</f>
        <v>0</v>
      </c>
      <c r="S230" s="1417">
        <f>IF(LEFT(S$6,4)&lt;LEFT('RFM input'!$G$60,4),"enter input",IF(LEFT(S$6,4)&gt;LEFT('RFM input'!$Q$60,4),0,INDEX('RFM input'!$G$61:$Q$110,$A230,MATCH(S$6,'RFM input'!$G$60:$Q$60,0))
-INDEX('RFM input'!$G$115:$Q$164,$A230,MATCH(S$6,'RFM input'!$G$60:$Q$60,0))
-INDEX('RFM input'!$G$169:$Q$218,$A230,MATCH(S$6,'RFM input'!$G$60:$Q$60,0))))</f>
        <v>0</v>
      </c>
      <c r="T230" s="1417">
        <f>IF(LEFT(T$6,4)&lt;LEFT('RFM input'!$G$60,4),"enter input",IF(LEFT(T$6,4)&gt;LEFT('RFM input'!$Q$60,4),0,INDEX('RFM input'!$G$61:$Q$110,$A230,MATCH(T$6,'RFM input'!$G$60:$Q$60,0))
-INDEX('RFM input'!$G$115:$Q$164,$A230,MATCH(T$6,'RFM input'!$G$60:$Q$60,0))
-INDEX('RFM input'!$G$169:$Q$218,$A230,MATCH(T$6,'RFM input'!$G$60:$Q$60,0))))</f>
        <v>0</v>
      </c>
      <c r="U230" s="1417">
        <f>IF(LEFT(U$6,4)&lt;LEFT('RFM input'!$G$60,4),"enter input",IF(LEFT(U$6,4)&gt;LEFT('RFM input'!$Q$60,4),0,INDEX('RFM input'!$G$61:$Q$110,$A230,MATCH(U$6,'RFM input'!$G$60:$Q$60,0))
-INDEX('RFM input'!$G$115:$Q$164,$A230,MATCH(U$6,'RFM input'!$G$60:$Q$60,0))
-INDEX('RFM input'!$G$169:$Q$218,$A230,MATCH(U$6,'RFM input'!$G$60:$Q$60,0))))</f>
        <v>0</v>
      </c>
      <c r="V230" s="1417">
        <f>IF(LEFT(V$6,4)&lt;LEFT('RFM input'!$G$60,4),"enter input",IF(LEFT(V$6,4)&gt;LEFT('RFM input'!$Q$60,4),0,INDEX('RFM input'!$G$61:$Q$110,$A230,MATCH(V$6,'RFM input'!$G$60:$Q$60,0))
-INDEX('RFM input'!$G$115:$Q$164,$A230,MATCH(V$6,'RFM input'!$G$60:$Q$60,0))
-INDEX('RFM input'!$G$169:$Q$218,$A230,MATCH(V$6,'RFM input'!$G$60:$Q$60,0))))</f>
        <v>0</v>
      </c>
      <c r="W230" s="1417">
        <f>IF(LEFT(W$6,4)&lt;LEFT('RFM input'!$G$60,4),"enter input",IF(LEFT(W$6,4)&gt;LEFT('RFM input'!$Q$60,4),0,INDEX('RFM input'!$G$61:$Q$110,$A230,MATCH(W$6,'RFM input'!$G$60:$Q$60,0))
-INDEX('RFM input'!$G$115:$Q$164,$A230,MATCH(W$6,'RFM input'!$G$60:$Q$60,0))
-INDEX('RFM input'!$G$169:$Q$218,$A230,MATCH(W$6,'RFM input'!$G$60:$Q$60,0))))</f>
        <v>0</v>
      </c>
      <c r="X230" s="152"/>
      <c r="Y230" s="152"/>
      <c r="Z230" s="152"/>
      <c r="AA230" s="152"/>
      <c r="AB230" s="152"/>
    </row>
    <row r="231" spans="1:28">
      <c r="A231" s="152"/>
      <c r="B231" s="152" t="s">
        <v>204</v>
      </c>
      <c r="C231" s="1418">
        <f ca="1">IF($C$8='Capital Base roll forward'!$H$4,OFFSET('RFM input'!$J$6,'RAB remaining lives'!A230,0),"enter input")</f>
        <v>8.8780671472526773</v>
      </c>
      <c r="D231" s="1417">
        <f>IF(LEFT(D$6,4)&lt;=LEFT('RFM input'!$G$60,4),"enter input",IF(LEFT(D$6,4)&gt;LEFT('RFM input'!$Q$60,4),0,IF(MATCH(D$6,'RFM input'!$H$60:$Q$60,0),INDEX('RFM input'!$K$7:$K$56,$A230,1))))</f>
        <v>5</v>
      </c>
      <c r="E231" s="1417">
        <f>IF(LEFT(E$6,4)&lt;=LEFT('RFM input'!$G$60,4),"enter input",IF(LEFT(E$6,4)&gt;LEFT('RFM input'!$Q$60,4),0,IF(MATCH(E$6,'RFM input'!$H$60:$Q$60,0),INDEX('RFM input'!$K$7:$K$56,$A230,1))))</f>
        <v>5</v>
      </c>
      <c r="F231" s="1417">
        <f>IF(LEFT(F$6,4)&lt;=LEFT('RFM input'!$G$60,4),"enter input",IF(LEFT(F$6,4)&gt;LEFT('RFM input'!$Q$60,4),0,IF(MATCH(F$6,'RFM input'!$H$60:$Q$60,0),INDEX('RFM input'!$K$7:$K$56,$A230,1))))</f>
        <v>5</v>
      </c>
      <c r="G231" s="1417">
        <f>IF(LEFT(G$6,4)&lt;=LEFT('RFM input'!$G$60,4),"enter input",IF(LEFT(G$6,4)&gt;LEFT('RFM input'!$Q$60,4),0,IF(MATCH(G$6,'RFM input'!$H$60:$Q$60,0),INDEX('RFM input'!$K$7:$K$56,$A230,1))))</f>
        <v>5</v>
      </c>
      <c r="H231" s="1417">
        <f>IF(LEFT(H$6,4)&lt;=LEFT('RFM input'!$G$60,4),"enter input",IF(LEFT(H$6,4)&gt;LEFT('RFM input'!$Q$60,4),0,IF(MATCH(H$6,'RFM input'!$H$60:$Q$60,0),INDEX('RFM input'!$K$7:$K$56,$A230,1))))</f>
        <v>5</v>
      </c>
      <c r="I231" s="1417">
        <f>IF(LEFT(I$6,4)&lt;=LEFT('RFM input'!$G$60,4),"enter input",IF(LEFT(I$6,4)&gt;LEFT('RFM input'!$Q$60,4),0,IF(MATCH(I$6,'RFM input'!$H$60:$Q$60,0),INDEX('RFM input'!$K$7:$K$56,$A230,1))))</f>
        <v>5</v>
      </c>
      <c r="J231" s="1417">
        <f>IF(LEFT(J$6,4)&lt;=LEFT('RFM input'!$G$60,4),"enter input",IF(LEFT(J$6,4)&gt;LEFT('RFM input'!$Q$60,4),0,IF(MATCH(J$6,'RFM input'!$H$60:$Q$60,0),INDEX('RFM input'!$K$7:$K$56,$A230,1))))</f>
        <v>5</v>
      </c>
      <c r="K231" s="1417">
        <f>IF(LEFT(K$6,4)&lt;=LEFT('RFM input'!$G$60,4),"enter input",IF(LEFT(K$6,4)&gt;LEFT('RFM input'!$Q$60,4),0,IF(MATCH(K$6,'RFM input'!$H$60:$Q$60,0),INDEX('RFM input'!$K$7:$K$56,$A230,1))))</f>
        <v>5</v>
      </c>
      <c r="L231" s="1417">
        <f>IF(LEFT(L$6,4)&lt;=LEFT('RFM input'!$G$60,4),"enter input",IF(LEFT(L$6,4)&gt;LEFT('RFM input'!$Q$60,4),0,IF(MATCH(L$6,'RFM input'!$H$60:$Q$60,0),INDEX('RFM input'!$K$7:$K$56,$A230,1))))</f>
        <v>5</v>
      </c>
      <c r="M231" s="1417">
        <f>IF(LEFT(M$6,4)&lt;=LEFT('RFM input'!$G$60,4),"enter input",IF(LEFT(M$6,4)&gt;LEFT('RFM input'!$Q$60,4),0,IF(MATCH(M$6,'RFM input'!$H$60:$Q$60,0),INDEX('RFM input'!$K$7:$K$56,$A230,1))))</f>
        <v>5</v>
      </c>
      <c r="N231" s="1417">
        <f>IF(LEFT(N$6,4)&lt;=LEFT('RFM input'!$G$60,4),"enter input",IF(LEFT(N$6,4)&gt;LEFT('RFM input'!$Q$60,4),0,IF(MATCH(N$6,'RFM input'!$H$60:$Q$60,0),INDEX('RFM input'!$K$7:$K$56,$A230,1))))</f>
        <v>0</v>
      </c>
      <c r="O231" s="1417">
        <f>IF(LEFT(O$6,4)&lt;=LEFT('RFM input'!$G$60,4),"enter input",IF(LEFT(O$6,4)&gt;LEFT('RFM input'!$Q$60,4),0,IF(MATCH(O$6,'RFM input'!$H$60:$Q$60,0),INDEX('RFM input'!$K$7:$K$56,$A230,1))))</f>
        <v>0</v>
      </c>
      <c r="P231" s="1417">
        <f>IF(LEFT(P$6,4)&lt;=LEFT('RFM input'!$G$60,4),"enter input",IF(LEFT(P$6,4)&gt;LEFT('RFM input'!$Q$60,4),0,IF(MATCH(P$6,'RFM input'!$H$60:$Q$60,0),INDEX('RFM input'!$K$7:$K$56,$A230,1))))</f>
        <v>0</v>
      </c>
      <c r="Q231" s="1417">
        <f>IF(LEFT(Q$6,4)&lt;=LEFT('RFM input'!$G$60,4),"enter input",IF(LEFT(Q$6,4)&gt;LEFT('RFM input'!$Q$60,4),0,IF(MATCH(Q$6,'RFM input'!$H$60:$Q$60,0),INDEX('RFM input'!$K$7:$K$56,$A230,1))))</f>
        <v>0</v>
      </c>
      <c r="R231" s="1417">
        <f>IF(LEFT(R$6,4)&lt;=LEFT('RFM input'!$G$60,4),"enter input",IF(LEFT(R$6,4)&gt;LEFT('RFM input'!$Q$60,4),0,IF(MATCH(R$6,'RFM input'!$H$60:$Q$60,0),INDEX('RFM input'!$K$7:$K$56,$A230,1))))</f>
        <v>0</v>
      </c>
      <c r="S231" s="1417">
        <f>IF(LEFT(S$6,4)&lt;=LEFT('RFM input'!$G$60,4),"enter input",IF(LEFT(S$6,4)&gt;LEFT('RFM input'!$Q$60,4),0,IF(MATCH(S$6,'RFM input'!$H$60:$Q$60,0),INDEX('RFM input'!$K$7:$K$56,$A230,1))))</f>
        <v>0</v>
      </c>
      <c r="T231" s="1417">
        <f>IF(LEFT(T$6,4)&lt;=LEFT('RFM input'!$G$60,4),"enter input",IF(LEFT(T$6,4)&gt;LEFT('RFM input'!$Q$60,4),0,IF(MATCH(T$6,'RFM input'!$H$60:$Q$60,0),INDEX('RFM input'!$K$7:$K$56,$A230,1))))</f>
        <v>0</v>
      </c>
      <c r="U231" s="1417">
        <f>IF(LEFT(U$6,4)&lt;=LEFT('RFM input'!$G$60,4),"enter input",IF(LEFT(U$6,4)&gt;LEFT('RFM input'!$Q$60,4),0,IF(MATCH(U$6,'RFM input'!$H$60:$Q$60,0),INDEX('RFM input'!$K$7:$K$56,$A230,1))))</f>
        <v>0</v>
      </c>
      <c r="V231" s="1417">
        <f>IF(LEFT(V$6,4)&lt;=LEFT('RFM input'!$G$60,4),"enter input",IF(LEFT(V$6,4)&gt;LEFT('RFM input'!$Q$60,4),0,IF(MATCH(V$6,'RFM input'!$H$60:$Q$60,0),INDEX('RFM input'!$K$7:$K$56,$A230,1))))</f>
        <v>0</v>
      </c>
      <c r="W231" s="1417">
        <f>IF(LEFT(W$6,4)&lt;=LEFT('RFM input'!$G$60,4),"enter input",IF(LEFT(W$6,4)&gt;LEFT('RFM input'!$Q$60,4),0,IF(MATCH(W$6,'RFM input'!$H$60:$Q$60,0),INDEX('RFM input'!$K$7:$K$56,$A230,1))))</f>
        <v>0</v>
      </c>
      <c r="X231" s="152"/>
      <c r="Y231" s="152"/>
      <c r="Z231" s="152"/>
      <c r="AA231" s="152"/>
      <c r="AB231" s="152"/>
    </row>
    <row r="232" spans="1:28">
      <c r="A232" s="152"/>
      <c r="B232" s="177" t="s">
        <v>191</v>
      </c>
      <c r="C232" s="1419"/>
      <c r="D232" s="1420">
        <f ca="1">IF(LEFT(D$6,4)&lt;=LEFT('RFM input'!$G$60,4),"enter input",IF(LEFT(D$6,4)&gt;LEFT('RFM input'!$Q$60,4),0,IF(D$6=(OFFSET('RFM input'!$G$60,0,'RFM input'!$V$7)),OFFSET('RFM input'!$G$411,$A230,0),0)))</f>
        <v>0</v>
      </c>
      <c r="E232" s="1417">
        <f ca="1">IF(LEFT(E$6,4)&lt;=LEFT('RFM input'!$G$60,4),"enter input",IF(LEFT(E$6,4)&gt;LEFT('RFM input'!$Q$60,4),0,IF(E$6=(OFFSET('RFM input'!$G$60,0,'RFM input'!$V$7)),OFFSET('RFM input'!$G$411,$A230,0),0)))</f>
        <v>0</v>
      </c>
      <c r="F232" s="1417">
        <f ca="1">IF(LEFT(F$6,4)&lt;=LEFT('RFM input'!$G$60,4),"enter input",IF(LEFT(F$6,4)&gt;LEFT('RFM input'!$Q$60,4),0,IF(F$6=(OFFSET('RFM input'!$G$60,0,'RFM input'!$V$7)),OFFSET('RFM input'!$G$411,$A230,0),0)))</f>
        <v>0</v>
      </c>
      <c r="G232" s="1417">
        <f ca="1">IF(LEFT(G$6,4)&lt;=LEFT('RFM input'!$G$60,4),"enter input",IF(LEFT(G$6,4)&gt;LEFT('RFM input'!$Q$60,4),0,IF(G$6=(OFFSET('RFM input'!$G$60,0,'RFM input'!$V$7)),OFFSET('RFM input'!$G$411,$A230,0),0)))</f>
        <v>0</v>
      </c>
      <c r="H232" s="1417">
        <f ca="1">IF(LEFT(H$6,4)&lt;=LEFT('RFM input'!$G$60,4),"enter input",IF(LEFT(H$6,4)&gt;LEFT('RFM input'!$Q$60,4),0,IF(H$6=(OFFSET('RFM input'!$G$60,0,'RFM input'!$V$7)),OFFSET('RFM input'!$G$411,$A230,0),0)))</f>
        <v>0</v>
      </c>
      <c r="I232" s="1417">
        <f ca="1">IF(LEFT(I$6,4)&lt;=LEFT('RFM input'!$G$60,4),"enter input",IF(LEFT(I$6,4)&gt;LEFT('RFM input'!$Q$60,4),0,IF(I$6=(OFFSET('RFM input'!$G$60,0,'RFM input'!$V$7)),OFFSET('RFM input'!$G$411,$A230,0),0)))</f>
        <v>0</v>
      </c>
      <c r="J232" s="1417">
        <f ca="1">IF(LEFT(J$6,4)&lt;=LEFT('RFM input'!$G$60,4),"enter input",IF(LEFT(J$6,4)&gt;LEFT('RFM input'!$Q$60,4),0,IF(J$6=(OFFSET('RFM input'!$G$60,0,'RFM input'!$V$7)),OFFSET('RFM input'!$G$411,$A230,0),0)))</f>
        <v>0</v>
      </c>
      <c r="K232" s="1417">
        <f ca="1">IF(LEFT(K$6,4)&lt;=LEFT('RFM input'!$G$60,4),"enter input",IF(LEFT(K$6,4)&gt;LEFT('RFM input'!$Q$60,4),0,IF(K$6=(OFFSET('RFM input'!$G$60,0,'RFM input'!$V$7)),OFFSET('RFM input'!$G$411,$A230,0),0)))</f>
        <v>0</v>
      </c>
      <c r="L232" s="1417">
        <f ca="1">IF(LEFT(L$6,4)&lt;=LEFT('RFM input'!$G$60,4),"enter input",IF(LEFT(L$6,4)&gt;LEFT('RFM input'!$Q$60,4),0,IF(L$6=(OFFSET('RFM input'!$G$60,0,'RFM input'!$V$7)),OFFSET('RFM input'!$G$411,$A230,0),0)))</f>
        <v>0</v>
      </c>
      <c r="M232" s="1417">
        <f ca="1">IF(LEFT(M$6,4)&lt;=LEFT('RFM input'!$G$60,4),"enter input",IF(LEFT(M$6,4)&gt;LEFT('RFM input'!$Q$60,4),0,IF(M$6=(OFFSET('RFM input'!$G$60,0,'RFM input'!$V$7)),OFFSET('RFM input'!$G$411,$A230,0),0)))</f>
        <v>0</v>
      </c>
      <c r="N232" s="1417">
        <f ca="1">IF(LEFT(N$6,4)&lt;=LEFT('RFM input'!$G$60,4),"enter input",IF(LEFT(N$6,4)&gt;LEFT('RFM input'!$Q$60,4),0,IF(N$6=(OFFSET('RFM input'!$G$60,0,'RFM input'!$V$7)),OFFSET('RFM input'!$G$411,$A230,0),0)))</f>
        <v>0</v>
      </c>
      <c r="O232" s="1417">
        <f ca="1">IF(LEFT(O$6,4)&lt;=LEFT('RFM input'!$G$60,4),"enter input",IF(LEFT(O$6,4)&gt;LEFT('RFM input'!$Q$60,4),0,IF(O$6=(OFFSET('RFM input'!$G$60,0,'RFM input'!$V$7)),OFFSET('RFM input'!$G$411,$A230,0),0)))</f>
        <v>0</v>
      </c>
      <c r="P232" s="1417">
        <f ca="1">IF(LEFT(P$6,4)&lt;=LEFT('RFM input'!$G$60,4),"enter input",IF(LEFT(P$6,4)&gt;LEFT('RFM input'!$Q$60,4),0,IF(P$6=(OFFSET('RFM input'!$G$60,0,'RFM input'!$V$7)),OFFSET('RFM input'!$G$411,$A230,0),0)))</f>
        <v>0</v>
      </c>
      <c r="Q232" s="1417">
        <f ca="1">IF(LEFT(Q$6,4)&lt;=LEFT('RFM input'!$G$60,4),"enter input",IF(LEFT(Q$6,4)&gt;LEFT('RFM input'!$Q$60,4),0,IF(Q$6=(OFFSET('RFM input'!$G$60,0,'RFM input'!$V$7)),OFFSET('RFM input'!$G$411,$A230,0),0)))</f>
        <v>0</v>
      </c>
      <c r="R232" s="1417">
        <f ca="1">IF(LEFT(R$6,4)&lt;=LEFT('RFM input'!$G$60,4),"enter input",IF(LEFT(R$6,4)&gt;LEFT('RFM input'!$Q$60,4),0,IF(R$6=(OFFSET('RFM input'!$G$60,0,'RFM input'!$V$7)),OFFSET('RFM input'!$G$411,$A230,0),0)))</f>
        <v>0</v>
      </c>
      <c r="S232" s="1417">
        <f ca="1">IF(LEFT(S$6,4)&lt;=LEFT('RFM input'!$G$60,4),"enter input",IF(LEFT(S$6,4)&gt;LEFT('RFM input'!$Q$60,4),0,IF(S$6=(OFFSET('RFM input'!$G$60,0,'RFM input'!$V$7)),OFFSET('RFM input'!$G$411,$A230,0),0)))</f>
        <v>0</v>
      </c>
      <c r="T232" s="1417">
        <f ca="1">IF(LEFT(T$6,4)&lt;=LEFT('RFM input'!$G$60,4),"enter input",IF(LEFT(T$6,4)&gt;LEFT('RFM input'!$Q$60,4),0,IF(T$6=(OFFSET('RFM input'!$G$60,0,'RFM input'!$V$7)),OFFSET('RFM input'!$G$411,$A230,0),0)))</f>
        <v>0</v>
      </c>
      <c r="U232" s="1417">
        <f ca="1">IF(LEFT(U$6,4)&lt;=LEFT('RFM input'!$G$60,4),"enter input",IF(LEFT(U$6,4)&gt;LEFT('RFM input'!$Q$60,4),0,IF(U$6=(OFFSET('RFM input'!$G$60,0,'RFM input'!$V$7)),OFFSET('RFM input'!$G$411,$A230,0),0)))</f>
        <v>0</v>
      </c>
      <c r="V232" s="1417">
        <f ca="1">IF(LEFT(V$6,4)&lt;=LEFT('RFM input'!$G$60,4),"enter input",IF(LEFT(V$6,4)&gt;LEFT('RFM input'!$Q$60,4),0,IF(V$6=(OFFSET('RFM input'!$G$60,0,'RFM input'!$V$7)),OFFSET('RFM input'!$G$411,$A230,0),0)))</f>
        <v>0</v>
      </c>
      <c r="W232" s="1417">
        <f ca="1">IF(LEFT(W$6,4)&lt;=LEFT('RFM input'!$G$60,4),"enter input",IF(LEFT(W$6,4)&gt;LEFT('RFM input'!$Q$60,4),0,IF(W$6=(OFFSET('RFM input'!$G$60,0,'RFM input'!$V$7)),OFFSET('RFM input'!$G$411,$A230,0),0)))</f>
        <v>0</v>
      </c>
      <c r="X232" s="152"/>
      <c r="Y232" s="152"/>
      <c r="Z232" s="152"/>
      <c r="AA232" s="152"/>
      <c r="AB232" s="152"/>
    </row>
    <row r="233" spans="1:28">
      <c r="A233" s="152"/>
      <c r="B233" s="195" t="s">
        <v>197</v>
      </c>
      <c r="C233" s="1419"/>
      <c r="D233" s="1418">
        <f ca="1">IF(LEFT(D$6,4)&lt;=LEFT('RFM input'!$G$60,4),"enter input",IF(LEFT(D$6,4)&gt;LEFT('RFM input'!$Q$60,4),0,IF(D$6=(OFFSET('RFM input'!$G$60,0,'RFM input'!$V$7)),OFFSET('RFM input'!$I$411,$A230,0),0)))</f>
        <v>0</v>
      </c>
      <c r="E233" s="1422">
        <f ca="1">IF(LEFT(E$6,4)&lt;=LEFT('RFM input'!$G$60,4),"enter input",IF(LEFT(E$6,4)&gt;LEFT('RFM input'!$Q$60,4),0,IF(E$6=(OFFSET('RFM input'!$G$60,0,'RFM input'!$V$7)),OFFSET('RFM input'!$I$411,$A230,0),0)))</f>
        <v>0</v>
      </c>
      <c r="F233" s="1422">
        <f ca="1">IF(LEFT(F$6,4)&lt;=LEFT('RFM input'!$G$60,4),"enter input",IF(LEFT(F$6,4)&gt;LEFT('RFM input'!$Q$60,4),0,IF(F$6=(OFFSET('RFM input'!$G$60,0,'RFM input'!$V$7)),OFFSET('RFM input'!$I$411,$A230,0),0)))</f>
        <v>0</v>
      </c>
      <c r="G233" s="1422">
        <f ca="1">IF(LEFT(G$6,4)&lt;=LEFT('RFM input'!$G$60,4),"enter input",IF(LEFT(G$6,4)&gt;LEFT('RFM input'!$Q$60,4),0,IF(G$6=(OFFSET('RFM input'!$G$60,0,'RFM input'!$V$7)),OFFSET('RFM input'!$I$411,$A230,0),0)))</f>
        <v>0</v>
      </c>
      <c r="H233" s="1422">
        <f ca="1">IF(LEFT(H$6,4)&lt;=LEFT('RFM input'!$G$60,4),"enter input",IF(LEFT(H$6,4)&gt;LEFT('RFM input'!$Q$60,4),0,IF(H$6=(OFFSET('RFM input'!$G$60,0,'RFM input'!$V$7)),OFFSET('RFM input'!$I$411,$A230,0),0)))</f>
        <v>0</v>
      </c>
      <c r="I233" s="1422">
        <f ca="1">IF(LEFT(I$6,4)&lt;=LEFT('RFM input'!$G$60,4),"enter input",IF(LEFT(I$6,4)&gt;LEFT('RFM input'!$Q$60,4),0,IF(I$6=(OFFSET('RFM input'!$G$60,0,'RFM input'!$V$7)),OFFSET('RFM input'!$I$411,$A230,0),0)))</f>
        <v>0</v>
      </c>
      <c r="J233" s="1422">
        <f ca="1">IF(LEFT(J$6,4)&lt;=LEFT('RFM input'!$G$60,4),"enter input",IF(LEFT(J$6,4)&gt;LEFT('RFM input'!$Q$60,4),0,IF(J$6=(OFFSET('RFM input'!$G$60,0,'RFM input'!$V$7)),OFFSET('RFM input'!$I$411,$A230,0),0)))</f>
        <v>0</v>
      </c>
      <c r="K233" s="1422">
        <f ca="1">IF(LEFT(K$6,4)&lt;=LEFT('RFM input'!$G$60,4),"enter input",IF(LEFT(K$6,4)&gt;LEFT('RFM input'!$Q$60,4),0,IF(K$6=(OFFSET('RFM input'!$G$60,0,'RFM input'!$V$7)),OFFSET('RFM input'!$I$411,$A230,0),0)))</f>
        <v>0</v>
      </c>
      <c r="L233" s="1422">
        <f ca="1">IF(LEFT(L$6,4)&lt;=LEFT('RFM input'!$G$60,4),"enter input",IF(LEFT(L$6,4)&gt;LEFT('RFM input'!$Q$60,4),0,IF(L$6=(OFFSET('RFM input'!$G$60,0,'RFM input'!$V$7)),OFFSET('RFM input'!$I$411,$A230,0),0)))</f>
        <v>0</v>
      </c>
      <c r="M233" s="1422">
        <f ca="1">IF(LEFT(M$6,4)&lt;=LEFT('RFM input'!$G$60,4),"enter input",IF(LEFT(M$6,4)&gt;LEFT('RFM input'!$Q$60,4),0,IF(M$6=(OFFSET('RFM input'!$G$60,0,'RFM input'!$V$7)),OFFSET('RFM input'!$I$411,$A230,0),0)))</f>
        <v>0</v>
      </c>
      <c r="N233" s="1422">
        <f ca="1">IF(LEFT(N$6,4)&lt;=LEFT('RFM input'!$G$60,4),"enter input",IF(LEFT(N$6,4)&gt;LEFT('RFM input'!$Q$60,4),0,IF(N$6=(OFFSET('RFM input'!$G$60,0,'RFM input'!$V$7)),OFFSET('RFM input'!$I$411,$A230,0),0)))</f>
        <v>0</v>
      </c>
      <c r="O233" s="1422">
        <f ca="1">IF(LEFT(O$6,4)&lt;=LEFT('RFM input'!$G$60,4),"enter input",IF(LEFT(O$6,4)&gt;LEFT('RFM input'!$Q$60,4),0,IF(O$6=(OFFSET('RFM input'!$G$60,0,'RFM input'!$V$7)),OFFSET('RFM input'!$I$411,$A230,0),0)))</f>
        <v>0</v>
      </c>
      <c r="P233" s="1422">
        <f ca="1">IF(LEFT(P$6,4)&lt;=LEFT('RFM input'!$G$60,4),"enter input",IF(LEFT(P$6,4)&gt;LEFT('RFM input'!$Q$60,4),0,IF(P$6=(OFFSET('RFM input'!$G$60,0,'RFM input'!$V$7)),OFFSET('RFM input'!$I$411,$A230,0),0)))</f>
        <v>0</v>
      </c>
      <c r="Q233" s="1422">
        <f ca="1">IF(LEFT(Q$6,4)&lt;=LEFT('RFM input'!$G$60,4),"enter input",IF(LEFT(Q$6,4)&gt;LEFT('RFM input'!$Q$60,4),0,IF(Q$6=(OFFSET('RFM input'!$G$60,0,'RFM input'!$V$7)),OFFSET('RFM input'!$I$411,$A230,0),0)))</f>
        <v>0</v>
      </c>
      <c r="R233" s="1422">
        <f ca="1">IF(LEFT(R$6,4)&lt;=LEFT('RFM input'!$G$60,4),"enter input",IF(LEFT(R$6,4)&gt;LEFT('RFM input'!$Q$60,4),0,IF(R$6=(OFFSET('RFM input'!$G$60,0,'RFM input'!$V$7)),OFFSET('RFM input'!$I$411,$A230,0),0)))</f>
        <v>0</v>
      </c>
      <c r="S233" s="1422">
        <f ca="1">IF(LEFT(S$6,4)&lt;=LEFT('RFM input'!$G$60,4),"enter input",IF(LEFT(S$6,4)&gt;LEFT('RFM input'!$Q$60,4),0,IF(S$6=(OFFSET('RFM input'!$G$60,0,'RFM input'!$V$7)),OFFSET('RFM input'!$I$411,$A230,0),0)))</f>
        <v>0</v>
      </c>
      <c r="T233" s="1422">
        <f ca="1">IF(LEFT(T$6,4)&lt;=LEFT('RFM input'!$G$60,4),"enter input",IF(LEFT(T$6,4)&gt;LEFT('RFM input'!$Q$60,4),0,IF(T$6=(OFFSET('RFM input'!$G$60,0,'RFM input'!$V$7)),OFFSET('RFM input'!$I$411,$A230,0),0)))</f>
        <v>0</v>
      </c>
      <c r="U233" s="1422">
        <f ca="1">IF(LEFT(U$6,4)&lt;=LEFT('RFM input'!$G$60,4),"enter input",IF(LEFT(U$6,4)&gt;LEFT('RFM input'!$Q$60,4),0,IF(U$6=(OFFSET('RFM input'!$G$60,0,'RFM input'!$V$7)),OFFSET('RFM input'!$I$411,$A230,0),0)))</f>
        <v>0</v>
      </c>
      <c r="V233" s="1422">
        <f ca="1">IF(LEFT(V$6,4)&lt;=LEFT('RFM input'!$G$60,4),"enter input",IF(LEFT(V$6,4)&gt;LEFT('RFM input'!$Q$60,4),0,IF(V$6=(OFFSET('RFM input'!$G$60,0,'RFM input'!$V$7)),OFFSET('RFM input'!$I$411,$A230,0),0)))</f>
        <v>0</v>
      </c>
      <c r="W233" s="1422">
        <f ca="1">IF(LEFT(W$6,4)&lt;=LEFT('RFM input'!$G$60,4),"enter input",IF(LEFT(W$6,4)&gt;LEFT('RFM input'!$Q$60,4),0,IF(W$6=(OFFSET('RFM input'!$G$60,0,'RFM input'!$V$7)),OFFSET('RFM input'!$I$411,$A230,0),0)))</f>
        <v>0</v>
      </c>
      <c r="X233" s="152"/>
      <c r="Y233" s="152"/>
      <c r="Z233" s="152"/>
      <c r="AA233" s="152"/>
      <c r="AB233" s="152"/>
    </row>
    <row r="234" spans="1:28" hidden="1" outlineLevel="1">
      <c r="A234" s="235">
        <v>-1</v>
      </c>
      <c r="B234" s="190" t="s">
        <v>189</v>
      </c>
      <c r="C234" s="1423"/>
      <c r="D234" s="1423">
        <f ca="1">IF(AND(D232=0,C234=0),0,
IF(AND(D232&lt;&gt;0,C234=0),(D232/D$10),
IF(AND(D233&lt;&gt;0,C234&lt;&gt;0),(C234-(C234/C258))+(D232/D$10),
IF(C258&lt;1,0,(C234-(C234/C258))))))</f>
        <v>0</v>
      </c>
      <c r="E234" s="1423">
        <f t="shared" ref="E234" ca="1" si="289">IF(AND(E232=0,D234=0),0,
IF(AND(E232&lt;&gt;0,D234=0),(E232/E$10),
IF(AND(E233&lt;&gt;0,D234&lt;&gt;0),(D234-(D234/D258))+(E232/E$10),
IF(D258&lt;1,0,(D234-(D234/D258))))))</f>
        <v>0</v>
      </c>
      <c r="F234" s="1423">
        <f t="shared" ref="F234" ca="1" si="290">IF(AND(F232=0,E234=0),0,
IF(AND(F232&lt;&gt;0,E234=0),(F232/F$10),
IF(AND(F233&lt;&gt;0,E234&lt;&gt;0),(E234-(E234/E258))+(F232/F$10),
IF(E258&lt;1,0,(E234-(E234/E258))))))</f>
        <v>0</v>
      </c>
      <c r="G234" s="1423">
        <f t="shared" ref="G234" ca="1" si="291">IF(AND(G232=0,F234=0),0,
IF(AND(G232&lt;&gt;0,F234=0),(G232/G$10),
IF(AND(G233&lt;&gt;0,F234&lt;&gt;0),(F234-(F234/F258))+(G232/G$10),
IF(F258&lt;1,0,(F234-(F234/F258))))))</f>
        <v>0</v>
      </c>
      <c r="H234" s="1423">
        <f t="shared" ref="H234" ca="1" si="292">IF(AND(H232=0,G234=0),0,
IF(AND(H232&lt;&gt;0,G234=0),(H232/H$10),
IF(AND(H233&lt;&gt;0,G234&lt;&gt;0),(G234-(G234/G258))+(H232/H$10),
IF(G258&lt;1,0,(G234-(G234/G258))))))</f>
        <v>0</v>
      </c>
      <c r="I234" s="1423">
        <f t="shared" ref="I234" ca="1" si="293">IF(AND(I232=0,H234=0),0,
IF(AND(I232&lt;&gt;0,H234=0),(I232/I$10),
IF(AND(I233&lt;&gt;0,H234&lt;&gt;0),(H234-(H234/H258))+(I232/I$10),
IF(H258&lt;1,0,(H234-(H234/H258))))))</f>
        <v>0</v>
      </c>
      <c r="J234" s="1423">
        <f t="shared" ref="J234" ca="1" si="294">IF(AND(J232=0,I234=0),0,
IF(AND(J232&lt;&gt;0,I234=0),(J232/J$10),
IF(AND(J233&lt;&gt;0,I234&lt;&gt;0),(I234-(I234/I258))+(J232/J$10),
IF(I258&lt;1,0,(I234-(I234/I258))))))</f>
        <v>0</v>
      </c>
      <c r="K234" s="1423">
        <f t="shared" ref="K234" ca="1" si="295">IF(AND(K232=0,J234=0),0,
IF(AND(K232&lt;&gt;0,J234=0),(K232/K$10),
IF(AND(K233&lt;&gt;0,J234&lt;&gt;0),(J234-(J234/J258))+(K232/K$10),
IF(J258&lt;1,0,(J234-(J234/J258))))))</f>
        <v>0</v>
      </c>
      <c r="L234" s="1423">
        <f t="shared" ref="L234" ca="1" si="296">IF(AND(L232=0,K234=0),0,
IF(AND(L232&lt;&gt;0,K234=0),(L232/L$10),
IF(AND(L233&lt;&gt;0,K234&lt;&gt;0),(K234-(K234/K258))+(L232/L$10),
IF(K258&lt;1,0,(K234-(K234/K258))))))</f>
        <v>0</v>
      </c>
      <c r="M234" s="1423">
        <f t="shared" ref="M234" ca="1" si="297">IF(AND(M232=0,L234=0),0,
IF(AND(M232&lt;&gt;0,L234=0),(M232/M$10),
IF(AND(M233&lt;&gt;0,L234&lt;&gt;0),(L234-(L234/L258))+(M232/M$10),
IF(L258&lt;1,0,(L234-(L234/L258))))))</f>
        <v>0</v>
      </c>
      <c r="N234" s="1423">
        <f t="shared" ref="N234" ca="1" si="298">IF(AND(N232=0,M234=0),0,
IF(AND(N232&lt;&gt;0,M234=0),(N232/N$10),
IF(AND(N233&lt;&gt;0,M234&lt;&gt;0),(M234-(M234/M258))+(N232/N$10),
IF(M258&lt;1,0,(M234-(M234/M258))))))</f>
        <v>0</v>
      </c>
      <c r="O234" s="1423">
        <f t="shared" ref="O234" ca="1" si="299">IF(AND(O232=0,N234=0),0,
IF(AND(O232&lt;&gt;0,N234=0),(O232/O$10),
IF(AND(O233&lt;&gt;0,N234&lt;&gt;0),(N234-(N234/N258))+(O232/O$10),
IF(N258&lt;1,0,(N234-(N234/N258))))))</f>
        <v>0</v>
      </c>
      <c r="P234" s="1423">
        <f t="shared" ref="P234" ca="1" si="300">IF(AND(P232=0,O234=0),0,
IF(AND(P232&lt;&gt;0,O234=0),(P232/P$10),
IF(AND(P233&lt;&gt;0,O234&lt;&gt;0),(O234-(O234/O258))+(P232/P$10),
IF(O258&lt;1,0,(O234-(O234/O258))))))</f>
        <v>0</v>
      </c>
      <c r="Q234" s="1423">
        <f t="shared" ref="Q234" ca="1" si="301">IF(AND(Q232=0,P234=0),0,
IF(AND(Q232&lt;&gt;0,P234=0),(Q232/Q$10),
IF(AND(Q233&lt;&gt;0,P234&lt;&gt;0),(P234-(P234/P258))+(Q232/Q$10),
IF(P258&lt;1,0,(P234-(P234/P258))))))</f>
        <v>0</v>
      </c>
      <c r="R234" s="1423">
        <f t="shared" ref="R234" ca="1" si="302">IF(AND(R232=0,Q234=0),0,
IF(AND(R232&lt;&gt;0,Q234=0),(R232/R$10),
IF(AND(R233&lt;&gt;0,Q234&lt;&gt;0),(Q234-(Q234/Q258))+(R232/R$10),
IF(Q258&lt;1,0,(Q234-(Q234/Q258))))))</f>
        <v>0</v>
      </c>
      <c r="S234" s="1423">
        <f t="shared" ref="S234" ca="1" si="303">IF(AND(S232=0,R234=0),0,
IF(AND(S232&lt;&gt;0,R234=0),(S232/S$10),
IF(AND(S233&lt;&gt;0,R234&lt;&gt;0),(R234-(R234/R258))+(S232/S$10),
IF(R258&lt;1,0,(R234-(R234/R258))))))</f>
        <v>0</v>
      </c>
      <c r="T234" s="1423">
        <f t="shared" ref="T234" ca="1" si="304">IF(AND(T232=0,S234=0),0,
IF(AND(T232&lt;&gt;0,S234=0),(T232/T$10),
IF(AND(T233&lt;&gt;0,S234&lt;&gt;0),(S234-(S234/S258))+(T232/T$10),
IF(S258&lt;1,0,(S234-(S234/S258))))))</f>
        <v>0</v>
      </c>
      <c r="U234" s="1423">
        <f t="shared" ref="U234" ca="1" si="305">IF(AND(U232=0,T234=0),0,
IF(AND(U232&lt;&gt;0,T234=0),(U232/U$10),
IF(AND(U233&lt;&gt;0,T234&lt;&gt;0),(T234-(T234/T258))+(U232/U$10),
IF(T258&lt;1,0,(T234-(T234/T258))))))</f>
        <v>0</v>
      </c>
      <c r="V234" s="1423">
        <f t="shared" ref="V234" ca="1" si="306">IF(AND(V232=0,U234=0),0,
IF(AND(V232&lt;&gt;0,U234=0),(V232/V$10),
IF(AND(V233&lt;&gt;0,U234&lt;&gt;0),(U234-(U234/U258))+(V232/V$10),
IF(U258&lt;1,0,(U234-(U234/U258))))))</f>
        <v>0</v>
      </c>
      <c r="W234" s="1423">
        <f t="shared" ref="W234" ca="1" si="307">IF(AND(W232=0,V234=0),0,
IF(AND(W232&lt;&gt;0,V234=0),(W232/W$10),
IF(AND(W233&lt;&gt;0,V234&lt;&gt;0),(V234-(V234/V258))+(W232/W$10),
IF(V258&lt;1,0,(V234-(V234/V258))))))</f>
        <v>0</v>
      </c>
      <c r="X234" s="152"/>
      <c r="Y234" s="152"/>
      <c r="Z234" s="152"/>
      <c r="AA234" s="152"/>
      <c r="AB234" s="152"/>
    </row>
    <row r="235" spans="1:28" hidden="1" outlineLevel="1">
      <c r="A235" s="199">
        <f>A234+1</f>
        <v>0</v>
      </c>
      <c r="B235" s="190" t="s">
        <v>125</v>
      </c>
      <c r="C235" s="1423">
        <f ca="1">C230/C$10</f>
        <v>6.3057802613645082</v>
      </c>
      <c r="D235" s="1423">
        <f ca="1">IF(C259="n/a",C235,IFERROR(IF((OFFSET($C235,0,$A235))&lt;0,
MIN(0,C235-(OFFSET($C235,0,$A235)/(OFFSET($C230,-$A234,$A235)))),
MAX(0,C235-(OFFSET($C235,0,$A235)/(OFFSET($C230,-$A234,$A235))))),0))</f>
        <v>5.5955152727384831</v>
      </c>
      <c r="E235" s="1423">
        <f t="shared" ref="E235" ca="1" si="308">IF(D259="n/a",D235,IFERROR(IF((OFFSET($C235,0,$A235))&lt;0,
MIN(0,D235-(OFFSET($C235,0,$A235)/(OFFSET($C230,-$A234,$A235)))),
MAX(0,D235-(OFFSET($C235,0,$A235)/(OFFSET($C230,-$A234,$A235))))),0))</f>
        <v>4.8852502841124581</v>
      </c>
      <c r="F235" s="1423">
        <f t="shared" ref="F235:F236" ca="1" si="309">IF(E259="n/a",E235,IFERROR(IF((OFFSET($C235,0,$A235))&lt;0,
MIN(0,E235-(OFFSET($C235,0,$A235)/(OFFSET($C230,-$A234,$A235)))),
MAX(0,E235-(OFFSET($C235,0,$A235)/(OFFSET($C230,-$A234,$A235))))),0))</f>
        <v>4.174985295486433</v>
      </c>
      <c r="G235" s="1423">
        <f t="shared" ref="G235:G237" ca="1" si="310">IF(F259="n/a",F235,IFERROR(IF((OFFSET($C235,0,$A235))&lt;0,
MIN(0,F235-(OFFSET($C235,0,$A235)/(OFFSET($C230,-$A234,$A235)))),
MAX(0,F235-(OFFSET($C235,0,$A235)/(OFFSET($C230,-$A234,$A235))))),0))</f>
        <v>3.464720306860408</v>
      </c>
      <c r="H235" s="1423">
        <f t="shared" ref="H235:H238" ca="1" si="311">IF(G259="n/a",G235,IFERROR(IF((OFFSET($C235,0,$A235))&lt;0,
MIN(0,G235-(OFFSET($C235,0,$A235)/(OFFSET($C230,-$A234,$A235)))),
MAX(0,G235-(OFFSET($C235,0,$A235)/(OFFSET($C230,-$A234,$A235))))),0))</f>
        <v>2.7544553182343829</v>
      </c>
      <c r="I235" s="1423">
        <f t="shared" ref="I235:I239" ca="1" si="312">IF(H259="n/a",H235,IFERROR(IF((OFFSET($C235,0,$A235))&lt;0,
MIN(0,H235-(OFFSET($C235,0,$A235)/(OFFSET($C230,-$A234,$A235)))),
MAX(0,H235-(OFFSET($C235,0,$A235)/(OFFSET($C230,-$A234,$A235))))),0))</f>
        <v>2.0441903296083579</v>
      </c>
      <c r="J235" s="1423">
        <f t="shared" ref="J235:J240" ca="1" si="313">IF(I259="n/a",I235,IFERROR(IF((OFFSET($C235,0,$A235))&lt;0,
MIN(0,I235-(OFFSET($C235,0,$A235)/(OFFSET($C230,-$A234,$A235)))),
MAX(0,I235-(OFFSET($C235,0,$A235)/(OFFSET($C230,-$A234,$A235))))),0))</f>
        <v>1.3339253409823328</v>
      </c>
      <c r="K235" s="1423">
        <f t="shared" ref="K235:K241" ca="1" si="314">IF(J259="n/a",J235,IFERROR(IF((OFFSET($C235,0,$A235))&lt;0,
MIN(0,J235-(OFFSET($C235,0,$A235)/(OFFSET($C230,-$A234,$A235)))),
MAX(0,J235-(OFFSET($C235,0,$A235)/(OFFSET($C230,-$A234,$A235))))),0))</f>
        <v>0.6236603523563079</v>
      </c>
      <c r="L235" s="1423">
        <f t="shared" ref="L235:L242" ca="1" si="315">IF(K259="n/a",K235,IFERROR(IF((OFFSET($C235,0,$A235))&lt;0,
MIN(0,K235-(OFFSET($C235,0,$A235)/(OFFSET($C230,-$A234,$A235)))),
MAX(0,K235-(OFFSET($C235,0,$A235)/(OFFSET($C230,-$A234,$A235))))),0))</f>
        <v>0</v>
      </c>
      <c r="M235" s="1423">
        <f t="shared" ref="M235:M243" ca="1" si="316">IF(L259="n/a",L235,IFERROR(IF((OFFSET($C235,0,$A235))&lt;0,
MIN(0,L235-(OFFSET($C235,0,$A235)/(OFFSET($C230,-$A234,$A235)))),
MAX(0,L235-(OFFSET($C235,0,$A235)/(OFFSET($C230,-$A234,$A235))))),0))</f>
        <v>0</v>
      </c>
      <c r="N235" s="1423">
        <f t="shared" ref="N235:N244" ca="1" si="317">IF(M259="n/a",M235,IFERROR(IF((OFFSET($C235,0,$A235))&lt;0,
MIN(0,M235-(OFFSET($C235,0,$A235)/(OFFSET($C230,-$A234,$A235)))),
MAX(0,M235-(OFFSET($C235,0,$A235)/(OFFSET($C230,-$A234,$A235))))),0))</f>
        <v>0</v>
      </c>
      <c r="O235" s="1423">
        <f t="shared" ref="O235:O245" ca="1" si="318">IF(N259="n/a",N235,IFERROR(IF((OFFSET($C235,0,$A235))&lt;0,
MIN(0,N235-(OFFSET($C235,0,$A235)/(OFFSET($C230,-$A234,$A235)))),
MAX(0,N235-(OFFSET($C235,0,$A235)/(OFFSET($C230,-$A234,$A235))))),0))</f>
        <v>0</v>
      </c>
      <c r="P235" s="1423">
        <f t="shared" ref="P235:P246" ca="1" si="319">IF(O259="n/a",O235,IFERROR(IF((OFFSET($C235,0,$A235))&lt;0,
MIN(0,O235-(OFFSET($C235,0,$A235)/(OFFSET($C230,-$A234,$A235)))),
MAX(0,O235-(OFFSET($C235,0,$A235)/(OFFSET($C230,-$A234,$A235))))),0))</f>
        <v>0</v>
      </c>
      <c r="Q235" s="1423">
        <f t="shared" ref="Q235:Q247" ca="1" si="320">IF(P259="n/a",P235,IFERROR(IF((OFFSET($C235,0,$A235))&lt;0,
MIN(0,P235-(OFFSET($C235,0,$A235)/(OFFSET($C230,-$A234,$A235)))),
MAX(0,P235-(OFFSET($C235,0,$A235)/(OFFSET($C230,-$A234,$A235))))),0))</f>
        <v>0</v>
      </c>
      <c r="R235" s="1423">
        <f t="shared" ref="R235:R248" ca="1" si="321">IF(Q259="n/a",Q235,IFERROR(IF((OFFSET($C235,0,$A235))&lt;0,
MIN(0,Q235-(OFFSET($C235,0,$A235)/(OFFSET($C230,-$A234,$A235)))),
MAX(0,Q235-(OFFSET($C235,0,$A235)/(OFFSET($C230,-$A234,$A235))))),0))</f>
        <v>0</v>
      </c>
      <c r="S235" s="1423">
        <f t="shared" ref="S235:S249" ca="1" si="322">IF(R259="n/a",R235,IFERROR(IF((OFFSET($C235,0,$A235))&lt;0,
MIN(0,R235-(OFFSET($C235,0,$A235)/(OFFSET($C230,-$A234,$A235)))),
MAX(0,R235-(OFFSET($C235,0,$A235)/(OFFSET($C230,-$A234,$A235))))),0))</f>
        <v>0</v>
      </c>
      <c r="T235" s="1423">
        <f t="shared" ref="T235:T250" ca="1" si="323">IF(S259="n/a",S235,IFERROR(IF((OFFSET($C235,0,$A235))&lt;0,
MIN(0,S235-(OFFSET($C235,0,$A235)/(OFFSET($C230,-$A234,$A235)))),
MAX(0,S235-(OFFSET($C235,0,$A235)/(OFFSET($C230,-$A234,$A235))))),0))</f>
        <v>0</v>
      </c>
      <c r="U235" s="1423">
        <f t="shared" ref="U235:U251" ca="1" si="324">IF(T259="n/a",T235,IFERROR(IF((OFFSET($C235,0,$A235))&lt;0,
MIN(0,T235-(OFFSET($C235,0,$A235)/(OFFSET($C230,-$A234,$A235)))),
MAX(0,T235-(OFFSET($C235,0,$A235)/(OFFSET($C230,-$A234,$A235))))),0))</f>
        <v>0</v>
      </c>
      <c r="V235" s="1423">
        <f t="shared" ref="V235:V252" ca="1" si="325">IF(U259="n/a",U235,IFERROR(IF((OFFSET($C235,0,$A235))&lt;0,
MIN(0,U235-(OFFSET($C235,0,$A235)/(OFFSET($C230,-$A234,$A235)))),
MAX(0,U235-(OFFSET($C235,0,$A235)/(OFFSET($C230,-$A234,$A235))))),0))</f>
        <v>0</v>
      </c>
      <c r="W235" s="1423">
        <f t="shared" ref="W235:W253" ca="1" si="326">IF(V259="n/a",V235,IFERROR(IF((OFFSET($C235,0,$A235))&lt;0,
MIN(0,V235-(OFFSET($C235,0,$A235)/(OFFSET($C230,-$A234,$A235)))),
MAX(0,V235-(OFFSET($C235,0,$A235)/(OFFSET($C230,-$A234,$A235))))),0))</f>
        <v>0</v>
      </c>
      <c r="X235" s="152"/>
      <c r="Y235" s="152"/>
      <c r="Z235" s="152"/>
      <c r="AA235" s="152"/>
      <c r="AB235" s="152"/>
    </row>
    <row r="236" spans="1:28" hidden="1" outlineLevel="1">
      <c r="A236" s="199">
        <f t="shared" ref="A236:A255" si="327">A235+1</f>
        <v>1</v>
      </c>
      <c r="B236" s="190" t="str">
        <f t="shared" ref="B236:B254" ca="1" si="328">"Depreciated Net Capex "&amp;OFFSET($C$6,0,A236)</f>
        <v>Depreciated Net Capex 2016-17</v>
      </c>
      <c r="C236" s="1424"/>
      <c r="D236" s="1425">
        <f>(D230*((1+D$11)^0.5)/D$10)</f>
        <v>0.19223705703895377</v>
      </c>
      <c r="E236" s="1423">
        <f ca="1">IF(D260="n/a",D236,IFERROR(IF((OFFSET($C236,0,$A236))&lt;0,
MIN(0,D236-(OFFSET($C236,0,$A236)/(OFFSET($C231,-$A235,$A236)))),
MAX(0,D236-(OFFSET($C236,0,$A236)/(OFFSET($C231,-$A235,$A236))))),0))</f>
        <v>0.15378964563116301</v>
      </c>
      <c r="F236" s="1423">
        <f t="shared" ca="1" si="309"/>
        <v>0.11534223422337225</v>
      </c>
      <c r="G236" s="1423">
        <f t="shared" ca="1" si="310"/>
        <v>7.6894822815581493E-2</v>
      </c>
      <c r="H236" s="1423">
        <f t="shared" ca="1" si="311"/>
        <v>3.8447411407790739E-2</v>
      </c>
      <c r="I236" s="1423">
        <f t="shared" ca="1" si="312"/>
        <v>0</v>
      </c>
      <c r="J236" s="1423">
        <f t="shared" ca="1" si="313"/>
        <v>0</v>
      </c>
      <c r="K236" s="1423">
        <f t="shared" ca="1" si="314"/>
        <v>0</v>
      </c>
      <c r="L236" s="1423">
        <f t="shared" ca="1" si="315"/>
        <v>0</v>
      </c>
      <c r="M236" s="1423">
        <f t="shared" ca="1" si="316"/>
        <v>0</v>
      </c>
      <c r="N236" s="1423">
        <f t="shared" ca="1" si="317"/>
        <v>0</v>
      </c>
      <c r="O236" s="1423">
        <f t="shared" ca="1" si="318"/>
        <v>0</v>
      </c>
      <c r="P236" s="1423">
        <f t="shared" ca="1" si="319"/>
        <v>0</v>
      </c>
      <c r="Q236" s="1423">
        <f t="shared" ca="1" si="320"/>
        <v>0</v>
      </c>
      <c r="R236" s="1423">
        <f t="shared" ca="1" si="321"/>
        <v>0</v>
      </c>
      <c r="S236" s="1423">
        <f t="shared" ca="1" si="322"/>
        <v>0</v>
      </c>
      <c r="T236" s="1423">
        <f t="shared" ca="1" si="323"/>
        <v>0</v>
      </c>
      <c r="U236" s="1423">
        <f t="shared" ca="1" si="324"/>
        <v>0</v>
      </c>
      <c r="V236" s="1423">
        <f t="shared" ca="1" si="325"/>
        <v>0</v>
      </c>
      <c r="W236" s="1423">
        <f t="shared" ca="1" si="326"/>
        <v>0</v>
      </c>
      <c r="X236" s="152"/>
      <c r="Y236" s="152"/>
      <c r="Z236" s="152"/>
      <c r="AA236" s="152"/>
      <c r="AB236" s="152"/>
    </row>
    <row r="237" spans="1:28" hidden="1" outlineLevel="1">
      <c r="A237" s="199">
        <f t="shared" si="327"/>
        <v>2</v>
      </c>
      <c r="B237" s="190" t="str">
        <f t="shared" ca="1" si="328"/>
        <v>Depreciated Net Capex 2017-18</v>
      </c>
      <c r="C237" s="1426"/>
      <c r="D237" s="1427"/>
      <c r="E237" s="1425">
        <f>(E230*((1+E$11)^0.5)/E$10)</f>
        <v>0.51614057811548786</v>
      </c>
      <c r="F237" s="1423">
        <f ca="1">IF(E261="n/a",E237,IFERROR(IF((OFFSET($C237,0,$A237))&lt;0,
MIN(0,E237-(OFFSET($C237,0,$A237)/(OFFSET($C232,-$A236,$A237)))),
MAX(0,E237-(OFFSET($C237,0,$A237)/(OFFSET($C232,-$A236,$A237))))),0))</f>
        <v>0.41291246249239028</v>
      </c>
      <c r="G237" s="1423">
        <f t="shared" ca="1" si="310"/>
        <v>0.30968434686929269</v>
      </c>
      <c r="H237" s="1423">
        <f t="shared" ca="1" si="311"/>
        <v>0.20645623124619511</v>
      </c>
      <c r="I237" s="1423">
        <f t="shared" ca="1" si="312"/>
        <v>0.10322811562309754</v>
      </c>
      <c r="J237" s="1423">
        <f t="shared" ca="1" si="313"/>
        <v>0</v>
      </c>
      <c r="K237" s="1423">
        <f t="shared" ca="1" si="314"/>
        <v>0</v>
      </c>
      <c r="L237" s="1423">
        <f t="shared" ca="1" si="315"/>
        <v>0</v>
      </c>
      <c r="M237" s="1423">
        <f t="shared" ca="1" si="316"/>
        <v>0</v>
      </c>
      <c r="N237" s="1423">
        <f t="shared" ca="1" si="317"/>
        <v>0</v>
      </c>
      <c r="O237" s="1423">
        <f t="shared" ca="1" si="318"/>
        <v>0</v>
      </c>
      <c r="P237" s="1423">
        <f t="shared" ca="1" si="319"/>
        <v>0</v>
      </c>
      <c r="Q237" s="1423">
        <f t="shared" ca="1" si="320"/>
        <v>0</v>
      </c>
      <c r="R237" s="1423">
        <f t="shared" ca="1" si="321"/>
        <v>0</v>
      </c>
      <c r="S237" s="1423">
        <f t="shared" ca="1" si="322"/>
        <v>0</v>
      </c>
      <c r="T237" s="1423">
        <f t="shared" ca="1" si="323"/>
        <v>0</v>
      </c>
      <c r="U237" s="1423">
        <f t="shared" ca="1" si="324"/>
        <v>0</v>
      </c>
      <c r="V237" s="1423">
        <f t="shared" ca="1" si="325"/>
        <v>0</v>
      </c>
      <c r="W237" s="1423">
        <f t="shared" ca="1" si="326"/>
        <v>0</v>
      </c>
      <c r="X237" s="202"/>
      <c r="Y237" s="152"/>
      <c r="Z237" s="152"/>
      <c r="AA237" s="152"/>
      <c r="AB237" s="152"/>
    </row>
    <row r="238" spans="1:28" hidden="1" outlineLevel="1">
      <c r="A238" s="199">
        <f t="shared" si="327"/>
        <v>3</v>
      </c>
      <c r="B238" s="190" t="str">
        <f t="shared" ca="1" si="328"/>
        <v>Depreciated Net Capex 2018-19</v>
      </c>
      <c r="C238" s="1426"/>
      <c r="D238" s="1426"/>
      <c r="E238" s="1427"/>
      <c r="F238" s="1428">
        <f>($F230*((1+F$11)^0.5)/F$10)</f>
        <v>0.87149768973431008</v>
      </c>
      <c r="G238" s="1423">
        <f ca="1">IF(F262="n/a",F238,IFERROR(IF((OFFSET($C238,0,$A238))&lt;0,
MIN(0,F238-(OFFSET($C238,0,$A238)/(OFFSET($C233,-$A237,$A238)))),
MAX(0,F238-(OFFSET($C238,0,$A238)/(OFFSET($C233,-$A237,$A238))))),0))</f>
        <v>0.69719815178744804</v>
      </c>
      <c r="H238" s="1423">
        <f t="shared" ca="1" si="311"/>
        <v>0.522898613840586</v>
      </c>
      <c r="I238" s="1423">
        <f t="shared" ca="1" si="312"/>
        <v>0.34859907589372396</v>
      </c>
      <c r="J238" s="1423">
        <f t="shared" ca="1" si="313"/>
        <v>0.17429953794686195</v>
      </c>
      <c r="K238" s="1423">
        <f t="shared" ca="1" si="314"/>
        <v>0</v>
      </c>
      <c r="L238" s="1423">
        <f t="shared" ca="1" si="315"/>
        <v>0</v>
      </c>
      <c r="M238" s="1423">
        <f t="shared" ca="1" si="316"/>
        <v>0</v>
      </c>
      <c r="N238" s="1423">
        <f t="shared" ca="1" si="317"/>
        <v>0</v>
      </c>
      <c r="O238" s="1423">
        <f t="shared" ca="1" si="318"/>
        <v>0</v>
      </c>
      <c r="P238" s="1423">
        <f t="shared" ca="1" si="319"/>
        <v>0</v>
      </c>
      <c r="Q238" s="1423">
        <f t="shared" ca="1" si="320"/>
        <v>0</v>
      </c>
      <c r="R238" s="1423">
        <f t="shared" ca="1" si="321"/>
        <v>0</v>
      </c>
      <c r="S238" s="1423">
        <f t="shared" ca="1" si="322"/>
        <v>0</v>
      </c>
      <c r="T238" s="1423">
        <f t="shared" ca="1" si="323"/>
        <v>0</v>
      </c>
      <c r="U238" s="1423">
        <f t="shared" ca="1" si="324"/>
        <v>0</v>
      </c>
      <c r="V238" s="1423">
        <f t="shared" ca="1" si="325"/>
        <v>0</v>
      </c>
      <c r="W238" s="1423">
        <f t="shared" ca="1" si="326"/>
        <v>0</v>
      </c>
      <c r="X238" s="202"/>
      <c r="Y238" s="202"/>
      <c r="Z238" s="152"/>
      <c r="AA238" s="152"/>
      <c r="AB238" s="152"/>
    </row>
    <row r="239" spans="1:28" hidden="1" outlineLevel="1">
      <c r="A239" s="199">
        <f t="shared" si="327"/>
        <v>4</v>
      </c>
      <c r="B239" s="190" t="str">
        <f t="shared" ca="1" si="328"/>
        <v>Depreciated Net Capex 2019-20</v>
      </c>
      <c r="C239" s="1426"/>
      <c r="D239" s="1426"/>
      <c r="E239" s="1426"/>
      <c r="F239" s="1427"/>
      <c r="G239" s="1428">
        <f>($G230*((1+G$11)^0.5)/G$10)</f>
        <v>1.3802374776441526</v>
      </c>
      <c r="H239" s="1423">
        <f ca="1">IF(G263="n/a",G239,IFERROR(IF((OFFSET($C239,0,$A239))&lt;0,
MIN(0,G239-(OFFSET($C239,0,$A239)/(OFFSET($C234,-$A238,$A239)))),
MAX(0,G239-(OFFSET($C239,0,$A239)/(OFFSET($C234,-$A238,$A239))))),0))</f>
        <v>1.104189982115322</v>
      </c>
      <c r="I239" s="1423">
        <f t="shared" ca="1" si="312"/>
        <v>0.82814248658649148</v>
      </c>
      <c r="J239" s="1423">
        <f t="shared" ca="1" si="313"/>
        <v>0.55209499105766091</v>
      </c>
      <c r="K239" s="1423">
        <f t="shared" ca="1" si="314"/>
        <v>0.2760474955288304</v>
      </c>
      <c r="L239" s="1423">
        <f t="shared" ca="1" si="315"/>
        <v>0</v>
      </c>
      <c r="M239" s="1423">
        <f t="shared" ca="1" si="316"/>
        <v>0</v>
      </c>
      <c r="N239" s="1423">
        <f t="shared" ca="1" si="317"/>
        <v>0</v>
      </c>
      <c r="O239" s="1423">
        <f t="shared" ca="1" si="318"/>
        <v>0</v>
      </c>
      <c r="P239" s="1423">
        <f t="shared" ca="1" si="319"/>
        <v>0</v>
      </c>
      <c r="Q239" s="1423">
        <f t="shared" ca="1" si="320"/>
        <v>0</v>
      </c>
      <c r="R239" s="1423">
        <f t="shared" ca="1" si="321"/>
        <v>0</v>
      </c>
      <c r="S239" s="1423">
        <f t="shared" ca="1" si="322"/>
        <v>0</v>
      </c>
      <c r="T239" s="1423">
        <f t="shared" ca="1" si="323"/>
        <v>0</v>
      </c>
      <c r="U239" s="1423">
        <f t="shared" ca="1" si="324"/>
        <v>0</v>
      </c>
      <c r="V239" s="1423">
        <f t="shared" ca="1" si="325"/>
        <v>0</v>
      </c>
      <c r="W239" s="1423">
        <f t="shared" ca="1" si="326"/>
        <v>0</v>
      </c>
      <c r="X239" s="202"/>
      <c r="Y239" s="202"/>
      <c r="Z239" s="202"/>
      <c r="AA239" s="152"/>
      <c r="AB239" s="152"/>
    </row>
    <row r="240" spans="1:28" hidden="1" outlineLevel="1">
      <c r="A240" s="199">
        <f t="shared" si="327"/>
        <v>5</v>
      </c>
      <c r="B240" s="190" t="str">
        <f t="shared" ca="1" si="328"/>
        <v>Depreciated Net Capex 2020-21</v>
      </c>
      <c r="C240" s="1426"/>
      <c r="D240" s="1426"/>
      <c r="E240" s="1426"/>
      <c r="F240" s="1426"/>
      <c r="G240" s="1427"/>
      <c r="H240" s="1428">
        <f>(H230*((1+H$11)^0.5)/H$10)</f>
        <v>1.4211716481092405</v>
      </c>
      <c r="I240" s="1423">
        <f ca="1">IF(H264="n/a",H240,IFERROR(IF((OFFSET($C240,0,$A240))&lt;0,
MIN(0,H240-(OFFSET($C240,0,$A240)/(OFFSET($C235,-$A239,$A240)))),
MAX(0,H240-(OFFSET($C240,0,$A240)/(OFFSET($C235,-$A239,$A240))))),0))</f>
        <v>1.1369373184873923</v>
      </c>
      <c r="J240" s="1423">
        <f t="shared" ca="1" si="313"/>
        <v>0.85270298886554419</v>
      </c>
      <c r="K240" s="1423">
        <f t="shared" ca="1" si="314"/>
        <v>0.56846865924369605</v>
      </c>
      <c r="L240" s="1423">
        <f t="shared" ca="1" si="315"/>
        <v>0.28423432962184797</v>
      </c>
      <c r="M240" s="1423">
        <f t="shared" ca="1" si="316"/>
        <v>0</v>
      </c>
      <c r="N240" s="1423">
        <f t="shared" ca="1" si="317"/>
        <v>0</v>
      </c>
      <c r="O240" s="1423">
        <f t="shared" ca="1" si="318"/>
        <v>0</v>
      </c>
      <c r="P240" s="1423">
        <f t="shared" ca="1" si="319"/>
        <v>0</v>
      </c>
      <c r="Q240" s="1423">
        <f t="shared" ca="1" si="320"/>
        <v>0</v>
      </c>
      <c r="R240" s="1423">
        <f t="shared" ca="1" si="321"/>
        <v>0</v>
      </c>
      <c r="S240" s="1423">
        <f t="shared" ca="1" si="322"/>
        <v>0</v>
      </c>
      <c r="T240" s="1423">
        <f t="shared" ca="1" si="323"/>
        <v>0</v>
      </c>
      <c r="U240" s="1423">
        <f t="shared" ca="1" si="324"/>
        <v>0</v>
      </c>
      <c r="V240" s="1423">
        <f t="shared" ca="1" si="325"/>
        <v>0</v>
      </c>
      <c r="W240" s="1423">
        <f t="shared" ca="1" si="326"/>
        <v>0</v>
      </c>
      <c r="X240" s="202"/>
      <c r="Y240" s="202"/>
      <c r="Z240" s="202"/>
      <c r="AA240" s="152"/>
      <c r="AB240" s="152"/>
    </row>
    <row r="241" spans="1:28" hidden="1" outlineLevel="1">
      <c r="A241" s="199">
        <f t="shared" si="327"/>
        <v>6</v>
      </c>
      <c r="B241" s="190" t="str">
        <f t="shared" ca="1" si="328"/>
        <v>Depreciated Net Capex 2021-22</v>
      </c>
      <c r="C241" s="1426"/>
      <c r="D241" s="1426"/>
      <c r="E241" s="1426"/>
      <c r="F241" s="1426"/>
      <c r="G241" s="1426"/>
      <c r="H241" s="1427"/>
      <c r="I241" s="1428">
        <f>(I230*((1+I$11)^0.5)/I$10)</f>
        <v>1.8312450999401042</v>
      </c>
      <c r="J241" s="1423">
        <f ca="1">IF(I265="n/a",I241,IFERROR(IF((OFFSET($C241,0,$A241))&lt;0,
MIN(0,I241-(OFFSET($C241,0,$A241)/(OFFSET($C236,-$A240,$A241)))),
MAX(0,I241-(OFFSET($C241,0,$A241)/(OFFSET($C236,-$A240,$A241))))),0))</f>
        <v>1.4649960799520834</v>
      </c>
      <c r="K241" s="1423">
        <f t="shared" ca="1" si="314"/>
        <v>1.0987470599640625</v>
      </c>
      <c r="L241" s="1423">
        <f t="shared" ca="1" si="315"/>
        <v>0.73249803997604168</v>
      </c>
      <c r="M241" s="1423">
        <f t="shared" ca="1" si="316"/>
        <v>0.36624901998802084</v>
      </c>
      <c r="N241" s="1423">
        <f t="shared" ca="1" si="317"/>
        <v>0</v>
      </c>
      <c r="O241" s="1423">
        <f t="shared" ca="1" si="318"/>
        <v>0</v>
      </c>
      <c r="P241" s="1423">
        <f t="shared" ca="1" si="319"/>
        <v>0</v>
      </c>
      <c r="Q241" s="1423">
        <f t="shared" ca="1" si="320"/>
        <v>0</v>
      </c>
      <c r="R241" s="1423">
        <f t="shared" ca="1" si="321"/>
        <v>0</v>
      </c>
      <c r="S241" s="1423">
        <f t="shared" ca="1" si="322"/>
        <v>0</v>
      </c>
      <c r="T241" s="1423">
        <f t="shared" ca="1" si="323"/>
        <v>0</v>
      </c>
      <c r="U241" s="1423">
        <f t="shared" ca="1" si="324"/>
        <v>0</v>
      </c>
      <c r="V241" s="1423">
        <f t="shared" ca="1" si="325"/>
        <v>0</v>
      </c>
      <c r="W241" s="1423">
        <f t="shared" ca="1" si="326"/>
        <v>0</v>
      </c>
      <c r="X241" s="202"/>
      <c r="Y241" s="202"/>
      <c r="Z241" s="202"/>
      <c r="AA241" s="152"/>
      <c r="AB241" s="152"/>
    </row>
    <row r="242" spans="1:28" hidden="1" outlineLevel="1">
      <c r="A242" s="199">
        <f t="shared" si="327"/>
        <v>7</v>
      </c>
      <c r="B242" s="190" t="str">
        <f t="shared" ca="1" si="328"/>
        <v>Depreciated Net Capex 2022-23</v>
      </c>
      <c r="C242" s="1426"/>
      <c r="D242" s="1426"/>
      <c r="E242" s="1426"/>
      <c r="F242" s="1426"/>
      <c r="G242" s="1426"/>
      <c r="H242" s="1426"/>
      <c r="I242" s="1427"/>
      <c r="J242" s="1428">
        <f>(J230*((1+J$11)^0.5)/J$10)</f>
        <v>0.76617597941191939</v>
      </c>
      <c r="K242" s="1423">
        <f ca="1">IF(J266="n/a",J242,IFERROR(IF((OFFSET($C242,0,$A242))&lt;0,
MIN(0,J242-(OFFSET($C242,0,$A242)/(OFFSET($C237,-$A241,$A242)))),
MAX(0,J242-(OFFSET($C242,0,$A242)/(OFFSET($C237,-$A241,$A242))))),0))</f>
        <v>0.61294078352953552</v>
      </c>
      <c r="L242" s="1423">
        <f t="shared" ca="1" si="315"/>
        <v>0.45970558764715164</v>
      </c>
      <c r="M242" s="1423">
        <f t="shared" ca="1" si="316"/>
        <v>0.30647039176476776</v>
      </c>
      <c r="N242" s="1423">
        <f t="shared" ca="1" si="317"/>
        <v>0.15323519588238388</v>
      </c>
      <c r="O242" s="1423">
        <f t="shared" ca="1" si="318"/>
        <v>0</v>
      </c>
      <c r="P242" s="1423">
        <f t="shared" ca="1" si="319"/>
        <v>0</v>
      </c>
      <c r="Q242" s="1423">
        <f t="shared" ca="1" si="320"/>
        <v>0</v>
      </c>
      <c r="R242" s="1423">
        <f t="shared" ca="1" si="321"/>
        <v>0</v>
      </c>
      <c r="S242" s="1423">
        <f t="shared" ca="1" si="322"/>
        <v>0</v>
      </c>
      <c r="T242" s="1423">
        <f t="shared" ca="1" si="323"/>
        <v>0</v>
      </c>
      <c r="U242" s="1423">
        <f t="shared" ca="1" si="324"/>
        <v>0</v>
      </c>
      <c r="V242" s="1423">
        <f t="shared" ca="1" si="325"/>
        <v>0</v>
      </c>
      <c r="W242" s="1423">
        <f t="shared" ca="1" si="326"/>
        <v>0</v>
      </c>
      <c r="X242" s="202"/>
      <c r="Y242" s="202"/>
      <c r="Z242" s="202"/>
      <c r="AA242" s="152"/>
      <c r="AB242" s="152"/>
    </row>
    <row r="243" spans="1:28" hidden="1" outlineLevel="1">
      <c r="A243" s="199">
        <f t="shared" si="327"/>
        <v>8</v>
      </c>
      <c r="B243" s="190" t="str">
        <f t="shared" ca="1" si="328"/>
        <v>Depreciated Net Capex 2023-24</v>
      </c>
      <c r="C243" s="1426"/>
      <c r="D243" s="1426"/>
      <c r="E243" s="1426"/>
      <c r="F243" s="1426"/>
      <c r="G243" s="1426"/>
      <c r="H243" s="1426"/>
      <c r="I243" s="1426"/>
      <c r="J243" s="1427"/>
      <c r="K243" s="1428">
        <f>(K230*((1+K$11)^0.5)/K$10)</f>
        <v>0</v>
      </c>
      <c r="L243" s="1423">
        <f ca="1">IF(K267="n/a",K243,IFERROR(IF((OFFSET($C243,0,$A243))&lt;0,
MIN(0,K243-(OFFSET($C243,0,$A243)/(OFFSET($C238,-$A242,$A243)))),
MAX(0,K243-(OFFSET($C243,0,$A243)/(OFFSET($C238,-$A242,$A243))))),0))</f>
        <v>0</v>
      </c>
      <c r="M243" s="1423">
        <f t="shared" ca="1" si="316"/>
        <v>0</v>
      </c>
      <c r="N243" s="1423">
        <f t="shared" ca="1" si="317"/>
        <v>0</v>
      </c>
      <c r="O243" s="1423">
        <f t="shared" ca="1" si="318"/>
        <v>0</v>
      </c>
      <c r="P243" s="1423">
        <f t="shared" ca="1" si="319"/>
        <v>0</v>
      </c>
      <c r="Q243" s="1423">
        <f t="shared" ca="1" si="320"/>
        <v>0</v>
      </c>
      <c r="R243" s="1423">
        <f t="shared" ca="1" si="321"/>
        <v>0</v>
      </c>
      <c r="S243" s="1423">
        <f t="shared" ca="1" si="322"/>
        <v>0</v>
      </c>
      <c r="T243" s="1423">
        <f t="shared" ca="1" si="323"/>
        <v>0</v>
      </c>
      <c r="U243" s="1423">
        <f t="shared" ca="1" si="324"/>
        <v>0</v>
      </c>
      <c r="V243" s="1423">
        <f t="shared" ca="1" si="325"/>
        <v>0</v>
      </c>
      <c r="W243" s="1423">
        <f t="shared" ca="1" si="326"/>
        <v>0</v>
      </c>
      <c r="X243" s="202"/>
      <c r="Y243" s="202"/>
      <c r="Z243" s="202"/>
      <c r="AA243" s="152"/>
      <c r="AB243" s="152"/>
    </row>
    <row r="244" spans="1:28" hidden="1" outlineLevel="1">
      <c r="A244" s="199">
        <f t="shared" si="327"/>
        <v>9</v>
      </c>
      <c r="B244" s="190" t="str">
        <f t="shared" ca="1" si="328"/>
        <v>Depreciated Net Capex 2024-25</v>
      </c>
      <c r="C244" s="1426"/>
      <c r="D244" s="1426"/>
      <c r="E244" s="1426"/>
      <c r="F244" s="1426"/>
      <c r="G244" s="1426"/>
      <c r="H244" s="1426"/>
      <c r="I244" s="1426"/>
      <c r="J244" s="1426"/>
      <c r="K244" s="1427"/>
      <c r="L244" s="1428">
        <f>(L230*((1+L$11)^0.5)/L$10)</f>
        <v>0</v>
      </c>
      <c r="M244" s="1423">
        <f ca="1">IF(L268="n/a",L244,IFERROR(IF((OFFSET($C244,0,$A244))&lt;0,
MIN(0,L244-(OFFSET($C244,0,$A244)/(OFFSET($C239,-$A243,$A244)))),
MAX(0,L244-(OFFSET($C244,0,$A244)/(OFFSET($C239,-$A243,$A244))))),0))</f>
        <v>0</v>
      </c>
      <c r="N244" s="1423">
        <f t="shared" ca="1" si="317"/>
        <v>0</v>
      </c>
      <c r="O244" s="1423">
        <f t="shared" ca="1" si="318"/>
        <v>0</v>
      </c>
      <c r="P244" s="1423">
        <f t="shared" ca="1" si="319"/>
        <v>0</v>
      </c>
      <c r="Q244" s="1423">
        <f t="shared" ca="1" si="320"/>
        <v>0</v>
      </c>
      <c r="R244" s="1423">
        <f t="shared" ca="1" si="321"/>
        <v>0</v>
      </c>
      <c r="S244" s="1423">
        <f t="shared" ca="1" si="322"/>
        <v>0</v>
      </c>
      <c r="T244" s="1423">
        <f t="shared" ca="1" si="323"/>
        <v>0</v>
      </c>
      <c r="U244" s="1423">
        <f t="shared" ca="1" si="324"/>
        <v>0</v>
      </c>
      <c r="V244" s="1423">
        <f t="shared" ca="1" si="325"/>
        <v>0</v>
      </c>
      <c r="W244" s="1423">
        <f t="shared" ca="1" si="326"/>
        <v>0</v>
      </c>
      <c r="X244" s="202"/>
      <c r="Y244" s="202"/>
      <c r="Z244" s="202"/>
      <c r="AA244" s="152"/>
      <c r="AB244" s="152"/>
    </row>
    <row r="245" spans="1:28" hidden="1" outlineLevel="1">
      <c r="A245" s="199">
        <f t="shared" si="327"/>
        <v>10</v>
      </c>
      <c r="B245" s="190" t="str">
        <f t="shared" ca="1" si="328"/>
        <v>Depreciated Net Capex 2025-26</v>
      </c>
      <c r="C245" s="1426"/>
      <c r="D245" s="1426"/>
      <c r="E245" s="1426"/>
      <c r="F245" s="1426"/>
      <c r="G245" s="1426"/>
      <c r="H245" s="1426"/>
      <c r="I245" s="1426"/>
      <c r="J245" s="1426"/>
      <c r="K245" s="1426"/>
      <c r="L245" s="1427"/>
      <c r="M245" s="1428">
        <f>(M230*((1+M$11)^0.5)/M$10)</f>
        <v>0</v>
      </c>
      <c r="N245" s="1423">
        <f ca="1">IF(M269="n/a",M245,IFERROR(IF((OFFSET($C245,0,$A245))&lt;0,
MIN(0,M245-(OFFSET($C245,0,$A245)/(OFFSET($C240,-$A244,$A245)))),
MAX(0,M245-(OFFSET($C245,0,$A245)/(OFFSET($C240,-$A244,$A245))))),0))</f>
        <v>0</v>
      </c>
      <c r="O245" s="1423">
        <f t="shared" ca="1" si="318"/>
        <v>0</v>
      </c>
      <c r="P245" s="1423">
        <f t="shared" ca="1" si="319"/>
        <v>0</v>
      </c>
      <c r="Q245" s="1423">
        <f t="shared" ca="1" si="320"/>
        <v>0</v>
      </c>
      <c r="R245" s="1423">
        <f t="shared" ca="1" si="321"/>
        <v>0</v>
      </c>
      <c r="S245" s="1423">
        <f t="shared" ca="1" si="322"/>
        <v>0</v>
      </c>
      <c r="T245" s="1423">
        <f t="shared" ca="1" si="323"/>
        <v>0</v>
      </c>
      <c r="U245" s="1423">
        <f t="shared" ca="1" si="324"/>
        <v>0</v>
      </c>
      <c r="V245" s="1423">
        <f t="shared" ca="1" si="325"/>
        <v>0</v>
      </c>
      <c r="W245" s="1423">
        <f t="shared" ca="1" si="326"/>
        <v>0</v>
      </c>
      <c r="X245" s="202"/>
      <c r="Y245" s="202"/>
      <c r="Z245" s="202"/>
      <c r="AA245" s="152"/>
      <c r="AB245" s="152"/>
    </row>
    <row r="246" spans="1:28" hidden="1" outlineLevel="1">
      <c r="A246" s="199">
        <f t="shared" si="327"/>
        <v>11</v>
      </c>
      <c r="B246" s="190" t="str">
        <f t="shared" ca="1" si="328"/>
        <v>Depreciated Net Capex 2026-27</v>
      </c>
      <c r="C246" s="1426"/>
      <c r="D246" s="1426"/>
      <c r="E246" s="1426"/>
      <c r="F246" s="1426"/>
      <c r="G246" s="1426"/>
      <c r="H246" s="1426"/>
      <c r="I246" s="1426"/>
      <c r="J246" s="1426"/>
      <c r="K246" s="1426"/>
      <c r="L246" s="1426"/>
      <c r="M246" s="1427"/>
      <c r="N246" s="1428">
        <f>(N230*((1+N$11)^0.5)/N$10)</f>
        <v>0</v>
      </c>
      <c r="O246" s="1423">
        <f ca="1">IF(N270="n/a",N246,IFERROR(IF((OFFSET($C246,0,$A246))&lt;0,
MIN(0,N246-(OFFSET($C246,0,$A246)/(OFFSET($C241,-$A245,$A246)))),
MAX(0,N246-(OFFSET($C246,0,$A246)/(OFFSET($C241,-$A245,$A246))))),0))</f>
        <v>0</v>
      </c>
      <c r="P246" s="1423">
        <f t="shared" ca="1" si="319"/>
        <v>0</v>
      </c>
      <c r="Q246" s="1423">
        <f t="shared" ca="1" si="320"/>
        <v>0</v>
      </c>
      <c r="R246" s="1423">
        <f t="shared" ca="1" si="321"/>
        <v>0</v>
      </c>
      <c r="S246" s="1423">
        <f t="shared" ca="1" si="322"/>
        <v>0</v>
      </c>
      <c r="T246" s="1423">
        <f t="shared" ca="1" si="323"/>
        <v>0</v>
      </c>
      <c r="U246" s="1423">
        <f t="shared" ca="1" si="324"/>
        <v>0</v>
      </c>
      <c r="V246" s="1423">
        <f t="shared" ca="1" si="325"/>
        <v>0</v>
      </c>
      <c r="W246" s="1423">
        <f t="shared" ca="1" si="326"/>
        <v>0</v>
      </c>
      <c r="X246" s="202"/>
      <c r="Y246" s="202"/>
      <c r="Z246" s="202"/>
      <c r="AA246" s="152"/>
      <c r="AB246" s="152"/>
    </row>
    <row r="247" spans="1:28" hidden="1" outlineLevel="1">
      <c r="A247" s="199">
        <f t="shared" si="327"/>
        <v>12</v>
      </c>
      <c r="B247" s="190" t="str">
        <f t="shared" ca="1" si="328"/>
        <v>Depreciated Net Capex 2027-28</v>
      </c>
      <c r="C247" s="1426"/>
      <c r="D247" s="1426"/>
      <c r="E247" s="1426"/>
      <c r="F247" s="1426"/>
      <c r="G247" s="1426"/>
      <c r="H247" s="1426"/>
      <c r="I247" s="1426"/>
      <c r="J247" s="1426"/>
      <c r="K247" s="1426"/>
      <c r="L247" s="1426"/>
      <c r="M247" s="1426"/>
      <c r="N247" s="1427"/>
      <c r="O247" s="1428">
        <f>(O230*((1+O$11)^0.5)/O$10)</f>
        <v>0</v>
      </c>
      <c r="P247" s="1423">
        <f ca="1">IF(O271="n/a",O247,IFERROR(IF((OFFSET($C247,0,$A247))&lt;0,
MIN(0,O247-(OFFSET($C247,0,$A247)/(OFFSET($C242,-$A246,$A247)))),
MAX(0,O247-(OFFSET($C247,0,$A247)/(OFFSET($C242,-$A246,$A247))))),0))</f>
        <v>0</v>
      </c>
      <c r="Q247" s="1423">
        <f t="shared" ca="1" si="320"/>
        <v>0</v>
      </c>
      <c r="R247" s="1423">
        <f t="shared" ca="1" si="321"/>
        <v>0</v>
      </c>
      <c r="S247" s="1423">
        <f t="shared" ca="1" si="322"/>
        <v>0</v>
      </c>
      <c r="T247" s="1423">
        <f t="shared" ca="1" si="323"/>
        <v>0</v>
      </c>
      <c r="U247" s="1423">
        <f t="shared" ca="1" si="324"/>
        <v>0</v>
      </c>
      <c r="V247" s="1423">
        <f t="shared" ca="1" si="325"/>
        <v>0</v>
      </c>
      <c r="W247" s="1423">
        <f t="shared" ca="1" si="326"/>
        <v>0</v>
      </c>
      <c r="X247" s="202"/>
      <c r="Y247" s="202"/>
      <c r="Z247" s="202"/>
      <c r="AA247" s="152"/>
      <c r="AB247" s="152"/>
    </row>
    <row r="248" spans="1:28" hidden="1" outlineLevel="1">
      <c r="A248" s="199">
        <f t="shared" si="327"/>
        <v>13</v>
      </c>
      <c r="B248" s="190" t="str">
        <f t="shared" ca="1" si="328"/>
        <v>Depreciated Net Capex 2028-29</v>
      </c>
      <c r="C248" s="1426"/>
      <c r="D248" s="1426"/>
      <c r="E248" s="1426"/>
      <c r="F248" s="1426"/>
      <c r="G248" s="1426"/>
      <c r="H248" s="1426"/>
      <c r="I248" s="1426"/>
      <c r="J248" s="1426"/>
      <c r="K248" s="1426"/>
      <c r="L248" s="1426"/>
      <c r="M248" s="1426"/>
      <c r="N248" s="1426"/>
      <c r="O248" s="1427"/>
      <c r="P248" s="1428">
        <f>(P230*((1+P$11)^0.5)/P$10)</f>
        <v>0</v>
      </c>
      <c r="Q248" s="1423">
        <f ca="1">IF(P272="n/a",P248,IFERROR(IF((OFFSET($C248,0,$A248))&lt;0,
MIN(0,P248-(OFFSET($C248,0,$A248)/(OFFSET($C243,-$A247,$A248)))),
MAX(0,P248-(OFFSET($C248,0,$A248)/(OFFSET($C243,-$A247,$A248))))),0))</f>
        <v>0</v>
      </c>
      <c r="R248" s="1423">
        <f t="shared" ca="1" si="321"/>
        <v>0</v>
      </c>
      <c r="S248" s="1423">
        <f t="shared" ca="1" si="322"/>
        <v>0</v>
      </c>
      <c r="T248" s="1423">
        <f t="shared" ca="1" si="323"/>
        <v>0</v>
      </c>
      <c r="U248" s="1423">
        <f t="shared" ca="1" si="324"/>
        <v>0</v>
      </c>
      <c r="V248" s="1423">
        <f t="shared" ca="1" si="325"/>
        <v>0</v>
      </c>
      <c r="W248" s="1423">
        <f t="shared" ca="1" si="326"/>
        <v>0</v>
      </c>
      <c r="X248" s="202"/>
      <c r="Y248" s="202"/>
      <c r="Z248" s="202"/>
      <c r="AA248" s="152"/>
      <c r="AB248" s="152"/>
    </row>
    <row r="249" spans="1:28" hidden="1" outlineLevel="1">
      <c r="A249" s="199">
        <f t="shared" si="327"/>
        <v>14</v>
      </c>
      <c r="B249" s="190" t="str">
        <f t="shared" ca="1" si="328"/>
        <v>Depreciated Net Capex 2029-30</v>
      </c>
      <c r="C249" s="1426"/>
      <c r="D249" s="1426"/>
      <c r="E249" s="1426"/>
      <c r="F249" s="1426"/>
      <c r="G249" s="1426"/>
      <c r="H249" s="1426"/>
      <c r="I249" s="1426"/>
      <c r="J249" s="1426"/>
      <c r="K249" s="1426"/>
      <c r="L249" s="1426"/>
      <c r="M249" s="1426"/>
      <c r="N249" s="1426"/>
      <c r="O249" s="1426"/>
      <c r="P249" s="1427"/>
      <c r="Q249" s="1428">
        <f>(Q230*((1+Q$11)^0.5)/Q$10)</f>
        <v>0</v>
      </c>
      <c r="R249" s="1423">
        <f ca="1">IF(Q273="n/a",Q249,IFERROR(IF((OFFSET($C249,0,$A249))&lt;0,
MIN(0,Q249-(OFFSET($C249,0,$A249)/(OFFSET($C244,-$A248,$A249)))),
MAX(0,Q249-(OFFSET($C249,0,$A249)/(OFFSET($C244,-$A248,$A249))))),0))</f>
        <v>0</v>
      </c>
      <c r="S249" s="1423">
        <f t="shared" ca="1" si="322"/>
        <v>0</v>
      </c>
      <c r="T249" s="1423">
        <f t="shared" ca="1" si="323"/>
        <v>0</v>
      </c>
      <c r="U249" s="1423">
        <f t="shared" ca="1" si="324"/>
        <v>0</v>
      </c>
      <c r="V249" s="1423">
        <f t="shared" ca="1" si="325"/>
        <v>0</v>
      </c>
      <c r="W249" s="1423">
        <f t="shared" ca="1" si="326"/>
        <v>0</v>
      </c>
      <c r="X249" s="202"/>
      <c r="Y249" s="202"/>
      <c r="Z249" s="202"/>
      <c r="AA249" s="152"/>
      <c r="AB249" s="152"/>
    </row>
    <row r="250" spans="1:28" hidden="1" outlineLevel="1">
      <c r="A250" s="199">
        <f t="shared" si="327"/>
        <v>15</v>
      </c>
      <c r="B250" s="190" t="str">
        <f t="shared" ca="1" si="328"/>
        <v>Depreciated Net Capex 2030-31</v>
      </c>
      <c r="C250" s="1426"/>
      <c r="D250" s="1426"/>
      <c r="E250" s="1426"/>
      <c r="F250" s="1426"/>
      <c r="G250" s="1426"/>
      <c r="H250" s="1426"/>
      <c r="I250" s="1426"/>
      <c r="J250" s="1426"/>
      <c r="K250" s="1426"/>
      <c r="L250" s="1426"/>
      <c r="M250" s="1426"/>
      <c r="N250" s="1426"/>
      <c r="O250" s="1426"/>
      <c r="P250" s="1426"/>
      <c r="Q250" s="1427"/>
      <c r="R250" s="1428">
        <f>(R230*((1+R$11)^0.5)/R$10)</f>
        <v>0</v>
      </c>
      <c r="S250" s="1423">
        <f ca="1">IF(R274="n/a",R250,IFERROR(IF((OFFSET($C250,0,$A250))&lt;0,
MIN(0,R250-(OFFSET($C250,0,$A250)/(OFFSET($C245,-$A249,$A250)))),
MAX(0,R250-(OFFSET($C250,0,$A250)/(OFFSET($C245,-$A249,$A250))))),0))</f>
        <v>0</v>
      </c>
      <c r="T250" s="1423">
        <f t="shared" ca="1" si="323"/>
        <v>0</v>
      </c>
      <c r="U250" s="1423">
        <f t="shared" ca="1" si="324"/>
        <v>0</v>
      </c>
      <c r="V250" s="1423">
        <f t="shared" ca="1" si="325"/>
        <v>0</v>
      </c>
      <c r="W250" s="1423">
        <f t="shared" ca="1" si="326"/>
        <v>0</v>
      </c>
      <c r="X250" s="202"/>
      <c r="Y250" s="202"/>
      <c r="Z250" s="202"/>
      <c r="AA250" s="152"/>
      <c r="AB250" s="152"/>
    </row>
    <row r="251" spans="1:28" hidden="1" outlineLevel="1">
      <c r="A251" s="199">
        <f t="shared" si="327"/>
        <v>16</v>
      </c>
      <c r="B251" s="190" t="str">
        <f t="shared" ca="1" si="328"/>
        <v>Depreciated Net Capex 2031-32</v>
      </c>
      <c r="C251" s="1426"/>
      <c r="D251" s="1426"/>
      <c r="E251" s="1426"/>
      <c r="F251" s="1426"/>
      <c r="G251" s="1426"/>
      <c r="H251" s="1426"/>
      <c r="I251" s="1426"/>
      <c r="J251" s="1426"/>
      <c r="K251" s="1426"/>
      <c r="L251" s="1426"/>
      <c r="M251" s="1426"/>
      <c r="N251" s="1426"/>
      <c r="O251" s="1426"/>
      <c r="P251" s="1426"/>
      <c r="Q251" s="1426"/>
      <c r="R251" s="1427"/>
      <c r="S251" s="1428">
        <f>(S230*((1+S$11)^0.5)/S$10)</f>
        <v>0</v>
      </c>
      <c r="T251" s="1423">
        <f ca="1">IF(S275="n/a",S251,IFERROR(IF((OFFSET($C251,0,$A251))&lt;0,
MIN(0,S251-(OFFSET($C251,0,$A251)/(OFFSET($C246,-$A250,$A251)))),
MAX(0,S251-(OFFSET($C251,0,$A251)/(OFFSET($C246,-$A250,$A251))))),0))</f>
        <v>0</v>
      </c>
      <c r="U251" s="1423">
        <f t="shared" ca="1" si="324"/>
        <v>0</v>
      </c>
      <c r="V251" s="1423">
        <f t="shared" ca="1" si="325"/>
        <v>0</v>
      </c>
      <c r="W251" s="1423">
        <f t="shared" ca="1" si="326"/>
        <v>0</v>
      </c>
      <c r="X251" s="202"/>
      <c r="Y251" s="202"/>
      <c r="Z251" s="202"/>
      <c r="AA251" s="152"/>
      <c r="AB251" s="152"/>
    </row>
    <row r="252" spans="1:28" hidden="1" outlineLevel="1">
      <c r="A252" s="199">
        <f t="shared" si="327"/>
        <v>17</v>
      </c>
      <c r="B252" s="190" t="str">
        <f t="shared" ca="1" si="328"/>
        <v>Depreciated Net Capex 2032-33</v>
      </c>
      <c r="C252" s="1426"/>
      <c r="D252" s="1426"/>
      <c r="E252" s="1426"/>
      <c r="F252" s="1426"/>
      <c r="G252" s="1426"/>
      <c r="H252" s="1426"/>
      <c r="I252" s="1426"/>
      <c r="J252" s="1426"/>
      <c r="K252" s="1426"/>
      <c r="L252" s="1426"/>
      <c r="M252" s="1426"/>
      <c r="N252" s="1426"/>
      <c r="O252" s="1426"/>
      <c r="P252" s="1426"/>
      <c r="Q252" s="1426"/>
      <c r="R252" s="1426"/>
      <c r="S252" s="1427"/>
      <c r="T252" s="1428">
        <f>(T230*((1+T$11)^0.5)/T$10)</f>
        <v>0</v>
      </c>
      <c r="U252" s="1423">
        <f ca="1">IF(T276="n/a",T252,IFERROR(IF((OFFSET($C252,0,$A252))&lt;0,
MIN(0,T252-(OFFSET($C252,0,$A252)/(OFFSET($C247,-$A251,$A252)))),
MAX(0,T252-(OFFSET($C252,0,$A252)/(OFFSET($C247,-$A251,$A252))))),0))</f>
        <v>0</v>
      </c>
      <c r="V252" s="1423">
        <f t="shared" ca="1" si="325"/>
        <v>0</v>
      </c>
      <c r="W252" s="1423">
        <f t="shared" ca="1" si="326"/>
        <v>0</v>
      </c>
      <c r="X252" s="202"/>
      <c r="Y252" s="202"/>
      <c r="Z252" s="202"/>
      <c r="AA252" s="152"/>
      <c r="AB252" s="152"/>
    </row>
    <row r="253" spans="1:28" hidden="1" outlineLevel="1">
      <c r="A253" s="199">
        <f t="shared" si="327"/>
        <v>18</v>
      </c>
      <c r="B253" s="190" t="str">
        <f t="shared" ca="1" si="328"/>
        <v>Depreciated Net Capex 2033-34</v>
      </c>
      <c r="C253" s="1426"/>
      <c r="D253" s="1426"/>
      <c r="E253" s="1426"/>
      <c r="F253" s="1426"/>
      <c r="G253" s="1426"/>
      <c r="H253" s="1426"/>
      <c r="I253" s="1426"/>
      <c r="J253" s="1426"/>
      <c r="K253" s="1426"/>
      <c r="L253" s="1426"/>
      <c r="M253" s="1426"/>
      <c r="N253" s="1426"/>
      <c r="O253" s="1426"/>
      <c r="P253" s="1426"/>
      <c r="Q253" s="1426"/>
      <c r="R253" s="1426"/>
      <c r="S253" s="1426"/>
      <c r="T253" s="1427"/>
      <c r="U253" s="1428">
        <f>(U230*((1+U$11)^0.5)/U$10)</f>
        <v>0</v>
      </c>
      <c r="V253" s="1423">
        <f ca="1">IF(U277="n/a",U253,IFERROR(IF((OFFSET($C253,0,$A253))&lt;0,
MIN(0,U253-(OFFSET($C253,0,$A253)/(OFFSET($C248,-$A252,$A253)))),
MAX(0,U253-(OFFSET($C253,0,$A253)/(OFFSET($C248,-$A252,$A253))))),0))</f>
        <v>0</v>
      </c>
      <c r="W253" s="1423">
        <f t="shared" ca="1" si="326"/>
        <v>0</v>
      </c>
      <c r="X253" s="202"/>
      <c r="Y253" s="202"/>
      <c r="Z253" s="202"/>
      <c r="AA253" s="152"/>
      <c r="AB253" s="152"/>
    </row>
    <row r="254" spans="1:28" hidden="1" outlineLevel="1">
      <c r="A254" s="199">
        <f t="shared" si="327"/>
        <v>19</v>
      </c>
      <c r="B254" s="190" t="str">
        <f t="shared" ca="1" si="328"/>
        <v>Depreciated Net Capex 2034-35</v>
      </c>
      <c r="C254" s="1426"/>
      <c r="D254" s="1426"/>
      <c r="E254" s="1426"/>
      <c r="F254" s="1426"/>
      <c r="G254" s="1426"/>
      <c r="H254" s="1426"/>
      <c r="I254" s="1426"/>
      <c r="J254" s="1426"/>
      <c r="K254" s="1426"/>
      <c r="L254" s="1426"/>
      <c r="M254" s="1426"/>
      <c r="N254" s="1426"/>
      <c r="O254" s="1426"/>
      <c r="P254" s="1426"/>
      <c r="Q254" s="1426"/>
      <c r="R254" s="1426"/>
      <c r="S254" s="1426"/>
      <c r="T254" s="1426"/>
      <c r="U254" s="1427"/>
      <c r="V254" s="1428">
        <f>(V230*((1+V$11)^0.5)/V$10)</f>
        <v>0</v>
      </c>
      <c r="W254" s="1423">
        <f ca="1">IF(V278="n/a",V254,IFERROR(IF((OFFSET($C254,0,$A254))&lt;0,
MIN(0,V254-(OFFSET($C254,0,$A254)/(OFFSET($C249,-$A253,$A254)))),
MAX(0,V254-(OFFSET($C254,0,$A254)/(OFFSET($C249,-$A253,$A254))))),0))</f>
        <v>0</v>
      </c>
      <c r="X254" s="202"/>
      <c r="Y254" s="202"/>
      <c r="Z254" s="202"/>
      <c r="AA254" s="152"/>
      <c r="AB254" s="152"/>
    </row>
    <row r="255" spans="1:28" hidden="1" outlineLevel="1">
      <c r="A255" s="199">
        <f t="shared" si="327"/>
        <v>20</v>
      </c>
      <c r="B255" s="190" t="str">
        <f ca="1">"Depreciated Net Capex "&amp;OFFSET($C$6,0,A255)</f>
        <v>Depreciated Net Capex 2035-36</v>
      </c>
      <c r="C255" s="1426"/>
      <c r="D255" s="1426"/>
      <c r="E255" s="1426"/>
      <c r="F255" s="1426"/>
      <c r="G255" s="1426"/>
      <c r="H255" s="1426"/>
      <c r="I255" s="1426"/>
      <c r="J255" s="1426"/>
      <c r="K255" s="1426"/>
      <c r="L255" s="1426"/>
      <c r="M255" s="1426"/>
      <c r="N255" s="1426"/>
      <c r="O255" s="1426"/>
      <c r="P255" s="1426"/>
      <c r="Q255" s="1426"/>
      <c r="R255" s="1426"/>
      <c r="S255" s="1426"/>
      <c r="T255" s="1426"/>
      <c r="U255" s="1426"/>
      <c r="V255" s="1427"/>
      <c r="W255" s="1423">
        <f>(W230*((1+W$11)^0.5)/W$10)</f>
        <v>0</v>
      </c>
      <c r="X255" s="152"/>
      <c r="Y255" s="152"/>
      <c r="Z255" s="152"/>
      <c r="AA255" s="152"/>
      <c r="AB255" s="152"/>
    </row>
    <row r="256" spans="1:28" hidden="1" outlineLevel="1">
      <c r="A256" s="152"/>
      <c r="B256" s="200"/>
      <c r="C256" s="1423"/>
      <c r="D256" s="1423"/>
      <c r="E256" s="1423"/>
      <c r="F256" s="1423"/>
      <c r="G256" s="1423"/>
      <c r="H256" s="1423"/>
      <c r="I256" s="1423"/>
      <c r="J256" s="1423"/>
      <c r="K256" s="1423"/>
      <c r="L256" s="1423"/>
      <c r="M256" s="1423"/>
      <c r="N256" s="1423"/>
      <c r="O256" s="1423"/>
      <c r="P256" s="1423"/>
      <c r="Q256" s="1423"/>
      <c r="R256" s="1423"/>
      <c r="S256" s="1423"/>
      <c r="T256" s="1423"/>
      <c r="U256" s="1423"/>
      <c r="V256" s="1423"/>
      <c r="W256" s="1423"/>
      <c r="X256" s="152"/>
      <c r="Y256" s="152"/>
      <c r="Z256" s="152"/>
      <c r="AA256" s="152"/>
      <c r="AB256" s="152"/>
    </row>
    <row r="257" spans="1:28" hidden="1" outlineLevel="1">
      <c r="A257" s="152"/>
      <c r="B257" s="200"/>
      <c r="C257" s="1423"/>
      <c r="D257" s="1423"/>
      <c r="E257" s="1423"/>
      <c r="F257" s="1423"/>
      <c r="G257" s="1423"/>
      <c r="H257" s="1423"/>
      <c r="I257" s="1423"/>
      <c r="J257" s="1423"/>
      <c r="K257" s="1423"/>
      <c r="L257" s="1423"/>
      <c r="M257" s="1423"/>
      <c r="N257" s="1423"/>
      <c r="O257" s="1423"/>
      <c r="P257" s="1423"/>
      <c r="Q257" s="1423"/>
      <c r="R257" s="1423"/>
      <c r="S257" s="1423"/>
      <c r="T257" s="1423"/>
      <c r="U257" s="1423"/>
      <c r="V257" s="1423"/>
      <c r="W257" s="1423"/>
      <c r="X257" s="152"/>
      <c r="Y257" s="152"/>
      <c r="Z257" s="152"/>
      <c r="AA257" s="152"/>
      <c r="AB257" s="152"/>
    </row>
    <row r="258" spans="1:28" hidden="1" outlineLevel="1">
      <c r="A258" s="152"/>
      <c r="B258" s="190" t="s">
        <v>190</v>
      </c>
      <c r="C258" s="1423"/>
      <c r="D258" s="1423">
        <f ca="1">IF(AND(C258&lt;1,D232=0),0,
IF(D232=0,C258-1,
IF(C258&lt;1,D233,
(((C258-1)*(C234-(C234/(C258))))+((D232/D$10)*D233))/(D234))))</f>
        <v>0</v>
      </c>
      <c r="E258" s="1423">
        <f t="shared" ref="E258" ca="1" si="329">IF(AND(D258&lt;1,E232=0),0,
IF(E232=0,D258-1,
IF(D258&lt;1,E233,
(((D258-1)*(D234-(D234/(D258))))+((E232/E$10)*E233))/(E234))))</f>
        <v>0</v>
      </c>
      <c r="F258" s="1423">
        <f t="shared" ref="F258" ca="1" si="330">IF(AND(E258&lt;1,F232=0),0,
IF(F232=0,E258-1,
IF(E258&lt;1,F233,
(((E258-1)*(E234-(E234/(E258))))+((F232/F$10)*F233))/(F234))))</f>
        <v>0</v>
      </c>
      <c r="G258" s="1423">
        <f t="shared" ref="G258" ca="1" si="331">IF(AND(F258&lt;1,G232=0),0,
IF(G232=0,F258-1,
IF(F258&lt;1,G233,
(((F258-1)*(F234-(F234/(F258))))+((G232/G$10)*G233))/(G234))))</f>
        <v>0</v>
      </c>
      <c r="H258" s="1423">
        <f t="shared" ref="H258" ca="1" si="332">IF(AND(G258&lt;1,H232=0),0,
IF(H232=0,G258-1,
IF(G258&lt;1,H233,
(((G258-1)*(G234-(G234/(G258))))+((H232/H$10)*H233))/(H234))))</f>
        <v>0</v>
      </c>
      <c r="I258" s="1423">
        <f t="shared" ref="I258" ca="1" si="333">IF(AND(H258&lt;1,I232=0),0,
IF(I232=0,H258-1,
IF(H258&lt;1,I233,
(((H258-1)*(H234-(H234/(H258))))+((I232/I$10)*I233))/(I234))))</f>
        <v>0</v>
      </c>
      <c r="J258" s="1423">
        <f t="shared" ref="J258" ca="1" si="334">IF(AND(I258&lt;1,J232=0),0,
IF(J232=0,I258-1,
IF(I258&lt;1,J233,
(((I258-1)*(I234-(I234/(I258))))+((J232/J$10)*J233))/(J234))))</f>
        <v>0</v>
      </c>
      <c r="K258" s="1423">
        <f t="shared" ref="K258" ca="1" si="335">IF(AND(J258&lt;1,K232=0),0,
IF(K232=0,J258-1,
IF(J258&lt;1,K233,
(((J258-1)*(J234-(J234/(J258))))+((K232/K$10)*K233))/(K234))))</f>
        <v>0</v>
      </c>
      <c r="L258" s="1423">
        <f t="shared" ref="L258" ca="1" si="336">IF(AND(K258&lt;1,L232=0),0,
IF(L232=0,K258-1,
IF(K258&lt;1,L233,
(((K258-1)*(K234-(K234/(K258))))+((L232/L$10)*L233))/(L234))))</f>
        <v>0</v>
      </c>
      <c r="M258" s="1423">
        <f t="shared" ref="M258" ca="1" si="337">IF(AND(L258&lt;1,M232=0),0,
IF(M232=0,L258-1,
IF(L258&lt;1,M233,
(((L258-1)*(L234-(L234/(L258))))+((M232/M$10)*M233))/(M234))))</f>
        <v>0</v>
      </c>
      <c r="N258" s="1423">
        <f t="shared" ref="N258" ca="1" si="338">IF(AND(M258&lt;1,N232=0),0,
IF(N232=0,M258-1,
IF(M258&lt;1,N233,
(((M258-1)*(M234-(M234/(M258))))+((N232/N$10)*N233))/(N234))))</f>
        <v>0</v>
      </c>
      <c r="O258" s="1423">
        <f t="shared" ref="O258" ca="1" si="339">IF(AND(N258&lt;1,O232=0),0,
IF(O232=0,N258-1,
IF(N258&lt;1,O233,
(((N258-1)*(N234-(N234/(N258))))+((O232/O$10)*O233))/(O234))))</f>
        <v>0</v>
      </c>
      <c r="P258" s="1423">
        <f t="shared" ref="P258" ca="1" si="340">IF(AND(O258&lt;1,P232=0),0,
IF(P232=0,O258-1,
IF(O258&lt;1,P233,
(((O258-1)*(O234-(O234/(O258))))+((P232/P$10)*P233))/(P234))))</f>
        <v>0</v>
      </c>
      <c r="Q258" s="1423">
        <f t="shared" ref="Q258" ca="1" si="341">IF(AND(P258&lt;1,Q232=0),0,
IF(Q232=0,P258-1,
IF(P258&lt;1,Q233,
(((P258-1)*(P234-(P234/(P258))))+((Q232/Q$10)*Q233))/(Q234))))</f>
        <v>0</v>
      </c>
      <c r="R258" s="1423">
        <f t="shared" ref="R258" ca="1" si="342">IF(AND(Q258&lt;1,R232=0),0,
IF(R232=0,Q258-1,
IF(Q258&lt;1,R233,
(((Q258-1)*(Q234-(Q234/(Q258))))+((R232/R$10)*R233))/(R234))))</f>
        <v>0</v>
      </c>
      <c r="S258" s="1423">
        <f t="shared" ref="S258" ca="1" si="343">IF(AND(R258&lt;1,S232=0),0,
IF(S232=0,R258-1,
IF(R258&lt;1,S233,
(((R258-1)*(R234-(R234/(R258))))+((S232/S$10)*S233))/(S234))))</f>
        <v>0</v>
      </c>
      <c r="T258" s="1423">
        <f t="shared" ref="T258" ca="1" si="344">IF(AND(S258&lt;1,T232=0),0,
IF(T232=0,S258-1,
IF(S258&lt;1,T233,
(((S258-1)*(S234-(S234/(S258))))+((T232/T$10)*T233))/(T234))))</f>
        <v>0</v>
      </c>
      <c r="U258" s="1423">
        <f t="shared" ref="U258" ca="1" si="345">IF(AND(T258&lt;1,U232=0),0,
IF(U232=0,T258-1,
IF(T258&lt;1,U233,
(((T258-1)*(T234-(T234/(T258))))+((U232/U$10)*U233))/(U234))))</f>
        <v>0</v>
      </c>
      <c r="V258" s="1423">
        <f t="shared" ref="V258" ca="1" si="346">IF(AND(U258&lt;1,V232=0),0,
IF(V232=0,U258-1,
IF(U258&lt;1,V233,
(((U258-1)*(U234-(U234/(U258))))+((V232/V$10)*V233))/(V234))))</f>
        <v>0</v>
      </c>
      <c r="W258" s="1423">
        <f t="shared" ref="W258" ca="1" si="347">IF(AND(V258&lt;1,W232=0),0,
IF(W232=0,V258-1,
IF(V258&lt;1,W233,
(((V258-1)*(V234-(V234/(V258))))+((W232/W$10)*W233))/(W234))))</f>
        <v>0</v>
      </c>
      <c r="X258" s="152"/>
      <c r="Y258" s="152"/>
      <c r="Z258" s="152"/>
      <c r="AA258" s="152"/>
      <c r="AB258" s="152"/>
    </row>
    <row r="259" spans="1:28" hidden="1" outlineLevel="1">
      <c r="A259" s="152"/>
      <c r="B259" s="190" t="s">
        <v>122</v>
      </c>
      <c r="C259" s="1423">
        <f ca="1">C231</f>
        <v>8.8780671472526773</v>
      </c>
      <c r="D259" s="1423">
        <f t="shared" ref="D259" ca="1" si="348">IF(C259="n/a","n/a",MAX(0,C259-1))</f>
        <v>7.8780671472526773</v>
      </c>
      <c r="E259" s="1423">
        <f t="shared" ref="E259:E260" ca="1" si="349">IF(D259="n/a","n/a",MAX(0,D259-1))</f>
        <v>6.8780671472526773</v>
      </c>
      <c r="F259" s="1423">
        <f t="shared" ref="F259:F261" ca="1" si="350">IF(E259="n/a","n/a",MAX(0,E259-1))</f>
        <v>5.8780671472526773</v>
      </c>
      <c r="G259" s="1423">
        <f t="shared" ref="G259:G262" ca="1" si="351">IF(F259="n/a","n/a",MAX(0,F259-1))</f>
        <v>4.8780671472526773</v>
      </c>
      <c r="H259" s="1423">
        <f t="shared" ref="H259:H263" ca="1" si="352">IF(G259="n/a","n/a",MAX(0,G259-1))</f>
        <v>3.8780671472526773</v>
      </c>
      <c r="I259" s="1423">
        <f t="shared" ref="I259:I264" ca="1" si="353">IF(H259="n/a","n/a",MAX(0,H259-1))</f>
        <v>2.8780671472526773</v>
      </c>
      <c r="J259" s="1423">
        <f t="shared" ref="J259:J265" ca="1" si="354">IF(I259="n/a","n/a",MAX(0,I259-1))</f>
        <v>1.8780671472526773</v>
      </c>
      <c r="K259" s="1423">
        <f t="shared" ref="K259:K266" ca="1" si="355">IF(J259="n/a","n/a",MAX(0,J259-1))</f>
        <v>0.87806714725267732</v>
      </c>
      <c r="L259" s="1423">
        <f t="shared" ref="L259:L267" ca="1" si="356">IF(K259="n/a","n/a",MAX(0,K259-1))</f>
        <v>0</v>
      </c>
      <c r="M259" s="1423">
        <f t="shared" ref="M259:M268" ca="1" si="357">IF(L259="n/a","n/a",MAX(0,L259-1))</f>
        <v>0</v>
      </c>
      <c r="N259" s="1423">
        <f t="shared" ref="N259:N269" ca="1" si="358">IF(M259="n/a","n/a",MAX(0,M259-1))</f>
        <v>0</v>
      </c>
      <c r="O259" s="1423">
        <f t="shared" ref="O259:O270" ca="1" si="359">IF(N259="n/a","n/a",MAX(0,N259-1))</f>
        <v>0</v>
      </c>
      <c r="P259" s="1423">
        <f t="shared" ref="P259:P271" ca="1" si="360">IF(O259="n/a","n/a",MAX(0,O259-1))</f>
        <v>0</v>
      </c>
      <c r="Q259" s="1423">
        <f t="shared" ref="Q259:Q272" ca="1" si="361">IF(P259="n/a","n/a",MAX(0,P259-1))</f>
        <v>0</v>
      </c>
      <c r="R259" s="1423">
        <f t="shared" ref="R259:R273" ca="1" si="362">IF(Q259="n/a","n/a",MAX(0,Q259-1))</f>
        <v>0</v>
      </c>
      <c r="S259" s="1423">
        <f t="shared" ref="S259:S274" ca="1" si="363">IF(R259="n/a","n/a",MAX(0,R259-1))</f>
        <v>0</v>
      </c>
      <c r="T259" s="1423">
        <f t="shared" ref="T259:T275" ca="1" si="364">IF(S259="n/a","n/a",MAX(0,S259-1))</f>
        <v>0</v>
      </c>
      <c r="U259" s="1423">
        <f t="shared" ref="U259:U276" ca="1" si="365">IF(T259="n/a","n/a",MAX(0,T259-1))</f>
        <v>0</v>
      </c>
      <c r="V259" s="1423">
        <f t="shared" ref="V259:V277" ca="1" si="366">IF(U259="n/a","n/a",MAX(0,U259-1))</f>
        <v>0</v>
      </c>
      <c r="W259" s="1423">
        <f t="shared" ref="W259:W277" ca="1" si="367">IF(V259="n/a","n/a",MAX(0,V259-1))</f>
        <v>0</v>
      </c>
      <c r="X259" s="152"/>
      <c r="Y259" s="152"/>
      <c r="Z259" s="152"/>
      <c r="AA259" s="152"/>
      <c r="AB259" s="152"/>
    </row>
    <row r="260" spans="1:28" hidden="1" outlineLevel="1">
      <c r="A260" s="152"/>
      <c r="B260" s="190" t="str">
        <f t="shared" ref="B260:B279" ca="1" si="368">"RL Capex "&amp;OFFSET($C$6,0,A236)</f>
        <v>RL Capex 2016-17</v>
      </c>
      <c r="C260" s="1424"/>
      <c r="D260" s="1428">
        <f>D231</f>
        <v>5</v>
      </c>
      <c r="E260" s="1423">
        <f t="shared" si="349"/>
        <v>4</v>
      </c>
      <c r="F260" s="1423">
        <f t="shared" si="350"/>
        <v>3</v>
      </c>
      <c r="G260" s="1423">
        <f t="shared" si="351"/>
        <v>2</v>
      </c>
      <c r="H260" s="1423">
        <f t="shared" si="352"/>
        <v>1</v>
      </c>
      <c r="I260" s="1423">
        <f t="shared" si="353"/>
        <v>0</v>
      </c>
      <c r="J260" s="1423">
        <f t="shared" si="354"/>
        <v>0</v>
      </c>
      <c r="K260" s="1423">
        <f t="shared" si="355"/>
        <v>0</v>
      </c>
      <c r="L260" s="1423">
        <f t="shared" si="356"/>
        <v>0</v>
      </c>
      <c r="M260" s="1423">
        <f t="shared" si="357"/>
        <v>0</v>
      </c>
      <c r="N260" s="1423">
        <f t="shared" si="358"/>
        <v>0</v>
      </c>
      <c r="O260" s="1423">
        <f t="shared" si="359"/>
        <v>0</v>
      </c>
      <c r="P260" s="1423">
        <f t="shared" si="360"/>
        <v>0</v>
      </c>
      <c r="Q260" s="1423">
        <f t="shared" si="361"/>
        <v>0</v>
      </c>
      <c r="R260" s="1423">
        <f t="shared" si="362"/>
        <v>0</v>
      </c>
      <c r="S260" s="1423">
        <f t="shared" si="363"/>
        <v>0</v>
      </c>
      <c r="T260" s="1423">
        <f t="shared" si="364"/>
        <v>0</v>
      </c>
      <c r="U260" s="1423">
        <f t="shared" si="365"/>
        <v>0</v>
      </c>
      <c r="V260" s="1423">
        <f t="shared" si="366"/>
        <v>0</v>
      </c>
      <c r="W260" s="1423">
        <f t="shared" si="367"/>
        <v>0</v>
      </c>
      <c r="X260" s="152"/>
      <c r="Y260" s="152"/>
      <c r="Z260" s="152"/>
      <c r="AA260" s="152"/>
      <c r="AB260" s="152"/>
    </row>
    <row r="261" spans="1:28" hidden="1" outlineLevel="1">
      <c r="A261" s="152"/>
      <c r="B261" s="190" t="str">
        <f t="shared" ca="1" si="368"/>
        <v>RL Capex 2017-18</v>
      </c>
      <c r="C261" s="1429"/>
      <c r="D261" s="1424"/>
      <c r="E261" s="1428">
        <f>E231</f>
        <v>5</v>
      </c>
      <c r="F261" s="1423">
        <f t="shared" si="350"/>
        <v>4</v>
      </c>
      <c r="G261" s="1423">
        <f t="shared" si="351"/>
        <v>3</v>
      </c>
      <c r="H261" s="1423">
        <f t="shared" si="352"/>
        <v>2</v>
      </c>
      <c r="I261" s="1423">
        <f t="shared" si="353"/>
        <v>1</v>
      </c>
      <c r="J261" s="1423">
        <f t="shared" si="354"/>
        <v>0</v>
      </c>
      <c r="K261" s="1423">
        <f t="shared" si="355"/>
        <v>0</v>
      </c>
      <c r="L261" s="1423">
        <f t="shared" si="356"/>
        <v>0</v>
      </c>
      <c r="M261" s="1423">
        <f t="shared" si="357"/>
        <v>0</v>
      </c>
      <c r="N261" s="1423">
        <f t="shared" si="358"/>
        <v>0</v>
      </c>
      <c r="O261" s="1423">
        <f t="shared" si="359"/>
        <v>0</v>
      </c>
      <c r="P261" s="1423">
        <f t="shared" si="360"/>
        <v>0</v>
      </c>
      <c r="Q261" s="1423">
        <f t="shared" si="361"/>
        <v>0</v>
      </c>
      <c r="R261" s="1423">
        <f t="shared" si="362"/>
        <v>0</v>
      </c>
      <c r="S261" s="1423">
        <f t="shared" si="363"/>
        <v>0</v>
      </c>
      <c r="T261" s="1423">
        <f t="shared" si="364"/>
        <v>0</v>
      </c>
      <c r="U261" s="1423">
        <f t="shared" si="365"/>
        <v>0</v>
      </c>
      <c r="V261" s="1423">
        <f t="shared" si="366"/>
        <v>0</v>
      </c>
      <c r="W261" s="1423">
        <f t="shared" si="367"/>
        <v>0</v>
      </c>
      <c r="X261" s="152"/>
      <c r="Y261" s="152"/>
      <c r="Z261" s="152"/>
      <c r="AA261" s="152"/>
      <c r="AB261" s="152"/>
    </row>
    <row r="262" spans="1:28" hidden="1" outlineLevel="1">
      <c r="A262" s="152"/>
      <c r="B262" s="190" t="str">
        <f t="shared" ca="1" si="368"/>
        <v>RL Capex 2018-19</v>
      </c>
      <c r="C262" s="1429"/>
      <c r="D262" s="1429"/>
      <c r="E262" s="1424"/>
      <c r="F262" s="1428">
        <f>F231</f>
        <v>5</v>
      </c>
      <c r="G262" s="1423">
        <f t="shared" si="351"/>
        <v>4</v>
      </c>
      <c r="H262" s="1423">
        <f t="shared" si="352"/>
        <v>3</v>
      </c>
      <c r="I262" s="1423">
        <f t="shared" si="353"/>
        <v>2</v>
      </c>
      <c r="J262" s="1423">
        <f t="shared" si="354"/>
        <v>1</v>
      </c>
      <c r="K262" s="1423">
        <f t="shared" si="355"/>
        <v>0</v>
      </c>
      <c r="L262" s="1423">
        <f t="shared" si="356"/>
        <v>0</v>
      </c>
      <c r="M262" s="1423">
        <f t="shared" si="357"/>
        <v>0</v>
      </c>
      <c r="N262" s="1423">
        <f t="shared" si="358"/>
        <v>0</v>
      </c>
      <c r="O262" s="1423">
        <f t="shared" si="359"/>
        <v>0</v>
      </c>
      <c r="P262" s="1423">
        <f t="shared" si="360"/>
        <v>0</v>
      </c>
      <c r="Q262" s="1423">
        <f t="shared" si="361"/>
        <v>0</v>
      </c>
      <c r="R262" s="1423">
        <f t="shared" si="362"/>
        <v>0</v>
      </c>
      <c r="S262" s="1423">
        <f t="shared" si="363"/>
        <v>0</v>
      </c>
      <c r="T262" s="1423">
        <f t="shared" si="364"/>
        <v>0</v>
      </c>
      <c r="U262" s="1423">
        <f t="shared" si="365"/>
        <v>0</v>
      </c>
      <c r="V262" s="1423">
        <f t="shared" si="366"/>
        <v>0</v>
      </c>
      <c r="W262" s="1423">
        <f t="shared" si="367"/>
        <v>0</v>
      </c>
      <c r="X262" s="152"/>
      <c r="Y262" s="152"/>
      <c r="Z262" s="152"/>
      <c r="AA262" s="152"/>
      <c r="AB262" s="152"/>
    </row>
    <row r="263" spans="1:28" hidden="1" outlineLevel="1">
      <c r="A263" s="152"/>
      <c r="B263" s="190" t="str">
        <f t="shared" ca="1" si="368"/>
        <v>RL Capex 2019-20</v>
      </c>
      <c r="C263" s="1429"/>
      <c r="D263" s="1429"/>
      <c r="E263" s="1429"/>
      <c r="F263" s="1424"/>
      <c r="G263" s="1428">
        <f>G231</f>
        <v>5</v>
      </c>
      <c r="H263" s="1423">
        <f t="shared" si="352"/>
        <v>4</v>
      </c>
      <c r="I263" s="1423">
        <f t="shared" si="353"/>
        <v>3</v>
      </c>
      <c r="J263" s="1423">
        <f t="shared" si="354"/>
        <v>2</v>
      </c>
      <c r="K263" s="1423">
        <f t="shared" si="355"/>
        <v>1</v>
      </c>
      <c r="L263" s="1423">
        <f t="shared" si="356"/>
        <v>0</v>
      </c>
      <c r="M263" s="1423">
        <f t="shared" si="357"/>
        <v>0</v>
      </c>
      <c r="N263" s="1423">
        <f t="shared" si="358"/>
        <v>0</v>
      </c>
      <c r="O263" s="1423">
        <f t="shared" si="359"/>
        <v>0</v>
      </c>
      <c r="P263" s="1423">
        <f t="shared" si="360"/>
        <v>0</v>
      </c>
      <c r="Q263" s="1423">
        <f t="shared" si="361"/>
        <v>0</v>
      </c>
      <c r="R263" s="1423">
        <f t="shared" si="362"/>
        <v>0</v>
      </c>
      <c r="S263" s="1423">
        <f t="shared" si="363"/>
        <v>0</v>
      </c>
      <c r="T263" s="1423">
        <f t="shared" si="364"/>
        <v>0</v>
      </c>
      <c r="U263" s="1423">
        <f t="shared" si="365"/>
        <v>0</v>
      </c>
      <c r="V263" s="1423">
        <f t="shared" si="366"/>
        <v>0</v>
      </c>
      <c r="W263" s="1423">
        <f t="shared" si="367"/>
        <v>0</v>
      </c>
      <c r="X263" s="152"/>
      <c r="Y263" s="152"/>
      <c r="Z263" s="152"/>
      <c r="AA263" s="152"/>
      <c r="AB263" s="152"/>
    </row>
    <row r="264" spans="1:28" hidden="1" outlineLevel="1">
      <c r="A264" s="152"/>
      <c r="B264" s="190" t="str">
        <f t="shared" ca="1" si="368"/>
        <v>RL Capex 2020-21</v>
      </c>
      <c r="C264" s="1429"/>
      <c r="D264" s="1429"/>
      <c r="E264" s="1429"/>
      <c r="F264" s="1429"/>
      <c r="G264" s="1424"/>
      <c r="H264" s="1428">
        <f>H231</f>
        <v>5</v>
      </c>
      <c r="I264" s="1423">
        <f t="shared" si="353"/>
        <v>4</v>
      </c>
      <c r="J264" s="1423">
        <f t="shared" si="354"/>
        <v>3</v>
      </c>
      <c r="K264" s="1423">
        <f t="shared" si="355"/>
        <v>2</v>
      </c>
      <c r="L264" s="1423">
        <f t="shared" si="356"/>
        <v>1</v>
      </c>
      <c r="M264" s="1423">
        <f t="shared" si="357"/>
        <v>0</v>
      </c>
      <c r="N264" s="1423">
        <f t="shared" si="358"/>
        <v>0</v>
      </c>
      <c r="O264" s="1423">
        <f t="shared" si="359"/>
        <v>0</v>
      </c>
      <c r="P264" s="1423">
        <f t="shared" si="360"/>
        <v>0</v>
      </c>
      <c r="Q264" s="1423">
        <f t="shared" si="361"/>
        <v>0</v>
      </c>
      <c r="R264" s="1423">
        <f t="shared" si="362"/>
        <v>0</v>
      </c>
      <c r="S264" s="1423">
        <f t="shared" si="363"/>
        <v>0</v>
      </c>
      <c r="T264" s="1423">
        <f t="shared" si="364"/>
        <v>0</v>
      </c>
      <c r="U264" s="1423">
        <f t="shared" si="365"/>
        <v>0</v>
      </c>
      <c r="V264" s="1423">
        <f t="shared" si="366"/>
        <v>0</v>
      </c>
      <c r="W264" s="1423">
        <f t="shared" si="367"/>
        <v>0</v>
      </c>
      <c r="X264" s="152"/>
      <c r="Y264" s="152"/>
      <c r="Z264" s="152"/>
      <c r="AA264" s="152"/>
      <c r="AB264" s="152"/>
    </row>
    <row r="265" spans="1:28" hidden="1" outlineLevel="1">
      <c r="A265" s="152"/>
      <c r="B265" s="190" t="str">
        <f t="shared" ca="1" si="368"/>
        <v>RL Capex 2021-22</v>
      </c>
      <c r="C265" s="1429"/>
      <c r="D265" s="1429"/>
      <c r="E265" s="1429"/>
      <c r="F265" s="1429"/>
      <c r="G265" s="1429"/>
      <c r="H265" s="1424"/>
      <c r="I265" s="1428">
        <f>I231</f>
        <v>5</v>
      </c>
      <c r="J265" s="1423">
        <f t="shared" si="354"/>
        <v>4</v>
      </c>
      <c r="K265" s="1423">
        <f t="shared" si="355"/>
        <v>3</v>
      </c>
      <c r="L265" s="1423">
        <f t="shared" si="356"/>
        <v>2</v>
      </c>
      <c r="M265" s="1423">
        <f t="shared" si="357"/>
        <v>1</v>
      </c>
      <c r="N265" s="1423">
        <f t="shared" si="358"/>
        <v>0</v>
      </c>
      <c r="O265" s="1423">
        <f t="shared" si="359"/>
        <v>0</v>
      </c>
      <c r="P265" s="1423">
        <f t="shared" si="360"/>
        <v>0</v>
      </c>
      <c r="Q265" s="1423">
        <f t="shared" si="361"/>
        <v>0</v>
      </c>
      <c r="R265" s="1423">
        <f t="shared" si="362"/>
        <v>0</v>
      </c>
      <c r="S265" s="1423">
        <f t="shared" si="363"/>
        <v>0</v>
      </c>
      <c r="T265" s="1423">
        <f t="shared" si="364"/>
        <v>0</v>
      </c>
      <c r="U265" s="1423">
        <f t="shared" si="365"/>
        <v>0</v>
      </c>
      <c r="V265" s="1423">
        <f t="shared" si="366"/>
        <v>0</v>
      </c>
      <c r="W265" s="1423">
        <f t="shared" si="367"/>
        <v>0</v>
      </c>
      <c r="X265" s="152"/>
      <c r="Y265" s="152"/>
      <c r="Z265" s="152"/>
      <c r="AA265" s="152"/>
      <c r="AB265" s="152"/>
    </row>
    <row r="266" spans="1:28" hidden="1" outlineLevel="1">
      <c r="A266" s="152"/>
      <c r="B266" s="190" t="str">
        <f t="shared" ca="1" si="368"/>
        <v>RL Capex 2022-23</v>
      </c>
      <c r="C266" s="1429"/>
      <c r="D266" s="1429"/>
      <c r="E266" s="1429"/>
      <c r="F266" s="1429"/>
      <c r="G266" s="1429"/>
      <c r="H266" s="1429"/>
      <c r="I266" s="1424"/>
      <c r="J266" s="1428">
        <f>J231</f>
        <v>5</v>
      </c>
      <c r="K266" s="1423">
        <f t="shared" si="355"/>
        <v>4</v>
      </c>
      <c r="L266" s="1423">
        <f t="shared" si="356"/>
        <v>3</v>
      </c>
      <c r="M266" s="1423">
        <f t="shared" si="357"/>
        <v>2</v>
      </c>
      <c r="N266" s="1423">
        <f t="shared" si="358"/>
        <v>1</v>
      </c>
      <c r="O266" s="1423">
        <f t="shared" si="359"/>
        <v>0</v>
      </c>
      <c r="P266" s="1423">
        <f t="shared" si="360"/>
        <v>0</v>
      </c>
      <c r="Q266" s="1423">
        <f t="shared" si="361"/>
        <v>0</v>
      </c>
      <c r="R266" s="1423">
        <f t="shared" si="362"/>
        <v>0</v>
      </c>
      <c r="S266" s="1423">
        <f t="shared" si="363"/>
        <v>0</v>
      </c>
      <c r="T266" s="1423">
        <f t="shared" si="364"/>
        <v>0</v>
      </c>
      <c r="U266" s="1423">
        <f t="shared" si="365"/>
        <v>0</v>
      </c>
      <c r="V266" s="1423">
        <f t="shared" si="366"/>
        <v>0</v>
      </c>
      <c r="W266" s="1423">
        <f t="shared" si="367"/>
        <v>0</v>
      </c>
      <c r="X266" s="152"/>
      <c r="Y266" s="152"/>
      <c r="Z266" s="152"/>
      <c r="AA266" s="152"/>
      <c r="AB266" s="152"/>
    </row>
    <row r="267" spans="1:28" hidden="1" outlineLevel="1">
      <c r="A267" s="152"/>
      <c r="B267" s="190" t="str">
        <f t="shared" ca="1" si="368"/>
        <v>RL Capex 2023-24</v>
      </c>
      <c r="C267" s="1429"/>
      <c r="D267" s="1429"/>
      <c r="E267" s="1429"/>
      <c r="F267" s="1429"/>
      <c r="G267" s="1429"/>
      <c r="H267" s="1429"/>
      <c r="I267" s="1429"/>
      <c r="J267" s="1424"/>
      <c r="K267" s="1428">
        <f>K231</f>
        <v>5</v>
      </c>
      <c r="L267" s="1423">
        <f t="shared" si="356"/>
        <v>4</v>
      </c>
      <c r="M267" s="1423">
        <f t="shared" si="357"/>
        <v>3</v>
      </c>
      <c r="N267" s="1423">
        <f t="shared" si="358"/>
        <v>2</v>
      </c>
      <c r="O267" s="1423">
        <f t="shared" si="359"/>
        <v>1</v>
      </c>
      <c r="P267" s="1423">
        <f t="shared" si="360"/>
        <v>0</v>
      </c>
      <c r="Q267" s="1423">
        <f t="shared" si="361"/>
        <v>0</v>
      </c>
      <c r="R267" s="1423">
        <f t="shared" si="362"/>
        <v>0</v>
      </c>
      <c r="S267" s="1423">
        <f t="shared" si="363"/>
        <v>0</v>
      </c>
      <c r="T267" s="1423">
        <f t="shared" si="364"/>
        <v>0</v>
      </c>
      <c r="U267" s="1423">
        <f t="shared" si="365"/>
        <v>0</v>
      </c>
      <c r="V267" s="1423">
        <f t="shared" si="366"/>
        <v>0</v>
      </c>
      <c r="W267" s="1423">
        <f t="shared" si="367"/>
        <v>0</v>
      </c>
      <c r="X267" s="152"/>
      <c r="Y267" s="152"/>
      <c r="Z267" s="152"/>
      <c r="AA267" s="152"/>
      <c r="AB267" s="152"/>
    </row>
    <row r="268" spans="1:28" hidden="1" outlineLevel="1">
      <c r="A268" s="152"/>
      <c r="B268" s="190" t="str">
        <f t="shared" ca="1" si="368"/>
        <v>RL Capex 2024-25</v>
      </c>
      <c r="C268" s="1429"/>
      <c r="D268" s="1429"/>
      <c r="E268" s="1429"/>
      <c r="F268" s="1429"/>
      <c r="G268" s="1429"/>
      <c r="H268" s="1429"/>
      <c r="I268" s="1429"/>
      <c r="J268" s="1429"/>
      <c r="K268" s="1424"/>
      <c r="L268" s="1428">
        <f>L231</f>
        <v>5</v>
      </c>
      <c r="M268" s="1423">
        <f t="shared" si="357"/>
        <v>4</v>
      </c>
      <c r="N268" s="1423">
        <f t="shared" si="358"/>
        <v>3</v>
      </c>
      <c r="O268" s="1423">
        <f t="shared" si="359"/>
        <v>2</v>
      </c>
      <c r="P268" s="1423">
        <f t="shared" si="360"/>
        <v>1</v>
      </c>
      <c r="Q268" s="1423">
        <f t="shared" si="361"/>
        <v>0</v>
      </c>
      <c r="R268" s="1423">
        <f t="shared" si="362"/>
        <v>0</v>
      </c>
      <c r="S268" s="1423">
        <f t="shared" si="363"/>
        <v>0</v>
      </c>
      <c r="T268" s="1423">
        <f t="shared" si="364"/>
        <v>0</v>
      </c>
      <c r="U268" s="1423">
        <f t="shared" si="365"/>
        <v>0</v>
      </c>
      <c r="V268" s="1423">
        <f t="shared" si="366"/>
        <v>0</v>
      </c>
      <c r="W268" s="1423">
        <f t="shared" si="367"/>
        <v>0</v>
      </c>
      <c r="X268" s="152"/>
      <c r="Y268" s="152"/>
      <c r="Z268" s="152"/>
      <c r="AA268" s="152"/>
      <c r="AB268" s="152"/>
    </row>
    <row r="269" spans="1:28" hidden="1" outlineLevel="1">
      <c r="A269" s="152"/>
      <c r="B269" s="190" t="str">
        <f t="shared" ca="1" si="368"/>
        <v>RL Capex 2025-26</v>
      </c>
      <c r="C269" s="1429"/>
      <c r="D269" s="1429"/>
      <c r="E269" s="1429"/>
      <c r="F269" s="1429"/>
      <c r="G269" s="1429"/>
      <c r="H269" s="1429"/>
      <c r="I269" s="1429"/>
      <c r="J269" s="1429"/>
      <c r="K269" s="1429"/>
      <c r="L269" s="1424"/>
      <c r="M269" s="1428">
        <f>M231</f>
        <v>5</v>
      </c>
      <c r="N269" s="1423">
        <f t="shared" si="358"/>
        <v>4</v>
      </c>
      <c r="O269" s="1423">
        <f t="shared" si="359"/>
        <v>3</v>
      </c>
      <c r="P269" s="1423">
        <f t="shared" si="360"/>
        <v>2</v>
      </c>
      <c r="Q269" s="1423">
        <f t="shared" si="361"/>
        <v>1</v>
      </c>
      <c r="R269" s="1423">
        <f t="shared" si="362"/>
        <v>0</v>
      </c>
      <c r="S269" s="1423">
        <f t="shared" si="363"/>
        <v>0</v>
      </c>
      <c r="T269" s="1423">
        <f t="shared" si="364"/>
        <v>0</v>
      </c>
      <c r="U269" s="1423">
        <f t="shared" si="365"/>
        <v>0</v>
      </c>
      <c r="V269" s="1423">
        <f t="shared" si="366"/>
        <v>0</v>
      </c>
      <c r="W269" s="1423">
        <f t="shared" si="367"/>
        <v>0</v>
      </c>
      <c r="X269" s="152"/>
      <c r="Y269" s="152"/>
      <c r="Z269" s="152"/>
      <c r="AA269" s="152"/>
      <c r="AB269" s="152"/>
    </row>
    <row r="270" spans="1:28" hidden="1" outlineLevel="1">
      <c r="A270" s="152"/>
      <c r="B270" s="190" t="str">
        <f t="shared" ca="1" si="368"/>
        <v>RL Capex 2026-27</v>
      </c>
      <c r="C270" s="1429"/>
      <c r="D270" s="1429"/>
      <c r="E270" s="1429"/>
      <c r="F270" s="1429"/>
      <c r="G270" s="1429"/>
      <c r="H270" s="1429"/>
      <c r="I270" s="1429"/>
      <c r="J270" s="1429"/>
      <c r="K270" s="1429"/>
      <c r="L270" s="1429"/>
      <c r="M270" s="1424"/>
      <c r="N270" s="1428">
        <f>N231</f>
        <v>0</v>
      </c>
      <c r="O270" s="1423">
        <f t="shared" si="359"/>
        <v>0</v>
      </c>
      <c r="P270" s="1423">
        <f t="shared" si="360"/>
        <v>0</v>
      </c>
      <c r="Q270" s="1423">
        <f t="shared" si="361"/>
        <v>0</v>
      </c>
      <c r="R270" s="1423">
        <f t="shared" si="362"/>
        <v>0</v>
      </c>
      <c r="S270" s="1423">
        <f t="shared" si="363"/>
        <v>0</v>
      </c>
      <c r="T270" s="1423">
        <f t="shared" si="364"/>
        <v>0</v>
      </c>
      <c r="U270" s="1423">
        <f t="shared" si="365"/>
        <v>0</v>
      </c>
      <c r="V270" s="1423">
        <f t="shared" si="366"/>
        <v>0</v>
      </c>
      <c r="W270" s="1423">
        <f t="shared" si="367"/>
        <v>0</v>
      </c>
      <c r="X270" s="152"/>
      <c r="Y270" s="152"/>
      <c r="Z270" s="152"/>
      <c r="AA270" s="152"/>
      <c r="AB270" s="152"/>
    </row>
    <row r="271" spans="1:28" hidden="1" outlineLevel="1">
      <c r="A271" s="152"/>
      <c r="B271" s="190" t="str">
        <f t="shared" ca="1" si="368"/>
        <v>RL Capex 2027-28</v>
      </c>
      <c r="C271" s="1429"/>
      <c r="D271" s="1429"/>
      <c r="E271" s="1429"/>
      <c r="F271" s="1429"/>
      <c r="G271" s="1429"/>
      <c r="H271" s="1429"/>
      <c r="I271" s="1429"/>
      <c r="J271" s="1429"/>
      <c r="K271" s="1429"/>
      <c r="L271" s="1429"/>
      <c r="M271" s="1429"/>
      <c r="N271" s="1424"/>
      <c r="O271" s="1428">
        <f>O231</f>
        <v>0</v>
      </c>
      <c r="P271" s="1423">
        <f t="shared" si="360"/>
        <v>0</v>
      </c>
      <c r="Q271" s="1423">
        <f t="shared" si="361"/>
        <v>0</v>
      </c>
      <c r="R271" s="1423">
        <f t="shared" si="362"/>
        <v>0</v>
      </c>
      <c r="S271" s="1423">
        <f t="shared" si="363"/>
        <v>0</v>
      </c>
      <c r="T271" s="1423">
        <f t="shared" si="364"/>
        <v>0</v>
      </c>
      <c r="U271" s="1423">
        <f t="shared" si="365"/>
        <v>0</v>
      </c>
      <c r="V271" s="1423">
        <f t="shared" si="366"/>
        <v>0</v>
      </c>
      <c r="W271" s="1423">
        <f t="shared" si="367"/>
        <v>0</v>
      </c>
      <c r="X271" s="152"/>
      <c r="Y271" s="152"/>
      <c r="Z271" s="152"/>
      <c r="AA271" s="152"/>
      <c r="AB271" s="152"/>
    </row>
    <row r="272" spans="1:28" hidden="1" outlineLevel="1">
      <c r="A272" s="152"/>
      <c r="B272" s="190" t="str">
        <f t="shared" ca="1" si="368"/>
        <v>RL Capex 2028-29</v>
      </c>
      <c r="C272" s="1429"/>
      <c r="D272" s="1429"/>
      <c r="E272" s="1429"/>
      <c r="F272" s="1429"/>
      <c r="G272" s="1429"/>
      <c r="H272" s="1429"/>
      <c r="I272" s="1429"/>
      <c r="J272" s="1429"/>
      <c r="K272" s="1429"/>
      <c r="L272" s="1429"/>
      <c r="M272" s="1429"/>
      <c r="N272" s="1429"/>
      <c r="O272" s="1424"/>
      <c r="P272" s="1428">
        <f>P231</f>
        <v>0</v>
      </c>
      <c r="Q272" s="1423">
        <f t="shared" si="361"/>
        <v>0</v>
      </c>
      <c r="R272" s="1423">
        <f t="shared" si="362"/>
        <v>0</v>
      </c>
      <c r="S272" s="1423">
        <f t="shared" si="363"/>
        <v>0</v>
      </c>
      <c r="T272" s="1423">
        <f t="shared" si="364"/>
        <v>0</v>
      </c>
      <c r="U272" s="1423">
        <f t="shared" si="365"/>
        <v>0</v>
      </c>
      <c r="V272" s="1423">
        <f t="shared" si="366"/>
        <v>0</v>
      </c>
      <c r="W272" s="1423">
        <f t="shared" si="367"/>
        <v>0</v>
      </c>
      <c r="X272" s="152"/>
      <c r="Y272" s="152"/>
      <c r="Z272" s="152"/>
      <c r="AA272" s="152"/>
      <c r="AB272" s="152"/>
    </row>
    <row r="273" spans="1:28" hidden="1" outlineLevel="1">
      <c r="A273" s="152"/>
      <c r="B273" s="190" t="str">
        <f t="shared" ca="1" si="368"/>
        <v>RL Capex 2029-30</v>
      </c>
      <c r="C273" s="1429"/>
      <c r="D273" s="1429"/>
      <c r="E273" s="1429"/>
      <c r="F273" s="1429"/>
      <c r="G273" s="1429"/>
      <c r="H273" s="1429"/>
      <c r="I273" s="1429"/>
      <c r="J273" s="1429"/>
      <c r="K273" s="1429"/>
      <c r="L273" s="1429"/>
      <c r="M273" s="1429"/>
      <c r="N273" s="1429"/>
      <c r="O273" s="1429"/>
      <c r="P273" s="1424"/>
      <c r="Q273" s="1428">
        <f>Q231</f>
        <v>0</v>
      </c>
      <c r="R273" s="1423">
        <f t="shared" si="362"/>
        <v>0</v>
      </c>
      <c r="S273" s="1423">
        <f t="shared" si="363"/>
        <v>0</v>
      </c>
      <c r="T273" s="1423">
        <f t="shared" si="364"/>
        <v>0</v>
      </c>
      <c r="U273" s="1423">
        <f t="shared" si="365"/>
        <v>0</v>
      </c>
      <c r="V273" s="1423">
        <f t="shared" si="366"/>
        <v>0</v>
      </c>
      <c r="W273" s="1423">
        <f t="shared" si="367"/>
        <v>0</v>
      </c>
      <c r="X273" s="152"/>
      <c r="Y273" s="152"/>
      <c r="Z273" s="152"/>
      <c r="AA273" s="152"/>
      <c r="AB273" s="152"/>
    </row>
    <row r="274" spans="1:28" hidden="1" outlineLevel="1">
      <c r="A274" s="152"/>
      <c r="B274" s="190" t="str">
        <f t="shared" ca="1" si="368"/>
        <v>RL Capex 2030-31</v>
      </c>
      <c r="C274" s="1429"/>
      <c r="D274" s="1429"/>
      <c r="E274" s="1429"/>
      <c r="F274" s="1429"/>
      <c r="G274" s="1429"/>
      <c r="H274" s="1429"/>
      <c r="I274" s="1429"/>
      <c r="J274" s="1429"/>
      <c r="K274" s="1429"/>
      <c r="L274" s="1429"/>
      <c r="M274" s="1429"/>
      <c r="N274" s="1429"/>
      <c r="O274" s="1429"/>
      <c r="P274" s="1429"/>
      <c r="Q274" s="1424"/>
      <c r="R274" s="1428">
        <f>R231</f>
        <v>0</v>
      </c>
      <c r="S274" s="1423">
        <f t="shared" si="363"/>
        <v>0</v>
      </c>
      <c r="T274" s="1423">
        <f t="shared" si="364"/>
        <v>0</v>
      </c>
      <c r="U274" s="1423">
        <f t="shared" si="365"/>
        <v>0</v>
      </c>
      <c r="V274" s="1423">
        <f t="shared" si="366"/>
        <v>0</v>
      </c>
      <c r="W274" s="1423">
        <f t="shared" si="367"/>
        <v>0</v>
      </c>
      <c r="X274" s="152"/>
      <c r="Y274" s="152"/>
      <c r="Z274" s="152"/>
      <c r="AA274" s="152"/>
      <c r="AB274" s="152"/>
    </row>
    <row r="275" spans="1:28" hidden="1" outlineLevel="1">
      <c r="A275" s="152"/>
      <c r="B275" s="190" t="str">
        <f t="shared" ca="1" si="368"/>
        <v>RL Capex 2031-32</v>
      </c>
      <c r="C275" s="1429"/>
      <c r="D275" s="1429"/>
      <c r="E275" s="1429"/>
      <c r="F275" s="1429"/>
      <c r="G275" s="1429"/>
      <c r="H275" s="1429"/>
      <c r="I275" s="1429"/>
      <c r="J275" s="1429"/>
      <c r="K275" s="1429"/>
      <c r="L275" s="1429"/>
      <c r="M275" s="1429"/>
      <c r="N275" s="1429"/>
      <c r="O275" s="1429"/>
      <c r="P275" s="1429"/>
      <c r="Q275" s="1429"/>
      <c r="R275" s="1424"/>
      <c r="S275" s="1428">
        <f>S231</f>
        <v>0</v>
      </c>
      <c r="T275" s="1423">
        <f t="shared" si="364"/>
        <v>0</v>
      </c>
      <c r="U275" s="1423">
        <f t="shared" si="365"/>
        <v>0</v>
      </c>
      <c r="V275" s="1423">
        <f t="shared" si="366"/>
        <v>0</v>
      </c>
      <c r="W275" s="1423">
        <f t="shared" si="367"/>
        <v>0</v>
      </c>
      <c r="X275" s="152"/>
      <c r="Y275" s="152"/>
      <c r="Z275" s="152"/>
      <c r="AA275" s="152"/>
      <c r="AB275" s="152"/>
    </row>
    <row r="276" spans="1:28" hidden="1" outlineLevel="1">
      <c r="A276" s="152"/>
      <c r="B276" s="190" t="str">
        <f t="shared" ca="1" si="368"/>
        <v>RL Capex 2032-33</v>
      </c>
      <c r="C276" s="1429"/>
      <c r="D276" s="1429"/>
      <c r="E276" s="1429"/>
      <c r="F276" s="1429"/>
      <c r="G276" s="1429"/>
      <c r="H276" s="1429"/>
      <c r="I276" s="1429"/>
      <c r="J276" s="1429"/>
      <c r="K276" s="1429"/>
      <c r="L276" s="1429"/>
      <c r="M276" s="1429"/>
      <c r="N276" s="1429"/>
      <c r="O276" s="1429"/>
      <c r="P276" s="1429"/>
      <c r="Q276" s="1429"/>
      <c r="R276" s="1429"/>
      <c r="S276" s="1424"/>
      <c r="T276" s="1428">
        <f>T231</f>
        <v>0</v>
      </c>
      <c r="U276" s="1423">
        <f t="shared" si="365"/>
        <v>0</v>
      </c>
      <c r="V276" s="1423">
        <f t="shared" si="366"/>
        <v>0</v>
      </c>
      <c r="W276" s="1423">
        <f t="shared" si="367"/>
        <v>0</v>
      </c>
      <c r="X276" s="152"/>
      <c r="Y276" s="152"/>
      <c r="Z276" s="152"/>
      <c r="AA276" s="152"/>
      <c r="AB276" s="152"/>
    </row>
    <row r="277" spans="1:28" hidden="1" outlineLevel="1">
      <c r="A277" s="152"/>
      <c r="B277" s="190" t="str">
        <f t="shared" ca="1" si="368"/>
        <v>RL Capex 2033-34</v>
      </c>
      <c r="C277" s="1429"/>
      <c r="D277" s="1429"/>
      <c r="E277" s="1429"/>
      <c r="F277" s="1429"/>
      <c r="G277" s="1429"/>
      <c r="H277" s="1429"/>
      <c r="I277" s="1429"/>
      <c r="J277" s="1429"/>
      <c r="K277" s="1429"/>
      <c r="L277" s="1429"/>
      <c r="M277" s="1429"/>
      <c r="N277" s="1429"/>
      <c r="O277" s="1429"/>
      <c r="P277" s="1429"/>
      <c r="Q277" s="1429"/>
      <c r="R277" s="1429"/>
      <c r="S277" s="1429"/>
      <c r="T277" s="1424"/>
      <c r="U277" s="1428">
        <f>U231</f>
        <v>0</v>
      </c>
      <c r="V277" s="1423">
        <f t="shared" si="366"/>
        <v>0</v>
      </c>
      <c r="W277" s="1423">
        <f t="shared" si="367"/>
        <v>0</v>
      </c>
      <c r="X277" s="152"/>
      <c r="Y277" s="152"/>
      <c r="Z277" s="152"/>
      <c r="AA277" s="152"/>
      <c r="AB277" s="152"/>
    </row>
    <row r="278" spans="1:28" hidden="1" outlineLevel="1">
      <c r="A278" s="152"/>
      <c r="B278" s="190" t="str">
        <f t="shared" ca="1" si="368"/>
        <v>RL Capex 2034-35</v>
      </c>
      <c r="C278" s="1429"/>
      <c r="D278" s="1429"/>
      <c r="E278" s="1429"/>
      <c r="F278" s="1429"/>
      <c r="G278" s="1429"/>
      <c r="H278" s="1429"/>
      <c r="I278" s="1429"/>
      <c r="J278" s="1429"/>
      <c r="K278" s="1429"/>
      <c r="L278" s="1429"/>
      <c r="M278" s="1429"/>
      <c r="N278" s="1429"/>
      <c r="O278" s="1429"/>
      <c r="P278" s="1429"/>
      <c r="Q278" s="1429"/>
      <c r="R278" s="1429"/>
      <c r="S278" s="1429"/>
      <c r="T278" s="1429"/>
      <c r="U278" s="1424"/>
      <c r="V278" s="1428">
        <f>V231</f>
        <v>0</v>
      </c>
      <c r="W278" s="1423">
        <f>IF(V278="n/a","n/a",MAX(0,V278-1))</f>
        <v>0</v>
      </c>
      <c r="X278" s="152"/>
      <c r="Y278" s="152"/>
      <c r="Z278" s="152"/>
      <c r="AA278" s="152"/>
      <c r="AB278" s="152"/>
    </row>
    <row r="279" spans="1:28" hidden="1" outlineLevel="1">
      <c r="A279" s="152"/>
      <c r="B279" s="190" t="str">
        <f t="shared" ca="1" si="368"/>
        <v>RL Capex 2035-36</v>
      </c>
      <c r="C279" s="1429"/>
      <c r="D279" s="1429"/>
      <c r="E279" s="1429"/>
      <c r="F279" s="1429"/>
      <c r="G279" s="1429"/>
      <c r="H279" s="1429"/>
      <c r="I279" s="1429"/>
      <c r="J279" s="1429"/>
      <c r="K279" s="1429"/>
      <c r="L279" s="1429"/>
      <c r="M279" s="1429"/>
      <c r="N279" s="1429"/>
      <c r="O279" s="1429"/>
      <c r="P279" s="1429"/>
      <c r="Q279" s="1429"/>
      <c r="R279" s="1429"/>
      <c r="S279" s="1429"/>
      <c r="T279" s="1429"/>
      <c r="U279" s="1429"/>
      <c r="V279" s="1424"/>
      <c r="W279" s="1423">
        <f>W231</f>
        <v>0</v>
      </c>
      <c r="X279" s="152"/>
      <c r="Y279" s="152"/>
      <c r="Z279" s="152"/>
      <c r="AA279" s="152"/>
      <c r="AB279" s="152"/>
    </row>
    <row r="280" spans="1:28" hidden="1" outlineLevel="1">
      <c r="A280" s="152"/>
      <c r="B280" s="200"/>
      <c r="C280" s="1423"/>
      <c r="D280" s="1423"/>
      <c r="E280" s="1423"/>
      <c r="F280" s="1423"/>
      <c r="G280" s="1423"/>
      <c r="H280" s="1423"/>
      <c r="I280" s="1423"/>
      <c r="J280" s="1423"/>
      <c r="K280" s="1423"/>
      <c r="L280" s="1423"/>
      <c r="M280" s="1423"/>
      <c r="N280" s="1423"/>
      <c r="O280" s="1423"/>
      <c r="P280" s="1423"/>
      <c r="Q280" s="1423"/>
      <c r="R280" s="1423"/>
      <c r="S280" s="1423"/>
      <c r="T280" s="1423"/>
      <c r="U280" s="1423"/>
      <c r="V280" s="1423"/>
      <c r="W280" s="1423"/>
      <c r="X280" s="152"/>
      <c r="Y280" s="152"/>
      <c r="Z280" s="152"/>
      <c r="AA280" s="152"/>
      <c r="AB280" s="152"/>
    </row>
    <row r="281" spans="1:28" collapsed="1">
      <c r="A281" s="194"/>
      <c r="B281" s="204" t="s">
        <v>123</v>
      </c>
      <c r="C281" s="1430">
        <f ca="1">(IF(OR($C231&lt;&gt;"n/a",C231&lt;&gt;"n/a"),IF(SUM(C234:C256)=0,0,IF((SUMPRODUCT(C234:C256,C258:C280)/SUM(C234:C256))&lt;0,1,(SUMPRODUCT(C234:C256,C258:C280)/SUM(C234:C256)))),"n/a"))</f>
        <v>8.8780671472526773</v>
      </c>
      <c r="D281" s="1430">
        <f ca="1">(IF(OR($C231&lt;&gt;"n/a",D231&lt;&gt;"n/a"),IF(SUM(D234:D256)=0,0,IF((SUMPRODUCT(D234:D256,D258:D280)/SUM(D234:D256))&lt;0,1,(SUMPRODUCT(D234:D256,D258:D280)/SUM(D234:D256)))),"n/a"))</f>
        <v>7.7824737066864964</v>
      </c>
      <c r="E281" s="1430">
        <f t="shared" ref="E281:W281" ca="1" si="369">(IF(OR($C231&lt;&gt;"n/a",E231&lt;&gt;"n/a"),IF(SUM(E234:E256)=0,0,IF((SUMPRODUCT(E234:E256,E258:E280)/SUM(E234:E256))&lt;0,1,(SUMPRODUCT(E234:E256,E258:E280)/SUM(E234:E256)))),"n/a"))</f>
        <v>6.6238965423904528</v>
      </c>
      <c r="F281" s="1430">
        <f t="shared" ca="1" si="369"/>
        <v>5.5421457779230687</v>
      </c>
      <c r="G281" s="1430">
        <f t="shared" ca="1" si="369"/>
        <v>4.6677681647516795</v>
      </c>
      <c r="H281" s="1430">
        <f t="shared" ca="1" si="369"/>
        <v>4.0056484612668006</v>
      </c>
      <c r="I281" s="1430">
        <f t="shared" ca="1" si="369"/>
        <v>3.6349174889439948</v>
      </c>
      <c r="J281" s="1430">
        <f t="shared" ca="1" si="369"/>
        <v>3.1166517439958015</v>
      </c>
      <c r="K281" s="1430">
        <f t="shared" ca="1" si="369"/>
        <v>2.4241929668999114</v>
      </c>
      <c r="L281" s="1430">
        <f t="shared" ca="1" si="369"/>
        <v>2.1188477017704992</v>
      </c>
      <c r="M281" s="1430">
        <f t="shared" ca="1" si="369"/>
        <v>1.4555694193010589</v>
      </c>
      <c r="N281" s="1430">
        <f t="shared" ca="1" si="369"/>
        <v>1</v>
      </c>
      <c r="O281" s="1430">
        <f t="shared" ca="1" si="369"/>
        <v>0</v>
      </c>
      <c r="P281" s="1430">
        <f t="shared" ca="1" si="369"/>
        <v>0</v>
      </c>
      <c r="Q281" s="1430">
        <f t="shared" ca="1" si="369"/>
        <v>0</v>
      </c>
      <c r="R281" s="1430">
        <f t="shared" ca="1" si="369"/>
        <v>0</v>
      </c>
      <c r="S281" s="1430">
        <f t="shared" ca="1" si="369"/>
        <v>0</v>
      </c>
      <c r="T281" s="1430">
        <f t="shared" ca="1" si="369"/>
        <v>0</v>
      </c>
      <c r="U281" s="1430">
        <f t="shared" ca="1" si="369"/>
        <v>0</v>
      </c>
      <c r="V281" s="1430">
        <f t="shared" ca="1" si="369"/>
        <v>0</v>
      </c>
      <c r="W281" s="1430">
        <f t="shared" ca="1" si="369"/>
        <v>0</v>
      </c>
      <c r="X281" s="152"/>
      <c r="Y281" s="152"/>
      <c r="Z281" s="152"/>
      <c r="AA281" s="152"/>
      <c r="AB281" s="152"/>
    </row>
    <row r="282" spans="1:28">
      <c r="A282" s="152"/>
      <c r="B282" s="152"/>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52"/>
      <c r="Y282" s="152"/>
      <c r="Z282" s="152"/>
      <c r="AA282" s="152"/>
      <c r="AB282" s="152"/>
    </row>
    <row r="283" spans="1:28">
      <c r="A283" s="269" t="s">
        <v>6</v>
      </c>
      <c r="B283" s="270" t="str">
        <f>VLOOKUP($A283,'RFM input'!$E$7:$F$56,2,FALSE)</f>
        <v>Other Distribution System Equipment</v>
      </c>
      <c r="C283" s="1431"/>
      <c r="D283" s="1431"/>
      <c r="E283" s="1432"/>
      <c r="F283" s="1432"/>
      <c r="G283" s="1432"/>
      <c r="H283" s="1432"/>
      <c r="I283" s="1432"/>
      <c r="J283" s="1432"/>
      <c r="K283" s="1432"/>
      <c r="L283" s="1432"/>
      <c r="M283" s="1432"/>
      <c r="N283" s="1432"/>
      <c r="O283" s="1432"/>
      <c r="P283" s="1432"/>
      <c r="Q283" s="1432"/>
      <c r="R283" s="1432"/>
      <c r="S283" s="1432"/>
      <c r="T283" s="1432"/>
      <c r="U283" s="1432"/>
      <c r="V283" s="1432"/>
      <c r="W283" s="1432"/>
      <c r="X283" s="152"/>
      <c r="Y283" s="152"/>
      <c r="Z283" s="152"/>
      <c r="AA283" s="152"/>
      <c r="AB283" s="152"/>
    </row>
    <row r="284" spans="1:28">
      <c r="A284" s="215">
        <f>VALUE(REPLACE(A283,1,12,""))</f>
        <v>6</v>
      </c>
      <c r="B284" s="193" t="s">
        <v>126</v>
      </c>
      <c r="C284" s="1416">
        <f ca="1">IF($C$8='Capital Base roll forward'!$H$4,OFFSET('Capital Base roll forward'!$H$717,'RAB remaining lives'!A284,0),"enter input")</f>
        <v>9.3811826906979316</v>
      </c>
      <c r="D284" s="1417">
        <f>IF(LEFT(D$6,4)&lt;LEFT('RFM input'!$G$60,4),"enter input",IF(LEFT(D$6,4)&gt;LEFT('RFM input'!$Q$60,4),0,INDEX('RFM input'!$G$61:$Q$110,$A284,MATCH(D$6,'RFM input'!$G$60:$Q$60,0))
-INDEX('RFM input'!$G$115:$Q$164,$A284,MATCH(D$6,'RFM input'!$G$60:$Q$60,0))
-INDEX('RFM input'!$G$169:$Q$218,$A284,MATCH(D$6,'RFM input'!$G$60:$Q$60,0))))</f>
        <v>1.0590765327880023</v>
      </c>
      <c r="E284" s="1417">
        <f>IF(LEFT(E$6,4)&lt;LEFT('RFM input'!$G$60,4),"enter input",IF(LEFT(E$6,4)&gt;LEFT('RFM input'!$Q$60,4),0,INDEX('RFM input'!$G$61:$Q$110,$A284,MATCH(E$6,'RFM input'!$G$60:$Q$60,0))
-INDEX('RFM input'!$G$115:$Q$164,$A284,MATCH(E$6,'RFM input'!$G$60:$Q$60,0))
-INDEX('RFM input'!$G$169:$Q$218,$A284,MATCH(E$6,'RFM input'!$G$60:$Q$60,0))))</f>
        <v>0.48068886631569696</v>
      </c>
      <c r="F284" s="1417">
        <f>IF(LEFT(F$6,4)&lt;LEFT('RFM input'!$G$60,4),"enter input",IF(LEFT(F$6,4)&gt;LEFT('RFM input'!$Q$60,4),0,INDEX('RFM input'!$G$61:$Q$110,$A284,MATCH(F$6,'RFM input'!$G$60:$Q$60,0))
-INDEX('RFM input'!$G$115:$Q$164,$A284,MATCH(F$6,'RFM input'!$G$60:$Q$60,0))
-INDEX('RFM input'!$G$169:$Q$218,$A284,MATCH(F$6,'RFM input'!$G$60:$Q$60,0))))</f>
        <v>0.76123687370543058</v>
      </c>
      <c r="G284" s="1417">
        <f>IF(LEFT(G$6,4)&lt;LEFT('RFM input'!$G$60,4),"enter input",IF(LEFT(G$6,4)&gt;LEFT('RFM input'!$Q$60,4),0,INDEX('RFM input'!$G$61:$Q$110,$A284,MATCH(G$6,'RFM input'!$G$60:$Q$60,0))
-INDEX('RFM input'!$G$115:$Q$164,$A284,MATCH(G$6,'RFM input'!$G$60:$Q$60,0))
-INDEX('RFM input'!$G$169:$Q$218,$A284,MATCH(G$6,'RFM input'!$G$60:$Q$60,0))))</f>
        <v>1.7733186749445713</v>
      </c>
      <c r="H284" s="1417">
        <f>IF(LEFT(H$6,4)&lt;LEFT('RFM input'!$G$60,4),"enter input",IF(LEFT(H$6,4)&gt;LEFT('RFM input'!$Q$60,4),0,INDEX('RFM input'!$G$61:$Q$110,$A284,MATCH(H$6,'RFM input'!$G$60:$Q$60,0))
-INDEX('RFM input'!$G$115:$Q$164,$A284,MATCH(H$6,'RFM input'!$G$60:$Q$60,0))
-INDEX('RFM input'!$G$169:$Q$218,$A284,MATCH(H$6,'RFM input'!$G$60:$Q$60,0))))</f>
        <v>0.90826443592892436</v>
      </c>
      <c r="I284" s="1417">
        <f>IF(LEFT(I$6,4)&lt;LEFT('RFM input'!$G$60,4),"enter input",IF(LEFT(I$6,4)&gt;LEFT('RFM input'!$Q$60,4),0,INDEX('RFM input'!$G$61:$Q$110,$A284,MATCH(I$6,'RFM input'!$G$60:$Q$60,0))
-INDEX('RFM input'!$G$115:$Q$164,$A284,MATCH(I$6,'RFM input'!$G$60:$Q$60,0))
-INDEX('RFM input'!$G$169:$Q$218,$A284,MATCH(I$6,'RFM input'!$G$60:$Q$60,0))))</f>
        <v>0.91752900100868973</v>
      </c>
      <c r="J284" s="1417">
        <f>IF(LEFT(J$6,4)&lt;LEFT('RFM input'!$G$60,4),"enter input",IF(LEFT(J$6,4)&gt;LEFT('RFM input'!$Q$60,4),0,INDEX('RFM input'!$G$61:$Q$110,$A284,MATCH(J$6,'RFM input'!$G$60:$Q$60,0))
-INDEX('RFM input'!$G$115:$Q$164,$A284,MATCH(J$6,'RFM input'!$G$60:$Q$60,0))
-INDEX('RFM input'!$G$169:$Q$218,$A284,MATCH(J$6,'RFM input'!$G$60:$Q$60,0))))</f>
        <v>0.8769303290075372</v>
      </c>
      <c r="K284" s="1417">
        <f>IF(LEFT(K$6,4)&lt;LEFT('RFM input'!$G$60,4),"enter input",IF(LEFT(K$6,4)&gt;LEFT('RFM input'!$Q$60,4),0,INDEX('RFM input'!$G$61:$Q$110,$A284,MATCH(K$6,'RFM input'!$G$60:$Q$60,0))
-INDEX('RFM input'!$G$115:$Q$164,$A284,MATCH(K$6,'RFM input'!$G$60:$Q$60,0))
-INDEX('RFM input'!$G$169:$Q$218,$A284,MATCH(K$6,'RFM input'!$G$60:$Q$60,0))))</f>
        <v>0</v>
      </c>
      <c r="L284" s="1417">
        <f>IF(LEFT(L$6,4)&lt;LEFT('RFM input'!$G$60,4),"enter input",IF(LEFT(L$6,4)&gt;LEFT('RFM input'!$Q$60,4),0,INDEX('RFM input'!$G$61:$Q$110,$A284,MATCH(L$6,'RFM input'!$G$60:$Q$60,0))
-INDEX('RFM input'!$G$115:$Q$164,$A284,MATCH(L$6,'RFM input'!$G$60:$Q$60,0))
-INDEX('RFM input'!$G$169:$Q$218,$A284,MATCH(L$6,'RFM input'!$G$60:$Q$60,0))))</f>
        <v>0</v>
      </c>
      <c r="M284" s="1417">
        <f>IF(LEFT(M$6,4)&lt;LEFT('RFM input'!$G$60,4),"enter input",IF(LEFT(M$6,4)&gt;LEFT('RFM input'!$Q$60,4),0,INDEX('RFM input'!$G$61:$Q$110,$A284,MATCH(M$6,'RFM input'!$G$60:$Q$60,0))
-INDEX('RFM input'!$G$115:$Q$164,$A284,MATCH(M$6,'RFM input'!$G$60:$Q$60,0))
-INDEX('RFM input'!$G$169:$Q$218,$A284,MATCH(M$6,'RFM input'!$G$60:$Q$60,0))))</f>
        <v>0</v>
      </c>
      <c r="N284" s="1417">
        <f>IF(LEFT(N$6,4)&lt;LEFT('RFM input'!$G$60,4),"enter input",IF(LEFT(N$6,4)&gt;LEFT('RFM input'!$Q$60,4),0,INDEX('RFM input'!$G$61:$Q$110,$A284,MATCH(N$6,'RFM input'!$G$60:$Q$60,0))
-INDEX('RFM input'!$G$115:$Q$164,$A284,MATCH(N$6,'RFM input'!$G$60:$Q$60,0))
-INDEX('RFM input'!$G$169:$Q$218,$A284,MATCH(N$6,'RFM input'!$G$60:$Q$60,0))))</f>
        <v>0</v>
      </c>
      <c r="O284" s="1417">
        <f>IF(LEFT(O$6,4)&lt;LEFT('RFM input'!$G$60,4),"enter input",IF(LEFT(O$6,4)&gt;LEFT('RFM input'!$Q$60,4),0,INDEX('RFM input'!$G$61:$Q$110,$A284,MATCH(O$6,'RFM input'!$G$60:$Q$60,0))
-INDEX('RFM input'!$G$115:$Q$164,$A284,MATCH(O$6,'RFM input'!$G$60:$Q$60,0))
-INDEX('RFM input'!$G$169:$Q$218,$A284,MATCH(O$6,'RFM input'!$G$60:$Q$60,0))))</f>
        <v>0</v>
      </c>
      <c r="P284" s="1417">
        <f>IF(LEFT(P$6,4)&lt;LEFT('RFM input'!$G$60,4),"enter input",IF(LEFT(P$6,4)&gt;LEFT('RFM input'!$Q$60,4),0,INDEX('RFM input'!$G$61:$Q$110,$A284,MATCH(P$6,'RFM input'!$G$60:$Q$60,0))
-INDEX('RFM input'!$G$115:$Q$164,$A284,MATCH(P$6,'RFM input'!$G$60:$Q$60,0))
-INDEX('RFM input'!$G$169:$Q$218,$A284,MATCH(P$6,'RFM input'!$G$60:$Q$60,0))))</f>
        <v>0</v>
      </c>
      <c r="Q284" s="1417">
        <f>IF(LEFT(Q$6,4)&lt;LEFT('RFM input'!$G$60,4),"enter input",IF(LEFT(Q$6,4)&gt;LEFT('RFM input'!$Q$60,4),0,INDEX('RFM input'!$G$61:$Q$110,$A284,MATCH(Q$6,'RFM input'!$G$60:$Q$60,0))
-INDEX('RFM input'!$G$115:$Q$164,$A284,MATCH(Q$6,'RFM input'!$G$60:$Q$60,0))
-INDEX('RFM input'!$G$169:$Q$218,$A284,MATCH(Q$6,'RFM input'!$G$60:$Q$60,0))))</f>
        <v>0</v>
      </c>
      <c r="R284" s="1417">
        <f>IF(LEFT(R$6,4)&lt;LEFT('RFM input'!$G$60,4),"enter input",IF(LEFT(R$6,4)&gt;LEFT('RFM input'!$Q$60,4),0,INDEX('RFM input'!$G$61:$Q$110,$A284,MATCH(R$6,'RFM input'!$G$60:$Q$60,0))
-INDEX('RFM input'!$G$115:$Q$164,$A284,MATCH(R$6,'RFM input'!$G$60:$Q$60,0))
-INDEX('RFM input'!$G$169:$Q$218,$A284,MATCH(R$6,'RFM input'!$G$60:$Q$60,0))))</f>
        <v>0</v>
      </c>
      <c r="S284" s="1417">
        <f>IF(LEFT(S$6,4)&lt;LEFT('RFM input'!$G$60,4),"enter input",IF(LEFT(S$6,4)&gt;LEFT('RFM input'!$Q$60,4),0,INDEX('RFM input'!$G$61:$Q$110,$A284,MATCH(S$6,'RFM input'!$G$60:$Q$60,0))
-INDEX('RFM input'!$G$115:$Q$164,$A284,MATCH(S$6,'RFM input'!$G$60:$Q$60,0))
-INDEX('RFM input'!$G$169:$Q$218,$A284,MATCH(S$6,'RFM input'!$G$60:$Q$60,0))))</f>
        <v>0</v>
      </c>
      <c r="T284" s="1417">
        <f>IF(LEFT(T$6,4)&lt;LEFT('RFM input'!$G$60,4),"enter input",IF(LEFT(T$6,4)&gt;LEFT('RFM input'!$Q$60,4),0,INDEX('RFM input'!$G$61:$Q$110,$A284,MATCH(T$6,'RFM input'!$G$60:$Q$60,0))
-INDEX('RFM input'!$G$115:$Q$164,$A284,MATCH(T$6,'RFM input'!$G$60:$Q$60,0))
-INDEX('RFM input'!$G$169:$Q$218,$A284,MATCH(T$6,'RFM input'!$G$60:$Q$60,0))))</f>
        <v>0</v>
      </c>
      <c r="U284" s="1417">
        <f>IF(LEFT(U$6,4)&lt;LEFT('RFM input'!$G$60,4),"enter input",IF(LEFT(U$6,4)&gt;LEFT('RFM input'!$Q$60,4),0,INDEX('RFM input'!$G$61:$Q$110,$A284,MATCH(U$6,'RFM input'!$G$60:$Q$60,0))
-INDEX('RFM input'!$G$115:$Q$164,$A284,MATCH(U$6,'RFM input'!$G$60:$Q$60,0))
-INDEX('RFM input'!$G$169:$Q$218,$A284,MATCH(U$6,'RFM input'!$G$60:$Q$60,0))))</f>
        <v>0</v>
      </c>
      <c r="V284" s="1417">
        <f>IF(LEFT(V$6,4)&lt;LEFT('RFM input'!$G$60,4),"enter input",IF(LEFT(V$6,4)&gt;LEFT('RFM input'!$Q$60,4),0,INDEX('RFM input'!$G$61:$Q$110,$A284,MATCH(V$6,'RFM input'!$G$60:$Q$60,0))
-INDEX('RFM input'!$G$115:$Q$164,$A284,MATCH(V$6,'RFM input'!$G$60:$Q$60,0))
-INDEX('RFM input'!$G$169:$Q$218,$A284,MATCH(V$6,'RFM input'!$G$60:$Q$60,0))))</f>
        <v>0</v>
      </c>
      <c r="W284" s="1417">
        <f>IF(LEFT(W$6,4)&lt;LEFT('RFM input'!$G$60,4),"enter input",IF(LEFT(W$6,4)&gt;LEFT('RFM input'!$Q$60,4),0,INDEX('RFM input'!$G$61:$Q$110,$A284,MATCH(W$6,'RFM input'!$G$60:$Q$60,0))
-INDEX('RFM input'!$G$115:$Q$164,$A284,MATCH(W$6,'RFM input'!$G$60:$Q$60,0))
-INDEX('RFM input'!$G$169:$Q$218,$A284,MATCH(W$6,'RFM input'!$G$60:$Q$60,0))))</f>
        <v>0</v>
      </c>
      <c r="X284" s="152"/>
      <c r="Y284" s="152"/>
      <c r="Z284" s="152"/>
      <c r="AA284" s="152"/>
      <c r="AB284" s="152"/>
    </row>
    <row r="285" spans="1:28">
      <c r="A285" s="152"/>
      <c r="B285" s="152" t="s">
        <v>204</v>
      </c>
      <c r="C285" s="1418">
        <f ca="1">IF($C$8='Capital Base roll forward'!$H$4,OFFSET('RFM input'!$J$6,'RAB remaining lives'!A284,0),"enter input")</f>
        <v>26.31415851135737</v>
      </c>
      <c r="D285" s="1417">
        <f>IF(LEFT(D$6,4)&lt;=LEFT('RFM input'!$G$60,4),"enter input",IF(LEFT(D$6,4)&gt;LEFT('RFM input'!$Q$60,4),0,IF(MATCH(D$6,'RFM input'!$H$60:$Q$60,0),INDEX('RFM input'!$K$7:$K$56,$A284,1))))</f>
        <v>40</v>
      </c>
      <c r="E285" s="1417">
        <f>IF(LEFT(E$6,4)&lt;=LEFT('RFM input'!$G$60,4),"enter input",IF(LEFT(E$6,4)&gt;LEFT('RFM input'!$Q$60,4),0,IF(MATCH(E$6,'RFM input'!$H$60:$Q$60,0),INDEX('RFM input'!$K$7:$K$56,$A284,1))))</f>
        <v>40</v>
      </c>
      <c r="F285" s="1417">
        <f>IF(LEFT(F$6,4)&lt;=LEFT('RFM input'!$G$60,4),"enter input",IF(LEFT(F$6,4)&gt;LEFT('RFM input'!$Q$60,4),0,IF(MATCH(F$6,'RFM input'!$H$60:$Q$60,0),INDEX('RFM input'!$K$7:$K$56,$A284,1))))</f>
        <v>40</v>
      </c>
      <c r="G285" s="1417">
        <f>IF(LEFT(G$6,4)&lt;=LEFT('RFM input'!$G$60,4),"enter input",IF(LEFT(G$6,4)&gt;LEFT('RFM input'!$Q$60,4),0,IF(MATCH(G$6,'RFM input'!$H$60:$Q$60,0),INDEX('RFM input'!$K$7:$K$56,$A284,1))))</f>
        <v>40</v>
      </c>
      <c r="H285" s="1417">
        <f>IF(LEFT(H$6,4)&lt;=LEFT('RFM input'!$G$60,4),"enter input",IF(LEFT(H$6,4)&gt;LEFT('RFM input'!$Q$60,4),0,IF(MATCH(H$6,'RFM input'!$H$60:$Q$60,0),INDEX('RFM input'!$K$7:$K$56,$A284,1))))</f>
        <v>40</v>
      </c>
      <c r="I285" s="1417">
        <f>IF(LEFT(I$6,4)&lt;=LEFT('RFM input'!$G$60,4),"enter input",IF(LEFT(I$6,4)&gt;LEFT('RFM input'!$Q$60,4),0,IF(MATCH(I$6,'RFM input'!$H$60:$Q$60,0),INDEX('RFM input'!$K$7:$K$56,$A284,1))))</f>
        <v>40</v>
      </c>
      <c r="J285" s="1417">
        <f>IF(LEFT(J$6,4)&lt;=LEFT('RFM input'!$G$60,4),"enter input",IF(LEFT(J$6,4)&gt;LEFT('RFM input'!$Q$60,4),0,IF(MATCH(J$6,'RFM input'!$H$60:$Q$60,0),INDEX('RFM input'!$K$7:$K$56,$A284,1))))</f>
        <v>40</v>
      </c>
      <c r="K285" s="1417">
        <f>IF(LEFT(K$6,4)&lt;=LEFT('RFM input'!$G$60,4),"enter input",IF(LEFT(K$6,4)&gt;LEFT('RFM input'!$Q$60,4),0,IF(MATCH(K$6,'RFM input'!$H$60:$Q$60,0),INDEX('RFM input'!$K$7:$K$56,$A284,1))))</f>
        <v>40</v>
      </c>
      <c r="L285" s="1417">
        <f>IF(LEFT(L$6,4)&lt;=LEFT('RFM input'!$G$60,4),"enter input",IF(LEFT(L$6,4)&gt;LEFT('RFM input'!$Q$60,4),0,IF(MATCH(L$6,'RFM input'!$H$60:$Q$60,0),INDEX('RFM input'!$K$7:$K$56,$A284,1))))</f>
        <v>40</v>
      </c>
      <c r="M285" s="1417">
        <f>IF(LEFT(M$6,4)&lt;=LEFT('RFM input'!$G$60,4),"enter input",IF(LEFT(M$6,4)&gt;LEFT('RFM input'!$Q$60,4),0,IF(MATCH(M$6,'RFM input'!$H$60:$Q$60,0),INDEX('RFM input'!$K$7:$K$56,$A284,1))))</f>
        <v>40</v>
      </c>
      <c r="N285" s="1417">
        <f>IF(LEFT(N$6,4)&lt;=LEFT('RFM input'!$G$60,4),"enter input",IF(LEFT(N$6,4)&gt;LEFT('RFM input'!$Q$60,4),0,IF(MATCH(N$6,'RFM input'!$H$60:$Q$60,0),INDEX('RFM input'!$K$7:$K$56,$A284,1))))</f>
        <v>0</v>
      </c>
      <c r="O285" s="1417">
        <f>IF(LEFT(O$6,4)&lt;=LEFT('RFM input'!$G$60,4),"enter input",IF(LEFT(O$6,4)&gt;LEFT('RFM input'!$Q$60,4),0,IF(MATCH(O$6,'RFM input'!$H$60:$Q$60,0),INDEX('RFM input'!$K$7:$K$56,$A284,1))))</f>
        <v>0</v>
      </c>
      <c r="P285" s="1417">
        <f>IF(LEFT(P$6,4)&lt;=LEFT('RFM input'!$G$60,4),"enter input",IF(LEFT(P$6,4)&gt;LEFT('RFM input'!$Q$60,4),0,IF(MATCH(P$6,'RFM input'!$H$60:$Q$60,0),INDEX('RFM input'!$K$7:$K$56,$A284,1))))</f>
        <v>0</v>
      </c>
      <c r="Q285" s="1417">
        <f>IF(LEFT(Q$6,4)&lt;=LEFT('RFM input'!$G$60,4),"enter input",IF(LEFT(Q$6,4)&gt;LEFT('RFM input'!$Q$60,4),0,IF(MATCH(Q$6,'RFM input'!$H$60:$Q$60,0),INDEX('RFM input'!$K$7:$K$56,$A284,1))))</f>
        <v>0</v>
      </c>
      <c r="R285" s="1417">
        <f>IF(LEFT(R$6,4)&lt;=LEFT('RFM input'!$G$60,4),"enter input",IF(LEFT(R$6,4)&gt;LEFT('RFM input'!$Q$60,4),0,IF(MATCH(R$6,'RFM input'!$H$60:$Q$60,0),INDEX('RFM input'!$K$7:$K$56,$A284,1))))</f>
        <v>0</v>
      </c>
      <c r="S285" s="1417">
        <f>IF(LEFT(S$6,4)&lt;=LEFT('RFM input'!$G$60,4),"enter input",IF(LEFT(S$6,4)&gt;LEFT('RFM input'!$Q$60,4),0,IF(MATCH(S$6,'RFM input'!$H$60:$Q$60,0),INDEX('RFM input'!$K$7:$K$56,$A284,1))))</f>
        <v>0</v>
      </c>
      <c r="T285" s="1417">
        <f>IF(LEFT(T$6,4)&lt;=LEFT('RFM input'!$G$60,4),"enter input",IF(LEFT(T$6,4)&gt;LEFT('RFM input'!$Q$60,4),0,IF(MATCH(T$6,'RFM input'!$H$60:$Q$60,0),INDEX('RFM input'!$K$7:$K$56,$A284,1))))</f>
        <v>0</v>
      </c>
      <c r="U285" s="1417">
        <f>IF(LEFT(U$6,4)&lt;=LEFT('RFM input'!$G$60,4),"enter input",IF(LEFT(U$6,4)&gt;LEFT('RFM input'!$Q$60,4),0,IF(MATCH(U$6,'RFM input'!$H$60:$Q$60,0),INDEX('RFM input'!$K$7:$K$56,$A284,1))))</f>
        <v>0</v>
      </c>
      <c r="V285" s="1417">
        <f>IF(LEFT(V$6,4)&lt;=LEFT('RFM input'!$G$60,4),"enter input",IF(LEFT(V$6,4)&gt;LEFT('RFM input'!$Q$60,4),0,IF(MATCH(V$6,'RFM input'!$H$60:$Q$60,0),INDEX('RFM input'!$K$7:$K$56,$A284,1))))</f>
        <v>0</v>
      </c>
      <c r="W285" s="1417">
        <f>IF(LEFT(W$6,4)&lt;=LEFT('RFM input'!$G$60,4),"enter input",IF(LEFT(W$6,4)&gt;LEFT('RFM input'!$Q$60,4),0,IF(MATCH(W$6,'RFM input'!$H$60:$Q$60,0),INDEX('RFM input'!$K$7:$K$56,$A284,1))))</f>
        <v>0</v>
      </c>
      <c r="X285" s="152"/>
      <c r="Y285" s="152"/>
      <c r="Z285" s="152"/>
      <c r="AA285" s="152"/>
      <c r="AB285" s="152"/>
    </row>
    <row r="286" spans="1:28">
      <c r="A286" s="152"/>
      <c r="B286" s="177" t="s">
        <v>191</v>
      </c>
      <c r="C286" s="1419"/>
      <c r="D286" s="1420">
        <f ca="1">IF(LEFT(D$6,4)&lt;=LEFT('RFM input'!$G$60,4),"enter input",IF(LEFT(D$6,4)&gt;LEFT('RFM input'!$Q$60,4),0,IF(D$6=(OFFSET('RFM input'!$G$60,0,'RFM input'!$V$7)),OFFSET('RFM input'!$G$411,$A284,0),0)))</f>
        <v>0</v>
      </c>
      <c r="E286" s="1417">
        <f ca="1">IF(LEFT(E$6,4)&lt;=LEFT('RFM input'!$G$60,4),"enter input",IF(LEFT(E$6,4)&gt;LEFT('RFM input'!$Q$60,4),0,IF(E$6=(OFFSET('RFM input'!$G$60,0,'RFM input'!$V$7)),OFFSET('RFM input'!$G$411,$A284,0),0)))</f>
        <v>0</v>
      </c>
      <c r="F286" s="1417">
        <f ca="1">IF(LEFT(F$6,4)&lt;=LEFT('RFM input'!$G$60,4),"enter input",IF(LEFT(F$6,4)&gt;LEFT('RFM input'!$Q$60,4),0,IF(F$6=(OFFSET('RFM input'!$G$60,0,'RFM input'!$V$7)),OFFSET('RFM input'!$G$411,$A284,0),0)))</f>
        <v>0</v>
      </c>
      <c r="G286" s="1417">
        <f ca="1">IF(LEFT(G$6,4)&lt;=LEFT('RFM input'!$G$60,4),"enter input",IF(LEFT(G$6,4)&gt;LEFT('RFM input'!$Q$60,4),0,IF(G$6=(OFFSET('RFM input'!$G$60,0,'RFM input'!$V$7)),OFFSET('RFM input'!$G$411,$A284,0),0)))</f>
        <v>0</v>
      </c>
      <c r="H286" s="1417">
        <f ca="1">IF(LEFT(H$6,4)&lt;=LEFT('RFM input'!$G$60,4),"enter input",IF(LEFT(H$6,4)&gt;LEFT('RFM input'!$Q$60,4),0,IF(H$6=(OFFSET('RFM input'!$G$60,0,'RFM input'!$V$7)),OFFSET('RFM input'!$G$411,$A284,0),0)))</f>
        <v>0</v>
      </c>
      <c r="I286" s="1417">
        <f ca="1">IF(LEFT(I$6,4)&lt;=LEFT('RFM input'!$G$60,4),"enter input",IF(LEFT(I$6,4)&gt;LEFT('RFM input'!$Q$60,4),0,IF(I$6=(OFFSET('RFM input'!$G$60,0,'RFM input'!$V$7)),OFFSET('RFM input'!$G$411,$A284,0),0)))</f>
        <v>0</v>
      </c>
      <c r="J286" s="1417">
        <f ca="1">IF(LEFT(J$6,4)&lt;=LEFT('RFM input'!$G$60,4),"enter input",IF(LEFT(J$6,4)&gt;LEFT('RFM input'!$Q$60,4),0,IF(J$6=(OFFSET('RFM input'!$G$60,0,'RFM input'!$V$7)),OFFSET('RFM input'!$G$411,$A284,0),0)))</f>
        <v>0</v>
      </c>
      <c r="K286" s="1417">
        <f ca="1">IF(LEFT(K$6,4)&lt;=LEFT('RFM input'!$G$60,4),"enter input",IF(LEFT(K$6,4)&gt;LEFT('RFM input'!$Q$60,4),0,IF(K$6=(OFFSET('RFM input'!$G$60,0,'RFM input'!$V$7)),OFFSET('RFM input'!$G$411,$A284,0),0)))</f>
        <v>0</v>
      </c>
      <c r="L286" s="1417">
        <f ca="1">IF(LEFT(L$6,4)&lt;=LEFT('RFM input'!$G$60,4),"enter input",IF(LEFT(L$6,4)&gt;LEFT('RFM input'!$Q$60,4),0,IF(L$6=(OFFSET('RFM input'!$G$60,0,'RFM input'!$V$7)),OFFSET('RFM input'!$G$411,$A284,0),0)))</f>
        <v>0</v>
      </c>
      <c r="M286" s="1417">
        <f ca="1">IF(LEFT(M$6,4)&lt;=LEFT('RFM input'!$G$60,4),"enter input",IF(LEFT(M$6,4)&gt;LEFT('RFM input'!$Q$60,4),0,IF(M$6=(OFFSET('RFM input'!$G$60,0,'RFM input'!$V$7)),OFFSET('RFM input'!$G$411,$A284,0),0)))</f>
        <v>0</v>
      </c>
      <c r="N286" s="1417">
        <f ca="1">IF(LEFT(N$6,4)&lt;=LEFT('RFM input'!$G$60,4),"enter input",IF(LEFT(N$6,4)&gt;LEFT('RFM input'!$Q$60,4),0,IF(N$6=(OFFSET('RFM input'!$G$60,0,'RFM input'!$V$7)),OFFSET('RFM input'!$G$411,$A284,0),0)))</f>
        <v>0</v>
      </c>
      <c r="O286" s="1417">
        <f ca="1">IF(LEFT(O$6,4)&lt;=LEFT('RFM input'!$G$60,4),"enter input",IF(LEFT(O$6,4)&gt;LEFT('RFM input'!$Q$60,4),0,IF(O$6=(OFFSET('RFM input'!$G$60,0,'RFM input'!$V$7)),OFFSET('RFM input'!$G$411,$A284,0),0)))</f>
        <v>0</v>
      </c>
      <c r="P286" s="1417">
        <f ca="1">IF(LEFT(P$6,4)&lt;=LEFT('RFM input'!$G$60,4),"enter input",IF(LEFT(P$6,4)&gt;LEFT('RFM input'!$Q$60,4),0,IF(P$6=(OFFSET('RFM input'!$G$60,0,'RFM input'!$V$7)),OFFSET('RFM input'!$G$411,$A284,0),0)))</f>
        <v>0</v>
      </c>
      <c r="Q286" s="1417">
        <f ca="1">IF(LEFT(Q$6,4)&lt;=LEFT('RFM input'!$G$60,4),"enter input",IF(LEFT(Q$6,4)&gt;LEFT('RFM input'!$Q$60,4),0,IF(Q$6=(OFFSET('RFM input'!$G$60,0,'RFM input'!$V$7)),OFFSET('RFM input'!$G$411,$A284,0),0)))</f>
        <v>0</v>
      </c>
      <c r="R286" s="1417">
        <f ca="1">IF(LEFT(R$6,4)&lt;=LEFT('RFM input'!$G$60,4),"enter input",IF(LEFT(R$6,4)&gt;LEFT('RFM input'!$Q$60,4),0,IF(R$6=(OFFSET('RFM input'!$G$60,0,'RFM input'!$V$7)),OFFSET('RFM input'!$G$411,$A284,0),0)))</f>
        <v>0</v>
      </c>
      <c r="S286" s="1417">
        <f ca="1">IF(LEFT(S$6,4)&lt;=LEFT('RFM input'!$G$60,4),"enter input",IF(LEFT(S$6,4)&gt;LEFT('RFM input'!$Q$60,4),0,IF(S$6=(OFFSET('RFM input'!$G$60,0,'RFM input'!$V$7)),OFFSET('RFM input'!$G$411,$A284,0),0)))</f>
        <v>0</v>
      </c>
      <c r="T286" s="1417">
        <f ca="1">IF(LEFT(T$6,4)&lt;=LEFT('RFM input'!$G$60,4),"enter input",IF(LEFT(T$6,4)&gt;LEFT('RFM input'!$Q$60,4),0,IF(T$6=(OFFSET('RFM input'!$G$60,0,'RFM input'!$V$7)),OFFSET('RFM input'!$G$411,$A284,0),0)))</f>
        <v>0</v>
      </c>
      <c r="U286" s="1417">
        <f ca="1">IF(LEFT(U$6,4)&lt;=LEFT('RFM input'!$G$60,4),"enter input",IF(LEFT(U$6,4)&gt;LEFT('RFM input'!$Q$60,4),0,IF(U$6=(OFFSET('RFM input'!$G$60,0,'RFM input'!$V$7)),OFFSET('RFM input'!$G$411,$A284,0),0)))</f>
        <v>0</v>
      </c>
      <c r="V286" s="1417">
        <f ca="1">IF(LEFT(V$6,4)&lt;=LEFT('RFM input'!$G$60,4),"enter input",IF(LEFT(V$6,4)&gt;LEFT('RFM input'!$Q$60,4),0,IF(V$6=(OFFSET('RFM input'!$G$60,0,'RFM input'!$V$7)),OFFSET('RFM input'!$G$411,$A284,0),0)))</f>
        <v>0</v>
      </c>
      <c r="W286" s="1417">
        <f ca="1">IF(LEFT(W$6,4)&lt;=LEFT('RFM input'!$G$60,4),"enter input",IF(LEFT(W$6,4)&gt;LEFT('RFM input'!$Q$60,4),0,IF(W$6=(OFFSET('RFM input'!$G$60,0,'RFM input'!$V$7)),OFFSET('RFM input'!$G$411,$A284,0),0)))</f>
        <v>0</v>
      </c>
      <c r="X286" s="152"/>
      <c r="Y286" s="152"/>
      <c r="Z286" s="152"/>
      <c r="AA286" s="152"/>
      <c r="AB286" s="152"/>
    </row>
    <row r="287" spans="1:28">
      <c r="A287" s="152"/>
      <c r="B287" s="195" t="s">
        <v>197</v>
      </c>
      <c r="C287" s="1419"/>
      <c r="D287" s="1418">
        <f ca="1">IF(LEFT(D$6,4)&lt;=LEFT('RFM input'!$G$60,4),"enter input",IF(LEFT(D$6,4)&gt;LEFT('RFM input'!$Q$60,4),0,IF(D$6=(OFFSET('RFM input'!$G$60,0,'RFM input'!$V$7)),OFFSET('RFM input'!$I$411,$A284,0),0)))</f>
        <v>0</v>
      </c>
      <c r="E287" s="1422">
        <f ca="1">IF(LEFT(E$6,4)&lt;=LEFT('RFM input'!$G$60,4),"enter input",IF(LEFT(E$6,4)&gt;LEFT('RFM input'!$Q$60,4),0,IF(E$6=(OFFSET('RFM input'!$G$60,0,'RFM input'!$V$7)),OFFSET('RFM input'!$I$411,$A284,0),0)))</f>
        <v>0</v>
      </c>
      <c r="F287" s="1422">
        <f ca="1">IF(LEFT(F$6,4)&lt;=LEFT('RFM input'!$G$60,4),"enter input",IF(LEFT(F$6,4)&gt;LEFT('RFM input'!$Q$60,4),0,IF(F$6=(OFFSET('RFM input'!$G$60,0,'RFM input'!$V$7)),OFFSET('RFM input'!$I$411,$A284,0),0)))</f>
        <v>0</v>
      </c>
      <c r="G287" s="1422">
        <f ca="1">IF(LEFT(G$6,4)&lt;=LEFT('RFM input'!$G$60,4),"enter input",IF(LEFT(G$6,4)&gt;LEFT('RFM input'!$Q$60,4),0,IF(G$6=(OFFSET('RFM input'!$G$60,0,'RFM input'!$V$7)),OFFSET('RFM input'!$I$411,$A284,0),0)))</f>
        <v>0</v>
      </c>
      <c r="H287" s="1422">
        <f ca="1">IF(LEFT(H$6,4)&lt;=LEFT('RFM input'!$G$60,4),"enter input",IF(LEFT(H$6,4)&gt;LEFT('RFM input'!$Q$60,4),0,IF(H$6=(OFFSET('RFM input'!$G$60,0,'RFM input'!$V$7)),OFFSET('RFM input'!$I$411,$A284,0),0)))</f>
        <v>0</v>
      </c>
      <c r="I287" s="1422">
        <f ca="1">IF(LEFT(I$6,4)&lt;=LEFT('RFM input'!$G$60,4),"enter input",IF(LEFT(I$6,4)&gt;LEFT('RFM input'!$Q$60,4),0,IF(I$6=(OFFSET('RFM input'!$G$60,0,'RFM input'!$V$7)),OFFSET('RFM input'!$I$411,$A284,0),0)))</f>
        <v>0</v>
      </c>
      <c r="J287" s="1422">
        <f ca="1">IF(LEFT(J$6,4)&lt;=LEFT('RFM input'!$G$60,4),"enter input",IF(LEFT(J$6,4)&gt;LEFT('RFM input'!$Q$60,4),0,IF(J$6=(OFFSET('RFM input'!$G$60,0,'RFM input'!$V$7)),OFFSET('RFM input'!$I$411,$A284,0),0)))</f>
        <v>0</v>
      </c>
      <c r="K287" s="1422">
        <f ca="1">IF(LEFT(K$6,4)&lt;=LEFT('RFM input'!$G$60,4),"enter input",IF(LEFT(K$6,4)&gt;LEFT('RFM input'!$Q$60,4),0,IF(K$6=(OFFSET('RFM input'!$G$60,0,'RFM input'!$V$7)),OFFSET('RFM input'!$I$411,$A284,0),0)))</f>
        <v>0</v>
      </c>
      <c r="L287" s="1422">
        <f ca="1">IF(LEFT(L$6,4)&lt;=LEFT('RFM input'!$G$60,4),"enter input",IF(LEFT(L$6,4)&gt;LEFT('RFM input'!$Q$60,4),0,IF(L$6=(OFFSET('RFM input'!$G$60,0,'RFM input'!$V$7)),OFFSET('RFM input'!$I$411,$A284,0),0)))</f>
        <v>0</v>
      </c>
      <c r="M287" s="1422">
        <f ca="1">IF(LEFT(M$6,4)&lt;=LEFT('RFM input'!$G$60,4),"enter input",IF(LEFT(M$6,4)&gt;LEFT('RFM input'!$Q$60,4),0,IF(M$6=(OFFSET('RFM input'!$G$60,0,'RFM input'!$V$7)),OFFSET('RFM input'!$I$411,$A284,0),0)))</f>
        <v>0</v>
      </c>
      <c r="N287" s="1422">
        <f ca="1">IF(LEFT(N$6,4)&lt;=LEFT('RFM input'!$G$60,4),"enter input",IF(LEFT(N$6,4)&gt;LEFT('RFM input'!$Q$60,4),0,IF(N$6=(OFFSET('RFM input'!$G$60,0,'RFM input'!$V$7)),OFFSET('RFM input'!$I$411,$A284,0),0)))</f>
        <v>0</v>
      </c>
      <c r="O287" s="1422">
        <f ca="1">IF(LEFT(O$6,4)&lt;=LEFT('RFM input'!$G$60,4),"enter input",IF(LEFT(O$6,4)&gt;LEFT('RFM input'!$Q$60,4),0,IF(O$6=(OFFSET('RFM input'!$G$60,0,'RFM input'!$V$7)),OFFSET('RFM input'!$I$411,$A284,0),0)))</f>
        <v>0</v>
      </c>
      <c r="P287" s="1422">
        <f ca="1">IF(LEFT(P$6,4)&lt;=LEFT('RFM input'!$G$60,4),"enter input",IF(LEFT(P$6,4)&gt;LEFT('RFM input'!$Q$60,4),0,IF(P$6=(OFFSET('RFM input'!$G$60,0,'RFM input'!$V$7)),OFFSET('RFM input'!$I$411,$A284,0),0)))</f>
        <v>0</v>
      </c>
      <c r="Q287" s="1422">
        <f ca="1">IF(LEFT(Q$6,4)&lt;=LEFT('RFM input'!$G$60,4),"enter input",IF(LEFT(Q$6,4)&gt;LEFT('RFM input'!$Q$60,4),0,IF(Q$6=(OFFSET('RFM input'!$G$60,0,'RFM input'!$V$7)),OFFSET('RFM input'!$I$411,$A284,0),0)))</f>
        <v>0</v>
      </c>
      <c r="R287" s="1422">
        <f ca="1">IF(LEFT(R$6,4)&lt;=LEFT('RFM input'!$G$60,4),"enter input",IF(LEFT(R$6,4)&gt;LEFT('RFM input'!$Q$60,4),0,IF(R$6=(OFFSET('RFM input'!$G$60,0,'RFM input'!$V$7)),OFFSET('RFM input'!$I$411,$A284,0),0)))</f>
        <v>0</v>
      </c>
      <c r="S287" s="1422">
        <f ca="1">IF(LEFT(S$6,4)&lt;=LEFT('RFM input'!$G$60,4),"enter input",IF(LEFT(S$6,4)&gt;LEFT('RFM input'!$Q$60,4),0,IF(S$6=(OFFSET('RFM input'!$G$60,0,'RFM input'!$V$7)),OFFSET('RFM input'!$I$411,$A284,0),0)))</f>
        <v>0</v>
      </c>
      <c r="T287" s="1422">
        <f ca="1">IF(LEFT(T$6,4)&lt;=LEFT('RFM input'!$G$60,4),"enter input",IF(LEFT(T$6,4)&gt;LEFT('RFM input'!$Q$60,4),0,IF(T$6=(OFFSET('RFM input'!$G$60,0,'RFM input'!$V$7)),OFFSET('RFM input'!$I$411,$A284,0),0)))</f>
        <v>0</v>
      </c>
      <c r="U287" s="1422">
        <f ca="1">IF(LEFT(U$6,4)&lt;=LEFT('RFM input'!$G$60,4),"enter input",IF(LEFT(U$6,4)&gt;LEFT('RFM input'!$Q$60,4),0,IF(U$6=(OFFSET('RFM input'!$G$60,0,'RFM input'!$V$7)),OFFSET('RFM input'!$I$411,$A284,0),0)))</f>
        <v>0</v>
      </c>
      <c r="V287" s="1422">
        <f ca="1">IF(LEFT(V$6,4)&lt;=LEFT('RFM input'!$G$60,4),"enter input",IF(LEFT(V$6,4)&gt;LEFT('RFM input'!$Q$60,4),0,IF(V$6=(OFFSET('RFM input'!$G$60,0,'RFM input'!$V$7)),OFFSET('RFM input'!$I$411,$A284,0),0)))</f>
        <v>0</v>
      </c>
      <c r="W287" s="1422">
        <f ca="1">IF(LEFT(W$6,4)&lt;=LEFT('RFM input'!$G$60,4),"enter input",IF(LEFT(W$6,4)&gt;LEFT('RFM input'!$Q$60,4),0,IF(W$6=(OFFSET('RFM input'!$G$60,0,'RFM input'!$V$7)),OFFSET('RFM input'!$I$411,$A284,0),0)))</f>
        <v>0</v>
      </c>
      <c r="X287" s="152"/>
      <c r="Y287" s="152"/>
      <c r="Z287" s="152"/>
      <c r="AA287" s="152"/>
      <c r="AB287" s="152"/>
    </row>
    <row r="288" spans="1:28" hidden="1" outlineLevel="1">
      <c r="A288" s="235">
        <v>-1</v>
      </c>
      <c r="B288" s="190" t="s">
        <v>189</v>
      </c>
      <c r="C288" s="1423"/>
      <c r="D288" s="1423">
        <f ca="1">IF(AND(D286=0,C288=0),0,
IF(AND(D286&lt;&gt;0,C288=0),(D286/D$10),
IF(AND(D287&lt;&gt;0,C288&lt;&gt;0),(C288-(C288/C312))+(D286/D$10),
IF(C312&lt;1,0,(C288-(C288/C312))))))</f>
        <v>0</v>
      </c>
      <c r="E288" s="1423">
        <f t="shared" ref="E288" ca="1" si="370">IF(AND(E286=0,D288=0),0,
IF(AND(E286&lt;&gt;0,D288=0),(E286/E$10),
IF(AND(E287&lt;&gt;0,D288&lt;&gt;0),(D288-(D288/D312))+(E286/E$10),
IF(D312&lt;1,0,(D288-(D288/D312))))))</f>
        <v>0</v>
      </c>
      <c r="F288" s="1423">
        <f t="shared" ref="F288" ca="1" si="371">IF(AND(F286=0,E288=0),0,
IF(AND(F286&lt;&gt;0,E288=0),(F286/F$10),
IF(AND(F287&lt;&gt;0,E288&lt;&gt;0),(E288-(E288/E312))+(F286/F$10),
IF(E312&lt;1,0,(E288-(E288/E312))))))</f>
        <v>0</v>
      </c>
      <c r="G288" s="1423">
        <f t="shared" ref="G288" ca="1" si="372">IF(AND(G286=0,F288=0),0,
IF(AND(G286&lt;&gt;0,F288=0),(G286/G$10),
IF(AND(G287&lt;&gt;0,F288&lt;&gt;0),(F288-(F288/F312))+(G286/G$10),
IF(F312&lt;1,0,(F288-(F288/F312))))))</f>
        <v>0</v>
      </c>
      <c r="H288" s="1423">
        <f t="shared" ref="H288" ca="1" si="373">IF(AND(H286=0,G288=0),0,
IF(AND(H286&lt;&gt;0,G288=0),(H286/H$10),
IF(AND(H287&lt;&gt;0,G288&lt;&gt;0),(G288-(G288/G312))+(H286/H$10),
IF(G312&lt;1,0,(G288-(G288/G312))))))</f>
        <v>0</v>
      </c>
      <c r="I288" s="1423">
        <f t="shared" ref="I288" ca="1" si="374">IF(AND(I286=0,H288=0),0,
IF(AND(I286&lt;&gt;0,H288=0),(I286/I$10),
IF(AND(I287&lt;&gt;0,H288&lt;&gt;0),(H288-(H288/H312))+(I286/I$10),
IF(H312&lt;1,0,(H288-(H288/H312))))))</f>
        <v>0</v>
      </c>
      <c r="J288" s="1423">
        <f t="shared" ref="J288" ca="1" si="375">IF(AND(J286=0,I288=0),0,
IF(AND(J286&lt;&gt;0,I288=0),(J286/J$10),
IF(AND(J287&lt;&gt;0,I288&lt;&gt;0),(I288-(I288/I312))+(J286/J$10),
IF(I312&lt;1,0,(I288-(I288/I312))))))</f>
        <v>0</v>
      </c>
      <c r="K288" s="1423">
        <f t="shared" ref="K288" ca="1" si="376">IF(AND(K286=0,J288=0),0,
IF(AND(K286&lt;&gt;0,J288=0),(K286/K$10),
IF(AND(K287&lt;&gt;0,J288&lt;&gt;0),(J288-(J288/J312))+(K286/K$10),
IF(J312&lt;1,0,(J288-(J288/J312))))))</f>
        <v>0</v>
      </c>
      <c r="L288" s="1423">
        <f t="shared" ref="L288" ca="1" si="377">IF(AND(L286=0,K288=0),0,
IF(AND(L286&lt;&gt;0,K288=0),(L286/L$10),
IF(AND(L287&lt;&gt;0,K288&lt;&gt;0),(K288-(K288/K312))+(L286/L$10),
IF(K312&lt;1,0,(K288-(K288/K312))))))</f>
        <v>0</v>
      </c>
      <c r="M288" s="1423">
        <f t="shared" ref="M288" ca="1" si="378">IF(AND(M286=0,L288=0),0,
IF(AND(M286&lt;&gt;0,L288=0),(M286/M$10),
IF(AND(M287&lt;&gt;0,L288&lt;&gt;0),(L288-(L288/L312))+(M286/M$10),
IF(L312&lt;1,0,(L288-(L288/L312))))))</f>
        <v>0</v>
      </c>
      <c r="N288" s="1423">
        <f t="shared" ref="N288" ca="1" si="379">IF(AND(N286=0,M288=0),0,
IF(AND(N286&lt;&gt;0,M288=0),(N286/N$10),
IF(AND(N287&lt;&gt;0,M288&lt;&gt;0),(M288-(M288/M312))+(N286/N$10),
IF(M312&lt;1,0,(M288-(M288/M312))))))</f>
        <v>0</v>
      </c>
      <c r="O288" s="1423">
        <f t="shared" ref="O288" ca="1" si="380">IF(AND(O286=0,N288=0),0,
IF(AND(O286&lt;&gt;0,N288=0),(O286/O$10),
IF(AND(O287&lt;&gt;0,N288&lt;&gt;0),(N288-(N288/N312))+(O286/O$10),
IF(N312&lt;1,0,(N288-(N288/N312))))))</f>
        <v>0</v>
      </c>
      <c r="P288" s="1423">
        <f t="shared" ref="P288" ca="1" si="381">IF(AND(P286=0,O288=0),0,
IF(AND(P286&lt;&gt;0,O288=0),(P286/P$10),
IF(AND(P287&lt;&gt;0,O288&lt;&gt;0),(O288-(O288/O312))+(P286/P$10),
IF(O312&lt;1,0,(O288-(O288/O312))))))</f>
        <v>0</v>
      </c>
      <c r="Q288" s="1423">
        <f t="shared" ref="Q288" ca="1" si="382">IF(AND(Q286=0,P288=0),0,
IF(AND(Q286&lt;&gt;0,P288=0),(Q286/Q$10),
IF(AND(Q287&lt;&gt;0,P288&lt;&gt;0),(P288-(P288/P312))+(Q286/Q$10),
IF(P312&lt;1,0,(P288-(P288/P312))))))</f>
        <v>0</v>
      </c>
      <c r="R288" s="1423">
        <f t="shared" ref="R288" ca="1" si="383">IF(AND(R286=0,Q288=0),0,
IF(AND(R286&lt;&gt;0,Q288=0),(R286/R$10),
IF(AND(R287&lt;&gt;0,Q288&lt;&gt;0),(Q288-(Q288/Q312))+(R286/R$10),
IF(Q312&lt;1,0,(Q288-(Q288/Q312))))))</f>
        <v>0</v>
      </c>
      <c r="S288" s="1423">
        <f t="shared" ref="S288" ca="1" si="384">IF(AND(S286=0,R288=0),0,
IF(AND(S286&lt;&gt;0,R288=0),(S286/S$10),
IF(AND(S287&lt;&gt;0,R288&lt;&gt;0),(R288-(R288/R312))+(S286/S$10),
IF(R312&lt;1,0,(R288-(R288/R312))))))</f>
        <v>0</v>
      </c>
      <c r="T288" s="1423">
        <f t="shared" ref="T288" ca="1" si="385">IF(AND(T286=0,S288=0),0,
IF(AND(T286&lt;&gt;0,S288=0),(T286/T$10),
IF(AND(T287&lt;&gt;0,S288&lt;&gt;0),(S288-(S288/S312))+(T286/T$10),
IF(S312&lt;1,0,(S288-(S288/S312))))))</f>
        <v>0</v>
      </c>
      <c r="U288" s="1423">
        <f t="shared" ref="U288" ca="1" si="386">IF(AND(U286=0,T288=0),0,
IF(AND(U286&lt;&gt;0,T288=0),(U286/U$10),
IF(AND(U287&lt;&gt;0,T288&lt;&gt;0),(T288-(T288/T312))+(U286/U$10),
IF(T312&lt;1,0,(T288-(T288/T312))))))</f>
        <v>0</v>
      </c>
      <c r="V288" s="1423">
        <f t="shared" ref="V288" ca="1" si="387">IF(AND(V286=0,U288=0),0,
IF(AND(V286&lt;&gt;0,U288=0),(V286/V$10),
IF(AND(V287&lt;&gt;0,U288&lt;&gt;0),(U288-(U288/U312))+(V286/V$10),
IF(U312&lt;1,0,(U288-(U288/U312))))))</f>
        <v>0</v>
      </c>
      <c r="W288" s="1423">
        <f t="shared" ref="W288" ca="1" si="388">IF(AND(W286=0,V288=0),0,
IF(AND(W286&lt;&gt;0,V288=0),(W286/W$10),
IF(AND(W287&lt;&gt;0,V288&lt;&gt;0),(V288-(V288/V312))+(W286/W$10),
IF(V312&lt;1,0,(V288-(V288/V312))))))</f>
        <v>0</v>
      </c>
      <c r="X288" s="152"/>
      <c r="Y288" s="152"/>
      <c r="Z288" s="152"/>
      <c r="AA288" s="152"/>
      <c r="AB288" s="152"/>
    </row>
    <row r="289" spans="1:28" hidden="1" outlineLevel="1">
      <c r="A289" s="199">
        <f>A288+1</f>
        <v>0</v>
      </c>
      <c r="B289" s="190" t="s">
        <v>125</v>
      </c>
      <c r="C289" s="1423">
        <f ca="1">C284/C$10</f>
        <v>9.3811826906979316</v>
      </c>
      <c r="D289" s="1423">
        <f ca="1">IF(C313="n/a",C289,IFERROR(IF((OFFSET($C289,0,$A289))&lt;0,
MIN(0,C289-(OFFSET($C289,0,$A289)/(OFFSET($C284,-$A288,$A289)))),
MAX(0,C289-(OFFSET($C289,0,$A289)/(OFFSET($C284,-$A288,$A289))))),0))</f>
        <v>9.0246756533686181</v>
      </c>
      <c r="E289" s="1423">
        <f t="shared" ref="E289" ca="1" si="389">IF(D313="n/a",D289,IFERROR(IF((OFFSET($C289,0,$A289))&lt;0,
MIN(0,D289-(OFFSET($C289,0,$A289)/(OFFSET($C284,-$A288,$A289)))),
MAX(0,D289-(OFFSET($C289,0,$A289)/(OFFSET($C284,-$A288,$A289))))),0))</f>
        <v>8.6681686160393063</v>
      </c>
      <c r="F289" s="1423">
        <f t="shared" ref="F289:F290" ca="1" si="390">IF(E313="n/a",E289,IFERROR(IF((OFFSET($C289,0,$A289))&lt;0,
MIN(0,E289-(OFFSET($C289,0,$A289)/(OFFSET($C284,-$A288,$A289)))),
MAX(0,E289-(OFFSET($C289,0,$A289)/(OFFSET($C284,-$A288,$A289))))),0))</f>
        <v>8.3116615787099946</v>
      </c>
      <c r="G289" s="1423">
        <f t="shared" ref="G289:G291" ca="1" si="391">IF(F313="n/a",F289,IFERROR(IF((OFFSET($C289,0,$A289))&lt;0,
MIN(0,F289-(OFFSET($C289,0,$A289)/(OFFSET($C284,-$A288,$A289)))),
MAX(0,F289-(OFFSET($C289,0,$A289)/(OFFSET($C284,-$A288,$A289))))),0))</f>
        <v>7.9551545413806819</v>
      </c>
      <c r="H289" s="1423">
        <f t="shared" ref="H289:H292" ca="1" si="392">IF(G313="n/a",G289,IFERROR(IF((OFFSET($C289,0,$A289))&lt;0,
MIN(0,G289-(OFFSET($C289,0,$A289)/(OFFSET($C284,-$A288,$A289)))),
MAX(0,G289-(OFFSET($C289,0,$A289)/(OFFSET($C284,-$A288,$A289))))),0))</f>
        <v>7.5986475040513692</v>
      </c>
      <c r="I289" s="1423">
        <f t="shared" ref="I289:I293" ca="1" si="393">IF(H313="n/a",H289,IFERROR(IF((OFFSET($C289,0,$A289))&lt;0,
MIN(0,H289-(OFFSET($C289,0,$A289)/(OFFSET($C284,-$A288,$A289)))),
MAX(0,H289-(OFFSET($C289,0,$A289)/(OFFSET($C284,-$A288,$A289))))),0))</f>
        <v>7.2421404667220566</v>
      </c>
      <c r="J289" s="1423">
        <f t="shared" ref="J289:J294" ca="1" si="394">IF(I313="n/a",I289,IFERROR(IF((OFFSET($C289,0,$A289))&lt;0,
MIN(0,I289-(OFFSET($C289,0,$A289)/(OFFSET($C284,-$A288,$A289)))),
MAX(0,I289-(OFFSET($C289,0,$A289)/(OFFSET($C284,-$A288,$A289))))),0))</f>
        <v>6.8856334293927439</v>
      </c>
      <c r="K289" s="1423">
        <f t="shared" ref="K289:K295" ca="1" si="395">IF(J313="n/a",J289,IFERROR(IF((OFFSET($C289,0,$A289))&lt;0,
MIN(0,J289-(OFFSET($C289,0,$A289)/(OFFSET($C284,-$A288,$A289)))),
MAX(0,J289-(OFFSET($C289,0,$A289)/(OFFSET($C284,-$A288,$A289))))),0))</f>
        <v>6.5291263920634313</v>
      </c>
      <c r="L289" s="1423">
        <f t="shared" ref="L289:L296" ca="1" si="396">IF(K313="n/a",K289,IFERROR(IF((OFFSET($C289,0,$A289))&lt;0,
MIN(0,K289-(OFFSET($C289,0,$A289)/(OFFSET($C284,-$A288,$A289)))),
MAX(0,K289-(OFFSET($C289,0,$A289)/(OFFSET($C284,-$A288,$A289))))),0))</f>
        <v>6.1726193547341186</v>
      </c>
      <c r="M289" s="1423">
        <f t="shared" ref="M289:M297" ca="1" si="397">IF(L313="n/a",L289,IFERROR(IF((OFFSET($C289,0,$A289))&lt;0,
MIN(0,L289-(OFFSET($C289,0,$A289)/(OFFSET($C284,-$A288,$A289)))),
MAX(0,L289-(OFFSET($C289,0,$A289)/(OFFSET($C284,-$A288,$A289))))),0))</f>
        <v>5.8161123174048059</v>
      </c>
      <c r="N289" s="1423">
        <f t="shared" ref="N289:N298" ca="1" si="398">IF(M313="n/a",M289,IFERROR(IF((OFFSET($C289,0,$A289))&lt;0,
MIN(0,M289-(OFFSET($C289,0,$A289)/(OFFSET($C284,-$A288,$A289)))),
MAX(0,M289-(OFFSET($C289,0,$A289)/(OFFSET($C284,-$A288,$A289))))),0))</f>
        <v>5.4596052800754933</v>
      </c>
      <c r="O289" s="1423">
        <f t="shared" ref="O289:O299" ca="1" si="399">IF(N313="n/a",N289,IFERROR(IF((OFFSET($C289,0,$A289))&lt;0,
MIN(0,N289-(OFFSET($C289,0,$A289)/(OFFSET($C284,-$A288,$A289)))),
MAX(0,N289-(OFFSET($C289,0,$A289)/(OFFSET($C284,-$A288,$A289))))),0))</f>
        <v>5.1030982427461806</v>
      </c>
      <c r="P289" s="1423">
        <f t="shared" ref="P289:P300" ca="1" si="400">IF(O313="n/a",O289,IFERROR(IF((OFFSET($C289,0,$A289))&lt;0,
MIN(0,O289-(OFFSET($C289,0,$A289)/(OFFSET($C284,-$A288,$A289)))),
MAX(0,O289-(OFFSET($C289,0,$A289)/(OFFSET($C284,-$A288,$A289))))),0))</f>
        <v>4.746591205416868</v>
      </c>
      <c r="Q289" s="1423">
        <f t="shared" ref="Q289:Q301" ca="1" si="401">IF(P313="n/a",P289,IFERROR(IF((OFFSET($C289,0,$A289))&lt;0,
MIN(0,P289-(OFFSET($C289,0,$A289)/(OFFSET($C284,-$A288,$A289)))),
MAX(0,P289-(OFFSET($C289,0,$A289)/(OFFSET($C284,-$A288,$A289))))),0))</f>
        <v>4.3900841680875553</v>
      </c>
      <c r="R289" s="1423">
        <f t="shared" ref="R289:R302" ca="1" si="402">IF(Q313="n/a",Q289,IFERROR(IF((OFFSET($C289,0,$A289))&lt;0,
MIN(0,Q289-(OFFSET($C289,0,$A289)/(OFFSET($C284,-$A288,$A289)))),
MAX(0,Q289-(OFFSET($C289,0,$A289)/(OFFSET($C284,-$A288,$A289))))),0))</f>
        <v>4.0335771307582426</v>
      </c>
      <c r="S289" s="1423">
        <f t="shared" ref="S289:S303" ca="1" si="403">IF(R313="n/a",R289,IFERROR(IF((OFFSET($C289,0,$A289))&lt;0,
MIN(0,R289-(OFFSET($C289,0,$A289)/(OFFSET($C284,-$A288,$A289)))),
MAX(0,R289-(OFFSET($C289,0,$A289)/(OFFSET($C284,-$A288,$A289))))),0))</f>
        <v>3.67707009342893</v>
      </c>
      <c r="T289" s="1423">
        <f t="shared" ref="T289:T304" ca="1" si="404">IF(S313="n/a",S289,IFERROR(IF((OFFSET($C289,0,$A289))&lt;0,
MIN(0,S289-(OFFSET($C289,0,$A289)/(OFFSET($C284,-$A288,$A289)))),
MAX(0,S289-(OFFSET($C289,0,$A289)/(OFFSET($C284,-$A288,$A289))))),0))</f>
        <v>3.3205630560996173</v>
      </c>
      <c r="U289" s="1423">
        <f t="shared" ref="U289:U305" ca="1" si="405">IF(T313="n/a",T289,IFERROR(IF((OFFSET($C289,0,$A289))&lt;0,
MIN(0,T289-(OFFSET($C289,0,$A289)/(OFFSET($C284,-$A288,$A289)))),
MAX(0,T289-(OFFSET($C289,0,$A289)/(OFFSET($C284,-$A288,$A289))))),0))</f>
        <v>2.9640560187703047</v>
      </c>
      <c r="V289" s="1423">
        <f t="shared" ref="V289:V306" ca="1" si="406">IF(U313="n/a",U289,IFERROR(IF((OFFSET($C289,0,$A289))&lt;0,
MIN(0,U289-(OFFSET($C289,0,$A289)/(OFFSET($C284,-$A288,$A289)))),
MAX(0,U289-(OFFSET($C289,0,$A289)/(OFFSET($C284,-$A288,$A289))))),0))</f>
        <v>2.607548981440992</v>
      </c>
      <c r="W289" s="1423">
        <f t="shared" ref="W289:W307" ca="1" si="407">IF(V313="n/a",V289,IFERROR(IF((OFFSET($C289,0,$A289))&lt;0,
MIN(0,V289-(OFFSET($C289,0,$A289)/(OFFSET($C284,-$A288,$A289)))),
MAX(0,V289-(OFFSET($C289,0,$A289)/(OFFSET($C284,-$A288,$A289))))),0))</f>
        <v>2.2510419441116793</v>
      </c>
      <c r="X289" s="152"/>
      <c r="Y289" s="152"/>
      <c r="Z289" s="152"/>
      <c r="AA289" s="152"/>
      <c r="AB289" s="152"/>
    </row>
    <row r="290" spans="1:28" hidden="1" outlineLevel="1">
      <c r="A290" s="199">
        <f t="shared" ref="A290:A309" si="408">A289+1</f>
        <v>1</v>
      </c>
      <c r="B290" s="190" t="str">
        <f t="shared" ref="B290:B308" ca="1" si="409">"Depreciated Net Capex "&amp;OFFSET($C$6,0,A290)</f>
        <v>Depreciated Net Capex 2016-17</v>
      </c>
      <c r="C290" s="1424"/>
      <c r="D290" s="1425">
        <f>(D284*((1+D$11)^0.5)/D$10)</f>
        <v>1.0721903305418381</v>
      </c>
      <c r="E290" s="1423">
        <f ca="1">IF(D314="n/a",D290,IFERROR(IF((OFFSET($C290,0,$A290))&lt;0,
MIN(0,D290-(OFFSET($C290,0,$A290)/(OFFSET($C285,-$A289,$A290)))),
MAX(0,D290-(OFFSET($C290,0,$A290)/(OFFSET($C285,-$A289,$A290))))),0))</f>
        <v>1.0453855722782921</v>
      </c>
      <c r="F290" s="1423">
        <f t="shared" ca="1" si="390"/>
        <v>1.0185808140147461</v>
      </c>
      <c r="G290" s="1423">
        <f t="shared" ca="1" si="391"/>
        <v>0.99177605575120009</v>
      </c>
      <c r="H290" s="1423">
        <f t="shared" ca="1" si="392"/>
        <v>0.96497129748765409</v>
      </c>
      <c r="I290" s="1423">
        <f t="shared" ca="1" si="393"/>
        <v>0.93816653922410809</v>
      </c>
      <c r="J290" s="1423">
        <f t="shared" ca="1" si="394"/>
        <v>0.91136178096056208</v>
      </c>
      <c r="K290" s="1423">
        <f t="shared" ca="1" si="395"/>
        <v>0.88455702269701608</v>
      </c>
      <c r="L290" s="1423">
        <f t="shared" ca="1" si="396"/>
        <v>0.85775226443347008</v>
      </c>
      <c r="M290" s="1423">
        <f t="shared" ca="1" si="397"/>
        <v>0.83094750616992408</v>
      </c>
      <c r="N290" s="1423">
        <f t="shared" ca="1" si="398"/>
        <v>0.80414274790637807</v>
      </c>
      <c r="O290" s="1423">
        <f t="shared" ca="1" si="399"/>
        <v>0.77733798964283207</v>
      </c>
      <c r="P290" s="1423">
        <f t="shared" ca="1" si="400"/>
        <v>0.75053323137928607</v>
      </c>
      <c r="Q290" s="1423">
        <f t="shared" ca="1" si="401"/>
        <v>0.72372847311574007</v>
      </c>
      <c r="R290" s="1423">
        <f t="shared" ca="1" si="402"/>
        <v>0.69692371485219407</v>
      </c>
      <c r="S290" s="1423">
        <f t="shared" ca="1" si="403"/>
        <v>0.67011895658864806</v>
      </c>
      <c r="T290" s="1423">
        <f t="shared" ca="1" si="404"/>
        <v>0.64331419832510206</v>
      </c>
      <c r="U290" s="1423">
        <f t="shared" ca="1" si="405"/>
        <v>0.61650944006155606</v>
      </c>
      <c r="V290" s="1423">
        <f t="shared" ca="1" si="406"/>
        <v>0.58970468179801006</v>
      </c>
      <c r="W290" s="1423">
        <f t="shared" ca="1" si="407"/>
        <v>0.56289992353446405</v>
      </c>
      <c r="X290" s="152"/>
      <c r="Y290" s="152"/>
      <c r="Z290" s="152"/>
      <c r="AA290" s="152"/>
      <c r="AB290" s="152"/>
    </row>
    <row r="291" spans="1:28" hidden="1" outlineLevel="1">
      <c r="A291" s="199">
        <f t="shared" si="408"/>
        <v>2</v>
      </c>
      <c r="B291" s="190" t="str">
        <f t="shared" ca="1" si="409"/>
        <v>Depreciated Net Capex 2017-18</v>
      </c>
      <c r="C291" s="1426"/>
      <c r="D291" s="1427"/>
      <c r="E291" s="1425">
        <f>(E284*((1+E$11)^0.5)/E$10)</f>
        <v>0.48053003606630473</v>
      </c>
      <c r="F291" s="1423">
        <f ca="1">IF(E315="n/a",E291,IFERROR(IF((OFFSET($C291,0,$A291))&lt;0,
MIN(0,E291-(OFFSET($C291,0,$A291)/(OFFSET($C286,-$A290,$A291)))),
MAX(0,E291-(OFFSET($C291,0,$A291)/(OFFSET($C286,-$A290,$A291))))),0))</f>
        <v>0.46851678516464712</v>
      </c>
      <c r="G291" s="1423">
        <f t="shared" ca="1" si="391"/>
        <v>0.45650353426298951</v>
      </c>
      <c r="H291" s="1423">
        <f t="shared" ca="1" si="392"/>
        <v>0.44449028336133189</v>
      </c>
      <c r="I291" s="1423">
        <f t="shared" ca="1" si="393"/>
        <v>0.43247703245967428</v>
      </c>
      <c r="J291" s="1423">
        <f t="shared" ca="1" si="394"/>
        <v>0.42046378155801667</v>
      </c>
      <c r="K291" s="1423">
        <f t="shared" ca="1" si="395"/>
        <v>0.40845053065635906</v>
      </c>
      <c r="L291" s="1423">
        <f t="shared" ca="1" si="396"/>
        <v>0.39643727975470144</v>
      </c>
      <c r="M291" s="1423">
        <f t="shared" ca="1" si="397"/>
        <v>0.38442402885304383</v>
      </c>
      <c r="N291" s="1423">
        <f t="shared" ca="1" si="398"/>
        <v>0.37241077795138622</v>
      </c>
      <c r="O291" s="1423">
        <f t="shared" ca="1" si="399"/>
        <v>0.36039752704972861</v>
      </c>
      <c r="P291" s="1423">
        <f t="shared" ca="1" si="400"/>
        <v>0.34838427614807099</v>
      </c>
      <c r="Q291" s="1423">
        <f t="shared" ca="1" si="401"/>
        <v>0.33637102524641338</v>
      </c>
      <c r="R291" s="1423">
        <f t="shared" ca="1" si="402"/>
        <v>0.32435777434475577</v>
      </c>
      <c r="S291" s="1423">
        <f t="shared" ca="1" si="403"/>
        <v>0.31234452344309815</v>
      </c>
      <c r="T291" s="1423">
        <f t="shared" ca="1" si="404"/>
        <v>0.30033127254144054</v>
      </c>
      <c r="U291" s="1423">
        <f t="shared" ca="1" si="405"/>
        <v>0.28831802163978293</v>
      </c>
      <c r="V291" s="1423">
        <f t="shared" ca="1" si="406"/>
        <v>0.27630477073812532</v>
      </c>
      <c r="W291" s="1423">
        <f t="shared" ca="1" si="407"/>
        <v>0.2642915198364677</v>
      </c>
      <c r="X291" s="202"/>
      <c r="Y291" s="152"/>
      <c r="Z291" s="152"/>
      <c r="AA291" s="152"/>
      <c r="AB291" s="152"/>
    </row>
    <row r="292" spans="1:28" hidden="1" outlineLevel="1">
      <c r="A292" s="199">
        <f t="shared" si="408"/>
        <v>3</v>
      </c>
      <c r="B292" s="190" t="str">
        <f t="shared" ca="1" si="409"/>
        <v>Depreciated Net Capex 2018-19</v>
      </c>
      <c r="C292" s="1426"/>
      <c r="D292" s="1426"/>
      <c r="E292" s="1427"/>
      <c r="F292" s="1428">
        <f>($F284*((1+F$11)^0.5)/F$10)</f>
        <v>0.74607030361991533</v>
      </c>
      <c r="G292" s="1423">
        <f ca="1">IF(F316="n/a",F292,IFERROR(IF((OFFSET($C292,0,$A292))&lt;0,
MIN(0,F292-(OFFSET($C292,0,$A292)/(OFFSET($C287,-$A291,$A292)))),
MAX(0,F292-(OFFSET($C292,0,$A292)/(OFFSET($C287,-$A291,$A292))))),0))</f>
        <v>0.72741854602941747</v>
      </c>
      <c r="H292" s="1423">
        <f t="shared" ca="1" si="392"/>
        <v>0.7087667884389196</v>
      </c>
      <c r="I292" s="1423">
        <f t="shared" ca="1" si="393"/>
        <v>0.69011503084842174</v>
      </c>
      <c r="J292" s="1423">
        <f t="shared" ca="1" si="394"/>
        <v>0.67146327325792388</v>
      </c>
      <c r="K292" s="1423">
        <f t="shared" ca="1" si="395"/>
        <v>0.65281151566742601</v>
      </c>
      <c r="L292" s="1423">
        <f t="shared" ca="1" si="396"/>
        <v>0.63415975807692815</v>
      </c>
      <c r="M292" s="1423">
        <f t="shared" ca="1" si="397"/>
        <v>0.61550800048643028</v>
      </c>
      <c r="N292" s="1423">
        <f t="shared" ca="1" si="398"/>
        <v>0.59685624289593242</v>
      </c>
      <c r="O292" s="1423">
        <f t="shared" ca="1" si="399"/>
        <v>0.57820448530543456</v>
      </c>
      <c r="P292" s="1423">
        <f t="shared" ca="1" si="400"/>
        <v>0.55955272771493669</v>
      </c>
      <c r="Q292" s="1423">
        <f t="shared" ca="1" si="401"/>
        <v>0.54090097012443883</v>
      </c>
      <c r="R292" s="1423">
        <f t="shared" ca="1" si="402"/>
        <v>0.52224921253394097</v>
      </c>
      <c r="S292" s="1423">
        <f t="shared" ca="1" si="403"/>
        <v>0.5035974549434431</v>
      </c>
      <c r="T292" s="1423">
        <f t="shared" ca="1" si="404"/>
        <v>0.48494569735294524</v>
      </c>
      <c r="U292" s="1423">
        <f t="shared" ca="1" si="405"/>
        <v>0.46629393976244737</v>
      </c>
      <c r="V292" s="1423">
        <f t="shared" ca="1" si="406"/>
        <v>0.44764218217194951</v>
      </c>
      <c r="W292" s="1423">
        <f t="shared" ca="1" si="407"/>
        <v>0.42899042458145165</v>
      </c>
      <c r="X292" s="202"/>
      <c r="Y292" s="202"/>
      <c r="Z292" s="152"/>
      <c r="AA292" s="152"/>
      <c r="AB292" s="152"/>
    </row>
    <row r="293" spans="1:28" hidden="1" outlineLevel="1">
      <c r="A293" s="199">
        <f t="shared" si="408"/>
        <v>4</v>
      </c>
      <c r="B293" s="190" t="str">
        <f t="shared" ca="1" si="409"/>
        <v>Depreciated Net Capex 2019-20</v>
      </c>
      <c r="C293" s="1426"/>
      <c r="D293" s="1426"/>
      <c r="E293" s="1426"/>
      <c r="F293" s="1427"/>
      <c r="G293" s="1428">
        <f>($G284*((1+G$11)^0.5)/G$10)</f>
        <v>1.7074287217631723</v>
      </c>
      <c r="H293" s="1423">
        <f ca="1">IF(G317="n/a",G293,IFERROR(IF((OFFSET($C293,0,$A293))&lt;0,
MIN(0,G293-(OFFSET($C293,0,$A293)/(OFFSET($C288,-$A292,$A293)))),
MAX(0,G293-(OFFSET($C293,0,$A293)/(OFFSET($C288,-$A292,$A293))))),0))</f>
        <v>1.6647430037190929</v>
      </c>
      <c r="I293" s="1423">
        <f t="shared" ca="1" si="393"/>
        <v>1.6220572856750135</v>
      </c>
      <c r="J293" s="1423">
        <f t="shared" ca="1" si="394"/>
        <v>1.5793715676309341</v>
      </c>
      <c r="K293" s="1423">
        <f t="shared" ca="1" si="395"/>
        <v>1.5366858495868547</v>
      </c>
      <c r="L293" s="1423">
        <f t="shared" ca="1" si="396"/>
        <v>1.4940001315427753</v>
      </c>
      <c r="M293" s="1423">
        <f t="shared" ca="1" si="397"/>
        <v>1.4513144134986959</v>
      </c>
      <c r="N293" s="1423">
        <f t="shared" ca="1" si="398"/>
        <v>1.4086286954546166</v>
      </c>
      <c r="O293" s="1423">
        <f t="shared" ca="1" si="399"/>
        <v>1.3659429774105372</v>
      </c>
      <c r="P293" s="1423">
        <f t="shared" ca="1" si="400"/>
        <v>1.3232572593664578</v>
      </c>
      <c r="Q293" s="1423">
        <f t="shared" ca="1" si="401"/>
        <v>1.2805715413223784</v>
      </c>
      <c r="R293" s="1423">
        <f t="shared" ca="1" si="402"/>
        <v>1.237885823278299</v>
      </c>
      <c r="S293" s="1423">
        <f t="shared" ca="1" si="403"/>
        <v>1.1952001052342196</v>
      </c>
      <c r="T293" s="1423">
        <f t="shared" ca="1" si="404"/>
        <v>1.1525143871901402</v>
      </c>
      <c r="U293" s="1423">
        <f t="shared" ca="1" si="405"/>
        <v>1.1098286691460608</v>
      </c>
      <c r="V293" s="1423">
        <f t="shared" ca="1" si="406"/>
        <v>1.0671429511019814</v>
      </c>
      <c r="W293" s="1423">
        <f t="shared" ca="1" si="407"/>
        <v>1.024457233057902</v>
      </c>
      <c r="X293" s="202"/>
      <c r="Y293" s="202"/>
      <c r="Z293" s="202"/>
      <c r="AA293" s="152"/>
      <c r="AB293" s="152"/>
    </row>
    <row r="294" spans="1:28" hidden="1" outlineLevel="1">
      <c r="A294" s="199">
        <f t="shared" si="408"/>
        <v>5</v>
      </c>
      <c r="B294" s="190" t="str">
        <f t="shared" ca="1" si="409"/>
        <v>Depreciated Net Capex 2020-21</v>
      </c>
      <c r="C294" s="1426"/>
      <c r="D294" s="1426"/>
      <c r="E294" s="1426"/>
      <c r="F294" s="1426"/>
      <c r="G294" s="1427"/>
      <c r="H294" s="1428">
        <f>(H284*((1+H$11)^0.5)/H$10)</f>
        <v>0.85553079098193641</v>
      </c>
      <c r="I294" s="1423">
        <f ca="1">IF(H318="n/a",H294,IFERROR(IF((OFFSET($C294,0,$A294))&lt;0,
MIN(0,H294-(OFFSET($C294,0,$A294)/(OFFSET($C289,-$A293,$A294)))),
MAX(0,H294-(OFFSET($C294,0,$A294)/(OFFSET($C289,-$A293,$A294))))),0))</f>
        <v>0.83414252120738797</v>
      </c>
      <c r="J294" s="1423">
        <f t="shared" ca="1" si="394"/>
        <v>0.81275425143283953</v>
      </c>
      <c r="K294" s="1423">
        <f t="shared" ca="1" si="395"/>
        <v>0.79136598165829108</v>
      </c>
      <c r="L294" s="1423">
        <f t="shared" ca="1" si="396"/>
        <v>0.76997771188374264</v>
      </c>
      <c r="M294" s="1423">
        <f t="shared" ca="1" si="397"/>
        <v>0.7485894421091942</v>
      </c>
      <c r="N294" s="1423">
        <f t="shared" ca="1" si="398"/>
        <v>0.72720117233464576</v>
      </c>
      <c r="O294" s="1423">
        <f t="shared" ca="1" si="399"/>
        <v>0.70581290256009732</v>
      </c>
      <c r="P294" s="1423">
        <f t="shared" ca="1" si="400"/>
        <v>0.68442463278554888</v>
      </c>
      <c r="Q294" s="1423">
        <f t="shared" ca="1" si="401"/>
        <v>0.66303636301100044</v>
      </c>
      <c r="R294" s="1423">
        <f t="shared" ca="1" si="402"/>
        <v>0.641648093236452</v>
      </c>
      <c r="S294" s="1423">
        <f t="shared" ca="1" si="403"/>
        <v>0.62025982346190356</v>
      </c>
      <c r="T294" s="1423">
        <f t="shared" ca="1" si="404"/>
        <v>0.59887155368735512</v>
      </c>
      <c r="U294" s="1423">
        <f t="shared" ca="1" si="405"/>
        <v>0.57748328391280668</v>
      </c>
      <c r="V294" s="1423">
        <f t="shared" ca="1" si="406"/>
        <v>0.55609501413825824</v>
      </c>
      <c r="W294" s="1423">
        <f t="shared" ca="1" si="407"/>
        <v>0.5347067443637098</v>
      </c>
      <c r="X294" s="202"/>
      <c r="Y294" s="202"/>
      <c r="Z294" s="202"/>
      <c r="AA294" s="152"/>
      <c r="AB294" s="152"/>
    </row>
    <row r="295" spans="1:28" hidden="1" outlineLevel="1">
      <c r="A295" s="199">
        <f t="shared" si="408"/>
        <v>6</v>
      </c>
      <c r="B295" s="190" t="str">
        <f t="shared" ca="1" si="409"/>
        <v>Depreciated Net Capex 2021-22</v>
      </c>
      <c r="C295" s="1426"/>
      <c r="D295" s="1426"/>
      <c r="E295" s="1426"/>
      <c r="F295" s="1426"/>
      <c r="G295" s="1426"/>
      <c r="H295" s="1427"/>
      <c r="I295" s="1428">
        <f>(I284*((1+I$11)^0.5)/I$10)</f>
        <v>0.86446298500743302</v>
      </c>
      <c r="J295" s="1423">
        <f ca="1">IF(I319="n/a",I295,IFERROR(IF((OFFSET($C295,0,$A295))&lt;0,
MIN(0,I295-(OFFSET($C295,0,$A295)/(OFFSET($C290,-$A294,$A295)))),
MAX(0,I295-(OFFSET($C295,0,$A295)/(OFFSET($C290,-$A294,$A295))))),0))</f>
        <v>0.8428514103822472</v>
      </c>
      <c r="K295" s="1423">
        <f t="shared" ca="1" si="395"/>
        <v>0.82123983575706139</v>
      </c>
      <c r="L295" s="1423">
        <f t="shared" ca="1" si="396"/>
        <v>0.79962826113187557</v>
      </c>
      <c r="M295" s="1423">
        <f t="shared" ca="1" si="397"/>
        <v>0.77801668650668976</v>
      </c>
      <c r="N295" s="1423">
        <f t="shared" ca="1" si="398"/>
        <v>0.75640511188150394</v>
      </c>
      <c r="O295" s="1423">
        <f t="shared" ca="1" si="399"/>
        <v>0.73479353725631813</v>
      </c>
      <c r="P295" s="1423">
        <f t="shared" ca="1" si="400"/>
        <v>0.71318196263113232</v>
      </c>
      <c r="Q295" s="1423">
        <f t="shared" ca="1" si="401"/>
        <v>0.6915703880059465</v>
      </c>
      <c r="R295" s="1423">
        <f t="shared" ca="1" si="402"/>
        <v>0.66995881338076069</v>
      </c>
      <c r="S295" s="1423">
        <f t="shared" ca="1" si="403"/>
        <v>0.64834723875557487</v>
      </c>
      <c r="T295" s="1423">
        <f t="shared" ca="1" si="404"/>
        <v>0.62673566413038906</v>
      </c>
      <c r="U295" s="1423">
        <f t="shared" ca="1" si="405"/>
        <v>0.60512408950520324</v>
      </c>
      <c r="V295" s="1423">
        <f t="shared" ca="1" si="406"/>
        <v>0.58351251488001743</v>
      </c>
      <c r="W295" s="1423">
        <f t="shared" ca="1" si="407"/>
        <v>0.56190094025483162</v>
      </c>
      <c r="X295" s="202"/>
      <c r="Y295" s="202"/>
      <c r="Z295" s="202"/>
      <c r="AA295" s="152"/>
      <c r="AB295" s="152"/>
    </row>
    <row r="296" spans="1:28" hidden="1" outlineLevel="1">
      <c r="A296" s="199">
        <f t="shared" si="408"/>
        <v>7</v>
      </c>
      <c r="B296" s="190" t="str">
        <f t="shared" ca="1" si="409"/>
        <v>Depreciated Net Capex 2022-23</v>
      </c>
      <c r="C296" s="1426"/>
      <c r="D296" s="1426"/>
      <c r="E296" s="1426"/>
      <c r="F296" s="1426"/>
      <c r="G296" s="1426"/>
      <c r="H296" s="1426"/>
      <c r="I296" s="1427"/>
      <c r="J296" s="1428">
        <f>(J284*((1+J$11)^0.5)/J$10)</f>
        <v>0.81443868875634962</v>
      </c>
      <c r="K296" s="1423">
        <f ca="1">IF(J320="n/a",J296,IFERROR(IF((OFFSET($C296,0,$A296))&lt;0,
MIN(0,J296-(OFFSET($C296,0,$A296)/(OFFSET($C291,-$A295,$A296)))),
MAX(0,J296-(OFFSET($C296,0,$A296)/(OFFSET($C291,-$A295,$A296))))),0))</f>
        <v>0.79407772153744083</v>
      </c>
      <c r="L296" s="1423">
        <f t="shared" ca="1" si="396"/>
        <v>0.77371675431853204</v>
      </c>
      <c r="M296" s="1423">
        <f t="shared" ca="1" si="397"/>
        <v>0.75335578709962325</v>
      </c>
      <c r="N296" s="1423">
        <f t="shared" ca="1" si="398"/>
        <v>0.73299481988071447</v>
      </c>
      <c r="O296" s="1423">
        <f t="shared" ca="1" si="399"/>
        <v>0.71263385266180568</v>
      </c>
      <c r="P296" s="1423">
        <f t="shared" ca="1" si="400"/>
        <v>0.69227288544289689</v>
      </c>
      <c r="Q296" s="1423">
        <f t="shared" ca="1" si="401"/>
        <v>0.6719119182239881</v>
      </c>
      <c r="R296" s="1423">
        <f t="shared" ca="1" si="402"/>
        <v>0.65155095100507932</v>
      </c>
      <c r="S296" s="1423">
        <f t="shared" ca="1" si="403"/>
        <v>0.63118998378617053</v>
      </c>
      <c r="T296" s="1423">
        <f t="shared" ca="1" si="404"/>
        <v>0.61082901656726174</v>
      </c>
      <c r="U296" s="1423">
        <f t="shared" ca="1" si="405"/>
        <v>0.59046804934835295</v>
      </c>
      <c r="V296" s="1423">
        <f t="shared" ca="1" si="406"/>
        <v>0.57010708212944416</v>
      </c>
      <c r="W296" s="1423">
        <f t="shared" ca="1" si="407"/>
        <v>0.54974611491053538</v>
      </c>
      <c r="X296" s="202"/>
      <c r="Y296" s="202"/>
      <c r="Z296" s="202"/>
      <c r="AA296" s="152"/>
      <c r="AB296" s="152"/>
    </row>
    <row r="297" spans="1:28" hidden="1" outlineLevel="1">
      <c r="A297" s="199">
        <f t="shared" si="408"/>
        <v>8</v>
      </c>
      <c r="B297" s="190" t="str">
        <f t="shared" ca="1" si="409"/>
        <v>Depreciated Net Capex 2023-24</v>
      </c>
      <c r="C297" s="1426"/>
      <c r="D297" s="1426"/>
      <c r="E297" s="1426"/>
      <c r="F297" s="1426"/>
      <c r="G297" s="1426"/>
      <c r="H297" s="1426"/>
      <c r="I297" s="1426"/>
      <c r="J297" s="1427"/>
      <c r="K297" s="1428">
        <f>(K284*((1+K$11)^0.5)/K$10)</f>
        <v>0</v>
      </c>
      <c r="L297" s="1423">
        <f ca="1">IF(K321="n/a",K297,IFERROR(IF((OFFSET($C297,0,$A297))&lt;0,
MIN(0,K297-(OFFSET($C297,0,$A297)/(OFFSET($C292,-$A296,$A297)))),
MAX(0,K297-(OFFSET($C297,0,$A297)/(OFFSET($C292,-$A296,$A297))))),0))</f>
        <v>0</v>
      </c>
      <c r="M297" s="1423">
        <f t="shared" ca="1" si="397"/>
        <v>0</v>
      </c>
      <c r="N297" s="1423">
        <f t="shared" ca="1" si="398"/>
        <v>0</v>
      </c>
      <c r="O297" s="1423">
        <f t="shared" ca="1" si="399"/>
        <v>0</v>
      </c>
      <c r="P297" s="1423">
        <f t="shared" ca="1" si="400"/>
        <v>0</v>
      </c>
      <c r="Q297" s="1423">
        <f t="shared" ca="1" si="401"/>
        <v>0</v>
      </c>
      <c r="R297" s="1423">
        <f t="shared" ca="1" si="402"/>
        <v>0</v>
      </c>
      <c r="S297" s="1423">
        <f t="shared" ca="1" si="403"/>
        <v>0</v>
      </c>
      <c r="T297" s="1423">
        <f t="shared" ca="1" si="404"/>
        <v>0</v>
      </c>
      <c r="U297" s="1423">
        <f t="shared" ca="1" si="405"/>
        <v>0</v>
      </c>
      <c r="V297" s="1423">
        <f t="shared" ca="1" si="406"/>
        <v>0</v>
      </c>
      <c r="W297" s="1423">
        <f t="shared" ca="1" si="407"/>
        <v>0</v>
      </c>
      <c r="X297" s="202"/>
      <c r="Y297" s="202"/>
      <c r="Z297" s="202"/>
      <c r="AA297" s="152"/>
      <c r="AB297" s="152"/>
    </row>
    <row r="298" spans="1:28" hidden="1" outlineLevel="1">
      <c r="A298" s="199">
        <f t="shared" si="408"/>
        <v>9</v>
      </c>
      <c r="B298" s="190" t="str">
        <f t="shared" ca="1" si="409"/>
        <v>Depreciated Net Capex 2024-25</v>
      </c>
      <c r="C298" s="1426"/>
      <c r="D298" s="1426"/>
      <c r="E298" s="1426"/>
      <c r="F298" s="1426"/>
      <c r="G298" s="1426"/>
      <c r="H298" s="1426"/>
      <c r="I298" s="1426"/>
      <c r="J298" s="1426"/>
      <c r="K298" s="1427"/>
      <c r="L298" s="1428">
        <f>(L284*((1+L$11)^0.5)/L$10)</f>
        <v>0</v>
      </c>
      <c r="M298" s="1423">
        <f ca="1">IF(L322="n/a",L298,IFERROR(IF((OFFSET($C298,0,$A298))&lt;0,
MIN(0,L298-(OFFSET($C298,0,$A298)/(OFFSET($C293,-$A297,$A298)))),
MAX(0,L298-(OFFSET($C298,0,$A298)/(OFFSET($C293,-$A297,$A298))))),0))</f>
        <v>0</v>
      </c>
      <c r="N298" s="1423">
        <f t="shared" ca="1" si="398"/>
        <v>0</v>
      </c>
      <c r="O298" s="1423">
        <f t="shared" ca="1" si="399"/>
        <v>0</v>
      </c>
      <c r="P298" s="1423">
        <f t="shared" ca="1" si="400"/>
        <v>0</v>
      </c>
      <c r="Q298" s="1423">
        <f t="shared" ca="1" si="401"/>
        <v>0</v>
      </c>
      <c r="R298" s="1423">
        <f t="shared" ca="1" si="402"/>
        <v>0</v>
      </c>
      <c r="S298" s="1423">
        <f t="shared" ca="1" si="403"/>
        <v>0</v>
      </c>
      <c r="T298" s="1423">
        <f t="shared" ca="1" si="404"/>
        <v>0</v>
      </c>
      <c r="U298" s="1423">
        <f t="shared" ca="1" si="405"/>
        <v>0</v>
      </c>
      <c r="V298" s="1423">
        <f t="shared" ca="1" si="406"/>
        <v>0</v>
      </c>
      <c r="W298" s="1423">
        <f t="shared" ca="1" si="407"/>
        <v>0</v>
      </c>
      <c r="X298" s="202"/>
      <c r="Y298" s="202"/>
      <c r="Z298" s="202"/>
      <c r="AA298" s="152"/>
      <c r="AB298" s="152"/>
    </row>
    <row r="299" spans="1:28" hidden="1" outlineLevel="1">
      <c r="A299" s="199">
        <f t="shared" si="408"/>
        <v>10</v>
      </c>
      <c r="B299" s="190" t="str">
        <f t="shared" ca="1" si="409"/>
        <v>Depreciated Net Capex 2025-26</v>
      </c>
      <c r="C299" s="1426"/>
      <c r="D299" s="1426"/>
      <c r="E299" s="1426"/>
      <c r="F299" s="1426"/>
      <c r="G299" s="1426"/>
      <c r="H299" s="1426"/>
      <c r="I299" s="1426"/>
      <c r="J299" s="1426"/>
      <c r="K299" s="1426"/>
      <c r="L299" s="1427"/>
      <c r="M299" s="1428">
        <f>(M284*((1+M$11)^0.5)/M$10)</f>
        <v>0</v>
      </c>
      <c r="N299" s="1423">
        <f ca="1">IF(M323="n/a",M299,IFERROR(IF((OFFSET($C299,0,$A299))&lt;0,
MIN(0,M299-(OFFSET($C299,0,$A299)/(OFFSET($C294,-$A298,$A299)))),
MAX(0,M299-(OFFSET($C299,0,$A299)/(OFFSET($C294,-$A298,$A299))))),0))</f>
        <v>0</v>
      </c>
      <c r="O299" s="1423">
        <f t="shared" ca="1" si="399"/>
        <v>0</v>
      </c>
      <c r="P299" s="1423">
        <f t="shared" ca="1" si="400"/>
        <v>0</v>
      </c>
      <c r="Q299" s="1423">
        <f t="shared" ca="1" si="401"/>
        <v>0</v>
      </c>
      <c r="R299" s="1423">
        <f t="shared" ca="1" si="402"/>
        <v>0</v>
      </c>
      <c r="S299" s="1423">
        <f t="shared" ca="1" si="403"/>
        <v>0</v>
      </c>
      <c r="T299" s="1423">
        <f t="shared" ca="1" si="404"/>
        <v>0</v>
      </c>
      <c r="U299" s="1423">
        <f t="shared" ca="1" si="405"/>
        <v>0</v>
      </c>
      <c r="V299" s="1423">
        <f t="shared" ca="1" si="406"/>
        <v>0</v>
      </c>
      <c r="W299" s="1423">
        <f t="shared" ca="1" si="407"/>
        <v>0</v>
      </c>
      <c r="X299" s="202"/>
      <c r="Y299" s="202"/>
      <c r="Z299" s="202"/>
      <c r="AA299" s="152"/>
      <c r="AB299" s="152"/>
    </row>
    <row r="300" spans="1:28" hidden="1" outlineLevel="1">
      <c r="A300" s="199">
        <f t="shared" si="408"/>
        <v>11</v>
      </c>
      <c r="B300" s="190" t="str">
        <f t="shared" ca="1" si="409"/>
        <v>Depreciated Net Capex 2026-27</v>
      </c>
      <c r="C300" s="1426"/>
      <c r="D300" s="1426"/>
      <c r="E300" s="1426"/>
      <c r="F300" s="1426"/>
      <c r="G300" s="1426"/>
      <c r="H300" s="1426"/>
      <c r="I300" s="1426"/>
      <c r="J300" s="1426"/>
      <c r="K300" s="1426"/>
      <c r="L300" s="1426"/>
      <c r="M300" s="1427"/>
      <c r="N300" s="1428">
        <f>(N284*((1+N$11)^0.5)/N$10)</f>
        <v>0</v>
      </c>
      <c r="O300" s="1423">
        <f ca="1">IF(N324="n/a",N300,IFERROR(IF((OFFSET($C300,0,$A300))&lt;0,
MIN(0,N300-(OFFSET($C300,0,$A300)/(OFFSET($C295,-$A299,$A300)))),
MAX(0,N300-(OFFSET($C300,0,$A300)/(OFFSET($C295,-$A299,$A300))))),0))</f>
        <v>0</v>
      </c>
      <c r="P300" s="1423">
        <f t="shared" ca="1" si="400"/>
        <v>0</v>
      </c>
      <c r="Q300" s="1423">
        <f t="shared" ca="1" si="401"/>
        <v>0</v>
      </c>
      <c r="R300" s="1423">
        <f t="shared" ca="1" si="402"/>
        <v>0</v>
      </c>
      <c r="S300" s="1423">
        <f t="shared" ca="1" si="403"/>
        <v>0</v>
      </c>
      <c r="T300" s="1423">
        <f t="shared" ca="1" si="404"/>
        <v>0</v>
      </c>
      <c r="U300" s="1423">
        <f t="shared" ca="1" si="405"/>
        <v>0</v>
      </c>
      <c r="V300" s="1423">
        <f t="shared" ca="1" si="406"/>
        <v>0</v>
      </c>
      <c r="W300" s="1423">
        <f t="shared" ca="1" si="407"/>
        <v>0</v>
      </c>
      <c r="X300" s="202"/>
      <c r="Y300" s="202"/>
      <c r="Z300" s="202"/>
      <c r="AA300" s="152"/>
      <c r="AB300" s="152"/>
    </row>
    <row r="301" spans="1:28" hidden="1" outlineLevel="1">
      <c r="A301" s="199">
        <f t="shared" si="408"/>
        <v>12</v>
      </c>
      <c r="B301" s="190" t="str">
        <f t="shared" ca="1" si="409"/>
        <v>Depreciated Net Capex 2027-28</v>
      </c>
      <c r="C301" s="1426"/>
      <c r="D301" s="1426"/>
      <c r="E301" s="1426"/>
      <c r="F301" s="1426"/>
      <c r="G301" s="1426"/>
      <c r="H301" s="1426"/>
      <c r="I301" s="1426"/>
      <c r="J301" s="1426"/>
      <c r="K301" s="1426"/>
      <c r="L301" s="1426"/>
      <c r="M301" s="1426"/>
      <c r="N301" s="1427"/>
      <c r="O301" s="1428">
        <f>(O284*((1+O$11)^0.5)/O$10)</f>
        <v>0</v>
      </c>
      <c r="P301" s="1423">
        <f ca="1">IF(O325="n/a",O301,IFERROR(IF((OFFSET($C301,0,$A301))&lt;0,
MIN(0,O301-(OFFSET($C301,0,$A301)/(OFFSET($C296,-$A300,$A301)))),
MAX(0,O301-(OFFSET($C301,0,$A301)/(OFFSET($C296,-$A300,$A301))))),0))</f>
        <v>0</v>
      </c>
      <c r="Q301" s="1423">
        <f t="shared" ca="1" si="401"/>
        <v>0</v>
      </c>
      <c r="R301" s="1423">
        <f t="shared" ca="1" si="402"/>
        <v>0</v>
      </c>
      <c r="S301" s="1423">
        <f t="shared" ca="1" si="403"/>
        <v>0</v>
      </c>
      <c r="T301" s="1423">
        <f t="shared" ca="1" si="404"/>
        <v>0</v>
      </c>
      <c r="U301" s="1423">
        <f t="shared" ca="1" si="405"/>
        <v>0</v>
      </c>
      <c r="V301" s="1423">
        <f t="shared" ca="1" si="406"/>
        <v>0</v>
      </c>
      <c r="W301" s="1423">
        <f t="shared" ca="1" si="407"/>
        <v>0</v>
      </c>
      <c r="X301" s="202"/>
      <c r="Y301" s="202"/>
      <c r="Z301" s="202"/>
      <c r="AA301" s="152"/>
      <c r="AB301" s="152"/>
    </row>
    <row r="302" spans="1:28" hidden="1" outlineLevel="1">
      <c r="A302" s="199">
        <f t="shared" si="408"/>
        <v>13</v>
      </c>
      <c r="B302" s="190" t="str">
        <f t="shared" ca="1" si="409"/>
        <v>Depreciated Net Capex 2028-29</v>
      </c>
      <c r="C302" s="1426"/>
      <c r="D302" s="1426"/>
      <c r="E302" s="1426"/>
      <c r="F302" s="1426"/>
      <c r="G302" s="1426"/>
      <c r="H302" s="1426"/>
      <c r="I302" s="1426"/>
      <c r="J302" s="1426"/>
      <c r="K302" s="1426"/>
      <c r="L302" s="1426"/>
      <c r="M302" s="1426"/>
      <c r="N302" s="1426"/>
      <c r="O302" s="1427"/>
      <c r="P302" s="1428">
        <f>(P284*((1+P$11)^0.5)/P$10)</f>
        <v>0</v>
      </c>
      <c r="Q302" s="1423">
        <f ca="1">IF(P326="n/a",P302,IFERROR(IF((OFFSET($C302,0,$A302))&lt;0,
MIN(0,P302-(OFFSET($C302,0,$A302)/(OFFSET($C297,-$A301,$A302)))),
MAX(0,P302-(OFFSET($C302,0,$A302)/(OFFSET($C297,-$A301,$A302))))),0))</f>
        <v>0</v>
      </c>
      <c r="R302" s="1423">
        <f t="shared" ca="1" si="402"/>
        <v>0</v>
      </c>
      <c r="S302" s="1423">
        <f t="shared" ca="1" si="403"/>
        <v>0</v>
      </c>
      <c r="T302" s="1423">
        <f t="shared" ca="1" si="404"/>
        <v>0</v>
      </c>
      <c r="U302" s="1423">
        <f t="shared" ca="1" si="405"/>
        <v>0</v>
      </c>
      <c r="V302" s="1423">
        <f t="shared" ca="1" si="406"/>
        <v>0</v>
      </c>
      <c r="W302" s="1423">
        <f t="shared" ca="1" si="407"/>
        <v>0</v>
      </c>
      <c r="X302" s="202"/>
      <c r="Y302" s="202"/>
      <c r="Z302" s="202"/>
      <c r="AA302" s="152"/>
      <c r="AB302" s="152"/>
    </row>
    <row r="303" spans="1:28" hidden="1" outlineLevel="1">
      <c r="A303" s="199">
        <f t="shared" si="408"/>
        <v>14</v>
      </c>
      <c r="B303" s="190" t="str">
        <f t="shared" ca="1" si="409"/>
        <v>Depreciated Net Capex 2029-30</v>
      </c>
      <c r="C303" s="1426"/>
      <c r="D303" s="1426"/>
      <c r="E303" s="1426"/>
      <c r="F303" s="1426"/>
      <c r="G303" s="1426"/>
      <c r="H303" s="1426"/>
      <c r="I303" s="1426"/>
      <c r="J303" s="1426"/>
      <c r="K303" s="1426"/>
      <c r="L303" s="1426"/>
      <c r="M303" s="1426"/>
      <c r="N303" s="1426"/>
      <c r="O303" s="1426"/>
      <c r="P303" s="1427"/>
      <c r="Q303" s="1428">
        <f>(Q284*((1+Q$11)^0.5)/Q$10)</f>
        <v>0</v>
      </c>
      <c r="R303" s="1423">
        <f ca="1">IF(Q327="n/a",Q303,IFERROR(IF((OFFSET($C303,0,$A303))&lt;0,
MIN(0,Q303-(OFFSET($C303,0,$A303)/(OFFSET($C298,-$A302,$A303)))),
MAX(0,Q303-(OFFSET($C303,0,$A303)/(OFFSET($C298,-$A302,$A303))))),0))</f>
        <v>0</v>
      </c>
      <c r="S303" s="1423">
        <f t="shared" ca="1" si="403"/>
        <v>0</v>
      </c>
      <c r="T303" s="1423">
        <f t="shared" ca="1" si="404"/>
        <v>0</v>
      </c>
      <c r="U303" s="1423">
        <f t="shared" ca="1" si="405"/>
        <v>0</v>
      </c>
      <c r="V303" s="1423">
        <f t="shared" ca="1" si="406"/>
        <v>0</v>
      </c>
      <c r="W303" s="1423">
        <f t="shared" ca="1" si="407"/>
        <v>0</v>
      </c>
      <c r="X303" s="202"/>
      <c r="Y303" s="202"/>
      <c r="Z303" s="202"/>
      <c r="AA303" s="152"/>
      <c r="AB303" s="152"/>
    </row>
    <row r="304" spans="1:28" hidden="1" outlineLevel="1">
      <c r="A304" s="199">
        <f t="shared" si="408"/>
        <v>15</v>
      </c>
      <c r="B304" s="190" t="str">
        <f t="shared" ca="1" si="409"/>
        <v>Depreciated Net Capex 2030-31</v>
      </c>
      <c r="C304" s="1426"/>
      <c r="D304" s="1426"/>
      <c r="E304" s="1426"/>
      <c r="F304" s="1426"/>
      <c r="G304" s="1426"/>
      <c r="H304" s="1426"/>
      <c r="I304" s="1426"/>
      <c r="J304" s="1426"/>
      <c r="K304" s="1426"/>
      <c r="L304" s="1426"/>
      <c r="M304" s="1426"/>
      <c r="N304" s="1426"/>
      <c r="O304" s="1426"/>
      <c r="P304" s="1426"/>
      <c r="Q304" s="1427"/>
      <c r="R304" s="1428">
        <f>(R284*((1+R$11)^0.5)/R$10)</f>
        <v>0</v>
      </c>
      <c r="S304" s="1423">
        <f ca="1">IF(R328="n/a",R304,IFERROR(IF((OFFSET($C304,0,$A304))&lt;0,
MIN(0,R304-(OFFSET($C304,0,$A304)/(OFFSET($C299,-$A303,$A304)))),
MAX(0,R304-(OFFSET($C304,0,$A304)/(OFFSET($C299,-$A303,$A304))))),0))</f>
        <v>0</v>
      </c>
      <c r="T304" s="1423">
        <f t="shared" ca="1" si="404"/>
        <v>0</v>
      </c>
      <c r="U304" s="1423">
        <f t="shared" ca="1" si="405"/>
        <v>0</v>
      </c>
      <c r="V304" s="1423">
        <f t="shared" ca="1" si="406"/>
        <v>0</v>
      </c>
      <c r="W304" s="1423">
        <f t="shared" ca="1" si="407"/>
        <v>0</v>
      </c>
      <c r="X304" s="202"/>
      <c r="Y304" s="202"/>
      <c r="Z304" s="202"/>
      <c r="AA304" s="152"/>
      <c r="AB304" s="152"/>
    </row>
    <row r="305" spans="1:28" hidden="1" outlineLevel="1">
      <c r="A305" s="199">
        <f t="shared" si="408"/>
        <v>16</v>
      </c>
      <c r="B305" s="190" t="str">
        <f t="shared" ca="1" si="409"/>
        <v>Depreciated Net Capex 2031-32</v>
      </c>
      <c r="C305" s="1426"/>
      <c r="D305" s="1426"/>
      <c r="E305" s="1426"/>
      <c r="F305" s="1426"/>
      <c r="G305" s="1426"/>
      <c r="H305" s="1426"/>
      <c r="I305" s="1426"/>
      <c r="J305" s="1426"/>
      <c r="K305" s="1426"/>
      <c r="L305" s="1426"/>
      <c r="M305" s="1426"/>
      <c r="N305" s="1426"/>
      <c r="O305" s="1426"/>
      <c r="P305" s="1426"/>
      <c r="Q305" s="1426"/>
      <c r="R305" s="1427"/>
      <c r="S305" s="1428">
        <f>(S284*((1+S$11)^0.5)/S$10)</f>
        <v>0</v>
      </c>
      <c r="T305" s="1423">
        <f ca="1">IF(S329="n/a",S305,IFERROR(IF((OFFSET($C305,0,$A305))&lt;0,
MIN(0,S305-(OFFSET($C305,0,$A305)/(OFFSET($C300,-$A304,$A305)))),
MAX(0,S305-(OFFSET($C305,0,$A305)/(OFFSET($C300,-$A304,$A305))))),0))</f>
        <v>0</v>
      </c>
      <c r="U305" s="1423">
        <f t="shared" ca="1" si="405"/>
        <v>0</v>
      </c>
      <c r="V305" s="1423">
        <f t="shared" ca="1" si="406"/>
        <v>0</v>
      </c>
      <c r="W305" s="1423">
        <f t="shared" ca="1" si="407"/>
        <v>0</v>
      </c>
      <c r="X305" s="202"/>
      <c r="Y305" s="202"/>
      <c r="Z305" s="202"/>
      <c r="AA305" s="152"/>
      <c r="AB305" s="152"/>
    </row>
    <row r="306" spans="1:28" hidden="1" outlineLevel="1">
      <c r="A306" s="199">
        <f t="shared" si="408"/>
        <v>17</v>
      </c>
      <c r="B306" s="190" t="str">
        <f t="shared" ca="1" si="409"/>
        <v>Depreciated Net Capex 2032-33</v>
      </c>
      <c r="C306" s="1426"/>
      <c r="D306" s="1426"/>
      <c r="E306" s="1426"/>
      <c r="F306" s="1426"/>
      <c r="G306" s="1426"/>
      <c r="H306" s="1426"/>
      <c r="I306" s="1426"/>
      <c r="J306" s="1426"/>
      <c r="K306" s="1426"/>
      <c r="L306" s="1426"/>
      <c r="M306" s="1426"/>
      <c r="N306" s="1426"/>
      <c r="O306" s="1426"/>
      <c r="P306" s="1426"/>
      <c r="Q306" s="1426"/>
      <c r="R306" s="1426"/>
      <c r="S306" s="1427"/>
      <c r="T306" s="1428">
        <f>(T284*((1+T$11)^0.5)/T$10)</f>
        <v>0</v>
      </c>
      <c r="U306" s="1423">
        <f ca="1">IF(T330="n/a",T306,IFERROR(IF((OFFSET($C306,0,$A306))&lt;0,
MIN(0,T306-(OFFSET($C306,0,$A306)/(OFFSET($C301,-$A305,$A306)))),
MAX(0,T306-(OFFSET($C306,0,$A306)/(OFFSET($C301,-$A305,$A306))))),0))</f>
        <v>0</v>
      </c>
      <c r="V306" s="1423">
        <f t="shared" ca="1" si="406"/>
        <v>0</v>
      </c>
      <c r="W306" s="1423">
        <f t="shared" ca="1" si="407"/>
        <v>0</v>
      </c>
      <c r="X306" s="202"/>
      <c r="Y306" s="202"/>
      <c r="Z306" s="202"/>
      <c r="AA306" s="152"/>
      <c r="AB306" s="152"/>
    </row>
    <row r="307" spans="1:28" hidden="1" outlineLevel="1">
      <c r="A307" s="199">
        <f t="shared" si="408"/>
        <v>18</v>
      </c>
      <c r="B307" s="190" t="str">
        <f t="shared" ca="1" si="409"/>
        <v>Depreciated Net Capex 2033-34</v>
      </c>
      <c r="C307" s="1426"/>
      <c r="D307" s="1426"/>
      <c r="E307" s="1426"/>
      <c r="F307" s="1426"/>
      <c r="G307" s="1426"/>
      <c r="H307" s="1426"/>
      <c r="I307" s="1426"/>
      <c r="J307" s="1426"/>
      <c r="K307" s="1426"/>
      <c r="L307" s="1426"/>
      <c r="M307" s="1426"/>
      <c r="N307" s="1426"/>
      <c r="O307" s="1426"/>
      <c r="P307" s="1426"/>
      <c r="Q307" s="1426"/>
      <c r="R307" s="1426"/>
      <c r="S307" s="1426"/>
      <c r="T307" s="1427"/>
      <c r="U307" s="1428">
        <f>(U284*((1+U$11)^0.5)/U$10)</f>
        <v>0</v>
      </c>
      <c r="V307" s="1423">
        <f ca="1">IF(U331="n/a",U307,IFERROR(IF((OFFSET($C307,0,$A307))&lt;0,
MIN(0,U307-(OFFSET($C307,0,$A307)/(OFFSET($C302,-$A306,$A307)))),
MAX(0,U307-(OFFSET($C307,0,$A307)/(OFFSET($C302,-$A306,$A307))))),0))</f>
        <v>0</v>
      </c>
      <c r="W307" s="1423">
        <f t="shared" ca="1" si="407"/>
        <v>0</v>
      </c>
      <c r="X307" s="202"/>
      <c r="Y307" s="202"/>
      <c r="Z307" s="202"/>
      <c r="AA307" s="152"/>
      <c r="AB307" s="152"/>
    </row>
    <row r="308" spans="1:28" hidden="1" outlineLevel="1">
      <c r="A308" s="199">
        <f t="shared" si="408"/>
        <v>19</v>
      </c>
      <c r="B308" s="190" t="str">
        <f t="shared" ca="1" si="409"/>
        <v>Depreciated Net Capex 2034-35</v>
      </c>
      <c r="C308" s="1426"/>
      <c r="D308" s="1426"/>
      <c r="E308" s="1426"/>
      <c r="F308" s="1426"/>
      <c r="G308" s="1426"/>
      <c r="H308" s="1426"/>
      <c r="I308" s="1426"/>
      <c r="J308" s="1426"/>
      <c r="K308" s="1426"/>
      <c r="L308" s="1426"/>
      <c r="M308" s="1426"/>
      <c r="N308" s="1426"/>
      <c r="O308" s="1426"/>
      <c r="P308" s="1426"/>
      <c r="Q308" s="1426"/>
      <c r="R308" s="1426"/>
      <c r="S308" s="1426"/>
      <c r="T308" s="1426"/>
      <c r="U308" s="1427"/>
      <c r="V308" s="1428">
        <f>(V284*((1+V$11)^0.5)/V$10)</f>
        <v>0</v>
      </c>
      <c r="W308" s="1423">
        <f ca="1">IF(V332="n/a",V308,IFERROR(IF((OFFSET($C308,0,$A308))&lt;0,
MIN(0,V308-(OFFSET($C308,0,$A308)/(OFFSET($C303,-$A307,$A308)))),
MAX(0,V308-(OFFSET($C308,0,$A308)/(OFFSET($C303,-$A307,$A308))))),0))</f>
        <v>0</v>
      </c>
      <c r="X308" s="202"/>
      <c r="Y308" s="202"/>
      <c r="Z308" s="202"/>
      <c r="AA308" s="152"/>
      <c r="AB308" s="152"/>
    </row>
    <row r="309" spans="1:28" hidden="1" outlineLevel="1">
      <c r="A309" s="199">
        <f t="shared" si="408"/>
        <v>20</v>
      </c>
      <c r="B309" s="190" t="str">
        <f ca="1">"Depreciated Net Capex "&amp;OFFSET($C$6,0,A309)</f>
        <v>Depreciated Net Capex 2035-36</v>
      </c>
      <c r="C309" s="1426"/>
      <c r="D309" s="1426"/>
      <c r="E309" s="1426"/>
      <c r="F309" s="1426"/>
      <c r="G309" s="1426"/>
      <c r="H309" s="1426"/>
      <c r="I309" s="1426"/>
      <c r="J309" s="1426"/>
      <c r="K309" s="1426"/>
      <c r="L309" s="1426"/>
      <c r="M309" s="1426"/>
      <c r="N309" s="1426"/>
      <c r="O309" s="1426"/>
      <c r="P309" s="1426"/>
      <c r="Q309" s="1426"/>
      <c r="R309" s="1426"/>
      <c r="S309" s="1426"/>
      <c r="T309" s="1426"/>
      <c r="U309" s="1426"/>
      <c r="V309" s="1427"/>
      <c r="W309" s="1423">
        <f>(W284*((1+W$11)^0.5)/W$10)</f>
        <v>0</v>
      </c>
      <c r="X309" s="152"/>
      <c r="Y309" s="152"/>
      <c r="Z309" s="152"/>
      <c r="AA309" s="152"/>
      <c r="AB309" s="152"/>
    </row>
    <row r="310" spans="1:28" hidden="1" outlineLevel="1">
      <c r="A310" s="152"/>
      <c r="B310" s="200"/>
      <c r="C310" s="1423"/>
      <c r="D310" s="1423"/>
      <c r="E310" s="1423"/>
      <c r="F310" s="1423"/>
      <c r="G310" s="1423"/>
      <c r="H310" s="1423"/>
      <c r="I310" s="1423"/>
      <c r="J310" s="1423"/>
      <c r="K310" s="1423"/>
      <c r="L310" s="1423"/>
      <c r="M310" s="1423"/>
      <c r="N310" s="1423"/>
      <c r="O310" s="1423"/>
      <c r="P310" s="1423"/>
      <c r="Q310" s="1423"/>
      <c r="R310" s="1423"/>
      <c r="S310" s="1423"/>
      <c r="T310" s="1423"/>
      <c r="U310" s="1423"/>
      <c r="V310" s="1423"/>
      <c r="W310" s="1423"/>
      <c r="X310" s="152"/>
      <c r="Y310" s="152"/>
      <c r="Z310" s="152"/>
      <c r="AA310" s="152"/>
      <c r="AB310" s="152"/>
    </row>
    <row r="311" spans="1:28" hidden="1" outlineLevel="1">
      <c r="A311" s="152"/>
      <c r="B311" s="200"/>
      <c r="C311" s="1423"/>
      <c r="D311" s="1423"/>
      <c r="E311" s="1423"/>
      <c r="F311" s="1423"/>
      <c r="G311" s="1423"/>
      <c r="H311" s="1423"/>
      <c r="I311" s="1423"/>
      <c r="J311" s="1423"/>
      <c r="K311" s="1423"/>
      <c r="L311" s="1423"/>
      <c r="M311" s="1423"/>
      <c r="N311" s="1423"/>
      <c r="O311" s="1423"/>
      <c r="P311" s="1423"/>
      <c r="Q311" s="1423"/>
      <c r="R311" s="1423"/>
      <c r="S311" s="1423"/>
      <c r="T311" s="1423"/>
      <c r="U311" s="1423"/>
      <c r="V311" s="1423"/>
      <c r="W311" s="1423"/>
      <c r="X311" s="152"/>
      <c r="Y311" s="152"/>
      <c r="Z311" s="152"/>
      <c r="AA311" s="152"/>
      <c r="AB311" s="152"/>
    </row>
    <row r="312" spans="1:28" hidden="1" outlineLevel="1">
      <c r="A312" s="152"/>
      <c r="B312" s="190" t="s">
        <v>190</v>
      </c>
      <c r="C312" s="1423"/>
      <c r="D312" s="1423">
        <f ca="1">IF(AND(C312&lt;1,D286=0),0,
IF(D286=0,C312-1,
IF(C312&lt;1,D287,
(((C312-1)*(C288-(C288/(C312))))+((D286/D$10)*D287))/(D288))))</f>
        <v>0</v>
      </c>
      <c r="E312" s="1423">
        <f t="shared" ref="E312" ca="1" si="410">IF(AND(D312&lt;1,E286=0),0,
IF(E286=0,D312-1,
IF(D312&lt;1,E287,
(((D312-1)*(D288-(D288/(D312))))+((E286/E$10)*E287))/(E288))))</f>
        <v>0</v>
      </c>
      <c r="F312" s="1423">
        <f t="shared" ref="F312" ca="1" si="411">IF(AND(E312&lt;1,F286=0),0,
IF(F286=0,E312-1,
IF(E312&lt;1,F287,
(((E312-1)*(E288-(E288/(E312))))+((F286/F$10)*F287))/(F288))))</f>
        <v>0</v>
      </c>
      <c r="G312" s="1423">
        <f t="shared" ref="G312" ca="1" si="412">IF(AND(F312&lt;1,G286=0),0,
IF(G286=0,F312-1,
IF(F312&lt;1,G287,
(((F312-1)*(F288-(F288/(F312))))+((G286/G$10)*G287))/(G288))))</f>
        <v>0</v>
      </c>
      <c r="H312" s="1423">
        <f t="shared" ref="H312" ca="1" si="413">IF(AND(G312&lt;1,H286=0),0,
IF(H286=0,G312-1,
IF(G312&lt;1,H287,
(((G312-1)*(G288-(G288/(G312))))+((H286/H$10)*H287))/(H288))))</f>
        <v>0</v>
      </c>
      <c r="I312" s="1423">
        <f t="shared" ref="I312" ca="1" si="414">IF(AND(H312&lt;1,I286=0),0,
IF(I286=0,H312-1,
IF(H312&lt;1,I287,
(((H312-1)*(H288-(H288/(H312))))+((I286/I$10)*I287))/(I288))))</f>
        <v>0</v>
      </c>
      <c r="J312" s="1423">
        <f t="shared" ref="J312" ca="1" si="415">IF(AND(I312&lt;1,J286=0),0,
IF(J286=0,I312-1,
IF(I312&lt;1,J287,
(((I312-1)*(I288-(I288/(I312))))+((J286/J$10)*J287))/(J288))))</f>
        <v>0</v>
      </c>
      <c r="K312" s="1423">
        <f t="shared" ref="K312" ca="1" si="416">IF(AND(J312&lt;1,K286=0),0,
IF(K286=0,J312-1,
IF(J312&lt;1,K287,
(((J312-1)*(J288-(J288/(J312))))+((K286/K$10)*K287))/(K288))))</f>
        <v>0</v>
      </c>
      <c r="L312" s="1423">
        <f t="shared" ref="L312" ca="1" si="417">IF(AND(K312&lt;1,L286=0),0,
IF(L286=0,K312-1,
IF(K312&lt;1,L287,
(((K312-1)*(K288-(K288/(K312))))+((L286/L$10)*L287))/(L288))))</f>
        <v>0</v>
      </c>
      <c r="M312" s="1423">
        <f t="shared" ref="M312" ca="1" si="418">IF(AND(L312&lt;1,M286=0),0,
IF(M286=0,L312-1,
IF(L312&lt;1,M287,
(((L312-1)*(L288-(L288/(L312))))+((M286/M$10)*M287))/(M288))))</f>
        <v>0</v>
      </c>
      <c r="N312" s="1423">
        <f t="shared" ref="N312" ca="1" si="419">IF(AND(M312&lt;1,N286=0),0,
IF(N286=0,M312-1,
IF(M312&lt;1,N287,
(((M312-1)*(M288-(M288/(M312))))+((N286/N$10)*N287))/(N288))))</f>
        <v>0</v>
      </c>
      <c r="O312" s="1423">
        <f t="shared" ref="O312" ca="1" si="420">IF(AND(N312&lt;1,O286=0),0,
IF(O286=0,N312-1,
IF(N312&lt;1,O287,
(((N312-1)*(N288-(N288/(N312))))+((O286/O$10)*O287))/(O288))))</f>
        <v>0</v>
      </c>
      <c r="P312" s="1423">
        <f t="shared" ref="P312" ca="1" si="421">IF(AND(O312&lt;1,P286=0),0,
IF(P286=0,O312-1,
IF(O312&lt;1,P287,
(((O312-1)*(O288-(O288/(O312))))+((P286/P$10)*P287))/(P288))))</f>
        <v>0</v>
      </c>
      <c r="Q312" s="1423">
        <f t="shared" ref="Q312" ca="1" si="422">IF(AND(P312&lt;1,Q286=0),0,
IF(Q286=0,P312-1,
IF(P312&lt;1,Q287,
(((P312-1)*(P288-(P288/(P312))))+((Q286/Q$10)*Q287))/(Q288))))</f>
        <v>0</v>
      </c>
      <c r="R312" s="1423">
        <f t="shared" ref="R312" ca="1" si="423">IF(AND(Q312&lt;1,R286=0),0,
IF(R286=0,Q312-1,
IF(Q312&lt;1,R287,
(((Q312-1)*(Q288-(Q288/(Q312))))+((R286/R$10)*R287))/(R288))))</f>
        <v>0</v>
      </c>
      <c r="S312" s="1423">
        <f t="shared" ref="S312" ca="1" si="424">IF(AND(R312&lt;1,S286=0),0,
IF(S286=0,R312-1,
IF(R312&lt;1,S287,
(((R312-1)*(R288-(R288/(R312))))+((S286/S$10)*S287))/(S288))))</f>
        <v>0</v>
      </c>
      <c r="T312" s="1423">
        <f t="shared" ref="T312" ca="1" si="425">IF(AND(S312&lt;1,T286=0),0,
IF(T286=0,S312-1,
IF(S312&lt;1,T287,
(((S312-1)*(S288-(S288/(S312))))+((T286/T$10)*T287))/(T288))))</f>
        <v>0</v>
      </c>
      <c r="U312" s="1423">
        <f t="shared" ref="U312" ca="1" si="426">IF(AND(T312&lt;1,U286=0),0,
IF(U286=0,T312-1,
IF(T312&lt;1,U287,
(((T312-1)*(T288-(T288/(T312))))+((U286/U$10)*U287))/(U288))))</f>
        <v>0</v>
      </c>
      <c r="V312" s="1423">
        <f t="shared" ref="V312" ca="1" si="427">IF(AND(U312&lt;1,V286=0),0,
IF(V286=0,U312-1,
IF(U312&lt;1,V287,
(((U312-1)*(U288-(U288/(U312))))+((V286/V$10)*V287))/(V288))))</f>
        <v>0</v>
      </c>
      <c r="W312" s="1423">
        <f t="shared" ref="W312" ca="1" si="428">IF(AND(V312&lt;1,W286=0),0,
IF(W286=0,V312-1,
IF(V312&lt;1,W287,
(((V312-1)*(V288-(V288/(V312))))+((W286/W$10)*W287))/(W288))))</f>
        <v>0</v>
      </c>
      <c r="X312" s="152"/>
      <c r="Y312" s="152"/>
      <c r="Z312" s="152"/>
      <c r="AA312" s="152"/>
      <c r="AB312" s="152"/>
    </row>
    <row r="313" spans="1:28" hidden="1" outlineLevel="1">
      <c r="A313" s="152"/>
      <c r="B313" s="190" t="s">
        <v>122</v>
      </c>
      <c r="C313" s="1423">
        <f ca="1">C285</f>
        <v>26.31415851135737</v>
      </c>
      <c r="D313" s="1423">
        <f t="shared" ref="D313" ca="1" si="429">IF(C313="n/a","n/a",MAX(0,C313-1))</f>
        <v>25.31415851135737</v>
      </c>
      <c r="E313" s="1423">
        <f t="shared" ref="E313:E314" ca="1" si="430">IF(D313="n/a","n/a",MAX(0,D313-1))</f>
        <v>24.31415851135737</v>
      </c>
      <c r="F313" s="1423">
        <f t="shared" ref="F313:F315" ca="1" si="431">IF(E313="n/a","n/a",MAX(0,E313-1))</f>
        <v>23.31415851135737</v>
      </c>
      <c r="G313" s="1423">
        <f t="shared" ref="G313:G316" ca="1" si="432">IF(F313="n/a","n/a",MAX(0,F313-1))</f>
        <v>22.31415851135737</v>
      </c>
      <c r="H313" s="1423">
        <f t="shared" ref="H313:H317" ca="1" si="433">IF(G313="n/a","n/a",MAX(0,G313-1))</f>
        <v>21.31415851135737</v>
      </c>
      <c r="I313" s="1423">
        <f t="shared" ref="I313:I318" ca="1" si="434">IF(H313="n/a","n/a",MAX(0,H313-1))</f>
        <v>20.31415851135737</v>
      </c>
      <c r="J313" s="1423">
        <f t="shared" ref="J313:J319" ca="1" si="435">IF(I313="n/a","n/a",MAX(0,I313-1))</f>
        <v>19.31415851135737</v>
      </c>
      <c r="K313" s="1423">
        <f t="shared" ref="K313:K320" ca="1" si="436">IF(J313="n/a","n/a",MAX(0,J313-1))</f>
        <v>18.31415851135737</v>
      </c>
      <c r="L313" s="1423">
        <f t="shared" ref="L313:L321" ca="1" si="437">IF(K313="n/a","n/a",MAX(0,K313-1))</f>
        <v>17.31415851135737</v>
      </c>
      <c r="M313" s="1423">
        <f t="shared" ref="M313:M322" ca="1" si="438">IF(L313="n/a","n/a",MAX(0,L313-1))</f>
        <v>16.31415851135737</v>
      </c>
      <c r="N313" s="1423">
        <f t="shared" ref="N313:N323" ca="1" si="439">IF(M313="n/a","n/a",MAX(0,M313-1))</f>
        <v>15.31415851135737</v>
      </c>
      <c r="O313" s="1423">
        <f t="shared" ref="O313:O324" ca="1" si="440">IF(N313="n/a","n/a",MAX(0,N313-1))</f>
        <v>14.31415851135737</v>
      </c>
      <c r="P313" s="1423">
        <f t="shared" ref="P313:P325" ca="1" si="441">IF(O313="n/a","n/a",MAX(0,O313-1))</f>
        <v>13.31415851135737</v>
      </c>
      <c r="Q313" s="1423">
        <f t="shared" ref="Q313:Q326" ca="1" si="442">IF(P313="n/a","n/a",MAX(0,P313-1))</f>
        <v>12.31415851135737</v>
      </c>
      <c r="R313" s="1423">
        <f t="shared" ref="R313:R327" ca="1" si="443">IF(Q313="n/a","n/a",MAX(0,Q313-1))</f>
        <v>11.31415851135737</v>
      </c>
      <c r="S313" s="1423">
        <f t="shared" ref="S313:S328" ca="1" si="444">IF(R313="n/a","n/a",MAX(0,R313-1))</f>
        <v>10.31415851135737</v>
      </c>
      <c r="T313" s="1423">
        <f t="shared" ref="T313:T329" ca="1" si="445">IF(S313="n/a","n/a",MAX(0,S313-1))</f>
        <v>9.3141585113573697</v>
      </c>
      <c r="U313" s="1423">
        <f t="shared" ref="U313:U330" ca="1" si="446">IF(T313="n/a","n/a",MAX(0,T313-1))</f>
        <v>8.3141585113573697</v>
      </c>
      <c r="V313" s="1423">
        <f t="shared" ref="V313:V331" ca="1" si="447">IF(U313="n/a","n/a",MAX(0,U313-1))</f>
        <v>7.3141585113573697</v>
      </c>
      <c r="W313" s="1423">
        <f t="shared" ref="W313:W331" ca="1" si="448">IF(V313="n/a","n/a",MAX(0,V313-1))</f>
        <v>6.3141585113573697</v>
      </c>
      <c r="X313" s="152"/>
      <c r="Y313" s="152"/>
      <c r="Z313" s="152"/>
      <c r="AA313" s="152"/>
      <c r="AB313" s="152"/>
    </row>
    <row r="314" spans="1:28" hidden="1" outlineLevel="1">
      <c r="A314" s="152"/>
      <c r="B314" s="190" t="str">
        <f t="shared" ref="B314:B333" ca="1" si="449">"RL Capex "&amp;OFFSET($C$6,0,A290)</f>
        <v>RL Capex 2016-17</v>
      </c>
      <c r="C314" s="1424"/>
      <c r="D314" s="1428">
        <f>D285</f>
        <v>40</v>
      </c>
      <c r="E314" s="1423">
        <f t="shared" si="430"/>
        <v>39</v>
      </c>
      <c r="F314" s="1423">
        <f t="shared" si="431"/>
        <v>38</v>
      </c>
      <c r="G314" s="1423">
        <f t="shared" si="432"/>
        <v>37</v>
      </c>
      <c r="H314" s="1423">
        <f t="shared" si="433"/>
        <v>36</v>
      </c>
      <c r="I314" s="1423">
        <f t="shared" si="434"/>
        <v>35</v>
      </c>
      <c r="J314" s="1423">
        <f t="shared" si="435"/>
        <v>34</v>
      </c>
      <c r="K314" s="1423">
        <f t="shared" si="436"/>
        <v>33</v>
      </c>
      <c r="L314" s="1423">
        <f t="shared" si="437"/>
        <v>32</v>
      </c>
      <c r="M314" s="1423">
        <f t="shared" si="438"/>
        <v>31</v>
      </c>
      <c r="N314" s="1423">
        <f t="shared" si="439"/>
        <v>30</v>
      </c>
      <c r="O314" s="1423">
        <f t="shared" si="440"/>
        <v>29</v>
      </c>
      <c r="P314" s="1423">
        <f t="shared" si="441"/>
        <v>28</v>
      </c>
      <c r="Q314" s="1423">
        <f t="shared" si="442"/>
        <v>27</v>
      </c>
      <c r="R314" s="1423">
        <f t="shared" si="443"/>
        <v>26</v>
      </c>
      <c r="S314" s="1423">
        <f t="shared" si="444"/>
        <v>25</v>
      </c>
      <c r="T314" s="1423">
        <f t="shared" si="445"/>
        <v>24</v>
      </c>
      <c r="U314" s="1423">
        <f t="shared" si="446"/>
        <v>23</v>
      </c>
      <c r="V314" s="1423">
        <f t="shared" si="447"/>
        <v>22</v>
      </c>
      <c r="W314" s="1423">
        <f t="shared" si="448"/>
        <v>21</v>
      </c>
      <c r="X314" s="152"/>
      <c r="Y314" s="152"/>
      <c r="Z314" s="152"/>
      <c r="AA314" s="152"/>
      <c r="AB314" s="152"/>
    </row>
    <row r="315" spans="1:28" hidden="1" outlineLevel="1">
      <c r="A315" s="152"/>
      <c r="B315" s="190" t="str">
        <f t="shared" ca="1" si="449"/>
        <v>RL Capex 2017-18</v>
      </c>
      <c r="C315" s="1429"/>
      <c r="D315" s="1424"/>
      <c r="E315" s="1428">
        <f>E285</f>
        <v>40</v>
      </c>
      <c r="F315" s="1423">
        <f t="shared" si="431"/>
        <v>39</v>
      </c>
      <c r="G315" s="1423">
        <f t="shared" si="432"/>
        <v>38</v>
      </c>
      <c r="H315" s="1423">
        <f t="shared" si="433"/>
        <v>37</v>
      </c>
      <c r="I315" s="1423">
        <f t="shared" si="434"/>
        <v>36</v>
      </c>
      <c r="J315" s="1423">
        <f t="shared" si="435"/>
        <v>35</v>
      </c>
      <c r="K315" s="1423">
        <f t="shared" si="436"/>
        <v>34</v>
      </c>
      <c r="L315" s="1423">
        <f t="shared" si="437"/>
        <v>33</v>
      </c>
      <c r="M315" s="1423">
        <f t="shared" si="438"/>
        <v>32</v>
      </c>
      <c r="N315" s="1423">
        <f t="shared" si="439"/>
        <v>31</v>
      </c>
      <c r="O315" s="1423">
        <f t="shared" si="440"/>
        <v>30</v>
      </c>
      <c r="P315" s="1423">
        <f t="shared" si="441"/>
        <v>29</v>
      </c>
      <c r="Q315" s="1423">
        <f t="shared" si="442"/>
        <v>28</v>
      </c>
      <c r="R315" s="1423">
        <f t="shared" si="443"/>
        <v>27</v>
      </c>
      <c r="S315" s="1423">
        <f t="shared" si="444"/>
        <v>26</v>
      </c>
      <c r="T315" s="1423">
        <f t="shared" si="445"/>
        <v>25</v>
      </c>
      <c r="U315" s="1423">
        <f t="shared" si="446"/>
        <v>24</v>
      </c>
      <c r="V315" s="1423">
        <f t="shared" si="447"/>
        <v>23</v>
      </c>
      <c r="W315" s="1423">
        <f t="shared" si="448"/>
        <v>22</v>
      </c>
      <c r="X315" s="152"/>
      <c r="Y315" s="152"/>
      <c r="Z315" s="152"/>
      <c r="AA315" s="152"/>
      <c r="AB315" s="152"/>
    </row>
    <row r="316" spans="1:28" hidden="1" outlineLevel="1">
      <c r="A316" s="152"/>
      <c r="B316" s="190" t="str">
        <f t="shared" ca="1" si="449"/>
        <v>RL Capex 2018-19</v>
      </c>
      <c r="C316" s="1429"/>
      <c r="D316" s="1429"/>
      <c r="E316" s="1424"/>
      <c r="F316" s="1428">
        <f>F285</f>
        <v>40</v>
      </c>
      <c r="G316" s="1423">
        <f t="shared" si="432"/>
        <v>39</v>
      </c>
      <c r="H316" s="1423">
        <f t="shared" si="433"/>
        <v>38</v>
      </c>
      <c r="I316" s="1423">
        <f t="shared" si="434"/>
        <v>37</v>
      </c>
      <c r="J316" s="1423">
        <f t="shared" si="435"/>
        <v>36</v>
      </c>
      <c r="K316" s="1423">
        <f t="shared" si="436"/>
        <v>35</v>
      </c>
      <c r="L316" s="1423">
        <f t="shared" si="437"/>
        <v>34</v>
      </c>
      <c r="M316" s="1423">
        <f t="shared" si="438"/>
        <v>33</v>
      </c>
      <c r="N316" s="1423">
        <f t="shared" si="439"/>
        <v>32</v>
      </c>
      <c r="O316" s="1423">
        <f t="shared" si="440"/>
        <v>31</v>
      </c>
      <c r="P316" s="1423">
        <f t="shared" si="441"/>
        <v>30</v>
      </c>
      <c r="Q316" s="1423">
        <f t="shared" si="442"/>
        <v>29</v>
      </c>
      <c r="R316" s="1423">
        <f t="shared" si="443"/>
        <v>28</v>
      </c>
      <c r="S316" s="1423">
        <f t="shared" si="444"/>
        <v>27</v>
      </c>
      <c r="T316" s="1423">
        <f t="shared" si="445"/>
        <v>26</v>
      </c>
      <c r="U316" s="1423">
        <f t="shared" si="446"/>
        <v>25</v>
      </c>
      <c r="V316" s="1423">
        <f t="shared" si="447"/>
        <v>24</v>
      </c>
      <c r="W316" s="1423">
        <f t="shared" si="448"/>
        <v>23</v>
      </c>
      <c r="X316" s="152"/>
      <c r="Y316" s="152"/>
      <c r="Z316" s="152"/>
      <c r="AA316" s="152"/>
      <c r="AB316" s="152"/>
    </row>
    <row r="317" spans="1:28" hidden="1" outlineLevel="1">
      <c r="A317" s="152"/>
      <c r="B317" s="190" t="str">
        <f t="shared" ca="1" si="449"/>
        <v>RL Capex 2019-20</v>
      </c>
      <c r="C317" s="1429"/>
      <c r="D317" s="1429"/>
      <c r="E317" s="1429"/>
      <c r="F317" s="1424"/>
      <c r="G317" s="1428">
        <f>G285</f>
        <v>40</v>
      </c>
      <c r="H317" s="1423">
        <f t="shared" si="433"/>
        <v>39</v>
      </c>
      <c r="I317" s="1423">
        <f t="shared" si="434"/>
        <v>38</v>
      </c>
      <c r="J317" s="1423">
        <f t="shared" si="435"/>
        <v>37</v>
      </c>
      <c r="K317" s="1423">
        <f t="shared" si="436"/>
        <v>36</v>
      </c>
      <c r="L317" s="1423">
        <f t="shared" si="437"/>
        <v>35</v>
      </c>
      <c r="M317" s="1423">
        <f t="shared" si="438"/>
        <v>34</v>
      </c>
      <c r="N317" s="1423">
        <f t="shared" si="439"/>
        <v>33</v>
      </c>
      <c r="O317" s="1423">
        <f t="shared" si="440"/>
        <v>32</v>
      </c>
      <c r="P317" s="1423">
        <f t="shared" si="441"/>
        <v>31</v>
      </c>
      <c r="Q317" s="1423">
        <f t="shared" si="442"/>
        <v>30</v>
      </c>
      <c r="R317" s="1423">
        <f t="shared" si="443"/>
        <v>29</v>
      </c>
      <c r="S317" s="1423">
        <f t="shared" si="444"/>
        <v>28</v>
      </c>
      <c r="T317" s="1423">
        <f t="shared" si="445"/>
        <v>27</v>
      </c>
      <c r="U317" s="1423">
        <f t="shared" si="446"/>
        <v>26</v>
      </c>
      <c r="V317" s="1423">
        <f t="shared" si="447"/>
        <v>25</v>
      </c>
      <c r="W317" s="1423">
        <f t="shared" si="448"/>
        <v>24</v>
      </c>
      <c r="X317" s="152"/>
      <c r="Y317" s="152"/>
      <c r="Z317" s="152"/>
      <c r="AA317" s="152"/>
      <c r="AB317" s="152"/>
    </row>
    <row r="318" spans="1:28" hidden="1" outlineLevel="1">
      <c r="A318" s="152"/>
      <c r="B318" s="190" t="str">
        <f t="shared" ca="1" si="449"/>
        <v>RL Capex 2020-21</v>
      </c>
      <c r="C318" s="1429"/>
      <c r="D318" s="1429"/>
      <c r="E318" s="1429"/>
      <c r="F318" s="1429"/>
      <c r="G318" s="1424"/>
      <c r="H318" s="1428">
        <f>H285</f>
        <v>40</v>
      </c>
      <c r="I318" s="1423">
        <f t="shared" si="434"/>
        <v>39</v>
      </c>
      <c r="J318" s="1423">
        <f t="shared" si="435"/>
        <v>38</v>
      </c>
      <c r="K318" s="1423">
        <f t="shared" si="436"/>
        <v>37</v>
      </c>
      <c r="L318" s="1423">
        <f t="shared" si="437"/>
        <v>36</v>
      </c>
      <c r="M318" s="1423">
        <f t="shared" si="438"/>
        <v>35</v>
      </c>
      <c r="N318" s="1423">
        <f t="shared" si="439"/>
        <v>34</v>
      </c>
      <c r="O318" s="1423">
        <f t="shared" si="440"/>
        <v>33</v>
      </c>
      <c r="P318" s="1423">
        <f t="shared" si="441"/>
        <v>32</v>
      </c>
      <c r="Q318" s="1423">
        <f t="shared" si="442"/>
        <v>31</v>
      </c>
      <c r="R318" s="1423">
        <f t="shared" si="443"/>
        <v>30</v>
      </c>
      <c r="S318" s="1423">
        <f t="shared" si="444"/>
        <v>29</v>
      </c>
      <c r="T318" s="1423">
        <f t="shared" si="445"/>
        <v>28</v>
      </c>
      <c r="U318" s="1423">
        <f t="shared" si="446"/>
        <v>27</v>
      </c>
      <c r="V318" s="1423">
        <f t="shared" si="447"/>
        <v>26</v>
      </c>
      <c r="W318" s="1423">
        <f t="shared" si="448"/>
        <v>25</v>
      </c>
      <c r="X318" s="152"/>
      <c r="Y318" s="152"/>
      <c r="Z318" s="152"/>
      <c r="AA318" s="152"/>
      <c r="AB318" s="152"/>
    </row>
    <row r="319" spans="1:28" hidden="1" outlineLevel="1">
      <c r="A319" s="152"/>
      <c r="B319" s="190" t="str">
        <f t="shared" ca="1" si="449"/>
        <v>RL Capex 2021-22</v>
      </c>
      <c r="C319" s="1429"/>
      <c r="D319" s="1429"/>
      <c r="E319" s="1429"/>
      <c r="F319" s="1429"/>
      <c r="G319" s="1429"/>
      <c r="H319" s="1424"/>
      <c r="I319" s="1428">
        <f>I285</f>
        <v>40</v>
      </c>
      <c r="J319" s="1423">
        <f t="shared" si="435"/>
        <v>39</v>
      </c>
      <c r="K319" s="1423">
        <f t="shared" si="436"/>
        <v>38</v>
      </c>
      <c r="L319" s="1423">
        <f t="shared" si="437"/>
        <v>37</v>
      </c>
      <c r="M319" s="1423">
        <f t="shared" si="438"/>
        <v>36</v>
      </c>
      <c r="N319" s="1423">
        <f t="shared" si="439"/>
        <v>35</v>
      </c>
      <c r="O319" s="1423">
        <f t="shared" si="440"/>
        <v>34</v>
      </c>
      <c r="P319" s="1423">
        <f t="shared" si="441"/>
        <v>33</v>
      </c>
      <c r="Q319" s="1423">
        <f t="shared" si="442"/>
        <v>32</v>
      </c>
      <c r="R319" s="1423">
        <f t="shared" si="443"/>
        <v>31</v>
      </c>
      <c r="S319" s="1423">
        <f t="shared" si="444"/>
        <v>30</v>
      </c>
      <c r="T319" s="1423">
        <f t="shared" si="445"/>
        <v>29</v>
      </c>
      <c r="U319" s="1423">
        <f t="shared" si="446"/>
        <v>28</v>
      </c>
      <c r="V319" s="1423">
        <f t="shared" si="447"/>
        <v>27</v>
      </c>
      <c r="W319" s="1423">
        <f t="shared" si="448"/>
        <v>26</v>
      </c>
      <c r="X319" s="152"/>
      <c r="Y319" s="152"/>
      <c r="Z319" s="152"/>
      <c r="AA319" s="152"/>
      <c r="AB319" s="152"/>
    </row>
    <row r="320" spans="1:28" hidden="1" outlineLevel="1">
      <c r="A320" s="152"/>
      <c r="B320" s="190" t="str">
        <f t="shared" ca="1" si="449"/>
        <v>RL Capex 2022-23</v>
      </c>
      <c r="C320" s="1429"/>
      <c r="D320" s="1429"/>
      <c r="E320" s="1429"/>
      <c r="F320" s="1429"/>
      <c r="G320" s="1429"/>
      <c r="H320" s="1429"/>
      <c r="I320" s="1424"/>
      <c r="J320" s="1428">
        <f>J285</f>
        <v>40</v>
      </c>
      <c r="K320" s="1423">
        <f t="shared" si="436"/>
        <v>39</v>
      </c>
      <c r="L320" s="1423">
        <f t="shared" si="437"/>
        <v>38</v>
      </c>
      <c r="M320" s="1423">
        <f t="shared" si="438"/>
        <v>37</v>
      </c>
      <c r="N320" s="1423">
        <f t="shared" si="439"/>
        <v>36</v>
      </c>
      <c r="O320" s="1423">
        <f t="shared" si="440"/>
        <v>35</v>
      </c>
      <c r="P320" s="1423">
        <f t="shared" si="441"/>
        <v>34</v>
      </c>
      <c r="Q320" s="1423">
        <f t="shared" si="442"/>
        <v>33</v>
      </c>
      <c r="R320" s="1423">
        <f t="shared" si="443"/>
        <v>32</v>
      </c>
      <c r="S320" s="1423">
        <f t="shared" si="444"/>
        <v>31</v>
      </c>
      <c r="T320" s="1423">
        <f t="shared" si="445"/>
        <v>30</v>
      </c>
      <c r="U320" s="1423">
        <f t="shared" si="446"/>
        <v>29</v>
      </c>
      <c r="V320" s="1423">
        <f t="shared" si="447"/>
        <v>28</v>
      </c>
      <c r="W320" s="1423">
        <f t="shared" si="448"/>
        <v>27</v>
      </c>
      <c r="X320" s="152"/>
      <c r="Y320" s="152"/>
      <c r="Z320" s="152"/>
      <c r="AA320" s="152"/>
      <c r="AB320" s="152"/>
    </row>
    <row r="321" spans="1:28" hidden="1" outlineLevel="1">
      <c r="A321" s="152"/>
      <c r="B321" s="190" t="str">
        <f t="shared" ca="1" si="449"/>
        <v>RL Capex 2023-24</v>
      </c>
      <c r="C321" s="1429"/>
      <c r="D321" s="1429"/>
      <c r="E321" s="1429"/>
      <c r="F321" s="1429"/>
      <c r="G321" s="1429"/>
      <c r="H321" s="1429"/>
      <c r="I321" s="1429"/>
      <c r="J321" s="1424"/>
      <c r="K321" s="1428">
        <f>K285</f>
        <v>40</v>
      </c>
      <c r="L321" s="1423">
        <f t="shared" si="437"/>
        <v>39</v>
      </c>
      <c r="M321" s="1423">
        <f t="shared" si="438"/>
        <v>38</v>
      </c>
      <c r="N321" s="1423">
        <f t="shared" si="439"/>
        <v>37</v>
      </c>
      <c r="O321" s="1423">
        <f t="shared" si="440"/>
        <v>36</v>
      </c>
      <c r="P321" s="1423">
        <f t="shared" si="441"/>
        <v>35</v>
      </c>
      <c r="Q321" s="1423">
        <f t="shared" si="442"/>
        <v>34</v>
      </c>
      <c r="R321" s="1423">
        <f t="shared" si="443"/>
        <v>33</v>
      </c>
      <c r="S321" s="1423">
        <f t="shared" si="444"/>
        <v>32</v>
      </c>
      <c r="T321" s="1423">
        <f t="shared" si="445"/>
        <v>31</v>
      </c>
      <c r="U321" s="1423">
        <f t="shared" si="446"/>
        <v>30</v>
      </c>
      <c r="V321" s="1423">
        <f t="shared" si="447"/>
        <v>29</v>
      </c>
      <c r="W321" s="1423">
        <f t="shared" si="448"/>
        <v>28</v>
      </c>
      <c r="X321" s="152"/>
      <c r="Y321" s="152"/>
      <c r="Z321" s="152"/>
      <c r="AA321" s="152"/>
      <c r="AB321" s="152"/>
    </row>
    <row r="322" spans="1:28" hidden="1" outlineLevel="1">
      <c r="A322" s="152"/>
      <c r="B322" s="190" t="str">
        <f t="shared" ca="1" si="449"/>
        <v>RL Capex 2024-25</v>
      </c>
      <c r="C322" s="1429"/>
      <c r="D322" s="1429"/>
      <c r="E322" s="1429"/>
      <c r="F322" s="1429"/>
      <c r="G322" s="1429"/>
      <c r="H322" s="1429"/>
      <c r="I322" s="1429"/>
      <c r="J322" s="1429"/>
      <c r="K322" s="1424"/>
      <c r="L322" s="1428">
        <f>L285</f>
        <v>40</v>
      </c>
      <c r="M322" s="1423">
        <f t="shared" si="438"/>
        <v>39</v>
      </c>
      <c r="N322" s="1423">
        <f t="shared" si="439"/>
        <v>38</v>
      </c>
      <c r="O322" s="1423">
        <f t="shared" si="440"/>
        <v>37</v>
      </c>
      <c r="P322" s="1423">
        <f t="shared" si="441"/>
        <v>36</v>
      </c>
      <c r="Q322" s="1423">
        <f t="shared" si="442"/>
        <v>35</v>
      </c>
      <c r="R322" s="1423">
        <f t="shared" si="443"/>
        <v>34</v>
      </c>
      <c r="S322" s="1423">
        <f t="shared" si="444"/>
        <v>33</v>
      </c>
      <c r="T322" s="1423">
        <f t="shared" si="445"/>
        <v>32</v>
      </c>
      <c r="U322" s="1423">
        <f t="shared" si="446"/>
        <v>31</v>
      </c>
      <c r="V322" s="1423">
        <f t="shared" si="447"/>
        <v>30</v>
      </c>
      <c r="W322" s="1423">
        <f t="shared" si="448"/>
        <v>29</v>
      </c>
      <c r="X322" s="152"/>
      <c r="Y322" s="152"/>
      <c r="Z322" s="152"/>
      <c r="AA322" s="152"/>
      <c r="AB322" s="152"/>
    </row>
    <row r="323" spans="1:28" hidden="1" outlineLevel="1">
      <c r="A323" s="152"/>
      <c r="B323" s="190" t="str">
        <f t="shared" ca="1" si="449"/>
        <v>RL Capex 2025-26</v>
      </c>
      <c r="C323" s="1429"/>
      <c r="D323" s="1429"/>
      <c r="E323" s="1429"/>
      <c r="F323" s="1429"/>
      <c r="G323" s="1429"/>
      <c r="H323" s="1429"/>
      <c r="I323" s="1429"/>
      <c r="J323" s="1429"/>
      <c r="K323" s="1429"/>
      <c r="L323" s="1424"/>
      <c r="M323" s="1428">
        <f>M285</f>
        <v>40</v>
      </c>
      <c r="N323" s="1423">
        <f t="shared" si="439"/>
        <v>39</v>
      </c>
      <c r="O323" s="1423">
        <f t="shared" si="440"/>
        <v>38</v>
      </c>
      <c r="P323" s="1423">
        <f t="shared" si="441"/>
        <v>37</v>
      </c>
      <c r="Q323" s="1423">
        <f t="shared" si="442"/>
        <v>36</v>
      </c>
      <c r="R323" s="1423">
        <f t="shared" si="443"/>
        <v>35</v>
      </c>
      <c r="S323" s="1423">
        <f t="shared" si="444"/>
        <v>34</v>
      </c>
      <c r="T323" s="1423">
        <f t="shared" si="445"/>
        <v>33</v>
      </c>
      <c r="U323" s="1423">
        <f t="shared" si="446"/>
        <v>32</v>
      </c>
      <c r="V323" s="1423">
        <f t="shared" si="447"/>
        <v>31</v>
      </c>
      <c r="W323" s="1423">
        <f t="shared" si="448"/>
        <v>30</v>
      </c>
      <c r="X323" s="152"/>
      <c r="Y323" s="152"/>
      <c r="Z323" s="152"/>
      <c r="AA323" s="152"/>
      <c r="AB323" s="152"/>
    </row>
    <row r="324" spans="1:28" hidden="1" outlineLevel="1">
      <c r="A324" s="152"/>
      <c r="B324" s="190" t="str">
        <f t="shared" ca="1" si="449"/>
        <v>RL Capex 2026-27</v>
      </c>
      <c r="C324" s="1429"/>
      <c r="D324" s="1429"/>
      <c r="E324" s="1429"/>
      <c r="F324" s="1429"/>
      <c r="G324" s="1429"/>
      <c r="H324" s="1429"/>
      <c r="I324" s="1429"/>
      <c r="J324" s="1429"/>
      <c r="K324" s="1429"/>
      <c r="L324" s="1429"/>
      <c r="M324" s="1424"/>
      <c r="N324" s="1428">
        <f>N285</f>
        <v>0</v>
      </c>
      <c r="O324" s="1423">
        <f t="shared" si="440"/>
        <v>0</v>
      </c>
      <c r="P324" s="1423">
        <f t="shared" si="441"/>
        <v>0</v>
      </c>
      <c r="Q324" s="1423">
        <f t="shared" si="442"/>
        <v>0</v>
      </c>
      <c r="R324" s="1423">
        <f t="shared" si="443"/>
        <v>0</v>
      </c>
      <c r="S324" s="1423">
        <f t="shared" si="444"/>
        <v>0</v>
      </c>
      <c r="T324" s="1423">
        <f t="shared" si="445"/>
        <v>0</v>
      </c>
      <c r="U324" s="1423">
        <f t="shared" si="446"/>
        <v>0</v>
      </c>
      <c r="V324" s="1423">
        <f t="shared" si="447"/>
        <v>0</v>
      </c>
      <c r="W324" s="1423">
        <f t="shared" si="448"/>
        <v>0</v>
      </c>
      <c r="X324" s="152"/>
      <c r="Y324" s="152"/>
      <c r="Z324" s="152"/>
      <c r="AA324" s="152"/>
      <c r="AB324" s="152"/>
    </row>
    <row r="325" spans="1:28" hidden="1" outlineLevel="1">
      <c r="A325" s="152"/>
      <c r="B325" s="190" t="str">
        <f t="shared" ca="1" si="449"/>
        <v>RL Capex 2027-28</v>
      </c>
      <c r="C325" s="1429"/>
      <c r="D325" s="1429"/>
      <c r="E325" s="1429"/>
      <c r="F325" s="1429"/>
      <c r="G325" s="1429"/>
      <c r="H325" s="1429"/>
      <c r="I325" s="1429"/>
      <c r="J325" s="1429"/>
      <c r="K325" s="1429"/>
      <c r="L325" s="1429"/>
      <c r="M325" s="1429"/>
      <c r="N325" s="1424"/>
      <c r="O325" s="1428">
        <f>O285</f>
        <v>0</v>
      </c>
      <c r="P325" s="1423">
        <f t="shared" si="441"/>
        <v>0</v>
      </c>
      <c r="Q325" s="1423">
        <f t="shared" si="442"/>
        <v>0</v>
      </c>
      <c r="R325" s="1423">
        <f t="shared" si="443"/>
        <v>0</v>
      </c>
      <c r="S325" s="1423">
        <f t="shared" si="444"/>
        <v>0</v>
      </c>
      <c r="T325" s="1423">
        <f t="shared" si="445"/>
        <v>0</v>
      </c>
      <c r="U325" s="1423">
        <f t="shared" si="446"/>
        <v>0</v>
      </c>
      <c r="V325" s="1423">
        <f t="shared" si="447"/>
        <v>0</v>
      </c>
      <c r="W325" s="1423">
        <f t="shared" si="448"/>
        <v>0</v>
      </c>
      <c r="X325" s="152"/>
      <c r="Y325" s="152"/>
      <c r="Z325" s="152"/>
      <c r="AA325" s="152"/>
      <c r="AB325" s="152"/>
    </row>
    <row r="326" spans="1:28" hidden="1" outlineLevel="1">
      <c r="A326" s="152"/>
      <c r="B326" s="190" t="str">
        <f t="shared" ca="1" si="449"/>
        <v>RL Capex 2028-29</v>
      </c>
      <c r="C326" s="1429"/>
      <c r="D326" s="1429"/>
      <c r="E326" s="1429"/>
      <c r="F326" s="1429"/>
      <c r="G326" s="1429"/>
      <c r="H326" s="1429"/>
      <c r="I326" s="1429"/>
      <c r="J326" s="1429"/>
      <c r="K326" s="1429"/>
      <c r="L326" s="1429"/>
      <c r="M326" s="1429"/>
      <c r="N326" s="1429"/>
      <c r="O326" s="1424"/>
      <c r="P326" s="1428">
        <f>P285</f>
        <v>0</v>
      </c>
      <c r="Q326" s="1423">
        <f t="shared" si="442"/>
        <v>0</v>
      </c>
      <c r="R326" s="1423">
        <f t="shared" si="443"/>
        <v>0</v>
      </c>
      <c r="S326" s="1423">
        <f t="shared" si="444"/>
        <v>0</v>
      </c>
      <c r="T326" s="1423">
        <f t="shared" si="445"/>
        <v>0</v>
      </c>
      <c r="U326" s="1423">
        <f t="shared" si="446"/>
        <v>0</v>
      </c>
      <c r="V326" s="1423">
        <f t="shared" si="447"/>
        <v>0</v>
      </c>
      <c r="W326" s="1423">
        <f t="shared" si="448"/>
        <v>0</v>
      </c>
      <c r="X326" s="152"/>
      <c r="Y326" s="152"/>
      <c r="Z326" s="152"/>
      <c r="AA326" s="152"/>
      <c r="AB326" s="152"/>
    </row>
    <row r="327" spans="1:28" hidden="1" outlineLevel="1">
      <c r="A327" s="152"/>
      <c r="B327" s="190" t="str">
        <f t="shared" ca="1" si="449"/>
        <v>RL Capex 2029-30</v>
      </c>
      <c r="C327" s="1429"/>
      <c r="D327" s="1429"/>
      <c r="E327" s="1429"/>
      <c r="F327" s="1429"/>
      <c r="G327" s="1429"/>
      <c r="H327" s="1429"/>
      <c r="I327" s="1429"/>
      <c r="J327" s="1429"/>
      <c r="K327" s="1429"/>
      <c r="L327" s="1429"/>
      <c r="M327" s="1429"/>
      <c r="N327" s="1429"/>
      <c r="O327" s="1429"/>
      <c r="P327" s="1424"/>
      <c r="Q327" s="1428">
        <f>Q285</f>
        <v>0</v>
      </c>
      <c r="R327" s="1423">
        <f t="shared" si="443"/>
        <v>0</v>
      </c>
      <c r="S327" s="1423">
        <f t="shared" si="444"/>
        <v>0</v>
      </c>
      <c r="T327" s="1423">
        <f t="shared" si="445"/>
        <v>0</v>
      </c>
      <c r="U327" s="1423">
        <f t="shared" si="446"/>
        <v>0</v>
      </c>
      <c r="V327" s="1423">
        <f t="shared" si="447"/>
        <v>0</v>
      </c>
      <c r="W327" s="1423">
        <f t="shared" si="448"/>
        <v>0</v>
      </c>
      <c r="X327" s="152"/>
      <c r="Y327" s="152"/>
      <c r="Z327" s="152"/>
      <c r="AA327" s="152"/>
      <c r="AB327" s="152"/>
    </row>
    <row r="328" spans="1:28" hidden="1" outlineLevel="1">
      <c r="A328" s="152"/>
      <c r="B328" s="190" t="str">
        <f t="shared" ca="1" si="449"/>
        <v>RL Capex 2030-31</v>
      </c>
      <c r="C328" s="1429"/>
      <c r="D328" s="1429"/>
      <c r="E328" s="1429"/>
      <c r="F328" s="1429"/>
      <c r="G328" s="1429"/>
      <c r="H328" s="1429"/>
      <c r="I328" s="1429"/>
      <c r="J328" s="1429"/>
      <c r="K328" s="1429"/>
      <c r="L328" s="1429"/>
      <c r="M328" s="1429"/>
      <c r="N328" s="1429"/>
      <c r="O328" s="1429"/>
      <c r="P328" s="1429"/>
      <c r="Q328" s="1424"/>
      <c r="R328" s="1428">
        <f>R285</f>
        <v>0</v>
      </c>
      <c r="S328" s="1423">
        <f t="shared" si="444"/>
        <v>0</v>
      </c>
      <c r="T328" s="1423">
        <f t="shared" si="445"/>
        <v>0</v>
      </c>
      <c r="U328" s="1423">
        <f t="shared" si="446"/>
        <v>0</v>
      </c>
      <c r="V328" s="1423">
        <f t="shared" si="447"/>
        <v>0</v>
      </c>
      <c r="W328" s="1423">
        <f t="shared" si="448"/>
        <v>0</v>
      </c>
      <c r="X328" s="152"/>
      <c r="Y328" s="152"/>
      <c r="Z328" s="152"/>
      <c r="AA328" s="152"/>
      <c r="AB328" s="152"/>
    </row>
    <row r="329" spans="1:28" hidden="1" outlineLevel="1">
      <c r="A329" s="152"/>
      <c r="B329" s="190" t="str">
        <f t="shared" ca="1" si="449"/>
        <v>RL Capex 2031-32</v>
      </c>
      <c r="C329" s="1429"/>
      <c r="D329" s="1429"/>
      <c r="E329" s="1429"/>
      <c r="F329" s="1429"/>
      <c r="G329" s="1429"/>
      <c r="H329" s="1429"/>
      <c r="I329" s="1429"/>
      <c r="J329" s="1429"/>
      <c r="K329" s="1429"/>
      <c r="L329" s="1429"/>
      <c r="M329" s="1429"/>
      <c r="N329" s="1429"/>
      <c r="O329" s="1429"/>
      <c r="P329" s="1429"/>
      <c r="Q329" s="1429"/>
      <c r="R329" s="1424"/>
      <c r="S329" s="1428">
        <f>S285</f>
        <v>0</v>
      </c>
      <c r="T329" s="1423">
        <f t="shared" si="445"/>
        <v>0</v>
      </c>
      <c r="U329" s="1423">
        <f t="shared" si="446"/>
        <v>0</v>
      </c>
      <c r="V329" s="1423">
        <f t="shared" si="447"/>
        <v>0</v>
      </c>
      <c r="W329" s="1423">
        <f t="shared" si="448"/>
        <v>0</v>
      </c>
      <c r="X329" s="152"/>
      <c r="Y329" s="152"/>
      <c r="Z329" s="152"/>
      <c r="AA329" s="152"/>
      <c r="AB329" s="152"/>
    </row>
    <row r="330" spans="1:28" hidden="1" outlineLevel="1">
      <c r="A330" s="152"/>
      <c r="B330" s="190" t="str">
        <f t="shared" ca="1" si="449"/>
        <v>RL Capex 2032-33</v>
      </c>
      <c r="C330" s="1429"/>
      <c r="D330" s="1429"/>
      <c r="E330" s="1429"/>
      <c r="F330" s="1429"/>
      <c r="G330" s="1429"/>
      <c r="H330" s="1429"/>
      <c r="I330" s="1429"/>
      <c r="J330" s="1429"/>
      <c r="K330" s="1429"/>
      <c r="L330" s="1429"/>
      <c r="M330" s="1429"/>
      <c r="N330" s="1429"/>
      <c r="O330" s="1429"/>
      <c r="P330" s="1429"/>
      <c r="Q330" s="1429"/>
      <c r="R330" s="1429"/>
      <c r="S330" s="1424"/>
      <c r="T330" s="1428">
        <f>T285</f>
        <v>0</v>
      </c>
      <c r="U330" s="1423">
        <f t="shared" si="446"/>
        <v>0</v>
      </c>
      <c r="V330" s="1423">
        <f t="shared" si="447"/>
        <v>0</v>
      </c>
      <c r="W330" s="1423">
        <f t="shared" si="448"/>
        <v>0</v>
      </c>
      <c r="X330" s="152"/>
      <c r="Y330" s="152"/>
      <c r="Z330" s="152"/>
      <c r="AA330" s="152"/>
      <c r="AB330" s="152"/>
    </row>
    <row r="331" spans="1:28" hidden="1" outlineLevel="1">
      <c r="A331" s="152"/>
      <c r="B331" s="190" t="str">
        <f t="shared" ca="1" si="449"/>
        <v>RL Capex 2033-34</v>
      </c>
      <c r="C331" s="1429"/>
      <c r="D331" s="1429"/>
      <c r="E331" s="1429"/>
      <c r="F331" s="1429"/>
      <c r="G331" s="1429"/>
      <c r="H331" s="1429"/>
      <c r="I331" s="1429"/>
      <c r="J331" s="1429"/>
      <c r="K331" s="1429"/>
      <c r="L331" s="1429"/>
      <c r="M331" s="1429"/>
      <c r="N331" s="1429"/>
      <c r="O331" s="1429"/>
      <c r="P331" s="1429"/>
      <c r="Q331" s="1429"/>
      <c r="R331" s="1429"/>
      <c r="S331" s="1429"/>
      <c r="T331" s="1424"/>
      <c r="U331" s="1428">
        <f>U285</f>
        <v>0</v>
      </c>
      <c r="V331" s="1423">
        <f t="shared" si="447"/>
        <v>0</v>
      </c>
      <c r="W331" s="1423">
        <f t="shared" si="448"/>
        <v>0</v>
      </c>
      <c r="X331" s="152"/>
      <c r="Y331" s="152"/>
      <c r="Z331" s="152"/>
      <c r="AA331" s="152"/>
      <c r="AB331" s="152"/>
    </row>
    <row r="332" spans="1:28" hidden="1" outlineLevel="1">
      <c r="A332" s="152"/>
      <c r="B332" s="190" t="str">
        <f t="shared" ca="1" si="449"/>
        <v>RL Capex 2034-35</v>
      </c>
      <c r="C332" s="1429"/>
      <c r="D332" s="1429"/>
      <c r="E332" s="1429"/>
      <c r="F332" s="1429"/>
      <c r="G332" s="1429"/>
      <c r="H332" s="1429"/>
      <c r="I332" s="1429"/>
      <c r="J332" s="1429"/>
      <c r="K332" s="1429"/>
      <c r="L332" s="1429"/>
      <c r="M332" s="1429"/>
      <c r="N332" s="1429"/>
      <c r="O332" s="1429"/>
      <c r="P332" s="1429"/>
      <c r="Q332" s="1429"/>
      <c r="R332" s="1429"/>
      <c r="S332" s="1429"/>
      <c r="T332" s="1429"/>
      <c r="U332" s="1424"/>
      <c r="V332" s="1428">
        <f>V285</f>
        <v>0</v>
      </c>
      <c r="W332" s="1423">
        <f>IF(V332="n/a","n/a",MAX(0,V332-1))</f>
        <v>0</v>
      </c>
      <c r="X332" s="152"/>
      <c r="Y332" s="152"/>
      <c r="Z332" s="152"/>
      <c r="AA332" s="152"/>
      <c r="AB332" s="152"/>
    </row>
    <row r="333" spans="1:28" hidden="1" outlineLevel="1">
      <c r="A333" s="152"/>
      <c r="B333" s="190" t="str">
        <f t="shared" ca="1" si="449"/>
        <v>RL Capex 2035-36</v>
      </c>
      <c r="C333" s="1429"/>
      <c r="D333" s="1429"/>
      <c r="E333" s="1429"/>
      <c r="F333" s="1429"/>
      <c r="G333" s="1429"/>
      <c r="H333" s="1429"/>
      <c r="I333" s="1429"/>
      <c r="J333" s="1429"/>
      <c r="K333" s="1429"/>
      <c r="L333" s="1429"/>
      <c r="M333" s="1429"/>
      <c r="N333" s="1429"/>
      <c r="O333" s="1429"/>
      <c r="P333" s="1429"/>
      <c r="Q333" s="1429"/>
      <c r="R333" s="1429"/>
      <c r="S333" s="1429"/>
      <c r="T333" s="1429"/>
      <c r="U333" s="1429"/>
      <c r="V333" s="1424"/>
      <c r="W333" s="1423">
        <f>W285</f>
        <v>0</v>
      </c>
      <c r="X333" s="152"/>
      <c r="Y333" s="152"/>
      <c r="Z333" s="152"/>
      <c r="AA333" s="152"/>
      <c r="AB333" s="152"/>
    </row>
    <row r="334" spans="1:28" hidden="1" outlineLevel="1">
      <c r="A334" s="152"/>
      <c r="B334" s="200"/>
      <c r="C334" s="1423"/>
      <c r="D334" s="1423"/>
      <c r="E334" s="1423"/>
      <c r="F334" s="1423"/>
      <c r="G334" s="1423"/>
      <c r="H334" s="1423"/>
      <c r="I334" s="1423"/>
      <c r="J334" s="1423"/>
      <c r="K334" s="1423"/>
      <c r="L334" s="1423"/>
      <c r="M334" s="1423"/>
      <c r="N334" s="1423"/>
      <c r="O334" s="1423"/>
      <c r="P334" s="1423"/>
      <c r="Q334" s="1423"/>
      <c r="R334" s="1423"/>
      <c r="S334" s="1423"/>
      <c r="T334" s="1423"/>
      <c r="U334" s="1423"/>
      <c r="V334" s="1423"/>
      <c r="W334" s="1423"/>
      <c r="X334" s="152"/>
      <c r="Y334" s="152"/>
      <c r="Z334" s="152"/>
      <c r="AA334" s="152"/>
      <c r="AB334" s="152"/>
    </row>
    <row r="335" spans="1:28" collapsed="1">
      <c r="A335" s="194"/>
      <c r="B335" s="204" t="s">
        <v>123</v>
      </c>
      <c r="C335" s="1430">
        <f ca="1">(IF(OR($C285&lt;&gt;"n/a",C285&lt;&gt;"n/a"),IF(SUM(C288:C310)=0,0,IF((SUMPRODUCT(C288:C310,C312:C334)/SUM(C288:C310))&lt;0,1,(SUMPRODUCT(C288:C310,C312:C334)/SUM(C288:C310)))),"n/a"))</f>
        <v>26.31415851135737</v>
      </c>
      <c r="D335" s="1430">
        <f ca="1">(IF(OR($C285&lt;&gt;"n/a",D285&lt;&gt;"n/a"),IF(SUM(D288:D310)=0,0,IF((SUMPRODUCT(D288:D310,D312:D334)/SUM(D288:D310))&lt;0,1,(SUMPRODUCT(D288:D310,D312:D334)/SUM(D288:D310)))),"n/a"))</f>
        <v>26.873654028588593</v>
      </c>
      <c r="E335" s="1430">
        <f t="shared" ref="E335:W335" ca="1" si="450">(IF(OR($C285&lt;&gt;"n/a",E285&lt;&gt;"n/a"),IF(SUM(E288:E310)=0,0,IF((SUMPRODUCT(E288:E310,E312:E334)/SUM(E288:E310))&lt;0,1,(SUMPRODUCT(E288:E310,E312:E334)/SUM(E288:E310)))),"n/a"))</f>
        <v>26.559567150468759</v>
      </c>
      <c r="F335" s="1430">
        <f t="shared" ca="1" si="450"/>
        <v>26.610239049348664</v>
      </c>
      <c r="G335" s="1430">
        <f t="shared" ca="1" si="450"/>
        <v>27.725468662343438</v>
      </c>
      <c r="H335" s="1430">
        <f t="shared" ca="1" si="450"/>
        <v>27.720771626921767</v>
      </c>
      <c r="I335" s="1430">
        <f t="shared" ca="1" si="450"/>
        <v>27.710523069169927</v>
      </c>
      <c r="J335" s="1430">
        <f t="shared" ca="1" si="450"/>
        <v>27.641539685711411</v>
      </c>
      <c r="K335" s="1430">
        <f t="shared" ca="1" si="450"/>
        <v>26.75716788899825</v>
      </c>
      <c r="L335" s="1430">
        <f t="shared" ca="1" si="450"/>
        <v>25.882903318800484</v>
      </c>
      <c r="M335" s="1430">
        <f t="shared" ca="1" si="450"/>
        <v>25.020131773082237</v>
      </c>
      <c r="N335" s="1430">
        <f t="shared" ca="1" si="450"/>
        <v>24.170504524490678</v>
      </c>
      <c r="O335" s="1430">
        <f t="shared" ca="1" si="450"/>
        <v>23.336005088624258</v>
      </c>
      <c r="P335" s="1430">
        <f t="shared" ca="1" si="450"/>
        <v>22.51903721068982</v>
      </c>
      <c r="Q335" s="1430">
        <f t="shared" ca="1" si="450"/>
        <v>21.722542377382787</v>
      </c>
      <c r="R335" s="1430">
        <f t="shared" ca="1" si="450"/>
        <v>20.950159097643063</v>
      </c>
      <c r="S335" s="1430">
        <f t="shared" ca="1" si="450"/>
        <v>20.206442363907868</v>
      </c>
      <c r="T335" s="1430">
        <f t="shared" ca="1" si="450"/>
        <v>19.497171604002428</v>
      </c>
      <c r="U335" s="1430">
        <f t="shared" ca="1" si="450"/>
        <v>18.829791750537296</v>
      </c>
      <c r="V335" s="1430">
        <f t="shared" ca="1" si="450"/>
        <v>18.214059772580484</v>
      </c>
      <c r="W335" s="1430">
        <f t="shared" ca="1" si="450"/>
        <v>17.663017730145345</v>
      </c>
      <c r="X335" s="152"/>
      <c r="Y335" s="152"/>
      <c r="Z335" s="152"/>
      <c r="AA335" s="152"/>
      <c r="AB335" s="152"/>
    </row>
    <row r="336" spans="1:28">
      <c r="A336" s="152"/>
      <c r="B336" s="152"/>
      <c r="C336" s="1423"/>
      <c r="D336" s="1423"/>
      <c r="E336" s="1423"/>
      <c r="F336" s="1423"/>
      <c r="G336" s="1423"/>
      <c r="H336" s="1423"/>
      <c r="I336" s="1423"/>
      <c r="J336" s="1423"/>
      <c r="K336" s="1423"/>
      <c r="L336" s="1423"/>
      <c r="M336" s="1423"/>
      <c r="N336" s="1423"/>
      <c r="O336" s="1423"/>
      <c r="P336" s="1423"/>
      <c r="Q336" s="1423"/>
      <c r="R336" s="1423"/>
      <c r="S336" s="1423"/>
      <c r="T336" s="1423"/>
      <c r="U336" s="1423"/>
      <c r="V336" s="1423"/>
      <c r="W336" s="1423"/>
      <c r="X336" s="152"/>
      <c r="Y336" s="152"/>
      <c r="Z336" s="152"/>
      <c r="AA336" s="152"/>
      <c r="AB336" s="152"/>
    </row>
    <row r="337" spans="1:28">
      <c r="A337" s="269" t="s">
        <v>7</v>
      </c>
      <c r="B337" s="270" t="str">
        <f>VLOOKUP($A337,'RFM input'!$E$7:$F$56,2,FALSE)</f>
        <v>Other</v>
      </c>
      <c r="C337" s="1431"/>
      <c r="D337" s="1431"/>
      <c r="E337" s="1432"/>
      <c r="F337" s="1432"/>
      <c r="G337" s="1432"/>
      <c r="H337" s="1432"/>
      <c r="I337" s="1432"/>
      <c r="J337" s="1432"/>
      <c r="K337" s="1432"/>
      <c r="L337" s="1432"/>
      <c r="M337" s="1432"/>
      <c r="N337" s="1432"/>
      <c r="O337" s="1432"/>
      <c r="P337" s="1432"/>
      <c r="Q337" s="1432"/>
      <c r="R337" s="1432"/>
      <c r="S337" s="1432"/>
      <c r="T337" s="1432"/>
      <c r="U337" s="1432"/>
      <c r="V337" s="1432"/>
      <c r="W337" s="1432"/>
      <c r="X337" s="152"/>
      <c r="Y337" s="152"/>
      <c r="Z337" s="152"/>
      <c r="AA337" s="152"/>
      <c r="AB337" s="152"/>
    </row>
    <row r="338" spans="1:28">
      <c r="A338" s="215">
        <f>VALUE(REPLACE(A337,1,12,""))</f>
        <v>7</v>
      </c>
      <c r="B338" s="193" t="s">
        <v>126</v>
      </c>
      <c r="C338" s="1416">
        <f ca="1">IF($C$8='Capital Base roll forward'!$H$4,OFFSET('Capital Base roll forward'!$H$717,'RAB remaining lives'!A338,0),"enter input")</f>
        <v>-2.144436143397346E-2</v>
      </c>
      <c r="D338" s="1417">
        <f>IF(LEFT(D$6,4)&lt;LEFT('RFM input'!$G$60,4),"enter input",IF(LEFT(D$6,4)&gt;LEFT('RFM input'!$Q$60,4),0,INDEX('RFM input'!$G$61:$Q$110,$A338,MATCH(D$6,'RFM input'!$G$60:$Q$60,0))
-INDEX('RFM input'!$G$115:$Q$164,$A338,MATCH(D$6,'RFM input'!$G$60:$Q$60,0))
-INDEX('RFM input'!$G$169:$Q$218,$A338,MATCH(D$6,'RFM input'!$G$60:$Q$60,0))))</f>
        <v>-2.8917999999999999E-2</v>
      </c>
      <c r="E338" s="1417">
        <f>IF(LEFT(E$6,4)&lt;LEFT('RFM input'!$G$60,4),"enter input",IF(LEFT(E$6,4)&gt;LEFT('RFM input'!$Q$60,4),0,INDEX('RFM input'!$G$61:$Q$110,$A338,MATCH(E$6,'RFM input'!$G$60:$Q$60,0))
-INDEX('RFM input'!$G$115:$Q$164,$A338,MATCH(E$6,'RFM input'!$G$60:$Q$60,0))
-INDEX('RFM input'!$G$169:$Q$218,$A338,MATCH(E$6,'RFM input'!$G$60:$Q$60,0))))</f>
        <v>0</v>
      </c>
      <c r="F338" s="1417">
        <f>IF(LEFT(F$6,4)&lt;LEFT('RFM input'!$G$60,4),"enter input",IF(LEFT(F$6,4)&gt;LEFT('RFM input'!$Q$60,4),0,INDEX('RFM input'!$G$61:$Q$110,$A338,MATCH(F$6,'RFM input'!$G$60:$Q$60,0))
-INDEX('RFM input'!$G$115:$Q$164,$A338,MATCH(F$6,'RFM input'!$G$60:$Q$60,0))
-INDEX('RFM input'!$G$169:$Q$218,$A338,MATCH(F$6,'RFM input'!$G$60:$Q$60,0))))</f>
        <v>0</v>
      </c>
      <c r="G338" s="1417">
        <f>IF(LEFT(G$6,4)&lt;LEFT('RFM input'!$G$60,4),"enter input",IF(LEFT(G$6,4)&gt;LEFT('RFM input'!$Q$60,4),0,INDEX('RFM input'!$G$61:$Q$110,$A338,MATCH(G$6,'RFM input'!$G$60:$Q$60,0))
-INDEX('RFM input'!$G$115:$Q$164,$A338,MATCH(G$6,'RFM input'!$G$60:$Q$60,0))
-INDEX('RFM input'!$G$169:$Q$218,$A338,MATCH(G$6,'RFM input'!$G$60:$Q$60,0))))</f>
        <v>0</v>
      </c>
      <c r="H338" s="1417">
        <f>IF(LEFT(H$6,4)&lt;LEFT('RFM input'!$G$60,4),"enter input",IF(LEFT(H$6,4)&gt;LEFT('RFM input'!$Q$60,4),0,INDEX('RFM input'!$G$61:$Q$110,$A338,MATCH(H$6,'RFM input'!$G$60:$Q$60,0))
-INDEX('RFM input'!$G$115:$Q$164,$A338,MATCH(H$6,'RFM input'!$G$60:$Q$60,0))
-INDEX('RFM input'!$G$169:$Q$218,$A338,MATCH(H$6,'RFM input'!$G$60:$Q$60,0))))</f>
        <v>0</v>
      </c>
      <c r="I338" s="1417">
        <f>IF(LEFT(I$6,4)&lt;LEFT('RFM input'!$G$60,4),"enter input",IF(LEFT(I$6,4)&gt;LEFT('RFM input'!$Q$60,4),0,INDEX('RFM input'!$G$61:$Q$110,$A338,MATCH(I$6,'RFM input'!$G$60:$Q$60,0))
-INDEX('RFM input'!$G$115:$Q$164,$A338,MATCH(I$6,'RFM input'!$G$60:$Q$60,0))
-INDEX('RFM input'!$G$169:$Q$218,$A338,MATCH(I$6,'RFM input'!$G$60:$Q$60,0))))</f>
        <v>0</v>
      </c>
      <c r="J338" s="1417">
        <f>IF(LEFT(J$6,4)&lt;LEFT('RFM input'!$G$60,4),"enter input",IF(LEFT(J$6,4)&gt;LEFT('RFM input'!$Q$60,4),0,INDEX('RFM input'!$G$61:$Q$110,$A338,MATCH(J$6,'RFM input'!$G$60:$Q$60,0))
-INDEX('RFM input'!$G$115:$Q$164,$A338,MATCH(J$6,'RFM input'!$G$60:$Q$60,0))
-INDEX('RFM input'!$G$169:$Q$218,$A338,MATCH(J$6,'RFM input'!$G$60:$Q$60,0))))</f>
        <v>0</v>
      </c>
      <c r="K338" s="1417">
        <f>IF(LEFT(K$6,4)&lt;LEFT('RFM input'!$G$60,4),"enter input",IF(LEFT(K$6,4)&gt;LEFT('RFM input'!$Q$60,4),0,INDEX('RFM input'!$G$61:$Q$110,$A338,MATCH(K$6,'RFM input'!$G$60:$Q$60,0))
-INDEX('RFM input'!$G$115:$Q$164,$A338,MATCH(K$6,'RFM input'!$G$60:$Q$60,0))
-INDEX('RFM input'!$G$169:$Q$218,$A338,MATCH(K$6,'RFM input'!$G$60:$Q$60,0))))</f>
        <v>0</v>
      </c>
      <c r="L338" s="1417">
        <f>IF(LEFT(L$6,4)&lt;LEFT('RFM input'!$G$60,4),"enter input",IF(LEFT(L$6,4)&gt;LEFT('RFM input'!$Q$60,4),0,INDEX('RFM input'!$G$61:$Q$110,$A338,MATCH(L$6,'RFM input'!$G$60:$Q$60,0))
-INDEX('RFM input'!$G$115:$Q$164,$A338,MATCH(L$6,'RFM input'!$G$60:$Q$60,0))
-INDEX('RFM input'!$G$169:$Q$218,$A338,MATCH(L$6,'RFM input'!$G$60:$Q$60,0))))</f>
        <v>0</v>
      </c>
      <c r="M338" s="1417">
        <f>IF(LEFT(M$6,4)&lt;LEFT('RFM input'!$G$60,4),"enter input",IF(LEFT(M$6,4)&gt;LEFT('RFM input'!$Q$60,4),0,INDEX('RFM input'!$G$61:$Q$110,$A338,MATCH(M$6,'RFM input'!$G$60:$Q$60,0))
-INDEX('RFM input'!$G$115:$Q$164,$A338,MATCH(M$6,'RFM input'!$G$60:$Q$60,0))
-INDEX('RFM input'!$G$169:$Q$218,$A338,MATCH(M$6,'RFM input'!$G$60:$Q$60,0))))</f>
        <v>0</v>
      </c>
      <c r="N338" s="1417">
        <f>IF(LEFT(N$6,4)&lt;LEFT('RFM input'!$G$60,4),"enter input",IF(LEFT(N$6,4)&gt;LEFT('RFM input'!$Q$60,4),0,INDEX('RFM input'!$G$61:$Q$110,$A338,MATCH(N$6,'RFM input'!$G$60:$Q$60,0))
-INDEX('RFM input'!$G$115:$Q$164,$A338,MATCH(N$6,'RFM input'!$G$60:$Q$60,0))
-INDEX('RFM input'!$G$169:$Q$218,$A338,MATCH(N$6,'RFM input'!$G$60:$Q$60,0))))</f>
        <v>0</v>
      </c>
      <c r="O338" s="1417">
        <f>IF(LEFT(O$6,4)&lt;LEFT('RFM input'!$G$60,4),"enter input",IF(LEFT(O$6,4)&gt;LEFT('RFM input'!$Q$60,4),0,INDEX('RFM input'!$G$61:$Q$110,$A338,MATCH(O$6,'RFM input'!$G$60:$Q$60,0))
-INDEX('RFM input'!$G$115:$Q$164,$A338,MATCH(O$6,'RFM input'!$G$60:$Q$60,0))
-INDEX('RFM input'!$G$169:$Q$218,$A338,MATCH(O$6,'RFM input'!$G$60:$Q$60,0))))</f>
        <v>0</v>
      </c>
      <c r="P338" s="1417">
        <f>IF(LEFT(P$6,4)&lt;LEFT('RFM input'!$G$60,4),"enter input",IF(LEFT(P$6,4)&gt;LEFT('RFM input'!$Q$60,4),0,INDEX('RFM input'!$G$61:$Q$110,$A338,MATCH(P$6,'RFM input'!$G$60:$Q$60,0))
-INDEX('RFM input'!$G$115:$Q$164,$A338,MATCH(P$6,'RFM input'!$G$60:$Q$60,0))
-INDEX('RFM input'!$G$169:$Q$218,$A338,MATCH(P$6,'RFM input'!$G$60:$Q$60,0))))</f>
        <v>0</v>
      </c>
      <c r="Q338" s="1417">
        <f>IF(LEFT(Q$6,4)&lt;LEFT('RFM input'!$G$60,4),"enter input",IF(LEFT(Q$6,4)&gt;LEFT('RFM input'!$Q$60,4),0,INDEX('RFM input'!$G$61:$Q$110,$A338,MATCH(Q$6,'RFM input'!$G$60:$Q$60,0))
-INDEX('RFM input'!$G$115:$Q$164,$A338,MATCH(Q$6,'RFM input'!$G$60:$Q$60,0))
-INDEX('RFM input'!$G$169:$Q$218,$A338,MATCH(Q$6,'RFM input'!$G$60:$Q$60,0))))</f>
        <v>0</v>
      </c>
      <c r="R338" s="1417">
        <f>IF(LEFT(R$6,4)&lt;LEFT('RFM input'!$G$60,4),"enter input",IF(LEFT(R$6,4)&gt;LEFT('RFM input'!$Q$60,4),0,INDEX('RFM input'!$G$61:$Q$110,$A338,MATCH(R$6,'RFM input'!$G$60:$Q$60,0))
-INDEX('RFM input'!$G$115:$Q$164,$A338,MATCH(R$6,'RFM input'!$G$60:$Q$60,0))
-INDEX('RFM input'!$G$169:$Q$218,$A338,MATCH(R$6,'RFM input'!$G$60:$Q$60,0))))</f>
        <v>0</v>
      </c>
      <c r="S338" s="1417">
        <f>IF(LEFT(S$6,4)&lt;LEFT('RFM input'!$G$60,4),"enter input",IF(LEFT(S$6,4)&gt;LEFT('RFM input'!$Q$60,4),0,INDEX('RFM input'!$G$61:$Q$110,$A338,MATCH(S$6,'RFM input'!$G$60:$Q$60,0))
-INDEX('RFM input'!$G$115:$Q$164,$A338,MATCH(S$6,'RFM input'!$G$60:$Q$60,0))
-INDEX('RFM input'!$G$169:$Q$218,$A338,MATCH(S$6,'RFM input'!$G$60:$Q$60,0))))</f>
        <v>0</v>
      </c>
      <c r="T338" s="1417">
        <f>IF(LEFT(T$6,4)&lt;LEFT('RFM input'!$G$60,4),"enter input",IF(LEFT(T$6,4)&gt;LEFT('RFM input'!$Q$60,4),0,INDEX('RFM input'!$G$61:$Q$110,$A338,MATCH(T$6,'RFM input'!$G$60:$Q$60,0))
-INDEX('RFM input'!$G$115:$Q$164,$A338,MATCH(T$6,'RFM input'!$G$60:$Q$60,0))
-INDEX('RFM input'!$G$169:$Q$218,$A338,MATCH(T$6,'RFM input'!$G$60:$Q$60,0))))</f>
        <v>0</v>
      </c>
      <c r="U338" s="1417">
        <f>IF(LEFT(U$6,4)&lt;LEFT('RFM input'!$G$60,4),"enter input",IF(LEFT(U$6,4)&gt;LEFT('RFM input'!$Q$60,4),0,INDEX('RFM input'!$G$61:$Q$110,$A338,MATCH(U$6,'RFM input'!$G$60:$Q$60,0))
-INDEX('RFM input'!$G$115:$Q$164,$A338,MATCH(U$6,'RFM input'!$G$60:$Q$60,0))
-INDEX('RFM input'!$G$169:$Q$218,$A338,MATCH(U$6,'RFM input'!$G$60:$Q$60,0))))</f>
        <v>0</v>
      </c>
      <c r="V338" s="1417">
        <f>IF(LEFT(V$6,4)&lt;LEFT('RFM input'!$G$60,4),"enter input",IF(LEFT(V$6,4)&gt;LEFT('RFM input'!$Q$60,4),0,INDEX('RFM input'!$G$61:$Q$110,$A338,MATCH(V$6,'RFM input'!$G$60:$Q$60,0))
-INDEX('RFM input'!$G$115:$Q$164,$A338,MATCH(V$6,'RFM input'!$G$60:$Q$60,0))
-INDEX('RFM input'!$G$169:$Q$218,$A338,MATCH(V$6,'RFM input'!$G$60:$Q$60,0))))</f>
        <v>0</v>
      </c>
      <c r="W338" s="1417">
        <f>IF(LEFT(W$6,4)&lt;LEFT('RFM input'!$G$60,4),"enter input",IF(LEFT(W$6,4)&gt;LEFT('RFM input'!$Q$60,4),0,INDEX('RFM input'!$G$61:$Q$110,$A338,MATCH(W$6,'RFM input'!$G$60:$Q$60,0))
-INDEX('RFM input'!$G$115:$Q$164,$A338,MATCH(W$6,'RFM input'!$G$60:$Q$60,0))
-INDEX('RFM input'!$G$169:$Q$218,$A338,MATCH(W$6,'RFM input'!$G$60:$Q$60,0))))</f>
        <v>0</v>
      </c>
      <c r="X338" s="152"/>
      <c r="Y338" s="152"/>
      <c r="Z338" s="152"/>
      <c r="AA338" s="152"/>
      <c r="AB338" s="152"/>
    </row>
    <row r="339" spans="1:28">
      <c r="A339" s="152"/>
      <c r="B339" s="152" t="s">
        <v>204</v>
      </c>
      <c r="C339" s="1418" t="str">
        <f ca="1">IF($C$8='Capital Base roll forward'!$H$4,OFFSET('RFM input'!$J$6,'RAB remaining lives'!A338,0),"enter input")</f>
        <v>n/a</v>
      </c>
      <c r="D339" s="1417">
        <f>IF(LEFT(D$6,4)&lt;=LEFT('RFM input'!$G$60,4),"enter input",IF(LEFT(D$6,4)&gt;LEFT('RFM input'!$Q$60,4),0,IF(MATCH(D$6,'RFM input'!$H$60:$Q$60,0),INDEX('RFM input'!$K$7:$K$56,$A338,1))))</f>
        <v>10</v>
      </c>
      <c r="E339" s="1417">
        <f>IF(LEFT(E$6,4)&lt;=LEFT('RFM input'!$G$60,4),"enter input",IF(LEFT(E$6,4)&gt;LEFT('RFM input'!$Q$60,4),0,IF(MATCH(E$6,'RFM input'!$H$60:$Q$60,0),INDEX('RFM input'!$K$7:$K$56,$A338,1))))</f>
        <v>10</v>
      </c>
      <c r="F339" s="1417">
        <f>IF(LEFT(F$6,4)&lt;=LEFT('RFM input'!$G$60,4),"enter input",IF(LEFT(F$6,4)&gt;LEFT('RFM input'!$Q$60,4),0,IF(MATCH(F$6,'RFM input'!$H$60:$Q$60,0),INDEX('RFM input'!$K$7:$K$56,$A338,1))))</f>
        <v>10</v>
      </c>
      <c r="G339" s="1417">
        <f>IF(LEFT(G$6,4)&lt;=LEFT('RFM input'!$G$60,4),"enter input",IF(LEFT(G$6,4)&gt;LEFT('RFM input'!$Q$60,4),0,IF(MATCH(G$6,'RFM input'!$H$60:$Q$60,0),INDEX('RFM input'!$K$7:$K$56,$A338,1))))</f>
        <v>10</v>
      </c>
      <c r="H339" s="1417">
        <f>IF(LEFT(H$6,4)&lt;=LEFT('RFM input'!$G$60,4),"enter input",IF(LEFT(H$6,4)&gt;LEFT('RFM input'!$Q$60,4),0,IF(MATCH(H$6,'RFM input'!$H$60:$Q$60,0),INDEX('RFM input'!$K$7:$K$56,$A338,1))))</f>
        <v>10</v>
      </c>
      <c r="I339" s="1417">
        <f>IF(LEFT(I$6,4)&lt;=LEFT('RFM input'!$G$60,4),"enter input",IF(LEFT(I$6,4)&gt;LEFT('RFM input'!$Q$60,4),0,IF(MATCH(I$6,'RFM input'!$H$60:$Q$60,0),INDEX('RFM input'!$K$7:$K$56,$A338,1))))</f>
        <v>10</v>
      </c>
      <c r="J339" s="1417">
        <f>IF(LEFT(J$6,4)&lt;=LEFT('RFM input'!$G$60,4),"enter input",IF(LEFT(J$6,4)&gt;LEFT('RFM input'!$Q$60,4),0,IF(MATCH(J$6,'RFM input'!$H$60:$Q$60,0),INDEX('RFM input'!$K$7:$K$56,$A338,1))))</f>
        <v>10</v>
      </c>
      <c r="K339" s="1417">
        <f>IF(LEFT(K$6,4)&lt;=LEFT('RFM input'!$G$60,4),"enter input",IF(LEFT(K$6,4)&gt;LEFT('RFM input'!$Q$60,4),0,IF(MATCH(K$6,'RFM input'!$H$60:$Q$60,0),INDEX('RFM input'!$K$7:$K$56,$A338,1))))</f>
        <v>10</v>
      </c>
      <c r="L339" s="1417">
        <f>IF(LEFT(L$6,4)&lt;=LEFT('RFM input'!$G$60,4),"enter input",IF(LEFT(L$6,4)&gt;LEFT('RFM input'!$Q$60,4),0,IF(MATCH(L$6,'RFM input'!$H$60:$Q$60,0),INDEX('RFM input'!$K$7:$K$56,$A338,1))))</f>
        <v>10</v>
      </c>
      <c r="M339" s="1417">
        <f>IF(LEFT(M$6,4)&lt;=LEFT('RFM input'!$G$60,4),"enter input",IF(LEFT(M$6,4)&gt;LEFT('RFM input'!$Q$60,4),0,IF(MATCH(M$6,'RFM input'!$H$60:$Q$60,0),INDEX('RFM input'!$K$7:$K$56,$A338,1))))</f>
        <v>10</v>
      </c>
      <c r="N339" s="1417">
        <f>IF(LEFT(N$6,4)&lt;=LEFT('RFM input'!$G$60,4),"enter input",IF(LEFT(N$6,4)&gt;LEFT('RFM input'!$Q$60,4),0,IF(MATCH(N$6,'RFM input'!$H$60:$Q$60,0),INDEX('RFM input'!$K$7:$K$56,$A338,1))))</f>
        <v>0</v>
      </c>
      <c r="O339" s="1417">
        <f>IF(LEFT(O$6,4)&lt;=LEFT('RFM input'!$G$60,4),"enter input",IF(LEFT(O$6,4)&gt;LEFT('RFM input'!$Q$60,4),0,IF(MATCH(O$6,'RFM input'!$H$60:$Q$60,0),INDEX('RFM input'!$K$7:$K$56,$A338,1))))</f>
        <v>0</v>
      </c>
      <c r="P339" s="1417">
        <f>IF(LEFT(P$6,4)&lt;=LEFT('RFM input'!$G$60,4),"enter input",IF(LEFT(P$6,4)&gt;LEFT('RFM input'!$Q$60,4),0,IF(MATCH(P$6,'RFM input'!$H$60:$Q$60,0),INDEX('RFM input'!$K$7:$K$56,$A338,1))))</f>
        <v>0</v>
      </c>
      <c r="Q339" s="1417">
        <f>IF(LEFT(Q$6,4)&lt;=LEFT('RFM input'!$G$60,4),"enter input",IF(LEFT(Q$6,4)&gt;LEFT('RFM input'!$Q$60,4),0,IF(MATCH(Q$6,'RFM input'!$H$60:$Q$60,0),INDEX('RFM input'!$K$7:$K$56,$A338,1))))</f>
        <v>0</v>
      </c>
      <c r="R339" s="1417">
        <f>IF(LEFT(R$6,4)&lt;=LEFT('RFM input'!$G$60,4),"enter input",IF(LEFT(R$6,4)&gt;LEFT('RFM input'!$Q$60,4),0,IF(MATCH(R$6,'RFM input'!$H$60:$Q$60,0),INDEX('RFM input'!$K$7:$K$56,$A338,1))))</f>
        <v>0</v>
      </c>
      <c r="S339" s="1417">
        <f>IF(LEFT(S$6,4)&lt;=LEFT('RFM input'!$G$60,4),"enter input",IF(LEFT(S$6,4)&gt;LEFT('RFM input'!$Q$60,4),0,IF(MATCH(S$6,'RFM input'!$H$60:$Q$60,0),INDEX('RFM input'!$K$7:$K$56,$A338,1))))</f>
        <v>0</v>
      </c>
      <c r="T339" s="1417">
        <f>IF(LEFT(T$6,4)&lt;=LEFT('RFM input'!$G$60,4),"enter input",IF(LEFT(T$6,4)&gt;LEFT('RFM input'!$Q$60,4),0,IF(MATCH(T$6,'RFM input'!$H$60:$Q$60,0),INDEX('RFM input'!$K$7:$K$56,$A338,1))))</f>
        <v>0</v>
      </c>
      <c r="U339" s="1417">
        <f>IF(LEFT(U$6,4)&lt;=LEFT('RFM input'!$G$60,4),"enter input",IF(LEFT(U$6,4)&gt;LEFT('RFM input'!$Q$60,4),0,IF(MATCH(U$6,'RFM input'!$H$60:$Q$60,0),INDEX('RFM input'!$K$7:$K$56,$A338,1))))</f>
        <v>0</v>
      </c>
      <c r="V339" s="1417">
        <f>IF(LEFT(V$6,4)&lt;=LEFT('RFM input'!$G$60,4),"enter input",IF(LEFT(V$6,4)&gt;LEFT('RFM input'!$Q$60,4),0,IF(MATCH(V$6,'RFM input'!$H$60:$Q$60,0),INDEX('RFM input'!$K$7:$K$56,$A338,1))))</f>
        <v>0</v>
      </c>
      <c r="W339" s="1417">
        <f>IF(LEFT(W$6,4)&lt;=LEFT('RFM input'!$G$60,4),"enter input",IF(LEFT(W$6,4)&gt;LEFT('RFM input'!$Q$60,4),0,IF(MATCH(W$6,'RFM input'!$H$60:$Q$60,0),INDEX('RFM input'!$K$7:$K$56,$A338,1))))</f>
        <v>0</v>
      </c>
      <c r="X339" s="152"/>
      <c r="Y339" s="152"/>
      <c r="Z339" s="152"/>
      <c r="AA339" s="152"/>
      <c r="AB339" s="152"/>
    </row>
    <row r="340" spans="1:28">
      <c r="A340" s="152"/>
      <c r="B340" s="177" t="s">
        <v>191</v>
      </c>
      <c r="C340" s="1419"/>
      <c r="D340" s="1420">
        <f ca="1">IF(LEFT(D$6,4)&lt;=LEFT('RFM input'!$G$60,4),"enter input",IF(LEFT(D$6,4)&gt;LEFT('RFM input'!$Q$60,4),0,IF(D$6=(OFFSET('RFM input'!$G$60,0,'RFM input'!$V$7)),OFFSET('RFM input'!$G$411,$A338,0),0)))</f>
        <v>0</v>
      </c>
      <c r="E340" s="1417">
        <f ca="1">IF(LEFT(E$6,4)&lt;=LEFT('RFM input'!$G$60,4),"enter input",IF(LEFT(E$6,4)&gt;LEFT('RFM input'!$Q$60,4),0,IF(E$6=(OFFSET('RFM input'!$G$60,0,'RFM input'!$V$7)),OFFSET('RFM input'!$G$411,$A338,0),0)))</f>
        <v>0</v>
      </c>
      <c r="F340" s="1417">
        <f ca="1">IF(LEFT(F$6,4)&lt;=LEFT('RFM input'!$G$60,4),"enter input",IF(LEFT(F$6,4)&gt;LEFT('RFM input'!$Q$60,4),0,IF(F$6=(OFFSET('RFM input'!$G$60,0,'RFM input'!$V$7)),OFFSET('RFM input'!$G$411,$A338,0),0)))</f>
        <v>0</v>
      </c>
      <c r="G340" s="1417">
        <f ca="1">IF(LEFT(G$6,4)&lt;=LEFT('RFM input'!$G$60,4),"enter input",IF(LEFT(G$6,4)&gt;LEFT('RFM input'!$Q$60,4),0,IF(G$6=(OFFSET('RFM input'!$G$60,0,'RFM input'!$V$7)),OFFSET('RFM input'!$G$411,$A338,0),0)))</f>
        <v>0</v>
      </c>
      <c r="H340" s="1417">
        <f ca="1">IF(LEFT(H$6,4)&lt;=LEFT('RFM input'!$G$60,4),"enter input",IF(LEFT(H$6,4)&gt;LEFT('RFM input'!$Q$60,4),0,IF(H$6=(OFFSET('RFM input'!$G$60,0,'RFM input'!$V$7)),OFFSET('RFM input'!$G$411,$A338,0),0)))</f>
        <v>0</v>
      </c>
      <c r="I340" s="1417">
        <f ca="1">IF(LEFT(I$6,4)&lt;=LEFT('RFM input'!$G$60,4),"enter input",IF(LEFT(I$6,4)&gt;LEFT('RFM input'!$Q$60,4),0,IF(I$6=(OFFSET('RFM input'!$G$60,0,'RFM input'!$V$7)),OFFSET('RFM input'!$G$411,$A338,0),0)))</f>
        <v>0</v>
      </c>
      <c r="J340" s="1417">
        <f ca="1">IF(LEFT(J$6,4)&lt;=LEFT('RFM input'!$G$60,4),"enter input",IF(LEFT(J$6,4)&gt;LEFT('RFM input'!$Q$60,4),0,IF(J$6=(OFFSET('RFM input'!$G$60,0,'RFM input'!$V$7)),OFFSET('RFM input'!$G$411,$A338,0),0)))</f>
        <v>0</v>
      </c>
      <c r="K340" s="1417">
        <f ca="1">IF(LEFT(K$6,4)&lt;=LEFT('RFM input'!$G$60,4),"enter input",IF(LEFT(K$6,4)&gt;LEFT('RFM input'!$Q$60,4),0,IF(K$6=(OFFSET('RFM input'!$G$60,0,'RFM input'!$V$7)),OFFSET('RFM input'!$G$411,$A338,0),0)))</f>
        <v>0</v>
      </c>
      <c r="L340" s="1417">
        <f ca="1">IF(LEFT(L$6,4)&lt;=LEFT('RFM input'!$G$60,4),"enter input",IF(LEFT(L$6,4)&gt;LEFT('RFM input'!$Q$60,4),0,IF(L$6=(OFFSET('RFM input'!$G$60,0,'RFM input'!$V$7)),OFFSET('RFM input'!$G$411,$A338,0),0)))</f>
        <v>0</v>
      </c>
      <c r="M340" s="1417">
        <f ca="1">IF(LEFT(M$6,4)&lt;=LEFT('RFM input'!$G$60,4),"enter input",IF(LEFT(M$6,4)&gt;LEFT('RFM input'!$Q$60,4),0,IF(M$6=(OFFSET('RFM input'!$G$60,0,'RFM input'!$V$7)),OFFSET('RFM input'!$G$411,$A338,0),0)))</f>
        <v>0</v>
      </c>
      <c r="N340" s="1417">
        <f ca="1">IF(LEFT(N$6,4)&lt;=LEFT('RFM input'!$G$60,4),"enter input",IF(LEFT(N$6,4)&gt;LEFT('RFM input'!$Q$60,4),0,IF(N$6=(OFFSET('RFM input'!$G$60,0,'RFM input'!$V$7)),OFFSET('RFM input'!$G$411,$A338,0),0)))</f>
        <v>0</v>
      </c>
      <c r="O340" s="1417">
        <f ca="1">IF(LEFT(O$6,4)&lt;=LEFT('RFM input'!$G$60,4),"enter input",IF(LEFT(O$6,4)&gt;LEFT('RFM input'!$Q$60,4),0,IF(O$6=(OFFSET('RFM input'!$G$60,0,'RFM input'!$V$7)),OFFSET('RFM input'!$G$411,$A338,0),0)))</f>
        <v>0</v>
      </c>
      <c r="P340" s="1417">
        <f ca="1">IF(LEFT(P$6,4)&lt;=LEFT('RFM input'!$G$60,4),"enter input",IF(LEFT(P$6,4)&gt;LEFT('RFM input'!$Q$60,4),0,IF(P$6=(OFFSET('RFM input'!$G$60,0,'RFM input'!$V$7)),OFFSET('RFM input'!$G$411,$A338,0),0)))</f>
        <v>0</v>
      </c>
      <c r="Q340" s="1417">
        <f ca="1">IF(LEFT(Q$6,4)&lt;=LEFT('RFM input'!$G$60,4),"enter input",IF(LEFT(Q$6,4)&gt;LEFT('RFM input'!$Q$60,4),0,IF(Q$6=(OFFSET('RFM input'!$G$60,0,'RFM input'!$V$7)),OFFSET('RFM input'!$G$411,$A338,0),0)))</f>
        <v>0</v>
      </c>
      <c r="R340" s="1417">
        <f ca="1">IF(LEFT(R$6,4)&lt;=LEFT('RFM input'!$G$60,4),"enter input",IF(LEFT(R$6,4)&gt;LEFT('RFM input'!$Q$60,4),0,IF(R$6=(OFFSET('RFM input'!$G$60,0,'RFM input'!$V$7)),OFFSET('RFM input'!$G$411,$A338,0),0)))</f>
        <v>0</v>
      </c>
      <c r="S340" s="1417">
        <f ca="1">IF(LEFT(S$6,4)&lt;=LEFT('RFM input'!$G$60,4),"enter input",IF(LEFT(S$6,4)&gt;LEFT('RFM input'!$Q$60,4),0,IF(S$6=(OFFSET('RFM input'!$G$60,0,'RFM input'!$V$7)),OFFSET('RFM input'!$G$411,$A338,0),0)))</f>
        <v>0</v>
      </c>
      <c r="T340" s="1417">
        <f ca="1">IF(LEFT(T$6,4)&lt;=LEFT('RFM input'!$G$60,4),"enter input",IF(LEFT(T$6,4)&gt;LEFT('RFM input'!$Q$60,4),0,IF(T$6=(OFFSET('RFM input'!$G$60,0,'RFM input'!$V$7)),OFFSET('RFM input'!$G$411,$A338,0),0)))</f>
        <v>0</v>
      </c>
      <c r="U340" s="1417">
        <f ca="1">IF(LEFT(U$6,4)&lt;=LEFT('RFM input'!$G$60,4),"enter input",IF(LEFT(U$6,4)&gt;LEFT('RFM input'!$Q$60,4),0,IF(U$6=(OFFSET('RFM input'!$G$60,0,'RFM input'!$V$7)),OFFSET('RFM input'!$G$411,$A338,0),0)))</f>
        <v>0</v>
      </c>
      <c r="V340" s="1417">
        <f ca="1">IF(LEFT(V$6,4)&lt;=LEFT('RFM input'!$G$60,4),"enter input",IF(LEFT(V$6,4)&gt;LEFT('RFM input'!$Q$60,4),0,IF(V$6=(OFFSET('RFM input'!$G$60,0,'RFM input'!$V$7)),OFFSET('RFM input'!$G$411,$A338,0),0)))</f>
        <v>0</v>
      </c>
      <c r="W340" s="1417">
        <f ca="1">IF(LEFT(W$6,4)&lt;=LEFT('RFM input'!$G$60,4),"enter input",IF(LEFT(W$6,4)&gt;LEFT('RFM input'!$Q$60,4),0,IF(W$6=(OFFSET('RFM input'!$G$60,0,'RFM input'!$V$7)),OFFSET('RFM input'!$G$411,$A338,0),0)))</f>
        <v>0</v>
      </c>
      <c r="X340" s="152"/>
      <c r="Y340" s="152"/>
      <c r="Z340" s="152"/>
      <c r="AA340" s="152"/>
      <c r="AB340" s="152"/>
    </row>
    <row r="341" spans="1:28">
      <c r="A341" s="152"/>
      <c r="B341" s="195" t="s">
        <v>197</v>
      </c>
      <c r="C341" s="1419"/>
      <c r="D341" s="1418">
        <f ca="1">IF(LEFT(D$6,4)&lt;=LEFT('RFM input'!$G$60,4),"enter input",IF(LEFT(D$6,4)&gt;LEFT('RFM input'!$Q$60,4),0,IF(D$6=(OFFSET('RFM input'!$G$60,0,'RFM input'!$V$7)),OFFSET('RFM input'!$I$411,$A338,0),0)))</f>
        <v>0</v>
      </c>
      <c r="E341" s="1422">
        <f ca="1">IF(LEFT(E$6,4)&lt;=LEFT('RFM input'!$G$60,4),"enter input",IF(LEFT(E$6,4)&gt;LEFT('RFM input'!$Q$60,4),0,IF(E$6=(OFFSET('RFM input'!$G$60,0,'RFM input'!$V$7)),OFFSET('RFM input'!$I$411,$A338,0),0)))</f>
        <v>0</v>
      </c>
      <c r="F341" s="1422">
        <f ca="1">IF(LEFT(F$6,4)&lt;=LEFT('RFM input'!$G$60,4),"enter input",IF(LEFT(F$6,4)&gt;LEFT('RFM input'!$Q$60,4),0,IF(F$6=(OFFSET('RFM input'!$G$60,0,'RFM input'!$V$7)),OFFSET('RFM input'!$I$411,$A338,0),0)))</f>
        <v>0</v>
      </c>
      <c r="G341" s="1422">
        <f ca="1">IF(LEFT(G$6,4)&lt;=LEFT('RFM input'!$G$60,4),"enter input",IF(LEFT(G$6,4)&gt;LEFT('RFM input'!$Q$60,4),0,IF(G$6=(OFFSET('RFM input'!$G$60,0,'RFM input'!$V$7)),OFFSET('RFM input'!$I$411,$A338,0),0)))</f>
        <v>0</v>
      </c>
      <c r="H341" s="1422">
        <f ca="1">IF(LEFT(H$6,4)&lt;=LEFT('RFM input'!$G$60,4),"enter input",IF(LEFT(H$6,4)&gt;LEFT('RFM input'!$Q$60,4),0,IF(H$6=(OFFSET('RFM input'!$G$60,0,'RFM input'!$V$7)),OFFSET('RFM input'!$I$411,$A338,0),0)))</f>
        <v>0</v>
      </c>
      <c r="I341" s="1422">
        <f ca="1">IF(LEFT(I$6,4)&lt;=LEFT('RFM input'!$G$60,4),"enter input",IF(LEFT(I$6,4)&gt;LEFT('RFM input'!$Q$60,4),0,IF(I$6=(OFFSET('RFM input'!$G$60,0,'RFM input'!$V$7)),OFFSET('RFM input'!$I$411,$A338,0),0)))</f>
        <v>0</v>
      </c>
      <c r="J341" s="1422">
        <f ca="1">IF(LEFT(J$6,4)&lt;=LEFT('RFM input'!$G$60,4),"enter input",IF(LEFT(J$6,4)&gt;LEFT('RFM input'!$Q$60,4),0,IF(J$6=(OFFSET('RFM input'!$G$60,0,'RFM input'!$V$7)),OFFSET('RFM input'!$I$411,$A338,0),0)))</f>
        <v>0</v>
      </c>
      <c r="K341" s="1422">
        <f ca="1">IF(LEFT(K$6,4)&lt;=LEFT('RFM input'!$G$60,4),"enter input",IF(LEFT(K$6,4)&gt;LEFT('RFM input'!$Q$60,4),0,IF(K$6=(OFFSET('RFM input'!$G$60,0,'RFM input'!$V$7)),OFFSET('RFM input'!$I$411,$A338,0),0)))</f>
        <v>0</v>
      </c>
      <c r="L341" s="1422">
        <f ca="1">IF(LEFT(L$6,4)&lt;=LEFT('RFM input'!$G$60,4),"enter input",IF(LEFT(L$6,4)&gt;LEFT('RFM input'!$Q$60,4),0,IF(L$6=(OFFSET('RFM input'!$G$60,0,'RFM input'!$V$7)),OFFSET('RFM input'!$I$411,$A338,0),0)))</f>
        <v>0</v>
      </c>
      <c r="M341" s="1422">
        <f ca="1">IF(LEFT(M$6,4)&lt;=LEFT('RFM input'!$G$60,4),"enter input",IF(LEFT(M$6,4)&gt;LEFT('RFM input'!$Q$60,4),0,IF(M$6=(OFFSET('RFM input'!$G$60,0,'RFM input'!$V$7)),OFFSET('RFM input'!$I$411,$A338,0),0)))</f>
        <v>0</v>
      </c>
      <c r="N341" s="1422">
        <f ca="1">IF(LEFT(N$6,4)&lt;=LEFT('RFM input'!$G$60,4),"enter input",IF(LEFT(N$6,4)&gt;LEFT('RFM input'!$Q$60,4),0,IF(N$6=(OFFSET('RFM input'!$G$60,0,'RFM input'!$V$7)),OFFSET('RFM input'!$I$411,$A338,0),0)))</f>
        <v>0</v>
      </c>
      <c r="O341" s="1422">
        <f ca="1">IF(LEFT(O$6,4)&lt;=LEFT('RFM input'!$G$60,4),"enter input",IF(LEFT(O$6,4)&gt;LEFT('RFM input'!$Q$60,4),0,IF(O$6=(OFFSET('RFM input'!$G$60,0,'RFM input'!$V$7)),OFFSET('RFM input'!$I$411,$A338,0),0)))</f>
        <v>0</v>
      </c>
      <c r="P341" s="1422">
        <f ca="1">IF(LEFT(P$6,4)&lt;=LEFT('RFM input'!$G$60,4),"enter input",IF(LEFT(P$6,4)&gt;LEFT('RFM input'!$Q$60,4),0,IF(P$6=(OFFSET('RFM input'!$G$60,0,'RFM input'!$V$7)),OFFSET('RFM input'!$I$411,$A338,0),0)))</f>
        <v>0</v>
      </c>
      <c r="Q341" s="1422">
        <f ca="1">IF(LEFT(Q$6,4)&lt;=LEFT('RFM input'!$G$60,4),"enter input",IF(LEFT(Q$6,4)&gt;LEFT('RFM input'!$Q$60,4),0,IF(Q$6=(OFFSET('RFM input'!$G$60,0,'RFM input'!$V$7)),OFFSET('RFM input'!$I$411,$A338,0),0)))</f>
        <v>0</v>
      </c>
      <c r="R341" s="1422">
        <f ca="1">IF(LEFT(R$6,4)&lt;=LEFT('RFM input'!$G$60,4),"enter input",IF(LEFT(R$6,4)&gt;LEFT('RFM input'!$Q$60,4),0,IF(R$6=(OFFSET('RFM input'!$G$60,0,'RFM input'!$V$7)),OFFSET('RFM input'!$I$411,$A338,0),0)))</f>
        <v>0</v>
      </c>
      <c r="S341" s="1422">
        <f ca="1">IF(LEFT(S$6,4)&lt;=LEFT('RFM input'!$G$60,4),"enter input",IF(LEFT(S$6,4)&gt;LEFT('RFM input'!$Q$60,4),0,IF(S$6=(OFFSET('RFM input'!$G$60,0,'RFM input'!$V$7)),OFFSET('RFM input'!$I$411,$A338,0),0)))</f>
        <v>0</v>
      </c>
      <c r="T341" s="1422">
        <f ca="1">IF(LEFT(T$6,4)&lt;=LEFT('RFM input'!$G$60,4),"enter input",IF(LEFT(T$6,4)&gt;LEFT('RFM input'!$Q$60,4),0,IF(T$6=(OFFSET('RFM input'!$G$60,0,'RFM input'!$V$7)),OFFSET('RFM input'!$I$411,$A338,0),0)))</f>
        <v>0</v>
      </c>
      <c r="U341" s="1422">
        <f ca="1">IF(LEFT(U$6,4)&lt;=LEFT('RFM input'!$G$60,4),"enter input",IF(LEFT(U$6,4)&gt;LEFT('RFM input'!$Q$60,4),0,IF(U$6=(OFFSET('RFM input'!$G$60,0,'RFM input'!$V$7)),OFFSET('RFM input'!$I$411,$A338,0),0)))</f>
        <v>0</v>
      </c>
      <c r="V341" s="1422">
        <f ca="1">IF(LEFT(V$6,4)&lt;=LEFT('RFM input'!$G$60,4),"enter input",IF(LEFT(V$6,4)&gt;LEFT('RFM input'!$Q$60,4),0,IF(V$6=(OFFSET('RFM input'!$G$60,0,'RFM input'!$V$7)),OFFSET('RFM input'!$I$411,$A338,0),0)))</f>
        <v>0</v>
      </c>
      <c r="W341" s="1422">
        <f ca="1">IF(LEFT(W$6,4)&lt;=LEFT('RFM input'!$G$60,4),"enter input",IF(LEFT(W$6,4)&gt;LEFT('RFM input'!$Q$60,4),0,IF(W$6=(OFFSET('RFM input'!$G$60,0,'RFM input'!$V$7)),OFFSET('RFM input'!$I$411,$A338,0),0)))</f>
        <v>0</v>
      </c>
      <c r="X341" s="152"/>
      <c r="Y341" s="152"/>
      <c r="Z341" s="152"/>
      <c r="AA341" s="152"/>
      <c r="AB341" s="152"/>
    </row>
    <row r="342" spans="1:28" hidden="1" outlineLevel="1">
      <c r="A342" s="235">
        <v>-1</v>
      </c>
      <c r="B342" s="190" t="s">
        <v>189</v>
      </c>
      <c r="C342" s="1423"/>
      <c r="D342" s="1423">
        <f ca="1">IF(AND(D340=0,C342=0),0,
IF(AND(D340&lt;&gt;0,C342=0),(D340/D$10),
IF(AND(D341&lt;&gt;0,C342&lt;&gt;0),(C342-(C342/C366))+(D340/D$10),
IF(C366&lt;1,0,(C342-(C342/C366))))))</f>
        <v>0</v>
      </c>
      <c r="E342" s="1423">
        <f t="shared" ref="E342" ca="1" si="451">IF(AND(E340=0,D342=0),0,
IF(AND(E340&lt;&gt;0,D342=0),(E340/E$10),
IF(AND(E341&lt;&gt;0,D342&lt;&gt;0),(D342-(D342/D366))+(E340/E$10),
IF(D366&lt;1,0,(D342-(D342/D366))))))</f>
        <v>0</v>
      </c>
      <c r="F342" s="1423">
        <f t="shared" ref="F342" ca="1" si="452">IF(AND(F340=0,E342=0),0,
IF(AND(F340&lt;&gt;0,E342=0),(F340/F$10),
IF(AND(F341&lt;&gt;0,E342&lt;&gt;0),(E342-(E342/E366))+(F340/F$10),
IF(E366&lt;1,0,(E342-(E342/E366))))))</f>
        <v>0</v>
      </c>
      <c r="G342" s="1423">
        <f t="shared" ref="G342" ca="1" si="453">IF(AND(G340=0,F342=0),0,
IF(AND(G340&lt;&gt;0,F342=0),(G340/G$10),
IF(AND(G341&lt;&gt;0,F342&lt;&gt;0),(F342-(F342/F366))+(G340/G$10),
IF(F366&lt;1,0,(F342-(F342/F366))))))</f>
        <v>0</v>
      </c>
      <c r="H342" s="1423">
        <f t="shared" ref="H342" ca="1" si="454">IF(AND(H340=0,G342=0),0,
IF(AND(H340&lt;&gt;0,G342=0),(H340/H$10),
IF(AND(H341&lt;&gt;0,G342&lt;&gt;0),(G342-(G342/G366))+(H340/H$10),
IF(G366&lt;1,0,(G342-(G342/G366))))))</f>
        <v>0</v>
      </c>
      <c r="I342" s="1423">
        <f t="shared" ref="I342" ca="1" si="455">IF(AND(I340=0,H342=0),0,
IF(AND(I340&lt;&gt;0,H342=0),(I340/I$10),
IF(AND(I341&lt;&gt;0,H342&lt;&gt;0),(H342-(H342/H366))+(I340/I$10),
IF(H366&lt;1,0,(H342-(H342/H366))))))</f>
        <v>0</v>
      </c>
      <c r="J342" s="1423">
        <f t="shared" ref="J342" ca="1" si="456">IF(AND(J340=0,I342=0),0,
IF(AND(J340&lt;&gt;0,I342=0),(J340/J$10),
IF(AND(J341&lt;&gt;0,I342&lt;&gt;0),(I342-(I342/I366))+(J340/J$10),
IF(I366&lt;1,0,(I342-(I342/I366))))))</f>
        <v>0</v>
      </c>
      <c r="K342" s="1423">
        <f t="shared" ref="K342" ca="1" si="457">IF(AND(K340=0,J342=0),0,
IF(AND(K340&lt;&gt;0,J342=0),(K340/K$10),
IF(AND(K341&lt;&gt;0,J342&lt;&gt;0),(J342-(J342/J366))+(K340/K$10),
IF(J366&lt;1,0,(J342-(J342/J366))))))</f>
        <v>0</v>
      </c>
      <c r="L342" s="1423">
        <f t="shared" ref="L342" ca="1" si="458">IF(AND(L340=0,K342=0),0,
IF(AND(L340&lt;&gt;0,K342=0),(L340/L$10),
IF(AND(L341&lt;&gt;0,K342&lt;&gt;0),(K342-(K342/K366))+(L340/L$10),
IF(K366&lt;1,0,(K342-(K342/K366))))))</f>
        <v>0</v>
      </c>
      <c r="M342" s="1423">
        <f t="shared" ref="M342" ca="1" si="459">IF(AND(M340=0,L342=0),0,
IF(AND(M340&lt;&gt;0,L342=0),(M340/M$10),
IF(AND(M341&lt;&gt;0,L342&lt;&gt;0),(L342-(L342/L366))+(M340/M$10),
IF(L366&lt;1,0,(L342-(L342/L366))))))</f>
        <v>0</v>
      </c>
      <c r="N342" s="1423">
        <f t="shared" ref="N342" ca="1" si="460">IF(AND(N340=0,M342=0),0,
IF(AND(N340&lt;&gt;0,M342=0),(N340/N$10),
IF(AND(N341&lt;&gt;0,M342&lt;&gt;0),(M342-(M342/M366))+(N340/N$10),
IF(M366&lt;1,0,(M342-(M342/M366))))))</f>
        <v>0</v>
      </c>
      <c r="O342" s="1423">
        <f t="shared" ref="O342" ca="1" si="461">IF(AND(O340=0,N342=0),0,
IF(AND(O340&lt;&gt;0,N342=0),(O340/O$10),
IF(AND(O341&lt;&gt;0,N342&lt;&gt;0),(N342-(N342/N366))+(O340/O$10),
IF(N366&lt;1,0,(N342-(N342/N366))))))</f>
        <v>0</v>
      </c>
      <c r="P342" s="1423">
        <f t="shared" ref="P342" ca="1" si="462">IF(AND(P340=0,O342=0),0,
IF(AND(P340&lt;&gt;0,O342=0),(P340/P$10),
IF(AND(P341&lt;&gt;0,O342&lt;&gt;0),(O342-(O342/O366))+(P340/P$10),
IF(O366&lt;1,0,(O342-(O342/O366))))))</f>
        <v>0</v>
      </c>
      <c r="Q342" s="1423">
        <f t="shared" ref="Q342" ca="1" si="463">IF(AND(Q340=0,P342=0),0,
IF(AND(Q340&lt;&gt;0,P342=0),(Q340/Q$10),
IF(AND(Q341&lt;&gt;0,P342&lt;&gt;0),(P342-(P342/P366))+(Q340/Q$10),
IF(P366&lt;1,0,(P342-(P342/P366))))))</f>
        <v>0</v>
      </c>
      <c r="R342" s="1423">
        <f t="shared" ref="R342" ca="1" si="464">IF(AND(R340=0,Q342=0),0,
IF(AND(R340&lt;&gt;0,Q342=0),(R340/R$10),
IF(AND(R341&lt;&gt;0,Q342&lt;&gt;0),(Q342-(Q342/Q366))+(R340/R$10),
IF(Q366&lt;1,0,(Q342-(Q342/Q366))))))</f>
        <v>0</v>
      </c>
      <c r="S342" s="1423">
        <f t="shared" ref="S342" ca="1" si="465">IF(AND(S340=0,R342=0),0,
IF(AND(S340&lt;&gt;0,R342=0),(S340/S$10),
IF(AND(S341&lt;&gt;0,R342&lt;&gt;0),(R342-(R342/R366))+(S340/S$10),
IF(R366&lt;1,0,(R342-(R342/R366))))))</f>
        <v>0</v>
      </c>
      <c r="T342" s="1423">
        <f t="shared" ref="T342" ca="1" si="466">IF(AND(T340=0,S342=0),0,
IF(AND(T340&lt;&gt;0,S342=0),(T340/T$10),
IF(AND(T341&lt;&gt;0,S342&lt;&gt;0),(S342-(S342/S366))+(T340/T$10),
IF(S366&lt;1,0,(S342-(S342/S366))))))</f>
        <v>0</v>
      </c>
      <c r="U342" s="1423">
        <f t="shared" ref="U342" ca="1" si="467">IF(AND(U340=0,T342=0),0,
IF(AND(U340&lt;&gt;0,T342=0),(U340/U$10),
IF(AND(U341&lt;&gt;0,T342&lt;&gt;0),(T342-(T342/T366))+(U340/U$10),
IF(T366&lt;1,0,(T342-(T342/T366))))))</f>
        <v>0</v>
      </c>
      <c r="V342" s="1423">
        <f t="shared" ref="V342" ca="1" si="468">IF(AND(V340=0,U342=0),0,
IF(AND(V340&lt;&gt;0,U342=0),(V340/V$10),
IF(AND(V341&lt;&gt;0,U342&lt;&gt;0),(U342-(U342/U366))+(V340/V$10),
IF(U366&lt;1,0,(U342-(U342/U366))))))</f>
        <v>0</v>
      </c>
      <c r="W342" s="1423">
        <f t="shared" ref="W342" ca="1" si="469">IF(AND(W340=0,V342=0),0,
IF(AND(W340&lt;&gt;0,V342=0),(W340/W$10),
IF(AND(W341&lt;&gt;0,V342&lt;&gt;0),(V342-(V342/V366))+(W340/W$10),
IF(V366&lt;1,0,(V342-(V342/V366))))))</f>
        <v>0</v>
      </c>
      <c r="X342" s="152"/>
      <c r="Y342" s="152"/>
      <c r="Z342" s="152"/>
      <c r="AA342" s="152"/>
      <c r="AB342" s="152"/>
    </row>
    <row r="343" spans="1:28" hidden="1" outlineLevel="1">
      <c r="A343" s="199">
        <f>A342+1</f>
        <v>0</v>
      </c>
      <c r="B343" s="190" t="s">
        <v>125</v>
      </c>
      <c r="C343" s="1423">
        <f ca="1">C338/C$10</f>
        <v>-2.144436143397346E-2</v>
      </c>
      <c r="D343" s="1423">
        <f ca="1">IF(C367="n/a",C343,IFERROR(IF((OFFSET($C343,0,$A343))&lt;0,
MIN(0,C343-(OFFSET($C343,0,$A343)/(OFFSET($C338,-$A342,$A343)))),
MAX(0,C343-(OFFSET($C343,0,$A343)/(OFFSET($C338,-$A342,$A343))))),0))</f>
        <v>-2.144436143397346E-2</v>
      </c>
      <c r="E343" s="1423">
        <f t="shared" ref="E343" ca="1" si="470">IF(D367="n/a",D343,IFERROR(IF((OFFSET($C343,0,$A343))&lt;0,
MIN(0,D343-(OFFSET($C343,0,$A343)/(OFFSET($C338,-$A342,$A343)))),
MAX(0,D343-(OFFSET($C343,0,$A343)/(OFFSET($C338,-$A342,$A343))))),0))</f>
        <v>-2.144436143397346E-2</v>
      </c>
      <c r="F343" s="1423">
        <f t="shared" ref="F343:F344" ca="1" si="471">IF(E367="n/a",E343,IFERROR(IF((OFFSET($C343,0,$A343))&lt;0,
MIN(0,E343-(OFFSET($C343,0,$A343)/(OFFSET($C338,-$A342,$A343)))),
MAX(0,E343-(OFFSET($C343,0,$A343)/(OFFSET($C338,-$A342,$A343))))),0))</f>
        <v>-2.144436143397346E-2</v>
      </c>
      <c r="G343" s="1423">
        <f t="shared" ref="G343:G345" ca="1" si="472">IF(F367="n/a",F343,IFERROR(IF((OFFSET($C343,0,$A343))&lt;0,
MIN(0,F343-(OFFSET($C343,0,$A343)/(OFFSET($C338,-$A342,$A343)))),
MAX(0,F343-(OFFSET($C343,0,$A343)/(OFFSET($C338,-$A342,$A343))))),0))</f>
        <v>-2.144436143397346E-2</v>
      </c>
      <c r="H343" s="1423">
        <f t="shared" ref="H343:H346" ca="1" si="473">IF(G367="n/a",G343,IFERROR(IF((OFFSET($C343,0,$A343))&lt;0,
MIN(0,G343-(OFFSET($C343,0,$A343)/(OFFSET($C338,-$A342,$A343)))),
MAX(0,G343-(OFFSET($C343,0,$A343)/(OFFSET($C338,-$A342,$A343))))),0))</f>
        <v>-2.144436143397346E-2</v>
      </c>
      <c r="I343" s="1423">
        <f t="shared" ref="I343:I347" ca="1" si="474">IF(H367="n/a",H343,IFERROR(IF((OFFSET($C343,0,$A343))&lt;0,
MIN(0,H343-(OFFSET($C343,0,$A343)/(OFFSET($C338,-$A342,$A343)))),
MAX(0,H343-(OFFSET($C343,0,$A343)/(OFFSET($C338,-$A342,$A343))))),0))</f>
        <v>-2.144436143397346E-2</v>
      </c>
      <c r="J343" s="1423">
        <f t="shared" ref="J343:J348" ca="1" si="475">IF(I367="n/a",I343,IFERROR(IF((OFFSET($C343,0,$A343))&lt;0,
MIN(0,I343-(OFFSET($C343,0,$A343)/(OFFSET($C338,-$A342,$A343)))),
MAX(0,I343-(OFFSET($C343,0,$A343)/(OFFSET($C338,-$A342,$A343))))),0))</f>
        <v>-2.144436143397346E-2</v>
      </c>
      <c r="K343" s="1423">
        <f t="shared" ref="K343:K349" ca="1" si="476">IF(J367="n/a",J343,IFERROR(IF((OFFSET($C343,0,$A343))&lt;0,
MIN(0,J343-(OFFSET($C343,0,$A343)/(OFFSET($C338,-$A342,$A343)))),
MAX(0,J343-(OFFSET($C343,0,$A343)/(OFFSET($C338,-$A342,$A343))))),0))</f>
        <v>-2.144436143397346E-2</v>
      </c>
      <c r="L343" s="1423">
        <f t="shared" ref="L343:L350" ca="1" si="477">IF(K367="n/a",K343,IFERROR(IF((OFFSET($C343,0,$A343))&lt;0,
MIN(0,K343-(OFFSET($C343,0,$A343)/(OFFSET($C338,-$A342,$A343)))),
MAX(0,K343-(OFFSET($C343,0,$A343)/(OFFSET($C338,-$A342,$A343))))),0))</f>
        <v>-2.144436143397346E-2</v>
      </c>
      <c r="M343" s="1423">
        <f t="shared" ref="M343:M351" ca="1" si="478">IF(L367="n/a",L343,IFERROR(IF((OFFSET($C343,0,$A343))&lt;0,
MIN(0,L343-(OFFSET($C343,0,$A343)/(OFFSET($C338,-$A342,$A343)))),
MAX(0,L343-(OFFSET($C343,0,$A343)/(OFFSET($C338,-$A342,$A343))))),0))</f>
        <v>-2.144436143397346E-2</v>
      </c>
      <c r="N343" s="1423">
        <f t="shared" ref="N343:N352" ca="1" si="479">IF(M367="n/a",M343,IFERROR(IF((OFFSET($C343,0,$A343))&lt;0,
MIN(0,M343-(OFFSET($C343,0,$A343)/(OFFSET($C338,-$A342,$A343)))),
MAX(0,M343-(OFFSET($C343,0,$A343)/(OFFSET($C338,-$A342,$A343))))),0))</f>
        <v>-2.144436143397346E-2</v>
      </c>
      <c r="O343" s="1423">
        <f t="shared" ref="O343:O353" ca="1" si="480">IF(N367="n/a",N343,IFERROR(IF((OFFSET($C343,0,$A343))&lt;0,
MIN(0,N343-(OFFSET($C343,0,$A343)/(OFFSET($C338,-$A342,$A343)))),
MAX(0,N343-(OFFSET($C343,0,$A343)/(OFFSET($C338,-$A342,$A343))))),0))</f>
        <v>-2.144436143397346E-2</v>
      </c>
      <c r="P343" s="1423">
        <f t="shared" ref="P343:P354" ca="1" si="481">IF(O367="n/a",O343,IFERROR(IF((OFFSET($C343,0,$A343))&lt;0,
MIN(0,O343-(OFFSET($C343,0,$A343)/(OFFSET($C338,-$A342,$A343)))),
MAX(0,O343-(OFFSET($C343,0,$A343)/(OFFSET($C338,-$A342,$A343))))),0))</f>
        <v>-2.144436143397346E-2</v>
      </c>
      <c r="Q343" s="1423">
        <f t="shared" ref="Q343:Q355" ca="1" si="482">IF(P367="n/a",P343,IFERROR(IF((OFFSET($C343,0,$A343))&lt;0,
MIN(0,P343-(OFFSET($C343,0,$A343)/(OFFSET($C338,-$A342,$A343)))),
MAX(0,P343-(OFFSET($C343,0,$A343)/(OFFSET($C338,-$A342,$A343))))),0))</f>
        <v>-2.144436143397346E-2</v>
      </c>
      <c r="R343" s="1423">
        <f t="shared" ref="R343:R356" ca="1" si="483">IF(Q367="n/a",Q343,IFERROR(IF((OFFSET($C343,0,$A343))&lt;0,
MIN(0,Q343-(OFFSET($C343,0,$A343)/(OFFSET($C338,-$A342,$A343)))),
MAX(0,Q343-(OFFSET($C343,0,$A343)/(OFFSET($C338,-$A342,$A343))))),0))</f>
        <v>-2.144436143397346E-2</v>
      </c>
      <c r="S343" s="1423">
        <f t="shared" ref="S343:S357" ca="1" si="484">IF(R367="n/a",R343,IFERROR(IF((OFFSET($C343,0,$A343))&lt;0,
MIN(0,R343-(OFFSET($C343,0,$A343)/(OFFSET($C338,-$A342,$A343)))),
MAX(0,R343-(OFFSET($C343,0,$A343)/(OFFSET($C338,-$A342,$A343))))),0))</f>
        <v>-2.144436143397346E-2</v>
      </c>
      <c r="T343" s="1423">
        <f t="shared" ref="T343:T358" ca="1" si="485">IF(S367="n/a",S343,IFERROR(IF((OFFSET($C343,0,$A343))&lt;0,
MIN(0,S343-(OFFSET($C343,0,$A343)/(OFFSET($C338,-$A342,$A343)))),
MAX(0,S343-(OFFSET($C343,0,$A343)/(OFFSET($C338,-$A342,$A343))))),0))</f>
        <v>-2.144436143397346E-2</v>
      </c>
      <c r="U343" s="1423">
        <f t="shared" ref="U343:U359" ca="1" si="486">IF(T367="n/a",T343,IFERROR(IF((OFFSET($C343,0,$A343))&lt;0,
MIN(0,T343-(OFFSET($C343,0,$A343)/(OFFSET($C338,-$A342,$A343)))),
MAX(0,T343-(OFFSET($C343,0,$A343)/(OFFSET($C338,-$A342,$A343))))),0))</f>
        <v>-2.144436143397346E-2</v>
      </c>
      <c r="V343" s="1423">
        <f t="shared" ref="V343:V360" ca="1" si="487">IF(U367="n/a",U343,IFERROR(IF((OFFSET($C343,0,$A343))&lt;0,
MIN(0,U343-(OFFSET($C343,0,$A343)/(OFFSET($C338,-$A342,$A343)))),
MAX(0,U343-(OFFSET($C343,0,$A343)/(OFFSET($C338,-$A342,$A343))))),0))</f>
        <v>-2.144436143397346E-2</v>
      </c>
      <c r="W343" s="1423">
        <f t="shared" ref="W343:W361" ca="1" si="488">IF(V367="n/a",V343,IFERROR(IF((OFFSET($C343,0,$A343))&lt;0,
MIN(0,V343-(OFFSET($C343,0,$A343)/(OFFSET($C338,-$A342,$A343)))),
MAX(0,V343-(OFFSET($C343,0,$A343)/(OFFSET($C338,-$A342,$A343))))),0))</f>
        <v>-2.144436143397346E-2</v>
      </c>
      <c r="X343" s="152"/>
      <c r="Y343" s="152"/>
      <c r="Z343" s="152"/>
      <c r="AA343" s="152"/>
      <c r="AB343" s="152"/>
    </row>
    <row r="344" spans="1:28" hidden="1" outlineLevel="1">
      <c r="A344" s="199">
        <f t="shared" ref="A344:A363" si="489">A343+1</f>
        <v>1</v>
      </c>
      <c r="B344" s="190" t="str">
        <f t="shared" ref="B344:B362" ca="1" si="490">"Depreciated Net Capex "&amp;OFFSET($C$6,0,A344)</f>
        <v>Depreciated Net Capex 2016-17</v>
      </c>
      <c r="C344" s="1424"/>
      <c r="D344" s="1425">
        <f>(D338*((1+D$11)^0.5)/D$10)</f>
        <v>-2.9276071198544185E-2</v>
      </c>
      <c r="E344" s="1423">
        <f ca="1">IF(D368="n/a",D344,IFERROR(IF((OFFSET($C344,0,$A344))&lt;0,
MIN(0,D344-(OFFSET($C344,0,$A344)/(OFFSET($C339,-$A343,$A344)))),
MAX(0,D344-(OFFSET($C344,0,$A344)/(OFFSET($C339,-$A343,$A344))))),0))</f>
        <v>-2.6348464078689765E-2</v>
      </c>
      <c r="F344" s="1423">
        <f t="shared" ca="1" si="471"/>
        <v>-2.3420856958835348E-2</v>
      </c>
      <c r="G344" s="1423">
        <f t="shared" ca="1" si="472"/>
        <v>-2.0493249838980931E-2</v>
      </c>
      <c r="H344" s="1423">
        <f t="shared" ca="1" si="473"/>
        <v>-1.7565642719126515E-2</v>
      </c>
      <c r="I344" s="1423">
        <f t="shared" ca="1" si="474"/>
        <v>-1.4638035599272096E-2</v>
      </c>
      <c r="J344" s="1423">
        <f t="shared" ca="1" si="475"/>
        <v>-1.1710428479417678E-2</v>
      </c>
      <c r="K344" s="1423">
        <f t="shared" ca="1" si="476"/>
        <v>-8.7828213595632591E-3</v>
      </c>
      <c r="L344" s="1423">
        <f t="shared" ca="1" si="477"/>
        <v>-5.8552142397088405E-3</v>
      </c>
      <c r="M344" s="1423">
        <f t="shared" ca="1" si="478"/>
        <v>-2.927607119854422E-3</v>
      </c>
      <c r="N344" s="1423">
        <f t="shared" ca="1" si="479"/>
        <v>-3.4694469519536142E-18</v>
      </c>
      <c r="O344" s="1423">
        <f t="shared" ca="1" si="480"/>
        <v>0</v>
      </c>
      <c r="P344" s="1423">
        <f t="shared" ca="1" si="481"/>
        <v>0</v>
      </c>
      <c r="Q344" s="1423">
        <f t="shared" ca="1" si="482"/>
        <v>0</v>
      </c>
      <c r="R344" s="1423">
        <f t="shared" ca="1" si="483"/>
        <v>0</v>
      </c>
      <c r="S344" s="1423">
        <f t="shared" ca="1" si="484"/>
        <v>0</v>
      </c>
      <c r="T344" s="1423">
        <f t="shared" ca="1" si="485"/>
        <v>0</v>
      </c>
      <c r="U344" s="1423">
        <f t="shared" ca="1" si="486"/>
        <v>0</v>
      </c>
      <c r="V344" s="1423">
        <f t="shared" ca="1" si="487"/>
        <v>0</v>
      </c>
      <c r="W344" s="1423">
        <f t="shared" ca="1" si="488"/>
        <v>0</v>
      </c>
      <c r="X344" s="152"/>
      <c r="Y344" s="152"/>
      <c r="Z344" s="152"/>
      <c r="AA344" s="152"/>
      <c r="AB344" s="152"/>
    </row>
    <row r="345" spans="1:28" hidden="1" outlineLevel="1">
      <c r="A345" s="199">
        <f t="shared" si="489"/>
        <v>2</v>
      </c>
      <c r="B345" s="190" t="str">
        <f t="shared" ca="1" si="490"/>
        <v>Depreciated Net Capex 2017-18</v>
      </c>
      <c r="C345" s="1426"/>
      <c r="D345" s="1427"/>
      <c r="E345" s="1425">
        <f>(E338*((1+E$11)^0.5)/E$10)</f>
        <v>0</v>
      </c>
      <c r="F345" s="1423">
        <f ca="1">IF(E369="n/a",E345,IFERROR(IF((OFFSET($C345,0,$A345))&lt;0,
MIN(0,E345-(OFFSET($C345,0,$A345)/(OFFSET($C340,-$A344,$A345)))),
MAX(0,E345-(OFFSET($C345,0,$A345)/(OFFSET($C340,-$A344,$A345))))),0))</f>
        <v>0</v>
      </c>
      <c r="G345" s="1423">
        <f t="shared" ca="1" si="472"/>
        <v>0</v>
      </c>
      <c r="H345" s="1423">
        <f t="shared" ca="1" si="473"/>
        <v>0</v>
      </c>
      <c r="I345" s="1423">
        <f t="shared" ca="1" si="474"/>
        <v>0</v>
      </c>
      <c r="J345" s="1423">
        <f t="shared" ca="1" si="475"/>
        <v>0</v>
      </c>
      <c r="K345" s="1423">
        <f t="shared" ca="1" si="476"/>
        <v>0</v>
      </c>
      <c r="L345" s="1423">
        <f t="shared" ca="1" si="477"/>
        <v>0</v>
      </c>
      <c r="M345" s="1423">
        <f t="shared" ca="1" si="478"/>
        <v>0</v>
      </c>
      <c r="N345" s="1423">
        <f t="shared" ca="1" si="479"/>
        <v>0</v>
      </c>
      <c r="O345" s="1423">
        <f t="shared" ca="1" si="480"/>
        <v>0</v>
      </c>
      <c r="P345" s="1423">
        <f t="shared" ca="1" si="481"/>
        <v>0</v>
      </c>
      <c r="Q345" s="1423">
        <f t="shared" ca="1" si="482"/>
        <v>0</v>
      </c>
      <c r="R345" s="1423">
        <f t="shared" ca="1" si="483"/>
        <v>0</v>
      </c>
      <c r="S345" s="1423">
        <f t="shared" ca="1" si="484"/>
        <v>0</v>
      </c>
      <c r="T345" s="1423">
        <f t="shared" ca="1" si="485"/>
        <v>0</v>
      </c>
      <c r="U345" s="1423">
        <f t="shared" ca="1" si="486"/>
        <v>0</v>
      </c>
      <c r="V345" s="1423">
        <f t="shared" ca="1" si="487"/>
        <v>0</v>
      </c>
      <c r="W345" s="1423">
        <f t="shared" ca="1" si="488"/>
        <v>0</v>
      </c>
      <c r="X345" s="202"/>
      <c r="Y345" s="152"/>
      <c r="Z345" s="152"/>
      <c r="AA345" s="152"/>
      <c r="AB345" s="152"/>
    </row>
    <row r="346" spans="1:28" hidden="1" outlineLevel="1">
      <c r="A346" s="199">
        <f t="shared" si="489"/>
        <v>3</v>
      </c>
      <c r="B346" s="190" t="str">
        <f t="shared" ca="1" si="490"/>
        <v>Depreciated Net Capex 2018-19</v>
      </c>
      <c r="C346" s="1426"/>
      <c r="D346" s="1426"/>
      <c r="E346" s="1427"/>
      <c r="F346" s="1428">
        <f>($F338*((1+F$11)^0.5)/F$10)</f>
        <v>0</v>
      </c>
      <c r="G346" s="1423">
        <f ca="1">IF(F370="n/a",F346,IFERROR(IF((OFFSET($C346,0,$A346))&lt;0,
MIN(0,F346-(OFFSET($C346,0,$A346)/(OFFSET($C341,-$A345,$A346)))),
MAX(0,F346-(OFFSET($C346,0,$A346)/(OFFSET($C341,-$A345,$A346))))),0))</f>
        <v>0</v>
      </c>
      <c r="H346" s="1423">
        <f t="shared" ca="1" si="473"/>
        <v>0</v>
      </c>
      <c r="I346" s="1423">
        <f t="shared" ca="1" si="474"/>
        <v>0</v>
      </c>
      <c r="J346" s="1423">
        <f t="shared" ca="1" si="475"/>
        <v>0</v>
      </c>
      <c r="K346" s="1423">
        <f t="shared" ca="1" si="476"/>
        <v>0</v>
      </c>
      <c r="L346" s="1423">
        <f t="shared" ca="1" si="477"/>
        <v>0</v>
      </c>
      <c r="M346" s="1423">
        <f t="shared" ca="1" si="478"/>
        <v>0</v>
      </c>
      <c r="N346" s="1423">
        <f t="shared" ca="1" si="479"/>
        <v>0</v>
      </c>
      <c r="O346" s="1423">
        <f t="shared" ca="1" si="480"/>
        <v>0</v>
      </c>
      <c r="P346" s="1423">
        <f t="shared" ca="1" si="481"/>
        <v>0</v>
      </c>
      <c r="Q346" s="1423">
        <f t="shared" ca="1" si="482"/>
        <v>0</v>
      </c>
      <c r="R346" s="1423">
        <f t="shared" ca="1" si="483"/>
        <v>0</v>
      </c>
      <c r="S346" s="1423">
        <f t="shared" ca="1" si="484"/>
        <v>0</v>
      </c>
      <c r="T346" s="1423">
        <f t="shared" ca="1" si="485"/>
        <v>0</v>
      </c>
      <c r="U346" s="1423">
        <f t="shared" ca="1" si="486"/>
        <v>0</v>
      </c>
      <c r="V346" s="1423">
        <f t="shared" ca="1" si="487"/>
        <v>0</v>
      </c>
      <c r="W346" s="1423">
        <f t="shared" ca="1" si="488"/>
        <v>0</v>
      </c>
      <c r="X346" s="202"/>
      <c r="Y346" s="202"/>
      <c r="Z346" s="152"/>
      <c r="AA346" s="152"/>
      <c r="AB346" s="152"/>
    </row>
    <row r="347" spans="1:28" hidden="1" outlineLevel="1">
      <c r="A347" s="199">
        <f t="shared" si="489"/>
        <v>4</v>
      </c>
      <c r="B347" s="190" t="str">
        <f t="shared" ca="1" si="490"/>
        <v>Depreciated Net Capex 2019-20</v>
      </c>
      <c r="C347" s="1426"/>
      <c r="D347" s="1426"/>
      <c r="E347" s="1426"/>
      <c r="F347" s="1427"/>
      <c r="G347" s="1428">
        <f>($G338*((1+G$11)^0.5)/G$10)</f>
        <v>0</v>
      </c>
      <c r="H347" s="1423">
        <f ca="1">IF(G371="n/a",G347,IFERROR(IF((OFFSET($C347,0,$A347))&lt;0,
MIN(0,G347-(OFFSET($C347,0,$A347)/(OFFSET($C342,-$A346,$A347)))),
MAX(0,G347-(OFFSET($C347,0,$A347)/(OFFSET($C342,-$A346,$A347))))),0))</f>
        <v>0</v>
      </c>
      <c r="I347" s="1423">
        <f t="shared" ca="1" si="474"/>
        <v>0</v>
      </c>
      <c r="J347" s="1423">
        <f t="shared" ca="1" si="475"/>
        <v>0</v>
      </c>
      <c r="K347" s="1423">
        <f t="shared" ca="1" si="476"/>
        <v>0</v>
      </c>
      <c r="L347" s="1423">
        <f t="shared" ca="1" si="477"/>
        <v>0</v>
      </c>
      <c r="M347" s="1423">
        <f t="shared" ca="1" si="478"/>
        <v>0</v>
      </c>
      <c r="N347" s="1423">
        <f t="shared" ca="1" si="479"/>
        <v>0</v>
      </c>
      <c r="O347" s="1423">
        <f t="shared" ca="1" si="480"/>
        <v>0</v>
      </c>
      <c r="P347" s="1423">
        <f t="shared" ca="1" si="481"/>
        <v>0</v>
      </c>
      <c r="Q347" s="1423">
        <f t="shared" ca="1" si="482"/>
        <v>0</v>
      </c>
      <c r="R347" s="1423">
        <f t="shared" ca="1" si="483"/>
        <v>0</v>
      </c>
      <c r="S347" s="1423">
        <f t="shared" ca="1" si="484"/>
        <v>0</v>
      </c>
      <c r="T347" s="1423">
        <f t="shared" ca="1" si="485"/>
        <v>0</v>
      </c>
      <c r="U347" s="1423">
        <f t="shared" ca="1" si="486"/>
        <v>0</v>
      </c>
      <c r="V347" s="1423">
        <f t="shared" ca="1" si="487"/>
        <v>0</v>
      </c>
      <c r="W347" s="1423">
        <f t="shared" ca="1" si="488"/>
        <v>0</v>
      </c>
      <c r="X347" s="202"/>
      <c r="Y347" s="202"/>
      <c r="Z347" s="202"/>
      <c r="AA347" s="152"/>
      <c r="AB347" s="152"/>
    </row>
    <row r="348" spans="1:28" hidden="1" outlineLevel="1">
      <c r="A348" s="199">
        <f t="shared" si="489"/>
        <v>5</v>
      </c>
      <c r="B348" s="190" t="str">
        <f t="shared" ca="1" si="490"/>
        <v>Depreciated Net Capex 2020-21</v>
      </c>
      <c r="C348" s="1426"/>
      <c r="D348" s="1426"/>
      <c r="E348" s="1426"/>
      <c r="F348" s="1426"/>
      <c r="G348" s="1427"/>
      <c r="H348" s="1428">
        <f>(H338*((1+H$11)^0.5)/H$10)</f>
        <v>0</v>
      </c>
      <c r="I348" s="1423">
        <f ca="1">IF(H372="n/a",H348,IFERROR(IF((OFFSET($C348,0,$A348))&lt;0,
MIN(0,H348-(OFFSET($C348,0,$A348)/(OFFSET($C343,-$A347,$A348)))),
MAX(0,H348-(OFFSET($C348,0,$A348)/(OFFSET($C343,-$A347,$A348))))),0))</f>
        <v>0</v>
      </c>
      <c r="J348" s="1423">
        <f t="shared" ca="1" si="475"/>
        <v>0</v>
      </c>
      <c r="K348" s="1423">
        <f t="shared" ca="1" si="476"/>
        <v>0</v>
      </c>
      <c r="L348" s="1423">
        <f t="shared" ca="1" si="477"/>
        <v>0</v>
      </c>
      <c r="M348" s="1423">
        <f t="shared" ca="1" si="478"/>
        <v>0</v>
      </c>
      <c r="N348" s="1423">
        <f t="shared" ca="1" si="479"/>
        <v>0</v>
      </c>
      <c r="O348" s="1423">
        <f t="shared" ca="1" si="480"/>
        <v>0</v>
      </c>
      <c r="P348" s="1423">
        <f t="shared" ca="1" si="481"/>
        <v>0</v>
      </c>
      <c r="Q348" s="1423">
        <f t="shared" ca="1" si="482"/>
        <v>0</v>
      </c>
      <c r="R348" s="1423">
        <f t="shared" ca="1" si="483"/>
        <v>0</v>
      </c>
      <c r="S348" s="1423">
        <f t="shared" ca="1" si="484"/>
        <v>0</v>
      </c>
      <c r="T348" s="1423">
        <f t="shared" ca="1" si="485"/>
        <v>0</v>
      </c>
      <c r="U348" s="1423">
        <f t="shared" ca="1" si="486"/>
        <v>0</v>
      </c>
      <c r="V348" s="1423">
        <f t="shared" ca="1" si="487"/>
        <v>0</v>
      </c>
      <c r="W348" s="1423">
        <f t="shared" ca="1" si="488"/>
        <v>0</v>
      </c>
      <c r="X348" s="202"/>
      <c r="Y348" s="202"/>
      <c r="Z348" s="202"/>
      <c r="AA348" s="152"/>
      <c r="AB348" s="152"/>
    </row>
    <row r="349" spans="1:28" hidden="1" outlineLevel="1">
      <c r="A349" s="199">
        <f t="shared" si="489"/>
        <v>6</v>
      </c>
      <c r="B349" s="190" t="str">
        <f t="shared" ca="1" si="490"/>
        <v>Depreciated Net Capex 2021-22</v>
      </c>
      <c r="C349" s="1426"/>
      <c r="D349" s="1426"/>
      <c r="E349" s="1426"/>
      <c r="F349" s="1426"/>
      <c r="G349" s="1426"/>
      <c r="H349" s="1427"/>
      <c r="I349" s="1428">
        <f>(I338*((1+I$11)^0.5)/I$10)</f>
        <v>0</v>
      </c>
      <c r="J349" s="1423">
        <f ca="1">IF(I373="n/a",I349,IFERROR(IF((OFFSET($C349,0,$A349))&lt;0,
MIN(0,I349-(OFFSET($C349,0,$A349)/(OFFSET($C344,-$A348,$A349)))),
MAX(0,I349-(OFFSET($C349,0,$A349)/(OFFSET($C344,-$A348,$A349))))),0))</f>
        <v>0</v>
      </c>
      <c r="K349" s="1423">
        <f t="shared" ca="1" si="476"/>
        <v>0</v>
      </c>
      <c r="L349" s="1423">
        <f t="shared" ca="1" si="477"/>
        <v>0</v>
      </c>
      <c r="M349" s="1423">
        <f t="shared" ca="1" si="478"/>
        <v>0</v>
      </c>
      <c r="N349" s="1423">
        <f t="shared" ca="1" si="479"/>
        <v>0</v>
      </c>
      <c r="O349" s="1423">
        <f t="shared" ca="1" si="480"/>
        <v>0</v>
      </c>
      <c r="P349" s="1423">
        <f t="shared" ca="1" si="481"/>
        <v>0</v>
      </c>
      <c r="Q349" s="1423">
        <f t="shared" ca="1" si="482"/>
        <v>0</v>
      </c>
      <c r="R349" s="1423">
        <f t="shared" ca="1" si="483"/>
        <v>0</v>
      </c>
      <c r="S349" s="1423">
        <f t="shared" ca="1" si="484"/>
        <v>0</v>
      </c>
      <c r="T349" s="1423">
        <f t="shared" ca="1" si="485"/>
        <v>0</v>
      </c>
      <c r="U349" s="1423">
        <f t="shared" ca="1" si="486"/>
        <v>0</v>
      </c>
      <c r="V349" s="1423">
        <f t="shared" ca="1" si="487"/>
        <v>0</v>
      </c>
      <c r="W349" s="1423">
        <f t="shared" ca="1" si="488"/>
        <v>0</v>
      </c>
      <c r="X349" s="202"/>
      <c r="Y349" s="202"/>
      <c r="Z349" s="202"/>
      <c r="AA349" s="152"/>
      <c r="AB349" s="152"/>
    </row>
    <row r="350" spans="1:28" hidden="1" outlineLevel="1">
      <c r="A350" s="199">
        <f t="shared" si="489"/>
        <v>7</v>
      </c>
      <c r="B350" s="190" t="str">
        <f t="shared" ca="1" si="490"/>
        <v>Depreciated Net Capex 2022-23</v>
      </c>
      <c r="C350" s="1426"/>
      <c r="D350" s="1426"/>
      <c r="E350" s="1426"/>
      <c r="F350" s="1426"/>
      <c r="G350" s="1426"/>
      <c r="H350" s="1426"/>
      <c r="I350" s="1427"/>
      <c r="J350" s="1428">
        <f>(J338*((1+J$11)^0.5)/J$10)</f>
        <v>0</v>
      </c>
      <c r="K350" s="1423">
        <f ca="1">IF(J374="n/a",J350,IFERROR(IF((OFFSET($C350,0,$A350))&lt;0,
MIN(0,J350-(OFFSET($C350,0,$A350)/(OFFSET($C345,-$A349,$A350)))),
MAX(0,J350-(OFFSET($C350,0,$A350)/(OFFSET($C345,-$A349,$A350))))),0))</f>
        <v>0</v>
      </c>
      <c r="L350" s="1423">
        <f t="shared" ca="1" si="477"/>
        <v>0</v>
      </c>
      <c r="M350" s="1423">
        <f t="shared" ca="1" si="478"/>
        <v>0</v>
      </c>
      <c r="N350" s="1423">
        <f t="shared" ca="1" si="479"/>
        <v>0</v>
      </c>
      <c r="O350" s="1423">
        <f t="shared" ca="1" si="480"/>
        <v>0</v>
      </c>
      <c r="P350" s="1423">
        <f t="shared" ca="1" si="481"/>
        <v>0</v>
      </c>
      <c r="Q350" s="1423">
        <f t="shared" ca="1" si="482"/>
        <v>0</v>
      </c>
      <c r="R350" s="1423">
        <f t="shared" ca="1" si="483"/>
        <v>0</v>
      </c>
      <c r="S350" s="1423">
        <f t="shared" ca="1" si="484"/>
        <v>0</v>
      </c>
      <c r="T350" s="1423">
        <f t="shared" ca="1" si="485"/>
        <v>0</v>
      </c>
      <c r="U350" s="1423">
        <f t="shared" ca="1" si="486"/>
        <v>0</v>
      </c>
      <c r="V350" s="1423">
        <f t="shared" ca="1" si="487"/>
        <v>0</v>
      </c>
      <c r="W350" s="1423">
        <f t="shared" ca="1" si="488"/>
        <v>0</v>
      </c>
      <c r="X350" s="202"/>
      <c r="Y350" s="202"/>
      <c r="Z350" s="202"/>
      <c r="AA350" s="152"/>
      <c r="AB350" s="152"/>
    </row>
    <row r="351" spans="1:28" hidden="1" outlineLevel="1">
      <c r="A351" s="199">
        <f t="shared" si="489"/>
        <v>8</v>
      </c>
      <c r="B351" s="190" t="str">
        <f t="shared" ca="1" si="490"/>
        <v>Depreciated Net Capex 2023-24</v>
      </c>
      <c r="C351" s="1426"/>
      <c r="D351" s="1426"/>
      <c r="E351" s="1426"/>
      <c r="F351" s="1426"/>
      <c r="G351" s="1426"/>
      <c r="H351" s="1426"/>
      <c r="I351" s="1426"/>
      <c r="J351" s="1427"/>
      <c r="K351" s="1428">
        <f>(K338*((1+K$11)^0.5)/K$10)</f>
        <v>0</v>
      </c>
      <c r="L351" s="1423">
        <f ca="1">IF(K375="n/a",K351,IFERROR(IF((OFFSET($C351,0,$A351))&lt;0,
MIN(0,K351-(OFFSET($C351,0,$A351)/(OFFSET($C346,-$A350,$A351)))),
MAX(0,K351-(OFFSET($C351,0,$A351)/(OFFSET($C346,-$A350,$A351))))),0))</f>
        <v>0</v>
      </c>
      <c r="M351" s="1423">
        <f t="shared" ca="1" si="478"/>
        <v>0</v>
      </c>
      <c r="N351" s="1423">
        <f t="shared" ca="1" si="479"/>
        <v>0</v>
      </c>
      <c r="O351" s="1423">
        <f t="shared" ca="1" si="480"/>
        <v>0</v>
      </c>
      <c r="P351" s="1423">
        <f t="shared" ca="1" si="481"/>
        <v>0</v>
      </c>
      <c r="Q351" s="1423">
        <f t="shared" ca="1" si="482"/>
        <v>0</v>
      </c>
      <c r="R351" s="1423">
        <f t="shared" ca="1" si="483"/>
        <v>0</v>
      </c>
      <c r="S351" s="1423">
        <f t="shared" ca="1" si="484"/>
        <v>0</v>
      </c>
      <c r="T351" s="1423">
        <f t="shared" ca="1" si="485"/>
        <v>0</v>
      </c>
      <c r="U351" s="1423">
        <f t="shared" ca="1" si="486"/>
        <v>0</v>
      </c>
      <c r="V351" s="1423">
        <f t="shared" ca="1" si="487"/>
        <v>0</v>
      </c>
      <c r="W351" s="1423">
        <f t="shared" ca="1" si="488"/>
        <v>0</v>
      </c>
      <c r="X351" s="202"/>
      <c r="Y351" s="202"/>
      <c r="Z351" s="202"/>
      <c r="AA351" s="152"/>
      <c r="AB351" s="152"/>
    </row>
    <row r="352" spans="1:28" hidden="1" outlineLevel="1">
      <c r="A352" s="199">
        <f t="shared" si="489"/>
        <v>9</v>
      </c>
      <c r="B352" s="190" t="str">
        <f t="shared" ca="1" si="490"/>
        <v>Depreciated Net Capex 2024-25</v>
      </c>
      <c r="C352" s="1426"/>
      <c r="D352" s="1426"/>
      <c r="E352" s="1426"/>
      <c r="F352" s="1426"/>
      <c r="G352" s="1426"/>
      <c r="H352" s="1426"/>
      <c r="I352" s="1426"/>
      <c r="J352" s="1426"/>
      <c r="K352" s="1427"/>
      <c r="L352" s="1428">
        <f>(L338*((1+L$11)^0.5)/L$10)</f>
        <v>0</v>
      </c>
      <c r="M352" s="1423">
        <f ca="1">IF(L376="n/a",L352,IFERROR(IF((OFFSET($C352,0,$A352))&lt;0,
MIN(0,L352-(OFFSET($C352,0,$A352)/(OFFSET($C347,-$A351,$A352)))),
MAX(0,L352-(OFFSET($C352,0,$A352)/(OFFSET($C347,-$A351,$A352))))),0))</f>
        <v>0</v>
      </c>
      <c r="N352" s="1423">
        <f t="shared" ca="1" si="479"/>
        <v>0</v>
      </c>
      <c r="O352" s="1423">
        <f t="shared" ca="1" si="480"/>
        <v>0</v>
      </c>
      <c r="P352" s="1423">
        <f t="shared" ca="1" si="481"/>
        <v>0</v>
      </c>
      <c r="Q352" s="1423">
        <f t="shared" ca="1" si="482"/>
        <v>0</v>
      </c>
      <c r="R352" s="1423">
        <f t="shared" ca="1" si="483"/>
        <v>0</v>
      </c>
      <c r="S352" s="1423">
        <f t="shared" ca="1" si="484"/>
        <v>0</v>
      </c>
      <c r="T352" s="1423">
        <f t="shared" ca="1" si="485"/>
        <v>0</v>
      </c>
      <c r="U352" s="1423">
        <f t="shared" ca="1" si="486"/>
        <v>0</v>
      </c>
      <c r="V352" s="1423">
        <f t="shared" ca="1" si="487"/>
        <v>0</v>
      </c>
      <c r="W352" s="1423">
        <f t="shared" ca="1" si="488"/>
        <v>0</v>
      </c>
      <c r="X352" s="202"/>
      <c r="Y352" s="202"/>
      <c r="Z352" s="202"/>
      <c r="AA352" s="152"/>
      <c r="AB352" s="152"/>
    </row>
    <row r="353" spans="1:28" hidden="1" outlineLevel="1">
      <c r="A353" s="199">
        <f t="shared" si="489"/>
        <v>10</v>
      </c>
      <c r="B353" s="190" t="str">
        <f t="shared" ca="1" si="490"/>
        <v>Depreciated Net Capex 2025-26</v>
      </c>
      <c r="C353" s="1426"/>
      <c r="D353" s="1426"/>
      <c r="E353" s="1426"/>
      <c r="F353" s="1426"/>
      <c r="G353" s="1426"/>
      <c r="H353" s="1426"/>
      <c r="I353" s="1426"/>
      <c r="J353" s="1426"/>
      <c r="K353" s="1426"/>
      <c r="L353" s="1427"/>
      <c r="M353" s="1428">
        <f>(M338*((1+M$11)^0.5)/M$10)</f>
        <v>0</v>
      </c>
      <c r="N353" s="1423">
        <f ca="1">IF(M377="n/a",M353,IFERROR(IF((OFFSET($C353,0,$A353))&lt;0,
MIN(0,M353-(OFFSET($C353,0,$A353)/(OFFSET($C348,-$A352,$A353)))),
MAX(0,M353-(OFFSET($C353,0,$A353)/(OFFSET($C348,-$A352,$A353))))),0))</f>
        <v>0</v>
      </c>
      <c r="O353" s="1423">
        <f t="shared" ca="1" si="480"/>
        <v>0</v>
      </c>
      <c r="P353" s="1423">
        <f t="shared" ca="1" si="481"/>
        <v>0</v>
      </c>
      <c r="Q353" s="1423">
        <f t="shared" ca="1" si="482"/>
        <v>0</v>
      </c>
      <c r="R353" s="1423">
        <f t="shared" ca="1" si="483"/>
        <v>0</v>
      </c>
      <c r="S353" s="1423">
        <f t="shared" ca="1" si="484"/>
        <v>0</v>
      </c>
      <c r="T353" s="1423">
        <f t="shared" ca="1" si="485"/>
        <v>0</v>
      </c>
      <c r="U353" s="1423">
        <f t="shared" ca="1" si="486"/>
        <v>0</v>
      </c>
      <c r="V353" s="1423">
        <f t="shared" ca="1" si="487"/>
        <v>0</v>
      </c>
      <c r="W353" s="1423">
        <f t="shared" ca="1" si="488"/>
        <v>0</v>
      </c>
      <c r="X353" s="202"/>
      <c r="Y353" s="202"/>
      <c r="Z353" s="202"/>
      <c r="AA353" s="152"/>
      <c r="AB353" s="152"/>
    </row>
    <row r="354" spans="1:28" hidden="1" outlineLevel="1">
      <c r="A354" s="199">
        <f t="shared" si="489"/>
        <v>11</v>
      </c>
      <c r="B354" s="190" t="str">
        <f t="shared" ca="1" si="490"/>
        <v>Depreciated Net Capex 2026-27</v>
      </c>
      <c r="C354" s="1426"/>
      <c r="D354" s="1426"/>
      <c r="E354" s="1426"/>
      <c r="F354" s="1426"/>
      <c r="G354" s="1426"/>
      <c r="H354" s="1426"/>
      <c r="I354" s="1426"/>
      <c r="J354" s="1426"/>
      <c r="K354" s="1426"/>
      <c r="L354" s="1426"/>
      <c r="M354" s="1427"/>
      <c r="N354" s="1428">
        <f>(N338*((1+N$11)^0.5)/N$10)</f>
        <v>0</v>
      </c>
      <c r="O354" s="1423">
        <f ca="1">IF(N378="n/a",N354,IFERROR(IF((OFFSET($C354,0,$A354))&lt;0,
MIN(0,N354-(OFFSET($C354,0,$A354)/(OFFSET($C349,-$A353,$A354)))),
MAX(0,N354-(OFFSET($C354,0,$A354)/(OFFSET($C349,-$A353,$A354))))),0))</f>
        <v>0</v>
      </c>
      <c r="P354" s="1423">
        <f t="shared" ca="1" si="481"/>
        <v>0</v>
      </c>
      <c r="Q354" s="1423">
        <f t="shared" ca="1" si="482"/>
        <v>0</v>
      </c>
      <c r="R354" s="1423">
        <f t="shared" ca="1" si="483"/>
        <v>0</v>
      </c>
      <c r="S354" s="1423">
        <f t="shared" ca="1" si="484"/>
        <v>0</v>
      </c>
      <c r="T354" s="1423">
        <f t="shared" ca="1" si="485"/>
        <v>0</v>
      </c>
      <c r="U354" s="1423">
        <f t="shared" ca="1" si="486"/>
        <v>0</v>
      </c>
      <c r="V354" s="1423">
        <f t="shared" ca="1" si="487"/>
        <v>0</v>
      </c>
      <c r="W354" s="1423">
        <f t="shared" ca="1" si="488"/>
        <v>0</v>
      </c>
      <c r="X354" s="202"/>
      <c r="Y354" s="202"/>
      <c r="Z354" s="202"/>
      <c r="AA354" s="152"/>
      <c r="AB354" s="152"/>
    </row>
    <row r="355" spans="1:28" hidden="1" outlineLevel="1">
      <c r="A355" s="199">
        <f t="shared" si="489"/>
        <v>12</v>
      </c>
      <c r="B355" s="190" t="str">
        <f t="shared" ca="1" si="490"/>
        <v>Depreciated Net Capex 2027-28</v>
      </c>
      <c r="C355" s="1426"/>
      <c r="D355" s="1426"/>
      <c r="E355" s="1426"/>
      <c r="F355" s="1426"/>
      <c r="G355" s="1426"/>
      <c r="H355" s="1426"/>
      <c r="I355" s="1426"/>
      <c r="J355" s="1426"/>
      <c r="K355" s="1426"/>
      <c r="L355" s="1426"/>
      <c r="M355" s="1426"/>
      <c r="N355" s="1427"/>
      <c r="O355" s="1428">
        <f>(O338*((1+O$11)^0.5)/O$10)</f>
        <v>0</v>
      </c>
      <c r="P355" s="1423">
        <f ca="1">IF(O379="n/a",O355,IFERROR(IF((OFFSET($C355,0,$A355))&lt;0,
MIN(0,O355-(OFFSET($C355,0,$A355)/(OFFSET($C350,-$A354,$A355)))),
MAX(0,O355-(OFFSET($C355,0,$A355)/(OFFSET($C350,-$A354,$A355))))),0))</f>
        <v>0</v>
      </c>
      <c r="Q355" s="1423">
        <f t="shared" ca="1" si="482"/>
        <v>0</v>
      </c>
      <c r="R355" s="1423">
        <f t="shared" ca="1" si="483"/>
        <v>0</v>
      </c>
      <c r="S355" s="1423">
        <f t="shared" ca="1" si="484"/>
        <v>0</v>
      </c>
      <c r="T355" s="1423">
        <f t="shared" ca="1" si="485"/>
        <v>0</v>
      </c>
      <c r="U355" s="1423">
        <f t="shared" ca="1" si="486"/>
        <v>0</v>
      </c>
      <c r="V355" s="1423">
        <f t="shared" ca="1" si="487"/>
        <v>0</v>
      </c>
      <c r="W355" s="1423">
        <f t="shared" ca="1" si="488"/>
        <v>0</v>
      </c>
      <c r="X355" s="202"/>
      <c r="Y355" s="202"/>
      <c r="Z355" s="202"/>
      <c r="AA355" s="152"/>
      <c r="AB355" s="152"/>
    </row>
    <row r="356" spans="1:28" hidden="1" outlineLevel="1">
      <c r="A356" s="199">
        <f t="shared" si="489"/>
        <v>13</v>
      </c>
      <c r="B356" s="190" t="str">
        <f t="shared" ca="1" si="490"/>
        <v>Depreciated Net Capex 2028-29</v>
      </c>
      <c r="C356" s="1426"/>
      <c r="D356" s="1426"/>
      <c r="E356" s="1426"/>
      <c r="F356" s="1426"/>
      <c r="G356" s="1426"/>
      <c r="H356" s="1426"/>
      <c r="I356" s="1426"/>
      <c r="J356" s="1426"/>
      <c r="K356" s="1426"/>
      <c r="L356" s="1426"/>
      <c r="M356" s="1426"/>
      <c r="N356" s="1426"/>
      <c r="O356" s="1427"/>
      <c r="P356" s="1428">
        <f>(P338*((1+P$11)^0.5)/P$10)</f>
        <v>0</v>
      </c>
      <c r="Q356" s="1423">
        <f ca="1">IF(P380="n/a",P356,IFERROR(IF((OFFSET($C356,0,$A356))&lt;0,
MIN(0,P356-(OFFSET($C356,0,$A356)/(OFFSET($C351,-$A355,$A356)))),
MAX(0,P356-(OFFSET($C356,0,$A356)/(OFFSET($C351,-$A355,$A356))))),0))</f>
        <v>0</v>
      </c>
      <c r="R356" s="1423">
        <f t="shared" ca="1" si="483"/>
        <v>0</v>
      </c>
      <c r="S356" s="1423">
        <f t="shared" ca="1" si="484"/>
        <v>0</v>
      </c>
      <c r="T356" s="1423">
        <f t="shared" ca="1" si="485"/>
        <v>0</v>
      </c>
      <c r="U356" s="1423">
        <f t="shared" ca="1" si="486"/>
        <v>0</v>
      </c>
      <c r="V356" s="1423">
        <f t="shared" ca="1" si="487"/>
        <v>0</v>
      </c>
      <c r="W356" s="1423">
        <f t="shared" ca="1" si="488"/>
        <v>0</v>
      </c>
      <c r="X356" s="202"/>
      <c r="Y356" s="202"/>
      <c r="Z356" s="202"/>
      <c r="AA356" s="152"/>
      <c r="AB356" s="152"/>
    </row>
    <row r="357" spans="1:28" hidden="1" outlineLevel="1">
      <c r="A357" s="199">
        <f t="shared" si="489"/>
        <v>14</v>
      </c>
      <c r="B357" s="190" t="str">
        <f t="shared" ca="1" si="490"/>
        <v>Depreciated Net Capex 2029-30</v>
      </c>
      <c r="C357" s="1426"/>
      <c r="D357" s="1426"/>
      <c r="E357" s="1426"/>
      <c r="F357" s="1426"/>
      <c r="G357" s="1426"/>
      <c r="H357" s="1426"/>
      <c r="I357" s="1426"/>
      <c r="J357" s="1426"/>
      <c r="K357" s="1426"/>
      <c r="L357" s="1426"/>
      <c r="M357" s="1426"/>
      <c r="N357" s="1426"/>
      <c r="O357" s="1426"/>
      <c r="P357" s="1427"/>
      <c r="Q357" s="1428">
        <f>(Q338*((1+Q$11)^0.5)/Q$10)</f>
        <v>0</v>
      </c>
      <c r="R357" s="1423">
        <f ca="1">IF(Q381="n/a",Q357,IFERROR(IF((OFFSET($C357,0,$A357))&lt;0,
MIN(0,Q357-(OFFSET($C357,0,$A357)/(OFFSET($C352,-$A356,$A357)))),
MAX(0,Q357-(OFFSET($C357,0,$A357)/(OFFSET($C352,-$A356,$A357))))),0))</f>
        <v>0</v>
      </c>
      <c r="S357" s="1423">
        <f t="shared" ca="1" si="484"/>
        <v>0</v>
      </c>
      <c r="T357" s="1423">
        <f t="shared" ca="1" si="485"/>
        <v>0</v>
      </c>
      <c r="U357" s="1423">
        <f t="shared" ca="1" si="486"/>
        <v>0</v>
      </c>
      <c r="V357" s="1423">
        <f t="shared" ca="1" si="487"/>
        <v>0</v>
      </c>
      <c r="W357" s="1423">
        <f t="shared" ca="1" si="488"/>
        <v>0</v>
      </c>
      <c r="X357" s="202"/>
      <c r="Y357" s="202"/>
      <c r="Z357" s="202"/>
      <c r="AA357" s="152"/>
      <c r="AB357" s="152"/>
    </row>
    <row r="358" spans="1:28" hidden="1" outlineLevel="1">
      <c r="A358" s="199">
        <f t="shared" si="489"/>
        <v>15</v>
      </c>
      <c r="B358" s="190" t="str">
        <f t="shared" ca="1" si="490"/>
        <v>Depreciated Net Capex 2030-31</v>
      </c>
      <c r="C358" s="1426"/>
      <c r="D358" s="1426"/>
      <c r="E358" s="1426"/>
      <c r="F358" s="1426"/>
      <c r="G358" s="1426"/>
      <c r="H358" s="1426"/>
      <c r="I358" s="1426"/>
      <c r="J358" s="1426"/>
      <c r="K358" s="1426"/>
      <c r="L358" s="1426"/>
      <c r="M358" s="1426"/>
      <c r="N358" s="1426"/>
      <c r="O358" s="1426"/>
      <c r="P358" s="1426"/>
      <c r="Q358" s="1427"/>
      <c r="R358" s="1428">
        <f>(R338*((1+R$11)^0.5)/R$10)</f>
        <v>0</v>
      </c>
      <c r="S358" s="1423">
        <f ca="1">IF(R382="n/a",R358,IFERROR(IF((OFFSET($C358,0,$A358))&lt;0,
MIN(0,R358-(OFFSET($C358,0,$A358)/(OFFSET($C353,-$A357,$A358)))),
MAX(0,R358-(OFFSET($C358,0,$A358)/(OFFSET($C353,-$A357,$A358))))),0))</f>
        <v>0</v>
      </c>
      <c r="T358" s="1423">
        <f t="shared" ca="1" si="485"/>
        <v>0</v>
      </c>
      <c r="U358" s="1423">
        <f t="shared" ca="1" si="486"/>
        <v>0</v>
      </c>
      <c r="V358" s="1423">
        <f t="shared" ca="1" si="487"/>
        <v>0</v>
      </c>
      <c r="W358" s="1423">
        <f t="shared" ca="1" si="488"/>
        <v>0</v>
      </c>
      <c r="X358" s="202"/>
      <c r="Y358" s="202"/>
      <c r="Z358" s="202"/>
      <c r="AA358" s="152"/>
      <c r="AB358" s="152"/>
    </row>
    <row r="359" spans="1:28" hidden="1" outlineLevel="1">
      <c r="A359" s="199">
        <f t="shared" si="489"/>
        <v>16</v>
      </c>
      <c r="B359" s="190" t="str">
        <f t="shared" ca="1" si="490"/>
        <v>Depreciated Net Capex 2031-32</v>
      </c>
      <c r="C359" s="1426"/>
      <c r="D359" s="1426"/>
      <c r="E359" s="1426"/>
      <c r="F359" s="1426"/>
      <c r="G359" s="1426"/>
      <c r="H359" s="1426"/>
      <c r="I359" s="1426"/>
      <c r="J359" s="1426"/>
      <c r="K359" s="1426"/>
      <c r="L359" s="1426"/>
      <c r="M359" s="1426"/>
      <c r="N359" s="1426"/>
      <c r="O359" s="1426"/>
      <c r="P359" s="1426"/>
      <c r="Q359" s="1426"/>
      <c r="R359" s="1427"/>
      <c r="S359" s="1428">
        <f>(S338*((1+S$11)^0.5)/S$10)</f>
        <v>0</v>
      </c>
      <c r="T359" s="1423">
        <f ca="1">IF(S383="n/a",S359,IFERROR(IF((OFFSET($C359,0,$A359))&lt;0,
MIN(0,S359-(OFFSET($C359,0,$A359)/(OFFSET($C354,-$A358,$A359)))),
MAX(0,S359-(OFFSET($C359,0,$A359)/(OFFSET($C354,-$A358,$A359))))),0))</f>
        <v>0</v>
      </c>
      <c r="U359" s="1423">
        <f t="shared" ca="1" si="486"/>
        <v>0</v>
      </c>
      <c r="V359" s="1423">
        <f t="shared" ca="1" si="487"/>
        <v>0</v>
      </c>
      <c r="W359" s="1423">
        <f t="shared" ca="1" si="488"/>
        <v>0</v>
      </c>
      <c r="X359" s="202"/>
      <c r="Y359" s="202"/>
      <c r="Z359" s="202"/>
      <c r="AA359" s="152"/>
      <c r="AB359" s="152"/>
    </row>
    <row r="360" spans="1:28" hidden="1" outlineLevel="1">
      <c r="A360" s="199">
        <f t="shared" si="489"/>
        <v>17</v>
      </c>
      <c r="B360" s="190" t="str">
        <f t="shared" ca="1" si="490"/>
        <v>Depreciated Net Capex 2032-33</v>
      </c>
      <c r="C360" s="1426"/>
      <c r="D360" s="1426"/>
      <c r="E360" s="1426"/>
      <c r="F360" s="1426"/>
      <c r="G360" s="1426"/>
      <c r="H360" s="1426"/>
      <c r="I360" s="1426"/>
      <c r="J360" s="1426"/>
      <c r="K360" s="1426"/>
      <c r="L360" s="1426"/>
      <c r="M360" s="1426"/>
      <c r="N360" s="1426"/>
      <c r="O360" s="1426"/>
      <c r="P360" s="1426"/>
      <c r="Q360" s="1426"/>
      <c r="R360" s="1426"/>
      <c r="S360" s="1427"/>
      <c r="T360" s="1428">
        <f>(T338*((1+T$11)^0.5)/T$10)</f>
        <v>0</v>
      </c>
      <c r="U360" s="1423">
        <f ca="1">IF(T384="n/a",T360,IFERROR(IF((OFFSET($C360,0,$A360))&lt;0,
MIN(0,T360-(OFFSET($C360,0,$A360)/(OFFSET($C355,-$A359,$A360)))),
MAX(0,T360-(OFFSET($C360,0,$A360)/(OFFSET($C355,-$A359,$A360))))),0))</f>
        <v>0</v>
      </c>
      <c r="V360" s="1423">
        <f t="shared" ca="1" si="487"/>
        <v>0</v>
      </c>
      <c r="W360" s="1423">
        <f t="shared" ca="1" si="488"/>
        <v>0</v>
      </c>
      <c r="X360" s="202"/>
      <c r="Y360" s="202"/>
      <c r="Z360" s="202"/>
      <c r="AA360" s="152"/>
      <c r="AB360" s="152"/>
    </row>
    <row r="361" spans="1:28" hidden="1" outlineLevel="1">
      <c r="A361" s="199">
        <f t="shared" si="489"/>
        <v>18</v>
      </c>
      <c r="B361" s="190" t="str">
        <f t="shared" ca="1" si="490"/>
        <v>Depreciated Net Capex 2033-34</v>
      </c>
      <c r="C361" s="1426"/>
      <c r="D361" s="1426"/>
      <c r="E361" s="1426"/>
      <c r="F361" s="1426"/>
      <c r="G361" s="1426"/>
      <c r="H361" s="1426"/>
      <c r="I361" s="1426"/>
      <c r="J361" s="1426"/>
      <c r="K361" s="1426"/>
      <c r="L361" s="1426"/>
      <c r="M361" s="1426"/>
      <c r="N361" s="1426"/>
      <c r="O361" s="1426"/>
      <c r="P361" s="1426"/>
      <c r="Q361" s="1426"/>
      <c r="R361" s="1426"/>
      <c r="S361" s="1426"/>
      <c r="T361" s="1427"/>
      <c r="U361" s="1428">
        <f>(U338*((1+U$11)^0.5)/U$10)</f>
        <v>0</v>
      </c>
      <c r="V361" s="1423">
        <f ca="1">IF(U385="n/a",U361,IFERROR(IF((OFFSET($C361,0,$A361))&lt;0,
MIN(0,U361-(OFFSET($C361,0,$A361)/(OFFSET($C356,-$A360,$A361)))),
MAX(0,U361-(OFFSET($C361,0,$A361)/(OFFSET($C356,-$A360,$A361))))),0))</f>
        <v>0</v>
      </c>
      <c r="W361" s="1423">
        <f t="shared" ca="1" si="488"/>
        <v>0</v>
      </c>
      <c r="X361" s="202"/>
      <c r="Y361" s="202"/>
      <c r="Z361" s="202"/>
      <c r="AA361" s="152"/>
      <c r="AB361" s="152"/>
    </row>
    <row r="362" spans="1:28" hidden="1" outlineLevel="1">
      <c r="A362" s="199">
        <f t="shared" si="489"/>
        <v>19</v>
      </c>
      <c r="B362" s="190" t="str">
        <f t="shared" ca="1" si="490"/>
        <v>Depreciated Net Capex 2034-35</v>
      </c>
      <c r="C362" s="1426"/>
      <c r="D362" s="1426"/>
      <c r="E362" s="1426"/>
      <c r="F362" s="1426"/>
      <c r="G362" s="1426"/>
      <c r="H362" s="1426"/>
      <c r="I362" s="1426"/>
      <c r="J362" s="1426"/>
      <c r="K362" s="1426"/>
      <c r="L362" s="1426"/>
      <c r="M362" s="1426"/>
      <c r="N362" s="1426"/>
      <c r="O362" s="1426"/>
      <c r="P362" s="1426"/>
      <c r="Q362" s="1426"/>
      <c r="R362" s="1426"/>
      <c r="S362" s="1426"/>
      <c r="T362" s="1426"/>
      <c r="U362" s="1427"/>
      <c r="V362" s="1428">
        <f>(V338*((1+V$11)^0.5)/V$10)</f>
        <v>0</v>
      </c>
      <c r="W362" s="1423">
        <f ca="1">IF(V386="n/a",V362,IFERROR(IF((OFFSET($C362,0,$A362))&lt;0,
MIN(0,V362-(OFFSET($C362,0,$A362)/(OFFSET($C357,-$A361,$A362)))),
MAX(0,V362-(OFFSET($C362,0,$A362)/(OFFSET($C357,-$A361,$A362))))),0))</f>
        <v>0</v>
      </c>
      <c r="X362" s="202"/>
      <c r="Y362" s="202"/>
      <c r="Z362" s="202"/>
      <c r="AA362" s="152"/>
      <c r="AB362" s="152"/>
    </row>
    <row r="363" spans="1:28" hidden="1" outlineLevel="1">
      <c r="A363" s="199">
        <f t="shared" si="489"/>
        <v>20</v>
      </c>
      <c r="B363" s="190" t="str">
        <f ca="1">"Depreciated Net Capex "&amp;OFFSET($C$6,0,A363)</f>
        <v>Depreciated Net Capex 2035-36</v>
      </c>
      <c r="C363" s="1426"/>
      <c r="D363" s="1426"/>
      <c r="E363" s="1426"/>
      <c r="F363" s="1426"/>
      <c r="G363" s="1426"/>
      <c r="H363" s="1426"/>
      <c r="I363" s="1426"/>
      <c r="J363" s="1426"/>
      <c r="K363" s="1426"/>
      <c r="L363" s="1426"/>
      <c r="M363" s="1426"/>
      <c r="N363" s="1426"/>
      <c r="O363" s="1426"/>
      <c r="P363" s="1426"/>
      <c r="Q363" s="1426"/>
      <c r="R363" s="1426"/>
      <c r="S363" s="1426"/>
      <c r="T363" s="1426"/>
      <c r="U363" s="1426"/>
      <c r="V363" s="1427"/>
      <c r="W363" s="1423">
        <f>(W338*((1+W$11)^0.5)/W$10)</f>
        <v>0</v>
      </c>
      <c r="X363" s="152"/>
      <c r="Y363" s="152"/>
      <c r="Z363" s="152"/>
      <c r="AA363" s="152"/>
      <c r="AB363" s="152"/>
    </row>
    <row r="364" spans="1:28" hidden="1" outlineLevel="1">
      <c r="A364" s="152"/>
      <c r="B364" s="200"/>
      <c r="C364" s="1423"/>
      <c r="D364" s="1423"/>
      <c r="E364" s="1423"/>
      <c r="F364" s="1423"/>
      <c r="G364" s="1423"/>
      <c r="H364" s="1423"/>
      <c r="I364" s="1423"/>
      <c r="J364" s="1423"/>
      <c r="K364" s="1423"/>
      <c r="L364" s="1423"/>
      <c r="M364" s="1423"/>
      <c r="N364" s="1423"/>
      <c r="O364" s="1423"/>
      <c r="P364" s="1423"/>
      <c r="Q364" s="1423"/>
      <c r="R364" s="1423"/>
      <c r="S364" s="1423"/>
      <c r="T364" s="1423"/>
      <c r="U364" s="1423"/>
      <c r="V364" s="1423"/>
      <c r="W364" s="1423"/>
      <c r="X364" s="152"/>
      <c r="Y364" s="152"/>
      <c r="Z364" s="152"/>
      <c r="AA364" s="152"/>
      <c r="AB364" s="152"/>
    </row>
    <row r="365" spans="1:28" hidden="1" outlineLevel="1">
      <c r="A365" s="152"/>
      <c r="B365" s="200"/>
      <c r="C365" s="1423"/>
      <c r="D365" s="1423"/>
      <c r="E365" s="1423"/>
      <c r="F365" s="1423"/>
      <c r="G365" s="1423"/>
      <c r="H365" s="1423"/>
      <c r="I365" s="1423"/>
      <c r="J365" s="1423"/>
      <c r="K365" s="1423"/>
      <c r="L365" s="1423"/>
      <c r="M365" s="1423"/>
      <c r="N365" s="1423"/>
      <c r="O365" s="1423"/>
      <c r="P365" s="1423"/>
      <c r="Q365" s="1423"/>
      <c r="R365" s="1423"/>
      <c r="S365" s="1423"/>
      <c r="T365" s="1423"/>
      <c r="U365" s="1423"/>
      <c r="V365" s="1423"/>
      <c r="W365" s="1423"/>
      <c r="X365" s="152"/>
      <c r="Y365" s="152"/>
      <c r="Z365" s="152"/>
      <c r="AA365" s="152"/>
      <c r="AB365" s="152"/>
    </row>
    <row r="366" spans="1:28" hidden="1" outlineLevel="1">
      <c r="A366" s="152"/>
      <c r="B366" s="190" t="s">
        <v>190</v>
      </c>
      <c r="C366" s="1423"/>
      <c r="D366" s="1423">
        <f ca="1">IF(AND(C366&lt;1,D340=0),0,
IF(D340=0,C366-1,
IF(C366&lt;1,D341,
(((C366-1)*(C342-(C342/(C366))))+((D340/D$10)*D341))/(D342))))</f>
        <v>0</v>
      </c>
      <c r="E366" s="1423">
        <f t="shared" ref="E366" ca="1" si="491">IF(AND(D366&lt;1,E340=0),0,
IF(E340=0,D366-1,
IF(D366&lt;1,E341,
(((D366-1)*(D342-(D342/(D366))))+((E340/E$10)*E341))/(E342))))</f>
        <v>0</v>
      </c>
      <c r="F366" s="1423">
        <f t="shared" ref="F366" ca="1" si="492">IF(AND(E366&lt;1,F340=0),0,
IF(F340=0,E366-1,
IF(E366&lt;1,F341,
(((E366-1)*(E342-(E342/(E366))))+((F340/F$10)*F341))/(F342))))</f>
        <v>0</v>
      </c>
      <c r="G366" s="1423">
        <f t="shared" ref="G366" ca="1" si="493">IF(AND(F366&lt;1,G340=0),0,
IF(G340=0,F366-1,
IF(F366&lt;1,G341,
(((F366-1)*(F342-(F342/(F366))))+((G340/G$10)*G341))/(G342))))</f>
        <v>0</v>
      </c>
      <c r="H366" s="1423">
        <f t="shared" ref="H366" ca="1" si="494">IF(AND(G366&lt;1,H340=0),0,
IF(H340=0,G366-1,
IF(G366&lt;1,H341,
(((G366-1)*(G342-(G342/(G366))))+((H340/H$10)*H341))/(H342))))</f>
        <v>0</v>
      </c>
      <c r="I366" s="1423">
        <f t="shared" ref="I366" ca="1" si="495">IF(AND(H366&lt;1,I340=0),0,
IF(I340=0,H366-1,
IF(H366&lt;1,I341,
(((H366-1)*(H342-(H342/(H366))))+((I340/I$10)*I341))/(I342))))</f>
        <v>0</v>
      </c>
      <c r="J366" s="1423">
        <f t="shared" ref="J366" ca="1" si="496">IF(AND(I366&lt;1,J340=0),0,
IF(J340=0,I366-1,
IF(I366&lt;1,J341,
(((I366-1)*(I342-(I342/(I366))))+((J340/J$10)*J341))/(J342))))</f>
        <v>0</v>
      </c>
      <c r="K366" s="1423">
        <f t="shared" ref="K366" ca="1" si="497">IF(AND(J366&lt;1,K340=0),0,
IF(K340=0,J366-1,
IF(J366&lt;1,K341,
(((J366-1)*(J342-(J342/(J366))))+((K340/K$10)*K341))/(K342))))</f>
        <v>0</v>
      </c>
      <c r="L366" s="1423">
        <f t="shared" ref="L366" ca="1" si="498">IF(AND(K366&lt;1,L340=0),0,
IF(L340=0,K366-1,
IF(K366&lt;1,L341,
(((K366-1)*(K342-(K342/(K366))))+((L340/L$10)*L341))/(L342))))</f>
        <v>0</v>
      </c>
      <c r="M366" s="1423">
        <f t="shared" ref="M366" ca="1" si="499">IF(AND(L366&lt;1,M340=0),0,
IF(M340=0,L366-1,
IF(L366&lt;1,M341,
(((L366-1)*(L342-(L342/(L366))))+((M340/M$10)*M341))/(M342))))</f>
        <v>0</v>
      </c>
      <c r="N366" s="1423">
        <f t="shared" ref="N366" ca="1" si="500">IF(AND(M366&lt;1,N340=0),0,
IF(N340=0,M366-1,
IF(M366&lt;1,N341,
(((M366-1)*(M342-(M342/(M366))))+((N340/N$10)*N341))/(N342))))</f>
        <v>0</v>
      </c>
      <c r="O366" s="1423">
        <f t="shared" ref="O366" ca="1" si="501">IF(AND(N366&lt;1,O340=0),0,
IF(O340=0,N366-1,
IF(N366&lt;1,O341,
(((N366-1)*(N342-(N342/(N366))))+((O340/O$10)*O341))/(O342))))</f>
        <v>0</v>
      </c>
      <c r="P366" s="1423">
        <f t="shared" ref="P366" ca="1" si="502">IF(AND(O366&lt;1,P340=0),0,
IF(P340=0,O366-1,
IF(O366&lt;1,P341,
(((O366-1)*(O342-(O342/(O366))))+((P340/P$10)*P341))/(P342))))</f>
        <v>0</v>
      </c>
      <c r="Q366" s="1423">
        <f t="shared" ref="Q366" ca="1" si="503">IF(AND(P366&lt;1,Q340=0),0,
IF(Q340=0,P366-1,
IF(P366&lt;1,Q341,
(((P366-1)*(P342-(P342/(P366))))+((Q340/Q$10)*Q341))/(Q342))))</f>
        <v>0</v>
      </c>
      <c r="R366" s="1423">
        <f t="shared" ref="R366" ca="1" si="504">IF(AND(Q366&lt;1,R340=0),0,
IF(R340=0,Q366-1,
IF(Q366&lt;1,R341,
(((Q366-1)*(Q342-(Q342/(Q366))))+((R340/R$10)*R341))/(R342))))</f>
        <v>0</v>
      </c>
      <c r="S366" s="1423">
        <f t="shared" ref="S366" ca="1" si="505">IF(AND(R366&lt;1,S340=0),0,
IF(S340=0,R366-1,
IF(R366&lt;1,S341,
(((R366-1)*(R342-(R342/(R366))))+((S340/S$10)*S341))/(S342))))</f>
        <v>0</v>
      </c>
      <c r="T366" s="1423">
        <f t="shared" ref="T366" ca="1" si="506">IF(AND(S366&lt;1,T340=0),0,
IF(T340=0,S366-1,
IF(S366&lt;1,T341,
(((S366-1)*(S342-(S342/(S366))))+((T340/T$10)*T341))/(T342))))</f>
        <v>0</v>
      </c>
      <c r="U366" s="1423">
        <f t="shared" ref="U366" ca="1" si="507">IF(AND(T366&lt;1,U340=0),0,
IF(U340=0,T366-1,
IF(T366&lt;1,U341,
(((T366-1)*(T342-(T342/(T366))))+((U340/U$10)*U341))/(U342))))</f>
        <v>0</v>
      </c>
      <c r="V366" s="1423">
        <f t="shared" ref="V366" ca="1" si="508">IF(AND(U366&lt;1,V340=0),0,
IF(V340=0,U366-1,
IF(U366&lt;1,V341,
(((U366-1)*(U342-(U342/(U366))))+((V340/V$10)*V341))/(V342))))</f>
        <v>0</v>
      </c>
      <c r="W366" s="1423">
        <f t="shared" ref="W366" ca="1" si="509">IF(AND(V366&lt;1,W340=0),0,
IF(W340=0,V366-1,
IF(V366&lt;1,W341,
(((V366-1)*(V342-(V342/(V366))))+((W340/W$10)*W341))/(W342))))</f>
        <v>0</v>
      </c>
      <c r="X366" s="152"/>
      <c r="Y366" s="152"/>
      <c r="Z366" s="152"/>
      <c r="AA366" s="152"/>
      <c r="AB366" s="152"/>
    </row>
    <row r="367" spans="1:28" hidden="1" outlineLevel="1">
      <c r="A367" s="152"/>
      <c r="B367" s="190" t="s">
        <v>122</v>
      </c>
      <c r="C367" s="1423" t="str">
        <f ca="1">C339</f>
        <v>n/a</v>
      </c>
      <c r="D367" s="1423" t="str">
        <f t="shared" ref="D367" ca="1" si="510">IF(C367="n/a","n/a",MAX(0,C367-1))</f>
        <v>n/a</v>
      </c>
      <c r="E367" s="1423" t="str">
        <f t="shared" ref="E367:E368" ca="1" si="511">IF(D367="n/a","n/a",MAX(0,D367-1))</f>
        <v>n/a</v>
      </c>
      <c r="F367" s="1423" t="str">
        <f t="shared" ref="F367:F369" ca="1" si="512">IF(E367="n/a","n/a",MAX(0,E367-1))</f>
        <v>n/a</v>
      </c>
      <c r="G367" s="1423" t="str">
        <f t="shared" ref="G367:G370" ca="1" si="513">IF(F367="n/a","n/a",MAX(0,F367-1))</f>
        <v>n/a</v>
      </c>
      <c r="H367" s="1423" t="str">
        <f t="shared" ref="H367:H371" ca="1" si="514">IF(G367="n/a","n/a",MAX(0,G367-1))</f>
        <v>n/a</v>
      </c>
      <c r="I367" s="1423" t="str">
        <f t="shared" ref="I367:I372" ca="1" si="515">IF(H367="n/a","n/a",MAX(0,H367-1))</f>
        <v>n/a</v>
      </c>
      <c r="J367" s="1423" t="str">
        <f t="shared" ref="J367:J373" ca="1" si="516">IF(I367="n/a","n/a",MAX(0,I367-1))</f>
        <v>n/a</v>
      </c>
      <c r="K367" s="1423" t="str">
        <f t="shared" ref="K367:K374" ca="1" si="517">IF(J367="n/a","n/a",MAX(0,J367-1))</f>
        <v>n/a</v>
      </c>
      <c r="L367" s="1423" t="str">
        <f t="shared" ref="L367:L375" ca="1" si="518">IF(K367="n/a","n/a",MAX(0,K367-1))</f>
        <v>n/a</v>
      </c>
      <c r="M367" s="1423" t="str">
        <f t="shared" ref="M367:M376" ca="1" si="519">IF(L367="n/a","n/a",MAX(0,L367-1))</f>
        <v>n/a</v>
      </c>
      <c r="N367" s="1423" t="str">
        <f t="shared" ref="N367:N377" ca="1" si="520">IF(M367="n/a","n/a",MAX(0,M367-1))</f>
        <v>n/a</v>
      </c>
      <c r="O367" s="1423" t="str">
        <f t="shared" ref="O367:O378" ca="1" si="521">IF(N367="n/a","n/a",MAX(0,N367-1))</f>
        <v>n/a</v>
      </c>
      <c r="P367" s="1423" t="str">
        <f t="shared" ref="P367:P379" ca="1" si="522">IF(O367="n/a","n/a",MAX(0,O367-1))</f>
        <v>n/a</v>
      </c>
      <c r="Q367" s="1423" t="str">
        <f t="shared" ref="Q367:Q380" ca="1" si="523">IF(P367="n/a","n/a",MAX(0,P367-1))</f>
        <v>n/a</v>
      </c>
      <c r="R367" s="1423" t="str">
        <f t="shared" ref="R367:R381" ca="1" si="524">IF(Q367="n/a","n/a",MAX(0,Q367-1))</f>
        <v>n/a</v>
      </c>
      <c r="S367" s="1423" t="str">
        <f t="shared" ref="S367:S382" ca="1" si="525">IF(R367="n/a","n/a",MAX(0,R367-1))</f>
        <v>n/a</v>
      </c>
      <c r="T367" s="1423" t="str">
        <f t="shared" ref="T367:T383" ca="1" si="526">IF(S367="n/a","n/a",MAX(0,S367-1))</f>
        <v>n/a</v>
      </c>
      <c r="U367" s="1423" t="str">
        <f t="shared" ref="U367:U384" ca="1" si="527">IF(T367="n/a","n/a",MAX(0,T367-1))</f>
        <v>n/a</v>
      </c>
      <c r="V367" s="1423" t="str">
        <f t="shared" ref="V367:V385" ca="1" si="528">IF(U367="n/a","n/a",MAX(0,U367-1))</f>
        <v>n/a</v>
      </c>
      <c r="W367" s="1423" t="str">
        <f t="shared" ref="W367:W385" ca="1" si="529">IF(V367="n/a","n/a",MAX(0,V367-1))</f>
        <v>n/a</v>
      </c>
      <c r="X367" s="152"/>
      <c r="Y367" s="152"/>
      <c r="Z367" s="152"/>
      <c r="AA367" s="152"/>
      <c r="AB367" s="152"/>
    </row>
    <row r="368" spans="1:28" hidden="1" outlineLevel="1">
      <c r="A368" s="152"/>
      <c r="B368" s="190" t="str">
        <f t="shared" ref="B368:B387" ca="1" si="530">"RL Capex "&amp;OFFSET($C$6,0,A344)</f>
        <v>RL Capex 2016-17</v>
      </c>
      <c r="C368" s="1424"/>
      <c r="D368" s="1428">
        <f>D339</f>
        <v>10</v>
      </c>
      <c r="E368" s="1423">
        <f t="shared" si="511"/>
        <v>9</v>
      </c>
      <c r="F368" s="1423">
        <f t="shared" si="512"/>
        <v>8</v>
      </c>
      <c r="G368" s="1423">
        <f t="shared" si="513"/>
        <v>7</v>
      </c>
      <c r="H368" s="1423">
        <f t="shared" si="514"/>
        <v>6</v>
      </c>
      <c r="I368" s="1423">
        <f t="shared" si="515"/>
        <v>5</v>
      </c>
      <c r="J368" s="1423">
        <f t="shared" si="516"/>
        <v>4</v>
      </c>
      <c r="K368" s="1423">
        <f t="shared" si="517"/>
        <v>3</v>
      </c>
      <c r="L368" s="1423">
        <f t="shared" si="518"/>
        <v>2</v>
      </c>
      <c r="M368" s="1423">
        <f t="shared" si="519"/>
        <v>1</v>
      </c>
      <c r="N368" s="1423">
        <f t="shared" si="520"/>
        <v>0</v>
      </c>
      <c r="O368" s="1423">
        <f t="shared" si="521"/>
        <v>0</v>
      </c>
      <c r="P368" s="1423">
        <f t="shared" si="522"/>
        <v>0</v>
      </c>
      <c r="Q368" s="1423">
        <f t="shared" si="523"/>
        <v>0</v>
      </c>
      <c r="R368" s="1423">
        <f t="shared" si="524"/>
        <v>0</v>
      </c>
      <c r="S368" s="1423">
        <f t="shared" si="525"/>
        <v>0</v>
      </c>
      <c r="T368" s="1423">
        <f t="shared" si="526"/>
        <v>0</v>
      </c>
      <c r="U368" s="1423">
        <f t="shared" si="527"/>
        <v>0</v>
      </c>
      <c r="V368" s="1423">
        <f t="shared" si="528"/>
        <v>0</v>
      </c>
      <c r="W368" s="1423">
        <f t="shared" si="529"/>
        <v>0</v>
      </c>
      <c r="X368" s="152"/>
      <c r="Y368" s="152"/>
      <c r="Z368" s="152"/>
      <c r="AA368" s="152"/>
      <c r="AB368" s="152"/>
    </row>
    <row r="369" spans="1:28" hidden="1" outlineLevel="1">
      <c r="A369" s="152"/>
      <c r="B369" s="190" t="str">
        <f t="shared" ca="1" si="530"/>
        <v>RL Capex 2017-18</v>
      </c>
      <c r="C369" s="1429"/>
      <c r="D369" s="1424"/>
      <c r="E369" s="1428">
        <f>E339</f>
        <v>10</v>
      </c>
      <c r="F369" s="1423">
        <f t="shared" si="512"/>
        <v>9</v>
      </c>
      <c r="G369" s="1423">
        <f t="shared" si="513"/>
        <v>8</v>
      </c>
      <c r="H369" s="1423">
        <f t="shared" si="514"/>
        <v>7</v>
      </c>
      <c r="I369" s="1423">
        <f t="shared" si="515"/>
        <v>6</v>
      </c>
      <c r="J369" s="1423">
        <f t="shared" si="516"/>
        <v>5</v>
      </c>
      <c r="K369" s="1423">
        <f t="shared" si="517"/>
        <v>4</v>
      </c>
      <c r="L369" s="1423">
        <f t="shared" si="518"/>
        <v>3</v>
      </c>
      <c r="M369" s="1423">
        <f t="shared" si="519"/>
        <v>2</v>
      </c>
      <c r="N369" s="1423">
        <f t="shared" si="520"/>
        <v>1</v>
      </c>
      <c r="O369" s="1423">
        <f t="shared" si="521"/>
        <v>0</v>
      </c>
      <c r="P369" s="1423">
        <f t="shared" si="522"/>
        <v>0</v>
      </c>
      <c r="Q369" s="1423">
        <f t="shared" si="523"/>
        <v>0</v>
      </c>
      <c r="R369" s="1423">
        <f t="shared" si="524"/>
        <v>0</v>
      </c>
      <c r="S369" s="1423">
        <f t="shared" si="525"/>
        <v>0</v>
      </c>
      <c r="T369" s="1423">
        <f t="shared" si="526"/>
        <v>0</v>
      </c>
      <c r="U369" s="1423">
        <f t="shared" si="527"/>
        <v>0</v>
      </c>
      <c r="V369" s="1423">
        <f t="shared" si="528"/>
        <v>0</v>
      </c>
      <c r="W369" s="1423">
        <f t="shared" si="529"/>
        <v>0</v>
      </c>
      <c r="X369" s="152"/>
      <c r="Y369" s="152"/>
      <c r="Z369" s="152"/>
      <c r="AA369" s="152"/>
      <c r="AB369" s="152"/>
    </row>
    <row r="370" spans="1:28" hidden="1" outlineLevel="1">
      <c r="A370" s="152"/>
      <c r="B370" s="190" t="str">
        <f t="shared" ca="1" si="530"/>
        <v>RL Capex 2018-19</v>
      </c>
      <c r="C370" s="1429"/>
      <c r="D370" s="1429"/>
      <c r="E370" s="1424"/>
      <c r="F370" s="1428">
        <f>F339</f>
        <v>10</v>
      </c>
      <c r="G370" s="1423">
        <f t="shared" si="513"/>
        <v>9</v>
      </c>
      <c r="H370" s="1423">
        <f t="shared" si="514"/>
        <v>8</v>
      </c>
      <c r="I370" s="1423">
        <f t="shared" si="515"/>
        <v>7</v>
      </c>
      <c r="J370" s="1423">
        <f t="shared" si="516"/>
        <v>6</v>
      </c>
      <c r="K370" s="1423">
        <f t="shared" si="517"/>
        <v>5</v>
      </c>
      <c r="L370" s="1423">
        <f t="shared" si="518"/>
        <v>4</v>
      </c>
      <c r="M370" s="1423">
        <f t="shared" si="519"/>
        <v>3</v>
      </c>
      <c r="N370" s="1423">
        <f t="shared" si="520"/>
        <v>2</v>
      </c>
      <c r="O370" s="1423">
        <f t="shared" si="521"/>
        <v>1</v>
      </c>
      <c r="P370" s="1423">
        <f t="shared" si="522"/>
        <v>0</v>
      </c>
      <c r="Q370" s="1423">
        <f t="shared" si="523"/>
        <v>0</v>
      </c>
      <c r="R370" s="1423">
        <f t="shared" si="524"/>
        <v>0</v>
      </c>
      <c r="S370" s="1423">
        <f t="shared" si="525"/>
        <v>0</v>
      </c>
      <c r="T370" s="1423">
        <f t="shared" si="526"/>
        <v>0</v>
      </c>
      <c r="U370" s="1423">
        <f t="shared" si="527"/>
        <v>0</v>
      </c>
      <c r="V370" s="1423">
        <f t="shared" si="528"/>
        <v>0</v>
      </c>
      <c r="W370" s="1423">
        <f t="shared" si="529"/>
        <v>0</v>
      </c>
      <c r="X370" s="152"/>
      <c r="Y370" s="152"/>
      <c r="Z370" s="152"/>
      <c r="AA370" s="152"/>
      <c r="AB370" s="152"/>
    </row>
    <row r="371" spans="1:28" hidden="1" outlineLevel="1">
      <c r="A371" s="152"/>
      <c r="B371" s="190" t="str">
        <f t="shared" ca="1" si="530"/>
        <v>RL Capex 2019-20</v>
      </c>
      <c r="C371" s="1429"/>
      <c r="D371" s="1429"/>
      <c r="E371" s="1429"/>
      <c r="F371" s="1424"/>
      <c r="G371" s="1428">
        <f>G339</f>
        <v>10</v>
      </c>
      <c r="H371" s="1423">
        <f t="shared" si="514"/>
        <v>9</v>
      </c>
      <c r="I371" s="1423">
        <f t="shared" si="515"/>
        <v>8</v>
      </c>
      <c r="J371" s="1423">
        <f t="shared" si="516"/>
        <v>7</v>
      </c>
      <c r="K371" s="1423">
        <f t="shared" si="517"/>
        <v>6</v>
      </c>
      <c r="L371" s="1423">
        <f t="shared" si="518"/>
        <v>5</v>
      </c>
      <c r="M371" s="1423">
        <f t="shared" si="519"/>
        <v>4</v>
      </c>
      <c r="N371" s="1423">
        <f t="shared" si="520"/>
        <v>3</v>
      </c>
      <c r="O371" s="1423">
        <f t="shared" si="521"/>
        <v>2</v>
      </c>
      <c r="P371" s="1423">
        <f t="shared" si="522"/>
        <v>1</v>
      </c>
      <c r="Q371" s="1423">
        <f t="shared" si="523"/>
        <v>0</v>
      </c>
      <c r="R371" s="1423">
        <f t="shared" si="524"/>
        <v>0</v>
      </c>
      <c r="S371" s="1423">
        <f t="shared" si="525"/>
        <v>0</v>
      </c>
      <c r="T371" s="1423">
        <f t="shared" si="526"/>
        <v>0</v>
      </c>
      <c r="U371" s="1423">
        <f t="shared" si="527"/>
        <v>0</v>
      </c>
      <c r="V371" s="1423">
        <f t="shared" si="528"/>
        <v>0</v>
      </c>
      <c r="W371" s="1423">
        <f t="shared" si="529"/>
        <v>0</v>
      </c>
      <c r="X371" s="152"/>
      <c r="Y371" s="152"/>
      <c r="Z371" s="152"/>
      <c r="AA371" s="152"/>
      <c r="AB371" s="152"/>
    </row>
    <row r="372" spans="1:28" hidden="1" outlineLevel="1">
      <c r="A372" s="152"/>
      <c r="B372" s="190" t="str">
        <f t="shared" ca="1" si="530"/>
        <v>RL Capex 2020-21</v>
      </c>
      <c r="C372" s="1429"/>
      <c r="D372" s="1429"/>
      <c r="E372" s="1429"/>
      <c r="F372" s="1429"/>
      <c r="G372" s="1424"/>
      <c r="H372" s="1428">
        <f>H339</f>
        <v>10</v>
      </c>
      <c r="I372" s="1423">
        <f t="shared" si="515"/>
        <v>9</v>
      </c>
      <c r="J372" s="1423">
        <f t="shared" si="516"/>
        <v>8</v>
      </c>
      <c r="K372" s="1423">
        <f t="shared" si="517"/>
        <v>7</v>
      </c>
      <c r="L372" s="1423">
        <f t="shared" si="518"/>
        <v>6</v>
      </c>
      <c r="M372" s="1423">
        <f t="shared" si="519"/>
        <v>5</v>
      </c>
      <c r="N372" s="1423">
        <f t="shared" si="520"/>
        <v>4</v>
      </c>
      <c r="O372" s="1423">
        <f t="shared" si="521"/>
        <v>3</v>
      </c>
      <c r="P372" s="1423">
        <f t="shared" si="522"/>
        <v>2</v>
      </c>
      <c r="Q372" s="1423">
        <f t="shared" si="523"/>
        <v>1</v>
      </c>
      <c r="R372" s="1423">
        <f t="shared" si="524"/>
        <v>0</v>
      </c>
      <c r="S372" s="1423">
        <f t="shared" si="525"/>
        <v>0</v>
      </c>
      <c r="T372" s="1423">
        <f t="shared" si="526"/>
        <v>0</v>
      </c>
      <c r="U372" s="1423">
        <f t="shared" si="527"/>
        <v>0</v>
      </c>
      <c r="V372" s="1423">
        <f t="shared" si="528"/>
        <v>0</v>
      </c>
      <c r="W372" s="1423">
        <f t="shared" si="529"/>
        <v>0</v>
      </c>
      <c r="X372" s="152"/>
      <c r="Y372" s="152"/>
      <c r="Z372" s="152"/>
      <c r="AA372" s="152"/>
      <c r="AB372" s="152"/>
    </row>
    <row r="373" spans="1:28" hidden="1" outlineLevel="1">
      <c r="A373" s="152"/>
      <c r="B373" s="190" t="str">
        <f t="shared" ca="1" si="530"/>
        <v>RL Capex 2021-22</v>
      </c>
      <c r="C373" s="1429"/>
      <c r="D373" s="1429"/>
      <c r="E373" s="1429"/>
      <c r="F373" s="1429"/>
      <c r="G373" s="1429"/>
      <c r="H373" s="1424"/>
      <c r="I373" s="1428">
        <f>I339</f>
        <v>10</v>
      </c>
      <c r="J373" s="1423">
        <f t="shared" si="516"/>
        <v>9</v>
      </c>
      <c r="K373" s="1423">
        <f t="shared" si="517"/>
        <v>8</v>
      </c>
      <c r="L373" s="1423">
        <f t="shared" si="518"/>
        <v>7</v>
      </c>
      <c r="M373" s="1423">
        <f t="shared" si="519"/>
        <v>6</v>
      </c>
      <c r="N373" s="1423">
        <f t="shared" si="520"/>
        <v>5</v>
      </c>
      <c r="O373" s="1423">
        <f t="shared" si="521"/>
        <v>4</v>
      </c>
      <c r="P373" s="1423">
        <f t="shared" si="522"/>
        <v>3</v>
      </c>
      <c r="Q373" s="1423">
        <f t="shared" si="523"/>
        <v>2</v>
      </c>
      <c r="R373" s="1423">
        <f t="shared" si="524"/>
        <v>1</v>
      </c>
      <c r="S373" s="1423">
        <f t="shared" si="525"/>
        <v>0</v>
      </c>
      <c r="T373" s="1423">
        <f t="shared" si="526"/>
        <v>0</v>
      </c>
      <c r="U373" s="1423">
        <f t="shared" si="527"/>
        <v>0</v>
      </c>
      <c r="V373" s="1423">
        <f t="shared" si="528"/>
        <v>0</v>
      </c>
      <c r="W373" s="1423">
        <f t="shared" si="529"/>
        <v>0</v>
      </c>
      <c r="X373" s="152"/>
      <c r="Y373" s="152"/>
      <c r="Z373" s="152"/>
      <c r="AA373" s="152"/>
      <c r="AB373" s="152"/>
    </row>
    <row r="374" spans="1:28" hidden="1" outlineLevel="1">
      <c r="A374" s="152"/>
      <c r="B374" s="190" t="str">
        <f t="shared" ca="1" si="530"/>
        <v>RL Capex 2022-23</v>
      </c>
      <c r="C374" s="1429"/>
      <c r="D374" s="1429"/>
      <c r="E374" s="1429"/>
      <c r="F374" s="1429"/>
      <c r="G374" s="1429"/>
      <c r="H374" s="1429"/>
      <c r="I374" s="1424"/>
      <c r="J374" s="1428">
        <f>J339</f>
        <v>10</v>
      </c>
      <c r="K374" s="1423">
        <f t="shared" si="517"/>
        <v>9</v>
      </c>
      <c r="L374" s="1423">
        <f t="shared" si="518"/>
        <v>8</v>
      </c>
      <c r="M374" s="1423">
        <f t="shared" si="519"/>
        <v>7</v>
      </c>
      <c r="N374" s="1423">
        <f t="shared" si="520"/>
        <v>6</v>
      </c>
      <c r="O374" s="1423">
        <f t="shared" si="521"/>
        <v>5</v>
      </c>
      <c r="P374" s="1423">
        <f t="shared" si="522"/>
        <v>4</v>
      </c>
      <c r="Q374" s="1423">
        <f t="shared" si="523"/>
        <v>3</v>
      </c>
      <c r="R374" s="1423">
        <f t="shared" si="524"/>
        <v>2</v>
      </c>
      <c r="S374" s="1423">
        <f t="shared" si="525"/>
        <v>1</v>
      </c>
      <c r="T374" s="1423">
        <f t="shared" si="526"/>
        <v>0</v>
      </c>
      <c r="U374" s="1423">
        <f t="shared" si="527"/>
        <v>0</v>
      </c>
      <c r="V374" s="1423">
        <f t="shared" si="528"/>
        <v>0</v>
      </c>
      <c r="W374" s="1423">
        <f t="shared" si="529"/>
        <v>0</v>
      </c>
      <c r="X374" s="152"/>
      <c r="Y374" s="152"/>
      <c r="Z374" s="152"/>
      <c r="AA374" s="152"/>
      <c r="AB374" s="152"/>
    </row>
    <row r="375" spans="1:28" hidden="1" outlineLevel="1">
      <c r="A375" s="152"/>
      <c r="B375" s="190" t="str">
        <f t="shared" ca="1" si="530"/>
        <v>RL Capex 2023-24</v>
      </c>
      <c r="C375" s="1429"/>
      <c r="D375" s="1429"/>
      <c r="E375" s="1429"/>
      <c r="F375" s="1429"/>
      <c r="G375" s="1429"/>
      <c r="H375" s="1429"/>
      <c r="I375" s="1429"/>
      <c r="J375" s="1424"/>
      <c r="K375" s="1428">
        <f>K339</f>
        <v>10</v>
      </c>
      <c r="L375" s="1423">
        <f t="shared" si="518"/>
        <v>9</v>
      </c>
      <c r="M375" s="1423">
        <f t="shared" si="519"/>
        <v>8</v>
      </c>
      <c r="N375" s="1423">
        <f t="shared" si="520"/>
        <v>7</v>
      </c>
      <c r="O375" s="1423">
        <f t="shared" si="521"/>
        <v>6</v>
      </c>
      <c r="P375" s="1423">
        <f t="shared" si="522"/>
        <v>5</v>
      </c>
      <c r="Q375" s="1423">
        <f t="shared" si="523"/>
        <v>4</v>
      </c>
      <c r="R375" s="1423">
        <f t="shared" si="524"/>
        <v>3</v>
      </c>
      <c r="S375" s="1423">
        <f t="shared" si="525"/>
        <v>2</v>
      </c>
      <c r="T375" s="1423">
        <f t="shared" si="526"/>
        <v>1</v>
      </c>
      <c r="U375" s="1423">
        <f t="shared" si="527"/>
        <v>0</v>
      </c>
      <c r="V375" s="1423">
        <f t="shared" si="528"/>
        <v>0</v>
      </c>
      <c r="W375" s="1423">
        <f t="shared" si="529"/>
        <v>0</v>
      </c>
      <c r="X375" s="152"/>
      <c r="Y375" s="152"/>
      <c r="Z375" s="152"/>
      <c r="AA375" s="152"/>
      <c r="AB375" s="152"/>
    </row>
    <row r="376" spans="1:28" hidden="1" outlineLevel="1">
      <c r="A376" s="152"/>
      <c r="B376" s="190" t="str">
        <f t="shared" ca="1" si="530"/>
        <v>RL Capex 2024-25</v>
      </c>
      <c r="C376" s="1429"/>
      <c r="D376" s="1429"/>
      <c r="E376" s="1429"/>
      <c r="F376" s="1429"/>
      <c r="G376" s="1429"/>
      <c r="H376" s="1429"/>
      <c r="I376" s="1429"/>
      <c r="J376" s="1429"/>
      <c r="K376" s="1424"/>
      <c r="L376" s="1428">
        <f>L339</f>
        <v>10</v>
      </c>
      <c r="M376" s="1423">
        <f t="shared" si="519"/>
        <v>9</v>
      </c>
      <c r="N376" s="1423">
        <f t="shared" si="520"/>
        <v>8</v>
      </c>
      <c r="O376" s="1423">
        <f t="shared" si="521"/>
        <v>7</v>
      </c>
      <c r="P376" s="1423">
        <f t="shared" si="522"/>
        <v>6</v>
      </c>
      <c r="Q376" s="1423">
        <f t="shared" si="523"/>
        <v>5</v>
      </c>
      <c r="R376" s="1423">
        <f t="shared" si="524"/>
        <v>4</v>
      </c>
      <c r="S376" s="1423">
        <f t="shared" si="525"/>
        <v>3</v>
      </c>
      <c r="T376" s="1423">
        <f t="shared" si="526"/>
        <v>2</v>
      </c>
      <c r="U376" s="1423">
        <f t="shared" si="527"/>
        <v>1</v>
      </c>
      <c r="V376" s="1423">
        <f t="shared" si="528"/>
        <v>0</v>
      </c>
      <c r="W376" s="1423">
        <f t="shared" si="529"/>
        <v>0</v>
      </c>
      <c r="X376" s="152"/>
      <c r="Y376" s="152"/>
      <c r="Z376" s="152"/>
      <c r="AA376" s="152"/>
      <c r="AB376" s="152"/>
    </row>
    <row r="377" spans="1:28" hidden="1" outlineLevel="1">
      <c r="A377" s="152"/>
      <c r="B377" s="190" t="str">
        <f t="shared" ca="1" si="530"/>
        <v>RL Capex 2025-26</v>
      </c>
      <c r="C377" s="1429"/>
      <c r="D377" s="1429"/>
      <c r="E377" s="1429"/>
      <c r="F377" s="1429"/>
      <c r="G377" s="1429"/>
      <c r="H377" s="1429"/>
      <c r="I377" s="1429"/>
      <c r="J377" s="1429"/>
      <c r="K377" s="1429"/>
      <c r="L377" s="1424"/>
      <c r="M377" s="1428">
        <f>M339</f>
        <v>10</v>
      </c>
      <c r="N377" s="1423">
        <f t="shared" si="520"/>
        <v>9</v>
      </c>
      <c r="O377" s="1423">
        <f t="shared" si="521"/>
        <v>8</v>
      </c>
      <c r="P377" s="1423">
        <f t="shared" si="522"/>
        <v>7</v>
      </c>
      <c r="Q377" s="1423">
        <f t="shared" si="523"/>
        <v>6</v>
      </c>
      <c r="R377" s="1423">
        <f t="shared" si="524"/>
        <v>5</v>
      </c>
      <c r="S377" s="1423">
        <f t="shared" si="525"/>
        <v>4</v>
      </c>
      <c r="T377" s="1423">
        <f t="shared" si="526"/>
        <v>3</v>
      </c>
      <c r="U377" s="1423">
        <f t="shared" si="527"/>
        <v>2</v>
      </c>
      <c r="V377" s="1423">
        <f t="shared" si="528"/>
        <v>1</v>
      </c>
      <c r="W377" s="1423">
        <f t="shared" si="529"/>
        <v>0</v>
      </c>
      <c r="X377" s="152"/>
      <c r="Y377" s="152"/>
      <c r="Z377" s="152"/>
      <c r="AA377" s="152"/>
      <c r="AB377" s="152"/>
    </row>
    <row r="378" spans="1:28" hidden="1" outlineLevel="1">
      <c r="A378" s="152"/>
      <c r="B378" s="190" t="str">
        <f t="shared" ca="1" si="530"/>
        <v>RL Capex 2026-27</v>
      </c>
      <c r="C378" s="1429"/>
      <c r="D378" s="1429"/>
      <c r="E378" s="1429"/>
      <c r="F378" s="1429"/>
      <c r="G378" s="1429"/>
      <c r="H378" s="1429"/>
      <c r="I378" s="1429"/>
      <c r="J378" s="1429"/>
      <c r="K378" s="1429"/>
      <c r="L378" s="1429"/>
      <c r="M378" s="1424"/>
      <c r="N378" s="1428">
        <f>N339</f>
        <v>0</v>
      </c>
      <c r="O378" s="1423">
        <f t="shared" si="521"/>
        <v>0</v>
      </c>
      <c r="P378" s="1423">
        <f t="shared" si="522"/>
        <v>0</v>
      </c>
      <c r="Q378" s="1423">
        <f t="shared" si="523"/>
        <v>0</v>
      </c>
      <c r="R378" s="1423">
        <f t="shared" si="524"/>
        <v>0</v>
      </c>
      <c r="S378" s="1423">
        <f t="shared" si="525"/>
        <v>0</v>
      </c>
      <c r="T378" s="1423">
        <f t="shared" si="526"/>
        <v>0</v>
      </c>
      <c r="U378" s="1423">
        <f t="shared" si="527"/>
        <v>0</v>
      </c>
      <c r="V378" s="1423">
        <f t="shared" si="528"/>
        <v>0</v>
      </c>
      <c r="W378" s="1423">
        <f t="shared" si="529"/>
        <v>0</v>
      </c>
      <c r="X378" s="152"/>
      <c r="Y378" s="152"/>
      <c r="Z378" s="152"/>
      <c r="AA378" s="152"/>
      <c r="AB378" s="152"/>
    </row>
    <row r="379" spans="1:28" hidden="1" outlineLevel="1">
      <c r="A379" s="152"/>
      <c r="B379" s="190" t="str">
        <f t="shared" ca="1" si="530"/>
        <v>RL Capex 2027-28</v>
      </c>
      <c r="C379" s="1429"/>
      <c r="D379" s="1429"/>
      <c r="E379" s="1429"/>
      <c r="F379" s="1429"/>
      <c r="G379" s="1429"/>
      <c r="H379" s="1429"/>
      <c r="I379" s="1429"/>
      <c r="J379" s="1429"/>
      <c r="K379" s="1429"/>
      <c r="L379" s="1429"/>
      <c r="M379" s="1429"/>
      <c r="N379" s="1424"/>
      <c r="O379" s="1428">
        <f>O339</f>
        <v>0</v>
      </c>
      <c r="P379" s="1423">
        <f t="shared" si="522"/>
        <v>0</v>
      </c>
      <c r="Q379" s="1423">
        <f t="shared" si="523"/>
        <v>0</v>
      </c>
      <c r="R379" s="1423">
        <f t="shared" si="524"/>
        <v>0</v>
      </c>
      <c r="S379" s="1423">
        <f t="shared" si="525"/>
        <v>0</v>
      </c>
      <c r="T379" s="1423">
        <f t="shared" si="526"/>
        <v>0</v>
      </c>
      <c r="U379" s="1423">
        <f t="shared" si="527"/>
        <v>0</v>
      </c>
      <c r="V379" s="1423">
        <f t="shared" si="528"/>
        <v>0</v>
      </c>
      <c r="W379" s="1423">
        <f t="shared" si="529"/>
        <v>0</v>
      </c>
      <c r="X379" s="152"/>
      <c r="Y379" s="152"/>
      <c r="Z379" s="152"/>
      <c r="AA379" s="152"/>
      <c r="AB379" s="152"/>
    </row>
    <row r="380" spans="1:28" hidden="1" outlineLevel="1">
      <c r="A380" s="152"/>
      <c r="B380" s="190" t="str">
        <f t="shared" ca="1" si="530"/>
        <v>RL Capex 2028-29</v>
      </c>
      <c r="C380" s="1429"/>
      <c r="D380" s="1429"/>
      <c r="E380" s="1429"/>
      <c r="F380" s="1429"/>
      <c r="G380" s="1429"/>
      <c r="H380" s="1429"/>
      <c r="I380" s="1429"/>
      <c r="J380" s="1429"/>
      <c r="K380" s="1429"/>
      <c r="L380" s="1429"/>
      <c r="M380" s="1429"/>
      <c r="N380" s="1429"/>
      <c r="O380" s="1424"/>
      <c r="P380" s="1428">
        <f>P339</f>
        <v>0</v>
      </c>
      <c r="Q380" s="1423">
        <f t="shared" si="523"/>
        <v>0</v>
      </c>
      <c r="R380" s="1423">
        <f t="shared" si="524"/>
        <v>0</v>
      </c>
      <c r="S380" s="1423">
        <f t="shared" si="525"/>
        <v>0</v>
      </c>
      <c r="T380" s="1423">
        <f t="shared" si="526"/>
        <v>0</v>
      </c>
      <c r="U380" s="1423">
        <f t="shared" si="527"/>
        <v>0</v>
      </c>
      <c r="V380" s="1423">
        <f t="shared" si="528"/>
        <v>0</v>
      </c>
      <c r="W380" s="1423">
        <f t="shared" si="529"/>
        <v>0</v>
      </c>
      <c r="X380" s="152"/>
      <c r="Y380" s="152"/>
      <c r="Z380" s="152"/>
      <c r="AA380" s="152"/>
      <c r="AB380" s="152"/>
    </row>
    <row r="381" spans="1:28" hidden="1" outlineLevel="1">
      <c r="A381" s="152"/>
      <c r="B381" s="190" t="str">
        <f t="shared" ca="1" si="530"/>
        <v>RL Capex 2029-30</v>
      </c>
      <c r="C381" s="1429"/>
      <c r="D381" s="1429"/>
      <c r="E381" s="1429"/>
      <c r="F381" s="1429"/>
      <c r="G381" s="1429"/>
      <c r="H381" s="1429"/>
      <c r="I381" s="1429"/>
      <c r="J381" s="1429"/>
      <c r="K381" s="1429"/>
      <c r="L381" s="1429"/>
      <c r="M381" s="1429"/>
      <c r="N381" s="1429"/>
      <c r="O381" s="1429"/>
      <c r="P381" s="1424"/>
      <c r="Q381" s="1428">
        <f>Q339</f>
        <v>0</v>
      </c>
      <c r="R381" s="1423">
        <f t="shared" si="524"/>
        <v>0</v>
      </c>
      <c r="S381" s="1423">
        <f t="shared" si="525"/>
        <v>0</v>
      </c>
      <c r="T381" s="1423">
        <f t="shared" si="526"/>
        <v>0</v>
      </c>
      <c r="U381" s="1423">
        <f t="shared" si="527"/>
        <v>0</v>
      </c>
      <c r="V381" s="1423">
        <f t="shared" si="528"/>
        <v>0</v>
      </c>
      <c r="W381" s="1423">
        <f t="shared" si="529"/>
        <v>0</v>
      </c>
      <c r="X381" s="152"/>
      <c r="Y381" s="152"/>
      <c r="Z381" s="152"/>
      <c r="AA381" s="152"/>
      <c r="AB381" s="152"/>
    </row>
    <row r="382" spans="1:28" hidden="1" outlineLevel="1">
      <c r="A382" s="152"/>
      <c r="B382" s="190" t="str">
        <f t="shared" ca="1" si="530"/>
        <v>RL Capex 2030-31</v>
      </c>
      <c r="C382" s="1429"/>
      <c r="D382" s="1429"/>
      <c r="E382" s="1429"/>
      <c r="F382" s="1429"/>
      <c r="G382" s="1429"/>
      <c r="H382" s="1429"/>
      <c r="I382" s="1429"/>
      <c r="J382" s="1429"/>
      <c r="K382" s="1429"/>
      <c r="L382" s="1429"/>
      <c r="M382" s="1429"/>
      <c r="N382" s="1429"/>
      <c r="O382" s="1429"/>
      <c r="P382" s="1429"/>
      <c r="Q382" s="1424"/>
      <c r="R382" s="1428">
        <f>R339</f>
        <v>0</v>
      </c>
      <c r="S382" s="1423">
        <f t="shared" si="525"/>
        <v>0</v>
      </c>
      <c r="T382" s="1423">
        <f t="shared" si="526"/>
        <v>0</v>
      </c>
      <c r="U382" s="1423">
        <f t="shared" si="527"/>
        <v>0</v>
      </c>
      <c r="V382" s="1423">
        <f t="shared" si="528"/>
        <v>0</v>
      </c>
      <c r="W382" s="1423">
        <f t="shared" si="529"/>
        <v>0</v>
      </c>
      <c r="X382" s="152"/>
      <c r="Y382" s="152"/>
      <c r="Z382" s="152"/>
      <c r="AA382" s="152"/>
      <c r="AB382" s="152"/>
    </row>
    <row r="383" spans="1:28" hidden="1" outlineLevel="1">
      <c r="A383" s="152"/>
      <c r="B383" s="190" t="str">
        <f t="shared" ca="1" si="530"/>
        <v>RL Capex 2031-32</v>
      </c>
      <c r="C383" s="1429"/>
      <c r="D383" s="1429"/>
      <c r="E383" s="1429"/>
      <c r="F383" s="1429"/>
      <c r="G383" s="1429"/>
      <c r="H383" s="1429"/>
      <c r="I383" s="1429"/>
      <c r="J383" s="1429"/>
      <c r="K383" s="1429"/>
      <c r="L383" s="1429"/>
      <c r="M383" s="1429"/>
      <c r="N383" s="1429"/>
      <c r="O383" s="1429"/>
      <c r="P383" s="1429"/>
      <c r="Q383" s="1429"/>
      <c r="R383" s="1424"/>
      <c r="S383" s="1428">
        <f>S339</f>
        <v>0</v>
      </c>
      <c r="T383" s="1423">
        <f t="shared" si="526"/>
        <v>0</v>
      </c>
      <c r="U383" s="1423">
        <f t="shared" si="527"/>
        <v>0</v>
      </c>
      <c r="V383" s="1423">
        <f t="shared" si="528"/>
        <v>0</v>
      </c>
      <c r="W383" s="1423">
        <f t="shared" si="529"/>
        <v>0</v>
      </c>
      <c r="X383" s="152"/>
      <c r="Y383" s="152"/>
      <c r="Z383" s="152"/>
      <c r="AA383" s="152"/>
      <c r="AB383" s="152"/>
    </row>
    <row r="384" spans="1:28" hidden="1" outlineLevel="1">
      <c r="A384" s="152"/>
      <c r="B384" s="190" t="str">
        <f t="shared" ca="1" si="530"/>
        <v>RL Capex 2032-33</v>
      </c>
      <c r="C384" s="1429"/>
      <c r="D384" s="1429"/>
      <c r="E384" s="1429"/>
      <c r="F384" s="1429"/>
      <c r="G384" s="1429"/>
      <c r="H384" s="1429"/>
      <c r="I384" s="1429"/>
      <c r="J384" s="1429"/>
      <c r="K384" s="1429"/>
      <c r="L384" s="1429"/>
      <c r="M384" s="1429"/>
      <c r="N384" s="1429"/>
      <c r="O384" s="1429"/>
      <c r="P384" s="1429"/>
      <c r="Q384" s="1429"/>
      <c r="R384" s="1429"/>
      <c r="S384" s="1424"/>
      <c r="T384" s="1428">
        <f>T339</f>
        <v>0</v>
      </c>
      <c r="U384" s="1423">
        <f t="shared" si="527"/>
        <v>0</v>
      </c>
      <c r="V384" s="1423">
        <f t="shared" si="528"/>
        <v>0</v>
      </c>
      <c r="W384" s="1423">
        <f t="shared" si="529"/>
        <v>0</v>
      </c>
      <c r="X384" s="152"/>
      <c r="Y384" s="152"/>
      <c r="Z384" s="152"/>
      <c r="AA384" s="152"/>
      <c r="AB384" s="152"/>
    </row>
    <row r="385" spans="1:28" hidden="1" outlineLevel="1">
      <c r="A385" s="152"/>
      <c r="B385" s="190" t="str">
        <f t="shared" ca="1" si="530"/>
        <v>RL Capex 2033-34</v>
      </c>
      <c r="C385" s="1429"/>
      <c r="D385" s="1429"/>
      <c r="E385" s="1429"/>
      <c r="F385" s="1429"/>
      <c r="G385" s="1429"/>
      <c r="H385" s="1429"/>
      <c r="I385" s="1429"/>
      <c r="J385" s="1429"/>
      <c r="K385" s="1429"/>
      <c r="L385" s="1429"/>
      <c r="M385" s="1429"/>
      <c r="N385" s="1429"/>
      <c r="O385" s="1429"/>
      <c r="P385" s="1429"/>
      <c r="Q385" s="1429"/>
      <c r="R385" s="1429"/>
      <c r="S385" s="1429"/>
      <c r="T385" s="1424"/>
      <c r="U385" s="1428">
        <f>U339</f>
        <v>0</v>
      </c>
      <c r="V385" s="1423">
        <f t="shared" si="528"/>
        <v>0</v>
      </c>
      <c r="W385" s="1423">
        <f t="shared" si="529"/>
        <v>0</v>
      </c>
      <c r="X385" s="152"/>
      <c r="Y385" s="152"/>
      <c r="Z385" s="152"/>
      <c r="AA385" s="152"/>
      <c r="AB385" s="152"/>
    </row>
    <row r="386" spans="1:28" hidden="1" outlineLevel="1">
      <c r="A386" s="152"/>
      <c r="B386" s="190" t="str">
        <f t="shared" ca="1" si="530"/>
        <v>RL Capex 2034-35</v>
      </c>
      <c r="C386" s="1429"/>
      <c r="D386" s="1429"/>
      <c r="E386" s="1429"/>
      <c r="F386" s="1429"/>
      <c r="G386" s="1429"/>
      <c r="H386" s="1429"/>
      <c r="I386" s="1429"/>
      <c r="J386" s="1429"/>
      <c r="K386" s="1429"/>
      <c r="L386" s="1429"/>
      <c r="M386" s="1429"/>
      <c r="N386" s="1429"/>
      <c r="O386" s="1429"/>
      <c r="P386" s="1429"/>
      <c r="Q386" s="1429"/>
      <c r="R386" s="1429"/>
      <c r="S386" s="1429"/>
      <c r="T386" s="1429"/>
      <c r="U386" s="1424"/>
      <c r="V386" s="1428">
        <f>V339</f>
        <v>0</v>
      </c>
      <c r="W386" s="1423">
        <f>IF(V386="n/a","n/a",MAX(0,V386-1))</f>
        <v>0</v>
      </c>
      <c r="X386" s="152"/>
      <c r="Y386" s="152"/>
      <c r="Z386" s="152"/>
      <c r="AA386" s="152"/>
      <c r="AB386" s="152"/>
    </row>
    <row r="387" spans="1:28" hidden="1" outlineLevel="1">
      <c r="A387" s="152"/>
      <c r="B387" s="190" t="str">
        <f t="shared" ca="1" si="530"/>
        <v>RL Capex 2035-36</v>
      </c>
      <c r="C387" s="1429"/>
      <c r="D387" s="1429"/>
      <c r="E387" s="1429"/>
      <c r="F387" s="1429"/>
      <c r="G387" s="1429"/>
      <c r="H387" s="1429"/>
      <c r="I387" s="1429"/>
      <c r="J387" s="1429"/>
      <c r="K387" s="1429"/>
      <c r="L387" s="1429"/>
      <c r="M387" s="1429"/>
      <c r="N387" s="1429"/>
      <c r="O387" s="1429"/>
      <c r="P387" s="1429"/>
      <c r="Q387" s="1429"/>
      <c r="R387" s="1429"/>
      <c r="S387" s="1429"/>
      <c r="T387" s="1429"/>
      <c r="U387" s="1429"/>
      <c r="V387" s="1424"/>
      <c r="W387" s="1423">
        <f>W339</f>
        <v>0</v>
      </c>
      <c r="X387" s="152"/>
      <c r="Y387" s="152"/>
      <c r="Z387" s="152"/>
      <c r="AA387" s="152"/>
      <c r="AB387" s="152"/>
    </row>
    <row r="388" spans="1:28" hidden="1" outlineLevel="1">
      <c r="A388" s="152"/>
      <c r="B388" s="200"/>
      <c r="C388" s="1423"/>
      <c r="D388" s="1423"/>
      <c r="E388" s="1423"/>
      <c r="F388" s="1423"/>
      <c r="G388" s="1423"/>
      <c r="H388" s="1423"/>
      <c r="I388" s="1423"/>
      <c r="J388" s="1423"/>
      <c r="K388" s="1423"/>
      <c r="L388" s="1423"/>
      <c r="M388" s="1423"/>
      <c r="N388" s="1423"/>
      <c r="O388" s="1423"/>
      <c r="P388" s="1423"/>
      <c r="Q388" s="1423"/>
      <c r="R388" s="1423"/>
      <c r="S388" s="1423"/>
      <c r="T388" s="1423"/>
      <c r="U388" s="1423"/>
      <c r="V388" s="1423"/>
      <c r="W388" s="1423"/>
      <c r="X388" s="152"/>
      <c r="Y388" s="152"/>
      <c r="Z388" s="152"/>
      <c r="AA388" s="152"/>
      <c r="AB388" s="152"/>
    </row>
    <row r="389" spans="1:28" collapsed="1">
      <c r="A389" s="194"/>
      <c r="B389" s="204" t="s">
        <v>123</v>
      </c>
      <c r="C389" s="1430" t="str">
        <f ca="1">(IF(OR($C339&lt;&gt;"n/a",C339&lt;&gt;"n/a"),IF(SUM(C342:C364)=0,0,IF((SUMPRODUCT(C342:C364,C366:C388)/SUM(C342:C364))&lt;0,1,(SUMPRODUCT(C342:C364,C366:C388)/SUM(C342:C364)))),"n/a"))</f>
        <v>n/a</v>
      </c>
      <c r="D389" s="1430">
        <f ca="1">(IF(OR($C339&lt;&gt;"n/a",D339&lt;&gt;"n/a"),IF(SUM(D342:D364)=0,0,IF((SUMPRODUCT(D342:D364,D366:D388)/SUM(D342:D364))&lt;0,1,(SUMPRODUCT(D342:D364,D366:D388)/SUM(D342:D364)))),"n/a"))</f>
        <v>5.7720468219695054</v>
      </c>
      <c r="E389" s="1430">
        <f t="shared" ref="E389:W389" ca="1" si="531">(IF(OR($C339&lt;&gt;"n/a",E339&lt;&gt;"n/a"),IF(SUM(E342:E364)=0,0,IF((SUMPRODUCT(E342:E364,E366:E388)/SUM(E342:E364))&lt;0,1,(SUMPRODUCT(E342:E364,E366:E388)/SUM(E342:E364)))),"n/a"))</f>
        <v>4.9617526096124216</v>
      </c>
      <c r="F389" s="1430">
        <f t="shared" ca="1" si="531"/>
        <v>4.1762162847448598</v>
      </c>
      <c r="G389" s="1430">
        <f t="shared" ca="1" si="531"/>
        <v>3.42062278986737</v>
      </c>
      <c r="H389" s="1430">
        <f t="shared" ca="1" si="531"/>
        <v>2.701713537407656</v>
      </c>
      <c r="I389" s="1430">
        <f t="shared" ca="1" si="531"/>
        <v>2.0284178439953586</v>
      </c>
      <c r="J389" s="1430">
        <f t="shared" ca="1" si="531"/>
        <v>1.4128189030916301</v>
      </c>
      <c r="K389" s="1430">
        <f t="shared" ca="1" si="531"/>
        <v>0.87168110434438828</v>
      </c>
      <c r="L389" s="1430">
        <f t="shared" ca="1" si="531"/>
        <v>0.42896009151918518</v>
      </c>
      <c r="M389" s="1430">
        <f t="shared" ca="1" si="531"/>
        <v>0.12012189796603893</v>
      </c>
      <c r="N389" s="1430">
        <f t="shared" ca="1" si="531"/>
        <v>0</v>
      </c>
      <c r="O389" s="1430">
        <f t="shared" ca="1" si="531"/>
        <v>0</v>
      </c>
      <c r="P389" s="1430">
        <f t="shared" ca="1" si="531"/>
        <v>0</v>
      </c>
      <c r="Q389" s="1430">
        <f t="shared" ca="1" si="531"/>
        <v>0</v>
      </c>
      <c r="R389" s="1430">
        <f t="shared" ca="1" si="531"/>
        <v>0</v>
      </c>
      <c r="S389" s="1430">
        <f t="shared" ca="1" si="531"/>
        <v>0</v>
      </c>
      <c r="T389" s="1430">
        <f t="shared" ca="1" si="531"/>
        <v>0</v>
      </c>
      <c r="U389" s="1430">
        <f t="shared" ca="1" si="531"/>
        <v>0</v>
      </c>
      <c r="V389" s="1430">
        <f t="shared" ca="1" si="531"/>
        <v>0</v>
      </c>
      <c r="W389" s="1430">
        <f t="shared" ca="1" si="531"/>
        <v>0</v>
      </c>
      <c r="X389" s="152"/>
      <c r="Y389" s="152"/>
      <c r="Z389" s="152"/>
      <c r="AA389" s="152"/>
      <c r="AB389" s="152"/>
    </row>
    <row r="390" spans="1:28">
      <c r="A390" s="152"/>
      <c r="B390" s="152"/>
      <c r="C390" s="1423"/>
      <c r="D390" s="1423"/>
      <c r="E390" s="1423"/>
      <c r="F390" s="1423"/>
      <c r="G390" s="1423"/>
      <c r="H390" s="1423"/>
      <c r="I390" s="1423"/>
      <c r="J390" s="1423"/>
      <c r="K390" s="1423"/>
      <c r="L390" s="1423"/>
      <c r="M390" s="1423"/>
      <c r="N390" s="1423"/>
      <c r="O390" s="1423"/>
      <c r="P390" s="1423"/>
      <c r="Q390" s="1423"/>
      <c r="R390" s="1423"/>
      <c r="S390" s="1423"/>
      <c r="T390" s="1423"/>
      <c r="U390" s="1423"/>
      <c r="V390" s="1423"/>
      <c r="W390" s="1423"/>
      <c r="X390" s="152"/>
      <c r="Y390" s="152"/>
      <c r="Z390" s="152"/>
      <c r="AA390" s="152"/>
      <c r="AB390" s="152"/>
    </row>
    <row r="391" spans="1:28">
      <c r="A391" s="269" t="s">
        <v>8</v>
      </c>
      <c r="B391" s="270">
        <f>VLOOKUP($A391,'RFM input'!$E$7:$F$56,2,FALSE)</f>
        <v>0</v>
      </c>
      <c r="C391" s="1431"/>
      <c r="D391" s="1431"/>
      <c r="E391" s="1432"/>
      <c r="F391" s="1432"/>
      <c r="G391" s="1432"/>
      <c r="H391" s="1432"/>
      <c r="I391" s="1432"/>
      <c r="J391" s="1432"/>
      <c r="K391" s="1432"/>
      <c r="L391" s="1432"/>
      <c r="M391" s="1432"/>
      <c r="N391" s="1432"/>
      <c r="O391" s="1432"/>
      <c r="P391" s="1432"/>
      <c r="Q391" s="1432"/>
      <c r="R391" s="1432"/>
      <c r="S391" s="1432"/>
      <c r="T391" s="1432"/>
      <c r="U391" s="1432"/>
      <c r="V391" s="1432"/>
      <c r="W391" s="1432"/>
      <c r="X391" s="152"/>
      <c r="Y391" s="152"/>
      <c r="Z391" s="152"/>
      <c r="AA391" s="152"/>
      <c r="AB391" s="152"/>
    </row>
    <row r="392" spans="1:28">
      <c r="A392" s="215">
        <f>VALUE(REPLACE(A391,1,12,""))</f>
        <v>8</v>
      </c>
      <c r="B392" s="193" t="s">
        <v>126</v>
      </c>
      <c r="C392" s="1416">
        <f ca="1">IF($C$8='Capital Base roll forward'!$H$4,OFFSET('Capital Base roll forward'!$H$717,'RAB remaining lives'!A392,0),"enter input")</f>
        <v>0</v>
      </c>
      <c r="D392" s="1417">
        <f>IF(LEFT(D$6,4)&lt;LEFT('RFM input'!$G$60,4),"enter input",IF(LEFT(D$6,4)&gt;LEFT('RFM input'!$Q$60,4),0,INDEX('RFM input'!$G$61:$Q$110,$A392,MATCH(D$6,'RFM input'!$G$60:$Q$60,0))
-INDEX('RFM input'!$G$115:$Q$164,$A392,MATCH(D$6,'RFM input'!$G$60:$Q$60,0))
-INDEX('RFM input'!$G$169:$Q$218,$A392,MATCH(D$6,'RFM input'!$G$60:$Q$60,0))))</f>
        <v>0</v>
      </c>
      <c r="E392" s="1417">
        <f>IF(LEFT(E$6,4)&lt;LEFT('RFM input'!$G$60,4),"enter input",IF(LEFT(E$6,4)&gt;LEFT('RFM input'!$Q$60,4),0,INDEX('RFM input'!$G$61:$Q$110,$A392,MATCH(E$6,'RFM input'!$G$60:$Q$60,0))
-INDEX('RFM input'!$G$115:$Q$164,$A392,MATCH(E$6,'RFM input'!$G$60:$Q$60,0))
-INDEX('RFM input'!$G$169:$Q$218,$A392,MATCH(E$6,'RFM input'!$G$60:$Q$60,0))))</f>
        <v>0</v>
      </c>
      <c r="F392" s="1417">
        <f>IF(LEFT(F$6,4)&lt;LEFT('RFM input'!$G$60,4),"enter input",IF(LEFT(F$6,4)&gt;LEFT('RFM input'!$Q$60,4),0,INDEX('RFM input'!$G$61:$Q$110,$A392,MATCH(F$6,'RFM input'!$G$60:$Q$60,0))
-INDEX('RFM input'!$G$115:$Q$164,$A392,MATCH(F$6,'RFM input'!$G$60:$Q$60,0))
-INDEX('RFM input'!$G$169:$Q$218,$A392,MATCH(F$6,'RFM input'!$G$60:$Q$60,0))))</f>
        <v>0</v>
      </c>
      <c r="G392" s="1417">
        <f>IF(LEFT(G$6,4)&lt;LEFT('RFM input'!$G$60,4),"enter input",IF(LEFT(G$6,4)&gt;LEFT('RFM input'!$Q$60,4),0,INDEX('RFM input'!$G$61:$Q$110,$A392,MATCH(G$6,'RFM input'!$G$60:$Q$60,0))
-INDEX('RFM input'!$G$115:$Q$164,$A392,MATCH(G$6,'RFM input'!$G$60:$Q$60,0))
-INDEX('RFM input'!$G$169:$Q$218,$A392,MATCH(G$6,'RFM input'!$G$60:$Q$60,0))))</f>
        <v>0</v>
      </c>
      <c r="H392" s="1417">
        <f>IF(LEFT(H$6,4)&lt;LEFT('RFM input'!$G$60,4),"enter input",IF(LEFT(H$6,4)&gt;LEFT('RFM input'!$Q$60,4),0,INDEX('RFM input'!$G$61:$Q$110,$A392,MATCH(H$6,'RFM input'!$G$60:$Q$60,0))
-INDEX('RFM input'!$G$115:$Q$164,$A392,MATCH(H$6,'RFM input'!$G$60:$Q$60,0))
-INDEX('RFM input'!$G$169:$Q$218,$A392,MATCH(H$6,'RFM input'!$G$60:$Q$60,0))))</f>
        <v>0</v>
      </c>
      <c r="I392" s="1417">
        <f>IF(LEFT(I$6,4)&lt;LEFT('RFM input'!$G$60,4),"enter input",IF(LEFT(I$6,4)&gt;LEFT('RFM input'!$Q$60,4),0,INDEX('RFM input'!$G$61:$Q$110,$A392,MATCH(I$6,'RFM input'!$G$60:$Q$60,0))
-INDEX('RFM input'!$G$115:$Q$164,$A392,MATCH(I$6,'RFM input'!$G$60:$Q$60,0))
-INDEX('RFM input'!$G$169:$Q$218,$A392,MATCH(I$6,'RFM input'!$G$60:$Q$60,0))))</f>
        <v>0</v>
      </c>
      <c r="J392" s="1417">
        <f>IF(LEFT(J$6,4)&lt;LEFT('RFM input'!$G$60,4),"enter input",IF(LEFT(J$6,4)&gt;LEFT('RFM input'!$Q$60,4),0,INDEX('RFM input'!$G$61:$Q$110,$A392,MATCH(J$6,'RFM input'!$G$60:$Q$60,0))
-INDEX('RFM input'!$G$115:$Q$164,$A392,MATCH(J$6,'RFM input'!$G$60:$Q$60,0))
-INDEX('RFM input'!$G$169:$Q$218,$A392,MATCH(J$6,'RFM input'!$G$60:$Q$60,0))))</f>
        <v>0</v>
      </c>
      <c r="K392" s="1417">
        <f>IF(LEFT(K$6,4)&lt;LEFT('RFM input'!$G$60,4),"enter input",IF(LEFT(K$6,4)&gt;LEFT('RFM input'!$Q$60,4),0,INDEX('RFM input'!$G$61:$Q$110,$A392,MATCH(K$6,'RFM input'!$G$60:$Q$60,0))
-INDEX('RFM input'!$G$115:$Q$164,$A392,MATCH(K$6,'RFM input'!$G$60:$Q$60,0))
-INDEX('RFM input'!$G$169:$Q$218,$A392,MATCH(K$6,'RFM input'!$G$60:$Q$60,0))))</f>
        <v>0</v>
      </c>
      <c r="L392" s="1417">
        <f>IF(LEFT(L$6,4)&lt;LEFT('RFM input'!$G$60,4),"enter input",IF(LEFT(L$6,4)&gt;LEFT('RFM input'!$Q$60,4),0,INDEX('RFM input'!$G$61:$Q$110,$A392,MATCH(L$6,'RFM input'!$G$60:$Q$60,0))
-INDEX('RFM input'!$G$115:$Q$164,$A392,MATCH(L$6,'RFM input'!$G$60:$Q$60,0))
-INDEX('RFM input'!$G$169:$Q$218,$A392,MATCH(L$6,'RFM input'!$G$60:$Q$60,0))))</f>
        <v>0</v>
      </c>
      <c r="M392" s="1417">
        <f>IF(LEFT(M$6,4)&lt;LEFT('RFM input'!$G$60,4),"enter input",IF(LEFT(M$6,4)&gt;LEFT('RFM input'!$Q$60,4),0,INDEX('RFM input'!$G$61:$Q$110,$A392,MATCH(M$6,'RFM input'!$G$60:$Q$60,0))
-INDEX('RFM input'!$G$115:$Q$164,$A392,MATCH(M$6,'RFM input'!$G$60:$Q$60,0))
-INDEX('RFM input'!$G$169:$Q$218,$A392,MATCH(M$6,'RFM input'!$G$60:$Q$60,0))))</f>
        <v>0</v>
      </c>
      <c r="N392" s="1417">
        <f>IF(LEFT(N$6,4)&lt;LEFT('RFM input'!$G$60,4),"enter input",IF(LEFT(N$6,4)&gt;LEFT('RFM input'!$Q$60,4),0,INDEX('RFM input'!$G$61:$Q$110,$A392,MATCH(N$6,'RFM input'!$G$60:$Q$60,0))
-INDEX('RFM input'!$G$115:$Q$164,$A392,MATCH(N$6,'RFM input'!$G$60:$Q$60,0))
-INDEX('RFM input'!$G$169:$Q$218,$A392,MATCH(N$6,'RFM input'!$G$60:$Q$60,0))))</f>
        <v>0</v>
      </c>
      <c r="O392" s="1417">
        <f>IF(LEFT(O$6,4)&lt;LEFT('RFM input'!$G$60,4),"enter input",IF(LEFT(O$6,4)&gt;LEFT('RFM input'!$Q$60,4),0,INDEX('RFM input'!$G$61:$Q$110,$A392,MATCH(O$6,'RFM input'!$G$60:$Q$60,0))
-INDEX('RFM input'!$G$115:$Q$164,$A392,MATCH(O$6,'RFM input'!$G$60:$Q$60,0))
-INDEX('RFM input'!$G$169:$Q$218,$A392,MATCH(O$6,'RFM input'!$G$60:$Q$60,0))))</f>
        <v>0</v>
      </c>
      <c r="P392" s="1417">
        <f>IF(LEFT(P$6,4)&lt;LEFT('RFM input'!$G$60,4),"enter input",IF(LEFT(P$6,4)&gt;LEFT('RFM input'!$Q$60,4),0,INDEX('RFM input'!$G$61:$Q$110,$A392,MATCH(P$6,'RFM input'!$G$60:$Q$60,0))
-INDEX('RFM input'!$G$115:$Q$164,$A392,MATCH(P$6,'RFM input'!$G$60:$Q$60,0))
-INDEX('RFM input'!$G$169:$Q$218,$A392,MATCH(P$6,'RFM input'!$G$60:$Q$60,0))))</f>
        <v>0</v>
      </c>
      <c r="Q392" s="1417">
        <f>IF(LEFT(Q$6,4)&lt;LEFT('RFM input'!$G$60,4),"enter input",IF(LEFT(Q$6,4)&gt;LEFT('RFM input'!$Q$60,4),0,INDEX('RFM input'!$G$61:$Q$110,$A392,MATCH(Q$6,'RFM input'!$G$60:$Q$60,0))
-INDEX('RFM input'!$G$115:$Q$164,$A392,MATCH(Q$6,'RFM input'!$G$60:$Q$60,0))
-INDEX('RFM input'!$G$169:$Q$218,$A392,MATCH(Q$6,'RFM input'!$G$60:$Q$60,0))))</f>
        <v>0</v>
      </c>
      <c r="R392" s="1417">
        <f>IF(LEFT(R$6,4)&lt;LEFT('RFM input'!$G$60,4),"enter input",IF(LEFT(R$6,4)&gt;LEFT('RFM input'!$Q$60,4),0,INDEX('RFM input'!$G$61:$Q$110,$A392,MATCH(R$6,'RFM input'!$G$60:$Q$60,0))
-INDEX('RFM input'!$G$115:$Q$164,$A392,MATCH(R$6,'RFM input'!$G$60:$Q$60,0))
-INDEX('RFM input'!$G$169:$Q$218,$A392,MATCH(R$6,'RFM input'!$G$60:$Q$60,0))))</f>
        <v>0</v>
      </c>
      <c r="S392" s="1417">
        <f>IF(LEFT(S$6,4)&lt;LEFT('RFM input'!$G$60,4),"enter input",IF(LEFT(S$6,4)&gt;LEFT('RFM input'!$Q$60,4),0,INDEX('RFM input'!$G$61:$Q$110,$A392,MATCH(S$6,'RFM input'!$G$60:$Q$60,0))
-INDEX('RFM input'!$G$115:$Q$164,$A392,MATCH(S$6,'RFM input'!$G$60:$Q$60,0))
-INDEX('RFM input'!$G$169:$Q$218,$A392,MATCH(S$6,'RFM input'!$G$60:$Q$60,0))))</f>
        <v>0</v>
      </c>
      <c r="T392" s="1417">
        <f>IF(LEFT(T$6,4)&lt;LEFT('RFM input'!$G$60,4),"enter input",IF(LEFT(T$6,4)&gt;LEFT('RFM input'!$Q$60,4),0,INDEX('RFM input'!$G$61:$Q$110,$A392,MATCH(T$6,'RFM input'!$G$60:$Q$60,0))
-INDEX('RFM input'!$G$115:$Q$164,$A392,MATCH(T$6,'RFM input'!$G$60:$Q$60,0))
-INDEX('RFM input'!$G$169:$Q$218,$A392,MATCH(T$6,'RFM input'!$G$60:$Q$60,0))))</f>
        <v>0</v>
      </c>
      <c r="U392" s="1417">
        <f>IF(LEFT(U$6,4)&lt;LEFT('RFM input'!$G$60,4),"enter input",IF(LEFT(U$6,4)&gt;LEFT('RFM input'!$Q$60,4),0,INDEX('RFM input'!$G$61:$Q$110,$A392,MATCH(U$6,'RFM input'!$G$60:$Q$60,0))
-INDEX('RFM input'!$G$115:$Q$164,$A392,MATCH(U$6,'RFM input'!$G$60:$Q$60,0))
-INDEX('RFM input'!$G$169:$Q$218,$A392,MATCH(U$6,'RFM input'!$G$60:$Q$60,0))))</f>
        <v>0</v>
      </c>
      <c r="V392" s="1417">
        <f>IF(LEFT(V$6,4)&lt;LEFT('RFM input'!$G$60,4),"enter input",IF(LEFT(V$6,4)&gt;LEFT('RFM input'!$Q$60,4),0,INDEX('RFM input'!$G$61:$Q$110,$A392,MATCH(V$6,'RFM input'!$G$60:$Q$60,0))
-INDEX('RFM input'!$G$115:$Q$164,$A392,MATCH(V$6,'RFM input'!$G$60:$Q$60,0))
-INDEX('RFM input'!$G$169:$Q$218,$A392,MATCH(V$6,'RFM input'!$G$60:$Q$60,0))))</f>
        <v>0</v>
      </c>
      <c r="W392" s="1417">
        <f>IF(LEFT(W$6,4)&lt;LEFT('RFM input'!$G$60,4),"enter input",IF(LEFT(W$6,4)&gt;LEFT('RFM input'!$Q$60,4),0,INDEX('RFM input'!$G$61:$Q$110,$A392,MATCH(W$6,'RFM input'!$G$60:$Q$60,0))
-INDEX('RFM input'!$G$115:$Q$164,$A392,MATCH(W$6,'RFM input'!$G$60:$Q$60,0))
-INDEX('RFM input'!$G$169:$Q$218,$A392,MATCH(W$6,'RFM input'!$G$60:$Q$60,0))))</f>
        <v>0</v>
      </c>
      <c r="X392" s="152"/>
      <c r="Y392" s="152"/>
      <c r="Z392" s="152"/>
      <c r="AA392" s="152"/>
      <c r="AB392" s="152"/>
    </row>
    <row r="393" spans="1:28">
      <c r="A393" s="152"/>
      <c r="B393" s="152" t="s">
        <v>204</v>
      </c>
      <c r="C393" s="1418">
        <f ca="1">IF($C$8='Capital Base roll forward'!$H$4,OFFSET('RFM input'!$J$6,'RAB remaining lives'!A392,0),"enter input")</f>
        <v>0</v>
      </c>
      <c r="D393" s="1417">
        <f>IF(LEFT(D$6,4)&lt;=LEFT('RFM input'!$G$60,4),"enter input",IF(LEFT(D$6,4)&gt;LEFT('RFM input'!$Q$60,4),0,IF(MATCH(D$6,'RFM input'!$H$60:$Q$60,0),INDEX('RFM input'!$K$7:$K$56,$A392,1))))</f>
        <v>0</v>
      </c>
      <c r="E393" s="1417">
        <f>IF(LEFT(E$6,4)&lt;=LEFT('RFM input'!$G$60,4),"enter input",IF(LEFT(E$6,4)&gt;LEFT('RFM input'!$Q$60,4),0,IF(MATCH(E$6,'RFM input'!$H$60:$Q$60,0),INDEX('RFM input'!$K$7:$K$56,$A392,1))))</f>
        <v>0</v>
      </c>
      <c r="F393" s="1417">
        <f>IF(LEFT(F$6,4)&lt;=LEFT('RFM input'!$G$60,4),"enter input",IF(LEFT(F$6,4)&gt;LEFT('RFM input'!$Q$60,4),0,IF(MATCH(F$6,'RFM input'!$H$60:$Q$60,0),INDEX('RFM input'!$K$7:$K$56,$A392,1))))</f>
        <v>0</v>
      </c>
      <c r="G393" s="1417">
        <f>IF(LEFT(G$6,4)&lt;=LEFT('RFM input'!$G$60,4),"enter input",IF(LEFT(G$6,4)&gt;LEFT('RFM input'!$Q$60,4),0,IF(MATCH(G$6,'RFM input'!$H$60:$Q$60,0),INDEX('RFM input'!$K$7:$K$56,$A392,1))))</f>
        <v>0</v>
      </c>
      <c r="H393" s="1417">
        <f>IF(LEFT(H$6,4)&lt;=LEFT('RFM input'!$G$60,4),"enter input",IF(LEFT(H$6,4)&gt;LEFT('RFM input'!$Q$60,4),0,IF(MATCH(H$6,'RFM input'!$H$60:$Q$60,0),INDEX('RFM input'!$K$7:$K$56,$A392,1))))</f>
        <v>0</v>
      </c>
      <c r="I393" s="1417">
        <f>IF(LEFT(I$6,4)&lt;=LEFT('RFM input'!$G$60,4),"enter input",IF(LEFT(I$6,4)&gt;LEFT('RFM input'!$Q$60,4),0,IF(MATCH(I$6,'RFM input'!$H$60:$Q$60,0),INDEX('RFM input'!$K$7:$K$56,$A392,1))))</f>
        <v>0</v>
      </c>
      <c r="J393" s="1417">
        <f>IF(LEFT(J$6,4)&lt;=LEFT('RFM input'!$G$60,4),"enter input",IF(LEFT(J$6,4)&gt;LEFT('RFM input'!$Q$60,4),0,IF(MATCH(J$6,'RFM input'!$H$60:$Q$60,0),INDEX('RFM input'!$K$7:$K$56,$A392,1))))</f>
        <v>0</v>
      </c>
      <c r="K393" s="1417">
        <f>IF(LEFT(K$6,4)&lt;=LEFT('RFM input'!$G$60,4),"enter input",IF(LEFT(K$6,4)&gt;LEFT('RFM input'!$Q$60,4),0,IF(MATCH(K$6,'RFM input'!$H$60:$Q$60,0),INDEX('RFM input'!$K$7:$K$56,$A392,1))))</f>
        <v>0</v>
      </c>
      <c r="L393" s="1417">
        <f>IF(LEFT(L$6,4)&lt;=LEFT('RFM input'!$G$60,4),"enter input",IF(LEFT(L$6,4)&gt;LEFT('RFM input'!$Q$60,4),0,IF(MATCH(L$6,'RFM input'!$H$60:$Q$60,0),INDEX('RFM input'!$K$7:$K$56,$A392,1))))</f>
        <v>0</v>
      </c>
      <c r="M393" s="1417">
        <f>IF(LEFT(M$6,4)&lt;=LEFT('RFM input'!$G$60,4),"enter input",IF(LEFT(M$6,4)&gt;LEFT('RFM input'!$Q$60,4),0,IF(MATCH(M$6,'RFM input'!$H$60:$Q$60,0),INDEX('RFM input'!$K$7:$K$56,$A392,1))))</f>
        <v>0</v>
      </c>
      <c r="N393" s="1417">
        <f>IF(LEFT(N$6,4)&lt;=LEFT('RFM input'!$G$60,4),"enter input",IF(LEFT(N$6,4)&gt;LEFT('RFM input'!$Q$60,4),0,IF(MATCH(N$6,'RFM input'!$H$60:$Q$60,0),INDEX('RFM input'!$K$7:$K$56,$A392,1))))</f>
        <v>0</v>
      </c>
      <c r="O393" s="1417">
        <f>IF(LEFT(O$6,4)&lt;=LEFT('RFM input'!$G$60,4),"enter input",IF(LEFT(O$6,4)&gt;LEFT('RFM input'!$Q$60,4),0,IF(MATCH(O$6,'RFM input'!$H$60:$Q$60,0),INDEX('RFM input'!$K$7:$K$56,$A392,1))))</f>
        <v>0</v>
      </c>
      <c r="P393" s="1417">
        <f>IF(LEFT(P$6,4)&lt;=LEFT('RFM input'!$G$60,4),"enter input",IF(LEFT(P$6,4)&gt;LEFT('RFM input'!$Q$60,4),0,IF(MATCH(P$6,'RFM input'!$H$60:$Q$60,0),INDEX('RFM input'!$K$7:$K$56,$A392,1))))</f>
        <v>0</v>
      </c>
      <c r="Q393" s="1417">
        <f>IF(LEFT(Q$6,4)&lt;=LEFT('RFM input'!$G$60,4),"enter input",IF(LEFT(Q$6,4)&gt;LEFT('RFM input'!$Q$60,4),0,IF(MATCH(Q$6,'RFM input'!$H$60:$Q$60,0),INDEX('RFM input'!$K$7:$K$56,$A392,1))))</f>
        <v>0</v>
      </c>
      <c r="R393" s="1417">
        <f>IF(LEFT(R$6,4)&lt;=LEFT('RFM input'!$G$60,4),"enter input",IF(LEFT(R$6,4)&gt;LEFT('RFM input'!$Q$60,4),0,IF(MATCH(R$6,'RFM input'!$H$60:$Q$60,0),INDEX('RFM input'!$K$7:$K$56,$A392,1))))</f>
        <v>0</v>
      </c>
      <c r="S393" s="1417">
        <f>IF(LEFT(S$6,4)&lt;=LEFT('RFM input'!$G$60,4),"enter input",IF(LEFT(S$6,4)&gt;LEFT('RFM input'!$Q$60,4),0,IF(MATCH(S$6,'RFM input'!$H$60:$Q$60,0),INDEX('RFM input'!$K$7:$K$56,$A392,1))))</f>
        <v>0</v>
      </c>
      <c r="T393" s="1417">
        <f>IF(LEFT(T$6,4)&lt;=LEFT('RFM input'!$G$60,4),"enter input",IF(LEFT(T$6,4)&gt;LEFT('RFM input'!$Q$60,4),0,IF(MATCH(T$6,'RFM input'!$H$60:$Q$60,0),INDEX('RFM input'!$K$7:$K$56,$A392,1))))</f>
        <v>0</v>
      </c>
      <c r="U393" s="1417">
        <f>IF(LEFT(U$6,4)&lt;=LEFT('RFM input'!$G$60,4),"enter input",IF(LEFT(U$6,4)&gt;LEFT('RFM input'!$Q$60,4),0,IF(MATCH(U$6,'RFM input'!$H$60:$Q$60,0),INDEX('RFM input'!$K$7:$K$56,$A392,1))))</f>
        <v>0</v>
      </c>
      <c r="V393" s="1417">
        <f>IF(LEFT(V$6,4)&lt;=LEFT('RFM input'!$G$60,4),"enter input",IF(LEFT(V$6,4)&gt;LEFT('RFM input'!$Q$60,4),0,IF(MATCH(V$6,'RFM input'!$H$60:$Q$60,0),INDEX('RFM input'!$K$7:$K$56,$A392,1))))</f>
        <v>0</v>
      </c>
      <c r="W393" s="1417">
        <f>IF(LEFT(W$6,4)&lt;=LEFT('RFM input'!$G$60,4),"enter input",IF(LEFT(W$6,4)&gt;LEFT('RFM input'!$Q$60,4),0,IF(MATCH(W$6,'RFM input'!$H$60:$Q$60,0),INDEX('RFM input'!$K$7:$K$56,$A392,1))))</f>
        <v>0</v>
      </c>
      <c r="X393" s="152"/>
      <c r="Y393" s="152"/>
      <c r="Z393" s="152"/>
      <c r="AA393" s="152"/>
      <c r="AB393" s="152"/>
    </row>
    <row r="394" spans="1:28">
      <c r="A394" s="152"/>
      <c r="B394" s="177" t="s">
        <v>191</v>
      </c>
      <c r="C394" s="1419"/>
      <c r="D394" s="1420">
        <f ca="1">IF(LEFT(D$6,4)&lt;=LEFT('RFM input'!$G$60,4),"enter input",IF(LEFT(D$6,4)&gt;LEFT('RFM input'!$Q$60,4),0,IF(D$6=(OFFSET('RFM input'!$G$60,0,'RFM input'!$V$7)),OFFSET('RFM input'!$G$411,$A392,0),0)))</f>
        <v>0</v>
      </c>
      <c r="E394" s="1417">
        <f ca="1">IF(LEFT(E$6,4)&lt;=LEFT('RFM input'!$G$60,4),"enter input",IF(LEFT(E$6,4)&gt;LEFT('RFM input'!$Q$60,4),0,IF(E$6=(OFFSET('RFM input'!$G$60,0,'RFM input'!$V$7)),OFFSET('RFM input'!$G$411,$A392,0),0)))</f>
        <v>0</v>
      </c>
      <c r="F394" s="1417">
        <f ca="1">IF(LEFT(F$6,4)&lt;=LEFT('RFM input'!$G$60,4),"enter input",IF(LEFT(F$6,4)&gt;LEFT('RFM input'!$Q$60,4),0,IF(F$6=(OFFSET('RFM input'!$G$60,0,'RFM input'!$V$7)),OFFSET('RFM input'!$G$411,$A392,0),0)))</f>
        <v>0</v>
      </c>
      <c r="G394" s="1417">
        <f ca="1">IF(LEFT(G$6,4)&lt;=LEFT('RFM input'!$G$60,4),"enter input",IF(LEFT(G$6,4)&gt;LEFT('RFM input'!$Q$60,4),0,IF(G$6=(OFFSET('RFM input'!$G$60,0,'RFM input'!$V$7)),OFFSET('RFM input'!$G$411,$A392,0),0)))</f>
        <v>0</v>
      </c>
      <c r="H394" s="1417">
        <f ca="1">IF(LEFT(H$6,4)&lt;=LEFT('RFM input'!$G$60,4),"enter input",IF(LEFT(H$6,4)&gt;LEFT('RFM input'!$Q$60,4),0,IF(H$6=(OFFSET('RFM input'!$G$60,0,'RFM input'!$V$7)),OFFSET('RFM input'!$G$411,$A392,0),0)))</f>
        <v>0</v>
      </c>
      <c r="I394" s="1417">
        <f ca="1">IF(LEFT(I$6,4)&lt;=LEFT('RFM input'!$G$60,4),"enter input",IF(LEFT(I$6,4)&gt;LEFT('RFM input'!$Q$60,4),0,IF(I$6=(OFFSET('RFM input'!$G$60,0,'RFM input'!$V$7)),OFFSET('RFM input'!$G$411,$A392,0),0)))</f>
        <v>0</v>
      </c>
      <c r="J394" s="1417">
        <f ca="1">IF(LEFT(J$6,4)&lt;=LEFT('RFM input'!$G$60,4),"enter input",IF(LEFT(J$6,4)&gt;LEFT('RFM input'!$Q$60,4),0,IF(J$6=(OFFSET('RFM input'!$G$60,0,'RFM input'!$V$7)),OFFSET('RFM input'!$G$411,$A392,0),0)))</f>
        <v>0</v>
      </c>
      <c r="K394" s="1417">
        <f ca="1">IF(LEFT(K$6,4)&lt;=LEFT('RFM input'!$G$60,4),"enter input",IF(LEFT(K$6,4)&gt;LEFT('RFM input'!$Q$60,4),0,IF(K$6=(OFFSET('RFM input'!$G$60,0,'RFM input'!$V$7)),OFFSET('RFM input'!$G$411,$A392,0),0)))</f>
        <v>0</v>
      </c>
      <c r="L394" s="1417">
        <f ca="1">IF(LEFT(L$6,4)&lt;=LEFT('RFM input'!$G$60,4),"enter input",IF(LEFT(L$6,4)&gt;LEFT('RFM input'!$Q$60,4),0,IF(L$6=(OFFSET('RFM input'!$G$60,0,'RFM input'!$V$7)),OFFSET('RFM input'!$G$411,$A392,0),0)))</f>
        <v>0</v>
      </c>
      <c r="M394" s="1417">
        <f ca="1">IF(LEFT(M$6,4)&lt;=LEFT('RFM input'!$G$60,4),"enter input",IF(LEFT(M$6,4)&gt;LEFT('RFM input'!$Q$60,4),0,IF(M$6=(OFFSET('RFM input'!$G$60,0,'RFM input'!$V$7)),OFFSET('RFM input'!$G$411,$A392,0),0)))</f>
        <v>0</v>
      </c>
      <c r="N394" s="1417">
        <f ca="1">IF(LEFT(N$6,4)&lt;=LEFT('RFM input'!$G$60,4),"enter input",IF(LEFT(N$6,4)&gt;LEFT('RFM input'!$Q$60,4),0,IF(N$6=(OFFSET('RFM input'!$G$60,0,'RFM input'!$V$7)),OFFSET('RFM input'!$G$411,$A392,0),0)))</f>
        <v>0</v>
      </c>
      <c r="O394" s="1417">
        <f ca="1">IF(LEFT(O$6,4)&lt;=LEFT('RFM input'!$G$60,4),"enter input",IF(LEFT(O$6,4)&gt;LEFT('RFM input'!$Q$60,4),0,IF(O$6=(OFFSET('RFM input'!$G$60,0,'RFM input'!$V$7)),OFFSET('RFM input'!$G$411,$A392,0),0)))</f>
        <v>0</v>
      </c>
      <c r="P394" s="1417">
        <f ca="1">IF(LEFT(P$6,4)&lt;=LEFT('RFM input'!$G$60,4),"enter input",IF(LEFT(P$6,4)&gt;LEFT('RFM input'!$Q$60,4),0,IF(P$6=(OFFSET('RFM input'!$G$60,0,'RFM input'!$V$7)),OFFSET('RFM input'!$G$411,$A392,0),0)))</f>
        <v>0</v>
      </c>
      <c r="Q394" s="1417">
        <f ca="1">IF(LEFT(Q$6,4)&lt;=LEFT('RFM input'!$G$60,4),"enter input",IF(LEFT(Q$6,4)&gt;LEFT('RFM input'!$Q$60,4),0,IF(Q$6=(OFFSET('RFM input'!$G$60,0,'RFM input'!$V$7)),OFFSET('RFM input'!$G$411,$A392,0),0)))</f>
        <v>0</v>
      </c>
      <c r="R394" s="1417">
        <f ca="1">IF(LEFT(R$6,4)&lt;=LEFT('RFM input'!$G$60,4),"enter input",IF(LEFT(R$6,4)&gt;LEFT('RFM input'!$Q$60,4),0,IF(R$6=(OFFSET('RFM input'!$G$60,0,'RFM input'!$V$7)),OFFSET('RFM input'!$G$411,$A392,0),0)))</f>
        <v>0</v>
      </c>
      <c r="S394" s="1417">
        <f ca="1">IF(LEFT(S$6,4)&lt;=LEFT('RFM input'!$G$60,4),"enter input",IF(LEFT(S$6,4)&gt;LEFT('RFM input'!$Q$60,4),0,IF(S$6=(OFFSET('RFM input'!$G$60,0,'RFM input'!$V$7)),OFFSET('RFM input'!$G$411,$A392,0),0)))</f>
        <v>0</v>
      </c>
      <c r="T394" s="1417">
        <f ca="1">IF(LEFT(T$6,4)&lt;=LEFT('RFM input'!$G$60,4),"enter input",IF(LEFT(T$6,4)&gt;LEFT('RFM input'!$Q$60,4),0,IF(T$6=(OFFSET('RFM input'!$G$60,0,'RFM input'!$V$7)),OFFSET('RFM input'!$G$411,$A392,0),0)))</f>
        <v>0</v>
      </c>
      <c r="U394" s="1417">
        <f ca="1">IF(LEFT(U$6,4)&lt;=LEFT('RFM input'!$G$60,4),"enter input",IF(LEFT(U$6,4)&gt;LEFT('RFM input'!$Q$60,4),0,IF(U$6=(OFFSET('RFM input'!$G$60,0,'RFM input'!$V$7)),OFFSET('RFM input'!$G$411,$A392,0),0)))</f>
        <v>0</v>
      </c>
      <c r="V394" s="1417">
        <f ca="1">IF(LEFT(V$6,4)&lt;=LEFT('RFM input'!$G$60,4),"enter input",IF(LEFT(V$6,4)&gt;LEFT('RFM input'!$Q$60,4),0,IF(V$6=(OFFSET('RFM input'!$G$60,0,'RFM input'!$V$7)),OFFSET('RFM input'!$G$411,$A392,0),0)))</f>
        <v>0</v>
      </c>
      <c r="W394" s="1417">
        <f ca="1">IF(LEFT(W$6,4)&lt;=LEFT('RFM input'!$G$60,4),"enter input",IF(LEFT(W$6,4)&gt;LEFT('RFM input'!$Q$60,4),0,IF(W$6=(OFFSET('RFM input'!$G$60,0,'RFM input'!$V$7)),OFFSET('RFM input'!$G$411,$A392,0),0)))</f>
        <v>0</v>
      </c>
      <c r="X394" s="152"/>
      <c r="Y394" s="152"/>
      <c r="Z394" s="152"/>
      <c r="AA394" s="152"/>
      <c r="AB394" s="152"/>
    </row>
    <row r="395" spans="1:28">
      <c r="A395" s="152"/>
      <c r="B395" s="195" t="s">
        <v>197</v>
      </c>
      <c r="C395" s="1419"/>
      <c r="D395" s="1418">
        <f ca="1">IF(LEFT(D$6,4)&lt;=LEFT('RFM input'!$G$60,4),"enter input",IF(LEFT(D$6,4)&gt;LEFT('RFM input'!$Q$60,4),0,IF(D$6=(OFFSET('RFM input'!$G$60,0,'RFM input'!$V$7)),OFFSET('RFM input'!$I$411,$A392,0),0)))</f>
        <v>0</v>
      </c>
      <c r="E395" s="1422">
        <f ca="1">IF(LEFT(E$6,4)&lt;=LEFT('RFM input'!$G$60,4),"enter input",IF(LEFT(E$6,4)&gt;LEFT('RFM input'!$Q$60,4),0,IF(E$6=(OFFSET('RFM input'!$G$60,0,'RFM input'!$V$7)),OFFSET('RFM input'!$I$411,$A392,0),0)))</f>
        <v>0</v>
      </c>
      <c r="F395" s="1422">
        <f ca="1">IF(LEFT(F$6,4)&lt;=LEFT('RFM input'!$G$60,4),"enter input",IF(LEFT(F$6,4)&gt;LEFT('RFM input'!$Q$60,4),0,IF(F$6=(OFFSET('RFM input'!$G$60,0,'RFM input'!$V$7)),OFFSET('RFM input'!$I$411,$A392,0),0)))</f>
        <v>0</v>
      </c>
      <c r="G395" s="1422">
        <f ca="1">IF(LEFT(G$6,4)&lt;=LEFT('RFM input'!$G$60,4),"enter input",IF(LEFT(G$6,4)&gt;LEFT('RFM input'!$Q$60,4),0,IF(G$6=(OFFSET('RFM input'!$G$60,0,'RFM input'!$V$7)),OFFSET('RFM input'!$I$411,$A392,0),0)))</f>
        <v>0</v>
      </c>
      <c r="H395" s="1422">
        <f ca="1">IF(LEFT(H$6,4)&lt;=LEFT('RFM input'!$G$60,4),"enter input",IF(LEFT(H$6,4)&gt;LEFT('RFM input'!$Q$60,4),0,IF(H$6=(OFFSET('RFM input'!$G$60,0,'RFM input'!$V$7)),OFFSET('RFM input'!$I$411,$A392,0),0)))</f>
        <v>0</v>
      </c>
      <c r="I395" s="1422">
        <f ca="1">IF(LEFT(I$6,4)&lt;=LEFT('RFM input'!$G$60,4),"enter input",IF(LEFT(I$6,4)&gt;LEFT('RFM input'!$Q$60,4),0,IF(I$6=(OFFSET('RFM input'!$G$60,0,'RFM input'!$V$7)),OFFSET('RFM input'!$I$411,$A392,0),0)))</f>
        <v>0</v>
      </c>
      <c r="J395" s="1422">
        <f ca="1">IF(LEFT(J$6,4)&lt;=LEFT('RFM input'!$G$60,4),"enter input",IF(LEFT(J$6,4)&gt;LEFT('RFM input'!$Q$60,4),0,IF(J$6=(OFFSET('RFM input'!$G$60,0,'RFM input'!$V$7)),OFFSET('RFM input'!$I$411,$A392,0),0)))</f>
        <v>0</v>
      </c>
      <c r="K395" s="1422">
        <f ca="1">IF(LEFT(K$6,4)&lt;=LEFT('RFM input'!$G$60,4),"enter input",IF(LEFT(K$6,4)&gt;LEFT('RFM input'!$Q$60,4),0,IF(K$6=(OFFSET('RFM input'!$G$60,0,'RFM input'!$V$7)),OFFSET('RFM input'!$I$411,$A392,0),0)))</f>
        <v>0</v>
      </c>
      <c r="L395" s="1422">
        <f ca="1">IF(LEFT(L$6,4)&lt;=LEFT('RFM input'!$G$60,4),"enter input",IF(LEFT(L$6,4)&gt;LEFT('RFM input'!$Q$60,4),0,IF(L$6=(OFFSET('RFM input'!$G$60,0,'RFM input'!$V$7)),OFFSET('RFM input'!$I$411,$A392,0),0)))</f>
        <v>0</v>
      </c>
      <c r="M395" s="1422">
        <f ca="1">IF(LEFT(M$6,4)&lt;=LEFT('RFM input'!$G$60,4),"enter input",IF(LEFT(M$6,4)&gt;LEFT('RFM input'!$Q$60,4),0,IF(M$6=(OFFSET('RFM input'!$G$60,0,'RFM input'!$V$7)),OFFSET('RFM input'!$I$411,$A392,0),0)))</f>
        <v>0</v>
      </c>
      <c r="N395" s="1422">
        <f ca="1">IF(LEFT(N$6,4)&lt;=LEFT('RFM input'!$G$60,4),"enter input",IF(LEFT(N$6,4)&gt;LEFT('RFM input'!$Q$60,4),0,IF(N$6=(OFFSET('RFM input'!$G$60,0,'RFM input'!$V$7)),OFFSET('RFM input'!$I$411,$A392,0),0)))</f>
        <v>0</v>
      </c>
      <c r="O395" s="1422">
        <f ca="1">IF(LEFT(O$6,4)&lt;=LEFT('RFM input'!$G$60,4),"enter input",IF(LEFT(O$6,4)&gt;LEFT('RFM input'!$Q$60,4),0,IF(O$6=(OFFSET('RFM input'!$G$60,0,'RFM input'!$V$7)),OFFSET('RFM input'!$I$411,$A392,0),0)))</f>
        <v>0</v>
      </c>
      <c r="P395" s="1422">
        <f ca="1">IF(LEFT(P$6,4)&lt;=LEFT('RFM input'!$G$60,4),"enter input",IF(LEFT(P$6,4)&gt;LEFT('RFM input'!$Q$60,4),0,IF(P$6=(OFFSET('RFM input'!$G$60,0,'RFM input'!$V$7)),OFFSET('RFM input'!$I$411,$A392,0),0)))</f>
        <v>0</v>
      </c>
      <c r="Q395" s="1422">
        <f ca="1">IF(LEFT(Q$6,4)&lt;=LEFT('RFM input'!$G$60,4),"enter input",IF(LEFT(Q$6,4)&gt;LEFT('RFM input'!$Q$60,4),0,IF(Q$6=(OFFSET('RFM input'!$G$60,0,'RFM input'!$V$7)),OFFSET('RFM input'!$I$411,$A392,0),0)))</f>
        <v>0</v>
      </c>
      <c r="R395" s="1422">
        <f ca="1">IF(LEFT(R$6,4)&lt;=LEFT('RFM input'!$G$60,4),"enter input",IF(LEFT(R$6,4)&gt;LEFT('RFM input'!$Q$60,4),0,IF(R$6=(OFFSET('RFM input'!$G$60,0,'RFM input'!$V$7)),OFFSET('RFM input'!$I$411,$A392,0),0)))</f>
        <v>0</v>
      </c>
      <c r="S395" s="1422">
        <f ca="1">IF(LEFT(S$6,4)&lt;=LEFT('RFM input'!$G$60,4),"enter input",IF(LEFT(S$6,4)&gt;LEFT('RFM input'!$Q$60,4),0,IF(S$6=(OFFSET('RFM input'!$G$60,0,'RFM input'!$V$7)),OFFSET('RFM input'!$I$411,$A392,0),0)))</f>
        <v>0</v>
      </c>
      <c r="T395" s="1422">
        <f ca="1">IF(LEFT(T$6,4)&lt;=LEFT('RFM input'!$G$60,4),"enter input",IF(LEFT(T$6,4)&gt;LEFT('RFM input'!$Q$60,4),0,IF(T$6=(OFFSET('RFM input'!$G$60,0,'RFM input'!$V$7)),OFFSET('RFM input'!$I$411,$A392,0),0)))</f>
        <v>0</v>
      </c>
      <c r="U395" s="1422">
        <f ca="1">IF(LEFT(U$6,4)&lt;=LEFT('RFM input'!$G$60,4),"enter input",IF(LEFT(U$6,4)&gt;LEFT('RFM input'!$Q$60,4),0,IF(U$6=(OFFSET('RFM input'!$G$60,0,'RFM input'!$V$7)),OFFSET('RFM input'!$I$411,$A392,0),0)))</f>
        <v>0</v>
      </c>
      <c r="V395" s="1422">
        <f ca="1">IF(LEFT(V$6,4)&lt;=LEFT('RFM input'!$G$60,4),"enter input",IF(LEFT(V$6,4)&gt;LEFT('RFM input'!$Q$60,4),0,IF(V$6=(OFFSET('RFM input'!$G$60,0,'RFM input'!$V$7)),OFFSET('RFM input'!$I$411,$A392,0),0)))</f>
        <v>0</v>
      </c>
      <c r="W395" s="1422">
        <f ca="1">IF(LEFT(W$6,4)&lt;=LEFT('RFM input'!$G$60,4),"enter input",IF(LEFT(W$6,4)&gt;LEFT('RFM input'!$Q$60,4),0,IF(W$6=(OFFSET('RFM input'!$G$60,0,'RFM input'!$V$7)),OFFSET('RFM input'!$I$411,$A392,0),0)))</f>
        <v>0</v>
      </c>
      <c r="X395" s="152"/>
      <c r="Y395" s="152"/>
      <c r="Z395" s="152"/>
      <c r="AA395" s="152"/>
      <c r="AB395" s="152"/>
    </row>
    <row r="396" spans="1:28" hidden="1" outlineLevel="1">
      <c r="A396" s="235">
        <v>-1</v>
      </c>
      <c r="B396" s="190" t="s">
        <v>189</v>
      </c>
      <c r="C396" s="1423"/>
      <c r="D396" s="1423">
        <f ca="1">IF(AND(D394=0,C396=0),0,
IF(AND(D394&lt;&gt;0,C396=0),(D394/D$10),
IF(AND(D395&lt;&gt;0,C396&lt;&gt;0),(C396-(C396/C420))+(D394/D$10),
IF(C420&lt;1,0,(C396-(C396/C420))))))</f>
        <v>0</v>
      </c>
      <c r="E396" s="1423">
        <f t="shared" ref="E396" ca="1" si="532">IF(AND(E394=0,D396=0),0,
IF(AND(E394&lt;&gt;0,D396=0),(E394/E$10),
IF(AND(E395&lt;&gt;0,D396&lt;&gt;0),(D396-(D396/D420))+(E394/E$10),
IF(D420&lt;1,0,(D396-(D396/D420))))))</f>
        <v>0</v>
      </c>
      <c r="F396" s="1423">
        <f t="shared" ref="F396" ca="1" si="533">IF(AND(F394=0,E396=0),0,
IF(AND(F394&lt;&gt;0,E396=0),(F394/F$10),
IF(AND(F395&lt;&gt;0,E396&lt;&gt;0),(E396-(E396/E420))+(F394/F$10),
IF(E420&lt;1,0,(E396-(E396/E420))))))</f>
        <v>0</v>
      </c>
      <c r="G396" s="1423">
        <f t="shared" ref="G396" ca="1" si="534">IF(AND(G394=0,F396=0),0,
IF(AND(G394&lt;&gt;0,F396=0),(G394/G$10),
IF(AND(G395&lt;&gt;0,F396&lt;&gt;0),(F396-(F396/F420))+(G394/G$10),
IF(F420&lt;1,0,(F396-(F396/F420))))))</f>
        <v>0</v>
      </c>
      <c r="H396" s="1423">
        <f t="shared" ref="H396" ca="1" si="535">IF(AND(H394=0,G396=0),0,
IF(AND(H394&lt;&gt;0,G396=0),(H394/H$10),
IF(AND(H395&lt;&gt;0,G396&lt;&gt;0),(G396-(G396/G420))+(H394/H$10),
IF(G420&lt;1,0,(G396-(G396/G420))))))</f>
        <v>0</v>
      </c>
      <c r="I396" s="1423">
        <f t="shared" ref="I396" ca="1" si="536">IF(AND(I394=0,H396=0),0,
IF(AND(I394&lt;&gt;0,H396=0),(I394/I$10),
IF(AND(I395&lt;&gt;0,H396&lt;&gt;0),(H396-(H396/H420))+(I394/I$10),
IF(H420&lt;1,0,(H396-(H396/H420))))))</f>
        <v>0</v>
      </c>
      <c r="J396" s="1423">
        <f t="shared" ref="J396" ca="1" si="537">IF(AND(J394=0,I396=0),0,
IF(AND(J394&lt;&gt;0,I396=0),(J394/J$10),
IF(AND(J395&lt;&gt;0,I396&lt;&gt;0),(I396-(I396/I420))+(J394/J$10),
IF(I420&lt;1,0,(I396-(I396/I420))))))</f>
        <v>0</v>
      </c>
      <c r="K396" s="1423">
        <f t="shared" ref="K396" ca="1" si="538">IF(AND(K394=0,J396=0),0,
IF(AND(K394&lt;&gt;0,J396=0),(K394/K$10),
IF(AND(K395&lt;&gt;0,J396&lt;&gt;0),(J396-(J396/J420))+(K394/K$10),
IF(J420&lt;1,0,(J396-(J396/J420))))))</f>
        <v>0</v>
      </c>
      <c r="L396" s="1423">
        <f t="shared" ref="L396" ca="1" si="539">IF(AND(L394=0,K396=0),0,
IF(AND(L394&lt;&gt;0,K396=0),(L394/L$10),
IF(AND(L395&lt;&gt;0,K396&lt;&gt;0),(K396-(K396/K420))+(L394/L$10),
IF(K420&lt;1,0,(K396-(K396/K420))))))</f>
        <v>0</v>
      </c>
      <c r="M396" s="1423">
        <f t="shared" ref="M396" ca="1" si="540">IF(AND(M394=0,L396=0),0,
IF(AND(M394&lt;&gt;0,L396=0),(M394/M$10),
IF(AND(M395&lt;&gt;0,L396&lt;&gt;0),(L396-(L396/L420))+(M394/M$10),
IF(L420&lt;1,0,(L396-(L396/L420))))))</f>
        <v>0</v>
      </c>
      <c r="N396" s="1423">
        <f t="shared" ref="N396" ca="1" si="541">IF(AND(N394=0,M396=0),0,
IF(AND(N394&lt;&gt;0,M396=0),(N394/N$10),
IF(AND(N395&lt;&gt;0,M396&lt;&gt;0),(M396-(M396/M420))+(N394/N$10),
IF(M420&lt;1,0,(M396-(M396/M420))))))</f>
        <v>0</v>
      </c>
      <c r="O396" s="1423">
        <f t="shared" ref="O396" ca="1" si="542">IF(AND(O394=0,N396=0),0,
IF(AND(O394&lt;&gt;0,N396=0),(O394/O$10),
IF(AND(O395&lt;&gt;0,N396&lt;&gt;0),(N396-(N396/N420))+(O394/O$10),
IF(N420&lt;1,0,(N396-(N396/N420))))))</f>
        <v>0</v>
      </c>
      <c r="P396" s="1423">
        <f t="shared" ref="P396" ca="1" si="543">IF(AND(P394=0,O396=0),0,
IF(AND(P394&lt;&gt;0,O396=0),(P394/P$10),
IF(AND(P395&lt;&gt;0,O396&lt;&gt;0),(O396-(O396/O420))+(P394/P$10),
IF(O420&lt;1,0,(O396-(O396/O420))))))</f>
        <v>0</v>
      </c>
      <c r="Q396" s="1423">
        <f t="shared" ref="Q396" ca="1" si="544">IF(AND(Q394=0,P396=0),0,
IF(AND(Q394&lt;&gt;0,P396=0),(Q394/Q$10),
IF(AND(Q395&lt;&gt;0,P396&lt;&gt;0),(P396-(P396/P420))+(Q394/Q$10),
IF(P420&lt;1,0,(P396-(P396/P420))))))</f>
        <v>0</v>
      </c>
      <c r="R396" s="1423">
        <f t="shared" ref="R396" ca="1" si="545">IF(AND(R394=0,Q396=0),0,
IF(AND(R394&lt;&gt;0,Q396=0),(R394/R$10),
IF(AND(R395&lt;&gt;0,Q396&lt;&gt;0),(Q396-(Q396/Q420))+(R394/R$10),
IF(Q420&lt;1,0,(Q396-(Q396/Q420))))))</f>
        <v>0</v>
      </c>
      <c r="S396" s="1423">
        <f t="shared" ref="S396" ca="1" si="546">IF(AND(S394=0,R396=0),0,
IF(AND(S394&lt;&gt;0,R396=0),(S394/S$10),
IF(AND(S395&lt;&gt;0,R396&lt;&gt;0),(R396-(R396/R420))+(S394/S$10),
IF(R420&lt;1,0,(R396-(R396/R420))))))</f>
        <v>0</v>
      </c>
      <c r="T396" s="1423">
        <f t="shared" ref="T396" ca="1" si="547">IF(AND(T394=0,S396=0),0,
IF(AND(T394&lt;&gt;0,S396=0),(T394/T$10),
IF(AND(T395&lt;&gt;0,S396&lt;&gt;0),(S396-(S396/S420))+(T394/T$10),
IF(S420&lt;1,0,(S396-(S396/S420))))))</f>
        <v>0</v>
      </c>
      <c r="U396" s="1423">
        <f t="shared" ref="U396" ca="1" si="548">IF(AND(U394=0,T396=0),0,
IF(AND(U394&lt;&gt;0,T396=0),(U394/U$10),
IF(AND(U395&lt;&gt;0,T396&lt;&gt;0),(T396-(T396/T420))+(U394/U$10),
IF(T420&lt;1,0,(T396-(T396/T420))))))</f>
        <v>0</v>
      </c>
      <c r="V396" s="1423">
        <f t="shared" ref="V396" ca="1" si="549">IF(AND(V394=0,U396=0),0,
IF(AND(V394&lt;&gt;0,U396=0),(V394/V$10),
IF(AND(V395&lt;&gt;0,U396&lt;&gt;0),(U396-(U396/U420))+(V394/V$10),
IF(U420&lt;1,0,(U396-(U396/U420))))))</f>
        <v>0</v>
      </c>
      <c r="W396" s="1423">
        <f t="shared" ref="W396" ca="1" si="550">IF(AND(W394=0,V396=0),0,
IF(AND(W394&lt;&gt;0,V396=0),(W394/W$10),
IF(AND(W395&lt;&gt;0,V396&lt;&gt;0),(V396-(V396/V420))+(W394/W$10),
IF(V420&lt;1,0,(V396-(V396/V420))))))</f>
        <v>0</v>
      </c>
      <c r="X396" s="152"/>
      <c r="Y396" s="152"/>
      <c r="Z396" s="152"/>
      <c r="AA396" s="152"/>
      <c r="AB396" s="152"/>
    </row>
    <row r="397" spans="1:28" hidden="1" outlineLevel="1">
      <c r="A397" s="199">
        <f>A396+1</f>
        <v>0</v>
      </c>
      <c r="B397" s="190" t="s">
        <v>125</v>
      </c>
      <c r="C397" s="1423">
        <f ca="1">C392/C$10</f>
        <v>0</v>
      </c>
      <c r="D397" s="1423">
        <f ca="1">IF(C421="n/a",C397,IFERROR(IF((OFFSET($C397,0,$A397))&lt;0,
MIN(0,C397-(OFFSET($C397,0,$A397)/(OFFSET($C392,-$A396,$A397)))),
MAX(0,C397-(OFFSET($C397,0,$A397)/(OFFSET($C392,-$A396,$A397))))),0))</f>
        <v>0</v>
      </c>
      <c r="E397" s="1423">
        <f t="shared" ref="E397" ca="1" si="551">IF(D421="n/a",D397,IFERROR(IF((OFFSET($C397,0,$A397))&lt;0,
MIN(0,D397-(OFFSET($C397,0,$A397)/(OFFSET($C392,-$A396,$A397)))),
MAX(0,D397-(OFFSET($C397,0,$A397)/(OFFSET($C392,-$A396,$A397))))),0))</f>
        <v>0</v>
      </c>
      <c r="F397" s="1423">
        <f t="shared" ref="F397:F398" ca="1" si="552">IF(E421="n/a",E397,IFERROR(IF((OFFSET($C397,0,$A397))&lt;0,
MIN(0,E397-(OFFSET($C397,0,$A397)/(OFFSET($C392,-$A396,$A397)))),
MAX(0,E397-(OFFSET($C397,0,$A397)/(OFFSET($C392,-$A396,$A397))))),0))</f>
        <v>0</v>
      </c>
      <c r="G397" s="1423">
        <f t="shared" ref="G397:G399" ca="1" si="553">IF(F421="n/a",F397,IFERROR(IF((OFFSET($C397,0,$A397))&lt;0,
MIN(0,F397-(OFFSET($C397,0,$A397)/(OFFSET($C392,-$A396,$A397)))),
MAX(0,F397-(OFFSET($C397,0,$A397)/(OFFSET($C392,-$A396,$A397))))),0))</f>
        <v>0</v>
      </c>
      <c r="H397" s="1423">
        <f t="shared" ref="H397:H400" ca="1" si="554">IF(G421="n/a",G397,IFERROR(IF((OFFSET($C397,0,$A397))&lt;0,
MIN(0,G397-(OFFSET($C397,0,$A397)/(OFFSET($C392,-$A396,$A397)))),
MAX(0,G397-(OFFSET($C397,0,$A397)/(OFFSET($C392,-$A396,$A397))))),0))</f>
        <v>0</v>
      </c>
      <c r="I397" s="1423">
        <f t="shared" ref="I397:I401" ca="1" si="555">IF(H421="n/a",H397,IFERROR(IF((OFFSET($C397,0,$A397))&lt;0,
MIN(0,H397-(OFFSET($C397,0,$A397)/(OFFSET($C392,-$A396,$A397)))),
MAX(0,H397-(OFFSET($C397,0,$A397)/(OFFSET($C392,-$A396,$A397))))),0))</f>
        <v>0</v>
      </c>
      <c r="J397" s="1423">
        <f t="shared" ref="J397:J402" ca="1" si="556">IF(I421="n/a",I397,IFERROR(IF((OFFSET($C397,0,$A397))&lt;0,
MIN(0,I397-(OFFSET($C397,0,$A397)/(OFFSET($C392,-$A396,$A397)))),
MAX(0,I397-(OFFSET($C397,0,$A397)/(OFFSET($C392,-$A396,$A397))))),0))</f>
        <v>0</v>
      </c>
      <c r="K397" s="1423">
        <f t="shared" ref="K397:K403" ca="1" si="557">IF(J421="n/a",J397,IFERROR(IF((OFFSET($C397,0,$A397))&lt;0,
MIN(0,J397-(OFFSET($C397,0,$A397)/(OFFSET($C392,-$A396,$A397)))),
MAX(0,J397-(OFFSET($C397,0,$A397)/(OFFSET($C392,-$A396,$A397))))),0))</f>
        <v>0</v>
      </c>
      <c r="L397" s="1423">
        <f t="shared" ref="L397:L404" ca="1" si="558">IF(K421="n/a",K397,IFERROR(IF((OFFSET($C397,0,$A397))&lt;0,
MIN(0,K397-(OFFSET($C397,0,$A397)/(OFFSET($C392,-$A396,$A397)))),
MAX(0,K397-(OFFSET($C397,0,$A397)/(OFFSET($C392,-$A396,$A397))))),0))</f>
        <v>0</v>
      </c>
      <c r="M397" s="1423">
        <f t="shared" ref="M397:M405" ca="1" si="559">IF(L421="n/a",L397,IFERROR(IF((OFFSET($C397,0,$A397))&lt;0,
MIN(0,L397-(OFFSET($C397,0,$A397)/(OFFSET($C392,-$A396,$A397)))),
MAX(0,L397-(OFFSET($C397,0,$A397)/(OFFSET($C392,-$A396,$A397))))),0))</f>
        <v>0</v>
      </c>
      <c r="N397" s="1423">
        <f t="shared" ref="N397:N406" ca="1" si="560">IF(M421="n/a",M397,IFERROR(IF((OFFSET($C397,0,$A397))&lt;0,
MIN(0,M397-(OFFSET($C397,0,$A397)/(OFFSET($C392,-$A396,$A397)))),
MAX(0,M397-(OFFSET($C397,0,$A397)/(OFFSET($C392,-$A396,$A397))))),0))</f>
        <v>0</v>
      </c>
      <c r="O397" s="1423">
        <f t="shared" ref="O397:O407" ca="1" si="561">IF(N421="n/a",N397,IFERROR(IF((OFFSET($C397,0,$A397))&lt;0,
MIN(0,N397-(OFFSET($C397,0,$A397)/(OFFSET($C392,-$A396,$A397)))),
MAX(0,N397-(OFFSET($C397,0,$A397)/(OFFSET($C392,-$A396,$A397))))),0))</f>
        <v>0</v>
      </c>
      <c r="P397" s="1423">
        <f t="shared" ref="P397:P408" ca="1" si="562">IF(O421="n/a",O397,IFERROR(IF((OFFSET($C397,0,$A397))&lt;0,
MIN(0,O397-(OFFSET($C397,0,$A397)/(OFFSET($C392,-$A396,$A397)))),
MAX(0,O397-(OFFSET($C397,0,$A397)/(OFFSET($C392,-$A396,$A397))))),0))</f>
        <v>0</v>
      </c>
      <c r="Q397" s="1423">
        <f t="shared" ref="Q397:Q409" ca="1" si="563">IF(P421="n/a",P397,IFERROR(IF((OFFSET($C397,0,$A397))&lt;0,
MIN(0,P397-(OFFSET($C397,0,$A397)/(OFFSET($C392,-$A396,$A397)))),
MAX(0,P397-(OFFSET($C397,0,$A397)/(OFFSET($C392,-$A396,$A397))))),0))</f>
        <v>0</v>
      </c>
      <c r="R397" s="1423">
        <f t="shared" ref="R397:R410" ca="1" si="564">IF(Q421="n/a",Q397,IFERROR(IF((OFFSET($C397,0,$A397))&lt;0,
MIN(0,Q397-(OFFSET($C397,0,$A397)/(OFFSET($C392,-$A396,$A397)))),
MAX(0,Q397-(OFFSET($C397,0,$A397)/(OFFSET($C392,-$A396,$A397))))),0))</f>
        <v>0</v>
      </c>
      <c r="S397" s="1423">
        <f t="shared" ref="S397:S411" ca="1" si="565">IF(R421="n/a",R397,IFERROR(IF((OFFSET($C397,0,$A397))&lt;0,
MIN(0,R397-(OFFSET($C397,0,$A397)/(OFFSET($C392,-$A396,$A397)))),
MAX(0,R397-(OFFSET($C397,0,$A397)/(OFFSET($C392,-$A396,$A397))))),0))</f>
        <v>0</v>
      </c>
      <c r="T397" s="1423">
        <f t="shared" ref="T397:T412" ca="1" si="566">IF(S421="n/a",S397,IFERROR(IF((OFFSET($C397,0,$A397))&lt;0,
MIN(0,S397-(OFFSET($C397,0,$A397)/(OFFSET($C392,-$A396,$A397)))),
MAX(0,S397-(OFFSET($C397,0,$A397)/(OFFSET($C392,-$A396,$A397))))),0))</f>
        <v>0</v>
      </c>
      <c r="U397" s="1423">
        <f t="shared" ref="U397:U413" ca="1" si="567">IF(T421="n/a",T397,IFERROR(IF((OFFSET($C397,0,$A397))&lt;0,
MIN(0,T397-(OFFSET($C397,0,$A397)/(OFFSET($C392,-$A396,$A397)))),
MAX(0,T397-(OFFSET($C397,0,$A397)/(OFFSET($C392,-$A396,$A397))))),0))</f>
        <v>0</v>
      </c>
      <c r="V397" s="1423">
        <f t="shared" ref="V397:V414" ca="1" si="568">IF(U421="n/a",U397,IFERROR(IF((OFFSET($C397,0,$A397))&lt;0,
MIN(0,U397-(OFFSET($C397,0,$A397)/(OFFSET($C392,-$A396,$A397)))),
MAX(0,U397-(OFFSET($C397,0,$A397)/(OFFSET($C392,-$A396,$A397))))),0))</f>
        <v>0</v>
      </c>
      <c r="W397" s="1423">
        <f t="shared" ref="W397:W415" ca="1" si="569">IF(V421="n/a",V397,IFERROR(IF((OFFSET($C397,0,$A397))&lt;0,
MIN(0,V397-(OFFSET($C397,0,$A397)/(OFFSET($C392,-$A396,$A397)))),
MAX(0,V397-(OFFSET($C397,0,$A397)/(OFFSET($C392,-$A396,$A397))))),0))</f>
        <v>0</v>
      </c>
      <c r="X397" s="152"/>
      <c r="Y397" s="152"/>
      <c r="Z397" s="152"/>
      <c r="AA397" s="152"/>
      <c r="AB397" s="152"/>
    </row>
    <row r="398" spans="1:28" hidden="1" outlineLevel="1">
      <c r="A398" s="199">
        <f t="shared" ref="A398:A417" si="570">A397+1</f>
        <v>1</v>
      </c>
      <c r="B398" s="190" t="str">
        <f t="shared" ref="B398:B416" ca="1" si="571">"Depreciated Net Capex "&amp;OFFSET($C$6,0,A398)</f>
        <v>Depreciated Net Capex 2016-17</v>
      </c>
      <c r="C398" s="1424"/>
      <c r="D398" s="1425">
        <f>(D392*((1+D$11)^0.5)/D$10)</f>
        <v>0</v>
      </c>
      <c r="E398" s="1423">
        <f ca="1">IF(D422="n/a",D398,IFERROR(IF((OFFSET($C398,0,$A398))&lt;0,
MIN(0,D398-(OFFSET($C398,0,$A398)/(OFFSET($C393,-$A397,$A398)))),
MAX(0,D398-(OFFSET($C398,0,$A398)/(OFFSET($C393,-$A397,$A398))))),0))</f>
        <v>0</v>
      </c>
      <c r="F398" s="1423">
        <f t="shared" ca="1" si="552"/>
        <v>0</v>
      </c>
      <c r="G398" s="1423">
        <f t="shared" ca="1" si="553"/>
        <v>0</v>
      </c>
      <c r="H398" s="1423">
        <f t="shared" ca="1" si="554"/>
        <v>0</v>
      </c>
      <c r="I398" s="1423">
        <f t="shared" ca="1" si="555"/>
        <v>0</v>
      </c>
      <c r="J398" s="1423">
        <f t="shared" ca="1" si="556"/>
        <v>0</v>
      </c>
      <c r="K398" s="1423">
        <f t="shared" ca="1" si="557"/>
        <v>0</v>
      </c>
      <c r="L398" s="1423">
        <f t="shared" ca="1" si="558"/>
        <v>0</v>
      </c>
      <c r="M398" s="1423">
        <f t="shared" ca="1" si="559"/>
        <v>0</v>
      </c>
      <c r="N398" s="1423">
        <f t="shared" ca="1" si="560"/>
        <v>0</v>
      </c>
      <c r="O398" s="1423">
        <f t="shared" ca="1" si="561"/>
        <v>0</v>
      </c>
      <c r="P398" s="1423">
        <f t="shared" ca="1" si="562"/>
        <v>0</v>
      </c>
      <c r="Q398" s="1423">
        <f t="shared" ca="1" si="563"/>
        <v>0</v>
      </c>
      <c r="R398" s="1423">
        <f t="shared" ca="1" si="564"/>
        <v>0</v>
      </c>
      <c r="S398" s="1423">
        <f t="shared" ca="1" si="565"/>
        <v>0</v>
      </c>
      <c r="T398" s="1423">
        <f t="shared" ca="1" si="566"/>
        <v>0</v>
      </c>
      <c r="U398" s="1423">
        <f t="shared" ca="1" si="567"/>
        <v>0</v>
      </c>
      <c r="V398" s="1423">
        <f t="shared" ca="1" si="568"/>
        <v>0</v>
      </c>
      <c r="W398" s="1423">
        <f t="shared" ca="1" si="569"/>
        <v>0</v>
      </c>
      <c r="X398" s="152"/>
      <c r="Y398" s="152"/>
      <c r="Z398" s="152"/>
      <c r="AA398" s="152"/>
      <c r="AB398" s="152"/>
    </row>
    <row r="399" spans="1:28" hidden="1" outlineLevel="1">
      <c r="A399" s="199">
        <f t="shared" si="570"/>
        <v>2</v>
      </c>
      <c r="B399" s="190" t="str">
        <f t="shared" ca="1" si="571"/>
        <v>Depreciated Net Capex 2017-18</v>
      </c>
      <c r="C399" s="1426"/>
      <c r="D399" s="1427"/>
      <c r="E399" s="1425">
        <f>(E392*((1+E$11)^0.5)/E$10)</f>
        <v>0</v>
      </c>
      <c r="F399" s="1423">
        <f ca="1">IF(E423="n/a",E399,IFERROR(IF((OFFSET($C399,0,$A399))&lt;0,
MIN(0,E399-(OFFSET($C399,0,$A399)/(OFFSET($C394,-$A398,$A399)))),
MAX(0,E399-(OFFSET($C399,0,$A399)/(OFFSET($C394,-$A398,$A399))))),0))</f>
        <v>0</v>
      </c>
      <c r="G399" s="1423">
        <f t="shared" ca="1" si="553"/>
        <v>0</v>
      </c>
      <c r="H399" s="1423">
        <f t="shared" ca="1" si="554"/>
        <v>0</v>
      </c>
      <c r="I399" s="1423">
        <f t="shared" ca="1" si="555"/>
        <v>0</v>
      </c>
      <c r="J399" s="1423">
        <f t="shared" ca="1" si="556"/>
        <v>0</v>
      </c>
      <c r="K399" s="1423">
        <f t="shared" ca="1" si="557"/>
        <v>0</v>
      </c>
      <c r="L399" s="1423">
        <f t="shared" ca="1" si="558"/>
        <v>0</v>
      </c>
      <c r="M399" s="1423">
        <f t="shared" ca="1" si="559"/>
        <v>0</v>
      </c>
      <c r="N399" s="1423">
        <f t="shared" ca="1" si="560"/>
        <v>0</v>
      </c>
      <c r="O399" s="1423">
        <f t="shared" ca="1" si="561"/>
        <v>0</v>
      </c>
      <c r="P399" s="1423">
        <f t="shared" ca="1" si="562"/>
        <v>0</v>
      </c>
      <c r="Q399" s="1423">
        <f t="shared" ca="1" si="563"/>
        <v>0</v>
      </c>
      <c r="R399" s="1423">
        <f t="shared" ca="1" si="564"/>
        <v>0</v>
      </c>
      <c r="S399" s="1423">
        <f t="shared" ca="1" si="565"/>
        <v>0</v>
      </c>
      <c r="T399" s="1423">
        <f t="shared" ca="1" si="566"/>
        <v>0</v>
      </c>
      <c r="U399" s="1423">
        <f t="shared" ca="1" si="567"/>
        <v>0</v>
      </c>
      <c r="V399" s="1423">
        <f t="shared" ca="1" si="568"/>
        <v>0</v>
      </c>
      <c r="W399" s="1423">
        <f t="shared" ca="1" si="569"/>
        <v>0</v>
      </c>
      <c r="X399" s="202"/>
      <c r="Y399" s="152"/>
      <c r="Z399" s="152"/>
      <c r="AA399" s="152"/>
      <c r="AB399" s="152"/>
    </row>
    <row r="400" spans="1:28" hidden="1" outlineLevel="1">
      <c r="A400" s="199">
        <f t="shared" si="570"/>
        <v>3</v>
      </c>
      <c r="B400" s="190" t="str">
        <f t="shared" ca="1" si="571"/>
        <v>Depreciated Net Capex 2018-19</v>
      </c>
      <c r="C400" s="1426"/>
      <c r="D400" s="1426"/>
      <c r="E400" s="1427"/>
      <c r="F400" s="1428">
        <f>($F392*((1+F$11)^0.5)/F$10)</f>
        <v>0</v>
      </c>
      <c r="G400" s="1423">
        <f ca="1">IF(F424="n/a",F400,IFERROR(IF((OFFSET($C400,0,$A400))&lt;0,
MIN(0,F400-(OFFSET($C400,0,$A400)/(OFFSET($C395,-$A399,$A400)))),
MAX(0,F400-(OFFSET($C400,0,$A400)/(OFFSET($C395,-$A399,$A400))))),0))</f>
        <v>0</v>
      </c>
      <c r="H400" s="1423">
        <f t="shared" ca="1" si="554"/>
        <v>0</v>
      </c>
      <c r="I400" s="1423">
        <f t="shared" ca="1" si="555"/>
        <v>0</v>
      </c>
      <c r="J400" s="1423">
        <f t="shared" ca="1" si="556"/>
        <v>0</v>
      </c>
      <c r="K400" s="1423">
        <f t="shared" ca="1" si="557"/>
        <v>0</v>
      </c>
      <c r="L400" s="1423">
        <f t="shared" ca="1" si="558"/>
        <v>0</v>
      </c>
      <c r="M400" s="1423">
        <f t="shared" ca="1" si="559"/>
        <v>0</v>
      </c>
      <c r="N400" s="1423">
        <f t="shared" ca="1" si="560"/>
        <v>0</v>
      </c>
      <c r="O400" s="1423">
        <f t="shared" ca="1" si="561"/>
        <v>0</v>
      </c>
      <c r="P400" s="1423">
        <f t="shared" ca="1" si="562"/>
        <v>0</v>
      </c>
      <c r="Q400" s="1423">
        <f t="shared" ca="1" si="563"/>
        <v>0</v>
      </c>
      <c r="R400" s="1423">
        <f t="shared" ca="1" si="564"/>
        <v>0</v>
      </c>
      <c r="S400" s="1423">
        <f t="shared" ca="1" si="565"/>
        <v>0</v>
      </c>
      <c r="T400" s="1423">
        <f t="shared" ca="1" si="566"/>
        <v>0</v>
      </c>
      <c r="U400" s="1423">
        <f t="shared" ca="1" si="567"/>
        <v>0</v>
      </c>
      <c r="V400" s="1423">
        <f t="shared" ca="1" si="568"/>
        <v>0</v>
      </c>
      <c r="W400" s="1423">
        <f t="shared" ca="1" si="569"/>
        <v>0</v>
      </c>
      <c r="X400" s="202"/>
      <c r="Y400" s="202"/>
      <c r="Z400" s="152"/>
      <c r="AA400" s="152"/>
      <c r="AB400" s="152"/>
    </row>
    <row r="401" spans="1:28" hidden="1" outlineLevel="1">
      <c r="A401" s="199">
        <f t="shared" si="570"/>
        <v>4</v>
      </c>
      <c r="B401" s="190" t="str">
        <f t="shared" ca="1" si="571"/>
        <v>Depreciated Net Capex 2019-20</v>
      </c>
      <c r="C401" s="1426"/>
      <c r="D401" s="1426"/>
      <c r="E401" s="1426"/>
      <c r="F401" s="1427"/>
      <c r="G401" s="1428">
        <f>($G392*((1+G$11)^0.5)/G$10)</f>
        <v>0</v>
      </c>
      <c r="H401" s="1423">
        <f ca="1">IF(G425="n/a",G401,IFERROR(IF((OFFSET($C401,0,$A401))&lt;0,
MIN(0,G401-(OFFSET($C401,0,$A401)/(OFFSET($C396,-$A400,$A401)))),
MAX(0,G401-(OFFSET($C401,0,$A401)/(OFFSET($C396,-$A400,$A401))))),0))</f>
        <v>0</v>
      </c>
      <c r="I401" s="1423">
        <f t="shared" ca="1" si="555"/>
        <v>0</v>
      </c>
      <c r="J401" s="1423">
        <f t="shared" ca="1" si="556"/>
        <v>0</v>
      </c>
      <c r="K401" s="1423">
        <f t="shared" ca="1" si="557"/>
        <v>0</v>
      </c>
      <c r="L401" s="1423">
        <f t="shared" ca="1" si="558"/>
        <v>0</v>
      </c>
      <c r="M401" s="1423">
        <f t="shared" ca="1" si="559"/>
        <v>0</v>
      </c>
      <c r="N401" s="1423">
        <f t="shared" ca="1" si="560"/>
        <v>0</v>
      </c>
      <c r="O401" s="1423">
        <f t="shared" ca="1" si="561"/>
        <v>0</v>
      </c>
      <c r="P401" s="1423">
        <f t="shared" ca="1" si="562"/>
        <v>0</v>
      </c>
      <c r="Q401" s="1423">
        <f t="shared" ca="1" si="563"/>
        <v>0</v>
      </c>
      <c r="R401" s="1423">
        <f t="shared" ca="1" si="564"/>
        <v>0</v>
      </c>
      <c r="S401" s="1423">
        <f t="shared" ca="1" si="565"/>
        <v>0</v>
      </c>
      <c r="T401" s="1423">
        <f t="shared" ca="1" si="566"/>
        <v>0</v>
      </c>
      <c r="U401" s="1423">
        <f t="shared" ca="1" si="567"/>
        <v>0</v>
      </c>
      <c r="V401" s="1423">
        <f t="shared" ca="1" si="568"/>
        <v>0</v>
      </c>
      <c r="W401" s="1423">
        <f t="shared" ca="1" si="569"/>
        <v>0</v>
      </c>
      <c r="X401" s="202"/>
      <c r="Y401" s="202"/>
      <c r="Z401" s="202"/>
      <c r="AA401" s="152"/>
      <c r="AB401" s="152"/>
    </row>
    <row r="402" spans="1:28" hidden="1" outlineLevel="1">
      <c r="A402" s="199">
        <f t="shared" si="570"/>
        <v>5</v>
      </c>
      <c r="B402" s="190" t="str">
        <f t="shared" ca="1" si="571"/>
        <v>Depreciated Net Capex 2020-21</v>
      </c>
      <c r="C402" s="1426"/>
      <c r="D402" s="1426"/>
      <c r="E402" s="1426"/>
      <c r="F402" s="1426"/>
      <c r="G402" s="1427"/>
      <c r="H402" s="1428">
        <f>(H392*((1+H$11)^0.5)/H$10)</f>
        <v>0</v>
      </c>
      <c r="I402" s="1423">
        <f ca="1">IF(H426="n/a",H402,IFERROR(IF((OFFSET($C402,0,$A402))&lt;0,
MIN(0,H402-(OFFSET($C402,0,$A402)/(OFFSET($C397,-$A401,$A402)))),
MAX(0,H402-(OFFSET($C402,0,$A402)/(OFFSET($C397,-$A401,$A402))))),0))</f>
        <v>0</v>
      </c>
      <c r="J402" s="1423">
        <f t="shared" ca="1" si="556"/>
        <v>0</v>
      </c>
      <c r="K402" s="1423">
        <f t="shared" ca="1" si="557"/>
        <v>0</v>
      </c>
      <c r="L402" s="1423">
        <f t="shared" ca="1" si="558"/>
        <v>0</v>
      </c>
      <c r="M402" s="1423">
        <f t="shared" ca="1" si="559"/>
        <v>0</v>
      </c>
      <c r="N402" s="1423">
        <f t="shared" ca="1" si="560"/>
        <v>0</v>
      </c>
      <c r="O402" s="1423">
        <f t="shared" ca="1" si="561"/>
        <v>0</v>
      </c>
      <c r="P402" s="1423">
        <f t="shared" ca="1" si="562"/>
        <v>0</v>
      </c>
      <c r="Q402" s="1423">
        <f t="shared" ca="1" si="563"/>
        <v>0</v>
      </c>
      <c r="R402" s="1423">
        <f t="shared" ca="1" si="564"/>
        <v>0</v>
      </c>
      <c r="S402" s="1423">
        <f t="shared" ca="1" si="565"/>
        <v>0</v>
      </c>
      <c r="T402" s="1423">
        <f t="shared" ca="1" si="566"/>
        <v>0</v>
      </c>
      <c r="U402" s="1423">
        <f t="shared" ca="1" si="567"/>
        <v>0</v>
      </c>
      <c r="V402" s="1423">
        <f t="shared" ca="1" si="568"/>
        <v>0</v>
      </c>
      <c r="W402" s="1423">
        <f t="shared" ca="1" si="569"/>
        <v>0</v>
      </c>
      <c r="X402" s="202"/>
      <c r="Y402" s="202"/>
      <c r="Z402" s="202"/>
      <c r="AA402" s="152"/>
      <c r="AB402" s="152"/>
    </row>
    <row r="403" spans="1:28" hidden="1" outlineLevel="1">
      <c r="A403" s="199">
        <f t="shared" si="570"/>
        <v>6</v>
      </c>
      <c r="B403" s="190" t="str">
        <f t="shared" ca="1" si="571"/>
        <v>Depreciated Net Capex 2021-22</v>
      </c>
      <c r="C403" s="1426"/>
      <c r="D403" s="1426"/>
      <c r="E403" s="1426"/>
      <c r="F403" s="1426"/>
      <c r="G403" s="1426"/>
      <c r="H403" s="1427"/>
      <c r="I403" s="1428">
        <f>(I392*((1+I$11)^0.5)/I$10)</f>
        <v>0</v>
      </c>
      <c r="J403" s="1423">
        <f ca="1">IF(I427="n/a",I403,IFERROR(IF((OFFSET($C403,0,$A403))&lt;0,
MIN(0,I403-(OFFSET($C403,0,$A403)/(OFFSET($C398,-$A402,$A403)))),
MAX(0,I403-(OFFSET($C403,0,$A403)/(OFFSET($C398,-$A402,$A403))))),0))</f>
        <v>0</v>
      </c>
      <c r="K403" s="1423">
        <f t="shared" ca="1" si="557"/>
        <v>0</v>
      </c>
      <c r="L403" s="1423">
        <f t="shared" ca="1" si="558"/>
        <v>0</v>
      </c>
      <c r="M403" s="1423">
        <f t="shared" ca="1" si="559"/>
        <v>0</v>
      </c>
      <c r="N403" s="1423">
        <f t="shared" ca="1" si="560"/>
        <v>0</v>
      </c>
      <c r="O403" s="1423">
        <f t="shared" ca="1" si="561"/>
        <v>0</v>
      </c>
      <c r="P403" s="1423">
        <f t="shared" ca="1" si="562"/>
        <v>0</v>
      </c>
      <c r="Q403" s="1423">
        <f t="shared" ca="1" si="563"/>
        <v>0</v>
      </c>
      <c r="R403" s="1423">
        <f t="shared" ca="1" si="564"/>
        <v>0</v>
      </c>
      <c r="S403" s="1423">
        <f t="shared" ca="1" si="565"/>
        <v>0</v>
      </c>
      <c r="T403" s="1423">
        <f t="shared" ca="1" si="566"/>
        <v>0</v>
      </c>
      <c r="U403" s="1423">
        <f t="shared" ca="1" si="567"/>
        <v>0</v>
      </c>
      <c r="V403" s="1423">
        <f t="shared" ca="1" si="568"/>
        <v>0</v>
      </c>
      <c r="W403" s="1423">
        <f t="shared" ca="1" si="569"/>
        <v>0</v>
      </c>
      <c r="X403" s="202"/>
      <c r="Y403" s="202"/>
      <c r="Z403" s="202"/>
      <c r="AA403" s="152"/>
      <c r="AB403" s="152"/>
    </row>
    <row r="404" spans="1:28" hidden="1" outlineLevel="1">
      <c r="A404" s="199">
        <f t="shared" si="570"/>
        <v>7</v>
      </c>
      <c r="B404" s="190" t="str">
        <f t="shared" ca="1" si="571"/>
        <v>Depreciated Net Capex 2022-23</v>
      </c>
      <c r="C404" s="1426"/>
      <c r="D404" s="1426"/>
      <c r="E404" s="1426"/>
      <c r="F404" s="1426"/>
      <c r="G404" s="1426"/>
      <c r="H404" s="1426"/>
      <c r="I404" s="1427"/>
      <c r="J404" s="1428">
        <f>(J392*((1+J$11)^0.5)/J$10)</f>
        <v>0</v>
      </c>
      <c r="K404" s="1423">
        <f ca="1">IF(J428="n/a",J404,IFERROR(IF((OFFSET($C404,0,$A404))&lt;0,
MIN(0,J404-(OFFSET($C404,0,$A404)/(OFFSET($C399,-$A403,$A404)))),
MAX(0,J404-(OFFSET($C404,0,$A404)/(OFFSET($C399,-$A403,$A404))))),0))</f>
        <v>0</v>
      </c>
      <c r="L404" s="1423">
        <f t="shared" ca="1" si="558"/>
        <v>0</v>
      </c>
      <c r="M404" s="1423">
        <f t="shared" ca="1" si="559"/>
        <v>0</v>
      </c>
      <c r="N404" s="1423">
        <f t="shared" ca="1" si="560"/>
        <v>0</v>
      </c>
      <c r="O404" s="1423">
        <f t="shared" ca="1" si="561"/>
        <v>0</v>
      </c>
      <c r="P404" s="1423">
        <f t="shared" ca="1" si="562"/>
        <v>0</v>
      </c>
      <c r="Q404" s="1423">
        <f t="shared" ca="1" si="563"/>
        <v>0</v>
      </c>
      <c r="R404" s="1423">
        <f t="shared" ca="1" si="564"/>
        <v>0</v>
      </c>
      <c r="S404" s="1423">
        <f t="shared" ca="1" si="565"/>
        <v>0</v>
      </c>
      <c r="T404" s="1423">
        <f t="shared" ca="1" si="566"/>
        <v>0</v>
      </c>
      <c r="U404" s="1423">
        <f t="shared" ca="1" si="567"/>
        <v>0</v>
      </c>
      <c r="V404" s="1423">
        <f t="shared" ca="1" si="568"/>
        <v>0</v>
      </c>
      <c r="W404" s="1423">
        <f t="shared" ca="1" si="569"/>
        <v>0</v>
      </c>
      <c r="X404" s="202"/>
      <c r="Y404" s="202"/>
      <c r="Z404" s="202"/>
      <c r="AA404" s="152"/>
      <c r="AB404" s="152"/>
    </row>
    <row r="405" spans="1:28" hidden="1" outlineLevel="1">
      <c r="A405" s="199">
        <f t="shared" si="570"/>
        <v>8</v>
      </c>
      <c r="B405" s="190" t="str">
        <f t="shared" ca="1" si="571"/>
        <v>Depreciated Net Capex 2023-24</v>
      </c>
      <c r="C405" s="1426"/>
      <c r="D405" s="1426"/>
      <c r="E405" s="1426"/>
      <c r="F405" s="1426"/>
      <c r="G405" s="1426"/>
      <c r="H405" s="1426"/>
      <c r="I405" s="1426"/>
      <c r="J405" s="1427"/>
      <c r="K405" s="1428">
        <f>(K392*((1+K$11)^0.5)/K$10)</f>
        <v>0</v>
      </c>
      <c r="L405" s="1423">
        <f ca="1">IF(K429="n/a",K405,IFERROR(IF((OFFSET($C405,0,$A405))&lt;0,
MIN(0,K405-(OFFSET($C405,0,$A405)/(OFFSET($C400,-$A404,$A405)))),
MAX(0,K405-(OFFSET($C405,0,$A405)/(OFFSET($C400,-$A404,$A405))))),0))</f>
        <v>0</v>
      </c>
      <c r="M405" s="1423">
        <f t="shared" ca="1" si="559"/>
        <v>0</v>
      </c>
      <c r="N405" s="1423">
        <f t="shared" ca="1" si="560"/>
        <v>0</v>
      </c>
      <c r="O405" s="1423">
        <f t="shared" ca="1" si="561"/>
        <v>0</v>
      </c>
      <c r="P405" s="1423">
        <f t="shared" ca="1" si="562"/>
        <v>0</v>
      </c>
      <c r="Q405" s="1423">
        <f t="shared" ca="1" si="563"/>
        <v>0</v>
      </c>
      <c r="R405" s="1423">
        <f t="shared" ca="1" si="564"/>
        <v>0</v>
      </c>
      <c r="S405" s="1423">
        <f t="shared" ca="1" si="565"/>
        <v>0</v>
      </c>
      <c r="T405" s="1423">
        <f t="shared" ca="1" si="566"/>
        <v>0</v>
      </c>
      <c r="U405" s="1423">
        <f t="shared" ca="1" si="567"/>
        <v>0</v>
      </c>
      <c r="V405" s="1423">
        <f t="shared" ca="1" si="568"/>
        <v>0</v>
      </c>
      <c r="W405" s="1423">
        <f t="shared" ca="1" si="569"/>
        <v>0</v>
      </c>
      <c r="X405" s="202"/>
      <c r="Y405" s="202"/>
      <c r="Z405" s="202"/>
      <c r="AA405" s="152"/>
      <c r="AB405" s="152"/>
    </row>
    <row r="406" spans="1:28" hidden="1" outlineLevel="1">
      <c r="A406" s="199">
        <f t="shared" si="570"/>
        <v>9</v>
      </c>
      <c r="B406" s="190" t="str">
        <f t="shared" ca="1" si="571"/>
        <v>Depreciated Net Capex 2024-25</v>
      </c>
      <c r="C406" s="1426"/>
      <c r="D406" s="1426"/>
      <c r="E406" s="1426"/>
      <c r="F406" s="1426"/>
      <c r="G406" s="1426"/>
      <c r="H406" s="1426"/>
      <c r="I406" s="1426"/>
      <c r="J406" s="1426"/>
      <c r="K406" s="1427"/>
      <c r="L406" s="1428">
        <f>(L392*((1+L$11)^0.5)/L$10)</f>
        <v>0</v>
      </c>
      <c r="M406" s="1423">
        <f ca="1">IF(L430="n/a",L406,IFERROR(IF((OFFSET($C406,0,$A406))&lt;0,
MIN(0,L406-(OFFSET($C406,0,$A406)/(OFFSET($C401,-$A405,$A406)))),
MAX(0,L406-(OFFSET($C406,0,$A406)/(OFFSET($C401,-$A405,$A406))))),0))</f>
        <v>0</v>
      </c>
      <c r="N406" s="1423">
        <f t="shared" ca="1" si="560"/>
        <v>0</v>
      </c>
      <c r="O406" s="1423">
        <f t="shared" ca="1" si="561"/>
        <v>0</v>
      </c>
      <c r="P406" s="1423">
        <f t="shared" ca="1" si="562"/>
        <v>0</v>
      </c>
      <c r="Q406" s="1423">
        <f t="shared" ca="1" si="563"/>
        <v>0</v>
      </c>
      <c r="R406" s="1423">
        <f t="shared" ca="1" si="564"/>
        <v>0</v>
      </c>
      <c r="S406" s="1423">
        <f t="shared" ca="1" si="565"/>
        <v>0</v>
      </c>
      <c r="T406" s="1423">
        <f t="shared" ca="1" si="566"/>
        <v>0</v>
      </c>
      <c r="U406" s="1423">
        <f t="shared" ca="1" si="567"/>
        <v>0</v>
      </c>
      <c r="V406" s="1423">
        <f t="shared" ca="1" si="568"/>
        <v>0</v>
      </c>
      <c r="W406" s="1423">
        <f t="shared" ca="1" si="569"/>
        <v>0</v>
      </c>
      <c r="X406" s="202"/>
      <c r="Y406" s="202"/>
      <c r="Z406" s="202"/>
      <c r="AA406" s="152"/>
      <c r="AB406" s="152"/>
    </row>
    <row r="407" spans="1:28" hidden="1" outlineLevel="1">
      <c r="A407" s="199">
        <f t="shared" si="570"/>
        <v>10</v>
      </c>
      <c r="B407" s="190" t="str">
        <f t="shared" ca="1" si="571"/>
        <v>Depreciated Net Capex 2025-26</v>
      </c>
      <c r="C407" s="1426"/>
      <c r="D407" s="1426"/>
      <c r="E407" s="1426"/>
      <c r="F407" s="1426"/>
      <c r="G407" s="1426"/>
      <c r="H407" s="1426"/>
      <c r="I407" s="1426"/>
      <c r="J407" s="1426"/>
      <c r="K407" s="1426"/>
      <c r="L407" s="1427"/>
      <c r="M407" s="1428">
        <f>(M392*((1+M$11)^0.5)/M$10)</f>
        <v>0</v>
      </c>
      <c r="N407" s="1423">
        <f ca="1">IF(M431="n/a",M407,IFERROR(IF((OFFSET($C407,0,$A407))&lt;0,
MIN(0,M407-(OFFSET($C407,0,$A407)/(OFFSET($C402,-$A406,$A407)))),
MAX(0,M407-(OFFSET($C407,0,$A407)/(OFFSET($C402,-$A406,$A407))))),0))</f>
        <v>0</v>
      </c>
      <c r="O407" s="1423">
        <f t="shared" ca="1" si="561"/>
        <v>0</v>
      </c>
      <c r="P407" s="1423">
        <f t="shared" ca="1" si="562"/>
        <v>0</v>
      </c>
      <c r="Q407" s="1423">
        <f t="shared" ca="1" si="563"/>
        <v>0</v>
      </c>
      <c r="R407" s="1423">
        <f t="shared" ca="1" si="564"/>
        <v>0</v>
      </c>
      <c r="S407" s="1423">
        <f t="shared" ca="1" si="565"/>
        <v>0</v>
      </c>
      <c r="T407" s="1423">
        <f t="shared" ca="1" si="566"/>
        <v>0</v>
      </c>
      <c r="U407" s="1423">
        <f t="shared" ca="1" si="567"/>
        <v>0</v>
      </c>
      <c r="V407" s="1423">
        <f t="shared" ca="1" si="568"/>
        <v>0</v>
      </c>
      <c r="W407" s="1423">
        <f t="shared" ca="1" si="569"/>
        <v>0</v>
      </c>
      <c r="X407" s="202"/>
      <c r="Y407" s="202"/>
      <c r="Z407" s="202"/>
      <c r="AA407" s="152"/>
      <c r="AB407" s="152"/>
    </row>
    <row r="408" spans="1:28" hidden="1" outlineLevel="1">
      <c r="A408" s="199">
        <f t="shared" si="570"/>
        <v>11</v>
      </c>
      <c r="B408" s="190" t="str">
        <f t="shared" ca="1" si="571"/>
        <v>Depreciated Net Capex 2026-27</v>
      </c>
      <c r="C408" s="1426"/>
      <c r="D408" s="1426"/>
      <c r="E408" s="1426"/>
      <c r="F408" s="1426"/>
      <c r="G408" s="1426"/>
      <c r="H408" s="1426"/>
      <c r="I408" s="1426"/>
      <c r="J408" s="1426"/>
      <c r="K408" s="1426"/>
      <c r="L408" s="1426"/>
      <c r="M408" s="1427"/>
      <c r="N408" s="1428">
        <f>(N392*((1+N$11)^0.5)/N$10)</f>
        <v>0</v>
      </c>
      <c r="O408" s="1423">
        <f ca="1">IF(N432="n/a",N408,IFERROR(IF((OFFSET($C408,0,$A408))&lt;0,
MIN(0,N408-(OFFSET($C408,0,$A408)/(OFFSET($C403,-$A407,$A408)))),
MAX(0,N408-(OFFSET($C408,0,$A408)/(OFFSET($C403,-$A407,$A408))))),0))</f>
        <v>0</v>
      </c>
      <c r="P408" s="1423">
        <f t="shared" ca="1" si="562"/>
        <v>0</v>
      </c>
      <c r="Q408" s="1423">
        <f t="shared" ca="1" si="563"/>
        <v>0</v>
      </c>
      <c r="R408" s="1423">
        <f t="shared" ca="1" si="564"/>
        <v>0</v>
      </c>
      <c r="S408" s="1423">
        <f t="shared" ca="1" si="565"/>
        <v>0</v>
      </c>
      <c r="T408" s="1423">
        <f t="shared" ca="1" si="566"/>
        <v>0</v>
      </c>
      <c r="U408" s="1423">
        <f t="shared" ca="1" si="567"/>
        <v>0</v>
      </c>
      <c r="V408" s="1423">
        <f t="shared" ca="1" si="568"/>
        <v>0</v>
      </c>
      <c r="W408" s="1423">
        <f t="shared" ca="1" si="569"/>
        <v>0</v>
      </c>
      <c r="X408" s="202"/>
      <c r="Y408" s="202"/>
      <c r="Z408" s="202"/>
      <c r="AA408" s="152"/>
      <c r="AB408" s="152"/>
    </row>
    <row r="409" spans="1:28" hidden="1" outlineLevel="1">
      <c r="A409" s="199">
        <f t="shared" si="570"/>
        <v>12</v>
      </c>
      <c r="B409" s="190" t="str">
        <f t="shared" ca="1" si="571"/>
        <v>Depreciated Net Capex 2027-28</v>
      </c>
      <c r="C409" s="1426"/>
      <c r="D409" s="1426"/>
      <c r="E409" s="1426"/>
      <c r="F409" s="1426"/>
      <c r="G409" s="1426"/>
      <c r="H409" s="1426"/>
      <c r="I409" s="1426"/>
      <c r="J409" s="1426"/>
      <c r="K409" s="1426"/>
      <c r="L409" s="1426"/>
      <c r="M409" s="1426"/>
      <c r="N409" s="1427"/>
      <c r="O409" s="1428">
        <f>(O392*((1+O$11)^0.5)/O$10)</f>
        <v>0</v>
      </c>
      <c r="P409" s="1423">
        <f ca="1">IF(O433="n/a",O409,IFERROR(IF((OFFSET($C409,0,$A409))&lt;0,
MIN(0,O409-(OFFSET($C409,0,$A409)/(OFFSET($C404,-$A408,$A409)))),
MAX(0,O409-(OFFSET($C409,0,$A409)/(OFFSET($C404,-$A408,$A409))))),0))</f>
        <v>0</v>
      </c>
      <c r="Q409" s="1423">
        <f t="shared" ca="1" si="563"/>
        <v>0</v>
      </c>
      <c r="R409" s="1423">
        <f t="shared" ca="1" si="564"/>
        <v>0</v>
      </c>
      <c r="S409" s="1423">
        <f t="shared" ca="1" si="565"/>
        <v>0</v>
      </c>
      <c r="T409" s="1423">
        <f t="shared" ca="1" si="566"/>
        <v>0</v>
      </c>
      <c r="U409" s="1423">
        <f t="shared" ca="1" si="567"/>
        <v>0</v>
      </c>
      <c r="V409" s="1423">
        <f t="shared" ca="1" si="568"/>
        <v>0</v>
      </c>
      <c r="W409" s="1423">
        <f t="shared" ca="1" si="569"/>
        <v>0</v>
      </c>
      <c r="X409" s="202"/>
      <c r="Y409" s="202"/>
      <c r="Z409" s="202"/>
      <c r="AA409" s="152"/>
      <c r="AB409" s="152"/>
    </row>
    <row r="410" spans="1:28" hidden="1" outlineLevel="1">
      <c r="A410" s="199">
        <f t="shared" si="570"/>
        <v>13</v>
      </c>
      <c r="B410" s="190" t="str">
        <f t="shared" ca="1" si="571"/>
        <v>Depreciated Net Capex 2028-29</v>
      </c>
      <c r="C410" s="1426"/>
      <c r="D410" s="1426"/>
      <c r="E410" s="1426"/>
      <c r="F410" s="1426"/>
      <c r="G410" s="1426"/>
      <c r="H410" s="1426"/>
      <c r="I410" s="1426"/>
      <c r="J410" s="1426"/>
      <c r="K410" s="1426"/>
      <c r="L410" s="1426"/>
      <c r="M410" s="1426"/>
      <c r="N410" s="1426"/>
      <c r="O410" s="1427"/>
      <c r="P410" s="1428">
        <f>(P392*((1+P$11)^0.5)/P$10)</f>
        <v>0</v>
      </c>
      <c r="Q410" s="1423">
        <f ca="1">IF(P434="n/a",P410,IFERROR(IF((OFFSET($C410,0,$A410))&lt;0,
MIN(0,P410-(OFFSET($C410,0,$A410)/(OFFSET($C405,-$A409,$A410)))),
MAX(0,P410-(OFFSET($C410,0,$A410)/(OFFSET($C405,-$A409,$A410))))),0))</f>
        <v>0</v>
      </c>
      <c r="R410" s="1423">
        <f t="shared" ca="1" si="564"/>
        <v>0</v>
      </c>
      <c r="S410" s="1423">
        <f t="shared" ca="1" si="565"/>
        <v>0</v>
      </c>
      <c r="T410" s="1423">
        <f t="shared" ca="1" si="566"/>
        <v>0</v>
      </c>
      <c r="U410" s="1423">
        <f t="shared" ca="1" si="567"/>
        <v>0</v>
      </c>
      <c r="V410" s="1423">
        <f t="shared" ca="1" si="568"/>
        <v>0</v>
      </c>
      <c r="W410" s="1423">
        <f t="shared" ca="1" si="569"/>
        <v>0</v>
      </c>
      <c r="X410" s="202"/>
      <c r="Y410" s="202"/>
      <c r="Z410" s="202"/>
      <c r="AA410" s="152"/>
      <c r="AB410" s="152"/>
    </row>
    <row r="411" spans="1:28" hidden="1" outlineLevel="1">
      <c r="A411" s="199">
        <f t="shared" si="570"/>
        <v>14</v>
      </c>
      <c r="B411" s="190" t="str">
        <f t="shared" ca="1" si="571"/>
        <v>Depreciated Net Capex 2029-30</v>
      </c>
      <c r="C411" s="1426"/>
      <c r="D411" s="1426"/>
      <c r="E411" s="1426"/>
      <c r="F411" s="1426"/>
      <c r="G411" s="1426"/>
      <c r="H411" s="1426"/>
      <c r="I411" s="1426"/>
      <c r="J411" s="1426"/>
      <c r="K411" s="1426"/>
      <c r="L411" s="1426"/>
      <c r="M411" s="1426"/>
      <c r="N411" s="1426"/>
      <c r="O411" s="1426"/>
      <c r="P411" s="1427"/>
      <c r="Q411" s="1428">
        <f>(Q392*((1+Q$11)^0.5)/Q$10)</f>
        <v>0</v>
      </c>
      <c r="R411" s="1423">
        <f ca="1">IF(Q435="n/a",Q411,IFERROR(IF((OFFSET($C411,0,$A411))&lt;0,
MIN(0,Q411-(OFFSET($C411,0,$A411)/(OFFSET($C406,-$A410,$A411)))),
MAX(0,Q411-(OFFSET($C411,0,$A411)/(OFFSET($C406,-$A410,$A411))))),0))</f>
        <v>0</v>
      </c>
      <c r="S411" s="1423">
        <f t="shared" ca="1" si="565"/>
        <v>0</v>
      </c>
      <c r="T411" s="1423">
        <f t="shared" ca="1" si="566"/>
        <v>0</v>
      </c>
      <c r="U411" s="1423">
        <f t="shared" ca="1" si="567"/>
        <v>0</v>
      </c>
      <c r="V411" s="1423">
        <f t="shared" ca="1" si="568"/>
        <v>0</v>
      </c>
      <c r="W411" s="1423">
        <f t="shared" ca="1" si="569"/>
        <v>0</v>
      </c>
      <c r="X411" s="202"/>
      <c r="Y411" s="202"/>
      <c r="Z411" s="202"/>
      <c r="AA411" s="152"/>
      <c r="AB411" s="152"/>
    </row>
    <row r="412" spans="1:28" hidden="1" outlineLevel="1">
      <c r="A412" s="199">
        <f t="shared" si="570"/>
        <v>15</v>
      </c>
      <c r="B412" s="190" t="str">
        <f t="shared" ca="1" si="571"/>
        <v>Depreciated Net Capex 2030-31</v>
      </c>
      <c r="C412" s="1426"/>
      <c r="D412" s="1426"/>
      <c r="E412" s="1426"/>
      <c r="F412" s="1426"/>
      <c r="G412" s="1426"/>
      <c r="H412" s="1426"/>
      <c r="I412" s="1426"/>
      <c r="J412" s="1426"/>
      <c r="K412" s="1426"/>
      <c r="L412" s="1426"/>
      <c r="M412" s="1426"/>
      <c r="N412" s="1426"/>
      <c r="O412" s="1426"/>
      <c r="P412" s="1426"/>
      <c r="Q412" s="1427"/>
      <c r="R412" s="1428">
        <f>(R392*((1+R$11)^0.5)/R$10)</f>
        <v>0</v>
      </c>
      <c r="S412" s="1423">
        <f ca="1">IF(R436="n/a",R412,IFERROR(IF((OFFSET($C412,0,$A412))&lt;0,
MIN(0,R412-(OFFSET($C412,0,$A412)/(OFFSET($C407,-$A411,$A412)))),
MAX(0,R412-(OFFSET($C412,0,$A412)/(OFFSET($C407,-$A411,$A412))))),0))</f>
        <v>0</v>
      </c>
      <c r="T412" s="1423">
        <f t="shared" ca="1" si="566"/>
        <v>0</v>
      </c>
      <c r="U412" s="1423">
        <f t="shared" ca="1" si="567"/>
        <v>0</v>
      </c>
      <c r="V412" s="1423">
        <f t="shared" ca="1" si="568"/>
        <v>0</v>
      </c>
      <c r="W412" s="1423">
        <f t="shared" ca="1" si="569"/>
        <v>0</v>
      </c>
      <c r="X412" s="202"/>
      <c r="Y412" s="202"/>
      <c r="Z412" s="202"/>
      <c r="AA412" s="152"/>
      <c r="AB412" s="152"/>
    </row>
    <row r="413" spans="1:28" hidden="1" outlineLevel="1">
      <c r="A413" s="199">
        <f t="shared" si="570"/>
        <v>16</v>
      </c>
      <c r="B413" s="190" t="str">
        <f t="shared" ca="1" si="571"/>
        <v>Depreciated Net Capex 2031-32</v>
      </c>
      <c r="C413" s="1426"/>
      <c r="D413" s="1426"/>
      <c r="E413" s="1426"/>
      <c r="F413" s="1426"/>
      <c r="G413" s="1426"/>
      <c r="H413" s="1426"/>
      <c r="I413" s="1426"/>
      <c r="J413" s="1426"/>
      <c r="K413" s="1426"/>
      <c r="L413" s="1426"/>
      <c r="M413" s="1426"/>
      <c r="N413" s="1426"/>
      <c r="O413" s="1426"/>
      <c r="P413" s="1426"/>
      <c r="Q413" s="1426"/>
      <c r="R413" s="1427"/>
      <c r="S413" s="1428">
        <f>(S392*((1+S$11)^0.5)/S$10)</f>
        <v>0</v>
      </c>
      <c r="T413" s="1423">
        <f ca="1">IF(S437="n/a",S413,IFERROR(IF((OFFSET($C413,0,$A413))&lt;0,
MIN(0,S413-(OFFSET($C413,0,$A413)/(OFFSET($C408,-$A412,$A413)))),
MAX(0,S413-(OFFSET($C413,0,$A413)/(OFFSET($C408,-$A412,$A413))))),0))</f>
        <v>0</v>
      </c>
      <c r="U413" s="1423">
        <f t="shared" ca="1" si="567"/>
        <v>0</v>
      </c>
      <c r="V413" s="1423">
        <f t="shared" ca="1" si="568"/>
        <v>0</v>
      </c>
      <c r="W413" s="1423">
        <f t="shared" ca="1" si="569"/>
        <v>0</v>
      </c>
      <c r="X413" s="202"/>
      <c r="Y413" s="202"/>
      <c r="Z413" s="202"/>
      <c r="AA413" s="152"/>
      <c r="AB413" s="152"/>
    </row>
    <row r="414" spans="1:28" hidden="1" outlineLevel="1">
      <c r="A414" s="199">
        <f t="shared" si="570"/>
        <v>17</v>
      </c>
      <c r="B414" s="190" t="str">
        <f t="shared" ca="1" si="571"/>
        <v>Depreciated Net Capex 2032-33</v>
      </c>
      <c r="C414" s="1426"/>
      <c r="D414" s="1426"/>
      <c r="E414" s="1426"/>
      <c r="F414" s="1426"/>
      <c r="G414" s="1426"/>
      <c r="H414" s="1426"/>
      <c r="I414" s="1426"/>
      <c r="J414" s="1426"/>
      <c r="K414" s="1426"/>
      <c r="L414" s="1426"/>
      <c r="M414" s="1426"/>
      <c r="N414" s="1426"/>
      <c r="O414" s="1426"/>
      <c r="P414" s="1426"/>
      <c r="Q414" s="1426"/>
      <c r="R414" s="1426"/>
      <c r="S414" s="1427"/>
      <c r="T414" s="1428">
        <f>(T392*((1+T$11)^0.5)/T$10)</f>
        <v>0</v>
      </c>
      <c r="U414" s="1423">
        <f ca="1">IF(T438="n/a",T414,IFERROR(IF((OFFSET($C414,0,$A414))&lt;0,
MIN(0,T414-(OFFSET($C414,0,$A414)/(OFFSET($C409,-$A413,$A414)))),
MAX(0,T414-(OFFSET($C414,0,$A414)/(OFFSET($C409,-$A413,$A414))))),0))</f>
        <v>0</v>
      </c>
      <c r="V414" s="1423">
        <f t="shared" ca="1" si="568"/>
        <v>0</v>
      </c>
      <c r="W414" s="1423">
        <f t="shared" ca="1" si="569"/>
        <v>0</v>
      </c>
      <c r="X414" s="202"/>
      <c r="Y414" s="202"/>
      <c r="Z414" s="202"/>
      <c r="AA414" s="152"/>
      <c r="AB414" s="152"/>
    </row>
    <row r="415" spans="1:28" hidden="1" outlineLevel="1">
      <c r="A415" s="199">
        <f t="shared" si="570"/>
        <v>18</v>
      </c>
      <c r="B415" s="190" t="str">
        <f t="shared" ca="1" si="571"/>
        <v>Depreciated Net Capex 2033-34</v>
      </c>
      <c r="C415" s="1426"/>
      <c r="D415" s="1426"/>
      <c r="E415" s="1426"/>
      <c r="F415" s="1426"/>
      <c r="G415" s="1426"/>
      <c r="H415" s="1426"/>
      <c r="I415" s="1426"/>
      <c r="J415" s="1426"/>
      <c r="K415" s="1426"/>
      <c r="L415" s="1426"/>
      <c r="M415" s="1426"/>
      <c r="N415" s="1426"/>
      <c r="O415" s="1426"/>
      <c r="P415" s="1426"/>
      <c r="Q415" s="1426"/>
      <c r="R415" s="1426"/>
      <c r="S415" s="1426"/>
      <c r="T415" s="1427"/>
      <c r="U415" s="1428">
        <f>(U392*((1+U$11)^0.5)/U$10)</f>
        <v>0</v>
      </c>
      <c r="V415" s="1423">
        <f ca="1">IF(U439="n/a",U415,IFERROR(IF((OFFSET($C415,0,$A415))&lt;0,
MIN(0,U415-(OFFSET($C415,0,$A415)/(OFFSET($C410,-$A414,$A415)))),
MAX(0,U415-(OFFSET($C415,0,$A415)/(OFFSET($C410,-$A414,$A415))))),0))</f>
        <v>0</v>
      </c>
      <c r="W415" s="1423">
        <f t="shared" ca="1" si="569"/>
        <v>0</v>
      </c>
      <c r="X415" s="202"/>
      <c r="Y415" s="202"/>
      <c r="Z415" s="202"/>
      <c r="AA415" s="152"/>
      <c r="AB415" s="152"/>
    </row>
    <row r="416" spans="1:28" hidden="1" outlineLevel="1">
      <c r="A416" s="199">
        <f t="shared" si="570"/>
        <v>19</v>
      </c>
      <c r="B416" s="190" t="str">
        <f t="shared" ca="1" si="571"/>
        <v>Depreciated Net Capex 2034-35</v>
      </c>
      <c r="C416" s="1426"/>
      <c r="D416" s="1426"/>
      <c r="E416" s="1426"/>
      <c r="F416" s="1426"/>
      <c r="G416" s="1426"/>
      <c r="H416" s="1426"/>
      <c r="I416" s="1426"/>
      <c r="J416" s="1426"/>
      <c r="K416" s="1426"/>
      <c r="L416" s="1426"/>
      <c r="M416" s="1426"/>
      <c r="N416" s="1426"/>
      <c r="O416" s="1426"/>
      <c r="P416" s="1426"/>
      <c r="Q416" s="1426"/>
      <c r="R416" s="1426"/>
      <c r="S416" s="1426"/>
      <c r="T416" s="1426"/>
      <c r="U416" s="1427"/>
      <c r="V416" s="1428">
        <f>(V392*((1+V$11)^0.5)/V$10)</f>
        <v>0</v>
      </c>
      <c r="W416" s="1423">
        <f ca="1">IF(V440="n/a",V416,IFERROR(IF((OFFSET($C416,0,$A416))&lt;0,
MIN(0,V416-(OFFSET($C416,0,$A416)/(OFFSET($C411,-$A415,$A416)))),
MAX(0,V416-(OFFSET($C416,0,$A416)/(OFFSET($C411,-$A415,$A416))))),0))</f>
        <v>0</v>
      </c>
      <c r="X416" s="202"/>
      <c r="Y416" s="202"/>
      <c r="Z416" s="202"/>
      <c r="AA416" s="152"/>
      <c r="AB416" s="152"/>
    </row>
    <row r="417" spans="1:28" hidden="1" outlineLevel="1">
      <c r="A417" s="199">
        <f t="shared" si="570"/>
        <v>20</v>
      </c>
      <c r="B417" s="190" t="str">
        <f ca="1">"Depreciated Net Capex "&amp;OFFSET($C$6,0,A417)</f>
        <v>Depreciated Net Capex 2035-36</v>
      </c>
      <c r="C417" s="1426"/>
      <c r="D417" s="1426"/>
      <c r="E417" s="1426"/>
      <c r="F417" s="1426"/>
      <c r="G417" s="1426"/>
      <c r="H417" s="1426"/>
      <c r="I417" s="1426"/>
      <c r="J417" s="1426"/>
      <c r="K417" s="1426"/>
      <c r="L417" s="1426"/>
      <c r="M417" s="1426"/>
      <c r="N417" s="1426"/>
      <c r="O417" s="1426"/>
      <c r="P417" s="1426"/>
      <c r="Q417" s="1426"/>
      <c r="R417" s="1426"/>
      <c r="S417" s="1426"/>
      <c r="T417" s="1426"/>
      <c r="U417" s="1426"/>
      <c r="V417" s="1427"/>
      <c r="W417" s="1423">
        <f>(W392*((1+W$11)^0.5)/W$10)</f>
        <v>0</v>
      </c>
      <c r="X417" s="152"/>
      <c r="Y417" s="152"/>
      <c r="Z417" s="152"/>
      <c r="AA417" s="152"/>
      <c r="AB417" s="152"/>
    </row>
    <row r="418" spans="1:28" hidden="1" outlineLevel="1">
      <c r="A418" s="152"/>
      <c r="B418" s="200"/>
      <c r="C418" s="1423"/>
      <c r="D418" s="1423"/>
      <c r="E418" s="1423"/>
      <c r="F418" s="1423"/>
      <c r="G418" s="1423"/>
      <c r="H418" s="1423"/>
      <c r="I418" s="1423"/>
      <c r="J418" s="1423"/>
      <c r="K418" s="1423"/>
      <c r="L418" s="1423"/>
      <c r="M418" s="1423"/>
      <c r="N418" s="1423"/>
      <c r="O418" s="1423"/>
      <c r="P418" s="1423"/>
      <c r="Q418" s="1423"/>
      <c r="R418" s="1423"/>
      <c r="S418" s="1423"/>
      <c r="T418" s="1423"/>
      <c r="U418" s="1423"/>
      <c r="V418" s="1423"/>
      <c r="W418" s="1423"/>
      <c r="X418" s="152"/>
      <c r="Y418" s="152"/>
      <c r="Z418" s="152"/>
      <c r="AA418" s="152"/>
      <c r="AB418" s="152"/>
    </row>
    <row r="419" spans="1:28" hidden="1" outlineLevel="1">
      <c r="A419" s="152"/>
      <c r="B419" s="200"/>
      <c r="C419" s="1423"/>
      <c r="D419" s="1423"/>
      <c r="E419" s="1423"/>
      <c r="F419" s="1423"/>
      <c r="G419" s="1423"/>
      <c r="H419" s="1423"/>
      <c r="I419" s="1423"/>
      <c r="J419" s="1423"/>
      <c r="K419" s="1423"/>
      <c r="L419" s="1423"/>
      <c r="M419" s="1423"/>
      <c r="N419" s="1423"/>
      <c r="O419" s="1423"/>
      <c r="P419" s="1423"/>
      <c r="Q419" s="1423"/>
      <c r="R419" s="1423"/>
      <c r="S419" s="1423"/>
      <c r="T419" s="1423"/>
      <c r="U419" s="1423"/>
      <c r="V419" s="1423"/>
      <c r="W419" s="1423"/>
      <c r="X419" s="152"/>
      <c r="Y419" s="152"/>
      <c r="Z419" s="152"/>
      <c r="AA419" s="152"/>
      <c r="AB419" s="152"/>
    </row>
    <row r="420" spans="1:28" hidden="1" outlineLevel="1">
      <c r="A420" s="152"/>
      <c r="B420" s="190" t="s">
        <v>190</v>
      </c>
      <c r="C420" s="1423"/>
      <c r="D420" s="1423">
        <f ca="1">IF(AND(C420&lt;1,D394=0),0,
IF(D394=0,C420-1,
IF(C420&lt;1,D395,
(((C420-1)*(C396-(C396/(C420))))+((D394/D$10)*D395))/(D396))))</f>
        <v>0</v>
      </c>
      <c r="E420" s="1423">
        <f t="shared" ref="E420" ca="1" si="572">IF(AND(D420&lt;1,E394=0),0,
IF(E394=0,D420-1,
IF(D420&lt;1,E395,
(((D420-1)*(D396-(D396/(D420))))+((E394/E$10)*E395))/(E396))))</f>
        <v>0</v>
      </c>
      <c r="F420" s="1423">
        <f t="shared" ref="F420" ca="1" si="573">IF(AND(E420&lt;1,F394=0),0,
IF(F394=0,E420-1,
IF(E420&lt;1,F395,
(((E420-1)*(E396-(E396/(E420))))+((F394/F$10)*F395))/(F396))))</f>
        <v>0</v>
      </c>
      <c r="G420" s="1423">
        <f t="shared" ref="G420" ca="1" si="574">IF(AND(F420&lt;1,G394=0),0,
IF(G394=0,F420-1,
IF(F420&lt;1,G395,
(((F420-1)*(F396-(F396/(F420))))+((G394/G$10)*G395))/(G396))))</f>
        <v>0</v>
      </c>
      <c r="H420" s="1423">
        <f t="shared" ref="H420" ca="1" si="575">IF(AND(G420&lt;1,H394=0),0,
IF(H394=0,G420-1,
IF(G420&lt;1,H395,
(((G420-1)*(G396-(G396/(G420))))+((H394/H$10)*H395))/(H396))))</f>
        <v>0</v>
      </c>
      <c r="I420" s="1423">
        <f t="shared" ref="I420" ca="1" si="576">IF(AND(H420&lt;1,I394=0),0,
IF(I394=0,H420-1,
IF(H420&lt;1,I395,
(((H420-1)*(H396-(H396/(H420))))+((I394/I$10)*I395))/(I396))))</f>
        <v>0</v>
      </c>
      <c r="J420" s="1423">
        <f t="shared" ref="J420" ca="1" si="577">IF(AND(I420&lt;1,J394=0),0,
IF(J394=0,I420-1,
IF(I420&lt;1,J395,
(((I420-1)*(I396-(I396/(I420))))+((J394/J$10)*J395))/(J396))))</f>
        <v>0</v>
      </c>
      <c r="K420" s="1423">
        <f t="shared" ref="K420" ca="1" si="578">IF(AND(J420&lt;1,K394=0),0,
IF(K394=0,J420-1,
IF(J420&lt;1,K395,
(((J420-1)*(J396-(J396/(J420))))+((K394/K$10)*K395))/(K396))))</f>
        <v>0</v>
      </c>
      <c r="L420" s="1423">
        <f t="shared" ref="L420" ca="1" si="579">IF(AND(K420&lt;1,L394=0),0,
IF(L394=0,K420-1,
IF(K420&lt;1,L395,
(((K420-1)*(K396-(K396/(K420))))+((L394/L$10)*L395))/(L396))))</f>
        <v>0</v>
      </c>
      <c r="M420" s="1423">
        <f t="shared" ref="M420" ca="1" si="580">IF(AND(L420&lt;1,M394=0),0,
IF(M394=0,L420-1,
IF(L420&lt;1,M395,
(((L420-1)*(L396-(L396/(L420))))+((M394/M$10)*M395))/(M396))))</f>
        <v>0</v>
      </c>
      <c r="N420" s="1423">
        <f t="shared" ref="N420" ca="1" si="581">IF(AND(M420&lt;1,N394=0),0,
IF(N394=0,M420-1,
IF(M420&lt;1,N395,
(((M420-1)*(M396-(M396/(M420))))+((N394/N$10)*N395))/(N396))))</f>
        <v>0</v>
      </c>
      <c r="O420" s="1423">
        <f t="shared" ref="O420" ca="1" si="582">IF(AND(N420&lt;1,O394=0),0,
IF(O394=0,N420-1,
IF(N420&lt;1,O395,
(((N420-1)*(N396-(N396/(N420))))+((O394/O$10)*O395))/(O396))))</f>
        <v>0</v>
      </c>
      <c r="P420" s="1423">
        <f t="shared" ref="P420" ca="1" si="583">IF(AND(O420&lt;1,P394=0),0,
IF(P394=0,O420-1,
IF(O420&lt;1,P395,
(((O420-1)*(O396-(O396/(O420))))+((P394/P$10)*P395))/(P396))))</f>
        <v>0</v>
      </c>
      <c r="Q420" s="1423">
        <f t="shared" ref="Q420" ca="1" si="584">IF(AND(P420&lt;1,Q394=0),0,
IF(Q394=0,P420-1,
IF(P420&lt;1,Q395,
(((P420-1)*(P396-(P396/(P420))))+((Q394/Q$10)*Q395))/(Q396))))</f>
        <v>0</v>
      </c>
      <c r="R420" s="1423">
        <f t="shared" ref="R420" ca="1" si="585">IF(AND(Q420&lt;1,R394=0),0,
IF(R394=0,Q420-1,
IF(Q420&lt;1,R395,
(((Q420-1)*(Q396-(Q396/(Q420))))+((R394/R$10)*R395))/(R396))))</f>
        <v>0</v>
      </c>
      <c r="S420" s="1423">
        <f t="shared" ref="S420" ca="1" si="586">IF(AND(R420&lt;1,S394=0),0,
IF(S394=0,R420-1,
IF(R420&lt;1,S395,
(((R420-1)*(R396-(R396/(R420))))+((S394/S$10)*S395))/(S396))))</f>
        <v>0</v>
      </c>
      <c r="T420" s="1423">
        <f t="shared" ref="T420" ca="1" si="587">IF(AND(S420&lt;1,T394=0),0,
IF(T394=0,S420-1,
IF(S420&lt;1,T395,
(((S420-1)*(S396-(S396/(S420))))+((T394/T$10)*T395))/(T396))))</f>
        <v>0</v>
      </c>
      <c r="U420" s="1423">
        <f t="shared" ref="U420" ca="1" si="588">IF(AND(T420&lt;1,U394=0),0,
IF(U394=0,T420-1,
IF(T420&lt;1,U395,
(((T420-1)*(T396-(T396/(T420))))+((U394/U$10)*U395))/(U396))))</f>
        <v>0</v>
      </c>
      <c r="V420" s="1423">
        <f t="shared" ref="V420" ca="1" si="589">IF(AND(U420&lt;1,V394=0),0,
IF(V394=0,U420-1,
IF(U420&lt;1,V395,
(((U420-1)*(U396-(U396/(U420))))+((V394/V$10)*V395))/(V396))))</f>
        <v>0</v>
      </c>
      <c r="W420" s="1423">
        <f t="shared" ref="W420" ca="1" si="590">IF(AND(V420&lt;1,W394=0),0,
IF(W394=0,V420-1,
IF(V420&lt;1,W395,
(((V420-1)*(V396-(V396/(V420))))+((W394/W$10)*W395))/(W396))))</f>
        <v>0</v>
      </c>
      <c r="X420" s="152"/>
      <c r="Y420" s="152"/>
      <c r="Z420" s="152"/>
      <c r="AA420" s="152"/>
      <c r="AB420" s="152"/>
    </row>
    <row r="421" spans="1:28" hidden="1" outlineLevel="1">
      <c r="A421" s="152"/>
      <c r="B421" s="190" t="s">
        <v>122</v>
      </c>
      <c r="C421" s="1423">
        <f ca="1">C393</f>
        <v>0</v>
      </c>
      <c r="D421" s="1423">
        <f t="shared" ref="D421" ca="1" si="591">IF(C421="n/a","n/a",MAX(0,C421-1))</f>
        <v>0</v>
      </c>
      <c r="E421" s="1423">
        <f t="shared" ref="E421:E422" ca="1" si="592">IF(D421="n/a","n/a",MAX(0,D421-1))</f>
        <v>0</v>
      </c>
      <c r="F421" s="1423">
        <f t="shared" ref="F421:F423" ca="1" si="593">IF(E421="n/a","n/a",MAX(0,E421-1))</f>
        <v>0</v>
      </c>
      <c r="G421" s="1423">
        <f t="shared" ref="G421:G424" ca="1" si="594">IF(F421="n/a","n/a",MAX(0,F421-1))</f>
        <v>0</v>
      </c>
      <c r="H421" s="1423">
        <f t="shared" ref="H421:H425" ca="1" si="595">IF(G421="n/a","n/a",MAX(0,G421-1))</f>
        <v>0</v>
      </c>
      <c r="I421" s="1423">
        <f t="shared" ref="I421:I426" ca="1" si="596">IF(H421="n/a","n/a",MAX(0,H421-1))</f>
        <v>0</v>
      </c>
      <c r="J421" s="1423">
        <f t="shared" ref="J421:J427" ca="1" si="597">IF(I421="n/a","n/a",MAX(0,I421-1))</f>
        <v>0</v>
      </c>
      <c r="K421" s="1423">
        <f t="shared" ref="K421:K428" ca="1" si="598">IF(J421="n/a","n/a",MAX(0,J421-1))</f>
        <v>0</v>
      </c>
      <c r="L421" s="1423">
        <f t="shared" ref="L421:L429" ca="1" si="599">IF(K421="n/a","n/a",MAX(0,K421-1))</f>
        <v>0</v>
      </c>
      <c r="M421" s="1423">
        <f t="shared" ref="M421:M430" ca="1" si="600">IF(L421="n/a","n/a",MAX(0,L421-1))</f>
        <v>0</v>
      </c>
      <c r="N421" s="1423">
        <f t="shared" ref="N421:N431" ca="1" si="601">IF(M421="n/a","n/a",MAX(0,M421-1))</f>
        <v>0</v>
      </c>
      <c r="O421" s="1423">
        <f t="shared" ref="O421:O432" ca="1" si="602">IF(N421="n/a","n/a",MAX(0,N421-1))</f>
        <v>0</v>
      </c>
      <c r="P421" s="1423">
        <f t="shared" ref="P421:P433" ca="1" si="603">IF(O421="n/a","n/a",MAX(0,O421-1))</f>
        <v>0</v>
      </c>
      <c r="Q421" s="1423">
        <f t="shared" ref="Q421:Q434" ca="1" si="604">IF(P421="n/a","n/a",MAX(0,P421-1))</f>
        <v>0</v>
      </c>
      <c r="R421" s="1423">
        <f t="shared" ref="R421:R435" ca="1" si="605">IF(Q421="n/a","n/a",MAX(0,Q421-1))</f>
        <v>0</v>
      </c>
      <c r="S421" s="1423">
        <f t="shared" ref="S421:S436" ca="1" si="606">IF(R421="n/a","n/a",MAX(0,R421-1))</f>
        <v>0</v>
      </c>
      <c r="T421" s="1423">
        <f t="shared" ref="T421:T437" ca="1" si="607">IF(S421="n/a","n/a",MAX(0,S421-1))</f>
        <v>0</v>
      </c>
      <c r="U421" s="1423">
        <f t="shared" ref="U421:U438" ca="1" si="608">IF(T421="n/a","n/a",MAX(0,T421-1))</f>
        <v>0</v>
      </c>
      <c r="V421" s="1423">
        <f t="shared" ref="V421:V439" ca="1" si="609">IF(U421="n/a","n/a",MAX(0,U421-1))</f>
        <v>0</v>
      </c>
      <c r="W421" s="1423">
        <f t="shared" ref="W421:W439" ca="1" si="610">IF(V421="n/a","n/a",MAX(0,V421-1))</f>
        <v>0</v>
      </c>
      <c r="X421" s="152"/>
      <c r="Y421" s="152"/>
      <c r="Z421" s="152"/>
      <c r="AA421" s="152"/>
      <c r="AB421" s="152"/>
    </row>
    <row r="422" spans="1:28" hidden="1" outlineLevel="1">
      <c r="A422" s="152"/>
      <c r="B422" s="190" t="str">
        <f t="shared" ref="B422:B441" ca="1" si="611">"RL Capex "&amp;OFFSET($C$6,0,A398)</f>
        <v>RL Capex 2016-17</v>
      </c>
      <c r="C422" s="1424"/>
      <c r="D422" s="1428">
        <f>D393</f>
        <v>0</v>
      </c>
      <c r="E422" s="1423">
        <f t="shared" si="592"/>
        <v>0</v>
      </c>
      <c r="F422" s="1423">
        <f t="shared" si="593"/>
        <v>0</v>
      </c>
      <c r="G422" s="1423">
        <f t="shared" si="594"/>
        <v>0</v>
      </c>
      <c r="H422" s="1423">
        <f t="shared" si="595"/>
        <v>0</v>
      </c>
      <c r="I422" s="1423">
        <f t="shared" si="596"/>
        <v>0</v>
      </c>
      <c r="J422" s="1423">
        <f t="shared" si="597"/>
        <v>0</v>
      </c>
      <c r="K422" s="1423">
        <f t="shared" si="598"/>
        <v>0</v>
      </c>
      <c r="L422" s="1423">
        <f t="shared" si="599"/>
        <v>0</v>
      </c>
      <c r="M422" s="1423">
        <f t="shared" si="600"/>
        <v>0</v>
      </c>
      <c r="N422" s="1423">
        <f t="shared" si="601"/>
        <v>0</v>
      </c>
      <c r="O422" s="1423">
        <f t="shared" si="602"/>
        <v>0</v>
      </c>
      <c r="P422" s="1423">
        <f t="shared" si="603"/>
        <v>0</v>
      </c>
      <c r="Q422" s="1423">
        <f t="shared" si="604"/>
        <v>0</v>
      </c>
      <c r="R422" s="1423">
        <f t="shared" si="605"/>
        <v>0</v>
      </c>
      <c r="S422" s="1423">
        <f t="shared" si="606"/>
        <v>0</v>
      </c>
      <c r="T422" s="1423">
        <f t="shared" si="607"/>
        <v>0</v>
      </c>
      <c r="U422" s="1423">
        <f t="shared" si="608"/>
        <v>0</v>
      </c>
      <c r="V422" s="1423">
        <f t="shared" si="609"/>
        <v>0</v>
      </c>
      <c r="W422" s="1423">
        <f t="shared" si="610"/>
        <v>0</v>
      </c>
      <c r="X422" s="152"/>
      <c r="Y422" s="152"/>
      <c r="Z422" s="152"/>
      <c r="AA422" s="152"/>
      <c r="AB422" s="152"/>
    </row>
    <row r="423" spans="1:28" hidden="1" outlineLevel="1">
      <c r="A423" s="152"/>
      <c r="B423" s="190" t="str">
        <f t="shared" ca="1" si="611"/>
        <v>RL Capex 2017-18</v>
      </c>
      <c r="C423" s="1429"/>
      <c r="D423" s="1424"/>
      <c r="E423" s="1428">
        <f>E393</f>
        <v>0</v>
      </c>
      <c r="F423" s="1423">
        <f t="shared" si="593"/>
        <v>0</v>
      </c>
      <c r="G423" s="1423">
        <f t="shared" si="594"/>
        <v>0</v>
      </c>
      <c r="H423" s="1423">
        <f t="shared" si="595"/>
        <v>0</v>
      </c>
      <c r="I423" s="1423">
        <f t="shared" si="596"/>
        <v>0</v>
      </c>
      <c r="J423" s="1423">
        <f t="shared" si="597"/>
        <v>0</v>
      </c>
      <c r="K423" s="1423">
        <f t="shared" si="598"/>
        <v>0</v>
      </c>
      <c r="L423" s="1423">
        <f t="shared" si="599"/>
        <v>0</v>
      </c>
      <c r="M423" s="1423">
        <f t="shared" si="600"/>
        <v>0</v>
      </c>
      <c r="N423" s="1423">
        <f t="shared" si="601"/>
        <v>0</v>
      </c>
      <c r="O423" s="1423">
        <f t="shared" si="602"/>
        <v>0</v>
      </c>
      <c r="P423" s="1423">
        <f t="shared" si="603"/>
        <v>0</v>
      </c>
      <c r="Q423" s="1423">
        <f t="shared" si="604"/>
        <v>0</v>
      </c>
      <c r="R423" s="1423">
        <f t="shared" si="605"/>
        <v>0</v>
      </c>
      <c r="S423" s="1423">
        <f t="shared" si="606"/>
        <v>0</v>
      </c>
      <c r="T423" s="1423">
        <f t="shared" si="607"/>
        <v>0</v>
      </c>
      <c r="U423" s="1423">
        <f t="shared" si="608"/>
        <v>0</v>
      </c>
      <c r="V423" s="1423">
        <f t="shared" si="609"/>
        <v>0</v>
      </c>
      <c r="W423" s="1423">
        <f t="shared" si="610"/>
        <v>0</v>
      </c>
      <c r="X423" s="152"/>
      <c r="Y423" s="152"/>
      <c r="Z423" s="152"/>
      <c r="AA423" s="152"/>
      <c r="AB423" s="152"/>
    </row>
    <row r="424" spans="1:28" hidden="1" outlineLevel="1">
      <c r="A424" s="152"/>
      <c r="B424" s="190" t="str">
        <f t="shared" ca="1" si="611"/>
        <v>RL Capex 2018-19</v>
      </c>
      <c r="C424" s="1429"/>
      <c r="D424" s="1429"/>
      <c r="E424" s="1424"/>
      <c r="F424" s="1428">
        <f>F393</f>
        <v>0</v>
      </c>
      <c r="G424" s="1423">
        <f t="shared" si="594"/>
        <v>0</v>
      </c>
      <c r="H424" s="1423">
        <f t="shared" si="595"/>
        <v>0</v>
      </c>
      <c r="I424" s="1423">
        <f t="shared" si="596"/>
        <v>0</v>
      </c>
      <c r="J424" s="1423">
        <f t="shared" si="597"/>
        <v>0</v>
      </c>
      <c r="K424" s="1423">
        <f t="shared" si="598"/>
        <v>0</v>
      </c>
      <c r="L424" s="1423">
        <f t="shared" si="599"/>
        <v>0</v>
      </c>
      <c r="M424" s="1423">
        <f t="shared" si="600"/>
        <v>0</v>
      </c>
      <c r="N424" s="1423">
        <f t="shared" si="601"/>
        <v>0</v>
      </c>
      <c r="O424" s="1423">
        <f t="shared" si="602"/>
        <v>0</v>
      </c>
      <c r="P424" s="1423">
        <f t="shared" si="603"/>
        <v>0</v>
      </c>
      <c r="Q424" s="1423">
        <f t="shared" si="604"/>
        <v>0</v>
      </c>
      <c r="R424" s="1423">
        <f t="shared" si="605"/>
        <v>0</v>
      </c>
      <c r="S424" s="1423">
        <f t="shared" si="606"/>
        <v>0</v>
      </c>
      <c r="T424" s="1423">
        <f t="shared" si="607"/>
        <v>0</v>
      </c>
      <c r="U424" s="1423">
        <f t="shared" si="608"/>
        <v>0</v>
      </c>
      <c r="V424" s="1423">
        <f t="shared" si="609"/>
        <v>0</v>
      </c>
      <c r="W424" s="1423">
        <f t="shared" si="610"/>
        <v>0</v>
      </c>
      <c r="X424" s="152"/>
      <c r="Y424" s="152"/>
      <c r="Z424" s="152"/>
      <c r="AA424" s="152"/>
      <c r="AB424" s="152"/>
    </row>
    <row r="425" spans="1:28" hidden="1" outlineLevel="1">
      <c r="A425" s="152"/>
      <c r="B425" s="190" t="str">
        <f t="shared" ca="1" si="611"/>
        <v>RL Capex 2019-20</v>
      </c>
      <c r="C425" s="1429"/>
      <c r="D425" s="1429"/>
      <c r="E425" s="1429"/>
      <c r="F425" s="1424"/>
      <c r="G425" s="1428">
        <f>G393</f>
        <v>0</v>
      </c>
      <c r="H425" s="1423">
        <f t="shared" si="595"/>
        <v>0</v>
      </c>
      <c r="I425" s="1423">
        <f t="shared" si="596"/>
        <v>0</v>
      </c>
      <c r="J425" s="1423">
        <f t="shared" si="597"/>
        <v>0</v>
      </c>
      <c r="K425" s="1423">
        <f t="shared" si="598"/>
        <v>0</v>
      </c>
      <c r="L425" s="1423">
        <f t="shared" si="599"/>
        <v>0</v>
      </c>
      <c r="M425" s="1423">
        <f t="shared" si="600"/>
        <v>0</v>
      </c>
      <c r="N425" s="1423">
        <f t="shared" si="601"/>
        <v>0</v>
      </c>
      <c r="O425" s="1423">
        <f t="shared" si="602"/>
        <v>0</v>
      </c>
      <c r="P425" s="1423">
        <f t="shared" si="603"/>
        <v>0</v>
      </c>
      <c r="Q425" s="1423">
        <f t="shared" si="604"/>
        <v>0</v>
      </c>
      <c r="R425" s="1423">
        <f t="shared" si="605"/>
        <v>0</v>
      </c>
      <c r="S425" s="1423">
        <f t="shared" si="606"/>
        <v>0</v>
      </c>
      <c r="T425" s="1423">
        <f t="shared" si="607"/>
        <v>0</v>
      </c>
      <c r="U425" s="1423">
        <f t="shared" si="608"/>
        <v>0</v>
      </c>
      <c r="V425" s="1423">
        <f t="shared" si="609"/>
        <v>0</v>
      </c>
      <c r="W425" s="1423">
        <f t="shared" si="610"/>
        <v>0</v>
      </c>
      <c r="X425" s="152"/>
      <c r="Y425" s="152"/>
      <c r="Z425" s="152"/>
      <c r="AA425" s="152"/>
      <c r="AB425" s="152"/>
    </row>
    <row r="426" spans="1:28" hidden="1" outlineLevel="1">
      <c r="A426" s="152"/>
      <c r="B426" s="190" t="str">
        <f t="shared" ca="1" si="611"/>
        <v>RL Capex 2020-21</v>
      </c>
      <c r="C426" s="1429"/>
      <c r="D426" s="1429"/>
      <c r="E426" s="1429"/>
      <c r="F426" s="1429"/>
      <c r="G426" s="1424"/>
      <c r="H426" s="1428">
        <f>H393</f>
        <v>0</v>
      </c>
      <c r="I426" s="1423">
        <f t="shared" si="596"/>
        <v>0</v>
      </c>
      <c r="J426" s="1423">
        <f t="shared" si="597"/>
        <v>0</v>
      </c>
      <c r="K426" s="1423">
        <f t="shared" si="598"/>
        <v>0</v>
      </c>
      <c r="L426" s="1423">
        <f t="shared" si="599"/>
        <v>0</v>
      </c>
      <c r="M426" s="1423">
        <f t="shared" si="600"/>
        <v>0</v>
      </c>
      <c r="N426" s="1423">
        <f t="shared" si="601"/>
        <v>0</v>
      </c>
      <c r="O426" s="1423">
        <f t="shared" si="602"/>
        <v>0</v>
      </c>
      <c r="P426" s="1423">
        <f t="shared" si="603"/>
        <v>0</v>
      </c>
      <c r="Q426" s="1423">
        <f t="shared" si="604"/>
        <v>0</v>
      </c>
      <c r="R426" s="1423">
        <f t="shared" si="605"/>
        <v>0</v>
      </c>
      <c r="S426" s="1423">
        <f t="shared" si="606"/>
        <v>0</v>
      </c>
      <c r="T426" s="1423">
        <f t="shared" si="607"/>
        <v>0</v>
      </c>
      <c r="U426" s="1423">
        <f t="shared" si="608"/>
        <v>0</v>
      </c>
      <c r="V426" s="1423">
        <f t="shared" si="609"/>
        <v>0</v>
      </c>
      <c r="W426" s="1423">
        <f t="shared" si="610"/>
        <v>0</v>
      </c>
      <c r="X426" s="152"/>
      <c r="Y426" s="152"/>
      <c r="Z426" s="152"/>
      <c r="AA426" s="152"/>
      <c r="AB426" s="152"/>
    </row>
    <row r="427" spans="1:28" hidden="1" outlineLevel="1">
      <c r="A427" s="152"/>
      <c r="B427" s="190" t="str">
        <f t="shared" ca="1" si="611"/>
        <v>RL Capex 2021-22</v>
      </c>
      <c r="C427" s="1429"/>
      <c r="D427" s="1429"/>
      <c r="E427" s="1429"/>
      <c r="F427" s="1429"/>
      <c r="G427" s="1429"/>
      <c r="H427" s="1424"/>
      <c r="I427" s="1428">
        <f>I393</f>
        <v>0</v>
      </c>
      <c r="J427" s="1423">
        <f t="shared" si="597"/>
        <v>0</v>
      </c>
      <c r="K427" s="1423">
        <f t="shared" si="598"/>
        <v>0</v>
      </c>
      <c r="L427" s="1423">
        <f t="shared" si="599"/>
        <v>0</v>
      </c>
      <c r="M427" s="1423">
        <f t="shared" si="600"/>
        <v>0</v>
      </c>
      <c r="N427" s="1423">
        <f t="shared" si="601"/>
        <v>0</v>
      </c>
      <c r="O427" s="1423">
        <f t="shared" si="602"/>
        <v>0</v>
      </c>
      <c r="P427" s="1423">
        <f t="shared" si="603"/>
        <v>0</v>
      </c>
      <c r="Q427" s="1423">
        <f t="shared" si="604"/>
        <v>0</v>
      </c>
      <c r="R427" s="1423">
        <f t="shared" si="605"/>
        <v>0</v>
      </c>
      <c r="S427" s="1423">
        <f t="shared" si="606"/>
        <v>0</v>
      </c>
      <c r="T427" s="1423">
        <f t="shared" si="607"/>
        <v>0</v>
      </c>
      <c r="U427" s="1423">
        <f t="shared" si="608"/>
        <v>0</v>
      </c>
      <c r="V427" s="1423">
        <f t="shared" si="609"/>
        <v>0</v>
      </c>
      <c r="W427" s="1423">
        <f t="shared" si="610"/>
        <v>0</v>
      </c>
      <c r="X427" s="152"/>
      <c r="Y427" s="152"/>
      <c r="Z427" s="152"/>
      <c r="AA427" s="152"/>
      <c r="AB427" s="152"/>
    </row>
    <row r="428" spans="1:28" hidden="1" outlineLevel="1">
      <c r="A428" s="152"/>
      <c r="B428" s="190" t="str">
        <f t="shared" ca="1" si="611"/>
        <v>RL Capex 2022-23</v>
      </c>
      <c r="C428" s="1429"/>
      <c r="D428" s="1429"/>
      <c r="E428" s="1429"/>
      <c r="F428" s="1429"/>
      <c r="G428" s="1429"/>
      <c r="H428" s="1429"/>
      <c r="I428" s="1424"/>
      <c r="J428" s="1428">
        <f>J393</f>
        <v>0</v>
      </c>
      <c r="K428" s="1423">
        <f t="shared" si="598"/>
        <v>0</v>
      </c>
      <c r="L428" s="1423">
        <f t="shared" si="599"/>
        <v>0</v>
      </c>
      <c r="M428" s="1423">
        <f t="shared" si="600"/>
        <v>0</v>
      </c>
      <c r="N428" s="1423">
        <f t="shared" si="601"/>
        <v>0</v>
      </c>
      <c r="O428" s="1423">
        <f t="shared" si="602"/>
        <v>0</v>
      </c>
      <c r="P428" s="1423">
        <f t="shared" si="603"/>
        <v>0</v>
      </c>
      <c r="Q428" s="1423">
        <f t="shared" si="604"/>
        <v>0</v>
      </c>
      <c r="R428" s="1423">
        <f t="shared" si="605"/>
        <v>0</v>
      </c>
      <c r="S428" s="1423">
        <f t="shared" si="606"/>
        <v>0</v>
      </c>
      <c r="T428" s="1423">
        <f t="shared" si="607"/>
        <v>0</v>
      </c>
      <c r="U428" s="1423">
        <f t="shared" si="608"/>
        <v>0</v>
      </c>
      <c r="V428" s="1423">
        <f t="shared" si="609"/>
        <v>0</v>
      </c>
      <c r="W428" s="1423">
        <f t="shared" si="610"/>
        <v>0</v>
      </c>
      <c r="X428" s="152"/>
      <c r="Y428" s="152"/>
      <c r="Z428" s="152"/>
      <c r="AA428" s="152"/>
      <c r="AB428" s="152"/>
    </row>
    <row r="429" spans="1:28" hidden="1" outlineLevel="1">
      <c r="A429" s="152"/>
      <c r="B429" s="190" t="str">
        <f t="shared" ca="1" si="611"/>
        <v>RL Capex 2023-24</v>
      </c>
      <c r="C429" s="1429"/>
      <c r="D429" s="1429"/>
      <c r="E429" s="1429"/>
      <c r="F429" s="1429"/>
      <c r="G429" s="1429"/>
      <c r="H429" s="1429"/>
      <c r="I429" s="1429"/>
      <c r="J429" s="1424"/>
      <c r="K429" s="1428">
        <f>K393</f>
        <v>0</v>
      </c>
      <c r="L429" s="1423">
        <f t="shared" si="599"/>
        <v>0</v>
      </c>
      <c r="M429" s="1423">
        <f t="shared" si="600"/>
        <v>0</v>
      </c>
      <c r="N429" s="1423">
        <f t="shared" si="601"/>
        <v>0</v>
      </c>
      <c r="O429" s="1423">
        <f t="shared" si="602"/>
        <v>0</v>
      </c>
      <c r="P429" s="1423">
        <f t="shared" si="603"/>
        <v>0</v>
      </c>
      <c r="Q429" s="1423">
        <f t="shared" si="604"/>
        <v>0</v>
      </c>
      <c r="R429" s="1423">
        <f t="shared" si="605"/>
        <v>0</v>
      </c>
      <c r="S429" s="1423">
        <f t="shared" si="606"/>
        <v>0</v>
      </c>
      <c r="T429" s="1423">
        <f t="shared" si="607"/>
        <v>0</v>
      </c>
      <c r="U429" s="1423">
        <f t="shared" si="608"/>
        <v>0</v>
      </c>
      <c r="V429" s="1423">
        <f t="shared" si="609"/>
        <v>0</v>
      </c>
      <c r="W429" s="1423">
        <f t="shared" si="610"/>
        <v>0</v>
      </c>
      <c r="X429" s="152"/>
      <c r="Y429" s="152"/>
      <c r="Z429" s="152"/>
      <c r="AA429" s="152"/>
      <c r="AB429" s="152"/>
    </row>
    <row r="430" spans="1:28" hidden="1" outlineLevel="1">
      <c r="A430" s="152"/>
      <c r="B430" s="190" t="str">
        <f t="shared" ca="1" si="611"/>
        <v>RL Capex 2024-25</v>
      </c>
      <c r="C430" s="1429"/>
      <c r="D430" s="1429"/>
      <c r="E430" s="1429"/>
      <c r="F430" s="1429"/>
      <c r="G430" s="1429"/>
      <c r="H430" s="1429"/>
      <c r="I430" s="1429"/>
      <c r="J430" s="1429"/>
      <c r="K430" s="1424"/>
      <c r="L430" s="1428">
        <f>L393</f>
        <v>0</v>
      </c>
      <c r="M430" s="1423">
        <f t="shared" si="600"/>
        <v>0</v>
      </c>
      <c r="N430" s="1423">
        <f t="shared" si="601"/>
        <v>0</v>
      </c>
      <c r="O430" s="1423">
        <f t="shared" si="602"/>
        <v>0</v>
      </c>
      <c r="P430" s="1423">
        <f t="shared" si="603"/>
        <v>0</v>
      </c>
      <c r="Q430" s="1423">
        <f t="shared" si="604"/>
        <v>0</v>
      </c>
      <c r="R430" s="1423">
        <f t="shared" si="605"/>
        <v>0</v>
      </c>
      <c r="S430" s="1423">
        <f t="shared" si="606"/>
        <v>0</v>
      </c>
      <c r="T430" s="1423">
        <f t="shared" si="607"/>
        <v>0</v>
      </c>
      <c r="U430" s="1423">
        <f t="shared" si="608"/>
        <v>0</v>
      </c>
      <c r="V430" s="1423">
        <f t="shared" si="609"/>
        <v>0</v>
      </c>
      <c r="W430" s="1423">
        <f t="shared" si="610"/>
        <v>0</v>
      </c>
      <c r="X430" s="152"/>
      <c r="Y430" s="152"/>
      <c r="Z430" s="152"/>
      <c r="AA430" s="152"/>
      <c r="AB430" s="152"/>
    </row>
    <row r="431" spans="1:28" hidden="1" outlineLevel="1">
      <c r="A431" s="152"/>
      <c r="B431" s="190" t="str">
        <f t="shared" ca="1" si="611"/>
        <v>RL Capex 2025-26</v>
      </c>
      <c r="C431" s="1429"/>
      <c r="D431" s="1429"/>
      <c r="E431" s="1429"/>
      <c r="F431" s="1429"/>
      <c r="G431" s="1429"/>
      <c r="H431" s="1429"/>
      <c r="I431" s="1429"/>
      <c r="J431" s="1429"/>
      <c r="K431" s="1429"/>
      <c r="L431" s="1424"/>
      <c r="M431" s="1428">
        <f>M393</f>
        <v>0</v>
      </c>
      <c r="N431" s="1423">
        <f t="shared" si="601"/>
        <v>0</v>
      </c>
      <c r="O431" s="1423">
        <f t="shared" si="602"/>
        <v>0</v>
      </c>
      <c r="P431" s="1423">
        <f t="shared" si="603"/>
        <v>0</v>
      </c>
      <c r="Q431" s="1423">
        <f t="shared" si="604"/>
        <v>0</v>
      </c>
      <c r="R431" s="1423">
        <f t="shared" si="605"/>
        <v>0</v>
      </c>
      <c r="S431" s="1423">
        <f t="shared" si="606"/>
        <v>0</v>
      </c>
      <c r="T431" s="1423">
        <f t="shared" si="607"/>
        <v>0</v>
      </c>
      <c r="U431" s="1423">
        <f t="shared" si="608"/>
        <v>0</v>
      </c>
      <c r="V431" s="1423">
        <f t="shared" si="609"/>
        <v>0</v>
      </c>
      <c r="W431" s="1423">
        <f t="shared" si="610"/>
        <v>0</v>
      </c>
      <c r="X431" s="152"/>
      <c r="Y431" s="152"/>
      <c r="Z431" s="152"/>
      <c r="AA431" s="152"/>
      <c r="AB431" s="152"/>
    </row>
    <row r="432" spans="1:28" hidden="1" outlineLevel="1">
      <c r="A432" s="152"/>
      <c r="B432" s="190" t="str">
        <f t="shared" ca="1" si="611"/>
        <v>RL Capex 2026-27</v>
      </c>
      <c r="C432" s="1429"/>
      <c r="D432" s="1429"/>
      <c r="E432" s="1429"/>
      <c r="F432" s="1429"/>
      <c r="G432" s="1429"/>
      <c r="H432" s="1429"/>
      <c r="I432" s="1429"/>
      <c r="J432" s="1429"/>
      <c r="K432" s="1429"/>
      <c r="L432" s="1429"/>
      <c r="M432" s="1424"/>
      <c r="N432" s="1428">
        <f>N393</f>
        <v>0</v>
      </c>
      <c r="O432" s="1423">
        <f t="shared" si="602"/>
        <v>0</v>
      </c>
      <c r="P432" s="1423">
        <f t="shared" si="603"/>
        <v>0</v>
      </c>
      <c r="Q432" s="1423">
        <f t="shared" si="604"/>
        <v>0</v>
      </c>
      <c r="R432" s="1423">
        <f t="shared" si="605"/>
        <v>0</v>
      </c>
      <c r="S432" s="1423">
        <f t="shared" si="606"/>
        <v>0</v>
      </c>
      <c r="T432" s="1423">
        <f t="shared" si="607"/>
        <v>0</v>
      </c>
      <c r="U432" s="1423">
        <f t="shared" si="608"/>
        <v>0</v>
      </c>
      <c r="V432" s="1423">
        <f t="shared" si="609"/>
        <v>0</v>
      </c>
      <c r="W432" s="1423">
        <f t="shared" si="610"/>
        <v>0</v>
      </c>
      <c r="X432" s="152"/>
      <c r="Y432" s="152"/>
      <c r="Z432" s="152"/>
      <c r="AA432" s="152"/>
      <c r="AB432" s="152"/>
    </row>
    <row r="433" spans="1:28" hidden="1" outlineLevel="1">
      <c r="A433" s="152"/>
      <c r="B433" s="190" t="str">
        <f t="shared" ca="1" si="611"/>
        <v>RL Capex 2027-28</v>
      </c>
      <c r="C433" s="1429"/>
      <c r="D433" s="1429"/>
      <c r="E433" s="1429"/>
      <c r="F433" s="1429"/>
      <c r="G433" s="1429"/>
      <c r="H433" s="1429"/>
      <c r="I433" s="1429"/>
      <c r="J433" s="1429"/>
      <c r="K433" s="1429"/>
      <c r="L433" s="1429"/>
      <c r="M433" s="1429"/>
      <c r="N433" s="1424"/>
      <c r="O433" s="1428">
        <f>O393</f>
        <v>0</v>
      </c>
      <c r="P433" s="1423">
        <f t="shared" si="603"/>
        <v>0</v>
      </c>
      <c r="Q433" s="1423">
        <f t="shared" si="604"/>
        <v>0</v>
      </c>
      <c r="R433" s="1423">
        <f t="shared" si="605"/>
        <v>0</v>
      </c>
      <c r="S433" s="1423">
        <f t="shared" si="606"/>
        <v>0</v>
      </c>
      <c r="T433" s="1423">
        <f t="shared" si="607"/>
        <v>0</v>
      </c>
      <c r="U433" s="1423">
        <f t="shared" si="608"/>
        <v>0</v>
      </c>
      <c r="V433" s="1423">
        <f t="shared" si="609"/>
        <v>0</v>
      </c>
      <c r="W433" s="1423">
        <f t="shared" si="610"/>
        <v>0</v>
      </c>
      <c r="X433" s="152"/>
      <c r="Y433" s="152"/>
      <c r="Z433" s="152"/>
      <c r="AA433" s="152"/>
      <c r="AB433" s="152"/>
    </row>
    <row r="434" spans="1:28" hidden="1" outlineLevel="1">
      <c r="A434" s="152"/>
      <c r="B434" s="190" t="str">
        <f t="shared" ca="1" si="611"/>
        <v>RL Capex 2028-29</v>
      </c>
      <c r="C434" s="1429"/>
      <c r="D434" s="1429"/>
      <c r="E434" s="1429"/>
      <c r="F434" s="1429"/>
      <c r="G434" s="1429"/>
      <c r="H434" s="1429"/>
      <c r="I434" s="1429"/>
      <c r="J434" s="1429"/>
      <c r="K434" s="1429"/>
      <c r="L434" s="1429"/>
      <c r="M434" s="1429"/>
      <c r="N434" s="1429"/>
      <c r="O434" s="1424"/>
      <c r="P434" s="1428">
        <f>P393</f>
        <v>0</v>
      </c>
      <c r="Q434" s="1423">
        <f t="shared" si="604"/>
        <v>0</v>
      </c>
      <c r="R434" s="1423">
        <f t="shared" si="605"/>
        <v>0</v>
      </c>
      <c r="S434" s="1423">
        <f t="shared" si="606"/>
        <v>0</v>
      </c>
      <c r="T434" s="1423">
        <f t="shared" si="607"/>
        <v>0</v>
      </c>
      <c r="U434" s="1423">
        <f t="shared" si="608"/>
        <v>0</v>
      </c>
      <c r="V434" s="1423">
        <f t="shared" si="609"/>
        <v>0</v>
      </c>
      <c r="W434" s="1423">
        <f t="shared" si="610"/>
        <v>0</v>
      </c>
      <c r="X434" s="152"/>
      <c r="Y434" s="152"/>
      <c r="Z434" s="152"/>
      <c r="AA434" s="152"/>
      <c r="AB434" s="152"/>
    </row>
    <row r="435" spans="1:28" hidden="1" outlineLevel="1">
      <c r="A435" s="152"/>
      <c r="B435" s="190" t="str">
        <f t="shared" ca="1" si="611"/>
        <v>RL Capex 2029-30</v>
      </c>
      <c r="C435" s="1429"/>
      <c r="D435" s="1429"/>
      <c r="E435" s="1429"/>
      <c r="F435" s="1429"/>
      <c r="G435" s="1429"/>
      <c r="H435" s="1429"/>
      <c r="I435" s="1429"/>
      <c r="J435" s="1429"/>
      <c r="K435" s="1429"/>
      <c r="L435" s="1429"/>
      <c r="M435" s="1429"/>
      <c r="N435" s="1429"/>
      <c r="O435" s="1429"/>
      <c r="P435" s="1424"/>
      <c r="Q435" s="1428">
        <f>Q393</f>
        <v>0</v>
      </c>
      <c r="R435" s="1423">
        <f t="shared" si="605"/>
        <v>0</v>
      </c>
      <c r="S435" s="1423">
        <f t="shared" si="606"/>
        <v>0</v>
      </c>
      <c r="T435" s="1423">
        <f t="shared" si="607"/>
        <v>0</v>
      </c>
      <c r="U435" s="1423">
        <f t="shared" si="608"/>
        <v>0</v>
      </c>
      <c r="V435" s="1423">
        <f t="shared" si="609"/>
        <v>0</v>
      </c>
      <c r="W435" s="1423">
        <f t="shared" si="610"/>
        <v>0</v>
      </c>
      <c r="X435" s="152"/>
      <c r="Y435" s="152"/>
      <c r="Z435" s="152"/>
      <c r="AA435" s="152"/>
      <c r="AB435" s="152"/>
    </row>
    <row r="436" spans="1:28" hidden="1" outlineLevel="1">
      <c r="A436" s="152"/>
      <c r="B436" s="190" t="str">
        <f t="shared" ca="1" si="611"/>
        <v>RL Capex 2030-31</v>
      </c>
      <c r="C436" s="1429"/>
      <c r="D436" s="1429"/>
      <c r="E436" s="1429"/>
      <c r="F436" s="1429"/>
      <c r="G436" s="1429"/>
      <c r="H436" s="1429"/>
      <c r="I436" s="1429"/>
      <c r="J436" s="1429"/>
      <c r="K436" s="1429"/>
      <c r="L436" s="1429"/>
      <c r="M436" s="1429"/>
      <c r="N436" s="1429"/>
      <c r="O436" s="1429"/>
      <c r="P436" s="1429"/>
      <c r="Q436" s="1424"/>
      <c r="R436" s="1428">
        <f>R393</f>
        <v>0</v>
      </c>
      <c r="S436" s="1423">
        <f t="shared" si="606"/>
        <v>0</v>
      </c>
      <c r="T436" s="1423">
        <f t="shared" si="607"/>
        <v>0</v>
      </c>
      <c r="U436" s="1423">
        <f t="shared" si="608"/>
        <v>0</v>
      </c>
      <c r="V436" s="1423">
        <f t="shared" si="609"/>
        <v>0</v>
      </c>
      <c r="W436" s="1423">
        <f t="shared" si="610"/>
        <v>0</v>
      </c>
      <c r="X436" s="152"/>
      <c r="Y436" s="152"/>
      <c r="Z436" s="152"/>
      <c r="AA436" s="152"/>
      <c r="AB436" s="152"/>
    </row>
    <row r="437" spans="1:28" hidden="1" outlineLevel="1">
      <c r="A437" s="152"/>
      <c r="B437" s="190" t="str">
        <f t="shared" ca="1" si="611"/>
        <v>RL Capex 2031-32</v>
      </c>
      <c r="C437" s="1429"/>
      <c r="D437" s="1429"/>
      <c r="E437" s="1429"/>
      <c r="F437" s="1429"/>
      <c r="G437" s="1429"/>
      <c r="H437" s="1429"/>
      <c r="I437" s="1429"/>
      <c r="J437" s="1429"/>
      <c r="K437" s="1429"/>
      <c r="L437" s="1429"/>
      <c r="M437" s="1429"/>
      <c r="N437" s="1429"/>
      <c r="O437" s="1429"/>
      <c r="P437" s="1429"/>
      <c r="Q437" s="1429"/>
      <c r="R437" s="1424"/>
      <c r="S437" s="1428">
        <f>S393</f>
        <v>0</v>
      </c>
      <c r="T437" s="1423">
        <f t="shared" si="607"/>
        <v>0</v>
      </c>
      <c r="U437" s="1423">
        <f t="shared" si="608"/>
        <v>0</v>
      </c>
      <c r="V437" s="1423">
        <f t="shared" si="609"/>
        <v>0</v>
      </c>
      <c r="W437" s="1423">
        <f t="shared" si="610"/>
        <v>0</v>
      </c>
      <c r="X437" s="152"/>
      <c r="Y437" s="152"/>
      <c r="Z437" s="152"/>
      <c r="AA437" s="152"/>
      <c r="AB437" s="152"/>
    </row>
    <row r="438" spans="1:28" hidden="1" outlineLevel="1">
      <c r="A438" s="152"/>
      <c r="B438" s="190" t="str">
        <f t="shared" ca="1" si="611"/>
        <v>RL Capex 2032-33</v>
      </c>
      <c r="C438" s="1429"/>
      <c r="D438" s="1429"/>
      <c r="E438" s="1429"/>
      <c r="F438" s="1429"/>
      <c r="G438" s="1429"/>
      <c r="H438" s="1429"/>
      <c r="I438" s="1429"/>
      <c r="J438" s="1429"/>
      <c r="K438" s="1429"/>
      <c r="L438" s="1429"/>
      <c r="M438" s="1429"/>
      <c r="N438" s="1429"/>
      <c r="O438" s="1429"/>
      <c r="P438" s="1429"/>
      <c r="Q438" s="1429"/>
      <c r="R438" s="1429"/>
      <c r="S438" s="1424"/>
      <c r="T438" s="1428">
        <f>T393</f>
        <v>0</v>
      </c>
      <c r="U438" s="1423">
        <f t="shared" si="608"/>
        <v>0</v>
      </c>
      <c r="V438" s="1423">
        <f t="shared" si="609"/>
        <v>0</v>
      </c>
      <c r="W438" s="1423">
        <f t="shared" si="610"/>
        <v>0</v>
      </c>
      <c r="X438" s="152"/>
      <c r="Y438" s="152"/>
      <c r="Z438" s="152"/>
      <c r="AA438" s="152"/>
      <c r="AB438" s="152"/>
    </row>
    <row r="439" spans="1:28" hidden="1" outlineLevel="1">
      <c r="A439" s="152"/>
      <c r="B439" s="190" t="str">
        <f t="shared" ca="1" si="611"/>
        <v>RL Capex 2033-34</v>
      </c>
      <c r="C439" s="1429"/>
      <c r="D439" s="1429"/>
      <c r="E439" s="1429"/>
      <c r="F439" s="1429"/>
      <c r="G439" s="1429"/>
      <c r="H439" s="1429"/>
      <c r="I439" s="1429"/>
      <c r="J439" s="1429"/>
      <c r="K439" s="1429"/>
      <c r="L439" s="1429"/>
      <c r="M439" s="1429"/>
      <c r="N439" s="1429"/>
      <c r="O439" s="1429"/>
      <c r="P439" s="1429"/>
      <c r="Q439" s="1429"/>
      <c r="R439" s="1429"/>
      <c r="S439" s="1429"/>
      <c r="T439" s="1424"/>
      <c r="U439" s="1428">
        <f>U393</f>
        <v>0</v>
      </c>
      <c r="V439" s="1423">
        <f t="shared" si="609"/>
        <v>0</v>
      </c>
      <c r="W439" s="1423">
        <f t="shared" si="610"/>
        <v>0</v>
      </c>
      <c r="X439" s="152"/>
      <c r="Y439" s="152"/>
      <c r="Z439" s="152"/>
      <c r="AA439" s="152"/>
      <c r="AB439" s="152"/>
    </row>
    <row r="440" spans="1:28" hidden="1" outlineLevel="1">
      <c r="A440" s="152"/>
      <c r="B440" s="190" t="str">
        <f t="shared" ca="1" si="611"/>
        <v>RL Capex 2034-35</v>
      </c>
      <c r="C440" s="1429"/>
      <c r="D440" s="1429"/>
      <c r="E440" s="1429"/>
      <c r="F440" s="1429"/>
      <c r="G440" s="1429"/>
      <c r="H440" s="1429"/>
      <c r="I440" s="1429"/>
      <c r="J440" s="1429"/>
      <c r="K440" s="1429"/>
      <c r="L440" s="1429"/>
      <c r="M440" s="1429"/>
      <c r="N440" s="1429"/>
      <c r="O440" s="1429"/>
      <c r="P440" s="1429"/>
      <c r="Q440" s="1429"/>
      <c r="R440" s="1429"/>
      <c r="S440" s="1429"/>
      <c r="T440" s="1429"/>
      <c r="U440" s="1424"/>
      <c r="V440" s="1428">
        <f>V393</f>
        <v>0</v>
      </c>
      <c r="W440" s="1423">
        <f>IF(V440="n/a","n/a",MAX(0,V440-1))</f>
        <v>0</v>
      </c>
      <c r="X440" s="152"/>
      <c r="Y440" s="152"/>
      <c r="Z440" s="152"/>
      <c r="AA440" s="152"/>
      <c r="AB440" s="152"/>
    </row>
    <row r="441" spans="1:28" hidden="1" outlineLevel="1">
      <c r="A441" s="152"/>
      <c r="B441" s="190" t="str">
        <f t="shared" ca="1" si="611"/>
        <v>RL Capex 2035-36</v>
      </c>
      <c r="C441" s="1429"/>
      <c r="D441" s="1429"/>
      <c r="E441" s="1429"/>
      <c r="F441" s="1429"/>
      <c r="G441" s="1429"/>
      <c r="H441" s="1429"/>
      <c r="I441" s="1429"/>
      <c r="J441" s="1429"/>
      <c r="K441" s="1429"/>
      <c r="L441" s="1429"/>
      <c r="M441" s="1429"/>
      <c r="N441" s="1429"/>
      <c r="O441" s="1429"/>
      <c r="P441" s="1429"/>
      <c r="Q441" s="1429"/>
      <c r="R441" s="1429"/>
      <c r="S441" s="1429"/>
      <c r="T441" s="1429"/>
      <c r="U441" s="1429"/>
      <c r="V441" s="1424"/>
      <c r="W441" s="1423">
        <f>W393</f>
        <v>0</v>
      </c>
      <c r="X441" s="152"/>
      <c r="Y441" s="152"/>
      <c r="Z441" s="152"/>
      <c r="AA441" s="152"/>
      <c r="AB441" s="152"/>
    </row>
    <row r="442" spans="1:28" hidden="1" outlineLevel="1">
      <c r="A442" s="152"/>
      <c r="B442" s="200"/>
      <c r="C442" s="1423"/>
      <c r="D442" s="1423"/>
      <c r="E442" s="1423"/>
      <c r="F442" s="1423"/>
      <c r="G442" s="1423"/>
      <c r="H442" s="1423"/>
      <c r="I442" s="1423"/>
      <c r="J442" s="1423"/>
      <c r="K442" s="1423"/>
      <c r="L442" s="1423"/>
      <c r="M442" s="1423"/>
      <c r="N442" s="1423"/>
      <c r="O442" s="1423"/>
      <c r="P442" s="1423"/>
      <c r="Q442" s="1423"/>
      <c r="R442" s="1423"/>
      <c r="S442" s="1423"/>
      <c r="T442" s="1423"/>
      <c r="U442" s="1423"/>
      <c r="V442" s="1423"/>
      <c r="W442" s="1423"/>
      <c r="X442" s="152"/>
      <c r="Y442" s="152"/>
      <c r="Z442" s="152"/>
      <c r="AA442" s="152"/>
      <c r="AB442" s="152"/>
    </row>
    <row r="443" spans="1:28" collapsed="1">
      <c r="A443" s="194"/>
      <c r="B443" s="204" t="s">
        <v>123</v>
      </c>
      <c r="C443" s="1430">
        <f ca="1">(IF(OR($C393&lt;&gt;"n/a",C393&lt;&gt;"n/a"),IF(SUM(C396:C418)=0,0,IF((SUMPRODUCT(C396:C418,C420:C442)/SUM(C396:C418))&lt;0,1,(SUMPRODUCT(C396:C418,C420:C442)/SUM(C396:C418)))),"n/a"))</f>
        <v>0</v>
      </c>
      <c r="D443" s="1430">
        <f ca="1">(IF(OR($C393&lt;&gt;"n/a",D393&lt;&gt;"n/a"),IF(SUM(D396:D418)=0,0,IF((SUMPRODUCT(D396:D418,D420:D442)/SUM(D396:D418))&lt;0,1,(SUMPRODUCT(D396:D418,D420:D442)/SUM(D396:D418)))),"n/a"))</f>
        <v>0</v>
      </c>
      <c r="E443" s="1430">
        <f t="shared" ref="E443:W443" ca="1" si="612">(IF(OR($C393&lt;&gt;"n/a",E393&lt;&gt;"n/a"),IF(SUM(E396:E418)=0,0,IF((SUMPRODUCT(E396:E418,E420:E442)/SUM(E396:E418))&lt;0,1,(SUMPRODUCT(E396:E418,E420:E442)/SUM(E396:E418)))),"n/a"))</f>
        <v>0</v>
      </c>
      <c r="F443" s="1430">
        <f t="shared" ca="1" si="612"/>
        <v>0</v>
      </c>
      <c r="G443" s="1430">
        <f t="shared" ca="1" si="612"/>
        <v>0</v>
      </c>
      <c r="H443" s="1430">
        <f t="shared" ca="1" si="612"/>
        <v>0</v>
      </c>
      <c r="I443" s="1430">
        <f t="shared" ca="1" si="612"/>
        <v>0</v>
      </c>
      <c r="J443" s="1430">
        <f t="shared" ca="1" si="612"/>
        <v>0</v>
      </c>
      <c r="K443" s="1430">
        <f t="shared" ca="1" si="612"/>
        <v>0</v>
      </c>
      <c r="L443" s="1430">
        <f t="shared" ca="1" si="612"/>
        <v>0</v>
      </c>
      <c r="M443" s="1430">
        <f t="shared" ca="1" si="612"/>
        <v>0</v>
      </c>
      <c r="N443" s="1430">
        <f t="shared" ca="1" si="612"/>
        <v>0</v>
      </c>
      <c r="O443" s="1430">
        <f t="shared" ca="1" si="612"/>
        <v>0</v>
      </c>
      <c r="P443" s="1430">
        <f t="shared" ca="1" si="612"/>
        <v>0</v>
      </c>
      <c r="Q443" s="1430">
        <f t="shared" ca="1" si="612"/>
        <v>0</v>
      </c>
      <c r="R443" s="1430">
        <f t="shared" ca="1" si="612"/>
        <v>0</v>
      </c>
      <c r="S443" s="1430">
        <f t="shared" ca="1" si="612"/>
        <v>0</v>
      </c>
      <c r="T443" s="1430">
        <f t="shared" ca="1" si="612"/>
        <v>0</v>
      </c>
      <c r="U443" s="1430">
        <f t="shared" ca="1" si="612"/>
        <v>0</v>
      </c>
      <c r="V443" s="1430">
        <f t="shared" ca="1" si="612"/>
        <v>0</v>
      </c>
      <c r="W443" s="1430">
        <f t="shared" ca="1" si="612"/>
        <v>0</v>
      </c>
      <c r="X443" s="152"/>
      <c r="Y443" s="152"/>
      <c r="Z443" s="152"/>
      <c r="AA443" s="152"/>
      <c r="AB443" s="152"/>
    </row>
    <row r="444" spans="1:28">
      <c r="A444" s="152"/>
      <c r="B444" s="152"/>
      <c r="C444" s="1423"/>
      <c r="D444" s="1423"/>
      <c r="E444" s="1423"/>
      <c r="F444" s="1423"/>
      <c r="G444" s="1423"/>
      <c r="H444" s="1423"/>
      <c r="I444" s="1423"/>
      <c r="J444" s="1423"/>
      <c r="K444" s="1423"/>
      <c r="L444" s="1423"/>
      <c r="M444" s="1423"/>
      <c r="N444" s="1423"/>
      <c r="O444" s="1423"/>
      <c r="P444" s="1423"/>
      <c r="Q444" s="1423"/>
      <c r="R444" s="1423"/>
      <c r="S444" s="1423"/>
      <c r="T444" s="1423"/>
      <c r="U444" s="1423"/>
      <c r="V444" s="1423"/>
      <c r="W444" s="1423"/>
      <c r="X444" s="152"/>
      <c r="Y444" s="152"/>
      <c r="Z444" s="152"/>
      <c r="AA444" s="152"/>
      <c r="AB444" s="152"/>
    </row>
    <row r="445" spans="1:28">
      <c r="A445" s="269" t="s">
        <v>9</v>
      </c>
      <c r="B445" s="270">
        <f>VLOOKUP($A445,'RFM input'!$E$7:$F$56,2,FALSE)</f>
        <v>0</v>
      </c>
      <c r="C445" s="1431"/>
      <c r="D445" s="1431"/>
      <c r="E445" s="1432"/>
      <c r="F445" s="1432"/>
      <c r="G445" s="1432"/>
      <c r="H445" s="1432"/>
      <c r="I445" s="1432"/>
      <c r="J445" s="1432"/>
      <c r="K445" s="1432"/>
      <c r="L445" s="1432"/>
      <c r="M445" s="1432"/>
      <c r="N445" s="1432"/>
      <c r="O445" s="1432"/>
      <c r="P445" s="1432"/>
      <c r="Q445" s="1432"/>
      <c r="R445" s="1432"/>
      <c r="S445" s="1432"/>
      <c r="T445" s="1432"/>
      <c r="U445" s="1432"/>
      <c r="V445" s="1432"/>
      <c r="W445" s="1432"/>
      <c r="X445" s="152"/>
      <c r="Y445" s="152"/>
      <c r="Z445" s="152"/>
      <c r="AA445" s="152"/>
      <c r="AB445" s="152"/>
    </row>
    <row r="446" spans="1:28">
      <c r="A446" s="215">
        <f>VALUE(REPLACE(A445,1,12,""))</f>
        <v>9</v>
      </c>
      <c r="B446" s="193" t="s">
        <v>126</v>
      </c>
      <c r="C446" s="1416">
        <f ca="1">IF($C$8='Capital Base roll forward'!$H$4,OFFSET('Capital Base roll forward'!$H$717,'RAB remaining lives'!A446,0),"enter input")</f>
        <v>0</v>
      </c>
      <c r="D446" s="1417">
        <f>IF(LEFT(D$6,4)&lt;LEFT('RFM input'!$G$60,4),"enter input",IF(LEFT(D$6,4)&gt;LEFT('RFM input'!$Q$60,4),0,INDEX('RFM input'!$G$61:$Q$110,$A446,MATCH(D$6,'RFM input'!$G$60:$Q$60,0))
-INDEX('RFM input'!$G$115:$Q$164,$A446,MATCH(D$6,'RFM input'!$G$60:$Q$60,0))
-INDEX('RFM input'!$G$169:$Q$218,$A446,MATCH(D$6,'RFM input'!$G$60:$Q$60,0))))</f>
        <v>0</v>
      </c>
      <c r="E446" s="1417">
        <f>IF(LEFT(E$6,4)&lt;LEFT('RFM input'!$G$60,4),"enter input",IF(LEFT(E$6,4)&gt;LEFT('RFM input'!$Q$60,4),0,INDEX('RFM input'!$G$61:$Q$110,$A446,MATCH(E$6,'RFM input'!$G$60:$Q$60,0))
-INDEX('RFM input'!$G$115:$Q$164,$A446,MATCH(E$6,'RFM input'!$G$60:$Q$60,0))
-INDEX('RFM input'!$G$169:$Q$218,$A446,MATCH(E$6,'RFM input'!$G$60:$Q$60,0))))</f>
        <v>0</v>
      </c>
      <c r="F446" s="1417">
        <f>IF(LEFT(F$6,4)&lt;LEFT('RFM input'!$G$60,4),"enter input",IF(LEFT(F$6,4)&gt;LEFT('RFM input'!$Q$60,4),0,INDEX('RFM input'!$G$61:$Q$110,$A446,MATCH(F$6,'RFM input'!$G$60:$Q$60,0))
-INDEX('RFM input'!$G$115:$Q$164,$A446,MATCH(F$6,'RFM input'!$G$60:$Q$60,0))
-INDEX('RFM input'!$G$169:$Q$218,$A446,MATCH(F$6,'RFM input'!$G$60:$Q$60,0))))</f>
        <v>0</v>
      </c>
      <c r="G446" s="1417">
        <f>IF(LEFT(G$6,4)&lt;LEFT('RFM input'!$G$60,4),"enter input",IF(LEFT(G$6,4)&gt;LEFT('RFM input'!$Q$60,4),0,INDEX('RFM input'!$G$61:$Q$110,$A446,MATCH(G$6,'RFM input'!$G$60:$Q$60,0))
-INDEX('RFM input'!$G$115:$Q$164,$A446,MATCH(G$6,'RFM input'!$G$60:$Q$60,0))
-INDEX('RFM input'!$G$169:$Q$218,$A446,MATCH(G$6,'RFM input'!$G$60:$Q$60,0))))</f>
        <v>0</v>
      </c>
      <c r="H446" s="1417">
        <f>IF(LEFT(H$6,4)&lt;LEFT('RFM input'!$G$60,4),"enter input",IF(LEFT(H$6,4)&gt;LEFT('RFM input'!$Q$60,4),0,INDEX('RFM input'!$G$61:$Q$110,$A446,MATCH(H$6,'RFM input'!$G$60:$Q$60,0))
-INDEX('RFM input'!$G$115:$Q$164,$A446,MATCH(H$6,'RFM input'!$G$60:$Q$60,0))
-INDEX('RFM input'!$G$169:$Q$218,$A446,MATCH(H$6,'RFM input'!$G$60:$Q$60,0))))</f>
        <v>0</v>
      </c>
      <c r="I446" s="1417">
        <f>IF(LEFT(I$6,4)&lt;LEFT('RFM input'!$G$60,4),"enter input",IF(LEFT(I$6,4)&gt;LEFT('RFM input'!$Q$60,4),0,INDEX('RFM input'!$G$61:$Q$110,$A446,MATCH(I$6,'RFM input'!$G$60:$Q$60,0))
-INDEX('RFM input'!$G$115:$Q$164,$A446,MATCH(I$6,'RFM input'!$G$60:$Q$60,0))
-INDEX('RFM input'!$G$169:$Q$218,$A446,MATCH(I$6,'RFM input'!$G$60:$Q$60,0))))</f>
        <v>0</v>
      </c>
      <c r="J446" s="1417">
        <f>IF(LEFT(J$6,4)&lt;LEFT('RFM input'!$G$60,4),"enter input",IF(LEFT(J$6,4)&gt;LEFT('RFM input'!$Q$60,4),0,INDEX('RFM input'!$G$61:$Q$110,$A446,MATCH(J$6,'RFM input'!$G$60:$Q$60,0))
-INDEX('RFM input'!$G$115:$Q$164,$A446,MATCH(J$6,'RFM input'!$G$60:$Q$60,0))
-INDEX('RFM input'!$G$169:$Q$218,$A446,MATCH(J$6,'RFM input'!$G$60:$Q$60,0))))</f>
        <v>0</v>
      </c>
      <c r="K446" s="1417">
        <f>IF(LEFT(K$6,4)&lt;LEFT('RFM input'!$G$60,4),"enter input",IF(LEFT(K$6,4)&gt;LEFT('RFM input'!$Q$60,4),0,INDEX('RFM input'!$G$61:$Q$110,$A446,MATCH(K$6,'RFM input'!$G$60:$Q$60,0))
-INDEX('RFM input'!$G$115:$Q$164,$A446,MATCH(K$6,'RFM input'!$G$60:$Q$60,0))
-INDEX('RFM input'!$G$169:$Q$218,$A446,MATCH(K$6,'RFM input'!$G$60:$Q$60,0))))</f>
        <v>0</v>
      </c>
      <c r="L446" s="1417">
        <f>IF(LEFT(L$6,4)&lt;LEFT('RFM input'!$G$60,4),"enter input",IF(LEFT(L$6,4)&gt;LEFT('RFM input'!$Q$60,4),0,INDEX('RFM input'!$G$61:$Q$110,$A446,MATCH(L$6,'RFM input'!$G$60:$Q$60,0))
-INDEX('RFM input'!$G$115:$Q$164,$A446,MATCH(L$6,'RFM input'!$G$60:$Q$60,0))
-INDEX('RFM input'!$G$169:$Q$218,$A446,MATCH(L$6,'RFM input'!$G$60:$Q$60,0))))</f>
        <v>0</v>
      </c>
      <c r="M446" s="1417">
        <f>IF(LEFT(M$6,4)&lt;LEFT('RFM input'!$G$60,4),"enter input",IF(LEFT(M$6,4)&gt;LEFT('RFM input'!$Q$60,4),0,INDEX('RFM input'!$G$61:$Q$110,$A446,MATCH(M$6,'RFM input'!$G$60:$Q$60,0))
-INDEX('RFM input'!$G$115:$Q$164,$A446,MATCH(M$6,'RFM input'!$G$60:$Q$60,0))
-INDEX('RFM input'!$G$169:$Q$218,$A446,MATCH(M$6,'RFM input'!$G$60:$Q$60,0))))</f>
        <v>0</v>
      </c>
      <c r="N446" s="1417">
        <f>IF(LEFT(N$6,4)&lt;LEFT('RFM input'!$G$60,4),"enter input",IF(LEFT(N$6,4)&gt;LEFT('RFM input'!$Q$60,4),0,INDEX('RFM input'!$G$61:$Q$110,$A446,MATCH(N$6,'RFM input'!$G$60:$Q$60,0))
-INDEX('RFM input'!$G$115:$Q$164,$A446,MATCH(N$6,'RFM input'!$G$60:$Q$60,0))
-INDEX('RFM input'!$G$169:$Q$218,$A446,MATCH(N$6,'RFM input'!$G$60:$Q$60,0))))</f>
        <v>0</v>
      </c>
      <c r="O446" s="1417">
        <f>IF(LEFT(O$6,4)&lt;LEFT('RFM input'!$G$60,4),"enter input",IF(LEFT(O$6,4)&gt;LEFT('RFM input'!$Q$60,4),0,INDEX('RFM input'!$G$61:$Q$110,$A446,MATCH(O$6,'RFM input'!$G$60:$Q$60,0))
-INDEX('RFM input'!$G$115:$Q$164,$A446,MATCH(O$6,'RFM input'!$G$60:$Q$60,0))
-INDEX('RFM input'!$G$169:$Q$218,$A446,MATCH(O$6,'RFM input'!$G$60:$Q$60,0))))</f>
        <v>0</v>
      </c>
      <c r="P446" s="1417">
        <f>IF(LEFT(P$6,4)&lt;LEFT('RFM input'!$G$60,4),"enter input",IF(LEFT(P$6,4)&gt;LEFT('RFM input'!$Q$60,4),0,INDEX('RFM input'!$G$61:$Q$110,$A446,MATCH(P$6,'RFM input'!$G$60:$Q$60,0))
-INDEX('RFM input'!$G$115:$Q$164,$A446,MATCH(P$6,'RFM input'!$G$60:$Q$60,0))
-INDEX('RFM input'!$G$169:$Q$218,$A446,MATCH(P$6,'RFM input'!$G$60:$Q$60,0))))</f>
        <v>0</v>
      </c>
      <c r="Q446" s="1417">
        <f>IF(LEFT(Q$6,4)&lt;LEFT('RFM input'!$G$60,4),"enter input",IF(LEFT(Q$6,4)&gt;LEFT('RFM input'!$Q$60,4),0,INDEX('RFM input'!$G$61:$Q$110,$A446,MATCH(Q$6,'RFM input'!$G$60:$Q$60,0))
-INDEX('RFM input'!$G$115:$Q$164,$A446,MATCH(Q$6,'RFM input'!$G$60:$Q$60,0))
-INDEX('RFM input'!$G$169:$Q$218,$A446,MATCH(Q$6,'RFM input'!$G$60:$Q$60,0))))</f>
        <v>0</v>
      </c>
      <c r="R446" s="1417">
        <f>IF(LEFT(R$6,4)&lt;LEFT('RFM input'!$G$60,4),"enter input",IF(LEFT(R$6,4)&gt;LEFT('RFM input'!$Q$60,4),0,INDEX('RFM input'!$G$61:$Q$110,$A446,MATCH(R$6,'RFM input'!$G$60:$Q$60,0))
-INDEX('RFM input'!$G$115:$Q$164,$A446,MATCH(R$6,'RFM input'!$G$60:$Q$60,0))
-INDEX('RFM input'!$G$169:$Q$218,$A446,MATCH(R$6,'RFM input'!$G$60:$Q$60,0))))</f>
        <v>0</v>
      </c>
      <c r="S446" s="1417">
        <f>IF(LEFT(S$6,4)&lt;LEFT('RFM input'!$G$60,4),"enter input",IF(LEFT(S$6,4)&gt;LEFT('RFM input'!$Q$60,4),0,INDEX('RFM input'!$G$61:$Q$110,$A446,MATCH(S$6,'RFM input'!$G$60:$Q$60,0))
-INDEX('RFM input'!$G$115:$Q$164,$A446,MATCH(S$6,'RFM input'!$G$60:$Q$60,0))
-INDEX('RFM input'!$G$169:$Q$218,$A446,MATCH(S$6,'RFM input'!$G$60:$Q$60,0))))</f>
        <v>0</v>
      </c>
      <c r="T446" s="1417">
        <f>IF(LEFT(T$6,4)&lt;LEFT('RFM input'!$G$60,4),"enter input",IF(LEFT(T$6,4)&gt;LEFT('RFM input'!$Q$60,4),0,INDEX('RFM input'!$G$61:$Q$110,$A446,MATCH(T$6,'RFM input'!$G$60:$Q$60,0))
-INDEX('RFM input'!$G$115:$Q$164,$A446,MATCH(T$6,'RFM input'!$G$60:$Q$60,0))
-INDEX('RFM input'!$G$169:$Q$218,$A446,MATCH(T$6,'RFM input'!$G$60:$Q$60,0))))</f>
        <v>0</v>
      </c>
      <c r="U446" s="1417">
        <f>IF(LEFT(U$6,4)&lt;LEFT('RFM input'!$G$60,4),"enter input",IF(LEFT(U$6,4)&gt;LEFT('RFM input'!$Q$60,4),0,INDEX('RFM input'!$G$61:$Q$110,$A446,MATCH(U$6,'RFM input'!$G$60:$Q$60,0))
-INDEX('RFM input'!$G$115:$Q$164,$A446,MATCH(U$6,'RFM input'!$G$60:$Q$60,0))
-INDEX('RFM input'!$G$169:$Q$218,$A446,MATCH(U$6,'RFM input'!$G$60:$Q$60,0))))</f>
        <v>0</v>
      </c>
      <c r="V446" s="1417">
        <f>IF(LEFT(V$6,4)&lt;LEFT('RFM input'!$G$60,4),"enter input",IF(LEFT(V$6,4)&gt;LEFT('RFM input'!$Q$60,4),0,INDEX('RFM input'!$G$61:$Q$110,$A446,MATCH(V$6,'RFM input'!$G$60:$Q$60,0))
-INDEX('RFM input'!$G$115:$Q$164,$A446,MATCH(V$6,'RFM input'!$G$60:$Q$60,0))
-INDEX('RFM input'!$G$169:$Q$218,$A446,MATCH(V$6,'RFM input'!$G$60:$Q$60,0))))</f>
        <v>0</v>
      </c>
      <c r="W446" s="1417">
        <f>IF(LEFT(W$6,4)&lt;LEFT('RFM input'!$G$60,4),"enter input",IF(LEFT(W$6,4)&gt;LEFT('RFM input'!$Q$60,4),0,INDEX('RFM input'!$G$61:$Q$110,$A446,MATCH(W$6,'RFM input'!$G$60:$Q$60,0))
-INDEX('RFM input'!$G$115:$Q$164,$A446,MATCH(W$6,'RFM input'!$G$60:$Q$60,0))
-INDEX('RFM input'!$G$169:$Q$218,$A446,MATCH(W$6,'RFM input'!$G$60:$Q$60,0))))</f>
        <v>0</v>
      </c>
      <c r="X446" s="152"/>
      <c r="Y446" s="152"/>
      <c r="Z446" s="152"/>
      <c r="AA446" s="152"/>
      <c r="AB446" s="152"/>
    </row>
    <row r="447" spans="1:28">
      <c r="A447" s="152"/>
      <c r="B447" s="152" t="s">
        <v>204</v>
      </c>
      <c r="C447" s="1418">
        <f ca="1">IF($C$8='Capital Base roll forward'!$H$4,OFFSET('RFM input'!$J$6,'RAB remaining lives'!A446,0),"enter input")</f>
        <v>0</v>
      </c>
      <c r="D447" s="1417">
        <f>IF(LEFT(D$6,4)&lt;=LEFT('RFM input'!$G$60,4),"enter input",IF(LEFT(D$6,4)&gt;LEFT('RFM input'!$Q$60,4),0,IF(MATCH(D$6,'RFM input'!$H$60:$Q$60,0),INDEX('RFM input'!$K$7:$K$56,$A446,1))))</f>
        <v>0</v>
      </c>
      <c r="E447" s="1417">
        <f>IF(LEFT(E$6,4)&lt;=LEFT('RFM input'!$G$60,4),"enter input",IF(LEFT(E$6,4)&gt;LEFT('RFM input'!$Q$60,4),0,IF(MATCH(E$6,'RFM input'!$H$60:$Q$60,0),INDEX('RFM input'!$K$7:$K$56,$A446,1))))</f>
        <v>0</v>
      </c>
      <c r="F447" s="1417">
        <f>IF(LEFT(F$6,4)&lt;=LEFT('RFM input'!$G$60,4),"enter input",IF(LEFT(F$6,4)&gt;LEFT('RFM input'!$Q$60,4),0,IF(MATCH(F$6,'RFM input'!$H$60:$Q$60,0),INDEX('RFM input'!$K$7:$K$56,$A446,1))))</f>
        <v>0</v>
      </c>
      <c r="G447" s="1417">
        <f>IF(LEFT(G$6,4)&lt;=LEFT('RFM input'!$G$60,4),"enter input",IF(LEFT(G$6,4)&gt;LEFT('RFM input'!$Q$60,4),0,IF(MATCH(G$6,'RFM input'!$H$60:$Q$60,0),INDEX('RFM input'!$K$7:$K$56,$A446,1))))</f>
        <v>0</v>
      </c>
      <c r="H447" s="1417">
        <f>IF(LEFT(H$6,4)&lt;=LEFT('RFM input'!$G$60,4),"enter input",IF(LEFT(H$6,4)&gt;LEFT('RFM input'!$Q$60,4),0,IF(MATCH(H$6,'RFM input'!$H$60:$Q$60,0),INDEX('RFM input'!$K$7:$K$56,$A446,1))))</f>
        <v>0</v>
      </c>
      <c r="I447" s="1417">
        <f>IF(LEFT(I$6,4)&lt;=LEFT('RFM input'!$G$60,4),"enter input",IF(LEFT(I$6,4)&gt;LEFT('RFM input'!$Q$60,4),0,IF(MATCH(I$6,'RFM input'!$H$60:$Q$60,0),INDEX('RFM input'!$K$7:$K$56,$A446,1))))</f>
        <v>0</v>
      </c>
      <c r="J447" s="1417">
        <f>IF(LEFT(J$6,4)&lt;=LEFT('RFM input'!$G$60,4),"enter input",IF(LEFT(J$6,4)&gt;LEFT('RFM input'!$Q$60,4),0,IF(MATCH(J$6,'RFM input'!$H$60:$Q$60,0),INDEX('RFM input'!$K$7:$K$56,$A446,1))))</f>
        <v>0</v>
      </c>
      <c r="K447" s="1417">
        <f>IF(LEFT(K$6,4)&lt;=LEFT('RFM input'!$G$60,4),"enter input",IF(LEFT(K$6,4)&gt;LEFT('RFM input'!$Q$60,4),0,IF(MATCH(K$6,'RFM input'!$H$60:$Q$60,0),INDEX('RFM input'!$K$7:$K$56,$A446,1))))</f>
        <v>0</v>
      </c>
      <c r="L447" s="1417">
        <f>IF(LEFT(L$6,4)&lt;=LEFT('RFM input'!$G$60,4),"enter input",IF(LEFT(L$6,4)&gt;LEFT('RFM input'!$Q$60,4),0,IF(MATCH(L$6,'RFM input'!$H$60:$Q$60,0),INDEX('RFM input'!$K$7:$K$56,$A446,1))))</f>
        <v>0</v>
      </c>
      <c r="M447" s="1417">
        <f>IF(LEFT(M$6,4)&lt;=LEFT('RFM input'!$G$60,4),"enter input",IF(LEFT(M$6,4)&gt;LEFT('RFM input'!$Q$60,4),0,IF(MATCH(M$6,'RFM input'!$H$60:$Q$60,0),INDEX('RFM input'!$K$7:$K$56,$A446,1))))</f>
        <v>0</v>
      </c>
      <c r="N447" s="1417">
        <f>IF(LEFT(N$6,4)&lt;=LEFT('RFM input'!$G$60,4),"enter input",IF(LEFT(N$6,4)&gt;LEFT('RFM input'!$Q$60,4),0,IF(MATCH(N$6,'RFM input'!$H$60:$Q$60,0),INDEX('RFM input'!$K$7:$K$56,$A446,1))))</f>
        <v>0</v>
      </c>
      <c r="O447" s="1417">
        <f>IF(LEFT(O$6,4)&lt;=LEFT('RFM input'!$G$60,4),"enter input",IF(LEFT(O$6,4)&gt;LEFT('RFM input'!$Q$60,4),0,IF(MATCH(O$6,'RFM input'!$H$60:$Q$60,0),INDEX('RFM input'!$K$7:$K$56,$A446,1))))</f>
        <v>0</v>
      </c>
      <c r="P447" s="1417">
        <f>IF(LEFT(P$6,4)&lt;=LEFT('RFM input'!$G$60,4),"enter input",IF(LEFT(P$6,4)&gt;LEFT('RFM input'!$Q$60,4),0,IF(MATCH(P$6,'RFM input'!$H$60:$Q$60,0),INDEX('RFM input'!$K$7:$K$56,$A446,1))))</f>
        <v>0</v>
      </c>
      <c r="Q447" s="1417">
        <f>IF(LEFT(Q$6,4)&lt;=LEFT('RFM input'!$G$60,4),"enter input",IF(LEFT(Q$6,4)&gt;LEFT('RFM input'!$Q$60,4),0,IF(MATCH(Q$6,'RFM input'!$H$60:$Q$60,0),INDEX('RFM input'!$K$7:$K$56,$A446,1))))</f>
        <v>0</v>
      </c>
      <c r="R447" s="1417">
        <f>IF(LEFT(R$6,4)&lt;=LEFT('RFM input'!$G$60,4),"enter input",IF(LEFT(R$6,4)&gt;LEFT('RFM input'!$Q$60,4),0,IF(MATCH(R$6,'RFM input'!$H$60:$Q$60,0),INDEX('RFM input'!$K$7:$K$56,$A446,1))))</f>
        <v>0</v>
      </c>
      <c r="S447" s="1417">
        <f>IF(LEFT(S$6,4)&lt;=LEFT('RFM input'!$G$60,4),"enter input",IF(LEFT(S$6,4)&gt;LEFT('RFM input'!$Q$60,4),0,IF(MATCH(S$6,'RFM input'!$H$60:$Q$60,0),INDEX('RFM input'!$K$7:$K$56,$A446,1))))</f>
        <v>0</v>
      </c>
      <c r="T447" s="1417">
        <f>IF(LEFT(T$6,4)&lt;=LEFT('RFM input'!$G$60,4),"enter input",IF(LEFT(T$6,4)&gt;LEFT('RFM input'!$Q$60,4),0,IF(MATCH(T$6,'RFM input'!$H$60:$Q$60,0),INDEX('RFM input'!$K$7:$K$56,$A446,1))))</f>
        <v>0</v>
      </c>
      <c r="U447" s="1417">
        <f>IF(LEFT(U$6,4)&lt;=LEFT('RFM input'!$G$60,4),"enter input",IF(LEFT(U$6,4)&gt;LEFT('RFM input'!$Q$60,4),0,IF(MATCH(U$6,'RFM input'!$H$60:$Q$60,0),INDEX('RFM input'!$K$7:$K$56,$A446,1))))</f>
        <v>0</v>
      </c>
      <c r="V447" s="1417">
        <f>IF(LEFT(V$6,4)&lt;=LEFT('RFM input'!$G$60,4),"enter input",IF(LEFT(V$6,4)&gt;LEFT('RFM input'!$Q$60,4),0,IF(MATCH(V$6,'RFM input'!$H$60:$Q$60,0),INDEX('RFM input'!$K$7:$K$56,$A446,1))))</f>
        <v>0</v>
      </c>
      <c r="W447" s="1417">
        <f>IF(LEFT(W$6,4)&lt;=LEFT('RFM input'!$G$60,4),"enter input",IF(LEFT(W$6,4)&gt;LEFT('RFM input'!$Q$60,4),0,IF(MATCH(W$6,'RFM input'!$H$60:$Q$60,0),INDEX('RFM input'!$K$7:$K$56,$A446,1))))</f>
        <v>0</v>
      </c>
      <c r="X447" s="152"/>
      <c r="Y447" s="152"/>
      <c r="Z447" s="152"/>
      <c r="AA447" s="152"/>
      <c r="AB447" s="152"/>
    </row>
    <row r="448" spans="1:28">
      <c r="A448" s="152"/>
      <c r="B448" s="177" t="s">
        <v>191</v>
      </c>
      <c r="C448" s="1419"/>
      <c r="D448" s="1420">
        <f ca="1">IF(LEFT(D$6,4)&lt;=LEFT('RFM input'!$G$60,4),"enter input",IF(LEFT(D$6,4)&gt;LEFT('RFM input'!$Q$60,4),0,IF(D$6=(OFFSET('RFM input'!$G$60,0,'RFM input'!$V$7)),OFFSET('RFM input'!$G$411,$A446,0),0)))</f>
        <v>0</v>
      </c>
      <c r="E448" s="1417">
        <f ca="1">IF(LEFT(E$6,4)&lt;=LEFT('RFM input'!$G$60,4),"enter input",IF(LEFT(E$6,4)&gt;LEFT('RFM input'!$Q$60,4),0,IF(E$6=(OFFSET('RFM input'!$G$60,0,'RFM input'!$V$7)),OFFSET('RFM input'!$G$411,$A446,0),0)))</f>
        <v>0</v>
      </c>
      <c r="F448" s="1417">
        <f ca="1">IF(LEFT(F$6,4)&lt;=LEFT('RFM input'!$G$60,4),"enter input",IF(LEFT(F$6,4)&gt;LEFT('RFM input'!$Q$60,4),0,IF(F$6=(OFFSET('RFM input'!$G$60,0,'RFM input'!$V$7)),OFFSET('RFM input'!$G$411,$A446,0),0)))</f>
        <v>0</v>
      </c>
      <c r="G448" s="1417">
        <f ca="1">IF(LEFT(G$6,4)&lt;=LEFT('RFM input'!$G$60,4),"enter input",IF(LEFT(G$6,4)&gt;LEFT('RFM input'!$Q$60,4),0,IF(G$6=(OFFSET('RFM input'!$G$60,0,'RFM input'!$V$7)),OFFSET('RFM input'!$G$411,$A446,0),0)))</f>
        <v>0</v>
      </c>
      <c r="H448" s="1417">
        <f ca="1">IF(LEFT(H$6,4)&lt;=LEFT('RFM input'!$G$60,4),"enter input",IF(LEFT(H$6,4)&gt;LEFT('RFM input'!$Q$60,4),0,IF(H$6=(OFFSET('RFM input'!$G$60,0,'RFM input'!$V$7)),OFFSET('RFM input'!$G$411,$A446,0),0)))</f>
        <v>0</v>
      </c>
      <c r="I448" s="1417">
        <f ca="1">IF(LEFT(I$6,4)&lt;=LEFT('RFM input'!$G$60,4),"enter input",IF(LEFT(I$6,4)&gt;LEFT('RFM input'!$Q$60,4),0,IF(I$6=(OFFSET('RFM input'!$G$60,0,'RFM input'!$V$7)),OFFSET('RFM input'!$G$411,$A446,0),0)))</f>
        <v>0</v>
      </c>
      <c r="J448" s="1417">
        <f ca="1">IF(LEFT(J$6,4)&lt;=LEFT('RFM input'!$G$60,4),"enter input",IF(LEFT(J$6,4)&gt;LEFT('RFM input'!$Q$60,4),0,IF(J$6=(OFFSET('RFM input'!$G$60,0,'RFM input'!$V$7)),OFFSET('RFM input'!$G$411,$A446,0),0)))</f>
        <v>0</v>
      </c>
      <c r="K448" s="1417">
        <f ca="1">IF(LEFT(K$6,4)&lt;=LEFT('RFM input'!$G$60,4),"enter input",IF(LEFT(K$6,4)&gt;LEFT('RFM input'!$Q$60,4),0,IF(K$6=(OFFSET('RFM input'!$G$60,0,'RFM input'!$V$7)),OFFSET('RFM input'!$G$411,$A446,0),0)))</f>
        <v>0</v>
      </c>
      <c r="L448" s="1417">
        <f ca="1">IF(LEFT(L$6,4)&lt;=LEFT('RFM input'!$G$60,4),"enter input",IF(LEFT(L$6,4)&gt;LEFT('RFM input'!$Q$60,4),0,IF(L$6=(OFFSET('RFM input'!$G$60,0,'RFM input'!$V$7)),OFFSET('RFM input'!$G$411,$A446,0),0)))</f>
        <v>0</v>
      </c>
      <c r="M448" s="1417">
        <f ca="1">IF(LEFT(M$6,4)&lt;=LEFT('RFM input'!$G$60,4),"enter input",IF(LEFT(M$6,4)&gt;LEFT('RFM input'!$Q$60,4),0,IF(M$6=(OFFSET('RFM input'!$G$60,0,'RFM input'!$V$7)),OFFSET('RFM input'!$G$411,$A446,0),0)))</f>
        <v>0</v>
      </c>
      <c r="N448" s="1417">
        <f ca="1">IF(LEFT(N$6,4)&lt;=LEFT('RFM input'!$G$60,4),"enter input",IF(LEFT(N$6,4)&gt;LEFT('RFM input'!$Q$60,4),0,IF(N$6=(OFFSET('RFM input'!$G$60,0,'RFM input'!$V$7)),OFFSET('RFM input'!$G$411,$A446,0),0)))</f>
        <v>0</v>
      </c>
      <c r="O448" s="1417">
        <f ca="1">IF(LEFT(O$6,4)&lt;=LEFT('RFM input'!$G$60,4),"enter input",IF(LEFT(O$6,4)&gt;LEFT('RFM input'!$Q$60,4),0,IF(O$6=(OFFSET('RFM input'!$G$60,0,'RFM input'!$V$7)),OFFSET('RFM input'!$G$411,$A446,0),0)))</f>
        <v>0</v>
      </c>
      <c r="P448" s="1417">
        <f ca="1">IF(LEFT(P$6,4)&lt;=LEFT('RFM input'!$G$60,4),"enter input",IF(LEFT(P$6,4)&gt;LEFT('RFM input'!$Q$60,4),0,IF(P$6=(OFFSET('RFM input'!$G$60,0,'RFM input'!$V$7)),OFFSET('RFM input'!$G$411,$A446,0),0)))</f>
        <v>0</v>
      </c>
      <c r="Q448" s="1417">
        <f ca="1">IF(LEFT(Q$6,4)&lt;=LEFT('RFM input'!$G$60,4),"enter input",IF(LEFT(Q$6,4)&gt;LEFT('RFM input'!$Q$60,4),0,IF(Q$6=(OFFSET('RFM input'!$G$60,0,'RFM input'!$V$7)),OFFSET('RFM input'!$G$411,$A446,0),0)))</f>
        <v>0</v>
      </c>
      <c r="R448" s="1417">
        <f ca="1">IF(LEFT(R$6,4)&lt;=LEFT('RFM input'!$G$60,4),"enter input",IF(LEFT(R$6,4)&gt;LEFT('RFM input'!$Q$60,4),0,IF(R$6=(OFFSET('RFM input'!$G$60,0,'RFM input'!$V$7)),OFFSET('RFM input'!$G$411,$A446,0),0)))</f>
        <v>0</v>
      </c>
      <c r="S448" s="1417">
        <f ca="1">IF(LEFT(S$6,4)&lt;=LEFT('RFM input'!$G$60,4),"enter input",IF(LEFT(S$6,4)&gt;LEFT('RFM input'!$Q$60,4),0,IF(S$6=(OFFSET('RFM input'!$G$60,0,'RFM input'!$V$7)),OFFSET('RFM input'!$G$411,$A446,0),0)))</f>
        <v>0</v>
      </c>
      <c r="T448" s="1417">
        <f ca="1">IF(LEFT(T$6,4)&lt;=LEFT('RFM input'!$G$60,4),"enter input",IF(LEFT(T$6,4)&gt;LEFT('RFM input'!$Q$60,4),0,IF(T$6=(OFFSET('RFM input'!$G$60,0,'RFM input'!$V$7)),OFFSET('RFM input'!$G$411,$A446,0),0)))</f>
        <v>0</v>
      </c>
      <c r="U448" s="1417">
        <f ca="1">IF(LEFT(U$6,4)&lt;=LEFT('RFM input'!$G$60,4),"enter input",IF(LEFT(U$6,4)&gt;LEFT('RFM input'!$Q$60,4),0,IF(U$6=(OFFSET('RFM input'!$G$60,0,'RFM input'!$V$7)),OFFSET('RFM input'!$G$411,$A446,0),0)))</f>
        <v>0</v>
      </c>
      <c r="V448" s="1417">
        <f ca="1">IF(LEFT(V$6,4)&lt;=LEFT('RFM input'!$G$60,4),"enter input",IF(LEFT(V$6,4)&gt;LEFT('RFM input'!$Q$60,4),0,IF(V$6=(OFFSET('RFM input'!$G$60,0,'RFM input'!$V$7)),OFFSET('RFM input'!$G$411,$A446,0),0)))</f>
        <v>0</v>
      </c>
      <c r="W448" s="1417">
        <f ca="1">IF(LEFT(W$6,4)&lt;=LEFT('RFM input'!$G$60,4),"enter input",IF(LEFT(W$6,4)&gt;LEFT('RFM input'!$Q$60,4),0,IF(W$6=(OFFSET('RFM input'!$G$60,0,'RFM input'!$V$7)),OFFSET('RFM input'!$G$411,$A446,0),0)))</f>
        <v>0</v>
      </c>
      <c r="X448" s="152"/>
      <c r="Y448" s="152"/>
      <c r="Z448" s="152"/>
      <c r="AA448" s="152"/>
      <c r="AB448" s="152"/>
    </row>
    <row r="449" spans="1:28">
      <c r="A449" s="152"/>
      <c r="B449" s="195" t="s">
        <v>197</v>
      </c>
      <c r="C449" s="1419"/>
      <c r="D449" s="1418">
        <f ca="1">IF(LEFT(D$6,4)&lt;=LEFT('RFM input'!$G$60,4),"enter input",IF(LEFT(D$6,4)&gt;LEFT('RFM input'!$Q$60,4),0,IF(D$6=(OFFSET('RFM input'!$G$60,0,'RFM input'!$V$7)),OFFSET('RFM input'!$I$411,$A446,0),0)))</f>
        <v>0</v>
      </c>
      <c r="E449" s="1422">
        <f ca="1">IF(LEFT(E$6,4)&lt;=LEFT('RFM input'!$G$60,4),"enter input",IF(LEFT(E$6,4)&gt;LEFT('RFM input'!$Q$60,4),0,IF(E$6=(OFFSET('RFM input'!$G$60,0,'RFM input'!$V$7)),OFFSET('RFM input'!$I$411,$A446,0),0)))</f>
        <v>0</v>
      </c>
      <c r="F449" s="1422">
        <f ca="1">IF(LEFT(F$6,4)&lt;=LEFT('RFM input'!$G$60,4),"enter input",IF(LEFT(F$6,4)&gt;LEFT('RFM input'!$Q$60,4),0,IF(F$6=(OFFSET('RFM input'!$G$60,0,'RFM input'!$V$7)),OFFSET('RFM input'!$I$411,$A446,0),0)))</f>
        <v>0</v>
      </c>
      <c r="G449" s="1422">
        <f ca="1">IF(LEFT(G$6,4)&lt;=LEFT('RFM input'!$G$60,4),"enter input",IF(LEFT(G$6,4)&gt;LEFT('RFM input'!$Q$60,4),0,IF(G$6=(OFFSET('RFM input'!$G$60,0,'RFM input'!$V$7)),OFFSET('RFM input'!$I$411,$A446,0),0)))</f>
        <v>0</v>
      </c>
      <c r="H449" s="1422">
        <f ca="1">IF(LEFT(H$6,4)&lt;=LEFT('RFM input'!$G$60,4),"enter input",IF(LEFT(H$6,4)&gt;LEFT('RFM input'!$Q$60,4),0,IF(H$6=(OFFSET('RFM input'!$G$60,0,'RFM input'!$V$7)),OFFSET('RFM input'!$I$411,$A446,0),0)))</f>
        <v>0</v>
      </c>
      <c r="I449" s="1422">
        <f ca="1">IF(LEFT(I$6,4)&lt;=LEFT('RFM input'!$G$60,4),"enter input",IF(LEFT(I$6,4)&gt;LEFT('RFM input'!$Q$60,4),0,IF(I$6=(OFFSET('RFM input'!$G$60,0,'RFM input'!$V$7)),OFFSET('RFM input'!$I$411,$A446,0),0)))</f>
        <v>0</v>
      </c>
      <c r="J449" s="1422">
        <f ca="1">IF(LEFT(J$6,4)&lt;=LEFT('RFM input'!$G$60,4),"enter input",IF(LEFT(J$6,4)&gt;LEFT('RFM input'!$Q$60,4),0,IF(J$6=(OFFSET('RFM input'!$G$60,0,'RFM input'!$V$7)),OFFSET('RFM input'!$I$411,$A446,0),0)))</f>
        <v>0</v>
      </c>
      <c r="K449" s="1422">
        <f ca="1">IF(LEFT(K$6,4)&lt;=LEFT('RFM input'!$G$60,4),"enter input",IF(LEFT(K$6,4)&gt;LEFT('RFM input'!$Q$60,4),0,IF(K$6=(OFFSET('RFM input'!$G$60,0,'RFM input'!$V$7)),OFFSET('RFM input'!$I$411,$A446,0),0)))</f>
        <v>0</v>
      </c>
      <c r="L449" s="1422">
        <f ca="1">IF(LEFT(L$6,4)&lt;=LEFT('RFM input'!$G$60,4),"enter input",IF(LEFT(L$6,4)&gt;LEFT('RFM input'!$Q$60,4),0,IF(L$6=(OFFSET('RFM input'!$G$60,0,'RFM input'!$V$7)),OFFSET('RFM input'!$I$411,$A446,0),0)))</f>
        <v>0</v>
      </c>
      <c r="M449" s="1422">
        <f ca="1">IF(LEFT(M$6,4)&lt;=LEFT('RFM input'!$G$60,4),"enter input",IF(LEFT(M$6,4)&gt;LEFT('RFM input'!$Q$60,4),0,IF(M$6=(OFFSET('RFM input'!$G$60,0,'RFM input'!$V$7)),OFFSET('RFM input'!$I$411,$A446,0),0)))</f>
        <v>0</v>
      </c>
      <c r="N449" s="1422">
        <f ca="1">IF(LEFT(N$6,4)&lt;=LEFT('RFM input'!$G$60,4),"enter input",IF(LEFT(N$6,4)&gt;LEFT('RFM input'!$Q$60,4),0,IF(N$6=(OFFSET('RFM input'!$G$60,0,'RFM input'!$V$7)),OFFSET('RFM input'!$I$411,$A446,0),0)))</f>
        <v>0</v>
      </c>
      <c r="O449" s="1422">
        <f ca="1">IF(LEFT(O$6,4)&lt;=LEFT('RFM input'!$G$60,4),"enter input",IF(LEFT(O$6,4)&gt;LEFT('RFM input'!$Q$60,4),0,IF(O$6=(OFFSET('RFM input'!$G$60,0,'RFM input'!$V$7)),OFFSET('RFM input'!$I$411,$A446,0),0)))</f>
        <v>0</v>
      </c>
      <c r="P449" s="1422">
        <f ca="1">IF(LEFT(P$6,4)&lt;=LEFT('RFM input'!$G$60,4),"enter input",IF(LEFT(P$6,4)&gt;LEFT('RFM input'!$Q$60,4),0,IF(P$6=(OFFSET('RFM input'!$G$60,0,'RFM input'!$V$7)),OFFSET('RFM input'!$I$411,$A446,0),0)))</f>
        <v>0</v>
      </c>
      <c r="Q449" s="1422">
        <f ca="1">IF(LEFT(Q$6,4)&lt;=LEFT('RFM input'!$G$60,4),"enter input",IF(LEFT(Q$6,4)&gt;LEFT('RFM input'!$Q$60,4),0,IF(Q$6=(OFFSET('RFM input'!$G$60,0,'RFM input'!$V$7)),OFFSET('RFM input'!$I$411,$A446,0),0)))</f>
        <v>0</v>
      </c>
      <c r="R449" s="1422">
        <f ca="1">IF(LEFT(R$6,4)&lt;=LEFT('RFM input'!$G$60,4),"enter input",IF(LEFT(R$6,4)&gt;LEFT('RFM input'!$Q$60,4),0,IF(R$6=(OFFSET('RFM input'!$G$60,0,'RFM input'!$V$7)),OFFSET('RFM input'!$I$411,$A446,0),0)))</f>
        <v>0</v>
      </c>
      <c r="S449" s="1422">
        <f ca="1">IF(LEFT(S$6,4)&lt;=LEFT('RFM input'!$G$60,4),"enter input",IF(LEFT(S$6,4)&gt;LEFT('RFM input'!$Q$60,4),0,IF(S$6=(OFFSET('RFM input'!$G$60,0,'RFM input'!$V$7)),OFFSET('RFM input'!$I$411,$A446,0),0)))</f>
        <v>0</v>
      </c>
      <c r="T449" s="1422">
        <f ca="1">IF(LEFT(T$6,4)&lt;=LEFT('RFM input'!$G$60,4),"enter input",IF(LEFT(T$6,4)&gt;LEFT('RFM input'!$Q$60,4),0,IF(T$6=(OFFSET('RFM input'!$G$60,0,'RFM input'!$V$7)),OFFSET('RFM input'!$I$411,$A446,0),0)))</f>
        <v>0</v>
      </c>
      <c r="U449" s="1422">
        <f ca="1">IF(LEFT(U$6,4)&lt;=LEFT('RFM input'!$G$60,4),"enter input",IF(LEFT(U$6,4)&gt;LEFT('RFM input'!$Q$60,4),0,IF(U$6=(OFFSET('RFM input'!$G$60,0,'RFM input'!$V$7)),OFFSET('RFM input'!$I$411,$A446,0),0)))</f>
        <v>0</v>
      </c>
      <c r="V449" s="1422">
        <f ca="1">IF(LEFT(V$6,4)&lt;=LEFT('RFM input'!$G$60,4),"enter input",IF(LEFT(V$6,4)&gt;LEFT('RFM input'!$Q$60,4),0,IF(V$6=(OFFSET('RFM input'!$G$60,0,'RFM input'!$V$7)),OFFSET('RFM input'!$I$411,$A446,0),0)))</f>
        <v>0</v>
      </c>
      <c r="W449" s="1422">
        <f ca="1">IF(LEFT(W$6,4)&lt;=LEFT('RFM input'!$G$60,4),"enter input",IF(LEFT(W$6,4)&gt;LEFT('RFM input'!$Q$60,4),0,IF(W$6=(OFFSET('RFM input'!$G$60,0,'RFM input'!$V$7)),OFFSET('RFM input'!$I$411,$A446,0),0)))</f>
        <v>0</v>
      </c>
      <c r="X449" s="152"/>
      <c r="Y449" s="152"/>
      <c r="Z449" s="152"/>
      <c r="AA449" s="152"/>
      <c r="AB449" s="152"/>
    </row>
    <row r="450" spans="1:28" hidden="1" outlineLevel="1">
      <c r="A450" s="235">
        <v>-1</v>
      </c>
      <c r="B450" s="190" t="s">
        <v>189</v>
      </c>
      <c r="C450" s="1423"/>
      <c r="D450" s="1423">
        <f ca="1">IF(AND(D448=0,C450=0),0,
IF(AND(D448&lt;&gt;0,C450=0),(D448/D$10),
IF(AND(D449&lt;&gt;0,C450&lt;&gt;0),(C450-(C450/C474))+(D448/D$10),
IF(C474&lt;1,0,(C450-(C450/C474))))))</f>
        <v>0</v>
      </c>
      <c r="E450" s="1423">
        <f t="shared" ref="E450" ca="1" si="613">IF(AND(E448=0,D450=0),0,
IF(AND(E448&lt;&gt;0,D450=0),(E448/E$10),
IF(AND(E449&lt;&gt;0,D450&lt;&gt;0),(D450-(D450/D474))+(E448/E$10),
IF(D474&lt;1,0,(D450-(D450/D474))))))</f>
        <v>0</v>
      </c>
      <c r="F450" s="1423">
        <f t="shared" ref="F450" ca="1" si="614">IF(AND(F448=0,E450=0),0,
IF(AND(F448&lt;&gt;0,E450=0),(F448/F$10),
IF(AND(F449&lt;&gt;0,E450&lt;&gt;0),(E450-(E450/E474))+(F448/F$10),
IF(E474&lt;1,0,(E450-(E450/E474))))))</f>
        <v>0</v>
      </c>
      <c r="G450" s="1423">
        <f t="shared" ref="G450" ca="1" si="615">IF(AND(G448=0,F450=0),0,
IF(AND(G448&lt;&gt;0,F450=0),(G448/G$10),
IF(AND(G449&lt;&gt;0,F450&lt;&gt;0),(F450-(F450/F474))+(G448/G$10),
IF(F474&lt;1,0,(F450-(F450/F474))))))</f>
        <v>0</v>
      </c>
      <c r="H450" s="1423">
        <f t="shared" ref="H450" ca="1" si="616">IF(AND(H448=0,G450=0),0,
IF(AND(H448&lt;&gt;0,G450=0),(H448/H$10),
IF(AND(H449&lt;&gt;0,G450&lt;&gt;0),(G450-(G450/G474))+(H448/H$10),
IF(G474&lt;1,0,(G450-(G450/G474))))))</f>
        <v>0</v>
      </c>
      <c r="I450" s="1423">
        <f t="shared" ref="I450" ca="1" si="617">IF(AND(I448=0,H450=0),0,
IF(AND(I448&lt;&gt;0,H450=0),(I448/I$10),
IF(AND(I449&lt;&gt;0,H450&lt;&gt;0),(H450-(H450/H474))+(I448/I$10),
IF(H474&lt;1,0,(H450-(H450/H474))))))</f>
        <v>0</v>
      </c>
      <c r="J450" s="1423">
        <f t="shared" ref="J450" ca="1" si="618">IF(AND(J448=0,I450=0),0,
IF(AND(J448&lt;&gt;0,I450=0),(J448/J$10),
IF(AND(J449&lt;&gt;0,I450&lt;&gt;0),(I450-(I450/I474))+(J448/J$10),
IF(I474&lt;1,0,(I450-(I450/I474))))))</f>
        <v>0</v>
      </c>
      <c r="K450" s="1423">
        <f t="shared" ref="K450" ca="1" si="619">IF(AND(K448=0,J450=0),0,
IF(AND(K448&lt;&gt;0,J450=0),(K448/K$10),
IF(AND(K449&lt;&gt;0,J450&lt;&gt;0),(J450-(J450/J474))+(K448/K$10),
IF(J474&lt;1,0,(J450-(J450/J474))))))</f>
        <v>0</v>
      </c>
      <c r="L450" s="1423">
        <f t="shared" ref="L450" ca="1" si="620">IF(AND(L448=0,K450=0),0,
IF(AND(L448&lt;&gt;0,K450=0),(L448/L$10),
IF(AND(L449&lt;&gt;0,K450&lt;&gt;0),(K450-(K450/K474))+(L448/L$10),
IF(K474&lt;1,0,(K450-(K450/K474))))))</f>
        <v>0</v>
      </c>
      <c r="M450" s="1423">
        <f t="shared" ref="M450" ca="1" si="621">IF(AND(M448=0,L450=0),0,
IF(AND(M448&lt;&gt;0,L450=0),(M448/M$10),
IF(AND(M449&lt;&gt;0,L450&lt;&gt;0),(L450-(L450/L474))+(M448/M$10),
IF(L474&lt;1,0,(L450-(L450/L474))))))</f>
        <v>0</v>
      </c>
      <c r="N450" s="1423">
        <f t="shared" ref="N450" ca="1" si="622">IF(AND(N448=0,M450=0),0,
IF(AND(N448&lt;&gt;0,M450=0),(N448/N$10),
IF(AND(N449&lt;&gt;0,M450&lt;&gt;0),(M450-(M450/M474))+(N448/N$10),
IF(M474&lt;1,0,(M450-(M450/M474))))))</f>
        <v>0</v>
      </c>
      <c r="O450" s="1423">
        <f t="shared" ref="O450" ca="1" si="623">IF(AND(O448=0,N450=0),0,
IF(AND(O448&lt;&gt;0,N450=0),(O448/O$10),
IF(AND(O449&lt;&gt;0,N450&lt;&gt;0),(N450-(N450/N474))+(O448/O$10),
IF(N474&lt;1,0,(N450-(N450/N474))))))</f>
        <v>0</v>
      </c>
      <c r="P450" s="1423">
        <f t="shared" ref="P450" ca="1" si="624">IF(AND(P448=0,O450=0),0,
IF(AND(P448&lt;&gt;0,O450=0),(P448/P$10),
IF(AND(P449&lt;&gt;0,O450&lt;&gt;0),(O450-(O450/O474))+(P448/P$10),
IF(O474&lt;1,0,(O450-(O450/O474))))))</f>
        <v>0</v>
      </c>
      <c r="Q450" s="1423">
        <f t="shared" ref="Q450" ca="1" si="625">IF(AND(Q448=0,P450=0),0,
IF(AND(Q448&lt;&gt;0,P450=0),(Q448/Q$10),
IF(AND(Q449&lt;&gt;0,P450&lt;&gt;0),(P450-(P450/P474))+(Q448/Q$10),
IF(P474&lt;1,0,(P450-(P450/P474))))))</f>
        <v>0</v>
      </c>
      <c r="R450" s="1423">
        <f t="shared" ref="R450" ca="1" si="626">IF(AND(R448=0,Q450=0),0,
IF(AND(R448&lt;&gt;0,Q450=0),(R448/R$10),
IF(AND(R449&lt;&gt;0,Q450&lt;&gt;0),(Q450-(Q450/Q474))+(R448/R$10),
IF(Q474&lt;1,0,(Q450-(Q450/Q474))))))</f>
        <v>0</v>
      </c>
      <c r="S450" s="1423">
        <f t="shared" ref="S450" ca="1" si="627">IF(AND(S448=0,R450=0),0,
IF(AND(S448&lt;&gt;0,R450=0),(S448/S$10),
IF(AND(S449&lt;&gt;0,R450&lt;&gt;0),(R450-(R450/R474))+(S448/S$10),
IF(R474&lt;1,0,(R450-(R450/R474))))))</f>
        <v>0</v>
      </c>
      <c r="T450" s="1423">
        <f t="shared" ref="T450" ca="1" si="628">IF(AND(T448=0,S450=0),0,
IF(AND(T448&lt;&gt;0,S450=0),(T448/T$10),
IF(AND(T449&lt;&gt;0,S450&lt;&gt;0),(S450-(S450/S474))+(T448/T$10),
IF(S474&lt;1,0,(S450-(S450/S474))))))</f>
        <v>0</v>
      </c>
      <c r="U450" s="1423">
        <f t="shared" ref="U450" ca="1" si="629">IF(AND(U448=0,T450=0),0,
IF(AND(U448&lt;&gt;0,T450=0),(U448/U$10),
IF(AND(U449&lt;&gt;0,T450&lt;&gt;0),(T450-(T450/T474))+(U448/U$10),
IF(T474&lt;1,0,(T450-(T450/T474))))))</f>
        <v>0</v>
      </c>
      <c r="V450" s="1423">
        <f t="shared" ref="V450" ca="1" si="630">IF(AND(V448=0,U450=0),0,
IF(AND(V448&lt;&gt;0,U450=0),(V448/V$10),
IF(AND(V449&lt;&gt;0,U450&lt;&gt;0),(U450-(U450/U474))+(V448/V$10),
IF(U474&lt;1,0,(U450-(U450/U474))))))</f>
        <v>0</v>
      </c>
      <c r="W450" s="1423">
        <f t="shared" ref="W450" ca="1" si="631">IF(AND(W448=0,V450=0),0,
IF(AND(W448&lt;&gt;0,V450=0),(W448/W$10),
IF(AND(W449&lt;&gt;0,V450&lt;&gt;0),(V450-(V450/V474))+(W448/W$10),
IF(V474&lt;1,0,(V450-(V450/V474))))))</f>
        <v>0</v>
      </c>
      <c r="X450" s="152"/>
      <c r="Y450" s="152"/>
      <c r="Z450" s="152"/>
      <c r="AA450" s="152"/>
      <c r="AB450" s="152"/>
    </row>
    <row r="451" spans="1:28" hidden="1" outlineLevel="1">
      <c r="A451" s="199">
        <f>A450+1</f>
        <v>0</v>
      </c>
      <c r="B451" s="190" t="s">
        <v>125</v>
      </c>
      <c r="C451" s="1423">
        <f ca="1">C446/C$10</f>
        <v>0</v>
      </c>
      <c r="D451" s="1423">
        <f ca="1">IF(C475="n/a",C451,IFERROR(IF((OFFSET($C451,0,$A451))&lt;0,
MIN(0,C451-(OFFSET($C451,0,$A451)/(OFFSET($C446,-$A450,$A451)))),
MAX(0,C451-(OFFSET($C451,0,$A451)/(OFFSET($C446,-$A450,$A451))))),0))</f>
        <v>0</v>
      </c>
      <c r="E451" s="1423">
        <f t="shared" ref="E451" ca="1" si="632">IF(D475="n/a",D451,IFERROR(IF((OFFSET($C451,0,$A451))&lt;0,
MIN(0,D451-(OFFSET($C451,0,$A451)/(OFFSET($C446,-$A450,$A451)))),
MAX(0,D451-(OFFSET($C451,0,$A451)/(OFFSET($C446,-$A450,$A451))))),0))</f>
        <v>0</v>
      </c>
      <c r="F451" s="1423">
        <f t="shared" ref="F451:F452" ca="1" si="633">IF(E475="n/a",E451,IFERROR(IF((OFFSET($C451,0,$A451))&lt;0,
MIN(0,E451-(OFFSET($C451,0,$A451)/(OFFSET($C446,-$A450,$A451)))),
MAX(0,E451-(OFFSET($C451,0,$A451)/(OFFSET($C446,-$A450,$A451))))),0))</f>
        <v>0</v>
      </c>
      <c r="G451" s="1423">
        <f t="shared" ref="G451:G453" ca="1" si="634">IF(F475="n/a",F451,IFERROR(IF((OFFSET($C451,0,$A451))&lt;0,
MIN(0,F451-(OFFSET($C451,0,$A451)/(OFFSET($C446,-$A450,$A451)))),
MAX(0,F451-(OFFSET($C451,0,$A451)/(OFFSET($C446,-$A450,$A451))))),0))</f>
        <v>0</v>
      </c>
      <c r="H451" s="1423">
        <f t="shared" ref="H451:H454" ca="1" si="635">IF(G475="n/a",G451,IFERROR(IF((OFFSET($C451,0,$A451))&lt;0,
MIN(0,G451-(OFFSET($C451,0,$A451)/(OFFSET($C446,-$A450,$A451)))),
MAX(0,G451-(OFFSET($C451,0,$A451)/(OFFSET($C446,-$A450,$A451))))),0))</f>
        <v>0</v>
      </c>
      <c r="I451" s="1423">
        <f t="shared" ref="I451:I455" ca="1" si="636">IF(H475="n/a",H451,IFERROR(IF((OFFSET($C451,0,$A451))&lt;0,
MIN(0,H451-(OFFSET($C451,0,$A451)/(OFFSET($C446,-$A450,$A451)))),
MAX(0,H451-(OFFSET($C451,0,$A451)/(OFFSET($C446,-$A450,$A451))))),0))</f>
        <v>0</v>
      </c>
      <c r="J451" s="1423">
        <f t="shared" ref="J451:J456" ca="1" si="637">IF(I475="n/a",I451,IFERROR(IF((OFFSET($C451,0,$A451))&lt;0,
MIN(0,I451-(OFFSET($C451,0,$A451)/(OFFSET($C446,-$A450,$A451)))),
MAX(0,I451-(OFFSET($C451,0,$A451)/(OFFSET($C446,-$A450,$A451))))),0))</f>
        <v>0</v>
      </c>
      <c r="K451" s="1423">
        <f t="shared" ref="K451:K457" ca="1" si="638">IF(J475="n/a",J451,IFERROR(IF((OFFSET($C451,0,$A451))&lt;0,
MIN(0,J451-(OFFSET($C451,0,$A451)/(OFFSET($C446,-$A450,$A451)))),
MAX(0,J451-(OFFSET($C451,0,$A451)/(OFFSET($C446,-$A450,$A451))))),0))</f>
        <v>0</v>
      </c>
      <c r="L451" s="1423">
        <f t="shared" ref="L451:L458" ca="1" si="639">IF(K475="n/a",K451,IFERROR(IF((OFFSET($C451,0,$A451))&lt;0,
MIN(0,K451-(OFFSET($C451,0,$A451)/(OFFSET($C446,-$A450,$A451)))),
MAX(0,K451-(OFFSET($C451,0,$A451)/(OFFSET($C446,-$A450,$A451))))),0))</f>
        <v>0</v>
      </c>
      <c r="M451" s="1423">
        <f t="shared" ref="M451:M459" ca="1" si="640">IF(L475="n/a",L451,IFERROR(IF((OFFSET($C451,0,$A451))&lt;0,
MIN(0,L451-(OFFSET($C451,0,$A451)/(OFFSET($C446,-$A450,$A451)))),
MAX(0,L451-(OFFSET($C451,0,$A451)/(OFFSET($C446,-$A450,$A451))))),0))</f>
        <v>0</v>
      </c>
      <c r="N451" s="1423">
        <f t="shared" ref="N451:N460" ca="1" si="641">IF(M475="n/a",M451,IFERROR(IF((OFFSET($C451,0,$A451))&lt;0,
MIN(0,M451-(OFFSET($C451,0,$A451)/(OFFSET($C446,-$A450,$A451)))),
MAX(0,M451-(OFFSET($C451,0,$A451)/(OFFSET($C446,-$A450,$A451))))),0))</f>
        <v>0</v>
      </c>
      <c r="O451" s="1423">
        <f t="shared" ref="O451:O461" ca="1" si="642">IF(N475="n/a",N451,IFERROR(IF((OFFSET($C451,0,$A451))&lt;0,
MIN(0,N451-(OFFSET($C451,0,$A451)/(OFFSET($C446,-$A450,$A451)))),
MAX(0,N451-(OFFSET($C451,0,$A451)/(OFFSET($C446,-$A450,$A451))))),0))</f>
        <v>0</v>
      </c>
      <c r="P451" s="1423">
        <f t="shared" ref="P451:P462" ca="1" si="643">IF(O475="n/a",O451,IFERROR(IF((OFFSET($C451,0,$A451))&lt;0,
MIN(0,O451-(OFFSET($C451,0,$A451)/(OFFSET($C446,-$A450,$A451)))),
MAX(0,O451-(OFFSET($C451,0,$A451)/(OFFSET($C446,-$A450,$A451))))),0))</f>
        <v>0</v>
      </c>
      <c r="Q451" s="1423">
        <f t="shared" ref="Q451:Q463" ca="1" si="644">IF(P475="n/a",P451,IFERROR(IF((OFFSET($C451,0,$A451))&lt;0,
MIN(0,P451-(OFFSET($C451,0,$A451)/(OFFSET($C446,-$A450,$A451)))),
MAX(0,P451-(OFFSET($C451,0,$A451)/(OFFSET($C446,-$A450,$A451))))),0))</f>
        <v>0</v>
      </c>
      <c r="R451" s="1423">
        <f t="shared" ref="R451:R464" ca="1" si="645">IF(Q475="n/a",Q451,IFERROR(IF((OFFSET($C451,0,$A451))&lt;0,
MIN(0,Q451-(OFFSET($C451,0,$A451)/(OFFSET($C446,-$A450,$A451)))),
MAX(0,Q451-(OFFSET($C451,0,$A451)/(OFFSET($C446,-$A450,$A451))))),0))</f>
        <v>0</v>
      </c>
      <c r="S451" s="1423">
        <f t="shared" ref="S451:S465" ca="1" si="646">IF(R475="n/a",R451,IFERROR(IF((OFFSET($C451,0,$A451))&lt;0,
MIN(0,R451-(OFFSET($C451,0,$A451)/(OFFSET($C446,-$A450,$A451)))),
MAX(0,R451-(OFFSET($C451,0,$A451)/(OFFSET($C446,-$A450,$A451))))),0))</f>
        <v>0</v>
      </c>
      <c r="T451" s="1423">
        <f t="shared" ref="T451:T466" ca="1" si="647">IF(S475="n/a",S451,IFERROR(IF((OFFSET($C451,0,$A451))&lt;0,
MIN(0,S451-(OFFSET($C451,0,$A451)/(OFFSET($C446,-$A450,$A451)))),
MAX(0,S451-(OFFSET($C451,0,$A451)/(OFFSET($C446,-$A450,$A451))))),0))</f>
        <v>0</v>
      </c>
      <c r="U451" s="1423">
        <f t="shared" ref="U451:U467" ca="1" si="648">IF(T475="n/a",T451,IFERROR(IF((OFFSET($C451,0,$A451))&lt;0,
MIN(0,T451-(OFFSET($C451,0,$A451)/(OFFSET($C446,-$A450,$A451)))),
MAX(0,T451-(OFFSET($C451,0,$A451)/(OFFSET($C446,-$A450,$A451))))),0))</f>
        <v>0</v>
      </c>
      <c r="V451" s="1423">
        <f t="shared" ref="V451:V468" ca="1" si="649">IF(U475="n/a",U451,IFERROR(IF((OFFSET($C451,0,$A451))&lt;0,
MIN(0,U451-(OFFSET($C451,0,$A451)/(OFFSET($C446,-$A450,$A451)))),
MAX(0,U451-(OFFSET($C451,0,$A451)/(OFFSET($C446,-$A450,$A451))))),0))</f>
        <v>0</v>
      </c>
      <c r="W451" s="1423">
        <f t="shared" ref="W451:W469" ca="1" si="650">IF(V475="n/a",V451,IFERROR(IF((OFFSET($C451,0,$A451))&lt;0,
MIN(0,V451-(OFFSET($C451,0,$A451)/(OFFSET($C446,-$A450,$A451)))),
MAX(0,V451-(OFFSET($C451,0,$A451)/(OFFSET($C446,-$A450,$A451))))),0))</f>
        <v>0</v>
      </c>
      <c r="X451" s="152"/>
      <c r="Y451" s="152"/>
      <c r="Z451" s="152"/>
      <c r="AA451" s="152"/>
      <c r="AB451" s="152"/>
    </row>
    <row r="452" spans="1:28" hidden="1" outlineLevel="1">
      <c r="A452" s="199">
        <f t="shared" ref="A452:A471" si="651">A451+1</f>
        <v>1</v>
      </c>
      <c r="B452" s="190" t="str">
        <f t="shared" ref="B452:B470" ca="1" si="652">"Depreciated Net Capex "&amp;OFFSET($C$6,0,A452)</f>
        <v>Depreciated Net Capex 2016-17</v>
      </c>
      <c r="C452" s="1424"/>
      <c r="D452" s="1425">
        <f>(D446*((1+D$11)^0.5)/D$10)</f>
        <v>0</v>
      </c>
      <c r="E452" s="1423">
        <f ca="1">IF(D476="n/a",D452,IFERROR(IF((OFFSET($C452,0,$A452))&lt;0,
MIN(0,D452-(OFFSET($C452,0,$A452)/(OFFSET($C447,-$A451,$A452)))),
MAX(0,D452-(OFFSET($C452,0,$A452)/(OFFSET($C447,-$A451,$A452))))),0))</f>
        <v>0</v>
      </c>
      <c r="F452" s="1423">
        <f t="shared" ca="1" si="633"/>
        <v>0</v>
      </c>
      <c r="G452" s="1423">
        <f t="shared" ca="1" si="634"/>
        <v>0</v>
      </c>
      <c r="H452" s="1423">
        <f t="shared" ca="1" si="635"/>
        <v>0</v>
      </c>
      <c r="I452" s="1423">
        <f t="shared" ca="1" si="636"/>
        <v>0</v>
      </c>
      <c r="J452" s="1423">
        <f t="shared" ca="1" si="637"/>
        <v>0</v>
      </c>
      <c r="K452" s="1423">
        <f t="shared" ca="1" si="638"/>
        <v>0</v>
      </c>
      <c r="L452" s="1423">
        <f t="shared" ca="1" si="639"/>
        <v>0</v>
      </c>
      <c r="M452" s="1423">
        <f t="shared" ca="1" si="640"/>
        <v>0</v>
      </c>
      <c r="N452" s="1423">
        <f t="shared" ca="1" si="641"/>
        <v>0</v>
      </c>
      <c r="O452" s="1423">
        <f t="shared" ca="1" si="642"/>
        <v>0</v>
      </c>
      <c r="P452" s="1423">
        <f t="shared" ca="1" si="643"/>
        <v>0</v>
      </c>
      <c r="Q452" s="1423">
        <f t="shared" ca="1" si="644"/>
        <v>0</v>
      </c>
      <c r="R452" s="1423">
        <f t="shared" ca="1" si="645"/>
        <v>0</v>
      </c>
      <c r="S452" s="1423">
        <f t="shared" ca="1" si="646"/>
        <v>0</v>
      </c>
      <c r="T452" s="1423">
        <f t="shared" ca="1" si="647"/>
        <v>0</v>
      </c>
      <c r="U452" s="1423">
        <f t="shared" ca="1" si="648"/>
        <v>0</v>
      </c>
      <c r="V452" s="1423">
        <f t="shared" ca="1" si="649"/>
        <v>0</v>
      </c>
      <c r="W452" s="1423">
        <f t="shared" ca="1" si="650"/>
        <v>0</v>
      </c>
      <c r="X452" s="152"/>
      <c r="Y452" s="152"/>
      <c r="Z452" s="152"/>
      <c r="AA452" s="152"/>
      <c r="AB452" s="152"/>
    </row>
    <row r="453" spans="1:28" hidden="1" outlineLevel="1">
      <c r="A453" s="199">
        <f t="shared" si="651"/>
        <v>2</v>
      </c>
      <c r="B453" s="190" t="str">
        <f t="shared" ca="1" si="652"/>
        <v>Depreciated Net Capex 2017-18</v>
      </c>
      <c r="C453" s="1426"/>
      <c r="D453" s="1427"/>
      <c r="E453" s="1425">
        <f>(E446*((1+E$11)^0.5)/E$10)</f>
        <v>0</v>
      </c>
      <c r="F453" s="1423">
        <f ca="1">IF(E477="n/a",E453,IFERROR(IF((OFFSET($C453,0,$A453))&lt;0,
MIN(0,E453-(OFFSET($C453,0,$A453)/(OFFSET($C448,-$A452,$A453)))),
MAX(0,E453-(OFFSET($C453,0,$A453)/(OFFSET($C448,-$A452,$A453))))),0))</f>
        <v>0</v>
      </c>
      <c r="G453" s="1423">
        <f t="shared" ca="1" si="634"/>
        <v>0</v>
      </c>
      <c r="H453" s="1423">
        <f t="shared" ca="1" si="635"/>
        <v>0</v>
      </c>
      <c r="I453" s="1423">
        <f t="shared" ca="1" si="636"/>
        <v>0</v>
      </c>
      <c r="J453" s="1423">
        <f t="shared" ca="1" si="637"/>
        <v>0</v>
      </c>
      <c r="K453" s="1423">
        <f t="shared" ca="1" si="638"/>
        <v>0</v>
      </c>
      <c r="L453" s="1423">
        <f t="shared" ca="1" si="639"/>
        <v>0</v>
      </c>
      <c r="M453" s="1423">
        <f t="shared" ca="1" si="640"/>
        <v>0</v>
      </c>
      <c r="N453" s="1423">
        <f t="shared" ca="1" si="641"/>
        <v>0</v>
      </c>
      <c r="O453" s="1423">
        <f t="shared" ca="1" si="642"/>
        <v>0</v>
      </c>
      <c r="P453" s="1423">
        <f t="shared" ca="1" si="643"/>
        <v>0</v>
      </c>
      <c r="Q453" s="1423">
        <f t="shared" ca="1" si="644"/>
        <v>0</v>
      </c>
      <c r="R453" s="1423">
        <f t="shared" ca="1" si="645"/>
        <v>0</v>
      </c>
      <c r="S453" s="1423">
        <f t="shared" ca="1" si="646"/>
        <v>0</v>
      </c>
      <c r="T453" s="1423">
        <f t="shared" ca="1" si="647"/>
        <v>0</v>
      </c>
      <c r="U453" s="1423">
        <f t="shared" ca="1" si="648"/>
        <v>0</v>
      </c>
      <c r="V453" s="1423">
        <f t="shared" ca="1" si="649"/>
        <v>0</v>
      </c>
      <c r="W453" s="1423">
        <f t="shared" ca="1" si="650"/>
        <v>0</v>
      </c>
      <c r="X453" s="202"/>
      <c r="Y453" s="152"/>
      <c r="Z453" s="152"/>
      <c r="AA453" s="152"/>
      <c r="AB453" s="152"/>
    </row>
    <row r="454" spans="1:28" hidden="1" outlineLevel="1">
      <c r="A454" s="199">
        <f t="shared" si="651"/>
        <v>3</v>
      </c>
      <c r="B454" s="190" t="str">
        <f t="shared" ca="1" si="652"/>
        <v>Depreciated Net Capex 2018-19</v>
      </c>
      <c r="C454" s="1426"/>
      <c r="D454" s="1426"/>
      <c r="E454" s="1427"/>
      <c r="F454" s="1428">
        <f>($F446*((1+F$11)^0.5)/F$10)</f>
        <v>0</v>
      </c>
      <c r="G454" s="1423">
        <f ca="1">IF(F478="n/a",F454,IFERROR(IF((OFFSET($C454,0,$A454))&lt;0,
MIN(0,F454-(OFFSET($C454,0,$A454)/(OFFSET($C449,-$A453,$A454)))),
MAX(0,F454-(OFFSET($C454,0,$A454)/(OFFSET($C449,-$A453,$A454))))),0))</f>
        <v>0</v>
      </c>
      <c r="H454" s="1423">
        <f t="shared" ca="1" si="635"/>
        <v>0</v>
      </c>
      <c r="I454" s="1423">
        <f t="shared" ca="1" si="636"/>
        <v>0</v>
      </c>
      <c r="J454" s="1423">
        <f t="shared" ca="1" si="637"/>
        <v>0</v>
      </c>
      <c r="K454" s="1423">
        <f t="shared" ca="1" si="638"/>
        <v>0</v>
      </c>
      <c r="L454" s="1423">
        <f t="shared" ca="1" si="639"/>
        <v>0</v>
      </c>
      <c r="M454" s="1423">
        <f t="shared" ca="1" si="640"/>
        <v>0</v>
      </c>
      <c r="N454" s="1423">
        <f t="shared" ca="1" si="641"/>
        <v>0</v>
      </c>
      <c r="O454" s="1423">
        <f t="shared" ca="1" si="642"/>
        <v>0</v>
      </c>
      <c r="P454" s="1423">
        <f t="shared" ca="1" si="643"/>
        <v>0</v>
      </c>
      <c r="Q454" s="1423">
        <f t="shared" ca="1" si="644"/>
        <v>0</v>
      </c>
      <c r="R454" s="1423">
        <f t="shared" ca="1" si="645"/>
        <v>0</v>
      </c>
      <c r="S454" s="1423">
        <f t="shared" ca="1" si="646"/>
        <v>0</v>
      </c>
      <c r="T454" s="1423">
        <f t="shared" ca="1" si="647"/>
        <v>0</v>
      </c>
      <c r="U454" s="1423">
        <f t="shared" ca="1" si="648"/>
        <v>0</v>
      </c>
      <c r="V454" s="1423">
        <f t="shared" ca="1" si="649"/>
        <v>0</v>
      </c>
      <c r="W454" s="1423">
        <f t="shared" ca="1" si="650"/>
        <v>0</v>
      </c>
      <c r="X454" s="202"/>
      <c r="Y454" s="202"/>
      <c r="Z454" s="152"/>
      <c r="AA454" s="152"/>
      <c r="AB454" s="152"/>
    </row>
    <row r="455" spans="1:28" hidden="1" outlineLevel="1">
      <c r="A455" s="199">
        <f t="shared" si="651"/>
        <v>4</v>
      </c>
      <c r="B455" s="190" t="str">
        <f t="shared" ca="1" si="652"/>
        <v>Depreciated Net Capex 2019-20</v>
      </c>
      <c r="C455" s="1426"/>
      <c r="D455" s="1426"/>
      <c r="E455" s="1426"/>
      <c r="F455" s="1427"/>
      <c r="G455" s="1428">
        <f>($G446*((1+G$11)^0.5)/G$10)</f>
        <v>0</v>
      </c>
      <c r="H455" s="1423">
        <f ca="1">IF(G479="n/a",G455,IFERROR(IF((OFFSET($C455,0,$A455))&lt;0,
MIN(0,G455-(OFFSET($C455,0,$A455)/(OFFSET($C450,-$A454,$A455)))),
MAX(0,G455-(OFFSET($C455,0,$A455)/(OFFSET($C450,-$A454,$A455))))),0))</f>
        <v>0</v>
      </c>
      <c r="I455" s="1423">
        <f t="shared" ca="1" si="636"/>
        <v>0</v>
      </c>
      <c r="J455" s="1423">
        <f t="shared" ca="1" si="637"/>
        <v>0</v>
      </c>
      <c r="K455" s="1423">
        <f t="shared" ca="1" si="638"/>
        <v>0</v>
      </c>
      <c r="L455" s="1423">
        <f t="shared" ca="1" si="639"/>
        <v>0</v>
      </c>
      <c r="M455" s="1423">
        <f t="shared" ca="1" si="640"/>
        <v>0</v>
      </c>
      <c r="N455" s="1423">
        <f t="shared" ca="1" si="641"/>
        <v>0</v>
      </c>
      <c r="O455" s="1423">
        <f t="shared" ca="1" si="642"/>
        <v>0</v>
      </c>
      <c r="P455" s="1423">
        <f t="shared" ca="1" si="643"/>
        <v>0</v>
      </c>
      <c r="Q455" s="1423">
        <f t="shared" ca="1" si="644"/>
        <v>0</v>
      </c>
      <c r="R455" s="1423">
        <f t="shared" ca="1" si="645"/>
        <v>0</v>
      </c>
      <c r="S455" s="1423">
        <f t="shared" ca="1" si="646"/>
        <v>0</v>
      </c>
      <c r="T455" s="1423">
        <f t="shared" ca="1" si="647"/>
        <v>0</v>
      </c>
      <c r="U455" s="1423">
        <f t="shared" ca="1" si="648"/>
        <v>0</v>
      </c>
      <c r="V455" s="1423">
        <f t="shared" ca="1" si="649"/>
        <v>0</v>
      </c>
      <c r="W455" s="1423">
        <f t="shared" ca="1" si="650"/>
        <v>0</v>
      </c>
      <c r="X455" s="202"/>
      <c r="Y455" s="202"/>
      <c r="Z455" s="202"/>
      <c r="AA455" s="152"/>
      <c r="AB455" s="152"/>
    </row>
    <row r="456" spans="1:28" hidden="1" outlineLevel="1">
      <c r="A456" s="199">
        <f t="shared" si="651"/>
        <v>5</v>
      </c>
      <c r="B456" s="190" t="str">
        <f t="shared" ca="1" si="652"/>
        <v>Depreciated Net Capex 2020-21</v>
      </c>
      <c r="C456" s="1426"/>
      <c r="D456" s="1426"/>
      <c r="E456" s="1426"/>
      <c r="F456" s="1426"/>
      <c r="G456" s="1427"/>
      <c r="H456" s="1428">
        <f>(H446*((1+H$11)^0.5)/H$10)</f>
        <v>0</v>
      </c>
      <c r="I456" s="1423">
        <f ca="1">IF(H480="n/a",H456,IFERROR(IF((OFFSET($C456,0,$A456))&lt;0,
MIN(0,H456-(OFFSET($C456,0,$A456)/(OFFSET($C451,-$A455,$A456)))),
MAX(0,H456-(OFFSET($C456,0,$A456)/(OFFSET($C451,-$A455,$A456))))),0))</f>
        <v>0</v>
      </c>
      <c r="J456" s="1423">
        <f t="shared" ca="1" si="637"/>
        <v>0</v>
      </c>
      <c r="K456" s="1423">
        <f t="shared" ca="1" si="638"/>
        <v>0</v>
      </c>
      <c r="L456" s="1423">
        <f t="shared" ca="1" si="639"/>
        <v>0</v>
      </c>
      <c r="M456" s="1423">
        <f t="shared" ca="1" si="640"/>
        <v>0</v>
      </c>
      <c r="N456" s="1423">
        <f t="shared" ca="1" si="641"/>
        <v>0</v>
      </c>
      <c r="O456" s="1423">
        <f t="shared" ca="1" si="642"/>
        <v>0</v>
      </c>
      <c r="P456" s="1423">
        <f t="shared" ca="1" si="643"/>
        <v>0</v>
      </c>
      <c r="Q456" s="1423">
        <f t="shared" ca="1" si="644"/>
        <v>0</v>
      </c>
      <c r="R456" s="1423">
        <f t="shared" ca="1" si="645"/>
        <v>0</v>
      </c>
      <c r="S456" s="1423">
        <f t="shared" ca="1" si="646"/>
        <v>0</v>
      </c>
      <c r="T456" s="1423">
        <f t="shared" ca="1" si="647"/>
        <v>0</v>
      </c>
      <c r="U456" s="1423">
        <f t="shared" ca="1" si="648"/>
        <v>0</v>
      </c>
      <c r="V456" s="1423">
        <f t="shared" ca="1" si="649"/>
        <v>0</v>
      </c>
      <c r="W456" s="1423">
        <f t="shared" ca="1" si="650"/>
        <v>0</v>
      </c>
      <c r="X456" s="202"/>
      <c r="Y456" s="202"/>
      <c r="Z456" s="202"/>
      <c r="AA456" s="152"/>
      <c r="AB456" s="152"/>
    </row>
    <row r="457" spans="1:28" hidden="1" outlineLevel="1">
      <c r="A457" s="199">
        <f t="shared" si="651"/>
        <v>6</v>
      </c>
      <c r="B457" s="190" t="str">
        <f t="shared" ca="1" si="652"/>
        <v>Depreciated Net Capex 2021-22</v>
      </c>
      <c r="C457" s="1426"/>
      <c r="D457" s="1426"/>
      <c r="E457" s="1426"/>
      <c r="F457" s="1426"/>
      <c r="G457" s="1426"/>
      <c r="H457" s="1427"/>
      <c r="I457" s="1428">
        <f>(I446*((1+I$11)^0.5)/I$10)</f>
        <v>0</v>
      </c>
      <c r="J457" s="1423">
        <f ca="1">IF(I481="n/a",I457,IFERROR(IF((OFFSET($C457,0,$A457))&lt;0,
MIN(0,I457-(OFFSET($C457,0,$A457)/(OFFSET($C452,-$A456,$A457)))),
MAX(0,I457-(OFFSET($C457,0,$A457)/(OFFSET($C452,-$A456,$A457))))),0))</f>
        <v>0</v>
      </c>
      <c r="K457" s="1423">
        <f t="shared" ca="1" si="638"/>
        <v>0</v>
      </c>
      <c r="L457" s="1423">
        <f t="shared" ca="1" si="639"/>
        <v>0</v>
      </c>
      <c r="M457" s="1423">
        <f t="shared" ca="1" si="640"/>
        <v>0</v>
      </c>
      <c r="N457" s="1423">
        <f t="shared" ca="1" si="641"/>
        <v>0</v>
      </c>
      <c r="O457" s="1423">
        <f t="shared" ca="1" si="642"/>
        <v>0</v>
      </c>
      <c r="P457" s="1423">
        <f t="shared" ca="1" si="643"/>
        <v>0</v>
      </c>
      <c r="Q457" s="1423">
        <f t="shared" ca="1" si="644"/>
        <v>0</v>
      </c>
      <c r="R457" s="1423">
        <f t="shared" ca="1" si="645"/>
        <v>0</v>
      </c>
      <c r="S457" s="1423">
        <f t="shared" ca="1" si="646"/>
        <v>0</v>
      </c>
      <c r="T457" s="1423">
        <f t="shared" ca="1" si="647"/>
        <v>0</v>
      </c>
      <c r="U457" s="1423">
        <f t="shared" ca="1" si="648"/>
        <v>0</v>
      </c>
      <c r="V457" s="1423">
        <f t="shared" ca="1" si="649"/>
        <v>0</v>
      </c>
      <c r="W457" s="1423">
        <f t="shared" ca="1" si="650"/>
        <v>0</v>
      </c>
      <c r="X457" s="202"/>
      <c r="Y457" s="202"/>
      <c r="Z457" s="202"/>
      <c r="AA457" s="152"/>
      <c r="AB457" s="152"/>
    </row>
    <row r="458" spans="1:28" hidden="1" outlineLevel="1">
      <c r="A458" s="199">
        <f t="shared" si="651"/>
        <v>7</v>
      </c>
      <c r="B458" s="190" t="str">
        <f t="shared" ca="1" si="652"/>
        <v>Depreciated Net Capex 2022-23</v>
      </c>
      <c r="C458" s="1426"/>
      <c r="D458" s="1426"/>
      <c r="E458" s="1426"/>
      <c r="F458" s="1426"/>
      <c r="G458" s="1426"/>
      <c r="H458" s="1426"/>
      <c r="I458" s="1427"/>
      <c r="J458" s="1428">
        <f>(J446*((1+J$11)^0.5)/J$10)</f>
        <v>0</v>
      </c>
      <c r="K458" s="1423">
        <f ca="1">IF(J482="n/a",J458,IFERROR(IF((OFFSET($C458,0,$A458))&lt;0,
MIN(0,J458-(OFFSET($C458,0,$A458)/(OFFSET($C453,-$A457,$A458)))),
MAX(0,J458-(OFFSET($C458,0,$A458)/(OFFSET($C453,-$A457,$A458))))),0))</f>
        <v>0</v>
      </c>
      <c r="L458" s="1423">
        <f t="shared" ca="1" si="639"/>
        <v>0</v>
      </c>
      <c r="M458" s="1423">
        <f t="shared" ca="1" si="640"/>
        <v>0</v>
      </c>
      <c r="N458" s="1423">
        <f t="shared" ca="1" si="641"/>
        <v>0</v>
      </c>
      <c r="O458" s="1423">
        <f t="shared" ca="1" si="642"/>
        <v>0</v>
      </c>
      <c r="P458" s="1423">
        <f t="shared" ca="1" si="643"/>
        <v>0</v>
      </c>
      <c r="Q458" s="1423">
        <f t="shared" ca="1" si="644"/>
        <v>0</v>
      </c>
      <c r="R458" s="1423">
        <f t="shared" ca="1" si="645"/>
        <v>0</v>
      </c>
      <c r="S458" s="1423">
        <f t="shared" ca="1" si="646"/>
        <v>0</v>
      </c>
      <c r="T458" s="1423">
        <f t="shared" ca="1" si="647"/>
        <v>0</v>
      </c>
      <c r="U458" s="1423">
        <f t="shared" ca="1" si="648"/>
        <v>0</v>
      </c>
      <c r="V458" s="1423">
        <f t="shared" ca="1" si="649"/>
        <v>0</v>
      </c>
      <c r="W458" s="1423">
        <f t="shared" ca="1" si="650"/>
        <v>0</v>
      </c>
      <c r="X458" s="202"/>
      <c r="Y458" s="202"/>
      <c r="Z458" s="202"/>
      <c r="AA458" s="152"/>
      <c r="AB458" s="152"/>
    </row>
    <row r="459" spans="1:28" hidden="1" outlineLevel="1">
      <c r="A459" s="199">
        <f t="shared" si="651"/>
        <v>8</v>
      </c>
      <c r="B459" s="190" t="str">
        <f t="shared" ca="1" si="652"/>
        <v>Depreciated Net Capex 2023-24</v>
      </c>
      <c r="C459" s="1426"/>
      <c r="D459" s="1426"/>
      <c r="E459" s="1426"/>
      <c r="F459" s="1426"/>
      <c r="G459" s="1426"/>
      <c r="H459" s="1426"/>
      <c r="I459" s="1426"/>
      <c r="J459" s="1427"/>
      <c r="K459" s="1428">
        <f>(K446*((1+K$11)^0.5)/K$10)</f>
        <v>0</v>
      </c>
      <c r="L459" s="1423">
        <f ca="1">IF(K483="n/a",K459,IFERROR(IF((OFFSET($C459,0,$A459))&lt;0,
MIN(0,K459-(OFFSET($C459,0,$A459)/(OFFSET($C454,-$A458,$A459)))),
MAX(0,K459-(OFFSET($C459,0,$A459)/(OFFSET($C454,-$A458,$A459))))),0))</f>
        <v>0</v>
      </c>
      <c r="M459" s="1423">
        <f t="shared" ca="1" si="640"/>
        <v>0</v>
      </c>
      <c r="N459" s="1423">
        <f t="shared" ca="1" si="641"/>
        <v>0</v>
      </c>
      <c r="O459" s="1423">
        <f t="shared" ca="1" si="642"/>
        <v>0</v>
      </c>
      <c r="P459" s="1423">
        <f t="shared" ca="1" si="643"/>
        <v>0</v>
      </c>
      <c r="Q459" s="1423">
        <f t="shared" ca="1" si="644"/>
        <v>0</v>
      </c>
      <c r="R459" s="1423">
        <f t="shared" ca="1" si="645"/>
        <v>0</v>
      </c>
      <c r="S459" s="1423">
        <f t="shared" ca="1" si="646"/>
        <v>0</v>
      </c>
      <c r="T459" s="1423">
        <f t="shared" ca="1" si="647"/>
        <v>0</v>
      </c>
      <c r="U459" s="1423">
        <f t="shared" ca="1" si="648"/>
        <v>0</v>
      </c>
      <c r="V459" s="1423">
        <f t="shared" ca="1" si="649"/>
        <v>0</v>
      </c>
      <c r="W459" s="1423">
        <f t="shared" ca="1" si="650"/>
        <v>0</v>
      </c>
      <c r="X459" s="202"/>
      <c r="Y459" s="202"/>
      <c r="Z459" s="202"/>
      <c r="AA459" s="152"/>
      <c r="AB459" s="152"/>
    </row>
    <row r="460" spans="1:28" hidden="1" outlineLevel="1">
      <c r="A460" s="199">
        <f t="shared" si="651"/>
        <v>9</v>
      </c>
      <c r="B460" s="190" t="str">
        <f t="shared" ca="1" si="652"/>
        <v>Depreciated Net Capex 2024-25</v>
      </c>
      <c r="C460" s="1426"/>
      <c r="D460" s="1426"/>
      <c r="E460" s="1426"/>
      <c r="F460" s="1426"/>
      <c r="G460" s="1426"/>
      <c r="H460" s="1426"/>
      <c r="I460" s="1426"/>
      <c r="J460" s="1426"/>
      <c r="K460" s="1427"/>
      <c r="L460" s="1428">
        <f>(L446*((1+L$11)^0.5)/L$10)</f>
        <v>0</v>
      </c>
      <c r="M460" s="1423">
        <f ca="1">IF(L484="n/a",L460,IFERROR(IF((OFFSET($C460,0,$A460))&lt;0,
MIN(0,L460-(OFFSET($C460,0,$A460)/(OFFSET($C455,-$A459,$A460)))),
MAX(0,L460-(OFFSET($C460,0,$A460)/(OFFSET($C455,-$A459,$A460))))),0))</f>
        <v>0</v>
      </c>
      <c r="N460" s="1423">
        <f t="shared" ca="1" si="641"/>
        <v>0</v>
      </c>
      <c r="O460" s="1423">
        <f t="shared" ca="1" si="642"/>
        <v>0</v>
      </c>
      <c r="P460" s="1423">
        <f t="shared" ca="1" si="643"/>
        <v>0</v>
      </c>
      <c r="Q460" s="1423">
        <f t="shared" ca="1" si="644"/>
        <v>0</v>
      </c>
      <c r="R460" s="1423">
        <f t="shared" ca="1" si="645"/>
        <v>0</v>
      </c>
      <c r="S460" s="1423">
        <f t="shared" ca="1" si="646"/>
        <v>0</v>
      </c>
      <c r="T460" s="1423">
        <f t="shared" ca="1" si="647"/>
        <v>0</v>
      </c>
      <c r="U460" s="1423">
        <f t="shared" ca="1" si="648"/>
        <v>0</v>
      </c>
      <c r="V460" s="1423">
        <f t="shared" ca="1" si="649"/>
        <v>0</v>
      </c>
      <c r="W460" s="1423">
        <f t="shared" ca="1" si="650"/>
        <v>0</v>
      </c>
      <c r="X460" s="202"/>
      <c r="Y460" s="202"/>
      <c r="Z460" s="202"/>
      <c r="AA460" s="152"/>
      <c r="AB460" s="152"/>
    </row>
    <row r="461" spans="1:28" hidden="1" outlineLevel="1">
      <c r="A461" s="199">
        <f t="shared" si="651"/>
        <v>10</v>
      </c>
      <c r="B461" s="190" t="str">
        <f t="shared" ca="1" si="652"/>
        <v>Depreciated Net Capex 2025-26</v>
      </c>
      <c r="C461" s="1426"/>
      <c r="D461" s="1426"/>
      <c r="E461" s="1426"/>
      <c r="F461" s="1426"/>
      <c r="G461" s="1426"/>
      <c r="H461" s="1426"/>
      <c r="I461" s="1426"/>
      <c r="J461" s="1426"/>
      <c r="K461" s="1426"/>
      <c r="L461" s="1427"/>
      <c r="M461" s="1428">
        <f>(M446*((1+M$11)^0.5)/M$10)</f>
        <v>0</v>
      </c>
      <c r="N461" s="1423">
        <f ca="1">IF(M485="n/a",M461,IFERROR(IF((OFFSET($C461,0,$A461))&lt;0,
MIN(0,M461-(OFFSET($C461,0,$A461)/(OFFSET($C456,-$A460,$A461)))),
MAX(0,M461-(OFFSET($C461,0,$A461)/(OFFSET($C456,-$A460,$A461))))),0))</f>
        <v>0</v>
      </c>
      <c r="O461" s="1423">
        <f t="shared" ca="1" si="642"/>
        <v>0</v>
      </c>
      <c r="P461" s="1423">
        <f t="shared" ca="1" si="643"/>
        <v>0</v>
      </c>
      <c r="Q461" s="1423">
        <f t="shared" ca="1" si="644"/>
        <v>0</v>
      </c>
      <c r="R461" s="1423">
        <f t="shared" ca="1" si="645"/>
        <v>0</v>
      </c>
      <c r="S461" s="1423">
        <f t="shared" ca="1" si="646"/>
        <v>0</v>
      </c>
      <c r="T461" s="1423">
        <f t="shared" ca="1" si="647"/>
        <v>0</v>
      </c>
      <c r="U461" s="1423">
        <f t="shared" ca="1" si="648"/>
        <v>0</v>
      </c>
      <c r="V461" s="1423">
        <f t="shared" ca="1" si="649"/>
        <v>0</v>
      </c>
      <c r="W461" s="1423">
        <f t="shared" ca="1" si="650"/>
        <v>0</v>
      </c>
      <c r="X461" s="202"/>
      <c r="Y461" s="202"/>
      <c r="Z461" s="202"/>
      <c r="AA461" s="152"/>
      <c r="AB461" s="152"/>
    </row>
    <row r="462" spans="1:28" hidden="1" outlineLevel="1">
      <c r="A462" s="199">
        <f t="shared" si="651"/>
        <v>11</v>
      </c>
      <c r="B462" s="190" t="str">
        <f t="shared" ca="1" si="652"/>
        <v>Depreciated Net Capex 2026-27</v>
      </c>
      <c r="C462" s="1426"/>
      <c r="D462" s="1426"/>
      <c r="E462" s="1426"/>
      <c r="F462" s="1426"/>
      <c r="G462" s="1426"/>
      <c r="H462" s="1426"/>
      <c r="I462" s="1426"/>
      <c r="J462" s="1426"/>
      <c r="K462" s="1426"/>
      <c r="L462" s="1426"/>
      <c r="M462" s="1427"/>
      <c r="N462" s="1428">
        <f>(N446*((1+N$11)^0.5)/N$10)</f>
        <v>0</v>
      </c>
      <c r="O462" s="1423">
        <f ca="1">IF(N486="n/a",N462,IFERROR(IF((OFFSET($C462,0,$A462))&lt;0,
MIN(0,N462-(OFFSET($C462,0,$A462)/(OFFSET($C457,-$A461,$A462)))),
MAX(0,N462-(OFFSET($C462,0,$A462)/(OFFSET($C457,-$A461,$A462))))),0))</f>
        <v>0</v>
      </c>
      <c r="P462" s="1423">
        <f t="shared" ca="1" si="643"/>
        <v>0</v>
      </c>
      <c r="Q462" s="1423">
        <f t="shared" ca="1" si="644"/>
        <v>0</v>
      </c>
      <c r="R462" s="1423">
        <f t="shared" ca="1" si="645"/>
        <v>0</v>
      </c>
      <c r="S462" s="1423">
        <f t="shared" ca="1" si="646"/>
        <v>0</v>
      </c>
      <c r="T462" s="1423">
        <f t="shared" ca="1" si="647"/>
        <v>0</v>
      </c>
      <c r="U462" s="1423">
        <f t="shared" ca="1" si="648"/>
        <v>0</v>
      </c>
      <c r="V462" s="1423">
        <f t="shared" ca="1" si="649"/>
        <v>0</v>
      </c>
      <c r="W462" s="1423">
        <f t="shared" ca="1" si="650"/>
        <v>0</v>
      </c>
      <c r="X462" s="202"/>
      <c r="Y462" s="202"/>
      <c r="Z462" s="202"/>
      <c r="AA462" s="152"/>
      <c r="AB462" s="152"/>
    </row>
    <row r="463" spans="1:28" hidden="1" outlineLevel="1">
      <c r="A463" s="199">
        <f t="shared" si="651"/>
        <v>12</v>
      </c>
      <c r="B463" s="190" t="str">
        <f t="shared" ca="1" si="652"/>
        <v>Depreciated Net Capex 2027-28</v>
      </c>
      <c r="C463" s="1426"/>
      <c r="D463" s="1426"/>
      <c r="E463" s="1426"/>
      <c r="F463" s="1426"/>
      <c r="G463" s="1426"/>
      <c r="H463" s="1426"/>
      <c r="I463" s="1426"/>
      <c r="J463" s="1426"/>
      <c r="K463" s="1426"/>
      <c r="L463" s="1426"/>
      <c r="M463" s="1426"/>
      <c r="N463" s="1427"/>
      <c r="O463" s="1428">
        <f>(O446*((1+O$11)^0.5)/O$10)</f>
        <v>0</v>
      </c>
      <c r="P463" s="1423">
        <f ca="1">IF(O487="n/a",O463,IFERROR(IF((OFFSET($C463,0,$A463))&lt;0,
MIN(0,O463-(OFFSET($C463,0,$A463)/(OFFSET($C458,-$A462,$A463)))),
MAX(0,O463-(OFFSET($C463,0,$A463)/(OFFSET($C458,-$A462,$A463))))),0))</f>
        <v>0</v>
      </c>
      <c r="Q463" s="1423">
        <f t="shared" ca="1" si="644"/>
        <v>0</v>
      </c>
      <c r="R463" s="1423">
        <f t="shared" ca="1" si="645"/>
        <v>0</v>
      </c>
      <c r="S463" s="1423">
        <f t="shared" ca="1" si="646"/>
        <v>0</v>
      </c>
      <c r="T463" s="1423">
        <f t="shared" ca="1" si="647"/>
        <v>0</v>
      </c>
      <c r="U463" s="1423">
        <f t="shared" ca="1" si="648"/>
        <v>0</v>
      </c>
      <c r="V463" s="1423">
        <f t="shared" ca="1" si="649"/>
        <v>0</v>
      </c>
      <c r="W463" s="1423">
        <f t="shared" ca="1" si="650"/>
        <v>0</v>
      </c>
      <c r="X463" s="202"/>
      <c r="Y463" s="202"/>
      <c r="Z463" s="202"/>
      <c r="AA463" s="152"/>
      <c r="AB463" s="152"/>
    </row>
    <row r="464" spans="1:28" hidden="1" outlineLevel="1">
      <c r="A464" s="199">
        <f t="shared" si="651"/>
        <v>13</v>
      </c>
      <c r="B464" s="190" t="str">
        <f t="shared" ca="1" si="652"/>
        <v>Depreciated Net Capex 2028-29</v>
      </c>
      <c r="C464" s="1426"/>
      <c r="D464" s="1426"/>
      <c r="E464" s="1426"/>
      <c r="F464" s="1426"/>
      <c r="G464" s="1426"/>
      <c r="H464" s="1426"/>
      <c r="I464" s="1426"/>
      <c r="J464" s="1426"/>
      <c r="K464" s="1426"/>
      <c r="L464" s="1426"/>
      <c r="M464" s="1426"/>
      <c r="N464" s="1426"/>
      <c r="O464" s="1427"/>
      <c r="P464" s="1428">
        <f>(P446*((1+P$11)^0.5)/P$10)</f>
        <v>0</v>
      </c>
      <c r="Q464" s="1423">
        <f ca="1">IF(P488="n/a",P464,IFERROR(IF((OFFSET($C464,0,$A464))&lt;0,
MIN(0,P464-(OFFSET($C464,0,$A464)/(OFFSET($C459,-$A463,$A464)))),
MAX(0,P464-(OFFSET($C464,0,$A464)/(OFFSET($C459,-$A463,$A464))))),0))</f>
        <v>0</v>
      </c>
      <c r="R464" s="1423">
        <f t="shared" ca="1" si="645"/>
        <v>0</v>
      </c>
      <c r="S464" s="1423">
        <f t="shared" ca="1" si="646"/>
        <v>0</v>
      </c>
      <c r="T464" s="1423">
        <f t="shared" ca="1" si="647"/>
        <v>0</v>
      </c>
      <c r="U464" s="1423">
        <f t="shared" ca="1" si="648"/>
        <v>0</v>
      </c>
      <c r="V464" s="1423">
        <f t="shared" ca="1" si="649"/>
        <v>0</v>
      </c>
      <c r="W464" s="1423">
        <f t="shared" ca="1" si="650"/>
        <v>0</v>
      </c>
      <c r="X464" s="202"/>
      <c r="Y464" s="202"/>
      <c r="Z464" s="202"/>
      <c r="AA464" s="152"/>
      <c r="AB464" s="152"/>
    </row>
    <row r="465" spans="1:28" hidden="1" outlineLevel="1">
      <c r="A465" s="199">
        <f t="shared" si="651"/>
        <v>14</v>
      </c>
      <c r="B465" s="190" t="str">
        <f t="shared" ca="1" si="652"/>
        <v>Depreciated Net Capex 2029-30</v>
      </c>
      <c r="C465" s="1426"/>
      <c r="D465" s="1426"/>
      <c r="E465" s="1426"/>
      <c r="F465" s="1426"/>
      <c r="G465" s="1426"/>
      <c r="H465" s="1426"/>
      <c r="I465" s="1426"/>
      <c r="J465" s="1426"/>
      <c r="K465" s="1426"/>
      <c r="L465" s="1426"/>
      <c r="M465" s="1426"/>
      <c r="N465" s="1426"/>
      <c r="O465" s="1426"/>
      <c r="P465" s="1427"/>
      <c r="Q465" s="1428">
        <f>(Q446*((1+Q$11)^0.5)/Q$10)</f>
        <v>0</v>
      </c>
      <c r="R465" s="1423">
        <f ca="1">IF(Q489="n/a",Q465,IFERROR(IF((OFFSET($C465,0,$A465))&lt;0,
MIN(0,Q465-(OFFSET($C465,0,$A465)/(OFFSET($C460,-$A464,$A465)))),
MAX(0,Q465-(OFFSET($C465,0,$A465)/(OFFSET($C460,-$A464,$A465))))),0))</f>
        <v>0</v>
      </c>
      <c r="S465" s="1423">
        <f t="shared" ca="1" si="646"/>
        <v>0</v>
      </c>
      <c r="T465" s="1423">
        <f t="shared" ca="1" si="647"/>
        <v>0</v>
      </c>
      <c r="U465" s="1423">
        <f t="shared" ca="1" si="648"/>
        <v>0</v>
      </c>
      <c r="V465" s="1423">
        <f t="shared" ca="1" si="649"/>
        <v>0</v>
      </c>
      <c r="W465" s="1423">
        <f t="shared" ca="1" si="650"/>
        <v>0</v>
      </c>
      <c r="X465" s="202"/>
      <c r="Y465" s="202"/>
      <c r="Z465" s="202"/>
      <c r="AA465" s="152"/>
      <c r="AB465" s="152"/>
    </row>
    <row r="466" spans="1:28" hidden="1" outlineLevel="1">
      <c r="A466" s="199">
        <f t="shared" si="651"/>
        <v>15</v>
      </c>
      <c r="B466" s="190" t="str">
        <f t="shared" ca="1" si="652"/>
        <v>Depreciated Net Capex 2030-31</v>
      </c>
      <c r="C466" s="1426"/>
      <c r="D466" s="1426"/>
      <c r="E466" s="1426"/>
      <c r="F466" s="1426"/>
      <c r="G466" s="1426"/>
      <c r="H466" s="1426"/>
      <c r="I466" s="1426"/>
      <c r="J466" s="1426"/>
      <c r="K466" s="1426"/>
      <c r="L466" s="1426"/>
      <c r="M466" s="1426"/>
      <c r="N466" s="1426"/>
      <c r="O466" s="1426"/>
      <c r="P466" s="1426"/>
      <c r="Q466" s="1427"/>
      <c r="R466" s="1428">
        <f>(R446*((1+R$11)^0.5)/R$10)</f>
        <v>0</v>
      </c>
      <c r="S466" s="1423">
        <f ca="1">IF(R490="n/a",R466,IFERROR(IF((OFFSET($C466,0,$A466))&lt;0,
MIN(0,R466-(OFFSET($C466,0,$A466)/(OFFSET($C461,-$A465,$A466)))),
MAX(0,R466-(OFFSET($C466,0,$A466)/(OFFSET($C461,-$A465,$A466))))),0))</f>
        <v>0</v>
      </c>
      <c r="T466" s="1423">
        <f t="shared" ca="1" si="647"/>
        <v>0</v>
      </c>
      <c r="U466" s="1423">
        <f t="shared" ca="1" si="648"/>
        <v>0</v>
      </c>
      <c r="V466" s="1423">
        <f t="shared" ca="1" si="649"/>
        <v>0</v>
      </c>
      <c r="W466" s="1423">
        <f t="shared" ca="1" si="650"/>
        <v>0</v>
      </c>
      <c r="X466" s="202"/>
      <c r="Y466" s="202"/>
      <c r="Z466" s="202"/>
      <c r="AA466" s="152"/>
      <c r="AB466" s="152"/>
    </row>
    <row r="467" spans="1:28" hidden="1" outlineLevel="1">
      <c r="A467" s="199">
        <f t="shared" si="651"/>
        <v>16</v>
      </c>
      <c r="B467" s="190" t="str">
        <f t="shared" ca="1" si="652"/>
        <v>Depreciated Net Capex 2031-32</v>
      </c>
      <c r="C467" s="1426"/>
      <c r="D467" s="1426"/>
      <c r="E467" s="1426"/>
      <c r="F467" s="1426"/>
      <c r="G467" s="1426"/>
      <c r="H467" s="1426"/>
      <c r="I467" s="1426"/>
      <c r="J467" s="1426"/>
      <c r="K467" s="1426"/>
      <c r="L467" s="1426"/>
      <c r="M467" s="1426"/>
      <c r="N467" s="1426"/>
      <c r="O467" s="1426"/>
      <c r="P467" s="1426"/>
      <c r="Q467" s="1426"/>
      <c r="R467" s="1427"/>
      <c r="S467" s="1428">
        <f>(S446*((1+S$11)^0.5)/S$10)</f>
        <v>0</v>
      </c>
      <c r="T467" s="1423">
        <f ca="1">IF(S491="n/a",S467,IFERROR(IF((OFFSET($C467,0,$A467))&lt;0,
MIN(0,S467-(OFFSET($C467,0,$A467)/(OFFSET($C462,-$A466,$A467)))),
MAX(0,S467-(OFFSET($C467,0,$A467)/(OFFSET($C462,-$A466,$A467))))),0))</f>
        <v>0</v>
      </c>
      <c r="U467" s="1423">
        <f t="shared" ca="1" si="648"/>
        <v>0</v>
      </c>
      <c r="V467" s="1423">
        <f t="shared" ca="1" si="649"/>
        <v>0</v>
      </c>
      <c r="W467" s="1423">
        <f t="shared" ca="1" si="650"/>
        <v>0</v>
      </c>
      <c r="X467" s="202"/>
      <c r="Y467" s="202"/>
      <c r="Z467" s="202"/>
      <c r="AA467" s="152"/>
      <c r="AB467" s="152"/>
    </row>
    <row r="468" spans="1:28" hidden="1" outlineLevel="1">
      <c r="A468" s="199">
        <f t="shared" si="651"/>
        <v>17</v>
      </c>
      <c r="B468" s="190" t="str">
        <f t="shared" ca="1" si="652"/>
        <v>Depreciated Net Capex 2032-33</v>
      </c>
      <c r="C468" s="1426"/>
      <c r="D468" s="1426"/>
      <c r="E468" s="1426"/>
      <c r="F468" s="1426"/>
      <c r="G468" s="1426"/>
      <c r="H468" s="1426"/>
      <c r="I468" s="1426"/>
      <c r="J468" s="1426"/>
      <c r="K468" s="1426"/>
      <c r="L468" s="1426"/>
      <c r="M468" s="1426"/>
      <c r="N468" s="1426"/>
      <c r="O468" s="1426"/>
      <c r="P468" s="1426"/>
      <c r="Q468" s="1426"/>
      <c r="R468" s="1426"/>
      <c r="S468" s="1427"/>
      <c r="T468" s="1428">
        <f>(T446*((1+T$11)^0.5)/T$10)</f>
        <v>0</v>
      </c>
      <c r="U468" s="1423">
        <f ca="1">IF(T492="n/a",T468,IFERROR(IF((OFFSET($C468,0,$A468))&lt;0,
MIN(0,T468-(OFFSET($C468,0,$A468)/(OFFSET($C463,-$A467,$A468)))),
MAX(0,T468-(OFFSET($C468,0,$A468)/(OFFSET($C463,-$A467,$A468))))),0))</f>
        <v>0</v>
      </c>
      <c r="V468" s="1423">
        <f t="shared" ca="1" si="649"/>
        <v>0</v>
      </c>
      <c r="W468" s="1423">
        <f t="shared" ca="1" si="650"/>
        <v>0</v>
      </c>
      <c r="X468" s="202"/>
      <c r="Y468" s="202"/>
      <c r="Z468" s="202"/>
      <c r="AA468" s="152"/>
      <c r="AB468" s="152"/>
    </row>
    <row r="469" spans="1:28" hidden="1" outlineLevel="1">
      <c r="A469" s="199">
        <f t="shared" si="651"/>
        <v>18</v>
      </c>
      <c r="B469" s="190" t="str">
        <f t="shared" ca="1" si="652"/>
        <v>Depreciated Net Capex 2033-34</v>
      </c>
      <c r="C469" s="1426"/>
      <c r="D469" s="1426"/>
      <c r="E469" s="1426"/>
      <c r="F469" s="1426"/>
      <c r="G469" s="1426"/>
      <c r="H469" s="1426"/>
      <c r="I469" s="1426"/>
      <c r="J469" s="1426"/>
      <c r="K469" s="1426"/>
      <c r="L469" s="1426"/>
      <c r="M469" s="1426"/>
      <c r="N469" s="1426"/>
      <c r="O469" s="1426"/>
      <c r="P469" s="1426"/>
      <c r="Q469" s="1426"/>
      <c r="R469" s="1426"/>
      <c r="S469" s="1426"/>
      <c r="T469" s="1427"/>
      <c r="U469" s="1428">
        <f>(U446*((1+U$11)^0.5)/U$10)</f>
        <v>0</v>
      </c>
      <c r="V469" s="1423">
        <f ca="1">IF(U493="n/a",U469,IFERROR(IF((OFFSET($C469,0,$A469))&lt;0,
MIN(0,U469-(OFFSET($C469,0,$A469)/(OFFSET($C464,-$A468,$A469)))),
MAX(0,U469-(OFFSET($C469,0,$A469)/(OFFSET($C464,-$A468,$A469))))),0))</f>
        <v>0</v>
      </c>
      <c r="W469" s="1423">
        <f t="shared" ca="1" si="650"/>
        <v>0</v>
      </c>
      <c r="X469" s="202"/>
      <c r="Y469" s="202"/>
      <c r="Z469" s="202"/>
      <c r="AA469" s="152"/>
      <c r="AB469" s="152"/>
    </row>
    <row r="470" spans="1:28" hidden="1" outlineLevel="1">
      <c r="A470" s="199">
        <f t="shared" si="651"/>
        <v>19</v>
      </c>
      <c r="B470" s="190" t="str">
        <f t="shared" ca="1" si="652"/>
        <v>Depreciated Net Capex 2034-35</v>
      </c>
      <c r="C470" s="1426"/>
      <c r="D470" s="1426"/>
      <c r="E470" s="1426"/>
      <c r="F470" s="1426"/>
      <c r="G470" s="1426"/>
      <c r="H470" s="1426"/>
      <c r="I470" s="1426"/>
      <c r="J470" s="1426"/>
      <c r="K470" s="1426"/>
      <c r="L470" s="1426"/>
      <c r="M470" s="1426"/>
      <c r="N470" s="1426"/>
      <c r="O470" s="1426"/>
      <c r="P470" s="1426"/>
      <c r="Q470" s="1426"/>
      <c r="R470" s="1426"/>
      <c r="S470" s="1426"/>
      <c r="T470" s="1426"/>
      <c r="U470" s="1427"/>
      <c r="V470" s="1428">
        <f>(V446*((1+V$11)^0.5)/V$10)</f>
        <v>0</v>
      </c>
      <c r="W470" s="1423">
        <f ca="1">IF(V494="n/a",V470,IFERROR(IF((OFFSET($C470,0,$A470))&lt;0,
MIN(0,V470-(OFFSET($C470,0,$A470)/(OFFSET($C465,-$A469,$A470)))),
MAX(0,V470-(OFFSET($C470,0,$A470)/(OFFSET($C465,-$A469,$A470))))),0))</f>
        <v>0</v>
      </c>
      <c r="X470" s="202"/>
      <c r="Y470" s="202"/>
      <c r="Z470" s="202"/>
      <c r="AA470" s="152"/>
      <c r="AB470" s="152"/>
    </row>
    <row r="471" spans="1:28" hidden="1" outlineLevel="1">
      <c r="A471" s="199">
        <f t="shared" si="651"/>
        <v>20</v>
      </c>
      <c r="B471" s="190" t="str">
        <f ca="1">"Depreciated Net Capex "&amp;OFFSET($C$6,0,A471)</f>
        <v>Depreciated Net Capex 2035-36</v>
      </c>
      <c r="C471" s="1426"/>
      <c r="D471" s="1426"/>
      <c r="E471" s="1426"/>
      <c r="F471" s="1426"/>
      <c r="G471" s="1426"/>
      <c r="H471" s="1426"/>
      <c r="I471" s="1426"/>
      <c r="J471" s="1426"/>
      <c r="K471" s="1426"/>
      <c r="L471" s="1426"/>
      <c r="M471" s="1426"/>
      <c r="N471" s="1426"/>
      <c r="O471" s="1426"/>
      <c r="P471" s="1426"/>
      <c r="Q471" s="1426"/>
      <c r="R471" s="1426"/>
      <c r="S471" s="1426"/>
      <c r="T471" s="1426"/>
      <c r="U471" s="1426"/>
      <c r="V471" s="1427"/>
      <c r="W471" s="1423">
        <f>(W446*((1+W$11)^0.5)/W$10)</f>
        <v>0</v>
      </c>
      <c r="X471" s="152"/>
      <c r="Y471" s="152"/>
      <c r="Z471" s="152"/>
      <c r="AA471" s="152"/>
      <c r="AB471" s="152"/>
    </row>
    <row r="472" spans="1:28" hidden="1" outlineLevel="1">
      <c r="A472" s="152"/>
      <c r="B472" s="200"/>
      <c r="C472" s="1423"/>
      <c r="D472" s="1423"/>
      <c r="E472" s="1423"/>
      <c r="F472" s="1423"/>
      <c r="G472" s="1423"/>
      <c r="H472" s="1423"/>
      <c r="I472" s="1423"/>
      <c r="J472" s="1423"/>
      <c r="K472" s="1423"/>
      <c r="L472" s="1423"/>
      <c r="M472" s="1423"/>
      <c r="N472" s="1423"/>
      <c r="O472" s="1423"/>
      <c r="P472" s="1423"/>
      <c r="Q472" s="1423"/>
      <c r="R472" s="1423"/>
      <c r="S472" s="1423"/>
      <c r="T472" s="1423"/>
      <c r="U472" s="1423"/>
      <c r="V472" s="1423"/>
      <c r="W472" s="1423"/>
      <c r="X472" s="152"/>
      <c r="Y472" s="152"/>
      <c r="Z472" s="152"/>
      <c r="AA472" s="152"/>
      <c r="AB472" s="152"/>
    </row>
    <row r="473" spans="1:28" hidden="1" outlineLevel="1">
      <c r="A473" s="152"/>
      <c r="B473" s="200"/>
      <c r="C473" s="1423"/>
      <c r="D473" s="1423"/>
      <c r="E473" s="1423"/>
      <c r="F473" s="1423"/>
      <c r="G473" s="1423"/>
      <c r="H473" s="1423"/>
      <c r="I473" s="1423"/>
      <c r="J473" s="1423"/>
      <c r="K473" s="1423"/>
      <c r="L473" s="1423"/>
      <c r="M473" s="1423"/>
      <c r="N473" s="1423"/>
      <c r="O473" s="1423"/>
      <c r="P473" s="1423"/>
      <c r="Q473" s="1423"/>
      <c r="R473" s="1423"/>
      <c r="S473" s="1423"/>
      <c r="T473" s="1423"/>
      <c r="U473" s="1423"/>
      <c r="V473" s="1423"/>
      <c r="W473" s="1423"/>
      <c r="X473" s="152"/>
      <c r="Y473" s="152"/>
      <c r="Z473" s="152"/>
      <c r="AA473" s="152"/>
      <c r="AB473" s="152"/>
    </row>
    <row r="474" spans="1:28" hidden="1" outlineLevel="1">
      <c r="A474" s="152"/>
      <c r="B474" s="190" t="s">
        <v>190</v>
      </c>
      <c r="C474" s="1423"/>
      <c r="D474" s="1423">
        <f ca="1">IF(AND(C474&lt;1,D448=0),0,
IF(D448=0,C474-1,
IF(C474&lt;1,D449,
(((C474-1)*(C450-(C450/(C474))))+((D448/D$10)*D449))/(D450))))</f>
        <v>0</v>
      </c>
      <c r="E474" s="1423">
        <f t="shared" ref="E474" ca="1" si="653">IF(AND(D474&lt;1,E448=0),0,
IF(E448=0,D474-1,
IF(D474&lt;1,E449,
(((D474-1)*(D450-(D450/(D474))))+((E448/E$10)*E449))/(E450))))</f>
        <v>0</v>
      </c>
      <c r="F474" s="1423">
        <f t="shared" ref="F474" ca="1" si="654">IF(AND(E474&lt;1,F448=0),0,
IF(F448=0,E474-1,
IF(E474&lt;1,F449,
(((E474-1)*(E450-(E450/(E474))))+((F448/F$10)*F449))/(F450))))</f>
        <v>0</v>
      </c>
      <c r="G474" s="1423">
        <f t="shared" ref="G474" ca="1" si="655">IF(AND(F474&lt;1,G448=0),0,
IF(G448=0,F474-1,
IF(F474&lt;1,G449,
(((F474-1)*(F450-(F450/(F474))))+((G448/G$10)*G449))/(G450))))</f>
        <v>0</v>
      </c>
      <c r="H474" s="1423">
        <f t="shared" ref="H474" ca="1" si="656">IF(AND(G474&lt;1,H448=0),0,
IF(H448=0,G474-1,
IF(G474&lt;1,H449,
(((G474-1)*(G450-(G450/(G474))))+((H448/H$10)*H449))/(H450))))</f>
        <v>0</v>
      </c>
      <c r="I474" s="1423">
        <f t="shared" ref="I474" ca="1" si="657">IF(AND(H474&lt;1,I448=0),0,
IF(I448=0,H474-1,
IF(H474&lt;1,I449,
(((H474-1)*(H450-(H450/(H474))))+((I448/I$10)*I449))/(I450))))</f>
        <v>0</v>
      </c>
      <c r="J474" s="1423">
        <f t="shared" ref="J474" ca="1" si="658">IF(AND(I474&lt;1,J448=0),0,
IF(J448=0,I474-1,
IF(I474&lt;1,J449,
(((I474-1)*(I450-(I450/(I474))))+((J448/J$10)*J449))/(J450))))</f>
        <v>0</v>
      </c>
      <c r="K474" s="1423">
        <f t="shared" ref="K474" ca="1" si="659">IF(AND(J474&lt;1,K448=0),0,
IF(K448=0,J474-1,
IF(J474&lt;1,K449,
(((J474-1)*(J450-(J450/(J474))))+((K448/K$10)*K449))/(K450))))</f>
        <v>0</v>
      </c>
      <c r="L474" s="1423">
        <f t="shared" ref="L474" ca="1" si="660">IF(AND(K474&lt;1,L448=0),0,
IF(L448=0,K474-1,
IF(K474&lt;1,L449,
(((K474-1)*(K450-(K450/(K474))))+((L448/L$10)*L449))/(L450))))</f>
        <v>0</v>
      </c>
      <c r="M474" s="1423">
        <f t="shared" ref="M474" ca="1" si="661">IF(AND(L474&lt;1,M448=0),0,
IF(M448=0,L474-1,
IF(L474&lt;1,M449,
(((L474-1)*(L450-(L450/(L474))))+((M448/M$10)*M449))/(M450))))</f>
        <v>0</v>
      </c>
      <c r="N474" s="1423">
        <f t="shared" ref="N474" ca="1" si="662">IF(AND(M474&lt;1,N448=0),0,
IF(N448=0,M474-1,
IF(M474&lt;1,N449,
(((M474-1)*(M450-(M450/(M474))))+((N448/N$10)*N449))/(N450))))</f>
        <v>0</v>
      </c>
      <c r="O474" s="1423">
        <f t="shared" ref="O474" ca="1" si="663">IF(AND(N474&lt;1,O448=0),0,
IF(O448=0,N474-1,
IF(N474&lt;1,O449,
(((N474-1)*(N450-(N450/(N474))))+((O448/O$10)*O449))/(O450))))</f>
        <v>0</v>
      </c>
      <c r="P474" s="1423">
        <f t="shared" ref="P474" ca="1" si="664">IF(AND(O474&lt;1,P448=0),0,
IF(P448=0,O474-1,
IF(O474&lt;1,P449,
(((O474-1)*(O450-(O450/(O474))))+((P448/P$10)*P449))/(P450))))</f>
        <v>0</v>
      </c>
      <c r="Q474" s="1423">
        <f t="shared" ref="Q474" ca="1" si="665">IF(AND(P474&lt;1,Q448=0),0,
IF(Q448=0,P474-1,
IF(P474&lt;1,Q449,
(((P474-1)*(P450-(P450/(P474))))+((Q448/Q$10)*Q449))/(Q450))))</f>
        <v>0</v>
      </c>
      <c r="R474" s="1423">
        <f t="shared" ref="R474" ca="1" si="666">IF(AND(Q474&lt;1,R448=0),0,
IF(R448=0,Q474-1,
IF(Q474&lt;1,R449,
(((Q474-1)*(Q450-(Q450/(Q474))))+((R448/R$10)*R449))/(R450))))</f>
        <v>0</v>
      </c>
      <c r="S474" s="1423">
        <f t="shared" ref="S474" ca="1" si="667">IF(AND(R474&lt;1,S448=0),0,
IF(S448=0,R474-1,
IF(R474&lt;1,S449,
(((R474-1)*(R450-(R450/(R474))))+((S448/S$10)*S449))/(S450))))</f>
        <v>0</v>
      </c>
      <c r="T474" s="1423">
        <f t="shared" ref="T474" ca="1" si="668">IF(AND(S474&lt;1,T448=0),0,
IF(T448=0,S474-1,
IF(S474&lt;1,T449,
(((S474-1)*(S450-(S450/(S474))))+((T448/T$10)*T449))/(T450))))</f>
        <v>0</v>
      </c>
      <c r="U474" s="1423">
        <f t="shared" ref="U474" ca="1" si="669">IF(AND(T474&lt;1,U448=0),0,
IF(U448=0,T474-1,
IF(T474&lt;1,U449,
(((T474-1)*(T450-(T450/(T474))))+((U448/U$10)*U449))/(U450))))</f>
        <v>0</v>
      </c>
      <c r="V474" s="1423">
        <f t="shared" ref="V474" ca="1" si="670">IF(AND(U474&lt;1,V448=0),0,
IF(V448=0,U474-1,
IF(U474&lt;1,V449,
(((U474-1)*(U450-(U450/(U474))))+((V448/V$10)*V449))/(V450))))</f>
        <v>0</v>
      </c>
      <c r="W474" s="1423">
        <f t="shared" ref="W474" ca="1" si="671">IF(AND(V474&lt;1,W448=0),0,
IF(W448=0,V474-1,
IF(V474&lt;1,W449,
(((V474-1)*(V450-(V450/(V474))))+((W448/W$10)*W449))/(W450))))</f>
        <v>0</v>
      </c>
      <c r="X474" s="152"/>
      <c r="Y474" s="152"/>
      <c r="Z474" s="152"/>
      <c r="AA474" s="152"/>
      <c r="AB474" s="152"/>
    </row>
    <row r="475" spans="1:28" hidden="1" outlineLevel="1">
      <c r="A475" s="152"/>
      <c r="B475" s="190" t="s">
        <v>122</v>
      </c>
      <c r="C475" s="1423">
        <f ca="1">C447</f>
        <v>0</v>
      </c>
      <c r="D475" s="1423">
        <f t="shared" ref="D475" ca="1" si="672">IF(C475="n/a","n/a",MAX(0,C475-1))</f>
        <v>0</v>
      </c>
      <c r="E475" s="1423">
        <f t="shared" ref="E475:E476" ca="1" si="673">IF(D475="n/a","n/a",MAX(0,D475-1))</f>
        <v>0</v>
      </c>
      <c r="F475" s="1423">
        <f t="shared" ref="F475:F477" ca="1" si="674">IF(E475="n/a","n/a",MAX(0,E475-1))</f>
        <v>0</v>
      </c>
      <c r="G475" s="1423">
        <f t="shared" ref="G475:G478" ca="1" si="675">IF(F475="n/a","n/a",MAX(0,F475-1))</f>
        <v>0</v>
      </c>
      <c r="H475" s="1423">
        <f t="shared" ref="H475:H479" ca="1" si="676">IF(G475="n/a","n/a",MAX(0,G475-1))</f>
        <v>0</v>
      </c>
      <c r="I475" s="1423">
        <f t="shared" ref="I475:I480" ca="1" si="677">IF(H475="n/a","n/a",MAX(0,H475-1))</f>
        <v>0</v>
      </c>
      <c r="J475" s="1423">
        <f t="shared" ref="J475:J481" ca="1" si="678">IF(I475="n/a","n/a",MAX(0,I475-1))</f>
        <v>0</v>
      </c>
      <c r="K475" s="1423">
        <f t="shared" ref="K475:K482" ca="1" si="679">IF(J475="n/a","n/a",MAX(0,J475-1))</f>
        <v>0</v>
      </c>
      <c r="L475" s="1423">
        <f t="shared" ref="L475:L483" ca="1" si="680">IF(K475="n/a","n/a",MAX(0,K475-1))</f>
        <v>0</v>
      </c>
      <c r="M475" s="1423">
        <f t="shared" ref="M475:M484" ca="1" si="681">IF(L475="n/a","n/a",MAX(0,L475-1))</f>
        <v>0</v>
      </c>
      <c r="N475" s="1423">
        <f t="shared" ref="N475:N485" ca="1" si="682">IF(M475="n/a","n/a",MAX(0,M475-1))</f>
        <v>0</v>
      </c>
      <c r="O475" s="1423">
        <f t="shared" ref="O475:O486" ca="1" si="683">IF(N475="n/a","n/a",MAX(0,N475-1))</f>
        <v>0</v>
      </c>
      <c r="P475" s="1423">
        <f t="shared" ref="P475:P487" ca="1" si="684">IF(O475="n/a","n/a",MAX(0,O475-1))</f>
        <v>0</v>
      </c>
      <c r="Q475" s="1423">
        <f t="shared" ref="Q475:Q488" ca="1" si="685">IF(P475="n/a","n/a",MAX(0,P475-1))</f>
        <v>0</v>
      </c>
      <c r="R475" s="1423">
        <f t="shared" ref="R475:R489" ca="1" si="686">IF(Q475="n/a","n/a",MAX(0,Q475-1))</f>
        <v>0</v>
      </c>
      <c r="S475" s="1423">
        <f t="shared" ref="S475:S490" ca="1" si="687">IF(R475="n/a","n/a",MAX(0,R475-1))</f>
        <v>0</v>
      </c>
      <c r="T475" s="1423">
        <f t="shared" ref="T475:T491" ca="1" si="688">IF(S475="n/a","n/a",MAX(0,S475-1))</f>
        <v>0</v>
      </c>
      <c r="U475" s="1423">
        <f t="shared" ref="U475:U492" ca="1" si="689">IF(T475="n/a","n/a",MAX(0,T475-1))</f>
        <v>0</v>
      </c>
      <c r="V475" s="1423">
        <f t="shared" ref="V475:V493" ca="1" si="690">IF(U475="n/a","n/a",MAX(0,U475-1))</f>
        <v>0</v>
      </c>
      <c r="W475" s="1423">
        <f t="shared" ref="W475:W493" ca="1" si="691">IF(V475="n/a","n/a",MAX(0,V475-1))</f>
        <v>0</v>
      </c>
      <c r="X475" s="152"/>
      <c r="Y475" s="152"/>
      <c r="Z475" s="152"/>
      <c r="AA475" s="152"/>
      <c r="AB475" s="152"/>
    </row>
    <row r="476" spans="1:28" hidden="1" outlineLevel="1">
      <c r="A476" s="152"/>
      <c r="B476" s="190" t="str">
        <f t="shared" ref="B476:B495" ca="1" si="692">"RL Capex "&amp;OFFSET($C$6,0,A452)</f>
        <v>RL Capex 2016-17</v>
      </c>
      <c r="C476" s="1424"/>
      <c r="D476" s="1428">
        <f>D447</f>
        <v>0</v>
      </c>
      <c r="E476" s="1423">
        <f t="shared" si="673"/>
        <v>0</v>
      </c>
      <c r="F476" s="1423">
        <f t="shared" si="674"/>
        <v>0</v>
      </c>
      <c r="G476" s="1423">
        <f t="shared" si="675"/>
        <v>0</v>
      </c>
      <c r="H476" s="1423">
        <f t="shared" si="676"/>
        <v>0</v>
      </c>
      <c r="I476" s="1423">
        <f t="shared" si="677"/>
        <v>0</v>
      </c>
      <c r="J476" s="1423">
        <f t="shared" si="678"/>
        <v>0</v>
      </c>
      <c r="K476" s="1423">
        <f t="shared" si="679"/>
        <v>0</v>
      </c>
      <c r="L476" s="1423">
        <f t="shared" si="680"/>
        <v>0</v>
      </c>
      <c r="M476" s="1423">
        <f t="shared" si="681"/>
        <v>0</v>
      </c>
      <c r="N476" s="1423">
        <f t="shared" si="682"/>
        <v>0</v>
      </c>
      <c r="O476" s="1423">
        <f t="shared" si="683"/>
        <v>0</v>
      </c>
      <c r="P476" s="1423">
        <f t="shared" si="684"/>
        <v>0</v>
      </c>
      <c r="Q476" s="1423">
        <f t="shared" si="685"/>
        <v>0</v>
      </c>
      <c r="R476" s="1423">
        <f t="shared" si="686"/>
        <v>0</v>
      </c>
      <c r="S476" s="1423">
        <f t="shared" si="687"/>
        <v>0</v>
      </c>
      <c r="T476" s="1423">
        <f t="shared" si="688"/>
        <v>0</v>
      </c>
      <c r="U476" s="1423">
        <f t="shared" si="689"/>
        <v>0</v>
      </c>
      <c r="V476" s="1423">
        <f t="shared" si="690"/>
        <v>0</v>
      </c>
      <c r="W476" s="1423">
        <f t="shared" si="691"/>
        <v>0</v>
      </c>
      <c r="X476" s="152"/>
      <c r="Y476" s="152"/>
      <c r="Z476" s="152"/>
      <c r="AA476" s="152"/>
      <c r="AB476" s="152"/>
    </row>
    <row r="477" spans="1:28" hidden="1" outlineLevel="1">
      <c r="A477" s="152"/>
      <c r="B477" s="190" t="str">
        <f t="shared" ca="1" si="692"/>
        <v>RL Capex 2017-18</v>
      </c>
      <c r="C477" s="1429"/>
      <c r="D477" s="1424"/>
      <c r="E477" s="1428">
        <f>E447</f>
        <v>0</v>
      </c>
      <c r="F477" s="1423">
        <f t="shared" si="674"/>
        <v>0</v>
      </c>
      <c r="G477" s="1423">
        <f t="shared" si="675"/>
        <v>0</v>
      </c>
      <c r="H477" s="1423">
        <f t="shared" si="676"/>
        <v>0</v>
      </c>
      <c r="I477" s="1423">
        <f t="shared" si="677"/>
        <v>0</v>
      </c>
      <c r="J477" s="1423">
        <f t="shared" si="678"/>
        <v>0</v>
      </c>
      <c r="K477" s="1423">
        <f t="shared" si="679"/>
        <v>0</v>
      </c>
      <c r="L477" s="1423">
        <f t="shared" si="680"/>
        <v>0</v>
      </c>
      <c r="M477" s="1423">
        <f t="shared" si="681"/>
        <v>0</v>
      </c>
      <c r="N477" s="1423">
        <f t="shared" si="682"/>
        <v>0</v>
      </c>
      <c r="O477" s="1423">
        <f t="shared" si="683"/>
        <v>0</v>
      </c>
      <c r="P477" s="1423">
        <f t="shared" si="684"/>
        <v>0</v>
      </c>
      <c r="Q477" s="1423">
        <f t="shared" si="685"/>
        <v>0</v>
      </c>
      <c r="R477" s="1423">
        <f t="shared" si="686"/>
        <v>0</v>
      </c>
      <c r="S477" s="1423">
        <f t="shared" si="687"/>
        <v>0</v>
      </c>
      <c r="T477" s="1423">
        <f t="shared" si="688"/>
        <v>0</v>
      </c>
      <c r="U477" s="1423">
        <f t="shared" si="689"/>
        <v>0</v>
      </c>
      <c r="V477" s="1423">
        <f t="shared" si="690"/>
        <v>0</v>
      </c>
      <c r="W477" s="1423">
        <f t="shared" si="691"/>
        <v>0</v>
      </c>
      <c r="X477" s="152"/>
      <c r="Y477" s="152"/>
      <c r="Z477" s="152"/>
      <c r="AA477" s="152"/>
      <c r="AB477" s="152"/>
    </row>
    <row r="478" spans="1:28" hidden="1" outlineLevel="1">
      <c r="A478" s="152"/>
      <c r="B478" s="190" t="str">
        <f t="shared" ca="1" si="692"/>
        <v>RL Capex 2018-19</v>
      </c>
      <c r="C478" s="1429"/>
      <c r="D478" s="1429"/>
      <c r="E478" s="1424"/>
      <c r="F478" s="1428">
        <f>F447</f>
        <v>0</v>
      </c>
      <c r="G478" s="1423">
        <f t="shared" si="675"/>
        <v>0</v>
      </c>
      <c r="H478" s="1423">
        <f t="shared" si="676"/>
        <v>0</v>
      </c>
      <c r="I478" s="1423">
        <f t="shared" si="677"/>
        <v>0</v>
      </c>
      <c r="J478" s="1423">
        <f t="shared" si="678"/>
        <v>0</v>
      </c>
      <c r="K478" s="1423">
        <f t="shared" si="679"/>
        <v>0</v>
      </c>
      <c r="L478" s="1423">
        <f t="shared" si="680"/>
        <v>0</v>
      </c>
      <c r="M478" s="1423">
        <f t="shared" si="681"/>
        <v>0</v>
      </c>
      <c r="N478" s="1423">
        <f t="shared" si="682"/>
        <v>0</v>
      </c>
      <c r="O478" s="1423">
        <f t="shared" si="683"/>
        <v>0</v>
      </c>
      <c r="P478" s="1423">
        <f t="shared" si="684"/>
        <v>0</v>
      </c>
      <c r="Q478" s="1423">
        <f t="shared" si="685"/>
        <v>0</v>
      </c>
      <c r="R478" s="1423">
        <f t="shared" si="686"/>
        <v>0</v>
      </c>
      <c r="S478" s="1423">
        <f t="shared" si="687"/>
        <v>0</v>
      </c>
      <c r="T478" s="1423">
        <f t="shared" si="688"/>
        <v>0</v>
      </c>
      <c r="U478" s="1423">
        <f t="shared" si="689"/>
        <v>0</v>
      </c>
      <c r="V478" s="1423">
        <f t="shared" si="690"/>
        <v>0</v>
      </c>
      <c r="W478" s="1423">
        <f t="shared" si="691"/>
        <v>0</v>
      </c>
      <c r="X478" s="152"/>
      <c r="Y478" s="152"/>
      <c r="Z478" s="152"/>
      <c r="AA478" s="152"/>
      <c r="AB478" s="152"/>
    </row>
    <row r="479" spans="1:28" hidden="1" outlineLevel="1">
      <c r="A479" s="152"/>
      <c r="B479" s="190" t="str">
        <f t="shared" ca="1" si="692"/>
        <v>RL Capex 2019-20</v>
      </c>
      <c r="C479" s="1429"/>
      <c r="D479" s="1429"/>
      <c r="E479" s="1429"/>
      <c r="F479" s="1424"/>
      <c r="G479" s="1428">
        <f>G447</f>
        <v>0</v>
      </c>
      <c r="H479" s="1423">
        <f t="shared" si="676"/>
        <v>0</v>
      </c>
      <c r="I479" s="1423">
        <f t="shared" si="677"/>
        <v>0</v>
      </c>
      <c r="J479" s="1423">
        <f t="shared" si="678"/>
        <v>0</v>
      </c>
      <c r="K479" s="1423">
        <f t="shared" si="679"/>
        <v>0</v>
      </c>
      <c r="L479" s="1423">
        <f t="shared" si="680"/>
        <v>0</v>
      </c>
      <c r="M479" s="1423">
        <f t="shared" si="681"/>
        <v>0</v>
      </c>
      <c r="N479" s="1423">
        <f t="shared" si="682"/>
        <v>0</v>
      </c>
      <c r="O479" s="1423">
        <f t="shared" si="683"/>
        <v>0</v>
      </c>
      <c r="P479" s="1423">
        <f t="shared" si="684"/>
        <v>0</v>
      </c>
      <c r="Q479" s="1423">
        <f t="shared" si="685"/>
        <v>0</v>
      </c>
      <c r="R479" s="1423">
        <f t="shared" si="686"/>
        <v>0</v>
      </c>
      <c r="S479" s="1423">
        <f t="shared" si="687"/>
        <v>0</v>
      </c>
      <c r="T479" s="1423">
        <f t="shared" si="688"/>
        <v>0</v>
      </c>
      <c r="U479" s="1423">
        <f t="shared" si="689"/>
        <v>0</v>
      </c>
      <c r="V479" s="1423">
        <f t="shared" si="690"/>
        <v>0</v>
      </c>
      <c r="W479" s="1423">
        <f t="shared" si="691"/>
        <v>0</v>
      </c>
      <c r="X479" s="152"/>
      <c r="Y479" s="152"/>
      <c r="Z479" s="152"/>
      <c r="AA479" s="152"/>
      <c r="AB479" s="152"/>
    </row>
    <row r="480" spans="1:28" hidden="1" outlineLevel="1">
      <c r="A480" s="152"/>
      <c r="B480" s="190" t="str">
        <f t="shared" ca="1" si="692"/>
        <v>RL Capex 2020-21</v>
      </c>
      <c r="C480" s="1429"/>
      <c r="D480" s="1429"/>
      <c r="E480" s="1429"/>
      <c r="F480" s="1429"/>
      <c r="G480" s="1424"/>
      <c r="H480" s="1428">
        <f>H447</f>
        <v>0</v>
      </c>
      <c r="I480" s="1423">
        <f t="shared" si="677"/>
        <v>0</v>
      </c>
      <c r="J480" s="1423">
        <f t="shared" si="678"/>
        <v>0</v>
      </c>
      <c r="K480" s="1423">
        <f t="shared" si="679"/>
        <v>0</v>
      </c>
      <c r="L480" s="1423">
        <f t="shared" si="680"/>
        <v>0</v>
      </c>
      <c r="M480" s="1423">
        <f t="shared" si="681"/>
        <v>0</v>
      </c>
      <c r="N480" s="1423">
        <f t="shared" si="682"/>
        <v>0</v>
      </c>
      <c r="O480" s="1423">
        <f t="shared" si="683"/>
        <v>0</v>
      </c>
      <c r="P480" s="1423">
        <f t="shared" si="684"/>
        <v>0</v>
      </c>
      <c r="Q480" s="1423">
        <f t="shared" si="685"/>
        <v>0</v>
      </c>
      <c r="R480" s="1423">
        <f t="shared" si="686"/>
        <v>0</v>
      </c>
      <c r="S480" s="1423">
        <f t="shared" si="687"/>
        <v>0</v>
      </c>
      <c r="T480" s="1423">
        <f t="shared" si="688"/>
        <v>0</v>
      </c>
      <c r="U480" s="1423">
        <f t="shared" si="689"/>
        <v>0</v>
      </c>
      <c r="V480" s="1423">
        <f t="shared" si="690"/>
        <v>0</v>
      </c>
      <c r="W480" s="1423">
        <f t="shared" si="691"/>
        <v>0</v>
      </c>
      <c r="X480" s="152"/>
      <c r="Y480" s="152"/>
      <c r="Z480" s="152"/>
      <c r="AA480" s="152"/>
      <c r="AB480" s="152"/>
    </row>
    <row r="481" spans="1:28" hidden="1" outlineLevel="1">
      <c r="A481" s="152"/>
      <c r="B481" s="190" t="str">
        <f t="shared" ca="1" si="692"/>
        <v>RL Capex 2021-22</v>
      </c>
      <c r="C481" s="1429"/>
      <c r="D481" s="1429"/>
      <c r="E481" s="1429"/>
      <c r="F481" s="1429"/>
      <c r="G481" s="1429"/>
      <c r="H481" s="1424"/>
      <c r="I481" s="1428">
        <f>I447</f>
        <v>0</v>
      </c>
      <c r="J481" s="1423">
        <f t="shared" si="678"/>
        <v>0</v>
      </c>
      <c r="K481" s="1423">
        <f t="shared" si="679"/>
        <v>0</v>
      </c>
      <c r="L481" s="1423">
        <f t="shared" si="680"/>
        <v>0</v>
      </c>
      <c r="M481" s="1423">
        <f t="shared" si="681"/>
        <v>0</v>
      </c>
      <c r="N481" s="1423">
        <f t="shared" si="682"/>
        <v>0</v>
      </c>
      <c r="O481" s="1423">
        <f t="shared" si="683"/>
        <v>0</v>
      </c>
      <c r="P481" s="1423">
        <f t="shared" si="684"/>
        <v>0</v>
      </c>
      <c r="Q481" s="1423">
        <f t="shared" si="685"/>
        <v>0</v>
      </c>
      <c r="R481" s="1423">
        <f t="shared" si="686"/>
        <v>0</v>
      </c>
      <c r="S481" s="1423">
        <f t="shared" si="687"/>
        <v>0</v>
      </c>
      <c r="T481" s="1423">
        <f t="shared" si="688"/>
        <v>0</v>
      </c>
      <c r="U481" s="1423">
        <f t="shared" si="689"/>
        <v>0</v>
      </c>
      <c r="V481" s="1423">
        <f t="shared" si="690"/>
        <v>0</v>
      </c>
      <c r="W481" s="1423">
        <f t="shared" si="691"/>
        <v>0</v>
      </c>
      <c r="X481" s="152"/>
      <c r="Y481" s="152"/>
      <c r="Z481" s="152"/>
      <c r="AA481" s="152"/>
      <c r="AB481" s="152"/>
    </row>
    <row r="482" spans="1:28" hidden="1" outlineLevel="1">
      <c r="A482" s="152"/>
      <c r="B482" s="190" t="str">
        <f t="shared" ca="1" si="692"/>
        <v>RL Capex 2022-23</v>
      </c>
      <c r="C482" s="1429"/>
      <c r="D482" s="1429"/>
      <c r="E482" s="1429"/>
      <c r="F482" s="1429"/>
      <c r="G482" s="1429"/>
      <c r="H482" s="1429"/>
      <c r="I482" s="1424"/>
      <c r="J482" s="1428">
        <f>J447</f>
        <v>0</v>
      </c>
      <c r="K482" s="1423">
        <f t="shared" si="679"/>
        <v>0</v>
      </c>
      <c r="L482" s="1423">
        <f t="shared" si="680"/>
        <v>0</v>
      </c>
      <c r="M482" s="1423">
        <f t="shared" si="681"/>
        <v>0</v>
      </c>
      <c r="N482" s="1423">
        <f t="shared" si="682"/>
        <v>0</v>
      </c>
      <c r="O482" s="1423">
        <f t="shared" si="683"/>
        <v>0</v>
      </c>
      <c r="P482" s="1423">
        <f t="shared" si="684"/>
        <v>0</v>
      </c>
      <c r="Q482" s="1423">
        <f t="shared" si="685"/>
        <v>0</v>
      </c>
      <c r="R482" s="1423">
        <f t="shared" si="686"/>
        <v>0</v>
      </c>
      <c r="S482" s="1423">
        <f t="shared" si="687"/>
        <v>0</v>
      </c>
      <c r="T482" s="1423">
        <f t="shared" si="688"/>
        <v>0</v>
      </c>
      <c r="U482" s="1423">
        <f t="shared" si="689"/>
        <v>0</v>
      </c>
      <c r="V482" s="1423">
        <f t="shared" si="690"/>
        <v>0</v>
      </c>
      <c r="W482" s="1423">
        <f t="shared" si="691"/>
        <v>0</v>
      </c>
      <c r="X482" s="152"/>
      <c r="Y482" s="152"/>
      <c r="Z482" s="152"/>
      <c r="AA482" s="152"/>
      <c r="AB482" s="152"/>
    </row>
    <row r="483" spans="1:28" hidden="1" outlineLevel="1">
      <c r="A483" s="152"/>
      <c r="B483" s="190" t="str">
        <f t="shared" ca="1" si="692"/>
        <v>RL Capex 2023-24</v>
      </c>
      <c r="C483" s="1429"/>
      <c r="D483" s="1429"/>
      <c r="E483" s="1429"/>
      <c r="F483" s="1429"/>
      <c r="G483" s="1429"/>
      <c r="H483" s="1429"/>
      <c r="I483" s="1429"/>
      <c r="J483" s="1424"/>
      <c r="K483" s="1428">
        <f>K447</f>
        <v>0</v>
      </c>
      <c r="L483" s="1423">
        <f t="shared" si="680"/>
        <v>0</v>
      </c>
      <c r="M483" s="1423">
        <f t="shared" si="681"/>
        <v>0</v>
      </c>
      <c r="N483" s="1423">
        <f t="shared" si="682"/>
        <v>0</v>
      </c>
      <c r="O483" s="1423">
        <f t="shared" si="683"/>
        <v>0</v>
      </c>
      <c r="P483" s="1423">
        <f t="shared" si="684"/>
        <v>0</v>
      </c>
      <c r="Q483" s="1423">
        <f t="shared" si="685"/>
        <v>0</v>
      </c>
      <c r="R483" s="1423">
        <f t="shared" si="686"/>
        <v>0</v>
      </c>
      <c r="S483" s="1423">
        <f t="shared" si="687"/>
        <v>0</v>
      </c>
      <c r="T483" s="1423">
        <f t="shared" si="688"/>
        <v>0</v>
      </c>
      <c r="U483" s="1423">
        <f t="shared" si="689"/>
        <v>0</v>
      </c>
      <c r="V483" s="1423">
        <f t="shared" si="690"/>
        <v>0</v>
      </c>
      <c r="W483" s="1423">
        <f t="shared" si="691"/>
        <v>0</v>
      </c>
      <c r="X483" s="152"/>
      <c r="Y483" s="152"/>
      <c r="Z483" s="152"/>
      <c r="AA483" s="152"/>
      <c r="AB483" s="152"/>
    </row>
    <row r="484" spans="1:28" hidden="1" outlineLevel="1">
      <c r="A484" s="152"/>
      <c r="B484" s="190" t="str">
        <f t="shared" ca="1" si="692"/>
        <v>RL Capex 2024-25</v>
      </c>
      <c r="C484" s="1429"/>
      <c r="D484" s="1429"/>
      <c r="E484" s="1429"/>
      <c r="F484" s="1429"/>
      <c r="G484" s="1429"/>
      <c r="H484" s="1429"/>
      <c r="I484" s="1429"/>
      <c r="J484" s="1429"/>
      <c r="K484" s="1424"/>
      <c r="L484" s="1428">
        <f>L447</f>
        <v>0</v>
      </c>
      <c r="M484" s="1423">
        <f t="shared" si="681"/>
        <v>0</v>
      </c>
      <c r="N484" s="1423">
        <f t="shared" si="682"/>
        <v>0</v>
      </c>
      <c r="O484" s="1423">
        <f t="shared" si="683"/>
        <v>0</v>
      </c>
      <c r="P484" s="1423">
        <f t="shared" si="684"/>
        <v>0</v>
      </c>
      <c r="Q484" s="1423">
        <f t="shared" si="685"/>
        <v>0</v>
      </c>
      <c r="R484" s="1423">
        <f t="shared" si="686"/>
        <v>0</v>
      </c>
      <c r="S484" s="1423">
        <f t="shared" si="687"/>
        <v>0</v>
      </c>
      <c r="T484" s="1423">
        <f t="shared" si="688"/>
        <v>0</v>
      </c>
      <c r="U484" s="1423">
        <f t="shared" si="689"/>
        <v>0</v>
      </c>
      <c r="V484" s="1423">
        <f t="shared" si="690"/>
        <v>0</v>
      </c>
      <c r="W484" s="1423">
        <f t="shared" si="691"/>
        <v>0</v>
      </c>
      <c r="X484" s="152"/>
      <c r="Y484" s="152"/>
      <c r="Z484" s="152"/>
      <c r="AA484" s="152"/>
      <c r="AB484" s="152"/>
    </row>
    <row r="485" spans="1:28" hidden="1" outlineLevel="1">
      <c r="A485" s="152"/>
      <c r="B485" s="190" t="str">
        <f t="shared" ca="1" si="692"/>
        <v>RL Capex 2025-26</v>
      </c>
      <c r="C485" s="1429"/>
      <c r="D485" s="1429"/>
      <c r="E485" s="1429"/>
      <c r="F485" s="1429"/>
      <c r="G485" s="1429"/>
      <c r="H485" s="1429"/>
      <c r="I485" s="1429"/>
      <c r="J485" s="1429"/>
      <c r="K485" s="1429"/>
      <c r="L485" s="1424"/>
      <c r="M485" s="1428">
        <f>M447</f>
        <v>0</v>
      </c>
      <c r="N485" s="1423">
        <f t="shared" si="682"/>
        <v>0</v>
      </c>
      <c r="O485" s="1423">
        <f t="shared" si="683"/>
        <v>0</v>
      </c>
      <c r="P485" s="1423">
        <f t="shared" si="684"/>
        <v>0</v>
      </c>
      <c r="Q485" s="1423">
        <f t="shared" si="685"/>
        <v>0</v>
      </c>
      <c r="R485" s="1423">
        <f t="shared" si="686"/>
        <v>0</v>
      </c>
      <c r="S485" s="1423">
        <f t="shared" si="687"/>
        <v>0</v>
      </c>
      <c r="T485" s="1423">
        <f t="shared" si="688"/>
        <v>0</v>
      </c>
      <c r="U485" s="1423">
        <f t="shared" si="689"/>
        <v>0</v>
      </c>
      <c r="V485" s="1423">
        <f t="shared" si="690"/>
        <v>0</v>
      </c>
      <c r="W485" s="1423">
        <f t="shared" si="691"/>
        <v>0</v>
      </c>
      <c r="X485" s="152"/>
      <c r="Y485" s="152"/>
      <c r="Z485" s="152"/>
      <c r="AA485" s="152"/>
      <c r="AB485" s="152"/>
    </row>
    <row r="486" spans="1:28" hidden="1" outlineLevel="1">
      <c r="A486" s="152"/>
      <c r="B486" s="190" t="str">
        <f t="shared" ca="1" si="692"/>
        <v>RL Capex 2026-27</v>
      </c>
      <c r="C486" s="1429"/>
      <c r="D486" s="1429"/>
      <c r="E486" s="1429"/>
      <c r="F486" s="1429"/>
      <c r="G486" s="1429"/>
      <c r="H486" s="1429"/>
      <c r="I486" s="1429"/>
      <c r="J486" s="1429"/>
      <c r="K486" s="1429"/>
      <c r="L486" s="1429"/>
      <c r="M486" s="1424"/>
      <c r="N486" s="1428">
        <f>N447</f>
        <v>0</v>
      </c>
      <c r="O486" s="1423">
        <f t="shared" si="683"/>
        <v>0</v>
      </c>
      <c r="P486" s="1423">
        <f t="shared" si="684"/>
        <v>0</v>
      </c>
      <c r="Q486" s="1423">
        <f t="shared" si="685"/>
        <v>0</v>
      </c>
      <c r="R486" s="1423">
        <f t="shared" si="686"/>
        <v>0</v>
      </c>
      <c r="S486" s="1423">
        <f t="shared" si="687"/>
        <v>0</v>
      </c>
      <c r="T486" s="1423">
        <f t="shared" si="688"/>
        <v>0</v>
      </c>
      <c r="U486" s="1423">
        <f t="shared" si="689"/>
        <v>0</v>
      </c>
      <c r="V486" s="1423">
        <f t="shared" si="690"/>
        <v>0</v>
      </c>
      <c r="W486" s="1423">
        <f t="shared" si="691"/>
        <v>0</v>
      </c>
      <c r="X486" s="152"/>
      <c r="Y486" s="152"/>
      <c r="Z486" s="152"/>
      <c r="AA486" s="152"/>
      <c r="AB486" s="152"/>
    </row>
    <row r="487" spans="1:28" hidden="1" outlineLevel="1">
      <c r="A487" s="152"/>
      <c r="B487" s="190" t="str">
        <f t="shared" ca="1" si="692"/>
        <v>RL Capex 2027-28</v>
      </c>
      <c r="C487" s="1429"/>
      <c r="D487" s="1429"/>
      <c r="E487" s="1429"/>
      <c r="F487" s="1429"/>
      <c r="G487" s="1429"/>
      <c r="H487" s="1429"/>
      <c r="I487" s="1429"/>
      <c r="J487" s="1429"/>
      <c r="K487" s="1429"/>
      <c r="L487" s="1429"/>
      <c r="M487" s="1429"/>
      <c r="N487" s="1424"/>
      <c r="O487" s="1428">
        <f>O447</f>
        <v>0</v>
      </c>
      <c r="P487" s="1423">
        <f t="shared" si="684"/>
        <v>0</v>
      </c>
      <c r="Q487" s="1423">
        <f t="shared" si="685"/>
        <v>0</v>
      </c>
      <c r="R487" s="1423">
        <f t="shared" si="686"/>
        <v>0</v>
      </c>
      <c r="S487" s="1423">
        <f t="shared" si="687"/>
        <v>0</v>
      </c>
      <c r="T487" s="1423">
        <f t="shared" si="688"/>
        <v>0</v>
      </c>
      <c r="U487" s="1423">
        <f t="shared" si="689"/>
        <v>0</v>
      </c>
      <c r="V487" s="1423">
        <f t="shared" si="690"/>
        <v>0</v>
      </c>
      <c r="W487" s="1423">
        <f t="shared" si="691"/>
        <v>0</v>
      </c>
      <c r="X487" s="152"/>
      <c r="Y487" s="152"/>
      <c r="Z487" s="152"/>
      <c r="AA487" s="152"/>
      <c r="AB487" s="152"/>
    </row>
    <row r="488" spans="1:28" hidden="1" outlineLevel="1">
      <c r="A488" s="152"/>
      <c r="B488" s="190" t="str">
        <f t="shared" ca="1" si="692"/>
        <v>RL Capex 2028-29</v>
      </c>
      <c r="C488" s="1429"/>
      <c r="D488" s="1429"/>
      <c r="E488" s="1429"/>
      <c r="F488" s="1429"/>
      <c r="G488" s="1429"/>
      <c r="H488" s="1429"/>
      <c r="I488" s="1429"/>
      <c r="J488" s="1429"/>
      <c r="K488" s="1429"/>
      <c r="L488" s="1429"/>
      <c r="M488" s="1429"/>
      <c r="N488" s="1429"/>
      <c r="O488" s="1424"/>
      <c r="P488" s="1428">
        <f>P447</f>
        <v>0</v>
      </c>
      <c r="Q488" s="1423">
        <f t="shared" si="685"/>
        <v>0</v>
      </c>
      <c r="R488" s="1423">
        <f t="shared" si="686"/>
        <v>0</v>
      </c>
      <c r="S488" s="1423">
        <f t="shared" si="687"/>
        <v>0</v>
      </c>
      <c r="T488" s="1423">
        <f t="shared" si="688"/>
        <v>0</v>
      </c>
      <c r="U488" s="1423">
        <f t="shared" si="689"/>
        <v>0</v>
      </c>
      <c r="V488" s="1423">
        <f t="shared" si="690"/>
        <v>0</v>
      </c>
      <c r="W488" s="1423">
        <f t="shared" si="691"/>
        <v>0</v>
      </c>
      <c r="X488" s="152"/>
      <c r="Y488" s="152"/>
      <c r="Z488" s="152"/>
      <c r="AA488" s="152"/>
      <c r="AB488" s="152"/>
    </row>
    <row r="489" spans="1:28" hidden="1" outlineLevel="1">
      <c r="A489" s="152"/>
      <c r="B489" s="190" t="str">
        <f t="shared" ca="1" si="692"/>
        <v>RL Capex 2029-30</v>
      </c>
      <c r="C489" s="1429"/>
      <c r="D489" s="1429"/>
      <c r="E489" s="1429"/>
      <c r="F489" s="1429"/>
      <c r="G489" s="1429"/>
      <c r="H489" s="1429"/>
      <c r="I489" s="1429"/>
      <c r="J489" s="1429"/>
      <c r="K489" s="1429"/>
      <c r="L489" s="1429"/>
      <c r="M489" s="1429"/>
      <c r="N489" s="1429"/>
      <c r="O489" s="1429"/>
      <c r="P489" s="1424"/>
      <c r="Q489" s="1428">
        <f>Q447</f>
        <v>0</v>
      </c>
      <c r="R489" s="1423">
        <f t="shared" si="686"/>
        <v>0</v>
      </c>
      <c r="S489" s="1423">
        <f t="shared" si="687"/>
        <v>0</v>
      </c>
      <c r="T489" s="1423">
        <f t="shared" si="688"/>
        <v>0</v>
      </c>
      <c r="U489" s="1423">
        <f t="shared" si="689"/>
        <v>0</v>
      </c>
      <c r="V489" s="1423">
        <f t="shared" si="690"/>
        <v>0</v>
      </c>
      <c r="W489" s="1423">
        <f t="shared" si="691"/>
        <v>0</v>
      </c>
      <c r="X489" s="152"/>
      <c r="Y489" s="152"/>
      <c r="Z489" s="152"/>
      <c r="AA489" s="152"/>
      <c r="AB489" s="152"/>
    </row>
    <row r="490" spans="1:28" hidden="1" outlineLevel="1">
      <c r="A490" s="152"/>
      <c r="B490" s="190" t="str">
        <f t="shared" ca="1" si="692"/>
        <v>RL Capex 2030-31</v>
      </c>
      <c r="C490" s="1429"/>
      <c r="D490" s="1429"/>
      <c r="E490" s="1429"/>
      <c r="F490" s="1429"/>
      <c r="G490" s="1429"/>
      <c r="H490" s="1429"/>
      <c r="I490" s="1429"/>
      <c r="J490" s="1429"/>
      <c r="K490" s="1429"/>
      <c r="L490" s="1429"/>
      <c r="M490" s="1429"/>
      <c r="N490" s="1429"/>
      <c r="O490" s="1429"/>
      <c r="P490" s="1429"/>
      <c r="Q490" s="1424"/>
      <c r="R490" s="1428">
        <f>R447</f>
        <v>0</v>
      </c>
      <c r="S490" s="1423">
        <f t="shared" si="687"/>
        <v>0</v>
      </c>
      <c r="T490" s="1423">
        <f t="shared" si="688"/>
        <v>0</v>
      </c>
      <c r="U490" s="1423">
        <f t="shared" si="689"/>
        <v>0</v>
      </c>
      <c r="V490" s="1423">
        <f t="shared" si="690"/>
        <v>0</v>
      </c>
      <c r="W490" s="1423">
        <f t="shared" si="691"/>
        <v>0</v>
      </c>
      <c r="X490" s="152"/>
      <c r="Y490" s="152"/>
      <c r="Z490" s="152"/>
      <c r="AA490" s="152"/>
      <c r="AB490" s="152"/>
    </row>
    <row r="491" spans="1:28" hidden="1" outlineLevel="1">
      <c r="A491" s="152"/>
      <c r="B491" s="190" t="str">
        <f t="shared" ca="1" si="692"/>
        <v>RL Capex 2031-32</v>
      </c>
      <c r="C491" s="1429"/>
      <c r="D491" s="1429"/>
      <c r="E491" s="1429"/>
      <c r="F491" s="1429"/>
      <c r="G491" s="1429"/>
      <c r="H491" s="1429"/>
      <c r="I491" s="1429"/>
      <c r="J491" s="1429"/>
      <c r="K491" s="1429"/>
      <c r="L491" s="1429"/>
      <c r="M491" s="1429"/>
      <c r="N491" s="1429"/>
      <c r="O491" s="1429"/>
      <c r="P491" s="1429"/>
      <c r="Q491" s="1429"/>
      <c r="R491" s="1424"/>
      <c r="S491" s="1428">
        <f>S447</f>
        <v>0</v>
      </c>
      <c r="T491" s="1423">
        <f t="shared" si="688"/>
        <v>0</v>
      </c>
      <c r="U491" s="1423">
        <f t="shared" si="689"/>
        <v>0</v>
      </c>
      <c r="V491" s="1423">
        <f t="shared" si="690"/>
        <v>0</v>
      </c>
      <c r="W491" s="1423">
        <f t="shared" si="691"/>
        <v>0</v>
      </c>
      <c r="X491" s="152"/>
      <c r="Y491" s="152"/>
      <c r="Z491" s="152"/>
      <c r="AA491" s="152"/>
      <c r="AB491" s="152"/>
    </row>
    <row r="492" spans="1:28" hidden="1" outlineLevel="1">
      <c r="A492" s="152"/>
      <c r="B492" s="190" t="str">
        <f t="shared" ca="1" si="692"/>
        <v>RL Capex 2032-33</v>
      </c>
      <c r="C492" s="1429"/>
      <c r="D492" s="1429"/>
      <c r="E492" s="1429"/>
      <c r="F492" s="1429"/>
      <c r="G492" s="1429"/>
      <c r="H492" s="1429"/>
      <c r="I492" s="1429"/>
      <c r="J492" s="1429"/>
      <c r="K492" s="1429"/>
      <c r="L492" s="1429"/>
      <c r="M492" s="1429"/>
      <c r="N492" s="1429"/>
      <c r="O492" s="1429"/>
      <c r="P492" s="1429"/>
      <c r="Q492" s="1429"/>
      <c r="R492" s="1429"/>
      <c r="S492" s="1424"/>
      <c r="T492" s="1428">
        <f>T447</f>
        <v>0</v>
      </c>
      <c r="U492" s="1423">
        <f t="shared" si="689"/>
        <v>0</v>
      </c>
      <c r="V492" s="1423">
        <f t="shared" si="690"/>
        <v>0</v>
      </c>
      <c r="W492" s="1423">
        <f t="shared" si="691"/>
        <v>0</v>
      </c>
      <c r="X492" s="152"/>
      <c r="Y492" s="152"/>
      <c r="Z492" s="152"/>
      <c r="AA492" s="152"/>
      <c r="AB492" s="152"/>
    </row>
    <row r="493" spans="1:28" hidden="1" outlineLevel="1">
      <c r="A493" s="152"/>
      <c r="B493" s="190" t="str">
        <f t="shared" ca="1" si="692"/>
        <v>RL Capex 2033-34</v>
      </c>
      <c r="C493" s="1429"/>
      <c r="D493" s="1429"/>
      <c r="E493" s="1429"/>
      <c r="F493" s="1429"/>
      <c r="G493" s="1429"/>
      <c r="H493" s="1429"/>
      <c r="I493" s="1429"/>
      <c r="J493" s="1429"/>
      <c r="K493" s="1429"/>
      <c r="L493" s="1429"/>
      <c r="M493" s="1429"/>
      <c r="N493" s="1429"/>
      <c r="O493" s="1429"/>
      <c r="P493" s="1429"/>
      <c r="Q493" s="1429"/>
      <c r="R493" s="1429"/>
      <c r="S493" s="1429"/>
      <c r="T493" s="1424"/>
      <c r="U493" s="1428">
        <f>U447</f>
        <v>0</v>
      </c>
      <c r="V493" s="1423">
        <f t="shared" si="690"/>
        <v>0</v>
      </c>
      <c r="W493" s="1423">
        <f t="shared" si="691"/>
        <v>0</v>
      </c>
      <c r="X493" s="152"/>
      <c r="Y493" s="152"/>
      <c r="Z493" s="152"/>
      <c r="AA493" s="152"/>
      <c r="AB493" s="152"/>
    </row>
    <row r="494" spans="1:28" hidden="1" outlineLevel="1">
      <c r="A494" s="152"/>
      <c r="B494" s="190" t="str">
        <f t="shared" ca="1" si="692"/>
        <v>RL Capex 2034-35</v>
      </c>
      <c r="C494" s="1429"/>
      <c r="D494" s="1429"/>
      <c r="E494" s="1429"/>
      <c r="F494" s="1429"/>
      <c r="G494" s="1429"/>
      <c r="H494" s="1429"/>
      <c r="I494" s="1429"/>
      <c r="J494" s="1429"/>
      <c r="K494" s="1429"/>
      <c r="L494" s="1429"/>
      <c r="M494" s="1429"/>
      <c r="N494" s="1429"/>
      <c r="O494" s="1429"/>
      <c r="P494" s="1429"/>
      <c r="Q494" s="1429"/>
      <c r="R494" s="1429"/>
      <c r="S494" s="1429"/>
      <c r="T494" s="1429"/>
      <c r="U494" s="1424"/>
      <c r="V494" s="1428">
        <f>V447</f>
        <v>0</v>
      </c>
      <c r="W494" s="1423">
        <f>IF(V494="n/a","n/a",MAX(0,V494-1))</f>
        <v>0</v>
      </c>
      <c r="X494" s="152"/>
      <c r="Y494" s="152"/>
      <c r="Z494" s="152"/>
      <c r="AA494" s="152"/>
      <c r="AB494" s="152"/>
    </row>
    <row r="495" spans="1:28" hidden="1" outlineLevel="1">
      <c r="A495" s="152"/>
      <c r="B495" s="190" t="str">
        <f t="shared" ca="1" si="692"/>
        <v>RL Capex 2035-36</v>
      </c>
      <c r="C495" s="1429"/>
      <c r="D495" s="1429"/>
      <c r="E495" s="1429"/>
      <c r="F495" s="1429"/>
      <c r="G495" s="1429"/>
      <c r="H495" s="1429"/>
      <c r="I495" s="1429"/>
      <c r="J495" s="1429"/>
      <c r="K495" s="1429"/>
      <c r="L495" s="1429"/>
      <c r="M495" s="1429"/>
      <c r="N495" s="1429"/>
      <c r="O495" s="1429"/>
      <c r="P495" s="1429"/>
      <c r="Q495" s="1429"/>
      <c r="R495" s="1429"/>
      <c r="S495" s="1429"/>
      <c r="T495" s="1429"/>
      <c r="U495" s="1429"/>
      <c r="V495" s="1424"/>
      <c r="W495" s="1423">
        <f>W447</f>
        <v>0</v>
      </c>
      <c r="X495" s="152"/>
      <c r="Y495" s="152"/>
      <c r="Z495" s="152"/>
      <c r="AA495" s="152"/>
      <c r="AB495" s="152"/>
    </row>
    <row r="496" spans="1:28" hidden="1" outlineLevel="1">
      <c r="A496" s="152"/>
      <c r="B496" s="200"/>
      <c r="C496" s="1423"/>
      <c r="D496" s="1423"/>
      <c r="E496" s="1423"/>
      <c r="F496" s="1423"/>
      <c r="G496" s="1423"/>
      <c r="H496" s="1423"/>
      <c r="I496" s="1423"/>
      <c r="J496" s="1423"/>
      <c r="K496" s="1423"/>
      <c r="L496" s="1423"/>
      <c r="M496" s="1423"/>
      <c r="N496" s="1423"/>
      <c r="O496" s="1423"/>
      <c r="P496" s="1423"/>
      <c r="Q496" s="1423"/>
      <c r="R496" s="1423"/>
      <c r="S496" s="1423"/>
      <c r="T496" s="1423"/>
      <c r="U496" s="1423"/>
      <c r="V496" s="1423"/>
      <c r="W496" s="1423"/>
      <c r="X496" s="152"/>
      <c r="Y496" s="152"/>
      <c r="Z496" s="152"/>
      <c r="AA496" s="152"/>
      <c r="AB496" s="152"/>
    </row>
    <row r="497" spans="1:28" collapsed="1">
      <c r="A497" s="194"/>
      <c r="B497" s="204" t="s">
        <v>123</v>
      </c>
      <c r="C497" s="1430">
        <f ca="1">(IF(OR($C447&lt;&gt;"n/a",C447&lt;&gt;"n/a"),IF(SUM(C450:C472)=0,0,IF((SUMPRODUCT(C450:C472,C474:C496)/SUM(C450:C472))&lt;0,1,(SUMPRODUCT(C450:C472,C474:C496)/SUM(C450:C472)))),"n/a"))</f>
        <v>0</v>
      </c>
      <c r="D497" s="1430">
        <f ca="1">(IF(OR($C447&lt;&gt;"n/a",D447&lt;&gt;"n/a"),IF(SUM(D450:D472)=0,0,IF((SUMPRODUCT(D450:D472,D474:D496)/SUM(D450:D472))&lt;0,1,(SUMPRODUCT(D450:D472,D474:D496)/SUM(D450:D472)))),"n/a"))</f>
        <v>0</v>
      </c>
      <c r="E497" s="1430">
        <f t="shared" ref="E497:W497" ca="1" si="693">(IF(OR($C447&lt;&gt;"n/a",E447&lt;&gt;"n/a"),IF(SUM(E450:E472)=0,0,IF((SUMPRODUCT(E450:E472,E474:E496)/SUM(E450:E472))&lt;0,1,(SUMPRODUCT(E450:E472,E474:E496)/SUM(E450:E472)))),"n/a"))</f>
        <v>0</v>
      </c>
      <c r="F497" s="1430">
        <f t="shared" ca="1" si="693"/>
        <v>0</v>
      </c>
      <c r="G497" s="1430">
        <f t="shared" ca="1" si="693"/>
        <v>0</v>
      </c>
      <c r="H497" s="1430">
        <f t="shared" ca="1" si="693"/>
        <v>0</v>
      </c>
      <c r="I497" s="1430">
        <f t="shared" ca="1" si="693"/>
        <v>0</v>
      </c>
      <c r="J497" s="1430">
        <f t="shared" ca="1" si="693"/>
        <v>0</v>
      </c>
      <c r="K497" s="1430">
        <f t="shared" ca="1" si="693"/>
        <v>0</v>
      </c>
      <c r="L497" s="1430">
        <f t="shared" ca="1" si="693"/>
        <v>0</v>
      </c>
      <c r="M497" s="1430">
        <f t="shared" ca="1" si="693"/>
        <v>0</v>
      </c>
      <c r="N497" s="1430">
        <f t="shared" ca="1" si="693"/>
        <v>0</v>
      </c>
      <c r="O497" s="1430">
        <f t="shared" ca="1" si="693"/>
        <v>0</v>
      </c>
      <c r="P497" s="1430">
        <f t="shared" ca="1" si="693"/>
        <v>0</v>
      </c>
      <c r="Q497" s="1430">
        <f t="shared" ca="1" si="693"/>
        <v>0</v>
      </c>
      <c r="R497" s="1430">
        <f t="shared" ca="1" si="693"/>
        <v>0</v>
      </c>
      <c r="S497" s="1430">
        <f t="shared" ca="1" si="693"/>
        <v>0</v>
      </c>
      <c r="T497" s="1430">
        <f t="shared" ca="1" si="693"/>
        <v>0</v>
      </c>
      <c r="U497" s="1430">
        <f t="shared" ca="1" si="693"/>
        <v>0</v>
      </c>
      <c r="V497" s="1430">
        <f t="shared" ca="1" si="693"/>
        <v>0</v>
      </c>
      <c r="W497" s="1430">
        <f t="shared" ca="1" si="693"/>
        <v>0</v>
      </c>
      <c r="X497" s="152"/>
      <c r="Y497" s="152"/>
      <c r="Z497" s="152"/>
      <c r="AA497" s="152"/>
      <c r="AB497" s="152"/>
    </row>
    <row r="498" spans="1:28">
      <c r="A498" s="152"/>
      <c r="B498" s="152"/>
      <c r="C498" s="1423"/>
      <c r="D498" s="1423"/>
      <c r="E498" s="1423"/>
      <c r="F498" s="1423"/>
      <c r="G498" s="1423"/>
      <c r="H498" s="1423"/>
      <c r="I498" s="1423"/>
      <c r="J498" s="1423"/>
      <c r="K498" s="1423"/>
      <c r="L498" s="1423"/>
      <c r="M498" s="1423"/>
      <c r="N498" s="1423"/>
      <c r="O498" s="1423"/>
      <c r="P498" s="1423"/>
      <c r="Q498" s="1423"/>
      <c r="R498" s="1423"/>
      <c r="S498" s="1423"/>
      <c r="T498" s="1423"/>
      <c r="U498" s="1423"/>
      <c r="V498" s="1423"/>
      <c r="W498" s="1423"/>
      <c r="X498" s="152"/>
      <c r="Y498" s="152"/>
      <c r="Z498" s="152"/>
      <c r="AA498" s="152"/>
      <c r="AB498" s="152"/>
    </row>
    <row r="499" spans="1:28">
      <c r="A499" s="269" t="s">
        <v>10</v>
      </c>
      <c r="B499" s="270">
        <f>VLOOKUP($A499,'RFM input'!$E$7:$F$56,2,FALSE)</f>
        <v>0</v>
      </c>
      <c r="C499" s="1431"/>
      <c r="D499" s="1431"/>
      <c r="E499" s="1432"/>
      <c r="F499" s="1432"/>
      <c r="G499" s="1432"/>
      <c r="H499" s="1432"/>
      <c r="I499" s="1432"/>
      <c r="J499" s="1432"/>
      <c r="K499" s="1432"/>
      <c r="L499" s="1432"/>
      <c r="M499" s="1432"/>
      <c r="N499" s="1432"/>
      <c r="O499" s="1432"/>
      <c r="P499" s="1432"/>
      <c r="Q499" s="1432"/>
      <c r="R499" s="1432"/>
      <c r="S499" s="1432"/>
      <c r="T499" s="1432"/>
      <c r="U499" s="1432"/>
      <c r="V499" s="1432"/>
      <c r="W499" s="1432"/>
      <c r="X499" s="152"/>
      <c r="Y499" s="152"/>
      <c r="Z499" s="152"/>
      <c r="AA499" s="152"/>
      <c r="AB499" s="152"/>
    </row>
    <row r="500" spans="1:28">
      <c r="A500" s="215">
        <f>VALUE(REPLACE(A499,1,12,""))</f>
        <v>10</v>
      </c>
      <c r="B500" s="193" t="s">
        <v>126</v>
      </c>
      <c r="C500" s="1416">
        <f ca="1">IF($C$8='Capital Base roll forward'!$H$4,OFFSET('Capital Base roll forward'!$H$717,'RAB remaining lives'!A500,0),"enter input")</f>
        <v>0</v>
      </c>
      <c r="D500" s="1417">
        <f>IF(LEFT(D$6,4)&lt;LEFT('RFM input'!$G$60,4),"enter input",IF(LEFT(D$6,4)&gt;LEFT('RFM input'!$Q$60,4),0,INDEX('RFM input'!$G$61:$Q$110,$A500,MATCH(D$6,'RFM input'!$G$60:$Q$60,0))
-INDEX('RFM input'!$G$115:$Q$164,$A500,MATCH(D$6,'RFM input'!$G$60:$Q$60,0))
-INDEX('RFM input'!$G$169:$Q$218,$A500,MATCH(D$6,'RFM input'!$G$60:$Q$60,0))))</f>
        <v>0</v>
      </c>
      <c r="E500" s="1417">
        <f>IF(LEFT(E$6,4)&lt;LEFT('RFM input'!$G$60,4),"enter input",IF(LEFT(E$6,4)&gt;LEFT('RFM input'!$Q$60,4),0,INDEX('RFM input'!$G$61:$Q$110,$A500,MATCH(E$6,'RFM input'!$G$60:$Q$60,0))
-INDEX('RFM input'!$G$115:$Q$164,$A500,MATCH(E$6,'RFM input'!$G$60:$Q$60,0))
-INDEX('RFM input'!$G$169:$Q$218,$A500,MATCH(E$6,'RFM input'!$G$60:$Q$60,0))))</f>
        <v>0</v>
      </c>
      <c r="F500" s="1417">
        <f>IF(LEFT(F$6,4)&lt;LEFT('RFM input'!$G$60,4),"enter input",IF(LEFT(F$6,4)&gt;LEFT('RFM input'!$Q$60,4),0,INDEX('RFM input'!$G$61:$Q$110,$A500,MATCH(F$6,'RFM input'!$G$60:$Q$60,0))
-INDEX('RFM input'!$G$115:$Q$164,$A500,MATCH(F$6,'RFM input'!$G$60:$Q$60,0))
-INDEX('RFM input'!$G$169:$Q$218,$A500,MATCH(F$6,'RFM input'!$G$60:$Q$60,0))))</f>
        <v>0</v>
      </c>
      <c r="G500" s="1417">
        <f>IF(LEFT(G$6,4)&lt;LEFT('RFM input'!$G$60,4),"enter input",IF(LEFT(G$6,4)&gt;LEFT('RFM input'!$Q$60,4),0,INDEX('RFM input'!$G$61:$Q$110,$A500,MATCH(G$6,'RFM input'!$G$60:$Q$60,0))
-INDEX('RFM input'!$G$115:$Q$164,$A500,MATCH(G$6,'RFM input'!$G$60:$Q$60,0))
-INDEX('RFM input'!$G$169:$Q$218,$A500,MATCH(G$6,'RFM input'!$G$60:$Q$60,0))))</f>
        <v>0</v>
      </c>
      <c r="H500" s="1417">
        <f>IF(LEFT(H$6,4)&lt;LEFT('RFM input'!$G$60,4),"enter input",IF(LEFT(H$6,4)&gt;LEFT('RFM input'!$Q$60,4),0,INDEX('RFM input'!$G$61:$Q$110,$A500,MATCH(H$6,'RFM input'!$G$60:$Q$60,0))
-INDEX('RFM input'!$G$115:$Q$164,$A500,MATCH(H$6,'RFM input'!$G$60:$Q$60,0))
-INDEX('RFM input'!$G$169:$Q$218,$A500,MATCH(H$6,'RFM input'!$G$60:$Q$60,0))))</f>
        <v>0</v>
      </c>
      <c r="I500" s="1417">
        <f>IF(LEFT(I$6,4)&lt;LEFT('RFM input'!$G$60,4),"enter input",IF(LEFT(I$6,4)&gt;LEFT('RFM input'!$Q$60,4),0,INDEX('RFM input'!$G$61:$Q$110,$A500,MATCH(I$6,'RFM input'!$G$60:$Q$60,0))
-INDEX('RFM input'!$G$115:$Q$164,$A500,MATCH(I$6,'RFM input'!$G$60:$Q$60,0))
-INDEX('RFM input'!$G$169:$Q$218,$A500,MATCH(I$6,'RFM input'!$G$60:$Q$60,0))))</f>
        <v>0</v>
      </c>
      <c r="J500" s="1417">
        <f>IF(LEFT(J$6,4)&lt;LEFT('RFM input'!$G$60,4),"enter input",IF(LEFT(J$6,4)&gt;LEFT('RFM input'!$Q$60,4),0,INDEX('RFM input'!$G$61:$Q$110,$A500,MATCH(J$6,'RFM input'!$G$60:$Q$60,0))
-INDEX('RFM input'!$G$115:$Q$164,$A500,MATCH(J$6,'RFM input'!$G$60:$Q$60,0))
-INDEX('RFM input'!$G$169:$Q$218,$A500,MATCH(J$6,'RFM input'!$G$60:$Q$60,0))))</f>
        <v>0</v>
      </c>
      <c r="K500" s="1417">
        <f>IF(LEFT(K$6,4)&lt;LEFT('RFM input'!$G$60,4),"enter input",IF(LEFT(K$6,4)&gt;LEFT('RFM input'!$Q$60,4),0,INDEX('RFM input'!$G$61:$Q$110,$A500,MATCH(K$6,'RFM input'!$G$60:$Q$60,0))
-INDEX('RFM input'!$G$115:$Q$164,$A500,MATCH(K$6,'RFM input'!$G$60:$Q$60,0))
-INDEX('RFM input'!$G$169:$Q$218,$A500,MATCH(K$6,'RFM input'!$G$60:$Q$60,0))))</f>
        <v>0</v>
      </c>
      <c r="L500" s="1417">
        <f>IF(LEFT(L$6,4)&lt;LEFT('RFM input'!$G$60,4),"enter input",IF(LEFT(L$6,4)&gt;LEFT('RFM input'!$Q$60,4),0,INDEX('RFM input'!$G$61:$Q$110,$A500,MATCH(L$6,'RFM input'!$G$60:$Q$60,0))
-INDEX('RFM input'!$G$115:$Q$164,$A500,MATCH(L$6,'RFM input'!$G$60:$Q$60,0))
-INDEX('RFM input'!$G$169:$Q$218,$A500,MATCH(L$6,'RFM input'!$G$60:$Q$60,0))))</f>
        <v>0</v>
      </c>
      <c r="M500" s="1417">
        <f>IF(LEFT(M$6,4)&lt;LEFT('RFM input'!$G$60,4),"enter input",IF(LEFT(M$6,4)&gt;LEFT('RFM input'!$Q$60,4),0,INDEX('RFM input'!$G$61:$Q$110,$A500,MATCH(M$6,'RFM input'!$G$60:$Q$60,0))
-INDEX('RFM input'!$G$115:$Q$164,$A500,MATCH(M$6,'RFM input'!$G$60:$Q$60,0))
-INDEX('RFM input'!$G$169:$Q$218,$A500,MATCH(M$6,'RFM input'!$G$60:$Q$60,0))))</f>
        <v>0</v>
      </c>
      <c r="N500" s="1417">
        <f>IF(LEFT(N$6,4)&lt;LEFT('RFM input'!$G$60,4),"enter input",IF(LEFT(N$6,4)&gt;LEFT('RFM input'!$Q$60,4),0,INDEX('RFM input'!$G$61:$Q$110,$A500,MATCH(N$6,'RFM input'!$G$60:$Q$60,0))
-INDEX('RFM input'!$G$115:$Q$164,$A500,MATCH(N$6,'RFM input'!$G$60:$Q$60,0))
-INDEX('RFM input'!$G$169:$Q$218,$A500,MATCH(N$6,'RFM input'!$G$60:$Q$60,0))))</f>
        <v>0</v>
      </c>
      <c r="O500" s="1417">
        <f>IF(LEFT(O$6,4)&lt;LEFT('RFM input'!$G$60,4),"enter input",IF(LEFT(O$6,4)&gt;LEFT('RFM input'!$Q$60,4),0,INDEX('RFM input'!$G$61:$Q$110,$A500,MATCH(O$6,'RFM input'!$G$60:$Q$60,0))
-INDEX('RFM input'!$G$115:$Q$164,$A500,MATCH(O$6,'RFM input'!$G$60:$Q$60,0))
-INDEX('RFM input'!$G$169:$Q$218,$A500,MATCH(O$6,'RFM input'!$G$60:$Q$60,0))))</f>
        <v>0</v>
      </c>
      <c r="P500" s="1417">
        <f>IF(LEFT(P$6,4)&lt;LEFT('RFM input'!$G$60,4),"enter input",IF(LEFT(P$6,4)&gt;LEFT('RFM input'!$Q$60,4),0,INDEX('RFM input'!$G$61:$Q$110,$A500,MATCH(P$6,'RFM input'!$G$60:$Q$60,0))
-INDEX('RFM input'!$G$115:$Q$164,$A500,MATCH(P$6,'RFM input'!$G$60:$Q$60,0))
-INDEX('RFM input'!$G$169:$Q$218,$A500,MATCH(P$6,'RFM input'!$G$60:$Q$60,0))))</f>
        <v>0</v>
      </c>
      <c r="Q500" s="1417">
        <f>IF(LEFT(Q$6,4)&lt;LEFT('RFM input'!$G$60,4),"enter input",IF(LEFT(Q$6,4)&gt;LEFT('RFM input'!$Q$60,4),0,INDEX('RFM input'!$G$61:$Q$110,$A500,MATCH(Q$6,'RFM input'!$G$60:$Q$60,0))
-INDEX('RFM input'!$G$115:$Q$164,$A500,MATCH(Q$6,'RFM input'!$G$60:$Q$60,0))
-INDEX('RFM input'!$G$169:$Q$218,$A500,MATCH(Q$6,'RFM input'!$G$60:$Q$60,0))))</f>
        <v>0</v>
      </c>
      <c r="R500" s="1417">
        <f>IF(LEFT(R$6,4)&lt;LEFT('RFM input'!$G$60,4),"enter input",IF(LEFT(R$6,4)&gt;LEFT('RFM input'!$Q$60,4),0,INDEX('RFM input'!$G$61:$Q$110,$A500,MATCH(R$6,'RFM input'!$G$60:$Q$60,0))
-INDEX('RFM input'!$G$115:$Q$164,$A500,MATCH(R$6,'RFM input'!$G$60:$Q$60,0))
-INDEX('RFM input'!$G$169:$Q$218,$A500,MATCH(R$6,'RFM input'!$G$60:$Q$60,0))))</f>
        <v>0</v>
      </c>
      <c r="S500" s="1417">
        <f>IF(LEFT(S$6,4)&lt;LEFT('RFM input'!$G$60,4),"enter input",IF(LEFT(S$6,4)&gt;LEFT('RFM input'!$Q$60,4),0,INDEX('RFM input'!$G$61:$Q$110,$A500,MATCH(S$6,'RFM input'!$G$60:$Q$60,0))
-INDEX('RFM input'!$G$115:$Q$164,$A500,MATCH(S$6,'RFM input'!$G$60:$Q$60,0))
-INDEX('RFM input'!$G$169:$Q$218,$A500,MATCH(S$6,'RFM input'!$G$60:$Q$60,0))))</f>
        <v>0</v>
      </c>
      <c r="T500" s="1417">
        <f>IF(LEFT(T$6,4)&lt;LEFT('RFM input'!$G$60,4),"enter input",IF(LEFT(T$6,4)&gt;LEFT('RFM input'!$Q$60,4),0,INDEX('RFM input'!$G$61:$Q$110,$A500,MATCH(T$6,'RFM input'!$G$60:$Q$60,0))
-INDEX('RFM input'!$G$115:$Q$164,$A500,MATCH(T$6,'RFM input'!$G$60:$Q$60,0))
-INDEX('RFM input'!$G$169:$Q$218,$A500,MATCH(T$6,'RFM input'!$G$60:$Q$60,0))))</f>
        <v>0</v>
      </c>
      <c r="U500" s="1417">
        <f>IF(LEFT(U$6,4)&lt;LEFT('RFM input'!$G$60,4),"enter input",IF(LEFT(U$6,4)&gt;LEFT('RFM input'!$Q$60,4),0,INDEX('RFM input'!$G$61:$Q$110,$A500,MATCH(U$6,'RFM input'!$G$60:$Q$60,0))
-INDEX('RFM input'!$G$115:$Q$164,$A500,MATCH(U$6,'RFM input'!$G$60:$Q$60,0))
-INDEX('RFM input'!$G$169:$Q$218,$A500,MATCH(U$6,'RFM input'!$G$60:$Q$60,0))))</f>
        <v>0</v>
      </c>
      <c r="V500" s="1417">
        <f>IF(LEFT(V$6,4)&lt;LEFT('RFM input'!$G$60,4),"enter input",IF(LEFT(V$6,4)&gt;LEFT('RFM input'!$Q$60,4),0,INDEX('RFM input'!$G$61:$Q$110,$A500,MATCH(V$6,'RFM input'!$G$60:$Q$60,0))
-INDEX('RFM input'!$G$115:$Q$164,$A500,MATCH(V$6,'RFM input'!$G$60:$Q$60,0))
-INDEX('RFM input'!$G$169:$Q$218,$A500,MATCH(V$6,'RFM input'!$G$60:$Q$60,0))))</f>
        <v>0</v>
      </c>
      <c r="W500" s="1417">
        <f>IF(LEFT(W$6,4)&lt;LEFT('RFM input'!$G$60,4),"enter input",IF(LEFT(W$6,4)&gt;LEFT('RFM input'!$Q$60,4),0,INDEX('RFM input'!$G$61:$Q$110,$A500,MATCH(W$6,'RFM input'!$G$60:$Q$60,0))
-INDEX('RFM input'!$G$115:$Q$164,$A500,MATCH(W$6,'RFM input'!$G$60:$Q$60,0))
-INDEX('RFM input'!$G$169:$Q$218,$A500,MATCH(W$6,'RFM input'!$G$60:$Q$60,0))))</f>
        <v>0</v>
      </c>
      <c r="X500" s="152"/>
      <c r="Y500" s="152"/>
      <c r="Z500" s="152"/>
      <c r="AA500" s="152"/>
      <c r="AB500" s="152"/>
    </row>
    <row r="501" spans="1:28">
      <c r="A501" s="152"/>
      <c r="B501" s="152" t="s">
        <v>204</v>
      </c>
      <c r="C501" s="1418">
        <f ca="1">IF($C$8='Capital Base roll forward'!$H$4,OFFSET('RFM input'!$J$6,'RAB remaining lives'!A500,0),"enter input")</f>
        <v>0</v>
      </c>
      <c r="D501" s="1417">
        <f>IF(LEFT(D$6,4)&lt;=LEFT('RFM input'!$G$60,4),"enter input",IF(LEFT(D$6,4)&gt;LEFT('RFM input'!$Q$60,4),0,IF(MATCH(D$6,'RFM input'!$H$60:$Q$60,0),INDEX('RFM input'!$K$7:$K$56,$A500,1))))</f>
        <v>0</v>
      </c>
      <c r="E501" s="1417">
        <f>IF(LEFT(E$6,4)&lt;=LEFT('RFM input'!$G$60,4),"enter input",IF(LEFT(E$6,4)&gt;LEFT('RFM input'!$Q$60,4),0,IF(MATCH(E$6,'RFM input'!$H$60:$Q$60,0),INDEX('RFM input'!$K$7:$K$56,$A500,1))))</f>
        <v>0</v>
      </c>
      <c r="F501" s="1417">
        <f>IF(LEFT(F$6,4)&lt;=LEFT('RFM input'!$G$60,4),"enter input",IF(LEFT(F$6,4)&gt;LEFT('RFM input'!$Q$60,4),0,IF(MATCH(F$6,'RFM input'!$H$60:$Q$60,0),INDEX('RFM input'!$K$7:$K$56,$A500,1))))</f>
        <v>0</v>
      </c>
      <c r="G501" s="1417">
        <f>IF(LEFT(G$6,4)&lt;=LEFT('RFM input'!$G$60,4),"enter input",IF(LEFT(G$6,4)&gt;LEFT('RFM input'!$Q$60,4),0,IF(MATCH(G$6,'RFM input'!$H$60:$Q$60,0),INDEX('RFM input'!$K$7:$K$56,$A500,1))))</f>
        <v>0</v>
      </c>
      <c r="H501" s="1417">
        <f>IF(LEFT(H$6,4)&lt;=LEFT('RFM input'!$G$60,4),"enter input",IF(LEFT(H$6,4)&gt;LEFT('RFM input'!$Q$60,4),0,IF(MATCH(H$6,'RFM input'!$H$60:$Q$60,0),INDEX('RFM input'!$K$7:$K$56,$A500,1))))</f>
        <v>0</v>
      </c>
      <c r="I501" s="1417">
        <f>IF(LEFT(I$6,4)&lt;=LEFT('RFM input'!$G$60,4),"enter input",IF(LEFT(I$6,4)&gt;LEFT('RFM input'!$Q$60,4),0,IF(MATCH(I$6,'RFM input'!$H$60:$Q$60,0),INDEX('RFM input'!$K$7:$K$56,$A500,1))))</f>
        <v>0</v>
      </c>
      <c r="J501" s="1417">
        <f>IF(LEFT(J$6,4)&lt;=LEFT('RFM input'!$G$60,4),"enter input",IF(LEFT(J$6,4)&gt;LEFT('RFM input'!$Q$60,4),0,IF(MATCH(J$6,'RFM input'!$H$60:$Q$60,0),INDEX('RFM input'!$K$7:$K$56,$A500,1))))</f>
        <v>0</v>
      </c>
      <c r="K501" s="1417">
        <f>IF(LEFT(K$6,4)&lt;=LEFT('RFM input'!$G$60,4),"enter input",IF(LEFT(K$6,4)&gt;LEFT('RFM input'!$Q$60,4),0,IF(MATCH(K$6,'RFM input'!$H$60:$Q$60,0),INDEX('RFM input'!$K$7:$K$56,$A500,1))))</f>
        <v>0</v>
      </c>
      <c r="L501" s="1417">
        <f>IF(LEFT(L$6,4)&lt;=LEFT('RFM input'!$G$60,4),"enter input",IF(LEFT(L$6,4)&gt;LEFT('RFM input'!$Q$60,4),0,IF(MATCH(L$6,'RFM input'!$H$60:$Q$60,0),INDEX('RFM input'!$K$7:$K$56,$A500,1))))</f>
        <v>0</v>
      </c>
      <c r="M501" s="1417">
        <f>IF(LEFT(M$6,4)&lt;=LEFT('RFM input'!$G$60,4),"enter input",IF(LEFT(M$6,4)&gt;LEFT('RFM input'!$Q$60,4),0,IF(MATCH(M$6,'RFM input'!$H$60:$Q$60,0),INDEX('RFM input'!$K$7:$K$56,$A500,1))))</f>
        <v>0</v>
      </c>
      <c r="N501" s="1417">
        <f>IF(LEFT(N$6,4)&lt;=LEFT('RFM input'!$G$60,4),"enter input",IF(LEFT(N$6,4)&gt;LEFT('RFM input'!$Q$60,4),0,IF(MATCH(N$6,'RFM input'!$H$60:$Q$60,0),INDEX('RFM input'!$K$7:$K$56,$A500,1))))</f>
        <v>0</v>
      </c>
      <c r="O501" s="1417">
        <f>IF(LEFT(O$6,4)&lt;=LEFT('RFM input'!$G$60,4),"enter input",IF(LEFT(O$6,4)&gt;LEFT('RFM input'!$Q$60,4),0,IF(MATCH(O$6,'RFM input'!$H$60:$Q$60,0),INDEX('RFM input'!$K$7:$K$56,$A500,1))))</f>
        <v>0</v>
      </c>
      <c r="P501" s="1417">
        <f>IF(LEFT(P$6,4)&lt;=LEFT('RFM input'!$G$60,4),"enter input",IF(LEFT(P$6,4)&gt;LEFT('RFM input'!$Q$60,4),0,IF(MATCH(P$6,'RFM input'!$H$60:$Q$60,0),INDEX('RFM input'!$K$7:$K$56,$A500,1))))</f>
        <v>0</v>
      </c>
      <c r="Q501" s="1417">
        <f>IF(LEFT(Q$6,4)&lt;=LEFT('RFM input'!$G$60,4),"enter input",IF(LEFT(Q$6,4)&gt;LEFT('RFM input'!$Q$60,4),0,IF(MATCH(Q$6,'RFM input'!$H$60:$Q$60,0),INDEX('RFM input'!$K$7:$K$56,$A500,1))))</f>
        <v>0</v>
      </c>
      <c r="R501" s="1417">
        <f>IF(LEFT(R$6,4)&lt;=LEFT('RFM input'!$G$60,4),"enter input",IF(LEFT(R$6,4)&gt;LEFT('RFM input'!$Q$60,4),0,IF(MATCH(R$6,'RFM input'!$H$60:$Q$60,0),INDEX('RFM input'!$K$7:$K$56,$A500,1))))</f>
        <v>0</v>
      </c>
      <c r="S501" s="1417">
        <f>IF(LEFT(S$6,4)&lt;=LEFT('RFM input'!$G$60,4),"enter input",IF(LEFT(S$6,4)&gt;LEFT('RFM input'!$Q$60,4),0,IF(MATCH(S$6,'RFM input'!$H$60:$Q$60,0),INDEX('RFM input'!$K$7:$K$56,$A500,1))))</f>
        <v>0</v>
      </c>
      <c r="T501" s="1417">
        <f>IF(LEFT(T$6,4)&lt;=LEFT('RFM input'!$G$60,4),"enter input",IF(LEFT(T$6,4)&gt;LEFT('RFM input'!$Q$60,4),0,IF(MATCH(T$6,'RFM input'!$H$60:$Q$60,0),INDEX('RFM input'!$K$7:$K$56,$A500,1))))</f>
        <v>0</v>
      </c>
      <c r="U501" s="1417">
        <f>IF(LEFT(U$6,4)&lt;=LEFT('RFM input'!$G$60,4),"enter input",IF(LEFT(U$6,4)&gt;LEFT('RFM input'!$Q$60,4),0,IF(MATCH(U$6,'RFM input'!$H$60:$Q$60,0),INDEX('RFM input'!$K$7:$K$56,$A500,1))))</f>
        <v>0</v>
      </c>
      <c r="V501" s="1417">
        <f>IF(LEFT(V$6,4)&lt;=LEFT('RFM input'!$G$60,4),"enter input",IF(LEFT(V$6,4)&gt;LEFT('RFM input'!$Q$60,4),0,IF(MATCH(V$6,'RFM input'!$H$60:$Q$60,0),INDEX('RFM input'!$K$7:$K$56,$A500,1))))</f>
        <v>0</v>
      </c>
      <c r="W501" s="1417">
        <f>IF(LEFT(W$6,4)&lt;=LEFT('RFM input'!$G$60,4),"enter input",IF(LEFT(W$6,4)&gt;LEFT('RFM input'!$Q$60,4),0,IF(MATCH(W$6,'RFM input'!$H$60:$Q$60,0),INDEX('RFM input'!$K$7:$K$56,$A500,1))))</f>
        <v>0</v>
      </c>
      <c r="X501" s="152"/>
      <c r="Y501" s="152"/>
      <c r="Z501" s="152"/>
      <c r="AA501" s="152"/>
      <c r="AB501" s="152"/>
    </row>
    <row r="502" spans="1:28">
      <c r="A502" s="152"/>
      <c r="B502" s="177" t="s">
        <v>191</v>
      </c>
      <c r="C502" s="1419"/>
      <c r="D502" s="1420">
        <f ca="1">IF(LEFT(D$6,4)&lt;=LEFT('RFM input'!$G$60,4),"enter input",IF(LEFT(D$6,4)&gt;LEFT('RFM input'!$Q$60,4),0,IF(D$6=(OFFSET('RFM input'!$G$60,0,'RFM input'!$V$7)),OFFSET('RFM input'!$G$411,$A500,0),0)))</f>
        <v>0</v>
      </c>
      <c r="E502" s="1417">
        <f ca="1">IF(LEFT(E$6,4)&lt;=LEFT('RFM input'!$G$60,4),"enter input",IF(LEFT(E$6,4)&gt;LEFT('RFM input'!$Q$60,4),0,IF(E$6=(OFFSET('RFM input'!$G$60,0,'RFM input'!$V$7)),OFFSET('RFM input'!$G$411,$A500,0),0)))</f>
        <v>0</v>
      </c>
      <c r="F502" s="1417">
        <f ca="1">IF(LEFT(F$6,4)&lt;=LEFT('RFM input'!$G$60,4),"enter input",IF(LEFT(F$6,4)&gt;LEFT('RFM input'!$Q$60,4),0,IF(F$6=(OFFSET('RFM input'!$G$60,0,'RFM input'!$V$7)),OFFSET('RFM input'!$G$411,$A500,0),0)))</f>
        <v>0</v>
      </c>
      <c r="G502" s="1417">
        <f ca="1">IF(LEFT(G$6,4)&lt;=LEFT('RFM input'!$G$60,4),"enter input",IF(LEFT(G$6,4)&gt;LEFT('RFM input'!$Q$60,4),0,IF(G$6=(OFFSET('RFM input'!$G$60,0,'RFM input'!$V$7)),OFFSET('RFM input'!$G$411,$A500,0),0)))</f>
        <v>0</v>
      </c>
      <c r="H502" s="1417">
        <f ca="1">IF(LEFT(H$6,4)&lt;=LEFT('RFM input'!$G$60,4),"enter input",IF(LEFT(H$6,4)&gt;LEFT('RFM input'!$Q$60,4),0,IF(H$6=(OFFSET('RFM input'!$G$60,0,'RFM input'!$V$7)),OFFSET('RFM input'!$G$411,$A500,0),0)))</f>
        <v>0</v>
      </c>
      <c r="I502" s="1417">
        <f ca="1">IF(LEFT(I$6,4)&lt;=LEFT('RFM input'!$G$60,4),"enter input",IF(LEFT(I$6,4)&gt;LEFT('RFM input'!$Q$60,4),0,IF(I$6=(OFFSET('RFM input'!$G$60,0,'RFM input'!$V$7)),OFFSET('RFM input'!$G$411,$A500,0),0)))</f>
        <v>0</v>
      </c>
      <c r="J502" s="1417">
        <f ca="1">IF(LEFT(J$6,4)&lt;=LEFT('RFM input'!$G$60,4),"enter input",IF(LEFT(J$6,4)&gt;LEFT('RFM input'!$Q$60,4),0,IF(J$6=(OFFSET('RFM input'!$G$60,0,'RFM input'!$V$7)),OFFSET('RFM input'!$G$411,$A500,0),0)))</f>
        <v>0</v>
      </c>
      <c r="K502" s="1417">
        <f ca="1">IF(LEFT(K$6,4)&lt;=LEFT('RFM input'!$G$60,4),"enter input",IF(LEFT(K$6,4)&gt;LEFT('RFM input'!$Q$60,4),0,IF(K$6=(OFFSET('RFM input'!$G$60,0,'RFM input'!$V$7)),OFFSET('RFM input'!$G$411,$A500,0),0)))</f>
        <v>0</v>
      </c>
      <c r="L502" s="1417">
        <f ca="1">IF(LEFT(L$6,4)&lt;=LEFT('RFM input'!$G$60,4),"enter input",IF(LEFT(L$6,4)&gt;LEFT('RFM input'!$Q$60,4),0,IF(L$6=(OFFSET('RFM input'!$G$60,0,'RFM input'!$V$7)),OFFSET('RFM input'!$G$411,$A500,0),0)))</f>
        <v>0</v>
      </c>
      <c r="M502" s="1417">
        <f ca="1">IF(LEFT(M$6,4)&lt;=LEFT('RFM input'!$G$60,4),"enter input",IF(LEFT(M$6,4)&gt;LEFT('RFM input'!$Q$60,4),0,IF(M$6=(OFFSET('RFM input'!$G$60,0,'RFM input'!$V$7)),OFFSET('RFM input'!$G$411,$A500,0),0)))</f>
        <v>0</v>
      </c>
      <c r="N502" s="1417">
        <f ca="1">IF(LEFT(N$6,4)&lt;=LEFT('RFM input'!$G$60,4),"enter input",IF(LEFT(N$6,4)&gt;LEFT('RFM input'!$Q$60,4),0,IF(N$6=(OFFSET('RFM input'!$G$60,0,'RFM input'!$V$7)),OFFSET('RFM input'!$G$411,$A500,0),0)))</f>
        <v>0</v>
      </c>
      <c r="O502" s="1417">
        <f ca="1">IF(LEFT(O$6,4)&lt;=LEFT('RFM input'!$G$60,4),"enter input",IF(LEFT(O$6,4)&gt;LEFT('RFM input'!$Q$60,4),0,IF(O$6=(OFFSET('RFM input'!$G$60,0,'RFM input'!$V$7)),OFFSET('RFM input'!$G$411,$A500,0),0)))</f>
        <v>0</v>
      </c>
      <c r="P502" s="1417">
        <f ca="1">IF(LEFT(P$6,4)&lt;=LEFT('RFM input'!$G$60,4),"enter input",IF(LEFT(P$6,4)&gt;LEFT('RFM input'!$Q$60,4),0,IF(P$6=(OFFSET('RFM input'!$G$60,0,'RFM input'!$V$7)),OFFSET('RFM input'!$G$411,$A500,0),0)))</f>
        <v>0</v>
      </c>
      <c r="Q502" s="1417">
        <f ca="1">IF(LEFT(Q$6,4)&lt;=LEFT('RFM input'!$G$60,4),"enter input",IF(LEFT(Q$6,4)&gt;LEFT('RFM input'!$Q$60,4),0,IF(Q$6=(OFFSET('RFM input'!$G$60,0,'RFM input'!$V$7)),OFFSET('RFM input'!$G$411,$A500,0),0)))</f>
        <v>0</v>
      </c>
      <c r="R502" s="1417">
        <f ca="1">IF(LEFT(R$6,4)&lt;=LEFT('RFM input'!$G$60,4),"enter input",IF(LEFT(R$6,4)&gt;LEFT('RFM input'!$Q$60,4),0,IF(R$6=(OFFSET('RFM input'!$G$60,0,'RFM input'!$V$7)),OFFSET('RFM input'!$G$411,$A500,0),0)))</f>
        <v>0</v>
      </c>
      <c r="S502" s="1417">
        <f ca="1">IF(LEFT(S$6,4)&lt;=LEFT('RFM input'!$G$60,4),"enter input",IF(LEFT(S$6,4)&gt;LEFT('RFM input'!$Q$60,4),0,IF(S$6=(OFFSET('RFM input'!$G$60,0,'RFM input'!$V$7)),OFFSET('RFM input'!$G$411,$A500,0),0)))</f>
        <v>0</v>
      </c>
      <c r="T502" s="1417">
        <f ca="1">IF(LEFT(T$6,4)&lt;=LEFT('RFM input'!$G$60,4),"enter input",IF(LEFT(T$6,4)&gt;LEFT('RFM input'!$Q$60,4),0,IF(T$6=(OFFSET('RFM input'!$G$60,0,'RFM input'!$V$7)),OFFSET('RFM input'!$G$411,$A500,0),0)))</f>
        <v>0</v>
      </c>
      <c r="U502" s="1417">
        <f ca="1">IF(LEFT(U$6,4)&lt;=LEFT('RFM input'!$G$60,4),"enter input",IF(LEFT(U$6,4)&gt;LEFT('RFM input'!$Q$60,4),0,IF(U$6=(OFFSET('RFM input'!$G$60,0,'RFM input'!$V$7)),OFFSET('RFM input'!$G$411,$A500,0),0)))</f>
        <v>0</v>
      </c>
      <c r="V502" s="1417">
        <f ca="1">IF(LEFT(V$6,4)&lt;=LEFT('RFM input'!$G$60,4),"enter input",IF(LEFT(V$6,4)&gt;LEFT('RFM input'!$Q$60,4),0,IF(V$6=(OFFSET('RFM input'!$G$60,0,'RFM input'!$V$7)),OFFSET('RFM input'!$G$411,$A500,0),0)))</f>
        <v>0</v>
      </c>
      <c r="W502" s="1417">
        <f ca="1">IF(LEFT(W$6,4)&lt;=LEFT('RFM input'!$G$60,4),"enter input",IF(LEFT(W$6,4)&gt;LEFT('RFM input'!$Q$60,4),0,IF(W$6=(OFFSET('RFM input'!$G$60,0,'RFM input'!$V$7)),OFFSET('RFM input'!$G$411,$A500,0),0)))</f>
        <v>0</v>
      </c>
      <c r="X502" s="152"/>
      <c r="Y502" s="152"/>
      <c r="Z502" s="152"/>
      <c r="AA502" s="152"/>
      <c r="AB502" s="152"/>
    </row>
    <row r="503" spans="1:28">
      <c r="A503" s="152"/>
      <c r="B503" s="195" t="s">
        <v>197</v>
      </c>
      <c r="C503" s="1419"/>
      <c r="D503" s="1418">
        <f ca="1">IF(LEFT(D$6,4)&lt;=LEFT('RFM input'!$G$60,4),"enter input",IF(LEFT(D$6,4)&gt;LEFT('RFM input'!$Q$60,4),0,IF(D$6=(OFFSET('RFM input'!$G$60,0,'RFM input'!$V$7)),OFFSET('RFM input'!$I$411,$A500,0),0)))</f>
        <v>0</v>
      </c>
      <c r="E503" s="1422">
        <f ca="1">IF(LEFT(E$6,4)&lt;=LEFT('RFM input'!$G$60,4),"enter input",IF(LEFT(E$6,4)&gt;LEFT('RFM input'!$Q$60,4),0,IF(E$6=(OFFSET('RFM input'!$G$60,0,'RFM input'!$V$7)),OFFSET('RFM input'!$I$411,$A500,0),0)))</f>
        <v>0</v>
      </c>
      <c r="F503" s="1422">
        <f ca="1">IF(LEFT(F$6,4)&lt;=LEFT('RFM input'!$G$60,4),"enter input",IF(LEFT(F$6,4)&gt;LEFT('RFM input'!$Q$60,4),0,IF(F$6=(OFFSET('RFM input'!$G$60,0,'RFM input'!$V$7)),OFFSET('RFM input'!$I$411,$A500,0),0)))</f>
        <v>0</v>
      </c>
      <c r="G503" s="1422">
        <f ca="1">IF(LEFT(G$6,4)&lt;=LEFT('RFM input'!$G$60,4),"enter input",IF(LEFT(G$6,4)&gt;LEFT('RFM input'!$Q$60,4),0,IF(G$6=(OFFSET('RFM input'!$G$60,0,'RFM input'!$V$7)),OFFSET('RFM input'!$I$411,$A500,0),0)))</f>
        <v>0</v>
      </c>
      <c r="H503" s="1422">
        <f ca="1">IF(LEFT(H$6,4)&lt;=LEFT('RFM input'!$G$60,4),"enter input",IF(LEFT(H$6,4)&gt;LEFT('RFM input'!$Q$60,4),0,IF(H$6=(OFFSET('RFM input'!$G$60,0,'RFM input'!$V$7)),OFFSET('RFM input'!$I$411,$A500,0),0)))</f>
        <v>0</v>
      </c>
      <c r="I503" s="1422">
        <f ca="1">IF(LEFT(I$6,4)&lt;=LEFT('RFM input'!$G$60,4),"enter input",IF(LEFT(I$6,4)&gt;LEFT('RFM input'!$Q$60,4),0,IF(I$6=(OFFSET('RFM input'!$G$60,0,'RFM input'!$V$7)),OFFSET('RFM input'!$I$411,$A500,0),0)))</f>
        <v>0</v>
      </c>
      <c r="J503" s="1422">
        <f ca="1">IF(LEFT(J$6,4)&lt;=LEFT('RFM input'!$G$60,4),"enter input",IF(LEFT(J$6,4)&gt;LEFT('RFM input'!$Q$60,4),0,IF(J$6=(OFFSET('RFM input'!$G$60,0,'RFM input'!$V$7)),OFFSET('RFM input'!$I$411,$A500,0),0)))</f>
        <v>0</v>
      </c>
      <c r="K503" s="1422">
        <f ca="1">IF(LEFT(K$6,4)&lt;=LEFT('RFM input'!$G$60,4),"enter input",IF(LEFT(K$6,4)&gt;LEFT('RFM input'!$Q$60,4),0,IF(K$6=(OFFSET('RFM input'!$G$60,0,'RFM input'!$V$7)),OFFSET('RFM input'!$I$411,$A500,0),0)))</f>
        <v>0</v>
      </c>
      <c r="L503" s="1422">
        <f ca="1">IF(LEFT(L$6,4)&lt;=LEFT('RFM input'!$G$60,4),"enter input",IF(LEFT(L$6,4)&gt;LEFT('RFM input'!$Q$60,4),0,IF(L$6=(OFFSET('RFM input'!$G$60,0,'RFM input'!$V$7)),OFFSET('RFM input'!$I$411,$A500,0),0)))</f>
        <v>0</v>
      </c>
      <c r="M503" s="1422">
        <f ca="1">IF(LEFT(M$6,4)&lt;=LEFT('RFM input'!$G$60,4),"enter input",IF(LEFT(M$6,4)&gt;LEFT('RFM input'!$Q$60,4),0,IF(M$6=(OFFSET('RFM input'!$G$60,0,'RFM input'!$V$7)),OFFSET('RFM input'!$I$411,$A500,0),0)))</f>
        <v>0</v>
      </c>
      <c r="N503" s="1422">
        <f ca="1">IF(LEFT(N$6,4)&lt;=LEFT('RFM input'!$G$60,4),"enter input",IF(LEFT(N$6,4)&gt;LEFT('RFM input'!$Q$60,4),0,IF(N$6=(OFFSET('RFM input'!$G$60,0,'RFM input'!$V$7)),OFFSET('RFM input'!$I$411,$A500,0),0)))</f>
        <v>0</v>
      </c>
      <c r="O503" s="1422">
        <f ca="1">IF(LEFT(O$6,4)&lt;=LEFT('RFM input'!$G$60,4),"enter input",IF(LEFT(O$6,4)&gt;LEFT('RFM input'!$Q$60,4),0,IF(O$6=(OFFSET('RFM input'!$G$60,0,'RFM input'!$V$7)),OFFSET('RFM input'!$I$411,$A500,0),0)))</f>
        <v>0</v>
      </c>
      <c r="P503" s="1422">
        <f ca="1">IF(LEFT(P$6,4)&lt;=LEFT('RFM input'!$G$60,4),"enter input",IF(LEFT(P$6,4)&gt;LEFT('RFM input'!$Q$60,4),0,IF(P$6=(OFFSET('RFM input'!$G$60,0,'RFM input'!$V$7)),OFFSET('RFM input'!$I$411,$A500,0),0)))</f>
        <v>0</v>
      </c>
      <c r="Q503" s="1422">
        <f ca="1">IF(LEFT(Q$6,4)&lt;=LEFT('RFM input'!$G$60,4),"enter input",IF(LEFT(Q$6,4)&gt;LEFT('RFM input'!$Q$60,4),0,IF(Q$6=(OFFSET('RFM input'!$G$60,0,'RFM input'!$V$7)),OFFSET('RFM input'!$I$411,$A500,0),0)))</f>
        <v>0</v>
      </c>
      <c r="R503" s="1422">
        <f ca="1">IF(LEFT(R$6,4)&lt;=LEFT('RFM input'!$G$60,4),"enter input",IF(LEFT(R$6,4)&gt;LEFT('RFM input'!$Q$60,4),0,IF(R$6=(OFFSET('RFM input'!$G$60,0,'RFM input'!$V$7)),OFFSET('RFM input'!$I$411,$A500,0),0)))</f>
        <v>0</v>
      </c>
      <c r="S503" s="1422">
        <f ca="1">IF(LEFT(S$6,4)&lt;=LEFT('RFM input'!$G$60,4),"enter input",IF(LEFT(S$6,4)&gt;LEFT('RFM input'!$Q$60,4),0,IF(S$6=(OFFSET('RFM input'!$G$60,0,'RFM input'!$V$7)),OFFSET('RFM input'!$I$411,$A500,0),0)))</f>
        <v>0</v>
      </c>
      <c r="T503" s="1422">
        <f ca="1">IF(LEFT(T$6,4)&lt;=LEFT('RFM input'!$G$60,4),"enter input",IF(LEFT(T$6,4)&gt;LEFT('RFM input'!$Q$60,4),0,IF(T$6=(OFFSET('RFM input'!$G$60,0,'RFM input'!$V$7)),OFFSET('RFM input'!$I$411,$A500,0),0)))</f>
        <v>0</v>
      </c>
      <c r="U503" s="1422">
        <f ca="1">IF(LEFT(U$6,4)&lt;=LEFT('RFM input'!$G$60,4),"enter input",IF(LEFT(U$6,4)&gt;LEFT('RFM input'!$Q$60,4),0,IF(U$6=(OFFSET('RFM input'!$G$60,0,'RFM input'!$V$7)),OFFSET('RFM input'!$I$411,$A500,0),0)))</f>
        <v>0</v>
      </c>
      <c r="V503" s="1422">
        <f ca="1">IF(LEFT(V$6,4)&lt;=LEFT('RFM input'!$G$60,4),"enter input",IF(LEFT(V$6,4)&gt;LEFT('RFM input'!$Q$60,4),0,IF(V$6=(OFFSET('RFM input'!$G$60,0,'RFM input'!$V$7)),OFFSET('RFM input'!$I$411,$A500,0),0)))</f>
        <v>0</v>
      </c>
      <c r="W503" s="1422">
        <f ca="1">IF(LEFT(W$6,4)&lt;=LEFT('RFM input'!$G$60,4),"enter input",IF(LEFT(W$6,4)&gt;LEFT('RFM input'!$Q$60,4),0,IF(W$6=(OFFSET('RFM input'!$G$60,0,'RFM input'!$V$7)),OFFSET('RFM input'!$I$411,$A500,0),0)))</f>
        <v>0</v>
      </c>
      <c r="X503" s="152"/>
      <c r="Y503" s="152"/>
      <c r="Z503" s="152"/>
      <c r="AA503" s="152"/>
      <c r="AB503" s="152"/>
    </row>
    <row r="504" spans="1:28" hidden="1" outlineLevel="1">
      <c r="A504" s="235">
        <v>-1</v>
      </c>
      <c r="B504" s="190" t="s">
        <v>189</v>
      </c>
      <c r="C504" s="1423"/>
      <c r="D504" s="1423">
        <f ca="1">IF(AND(D502=0,C504=0),0,
IF(AND(D502&lt;&gt;0,C504=0),(D502/D$10),
IF(AND(D503&lt;&gt;0,C504&lt;&gt;0),(C504-(C504/C528))+(D502/D$10),
IF(C528&lt;1,0,(C504-(C504/C528))))))</f>
        <v>0</v>
      </c>
      <c r="E504" s="1423">
        <f t="shared" ref="E504" ca="1" si="694">IF(AND(E502=0,D504=0),0,
IF(AND(E502&lt;&gt;0,D504=0),(E502/E$10),
IF(AND(E503&lt;&gt;0,D504&lt;&gt;0),(D504-(D504/D528))+(E502/E$10),
IF(D528&lt;1,0,(D504-(D504/D528))))))</f>
        <v>0</v>
      </c>
      <c r="F504" s="1423">
        <f t="shared" ref="F504" ca="1" si="695">IF(AND(F502=0,E504=0),0,
IF(AND(F502&lt;&gt;0,E504=0),(F502/F$10),
IF(AND(F503&lt;&gt;0,E504&lt;&gt;0),(E504-(E504/E528))+(F502/F$10),
IF(E528&lt;1,0,(E504-(E504/E528))))))</f>
        <v>0</v>
      </c>
      <c r="G504" s="1423">
        <f t="shared" ref="G504" ca="1" si="696">IF(AND(G502=0,F504=0),0,
IF(AND(G502&lt;&gt;0,F504=0),(G502/G$10),
IF(AND(G503&lt;&gt;0,F504&lt;&gt;0),(F504-(F504/F528))+(G502/G$10),
IF(F528&lt;1,0,(F504-(F504/F528))))))</f>
        <v>0</v>
      </c>
      <c r="H504" s="1423">
        <f t="shared" ref="H504" ca="1" si="697">IF(AND(H502=0,G504=0),0,
IF(AND(H502&lt;&gt;0,G504=0),(H502/H$10),
IF(AND(H503&lt;&gt;0,G504&lt;&gt;0),(G504-(G504/G528))+(H502/H$10),
IF(G528&lt;1,0,(G504-(G504/G528))))))</f>
        <v>0</v>
      </c>
      <c r="I504" s="1423">
        <f t="shared" ref="I504" ca="1" si="698">IF(AND(I502=0,H504=0),0,
IF(AND(I502&lt;&gt;0,H504=0),(I502/I$10),
IF(AND(I503&lt;&gt;0,H504&lt;&gt;0),(H504-(H504/H528))+(I502/I$10),
IF(H528&lt;1,0,(H504-(H504/H528))))))</f>
        <v>0</v>
      </c>
      <c r="J504" s="1423">
        <f t="shared" ref="J504" ca="1" si="699">IF(AND(J502=0,I504=0),0,
IF(AND(J502&lt;&gt;0,I504=0),(J502/J$10),
IF(AND(J503&lt;&gt;0,I504&lt;&gt;0),(I504-(I504/I528))+(J502/J$10),
IF(I528&lt;1,0,(I504-(I504/I528))))))</f>
        <v>0</v>
      </c>
      <c r="K504" s="1423">
        <f t="shared" ref="K504" ca="1" si="700">IF(AND(K502=0,J504=0),0,
IF(AND(K502&lt;&gt;0,J504=0),(K502/K$10),
IF(AND(K503&lt;&gt;0,J504&lt;&gt;0),(J504-(J504/J528))+(K502/K$10),
IF(J528&lt;1,0,(J504-(J504/J528))))))</f>
        <v>0</v>
      </c>
      <c r="L504" s="1423">
        <f t="shared" ref="L504" ca="1" si="701">IF(AND(L502=0,K504=0),0,
IF(AND(L502&lt;&gt;0,K504=0),(L502/L$10),
IF(AND(L503&lt;&gt;0,K504&lt;&gt;0),(K504-(K504/K528))+(L502/L$10),
IF(K528&lt;1,0,(K504-(K504/K528))))))</f>
        <v>0</v>
      </c>
      <c r="M504" s="1423">
        <f t="shared" ref="M504" ca="1" si="702">IF(AND(M502=0,L504=0),0,
IF(AND(M502&lt;&gt;0,L504=0),(M502/M$10),
IF(AND(M503&lt;&gt;0,L504&lt;&gt;0),(L504-(L504/L528))+(M502/M$10),
IF(L528&lt;1,0,(L504-(L504/L528))))))</f>
        <v>0</v>
      </c>
      <c r="N504" s="1423">
        <f t="shared" ref="N504" ca="1" si="703">IF(AND(N502=0,M504=0),0,
IF(AND(N502&lt;&gt;0,M504=0),(N502/N$10),
IF(AND(N503&lt;&gt;0,M504&lt;&gt;0),(M504-(M504/M528))+(N502/N$10),
IF(M528&lt;1,0,(M504-(M504/M528))))))</f>
        <v>0</v>
      </c>
      <c r="O504" s="1423">
        <f t="shared" ref="O504" ca="1" si="704">IF(AND(O502=0,N504=0),0,
IF(AND(O502&lt;&gt;0,N504=0),(O502/O$10),
IF(AND(O503&lt;&gt;0,N504&lt;&gt;0),(N504-(N504/N528))+(O502/O$10),
IF(N528&lt;1,0,(N504-(N504/N528))))))</f>
        <v>0</v>
      </c>
      <c r="P504" s="1423">
        <f t="shared" ref="P504" ca="1" si="705">IF(AND(P502=0,O504=0),0,
IF(AND(P502&lt;&gt;0,O504=0),(P502/P$10),
IF(AND(P503&lt;&gt;0,O504&lt;&gt;0),(O504-(O504/O528))+(P502/P$10),
IF(O528&lt;1,0,(O504-(O504/O528))))))</f>
        <v>0</v>
      </c>
      <c r="Q504" s="1423">
        <f t="shared" ref="Q504" ca="1" si="706">IF(AND(Q502=0,P504=0),0,
IF(AND(Q502&lt;&gt;0,P504=0),(Q502/Q$10),
IF(AND(Q503&lt;&gt;0,P504&lt;&gt;0),(P504-(P504/P528))+(Q502/Q$10),
IF(P528&lt;1,0,(P504-(P504/P528))))))</f>
        <v>0</v>
      </c>
      <c r="R504" s="1423">
        <f t="shared" ref="R504" ca="1" si="707">IF(AND(R502=0,Q504=0),0,
IF(AND(R502&lt;&gt;0,Q504=0),(R502/R$10),
IF(AND(R503&lt;&gt;0,Q504&lt;&gt;0),(Q504-(Q504/Q528))+(R502/R$10),
IF(Q528&lt;1,0,(Q504-(Q504/Q528))))))</f>
        <v>0</v>
      </c>
      <c r="S504" s="1423">
        <f t="shared" ref="S504" ca="1" si="708">IF(AND(S502=0,R504=0),0,
IF(AND(S502&lt;&gt;0,R504=0),(S502/S$10),
IF(AND(S503&lt;&gt;0,R504&lt;&gt;0),(R504-(R504/R528))+(S502/S$10),
IF(R528&lt;1,0,(R504-(R504/R528))))))</f>
        <v>0</v>
      </c>
      <c r="T504" s="1423">
        <f t="shared" ref="T504" ca="1" si="709">IF(AND(T502=0,S504=0),0,
IF(AND(T502&lt;&gt;0,S504=0),(T502/T$10),
IF(AND(T503&lt;&gt;0,S504&lt;&gt;0),(S504-(S504/S528))+(T502/T$10),
IF(S528&lt;1,0,(S504-(S504/S528))))))</f>
        <v>0</v>
      </c>
      <c r="U504" s="1423">
        <f t="shared" ref="U504" ca="1" si="710">IF(AND(U502=0,T504=0),0,
IF(AND(U502&lt;&gt;0,T504=0),(U502/U$10),
IF(AND(U503&lt;&gt;0,T504&lt;&gt;0),(T504-(T504/T528))+(U502/U$10),
IF(T528&lt;1,0,(T504-(T504/T528))))))</f>
        <v>0</v>
      </c>
      <c r="V504" s="1423">
        <f t="shared" ref="V504" ca="1" si="711">IF(AND(V502=0,U504=0),0,
IF(AND(V502&lt;&gt;0,U504=0),(V502/V$10),
IF(AND(V503&lt;&gt;0,U504&lt;&gt;0),(U504-(U504/U528))+(V502/V$10),
IF(U528&lt;1,0,(U504-(U504/U528))))))</f>
        <v>0</v>
      </c>
      <c r="W504" s="1423">
        <f t="shared" ref="W504" ca="1" si="712">IF(AND(W502=0,V504=0),0,
IF(AND(W502&lt;&gt;0,V504=0),(W502/W$10),
IF(AND(W503&lt;&gt;0,V504&lt;&gt;0),(V504-(V504/V528))+(W502/W$10),
IF(V528&lt;1,0,(V504-(V504/V528))))))</f>
        <v>0</v>
      </c>
      <c r="X504" s="152"/>
      <c r="Y504" s="152"/>
      <c r="Z504" s="152"/>
      <c r="AA504" s="152"/>
      <c r="AB504" s="152"/>
    </row>
    <row r="505" spans="1:28" hidden="1" outlineLevel="1">
      <c r="A505" s="199">
        <f>A504+1</f>
        <v>0</v>
      </c>
      <c r="B505" s="190" t="s">
        <v>125</v>
      </c>
      <c r="C505" s="1423">
        <f ca="1">C500/C$10</f>
        <v>0</v>
      </c>
      <c r="D505" s="1423">
        <f ca="1">IF(C529="n/a",C505,IFERROR(IF((OFFSET($C505,0,$A505))&lt;0,
MIN(0,C505-(OFFSET($C505,0,$A505)/(OFFSET($C500,-$A504,$A505)))),
MAX(0,C505-(OFFSET($C505,0,$A505)/(OFFSET($C500,-$A504,$A505))))),0))</f>
        <v>0</v>
      </c>
      <c r="E505" s="1423">
        <f t="shared" ref="E505" ca="1" si="713">IF(D529="n/a",D505,IFERROR(IF((OFFSET($C505,0,$A505))&lt;0,
MIN(0,D505-(OFFSET($C505,0,$A505)/(OFFSET($C500,-$A504,$A505)))),
MAX(0,D505-(OFFSET($C505,0,$A505)/(OFFSET($C500,-$A504,$A505))))),0))</f>
        <v>0</v>
      </c>
      <c r="F505" s="1423">
        <f t="shared" ref="F505:F506" ca="1" si="714">IF(E529="n/a",E505,IFERROR(IF((OFFSET($C505,0,$A505))&lt;0,
MIN(0,E505-(OFFSET($C505,0,$A505)/(OFFSET($C500,-$A504,$A505)))),
MAX(0,E505-(OFFSET($C505,0,$A505)/(OFFSET($C500,-$A504,$A505))))),0))</f>
        <v>0</v>
      </c>
      <c r="G505" s="1423">
        <f t="shared" ref="G505:G507" ca="1" si="715">IF(F529="n/a",F505,IFERROR(IF((OFFSET($C505,0,$A505))&lt;0,
MIN(0,F505-(OFFSET($C505,0,$A505)/(OFFSET($C500,-$A504,$A505)))),
MAX(0,F505-(OFFSET($C505,0,$A505)/(OFFSET($C500,-$A504,$A505))))),0))</f>
        <v>0</v>
      </c>
      <c r="H505" s="1423">
        <f t="shared" ref="H505:H508" ca="1" si="716">IF(G529="n/a",G505,IFERROR(IF((OFFSET($C505,0,$A505))&lt;0,
MIN(0,G505-(OFFSET($C505,0,$A505)/(OFFSET($C500,-$A504,$A505)))),
MAX(0,G505-(OFFSET($C505,0,$A505)/(OFFSET($C500,-$A504,$A505))))),0))</f>
        <v>0</v>
      </c>
      <c r="I505" s="1423">
        <f t="shared" ref="I505:I509" ca="1" si="717">IF(H529="n/a",H505,IFERROR(IF((OFFSET($C505,0,$A505))&lt;0,
MIN(0,H505-(OFFSET($C505,0,$A505)/(OFFSET($C500,-$A504,$A505)))),
MAX(0,H505-(OFFSET($C505,0,$A505)/(OFFSET($C500,-$A504,$A505))))),0))</f>
        <v>0</v>
      </c>
      <c r="J505" s="1423">
        <f t="shared" ref="J505:J510" ca="1" si="718">IF(I529="n/a",I505,IFERROR(IF((OFFSET($C505,0,$A505))&lt;0,
MIN(0,I505-(OFFSET($C505,0,$A505)/(OFFSET($C500,-$A504,$A505)))),
MAX(0,I505-(OFFSET($C505,0,$A505)/(OFFSET($C500,-$A504,$A505))))),0))</f>
        <v>0</v>
      </c>
      <c r="K505" s="1423">
        <f t="shared" ref="K505:K511" ca="1" si="719">IF(J529="n/a",J505,IFERROR(IF((OFFSET($C505,0,$A505))&lt;0,
MIN(0,J505-(OFFSET($C505,0,$A505)/(OFFSET($C500,-$A504,$A505)))),
MAX(0,J505-(OFFSET($C505,0,$A505)/(OFFSET($C500,-$A504,$A505))))),0))</f>
        <v>0</v>
      </c>
      <c r="L505" s="1423">
        <f t="shared" ref="L505:L512" ca="1" si="720">IF(K529="n/a",K505,IFERROR(IF((OFFSET($C505,0,$A505))&lt;0,
MIN(0,K505-(OFFSET($C505,0,$A505)/(OFFSET($C500,-$A504,$A505)))),
MAX(0,K505-(OFFSET($C505,0,$A505)/(OFFSET($C500,-$A504,$A505))))),0))</f>
        <v>0</v>
      </c>
      <c r="M505" s="1423">
        <f t="shared" ref="M505:M513" ca="1" si="721">IF(L529="n/a",L505,IFERROR(IF((OFFSET($C505,0,$A505))&lt;0,
MIN(0,L505-(OFFSET($C505,0,$A505)/(OFFSET($C500,-$A504,$A505)))),
MAX(0,L505-(OFFSET($C505,0,$A505)/(OFFSET($C500,-$A504,$A505))))),0))</f>
        <v>0</v>
      </c>
      <c r="N505" s="1423">
        <f t="shared" ref="N505:N514" ca="1" si="722">IF(M529="n/a",M505,IFERROR(IF((OFFSET($C505,0,$A505))&lt;0,
MIN(0,M505-(OFFSET($C505,0,$A505)/(OFFSET($C500,-$A504,$A505)))),
MAX(0,M505-(OFFSET($C505,0,$A505)/(OFFSET($C500,-$A504,$A505))))),0))</f>
        <v>0</v>
      </c>
      <c r="O505" s="1423">
        <f t="shared" ref="O505:O515" ca="1" si="723">IF(N529="n/a",N505,IFERROR(IF((OFFSET($C505,0,$A505))&lt;0,
MIN(0,N505-(OFFSET($C505,0,$A505)/(OFFSET($C500,-$A504,$A505)))),
MAX(0,N505-(OFFSET($C505,0,$A505)/(OFFSET($C500,-$A504,$A505))))),0))</f>
        <v>0</v>
      </c>
      <c r="P505" s="1423">
        <f t="shared" ref="P505:P516" ca="1" si="724">IF(O529="n/a",O505,IFERROR(IF((OFFSET($C505,0,$A505))&lt;0,
MIN(0,O505-(OFFSET($C505,0,$A505)/(OFFSET($C500,-$A504,$A505)))),
MAX(0,O505-(OFFSET($C505,0,$A505)/(OFFSET($C500,-$A504,$A505))))),0))</f>
        <v>0</v>
      </c>
      <c r="Q505" s="1423">
        <f t="shared" ref="Q505:Q517" ca="1" si="725">IF(P529="n/a",P505,IFERROR(IF((OFFSET($C505,0,$A505))&lt;0,
MIN(0,P505-(OFFSET($C505,0,$A505)/(OFFSET($C500,-$A504,$A505)))),
MAX(0,P505-(OFFSET($C505,0,$A505)/(OFFSET($C500,-$A504,$A505))))),0))</f>
        <v>0</v>
      </c>
      <c r="R505" s="1423">
        <f t="shared" ref="R505:R518" ca="1" si="726">IF(Q529="n/a",Q505,IFERROR(IF((OFFSET($C505,0,$A505))&lt;0,
MIN(0,Q505-(OFFSET($C505,0,$A505)/(OFFSET($C500,-$A504,$A505)))),
MAX(0,Q505-(OFFSET($C505,0,$A505)/(OFFSET($C500,-$A504,$A505))))),0))</f>
        <v>0</v>
      </c>
      <c r="S505" s="1423">
        <f t="shared" ref="S505:S519" ca="1" si="727">IF(R529="n/a",R505,IFERROR(IF((OFFSET($C505,0,$A505))&lt;0,
MIN(0,R505-(OFFSET($C505,0,$A505)/(OFFSET($C500,-$A504,$A505)))),
MAX(0,R505-(OFFSET($C505,0,$A505)/(OFFSET($C500,-$A504,$A505))))),0))</f>
        <v>0</v>
      </c>
      <c r="T505" s="1423">
        <f t="shared" ref="T505:T520" ca="1" si="728">IF(S529="n/a",S505,IFERROR(IF((OFFSET($C505,0,$A505))&lt;0,
MIN(0,S505-(OFFSET($C505,0,$A505)/(OFFSET($C500,-$A504,$A505)))),
MAX(0,S505-(OFFSET($C505,0,$A505)/(OFFSET($C500,-$A504,$A505))))),0))</f>
        <v>0</v>
      </c>
      <c r="U505" s="1423">
        <f t="shared" ref="U505:U521" ca="1" si="729">IF(T529="n/a",T505,IFERROR(IF((OFFSET($C505,0,$A505))&lt;0,
MIN(0,T505-(OFFSET($C505,0,$A505)/(OFFSET($C500,-$A504,$A505)))),
MAX(0,T505-(OFFSET($C505,0,$A505)/(OFFSET($C500,-$A504,$A505))))),0))</f>
        <v>0</v>
      </c>
      <c r="V505" s="1423">
        <f t="shared" ref="V505:V522" ca="1" si="730">IF(U529="n/a",U505,IFERROR(IF((OFFSET($C505,0,$A505))&lt;0,
MIN(0,U505-(OFFSET($C505,0,$A505)/(OFFSET($C500,-$A504,$A505)))),
MAX(0,U505-(OFFSET($C505,0,$A505)/(OFFSET($C500,-$A504,$A505))))),0))</f>
        <v>0</v>
      </c>
      <c r="W505" s="1423">
        <f t="shared" ref="W505:W523" ca="1" si="731">IF(V529="n/a",V505,IFERROR(IF((OFFSET($C505,0,$A505))&lt;0,
MIN(0,V505-(OFFSET($C505,0,$A505)/(OFFSET($C500,-$A504,$A505)))),
MAX(0,V505-(OFFSET($C505,0,$A505)/(OFFSET($C500,-$A504,$A505))))),0))</f>
        <v>0</v>
      </c>
      <c r="X505" s="152"/>
      <c r="Y505" s="152"/>
      <c r="Z505" s="152"/>
      <c r="AA505" s="152"/>
      <c r="AB505" s="152"/>
    </row>
    <row r="506" spans="1:28" hidden="1" outlineLevel="1">
      <c r="A506" s="199">
        <f t="shared" ref="A506:A525" si="732">A505+1</f>
        <v>1</v>
      </c>
      <c r="B506" s="190" t="str">
        <f t="shared" ref="B506:B524" ca="1" si="733">"Depreciated Net Capex "&amp;OFFSET($C$6,0,A506)</f>
        <v>Depreciated Net Capex 2016-17</v>
      </c>
      <c r="C506" s="1424"/>
      <c r="D506" s="1425">
        <f>(D500*((1+D$11)^0.5)/D$10)</f>
        <v>0</v>
      </c>
      <c r="E506" s="1423">
        <f ca="1">IF(D530="n/a",D506,IFERROR(IF((OFFSET($C506,0,$A506))&lt;0,
MIN(0,D506-(OFFSET($C506,0,$A506)/(OFFSET($C501,-$A505,$A506)))),
MAX(0,D506-(OFFSET($C506,0,$A506)/(OFFSET($C501,-$A505,$A506))))),0))</f>
        <v>0</v>
      </c>
      <c r="F506" s="1423">
        <f t="shared" ca="1" si="714"/>
        <v>0</v>
      </c>
      <c r="G506" s="1423">
        <f t="shared" ca="1" si="715"/>
        <v>0</v>
      </c>
      <c r="H506" s="1423">
        <f t="shared" ca="1" si="716"/>
        <v>0</v>
      </c>
      <c r="I506" s="1423">
        <f t="shared" ca="1" si="717"/>
        <v>0</v>
      </c>
      <c r="J506" s="1423">
        <f t="shared" ca="1" si="718"/>
        <v>0</v>
      </c>
      <c r="K506" s="1423">
        <f t="shared" ca="1" si="719"/>
        <v>0</v>
      </c>
      <c r="L506" s="1423">
        <f t="shared" ca="1" si="720"/>
        <v>0</v>
      </c>
      <c r="M506" s="1423">
        <f t="shared" ca="1" si="721"/>
        <v>0</v>
      </c>
      <c r="N506" s="1423">
        <f t="shared" ca="1" si="722"/>
        <v>0</v>
      </c>
      <c r="O506" s="1423">
        <f t="shared" ca="1" si="723"/>
        <v>0</v>
      </c>
      <c r="P506" s="1423">
        <f t="shared" ca="1" si="724"/>
        <v>0</v>
      </c>
      <c r="Q506" s="1423">
        <f t="shared" ca="1" si="725"/>
        <v>0</v>
      </c>
      <c r="R506" s="1423">
        <f t="shared" ca="1" si="726"/>
        <v>0</v>
      </c>
      <c r="S506" s="1423">
        <f t="shared" ca="1" si="727"/>
        <v>0</v>
      </c>
      <c r="T506" s="1423">
        <f t="shared" ca="1" si="728"/>
        <v>0</v>
      </c>
      <c r="U506" s="1423">
        <f t="shared" ca="1" si="729"/>
        <v>0</v>
      </c>
      <c r="V506" s="1423">
        <f t="shared" ca="1" si="730"/>
        <v>0</v>
      </c>
      <c r="W506" s="1423">
        <f t="shared" ca="1" si="731"/>
        <v>0</v>
      </c>
      <c r="X506" s="152"/>
      <c r="Y506" s="152"/>
      <c r="Z506" s="152"/>
      <c r="AA506" s="152"/>
      <c r="AB506" s="152"/>
    </row>
    <row r="507" spans="1:28" hidden="1" outlineLevel="1">
      <c r="A507" s="199">
        <f t="shared" si="732"/>
        <v>2</v>
      </c>
      <c r="B507" s="190" t="str">
        <f t="shared" ca="1" si="733"/>
        <v>Depreciated Net Capex 2017-18</v>
      </c>
      <c r="C507" s="1426"/>
      <c r="D507" s="1427"/>
      <c r="E507" s="1425">
        <f>(E500*((1+E$11)^0.5)/E$10)</f>
        <v>0</v>
      </c>
      <c r="F507" s="1423">
        <f ca="1">IF(E531="n/a",E507,IFERROR(IF((OFFSET($C507,0,$A507))&lt;0,
MIN(0,E507-(OFFSET($C507,0,$A507)/(OFFSET($C502,-$A506,$A507)))),
MAX(0,E507-(OFFSET($C507,0,$A507)/(OFFSET($C502,-$A506,$A507))))),0))</f>
        <v>0</v>
      </c>
      <c r="G507" s="1423">
        <f t="shared" ca="1" si="715"/>
        <v>0</v>
      </c>
      <c r="H507" s="1423">
        <f t="shared" ca="1" si="716"/>
        <v>0</v>
      </c>
      <c r="I507" s="1423">
        <f t="shared" ca="1" si="717"/>
        <v>0</v>
      </c>
      <c r="J507" s="1423">
        <f t="shared" ca="1" si="718"/>
        <v>0</v>
      </c>
      <c r="K507" s="1423">
        <f t="shared" ca="1" si="719"/>
        <v>0</v>
      </c>
      <c r="L507" s="1423">
        <f t="shared" ca="1" si="720"/>
        <v>0</v>
      </c>
      <c r="M507" s="1423">
        <f t="shared" ca="1" si="721"/>
        <v>0</v>
      </c>
      <c r="N507" s="1423">
        <f t="shared" ca="1" si="722"/>
        <v>0</v>
      </c>
      <c r="O507" s="1423">
        <f t="shared" ca="1" si="723"/>
        <v>0</v>
      </c>
      <c r="P507" s="1423">
        <f t="shared" ca="1" si="724"/>
        <v>0</v>
      </c>
      <c r="Q507" s="1423">
        <f t="shared" ca="1" si="725"/>
        <v>0</v>
      </c>
      <c r="R507" s="1423">
        <f t="shared" ca="1" si="726"/>
        <v>0</v>
      </c>
      <c r="S507" s="1423">
        <f t="shared" ca="1" si="727"/>
        <v>0</v>
      </c>
      <c r="T507" s="1423">
        <f t="shared" ca="1" si="728"/>
        <v>0</v>
      </c>
      <c r="U507" s="1423">
        <f t="shared" ca="1" si="729"/>
        <v>0</v>
      </c>
      <c r="V507" s="1423">
        <f t="shared" ca="1" si="730"/>
        <v>0</v>
      </c>
      <c r="W507" s="1423">
        <f t="shared" ca="1" si="731"/>
        <v>0</v>
      </c>
      <c r="X507" s="202"/>
      <c r="Y507" s="152"/>
      <c r="Z507" s="152"/>
      <c r="AA507" s="152"/>
      <c r="AB507" s="152"/>
    </row>
    <row r="508" spans="1:28" hidden="1" outlineLevel="1">
      <c r="A508" s="199">
        <f t="shared" si="732"/>
        <v>3</v>
      </c>
      <c r="B508" s="190" t="str">
        <f t="shared" ca="1" si="733"/>
        <v>Depreciated Net Capex 2018-19</v>
      </c>
      <c r="C508" s="1426"/>
      <c r="D508" s="1426"/>
      <c r="E508" s="1427"/>
      <c r="F508" s="1428">
        <f>($F500*((1+F$11)^0.5)/F$10)</f>
        <v>0</v>
      </c>
      <c r="G508" s="1423">
        <f ca="1">IF(F532="n/a",F508,IFERROR(IF((OFFSET($C508,0,$A508))&lt;0,
MIN(0,F508-(OFFSET($C508,0,$A508)/(OFFSET($C503,-$A507,$A508)))),
MAX(0,F508-(OFFSET($C508,0,$A508)/(OFFSET($C503,-$A507,$A508))))),0))</f>
        <v>0</v>
      </c>
      <c r="H508" s="1423">
        <f t="shared" ca="1" si="716"/>
        <v>0</v>
      </c>
      <c r="I508" s="1423">
        <f t="shared" ca="1" si="717"/>
        <v>0</v>
      </c>
      <c r="J508" s="1423">
        <f t="shared" ca="1" si="718"/>
        <v>0</v>
      </c>
      <c r="K508" s="1423">
        <f t="shared" ca="1" si="719"/>
        <v>0</v>
      </c>
      <c r="L508" s="1423">
        <f t="shared" ca="1" si="720"/>
        <v>0</v>
      </c>
      <c r="M508" s="1423">
        <f t="shared" ca="1" si="721"/>
        <v>0</v>
      </c>
      <c r="N508" s="1423">
        <f t="shared" ca="1" si="722"/>
        <v>0</v>
      </c>
      <c r="O508" s="1423">
        <f t="shared" ca="1" si="723"/>
        <v>0</v>
      </c>
      <c r="P508" s="1423">
        <f t="shared" ca="1" si="724"/>
        <v>0</v>
      </c>
      <c r="Q508" s="1423">
        <f t="shared" ca="1" si="725"/>
        <v>0</v>
      </c>
      <c r="R508" s="1423">
        <f t="shared" ca="1" si="726"/>
        <v>0</v>
      </c>
      <c r="S508" s="1423">
        <f t="shared" ca="1" si="727"/>
        <v>0</v>
      </c>
      <c r="T508" s="1423">
        <f t="shared" ca="1" si="728"/>
        <v>0</v>
      </c>
      <c r="U508" s="1423">
        <f t="shared" ca="1" si="729"/>
        <v>0</v>
      </c>
      <c r="V508" s="1423">
        <f t="shared" ca="1" si="730"/>
        <v>0</v>
      </c>
      <c r="W508" s="1423">
        <f t="shared" ca="1" si="731"/>
        <v>0</v>
      </c>
      <c r="X508" s="202"/>
      <c r="Y508" s="202"/>
      <c r="Z508" s="152"/>
      <c r="AA508" s="152"/>
      <c r="AB508" s="152"/>
    </row>
    <row r="509" spans="1:28" hidden="1" outlineLevel="1">
      <c r="A509" s="199">
        <f t="shared" si="732"/>
        <v>4</v>
      </c>
      <c r="B509" s="190" t="str">
        <f t="shared" ca="1" si="733"/>
        <v>Depreciated Net Capex 2019-20</v>
      </c>
      <c r="C509" s="1426"/>
      <c r="D509" s="1426"/>
      <c r="E509" s="1426"/>
      <c r="F509" s="1427"/>
      <c r="G509" s="1428">
        <f>($G500*((1+G$11)^0.5)/G$10)</f>
        <v>0</v>
      </c>
      <c r="H509" s="1423">
        <f ca="1">IF(G533="n/a",G509,IFERROR(IF((OFFSET($C509,0,$A509))&lt;0,
MIN(0,G509-(OFFSET($C509,0,$A509)/(OFFSET($C504,-$A508,$A509)))),
MAX(0,G509-(OFFSET($C509,0,$A509)/(OFFSET($C504,-$A508,$A509))))),0))</f>
        <v>0</v>
      </c>
      <c r="I509" s="1423">
        <f t="shared" ca="1" si="717"/>
        <v>0</v>
      </c>
      <c r="J509" s="1423">
        <f t="shared" ca="1" si="718"/>
        <v>0</v>
      </c>
      <c r="K509" s="1423">
        <f t="shared" ca="1" si="719"/>
        <v>0</v>
      </c>
      <c r="L509" s="1423">
        <f t="shared" ca="1" si="720"/>
        <v>0</v>
      </c>
      <c r="M509" s="1423">
        <f t="shared" ca="1" si="721"/>
        <v>0</v>
      </c>
      <c r="N509" s="1423">
        <f t="shared" ca="1" si="722"/>
        <v>0</v>
      </c>
      <c r="O509" s="1423">
        <f t="shared" ca="1" si="723"/>
        <v>0</v>
      </c>
      <c r="P509" s="1423">
        <f t="shared" ca="1" si="724"/>
        <v>0</v>
      </c>
      <c r="Q509" s="1423">
        <f t="shared" ca="1" si="725"/>
        <v>0</v>
      </c>
      <c r="R509" s="1423">
        <f t="shared" ca="1" si="726"/>
        <v>0</v>
      </c>
      <c r="S509" s="1423">
        <f t="shared" ca="1" si="727"/>
        <v>0</v>
      </c>
      <c r="T509" s="1423">
        <f t="shared" ca="1" si="728"/>
        <v>0</v>
      </c>
      <c r="U509" s="1423">
        <f t="shared" ca="1" si="729"/>
        <v>0</v>
      </c>
      <c r="V509" s="1423">
        <f t="shared" ca="1" si="730"/>
        <v>0</v>
      </c>
      <c r="W509" s="1423">
        <f t="shared" ca="1" si="731"/>
        <v>0</v>
      </c>
      <c r="X509" s="202"/>
      <c r="Y509" s="202"/>
      <c r="Z509" s="202"/>
      <c r="AA509" s="152"/>
      <c r="AB509" s="152"/>
    </row>
    <row r="510" spans="1:28" hidden="1" outlineLevel="1">
      <c r="A510" s="199">
        <f t="shared" si="732"/>
        <v>5</v>
      </c>
      <c r="B510" s="190" t="str">
        <f t="shared" ca="1" si="733"/>
        <v>Depreciated Net Capex 2020-21</v>
      </c>
      <c r="C510" s="1426"/>
      <c r="D510" s="1426"/>
      <c r="E510" s="1426"/>
      <c r="F510" s="1426"/>
      <c r="G510" s="1427"/>
      <c r="H510" s="1428">
        <f>(H500*((1+H$11)^0.5)/H$10)</f>
        <v>0</v>
      </c>
      <c r="I510" s="1423">
        <f ca="1">IF(H534="n/a",H510,IFERROR(IF((OFFSET($C510,0,$A510))&lt;0,
MIN(0,H510-(OFFSET($C510,0,$A510)/(OFFSET($C505,-$A509,$A510)))),
MAX(0,H510-(OFFSET($C510,0,$A510)/(OFFSET($C505,-$A509,$A510))))),0))</f>
        <v>0</v>
      </c>
      <c r="J510" s="1423">
        <f t="shared" ca="1" si="718"/>
        <v>0</v>
      </c>
      <c r="K510" s="1423">
        <f t="shared" ca="1" si="719"/>
        <v>0</v>
      </c>
      <c r="L510" s="1423">
        <f t="shared" ca="1" si="720"/>
        <v>0</v>
      </c>
      <c r="M510" s="1423">
        <f t="shared" ca="1" si="721"/>
        <v>0</v>
      </c>
      <c r="N510" s="1423">
        <f t="shared" ca="1" si="722"/>
        <v>0</v>
      </c>
      <c r="O510" s="1423">
        <f t="shared" ca="1" si="723"/>
        <v>0</v>
      </c>
      <c r="P510" s="1423">
        <f t="shared" ca="1" si="724"/>
        <v>0</v>
      </c>
      <c r="Q510" s="1423">
        <f t="shared" ca="1" si="725"/>
        <v>0</v>
      </c>
      <c r="R510" s="1423">
        <f t="shared" ca="1" si="726"/>
        <v>0</v>
      </c>
      <c r="S510" s="1423">
        <f t="shared" ca="1" si="727"/>
        <v>0</v>
      </c>
      <c r="T510" s="1423">
        <f t="shared" ca="1" si="728"/>
        <v>0</v>
      </c>
      <c r="U510" s="1423">
        <f t="shared" ca="1" si="729"/>
        <v>0</v>
      </c>
      <c r="V510" s="1423">
        <f t="shared" ca="1" si="730"/>
        <v>0</v>
      </c>
      <c r="W510" s="1423">
        <f t="shared" ca="1" si="731"/>
        <v>0</v>
      </c>
      <c r="X510" s="202"/>
      <c r="Y510" s="202"/>
      <c r="Z510" s="202"/>
      <c r="AA510" s="152"/>
      <c r="AB510" s="152"/>
    </row>
    <row r="511" spans="1:28" hidden="1" outlineLevel="1">
      <c r="A511" s="199">
        <f t="shared" si="732"/>
        <v>6</v>
      </c>
      <c r="B511" s="190" t="str">
        <f t="shared" ca="1" si="733"/>
        <v>Depreciated Net Capex 2021-22</v>
      </c>
      <c r="C511" s="1426"/>
      <c r="D511" s="1426"/>
      <c r="E511" s="1426"/>
      <c r="F511" s="1426"/>
      <c r="G511" s="1426"/>
      <c r="H511" s="1427"/>
      <c r="I511" s="1428">
        <f>(I500*((1+I$11)^0.5)/I$10)</f>
        <v>0</v>
      </c>
      <c r="J511" s="1423">
        <f ca="1">IF(I535="n/a",I511,IFERROR(IF((OFFSET($C511,0,$A511))&lt;0,
MIN(0,I511-(OFFSET($C511,0,$A511)/(OFFSET($C506,-$A510,$A511)))),
MAX(0,I511-(OFFSET($C511,0,$A511)/(OFFSET($C506,-$A510,$A511))))),0))</f>
        <v>0</v>
      </c>
      <c r="K511" s="1423">
        <f t="shared" ca="1" si="719"/>
        <v>0</v>
      </c>
      <c r="L511" s="1423">
        <f t="shared" ca="1" si="720"/>
        <v>0</v>
      </c>
      <c r="M511" s="1423">
        <f t="shared" ca="1" si="721"/>
        <v>0</v>
      </c>
      <c r="N511" s="1423">
        <f t="shared" ca="1" si="722"/>
        <v>0</v>
      </c>
      <c r="O511" s="1423">
        <f t="shared" ca="1" si="723"/>
        <v>0</v>
      </c>
      <c r="P511" s="1423">
        <f t="shared" ca="1" si="724"/>
        <v>0</v>
      </c>
      <c r="Q511" s="1423">
        <f t="shared" ca="1" si="725"/>
        <v>0</v>
      </c>
      <c r="R511" s="1423">
        <f t="shared" ca="1" si="726"/>
        <v>0</v>
      </c>
      <c r="S511" s="1423">
        <f t="shared" ca="1" si="727"/>
        <v>0</v>
      </c>
      <c r="T511" s="1423">
        <f t="shared" ca="1" si="728"/>
        <v>0</v>
      </c>
      <c r="U511" s="1423">
        <f t="shared" ca="1" si="729"/>
        <v>0</v>
      </c>
      <c r="V511" s="1423">
        <f t="shared" ca="1" si="730"/>
        <v>0</v>
      </c>
      <c r="W511" s="1423">
        <f t="shared" ca="1" si="731"/>
        <v>0</v>
      </c>
      <c r="X511" s="202"/>
      <c r="Y511" s="202"/>
      <c r="Z511" s="202"/>
      <c r="AA511" s="152"/>
      <c r="AB511" s="152"/>
    </row>
    <row r="512" spans="1:28" hidden="1" outlineLevel="1">
      <c r="A512" s="199">
        <f t="shared" si="732"/>
        <v>7</v>
      </c>
      <c r="B512" s="190" t="str">
        <f t="shared" ca="1" si="733"/>
        <v>Depreciated Net Capex 2022-23</v>
      </c>
      <c r="C512" s="1426"/>
      <c r="D512" s="1426"/>
      <c r="E512" s="1426"/>
      <c r="F512" s="1426"/>
      <c r="G512" s="1426"/>
      <c r="H512" s="1426"/>
      <c r="I512" s="1427"/>
      <c r="J512" s="1428">
        <f>(J500*((1+J$11)^0.5)/J$10)</f>
        <v>0</v>
      </c>
      <c r="K512" s="1423">
        <f ca="1">IF(J536="n/a",J512,IFERROR(IF((OFFSET($C512,0,$A512))&lt;0,
MIN(0,J512-(OFFSET($C512,0,$A512)/(OFFSET($C507,-$A511,$A512)))),
MAX(0,J512-(OFFSET($C512,0,$A512)/(OFFSET($C507,-$A511,$A512))))),0))</f>
        <v>0</v>
      </c>
      <c r="L512" s="1423">
        <f t="shared" ca="1" si="720"/>
        <v>0</v>
      </c>
      <c r="M512" s="1423">
        <f t="shared" ca="1" si="721"/>
        <v>0</v>
      </c>
      <c r="N512" s="1423">
        <f t="shared" ca="1" si="722"/>
        <v>0</v>
      </c>
      <c r="O512" s="1423">
        <f t="shared" ca="1" si="723"/>
        <v>0</v>
      </c>
      <c r="P512" s="1423">
        <f t="shared" ca="1" si="724"/>
        <v>0</v>
      </c>
      <c r="Q512" s="1423">
        <f t="shared" ca="1" si="725"/>
        <v>0</v>
      </c>
      <c r="R512" s="1423">
        <f t="shared" ca="1" si="726"/>
        <v>0</v>
      </c>
      <c r="S512" s="1423">
        <f t="shared" ca="1" si="727"/>
        <v>0</v>
      </c>
      <c r="T512" s="1423">
        <f t="shared" ca="1" si="728"/>
        <v>0</v>
      </c>
      <c r="U512" s="1423">
        <f t="shared" ca="1" si="729"/>
        <v>0</v>
      </c>
      <c r="V512" s="1423">
        <f t="shared" ca="1" si="730"/>
        <v>0</v>
      </c>
      <c r="W512" s="1423">
        <f t="shared" ca="1" si="731"/>
        <v>0</v>
      </c>
      <c r="X512" s="202"/>
      <c r="Y512" s="202"/>
      <c r="Z512" s="202"/>
      <c r="AA512" s="152"/>
      <c r="AB512" s="152"/>
    </row>
    <row r="513" spans="1:28" hidden="1" outlineLevel="1">
      <c r="A513" s="199">
        <f t="shared" si="732"/>
        <v>8</v>
      </c>
      <c r="B513" s="190" t="str">
        <f t="shared" ca="1" si="733"/>
        <v>Depreciated Net Capex 2023-24</v>
      </c>
      <c r="C513" s="1426"/>
      <c r="D513" s="1426"/>
      <c r="E513" s="1426"/>
      <c r="F513" s="1426"/>
      <c r="G513" s="1426"/>
      <c r="H513" s="1426"/>
      <c r="I513" s="1426"/>
      <c r="J513" s="1427"/>
      <c r="K513" s="1428">
        <f>(K500*((1+K$11)^0.5)/K$10)</f>
        <v>0</v>
      </c>
      <c r="L513" s="1423">
        <f ca="1">IF(K537="n/a",K513,IFERROR(IF((OFFSET($C513,0,$A513))&lt;0,
MIN(0,K513-(OFFSET($C513,0,$A513)/(OFFSET($C508,-$A512,$A513)))),
MAX(0,K513-(OFFSET($C513,0,$A513)/(OFFSET($C508,-$A512,$A513))))),0))</f>
        <v>0</v>
      </c>
      <c r="M513" s="1423">
        <f t="shared" ca="1" si="721"/>
        <v>0</v>
      </c>
      <c r="N513" s="1423">
        <f t="shared" ca="1" si="722"/>
        <v>0</v>
      </c>
      <c r="O513" s="1423">
        <f t="shared" ca="1" si="723"/>
        <v>0</v>
      </c>
      <c r="P513" s="1423">
        <f t="shared" ca="1" si="724"/>
        <v>0</v>
      </c>
      <c r="Q513" s="1423">
        <f t="shared" ca="1" si="725"/>
        <v>0</v>
      </c>
      <c r="R513" s="1423">
        <f t="shared" ca="1" si="726"/>
        <v>0</v>
      </c>
      <c r="S513" s="1423">
        <f t="shared" ca="1" si="727"/>
        <v>0</v>
      </c>
      <c r="T513" s="1423">
        <f t="shared" ca="1" si="728"/>
        <v>0</v>
      </c>
      <c r="U513" s="1423">
        <f t="shared" ca="1" si="729"/>
        <v>0</v>
      </c>
      <c r="V513" s="1423">
        <f t="shared" ca="1" si="730"/>
        <v>0</v>
      </c>
      <c r="W513" s="1423">
        <f t="shared" ca="1" si="731"/>
        <v>0</v>
      </c>
      <c r="X513" s="202"/>
      <c r="Y513" s="202"/>
      <c r="Z513" s="202"/>
      <c r="AA513" s="152"/>
      <c r="AB513" s="152"/>
    </row>
    <row r="514" spans="1:28" hidden="1" outlineLevel="1">
      <c r="A514" s="199">
        <f t="shared" si="732"/>
        <v>9</v>
      </c>
      <c r="B514" s="190" t="str">
        <f t="shared" ca="1" si="733"/>
        <v>Depreciated Net Capex 2024-25</v>
      </c>
      <c r="C514" s="1426"/>
      <c r="D514" s="1426"/>
      <c r="E514" s="1426"/>
      <c r="F514" s="1426"/>
      <c r="G514" s="1426"/>
      <c r="H514" s="1426"/>
      <c r="I514" s="1426"/>
      <c r="J514" s="1426"/>
      <c r="K514" s="1427"/>
      <c r="L514" s="1428">
        <f>(L500*((1+L$11)^0.5)/L$10)</f>
        <v>0</v>
      </c>
      <c r="M514" s="1423">
        <f ca="1">IF(L538="n/a",L514,IFERROR(IF((OFFSET($C514,0,$A514))&lt;0,
MIN(0,L514-(OFFSET($C514,0,$A514)/(OFFSET($C509,-$A513,$A514)))),
MAX(0,L514-(OFFSET($C514,0,$A514)/(OFFSET($C509,-$A513,$A514))))),0))</f>
        <v>0</v>
      </c>
      <c r="N514" s="1423">
        <f t="shared" ca="1" si="722"/>
        <v>0</v>
      </c>
      <c r="O514" s="1423">
        <f t="shared" ca="1" si="723"/>
        <v>0</v>
      </c>
      <c r="P514" s="1423">
        <f t="shared" ca="1" si="724"/>
        <v>0</v>
      </c>
      <c r="Q514" s="1423">
        <f t="shared" ca="1" si="725"/>
        <v>0</v>
      </c>
      <c r="R514" s="1423">
        <f t="shared" ca="1" si="726"/>
        <v>0</v>
      </c>
      <c r="S514" s="1423">
        <f t="shared" ca="1" si="727"/>
        <v>0</v>
      </c>
      <c r="T514" s="1423">
        <f t="shared" ca="1" si="728"/>
        <v>0</v>
      </c>
      <c r="U514" s="1423">
        <f t="shared" ca="1" si="729"/>
        <v>0</v>
      </c>
      <c r="V514" s="1423">
        <f t="shared" ca="1" si="730"/>
        <v>0</v>
      </c>
      <c r="W514" s="1423">
        <f t="shared" ca="1" si="731"/>
        <v>0</v>
      </c>
      <c r="X514" s="202"/>
      <c r="Y514" s="202"/>
      <c r="Z514" s="202"/>
      <c r="AA514" s="152"/>
      <c r="AB514" s="152"/>
    </row>
    <row r="515" spans="1:28" hidden="1" outlineLevel="1">
      <c r="A515" s="199">
        <f t="shared" si="732"/>
        <v>10</v>
      </c>
      <c r="B515" s="190" t="str">
        <f t="shared" ca="1" si="733"/>
        <v>Depreciated Net Capex 2025-26</v>
      </c>
      <c r="C515" s="1426"/>
      <c r="D515" s="1426"/>
      <c r="E515" s="1426"/>
      <c r="F515" s="1426"/>
      <c r="G515" s="1426"/>
      <c r="H515" s="1426"/>
      <c r="I515" s="1426"/>
      <c r="J515" s="1426"/>
      <c r="K515" s="1426"/>
      <c r="L515" s="1427"/>
      <c r="M515" s="1428">
        <f>(M500*((1+M$11)^0.5)/M$10)</f>
        <v>0</v>
      </c>
      <c r="N515" s="1423">
        <f ca="1">IF(M539="n/a",M515,IFERROR(IF((OFFSET($C515,0,$A515))&lt;0,
MIN(0,M515-(OFFSET($C515,0,$A515)/(OFFSET($C510,-$A514,$A515)))),
MAX(0,M515-(OFFSET($C515,0,$A515)/(OFFSET($C510,-$A514,$A515))))),0))</f>
        <v>0</v>
      </c>
      <c r="O515" s="1423">
        <f t="shared" ca="1" si="723"/>
        <v>0</v>
      </c>
      <c r="P515" s="1423">
        <f t="shared" ca="1" si="724"/>
        <v>0</v>
      </c>
      <c r="Q515" s="1423">
        <f t="shared" ca="1" si="725"/>
        <v>0</v>
      </c>
      <c r="R515" s="1423">
        <f t="shared" ca="1" si="726"/>
        <v>0</v>
      </c>
      <c r="S515" s="1423">
        <f t="shared" ca="1" si="727"/>
        <v>0</v>
      </c>
      <c r="T515" s="1423">
        <f t="shared" ca="1" si="728"/>
        <v>0</v>
      </c>
      <c r="U515" s="1423">
        <f t="shared" ca="1" si="729"/>
        <v>0</v>
      </c>
      <c r="V515" s="1423">
        <f t="shared" ca="1" si="730"/>
        <v>0</v>
      </c>
      <c r="W515" s="1423">
        <f t="shared" ca="1" si="731"/>
        <v>0</v>
      </c>
      <c r="X515" s="202"/>
      <c r="Y515" s="202"/>
      <c r="Z515" s="202"/>
      <c r="AA515" s="152"/>
      <c r="AB515" s="152"/>
    </row>
    <row r="516" spans="1:28" hidden="1" outlineLevel="1">
      <c r="A516" s="199">
        <f t="shared" si="732"/>
        <v>11</v>
      </c>
      <c r="B516" s="190" t="str">
        <f t="shared" ca="1" si="733"/>
        <v>Depreciated Net Capex 2026-27</v>
      </c>
      <c r="C516" s="1426"/>
      <c r="D516" s="1426"/>
      <c r="E516" s="1426"/>
      <c r="F516" s="1426"/>
      <c r="G516" s="1426"/>
      <c r="H516" s="1426"/>
      <c r="I516" s="1426"/>
      <c r="J516" s="1426"/>
      <c r="K516" s="1426"/>
      <c r="L516" s="1426"/>
      <c r="M516" s="1427"/>
      <c r="N516" s="1428">
        <f>(N500*((1+N$11)^0.5)/N$10)</f>
        <v>0</v>
      </c>
      <c r="O516" s="1423">
        <f ca="1">IF(N540="n/a",N516,IFERROR(IF((OFFSET($C516,0,$A516))&lt;0,
MIN(0,N516-(OFFSET($C516,0,$A516)/(OFFSET($C511,-$A515,$A516)))),
MAX(0,N516-(OFFSET($C516,0,$A516)/(OFFSET($C511,-$A515,$A516))))),0))</f>
        <v>0</v>
      </c>
      <c r="P516" s="1423">
        <f t="shared" ca="1" si="724"/>
        <v>0</v>
      </c>
      <c r="Q516" s="1423">
        <f t="shared" ca="1" si="725"/>
        <v>0</v>
      </c>
      <c r="R516" s="1423">
        <f t="shared" ca="1" si="726"/>
        <v>0</v>
      </c>
      <c r="S516" s="1423">
        <f t="shared" ca="1" si="727"/>
        <v>0</v>
      </c>
      <c r="T516" s="1423">
        <f t="shared" ca="1" si="728"/>
        <v>0</v>
      </c>
      <c r="U516" s="1423">
        <f t="shared" ca="1" si="729"/>
        <v>0</v>
      </c>
      <c r="V516" s="1423">
        <f t="shared" ca="1" si="730"/>
        <v>0</v>
      </c>
      <c r="W516" s="1423">
        <f t="shared" ca="1" si="731"/>
        <v>0</v>
      </c>
      <c r="X516" s="202"/>
      <c r="Y516" s="202"/>
      <c r="Z516" s="202"/>
      <c r="AA516" s="152"/>
      <c r="AB516" s="152"/>
    </row>
    <row r="517" spans="1:28" hidden="1" outlineLevel="1">
      <c r="A517" s="199">
        <f t="shared" si="732"/>
        <v>12</v>
      </c>
      <c r="B517" s="190" t="str">
        <f t="shared" ca="1" si="733"/>
        <v>Depreciated Net Capex 2027-28</v>
      </c>
      <c r="C517" s="1426"/>
      <c r="D517" s="1426"/>
      <c r="E517" s="1426"/>
      <c r="F517" s="1426"/>
      <c r="G517" s="1426"/>
      <c r="H517" s="1426"/>
      <c r="I517" s="1426"/>
      <c r="J517" s="1426"/>
      <c r="K517" s="1426"/>
      <c r="L517" s="1426"/>
      <c r="M517" s="1426"/>
      <c r="N517" s="1427"/>
      <c r="O517" s="1428">
        <f>(O500*((1+O$11)^0.5)/O$10)</f>
        <v>0</v>
      </c>
      <c r="P517" s="1423">
        <f ca="1">IF(O541="n/a",O517,IFERROR(IF((OFFSET($C517,0,$A517))&lt;0,
MIN(0,O517-(OFFSET($C517,0,$A517)/(OFFSET($C512,-$A516,$A517)))),
MAX(0,O517-(OFFSET($C517,0,$A517)/(OFFSET($C512,-$A516,$A517))))),0))</f>
        <v>0</v>
      </c>
      <c r="Q517" s="1423">
        <f t="shared" ca="1" si="725"/>
        <v>0</v>
      </c>
      <c r="R517" s="1423">
        <f t="shared" ca="1" si="726"/>
        <v>0</v>
      </c>
      <c r="S517" s="1423">
        <f t="shared" ca="1" si="727"/>
        <v>0</v>
      </c>
      <c r="T517" s="1423">
        <f t="shared" ca="1" si="728"/>
        <v>0</v>
      </c>
      <c r="U517" s="1423">
        <f t="shared" ca="1" si="729"/>
        <v>0</v>
      </c>
      <c r="V517" s="1423">
        <f t="shared" ca="1" si="730"/>
        <v>0</v>
      </c>
      <c r="W517" s="1423">
        <f t="shared" ca="1" si="731"/>
        <v>0</v>
      </c>
      <c r="X517" s="202"/>
      <c r="Y517" s="202"/>
      <c r="Z517" s="202"/>
      <c r="AA517" s="152"/>
      <c r="AB517" s="152"/>
    </row>
    <row r="518" spans="1:28" hidden="1" outlineLevel="1">
      <c r="A518" s="199">
        <f t="shared" si="732"/>
        <v>13</v>
      </c>
      <c r="B518" s="190" t="str">
        <f t="shared" ca="1" si="733"/>
        <v>Depreciated Net Capex 2028-29</v>
      </c>
      <c r="C518" s="1426"/>
      <c r="D518" s="1426"/>
      <c r="E518" s="1426"/>
      <c r="F518" s="1426"/>
      <c r="G518" s="1426"/>
      <c r="H518" s="1426"/>
      <c r="I518" s="1426"/>
      <c r="J518" s="1426"/>
      <c r="K518" s="1426"/>
      <c r="L518" s="1426"/>
      <c r="M518" s="1426"/>
      <c r="N518" s="1426"/>
      <c r="O518" s="1427"/>
      <c r="P518" s="1428">
        <f>(P500*((1+P$11)^0.5)/P$10)</f>
        <v>0</v>
      </c>
      <c r="Q518" s="1423">
        <f ca="1">IF(P542="n/a",P518,IFERROR(IF((OFFSET($C518,0,$A518))&lt;0,
MIN(0,P518-(OFFSET($C518,0,$A518)/(OFFSET($C513,-$A517,$A518)))),
MAX(0,P518-(OFFSET($C518,0,$A518)/(OFFSET($C513,-$A517,$A518))))),0))</f>
        <v>0</v>
      </c>
      <c r="R518" s="1423">
        <f t="shared" ca="1" si="726"/>
        <v>0</v>
      </c>
      <c r="S518" s="1423">
        <f t="shared" ca="1" si="727"/>
        <v>0</v>
      </c>
      <c r="T518" s="1423">
        <f t="shared" ca="1" si="728"/>
        <v>0</v>
      </c>
      <c r="U518" s="1423">
        <f t="shared" ca="1" si="729"/>
        <v>0</v>
      </c>
      <c r="V518" s="1423">
        <f t="shared" ca="1" si="730"/>
        <v>0</v>
      </c>
      <c r="W518" s="1423">
        <f t="shared" ca="1" si="731"/>
        <v>0</v>
      </c>
      <c r="X518" s="202"/>
      <c r="Y518" s="202"/>
      <c r="Z518" s="202"/>
      <c r="AA518" s="152"/>
      <c r="AB518" s="152"/>
    </row>
    <row r="519" spans="1:28" hidden="1" outlineLevel="1">
      <c r="A519" s="199">
        <f t="shared" si="732"/>
        <v>14</v>
      </c>
      <c r="B519" s="190" t="str">
        <f t="shared" ca="1" si="733"/>
        <v>Depreciated Net Capex 2029-30</v>
      </c>
      <c r="C519" s="1426"/>
      <c r="D519" s="1426"/>
      <c r="E519" s="1426"/>
      <c r="F519" s="1426"/>
      <c r="G519" s="1426"/>
      <c r="H519" s="1426"/>
      <c r="I519" s="1426"/>
      <c r="J519" s="1426"/>
      <c r="K519" s="1426"/>
      <c r="L519" s="1426"/>
      <c r="M519" s="1426"/>
      <c r="N519" s="1426"/>
      <c r="O519" s="1426"/>
      <c r="P519" s="1427"/>
      <c r="Q519" s="1428">
        <f>(Q500*((1+Q$11)^0.5)/Q$10)</f>
        <v>0</v>
      </c>
      <c r="R519" s="1423">
        <f ca="1">IF(Q543="n/a",Q519,IFERROR(IF((OFFSET($C519,0,$A519))&lt;0,
MIN(0,Q519-(OFFSET($C519,0,$A519)/(OFFSET($C514,-$A518,$A519)))),
MAX(0,Q519-(OFFSET($C519,0,$A519)/(OFFSET($C514,-$A518,$A519))))),0))</f>
        <v>0</v>
      </c>
      <c r="S519" s="1423">
        <f t="shared" ca="1" si="727"/>
        <v>0</v>
      </c>
      <c r="T519" s="1423">
        <f t="shared" ca="1" si="728"/>
        <v>0</v>
      </c>
      <c r="U519" s="1423">
        <f t="shared" ca="1" si="729"/>
        <v>0</v>
      </c>
      <c r="V519" s="1423">
        <f t="shared" ca="1" si="730"/>
        <v>0</v>
      </c>
      <c r="W519" s="1423">
        <f t="shared" ca="1" si="731"/>
        <v>0</v>
      </c>
      <c r="X519" s="202"/>
      <c r="Y519" s="202"/>
      <c r="Z519" s="202"/>
      <c r="AA519" s="152"/>
      <c r="AB519" s="152"/>
    </row>
    <row r="520" spans="1:28" hidden="1" outlineLevel="1">
      <c r="A520" s="199">
        <f t="shared" si="732"/>
        <v>15</v>
      </c>
      <c r="B520" s="190" t="str">
        <f t="shared" ca="1" si="733"/>
        <v>Depreciated Net Capex 2030-31</v>
      </c>
      <c r="C520" s="1426"/>
      <c r="D520" s="1426"/>
      <c r="E520" s="1426"/>
      <c r="F520" s="1426"/>
      <c r="G520" s="1426"/>
      <c r="H520" s="1426"/>
      <c r="I520" s="1426"/>
      <c r="J520" s="1426"/>
      <c r="K520" s="1426"/>
      <c r="L520" s="1426"/>
      <c r="M520" s="1426"/>
      <c r="N520" s="1426"/>
      <c r="O520" s="1426"/>
      <c r="P520" s="1426"/>
      <c r="Q520" s="1427"/>
      <c r="R520" s="1428">
        <f>(R500*((1+R$11)^0.5)/R$10)</f>
        <v>0</v>
      </c>
      <c r="S520" s="1423">
        <f ca="1">IF(R544="n/a",R520,IFERROR(IF((OFFSET($C520,0,$A520))&lt;0,
MIN(0,R520-(OFFSET($C520,0,$A520)/(OFFSET($C515,-$A519,$A520)))),
MAX(0,R520-(OFFSET($C520,0,$A520)/(OFFSET($C515,-$A519,$A520))))),0))</f>
        <v>0</v>
      </c>
      <c r="T520" s="1423">
        <f t="shared" ca="1" si="728"/>
        <v>0</v>
      </c>
      <c r="U520" s="1423">
        <f t="shared" ca="1" si="729"/>
        <v>0</v>
      </c>
      <c r="V520" s="1423">
        <f t="shared" ca="1" si="730"/>
        <v>0</v>
      </c>
      <c r="W520" s="1423">
        <f t="shared" ca="1" si="731"/>
        <v>0</v>
      </c>
      <c r="X520" s="202"/>
      <c r="Y520" s="202"/>
      <c r="Z520" s="202"/>
      <c r="AA520" s="152"/>
      <c r="AB520" s="152"/>
    </row>
    <row r="521" spans="1:28" hidden="1" outlineLevel="1">
      <c r="A521" s="199">
        <f t="shared" si="732"/>
        <v>16</v>
      </c>
      <c r="B521" s="190" t="str">
        <f t="shared" ca="1" si="733"/>
        <v>Depreciated Net Capex 2031-32</v>
      </c>
      <c r="C521" s="1426"/>
      <c r="D521" s="1426"/>
      <c r="E521" s="1426"/>
      <c r="F521" s="1426"/>
      <c r="G521" s="1426"/>
      <c r="H521" s="1426"/>
      <c r="I521" s="1426"/>
      <c r="J521" s="1426"/>
      <c r="K521" s="1426"/>
      <c r="L521" s="1426"/>
      <c r="M521" s="1426"/>
      <c r="N521" s="1426"/>
      <c r="O521" s="1426"/>
      <c r="P521" s="1426"/>
      <c r="Q521" s="1426"/>
      <c r="R521" s="1427"/>
      <c r="S521" s="1428">
        <f>(S500*((1+S$11)^0.5)/S$10)</f>
        <v>0</v>
      </c>
      <c r="T521" s="1423">
        <f ca="1">IF(S545="n/a",S521,IFERROR(IF((OFFSET($C521,0,$A521))&lt;0,
MIN(0,S521-(OFFSET($C521,0,$A521)/(OFFSET($C516,-$A520,$A521)))),
MAX(0,S521-(OFFSET($C521,0,$A521)/(OFFSET($C516,-$A520,$A521))))),0))</f>
        <v>0</v>
      </c>
      <c r="U521" s="1423">
        <f t="shared" ca="1" si="729"/>
        <v>0</v>
      </c>
      <c r="V521" s="1423">
        <f t="shared" ca="1" si="730"/>
        <v>0</v>
      </c>
      <c r="W521" s="1423">
        <f t="shared" ca="1" si="731"/>
        <v>0</v>
      </c>
      <c r="X521" s="202"/>
      <c r="Y521" s="202"/>
      <c r="Z521" s="202"/>
      <c r="AA521" s="152"/>
      <c r="AB521" s="152"/>
    </row>
    <row r="522" spans="1:28" hidden="1" outlineLevel="1">
      <c r="A522" s="199">
        <f t="shared" si="732"/>
        <v>17</v>
      </c>
      <c r="B522" s="190" t="str">
        <f t="shared" ca="1" si="733"/>
        <v>Depreciated Net Capex 2032-33</v>
      </c>
      <c r="C522" s="1426"/>
      <c r="D522" s="1426"/>
      <c r="E522" s="1426"/>
      <c r="F522" s="1426"/>
      <c r="G522" s="1426"/>
      <c r="H522" s="1426"/>
      <c r="I522" s="1426"/>
      <c r="J522" s="1426"/>
      <c r="K522" s="1426"/>
      <c r="L522" s="1426"/>
      <c r="M522" s="1426"/>
      <c r="N522" s="1426"/>
      <c r="O522" s="1426"/>
      <c r="P522" s="1426"/>
      <c r="Q522" s="1426"/>
      <c r="R522" s="1426"/>
      <c r="S522" s="1427"/>
      <c r="T522" s="1428">
        <f>(T500*((1+T$11)^0.5)/T$10)</f>
        <v>0</v>
      </c>
      <c r="U522" s="1423">
        <f ca="1">IF(T546="n/a",T522,IFERROR(IF((OFFSET($C522,0,$A522))&lt;0,
MIN(0,T522-(OFFSET($C522,0,$A522)/(OFFSET($C517,-$A521,$A522)))),
MAX(0,T522-(OFFSET($C522,0,$A522)/(OFFSET($C517,-$A521,$A522))))),0))</f>
        <v>0</v>
      </c>
      <c r="V522" s="1423">
        <f t="shared" ca="1" si="730"/>
        <v>0</v>
      </c>
      <c r="W522" s="1423">
        <f t="shared" ca="1" si="731"/>
        <v>0</v>
      </c>
      <c r="X522" s="202"/>
      <c r="Y522" s="202"/>
      <c r="Z522" s="202"/>
      <c r="AA522" s="152"/>
      <c r="AB522" s="152"/>
    </row>
    <row r="523" spans="1:28" hidden="1" outlineLevel="1">
      <c r="A523" s="199">
        <f t="shared" si="732"/>
        <v>18</v>
      </c>
      <c r="B523" s="190" t="str">
        <f t="shared" ca="1" si="733"/>
        <v>Depreciated Net Capex 2033-34</v>
      </c>
      <c r="C523" s="1426"/>
      <c r="D523" s="1426"/>
      <c r="E523" s="1426"/>
      <c r="F523" s="1426"/>
      <c r="G523" s="1426"/>
      <c r="H523" s="1426"/>
      <c r="I523" s="1426"/>
      <c r="J523" s="1426"/>
      <c r="K523" s="1426"/>
      <c r="L523" s="1426"/>
      <c r="M523" s="1426"/>
      <c r="N523" s="1426"/>
      <c r="O523" s="1426"/>
      <c r="P523" s="1426"/>
      <c r="Q523" s="1426"/>
      <c r="R523" s="1426"/>
      <c r="S523" s="1426"/>
      <c r="T523" s="1427"/>
      <c r="U523" s="1428">
        <f>(U500*((1+U$11)^0.5)/U$10)</f>
        <v>0</v>
      </c>
      <c r="V523" s="1423">
        <f ca="1">IF(U547="n/a",U523,IFERROR(IF((OFFSET($C523,0,$A523))&lt;0,
MIN(0,U523-(OFFSET($C523,0,$A523)/(OFFSET($C518,-$A522,$A523)))),
MAX(0,U523-(OFFSET($C523,0,$A523)/(OFFSET($C518,-$A522,$A523))))),0))</f>
        <v>0</v>
      </c>
      <c r="W523" s="1423">
        <f t="shared" ca="1" si="731"/>
        <v>0</v>
      </c>
      <c r="X523" s="202"/>
      <c r="Y523" s="202"/>
      <c r="Z523" s="202"/>
      <c r="AA523" s="152"/>
      <c r="AB523" s="152"/>
    </row>
    <row r="524" spans="1:28" hidden="1" outlineLevel="1">
      <c r="A524" s="199">
        <f t="shared" si="732"/>
        <v>19</v>
      </c>
      <c r="B524" s="190" t="str">
        <f t="shared" ca="1" si="733"/>
        <v>Depreciated Net Capex 2034-35</v>
      </c>
      <c r="C524" s="1426"/>
      <c r="D524" s="1426"/>
      <c r="E524" s="1426"/>
      <c r="F524" s="1426"/>
      <c r="G524" s="1426"/>
      <c r="H524" s="1426"/>
      <c r="I524" s="1426"/>
      <c r="J524" s="1426"/>
      <c r="K524" s="1426"/>
      <c r="L524" s="1426"/>
      <c r="M524" s="1426"/>
      <c r="N524" s="1426"/>
      <c r="O524" s="1426"/>
      <c r="P524" s="1426"/>
      <c r="Q524" s="1426"/>
      <c r="R524" s="1426"/>
      <c r="S524" s="1426"/>
      <c r="T524" s="1426"/>
      <c r="U524" s="1427"/>
      <c r="V524" s="1428">
        <f>(V500*((1+V$11)^0.5)/V$10)</f>
        <v>0</v>
      </c>
      <c r="W524" s="1423">
        <f ca="1">IF(V548="n/a",V524,IFERROR(IF((OFFSET($C524,0,$A524))&lt;0,
MIN(0,V524-(OFFSET($C524,0,$A524)/(OFFSET($C519,-$A523,$A524)))),
MAX(0,V524-(OFFSET($C524,0,$A524)/(OFFSET($C519,-$A523,$A524))))),0))</f>
        <v>0</v>
      </c>
      <c r="X524" s="202"/>
      <c r="Y524" s="202"/>
      <c r="Z524" s="202"/>
      <c r="AA524" s="152"/>
      <c r="AB524" s="152"/>
    </row>
    <row r="525" spans="1:28" hidden="1" outlineLevel="1">
      <c r="A525" s="199">
        <f t="shared" si="732"/>
        <v>20</v>
      </c>
      <c r="B525" s="190" t="str">
        <f ca="1">"Depreciated Net Capex "&amp;OFFSET($C$6,0,A525)</f>
        <v>Depreciated Net Capex 2035-36</v>
      </c>
      <c r="C525" s="1426"/>
      <c r="D525" s="1426"/>
      <c r="E525" s="1426"/>
      <c r="F525" s="1426"/>
      <c r="G525" s="1426"/>
      <c r="H525" s="1426"/>
      <c r="I525" s="1426"/>
      <c r="J525" s="1426"/>
      <c r="K525" s="1426"/>
      <c r="L525" s="1426"/>
      <c r="M525" s="1426"/>
      <c r="N525" s="1426"/>
      <c r="O525" s="1426"/>
      <c r="P525" s="1426"/>
      <c r="Q525" s="1426"/>
      <c r="R525" s="1426"/>
      <c r="S525" s="1426"/>
      <c r="T525" s="1426"/>
      <c r="U525" s="1426"/>
      <c r="V525" s="1427"/>
      <c r="W525" s="1423">
        <f>(W500*((1+W$11)^0.5)/W$10)</f>
        <v>0</v>
      </c>
      <c r="X525" s="152"/>
      <c r="Y525" s="152"/>
      <c r="Z525" s="152"/>
      <c r="AA525" s="152"/>
      <c r="AB525" s="152"/>
    </row>
    <row r="526" spans="1:28" hidden="1" outlineLevel="1">
      <c r="A526" s="152"/>
      <c r="B526" s="200"/>
      <c r="C526" s="1423"/>
      <c r="D526" s="1423"/>
      <c r="E526" s="1423"/>
      <c r="F526" s="1423"/>
      <c r="G526" s="1423"/>
      <c r="H526" s="1423"/>
      <c r="I526" s="1423"/>
      <c r="J526" s="1423"/>
      <c r="K526" s="1423"/>
      <c r="L526" s="1423"/>
      <c r="M526" s="1423"/>
      <c r="N526" s="1423"/>
      <c r="O526" s="1423"/>
      <c r="P526" s="1423"/>
      <c r="Q526" s="1423"/>
      <c r="R526" s="1423"/>
      <c r="S526" s="1423"/>
      <c r="T526" s="1423"/>
      <c r="U526" s="1423"/>
      <c r="V526" s="1423"/>
      <c r="W526" s="1423"/>
      <c r="X526" s="152"/>
      <c r="Y526" s="152"/>
      <c r="Z526" s="152"/>
      <c r="AA526" s="152"/>
      <c r="AB526" s="152"/>
    </row>
    <row r="527" spans="1:28" hidden="1" outlineLevel="1">
      <c r="A527" s="152"/>
      <c r="B527" s="200"/>
      <c r="C527" s="1423"/>
      <c r="D527" s="1423"/>
      <c r="E527" s="1423"/>
      <c r="F527" s="1423"/>
      <c r="G527" s="1423"/>
      <c r="H527" s="1423"/>
      <c r="I527" s="1423"/>
      <c r="J527" s="1423"/>
      <c r="K527" s="1423"/>
      <c r="L527" s="1423"/>
      <c r="M527" s="1423"/>
      <c r="N527" s="1423"/>
      <c r="O527" s="1423"/>
      <c r="P527" s="1423"/>
      <c r="Q527" s="1423"/>
      <c r="R527" s="1423"/>
      <c r="S527" s="1423"/>
      <c r="T527" s="1423"/>
      <c r="U527" s="1423"/>
      <c r="V527" s="1423"/>
      <c r="W527" s="1423"/>
      <c r="X527" s="152"/>
      <c r="Y527" s="152"/>
      <c r="Z527" s="152"/>
      <c r="AA527" s="152"/>
      <c r="AB527" s="152"/>
    </row>
    <row r="528" spans="1:28" hidden="1" outlineLevel="1">
      <c r="A528" s="152"/>
      <c r="B528" s="190" t="s">
        <v>190</v>
      </c>
      <c r="C528" s="1423"/>
      <c r="D528" s="1423">
        <f ca="1">IF(AND(C528&lt;1,D502=0),0,
IF(D502=0,C528-1,
IF(C528&lt;1,D503,
(((C528-1)*(C504-(C504/(C528))))+((D502/D$10)*D503))/(D504))))</f>
        <v>0</v>
      </c>
      <c r="E528" s="1423">
        <f t="shared" ref="E528" ca="1" si="734">IF(AND(D528&lt;1,E502=0),0,
IF(E502=0,D528-1,
IF(D528&lt;1,E503,
(((D528-1)*(D504-(D504/(D528))))+((E502/E$10)*E503))/(E504))))</f>
        <v>0</v>
      </c>
      <c r="F528" s="1423">
        <f t="shared" ref="F528" ca="1" si="735">IF(AND(E528&lt;1,F502=0),0,
IF(F502=0,E528-1,
IF(E528&lt;1,F503,
(((E528-1)*(E504-(E504/(E528))))+((F502/F$10)*F503))/(F504))))</f>
        <v>0</v>
      </c>
      <c r="G528" s="1423">
        <f t="shared" ref="G528" ca="1" si="736">IF(AND(F528&lt;1,G502=0),0,
IF(G502=0,F528-1,
IF(F528&lt;1,G503,
(((F528-1)*(F504-(F504/(F528))))+((G502/G$10)*G503))/(G504))))</f>
        <v>0</v>
      </c>
      <c r="H528" s="1423">
        <f t="shared" ref="H528" ca="1" si="737">IF(AND(G528&lt;1,H502=0),0,
IF(H502=0,G528-1,
IF(G528&lt;1,H503,
(((G528-1)*(G504-(G504/(G528))))+((H502/H$10)*H503))/(H504))))</f>
        <v>0</v>
      </c>
      <c r="I528" s="1423">
        <f t="shared" ref="I528" ca="1" si="738">IF(AND(H528&lt;1,I502=0),0,
IF(I502=0,H528-1,
IF(H528&lt;1,I503,
(((H528-1)*(H504-(H504/(H528))))+((I502/I$10)*I503))/(I504))))</f>
        <v>0</v>
      </c>
      <c r="J528" s="1423">
        <f t="shared" ref="J528" ca="1" si="739">IF(AND(I528&lt;1,J502=0),0,
IF(J502=0,I528-1,
IF(I528&lt;1,J503,
(((I528-1)*(I504-(I504/(I528))))+((J502/J$10)*J503))/(J504))))</f>
        <v>0</v>
      </c>
      <c r="K528" s="1423">
        <f t="shared" ref="K528" ca="1" si="740">IF(AND(J528&lt;1,K502=0),0,
IF(K502=0,J528-1,
IF(J528&lt;1,K503,
(((J528-1)*(J504-(J504/(J528))))+((K502/K$10)*K503))/(K504))))</f>
        <v>0</v>
      </c>
      <c r="L528" s="1423">
        <f t="shared" ref="L528" ca="1" si="741">IF(AND(K528&lt;1,L502=0),0,
IF(L502=0,K528-1,
IF(K528&lt;1,L503,
(((K528-1)*(K504-(K504/(K528))))+((L502/L$10)*L503))/(L504))))</f>
        <v>0</v>
      </c>
      <c r="M528" s="1423">
        <f t="shared" ref="M528" ca="1" si="742">IF(AND(L528&lt;1,M502=0),0,
IF(M502=0,L528-1,
IF(L528&lt;1,M503,
(((L528-1)*(L504-(L504/(L528))))+((M502/M$10)*M503))/(M504))))</f>
        <v>0</v>
      </c>
      <c r="N528" s="1423">
        <f t="shared" ref="N528" ca="1" si="743">IF(AND(M528&lt;1,N502=0),0,
IF(N502=0,M528-1,
IF(M528&lt;1,N503,
(((M528-1)*(M504-(M504/(M528))))+((N502/N$10)*N503))/(N504))))</f>
        <v>0</v>
      </c>
      <c r="O528" s="1423">
        <f t="shared" ref="O528" ca="1" si="744">IF(AND(N528&lt;1,O502=0),0,
IF(O502=0,N528-1,
IF(N528&lt;1,O503,
(((N528-1)*(N504-(N504/(N528))))+((O502/O$10)*O503))/(O504))))</f>
        <v>0</v>
      </c>
      <c r="P528" s="1423">
        <f t="shared" ref="P528" ca="1" si="745">IF(AND(O528&lt;1,P502=0),0,
IF(P502=0,O528-1,
IF(O528&lt;1,P503,
(((O528-1)*(O504-(O504/(O528))))+((P502/P$10)*P503))/(P504))))</f>
        <v>0</v>
      </c>
      <c r="Q528" s="1423">
        <f t="shared" ref="Q528" ca="1" si="746">IF(AND(P528&lt;1,Q502=0),0,
IF(Q502=0,P528-1,
IF(P528&lt;1,Q503,
(((P528-1)*(P504-(P504/(P528))))+((Q502/Q$10)*Q503))/(Q504))))</f>
        <v>0</v>
      </c>
      <c r="R528" s="1423">
        <f t="shared" ref="R528" ca="1" si="747">IF(AND(Q528&lt;1,R502=0),0,
IF(R502=0,Q528-1,
IF(Q528&lt;1,R503,
(((Q528-1)*(Q504-(Q504/(Q528))))+((R502/R$10)*R503))/(R504))))</f>
        <v>0</v>
      </c>
      <c r="S528" s="1423">
        <f t="shared" ref="S528" ca="1" si="748">IF(AND(R528&lt;1,S502=0),0,
IF(S502=0,R528-1,
IF(R528&lt;1,S503,
(((R528-1)*(R504-(R504/(R528))))+((S502/S$10)*S503))/(S504))))</f>
        <v>0</v>
      </c>
      <c r="T528" s="1423">
        <f t="shared" ref="T528" ca="1" si="749">IF(AND(S528&lt;1,T502=0),0,
IF(T502=0,S528-1,
IF(S528&lt;1,T503,
(((S528-1)*(S504-(S504/(S528))))+((T502/T$10)*T503))/(T504))))</f>
        <v>0</v>
      </c>
      <c r="U528" s="1423">
        <f t="shared" ref="U528" ca="1" si="750">IF(AND(T528&lt;1,U502=0),0,
IF(U502=0,T528-1,
IF(T528&lt;1,U503,
(((T528-1)*(T504-(T504/(T528))))+((U502/U$10)*U503))/(U504))))</f>
        <v>0</v>
      </c>
      <c r="V528" s="1423">
        <f t="shared" ref="V528" ca="1" si="751">IF(AND(U528&lt;1,V502=0),0,
IF(V502=0,U528-1,
IF(U528&lt;1,V503,
(((U528-1)*(U504-(U504/(U528))))+((V502/V$10)*V503))/(V504))))</f>
        <v>0</v>
      </c>
      <c r="W528" s="1423">
        <f t="shared" ref="W528" ca="1" si="752">IF(AND(V528&lt;1,W502=0),0,
IF(W502=0,V528-1,
IF(V528&lt;1,W503,
(((V528-1)*(V504-(V504/(V528))))+((W502/W$10)*W503))/(W504))))</f>
        <v>0</v>
      </c>
      <c r="X528" s="152"/>
      <c r="Y528" s="152"/>
      <c r="Z528" s="152"/>
      <c r="AA528" s="152"/>
      <c r="AB528" s="152"/>
    </row>
    <row r="529" spans="1:28" hidden="1" outlineLevel="1">
      <c r="A529" s="152"/>
      <c r="B529" s="190" t="s">
        <v>122</v>
      </c>
      <c r="C529" s="1423">
        <f ca="1">C501</f>
        <v>0</v>
      </c>
      <c r="D529" s="1423">
        <f t="shared" ref="D529" ca="1" si="753">IF(C529="n/a","n/a",MAX(0,C529-1))</f>
        <v>0</v>
      </c>
      <c r="E529" s="1423">
        <f t="shared" ref="E529:E530" ca="1" si="754">IF(D529="n/a","n/a",MAX(0,D529-1))</f>
        <v>0</v>
      </c>
      <c r="F529" s="1423">
        <f t="shared" ref="F529:F531" ca="1" si="755">IF(E529="n/a","n/a",MAX(0,E529-1))</f>
        <v>0</v>
      </c>
      <c r="G529" s="1423">
        <f t="shared" ref="G529:G532" ca="1" si="756">IF(F529="n/a","n/a",MAX(0,F529-1))</f>
        <v>0</v>
      </c>
      <c r="H529" s="1423">
        <f t="shared" ref="H529:H533" ca="1" si="757">IF(G529="n/a","n/a",MAX(0,G529-1))</f>
        <v>0</v>
      </c>
      <c r="I529" s="1423">
        <f t="shared" ref="I529:I534" ca="1" si="758">IF(H529="n/a","n/a",MAX(0,H529-1))</f>
        <v>0</v>
      </c>
      <c r="J529" s="1423">
        <f t="shared" ref="J529:J535" ca="1" si="759">IF(I529="n/a","n/a",MAX(0,I529-1))</f>
        <v>0</v>
      </c>
      <c r="K529" s="1423">
        <f t="shared" ref="K529:K536" ca="1" si="760">IF(J529="n/a","n/a",MAX(0,J529-1))</f>
        <v>0</v>
      </c>
      <c r="L529" s="1423">
        <f t="shared" ref="L529:L537" ca="1" si="761">IF(K529="n/a","n/a",MAX(0,K529-1))</f>
        <v>0</v>
      </c>
      <c r="M529" s="1423">
        <f t="shared" ref="M529:M538" ca="1" si="762">IF(L529="n/a","n/a",MAX(0,L529-1))</f>
        <v>0</v>
      </c>
      <c r="N529" s="1423">
        <f t="shared" ref="N529:N539" ca="1" si="763">IF(M529="n/a","n/a",MAX(0,M529-1))</f>
        <v>0</v>
      </c>
      <c r="O529" s="1423">
        <f t="shared" ref="O529:O540" ca="1" si="764">IF(N529="n/a","n/a",MAX(0,N529-1))</f>
        <v>0</v>
      </c>
      <c r="P529" s="1423">
        <f t="shared" ref="P529:P541" ca="1" si="765">IF(O529="n/a","n/a",MAX(0,O529-1))</f>
        <v>0</v>
      </c>
      <c r="Q529" s="1423">
        <f t="shared" ref="Q529:Q542" ca="1" si="766">IF(P529="n/a","n/a",MAX(0,P529-1))</f>
        <v>0</v>
      </c>
      <c r="R529" s="1423">
        <f t="shared" ref="R529:R543" ca="1" si="767">IF(Q529="n/a","n/a",MAX(0,Q529-1))</f>
        <v>0</v>
      </c>
      <c r="S529" s="1423">
        <f t="shared" ref="S529:S544" ca="1" si="768">IF(R529="n/a","n/a",MAX(0,R529-1))</f>
        <v>0</v>
      </c>
      <c r="T529" s="1423">
        <f t="shared" ref="T529:T545" ca="1" si="769">IF(S529="n/a","n/a",MAX(0,S529-1))</f>
        <v>0</v>
      </c>
      <c r="U529" s="1423">
        <f t="shared" ref="U529:U546" ca="1" si="770">IF(T529="n/a","n/a",MAX(0,T529-1))</f>
        <v>0</v>
      </c>
      <c r="V529" s="1423">
        <f t="shared" ref="V529:V547" ca="1" si="771">IF(U529="n/a","n/a",MAX(0,U529-1))</f>
        <v>0</v>
      </c>
      <c r="W529" s="1423">
        <f t="shared" ref="W529:W547" ca="1" si="772">IF(V529="n/a","n/a",MAX(0,V529-1))</f>
        <v>0</v>
      </c>
      <c r="X529" s="152"/>
      <c r="Y529" s="152"/>
      <c r="Z529" s="152"/>
      <c r="AA529" s="152"/>
      <c r="AB529" s="152"/>
    </row>
    <row r="530" spans="1:28" hidden="1" outlineLevel="1">
      <c r="A530" s="152"/>
      <c r="B530" s="190" t="str">
        <f t="shared" ref="B530:B549" ca="1" si="773">"RL Capex "&amp;OFFSET($C$6,0,A506)</f>
        <v>RL Capex 2016-17</v>
      </c>
      <c r="C530" s="1424"/>
      <c r="D530" s="1428">
        <f>D501</f>
        <v>0</v>
      </c>
      <c r="E530" s="1423">
        <f t="shared" si="754"/>
        <v>0</v>
      </c>
      <c r="F530" s="1423">
        <f t="shared" si="755"/>
        <v>0</v>
      </c>
      <c r="G530" s="1423">
        <f t="shared" si="756"/>
        <v>0</v>
      </c>
      <c r="H530" s="1423">
        <f t="shared" si="757"/>
        <v>0</v>
      </c>
      <c r="I530" s="1423">
        <f t="shared" si="758"/>
        <v>0</v>
      </c>
      <c r="J530" s="1423">
        <f t="shared" si="759"/>
        <v>0</v>
      </c>
      <c r="K530" s="1423">
        <f t="shared" si="760"/>
        <v>0</v>
      </c>
      <c r="L530" s="1423">
        <f t="shared" si="761"/>
        <v>0</v>
      </c>
      <c r="M530" s="1423">
        <f t="shared" si="762"/>
        <v>0</v>
      </c>
      <c r="N530" s="1423">
        <f t="shared" si="763"/>
        <v>0</v>
      </c>
      <c r="O530" s="1423">
        <f t="shared" si="764"/>
        <v>0</v>
      </c>
      <c r="P530" s="1423">
        <f t="shared" si="765"/>
        <v>0</v>
      </c>
      <c r="Q530" s="1423">
        <f t="shared" si="766"/>
        <v>0</v>
      </c>
      <c r="R530" s="1423">
        <f t="shared" si="767"/>
        <v>0</v>
      </c>
      <c r="S530" s="1423">
        <f t="shared" si="768"/>
        <v>0</v>
      </c>
      <c r="T530" s="1423">
        <f t="shared" si="769"/>
        <v>0</v>
      </c>
      <c r="U530" s="1423">
        <f t="shared" si="770"/>
        <v>0</v>
      </c>
      <c r="V530" s="1423">
        <f t="shared" si="771"/>
        <v>0</v>
      </c>
      <c r="W530" s="1423">
        <f t="shared" si="772"/>
        <v>0</v>
      </c>
      <c r="X530" s="152"/>
      <c r="Y530" s="152"/>
      <c r="Z530" s="152"/>
      <c r="AA530" s="152"/>
      <c r="AB530" s="152"/>
    </row>
    <row r="531" spans="1:28" hidden="1" outlineLevel="1">
      <c r="A531" s="152"/>
      <c r="B531" s="190" t="str">
        <f t="shared" ca="1" si="773"/>
        <v>RL Capex 2017-18</v>
      </c>
      <c r="C531" s="1429"/>
      <c r="D531" s="1424"/>
      <c r="E531" s="1428">
        <f>E501</f>
        <v>0</v>
      </c>
      <c r="F531" s="1423">
        <f t="shared" si="755"/>
        <v>0</v>
      </c>
      <c r="G531" s="1423">
        <f t="shared" si="756"/>
        <v>0</v>
      </c>
      <c r="H531" s="1423">
        <f t="shared" si="757"/>
        <v>0</v>
      </c>
      <c r="I531" s="1423">
        <f t="shared" si="758"/>
        <v>0</v>
      </c>
      <c r="J531" s="1423">
        <f t="shared" si="759"/>
        <v>0</v>
      </c>
      <c r="K531" s="1423">
        <f t="shared" si="760"/>
        <v>0</v>
      </c>
      <c r="L531" s="1423">
        <f t="shared" si="761"/>
        <v>0</v>
      </c>
      <c r="M531" s="1423">
        <f t="shared" si="762"/>
        <v>0</v>
      </c>
      <c r="N531" s="1423">
        <f t="shared" si="763"/>
        <v>0</v>
      </c>
      <c r="O531" s="1423">
        <f t="shared" si="764"/>
        <v>0</v>
      </c>
      <c r="P531" s="1423">
        <f t="shared" si="765"/>
        <v>0</v>
      </c>
      <c r="Q531" s="1423">
        <f t="shared" si="766"/>
        <v>0</v>
      </c>
      <c r="R531" s="1423">
        <f t="shared" si="767"/>
        <v>0</v>
      </c>
      <c r="S531" s="1423">
        <f t="shared" si="768"/>
        <v>0</v>
      </c>
      <c r="T531" s="1423">
        <f t="shared" si="769"/>
        <v>0</v>
      </c>
      <c r="U531" s="1423">
        <f t="shared" si="770"/>
        <v>0</v>
      </c>
      <c r="V531" s="1423">
        <f t="shared" si="771"/>
        <v>0</v>
      </c>
      <c r="W531" s="1423">
        <f t="shared" si="772"/>
        <v>0</v>
      </c>
      <c r="X531" s="152"/>
      <c r="Y531" s="152"/>
      <c r="Z531" s="152"/>
      <c r="AA531" s="152"/>
      <c r="AB531" s="152"/>
    </row>
    <row r="532" spans="1:28" hidden="1" outlineLevel="1">
      <c r="A532" s="152"/>
      <c r="B532" s="190" t="str">
        <f t="shared" ca="1" si="773"/>
        <v>RL Capex 2018-19</v>
      </c>
      <c r="C532" s="1429"/>
      <c r="D532" s="1429"/>
      <c r="E532" s="1424"/>
      <c r="F532" s="1428">
        <f>F501</f>
        <v>0</v>
      </c>
      <c r="G532" s="1423">
        <f t="shared" si="756"/>
        <v>0</v>
      </c>
      <c r="H532" s="1423">
        <f t="shared" si="757"/>
        <v>0</v>
      </c>
      <c r="I532" s="1423">
        <f t="shared" si="758"/>
        <v>0</v>
      </c>
      <c r="J532" s="1423">
        <f t="shared" si="759"/>
        <v>0</v>
      </c>
      <c r="K532" s="1423">
        <f t="shared" si="760"/>
        <v>0</v>
      </c>
      <c r="L532" s="1423">
        <f t="shared" si="761"/>
        <v>0</v>
      </c>
      <c r="M532" s="1423">
        <f t="shared" si="762"/>
        <v>0</v>
      </c>
      <c r="N532" s="1423">
        <f t="shared" si="763"/>
        <v>0</v>
      </c>
      <c r="O532" s="1423">
        <f t="shared" si="764"/>
        <v>0</v>
      </c>
      <c r="P532" s="1423">
        <f t="shared" si="765"/>
        <v>0</v>
      </c>
      <c r="Q532" s="1423">
        <f t="shared" si="766"/>
        <v>0</v>
      </c>
      <c r="R532" s="1423">
        <f t="shared" si="767"/>
        <v>0</v>
      </c>
      <c r="S532" s="1423">
        <f t="shared" si="768"/>
        <v>0</v>
      </c>
      <c r="T532" s="1423">
        <f t="shared" si="769"/>
        <v>0</v>
      </c>
      <c r="U532" s="1423">
        <f t="shared" si="770"/>
        <v>0</v>
      </c>
      <c r="V532" s="1423">
        <f t="shared" si="771"/>
        <v>0</v>
      </c>
      <c r="W532" s="1423">
        <f t="shared" si="772"/>
        <v>0</v>
      </c>
      <c r="X532" s="152"/>
      <c r="Y532" s="152"/>
      <c r="Z532" s="152"/>
      <c r="AA532" s="152"/>
      <c r="AB532" s="152"/>
    </row>
    <row r="533" spans="1:28" hidden="1" outlineLevel="1">
      <c r="A533" s="152"/>
      <c r="B533" s="190" t="str">
        <f t="shared" ca="1" si="773"/>
        <v>RL Capex 2019-20</v>
      </c>
      <c r="C533" s="1429"/>
      <c r="D533" s="1429"/>
      <c r="E533" s="1429"/>
      <c r="F533" s="1424"/>
      <c r="G533" s="1428">
        <f>G501</f>
        <v>0</v>
      </c>
      <c r="H533" s="1423">
        <f t="shared" si="757"/>
        <v>0</v>
      </c>
      <c r="I533" s="1423">
        <f t="shared" si="758"/>
        <v>0</v>
      </c>
      <c r="J533" s="1423">
        <f t="shared" si="759"/>
        <v>0</v>
      </c>
      <c r="K533" s="1423">
        <f t="shared" si="760"/>
        <v>0</v>
      </c>
      <c r="L533" s="1423">
        <f t="shared" si="761"/>
        <v>0</v>
      </c>
      <c r="M533" s="1423">
        <f t="shared" si="762"/>
        <v>0</v>
      </c>
      <c r="N533" s="1423">
        <f t="shared" si="763"/>
        <v>0</v>
      </c>
      <c r="O533" s="1423">
        <f t="shared" si="764"/>
        <v>0</v>
      </c>
      <c r="P533" s="1423">
        <f t="shared" si="765"/>
        <v>0</v>
      </c>
      <c r="Q533" s="1423">
        <f t="shared" si="766"/>
        <v>0</v>
      </c>
      <c r="R533" s="1423">
        <f t="shared" si="767"/>
        <v>0</v>
      </c>
      <c r="S533" s="1423">
        <f t="shared" si="768"/>
        <v>0</v>
      </c>
      <c r="T533" s="1423">
        <f t="shared" si="769"/>
        <v>0</v>
      </c>
      <c r="U533" s="1423">
        <f t="shared" si="770"/>
        <v>0</v>
      </c>
      <c r="V533" s="1423">
        <f t="shared" si="771"/>
        <v>0</v>
      </c>
      <c r="W533" s="1423">
        <f t="shared" si="772"/>
        <v>0</v>
      </c>
      <c r="X533" s="152"/>
      <c r="Y533" s="152"/>
      <c r="Z533" s="152"/>
      <c r="AA533" s="152"/>
      <c r="AB533" s="152"/>
    </row>
    <row r="534" spans="1:28" hidden="1" outlineLevel="1">
      <c r="A534" s="152"/>
      <c r="B534" s="190" t="str">
        <f t="shared" ca="1" si="773"/>
        <v>RL Capex 2020-21</v>
      </c>
      <c r="C534" s="1429"/>
      <c r="D534" s="1429"/>
      <c r="E534" s="1429"/>
      <c r="F534" s="1429"/>
      <c r="G534" s="1424"/>
      <c r="H534" s="1428">
        <f>H501</f>
        <v>0</v>
      </c>
      <c r="I534" s="1423">
        <f t="shared" si="758"/>
        <v>0</v>
      </c>
      <c r="J534" s="1423">
        <f t="shared" si="759"/>
        <v>0</v>
      </c>
      <c r="K534" s="1423">
        <f t="shared" si="760"/>
        <v>0</v>
      </c>
      <c r="L534" s="1423">
        <f t="shared" si="761"/>
        <v>0</v>
      </c>
      <c r="M534" s="1423">
        <f t="shared" si="762"/>
        <v>0</v>
      </c>
      <c r="N534" s="1423">
        <f t="shared" si="763"/>
        <v>0</v>
      </c>
      <c r="O534" s="1423">
        <f t="shared" si="764"/>
        <v>0</v>
      </c>
      <c r="P534" s="1423">
        <f t="shared" si="765"/>
        <v>0</v>
      </c>
      <c r="Q534" s="1423">
        <f t="shared" si="766"/>
        <v>0</v>
      </c>
      <c r="R534" s="1423">
        <f t="shared" si="767"/>
        <v>0</v>
      </c>
      <c r="S534" s="1423">
        <f t="shared" si="768"/>
        <v>0</v>
      </c>
      <c r="T534" s="1423">
        <f t="shared" si="769"/>
        <v>0</v>
      </c>
      <c r="U534" s="1423">
        <f t="shared" si="770"/>
        <v>0</v>
      </c>
      <c r="V534" s="1423">
        <f t="shared" si="771"/>
        <v>0</v>
      </c>
      <c r="W534" s="1423">
        <f t="shared" si="772"/>
        <v>0</v>
      </c>
      <c r="X534" s="152"/>
      <c r="Y534" s="152"/>
      <c r="Z534" s="152"/>
      <c r="AA534" s="152"/>
      <c r="AB534" s="152"/>
    </row>
    <row r="535" spans="1:28" hidden="1" outlineLevel="1">
      <c r="A535" s="152"/>
      <c r="B535" s="190" t="str">
        <f t="shared" ca="1" si="773"/>
        <v>RL Capex 2021-22</v>
      </c>
      <c r="C535" s="1429"/>
      <c r="D535" s="1429"/>
      <c r="E535" s="1429"/>
      <c r="F535" s="1429"/>
      <c r="G535" s="1429"/>
      <c r="H535" s="1424"/>
      <c r="I535" s="1428">
        <f>I501</f>
        <v>0</v>
      </c>
      <c r="J535" s="1423">
        <f t="shared" si="759"/>
        <v>0</v>
      </c>
      <c r="K535" s="1423">
        <f t="shared" si="760"/>
        <v>0</v>
      </c>
      <c r="L535" s="1423">
        <f t="shared" si="761"/>
        <v>0</v>
      </c>
      <c r="M535" s="1423">
        <f t="shared" si="762"/>
        <v>0</v>
      </c>
      <c r="N535" s="1423">
        <f t="shared" si="763"/>
        <v>0</v>
      </c>
      <c r="O535" s="1423">
        <f t="shared" si="764"/>
        <v>0</v>
      </c>
      <c r="P535" s="1423">
        <f t="shared" si="765"/>
        <v>0</v>
      </c>
      <c r="Q535" s="1423">
        <f t="shared" si="766"/>
        <v>0</v>
      </c>
      <c r="R535" s="1423">
        <f t="shared" si="767"/>
        <v>0</v>
      </c>
      <c r="S535" s="1423">
        <f t="shared" si="768"/>
        <v>0</v>
      </c>
      <c r="T535" s="1423">
        <f t="shared" si="769"/>
        <v>0</v>
      </c>
      <c r="U535" s="1423">
        <f t="shared" si="770"/>
        <v>0</v>
      </c>
      <c r="V535" s="1423">
        <f t="shared" si="771"/>
        <v>0</v>
      </c>
      <c r="W535" s="1423">
        <f t="shared" si="772"/>
        <v>0</v>
      </c>
      <c r="X535" s="152"/>
      <c r="Y535" s="152"/>
      <c r="Z535" s="152"/>
      <c r="AA535" s="152"/>
      <c r="AB535" s="152"/>
    </row>
    <row r="536" spans="1:28" hidden="1" outlineLevel="1">
      <c r="A536" s="152"/>
      <c r="B536" s="190" t="str">
        <f t="shared" ca="1" si="773"/>
        <v>RL Capex 2022-23</v>
      </c>
      <c r="C536" s="1429"/>
      <c r="D536" s="1429"/>
      <c r="E536" s="1429"/>
      <c r="F536" s="1429"/>
      <c r="G536" s="1429"/>
      <c r="H536" s="1429"/>
      <c r="I536" s="1424"/>
      <c r="J536" s="1428">
        <f>J501</f>
        <v>0</v>
      </c>
      <c r="K536" s="1423">
        <f t="shared" si="760"/>
        <v>0</v>
      </c>
      <c r="L536" s="1423">
        <f t="shared" si="761"/>
        <v>0</v>
      </c>
      <c r="M536" s="1423">
        <f t="shared" si="762"/>
        <v>0</v>
      </c>
      <c r="N536" s="1423">
        <f t="shared" si="763"/>
        <v>0</v>
      </c>
      <c r="O536" s="1423">
        <f t="shared" si="764"/>
        <v>0</v>
      </c>
      <c r="P536" s="1423">
        <f t="shared" si="765"/>
        <v>0</v>
      </c>
      <c r="Q536" s="1423">
        <f t="shared" si="766"/>
        <v>0</v>
      </c>
      <c r="R536" s="1423">
        <f t="shared" si="767"/>
        <v>0</v>
      </c>
      <c r="S536" s="1423">
        <f t="shared" si="768"/>
        <v>0</v>
      </c>
      <c r="T536" s="1423">
        <f t="shared" si="769"/>
        <v>0</v>
      </c>
      <c r="U536" s="1423">
        <f t="shared" si="770"/>
        <v>0</v>
      </c>
      <c r="V536" s="1423">
        <f t="shared" si="771"/>
        <v>0</v>
      </c>
      <c r="W536" s="1423">
        <f t="shared" si="772"/>
        <v>0</v>
      </c>
      <c r="X536" s="152"/>
      <c r="Y536" s="152"/>
      <c r="Z536" s="152"/>
      <c r="AA536" s="152"/>
      <c r="AB536" s="152"/>
    </row>
    <row r="537" spans="1:28" hidden="1" outlineLevel="1">
      <c r="A537" s="152"/>
      <c r="B537" s="190" t="str">
        <f t="shared" ca="1" si="773"/>
        <v>RL Capex 2023-24</v>
      </c>
      <c r="C537" s="1429"/>
      <c r="D537" s="1429"/>
      <c r="E537" s="1429"/>
      <c r="F537" s="1429"/>
      <c r="G537" s="1429"/>
      <c r="H537" s="1429"/>
      <c r="I537" s="1429"/>
      <c r="J537" s="1424"/>
      <c r="K537" s="1428">
        <f>K501</f>
        <v>0</v>
      </c>
      <c r="L537" s="1423">
        <f t="shared" si="761"/>
        <v>0</v>
      </c>
      <c r="M537" s="1423">
        <f t="shared" si="762"/>
        <v>0</v>
      </c>
      <c r="N537" s="1423">
        <f t="shared" si="763"/>
        <v>0</v>
      </c>
      <c r="O537" s="1423">
        <f t="shared" si="764"/>
        <v>0</v>
      </c>
      <c r="P537" s="1423">
        <f t="shared" si="765"/>
        <v>0</v>
      </c>
      <c r="Q537" s="1423">
        <f t="shared" si="766"/>
        <v>0</v>
      </c>
      <c r="R537" s="1423">
        <f t="shared" si="767"/>
        <v>0</v>
      </c>
      <c r="S537" s="1423">
        <f t="shared" si="768"/>
        <v>0</v>
      </c>
      <c r="T537" s="1423">
        <f t="shared" si="769"/>
        <v>0</v>
      </c>
      <c r="U537" s="1423">
        <f t="shared" si="770"/>
        <v>0</v>
      </c>
      <c r="V537" s="1423">
        <f t="shared" si="771"/>
        <v>0</v>
      </c>
      <c r="W537" s="1423">
        <f t="shared" si="772"/>
        <v>0</v>
      </c>
      <c r="X537" s="152"/>
      <c r="Y537" s="152"/>
      <c r="Z537" s="152"/>
      <c r="AA537" s="152"/>
      <c r="AB537" s="152"/>
    </row>
    <row r="538" spans="1:28" hidden="1" outlineLevel="1">
      <c r="A538" s="152"/>
      <c r="B538" s="190" t="str">
        <f t="shared" ca="1" si="773"/>
        <v>RL Capex 2024-25</v>
      </c>
      <c r="C538" s="1429"/>
      <c r="D538" s="1429"/>
      <c r="E538" s="1429"/>
      <c r="F538" s="1429"/>
      <c r="G538" s="1429"/>
      <c r="H538" s="1429"/>
      <c r="I538" s="1429"/>
      <c r="J538" s="1429"/>
      <c r="K538" s="1424"/>
      <c r="L538" s="1428">
        <f>L501</f>
        <v>0</v>
      </c>
      <c r="M538" s="1423">
        <f t="shared" si="762"/>
        <v>0</v>
      </c>
      <c r="N538" s="1423">
        <f t="shared" si="763"/>
        <v>0</v>
      </c>
      <c r="O538" s="1423">
        <f t="shared" si="764"/>
        <v>0</v>
      </c>
      <c r="P538" s="1423">
        <f t="shared" si="765"/>
        <v>0</v>
      </c>
      <c r="Q538" s="1423">
        <f t="shared" si="766"/>
        <v>0</v>
      </c>
      <c r="R538" s="1423">
        <f t="shared" si="767"/>
        <v>0</v>
      </c>
      <c r="S538" s="1423">
        <f t="shared" si="768"/>
        <v>0</v>
      </c>
      <c r="T538" s="1423">
        <f t="shared" si="769"/>
        <v>0</v>
      </c>
      <c r="U538" s="1423">
        <f t="shared" si="770"/>
        <v>0</v>
      </c>
      <c r="V538" s="1423">
        <f t="shared" si="771"/>
        <v>0</v>
      </c>
      <c r="W538" s="1423">
        <f t="shared" si="772"/>
        <v>0</v>
      </c>
      <c r="X538" s="152"/>
      <c r="Y538" s="152"/>
      <c r="Z538" s="152"/>
      <c r="AA538" s="152"/>
      <c r="AB538" s="152"/>
    </row>
    <row r="539" spans="1:28" hidden="1" outlineLevel="1">
      <c r="A539" s="152"/>
      <c r="B539" s="190" t="str">
        <f t="shared" ca="1" si="773"/>
        <v>RL Capex 2025-26</v>
      </c>
      <c r="C539" s="1429"/>
      <c r="D539" s="1429"/>
      <c r="E539" s="1429"/>
      <c r="F539" s="1429"/>
      <c r="G539" s="1429"/>
      <c r="H539" s="1429"/>
      <c r="I539" s="1429"/>
      <c r="J539" s="1429"/>
      <c r="K539" s="1429"/>
      <c r="L539" s="1424"/>
      <c r="M539" s="1428">
        <f>M501</f>
        <v>0</v>
      </c>
      <c r="N539" s="1423">
        <f t="shared" si="763"/>
        <v>0</v>
      </c>
      <c r="O539" s="1423">
        <f t="shared" si="764"/>
        <v>0</v>
      </c>
      <c r="P539" s="1423">
        <f t="shared" si="765"/>
        <v>0</v>
      </c>
      <c r="Q539" s="1423">
        <f t="shared" si="766"/>
        <v>0</v>
      </c>
      <c r="R539" s="1423">
        <f t="shared" si="767"/>
        <v>0</v>
      </c>
      <c r="S539" s="1423">
        <f t="shared" si="768"/>
        <v>0</v>
      </c>
      <c r="T539" s="1423">
        <f t="shared" si="769"/>
        <v>0</v>
      </c>
      <c r="U539" s="1423">
        <f t="shared" si="770"/>
        <v>0</v>
      </c>
      <c r="V539" s="1423">
        <f t="shared" si="771"/>
        <v>0</v>
      </c>
      <c r="W539" s="1423">
        <f t="shared" si="772"/>
        <v>0</v>
      </c>
      <c r="X539" s="152"/>
      <c r="Y539" s="152"/>
      <c r="Z539" s="152"/>
      <c r="AA539" s="152"/>
      <c r="AB539" s="152"/>
    </row>
    <row r="540" spans="1:28" hidden="1" outlineLevel="1">
      <c r="A540" s="152"/>
      <c r="B540" s="190" t="str">
        <f t="shared" ca="1" si="773"/>
        <v>RL Capex 2026-27</v>
      </c>
      <c r="C540" s="1429"/>
      <c r="D540" s="1429"/>
      <c r="E540" s="1429"/>
      <c r="F540" s="1429"/>
      <c r="G540" s="1429"/>
      <c r="H540" s="1429"/>
      <c r="I540" s="1429"/>
      <c r="J540" s="1429"/>
      <c r="K540" s="1429"/>
      <c r="L540" s="1429"/>
      <c r="M540" s="1424"/>
      <c r="N540" s="1428">
        <f>N501</f>
        <v>0</v>
      </c>
      <c r="O540" s="1423">
        <f t="shared" si="764"/>
        <v>0</v>
      </c>
      <c r="P540" s="1423">
        <f t="shared" si="765"/>
        <v>0</v>
      </c>
      <c r="Q540" s="1423">
        <f t="shared" si="766"/>
        <v>0</v>
      </c>
      <c r="R540" s="1423">
        <f t="shared" si="767"/>
        <v>0</v>
      </c>
      <c r="S540" s="1423">
        <f t="shared" si="768"/>
        <v>0</v>
      </c>
      <c r="T540" s="1423">
        <f t="shared" si="769"/>
        <v>0</v>
      </c>
      <c r="U540" s="1423">
        <f t="shared" si="770"/>
        <v>0</v>
      </c>
      <c r="V540" s="1423">
        <f t="shared" si="771"/>
        <v>0</v>
      </c>
      <c r="W540" s="1423">
        <f t="shared" si="772"/>
        <v>0</v>
      </c>
      <c r="X540" s="152"/>
      <c r="Y540" s="152"/>
      <c r="Z540" s="152"/>
      <c r="AA540" s="152"/>
      <c r="AB540" s="152"/>
    </row>
    <row r="541" spans="1:28" hidden="1" outlineLevel="1">
      <c r="A541" s="152"/>
      <c r="B541" s="190" t="str">
        <f t="shared" ca="1" si="773"/>
        <v>RL Capex 2027-28</v>
      </c>
      <c r="C541" s="1429"/>
      <c r="D541" s="1429"/>
      <c r="E541" s="1429"/>
      <c r="F541" s="1429"/>
      <c r="G541" s="1429"/>
      <c r="H541" s="1429"/>
      <c r="I541" s="1429"/>
      <c r="J541" s="1429"/>
      <c r="K541" s="1429"/>
      <c r="L541" s="1429"/>
      <c r="M541" s="1429"/>
      <c r="N541" s="1424"/>
      <c r="O541" s="1428">
        <f>O501</f>
        <v>0</v>
      </c>
      <c r="P541" s="1423">
        <f t="shared" si="765"/>
        <v>0</v>
      </c>
      <c r="Q541" s="1423">
        <f t="shared" si="766"/>
        <v>0</v>
      </c>
      <c r="R541" s="1423">
        <f t="shared" si="767"/>
        <v>0</v>
      </c>
      <c r="S541" s="1423">
        <f t="shared" si="768"/>
        <v>0</v>
      </c>
      <c r="T541" s="1423">
        <f t="shared" si="769"/>
        <v>0</v>
      </c>
      <c r="U541" s="1423">
        <f t="shared" si="770"/>
        <v>0</v>
      </c>
      <c r="V541" s="1423">
        <f t="shared" si="771"/>
        <v>0</v>
      </c>
      <c r="W541" s="1423">
        <f t="shared" si="772"/>
        <v>0</v>
      </c>
      <c r="X541" s="152"/>
      <c r="Y541" s="152"/>
      <c r="Z541" s="152"/>
      <c r="AA541" s="152"/>
      <c r="AB541" s="152"/>
    </row>
    <row r="542" spans="1:28" hidden="1" outlineLevel="1">
      <c r="A542" s="152"/>
      <c r="B542" s="190" t="str">
        <f t="shared" ca="1" si="773"/>
        <v>RL Capex 2028-29</v>
      </c>
      <c r="C542" s="1429"/>
      <c r="D542" s="1429"/>
      <c r="E542" s="1429"/>
      <c r="F542" s="1429"/>
      <c r="G542" s="1429"/>
      <c r="H542" s="1429"/>
      <c r="I542" s="1429"/>
      <c r="J542" s="1429"/>
      <c r="K542" s="1429"/>
      <c r="L542" s="1429"/>
      <c r="M542" s="1429"/>
      <c r="N542" s="1429"/>
      <c r="O542" s="1424"/>
      <c r="P542" s="1428">
        <f>P501</f>
        <v>0</v>
      </c>
      <c r="Q542" s="1423">
        <f t="shared" si="766"/>
        <v>0</v>
      </c>
      <c r="R542" s="1423">
        <f t="shared" si="767"/>
        <v>0</v>
      </c>
      <c r="S542" s="1423">
        <f t="shared" si="768"/>
        <v>0</v>
      </c>
      <c r="T542" s="1423">
        <f t="shared" si="769"/>
        <v>0</v>
      </c>
      <c r="U542" s="1423">
        <f t="shared" si="770"/>
        <v>0</v>
      </c>
      <c r="V542" s="1423">
        <f t="shared" si="771"/>
        <v>0</v>
      </c>
      <c r="W542" s="1423">
        <f t="shared" si="772"/>
        <v>0</v>
      </c>
      <c r="X542" s="152"/>
      <c r="Y542" s="152"/>
      <c r="Z542" s="152"/>
      <c r="AA542" s="152"/>
      <c r="AB542" s="152"/>
    </row>
    <row r="543" spans="1:28" hidden="1" outlineLevel="1">
      <c r="A543" s="152"/>
      <c r="B543" s="190" t="str">
        <f t="shared" ca="1" si="773"/>
        <v>RL Capex 2029-30</v>
      </c>
      <c r="C543" s="1429"/>
      <c r="D543" s="1429"/>
      <c r="E543" s="1429"/>
      <c r="F543" s="1429"/>
      <c r="G543" s="1429"/>
      <c r="H543" s="1429"/>
      <c r="I543" s="1429"/>
      <c r="J543" s="1429"/>
      <c r="K543" s="1429"/>
      <c r="L543" s="1429"/>
      <c r="M543" s="1429"/>
      <c r="N543" s="1429"/>
      <c r="O543" s="1429"/>
      <c r="P543" s="1424"/>
      <c r="Q543" s="1428">
        <f>Q501</f>
        <v>0</v>
      </c>
      <c r="R543" s="1423">
        <f t="shared" si="767"/>
        <v>0</v>
      </c>
      <c r="S543" s="1423">
        <f t="shared" si="768"/>
        <v>0</v>
      </c>
      <c r="T543" s="1423">
        <f t="shared" si="769"/>
        <v>0</v>
      </c>
      <c r="U543" s="1423">
        <f t="shared" si="770"/>
        <v>0</v>
      </c>
      <c r="V543" s="1423">
        <f t="shared" si="771"/>
        <v>0</v>
      </c>
      <c r="W543" s="1423">
        <f t="shared" si="772"/>
        <v>0</v>
      </c>
      <c r="X543" s="152"/>
      <c r="Y543" s="152"/>
      <c r="Z543" s="152"/>
      <c r="AA543" s="152"/>
      <c r="AB543" s="152"/>
    </row>
    <row r="544" spans="1:28" hidden="1" outlineLevel="1">
      <c r="A544" s="152"/>
      <c r="B544" s="190" t="str">
        <f t="shared" ca="1" si="773"/>
        <v>RL Capex 2030-31</v>
      </c>
      <c r="C544" s="1429"/>
      <c r="D544" s="1429"/>
      <c r="E544" s="1429"/>
      <c r="F544" s="1429"/>
      <c r="G544" s="1429"/>
      <c r="H544" s="1429"/>
      <c r="I544" s="1429"/>
      <c r="J544" s="1429"/>
      <c r="K544" s="1429"/>
      <c r="L544" s="1429"/>
      <c r="M544" s="1429"/>
      <c r="N544" s="1429"/>
      <c r="O544" s="1429"/>
      <c r="P544" s="1429"/>
      <c r="Q544" s="1424"/>
      <c r="R544" s="1428">
        <f>R501</f>
        <v>0</v>
      </c>
      <c r="S544" s="1423">
        <f t="shared" si="768"/>
        <v>0</v>
      </c>
      <c r="T544" s="1423">
        <f t="shared" si="769"/>
        <v>0</v>
      </c>
      <c r="U544" s="1423">
        <f t="shared" si="770"/>
        <v>0</v>
      </c>
      <c r="V544" s="1423">
        <f t="shared" si="771"/>
        <v>0</v>
      </c>
      <c r="W544" s="1423">
        <f t="shared" si="772"/>
        <v>0</v>
      </c>
      <c r="X544" s="152"/>
      <c r="Y544" s="152"/>
      <c r="Z544" s="152"/>
      <c r="AA544" s="152"/>
      <c r="AB544" s="152"/>
    </row>
    <row r="545" spans="1:28" hidden="1" outlineLevel="1">
      <c r="A545" s="152"/>
      <c r="B545" s="190" t="str">
        <f t="shared" ca="1" si="773"/>
        <v>RL Capex 2031-32</v>
      </c>
      <c r="C545" s="1429"/>
      <c r="D545" s="1429"/>
      <c r="E545" s="1429"/>
      <c r="F545" s="1429"/>
      <c r="G545" s="1429"/>
      <c r="H545" s="1429"/>
      <c r="I545" s="1429"/>
      <c r="J545" s="1429"/>
      <c r="K545" s="1429"/>
      <c r="L545" s="1429"/>
      <c r="M545" s="1429"/>
      <c r="N545" s="1429"/>
      <c r="O545" s="1429"/>
      <c r="P545" s="1429"/>
      <c r="Q545" s="1429"/>
      <c r="R545" s="1424"/>
      <c r="S545" s="1428">
        <f>S501</f>
        <v>0</v>
      </c>
      <c r="T545" s="1423">
        <f t="shared" si="769"/>
        <v>0</v>
      </c>
      <c r="U545" s="1423">
        <f t="shared" si="770"/>
        <v>0</v>
      </c>
      <c r="V545" s="1423">
        <f t="shared" si="771"/>
        <v>0</v>
      </c>
      <c r="W545" s="1423">
        <f t="shared" si="772"/>
        <v>0</v>
      </c>
      <c r="X545" s="152"/>
      <c r="Y545" s="152"/>
      <c r="Z545" s="152"/>
      <c r="AA545" s="152"/>
      <c r="AB545" s="152"/>
    </row>
    <row r="546" spans="1:28" hidden="1" outlineLevel="1">
      <c r="A546" s="152"/>
      <c r="B546" s="190" t="str">
        <f t="shared" ca="1" si="773"/>
        <v>RL Capex 2032-33</v>
      </c>
      <c r="C546" s="1429"/>
      <c r="D546" s="1429"/>
      <c r="E546" s="1429"/>
      <c r="F546" s="1429"/>
      <c r="G546" s="1429"/>
      <c r="H546" s="1429"/>
      <c r="I546" s="1429"/>
      <c r="J546" s="1429"/>
      <c r="K546" s="1429"/>
      <c r="L546" s="1429"/>
      <c r="M546" s="1429"/>
      <c r="N546" s="1429"/>
      <c r="O546" s="1429"/>
      <c r="P546" s="1429"/>
      <c r="Q546" s="1429"/>
      <c r="R546" s="1429"/>
      <c r="S546" s="1424"/>
      <c r="T546" s="1428">
        <f>T501</f>
        <v>0</v>
      </c>
      <c r="U546" s="1423">
        <f t="shared" si="770"/>
        <v>0</v>
      </c>
      <c r="V546" s="1423">
        <f t="shared" si="771"/>
        <v>0</v>
      </c>
      <c r="W546" s="1423">
        <f t="shared" si="772"/>
        <v>0</v>
      </c>
      <c r="X546" s="152"/>
      <c r="Y546" s="152"/>
      <c r="Z546" s="152"/>
      <c r="AA546" s="152"/>
      <c r="AB546" s="152"/>
    </row>
    <row r="547" spans="1:28" hidden="1" outlineLevel="1">
      <c r="A547" s="152"/>
      <c r="B547" s="190" t="str">
        <f t="shared" ca="1" si="773"/>
        <v>RL Capex 2033-34</v>
      </c>
      <c r="C547" s="1429"/>
      <c r="D547" s="1429"/>
      <c r="E547" s="1429"/>
      <c r="F547" s="1429"/>
      <c r="G547" s="1429"/>
      <c r="H547" s="1429"/>
      <c r="I547" s="1429"/>
      <c r="J547" s="1429"/>
      <c r="K547" s="1429"/>
      <c r="L547" s="1429"/>
      <c r="M547" s="1429"/>
      <c r="N547" s="1429"/>
      <c r="O547" s="1429"/>
      <c r="P547" s="1429"/>
      <c r="Q547" s="1429"/>
      <c r="R547" s="1429"/>
      <c r="S547" s="1429"/>
      <c r="T547" s="1424"/>
      <c r="U547" s="1428">
        <f>U501</f>
        <v>0</v>
      </c>
      <c r="V547" s="1423">
        <f t="shared" si="771"/>
        <v>0</v>
      </c>
      <c r="W547" s="1423">
        <f t="shared" si="772"/>
        <v>0</v>
      </c>
      <c r="X547" s="152"/>
      <c r="Y547" s="152"/>
      <c r="Z547" s="152"/>
      <c r="AA547" s="152"/>
      <c r="AB547" s="152"/>
    </row>
    <row r="548" spans="1:28" hidden="1" outlineLevel="1">
      <c r="A548" s="152"/>
      <c r="B548" s="190" t="str">
        <f t="shared" ca="1" si="773"/>
        <v>RL Capex 2034-35</v>
      </c>
      <c r="C548" s="1429"/>
      <c r="D548" s="1429"/>
      <c r="E548" s="1429"/>
      <c r="F548" s="1429"/>
      <c r="G548" s="1429"/>
      <c r="H548" s="1429"/>
      <c r="I548" s="1429"/>
      <c r="J548" s="1429"/>
      <c r="K548" s="1429"/>
      <c r="L548" s="1429"/>
      <c r="M548" s="1429"/>
      <c r="N548" s="1429"/>
      <c r="O548" s="1429"/>
      <c r="P548" s="1429"/>
      <c r="Q548" s="1429"/>
      <c r="R548" s="1429"/>
      <c r="S548" s="1429"/>
      <c r="T548" s="1429"/>
      <c r="U548" s="1424"/>
      <c r="V548" s="1428">
        <f>V501</f>
        <v>0</v>
      </c>
      <c r="W548" s="1423">
        <f>IF(V548="n/a","n/a",MAX(0,V548-1))</f>
        <v>0</v>
      </c>
      <c r="X548" s="152"/>
      <c r="Y548" s="152"/>
      <c r="Z548" s="152"/>
      <c r="AA548" s="152"/>
      <c r="AB548" s="152"/>
    </row>
    <row r="549" spans="1:28" hidden="1" outlineLevel="1">
      <c r="A549" s="152"/>
      <c r="B549" s="190" t="str">
        <f t="shared" ca="1" si="773"/>
        <v>RL Capex 2035-36</v>
      </c>
      <c r="C549" s="1429"/>
      <c r="D549" s="1429"/>
      <c r="E549" s="1429"/>
      <c r="F549" s="1429"/>
      <c r="G549" s="1429"/>
      <c r="H549" s="1429"/>
      <c r="I549" s="1429"/>
      <c r="J549" s="1429"/>
      <c r="K549" s="1429"/>
      <c r="L549" s="1429"/>
      <c r="M549" s="1429"/>
      <c r="N549" s="1429"/>
      <c r="O549" s="1429"/>
      <c r="P549" s="1429"/>
      <c r="Q549" s="1429"/>
      <c r="R549" s="1429"/>
      <c r="S549" s="1429"/>
      <c r="T549" s="1429"/>
      <c r="U549" s="1429"/>
      <c r="V549" s="1424"/>
      <c r="W549" s="1423">
        <f>W501</f>
        <v>0</v>
      </c>
      <c r="X549" s="152"/>
      <c r="Y549" s="152"/>
      <c r="Z549" s="152"/>
      <c r="AA549" s="152"/>
      <c r="AB549" s="152"/>
    </row>
    <row r="550" spans="1:28" hidden="1" outlineLevel="1">
      <c r="A550" s="152"/>
      <c r="B550" s="200"/>
      <c r="C550" s="1423"/>
      <c r="D550" s="1423"/>
      <c r="E550" s="1423"/>
      <c r="F550" s="1423"/>
      <c r="G550" s="1423"/>
      <c r="H550" s="1423"/>
      <c r="I550" s="1423"/>
      <c r="J550" s="1423"/>
      <c r="K550" s="1423"/>
      <c r="L550" s="1423"/>
      <c r="M550" s="1423"/>
      <c r="N550" s="1423"/>
      <c r="O550" s="1423"/>
      <c r="P550" s="1423"/>
      <c r="Q550" s="1423"/>
      <c r="R550" s="1423"/>
      <c r="S550" s="1423"/>
      <c r="T550" s="1423"/>
      <c r="U550" s="1423"/>
      <c r="V550" s="1423"/>
      <c r="W550" s="1423"/>
      <c r="X550" s="152"/>
      <c r="Y550" s="152"/>
      <c r="Z550" s="152"/>
      <c r="AA550" s="152"/>
      <c r="AB550" s="152"/>
    </row>
    <row r="551" spans="1:28" collapsed="1">
      <c r="A551" s="194"/>
      <c r="B551" s="204" t="s">
        <v>123</v>
      </c>
      <c r="C551" s="1430">
        <f ca="1">(IF(OR($C501&lt;&gt;"n/a",C501&lt;&gt;"n/a"),IF(SUM(C504:C526)=0,0,IF((SUMPRODUCT(C504:C526,C528:C550)/SUM(C504:C526))&lt;0,1,(SUMPRODUCT(C504:C526,C528:C550)/SUM(C504:C526)))),"n/a"))</f>
        <v>0</v>
      </c>
      <c r="D551" s="1430">
        <f ca="1">(IF(OR($C501&lt;&gt;"n/a",D501&lt;&gt;"n/a"),IF(SUM(D504:D526)=0,0,IF((SUMPRODUCT(D504:D526,D528:D550)/SUM(D504:D526))&lt;0,1,(SUMPRODUCT(D504:D526,D528:D550)/SUM(D504:D526)))),"n/a"))</f>
        <v>0</v>
      </c>
      <c r="E551" s="1430">
        <f t="shared" ref="E551:W551" ca="1" si="774">(IF(OR($C501&lt;&gt;"n/a",E501&lt;&gt;"n/a"),IF(SUM(E504:E526)=0,0,IF((SUMPRODUCT(E504:E526,E528:E550)/SUM(E504:E526))&lt;0,1,(SUMPRODUCT(E504:E526,E528:E550)/SUM(E504:E526)))),"n/a"))</f>
        <v>0</v>
      </c>
      <c r="F551" s="1430">
        <f t="shared" ca="1" si="774"/>
        <v>0</v>
      </c>
      <c r="G551" s="1430">
        <f t="shared" ca="1" si="774"/>
        <v>0</v>
      </c>
      <c r="H551" s="1430">
        <f t="shared" ca="1" si="774"/>
        <v>0</v>
      </c>
      <c r="I551" s="1430">
        <f t="shared" ca="1" si="774"/>
        <v>0</v>
      </c>
      <c r="J551" s="1430">
        <f t="shared" ca="1" si="774"/>
        <v>0</v>
      </c>
      <c r="K551" s="1430">
        <f t="shared" ca="1" si="774"/>
        <v>0</v>
      </c>
      <c r="L551" s="1430">
        <f t="shared" ca="1" si="774"/>
        <v>0</v>
      </c>
      <c r="M551" s="1430">
        <f t="shared" ca="1" si="774"/>
        <v>0</v>
      </c>
      <c r="N551" s="1430">
        <f t="shared" ca="1" si="774"/>
        <v>0</v>
      </c>
      <c r="O551" s="1430">
        <f t="shared" ca="1" si="774"/>
        <v>0</v>
      </c>
      <c r="P551" s="1430">
        <f t="shared" ca="1" si="774"/>
        <v>0</v>
      </c>
      <c r="Q551" s="1430">
        <f t="shared" ca="1" si="774"/>
        <v>0</v>
      </c>
      <c r="R551" s="1430">
        <f t="shared" ca="1" si="774"/>
        <v>0</v>
      </c>
      <c r="S551" s="1430">
        <f t="shared" ca="1" si="774"/>
        <v>0</v>
      </c>
      <c r="T551" s="1430">
        <f t="shared" ca="1" si="774"/>
        <v>0</v>
      </c>
      <c r="U551" s="1430">
        <f t="shared" ca="1" si="774"/>
        <v>0</v>
      </c>
      <c r="V551" s="1430">
        <f t="shared" ca="1" si="774"/>
        <v>0</v>
      </c>
      <c r="W551" s="1430">
        <f t="shared" ca="1" si="774"/>
        <v>0</v>
      </c>
      <c r="X551" s="152"/>
      <c r="Y551" s="152"/>
      <c r="Z551" s="152"/>
      <c r="AA551" s="152"/>
      <c r="AB551" s="152"/>
    </row>
    <row r="552" spans="1:28">
      <c r="A552" s="152"/>
      <c r="B552" s="152"/>
      <c r="C552" s="1423"/>
      <c r="D552" s="1423"/>
      <c r="E552" s="1423"/>
      <c r="F552" s="1423"/>
      <c r="G552" s="1423"/>
      <c r="H552" s="1423"/>
      <c r="I552" s="1423"/>
      <c r="J552" s="1423"/>
      <c r="K552" s="1423"/>
      <c r="L552" s="1423"/>
      <c r="M552" s="1423"/>
      <c r="N552" s="1423"/>
      <c r="O552" s="1423"/>
      <c r="P552" s="1423"/>
      <c r="Q552" s="1423"/>
      <c r="R552" s="1423"/>
      <c r="S552" s="1423"/>
      <c r="T552" s="1423"/>
      <c r="U552" s="1423"/>
      <c r="V552" s="1423"/>
      <c r="W552" s="1423"/>
      <c r="X552" s="152"/>
      <c r="Y552" s="152"/>
      <c r="Z552" s="152"/>
      <c r="AA552" s="152"/>
      <c r="AB552" s="152"/>
    </row>
    <row r="553" spans="1:28">
      <c r="A553" s="269" t="s">
        <v>11</v>
      </c>
      <c r="B553" s="270">
        <f>VLOOKUP($A553,'RFM input'!$E$7:$F$56,2,FALSE)</f>
        <v>0</v>
      </c>
      <c r="C553" s="1431"/>
      <c r="D553" s="1431"/>
      <c r="E553" s="1432"/>
      <c r="F553" s="1432"/>
      <c r="G553" s="1432"/>
      <c r="H553" s="1432"/>
      <c r="I553" s="1432"/>
      <c r="J553" s="1432"/>
      <c r="K553" s="1432"/>
      <c r="L553" s="1432"/>
      <c r="M553" s="1432"/>
      <c r="N553" s="1432"/>
      <c r="O553" s="1432"/>
      <c r="P553" s="1432"/>
      <c r="Q553" s="1432"/>
      <c r="R553" s="1432"/>
      <c r="S553" s="1432"/>
      <c r="T553" s="1432"/>
      <c r="U553" s="1432"/>
      <c r="V553" s="1432"/>
      <c r="W553" s="1432"/>
      <c r="X553" s="152"/>
      <c r="Y553" s="152"/>
      <c r="Z553" s="152"/>
      <c r="AA553" s="152"/>
      <c r="AB553" s="152"/>
    </row>
    <row r="554" spans="1:28">
      <c r="A554" s="215">
        <f>VALUE(REPLACE(A553,1,12,""))</f>
        <v>11</v>
      </c>
      <c r="B554" s="193" t="s">
        <v>126</v>
      </c>
      <c r="C554" s="1416">
        <f ca="1">IF($C$8='Capital Base roll forward'!$H$4,OFFSET('Capital Base roll forward'!$H$717,'RAB remaining lives'!A554,0),"enter input")</f>
        <v>0</v>
      </c>
      <c r="D554" s="1417">
        <f>IF(LEFT(D$6,4)&lt;LEFT('RFM input'!$G$60,4),"enter input",IF(LEFT(D$6,4)&gt;LEFT('RFM input'!$Q$60,4),0,INDEX('RFM input'!$G$61:$Q$110,$A554,MATCH(D$6,'RFM input'!$G$60:$Q$60,0))
-INDEX('RFM input'!$G$115:$Q$164,$A554,MATCH(D$6,'RFM input'!$G$60:$Q$60,0))
-INDEX('RFM input'!$G$169:$Q$218,$A554,MATCH(D$6,'RFM input'!$G$60:$Q$60,0))))</f>
        <v>0</v>
      </c>
      <c r="E554" s="1417">
        <f>IF(LEFT(E$6,4)&lt;LEFT('RFM input'!$G$60,4),"enter input",IF(LEFT(E$6,4)&gt;LEFT('RFM input'!$Q$60,4),0,INDEX('RFM input'!$G$61:$Q$110,$A554,MATCH(E$6,'RFM input'!$G$60:$Q$60,0))
-INDEX('RFM input'!$G$115:$Q$164,$A554,MATCH(E$6,'RFM input'!$G$60:$Q$60,0))
-INDEX('RFM input'!$G$169:$Q$218,$A554,MATCH(E$6,'RFM input'!$G$60:$Q$60,0))))</f>
        <v>0</v>
      </c>
      <c r="F554" s="1417">
        <f>IF(LEFT(F$6,4)&lt;LEFT('RFM input'!$G$60,4),"enter input",IF(LEFT(F$6,4)&gt;LEFT('RFM input'!$Q$60,4),0,INDEX('RFM input'!$G$61:$Q$110,$A554,MATCH(F$6,'RFM input'!$G$60:$Q$60,0))
-INDEX('RFM input'!$G$115:$Q$164,$A554,MATCH(F$6,'RFM input'!$G$60:$Q$60,0))
-INDEX('RFM input'!$G$169:$Q$218,$A554,MATCH(F$6,'RFM input'!$G$60:$Q$60,0))))</f>
        <v>0</v>
      </c>
      <c r="G554" s="1417">
        <f>IF(LEFT(G$6,4)&lt;LEFT('RFM input'!$G$60,4),"enter input",IF(LEFT(G$6,4)&gt;LEFT('RFM input'!$Q$60,4),0,INDEX('RFM input'!$G$61:$Q$110,$A554,MATCH(G$6,'RFM input'!$G$60:$Q$60,0))
-INDEX('RFM input'!$G$115:$Q$164,$A554,MATCH(G$6,'RFM input'!$G$60:$Q$60,0))
-INDEX('RFM input'!$G$169:$Q$218,$A554,MATCH(G$6,'RFM input'!$G$60:$Q$60,0))))</f>
        <v>0</v>
      </c>
      <c r="H554" s="1417">
        <f>IF(LEFT(H$6,4)&lt;LEFT('RFM input'!$G$60,4),"enter input",IF(LEFT(H$6,4)&gt;LEFT('RFM input'!$Q$60,4),0,INDEX('RFM input'!$G$61:$Q$110,$A554,MATCH(H$6,'RFM input'!$G$60:$Q$60,0))
-INDEX('RFM input'!$G$115:$Q$164,$A554,MATCH(H$6,'RFM input'!$G$60:$Q$60,0))
-INDEX('RFM input'!$G$169:$Q$218,$A554,MATCH(H$6,'RFM input'!$G$60:$Q$60,0))))</f>
        <v>0</v>
      </c>
      <c r="I554" s="1417">
        <f>IF(LEFT(I$6,4)&lt;LEFT('RFM input'!$G$60,4),"enter input",IF(LEFT(I$6,4)&gt;LEFT('RFM input'!$Q$60,4),0,INDEX('RFM input'!$G$61:$Q$110,$A554,MATCH(I$6,'RFM input'!$G$60:$Q$60,0))
-INDEX('RFM input'!$G$115:$Q$164,$A554,MATCH(I$6,'RFM input'!$G$60:$Q$60,0))
-INDEX('RFM input'!$G$169:$Q$218,$A554,MATCH(I$6,'RFM input'!$G$60:$Q$60,0))))</f>
        <v>0</v>
      </c>
      <c r="J554" s="1417">
        <f>IF(LEFT(J$6,4)&lt;LEFT('RFM input'!$G$60,4),"enter input",IF(LEFT(J$6,4)&gt;LEFT('RFM input'!$Q$60,4),0,INDEX('RFM input'!$G$61:$Q$110,$A554,MATCH(J$6,'RFM input'!$G$60:$Q$60,0))
-INDEX('RFM input'!$G$115:$Q$164,$A554,MATCH(J$6,'RFM input'!$G$60:$Q$60,0))
-INDEX('RFM input'!$G$169:$Q$218,$A554,MATCH(J$6,'RFM input'!$G$60:$Q$60,0))))</f>
        <v>0</v>
      </c>
      <c r="K554" s="1417">
        <f>IF(LEFT(K$6,4)&lt;LEFT('RFM input'!$G$60,4),"enter input",IF(LEFT(K$6,4)&gt;LEFT('RFM input'!$Q$60,4),0,INDEX('RFM input'!$G$61:$Q$110,$A554,MATCH(K$6,'RFM input'!$G$60:$Q$60,0))
-INDEX('RFM input'!$G$115:$Q$164,$A554,MATCH(K$6,'RFM input'!$G$60:$Q$60,0))
-INDEX('RFM input'!$G$169:$Q$218,$A554,MATCH(K$6,'RFM input'!$G$60:$Q$60,0))))</f>
        <v>0</v>
      </c>
      <c r="L554" s="1417">
        <f>IF(LEFT(L$6,4)&lt;LEFT('RFM input'!$G$60,4),"enter input",IF(LEFT(L$6,4)&gt;LEFT('RFM input'!$Q$60,4),0,INDEX('RFM input'!$G$61:$Q$110,$A554,MATCH(L$6,'RFM input'!$G$60:$Q$60,0))
-INDEX('RFM input'!$G$115:$Q$164,$A554,MATCH(L$6,'RFM input'!$G$60:$Q$60,0))
-INDEX('RFM input'!$G$169:$Q$218,$A554,MATCH(L$6,'RFM input'!$G$60:$Q$60,0))))</f>
        <v>0</v>
      </c>
      <c r="M554" s="1417">
        <f>IF(LEFT(M$6,4)&lt;LEFT('RFM input'!$G$60,4),"enter input",IF(LEFT(M$6,4)&gt;LEFT('RFM input'!$Q$60,4),0,INDEX('RFM input'!$G$61:$Q$110,$A554,MATCH(M$6,'RFM input'!$G$60:$Q$60,0))
-INDEX('RFM input'!$G$115:$Q$164,$A554,MATCH(M$6,'RFM input'!$G$60:$Q$60,0))
-INDEX('RFM input'!$G$169:$Q$218,$A554,MATCH(M$6,'RFM input'!$G$60:$Q$60,0))))</f>
        <v>0</v>
      </c>
      <c r="N554" s="1417">
        <f>IF(LEFT(N$6,4)&lt;LEFT('RFM input'!$G$60,4),"enter input",IF(LEFT(N$6,4)&gt;LEFT('RFM input'!$Q$60,4),0,INDEX('RFM input'!$G$61:$Q$110,$A554,MATCH(N$6,'RFM input'!$G$60:$Q$60,0))
-INDEX('RFM input'!$G$115:$Q$164,$A554,MATCH(N$6,'RFM input'!$G$60:$Q$60,0))
-INDEX('RFM input'!$G$169:$Q$218,$A554,MATCH(N$6,'RFM input'!$G$60:$Q$60,0))))</f>
        <v>0</v>
      </c>
      <c r="O554" s="1417">
        <f>IF(LEFT(O$6,4)&lt;LEFT('RFM input'!$G$60,4),"enter input",IF(LEFT(O$6,4)&gt;LEFT('RFM input'!$Q$60,4),0,INDEX('RFM input'!$G$61:$Q$110,$A554,MATCH(O$6,'RFM input'!$G$60:$Q$60,0))
-INDEX('RFM input'!$G$115:$Q$164,$A554,MATCH(O$6,'RFM input'!$G$60:$Q$60,0))
-INDEX('RFM input'!$G$169:$Q$218,$A554,MATCH(O$6,'RFM input'!$G$60:$Q$60,0))))</f>
        <v>0</v>
      </c>
      <c r="P554" s="1417">
        <f>IF(LEFT(P$6,4)&lt;LEFT('RFM input'!$G$60,4),"enter input",IF(LEFT(P$6,4)&gt;LEFT('RFM input'!$Q$60,4),0,INDEX('RFM input'!$G$61:$Q$110,$A554,MATCH(P$6,'RFM input'!$G$60:$Q$60,0))
-INDEX('RFM input'!$G$115:$Q$164,$A554,MATCH(P$6,'RFM input'!$G$60:$Q$60,0))
-INDEX('RFM input'!$G$169:$Q$218,$A554,MATCH(P$6,'RFM input'!$G$60:$Q$60,0))))</f>
        <v>0</v>
      </c>
      <c r="Q554" s="1417">
        <f>IF(LEFT(Q$6,4)&lt;LEFT('RFM input'!$G$60,4),"enter input",IF(LEFT(Q$6,4)&gt;LEFT('RFM input'!$Q$60,4),0,INDEX('RFM input'!$G$61:$Q$110,$A554,MATCH(Q$6,'RFM input'!$G$60:$Q$60,0))
-INDEX('RFM input'!$G$115:$Q$164,$A554,MATCH(Q$6,'RFM input'!$G$60:$Q$60,0))
-INDEX('RFM input'!$G$169:$Q$218,$A554,MATCH(Q$6,'RFM input'!$G$60:$Q$60,0))))</f>
        <v>0</v>
      </c>
      <c r="R554" s="1417">
        <f>IF(LEFT(R$6,4)&lt;LEFT('RFM input'!$G$60,4),"enter input",IF(LEFT(R$6,4)&gt;LEFT('RFM input'!$Q$60,4),0,INDEX('RFM input'!$G$61:$Q$110,$A554,MATCH(R$6,'RFM input'!$G$60:$Q$60,0))
-INDEX('RFM input'!$G$115:$Q$164,$A554,MATCH(R$6,'RFM input'!$G$60:$Q$60,0))
-INDEX('RFM input'!$G$169:$Q$218,$A554,MATCH(R$6,'RFM input'!$G$60:$Q$60,0))))</f>
        <v>0</v>
      </c>
      <c r="S554" s="1417">
        <f>IF(LEFT(S$6,4)&lt;LEFT('RFM input'!$G$60,4),"enter input",IF(LEFT(S$6,4)&gt;LEFT('RFM input'!$Q$60,4),0,INDEX('RFM input'!$G$61:$Q$110,$A554,MATCH(S$6,'RFM input'!$G$60:$Q$60,0))
-INDEX('RFM input'!$G$115:$Q$164,$A554,MATCH(S$6,'RFM input'!$G$60:$Q$60,0))
-INDEX('RFM input'!$G$169:$Q$218,$A554,MATCH(S$6,'RFM input'!$G$60:$Q$60,0))))</f>
        <v>0</v>
      </c>
      <c r="T554" s="1417">
        <f>IF(LEFT(T$6,4)&lt;LEFT('RFM input'!$G$60,4),"enter input",IF(LEFT(T$6,4)&gt;LEFT('RFM input'!$Q$60,4),0,INDEX('RFM input'!$G$61:$Q$110,$A554,MATCH(T$6,'RFM input'!$G$60:$Q$60,0))
-INDEX('RFM input'!$G$115:$Q$164,$A554,MATCH(T$6,'RFM input'!$G$60:$Q$60,0))
-INDEX('RFM input'!$G$169:$Q$218,$A554,MATCH(T$6,'RFM input'!$G$60:$Q$60,0))))</f>
        <v>0</v>
      </c>
      <c r="U554" s="1417">
        <f>IF(LEFT(U$6,4)&lt;LEFT('RFM input'!$G$60,4),"enter input",IF(LEFT(U$6,4)&gt;LEFT('RFM input'!$Q$60,4),0,INDEX('RFM input'!$G$61:$Q$110,$A554,MATCH(U$6,'RFM input'!$G$60:$Q$60,0))
-INDEX('RFM input'!$G$115:$Q$164,$A554,MATCH(U$6,'RFM input'!$G$60:$Q$60,0))
-INDEX('RFM input'!$G$169:$Q$218,$A554,MATCH(U$6,'RFM input'!$G$60:$Q$60,0))))</f>
        <v>0</v>
      </c>
      <c r="V554" s="1417">
        <f>IF(LEFT(V$6,4)&lt;LEFT('RFM input'!$G$60,4),"enter input",IF(LEFT(V$6,4)&gt;LEFT('RFM input'!$Q$60,4),0,INDEX('RFM input'!$G$61:$Q$110,$A554,MATCH(V$6,'RFM input'!$G$60:$Q$60,0))
-INDEX('RFM input'!$G$115:$Q$164,$A554,MATCH(V$6,'RFM input'!$G$60:$Q$60,0))
-INDEX('RFM input'!$G$169:$Q$218,$A554,MATCH(V$6,'RFM input'!$G$60:$Q$60,0))))</f>
        <v>0</v>
      </c>
      <c r="W554" s="1417">
        <f>IF(LEFT(W$6,4)&lt;LEFT('RFM input'!$G$60,4),"enter input",IF(LEFT(W$6,4)&gt;LEFT('RFM input'!$Q$60,4),0,INDEX('RFM input'!$G$61:$Q$110,$A554,MATCH(W$6,'RFM input'!$G$60:$Q$60,0))
-INDEX('RFM input'!$G$115:$Q$164,$A554,MATCH(W$6,'RFM input'!$G$60:$Q$60,0))
-INDEX('RFM input'!$G$169:$Q$218,$A554,MATCH(W$6,'RFM input'!$G$60:$Q$60,0))))</f>
        <v>0</v>
      </c>
      <c r="X554" s="152"/>
      <c r="Y554" s="152"/>
      <c r="Z554" s="152"/>
      <c r="AA554" s="152"/>
      <c r="AB554" s="152"/>
    </row>
    <row r="555" spans="1:28">
      <c r="A555" s="152"/>
      <c r="B555" s="152" t="s">
        <v>204</v>
      </c>
      <c r="C555" s="1418">
        <f ca="1">IF($C$8='Capital Base roll forward'!$H$4,OFFSET('RFM input'!$J$6,'RAB remaining lives'!A554,0),"enter input")</f>
        <v>0</v>
      </c>
      <c r="D555" s="1417">
        <f>IF(LEFT(D$6,4)&lt;=LEFT('RFM input'!$G$60,4),"enter input",IF(LEFT(D$6,4)&gt;LEFT('RFM input'!$Q$60,4),0,IF(MATCH(D$6,'RFM input'!$H$60:$Q$60,0),INDEX('RFM input'!$K$7:$K$56,$A554,1))))</f>
        <v>0</v>
      </c>
      <c r="E555" s="1417">
        <f>IF(LEFT(E$6,4)&lt;=LEFT('RFM input'!$G$60,4),"enter input",IF(LEFT(E$6,4)&gt;LEFT('RFM input'!$Q$60,4),0,IF(MATCH(E$6,'RFM input'!$H$60:$Q$60,0),INDEX('RFM input'!$K$7:$K$56,$A554,1))))</f>
        <v>0</v>
      </c>
      <c r="F555" s="1417">
        <f>IF(LEFT(F$6,4)&lt;=LEFT('RFM input'!$G$60,4),"enter input",IF(LEFT(F$6,4)&gt;LEFT('RFM input'!$Q$60,4),0,IF(MATCH(F$6,'RFM input'!$H$60:$Q$60,0),INDEX('RFM input'!$K$7:$K$56,$A554,1))))</f>
        <v>0</v>
      </c>
      <c r="G555" s="1417">
        <f>IF(LEFT(G$6,4)&lt;=LEFT('RFM input'!$G$60,4),"enter input",IF(LEFT(G$6,4)&gt;LEFT('RFM input'!$Q$60,4),0,IF(MATCH(G$6,'RFM input'!$H$60:$Q$60,0),INDEX('RFM input'!$K$7:$K$56,$A554,1))))</f>
        <v>0</v>
      </c>
      <c r="H555" s="1417">
        <f>IF(LEFT(H$6,4)&lt;=LEFT('RFM input'!$G$60,4),"enter input",IF(LEFT(H$6,4)&gt;LEFT('RFM input'!$Q$60,4),0,IF(MATCH(H$6,'RFM input'!$H$60:$Q$60,0),INDEX('RFM input'!$K$7:$K$56,$A554,1))))</f>
        <v>0</v>
      </c>
      <c r="I555" s="1417">
        <f>IF(LEFT(I$6,4)&lt;=LEFT('RFM input'!$G$60,4),"enter input",IF(LEFT(I$6,4)&gt;LEFT('RFM input'!$Q$60,4),0,IF(MATCH(I$6,'RFM input'!$H$60:$Q$60,0),INDEX('RFM input'!$K$7:$K$56,$A554,1))))</f>
        <v>0</v>
      </c>
      <c r="J555" s="1417">
        <f>IF(LEFT(J$6,4)&lt;=LEFT('RFM input'!$G$60,4),"enter input",IF(LEFT(J$6,4)&gt;LEFT('RFM input'!$Q$60,4),0,IF(MATCH(J$6,'RFM input'!$H$60:$Q$60,0),INDEX('RFM input'!$K$7:$K$56,$A554,1))))</f>
        <v>0</v>
      </c>
      <c r="K555" s="1417">
        <f>IF(LEFT(K$6,4)&lt;=LEFT('RFM input'!$G$60,4),"enter input",IF(LEFT(K$6,4)&gt;LEFT('RFM input'!$Q$60,4),0,IF(MATCH(K$6,'RFM input'!$H$60:$Q$60,0),INDEX('RFM input'!$K$7:$K$56,$A554,1))))</f>
        <v>0</v>
      </c>
      <c r="L555" s="1417">
        <f>IF(LEFT(L$6,4)&lt;=LEFT('RFM input'!$G$60,4),"enter input",IF(LEFT(L$6,4)&gt;LEFT('RFM input'!$Q$60,4),0,IF(MATCH(L$6,'RFM input'!$H$60:$Q$60,0),INDEX('RFM input'!$K$7:$K$56,$A554,1))))</f>
        <v>0</v>
      </c>
      <c r="M555" s="1417">
        <f>IF(LEFT(M$6,4)&lt;=LEFT('RFM input'!$G$60,4),"enter input",IF(LEFT(M$6,4)&gt;LEFT('RFM input'!$Q$60,4),0,IF(MATCH(M$6,'RFM input'!$H$60:$Q$60,0),INDEX('RFM input'!$K$7:$K$56,$A554,1))))</f>
        <v>0</v>
      </c>
      <c r="N555" s="1417">
        <f>IF(LEFT(N$6,4)&lt;=LEFT('RFM input'!$G$60,4),"enter input",IF(LEFT(N$6,4)&gt;LEFT('RFM input'!$Q$60,4),0,IF(MATCH(N$6,'RFM input'!$H$60:$Q$60,0),INDEX('RFM input'!$K$7:$K$56,$A554,1))))</f>
        <v>0</v>
      </c>
      <c r="O555" s="1417">
        <f>IF(LEFT(O$6,4)&lt;=LEFT('RFM input'!$G$60,4),"enter input",IF(LEFT(O$6,4)&gt;LEFT('RFM input'!$Q$60,4),0,IF(MATCH(O$6,'RFM input'!$H$60:$Q$60,0),INDEX('RFM input'!$K$7:$K$56,$A554,1))))</f>
        <v>0</v>
      </c>
      <c r="P555" s="1417">
        <f>IF(LEFT(P$6,4)&lt;=LEFT('RFM input'!$G$60,4),"enter input",IF(LEFT(P$6,4)&gt;LEFT('RFM input'!$Q$60,4),0,IF(MATCH(P$6,'RFM input'!$H$60:$Q$60,0),INDEX('RFM input'!$K$7:$K$56,$A554,1))))</f>
        <v>0</v>
      </c>
      <c r="Q555" s="1417">
        <f>IF(LEFT(Q$6,4)&lt;=LEFT('RFM input'!$G$60,4),"enter input",IF(LEFT(Q$6,4)&gt;LEFT('RFM input'!$Q$60,4),0,IF(MATCH(Q$6,'RFM input'!$H$60:$Q$60,0),INDEX('RFM input'!$K$7:$K$56,$A554,1))))</f>
        <v>0</v>
      </c>
      <c r="R555" s="1417">
        <f>IF(LEFT(R$6,4)&lt;=LEFT('RFM input'!$G$60,4),"enter input",IF(LEFT(R$6,4)&gt;LEFT('RFM input'!$Q$60,4),0,IF(MATCH(R$6,'RFM input'!$H$60:$Q$60,0),INDEX('RFM input'!$K$7:$K$56,$A554,1))))</f>
        <v>0</v>
      </c>
      <c r="S555" s="1417">
        <f>IF(LEFT(S$6,4)&lt;=LEFT('RFM input'!$G$60,4),"enter input",IF(LEFT(S$6,4)&gt;LEFT('RFM input'!$Q$60,4),0,IF(MATCH(S$6,'RFM input'!$H$60:$Q$60,0),INDEX('RFM input'!$K$7:$K$56,$A554,1))))</f>
        <v>0</v>
      </c>
      <c r="T555" s="1417">
        <f>IF(LEFT(T$6,4)&lt;=LEFT('RFM input'!$G$60,4),"enter input",IF(LEFT(T$6,4)&gt;LEFT('RFM input'!$Q$60,4),0,IF(MATCH(T$6,'RFM input'!$H$60:$Q$60,0),INDEX('RFM input'!$K$7:$K$56,$A554,1))))</f>
        <v>0</v>
      </c>
      <c r="U555" s="1417">
        <f>IF(LEFT(U$6,4)&lt;=LEFT('RFM input'!$G$60,4),"enter input",IF(LEFT(U$6,4)&gt;LEFT('RFM input'!$Q$60,4),0,IF(MATCH(U$6,'RFM input'!$H$60:$Q$60,0),INDEX('RFM input'!$K$7:$K$56,$A554,1))))</f>
        <v>0</v>
      </c>
      <c r="V555" s="1417">
        <f>IF(LEFT(V$6,4)&lt;=LEFT('RFM input'!$G$60,4),"enter input",IF(LEFT(V$6,4)&gt;LEFT('RFM input'!$Q$60,4),0,IF(MATCH(V$6,'RFM input'!$H$60:$Q$60,0),INDEX('RFM input'!$K$7:$K$56,$A554,1))))</f>
        <v>0</v>
      </c>
      <c r="W555" s="1417">
        <f>IF(LEFT(W$6,4)&lt;=LEFT('RFM input'!$G$60,4),"enter input",IF(LEFT(W$6,4)&gt;LEFT('RFM input'!$Q$60,4),0,IF(MATCH(W$6,'RFM input'!$H$60:$Q$60,0),INDEX('RFM input'!$K$7:$K$56,$A554,1))))</f>
        <v>0</v>
      </c>
      <c r="X555" s="152"/>
      <c r="Y555" s="152"/>
      <c r="Z555" s="152"/>
      <c r="AA555" s="152"/>
      <c r="AB555" s="152"/>
    </row>
    <row r="556" spans="1:28">
      <c r="A556" s="152"/>
      <c r="B556" s="177" t="s">
        <v>191</v>
      </c>
      <c r="C556" s="1419"/>
      <c r="D556" s="1420">
        <f ca="1">IF(LEFT(D$6,4)&lt;=LEFT('RFM input'!$G$60,4),"enter input",IF(LEFT(D$6,4)&gt;LEFT('RFM input'!$Q$60,4),0,IF(D$6=(OFFSET('RFM input'!$G$60,0,'RFM input'!$V$7)),OFFSET('RFM input'!$G$411,$A554,0),0)))</f>
        <v>0</v>
      </c>
      <c r="E556" s="1417">
        <f ca="1">IF(LEFT(E$6,4)&lt;=LEFT('RFM input'!$G$60,4),"enter input",IF(LEFT(E$6,4)&gt;LEFT('RFM input'!$Q$60,4),0,IF(E$6=(OFFSET('RFM input'!$G$60,0,'RFM input'!$V$7)),OFFSET('RFM input'!$G$411,$A554,0),0)))</f>
        <v>0</v>
      </c>
      <c r="F556" s="1417">
        <f ca="1">IF(LEFT(F$6,4)&lt;=LEFT('RFM input'!$G$60,4),"enter input",IF(LEFT(F$6,4)&gt;LEFT('RFM input'!$Q$60,4),0,IF(F$6=(OFFSET('RFM input'!$G$60,0,'RFM input'!$V$7)),OFFSET('RFM input'!$G$411,$A554,0),0)))</f>
        <v>0</v>
      </c>
      <c r="G556" s="1417">
        <f ca="1">IF(LEFT(G$6,4)&lt;=LEFT('RFM input'!$G$60,4),"enter input",IF(LEFT(G$6,4)&gt;LEFT('RFM input'!$Q$60,4),0,IF(G$6=(OFFSET('RFM input'!$G$60,0,'RFM input'!$V$7)),OFFSET('RFM input'!$G$411,$A554,0),0)))</f>
        <v>0</v>
      </c>
      <c r="H556" s="1417">
        <f ca="1">IF(LEFT(H$6,4)&lt;=LEFT('RFM input'!$G$60,4),"enter input",IF(LEFT(H$6,4)&gt;LEFT('RFM input'!$Q$60,4),0,IF(H$6=(OFFSET('RFM input'!$G$60,0,'RFM input'!$V$7)),OFFSET('RFM input'!$G$411,$A554,0),0)))</f>
        <v>0</v>
      </c>
      <c r="I556" s="1417">
        <f ca="1">IF(LEFT(I$6,4)&lt;=LEFT('RFM input'!$G$60,4),"enter input",IF(LEFT(I$6,4)&gt;LEFT('RFM input'!$Q$60,4),0,IF(I$6=(OFFSET('RFM input'!$G$60,0,'RFM input'!$V$7)),OFFSET('RFM input'!$G$411,$A554,0),0)))</f>
        <v>0</v>
      </c>
      <c r="J556" s="1417">
        <f ca="1">IF(LEFT(J$6,4)&lt;=LEFT('RFM input'!$G$60,4),"enter input",IF(LEFT(J$6,4)&gt;LEFT('RFM input'!$Q$60,4),0,IF(J$6=(OFFSET('RFM input'!$G$60,0,'RFM input'!$V$7)),OFFSET('RFM input'!$G$411,$A554,0),0)))</f>
        <v>0</v>
      </c>
      <c r="K556" s="1417">
        <f ca="1">IF(LEFT(K$6,4)&lt;=LEFT('RFM input'!$G$60,4),"enter input",IF(LEFT(K$6,4)&gt;LEFT('RFM input'!$Q$60,4),0,IF(K$6=(OFFSET('RFM input'!$G$60,0,'RFM input'!$V$7)),OFFSET('RFM input'!$G$411,$A554,0),0)))</f>
        <v>0</v>
      </c>
      <c r="L556" s="1417">
        <f ca="1">IF(LEFT(L$6,4)&lt;=LEFT('RFM input'!$G$60,4),"enter input",IF(LEFT(L$6,4)&gt;LEFT('RFM input'!$Q$60,4),0,IF(L$6=(OFFSET('RFM input'!$G$60,0,'RFM input'!$V$7)),OFFSET('RFM input'!$G$411,$A554,0),0)))</f>
        <v>0</v>
      </c>
      <c r="M556" s="1417">
        <f ca="1">IF(LEFT(M$6,4)&lt;=LEFT('RFM input'!$G$60,4),"enter input",IF(LEFT(M$6,4)&gt;LEFT('RFM input'!$Q$60,4),0,IF(M$6=(OFFSET('RFM input'!$G$60,0,'RFM input'!$V$7)),OFFSET('RFM input'!$G$411,$A554,0),0)))</f>
        <v>0</v>
      </c>
      <c r="N556" s="1417">
        <f ca="1">IF(LEFT(N$6,4)&lt;=LEFT('RFM input'!$G$60,4),"enter input",IF(LEFT(N$6,4)&gt;LEFT('RFM input'!$Q$60,4),0,IF(N$6=(OFFSET('RFM input'!$G$60,0,'RFM input'!$V$7)),OFFSET('RFM input'!$G$411,$A554,0),0)))</f>
        <v>0</v>
      </c>
      <c r="O556" s="1417">
        <f ca="1">IF(LEFT(O$6,4)&lt;=LEFT('RFM input'!$G$60,4),"enter input",IF(LEFT(O$6,4)&gt;LEFT('RFM input'!$Q$60,4),0,IF(O$6=(OFFSET('RFM input'!$G$60,0,'RFM input'!$V$7)),OFFSET('RFM input'!$G$411,$A554,0),0)))</f>
        <v>0</v>
      </c>
      <c r="P556" s="1417">
        <f ca="1">IF(LEFT(P$6,4)&lt;=LEFT('RFM input'!$G$60,4),"enter input",IF(LEFT(P$6,4)&gt;LEFT('RFM input'!$Q$60,4),0,IF(P$6=(OFFSET('RFM input'!$G$60,0,'RFM input'!$V$7)),OFFSET('RFM input'!$G$411,$A554,0),0)))</f>
        <v>0</v>
      </c>
      <c r="Q556" s="1417">
        <f ca="1">IF(LEFT(Q$6,4)&lt;=LEFT('RFM input'!$G$60,4),"enter input",IF(LEFT(Q$6,4)&gt;LEFT('RFM input'!$Q$60,4),0,IF(Q$6=(OFFSET('RFM input'!$G$60,0,'RFM input'!$V$7)),OFFSET('RFM input'!$G$411,$A554,0),0)))</f>
        <v>0</v>
      </c>
      <c r="R556" s="1417">
        <f ca="1">IF(LEFT(R$6,4)&lt;=LEFT('RFM input'!$G$60,4),"enter input",IF(LEFT(R$6,4)&gt;LEFT('RFM input'!$Q$60,4),0,IF(R$6=(OFFSET('RFM input'!$G$60,0,'RFM input'!$V$7)),OFFSET('RFM input'!$G$411,$A554,0),0)))</f>
        <v>0</v>
      </c>
      <c r="S556" s="1417">
        <f ca="1">IF(LEFT(S$6,4)&lt;=LEFT('RFM input'!$G$60,4),"enter input",IF(LEFT(S$6,4)&gt;LEFT('RFM input'!$Q$60,4),0,IF(S$6=(OFFSET('RFM input'!$G$60,0,'RFM input'!$V$7)),OFFSET('RFM input'!$G$411,$A554,0),0)))</f>
        <v>0</v>
      </c>
      <c r="T556" s="1417">
        <f ca="1">IF(LEFT(T$6,4)&lt;=LEFT('RFM input'!$G$60,4),"enter input",IF(LEFT(T$6,4)&gt;LEFT('RFM input'!$Q$60,4),0,IF(T$6=(OFFSET('RFM input'!$G$60,0,'RFM input'!$V$7)),OFFSET('RFM input'!$G$411,$A554,0),0)))</f>
        <v>0</v>
      </c>
      <c r="U556" s="1417">
        <f ca="1">IF(LEFT(U$6,4)&lt;=LEFT('RFM input'!$G$60,4),"enter input",IF(LEFT(U$6,4)&gt;LEFT('RFM input'!$Q$60,4),0,IF(U$6=(OFFSET('RFM input'!$G$60,0,'RFM input'!$V$7)),OFFSET('RFM input'!$G$411,$A554,0),0)))</f>
        <v>0</v>
      </c>
      <c r="V556" s="1417">
        <f ca="1">IF(LEFT(V$6,4)&lt;=LEFT('RFM input'!$G$60,4),"enter input",IF(LEFT(V$6,4)&gt;LEFT('RFM input'!$Q$60,4),0,IF(V$6=(OFFSET('RFM input'!$G$60,0,'RFM input'!$V$7)),OFFSET('RFM input'!$G$411,$A554,0),0)))</f>
        <v>0</v>
      </c>
      <c r="W556" s="1417">
        <f ca="1">IF(LEFT(W$6,4)&lt;=LEFT('RFM input'!$G$60,4),"enter input",IF(LEFT(W$6,4)&gt;LEFT('RFM input'!$Q$60,4),0,IF(W$6=(OFFSET('RFM input'!$G$60,0,'RFM input'!$V$7)),OFFSET('RFM input'!$G$411,$A554,0),0)))</f>
        <v>0</v>
      </c>
      <c r="X556" s="152"/>
      <c r="Y556" s="152"/>
      <c r="Z556" s="152"/>
      <c r="AA556" s="152"/>
      <c r="AB556" s="152"/>
    </row>
    <row r="557" spans="1:28">
      <c r="A557" s="152"/>
      <c r="B557" s="195" t="s">
        <v>197</v>
      </c>
      <c r="C557" s="1419"/>
      <c r="D557" s="1418">
        <f ca="1">IF(LEFT(D$6,4)&lt;=LEFT('RFM input'!$G$60,4),"enter input",IF(LEFT(D$6,4)&gt;LEFT('RFM input'!$Q$60,4),0,IF(D$6=(OFFSET('RFM input'!$G$60,0,'RFM input'!$V$7)),OFFSET('RFM input'!$I$411,$A554,0),0)))</f>
        <v>0</v>
      </c>
      <c r="E557" s="1422">
        <f ca="1">IF(LEFT(E$6,4)&lt;=LEFT('RFM input'!$G$60,4),"enter input",IF(LEFT(E$6,4)&gt;LEFT('RFM input'!$Q$60,4),0,IF(E$6=(OFFSET('RFM input'!$G$60,0,'RFM input'!$V$7)),OFFSET('RFM input'!$I$411,$A554,0),0)))</f>
        <v>0</v>
      </c>
      <c r="F557" s="1422">
        <f ca="1">IF(LEFT(F$6,4)&lt;=LEFT('RFM input'!$G$60,4),"enter input",IF(LEFT(F$6,4)&gt;LEFT('RFM input'!$Q$60,4),0,IF(F$6=(OFFSET('RFM input'!$G$60,0,'RFM input'!$V$7)),OFFSET('RFM input'!$I$411,$A554,0),0)))</f>
        <v>0</v>
      </c>
      <c r="G557" s="1422">
        <f ca="1">IF(LEFT(G$6,4)&lt;=LEFT('RFM input'!$G$60,4),"enter input",IF(LEFT(G$6,4)&gt;LEFT('RFM input'!$Q$60,4),0,IF(G$6=(OFFSET('RFM input'!$G$60,0,'RFM input'!$V$7)),OFFSET('RFM input'!$I$411,$A554,0),0)))</f>
        <v>0</v>
      </c>
      <c r="H557" s="1422">
        <f ca="1">IF(LEFT(H$6,4)&lt;=LEFT('RFM input'!$G$60,4),"enter input",IF(LEFT(H$6,4)&gt;LEFT('RFM input'!$Q$60,4),0,IF(H$6=(OFFSET('RFM input'!$G$60,0,'RFM input'!$V$7)),OFFSET('RFM input'!$I$411,$A554,0),0)))</f>
        <v>0</v>
      </c>
      <c r="I557" s="1422">
        <f ca="1">IF(LEFT(I$6,4)&lt;=LEFT('RFM input'!$G$60,4),"enter input",IF(LEFT(I$6,4)&gt;LEFT('RFM input'!$Q$60,4),0,IF(I$6=(OFFSET('RFM input'!$G$60,0,'RFM input'!$V$7)),OFFSET('RFM input'!$I$411,$A554,0),0)))</f>
        <v>0</v>
      </c>
      <c r="J557" s="1422">
        <f ca="1">IF(LEFT(J$6,4)&lt;=LEFT('RFM input'!$G$60,4),"enter input",IF(LEFT(J$6,4)&gt;LEFT('RFM input'!$Q$60,4),0,IF(J$6=(OFFSET('RFM input'!$G$60,0,'RFM input'!$V$7)),OFFSET('RFM input'!$I$411,$A554,0),0)))</f>
        <v>0</v>
      </c>
      <c r="K557" s="1422">
        <f ca="1">IF(LEFT(K$6,4)&lt;=LEFT('RFM input'!$G$60,4),"enter input",IF(LEFT(K$6,4)&gt;LEFT('RFM input'!$Q$60,4),0,IF(K$6=(OFFSET('RFM input'!$G$60,0,'RFM input'!$V$7)),OFFSET('RFM input'!$I$411,$A554,0),0)))</f>
        <v>0</v>
      </c>
      <c r="L557" s="1422">
        <f ca="1">IF(LEFT(L$6,4)&lt;=LEFT('RFM input'!$G$60,4),"enter input",IF(LEFT(L$6,4)&gt;LEFT('RFM input'!$Q$60,4),0,IF(L$6=(OFFSET('RFM input'!$G$60,0,'RFM input'!$V$7)),OFFSET('RFM input'!$I$411,$A554,0),0)))</f>
        <v>0</v>
      </c>
      <c r="M557" s="1422">
        <f ca="1">IF(LEFT(M$6,4)&lt;=LEFT('RFM input'!$G$60,4),"enter input",IF(LEFT(M$6,4)&gt;LEFT('RFM input'!$Q$60,4),0,IF(M$6=(OFFSET('RFM input'!$G$60,0,'RFM input'!$V$7)),OFFSET('RFM input'!$I$411,$A554,0),0)))</f>
        <v>0</v>
      </c>
      <c r="N557" s="1422">
        <f ca="1">IF(LEFT(N$6,4)&lt;=LEFT('RFM input'!$G$60,4),"enter input",IF(LEFT(N$6,4)&gt;LEFT('RFM input'!$Q$60,4),0,IF(N$6=(OFFSET('RFM input'!$G$60,0,'RFM input'!$V$7)),OFFSET('RFM input'!$I$411,$A554,0),0)))</f>
        <v>0</v>
      </c>
      <c r="O557" s="1422">
        <f ca="1">IF(LEFT(O$6,4)&lt;=LEFT('RFM input'!$G$60,4),"enter input",IF(LEFT(O$6,4)&gt;LEFT('RFM input'!$Q$60,4),0,IF(O$6=(OFFSET('RFM input'!$G$60,0,'RFM input'!$V$7)),OFFSET('RFM input'!$I$411,$A554,0),0)))</f>
        <v>0</v>
      </c>
      <c r="P557" s="1422">
        <f ca="1">IF(LEFT(P$6,4)&lt;=LEFT('RFM input'!$G$60,4),"enter input",IF(LEFT(P$6,4)&gt;LEFT('RFM input'!$Q$60,4),0,IF(P$6=(OFFSET('RFM input'!$G$60,0,'RFM input'!$V$7)),OFFSET('RFM input'!$I$411,$A554,0),0)))</f>
        <v>0</v>
      </c>
      <c r="Q557" s="1422">
        <f ca="1">IF(LEFT(Q$6,4)&lt;=LEFT('RFM input'!$G$60,4),"enter input",IF(LEFT(Q$6,4)&gt;LEFT('RFM input'!$Q$60,4),0,IF(Q$6=(OFFSET('RFM input'!$G$60,0,'RFM input'!$V$7)),OFFSET('RFM input'!$I$411,$A554,0),0)))</f>
        <v>0</v>
      </c>
      <c r="R557" s="1422">
        <f ca="1">IF(LEFT(R$6,4)&lt;=LEFT('RFM input'!$G$60,4),"enter input",IF(LEFT(R$6,4)&gt;LEFT('RFM input'!$Q$60,4),0,IF(R$6=(OFFSET('RFM input'!$G$60,0,'RFM input'!$V$7)),OFFSET('RFM input'!$I$411,$A554,0),0)))</f>
        <v>0</v>
      </c>
      <c r="S557" s="1422">
        <f ca="1">IF(LEFT(S$6,4)&lt;=LEFT('RFM input'!$G$60,4),"enter input",IF(LEFT(S$6,4)&gt;LEFT('RFM input'!$Q$60,4),0,IF(S$6=(OFFSET('RFM input'!$G$60,0,'RFM input'!$V$7)),OFFSET('RFM input'!$I$411,$A554,0),0)))</f>
        <v>0</v>
      </c>
      <c r="T557" s="1422">
        <f ca="1">IF(LEFT(T$6,4)&lt;=LEFT('RFM input'!$G$60,4),"enter input",IF(LEFT(T$6,4)&gt;LEFT('RFM input'!$Q$60,4),0,IF(T$6=(OFFSET('RFM input'!$G$60,0,'RFM input'!$V$7)),OFFSET('RFM input'!$I$411,$A554,0),0)))</f>
        <v>0</v>
      </c>
      <c r="U557" s="1422">
        <f ca="1">IF(LEFT(U$6,4)&lt;=LEFT('RFM input'!$G$60,4),"enter input",IF(LEFT(U$6,4)&gt;LEFT('RFM input'!$Q$60,4),0,IF(U$6=(OFFSET('RFM input'!$G$60,0,'RFM input'!$V$7)),OFFSET('RFM input'!$I$411,$A554,0),0)))</f>
        <v>0</v>
      </c>
      <c r="V557" s="1422">
        <f ca="1">IF(LEFT(V$6,4)&lt;=LEFT('RFM input'!$G$60,4),"enter input",IF(LEFT(V$6,4)&gt;LEFT('RFM input'!$Q$60,4),0,IF(V$6=(OFFSET('RFM input'!$G$60,0,'RFM input'!$V$7)),OFFSET('RFM input'!$I$411,$A554,0),0)))</f>
        <v>0</v>
      </c>
      <c r="W557" s="1422">
        <f ca="1">IF(LEFT(W$6,4)&lt;=LEFT('RFM input'!$G$60,4),"enter input",IF(LEFT(W$6,4)&gt;LEFT('RFM input'!$Q$60,4),0,IF(W$6=(OFFSET('RFM input'!$G$60,0,'RFM input'!$V$7)),OFFSET('RFM input'!$I$411,$A554,0),0)))</f>
        <v>0</v>
      </c>
      <c r="X557" s="152"/>
      <c r="Y557" s="152"/>
      <c r="Z557" s="152"/>
      <c r="AA557" s="152"/>
      <c r="AB557" s="152"/>
    </row>
    <row r="558" spans="1:28" hidden="1" outlineLevel="1">
      <c r="A558" s="235">
        <v>-1</v>
      </c>
      <c r="B558" s="190" t="s">
        <v>189</v>
      </c>
      <c r="C558" s="1423"/>
      <c r="D558" s="1423">
        <f ca="1">IF(AND(D556=0,C558=0),0,
IF(AND(D556&lt;&gt;0,C558=0),(D556/D$10),
IF(AND(D557&lt;&gt;0,C558&lt;&gt;0),(C558-(C558/C582))+(D556/D$10),
IF(C582&lt;1,0,(C558-(C558/C582))))))</f>
        <v>0</v>
      </c>
      <c r="E558" s="1423">
        <f t="shared" ref="E558" ca="1" si="775">IF(AND(E556=0,D558=0),0,
IF(AND(E556&lt;&gt;0,D558=0),(E556/E$10),
IF(AND(E557&lt;&gt;0,D558&lt;&gt;0),(D558-(D558/D582))+(E556/E$10),
IF(D582&lt;1,0,(D558-(D558/D582))))))</f>
        <v>0</v>
      </c>
      <c r="F558" s="1423">
        <f t="shared" ref="F558" ca="1" si="776">IF(AND(F556=0,E558=0),0,
IF(AND(F556&lt;&gt;0,E558=0),(F556/F$10),
IF(AND(F557&lt;&gt;0,E558&lt;&gt;0),(E558-(E558/E582))+(F556/F$10),
IF(E582&lt;1,0,(E558-(E558/E582))))))</f>
        <v>0</v>
      </c>
      <c r="G558" s="1423">
        <f t="shared" ref="G558" ca="1" si="777">IF(AND(G556=0,F558=0),0,
IF(AND(G556&lt;&gt;0,F558=0),(G556/G$10),
IF(AND(G557&lt;&gt;0,F558&lt;&gt;0),(F558-(F558/F582))+(G556/G$10),
IF(F582&lt;1,0,(F558-(F558/F582))))))</f>
        <v>0</v>
      </c>
      <c r="H558" s="1423">
        <f t="shared" ref="H558" ca="1" si="778">IF(AND(H556=0,G558=0),0,
IF(AND(H556&lt;&gt;0,G558=0),(H556/H$10),
IF(AND(H557&lt;&gt;0,G558&lt;&gt;0),(G558-(G558/G582))+(H556/H$10),
IF(G582&lt;1,0,(G558-(G558/G582))))))</f>
        <v>0</v>
      </c>
      <c r="I558" s="1423">
        <f t="shared" ref="I558" ca="1" si="779">IF(AND(I556=0,H558=0),0,
IF(AND(I556&lt;&gt;0,H558=0),(I556/I$10),
IF(AND(I557&lt;&gt;0,H558&lt;&gt;0),(H558-(H558/H582))+(I556/I$10),
IF(H582&lt;1,0,(H558-(H558/H582))))))</f>
        <v>0</v>
      </c>
      <c r="J558" s="1423">
        <f t="shared" ref="J558" ca="1" si="780">IF(AND(J556=0,I558=0),0,
IF(AND(J556&lt;&gt;0,I558=0),(J556/J$10),
IF(AND(J557&lt;&gt;0,I558&lt;&gt;0),(I558-(I558/I582))+(J556/J$10),
IF(I582&lt;1,0,(I558-(I558/I582))))))</f>
        <v>0</v>
      </c>
      <c r="K558" s="1423">
        <f t="shared" ref="K558" ca="1" si="781">IF(AND(K556=0,J558=0),0,
IF(AND(K556&lt;&gt;0,J558=0),(K556/K$10),
IF(AND(K557&lt;&gt;0,J558&lt;&gt;0),(J558-(J558/J582))+(K556/K$10),
IF(J582&lt;1,0,(J558-(J558/J582))))))</f>
        <v>0</v>
      </c>
      <c r="L558" s="1423">
        <f t="shared" ref="L558" ca="1" si="782">IF(AND(L556=0,K558=0),0,
IF(AND(L556&lt;&gt;0,K558=0),(L556/L$10),
IF(AND(L557&lt;&gt;0,K558&lt;&gt;0),(K558-(K558/K582))+(L556/L$10),
IF(K582&lt;1,0,(K558-(K558/K582))))))</f>
        <v>0</v>
      </c>
      <c r="M558" s="1423">
        <f t="shared" ref="M558" ca="1" si="783">IF(AND(M556=0,L558=0),0,
IF(AND(M556&lt;&gt;0,L558=0),(M556/M$10),
IF(AND(M557&lt;&gt;0,L558&lt;&gt;0),(L558-(L558/L582))+(M556/M$10),
IF(L582&lt;1,0,(L558-(L558/L582))))))</f>
        <v>0</v>
      </c>
      <c r="N558" s="1423">
        <f t="shared" ref="N558" ca="1" si="784">IF(AND(N556=0,M558=0),0,
IF(AND(N556&lt;&gt;0,M558=0),(N556/N$10),
IF(AND(N557&lt;&gt;0,M558&lt;&gt;0),(M558-(M558/M582))+(N556/N$10),
IF(M582&lt;1,0,(M558-(M558/M582))))))</f>
        <v>0</v>
      </c>
      <c r="O558" s="1423">
        <f t="shared" ref="O558" ca="1" si="785">IF(AND(O556=0,N558=0),0,
IF(AND(O556&lt;&gt;0,N558=0),(O556/O$10),
IF(AND(O557&lt;&gt;0,N558&lt;&gt;0),(N558-(N558/N582))+(O556/O$10),
IF(N582&lt;1,0,(N558-(N558/N582))))))</f>
        <v>0</v>
      </c>
      <c r="P558" s="1423">
        <f t="shared" ref="P558" ca="1" si="786">IF(AND(P556=0,O558=0),0,
IF(AND(P556&lt;&gt;0,O558=0),(P556/P$10),
IF(AND(P557&lt;&gt;0,O558&lt;&gt;0),(O558-(O558/O582))+(P556/P$10),
IF(O582&lt;1,0,(O558-(O558/O582))))))</f>
        <v>0</v>
      </c>
      <c r="Q558" s="1423">
        <f t="shared" ref="Q558" ca="1" si="787">IF(AND(Q556=0,P558=0),0,
IF(AND(Q556&lt;&gt;0,P558=0),(Q556/Q$10),
IF(AND(Q557&lt;&gt;0,P558&lt;&gt;0),(P558-(P558/P582))+(Q556/Q$10),
IF(P582&lt;1,0,(P558-(P558/P582))))))</f>
        <v>0</v>
      </c>
      <c r="R558" s="1423">
        <f t="shared" ref="R558" ca="1" si="788">IF(AND(R556=0,Q558=0),0,
IF(AND(R556&lt;&gt;0,Q558=0),(R556/R$10),
IF(AND(R557&lt;&gt;0,Q558&lt;&gt;0),(Q558-(Q558/Q582))+(R556/R$10),
IF(Q582&lt;1,0,(Q558-(Q558/Q582))))))</f>
        <v>0</v>
      </c>
      <c r="S558" s="1423">
        <f t="shared" ref="S558" ca="1" si="789">IF(AND(S556=0,R558=0),0,
IF(AND(S556&lt;&gt;0,R558=0),(S556/S$10),
IF(AND(S557&lt;&gt;0,R558&lt;&gt;0),(R558-(R558/R582))+(S556/S$10),
IF(R582&lt;1,0,(R558-(R558/R582))))))</f>
        <v>0</v>
      </c>
      <c r="T558" s="1423">
        <f t="shared" ref="T558" ca="1" si="790">IF(AND(T556=0,S558=0),0,
IF(AND(T556&lt;&gt;0,S558=0),(T556/T$10),
IF(AND(T557&lt;&gt;0,S558&lt;&gt;0),(S558-(S558/S582))+(T556/T$10),
IF(S582&lt;1,0,(S558-(S558/S582))))))</f>
        <v>0</v>
      </c>
      <c r="U558" s="1423">
        <f t="shared" ref="U558" ca="1" si="791">IF(AND(U556=0,T558=0),0,
IF(AND(U556&lt;&gt;0,T558=0),(U556/U$10),
IF(AND(U557&lt;&gt;0,T558&lt;&gt;0),(T558-(T558/T582))+(U556/U$10),
IF(T582&lt;1,0,(T558-(T558/T582))))))</f>
        <v>0</v>
      </c>
      <c r="V558" s="1423">
        <f t="shared" ref="V558" ca="1" si="792">IF(AND(V556=0,U558=0),0,
IF(AND(V556&lt;&gt;0,U558=0),(V556/V$10),
IF(AND(V557&lt;&gt;0,U558&lt;&gt;0),(U558-(U558/U582))+(V556/V$10),
IF(U582&lt;1,0,(U558-(U558/U582))))))</f>
        <v>0</v>
      </c>
      <c r="W558" s="1423">
        <f t="shared" ref="W558" ca="1" si="793">IF(AND(W556=0,V558=0),0,
IF(AND(W556&lt;&gt;0,V558=0),(W556/W$10),
IF(AND(W557&lt;&gt;0,V558&lt;&gt;0),(V558-(V558/V582))+(W556/W$10),
IF(V582&lt;1,0,(V558-(V558/V582))))))</f>
        <v>0</v>
      </c>
      <c r="X558" s="152"/>
      <c r="Y558" s="152"/>
      <c r="Z558" s="152"/>
      <c r="AA558" s="152"/>
      <c r="AB558" s="152"/>
    </row>
    <row r="559" spans="1:28" hidden="1" outlineLevel="1">
      <c r="A559" s="199">
        <f>A558+1</f>
        <v>0</v>
      </c>
      <c r="B559" s="190" t="s">
        <v>125</v>
      </c>
      <c r="C559" s="1423">
        <f ca="1">C554/C$10</f>
        <v>0</v>
      </c>
      <c r="D559" s="1423">
        <f ca="1">IF(C583="n/a",C559,IFERROR(IF((OFFSET($C559,0,$A559))&lt;0,
MIN(0,C559-(OFFSET($C559,0,$A559)/(OFFSET($C554,-$A558,$A559)))),
MAX(0,C559-(OFFSET($C559,0,$A559)/(OFFSET($C554,-$A558,$A559))))),0))</f>
        <v>0</v>
      </c>
      <c r="E559" s="1423">
        <f t="shared" ref="E559" ca="1" si="794">IF(D583="n/a",D559,IFERROR(IF((OFFSET($C559,0,$A559))&lt;0,
MIN(0,D559-(OFFSET($C559,0,$A559)/(OFFSET($C554,-$A558,$A559)))),
MAX(0,D559-(OFFSET($C559,0,$A559)/(OFFSET($C554,-$A558,$A559))))),0))</f>
        <v>0</v>
      </c>
      <c r="F559" s="1423">
        <f t="shared" ref="F559:F560" ca="1" si="795">IF(E583="n/a",E559,IFERROR(IF((OFFSET($C559,0,$A559))&lt;0,
MIN(0,E559-(OFFSET($C559,0,$A559)/(OFFSET($C554,-$A558,$A559)))),
MAX(0,E559-(OFFSET($C559,0,$A559)/(OFFSET($C554,-$A558,$A559))))),0))</f>
        <v>0</v>
      </c>
      <c r="G559" s="1423">
        <f t="shared" ref="G559:G561" ca="1" si="796">IF(F583="n/a",F559,IFERROR(IF((OFFSET($C559,0,$A559))&lt;0,
MIN(0,F559-(OFFSET($C559,0,$A559)/(OFFSET($C554,-$A558,$A559)))),
MAX(0,F559-(OFFSET($C559,0,$A559)/(OFFSET($C554,-$A558,$A559))))),0))</f>
        <v>0</v>
      </c>
      <c r="H559" s="1423">
        <f t="shared" ref="H559:H562" ca="1" si="797">IF(G583="n/a",G559,IFERROR(IF((OFFSET($C559,0,$A559))&lt;0,
MIN(0,G559-(OFFSET($C559,0,$A559)/(OFFSET($C554,-$A558,$A559)))),
MAX(0,G559-(OFFSET($C559,0,$A559)/(OFFSET($C554,-$A558,$A559))))),0))</f>
        <v>0</v>
      </c>
      <c r="I559" s="1423">
        <f t="shared" ref="I559:I563" ca="1" si="798">IF(H583="n/a",H559,IFERROR(IF((OFFSET($C559,0,$A559))&lt;0,
MIN(0,H559-(OFFSET($C559,0,$A559)/(OFFSET($C554,-$A558,$A559)))),
MAX(0,H559-(OFFSET($C559,0,$A559)/(OFFSET($C554,-$A558,$A559))))),0))</f>
        <v>0</v>
      </c>
      <c r="J559" s="1423">
        <f t="shared" ref="J559:J564" ca="1" si="799">IF(I583="n/a",I559,IFERROR(IF((OFFSET($C559,0,$A559))&lt;0,
MIN(0,I559-(OFFSET($C559,0,$A559)/(OFFSET($C554,-$A558,$A559)))),
MAX(0,I559-(OFFSET($C559,0,$A559)/(OFFSET($C554,-$A558,$A559))))),0))</f>
        <v>0</v>
      </c>
      <c r="K559" s="1423">
        <f t="shared" ref="K559:K565" ca="1" si="800">IF(J583="n/a",J559,IFERROR(IF((OFFSET($C559,0,$A559))&lt;0,
MIN(0,J559-(OFFSET($C559,0,$A559)/(OFFSET($C554,-$A558,$A559)))),
MAX(0,J559-(OFFSET($C559,0,$A559)/(OFFSET($C554,-$A558,$A559))))),0))</f>
        <v>0</v>
      </c>
      <c r="L559" s="1423">
        <f t="shared" ref="L559:L566" ca="1" si="801">IF(K583="n/a",K559,IFERROR(IF((OFFSET($C559,0,$A559))&lt;0,
MIN(0,K559-(OFFSET($C559,0,$A559)/(OFFSET($C554,-$A558,$A559)))),
MAX(0,K559-(OFFSET($C559,0,$A559)/(OFFSET($C554,-$A558,$A559))))),0))</f>
        <v>0</v>
      </c>
      <c r="M559" s="1423">
        <f t="shared" ref="M559:M567" ca="1" si="802">IF(L583="n/a",L559,IFERROR(IF((OFFSET($C559,0,$A559))&lt;0,
MIN(0,L559-(OFFSET($C559,0,$A559)/(OFFSET($C554,-$A558,$A559)))),
MAX(0,L559-(OFFSET($C559,0,$A559)/(OFFSET($C554,-$A558,$A559))))),0))</f>
        <v>0</v>
      </c>
      <c r="N559" s="1423">
        <f t="shared" ref="N559:N568" ca="1" si="803">IF(M583="n/a",M559,IFERROR(IF((OFFSET($C559,0,$A559))&lt;0,
MIN(0,M559-(OFFSET($C559,0,$A559)/(OFFSET($C554,-$A558,$A559)))),
MAX(0,M559-(OFFSET($C559,0,$A559)/(OFFSET($C554,-$A558,$A559))))),0))</f>
        <v>0</v>
      </c>
      <c r="O559" s="1423">
        <f t="shared" ref="O559:O569" ca="1" si="804">IF(N583="n/a",N559,IFERROR(IF((OFFSET($C559,0,$A559))&lt;0,
MIN(0,N559-(OFFSET($C559,0,$A559)/(OFFSET($C554,-$A558,$A559)))),
MAX(0,N559-(OFFSET($C559,0,$A559)/(OFFSET($C554,-$A558,$A559))))),0))</f>
        <v>0</v>
      </c>
      <c r="P559" s="1423">
        <f t="shared" ref="P559:P570" ca="1" si="805">IF(O583="n/a",O559,IFERROR(IF((OFFSET($C559,0,$A559))&lt;0,
MIN(0,O559-(OFFSET($C559,0,$A559)/(OFFSET($C554,-$A558,$A559)))),
MAX(0,O559-(OFFSET($C559,0,$A559)/(OFFSET($C554,-$A558,$A559))))),0))</f>
        <v>0</v>
      </c>
      <c r="Q559" s="1423">
        <f t="shared" ref="Q559:Q571" ca="1" si="806">IF(P583="n/a",P559,IFERROR(IF((OFFSET($C559,0,$A559))&lt;0,
MIN(0,P559-(OFFSET($C559,0,$A559)/(OFFSET($C554,-$A558,$A559)))),
MAX(0,P559-(OFFSET($C559,0,$A559)/(OFFSET($C554,-$A558,$A559))))),0))</f>
        <v>0</v>
      </c>
      <c r="R559" s="1423">
        <f t="shared" ref="R559:R572" ca="1" si="807">IF(Q583="n/a",Q559,IFERROR(IF((OFFSET($C559,0,$A559))&lt;0,
MIN(0,Q559-(OFFSET($C559,0,$A559)/(OFFSET($C554,-$A558,$A559)))),
MAX(0,Q559-(OFFSET($C559,0,$A559)/(OFFSET($C554,-$A558,$A559))))),0))</f>
        <v>0</v>
      </c>
      <c r="S559" s="1423">
        <f t="shared" ref="S559:S573" ca="1" si="808">IF(R583="n/a",R559,IFERROR(IF((OFFSET($C559,0,$A559))&lt;0,
MIN(0,R559-(OFFSET($C559,0,$A559)/(OFFSET($C554,-$A558,$A559)))),
MAX(0,R559-(OFFSET($C559,0,$A559)/(OFFSET($C554,-$A558,$A559))))),0))</f>
        <v>0</v>
      </c>
      <c r="T559" s="1423">
        <f t="shared" ref="T559:T574" ca="1" si="809">IF(S583="n/a",S559,IFERROR(IF((OFFSET($C559,0,$A559))&lt;0,
MIN(0,S559-(OFFSET($C559,0,$A559)/(OFFSET($C554,-$A558,$A559)))),
MAX(0,S559-(OFFSET($C559,0,$A559)/(OFFSET($C554,-$A558,$A559))))),0))</f>
        <v>0</v>
      </c>
      <c r="U559" s="1423">
        <f t="shared" ref="U559:U575" ca="1" si="810">IF(T583="n/a",T559,IFERROR(IF((OFFSET($C559,0,$A559))&lt;0,
MIN(0,T559-(OFFSET($C559,0,$A559)/(OFFSET($C554,-$A558,$A559)))),
MAX(0,T559-(OFFSET($C559,0,$A559)/(OFFSET($C554,-$A558,$A559))))),0))</f>
        <v>0</v>
      </c>
      <c r="V559" s="1423">
        <f t="shared" ref="V559:V576" ca="1" si="811">IF(U583="n/a",U559,IFERROR(IF((OFFSET($C559,0,$A559))&lt;0,
MIN(0,U559-(OFFSET($C559,0,$A559)/(OFFSET($C554,-$A558,$A559)))),
MAX(0,U559-(OFFSET($C559,0,$A559)/(OFFSET($C554,-$A558,$A559))))),0))</f>
        <v>0</v>
      </c>
      <c r="W559" s="1423">
        <f t="shared" ref="W559:W577" ca="1" si="812">IF(V583="n/a",V559,IFERROR(IF((OFFSET($C559,0,$A559))&lt;0,
MIN(0,V559-(OFFSET($C559,0,$A559)/(OFFSET($C554,-$A558,$A559)))),
MAX(0,V559-(OFFSET($C559,0,$A559)/(OFFSET($C554,-$A558,$A559))))),0))</f>
        <v>0</v>
      </c>
      <c r="X559" s="152"/>
      <c r="Y559" s="152"/>
      <c r="Z559" s="152"/>
      <c r="AA559" s="152"/>
      <c r="AB559" s="152"/>
    </row>
    <row r="560" spans="1:28" hidden="1" outlineLevel="1">
      <c r="A560" s="199">
        <f t="shared" ref="A560:A579" si="813">A559+1</f>
        <v>1</v>
      </c>
      <c r="B560" s="190" t="str">
        <f t="shared" ref="B560:B578" ca="1" si="814">"Depreciated Net Capex "&amp;OFFSET($C$6,0,A560)</f>
        <v>Depreciated Net Capex 2016-17</v>
      </c>
      <c r="C560" s="1424"/>
      <c r="D560" s="1425">
        <f>(D554*((1+D$11)^0.5)/D$10)</f>
        <v>0</v>
      </c>
      <c r="E560" s="1423">
        <f ca="1">IF(D584="n/a",D560,IFERROR(IF((OFFSET($C560,0,$A560))&lt;0,
MIN(0,D560-(OFFSET($C560,0,$A560)/(OFFSET($C555,-$A559,$A560)))),
MAX(0,D560-(OFFSET($C560,0,$A560)/(OFFSET($C555,-$A559,$A560))))),0))</f>
        <v>0</v>
      </c>
      <c r="F560" s="1423">
        <f t="shared" ca="1" si="795"/>
        <v>0</v>
      </c>
      <c r="G560" s="1423">
        <f t="shared" ca="1" si="796"/>
        <v>0</v>
      </c>
      <c r="H560" s="1423">
        <f t="shared" ca="1" si="797"/>
        <v>0</v>
      </c>
      <c r="I560" s="1423">
        <f t="shared" ca="1" si="798"/>
        <v>0</v>
      </c>
      <c r="J560" s="1423">
        <f t="shared" ca="1" si="799"/>
        <v>0</v>
      </c>
      <c r="K560" s="1423">
        <f t="shared" ca="1" si="800"/>
        <v>0</v>
      </c>
      <c r="L560" s="1423">
        <f t="shared" ca="1" si="801"/>
        <v>0</v>
      </c>
      <c r="M560" s="1423">
        <f t="shared" ca="1" si="802"/>
        <v>0</v>
      </c>
      <c r="N560" s="1423">
        <f t="shared" ca="1" si="803"/>
        <v>0</v>
      </c>
      <c r="O560" s="1423">
        <f t="shared" ca="1" si="804"/>
        <v>0</v>
      </c>
      <c r="P560" s="1423">
        <f t="shared" ca="1" si="805"/>
        <v>0</v>
      </c>
      <c r="Q560" s="1423">
        <f t="shared" ca="1" si="806"/>
        <v>0</v>
      </c>
      <c r="R560" s="1423">
        <f t="shared" ca="1" si="807"/>
        <v>0</v>
      </c>
      <c r="S560" s="1423">
        <f t="shared" ca="1" si="808"/>
        <v>0</v>
      </c>
      <c r="T560" s="1423">
        <f t="shared" ca="1" si="809"/>
        <v>0</v>
      </c>
      <c r="U560" s="1423">
        <f t="shared" ca="1" si="810"/>
        <v>0</v>
      </c>
      <c r="V560" s="1423">
        <f t="shared" ca="1" si="811"/>
        <v>0</v>
      </c>
      <c r="W560" s="1423">
        <f t="shared" ca="1" si="812"/>
        <v>0</v>
      </c>
      <c r="X560" s="152"/>
      <c r="Y560" s="152"/>
      <c r="Z560" s="152"/>
      <c r="AA560" s="152"/>
      <c r="AB560" s="152"/>
    </row>
    <row r="561" spans="1:28" hidden="1" outlineLevel="1">
      <c r="A561" s="199">
        <f t="shared" si="813"/>
        <v>2</v>
      </c>
      <c r="B561" s="190" t="str">
        <f t="shared" ca="1" si="814"/>
        <v>Depreciated Net Capex 2017-18</v>
      </c>
      <c r="C561" s="1426"/>
      <c r="D561" s="1427"/>
      <c r="E561" s="1425">
        <f>(E554*((1+E$11)^0.5)/E$10)</f>
        <v>0</v>
      </c>
      <c r="F561" s="1423">
        <f ca="1">IF(E585="n/a",E561,IFERROR(IF((OFFSET($C561,0,$A561))&lt;0,
MIN(0,E561-(OFFSET($C561,0,$A561)/(OFFSET($C556,-$A560,$A561)))),
MAX(0,E561-(OFFSET($C561,0,$A561)/(OFFSET($C556,-$A560,$A561))))),0))</f>
        <v>0</v>
      </c>
      <c r="G561" s="1423">
        <f t="shared" ca="1" si="796"/>
        <v>0</v>
      </c>
      <c r="H561" s="1423">
        <f t="shared" ca="1" si="797"/>
        <v>0</v>
      </c>
      <c r="I561" s="1423">
        <f t="shared" ca="1" si="798"/>
        <v>0</v>
      </c>
      <c r="J561" s="1423">
        <f t="shared" ca="1" si="799"/>
        <v>0</v>
      </c>
      <c r="K561" s="1423">
        <f t="shared" ca="1" si="800"/>
        <v>0</v>
      </c>
      <c r="L561" s="1423">
        <f t="shared" ca="1" si="801"/>
        <v>0</v>
      </c>
      <c r="M561" s="1423">
        <f t="shared" ca="1" si="802"/>
        <v>0</v>
      </c>
      <c r="N561" s="1423">
        <f t="shared" ca="1" si="803"/>
        <v>0</v>
      </c>
      <c r="O561" s="1423">
        <f t="shared" ca="1" si="804"/>
        <v>0</v>
      </c>
      <c r="P561" s="1423">
        <f t="shared" ca="1" si="805"/>
        <v>0</v>
      </c>
      <c r="Q561" s="1423">
        <f t="shared" ca="1" si="806"/>
        <v>0</v>
      </c>
      <c r="R561" s="1423">
        <f t="shared" ca="1" si="807"/>
        <v>0</v>
      </c>
      <c r="S561" s="1423">
        <f t="shared" ca="1" si="808"/>
        <v>0</v>
      </c>
      <c r="T561" s="1423">
        <f t="shared" ca="1" si="809"/>
        <v>0</v>
      </c>
      <c r="U561" s="1423">
        <f t="shared" ca="1" si="810"/>
        <v>0</v>
      </c>
      <c r="V561" s="1423">
        <f t="shared" ca="1" si="811"/>
        <v>0</v>
      </c>
      <c r="W561" s="1423">
        <f t="shared" ca="1" si="812"/>
        <v>0</v>
      </c>
      <c r="X561" s="202"/>
      <c r="Y561" s="152"/>
      <c r="Z561" s="152"/>
      <c r="AA561" s="152"/>
      <c r="AB561" s="152"/>
    </row>
    <row r="562" spans="1:28" hidden="1" outlineLevel="1">
      <c r="A562" s="199">
        <f t="shared" si="813"/>
        <v>3</v>
      </c>
      <c r="B562" s="190" t="str">
        <f t="shared" ca="1" si="814"/>
        <v>Depreciated Net Capex 2018-19</v>
      </c>
      <c r="C562" s="1426"/>
      <c r="D562" s="1426"/>
      <c r="E562" s="1427"/>
      <c r="F562" s="1428">
        <f>($F554*((1+F$11)^0.5)/F$10)</f>
        <v>0</v>
      </c>
      <c r="G562" s="1423">
        <f ca="1">IF(F586="n/a",F562,IFERROR(IF((OFFSET($C562,0,$A562))&lt;0,
MIN(0,F562-(OFFSET($C562,0,$A562)/(OFFSET($C557,-$A561,$A562)))),
MAX(0,F562-(OFFSET($C562,0,$A562)/(OFFSET($C557,-$A561,$A562))))),0))</f>
        <v>0</v>
      </c>
      <c r="H562" s="1423">
        <f t="shared" ca="1" si="797"/>
        <v>0</v>
      </c>
      <c r="I562" s="1423">
        <f t="shared" ca="1" si="798"/>
        <v>0</v>
      </c>
      <c r="J562" s="1423">
        <f t="shared" ca="1" si="799"/>
        <v>0</v>
      </c>
      <c r="K562" s="1423">
        <f t="shared" ca="1" si="800"/>
        <v>0</v>
      </c>
      <c r="L562" s="1423">
        <f t="shared" ca="1" si="801"/>
        <v>0</v>
      </c>
      <c r="M562" s="1423">
        <f t="shared" ca="1" si="802"/>
        <v>0</v>
      </c>
      <c r="N562" s="1423">
        <f t="shared" ca="1" si="803"/>
        <v>0</v>
      </c>
      <c r="O562" s="1423">
        <f t="shared" ca="1" si="804"/>
        <v>0</v>
      </c>
      <c r="P562" s="1423">
        <f t="shared" ca="1" si="805"/>
        <v>0</v>
      </c>
      <c r="Q562" s="1423">
        <f t="shared" ca="1" si="806"/>
        <v>0</v>
      </c>
      <c r="R562" s="1423">
        <f t="shared" ca="1" si="807"/>
        <v>0</v>
      </c>
      <c r="S562" s="1423">
        <f t="shared" ca="1" si="808"/>
        <v>0</v>
      </c>
      <c r="T562" s="1423">
        <f t="shared" ca="1" si="809"/>
        <v>0</v>
      </c>
      <c r="U562" s="1423">
        <f t="shared" ca="1" si="810"/>
        <v>0</v>
      </c>
      <c r="V562" s="1423">
        <f t="shared" ca="1" si="811"/>
        <v>0</v>
      </c>
      <c r="W562" s="1423">
        <f t="shared" ca="1" si="812"/>
        <v>0</v>
      </c>
      <c r="X562" s="202"/>
      <c r="Y562" s="202"/>
      <c r="Z562" s="152"/>
      <c r="AA562" s="152"/>
      <c r="AB562" s="152"/>
    </row>
    <row r="563" spans="1:28" hidden="1" outlineLevel="1">
      <c r="A563" s="199">
        <f t="shared" si="813"/>
        <v>4</v>
      </c>
      <c r="B563" s="190" t="str">
        <f t="shared" ca="1" si="814"/>
        <v>Depreciated Net Capex 2019-20</v>
      </c>
      <c r="C563" s="1426"/>
      <c r="D563" s="1426"/>
      <c r="E563" s="1426"/>
      <c r="F563" s="1427"/>
      <c r="G563" s="1428">
        <f>($G554*((1+G$11)^0.5)/G$10)</f>
        <v>0</v>
      </c>
      <c r="H563" s="1423">
        <f ca="1">IF(G587="n/a",G563,IFERROR(IF((OFFSET($C563,0,$A563))&lt;0,
MIN(0,G563-(OFFSET($C563,0,$A563)/(OFFSET($C558,-$A562,$A563)))),
MAX(0,G563-(OFFSET($C563,0,$A563)/(OFFSET($C558,-$A562,$A563))))),0))</f>
        <v>0</v>
      </c>
      <c r="I563" s="1423">
        <f t="shared" ca="1" si="798"/>
        <v>0</v>
      </c>
      <c r="J563" s="1423">
        <f t="shared" ca="1" si="799"/>
        <v>0</v>
      </c>
      <c r="K563" s="1423">
        <f t="shared" ca="1" si="800"/>
        <v>0</v>
      </c>
      <c r="L563" s="1423">
        <f t="shared" ca="1" si="801"/>
        <v>0</v>
      </c>
      <c r="M563" s="1423">
        <f t="shared" ca="1" si="802"/>
        <v>0</v>
      </c>
      <c r="N563" s="1423">
        <f t="shared" ca="1" si="803"/>
        <v>0</v>
      </c>
      <c r="O563" s="1423">
        <f t="shared" ca="1" si="804"/>
        <v>0</v>
      </c>
      <c r="P563" s="1423">
        <f t="shared" ca="1" si="805"/>
        <v>0</v>
      </c>
      <c r="Q563" s="1423">
        <f t="shared" ca="1" si="806"/>
        <v>0</v>
      </c>
      <c r="R563" s="1423">
        <f t="shared" ca="1" si="807"/>
        <v>0</v>
      </c>
      <c r="S563" s="1423">
        <f t="shared" ca="1" si="808"/>
        <v>0</v>
      </c>
      <c r="T563" s="1423">
        <f t="shared" ca="1" si="809"/>
        <v>0</v>
      </c>
      <c r="U563" s="1423">
        <f t="shared" ca="1" si="810"/>
        <v>0</v>
      </c>
      <c r="V563" s="1423">
        <f t="shared" ca="1" si="811"/>
        <v>0</v>
      </c>
      <c r="W563" s="1423">
        <f t="shared" ca="1" si="812"/>
        <v>0</v>
      </c>
      <c r="X563" s="202"/>
      <c r="Y563" s="202"/>
      <c r="Z563" s="202"/>
      <c r="AA563" s="152"/>
      <c r="AB563" s="152"/>
    </row>
    <row r="564" spans="1:28" hidden="1" outlineLevel="1">
      <c r="A564" s="199">
        <f t="shared" si="813"/>
        <v>5</v>
      </c>
      <c r="B564" s="190" t="str">
        <f t="shared" ca="1" si="814"/>
        <v>Depreciated Net Capex 2020-21</v>
      </c>
      <c r="C564" s="1426"/>
      <c r="D564" s="1426"/>
      <c r="E564" s="1426"/>
      <c r="F564" s="1426"/>
      <c r="G564" s="1427"/>
      <c r="H564" s="1428">
        <f>(H554*((1+H$11)^0.5)/H$10)</f>
        <v>0</v>
      </c>
      <c r="I564" s="1423">
        <f ca="1">IF(H588="n/a",H564,IFERROR(IF((OFFSET($C564,0,$A564))&lt;0,
MIN(0,H564-(OFFSET($C564,0,$A564)/(OFFSET($C559,-$A563,$A564)))),
MAX(0,H564-(OFFSET($C564,0,$A564)/(OFFSET($C559,-$A563,$A564))))),0))</f>
        <v>0</v>
      </c>
      <c r="J564" s="1423">
        <f t="shared" ca="1" si="799"/>
        <v>0</v>
      </c>
      <c r="K564" s="1423">
        <f t="shared" ca="1" si="800"/>
        <v>0</v>
      </c>
      <c r="L564" s="1423">
        <f t="shared" ca="1" si="801"/>
        <v>0</v>
      </c>
      <c r="M564" s="1423">
        <f t="shared" ca="1" si="802"/>
        <v>0</v>
      </c>
      <c r="N564" s="1423">
        <f t="shared" ca="1" si="803"/>
        <v>0</v>
      </c>
      <c r="O564" s="1423">
        <f t="shared" ca="1" si="804"/>
        <v>0</v>
      </c>
      <c r="P564" s="1423">
        <f t="shared" ca="1" si="805"/>
        <v>0</v>
      </c>
      <c r="Q564" s="1423">
        <f t="shared" ca="1" si="806"/>
        <v>0</v>
      </c>
      <c r="R564" s="1423">
        <f t="shared" ca="1" si="807"/>
        <v>0</v>
      </c>
      <c r="S564" s="1423">
        <f t="shared" ca="1" si="808"/>
        <v>0</v>
      </c>
      <c r="T564" s="1423">
        <f t="shared" ca="1" si="809"/>
        <v>0</v>
      </c>
      <c r="U564" s="1423">
        <f t="shared" ca="1" si="810"/>
        <v>0</v>
      </c>
      <c r="V564" s="1423">
        <f t="shared" ca="1" si="811"/>
        <v>0</v>
      </c>
      <c r="W564" s="1423">
        <f t="shared" ca="1" si="812"/>
        <v>0</v>
      </c>
      <c r="X564" s="202"/>
      <c r="Y564" s="202"/>
      <c r="Z564" s="202"/>
      <c r="AA564" s="152"/>
      <c r="AB564" s="152"/>
    </row>
    <row r="565" spans="1:28" hidden="1" outlineLevel="1">
      <c r="A565" s="199">
        <f t="shared" si="813"/>
        <v>6</v>
      </c>
      <c r="B565" s="190" t="str">
        <f t="shared" ca="1" si="814"/>
        <v>Depreciated Net Capex 2021-22</v>
      </c>
      <c r="C565" s="1426"/>
      <c r="D565" s="1426"/>
      <c r="E565" s="1426"/>
      <c r="F565" s="1426"/>
      <c r="G565" s="1426"/>
      <c r="H565" s="1427"/>
      <c r="I565" s="1428">
        <f>(I554*((1+I$11)^0.5)/I$10)</f>
        <v>0</v>
      </c>
      <c r="J565" s="1423">
        <f ca="1">IF(I589="n/a",I565,IFERROR(IF((OFFSET($C565,0,$A565))&lt;0,
MIN(0,I565-(OFFSET($C565,0,$A565)/(OFFSET($C560,-$A564,$A565)))),
MAX(0,I565-(OFFSET($C565,0,$A565)/(OFFSET($C560,-$A564,$A565))))),0))</f>
        <v>0</v>
      </c>
      <c r="K565" s="1423">
        <f t="shared" ca="1" si="800"/>
        <v>0</v>
      </c>
      <c r="L565" s="1423">
        <f t="shared" ca="1" si="801"/>
        <v>0</v>
      </c>
      <c r="M565" s="1423">
        <f t="shared" ca="1" si="802"/>
        <v>0</v>
      </c>
      <c r="N565" s="1423">
        <f t="shared" ca="1" si="803"/>
        <v>0</v>
      </c>
      <c r="O565" s="1423">
        <f t="shared" ca="1" si="804"/>
        <v>0</v>
      </c>
      <c r="P565" s="1423">
        <f t="shared" ca="1" si="805"/>
        <v>0</v>
      </c>
      <c r="Q565" s="1423">
        <f t="shared" ca="1" si="806"/>
        <v>0</v>
      </c>
      <c r="R565" s="1423">
        <f t="shared" ca="1" si="807"/>
        <v>0</v>
      </c>
      <c r="S565" s="1423">
        <f t="shared" ca="1" si="808"/>
        <v>0</v>
      </c>
      <c r="T565" s="1423">
        <f t="shared" ca="1" si="809"/>
        <v>0</v>
      </c>
      <c r="U565" s="1423">
        <f t="shared" ca="1" si="810"/>
        <v>0</v>
      </c>
      <c r="V565" s="1423">
        <f t="shared" ca="1" si="811"/>
        <v>0</v>
      </c>
      <c r="W565" s="1423">
        <f t="shared" ca="1" si="812"/>
        <v>0</v>
      </c>
      <c r="X565" s="202"/>
      <c r="Y565" s="202"/>
      <c r="Z565" s="202"/>
      <c r="AA565" s="152"/>
      <c r="AB565" s="152"/>
    </row>
    <row r="566" spans="1:28" hidden="1" outlineLevel="1">
      <c r="A566" s="199">
        <f t="shared" si="813"/>
        <v>7</v>
      </c>
      <c r="B566" s="190" t="str">
        <f t="shared" ca="1" si="814"/>
        <v>Depreciated Net Capex 2022-23</v>
      </c>
      <c r="C566" s="1426"/>
      <c r="D566" s="1426"/>
      <c r="E566" s="1426"/>
      <c r="F566" s="1426"/>
      <c r="G566" s="1426"/>
      <c r="H566" s="1426"/>
      <c r="I566" s="1427"/>
      <c r="J566" s="1428">
        <f>(J554*((1+J$11)^0.5)/J$10)</f>
        <v>0</v>
      </c>
      <c r="K566" s="1423">
        <f ca="1">IF(J590="n/a",J566,IFERROR(IF((OFFSET($C566,0,$A566))&lt;0,
MIN(0,J566-(OFFSET($C566,0,$A566)/(OFFSET($C561,-$A565,$A566)))),
MAX(0,J566-(OFFSET($C566,0,$A566)/(OFFSET($C561,-$A565,$A566))))),0))</f>
        <v>0</v>
      </c>
      <c r="L566" s="1423">
        <f t="shared" ca="1" si="801"/>
        <v>0</v>
      </c>
      <c r="M566" s="1423">
        <f t="shared" ca="1" si="802"/>
        <v>0</v>
      </c>
      <c r="N566" s="1423">
        <f t="shared" ca="1" si="803"/>
        <v>0</v>
      </c>
      <c r="O566" s="1423">
        <f t="shared" ca="1" si="804"/>
        <v>0</v>
      </c>
      <c r="P566" s="1423">
        <f t="shared" ca="1" si="805"/>
        <v>0</v>
      </c>
      <c r="Q566" s="1423">
        <f t="shared" ca="1" si="806"/>
        <v>0</v>
      </c>
      <c r="R566" s="1423">
        <f t="shared" ca="1" si="807"/>
        <v>0</v>
      </c>
      <c r="S566" s="1423">
        <f t="shared" ca="1" si="808"/>
        <v>0</v>
      </c>
      <c r="T566" s="1423">
        <f t="shared" ca="1" si="809"/>
        <v>0</v>
      </c>
      <c r="U566" s="1423">
        <f t="shared" ca="1" si="810"/>
        <v>0</v>
      </c>
      <c r="V566" s="1423">
        <f t="shared" ca="1" si="811"/>
        <v>0</v>
      </c>
      <c r="W566" s="1423">
        <f t="shared" ca="1" si="812"/>
        <v>0</v>
      </c>
      <c r="X566" s="202"/>
      <c r="Y566" s="202"/>
      <c r="Z566" s="202"/>
      <c r="AA566" s="152"/>
      <c r="AB566" s="152"/>
    </row>
    <row r="567" spans="1:28" hidden="1" outlineLevel="1">
      <c r="A567" s="199">
        <f t="shared" si="813"/>
        <v>8</v>
      </c>
      <c r="B567" s="190" t="str">
        <f t="shared" ca="1" si="814"/>
        <v>Depreciated Net Capex 2023-24</v>
      </c>
      <c r="C567" s="1426"/>
      <c r="D567" s="1426"/>
      <c r="E567" s="1426"/>
      <c r="F567" s="1426"/>
      <c r="G567" s="1426"/>
      <c r="H567" s="1426"/>
      <c r="I567" s="1426"/>
      <c r="J567" s="1427"/>
      <c r="K567" s="1428">
        <f>(K554*((1+K$11)^0.5)/K$10)</f>
        <v>0</v>
      </c>
      <c r="L567" s="1423">
        <f ca="1">IF(K591="n/a",K567,IFERROR(IF((OFFSET($C567,0,$A567))&lt;0,
MIN(0,K567-(OFFSET($C567,0,$A567)/(OFFSET($C562,-$A566,$A567)))),
MAX(0,K567-(OFFSET($C567,0,$A567)/(OFFSET($C562,-$A566,$A567))))),0))</f>
        <v>0</v>
      </c>
      <c r="M567" s="1423">
        <f t="shared" ca="1" si="802"/>
        <v>0</v>
      </c>
      <c r="N567" s="1423">
        <f t="shared" ca="1" si="803"/>
        <v>0</v>
      </c>
      <c r="O567" s="1423">
        <f t="shared" ca="1" si="804"/>
        <v>0</v>
      </c>
      <c r="P567" s="1423">
        <f t="shared" ca="1" si="805"/>
        <v>0</v>
      </c>
      <c r="Q567" s="1423">
        <f t="shared" ca="1" si="806"/>
        <v>0</v>
      </c>
      <c r="R567" s="1423">
        <f t="shared" ca="1" si="807"/>
        <v>0</v>
      </c>
      <c r="S567" s="1423">
        <f t="shared" ca="1" si="808"/>
        <v>0</v>
      </c>
      <c r="T567" s="1423">
        <f t="shared" ca="1" si="809"/>
        <v>0</v>
      </c>
      <c r="U567" s="1423">
        <f t="shared" ca="1" si="810"/>
        <v>0</v>
      </c>
      <c r="V567" s="1423">
        <f t="shared" ca="1" si="811"/>
        <v>0</v>
      </c>
      <c r="W567" s="1423">
        <f t="shared" ca="1" si="812"/>
        <v>0</v>
      </c>
      <c r="X567" s="202"/>
      <c r="Y567" s="202"/>
      <c r="Z567" s="202"/>
      <c r="AA567" s="152"/>
      <c r="AB567" s="152"/>
    </row>
    <row r="568" spans="1:28" hidden="1" outlineLevel="1">
      <c r="A568" s="199">
        <f t="shared" si="813"/>
        <v>9</v>
      </c>
      <c r="B568" s="190" t="str">
        <f t="shared" ca="1" si="814"/>
        <v>Depreciated Net Capex 2024-25</v>
      </c>
      <c r="C568" s="1426"/>
      <c r="D568" s="1426"/>
      <c r="E568" s="1426"/>
      <c r="F568" s="1426"/>
      <c r="G568" s="1426"/>
      <c r="H568" s="1426"/>
      <c r="I568" s="1426"/>
      <c r="J568" s="1426"/>
      <c r="K568" s="1427"/>
      <c r="L568" s="1428">
        <f>(L554*((1+L$11)^0.5)/L$10)</f>
        <v>0</v>
      </c>
      <c r="M568" s="1423">
        <f ca="1">IF(L592="n/a",L568,IFERROR(IF((OFFSET($C568,0,$A568))&lt;0,
MIN(0,L568-(OFFSET($C568,0,$A568)/(OFFSET($C563,-$A567,$A568)))),
MAX(0,L568-(OFFSET($C568,0,$A568)/(OFFSET($C563,-$A567,$A568))))),0))</f>
        <v>0</v>
      </c>
      <c r="N568" s="1423">
        <f t="shared" ca="1" si="803"/>
        <v>0</v>
      </c>
      <c r="O568" s="1423">
        <f t="shared" ca="1" si="804"/>
        <v>0</v>
      </c>
      <c r="P568" s="1423">
        <f t="shared" ca="1" si="805"/>
        <v>0</v>
      </c>
      <c r="Q568" s="1423">
        <f t="shared" ca="1" si="806"/>
        <v>0</v>
      </c>
      <c r="R568" s="1423">
        <f t="shared" ca="1" si="807"/>
        <v>0</v>
      </c>
      <c r="S568" s="1423">
        <f t="shared" ca="1" si="808"/>
        <v>0</v>
      </c>
      <c r="T568" s="1423">
        <f t="shared" ca="1" si="809"/>
        <v>0</v>
      </c>
      <c r="U568" s="1423">
        <f t="shared" ca="1" si="810"/>
        <v>0</v>
      </c>
      <c r="V568" s="1423">
        <f t="shared" ca="1" si="811"/>
        <v>0</v>
      </c>
      <c r="W568" s="1423">
        <f t="shared" ca="1" si="812"/>
        <v>0</v>
      </c>
      <c r="X568" s="202"/>
      <c r="Y568" s="202"/>
      <c r="Z568" s="202"/>
      <c r="AA568" s="152"/>
      <c r="AB568" s="152"/>
    </row>
    <row r="569" spans="1:28" hidden="1" outlineLevel="1">
      <c r="A569" s="199">
        <f t="shared" si="813"/>
        <v>10</v>
      </c>
      <c r="B569" s="190" t="str">
        <f t="shared" ca="1" si="814"/>
        <v>Depreciated Net Capex 2025-26</v>
      </c>
      <c r="C569" s="1426"/>
      <c r="D569" s="1426"/>
      <c r="E569" s="1426"/>
      <c r="F569" s="1426"/>
      <c r="G569" s="1426"/>
      <c r="H569" s="1426"/>
      <c r="I569" s="1426"/>
      <c r="J569" s="1426"/>
      <c r="K569" s="1426"/>
      <c r="L569" s="1427"/>
      <c r="M569" s="1428">
        <f>(M554*((1+M$11)^0.5)/M$10)</f>
        <v>0</v>
      </c>
      <c r="N569" s="1423">
        <f ca="1">IF(M593="n/a",M569,IFERROR(IF((OFFSET($C569,0,$A569))&lt;0,
MIN(0,M569-(OFFSET($C569,0,$A569)/(OFFSET($C564,-$A568,$A569)))),
MAX(0,M569-(OFFSET($C569,0,$A569)/(OFFSET($C564,-$A568,$A569))))),0))</f>
        <v>0</v>
      </c>
      <c r="O569" s="1423">
        <f t="shared" ca="1" si="804"/>
        <v>0</v>
      </c>
      <c r="P569" s="1423">
        <f t="shared" ca="1" si="805"/>
        <v>0</v>
      </c>
      <c r="Q569" s="1423">
        <f t="shared" ca="1" si="806"/>
        <v>0</v>
      </c>
      <c r="R569" s="1423">
        <f t="shared" ca="1" si="807"/>
        <v>0</v>
      </c>
      <c r="S569" s="1423">
        <f t="shared" ca="1" si="808"/>
        <v>0</v>
      </c>
      <c r="T569" s="1423">
        <f t="shared" ca="1" si="809"/>
        <v>0</v>
      </c>
      <c r="U569" s="1423">
        <f t="shared" ca="1" si="810"/>
        <v>0</v>
      </c>
      <c r="V569" s="1423">
        <f t="shared" ca="1" si="811"/>
        <v>0</v>
      </c>
      <c r="W569" s="1423">
        <f t="shared" ca="1" si="812"/>
        <v>0</v>
      </c>
      <c r="X569" s="202"/>
      <c r="Y569" s="202"/>
      <c r="Z569" s="202"/>
      <c r="AA569" s="152"/>
      <c r="AB569" s="152"/>
    </row>
    <row r="570" spans="1:28" hidden="1" outlineLevel="1">
      <c r="A570" s="199">
        <f t="shared" si="813"/>
        <v>11</v>
      </c>
      <c r="B570" s="190" t="str">
        <f t="shared" ca="1" si="814"/>
        <v>Depreciated Net Capex 2026-27</v>
      </c>
      <c r="C570" s="1426"/>
      <c r="D570" s="1426"/>
      <c r="E570" s="1426"/>
      <c r="F570" s="1426"/>
      <c r="G570" s="1426"/>
      <c r="H570" s="1426"/>
      <c r="I570" s="1426"/>
      <c r="J570" s="1426"/>
      <c r="K570" s="1426"/>
      <c r="L570" s="1426"/>
      <c r="M570" s="1427"/>
      <c r="N570" s="1428">
        <f>(N554*((1+N$11)^0.5)/N$10)</f>
        <v>0</v>
      </c>
      <c r="O570" s="1423">
        <f ca="1">IF(N594="n/a",N570,IFERROR(IF((OFFSET($C570,0,$A570))&lt;0,
MIN(0,N570-(OFFSET($C570,0,$A570)/(OFFSET($C565,-$A569,$A570)))),
MAX(0,N570-(OFFSET($C570,0,$A570)/(OFFSET($C565,-$A569,$A570))))),0))</f>
        <v>0</v>
      </c>
      <c r="P570" s="1423">
        <f t="shared" ca="1" si="805"/>
        <v>0</v>
      </c>
      <c r="Q570" s="1423">
        <f t="shared" ca="1" si="806"/>
        <v>0</v>
      </c>
      <c r="R570" s="1423">
        <f t="shared" ca="1" si="807"/>
        <v>0</v>
      </c>
      <c r="S570" s="1423">
        <f t="shared" ca="1" si="808"/>
        <v>0</v>
      </c>
      <c r="T570" s="1423">
        <f t="shared" ca="1" si="809"/>
        <v>0</v>
      </c>
      <c r="U570" s="1423">
        <f t="shared" ca="1" si="810"/>
        <v>0</v>
      </c>
      <c r="V570" s="1423">
        <f t="shared" ca="1" si="811"/>
        <v>0</v>
      </c>
      <c r="W570" s="1423">
        <f t="shared" ca="1" si="812"/>
        <v>0</v>
      </c>
      <c r="X570" s="202"/>
      <c r="Y570" s="202"/>
      <c r="Z570" s="202"/>
      <c r="AA570" s="152"/>
      <c r="AB570" s="152"/>
    </row>
    <row r="571" spans="1:28" hidden="1" outlineLevel="1">
      <c r="A571" s="199">
        <f t="shared" si="813"/>
        <v>12</v>
      </c>
      <c r="B571" s="190" t="str">
        <f t="shared" ca="1" si="814"/>
        <v>Depreciated Net Capex 2027-28</v>
      </c>
      <c r="C571" s="1426"/>
      <c r="D571" s="1426"/>
      <c r="E571" s="1426"/>
      <c r="F571" s="1426"/>
      <c r="G571" s="1426"/>
      <c r="H571" s="1426"/>
      <c r="I571" s="1426"/>
      <c r="J571" s="1426"/>
      <c r="K571" s="1426"/>
      <c r="L571" s="1426"/>
      <c r="M571" s="1426"/>
      <c r="N571" s="1427"/>
      <c r="O571" s="1428">
        <f>(O554*((1+O$11)^0.5)/O$10)</f>
        <v>0</v>
      </c>
      <c r="P571" s="1423">
        <f ca="1">IF(O595="n/a",O571,IFERROR(IF((OFFSET($C571,0,$A571))&lt;0,
MIN(0,O571-(OFFSET($C571,0,$A571)/(OFFSET($C566,-$A570,$A571)))),
MAX(0,O571-(OFFSET($C571,0,$A571)/(OFFSET($C566,-$A570,$A571))))),0))</f>
        <v>0</v>
      </c>
      <c r="Q571" s="1423">
        <f t="shared" ca="1" si="806"/>
        <v>0</v>
      </c>
      <c r="R571" s="1423">
        <f t="shared" ca="1" si="807"/>
        <v>0</v>
      </c>
      <c r="S571" s="1423">
        <f t="shared" ca="1" si="808"/>
        <v>0</v>
      </c>
      <c r="T571" s="1423">
        <f t="shared" ca="1" si="809"/>
        <v>0</v>
      </c>
      <c r="U571" s="1423">
        <f t="shared" ca="1" si="810"/>
        <v>0</v>
      </c>
      <c r="V571" s="1423">
        <f t="shared" ca="1" si="811"/>
        <v>0</v>
      </c>
      <c r="W571" s="1423">
        <f t="shared" ca="1" si="812"/>
        <v>0</v>
      </c>
      <c r="X571" s="202"/>
      <c r="Y571" s="202"/>
      <c r="Z571" s="202"/>
      <c r="AA571" s="152"/>
      <c r="AB571" s="152"/>
    </row>
    <row r="572" spans="1:28" hidden="1" outlineLevel="1">
      <c r="A572" s="199">
        <f t="shared" si="813"/>
        <v>13</v>
      </c>
      <c r="B572" s="190" t="str">
        <f t="shared" ca="1" si="814"/>
        <v>Depreciated Net Capex 2028-29</v>
      </c>
      <c r="C572" s="1426"/>
      <c r="D572" s="1426"/>
      <c r="E572" s="1426"/>
      <c r="F572" s="1426"/>
      <c r="G572" s="1426"/>
      <c r="H572" s="1426"/>
      <c r="I572" s="1426"/>
      <c r="J572" s="1426"/>
      <c r="K572" s="1426"/>
      <c r="L572" s="1426"/>
      <c r="M572" s="1426"/>
      <c r="N572" s="1426"/>
      <c r="O572" s="1427"/>
      <c r="P572" s="1428">
        <f>(P554*((1+P$11)^0.5)/P$10)</f>
        <v>0</v>
      </c>
      <c r="Q572" s="1423">
        <f ca="1">IF(P596="n/a",P572,IFERROR(IF((OFFSET($C572,0,$A572))&lt;0,
MIN(0,P572-(OFFSET($C572,0,$A572)/(OFFSET($C567,-$A571,$A572)))),
MAX(0,P572-(OFFSET($C572,0,$A572)/(OFFSET($C567,-$A571,$A572))))),0))</f>
        <v>0</v>
      </c>
      <c r="R572" s="1423">
        <f t="shared" ca="1" si="807"/>
        <v>0</v>
      </c>
      <c r="S572" s="1423">
        <f t="shared" ca="1" si="808"/>
        <v>0</v>
      </c>
      <c r="T572" s="1423">
        <f t="shared" ca="1" si="809"/>
        <v>0</v>
      </c>
      <c r="U572" s="1423">
        <f t="shared" ca="1" si="810"/>
        <v>0</v>
      </c>
      <c r="V572" s="1423">
        <f t="shared" ca="1" si="811"/>
        <v>0</v>
      </c>
      <c r="W572" s="1423">
        <f t="shared" ca="1" si="812"/>
        <v>0</v>
      </c>
      <c r="X572" s="202"/>
      <c r="Y572" s="202"/>
      <c r="Z572" s="202"/>
      <c r="AA572" s="152"/>
      <c r="AB572" s="152"/>
    </row>
    <row r="573" spans="1:28" hidden="1" outlineLevel="1">
      <c r="A573" s="199">
        <f t="shared" si="813"/>
        <v>14</v>
      </c>
      <c r="B573" s="190" t="str">
        <f t="shared" ca="1" si="814"/>
        <v>Depreciated Net Capex 2029-30</v>
      </c>
      <c r="C573" s="1426"/>
      <c r="D573" s="1426"/>
      <c r="E573" s="1426"/>
      <c r="F573" s="1426"/>
      <c r="G573" s="1426"/>
      <c r="H573" s="1426"/>
      <c r="I573" s="1426"/>
      <c r="J573" s="1426"/>
      <c r="K573" s="1426"/>
      <c r="L573" s="1426"/>
      <c r="M573" s="1426"/>
      <c r="N573" s="1426"/>
      <c r="O573" s="1426"/>
      <c r="P573" s="1427"/>
      <c r="Q573" s="1428">
        <f>(Q554*((1+Q$11)^0.5)/Q$10)</f>
        <v>0</v>
      </c>
      <c r="R573" s="1423">
        <f ca="1">IF(Q597="n/a",Q573,IFERROR(IF((OFFSET($C573,0,$A573))&lt;0,
MIN(0,Q573-(OFFSET($C573,0,$A573)/(OFFSET($C568,-$A572,$A573)))),
MAX(0,Q573-(OFFSET($C573,0,$A573)/(OFFSET($C568,-$A572,$A573))))),0))</f>
        <v>0</v>
      </c>
      <c r="S573" s="1423">
        <f t="shared" ca="1" si="808"/>
        <v>0</v>
      </c>
      <c r="T573" s="1423">
        <f t="shared" ca="1" si="809"/>
        <v>0</v>
      </c>
      <c r="U573" s="1423">
        <f t="shared" ca="1" si="810"/>
        <v>0</v>
      </c>
      <c r="V573" s="1423">
        <f t="shared" ca="1" si="811"/>
        <v>0</v>
      </c>
      <c r="W573" s="1423">
        <f t="shared" ca="1" si="812"/>
        <v>0</v>
      </c>
      <c r="X573" s="202"/>
      <c r="Y573" s="202"/>
      <c r="Z573" s="202"/>
      <c r="AA573" s="152"/>
      <c r="AB573" s="152"/>
    </row>
    <row r="574" spans="1:28" hidden="1" outlineLevel="1">
      <c r="A574" s="199">
        <f t="shared" si="813"/>
        <v>15</v>
      </c>
      <c r="B574" s="190" t="str">
        <f t="shared" ca="1" si="814"/>
        <v>Depreciated Net Capex 2030-31</v>
      </c>
      <c r="C574" s="1426"/>
      <c r="D574" s="1426"/>
      <c r="E574" s="1426"/>
      <c r="F574" s="1426"/>
      <c r="G574" s="1426"/>
      <c r="H574" s="1426"/>
      <c r="I574" s="1426"/>
      <c r="J574" s="1426"/>
      <c r="K574" s="1426"/>
      <c r="L574" s="1426"/>
      <c r="M574" s="1426"/>
      <c r="N574" s="1426"/>
      <c r="O574" s="1426"/>
      <c r="P574" s="1426"/>
      <c r="Q574" s="1427"/>
      <c r="R574" s="1428">
        <f>(R554*((1+R$11)^0.5)/R$10)</f>
        <v>0</v>
      </c>
      <c r="S574" s="1423">
        <f ca="1">IF(R598="n/a",R574,IFERROR(IF((OFFSET($C574,0,$A574))&lt;0,
MIN(0,R574-(OFFSET($C574,0,$A574)/(OFFSET($C569,-$A573,$A574)))),
MAX(0,R574-(OFFSET($C574,0,$A574)/(OFFSET($C569,-$A573,$A574))))),0))</f>
        <v>0</v>
      </c>
      <c r="T574" s="1423">
        <f t="shared" ca="1" si="809"/>
        <v>0</v>
      </c>
      <c r="U574" s="1423">
        <f t="shared" ca="1" si="810"/>
        <v>0</v>
      </c>
      <c r="V574" s="1423">
        <f t="shared" ca="1" si="811"/>
        <v>0</v>
      </c>
      <c r="W574" s="1423">
        <f t="shared" ca="1" si="812"/>
        <v>0</v>
      </c>
      <c r="X574" s="202"/>
      <c r="Y574" s="202"/>
      <c r="Z574" s="202"/>
      <c r="AA574" s="152"/>
      <c r="AB574" s="152"/>
    </row>
    <row r="575" spans="1:28" hidden="1" outlineLevel="1">
      <c r="A575" s="199">
        <f t="shared" si="813"/>
        <v>16</v>
      </c>
      <c r="B575" s="190" t="str">
        <f t="shared" ca="1" si="814"/>
        <v>Depreciated Net Capex 2031-32</v>
      </c>
      <c r="C575" s="1426"/>
      <c r="D575" s="1426"/>
      <c r="E575" s="1426"/>
      <c r="F575" s="1426"/>
      <c r="G575" s="1426"/>
      <c r="H575" s="1426"/>
      <c r="I575" s="1426"/>
      <c r="J575" s="1426"/>
      <c r="K575" s="1426"/>
      <c r="L575" s="1426"/>
      <c r="M575" s="1426"/>
      <c r="N575" s="1426"/>
      <c r="O575" s="1426"/>
      <c r="P575" s="1426"/>
      <c r="Q575" s="1426"/>
      <c r="R575" s="1427"/>
      <c r="S575" s="1428">
        <f>(S554*((1+S$11)^0.5)/S$10)</f>
        <v>0</v>
      </c>
      <c r="T575" s="1423">
        <f ca="1">IF(S599="n/a",S575,IFERROR(IF((OFFSET($C575,0,$A575))&lt;0,
MIN(0,S575-(OFFSET($C575,0,$A575)/(OFFSET($C570,-$A574,$A575)))),
MAX(0,S575-(OFFSET($C575,0,$A575)/(OFFSET($C570,-$A574,$A575))))),0))</f>
        <v>0</v>
      </c>
      <c r="U575" s="1423">
        <f t="shared" ca="1" si="810"/>
        <v>0</v>
      </c>
      <c r="V575" s="1423">
        <f t="shared" ca="1" si="811"/>
        <v>0</v>
      </c>
      <c r="W575" s="1423">
        <f t="shared" ca="1" si="812"/>
        <v>0</v>
      </c>
      <c r="X575" s="202"/>
      <c r="Y575" s="202"/>
      <c r="Z575" s="202"/>
      <c r="AA575" s="152"/>
      <c r="AB575" s="152"/>
    </row>
    <row r="576" spans="1:28" hidden="1" outlineLevel="1">
      <c r="A576" s="199">
        <f t="shared" si="813"/>
        <v>17</v>
      </c>
      <c r="B576" s="190" t="str">
        <f t="shared" ca="1" si="814"/>
        <v>Depreciated Net Capex 2032-33</v>
      </c>
      <c r="C576" s="1426"/>
      <c r="D576" s="1426"/>
      <c r="E576" s="1426"/>
      <c r="F576" s="1426"/>
      <c r="G576" s="1426"/>
      <c r="H576" s="1426"/>
      <c r="I576" s="1426"/>
      <c r="J576" s="1426"/>
      <c r="K576" s="1426"/>
      <c r="L576" s="1426"/>
      <c r="M576" s="1426"/>
      <c r="N576" s="1426"/>
      <c r="O576" s="1426"/>
      <c r="P576" s="1426"/>
      <c r="Q576" s="1426"/>
      <c r="R576" s="1426"/>
      <c r="S576" s="1427"/>
      <c r="T576" s="1428">
        <f>(T554*((1+T$11)^0.5)/T$10)</f>
        <v>0</v>
      </c>
      <c r="U576" s="1423">
        <f ca="1">IF(T600="n/a",T576,IFERROR(IF((OFFSET($C576,0,$A576))&lt;0,
MIN(0,T576-(OFFSET($C576,0,$A576)/(OFFSET($C571,-$A575,$A576)))),
MAX(0,T576-(OFFSET($C576,0,$A576)/(OFFSET($C571,-$A575,$A576))))),0))</f>
        <v>0</v>
      </c>
      <c r="V576" s="1423">
        <f t="shared" ca="1" si="811"/>
        <v>0</v>
      </c>
      <c r="W576" s="1423">
        <f t="shared" ca="1" si="812"/>
        <v>0</v>
      </c>
      <c r="X576" s="202"/>
      <c r="Y576" s="202"/>
      <c r="Z576" s="202"/>
      <c r="AA576" s="152"/>
      <c r="AB576" s="152"/>
    </row>
    <row r="577" spans="1:28" hidden="1" outlineLevel="1">
      <c r="A577" s="199">
        <f t="shared" si="813"/>
        <v>18</v>
      </c>
      <c r="B577" s="190" t="str">
        <f t="shared" ca="1" si="814"/>
        <v>Depreciated Net Capex 2033-34</v>
      </c>
      <c r="C577" s="1426"/>
      <c r="D577" s="1426"/>
      <c r="E577" s="1426"/>
      <c r="F577" s="1426"/>
      <c r="G577" s="1426"/>
      <c r="H577" s="1426"/>
      <c r="I577" s="1426"/>
      <c r="J577" s="1426"/>
      <c r="K577" s="1426"/>
      <c r="L577" s="1426"/>
      <c r="M577" s="1426"/>
      <c r="N577" s="1426"/>
      <c r="O577" s="1426"/>
      <c r="P577" s="1426"/>
      <c r="Q577" s="1426"/>
      <c r="R577" s="1426"/>
      <c r="S577" s="1426"/>
      <c r="T577" s="1427"/>
      <c r="U577" s="1428">
        <f>(U554*((1+U$11)^0.5)/U$10)</f>
        <v>0</v>
      </c>
      <c r="V577" s="1423">
        <f ca="1">IF(U601="n/a",U577,IFERROR(IF((OFFSET($C577,0,$A577))&lt;0,
MIN(0,U577-(OFFSET($C577,0,$A577)/(OFFSET($C572,-$A576,$A577)))),
MAX(0,U577-(OFFSET($C577,0,$A577)/(OFFSET($C572,-$A576,$A577))))),0))</f>
        <v>0</v>
      </c>
      <c r="W577" s="1423">
        <f t="shared" ca="1" si="812"/>
        <v>0</v>
      </c>
      <c r="X577" s="202"/>
      <c r="Y577" s="202"/>
      <c r="Z577" s="202"/>
      <c r="AA577" s="152"/>
      <c r="AB577" s="152"/>
    </row>
    <row r="578" spans="1:28" hidden="1" outlineLevel="1">
      <c r="A578" s="199">
        <f t="shared" si="813"/>
        <v>19</v>
      </c>
      <c r="B578" s="190" t="str">
        <f t="shared" ca="1" si="814"/>
        <v>Depreciated Net Capex 2034-35</v>
      </c>
      <c r="C578" s="1426"/>
      <c r="D578" s="1426"/>
      <c r="E578" s="1426"/>
      <c r="F578" s="1426"/>
      <c r="G578" s="1426"/>
      <c r="H578" s="1426"/>
      <c r="I578" s="1426"/>
      <c r="J578" s="1426"/>
      <c r="K578" s="1426"/>
      <c r="L578" s="1426"/>
      <c r="M578" s="1426"/>
      <c r="N578" s="1426"/>
      <c r="O578" s="1426"/>
      <c r="P578" s="1426"/>
      <c r="Q578" s="1426"/>
      <c r="R578" s="1426"/>
      <c r="S578" s="1426"/>
      <c r="T578" s="1426"/>
      <c r="U578" s="1427"/>
      <c r="V578" s="1428">
        <f>(V554*((1+V$11)^0.5)/V$10)</f>
        <v>0</v>
      </c>
      <c r="W578" s="1423">
        <f ca="1">IF(V602="n/a",V578,IFERROR(IF((OFFSET($C578,0,$A578))&lt;0,
MIN(0,V578-(OFFSET($C578,0,$A578)/(OFFSET($C573,-$A577,$A578)))),
MAX(0,V578-(OFFSET($C578,0,$A578)/(OFFSET($C573,-$A577,$A578))))),0))</f>
        <v>0</v>
      </c>
      <c r="X578" s="202"/>
      <c r="Y578" s="202"/>
      <c r="Z578" s="202"/>
      <c r="AA578" s="152"/>
      <c r="AB578" s="152"/>
    </row>
    <row r="579" spans="1:28" hidden="1" outlineLevel="1">
      <c r="A579" s="199">
        <f t="shared" si="813"/>
        <v>20</v>
      </c>
      <c r="B579" s="190" t="str">
        <f ca="1">"Depreciated Net Capex "&amp;OFFSET($C$6,0,A579)</f>
        <v>Depreciated Net Capex 2035-36</v>
      </c>
      <c r="C579" s="1426"/>
      <c r="D579" s="1426"/>
      <c r="E579" s="1426"/>
      <c r="F579" s="1426"/>
      <c r="G579" s="1426"/>
      <c r="H579" s="1426"/>
      <c r="I579" s="1426"/>
      <c r="J579" s="1426"/>
      <c r="K579" s="1426"/>
      <c r="L579" s="1426"/>
      <c r="M579" s="1426"/>
      <c r="N579" s="1426"/>
      <c r="O579" s="1426"/>
      <c r="P579" s="1426"/>
      <c r="Q579" s="1426"/>
      <c r="R579" s="1426"/>
      <c r="S579" s="1426"/>
      <c r="T579" s="1426"/>
      <c r="U579" s="1426"/>
      <c r="V579" s="1427"/>
      <c r="W579" s="1423">
        <f>(W554*((1+W$11)^0.5)/W$10)</f>
        <v>0</v>
      </c>
      <c r="X579" s="152"/>
      <c r="Y579" s="152"/>
      <c r="Z579" s="152"/>
      <c r="AA579" s="152"/>
      <c r="AB579" s="152"/>
    </row>
    <row r="580" spans="1:28" hidden="1" outlineLevel="1">
      <c r="A580" s="152"/>
      <c r="B580" s="200"/>
      <c r="C580" s="1423"/>
      <c r="D580" s="1423"/>
      <c r="E580" s="1423"/>
      <c r="F580" s="1423"/>
      <c r="G580" s="1423"/>
      <c r="H580" s="1423"/>
      <c r="I580" s="1423"/>
      <c r="J580" s="1423"/>
      <c r="K580" s="1423"/>
      <c r="L580" s="1423"/>
      <c r="M580" s="1423"/>
      <c r="N580" s="1423"/>
      <c r="O580" s="1423"/>
      <c r="P580" s="1423"/>
      <c r="Q580" s="1423"/>
      <c r="R580" s="1423"/>
      <c r="S580" s="1423"/>
      <c r="T580" s="1423"/>
      <c r="U580" s="1423"/>
      <c r="V580" s="1423"/>
      <c r="W580" s="1423"/>
      <c r="X580" s="152"/>
      <c r="Y580" s="152"/>
      <c r="Z580" s="152"/>
      <c r="AA580" s="152"/>
      <c r="AB580" s="152"/>
    </row>
    <row r="581" spans="1:28" hidden="1" outlineLevel="1">
      <c r="A581" s="152"/>
      <c r="B581" s="200"/>
      <c r="C581" s="1423"/>
      <c r="D581" s="1423"/>
      <c r="E581" s="1423"/>
      <c r="F581" s="1423"/>
      <c r="G581" s="1423"/>
      <c r="H581" s="1423"/>
      <c r="I581" s="1423"/>
      <c r="J581" s="1423"/>
      <c r="K581" s="1423"/>
      <c r="L581" s="1423"/>
      <c r="M581" s="1423"/>
      <c r="N581" s="1423"/>
      <c r="O581" s="1423"/>
      <c r="P581" s="1423"/>
      <c r="Q581" s="1423"/>
      <c r="R581" s="1423"/>
      <c r="S581" s="1423"/>
      <c r="T581" s="1423"/>
      <c r="U581" s="1423"/>
      <c r="V581" s="1423"/>
      <c r="W581" s="1423"/>
      <c r="X581" s="152"/>
      <c r="Y581" s="152"/>
      <c r="Z581" s="152"/>
      <c r="AA581" s="152"/>
      <c r="AB581" s="152"/>
    </row>
    <row r="582" spans="1:28" hidden="1" outlineLevel="1">
      <c r="A582" s="152"/>
      <c r="B582" s="190" t="s">
        <v>190</v>
      </c>
      <c r="C582" s="1423"/>
      <c r="D582" s="1423">
        <f ca="1">IF(AND(C582&lt;1,D556=0),0,
IF(D556=0,C582-1,
IF(C582&lt;1,D557,
(((C582-1)*(C558-(C558/(C582))))+((D556/D$10)*D557))/(D558))))</f>
        <v>0</v>
      </c>
      <c r="E582" s="1423">
        <f t="shared" ref="E582" ca="1" si="815">IF(AND(D582&lt;1,E556=0),0,
IF(E556=0,D582-1,
IF(D582&lt;1,E557,
(((D582-1)*(D558-(D558/(D582))))+((E556/E$10)*E557))/(E558))))</f>
        <v>0</v>
      </c>
      <c r="F582" s="1423">
        <f t="shared" ref="F582" ca="1" si="816">IF(AND(E582&lt;1,F556=0),0,
IF(F556=0,E582-1,
IF(E582&lt;1,F557,
(((E582-1)*(E558-(E558/(E582))))+((F556/F$10)*F557))/(F558))))</f>
        <v>0</v>
      </c>
      <c r="G582" s="1423">
        <f t="shared" ref="G582" ca="1" si="817">IF(AND(F582&lt;1,G556=0),0,
IF(G556=0,F582-1,
IF(F582&lt;1,G557,
(((F582-1)*(F558-(F558/(F582))))+((G556/G$10)*G557))/(G558))))</f>
        <v>0</v>
      </c>
      <c r="H582" s="1423">
        <f t="shared" ref="H582" ca="1" si="818">IF(AND(G582&lt;1,H556=0),0,
IF(H556=0,G582-1,
IF(G582&lt;1,H557,
(((G582-1)*(G558-(G558/(G582))))+((H556/H$10)*H557))/(H558))))</f>
        <v>0</v>
      </c>
      <c r="I582" s="1423">
        <f t="shared" ref="I582" ca="1" si="819">IF(AND(H582&lt;1,I556=0),0,
IF(I556=0,H582-1,
IF(H582&lt;1,I557,
(((H582-1)*(H558-(H558/(H582))))+((I556/I$10)*I557))/(I558))))</f>
        <v>0</v>
      </c>
      <c r="J582" s="1423">
        <f t="shared" ref="J582" ca="1" si="820">IF(AND(I582&lt;1,J556=0),0,
IF(J556=0,I582-1,
IF(I582&lt;1,J557,
(((I582-1)*(I558-(I558/(I582))))+((J556/J$10)*J557))/(J558))))</f>
        <v>0</v>
      </c>
      <c r="K582" s="1423">
        <f t="shared" ref="K582" ca="1" si="821">IF(AND(J582&lt;1,K556=0),0,
IF(K556=0,J582-1,
IF(J582&lt;1,K557,
(((J582-1)*(J558-(J558/(J582))))+((K556/K$10)*K557))/(K558))))</f>
        <v>0</v>
      </c>
      <c r="L582" s="1423">
        <f t="shared" ref="L582" ca="1" si="822">IF(AND(K582&lt;1,L556=0),0,
IF(L556=0,K582-1,
IF(K582&lt;1,L557,
(((K582-1)*(K558-(K558/(K582))))+((L556/L$10)*L557))/(L558))))</f>
        <v>0</v>
      </c>
      <c r="M582" s="1423">
        <f t="shared" ref="M582" ca="1" si="823">IF(AND(L582&lt;1,M556=0),0,
IF(M556=0,L582-1,
IF(L582&lt;1,M557,
(((L582-1)*(L558-(L558/(L582))))+((M556/M$10)*M557))/(M558))))</f>
        <v>0</v>
      </c>
      <c r="N582" s="1423">
        <f t="shared" ref="N582" ca="1" si="824">IF(AND(M582&lt;1,N556=0),0,
IF(N556=0,M582-1,
IF(M582&lt;1,N557,
(((M582-1)*(M558-(M558/(M582))))+((N556/N$10)*N557))/(N558))))</f>
        <v>0</v>
      </c>
      <c r="O582" s="1423">
        <f t="shared" ref="O582" ca="1" si="825">IF(AND(N582&lt;1,O556=0),0,
IF(O556=0,N582-1,
IF(N582&lt;1,O557,
(((N582-1)*(N558-(N558/(N582))))+((O556/O$10)*O557))/(O558))))</f>
        <v>0</v>
      </c>
      <c r="P582" s="1423">
        <f t="shared" ref="P582" ca="1" si="826">IF(AND(O582&lt;1,P556=0),0,
IF(P556=0,O582-1,
IF(O582&lt;1,P557,
(((O582-1)*(O558-(O558/(O582))))+((P556/P$10)*P557))/(P558))))</f>
        <v>0</v>
      </c>
      <c r="Q582" s="1423">
        <f t="shared" ref="Q582" ca="1" si="827">IF(AND(P582&lt;1,Q556=0),0,
IF(Q556=0,P582-1,
IF(P582&lt;1,Q557,
(((P582-1)*(P558-(P558/(P582))))+((Q556/Q$10)*Q557))/(Q558))))</f>
        <v>0</v>
      </c>
      <c r="R582" s="1423">
        <f t="shared" ref="R582" ca="1" si="828">IF(AND(Q582&lt;1,R556=0),0,
IF(R556=0,Q582-1,
IF(Q582&lt;1,R557,
(((Q582-1)*(Q558-(Q558/(Q582))))+((R556/R$10)*R557))/(R558))))</f>
        <v>0</v>
      </c>
      <c r="S582" s="1423">
        <f t="shared" ref="S582" ca="1" si="829">IF(AND(R582&lt;1,S556=0),0,
IF(S556=0,R582-1,
IF(R582&lt;1,S557,
(((R582-1)*(R558-(R558/(R582))))+((S556/S$10)*S557))/(S558))))</f>
        <v>0</v>
      </c>
      <c r="T582" s="1423">
        <f t="shared" ref="T582" ca="1" si="830">IF(AND(S582&lt;1,T556=0),0,
IF(T556=0,S582-1,
IF(S582&lt;1,T557,
(((S582-1)*(S558-(S558/(S582))))+((T556/T$10)*T557))/(T558))))</f>
        <v>0</v>
      </c>
      <c r="U582" s="1423">
        <f t="shared" ref="U582" ca="1" si="831">IF(AND(T582&lt;1,U556=0),0,
IF(U556=0,T582-1,
IF(T582&lt;1,U557,
(((T582-1)*(T558-(T558/(T582))))+((U556/U$10)*U557))/(U558))))</f>
        <v>0</v>
      </c>
      <c r="V582" s="1423">
        <f t="shared" ref="V582" ca="1" si="832">IF(AND(U582&lt;1,V556=0),0,
IF(V556=0,U582-1,
IF(U582&lt;1,V557,
(((U582-1)*(U558-(U558/(U582))))+((V556/V$10)*V557))/(V558))))</f>
        <v>0</v>
      </c>
      <c r="W582" s="1423">
        <f t="shared" ref="W582" ca="1" si="833">IF(AND(V582&lt;1,W556=0),0,
IF(W556=0,V582-1,
IF(V582&lt;1,W557,
(((V582-1)*(V558-(V558/(V582))))+((W556/W$10)*W557))/(W558))))</f>
        <v>0</v>
      </c>
      <c r="X582" s="152"/>
      <c r="Y582" s="152"/>
      <c r="Z582" s="152"/>
      <c r="AA582" s="152"/>
      <c r="AB582" s="152"/>
    </row>
    <row r="583" spans="1:28" hidden="1" outlineLevel="1">
      <c r="A583" s="152"/>
      <c r="B583" s="190" t="s">
        <v>122</v>
      </c>
      <c r="C583" s="1423">
        <f ca="1">C555</f>
        <v>0</v>
      </c>
      <c r="D583" s="1423">
        <f t="shared" ref="D583" ca="1" si="834">IF(C583="n/a","n/a",MAX(0,C583-1))</f>
        <v>0</v>
      </c>
      <c r="E583" s="1423">
        <f t="shared" ref="E583:E584" ca="1" si="835">IF(D583="n/a","n/a",MAX(0,D583-1))</f>
        <v>0</v>
      </c>
      <c r="F583" s="1423">
        <f t="shared" ref="F583:F585" ca="1" si="836">IF(E583="n/a","n/a",MAX(0,E583-1))</f>
        <v>0</v>
      </c>
      <c r="G583" s="1423">
        <f t="shared" ref="G583:G586" ca="1" si="837">IF(F583="n/a","n/a",MAX(0,F583-1))</f>
        <v>0</v>
      </c>
      <c r="H583" s="1423">
        <f t="shared" ref="H583:H587" ca="1" si="838">IF(G583="n/a","n/a",MAX(0,G583-1))</f>
        <v>0</v>
      </c>
      <c r="I583" s="1423">
        <f t="shared" ref="I583:I588" ca="1" si="839">IF(H583="n/a","n/a",MAX(0,H583-1))</f>
        <v>0</v>
      </c>
      <c r="J583" s="1423">
        <f t="shared" ref="J583:J589" ca="1" si="840">IF(I583="n/a","n/a",MAX(0,I583-1))</f>
        <v>0</v>
      </c>
      <c r="K583" s="1423">
        <f t="shared" ref="K583:K590" ca="1" si="841">IF(J583="n/a","n/a",MAX(0,J583-1))</f>
        <v>0</v>
      </c>
      <c r="L583" s="1423">
        <f t="shared" ref="L583:L591" ca="1" si="842">IF(K583="n/a","n/a",MAX(0,K583-1))</f>
        <v>0</v>
      </c>
      <c r="M583" s="1423">
        <f t="shared" ref="M583:M592" ca="1" si="843">IF(L583="n/a","n/a",MAX(0,L583-1))</f>
        <v>0</v>
      </c>
      <c r="N583" s="1423">
        <f t="shared" ref="N583:N593" ca="1" si="844">IF(M583="n/a","n/a",MAX(0,M583-1))</f>
        <v>0</v>
      </c>
      <c r="O583" s="1423">
        <f t="shared" ref="O583:O594" ca="1" si="845">IF(N583="n/a","n/a",MAX(0,N583-1))</f>
        <v>0</v>
      </c>
      <c r="P583" s="1423">
        <f t="shared" ref="P583:P595" ca="1" si="846">IF(O583="n/a","n/a",MAX(0,O583-1))</f>
        <v>0</v>
      </c>
      <c r="Q583" s="1423">
        <f t="shared" ref="Q583:Q596" ca="1" si="847">IF(P583="n/a","n/a",MAX(0,P583-1))</f>
        <v>0</v>
      </c>
      <c r="R583" s="1423">
        <f t="shared" ref="R583:R597" ca="1" si="848">IF(Q583="n/a","n/a",MAX(0,Q583-1))</f>
        <v>0</v>
      </c>
      <c r="S583" s="1423">
        <f t="shared" ref="S583:S598" ca="1" si="849">IF(R583="n/a","n/a",MAX(0,R583-1))</f>
        <v>0</v>
      </c>
      <c r="T583" s="1423">
        <f t="shared" ref="T583:T599" ca="1" si="850">IF(S583="n/a","n/a",MAX(0,S583-1))</f>
        <v>0</v>
      </c>
      <c r="U583" s="1423">
        <f t="shared" ref="U583:U600" ca="1" si="851">IF(T583="n/a","n/a",MAX(0,T583-1))</f>
        <v>0</v>
      </c>
      <c r="V583" s="1423">
        <f t="shared" ref="V583:V601" ca="1" si="852">IF(U583="n/a","n/a",MAX(0,U583-1))</f>
        <v>0</v>
      </c>
      <c r="W583" s="1423">
        <f t="shared" ref="W583:W601" ca="1" si="853">IF(V583="n/a","n/a",MAX(0,V583-1))</f>
        <v>0</v>
      </c>
      <c r="X583" s="152"/>
      <c r="Y583" s="152"/>
      <c r="Z583" s="152"/>
      <c r="AA583" s="152"/>
      <c r="AB583" s="152"/>
    </row>
    <row r="584" spans="1:28" hidden="1" outlineLevel="1">
      <c r="A584" s="152"/>
      <c r="B584" s="190" t="str">
        <f t="shared" ref="B584:B603" ca="1" si="854">"RL Capex "&amp;OFFSET($C$6,0,A560)</f>
        <v>RL Capex 2016-17</v>
      </c>
      <c r="C584" s="1424"/>
      <c r="D584" s="1428">
        <f>D555</f>
        <v>0</v>
      </c>
      <c r="E584" s="1423">
        <f t="shared" si="835"/>
        <v>0</v>
      </c>
      <c r="F584" s="1423">
        <f t="shared" si="836"/>
        <v>0</v>
      </c>
      <c r="G584" s="1423">
        <f t="shared" si="837"/>
        <v>0</v>
      </c>
      <c r="H584" s="1423">
        <f t="shared" si="838"/>
        <v>0</v>
      </c>
      <c r="I584" s="1423">
        <f t="shared" si="839"/>
        <v>0</v>
      </c>
      <c r="J584" s="1423">
        <f t="shared" si="840"/>
        <v>0</v>
      </c>
      <c r="K584" s="1423">
        <f t="shared" si="841"/>
        <v>0</v>
      </c>
      <c r="L584" s="1423">
        <f t="shared" si="842"/>
        <v>0</v>
      </c>
      <c r="M584" s="1423">
        <f t="shared" si="843"/>
        <v>0</v>
      </c>
      <c r="N584" s="1423">
        <f t="shared" si="844"/>
        <v>0</v>
      </c>
      <c r="O584" s="1423">
        <f t="shared" si="845"/>
        <v>0</v>
      </c>
      <c r="P584" s="1423">
        <f t="shared" si="846"/>
        <v>0</v>
      </c>
      <c r="Q584" s="1423">
        <f t="shared" si="847"/>
        <v>0</v>
      </c>
      <c r="R584" s="1423">
        <f t="shared" si="848"/>
        <v>0</v>
      </c>
      <c r="S584" s="1423">
        <f t="shared" si="849"/>
        <v>0</v>
      </c>
      <c r="T584" s="1423">
        <f t="shared" si="850"/>
        <v>0</v>
      </c>
      <c r="U584" s="1423">
        <f t="shared" si="851"/>
        <v>0</v>
      </c>
      <c r="V584" s="1423">
        <f t="shared" si="852"/>
        <v>0</v>
      </c>
      <c r="W584" s="1423">
        <f t="shared" si="853"/>
        <v>0</v>
      </c>
      <c r="X584" s="152"/>
      <c r="Y584" s="152"/>
      <c r="Z584" s="152"/>
      <c r="AA584" s="152"/>
      <c r="AB584" s="152"/>
    </row>
    <row r="585" spans="1:28" hidden="1" outlineLevel="1">
      <c r="A585" s="152"/>
      <c r="B585" s="190" t="str">
        <f t="shared" ca="1" si="854"/>
        <v>RL Capex 2017-18</v>
      </c>
      <c r="C585" s="1429"/>
      <c r="D585" s="1424"/>
      <c r="E585" s="1428">
        <f>E555</f>
        <v>0</v>
      </c>
      <c r="F585" s="1423">
        <f t="shared" si="836"/>
        <v>0</v>
      </c>
      <c r="G585" s="1423">
        <f t="shared" si="837"/>
        <v>0</v>
      </c>
      <c r="H585" s="1423">
        <f t="shared" si="838"/>
        <v>0</v>
      </c>
      <c r="I585" s="1423">
        <f t="shared" si="839"/>
        <v>0</v>
      </c>
      <c r="J585" s="1423">
        <f t="shared" si="840"/>
        <v>0</v>
      </c>
      <c r="K585" s="1423">
        <f t="shared" si="841"/>
        <v>0</v>
      </c>
      <c r="L585" s="1423">
        <f t="shared" si="842"/>
        <v>0</v>
      </c>
      <c r="M585" s="1423">
        <f t="shared" si="843"/>
        <v>0</v>
      </c>
      <c r="N585" s="1423">
        <f t="shared" si="844"/>
        <v>0</v>
      </c>
      <c r="O585" s="1423">
        <f t="shared" si="845"/>
        <v>0</v>
      </c>
      <c r="P585" s="1423">
        <f t="shared" si="846"/>
        <v>0</v>
      </c>
      <c r="Q585" s="1423">
        <f t="shared" si="847"/>
        <v>0</v>
      </c>
      <c r="R585" s="1423">
        <f t="shared" si="848"/>
        <v>0</v>
      </c>
      <c r="S585" s="1423">
        <f t="shared" si="849"/>
        <v>0</v>
      </c>
      <c r="T585" s="1423">
        <f t="shared" si="850"/>
        <v>0</v>
      </c>
      <c r="U585" s="1423">
        <f t="shared" si="851"/>
        <v>0</v>
      </c>
      <c r="V585" s="1423">
        <f t="shared" si="852"/>
        <v>0</v>
      </c>
      <c r="W585" s="1423">
        <f t="shared" si="853"/>
        <v>0</v>
      </c>
      <c r="X585" s="152"/>
      <c r="Y585" s="152"/>
      <c r="Z585" s="152"/>
      <c r="AA585" s="152"/>
      <c r="AB585" s="152"/>
    </row>
    <row r="586" spans="1:28" hidden="1" outlineLevel="1">
      <c r="A586" s="152"/>
      <c r="B586" s="190" t="str">
        <f t="shared" ca="1" si="854"/>
        <v>RL Capex 2018-19</v>
      </c>
      <c r="C586" s="1429"/>
      <c r="D586" s="1429"/>
      <c r="E586" s="1424"/>
      <c r="F586" s="1428">
        <f>F555</f>
        <v>0</v>
      </c>
      <c r="G586" s="1423">
        <f t="shared" si="837"/>
        <v>0</v>
      </c>
      <c r="H586" s="1423">
        <f t="shared" si="838"/>
        <v>0</v>
      </c>
      <c r="I586" s="1423">
        <f t="shared" si="839"/>
        <v>0</v>
      </c>
      <c r="J586" s="1423">
        <f t="shared" si="840"/>
        <v>0</v>
      </c>
      <c r="K586" s="1423">
        <f t="shared" si="841"/>
        <v>0</v>
      </c>
      <c r="L586" s="1423">
        <f t="shared" si="842"/>
        <v>0</v>
      </c>
      <c r="M586" s="1423">
        <f t="shared" si="843"/>
        <v>0</v>
      </c>
      <c r="N586" s="1423">
        <f t="shared" si="844"/>
        <v>0</v>
      </c>
      <c r="O586" s="1423">
        <f t="shared" si="845"/>
        <v>0</v>
      </c>
      <c r="P586" s="1423">
        <f t="shared" si="846"/>
        <v>0</v>
      </c>
      <c r="Q586" s="1423">
        <f t="shared" si="847"/>
        <v>0</v>
      </c>
      <c r="R586" s="1423">
        <f t="shared" si="848"/>
        <v>0</v>
      </c>
      <c r="S586" s="1423">
        <f t="shared" si="849"/>
        <v>0</v>
      </c>
      <c r="T586" s="1423">
        <f t="shared" si="850"/>
        <v>0</v>
      </c>
      <c r="U586" s="1423">
        <f t="shared" si="851"/>
        <v>0</v>
      </c>
      <c r="V586" s="1423">
        <f t="shared" si="852"/>
        <v>0</v>
      </c>
      <c r="W586" s="1423">
        <f t="shared" si="853"/>
        <v>0</v>
      </c>
      <c r="X586" s="152"/>
      <c r="Y586" s="152"/>
      <c r="Z586" s="152"/>
      <c r="AA586" s="152"/>
      <c r="AB586" s="152"/>
    </row>
    <row r="587" spans="1:28" hidden="1" outlineLevel="1">
      <c r="A587" s="152"/>
      <c r="B587" s="190" t="str">
        <f t="shared" ca="1" si="854"/>
        <v>RL Capex 2019-20</v>
      </c>
      <c r="C587" s="1429"/>
      <c r="D587" s="1429"/>
      <c r="E587" s="1429"/>
      <c r="F587" s="1424"/>
      <c r="G587" s="1428">
        <f>G555</f>
        <v>0</v>
      </c>
      <c r="H587" s="1423">
        <f t="shared" si="838"/>
        <v>0</v>
      </c>
      <c r="I587" s="1423">
        <f t="shared" si="839"/>
        <v>0</v>
      </c>
      <c r="J587" s="1423">
        <f t="shared" si="840"/>
        <v>0</v>
      </c>
      <c r="K587" s="1423">
        <f t="shared" si="841"/>
        <v>0</v>
      </c>
      <c r="L587" s="1423">
        <f t="shared" si="842"/>
        <v>0</v>
      </c>
      <c r="M587" s="1423">
        <f t="shared" si="843"/>
        <v>0</v>
      </c>
      <c r="N587" s="1423">
        <f t="shared" si="844"/>
        <v>0</v>
      </c>
      <c r="O587" s="1423">
        <f t="shared" si="845"/>
        <v>0</v>
      </c>
      <c r="P587" s="1423">
        <f t="shared" si="846"/>
        <v>0</v>
      </c>
      <c r="Q587" s="1423">
        <f t="shared" si="847"/>
        <v>0</v>
      </c>
      <c r="R587" s="1423">
        <f t="shared" si="848"/>
        <v>0</v>
      </c>
      <c r="S587" s="1423">
        <f t="shared" si="849"/>
        <v>0</v>
      </c>
      <c r="T587" s="1423">
        <f t="shared" si="850"/>
        <v>0</v>
      </c>
      <c r="U587" s="1423">
        <f t="shared" si="851"/>
        <v>0</v>
      </c>
      <c r="V587" s="1423">
        <f t="shared" si="852"/>
        <v>0</v>
      </c>
      <c r="W587" s="1423">
        <f t="shared" si="853"/>
        <v>0</v>
      </c>
      <c r="X587" s="152"/>
      <c r="Y587" s="152"/>
      <c r="Z587" s="152"/>
      <c r="AA587" s="152"/>
      <c r="AB587" s="152"/>
    </row>
    <row r="588" spans="1:28" hidden="1" outlineLevel="1">
      <c r="A588" s="152"/>
      <c r="B588" s="190" t="str">
        <f t="shared" ca="1" si="854"/>
        <v>RL Capex 2020-21</v>
      </c>
      <c r="C588" s="1429"/>
      <c r="D588" s="1429"/>
      <c r="E588" s="1429"/>
      <c r="F588" s="1429"/>
      <c r="G588" s="1424"/>
      <c r="H588" s="1428">
        <f>H555</f>
        <v>0</v>
      </c>
      <c r="I588" s="1423">
        <f t="shared" si="839"/>
        <v>0</v>
      </c>
      <c r="J588" s="1423">
        <f t="shared" si="840"/>
        <v>0</v>
      </c>
      <c r="K588" s="1423">
        <f t="shared" si="841"/>
        <v>0</v>
      </c>
      <c r="L588" s="1423">
        <f t="shared" si="842"/>
        <v>0</v>
      </c>
      <c r="M588" s="1423">
        <f t="shared" si="843"/>
        <v>0</v>
      </c>
      <c r="N588" s="1423">
        <f t="shared" si="844"/>
        <v>0</v>
      </c>
      <c r="O588" s="1423">
        <f t="shared" si="845"/>
        <v>0</v>
      </c>
      <c r="P588" s="1423">
        <f t="shared" si="846"/>
        <v>0</v>
      </c>
      <c r="Q588" s="1423">
        <f t="shared" si="847"/>
        <v>0</v>
      </c>
      <c r="R588" s="1423">
        <f t="shared" si="848"/>
        <v>0</v>
      </c>
      <c r="S588" s="1423">
        <f t="shared" si="849"/>
        <v>0</v>
      </c>
      <c r="T588" s="1423">
        <f t="shared" si="850"/>
        <v>0</v>
      </c>
      <c r="U588" s="1423">
        <f t="shared" si="851"/>
        <v>0</v>
      </c>
      <c r="V588" s="1423">
        <f t="shared" si="852"/>
        <v>0</v>
      </c>
      <c r="W588" s="1423">
        <f t="shared" si="853"/>
        <v>0</v>
      </c>
      <c r="X588" s="152"/>
      <c r="Y588" s="152"/>
      <c r="Z588" s="152"/>
      <c r="AA588" s="152"/>
      <c r="AB588" s="152"/>
    </row>
    <row r="589" spans="1:28" hidden="1" outlineLevel="1">
      <c r="A589" s="152"/>
      <c r="B589" s="190" t="str">
        <f t="shared" ca="1" si="854"/>
        <v>RL Capex 2021-22</v>
      </c>
      <c r="C589" s="1429"/>
      <c r="D589" s="1429"/>
      <c r="E589" s="1429"/>
      <c r="F589" s="1429"/>
      <c r="G589" s="1429"/>
      <c r="H589" s="1424"/>
      <c r="I589" s="1428">
        <f>I555</f>
        <v>0</v>
      </c>
      <c r="J589" s="1423">
        <f t="shared" si="840"/>
        <v>0</v>
      </c>
      <c r="K589" s="1423">
        <f t="shared" si="841"/>
        <v>0</v>
      </c>
      <c r="L589" s="1423">
        <f t="shared" si="842"/>
        <v>0</v>
      </c>
      <c r="M589" s="1423">
        <f t="shared" si="843"/>
        <v>0</v>
      </c>
      <c r="N589" s="1423">
        <f t="shared" si="844"/>
        <v>0</v>
      </c>
      <c r="O589" s="1423">
        <f t="shared" si="845"/>
        <v>0</v>
      </c>
      <c r="P589" s="1423">
        <f t="shared" si="846"/>
        <v>0</v>
      </c>
      <c r="Q589" s="1423">
        <f t="shared" si="847"/>
        <v>0</v>
      </c>
      <c r="R589" s="1423">
        <f t="shared" si="848"/>
        <v>0</v>
      </c>
      <c r="S589" s="1423">
        <f t="shared" si="849"/>
        <v>0</v>
      </c>
      <c r="T589" s="1423">
        <f t="shared" si="850"/>
        <v>0</v>
      </c>
      <c r="U589" s="1423">
        <f t="shared" si="851"/>
        <v>0</v>
      </c>
      <c r="V589" s="1423">
        <f t="shared" si="852"/>
        <v>0</v>
      </c>
      <c r="W589" s="1423">
        <f t="shared" si="853"/>
        <v>0</v>
      </c>
      <c r="X589" s="152"/>
      <c r="Y589" s="152"/>
      <c r="Z589" s="152"/>
      <c r="AA589" s="152"/>
      <c r="AB589" s="152"/>
    </row>
    <row r="590" spans="1:28" hidden="1" outlineLevel="1">
      <c r="A590" s="152"/>
      <c r="B590" s="190" t="str">
        <f t="shared" ca="1" si="854"/>
        <v>RL Capex 2022-23</v>
      </c>
      <c r="C590" s="1429"/>
      <c r="D590" s="1429"/>
      <c r="E590" s="1429"/>
      <c r="F590" s="1429"/>
      <c r="G590" s="1429"/>
      <c r="H590" s="1429"/>
      <c r="I590" s="1424"/>
      <c r="J590" s="1428">
        <f>J555</f>
        <v>0</v>
      </c>
      <c r="K590" s="1423">
        <f t="shared" si="841"/>
        <v>0</v>
      </c>
      <c r="L590" s="1423">
        <f t="shared" si="842"/>
        <v>0</v>
      </c>
      <c r="M590" s="1423">
        <f t="shared" si="843"/>
        <v>0</v>
      </c>
      <c r="N590" s="1423">
        <f t="shared" si="844"/>
        <v>0</v>
      </c>
      <c r="O590" s="1423">
        <f t="shared" si="845"/>
        <v>0</v>
      </c>
      <c r="P590" s="1423">
        <f t="shared" si="846"/>
        <v>0</v>
      </c>
      <c r="Q590" s="1423">
        <f t="shared" si="847"/>
        <v>0</v>
      </c>
      <c r="R590" s="1423">
        <f t="shared" si="848"/>
        <v>0</v>
      </c>
      <c r="S590" s="1423">
        <f t="shared" si="849"/>
        <v>0</v>
      </c>
      <c r="T590" s="1423">
        <f t="shared" si="850"/>
        <v>0</v>
      </c>
      <c r="U590" s="1423">
        <f t="shared" si="851"/>
        <v>0</v>
      </c>
      <c r="V590" s="1423">
        <f t="shared" si="852"/>
        <v>0</v>
      </c>
      <c r="W590" s="1423">
        <f t="shared" si="853"/>
        <v>0</v>
      </c>
      <c r="X590" s="152"/>
      <c r="Y590" s="152"/>
      <c r="Z590" s="152"/>
      <c r="AA590" s="152"/>
      <c r="AB590" s="152"/>
    </row>
    <row r="591" spans="1:28" hidden="1" outlineLevel="1">
      <c r="A591" s="152"/>
      <c r="B591" s="190" t="str">
        <f t="shared" ca="1" si="854"/>
        <v>RL Capex 2023-24</v>
      </c>
      <c r="C591" s="1429"/>
      <c r="D591" s="1429"/>
      <c r="E591" s="1429"/>
      <c r="F591" s="1429"/>
      <c r="G591" s="1429"/>
      <c r="H591" s="1429"/>
      <c r="I591" s="1429"/>
      <c r="J591" s="1424"/>
      <c r="K591" s="1428">
        <f>K555</f>
        <v>0</v>
      </c>
      <c r="L591" s="1423">
        <f t="shared" si="842"/>
        <v>0</v>
      </c>
      <c r="M591" s="1423">
        <f t="shared" si="843"/>
        <v>0</v>
      </c>
      <c r="N591" s="1423">
        <f t="shared" si="844"/>
        <v>0</v>
      </c>
      <c r="O591" s="1423">
        <f t="shared" si="845"/>
        <v>0</v>
      </c>
      <c r="P591" s="1423">
        <f t="shared" si="846"/>
        <v>0</v>
      </c>
      <c r="Q591" s="1423">
        <f t="shared" si="847"/>
        <v>0</v>
      </c>
      <c r="R591" s="1423">
        <f t="shared" si="848"/>
        <v>0</v>
      </c>
      <c r="S591" s="1423">
        <f t="shared" si="849"/>
        <v>0</v>
      </c>
      <c r="T591" s="1423">
        <f t="shared" si="850"/>
        <v>0</v>
      </c>
      <c r="U591" s="1423">
        <f t="shared" si="851"/>
        <v>0</v>
      </c>
      <c r="V591" s="1423">
        <f t="shared" si="852"/>
        <v>0</v>
      </c>
      <c r="W591" s="1423">
        <f t="shared" si="853"/>
        <v>0</v>
      </c>
      <c r="X591" s="152"/>
      <c r="Y591" s="152"/>
      <c r="Z591" s="152"/>
      <c r="AA591" s="152"/>
      <c r="AB591" s="152"/>
    </row>
    <row r="592" spans="1:28" hidden="1" outlineLevel="1">
      <c r="A592" s="152"/>
      <c r="B592" s="190" t="str">
        <f t="shared" ca="1" si="854"/>
        <v>RL Capex 2024-25</v>
      </c>
      <c r="C592" s="1429"/>
      <c r="D592" s="1429"/>
      <c r="E592" s="1429"/>
      <c r="F592" s="1429"/>
      <c r="G592" s="1429"/>
      <c r="H592" s="1429"/>
      <c r="I592" s="1429"/>
      <c r="J592" s="1429"/>
      <c r="K592" s="1424"/>
      <c r="L592" s="1428">
        <f>L555</f>
        <v>0</v>
      </c>
      <c r="M592" s="1423">
        <f t="shared" si="843"/>
        <v>0</v>
      </c>
      <c r="N592" s="1423">
        <f t="shared" si="844"/>
        <v>0</v>
      </c>
      <c r="O592" s="1423">
        <f t="shared" si="845"/>
        <v>0</v>
      </c>
      <c r="P592" s="1423">
        <f t="shared" si="846"/>
        <v>0</v>
      </c>
      <c r="Q592" s="1423">
        <f t="shared" si="847"/>
        <v>0</v>
      </c>
      <c r="R592" s="1423">
        <f t="shared" si="848"/>
        <v>0</v>
      </c>
      <c r="S592" s="1423">
        <f t="shared" si="849"/>
        <v>0</v>
      </c>
      <c r="T592" s="1423">
        <f t="shared" si="850"/>
        <v>0</v>
      </c>
      <c r="U592" s="1423">
        <f t="shared" si="851"/>
        <v>0</v>
      </c>
      <c r="V592" s="1423">
        <f t="shared" si="852"/>
        <v>0</v>
      </c>
      <c r="W592" s="1423">
        <f t="shared" si="853"/>
        <v>0</v>
      </c>
      <c r="X592" s="152"/>
      <c r="Y592" s="152"/>
      <c r="Z592" s="152"/>
      <c r="AA592" s="152"/>
      <c r="AB592" s="152"/>
    </row>
    <row r="593" spans="1:28" hidden="1" outlineLevel="1">
      <c r="A593" s="152"/>
      <c r="B593" s="190" t="str">
        <f t="shared" ca="1" si="854"/>
        <v>RL Capex 2025-26</v>
      </c>
      <c r="C593" s="1429"/>
      <c r="D593" s="1429"/>
      <c r="E593" s="1429"/>
      <c r="F593" s="1429"/>
      <c r="G593" s="1429"/>
      <c r="H593" s="1429"/>
      <c r="I593" s="1429"/>
      <c r="J593" s="1429"/>
      <c r="K593" s="1429"/>
      <c r="L593" s="1424"/>
      <c r="M593" s="1428">
        <f>M555</f>
        <v>0</v>
      </c>
      <c r="N593" s="1423">
        <f t="shared" si="844"/>
        <v>0</v>
      </c>
      <c r="O593" s="1423">
        <f t="shared" si="845"/>
        <v>0</v>
      </c>
      <c r="P593" s="1423">
        <f t="shared" si="846"/>
        <v>0</v>
      </c>
      <c r="Q593" s="1423">
        <f t="shared" si="847"/>
        <v>0</v>
      </c>
      <c r="R593" s="1423">
        <f t="shared" si="848"/>
        <v>0</v>
      </c>
      <c r="S593" s="1423">
        <f t="shared" si="849"/>
        <v>0</v>
      </c>
      <c r="T593" s="1423">
        <f t="shared" si="850"/>
        <v>0</v>
      </c>
      <c r="U593" s="1423">
        <f t="shared" si="851"/>
        <v>0</v>
      </c>
      <c r="V593" s="1423">
        <f t="shared" si="852"/>
        <v>0</v>
      </c>
      <c r="W593" s="1423">
        <f t="shared" si="853"/>
        <v>0</v>
      </c>
      <c r="X593" s="152"/>
      <c r="Y593" s="152"/>
      <c r="Z593" s="152"/>
      <c r="AA593" s="152"/>
      <c r="AB593" s="152"/>
    </row>
    <row r="594" spans="1:28" hidden="1" outlineLevel="1">
      <c r="A594" s="152"/>
      <c r="B594" s="190" t="str">
        <f t="shared" ca="1" si="854"/>
        <v>RL Capex 2026-27</v>
      </c>
      <c r="C594" s="1429"/>
      <c r="D594" s="1429"/>
      <c r="E594" s="1429"/>
      <c r="F594" s="1429"/>
      <c r="G594" s="1429"/>
      <c r="H594" s="1429"/>
      <c r="I594" s="1429"/>
      <c r="J594" s="1429"/>
      <c r="K594" s="1429"/>
      <c r="L594" s="1429"/>
      <c r="M594" s="1424"/>
      <c r="N594" s="1428">
        <f>N555</f>
        <v>0</v>
      </c>
      <c r="O594" s="1423">
        <f t="shared" si="845"/>
        <v>0</v>
      </c>
      <c r="P594" s="1423">
        <f t="shared" si="846"/>
        <v>0</v>
      </c>
      <c r="Q594" s="1423">
        <f t="shared" si="847"/>
        <v>0</v>
      </c>
      <c r="R594" s="1423">
        <f t="shared" si="848"/>
        <v>0</v>
      </c>
      <c r="S594" s="1423">
        <f t="shared" si="849"/>
        <v>0</v>
      </c>
      <c r="T594" s="1423">
        <f t="shared" si="850"/>
        <v>0</v>
      </c>
      <c r="U594" s="1423">
        <f t="shared" si="851"/>
        <v>0</v>
      </c>
      <c r="V594" s="1423">
        <f t="shared" si="852"/>
        <v>0</v>
      </c>
      <c r="W594" s="1423">
        <f t="shared" si="853"/>
        <v>0</v>
      </c>
      <c r="X594" s="152"/>
      <c r="Y594" s="152"/>
      <c r="Z594" s="152"/>
      <c r="AA594" s="152"/>
      <c r="AB594" s="152"/>
    </row>
    <row r="595" spans="1:28" hidden="1" outlineLevel="1">
      <c r="A595" s="152"/>
      <c r="B595" s="190" t="str">
        <f t="shared" ca="1" si="854"/>
        <v>RL Capex 2027-28</v>
      </c>
      <c r="C595" s="1429"/>
      <c r="D595" s="1429"/>
      <c r="E595" s="1429"/>
      <c r="F595" s="1429"/>
      <c r="G595" s="1429"/>
      <c r="H595" s="1429"/>
      <c r="I595" s="1429"/>
      <c r="J595" s="1429"/>
      <c r="K595" s="1429"/>
      <c r="L595" s="1429"/>
      <c r="M595" s="1429"/>
      <c r="N595" s="1424"/>
      <c r="O595" s="1428">
        <f>O555</f>
        <v>0</v>
      </c>
      <c r="P595" s="1423">
        <f t="shared" si="846"/>
        <v>0</v>
      </c>
      <c r="Q595" s="1423">
        <f t="shared" si="847"/>
        <v>0</v>
      </c>
      <c r="R595" s="1423">
        <f t="shared" si="848"/>
        <v>0</v>
      </c>
      <c r="S595" s="1423">
        <f t="shared" si="849"/>
        <v>0</v>
      </c>
      <c r="T595" s="1423">
        <f t="shared" si="850"/>
        <v>0</v>
      </c>
      <c r="U595" s="1423">
        <f t="shared" si="851"/>
        <v>0</v>
      </c>
      <c r="V595" s="1423">
        <f t="shared" si="852"/>
        <v>0</v>
      </c>
      <c r="W595" s="1423">
        <f t="shared" si="853"/>
        <v>0</v>
      </c>
      <c r="X595" s="152"/>
      <c r="Y595" s="152"/>
      <c r="Z595" s="152"/>
      <c r="AA595" s="152"/>
      <c r="AB595" s="152"/>
    </row>
    <row r="596" spans="1:28" hidden="1" outlineLevel="1">
      <c r="A596" s="152"/>
      <c r="B596" s="190" t="str">
        <f t="shared" ca="1" si="854"/>
        <v>RL Capex 2028-29</v>
      </c>
      <c r="C596" s="1429"/>
      <c r="D596" s="1429"/>
      <c r="E596" s="1429"/>
      <c r="F596" s="1429"/>
      <c r="G596" s="1429"/>
      <c r="H596" s="1429"/>
      <c r="I596" s="1429"/>
      <c r="J596" s="1429"/>
      <c r="K596" s="1429"/>
      <c r="L596" s="1429"/>
      <c r="M596" s="1429"/>
      <c r="N596" s="1429"/>
      <c r="O596" s="1424"/>
      <c r="P596" s="1428">
        <f>P555</f>
        <v>0</v>
      </c>
      <c r="Q596" s="1423">
        <f t="shared" si="847"/>
        <v>0</v>
      </c>
      <c r="R596" s="1423">
        <f t="shared" si="848"/>
        <v>0</v>
      </c>
      <c r="S596" s="1423">
        <f t="shared" si="849"/>
        <v>0</v>
      </c>
      <c r="T596" s="1423">
        <f t="shared" si="850"/>
        <v>0</v>
      </c>
      <c r="U596" s="1423">
        <f t="shared" si="851"/>
        <v>0</v>
      </c>
      <c r="V596" s="1423">
        <f t="shared" si="852"/>
        <v>0</v>
      </c>
      <c r="W596" s="1423">
        <f t="shared" si="853"/>
        <v>0</v>
      </c>
      <c r="X596" s="152"/>
      <c r="Y596" s="152"/>
      <c r="Z596" s="152"/>
      <c r="AA596" s="152"/>
      <c r="AB596" s="152"/>
    </row>
    <row r="597" spans="1:28" hidden="1" outlineLevel="1">
      <c r="A597" s="152"/>
      <c r="B597" s="190" t="str">
        <f t="shared" ca="1" si="854"/>
        <v>RL Capex 2029-30</v>
      </c>
      <c r="C597" s="1429"/>
      <c r="D597" s="1429"/>
      <c r="E597" s="1429"/>
      <c r="F597" s="1429"/>
      <c r="G597" s="1429"/>
      <c r="H597" s="1429"/>
      <c r="I597" s="1429"/>
      <c r="J597" s="1429"/>
      <c r="K597" s="1429"/>
      <c r="L597" s="1429"/>
      <c r="M597" s="1429"/>
      <c r="N597" s="1429"/>
      <c r="O597" s="1429"/>
      <c r="P597" s="1424"/>
      <c r="Q597" s="1428">
        <f>Q555</f>
        <v>0</v>
      </c>
      <c r="R597" s="1423">
        <f t="shared" si="848"/>
        <v>0</v>
      </c>
      <c r="S597" s="1423">
        <f t="shared" si="849"/>
        <v>0</v>
      </c>
      <c r="T597" s="1423">
        <f t="shared" si="850"/>
        <v>0</v>
      </c>
      <c r="U597" s="1423">
        <f t="shared" si="851"/>
        <v>0</v>
      </c>
      <c r="V597" s="1423">
        <f t="shared" si="852"/>
        <v>0</v>
      </c>
      <c r="W597" s="1423">
        <f t="shared" si="853"/>
        <v>0</v>
      </c>
      <c r="X597" s="152"/>
      <c r="Y597" s="152"/>
      <c r="Z597" s="152"/>
      <c r="AA597" s="152"/>
      <c r="AB597" s="152"/>
    </row>
    <row r="598" spans="1:28" hidden="1" outlineLevel="1">
      <c r="A598" s="152"/>
      <c r="B598" s="190" t="str">
        <f t="shared" ca="1" si="854"/>
        <v>RL Capex 2030-31</v>
      </c>
      <c r="C598" s="1429"/>
      <c r="D598" s="1429"/>
      <c r="E598" s="1429"/>
      <c r="F598" s="1429"/>
      <c r="G598" s="1429"/>
      <c r="H598" s="1429"/>
      <c r="I598" s="1429"/>
      <c r="J598" s="1429"/>
      <c r="K598" s="1429"/>
      <c r="L598" s="1429"/>
      <c r="M598" s="1429"/>
      <c r="N598" s="1429"/>
      <c r="O598" s="1429"/>
      <c r="P598" s="1429"/>
      <c r="Q598" s="1424"/>
      <c r="R598" s="1428">
        <f>R555</f>
        <v>0</v>
      </c>
      <c r="S598" s="1423">
        <f t="shared" si="849"/>
        <v>0</v>
      </c>
      <c r="T598" s="1423">
        <f t="shared" si="850"/>
        <v>0</v>
      </c>
      <c r="U598" s="1423">
        <f t="shared" si="851"/>
        <v>0</v>
      </c>
      <c r="V598" s="1423">
        <f t="shared" si="852"/>
        <v>0</v>
      </c>
      <c r="W598" s="1423">
        <f t="shared" si="853"/>
        <v>0</v>
      </c>
      <c r="X598" s="152"/>
      <c r="Y598" s="152"/>
      <c r="Z598" s="152"/>
      <c r="AA598" s="152"/>
      <c r="AB598" s="152"/>
    </row>
    <row r="599" spans="1:28" hidden="1" outlineLevel="1">
      <c r="A599" s="152"/>
      <c r="B599" s="190" t="str">
        <f t="shared" ca="1" si="854"/>
        <v>RL Capex 2031-32</v>
      </c>
      <c r="C599" s="1429"/>
      <c r="D599" s="1429"/>
      <c r="E599" s="1429"/>
      <c r="F599" s="1429"/>
      <c r="G599" s="1429"/>
      <c r="H599" s="1429"/>
      <c r="I599" s="1429"/>
      <c r="J599" s="1429"/>
      <c r="K599" s="1429"/>
      <c r="L599" s="1429"/>
      <c r="M599" s="1429"/>
      <c r="N599" s="1429"/>
      <c r="O599" s="1429"/>
      <c r="P599" s="1429"/>
      <c r="Q599" s="1429"/>
      <c r="R599" s="1424"/>
      <c r="S599" s="1428">
        <f>S555</f>
        <v>0</v>
      </c>
      <c r="T599" s="1423">
        <f t="shared" si="850"/>
        <v>0</v>
      </c>
      <c r="U599" s="1423">
        <f t="shared" si="851"/>
        <v>0</v>
      </c>
      <c r="V599" s="1423">
        <f t="shared" si="852"/>
        <v>0</v>
      </c>
      <c r="W599" s="1423">
        <f t="shared" si="853"/>
        <v>0</v>
      </c>
      <c r="X599" s="152"/>
      <c r="Y599" s="152"/>
      <c r="Z599" s="152"/>
      <c r="AA599" s="152"/>
      <c r="AB599" s="152"/>
    </row>
    <row r="600" spans="1:28" hidden="1" outlineLevel="1">
      <c r="A600" s="152"/>
      <c r="B600" s="190" t="str">
        <f t="shared" ca="1" si="854"/>
        <v>RL Capex 2032-33</v>
      </c>
      <c r="C600" s="1429"/>
      <c r="D600" s="1429"/>
      <c r="E600" s="1429"/>
      <c r="F600" s="1429"/>
      <c r="G600" s="1429"/>
      <c r="H600" s="1429"/>
      <c r="I600" s="1429"/>
      <c r="J600" s="1429"/>
      <c r="K600" s="1429"/>
      <c r="L600" s="1429"/>
      <c r="M600" s="1429"/>
      <c r="N600" s="1429"/>
      <c r="O600" s="1429"/>
      <c r="P600" s="1429"/>
      <c r="Q600" s="1429"/>
      <c r="R600" s="1429"/>
      <c r="S600" s="1424"/>
      <c r="T600" s="1428">
        <f>T555</f>
        <v>0</v>
      </c>
      <c r="U600" s="1423">
        <f t="shared" si="851"/>
        <v>0</v>
      </c>
      <c r="V600" s="1423">
        <f t="shared" si="852"/>
        <v>0</v>
      </c>
      <c r="W600" s="1423">
        <f t="shared" si="853"/>
        <v>0</v>
      </c>
      <c r="X600" s="152"/>
      <c r="Y600" s="152"/>
      <c r="Z600" s="152"/>
      <c r="AA600" s="152"/>
      <c r="AB600" s="152"/>
    </row>
    <row r="601" spans="1:28" hidden="1" outlineLevel="1">
      <c r="A601" s="152"/>
      <c r="B601" s="190" t="str">
        <f t="shared" ca="1" si="854"/>
        <v>RL Capex 2033-34</v>
      </c>
      <c r="C601" s="1429"/>
      <c r="D601" s="1429"/>
      <c r="E601" s="1429"/>
      <c r="F601" s="1429"/>
      <c r="G601" s="1429"/>
      <c r="H601" s="1429"/>
      <c r="I601" s="1429"/>
      <c r="J601" s="1429"/>
      <c r="K601" s="1429"/>
      <c r="L601" s="1429"/>
      <c r="M601" s="1429"/>
      <c r="N601" s="1429"/>
      <c r="O601" s="1429"/>
      <c r="P601" s="1429"/>
      <c r="Q601" s="1429"/>
      <c r="R601" s="1429"/>
      <c r="S601" s="1429"/>
      <c r="T601" s="1424"/>
      <c r="U601" s="1428">
        <f>U555</f>
        <v>0</v>
      </c>
      <c r="V601" s="1423">
        <f t="shared" si="852"/>
        <v>0</v>
      </c>
      <c r="W601" s="1423">
        <f t="shared" si="853"/>
        <v>0</v>
      </c>
      <c r="X601" s="152"/>
      <c r="Y601" s="152"/>
      <c r="Z601" s="152"/>
      <c r="AA601" s="152"/>
      <c r="AB601" s="152"/>
    </row>
    <row r="602" spans="1:28" hidden="1" outlineLevel="1">
      <c r="A602" s="152"/>
      <c r="B602" s="190" t="str">
        <f t="shared" ca="1" si="854"/>
        <v>RL Capex 2034-35</v>
      </c>
      <c r="C602" s="1429"/>
      <c r="D602" s="1429"/>
      <c r="E602" s="1429"/>
      <c r="F602" s="1429"/>
      <c r="G602" s="1429"/>
      <c r="H602" s="1429"/>
      <c r="I602" s="1429"/>
      <c r="J602" s="1429"/>
      <c r="K602" s="1429"/>
      <c r="L602" s="1429"/>
      <c r="M602" s="1429"/>
      <c r="N602" s="1429"/>
      <c r="O602" s="1429"/>
      <c r="P602" s="1429"/>
      <c r="Q602" s="1429"/>
      <c r="R602" s="1429"/>
      <c r="S602" s="1429"/>
      <c r="T602" s="1429"/>
      <c r="U602" s="1424"/>
      <c r="V602" s="1428">
        <f>V555</f>
        <v>0</v>
      </c>
      <c r="W602" s="1423">
        <f>IF(V602="n/a","n/a",MAX(0,V602-1))</f>
        <v>0</v>
      </c>
      <c r="X602" s="152"/>
      <c r="Y602" s="152"/>
      <c r="Z602" s="152"/>
      <c r="AA602" s="152"/>
      <c r="AB602" s="152"/>
    </row>
    <row r="603" spans="1:28" hidden="1" outlineLevel="1">
      <c r="A603" s="152"/>
      <c r="B603" s="190" t="str">
        <f t="shared" ca="1" si="854"/>
        <v>RL Capex 2035-36</v>
      </c>
      <c r="C603" s="1429"/>
      <c r="D603" s="1429"/>
      <c r="E603" s="1429"/>
      <c r="F603" s="1429"/>
      <c r="G603" s="1429"/>
      <c r="H603" s="1429"/>
      <c r="I603" s="1429"/>
      <c r="J603" s="1429"/>
      <c r="K603" s="1429"/>
      <c r="L603" s="1429"/>
      <c r="M603" s="1429"/>
      <c r="N603" s="1429"/>
      <c r="O603" s="1429"/>
      <c r="P603" s="1429"/>
      <c r="Q603" s="1429"/>
      <c r="R603" s="1429"/>
      <c r="S603" s="1429"/>
      <c r="T603" s="1429"/>
      <c r="U603" s="1429"/>
      <c r="V603" s="1424"/>
      <c r="W603" s="1423">
        <f>W555</f>
        <v>0</v>
      </c>
      <c r="X603" s="152"/>
      <c r="Y603" s="152"/>
      <c r="Z603" s="152"/>
      <c r="AA603" s="152"/>
      <c r="AB603" s="152"/>
    </row>
    <row r="604" spans="1:28" hidden="1" outlineLevel="1">
      <c r="A604" s="152"/>
      <c r="B604" s="200"/>
      <c r="C604" s="1423"/>
      <c r="D604" s="1423"/>
      <c r="E604" s="1423"/>
      <c r="F604" s="1423"/>
      <c r="G604" s="1423"/>
      <c r="H604" s="1423"/>
      <c r="I604" s="1423"/>
      <c r="J604" s="1423"/>
      <c r="K604" s="1423"/>
      <c r="L604" s="1423"/>
      <c r="M604" s="1423"/>
      <c r="N604" s="1423"/>
      <c r="O604" s="1423"/>
      <c r="P604" s="1423"/>
      <c r="Q604" s="1423"/>
      <c r="R604" s="1423"/>
      <c r="S604" s="1423"/>
      <c r="T604" s="1423"/>
      <c r="U604" s="1423"/>
      <c r="V604" s="1423"/>
      <c r="W604" s="1423"/>
      <c r="X604" s="152"/>
      <c r="Y604" s="152"/>
      <c r="Z604" s="152"/>
      <c r="AA604" s="152"/>
      <c r="AB604" s="152"/>
    </row>
    <row r="605" spans="1:28" collapsed="1">
      <c r="A605" s="194"/>
      <c r="B605" s="204" t="s">
        <v>123</v>
      </c>
      <c r="C605" s="1430">
        <f ca="1">(IF(OR($C555&lt;&gt;"n/a",C555&lt;&gt;"n/a"),IF(SUM(C558:C580)=0,0,IF((SUMPRODUCT(C558:C580,C582:C604)/SUM(C558:C580))&lt;0,1,(SUMPRODUCT(C558:C580,C582:C604)/SUM(C558:C580)))),"n/a"))</f>
        <v>0</v>
      </c>
      <c r="D605" s="1430">
        <f ca="1">(IF(OR($C555&lt;&gt;"n/a",D555&lt;&gt;"n/a"),IF(SUM(D558:D580)=0,0,IF((SUMPRODUCT(D558:D580,D582:D604)/SUM(D558:D580))&lt;0,1,(SUMPRODUCT(D558:D580,D582:D604)/SUM(D558:D580)))),"n/a"))</f>
        <v>0</v>
      </c>
      <c r="E605" s="1430">
        <f t="shared" ref="E605:W605" ca="1" si="855">(IF(OR($C555&lt;&gt;"n/a",E555&lt;&gt;"n/a"),IF(SUM(E558:E580)=0,0,IF((SUMPRODUCT(E558:E580,E582:E604)/SUM(E558:E580))&lt;0,1,(SUMPRODUCT(E558:E580,E582:E604)/SUM(E558:E580)))),"n/a"))</f>
        <v>0</v>
      </c>
      <c r="F605" s="1430">
        <f t="shared" ca="1" si="855"/>
        <v>0</v>
      </c>
      <c r="G605" s="1430">
        <f t="shared" ca="1" si="855"/>
        <v>0</v>
      </c>
      <c r="H605" s="1430">
        <f t="shared" ca="1" si="855"/>
        <v>0</v>
      </c>
      <c r="I605" s="1430">
        <f t="shared" ca="1" si="855"/>
        <v>0</v>
      </c>
      <c r="J605" s="1430">
        <f t="shared" ca="1" si="855"/>
        <v>0</v>
      </c>
      <c r="K605" s="1430">
        <f t="shared" ca="1" si="855"/>
        <v>0</v>
      </c>
      <c r="L605" s="1430">
        <f t="shared" ca="1" si="855"/>
        <v>0</v>
      </c>
      <c r="M605" s="1430">
        <f t="shared" ca="1" si="855"/>
        <v>0</v>
      </c>
      <c r="N605" s="1430">
        <f t="shared" ca="1" si="855"/>
        <v>0</v>
      </c>
      <c r="O605" s="1430">
        <f t="shared" ca="1" si="855"/>
        <v>0</v>
      </c>
      <c r="P605" s="1430">
        <f t="shared" ca="1" si="855"/>
        <v>0</v>
      </c>
      <c r="Q605" s="1430">
        <f t="shared" ca="1" si="855"/>
        <v>0</v>
      </c>
      <c r="R605" s="1430">
        <f t="shared" ca="1" si="855"/>
        <v>0</v>
      </c>
      <c r="S605" s="1430">
        <f t="shared" ca="1" si="855"/>
        <v>0</v>
      </c>
      <c r="T605" s="1430">
        <f t="shared" ca="1" si="855"/>
        <v>0</v>
      </c>
      <c r="U605" s="1430">
        <f t="shared" ca="1" si="855"/>
        <v>0</v>
      </c>
      <c r="V605" s="1430">
        <f t="shared" ca="1" si="855"/>
        <v>0</v>
      </c>
      <c r="W605" s="1430">
        <f t="shared" ca="1" si="855"/>
        <v>0</v>
      </c>
      <c r="X605" s="152"/>
      <c r="Y605" s="152"/>
      <c r="Z605" s="152"/>
      <c r="AA605" s="152"/>
      <c r="AB605" s="152"/>
    </row>
    <row r="606" spans="1:28">
      <c r="A606" s="152"/>
      <c r="B606" s="152"/>
      <c r="C606" s="1423"/>
      <c r="D606" s="1423"/>
      <c r="E606" s="1423"/>
      <c r="F606" s="1423"/>
      <c r="G606" s="1423"/>
      <c r="H606" s="1423"/>
      <c r="I606" s="1423"/>
      <c r="J606" s="1423"/>
      <c r="K606" s="1423"/>
      <c r="L606" s="1423"/>
      <c r="M606" s="1423"/>
      <c r="N606" s="1423"/>
      <c r="O606" s="1423"/>
      <c r="P606" s="1423"/>
      <c r="Q606" s="1423"/>
      <c r="R606" s="1423"/>
      <c r="S606" s="1423"/>
      <c r="T606" s="1423"/>
      <c r="U606" s="1423"/>
      <c r="V606" s="1423"/>
      <c r="W606" s="1423"/>
      <c r="X606" s="152"/>
      <c r="Y606" s="152"/>
      <c r="Z606" s="152"/>
      <c r="AA606" s="152"/>
      <c r="AB606" s="152"/>
    </row>
    <row r="607" spans="1:28">
      <c r="A607" s="269" t="s">
        <v>12</v>
      </c>
      <c r="B607" s="270">
        <f>VLOOKUP($A607,'RFM input'!$E$7:$F$56,2,FALSE)</f>
        <v>0</v>
      </c>
      <c r="C607" s="1431"/>
      <c r="D607" s="1431"/>
      <c r="E607" s="1432"/>
      <c r="F607" s="1432"/>
      <c r="G607" s="1432"/>
      <c r="H607" s="1432"/>
      <c r="I607" s="1432"/>
      <c r="J607" s="1432"/>
      <c r="K607" s="1432"/>
      <c r="L607" s="1432"/>
      <c r="M607" s="1432"/>
      <c r="N607" s="1432"/>
      <c r="O607" s="1432"/>
      <c r="P607" s="1432"/>
      <c r="Q607" s="1432"/>
      <c r="R607" s="1432"/>
      <c r="S607" s="1432"/>
      <c r="T607" s="1432"/>
      <c r="U607" s="1432"/>
      <c r="V607" s="1432"/>
      <c r="W607" s="1432"/>
      <c r="X607" s="152"/>
      <c r="Y607" s="152"/>
      <c r="Z607" s="152"/>
      <c r="AA607" s="152"/>
      <c r="AB607" s="152"/>
    </row>
    <row r="608" spans="1:28">
      <c r="A608" s="215">
        <f>VALUE(REPLACE(A607,1,12,""))</f>
        <v>12</v>
      </c>
      <c r="B608" s="193" t="s">
        <v>126</v>
      </c>
      <c r="C608" s="1416">
        <f ca="1">IF($C$8='Capital Base roll forward'!$H$4,OFFSET('Capital Base roll forward'!$H$717,'RAB remaining lives'!A608,0),"enter input")</f>
        <v>0</v>
      </c>
      <c r="D608" s="1417">
        <f>IF(LEFT(D$6,4)&lt;LEFT('RFM input'!$G$60,4),"enter input",IF(LEFT(D$6,4)&gt;LEFT('RFM input'!$Q$60,4),0,INDEX('RFM input'!$G$61:$Q$110,$A608,MATCH(D$6,'RFM input'!$G$60:$Q$60,0))
-INDEX('RFM input'!$G$115:$Q$164,$A608,MATCH(D$6,'RFM input'!$G$60:$Q$60,0))
-INDEX('RFM input'!$G$169:$Q$218,$A608,MATCH(D$6,'RFM input'!$G$60:$Q$60,0))))</f>
        <v>0</v>
      </c>
      <c r="E608" s="1417">
        <f>IF(LEFT(E$6,4)&lt;LEFT('RFM input'!$G$60,4),"enter input",IF(LEFT(E$6,4)&gt;LEFT('RFM input'!$Q$60,4),0,INDEX('RFM input'!$G$61:$Q$110,$A608,MATCH(E$6,'RFM input'!$G$60:$Q$60,0))
-INDEX('RFM input'!$G$115:$Q$164,$A608,MATCH(E$6,'RFM input'!$G$60:$Q$60,0))
-INDEX('RFM input'!$G$169:$Q$218,$A608,MATCH(E$6,'RFM input'!$G$60:$Q$60,0))))</f>
        <v>0</v>
      </c>
      <c r="F608" s="1417">
        <f>IF(LEFT(F$6,4)&lt;LEFT('RFM input'!$G$60,4),"enter input",IF(LEFT(F$6,4)&gt;LEFT('RFM input'!$Q$60,4),0,INDEX('RFM input'!$G$61:$Q$110,$A608,MATCH(F$6,'RFM input'!$G$60:$Q$60,0))
-INDEX('RFM input'!$G$115:$Q$164,$A608,MATCH(F$6,'RFM input'!$G$60:$Q$60,0))
-INDEX('RFM input'!$G$169:$Q$218,$A608,MATCH(F$6,'RFM input'!$G$60:$Q$60,0))))</f>
        <v>0</v>
      </c>
      <c r="G608" s="1417">
        <f>IF(LEFT(G$6,4)&lt;LEFT('RFM input'!$G$60,4),"enter input",IF(LEFT(G$6,4)&gt;LEFT('RFM input'!$Q$60,4),0,INDEX('RFM input'!$G$61:$Q$110,$A608,MATCH(G$6,'RFM input'!$G$60:$Q$60,0))
-INDEX('RFM input'!$G$115:$Q$164,$A608,MATCH(G$6,'RFM input'!$G$60:$Q$60,0))
-INDEX('RFM input'!$G$169:$Q$218,$A608,MATCH(G$6,'RFM input'!$G$60:$Q$60,0))))</f>
        <v>0</v>
      </c>
      <c r="H608" s="1417">
        <f>IF(LEFT(H$6,4)&lt;LEFT('RFM input'!$G$60,4),"enter input",IF(LEFT(H$6,4)&gt;LEFT('RFM input'!$Q$60,4),0,INDEX('RFM input'!$G$61:$Q$110,$A608,MATCH(H$6,'RFM input'!$G$60:$Q$60,0))
-INDEX('RFM input'!$G$115:$Q$164,$A608,MATCH(H$6,'RFM input'!$G$60:$Q$60,0))
-INDEX('RFM input'!$G$169:$Q$218,$A608,MATCH(H$6,'RFM input'!$G$60:$Q$60,0))))</f>
        <v>0</v>
      </c>
      <c r="I608" s="1417">
        <f>IF(LEFT(I$6,4)&lt;LEFT('RFM input'!$G$60,4),"enter input",IF(LEFT(I$6,4)&gt;LEFT('RFM input'!$Q$60,4),0,INDEX('RFM input'!$G$61:$Q$110,$A608,MATCH(I$6,'RFM input'!$G$60:$Q$60,0))
-INDEX('RFM input'!$G$115:$Q$164,$A608,MATCH(I$6,'RFM input'!$G$60:$Q$60,0))
-INDEX('RFM input'!$G$169:$Q$218,$A608,MATCH(I$6,'RFM input'!$G$60:$Q$60,0))))</f>
        <v>0</v>
      </c>
      <c r="J608" s="1417">
        <f>IF(LEFT(J$6,4)&lt;LEFT('RFM input'!$G$60,4),"enter input",IF(LEFT(J$6,4)&gt;LEFT('RFM input'!$Q$60,4),0,INDEX('RFM input'!$G$61:$Q$110,$A608,MATCH(J$6,'RFM input'!$G$60:$Q$60,0))
-INDEX('RFM input'!$G$115:$Q$164,$A608,MATCH(J$6,'RFM input'!$G$60:$Q$60,0))
-INDEX('RFM input'!$G$169:$Q$218,$A608,MATCH(J$6,'RFM input'!$G$60:$Q$60,0))))</f>
        <v>0</v>
      </c>
      <c r="K608" s="1417">
        <f>IF(LEFT(K$6,4)&lt;LEFT('RFM input'!$G$60,4),"enter input",IF(LEFT(K$6,4)&gt;LEFT('RFM input'!$Q$60,4),0,INDEX('RFM input'!$G$61:$Q$110,$A608,MATCH(K$6,'RFM input'!$G$60:$Q$60,0))
-INDEX('RFM input'!$G$115:$Q$164,$A608,MATCH(K$6,'RFM input'!$G$60:$Q$60,0))
-INDEX('RFM input'!$G$169:$Q$218,$A608,MATCH(K$6,'RFM input'!$G$60:$Q$60,0))))</f>
        <v>0</v>
      </c>
      <c r="L608" s="1417">
        <f>IF(LEFT(L$6,4)&lt;LEFT('RFM input'!$G$60,4),"enter input",IF(LEFT(L$6,4)&gt;LEFT('RFM input'!$Q$60,4),0,INDEX('RFM input'!$G$61:$Q$110,$A608,MATCH(L$6,'RFM input'!$G$60:$Q$60,0))
-INDEX('RFM input'!$G$115:$Q$164,$A608,MATCH(L$6,'RFM input'!$G$60:$Q$60,0))
-INDEX('RFM input'!$G$169:$Q$218,$A608,MATCH(L$6,'RFM input'!$G$60:$Q$60,0))))</f>
        <v>0</v>
      </c>
      <c r="M608" s="1417">
        <f>IF(LEFT(M$6,4)&lt;LEFT('RFM input'!$G$60,4),"enter input",IF(LEFT(M$6,4)&gt;LEFT('RFM input'!$Q$60,4),0,INDEX('RFM input'!$G$61:$Q$110,$A608,MATCH(M$6,'RFM input'!$G$60:$Q$60,0))
-INDEX('RFM input'!$G$115:$Q$164,$A608,MATCH(M$6,'RFM input'!$G$60:$Q$60,0))
-INDEX('RFM input'!$G$169:$Q$218,$A608,MATCH(M$6,'RFM input'!$G$60:$Q$60,0))))</f>
        <v>0</v>
      </c>
      <c r="N608" s="1417">
        <f>IF(LEFT(N$6,4)&lt;LEFT('RFM input'!$G$60,4),"enter input",IF(LEFT(N$6,4)&gt;LEFT('RFM input'!$Q$60,4),0,INDEX('RFM input'!$G$61:$Q$110,$A608,MATCH(N$6,'RFM input'!$G$60:$Q$60,0))
-INDEX('RFM input'!$G$115:$Q$164,$A608,MATCH(N$6,'RFM input'!$G$60:$Q$60,0))
-INDEX('RFM input'!$G$169:$Q$218,$A608,MATCH(N$6,'RFM input'!$G$60:$Q$60,0))))</f>
        <v>0</v>
      </c>
      <c r="O608" s="1417">
        <f>IF(LEFT(O$6,4)&lt;LEFT('RFM input'!$G$60,4),"enter input",IF(LEFT(O$6,4)&gt;LEFT('RFM input'!$Q$60,4),0,INDEX('RFM input'!$G$61:$Q$110,$A608,MATCH(O$6,'RFM input'!$G$60:$Q$60,0))
-INDEX('RFM input'!$G$115:$Q$164,$A608,MATCH(O$6,'RFM input'!$G$60:$Q$60,0))
-INDEX('RFM input'!$G$169:$Q$218,$A608,MATCH(O$6,'RFM input'!$G$60:$Q$60,0))))</f>
        <v>0</v>
      </c>
      <c r="P608" s="1417">
        <f>IF(LEFT(P$6,4)&lt;LEFT('RFM input'!$G$60,4),"enter input",IF(LEFT(P$6,4)&gt;LEFT('RFM input'!$Q$60,4),0,INDEX('RFM input'!$G$61:$Q$110,$A608,MATCH(P$6,'RFM input'!$G$60:$Q$60,0))
-INDEX('RFM input'!$G$115:$Q$164,$A608,MATCH(P$6,'RFM input'!$G$60:$Q$60,0))
-INDEX('RFM input'!$G$169:$Q$218,$A608,MATCH(P$6,'RFM input'!$G$60:$Q$60,0))))</f>
        <v>0</v>
      </c>
      <c r="Q608" s="1417">
        <f>IF(LEFT(Q$6,4)&lt;LEFT('RFM input'!$G$60,4),"enter input",IF(LEFT(Q$6,4)&gt;LEFT('RFM input'!$Q$60,4),0,INDEX('RFM input'!$G$61:$Q$110,$A608,MATCH(Q$6,'RFM input'!$G$60:$Q$60,0))
-INDEX('RFM input'!$G$115:$Q$164,$A608,MATCH(Q$6,'RFM input'!$G$60:$Q$60,0))
-INDEX('RFM input'!$G$169:$Q$218,$A608,MATCH(Q$6,'RFM input'!$G$60:$Q$60,0))))</f>
        <v>0</v>
      </c>
      <c r="R608" s="1417">
        <f>IF(LEFT(R$6,4)&lt;LEFT('RFM input'!$G$60,4),"enter input",IF(LEFT(R$6,4)&gt;LEFT('RFM input'!$Q$60,4),0,INDEX('RFM input'!$G$61:$Q$110,$A608,MATCH(R$6,'RFM input'!$G$60:$Q$60,0))
-INDEX('RFM input'!$G$115:$Q$164,$A608,MATCH(R$6,'RFM input'!$G$60:$Q$60,0))
-INDEX('RFM input'!$G$169:$Q$218,$A608,MATCH(R$6,'RFM input'!$G$60:$Q$60,0))))</f>
        <v>0</v>
      </c>
      <c r="S608" s="1417">
        <f>IF(LEFT(S$6,4)&lt;LEFT('RFM input'!$G$60,4),"enter input",IF(LEFT(S$6,4)&gt;LEFT('RFM input'!$Q$60,4),0,INDEX('RFM input'!$G$61:$Q$110,$A608,MATCH(S$6,'RFM input'!$G$60:$Q$60,0))
-INDEX('RFM input'!$G$115:$Q$164,$A608,MATCH(S$6,'RFM input'!$G$60:$Q$60,0))
-INDEX('RFM input'!$G$169:$Q$218,$A608,MATCH(S$6,'RFM input'!$G$60:$Q$60,0))))</f>
        <v>0</v>
      </c>
      <c r="T608" s="1417">
        <f>IF(LEFT(T$6,4)&lt;LEFT('RFM input'!$G$60,4),"enter input",IF(LEFT(T$6,4)&gt;LEFT('RFM input'!$Q$60,4),0,INDEX('RFM input'!$G$61:$Q$110,$A608,MATCH(T$6,'RFM input'!$G$60:$Q$60,0))
-INDEX('RFM input'!$G$115:$Q$164,$A608,MATCH(T$6,'RFM input'!$G$60:$Q$60,0))
-INDEX('RFM input'!$G$169:$Q$218,$A608,MATCH(T$6,'RFM input'!$G$60:$Q$60,0))))</f>
        <v>0</v>
      </c>
      <c r="U608" s="1417">
        <f>IF(LEFT(U$6,4)&lt;LEFT('RFM input'!$G$60,4),"enter input",IF(LEFT(U$6,4)&gt;LEFT('RFM input'!$Q$60,4),0,INDEX('RFM input'!$G$61:$Q$110,$A608,MATCH(U$6,'RFM input'!$G$60:$Q$60,0))
-INDEX('RFM input'!$G$115:$Q$164,$A608,MATCH(U$6,'RFM input'!$G$60:$Q$60,0))
-INDEX('RFM input'!$G$169:$Q$218,$A608,MATCH(U$6,'RFM input'!$G$60:$Q$60,0))))</f>
        <v>0</v>
      </c>
      <c r="V608" s="1417">
        <f>IF(LEFT(V$6,4)&lt;LEFT('RFM input'!$G$60,4),"enter input",IF(LEFT(V$6,4)&gt;LEFT('RFM input'!$Q$60,4),0,INDEX('RFM input'!$G$61:$Q$110,$A608,MATCH(V$6,'RFM input'!$G$60:$Q$60,0))
-INDEX('RFM input'!$G$115:$Q$164,$A608,MATCH(V$6,'RFM input'!$G$60:$Q$60,0))
-INDEX('RFM input'!$G$169:$Q$218,$A608,MATCH(V$6,'RFM input'!$G$60:$Q$60,0))))</f>
        <v>0</v>
      </c>
      <c r="W608" s="1417">
        <f>IF(LEFT(W$6,4)&lt;LEFT('RFM input'!$G$60,4),"enter input",IF(LEFT(W$6,4)&gt;LEFT('RFM input'!$Q$60,4),0,INDEX('RFM input'!$G$61:$Q$110,$A608,MATCH(W$6,'RFM input'!$G$60:$Q$60,0))
-INDEX('RFM input'!$G$115:$Q$164,$A608,MATCH(W$6,'RFM input'!$G$60:$Q$60,0))
-INDEX('RFM input'!$G$169:$Q$218,$A608,MATCH(W$6,'RFM input'!$G$60:$Q$60,0))))</f>
        <v>0</v>
      </c>
      <c r="X608" s="152"/>
      <c r="Y608" s="152"/>
      <c r="Z608" s="152"/>
      <c r="AA608" s="152"/>
      <c r="AB608" s="152"/>
    </row>
    <row r="609" spans="1:28">
      <c r="A609" s="152"/>
      <c r="B609" s="152" t="s">
        <v>204</v>
      </c>
      <c r="C609" s="1418">
        <f ca="1">IF($C$8='Capital Base roll forward'!$H$4,OFFSET('RFM input'!$J$6,'RAB remaining lives'!A608,0),"enter input")</f>
        <v>0</v>
      </c>
      <c r="D609" s="1417">
        <f>IF(LEFT(D$6,4)&lt;=LEFT('RFM input'!$G$60,4),"enter input",IF(LEFT(D$6,4)&gt;LEFT('RFM input'!$Q$60,4),0,IF(MATCH(D$6,'RFM input'!$H$60:$Q$60,0),INDEX('RFM input'!$K$7:$K$56,$A608,1))))</f>
        <v>0</v>
      </c>
      <c r="E609" s="1417">
        <f>IF(LEFT(E$6,4)&lt;=LEFT('RFM input'!$G$60,4),"enter input",IF(LEFT(E$6,4)&gt;LEFT('RFM input'!$Q$60,4),0,IF(MATCH(E$6,'RFM input'!$H$60:$Q$60,0),INDEX('RFM input'!$K$7:$K$56,$A608,1))))</f>
        <v>0</v>
      </c>
      <c r="F609" s="1417">
        <f>IF(LEFT(F$6,4)&lt;=LEFT('RFM input'!$G$60,4),"enter input",IF(LEFT(F$6,4)&gt;LEFT('RFM input'!$Q$60,4),0,IF(MATCH(F$6,'RFM input'!$H$60:$Q$60,0),INDEX('RFM input'!$K$7:$K$56,$A608,1))))</f>
        <v>0</v>
      </c>
      <c r="G609" s="1417">
        <f>IF(LEFT(G$6,4)&lt;=LEFT('RFM input'!$G$60,4),"enter input",IF(LEFT(G$6,4)&gt;LEFT('RFM input'!$Q$60,4),0,IF(MATCH(G$6,'RFM input'!$H$60:$Q$60,0),INDEX('RFM input'!$K$7:$K$56,$A608,1))))</f>
        <v>0</v>
      </c>
      <c r="H609" s="1417">
        <f>IF(LEFT(H$6,4)&lt;=LEFT('RFM input'!$G$60,4),"enter input",IF(LEFT(H$6,4)&gt;LEFT('RFM input'!$Q$60,4),0,IF(MATCH(H$6,'RFM input'!$H$60:$Q$60,0),INDEX('RFM input'!$K$7:$K$56,$A608,1))))</f>
        <v>0</v>
      </c>
      <c r="I609" s="1417">
        <f>IF(LEFT(I$6,4)&lt;=LEFT('RFM input'!$G$60,4),"enter input",IF(LEFT(I$6,4)&gt;LEFT('RFM input'!$Q$60,4),0,IF(MATCH(I$6,'RFM input'!$H$60:$Q$60,0),INDEX('RFM input'!$K$7:$K$56,$A608,1))))</f>
        <v>0</v>
      </c>
      <c r="J609" s="1417">
        <f>IF(LEFT(J$6,4)&lt;=LEFT('RFM input'!$G$60,4),"enter input",IF(LEFT(J$6,4)&gt;LEFT('RFM input'!$Q$60,4),0,IF(MATCH(J$6,'RFM input'!$H$60:$Q$60,0),INDEX('RFM input'!$K$7:$K$56,$A608,1))))</f>
        <v>0</v>
      </c>
      <c r="K609" s="1417">
        <f>IF(LEFT(K$6,4)&lt;=LEFT('RFM input'!$G$60,4),"enter input",IF(LEFT(K$6,4)&gt;LEFT('RFM input'!$Q$60,4),0,IF(MATCH(K$6,'RFM input'!$H$60:$Q$60,0),INDEX('RFM input'!$K$7:$K$56,$A608,1))))</f>
        <v>0</v>
      </c>
      <c r="L609" s="1417">
        <f>IF(LEFT(L$6,4)&lt;=LEFT('RFM input'!$G$60,4),"enter input",IF(LEFT(L$6,4)&gt;LEFT('RFM input'!$Q$60,4),0,IF(MATCH(L$6,'RFM input'!$H$60:$Q$60,0),INDEX('RFM input'!$K$7:$K$56,$A608,1))))</f>
        <v>0</v>
      </c>
      <c r="M609" s="1417">
        <f>IF(LEFT(M$6,4)&lt;=LEFT('RFM input'!$G$60,4),"enter input",IF(LEFT(M$6,4)&gt;LEFT('RFM input'!$Q$60,4),0,IF(MATCH(M$6,'RFM input'!$H$60:$Q$60,0),INDEX('RFM input'!$K$7:$K$56,$A608,1))))</f>
        <v>0</v>
      </c>
      <c r="N609" s="1417">
        <f>IF(LEFT(N$6,4)&lt;=LEFT('RFM input'!$G$60,4),"enter input",IF(LEFT(N$6,4)&gt;LEFT('RFM input'!$Q$60,4),0,IF(MATCH(N$6,'RFM input'!$H$60:$Q$60,0),INDEX('RFM input'!$K$7:$K$56,$A608,1))))</f>
        <v>0</v>
      </c>
      <c r="O609" s="1417">
        <f>IF(LEFT(O$6,4)&lt;=LEFT('RFM input'!$G$60,4),"enter input",IF(LEFT(O$6,4)&gt;LEFT('RFM input'!$Q$60,4),0,IF(MATCH(O$6,'RFM input'!$H$60:$Q$60,0),INDEX('RFM input'!$K$7:$K$56,$A608,1))))</f>
        <v>0</v>
      </c>
      <c r="P609" s="1417">
        <f>IF(LEFT(P$6,4)&lt;=LEFT('RFM input'!$G$60,4),"enter input",IF(LEFT(P$6,4)&gt;LEFT('RFM input'!$Q$60,4),0,IF(MATCH(P$6,'RFM input'!$H$60:$Q$60,0),INDEX('RFM input'!$K$7:$K$56,$A608,1))))</f>
        <v>0</v>
      </c>
      <c r="Q609" s="1417">
        <f>IF(LEFT(Q$6,4)&lt;=LEFT('RFM input'!$G$60,4),"enter input",IF(LEFT(Q$6,4)&gt;LEFT('RFM input'!$Q$60,4),0,IF(MATCH(Q$6,'RFM input'!$H$60:$Q$60,0),INDEX('RFM input'!$K$7:$K$56,$A608,1))))</f>
        <v>0</v>
      </c>
      <c r="R609" s="1417">
        <f>IF(LEFT(R$6,4)&lt;=LEFT('RFM input'!$G$60,4),"enter input",IF(LEFT(R$6,4)&gt;LEFT('RFM input'!$Q$60,4),0,IF(MATCH(R$6,'RFM input'!$H$60:$Q$60,0),INDEX('RFM input'!$K$7:$K$56,$A608,1))))</f>
        <v>0</v>
      </c>
      <c r="S609" s="1417">
        <f>IF(LEFT(S$6,4)&lt;=LEFT('RFM input'!$G$60,4),"enter input",IF(LEFT(S$6,4)&gt;LEFT('RFM input'!$Q$60,4),0,IF(MATCH(S$6,'RFM input'!$H$60:$Q$60,0),INDEX('RFM input'!$K$7:$K$56,$A608,1))))</f>
        <v>0</v>
      </c>
      <c r="T609" s="1417">
        <f>IF(LEFT(T$6,4)&lt;=LEFT('RFM input'!$G$60,4),"enter input",IF(LEFT(T$6,4)&gt;LEFT('RFM input'!$Q$60,4),0,IF(MATCH(T$6,'RFM input'!$H$60:$Q$60,0),INDEX('RFM input'!$K$7:$K$56,$A608,1))))</f>
        <v>0</v>
      </c>
      <c r="U609" s="1417">
        <f>IF(LEFT(U$6,4)&lt;=LEFT('RFM input'!$G$60,4),"enter input",IF(LEFT(U$6,4)&gt;LEFT('RFM input'!$Q$60,4),0,IF(MATCH(U$6,'RFM input'!$H$60:$Q$60,0),INDEX('RFM input'!$K$7:$K$56,$A608,1))))</f>
        <v>0</v>
      </c>
      <c r="V609" s="1417">
        <f>IF(LEFT(V$6,4)&lt;=LEFT('RFM input'!$G$60,4),"enter input",IF(LEFT(V$6,4)&gt;LEFT('RFM input'!$Q$60,4),0,IF(MATCH(V$6,'RFM input'!$H$60:$Q$60,0),INDEX('RFM input'!$K$7:$K$56,$A608,1))))</f>
        <v>0</v>
      </c>
      <c r="W609" s="1417">
        <f>IF(LEFT(W$6,4)&lt;=LEFT('RFM input'!$G$60,4),"enter input",IF(LEFT(W$6,4)&gt;LEFT('RFM input'!$Q$60,4),0,IF(MATCH(W$6,'RFM input'!$H$60:$Q$60,0),INDEX('RFM input'!$K$7:$K$56,$A608,1))))</f>
        <v>0</v>
      </c>
      <c r="X609" s="152"/>
      <c r="Y609" s="152"/>
      <c r="Z609" s="152"/>
      <c r="AA609" s="152"/>
      <c r="AB609" s="152"/>
    </row>
    <row r="610" spans="1:28">
      <c r="A610" s="152"/>
      <c r="B610" s="177" t="s">
        <v>191</v>
      </c>
      <c r="C610" s="1419"/>
      <c r="D610" s="1420">
        <f ca="1">IF(LEFT(D$6,4)&lt;=LEFT('RFM input'!$G$60,4),"enter input",IF(LEFT(D$6,4)&gt;LEFT('RFM input'!$Q$60,4),0,IF(D$6=(OFFSET('RFM input'!$G$60,0,'RFM input'!$V$7)),OFFSET('RFM input'!$G$411,$A608,0),0)))</f>
        <v>0</v>
      </c>
      <c r="E610" s="1417">
        <f ca="1">IF(LEFT(E$6,4)&lt;=LEFT('RFM input'!$G$60,4),"enter input",IF(LEFT(E$6,4)&gt;LEFT('RFM input'!$Q$60,4),0,IF(E$6=(OFFSET('RFM input'!$G$60,0,'RFM input'!$V$7)),OFFSET('RFM input'!$G$411,$A608,0),0)))</f>
        <v>0</v>
      </c>
      <c r="F610" s="1417">
        <f ca="1">IF(LEFT(F$6,4)&lt;=LEFT('RFM input'!$G$60,4),"enter input",IF(LEFT(F$6,4)&gt;LEFT('RFM input'!$Q$60,4),0,IF(F$6=(OFFSET('RFM input'!$G$60,0,'RFM input'!$V$7)),OFFSET('RFM input'!$G$411,$A608,0),0)))</f>
        <v>0</v>
      </c>
      <c r="G610" s="1417">
        <f ca="1">IF(LEFT(G$6,4)&lt;=LEFT('RFM input'!$G$60,4),"enter input",IF(LEFT(G$6,4)&gt;LEFT('RFM input'!$Q$60,4),0,IF(G$6=(OFFSET('RFM input'!$G$60,0,'RFM input'!$V$7)),OFFSET('RFM input'!$G$411,$A608,0),0)))</f>
        <v>0</v>
      </c>
      <c r="H610" s="1417">
        <f ca="1">IF(LEFT(H$6,4)&lt;=LEFT('RFM input'!$G$60,4),"enter input",IF(LEFT(H$6,4)&gt;LEFT('RFM input'!$Q$60,4),0,IF(H$6=(OFFSET('RFM input'!$G$60,0,'RFM input'!$V$7)),OFFSET('RFM input'!$G$411,$A608,0),0)))</f>
        <v>0</v>
      </c>
      <c r="I610" s="1417">
        <f ca="1">IF(LEFT(I$6,4)&lt;=LEFT('RFM input'!$G$60,4),"enter input",IF(LEFT(I$6,4)&gt;LEFT('RFM input'!$Q$60,4),0,IF(I$6=(OFFSET('RFM input'!$G$60,0,'RFM input'!$V$7)),OFFSET('RFM input'!$G$411,$A608,0),0)))</f>
        <v>0</v>
      </c>
      <c r="J610" s="1417">
        <f ca="1">IF(LEFT(J$6,4)&lt;=LEFT('RFM input'!$G$60,4),"enter input",IF(LEFT(J$6,4)&gt;LEFT('RFM input'!$Q$60,4),0,IF(J$6=(OFFSET('RFM input'!$G$60,0,'RFM input'!$V$7)),OFFSET('RFM input'!$G$411,$A608,0),0)))</f>
        <v>0</v>
      </c>
      <c r="K610" s="1417">
        <f ca="1">IF(LEFT(K$6,4)&lt;=LEFT('RFM input'!$G$60,4),"enter input",IF(LEFT(K$6,4)&gt;LEFT('RFM input'!$Q$60,4),0,IF(K$6=(OFFSET('RFM input'!$G$60,0,'RFM input'!$V$7)),OFFSET('RFM input'!$G$411,$A608,0),0)))</f>
        <v>0</v>
      </c>
      <c r="L610" s="1417">
        <f ca="1">IF(LEFT(L$6,4)&lt;=LEFT('RFM input'!$G$60,4),"enter input",IF(LEFT(L$6,4)&gt;LEFT('RFM input'!$Q$60,4),0,IF(L$6=(OFFSET('RFM input'!$G$60,0,'RFM input'!$V$7)),OFFSET('RFM input'!$G$411,$A608,0),0)))</f>
        <v>0</v>
      </c>
      <c r="M610" s="1417">
        <f ca="1">IF(LEFT(M$6,4)&lt;=LEFT('RFM input'!$G$60,4),"enter input",IF(LEFT(M$6,4)&gt;LEFT('RFM input'!$Q$60,4),0,IF(M$6=(OFFSET('RFM input'!$G$60,0,'RFM input'!$V$7)),OFFSET('RFM input'!$G$411,$A608,0),0)))</f>
        <v>0</v>
      </c>
      <c r="N610" s="1417">
        <f ca="1">IF(LEFT(N$6,4)&lt;=LEFT('RFM input'!$G$60,4),"enter input",IF(LEFT(N$6,4)&gt;LEFT('RFM input'!$Q$60,4),0,IF(N$6=(OFFSET('RFM input'!$G$60,0,'RFM input'!$V$7)),OFFSET('RFM input'!$G$411,$A608,0),0)))</f>
        <v>0</v>
      </c>
      <c r="O610" s="1417">
        <f ca="1">IF(LEFT(O$6,4)&lt;=LEFT('RFM input'!$G$60,4),"enter input",IF(LEFT(O$6,4)&gt;LEFT('RFM input'!$Q$60,4),0,IF(O$6=(OFFSET('RFM input'!$G$60,0,'RFM input'!$V$7)),OFFSET('RFM input'!$G$411,$A608,0),0)))</f>
        <v>0</v>
      </c>
      <c r="P610" s="1417">
        <f ca="1">IF(LEFT(P$6,4)&lt;=LEFT('RFM input'!$G$60,4),"enter input",IF(LEFT(P$6,4)&gt;LEFT('RFM input'!$Q$60,4),0,IF(P$6=(OFFSET('RFM input'!$G$60,0,'RFM input'!$V$7)),OFFSET('RFM input'!$G$411,$A608,0),0)))</f>
        <v>0</v>
      </c>
      <c r="Q610" s="1417">
        <f ca="1">IF(LEFT(Q$6,4)&lt;=LEFT('RFM input'!$G$60,4),"enter input",IF(LEFT(Q$6,4)&gt;LEFT('RFM input'!$Q$60,4),0,IF(Q$6=(OFFSET('RFM input'!$G$60,0,'RFM input'!$V$7)),OFFSET('RFM input'!$G$411,$A608,0),0)))</f>
        <v>0</v>
      </c>
      <c r="R610" s="1417">
        <f ca="1">IF(LEFT(R$6,4)&lt;=LEFT('RFM input'!$G$60,4),"enter input",IF(LEFT(R$6,4)&gt;LEFT('RFM input'!$Q$60,4),0,IF(R$6=(OFFSET('RFM input'!$G$60,0,'RFM input'!$V$7)),OFFSET('RFM input'!$G$411,$A608,0),0)))</f>
        <v>0</v>
      </c>
      <c r="S610" s="1417">
        <f ca="1">IF(LEFT(S$6,4)&lt;=LEFT('RFM input'!$G$60,4),"enter input",IF(LEFT(S$6,4)&gt;LEFT('RFM input'!$Q$60,4),0,IF(S$6=(OFFSET('RFM input'!$G$60,0,'RFM input'!$V$7)),OFFSET('RFM input'!$G$411,$A608,0),0)))</f>
        <v>0</v>
      </c>
      <c r="T610" s="1417">
        <f ca="1">IF(LEFT(T$6,4)&lt;=LEFT('RFM input'!$G$60,4),"enter input",IF(LEFT(T$6,4)&gt;LEFT('RFM input'!$Q$60,4),0,IF(T$6=(OFFSET('RFM input'!$G$60,0,'RFM input'!$V$7)),OFFSET('RFM input'!$G$411,$A608,0),0)))</f>
        <v>0</v>
      </c>
      <c r="U610" s="1417">
        <f ca="1">IF(LEFT(U$6,4)&lt;=LEFT('RFM input'!$G$60,4),"enter input",IF(LEFT(U$6,4)&gt;LEFT('RFM input'!$Q$60,4),0,IF(U$6=(OFFSET('RFM input'!$G$60,0,'RFM input'!$V$7)),OFFSET('RFM input'!$G$411,$A608,0),0)))</f>
        <v>0</v>
      </c>
      <c r="V610" s="1417">
        <f ca="1">IF(LEFT(V$6,4)&lt;=LEFT('RFM input'!$G$60,4),"enter input",IF(LEFT(V$6,4)&gt;LEFT('RFM input'!$Q$60,4),0,IF(V$6=(OFFSET('RFM input'!$G$60,0,'RFM input'!$V$7)),OFFSET('RFM input'!$G$411,$A608,0),0)))</f>
        <v>0</v>
      </c>
      <c r="W610" s="1417">
        <f ca="1">IF(LEFT(W$6,4)&lt;=LEFT('RFM input'!$G$60,4),"enter input",IF(LEFT(W$6,4)&gt;LEFT('RFM input'!$Q$60,4),0,IF(W$6=(OFFSET('RFM input'!$G$60,0,'RFM input'!$V$7)),OFFSET('RFM input'!$G$411,$A608,0),0)))</f>
        <v>0</v>
      </c>
      <c r="X610" s="152"/>
      <c r="Y610" s="152"/>
      <c r="Z610" s="152"/>
      <c r="AA610" s="152"/>
      <c r="AB610" s="152"/>
    </row>
    <row r="611" spans="1:28">
      <c r="A611" s="152"/>
      <c r="B611" s="195" t="s">
        <v>197</v>
      </c>
      <c r="C611" s="1419"/>
      <c r="D611" s="1418">
        <f ca="1">IF(LEFT(D$6,4)&lt;=LEFT('RFM input'!$G$60,4),"enter input",IF(LEFT(D$6,4)&gt;LEFT('RFM input'!$Q$60,4),0,IF(D$6=(OFFSET('RFM input'!$G$60,0,'RFM input'!$V$7)),OFFSET('RFM input'!$I$411,$A608,0),0)))</f>
        <v>0</v>
      </c>
      <c r="E611" s="1422">
        <f ca="1">IF(LEFT(E$6,4)&lt;=LEFT('RFM input'!$G$60,4),"enter input",IF(LEFT(E$6,4)&gt;LEFT('RFM input'!$Q$60,4),0,IF(E$6=(OFFSET('RFM input'!$G$60,0,'RFM input'!$V$7)),OFFSET('RFM input'!$I$411,$A608,0),0)))</f>
        <v>0</v>
      </c>
      <c r="F611" s="1422">
        <f ca="1">IF(LEFT(F$6,4)&lt;=LEFT('RFM input'!$G$60,4),"enter input",IF(LEFT(F$6,4)&gt;LEFT('RFM input'!$Q$60,4),0,IF(F$6=(OFFSET('RFM input'!$G$60,0,'RFM input'!$V$7)),OFFSET('RFM input'!$I$411,$A608,0),0)))</f>
        <v>0</v>
      </c>
      <c r="G611" s="1422">
        <f ca="1">IF(LEFT(G$6,4)&lt;=LEFT('RFM input'!$G$60,4),"enter input",IF(LEFT(G$6,4)&gt;LEFT('RFM input'!$Q$60,4),0,IF(G$6=(OFFSET('RFM input'!$G$60,0,'RFM input'!$V$7)),OFFSET('RFM input'!$I$411,$A608,0),0)))</f>
        <v>0</v>
      </c>
      <c r="H611" s="1422">
        <f ca="1">IF(LEFT(H$6,4)&lt;=LEFT('RFM input'!$G$60,4),"enter input",IF(LEFT(H$6,4)&gt;LEFT('RFM input'!$Q$60,4),0,IF(H$6=(OFFSET('RFM input'!$G$60,0,'RFM input'!$V$7)),OFFSET('RFM input'!$I$411,$A608,0),0)))</f>
        <v>0</v>
      </c>
      <c r="I611" s="1422">
        <f ca="1">IF(LEFT(I$6,4)&lt;=LEFT('RFM input'!$G$60,4),"enter input",IF(LEFT(I$6,4)&gt;LEFT('RFM input'!$Q$60,4),0,IF(I$6=(OFFSET('RFM input'!$G$60,0,'RFM input'!$V$7)),OFFSET('RFM input'!$I$411,$A608,0),0)))</f>
        <v>0</v>
      </c>
      <c r="J611" s="1422">
        <f ca="1">IF(LEFT(J$6,4)&lt;=LEFT('RFM input'!$G$60,4),"enter input",IF(LEFT(J$6,4)&gt;LEFT('RFM input'!$Q$60,4),0,IF(J$6=(OFFSET('RFM input'!$G$60,0,'RFM input'!$V$7)),OFFSET('RFM input'!$I$411,$A608,0),0)))</f>
        <v>0</v>
      </c>
      <c r="K611" s="1422">
        <f ca="1">IF(LEFT(K$6,4)&lt;=LEFT('RFM input'!$G$60,4),"enter input",IF(LEFT(K$6,4)&gt;LEFT('RFM input'!$Q$60,4),0,IF(K$6=(OFFSET('RFM input'!$G$60,0,'RFM input'!$V$7)),OFFSET('RFM input'!$I$411,$A608,0),0)))</f>
        <v>0</v>
      </c>
      <c r="L611" s="1422">
        <f ca="1">IF(LEFT(L$6,4)&lt;=LEFT('RFM input'!$G$60,4),"enter input",IF(LEFT(L$6,4)&gt;LEFT('RFM input'!$Q$60,4),0,IF(L$6=(OFFSET('RFM input'!$G$60,0,'RFM input'!$V$7)),OFFSET('RFM input'!$I$411,$A608,0),0)))</f>
        <v>0</v>
      </c>
      <c r="M611" s="1422">
        <f ca="1">IF(LEFT(M$6,4)&lt;=LEFT('RFM input'!$G$60,4),"enter input",IF(LEFT(M$6,4)&gt;LEFT('RFM input'!$Q$60,4),0,IF(M$6=(OFFSET('RFM input'!$G$60,0,'RFM input'!$V$7)),OFFSET('RFM input'!$I$411,$A608,0),0)))</f>
        <v>0</v>
      </c>
      <c r="N611" s="1422">
        <f ca="1">IF(LEFT(N$6,4)&lt;=LEFT('RFM input'!$G$60,4),"enter input",IF(LEFT(N$6,4)&gt;LEFT('RFM input'!$Q$60,4),0,IF(N$6=(OFFSET('RFM input'!$G$60,0,'RFM input'!$V$7)),OFFSET('RFM input'!$I$411,$A608,0),0)))</f>
        <v>0</v>
      </c>
      <c r="O611" s="1422">
        <f ca="1">IF(LEFT(O$6,4)&lt;=LEFT('RFM input'!$G$60,4),"enter input",IF(LEFT(O$6,4)&gt;LEFT('RFM input'!$Q$60,4),0,IF(O$6=(OFFSET('RFM input'!$G$60,0,'RFM input'!$V$7)),OFFSET('RFM input'!$I$411,$A608,0),0)))</f>
        <v>0</v>
      </c>
      <c r="P611" s="1422">
        <f ca="1">IF(LEFT(P$6,4)&lt;=LEFT('RFM input'!$G$60,4),"enter input",IF(LEFT(P$6,4)&gt;LEFT('RFM input'!$Q$60,4),0,IF(P$6=(OFFSET('RFM input'!$G$60,0,'RFM input'!$V$7)),OFFSET('RFM input'!$I$411,$A608,0),0)))</f>
        <v>0</v>
      </c>
      <c r="Q611" s="1422">
        <f ca="1">IF(LEFT(Q$6,4)&lt;=LEFT('RFM input'!$G$60,4),"enter input",IF(LEFT(Q$6,4)&gt;LEFT('RFM input'!$Q$60,4),0,IF(Q$6=(OFFSET('RFM input'!$G$60,0,'RFM input'!$V$7)),OFFSET('RFM input'!$I$411,$A608,0),0)))</f>
        <v>0</v>
      </c>
      <c r="R611" s="1422">
        <f ca="1">IF(LEFT(R$6,4)&lt;=LEFT('RFM input'!$G$60,4),"enter input",IF(LEFT(R$6,4)&gt;LEFT('RFM input'!$Q$60,4),0,IF(R$6=(OFFSET('RFM input'!$G$60,0,'RFM input'!$V$7)),OFFSET('RFM input'!$I$411,$A608,0),0)))</f>
        <v>0</v>
      </c>
      <c r="S611" s="1422">
        <f ca="1">IF(LEFT(S$6,4)&lt;=LEFT('RFM input'!$G$60,4),"enter input",IF(LEFT(S$6,4)&gt;LEFT('RFM input'!$Q$60,4),0,IF(S$6=(OFFSET('RFM input'!$G$60,0,'RFM input'!$V$7)),OFFSET('RFM input'!$I$411,$A608,0),0)))</f>
        <v>0</v>
      </c>
      <c r="T611" s="1422">
        <f ca="1">IF(LEFT(T$6,4)&lt;=LEFT('RFM input'!$G$60,4),"enter input",IF(LEFT(T$6,4)&gt;LEFT('RFM input'!$Q$60,4),0,IF(T$6=(OFFSET('RFM input'!$G$60,0,'RFM input'!$V$7)),OFFSET('RFM input'!$I$411,$A608,0),0)))</f>
        <v>0</v>
      </c>
      <c r="U611" s="1422">
        <f ca="1">IF(LEFT(U$6,4)&lt;=LEFT('RFM input'!$G$60,4),"enter input",IF(LEFT(U$6,4)&gt;LEFT('RFM input'!$Q$60,4),0,IF(U$6=(OFFSET('RFM input'!$G$60,0,'RFM input'!$V$7)),OFFSET('RFM input'!$I$411,$A608,0),0)))</f>
        <v>0</v>
      </c>
      <c r="V611" s="1422">
        <f ca="1">IF(LEFT(V$6,4)&lt;=LEFT('RFM input'!$G$60,4),"enter input",IF(LEFT(V$6,4)&gt;LEFT('RFM input'!$Q$60,4),0,IF(V$6=(OFFSET('RFM input'!$G$60,0,'RFM input'!$V$7)),OFFSET('RFM input'!$I$411,$A608,0),0)))</f>
        <v>0</v>
      </c>
      <c r="W611" s="1422">
        <f ca="1">IF(LEFT(W$6,4)&lt;=LEFT('RFM input'!$G$60,4),"enter input",IF(LEFT(W$6,4)&gt;LEFT('RFM input'!$Q$60,4),0,IF(W$6=(OFFSET('RFM input'!$G$60,0,'RFM input'!$V$7)),OFFSET('RFM input'!$I$411,$A608,0),0)))</f>
        <v>0</v>
      </c>
      <c r="X611" s="152"/>
      <c r="Y611" s="152"/>
      <c r="Z611" s="152"/>
      <c r="AA611" s="152"/>
      <c r="AB611" s="152"/>
    </row>
    <row r="612" spans="1:28" hidden="1" outlineLevel="1">
      <c r="A612" s="235">
        <v>-1</v>
      </c>
      <c r="B612" s="190" t="s">
        <v>189</v>
      </c>
      <c r="C612" s="1423"/>
      <c r="D612" s="1423">
        <f ca="1">IF(AND(D610=0,C612=0),0,
IF(AND(D610&lt;&gt;0,C612=0),(D610/D$10),
IF(AND(D611&lt;&gt;0,C612&lt;&gt;0),(C612-(C612/C636))+(D610/D$10),
IF(C636&lt;1,0,(C612-(C612/C636))))))</f>
        <v>0</v>
      </c>
      <c r="E612" s="1423">
        <f t="shared" ref="E612" ca="1" si="856">IF(AND(E610=0,D612=0),0,
IF(AND(E610&lt;&gt;0,D612=0),(E610/E$10),
IF(AND(E611&lt;&gt;0,D612&lt;&gt;0),(D612-(D612/D636))+(E610/E$10),
IF(D636&lt;1,0,(D612-(D612/D636))))))</f>
        <v>0</v>
      </c>
      <c r="F612" s="1423">
        <f t="shared" ref="F612" ca="1" si="857">IF(AND(F610=0,E612=0),0,
IF(AND(F610&lt;&gt;0,E612=0),(F610/F$10),
IF(AND(F611&lt;&gt;0,E612&lt;&gt;0),(E612-(E612/E636))+(F610/F$10),
IF(E636&lt;1,0,(E612-(E612/E636))))))</f>
        <v>0</v>
      </c>
      <c r="G612" s="1423">
        <f t="shared" ref="G612" ca="1" si="858">IF(AND(G610=0,F612=0),0,
IF(AND(G610&lt;&gt;0,F612=0),(G610/G$10),
IF(AND(G611&lt;&gt;0,F612&lt;&gt;0),(F612-(F612/F636))+(G610/G$10),
IF(F636&lt;1,0,(F612-(F612/F636))))))</f>
        <v>0</v>
      </c>
      <c r="H612" s="1423">
        <f t="shared" ref="H612" ca="1" si="859">IF(AND(H610=0,G612=0),0,
IF(AND(H610&lt;&gt;0,G612=0),(H610/H$10),
IF(AND(H611&lt;&gt;0,G612&lt;&gt;0),(G612-(G612/G636))+(H610/H$10),
IF(G636&lt;1,0,(G612-(G612/G636))))))</f>
        <v>0</v>
      </c>
      <c r="I612" s="1423">
        <f t="shared" ref="I612" ca="1" si="860">IF(AND(I610=0,H612=0),0,
IF(AND(I610&lt;&gt;0,H612=0),(I610/I$10),
IF(AND(I611&lt;&gt;0,H612&lt;&gt;0),(H612-(H612/H636))+(I610/I$10),
IF(H636&lt;1,0,(H612-(H612/H636))))))</f>
        <v>0</v>
      </c>
      <c r="J612" s="1423">
        <f t="shared" ref="J612" ca="1" si="861">IF(AND(J610=0,I612=0),0,
IF(AND(J610&lt;&gt;0,I612=0),(J610/J$10),
IF(AND(J611&lt;&gt;0,I612&lt;&gt;0),(I612-(I612/I636))+(J610/J$10),
IF(I636&lt;1,0,(I612-(I612/I636))))))</f>
        <v>0</v>
      </c>
      <c r="K612" s="1423">
        <f t="shared" ref="K612" ca="1" si="862">IF(AND(K610=0,J612=0),0,
IF(AND(K610&lt;&gt;0,J612=0),(K610/K$10),
IF(AND(K611&lt;&gt;0,J612&lt;&gt;0),(J612-(J612/J636))+(K610/K$10),
IF(J636&lt;1,0,(J612-(J612/J636))))))</f>
        <v>0</v>
      </c>
      <c r="L612" s="1423">
        <f t="shared" ref="L612" ca="1" si="863">IF(AND(L610=0,K612=0),0,
IF(AND(L610&lt;&gt;0,K612=0),(L610/L$10),
IF(AND(L611&lt;&gt;0,K612&lt;&gt;0),(K612-(K612/K636))+(L610/L$10),
IF(K636&lt;1,0,(K612-(K612/K636))))))</f>
        <v>0</v>
      </c>
      <c r="M612" s="1423">
        <f t="shared" ref="M612" ca="1" si="864">IF(AND(M610=0,L612=0),0,
IF(AND(M610&lt;&gt;0,L612=0),(M610/M$10),
IF(AND(M611&lt;&gt;0,L612&lt;&gt;0),(L612-(L612/L636))+(M610/M$10),
IF(L636&lt;1,0,(L612-(L612/L636))))))</f>
        <v>0</v>
      </c>
      <c r="N612" s="1423">
        <f t="shared" ref="N612" ca="1" si="865">IF(AND(N610=0,M612=0),0,
IF(AND(N610&lt;&gt;0,M612=0),(N610/N$10),
IF(AND(N611&lt;&gt;0,M612&lt;&gt;0),(M612-(M612/M636))+(N610/N$10),
IF(M636&lt;1,0,(M612-(M612/M636))))))</f>
        <v>0</v>
      </c>
      <c r="O612" s="1423">
        <f t="shared" ref="O612" ca="1" si="866">IF(AND(O610=0,N612=0),0,
IF(AND(O610&lt;&gt;0,N612=0),(O610/O$10),
IF(AND(O611&lt;&gt;0,N612&lt;&gt;0),(N612-(N612/N636))+(O610/O$10),
IF(N636&lt;1,0,(N612-(N612/N636))))))</f>
        <v>0</v>
      </c>
      <c r="P612" s="1423">
        <f t="shared" ref="P612" ca="1" si="867">IF(AND(P610=0,O612=0),0,
IF(AND(P610&lt;&gt;0,O612=0),(P610/P$10),
IF(AND(P611&lt;&gt;0,O612&lt;&gt;0),(O612-(O612/O636))+(P610/P$10),
IF(O636&lt;1,0,(O612-(O612/O636))))))</f>
        <v>0</v>
      </c>
      <c r="Q612" s="1423">
        <f t="shared" ref="Q612" ca="1" si="868">IF(AND(Q610=0,P612=0),0,
IF(AND(Q610&lt;&gt;0,P612=0),(Q610/Q$10),
IF(AND(Q611&lt;&gt;0,P612&lt;&gt;0),(P612-(P612/P636))+(Q610/Q$10),
IF(P636&lt;1,0,(P612-(P612/P636))))))</f>
        <v>0</v>
      </c>
      <c r="R612" s="1423">
        <f t="shared" ref="R612" ca="1" si="869">IF(AND(R610=0,Q612=0),0,
IF(AND(R610&lt;&gt;0,Q612=0),(R610/R$10),
IF(AND(R611&lt;&gt;0,Q612&lt;&gt;0),(Q612-(Q612/Q636))+(R610/R$10),
IF(Q636&lt;1,0,(Q612-(Q612/Q636))))))</f>
        <v>0</v>
      </c>
      <c r="S612" s="1423">
        <f t="shared" ref="S612" ca="1" si="870">IF(AND(S610=0,R612=0),0,
IF(AND(S610&lt;&gt;0,R612=0),(S610/S$10),
IF(AND(S611&lt;&gt;0,R612&lt;&gt;0),(R612-(R612/R636))+(S610/S$10),
IF(R636&lt;1,0,(R612-(R612/R636))))))</f>
        <v>0</v>
      </c>
      <c r="T612" s="1423">
        <f t="shared" ref="T612" ca="1" si="871">IF(AND(T610=0,S612=0),0,
IF(AND(T610&lt;&gt;0,S612=0),(T610/T$10),
IF(AND(T611&lt;&gt;0,S612&lt;&gt;0),(S612-(S612/S636))+(T610/T$10),
IF(S636&lt;1,0,(S612-(S612/S636))))))</f>
        <v>0</v>
      </c>
      <c r="U612" s="1423">
        <f t="shared" ref="U612" ca="1" si="872">IF(AND(U610=0,T612=0),0,
IF(AND(U610&lt;&gt;0,T612=0),(U610/U$10),
IF(AND(U611&lt;&gt;0,T612&lt;&gt;0),(T612-(T612/T636))+(U610/U$10),
IF(T636&lt;1,0,(T612-(T612/T636))))))</f>
        <v>0</v>
      </c>
      <c r="V612" s="1423">
        <f t="shared" ref="V612" ca="1" si="873">IF(AND(V610=0,U612=0),0,
IF(AND(V610&lt;&gt;0,U612=0),(V610/V$10),
IF(AND(V611&lt;&gt;0,U612&lt;&gt;0),(U612-(U612/U636))+(V610/V$10),
IF(U636&lt;1,0,(U612-(U612/U636))))))</f>
        <v>0</v>
      </c>
      <c r="W612" s="1423">
        <f t="shared" ref="W612" ca="1" si="874">IF(AND(W610=0,V612=0),0,
IF(AND(W610&lt;&gt;0,V612=0),(W610/W$10),
IF(AND(W611&lt;&gt;0,V612&lt;&gt;0),(V612-(V612/V636))+(W610/W$10),
IF(V636&lt;1,0,(V612-(V612/V636))))))</f>
        <v>0</v>
      </c>
      <c r="X612" s="152"/>
      <c r="Y612" s="152"/>
      <c r="Z612" s="152"/>
      <c r="AA612" s="152"/>
      <c r="AB612" s="152"/>
    </row>
    <row r="613" spans="1:28" hidden="1" outlineLevel="1">
      <c r="A613" s="199">
        <f>A612+1</f>
        <v>0</v>
      </c>
      <c r="B613" s="190" t="s">
        <v>125</v>
      </c>
      <c r="C613" s="1423">
        <f ca="1">C608/C$10</f>
        <v>0</v>
      </c>
      <c r="D613" s="1423">
        <f ca="1">IF(C637="n/a",C613,IFERROR(IF((OFFSET($C613,0,$A613))&lt;0,
MIN(0,C613-(OFFSET($C613,0,$A613)/(OFFSET($C608,-$A612,$A613)))),
MAX(0,C613-(OFFSET($C613,0,$A613)/(OFFSET($C608,-$A612,$A613))))),0))</f>
        <v>0</v>
      </c>
      <c r="E613" s="1423">
        <f t="shared" ref="E613" ca="1" si="875">IF(D637="n/a",D613,IFERROR(IF((OFFSET($C613,0,$A613))&lt;0,
MIN(0,D613-(OFFSET($C613,0,$A613)/(OFFSET($C608,-$A612,$A613)))),
MAX(0,D613-(OFFSET($C613,0,$A613)/(OFFSET($C608,-$A612,$A613))))),0))</f>
        <v>0</v>
      </c>
      <c r="F613" s="1423">
        <f t="shared" ref="F613:F614" ca="1" si="876">IF(E637="n/a",E613,IFERROR(IF((OFFSET($C613,0,$A613))&lt;0,
MIN(0,E613-(OFFSET($C613,0,$A613)/(OFFSET($C608,-$A612,$A613)))),
MAX(0,E613-(OFFSET($C613,0,$A613)/(OFFSET($C608,-$A612,$A613))))),0))</f>
        <v>0</v>
      </c>
      <c r="G613" s="1423">
        <f t="shared" ref="G613:G615" ca="1" si="877">IF(F637="n/a",F613,IFERROR(IF((OFFSET($C613,0,$A613))&lt;0,
MIN(0,F613-(OFFSET($C613,0,$A613)/(OFFSET($C608,-$A612,$A613)))),
MAX(0,F613-(OFFSET($C613,0,$A613)/(OFFSET($C608,-$A612,$A613))))),0))</f>
        <v>0</v>
      </c>
      <c r="H613" s="1423">
        <f t="shared" ref="H613:H616" ca="1" si="878">IF(G637="n/a",G613,IFERROR(IF((OFFSET($C613,0,$A613))&lt;0,
MIN(0,G613-(OFFSET($C613,0,$A613)/(OFFSET($C608,-$A612,$A613)))),
MAX(0,G613-(OFFSET($C613,0,$A613)/(OFFSET($C608,-$A612,$A613))))),0))</f>
        <v>0</v>
      </c>
      <c r="I613" s="1423">
        <f t="shared" ref="I613:I617" ca="1" si="879">IF(H637="n/a",H613,IFERROR(IF((OFFSET($C613,0,$A613))&lt;0,
MIN(0,H613-(OFFSET($C613,0,$A613)/(OFFSET($C608,-$A612,$A613)))),
MAX(0,H613-(OFFSET($C613,0,$A613)/(OFFSET($C608,-$A612,$A613))))),0))</f>
        <v>0</v>
      </c>
      <c r="J613" s="1423">
        <f t="shared" ref="J613:J618" ca="1" si="880">IF(I637="n/a",I613,IFERROR(IF((OFFSET($C613,0,$A613))&lt;0,
MIN(0,I613-(OFFSET($C613,0,$A613)/(OFFSET($C608,-$A612,$A613)))),
MAX(0,I613-(OFFSET($C613,0,$A613)/(OFFSET($C608,-$A612,$A613))))),0))</f>
        <v>0</v>
      </c>
      <c r="K613" s="1423">
        <f t="shared" ref="K613:K619" ca="1" si="881">IF(J637="n/a",J613,IFERROR(IF((OFFSET($C613,0,$A613))&lt;0,
MIN(0,J613-(OFFSET($C613,0,$A613)/(OFFSET($C608,-$A612,$A613)))),
MAX(0,J613-(OFFSET($C613,0,$A613)/(OFFSET($C608,-$A612,$A613))))),0))</f>
        <v>0</v>
      </c>
      <c r="L613" s="1423">
        <f t="shared" ref="L613:L620" ca="1" si="882">IF(K637="n/a",K613,IFERROR(IF((OFFSET($C613,0,$A613))&lt;0,
MIN(0,K613-(OFFSET($C613,0,$A613)/(OFFSET($C608,-$A612,$A613)))),
MAX(0,K613-(OFFSET($C613,0,$A613)/(OFFSET($C608,-$A612,$A613))))),0))</f>
        <v>0</v>
      </c>
      <c r="M613" s="1423">
        <f t="shared" ref="M613:M621" ca="1" si="883">IF(L637="n/a",L613,IFERROR(IF((OFFSET($C613,0,$A613))&lt;0,
MIN(0,L613-(OFFSET($C613,0,$A613)/(OFFSET($C608,-$A612,$A613)))),
MAX(0,L613-(OFFSET($C613,0,$A613)/(OFFSET($C608,-$A612,$A613))))),0))</f>
        <v>0</v>
      </c>
      <c r="N613" s="1423">
        <f t="shared" ref="N613:N622" ca="1" si="884">IF(M637="n/a",M613,IFERROR(IF((OFFSET($C613,0,$A613))&lt;0,
MIN(0,M613-(OFFSET($C613,0,$A613)/(OFFSET($C608,-$A612,$A613)))),
MAX(0,M613-(OFFSET($C613,0,$A613)/(OFFSET($C608,-$A612,$A613))))),0))</f>
        <v>0</v>
      </c>
      <c r="O613" s="1423">
        <f t="shared" ref="O613:O623" ca="1" si="885">IF(N637="n/a",N613,IFERROR(IF((OFFSET($C613,0,$A613))&lt;0,
MIN(0,N613-(OFFSET($C613,0,$A613)/(OFFSET($C608,-$A612,$A613)))),
MAX(0,N613-(OFFSET($C613,0,$A613)/(OFFSET($C608,-$A612,$A613))))),0))</f>
        <v>0</v>
      </c>
      <c r="P613" s="1423">
        <f t="shared" ref="P613:P624" ca="1" si="886">IF(O637="n/a",O613,IFERROR(IF((OFFSET($C613,0,$A613))&lt;0,
MIN(0,O613-(OFFSET($C613,0,$A613)/(OFFSET($C608,-$A612,$A613)))),
MAX(0,O613-(OFFSET($C613,0,$A613)/(OFFSET($C608,-$A612,$A613))))),0))</f>
        <v>0</v>
      </c>
      <c r="Q613" s="1423">
        <f t="shared" ref="Q613:Q625" ca="1" si="887">IF(P637="n/a",P613,IFERROR(IF((OFFSET($C613,0,$A613))&lt;0,
MIN(0,P613-(OFFSET($C613,0,$A613)/(OFFSET($C608,-$A612,$A613)))),
MAX(0,P613-(OFFSET($C613,0,$A613)/(OFFSET($C608,-$A612,$A613))))),0))</f>
        <v>0</v>
      </c>
      <c r="R613" s="1423">
        <f t="shared" ref="R613:R626" ca="1" si="888">IF(Q637="n/a",Q613,IFERROR(IF((OFFSET($C613,0,$A613))&lt;0,
MIN(0,Q613-(OFFSET($C613,0,$A613)/(OFFSET($C608,-$A612,$A613)))),
MAX(0,Q613-(OFFSET($C613,0,$A613)/(OFFSET($C608,-$A612,$A613))))),0))</f>
        <v>0</v>
      </c>
      <c r="S613" s="1423">
        <f t="shared" ref="S613:S627" ca="1" si="889">IF(R637="n/a",R613,IFERROR(IF((OFFSET($C613,0,$A613))&lt;0,
MIN(0,R613-(OFFSET($C613,0,$A613)/(OFFSET($C608,-$A612,$A613)))),
MAX(0,R613-(OFFSET($C613,0,$A613)/(OFFSET($C608,-$A612,$A613))))),0))</f>
        <v>0</v>
      </c>
      <c r="T613" s="1423">
        <f t="shared" ref="T613:T628" ca="1" si="890">IF(S637="n/a",S613,IFERROR(IF((OFFSET($C613,0,$A613))&lt;0,
MIN(0,S613-(OFFSET($C613,0,$A613)/(OFFSET($C608,-$A612,$A613)))),
MAX(0,S613-(OFFSET($C613,0,$A613)/(OFFSET($C608,-$A612,$A613))))),0))</f>
        <v>0</v>
      </c>
      <c r="U613" s="1423">
        <f t="shared" ref="U613:U629" ca="1" si="891">IF(T637="n/a",T613,IFERROR(IF((OFFSET($C613,0,$A613))&lt;0,
MIN(0,T613-(OFFSET($C613,0,$A613)/(OFFSET($C608,-$A612,$A613)))),
MAX(0,T613-(OFFSET($C613,0,$A613)/(OFFSET($C608,-$A612,$A613))))),0))</f>
        <v>0</v>
      </c>
      <c r="V613" s="1423">
        <f t="shared" ref="V613:V630" ca="1" si="892">IF(U637="n/a",U613,IFERROR(IF((OFFSET($C613,0,$A613))&lt;0,
MIN(0,U613-(OFFSET($C613,0,$A613)/(OFFSET($C608,-$A612,$A613)))),
MAX(0,U613-(OFFSET($C613,0,$A613)/(OFFSET($C608,-$A612,$A613))))),0))</f>
        <v>0</v>
      </c>
      <c r="W613" s="1423">
        <f t="shared" ref="W613:W631" ca="1" si="893">IF(V637="n/a",V613,IFERROR(IF((OFFSET($C613,0,$A613))&lt;0,
MIN(0,V613-(OFFSET($C613,0,$A613)/(OFFSET($C608,-$A612,$A613)))),
MAX(0,V613-(OFFSET($C613,0,$A613)/(OFFSET($C608,-$A612,$A613))))),0))</f>
        <v>0</v>
      </c>
      <c r="X613" s="152"/>
      <c r="Y613" s="152"/>
      <c r="Z613" s="152"/>
      <c r="AA613" s="152"/>
      <c r="AB613" s="152"/>
    </row>
    <row r="614" spans="1:28" hidden="1" outlineLevel="1">
      <c r="A614" s="199">
        <f t="shared" ref="A614:A633" si="894">A613+1</f>
        <v>1</v>
      </c>
      <c r="B614" s="190" t="str">
        <f t="shared" ref="B614:B632" ca="1" si="895">"Depreciated Net Capex "&amp;OFFSET($C$6,0,A614)</f>
        <v>Depreciated Net Capex 2016-17</v>
      </c>
      <c r="C614" s="1424"/>
      <c r="D614" s="1425">
        <f>(D608*((1+D$11)^0.5)/D$10)</f>
        <v>0</v>
      </c>
      <c r="E614" s="1423">
        <f ca="1">IF(D638="n/a",D614,IFERROR(IF((OFFSET($C614,0,$A614))&lt;0,
MIN(0,D614-(OFFSET($C614,0,$A614)/(OFFSET($C609,-$A613,$A614)))),
MAX(0,D614-(OFFSET($C614,0,$A614)/(OFFSET($C609,-$A613,$A614))))),0))</f>
        <v>0</v>
      </c>
      <c r="F614" s="1423">
        <f t="shared" ca="1" si="876"/>
        <v>0</v>
      </c>
      <c r="G614" s="1423">
        <f t="shared" ca="1" si="877"/>
        <v>0</v>
      </c>
      <c r="H614" s="1423">
        <f t="shared" ca="1" si="878"/>
        <v>0</v>
      </c>
      <c r="I614" s="1423">
        <f t="shared" ca="1" si="879"/>
        <v>0</v>
      </c>
      <c r="J614" s="1423">
        <f t="shared" ca="1" si="880"/>
        <v>0</v>
      </c>
      <c r="K614" s="1423">
        <f t="shared" ca="1" si="881"/>
        <v>0</v>
      </c>
      <c r="L614" s="1423">
        <f t="shared" ca="1" si="882"/>
        <v>0</v>
      </c>
      <c r="M614" s="1423">
        <f t="shared" ca="1" si="883"/>
        <v>0</v>
      </c>
      <c r="N614" s="1423">
        <f t="shared" ca="1" si="884"/>
        <v>0</v>
      </c>
      <c r="O614" s="1423">
        <f t="shared" ca="1" si="885"/>
        <v>0</v>
      </c>
      <c r="P614" s="1423">
        <f t="shared" ca="1" si="886"/>
        <v>0</v>
      </c>
      <c r="Q614" s="1423">
        <f t="shared" ca="1" si="887"/>
        <v>0</v>
      </c>
      <c r="R614" s="1423">
        <f t="shared" ca="1" si="888"/>
        <v>0</v>
      </c>
      <c r="S614" s="1423">
        <f t="shared" ca="1" si="889"/>
        <v>0</v>
      </c>
      <c r="T614" s="1423">
        <f t="shared" ca="1" si="890"/>
        <v>0</v>
      </c>
      <c r="U614" s="1423">
        <f t="shared" ca="1" si="891"/>
        <v>0</v>
      </c>
      <c r="V614" s="1423">
        <f t="shared" ca="1" si="892"/>
        <v>0</v>
      </c>
      <c r="W614" s="1423">
        <f t="shared" ca="1" si="893"/>
        <v>0</v>
      </c>
      <c r="X614" s="152"/>
      <c r="Y614" s="152"/>
      <c r="Z614" s="152"/>
      <c r="AA614" s="152"/>
      <c r="AB614" s="152"/>
    </row>
    <row r="615" spans="1:28" hidden="1" outlineLevel="1">
      <c r="A615" s="199">
        <f t="shared" si="894"/>
        <v>2</v>
      </c>
      <c r="B615" s="190" t="str">
        <f t="shared" ca="1" si="895"/>
        <v>Depreciated Net Capex 2017-18</v>
      </c>
      <c r="C615" s="1426"/>
      <c r="D615" s="1427"/>
      <c r="E615" s="1425">
        <f>(E608*((1+E$11)^0.5)/E$10)</f>
        <v>0</v>
      </c>
      <c r="F615" s="1423">
        <f ca="1">IF(E639="n/a",E615,IFERROR(IF((OFFSET($C615,0,$A615))&lt;0,
MIN(0,E615-(OFFSET($C615,0,$A615)/(OFFSET($C610,-$A614,$A615)))),
MAX(0,E615-(OFFSET($C615,0,$A615)/(OFFSET($C610,-$A614,$A615))))),0))</f>
        <v>0</v>
      </c>
      <c r="G615" s="1423">
        <f t="shared" ca="1" si="877"/>
        <v>0</v>
      </c>
      <c r="H615" s="1423">
        <f t="shared" ca="1" si="878"/>
        <v>0</v>
      </c>
      <c r="I615" s="1423">
        <f t="shared" ca="1" si="879"/>
        <v>0</v>
      </c>
      <c r="J615" s="1423">
        <f t="shared" ca="1" si="880"/>
        <v>0</v>
      </c>
      <c r="K615" s="1423">
        <f t="shared" ca="1" si="881"/>
        <v>0</v>
      </c>
      <c r="L615" s="1423">
        <f t="shared" ca="1" si="882"/>
        <v>0</v>
      </c>
      <c r="M615" s="1423">
        <f t="shared" ca="1" si="883"/>
        <v>0</v>
      </c>
      <c r="N615" s="1423">
        <f t="shared" ca="1" si="884"/>
        <v>0</v>
      </c>
      <c r="O615" s="1423">
        <f t="shared" ca="1" si="885"/>
        <v>0</v>
      </c>
      <c r="P615" s="1423">
        <f t="shared" ca="1" si="886"/>
        <v>0</v>
      </c>
      <c r="Q615" s="1423">
        <f t="shared" ca="1" si="887"/>
        <v>0</v>
      </c>
      <c r="R615" s="1423">
        <f t="shared" ca="1" si="888"/>
        <v>0</v>
      </c>
      <c r="S615" s="1423">
        <f t="shared" ca="1" si="889"/>
        <v>0</v>
      </c>
      <c r="T615" s="1423">
        <f t="shared" ca="1" si="890"/>
        <v>0</v>
      </c>
      <c r="U615" s="1423">
        <f t="shared" ca="1" si="891"/>
        <v>0</v>
      </c>
      <c r="V615" s="1423">
        <f t="shared" ca="1" si="892"/>
        <v>0</v>
      </c>
      <c r="W615" s="1423">
        <f t="shared" ca="1" si="893"/>
        <v>0</v>
      </c>
      <c r="X615" s="202"/>
      <c r="Y615" s="152"/>
      <c r="Z615" s="152"/>
      <c r="AA615" s="152"/>
      <c r="AB615" s="152"/>
    </row>
    <row r="616" spans="1:28" hidden="1" outlineLevel="1">
      <c r="A616" s="199">
        <f t="shared" si="894"/>
        <v>3</v>
      </c>
      <c r="B616" s="190" t="str">
        <f t="shared" ca="1" si="895"/>
        <v>Depreciated Net Capex 2018-19</v>
      </c>
      <c r="C616" s="1426"/>
      <c r="D616" s="1426"/>
      <c r="E616" s="1427"/>
      <c r="F616" s="1428">
        <f>($F608*((1+F$11)^0.5)/F$10)</f>
        <v>0</v>
      </c>
      <c r="G616" s="1423">
        <f ca="1">IF(F640="n/a",F616,IFERROR(IF((OFFSET($C616,0,$A616))&lt;0,
MIN(0,F616-(OFFSET($C616,0,$A616)/(OFFSET($C611,-$A615,$A616)))),
MAX(0,F616-(OFFSET($C616,0,$A616)/(OFFSET($C611,-$A615,$A616))))),0))</f>
        <v>0</v>
      </c>
      <c r="H616" s="1423">
        <f t="shared" ca="1" si="878"/>
        <v>0</v>
      </c>
      <c r="I616" s="1423">
        <f t="shared" ca="1" si="879"/>
        <v>0</v>
      </c>
      <c r="J616" s="1423">
        <f t="shared" ca="1" si="880"/>
        <v>0</v>
      </c>
      <c r="K616" s="1423">
        <f t="shared" ca="1" si="881"/>
        <v>0</v>
      </c>
      <c r="L616" s="1423">
        <f t="shared" ca="1" si="882"/>
        <v>0</v>
      </c>
      <c r="M616" s="1423">
        <f t="shared" ca="1" si="883"/>
        <v>0</v>
      </c>
      <c r="N616" s="1423">
        <f t="shared" ca="1" si="884"/>
        <v>0</v>
      </c>
      <c r="O616" s="1423">
        <f t="shared" ca="1" si="885"/>
        <v>0</v>
      </c>
      <c r="P616" s="1423">
        <f t="shared" ca="1" si="886"/>
        <v>0</v>
      </c>
      <c r="Q616" s="1423">
        <f t="shared" ca="1" si="887"/>
        <v>0</v>
      </c>
      <c r="R616" s="1423">
        <f t="shared" ca="1" si="888"/>
        <v>0</v>
      </c>
      <c r="S616" s="1423">
        <f t="shared" ca="1" si="889"/>
        <v>0</v>
      </c>
      <c r="T616" s="1423">
        <f t="shared" ca="1" si="890"/>
        <v>0</v>
      </c>
      <c r="U616" s="1423">
        <f t="shared" ca="1" si="891"/>
        <v>0</v>
      </c>
      <c r="V616" s="1423">
        <f t="shared" ca="1" si="892"/>
        <v>0</v>
      </c>
      <c r="W616" s="1423">
        <f t="shared" ca="1" si="893"/>
        <v>0</v>
      </c>
      <c r="X616" s="202"/>
      <c r="Y616" s="202"/>
      <c r="Z616" s="152"/>
      <c r="AA616" s="152"/>
      <c r="AB616" s="152"/>
    </row>
    <row r="617" spans="1:28" hidden="1" outlineLevel="1">
      <c r="A617" s="199">
        <f t="shared" si="894"/>
        <v>4</v>
      </c>
      <c r="B617" s="190" t="str">
        <f t="shared" ca="1" si="895"/>
        <v>Depreciated Net Capex 2019-20</v>
      </c>
      <c r="C617" s="1426"/>
      <c r="D617" s="1426"/>
      <c r="E617" s="1426"/>
      <c r="F617" s="1427"/>
      <c r="G617" s="1428">
        <f>($G608*((1+G$11)^0.5)/G$10)</f>
        <v>0</v>
      </c>
      <c r="H617" s="1423">
        <f ca="1">IF(G641="n/a",G617,IFERROR(IF((OFFSET($C617,0,$A617))&lt;0,
MIN(0,G617-(OFFSET($C617,0,$A617)/(OFFSET($C612,-$A616,$A617)))),
MAX(0,G617-(OFFSET($C617,0,$A617)/(OFFSET($C612,-$A616,$A617))))),0))</f>
        <v>0</v>
      </c>
      <c r="I617" s="1423">
        <f t="shared" ca="1" si="879"/>
        <v>0</v>
      </c>
      <c r="J617" s="1423">
        <f t="shared" ca="1" si="880"/>
        <v>0</v>
      </c>
      <c r="K617" s="1423">
        <f t="shared" ca="1" si="881"/>
        <v>0</v>
      </c>
      <c r="L617" s="1423">
        <f t="shared" ca="1" si="882"/>
        <v>0</v>
      </c>
      <c r="M617" s="1423">
        <f t="shared" ca="1" si="883"/>
        <v>0</v>
      </c>
      <c r="N617" s="1423">
        <f t="shared" ca="1" si="884"/>
        <v>0</v>
      </c>
      <c r="O617" s="1423">
        <f t="shared" ca="1" si="885"/>
        <v>0</v>
      </c>
      <c r="P617" s="1423">
        <f t="shared" ca="1" si="886"/>
        <v>0</v>
      </c>
      <c r="Q617" s="1423">
        <f t="shared" ca="1" si="887"/>
        <v>0</v>
      </c>
      <c r="R617" s="1423">
        <f t="shared" ca="1" si="888"/>
        <v>0</v>
      </c>
      <c r="S617" s="1423">
        <f t="shared" ca="1" si="889"/>
        <v>0</v>
      </c>
      <c r="T617" s="1423">
        <f t="shared" ca="1" si="890"/>
        <v>0</v>
      </c>
      <c r="U617" s="1423">
        <f t="shared" ca="1" si="891"/>
        <v>0</v>
      </c>
      <c r="V617" s="1423">
        <f t="shared" ca="1" si="892"/>
        <v>0</v>
      </c>
      <c r="W617" s="1423">
        <f t="shared" ca="1" si="893"/>
        <v>0</v>
      </c>
      <c r="X617" s="202"/>
      <c r="Y617" s="202"/>
      <c r="Z617" s="202"/>
      <c r="AA617" s="152"/>
      <c r="AB617" s="152"/>
    </row>
    <row r="618" spans="1:28" hidden="1" outlineLevel="1">
      <c r="A618" s="199">
        <f t="shared" si="894"/>
        <v>5</v>
      </c>
      <c r="B618" s="190" t="str">
        <f t="shared" ca="1" si="895"/>
        <v>Depreciated Net Capex 2020-21</v>
      </c>
      <c r="C618" s="1426"/>
      <c r="D618" s="1426"/>
      <c r="E618" s="1426"/>
      <c r="F618" s="1426"/>
      <c r="G618" s="1427"/>
      <c r="H618" s="1428">
        <f>(H608*((1+H$11)^0.5)/H$10)</f>
        <v>0</v>
      </c>
      <c r="I618" s="1423">
        <f ca="1">IF(H642="n/a",H618,IFERROR(IF((OFFSET($C618,0,$A618))&lt;0,
MIN(0,H618-(OFFSET($C618,0,$A618)/(OFFSET($C613,-$A617,$A618)))),
MAX(0,H618-(OFFSET($C618,0,$A618)/(OFFSET($C613,-$A617,$A618))))),0))</f>
        <v>0</v>
      </c>
      <c r="J618" s="1423">
        <f t="shared" ca="1" si="880"/>
        <v>0</v>
      </c>
      <c r="K618" s="1423">
        <f t="shared" ca="1" si="881"/>
        <v>0</v>
      </c>
      <c r="L618" s="1423">
        <f t="shared" ca="1" si="882"/>
        <v>0</v>
      </c>
      <c r="M618" s="1423">
        <f t="shared" ca="1" si="883"/>
        <v>0</v>
      </c>
      <c r="N618" s="1423">
        <f t="shared" ca="1" si="884"/>
        <v>0</v>
      </c>
      <c r="O618" s="1423">
        <f t="shared" ca="1" si="885"/>
        <v>0</v>
      </c>
      <c r="P618" s="1423">
        <f t="shared" ca="1" si="886"/>
        <v>0</v>
      </c>
      <c r="Q618" s="1423">
        <f t="shared" ca="1" si="887"/>
        <v>0</v>
      </c>
      <c r="R618" s="1423">
        <f t="shared" ca="1" si="888"/>
        <v>0</v>
      </c>
      <c r="S618" s="1423">
        <f t="shared" ca="1" si="889"/>
        <v>0</v>
      </c>
      <c r="T618" s="1423">
        <f t="shared" ca="1" si="890"/>
        <v>0</v>
      </c>
      <c r="U618" s="1423">
        <f t="shared" ca="1" si="891"/>
        <v>0</v>
      </c>
      <c r="V618" s="1423">
        <f t="shared" ca="1" si="892"/>
        <v>0</v>
      </c>
      <c r="W618" s="1423">
        <f t="shared" ca="1" si="893"/>
        <v>0</v>
      </c>
      <c r="X618" s="202"/>
      <c r="Y618" s="202"/>
      <c r="Z618" s="202"/>
      <c r="AA618" s="152"/>
      <c r="AB618" s="152"/>
    </row>
    <row r="619" spans="1:28" hidden="1" outlineLevel="1">
      <c r="A619" s="199">
        <f t="shared" si="894"/>
        <v>6</v>
      </c>
      <c r="B619" s="190" t="str">
        <f t="shared" ca="1" si="895"/>
        <v>Depreciated Net Capex 2021-22</v>
      </c>
      <c r="C619" s="1426"/>
      <c r="D619" s="1426"/>
      <c r="E619" s="1426"/>
      <c r="F619" s="1426"/>
      <c r="G619" s="1426"/>
      <c r="H619" s="1427"/>
      <c r="I619" s="1428">
        <f>(I608*((1+I$11)^0.5)/I$10)</f>
        <v>0</v>
      </c>
      <c r="J619" s="1423">
        <f ca="1">IF(I643="n/a",I619,IFERROR(IF((OFFSET($C619,0,$A619))&lt;0,
MIN(0,I619-(OFFSET($C619,0,$A619)/(OFFSET($C614,-$A618,$A619)))),
MAX(0,I619-(OFFSET($C619,0,$A619)/(OFFSET($C614,-$A618,$A619))))),0))</f>
        <v>0</v>
      </c>
      <c r="K619" s="1423">
        <f t="shared" ca="1" si="881"/>
        <v>0</v>
      </c>
      <c r="L619" s="1423">
        <f t="shared" ca="1" si="882"/>
        <v>0</v>
      </c>
      <c r="M619" s="1423">
        <f t="shared" ca="1" si="883"/>
        <v>0</v>
      </c>
      <c r="N619" s="1423">
        <f t="shared" ca="1" si="884"/>
        <v>0</v>
      </c>
      <c r="O619" s="1423">
        <f t="shared" ca="1" si="885"/>
        <v>0</v>
      </c>
      <c r="P619" s="1423">
        <f t="shared" ca="1" si="886"/>
        <v>0</v>
      </c>
      <c r="Q619" s="1423">
        <f t="shared" ca="1" si="887"/>
        <v>0</v>
      </c>
      <c r="R619" s="1423">
        <f t="shared" ca="1" si="888"/>
        <v>0</v>
      </c>
      <c r="S619" s="1423">
        <f t="shared" ca="1" si="889"/>
        <v>0</v>
      </c>
      <c r="T619" s="1423">
        <f t="shared" ca="1" si="890"/>
        <v>0</v>
      </c>
      <c r="U619" s="1423">
        <f t="shared" ca="1" si="891"/>
        <v>0</v>
      </c>
      <c r="V619" s="1423">
        <f t="shared" ca="1" si="892"/>
        <v>0</v>
      </c>
      <c r="W619" s="1423">
        <f t="shared" ca="1" si="893"/>
        <v>0</v>
      </c>
      <c r="X619" s="202"/>
      <c r="Y619" s="202"/>
      <c r="Z619" s="202"/>
      <c r="AA619" s="152"/>
      <c r="AB619" s="152"/>
    </row>
    <row r="620" spans="1:28" hidden="1" outlineLevel="1">
      <c r="A620" s="199">
        <f t="shared" si="894"/>
        <v>7</v>
      </c>
      <c r="B620" s="190" t="str">
        <f t="shared" ca="1" si="895"/>
        <v>Depreciated Net Capex 2022-23</v>
      </c>
      <c r="C620" s="1426"/>
      <c r="D620" s="1426"/>
      <c r="E620" s="1426"/>
      <c r="F620" s="1426"/>
      <c r="G620" s="1426"/>
      <c r="H620" s="1426"/>
      <c r="I620" s="1427"/>
      <c r="J620" s="1428">
        <f>(J608*((1+J$11)^0.5)/J$10)</f>
        <v>0</v>
      </c>
      <c r="K620" s="1423">
        <f ca="1">IF(J644="n/a",J620,IFERROR(IF((OFFSET($C620,0,$A620))&lt;0,
MIN(0,J620-(OFFSET($C620,0,$A620)/(OFFSET($C615,-$A619,$A620)))),
MAX(0,J620-(OFFSET($C620,0,$A620)/(OFFSET($C615,-$A619,$A620))))),0))</f>
        <v>0</v>
      </c>
      <c r="L620" s="1423">
        <f t="shared" ca="1" si="882"/>
        <v>0</v>
      </c>
      <c r="M620" s="1423">
        <f t="shared" ca="1" si="883"/>
        <v>0</v>
      </c>
      <c r="N620" s="1423">
        <f t="shared" ca="1" si="884"/>
        <v>0</v>
      </c>
      <c r="O620" s="1423">
        <f t="shared" ca="1" si="885"/>
        <v>0</v>
      </c>
      <c r="P620" s="1423">
        <f t="shared" ca="1" si="886"/>
        <v>0</v>
      </c>
      <c r="Q620" s="1423">
        <f t="shared" ca="1" si="887"/>
        <v>0</v>
      </c>
      <c r="R620" s="1423">
        <f t="shared" ca="1" si="888"/>
        <v>0</v>
      </c>
      <c r="S620" s="1423">
        <f t="shared" ca="1" si="889"/>
        <v>0</v>
      </c>
      <c r="T620" s="1423">
        <f t="shared" ca="1" si="890"/>
        <v>0</v>
      </c>
      <c r="U620" s="1423">
        <f t="shared" ca="1" si="891"/>
        <v>0</v>
      </c>
      <c r="V620" s="1423">
        <f t="shared" ca="1" si="892"/>
        <v>0</v>
      </c>
      <c r="W620" s="1423">
        <f t="shared" ca="1" si="893"/>
        <v>0</v>
      </c>
      <c r="X620" s="202"/>
      <c r="Y620" s="202"/>
      <c r="Z620" s="202"/>
      <c r="AA620" s="152"/>
      <c r="AB620" s="152"/>
    </row>
    <row r="621" spans="1:28" hidden="1" outlineLevel="1">
      <c r="A621" s="199">
        <f t="shared" si="894"/>
        <v>8</v>
      </c>
      <c r="B621" s="190" t="str">
        <f t="shared" ca="1" si="895"/>
        <v>Depreciated Net Capex 2023-24</v>
      </c>
      <c r="C621" s="1426"/>
      <c r="D621" s="1426"/>
      <c r="E621" s="1426"/>
      <c r="F621" s="1426"/>
      <c r="G621" s="1426"/>
      <c r="H621" s="1426"/>
      <c r="I621" s="1426"/>
      <c r="J621" s="1427"/>
      <c r="K621" s="1428">
        <f>(K608*((1+K$11)^0.5)/K$10)</f>
        <v>0</v>
      </c>
      <c r="L621" s="1423">
        <f ca="1">IF(K645="n/a",K621,IFERROR(IF((OFFSET($C621,0,$A621))&lt;0,
MIN(0,K621-(OFFSET($C621,0,$A621)/(OFFSET($C616,-$A620,$A621)))),
MAX(0,K621-(OFFSET($C621,0,$A621)/(OFFSET($C616,-$A620,$A621))))),0))</f>
        <v>0</v>
      </c>
      <c r="M621" s="1423">
        <f t="shared" ca="1" si="883"/>
        <v>0</v>
      </c>
      <c r="N621" s="1423">
        <f t="shared" ca="1" si="884"/>
        <v>0</v>
      </c>
      <c r="O621" s="1423">
        <f t="shared" ca="1" si="885"/>
        <v>0</v>
      </c>
      <c r="P621" s="1423">
        <f t="shared" ca="1" si="886"/>
        <v>0</v>
      </c>
      <c r="Q621" s="1423">
        <f t="shared" ca="1" si="887"/>
        <v>0</v>
      </c>
      <c r="R621" s="1423">
        <f t="shared" ca="1" si="888"/>
        <v>0</v>
      </c>
      <c r="S621" s="1423">
        <f t="shared" ca="1" si="889"/>
        <v>0</v>
      </c>
      <c r="T621" s="1423">
        <f t="shared" ca="1" si="890"/>
        <v>0</v>
      </c>
      <c r="U621" s="1423">
        <f t="shared" ca="1" si="891"/>
        <v>0</v>
      </c>
      <c r="V621" s="1423">
        <f t="shared" ca="1" si="892"/>
        <v>0</v>
      </c>
      <c r="W621" s="1423">
        <f t="shared" ca="1" si="893"/>
        <v>0</v>
      </c>
      <c r="X621" s="202"/>
      <c r="Y621" s="202"/>
      <c r="Z621" s="202"/>
      <c r="AA621" s="152"/>
      <c r="AB621" s="152"/>
    </row>
    <row r="622" spans="1:28" hidden="1" outlineLevel="1">
      <c r="A622" s="199">
        <f t="shared" si="894"/>
        <v>9</v>
      </c>
      <c r="B622" s="190" t="str">
        <f t="shared" ca="1" si="895"/>
        <v>Depreciated Net Capex 2024-25</v>
      </c>
      <c r="C622" s="1426"/>
      <c r="D622" s="1426"/>
      <c r="E622" s="1426"/>
      <c r="F622" s="1426"/>
      <c r="G622" s="1426"/>
      <c r="H622" s="1426"/>
      <c r="I622" s="1426"/>
      <c r="J622" s="1426"/>
      <c r="K622" s="1427"/>
      <c r="L622" s="1428">
        <f>(L608*((1+L$11)^0.5)/L$10)</f>
        <v>0</v>
      </c>
      <c r="M622" s="1423">
        <f ca="1">IF(L646="n/a",L622,IFERROR(IF((OFFSET($C622,0,$A622))&lt;0,
MIN(0,L622-(OFFSET($C622,0,$A622)/(OFFSET($C617,-$A621,$A622)))),
MAX(0,L622-(OFFSET($C622,0,$A622)/(OFFSET($C617,-$A621,$A622))))),0))</f>
        <v>0</v>
      </c>
      <c r="N622" s="1423">
        <f t="shared" ca="1" si="884"/>
        <v>0</v>
      </c>
      <c r="O622" s="1423">
        <f t="shared" ca="1" si="885"/>
        <v>0</v>
      </c>
      <c r="P622" s="1423">
        <f t="shared" ca="1" si="886"/>
        <v>0</v>
      </c>
      <c r="Q622" s="1423">
        <f t="shared" ca="1" si="887"/>
        <v>0</v>
      </c>
      <c r="R622" s="1423">
        <f t="shared" ca="1" si="888"/>
        <v>0</v>
      </c>
      <c r="S622" s="1423">
        <f t="shared" ca="1" si="889"/>
        <v>0</v>
      </c>
      <c r="T622" s="1423">
        <f t="shared" ca="1" si="890"/>
        <v>0</v>
      </c>
      <c r="U622" s="1423">
        <f t="shared" ca="1" si="891"/>
        <v>0</v>
      </c>
      <c r="V622" s="1423">
        <f t="shared" ca="1" si="892"/>
        <v>0</v>
      </c>
      <c r="W622" s="1423">
        <f t="shared" ca="1" si="893"/>
        <v>0</v>
      </c>
      <c r="X622" s="202"/>
      <c r="Y622" s="202"/>
      <c r="Z622" s="202"/>
      <c r="AA622" s="152"/>
      <c r="AB622" s="152"/>
    </row>
    <row r="623" spans="1:28" hidden="1" outlineLevel="1">
      <c r="A623" s="199">
        <f t="shared" si="894"/>
        <v>10</v>
      </c>
      <c r="B623" s="190" t="str">
        <f t="shared" ca="1" si="895"/>
        <v>Depreciated Net Capex 2025-26</v>
      </c>
      <c r="C623" s="1426"/>
      <c r="D623" s="1426"/>
      <c r="E623" s="1426"/>
      <c r="F623" s="1426"/>
      <c r="G623" s="1426"/>
      <c r="H623" s="1426"/>
      <c r="I623" s="1426"/>
      <c r="J623" s="1426"/>
      <c r="K623" s="1426"/>
      <c r="L623" s="1427"/>
      <c r="M623" s="1428">
        <f>(M608*((1+M$11)^0.5)/M$10)</f>
        <v>0</v>
      </c>
      <c r="N623" s="1423">
        <f ca="1">IF(M647="n/a",M623,IFERROR(IF((OFFSET($C623,0,$A623))&lt;0,
MIN(0,M623-(OFFSET($C623,0,$A623)/(OFFSET($C618,-$A622,$A623)))),
MAX(0,M623-(OFFSET($C623,0,$A623)/(OFFSET($C618,-$A622,$A623))))),0))</f>
        <v>0</v>
      </c>
      <c r="O623" s="1423">
        <f t="shared" ca="1" si="885"/>
        <v>0</v>
      </c>
      <c r="P623" s="1423">
        <f t="shared" ca="1" si="886"/>
        <v>0</v>
      </c>
      <c r="Q623" s="1423">
        <f t="shared" ca="1" si="887"/>
        <v>0</v>
      </c>
      <c r="R623" s="1423">
        <f t="shared" ca="1" si="888"/>
        <v>0</v>
      </c>
      <c r="S623" s="1423">
        <f t="shared" ca="1" si="889"/>
        <v>0</v>
      </c>
      <c r="T623" s="1423">
        <f t="shared" ca="1" si="890"/>
        <v>0</v>
      </c>
      <c r="U623" s="1423">
        <f t="shared" ca="1" si="891"/>
        <v>0</v>
      </c>
      <c r="V623" s="1423">
        <f t="shared" ca="1" si="892"/>
        <v>0</v>
      </c>
      <c r="W623" s="1423">
        <f t="shared" ca="1" si="893"/>
        <v>0</v>
      </c>
      <c r="X623" s="202"/>
      <c r="Y623" s="202"/>
      <c r="Z623" s="202"/>
      <c r="AA623" s="152"/>
      <c r="AB623" s="152"/>
    </row>
    <row r="624" spans="1:28" hidden="1" outlineLevel="1">
      <c r="A624" s="199">
        <f t="shared" si="894"/>
        <v>11</v>
      </c>
      <c r="B624" s="190" t="str">
        <f t="shared" ca="1" si="895"/>
        <v>Depreciated Net Capex 2026-27</v>
      </c>
      <c r="C624" s="1426"/>
      <c r="D624" s="1426"/>
      <c r="E624" s="1426"/>
      <c r="F624" s="1426"/>
      <c r="G624" s="1426"/>
      <c r="H624" s="1426"/>
      <c r="I624" s="1426"/>
      <c r="J624" s="1426"/>
      <c r="K624" s="1426"/>
      <c r="L624" s="1426"/>
      <c r="M624" s="1427"/>
      <c r="N624" s="1428">
        <f>(N608*((1+N$11)^0.5)/N$10)</f>
        <v>0</v>
      </c>
      <c r="O624" s="1423">
        <f ca="1">IF(N648="n/a",N624,IFERROR(IF((OFFSET($C624,0,$A624))&lt;0,
MIN(0,N624-(OFFSET($C624,0,$A624)/(OFFSET($C619,-$A623,$A624)))),
MAX(0,N624-(OFFSET($C624,0,$A624)/(OFFSET($C619,-$A623,$A624))))),0))</f>
        <v>0</v>
      </c>
      <c r="P624" s="1423">
        <f t="shared" ca="1" si="886"/>
        <v>0</v>
      </c>
      <c r="Q624" s="1423">
        <f t="shared" ca="1" si="887"/>
        <v>0</v>
      </c>
      <c r="R624" s="1423">
        <f t="shared" ca="1" si="888"/>
        <v>0</v>
      </c>
      <c r="S624" s="1423">
        <f t="shared" ca="1" si="889"/>
        <v>0</v>
      </c>
      <c r="T624" s="1423">
        <f t="shared" ca="1" si="890"/>
        <v>0</v>
      </c>
      <c r="U624" s="1423">
        <f t="shared" ca="1" si="891"/>
        <v>0</v>
      </c>
      <c r="V624" s="1423">
        <f t="shared" ca="1" si="892"/>
        <v>0</v>
      </c>
      <c r="W624" s="1423">
        <f t="shared" ca="1" si="893"/>
        <v>0</v>
      </c>
      <c r="X624" s="202"/>
      <c r="Y624" s="202"/>
      <c r="Z624" s="202"/>
      <c r="AA624" s="152"/>
      <c r="AB624" s="152"/>
    </row>
    <row r="625" spans="1:28" hidden="1" outlineLevel="1">
      <c r="A625" s="199">
        <f t="shared" si="894"/>
        <v>12</v>
      </c>
      <c r="B625" s="190" t="str">
        <f t="shared" ca="1" si="895"/>
        <v>Depreciated Net Capex 2027-28</v>
      </c>
      <c r="C625" s="1426"/>
      <c r="D625" s="1426"/>
      <c r="E625" s="1426"/>
      <c r="F625" s="1426"/>
      <c r="G625" s="1426"/>
      <c r="H625" s="1426"/>
      <c r="I625" s="1426"/>
      <c r="J625" s="1426"/>
      <c r="K625" s="1426"/>
      <c r="L625" s="1426"/>
      <c r="M625" s="1426"/>
      <c r="N625" s="1427"/>
      <c r="O625" s="1428">
        <f>(O608*((1+O$11)^0.5)/O$10)</f>
        <v>0</v>
      </c>
      <c r="P625" s="1423">
        <f ca="1">IF(O649="n/a",O625,IFERROR(IF((OFFSET($C625,0,$A625))&lt;0,
MIN(0,O625-(OFFSET($C625,0,$A625)/(OFFSET($C620,-$A624,$A625)))),
MAX(0,O625-(OFFSET($C625,0,$A625)/(OFFSET($C620,-$A624,$A625))))),0))</f>
        <v>0</v>
      </c>
      <c r="Q625" s="1423">
        <f t="shared" ca="1" si="887"/>
        <v>0</v>
      </c>
      <c r="R625" s="1423">
        <f t="shared" ca="1" si="888"/>
        <v>0</v>
      </c>
      <c r="S625" s="1423">
        <f t="shared" ca="1" si="889"/>
        <v>0</v>
      </c>
      <c r="T625" s="1423">
        <f t="shared" ca="1" si="890"/>
        <v>0</v>
      </c>
      <c r="U625" s="1423">
        <f t="shared" ca="1" si="891"/>
        <v>0</v>
      </c>
      <c r="V625" s="1423">
        <f t="shared" ca="1" si="892"/>
        <v>0</v>
      </c>
      <c r="W625" s="1423">
        <f t="shared" ca="1" si="893"/>
        <v>0</v>
      </c>
      <c r="X625" s="202"/>
      <c r="Y625" s="202"/>
      <c r="Z625" s="202"/>
      <c r="AA625" s="152"/>
      <c r="AB625" s="152"/>
    </row>
    <row r="626" spans="1:28" hidden="1" outlineLevel="1">
      <c r="A626" s="199">
        <f t="shared" si="894"/>
        <v>13</v>
      </c>
      <c r="B626" s="190" t="str">
        <f t="shared" ca="1" si="895"/>
        <v>Depreciated Net Capex 2028-29</v>
      </c>
      <c r="C626" s="1426"/>
      <c r="D626" s="1426"/>
      <c r="E626" s="1426"/>
      <c r="F626" s="1426"/>
      <c r="G626" s="1426"/>
      <c r="H626" s="1426"/>
      <c r="I626" s="1426"/>
      <c r="J626" s="1426"/>
      <c r="K626" s="1426"/>
      <c r="L626" s="1426"/>
      <c r="M626" s="1426"/>
      <c r="N626" s="1426"/>
      <c r="O626" s="1427"/>
      <c r="P626" s="1428">
        <f>(P608*((1+P$11)^0.5)/P$10)</f>
        <v>0</v>
      </c>
      <c r="Q626" s="1423">
        <f ca="1">IF(P650="n/a",P626,IFERROR(IF((OFFSET($C626,0,$A626))&lt;0,
MIN(0,P626-(OFFSET($C626,0,$A626)/(OFFSET($C621,-$A625,$A626)))),
MAX(0,P626-(OFFSET($C626,0,$A626)/(OFFSET($C621,-$A625,$A626))))),0))</f>
        <v>0</v>
      </c>
      <c r="R626" s="1423">
        <f t="shared" ca="1" si="888"/>
        <v>0</v>
      </c>
      <c r="S626" s="1423">
        <f t="shared" ca="1" si="889"/>
        <v>0</v>
      </c>
      <c r="T626" s="1423">
        <f t="shared" ca="1" si="890"/>
        <v>0</v>
      </c>
      <c r="U626" s="1423">
        <f t="shared" ca="1" si="891"/>
        <v>0</v>
      </c>
      <c r="V626" s="1423">
        <f t="shared" ca="1" si="892"/>
        <v>0</v>
      </c>
      <c r="W626" s="1423">
        <f t="shared" ca="1" si="893"/>
        <v>0</v>
      </c>
      <c r="X626" s="202"/>
      <c r="Y626" s="202"/>
      <c r="Z626" s="202"/>
      <c r="AA626" s="152"/>
      <c r="AB626" s="152"/>
    </row>
    <row r="627" spans="1:28" hidden="1" outlineLevel="1">
      <c r="A627" s="199">
        <f t="shared" si="894"/>
        <v>14</v>
      </c>
      <c r="B627" s="190" t="str">
        <f t="shared" ca="1" si="895"/>
        <v>Depreciated Net Capex 2029-30</v>
      </c>
      <c r="C627" s="1426"/>
      <c r="D627" s="1426"/>
      <c r="E627" s="1426"/>
      <c r="F627" s="1426"/>
      <c r="G627" s="1426"/>
      <c r="H627" s="1426"/>
      <c r="I627" s="1426"/>
      <c r="J627" s="1426"/>
      <c r="K627" s="1426"/>
      <c r="L627" s="1426"/>
      <c r="M627" s="1426"/>
      <c r="N627" s="1426"/>
      <c r="O627" s="1426"/>
      <c r="P627" s="1427"/>
      <c r="Q627" s="1428">
        <f>(Q608*((1+Q$11)^0.5)/Q$10)</f>
        <v>0</v>
      </c>
      <c r="R627" s="1423">
        <f ca="1">IF(Q651="n/a",Q627,IFERROR(IF((OFFSET($C627,0,$A627))&lt;0,
MIN(0,Q627-(OFFSET($C627,0,$A627)/(OFFSET($C622,-$A626,$A627)))),
MAX(0,Q627-(OFFSET($C627,0,$A627)/(OFFSET($C622,-$A626,$A627))))),0))</f>
        <v>0</v>
      </c>
      <c r="S627" s="1423">
        <f t="shared" ca="1" si="889"/>
        <v>0</v>
      </c>
      <c r="T627" s="1423">
        <f t="shared" ca="1" si="890"/>
        <v>0</v>
      </c>
      <c r="U627" s="1423">
        <f t="shared" ca="1" si="891"/>
        <v>0</v>
      </c>
      <c r="V627" s="1423">
        <f t="shared" ca="1" si="892"/>
        <v>0</v>
      </c>
      <c r="W627" s="1423">
        <f t="shared" ca="1" si="893"/>
        <v>0</v>
      </c>
      <c r="X627" s="202"/>
      <c r="Y627" s="202"/>
      <c r="Z627" s="202"/>
      <c r="AA627" s="152"/>
      <c r="AB627" s="152"/>
    </row>
    <row r="628" spans="1:28" hidden="1" outlineLevel="1">
      <c r="A628" s="199">
        <f t="shared" si="894"/>
        <v>15</v>
      </c>
      <c r="B628" s="190" t="str">
        <f t="shared" ca="1" si="895"/>
        <v>Depreciated Net Capex 2030-31</v>
      </c>
      <c r="C628" s="1426"/>
      <c r="D628" s="1426"/>
      <c r="E628" s="1426"/>
      <c r="F628" s="1426"/>
      <c r="G628" s="1426"/>
      <c r="H628" s="1426"/>
      <c r="I628" s="1426"/>
      <c r="J628" s="1426"/>
      <c r="K628" s="1426"/>
      <c r="L628" s="1426"/>
      <c r="M628" s="1426"/>
      <c r="N628" s="1426"/>
      <c r="O628" s="1426"/>
      <c r="P628" s="1426"/>
      <c r="Q628" s="1427"/>
      <c r="R628" s="1428">
        <f>(R608*((1+R$11)^0.5)/R$10)</f>
        <v>0</v>
      </c>
      <c r="S628" s="1423">
        <f ca="1">IF(R652="n/a",R628,IFERROR(IF((OFFSET($C628,0,$A628))&lt;0,
MIN(0,R628-(OFFSET($C628,0,$A628)/(OFFSET($C623,-$A627,$A628)))),
MAX(0,R628-(OFFSET($C628,0,$A628)/(OFFSET($C623,-$A627,$A628))))),0))</f>
        <v>0</v>
      </c>
      <c r="T628" s="1423">
        <f t="shared" ca="1" si="890"/>
        <v>0</v>
      </c>
      <c r="U628" s="1423">
        <f t="shared" ca="1" si="891"/>
        <v>0</v>
      </c>
      <c r="V628" s="1423">
        <f t="shared" ca="1" si="892"/>
        <v>0</v>
      </c>
      <c r="W628" s="1423">
        <f t="shared" ca="1" si="893"/>
        <v>0</v>
      </c>
      <c r="X628" s="202"/>
      <c r="Y628" s="202"/>
      <c r="Z628" s="202"/>
      <c r="AA628" s="152"/>
      <c r="AB628" s="152"/>
    </row>
    <row r="629" spans="1:28" hidden="1" outlineLevel="1">
      <c r="A629" s="199">
        <f t="shared" si="894"/>
        <v>16</v>
      </c>
      <c r="B629" s="190" t="str">
        <f t="shared" ca="1" si="895"/>
        <v>Depreciated Net Capex 2031-32</v>
      </c>
      <c r="C629" s="1426"/>
      <c r="D629" s="1426"/>
      <c r="E629" s="1426"/>
      <c r="F629" s="1426"/>
      <c r="G629" s="1426"/>
      <c r="H629" s="1426"/>
      <c r="I629" s="1426"/>
      <c r="J629" s="1426"/>
      <c r="K629" s="1426"/>
      <c r="L629" s="1426"/>
      <c r="M629" s="1426"/>
      <c r="N629" s="1426"/>
      <c r="O629" s="1426"/>
      <c r="P629" s="1426"/>
      <c r="Q629" s="1426"/>
      <c r="R629" s="1427"/>
      <c r="S629" s="1428">
        <f>(S608*((1+S$11)^0.5)/S$10)</f>
        <v>0</v>
      </c>
      <c r="T629" s="1423">
        <f ca="1">IF(S653="n/a",S629,IFERROR(IF((OFFSET($C629,0,$A629))&lt;0,
MIN(0,S629-(OFFSET($C629,0,$A629)/(OFFSET($C624,-$A628,$A629)))),
MAX(0,S629-(OFFSET($C629,0,$A629)/(OFFSET($C624,-$A628,$A629))))),0))</f>
        <v>0</v>
      </c>
      <c r="U629" s="1423">
        <f t="shared" ca="1" si="891"/>
        <v>0</v>
      </c>
      <c r="V629" s="1423">
        <f t="shared" ca="1" si="892"/>
        <v>0</v>
      </c>
      <c r="W629" s="1423">
        <f t="shared" ca="1" si="893"/>
        <v>0</v>
      </c>
      <c r="X629" s="202"/>
      <c r="Y629" s="202"/>
      <c r="Z629" s="202"/>
      <c r="AA629" s="152"/>
      <c r="AB629" s="152"/>
    </row>
    <row r="630" spans="1:28" hidden="1" outlineLevel="1">
      <c r="A630" s="199">
        <f t="shared" si="894"/>
        <v>17</v>
      </c>
      <c r="B630" s="190" t="str">
        <f t="shared" ca="1" si="895"/>
        <v>Depreciated Net Capex 2032-33</v>
      </c>
      <c r="C630" s="1426"/>
      <c r="D630" s="1426"/>
      <c r="E630" s="1426"/>
      <c r="F630" s="1426"/>
      <c r="G630" s="1426"/>
      <c r="H630" s="1426"/>
      <c r="I630" s="1426"/>
      <c r="J630" s="1426"/>
      <c r="K630" s="1426"/>
      <c r="L630" s="1426"/>
      <c r="M630" s="1426"/>
      <c r="N630" s="1426"/>
      <c r="O630" s="1426"/>
      <c r="P630" s="1426"/>
      <c r="Q630" s="1426"/>
      <c r="R630" s="1426"/>
      <c r="S630" s="1427"/>
      <c r="T630" s="1428">
        <f>(T608*((1+T$11)^0.5)/T$10)</f>
        <v>0</v>
      </c>
      <c r="U630" s="1423">
        <f ca="1">IF(T654="n/a",T630,IFERROR(IF((OFFSET($C630,0,$A630))&lt;0,
MIN(0,T630-(OFFSET($C630,0,$A630)/(OFFSET($C625,-$A629,$A630)))),
MAX(0,T630-(OFFSET($C630,0,$A630)/(OFFSET($C625,-$A629,$A630))))),0))</f>
        <v>0</v>
      </c>
      <c r="V630" s="1423">
        <f t="shared" ca="1" si="892"/>
        <v>0</v>
      </c>
      <c r="W630" s="1423">
        <f t="shared" ca="1" si="893"/>
        <v>0</v>
      </c>
      <c r="X630" s="202"/>
      <c r="Y630" s="202"/>
      <c r="Z630" s="202"/>
      <c r="AA630" s="152"/>
      <c r="AB630" s="152"/>
    </row>
    <row r="631" spans="1:28" hidden="1" outlineLevel="1">
      <c r="A631" s="199">
        <f t="shared" si="894"/>
        <v>18</v>
      </c>
      <c r="B631" s="190" t="str">
        <f t="shared" ca="1" si="895"/>
        <v>Depreciated Net Capex 2033-34</v>
      </c>
      <c r="C631" s="1426"/>
      <c r="D631" s="1426"/>
      <c r="E631" s="1426"/>
      <c r="F631" s="1426"/>
      <c r="G631" s="1426"/>
      <c r="H631" s="1426"/>
      <c r="I631" s="1426"/>
      <c r="J631" s="1426"/>
      <c r="K631" s="1426"/>
      <c r="L631" s="1426"/>
      <c r="M631" s="1426"/>
      <c r="N631" s="1426"/>
      <c r="O631" s="1426"/>
      <c r="P631" s="1426"/>
      <c r="Q631" s="1426"/>
      <c r="R631" s="1426"/>
      <c r="S631" s="1426"/>
      <c r="T631" s="1427"/>
      <c r="U631" s="1428">
        <f>(U608*((1+U$11)^0.5)/U$10)</f>
        <v>0</v>
      </c>
      <c r="V631" s="1423">
        <f ca="1">IF(U655="n/a",U631,IFERROR(IF((OFFSET($C631,0,$A631))&lt;0,
MIN(0,U631-(OFFSET($C631,0,$A631)/(OFFSET($C626,-$A630,$A631)))),
MAX(0,U631-(OFFSET($C631,0,$A631)/(OFFSET($C626,-$A630,$A631))))),0))</f>
        <v>0</v>
      </c>
      <c r="W631" s="1423">
        <f t="shared" ca="1" si="893"/>
        <v>0</v>
      </c>
      <c r="X631" s="202"/>
      <c r="Y631" s="202"/>
      <c r="Z631" s="202"/>
      <c r="AA631" s="152"/>
      <c r="AB631" s="152"/>
    </row>
    <row r="632" spans="1:28" hidden="1" outlineLevel="1">
      <c r="A632" s="199">
        <f t="shared" si="894"/>
        <v>19</v>
      </c>
      <c r="B632" s="190" t="str">
        <f t="shared" ca="1" si="895"/>
        <v>Depreciated Net Capex 2034-35</v>
      </c>
      <c r="C632" s="1426"/>
      <c r="D632" s="1426"/>
      <c r="E632" s="1426"/>
      <c r="F632" s="1426"/>
      <c r="G632" s="1426"/>
      <c r="H632" s="1426"/>
      <c r="I632" s="1426"/>
      <c r="J632" s="1426"/>
      <c r="K632" s="1426"/>
      <c r="L632" s="1426"/>
      <c r="M632" s="1426"/>
      <c r="N632" s="1426"/>
      <c r="O632" s="1426"/>
      <c r="P632" s="1426"/>
      <c r="Q632" s="1426"/>
      <c r="R632" s="1426"/>
      <c r="S632" s="1426"/>
      <c r="T632" s="1426"/>
      <c r="U632" s="1427"/>
      <c r="V632" s="1428">
        <f>(V608*((1+V$11)^0.5)/V$10)</f>
        <v>0</v>
      </c>
      <c r="W632" s="1423">
        <f ca="1">IF(V656="n/a",V632,IFERROR(IF((OFFSET($C632,0,$A632))&lt;0,
MIN(0,V632-(OFFSET($C632,0,$A632)/(OFFSET($C627,-$A631,$A632)))),
MAX(0,V632-(OFFSET($C632,0,$A632)/(OFFSET($C627,-$A631,$A632))))),0))</f>
        <v>0</v>
      </c>
      <c r="X632" s="202"/>
      <c r="Y632" s="202"/>
      <c r="Z632" s="202"/>
      <c r="AA632" s="152"/>
      <c r="AB632" s="152"/>
    </row>
    <row r="633" spans="1:28" hidden="1" outlineLevel="1">
      <c r="A633" s="199">
        <f t="shared" si="894"/>
        <v>20</v>
      </c>
      <c r="B633" s="190" t="str">
        <f ca="1">"Depreciated Net Capex "&amp;OFFSET($C$6,0,A633)</f>
        <v>Depreciated Net Capex 2035-36</v>
      </c>
      <c r="C633" s="1426"/>
      <c r="D633" s="1426"/>
      <c r="E633" s="1426"/>
      <c r="F633" s="1426"/>
      <c r="G633" s="1426"/>
      <c r="H633" s="1426"/>
      <c r="I633" s="1426"/>
      <c r="J633" s="1426"/>
      <c r="K633" s="1426"/>
      <c r="L633" s="1426"/>
      <c r="M633" s="1426"/>
      <c r="N633" s="1426"/>
      <c r="O633" s="1426"/>
      <c r="P633" s="1426"/>
      <c r="Q633" s="1426"/>
      <c r="R633" s="1426"/>
      <c r="S633" s="1426"/>
      <c r="T633" s="1426"/>
      <c r="U633" s="1426"/>
      <c r="V633" s="1427"/>
      <c r="W633" s="1423">
        <f>(W608*((1+W$11)^0.5)/W$10)</f>
        <v>0</v>
      </c>
      <c r="X633" s="152"/>
      <c r="Y633" s="152"/>
      <c r="Z633" s="152"/>
      <c r="AA633" s="152"/>
      <c r="AB633" s="152"/>
    </row>
    <row r="634" spans="1:28" hidden="1" outlineLevel="1">
      <c r="A634" s="152"/>
      <c r="B634" s="200"/>
      <c r="C634" s="1423"/>
      <c r="D634" s="1423"/>
      <c r="E634" s="1423"/>
      <c r="F634" s="1423"/>
      <c r="G634" s="1423"/>
      <c r="H634" s="1423"/>
      <c r="I634" s="1423"/>
      <c r="J634" s="1423"/>
      <c r="K634" s="1423"/>
      <c r="L634" s="1423"/>
      <c r="M634" s="1423"/>
      <c r="N634" s="1423"/>
      <c r="O634" s="1423"/>
      <c r="P634" s="1423"/>
      <c r="Q634" s="1423"/>
      <c r="R634" s="1423"/>
      <c r="S634" s="1423"/>
      <c r="T634" s="1423"/>
      <c r="U634" s="1423"/>
      <c r="V634" s="1423"/>
      <c r="W634" s="1423"/>
      <c r="X634" s="152"/>
      <c r="Y634" s="152"/>
      <c r="Z634" s="152"/>
      <c r="AA634" s="152"/>
      <c r="AB634" s="152"/>
    </row>
    <row r="635" spans="1:28" hidden="1" outlineLevel="1">
      <c r="A635" s="152"/>
      <c r="B635" s="200"/>
      <c r="C635" s="1423"/>
      <c r="D635" s="1423"/>
      <c r="E635" s="1423"/>
      <c r="F635" s="1423"/>
      <c r="G635" s="1423"/>
      <c r="H635" s="1423"/>
      <c r="I635" s="1423"/>
      <c r="J635" s="1423"/>
      <c r="K635" s="1423"/>
      <c r="L635" s="1423"/>
      <c r="M635" s="1423"/>
      <c r="N635" s="1423"/>
      <c r="O635" s="1423"/>
      <c r="P635" s="1423"/>
      <c r="Q635" s="1423"/>
      <c r="R635" s="1423"/>
      <c r="S635" s="1423"/>
      <c r="T635" s="1423"/>
      <c r="U635" s="1423"/>
      <c r="V635" s="1423"/>
      <c r="W635" s="1423"/>
      <c r="X635" s="152"/>
      <c r="Y635" s="152"/>
      <c r="Z635" s="152"/>
      <c r="AA635" s="152"/>
      <c r="AB635" s="152"/>
    </row>
    <row r="636" spans="1:28" hidden="1" outlineLevel="1">
      <c r="A636" s="152"/>
      <c r="B636" s="190" t="s">
        <v>190</v>
      </c>
      <c r="C636" s="1423"/>
      <c r="D636" s="1423">
        <f ca="1">IF(AND(C636&lt;1,D610=0),0,
IF(D610=0,C636-1,
IF(C636&lt;1,D611,
(((C636-1)*(C612-(C612/(C636))))+((D610/D$10)*D611))/(D612))))</f>
        <v>0</v>
      </c>
      <c r="E636" s="1423">
        <f t="shared" ref="E636" ca="1" si="896">IF(AND(D636&lt;1,E610=0),0,
IF(E610=0,D636-1,
IF(D636&lt;1,E611,
(((D636-1)*(D612-(D612/(D636))))+((E610/E$10)*E611))/(E612))))</f>
        <v>0</v>
      </c>
      <c r="F636" s="1423">
        <f t="shared" ref="F636" ca="1" si="897">IF(AND(E636&lt;1,F610=0),0,
IF(F610=0,E636-1,
IF(E636&lt;1,F611,
(((E636-1)*(E612-(E612/(E636))))+((F610/F$10)*F611))/(F612))))</f>
        <v>0</v>
      </c>
      <c r="G636" s="1423">
        <f t="shared" ref="G636" ca="1" si="898">IF(AND(F636&lt;1,G610=0),0,
IF(G610=0,F636-1,
IF(F636&lt;1,G611,
(((F636-1)*(F612-(F612/(F636))))+((G610/G$10)*G611))/(G612))))</f>
        <v>0</v>
      </c>
      <c r="H636" s="1423">
        <f t="shared" ref="H636" ca="1" si="899">IF(AND(G636&lt;1,H610=0),0,
IF(H610=0,G636-1,
IF(G636&lt;1,H611,
(((G636-1)*(G612-(G612/(G636))))+((H610/H$10)*H611))/(H612))))</f>
        <v>0</v>
      </c>
      <c r="I636" s="1423">
        <f t="shared" ref="I636" ca="1" si="900">IF(AND(H636&lt;1,I610=0),0,
IF(I610=0,H636-1,
IF(H636&lt;1,I611,
(((H636-1)*(H612-(H612/(H636))))+((I610/I$10)*I611))/(I612))))</f>
        <v>0</v>
      </c>
      <c r="J636" s="1423">
        <f t="shared" ref="J636" ca="1" si="901">IF(AND(I636&lt;1,J610=0),0,
IF(J610=0,I636-1,
IF(I636&lt;1,J611,
(((I636-1)*(I612-(I612/(I636))))+((J610/J$10)*J611))/(J612))))</f>
        <v>0</v>
      </c>
      <c r="K636" s="1423">
        <f t="shared" ref="K636" ca="1" si="902">IF(AND(J636&lt;1,K610=0),0,
IF(K610=0,J636-1,
IF(J636&lt;1,K611,
(((J636-1)*(J612-(J612/(J636))))+((K610/K$10)*K611))/(K612))))</f>
        <v>0</v>
      </c>
      <c r="L636" s="1423">
        <f t="shared" ref="L636" ca="1" si="903">IF(AND(K636&lt;1,L610=0),0,
IF(L610=0,K636-1,
IF(K636&lt;1,L611,
(((K636-1)*(K612-(K612/(K636))))+((L610/L$10)*L611))/(L612))))</f>
        <v>0</v>
      </c>
      <c r="M636" s="1423">
        <f t="shared" ref="M636" ca="1" si="904">IF(AND(L636&lt;1,M610=0),0,
IF(M610=0,L636-1,
IF(L636&lt;1,M611,
(((L636-1)*(L612-(L612/(L636))))+((M610/M$10)*M611))/(M612))))</f>
        <v>0</v>
      </c>
      <c r="N636" s="1423">
        <f t="shared" ref="N636" ca="1" si="905">IF(AND(M636&lt;1,N610=0),0,
IF(N610=0,M636-1,
IF(M636&lt;1,N611,
(((M636-1)*(M612-(M612/(M636))))+((N610/N$10)*N611))/(N612))))</f>
        <v>0</v>
      </c>
      <c r="O636" s="1423">
        <f t="shared" ref="O636" ca="1" si="906">IF(AND(N636&lt;1,O610=0),0,
IF(O610=0,N636-1,
IF(N636&lt;1,O611,
(((N636-1)*(N612-(N612/(N636))))+((O610/O$10)*O611))/(O612))))</f>
        <v>0</v>
      </c>
      <c r="P636" s="1423">
        <f t="shared" ref="P636" ca="1" si="907">IF(AND(O636&lt;1,P610=0),0,
IF(P610=0,O636-1,
IF(O636&lt;1,P611,
(((O636-1)*(O612-(O612/(O636))))+((P610/P$10)*P611))/(P612))))</f>
        <v>0</v>
      </c>
      <c r="Q636" s="1423">
        <f t="shared" ref="Q636" ca="1" si="908">IF(AND(P636&lt;1,Q610=0),0,
IF(Q610=0,P636-1,
IF(P636&lt;1,Q611,
(((P636-1)*(P612-(P612/(P636))))+((Q610/Q$10)*Q611))/(Q612))))</f>
        <v>0</v>
      </c>
      <c r="R636" s="1423">
        <f t="shared" ref="R636" ca="1" si="909">IF(AND(Q636&lt;1,R610=0),0,
IF(R610=0,Q636-1,
IF(Q636&lt;1,R611,
(((Q636-1)*(Q612-(Q612/(Q636))))+((R610/R$10)*R611))/(R612))))</f>
        <v>0</v>
      </c>
      <c r="S636" s="1423">
        <f t="shared" ref="S636" ca="1" si="910">IF(AND(R636&lt;1,S610=0),0,
IF(S610=0,R636-1,
IF(R636&lt;1,S611,
(((R636-1)*(R612-(R612/(R636))))+((S610/S$10)*S611))/(S612))))</f>
        <v>0</v>
      </c>
      <c r="T636" s="1423">
        <f t="shared" ref="T636" ca="1" si="911">IF(AND(S636&lt;1,T610=0),0,
IF(T610=0,S636-1,
IF(S636&lt;1,T611,
(((S636-1)*(S612-(S612/(S636))))+((T610/T$10)*T611))/(T612))))</f>
        <v>0</v>
      </c>
      <c r="U636" s="1423">
        <f t="shared" ref="U636" ca="1" si="912">IF(AND(T636&lt;1,U610=0),0,
IF(U610=0,T636-1,
IF(T636&lt;1,U611,
(((T636-1)*(T612-(T612/(T636))))+((U610/U$10)*U611))/(U612))))</f>
        <v>0</v>
      </c>
      <c r="V636" s="1423">
        <f t="shared" ref="V636" ca="1" si="913">IF(AND(U636&lt;1,V610=0),0,
IF(V610=0,U636-1,
IF(U636&lt;1,V611,
(((U636-1)*(U612-(U612/(U636))))+((V610/V$10)*V611))/(V612))))</f>
        <v>0</v>
      </c>
      <c r="W636" s="1423">
        <f t="shared" ref="W636" ca="1" si="914">IF(AND(V636&lt;1,W610=0),0,
IF(W610=0,V636-1,
IF(V636&lt;1,W611,
(((V636-1)*(V612-(V612/(V636))))+((W610/W$10)*W611))/(W612))))</f>
        <v>0</v>
      </c>
      <c r="X636" s="152"/>
      <c r="Y636" s="152"/>
      <c r="Z636" s="152"/>
      <c r="AA636" s="152"/>
      <c r="AB636" s="152"/>
    </row>
    <row r="637" spans="1:28" hidden="1" outlineLevel="1">
      <c r="A637" s="152"/>
      <c r="B637" s="190" t="s">
        <v>122</v>
      </c>
      <c r="C637" s="1423">
        <f ca="1">C609</f>
        <v>0</v>
      </c>
      <c r="D637" s="1423">
        <f t="shared" ref="D637" ca="1" si="915">IF(C637="n/a","n/a",MAX(0,C637-1))</f>
        <v>0</v>
      </c>
      <c r="E637" s="1423">
        <f t="shared" ref="E637:E638" ca="1" si="916">IF(D637="n/a","n/a",MAX(0,D637-1))</f>
        <v>0</v>
      </c>
      <c r="F637" s="1423">
        <f t="shared" ref="F637:F639" ca="1" si="917">IF(E637="n/a","n/a",MAX(0,E637-1))</f>
        <v>0</v>
      </c>
      <c r="G637" s="1423">
        <f t="shared" ref="G637:G640" ca="1" si="918">IF(F637="n/a","n/a",MAX(0,F637-1))</f>
        <v>0</v>
      </c>
      <c r="H637" s="1423">
        <f t="shared" ref="H637:H641" ca="1" si="919">IF(G637="n/a","n/a",MAX(0,G637-1))</f>
        <v>0</v>
      </c>
      <c r="I637" s="1423">
        <f t="shared" ref="I637:I642" ca="1" si="920">IF(H637="n/a","n/a",MAX(0,H637-1))</f>
        <v>0</v>
      </c>
      <c r="J637" s="1423">
        <f t="shared" ref="J637:J643" ca="1" si="921">IF(I637="n/a","n/a",MAX(0,I637-1))</f>
        <v>0</v>
      </c>
      <c r="K637" s="1423">
        <f t="shared" ref="K637:K644" ca="1" si="922">IF(J637="n/a","n/a",MAX(0,J637-1))</f>
        <v>0</v>
      </c>
      <c r="L637" s="1423">
        <f t="shared" ref="L637:L645" ca="1" si="923">IF(K637="n/a","n/a",MAX(0,K637-1))</f>
        <v>0</v>
      </c>
      <c r="M637" s="1423">
        <f t="shared" ref="M637:M646" ca="1" si="924">IF(L637="n/a","n/a",MAX(0,L637-1))</f>
        <v>0</v>
      </c>
      <c r="N637" s="1423">
        <f t="shared" ref="N637:N647" ca="1" si="925">IF(M637="n/a","n/a",MAX(0,M637-1))</f>
        <v>0</v>
      </c>
      <c r="O637" s="1423">
        <f t="shared" ref="O637:O648" ca="1" si="926">IF(N637="n/a","n/a",MAX(0,N637-1))</f>
        <v>0</v>
      </c>
      <c r="P637" s="1423">
        <f t="shared" ref="P637:P649" ca="1" si="927">IF(O637="n/a","n/a",MAX(0,O637-1))</f>
        <v>0</v>
      </c>
      <c r="Q637" s="1423">
        <f t="shared" ref="Q637:Q650" ca="1" si="928">IF(P637="n/a","n/a",MAX(0,P637-1))</f>
        <v>0</v>
      </c>
      <c r="R637" s="1423">
        <f t="shared" ref="R637:R651" ca="1" si="929">IF(Q637="n/a","n/a",MAX(0,Q637-1))</f>
        <v>0</v>
      </c>
      <c r="S637" s="1423">
        <f t="shared" ref="S637:S652" ca="1" si="930">IF(R637="n/a","n/a",MAX(0,R637-1))</f>
        <v>0</v>
      </c>
      <c r="T637" s="1423">
        <f t="shared" ref="T637:T653" ca="1" si="931">IF(S637="n/a","n/a",MAX(0,S637-1))</f>
        <v>0</v>
      </c>
      <c r="U637" s="1423">
        <f t="shared" ref="U637:U654" ca="1" si="932">IF(T637="n/a","n/a",MAX(0,T637-1))</f>
        <v>0</v>
      </c>
      <c r="V637" s="1423">
        <f t="shared" ref="V637:V655" ca="1" si="933">IF(U637="n/a","n/a",MAX(0,U637-1))</f>
        <v>0</v>
      </c>
      <c r="W637" s="1423">
        <f t="shared" ref="W637:W655" ca="1" si="934">IF(V637="n/a","n/a",MAX(0,V637-1))</f>
        <v>0</v>
      </c>
      <c r="X637" s="152"/>
      <c r="Y637" s="152"/>
      <c r="Z637" s="152"/>
      <c r="AA637" s="152"/>
      <c r="AB637" s="152"/>
    </row>
    <row r="638" spans="1:28" hidden="1" outlineLevel="1">
      <c r="A638" s="152"/>
      <c r="B638" s="190" t="str">
        <f t="shared" ref="B638:B657" ca="1" si="935">"RL Capex "&amp;OFFSET($C$6,0,A614)</f>
        <v>RL Capex 2016-17</v>
      </c>
      <c r="C638" s="1424"/>
      <c r="D638" s="1428">
        <f>D609</f>
        <v>0</v>
      </c>
      <c r="E638" s="1423">
        <f t="shared" si="916"/>
        <v>0</v>
      </c>
      <c r="F638" s="1423">
        <f t="shared" si="917"/>
        <v>0</v>
      </c>
      <c r="G638" s="1423">
        <f t="shared" si="918"/>
        <v>0</v>
      </c>
      <c r="H638" s="1423">
        <f t="shared" si="919"/>
        <v>0</v>
      </c>
      <c r="I638" s="1423">
        <f t="shared" si="920"/>
        <v>0</v>
      </c>
      <c r="J638" s="1423">
        <f t="shared" si="921"/>
        <v>0</v>
      </c>
      <c r="K638" s="1423">
        <f t="shared" si="922"/>
        <v>0</v>
      </c>
      <c r="L638" s="1423">
        <f t="shared" si="923"/>
        <v>0</v>
      </c>
      <c r="M638" s="1423">
        <f t="shared" si="924"/>
        <v>0</v>
      </c>
      <c r="N638" s="1423">
        <f t="shared" si="925"/>
        <v>0</v>
      </c>
      <c r="O638" s="1423">
        <f t="shared" si="926"/>
        <v>0</v>
      </c>
      <c r="P638" s="1423">
        <f t="shared" si="927"/>
        <v>0</v>
      </c>
      <c r="Q638" s="1423">
        <f t="shared" si="928"/>
        <v>0</v>
      </c>
      <c r="R638" s="1423">
        <f t="shared" si="929"/>
        <v>0</v>
      </c>
      <c r="S638" s="1423">
        <f t="shared" si="930"/>
        <v>0</v>
      </c>
      <c r="T638" s="1423">
        <f t="shared" si="931"/>
        <v>0</v>
      </c>
      <c r="U638" s="1423">
        <f t="shared" si="932"/>
        <v>0</v>
      </c>
      <c r="V638" s="1423">
        <f t="shared" si="933"/>
        <v>0</v>
      </c>
      <c r="W638" s="1423">
        <f t="shared" si="934"/>
        <v>0</v>
      </c>
      <c r="X638" s="152"/>
      <c r="Y638" s="152"/>
      <c r="Z638" s="152"/>
      <c r="AA638" s="152"/>
      <c r="AB638" s="152"/>
    </row>
    <row r="639" spans="1:28" hidden="1" outlineLevel="1">
      <c r="A639" s="152"/>
      <c r="B639" s="190" t="str">
        <f t="shared" ca="1" si="935"/>
        <v>RL Capex 2017-18</v>
      </c>
      <c r="C639" s="1429"/>
      <c r="D639" s="1424"/>
      <c r="E639" s="1428">
        <f>E609</f>
        <v>0</v>
      </c>
      <c r="F639" s="1423">
        <f t="shared" si="917"/>
        <v>0</v>
      </c>
      <c r="G639" s="1423">
        <f t="shared" si="918"/>
        <v>0</v>
      </c>
      <c r="H639" s="1423">
        <f t="shared" si="919"/>
        <v>0</v>
      </c>
      <c r="I639" s="1423">
        <f t="shared" si="920"/>
        <v>0</v>
      </c>
      <c r="J639" s="1423">
        <f t="shared" si="921"/>
        <v>0</v>
      </c>
      <c r="K639" s="1423">
        <f t="shared" si="922"/>
        <v>0</v>
      </c>
      <c r="L639" s="1423">
        <f t="shared" si="923"/>
        <v>0</v>
      </c>
      <c r="M639" s="1423">
        <f t="shared" si="924"/>
        <v>0</v>
      </c>
      <c r="N639" s="1423">
        <f t="shared" si="925"/>
        <v>0</v>
      </c>
      <c r="O639" s="1423">
        <f t="shared" si="926"/>
        <v>0</v>
      </c>
      <c r="P639" s="1423">
        <f t="shared" si="927"/>
        <v>0</v>
      </c>
      <c r="Q639" s="1423">
        <f t="shared" si="928"/>
        <v>0</v>
      </c>
      <c r="R639" s="1423">
        <f t="shared" si="929"/>
        <v>0</v>
      </c>
      <c r="S639" s="1423">
        <f t="shared" si="930"/>
        <v>0</v>
      </c>
      <c r="T639" s="1423">
        <f t="shared" si="931"/>
        <v>0</v>
      </c>
      <c r="U639" s="1423">
        <f t="shared" si="932"/>
        <v>0</v>
      </c>
      <c r="V639" s="1423">
        <f t="shared" si="933"/>
        <v>0</v>
      </c>
      <c r="W639" s="1423">
        <f t="shared" si="934"/>
        <v>0</v>
      </c>
      <c r="X639" s="152"/>
      <c r="Y639" s="152"/>
      <c r="Z639" s="152"/>
      <c r="AA639" s="152"/>
      <c r="AB639" s="152"/>
    </row>
    <row r="640" spans="1:28" hidden="1" outlineLevel="1">
      <c r="A640" s="152"/>
      <c r="B640" s="190" t="str">
        <f t="shared" ca="1" si="935"/>
        <v>RL Capex 2018-19</v>
      </c>
      <c r="C640" s="1429"/>
      <c r="D640" s="1429"/>
      <c r="E640" s="1424"/>
      <c r="F640" s="1428">
        <f>F609</f>
        <v>0</v>
      </c>
      <c r="G640" s="1423">
        <f t="shared" si="918"/>
        <v>0</v>
      </c>
      <c r="H640" s="1423">
        <f t="shared" si="919"/>
        <v>0</v>
      </c>
      <c r="I640" s="1423">
        <f t="shared" si="920"/>
        <v>0</v>
      </c>
      <c r="J640" s="1423">
        <f t="shared" si="921"/>
        <v>0</v>
      </c>
      <c r="K640" s="1423">
        <f t="shared" si="922"/>
        <v>0</v>
      </c>
      <c r="L640" s="1423">
        <f t="shared" si="923"/>
        <v>0</v>
      </c>
      <c r="M640" s="1423">
        <f t="shared" si="924"/>
        <v>0</v>
      </c>
      <c r="N640" s="1423">
        <f t="shared" si="925"/>
        <v>0</v>
      </c>
      <c r="O640" s="1423">
        <f t="shared" si="926"/>
        <v>0</v>
      </c>
      <c r="P640" s="1423">
        <f t="shared" si="927"/>
        <v>0</v>
      </c>
      <c r="Q640" s="1423">
        <f t="shared" si="928"/>
        <v>0</v>
      </c>
      <c r="R640" s="1423">
        <f t="shared" si="929"/>
        <v>0</v>
      </c>
      <c r="S640" s="1423">
        <f t="shared" si="930"/>
        <v>0</v>
      </c>
      <c r="T640" s="1423">
        <f t="shared" si="931"/>
        <v>0</v>
      </c>
      <c r="U640" s="1423">
        <f t="shared" si="932"/>
        <v>0</v>
      </c>
      <c r="V640" s="1423">
        <f t="shared" si="933"/>
        <v>0</v>
      </c>
      <c r="W640" s="1423">
        <f t="shared" si="934"/>
        <v>0</v>
      </c>
      <c r="X640" s="152"/>
      <c r="Y640" s="152"/>
      <c r="Z640" s="152"/>
      <c r="AA640" s="152"/>
      <c r="AB640" s="152"/>
    </row>
    <row r="641" spans="1:28" hidden="1" outlineLevel="1">
      <c r="A641" s="152"/>
      <c r="B641" s="190" t="str">
        <f t="shared" ca="1" si="935"/>
        <v>RL Capex 2019-20</v>
      </c>
      <c r="C641" s="1429"/>
      <c r="D641" s="1429"/>
      <c r="E641" s="1429"/>
      <c r="F641" s="1424"/>
      <c r="G641" s="1428">
        <f>G609</f>
        <v>0</v>
      </c>
      <c r="H641" s="1423">
        <f t="shared" si="919"/>
        <v>0</v>
      </c>
      <c r="I641" s="1423">
        <f t="shared" si="920"/>
        <v>0</v>
      </c>
      <c r="J641" s="1423">
        <f t="shared" si="921"/>
        <v>0</v>
      </c>
      <c r="K641" s="1423">
        <f t="shared" si="922"/>
        <v>0</v>
      </c>
      <c r="L641" s="1423">
        <f t="shared" si="923"/>
        <v>0</v>
      </c>
      <c r="M641" s="1423">
        <f t="shared" si="924"/>
        <v>0</v>
      </c>
      <c r="N641" s="1423">
        <f t="shared" si="925"/>
        <v>0</v>
      </c>
      <c r="O641" s="1423">
        <f t="shared" si="926"/>
        <v>0</v>
      </c>
      <c r="P641" s="1423">
        <f t="shared" si="927"/>
        <v>0</v>
      </c>
      <c r="Q641" s="1423">
        <f t="shared" si="928"/>
        <v>0</v>
      </c>
      <c r="R641" s="1423">
        <f t="shared" si="929"/>
        <v>0</v>
      </c>
      <c r="S641" s="1423">
        <f t="shared" si="930"/>
        <v>0</v>
      </c>
      <c r="T641" s="1423">
        <f t="shared" si="931"/>
        <v>0</v>
      </c>
      <c r="U641" s="1423">
        <f t="shared" si="932"/>
        <v>0</v>
      </c>
      <c r="V641" s="1423">
        <f t="shared" si="933"/>
        <v>0</v>
      </c>
      <c r="W641" s="1423">
        <f t="shared" si="934"/>
        <v>0</v>
      </c>
      <c r="X641" s="152"/>
      <c r="Y641" s="152"/>
      <c r="Z641" s="152"/>
      <c r="AA641" s="152"/>
      <c r="AB641" s="152"/>
    </row>
    <row r="642" spans="1:28" hidden="1" outlineLevel="1">
      <c r="A642" s="152"/>
      <c r="B642" s="190" t="str">
        <f t="shared" ca="1" si="935"/>
        <v>RL Capex 2020-21</v>
      </c>
      <c r="C642" s="1429"/>
      <c r="D642" s="1429"/>
      <c r="E642" s="1429"/>
      <c r="F642" s="1429"/>
      <c r="G642" s="1424"/>
      <c r="H642" s="1428">
        <f>H609</f>
        <v>0</v>
      </c>
      <c r="I642" s="1423">
        <f t="shared" si="920"/>
        <v>0</v>
      </c>
      <c r="J642" s="1423">
        <f t="shared" si="921"/>
        <v>0</v>
      </c>
      <c r="K642" s="1423">
        <f t="shared" si="922"/>
        <v>0</v>
      </c>
      <c r="L642" s="1423">
        <f t="shared" si="923"/>
        <v>0</v>
      </c>
      <c r="M642" s="1423">
        <f t="shared" si="924"/>
        <v>0</v>
      </c>
      <c r="N642" s="1423">
        <f t="shared" si="925"/>
        <v>0</v>
      </c>
      <c r="O642" s="1423">
        <f t="shared" si="926"/>
        <v>0</v>
      </c>
      <c r="P642" s="1423">
        <f t="shared" si="927"/>
        <v>0</v>
      </c>
      <c r="Q642" s="1423">
        <f t="shared" si="928"/>
        <v>0</v>
      </c>
      <c r="R642" s="1423">
        <f t="shared" si="929"/>
        <v>0</v>
      </c>
      <c r="S642" s="1423">
        <f t="shared" si="930"/>
        <v>0</v>
      </c>
      <c r="T642" s="1423">
        <f t="shared" si="931"/>
        <v>0</v>
      </c>
      <c r="U642" s="1423">
        <f t="shared" si="932"/>
        <v>0</v>
      </c>
      <c r="V642" s="1423">
        <f t="shared" si="933"/>
        <v>0</v>
      </c>
      <c r="W642" s="1423">
        <f t="shared" si="934"/>
        <v>0</v>
      </c>
      <c r="X642" s="152"/>
      <c r="Y642" s="152"/>
      <c r="Z642" s="152"/>
      <c r="AA642" s="152"/>
      <c r="AB642" s="152"/>
    </row>
    <row r="643" spans="1:28" hidden="1" outlineLevel="1">
      <c r="A643" s="152"/>
      <c r="B643" s="190" t="str">
        <f t="shared" ca="1" si="935"/>
        <v>RL Capex 2021-22</v>
      </c>
      <c r="C643" s="1429"/>
      <c r="D643" s="1429"/>
      <c r="E643" s="1429"/>
      <c r="F643" s="1429"/>
      <c r="G643" s="1429"/>
      <c r="H643" s="1424"/>
      <c r="I643" s="1428">
        <f>I609</f>
        <v>0</v>
      </c>
      <c r="J643" s="1423">
        <f t="shared" si="921"/>
        <v>0</v>
      </c>
      <c r="K643" s="1423">
        <f t="shared" si="922"/>
        <v>0</v>
      </c>
      <c r="L643" s="1423">
        <f t="shared" si="923"/>
        <v>0</v>
      </c>
      <c r="M643" s="1423">
        <f t="shared" si="924"/>
        <v>0</v>
      </c>
      <c r="N643" s="1423">
        <f t="shared" si="925"/>
        <v>0</v>
      </c>
      <c r="O643" s="1423">
        <f t="shared" si="926"/>
        <v>0</v>
      </c>
      <c r="P643" s="1423">
        <f t="shared" si="927"/>
        <v>0</v>
      </c>
      <c r="Q643" s="1423">
        <f t="shared" si="928"/>
        <v>0</v>
      </c>
      <c r="R643" s="1423">
        <f t="shared" si="929"/>
        <v>0</v>
      </c>
      <c r="S643" s="1423">
        <f t="shared" si="930"/>
        <v>0</v>
      </c>
      <c r="T643" s="1423">
        <f t="shared" si="931"/>
        <v>0</v>
      </c>
      <c r="U643" s="1423">
        <f t="shared" si="932"/>
        <v>0</v>
      </c>
      <c r="V643" s="1423">
        <f t="shared" si="933"/>
        <v>0</v>
      </c>
      <c r="W643" s="1423">
        <f t="shared" si="934"/>
        <v>0</v>
      </c>
      <c r="X643" s="152"/>
      <c r="Y643" s="152"/>
      <c r="Z643" s="152"/>
      <c r="AA643" s="152"/>
      <c r="AB643" s="152"/>
    </row>
    <row r="644" spans="1:28" hidden="1" outlineLevel="1">
      <c r="A644" s="152"/>
      <c r="B644" s="190" t="str">
        <f t="shared" ca="1" si="935"/>
        <v>RL Capex 2022-23</v>
      </c>
      <c r="C644" s="1429"/>
      <c r="D644" s="1429"/>
      <c r="E644" s="1429"/>
      <c r="F644" s="1429"/>
      <c r="G644" s="1429"/>
      <c r="H644" s="1429"/>
      <c r="I644" s="1424"/>
      <c r="J644" s="1428">
        <f>J609</f>
        <v>0</v>
      </c>
      <c r="K644" s="1423">
        <f t="shared" si="922"/>
        <v>0</v>
      </c>
      <c r="L644" s="1423">
        <f t="shared" si="923"/>
        <v>0</v>
      </c>
      <c r="M644" s="1423">
        <f t="shared" si="924"/>
        <v>0</v>
      </c>
      <c r="N644" s="1423">
        <f t="shared" si="925"/>
        <v>0</v>
      </c>
      <c r="O644" s="1423">
        <f t="shared" si="926"/>
        <v>0</v>
      </c>
      <c r="P644" s="1423">
        <f t="shared" si="927"/>
        <v>0</v>
      </c>
      <c r="Q644" s="1423">
        <f t="shared" si="928"/>
        <v>0</v>
      </c>
      <c r="R644" s="1423">
        <f t="shared" si="929"/>
        <v>0</v>
      </c>
      <c r="S644" s="1423">
        <f t="shared" si="930"/>
        <v>0</v>
      </c>
      <c r="T644" s="1423">
        <f t="shared" si="931"/>
        <v>0</v>
      </c>
      <c r="U644" s="1423">
        <f t="shared" si="932"/>
        <v>0</v>
      </c>
      <c r="V644" s="1423">
        <f t="shared" si="933"/>
        <v>0</v>
      </c>
      <c r="W644" s="1423">
        <f t="shared" si="934"/>
        <v>0</v>
      </c>
      <c r="X644" s="152"/>
      <c r="Y644" s="152"/>
      <c r="Z644" s="152"/>
      <c r="AA644" s="152"/>
      <c r="AB644" s="152"/>
    </row>
    <row r="645" spans="1:28" hidden="1" outlineLevel="1">
      <c r="A645" s="152"/>
      <c r="B645" s="190" t="str">
        <f t="shared" ca="1" si="935"/>
        <v>RL Capex 2023-24</v>
      </c>
      <c r="C645" s="1429"/>
      <c r="D645" s="1429"/>
      <c r="E645" s="1429"/>
      <c r="F645" s="1429"/>
      <c r="G645" s="1429"/>
      <c r="H645" s="1429"/>
      <c r="I645" s="1429"/>
      <c r="J645" s="1424"/>
      <c r="K645" s="1428">
        <f>K609</f>
        <v>0</v>
      </c>
      <c r="L645" s="1423">
        <f t="shared" si="923"/>
        <v>0</v>
      </c>
      <c r="M645" s="1423">
        <f t="shared" si="924"/>
        <v>0</v>
      </c>
      <c r="N645" s="1423">
        <f t="shared" si="925"/>
        <v>0</v>
      </c>
      <c r="O645" s="1423">
        <f t="shared" si="926"/>
        <v>0</v>
      </c>
      <c r="P645" s="1423">
        <f t="shared" si="927"/>
        <v>0</v>
      </c>
      <c r="Q645" s="1423">
        <f t="shared" si="928"/>
        <v>0</v>
      </c>
      <c r="R645" s="1423">
        <f t="shared" si="929"/>
        <v>0</v>
      </c>
      <c r="S645" s="1423">
        <f t="shared" si="930"/>
        <v>0</v>
      </c>
      <c r="T645" s="1423">
        <f t="shared" si="931"/>
        <v>0</v>
      </c>
      <c r="U645" s="1423">
        <f t="shared" si="932"/>
        <v>0</v>
      </c>
      <c r="V645" s="1423">
        <f t="shared" si="933"/>
        <v>0</v>
      </c>
      <c r="W645" s="1423">
        <f t="shared" si="934"/>
        <v>0</v>
      </c>
      <c r="X645" s="152"/>
      <c r="Y645" s="152"/>
      <c r="Z645" s="152"/>
      <c r="AA645" s="152"/>
      <c r="AB645" s="152"/>
    </row>
    <row r="646" spans="1:28" hidden="1" outlineLevel="1">
      <c r="A646" s="152"/>
      <c r="B646" s="190" t="str">
        <f t="shared" ca="1" si="935"/>
        <v>RL Capex 2024-25</v>
      </c>
      <c r="C646" s="1429"/>
      <c r="D646" s="1429"/>
      <c r="E646" s="1429"/>
      <c r="F646" s="1429"/>
      <c r="G646" s="1429"/>
      <c r="H646" s="1429"/>
      <c r="I646" s="1429"/>
      <c r="J646" s="1429"/>
      <c r="K646" s="1424"/>
      <c r="L646" s="1428">
        <f>L609</f>
        <v>0</v>
      </c>
      <c r="M646" s="1423">
        <f t="shared" si="924"/>
        <v>0</v>
      </c>
      <c r="N646" s="1423">
        <f t="shared" si="925"/>
        <v>0</v>
      </c>
      <c r="O646" s="1423">
        <f t="shared" si="926"/>
        <v>0</v>
      </c>
      <c r="P646" s="1423">
        <f t="shared" si="927"/>
        <v>0</v>
      </c>
      <c r="Q646" s="1423">
        <f t="shared" si="928"/>
        <v>0</v>
      </c>
      <c r="R646" s="1423">
        <f t="shared" si="929"/>
        <v>0</v>
      </c>
      <c r="S646" s="1423">
        <f t="shared" si="930"/>
        <v>0</v>
      </c>
      <c r="T646" s="1423">
        <f t="shared" si="931"/>
        <v>0</v>
      </c>
      <c r="U646" s="1423">
        <f t="shared" si="932"/>
        <v>0</v>
      </c>
      <c r="V646" s="1423">
        <f t="shared" si="933"/>
        <v>0</v>
      </c>
      <c r="W646" s="1423">
        <f t="shared" si="934"/>
        <v>0</v>
      </c>
      <c r="X646" s="152"/>
      <c r="Y646" s="152"/>
      <c r="Z646" s="152"/>
      <c r="AA646" s="152"/>
      <c r="AB646" s="152"/>
    </row>
    <row r="647" spans="1:28" hidden="1" outlineLevel="1">
      <c r="A647" s="152"/>
      <c r="B647" s="190" t="str">
        <f t="shared" ca="1" si="935"/>
        <v>RL Capex 2025-26</v>
      </c>
      <c r="C647" s="1429"/>
      <c r="D647" s="1429"/>
      <c r="E647" s="1429"/>
      <c r="F647" s="1429"/>
      <c r="G647" s="1429"/>
      <c r="H647" s="1429"/>
      <c r="I647" s="1429"/>
      <c r="J647" s="1429"/>
      <c r="K647" s="1429"/>
      <c r="L647" s="1424"/>
      <c r="M647" s="1428">
        <f>M609</f>
        <v>0</v>
      </c>
      <c r="N647" s="1423">
        <f t="shared" si="925"/>
        <v>0</v>
      </c>
      <c r="O647" s="1423">
        <f t="shared" si="926"/>
        <v>0</v>
      </c>
      <c r="P647" s="1423">
        <f t="shared" si="927"/>
        <v>0</v>
      </c>
      <c r="Q647" s="1423">
        <f t="shared" si="928"/>
        <v>0</v>
      </c>
      <c r="R647" s="1423">
        <f t="shared" si="929"/>
        <v>0</v>
      </c>
      <c r="S647" s="1423">
        <f t="shared" si="930"/>
        <v>0</v>
      </c>
      <c r="T647" s="1423">
        <f t="shared" si="931"/>
        <v>0</v>
      </c>
      <c r="U647" s="1423">
        <f t="shared" si="932"/>
        <v>0</v>
      </c>
      <c r="V647" s="1423">
        <f t="shared" si="933"/>
        <v>0</v>
      </c>
      <c r="W647" s="1423">
        <f t="shared" si="934"/>
        <v>0</v>
      </c>
      <c r="X647" s="152"/>
      <c r="Y647" s="152"/>
      <c r="Z647" s="152"/>
      <c r="AA647" s="152"/>
      <c r="AB647" s="152"/>
    </row>
    <row r="648" spans="1:28" hidden="1" outlineLevel="1">
      <c r="A648" s="152"/>
      <c r="B648" s="190" t="str">
        <f t="shared" ca="1" si="935"/>
        <v>RL Capex 2026-27</v>
      </c>
      <c r="C648" s="1429"/>
      <c r="D648" s="1429"/>
      <c r="E648" s="1429"/>
      <c r="F648" s="1429"/>
      <c r="G648" s="1429"/>
      <c r="H648" s="1429"/>
      <c r="I648" s="1429"/>
      <c r="J648" s="1429"/>
      <c r="K648" s="1429"/>
      <c r="L648" s="1429"/>
      <c r="M648" s="1424"/>
      <c r="N648" s="1428">
        <f>N609</f>
        <v>0</v>
      </c>
      <c r="O648" s="1423">
        <f t="shared" si="926"/>
        <v>0</v>
      </c>
      <c r="P648" s="1423">
        <f t="shared" si="927"/>
        <v>0</v>
      </c>
      <c r="Q648" s="1423">
        <f t="shared" si="928"/>
        <v>0</v>
      </c>
      <c r="R648" s="1423">
        <f t="shared" si="929"/>
        <v>0</v>
      </c>
      <c r="S648" s="1423">
        <f t="shared" si="930"/>
        <v>0</v>
      </c>
      <c r="T648" s="1423">
        <f t="shared" si="931"/>
        <v>0</v>
      </c>
      <c r="U648" s="1423">
        <f t="shared" si="932"/>
        <v>0</v>
      </c>
      <c r="V648" s="1423">
        <f t="shared" si="933"/>
        <v>0</v>
      </c>
      <c r="W648" s="1423">
        <f t="shared" si="934"/>
        <v>0</v>
      </c>
      <c r="X648" s="152"/>
      <c r="Y648" s="152"/>
      <c r="Z648" s="152"/>
      <c r="AA648" s="152"/>
      <c r="AB648" s="152"/>
    </row>
    <row r="649" spans="1:28" hidden="1" outlineLevel="1">
      <c r="A649" s="152"/>
      <c r="B649" s="190" t="str">
        <f t="shared" ca="1" si="935"/>
        <v>RL Capex 2027-28</v>
      </c>
      <c r="C649" s="1429"/>
      <c r="D649" s="1429"/>
      <c r="E649" s="1429"/>
      <c r="F649" s="1429"/>
      <c r="G649" s="1429"/>
      <c r="H649" s="1429"/>
      <c r="I649" s="1429"/>
      <c r="J649" s="1429"/>
      <c r="K649" s="1429"/>
      <c r="L649" s="1429"/>
      <c r="M649" s="1429"/>
      <c r="N649" s="1424"/>
      <c r="O649" s="1428">
        <f>O609</f>
        <v>0</v>
      </c>
      <c r="P649" s="1423">
        <f t="shared" si="927"/>
        <v>0</v>
      </c>
      <c r="Q649" s="1423">
        <f t="shared" si="928"/>
        <v>0</v>
      </c>
      <c r="R649" s="1423">
        <f t="shared" si="929"/>
        <v>0</v>
      </c>
      <c r="S649" s="1423">
        <f t="shared" si="930"/>
        <v>0</v>
      </c>
      <c r="T649" s="1423">
        <f t="shared" si="931"/>
        <v>0</v>
      </c>
      <c r="U649" s="1423">
        <f t="shared" si="932"/>
        <v>0</v>
      </c>
      <c r="V649" s="1423">
        <f t="shared" si="933"/>
        <v>0</v>
      </c>
      <c r="W649" s="1423">
        <f t="shared" si="934"/>
        <v>0</v>
      </c>
      <c r="X649" s="152"/>
      <c r="Y649" s="152"/>
      <c r="Z649" s="152"/>
      <c r="AA649" s="152"/>
      <c r="AB649" s="152"/>
    </row>
    <row r="650" spans="1:28" hidden="1" outlineLevel="1">
      <c r="A650" s="152"/>
      <c r="B650" s="190" t="str">
        <f t="shared" ca="1" si="935"/>
        <v>RL Capex 2028-29</v>
      </c>
      <c r="C650" s="1429"/>
      <c r="D650" s="1429"/>
      <c r="E650" s="1429"/>
      <c r="F650" s="1429"/>
      <c r="G650" s="1429"/>
      <c r="H650" s="1429"/>
      <c r="I650" s="1429"/>
      <c r="J650" s="1429"/>
      <c r="K650" s="1429"/>
      <c r="L650" s="1429"/>
      <c r="M650" s="1429"/>
      <c r="N650" s="1429"/>
      <c r="O650" s="1424"/>
      <c r="P650" s="1428">
        <f>P609</f>
        <v>0</v>
      </c>
      <c r="Q650" s="1423">
        <f t="shared" si="928"/>
        <v>0</v>
      </c>
      <c r="R650" s="1423">
        <f t="shared" si="929"/>
        <v>0</v>
      </c>
      <c r="S650" s="1423">
        <f t="shared" si="930"/>
        <v>0</v>
      </c>
      <c r="T650" s="1423">
        <f t="shared" si="931"/>
        <v>0</v>
      </c>
      <c r="U650" s="1423">
        <f t="shared" si="932"/>
        <v>0</v>
      </c>
      <c r="V650" s="1423">
        <f t="shared" si="933"/>
        <v>0</v>
      </c>
      <c r="W650" s="1423">
        <f t="shared" si="934"/>
        <v>0</v>
      </c>
      <c r="X650" s="152"/>
      <c r="Y650" s="152"/>
      <c r="Z650" s="152"/>
      <c r="AA650" s="152"/>
      <c r="AB650" s="152"/>
    </row>
    <row r="651" spans="1:28" hidden="1" outlineLevel="1">
      <c r="A651" s="152"/>
      <c r="B651" s="190" t="str">
        <f t="shared" ca="1" si="935"/>
        <v>RL Capex 2029-30</v>
      </c>
      <c r="C651" s="1429"/>
      <c r="D651" s="1429"/>
      <c r="E651" s="1429"/>
      <c r="F651" s="1429"/>
      <c r="G651" s="1429"/>
      <c r="H651" s="1429"/>
      <c r="I651" s="1429"/>
      <c r="J651" s="1429"/>
      <c r="K651" s="1429"/>
      <c r="L651" s="1429"/>
      <c r="M651" s="1429"/>
      <c r="N651" s="1429"/>
      <c r="O651" s="1429"/>
      <c r="P651" s="1424"/>
      <c r="Q651" s="1428">
        <f>Q609</f>
        <v>0</v>
      </c>
      <c r="R651" s="1423">
        <f t="shared" si="929"/>
        <v>0</v>
      </c>
      <c r="S651" s="1423">
        <f t="shared" si="930"/>
        <v>0</v>
      </c>
      <c r="T651" s="1423">
        <f t="shared" si="931"/>
        <v>0</v>
      </c>
      <c r="U651" s="1423">
        <f t="shared" si="932"/>
        <v>0</v>
      </c>
      <c r="V651" s="1423">
        <f t="shared" si="933"/>
        <v>0</v>
      </c>
      <c r="W651" s="1423">
        <f t="shared" si="934"/>
        <v>0</v>
      </c>
      <c r="X651" s="152"/>
      <c r="Y651" s="152"/>
      <c r="Z651" s="152"/>
      <c r="AA651" s="152"/>
      <c r="AB651" s="152"/>
    </row>
    <row r="652" spans="1:28" hidden="1" outlineLevel="1">
      <c r="A652" s="152"/>
      <c r="B652" s="190" t="str">
        <f t="shared" ca="1" si="935"/>
        <v>RL Capex 2030-31</v>
      </c>
      <c r="C652" s="1429"/>
      <c r="D652" s="1429"/>
      <c r="E652" s="1429"/>
      <c r="F652" s="1429"/>
      <c r="G652" s="1429"/>
      <c r="H652" s="1429"/>
      <c r="I652" s="1429"/>
      <c r="J652" s="1429"/>
      <c r="K652" s="1429"/>
      <c r="L652" s="1429"/>
      <c r="M652" s="1429"/>
      <c r="N652" s="1429"/>
      <c r="O652" s="1429"/>
      <c r="P652" s="1429"/>
      <c r="Q652" s="1424"/>
      <c r="R652" s="1428">
        <f>R609</f>
        <v>0</v>
      </c>
      <c r="S652" s="1423">
        <f t="shared" si="930"/>
        <v>0</v>
      </c>
      <c r="T652" s="1423">
        <f t="shared" si="931"/>
        <v>0</v>
      </c>
      <c r="U652" s="1423">
        <f t="shared" si="932"/>
        <v>0</v>
      </c>
      <c r="V652" s="1423">
        <f t="shared" si="933"/>
        <v>0</v>
      </c>
      <c r="W652" s="1423">
        <f t="shared" si="934"/>
        <v>0</v>
      </c>
      <c r="X652" s="152"/>
      <c r="Y652" s="152"/>
      <c r="Z652" s="152"/>
      <c r="AA652" s="152"/>
      <c r="AB652" s="152"/>
    </row>
    <row r="653" spans="1:28" hidden="1" outlineLevel="1">
      <c r="A653" s="152"/>
      <c r="B653" s="190" t="str">
        <f t="shared" ca="1" si="935"/>
        <v>RL Capex 2031-32</v>
      </c>
      <c r="C653" s="1429"/>
      <c r="D653" s="1429"/>
      <c r="E653" s="1429"/>
      <c r="F653" s="1429"/>
      <c r="G653" s="1429"/>
      <c r="H653" s="1429"/>
      <c r="I653" s="1429"/>
      <c r="J653" s="1429"/>
      <c r="K653" s="1429"/>
      <c r="L653" s="1429"/>
      <c r="M653" s="1429"/>
      <c r="N653" s="1429"/>
      <c r="O653" s="1429"/>
      <c r="P653" s="1429"/>
      <c r="Q653" s="1429"/>
      <c r="R653" s="1424"/>
      <c r="S653" s="1428">
        <f>S609</f>
        <v>0</v>
      </c>
      <c r="T653" s="1423">
        <f t="shared" si="931"/>
        <v>0</v>
      </c>
      <c r="U653" s="1423">
        <f t="shared" si="932"/>
        <v>0</v>
      </c>
      <c r="V653" s="1423">
        <f t="shared" si="933"/>
        <v>0</v>
      </c>
      <c r="W653" s="1423">
        <f t="shared" si="934"/>
        <v>0</v>
      </c>
      <c r="X653" s="152"/>
      <c r="Y653" s="152"/>
      <c r="Z653" s="152"/>
      <c r="AA653" s="152"/>
      <c r="AB653" s="152"/>
    </row>
    <row r="654" spans="1:28" hidden="1" outlineLevel="1">
      <c r="A654" s="152"/>
      <c r="B654" s="190" t="str">
        <f t="shared" ca="1" si="935"/>
        <v>RL Capex 2032-33</v>
      </c>
      <c r="C654" s="1429"/>
      <c r="D654" s="1429"/>
      <c r="E654" s="1429"/>
      <c r="F654" s="1429"/>
      <c r="G654" s="1429"/>
      <c r="H654" s="1429"/>
      <c r="I654" s="1429"/>
      <c r="J654" s="1429"/>
      <c r="K654" s="1429"/>
      <c r="L654" s="1429"/>
      <c r="M654" s="1429"/>
      <c r="N654" s="1429"/>
      <c r="O654" s="1429"/>
      <c r="P654" s="1429"/>
      <c r="Q654" s="1429"/>
      <c r="R654" s="1429"/>
      <c r="S654" s="1424"/>
      <c r="T654" s="1428">
        <f>T609</f>
        <v>0</v>
      </c>
      <c r="U654" s="1423">
        <f t="shared" si="932"/>
        <v>0</v>
      </c>
      <c r="V654" s="1423">
        <f t="shared" si="933"/>
        <v>0</v>
      </c>
      <c r="W654" s="1423">
        <f t="shared" si="934"/>
        <v>0</v>
      </c>
      <c r="X654" s="152"/>
      <c r="Y654" s="152"/>
      <c r="Z654" s="152"/>
      <c r="AA654" s="152"/>
      <c r="AB654" s="152"/>
    </row>
    <row r="655" spans="1:28" hidden="1" outlineLevel="1">
      <c r="A655" s="152"/>
      <c r="B655" s="190" t="str">
        <f t="shared" ca="1" si="935"/>
        <v>RL Capex 2033-34</v>
      </c>
      <c r="C655" s="1429"/>
      <c r="D655" s="1429"/>
      <c r="E655" s="1429"/>
      <c r="F655" s="1429"/>
      <c r="G655" s="1429"/>
      <c r="H655" s="1429"/>
      <c r="I655" s="1429"/>
      <c r="J655" s="1429"/>
      <c r="K655" s="1429"/>
      <c r="L655" s="1429"/>
      <c r="M655" s="1429"/>
      <c r="N655" s="1429"/>
      <c r="O655" s="1429"/>
      <c r="P655" s="1429"/>
      <c r="Q655" s="1429"/>
      <c r="R655" s="1429"/>
      <c r="S655" s="1429"/>
      <c r="T655" s="1424"/>
      <c r="U655" s="1428">
        <f>U609</f>
        <v>0</v>
      </c>
      <c r="V655" s="1423">
        <f t="shared" si="933"/>
        <v>0</v>
      </c>
      <c r="W655" s="1423">
        <f t="shared" si="934"/>
        <v>0</v>
      </c>
      <c r="X655" s="152"/>
      <c r="Y655" s="152"/>
      <c r="Z655" s="152"/>
      <c r="AA655" s="152"/>
      <c r="AB655" s="152"/>
    </row>
    <row r="656" spans="1:28" hidden="1" outlineLevel="1">
      <c r="A656" s="152"/>
      <c r="B656" s="190" t="str">
        <f t="shared" ca="1" si="935"/>
        <v>RL Capex 2034-35</v>
      </c>
      <c r="C656" s="1429"/>
      <c r="D656" s="1429"/>
      <c r="E656" s="1429"/>
      <c r="F656" s="1429"/>
      <c r="G656" s="1429"/>
      <c r="H656" s="1429"/>
      <c r="I656" s="1429"/>
      <c r="J656" s="1429"/>
      <c r="K656" s="1429"/>
      <c r="L656" s="1429"/>
      <c r="M656" s="1429"/>
      <c r="N656" s="1429"/>
      <c r="O656" s="1429"/>
      <c r="P656" s="1429"/>
      <c r="Q656" s="1429"/>
      <c r="R656" s="1429"/>
      <c r="S656" s="1429"/>
      <c r="T656" s="1429"/>
      <c r="U656" s="1424"/>
      <c r="V656" s="1428">
        <f>V609</f>
        <v>0</v>
      </c>
      <c r="W656" s="1423">
        <f>IF(V656="n/a","n/a",MAX(0,V656-1))</f>
        <v>0</v>
      </c>
      <c r="X656" s="152"/>
      <c r="Y656" s="152"/>
      <c r="Z656" s="152"/>
      <c r="AA656" s="152"/>
      <c r="AB656" s="152"/>
    </row>
    <row r="657" spans="1:28" hidden="1" outlineLevel="1">
      <c r="A657" s="152"/>
      <c r="B657" s="190" t="str">
        <f t="shared" ca="1" si="935"/>
        <v>RL Capex 2035-36</v>
      </c>
      <c r="C657" s="1429"/>
      <c r="D657" s="1429"/>
      <c r="E657" s="1429"/>
      <c r="F657" s="1429"/>
      <c r="G657" s="1429"/>
      <c r="H657" s="1429"/>
      <c r="I657" s="1429"/>
      <c r="J657" s="1429"/>
      <c r="K657" s="1429"/>
      <c r="L657" s="1429"/>
      <c r="M657" s="1429"/>
      <c r="N657" s="1429"/>
      <c r="O657" s="1429"/>
      <c r="P657" s="1429"/>
      <c r="Q657" s="1429"/>
      <c r="R657" s="1429"/>
      <c r="S657" s="1429"/>
      <c r="T657" s="1429"/>
      <c r="U657" s="1429"/>
      <c r="V657" s="1424"/>
      <c r="W657" s="1423">
        <f>W609</f>
        <v>0</v>
      </c>
      <c r="X657" s="152"/>
      <c r="Y657" s="152"/>
      <c r="Z657" s="152"/>
      <c r="AA657" s="152"/>
      <c r="AB657" s="152"/>
    </row>
    <row r="658" spans="1:28" hidden="1" outlineLevel="1">
      <c r="A658" s="152"/>
      <c r="B658" s="200"/>
      <c r="C658" s="1423"/>
      <c r="D658" s="1423"/>
      <c r="E658" s="1423"/>
      <c r="F658" s="1423"/>
      <c r="G658" s="1423"/>
      <c r="H658" s="1423"/>
      <c r="I658" s="1423"/>
      <c r="J658" s="1423"/>
      <c r="K658" s="1423"/>
      <c r="L658" s="1423"/>
      <c r="M658" s="1423"/>
      <c r="N658" s="1423"/>
      <c r="O658" s="1423"/>
      <c r="P658" s="1423"/>
      <c r="Q658" s="1423"/>
      <c r="R658" s="1423"/>
      <c r="S658" s="1423"/>
      <c r="T658" s="1423"/>
      <c r="U658" s="1423"/>
      <c r="V658" s="1423"/>
      <c r="W658" s="1423"/>
      <c r="X658" s="152"/>
      <c r="Y658" s="152"/>
      <c r="Z658" s="152"/>
      <c r="AA658" s="152"/>
      <c r="AB658" s="152"/>
    </row>
    <row r="659" spans="1:28" collapsed="1">
      <c r="A659" s="194"/>
      <c r="B659" s="204" t="s">
        <v>123</v>
      </c>
      <c r="C659" s="1430">
        <f ca="1">(IF(OR($C609&lt;&gt;"n/a",C609&lt;&gt;"n/a"),IF(SUM(C612:C634)=0,0,IF((SUMPRODUCT(C612:C634,C636:C658)/SUM(C612:C634))&lt;0,1,(SUMPRODUCT(C612:C634,C636:C658)/SUM(C612:C634)))),"n/a"))</f>
        <v>0</v>
      </c>
      <c r="D659" s="1430">
        <f ca="1">(IF(OR($C609&lt;&gt;"n/a",D609&lt;&gt;"n/a"),IF(SUM(D612:D634)=0,0,IF((SUMPRODUCT(D612:D634,D636:D658)/SUM(D612:D634))&lt;0,1,(SUMPRODUCT(D612:D634,D636:D658)/SUM(D612:D634)))),"n/a"))</f>
        <v>0</v>
      </c>
      <c r="E659" s="1430">
        <f t="shared" ref="E659:W659" ca="1" si="936">(IF(OR($C609&lt;&gt;"n/a",E609&lt;&gt;"n/a"),IF(SUM(E612:E634)=0,0,IF((SUMPRODUCT(E612:E634,E636:E658)/SUM(E612:E634))&lt;0,1,(SUMPRODUCT(E612:E634,E636:E658)/SUM(E612:E634)))),"n/a"))</f>
        <v>0</v>
      </c>
      <c r="F659" s="1430">
        <f t="shared" ca="1" si="936"/>
        <v>0</v>
      </c>
      <c r="G659" s="1430">
        <f t="shared" ca="1" si="936"/>
        <v>0</v>
      </c>
      <c r="H659" s="1430">
        <f t="shared" ca="1" si="936"/>
        <v>0</v>
      </c>
      <c r="I659" s="1430">
        <f t="shared" ca="1" si="936"/>
        <v>0</v>
      </c>
      <c r="J659" s="1430">
        <f t="shared" ca="1" si="936"/>
        <v>0</v>
      </c>
      <c r="K659" s="1430">
        <f t="shared" ca="1" si="936"/>
        <v>0</v>
      </c>
      <c r="L659" s="1430">
        <f t="shared" ca="1" si="936"/>
        <v>0</v>
      </c>
      <c r="M659" s="1430">
        <f t="shared" ca="1" si="936"/>
        <v>0</v>
      </c>
      <c r="N659" s="1430">
        <f t="shared" ca="1" si="936"/>
        <v>0</v>
      </c>
      <c r="O659" s="1430">
        <f t="shared" ca="1" si="936"/>
        <v>0</v>
      </c>
      <c r="P659" s="1430">
        <f t="shared" ca="1" si="936"/>
        <v>0</v>
      </c>
      <c r="Q659" s="1430">
        <f t="shared" ca="1" si="936"/>
        <v>0</v>
      </c>
      <c r="R659" s="1430">
        <f t="shared" ca="1" si="936"/>
        <v>0</v>
      </c>
      <c r="S659" s="1430">
        <f t="shared" ca="1" si="936"/>
        <v>0</v>
      </c>
      <c r="T659" s="1430">
        <f t="shared" ca="1" si="936"/>
        <v>0</v>
      </c>
      <c r="U659" s="1430">
        <f t="shared" ca="1" si="936"/>
        <v>0</v>
      </c>
      <c r="V659" s="1430">
        <f t="shared" ca="1" si="936"/>
        <v>0</v>
      </c>
      <c r="W659" s="1430">
        <f t="shared" ca="1" si="936"/>
        <v>0</v>
      </c>
      <c r="X659" s="152"/>
      <c r="Y659" s="152"/>
      <c r="Z659" s="152"/>
      <c r="AA659" s="152"/>
      <c r="AB659" s="152"/>
    </row>
    <row r="660" spans="1:28">
      <c r="A660" s="152"/>
      <c r="B660" s="152"/>
      <c r="C660" s="1423"/>
      <c r="D660" s="1423"/>
      <c r="E660" s="1423"/>
      <c r="F660" s="1423"/>
      <c r="G660" s="1423"/>
      <c r="H660" s="1423"/>
      <c r="I660" s="1423"/>
      <c r="J660" s="1423"/>
      <c r="K660" s="1423"/>
      <c r="L660" s="1423"/>
      <c r="M660" s="1423"/>
      <c r="N660" s="1423"/>
      <c r="O660" s="1423"/>
      <c r="P660" s="1423"/>
      <c r="Q660" s="1423"/>
      <c r="R660" s="1423"/>
      <c r="S660" s="1423"/>
      <c r="T660" s="1423"/>
      <c r="U660" s="1423"/>
      <c r="V660" s="1423"/>
      <c r="W660" s="1423"/>
      <c r="X660" s="152"/>
      <c r="Y660" s="152"/>
      <c r="Z660" s="152"/>
      <c r="AA660" s="152"/>
      <c r="AB660" s="152"/>
    </row>
    <row r="661" spans="1:28">
      <c r="A661" s="269" t="s">
        <v>13</v>
      </c>
      <c r="B661" s="270">
        <f>VLOOKUP($A661,'RFM input'!$E$7:$F$56,2,FALSE)</f>
        <v>0</v>
      </c>
      <c r="C661" s="1431"/>
      <c r="D661" s="1431"/>
      <c r="E661" s="1432"/>
      <c r="F661" s="1432"/>
      <c r="G661" s="1432"/>
      <c r="H661" s="1432"/>
      <c r="I661" s="1432"/>
      <c r="J661" s="1432"/>
      <c r="K661" s="1432"/>
      <c r="L661" s="1432"/>
      <c r="M661" s="1432"/>
      <c r="N661" s="1432"/>
      <c r="O661" s="1432"/>
      <c r="P661" s="1432"/>
      <c r="Q661" s="1432"/>
      <c r="R661" s="1432"/>
      <c r="S661" s="1432"/>
      <c r="T661" s="1432"/>
      <c r="U661" s="1432"/>
      <c r="V661" s="1432"/>
      <c r="W661" s="1432"/>
      <c r="X661" s="152"/>
      <c r="Y661" s="152"/>
      <c r="Z661" s="152"/>
      <c r="AA661" s="152"/>
      <c r="AB661" s="152"/>
    </row>
    <row r="662" spans="1:28">
      <c r="A662" s="215">
        <f>VALUE(REPLACE(A661,1,12,""))</f>
        <v>13</v>
      </c>
      <c r="B662" s="193" t="s">
        <v>126</v>
      </c>
      <c r="C662" s="1416">
        <f ca="1">IF($C$8='Capital Base roll forward'!$H$4,OFFSET('Capital Base roll forward'!$H$717,'RAB remaining lives'!A662,0),"enter input")</f>
        <v>0</v>
      </c>
      <c r="D662" s="1417">
        <f>IF(LEFT(D$6,4)&lt;LEFT('RFM input'!$G$60,4),"enter input",IF(LEFT(D$6,4)&gt;LEFT('RFM input'!$Q$60,4),0,INDEX('RFM input'!$G$61:$Q$110,$A662,MATCH(D$6,'RFM input'!$G$60:$Q$60,0))
-INDEX('RFM input'!$G$115:$Q$164,$A662,MATCH(D$6,'RFM input'!$G$60:$Q$60,0))
-INDEX('RFM input'!$G$169:$Q$218,$A662,MATCH(D$6,'RFM input'!$G$60:$Q$60,0))))</f>
        <v>0</v>
      </c>
      <c r="E662" s="1417">
        <f>IF(LEFT(E$6,4)&lt;LEFT('RFM input'!$G$60,4),"enter input",IF(LEFT(E$6,4)&gt;LEFT('RFM input'!$Q$60,4),0,INDEX('RFM input'!$G$61:$Q$110,$A662,MATCH(E$6,'RFM input'!$G$60:$Q$60,0))
-INDEX('RFM input'!$G$115:$Q$164,$A662,MATCH(E$6,'RFM input'!$G$60:$Q$60,0))
-INDEX('RFM input'!$G$169:$Q$218,$A662,MATCH(E$6,'RFM input'!$G$60:$Q$60,0))))</f>
        <v>0</v>
      </c>
      <c r="F662" s="1417">
        <f>IF(LEFT(F$6,4)&lt;LEFT('RFM input'!$G$60,4),"enter input",IF(LEFT(F$6,4)&gt;LEFT('RFM input'!$Q$60,4),0,INDEX('RFM input'!$G$61:$Q$110,$A662,MATCH(F$6,'RFM input'!$G$60:$Q$60,0))
-INDEX('RFM input'!$G$115:$Q$164,$A662,MATCH(F$6,'RFM input'!$G$60:$Q$60,0))
-INDEX('RFM input'!$G$169:$Q$218,$A662,MATCH(F$6,'RFM input'!$G$60:$Q$60,0))))</f>
        <v>0</v>
      </c>
      <c r="G662" s="1417">
        <f>IF(LEFT(G$6,4)&lt;LEFT('RFM input'!$G$60,4),"enter input",IF(LEFT(G$6,4)&gt;LEFT('RFM input'!$Q$60,4),0,INDEX('RFM input'!$G$61:$Q$110,$A662,MATCH(G$6,'RFM input'!$G$60:$Q$60,0))
-INDEX('RFM input'!$G$115:$Q$164,$A662,MATCH(G$6,'RFM input'!$G$60:$Q$60,0))
-INDEX('RFM input'!$G$169:$Q$218,$A662,MATCH(G$6,'RFM input'!$G$60:$Q$60,0))))</f>
        <v>0</v>
      </c>
      <c r="H662" s="1417">
        <f>IF(LEFT(H$6,4)&lt;LEFT('RFM input'!$G$60,4),"enter input",IF(LEFT(H$6,4)&gt;LEFT('RFM input'!$Q$60,4),0,INDEX('RFM input'!$G$61:$Q$110,$A662,MATCH(H$6,'RFM input'!$G$60:$Q$60,0))
-INDEX('RFM input'!$G$115:$Q$164,$A662,MATCH(H$6,'RFM input'!$G$60:$Q$60,0))
-INDEX('RFM input'!$G$169:$Q$218,$A662,MATCH(H$6,'RFM input'!$G$60:$Q$60,0))))</f>
        <v>0</v>
      </c>
      <c r="I662" s="1417">
        <f>IF(LEFT(I$6,4)&lt;LEFT('RFM input'!$G$60,4),"enter input",IF(LEFT(I$6,4)&gt;LEFT('RFM input'!$Q$60,4),0,INDEX('RFM input'!$G$61:$Q$110,$A662,MATCH(I$6,'RFM input'!$G$60:$Q$60,0))
-INDEX('RFM input'!$G$115:$Q$164,$A662,MATCH(I$6,'RFM input'!$G$60:$Q$60,0))
-INDEX('RFM input'!$G$169:$Q$218,$A662,MATCH(I$6,'RFM input'!$G$60:$Q$60,0))))</f>
        <v>0</v>
      </c>
      <c r="J662" s="1417">
        <f>IF(LEFT(J$6,4)&lt;LEFT('RFM input'!$G$60,4),"enter input",IF(LEFT(J$6,4)&gt;LEFT('RFM input'!$Q$60,4),0,INDEX('RFM input'!$G$61:$Q$110,$A662,MATCH(J$6,'RFM input'!$G$60:$Q$60,0))
-INDEX('RFM input'!$G$115:$Q$164,$A662,MATCH(J$6,'RFM input'!$G$60:$Q$60,0))
-INDEX('RFM input'!$G$169:$Q$218,$A662,MATCH(J$6,'RFM input'!$G$60:$Q$60,0))))</f>
        <v>0</v>
      </c>
      <c r="K662" s="1417">
        <f>IF(LEFT(K$6,4)&lt;LEFT('RFM input'!$G$60,4),"enter input",IF(LEFT(K$6,4)&gt;LEFT('RFM input'!$Q$60,4),0,INDEX('RFM input'!$G$61:$Q$110,$A662,MATCH(K$6,'RFM input'!$G$60:$Q$60,0))
-INDEX('RFM input'!$G$115:$Q$164,$A662,MATCH(K$6,'RFM input'!$G$60:$Q$60,0))
-INDEX('RFM input'!$G$169:$Q$218,$A662,MATCH(K$6,'RFM input'!$G$60:$Q$60,0))))</f>
        <v>0</v>
      </c>
      <c r="L662" s="1417">
        <f>IF(LEFT(L$6,4)&lt;LEFT('RFM input'!$G$60,4),"enter input",IF(LEFT(L$6,4)&gt;LEFT('RFM input'!$Q$60,4),0,INDEX('RFM input'!$G$61:$Q$110,$A662,MATCH(L$6,'RFM input'!$G$60:$Q$60,0))
-INDEX('RFM input'!$G$115:$Q$164,$A662,MATCH(L$6,'RFM input'!$G$60:$Q$60,0))
-INDEX('RFM input'!$G$169:$Q$218,$A662,MATCH(L$6,'RFM input'!$G$60:$Q$60,0))))</f>
        <v>0</v>
      </c>
      <c r="M662" s="1417">
        <f>IF(LEFT(M$6,4)&lt;LEFT('RFM input'!$G$60,4),"enter input",IF(LEFT(M$6,4)&gt;LEFT('RFM input'!$Q$60,4),0,INDEX('RFM input'!$G$61:$Q$110,$A662,MATCH(M$6,'RFM input'!$G$60:$Q$60,0))
-INDEX('RFM input'!$G$115:$Q$164,$A662,MATCH(M$6,'RFM input'!$G$60:$Q$60,0))
-INDEX('RFM input'!$G$169:$Q$218,$A662,MATCH(M$6,'RFM input'!$G$60:$Q$60,0))))</f>
        <v>0</v>
      </c>
      <c r="N662" s="1417">
        <f>IF(LEFT(N$6,4)&lt;LEFT('RFM input'!$G$60,4),"enter input",IF(LEFT(N$6,4)&gt;LEFT('RFM input'!$Q$60,4),0,INDEX('RFM input'!$G$61:$Q$110,$A662,MATCH(N$6,'RFM input'!$G$60:$Q$60,0))
-INDEX('RFM input'!$G$115:$Q$164,$A662,MATCH(N$6,'RFM input'!$G$60:$Q$60,0))
-INDEX('RFM input'!$G$169:$Q$218,$A662,MATCH(N$6,'RFM input'!$G$60:$Q$60,0))))</f>
        <v>0</v>
      </c>
      <c r="O662" s="1417">
        <f>IF(LEFT(O$6,4)&lt;LEFT('RFM input'!$G$60,4),"enter input",IF(LEFT(O$6,4)&gt;LEFT('RFM input'!$Q$60,4),0,INDEX('RFM input'!$G$61:$Q$110,$A662,MATCH(O$6,'RFM input'!$G$60:$Q$60,0))
-INDEX('RFM input'!$G$115:$Q$164,$A662,MATCH(O$6,'RFM input'!$G$60:$Q$60,0))
-INDEX('RFM input'!$G$169:$Q$218,$A662,MATCH(O$6,'RFM input'!$G$60:$Q$60,0))))</f>
        <v>0</v>
      </c>
      <c r="P662" s="1417">
        <f>IF(LEFT(P$6,4)&lt;LEFT('RFM input'!$G$60,4),"enter input",IF(LEFT(P$6,4)&gt;LEFT('RFM input'!$Q$60,4),0,INDEX('RFM input'!$G$61:$Q$110,$A662,MATCH(P$6,'RFM input'!$G$60:$Q$60,0))
-INDEX('RFM input'!$G$115:$Q$164,$A662,MATCH(P$6,'RFM input'!$G$60:$Q$60,0))
-INDEX('RFM input'!$G$169:$Q$218,$A662,MATCH(P$6,'RFM input'!$G$60:$Q$60,0))))</f>
        <v>0</v>
      </c>
      <c r="Q662" s="1417">
        <f>IF(LEFT(Q$6,4)&lt;LEFT('RFM input'!$G$60,4),"enter input",IF(LEFT(Q$6,4)&gt;LEFT('RFM input'!$Q$60,4),0,INDEX('RFM input'!$G$61:$Q$110,$A662,MATCH(Q$6,'RFM input'!$G$60:$Q$60,0))
-INDEX('RFM input'!$G$115:$Q$164,$A662,MATCH(Q$6,'RFM input'!$G$60:$Q$60,0))
-INDEX('RFM input'!$G$169:$Q$218,$A662,MATCH(Q$6,'RFM input'!$G$60:$Q$60,0))))</f>
        <v>0</v>
      </c>
      <c r="R662" s="1417">
        <f>IF(LEFT(R$6,4)&lt;LEFT('RFM input'!$G$60,4),"enter input",IF(LEFT(R$6,4)&gt;LEFT('RFM input'!$Q$60,4),0,INDEX('RFM input'!$G$61:$Q$110,$A662,MATCH(R$6,'RFM input'!$G$60:$Q$60,0))
-INDEX('RFM input'!$G$115:$Q$164,$A662,MATCH(R$6,'RFM input'!$G$60:$Q$60,0))
-INDEX('RFM input'!$G$169:$Q$218,$A662,MATCH(R$6,'RFM input'!$G$60:$Q$60,0))))</f>
        <v>0</v>
      </c>
      <c r="S662" s="1417">
        <f>IF(LEFT(S$6,4)&lt;LEFT('RFM input'!$G$60,4),"enter input",IF(LEFT(S$6,4)&gt;LEFT('RFM input'!$Q$60,4),0,INDEX('RFM input'!$G$61:$Q$110,$A662,MATCH(S$6,'RFM input'!$G$60:$Q$60,0))
-INDEX('RFM input'!$G$115:$Q$164,$A662,MATCH(S$6,'RFM input'!$G$60:$Q$60,0))
-INDEX('RFM input'!$G$169:$Q$218,$A662,MATCH(S$6,'RFM input'!$G$60:$Q$60,0))))</f>
        <v>0</v>
      </c>
      <c r="T662" s="1417">
        <f>IF(LEFT(T$6,4)&lt;LEFT('RFM input'!$G$60,4),"enter input",IF(LEFT(T$6,4)&gt;LEFT('RFM input'!$Q$60,4),0,INDEX('RFM input'!$G$61:$Q$110,$A662,MATCH(T$6,'RFM input'!$G$60:$Q$60,0))
-INDEX('RFM input'!$G$115:$Q$164,$A662,MATCH(T$6,'RFM input'!$G$60:$Q$60,0))
-INDEX('RFM input'!$G$169:$Q$218,$A662,MATCH(T$6,'RFM input'!$G$60:$Q$60,0))))</f>
        <v>0</v>
      </c>
      <c r="U662" s="1417">
        <f>IF(LEFT(U$6,4)&lt;LEFT('RFM input'!$G$60,4),"enter input",IF(LEFT(U$6,4)&gt;LEFT('RFM input'!$Q$60,4),0,INDEX('RFM input'!$G$61:$Q$110,$A662,MATCH(U$6,'RFM input'!$G$60:$Q$60,0))
-INDEX('RFM input'!$G$115:$Q$164,$A662,MATCH(U$6,'RFM input'!$G$60:$Q$60,0))
-INDEX('RFM input'!$G$169:$Q$218,$A662,MATCH(U$6,'RFM input'!$G$60:$Q$60,0))))</f>
        <v>0</v>
      </c>
      <c r="V662" s="1417">
        <f>IF(LEFT(V$6,4)&lt;LEFT('RFM input'!$G$60,4),"enter input",IF(LEFT(V$6,4)&gt;LEFT('RFM input'!$Q$60,4),0,INDEX('RFM input'!$G$61:$Q$110,$A662,MATCH(V$6,'RFM input'!$G$60:$Q$60,0))
-INDEX('RFM input'!$G$115:$Q$164,$A662,MATCH(V$6,'RFM input'!$G$60:$Q$60,0))
-INDEX('RFM input'!$G$169:$Q$218,$A662,MATCH(V$6,'RFM input'!$G$60:$Q$60,0))))</f>
        <v>0</v>
      </c>
      <c r="W662" s="1417">
        <f>IF(LEFT(W$6,4)&lt;LEFT('RFM input'!$G$60,4),"enter input",IF(LEFT(W$6,4)&gt;LEFT('RFM input'!$Q$60,4),0,INDEX('RFM input'!$G$61:$Q$110,$A662,MATCH(W$6,'RFM input'!$G$60:$Q$60,0))
-INDEX('RFM input'!$G$115:$Q$164,$A662,MATCH(W$6,'RFM input'!$G$60:$Q$60,0))
-INDEX('RFM input'!$G$169:$Q$218,$A662,MATCH(W$6,'RFM input'!$G$60:$Q$60,0))))</f>
        <v>0</v>
      </c>
      <c r="X662" s="152"/>
      <c r="Y662" s="152"/>
      <c r="Z662" s="152"/>
      <c r="AA662" s="152"/>
      <c r="AB662" s="152"/>
    </row>
    <row r="663" spans="1:28">
      <c r="A663" s="152"/>
      <c r="B663" s="152" t="s">
        <v>204</v>
      </c>
      <c r="C663" s="1418">
        <f ca="1">IF($C$8='Capital Base roll forward'!$H$4,OFFSET('RFM input'!$J$6,'RAB remaining lives'!A662,0),"enter input")</f>
        <v>0</v>
      </c>
      <c r="D663" s="1417">
        <f>IF(LEFT(D$6,4)&lt;=LEFT('RFM input'!$G$60,4),"enter input",IF(LEFT(D$6,4)&gt;LEFT('RFM input'!$Q$60,4),0,IF(MATCH(D$6,'RFM input'!$H$60:$Q$60,0),INDEX('RFM input'!$K$7:$K$56,$A662,1))))</f>
        <v>0</v>
      </c>
      <c r="E663" s="1417">
        <f>IF(LEFT(E$6,4)&lt;=LEFT('RFM input'!$G$60,4),"enter input",IF(LEFT(E$6,4)&gt;LEFT('RFM input'!$Q$60,4),0,IF(MATCH(E$6,'RFM input'!$H$60:$Q$60,0),INDEX('RFM input'!$K$7:$K$56,$A662,1))))</f>
        <v>0</v>
      </c>
      <c r="F663" s="1417">
        <f>IF(LEFT(F$6,4)&lt;=LEFT('RFM input'!$G$60,4),"enter input",IF(LEFT(F$6,4)&gt;LEFT('RFM input'!$Q$60,4),0,IF(MATCH(F$6,'RFM input'!$H$60:$Q$60,0),INDEX('RFM input'!$K$7:$K$56,$A662,1))))</f>
        <v>0</v>
      </c>
      <c r="G663" s="1417">
        <f>IF(LEFT(G$6,4)&lt;=LEFT('RFM input'!$G$60,4),"enter input",IF(LEFT(G$6,4)&gt;LEFT('RFM input'!$Q$60,4),0,IF(MATCH(G$6,'RFM input'!$H$60:$Q$60,0),INDEX('RFM input'!$K$7:$K$56,$A662,1))))</f>
        <v>0</v>
      </c>
      <c r="H663" s="1417">
        <f>IF(LEFT(H$6,4)&lt;=LEFT('RFM input'!$G$60,4),"enter input",IF(LEFT(H$6,4)&gt;LEFT('RFM input'!$Q$60,4),0,IF(MATCH(H$6,'RFM input'!$H$60:$Q$60,0),INDEX('RFM input'!$K$7:$K$56,$A662,1))))</f>
        <v>0</v>
      </c>
      <c r="I663" s="1417">
        <f>IF(LEFT(I$6,4)&lt;=LEFT('RFM input'!$G$60,4),"enter input",IF(LEFT(I$6,4)&gt;LEFT('RFM input'!$Q$60,4),0,IF(MATCH(I$6,'RFM input'!$H$60:$Q$60,0),INDEX('RFM input'!$K$7:$K$56,$A662,1))))</f>
        <v>0</v>
      </c>
      <c r="J663" s="1417">
        <f>IF(LEFT(J$6,4)&lt;=LEFT('RFM input'!$G$60,4),"enter input",IF(LEFT(J$6,4)&gt;LEFT('RFM input'!$Q$60,4),0,IF(MATCH(J$6,'RFM input'!$H$60:$Q$60,0),INDEX('RFM input'!$K$7:$K$56,$A662,1))))</f>
        <v>0</v>
      </c>
      <c r="K663" s="1417">
        <f>IF(LEFT(K$6,4)&lt;=LEFT('RFM input'!$G$60,4),"enter input",IF(LEFT(K$6,4)&gt;LEFT('RFM input'!$Q$60,4),0,IF(MATCH(K$6,'RFM input'!$H$60:$Q$60,0),INDEX('RFM input'!$K$7:$K$56,$A662,1))))</f>
        <v>0</v>
      </c>
      <c r="L663" s="1417">
        <f>IF(LEFT(L$6,4)&lt;=LEFT('RFM input'!$G$60,4),"enter input",IF(LEFT(L$6,4)&gt;LEFT('RFM input'!$Q$60,4),0,IF(MATCH(L$6,'RFM input'!$H$60:$Q$60,0),INDEX('RFM input'!$K$7:$K$56,$A662,1))))</f>
        <v>0</v>
      </c>
      <c r="M663" s="1417">
        <f>IF(LEFT(M$6,4)&lt;=LEFT('RFM input'!$G$60,4),"enter input",IF(LEFT(M$6,4)&gt;LEFT('RFM input'!$Q$60,4),0,IF(MATCH(M$6,'RFM input'!$H$60:$Q$60,0),INDEX('RFM input'!$K$7:$K$56,$A662,1))))</f>
        <v>0</v>
      </c>
      <c r="N663" s="1417">
        <f>IF(LEFT(N$6,4)&lt;=LEFT('RFM input'!$G$60,4),"enter input",IF(LEFT(N$6,4)&gt;LEFT('RFM input'!$Q$60,4),0,IF(MATCH(N$6,'RFM input'!$H$60:$Q$60,0),INDEX('RFM input'!$K$7:$K$56,$A662,1))))</f>
        <v>0</v>
      </c>
      <c r="O663" s="1417">
        <f>IF(LEFT(O$6,4)&lt;=LEFT('RFM input'!$G$60,4),"enter input",IF(LEFT(O$6,4)&gt;LEFT('RFM input'!$Q$60,4),0,IF(MATCH(O$6,'RFM input'!$H$60:$Q$60,0),INDEX('RFM input'!$K$7:$K$56,$A662,1))))</f>
        <v>0</v>
      </c>
      <c r="P663" s="1417">
        <f>IF(LEFT(P$6,4)&lt;=LEFT('RFM input'!$G$60,4),"enter input",IF(LEFT(P$6,4)&gt;LEFT('RFM input'!$Q$60,4),0,IF(MATCH(P$6,'RFM input'!$H$60:$Q$60,0),INDEX('RFM input'!$K$7:$K$56,$A662,1))))</f>
        <v>0</v>
      </c>
      <c r="Q663" s="1417">
        <f>IF(LEFT(Q$6,4)&lt;=LEFT('RFM input'!$G$60,4),"enter input",IF(LEFT(Q$6,4)&gt;LEFT('RFM input'!$Q$60,4),0,IF(MATCH(Q$6,'RFM input'!$H$60:$Q$60,0),INDEX('RFM input'!$K$7:$K$56,$A662,1))))</f>
        <v>0</v>
      </c>
      <c r="R663" s="1417">
        <f>IF(LEFT(R$6,4)&lt;=LEFT('RFM input'!$G$60,4),"enter input",IF(LEFT(R$6,4)&gt;LEFT('RFM input'!$Q$60,4),0,IF(MATCH(R$6,'RFM input'!$H$60:$Q$60,0),INDEX('RFM input'!$K$7:$K$56,$A662,1))))</f>
        <v>0</v>
      </c>
      <c r="S663" s="1417">
        <f>IF(LEFT(S$6,4)&lt;=LEFT('RFM input'!$G$60,4),"enter input",IF(LEFT(S$6,4)&gt;LEFT('RFM input'!$Q$60,4),0,IF(MATCH(S$6,'RFM input'!$H$60:$Q$60,0),INDEX('RFM input'!$K$7:$K$56,$A662,1))))</f>
        <v>0</v>
      </c>
      <c r="T663" s="1417">
        <f>IF(LEFT(T$6,4)&lt;=LEFT('RFM input'!$G$60,4),"enter input",IF(LEFT(T$6,4)&gt;LEFT('RFM input'!$Q$60,4),0,IF(MATCH(T$6,'RFM input'!$H$60:$Q$60,0),INDEX('RFM input'!$K$7:$K$56,$A662,1))))</f>
        <v>0</v>
      </c>
      <c r="U663" s="1417">
        <f>IF(LEFT(U$6,4)&lt;=LEFT('RFM input'!$G$60,4),"enter input",IF(LEFT(U$6,4)&gt;LEFT('RFM input'!$Q$60,4),0,IF(MATCH(U$6,'RFM input'!$H$60:$Q$60,0),INDEX('RFM input'!$K$7:$K$56,$A662,1))))</f>
        <v>0</v>
      </c>
      <c r="V663" s="1417">
        <f>IF(LEFT(V$6,4)&lt;=LEFT('RFM input'!$G$60,4),"enter input",IF(LEFT(V$6,4)&gt;LEFT('RFM input'!$Q$60,4),0,IF(MATCH(V$6,'RFM input'!$H$60:$Q$60,0),INDEX('RFM input'!$K$7:$K$56,$A662,1))))</f>
        <v>0</v>
      </c>
      <c r="W663" s="1417">
        <f>IF(LEFT(W$6,4)&lt;=LEFT('RFM input'!$G$60,4),"enter input",IF(LEFT(W$6,4)&gt;LEFT('RFM input'!$Q$60,4),0,IF(MATCH(W$6,'RFM input'!$H$60:$Q$60,0),INDEX('RFM input'!$K$7:$K$56,$A662,1))))</f>
        <v>0</v>
      </c>
      <c r="X663" s="152"/>
      <c r="Y663" s="152"/>
      <c r="Z663" s="152"/>
      <c r="AA663" s="152"/>
      <c r="AB663" s="152"/>
    </row>
    <row r="664" spans="1:28">
      <c r="A664" s="152"/>
      <c r="B664" s="177" t="s">
        <v>191</v>
      </c>
      <c r="C664" s="1419"/>
      <c r="D664" s="1420">
        <f ca="1">IF(LEFT(D$6,4)&lt;=LEFT('RFM input'!$G$60,4),"enter input",IF(LEFT(D$6,4)&gt;LEFT('RFM input'!$Q$60,4),0,IF(D$6=(OFFSET('RFM input'!$G$60,0,'RFM input'!$V$7)),OFFSET('RFM input'!$G$411,$A662,0),0)))</f>
        <v>0</v>
      </c>
      <c r="E664" s="1417">
        <f ca="1">IF(LEFT(E$6,4)&lt;=LEFT('RFM input'!$G$60,4),"enter input",IF(LEFT(E$6,4)&gt;LEFT('RFM input'!$Q$60,4),0,IF(E$6=(OFFSET('RFM input'!$G$60,0,'RFM input'!$V$7)),OFFSET('RFM input'!$G$411,$A662,0),0)))</f>
        <v>0</v>
      </c>
      <c r="F664" s="1417">
        <f ca="1">IF(LEFT(F$6,4)&lt;=LEFT('RFM input'!$G$60,4),"enter input",IF(LEFT(F$6,4)&gt;LEFT('RFM input'!$Q$60,4),0,IF(F$6=(OFFSET('RFM input'!$G$60,0,'RFM input'!$V$7)),OFFSET('RFM input'!$G$411,$A662,0),0)))</f>
        <v>0</v>
      </c>
      <c r="G664" s="1417">
        <f ca="1">IF(LEFT(G$6,4)&lt;=LEFT('RFM input'!$G$60,4),"enter input",IF(LEFT(G$6,4)&gt;LEFT('RFM input'!$Q$60,4),0,IF(G$6=(OFFSET('RFM input'!$G$60,0,'RFM input'!$V$7)),OFFSET('RFM input'!$G$411,$A662,0),0)))</f>
        <v>0</v>
      </c>
      <c r="H664" s="1417">
        <f ca="1">IF(LEFT(H$6,4)&lt;=LEFT('RFM input'!$G$60,4),"enter input",IF(LEFT(H$6,4)&gt;LEFT('RFM input'!$Q$60,4),0,IF(H$6=(OFFSET('RFM input'!$G$60,0,'RFM input'!$V$7)),OFFSET('RFM input'!$G$411,$A662,0),0)))</f>
        <v>0</v>
      </c>
      <c r="I664" s="1417">
        <f ca="1">IF(LEFT(I$6,4)&lt;=LEFT('RFM input'!$G$60,4),"enter input",IF(LEFT(I$6,4)&gt;LEFT('RFM input'!$Q$60,4),0,IF(I$6=(OFFSET('RFM input'!$G$60,0,'RFM input'!$V$7)),OFFSET('RFM input'!$G$411,$A662,0),0)))</f>
        <v>0</v>
      </c>
      <c r="J664" s="1417">
        <f ca="1">IF(LEFT(J$6,4)&lt;=LEFT('RFM input'!$G$60,4),"enter input",IF(LEFT(J$6,4)&gt;LEFT('RFM input'!$Q$60,4),0,IF(J$6=(OFFSET('RFM input'!$G$60,0,'RFM input'!$V$7)),OFFSET('RFM input'!$G$411,$A662,0),0)))</f>
        <v>0</v>
      </c>
      <c r="K664" s="1417">
        <f ca="1">IF(LEFT(K$6,4)&lt;=LEFT('RFM input'!$G$60,4),"enter input",IF(LEFT(K$6,4)&gt;LEFT('RFM input'!$Q$60,4),0,IF(K$6=(OFFSET('RFM input'!$G$60,0,'RFM input'!$V$7)),OFFSET('RFM input'!$G$411,$A662,0),0)))</f>
        <v>0</v>
      </c>
      <c r="L664" s="1417">
        <f ca="1">IF(LEFT(L$6,4)&lt;=LEFT('RFM input'!$G$60,4),"enter input",IF(LEFT(L$6,4)&gt;LEFT('RFM input'!$Q$60,4),0,IF(L$6=(OFFSET('RFM input'!$G$60,0,'RFM input'!$V$7)),OFFSET('RFM input'!$G$411,$A662,0),0)))</f>
        <v>0</v>
      </c>
      <c r="M664" s="1417">
        <f ca="1">IF(LEFT(M$6,4)&lt;=LEFT('RFM input'!$G$60,4),"enter input",IF(LEFT(M$6,4)&gt;LEFT('RFM input'!$Q$60,4),0,IF(M$6=(OFFSET('RFM input'!$G$60,0,'RFM input'!$V$7)),OFFSET('RFM input'!$G$411,$A662,0),0)))</f>
        <v>0</v>
      </c>
      <c r="N664" s="1417">
        <f ca="1">IF(LEFT(N$6,4)&lt;=LEFT('RFM input'!$G$60,4),"enter input",IF(LEFT(N$6,4)&gt;LEFT('RFM input'!$Q$60,4),0,IF(N$6=(OFFSET('RFM input'!$G$60,0,'RFM input'!$V$7)),OFFSET('RFM input'!$G$411,$A662,0),0)))</f>
        <v>0</v>
      </c>
      <c r="O664" s="1417">
        <f ca="1">IF(LEFT(O$6,4)&lt;=LEFT('RFM input'!$G$60,4),"enter input",IF(LEFT(O$6,4)&gt;LEFT('RFM input'!$Q$60,4),0,IF(O$6=(OFFSET('RFM input'!$G$60,0,'RFM input'!$V$7)),OFFSET('RFM input'!$G$411,$A662,0),0)))</f>
        <v>0</v>
      </c>
      <c r="P664" s="1417">
        <f ca="1">IF(LEFT(P$6,4)&lt;=LEFT('RFM input'!$G$60,4),"enter input",IF(LEFT(P$6,4)&gt;LEFT('RFM input'!$Q$60,4),0,IF(P$6=(OFFSET('RFM input'!$G$60,0,'RFM input'!$V$7)),OFFSET('RFM input'!$G$411,$A662,0),0)))</f>
        <v>0</v>
      </c>
      <c r="Q664" s="1417">
        <f ca="1">IF(LEFT(Q$6,4)&lt;=LEFT('RFM input'!$G$60,4),"enter input",IF(LEFT(Q$6,4)&gt;LEFT('RFM input'!$Q$60,4),0,IF(Q$6=(OFFSET('RFM input'!$G$60,0,'RFM input'!$V$7)),OFFSET('RFM input'!$G$411,$A662,0),0)))</f>
        <v>0</v>
      </c>
      <c r="R664" s="1417">
        <f ca="1">IF(LEFT(R$6,4)&lt;=LEFT('RFM input'!$G$60,4),"enter input",IF(LEFT(R$6,4)&gt;LEFT('RFM input'!$Q$60,4),0,IF(R$6=(OFFSET('RFM input'!$G$60,0,'RFM input'!$V$7)),OFFSET('RFM input'!$G$411,$A662,0),0)))</f>
        <v>0</v>
      </c>
      <c r="S664" s="1417">
        <f ca="1">IF(LEFT(S$6,4)&lt;=LEFT('RFM input'!$G$60,4),"enter input",IF(LEFT(S$6,4)&gt;LEFT('RFM input'!$Q$60,4),0,IF(S$6=(OFFSET('RFM input'!$G$60,0,'RFM input'!$V$7)),OFFSET('RFM input'!$G$411,$A662,0),0)))</f>
        <v>0</v>
      </c>
      <c r="T664" s="1417">
        <f ca="1">IF(LEFT(T$6,4)&lt;=LEFT('RFM input'!$G$60,4),"enter input",IF(LEFT(T$6,4)&gt;LEFT('RFM input'!$Q$60,4),0,IF(T$6=(OFFSET('RFM input'!$G$60,0,'RFM input'!$V$7)),OFFSET('RFM input'!$G$411,$A662,0),0)))</f>
        <v>0</v>
      </c>
      <c r="U664" s="1417">
        <f ca="1">IF(LEFT(U$6,4)&lt;=LEFT('RFM input'!$G$60,4),"enter input",IF(LEFT(U$6,4)&gt;LEFT('RFM input'!$Q$60,4),0,IF(U$6=(OFFSET('RFM input'!$G$60,0,'RFM input'!$V$7)),OFFSET('RFM input'!$G$411,$A662,0),0)))</f>
        <v>0</v>
      </c>
      <c r="V664" s="1417">
        <f ca="1">IF(LEFT(V$6,4)&lt;=LEFT('RFM input'!$G$60,4),"enter input",IF(LEFT(V$6,4)&gt;LEFT('RFM input'!$Q$60,4),0,IF(V$6=(OFFSET('RFM input'!$G$60,0,'RFM input'!$V$7)),OFFSET('RFM input'!$G$411,$A662,0),0)))</f>
        <v>0</v>
      </c>
      <c r="W664" s="1417">
        <f ca="1">IF(LEFT(W$6,4)&lt;=LEFT('RFM input'!$G$60,4),"enter input",IF(LEFT(W$6,4)&gt;LEFT('RFM input'!$Q$60,4),0,IF(W$6=(OFFSET('RFM input'!$G$60,0,'RFM input'!$V$7)),OFFSET('RFM input'!$G$411,$A662,0),0)))</f>
        <v>0</v>
      </c>
      <c r="X664" s="152"/>
      <c r="Y664" s="152"/>
      <c r="Z664" s="152"/>
      <c r="AA664" s="152"/>
      <c r="AB664" s="152"/>
    </row>
    <row r="665" spans="1:28">
      <c r="A665" s="152"/>
      <c r="B665" s="195" t="s">
        <v>197</v>
      </c>
      <c r="C665" s="1419"/>
      <c r="D665" s="1418">
        <f ca="1">IF(LEFT(D$6,4)&lt;=LEFT('RFM input'!$G$60,4),"enter input",IF(LEFT(D$6,4)&gt;LEFT('RFM input'!$Q$60,4),0,IF(D$6=(OFFSET('RFM input'!$G$60,0,'RFM input'!$V$7)),OFFSET('RFM input'!$I$411,$A662,0),0)))</f>
        <v>0</v>
      </c>
      <c r="E665" s="1422">
        <f ca="1">IF(LEFT(E$6,4)&lt;=LEFT('RFM input'!$G$60,4),"enter input",IF(LEFT(E$6,4)&gt;LEFT('RFM input'!$Q$60,4),0,IF(E$6=(OFFSET('RFM input'!$G$60,0,'RFM input'!$V$7)),OFFSET('RFM input'!$I$411,$A662,0),0)))</f>
        <v>0</v>
      </c>
      <c r="F665" s="1422">
        <f ca="1">IF(LEFT(F$6,4)&lt;=LEFT('RFM input'!$G$60,4),"enter input",IF(LEFT(F$6,4)&gt;LEFT('RFM input'!$Q$60,4),0,IF(F$6=(OFFSET('RFM input'!$G$60,0,'RFM input'!$V$7)),OFFSET('RFM input'!$I$411,$A662,0),0)))</f>
        <v>0</v>
      </c>
      <c r="G665" s="1422">
        <f ca="1">IF(LEFT(G$6,4)&lt;=LEFT('RFM input'!$G$60,4),"enter input",IF(LEFT(G$6,4)&gt;LEFT('RFM input'!$Q$60,4),0,IF(G$6=(OFFSET('RFM input'!$G$60,0,'RFM input'!$V$7)),OFFSET('RFM input'!$I$411,$A662,0),0)))</f>
        <v>0</v>
      </c>
      <c r="H665" s="1422">
        <f ca="1">IF(LEFT(H$6,4)&lt;=LEFT('RFM input'!$G$60,4),"enter input",IF(LEFT(H$6,4)&gt;LEFT('RFM input'!$Q$60,4),0,IF(H$6=(OFFSET('RFM input'!$G$60,0,'RFM input'!$V$7)),OFFSET('RFM input'!$I$411,$A662,0),0)))</f>
        <v>0</v>
      </c>
      <c r="I665" s="1422">
        <f ca="1">IF(LEFT(I$6,4)&lt;=LEFT('RFM input'!$G$60,4),"enter input",IF(LEFT(I$6,4)&gt;LEFT('RFM input'!$Q$60,4),0,IF(I$6=(OFFSET('RFM input'!$G$60,0,'RFM input'!$V$7)),OFFSET('RFM input'!$I$411,$A662,0),0)))</f>
        <v>0</v>
      </c>
      <c r="J665" s="1422">
        <f ca="1">IF(LEFT(J$6,4)&lt;=LEFT('RFM input'!$G$60,4),"enter input",IF(LEFT(J$6,4)&gt;LEFT('RFM input'!$Q$60,4),0,IF(J$6=(OFFSET('RFM input'!$G$60,0,'RFM input'!$V$7)),OFFSET('RFM input'!$I$411,$A662,0),0)))</f>
        <v>0</v>
      </c>
      <c r="K665" s="1422">
        <f ca="1">IF(LEFT(K$6,4)&lt;=LEFT('RFM input'!$G$60,4),"enter input",IF(LEFT(K$6,4)&gt;LEFT('RFM input'!$Q$60,4),0,IF(K$6=(OFFSET('RFM input'!$G$60,0,'RFM input'!$V$7)),OFFSET('RFM input'!$I$411,$A662,0),0)))</f>
        <v>0</v>
      </c>
      <c r="L665" s="1422">
        <f ca="1">IF(LEFT(L$6,4)&lt;=LEFT('RFM input'!$G$60,4),"enter input",IF(LEFT(L$6,4)&gt;LEFT('RFM input'!$Q$60,4),0,IF(L$6=(OFFSET('RFM input'!$G$60,0,'RFM input'!$V$7)),OFFSET('RFM input'!$I$411,$A662,0),0)))</f>
        <v>0</v>
      </c>
      <c r="M665" s="1422">
        <f ca="1">IF(LEFT(M$6,4)&lt;=LEFT('RFM input'!$G$60,4),"enter input",IF(LEFT(M$6,4)&gt;LEFT('RFM input'!$Q$60,4),0,IF(M$6=(OFFSET('RFM input'!$G$60,0,'RFM input'!$V$7)),OFFSET('RFM input'!$I$411,$A662,0),0)))</f>
        <v>0</v>
      </c>
      <c r="N665" s="1422">
        <f ca="1">IF(LEFT(N$6,4)&lt;=LEFT('RFM input'!$G$60,4),"enter input",IF(LEFT(N$6,4)&gt;LEFT('RFM input'!$Q$60,4),0,IF(N$6=(OFFSET('RFM input'!$G$60,0,'RFM input'!$V$7)),OFFSET('RFM input'!$I$411,$A662,0),0)))</f>
        <v>0</v>
      </c>
      <c r="O665" s="1422">
        <f ca="1">IF(LEFT(O$6,4)&lt;=LEFT('RFM input'!$G$60,4),"enter input",IF(LEFT(O$6,4)&gt;LEFT('RFM input'!$Q$60,4),0,IF(O$6=(OFFSET('RFM input'!$G$60,0,'RFM input'!$V$7)),OFFSET('RFM input'!$I$411,$A662,0),0)))</f>
        <v>0</v>
      </c>
      <c r="P665" s="1422">
        <f ca="1">IF(LEFT(P$6,4)&lt;=LEFT('RFM input'!$G$60,4),"enter input",IF(LEFT(P$6,4)&gt;LEFT('RFM input'!$Q$60,4),0,IF(P$6=(OFFSET('RFM input'!$G$60,0,'RFM input'!$V$7)),OFFSET('RFM input'!$I$411,$A662,0),0)))</f>
        <v>0</v>
      </c>
      <c r="Q665" s="1422">
        <f ca="1">IF(LEFT(Q$6,4)&lt;=LEFT('RFM input'!$G$60,4),"enter input",IF(LEFT(Q$6,4)&gt;LEFT('RFM input'!$Q$60,4),0,IF(Q$6=(OFFSET('RFM input'!$G$60,0,'RFM input'!$V$7)),OFFSET('RFM input'!$I$411,$A662,0),0)))</f>
        <v>0</v>
      </c>
      <c r="R665" s="1422">
        <f ca="1">IF(LEFT(R$6,4)&lt;=LEFT('RFM input'!$G$60,4),"enter input",IF(LEFT(R$6,4)&gt;LEFT('RFM input'!$Q$60,4),0,IF(R$6=(OFFSET('RFM input'!$G$60,0,'RFM input'!$V$7)),OFFSET('RFM input'!$I$411,$A662,0),0)))</f>
        <v>0</v>
      </c>
      <c r="S665" s="1422">
        <f ca="1">IF(LEFT(S$6,4)&lt;=LEFT('RFM input'!$G$60,4),"enter input",IF(LEFT(S$6,4)&gt;LEFT('RFM input'!$Q$60,4),0,IF(S$6=(OFFSET('RFM input'!$G$60,0,'RFM input'!$V$7)),OFFSET('RFM input'!$I$411,$A662,0),0)))</f>
        <v>0</v>
      </c>
      <c r="T665" s="1422">
        <f ca="1">IF(LEFT(T$6,4)&lt;=LEFT('RFM input'!$G$60,4),"enter input",IF(LEFT(T$6,4)&gt;LEFT('RFM input'!$Q$60,4),0,IF(T$6=(OFFSET('RFM input'!$G$60,0,'RFM input'!$V$7)),OFFSET('RFM input'!$I$411,$A662,0),0)))</f>
        <v>0</v>
      </c>
      <c r="U665" s="1422">
        <f ca="1">IF(LEFT(U$6,4)&lt;=LEFT('RFM input'!$G$60,4),"enter input",IF(LEFT(U$6,4)&gt;LEFT('RFM input'!$Q$60,4),0,IF(U$6=(OFFSET('RFM input'!$G$60,0,'RFM input'!$V$7)),OFFSET('RFM input'!$I$411,$A662,0),0)))</f>
        <v>0</v>
      </c>
      <c r="V665" s="1422">
        <f ca="1">IF(LEFT(V$6,4)&lt;=LEFT('RFM input'!$G$60,4),"enter input",IF(LEFT(V$6,4)&gt;LEFT('RFM input'!$Q$60,4),0,IF(V$6=(OFFSET('RFM input'!$G$60,0,'RFM input'!$V$7)),OFFSET('RFM input'!$I$411,$A662,0),0)))</f>
        <v>0</v>
      </c>
      <c r="W665" s="1422">
        <f ca="1">IF(LEFT(W$6,4)&lt;=LEFT('RFM input'!$G$60,4),"enter input",IF(LEFT(W$6,4)&gt;LEFT('RFM input'!$Q$60,4),0,IF(W$6=(OFFSET('RFM input'!$G$60,0,'RFM input'!$V$7)),OFFSET('RFM input'!$I$411,$A662,0),0)))</f>
        <v>0</v>
      </c>
      <c r="X665" s="152"/>
      <c r="Y665" s="152"/>
      <c r="Z665" s="152"/>
      <c r="AA665" s="152"/>
      <c r="AB665" s="152"/>
    </row>
    <row r="666" spans="1:28" hidden="1" outlineLevel="1">
      <c r="A666" s="235">
        <v>-1</v>
      </c>
      <c r="B666" s="190" t="s">
        <v>189</v>
      </c>
      <c r="C666" s="1423"/>
      <c r="D666" s="1423">
        <f ca="1">IF(AND(D664=0,C666=0),0,
IF(AND(D664&lt;&gt;0,C666=0),(D664/D$10),
IF(AND(D665&lt;&gt;0,C666&lt;&gt;0),(C666-(C666/C690))+(D664/D$10),
IF(C690&lt;1,0,(C666-(C666/C690))))))</f>
        <v>0</v>
      </c>
      <c r="E666" s="1423">
        <f t="shared" ref="E666" ca="1" si="937">IF(AND(E664=0,D666=0),0,
IF(AND(E664&lt;&gt;0,D666=0),(E664/E$10),
IF(AND(E665&lt;&gt;0,D666&lt;&gt;0),(D666-(D666/D690))+(E664/E$10),
IF(D690&lt;1,0,(D666-(D666/D690))))))</f>
        <v>0</v>
      </c>
      <c r="F666" s="1423">
        <f t="shared" ref="F666" ca="1" si="938">IF(AND(F664=0,E666=0),0,
IF(AND(F664&lt;&gt;0,E666=0),(F664/F$10),
IF(AND(F665&lt;&gt;0,E666&lt;&gt;0),(E666-(E666/E690))+(F664/F$10),
IF(E690&lt;1,0,(E666-(E666/E690))))))</f>
        <v>0</v>
      </c>
      <c r="G666" s="1423">
        <f t="shared" ref="G666" ca="1" si="939">IF(AND(G664=0,F666=0),0,
IF(AND(G664&lt;&gt;0,F666=0),(G664/G$10),
IF(AND(G665&lt;&gt;0,F666&lt;&gt;0),(F666-(F666/F690))+(G664/G$10),
IF(F690&lt;1,0,(F666-(F666/F690))))))</f>
        <v>0</v>
      </c>
      <c r="H666" s="1423">
        <f t="shared" ref="H666" ca="1" si="940">IF(AND(H664=0,G666=0),0,
IF(AND(H664&lt;&gt;0,G666=0),(H664/H$10),
IF(AND(H665&lt;&gt;0,G666&lt;&gt;0),(G666-(G666/G690))+(H664/H$10),
IF(G690&lt;1,0,(G666-(G666/G690))))))</f>
        <v>0</v>
      </c>
      <c r="I666" s="1423">
        <f t="shared" ref="I666" ca="1" si="941">IF(AND(I664=0,H666=0),0,
IF(AND(I664&lt;&gt;0,H666=0),(I664/I$10),
IF(AND(I665&lt;&gt;0,H666&lt;&gt;0),(H666-(H666/H690))+(I664/I$10),
IF(H690&lt;1,0,(H666-(H666/H690))))))</f>
        <v>0</v>
      </c>
      <c r="J666" s="1423">
        <f t="shared" ref="J666" ca="1" si="942">IF(AND(J664=0,I666=0),0,
IF(AND(J664&lt;&gt;0,I666=0),(J664/J$10),
IF(AND(J665&lt;&gt;0,I666&lt;&gt;0),(I666-(I666/I690))+(J664/J$10),
IF(I690&lt;1,0,(I666-(I666/I690))))))</f>
        <v>0</v>
      </c>
      <c r="K666" s="1423">
        <f t="shared" ref="K666" ca="1" si="943">IF(AND(K664=0,J666=0),0,
IF(AND(K664&lt;&gt;0,J666=0),(K664/K$10),
IF(AND(K665&lt;&gt;0,J666&lt;&gt;0),(J666-(J666/J690))+(K664/K$10),
IF(J690&lt;1,0,(J666-(J666/J690))))))</f>
        <v>0</v>
      </c>
      <c r="L666" s="1423">
        <f t="shared" ref="L666" ca="1" si="944">IF(AND(L664=0,K666=0),0,
IF(AND(L664&lt;&gt;0,K666=0),(L664/L$10),
IF(AND(L665&lt;&gt;0,K666&lt;&gt;0),(K666-(K666/K690))+(L664/L$10),
IF(K690&lt;1,0,(K666-(K666/K690))))))</f>
        <v>0</v>
      </c>
      <c r="M666" s="1423">
        <f t="shared" ref="M666" ca="1" si="945">IF(AND(M664=0,L666=0),0,
IF(AND(M664&lt;&gt;0,L666=0),(M664/M$10),
IF(AND(M665&lt;&gt;0,L666&lt;&gt;0),(L666-(L666/L690))+(M664/M$10),
IF(L690&lt;1,0,(L666-(L666/L690))))))</f>
        <v>0</v>
      </c>
      <c r="N666" s="1423">
        <f t="shared" ref="N666" ca="1" si="946">IF(AND(N664=0,M666=0),0,
IF(AND(N664&lt;&gt;0,M666=0),(N664/N$10),
IF(AND(N665&lt;&gt;0,M666&lt;&gt;0),(M666-(M666/M690))+(N664/N$10),
IF(M690&lt;1,0,(M666-(M666/M690))))))</f>
        <v>0</v>
      </c>
      <c r="O666" s="1423">
        <f t="shared" ref="O666" ca="1" si="947">IF(AND(O664=0,N666=0),0,
IF(AND(O664&lt;&gt;0,N666=0),(O664/O$10),
IF(AND(O665&lt;&gt;0,N666&lt;&gt;0),(N666-(N666/N690))+(O664/O$10),
IF(N690&lt;1,0,(N666-(N666/N690))))))</f>
        <v>0</v>
      </c>
      <c r="P666" s="1423">
        <f t="shared" ref="P666" ca="1" si="948">IF(AND(P664=0,O666=0),0,
IF(AND(P664&lt;&gt;0,O666=0),(P664/P$10),
IF(AND(P665&lt;&gt;0,O666&lt;&gt;0),(O666-(O666/O690))+(P664/P$10),
IF(O690&lt;1,0,(O666-(O666/O690))))))</f>
        <v>0</v>
      </c>
      <c r="Q666" s="1423">
        <f t="shared" ref="Q666" ca="1" si="949">IF(AND(Q664=0,P666=0),0,
IF(AND(Q664&lt;&gt;0,P666=0),(Q664/Q$10),
IF(AND(Q665&lt;&gt;0,P666&lt;&gt;0),(P666-(P666/P690))+(Q664/Q$10),
IF(P690&lt;1,0,(P666-(P666/P690))))))</f>
        <v>0</v>
      </c>
      <c r="R666" s="1423">
        <f t="shared" ref="R666" ca="1" si="950">IF(AND(R664=0,Q666=0),0,
IF(AND(R664&lt;&gt;0,Q666=0),(R664/R$10),
IF(AND(R665&lt;&gt;0,Q666&lt;&gt;0),(Q666-(Q666/Q690))+(R664/R$10),
IF(Q690&lt;1,0,(Q666-(Q666/Q690))))))</f>
        <v>0</v>
      </c>
      <c r="S666" s="1423">
        <f t="shared" ref="S666" ca="1" si="951">IF(AND(S664=0,R666=0),0,
IF(AND(S664&lt;&gt;0,R666=0),(S664/S$10),
IF(AND(S665&lt;&gt;0,R666&lt;&gt;0),(R666-(R666/R690))+(S664/S$10),
IF(R690&lt;1,0,(R666-(R666/R690))))))</f>
        <v>0</v>
      </c>
      <c r="T666" s="1423">
        <f t="shared" ref="T666" ca="1" si="952">IF(AND(T664=0,S666=0),0,
IF(AND(T664&lt;&gt;0,S666=0),(T664/T$10),
IF(AND(T665&lt;&gt;0,S666&lt;&gt;0),(S666-(S666/S690))+(T664/T$10),
IF(S690&lt;1,0,(S666-(S666/S690))))))</f>
        <v>0</v>
      </c>
      <c r="U666" s="1423">
        <f t="shared" ref="U666" ca="1" si="953">IF(AND(U664=0,T666=0),0,
IF(AND(U664&lt;&gt;0,T666=0),(U664/U$10),
IF(AND(U665&lt;&gt;0,T666&lt;&gt;0),(T666-(T666/T690))+(U664/U$10),
IF(T690&lt;1,0,(T666-(T666/T690))))))</f>
        <v>0</v>
      </c>
      <c r="V666" s="1423">
        <f t="shared" ref="V666" ca="1" si="954">IF(AND(V664=0,U666=0),0,
IF(AND(V664&lt;&gt;0,U666=0),(V664/V$10),
IF(AND(V665&lt;&gt;0,U666&lt;&gt;0),(U666-(U666/U690))+(V664/V$10),
IF(U690&lt;1,0,(U666-(U666/U690))))))</f>
        <v>0</v>
      </c>
      <c r="W666" s="1423">
        <f t="shared" ref="W666" ca="1" si="955">IF(AND(W664=0,V666=0),0,
IF(AND(W664&lt;&gt;0,V666=0),(W664/W$10),
IF(AND(W665&lt;&gt;0,V666&lt;&gt;0),(V666-(V666/V690))+(W664/W$10),
IF(V690&lt;1,0,(V666-(V666/V690))))))</f>
        <v>0</v>
      </c>
      <c r="X666" s="152"/>
      <c r="Y666" s="152"/>
      <c r="Z666" s="152"/>
      <c r="AA666" s="152"/>
      <c r="AB666" s="152"/>
    </row>
    <row r="667" spans="1:28" hidden="1" outlineLevel="1">
      <c r="A667" s="199">
        <f>A666+1</f>
        <v>0</v>
      </c>
      <c r="B667" s="190" t="s">
        <v>125</v>
      </c>
      <c r="C667" s="1423">
        <f ca="1">C662/C$10</f>
        <v>0</v>
      </c>
      <c r="D667" s="1423">
        <f ca="1">IF(C691="n/a",C667,IFERROR(IF((OFFSET($C667,0,$A667))&lt;0,
MIN(0,C667-(OFFSET($C667,0,$A667)/(OFFSET($C662,-$A666,$A667)))),
MAX(0,C667-(OFFSET($C667,0,$A667)/(OFFSET($C662,-$A666,$A667))))),0))</f>
        <v>0</v>
      </c>
      <c r="E667" s="1423">
        <f t="shared" ref="E667" ca="1" si="956">IF(D691="n/a",D667,IFERROR(IF((OFFSET($C667,0,$A667))&lt;0,
MIN(0,D667-(OFFSET($C667,0,$A667)/(OFFSET($C662,-$A666,$A667)))),
MAX(0,D667-(OFFSET($C667,0,$A667)/(OFFSET($C662,-$A666,$A667))))),0))</f>
        <v>0</v>
      </c>
      <c r="F667" s="1423">
        <f t="shared" ref="F667:F668" ca="1" si="957">IF(E691="n/a",E667,IFERROR(IF((OFFSET($C667,0,$A667))&lt;0,
MIN(0,E667-(OFFSET($C667,0,$A667)/(OFFSET($C662,-$A666,$A667)))),
MAX(0,E667-(OFFSET($C667,0,$A667)/(OFFSET($C662,-$A666,$A667))))),0))</f>
        <v>0</v>
      </c>
      <c r="G667" s="1423">
        <f t="shared" ref="G667:G669" ca="1" si="958">IF(F691="n/a",F667,IFERROR(IF((OFFSET($C667,0,$A667))&lt;0,
MIN(0,F667-(OFFSET($C667,0,$A667)/(OFFSET($C662,-$A666,$A667)))),
MAX(0,F667-(OFFSET($C667,0,$A667)/(OFFSET($C662,-$A666,$A667))))),0))</f>
        <v>0</v>
      </c>
      <c r="H667" s="1423">
        <f t="shared" ref="H667:H670" ca="1" si="959">IF(G691="n/a",G667,IFERROR(IF((OFFSET($C667,0,$A667))&lt;0,
MIN(0,G667-(OFFSET($C667,0,$A667)/(OFFSET($C662,-$A666,$A667)))),
MAX(0,G667-(OFFSET($C667,0,$A667)/(OFFSET($C662,-$A666,$A667))))),0))</f>
        <v>0</v>
      </c>
      <c r="I667" s="1423">
        <f t="shared" ref="I667:I671" ca="1" si="960">IF(H691="n/a",H667,IFERROR(IF((OFFSET($C667,0,$A667))&lt;0,
MIN(0,H667-(OFFSET($C667,0,$A667)/(OFFSET($C662,-$A666,$A667)))),
MAX(0,H667-(OFFSET($C667,0,$A667)/(OFFSET($C662,-$A666,$A667))))),0))</f>
        <v>0</v>
      </c>
      <c r="J667" s="1423">
        <f t="shared" ref="J667:J672" ca="1" si="961">IF(I691="n/a",I667,IFERROR(IF((OFFSET($C667,0,$A667))&lt;0,
MIN(0,I667-(OFFSET($C667,0,$A667)/(OFFSET($C662,-$A666,$A667)))),
MAX(0,I667-(OFFSET($C667,0,$A667)/(OFFSET($C662,-$A666,$A667))))),0))</f>
        <v>0</v>
      </c>
      <c r="K667" s="1423">
        <f t="shared" ref="K667:K673" ca="1" si="962">IF(J691="n/a",J667,IFERROR(IF((OFFSET($C667,0,$A667))&lt;0,
MIN(0,J667-(OFFSET($C667,0,$A667)/(OFFSET($C662,-$A666,$A667)))),
MAX(0,J667-(OFFSET($C667,0,$A667)/(OFFSET($C662,-$A666,$A667))))),0))</f>
        <v>0</v>
      </c>
      <c r="L667" s="1423">
        <f t="shared" ref="L667:L674" ca="1" si="963">IF(K691="n/a",K667,IFERROR(IF((OFFSET($C667,0,$A667))&lt;0,
MIN(0,K667-(OFFSET($C667,0,$A667)/(OFFSET($C662,-$A666,$A667)))),
MAX(0,K667-(OFFSET($C667,0,$A667)/(OFFSET($C662,-$A666,$A667))))),0))</f>
        <v>0</v>
      </c>
      <c r="M667" s="1423">
        <f t="shared" ref="M667:M675" ca="1" si="964">IF(L691="n/a",L667,IFERROR(IF((OFFSET($C667,0,$A667))&lt;0,
MIN(0,L667-(OFFSET($C667,0,$A667)/(OFFSET($C662,-$A666,$A667)))),
MAX(0,L667-(OFFSET($C667,0,$A667)/(OFFSET($C662,-$A666,$A667))))),0))</f>
        <v>0</v>
      </c>
      <c r="N667" s="1423">
        <f t="shared" ref="N667:N676" ca="1" si="965">IF(M691="n/a",M667,IFERROR(IF((OFFSET($C667,0,$A667))&lt;0,
MIN(0,M667-(OFFSET($C667,0,$A667)/(OFFSET($C662,-$A666,$A667)))),
MAX(0,M667-(OFFSET($C667,0,$A667)/(OFFSET($C662,-$A666,$A667))))),0))</f>
        <v>0</v>
      </c>
      <c r="O667" s="1423">
        <f t="shared" ref="O667:O677" ca="1" si="966">IF(N691="n/a",N667,IFERROR(IF((OFFSET($C667,0,$A667))&lt;0,
MIN(0,N667-(OFFSET($C667,0,$A667)/(OFFSET($C662,-$A666,$A667)))),
MAX(0,N667-(OFFSET($C667,0,$A667)/(OFFSET($C662,-$A666,$A667))))),0))</f>
        <v>0</v>
      </c>
      <c r="P667" s="1423">
        <f t="shared" ref="P667:P678" ca="1" si="967">IF(O691="n/a",O667,IFERROR(IF((OFFSET($C667,0,$A667))&lt;0,
MIN(0,O667-(OFFSET($C667,0,$A667)/(OFFSET($C662,-$A666,$A667)))),
MAX(0,O667-(OFFSET($C667,0,$A667)/(OFFSET($C662,-$A666,$A667))))),0))</f>
        <v>0</v>
      </c>
      <c r="Q667" s="1423">
        <f t="shared" ref="Q667:Q679" ca="1" si="968">IF(P691="n/a",P667,IFERROR(IF((OFFSET($C667,0,$A667))&lt;0,
MIN(0,P667-(OFFSET($C667,0,$A667)/(OFFSET($C662,-$A666,$A667)))),
MAX(0,P667-(OFFSET($C667,0,$A667)/(OFFSET($C662,-$A666,$A667))))),0))</f>
        <v>0</v>
      </c>
      <c r="R667" s="1423">
        <f t="shared" ref="R667:R680" ca="1" si="969">IF(Q691="n/a",Q667,IFERROR(IF((OFFSET($C667,0,$A667))&lt;0,
MIN(0,Q667-(OFFSET($C667,0,$A667)/(OFFSET($C662,-$A666,$A667)))),
MAX(0,Q667-(OFFSET($C667,0,$A667)/(OFFSET($C662,-$A666,$A667))))),0))</f>
        <v>0</v>
      </c>
      <c r="S667" s="1423">
        <f t="shared" ref="S667:S681" ca="1" si="970">IF(R691="n/a",R667,IFERROR(IF((OFFSET($C667,0,$A667))&lt;0,
MIN(0,R667-(OFFSET($C667,0,$A667)/(OFFSET($C662,-$A666,$A667)))),
MAX(0,R667-(OFFSET($C667,0,$A667)/(OFFSET($C662,-$A666,$A667))))),0))</f>
        <v>0</v>
      </c>
      <c r="T667" s="1423">
        <f t="shared" ref="T667:T682" ca="1" si="971">IF(S691="n/a",S667,IFERROR(IF((OFFSET($C667,0,$A667))&lt;0,
MIN(0,S667-(OFFSET($C667,0,$A667)/(OFFSET($C662,-$A666,$A667)))),
MAX(0,S667-(OFFSET($C667,0,$A667)/(OFFSET($C662,-$A666,$A667))))),0))</f>
        <v>0</v>
      </c>
      <c r="U667" s="1423">
        <f t="shared" ref="U667:U683" ca="1" si="972">IF(T691="n/a",T667,IFERROR(IF((OFFSET($C667,0,$A667))&lt;0,
MIN(0,T667-(OFFSET($C667,0,$A667)/(OFFSET($C662,-$A666,$A667)))),
MAX(0,T667-(OFFSET($C667,0,$A667)/(OFFSET($C662,-$A666,$A667))))),0))</f>
        <v>0</v>
      </c>
      <c r="V667" s="1423">
        <f t="shared" ref="V667:V684" ca="1" si="973">IF(U691="n/a",U667,IFERROR(IF((OFFSET($C667,0,$A667))&lt;0,
MIN(0,U667-(OFFSET($C667,0,$A667)/(OFFSET($C662,-$A666,$A667)))),
MAX(0,U667-(OFFSET($C667,0,$A667)/(OFFSET($C662,-$A666,$A667))))),0))</f>
        <v>0</v>
      </c>
      <c r="W667" s="1423">
        <f t="shared" ref="W667:W685" ca="1" si="974">IF(V691="n/a",V667,IFERROR(IF((OFFSET($C667,0,$A667))&lt;0,
MIN(0,V667-(OFFSET($C667,0,$A667)/(OFFSET($C662,-$A666,$A667)))),
MAX(0,V667-(OFFSET($C667,0,$A667)/(OFFSET($C662,-$A666,$A667))))),0))</f>
        <v>0</v>
      </c>
      <c r="X667" s="152"/>
      <c r="Y667" s="152"/>
      <c r="Z667" s="152"/>
      <c r="AA667" s="152"/>
      <c r="AB667" s="152"/>
    </row>
    <row r="668" spans="1:28" hidden="1" outlineLevel="1">
      <c r="A668" s="199">
        <f t="shared" ref="A668:A687" si="975">A667+1</f>
        <v>1</v>
      </c>
      <c r="B668" s="190" t="str">
        <f t="shared" ref="B668:B686" ca="1" si="976">"Depreciated Net Capex "&amp;OFFSET($C$6,0,A668)</f>
        <v>Depreciated Net Capex 2016-17</v>
      </c>
      <c r="C668" s="1424"/>
      <c r="D668" s="1425">
        <f>(D662*((1+D$11)^0.5)/D$10)</f>
        <v>0</v>
      </c>
      <c r="E668" s="1423">
        <f ca="1">IF(D692="n/a",D668,IFERROR(IF((OFFSET($C668,0,$A668))&lt;0,
MIN(0,D668-(OFFSET($C668,0,$A668)/(OFFSET($C663,-$A667,$A668)))),
MAX(0,D668-(OFFSET($C668,0,$A668)/(OFFSET($C663,-$A667,$A668))))),0))</f>
        <v>0</v>
      </c>
      <c r="F668" s="1423">
        <f t="shared" ca="1" si="957"/>
        <v>0</v>
      </c>
      <c r="G668" s="1423">
        <f t="shared" ca="1" si="958"/>
        <v>0</v>
      </c>
      <c r="H668" s="1423">
        <f t="shared" ca="1" si="959"/>
        <v>0</v>
      </c>
      <c r="I668" s="1423">
        <f t="shared" ca="1" si="960"/>
        <v>0</v>
      </c>
      <c r="J668" s="1423">
        <f t="shared" ca="1" si="961"/>
        <v>0</v>
      </c>
      <c r="K668" s="1423">
        <f t="shared" ca="1" si="962"/>
        <v>0</v>
      </c>
      <c r="L668" s="1423">
        <f t="shared" ca="1" si="963"/>
        <v>0</v>
      </c>
      <c r="M668" s="1423">
        <f t="shared" ca="1" si="964"/>
        <v>0</v>
      </c>
      <c r="N668" s="1423">
        <f t="shared" ca="1" si="965"/>
        <v>0</v>
      </c>
      <c r="O668" s="1423">
        <f t="shared" ca="1" si="966"/>
        <v>0</v>
      </c>
      <c r="P668" s="1423">
        <f t="shared" ca="1" si="967"/>
        <v>0</v>
      </c>
      <c r="Q668" s="1423">
        <f t="shared" ca="1" si="968"/>
        <v>0</v>
      </c>
      <c r="R668" s="1423">
        <f t="shared" ca="1" si="969"/>
        <v>0</v>
      </c>
      <c r="S668" s="1423">
        <f t="shared" ca="1" si="970"/>
        <v>0</v>
      </c>
      <c r="T668" s="1423">
        <f t="shared" ca="1" si="971"/>
        <v>0</v>
      </c>
      <c r="U668" s="1423">
        <f t="shared" ca="1" si="972"/>
        <v>0</v>
      </c>
      <c r="V668" s="1423">
        <f t="shared" ca="1" si="973"/>
        <v>0</v>
      </c>
      <c r="W668" s="1423">
        <f t="shared" ca="1" si="974"/>
        <v>0</v>
      </c>
      <c r="X668" s="152"/>
      <c r="Y668" s="152"/>
      <c r="Z668" s="152"/>
      <c r="AA668" s="152"/>
      <c r="AB668" s="152"/>
    </row>
    <row r="669" spans="1:28" hidden="1" outlineLevel="1">
      <c r="A669" s="199">
        <f t="shared" si="975"/>
        <v>2</v>
      </c>
      <c r="B669" s="190" t="str">
        <f t="shared" ca="1" si="976"/>
        <v>Depreciated Net Capex 2017-18</v>
      </c>
      <c r="C669" s="1426"/>
      <c r="D669" s="1427"/>
      <c r="E669" s="1425">
        <f>(E662*((1+E$11)^0.5)/E$10)</f>
        <v>0</v>
      </c>
      <c r="F669" s="1423">
        <f ca="1">IF(E693="n/a",E669,IFERROR(IF((OFFSET($C669,0,$A669))&lt;0,
MIN(0,E669-(OFFSET($C669,0,$A669)/(OFFSET($C664,-$A668,$A669)))),
MAX(0,E669-(OFFSET($C669,0,$A669)/(OFFSET($C664,-$A668,$A669))))),0))</f>
        <v>0</v>
      </c>
      <c r="G669" s="1423">
        <f t="shared" ca="1" si="958"/>
        <v>0</v>
      </c>
      <c r="H669" s="1423">
        <f t="shared" ca="1" si="959"/>
        <v>0</v>
      </c>
      <c r="I669" s="1423">
        <f t="shared" ca="1" si="960"/>
        <v>0</v>
      </c>
      <c r="J669" s="1423">
        <f t="shared" ca="1" si="961"/>
        <v>0</v>
      </c>
      <c r="K669" s="1423">
        <f t="shared" ca="1" si="962"/>
        <v>0</v>
      </c>
      <c r="L669" s="1423">
        <f t="shared" ca="1" si="963"/>
        <v>0</v>
      </c>
      <c r="M669" s="1423">
        <f t="shared" ca="1" si="964"/>
        <v>0</v>
      </c>
      <c r="N669" s="1423">
        <f t="shared" ca="1" si="965"/>
        <v>0</v>
      </c>
      <c r="O669" s="1423">
        <f t="shared" ca="1" si="966"/>
        <v>0</v>
      </c>
      <c r="P669" s="1423">
        <f t="shared" ca="1" si="967"/>
        <v>0</v>
      </c>
      <c r="Q669" s="1423">
        <f t="shared" ca="1" si="968"/>
        <v>0</v>
      </c>
      <c r="R669" s="1423">
        <f t="shared" ca="1" si="969"/>
        <v>0</v>
      </c>
      <c r="S669" s="1423">
        <f t="shared" ca="1" si="970"/>
        <v>0</v>
      </c>
      <c r="T669" s="1423">
        <f t="shared" ca="1" si="971"/>
        <v>0</v>
      </c>
      <c r="U669" s="1423">
        <f t="shared" ca="1" si="972"/>
        <v>0</v>
      </c>
      <c r="V669" s="1423">
        <f t="shared" ca="1" si="973"/>
        <v>0</v>
      </c>
      <c r="W669" s="1423">
        <f t="shared" ca="1" si="974"/>
        <v>0</v>
      </c>
      <c r="X669" s="202"/>
      <c r="Y669" s="152"/>
      <c r="Z669" s="152"/>
      <c r="AA669" s="152"/>
      <c r="AB669" s="152"/>
    </row>
    <row r="670" spans="1:28" hidden="1" outlineLevel="1">
      <c r="A670" s="199">
        <f t="shared" si="975"/>
        <v>3</v>
      </c>
      <c r="B670" s="190" t="str">
        <f t="shared" ca="1" si="976"/>
        <v>Depreciated Net Capex 2018-19</v>
      </c>
      <c r="C670" s="1426"/>
      <c r="D670" s="1426"/>
      <c r="E670" s="1427"/>
      <c r="F670" s="1428">
        <f>($F662*((1+F$11)^0.5)/F$10)</f>
        <v>0</v>
      </c>
      <c r="G670" s="1423">
        <f ca="1">IF(F694="n/a",F670,IFERROR(IF((OFFSET($C670,0,$A670))&lt;0,
MIN(0,F670-(OFFSET($C670,0,$A670)/(OFFSET($C665,-$A669,$A670)))),
MAX(0,F670-(OFFSET($C670,0,$A670)/(OFFSET($C665,-$A669,$A670))))),0))</f>
        <v>0</v>
      </c>
      <c r="H670" s="1423">
        <f t="shared" ca="1" si="959"/>
        <v>0</v>
      </c>
      <c r="I670" s="1423">
        <f t="shared" ca="1" si="960"/>
        <v>0</v>
      </c>
      <c r="J670" s="1423">
        <f t="shared" ca="1" si="961"/>
        <v>0</v>
      </c>
      <c r="K670" s="1423">
        <f t="shared" ca="1" si="962"/>
        <v>0</v>
      </c>
      <c r="L670" s="1423">
        <f t="shared" ca="1" si="963"/>
        <v>0</v>
      </c>
      <c r="M670" s="1423">
        <f t="shared" ca="1" si="964"/>
        <v>0</v>
      </c>
      <c r="N670" s="1423">
        <f t="shared" ca="1" si="965"/>
        <v>0</v>
      </c>
      <c r="O670" s="1423">
        <f t="shared" ca="1" si="966"/>
        <v>0</v>
      </c>
      <c r="P670" s="1423">
        <f t="shared" ca="1" si="967"/>
        <v>0</v>
      </c>
      <c r="Q670" s="1423">
        <f t="shared" ca="1" si="968"/>
        <v>0</v>
      </c>
      <c r="R670" s="1423">
        <f t="shared" ca="1" si="969"/>
        <v>0</v>
      </c>
      <c r="S670" s="1423">
        <f t="shared" ca="1" si="970"/>
        <v>0</v>
      </c>
      <c r="T670" s="1423">
        <f t="shared" ca="1" si="971"/>
        <v>0</v>
      </c>
      <c r="U670" s="1423">
        <f t="shared" ca="1" si="972"/>
        <v>0</v>
      </c>
      <c r="V670" s="1423">
        <f t="shared" ca="1" si="973"/>
        <v>0</v>
      </c>
      <c r="W670" s="1423">
        <f t="shared" ca="1" si="974"/>
        <v>0</v>
      </c>
      <c r="X670" s="202"/>
      <c r="Y670" s="202"/>
      <c r="Z670" s="152"/>
      <c r="AA670" s="152"/>
      <c r="AB670" s="152"/>
    </row>
    <row r="671" spans="1:28" hidden="1" outlineLevel="1">
      <c r="A671" s="199">
        <f t="shared" si="975"/>
        <v>4</v>
      </c>
      <c r="B671" s="190" t="str">
        <f t="shared" ca="1" si="976"/>
        <v>Depreciated Net Capex 2019-20</v>
      </c>
      <c r="C671" s="1426"/>
      <c r="D671" s="1426"/>
      <c r="E671" s="1426"/>
      <c r="F671" s="1427"/>
      <c r="G671" s="1428">
        <f>($G662*((1+G$11)^0.5)/G$10)</f>
        <v>0</v>
      </c>
      <c r="H671" s="1423">
        <f ca="1">IF(G695="n/a",G671,IFERROR(IF((OFFSET($C671,0,$A671))&lt;0,
MIN(0,G671-(OFFSET($C671,0,$A671)/(OFFSET($C666,-$A670,$A671)))),
MAX(0,G671-(OFFSET($C671,0,$A671)/(OFFSET($C666,-$A670,$A671))))),0))</f>
        <v>0</v>
      </c>
      <c r="I671" s="1423">
        <f t="shared" ca="1" si="960"/>
        <v>0</v>
      </c>
      <c r="J671" s="1423">
        <f t="shared" ca="1" si="961"/>
        <v>0</v>
      </c>
      <c r="K671" s="1423">
        <f t="shared" ca="1" si="962"/>
        <v>0</v>
      </c>
      <c r="L671" s="1423">
        <f t="shared" ca="1" si="963"/>
        <v>0</v>
      </c>
      <c r="M671" s="1423">
        <f t="shared" ca="1" si="964"/>
        <v>0</v>
      </c>
      <c r="N671" s="1423">
        <f t="shared" ca="1" si="965"/>
        <v>0</v>
      </c>
      <c r="O671" s="1423">
        <f t="shared" ca="1" si="966"/>
        <v>0</v>
      </c>
      <c r="P671" s="1423">
        <f t="shared" ca="1" si="967"/>
        <v>0</v>
      </c>
      <c r="Q671" s="1423">
        <f t="shared" ca="1" si="968"/>
        <v>0</v>
      </c>
      <c r="R671" s="1423">
        <f t="shared" ca="1" si="969"/>
        <v>0</v>
      </c>
      <c r="S671" s="1423">
        <f t="shared" ca="1" si="970"/>
        <v>0</v>
      </c>
      <c r="T671" s="1423">
        <f t="shared" ca="1" si="971"/>
        <v>0</v>
      </c>
      <c r="U671" s="1423">
        <f t="shared" ca="1" si="972"/>
        <v>0</v>
      </c>
      <c r="V671" s="1423">
        <f t="shared" ca="1" si="973"/>
        <v>0</v>
      </c>
      <c r="W671" s="1423">
        <f t="shared" ca="1" si="974"/>
        <v>0</v>
      </c>
      <c r="X671" s="202"/>
      <c r="Y671" s="202"/>
      <c r="Z671" s="202"/>
      <c r="AA671" s="152"/>
      <c r="AB671" s="152"/>
    </row>
    <row r="672" spans="1:28" hidden="1" outlineLevel="1">
      <c r="A672" s="199">
        <f t="shared" si="975"/>
        <v>5</v>
      </c>
      <c r="B672" s="190" t="str">
        <f t="shared" ca="1" si="976"/>
        <v>Depreciated Net Capex 2020-21</v>
      </c>
      <c r="C672" s="1426"/>
      <c r="D672" s="1426"/>
      <c r="E672" s="1426"/>
      <c r="F672" s="1426"/>
      <c r="G672" s="1427"/>
      <c r="H672" s="1428">
        <f>(H662*((1+H$11)^0.5)/H$10)</f>
        <v>0</v>
      </c>
      <c r="I672" s="1423">
        <f ca="1">IF(H696="n/a",H672,IFERROR(IF((OFFSET($C672,0,$A672))&lt;0,
MIN(0,H672-(OFFSET($C672,0,$A672)/(OFFSET($C667,-$A671,$A672)))),
MAX(0,H672-(OFFSET($C672,0,$A672)/(OFFSET($C667,-$A671,$A672))))),0))</f>
        <v>0</v>
      </c>
      <c r="J672" s="1423">
        <f t="shared" ca="1" si="961"/>
        <v>0</v>
      </c>
      <c r="K672" s="1423">
        <f t="shared" ca="1" si="962"/>
        <v>0</v>
      </c>
      <c r="L672" s="1423">
        <f t="shared" ca="1" si="963"/>
        <v>0</v>
      </c>
      <c r="M672" s="1423">
        <f t="shared" ca="1" si="964"/>
        <v>0</v>
      </c>
      <c r="N672" s="1423">
        <f t="shared" ca="1" si="965"/>
        <v>0</v>
      </c>
      <c r="O672" s="1423">
        <f t="shared" ca="1" si="966"/>
        <v>0</v>
      </c>
      <c r="P672" s="1423">
        <f t="shared" ca="1" si="967"/>
        <v>0</v>
      </c>
      <c r="Q672" s="1423">
        <f t="shared" ca="1" si="968"/>
        <v>0</v>
      </c>
      <c r="R672" s="1423">
        <f t="shared" ca="1" si="969"/>
        <v>0</v>
      </c>
      <c r="S672" s="1423">
        <f t="shared" ca="1" si="970"/>
        <v>0</v>
      </c>
      <c r="T672" s="1423">
        <f t="shared" ca="1" si="971"/>
        <v>0</v>
      </c>
      <c r="U672" s="1423">
        <f t="shared" ca="1" si="972"/>
        <v>0</v>
      </c>
      <c r="V672" s="1423">
        <f t="shared" ca="1" si="973"/>
        <v>0</v>
      </c>
      <c r="W672" s="1423">
        <f t="shared" ca="1" si="974"/>
        <v>0</v>
      </c>
      <c r="X672" s="202"/>
      <c r="Y672" s="202"/>
      <c r="Z672" s="202"/>
      <c r="AA672" s="152"/>
      <c r="AB672" s="152"/>
    </row>
    <row r="673" spans="1:28" hidden="1" outlineLevel="1">
      <c r="A673" s="199">
        <f t="shared" si="975"/>
        <v>6</v>
      </c>
      <c r="B673" s="190" t="str">
        <f t="shared" ca="1" si="976"/>
        <v>Depreciated Net Capex 2021-22</v>
      </c>
      <c r="C673" s="1426"/>
      <c r="D673" s="1426"/>
      <c r="E673" s="1426"/>
      <c r="F673" s="1426"/>
      <c r="G673" s="1426"/>
      <c r="H673" s="1427"/>
      <c r="I673" s="1428">
        <f>(I662*((1+I$11)^0.5)/I$10)</f>
        <v>0</v>
      </c>
      <c r="J673" s="1423">
        <f ca="1">IF(I697="n/a",I673,IFERROR(IF((OFFSET($C673,0,$A673))&lt;0,
MIN(0,I673-(OFFSET($C673,0,$A673)/(OFFSET($C668,-$A672,$A673)))),
MAX(0,I673-(OFFSET($C673,0,$A673)/(OFFSET($C668,-$A672,$A673))))),0))</f>
        <v>0</v>
      </c>
      <c r="K673" s="1423">
        <f t="shared" ca="1" si="962"/>
        <v>0</v>
      </c>
      <c r="L673" s="1423">
        <f t="shared" ca="1" si="963"/>
        <v>0</v>
      </c>
      <c r="M673" s="1423">
        <f t="shared" ca="1" si="964"/>
        <v>0</v>
      </c>
      <c r="N673" s="1423">
        <f t="shared" ca="1" si="965"/>
        <v>0</v>
      </c>
      <c r="O673" s="1423">
        <f t="shared" ca="1" si="966"/>
        <v>0</v>
      </c>
      <c r="P673" s="1423">
        <f t="shared" ca="1" si="967"/>
        <v>0</v>
      </c>
      <c r="Q673" s="1423">
        <f t="shared" ca="1" si="968"/>
        <v>0</v>
      </c>
      <c r="R673" s="1423">
        <f t="shared" ca="1" si="969"/>
        <v>0</v>
      </c>
      <c r="S673" s="1423">
        <f t="shared" ca="1" si="970"/>
        <v>0</v>
      </c>
      <c r="T673" s="1423">
        <f t="shared" ca="1" si="971"/>
        <v>0</v>
      </c>
      <c r="U673" s="1423">
        <f t="shared" ca="1" si="972"/>
        <v>0</v>
      </c>
      <c r="V673" s="1423">
        <f t="shared" ca="1" si="973"/>
        <v>0</v>
      </c>
      <c r="W673" s="1423">
        <f t="shared" ca="1" si="974"/>
        <v>0</v>
      </c>
      <c r="X673" s="202"/>
      <c r="Y673" s="202"/>
      <c r="Z673" s="202"/>
      <c r="AA673" s="152"/>
      <c r="AB673" s="152"/>
    </row>
    <row r="674" spans="1:28" hidden="1" outlineLevel="1">
      <c r="A674" s="199">
        <f t="shared" si="975"/>
        <v>7</v>
      </c>
      <c r="B674" s="190" t="str">
        <f t="shared" ca="1" si="976"/>
        <v>Depreciated Net Capex 2022-23</v>
      </c>
      <c r="C674" s="1426"/>
      <c r="D674" s="1426"/>
      <c r="E674" s="1426"/>
      <c r="F674" s="1426"/>
      <c r="G674" s="1426"/>
      <c r="H674" s="1426"/>
      <c r="I674" s="1427"/>
      <c r="J674" s="1428">
        <f>(J662*((1+J$11)^0.5)/J$10)</f>
        <v>0</v>
      </c>
      <c r="K674" s="1423">
        <f ca="1">IF(J698="n/a",J674,IFERROR(IF((OFFSET($C674,0,$A674))&lt;0,
MIN(0,J674-(OFFSET($C674,0,$A674)/(OFFSET($C669,-$A673,$A674)))),
MAX(0,J674-(OFFSET($C674,0,$A674)/(OFFSET($C669,-$A673,$A674))))),0))</f>
        <v>0</v>
      </c>
      <c r="L674" s="1423">
        <f t="shared" ca="1" si="963"/>
        <v>0</v>
      </c>
      <c r="M674" s="1423">
        <f t="shared" ca="1" si="964"/>
        <v>0</v>
      </c>
      <c r="N674" s="1423">
        <f t="shared" ca="1" si="965"/>
        <v>0</v>
      </c>
      <c r="O674" s="1423">
        <f t="shared" ca="1" si="966"/>
        <v>0</v>
      </c>
      <c r="P674" s="1423">
        <f t="shared" ca="1" si="967"/>
        <v>0</v>
      </c>
      <c r="Q674" s="1423">
        <f t="shared" ca="1" si="968"/>
        <v>0</v>
      </c>
      <c r="R674" s="1423">
        <f t="shared" ca="1" si="969"/>
        <v>0</v>
      </c>
      <c r="S674" s="1423">
        <f t="shared" ca="1" si="970"/>
        <v>0</v>
      </c>
      <c r="T674" s="1423">
        <f t="shared" ca="1" si="971"/>
        <v>0</v>
      </c>
      <c r="U674" s="1423">
        <f t="shared" ca="1" si="972"/>
        <v>0</v>
      </c>
      <c r="V674" s="1423">
        <f t="shared" ca="1" si="973"/>
        <v>0</v>
      </c>
      <c r="W674" s="1423">
        <f t="shared" ca="1" si="974"/>
        <v>0</v>
      </c>
      <c r="X674" s="202"/>
      <c r="Y674" s="202"/>
      <c r="Z674" s="202"/>
      <c r="AA674" s="152"/>
      <c r="AB674" s="152"/>
    </row>
    <row r="675" spans="1:28" hidden="1" outlineLevel="1">
      <c r="A675" s="199">
        <f t="shared" si="975"/>
        <v>8</v>
      </c>
      <c r="B675" s="190" t="str">
        <f t="shared" ca="1" si="976"/>
        <v>Depreciated Net Capex 2023-24</v>
      </c>
      <c r="C675" s="1426"/>
      <c r="D675" s="1426"/>
      <c r="E675" s="1426"/>
      <c r="F675" s="1426"/>
      <c r="G675" s="1426"/>
      <c r="H675" s="1426"/>
      <c r="I675" s="1426"/>
      <c r="J675" s="1427"/>
      <c r="K675" s="1428">
        <f>(K662*((1+K$11)^0.5)/K$10)</f>
        <v>0</v>
      </c>
      <c r="L675" s="1423">
        <f ca="1">IF(K699="n/a",K675,IFERROR(IF((OFFSET($C675,0,$A675))&lt;0,
MIN(0,K675-(OFFSET($C675,0,$A675)/(OFFSET($C670,-$A674,$A675)))),
MAX(0,K675-(OFFSET($C675,0,$A675)/(OFFSET($C670,-$A674,$A675))))),0))</f>
        <v>0</v>
      </c>
      <c r="M675" s="1423">
        <f t="shared" ca="1" si="964"/>
        <v>0</v>
      </c>
      <c r="N675" s="1423">
        <f t="shared" ca="1" si="965"/>
        <v>0</v>
      </c>
      <c r="O675" s="1423">
        <f t="shared" ca="1" si="966"/>
        <v>0</v>
      </c>
      <c r="P675" s="1423">
        <f t="shared" ca="1" si="967"/>
        <v>0</v>
      </c>
      <c r="Q675" s="1423">
        <f t="shared" ca="1" si="968"/>
        <v>0</v>
      </c>
      <c r="R675" s="1423">
        <f t="shared" ca="1" si="969"/>
        <v>0</v>
      </c>
      <c r="S675" s="1423">
        <f t="shared" ca="1" si="970"/>
        <v>0</v>
      </c>
      <c r="T675" s="1423">
        <f t="shared" ca="1" si="971"/>
        <v>0</v>
      </c>
      <c r="U675" s="1423">
        <f t="shared" ca="1" si="972"/>
        <v>0</v>
      </c>
      <c r="V675" s="1423">
        <f t="shared" ca="1" si="973"/>
        <v>0</v>
      </c>
      <c r="W675" s="1423">
        <f t="shared" ca="1" si="974"/>
        <v>0</v>
      </c>
      <c r="X675" s="202"/>
      <c r="Y675" s="202"/>
      <c r="Z675" s="202"/>
      <c r="AA675" s="152"/>
      <c r="AB675" s="152"/>
    </row>
    <row r="676" spans="1:28" hidden="1" outlineLevel="1">
      <c r="A676" s="199">
        <f t="shared" si="975"/>
        <v>9</v>
      </c>
      <c r="B676" s="190" t="str">
        <f t="shared" ca="1" si="976"/>
        <v>Depreciated Net Capex 2024-25</v>
      </c>
      <c r="C676" s="1426"/>
      <c r="D676" s="1426"/>
      <c r="E676" s="1426"/>
      <c r="F676" s="1426"/>
      <c r="G676" s="1426"/>
      <c r="H676" s="1426"/>
      <c r="I676" s="1426"/>
      <c r="J676" s="1426"/>
      <c r="K676" s="1427"/>
      <c r="L676" s="1428">
        <f>(L662*((1+L$11)^0.5)/L$10)</f>
        <v>0</v>
      </c>
      <c r="M676" s="1423">
        <f ca="1">IF(L700="n/a",L676,IFERROR(IF((OFFSET($C676,0,$A676))&lt;0,
MIN(0,L676-(OFFSET($C676,0,$A676)/(OFFSET($C671,-$A675,$A676)))),
MAX(0,L676-(OFFSET($C676,0,$A676)/(OFFSET($C671,-$A675,$A676))))),0))</f>
        <v>0</v>
      </c>
      <c r="N676" s="1423">
        <f t="shared" ca="1" si="965"/>
        <v>0</v>
      </c>
      <c r="O676" s="1423">
        <f t="shared" ca="1" si="966"/>
        <v>0</v>
      </c>
      <c r="P676" s="1423">
        <f t="shared" ca="1" si="967"/>
        <v>0</v>
      </c>
      <c r="Q676" s="1423">
        <f t="shared" ca="1" si="968"/>
        <v>0</v>
      </c>
      <c r="R676" s="1423">
        <f t="shared" ca="1" si="969"/>
        <v>0</v>
      </c>
      <c r="S676" s="1423">
        <f t="shared" ca="1" si="970"/>
        <v>0</v>
      </c>
      <c r="T676" s="1423">
        <f t="shared" ca="1" si="971"/>
        <v>0</v>
      </c>
      <c r="U676" s="1423">
        <f t="shared" ca="1" si="972"/>
        <v>0</v>
      </c>
      <c r="V676" s="1423">
        <f t="shared" ca="1" si="973"/>
        <v>0</v>
      </c>
      <c r="W676" s="1423">
        <f t="shared" ca="1" si="974"/>
        <v>0</v>
      </c>
      <c r="X676" s="202"/>
      <c r="Y676" s="202"/>
      <c r="Z676" s="202"/>
      <c r="AA676" s="152"/>
      <c r="AB676" s="152"/>
    </row>
    <row r="677" spans="1:28" hidden="1" outlineLevel="1">
      <c r="A677" s="199">
        <f t="shared" si="975"/>
        <v>10</v>
      </c>
      <c r="B677" s="190" t="str">
        <f t="shared" ca="1" si="976"/>
        <v>Depreciated Net Capex 2025-26</v>
      </c>
      <c r="C677" s="1426"/>
      <c r="D677" s="1426"/>
      <c r="E677" s="1426"/>
      <c r="F677" s="1426"/>
      <c r="G677" s="1426"/>
      <c r="H677" s="1426"/>
      <c r="I677" s="1426"/>
      <c r="J677" s="1426"/>
      <c r="K677" s="1426"/>
      <c r="L677" s="1427"/>
      <c r="M677" s="1428">
        <f>(M662*((1+M$11)^0.5)/M$10)</f>
        <v>0</v>
      </c>
      <c r="N677" s="1423">
        <f ca="1">IF(M701="n/a",M677,IFERROR(IF((OFFSET($C677,0,$A677))&lt;0,
MIN(0,M677-(OFFSET($C677,0,$A677)/(OFFSET($C672,-$A676,$A677)))),
MAX(0,M677-(OFFSET($C677,0,$A677)/(OFFSET($C672,-$A676,$A677))))),0))</f>
        <v>0</v>
      </c>
      <c r="O677" s="1423">
        <f t="shared" ca="1" si="966"/>
        <v>0</v>
      </c>
      <c r="P677" s="1423">
        <f t="shared" ca="1" si="967"/>
        <v>0</v>
      </c>
      <c r="Q677" s="1423">
        <f t="shared" ca="1" si="968"/>
        <v>0</v>
      </c>
      <c r="R677" s="1423">
        <f t="shared" ca="1" si="969"/>
        <v>0</v>
      </c>
      <c r="S677" s="1423">
        <f t="shared" ca="1" si="970"/>
        <v>0</v>
      </c>
      <c r="T677" s="1423">
        <f t="shared" ca="1" si="971"/>
        <v>0</v>
      </c>
      <c r="U677" s="1423">
        <f t="shared" ca="1" si="972"/>
        <v>0</v>
      </c>
      <c r="V677" s="1423">
        <f t="shared" ca="1" si="973"/>
        <v>0</v>
      </c>
      <c r="W677" s="1423">
        <f t="shared" ca="1" si="974"/>
        <v>0</v>
      </c>
      <c r="X677" s="202"/>
      <c r="Y677" s="202"/>
      <c r="Z677" s="202"/>
      <c r="AA677" s="152"/>
      <c r="AB677" s="152"/>
    </row>
    <row r="678" spans="1:28" hidden="1" outlineLevel="1">
      <c r="A678" s="199">
        <f t="shared" si="975"/>
        <v>11</v>
      </c>
      <c r="B678" s="190" t="str">
        <f t="shared" ca="1" si="976"/>
        <v>Depreciated Net Capex 2026-27</v>
      </c>
      <c r="C678" s="1426"/>
      <c r="D678" s="1426"/>
      <c r="E678" s="1426"/>
      <c r="F678" s="1426"/>
      <c r="G678" s="1426"/>
      <c r="H678" s="1426"/>
      <c r="I678" s="1426"/>
      <c r="J678" s="1426"/>
      <c r="K678" s="1426"/>
      <c r="L678" s="1426"/>
      <c r="M678" s="1427"/>
      <c r="N678" s="1428">
        <f>(N662*((1+N$11)^0.5)/N$10)</f>
        <v>0</v>
      </c>
      <c r="O678" s="1423">
        <f ca="1">IF(N702="n/a",N678,IFERROR(IF((OFFSET($C678,0,$A678))&lt;0,
MIN(0,N678-(OFFSET($C678,0,$A678)/(OFFSET($C673,-$A677,$A678)))),
MAX(0,N678-(OFFSET($C678,0,$A678)/(OFFSET($C673,-$A677,$A678))))),0))</f>
        <v>0</v>
      </c>
      <c r="P678" s="1423">
        <f t="shared" ca="1" si="967"/>
        <v>0</v>
      </c>
      <c r="Q678" s="1423">
        <f t="shared" ca="1" si="968"/>
        <v>0</v>
      </c>
      <c r="R678" s="1423">
        <f t="shared" ca="1" si="969"/>
        <v>0</v>
      </c>
      <c r="S678" s="1423">
        <f t="shared" ca="1" si="970"/>
        <v>0</v>
      </c>
      <c r="T678" s="1423">
        <f t="shared" ca="1" si="971"/>
        <v>0</v>
      </c>
      <c r="U678" s="1423">
        <f t="shared" ca="1" si="972"/>
        <v>0</v>
      </c>
      <c r="V678" s="1423">
        <f t="shared" ca="1" si="973"/>
        <v>0</v>
      </c>
      <c r="W678" s="1423">
        <f t="shared" ca="1" si="974"/>
        <v>0</v>
      </c>
      <c r="X678" s="202"/>
      <c r="Y678" s="202"/>
      <c r="Z678" s="202"/>
      <c r="AA678" s="152"/>
      <c r="AB678" s="152"/>
    </row>
    <row r="679" spans="1:28" hidden="1" outlineLevel="1">
      <c r="A679" s="199">
        <f t="shared" si="975"/>
        <v>12</v>
      </c>
      <c r="B679" s="190" t="str">
        <f t="shared" ca="1" si="976"/>
        <v>Depreciated Net Capex 2027-28</v>
      </c>
      <c r="C679" s="1426"/>
      <c r="D679" s="1426"/>
      <c r="E679" s="1426"/>
      <c r="F679" s="1426"/>
      <c r="G679" s="1426"/>
      <c r="H679" s="1426"/>
      <c r="I679" s="1426"/>
      <c r="J679" s="1426"/>
      <c r="K679" s="1426"/>
      <c r="L679" s="1426"/>
      <c r="M679" s="1426"/>
      <c r="N679" s="1427"/>
      <c r="O679" s="1428">
        <f>(O662*((1+O$11)^0.5)/O$10)</f>
        <v>0</v>
      </c>
      <c r="P679" s="1423">
        <f ca="1">IF(O703="n/a",O679,IFERROR(IF((OFFSET($C679,0,$A679))&lt;0,
MIN(0,O679-(OFFSET($C679,0,$A679)/(OFFSET($C674,-$A678,$A679)))),
MAX(0,O679-(OFFSET($C679,0,$A679)/(OFFSET($C674,-$A678,$A679))))),0))</f>
        <v>0</v>
      </c>
      <c r="Q679" s="1423">
        <f t="shared" ca="1" si="968"/>
        <v>0</v>
      </c>
      <c r="R679" s="1423">
        <f t="shared" ca="1" si="969"/>
        <v>0</v>
      </c>
      <c r="S679" s="1423">
        <f t="shared" ca="1" si="970"/>
        <v>0</v>
      </c>
      <c r="T679" s="1423">
        <f t="shared" ca="1" si="971"/>
        <v>0</v>
      </c>
      <c r="U679" s="1423">
        <f t="shared" ca="1" si="972"/>
        <v>0</v>
      </c>
      <c r="V679" s="1423">
        <f t="shared" ca="1" si="973"/>
        <v>0</v>
      </c>
      <c r="W679" s="1423">
        <f t="shared" ca="1" si="974"/>
        <v>0</v>
      </c>
      <c r="X679" s="202"/>
      <c r="Y679" s="202"/>
      <c r="Z679" s="202"/>
      <c r="AA679" s="152"/>
      <c r="AB679" s="152"/>
    </row>
    <row r="680" spans="1:28" hidden="1" outlineLevel="1">
      <c r="A680" s="199">
        <f t="shared" si="975"/>
        <v>13</v>
      </c>
      <c r="B680" s="190" t="str">
        <f t="shared" ca="1" si="976"/>
        <v>Depreciated Net Capex 2028-29</v>
      </c>
      <c r="C680" s="1426"/>
      <c r="D680" s="1426"/>
      <c r="E680" s="1426"/>
      <c r="F680" s="1426"/>
      <c r="G680" s="1426"/>
      <c r="H680" s="1426"/>
      <c r="I680" s="1426"/>
      <c r="J680" s="1426"/>
      <c r="K680" s="1426"/>
      <c r="L680" s="1426"/>
      <c r="M680" s="1426"/>
      <c r="N680" s="1426"/>
      <c r="O680" s="1427"/>
      <c r="P680" s="1428">
        <f>(P662*((1+P$11)^0.5)/P$10)</f>
        <v>0</v>
      </c>
      <c r="Q680" s="1423">
        <f ca="1">IF(P704="n/a",P680,IFERROR(IF((OFFSET($C680,0,$A680))&lt;0,
MIN(0,P680-(OFFSET($C680,0,$A680)/(OFFSET($C675,-$A679,$A680)))),
MAX(0,P680-(OFFSET($C680,0,$A680)/(OFFSET($C675,-$A679,$A680))))),0))</f>
        <v>0</v>
      </c>
      <c r="R680" s="1423">
        <f t="shared" ca="1" si="969"/>
        <v>0</v>
      </c>
      <c r="S680" s="1423">
        <f t="shared" ca="1" si="970"/>
        <v>0</v>
      </c>
      <c r="T680" s="1423">
        <f t="shared" ca="1" si="971"/>
        <v>0</v>
      </c>
      <c r="U680" s="1423">
        <f t="shared" ca="1" si="972"/>
        <v>0</v>
      </c>
      <c r="V680" s="1423">
        <f t="shared" ca="1" si="973"/>
        <v>0</v>
      </c>
      <c r="W680" s="1423">
        <f t="shared" ca="1" si="974"/>
        <v>0</v>
      </c>
      <c r="X680" s="202"/>
      <c r="Y680" s="202"/>
      <c r="Z680" s="202"/>
      <c r="AA680" s="152"/>
      <c r="AB680" s="152"/>
    </row>
    <row r="681" spans="1:28" hidden="1" outlineLevel="1">
      <c r="A681" s="199">
        <f t="shared" si="975"/>
        <v>14</v>
      </c>
      <c r="B681" s="190" t="str">
        <f t="shared" ca="1" si="976"/>
        <v>Depreciated Net Capex 2029-30</v>
      </c>
      <c r="C681" s="1426"/>
      <c r="D681" s="1426"/>
      <c r="E681" s="1426"/>
      <c r="F681" s="1426"/>
      <c r="G681" s="1426"/>
      <c r="H681" s="1426"/>
      <c r="I681" s="1426"/>
      <c r="J681" s="1426"/>
      <c r="K681" s="1426"/>
      <c r="L681" s="1426"/>
      <c r="M681" s="1426"/>
      <c r="N681" s="1426"/>
      <c r="O681" s="1426"/>
      <c r="P681" s="1427"/>
      <c r="Q681" s="1428">
        <f>(Q662*((1+Q$11)^0.5)/Q$10)</f>
        <v>0</v>
      </c>
      <c r="R681" s="1423">
        <f ca="1">IF(Q705="n/a",Q681,IFERROR(IF((OFFSET($C681,0,$A681))&lt;0,
MIN(0,Q681-(OFFSET($C681,0,$A681)/(OFFSET($C676,-$A680,$A681)))),
MAX(0,Q681-(OFFSET($C681,0,$A681)/(OFFSET($C676,-$A680,$A681))))),0))</f>
        <v>0</v>
      </c>
      <c r="S681" s="1423">
        <f t="shared" ca="1" si="970"/>
        <v>0</v>
      </c>
      <c r="T681" s="1423">
        <f t="shared" ca="1" si="971"/>
        <v>0</v>
      </c>
      <c r="U681" s="1423">
        <f t="shared" ca="1" si="972"/>
        <v>0</v>
      </c>
      <c r="V681" s="1423">
        <f t="shared" ca="1" si="973"/>
        <v>0</v>
      </c>
      <c r="W681" s="1423">
        <f t="shared" ca="1" si="974"/>
        <v>0</v>
      </c>
      <c r="X681" s="202"/>
      <c r="Y681" s="202"/>
      <c r="Z681" s="202"/>
      <c r="AA681" s="152"/>
      <c r="AB681" s="152"/>
    </row>
    <row r="682" spans="1:28" hidden="1" outlineLevel="1">
      <c r="A682" s="199">
        <f t="shared" si="975"/>
        <v>15</v>
      </c>
      <c r="B682" s="190" t="str">
        <f t="shared" ca="1" si="976"/>
        <v>Depreciated Net Capex 2030-31</v>
      </c>
      <c r="C682" s="1426"/>
      <c r="D682" s="1426"/>
      <c r="E682" s="1426"/>
      <c r="F682" s="1426"/>
      <c r="G682" s="1426"/>
      <c r="H682" s="1426"/>
      <c r="I682" s="1426"/>
      <c r="J682" s="1426"/>
      <c r="K682" s="1426"/>
      <c r="L682" s="1426"/>
      <c r="M682" s="1426"/>
      <c r="N682" s="1426"/>
      <c r="O682" s="1426"/>
      <c r="P682" s="1426"/>
      <c r="Q682" s="1427"/>
      <c r="R682" s="1428">
        <f>(R662*((1+R$11)^0.5)/R$10)</f>
        <v>0</v>
      </c>
      <c r="S682" s="1423">
        <f ca="1">IF(R706="n/a",R682,IFERROR(IF((OFFSET($C682,0,$A682))&lt;0,
MIN(0,R682-(OFFSET($C682,0,$A682)/(OFFSET($C677,-$A681,$A682)))),
MAX(0,R682-(OFFSET($C682,0,$A682)/(OFFSET($C677,-$A681,$A682))))),0))</f>
        <v>0</v>
      </c>
      <c r="T682" s="1423">
        <f t="shared" ca="1" si="971"/>
        <v>0</v>
      </c>
      <c r="U682" s="1423">
        <f t="shared" ca="1" si="972"/>
        <v>0</v>
      </c>
      <c r="V682" s="1423">
        <f t="shared" ca="1" si="973"/>
        <v>0</v>
      </c>
      <c r="W682" s="1423">
        <f t="shared" ca="1" si="974"/>
        <v>0</v>
      </c>
      <c r="X682" s="202"/>
      <c r="Y682" s="202"/>
      <c r="Z682" s="202"/>
      <c r="AA682" s="152"/>
      <c r="AB682" s="152"/>
    </row>
    <row r="683" spans="1:28" hidden="1" outlineLevel="1">
      <c r="A683" s="199">
        <f t="shared" si="975"/>
        <v>16</v>
      </c>
      <c r="B683" s="190" t="str">
        <f t="shared" ca="1" si="976"/>
        <v>Depreciated Net Capex 2031-32</v>
      </c>
      <c r="C683" s="1426"/>
      <c r="D683" s="1426"/>
      <c r="E683" s="1426"/>
      <c r="F683" s="1426"/>
      <c r="G683" s="1426"/>
      <c r="H683" s="1426"/>
      <c r="I683" s="1426"/>
      <c r="J683" s="1426"/>
      <c r="K683" s="1426"/>
      <c r="L683" s="1426"/>
      <c r="M683" s="1426"/>
      <c r="N683" s="1426"/>
      <c r="O683" s="1426"/>
      <c r="P683" s="1426"/>
      <c r="Q683" s="1426"/>
      <c r="R683" s="1427"/>
      <c r="S683" s="1428">
        <f>(S662*((1+S$11)^0.5)/S$10)</f>
        <v>0</v>
      </c>
      <c r="T683" s="1423">
        <f ca="1">IF(S707="n/a",S683,IFERROR(IF((OFFSET($C683,0,$A683))&lt;0,
MIN(0,S683-(OFFSET($C683,0,$A683)/(OFFSET($C678,-$A682,$A683)))),
MAX(0,S683-(OFFSET($C683,0,$A683)/(OFFSET($C678,-$A682,$A683))))),0))</f>
        <v>0</v>
      </c>
      <c r="U683" s="1423">
        <f t="shared" ca="1" si="972"/>
        <v>0</v>
      </c>
      <c r="V683" s="1423">
        <f t="shared" ca="1" si="973"/>
        <v>0</v>
      </c>
      <c r="W683" s="1423">
        <f t="shared" ca="1" si="974"/>
        <v>0</v>
      </c>
      <c r="X683" s="202"/>
      <c r="Y683" s="202"/>
      <c r="Z683" s="202"/>
      <c r="AA683" s="152"/>
      <c r="AB683" s="152"/>
    </row>
    <row r="684" spans="1:28" hidden="1" outlineLevel="1">
      <c r="A684" s="199">
        <f t="shared" si="975"/>
        <v>17</v>
      </c>
      <c r="B684" s="190" t="str">
        <f t="shared" ca="1" si="976"/>
        <v>Depreciated Net Capex 2032-33</v>
      </c>
      <c r="C684" s="1426"/>
      <c r="D684" s="1426"/>
      <c r="E684" s="1426"/>
      <c r="F684" s="1426"/>
      <c r="G684" s="1426"/>
      <c r="H684" s="1426"/>
      <c r="I684" s="1426"/>
      <c r="J684" s="1426"/>
      <c r="K684" s="1426"/>
      <c r="L684" s="1426"/>
      <c r="M684" s="1426"/>
      <c r="N684" s="1426"/>
      <c r="O684" s="1426"/>
      <c r="P684" s="1426"/>
      <c r="Q684" s="1426"/>
      <c r="R684" s="1426"/>
      <c r="S684" s="1427"/>
      <c r="T684" s="1428">
        <f>(T662*((1+T$11)^0.5)/T$10)</f>
        <v>0</v>
      </c>
      <c r="U684" s="1423">
        <f ca="1">IF(T708="n/a",T684,IFERROR(IF((OFFSET($C684,0,$A684))&lt;0,
MIN(0,T684-(OFFSET($C684,0,$A684)/(OFFSET($C679,-$A683,$A684)))),
MAX(0,T684-(OFFSET($C684,0,$A684)/(OFFSET($C679,-$A683,$A684))))),0))</f>
        <v>0</v>
      </c>
      <c r="V684" s="1423">
        <f t="shared" ca="1" si="973"/>
        <v>0</v>
      </c>
      <c r="W684" s="1423">
        <f t="shared" ca="1" si="974"/>
        <v>0</v>
      </c>
      <c r="X684" s="202"/>
      <c r="Y684" s="202"/>
      <c r="Z684" s="202"/>
      <c r="AA684" s="152"/>
      <c r="AB684" s="152"/>
    </row>
    <row r="685" spans="1:28" hidden="1" outlineLevel="1">
      <c r="A685" s="199">
        <f t="shared" si="975"/>
        <v>18</v>
      </c>
      <c r="B685" s="190" t="str">
        <f t="shared" ca="1" si="976"/>
        <v>Depreciated Net Capex 2033-34</v>
      </c>
      <c r="C685" s="1426"/>
      <c r="D685" s="1426"/>
      <c r="E685" s="1426"/>
      <c r="F685" s="1426"/>
      <c r="G685" s="1426"/>
      <c r="H685" s="1426"/>
      <c r="I685" s="1426"/>
      <c r="J685" s="1426"/>
      <c r="K685" s="1426"/>
      <c r="L685" s="1426"/>
      <c r="M685" s="1426"/>
      <c r="N685" s="1426"/>
      <c r="O685" s="1426"/>
      <c r="P685" s="1426"/>
      <c r="Q685" s="1426"/>
      <c r="R685" s="1426"/>
      <c r="S685" s="1426"/>
      <c r="T685" s="1427"/>
      <c r="U685" s="1428">
        <f>(U662*((1+U$11)^0.5)/U$10)</f>
        <v>0</v>
      </c>
      <c r="V685" s="1423">
        <f ca="1">IF(U709="n/a",U685,IFERROR(IF((OFFSET($C685,0,$A685))&lt;0,
MIN(0,U685-(OFFSET($C685,0,$A685)/(OFFSET($C680,-$A684,$A685)))),
MAX(0,U685-(OFFSET($C685,0,$A685)/(OFFSET($C680,-$A684,$A685))))),0))</f>
        <v>0</v>
      </c>
      <c r="W685" s="1423">
        <f t="shared" ca="1" si="974"/>
        <v>0</v>
      </c>
      <c r="X685" s="202"/>
      <c r="Y685" s="202"/>
      <c r="Z685" s="202"/>
      <c r="AA685" s="152"/>
      <c r="AB685" s="152"/>
    </row>
    <row r="686" spans="1:28" hidden="1" outlineLevel="1">
      <c r="A686" s="199">
        <f t="shared" si="975"/>
        <v>19</v>
      </c>
      <c r="B686" s="190" t="str">
        <f t="shared" ca="1" si="976"/>
        <v>Depreciated Net Capex 2034-35</v>
      </c>
      <c r="C686" s="1426"/>
      <c r="D686" s="1426"/>
      <c r="E686" s="1426"/>
      <c r="F686" s="1426"/>
      <c r="G686" s="1426"/>
      <c r="H686" s="1426"/>
      <c r="I686" s="1426"/>
      <c r="J686" s="1426"/>
      <c r="K686" s="1426"/>
      <c r="L686" s="1426"/>
      <c r="M686" s="1426"/>
      <c r="N686" s="1426"/>
      <c r="O686" s="1426"/>
      <c r="P686" s="1426"/>
      <c r="Q686" s="1426"/>
      <c r="R686" s="1426"/>
      <c r="S686" s="1426"/>
      <c r="T686" s="1426"/>
      <c r="U686" s="1427"/>
      <c r="V686" s="1428">
        <f>(V662*((1+V$11)^0.5)/V$10)</f>
        <v>0</v>
      </c>
      <c r="W686" s="1423">
        <f ca="1">IF(V710="n/a",V686,IFERROR(IF((OFFSET($C686,0,$A686))&lt;0,
MIN(0,V686-(OFFSET($C686,0,$A686)/(OFFSET($C681,-$A685,$A686)))),
MAX(0,V686-(OFFSET($C686,0,$A686)/(OFFSET($C681,-$A685,$A686))))),0))</f>
        <v>0</v>
      </c>
      <c r="X686" s="202"/>
      <c r="Y686" s="202"/>
      <c r="Z686" s="202"/>
      <c r="AA686" s="152"/>
      <c r="AB686" s="152"/>
    </row>
    <row r="687" spans="1:28" hidden="1" outlineLevel="1">
      <c r="A687" s="199">
        <f t="shared" si="975"/>
        <v>20</v>
      </c>
      <c r="B687" s="190" t="str">
        <f ca="1">"Depreciated Net Capex "&amp;OFFSET($C$6,0,A687)</f>
        <v>Depreciated Net Capex 2035-36</v>
      </c>
      <c r="C687" s="1426"/>
      <c r="D687" s="1426"/>
      <c r="E687" s="1426"/>
      <c r="F687" s="1426"/>
      <c r="G687" s="1426"/>
      <c r="H687" s="1426"/>
      <c r="I687" s="1426"/>
      <c r="J687" s="1426"/>
      <c r="K687" s="1426"/>
      <c r="L687" s="1426"/>
      <c r="M687" s="1426"/>
      <c r="N687" s="1426"/>
      <c r="O687" s="1426"/>
      <c r="P687" s="1426"/>
      <c r="Q687" s="1426"/>
      <c r="R687" s="1426"/>
      <c r="S687" s="1426"/>
      <c r="T687" s="1426"/>
      <c r="U687" s="1426"/>
      <c r="V687" s="1427"/>
      <c r="W687" s="1423">
        <f>(W662*((1+W$11)^0.5)/W$10)</f>
        <v>0</v>
      </c>
      <c r="X687" s="152"/>
      <c r="Y687" s="152"/>
      <c r="Z687" s="152"/>
      <c r="AA687" s="152"/>
      <c r="AB687" s="152"/>
    </row>
    <row r="688" spans="1:28" hidden="1" outlineLevel="1">
      <c r="A688" s="152"/>
      <c r="B688" s="200"/>
      <c r="C688" s="1423"/>
      <c r="D688" s="1423"/>
      <c r="E688" s="1423"/>
      <c r="F688" s="1423"/>
      <c r="G688" s="1423"/>
      <c r="H688" s="1423"/>
      <c r="I688" s="1423"/>
      <c r="J688" s="1423"/>
      <c r="K688" s="1423"/>
      <c r="L688" s="1423"/>
      <c r="M688" s="1423"/>
      <c r="N688" s="1423"/>
      <c r="O688" s="1423"/>
      <c r="P688" s="1423"/>
      <c r="Q688" s="1423"/>
      <c r="R688" s="1423"/>
      <c r="S688" s="1423"/>
      <c r="T688" s="1423"/>
      <c r="U688" s="1423"/>
      <c r="V688" s="1423"/>
      <c r="W688" s="1423"/>
      <c r="X688" s="152"/>
      <c r="Y688" s="152"/>
      <c r="Z688" s="152"/>
      <c r="AA688" s="152"/>
      <c r="AB688" s="152"/>
    </row>
    <row r="689" spans="1:28" hidden="1" outlineLevel="1">
      <c r="A689" s="152"/>
      <c r="B689" s="200"/>
      <c r="C689" s="1423"/>
      <c r="D689" s="1423"/>
      <c r="E689" s="1423"/>
      <c r="F689" s="1423"/>
      <c r="G689" s="1423"/>
      <c r="H689" s="1423"/>
      <c r="I689" s="1423"/>
      <c r="J689" s="1423"/>
      <c r="K689" s="1423"/>
      <c r="L689" s="1423"/>
      <c r="M689" s="1423"/>
      <c r="N689" s="1423"/>
      <c r="O689" s="1423"/>
      <c r="P689" s="1423"/>
      <c r="Q689" s="1423"/>
      <c r="R689" s="1423"/>
      <c r="S689" s="1423"/>
      <c r="T689" s="1423"/>
      <c r="U689" s="1423"/>
      <c r="V689" s="1423"/>
      <c r="W689" s="1423"/>
      <c r="X689" s="152"/>
      <c r="Y689" s="152"/>
      <c r="Z689" s="152"/>
      <c r="AA689" s="152"/>
      <c r="AB689" s="152"/>
    </row>
    <row r="690" spans="1:28" hidden="1" outlineLevel="1">
      <c r="A690" s="152"/>
      <c r="B690" s="190" t="s">
        <v>190</v>
      </c>
      <c r="C690" s="1423"/>
      <c r="D690" s="1423">
        <f ca="1">IF(AND(C690&lt;1,D664=0),0,
IF(D664=0,C690-1,
IF(C690&lt;1,D665,
(((C690-1)*(C666-(C666/(C690))))+((D664/D$10)*D665))/(D666))))</f>
        <v>0</v>
      </c>
      <c r="E690" s="1423">
        <f t="shared" ref="E690" ca="1" si="977">IF(AND(D690&lt;1,E664=0),0,
IF(E664=0,D690-1,
IF(D690&lt;1,E665,
(((D690-1)*(D666-(D666/(D690))))+((E664/E$10)*E665))/(E666))))</f>
        <v>0</v>
      </c>
      <c r="F690" s="1423">
        <f t="shared" ref="F690" ca="1" si="978">IF(AND(E690&lt;1,F664=0),0,
IF(F664=0,E690-1,
IF(E690&lt;1,F665,
(((E690-1)*(E666-(E666/(E690))))+((F664/F$10)*F665))/(F666))))</f>
        <v>0</v>
      </c>
      <c r="G690" s="1423">
        <f t="shared" ref="G690" ca="1" si="979">IF(AND(F690&lt;1,G664=0),0,
IF(G664=0,F690-1,
IF(F690&lt;1,G665,
(((F690-1)*(F666-(F666/(F690))))+((G664/G$10)*G665))/(G666))))</f>
        <v>0</v>
      </c>
      <c r="H690" s="1423">
        <f t="shared" ref="H690" ca="1" si="980">IF(AND(G690&lt;1,H664=0),0,
IF(H664=0,G690-1,
IF(G690&lt;1,H665,
(((G690-1)*(G666-(G666/(G690))))+((H664/H$10)*H665))/(H666))))</f>
        <v>0</v>
      </c>
      <c r="I690" s="1423">
        <f t="shared" ref="I690" ca="1" si="981">IF(AND(H690&lt;1,I664=0),0,
IF(I664=0,H690-1,
IF(H690&lt;1,I665,
(((H690-1)*(H666-(H666/(H690))))+((I664/I$10)*I665))/(I666))))</f>
        <v>0</v>
      </c>
      <c r="J690" s="1423">
        <f t="shared" ref="J690" ca="1" si="982">IF(AND(I690&lt;1,J664=0),0,
IF(J664=0,I690-1,
IF(I690&lt;1,J665,
(((I690-1)*(I666-(I666/(I690))))+((J664/J$10)*J665))/(J666))))</f>
        <v>0</v>
      </c>
      <c r="K690" s="1423">
        <f t="shared" ref="K690" ca="1" si="983">IF(AND(J690&lt;1,K664=0),0,
IF(K664=0,J690-1,
IF(J690&lt;1,K665,
(((J690-1)*(J666-(J666/(J690))))+((K664/K$10)*K665))/(K666))))</f>
        <v>0</v>
      </c>
      <c r="L690" s="1423">
        <f t="shared" ref="L690" ca="1" si="984">IF(AND(K690&lt;1,L664=0),0,
IF(L664=0,K690-1,
IF(K690&lt;1,L665,
(((K690-1)*(K666-(K666/(K690))))+((L664/L$10)*L665))/(L666))))</f>
        <v>0</v>
      </c>
      <c r="M690" s="1423">
        <f t="shared" ref="M690" ca="1" si="985">IF(AND(L690&lt;1,M664=0),0,
IF(M664=0,L690-1,
IF(L690&lt;1,M665,
(((L690-1)*(L666-(L666/(L690))))+((M664/M$10)*M665))/(M666))))</f>
        <v>0</v>
      </c>
      <c r="N690" s="1423">
        <f t="shared" ref="N690" ca="1" si="986">IF(AND(M690&lt;1,N664=0),0,
IF(N664=0,M690-1,
IF(M690&lt;1,N665,
(((M690-1)*(M666-(M666/(M690))))+((N664/N$10)*N665))/(N666))))</f>
        <v>0</v>
      </c>
      <c r="O690" s="1423">
        <f t="shared" ref="O690" ca="1" si="987">IF(AND(N690&lt;1,O664=0),0,
IF(O664=0,N690-1,
IF(N690&lt;1,O665,
(((N690-1)*(N666-(N666/(N690))))+((O664/O$10)*O665))/(O666))))</f>
        <v>0</v>
      </c>
      <c r="P690" s="1423">
        <f t="shared" ref="P690" ca="1" si="988">IF(AND(O690&lt;1,P664=0),0,
IF(P664=0,O690-1,
IF(O690&lt;1,P665,
(((O690-1)*(O666-(O666/(O690))))+((P664/P$10)*P665))/(P666))))</f>
        <v>0</v>
      </c>
      <c r="Q690" s="1423">
        <f t="shared" ref="Q690" ca="1" si="989">IF(AND(P690&lt;1,Q664=0),0,
IF(Q664=0,P690-1,
IF(P690&lt;1,Q665,
(((P690-1)*(P666-(P666/(P690))))+((Q664/Q$10)*Q665))/(Q666))))</f>
        <v>0</v>
      </c>
      <c r="R690" s="1423">
        <f t="shared" ref="R690" ca="1" si="990">IF(AND(Q690&lt;1,R664=0),0,
IF(R664=0,Q690-1,
IF(Q690&lt;1,R665,
(((Q690-1)*(Q666-(Q666/(Q690))))+((R664/R$10)*R665))/(R666))))</f>
        <v>0</v>
      </c>
      <c r="S690" s="1423">
        <f t="shared" ref="S690" ca="1" si="991">IF(AND(R690&lt;1,S664=0),0,
IF(S664=0,R690-1,
IF(R690&lt;1,S665,
(((R690-1)*(R666-(R666/(R690))))+((S664/S$10)*S665))/(S666))))</f>
        <v>0</v>
      </c>
      <c r="T690" s="1423">
        <f t="shared" ref="T690" ca="1" si="992">IF(AND(S690&lt;1,T664=0),0,
IF(T664=0,S690-1,
IF(S690&lt;1,T665,
(((S690-1)*(S666-(S666/(S690))))+((T664/T$10)*T665))/(T666))))</f>
        <v>0</v>
      </c>
      <c r="U690" s="1423">
        <f t="shared" ref="U690" ca="1" si="993">IF(AND(T690&lt;1,U664=0),0,
IF(U664=0,T690-1,
IF(T690&lt;1,U665,
(((T690-1)*(T666-(T666/(T690))))+((U664/U$10)*U665))/(U666))))</f>
        <v>0</v>
      </c>
      <c r="V690" s="1423">
        <f t="shared" ref="V690" ca="1" si="994">IF(AND(U690&lt;1,V664=0),0,
IF(V664=0,U690-1,
IF(U690&lt;1,V665,
(((U690-1)*(U666-(U666/(U690))))+((V664/V$10)*V665))/(V666))))</f>
        <v>0</v>
      </c>
      <c r="W690" s="1423">
        <f t="shared" ref="W690" ca="1" si="995">IF(AND(V690&lt;1,W664=0),0,
IF(W664=0,V690-1,
IF(V690&lt;1,W665,
(((V690-1)*(V666-(V666/(V690))))+((W664/W$10)*W665))/(W666))))</f>
        <v>0</v>
      </c>
      <c r="X690" s="152"/>
      <c r="Y690" s="152"/>
      <c r="Z690" s="152"/>
      <c r="AA690" s="152"/>
      <c r="AB690" s="152"/>
    </row>
    <row r="691" spans="1:28" hidden="1" outlineLevel="1">
      <c r="A691" s="152"/>
      <c r="B691" s="190" t="s">
        <v>122</v>
      </c>
      <c r="C691" s="1423">
        <f ca="1">C663</f>
        <v>0</v>
      </c>
      <c r="D691" s="1423">
        <f t="shared" ref="D691" ca="1" si="996">IF(C691="n/a","n/a",MAX(0,C691-1))</f>
        <v>0</v>
      </c>
      <c r="E691" s="1423">
        <f t="shared" ref="E691:E692" ca="1" si="997">IF(D691="n/a","n/a",MAX(0,D691-1))</f>
        <v>0</v>
      </c>
      <c r="F691" s="1423">
        <f t="shared" ref="F691:F693" ca="1" si="998">IF(E691="n/a","n/a",MAX(0,E691-1))</f>
        <v>0</v>
      </c>
      <c r="G691" s="1423">
        <f t="shared" ref="G691:G694" ca="1" si="999">IF(F691="n/a","n/a",MAX(0,F691-1))</f>
        <v>0</v>
      </c>
      <c r="H691" s="1423">
        <f t="shared" ref="H691:H695" ca="1" si="1000">IF(G691="n/a","n/a",MAX(0,G691-1))</f>
        <v>0</v>
      </c>
      <c r="I691" s="1423">
        <f t="shared" ref="I691:I696" ca="1" si="1001">IF(H691="n/a","n/a",MAX(0,H691-1))</f>
        <v>0</v>
      </c>
      <c r="J691" s="1423">
        <f t="shared" ref="J691:J697" ca="1" si="1002">IF(I691="n/a","n/a",MAX(0,I691-1))</f>
        <v>0</v>
      </c>
      <c r="K691" s="1423">
        <f t="shared" ref="K691:K698" ca="1" si="1003">IF(J691="n/a","n/a",MAX(0,J691-1))</f>
        <v>0</v>
      </c>
      <c r="L691" s="1423">
        <f t="shared" ref="L691:L699" ca="1" si="1004">IF(K691="n/a","n/a",MAX(0,K691-1))</f>
        <v>0</v>
      </c>
      <c r="M691" s="1423">
        <f t="shared" ref="M691:M700" ca="1" si="1005">IF(L691="n/a","n/a",MAX(0,L691-1))</f>
        <v>0</v>
      </c>
      <c r="N691" s="1423">
        <f t="shared" ref="N691:N701" ca="1" si="1006">IF(M691="n/a","n/a",MAX(0,M691-1))</f>
        <v>0</v>
      </c>
      <c r="O691" s="1423">
        <f t="shared" ref="O691:O702" ca="1" si="1007">IF(N691="n/a","n/a",MAX(0,N691-1))</f>
        <v>0</v>
      </c>
      <c r="P691" s="1423">
        <f t="shared" ref="P691:P703" ca="1" si="1008">IF(O691="n/a","n/a",MAX(0,O691-1))</f>
        <v>0</v>
      </c>
      <c r="Q691" s="1423">
        <f t="shared" ref="Q691:Q704" ca="1" si="1009">IF(P691="n/a","n/a",MAX(0,P691-1))</f>
        <v>0</v>
      </c>
      <c r="R691" s="1423">
        <f t="shared" ref="R691:R705" ca="1" si="1010">IF(Q691="n/a","n/a",MAX(0,Q691-1))</f>
        <v>0</v>
      </c>
      <c r="S691" s="1423">
        <f t="shared" ref="S691:S706" ca="1" si="1011">IF(R691="n/a","n/a",MAX(0,R691-1))</f>
        <v>0</v>
      </c>
      <c r="T691" s="1423">
        <f t="shared" ref="T691:T707" ca="1" si="1012">IF(S691="n/a","n/a",MAX(0,S691-1))</f>
        <v>0</v>
      </c>
      <c r="U691" s="1423">
        <f t="shared" ref="U691:U708" ca="1" si="1013">IF(T691="n/a","n/a",MAX(0,T691-1))</f>
        <v>0</v>
      </c>
      <c r="V691" s="1423">
        <f t="shared" ref="V691:V709" ca="1" si="1014">IF(U691="n/a","n/a",MAX(0,U691-1))</f>
        <v>0</v>
      </c>
      <c r="W691" s="1423">
        <f t="shared" ref="W691:W709" ca="1" si="1015">IF(V691="n/a","n/a",MAX(0,V691-1))</f>
        <v>0</v>
      </c>
      <c r="X691" s="152"/>
      <c r="Y691" s="152"/>
      <c r="Z691" s="152"/>
      <c r="AA691" s="152"/>
      <c r="AB691" s="152"/>
    </row>
    <row r="692" spans="1:28" hidden="1" outlineLevel="1">
      <c r="A692" s="152"/>
      <c r="B692" s="190" t="str">
        <f t="shared" ref="B692:B711" ca="1" si="1016">"RL Capex "&amp;OFFSET($C$6,0,A668)</f>
        <v>RL Capex 2016-17</v>
      </c>
      <c r="C692" s="1424"/>
      <c r="D692" s="1428">
        <f>D663</f>
        <v>0</v>
      </c>
      <c r="E692" s="1423">
        <f t="shared" si="997"/>
        <v>0</v>
      </c>
      <c r="F692" s="1423">
        <f t="shared" si="998"/>
        <v>0</v>
      </c>
      <c r="G692" s="1423">
        <f t="shared" si="999"/>
        <v>0</v>
      </c>
      <c r="H692" s="1423">
        <f t="shared" si="1000"/>
        <v>0</v>
      </c>
      <c r="I692" s="1423">
        <f t="shared" si="1001"/>
        <v>0</v>
      </c>
      <c r="J692" s="1423">
        <f t="shared" si="1002"/>
        <v>0</v>
      </c>
      <c r="K692" s="1423">
        <f t="shared" si="1003"/>
        <v>0</v>
      </c>
      <c r="L692" s="1423">
        <f t="shared" si="1004"/>
        <v>0</v>
      </c>
      <c r="M692" s="1423">
        <f t="shared" si="1005"/>
        <v>0</v>
      </c>
      <c r="N692" s="1423">
        <f t="shared" si="1006"/>
        <v>0</v>
      </c>
      <c r="O692" s="1423">
        <f t="shared" si="1007"/>
        <v>0</v>
      </c>
      <c r="P692" s="1423">
        <f t="shared" si="1008"/>
        <v>0</v>
      </c>
      <c r="Q692" s="1423">
        <f t="shared" si="1009"/>
        <v>0</v>
      </c>
      <c r="R692" s="1423">
        <f t="shared" si="1010"/>
        <v>0</v>
      </c>
      <c r="S692" s="1423">
        <f t="shared" si="1011"/>
        <v>0</v>
      </c>
      <c r="T692" s="1423">
        <f t="shared" si="1012"/>
        <v>0</v>
      </c>
      <c r="U692" s="1423">
        <f t="shared" si="1013"/>
        <v>0</v>
      </c>
      <c r="V692" s="1423">
        <f t="shared" si="1014"/>
        <v>0</v>
      </c>
      <c r="W692" s="1423">
        <f t="shared" si="1015"/>
        <v>0</v>
      </c>
      <c r="X692" s="152"/>
      <c r="Y692" s="152"/>
      <c r="Z692" s="152"/>
      <c r="AA692" s="152"/>
      <c r="AB692" s="152"/>
    </row>
    <row r="693" spans="1:28" hidden="1" outlineLevel="1">
      <c r="A693" s="152"/>
      <c r="B693" s="190" t="str">
        <f t="shared" ca="1" si="1016"/>
        <v>RL Capex 2017-18</v>
      </c>
      <c r="C693" s="1429"/>
      <c r="D693" s="1424"/>
      <c r="E693" s="1428">
        <f>E663</f>
        <v>0</v>
      </c>
      <c r="F693" s="1423">
        <f t="shared" si="998"/>
        <v>0</v>
      </c>
      <c r="G693" s="1423">
        <f t="shared" si="999"/>
        <v>0</v>
      </c>
      <c r="H693" s="1423">
        <f t="shared" si="1000"/>
        <v>0</v>
      </c>
      <c r="I693" s="1423">
        <f t="shared" si="1001"/>
        <v>0</v>
      </c>
      <c r="J693" s="1423">
        <f t="shared" si="1002"/>
        <v>0</v>
      </c>
      <c r="K693" s="1423">
        <f t="shared" si="1003"/>
        <v>0</v>
      </c>
      <c r="L693" s="1423">
        <f t="shared" si="1004"/>
        <v>0</v>
      </c>
      <c r="M693" s="1423">
        <f t="shared" si="1005"/>
        <v>0</v>
      </c>
      <c r="N693" s="1423">
        <f t="shared" si="1006"/>
        <v>0</v>
      </c>
      <c r="O693" s="1423">
        <f t="shared" si="1007"/>
        <v>0</v>
      </c>
      <c r="P693" s="1423">
        <f t="shared" si="1008"/>
        <v>0</v>
      </c>
      <c r="Q693" s="1423">
        <f t="shared" si="1009"/>
        <v>0</v>
      </c>
      <c r="R693" s="1423">
        <f t="shared" si="1010"/>
        <v>0</v>
      </c>
      <c r="S693" s="1423">
        <f t="shared" si="1011"/>
        <v>0</v>
      </c>
      <c r="T693" s="1423">
        <f t="shared" si="1012"/>
        <v>0</v>
      </c>
      <c r="U693" s="1423">
        <f t="shared" si="1013"/>
        <v>0</v>
      </c>
      <c r="V693" s="1423">
        <f t="shared" si="1014"/>
        <v>0</v>
      </c>
      <c r="W693" s="1423">
        <f t="shared" si="1015"/>
        <v>0</v>
      </c>
      <c r="X693" s="152"/>
      <c r="Y693" s="152"/>
      <c r="Z693" s="152"/>
      <c r="AA693" s="152"/>
      <c r="AB693" s="152"/>
    </row>
    <row r="694" spans="1:28" hidden="1" outlineLevel="1">
      <c r="A694" s="152"/>
      <c r="B694" s="190" t="str">
        <f t="shared" ca="1" si="1016"/>
        <v>RL Capex 2018-19</v>
      </c>
      <c r="C694" s="1429"/>
      <c r="D694" s="1429"/>
      <c r="E694" s="1424"/>
      <c r="F694" s="1428">
        <f>F663</f>
        <v>0</v>
      </c>
      <c r="G694" s="1423">
        <f t="shared" si="999"/>
        <v>0</v>
      </c>
      <c r="H694" s="1423">
        <f t="shared" si="1000"/>
        <v>0</v>
      </c>
      <c r="I694" s="1423">
        <f t="shared" si="1001"/>
        <v>0</v>
      </c>
      <c r="J694" s="1423">
        <f t="shared" si="1002"/>
        <v>0</v>
      </c>
      <c r="K694" s="1423">
        <f t="shared" si="1003"/>
        <v>0</v>
      </c>
      <c r="L694" s="1423">
        <f t="shared" si="1004"/>
        <v>0</v>
      </c>
      <c r="M694" s="1423">
        <f t="shared" si="1005"/>
        <v>0</v>
      </c>
      <c r="N694" s="1423">
        <f t="shared" si="1006"/>
        <v>0</v>
      </c>
      <c r="O694" s="1423">
        <f t="shared" si="1007"/>
        <v>0</v>
      </c>
      <c r="P694" s="1423">
        <f t="shared" si="1008"/>
        <v>0</v>
      </c>
      <c r="Q694" s="1423">
        <f t="shared" si="1009"/>
        <v>0</v>
      </c>
      <c r="R694" s="1423">
        <f t="shared" si="1010"/>
        <v>0</v>
      </c>
      <c r="S694" s="1423">
        <f t="shared" si="1011"/>
        <v>0</v>
      </c>
      <c r="T694" s="1423">
        <f t="shared" si="1012"/>
        <v>0</v>
      </c>
      <c r="U694" s="1423">
        <f t="shared" si="1013"/>
        <v>0</v>
      </c>
      <c r="V694" s="1423">
        <f t="shared" si="1014"/>
        <v>0</v>
      </c>
      <c r="W694" s="1423">
        <f t="shared" si="1015"/>
        <v>0</v>
      </c>
      <c r="X694" s="152"/>
      <c r="Y694" s="152"/>
      <c r="Z694" s="152"/>
      <c r="AA694" s="152"/>
      <c r="AB694" s="152"/>
    </row>
    <row r="695" spans="1:28" hidden="1" outlineLevel="1">
      <c r="A695" s="152"/>
      <c r="B695" s="190" t="str">
        <f t="shared" ca="1" si="1016"/>
        <v>RL Capex 2019-20</v>
      </c>
      <c r="C695" s="1429"/>
      <c r="D695" s="1429"/>
      <c r="E695" s="1429"/>
      <c r="F695" s="1424"/>
      <c r="G695" s="1428">
        <f>G663</f>
        <v>0</v>
      </c>
      <c r="H695" s="1423">
        <f t="shared" si="1000"/>
        <v>0</v>
      </c>
      <c r="I695" s="1423">
        <f t="shared" si="1001"/>
        <v>0</v>
      </c>
      <c r="J695" s="1423">
        <f t="shared" si="1002"/>
        <v>0</v>
      </c>
      <c r="K695" s="1423">
        <f t="shared" si="1003"/>
        <v>0</v>
      </c>
      <c r="L695" s="1423">
        <f t="shared" si="1004"/>
        <v>0</v>
      </c>
      <c r="M695" s="1423">
        <f t="shared" si="1005"/>
        <v>0</v>
      </c>
      <c r="N695" s="1423">
        <f t="shared" si="1006"/>
        <v>0</v>
      </c>
      <c r="O695" s="1423">
        <f t="shared" si="1007"/>
        <v>0</v>
      </c>
      <c r="P695" s="1423">
        <f t="shared" si="1008"/>
        <v>0</v>
      </c>
      <c r="Q695" s="1423">
        <f t="shared" si="1009"/>
        <v>0</v>
      </c>
      <c r="R695" s="1423">
        <f t="shared" si="1010"/>
        <v>0</v>
      </c>
      <c r="S695" s="1423">
        <f t="shared" si="1011"/>
        <v>0</v>
      </c>
      <c r="T695" s="1423">
        <f t="shared" si="1012"/>
        <v>0</v>
      </c>
      <c r="U695" s="1423">
        <f t="shared" si="1013"/>
        <v>0</v>
      </c>
      <c r="V695" s="1423">
        <f t="shared" si="1014"/>
        <v>0</v>
      </c>
      <c r="W695" s="1423">
        <f t="shared" si="1015"/>
        <v>0</v>
      </c>
      <c r="X695" s="152"/>
      <c r="Y695" s="152"/>
      <c r="Z695" s="152"/>
      <c r="AA695" s="152"/>
      <c r="AB695" s="152"/>
    </row>
    <row r="696" spans="1:28" hidden="1" outlineLevel="1">
      <c r="A696" s="152"/>
      <c r="B696" s="190" t="str">
        <f t="shared" ca="1" si="1016"/>
        <v>RL Capex 2020-21</v>
      </c>
      <c r="C696" s="1429"/>
      <c r="D696" s="1429"/>
      <c r="E696" s="1429"/>
      <c r="F696" s="1429"/>
      <c r="G696" s="1424"/>
      <c r="H696" s="1428">
        <f>H663</f>
        <v>0</v>
      </c>
      <c r="I696" s="1423">
        <f t="shared" si="1001"/>
        <v>0</v>
      </c>
      <c r="J696" s="1423">
        <f t="shared" si="1002"/>
        <v>0</v>
      </c>
      <c r="K696" s="1423">
        <f t="shared" si="1003"/>
        <v>0</v>
      </c>
      <c r="L696" s="1423">
        <f t="shared" si="1004"/>
        <v>0</v>
      </c>
      <c r="M696" s="1423">
        <f t="shared" si="1005"/>
        <v>0</v>
      </c>
      <c r="N696" s="1423">
        <f t="shared" si="1006"/>
        <v>0</v>
      </c>
      <c r="O696" s="1423">
        <f t="shared" si="1007"/>
        <v>0</v>
      </c>
      <c r="P696" s="1423">
        <f t="shared" si="1008"/>
        <v>0</v>
      </c>
      <c r="Q696" s="1423">
        <f t="shared" si="1009"/>
        <v>0</v>
      </c>
      <c r="R696" s="1423">
        <f t="shared" si="1010"/>
        <v>0</v>
      </c>
      <c r="S696" s="1423">
        <f t="shared" si="1011"/>
        <v>0</v>
      </c>
      <c r="T696" s="1423">
        <f t="shared" si="1012"/>
        <v>0</v>
      </c>
      <c r="U696" s="1423">
        <f t="shared" si="1013"/>
        <v>0</v>
      </c>
      <c r="V696" s="1423">
        <f t="shared" si="1014"/>
        <v>0</v>
      </c>
      <c r="W696" s="1423">
        <f t="shared" si="1015"/>
        <v>0</v>
      </c>
      <c r="X696" s="152"/>
      <c r="Y696" s="152"/>
      <c r="Z696" s="152"/>
      <c r="AA696" s="152"/>
      <c r="AB696" s="152"/>
    </row>
    <row r="697" spans="1:28" hidden="1" outlineLevel="1">
      <c r="A697" s="152"/>
      <c r="B697" s="190" t="str">
        <f t="shared" ca="1" si="1016"/>
        <v>RL Capex 2021-22</v>
      </c>
      <c r="C697" s="1429"/>
      <c r="D697" s="1429"/>
      <c r="E697" s="1429"/>
      <c r="F697" s="1429"/>
      <c r="G697" s="1429"/>
      <c r="H697" s="1424"/>
      <c r="I697" s="1428">
        <f>I663</f>
        <v>0</v>
      </c>
      <c r="J697" s="1423">
        <f t="shared" si="1002"/>
        <v>0</v>
      </c>
      <c r="K697" s="1423">
        <f t="shared" si="1003"/>
        <v>0</v>
      </c>
      <c r="L697" s="1423">
        <f t="shared" si="1004"/>
        <v>0</v>
      </c>
      <c r="M697" s="1423">
        <f t="shared" si="1005"/>
        <v>0</v>
      </c>
      <c r="N697" s="1423">
        <f t="shared" si="1006"/>
        <v>0</v>
      </c>
      <c r="O697" s="1423">
        <f t="shared" si="1007"/>
        <v>0</v>
      </c>
      <c r="P697" s="1423">
        <f t="shared" si="1008"/>
        <v>0</v>
      </c>
      <c r="Q697" s="1423">
        <f t="shared" si="1009"/>
        <v>0</v>
      </c>
      <c r="R697" s="1423">
        <f t="shared" si="1010"/>
        <v>0</v>
      </c>
      <c r="S697" s="1423">
        <f t="shared" si="1011"/>
        <v>0</v>
      </c>
      <c r="T697" s="1423">
        <f t="shared" si="1012"/>
        <v>0</v>
      </c>
      <c r="U697" s="1423">
        <f t="shared" si="1013"/>
        <v>0</v>
      </c>
      <c r="V697" s="1423">
        <f t="shared" si="1014"/>
        <v>0</v>
      </c>
      <c r="W697" s="1423">
        <f t="shared" si="1015"/>
        <v>0</v>
      </c>
      <c r="X697" s="152"/>
      <c r="Y697" s="152"/>
      <c r="Z697" s="152"/>
      <c r="AA697" s="152"/>
      <c r="AB697" s="152"/>
    </row>
    <row r="698" spans="1:28" hidden="1" outlineLevel="1">
      <c r="A698" s="152"/>
      <c r="B698" s="190" t="str">
        <f t="shared" ca="1" si="1016"/>
        <v>RL Capex 2022-23</v>
      </c>
      <c r="C698" s="1429"/>
      <c r="D698" s="1429"/>
      <c r="E698" s="1429"/>
      <c r="F698" s="1429"/>
      <c r="G698" s="1429"/>
      <c r="H698" s="1429"/>
      <c r="I698" s="1424"/>
      <c r="J698" s="1428">
        <f>J663</f>
        <v>0</v>
      </c>
      <c r="K698" s="1423">
        <f t="shared" si="1003"/>
        <v>0</v>
      </c>
      <c r="L698" s="1423">
        <f t="shared" si="1004"/>
        <v>0</v>
      </c>
      <c r="M698" s="1423">
        <f t="shared" si="1005"/>
        <v>0</v>
      </c>
      <c r="N698" s="1423">
        <f t="shared" si="1006"/>
        <v>0</v>
      </c>
      <c r="O698" s="1423">
        <f t="shared" si="1007"/>
        <v>0</v>
      </c>
      <c r="P698" s="1423">
        <f t="shared" si="1008"/>
        <v>0</v>
      </c>
      <c r="Q698" s="1423">
        <f t="shared" si="1009"/>
        <v>0</v>
      </c>
      <c r="R698" s="1423">
        <f t="shared" si="1010"/>
        <v>0</v>
      </c>
      <c r="S698" s="1423">
        <f t="shared" si="1011"/>
        <v>0</v>
      </c>
      <c r="T698" s="1423">
        <f t="shared" si="1012"/>
        <v>0</v>
      </c>
      <c r="U698" s="1423">
        <f t="shared" si="1013"/>
        <v>0</v>
      </c>
      <c r="V698" s="1423">
        <f t="shared" si="1014"/>
        <v>0</v>
      </c>
      <c r="W698" s="1423">
        <f t="shared" si="1015"/>
        <v>0</v>
      </c>
      <c r="X698" s="152"/>
      <c r="Y698" s="152"/>
      <c r="Z698" s="152"/>
      <c r="AA698" s="152"/>
      <c r="AB698" s="152"/>
    </row>
    <row r="699" spans="1:28" hidden="1" outlineLevel="1">
      <c r="A699" s="152"/>
      <c r="B699" s="190" t="str">
        <f t="shared" ca="1" si="1016"/>
        <v>RL Capex 2023-24</v>
      </c>
      <c r="C699" s="1429"/>
      <c r="D699" s="1429"/>
      <c r="E699" s="1429"/>
      <c r="F699" s="1429"/>
      <c r="G699" s="1429"/>
      <c r="H699" s="1429"/>
      <c r="I699" s="1429"/>
      <c r="J699" s="1424"/>
      <c r="K699" s="1428">
        <f>K663</f>
        <v>0</v>
      </c>
      <c r="L699" s="1423">
        <f t="shared" si="1004"/>
        <v>0</v>
      </c>
      <c r="M699" s="1423">
        <f t="shared" si="1005"/>
        <v>0</v>
      </c>
      <c r="N699" s="1423">
        <f t="shared" si="1006"/>
        <v>0</v>
      </c>
      <c r="O699" s="1423">
        <f t="shared" si="1007"/>
        <v>0</v>
      </c>
      <c r="P699" s="1423">
        <f t="shared" si="1008"/>
        <v>0</v>
      </c>
      <c r="Q699" s="1423">
        <f t="shared" si="1009"/>
        <v>0</v>
      </c>
      <c r="R699" s="1423">
        <f t="shared" si="1010"/>
        <v>0</v>
      </c>
      <c r="S699" s="1423">
        <f t="shared" si="1011"/>
        <v>0</v>
      </c>
      <c r="T699" s="1423">
        <f t="shared" si="1012"/>
        <v>0</v>
      </c>
      <c r="U699" s="1423">
        <f t="shared" si="1013"/>
        <v>0</v>
      </c>
      <c r="V699" s="1423">
        <f t="shared" si="1014"/>
        <v>0</v>
      </c>
      <c r="W699" s="1423">
        <f t="shared" si="1015"/>
        <v>0</v>
      </c>
      <c r="X699" s="152"/>
      <c r="Y699" s="152"/>
      <c r="Z699" s="152"/>
      <c r="AA699" s="152"/>
      <c r="AB699" s="152"/>
    </row>
    <row r="700" spans="1:28" hidden="1" outlineLevel="1">
      <c r="A700" s="152"/>
      <c r="B700" s="190" t="str">
        <f t="shared" ca="1" si="1016"/>
        <v>RL Capex 2024-25</v>
      </c>
      <c r="C700" s="1429"/>
      <c r="D700" s="1429"/>
      <c r="E700" s="1429"/>
      <c r="F700" s="1429"/>
      <c r="G700" s="1429"/>
      <c r="H700" s="1429"/>
      <c r="I700" s="1429"/>
      <c r="J700" s="1429"/>
      <c r="K700" s="1424"/>
      <c r="L700" s="1428">
        <f>L663</f>
        <v>0</v>
      </c>
      <c r="M700" s="1423">
        <f t="shared" si="1005"/>
        <v>0</v>
      </c>
      <c r="N700" s="1423">
        <f t="shared" si="1006"/>
        <v>0</v>
      </c>
      <c r="O700" s="1423">
        <f t="shared" si="1007"/>
        <v>0</v>
      </c>
      <c r="P700" s="1423">
        <f t="shared" si="1008"/>
        <v>0</v>
      </c>
      <c r="Q700" s="1423">
        <f t="shared" si="1009"/>
        <v>0</v>
      </c>
      <c r="R700" s="1423">
        <f t="shared" si="1010"/>
        <v>0</v>
      </c>
      <c r="S700" s="1423">
        <f t="shared" si="1011"/>
        <v>0</v>
      </c>
      <c r="T700" s="1423">
        <f t="shared" si="1012"/>
        <v>0</v>
      </c>
      <c r="U700" s="1423">
        <f t="shared" si="1013"/>
        <v>0</v>
      </c>
      <c r="V700" s="1423">
        <f t="shared" si="1014"/>
        <v>0</v>
      </c>
      <c r="W700" s="1423">
        <f t="shared" si="1015"/>
        <v>0</v>
      </c>
      <c r="X700" s="152"/>
      <c r="Y700" s="152"/>
      <c r="Z700" s="152"/>
      <c r="AA700" s="152"/>
      <c r="AB700" s="152"/>
    </row>
    <row r="701" spans="1:28" hidden="1" outlineLevel="1">
      <c r="A701" s="152"/>
      <c r="B701" s="190" t="str">
        <f t="shared" ca="1" si="1016"/>
        <v>RL Capex 2025-26</v>
      </c>
      <c r="C701" s="1429"/>
      <c r="D701" s="1429"/>
      <c r="E701" s="1429"/>
      <c r="F701" s="1429"/>
      <c r="G701" s="1429"/>
      <c r="H701" s="1429"/>
      <c r="I701" s="1429"/>
      <c r="J701" s="1429"/>
      <c r="K701" s="1429"/>
      <c r="L701" s="1424"/>
      <c r="M701" s="1428">
        <f>M663</f>
        <v>0</v>
      </c>
      <c r="N701" s="1423">
        <f t="shared" si="1006"/>
        <v>0</v>
      </c>
      <c r="O701" s="1423">
        <f t="shared" si="1007"/>
        <v>0</v>
      </c>
      <c r="P701" s="1423">
        <f t="shared" si="1008"/>
        <v>0</v>
      </c>
      <c r="Q701" s="1423">
        <f t="shared" si="1009"/>
        <v>0</v>
      </c>
      <c r="R701" s="1423">
        <f t="shared" si="1010"/>
        <v>0</v>
      </c>
      <c r="S701" s="1423">
        <f t="shared" si="1011"/>
        <v>0</v>
      </c>
      <c r="T701" s="1423">
        <f t="shared" si="1012"/>
        <v>0</v>
      </c>
      <c r="U701" s="1423">
        <f t="shared" si="1013"/>
        <v>0</v>
      </c>
      <c r="V701" s="1423">
        <f t="shared" si="1014"/>
        <v>0</v>
      </c>
      <c r="W701" s="1423">
        <f t="shared" si="1015"/>
        <v>0</v>
      </c>
      <c r="X701" s="152"/>
      <c r="Y701" s="152"/>
      <c r="Z701" s="152"/>
      <c r="AA701" s="152"/>
      <c r="AB701" s="152"/>
    </row>
    <row r="702" spans="1:28" hidden="1" outlineLevel="1">
      <c r="A702" s="152"/>
      <c r="B702" s="190" t="str">
        <f t="shared" ca="1" si="1016"/>
        <v>RL Capex 2026-27</v>
      </c>
      <c r="C702" s="1429"/>
      <c r="D702" s="1429"/>
      <c r="E702" s="1429"/>
      <c r="F702" s="1429"/>
      <c r="G702" s="1429"/>
      <c r="H702" s="1429"/>
      <c r="I702" s="1429"/>
      <c r="J702" s="1429"/>
      <c r="K702" s="1429"/>
      <c r="L702" s="1429"/>
      <c r="M702" s="1424"/>
      <c r="N702" s="1428">
        <f>N663</f>
        <v>0</v>
      </c>
      <c r="O702" s="1423">
        <f t="shared" si="1007"/>
        <v>0</v>
      </c>
      <c r="P702" s="1423">
        <f t="shared" si="1008"/>
        <v>0</v>
      </c>
      <c r="Q702" s="1423">
        <f t="shared" si="1009"/>
        <v>0</v>
      </c>
      <c r="R702" s="1423">
        <f t="shared" si="1010"/>
        <v>0</v>
      </c>
      <c r="S702" s="1423">
        <f t="shared" si="1011"/>
        <v>0</v>
      </c>
      <c r="T702" s="1423">
        <f t="shared" si="1012"/>
        <v>0</v>
      </c>
      <c r="U702" s="1423">
        <f t="shared" si="1013"/>
        <v>0</v>
      </c>
      <c r="V702" s="1423">
        <f t="shared" si="1014"/>
        <v>0</v>
      </c>
      <c r="W702" s="1423">
        <f t="shared" si="1015"/>
        <v>0</v>
      </c>
      <c r="X702" s="152"/>
      <c r="Y702" s="152"/>
      <c r="Z702" s="152"/>
      <c r="AA702" s="152"/>
      <c r="AB702" s="152"/>
    </row>
    <row r="703" spans="1:28" hidden="1" outlineLevel="1">
      <c r="A703" s="152"/>
      <c r="B703" s="190" t="str">
        <f t="shared" ca="1" si="1016"/>
        <v>RL Capex 2027-28</v>
      </c>
      <c r="C703" s="1429"/>
      <c r="D703" s="1429"/>
      <c r="E703" s="1429"/>
      <c r="F703" s="1429"/>
      <c r="G703" s="1429"/>
      <c r="H703" s="1429"/>
      <c r="I703" s="1429"/>
      <c r="J703" s="1429"/>
      <c r="K703" s="1429"/>
      <c r="L703" s="1429"/>
      <c r="M703" s="1429"/>
      <c r="N703" s="1424"/>
      <c r="O703" s="1428">
        <f>O663</f>
        <v>0</v>
      </c>
      <c r="P703" s="1423">
        <f t="shared" si="1008"/>
        <v>0</v>
      </c>
      <c r="Q703" s="1423">
        <f t="shared" si="1009"/>
        <v>0</v>
      </c>
      <c r="R703" s="1423">
        <f t="shared" si="1010"/>
        <v>0</v>
      </c>
      <c r="S703" s="1423">
        <f t="shared" si="1011"/>
        <v>0</v>
      </c>
      <c r="T703" s="1423">
        <f t="shared" si="1012"/>
        <v>0</v>
      </c>
      <c r="U703" s="1423">
        <f t="shared" si="1013"/>
        <v>0</v>
      </c>
      <c r="V703" s="1423">
        <f t="shared" si="1014"/>
        <v>0</v>
      </c>
      <c r="W703" s="1423">
        <f t="shared" si="1015"/>
        <v>0</v>
      </c>
      <c r="X703" s="152"/>
      <c r="Y703" s="152"/>
      <c r="Z703" s="152"/>
      <c r="AA703" s="152"/>
      <c r="AB703" s="152"/>
    </row>
    <row r="704" spans="1:28" hidden="1" outlineLevel="1">
      <c r="A704" s="152"/>
      <c r="B704" s="190" t="str">
        <f t="shared" ca="1" si="1016"/>
        <v>RL Capex 2028-29</v>
      </c>
      <c r="C704" s="1429"/>
      <c r="D704" s="1429"/>
      <c r="E704" s="1429"/>
      <c r="F704" s="1429"/>
      <c r="G704" s="1429"/>
      <c r="H704" s="1429"/>
      <c r="I704" s="1429"/>
      <c r="J704" s="1429"/>
      <c r="K704" s="1429"/>
      <c r="L704" s="1429"/>
      <c r="M704" s="1429"/>
      <c r="N704" s="1429"/>
      <c r="O704" s="1424"/>
      <c r="P704" s="1428">
        <f>P663</f>
        <v>0</v>
      </c>
      <c r="Q704" s="1423">
        <f t="shared" si="1009"/>
        <v>0</v>
      </c>
      <c r="R704" s="1423">
        <f t="shared" si="1010"/>
        <v>0</v>
      </c>
      <c r="S704" s="1423">
        <f t="shared" si="1011"/>
        <v>0</v>
      </c>
      <c r="T704" s="1423">
        <f t="shared" si="1012"/>
        <v>0</v>
      </c>
      <c r="U704" s="1423">
        <f t="shared" si="1013"/>
        <v>0</v>
      </c>
      <c r="V704" s="1423">
        <f t="shared" si="1014"/>
        <v>0</v>
      </c>
      <c r="W704" s="1423">
        <f t="shared" si="1015"/>
        <v>0</v>
      </c>
      <c r="X704" s="152"/>
      <c r="Y704" s="152"/>
      <c r="Z704" s="152"/>
      <c r="AA704" s="152"/>
      <c r="AB704" s="152"/>
    </row>
    <row r="705" spans="1:28" hidden="1" outlineLevel="1">
      <c r="A705" s="152"/>
      <c r="B705" s="190" t="str">
        <f t="shared" ca="1" si="1016"/>
        <v>RL Capex 2029-30</v>
      </c>
      <c r="C705" s="1429"/>
      <c r="D705" s="1429"/>
      <c r="E705" s="1429"/>
      <c r="F705" s="1429"/>
      <c r="G705" s="1429"/>
      <c r="H705" s="1429"/>
      <c r="I705" s="1429"/>
      <c r="J705" s="1429"/>
      <c r="K705" s="1429"/>
      <c r="L705" s="1429"/>
      <c r="M705" s="1429"/>
      <c r="N705" s="1429"/>
      <c r="O705" s="1429"/>
      <c r="P705" s="1424"/>
      <c r="Q705" s="1428">
        <f>Q663</f>
        <v>0</v>
      </c>
      <c r="R705" s="1423">
        <f t="shared" si="1010"/>
        <v>0</v>
      </c>
      <c r="S705" s="1423">
        <f t="shared" si="1011"/>
        <v>0</v>
      </c>
      <c r="T705" s="1423">
        <f t="shared" si="1012"/>
        <v>0</v>
      </c>
      <c r="U705" s="1423">
        <f t="shared" si="1013"/>
        <v>0</v>
      </c>
      <c r="V705" s="1423">
        <f t="shared" si="1014"/>
        <v>0</v>
      </c>
      <c r="W705" s="1423">
        <f t="shared" si="1015"/>
        <v>0</v>
      </c>
      <c r="X705" s="152"/>
      <c r="Y705" s="152"/>
      <c r="Z705" s="152"/>
      <c r="AA705" s="152"/>
      <c r="AB705" s="152"/>
    </row>
    <row r="706" spans="1:28" hidden="1" outlineLevel="1">
      <c r="A706" s="152"/>
      <c r="B706" s="190" t="str">
        <f t="shared" ca="1" si="1016"/>
        <v>RL Capex 2030-31</v>
      </c>
      <c r="C706" s="1429"/>
      <c r="D706" s="1429"/>
      <c r="E706" s="1429"/>
      <c r="F706" s="1429"/>
      <c r="G706" s="1429"/>
      <c r="H706" s="1429"/>
      <c r="I706" s="1429"/>
      <c r="J706" s="1429"/>
      <c r="K706" s="1429"/>
      <c r="L706" s="1429"/>
      <c r="M706" s="1429"/>
      <c r="N706" s="1429"/>
      <c r="O706" s="1429"/>
      <c r="P706" s="1429"/>
      <c r="Q706" s="1424"/>
      <c r="R706" s="1428">
        <f>R663</f>
        <v>0</v>
      </c>
      <c r="S706" s="1423">
        <f t="shared" si="1011"/>
        <v>0</v>
      </c>
      <c r="T706" s="1423">
        <f t="shared" si="1012"/>
        <v>0</v>
      </c>
      <c r="U706" s="1423">
        <f t="shared" si="1013"/>
        <v>0</v>
      </c>
      <c r="V706" s="1423">
        <f t="shared" si="1014"/>
        <v>0</v>
      </c>
      <c r="W706" s="1423">
        <f t="shared" si="1015"/>
        <v>0</v>
      </c>
      <c r="X706" s="152"/>
      <c r="Y706" s="152"/>
      <c r="Z706" s="152"/>
      <c r="AA706" s="152"/>
      <c r="AB706" s="152"/>
    </row>
    <row r="707" spans="1:28" hidden="1" outlineLevel="1">
      <c r="A707" s="152"/>
      <c r="B707" s="190" t="str">
        <f t="shared" ca="1" si="1016"/>
        <v>RL Capex 2031-32</v>
      </c>
      <c r="C707" s="1429"/>
      <c r="D707" s="1429"/>
      <c r="E707" s="1429"/>
      <c r="F707" s="1429"/>
      <c r="G707" s="1429"/>
      <c r="H707" s="1429"/>
      <c r="I707" s="1429"/>
      <c r="J707" s="1429"/>
      <c r="K707" s="1429"/>
      <c r="L707" s="1429"/>
      <c r="M707" s="1429"/>
      <c r="N707" s="1429"/>
      <c r="O707" s="1429"/>
      <c r="P707" s="1429"/>
      <c r="Q707" s="1429"/>
      <c r="R707" s="1424"/>
      <c r="S707" s="1428">
        <f>S663</f>
        <v>0</v>
      </c>
      <c r="T707" s="1423">
        <f t="shared" si="1012"/>
        <v>0</v>
      </c>
      <c r="U707" s="1423">
        <f t="shared" si="1013"/>
        <v>0</v>
      </c>
      <c r="V707" s="1423">
        <f t="shared" si="1014"/>
        <v>0</v>
      </c>
      <c r="W707" s="1423">
        <f t="shared" si="1015"/>
        <v>0</v>
      </c>
      <c r="X707" s="152"/>
      <c r="Y707" s="152"/>
      <c r="Z707" s="152"/>
      <c r="AA707" s="152"/>
      <c r="AB707" s="152"/>
    </row>
    <row r="708" spans="1:28" hidden="1" outlineLevel="1">
      <c r="A708" s="152"/>
      <c r="B708" s="190" t="str">
        <f t="shared" ca="1" si="1016"/>
        <v>RL Capex 2032-33</v>
      </c>
      <c r="C708" s="1429"/>
      <c r="D708" s="1429"/>
      <c r="E708" s="1429"/>
      <c r="F708" s="1429"/>
      <c r="G708" s="1429"/>
      <c r="H708" s="1429"/>
      <c r="I708" s="1429"/>
      <c r="J708" s="1429"/>
      <c r="K708" s="1429"/>
      <c r="L708" s="1429"/>
      <c r="M708" s="1429"/>
      <c r="N708" s="1429"/>
      <c r="O708" s="1429"/>
      <c r="P708" s="1429"/>
      <c r="Q708" s="1429"/>
      <c r="R708" s="1429"/>
      <c r="S708" s="1424"/>
      <c r="T708" s="1428">
        <f>T663</f>
        <v>0</v>
      </c>
      <c r="U708" s="1423">
        <f t="shared" si="1013"/>
        <v>0</v>
      </c>
      <c r="V708" s="1423">
        <f t="shared" si="1014"/>
        <v>0</v>
      </c>
      <c r="W708" s="1423">
        <f t="shared" si="1015"/>
        <v>0</v>
      </c>
      <c r="X708" s="152"/>
      <c r="Y708" s="152"/>
      <c r="Z708" s="152"/>
      <c r="AA708" s="152"/>
      <c r="AB708" s="152"/>
    </row>
    <row r="709" spans="1:28" hidden="1" outlineLevel="1">
      <c r="A709" s="152"/>
      <c r="B709" s="190" t="str">
        <f t="shared" ca="1" si="1016"/>
        <v>RL Capex 2033-34</v>
      </c>
      <c r="C709" s="1429"/>
      <c r="D709" s="1429"/>
      <c r="E709" s="1429"/>
      <c r="F709" s="1429"/>
      <c r="G709" s="1429"/>
      <c r="H709" s="1429"/>
      <c r="I709" s="1429"/>
      <c r="J709" s="1429"/>
      <c r="K709" s="1429"/>
      <c r="L709" s="1429"/>
      <c r="M709" s="1429"/>
      <c r="N709" s="1429"/>
      <c r="O709" s="1429"/>
      <c r="P709" s="1429"/>
      <c r="Q709" s="1429"/>
      <c r="R709" s="1429"/>
      <c r="S709" s="1429"/>
      <c r="T709" s="1424"/>
      <c r="U709" s="1428">
        <f>U663</f>
        <v>0</v>
      </c>
      <c r="V709" s="1423">
        <f t="shared" si="1014"/>
        <v>0</v>
      </c>
      <c r="W709" s="1423">
        <f t="shared" si="1015"/>
        <v>0</v>
      </c>
      <c r="X709" s="152"/>
      <c r="Y709" s="152"/>
      <c r="Z709" s="152"/>
      <c r="AA709" s="152"/>
      <c r="AB709" s="152"/>
    </row>
    <row r="710" spans="1:28" hidden="1" outlineLevel="1">
      <c r="A710" s="152"/>
      <c r="B710" s="190" t="str">
        <f t="shared" ca="1" si="1016"/>
        <v>RL Capex 2034-35</v>
      </c>
      <c r="C710" s="1429"/>
      <c r="D710" s="1429"/>
      <c r="E710" s="1429"/>
      <c r="F710" s="1429"/>
      <c r="G710" s="1429"/>
      <c r="H710" s="1429"/>
      <c r="I710" s="1429"/>
      <c r="J710" s="1429"/>
      <c r="K710" s="1429"/>
      <c r="L710" s="1429"/>
      <c r="M710" s="1429"/>
      <c r="N710" s="1429"/>
      <c r="O710" s="1429"/>
      <c r="P710" s="1429"/>
      <c r="Q710" s="1429"/>
      <c r="R710" s="1429"/>
      <c r="S710" s="1429"/>
      <c r="T710" s="1429"/>
      <c r="U710" s="1424"/>
      <c r="V710" s="1428">
        <f>V663</f>
        <v>0</v>
      </c>
      <c r="W710" s="1423">
        <f>IF(V710="n/a","n/a",MAX(0,V710-1))</f>
        <v>0</v>
      </c>
      <c r="X710" s="152"/>
      <c r="Y710" s="152"/>
      <c r="Z710" s="152"/>
      <c r="AA710" s="152"/>
      <c r="AB710" s="152"/>
    </row>
    <row r="711" spans="1:28" hidden="1" outlineLevel="1">
      <c r="A711" s="152"/>
      <c r="B711" s="190" t="str">
        <f t="shared" ca="1" si="1016"/>
        <v>RL Capex 2035-36</v>
      </c>
      <c r="C711" s="1429"/>
      <c r="D711" s="1429"/>
      <c r="E711" s="1429"/>
      <c r="F711" s="1429"/>
      <c r="G711" s="1429"/>
      <c r="H711" s="1429"/>
      <c r="I711" s="1429"/>
      <c r="J711" s="1429"/>
      <c r="K711" s="1429"/>
      <c r="L711" s="1429"/>
      <c r="M711" s="1429"/>
      <c r="N711" s="1429"/>
      <c r="O711" s="1429"/>
      <c r="P711" s="1429"/>
      <c r="Q711" s="1429"/>
      <c r="R711" s="1429"/>
      <c r="S711" s="1429"/>
      <c r="T711" s="1429"/>
      <c r="U711" s="1429"/>
      <c r="V711" s="1424"/>
      <c r="W711" s="1423">
        <f>W663</f>
        <v>0</v>
      </c>
      <c r="X711" s="152"/>
      <c r="Y711" s="152"/>
      <c r="Z711" s="152"/>
      <c r="AA711" s="152"/>
      <c r="AB711" s="152"/>
    </row>
    <row r="712" spans="1:28" hidden="1" outlineLevel="1">
      <c r="A712" s="152"/>
      <c r="B712" s="200"/>
      <c r="C712" s="1423"/>
      <c r="D712" s="1423"/>
      <c r="E712" s="1423"/>
      <c r="F712" s="1423"/>
      <c r="G712" s="1423"/>
      <c r="H712" s="1423"/>
      <c r="I712" s="1423"/>
      <c r="J712" s="1423"/>
      <c r="K712" s="1423"/>
      <c r="L712" s="1423"/>
      <c r="M712" s="1423"/>
      <c r="N712" s="1423"/>
      <c r="O712" s="1423"/>
      <c r="P712" s="1423"/>
      <c r="Q712" s="1423"/>
      <c r="R712" s="1423"/>
      <c r="S712" s="1423"/>
      <c r="T712" s="1423"/>
      <c r="U712" s="1423"/>
      <c r="V712" s="1423"/>
      <c r="W712" s="1423"/>
      <c r="X712" s="152"/>
      <c r="Y712" s="152"/>
      <c r="Z712" s="152"/>
      <c r="AA712" s="152"/>
      <c r="AB712" s="152"/>
    </row>
    <row r="713" spans="1:28" collapsed="1">
      <c r="A713" s="194"/>
      <c r="B713" s="204" t="s">
        <v>123</v>
      </c>
      <c r="C713" s="1430">
        <f ca="1">(IF(OR($C663&lt;&gt;"n/a",C663&lt;&gt;"n/a"),IF(SUM(C666:C688)=0,0,IF((SUMPRODUCT(C666:C688,C690:C712)/SUM(C666:C688))&lt;0,1,(SUMPRODUCT(C666:C688,C690:C712)/SUM(C666:C688)))),"n/a"))</f>
        <v>0</v>
      </c>
      <c r="D713" s="1430">
        <f ca="1">(IF(OR($C663&lt;&gt;"n/a",D663&lt;&gt;"n/a"),IF(SUM(D666:D688)=0,0,IF((SUMPRODUCT(D666:D688,D690:D712)/SUM(D666:D688))&lt;0,1,(SUMPRODUCT(D666:D688,D690:D712)/SUM(D666:D688)))),"n/a"))</f>
        <v>0</v>
      </c>
      <c r="E713" s="1430">
        <f t="shared" ref="E713:W713" ca="1" si="1017">(IF(OR($C663&lt;&gt;"n/a",E663&lt;&gt;"n/a"),IF(SUM(E666:E688)=0,0,IF((SUMPRODUCT(E666:E688,E690:E712)/SUM(E666:E688))&lt;0,1,(SUMPRODUCT(E666:E688,E690:E712)/SUM(E666:E688)))),"n/a"))</f>
        <v>0</v>
      </c>
      <c r="F713" s="1430">
        <f t="shared" ca="1" si="1017"/>
        <v>0</v>
      </c>
      <c r="G713" s="1430">
        <f t="shared" ca="1" si="1017"/>
        <v>0</v>
      </c>
      <c r="H713" s="1430">
        <f t="shared" ca="1" si="1017"/>
        <v>0</v>
      </c>
      <c r="I713" s="1430">
        <f t="shared" ca="1" si="1017"/>
        <v>0</v>
      </c>
      <c r="J713" s="1430">
        <f t="shared" ca="1" si="1017"/>
        <v>0</v>
      </c>
      <c r="K713" s="1430">
        <f t="shared" ca="1" si="1017"/>
        <v>0</v>
      </c>
      <c r="L713" s="1430">
        <f t="shared" ca="1" si="1017"/>
        <v>0</v>
      </c>
      <c r="M713" s="1430">
        <f t="shared" ca="1" si="1017"/>
        <v>0</v>
      </c>
      <c r="N713" s="1430">
        <f t="shared" ca="1" si="1017"/>
        <v>0</v>
      </c>
      <c r="O713" s="1430">
        <f t="shared" ca="1" si="1017"/>
        <v>0</v>
      </c>
      <c r="P713" s="1430">
        <f t="shared" ca="1" si="1017"/>
        <v>0</v>
      </c>
      <c r="Q713" s="1430">
        <f t="shared" ca="1" si="1017"/>
        <v>0</v>
      </c>
      <c r="R713" s="1430">
        <f t="shared" ca="1" si="1017"/>
        <v>0</v>
      </c>
      <c r="S713" s="1430">
        <f t="shared" ca="1" si="1017"/>
        <v>0</v>
      </c>
      <c r="T713" s="1430">
        <f t="shared" ca="1" si="1017"/>
        <v>0</v>
      </c>
      <c r="U713" s="1430">
        <f t="shared" ca="1" si="1017"/>
        <v>0</v>
      </c>
      <c r="V713" s="1430">
        <f t="shared" ca="1" si="1017"/>
        <v>0</v>
      </c>
      <c r="W713" s="1430">
        <f t="shared" ca="1" si="1017"/>
        <v>0</v>
      </c>
      <c r="X713" s="152"/>
      <c r="Y713" s="152"/>
      <c r="Z713" s="152"/>
      <c r="AA713" s="152"/>
      <c r="AB713" s="152"/>
    </row>
    <row r="714" spans="1:28">
      <c r="A714" s="152"/>
      <c r="B714" s="152"/>
      <c r="C714" s="1423"/>
      <c r="D714" s="1423"/>
      <c r="E714" s="1423"/>
      <c r="F714" s="1423"/>
      <c r="G714" s="1423"/>
      <c r="H714" s="1423"/>
      <c r="I714" s="1423"/>
      <c r="J714" s="1423"/>
      <c r="K714" s="1423"/>
      <c r="L714" s="1423"/>
      <c r="M714" s="1423"/>
      <c r="N714" s="1423"/>
      <c r="O714" s="1423"/>
      <c r="P714" s="1423"/>
      <c r="Q714" s="1423"/>
      <c r="R714" s="1423"/>
      <c r="S714" s="1423"/>
      <c r="T714" s="1423"/>
      <c r="U714" s="1423"/>
      <c r="V714" s="1423"/>
      <c r="W714" s="1423"/>
      <c r="X714" s="152"/>
      <c r="Y714" s="152"/>
      <c r="Z714" s="152"/>
      <c r="AA714" s="152"/>
      <c r="AB714" s="152"/>
    </row>
    <row r="715" spans="1:28">
      <c r="A715" s="269" t="s">
        <v>14</v>
      </c>
      <c r="B715" s="270">
        <f>VLOOKUP($A715,'RFM input'!$E$7:$F$56,2,FALSE)</f>
        <v>0</v>
      </c>
      <c r="C715" s="1431"/>
      <c r="D715" s="1431"/>
      <c r="E715" s="1432"/>
      <c r="F715" s="1432"/>
      <c r="G715" s="1432"/>
      <c r="H715" s="1432"/>
      <c r="I715" s="1432"/>
      <c r="J715" s="1432"/>
      <c r="K715" s="1432"/>
      <c r="L715" s="1432"/>
      <c r="M715" s="1432"/>
      <c r="N715" s="1432"/>
      <c r="O715" s="1432"/>
      <c r="P715" s="1432"/>
      <c r="Q715" s="1432"/>
      <c r="R715" s="1432"/>
      <c r="S715" s="1432"/>
      <c r="T715" s="1432"/>
      <c r="U715" s="1432"/>
      <c r="V715" s="1432"/>
      <c r="W715" s="1432"/>
      <c r="X715" s="152"/>
      <c r="Y715" s="152"/>
      <c r="Z715" s="152"/>
      <c r="AA715" s="152"/>
      <c r="AB715" s="152"/>
    </row>
    <row r="716" spans="1:28">
      <c r="A716" s="215">
        <f>VALUE(REPLACE(A715,1,12,""))</f>
        <v>14</v>
      </c>
      <c r="B716" s="193" t="s">
        <v>126</v>
      </c>
      <c r="C716" s="1416">
        <f ca="1">IF($C$8='Capital Base roll forward'!$H$4,OFFSET('Capital Base roll forward'!$H$717,'RAB remaining lives'!A716,0),"enter input")</f>
        <v>0</v>
      </c>
      <c r="D716" s="1417">
        <f>IF(LEFT(D$6,4)&lt;LEFT('RFM input'!$G$60,4),"enter input",IF(LEFT(D$6,4)&gt;LEFT('RFM input'!$Q$60,4),0,INDEX('RFM input'!$G$61:$Q$110,$A716,MATCH(D$6,'RFM input'!$G$60:$Q$60,0))
-INDEX('RFM input'!$G$115:$Q$164,$A716,MATCH(D$6,'RFM input'!$G$60:$Q$60,0))
-INDEX('RFM input'!$G$169:$Q$218,$A716,MATCH(D$6,'RFM input'!$G$60:$Q$60,0))))</f>
        <v>0</v>
      </c>
      <c r="E716" s="1417">
        <f>IF(LEFT(E$6,4)&lt;LEFT('RFM input'!$G$60,4),"enter input",IF(LEFT(E$6,4)&gt;LEFT('RFM input'!$Q$60,4),0,INDEX('RFM input'!$G$61:$Q$110,$A716,MATCH(E$6,'RFM input'!$G$60:$Q$60,0))
-INDEX('RFM input'!$G$115:$Q$164,$A716,MATCH(E$6,'RFM input'!$G$60:$Q$60,0))
-INDEX('RFM input'!$G$169:$Q$218,$A716,MATCH(E$6,'RFM input'!$G$60:$Q$60,0))))</f>
        <v>0</v>
      </c>
      <c r="F716" s="1417">
        <f>IF(LEFT(F$6,4)&lt;LEFT('RFM input'!$G$60,4),"enter input",IF(LEFT(F$6,4)&gt;LEFT('RFM input'!$Q$60,4),0,INDEX('RFM input'!$G$61:$Q$110,$A716,MATCH(F$6,'RFM input'!$G$60:$Q$60,0))
-INDEX('RFM input'!$G$115:$Q$164,$A716,MATCH(F$6,'RFM input'!$G$60:$Q$60,0))
-INDEX('RFM input'!$G$169:$Q$218,$A716,MATCH(F$6,'RFM input'!$G$60:$Q$60,0))))</f>
        <v>0</v>
      </c>
      <c r="G716" s="1417">
        <f>IF(LEFT(G$6,4)&lt;LEFT('RFM input'!$G$60,4),"enter input",IF(LEFT(G$6,4)&gt;LEFT('RFM input'!$Q$60,4),0,INDEX('RFM input'!$G$61:$Q$110,$A716,MATCH(G$6,'RFM input'!$G$60:$Q$60,0))
-INDEX('RFM input'!$G$115:$Q$164,$A716,MATCH(G$6,'RFM input'!$G$60:$Q$60,0))
-INDEX('RFM input'!$G$169:$Q$218,$A716,MATCH(G$6,'RFM input'!$G$60:$Q$60,0))))</f>
        <v>0</v>
      </c>
      <c r="H716" s="1417">
        <f>IF(LEFT(H$6,4)&lt;LEFT('RFM input'!$G$60,4),"enter input",IF(LEFT(H$6,4)&gt;LEFT('RFM input'!$Q$60,4),0,INDEX('RFM input'!$G$61:$Q$110,$A716,MATCH(H$6,'RFM input'!$G$60:$Q$60,0))
-INDEX('RFM input'!$G$115:$Q$164,$A716,MATCH(H$6,'RFM input'!$G$60:$Q$60,0))
-INDEX('RFM input'!$G$169:$Q$218,$A716,MATCH(H$6,'RFM input'!$G$60:$Q$60,0))))</f>
        <v>0</v>
      </c>
      <c r="I716" s="1417">
        <f>IF(LEFT(I$6,4)&lt;LEFT('RFM input'!$G$60,4),"enter input",IF(LEFT(I$6,4)&gt;LEFT('RFM input'!$Q$60,4),0,INDEX('RFM input'!$G$61:$Q$110,$A716,MATCH(I$6,'RFM input'!$G$60:$Q$60,0))
-INDEX('RFM input'!$G$115:$Q$164,$A716,MATCH(I$6,'RFM input'!$G$60:$Q$60,0))
-INDEX('RFM input'!$G$169:$Q$218,$A716,MATCH(I$6,'RFM input'!$G$60:$Q$60,0))))</f>
        <v>0</v>
      </c>
      <c r="J716" s="1417">
        <f>IF(LEFT(J$6,4)&lt;LEFT('RFM input'!$G$60,4),"enter input",IF(LEFT(J$6,4)&gt;LEFT('RFM input'!$Q$60,4),0,INDEX('RFM input'!$G$61:$Q$110,$A716,MATCH(J$6,'RFM input'!$G$60:$Q$60,0))
-INDEX('RFM input'!$G$115:$Q$164,$A716,MATCH(J$6,'RFM input'!$G$60:$Q$60,0))
-INDEX('RFM input'!$G$169:$Q$218,$A716,MATCH(J$6,'RFM input'!$G$60:$Q$60,0))))</f>
        <v>0</v>
      </c>
      <c r="K716" s="1417">
        <f>IF(LEFT(K$6,4)&lt;LEFT('RFM input'!$G$60,4),"enter input",IF(LEFT(K$6,4)&gt;LEFT('RFM input'!$Q$60,4),0,INDEX('RFM input'!$G$61:$Q$110,$A716,MATCH(K$6,'RFM input'!$G$60:$Q$60,0))
-INDEX('RFM input'!$G$115:$Q$164,$A716,MATCH(K$6,'RFM input'!$G$60:$Q$60,0))
-INDEX('RFM input'!$G$169:$Q$218,$A716,MATCH(K$6,'RFM input'!$G$60:$Q$60,0))))</f>
        <v>0</v>
      </c>
      <c r="L716" s="1417">
        <f>IF(LEFT(L$6,4)&lt;LEFT('RFM input'!$G$60,4),"enter input",IF(LEFT(L$6,4)&gt;LEFT('RFM input'!$Q$60,4),0,INDEX('RFM input'!$G$61:$Q$110,$A716,MATCH(L$6,'RFM input'!$G$60:$Q$60,0))
-INDEX('RFM input'!$G$115:$Q$164,$A716,MATCH(L$6,'RFM input'!$G$60:$Q$60,0))
-INDEX('RFM input'!$G$169:$Q$218,$A716,MATCH(L$6,'RFM input'!$G$60:$Q$60,0))))</f>
        <v>0</v>
      </c>
      <c r="M716" s="1417">
        <f>IF(LEFT(M$6,4)&lt;LEFT('RFM input'!$G$60,4),"enter input",IF(LEFT(M$6,4)&gt;LEFT('RFM input'!$Q$60,4),0,INDEX('RFM input'!$G$61:$Q$110,$A716,MATCH(M$6,'RFM input'!$G$60:$Q$60,0))
-INDEX('RFM input'!$G$115:$Q$164,$A716,MATCH(M$6,'RFM input'!$G$60:$Q$60,0))
-INDEX('RFM input'!$G$169:$Q$218,$A716,MATCH(M$6,'RFM input'!$G$60:$Q$60,0))))</f>
        <v>0</v>
      </c>
      <c r="N716" s="1417">
        <f>IF(LEFT(N$6,4)&lt;LEFT('RFM input'!$G$60,4),"enter input",IF(LEFT(N$6,4)&gt;LEFT('RFM input'!$Q$60,4),0,INDEX('RFM input'!$G$61:$Q$110,$A716,MATCH(N$6,'RFM input'!$G$60:$Q$60,0))
-INDEX('RFM input'!$G$115:$Q$164,$A716,MATCH(N$6,'RFM input'!$G$60:$Q$60,0))
-INDEX('RFM input'!$G$169:$Q$218,$A716,MATCH(N$6,'RFM input'!$G$60:$Q$60,0))))</f>
        <v>0</v>
      </c>
      <c r="O716" s="1417">
        <f>IF(LEFT(O$6,4)&lt;LEFT('RFM input'!$G$60,4),"enter input",IF(LEFT(O$6,4)&gt;LEFT('RFM input'!$Q$60,4),0,INDEX('RFM input'!$G$61:$Q$110,$A716,MATCH(O$6,'RFM input'!$G$60:$Q$60,0))
-INDEX('RFM input'!$G$115:$Q$164,$A716,MATCH(O$6,'RFM input'!$G$60:$Q$60,0))
-INDEX('RFM input'!$G$169:$Q$218,$A716,MATCH(O$6,'RFM input'!$G$60:$Q$60,0))))</f>
        <v>0</v>
      </c>
      <c r="P716" s="1417">
        <f>IF(LEFT(P$6,4)&lt;LEFT('RFM input'!$G$60,4),"enter input",IF(LEFT(P$6,4)&gt;LEFT('RFM input'!$Q$60,4),0,INDEX('RFM input'!$G$61:$Q$110,$A716,MATCH(P$6,'RFM input'!$G$60:$Q$60,0))
-INDEX('RFM input'!$G$115:$Q$164,$A716,MATCH(P$6,'RFM input'!$G$60:$Q$60,0))
-INDEX('RFM input'!$G$169:$Q$218,$A716,MATCH(P$6,'RFM input'!$G$60:$Q$60,0))))</f>
        <v>0</v>
      </c>
      <c r="Q716" s="1417">
        <f>IF(LEFT(Q$6,4)&lt;LEFT('RFM input'!$G$60,4),"enter input",IF(LEFT(Q$6,4)&gt;LEFT('RFM input'!$Q$60,4),0,INDEX('RFM input'!$G$61:$Q$110,$A716,MATCH(Q$6,'RFM input'!$G$60:$Q$60,0))
-INDEX('RFM input'!$G$115:$Q$164,$A716,MATCH(Q$6,'RFM input'!$G$60:$Q$60,0))
-INDEX('RFM input'!$G$169:$Q$218,$A716,MATCH(Q$6,'RFM input'!$G$60:$Q$60,0))))</f>
        <v>0</v>
      </c>
      <c r="R716" s="1417">
        <f>IF(LEFT(R$6,4)&lt;LEFT('RFM input'!$G$60,4),"enter input",IF(LEFT(R$6,4)&gt;LEFT('RFM input'!$Q$60,4),0,INDEX('RFM input'!$G$61:$Q$110,$A716,MATCH(R$6,'RFM input'!$G$60:$Q$60,0))
-INDEX('RFM input'!$G$115:$Q$164,$A716,MATCH(R$6,'RFM input'!$G$60:$Q$60,0))
-INDEX('RFM input'!$G$169:$Q$218,$A716,MATCH(R$6,'RFM input'!$G$60:$Q$60,0))))</f>
        <v>0</v>
      </c>
      <c r="S716" s="1417">
        <f>IF(LEFT(S$6,4)&lt;LEFT('RFM input'!$G$60,4),"enter input",IF(LEFT(S$6,4)&gt;LEFT('RFM input'!$Q$60,4),0,INDEX('RFM input'!$G$61:$Q$110,$A716,MATCH(S$6,'RFM input'!$G$60:$Q$60,0))
-INDEX('RFM input'!$G$115:$Q$164,$A716,MATCH(S$6,'RFM input'!$G$60:$Q$60,0))
-INDEX('RFM input'!$G$169:$Q$218,$A716,MATCH(S$6,'RFM input'!$G$60:$Q$60,0))))</f>
        <v>0</v>
      </c>
      <c r="T716" s="1417">
        <f>IF(LEFT(T$6,4)&lt;LEFT('RFM input'!$G$60,4),"enter input",IF(LEFT(T$6,4)&gt;LEFT('RFM input'!$Q$60,4),0,INDEX('RFM input'!$G$61:$Q$110,$A716,MATCH(T$6,'RFM input'!$G$60:$Q$60,0))
-INDEX('RFM input'!$G$115:$Q$164,$A716,MATCH(T$6,'RFM input'!$G$60:$Q$60,0))
-INDEX('RFM input'!$G$169:$Q$218,$A716,MATCH(T$6,'RFM input'!$G$60:$Q$60,0))))</f>
        <v>0</v>
      </c>
      <c r="U716" s="1417">
        <f>IF(LEFT(U$6,4)&lt;LEFT('RFM input'!$G$60,4),"enter input",IF(LEFT(U$6,4)&gt;LEFT('RFM input'!$Q$60,4),0,INDEX('RFM input'!$G$61:$Q$110,$A716,MATCH(U$6,'RFM input'!$G$60:$Q$60,0))
-INDEX('RFM input'!$G$115:$Q$164,$A716,MATCH(U$6,'RFM input'!$G$60:$Q$60,0))
-INDEX('RFM input'!$G$169:$Q$218,$A716,MATCH(U$6,'RFM input'!$G$60:$Q$60,0))))</f>
        <v>0</v>
      </c>
      <c r="V716" s="1417">
        <f>IF(LEFT(V$6,4)&lt;LEFT('RFM input'!$G$60,4),"enter input",IF(LEFT(V$6,4)&gt;LEFT('RFM input'!$Q$60,4),0,INDEX('RFM input'!$G$61:$Q$110,$A716,MATCH(V$6,'RFM input'!$G$60:$Q$60,0))
-INDEX('RFM input'!$G$115:$Q$164,$A716,MATCH(V$6,'RFM input'!$G$60:$Q$60,0))
-INDEX('RFM input'!$G$169:$Q$218,$A716,MATCH(V$6,'RFM input'!$G$60:$Q$60,0))))</f>
        <v>0</v>
      </c>
      <c r="W716" s="1417">
        <f>IF(LEFT(W$6,4)&lt;LEFT('RFM input'!$G$60,4),"enter input",IF(LEFT(W$6,4)&gt;LEFT('RFM input'!$Q$60,4),0,INDEX('RFM input'!$G$61:$Q$110,$A716,MATCH(W$6,'RFM input'!$G$60:$Q$60,0))
-INDEX('RFM input'!$G$115:$Q$164,$A716,MATCH(W$6,'RFM input'!$G$60:$Q$60,0))
-INDEX('RFM input'!$G$169:$Q$218,$A716,MATCH(W$6,'RFM input'!$G$60:$Q$60,0))))</f>
        <v>0</v>
      </c>
      <c r="X716" s="152"/>
      <c r="Y716" s="152"/>
      <c r="Z716" s="152"/>
      <c r="AA716" s="152"/>
      <c r="AB716" s="152"/>
    </row>
    <row r="717" spans="1:28">
      <c r="A717" s="152"/>
      <c r="B717" s="152" t="s">
        <v>204</v>
      </c>
      <c r="C717" s="1418">
        <f ca="1">IF($C$8='Capital Base roll forward'!$H$4,OFFSET('RFM input'!$J$6,'RAB remaining lives'!A716,0),"enter input")</f>
        <v>0</v>
      </c>
      <c r="D717" s="1417">
        <f>IF(LEFT(D$6,4)&lt;=LEFT('RFM input'!$G$60,4),"enter input",IF(LEFT(D$6,4)&gt;LEFT('RFM input'!$Q$60,4),0,IF(MATCH(D$6,'RFM input'!$H$60:$Q$60,0),INDEX('RFM input'!$K$7:$K$56,$A716,1))))</f>
        <v>0</v>
      </c>
      <c r="E717" s="1417">
        <f>IF(LEFT(E$6,4)&lt;=LEFT('RFM input'!$G$60,4),"enter input",IF(LEFT(E$6,4)&gt;LEFT('RFM input'!$Q$60,4),0,IF(MATCH(E$6,'RFM input'!$H$60:$Q$60,0),INDEX('RFM input'!$K$7:$K$56,$A716,1))))</f>
        <v>0</v>
      </c>
      <c r="F717" s="1417">
        <f>IF(LEFT(F$6,4)&lt;=LEFT('RFM input'!$G$60,4),"enter input",IF(LEFT(F$6,4)&gt;LEFT('RFM input'!$Q$60,4),0,IF(MATCH(F$6,'RFM input'!$H$60:$Q$60,0),INDEX('RFM input'!$K$7:$K$56,$A716,1))))</f>
        <v>0</v>
      </c>
      <c r="G717" s="1417">
        <f>IF(LEFT(G$6,4)&lt;=LEFT('RFM input'!$G$60,4),"enter input",IF(LEFT(G$6,4)&gt;LEFT('RFM input'!$Q$60,4),0,IF(MATCH(G$6,'RFM input'!$H$60:$Q$60,0),INDEX('RFM input'!$K$7:$K$56,$A716,1))))</f>
        <v>0</v>
      </c>
      <c r="H717" s="1417">
        <f>IF(LEFT(H$6,4)&lt;=LEFT('RFM input'!$G$60,4),"enter input",IF(LEFT(H$6,4)&gt;LEFT('RFM input'!$Q$60,4),0,IF(MATCH(H$6,'RFM input'!$H$60:$Q$60,0),INDEX('RFM input'!$K$7:$K$56,$A716,1))))</f>
        <v>0</v>
      </c>
      <c r="I717" s="1417">
        <f>IF(LEFT(I$6,4)&lt;=LEFT('RFM input'!$G$60,4),"enter input",IF(LEFT(I$6,4)&gt;LEFT('RFM input'!$Q$60,4),0,IF(MATCH(I$6,'RFM input'!$H$60:$Q$60,0),INDEX('RFM input'!$K$7:$K$56,$A716,1))))</f>
        <v>0</v>
      </c>
      <c r="J717" s="1417">
        <f>IF(LEFT(J$6,4)&lt;=LEFT('RFM input'!$G$60,4),"enter input",IF(LEFT(J$6,4)&gt;LEFT('RFM input'!$Q$60,4),0,IF(MATCH(J$6,'RFM input'!$H$60:$Q$60,0),INDEX('RFM input'!$K$7:$K$56,$A716,1))))</f>
        <v>0</v>
      </c>
      <c r="K717" s="1417">
        <f>IF(LEFT(K$6,4)&lt;=LEFT('RFM input'!$G$60,4),"enter input",IF(LEFT(K$6,4)&gt;LEFT('RFM input'!$Q$60,4),0,IF(MATCH(K$6,'RFM input'!$H$60:$Q$60,0),INDEX('RFM input'!$K$7:$K$56,$A716,1))))</f>
        <v>0</v>
      </c>
      <c r="L717" s="1417">
        <f>IF(LEFT(L$6,4)&lt;=LEFT('RFM input'!$G$60,4),"enter input",IF(LEFT(L$6,4)&gt;LEFT('RFM input'!$Q$60,4),0,IF(MATCH(L$6,'RFM input'!$H$60:$Q$60,0),INDEX('RFM input'!$K$7:$K$56,$A716,1))))</f>
        <v>0</v>
      </c>
      <c r="M717" s="1417">
        <f>IF(LEFT(M$6,4)&lt;=LEFT('RFM input'!$G$60,4),"enter input",IF(LEFT(M$6,4)&gt;LEFT('RFM input'!$Q$60,4),0,IF(MATCH(M$6,'RFM input'!$H$60:$Q$60,0),INDEX('RFM input'!$K$7:$K$56,$A716,1))))</f>
        <v>0</v>
      </c>
      <c r="N717" s="1417">
        <f>IF(LEFT(N$6,4)&lt;=LEFT('RFM input'!$G$60,4),"enter input",IF(LEFT(N$6,4)&gt;LEFT('RFM input'!$Q$60,4),0,IF(MATCH(N$6,'RFM input'!$H$60:$Q$60,0),INDEX('RFM input'!$K$7:$K$56,$A716,1))))</f>
        <v>0</v>
      </c>
      <c r="O717" s="1417">
        <f>IF(LEFT(O$6,4)&lt;=LEFT('RFM input'!$G$60,4),"enter input",IF(LEFT(O$6,4)&gt;LEFT('RFM input'!$Q$60,4),0,IF(MATCH(O$6,'RFM input'!$H$60:$Q$60,0),INDEX('RFM input'!$K$7:$K$56,$A716,1))))</f>
        <v>0</v>
      </c>
      <c r="P717" s="1417">
        <f>IF(LEFT(P$6,4)&lt;=LEFT('RFM input'!$G$60,4),"enter input",IF(LEFT(P$6,4)&gt;LEFT('RFM input'!$Q$60,4),0,IF(MATCH(P$6,'RFM input'!$H$60:$Q$60,0),INDEX('RFM input'!$K$7:$K$56,$A716,1))))</f>
        <v>0</v>
      </c>
      <c r="Q717" s="1417">
        <f>IF(LEFT(Q$6,4)&lt;=LEFT('RFM input'!$G$60,4),"enter input",IF(LEFT(Q$6,4)&gt;LEFT('RFM input'!$Q$60,4),0,IF(MATCH(Q$6,'RFM input'!$H$60:$Q$60,0),INDEX('RFM input'!$K$7:$K$56,$A716,1))))</f>
        <v>0</v>
      </c>
      <c r="R717" s="1417">
        <f>IF(LEFT(R$6,4)&lt;=LEFT('RFM input'!$G$60,4),"enter input",IF(LEFT(R$6,4)&gt;LEFT('RFM input'!$Q$60,4),0,IF(MATCH(R$6,'RFM input'!$H$60:$Q$60,0),INDEX('RFM input'!$K$7:$K$56,$A716,1))))</f>
        <v>0</v>
      </c>
      <c r="S717" s="1417">
        <f>IF(LEFT(S$6,4)&lt;=LEFT('RFM input'!$G$60,4),"enter input",IF(LEFT(S$6,4)&gt;LEFT('RFM input'!$Q$60,4),0,IF(MATCH(S$6,'RFM input'!$H$60:$Q$60,0),INDEX('RFM input'!$K$7:$K$56,$A716,1))))</f>
        <v>0</v>
      </c>
      <c r="T717" s="1417">
        <f>IF(LEFT(T$6,4)&lt;=LEFT('RFM input'!$G$60,4),"enter input",IF(LEFT(T$6,4)&gt;LEFT('RFM input'!$Q$60,4),0,IF(MATCH(T$6,'RFM input'!$H$60:$Q$60,0),INDEX('RFM input'!$K$7:$K$56,$A716,1))))</f>
        <v>0</v>
      </c>
      <c r="U717" s="1417">
        <f>IF(LEFT(U$6,4)&lt;=LEFT('RFM input'!$G$60,4),"enter input",IF(LEFT(U$6,4)&gt;LEFT('RFM input'!$Q$60,4),0,IF(MATCH(U$6,'RFM input'!$H$60:$Q$60,0),INDEX('RFM input'!$K$7:$K$56,$A716,1))))</f>
        <v>0</v>
      </c>
      <c r="V717" s="1417">
        <f>IF(LEFT(V$6,4)&lt;=LEFT('RFM input'!$G$60,4),"enter input",IF(LEFT(V$6,4)&gt;LEFT('RFM input'!$Q$60,4),0,IF(MATCH(V$6,'RFM input'!$H$60:$Q$60,0),INDEX('RFM input'!$K$7:$K$56,$A716,1))))</f>
        <v>0</v>
      </c>
      <c r="W717" s="1417">
        <f>IF(LEFT(W$6,4)&lt;=LEFT('RFM input'!$G$60,4),"enter input",IF(LEFT(W$6,4)&gt;LEFT('RFM input'!$Q$60,4),0,IF(MATCH(W$6,'RFM input'!$H$60:$Q$60,0),INDEX('RFM input'!$K$7:$K$56,$A716,1))))</f>
        <v>0</v>
      </c>
      <c r="X717" s="152"/>
      <c r="Y717" s="152"/>
      <c r="Z717" s="152"/>
      <c r="AA717" s="152"/>
      <c r="AB717" s="152"/>
    </row>
    <row r="718" spans="1:28">
      <c r="A718" s="152"/>
      <c r="B718" s="177" t="s">
        <v>191</v>
      </c>
      <c r="C718" s="1419"/>
      <c r="D718" s="1420">
        <f ca="1">IF(LEFT(D$6,4)&lt;=LEFT('RFM input'!$G$60,4),"enter input",IF(LEFT(D$6,4)&gt;LEFT('RFM input'!$Q$60,4),0,IF(D$6=(OFFSET('RFM input'!$G$60,0,'RFM input'!$V$7)),OFFSET('RFM input'!$G$411,$A716,0),0)))</f>
        <v>0</v>
      </c>
      <c r="E718" s="1417">
        <f ca="1">IF(LEFT(E$6,4)&lt;=LEFT('RFM input'!$G$60,4),"enter input",IF(LEFT(E$6,4)&gt;LEFT('RFM input'!$Q$60,4),0,IF(E$6=(OFFSET('RFM input'!$G$60,0,'RFM input'!$V$7)),OFFSET('RFM input'!$G$411,$A716,0),0)))</f>
        <v>0</v>
      </c>
      <c r="F718" s="1417">
        <f ca="1">IF(LEFT(F$6,4)&lt;=LEFT('RFM input'!$G$60,4),"enter input",IF(LEFT(F$6,4)&gt;LEFT('RFM input'!$Q$60,4),0,IF(F$6=(OFFSET('RFM input'!$G$60,0,'RFM input'!$V$7)),OFFSET('RFM input'!$G$411,$A716,0),0)))</f>
        <v>0</v>
      </c>
      <c r="G718" s="1417">
        <f ca="1">IF(LEFT(G$6,4)&lt;=LEFT('RFM input'!$G$60,4),"enter input",IF(LEFT(G$6,4)&gt;LEFT('RFM input'!$Q$60,4),0,IF(G$6=(OFFSET('RFM input'!$G$60,0,'RFM input'!$V$7)),OFFSET('RFM input'!$G$411,$A716,0),0)))</f>
        <v>0</v>
      </c>
      <c r="H718" s="1417">
        <f ca="1">IF(LEFT(H$6,4)&lt;=LEFT('RFM input'!$G$60,4),"enter input",IF(LEFT(H$6,4)&gt;LEFT('RFM input'!$Q$60,4),0,IF(H$6=(OFFSET('RFM input'!$G$60,0,'RFM input'!$V$7)),OFFSET('RFM input'!$G$411,$A716,0),0)))</f>
        <v>0</v>
      </c>
      <c r="I718" s="1417">
        <f ca="1">IF(LEFT(I$6,4)&lt;=LEFT('RFM input'!$G$60,4),"enter input",IF(LEFT(I$6,4)&gt;LEFT('RFM input'!$Q$60,4),0,IF(I$6=(OFFSET('RFM input'!$G$60,0,'RFM input'!$V$7)),OFFSET('RFM input'!$G$411,$A716,0),0)))</f>
        <v>0</v>
      </c>
      <c r="J718" s="1417">
        <f ca="1">IF(LEFT(J$6,4)&lt;=LEFT('RFM input'!$G$60,4),"enter input",IF(LEFT(J$6,4)&gt;LEFT('RFM input'!$Q$60,4),0,IF(J$6=(OFFSET('RFM input'!$G$60,0,'RFM input'!$V$7)),OFFSET('RFM input'!$G$411,$A716,0),0)))</f>
        <v>0</v>
      </c>
      <c r="K718" s="1417">
        <f ca="1">IF(LEFT(K$6,4)&lt;=LEFT('RFM input'!$G$60,4),"enter input",IF(LEFT(K$6,4)&gt;LEFT('RFM input'!$Q$60,4),0,IF(K$6=(OFFSET('RFM input'!$G$60,0,'RFM input'!$V$7)),OFFSET('RFM input'!$G$411,$A716,0),0)))</f>
        <v>0</v>
      </c>
      <c r="L718" s="1417">
        <f ca="1">IF(LEFT(L$6,4)&lt;=LEFT('RFM input'!$G$60,4),"enter input",IF(LEFT(L$6,4)&gt;LEFT('RFM input'!$Q$60,4),0,IF(L$6=(OFFSET('RFM input'!$G$60,0,'RFM input'!$V$7)),OFFSET('RFM input'!$G$411,$A716,0),0)))</f>
        <v>0</v>
      </c>
      <c r="M718" s="1417">
        <f ca="1">IF(LEFT(M$6,4)&lt;=LEFT('RFM input'!$G$60,4),"enter input",IF(LEFT(M$6,4)&gt;LEFT('RFM input'!$Q$60,4),0,IF(M$6=(OFFSET('RFM input'!$G$60,0,'RFM input'!$V$7)),OFFSET('RFM input'!$G$411,$A716,0),0)))</f>
        <v>0</v>
      </c>
      <c r="N718" s="1417">
        <f ca="1">IF(LEFT(N$6,4)&lt;=LEFT('RFM input'!$G$60,4),"enter input",IF(LEFT(N$6,4)&gt;LEFT('RFM input'!$Q$60,4),0,IF(N$6=(OFFSET('RFM input'!$G$60,0,'RFM input'!$V$7)),OFFSET('RFM input'!$G$411,$A716,0),0)))</f>
        <v>0</v>
      </c>
      <c r="O718" s="1417">
        <f ca="1">IF(LEFT(O$6,4)&lt;=LEFT('RFM input'!$G$60,4),"enter input",IF(LEFT(O$6,4)&gt;LEFT('RFM input'!$Q$60,4),0,IF(O$6=(OFFSET('RFM input'!$G$60,0,'RFM input'!$V$7)),OFFSET('RFM input'!$G$411,$A716,0),0)))</f>
        <v>0</v>
      </c>
      <c r="P718" s="1417">
        <f ca="1">IF(LEFT(P$6,4)&lt;=LEFT('RFM input'!$G$60,4),"enter input",IF(LEFT(P$6,4)&gt;LEFT('RFM input'!$Q$60,4),0,IF(P$6=(OFFSET('RFM input'!$G$60,0,'RFM input'!$V$7)),OFFSET('RFM input'!$G$411,$A716,0),0)))</f>
        <v>0</v>
      </c>
      <c r="Q718" s="1417">
        <f ca="1">IF(LEFT(Q$6,4)&lt;=LEFT('RFM input'!$G$60,4),"enter input",IF(LEFT(Q$6,4)&gt;LEFT('RFM input'!$Q$60,4),0,IF(Q$6=(OFFSET('RFM input'!$G$60,0,'RFM input'!$V$7)),OFFSET('RFM input'!$G$411,$A716,0),0)))</f>
        <v>0</v>
      </c>
      <c r="R718" s="1417">
        <f ca="1">IF(LEFT(R$6,4)&lt;=LEFT('RFM input'!$G$60,4),"enter input",IF(LEFT(R$6,4)&gt;LEFT('RFM input'!$Q$60,4),0,IF(R$6=(OFFSET('RFM input'!$G$60,0,'RFM input'!$V$7)),OFFSET('RFM input'!$G$411,$A716,0),0)))</f>
        <v>0</v>
      </c>
      <c r="S718" s="1417">
        <f ca="1">IF(LEFT(S$6,4)&lt;=LEFT('RFM input'!$G$60,4),"enter input",IF(LEFT(S$6,4)&gt;LEFT('RFM input'!$Q$60,4),0,IF(S$6=(OFFSET('RFM input'!$G$60,0,'RFM input'!$V$7)),OFFSET('RFM input'!$G$411,$A716,0),0)))</f>
        <v>0</v>
      </c>
      <c r="T718" s="1417">
        <f ca="1">IF(LEFT(T$6,4)&lt;=LEFT('RFM input'!$G$60,4),"enter input",IF(LEFT(T$6,4)&gt;LEFT('RFM input'!$Q$60,4),0,IF(T$6=(OFFSET('RFM input'!$G$60,0,'RFM input'!$V$7)),OFFSET('RFM input'!$G$411,$A716,0),0)))</f>
        <v>0</v>
      </c>
      <c r="U718" s="1417">
        <f ca="1">IF(LEFT(U$6,4)&lt;=LEFT('RFM input'!$G$60,4),"enter input",IF(LEFT(U$6,4)&gt;LEFT('RFM input'!$Q$60,4),0,IF(U$6=(OFFSET('RFM input'!$G$60,0,'RFM input'!$V$7)),OFFSET('RFM input'!$G$411,$A716,0),0)))</f>
        <v>0</v>
      </c>
      <c r="V718" s="1417">
        <f ca="1">IF(LEFT(V$6,4)&lt;=LEFT('RFM input'!$G$60,4),"enter input",IF(LEFT(V$6,4)&gt;LEFT('RFM input'!$Q$60,4),0,IF(V$6=(OFFSET('RFM input'!$G$60,0,'RFM input'!$V$7)),OFFSET('RFM input'!$G$411,$A716,0),0)))</f>
        <v>0</v>
      </c>
      <c r="W718" s="1417">
        <f ca="1">IF(LEFT(W$6,4)&lt;=LEFT('RFM input'!$G$60,4),"enter input",IF(LEFT(W$6,4)&gt;LEFT('RFM input'!$Q$60,4),0,IF(W$6=(OFFSET('RFM input'!$G$60,0,'RFM input'!$V$7)),OFFSET('RFM input'!$G$411,$A716,0),0)))</f>
        <v>0</v>
      </c>
      <c r="X718" s="152"/>
      <c r="Y718" s="152"/>
      <c r="Z718" s="152"/>
      <c r="AA718" s="152"/>
      <c r="AB718" s="152"/>
    </row>
    <row r="719" spans="1:28">
      <c r="A719" s="152"/>
      <c r="B719" s="195" t="s">
        <v>197</v>
      </c>
      <c r="C719" s="1419"/>
      <c r="D719" s="1418">
        <f ca="1">IF(LEFT(D$6,4)&lt;=LEFT('RFM input'!$G$60,4),"enter input",IF(LEFT(D$6,4)&gt;LEFT('RFM input'!$Q$60,4),0,IF(D$6=(OFFSET('RFM input'!$G$60,0,'RFM input'!$V$7)),OFFSET('RFM input'!$I$411,$A716,0),0)))</f>
        <v>0</v>
      </c>
      <c r="E719" s="1422">
        <f ca="1">IF(LEFT(E$6,4)&lt;=LEFT('RFM input'!$G$60,4),"enter input",IF(LEFT(E$6,4)&gt;LEFT('RFM input'!$Q$60,4),0,IF(E$6=(OFFSET('RFM input'!$G$60,0,'RFM input'!$V$7)),OFFSET('RFM input'!$I$411,$A716,0),0)))</f>
        <v>0</v>
      </c>
      <c r="F719" s="1422">
        <f ca="1">IF(LEFT(F$6,4)&lt;=LEFT('RFM input'!$G$60,4),"enter input",IF(LEFT(F$6,4)&gt;LEFT('RFM input'!$Q$60,4),0,IF(F$6=(OFFSET('RFM input'!$G$60,0,'RFM input'!$V$7)),OFFSET('RFM input'!$I$411,$A716,0),0)))</f>
        <v>0</v>
      </c>
      <c r="G719" s="1422">
        <f ca="1">IF(LEFT(G$6,4)&lt;=LEFT('RFM input'!$G$60,4),"enter input",IF(LEFT(G$6,4)&gt;LEFT('RFM input'!$Q$60,4),0,IF(G$6=(OFFSET('RFM input'!$G$60,0,'RFM input'!$V$7)),OFFSET('RFM input'!$I$411,$A716,0),0)))</f>
        <v>0</v>
      </c>
      <c r="H719" s="1422">
        <f ca="1">IF(LEFT(H$6,4)&lt;=LEFT('RFM input'!$G$60,4),"enter input",IF(LEFT(H$6,4)&gt;LEFT('RFM input'!$Q$60,4),0,IF(H$6=(OFFSET('RFM input'!$G$60,0,'RFM input'!$V$7)),OFFSET('RFM input'!$I$411,$A716,0),0)))</f>
        <v>0</v>
      </c>
      <c r="I719" s="1422">
        <f ca="1">IF(LEFT(I$6,4)&lt;=LEFT('RFM input'!$G$60,4),"enter input",IF(LEFT(I$6,4)&gt;LEFT('RFM input'!$Q$60,4),0,IF(I$6=(OFFSET('RFM input'!$G$60,0,'RFM input'!$V$7)),OFFSET('RFM input'!$I$411,$A716,0),0)))</f>
        <v>0</v>
      </c>
      <c r="J719" s="1422">
        <f ca="1">IF(LEFT(J$6,4)&lt;=LEFT('RFM input'!$G$60,4),"enter input",IF(LEFT(J$6,4)&gt;LEFT('RFM input'!$Q$60,4),0,IF(J$6=(OFFSET('RFM input'!$G$60,0,'RFM input'!$V$7)),OFFSET('RFM input'!$I$411,$A716,0),0)))</f>
        <v>0</v>
      </c>
      <c r="K719" s="1422">
        <f ca="1">IF(LEFT(K$6,4)&lt;=LEFT('RFM input'!$G$60,4),"enter input",IF(LEFT(K$6,4)&gt;LEFT('RFM input'!$Q$60,4),0,IF(K$6=(OFFSET('RFM input'!$G$60,0,'RFM input'!$V$7)),OFFSET('RFM input'!$I$411,$A716,0),0)))</f>
        <v>0</v>
      </c>
      <c r="L719" s="1422">
        <f ca="1">IF(LEFT(L$6,4)&lt;=LEFT('RFM input'!$G$60,4),"enter input",IF(LEFT(L$6,4)&gt;LEFT('RFM input'!$Q$60,4),0,IF(L$6=(OFFSET('RFM input'!$G$60,0,'RFM input'!$V$7)),OFFSET('RFM input'!$I$411,$A716,0),0)))</f>
        <v>0</v>
      </c>
      <c r="M719" s="1422">
        <f ca="1">IF(LEFT(M$6,4)&lt;=LEFT('RFM input'!$G$60,4),"enter input",IF(LEFT(M$6,4)&gt;LEFT('RFM input'!$Q$60,4),0,IF(M$6=(OFFSET('RFM input'!$G$60,0,'RFM input'!$V$7)),OFFSET('RFM input'!$I$411,$A716,0),0)))</f>
        <v>0</v>
      </c>
      <c r="N719" s="1422">
        <f ca="1">IF(LEFT(N$6,4)&lt;=LEFT('RFM input'!$G$60,4),"enter input",IF(LEFT(N$6,4)&gt;LEFT('RFM input'!$Q$60,4),0,IF(N$6=(OFFSET('RFM input'!$G$60,0,'RFM input'!$V$7)),OFFSET('RFM input'!$I$411,$A716,0),0)))</f>
        <v>0</v>
      </c>
      <c r="O719" s="1422">
        <f ca="1">IF(LEFT(O$6,4)&lt;=LEFT('RFM input'!$G$60,4),"enter input",IF(LEFT(O$6,4)&gt;LEFT('RFM input'!$Q$60,4),0,IF(O$6=(OFFSET('RFM input'!$G$60,0,'RFM input'!$V$7)),OFFSET('RFM input'!$I$411,$A716,0),0)))</f>
        <v>0</v>
      </c>
      <c r="P719" s="1422">
        <f ca="1">IF(LEFT(P$6,4)&lt;=LEFT('RFM input'!$G$60,4),"enter input",IF(LEFT(P$6,4)&gt;LEFT('RFM input'!$Q$60,4),0,IF(P$6=(OFFSET('RFM input'!$G$60,0,'RFM input'!$V$7)),OFFSET('RFM input'!$I$411,$A716,0),0)))</f>
        <v>0</v>
      </c>
      <c r="Q719" s="1422">
        <f ca="1">IF(LEFT(Q$6,4)&lt;=LEFT('RFM input'!$G$60,4),"enter input",IF(LEFT(Q$6,4)&gt;LEFT('RFM input'!$Q$60,4),0,IF(Q$6=(OFFSET('RFM input'!$G$60,0,'RFM input'!$V$7)),OFFSET('RFM input'!$I$411,$A716,0),0)))</f>
        <v>0</v>
      </c>
      <c r="R719" s="1422">
        <f ca="1">IF(LEFT(R$6,4)&lt;=LEFT('RFM input'!$G$60,4),"enter input",IF(LEFT(R$6,4)&gt;LEFT('RFM input'!$Q$60,4),0,IF(R$6=(OFFSET('RFM input'!$G$60,0,'RFM input'!$V$7)),OFFSET('RFM input'!$I$411,$A716,0),0)))</f>
        <v>0</v>
      </c>
      <c r="S719" s="1422">
        <f ca="1">IF(LEFT(S$6,4)&lt;=LEFT('RFM input'!$G$60,4),"enter input",IF(LEFT(S$6,4)&gt;LEFT('RFM input'!$Q$60,4),0,IF(S$6=(OFFSET('RFM input'!$G$60,0,'RFM input'!$V$7)),OFFSET('RFM input'!$I$411,$A716,0),0)))</f>
        <v>0</v>
      </c>
      <c r="T719" s="1422">
        <f ca="1">IF(LEFT(T$6,4)&lt;=LEFT('RFM input'!$G$60,4),"enter input",IF(LEFT(T$6,4)&gt;LEFT('RFM input'!$Q$60,4),0,IF(T$6=(OFFSET('RFM input'!$G$60,0,'RFM input'!$V$7)),OFFSET('RFM input'!$I$411,$A716,0),0)))</f>
        <v>0</v>
      </c>
      <c r="U719" s="1422">
        <f ca="1">IF(LEFT(U$6,4)&lt;=LEFT('RFM input'!$G$60,4),"enter input",IF(LEFT(U$6,4)&gt;LEFT('RFM input'!$Q$60,4),0,IF(U$6=(OFFSET('RFM input'!$G$60,0,'RFM input'!$V$7)),OFFSET('RFM input'!$I$411,$A716,0),0)))</f>
        <v>0</v>
      </c>
      <c r="V719" s="1422">
        <f ca="1">IF(LEFT(V$6,4)&lt;=LEFT('RFM input'!$G$60,4),"enter input",IF(LEFT(V$6,4)&gt;LEFT('RFM input'!$Q$60,4),0,IF(V$6=(OFFSET('RFM input'!$G$60,0,'RFM input'!$V$7)),OFFSET('RFM input'!$I$411,$A716,0),0)))</f>
        <v>0</v>
      </c>
      <c r="W719" s="1422">
        <f ca="1">IF(LEFT(W$6,4)&lt;=LEFT('RFM input'!$G$60,4),"enter input",IF(LEFT(W$6,4)&gt;LEFT('RFM input'!$Q$60,4),0,IF(W$6=(OFFSET('RFM input'!$G$60,0,'RFM input'!$V$7)),OFFSET('RFM input'!$I$411,$A716,0),0)))</f>
        <v>0</v>
      </c>
      <c r="X719" s="152"/>
      <c r="Y719" s="152"/>
      <c r="Z719" s="152"/>
      <c r="AA719" s="152"/>
      <c r="AB719" s="152"/>
    </row>
    <row r="720" spans="1:28" hidden="1" outlineLevel="1">
      <c r="A720" s="235">
        <v>-1</v>
      </c>
      <c r="B720" s="190" t="s">
        <v>189</v>
      </c>
      <c r="C720" s="1423"/>
      <c r="D720" s="1423">
        <f ca="1">IF(AND(D718=0,C720=0),0,
IF(AND(D718&lt;&gt;0,C720=0),(D718/D$10),
IF(AND(D719&lt;&gt;0,C720&lt;&gt;0),(C720-(C720/C744))+(D718/D$10),
IF(C744&lt;1,0,(C720-(C720/C744))))))</f>
        <v>0</v>
      </c>
      <c r="E720" s="1423">
        <f t="shared" ref="E720" ca="1" si="1018">IF(AND(E718=0,D720=0),0,
IF(AND(E718&lt;&gt;0,D720=0),(E718/E$10),
IF(AND(E719&lt;&gt;0,D720&lt;&gt;0),(D720-(D720/D744))+(E718/E$10),
IF(D744&lt;1,0,(D720-(D720/D744))))))</f>
        <v>0</v>
      </c>
      <c r="F720" s="1423">
        <f t="shared" ref="F720" ca="1" si="1019">IF(AND(F718=0,E720=0),0,
IF(AND(F718&lt;&gt;0,E720=0),(F718/F$10),
IF(AND(F719&lt;&gt;0,E720&lt;&gt;0),(E720-(E720/E744))+(F718/F$10),
IF(E744&lt;1,0,(E720-(E720/E744))))))</f>
        <v>0</v>
      </c>
      <c r="G720" s="1423">
        <f t="shared" ref="G720" ca="1" si="1020">IF(AND(G718=0,F720=0),0,
IF(AND(G718&lt;&gt;0,F720=0),(G718/G$10),
IF(AND(G719&lt;&gt;0,F720&lt;&gt;0),(F720-(F720/F744))+(G718/G$10),
IF(F744&lt;1,0,(F720-(F720/F744))))))</f>
        <v>0</v>
      </c>
      <c r="H720" s="1423">
        <f t="shared" ref="H720" ca="1" si="1021">IF(AND(H718=0,G720=0),0,
IF(AND(H718&lt;&gt;0,G720=0),(H718/H$10),
IF(AND(H719&lt;&gt;0,G720&lt;&gt;0),(G720-(G720/G744))+(H718/H$10),
IF(G744&lt;1,0,(G720-(G720/G744))))))</f>
        <v>0</v>
      </c>
      <c r="I720" s="1423">
        <f t="shared" ref="I720" ca="1" si="1022">IF(AND(I718=0,H720=0),0,
IF(AND(I718&lt;&gt;0,H720=0),(I718/I$10),
IF(AND(I719&lt;&gt;0,H720&lt;&gt;0),(H720-(H720/H744))+(I718/I$10),
IF(H744&lt;1,0,(H720-(H720/H744))))))</f>
        <v>0</v>
      </c>
      <c r="J720" s="1423">
        <f t="shared" ref="J720" ca="1" si="1023">IF(AND(J718=0,I720=0),0,
IF(AND(J718&lt;&gt;0,I720=0),(J718/J$10),
IF(AND(J719&lt;&gt;0,I720&lt;&gt;0),(I720-(I720/I744))+(J718/J$10),
IF(I744&lt;1,0,(I720-(I720/I744))))))</f>
        <v>0</v>
      </c>
      <c r="K720" s="1423">
        <f t="shared" ref="K720" ca="1" si="1024">IF(AND(K718=0,J720=0),0,
IF(AND(K718&lt;&gt;0,J720=0),(K718/K$10),
IF(AND(K719&lt;&gt;0,J720&lt;&gt;0),(J720-(J720/J744))+(K718/K$10),
IF(J744&lt;1,0,(J720-(J720/J744))))))</f>
        <v>0</v>
      </c>
      <c r="L720" s="1423">
        <f t="shared" ref="L720" ca="1" si="1025">IF(AND(L718=0,K720=0),0,
IF(AND(L718&lt;&gt;0,K720=0),(L718/L$10),
IF(AND(L719&lt;&gt;0,K720&lt;&gt;0),(K720-(K720/K744))+(L718/L$10),
IF(K744&lt;1,0,(K720-(K720/K744))))))</f>
        <v>0</v>
      </c>
      <c r="M720" s="1423">
        <f t="shared" ref="M720" ca="1" si="1026">IF(AND(M718=0,L720=0),0,
IF(AND(M718&lt;&gt;0,L720=0),(M718/M$10),
IF(AND(M719&lt;&gt;0,L720&lt;&gt;0),(L720-(L720/L744))+(M718/M$10),
IF(L744&lt;1,0,(L720-(L720/L744))))))</f>
        <v>0</v>
      </c>
      <c r="N720" s="1423">
        <f t="shared" ref="N720" ca="1" si="1027">IF(AND(N718=0,M720=0),0,
IF(AND(N718&lt;&gt;0,M720=0),(N718/N$10),
IF(AND(N719&lt;&gt;0,M720&lt;&gt;0),(M720-(M720/M744))+(N718/N$10),
IF(M744&lt;1,0,(M720-(M720/M744))))))</f>
        <v>0</v>
      </c>
      <c r="O720" s="1423">
        <f t="shared" ref="O720" ca="1" si="1028">IF(AND(O718=0,N720=0),0,
IF(AND(O718&lt;&gt;0,N720=0),(O718/O$10),
IF(AND(O719&lt;&gt;0,N720&lt;&gt;0),(N720-(N720/N744))+(O718/O$10),
IF(N744&lt;1,0,(N720-(N720/N744))))))</f>
        <v>0</v>
      </c>
      <c r="P720" s="1423">
        <f t="shared" ref="P720" ca="1" si="1029">IF(AND(P718=0,O720=0),0,
IF(AND(P718&lt;&gt;0,O720=0),(P718/P$10),
IF(AND(P719&lt;&gt;0,O720&lt;&gt;0),(O720-(O720/O744))+(P718/P$10),
IF(O744&lt;1,0,(O720-(O720/O744))))))</f>
        <v>0</v>
      </c>
      <c r="Q720" s="1423">
        <f t="shared" ref="Q720" ca="1" si="1030">IF(AND(Q718=0,P720=0),0,
IF(AND(Q718&lt;&gt;0,P720=0),(Q718/Q$10),
IF(AND(Q719&lt;&gt;0,P720&lt;&gt;0),(P720-(P720/P744))+(Q718/Q$10),
IF(P744&lt;1,0,(P720-(P720/P744))))))</f>
        <v>0</v>
      </c>
      <c r="R720" s="1423">
        <f t="shared" ref="R720" ca="1" si="1031">IF(AND(R718=0,Q720=0),0,
IF(AND(R718&lt;&gt;0,Q720=0),(R718/R$10),
IF(AND(R719&lt;&gt;0,Q720&lt;&gt;0),(Q720-(Q720/Q744))+(R718/R$10),
IF(Q744&lt;1,0,(Q720-(Q720/Q744))))))</f>
        <v>0</v>
      </c>
      <c r="S720" s="1423">
        <f t="shared" ref="S720" ca="1" si="1032">IF(AND(S718=0,R720=0),0,
IF(AND(S718&lt;&gt;0,R720=0),(S718/S$10),
IF(AND(S719&lt;&gt;0,R720&lt;&gt;0),(R720-(R720/R744))+(S718/S$10),
IF(R744&lt;1,0,(R720-(R720/R744))))))</f>
        <v>0</v>
      </c>
      <c r="T720" s="1423">
        <f t="shared" ref="T720" ca="1" si="1033">IF(AND(T718=0,S720=0),0,
IF(AND(T718&lt;&gt;0,S720=0),(T718/T$10),
IF(AND(T719&lt;&gt;0,S720&lt;&gt;0),(S720-(S720/S744))+(T718/T$10),
IF(S744&lt;1,0,(S720-(S720/S744))))))</f>
        <v>0</v>
      </c>
      <c r="U720" s="1423">
        <f t="shared" ref="U720" ca="1" si="1034">IF(AND(U718=0,T720=0),0,
IF(AND(U718&lt;&gt;0,T720=0),(U718/U$10),
IF(AND(U719&lt;&gt;0,T720&lt;&gt;0),(T720-(T720/T744))+(U718/U$10),
IF(T744&lt;1,0,(T720-(T720/T744))))))</f>
        <v>0</v>
      </c>
      <c r="V720" s="1423">
        <f t="shared" ref="V720" ca="1" si="1035">IF(AND(V718=0,U720=0),0,
IF(AND(V718&lt;&gt;0,U720=0),(V718/V$10),
IF(AND(V719&lt;&gt;0,U720&lt;&gt;0),(U720-(U720/U744))+(V718/V$10),
IF(U744&lt;1,0,(U720-(U720/U744))))))</f>
        <v>0</v>
      </c>
      <c r="W720" s="1423">
        <f t="shared" ref="W720" ca="1" si="1036">IF(AND(W718=0,V720=0),0,
IF(AND(W718&lt;&gt;0,V720=0),(W718/W$10),
IF(AND(W719&lt;&gt;0,V720&lt;&gt;0),(V720-(V720/V744))+(W718/W$10),
IF(V744&lt;1,0,(V720-(V720/V744))))))</f>
        <v>0</v>
      </c>
      <c r="X720" s="152"/>
      <c r="Y720" s="152"/>
      <c r="Z720" s="152"/>
      <c r="AA720" s="152"/>
      <c r="AB720" s="152"/>
    </row>
    <row r="721" spans="1:28" hidden="1" outlineLevel="1">
      <c r="A721" s="199">
        <f>A720+1</f>
        <v>0</v>
      </c>
      <c r="B721" s="190" t="s">
        <v>125</v>
      </c>
      <c r="C721" s="1423">
        <f ca="1">C716/C$10</f>
        <v>0</v>
      </c>
      <c r="D721" s="1423">
        <f ca="1">IF(C745="n/a",C721,IFERROR(IF((OFFSET($C721,0,$A721))&lt;0,
MIN(0,C721-(OFFSET($C721,0,$A721)/(OFFSET($C716,-$A720,$A721)))),
MAX(0,C721-(OFFSET($C721,0,$A721)/(OFFSET($C716,-$A720,$A721))))),0))</f>
        <v>0</v>
      </c>
      <c r="E721" s="1423">
        <f t="shared" ref="E721" ca="1" si="1037">IF(D745="n/a",D721,IFERROR(IF((OFFSET($C721,0,$A721))&lt;0,
MIN(0,D721-(OFFSET($C721,0,$A721)/(OFFSET($C716,-$A720,$A721)))),
MAX(0,D721-(OFFSET($C721,0,$A721)/(OFFSET($C716,-$A720,$A721))))),0))</f>
        <v>0</v>
      </c>
      <c r="F721" s="1423">
        <f t="shared" ref="F721:F722" ca="1" si="1038">IF(E745="n/a",E721,IFERROR(IF((OFFSET($C721,0,$A721))&lt;0,
MIN(0,E721-(OFFSET($C721,0,$A721)/(OFFSET($C716,-$A720,$A721)))),
MAX(0,E721-(OFFSET($C721,0,$A721)/(OFFSET($C716,-$A720,$A721))))),0))</f>
        <v>0</v>
      </c>
      <c r="G721" s="1423">
        <f t="shared" ref="G721:G723" ca="1" si="1039">IF(F745="n/a",F721,IFERROR(IF((OFFSET($C721,0,$A721))&lt;0,
MIN(0,F721-(OFFSET($C721,0,$A721)/(OFFSET($C716,-$A720,$A721)))),
MAX(0,F721-(OFFSET($C721,0,$A721)/(OFFSET($C716,-$A720,$A721))))),0))</f>
        <v>0</v>
      </c>
      <c r="H721" s="1423">
        <f t="shared" ref="H721:H724" ca="1" si="1040">IF(G745="n/a",G721,IFERROR(IF((OFFSET($C721,0,$A721))&lt;0,
MIN(0,G721-(OFFSET($C721,0,$A721)/(OFFSET($C716,-$A720,$A721)))),
MAX(0,G721-(OFFSET($C721,0,$A721)/(OFFSET($C716,-$A720,$A721))))),0))</f>
        <v>0</v>
      </c>
      <c r="I721" s="1423">
        <f t="shared" ref="I721:I725" ca="1" si="1041">IF(H745="n/a",H721,IFERROR(IF((OFFSET($C721,0,$A721))&lt;0,
MIN(0,H721-(OFFSET($C721,0,$A721)/(OFFSET($C716,-$A720,$A721)))),
MAX(0,H721-(OFFSET($C721,0,$A721)/(OFFSET($C716,-$A720,$A721))))),0))</f>
        <v>0</v>
      </c>
      <c r="J721" s="1423">
        <f t="shared" ref="J721:J726" ca="1" si="1042">IF(I745="n/a",I721,IFERROR(IF((OFFSET($C721,0,$A721))&lt;0,
MIN(0,I721-(OFFSET($C721,0,$A721)/(OFFSET($C716,-$A720,$A721)))),
MAX(0,I721-(OFFSET($C721,0,$A721)/(OFFSET($C716,-$A720,$A721))))),0))</f>
        <v>0</v>
      </c>
      <c r="K721" s="1423">
        <f t="shared" ref="K721:K727" ca="1" si="1043">IF(J745="n/a",J721,IFERROR(IF((OFFSET($C721,0,$A721))&lt;0,
MIN(0,J721-(OFFSET($C721,0,$A721)/(OFFSET($C716,-$A720,$A721)))),
MAX(0,J721-(OFFSET($C721,0,$A721)/(OFFSET($C716,-$A720,$A721))))),0))</f>
        <v>0</v>
      </c>
      <c r="L721" s="1423">
        <f t="shared" ref="L721:L728" ca="1" si="1044">IF(K745="n/a",K721,IFERROR(IF((OFFSET($C721,0,$A721))&lt;0,
MIN(0,K721-(OFFSET($C721,0,$A721)/(OFFSET($C716,-$A720,$A721)))),
MAX(0,K721-(OFFSET($C721,0,$A721)/(OFFSET($C716,-$A720,$A721))))),0))</f>
        <v>0</v>
      </c>
      <c r="M721" s="1423">
        <f t="shared" ref="M721:M729" ca="1" si="1045">IF(L745="n/a",L721,IFERROR(IF((OFFSET($C721,0,$A721))&lt;0,
MIN(0,L721-(OFFSET($C721,0,$A721)/(OFFSET($C716,-$A720,$A721)))),
MAX(0,L721-(OFFSET($C721,0,$A721)/(OFFSET($C716,-$A720,$A721))))),0))</f>
        <v>0</v>
      </c>
      <c r="N721" s="1423">
        <f t="shared" ref="N721:N730" ca="1" si="1046">IF(M745="n/a",M721,IFERROR(IF((OFFSET($C721,0,$A721))&lt;0,
MIN(0,M721-(OFFSET($C721,0,$A721)/(OFFSET($C716,-$A720,$A721)))),
MAX(0,M721-(OFFSET($C721,0,$A721)/(OFFSET($C716,-$A720,$A721))))),0))</f>
        <v>0</v>
      </c>
      <c r="O721" s="1423">
        <f t="shared" ref="O721:O731" ca="1" si="1047">IF(N745="n/a",N721,IFERROR(IF((OFFSET($C721,0,$A721))&lt;0,
MIN(0,N721-(OFFSET($C721,0,$A721)/(OFFSET($C716,-$A720,$A721)))),
MAX(0,N721-(OFFSET($C721,0,$A721)/(OFFSET($C716,-$A720,$A721))))),0))</f>
        <v>0</v>
      </c>
      <c r="P721" s="1423">
        <f t="shared" ref="P721:P732" ca="1" si="1048">IF(O745="n/a",O721,IFERROR(IF((OFFSET($C721,0,$A721))&lt;0,
MIN(0,O721-(OFFSET($C721,0,$A721)/(OFFSET($C716,-$A720,$A721)))),
MAX(0,O721-(OFFSET($C721,0,$A721)/(OFFSET($C716,-$A720,$A721))))),0))</f>
        <v>0</v>
      </c>
      <c r="Q721" s="1423">
        <f t="shared" ref="Q721:Q733" ca="1" si="1049">IF(P745="n/a",P721,IFERROR(IF((OFFSET($C721,0,$A721))&lt;0,
MIN(0,P721-(OFFSET($C721,0,$A721)/(OFFSET($C716,-$A720,$A721)))),
MAX(0,P721-(OFFSET($C721,0,$A721)/(OFFSET($C716,-$A720,$A721))))),0))</f>
        <v>0</v>
      </c>
      <c r="R721" s="1423">
        <f t="shared" ref="R721:R734" ca="1" si="1050">IF(Q745="n/a",Q721,IFERROR(IF((OFFSET($C721,0,$A721))&lt;0,
MIN(0,Q721-(OFFSET($C721,0,$A721)/(OFFSET($C716,-$A720,$A721)))),
MAX(0,Q721-(OFFSET($C721,0,$A721)/(OFFSET($C716,-$A720,$A721))))),0))</f>
        <v>0</v>
      </c>
      <c r="S721" s="1423">
        <f t="shared" ref="S721:S735" ca="1" si="1051">IF(R745="n/a",R721,IFERROR(IF((OFFSET($C721,0,$A721))&lt;0,
MIN(0,R721-(OFFSET($C721,0,$A721)/(OFFSET($C716,-$A720,$A721)))),
MAX(0,R721-(OFFSET($C721,0,$A721)/(OFFSET($C716,-$A720,$A721))))),0))</f>
        <v>0</v>
      </c>
      <c r="T721" s="1423">
        <f t="shared" ref="T721:T736" ca="1" si="1052">IF(S745="n/a",S721,IFERROR(IF((OFFSET($C721,0,$A721))&lt;0,
MIN(0,S721-(OFFSET($C721,0,$A721)/(OFFSET($C716,-$A720,$A721)))),
MAX(0,S721-(OFFSET($C721,0,$A721)/(OFFSET($C716,-$A720,$A721))))),0))</f>
        <v>0</v>
      </c>
      <c r="U721" s="1423">
        <f t="shared" ref="U721:U737" ca="1" si="1053">IF(T745="n/a",T721,IFERROR(IF((OFFSET($C721,0,$A721))&lt;0,
MIN(0,T721-(OFFSET($C721,0,$A721)/(OFFSET($C716,-$A720,$A721)))),
MAX(0,T721-(OFFSET($C721,0,$A721)/(OFFSET($C716,-$A720,$A721))))),0))</f>
        <v>0</v>
      </c>
      <c r="V721" s="1423">
        <f t="shared" ref="V721:V738" ca="1" si="1054">IF(U745="n/a",U721,IFERROR(IF((OFFSET($C721,0,$A721))&lt;0,
MIN(0,U721-(OFFSET($C721,0,$A721)/(OFFSET($C716,-$A720,$A721)))),
MAX(0,U721-(OFFSET($C721,0,$A721)/(OFFSET($C716,-$A720,$A721))))),0))</f>
        <v>0</v>
      </c>
      <c r="W721" s="1423">
        <f t="shared" ref="W721:W739" ca="1" si="1055">IF(V745="n/a",V721,IFERROR(IF((OFFSET($C721,0,$A721))&lt;0,
MIN(0,V721-(OFFSET($C721,0,$A721)/(OFFSET($C716,-$A720,$A721)))),
MAX(0,V721-(OFFSET($C721,0,$A721)/(OFFSET($C716,-$A720,$A721))))),0))</f>
        <v>0</v>
      </c>
      <c r="X721" s="152"/>
      <c r="Y721" s="152"/>
      <c r="Z721" s="152"/>
      <c r="AA721" s="152"/>
      <c r="AB721" s="152"/>
    </row>
    <row r="722" spans="1:28" hidden="1" outlineLevel="1">
      <c r="A722" s="199">
        <f t="shared" ref="A722:A741" si="1056">A721+1</f>
        <v>1</v>
      </c>
      <c r="B722" s="190" t="str">
        <f t="shared" ref="B722:B740" ca="1" si="1057">"Depreciated Net Capex "&amp;OFFSET($C$6,0,A722)</f>
        <v>Depreciated Net Capex 2016-17</v>
      </c>
      <c r="C722" s="1424"/>
      <c r="D722" s="1425">
        <f>(D716*((1+D$11)^0.5)/D$10)</f>
        <v>0</v>
      </c>
      <c r="E722" s="1423">
        <f ca="1">IF(D746="n/a",D722,IFERROR(IF((OFFSET($C722,0,$A722))&lt;0,
MIN(0,D722-(OFFSET($C722,0,$A722)/(OFFSET($C717,-$A721,$A722)))),
MAX(0,D722-(OFFSET($C722,0,$A722)/(OFFSET($C717,-$A721,$A722))))),0))</f>
        <v>0</v>
      </c>
      <c r="F722" s="1423">
        <f t="shared" ca="1" si="1038"/>
        <v>0</v>
      </c>
      <c r="G722" s="1423">
        <f t="shared" ca="1" si="1039"/>
        <v>0</v>
      </c>
      <c r="H722" s="1423">
        <f t="shared" ca="1" si="1040"/>
        <v>0</v>
      </c>
      <c r="I722" s="1423">
        <f t="shared" ca="1" si="1041"/>
        <v>0</v>
      </c>
      <c r="J722" s="1423">
        <f t="shared" ca="1" si="1042"/>
        <v>0</v>
      </c>
      <c r="K722" s="1423">
        <f t="shared" ca="1" si="1043"/>
        <v>0</v>
      </c>
      <c r="L722" s="1423">
        <f t="shared" ca="1" si="1044"/>
        <v>0</v>
      </c>
      <c r="M722" s="1423">
        <f t="shared" ca="1" si="1045"/>
        <v>0</v>
      </c>
      <c r="N722" s="1423">
        <f t="shared" ca="1" si="1046"/>
        <v>0</v>
      </c>
      <c r="O722" s="1423">
        <f t="shared" ca="1" si="1047"/>
        <v>0</v>
      </c>
      <c r="P722" s="1423">
        <f t="shared" ca="1" si="1048"/>
        <v>0</v>
      </c>
      <c r="Q722" s="1423">
        <f t="shared" ca="1" si="1049"/>
        <v>0</v>
      </c>
      <c r="R722" s="1423">
        <f t="shared" ca="1" si="1050"/>
        <v>0</v>
      </c>
      <c r="S722" s="1423">
        <f t="shared" ca="1" si="1051"/>
        <v>0</v>
      </c>
      <c r="T722" s="1423">
        <f t="shared" ca="1" si="1052"/>
        <v>0</v>
      </c>
      <c r="U722" s="1423">
        <f t="shared" ca="1" si="1053"/>
        <v>0</v>
      </c>
      <c r="V722" s="1423">
        <f t="shared" ca="1" si="1054"/>
        <v>0</v>
      </c>
      <c r="W722" s="1423">
        <f t="shared" ca="1" si="1055"/>
        <v>0</v>
      </c>
      <c r="X722" s="152"/>
      <c r="Y722" s="152"/>
      <c r="Z722" s="152"/>
      <c r="AA722" s="152"/>
      <c r="AB722" s="152"/>
    </row>
    <row r="723" spans="1:28" hidden="1" outlineLevel="1">
      <c r="A723" s="199">
        <f t="shared" si="1056"/>
        <v>2</v>
      </c>
      <c r="B723" s="190" t="str">
        <f t="shared" ca="1" si="1057"/>
        <v>Depreciated Net Capex 2017-18</v>
      </c>
      <c r="C723" s="1426"/>
      <c r="D723" s="1427"/>
      <c r="E723" s="1425">
        <f>(E716*((1+E$11)^0.5)/E$10)</f>
        <v>0</v>
      </c>
      <c r="F723" s="1423">
        <f ca="1">IF(E747="n/a",E723,IFERROR(IF((OFFSET($C723,0,$A723))&lt;0,
MIN(0,E723-(OFFSET($C723,0,$A723)/(OFFSET($C718,-$A722,$A723)))),
MAX(0,E723-(OFFSET($C723,0,$A723)/(OFFSET($C718,-$A722,$A723))))),0))</f>
        <v>0</v>
      </c>
      <c r="G723" s="1423">
        <f t="shared" ca="1" si="1039"/>
        <v>0</v>
      </c>
      <c r="H723" s="1423">
        <f t="shared" ca="1" si="1040"/>
        <v>0</v>
      </c>
      <c r="I723" s="1423">
        <f t="shared" ca="1" si="1041"/>
        <v>0</v>
      </c>
      <c r="J723" s="1423">
        <f t="shared" ca="1" si="1042"/>
        <v>0</v>
      </c>
      <c r="K723" s="1423">
        <f t="shared" ca="1" si="1043"/>
        <v>0</v>
      </c>
      <c r="L723" s="1423">
        <f t="shared" ca="1" si="1044"/>
        <v>0</v>
      </c>
      <c r="M723" s="1423">
        <f t="shared" ca="1" si="1045"/>
        <v>0</v>
      </c>
      <c r="N723" s="1423">
        <f t="shared" ca="1" si="1046"/>
        <v>0</v>
      </c>
      <c r="O723" s="1423">
        <f t="shared" ca="1" si="1047"/>
        <v>0</v>
      </c>
      <c r="P723" s="1423">
        <f t="shared" ca="1" si="1048"/>
        <v>0</v>
      </c>
      <c r="Q723" s="1423">
        <f t="shared" ca="1" si="1049"/>
        <v>0</v>
      </c>
      <c r="R723" s="1423">
        <f t="shared" ca="1" si="1050"/>
        <v>0</v>
      </c>
      <c r="S723" s="1423">
        <f t="shared" ca="1" si="1051"/>
        <v>0</v>
      </c>
      <c r="T723" s="1423">
        <f t="shared" ca="1" si="1052"/>
        <v>0</v>
      </c>
      <c r="U723" s="1423">
        <f t="shared" ca="1" si="1053"/>
        <v>0</v>
      </c>
      <c r="V723" s="1423">
        <f t="shared" ca="1" si="1054"/>
        <v>0</v>
      </c>
      <c r="W723" s="1423">
        <f t="shared" ca="1" si="1055"/>
        <v>0</v>
      </c>
      <c r="X723" s="202"/>
      <c r="Y723" s="152"/>
      <c r="Z723" s="152"/>
      <c r="AA723" s="152"/>
      <c r="AB723" s="152"/>
    </row>
    <row r="724" spans="1:28" hidden="1" outlineLevel="1">
      <c r="A724" s="199">
        <f t="shared" si="1056"/>
        <v>3</v>
      </c>
      <c r="B724" s="190" t="str">
        <f t="shared" ca="1" si="1057"/>
        <v>Depreciated Net Capex 2018-19</v>
      </c>
      <c r="C724" s="1426"/>
      <c r="D724" s="1426"/>
      <c r="E724" s="1427"/>
      <c r="F724" s="1428">
        <f>($F716*((1+F$11)^0.5)/F$10)</f>
        <v>0</v>
      </c>
      <c r="G724" s="1423">
        <f ca="1">IF(F748="n/a",F724,IFERROR(IF((OFFSET($C724,0,$A724))&lt;0,
MIN(0,F724-(OFFSET($C724,0,$A724)/(OFFSET($C719,-$A723,$A724)))),
MAX(0,F724-(OFFSET($C724,0,$A724)/(OFFSET($C719,-$A723,$A724))))),0))</f>
        <v>0</v>
      </c>
      <c r="H724" s="1423">
        <f t="shared" ca="1" si="1040"/>
        <v>0</v>
      </c>
      <c r="I724" s="1423">
        <f t="shared" ca="1" si="1041"/>
        <v>0</v>
      </c>
      <c r="J724" s="1423">
        <f t="shared" ca="1" si="1042"/>
        <v>0</v>
      </c>
      <c r="K724" s="1423">
        <f t="shared" ca="1" si="1043"/>
        <v>0</v>
      </c>
      <c r="L724" s="1423">
        <f t="shared" ca="1" si="1044"/>
        <v>0</v>
      </c>
      <c r="M724" s="1423">
        <f t="shared" ca="1" si="1045"/>
        <v>0</v>
      </c>
      <c r="N724" s="1423">
        <f t="shared" ca="1" si="1046"/>
        <v>0</v>
      </c>
      <c r="O724" s="1423">
        <f t="shared" ca="1" si="1047"/>
        <v>0</v>
      </c>
      <c r="P724" s="1423">
        <f t="shared" ca="1" si="1048"/>
        <v>0</v>
      </c>
      <c r="Q724" s="1423">
        <f t="shared" ca="1" si="1049"/>
        <v>0</v>
      </c>
      <c r="R724" s="1423">
        <f t="shared" ca="1" si="1050"/>
        <v>0</v>
      </c>
      <c r="S724" s="1423">
        <f t="shared" ca="1" si="1051"/>
        <v>0</v>
      </c>
      <c r="T724" s="1423">
        <f t="shared" ca="1" si="1052"/>
        <v>0</v>
      </c>
      <c r="U724" s="1423">
        <f t="shared" ca="1" si="1053"/>
        <v>0</v>
      </c>
      <c r="V724" s="1423">
        <f t="shared" ca="1" si="1054"/>
        <v>0</v>
      </c>
      <c r="W724" s="1423">
        <f t="shared" ca="1" si="1055"/>
        <v>0</v>
      </c>
      <c r="X724" s="202"/>
      <c r="Y724" s="202"/>
      <c r="Z724" s="152"/>
      <c r="AA724" s="152"/>
      <c r="AB724" s="152"/>
    </row>
    <row r="725" spans="1:28" hidden="1" outlineLevel="1">
      <c r="A725" s="199">
        <f t="shared" si="1056"/>
        <v>4</v>
      </c>
      <c r="B725" s="190" t="str">
        <f t="shared" ca="1" si="1057"/>
        <v>Depreciated Net Capex 2019-20</v>
      </c>
      <c r="C725" s="1426"/>
      <c r="D725" s="1426"/>
      <c r="E725" s="1426"/>
      <c r="F725" s="1427"/>
      <c r="G725" s="1428">
        <f>($G716*((1+G$11)^0.5)/G$10)</f>
        <v>0</v>
      </c>
      <c r="H725" s="1423">
        <f ca="1">IF(G749="n/a",G725,IFERROR(IF((OFFSET($C725,0,$A725))&lt;0,
MIN(0,G725-(OFFSET($C725,0,$A725)/(OFFSET($C720,-$A724,$A725)))),
MAX(0,G725-(OFFSET($C725,0,$A725)/(OFFSET($C720,-$A724,$A725))))),0))</f>
        <v>0</v>
      </c>
      <c r="I725" s="1423">
        <f t="shared" ca="1" si="1041"/>
        <v>0</v>
      </c>
      <c r="J725" s="1423">
        <f t="shared" ca="1" si="1042"/>
        <v>0</v>
      </c>
      <c r="K725" s="1423">
        <f t="shared" ca="1" si="1043"/>
        <v>0</v>
      </c>
      <c r="L725" s="1423">
        <f t="shared" ca="1" si="1044"/>
        <v>0</v>
      </c>
      <c r="M725" s="1423">
        <f t="shared" ca="1" si="1045"/>
        <v>0</v>
      </c>
      <c r="N725" s="1423">
        <f t="shared" ca="1" si="1046"/>
        <v>0</v>
      </c>
      <c r="O725" s="1423">
        <f t="shared" ca="1" si="1047"/>
        <v>0</v>
      </c>
      <c r="P725" s="1423">
        <f t="shared" ca="1" si="1048"/>
        <v>0</v>
      </c>
      <c r="Q725" s="1423">
        <f t="shared" ca="1" si="1049"/>
        <v>0</v>
      </c>
      <c r="R725" s="1423">
        <f t="shared" ca="1" si="1050"/>
        <v>0</v>
      </c>
      <c r="S725" s="1423">
        <f t="shared" ca="1" si="1051"/>
        <v>0</v>
      </c>
      <c r="T725" s="1423">
        <f t="shared" ca="1" si="1052"/>
        <v>0</v>
      </c>
      <c r="U725" s="1423">
        <f t="shared" ca="1" si="1053"/>
        <v>0</v>
      </c>
      <c r="V725" s="1423">
        <f t="shared" ca="1" si="1054"/>
        <v>0</v>
      </c>
      <c r="W725" s="1423">
        <f t="shared" ca="1" si="1055"/>
        <v>0</v>
      </c>
      <c r="X725" s="202"/>
      <c r="Y725" s="202"/>
      <c r="Z725" s="202"/>
      <c r="AA725" s="152"/>
      <c r="AB725" s="152"/>
    </row>
    <row r="726" spans="1:28" hidden="1" outlineLevel="1">
      <c r="A726" s="199">
        <f t="shared" si="1056"/>
        <v>5</v>
      </c>
      <c r="B726" s="190" t="str">
        <f t="shared" ca="1" si="1057"/>
        <v>Depreciated Net Capex 2020-21</v>
      </c>
      <c r="C726" s="1426"/>
      <c r="D726" s="1426"/>
      <c r="E726" s="1426"/>
      <c r="F726" s="1426"/>
      <c r="G726" s="1427"/>
      <c r="H726" s="1428">
        <f>(H716*((1+H$11)^0.5)/H$10)</f>
        <v>0</v>
      </c>
      <c r="I726" s="1423">
        <f ca="1">IF(H750="n/a",H726,IFERROR(IF((OFFSET($C726,0,$A726))&lt;0,
MIN(0,H726-(OFFSET($C726,0,$A726)/(OFFSET($C721,-$A725,$A726)))),
MAX(0,H726-(OFFSET($C726,0,$A726)/(OFFSET($C721,-$A725,$A726))))),0))</f>
        <v>0</v>
      </c>
      <c r="J726" s="1423">
        <f t="shared" ca="1" si="1042"/>
        <v>0</v>
      </c>
      <c r="K726" s="1423">
        <f t="shared" ca="1" si="1043"/>
        <v>0</v>
      </c>
      <c r="L726" s="1423">
        <f t="shared" ca="1" si="1044"/>
        <v>0</v>
      </c>
      <c r="M726" s="1423">
        <f t="shared" ca="1" si="1045"/>
        <v>0</v>
      </c>
      <c r="N726" s="1423">
        <f t="shared" ca="1" si="1046"/>
        <v>0</v>
      </c>
      <c r="O726" s="1423">
        <f t="shared" ca="1" si="1047"/>
        <v>0</v>
      </c>
      <c r="P726" s="1423">
        <f t="shared" ca="1" si="1048"/>
        <v>0</v>
      </c>
      <c r="Q726" s="1423">
        <f t="shared" ca="1" si="1049"/>
        <v>0</v>
      </c>
      <c r="R726" s="1423">
        <f t="shared" ca="1" si="1050"/>
        <v>0</v>
      </c>
      <c r="S726" s="1423">
        <f t="shared" ca="1" si="1051"/>
        <v>0</v>
      </c>
      <c r="T726" s="1423">
        <f t="shared" ca="1" si="1052"/>
        <v>0</v>
      </c>
      <c r="U726" s="1423">
        <f t="shared" ca="1" si="1053"/>
        <v>0</v>
      </c>
      <c r="V726" s="1423">
        <f t="shared" ca="1" si="1054"/>
        <v>0</v>
      </c>
      <c r="W726" s="1423">
        <f t="shared" ca="1" si="1055"/>
        <v>0</v>
      </c>
      <c r="X726" s="202"/>
      <c r="Y726" s="202"/>
      <c r="Z726" s="202"/>
      <c r="AA726" s="152"/>
      <c r="AB726" s="152"/>
    </row>
    <row r="727" spans="1:28" hidden="1" outlineLevel="1">
      <c r="A727" s="199">
        <f t="shared" si="1056"/>
        <v>6</v>
      </c>
      <c r="B727" s="190" t="str">
        <f t="shared" ca="1" si="1057"/>
        <v>Depreciated Net Capex 2021-22</v>
      </c>
      <c r="C727" s="1426"/>
      <c r="D727" s="1426"/>
      <c r="E727" s="1426"/>
      <c r="F727" s="1426"/>
      <c r="G727" s="1426"/>
      <c r="H727" s="1427"/>
      <c r="I727" s="1428">
        <f>(I716*((1+I$11)^0.5)/I$10)</f>
        <v>0</v>
      </c>
      <c r="J727" s="1423">
        <f ca="1">IF(I751="n/a",I727,IFERROR(IF((OFFSET($C727,0,$A727))&lt;0,
MIN(0,I727-(OFFSET($C727,0,$A727)/(OFFSET($C722,-$A726,$A727)))),
MAX(0,I727-(OFFSET($C727,0,$A727)/(OFFSET($C722,-$A726,$A727))))),0))</f>
        <v>0</v>
      </c>
      <c r="K727" s="1423">
        <f t="shared" ca="1" si="1043"/>
        <v>0</v>
      </c>
      <c r="L727" s="1423">
        <f t="shared" ca="1" si="1044"/>
        <v>0</v>
      </c>
      <c r="M727" s="1423">
        <f t="shared" ca="1" si="1045"/>
        <v>0</v>
      </c>
      <c r="N727" s="1423">
        <f t="shared" ca="1" si="1046"/>
        <v>0</v>
      </c>
      <c r="O727" s="1423">
        <f t="shared" ca="1" si="1047"/>
        <v>0</v>
      </c>
      <c r="P727" s="1423">
        <f t="shared" ca="1" si="1048"/>
        <v>0</v>
      </c>
      <c r="Q727" s="1423">
        <f t="shared" ca="1" si="1049"/>
        <v>0</v>
      </c>
      <c r="R727" s="1423">
        <f t="shared" ca="1" si="1050"/>
        <v>0</v>
      </c>
      <c r="S727" s="1423">
        <f t="shared" ca="1" si="1051"/>
        <v>0</v>
      </c>
      <c r="T727" s="1423">
        <f t="shared" ca="1" si="1052"/>
        <v>0</v>
      </c>
      <c r="U727" s="1423">
        <f t="shared" ca="1" si="1053"/>
        <v>0</v>
      </c>
      <c r="V727" s="1423">
        <f t="shared" ca="1" si="1054"/>
        <v>0</v>
      </c>
      <c r="W727" s="1423">
        <f t="shared" ca="1" si="1055"/>
        <v>0</v>
      </c>
      <c r="X727" s="202"/>
      <c r="Y727" s="202"/>
      <c r="Z727" s="202"/>
      <c r="AA727" s="152"/>
      <c r="AB727" s="152"/>
    </row>
    <row r="728" spans="1:28" hidden="1" outlineLevel="1">
      <c r="A728" s="199">
        <f t="shared" si="1056"/>
        <v>7</v>
      </c>
      <c r="B728" s="190" t="str">
        <f t="shared" ca="1" si="1057"/>
        <v>Depreciated Net Capex 2022-23</v>
      </c>
      <c r="C728" s="1426"/>
      <c r="D728" s="1426"/>
      <c r="E728" s="1426"/>
      <c r="F728" s="1426"/>
      <c r="G728" s="1426"/>
      <c r="H728" s="1426"/>
      <c r="I728" s="1427"/>
      <c r="J728" s="1428">
        <f>(J716*((1+J$11)^0.5)/J$10)</f>
        <v>0</v>
      </c>
      <c r="K728" s="1423">
        <f ca="1">IF(J752="n/a",J728,IFERROR(IF((OFFSET($C728,0,$A728))&lt;0,
MIN(0,J728-(OFFSET($C728,0,$A728)/(OFFSET($C723,-$A727,$A728)))),
MAX(0,J728-(OFFSET($C728,0,$A728)/(OFFSET($C723,-$A727,$A728))))),0))</f>
        <v>0</v>
      </c>
      <c r="L728" s="1423">
        <f t="shared" ca="1" si="1044"/>
        <v>0</v>
      </c>
      <c r="M728" s="1423">
        <f t="shared" ca="1" si="1045"/>
        <v>0</v>
      </c>
      <c r="N728" s="1423">
        <f t="shared" ca="1" si="1046"/>
        <v>0</v>
      </c>
      <c r="O728" s="1423">
        <f t="shared" ca="1" si="1047"/>
        <v>0</v>
      </c>
      <c r="P728" s="1423">
        <f t="shared" ca="1" si="1048"/>
        <v>0</v>
      </c>
      <c r="Q728" s="1423">
        <f t="shared" ca="1" si="1049"/>
        <v>0</v>
      </c>
      <c r="R728" s="1423">
        <f t="shared" ca="1" si="1050"/>
        <v>0</v>
      </c>
      <c r="S728" s="1423">
        <f t="shared" ca="1" si="1051"/>
        <v>0</v>
      </c>
      <c r="T728" s="1423">
        <f t="shared" ca="1" si="1052"/>
        <v>0</v>
      </c>
      <c r="U728" s="1423">
        <f t="shared" ca="1" si="1053"/>
        <v>0</v>
      </c>
      <c r="V728" s="1423">
        <f t="shared" ca="1" si="1054"/>
        <v>0</v>
      </c>
      <c r="W728" s="1423">
        <f t="shared" ca="1" si="1055"/>
        <v>0</v>
      </c>
      <c r="X728" s="202"/>
      <c r="Y728" s="202"/>
      <c r="Z728" s="202"/>
      <c r="AA728" s="152"/>
      <c r="AB728" s="152"/>
    </row>
    <row r="729" spans="1:28" hidden="1" outlineLevel="1">
      <c r="A729" s="199">
        <f t="shared" si="1056"/>
        <v>8</v>
      </c>
      <c r="B729" s="190" t="str">
        <f t="shared" ca="1" si="1057"/>
        <v>Depreciated Net Capex 2023-24</v>
      </c>
      <c r="C729" s="1426"/>
      <c r="D729" s="1426"/>
      <c r="E729" s="1426"/>
      <c r="F729" s="1426"/>
      <c r="G729" s="1426"/>
      <c r="H729" s="1426"/>
      <c r="I729" s="1426"/>
      <c r="J729" s="1427"/>
      <c r="K729" s="1428">
        <f>(K716*((1+K$11)^0.5)/K$10)</f>
        <v>0</v>
      </c>
      <c r="L729" s="1423">
        <f ca="1">IF(K753="n/a",K729,IFERROR(IF((OFFSET($C729,0,$A729))&lt;0,
MIN(0,K729-(OFFSET($C729,0,$A729)/(OFFSET($C724,-$A728,$A729)))),
MAX(0,K729-(OFFSET($C729,0,$A729)/(OFFSET($C724,-$A728,$A729))))),0))</f>
        <v>0</v>
      </c>
      <c r="M729" s="1423">
        <f t="shared" ca="1" si="1045"/>
        <v>0</v>
      </c>
      <c r="N729" s="1423">
        <f t="shared" ca="1" si="1046"/>
        <v>0</v>
      </c>
      <c r="O729" s="1423">
        <f t="shared" ca="1" si="1047"/>
        <v>0</v>
      </c>
      <c r="P729" s="1423">
        <f t="shared" ca="1" si="1048"/>
        <v>0</v>
      </c>
      <c r="Q729" s="1423">
        <f t="shared" ca="1" si="1049"/>
        <v>0</v>
      </c>
      <c r="R729" s="1423">
        <f t="shared" ca="1" si="1050"/>
        <v>0</v>
      </c>
      <c r="S729" s="1423">
        <f t="shared" ca="1" si="1051"/>
        <v>0</v>
      </c>
      <c r="T729" s="1423">
        <f t="shared" ca="1" si="1052"/>
        <v>0</v>
      </c>
      <c r="U729" s="1423">
        <f t="shared" ca="1" si="1053"/>
        <v>0</v>
      </c>
      <c r="V729" s="1423">
        <f t="shared" ca="1" si="1054"/>
        <v>0</v>
      </c>
      <c r="W729" s="1423">
        <f t="shared" ca="1" si="1055"/>
        <v>0</v>
      </c>
      <c r="X729" s="202"/>
      <c r="Y729" s="202"/>
      <c r="Z729" s="202"/>
      <c r="AA729" s="152"/>
      <c r="AB729" s="152"/>
    </row>
    <row r="730" spans="1:28" hidden="1" outlineLevel="1">
      <c r="A730" s="199">
        <f t="shared" si="1056"/>
        <v>9</v>
      </c>
      <c r="B730" s="190" t="str">
        <f t="shared" ca="1" si="1057"/>
        <v>Depreciated Net Capex 2024-25</v>
      </c>
      <c r="C730" s="1426"/>
      <c r="D730" s="1426"/>
      <c r="E730" s="1426"/>
      <c r="F730" s="1426"/>
      <c r="G730" s="1426"/>
      <c r="H730" s="1426"/>
      <c r="I730" s="1426"/>
      <c r="J730" s="1426"/>
      <c r="K730" s="1427"/>
      <c r="L730" s="1428">
        <f>(L716*((1+L$11)^0.5)/L$10)</f>
        <v>0</v>
      </c>
      <c r="M730" s="1423">
        <f ca="1">IF(L754="n/a",L730,IFERROR(IF((OFFSET($C730,0,$A730))&lt;0,
MIN(0,L730-(OFFSET($C730,0,$A730)/(OFFSET($C725,-$A729,$A730)))),
MAX(0,L730-(OFFSET($C730,0,$A730)/(OFFSET($C725,-$A729,$A730))))),0))</f>
        <v>0</v>
      </c>
      <c r="N730" s="1423">
        <f t="shared" ca="1" si="1046"/>
        <v>0</v>
      </c>
      <c r="O730" s="1423">
        <f t="shared" ca="1" si="1047"/>
        <v>0</v>
      </c>
      <c r="P730" s="1423">
        <f t="shared" ca="1" si="1048"/>
        <v>0</v>
      </c>
      <c r="Q730" s="1423">
        <f t="shared" ca="1" si="1049"/>
        <v>0</v>
      </c>
      <c r="R730" s="1423">
        <f t="shared" ca="1" si="1050"/>
        <v>0</v>
      </c>
      <c r="S730" s="1423">
        <f t="shared" ca="1" si="1051"/>
        <v>0</v>
      </c>
      <c r="T730" s="1423">
        <f t="shared" ca="1" si="1052"/>
        <v>0</v>
      </c>
      <c r="U730" s="1423">
        <f t="shared" ca="1" si="1053"/>
        <v>0</v>
      </c>
      <c r="V730" s="1423">
        <f t="shared" ca="1" si="1054"/>
        <v>0</v>
      </c>
      <c r="W730" s="1423">
        <f t="shared" ca="1" si="1055"/>
        <v>0</v>
      </c>
      <c r="X730" s="202"/>
      <c r="Y730" s="202"/>
      <c r="Z730" s="202"/>
      <c r="AA730" s="152"/>
      <c r="AB730" s="152"/>
    </row>
    <row r="731" spans="1:28" hidden="1" outlineLevel="1">
      <c r="A731" s="199">
        <f t="shared" si="1056"/>
        <v>10</v>
      </c>
      <c r="B731" s="190" t="str">
        <f t="shared" ca="1" si="1057"/>
        <v>Depreciated Net Capex 2025-26</v>
      </c>
      <c r="C731" s="1426"/>
      <c r="D731" s="1426"/>
      <c r="E731" s="1426"/>
      <c r="F731" s="1426"/>
      <c r="G731" s="1426"/>
      <c r="H731" s="1426"/>
      <c r="I731" s="1426"/>
      <c r="J731" s="1426"/>
      <c r="K731" s="1426"/>
      <c r="L731" s="1427"/>
      <c r="M731" s="1428">
        <f>(M716*((1+M$11)^0.5)/M$10)</f>
        <v>0</v>
      </c>
      <c r="N731" s="1423">
        <f ca="1">IF(M755="n/a",M731,IFERROR(IF((OFFSET($C731,0,$A731))&lt;0,
MIN(0,M731-(OFFSET($C731,0,$A731)/(OFFSET($C726,-$A730,$A731)))),
MAX(0,M731-(OFFSET($C731,0,$A731)/(OFFSET($C726,-$A730,$A731))))),0))</f>
        <v>0</v>
      </c>
      <c r="O731" s="1423">
        <f t="shared" ca="1" si="1047"/>
        <v>0</v>
      </c>
      <c r="P731" s="1423">
        <f t="shared" ca="1" si="1048"/>
        <v>0</v>
      </c>
      <c r="Q731" s="1423">
        <f t="shared" ca="1" si="1049"/>
        <v>0</v>
      </c>
      <c r="R731" s="1423">
        <f t="shared" ca="1" si="1050"/>
        <v>0</v>
      </c>
      <c r="S731" s="1423">
        <f t="shared" ca="1" si="1051"/>
        <v>0</v>
      </c>
      <c r="T731" s="1423">
        <f t="shared" ca="1" si="1052"/>
        <v>0</v>
      </c>
      <c r="U731" s="1423">
        <f t="shared" ca="1" si="1053"/>
        <v>0</v>
      </c>
      <c r="V731" s="1423">
        <f t="shared" ca="1" si="1054"/>
        <v>0</v>
      </c>
      <c r="W731" s="1423">
        <f t="shared" ca="1" si="1055"/>
        <v>0</v>
      </c>
      <c r="X731" s="202"/>
      <c r="Y731" s="202"/>
      <c r="Z731" s="202"/>
      <c r="AA731" s="152"/>
      <c r="AB731" s="152"/>
    </row>
    <row r="732" spans="1:28" hidden="1" outlineLevel="1">
      <c r="A732" s="199">
        <f t="shared" si="1056"/>
        <v>11</v>
      </c>
      <c r="B732" s="190" t="str">
        <f t="shared" ca="1" si="1057"/>
        <v>Depreciated Net Capex 2026-27</v>
      </c>
      <c r="C732" s="1426"/>
      <c r="D732" s="1426"/>
      <c r="E732" s="1426"/>
      <c r="F732" s="1426"/>
      <c r="G732" s="1426"/>
      <c r="H732" s="1426"/>
      <c r="I732" s="1426"/>
      <c r="J732" s="1426"/>
      <c r="K732" s="1426"/>
      <c r="L732" s="1426"/>
      <c r="M732" s="1427"/>
      <c r="N732" s="1428">
        <f>(N716*((1+N$11)^0.5)/N$10)</f>
        <v>0</v>
      </c>
      <c r="O732" s="1423">
        <f ca="1">IF(N756="n/a",N732,IFERROR(IF((OFFSET($C732,0,$A732))&lt;0,
MIN(0,N732-(OFFSET($C732,0,$A732)/(OFFSET($C727,-$A731,$A732)))),
MAX(0,N732-(OFFSET($C732,0,$A732)/(OFFSET($C727,-$A731,$A732))))),0))</f>
        <v>0</v>
      </c>
      <c r="P732" s="1423">
        <f t="shared" ca="1" si="1048"/>
        <v>0</v>
      </c>
      <c r="Q732" s="1423">
        <f t="shared" ca="1" si="1049"/>
        <v>0</v>
      </c>
      <c r="R732" s="1423">
        <f t="shared" ca="1" si="1050"/>
        <v>0</v>
      </c>
      <c r="S732" s="1423">
        <f t="shared" ca="1" si="1051"/>
        <v>0</v>
      </c>
      <c r="T732" s="1423">
        <f t="shared" ca="1" si="1052"/>
        <v>0</v>
      </c>
      <c r="U732" s="1423">
        <f t="shared" ca="1" si="1053"/>
        <v>0</v>
      </c>
      <c r="V732" s="1423">
        <f t="shared" ca="1" si="1054"/>
        <v>0</v>
      </c>
      <c r="W732" s="1423">
        <f t="shared" ca="1" si="1055"/>
        <v>0</v>
      </c>
      <c r="X732" s="202"/>
      <c r="Y732" s="202"/>
      <c r="Z732" s="202"/>
      <c r="AA732" s="152"/>
      <c r="AB732" s="152"/>
    </row>
    <row r="733" spans="1:28" hidden="1" outlineLevel="1">
      <c r="A733" s="199">
        <f t="shared" si="1056"/>
        <v>12</v>
      </c>
      <c r="B733" s="190" t="str">
        <f t="shared" ca="1" si="1057"/>
        <v>Depreciated Net Capex 2027-28</v>
      </c>
      <c r="C733" s="1426"/>
      <c r="D733" s="1426"/>
      <c r="E733" s="1426"/>
      <c r="F733" s="1426"/>
      <c r="G733" s="1426"/>
      <c r="H733" s="1426"/>
      <c r="I733" s="1426"/>
      <c r="J733" s="1426"/>
      <c r="K733" s="1426"/>
      <c r="L733" s="1426"/>
      <c r="M733" s="1426"/>
      <c r="N733" s="1427"/>
      <c r="O733" s="1428">
        <f>(O716*((1+O$11)^0.5)/O$10)</f>
        <v>0</v>
      </c>
      <c r="P733" s="1423">
        <f ca="1">IF(O757="n/a",O733,IFERROR(IF((OFFSET($C733,0,$A733))&lt;0,
MIN(0,O733-(OFFSET($C733,0,$A733)/(OFFSET($C728,-$A732,$A733)))),
MAX(0,O733-(OFFSET($C733,0,$A733)/(OFFSET($C728,-$A732,$A733))))),0))</f>
        <v>0</v>
      </c>
      <c r="Q733" s="1423">
        <f t="shared" ca="1" si="1049"/>
        <v>0</v>
      </c>
      <c r="R733" s="1423">
        <f t="shared" ca="1" si="1050"/>
        <v>0</v>
      </c>
      <c r="S733" s="1423">
        <f t="shared" ca="1" si="1051"/>
        <v>0</v>
      </c>
      <c r="T733" s="1423">
        <f t="shared" ca="1" si="1052"/>
        <v>0</v>
      </c>
      <c r="U733" s="1423">
        <f t="shared" ca="1" si="1053"/>
        <v>0</v>
      </c>
      <c r="V733" s="1423">
        <f t="shared" ca="1" si="1054"/>
        <v>0</v>
      </c>
      <c r="W733" s="1423">
        <f t="shared" ca="1" si="1055"/>
        <v>0</v>
      </c>
      <c r="X733" s="202"/>
      <c r="Y733" s="202"/>
      <c r="Z733" s="202"/>
      <c r="AA733" s="152"/>
      <c r="AB733" s="152"/>
    </row>
    <row r="734" spans="1:28" hidden="1" outlineLevel="1">
      <c r="A734" s="199">
        <f t="shared" si="1056"/>
        <v>13</v>
      </c>
      <c r="B734" s="190" t="str">
        <f t="shared" ca="1" si="1057"/>
        <v>Depreciated Net Capex 2028-29</v>
      </c>
      <c r="C734" s="1426"/>
      <c r="D734" s="1426"/>
      <c r="E734" s="1426"/>
      <c r="F734" s="1426"/>
      <c r="G734" s="1426"/>
      <c r="H734" s="1426"/>
      <c r="I734" s="1426"/>
      <c r="J734" s="1426"/>
      <c r="K734" s="1426"/>
      <c r="L734" s="1426"/>
      <c r="M734" s="1426"/>
      <c r="N734" s="1426"/>
      <c r="O734" s="1427"/>
      <c r="P734" s="1428">
        <f>(P716*((1+P$11)^0.5)/P$10)</f>
        <v>0</v>
      </c>
      <c r="Q734" s="1423">
        <f ca="1">IF(P758="n/a",P734,IFERROR(IF((OFFSET($C734,0,$A734))&lt;0,
MIN(0,P734-(OFFSET($C734,0,$A734)/(OFFSET($C729,-$A733,$A734)))),
MAX(0,P734-(OFFSET($C734,0,$A734)/(OFFSET($C729,-$A733,$A734))))),0))</f>
        <v>0</v>
      </c>
      <c r="R734" s="1423">
        <f t="shared" ca="1" si="1050"/>
        <v>0</v>
      </c>
      <c r="S734" s="1423">
        <f t="shared" ca="1" si="1051"/>
        <v>0</v>
      </c>
      <c r="T734" s="1423">
        <f t="shared" ca="1" si="1052"/>
        <v>0</v>
      </c>
      <c r="U734" s="1423">
        <f t="shared" ca="1" si="1053"/>
        <v>0</v>
      </c>
      <c r="V734" s="1423">
        <f t="shared" ca="1" si="1054"/>
        <v>0</v>
      </c>
      <c r="W734" s="1423">
        <f t="shared" ca="1" si="1055"/>
        <v>0</v>
      </c>
      <c r="X734" s="202"/>
      <c r="Y734" s="202"/>
      <c r="Z734" s="202"/>
      <c r="AA734" s="152"/>
      <c r="AB734" s="152"/>
    </row>
    <row r="735" spans="1:28" hidden="1" outlineLevel="1">
      <c r="A735" s="199">
        <f t="shared" si="1056"/>
        <v>14</v>
      </c>
      <c r="B735" s="190" t="str">
        <f t="shared" ca="1" si="1057"/>
        <v>Depreciated Net Capex 2029-30</v>
      </c>
      <c r="C735" s="1426"/>
      <c r="D735" s="1426"/>
      <c r="E735" s="1426"/>
      <c r="F735" s="1426"/>
      <c r="G735" s="1426"/>
      <c r="H735" s="1426"/>
      <c r="I735" s="1426"/>
      <c r="J735" s="1426"/>
      <c r="K735" s="1426"/>
      <c r="L735" s="1426"/>
      <c r="M735" s="1426"/>
      <c r="N735" s="1426"/>
      <c r="O735" s="1426"/>
      <c r="P735" s="1427"/>
      <c r="Q735" s="1428">
        <f>(Q716*((1+Q$11)^0.5)/Q$10)</f>
        <v>0</v>
      </c>
      <c r="R735" s="1423">
        <f ca="1">IF(Q759="n/a",Q735,IFERROR(IF((OFFSET($C735,0,$A735))&lt;0,
MIN(0,Q735-(OFFSET($C735,0,$A735)/(OFFSET($C730,-$A734,$A735)))),
MAX(0,Q735-(OFFSET($C735,0,$A735)/(OFFSET($C730,-$A734,$A735))))),0))</f>
        <v>0</v>
      </c>
      <c r="S735" s="1423">
        <f t="shared" ca="1" si="1051"/>
        <v>0</v>
      </c>
      <c r="T735" s="1423">
        <f t="shared" ca="1" si="1052"/>
        <v>0</v>
      </c>
      <c r="U735" s="1423">
        <f t="shared" ca="1" si="1053"/>
        <v>0</v>
      </c>
      <c r="V735" s="1423">
        <f t="shared" ca="1" si="1054"/>
        <v>0</v>
      </c>
      <c r="W735" s="1423">
        <f t="shared" ca="1" si="1055"/>
        <v>0</v>
      </c>
      <c r="X735" s="202"/>
      <c r="Y735" s="202"/>
      <c r="Z735" s="202"/>
      <c r="AA735" s="152"/>
      <c r="AB735" s="152"/>
    </row>
    <row r="736" spans="1:28" hidden="1" outlineLevel="1">
      <c r="A736" s="199">
        <f t="shared" si="1056"/>
        <v>15</v>
      </c>
      <c r="B736" s="190" t="str">
        <f t="shared" ca="1" si="1057"/>
        <v>Depreciated Net Capex 2030-31</v>
      </c>
      <c r="C736" s="1426"/>
      <c r="D736" s="1426"/>
      <c r="E736" s="1426"/>
      <c r="F736" s="1426"/>
      <c r="G736" s="1426"/>
      <c r="H736" s="1426"/>
      <c r="I736" s="1426"/>
      <c r="J736" s="1426"/>
      <c r="K736" s="1426"/>
      <c r="L736" s="1426"/>
      <c r="M736" s="1426"/>
      <c r="N736" s="1426"/>
      <c r="O736" s="1426"/>
      <c r="P736" s="1426"/>
      <c r="Q736" s="1427"/>
      <c r="R736" s="1428">
        <f>(R716*((1+R$11)^0.5)/R$10)</f>
        <v>0</v>
      </c>
      <c r="S736" s="1423">
        <f ca="1">IF(R760="n/a",R736,IFERROR(IF((OFFSET($C736,0,$A736))&lt;0,
MIN(0,R736-(OFFSET($C736,0,$A736)/(OFFSET($C731,-$A735,$A736)))),
MAX(0,R736-(OFFSET($C736,0,$A736)/(OFFSET($C731,-$A735,$A736))))),0))</f>
        <v>0</v>
      </c>
      <c r="T736" s="1423">
        <f t="shared" ca="1" si="1052"/>
        <v>0</v>
      </c>
      <c r="U736" s="1423">
        <f t="shared" ca="1" si="1053"/>
        <v>0</v>
      </c>
      <c r="V736" s="1423">
        <f t="shared" ca="1" si="1054"/>
        <v>0</v>
      </c>
      <c r="W736" s="1423">
        <f t="shared" ca="1" si="1055"/>
        <v>0</v>
      </c>
      <c r="X736" s="202"/>
      <c r="Y736" s="202"/>
      <c r="Z736" s="202"/>
      <c r="AA736" s="152"/>
      <c r="AB736" s="152"/>
    </row>
    <row r="737" spans="1:28" hidden="1" outlineLevel="1">
      <c r="A737" s="199">
        <f t="shared" si="1056"/>
        <v>16</v>
      </c>
      <c r="B737" s="190" t="str">
        <f t="shared" ca="1" si="1057"/>
        <v>Depreciated Net Capex 2031-32</v>
      </c>
      <c r="C737" s="1426"/>
      <c r="D737" s="1426"/>
      <c r="E737" s="1426"/>
      <c r="F737" s="1426"/>
      <c r="G737" s="1426"/>
      <c r="H737" s="1426"/>
      <c r="I737" s="1426"/>
      <c r="J737" s="1426"/>
      <c r="K737" s="1426"/>
      <c r="L737" s="1426"/>
      <c r="M737" s="1426"/>
      <c r="N737" s="1426"/>
      <c r="O737" s="1426"/>
      <c r="P737" s="1426"/>
      <c r="Q737" s="1426"/>
      <c r="R737" s="1427"/>
      <c r="S737" s="1428">
        <f>(S716*((1+S$11)^0.5)/S$10)</f>
        <v>0</v>
      </c>
      <c r="T737" s="1423">
        <f ca="1">IF(S761="n/a",S737,IFERROR(IF((OFFSET($C737,0,$A737))&lt;0,
MIN(0,S737-(OFFSET($C737,0,$A737)/(OFFSET($C732,-$A736,$A737)))),
MAX(0,S737-(OFFSET($C737,0,$A737)/(OFFSET($C732,-$A736,$A737))))),0))</f>
        <v>0</v>
      </c>
      <c r="U737" s="1423">
        <f t="shared" ca="1" si="1053"/>
        <v>0</v>
      </c>
      <c r="V737" s="1423">
        <f t="shared" ca="1" si="1054"/>
        <v>0</v>
      </c>
      <c r="W737" s="1423">
        <f t="shared" ca="1" si="1055"/>
        <v>0</v>
      </c>
      <c r="X737" s="202"/>
      <c r="Y737" s="202"/>
      <c r="Z737" s="202"/>
      <c r="AA737" s="152"/>
      <c r="AB737" s="152"/>
    </row>
    <row r="738" spans="1:28" hidden="1" outlineLevel="1">
      <c r="A738" s="199">
        <f t="shared" si="1056"/>
        <v>17</v>
      </c>
      <c r="B738" s="190" t="str">
        <f t="shared" ca="1" si="1057"/>
        <v>Depreciated Net Capex 2032-33</v>
      </c>
      <c r="C738" s="1426"/>
      <c r="D738" s="1426"/>
      <c r="E738" s="1426"/>
      <c r="F738" s="1426"/>
      <c r="G738" s="1426"/>
      <c r="H738" s="1426"/>
      <c r="I738" s="1426"/>
      <c r="J738" s="1426"/>
      <c r="K738" s="1426"/>
      <c r="L738" s="1426"/>
      <c r="M738" s="1426"/>
      <c r="N738" s="1426"/>
      <c r="O738" s="1426"/>
      <c r="P738" s="1426"/>
      <c r="Q738" s="1426"/>
      <c r="R738" s="1426"/>
      <c r="S738" s="1427"/>
      <c r="T738" s="1428">
        <f>(T716*((1+T$11)^0.5)/T$10)</f>
        <v>0</v>
      </c>
      <c r="U738" s="1423">
        <f ca="1">IF(T762="n/a",T738,IFERROR(IF((OFFSET($C738,0,$A738))&lt;0,
MIN(0,T738-(OFFSET($C738,0,$A738)/(OFFSET($C733,-$A737,$A738)))),
MAX(0,T738-(OFFSET($C738,0,$A738)/(OFFSET($C733,-$A737,$A738))))),0))</f>
        <v>0</v>
      </c>
      <c r="V738" s="1423">
        <f t="shared" ca="1" si="1054"/>
        <v>0</v>
      </c>
      <c r="W738" s="1423">
        <f t="shared" ca="1" si="1055"/>
        <v>0</v>
      </c>
      <c r="X738" s="202"/>
      <c r="Y738" s="202"/>
      <c r="Z738" s="202"/>
      <c r="AA738" s="152"/>
      <c r="AB738" s="152"/>
    </row>
    <row r="739" spans="1:28" hidden="1" outlineLevel="1">
      <c r="A739" s="199">
        <f t="shared" si="1056"/>
        <v>18</v>
      </c>
      <c r="B739" s="190" t="str">
        <f t="shared" ca="1" si="1057"/>
        <v>Depreciated Net Capex 2033-34</v>
      </c>
      <c r="C739" s="1426"/>
      <c r="D739" s="1426"/>
      <c r="E739" s="1426"/>
      <c r="F739" s="1426"/>
      <c r="G739" s="1426"/>
      <c r="H739" s="1426"/>
      <c r="I739" s="1426"/>
      <c r="J739" s="1426"/>
      <c r="K739" s="1426"/>
      <c r="L739" s="1426"/>
      <c r="M739" s="1426"/>
      <c r="N739" s="1426"/>
      <c r="O739" s="1426"/>
      <c r="P739" s="1426"/>
      <c r="Q739" s="1426"/>
      <c r="R739" s="1426"/>
      <c r="S739" s="1426"/>
      <c r="T739" s="1427"/>
      <c r="U739" s="1428">
        <f>(U716*((1+U$11)^0.5)/U$10)</f>
        <v>0</v>
      </c>
      <c r="V739" s="1423">
        <f ca="1">IF(U763="n/a",U739,IFERROR(IF((OFFSET($C739,0,$A739))&lt;0,
MIN(0,U739-(OFFSET($C739,0,$A739)/(OFFSET($C734,-$A738,$A739)))),
MAX(0,U739-(OFFSET($C739,0,$A739)/(OFFSET($C734,-$A738,$A739))))),0))</f>
        <v>0</v>
      </c>
      <c r="W739" s="1423">
        <f t="shared" ca="1" si="1055"/>
        <v>0</v>
      </c>
      <c r="X739" s="202"/>
      <c r="Y739" s="202"/>
      <c r="Z739" s="202"/>
      <c r="AA739" s="152"/>
      <c r="AB739" s="152"/>
    </row>
    <row r="740" spans="1:28" hidden="1" outlineLevel="1">
      <c r="A740" s="199">
        <f t="shared" si="1056"/>
        <v>19</v>
      </c>
      <c r="B740" s="190" t="str">
        <f t="shared" ca="1" si="1057"/>
        <v>Depreciated Net Capex 2034-35</v>
      </c>
      <c r="C740" s="1426"/>
      <c r="D740" s="1426"/>
      <c r="E740" s="1426"/>
      <c r="F740" s="1426"/>
      <c r="G740" s="1426"/>
      <c r="H740" s="1426"/>
      <c r="I740" s="1426"/>
      <c r="J740" s="1426"/>
      <c r="K740" s="1426"/>
      <c r="L740" s="1426"/>
      <c r="M740" s="1426"/>
      <c r="N740" s="1426"/>
      <c r="O740" s="1426"/>
      <c r="P740" s="1426"/>
      <c r="Q740" s="1426"/>
      <c r="R740" s="1426"/>
      <c r="S740" s="1426"/>
      <c r="T740" s="1426"/>
      <c r="U740" s="1427"/>
      <c r="V740" s="1428">
        <f>(V716*((1+V$11)^0.5)/V$10)</f>
        <v>0</v>
      </c>
      <c r="W740" s="1423">
        <f ca="1">IF(V764="n/a",V740,IFERROR(IF((OFFSET($C740,0,$A740))&lt;0,
MIN(0,V740-(OFFSET($C740,0,$A740)/(OFFSET($C735,-$A739,$A740)))),
MAX(0,V740-(OFFSET($C740,0,$A740)/(OFFSET($C735,-$A739,$A740))))),0))</f>
        <v>0</v>
      </c>
      <c r="X740" s="202"/>
      <c r="Y740" s="202"/>
      <c r="Z740" s="202"/>
      <c r="AA740" s="152"/>
      <c r="AB740" s="152"/>
    </row>
    <row r="741" spans="1:28" hidden="1" outlineLevel="1">
      <c r="A741" s="199">
        <f t="shared" si="1056"/>
        <v>20</v>
      </c>
      <c r="B741" s="190" t="str">
        <f ca="1">"Depreciated Net Capex "&amp;OFFSET($C$6,0,A741)</f>
        <v>Depreciated Net Capex 2035-36</v>
      </c>
      <c r="C741" s="1426"/>
      <c r="D741" s="1426"/>
      <c r="E741" s="1426"/>
      <c r="F741" s="1426"/>
      <c r="G741" s="1426"/>
      <c r="H741" s="1426"/>
      <c r="I741" s="1426"/>
      <c r="J741" s="1426"/>
      <c r="K741" s="1426"/>
      <c r="L741" s="1426"/>
      <c r="M741" s="1426"/>
      <c r="N741" s="1426"/>
      <c r="O741" s="1426"/>
      <c r="P741" s="1426"/>
      <c r="Q741" s="1426"/>
      <c r="R741" s="1426"/>
      <c r="S741" s="1426"/>
      <c r="T741" s="1426"/>
      <c r="U741" s="1426"/>
      <c r="V741" s="1427"/>
      <c r="W741" s="1423">
        <f>(W716*((1+W$11)^0.5)/W$10)</f>
        <v>0</v>
      </c>
      <c r="X741" s="152"/>
      <c r="Y741" s="152"/>
      <c r="Z741" s="152"/>
      <c r="AA741" s="152"/>
      <c r="AB741" s="152"/>
    </row>
    <row r="742" spans="1:28" hidden="1" outlineLevel="1">
      <c r="A742" s="152"/>
      <c r="B742" s="200"/>
      <c r="C742" s="1423"/>
      <c r="D742" s="1423"/>
      <c r="E742" s="1423"/>
      <c r="F742" s="1423"/>
      <c r="G742" s="1423"/>
      <c r="H742" s="1423"/>
      <c r="I742" s="1423"/>
      <c r="J742" s="1423"/>
      <c r="K742" s="1423"/>
      <c r="L742" s="1423"/>
      <c r="M742" s="1423"/>
      <c r="N742" s="1423"/>
      <c r="O742" s="1423"/>
      <c r="P742" s="1423"/>
      <c r="Q742" s="1423"/>
      <c r="R742" s="1423"/>
      <c r="S742" s="1423"/>
      <c r="T742" s="1423"/>
      <c r="U742" s="1423"/>
      <c r="V742" s="1423"/>
      <c r="W742" s="1423"/>
      <c r="X742" s="152"/>
      <c r="Y742" s="152"/>
      <c r="Z742" s="152"/>
      <c r="AA742" s="152"/>
      <c r="AB742" s="152"/>
    </row>
    <row r="743" spans="1:28" hidden="1" outlineLevel="1">
      <c r="A743" s="152"/>
      <c r="B743" s="200"/>
      <c r="C743" s="1423"/>
      <c r="D743" s="1423"/>
      <c r="E743" s="1423"/>
      <c r="F743" s="1423"/>
      <c r="G743" s="1423"/>
      <c r="H743" s="1423"/>
      <c r="I743" s="1423"/>
      <c r="J743" s="1423"/>
      <c r="K743" s="1423"/>
      <c r="L743" s="1423"/>
      <c r="M743" s="1423"/>
      <c r="N743" s="1423"/>
      <c r="O743" s="1423"/>
      <c r="P743" s="1423"/>
      <c r="Q743" s="1423"/>
      <c r="R743" s="1423"/>
      <c r="S743" s="1423"/>
      <c r="T743" s="1423"/>
      <c r="U743" s="1423"/>
      <c r="V743" s="1423"/>
      <c r="W743" s="1423"/>
      <c r="X743" s="152"/>
      <c r="Y743" s="152"/>
      <c r="Z743" s="152"/>
      <c r="AA743" s="152"/>
      <c r="AB743" s="152"/>
    </row>
    <row r="744" spans="1:28" hidden="1" outlineLevel="1">
      <c r="A744" s="152"/>
      <c r="B744" s="190" t="s">
        <v>190</v>
      </c>
      <c r="C744" s="1423"/>
      <c r="D744" s="1423">
        <f ca="1">IF(AND(C744&lt;1,D718=0),0,
IF(D718=0,C744-1,
IF(C744&lt;1,D719,
(((C744-1)*(C720-(C720/(C744))))+((D718/D$10)*D719))/(D720))))</f>
        <v>0</v>
      </c>
      <c r="E744" s="1423">
        <f t="shared" ref="E744" ca="1" si="1058">IF(AND(D744&lt;1,E718=0),0,
IF(E718=0,D744-1,
IF(D744&lt;1,E719,
(((D744-1)*(D720-(D720/(D744))))+((E718/E$10)*E719))/(E720))))</f>
        <v>0</v>
      </c>
      <c r="F744" s="1423">
        <f t="shared" ref="F744" ca="1" si="1059">IF(AND(E744&lt;1,F718=0),0,
IF(F718=0,E744-1,
IF(E744&lt;1,F719,
(((E744-1)*(E720-(E720/(E744))))+((F718/F$10)*F719))/(F720))))</f>
        <v>0</v>
      </c>
      <c r="G744" s="1423">
        <f t="shared" ref="G744" ca="1" si="1060">IF(AND(F744&lt;1,G718=0),0,
IF(G718=0,F744-1,
IF(F744&lt;1,G719,
(((F744-1)*(F720-(F720/(F744))))+((G718/G$10)*G719))/(G720))))</f>
        <v>0</v>
      </c>
      <c r="H744" s="1423">
        <f t="shared" ref="H744" ca="1" si="1061">IF(AND(G744&lt;1,H718=0),0,
IF(H718=0,G744-1,
IF(G744&lt;1,H719,
(((G744-1)*(G720-(G720/(G744))))+((H718/H$10)*H719))/(H720))))</f>
        <v>0</v>
      </c>
      <c r="I744" s="1423">
        <f t="shared" ref="I744" ca="1" si="1062">IF(AND(H744&lt;1,I718=0),0,
IF(I718=0,H744-1,
IF(H744&lt;1,I719,
(((H744-1)*(H720-(H720/(H744))))+((I718/I$10)*I719))/(I720))))</f>
        <v>0</v>
      </c>
      <c r="J744" s="1423">
        <f t="shared" ref="J744" ca="1" si="1063">IF(AND(I744&lt;1,J718=0),0,
IF(J718=0,I744-1,
IF(I744&lt;1,J719,
(((I744-1)*(I720-(I720/(I744))))+((J718/J$10)*J719))/(J720))))</f>
        <v>0</v>
      </c>
      <c r="K744" s="1423">
        <f t="shared" ref="K744" ca="1" si="1064">IF(AND(J744&lt;1,K718=0),0,
IF(K718=0,J744-1,
IF(J744&lt;1,K719,
(((J744-1)*(J720-(J720/(J744))))+((K718/K$10)*K719))/(K720))))</f>
        <v>0</v>
      </c>
      <c r="L744" s="1423">
        <f t="shared" ref="L744" ca="1" si="1065">IF(AND(K744&lt;1,L718=0),0,
IF(L718=0,K744-1,
IF(K744&lt;1,L719,
(((K744-1)*(K720-(K720/(K744))))+((L718/L$10)*L719))/(L720))))</f>
        <v>0</v>
      </c>
      <c r="M744" s="1423">
        <f t="shared" ref="M744" ca="1" si="1066">IF(AND(L744&lt;1,M718=0),0,
IF(M718=0,L744-1,
IF(L744&lt;1,M719,
(((L744-1)*(L720-(L720/(L744))))+((M718/M$10)*M719))/(M720))))</f>
        <v>0</v>
      </c>
      <c r="N744" s="1423">
        <f t="shared" ref="N744" ca="1" si="1067">IF(AND(M744&lt;1,N718=0),0,
IF(N718=0,M744-1,
IF(M744&lt;1,N719,
(((M744-1)*(M720-(M720/(M744))))+((N718/N$10)*N719))/(N720))))</f>
        <v>0</v>
      </c>
      <c r="O744" s="1423">
        <f t="shared" ref="O744" ca="1" si="1068">IF(AND(N744&lt;1,O718=0),0,
IF(O718=0,N744-1,
IF(N744&lt;1,O719,
(((N744-1)*(N720-(N720/(N744))))+((O718/O$10)*O719))/(O720))))</f>
        <v>0</v>
      </c>
      <c r="P744" s="1423">
        <f t="shared" ref="P744" ca="1" si="1069">IF(AND(O744&lt;1,P718=0),0,
IF(P718=0,O744-1,
IF(O744&lt;1,P719,
(((O744-1)*(O720-(O720/(O744))))+((P718/P$10)*P719))/(P720))))</f>
        <v>0</v>
      </c>
      <c r="Q744" s="1423">
        <f t="shared" ref="Q744" ca="1" si="1070">IF(AND(P744&lt;1,Q718=0),0,
IF(Q718=0,P744-1,
IF(P744&lt;1,Q719,
(((P744-1)*(P720-(P720/(P744))))+((Q718/Q$10)*Q719))/(Q720))))</f>
        <v>0</v>
      </c>
      <c r="R744" s="1423">
        <f t="shared" ref="R744" ca="1" si="1071">IF(AND(Q744&lt;1,R718=0),0,
IF(R718=0,Q744-1,
IF(Q744&lt;1,R719,
(((Q744-1)*(Q720-(Q720/(Q744))))+((R718/R$10)*R719))/(R720))))</f>
        <v>0</v>
      </c>
      <c r="S744" s="1423">
        <f t="shared" ref="S744" ca="1" si="1072">IF(AND(R744&lt;1,S718=0),0,
IF(S718=0,R744-1,
IF(R744&lt;1,S719,
(((R744-1)*(R720-(R720/(R744))))+((S718/S$10)*S719))/(S720))))</f>
        <v>0</v>
      </c>
      <c r="T744" s="1423">
        <f t="shared" ref="T744" ca="1" si="1073">IF(AND(S744&lt;1,T718=0),0,
IF(T718=0,S744-1,
IF(S744&lt;1,T719,
(((S744-1)*(S720-(S720/(S744))))+((T718/T$10)*T719))/(T720))))</f>
        <v>0</v>
      </c>
      <c r="U744" s="1423">
        <f t="shared" ref="U744" ca="1" si="1074">IF(AND(T744&lt;1,U718=0),0,
IF(U718=0,T744-1,
IF(T744&lt;1,U719,
(((T744-1)*(T720-(T720/(T744))))+((U718/U$10)*U719))/(U720))))</f>
        <v>0</v>
      </c>
      <c r="V744" s="1423">
        <f t="shared" ref="V744" ca="1" si="1075">IF(AND(U744&lt;1,V718=0),0,
IF(V718=0,U744-1,
IF(U744&lt;1,V719,
(((U744-1)*(U720-(U720/(U744))))+((V718/V$10)*V719))/(V720))))</f>
        <v>0</v>
      </c>
      <c r="W744" s="1423">
        <f t="shared" ref="W744" ca="1" si="1076">IF(AND(V744&lt;1,W718=0),0,
IF(W718=0,V744-1,
IF(V744&lt;1,W719,
(((V744-1)*(V720-(V720/(V744))))+((W718/W$10)*W719))/(W720))))</f>
        <v>0</v>
      </c>
      <c r="X744" s="152"/>
      <c r="Y744" s="152"/>
      <c r="Z744" s="152"/>
      <c r="AA744" s="152"/>
      <c r="AB744" s="152"/>
    </row>
    <row r="745" spans="1:28" hidden="1" outlineLevel="1">
      <c r="A745" s="152"/>
      <c r="B745" s="190" t="s">
        <v>122</v>
      </c>
      <c r="C745" s="1423">
        <f ca="1">C717</f>
        <v>0</v>
      </c>
      <c r="D745" s="1423">
        <f t="shared" ref="D745" ca="1" si="1077">IF(C745="n/a","n/a",MAX(0,C745-1))</f>
        <v>0</v>
      </c>
      <c r="E745" s="1423">
        <f t="shared" ref="E745:E746" ca="1" si="1078">IF(D745="n/a","n/a",MAX(0,D745-1))</f>
        <v>0</v>
      </c>
      <c r="F745" s="1423">
        <f t="shared" ref="F745:F747" ca="1" si="1079">IF(E745="n/a","n/a",MAX(0,E745-1))</f>
        <v>0</v>
      </c>
      <c r="G745" s="1423">
        <f t="shared" ref="G745:G748" ca="1" si="1080">IF(F745="n/a","n/a",MAX(0,F745-1))</f>
        <v>0</v>
      </c>
      <c r="H745" s="1423">
        <f t="shared" ref="H745:H749" ca="1" si="1081">IF(G745="n/a","n/a",MAX(0,G745-1))</f>
        <v>0</v>
      </c>
      <c r="I745" s="1423">
        <f t="shared" ref="I745:I750" ca="1" si="1082">IF(H745="n/a","n/a",MAX(0,H745-1))</f>
        <v>0</v>
      </c>
      <c r="J745" s="1423">
        <f t="shared" ref="J745:J751" ca="1" si="1083">IF(I745="n/a","n/a",MAX(0,I745-1))</f>
        <v>0</v>
      </c>
      <c r="K745" s="1423">
        <f t="shared" ref="K745:K752" ca="1" si="1084">IF(J745="n/a","n/a",MAX(0,J745-1))</f>
        <v>0</v>
      </c>
      <c r="L745" s="1423">
        <f t="shared" ref="L745:L753" ca="1" si="1085">IF(K745="n/a","n/a",MAX(0,K745-1))</f>
        <v>0</v>
      </c>
      <c r="M745" s="1423">
        <f t="shared" ref="M745:M754" ca="1" si="1086">IF(L745="n/a","n/a",MAX(0,L745-1))</f>
        <v>0</v>
      </c>
      <c r="N745" s="1423">
        <f t="shared" ref="N745:N755" ca="1" si="1087">IF(M745="n/a","n/a",MAX(0,M745-1))</f>
        <v>0</v>
      </c>
      <c r="O745" s="1423">
        <f t="shared" ref="O745:O756" ca="1" si="1088">IF(N745="n/a","n/a",MAX(0,N745-1))</f>
        <v>0</v>
      </c>
      <c r="P745" s="1423">
        <f t="shared" ref="P745:P757" ca="1" si="1089">IF(O745="n/a","n/a",MAX(0,O745-1))</f>
        <v>0</v>
      </c>
      <c r="Q745" s="1423">
        <f t="shared" ref="Q745:Q758" ca="1" si="1090">IF(P745="n/a","n/a",MAX(0,P745-1))</f>
        <v>0</v>
      </c>
      <c r="R745" s="1423">
        <f t="shared" ref="R745:R759" ca="1" si="1091">IF(Q745="n/a","n/a",MAX(0,Q745-1))</f>
        <v>0</v>
      </c>
      <c r="S745" s="1423">
        <f t="shared" ref="S745:S760" ca="1" si="1092">IF(R745="n/a","n/a",MAX(0,R745-1))</f>
        <v>0</v>
      </c>
      <c r="T745" s="1423">
        <f t="shared" ref="T745:T761" ca="1" si="1093">IF(S745="n/a","n/a",MAX(0,S745-1))</f>
        <v>0</v>
      </c>
      <c r="U745" s="1423">
        <f t="shared" ref="U745:U762" ca="1" si="1094">IF(T745="n/a","n/a",MAX(0,T745-1))</f>
        <v>0</v>
      </c>
      <c r="V745" s="1423">
        <f t="shared" ref="V745:V763" ca="1" si="1095">IF(U745="n/a","n/a",MAX(0,U745-1))</f>
        <v>0</v>
      </c>
      <c r="W745" s="1423">
        <f t="shared" ref="W745:W763" ca="1" si="1096">IF(V745="n/a","n/a",MAX(0,V745-1))</f>
        <v>0</v>
      </c>
      <c r="X745" s="152"/>
      <c r="Y745" s="152"/>
      <c r="Z745" s="152"/>
      <c r="AA745" s="152"/>
      <c r="AB745" s="152"/>
    </row>
    <row r="746" spans="1:28" hidden="1" outlineLevel="1">
      <c r="A746" s="152"/>
      <c r="B746" s="190" t="str">
        <f t="shared" ref="B746:B765" ca="1" si="1097">"RL Capex "&amp;OFFSET($C$6,0,A722)</f>
        <v>RL Capex 2016-17</v>
      </c>
      <c r="C746" s="1424"/>
      <c r="D746" s="1428">
        <f>D717</f>
        <v>0</v>
      </c>
      <c r="E746" s="1423">
        <f t="shared" si="1078"/>
        <v>0</v>
      </c>
      <c r="F746" s="1423">
        <f t="shared" si="1079"/>
        <v>0</v>
      </c>
      <c r="G746" s="1423">
        <f t="shared" si="1080"/>
        <v>0</v>
      </c>
      <c r="H746" s="1423">
        <f t="shared" si="1081"/>
        <v>0</v>
      </c>
      <c r="I746" s="1423">
        <f t="shared" si="1082"/>
        <v>0</v>
      </c>
      <c r="J746" s="1423">
        <f t="shared" si="1083"/>
        <v>0</v>
      </c>
      <c r="K746" s="1423">
        <f t="shared" si="1084"/>
        <v>0</v>
      </c>
      <c r="L746" s="1423">
        <f t="shared" si="1085"/>
        <v>0</v>
      </c>
      <c r="M746" s="1423">
        <f t="shared" si="1086"/>
        <v>0</v>
      </c>
      <c r="N746" s="1423">
        <f t="shared" si="1087"/>
        <v>0</v>
      </c>
      <c r="O746" s="1423">
        <f t="shared" si="1088"/>
        <v>0</v>
      </c>
      <c r="P746" s="1423">
        <f t="shared" si="1089"/>
        <v>0</v>
      </c>
      <c r="Q746" s="1423">
        <f t="shared" si="1090"/>
        <v>0</v>
      </c>
      <c r="R746" s="1423">
        <f t="shared" si="1091"/>
        <v>0</v>
      </c>
      <c r="S746" s="1423">
        <f t="shared" si="1092"/>
        <v>0</v>
      </c>
      <c r="T746" s="1423">
        <f t="shared" si="1093"/>
        <v>0</v>
      </c>
      <c r="U746" s="1423">
        <f t="shared" si="1094"/>
        <v>0</v>
      </c>
      <c r="V746" s="1423">
        <f t="shared" si="1095"/>
        <v>0</v>
      </c>
      <c r="W746" s="1423">
        <f t="shared" si="1096"/>
        <v>0</v>
      </c>
      <c r="X746" s="152"/>
      <c r="Y746" s="152"/>
      <c r="Z746" s="152"/>
      <c r="AA746" s="152"/>
      <c r="AB746" s="152"/>
    </row>
    <row r="747" spans="1:28" hidden="1" outlineLevel="1">
      <c r="A747" s="152"/>
      <c r="B747" s="190" t="str">
        <f t="shared" ca="1" si="1097"/>
        <v>RL Capex 2017-18</v>
      </c>
      <c r="C747" s="1429"/>
      <c r="D747" s="1424"/>
      <c r="E747" s="1428">
        <f>E717</f>
        <v>0</v>
      </c>
      <c r="F747" s="1423">
        <f t="shared" si="1079"/>
        <v>0</v>
      </c>
      <c r="G747" s="1423">
        <f t="shared" si="1080"/>
        <v>0</v>
      </c>
      <c r="H747" s="1423">
        <f t="shared" si="1081"/>
        <v>0</v>
      </c>
      <c r="I747" s="1423">
        <f t="shared" si="1082"/>
        <v>0</v>
      </c>
      <c r="J747" s="1423">
        <f t="shared" si="1083"/>
        <v>0</v>
      </c>
      <c r="K747" s="1423">
        <f t="shared" si="1084"/>
        <v>0</v>
      </c>
      <c r="L747" s="1423">
        <f t="shared" si="1085"/>
        <v>0</v>
      </c>
      <c r="M747" s="1423">
        <f t="shared" si="1086"/>
        <v>0</v>
      </c>
      <c r="N747" s="1423">
        <f t="shared" si="1087"/>
        <v>0</v>
      </c>
      <c r="O747" s="1423">
        <f t="shared" si="1088"/>
        <v>0</v>
      </c>
      <c r="P747" s="1423">
        <f t="shared" si="1089"/>
        <v>0</v>
      </c>
      <c r="Q747" s="1423">
        <f t="shared" si="1090"/>
        <v>0</v>
      </c>
      <c r="R747" s="1423">
        <f t="shared" si="1091"/>
        <v>0</v>
      </c>
      <c r="S747" s="1423">
        <f t="shared" si="1092"/>
        <v>0</v>
      </c>
      <c r="T747" s="1423">
        <f t="shared" si="1093"/>
        <v>0</v>
      </c>
      <c r="U747" s="1423">
        <f t="shared" si="1094"/>
        <v>0</v>
      </c>
      <c r="V747" s="1423">
        <f t="shared" si="1095"/>
        <v>0</v>
      </c>
      <c r="W747" s="1423">
        <f t="shared" si="1096"/>
        <v>0</v>
      </c>
      <c r="X747" s="152"/>
      <c r="Y747" s="152"/>
      <c r="Z747" s="152"/>
      <c r="AA747" s="152"/>
      <c r="AB747" s="152"/>
    </row>
    <row r="748" spans="1:28" hidden="1" outlineLevel="1">
      <c r="A748" s="152"/>
      <c r="B748" s="190" t="str">
        <f t="shared" ca="1" si="1097"/>
        <v>RL Capex 2018-19</v>
      </c>
      <c r="C748" s="1429"/>
      <c r="D748" s="1429"/>
      <c r="E748" s="1424"/>
      <c r="F748" s="1428">
        <f>F717</f>
        <v>0</v>
      </c>
      <c r="G748" s="1423">
        <f t="shared" si="1080"/>
        <v>0</v>
      </c>
      <c r="H748" s="1423">
        <f t="shared" si="1081"/>
        <v>0</v>
      </c>
      <c r="I748" s="1423">
        <f t="shared" si="1082"/>
        <v>0</v>
      </c>
      <c r="J748" s="1423">
        <f t="shared" si="1083"/>
        <v>0</v>
      </c>
      <c r="K748" s="1423">
        <f t="shared" si="1084"/>
        <v>0</v>
      </c>
      <c r="L748" s="1423">
        <f t="shared" si="1085"/>
        <v>0</v>
      </c>
      <c r="M748" s="1423">
        <f t="shared" si="1086"/>
        <v>0</v>
      </c>
      <c r="N748" s="1423">
        <f t="shared" si="1087"/>
        <v>0</v>
      </c>
      <c r="O748" s="1423">
        <f t="shared" si="1088"/>
        <v>0</v>
      </c>
      <c r="P748" s="1423">
        <f t="shared" si="1089"/>
        <v>0</v>
      </c>
      <c r="Q748" s="1423">
        <f t="shared" si="1090"/>
        <v>0</v>
      </c>
      <c r="R748" s="1423">
        <f t="shared" si="1091"/>
        <v>0</v>
      </c>
      <c r="S748" s="1423">
        <f t="shared" si="1092"/>
        <v>0</v>
      </c>
      <c r="T748" s="1423">
        <f t="shared" si="1093"/>
        <v>0</v>
      </c>
      <c r="U748" s="1423">
        <f t="shared" si="1094"/>
        <v>0</v>
      </c>
      <c r="V748" s="1423">
        <f t="shared" si="1095"/>
        <v>0</v>
      </c>
      <c r="W748" s="1423">
        <f t="shared" si="1096"/>
        <v>0</v>
      </c>
      <c r="X748" s="152"/>
      <c r="Y748" s="152"/>
      <c r="Z748" s="152"/>
      <c r="AA748" s="152"/>
      <c r="AB748" s="152"/>
    </row>
    <row r="749" spans="1:28" hidden="1" outlineLevel="1">
      <c r="A749" s="152"/>
      <c r="B749" s="190" t="str">
        <f t="shared" ca="1" si="1097"/>
        <v>RL Capex 2019-20</v>
      </c>
      <c r="C749" s="1429"/>
      <c r="D749" s="1429"/>
      <c r="E749" s="1429"/>
      <c r="F749" s="1424"/>
      <c r="G749" s="1428">
        <f>G717</f>
        <v>0</v>
      </c>
      <c r="H749" s="1423">
        <f t="shared" si="1081"/>
        <v>0</v>
      </c>
      <c r="I749" s="1423">
        <f t="shared" si="1082"/>
        <v>0</v>
      </c>
      <c r="J749" s="1423">
        <f t="shared" si="1083"/>
        <v>0</v>
      </c>
      <c r="K749" s="1423">
        <f t="shared" si="1084"/>
        <v>0</v>
      </c>
      <c r="L749" s="1423">
        <f t="shared" si="1085"/>
        <v>0</v>
      </c>
      <c r="M749" s="1423">
        <f t="shared" si="1086"/>
        <v>0</v>
      </c>
      <c r="N749" s="1423">
        <f t="shared" si="1087"/>
        <v>0</v>
      </c>
      <c r="O749" s="1423">
        <f t="shared" si="1088"/>
        <v>0</v>
      </c>
      <c r="P749" s="1423">
        <f t="shared" si="1089"/>
        <v>0</v>
      </c>
      <c r="Q749" s="1423">
        <f t="shared" si="1090"/>
        <v>0</v>
      </c>
      <c r="R749" s="1423">
        <f t="shared" si="1091"/>
        <v>0</v>
      </c>
      <c r="S749" s="1423">
        <f t="shared" si="1092"/>
        <v>0</v>
      </c>
      <c r="T749" s="1423">
        <f t="shared" si="1093"/>
        <v>0</v>
      </c>
      <c r="U749" s="1423">
        <f t="shared" si="1094"/>
        <v>0</v>
      </c>
      <c r="V749" s="1423">
        <f t="shared" si="1095"/>
        <v>0</v>
      </c>
      <c r="W749" s="1423">
        <f t="shared" si="1096"/>
        <v>0</v>
      </c>
      <c r="X749" s="152"/>
      <c r="Y749" s="152"/>
      <c r="Z749" s="152"/>
      <c r="AA749" s="152"/>
      <c r="AB749" s="152"/>
    </row>
    <row r="750" spans="1:28" hidden="1" outlineLevel="1">
      <c r="A750" s="152"/>
      <c r="B750" s="190" t="str">
        <f t="shared" ca="1" si="1097"/>
        <v>RL Capex 2020-21</v>
      </c>
      <c r="C750" s="1429"/>
      <c r="D750" s="1429"/>
      <c r="E750" s="1429"/>
      <c r="F750" s="1429"/>
      <c r="G750" s="1424"/>
      <c r="H750" s="1428">
        <f>H717</f>
        <v>0</v>
      </c>
      <c r="I750" s="1423">
        <f t="shared" si="1082"/>
        <v>0</v>
      </c>
      <c r="J750" s="1423">
        <f t="shared" si="1083"/>
        <v>0</v>
      </c>
      <c r="K750" s="1423">
        <f t="shared" si="1084"/>
        <v>0</v>
      </c>
      <c r="L750" s="1423">
        <f t="shared" si="1085"/>
        <v>0</v>
      </c>
      <c r="M750" s="1423">
        <f t="shared" si="1086"/>
        <v>0</v>
      </c>
      <c r="N750" s="1423">
        <f t="shared" si="1087"/>
        <v>0</v>
      </c>
      <c r="O750" s="1423">
        <f t="shared" si="1088"/>
        <v>0</v>
      </c>
      <c r="P750" s="1423">
        <f t="shared" si="1089"/>
        <v>0</v>
      </c>
      <c r="Q750" s="1423">
        <f t="shared" si="1090"/>
        <v>0</v>
      </c>
      <c r="R750" s="1423">
        <f t="shared" si="1091"/>
        <v>0</v>
      </c>
      <c r="S750" s="1423">
        <f t="shared" si="1092"/>
        <v>0</v>
      </c>
      <c r="T750" s="1423">
        <f t="shared" si="1093"/>
        <v>0</v>
      </c>
      <c r="U750" s="1423">
        <f t="shared" si="1094"/>
        <v>0</v>
      </c>
      <c r="V750" s="1423">
        <f t="shared" si="1095"/>
        <v>0</v>
      </c>
      <c r="W750" s="1423">
        <f t="shared" si="1096"/>
        <v>0</v>
      </c>
      <c r="X750" s="152"/>
      <c r="Y750" s="152"/>
      <c r="Z750" s="152"/>
      <c r="AA750" s="152"/>
      <c r="AB750" s="152"/>
    </row>
    <row r="751" spans="1:28" hidden="1" outlineLevel="1">
      <c r="A751" s="152"/>
      <c r="B751" s="190" t="str">
        <f t="shared" ca="1" si="1097"/>
        <v>RL Capex 2021-22</v>
      </c>
      <c r="C751" s="1429"/>
      <c r="D751" s="1429"/>
      <c r="E751" s="1429"/>
      <c r="F751" s="1429"/>
      <c r="G751" s="1429"/>
      <c r="H751" s="1424"/>
      <c r="I751" s="1428">
        <f>I717</f>
        <v>0</v>
      </c>
      <c r="J751" s="1423">
        <f t="shared" si="1083"/>
        <v>0</v>
      </c>
      <c r="K751" s="1423">
        <f t="shared" si="1084"/>
        <v>0</v>
      </c>
      <c r="L751" s="1423">
        <f t="shared" si="1085"/>
        <v>0</v>
      </c>
      <c r="M751" s="1423">
        <f t="shared" si="1086"/>
        <v>0</v>
      </c>
      <c r="N751" s="1423">
        <f t="shared" si="1087"/>
        <v>0</v>
      </c>
      <c r="O751" s="1423">
        <f t="shared" si="1088"/>
        <v>0</v>
      </c>
      <c r="P751" s="1423">
        <f t="shared" si="1089"/>
        <v>0</v>
      </c>
      <c r="Q751" s="1423">
        <f t="shared" si="1090"/>
        <v>0</v>
      </c>
      <c r="R751" s="1423">
        <f t="shared" si="1091"/>
        <v>0</v>
      </c>
      <c r="S751" s="1423">
        <f t="shared" si="1092"/>
        <v>0</v>
      </c>
      <c r="T751" s="1423">
        <f t="shared" si="1093"/>
        <v>0</v>
      </c>
      <c r="U751" s="1423">
        <f t="shared" si="1094"/>
        <v>0</v>
      </c>
      <c r="V751" s="1423">
        <f t="shared" si="1095"/>
        <v>0</v>
      </c>
      <c r="W751" s="1423">
        <f t="shared" si="1096"/>
        <v>0</v>
      </c>
      <c r="X751" s="152"/>
      <c r="Y751" s="152"/>
      <c r="Z751" s="152"/>
      <c r="AA751" s="152"/>
      <c r="AB751" s="152"/>
    </row>
    <row r="752" spans="1:28" hidden="1" outlineLevel="1">
      <c r="A752" s="152"/>
      <c r="B752" s="190" t="str">
        <f t="shared" ca="1" si="1097"/>
        <v>RL Capex 2022-23</v>
      </c>
      <c r="C752" s="1429"/>
      <c r="D752" s="1429"/>
      <c r="E752" s="1429"/>
      <c r="F752" s="1429"/>
      <c r="G752" s="1429"/>
      <c r="H752" s="1429"/>
      <c r="I752" s="1424"/>
      <c r="J752" s="1428">
        <f>J717</f>
        <v>0</v>
      </c>
      <c r="K752" s="1423">
        <f t="shared" si="1084"/>
        <v>0</v>
      </c>
      <c r="L752" s="1423">
        <f t="shared" si="1085"/>
        <v>0</v>
      </c>
      <c r="M752" s="1423">
        <f t="shared" si="1086"/>
        <v>0</v>
      </c>
      <c r="N752" s="1423">
        <f t="shared" si="1087"/>
        <v>0</v>
      </c>
      <c r="O752" s="1423">
        <f t="shared" si="1088"/>
        <v>0</v>
      </c>
      <c r="P752" s="1423">
        <f t="shared" si="1089"/>
        <v>0</v>
      </c>
      <c r="Q752" s="1423">
        <f t="shared" si="1090"/>
        <v>0</v>
      </c>
      <c r="R752" s="1423">
        <f t="shared" si="1091"/>
        <v>0</v>
      </c>
      <c r="S752" s="1423">
        <f t="shared" si="1092"/>
        <v>0</v>
      </c>
      <c r="T752" s="1423">
        <f t="shared" si="1093"/>
        <v>0</v>
      </c>
      <c r="U752" s="1423">
        <f t="shared" si="1094"/>
        <v>0</v>
      </c>
      <c r="V752" s="1423">
        <f t="shared" si="1095"/>
        <v>0</v>
      </c>
      <c r="W752" s="1423">
        <f t="shared" si="1096"/>
        <v>0</v>
      </c>
      <c r="X752" s="152"/>
      <c r="Y752" s="152"/>
      <c r="Z752" s="152"/>
      <c r="AA752" s="152"/>
      <c r="AB752" s="152"/>
    </row>
    <row r="753" spans="1:28" hidden="1" outlineLevel="1">
      <c r="A753" s="152"/>
      <c r="B753" s="190" t="str">
        <f t="shared" ca="1" si="1097"/>
        <v>RL Capex 2023-24</v>
      </c>
      <c r="C753" s="1429"/>
      <c r="D753" s="1429"/>
      <c r="E753" s="1429"/>
      <c r="F753" s="1429"/>
      <c r="G753" s="1429"/>
      <c r="H753" s="1429"/>
      <c r="I753" s="1429"/>
      <c r="J753" s="1424"/>
      <c r="K753" s="1428">
        <f>K717</f>
        <v>0</v>
      </c>
      <c r="L753" s="1423">
        <f t="shared" si="1085"/>
        <v>0</v>
      </c>
      <c r="M753" s="1423">
        <f t="shared" si="1086"/>
        <v>0</v>
      </c>
      <c r="N753" s="1423">
        <f t="shared" si="1087"/>
        <v>0</v>
      </c>
      <c r="O753" s="1423">
        <f t="shared" si="1088"/>
        <v>0</v>
      </c>
      <c r="P753" s="1423">
        <f t="shared" si="1089"/>
        <v>0</v>
      </c>
      <c r="Q753" s="1423">
        <f t="shared" si="1090"/>
        <v>0</v>
      </c>
      <c r="R753" s="1423">
        <f t="shared" si="1091"/>
        <v>0</v>
      </c>
      <c r="S753" s="1423">
        <f t="shared" si="1092"/>
        <v>0</v>
      </c>
      <c r="T753" s="1423">
        <f t="shared" si="1093"/>
        <v>0</v>
      </c>
      <c r="U753" s="1423">
        <f t="shared" si="1094"/>
        <v>0</v>
      </c>
      <c r="V753" s="1423">
        <f t="shared" si="1095"/>
        <v>0</v>
      </c>
      <c r="W753" s="1423">
        <f t="shared" si="1096"/>
        <v>0</v>
      </c>
      <c r="X753" s="152"/>
      <c r="Y753" s="152"/>
      <c r="Z753" s="152"/>
      <c r="AA753" s="152"/>
      <c r="AB753" s="152"/>
    </row>
    <row r="754" spans="1:28" hidden="1" outlineLevel="1">
      <c r="A754" s="152"/>
      <c r="B754" s="190" t="str">
        <f t="shared" ca="1" si="1097"/>
        <v>RL Capex 2024-25</v>
      </c>
      <c r="C754" s="1429"/>
      <c r="D754" s="1429"/>
      <c r="E754" s="1429"/>
      <c r="F754" s="1429"/>
      <c r="G754" s="1429"/>
      <c r="H754" s="1429"/>
      <c r="I754" s="1429"/>
      <c r="J754" s="1429"/>
      <c r="K754" s="1424"/>
      <c r="L754" s="1428">
        <f>L717</f>
        <v>0</v>
      </c>
      <c r="M754" s="1423">
        <f t="shared" si="1086"/>
        <v>0</v>
      </c>
      <c r="N754" s="1423">
        <f t="shared" si="1087"/>
        <v>0</v>
      </c>
      <c r="O754" s="1423">
        <f t="shared" si="1088"/>
        <v>0</v>
      </c>
      <c r="P754" s="1423">
        <f t="shared" si="1089"/>
        <v>0</v>
      </c>
      <c r="Q754" s="1423">
        <f t="shared" si="1090"/>
        <v>0</v>
      </c>
      <c r="R754" s="1423">
        <f t="shared" si="1091"/>
        <v>0</v>
      </c>
      <c r="S754" s="1423">
        <f t="shared" si="1092"/>
        <v>0</v>
      </c>
      <c r="T754" s="1423">
        <f t="shared" si="1093"/>
        <v>0</v>
      </c>
      <c r="U754" s="1423">
        <f t="shared" si="1094"/>
        <v>0</v>
      </c>
      <c r="V754" s="1423">
        <f t="shared" si="1095"/>
        <v>0</v>
      </c>
      <c r="W754" s="1423">
        <f t="shared" si="1096"/>
        <v>0</v>
      </c>
      <c r="X754" s="152"/>
      <c r="Y754" s="152"/>
      <c r="Z754" s="152"/>
      <c r="AA754" s="152"/>
      <c r="AB754" s="152"/>
    </row>
    <row r="755" spans="1:28" hidden="1" outlineLevel="1">
      <c r="A755" s="152"/>
      <c r="B755" s="190" t="str">
        <f t="shared" ca="1" si="1097"/>
        <v>RL Capex 2025-26</v>
      </c>
      <c r="C755" s="1429"/>
      <c r="D755" s="1429"/>
      <c r="E755" s="1429"/>
      <c r="F755" s="1429"/>
      <c r="G755" s="1429"/>
      <c r="H755" s="1429"/>
      <c r="I755" s="1429"/>
      <c r="J755" s="1429"/>
      <c r="K755" s="1429"/>
      <c r="L755" s="1424"/>
      <c r="M755" s="1428">
        <f>M717</f>
        <v>0</v>
      </c>
      <c r="N755" s="1423">
        <f t="shared" si="1087"/>
        <v>0</v>
      </c>
      <c r="O755" s="1423">
        <f t="shared" si="1088"/>
        <v>0</v>
      </c>
      <c r="P755" s="1423">
        <f t="shared" si="1089"/>
        <v>0</v>
      </c>
      <c r="Q755" s="1423">
        <f t="shared" si="1090"/>
        <v>0</v>
      </c>
      <c r="R755" s="1423">
        <f t="shared" si="1091"/>
        <v>0</v>
      </c>
      <c r="S755" s="1423">
        <f t="shared" si="1092"/>
        <v>0</v>
      </c>
      <c r="T755" s="1423">
        <f t="shared" si="1093"/>
        <v>0</v>
      </c>
      <c r="U755" s="1423">
        <f t="shared" si="1094"/>
        <v>0</v>
      </c>
      <c r="V755" s="1423">
        <f t="shared" si="1095"/>
        <v>0</v>
      </c>
      <c r="W755" s="1423">
        <f t="shared" si="1096"/>
        <v>0</v>
      </c>
      <c r="X755" s="152"/>
      <c r="Y755" s="152"/>
      <c r="Z755" s="152"/>
      <c r="AA755" s="152"/>
      <c r="AB755" s="152"/>
    </row>
    <row r="756" spans="1:28" hidden="1" outlineLevel="1">
      <c r="A756" s="152"/>
      <c r="B756" s="190" t="str">
        <f t="shared" ca="1" si="1097"/>
        <v>RL Capex 2026-27</v>
      </c>
      <c r="C756" s="1429"/>
      <c r="D756" s="1429"/>
      <c r="E756" s="1429"/>
      <c r="F756" s="1429"/>
      <c r="G756" s="1429"/>
      <c r="H756" s="1429"/>
      <c r="I756" s="1429"/>
      <c r="J756" s="1429"/>
      <c r="K756" s="1429"/>
      <c r="L756" s="1429"/>
      <c r="M756" s="1424"/>
      <c r="N756" s="1428">
        <f>N717</f>
        <v>0</v>
      </c>
      <c r="O756" s="1423">
        <f t="shared" si="1088"/>
        <v>0</v>
      </c>
      <c r="P756" s="1423">
        <f t="shared" si="1089"/>
        <v>0</v>
      </c>
      <c r="Q756" s="1423">
        <f t="shared" si="1090"/>
        <v>0</v>
      </c>
      <c r="R756" s="1423">
        <f t="shared" si="1091"/>
        <v>0</v>
      </c>
      <c r="S756" s="1423">
        <f t="shared" si="1092"/>
        <v>0</v>
      </c>
      <c r="T756" s="1423">
        <f t="shared" si="1093"/>
        <v>0</v>
      </c>
      <c r="U756" s="1423">
        <f t="shared" si="1094"/>
        <v>0</v>
      </c>
      <c r="V756" s="1423">
        <f t="shared" si="1095"/>
        <v>0</v>
      </c>
      <c r="W756" s="1423">
        <f t="shared" si="1096"/>
        <v>0</v>
      </c>
      <c r="X756" s="152"/>
      <c r="Y756" s="152"/>
      <c r="Z756" s="152"/>
      <c r="AA756" s="152"/>
      <c r="AB756" s="152"/>
    </row>
    <row r="757" spans="1:28" hidden="1" outlineLevel="1">
      <c r="A757" s="152"/>
      <c r="B757" s="190" t="str">
        <f t="shared" ca="1" si="1097"/>
        <v>RL Capex 2027-28</v>
      </c>
      <c r="C757" s="1429"/>
      <c r="D757" s="1429"/>
      <c r="E757" s="1429"/>
      <c r="F757" s="1429"/>
      <c r="G757" s="1429"/>
      <c r="H757" s="1429"/>
      <c r="I757" s="1429"/>
      <c r="J757" s="1429"/>
      <c r="K757" s="1429"/>
      <c r="L757" s="1429"/>
      <c r="M757" s="1429"/>
      <c r="N757" s="1424"/>
      <c r="O757" s="1428">
        <f>O717</f>
        <v>0</v>
      </c>
      <c r="P757" s="1423">
        <f t="shared" si="1089"/>
        <v>0</v>
      </c>
      <c r="Q757" s="1423">
        <f t="shared" si="1090"/>
        <v>0</v>
      </c>
      <c r="R757" s="1423">
        <f t="shared" si="1091"/>
        <v>0</v>
      </c>
      <c r="S757" s="1423">
        <f t="shared" si="1092"/>
        <v>0</v>
      </c>
      <c r="T757" s="1423">
        <f t="shared" si="1093"/>
        <v>0</v>
      </c>
      <c r="U757" s="1423">
        <f t="shared" si="1094"/>
        <v>0</v>
      </c>
      <c r="V757" s="1423">
        <f t="shared" si="1095"/>
        <v>0</v>
      </c>
      <c r="W757" s="1423">
        <f t="shared" si="1096"/>
        <v>0</v>
      </c>
      <c r="X757" s="152"/>
      <c r="Y757" s="152"/>
      <c r="Z757" s="152"/>
      <c r="AA757" s="152"/>
      <c r="AB757" s="152"/>
    </row>
    <row r="758" spans="1:28" hidden="1" outlineLevel="1">
      <c r="A758" s="152"/>
      <c r="B758" s="190" t="str">
        <f t="shared" ca="1" si="1097"/>
        <v>RL Capex 2028-29</v>
      </c>
      <c r="C758" s="1429"/>
      <c r="D758" s="1429"/>
      <c r="E758" s="1429"/>
      <c r="F758" s="1429"/>
      <c r="G758" s="1429"/>
      <c r="H758" s="1429"/>
      <c r="I758" s="1429"/>
      <c r="J758" s="1429"/>
      <c r="K758" s="1429"/>
      <c r="L758" s="1429"/>
      <c r="M758" s="1429"/>
      <c r="N758" s="1429"/>
      <c r="O758" s="1424"/>
      <c r="P758" s="1428">
        <f>P717</f>
        <v>0</v>
      </c>
      <c r="Q758" s="1423">
        <f t="shared" si="1090"/>
        <v>0</v>
      </c>
      <c r="R758" s="1423">
        <f t="shared" si="1091"/>
        <v>0</v>
      </c>
      <c r="S758" s="1423">
        <f t="shared" si="1092"/>
        <v>0</v>
      </c>
      <c r="T758" s="1423">
        <f t="shared" si="1093"/>
        <v>0</v>
      </c>
      <c r="U758" s="1423">
        <f t="shared" si="1094"/>
        <v>0</v>
      </c>
      <c r="V758" s="1423">
        <f t="shared" si="1095"/>
        <v>0</v>
      </c>
      <c r="W758" s="1423">
        <f t="shared" si="1096"/>
        <v>0</v>
      </c>
      <c r="X758" s="152"/>
      <c r="Y758" s="152"/>
      <c r="Z758" s="152"/>
      <c r="AA758" s="152"/>
      <c r="AB758" s="152"/>
    </row>
    <row r="759" spans="1:28" hidden="1" outlineLevel="1">
      <c r="A759" s="152"/>
      <c r="B759" s="190" t="str">
        <f t="shared" ca="1" si="1097"/>
        <v>RL Capex 2029-30</v>
      </c>
      <c r="C759" s="1429"/>
      <c r="D759" s="1429"/>
      <c r="E759" s="1429"/>
      <c r="F759" s="1429"/>
      <c r="G759" s="1429"/>
      <c r="H759" s="1429"/>
      <c r="I759" s="1429"/>
      <c r="J759" s="1429"/>
      <c r="K759" s="1429"/>
      <c r="L759" s="1429"/>
      <c r="M759" s="1429"/>
      <c r="N759" s="1429"/>
      <c r="O759" s="1429"/>
      <c r="P759" s="1424"/>
      <c r="Q759" s="1428">
        <f>Q717</f>
        <v>0</v>
      </c>
      <c r="R759" s="1423">
        <f t="shared" si="1091"/>
        <v>0</v>
      </c>
      <c r="S759" s="1423">
        <f t="shared" si="1092"/>
        <v>0</v>
      </c>
      <c r="T759" s="1423">
        <f t="shared" si="1093"/>
        <v>0</v>
      </c>
      <c r="U759" s="1423">
        <f t="shared" si="1094"/>
        <v>0</v>
      </c>
      <c r="V759" s="1423">
        <f t="shared" si="1095"/>
        <v>0</v>
      </c>
      <c r="W759" s="1423">
        <f t="shared" si="1096"/>
        <v>0</v>
      </c>
      <c r="X759" s="152"/>
      <c r="Y759" s="152"/>
      <c r="Z759" s="152"/>
      <c r="AA759" s="152"/>
      <c r="AB759" s="152"/>
    </row>
    <row r="760" spans="1:28" hidden="1" outlineLevel="1">
      <c r="A760" s="152"/>
      <c r="B760" s="190" t="str">
        <f t="shared" ca="1" si="1097"/>
        <v>RL Capex 2030-31</v>
      </c>
      <c r="C760" s="1429"/>
      <c r="D760" s="1429"/>
      <c r="E760" s="1429"/>
      <c r="F760" s="1429"/>
      <c r="G760" s="1429"/>
      <c r="H760" s="1429"/>
      <c r="I760" s="1429"/>
      <c r="J760" s="1429"/>
      <c r="K760" s="1429"/>
      <c r="L760" s="1429"/>
      <c r="M760" s="1429"/>
      <c r="N760" s="1429"/>
      <c r="O760" s="1429"/>
      <c r="P760" s="1429"/>
      <c r="Q760" s="1424"/>
      <c r="R760" s="1428">
        <f>R717</f>
        <v>0</v>
      </c>
      <c r="S760" s="1423">
        <f t="shared" si="1092"/>
        <v>0</v>
      </c>
      <c r="T760" s="1423">
        <f t="shared" si="1093"/>
        <v>0</v>
      </c>
      <c r="U760" s="1423">
        <f t="shared" si="1094"/>
        <v>0</v>
      </c>
      <c r="V760" s="1423">
        <f t="shared" si="1095"/>
        <v>0</v>
      </c>
      <c r="W760" s="1423">
        <f t="shared" si="1096"/>
        <v>0</v>
      </c>
      <c r="X760" s="152"/>
      <c r="Y760" s="152"/>
      <c r="Z760" s="152"/>
      <c r="AA760" s="152"/>
      <c r="AB760" s="152"/>
    </row>
    <row r="761" spans="1:28" hidden="1" outlineLevel="1">
      <c r="A761" s="152"/>
      <c r="B761" s="190" t="str">
        <f t="shared" ca="1" si="1097"/>
        <v>RL Capex 2031-32</v>
      </c>
      <c r="C761" s="1429"/>
      <c r="D761" s="1429"/>
      <c r="E761" s="1429"/>
      <c r="F761" s="1429"/>
      <c r="G761" s="1429"/>
      <c r="H761" s="1429"/>
      <c r="I761" s="1429"/>
      <c r="J761" s="1429"/>
      <c r="K761" s="1429"/>
      <c r="L761" s="1429"/>
      <c r="M761" s="1429"/>
      <c r="N761" s="1429"/>
      <c r="O761" s="1429"/>
      <c r="P761" s="1429"/>
      <c r="Q761" s="1429"/>
      <c r="R761" s="1424"/>
      <c r="S761" s="1428">
        <f>S717</f>
        <v>0</v>
      </c>
      <c r="T761" s="1423">
        <f t="shared" si="1093"/>
        <v>0</v>
      </c>
      <c r="U761" s="1423">
        <f t="shared" si="1094"/>
        <v>0</v>
      </c>
      <c r="V761" s="1423">
        <f t="shared" si="1095"/>
        <v>0</v>
      </c>
      <c r="W761" s="1423">
        <f t="shared" si="1096"/>
        <v>0</v>
      </c>
      <c r="X761" s="152"/>
      <c r="Y761" s="152"/>
      <c r="Z761" s="152"/>
      <c r="AA761" s="152"/>
      <c r="AB761" s="152"/>
    </row>
    <row r="762" spans="1:28" hidden="1" outlineLevel="1">
      <c r="A762" s="152"/>
      <c r="B762" s="190" t="str">
        <f t="shared" ca="1" si="1097"/>
        <v>RL Capex 2032-33</v>
      </c>
      <c r="C762" s="1429"/>
      <c r="D762" s="1429"/>
      <c r="E762" s="1429"/>
      <c r="F762" s="1429"/>
      <c r="G762" s="1429"/>
      <c r="H762" s="1429"/>
      <c r="I762" s="1429"/>
      <c r="J762" s="1429"/>
      <c r="K762" s="1429"/>
      <c r="L762" s="1429"/>
      <c r="M762" s="1429"/>
      <c r="N762" s="1429"/>
      <c r="O762" s="1429"/>
      <c r="P762" s="1429"/>
      <c r="Q762" s="1429"/>
      <c r="R762" s="1429"/>
      <c r="S762" s="1424"/>
      <c r="T762" s="1428">
        <f>T717</f>
        <v>0</v>
      </c>
      <c r="U762" s="1423">
        <f t="shared" si="1094"/>
        <v>0</v>
      </c>
      <c r="V762" s="1423">
        <f t="shared" si="1095"/>
        <v>0</v>
      </c>
      <c r="W762" s="1423">
        <f t="shared" si="1096"/>
        <v>0</v>
      </c>
      <c r="X762" s="152"/>
      <c r="Y762" s="152"/>
      <c r="Z762" s="152"/>
      <c r="AA762" s="152"/>
      <c r="AB762" s="152"/>
    </row>
    <row r="763" spans="1:28" hidden="1" outlineLevel="1">
      <c r="A763" s="152"/>
      <c r="B763" s="190" t="str">
        <f t="shared" ca="1" si="1097"/>
        <v>RL Capex 2033-34</v>
      </c>
      <c r="C763" s="1429"/>
      <c r="D763" s="1429"/>
      <c r="E763" s="1429"/>
      <c r="F763" s="1429"/>
      <c r="G763" s="1429"/>
      <c r="H763" s="1429"/>
      <c r="I763" s="1429"/>
      <c r="J763" s="1429"/>
      <c r="K763" s="1429"/>
      <c r="L763" s="1429"/>
      <c r="M763" s="1429"/>
      <c r="N763" s="1429"/>
      <c r="O763" s="1429"/>
      <c r="P763" s="1429"/>
      <c r="Q763" s="1429"/>
      <c r="R763" s="1429"/>
      <c r="S763" s="1429"/>
      <c r="T763" s="1424"/>
      <c r="U763" s="1428">
        <f>U717</f>
        <v>0</v>
      </c>
      <c r="V763" s="1423">
        <f t="shared" si="1095"/>
        <v>0</v>
      </c>
      <c r="W763" s="1423">
        <f t="shared" si="1096"/>
        <v>0</v>
      </c>
      <c r="X763" s="152"/>
      <c r="Y763" s="152"/>
      <c r="Z763" s="152"/>
      <c r="AA763" s="152"/>
      <c r="AB763" s="152"/>
    </row>
    <row r="764" spans="1:28" hidden="1" outlineLevel="1">
      <c r="A764" s="152"/>
      <c r="B764" s="190" t="str">
        <f t="shared" ca="1" si="1097"/>
        <v>RL Capex 2034-35</v>
      </c>
      <c r="C764" s="1429"/>
      <c r="D764" s="1429"/>
      <c r="E764" s="1429"/>
      <c r="F764" s="1429"/>
      <c r="G764" s="1429"/>
      <c r="H764" s="1429"/>
      <c r="I764" s="1429"/>
      <c r="J764" s="1429"/>
      <c r="K764" s="1429"/>
      <c r="L764" s="1429"/>
      <c r="M764" s="1429"/>
      <c r="N764" s="1429"/>
      <c r="O764" s="1429"/>
      <c r="P764" s="1429"/>
      <c r="Q764" s="1429"/>
      <c r="R764" s="1429"/>
      <c r="S764" s="1429"/>
      <c r="T764" s="1429"/>
      <c r="U764" s="1424"/>
      <c r="V764" s="1428">
        <f>V717</f>
        <v>0</v>
      </c>
      <c r="W764" s="1423">
        <f>IF(V764="n/a","n/a",MAX(0,V764-1))</f>
        <v>0</v>
      </c>
      <c r="X764" s="152"/>
      <c r="Y764" s="152"/>
      <c r="Z764" s="152"/>
      <c r="AA764" s="152"/>
      <c r="AB764" s="152"/>
    </row>
    <row r="765" spans="1:28" hidden="1" outlineLevel="1">
      <c r="A765" s="152"/>
      <c r="B765" s="190" t="str">
        <f t="shared" ca="1" si="1097"/>
        <v>RL Capex 2035-36</v>
      </c>
      <c r="C765" s="1429"/>
      <c r="D765" s="1429"/>
      <c r="E765" s="1429"/>
      <c r="F765" s="1429"/>
      <c r="G765" s="1429"/>
      <c r="H765" s="1429"/>
      <c r="I765" s="1429"/>
      <c r="J765" s="1429"/>
      <c r="K765" s="1429"/>
      <c r="L765" s="1429"/>
      <c r="M765" s="1429"/>
      <c r="N765" s="1429"/>
      <c r="O765" s="1429"/>
      <c r="P765" s="1429"/>
      <c r="Q765" s="1429"/>
      <c r="R765" s="1429"/>
      <c r="S765" s="1429"/>
      <c r="T765" s="1429"/>
      <c r="U765" s="1429"/>
      <c r="V765" s="1424"/>
      <c r="W765" s="1423">
        <f>W717</f>
        <v>0</v>
      </c>
      <c r="X765" s="152"/>
      <c r="Y765" s="152"/>
      <c r="Z765" s="152"/>
      <c r="AA765" s="152"/>
      <c r="AB765" s="152"/>
    </row>
    <row r="766" spans="1:28" hidden="1" outlineLevel="1">
      <c r="A766" s="152"/>
      <c r="B766" s="200"/>
      <c r="C766" s="1423"/>
      <c r="D766" s="1423"/>
      <c r="E766" s="1423"/>
      <c r="F766" s="1423"/>
      <c r="G766" s="1423"/>
      <c r="H766" s="1423"/>
      <c r="I766" s="1423"/>
      <c r="J766" s="1423"/>
      <c r="K766" s="1423"/>
      <c r="L766" s="1423"/>
      <c r="M766" s="1423"/>
      <c r="N766" s="1423"/>
      <c r="O766" s="1423"/>
      <c r="P766" s="1423"/>
      <c r="Q766" s="1423"/>
      <c r="R766" s="1423"/>
      <c r="S766" s="1423"/>
      <c r="T766" s="1423"/>
      <c r="U766" s="1423"/>
      <c r="V766" s="1423"/>
      <c r="W766" s="1423"/>
      <c r="X766" s="152"/>
      <c r="Y766" s="152"/>
      <c r="Z766" s="152"/>
      <c r="AA766" s="152"/>
      <c r="AB766" s="152"/>
    </row>
    <row r="767" spans="1:28" collapsed="1">
      <c r="A767" s="194"/>
      <c r="B767" s="204" t="s">
        <v>123</v>
      </c>
      <c r="C767" s="1430">
        <f ca="1">(IF(OR($C717&lt;&gt;"n/a",C717&lt;&gt;"n/a"),IF(SUM(C720:C742)=0,0,IF((SUMPRODUCT(C720:C742,C744:C766)/SUM(C720:C742))&lt;0,1,(SUMPRODUCT(C720:C742,C744:C766)/SUM(C720:C742)))),"n/a"))</f>
        <v>0</v>
      </c>
      <c r="D767" s="1430">
        <f ca="1">(IF(OR($C717&lt;&gt;"n/a",D717&lt;&gt;"n/a"),IF(SUM(D720:D742)=0,0,IF((SUMPRODUCT(D720:D742,D744:D766)/SUM(D720:D742))&lt;0,1,(SUMPRODUCT(D720:D742,D744:D766)/SUM(D720:D742)))),"n/a"))</f>
        <v>0</v>
      </c>
      <c r="E767" s="1430">
        <f t="shared" ref="E767:W767" ca="1" si="1098">(IF(OR($C717&lt;&gt;"n/a",E717&lt;&gt;"n/a"),IF(SUM(E720:E742)=0,0,IF((SUMPRODUCT(E720:E742,E744:E766)/SUM(E720:E742))&lt;0,1,(SUMPRODUCT(E720:E742,E744:E766)/SUM(E720:E742)))),"n/a"))</f>
        <v>0</v>
      </c>
      <c r="F767" s="1430">
        <f t="shared" ca="1" si="1098"/>
        <v>0</v>
      </c>
      <c r="G767" s="1430">
        <f t="shared" ca="1" si="1098"/>
        <v>0</v>
      </c>
      <c r="H767" s="1430">
        <f t="shared" ca="1" si="1098"/>
        <v>0</v>
      </c>
      <c r="I767" s="1430">
        <f t="shared" ca="1" si="1098"/>
        <v>0</v>
      </c>
      <c r="J767" s="1430">
        <f t="shared" ca="1" si="1098"/>
        <v>0</v>
      </c>
      <c r="K767" s="1430">
        <f t="shared" ca="1" si="1098"/>
        <v>0</v>
      </c>
      <c r="L767" s="1430">
        <f t="shared" ca="1" si="1098"/>
        <v>0</v>
      </c>
      <c r="M767" s="1430">
        <f t="shared" ca="1" si="1098"/>
        <v>0</v>
      </c>
      <c r="N767" s="1430">
        <f t="shared" ca="1" si="1098"/>
        <v>0</v>
      </c>
      <c r="O767" s="1430">
        <f t="shared" ca="1" si="1098"/>
        <v>0</v>
      </c>
      <c r="P767" s="1430">
        <f t="shared" ca="1" si="1098"/>
        <v>0</v>
      </c>
      <c r="Q767" s="1430">
        <f t="shared" ca="1" si="1098"/>
        <v>0</v>
      </c>
      <c r="R767" s="1430">
        <f t="shared" ca="1" si="1098"/>
        <v>0</v>
      </c>
      <c r="S767" s="1430">
        <f t="shared" ca="1" si="1098"/>
        <v>0</v>
      </c>
      <c r="T767" s="1430">
        <f t="shared" ca="1" si="1098"/>
        <v>0</v>
      </c>
      <c r="U767" s="1430">
        <f t="shared" ca="1" si="1098"/>
        <v>0</v>
      </c>
      <c r="V767" s="1430">
        <f t="shared" ca="1" si="1098"/>
        <v>0</v>
      </c>
      <c r="W767" s="1430">
        <f t="shared" ca="1" si="1098"/>
        <v>0</v>
      </c>
      <c r="X767" s="152"/>
      <c r="Y767" s="152"/>
      <c r="Z767" s="152"/>
      <c r="AA767" s="152"/>
      <c r="AB767" s="152"/>
    </row>
    <row r="768" spans="1:28">
      <c r="A768" s="152"/>
      <c r="B768" s="152"/>
      <c r="C768" s="1423"/>
      <c r="D768" s="1423"/>
      <c r="E768" s="1423"/>
      <c r="F768" s="1423"/>
      <c r="G768" s="1423"/>
      <c r="H768" s="1423"/>
      <c r="I768" s="1423"/>
      <c r="J768" s="1423"/>
      <c r="K768" s="1423"/>
      <c r="L768" s="1423"/>
      <c r="M768" s="1423"/>
      <c r="N768" s="1423"/>
      <c r="O768" s="1423"/>
      <c r="P768" s="1423"/>
      <c r="Q768" s="1423"/>
      <c r="R768" s="1423"/>
      <c r="S768" s="1423"/>
      <c r="T768" s="1423"/>
      <c r="U768" s="1423"/>
      <c r="V768" s="1423"/>
      <c r="W768" s="1423"/>
      <c r="X768" s="152"/>
      <c r="Y768" s="152"/>
      <c r="Z768" s="152"/>
      <c r="AA768" s="152"/>
      <c r="AB768" s="152"/>
    </row>
    <row r="769" spans="1:28">
      <c r="A769" s="269" t="s">
        <v>15</v>
      </c>
      <c r="B769" s="270">
        <f>VLOOKUP($A769,'RFM input'!$E$7:$F$56,2,FALSE)</f>
        <v>0</v>
      </c>
      <c r="C769" s="1431"/>
      <c r="D769" s="1431"/>
      <c r="E769" s="1432"/>
      <c r="F769" s="1432"/>
      <c r="G769" s="1432"/>
      <c r="H769" s="1432"/>
      <c r="I769" s="1432"/>
      <c r="J769" s="1432"/>
      <c r="K769" s="1432"/>
      <c r="L769" s="1432"/>
      <c r="M769" s="1432"/>
      <c r="N769" s="1432"/>
      <c r="O769" s="1432"/>
      <c r="P769" s="1432"/>
      <c r="Q769" s="1432"/>
      <c r="R769" s="1432"/>
      <c r="S769" s="1432"/>
      <c r="T769" s="1432"/>
      <c r="U769" s="1432"/>
      <c r="V769" s="1432"/>
      <c r="W769" s="1432"/>
      <c r="X769" s="152"/>
      <c r="Y769" s="152"/>
      <c r="Z769" s="152"/>
      <c r="AA769" s="152"/>
      <c r="AB769" s="152"/>
    </row>
    <row r="770" spans="1:28">
      <c r="A770" s="215">
        <f>VALUE(REPLACE(A769,1,12,""))</f>
        <v>15</v>
      </c>
      <c r="B770" s="193" t="s">
        <v>126</v>
      </c>
      <c r="C770" s="1416">
        <f ca="1">IF($C$8='Capital Base roll forward'!$H$4,OFFSET('Capital Base roll forward'!$H$717,'RAB remaining lives'!A770,0),"enter input")</f>
        <v>0</v>
      </c>
      <c r="D770" s="1417">
        <f>IF(LEFT(D$6,4)&lt;LEFT('RFM input'!$G$60,4),"enter input",IF(LEFT(D$6,4)&gt;LEFT('RFM input'!$Q$60,4),0,INDEX('RFM input'!$G$61:$Q$110,$A770,MATCH(D$6,'RFM input'!$G$60:$Q$60,0))
-INDEX('RFM input'!$G$115:$Q$164,$A770,MATCH(D$6,'RFM input'!$G$60:$Q$60,0))
-INDEX('RFM input'!$G$169:$Q$218,$A770,MATCH(D$6,'RFM input'!$G$60:$Q$60,0))))</f>
        <v>0</v>
      </c>
      <c r="E770" s="1417">
        <f>IF(LEFT(E$6,4)&lt;LEFT('RFM input'!$G$60,4),"enter input",IF(LEFT(E$6,4)&gt;LEFT('RFM input'!$Q$60,4),0,INDEX('RFM input'!$G$61:$Q$110,$A770,MATCH(E$6,'RFM input'!$G$60:$Q$60,0))
-INDEX('RFM input'!$G$115:$Q$164,$A770,MATCH(E$6,'RFM input'!$G$60:$Q$60,0))
-INDEX('RFM input'!$G$169:$Q$218,$A770,MATCH(E$6,'RFM input'!$G$60:$Q$60,0))))</f>
        <v>0</v>
      </c>
      <c r="F770" s="1417">
        <f>IF(LEFT(F$6,4)&lt;LEFT('RFM input'!$G$60,4),"enter input",IF(LEFT(F$6,4)&gt;LEFT('RFM input'!$Q$60,4),0,INDEX('RFM input'!$G$61:$Q$110,$A770,MATCH(F$6,'RFM input'!$G$60:$Q$60,0))
-INDEX('RFM input'!$G$115:$Q$164,$A770,MATCH(F$6,'RFM input'!$G$60:$Q$60,0))
-INDEX('RFM input'!$G$169:$Q$218,$A770,MATCH(F$6,'RFM input'!$G$60:$Q$60,0))))</f>
        <v>0</v>
      </c>
      <c r="G770" s="1417">
        <f>IF(LEFT(G$6,4)&lt;LEFT('RFM input'!$G$60,4),"enter input",IF(LEFT(G$6,4)&gt;LEFT('RFM input'!$Q$60,4),0,INDEX('RFM input'!$G$61:$Q$110,$A770,MATCH(G$6,'RFM input'!$G$60:$Q$60,0))
-INDEX('RFM input'!$G$115:$Q$164,$A770,MATCH(G$6,'RFM input'!$G$60:$Q$60,0))
-INDEX('RFM input'!$G$169:$Q$218,$A770,MATCH(G$6,'RFM input'!$G$60:$Q$60,0))))</f>
        <v>0</v>
      </c>
      <c r="H770" s="1417">
        <f>IF(LEFT(H$6,4)&lt;LEFT('RFM input'!$G$60,4),"enter input",IF(LEFT(H$6,4)&gt;LEFT('RFM input'!$Q$60,4),0,INDEX('RFM input'!$G$61:$Q$110,$A770,MATCH(H$6,'RFM input'!$G$60:$Q$60,0))
-INDEX('RFM input'!$G$115:$Q$164,$A770,MATCH(H$6,'RFM input'!$G$60:$Q$60,0))
-INDEX('RFM input'!$G$169:$Q$218,$A770,MATCH(H$6,'RFM input'!$G$60:$Q$60,0))))</f>
        <v>0</v>
      </c>
      <c r="I770" s="1417">
        <f>IF(LEFT(I$6,4)&lt;LEFT('RFM input'!$G$60,4),"enter input",IF(LEFT(I$6,4)&gt;LEFT('RFM input'!$Q$60,4),0,INDEX('RFM input'!$G$61:$Q$110,$A770,MATCH(I$6,'RFM input'!$G$60:$Q$60,0))
-INDEX('RFM input'!$G$115:$Q$164,$A770,MATCH(I$6,'RFM input'!$G$60:$Q$60,0))
-INDEX('RFM input'!$G$169:$Q$218,$A770,MATCH(I$6,'RFM input'!$G$60:$Q$60,0))))</f>
        <v>0</v>
      </c>
      <c r="J770" s="1417">
        <f>IF(LEFT(J$6,4)&lt;LEFT('RFM input'!$G$60,4),"enter input",IF(LEFT(J$6,4)&gt;LEFT('RFM input'!$Q$60,4),0,INDEX('RFM input'!$G$61:$Q$110,$A770,MATCH(J$6,'RFM input'!$G$60:$Q$60,0))
-INDEX('RFM input'!$G$115:$Q$164,$A770,MATCH(J$6,'RFM input'!$G$60:$Q$60,0))
-INDEX('RFM input'!$G$169:$Q$218,$A770,MATCH(J$6,'RFM input'!$G$60:$Q$60,0))))</f>
        <v>0</v>
      </c>
      <c r="K770" s="1417">
        <f>IF(LEFT(K$6,4)&lt;LEFT('RFM input'!$G$60,4),"enter input",IF(LEFT(K$6,4)&gt;LEFT('RFM input'!$Q$60,4),0,INDEX('RFM input'!$G$61:$Q$110,$A770,MATCH(K$6,'RFM input'!$G$60:$Q$60,0))
-INDEX('RFM input'!$G$115:$Q$164,$A770,MATCH(K$6,'RFM input'!$G$60:$Q$60,0))
-INDEX('RFM input'!$G$169:$Q$218,$A770,MATCH(K$6,'RFM input'!$G$60:$Q$60,0))))</f>
        <v>0</v>
      </c>
      <c r="L770" s="1417">
        <f>IF(LEFT(L$6,4)&lt;LEFT('RFM input'!$G$60,4),"enter input",IF(LEFT(L$6,4)&gt;LEFT('RFM input'!$Q$60,4),0,INDEX('RFM input'!$G$61:$Q$110,$A770,MATCH(L$6,'RFM input'!$G$60:$Q$60,0))
-INDEX('RFM input'!$G$115:$Q$164,$A770,MATCH(L$6,'RFM input'!$G$60:$Q$60,0))
-INDEX('RFM input'!$G$169:$Q$218,$A770,MATCH(L$6,'RFM input'!$G$60:$Q$60,0))))</f>
        <v>0</v>
      </c>
      <c r="M770" s="1417">
        <f>IF(LEFT(M$6,4)&lt;LEFT('RFM input'!$G$60,4),"enter input",IF(LEFT(M$6,4)&gt;LEFT('RFM input'!$Q$60,4),0,INDEX('RFM input'!$G$61:$Q$110,$A770,MATCH(M$6,'RFM input'!$G$60:$Q$60,0))
-INDEX('RFM input'!$G$115:$Q$164,$A770,MATCH(M$6,'RFM input'!$G$60:$Q$60,0))
-INDEX('RFM input'!$G$169:$Q$218,$A770,MATCH(M$6,'RFM input'!$G$60:$Q$60,0))))</f>
        <v>0</v>
      </c>
      <c r="N770" s="1417">
        <f>IF(LEFT(N$6,4)&lt;LEFT('RFM input'!$G$60,4),"enter input",IF(LEFT(N$6,4)&gt;LEFT('RFM input'!$Q$60,4),0,INDEX('RFM input'!$G$61:$Q$110,$A770,MATCH(N$6,'RFM input'!$G$60:$Q$60,0))
-INDEX('RFM input'!$G$115:$Q$164,$A770,MATCH(N$6,'RFM input'!$G$60:$Q$60,0))
-INDEX('RFM input'!$G$169:$Q$218,$A770,MATCH(N$6,'RFM input'!$G$60:$Q$60,0))))</f>
        <v>0</v>
      </c>
      <c r="O770" s="1417">
        <f>IF(LEFT(O$6,4)&lt;LEFT('RFM input'!$G$60,4),"enter input",IF(LEFT(O$6,4)&gt;LEFT('RFM input'!$Q$60,4),0,INDEX('RFM input'!$G$61:$Q$110,$A770,MATCH(O$6,'RFM input'!$G$60:$Q$60,0))
-INDEX('RFM input'!$G$115:$Q$164,$A770,MATCH(O$6,'RFM input'!$G$60:$Q$60,0))
-INDEX('RFM input'!$G$169:$Q$218,$A770,MATCH(O$6,'RFM input'!$G$60:$Q$60,0))))</f>
        <v>0</v>
      </c>
      <c r="P770" s="1417">
        <f>IF(LEFT(P$6,4)&lt;LEFT('RFM input'!$G$60,4),"enter input",IF(LEFT(P$6,4)&gt;LEFT('RFM input'!$Q$60,4),0,INDEX('RFM input'!$G$61:$Q$110,$A770,MATCH(P$6,'RFM input'!$G$60:$Q$60,0))
-INDEX('RFM input'!$G$115:$Q$164,$A770,MATCH(P$6,'RFM input'!$G$60:$Q$60,0))
-INDEX('RFM input'!$G$169:$Q$218,$A770,MATCH(P$6,'RFM input'!$G$60:$Q$60,0))))</f>
        <v>0</v>
      </c>
      <c r="Q770" s="1417">
        <f>IF(LEFT(Q$6,4)&lt;LEFT('RFM input'!$G$60,4),"enter input",IF(LEFT(Q$6,4)&gt;LEFT('RFM input'!$Q$60,4),0,INDEX('RFM input'!$G$61:$Q$110,$A770,MATCH(Q$6,'RFM input'!$G$60:$Q$60,0))
-INDEX('RFM input'!$G$115:$Q$164,$A770,MATCH(Q$6,'RFM input'!$G$60:$Q$60,0))
-INDEX('RFM input'!$G$169:$Q$218,$A770,MATCH(Q$6,'RFM input'!$G$60:$Q$60,0))))</f>
        <v>0</v>
      </c>
      <c r="R770" s="1417">
        <f>IF(LEFT(R$6,4)&lt;LEFT('RFM input'!$G$60,4),"enter input",IF(LEFT(R$6,4)&gt;LEFT('RFM input'!$Q$60,4),0,INDEX('RFM input'!$G$61:$Q$110,$A770,MATCH(R$6,'RFM input'!$G$60:$Q$60,0))
-INDEX('RFM input'!$G$115:$Q$164,$A770,MATCH(R$6,'RFM input'!$G$60:$Q$60,0))
-INDEX('RFM input'!$G$169:$Q$218,$A770,MATCH(R$6,'RFM input'!$G$60:$Q$60,0))))</f>
        <v>0</v>
      </c>
      <c r="S770" s="1417">
        <f>IF(LEFT(S$6,4)&lt;LEFT('RFM input'!$G$60,4),"enter input",IF(LEFT(S$6,4)&gt;LEFT('RFM input'!$Q$60,4),0,INDEX('RFM input'!$G$61:$Q$110,$A770,MATCH(S$6,'RFM input'!$G$60:$Q$60,0))
-INDEX('RFM input'!$G$115:$Q$164,$A770,MATCH(S$6,'RFM input'!$G$60:$Q$60,0))
-INDEX('RFM input'!$G$169:$Q$218,$A770,MATCH(S$6,'RFM input'!$G$60:$Q$60,0))))</f>
        <v>0</v>
      </c>
      <c r="T770" s="1417">
        <f>IF(LEFT(T$6,4)&lt;LEFT('RFM input'!$G$60,4),"enter input",IF(LEFT(T$6,4)&gt;LEFT('RFM input'!$Q$60,4),0,INDEX('RFM input'!$G$61:$Q$110,$A770,MATCH(T$6,'RFM input'!$G$60:$Q$60,0))
-INDEX('RFM input'!$G$115:$Q$164,$A770,MATCH(T$6,'RFM input'!$G$60:$Q$60,0))
-INDEX('RFM input'!$G$169:$Q$218,$A770,MATCH(T$6,'RFM input'!$G$60:$Q$60,0))))</f>
        <v>0</v>
      </c>
      <c r="U770" s="1417">
        <f>IF(LEFT(U$6,4)&lt;LEFT('RFM input'!$G$60,4),"enter input",IF(LEFT(U$6,4)&gt;LEFT('RFM input'!$Q$60,4),0,INDEX('RFM input'!$G$61:$Q$110,$A770,MATCH(U$6,'RFM input'!$G$60:$Q$60,0))
-INDEX('RFM input'!$G$115:$Q$164,$A770,MATCH(U$6,'RFM input'!$G$60:$Q$60,0))
-INDEX('RFM input'!$G$169:$Q$218,$A770,MATCH(U$6,'RFM input'!$G$60:$Q$60,0))))</f>
        <v>0</v>
      </c>
      <c r="V770" s="1417">
        <f>IF(LEFT(V$6,4)&lt;LEFT('RFM input'!$G$60,4),"enter input",IF(LEFT(V$6,4)&gt;LEFT('RFM input'!$Q$60,4),0,INDEX('RFM input'!$G$61:$Q$110,$A770,MATCH(V$6,'RFM input'!$G$60:$Q$60,0))
-INDEX('RFM input'!$G$115:$Q$164,$A770,MATCH(V$6,'RFM input'!$G$60:$Q$60,0))
-INDEX('RFM input'!$G$169:$Q$218,$A770,MATCH(V$6,'RFM input'!$G$60:$Q$60,0))))</f>
        <v>0</v>
      </c>
      <c r="W770" s="1417">
        <f>IF(LEFT(W$6,4)&lt;LEFT('RFM input'!$G$60,4),"enter input",IF(LEFT(W$6,4)&gt;LEFT('RFM input'!$Q$60,4),0,INDEX('RFM input'!$G$61:$Q$110,$A770,MATCH(W$6,'RFM input'!$G$60:$Q$60,0))
-INDEX('RFM input'!$G$115:$Q$164,$A770,MATCH(W$6,'RFM input'!$G$60:$Q$60,0))
-INDEX('RFM input'!$G$169:$Q$218,$A770,MATCH(W$6,'RFM input'!$G$60:$Q$60,0))))</f>
        <v>0</v>
      </c>
      <c r="X770" s="152"/>
      <c r="Y770" s="152"/>
      <c r="Z770" s="152"/>
      <c r="AA770" s="152"/>
      <c r="AB770" s="152"/>
    </row>
    <row r="771" spans="1:28">
      <c r="A771" s="152"/>
      <c r="B771" s="152" t="s">
        <v>204</v>
      </c>
      <c r="C771" s="1418">
        <f ca="1">IF($C$8='Capital Base roll forward'!$H$4,OFFSET('RFM input'!$J$6,'RAB remaining lives'!A770,0),"enter input")</f>
        <v>0</v>
      </c>
      <c r="D771" s="1417">
        <f>IF(LEFT(D$6,4)&lt;=LEFT('RFM input'!$G$60,4),"enter input",IF(LEFT(D$6,4)&gt;LEFT('RFM input'!$Q$60,4),0,IF(MATCH(D$6,'RFM input'!$H$60:$Q$60,0),INDEX('RFM input'!$K$7:$K$56,$A770,1))))</f>
        <v>0</v>
      </c>
      <c r="E771" s="1417">
        <f>IF(LEFT(E$6,4)&lt;=LEFT('RFM input'!$G$60,4),"enter input",IF(LEFT(E$6,4)&gt;LEFT('RFM input'!$Q$60,4),0,IF(MATCH(E$6,'RFM input'!$H$60:$Q$60,0),INDEX('RFM input'!$K$7:$K$56,$A770,1))))</f>
        <v>0</v>
      </c>
      <c r="F771" s="1417">
        <f>IF(LEFT(F$6,4)&lt;=LEFT('RFM input'!$G$60,4),"enter input",IF(LEFT(F$6,4)&gt;LEFT('RFM input'!$Q$60,4),0,IF(MATCH(F$6,'RFM input'!$H$60:$Q$60,0),INDEX('RFM input'!$K$7:$K$56,$A770,1))))</f>
        <v>0</v>
      </c>
      <c r="G771" s="1417">
        <f>IF(LEFT(G$6,4)&lt;=LEFT('RFM input'!$G$60,4),"enter input",IF(LEFT(G$6,4)&gt;LEFT('RFM input'!$Q$60,4),0,IF(MATCH(G$6,'RFM input'!$H$60:$Q$60,0),INDEX('RFM input'!$K$7:$K$56,$A770,1))))</f>
        <v>0</v>
      </c>
      <c r="H771" s="1417">
        <f>IF(LEFT(H$6,4)&lt;=LEFT('RFM input'!$G$60,4),"enter input",IF(LEFT(H$6,4)&gt;LEFT('RFM input'!$Q$60,4),0,IF(MATCH(H$6,'RFM input'!$H$60:$Q$60,0),INDEX('RFM input'!$K$7:$K$56,$A770,1))))</f>
        <v>0</v>
      </c>
      <c r="I771" s="1417">
        <f>IF(LEFT(I$6,4)&lt;=LEFT('RFM input'!$G$60,4),"enter input",IF(LEFT(I$6,4)&gt;LEFT('RFM input'!$Q$60,4),0,IF(MATCH(I$6,'RFM input'!$H$60:$Q$60,0),INDEX('RFM input'!$K$7:$K$56,$A770,1))))</f>
        <v>0</v>
      </c>
      <c r="J771" s="1417">
        <f>IF(LEFT(J$6,4)&lt;=LEFT('RFM input'!$G$60,4),"enter input",IF(LEFT(J$6,4)&gt;LEFT('RFM input'!$Q$60,4),0,IF(MATCH(J$6,'RFM input'!$H$60:$Q$60,0),INDEX('RFM input'!$K$7:$K$56,$A770,1))))</f>
        <v>0</v>
      </c>
      <c r="K771" s="1417">
        <f>IF(LEFT(K$6,4)&lt;=LEFT('RFM input'!$G$60,4),"enter input",IF(LEFT(K$6,4)&gt;LEFT('RFM input'!$Q$60,4),0,IF(MATCH(K$6,'RFM input'!$H$60:$Q$60,0),INDEX('RFM input'!$K$7:$K$56,$A770,1))))</f>
        <v>0</v>
      </c>
      <c r="L771" s="1417">
        <f>IF(LEFT(L$6,4)&lt;=LEFT('RFM input'!$G$60,4),"enter input",IF(LEFT(L$6,4)&gt;LEFT('RFM input'!$Q$60,4),0,IF(MATCH(L$6,'RFM input'!$H$60:$Q$60,0),INDEX('RFM input'!$K$7:$K$56,$A770,1))))</f>
        <v>0</v>
      </c>
      <c r="M771" s="1417">
        <f>IF(LEFT(M$6,4)&lt;=LEFT('RFM input'!$G$60,4),"enter input",IF(LEFT(M$6,4)&gt;LEFT('RFM input'!$Q$60,4),0,IF(MATCH(M$6,'RFM input'!$H$60:$Q$60,0),INDEX('RFM input'!$K$7:$K$56,$A770,1))))</f>
        <v>0</v>
      </c>
      <c r="N771" s="1417">
        <f>IF(LEFT(N$6,4)&lt;=LEFT('RFM input'!$G$60,4),"enter input",IF(LEFT(N$6,4)&gt;LEFT('RFM input'!$Q$60,4),0,IF(MATCH(N$6,'RFM input'!$H$60:$Q$60,0),INDEX('RFM input'!$K$7:$K$56,$A770,1))))</f>
        <v>0</v>
      </c>
      <c r="O771" s="1417">
        <f>IF(LEFT(O$6,4)&lt;=LEFT('RFM input'!$G$60,4),"enter input",IF(LEFT(O$6,4)&gt;LEFT('RFM input'!$Q$60,4),0,IF(MATCH(O$6,'RFM input'!$H$60:$Q$60,0),INDEX('RFM input'!$K$7:$K$56,$A770,1))))</f>
        <v>0</v>
      </c>
      <c r="P771" s="1417">
        <f>IF(LEFT(P$6,4)&lt;=LEFT('RFM input'!$G$60,4),"enter input",IF(LEFT(P$6,4)&gt;LEFT('RFM input'!$Q$60,4),0,IF(MATCH(P$6,'RFM input'!$H$60:$Q$60,0),INDEX('RFM input'!$K$7:$K$56,$A770,1))))</f>
        <v>0</v>
      </c>
      <c r="Q771" s="1417">
        <f>IF(LEFT(Q$6,4)&lt;=LEFT('RFM input'!$G$60,4),"enter input",IF(LEFT(Q$6,4)&gt;LEFT('RFM input'!$Q$60,4),0,IF(MATCH(Q$6,'RFM input'!$H$60:$Q$60,0),INDEX('RFM input'!$K$7:$K$56,$A770,1))))</f>
        <v>0</v>
      </c>
      <c r="R771" s="1417">
        <f>IF(LEFT(R$6,4)&lt;=LEFT('RFM input'!$G$60,4),"enter input",IF(LEFT(R$6,4)&gt;LEFT('RFM input'!$Q$60,4),0,IF(MATCH(R$6,'RFM input'!$H$60:$Q$60,0),INDEX('RFM input'!$K$7:$K$56,$A770,1))))</f>
        <v>0</v>
      </c>
      <c r="S771" s="1417">
        <f>IF(LEFT(S$6,4)&lt;=LEFT('RFM input'!$G$60,4),"enter input",IF(LEFT(S$6,4)&gt;LEFT('RFM input'!$Q$60,4),0,IF(MATCH(S$6,'RFM input'!$H$60:$Q$60,0),INDEX('RFM input'!$K$7:$K$56,$A770,1))))</f>
        <v>0</v>
      </c>
      <c r="T771" s="1417">
        <f>IF(LEFT(T$6,4)&lt;=LEFT('RFM input'!$G$60,4),"enter input",IF(LEFT(T$6,4)&gt;LEFT('RFM input'!$Q$60,4),0,IF(MATCH(T$6,'RFM input'!$H$60:$Q$60,0),INDEX('RFM input'!$K$7:$K$56,$A770,1))))</f>
        <v>0</v>
      </c>
      <c r="U771" s="1417">
        <f>IF(LEFT(U$6,4)&lt;=LEFT('RFM input'!$G$60,4),"enter input",IF(LEFT(U$6,4)&gt;LEFT('RFM input'!$Q$60,4),0,IF(MATCH(U$6,'RFM input'!$H$60:$Q$60,0),INDEX('RFM input'!$K$7:$K$56,$A770,1))))</f>
        <v>0</v>
      </c>
      <c r="V771" s="1417">
        <f>IF(LEFT(V$6,4)&lt;=LEFT('RFM input'!$G$60,4),"enter input",IF(LEFT(V$6,4)&gt;LEFT('RFM input'!$Q$60,4),0,IF(MATCH(V$6,'RFM input'!$H$60:$Q$60,0),INDEX('RFM input'!$K$7:$K$56,$A770,1))))</f>
        <v>0</v>
      </c>
      <c r="W771" s="1417">
        <f>IF(LEFT(W$6,4)&lt;=LEFT('RFM input'!$G$60,4),"enter input",IF(LEFT(W$6,4)&gt;LEFT('RFM input'!$Q$60,4),0,IF(MATCH(W$6,'RFM input'!$H$60:$Q$60,0),INDEX('RFM input'!$K$7:$K$56,$A770,1))))</f>
        <v>0</v>
      </c>
      <c r="X771" s="152"/>
      <c r="Y771" s="152"/>
      <c r="Z771" s="152"/>
      <c r="AA771" s="152"/>
      <c r="AB771" s="152"/>
    </row>
    <row r="772" spans="1:28">
      <c r="A772" s="152"/>
      <c r="B772" s="177" t="s">
        <v>191</v>
      </c>
      <c r="C772" s="1419"/>
      <c r="D772" s="1420">
        <f ca="1">IF(LEFT(D$6,4)&lt;=LEFT('RFM input'!$G$60,4),"enter input",IF(LEFT(D$6,4)&gt;LEFT('RFM input'!$Q$60,4),0,IF(D$6=(OFFSET('RFM input'!$G$60,0,'RFM input'!$V$7)),OFFSET('RFM input'!$G$411,$A770,0),0)))</f>
        <v>0</v>
      </c>
      <c r="E772" s="1417">
        <f ca="1">IF(LEFT(E$6,4)&lt;=LEFT('RFM input'!$G$60,4),"enter input",IF(LEFT(E$6,4)&gt;LEFT('RFM input'!$Q$60,4),0,IF(E$6=(OFFSET('RFM input'!$G$60,0,'RFM input'!$V$7)),OFFSET('RFM input'!$G$411,$A770,0),0)))</f>
        <v>0</v>
      </c>
      <c r="F772" s="1417">
        <f ca="1">IF(LEFT(F$6,4)&lt;=LEFT('RFM input'!$G$60,4),"enter input",IF(LEFT(F$6,4)&gt;LEFT('RFM input'!$Q$60,4),0,IF(F$6=(OFFSET('RFM input'!$G$60,0,'RFM input'!$V$7)),OFFSET('RFM input'!$G$411,$A770,0),0)))</f>
        <v>0</v>
      </c>
      <c r="G772" s="1417">
        <f ca="1">IF(LEFT(G$6,4)&lt;=LEFT('RFM input'!$G$60,4),"enter input",IF(LEFT(G$6,4)&gt;LEFT('RFM input'!$Q$60,4),0,IF(G$6=(OFFSET('RFM input'!$G$60,0,'RFM input'!$V$7)),OFFSET('RFM input'!$G$411,$A770,0),0)))</f>
        <v>0</v>
      </c>
      <c r="H772" s="1417">
        <f ca="1">IF(LEFT(H$6,4)&lt;=LEFT('RFM input'!$G$60,4),"enter input",IF(LEFT(H$6,4)&gt;LEFT('RFM input'!$Q$60,4),0,IF(H$6=(OFFSET('RFM input'!$G$60,0,'RFM input'!$V$7)),OFFSET('RFM input'!$G$411,$A770,0),0)))</f>
        <v>0</v>
      </c>
      <c r="I772" s="1417">
        <f ca="1">IF(LEFT(I$6,4)&lt;=LEFT('RFM input'!$G$60,4),"enter input",IF(LEFT(I$6,4)&gt;LEFT('RFM input'!$Q$60,4),0,IF(I$6=(OFFSET('RFM input'!$G$60,0,'RFM input'!$V$7)),OFFSET('RFM input'!$G$411,$A770,0),0)))</f>
        <v>0</v>
      </c>
      <c r="J772" s="1417">
        <f ca="1">IF(LEFT(J$6,4)&lt;=LEFT('RFM input'!$G$60,4),"enter input",IF(LEFT(J$6,4)&gt;LEFT('RFM input'!$Q$60,4),0,IF(J$6=(OFFSET('RFM input'!$G$60,0,'RFM input'!$V$7)),OFFSET('RFM input'!$G$411,$A770,0),0)))</f>
        <v>0</v>
      </c>
      <c r="K772" s="1417">
        <f ca="1">IF(LEFT(K$6,4)&lt;=LEFT('RFM input'!$G$60,4),"enter input",IF(LEFT(K$6,4)&gt;LEFT('RFM input'!$Q$60,4),0,IF(K$6=(OFFSET('RFM input'!$G$60,0,'RFM input'!$V$7)),OFFSET('RFM input'!$G$411,$A770,0),0)))</f>
        <v>0</v>
      </c>
      <c r="L772" s="1417">
        <f ca="1">IF(LEFT(L$6,4)&lt;=LEFT('RFM input'!$G$60,4),"enter input",IF(LEFT(L$6,4)&gt;LEFT('RFM input'!$Q$60,4),0,IF(L$6=(OFFSET('RFM input'!$G$60,0,'RFM input'!$V$7)),OFFSET('RFM input'!$G$411,$A770,0),0)))</f>
        <v>0</v>
      </c>
      <c r="M772" s="1417">
        <f ca="1">IF(LEFT(M$6,4)&lt;=LEFT('RFM input'!$G$60,4),"enter input",IF(LEFT(M$6,4)&gt;LEFT('RFM input'!$Q$60,4),0,IF(M$6=(OFFSET('RFM input'!$G$60,0,'RFM input'!$V$7)),OFFSET('RFM input'!$G$411,$A770,0),0)))</f>
        <v>0</v>
      </c>
      <c r="N772" s="1417">
        <f ca="1">IF(LEFT(N$6,4)&lt;=LEFT('RFM input'!$G$60,4),"enter input",IF(LEFT(N$6,4)&gt;LEFT('RFM input'!$Q$60,4),0,IF(N$6=(OFFSET('RFM input'!$G$60,0,'RFM input'!$V$7)),OFFSET('RFM input'!$G$411,$A770,0),0)))</f>
        <v>0</v>
      </c>
      <c r="O772" s="1417">
        <f ca="1">IF(LEFT(O$6,4)&lt;=LEFT('RFM input'!$G$60,4),"enter input",IF(LEFT(O$6,4)&gt;LEFT('RFM input'!$Q$60,4),0,IF(O$6=(OFFSET('RFM input'!$G$60,0,'RFM input'!$V$7)),OFFSET('RFM input'!$G$411,$A770,0),0)))</f>
        <v>0</v>
      </c>
      <c r="P772" s="1417">
        <f ca="1">IF(LEFT(P$6,4)&lt;=LEFT('RFM input'!$G$60,4),"enter input",IF(LEFT(P$6,4)&gt;LEFT('RFM input'!$Q$60,4),0,IF(P$6=(OFFSET('RFM input'!$G$60,0,'RFM input'!$V$7)),OFFSET('RFM input'!$G$411,$A770,0),0)))</f>
        <v>0</v>
      </c>
      <c r="Q772" s="1417">
        <f ca="1">IF(LEFT(Q$6,4)&lt;=LEFT('RFM input'!$G$60,4),"enter input",IF(LEFT(Q$6,4)&gt;LEFT('RFM input'!$Q$60,4),0,IF(Q$6=(OFFSET('RFM input'!$G$60,0,'RFM input'!$V$7)),OFFSET('RFM input'!$G$411,$A770,0),0)))</f>
        <v>0</v>
      </c>
      <c r="R772" s="1417">
        <f ca="1">IF(LEFT(R$6,4)&lt;=LEFT('RFM input'!$G$60,4),"enter input",IF(LEFT(R$6,4)&gt;LEFT('RFM input'!$Q$60,4),0,IF(R$6=(OFFSET('RFM input'!$G$60,0,'RFM input'!$V$7)),OFFSET('RFM input'!$G$411,$A770,0),0)))</f>
        <v>0</v>
      </c>
      <c r="S772" s="1417">
        <f ca="1">IF(LEFT(S$6,4)&lt;=LEFT('RFM input'!$G$60,4),"enter input",IF(LEFT(S$6,4)&gt;LEFT('RFM input'!$Q$60,4),0,IF(S$6=(OFFSET('RFM input'!$G$60,0,'RFM input'!$V$7)),OFFSET('RFM input'!$G$411,$A770,0),0)))</f>
        <v>0</v>
      </c>
      <c r="T772" s="1417">
        <f ca="1">IF(LEFT(T$6,4)&lt;=LEFT('RFM input'!$G$60,4),"enter input",IF(LEFT(T$6,4)&gt;LEFT('RFM input'!$Q$60,4),0,IF(T$6=(OFFSET('RFM input'!$G$60,0,'RFM input'!$V$7)),OFFSET('RFM input'!$G$411,$A770,0),0)))</f>
        <v>0</v>
      </c>
      <c r="U772" s="1417">
        <f ca="1">IF(LEFT(U$6,4)&lt;=LEFT('RFM input'!$G$60,4),"enter input",IF(LEFT(U$6,4)&gt;LEFT('RFM input'!$Q$60,4),0,IF(U$6=(OFFSET('RFM input'!$G$60,0,'RFM input'!$V$7)),OFFSET('RFM input'!$G$411,$A770,0),0)))</f>
        <v>0</v>
      </c>
      <c r="V772" s="1417">
        <f ca="1">IF(LEFT(V$6,4)&lt;=LEFT('RFM input'!$G$60,4),"enter input",IF(LEFT(V$6,4)&gt;LEFT('RFM input'!$Q$60,4),0,IF(V$6=(OFFSET('RFM input'!$G$60,0,'RFM input'!$V$7)),OFFSET('RFM input'!$G$411,$A770,0),0)))</f>
        <v>0</v>
      </c>
      <c r="W772" s="1417">
        <f ca="1">IF(LEFT(W$6,4)&lt;=LEFT('RFM input'!$G$60,4),"enter input",IF(LEFT(W$6,4)&gt;LEFT('RFM input'!$Q$60,4),0,IF(W$6=(OFFSET('RFM input'!$G$60,0,'RFM input'!$V$7)),OFFSET('RFM input'!$G$411,$A770,0),0)))</f>
        <v>0</v>
      </c>
      <c r="X772" s="152"/>
      <c r="Y772" s="152"/>
      <c r="Z772" s="152"/>
      <c r="AA772" s="152"/>
      <c r="AB772" s="152"/>
    </row>
    <row r="773" spans="1:28">
      <c r="A773" s="152"/>
      <c r="B773" s="195" t="s">
        <v>197</v>
      </c>
      <c r="C773" s="1419"/>
      <c r="D773" s="1418">
        <f ca="1">IF(LEFT(D$6,4)&lt;=LEFT('RFM input'!$G$60,4),"enter input",IF(LEFT(D$6,4)&gt;LEFT('RFM input'!$Q$60,4),0,IF(D$6=(OFFSET('RFM input'!$G$60,0,'RFM input'!$V$7)),OFFSET('RFM input'!$I$411,$A770,0),0)))</f>
        <v>0</v>
      </c>
      <c r="E773" s="1422">
        <f ca="1">IF(LEFT(E$6,4)&lt;=LEFT('RFM input'!$G$60,4),"enter input",IF(LEFT(E$6,4)&gt;LEFT('RFM input'!$Q$60,4),0,IF(E$6=(OFFSET('RFM input'!$G$60,0,'RFM input'!$V$7)),OFFSET('RFM input'!$I$411,$A770,0),0)))</f>
        <v>0</v>
      </c>
      <c r="F773" s="1422">
        <f ca="1">IF(LEFT(F$6,4)&lt;=LEFT('RFM input'!$G$60,4),"enter input",IF(LEFT(F$6,4)&gt;LEFT('RFM input'!$Q$60,4),0,IF(F$6=(OFFSET('RFM input'!$G$60,0,'RFM input'!$V$7)),OFFSET('RFM input'!$I$411,$A770,0),0)))</f>
        <v>0</v>
      </c>
      <c r="G773" s="1422">
        <f ca="1">IF(LEFT(G$6,4)&lt;=LEFT('RFM input'!$G$60,4),"enter input",IF(LEFT(G$6,4)&gt;LEFT('RFM input'!$Q$60,4),0,IF(G$6=(OFFSET('RFM input'!$G$60,0,'RFM input'!$V$7)),OFFSET('RFM input'!$I$411,$A770,0),0)))</f>
        <v>0</v>
      </c>
      <c r="H773" s="1422">
        <f ca="1">IF(LEFT(H$6,4)&lt;=LEFT('RFM input'!$G$60,4),"enter input",IF(LEFT(H$6,4)&gt;LEFT('RFM input'!$Q$60,4),0,IF(H$6=(OFFSET('RFM input'!$G$60,0,'RFM input'!$V$7)),OFFSET('RFM input'!$I$411,$A770,0),0)))</f>
        <v>0</v>
      </c>
      <c r="I773" s="1422">
        <f ca="1">IF(LEFT(I$6,4)&lt;=LEFT('RFM input'!$G$60,4),"enter input",IF(LEFT(I$6,4)&gt;LEFT('RFM input'!$Q$60,4),0,IF(I$6=(OFFSET('RFM input'!$G$60,0,'RFM input'!$V$7)),OFFSET('RFM input'!$I$411,$A770,0),0)))</f>
        <v>0</v>
      </c>
      <c r="J773" s="1422">
        <f ca="1">IF(LEFT(J$6,4)&lt;=LEFT('RFM input'!$G$60,4),"enter input",IF(LEFT(J$6,4)&gt;LEFT('RFM input'!$Q$60,4),0,IF(J$6=(OFFSET('RFM input'!$G$60,0,'RFM input'!$V$7)),OFFSET('RFM input'!$I$411,$A770,0),0)))</f>
        <v>0</v>
      </c>
      <c r="K773" s="1422">
        <f ca="1">IF(LEFT(K$6,4)&lt;=LEFT('RFM input'!$G$60,4),"enter input",IF(LEFT(K$6,4)&gt;LEFT('RFM input'!$Q$60,4),0,IF(K$6=(OFFSET('RFM input'!$G$60,0,'RFM input'!$V$7)),OFFSET('RFM input'!$I$411,$A770,0),0)))</f>
        <v>0</v>
      </c>
      <c r="L773" s="1422">
        <f ca="1">IF(LEFT(L$6,4)&lt;=LEFT('RFM input'!$G$60,4),"enter input",IF(LEFT(L$6,4)&gt;LEFT('RFM input'!$Q$60,4),0,IF(L$6=(OFFSET('RFM input'!$G$60,0,'RFM input'!$V$7)),OFFSET('RFM input'!$I$411,$A770,0),0)))</f>
        <v>0</v>
      </c>
      <c r="M773" s="1422">
        <f ca="1">IF(LEFT(M$6,4)&lt;=LEFT('RFM input'!$G$60,4),"enter input",IF(LEFT(M$6,4)&gt;LEFT('RFM input'!$Q$60,4),0,IF(M$6=(OFFSET('RFM input'!$G$60,0,'RFM input'!$V$7)),OFFSET('RFM input'!$I$411,$A770,0),0)))</f>
        <v>0</v>
      </c>
      <c r="N773" s="1422">
        <f ca="1">IF(LEFT(N$6,4)&lt;=LEFT('RFM input'!$G$60,4),"enter input",IF(LEFT(N$6,4)&gt;LEFT('RFM input'!$Q$60,4),0,IF(N$6=(OFFSET('RFM input'!$G$60,0,'RFM input'!$V$7)),OFFSET('RFM input'!$I$411,$A770,0),0)))</f>
        <v>0</v>
      </c>
      <c r="O773" s="1422">
        <f ca="1">IF(LEFT(O$6,4)&lt;=LEFT('RFM input'!$G$60,4),"enter input",IF(LEFT(O$6,4)&gt;LEFT('RFM input'!$Q$60,4),0,IF(O$6=(OFFSET('RFM input'!$G$60,0,'RFM input'!$V$7)),OFFSET('RFM input'!$I$411,$A770,0),0)))</f>
        <v>0</v>
      </c>
      <c r="P773" s="1422">
        <f ca="1">IF(LEFT(P$6,4)&lt;=LEFT('RFM input'!$G$60,4),"enter input",IF(LEFT(P$6,4)&gt;LEFT('RFM input'!$Q$60,4),0,IF(P$6=(OFFSET('RFM input'!$G$60,0,'RFM input'!$V$7)),OFFSET('RFM input'!$I$411,$A770,0),0)))</f>
        <v>0</v>
      </c>
      <c r="Q773" s="1422">
        <f ca="1">IF(LEFT(Q$6,4)&lt;=LEFT('RFM input'!$G$60,4),"enter input",IF(LEFT(Q$6,4)&gt;LEFT('RFM input'!$Q$60,4),0,IF(Q$6=(OFFSET('RFM input'!$G$60,0,'RFM input'!$V$7)),OFFSET('RFM input'!$I$411,$A770,0),0)))</f>
        <v>0</v>
      </c>
      <c r="R773" s="1422">
        <f ca="1">IF(LEFT(R$6,4)&lt;=LEFT('RFM input'!$G$60,4),"enter input",IF(LEFT(R$6,4)&gt;LEFT('RFM input'!$Q$60,4),0,IF(R$6=(OFFSET('RFM input'!$G$60,0,'RFM input'!$V$7)),OFFSET('RFM input'!$I$411,$A770,0),0)))</f>
        <v>0</v>
      </c>
      <c r="S773" s="1422">
        <f ca="1">IF(LEFT(S$6,4)&lt;=LEFT('RFM input'!$G$60,4),"enter input",IF(LEFT(S$6,4)&gt;LEFT('RFM input'!$Q$60,4),0,IF(S$6=(OFFSET('RFM input'!$G$60,0,'RFM input'!$V$7)),OFFSET('RFM input'!$I$411,$A770,0),0)))</f>
        <v>0</v>
      </c>
      <c r="T773" s="1422">
        <f ca="1">IF(LEFT(T$6,4)&lt;=LEFT('RFM input'!$G$60,4),"enter input",IF(LEFT(T$6,4)&gt;LEFT('RFM input'!$Q$60,4),0,IF(T$6=(OFFSET('RFM input'!$G$60,0,'RFM input'!$V$7)),OFFSET('RFM input'!$I$411,$A770,0),0)))</f>
        <v>0</v>
      </c>
      <c r="U773" s="1422">
        <f ca="1">IF(LEFT(U$6,4)&lt;=LEFT('RFM input'!$G$60,4),"enter input",IF(LEFT(U$6,4)&gt;LEFT('RFM input'!$Q$60,4),0,IF(U$6=(OFFSET('RFM input'!$G$60,0,'RFM input'!$V$7)),OFFSET('RFM input'!$I$411,$A770,0),0)))</f>
        <v>0</v>
      </c>
      <c r="V773" s="1422">
        <f ca="1">IF(LEFT(V$6,4)&lt;=LEFT('RFM input'!$G$60,4),"enter input",IF(LEFT(V$6,4)&gt;LEFT('RFM input'!$Q$60,4),0,IF(V$6=(OFFSET('RFM input'!$G$60,0,'RFM input'!$V$7)),OFFSET('RFM input'!$I$411,$A770,0),0)))</f>
        <v>0</v>
      </c>
      <c r="W773" s="1422">
        <f ca="1">IF(LEFT(W$6,4)&lt;=LEFT('RFM input'!$G$60,4),"enter input",IF(LEFT(W$6,4)&gt;LEFT('RFM input'!$Q$60,4),0,IF(W$6=(OFFSET('RFM input'!$G$60,0,'RFM input'!$V$7)),OFFSET('RFM input'!$I$411,$A770,0),0)))</f>
        <v>0</v>
      </c>
      <c r="X773" s="152"/>
      <c r="Y773" s="152"/>
      <c r="Z773" s="152"/>
      <c r="AA773" s="152"/>
      <c r="AB773" s="152"/>
    </row>
    <row r="774" spans="1:28" hidden="1" outlineLevel="1">
      <c r="A774" s="235">
        <v>-1</v>
      </c>
      <c r="B774" s="190" t="s">
        <v>189</v>
      </c>
      <c r="C774" s="1423"/>
      <c r="D774" s="1423">
        <f ca="1">IF(AND(D772=0,C774=0),0,
IF(AND(D772&lt;&gt;0,C774=0),(D772/D$10),
IF(AND(D773&lt;&gt;0,C774&lt;&gt;0),(C774-(C774/C798))+(D772/D$10),
IF(C798&lt;1,0,(C774-(C774/C798))))))</f>
        <v>0</v>
      </c>
      <c r="E774" s="1423">
        <f t="shared" ref="E774" ca="1" si="1099">IF(AND(E772=0,D774=0),0,
IF(AND(E772&lt;&gt;0,D774=0),(E772/E$10),
IF(AND(E773&lt;&gt;0,D774&lt;&gt;0),(D774-(D774/D798))+(E772/E$10),
IF(D798&lt;1,0,(D774-(D774/D798))))))</f>
        <v>0</v>
      </c>
      <c r="F774" s="1423">
        <f t="shared" ref="F774" ca="1" si="1100">IF(AND(F772=0,E774=0),0,
IF(AND(F772&lt;&gt;0,E774=0),(F772/F$10),
IF(AND(F773&lt;&gt;0,E774&lt;&gt;0),(E774-(E774/E798))+(F772/F$10),
IF(E798&lt;1,0,(E774-(E774/E798))))))</f>
        <v>0</v>
      </c>
      <c r="G774" s="1423">
        <f t="shared" ref="G774" ca="1" si="1101">IF(AND(G772=0,F774=0),0,
IF(AND(G772&lt;&gt;0,F774=0),(G772/G$10),
IF(AND(G773&lt;&gt;0,F774&lt;&gt;0),(F774-(F774/F798))+(G772/G$10),
IF(F798&lt;1,0,(F774-(F774/F798))))))</f>
        <v>0</v>
      </c>
      <c r="H774" s="1423">
        <f t="shared" ref="H774" ca="1" si="1102">IF(AND(H772=0,G774=0),0,
IF(AND(H772&lt;&gt;0,G774=0),(H772/H$10),
IF(AND(H773&lt;&gt;0,G774&lt;&gt;0),(G774-(G774/G798))+(H772/H$10),
IF(G798&lt;1,0,(G774-(G774/G798))))))</f>
        <v>0</v>
      </c>
      <c r="I774" s="1423">
        <f t="shared" ref="I774" ca="1" si="1103">IF(AND(I772=0,H774=0),0,
IF(AND(I772&lt;&gt;0,H774=0),(I772/I$10),
IF(AND(I773&lt;&gt;0,H774&lt;&gt;0),(H774-(H774/H798))+(I772/I$10),
IF(H798&lt;1,0,(H774-(H774/H798))))))</f>
        <v>0</v>
      </c>
      <c r="J774" s="1423">
        <f t="shared" ref="J774" ca="1" si="1104">IF(AND(J772=0,I774=0),0,
IF(AND(J772&lt;&gt;0,I774=0),(J772/J$10),
IF(AND(J773&lt;&gt;0,I774&lt;&gt;0),(I774-(I774/I798))+(J772/J$10),
IF(I798&lt;1,0,(I774-(I774/I798))))))</f>
        <v>0</v>
      </c>
      <c r="K774" s="1423">
        <f t="shared" ref="K774" ca="1" si="1105">IF(AND(K772=0,J774=0),0,
IF(AND(K772&lt;&gt;0,J774=0),(K772/K$10),
IF(AND(K773&lt;&gt;0,J774&lt;&gt;0),(J774-(J774/J798))+(K772/K$10),
IF(J798&lt;1,0,(J774-(J774/J798))))))</f>
        <v>0</v>
      </c>
      <c r="L774" s="1423">
        <f t="shared" ref="L774" ca="1" si="1106">IF(AND(L772=0,K774=0),0,
IF(AND(L772&lt;&gt;0,K774=0),(L772/L$10),
IF(AND(L773&lt;&gt;0,K774&lt;&gt;0),(K774-(K774/K798))+(L772/L$10),
IF(K798&lt;1,0,(K774-(K774/K798))))))</f>
        <v>0</v>
      </c>
      <c r="M774" s="1423">
        <f t="shared" ref="M774" ca="1" si="1107">IF(AND(M772=0,L774=0),0,
IF(AND(M772&lt;&gt;0,L774=0),(M772/M$10),
IF(AND(M773&lt;&gt;0,L774&lt;&gt;0),(L774-(L774/L798))+(M772/M$10),
IF(L798&lt;1,0,(L774-(L774/L798))))))</f>
        <v>0</v>
      </c>
      <c r="N774" s="1423">
        <f t="shared" ref="N774" ca="1" si="1108">IF(AND(N772=0,M774=0),0,
IF(AND(N772&lt;&gt;0,M774=0),(N772/N$10),
IF(AND(N773&lt;&gt;0,M774&lt;&gt;0),(M774-(M774/M798))+(N772/N$10),
IF(M798&lt;1,0,(M774-(M774/M798))))))</f>
        <v>0</v>
      </c>
      <c r="O774" s="1423">
        <f t="shared" ref="O774" ca="1" si="1109">IF(AND(O772=0,N774=0),0,
IF(AND(O772&lt;&gt;0,N774=0),(O772/O$10),
IF(AND(O773&lt;&gt;0,N774&lt;&gt;0),(N774-(N774/N798))+(O772/O$10),
IF(N798&lt;1,0,(N774-(N774/N798))))))</f>
        <v>0</v>
      </c>
      <c r="P774" s="1423">
        <f t="shared" ref="P774" ca="1" si="1110">IF(AND(P772=0,O774=0),0,
IF(AND(P772&lt;&gt;0,O774=0),(P772/P$10),
IF(AND(P773&lt;&gt;0,O774&lt;&gt;0),(O774-(O774/O798))+(P772/P$10),
IF(O798&lt;1,0,(O774-(O774/O798))))))</f>
        <v>0</v>
      </c>
      <c r="Q774" s="1423">
        <f t="shared" ref="Q774" ca="1" si="1111">IF(AND(Q772=0,P774=0),0,
IF(AND(Q772&lt;&gt;0,P774=0),(Q772/Q$10),
IF(AND(Q773&lt;&gt;0,P774&lt;&gt;0),(P774-(P774/P798))+(Q772/Q$10),
IF(P798&lt;1,0,(P774-(P774/P798))))))</f>
        <v>0</v>
      </c>
      <c r="R774" s="1423">
        <f t="shared" ref="R774" ca="1" si="1112">IF(AND(R772=0,Q774=0),0,
IF(AND(R772&lt;&gt;0,Q774=0),(R772/R$10),
IF(AND(R773&lt;&gt;0,Q774&lt;&gt;0),(Q774-(Q774/Q798))+(R772/R$10),
IF(Q798&lt;1,0,(Q774-(Q774/Q798))))))</f>
        <v>0</v>
      </c>
      <c r="S774" s="1423">
        <f t="shared" ref="S774" ca="1" si="1113">IF(AND(S772=0,R774=0),0,
IF(AND(S772&lt;&gt;0,R774=0),(S772/S$10),
IF(AND(S773&lt;&gt;0,R774&lt;&gt;0),(R774-(R774/R798))+(S772/S$10),
IF(R798&lt;1,0,(R774-(R774/R798))))))</f>
        <v>0</v>
      </c>
      <c r="T774" s="1423">
        <f t="shared" ref="T774" ca="1" si="1114">IF(AND(T772=0,S774=0),0,
IF(AND(T772&lt;&gt;0,S774=0),(T772/T$10),
IF(AND(T773&lt;&gt;0,S774&lt;&gt;0),(S774-(S774/S798))+(T772/T$10),
IF(S798&lt;1,0,(S774-(S774/S798))))))</f>
        <v>0</v>
      </c>
      <c r="U774" s="1423">
        <f t="shared" ref="U774" ca="1" si="1115">IF(AND(U772=0,T774=0),0,
IF(AND(U772&lt;&gt;0,T774=0),(U772/U$10),
IF(AND(U773&lt;&gt;0,T774&lt;&gt;0),(T774-(T774/T798))+(U772/U$10),
IF(T798&lt;1,0,(T774-(T774/T798))))))</f>
        <v>0</v>
      </c>
      <c r="V774" s="1423">
        <f t="shared" ref="V774" ca="1" si="1116">IF(AND(V772=0,U774=0),0,
IF(AND(V772&lt;&gt;0,U774=0),(V772/V$10),
IF(AND(V773&lt;&gt;0,U774&lt;&gt;0),(U774-(U774/U798))+(V772/V$10),
IF(U798&lt;1,0,(U774-(U774/U798))))))</f>
        <v>0</v>
      </c>
      <c r="W774" s="1423">
        <f t="shared" ref="W774" ca="1" si="1117">IF(AND(W772=0,V774=0),0,
IF(AND(W772&lt;&gt;0,V774=0),(W772/W$10),
IF(AND(W773&lt;&gt;0,V774&lt;&gt;0),(V774-(V774/V798))+(W772/W$10),
IF(V798&lt;1,0,(V774-(V774/V798))))))</f>
        <v>0</v>
      </c>
      <c r="X774" s="152"/>
      <c r="Y774" s="152"/>
      <c r="Z774" s="152"/>
      <c r="AA774" s="152"/>
      <c r="AB774" s="152"/>
    </row>
    <row r="775" spans="1:28" hidden="1" outlineLevel="1">
      <c r="A775" s="199">
        <f>A774+1</f>
        <v>0</v>
      </c>
      <c r="B775" s="190" t="s">
        <v>125</v>
      </c>
      <c r="C775" s="1423">
        <f ca="1">C770/C$10</f>
        <v>0</v>
      </c>
      <c r="D775" s="1423">
        <f ca="1">IF(C799="n/a",C775,IFERROR(IF((OFFSET($C775,0,$A775))&lt;0,
MIN(0,C775-(OFFSET($C775,0,$A775)/(OFFSET($C770,-$A774,$A775)))),
MAX(0,C775-(OFFSET($C775,0,$A775)/(OFFSET($C770,-$A774,$A775))))),0))</f>
        <v>0</v>
      </c>
      <c r="E775" s="1423">
        <f t="shared" ref="E775" ca="1" si="1118">IF(D799="n/a",D775,IFERROR(IF((OFFSET($C775,0,$A775))&lt;0,
MIN(0,D775-(OFFSET($C775,0,$A775)/(OFFSET($C770,-$A774,$A775)))),
MAX(0,D775-(OFFSET($C775,0,$A775)/(OFFSET($C770,-$A774,$A775))))),0))</f>
        <v>0</v>
      </c>
      <c r="F775" s="1423">
        <f t="shared" ref="F775:F776" ca="1" si="1119">IF(E799="n/a",E775,IFERROR(IF((OFFSET($C775,0,$A775))&lt;0,
MIN(0,E775-(OFFSET($C775,0,$A775)/(OFFSET($C770,-$A774,$A775)))),
MAX(0,E775-(OFFSET($C775,0,$A775)/(OFFSET($C770,-$A774,$A775))))),0))</f>
        <v>0</v>
      </c>
      <c r="G775" s="1423">
        <f t="shared" ref="G775:G777" ca="1" si="1120">IF(F799="n/a",F775,IFERROR(IF((OFFSET($C775,0,$A775))&lt;0,
MIN(0,F775-(OFFSET($C775,0,$A775)/(OFFSET($C770,-$A774,$A775)))),
MAX(0,F775-(OFFSET($C775,0,$A775)/(OFFSET($C770,-$A774,$A775))))),0))</f>
        <v>0</v>
      </c>
      <c r="H775" s="1423">
        <f t="shared" ref="H775:H778" ca="1" si="1121">IF(G799="n/a",G775,IFERROR(IF((OFFSET($C775,0,$A775))&lt;0,
MIN(0,G775-(OFFSET($C775,0,$A775)/(OFFSET($C770,-$A774,$A775)))),
MAX(0,G775-(OFFSET($C775,0,$A775)/(OFFSET($C770,-$A774,$A775))))),0))</f>
        <v>0</v>
      </c>
      <c r="I775" s="1423">
        <f t="shared" ref="I775:I779" ca="1" si="1122">IF(H799="n/a",H775,IFERROR(IF((OFFSET($C775,0,$A775))&lt;0,
MIN(0,H775-(OFFSET($C775,0,$A775)/(OFFSET($C770,-$A774,$A775)))),
MAX(0,H775-(OFFSET($C775,0,$A775)/(OFFSET($C770,-$A774,$A775))))),0))</f>
        <v>0</v>
      </c>
      <c r="J775" s="1423">
        <f t="shared" ref="J775:J780" ca="1" si="1123">IF(I799="n/a",I775,IFERROR(IF((OFFSET($C775,0,$A775))&lt;0,
MIN(0,I775-(OFFSET($C775,0,$A775)/(OFFSET($C770,-$A774,$A775)))),
MAX(0,I775-(OFFSET($C775,0,$A775)/(OFFSET($C770,-$A774,$A775))))),0))</f>
        <v>0</v>
      </c>
      <c r="K775" s="1423">
        <f t="shared" ref="K775:K781" ca="1" si="1124">IF(J799="n/a",J775,IFERROR(IF((OFFSET($C775,0,$A775))&lt;0,
MIN(0,J775-(OFFSET($C775,0,$A775)/(OFFSET($C770,-$A774,$A775)))),
MAX(0,J775-(OFFSET($C775,0,$A775)/(OFFSET($C770,-$A774,$A775))))),0))</f>
        <v>0</v>
      </c>
      <c r="L775" s="1423">
        <f t="shared" ref="L775:L782" ca="1" si="1125">IF(K799="n/a",K775,IFERROR(IF((OFFSET($C775,0,$A775))&lt;0,
MIN(0,K775-(OFFSET($C775,0,$A775)/(OFFSET($C770,-$A774,$A775)))),
MAX(0,K775-(OFFSET($C775,0,$A775)/(OFFSET($C770,-$A774,$A775))))),0))</f>
        <v>0</v>
      </c>
      <c r="M775" s="1423">
        <f t="shared" ref="M775:M783" ca="1" si="1126">IF(L799="n/a",L775,IFERROR(IF((OFFSET($C775,0,$A775))&lt;0,
MIN(0,L775-(OFFSET($C775,0,$A775)/(OFFSET($C770,-$A774,$A775)))),
MAX(0,L775-(OFFSET($C775,0,$A775)/(OFFSET($C770,-$A774,$A775))))),0))</f>
        <v>0</v>
      </c>
      <c r="N775" s="1423">
        <f t="shared" ref="N775:N784" ca="1" si="1127">IF(M799="n/a",M775,IFERROR(IF((OFFSET($C775,0,$A775))&lt;0,
MIN(0,M775-(OFFSET($C775,0,$A775)/(OFFSET($C770,-$A774,$A775)))),
MAX(0,M775-(OFFSET($C775,0,$A775)/(OFFSET($C770,-$A774,$A775))))),0))</f>
        <v>0</v>
      </c>
      <c r="O775" s="1423">
        <f t="shared" ref="O775:O785" ca="1" si="1128">IF(N799="n/a",N775,IFERROR(IF((OFFSET($C775,0,$A775))&lt;0,
MIN(0,N775-(OFFSET($C775,0,$A775)/(OFFSET($C770,-$A774,$A775)))),
MAX(0,N775-(OFFSET($C775,0,$A775)/(OFFSET($C770,-$A774,$A775))))),0))</f>
        <v>0</v>
      </c>
      <c r="P775" s="1423">
        <f t="shared" ref="P775:P786" ca="1" si="1129">IF(O799="n/a",O775,IFERROR(IF((OFFSET($C775,0,$A775))&lt;0,
MIN(0,O775-(OFFSET($C775,0,$A775)/(OFFSET($C770,-$A774,$A775)))),
MAX(0,O775-(OFFSET($C775,0,$A775)/(OFFSET($C770,-$A774,$A775))))),0))</f>
        <v>0</v>
      </c>
      <c r="Q775" s="1423">
        <f t="shared" ref="Q775:Q787" ca="1" si="1130">IF(P799="n/a",P775,IFERROR(IF((OFFSET($C775,0,$A775))&lt;0,
MIN(0,P775-(OFFSET($C775,0,$A775)/(OFFSET($C770,-$A774,$A775)))),
MAX(0,P775-(OFFSET($C775,0,$A775)/(OFFSET($C770,-$A774,$A775))))),0))</f>
        <v>0</v>
      </c>
      <c r="R775" s="1423">
        <f t="shared" ref="R775:R788" ca="1" si="1131">IF(Q799="n/a",Q775,IFERROR(IF((OFFSET($C775,0,$A775))&lt;0,
MIN(0,Q775-(OFFSET($C775,0,$A775)/(OFFSET($C770,-$A774,$A775)))),
MAX(0,Q775-(OFFSET($C775,0,$A775)/(OFFSET($C770,-$A774,$A775))))),0))</f>
        <v>0</v>
      </c>
      <c r="S775" s="1423">
        <f t="shared" ref="S775:S789" ca="1" si="1132">IF(R799="n/a",R775,IFERROR(IF((OFFSET($C775,0,$A775))&lt;0,
MIN(0,R775-(OFFSET($C775,0,$A775)/(OFFSET($C770,-$A774,$A775)))),
MAX(0,R775-(OFFSET($C775,0,$A775)/(OFFSET($C770,-$A774,$A775))))),0))</f>
        <v>0</v>
      </c>
      <c r="T775" s="1423">
        <f t="shared" ref="T775:T790" ca="1" si="1133">IF(S799="n/a",S775,IFERROR(IF((OFFSET($C775,0,$A775))&lt;0,
MIN(0,S775-(OFFSET($C775,0,$A775)/(OFFSET($C770,-$A774,$A775)))),
MAX(0,S775-(OFFSET($C775,0,$A775)/(OFFSET($C770,-$A774,$A775))))),0))</f>
        <v>0</v>
      </c>
      <c r="U775" s="1423">
        <f t="shared" ref="U775:U791" ca="1" si="1134">IF(T799="n/a",T775,IFERROR(IF((OFFSET($C775,0,$A775))&lt;0,
MIN(0,T775-(OFFSET($C775,0,$A775)/(OFFSET($C770,-$A774,$A775)))),
MAX(0,T775-(OFFSET($C775,0,$A775)/(OFFSET($C770,-$A774,$A775))))),0))</f>
        <v>0</v>
      </c>
      <c r="V775" s="1423">
        <f t="shared" ref="V775:V792" ca="1" si="1135">IF(U799="n/a",U775,IFERROR(IF((OFFSET($C775,0,$A775))&lt;0,
MIN(0,U775-(OFFSET($C775,0,$A775)/(OFFSET($C770,-$A774,$A775)))),
MAX(0,U775-(OFFSET($C775,0,$A775)/(OFFSET($C770,-$A774,$A775))))),0))</f>
        <v>0</v>
      </c>
      <c r="W775" s="1423">
        <f t="shared" ref="W775:W793" ca="1" si="1136">IF(V799="n/a",V775,IFERROR(IF((OFFSET($C775,0,$A775))&lt;0,
MIN(0,V775-(OFFSET($C775,0,$A775)/(OFFSET($C770,-$A774,$A775)))),
MAX(0,V775-(OFFSET($C775,0,$A775)/(OFFSET($C770,-$A774,$A775))))),0))</f>
        <v>0</v>
      </c>
      <c r="X775" s="152"/>
      <c r="Y775" s="152"/>
      <c r="Z775" s="152"/>
      <c r="AA775" s="152"/>
      <c r="AB775" s="152"/>
    </row>
    <row r="776" spans="1:28" hidden="1" outlineLevel="1">
      <c r="A776" s="199">
        <f t="shared" ref="A776:A795" si="1137">A775+1</f>
        <v>1</v>
      </c>
      <c r="B776" s="190" t="str">
        <f t="shared" ref="B776:B794" ca="1" si="1138">"Depreciated Net Capex "&amp;OFFSET($C$6,0,A776)</f>
        <v>Depreciated Net Capex 2016-17</v>
      </c>
      <c r="C776" s="1424"/>
      <c r="D776" s="1425">
        <f>(D770*((1+D$11)^0.5)/D$10)</f>
        <v>0</v>
      </c>
      <c r="E776" s="1423">
        <f ca="1">IF(D800="n/a",D776,IFERROR(IF((OFFSET($C776,0,$A776))&lt;0,
MIN(0,D776-(OFFSET($C776,0,$A776)/(OFFSET($C771,-$A775,$A776)))),
MAX(0,D776-(OFFSET($C776,0,$A776)/(OFFSET($C771,-$A775,$A776))))),0))</f>
        <v>0</v>
      </c>
      <c r="F776" s="1423">
        <f t="shared" ca="1" si="1119"/>
        <v>0</v>
      </c>
      <c r="G776" s="1423">
        <f t="shared" ca="1" si="1120"/>
        <v>0</v>
      </c>
      <c r="H776" s="1423">
        <f t="shared" ca="1" si="1121"/>
        <v>0</v>
      </c>
      <c r="I776" s="1423">
        <f t="shared" ca="1" si="1122"/>
        <v>0</v>
      </c>
      <c r="J776" s="1423">
        <f t="shared" ca="1" si="1123"/>
        <v>0</v>
      </c>
      <c r="K776" s="1423">
        <f t="shared" ca="1" si="1124"/>
        <v>0</v>
      </c>
      <c r="L776" s="1423">
        <f t="shared" ca="1" si="1125"/>
        <v>0</v>
      </c>
      <c r="M776" s="1423">
        <f t="shared" ca="1" si="1126"/>
        <v>0</v>
      </c>
      <c r="N776" s="1423">
        <f t="shared" ca="1" si="1127"/>
        <v>0</v>
      </c>
      <c r="O776" s="1423">
        <f t="shared" ca="1" si="1128"/>
        <v>0</v>
      </c>
      <c r="P776" s="1423">
        <f t="shared" ca="1" si="1129"/>
        <v>0</v>
      </c>
      <c r="Q776" s="1423">
        <f t="shared" ca="1" si="1130"/>
        <v>0</v>
      </c>
      <c r="R776" s="1423">
        <f t="shared" ca="1" si="1131"/>
        <v>0</v>
      </c>
      <c r="S776" s="1423">
        <f t="shared" ca="1" si="1132"/>
        <v>0</v>
      </c>
      <c r="T776" s="1423">
        <f t="shared" ca="1" si="1133"/>
        <v>0</v>
      </c>
      <c r="U776" s="1423">
        <f t="shared" ca="1" si="1134"/>
        <v>0</v>
      </c>
      <c r="V776" s="1423">
        <f t="shared" ca="1" si="1135"/>
        <v>0</v>
      </c>
      <c r="W776" s="1423">
        <f t="shared" ca="1" si="1136"/>
        <v>0</v>
      </c>
      <c r="X776" s="152"/>
      <c r="Y776" s="152"/>
      <c r="Z776" s="152"/>
      <c r="AA776" s="152"/>
      <c r="AB776" s="152"/>
    </row>
    <row r="777" spans="1:28" hidden="1" outlineLevel="1">
      <c r="A777" s="199">
        <f t="shared" si="1137"/>
        <v>2</v>
      </c>
      <c r="B777" s="190" t="str">
        <f t="shared" ca="1" si="1138"/>
        <v>Depreciated Net Capex 2017-18</v>
      </c>
      <c r="C777" s="1426"/>
      <c r="D777" s="1427"/>
      <c r="E777" s="1425">
        <f>(E770*((1+E$11)^0.5)/E$10)</f>
        <v>0</v>
      </c>
      <c r="F777" s="1423">
        <f ca="1">IF(E801="n/a",E777,IFERROR(IF((OFFSET($C777,0,$A777))&lt;0,
MIN(0,E777-(OFFSET($C777,0,$A777)/(OFFSET($C772,-$A776,$A777)))),
MAX(0,E777-(OFFSET($C777,0,$A777)/(OFFSET($C772,-$A776,$A777))))),0))</f>
        <v>0</v>
      </c>
      <c r="G777" s="1423">
        <f t="shared" ca="1" si="1120"/>
        <v>0</v>
      </c>
      <c r="H777" s="1423">
        <f t="shared" ca="1" si="1121"/>
        <v>0</v>
      </c>
      <c r="I777" s="1423">
        <f t="shared" ca="1" si="1122"/>
        <v>0</v>
      </c>
      <c r="J777" s="1423">
        <f t="shared" ca="1" si="1123"/>
        <v>0</v>
      </c>
      <c r="K777" s="1423">
        <f t="shared" ca="1" si="1124"/>
        <v>0</v>
      </c>
      <c r="L777" s="1423">
        <f t="shared" ca="1" si="1125"/>
        <v>0</v>
      </c>
      <c r="M777" s="1423">
        <f t="shared" ca="1" si="1126"/>
        <v>0</v>
      </c>
      <c r="N777" s="1423">
        <f t="shared" ca="1" si="1127"/>
        <v>0</v>
      </c>
      <c r="O777" s="1423">
        <f t="shared" ca="1" si="1128"/>
        <v>0</v>
      </c>
      <c r="P777" s="1423">
        <f t="shared" ca="1" si="1129"/>
        <v>0</v>
      </c>
      <c r="Q777" s="1423">
        <f t="shared" ca="1" si="1130"/>
        <v>0</v>
      </c>
      <c r="R777" s="1423">
        <f t="shared" ca="1" si="1131"/>
        <v>0</v>
      </c>
      <c r="S777" s="1423">
        <f t="shared" ca="1" si="1132"/>
        <v>0</v>
      </c>
      <c r="T777" s="1423">
        <f t="shared" ca="1" si="1133"/>
        <v>0</v>
      </c>
      <c r="U777" s="1423">
        <f t="shared" ca="1" si="1134"/>
        <v>0</v>
      </c>
      <c r="V777" s="1423">
        <f t="shared" ca="1" si="1135"/>
        <v>0</v>
      </c>
      <c r="W777" s="1423">
        <f t="shared" ca="1" si="1136"/>
        <v>0</v>
      </c>
      <c r="X777" s="202"/>
      <c r="Y777" s="152"/>
      <c r="Z777" s="152"/>
      <c r="AA777" s="152"/>
      <c r="AB777" s="152"/>
    </row>
    <row r="778" spans="1:28" hidden="1" outlineLevel="1">
      <c r="A778" s="199">
        <f t="shared" si="1137"/>
        <v>3</v>
      </c>
      <c r="B778" s="190" t="str">
        <f t="shared" ca="1" si="1138"/>
        <v>Depreciated Net Capex 2018-19</v>
      </c>
      <c r="C778" s="1426"/>
      <c r="D778" s="1426"/>
      <c r="E778" s="1427"/>
      <c r="F778" s="1428">
        <f>($F770*((1+F$11)^0.5)/F$10)</f>
        <v>0</v>
      </c>
      <c r="G778" s="1423">
        <f ca="1">IF(F802="n/a",F778,IFERROR(IF((OFFSET($C778,0,$A778))&lt;0,
MIN(0,F778-(OFFSET($C778,0,$A778)/(OFFSET($C773,-$A777,$A778)))),
MAX(0,F778-(OFFSET($C778,0,$A778)/(OFFSET($C773,-$A777,$A778))))),0))</f>
        <v>0</v>
      </c>
      <c r="H778" s="1423">
        <f t="shared" ca="1" si="1121"/>
        <v>0</v>
      </c>
      <c r="I778" s="1423">
        <f t="shared" ca="1" si="1122"/>
        <v>0</v>
      </c>
      <c r="J778" s="1423">
        <f t="shared" ca="1" si="1123"/>
        <v>0</v>
      </c>
      <c r="K778" s="1423">
        <f t="shared" ca="1" si="1124"/>
        <v>0</v>
      </c>
      <c r="L778" s="1423">
        <f t="shared" ca="1" si="1125"/>
        <v>0</v>
      </c>
      <c r="M778" s="1423">
        <f t="shared" ca="1" si="1126"/>
        <v>0</v>
      </c>
      <c r="N778" s="1423">
        <f t="shared" ca="1" si="1127"/>
        <v>0</v>
      </c>
      <c r="O778" s="1423">
        <f t="shared" ca="1" si="1128"/>
        <v>0</v>
      </c>
      <c r="P778" s="1423">
        <f t="shared" ca="1" si="1129"/>
        <v>0</v>
      </c>
      <c r="Q778" s="1423">
        <f t="shared" ca="1" si="1130"/>
        <v>0</v>
      </c>
      <c r="R778" s="1423">
        <f t="shared" ca="1" si="1131"/>
        <v>0</v>
      </c>
      <c r="S778" s="1423">
        <f t="shared" ca="1" si="1132"/>
        <v>0</v>
      </c>
      <c r="T778" s="1423">
        <f t="shared" ca="1" si="1133"/>
        <v>0</v>
      </c>
      <c r="U778" s="1423">
        <f t="shared" ca="1" si="1134"/>
        <v>0</v>
      </c>
      <c r="V778" s="1423">
        <f t="shared" ca="1" si="1135"/>
        <v>0</v>
      </c>
      <c r="W778" s="1423">
        <f t="shared" ca="1" si="1136"/>
        <v>0</v>
      </c>
      <c r="X778" s="202"/>
      <c r="Y778" s="202"/>
      <c r="Z778" s="152"/>
      <c r="AA778" s="152"/>
      <c r="AB778" s="152"/>
    </row>
    <row r="779" spans="1:28" hidden="1" outlineLevel="1">
      <c r="A779" s="199">
        <f t="shared" si="1137"/>
        <v>4</v>
      </c>
      <c r="B779" s="190" t="str">
        <f t="shared" ca="1" si="1138"/>
        <v>Depreciated Net Capex 2019-20</v>
      </c>
      <c r="C779" s="1426"/>
      <c r="D779" s="1426"/>
      <c r="E779" s="1426"/>
      <c r="F779" s="1427"/>
      <c r="G779" s="1428">
        <f>($G770*((1+G$11)^0.5)/G$10)</f>
        <v>0</v>
      </c>
      <c r="H779" s="1423">
        <f ca="1">IF(G803="n/a",G779,IFERROR(IF((OFFSET($C779,0,$A779))&lt;0,
MIN(0,G779-(OFFSET($C779,0,$A779)/(OFFSET($C774,-$A778,$A779)))),
MAX(0,G779-(OFFSET($C779,0,$A779)/(OFFSET($C774,-$A778,$A779))))),0))</f>
        <v>0</v>
      </c>
      <c r="I779" s="1423">
        <f t="shared" ca="1" si="1122"/>
        <v>0</v>
      </c>
      <c r="J779" s="1423">
        <f t="shared" ca="1" si="1123"/>
        <v>0</v>
      </c>
      <c r="K779" s="1423">
        <f t="shared" ca="1" si="1124"/>
        <v>0</v>
      </c>
      <c r="L779" s="1423">
        <f t="shared" ca="1" si="1125"/>
        <v>0</v>
      </c>
      <c r="M779" s="1423">
        <f t="shared" ca="1" si="1126"/>
        <v>0</v>
      </c>
      <c r="N779" s="1423">
        <f t="shared" ca="1" si="1127"/>
        <v>0</v>
      </c>
      <c r="O779" s="1423">
        <f t="shared" ca="1" si="1128"/>
        <v>0</v>
      </c>
      <c r="P779" s="1423">
        <f t="shared" ca="1" si="1129"/>
        <v>0</v>
      </c>
      <c r="Q779" s="1423">
        <f t="shared" ca="1" si="1130"/>
        <v>0</v>
      </c>
      <c r="R779" s="1423">
        <f t="shared" ca="1" si="1131"/>
        <v>0</v>
      </c>
      <c r="S779" s="1423">
        <f t="shared" ca="1" si="1132"/>
        <v>0</v>
      </c>
      <c r="T779" s="1423">
        <f t="shared" ca="1" si="1133"/>
        <v>0</v>
      </c>
      <c r="U779" s="1423">
        <f t="shared" ca="1" si="1134"/>
        <v>0</v>
      </c>
      <c r="V779" s="1423">
        <f t="shared" ca="1" si="1135"/>
        <v>0</v>
      </c>
      <c r="W779" s="1423">
        <f t="shared" ca="1" si="1136"/>
        <v>0</v>
      </c>
      <c r="X779" s="202"/>
      <c r="Y779" s="202"/>
      <c r="Z779" s="202"/>
      <c r="AA779" s="152"/>
      <c r="AB779" s="152"/>
    </row>
    <row r="780" spans="1:28" hidden="1" outlineLevel="1">
      <c r="A780" s="199">
        <f t="shared" si="1137"/>
        <v>5</v>
      </c>
      <c r="B780" s="190" t="str">
        <f t="shared" ca="1" si="1138"/>
        <v>Depreciated Net Capex 2020-21</v>
      </c>
      <c r="C780" s="1426"/>
      <c r="D780" s="1426"/>
      <c r="E780" s="1426"/>
      <c r="F780" s="1426"/>
      <c r="G780" s="1427"/>
      <c r="H780" s="1428">
        <f>(H770*((1+H$11)^0.5)/H$10)</f>
        <v>0</v>
      </c>
      <c r="I780" s="1423">
        <f ca="1">IF(H804="n/a",H780,IFERROR(IF((OFFSET($C780,0,$A780))&lt;0,
MIN(0,H780-(OFFSET($C780,0,$A780)/(OFFSET($C775,-$A779,$A780)))),
MAX(0,H780-(OFFSET($C780,0,$A780)/(OFFSET($C775,-$A779,$A780))))),0))</f>
        <v>0</v>
      </c>
      <c r="J780" s="1423">
        <f t="shared" ca="1" si="1123"/>
        <v>0</v>
      </c>
      <c r="K780" s="1423">
        <f t="shared" ca="1" si="1124"/>
        <v>0</v>
      </c>
      <c r="L780" s="1423">
        <f t="shared" ca="1" si="1125"/>
        <v>0</v>
      </c>
      <c r="M780" s="1423">
        <f t="shared" ca="1" si="1126"/>
        <v>0</v>
      </c>
      <c r="N780" s="1423">
        <f t="shared" ca="1" si="1127"/>
        <v>0</v>
      </c>
      <c r="O780" s="1423">
        <f t="shared" ca="1" si="1128"/>
        <v>0</v>
      </c>
      <c r="P780" s="1423">
        <f t="shared" ca="1" si="1129"/>
        <v>0</v>
      </c>
      <c r="Q780" s="1423">
        <f t="shared" ca="1" si="1130"/>
        <v>0</v>
      </c>
      <c r="R780" s="1423">
        <f t="shared" ca="1" si="1131"/>
        <v>0</v>
      </c>
      <c r="S780" s="1423">
        <f t="shared" ca="1" si="1132"/>
        <v>0</v>
      </c>
      <c r="T780" s="1423">
        <f t="shared" ca="1" si="1133"/>
        <v>0</v>
      </c>
      <c r="U780" s="1423">
        <f t="shared" ca="1" si="1134"/>
        <v>0</v>
      </c>
      <c r="V780" s="1423">
        <f t="shared" ca="1" si="1135"/>
        <v>0</v>
      </c>
      <c r="W780" s="1423">
        <f t="shared" ca="1" si="1136"/>
        <v>0</v>
      </c>
      <c r="X780" s="202"/>
      <c r="Y780" s="202"/>
      <c r="Z780" s="202"/>
      <c r="AA780" s="152"/>
      <c r="AB780" s="152"/>
    </row>
    <row r="781" spans="1:28" hidden="1" outlineLevel="1">
      <c r="A781" s="199">
        <f t="shared" si="1137"/>
        <v>6</v>
      </c>
      <c r="B781" s="190" t="str">
        <f t="shared" ca="1" si="1138"/>
        <v>Depreciated Net Capex 2021-22</v>
      </c>
      <c r="C781" s="1426"/>
      <c r="D781" s="1426"/>
      <c r="E781" s="1426"/>
      <c r="F781" s="1426"/>
      <c r="G781" s="1426"/>
      <c r="H781" s="1427"/>
      <c r="I781" s="1428">
        <f>(I770*((1+I$11)^0.5)/I$10)</f>
        <v>0</v>
      </c>
      <c r="J781" s="1423">
        <f ca="1">IF(I805="n/a",I781,IFERROR(IF((OFFSET($C781,0,$A781))&lt;0,
MIN(0,I781-(OFFSET($C781,0,$A781)/(OFFSET($C776,-$A780,$A781)))),
MAX(0,I781-(OFFSET($C781,0,$A781)/(OFFSET($C776,-$A780,$A781))))),0))</f>
        <v>0</v>
      </c>
      <c r="K781" s="1423">
        <f t="shared" ca="1" si="1124"/>
        <v>0</v>
      </c>
      <c r="L781" s="1423">
        <f t="shared" ca="1" si="1125"/>
        <v>0</v>
      </c>
      <c r="M781" s="1423">
        <f t="shared" ca="1" si="1126"/>
        <v>0</v>
      </c>
      <c r="N781" s="1423">
        <f t="shared" ca="1" si="1127"/>
        <v>0</v>
      </c>
      <c r="O781" s="1423">
        <f t="shared" ca="1" si="1128"/>
        <v>0</v>
      </c>
      <c r="P781" s="1423">
        <f t="shared" ca="1" si="1129"/>
        <v>0</v>
      </c>
      <c r="Q781" s="1423">
        <f t="shared" ca="1" si="1130"/>
        <v>0</v>
      </c>
      <c r="R781" s="1423">
        <f t="shared" ca="1" si="1131"/>
        <v>0</v>
      </c>
      <c r="S781" s="1423">
        <f t="shared" ca="1" si="1132"/>
        <v>0</v>
      </c>
      <c r="T781" s="1423">
        <f t="shared" ca="1" si="1133"/>
        <v>0</v>
      </c>
      <c r="U781" s="1423">
        <f t="shared" ca="1" si="1134"/>
        <v>0</v>
      </c>
      <c r="V781" s="1423">
        <f t="shared" ca="1" si="1135"/>
        <v>0</v>
      </c>
      <c r="W781" s="1423">
        <f t="shared" ca="1" si="1136"/>
        <v>0</v>
      </c>
      <c r="X781" s="202"/>
      <c r="Y781" s="202"/>
      <c r="Z781" s="202"/>
      <c r="AA781" s="152"/>
      <c r="AB781" s="152"/>
    </row>
    <row r="782" spans="1:28" hidden="1" outlineLevel="1">
      <c r="A782" s="199">
        <f t="shared" si="1137"/>
        <v>7</v>
      </c>
      <c r="B782" s="190" t="str">
        <f t="shared" ca="1" si="1138"/>
        <v>Depreciated Net Capex 2022-23</v>
      </c>
      <c r="C782" s="1426"/>
      <c r="D782" s="1426"/>
      <c r="E782" s="1426"/>
      <c r="F782" s="1426"/>
      <c r="G782" s="1426"/>
      <c r="H782" s="1426"/>
      <c r="I782" s="1427"/>
      <c r="J782" s="1428">
        <f>(J770*((1+J$11)^0.5)/J$10)</f>
        <v>0</v>
      </c>
      <c r="K782" s="1423">
        <f ca="1">IF(J806="n/a",J782,IFERROR(IF((OFFSET($C782,0,$A782))&lt;0,
MIN(0,J782-(OFFSET($C782,0,$A782)/(OFFSET($C777,-$A781,$A782)))),
MAX(0,J782-(OFFSET($C782,0,$A782)/(OFFSET($C777,-$A781,$A782))))),0))</f>
        <v>0</v>
      </c>
      <c r="L782" s="1423">
        <f t="shared" ca="1" si="1125"/>
        <v>0</v>
      </c>
      <c r="M782" s="1423">
        <f t="shared" ca="1" si="1126"/>
        <v>0</v>
      </c>
      <c r="N782" s="1423">
        <f t="shared" ca="1" si="1127"/>
        <v>0</v>
      </c>
      <c r="O782" s="1423">
        <f t="shared" ca="1" si="1128"/>
        <v>0</v>
      </c>
      <c r="P782" s="1423">
        <f t="shared" ca="1" si="1129"/>
        <v>0</v>
      </c>
      <c r="Q782" s="1423">
        <f t="shared" ca="1" si="1130"/>
        <v>0</v>
      </c>
      <c r="R782" s="1423">
        <f t="shared" ca="1" si="1131"/>
        <v>0</v>
      </c>
      <c r="S782" s="1423">
        <f t="shared" ca="1" si="1132"/>
        <v>0</v>
      </c>
      <c r="T782" s="1423">
        <f t="shared" ca="1" si="1133"/>
        <v>0</v>
      </c>
      <c r="U782" s="1423">
        <f t="shared" ca="1" si="1134"/>
        <v>0</v>
      </c>
      <c r="V782" s="1423">
        <f t="shared" ca="1" si="1135"/>
        <v>0</v>
      </c>
      <c r="W782" s="1423">
        <f t="shared" ca="1" si="1136"/>
        <v>0</v>
      </c>
      <c r="X782" s="202"/>
      <c r="Y782" s="202"/>
      <c r="Z782" s="202"/>
      <c r="AA782" s="152"/>
      <c r="AB782" s="152"/>
    </row>
    <row r="783" spans="1:28" hidden="1" outlineLevel="1">
      <c r="A783" s="199">
        <f t="shared" si="1137"/>
        <v>8</v>
      </c>
      <c r="B783" s="190" t="str">
        <f t="shared" ca="1" si="1138"/>
        <v>Depreciated Net Capex 2023-24</v>
      </c>
      <c r="C783" s="1426"/>
      <c r="D783" s="1426"/>
      <c r="E783" s="1426"/>
      <c r="F783" s="1426"/>
      <c r="G783" s="1426"/>
      <c r="H783" s="1426"/>
      <c r="I783" s="1426"/>
      <c r="J783" s="1427"/>
      <c r="K783" s="1428">
        <f>(K770*((1+K$11)^0.5)/K$10)</f>
        <v>0</v>
      </c>
      <c r="L783" s="1423">
        <f ca="1">IF(K807="n/a",K783,IFERROR(IF((OFFSET($C783,0,$A783))&lt;0,
MIN(0,K783-(OFFSET($C783,0,$A783)/(OFFSET($C778,-$A782,$A783)))),
MAX(0,K783-(OFFSET($C783,0,$A783)/(OFFSET($C778,-$A782,$A783))))),0))</f>
        <v>0</v>
      </c>
      <c r="M783" s="1423">
        <f t="shared" ca="1" si="1126"/>
        <v>0</v>
      </c>
      <c r="N783" s="1423">
        <f t="shared" ca="1" si="1127"/>
        <v>0</v>
      </c>
      <c r="O783" s="1423">
        <f t="shared" ca="1" si="1128"/>
        <v>0</v>
      </c>
      <c r="P783" s="1423">
        <f t="shared" ca="1" si="1129"/>
        <v>0</v>
      </c>
      <c r="Q783" s="1423">
        <f t="shared" ca="1" si="1130"/>
        <v>0</v>
      </c>
      <c r="R783" s="1423">
        <f t="shared" ca="1" si="1131"/>
        <v>0</v>
      </c>
      <c r="S783" s="1423">
        <f t="shared" ca="1" si="1132"/>
        <v>0</v>
      </c>
      <c r="T783" s="1423">
        <f t="shared" ca="1" si="1133"/>
        <v>0</v>
      </c>
      <c r="U783" s="1423">
        <f t="shared" ca="1" si="1134"/>
        <v>0</v>
      </c>
      <c r="V783" s="1423">
        <f t="shared" ca="1" si="1135"/>
        <v>0</v>
      </c>
      <c r="W783" s="1423">
        <f t="shared" ca="1" si="1136"/>
        <v>0</v>
      </c>
      <c r="X783" s="202"/>
      <c r="Y783" s="202"/>
      <c r="Z783" s="202"/>
      <c r="AA783" s="152"/>
      <c r="AB783" s="152"/>
    </row>
    <row r="784" spans="1:28" hidden="1" outlineLevel="1">
      <c r="A784" s="199">
        <f t="shared" si="1137"/>
        <v>9</v>
      </c>
      <c r="B784" s="190" t="str">
        <f t="shared" ca="1" si="1138"/>
        <v>Depreciated Net Capex 2024-25</v>
      </c>
      <c r="C784" s="1426"/>
      <c r="D784" s="1426"/>
      <c r="E784" s="1426"/>
      <c r="F784" s="1426"/>
      <c r="G784" s="1426"/>
      <c r="H784" s="1426"/>
      <c r="I784" s="1426"/>
      <c r="J784" s="1426"/>
      <c r="K784" s="1427"/>
      <c r="L784" s="1428">
        <f>(L770*((1+L$11)^0.5)/L$10)</f>
        <v>0</v>
      </c>
      <c r="M784" s="1423">
        <f ca="1">IF(L808="n/a",L784,IFERROR(IF((OFFSET($C784,0,$A784))&lt;0,
MIN(0,L784-(OFFSET($C784,0,$A784)/(OFFSET($C779,-$A783,$A784)))),
MAX(0,L784-(OFFSET($C784,0,$A784)/(OFFSET($C779,-$A783,$A784))))),0))</f>
        <v>0</v>
      </c>
      <c r="N784" s="1423">
        <f t="shared" ca="1" si="1127"/>
        <v>0</v>
      </c>
      <c r="O784" s="1423">
        <f t="shared" ca="1" si="1128"/>
        <v>0</v>
      </c>
      <c r="P784" s="1423">
        <f t="shared" ca="1" si="1129"/>
        <v>0</v>
      </c>
      <c r="Q784" s="1423">
        <f t="shared" ca="1" si="1130"/>
        <v>0</v>
      </c>
      <c r="R784" s="1423">
        <f t="shared" ca="1" si="1131"/>
        <v>0</v>
      </c>
      <c r="S784" s="1423">
        <f t="shared" ca="1" si="1132"/>
        <v>0</v>
      </c>
      <c r="T784" s="1423">
        <f t="shared" ca="1" si="1133"/>
        <v>0</v>
      </c>
      <c r="U784" s="1423">
        <f t="shared" ca="1" si="1134"/>
        <v>0</v>
      </c>
      <c r="V784" s="1423">
        <f t="shared" ca="1" si="1135"/>
        <v>0</v>
      </c>
      <c r="W784" s="1423">
        <f t="shared" ca="1" si="1136"/>
        <v>0</v>
      </c>
      <c r="X784" s="202"/>
      <c r="Y784" s="202"/>
      <c r="Z784" s="202"/>
      <c r="AA784" s="152"/>
      <c r="AB784" s="152"/>
    </row>
    <row r="785" spans="1:28" hidden="1" outlineLevel="1">
      <c r="A785" s="199">
        <f t="shared" si="1137"/>
        <v>10</v>
      </c>
      <c r="B785" s="190" t="str">
        <f t="shared" ca="1" si="1138"/>
        <v>Depreciated Net Capex 2025-26</v>
      </c>
      <c r="C785" s="1426"/>
      <c r="D785" s="1426"/>
      <c r="E785" s="1426"/>
      <c r="F785" s="1426"/>
      <c r="G785" s="1426"/>
      <c r="H785" s="1426"/>
      <c r="I785" s="1426"/>
      <c r="J785" s="1426"/>
      <c r="K785" s="1426"/>
      <c r="L785" s="1427"/>
      <c r="M785" s="1428">
        <f>(M770*((1+M$11)^0.5)/M$10)</f>
        <v>0</v>
      </c>
      <c r="N785" s="1423">
        <f ca="1">IF(M809="n/a",M785,IFERROR(IF((OFFSET($C785,0,$A785))&lt;0,
MIN(0,M785-(OFFSET($C785,0,$A785)/(OFFSET($C780,-$A784,$A785)))),
MAX(0,M785-(OFFSET($C785,0,$A785)/(OFFSET($C780,-$A784,$A785))))),0))</f>
        <v>0</v>
      </c>
      <c r="O785" s="1423">
        <f t="shared" ca="1" si="1128"/>
        <v>0</v>
      </c>
      <c r="P785" s="1423">
        <f t="shared" ca="1" si="1129"/>
        <v>0</v>
      </c>
      <c r="Q785" s="1423">
        <f t="shared" ca="1" si="1130"/>
        <v>0</v>
      </c>
      <c r="R785" s="1423">
        <f t="shared" ca="1" si="1131"/>
        <v>0</v>
      </c>
      <c r="S785" s="1423">
        <f t="shared" ca="1" si="1132"/>
        <v>0</v>
      </c>
      <c r="T785" s="1423">
        <f t="shared" ca="1" si="1133"/>
        <v>0</v>
      </c>
      <c r="U785" s="1423">
        <f t="shared" ca="1" si="1134"/>
        <v>0</v>
      </c>
      <c r="V785" s="1423">
        <f t="shared" ca="1" si="1135"/>
        <v>0</v>
      </c>
      <c r="W785" s="1423">
        <f t="shared" ca="1" si="1136"/>
        <v>0</v>
      </c>
      <c r="X785" s="202"/>
      <c r="Y785" s="202"/>
      <c r="Z785" s="202"/>
      <c r="AA785" s="152"/>
      <c r="AB785" s="152"/>
    </row>
    <row r="786" spans="1:28" hidden="1" outlineLevel="1">
      <c r="A786" s="199">
        <f t="shared" si="1137"/>
        <v>11</v>
      </c>
      <c r="B786" s="190" t="str">
        <f t="shared" ca="1" si="1138"/>
        <v>Depreciated Net Capex 2026-27</v>
      </c>
      <c r="C786" s="1426"/>
      <c r="D786" s="1426"/>
      <c r="E786" s="1426"/>
      <c r="F786" s="1426"/>
      <c r="G786" s="1426"/>
      <c r="H786" s="1426"/>
      <c r="I786" s="1426"/>
      <c r="J786" s="1426"/>
      <c r="K786" s="1426"/>
      <c r="L786" s="1426"/>
      <c r="M786" s="1427"/>
      <c r="N786" s="1428">
        <f>(N770*((1+N$11)^0.5)/N$10)</f>
        <v>0</v>
      </c>
      <c r="O786" s="1423">
        <f ca="1">IF(N810="n/a",N786,IFERROR(IF((OFFSET($C786,0,$A786))&lt;0,
MIN(0,N786-(OFFSET($C786,0,$A786)/(OFFSET($C781,-$A785,$A786)))),
MAX(0,N786-(OFFSET($C786,0,$A786)/(OFFSET($C781,-$A785,$A786))))),0))</f>
        <v>0</v>
      </c>
      <c r="P786" s="1423">
        <f t="shared" ca="1" si="1129"/>
        <v>0</v>
      </c>
      <c r="Q786" s="1423">
        <f t="shared" ca="1" si="1130"/>
        <v>0</v>
      </c>
      <c r="R786" s="1423">
        <f t="shared" ca="1" si="1131"/>
        <v>0</v>
      </c>
      <c r="S786" s="1423">
        <f t="shared" ca="1" si="1132"/>
        <v>0</v>
      </c>
      <c r="T786" s="1423">
        <f t="shared" ca="1" si="1133"/>
        <v>0</v>
      </c>
      <c r="U786" s="1423">
        <f t="shared" ca="1" si="1134"/>
        <v>0</v>
      </c>
      <c r="V786" s="1423">
        <f t="shared" ca="1" si="1135"/>
        <v>0</v>
      </c>
      <c r="W786" s="1423">
        <f t="shared" ca="1" si="1136"/>
        <v>0</v>
      </c>
      <c r="X786" s="202"/>
      <c r="Y786" s="202"/>
      <c r="Z786" s="202"/>
      <c r="AA786" s="152"/>
      <c r="AB786" s="152"/>
    </row>
    <row r="787" spans="1:28" hidden="1" outlineLevel="1">
      <c r="A787" s="199">
        <f t="shared" si="1137"/>
        <v>12</v>
      </c>
      <c r="B787" s="190" t="str">
        <f t="shared" ca="1" si="1138"/>
        <v>Depreciated Net Capex 2027-28</v>
      </c>
      <c r="C787" s="1426"/>
      <c r="D787" s="1426"/>
      <c r="E787" s="1426"/>
      <c r="F787" s="1426"/>
      <c r="G787" s="1426"/>
      <c r="H787" s="1426"/>
      <c r="I787" s="1426"/>
      <c r="J787" s="1426"/>
      <c r="K787" s="1426"/>
      <c r="L787" s="1426"/>
      <c r="M787" s="1426"/>
      <c r="N787" s="1427"/>
      <c r="O787" s="1428">
        <f>(O770*((1+O$11)^0.5)/O$10)</f>
        <v>0</v>
      </c>
      <c r="P787" s="1423">
        <f ca="1">IF(O811="n/a",O787,IFERROR(IF((OFFSET($C787,0,$A787))&lt;0,
MIN(0,O787-(OFFSET($C787,0,$A787)/(OFFSET($C782,-$A786,$A787)))),
MAX(0,O787-(OFFSET($C787,0,$A787)/(OFFSET($C782,-$A786,$A787))))),0))</f>
        <v>0</v>
      </c>
      <c r="Q787" s="1423">
        <f t="shared" ca="1" si="1130"/>
        <v>0</v>
      </c>
      <c r="R787" s="1423">
        <f t="shared" ca="1" si="1131"/>
        <v>0</v>
      </c>
      <c r="S787" s="1423">
        <f t="shared" ca="1" si="1132"/>
        <v>0</v>
      </c>
      <c r="T787" s="1423">
        <f t="shared" ca="1" si="1133"/>
        <v>0</v>
      </c>
      <c r="U787" s="1423">
        <f t="shared" ca="1" si="1134"/>
        <v>0</v>
      </c>
      <c r="V787" s="1423">
        <f t="shared" ca="1" si="1135"/>
        <v>0</v>
      </c>
      <c r="W787" s="1423">
        <f t="shared" ca="1" si="1136"/>
        <v>0</v>
      </c>
      <c r="X787" s="202"/>
      <c r="Y787" s="202"/>
      <c r="Z787" s="202"/>
      <c r="AA787" s="152"/>
      <c r="AB787" s="152"/>
    </row>
    <row r="788" spans="1:28" hidden="1" outlineLevel="1">
      <c r="A788" s="199">
        <f t="shared" si="1137"/>
        <v>13</v>
      </c>
      <c r="B788" s="190" t="str">
        <f t="shared" ca="1" si="1138"/>
        <v>Depreciated Net Capex 2028-29</v>
      </c>
      <c r="C788" s="1426"/>
      <c r="D788" s="1426"/>
      <c r="E788" s="1426"/>
      <c r="F788" s="1426"/>
      <c r="G788" s="1426"/>
      <c r="H788" s="1426"/>
      <c r="I788" s="1426"/>
      <c r="J788" s="1426"/>
      <c r="K788" s="1426"/>
      <c r="L788" s="1426"/>
      <c r="M788" s="1426"/>
      <c r="N788" s="1426"/>
      <c r="O788" s="1427"/>
      <c r="P788" s="1428">
        <f>(P770*((1+P$11)^0.5)/P$10)</f>
        <v>0</v>
      </c>
      <c r="Q788" s="1423">
        <f ca="1">IF(P812="n/a",P788,IFERROR(IF((OFFSET($C788,0,$A788))&lt;0,
MIN(0,P788-(OFFSET($C788,0,$A788)/(OFFSET($C783,-$A787,$A788)))),
MAX(0,P788-(OFFSET($C788,0,$A788)/(OFFSET($C783,-$A787,$A788))))),0))</f>
        <v>0</v>
      </c>
      <c r="R788" s="1423">
        <f t="shared" ca="1" si="1131"/>
        <v>0</v>
      </c>
      <c r="S788" s="1423">
        <f t="shared" ca="1" si="1132"/>
        <v>0</v>
      </c>
      <c r="T788" s="1423">
        <f t="shared" ca="1" si="1133"/>
        <v>0</v>
      </c>
      <c r="U788" s="1423">
        <f t="shared" ca="1" si="1134"/>
        <v>0</v>
      </c>
      <c r="V788" s="1423">
        <f t="shared" ca="1" si="1135"/>
        <v>0</v>
      </c>
      <c r="W788" s="1423">
        <f t="shared" ca="1" si="1136"/>
        <v>0</v>
      </c>
      <c r="X788" s="202"/>
      <c r="Y788" s="202"/>
      <c r="Z788" s="202"/>
      <c r="AA788" s="152"/>
      <c r="AB788" s="152"/>
    </row>
    <row r="789" spans="1:28" hidden="1" outlineLevel="1">
      <c r="A789" s="199">
        <f t="shared" si="1137"/>
        <v>14</v>
      </c>
      <c r="B789" s="190" t="str">
        <f t="shared" ca="1" si="1138"/>
        <v>Depreciated Net Capex 2029-30</v>
      </c>
      <c r="C789" s="1426"/>
      <c r="D789" s="1426"/>
      <c r="E789" s="1426"/>
      <c r="F789" s="1426"/>
      <c r="G789" s="1426"/>
      <c r="H789" s="1426"/>
      <c r="I789" s="1426"/>
      <c r="J789" s="1426"/>
      <c r="K789" s="1426"/>
      <c r="L789" s="1426"/>
      <c r="M789" s="1426"/>
      <c r="N789" s="1426"/>
      <c r="O789" s="1426"/>
      <c r="P789" s="1427"/>
      <c r="Q789" s="1428">
        <f>(Q770*((1+Q$11)^0.5)/Q$10)</f>
        <v>0</v>
      </c>
      <c r="R789" s="1423">
        <f ca="1">IF(Q813="n/a",Q789,IFERROR(IF((OFFSET($C789,0,$A789))&lt;0,
MIN(0,Q789-(OFFSET($C789,0,$A789)/(OFFSET($C784,-$A788,$A789)))),
MAX(0,Q789-(OFFSET($C789,0,$A789)/(OFFSET($C784,-$A788,$A789))))),0))</f>
        <v>0</v>
      </c>
      <c r="S789" s="1423">
        <f t="shared" ca="1" si="1132"/>
        <v>0</v>
      </c>
      <c r="T789" s="1423">
        <f t="shared" ca="1" si="1133"/>
        <v>0</v>
      </c>
      <c r="U789" s="1423">
        <f t="shared" ca="1" si="1134"/>
        <v>0</v>
      </c>
      <c r="V789" s="1423">
        <f t="shared" ca="1" si="1135"/>
        <v>0</v>
      </c>
      <c r="W789" s="1423">
        <f t="shared" ca="1" si="1136"/>
        <v>0</v>
      </c>
      <c r="X789" s="202"/>
      <c r="Y789" s="202"/>
      <c r="Z789" s="202"/>
      <c r="AA789" s="152"/>
      <c r="AB789" s="152"/>
    </row>
    <row r="790" spans="1:28" hidden="1" outlineLevel="1">
      <c r="A790" s="199">
        <f t="shared" si="1137"/>
        <v>15</v>
      </c>
      <c r="B790" s="190" t="str">
        <f t="shared" ca="1" si="1138"/>
        <v>Depreciated Net Capex 2030-31</v>
      </c>
      <c r="C790" s="1426"/>
      <c r="D790" s="1426"/>
      <c r="E790" s="1426"/>
      <c r="F790" s="1426"/>
      <c r="G790" s="1426"/>
      <c r="H790" s="1426"/>
      <c r="I790" s="1426"/>
      <c r="J790" s="1426"/>
      <c r="K790" s="1426"/>
      <c r="L790" s="1426"/>
      <c r="M790" s="1426"/>
      <c r="N790" s="1426"/>
      <c r="O790" s="1426"/>
      <c r="P790" s="1426"/>
      <c r="Q790" s="1427"/>
      <c r="R790" s="1428">
        <f>(R770*((1+R$11)^0.5)/R$10)</f>
        <v>0</v>
      </c>
      <c r="S790" s="1423">
        <f ca="1">IF(R814="n/a",R790,IFERROR(IF((OFFSET($C790,0,$A790))&lt;0,
MIN(0,R790-(OFFSET($C790,0,$A790)/(OFFSET($C785,-$A789,$A790)))),
MAX(0,R790-(OFFSET($C790,0,$A790)/(OFFSET($C785,-$A789,$A790))))),0))</f>
        <v>0</v>
      </c>
      <c r="T790" s="1423">
        <f t="shared" ca="1" si="1133"/>
        <v>0</v>
      </c>
      <c r="U790" s="1423">
        <f t="shared" ca="1" si="1134"/>
        <v>0</v>
      </c>
      <c r="V790" s="1423">
        <f t="shared" ca="1" si="1135"/>
        <v>0</v>
      </c>
      <c r="W790" s="1423">
        <f t="shared" ca="1" si="1136"/>
        <v>0</v>
      </c>
      <c r="X790" s="202"/>
      <c r="Y790" s="202"/>
      <c r="Z790" s="202"/>
      <c r="AA790" s="152"/>
      <c r="AB790" s="152"/>
    </row>
    <row r="791" spans="1:28" hidden="1" outlineLevel="1">
      <c r="A791" s="199">
        <f t="shared" si="1137"/>
        <v>16</v>
      </c>
      <c r="B791" s="190" t="str">
        <f t="shared" ca="1" si="1138"/>
        <v>Depreciated Net Capex 2031-32</v>
      </c>
      <c r="C791" s="1426"/>
      <c r="D791" s="1426"/>
      <c r="E791" s="1426"/>
      <c r="F791" s="1426"/>
      <c r="G791" s="1426"/>
      <c r="H791" s="1426"/>
      <c r="I791" s="1426"/>
      <c r="J791" s="1426"/>
      <c r="K791" s="1426"/>
      <c r="L791" s="1426"/>
      <c r="M791" s="1426"/>
      <c r="N791" s="1426"/>
      <c r="O791" s="1426"/>
      <c r="P791" s="1426"/>
      <c r="Q791" s="1426"/>
      <c r="R791" s="1427"/>
      <c r="S791" s="1428">
        <f>(S770*((1+S$11)^0.5)/S$10)</f>
        <v>0</v>
      </c>
      <c r="T791" s="1423">
        <f ca="1">IF(S815="n/a",S791,IFERROR(IF((OFFSET($C791,0,$A791))&lt;0,
MIN(0,S791-(OFFSET($C791,0,$A791)/(OFFSET($C786,-$A790,$A791)))),
MAX(0,S791-(OFFSET($C791,0,$A791)/(OFFSET($C786,-$A790,$A791))))),0))</f>
        <v>0</v>
      </c>
      <c r="U791" s="1423">
        <f t="shared" ca="1" si="1134"/>
        <v>0</v>
      </c>
      <c r="V791" s="1423">
        <f t="shared" ca="1" si="1135"/>
        <v>0</v>
      </c>
      <c r="W791" s="1423">
        <f t="shared" ca="1" si="1136"/>
        <v>0</v>
      </c>
      <c r="X791" s="202"/>
      <c r="Y791" s="202"/>
      <c r="Z791" s="202"/>
      <c r="AA791" s="152"/>
      <c r="AB791" s="152"/>
    </row>
    <row r="792" spans="1:28" hidden="1" outlineLevel="1">
      <c r="A792" s="199">
        <f t="shared" si="1137"/>
        <v>17</v>
      </c>
      <c r="B792" s="190" t="str">
        <f t="shared" ca="1" si="1138"/>
        <v>Depreciated Net Capex 2032-33</v>
      </c>
      <c r="C792" s="1426"/>
      <c r="D792" s="1426"/>
      <c r="E792" s="1426"/>
      <c r="F792" s="1426"/>
      <c r="G792" s="1426"/>
      <c r="H792" s="1426"/>
      <c r="I792" s="1426"/>
      <c r="J792" s="1426"/>
      <c r="K792" s="1426"/>
      <c r="L792" s="1426"/>
      <c r="M792" s="1426"/>
      <c r="N792" s="1426"/>
      <c r="O792" s="1426"/>
      <c r="P792" s="1426"/>
      <c r="Q792" s="1426"/>
      <c r="R792" s="1426"/>
      <c r="S792" s="1427"/>
      <c r="T792" s="1428">
        <f>(T770*((1+T$11)^0.5)/T$10)</f>
        <v>0</v>
      </c>
      <c r="U792" s="1423">
        <f ca="1">IF(T816="n/a",T792,IFERROR(IF((OFFSET($C792,0,$A792))&lt;0,
MIN(0,T792-(OFFSET($C792,0,$A792)/(OFFSET($C787,-$A791,$A792)))),
MAX(0,T792-(OFFSET($C792,0,$A792)/(OFFSET($C787,-$A791,$A792))))),0))</f>
        <v>0</v>
      </c>
      <c r="V792" s="1423">
        <f t="shared" ca="1" si="1135"/>
        <v>0</v>
      </c>
      <c r="W792" s="1423">
        <f t="shared" ca="1" si="1136"/>
        <v>0</v>
      </c>
      <c r="X792" s="202"/>
      <c r="Y792" s="202"/>
      <c r="Z792" s="202"/>
      <c r="AA792" s="152"/>
      <c r="AB792" s="152"/>
    </row>
    <row r="793" spans="1:28" hidden="1" outlineLevel="1">
      <c r="A793" s="199">
        <f t="shared" si="1137"/>
        <v>18</v>
      </c>
      <c r="B793" s="190" t="str">
        <f t="shared" ca="1" si="1138"/>
        <v>Depreciated Net Capex 2033-34</v>
      </c>
      <c r="C793" s="1426"/>
      <c r="D793" s="1426"/>
      <c r="E793" s="1426"/>
      <c r="F793" s="1426"/>
      <c r="G793" s="1426"/>
      <c r="H793" s="1426"/>
      <c r="I793" s="1426"/>
      <c r="J793" s="1426"/>
      <c r="K793" s="1426"/>
      <c r="L793" s="1426"/>
      <c r="M793" s="1426"/>
      <c r="N793" s="1426"/>
      <c r="O793" s="1426"/>
      <c r="P793" s="1426"/>
      <c r="Q793" s="1426"/>
      <c r="R793" s="1426"/>
      <c r="S793" s="1426"/>
      <c r="T793" s="1427"/>
      <c r="U793" s="1428">
        <f>(U770*((1+U$11)^0.5)/U$10)</f>
        <v>0</v>
      </c>
      <c r="V793" s="1423">
        <f ca="1">IF(U817="n/a",U793,IFERROR(IF((OFFSET($C793,0,$A793))&lt;0,
MIN(0,U793-(OFFSET($C793,0,$A793)/(OFFSET($C788,-$A792,$A793)))),
MAX(0,U793-(OFFSET($C793,0,$A793)/(OFFSET($C788,-$A792,$A793))))),0))</f>
        <v>0</v>
      </c>
      <c r="W793" s="1423">
        <f t="shared" ca="1" si="1136"/>
        <v>0</v>
      </c>
      <c r="X793" s="202"/>
      <c r="Y793" s="202"/>
      <c r="Z793" s="202"/>
      <c r="AA793" s="152"/>
      <c r="AB793" s="152"/>
    </row>
    <row r="794" spans="1:28" hidden="1" outlineLevel="1">
      <c r="A794" s="199">
        <f t="shared" si="1137"/>
        <v>19</v>
      </c>
      <c r="B794" s="190" t="str">
        <f t="shared" ca="1" si="1138"/>
        <v>Depreciated Net Capex 2034-35</v>
      </c>
      <c r="C794" s="1426"/>
      <c r="D794" s="1426"/>
      <c r="E794" s="1426"/>
      <c r="F794" s="1426"/>
      <c r="G794" s="1426"/>
      <c r="H794" s="1426"/>
      <c r="I794" s="1426"/>
      <c r="J794" s="1426"/>
      <c r="K794" s="1426"/>
      <c r="L794" s="1426"/>
      <c r="M794" s="1426"/>
      <c r="N794" s="1426"/>
      <c r="O794" s="1426"/>
      <c r="P794" s="1426"/>
      <c r="Q794" s="1426"/>
      <c r="R794" s="1426"/>
      <c r="S794" s="1426"/>
      <c r="T794" s="1426"/>
      <c r="U794" s="1427"/>
      <c r="V794" s="1428">
        <f>(V770*((1+V$11)^0.5)/V$10)</f>
        <v>0</v>
      </c>
      <c r="W794" s="1423">
        <f ca="1">IF(V818="n/a",V794,IFERROR(IF((OFFSET($C794,0,$A794))&lt;0,
MIN(0,V794-(OFFSET($C794,0,$A794)/(OFFSET($C789,-$A793,$A794)))),
MAX(0,V794-(OFFSET($C794,0,$A794)/(OFFSET($C789,-$A793,$A794))))),0))</f>
        <v>0</v>
      </c>
      <c r="X794" s="202"/>
      <c r="Y794" s="202"/>
      <c r="Z794" s="202"/>
      <c r="AA794" s="152"/>
      <c r="AB794" s="152"/>
    </row>
    <row r="795" spans="1:28" hidden="1" outlineLevel="1">
      <c r="A795" s="199">
        <f t="shared" si="1137"/>
        <v>20</v>
      </c>
      <c r="B795" s="190" t="str">
        <f ca="1">"Depreciated Net Capex "&amp;OFFSET($C$6,0,A795)</f>
        <v>Depreciated Net Capex 2035-36</v>
      </c>
      <c r="C795" s="1426"/>
      <c r="D795" s="1426"/>
      <c r="E795" s="1426"/>
      <c r="F795" s="1426"/>
      <c r="G795" s="1426"/>
      <c r="H795" s="1426"/>
      <c r="I795" s="1426"/>
      <c r="J795" s="1426"/>
      <c r="K795" s="1426"/>
      <c r="L795" s="1426"/>
      <c r="M795" s="1426"/>
      <c r="N795" s="1426"/>
      <c r="O795" s="1426"/>
      <c r="P795" s="1426"/>
      <c r="Q795" s="1426"/>
      <c r="R795" s="1426"/>
      <c r="S795" s="1426"/>
      <c r="T795" s="1426"/>
      <c r="U795" s="1426"/>
      <c r="V795" s="1427"/>
      <c r="W795" s="1423">
        <f>(W770*((1+W$11)^0.5)/W$10)</f>
        <v>0</v>
      </c>
      <c r="X795" s="152"/>
      <c r="Y795" s="152"/>
      <c r="Z795" s="152"/>
      <c r="AA795" s="152"/>
      <c r="AB795" s="152"/>
    </row>
    <row r="796" spans="1:28" hidden="1" outlineLevel="1">
      <c r="A796" s="152"/>
      <c r="B796" s="200"/>
      <c r="C796" s="1423"/>
      <c r="D796" s="1423"/>
      <c r="E796" s="1423"/>
      <c r="F796" s="1423"/>
      <c r="G796" s="1423"/>
      <c r="H796" s="1423"/>
      <c r="I796" s="1423"/>
      <c r="J796" s="1423"/>
      <c r="K796" s="1423"/>
      <c r="L796" s="1423"/>
      <c r="M796" s="1423"/>
      <c r="N796" s="1423"/>
      <c r="O796" s="1423"/>
      <c r="P796" s="1423"/>
      <c r="Q796" s="1423"/>
      <c r="R796" s="1423"/>
      <c r="S796" s="1423"/>
      <c r="T796" s="1423"/>
      <c r="U796" s="1423"/>
      <c r="V796" s="1423"/>
      <c r="W796" s="1423"/>
      <c r="X796" s="152"/>
      <c r="Y796" s="152"/>
      <c r="Z796" s="152"/>
      <c r="AA796" s="152"/>
      <c r="AB796" s="152"/>
    </row>
    <row r="797" spans="1:28" hidden="1" outlineLevel="1">
      <c r="A797" s="152"/>
      <c r="B797" s="200"/>
      <c r="C797" s="1423"/>
      <c r="D797" s="1423"/>
      <c r="E797" s="1423"/>
      <c r="F797" s="1423"/>
      <c r="G797" s="1423"/>
      <c r="H797" s="1423"/>
      <c r="I797" s="1423"/>
      <c r="J797" s="1423"/>
      <c r="K797" s="1423"/>
      <c r="L797" s="1423"/>
      <c r="M797" s="1423"/>
      <c r="N797" s="1423"/>
      <c r="O797" s="1423"/>
      <c r="P797" s="1423"/>
      <c r="Q797" s="1423"/>
      <c r="R797" s="1423"/>
      <c r="S797" s="1423"/>
      <c r="T797" s="1423"/>
      <c r="U797" s="1423"/>
      <c r="V797" s="1423"/>
      <c r="W797" s="1423"/>
      <c r="X797" s="152"/>
      <c r="Y797" s="152"/>
      <c r="Z797" s="152"/>
      <c r="AA797" s="152"/>
      <c r="AB797" s="152"/>
    </row>
    <row r="798" spans="1:28" hidden="1" outlineLevel="1">
      <c r="A798" s="152"/>
      <c r="B798" s="190" t="s">
        <v>190</v>
      </c>
      <c r="C798" s="1423"/>
      <c r="D798" s="1423">
        <f ca="1">IF(AND(C798&lt;1,D772=0),0,
IF(D772=0,C798-1,
IF(C798&lt;1,D773,
(((C798-1)*(C774-(C774/(C798))))+((D772/D$10)*D773))/(D774))))</f>
        <v>0</v>
      </c>
      <c r="E798" s="1423">
        <f t="shared" ref="E798" ca="1" si="1139">IF(AND(D798&lt;1,E772=0),0,
IF(E772=0,D798-1,
IF(D798&lt;1,E773,
(((D798-1)*(D774-(D774/(D798))))+((E772/E$10)*E773))/(E774))))</f>
        <v>0</v>
      </c>
      <c r="F798" s="1423">
        <f t="shared" ref="F798" ca="1" si="1140">IF(AND(E798&lt;1,F772=0),0,
IF(F772=0,E798-1,
IF(E798&lt;1,F773,
(((E798-1)*(E774-(E774/(E798))))+((F772/F$10)*F773))/(F774))))</f>
        <v>0</v>
      </c>
      <c r="G798" s="1423">
        <f t="shared" ref="G798" ca="1" si="1141">IF(AND(F798&lt;1,G772=0),0,
IF(G772=0,F798-1,
IF(F798&lt;1,G773,
(((F798-1)*(F774-(F774/(F798))))+((G772/G$10)*G773))/(G774))))</f>
        <v>0</v>
      </c>
      <c r="H798" s="1423">
        <f t="shared" ref="H798" ca="1" si="1142">IF(AND(G798&lt;1,H772=0),0,
IF(H772=0,G798-1,
IF(G798&lt;1,H773,
(((G798-1)*(G774-(G774/(G798))))+((H772/H$10)*H773))/(H774))))</f>
        <v>0</v>
      </c>
      <c r="I798" s="1423">
        <f t="shared" ref="I798" ca="1" si="1143">IF(AND(H798&lt;1,I772=0),0,
IF(I772=0,H798-1,
IF(H798&lt;1,I773,
(((H798-1)*(H774-(H774/(H798))))+((I772/I$10)*I773))/(I774))))</f>
        <v>0</v>
      </c>
      <c r="J798" s="1423">
        <f t="shared" ref="J798" ca="1" si="1144">IF(AND(I798&lt;1,J772=0),0,
IF(J772=0,I798-1,
IF(I798&lt;1,J773,
(((I798-1)*(I774-(I774/(I798))))+((J772/J$10)*J773))/(J774))))</f>
        <v>0</v>
      </c>
      <c r="K798" s="1423">
        <f t="shared" ref="K798" ca="1" si="1145">IF(AND(J798&lt;1,K772=0),0,
IF(K772=0,J798-1,
IF(J798&lt;1,K773,
(((J798-1)*(J774-(J774/(J798))))+((K772/K$10)*K773))/(K774))))</f>
        <v>0</v>
      </c>
      <c r="L798" s="1423">
        <f t="shared" ref="L798" ca="1" si="1146">IF(AND(K798&lt;1,L772=0),0,
IF(L772=0,K798-1,
IF(K798&lt;1,L773,
(((K798-1)*(K774-(K774/(K798))))+((L772/L$10)*L773))/(L774))))</f>
        <v>0</v>
      </c>
      <c r="M798" s="1423">
        <f t="shared" ref="M798" ca="1" si="1147">IF(AND(L798&lt;1,M772=0),0,
IF(M772=0,L798-1,
IF(L798&lt;1,M773,
(((L798-1)*(L774-(L774/(L798))))+((M772/M$10)*M773))/(M774))))</f>
        <v>0</v>
      </c>
      <c r="N798" s="1423">
        <f t="shared" ref="N798" ca="1" si="1148">IF(AND(M798&lt;1,N772=0),0,
IF(N772=0,M798-1,
IF(M798&lt;1,N773,
(((M798-1)*(M774-(M774/(M798))))+((N772/N$10)*N773))/(N774))))</f>
        <v>0</v>
      </c>
      <c r="O798" s="1423">
        <f t="shared" ref="O798" ca="1" si="1149">IF(AND(N798&lt;1,O772=0),0,
IF(O772=0,N798-1,
IF(N798&lt;1,O773,
(((N798-1)*(N774-(N774/(N798))))+((O772/O$10)*O773))/(O774))))</f>
        <v>0</v>
      </c>
      <c r="P798" s="1423">
        <f t="shared" ref="P798" ca="1" si="1150">IF(AND(O798&lt;1,P772=0),0,
IF(P772=0,O798-1,
IF(O798&lt;1,P773,
(((O798-1)*(O774-(O774/(O798))))+((P772/P$10)*P773))/(P774))))</f>
        <v>0</v>
      </c>
      <c r="Q798" s="1423">
        <f t="shared" ref="Q798" ca="1" si="1151">IF(AND(P798&lt;1,Q772=0),0,
IF(Q772=0,P798-1,
IF(P798&lt;1,Q773,
(((P798-1)*(P774-(P774/(P798))))+((Q772/Q$10)*Q773))/(Q774))))</f>
        <v>0</v>
      </c>
      <c r="R798" s="1423">
        <f t="shared" ref="R798" ca="1" si="1152">IF(AND(Q798&lt;1,R772=0),0,
IF(R772=0,Q798-1,
IF(Q798&lt;1,R773,
(((Q798-1)*(Q774-(Q774/(Q798))))+((R772/R$10)*R773))/(R774))))</f>
        <v>0</v>
      </c>
      <c r="S798" s="1423">
        <f t="shared" ref="S798" ca="1" si="1153">IF(AND(R798&lt;1,S772=0),0,
IF(S772=0,R798-1,
IF(R798&lt;1,S773,
(((R798-1)*(R774-(R774/(R798))))+((S772/S$10)*S773))/(S774))))</f>
        <v>0</v>
      </c>
      <c r="T798" s="1423">
        <f t="shared" ref="T798" ca="1" si="1154">IF(AND(S798&lt;1,T772=0),0,
IF(T772=0,S798-1,
IF(S798&lt;1,T773,
(((S798-1)*(S774-(S774/(S798))))+((T772/T$10)*T773))/(T774))))</f>
        <v>0</v>
      </c>
      <c r="U798" s="1423">
        <f t="shared" ref="U798" ca="1" si="1155">IF(AND(T798&lt;1,U772=0),0,
IF(U772=0,T798-1,
IF(T798&lt;1,U773,
(((T798-1)*(T774-(T774/(T798))))+((U772/U$10)*U773))/(U774))))</f>
        <v>0</v>
      </c>
      <c r="V798" s="1423">
        <f t="shared" ref="V798" ca="1" si="1156">IF(AND(U798&lt;1,V772=0),0,
IF(V772=0,U798-1,
IF(U798&lt;1,V773,
(((U798-1)*(U774-(U774/(U798))))+((V772/V$10)*V773))/(V774))))</f>
        <v>0</v>
      </c>
      <c r="W798" s="1423">
        <f t="shared" ref="W798" ca="1" si="1157">IF(AND(V798&lt;1,W772=0),0,
IF(W772=0,V798-1,
IF(V798&lt;1,W773,
(((V798-1)*(V774-(V774/(V798))))+((W772/W$10)*W773))/(W774))))</f>
        <v>0</v>
      </c>
      <c r="X798" s="152"/>
      <c r="Y798" s="152"/>
      <c r="Z798" s="152"/>
      <c r="AA798" s="152"/>
      <c r="AB798" s="152"/>
    </row>
    <row r="799" spans="1:28" hidden="1" outlineLevel="1">
      <c r="A799" s="152"/>
      <c r="B799" s="190" t="s">
        <v>122</v>
      </c>
      <c r="C799" s="1423">
        <f ca="1">C771</f>
        <v>0</v>
      </c>
      <c r="D799" s="1423">
        <f t="shared" ref="D799" ca="1" si="1158">IF(C799="n/a","n/a",MAX(0,C799-1))</f>
        <v>0</v>
      </c>
      <c r="E799" s="1423">
        <f t="shared" ref="E799:E800" ca="1" si="1159">IF(D799="n/a","n/a",MAX(0,D799-1))</f>
        <v>0</v>
      </c>
      <c r="F799" s="1423">
        <f t="shared" ref="F799:F801" ca="1" si="1160">IF(E799="n/a","n/a",MAX(0,E799-1))</f>
        <v>0</v>
      </c>
      <c r="G799" s="1423">
        <f t="shared" ref="G799:G802" ca="1" si="1161">IF(F799="n/a","n/a",MAX(0,F799-1))</f>
        <v>0</v>
      </c>
      <c r="H799" s="1423">
        <f t="shared" ref="H799:H803" ca="1" si="1162">IF(G799="n/a","n/a",MAX(0,G799-1))</f>
        <v>0</v>
      </c>
      <c r="I799" s="1423">
        <f t="shared" ref="I799:I804" ca="1" si="1163">IF(H799="n/a","n/a",MAX(0,H799-1))</f>
        <v>0</v>
      </c>
      <c r="J799" s="1423">
        <f t="shared" ref="J799:J805" ca="1" si="1164">IF(I799="n/a","n/a",MAX(0,I799-1))</f>
        <v>0</v>
      </c>
      <c r="K799" s="1423">
        <f t="shared" ref="K799:K806" ca="1" si="1165">IF(J799="n/a","n/a",MAX(0,J799-1))</f>
        <v>0</v>
      </c>
      <c r="L799" s="1423">
        <f t="shared" ref="L799:L807" ca="1" si="1166">IF(K799="n/a","n/a",MAX(0,K799-1))</f>
        <v>0</v>
      </c>
      <c r="M799" s="1423">
        <f t="shared" ref="M799:M808" ca="1" si="1167">IF(L799="n/a","n/a",MAX(0,L799-1))</f>
        <v>0</v>
      </c>
      <c r="N799" s="1423">
        <f t="shared" ref="N799:N809" ca="1" si="1168">IF(M799="n/a","n/a",MAX(0,M799-1))</f>
        <v>0</v>
      </c>
      <c r="O799" s="1423">
        <f t="shared" ref="O799:O810" ca="1" si="1169">IF(N799="n/a","n/a",MAX(0,N799-1))</f>
        <v>0</v>
      </c>
      <c r="P799" s="1423">
        <f t="shared" ref="P799:P811" ca="1" si="1170">IF(O799="n/a","n/a",MAX(0,O799-1))</f>
        <v>0</v>
      </c>
      <c r="Q799" s="1423">
        <f t="shared" ref="Q799:Q812" ca="1" si="1171">IF(P799="n/a","n/a",MAX(0,P799-1))</f>
        <v>0</v>
      </c>
      <c r="R799" s="1423">
        <f t="shared" ref="R799:R813" ca="1" si="1172">IF(Q799="n/a","n/a",MAX(0,Q799-1))</f>
        <v>0</v>
      </c>
      <c r="S799" s="1423">
        <f t="shared" ref="S799:S814" ca="1" si="1173">IF(R799="n/a","n/a",MAX(0,R799-1))</f>
        <v>0</v>
      </c>
      <c r="T799" s="1423">
        <f t="shared" ref="T799:T815" ca="1" si="1174">IF(S799="n/a","n/a",MAX(0,S799-1))</f>
        <v>0</v>
      </c>
      <c r="U799" s="1423">
        <f t="shared" ref="U799:U816" ca="1" si="1175">IF(T799="n/a","n/a",MAX(0,T799-1))</f>
        <v>0</v>
      </c>
      <c r="V799" s="1423">
        <f t="shared" ref="V799:V817" ca="1" si="1176">IF(U799="n/a","n/a",MAX(0,U799-1))</f>
        <v>0</v>
      </c>
      <c r="W799" s="1423">
        <f t="shared" ref="W799:W817" ca="1" si="1177">IF(V799="n/a","n/a",MAX(0,V799-1))</f>
        <v>0</v>
      </c>
      <c r="X799" s="152"/>
      <c r="Y799" s="152"/>
      <c r="Z799" s="152"/>
      <c r="AA799" s="152"/>
      <c r="AB799" s="152"/>
    </row>
    <row r="800" spans="1:28" hidden="1" outlineLevel="1">
      <c r="A800" s="152"/>
      <c r="B800" s="190" t="str">
        <f t="shared" ref="B800:B819" ca="1" si="1178">"RL Capex "&amp;OFFSET($C$6,0,A776)</f>
        <v>RL Capex 2016-17</v>
      </c>
      <c r="C800" s="1424"/>
      <c r="D800" s="1428">
        <f>D771</f>
        <v>0</v>
      </c>
      <c r="E800" s="1423">
        <f t="shared" si="1159"/>
        <v>0</v>
      </c>
      <c r="F800" s="1423">
        <f t="shared" si="1160"/>
        <v>0</v>
      </c>
      <c r="G800" s="1423">
        <f t="shared" si="1161"/>
        <v>0</v>
      </c>
      <c r="H800" s="1423">
        <f t="shared" si="1162"/>
        <v>0</v>
      </c>
      <c r="I800" s="1423">
        <f t="shared" si="1163"/>
        <v>0</v>
      </c>
      <c r="J800" s="1423">
        <f t="shared" si="1164"/>
        <v>0</v>
      </c>
      <c r="K800" s="1423">
        <f t="shared" si="1165"/>
        <v>0</v>
      </c>
      <c r="L800" s="1423">
        <f t="shared" si="1166"/>
        <v>0</v>
      </c>
      <c r="M800" s="1423">
        <f t="shared" si="1167"/>
        <v>0</v>
      </c>
      <c r="N800" s="1423">
        <f t="shared" si="1168"/>
        <v>0</v>
      </c>
      <c r="O800" s="1423">
        <f t="shared" si="1169"/>
        <v>0</v>
      </c>
      <c r="P800" s="1423">
        <f t="shared" si="1170"/>
        <v>0</v>
      </c>
      <c r="Q800" s="1423">
        <f t="shared" si="1171"/>
        <v>0</v>
      </c>
      <c r="R800" s="1423">
        <f t="shared" si="1172"/>
        <v>0</v>
      </c>
      <c r="S800" s="1423">
        <f t="shared" si="1173"/>
        <v>0</v>
      </c>
      <c r="T800" s="1423">
        <f t="shared" si="1174"/>
        <v>0</v>
      </c>
      <c r="U800" s="1423">
        <f t="shared" si="1175"/>
        <v>0</v>
      </c>
      <c r="V800" s="1423">
        <f t="shared" si="1176"/>
        <v>0</v>
      </c>
      <c r="W800" s="1423">
        <f t="shared" si="1177"/>
        <v>0</v>
      </c>
      <c r="X800" s="152"/>
      <c r="Y800" s="152"/>
      <c r="Z800" s="152"/>
      <c r="AA800" s="152"/>
      <c r="AB800" s="152"/>
    </row>
    <row r="801" spans="1:28" hidden="1" outlineLevel="1">
      <c r="A801" s="152"/>
      <c r="B801" s="190" t="str">
        <f t="shared" ca="1" si="1178"/>
        <v>RL Capex 2017-18</v>
      </c>
      <c r="C801" s="1429"/>
      <c r="D801" s="1424"/>
      <c r="E801" s="1428">
        <f>E771</f>
        <v>0</v>
      </c>
      <c r="F801" s="1423">
        <f t="shared" si="1160"/>
        <v>0</v>
      </c>
      <c r="G801" s="1423">
        <f t="shared" si="1161"/>
        <v>0</v>
      </c>
      <c r="H801" s="1423">
        <f t="shared" si="1162"/>
        <v>0</v>
      </c>
      <c r="I801" s="1423">
        <f t="shared" si="1163"/>
        <v>0</v>
      </c>
      <c r="J801" s="1423">
        <f t="shared" si="1164"/>
        <v>0</v>
      </c>
      <c r="K801" s="1423">
        <f t="shared" si="1165"/>
        <v>0</v>
      </c>
      <c r="L801" s="1423">
        <f t="shared" si="1166"/>
        <v>0</v>
      </c>
      <c r="M801" s="1423">
        <f t="shared" si="1167"/>
        <v>0</v>
      </c>
      <c r="N801" s="1423">
        <f t="shared" si="1168"/>
        <v>0</v>
      </c>
      <c r="O801" s="1423">
        <f t="shared" si="1169"/>
        <v>0</v>
      </c>
      <c r="P801" s="1423">
        <f t="shared" si="1170"/>
        <v>0</v>
      </c>
      <c r="Q801" s="1423">
        <f t="shared" si="1171"/>
        <v>0</v>
      </c>
      <c r="R801" s="1423">
        <f t="shared" si="1172"/>
        <v>0</v>
      </c>
      <c r="S801" s="1423">
        <f t="shared" si="1173"/>
        <v>0</v>
      </c>
      <c r="T801" s="1423">
        <f t="shared" si="1174"/>
        <v>0</v>
      </c>
      <c r="U801" s="1423">
        <f t="shared" si="1175"/>
        <v>0</v>
      </c>
      <c r="V801" s="1423">
        <f t="shared" si="1176"/>
        <v>0</v>
      </c>
      <c r="W801" s="1423">
        <f t="shared" si="1177"/>
        <v>0</v>
      </c>
      <c r="X801" s="152"/>
      <c r="Y801" s="152"/>
      <c r="Z801" s="152"/>
      <c r="AA801" s="152"/>
      <c r="AB801" s="152"/>
    </row>
    <row r="802" spans="1:28" hidden="1" outlineLevel="1">
      <c r="A802" s="152"/>
      <c r="B802" s="190" t="str">
        <f t="shared" ca="1" si="1178"/>
        <v>RL Capex 2018-19</v>
      </c>
      <c r="C802" s="1429"/>
      <c r="D802" s="1429"/>
      <c r="E802" s="1424"/>
      <c r="F802" s="1428">
        <f>F771</f>
        <v>0</v>
      </c>
      <c r="G802" s="1423">
        <f t="shared" si="1161"/>
        <v>0</v>
      </c>
      <c r="H802" s="1423">
        <f t="shared" si="1162"/>
        <v>0</v>
      </c>
      <c r="I802" s="1423">
        <f t="shared" si="1163"/>
        <v>0</v>
      </c>
      <c r="J802" s="1423">
        <f t="shared" si="1164"/>
        <v>0</v>
      </c>
      <c r="K802" s="1423">
        <f t="shared" si="1165"/>
        <v>0</v>
      </c>
      <c r="L802" s="1423">
        <f t="shared" si="1166"/>
        <v>0</v>
      </c>
      <c r="M802" s="1423">
        <f t="shared" si="1167"/>
        <v>0</v>
      </c>
      <c r="N802" s="1423">
        <f t="shared" si="1168"/>
        <v>0</v>
      </c>
      <c r="O802" s="1423">
        <f t="shared" si="1169"/>
        <v>0</v>
      </c>
      <c r="P802" s="1423">
        <f t="shared" si="1170"/>
        <v>0</v>
      </c>
      <c r="Q802" s="1423">
        <f t="shared" si="1171"/>
        <v>0</v>
      </c>
      <c r="R802" s="1423">
        <f t="shared" si="1172"/>
        <v>0</v>
      </c>
      <c r="S802" s="1423">
        <f t="shared" si="1173"/>
        <v>0</v>
      </c>
      <c r="T802" s="1423">
        <f t="shared" si="1174"/>
        <v>0</v>
      </c>
      <c r="U802" s="1423">
        <f t="shared" si="1175"/>
        <v>0</v>
      </c>
      <c r="V802" s="1423">
        <f t="shared" si="1176"/>
        <v>0</v>
      </c>
      <c r="W802" s="1423">
        <f t="shared" si="1177"/>
        <v>0</v>
      </c>
      <c r="X802" s="152"/>
      <c r="Y802" s="152"/>
      <c r="Z802" s="152"/>
      <c r="AA802" s="152"/>
      <c r="AB802" s="152"/>
    </row>
    <row r="803" spans="1:28" hidden="1" outlineLevel="1">
      <c r="A803" s="152"/>
      <c r="B803" s="190" t="str">
        <f t="shared" ca="1" si="1178"/>
        <v>RL Capex 2019-20</v>
      </c>
      <c r="C803" s="1429"/>
      <c r="D803" s="1429"/>
      <c r="E803" s="1429"/>
      <c r="F803" s="1424"/>
      <c r="G803" s="1428">
        <f>G771</f>
        <v>0</v>
      </c>
      <c r="H803" s="1423">
        <f t="shared" si="1162"/>
        <v>0</v>
      </c>
      <c r="I803" s="1423">
        <f t="shared" si="1163"/>
        <v>0</v>
      </c>
      <c r="J803" s="1423">
        <f t="shared" si="1164"/>
        <v>0</v>
      </c>
      <c r="K803" s="1423">
        <f t="shared" si="1165"/>
        <v>0</v>
      </c>
      <c r="L803" s="1423">
        <f t="shared" si="1166"/>
        <v>0</v>
      </c>
      <c r="M803" s="1423">
        <f t="shared" si="1167"/>
        <v>0</v>
      </c>
      <c r="N803" s="1423">
        <f t="shared" si="1168"/>
        <v>0</v>
      </c>
      <c r="O803" s="1423">
        <f t="shared" si="1169"/>
        <v>0</v>
      </c>
      <c r="P803" s="1423">
        <f t="shared" si="1170"/>
        <v>0</v>
      </c>
      <c r="Q803" s="1423">
        <f t="shared" si="1171"/>
        <v>0</v>
      </c>
      <c r="R803" s="1423">
        <f t="shared" si="1172"/>
        <v>0</v>
      </c>
      <c r="S803" s="1423">
        <f t="shared" si="1173"/>
        <v>0</v>
      </c>
      <c r="T803" s="1423">
        <f t="shared" si="1174"/>
        <v>0</v>
      </c>
      <c r="U803" s="1423">
        <f t="shared" si="1175"/>
        <v>0</v>
      </c>
      <c r="V803" s="1423">
        <f t="shared" si="1176"/>
        <v>0</v>
      </c>
      <c r="W803" s="1423">
        <f t="shared" si="1177"/>
        <v>0</v>
      </c>
      <c r="X803" s="152"/>
      <c r="Y803" s="152"/>
      <c r="Z803" s="152"/>
      <c r="AA803" s="152"/>
      <c r="AB803" s="152"/>
    </row>
    <row r="804" spans="1:28" hidden="1" outlineLevel="1">
      <c r="A804" s="152"/>
      <c r="B804" s="190" t="str">
        <f t="shared" ca="1" si="1178"/>
        <v>RL Capex 2020-21</v>
      </c>
      <c r="C804" s="1429"/>
      <c r="D804" s="1429"/>
      <c r="E804" s="1429"/>
      <c r="F804" s="1429"/>
      <c r="G804" s="1424"/>
      <c r="H804" s="1428">
        <f>H771</f>
        <v>0</v>
      </c>
      <c r="I804" s="1423">
        <f t="shared" si="1163"/>
        <v>0</v>
      </c>
      <c r="J804" s="1423">
        <f t="shared" si="1164"/>
        <v>0</v>
      </c>
      <c r="K804" s="1423">
        <f t="shared" si="1165"/>
        <v>0</v>
      </c>
      <c r="L804" s="1423">
        <f t="shared" si="1166"/>
        <v>0</v>
      </c>
      <c r="M804" s="1423">
        <f t="shared" si="1167"/>
        <v>0</v>
      </c>
      <c r="N804" s="1423">
        <f t="shared" si="1168"/>
        <v>0</v>
      </c>
      <c r="O804" s="1423">
        <f t="shared" si="1169"/>
        <v>0</v>
      </c>
      <c r="P804" s="1423">
        <f t="shared" si="1170"/>
        <v>0</v>
      </c>
      <c r="Q804" s="1423">
        <f t="shared" si="1171"/>
        <v>0</v>
      </c>
      <c r="R804" s="1423">
        <f t="shared" si="1172"/>
        <v>0</v>
      </c>
      <c r="S804" s="1423">
        <f t="shared" si="1173"/>
        <v>0</v>
      </c>
      <c r="T804" s="1423">
        <f t="shared" si="1174"/>
        <v>0</v>
      </c>
      <c r="U804" s="1423">
        <f t="shared" si="1175"/>
        <v>0</v>
      </c>
      <c r="V804" s="1423">
        <f t="shared" si="1176"/>
        <v>0</v>
      </c>
      <c r="W804" s="1423">
        <f t="shared" si="1177"/>
        <v>0</v>
      </c>
      <c r="X804" s="152"/>
      <c r="Y804" s="152"/>
      <c r="Z804" s="152"/>
      <c r="AA804" s="152"/>
      <c r="AB804" s="152"/>
    </row>
    <row r="805" spans="1:28" hidden="1" outlineLevel="1">
      <c r="A805" s="152"/>
      <c r="B805" s="190" t="str">
        <f t="shared" ca="1" si="1178"/>
        <v>RL Capex 2021-22</v>
      </c>
      <c r="C805" s="1429"/>
      <c r="D805" s="1429"/>
      <c r="E805" s="1429"/>
      <c r="F805" s="1429"/>
      <c r="G805" s="1429"/>
      <c r="H805" s="1424"/>
      <c r="I805" s="1428">
        <f>I771</f>
        <v>0</v>
      </c>
      <c r="J805" s="1423">
        <f t="shared" si="1164"/>
        <v>0</v>
      </c>
      <c r="K805" s="1423">
        <f t="shared" si="1165"/>
        <v>0</v>
      </c>
      <c r="L805" s="1423">
        <f t="shared" si="1166"/>
        <v>0</v>
      </c>
      <c r="M805" s="1423">
        <f t="shared" si="1167"/>
        <v>0</v>
      </c>
      <c r="N805" s="1423">
        <f t="shared" si="1168"/>
        <v>0</v>
      </c>
      <c r="O805" s="1423">
        <f t="shared" si="1169"/>
        <v>0</v>
      </c>
      <c r="P805" s="1423">
        <f t="shared" si="1170"/>
        <v>0</v>
      </c>
      <c r="Q805" s="1423">
        <f t="shared" si="1171"/>
        <v>0</v>
      </c>
      <c r="R805" s="1423">
        <f t="shared" si="1172"/>
        <v>0</v>
      </c>
      <c r="S805" s="1423">
        <f t="shared" si="1173"/>
        <v>0</v>
      </c>
      <c r="T805" s="1423">
        <f t="shared" si="1174"/>
        <v>0</v>
      </c>
      <c r="U805" s="1423">
        <f t="shared" si="1175"/>
        <v>0</v>
      </c>
      <c r="V805" s="1423">
        <f t="shared" si="1176"/>
        <v>0</v>
      </c>
      <c r="W805" s="1423">
        <f t="shared" si="1177"/>
        <v>0</v>
      </c>
      <c r="X805" s="152"/>
      <c r="Y805" s="152"/>
      <c r="Z805" s="152"/>
      <c r="AA805" s="152"/>
      <c r="AB805" s="152"/>
    </row>
    <row r="806" spans="1:28" hidden="1" outlineLevel="1">
      <c r="A806" s="152"/>
      <c r="B806" s="190" t="str">
        <f t="shared" ca="1" si="1178"/>
        <v>RL Capex 2022-23</v>
      </c>
      <c r="C806" s="1429"/>
      <c r="D806" s="1429"/>
      <c r="E806" s="1429"/>
      <c r="F806" s="1429"/>
      <c r="G806" s="1429"/>
      <c r="H806" s="1429"/>
      <c r="I806" s="1424"/>
      <c r="J806" s="1428">
        <f>J771</f>
        <v>0</v>
      </c>
      <c r="K806" s="1423">
        <f t="shared" si="1165"/>
        <v>0</v>
      </c>
      <c r="L806" s="1423">
        <f t="shared" si="1166"/>
        <v>0</v>
      </c>
      <c r="M806" s="1423">
        <f t="shared" si="1167"/>
        <v>0</v>
      </c>
      <c r="N806" s="1423">
        <f t="shared" si="1168"/>
        <v>0</v>
      </c>
      <c r="O806" s="1423">
        <f t="shared" si="1169"/>
        <v>0</v>
      </c>
      <c r="P806" s="1423">
        <f t="shared" si="1170"/>
        <v>0</v>
      </c>
      <c r="Q806" s="1423">
        <f t="shared" si="1171"/>
        <v>0</v>
      </c>
      <c r="R806" s="1423">
        <f t="shared" si="1172"/>
        <v>0</v>
      </c>
      <c r="S806" s="1423">
        <f t="shared" si="1173"/>
        <v>0</v>
      </c>
      <c r="T806" s="1423">
        <f t="shared" si="1174"/>
        <v>0</v>
      </c>
      <c r="U806" s="1423">
        <f t="shared" si="1175"/>
        <v>0</v>
      </c>
      <c r="V806" s="1423">
        <f t="shared" si="1176"/>
        <v>0</v>
      </c>
      <c r="W806" s="1423">
        <f t="shared" si="1177"/>
        <v>0</v>
      </c>
      <c r="X806" s="152"/>
      <c r="Y806" s="152"/>
      <c r="Z806" s="152"/>
      <c r="AA806" s="152"/>
      <c r="AB806" s="152"/>
    </row>
    <row r="807" spans="1:28" hidden="1" outlineLevel="1">
      <c r="A807" s="152"/>
      <c r="B807" s="190" t="str">
        <f t="shared" ca="1" si="1178"/>
        <v>RL Capex 2023-24</v>
      </c>
      <c r="C807" s="1429"/>
      <c r="D807" s="1429"/>
      <c r="E807" s="1429"/>
      <c r="F807" s="1429"/>
      <c r="G807" s="1429"/>
      <c r="H807" s="1429"/>
      <c r="I807" s="1429"/>
      <c r="J807" s="1424"/>
      <c r="K807" s="1428">
        <f>K771</f>
        <v>0</v>
      </c>
      <c r="L807" s="1423">
        <f t="shared" si="1166"/>
        <v>0</v>
      </c>
      <c r="M807" s="1423">
        <f t="shared" si="1167"/>
        <v>0</v>
      </c>
      <c r="N807" s="1423">
        <f t="shared" si="1168"/>
        <v>0</v>
      </c>
      <c r="O807" s="1423">
        <f t="shared" si="1169"/>
        <v>0</v>
      </c>
      <c r="P807" s="1423">
        <f t="shared" si="1170"/>
        <v>0</v>
      </c>
      <c r="Q807" s="1423">
        <f t="shared" si="1171"/>
        <v>0</v>
      </c>
      <c r="R807" s="1423">
        <f t="shared" si="1172"/>
        <v>0</v>
      </c>
      <c r="S807" s="1423">
        <f t="shared" si="1173"/>
        <v>0</v>
      </c>
      <c r="T807" s="1423">
        <f t="shared" si="1174"/>
        <v>0</v>
      </c>
      <c r="U807" s="1423">
        <f t="shared" si="1175"/>
        <v>0</v>
      </c>
      <c r="V807" s="1423">
        <f t="shared" si="1176"/>
        <v>0</v>
      </c>
      <c r="W807" s="1423">
        <f t="shared" si="1177"/>
        <v>0</v>
      </c>
      <c r="X807" s="152"/>
      <c r="Y807" s="152"/>
      <c r="Z807" s="152"/>
      <c r="AA807" s="152"/>
      <c r="AB807" s="152"/>
    </row>
    <row r="808" spans="1:28" hidden="1" outlineLevel="1">
      <c r="A808" s="152"/>
      <c r="B808" s="190" t="str">
        <f t="shared" ca="1" si="1178"/>
        <v>RL Capex 2024-25</v>
      </c>
      <c r="C808" s="1429"/>
      <c r="D808" s="1429"/>
      <c r="E808" s="1429"/>
      <c r="F808" s="1429"/>
      <c r="G808" s="1429"/>
      <c r="H808" s="1429"/>
      <c r="I808" s="1429"/>
      <c r="J808" s="1429"/>
      <c r="K808" s="1424"/>
      <c r="L808" s="1428">
        <f>L771</f>
        <v>0</v>
      </c>
      <c r="M808" s="1423">
        <f t="shared" si="1167"/>
        <v>0</v>
      </c>
      <c r="N808" s="1423">
        <f t="shared" si="1168"/>
        <v>0</v>
      </c>
      <c r="O808" s="1423">
        <f t="shared" si="1169"/>
        <v>0</v>
      </c>
      <c r="P808" s="1423">
        <f t="shared" si="1170"/>
        <v>0</v>
      </c>
      <c r="Q808" s="1423">
        <f t="shared" si="1171"/>
        <v>0</v>
      </c>
      <c r="R808" s="1423">
        <f t="shared" si="1172"/>
        <v>0</v>
      </c>
      <c r="S808" s="1423">
        <f t="shared" si="1173"/>
        <v>0</v>
      </c>
      <c r="T808" s="1423">
        <f t="shared" si="1174"/>
        <v>0</v>
      </c>
      <c r="U808" s="1423">
        <f t="shared" si="1175"/>
        <v>0</v>
      </c>
      <c r="V808" s="1423">
        <f t="shared" si="1176"/>
        <v>0</v>
      </c>
      <c r="W808" s="1423">
        <f t="shared" si="1177"/>
        <v>0</v>
      </c>
      <c r="X808" s="152"/>
      <c r="Y808" s="152"/>
      <c r="Z808" s="152"/>
      <c r="AA808" s="152"/>
      <c r="AB808" s="152"/>
    </row>
    <row r="809" spans="1:28" hidden="1" outlineLevel="1">
      <c r="A809" s="152"/>
      <c r="B809" s="190" t="str">
        <f t="shared" ca="1" si="1178"/>
        <v>RL Capex 2025-26</v>
      </c>
      <c r="C809" s="1429"/>
      <c r="D809" s="1429"/>
      <c r="E809" s="1429"/>
      <c r="F809" s="1429"/>
      <c r="G809" s="1429"/>
      <c r="H809" s="1429"/>
      <c r="I809" s="1429"/>
      <c r="J809" s="1429"/>
      <c r="K809" s="1429"/>
      <c r="L809" s="1424"/>
      <c r="M809" s="1428">
        <f>M771</f>
        <v>0</v>
      </c>
      <c r="N809" s="1423">
        <f t="shared" si="1168"/>
        <v>0</v>
      </c>
      <c r="O809" s="1423">
        <f t="shared" si="1169"/>
        <v>0</v>
      </c>
      <c r="P809" s="1423">
        <f t="shared" si="1170"/>
        <v>0</v>
      </c>
      <c r="Q809" s="1423">
        <f t="shared" si="1171"/>
        <v>0</v>
      </c>
      <c r="R809" s="1423">
        <f t="shared" si="1172"/>
        <v>0</v>
      </c>
      <c r="S809" s="1423">
        <f t="shared" si="1173"/>
        <v>0</v>
      </c>
      <c r="T809" s="1423">
        <f t="shared" si="1174"/>
        <v>0</v>
      </c>
      <c r="U809" s="1423">
        <f t="shared" si="1175"/>
        <v>0</v>
      </c>
      <c r="V809" s="1423">
        <f t="shared" si="1176"/>
        <v>0</v>
      </c>
      <c r="W809" s="1423">
        <f t="shared" si="1177"/>
        <v>0</v>
      </c>
      <c r="X809" s="152"/>
      <c r="Y809" s="152"/>
      <c r="Z809" s="152"/>
      <c r="AA809" s="152"/>
      <c r="AB809" s="152"/>
    </row>
    <row r="810" spans="1:28" hidden="1" outlineLevel="1">
      <c r="A810" s="152"/>
      <c r="B810" s="190" t="str">
        <f t="shared" ca="1" si="1178"/>
        <v>RL Capex 2026-27</v>
      </c>
      <c r="C810" s="1429"/>
      <c r="D810" s="1429"/>
      <c r="E810" s="1429"/>
      <c r="F810" s="1429"/>
      <c r="G810" s="1429"/>
      <c r="H810" s="1429"/>
      <c r="I810" s="1429"/>
      <c r="J810" s="1429"/>
      <c r="K810" s="1429"/>
      <c r="L810" s="1429"/>
      <c r="M810" s="1424"/>
      <c r="N810" s="1428">
        <f>N771</f>
        <v>0</v>
      </c>
      <c r="O810" s="1423">
        <f t="shared" si="1169"/>
        <v>0</v>
      </c>
      <c r="P810" s="1423">
        <f t="shared" si="1170"/>
        <v>0</v>
      </c>
      <c r="Q810" s="1423">
        <f t="shared" si="1171"/>
        <v>0</v>
      </c>
      <c r="R810" s="1423">
        <f t="shared" si="1172"/>
        <v>0</v>
      </c>
      <c r="S810" s="1423">
        <f t="shared" si="1173"/>
        <v>0</v>
      </c>
      <c r="T810" s="1423">
        <f t="shared" si="1174"/>
        <v>0</v>
      </c>
      <c r="U810" s="1423">
        <f t="shared" si="1175"/>
        <v>0</v>
      </c>
      <c r="V810" s="1423">
        <f t="shared" si="1176"/>
        <v>0</v>
      </c>
      <c r="W810" s="1423">
        <f t="shared" si="1177"/>
        <v>0</v>
      </c>
      <c r="X810" s="152"/>
      <c r="Y810" s="152"/>
      <c r="Z810" s="152"/>
      <c r="AA810" s="152"/>
      <c r="AB810" s="152"/>
    </row>
    <row r="811" spans="1:28" hidden="1" outlineLevel="1">
      <c r="A811" s="152"/>
      <c r="B811" s="190" t="str">
        <f t="shared" ca="1" si="1178"/>
        <v>RL Capex 2027-28</v>
      </c>
      <c r="C811" s="1429"/>
      <c r="D811" s="1429"/>
      <c r="E811" s="1429"/>
      <c r="F811" s="1429"/>
      <c r="G811" s="1429"/>
      <c r="H811" s="1429"/>
      <c r="I811" s="1429"/>
      <c r="J811" s="1429"/>
      <c r="K811" s="1429"/>
      <c r="L811" s="1429"/>
      <c r="M811" s="1429"/>
      <c r="N811" s="1424"/>
      <c r="O811" s="1428">
        <f>O771</f>
        <v>0</v>
      </c>
      <c r="P811" s="1423">
        <f t="shared" si="1170"/>
        <v>0</v>
      </c>
      <c r="Q811" s="1423">
        <f t="shared" si="1171"/>
        <v>0</v>
      </c>
      <c r="R811" s="1423">
        <f t="shared" si="1172"/>
        <v>0</v>
      </c>
      <c r="S811" s="1423">
        <f t="shared" si="1173"/>
        <v>0</v>
      </c>
      <c r="T811" s="1423">
        <f t="shared" si="1174"/>
        <v>0</v>
      </c>
      <c r="U811" s="1423">
        <f t="shared" si="1175"/>
        <v>0</v>
      </c>
      <c r="V811" s="1423">
        <f t="shared" si="1176"/>
        <v>0</v>
      </c>
      <c r="W811" s="1423">
        <f t="shared" si="1177"/>
        <v>0</v>
      </c>
      <c r="X811" s="152"/>
      <c r="Y811" s="152"/>
      <c r="Z811" s="152"/>
      <c r="AA811" s="152"/>
      <c r="AB811" s="152"/>
    </row>
    <row r="812" spans="1:28" hidden="1" outlineLevel="1">
      <c r="A812" s="152"/>
      <c r="B812" s="190" t="str">
        <f t="shared" ca="1" si="1178"/>
        <v>RL Capex 2028-29</v>
      </c>
      <c r="C812" s="1429"/>
      <c r="D812" s="1429"/>
      <c r="E812" s="1429"/>
      <c r="F812" s="1429"/>
      <c r="G812" s="1429"/>
      <c r="H812" s="1429"/>
      <c r="I812" s="1429"/>
      <c r="J812" s="1429"/>
      <c r="K812" s="1429"/>
      <c r="L812" s="1429"/>
      <c r="M812" s="1429"/>
      <c r="N812" s="1429"/>
      <c r="O812" s="1424"/>
      <c r="P812" s="1428">
        <f>P771</f>
        <v>0</v>
      </c>
      <c r="Q812" s="1423">
        <f t="shared" si="1171"/>
        <v>0</v>
      </c>
      <c r="R812" s="1423">
        <f t="shared" si="1172"/>
        <v>0</v>
      </c>
      <c r="S812" s="1423">
        <f t="shared" si="1173"/>
        <v>0</v>
      </c>
      <c r="T812" s="1423">
        <f t="shared" si="1174"/>
        <v>0</v>
      </c>
      <c r="U812" s="1423">
        <f t="shared" si="1175"/>
        <v>0</v>
      </c>
      <c r="V812" s="1423">
        <f t="shared" si="1176"/>
        <v>0</v>
      </c>
      <c r="W812" s="1423">
        <f t="shared" si="1177"/>
        <v>0</v>
      </c>
      <c r="X812" s="152"/>
      <c r="Y812" s="152"/>
      <c r="Z812" s="152"/>
      <c r="AA812" s="152"/>
      <c r="AB812" s="152"/>
    </row>
    <row r="813" spans="1:28" hidden="1" outlineLevel="1">
      <c r="A813" s="152"/>
      <c r="B813" s="190" t="str">
        <f t="shared" ca="1" si="1178"/>
        <v>RL Capex 2029-30</v>
      </c>
      <c r="C813" s="1429"/>
      <c r="D813" s="1429"/>
      <c r="E813" s="1429"/>
      <c r="F813" s="1429"/>
      <c r="G813" s="1429"/>
      <c r="H813" s="1429"/>
      <c r="I813" s="1429"/>
      <c r="J813" s="1429"/>
      <c r="K813" s="1429"/>
      <c r="L813" s="1429"/>
      <c r="M813" s="1429"/>
      <c r="N813" s="1429"/>
      <c r="O813" s="1429"/>
      <c r="P813" s="1424"/>
      <c r="Q813" s="1428">
        <f>Q771</f>
        <v>0</v>
      </c>
      <c r="R813" s="1423">
        <f t="shared" si="1172"/>
        <v>0</v>
      </c>
      <c r="S813" s="1423">
        <f t="shared" si="1173"/>
        <v>0</v>
      </c>
      <c r="T813" s="1423">
        <f t="shared" si="1174"/>
        <v>0</v>
      </c>
      <c r="U813" s="1423">
        <f t="shared" si="1175"/>
        <v>0</v>
      </c>
      <c r="V813" s="1423">
        <f t="shared" si="1176"/>
        <v>0</v>
      </c>
      <c r="W813" s="1423">
        <f t="shared" si="1177"/>
        <v>0</v>
      </c>
      <c r="X813" s="152"/>
      <c r="Y813" s="152"/>
      <c r="Z813" s="152"/>
      <c r="AA813" s="152"/>
      <c r="AB813" s="152"/>
    </row>
    <row r="814" spans="1:28" hidden="1" outlineLevel="1">
      <c r="A814" s="152"/>
      <c r="B814" s="190" t="str">
        <f t="shared" ca="1" si="1178"/>
        <v>RL Capex 2030-31</v>
      </c>
      <c r="C814" s="1429"/>
      <c r="D814" s="1429"/>
      <c r="E814" s="1429"/>
      <c r="F814" s="1429"/>
      <c r="G814" s="1429"/>
      <c r="H814" s="1429"/>
      <c r="I814" s="1429"/>
      <c r="J814" s="1429"/>
      <c r="K814" s="1429"/>
      <c r="L814" s="1429"/>
      <c r="M814" s="1429"/>
      <c r="N814" s="1429"/>
      <c r="O814" s="1429"/>
      <c r="P814" s="1429"/>
      <c r="Q814" s="1424"/>
      <c r="R814" s="1428">
        <f>R771</f>
        <v>0</v>
      </c>
      <c r="S814" s="1423">
        <f t="shared" si="1173"/>
        <v>0</v>
      </c>
      <c r="T814" s="1423">
        <f t="shared" si="1174"/>
        <v>0</v>
      </c>
      <c r="U814" s="1423">
        <f t="shared" si="1175"/>
        <v>0</v>
      </c>
      <c r="V814" s="1423">
        <f t="shared" si="1176"/>
        <v>0</v>
      </c>
      <c r="W814" s="1423">
        <f t="shared" si="1177"/>
        <v>0</v>
      </c>
      <c r="X814" s="152"/>
      <c r="Y814" s="152"/>
      <c r="Z814" s="152"/>
      <c r="AA814" s="152"/>
      <c r="AB814" s="152"/>
    </row>
    <row r="815" spans="1:28" hidden="1" outlineLevel="1">
      <c r="A815" s="152"/>
      <c r="B815" s="190" t="str">
        <f t="shared" ca="1" si="1178"/>
        <v>RL Capex 2031-32</v>
      </c>
      <c r="C815" s="1429"/>
      <c r="D815" s="1429"/>
      <c r="E815" s="1429"/>
      <c r="F815" s="1429"/>
      <c r="G815" s="1429"/>
      <c r="H815" s="1429"/>
      <c r="I815" s="1429"/>
      <c r="J815" s="1429"/>
      <c r="K815" s="1429"/>
      <c r="L815" s="1429"/>
      <c r="M815" s="1429"/>
      <c r="N815" s="1429"/>
      <c r="O815" s="1429"/>
      <c r="P815" s="1429"/>
      <c r="Q815" s="1429"/>
      <c r="R815" s="1424"/>
      <c r="S815" s="1428">
        <f>S771</f>
        <v>0</v>
      </c>
      <c r="T815" s="1423">
        <f t="shared" si="1174"/>
        <v>0</v>
      </c>
      <c r="U815" s="1423">
        <f t="shared" si="1175"/>
        <v>0</v>
      </c>
      <c r="V815" s="1423">
        <f t="shared" si="1176"/>
        <v>0</v>
      </c>
      <c r="W815" s="1423">
        <f t="shared" si="1177"/>
        <v>0</v>
      </c>
      <c r="X815" s="152"/>
      <c r="Y815" s="152"/>
      <c r="Z815" s="152"/>
      <c r="AA815" s="152"/>
      <c r="AB815" s="152"/>
    </row>
    <row r="816" spans="1:28" hidden="1" outlineLevel="1">
      <c r="A816" s="152"/>
      <c r="B816" s="190" t="str">
        <f t="shared" ca="1" si="1178"/>
        <v>RL Capex 2032-33</v>
      </c>
      <c r="C816" s="1429"/>
      <c r="D816" s="1429"/>
      <c r="E816" s="1429"/>
      <c r="F816" s="1429"/>
      <c r="G816" s="1429"/>
      <c r="H816" s="1429"/>
      <c r="I816" s="1429"/>
      <c r="J816" s="1429"/>
      <c r="K816" s="1429"/>
      <c r="L816" s="1429"/>
      <c r="M816" s="1429"/>
      <c r="N816" s="1429"/>
      <c r="O816" s="1429"/>
      <c r="P816" s="1429"/>
      <c r="Q816" s="1429"/>
      <c r="R816" s="1429"/>
      <c r="S816" s="1424"/>
      <c r="T816" s="1428">
        <f>T771</f>
        <v>0</v>
      </c>
      <c r="U816" s="1423">
        <f t="shared" si="1175"/>
        <v>0</v>
      </c>
      <c r="V816" s="1423">
        <f t="shared" si="1176"/>
        <v>0</v>
      </c>
      <c r="W816" s="1423">
        <f t="shared" si="1177"/>
        <v>0</v>
      </c>
      <c r="X816" s="152"/>
      <c r="Y816" s="152"/>
      <c r="Z816" s="152"/>
      <c r="AA816" s="152"/>
      <c r="AB816" s="152"/>
    </row>
    <row r="817" spans="1:28" hidden="1" outlineLevel="1">
      <c r="A817" s="152"/>
      <c r="B817" s="190" t="str">
        <f t="shared" ca="1" si="1178"/>
        <v>RL Capex 2033-34</v>
      </c>
      <c r="C817" s="1429"/>
      <c r="D817" s="1429"/>
      <c r="E817" s="1429"/>
      <c r="F817" s="1429"/>
      <c r="G817" s="1429"/>
      <c r="H817" s="1429"/>
      <c r="I817" s="1429"/>
      <c r="J817" s="1429"/>
      <c r="K817" s="1429"/>
      <c r="L817" s="1429"/>
      <c r="M817" s="1429"/>
      <c r="N817" s="1429"/>
      <c r="O817" s="1429"/>
      <c r="P817" s="1429"/>
      <c r="Q817" s="1429"/>
      <c r="R817" s="1429"/>
      <c r="S817" s="1429"/>
      <c r="T817" s="1424"/>
      <c r="U817" s="1428">
        <f>U771</f>
        <v>0</v>
      </c>
      <c r="V817" s="1423">
        <f t="shared" si="1176"/>
        <v>0</v>
      </c>
      <c r="W817" s="1423">
        <f t="shared" si="1177"/>
        <v>0</v>
      </c>
      <c r="X817" s="152"/>
      <c r="Y817" s="152"/>
      <c r="Z817" s="152"/>
      <c r="AA817" s="152"/>
      <c r="AB817" s="152"/>
    </row>
    <row r="818" spans="1:28" hidden="1" outlineLevel="1">
      <c r="A818" s="152"/>
      <c r="B818" s="190" t="str">
        <f t="shared" ca="1" si="1178"/>
        <v>RL Capex 2034-35</v>
      </c>
      <c r="C818" s="1429"/>
      <c r="D818" s="1429"/>
      <c r="E818" s="1429"/>
      <c r="F818" s="1429"/>
      <c r="G818" s="1429"/>
      <c r="H818" s="1429"/>
      <c r="I818" s="1429"/>
      <c r="J818" s="1429"/>
      <c r="K818" s="1429"/>
      <c r="L818" s="1429"/>
      <c r="M818" s="1429"/>
      <c r="N818" s="1429"/>
      <c r="O818" s="1429"/>
      <c r="P818" s="1429"/>
      <c r="Q818" s="1429"/>
      <c r="R818" s="1429"/>
      <c r="S818" s="1429"/>
      <c r="T818" s="1429"/>
      <c r="U818" s="1424"/>
      <c r="V818" s="1428">
        <f>V771</f>
        <v>0</v>
      </c>
      <c r="W818" s="1423">
        <f>IF(V818="n/a","n/a",MAX(0,V818-1))</f>
        <v>0</v>
      </c>
      <c r="X818" s="152"/>
      <c r="Y818" s="152"/>
      <c r="Z818" s="152"/>
      <c r="AA818" s="152"/>
      <c r="AB818" s="152"/>
    </row>
    <row r="819" spans="1:28" hidden="1" outlineLevel="1">
      <c r="A819" s="152"/>
      <c r="B819" s="190" t="str">
        <f t="shared" ca="1" si="1178"/>
        <v>RL Capex 2035-36</v>
      </c>
      <c r="C819" s="1429"/>
      <c r="D819" s="1429"/>
      <c r="E819" s="1429"/>
      <c r="F819" s="1429"/>
      <c r="G819" s="1429"/>
      <c r="H819" s="1429"/>
      <c r="I819" s="1429"/>
      <c r="J819" s="1429"/>
      <c r="K819" s="1429"/>
      <c r="L819" s="1429"/>
      <c r="M819" s="1429"/>
      <c r="N819" s="1429"/>
      <c r="O819" s="1429"/>
      <c r="P819" s="1429"/>
      <c r="Q819" s="1429"/>
      <c r="R819" s="1429"/>
      <c r="S819" s="1429"/>
      <c r="T819" s="1429"/>
      <c r="U819" s="1429"/>
      <c r="V819" s="1424"/>
      <c r="W819" s="1423">
        <f>W771</f>
        <v>0</v>
      </c>
      <c r="X819" s="152"/>
      <c r="Y819" s="152"/>
      <c r="Z819" s="152"/>
      <c r="AA819" s="152"/>
      <c r="AB819" s="152"/>
    </row>
    <row r="820" spans="1:28" hidden="1" outlineLevel="1">
      <c r="A820" s="152"/>
      <c r="B820" s="200"/>
      <c r="C820" s="1423"/>
      <c r="D820" s="1423"/>
      <c r="E820" s="1423"/>
      <c r="F820" s="1423"/>
      <c r="G820" s="1423"/>
      <c r="H820" s="1423"/>
      <c r="I820" s="1423"/>
      <c r="J820" s="1423"/>
      <c r="K820" s="1423"/>
      <c r="L820" s="1423"/>
      <c r="M820" s="1423"/>
      <c r="N820" s="1423"/>
      <c r="O820" s="1423"/>
      <c r="P820" s="1423"/>
      <c r="Q820" s="1423"/>
      <c r="R820" s="1423"/>
      <c r="S820" s="1423"/>
      <c r="T820" s="1423"/>
      <c r="U820" s="1423"/>
      <c r="V820" s="1423"/>
      <c r="W820" s="1423"/>
      <c r="X820" s="152"/>
      <c r="Y820" s="152"/>
      <c r="Z820" s="152"/>
      <c r="AA820" s="152"/>
      <c r="AB820" s="152"/>
    </row>
    <row r="821" spans="1:28" collapsed="1">
      <c r="A821" s="194"/>
      <c r="B821" s="204" t="s">
        <v>123</v>
      </c>
      <c r="C821" s="1430">
        <f ca="1">(IF(OR($C771&lt;&gt;"n/a",C771&lt;&gt;"n/a"),IF(SUM(C774:C796)=0,0,IF((SUMPRODUCT(C774:C796,C798:C820)/SUM(C774:C796))&lt;0,1,(SUMPRODUCT(C774:C796,C798:C820)/SUM(C774:C796)))),"n/a"))</f>
        <v>0</v>
      </c>
      <c r="D821" s="1430">
        <f ca="1">(IF(OR($C771&lt;&gt;"n/a",D771&lt;&gt;"n/a"),IF(SUM(D774:D796)=0,0,IF((SUMPRODUCT(D774:D796,D798:D820)/SUM(D774:D796))&lt;0,1,(SUMPRODUCT(D774:D796,D798:D820)/SUM(D774:D796)))),"n/a"))</f>
        <v>0</v>
      </c>
      <c r="E821" s="1430">
        <f t="shared" ref="E821:W821" ca="1" si="1179">(IF(OR($C771&lt;&gt;"n/a",E771&lt;&gt;"n/a"),IF(SUM(E774:E796)=0,0,IF((SUMPRODUCT(E774:E796,E798:E820)/SUM(E774:E796))&lt;0,1,(SUMPRODUCT(E774:E796,E798:E820)/SUM(E774:E796)))),"n/a"))</f>
        <v>0</v>
      </c>
      <c r="F821" s="1430">
        <f t="shared" ca="1" si="1179"/>
        <v>0</v>
      </c>
      <c r="G821" s="1430">
        <f t="shared" ca="1" si="1179"/>
        <v>0</v>
      </c>
      <c r="H821" s="1430">
        <f t="shared" ca="1" si="1179"/>
        <v>0</v>
      </c>
      <c r="I821" s="1430">
        <f t="shared" ca="1" si="1179"/>
        <v>0</v>
      </c>
      <c r="J821" s="1430">
        <f t="shared" ca="1" si="1179"/>
        <v>0</v>
      </c>
      <c r="K821" s="1430">
        <f t="shared" ca="1" si="1179"/>
        <v>0</v>
      </c>
      <c r="L821" s="1430">
        <f t="shared" ca="1" si="1179"/>
        <v>0</v>
      </c>
      <c r="M821" s="1430">
        <f t="shared" ca="1" si="1179"/>
        <v>0</v>
      </c>
      <c r="N821" s="1430">
        <f t="shared" ca="1" si="1179"/>
        <v>0</v>
      </c>
      <c r="O821" s="1430">
        <f t="shared" ca="1" si="1179"/>
        <v>0</v>
      </c>
      <c r="P821" s="1430">
        <f t="shared" ca="1" si="1179"/>
        <v>0</v>
      </c>
      <c r="Q821" s="1430">
        <f t="shared" ca="1" si="1179"/>
        <v>0</v>
      </c>
      <c r="R821" s="1430">
        <f t="shared" ca="1" si="1179"/>
        <v>0</v>
      </c>
      <c r="S821" s="1430">
        <f t="shared" ca="1" si="1179"/>
        <v>0</v>
      </c>
      <c r="T821" s="1430">
        <f t="shared" ca="1" si="1179"/>
        <v>0</v>
      </c>
      <c r="U821" s="1430">
        <f t="shared" ca="1" si="1179"/>
        <v>0</v>
      </c>
      <c r="V821" s="1430">
        <f t="shared" ca="1" si="1179"/>
        <v>0</v>
      </c>
      <c r="W821" s="1430">
        <f t="shared" ca="1" si="1179"/>
        <v>0</v>
      </c>
      <c r="X821" s="152"/>
      <c r="Y821" s="152"/>
      <c r="Z821" s="152"/>
      <c r="AA821" s="152"/>
      <c r="AB821" s="152"/>
    </row>
    <row r="822" spans="1:28">
      <c r="A822" s="152"/>
      <c r="B822" s="152"/>
      <c r="C822" s="1423"/>
      <c r="D822" s="1423"/>
      <c r="E822" s="1423"/>
      <c r="F822" s="1423"/>
      <c r="G822" s="1423"/>
      <c r="H822" s="1423"/>
      <c r="I822" s="1423"/>
      <c r="J822" s="1423"/>
      <c r="K822" s="1423"/>
      <c r="L822" s="1423"/>
      <c r="M822" s="1423"/>
      <c r="N822" s="1423"/>
      <c r="O822" s="1423"/>
      <c r="P822" s="1423"/>
      <c r="Q822" s="1423"/>
      <c r="R822" s="1423"/>
      <c r="S822" s="1423"/>
      <c r="T822" s="1423"/>
      <c r="U822" s="1423"/>
      <c r="V822" s="1423"/>
      <c r="W822" s="1423"/>
      <c r="X822" s="152"/>
      <c r="Y822" s="152"/>
      <c r="Z822" s="152"/>
      <c r="AA822" s="152"/>
      <c r="AB822" s="152"/>
    </row>
    <row r="823" spans="1:28">
      <c r="A823" s="269" t="s">
        <v>16</v>
      </c>
      <c r="B823" s="270">
        <f>VLOOKUP($A823,'RFM input'!$E$7:$F$56,2,FALSE)</f>
        <v>0</v>
      </c>
      <c r="C823" s="1431"/>
      <c r="D823" s="1431"/>
      <c r="E823" s="1432"/>
      <c r="F823" s="1432"/>
      <c r="G823" s="1432"/>
      <c r="H823" s="1432"/>
      <c r="I823" s="1432"/>
      <c r="J823" s="1432"/>
      <c r="K823" s="1432"/>
      <c r="L823" s="1432"/>
      <c r="M823" s="1432"/>
      <c r="N823" s="1432"/>
      <c r="O823" s="1432"/>
      <c r="P823" s="1432"/>
      <c r="Q823" s="1432"/>
      <c r="R823" s="1432"/>
      <c r="S823" s="1432"/>
      <c r="T823" s="1432"/>
      <c r="U823" s="1432"/>
      <c r="V823" s="1432"/>
      <c r="W823" s="1432"/>
      <c r="X823" s="152"/>
      <c r="Y823" s="152"/>
      <c r="Z823" s="152"/>
      <c r="AA823" s="152"/>
      <c r="AB823" s="152"/>
    </row>
    <row r="824" spans="1:28">
      <c r="A824" s="215">
        <f>VALUE(REPLACE(A823,1,12,""))</f>
        <v>16</v>
      </c>
      <c r="B824" s="193" t="s">
        <v>126</v>
      </c>
      <c r="C824" s="1416">
        <f ca="1">IF($C$8='Capital Base roll forward'!$H$4,OFFSET('Capital Base roll forward'!$H$717,'RAB remaining lives'!A824,0),"enter input")</f>
        <v>0</v>
      </c>
      <c r="D824" s="1417">
        <f>IF(LEFT(D$6,4)&lt;LEFT('RFM input'!$G$60,4),"enter input",IF(LEFT(D$6,4)&gt;LEFT('RFM input'!$Q$60,4),0,INDEX('RFM input'!$G$61:$Q$110,$A824,MATCH(D$6,'RFM input'!$G$60:$Q$60,0))
-INDEX('RFM input'!$G$115:$Q$164,$A824,MATCH(D$6,'RFM input'!$G$60:$Q$60,0))
-INDEX('RFM input'!$G$169:$Q$218,$A824,MATCH(D$6,'RFM input'!$G$60:$Q$60,0))))</f>
        <v>0</v>
      </c>
      <c r="E824" s="1417">
        <f>IF(LEFT(E$6,4)&lt;LEFT('RFM input'!$G$60,4),"enter input",IF(LEFT(E$6,4)&gt;LEFT('RFM input'!$Q$60,4),0,INDEX('RFM input'!$G$61:$Q$110,$A824,MATCH(E$6,'RFM input'!$G$60:$Q$60,0))
-INDEX('RFM input'!$G$115:$Q$164,$A824,MATCH(E$6,'RFM input'!$G$60:$Q$60,0))
-INDEX('RFM input'!$G$169:$Q$218,$A824,MATCH(E$6,'RFM input'!$G$60:$Q$60,0))))</f>
        <v>0</v>
      </c>
      <c r="F824" s="1417">
        <f>IF(LEFT(F$6,4)&lt;LEFT('RFM input'!$G$60,4),"enter input",IF(LEFT(F$6,4)&gt;LEFT('RFM input'!$Q$60,4),0,INDEX('RFM input'!$G$61:$Q$110,$A824,MATCH(F$6,'RFM input'!$G$60:$Q$60,0))
-INDEX('RFM input'!$G$115:$Q$164,$A824,MATCH(F$6,'RFM input'!$G$60:$Q$60,0))
-INDEX('RFM input'!$G$169:$Q$218,$A824,MATCH(F$6,'RFM input'!$G$60:$Q$60,0))))</f>
        <v>0</v>
      </c>
      <c r="G824" s="1417">
        <f>IF(LEFT(G$6,4)&lt;LEFT('RFM input'!$G$60,4),"enter input",IF(LEFT(G$6,4)&gt;LEFT('RFM input'!$Q$60,4),0,INDEX('RFM input'!$G$61:$Q$110,$A824,MATCH(G$6,'RFM input'!$G$60:$Q$60,0))
-INDEX('RFM input'!$G$115:$Q$164,$A824,MATCH(G$6,'RFM input'!$G$60:$Q$60,0))
-INDEX('RFM input'!$G$169:$Q$218,$A824,MATCH(G$6,'RFM input'!$G$60:$Q$60,0))))</f>
        <v>0</v>
      </c>
      <c r="H824" s="1417">
        <f>IF(LEFT(H$6,4)&lt;LEFT('RFM input'!$G$60,4),"enter input",IF(LEFT(H$6,4)&gt;LEFT('RFM input'!$Q$60,4),0,INDEX('RFM input'!$G$61:$Q$110,$A824,MATCH(H$6,'RFM input'!$G$60:$Q$60,0))
-INDEX('RFM input'!$G$115:$Q$164,$A824,MATCH(H$6,'RFM input'!$G$60:$Q$60,0))
-INDEX('RFM input'!$G$169:$Q$218,$A824,MATCH(H$6,'RFM input'!$G$60:$Q$60,0))))</f>
        <v>0</v>
      </c>
      <c r="I824" s="1417">
        <f>IF(LEFT(I$6,4)&lt;LEFT('RFM input'!$G$60,4),"enter input",IF(LEFT(I$6,4)&gt;LEFT('RFM input'!$Q$60,4),0,INDEX('RFM input'!$G$61:$Q$110,$A824,MATCH(I$6,'RFM input'!$G$60:$Q$60,0))
-INDEX('RFM input'!$G$115:$Q$164,$A824,MATCH(I$6,'RFM input'!$G$60:$Q$60,0))
-INDEX('RFM input'!$G$169:$Q$218,$A824,MATCH(I$6,'RFM input'!$G$60:$Q$60,0))))</f>
        <v>0</v>
      </c>
      <c r="J824" s="1417">
        <f>IF(LEFT(J$6,4)&lt;LEFT('RFM input'!$G$60,4),"enter input",IF(LEFT(J$6,4)&gt;LEFT('RFM input'!$Q$60,4),0,INDEX('RFM input'!$G$61:$Q$110,$A824,MATCH(J$6,'RFM input'!$G$60:$Q$60,0))
-INDEX('RFM input'!$G$115:$Q$164,$A824,MATCH(J$6,'RFM input'!$G$60:$Q$60,0))
-INDEX('RFM input'!$G$169:$Q$218,$A824,MATCH(J$6,'RFM input'!$G$60:$Q$60,0))))</f>
        <v>0</v>
      </c>
      <c r="K824" s="1417">
        <f>IF(LEFT(K$6,4)&lt;LEFT('RFM input'!$G$60,4),"enter input",IF(LEFT(K$6,4)&gt;LEFT('RFM input'!$Q$60,4),0,INDEX('RFM input'!$G$61:$Q$110,$A824,MATCH(K$6,'RFM input'!$G$60:$Q$60,0))
-INDEX('RFM input'!$G$115:$Q$164,$A824,MATCH(K$6,'RFM input'!$G$60:$Q$60,0))
-INDEX('RFM input'!$G$169:$Q$218,$A824,MATCH(K$6,'RFM input'!$G$60:$Q$60,0))))</f>
        <v>0</v>
      </c>
      <c r="L824" s="1417">
        <f>IF(LEFT(L$6,4)&lt;LEFT('RFM input'!$G$60,4),"enter input",IF(LEFT(L$6,4)&gt;LEFT('RFM input'!$Q$60,4),0,INDEX('RFM input'!$G$61:$Q$110,$A824,MATCH(L$6,'RFM input'!$G$60:$Q$60,0))
-INDEX('RFM input'!$G$115:$Q$164,$A824,MATCH(L$6,'RFM input'!$G$60:$Q$60,0))
-INDEX('RFM input'!$G$169:$Q$218,$A824,MATCH(L$6,'RFM input'!$G$60:$Q$60,0))))</f>
        <v>0</v>
      </c>
      <c r="M824" s="1417">
        <f>IF(LEFT(M$6,4)&lt;LEFT('RFM input'!$G$60,4),"enter input",IF(LEFT(M$6,4)&gt;LEFT('RFM input'!$Q$60,4),0,INDEX('RFM input'!$G$61:$Q$110,$A824,MATCH(M$6,'RFM input'!$G$60:$Q$60,0))
-INDEX('RFM input'!$G$115:$Q$164,$A824,MATCH(M$6,'RFM input'!$G$60:$Q$60,0))
-INDEX('RFM input'!$G$169:$Q$218,$A824,MATCH(M$6,'RFM input'!$G$60:$Q$60,0))))</f>
        <v>0</v>
      </c>
      <c r="N824" s="1417">
        <f>IF(LEFT(N$6,4)&lt;LEFT('RFM input'!$G$60,4),"enter input",IF(LEFT(N$6,4)&gt;LEFT('RFM input'!$Q$60,4),0,INDEX('RFM input'!$G$61:$Q$110,$A824,MATCH(N$6,'RFM input'!$G$60:$Q$60,0))
-INDEX('RFM input'!$G$115:$Q$164,$A824,MATCH(N$6,'RFM input'!$G$60:$Q$60,0))
-INDEX('RFM input'!$G$169:$Q$218,$A824,MATCH(N$6,'RFM input'!$G$60:$Q$60,0))))</f>
        <v>0</v>
      </c>
      <c r="O824" s="1417">
        <f>IF(LEFT(O$6,4)&lt;LEFT('RFM input'!$G$60,4),"enter input",IF(LEFT(O$6,4)&gt;LEFT('RFM input'!$Q$60,4),0,INDEX('RFM input'!$G$61:$Q$110,$A824,MATCH(O$6,'RFM input'!$G$60:$Q$60,0))
-INDEX('RFM input'!$G$115:$Q$164,$A824,MATCH(O$6,'RFM input'!$G$60:$Q$60,0))
-INDEX('RFM input'!$G$169:$Q$218,$A824,MATCH(O$6,'RFM input'!$G$60:$Q$60,0))))</f>
        <v>0</v>
      </c>
      <c r="P824" s="1417">
        <f>IF(LEFT(P$6,4)&lt;LEFT('RFM input'!$G$60,4),"enter input",IF(LEFT(P$6,4)&gt;LEFT('RFM input'!$Q$60,4),0,INDEX('RFM input'!$G$61:$Q$110,$A824,MATCH(P$6,'RFM input'!$G$60:$Q$60,0))
-INDEX('RFM input'!$G$115:$Q$164,$A824,MATCH(P$6,'RFM input'!$G$60:$Q$60,0))
-INDEX('RFM input'!$G$169:$Q$218,$A824,MATCH(P$6,'RFM input'!$G$60:$Q$60,0))))</f>
        <v>0</v>
      </c>
      <c r="Q824" s="1417">
        <f>IF(LEFT(Q$6,4)&lt;LEFT('RFM input'!$G$60,4),"enter input",IF(LEFT(Q$6,4)&gt;LEFT('RFM input'!$Q$60,4),0,INDEX('RFM input'!$G$61:$Q$110,$A824,MATCH(Q$6,'RFM input'!$G$60:$Q$60,0))
-INDEX('RFM input'!$G$115:$Q$164,$A824,MATCH(Q$6,'RFM input'!$G$60:$Q$60,0))
-INDEX('RFM input'!$G$169:$Q$218,$A824,MATCH(Q$6,'RFM input'!$G$60:$Q$60,0))))</f>
        <v>0</v>
      </c>
      <c r="R824" s="1417">
        <f>IF(LEFT(R$6,4)&lt;LEFT('RFM input'!$G$60,4),"enter input",IF(LEFT(R$6,4)&gt;LEFT('RFM input'!$Q$60,4),0,INDEX('RFM input'!$G$61:$Q$110,$A824,MATCH(R$6,'RFM input'!$G$60:$Q$60,0))
-INDEX('RFM input'!$G$115:$Q$164,$A824,MATCH(R$6,'RFM input'!$G$60:$Q$60,0))
-INDEX('RFM input'!$G$169:$Q$218,$A824,MATCH(R$6,'RFM input'!$G$60:$Q$60,0))))</f>
        <v>0</v>
      </c>
      <c r="S824" s="1417">
        <f>IF(LEFT(S$6,4)&lt;LEFT('RFM input'!$G$60,4),"enter input",IF(LEFT(S$6,4)&gt;LEFT('RFM input'!$Q$60,4),0,INDEX('RFM input'!$G$61:$Q$110,$A824,MATCH(S$6,'RFM input'!$G$60:$Q$60,0))
-INDEX('RFM input'!$G$115:$Q$164,$A824,MATCH(S$6,'RFM input'!$G$60:$Q$60,0))
-INDEX('RFM input'!$G$169:$Q$218,$A824,MATCH(S$6,'RFM input'!$G$60:$Q$60,0))))</f>
        <v>0</v>
      </c>
      <c r="T824" s="1417">
        <f>IF(LEFT(T$6,4)&lt;LEFT('RFM input'!$G$60,4),"enter input",IF(LEFT(T$6,4)&gt;LEFT('RFM input'!$Q$60,4),0,INDEX('RFM input'!$G$61:$Q$110,$A824,MATCH(T$6,'RFM input'!$G$60:$Q$60,0))
-INDEX('RFM input'!$G$115:$Q$164,$A824,MATCH(T$6,'RFM input'!$G$60:$Q$60,0))
-INDEX('RFM input'!$G$169:$Q$218,$A824,MATCH(T$6,'RFM input'!$G$60:$Q$60,0))))</f>
        <v>0</v>
      </c>
      <c r="U824" s="1417">
        <f>IF(LEFT(U$6,4)&lt;LEFT('RFM input'!$G$60,4),"enter input",IF(LEFT(U$6,4)&gt;LEFT('RFM input'!$Q$60,4),0,INDEX('RFM input'!$G$61:$Q$110,$A824,MATCH(U$6,'RFM input'!$G$60:$Q$60,0))
-INDEX('RFM input'!$G$115:$Q$164,$A824,MATCH(U$6,'RFM input'!$G$60:$Q$60,0))
-INDEX('RFM input'!$G$169:$Q$218,$A824,MATCH(U$6,'RFM input'!$G$60:$Q$60,0))))</f>
        <v>0</v>
      </c>
      <c r="V824" s="1417">
        <f>IF(LEFT(V$6,4)&lt;LEFT('RFM input'!$G$60,4),"enter input",IF(LEFT(V$6,4)&gt;LEFT('RFM input'!$Q$60,4),0,INDEX('RFM input'!$G$61:$Q$110,$A824,MATCH(V$6,'RFM input'!$G$60:$Q$60,0))
-INDEX('RFM input'!$G$115:$Q$164,$A824,MATCH(V$6,'RFM input'!$G$60:$Q$60,0))
-INDEX('RFM input'!$G$169:$Q$218,$A824,MATCH(V$6,'RFM input'!$G$60:$Q$60,0))))</f>
        <v>0</v>
      </c>
      <c r="W824" s="1417">
        <f>IF(LEFT(W$6,4)&lt;LEFT('RFM input'!$G$60,4),"enter input",IF(LEFT(W$6,4)&gt;LEFT('RFM input'!$Q$60,4),0,INDEX('RFM input'!$G$61:$Q$110,$A824,MATCH(W$6,'RFM input'!$G$60:$Q$60,0))
-INDEX('RFM input'!$G$115:$Q$164,$A824,MATCH(W$6,'RFM input'!$G$60:$Q$60,0))
-INDEX('RFM input'!$G$169:$Q$218,$A824,MATCH(W$6,'RFM input'!$G$60:$Q$60,0))))</f>
        <v>0</v>
      </c>
      <c r="X824" s="152"/>
      <c r="Y824" s="152"/>
      <c r="Z824" s="152"/>
      <c r="AA824" s="152"/>
      <c r="AB824" s="152"/>
    </row>
    <row r="825" spans="1:28">
      <c r="A825" s="152"/>
      <c r="B825" s="152" t="s">
        <v>204</v>
      </c>
      <c r="C825" s="1418">
        <f ca="1">IF($C$8='Capital Base roll forward'!$H$4,OFFSET('RFM input'!$J$6,'RAB remaining lives'!A824,0),"enter input")</f>
        <v>0</v>
      </c>
      <c r="D825" s="1417">
        <f>IF(LEFT(D$6,4)&lt;=LEFT('RFM input'!$G$60,4),"enter input",IF(LEFT(D$6,4)&gt;LEFT('RFM input'!$Q$60,4),0,IF(MATCH(D$6,'RFM input'!$H$60:$Q$60,0),INDEX('RFM input'!$K$7:$K$56,$A824,1))))</f>
        <v>0</v>
      </c>
      <c r="E825" s="1417">
        <f>IF(LEFT(E$6,4)&lt;=LEFT('RFM input'!$G$60,4),"enter input",IF(LEFT(E$6,4)&gt;LEFT('RFM input'!$Q$60,4),0,IF(MATCH(E$6,'RFM input'!$H$60:$Q$60,0),INDEX('RFM input'!$K$7:$K$56,$A824,1))))</f>
        <v>0</v>
      </c>
      <c r="F825" s="1417">
        <f>IF(LEFT(F$6,4)&lt;=LEFT('RFM input'!$G$60,4),"enter input",IF(LEFT(F$6,4)&gt;LEFT('RFM input'!$Q$60,4),0,IF(MATCH(F$6,'RFM input'!$H$60:$Q$60,0),INDEX('RFM input'!$K$7:$K$56,$A824,1))))</f>
        <v>0</v>
      </c>
      <c r="G825" s="1417">
        <f>IF(LEFT(G$6,4)&lt;=LEFT('RFM input'!$G$60,4),"enter input",IF(LEFT(G$6,4)&gt;LEFT('RFM input'!$Q$60,4),0,IF(MATCH(G$6,'RFM input'!$H$60:$Q$60,0),INDEX('RFM input'!$K$7:$K$56,$A824,1))))</f>
        <v>0</v>
      </c>
      <c r="H825" s="1417">
        <f>IF(LEFT(H$6,4)&lt;=LEFT('RFM input'!$G$60,4),"enter input",IF(LEFT(H$6,4)&gt;LEFT('RFM input'!$Q$60,4),0,IF(MATCH(H$6,'RFM input'!$H$60:$Q$60,0),INDEX('RFM input'!$K$7:$K$56,$A824,1))))</f>
        <v>0</v>
      </c>
      <c r="I825" s="1417">
        <f>IF(LEFT(I$6,4)&lt;=LEFT('RFM input'!$G$60,4),"enter input",IF(LEFT(I$6,4)&gt;LEFT('RFM input'!$Q$60,4),0,IF(MATCH(I$6,'RFM input'!$H$60:$Q$60,0),INDEX('RFM input'!$K$7:$K$56,$A824,1))))</f>
        <v>0</v>
      </c>
      <c r="J825" s="1417">
        <f>IF(LEFT(J$6,4)&lt;=LEFT('RFM input'!$G$60,4),"enter input",IF(LEFT(J$6,4)&gt;LEFT('RFM input'!$Q$60,4),0,IF(MATCH(J$6,'RFM input'!$H$60:$Q$60,0),INDEX('RFM input'!$K$7:$K$56,$A824,1))))</f>
        <v>0</v>
      </c>
      <c r="K825" s="1417">
        <f>IF(LEFT(K$6,4)&lt;=LEFT('RFM input'!$G$60,4),"enter input",IF(LEFT(K$6,4)&gt;LEFT('RFM input'!$Q$60,4),0,IF(MATCH(K$6,'RFM input'!$H$60:$Q$60,0),INDEX('RFM input'!$K$7:$K$56,$A824,1))))</f>
        <v>0</v>
      </c>
      <c r="L825" s="1417">
        <f>IF(LEFT(L$6,4)&lt;=LEFT('RFM input'!$G$60,4),"enter input",IF(LEFT(L$6,4)&gt;LEFT('RFM input'!$Q$60,4),0,IF(MATCH(L$6,'RFM input'!$H$60:$Q$60,0),INDEX('RFM input'!$K$7:$K$56,$A824,1))))</f>
        <v>0</v>
      </c>
      <c r="M825" s="1417">
        <f>IF(LEFT(M$6,4)&lt;=LEFT('RFM input'!$G$60,4),"enter input",IF(LEFT(M$6,4)&gt;LEFT('RFM input'!$Q$60,4),0,IF(MATCH(M$6,'RFM input'!$H$60:$Q$60,0),INDEX('RFM input'!$K$7:$K$56,$A824,1))))</f>
        <v>0</v>
      </c>
      <c r="N825" s="1417">
        <f>IF(LEFT(N$6,4)&lt;=LEFT('RFM input'!$G$60,4),"enter input",IF(LEFT(N$6,4)&gt;LEFT('RFM input'!$Q$60,4),0,IF(MATCH(N$6,'RFM input'!$H$60:$Q$60,0),INDEX('RFM input'!$K$7:$K$56,$A824,1))))</f>
        <v>0</v>
      </c>
      <c r="O825" s="1417">
        <f>IF(LEFT(O$6,4)&lt;=LEFT('RFM input'!$G$60,4),"enter input",IF(LEFT(O$6,4)&gt;LEFT('RFM input'!$Q$60,4),0,IF(MATCH(O$6,'RFM input'!$H$60:$Q$60,0),INDEX('RFM input'!$K$7:$K$56,$A824,1))))</f>
        <v>0</v>
      </c>
      <c r="P825" s="1417">
        <f>IF(LEFT(P$6,4)&lt;=LEFT('RFM input'!$G$60,4),"enter input",IF(LEFT(P$6,4)&gt;LEFT('RFM input'!$Q$60,4),0,IF(MATCH(P$6,'RFM input'!$H$60:$Q$60,0),INDEX('RFM input'!$K$7:$K$56,$A824,1))))</f>
        <v>0</v>
      </c>
      <c r="Q825" s="1417">
        <f>IF(LEFT(Q$6,4)&lt;=LEFT('RFM input'!$G$60,4),"enter input",IF(LEFT(Q$6,4)&gt;LEFT('RFM input'!$Q$60,4),0,IF(MATCH(Q$6,'RFM input'!$H$60:$Q$60,0),INDEX('RFM input'!$K$7:$K$56,$A824,1))))</f>
        <v>0</v>
      </c>
      <c r="R825" s="1417">
        <f>IF(LEFT(R$6,4)&lt;=LEFT('RFM input'!$G$60,4),"enter input",IF(LEFT(R$6,4)&gt;LEFT('RFM input'!$Q$60,4),0,IF(MATCH(R$6,'RFM input'!$H$60:$Q$60,0),INDEX('RFM input'!$K$7:$K$56,$A824,1))))</f>
        <v>0</v>
      </c>
      <c r="S825" s="1417">
        <f>IF(LEFT(S$6,4)&lt;=LEFT('RFM input'!$G$60,4),"enter input",IF(LEFT(S$6,4)&gt;LEFT('RFM input'!$Q$60,4),0,IF(MATCH(S$6,'RFM input'!$H$60:$Q$60,0),INDEX('RFM input'!$K$7:$K$56,$A824,1))))</f>
        <v>0</v>
      </c>
      <c r="T825" s="1417">
        <f>IF(LEFT(T$6,4)&lt;=LEFT('RFM input'!$G$60,4),"enter input",IF(LEFT(T$6,4)&gt;LEFT('RFM input'!$Q$60,4),0,IF(MATCH(T$6,'RFM input'!$H$60:$Q$60,0),INDEX('RFM input'!$K$7:$K$56,$A824,1))))</f>
        <v>0</v>
      </c>
      <c r="U825" s="1417">
        <f>IF(LEFT(U$6,4)&lt;=LEFT('RFM input'!$G$60,4),"enter input",IF(LEFT(U$6,4)&gt;LEFT('RFM input'!$Q$60,4),0,IF(MATCH(U$6,'RFM input'!$H$60:$Q$60,0),INDEX('RFM input'!$K$7:$K$56,$A824,1))))</f>
        <v>0</v>
      </c>
      <c r="V825" s="1417">
        <f>IF(LEFT(V$6,4)&lt;=LEFT('RFM input'!$G$60,4),"enter input",IF(LEFT(V$6,4)&gt;LEFT('RFM input'!$Q$60,4),0,IF(MATCH(V$6,'RFM input'!$H$60:$Q$60,0),INDEX('RFM input'!$K$7:$K$56,$A824,1))))</f>
        <v>0</v>
      </c>
      <c r="W825" s="1417">
        <f>IF(LEFT(W$6,4)&lt;=LEFT('RFM input'!$G$60,4),"enter input",IF(LEFT(W$6,4)&gt;LEFT('RFM input'!$Q$60,4),0,IF(MATCH(W$6,'RFM input'!$H$60:$Q$60,0),INDEX('RFM input'!$K$7:$K$56,$A824,1))))</f>
        <v>0</v>
      </c>
      <c r="X825" s="152"/>
      <c r="Y825" s="152"/>
      <c r="Z825" s="152"/>
      <c r="AA825" s="152"/>
      <c r="AB825" s="152"/>
    </row>
    <row r="826" spans="1:28">
      <c r="A826" s="152"/>
      <c r="B826" s="177" t="s">
        <v>191</v>
      </c>
      <c r="C826" s="1419"/>
      <c r="D826" s="1420">
        <f ca="1">IF(LEFT(D$6,4)&lt;=LEFT('RFM input'!$G$60,4),"enter input",IF(LEFT(D$6,4)&gt;LEFT('RFM input'!$Q$60,4),0,IF(D$6=(OFFSET('RFM input'!$G$60,0,'RFM input'!$V$7)),OFFSET('RFM input'!$G$411,$A824,0),0)))</f>
        <v>0</v>
      </c>
      <c r="E826" s="1417">
        <f ca="1">IF(LEFT(E$6,4)&lt;=LEFT('RFM input'!$G$60,4),"enter input",IF(LEFT(E$6,4)&gt;LEFT('RFM input'!$Q$60,4),0,IF(E$6=(OFFSET('RFM input'!$G$60,0,'RFM input'!$V$7)),OFFSET('RFM input'!$G$411,$A824,0),0)))</f>
        <v>0</v>
      </c>
      <c r="F826" s="1417">
        <f ca="1">IF(LEFT(F$6,4)&lt;=LEFT('RFM input'!$G$60,4),"enter input",IF(LEFT(F$6,4)&gt;LEFT('RFM input'!$Q$60,4),0,IF(F$6=(OFFSET('RFM input'!$G$60,0,'RFM input'!$V$7)),OFFSET('RFM input'!$G$411,$A824,0),0)))</f>
        <v>0</v>
      </c>
      <c r="G826" s="1417">
        <f ca="1">IF(LEFT(G$6,4)&lt;=LEFT('RFM input'!$G$60,4),"enter input",IF(LEFT(G$6,4)&gt;LEFT('RFM input'!$Q$60,4),0,IF(G$6=(OFFSET('RFM input'!$G$60,0,'RFM input'!$V$7)),OFFSET('RFM input'!$G$411,$A824,0),0)))</f>
        <v>0</v>
      </c>
      <c r="H826" s="1417">
        <f ca="1">IF(LEFT(H$6,4)&lt;=LEFT('RFM input'!$G$60,4),"enter input",IF(LEFT(H$6,4)&gt;LEFT('RFM input'!$Q$60,4),0,IF(H$6=(OFFSET('RFM input'!$G$60,0,'RFM input'!$V$7)),OFFSET('RFM input'!$G$411,$A824,0),0)))</f>
        <v>0</v>
      </c>
      <c r="I826" s="1417">
        <f ca="1">IF(LEFT(I$6,4)&lt;=LEFT('RFM input'!$G$60,4),"enter input",IF(LEFT(I$6,4)&gt;LEFT('RFM input'!$Q$60,4),0,IF(I$6=(OFFSET('RFM input'!$G$60,0,'RFM input'!$V$7)),OFFSET('RFM input'!$G$411,$A824,0),0)))</f>
        <v>0</v>
      </c>
      <c r="J826" s="1417">
        <f ca="1">IF(LEFT(J$6,4)&lt;=LEFT('RFM input'!$G$60,4),"enter input",IF(LEFT(J$6,4)&gt;LEFT('RFM input'!$Q$60,4),0,IF(J$6=(OFFSET('RFM input'!$G$60,0,'RFM input'!$V$7)),OFFSET('RFM input'!$G$411,$A824,0),0)))</f>
        <v>0</v>
      </c>
      <c r="K826" s="1417">
        <f ca="1">IF(LEFT(K$6,4)&lt;=LEFT('RFM input'!$G$60,4),"enter input",IF(LEFT(K$6,4)&gt;LEFT('RFM input'!$Q$60,4),0,IF(K$6=(OFFSET('RFM input'!$G$60,0,'RFM input'!$V$7)),OFFSET('RFM input'!$G$411,$A824,0),0)))</f>
        <v>0</v>
      </c>
      <c r="L826" s="1417">
        <f ca="1">IF(LEFT(L$6,4)&lt;=LEFT('RFM input'!$G$60,4),"enter input",IF(LEFT(L$6,4)&gt;LEFT('RFM input'!$Q$60,4),0,IF(L$6=(OFFSET('RFM input'!$G$60,0,'RFM input'!$V$7)),OFFSET('RFM input'!$G$411,$A824,0),0)))</f>
        <v>0</v>
      </c>
      <c r="M826" s="1417">
        <f ca="1">IF(LEFT(M$6,4)&lt;=LEFT('RFM input'!$G$60,4),"enter input",IF(LEFT(M$6,4)&gt;LEFT('RFM input'!$Q$60,4),0,IF(M$6=(OFFSET('RFM input'!$G$60,0,'RFM input'!$V$7)),OFFSET('RFM input'!$G$411,$A824,0),0)))</f>
        <v>0</v>
      </c>
      <c r="N826" s="1417">
        <f ca="1">IF(LEFT(N$6,4)&lt;=LEFT('RFM input'!$G$60,4),"enter input",IF(LEFT(N$6,4)&gt;LEFT('RFM input'!$Q$60,4),0,IF(N$6=(OFFSET('RFM input'!$G$60,0,'RFM input'!$V$7)),OFFSET('RFM input'!$G$411,$A824,0),0)))</f>
        <v>0</v>
      </c>
      <c r="O826" s="1417">
        <f ca="1">IF(LEFT(O$6,4)&lt;=LEFT('RFM input'!$G$60,4),"enter input",IF(LEFT(O$6,4)&gt;LEFT('RFM input'!$Q$60,4),0,IF(O$6=(OFFSET('RFM input'!$G$60,0,'RFM input'!$V$7)),OFFSET('RFM input'!$G$411,$A824,0),0)))</f>
        <v>0</v>
      </c>
      <c r="P826" s="1417">
        <f ca="1">IF(LEFT(P$6,4)&lt;=LEFT('RFM input'!$G$60,4),"enter input",IF(LEFT(P$6,4)&gt;LEFT('RFM input'!$Q$60,4),0,IF(P$6=(OFFSET('RFM input'!$G$60,0,'RFM input'!$V$7)),OFFSET('RFM input'!$G$411,$A824,0),0)))</f>
        <v>0</v>
      </c>
      <c r="Q826" s="1417">
        <f ca="1">IF(LEFT(Q$6,4)&lt;=LEFT('RFM input'!$G$60,4),"enter input",IF(LEFT(Q$6,4)&gt;LEFT('RFM input'!$Q$60,4),0,IF(Q$6=(OFFSET('RFM input'!$G$60,0,'RFM input'!$V$7)),OFFSET('RFM input'!$G$411,$A824,0),0)))</f>
        <v>0</v>
      </c>
      <c r="R826" s="1417">
        <f ca="1">IF(LEFT(R$6,4)&lt;=LEFT('RFM input'!$G$60,4),"enter input",IF(LEFT(R$6,4)&gt;LEFT('RFM input'!$Q$60,4),0,IF(R$6=(OFFSET('RFM input'!$G$60,0,'RFM input'!$V$7)),OFFSET('RFM input'!$G$411,$A824,0),0)))</f>
        <v>0</v>
      </c>
      <c r="S826" s="1417">
        <f ca="1">IF(LEFT(S$6,4)&lt;=LEFT('RFM input'!$G$60,4),"enter input",IF(LEFT(S$6,4)&gt;LEFT('RFM input'!$Q$60,4),0,IF(S$6=(OFFSET('RFM input'!$G$60,0,'RFM input'!$V$7)),OFFSET('RFM input'!$G$411,$A824,0),0)))</f>
        <v>0</v>
      </c>
      <c r="T826" s="1417">
        <f ca="1">IF(LEFT(T$6,4)&lt;=LEFT('RFM input'!$G$60,4),"enter input",IF(LEFT(T$6,4)&gt;LEFT('RFM input'!$Q$60,4),0,IF(T$6=(OFFSET('RFM input'!$G$60,0,'RFM input'!$V$7)),OFFSET('RFM input'!$G$411,$A824,0),0)))</f>
        <v>0</v>
      </c>
      <c r="U826" s="1417">
        <f ca="1">IF(LEFT(U$6,4)&lt;=LEFT('RFM input'!$G$60,4),"enter input",IF(LEFT(U$6,4)&gt;LEFT('RFM input'!$Q$60,4),0,IF(U$6=(OFFSET('RFM input'!$G$60,0,'RFM input'!$V$7)),OFFSET('RFM input'!$G$411,$A824,0),0)))</f>
        <v>0</v>
      </c>
      <c r="V826" s="1417">
        <f ca="1">IF(LEFT(V$6,4)&lt;=LEFT('RFM input'!$G$60,4),"enter input",IF(LEFT(V$6,4)&gt;LEFT('RFM input'!$Q$60,4),0,IF(V$6=(OFFSET('RFM input'!$G$60,0,'RFM input'!$V$7)),OFFSET('RFM input'!$G$411,$A824,0),0)))</f>
        <v>0</v>
      </c>
      <c r="W826" s="1417">
        <f ca="1">IF(LEFT(W$6,4)&lt;=LEFT('RFM input'!$G$60,4),"enter input",IF(LEFT(W$6,4)&gt;LEFT('RFM input'!$Q$60,4),0,IF(W$6=(OFFSET('RFM input'!$G$60,0,'RFM input'!$V$7)),OFFSET('RFM input'!$G$411,$A824,0),0)))</f>
        <v>0</v>
      </c>
      <c r="X826" s="152"/>
      <c r="Y826" s="152"/>
      <c r="Z826" s="152"/>
      <c r="AA826" s="152"/>
      <c r="AB826" s="152"/>
    </row>
    <row r="827" spans="1:28">
      <c r="A827" s="152"/>
      <c r="B827" s="195" t="s">
        <v>197</v>
      </c>
      <c r="C827" s="1419"/>
      <c r="D827" s="1418">
        <f ca="1">IF(LEFT(D$6,4)&lt;=LEFT('RFM input'!$G$60,4),"enter input",IF(LEFT(D$6,4)&gt;LEFT('RFM input'!$Q$60,4),0,IF(D$6=(OFFSET('RFM input'!$G$60,0,'RFM input'!$V$7)),OFFSET('RFM input'!$I$411,$A824,0),0)))</f>
        <v>0</v>
      </c>
      <c r="E827" s="1422">
        <f ca="1">IF(LEFT(E$6,4)&lt;=LEFT('RFM input'!$G$60,4),"enter input",IF(LEFT(E$6,4)&gt;LEFT('RFM input'!$Q$60,4),0,IF(E$6=(OFFSET('RFM input'!$G$60,0,'RFM input'!$V$7)),OFFSET('RFM input'!$I$411,$A824,0),0)))</f>
        <v>0</v>
      </c>
      <c r="F827" s="1422">
        <f ca="1">IF(LEFT(F$6,4)&lt;=LEFT('RFM input'!$G$60,4),"enter input",IF(LEFT(F$6,4)&gt;LEFT('RFM input'!$Q$60,4),0,IF(F$6=(OFFSET('RFM input'!$G$60,0,'RFM input'!$V$7)),OFFSET('RFM input'!$I$411,$A824,0),0)))</f>
        <v>0</v>
      </c>
      <c r="G827" s="1422">
        <f ca="1">IF(LEFT(G$6,4)&lt;=LEFT('RFM input'!$G$60,4),"enter input",IF(LEFT(G$6,4)&gt;LEFT('RFM input'!$Q$60,4),0,IF(G$6=(OFFSET('RFM input'!$G$60,0,'RFM input'!$V$7)),OFFSET('RFM input'!$I$411,$A824,0),0)))</f>
        <v>0</v>
      </c>
      <c r="H827" s="1422">
        <f ca="1">IF(LEFT(H$6,4)&lt;=LEFT('RFM input'!$G$60,4),"enter input",IF(LEFT(H$6,4)&gt;LEFT('RFM input'!$Q$60,4),0,IF(H$6=(OFFSET('RFM input'!$G$60,0,'RFM input'!$V$7)),OFFSET('RFM input'!$I$411,$A824,0),0)))</f>
        <v>0</v>
      </c>
      <c r="I827" s="1422">
        <f ca="1">IF(LEFT(I$6,4)&lt;=LEFT('RFM input'!$G$60,4),"enter input",IF(LEFT(I$6,4)&gt;LEFT('RFM input'!$Q$60,4),0,IF(I$6=(OFFSET('RFM input'!$G$60,0,'RFM input'!$V$7)),OFFSET('RFM input'!$I$411,$A824,0),0)))</f>
        <v>0</v>
      </c>
      <c r="J827" s="1422">
        <f ca="1">IF(LEFT(J$6,4)&lt;=LEFT('RFM input'!$G$60,4),"enter input",IF(LEFT(J$6,4)&gt;LEFT('RFM input'!$Q$60,4),0,IF(J$6=(OFFSET('RFM input'!$G$60,0,'RFM input'!$V$7)),OFFSET('RFM input'!$I$411,$A824,0),0)))</f>
        <v>0</v>
      </c>
      <c r="K827" s="1422">
        <f ca="1">IF(LEFT(K$6,4)&lt;=LEFT('RFM input'!$G$60,4),"enter input",IF(LEFT(K$6,4)&gt;LEFT('RFM input'!$Q$60,4),0,IF(K$6=(OFFSET('RFM input'!$G$60,0,'RFM input'!$V$7)),OFFSET('RFM input'!$I$411,$A824,0),0)))</f>
        <v>0</v>
      </c>
      <c r="L827" s="1422">
        <f ca="1">IF(LEFT(L$6,4)&lt;=LEFT('RFM input'!$G$60,4),"enter input",IF(LEFT(L$6,4)&gt;LEFT('RFM input'!$Q$60,4),0,IF(L$6=(OFFSET('RFM input'!$G$60,0,'RFM input'!$V$7)),OFFSET('RFM input'!$I$411,$A824,0),0)))</f>
        <v>0</v>
      </c>
      <c r="M827" s="1422">
        <f ca="1">IF(LEFT(M$6,4)&lt;=LEFT('RFM input'!$G$60,4),"enter input",IF(LEFT(M$6,4)&gt;LEFT('RFM input'!$Q$60,4),0,IF(M$6=(OFFSET('RFM input'!$G$60,0,'RFM input'!$V$7)),OFFSET('RFM input'!$I$411,$A824,0),0)))</f>
        <v>0</v>
      </c>
      <c r="N827" s="1422">
        <f ca="1">IF(LEFT(N$6,4)&lt;=LEFT('RFM input'!$G$60,4),"enter input",IF(LEFT(N$6,4)&gt;LEFT('RFM input'!$Q$60,4),0,IF(N$6=(OFFSET('RFM input'!$G$60,0,'RFM input'!$V$7)),OFFSET('RFM input'!$I$411,$A824,0),0)))</f>
        <v>0</v>
      </c>
      <c r="O827" s="1422">
        <f ca="1">IF(LEFT(O$6,4)&lt;=LEFT('RFM input'!$G$60,4),"enter input",IF(LEFT(O$6,4)&gt;LEFT('RFM input'!$Q$60,4),0,IF(O$6=(OFFSET('RFM input'!$G$60,0,'RFM input'!$V$7)),OFFSET('RFM input'!$I$411,$A824,0),0)))</f>
        <v>0</v>
      </c>
      <c r="P827" s="1422">
        <f ca="1">IF(LEFT(P$6,4)&lt;=LEFT('RFM input'!$G$60,4),"enter input",IF(LEFT(P$6,4)&gt;LEFT('RFM input'!$Q$60,4),0,IF(P$6=(OFFSET('RFM input'!$G$60,0,'RFM input'!$V$7)),OFFSET('RFM input'!$I$411,$A824,0),0)))</f>
        <v>0</v>
      </c>
      <c r="Q827" s="1422">
        <f ca="1">IF(LEFT(Q$6,4)&lt;=LEFT('RFM input'!$G$60,4),"enter input",IF(LEFT(Q$6,4)&gt;LEFT('RFM input'!$Q$60,4),0,IF(Q$6=(OFFSET('RFM input'!$G$60,0,'RFM input'!$V$7)),OFFSET('RFM input'!$I$411,$A824,0),0)))</f>
        <v>0</v>
      </c>
      <c r="R827" s="1422">
        <f ca="1">IF(LEFT(R$6,4)&lt;=LEFT('RFM input'!$G$60,4),"enter input",IF(LEFT(R$6,4)&gt;LEFT('RFM input'!$Q$60,4),0,IF(R$6=(OFFSET('RFM input'!$G$60,0,'RFM input'!$V$7)),OFFSET('RFM input'!$I$411,$A824,0),0)))</f>
        <v>0</v>
      </c>
      <c r="S827" s="1422">
        <f ca="1">IF(LEFT(S$6,4)&lt;=LEFT('RFM input'!$G$60,4),"enter input",IF(LEFT(S$6,4)&gt;LEFT('RFM input'!$Q$60,4),0,IF(S$6=(OFFSET('RFM input'!$G$60,0,'RFM input'!$V$7)),OFFSET('RFM input'!$I$411,$A824,0),0)))</f>
        <v>0</v>
      </c>
      <c r="T827" s="1422">
        <f ca="1">IF(LEFT(T$6,4)&lt;=LEFT('RFM input'!$G$60,4),"enter input",IF(LEFT(T$6,4)&gt;LEFT('RFM input'!$Q$60,4),0,IF(T$6=(OFFSET('RFM input'!$G$60,0,'RFM input'!$V$7)),OFFSET('RFM input'!$I$411,$A824,0),0)))</f>
        <v>0</v>
      </c>
      <c r="U827" s="1422">
        <f ca="1">IF(LEFT(U$6,4)&lt;=LEFT('RFM input'!$G$60,4),"enter input",IF(LEFT(U$6,4)&gt;LEFT('RFM input'!$Q$60,4),0,IF(U$6=(OFFSET('RFM input'!$G$60,0,'RFM input'!$V$7)),OFFSET('RFM input'!$I$411,$A824,0),0)))</f>
        <v>0</v>
      </c>
      <c r="V827" s="1422">
        <f ca="1">IF(LEFT(V$6,4)&lt;=LEFT('RFM input'!$G$60,4),"enter input",IF(LEFT(V$6,4)&gt;LEFT('RFM input'!$Q$60,4),0,IF(V$6=(OFFSET('RFM input'!$G$60,0,'RFM input'!$V$7)),OFFSET('RFM input'!$I$411,$A824,0),0)))</f>
        <v>0</v>
      </c>
      <c r="W827" s="1422">
        <f ca="1">IF(LEFT(W$6,4)&lt;=LEFT('RFM input'!$G$60,4),"enter input",IF(LEFT(W$6,4)&gt;LEFT('RFM input'!$Q$60,4),0,IF(W$6=(OFFSET('RFM input'!$G$60,0,'RFM input'!$V$7)),OFFSET('RFM input'!$I$411,$A824,0),0)))</f>
        <v>0</v>
      </c>
      <c r="X827" s="152"/>
      <c r="Y827" s="152"/>
      <c r="Z827" s="152"/>
      <c r="AA827" s="152"/>
      <c r="AB827" s="152"/>
    </row>
    <row r="828" spans="1:28" hidden="1" outlineLevel="1">
      <c r="A828" s="235">
        <v>-1</v>
      </c>
      <c r="B828" s="190" t="s">
        <v>189</v>
      </c>
      <c r="C828" s="1423"/>
      <c r="D828" s="1423">
        <f ca="1">IF(AND(D826=0,C828=0),0,
IF(AND(D826&lt;&gt;0,C828=0),(D826/D$10),
IF(AND(D827&lt;&gt;0,C828&lt;&gt;0),(C828-(C828/C852))+(D826/D$10),
IF(C852&lt;1,0,(C828-(C828/C852))))))</f>
        <v>0</v>
      </c>
      <c r="E828" s="1423">
        <f t="shared" ref="E828" ca="1" si="1180">IF(AND(E826=0,D828=0),0,
IF(AND(E826&lt;&gt;0,D828=0),(E826/E$10),
IF(AND(E827&lt;&gt;0,D828&lt;&gt;0),(D828-(D828/D852))+(E826/E$10),
IF(D852&lt;1,0,(D828-(D828/D852))))))</f>
        <v>0</v>
      </c>
      <c r="F828" s="1423">
        <f t="shared" ref="F828" ca="1" si="1181">IF(AND(F826=0,E828=0),0,
IF(AND(F826&lt;&gt;0,E828=0),(F826/F$10),
IF(AND(F827&lt;&gt;0,E828&lt;&gt;0),(E828-(E828/E852))+(F826/F$10),
IF(E852&lt;1,0,(E828-(E828/E852))))))</f>
        <v>0</v>
      </c>
      <c r="G828" s="1423">
        <f t="shared" ref="G828" ca="1" si="1182">IF(AND(G826=0,F828=0),0,
IF(AND(G826&lt;&gt;0,F828=0),(G826/G$10),
IF(AND(G827&lt;&gt;0,F828&lt;&gt;0),(F828-(F828/F852))+(G826/G$10),
IF(F852&lt;1,0,(F828-(F828/F852))))))</f>
        <v>0</v>
      </c>
      <c r="H828" s="1423">
        <f t="shared" ref="H828" ca="1" si="1183">IF(AND(H826=0,G828=0),0,
IF(AND(H826&lt;&gt;0,G828=0),(H826/H$10),
IF(AND(H827&lt;&gt;0,G828&lt;&gt;0),(G828-(G828/G852))+(H826/H$10),
IF(G852&lt;1,0,(G828-(G828/G852))))))</f>
        <v>0</v>
      </c>
      <c r="I828" s="1423">
        <f t="shared" ref="I828" ca="1" si="1184">IF(AND(I826=0,H828=0),0,
IF(AND(I826&lt;&gt;0,H828=0),(I826/I$10),
IF(AND(I827&lt;&gt;0,H828&lt;&gt;0),(H828-(H828/H852))+(I826/I$10),
IF(H852&lt;1,0,(H828-(H828/H852))))))</f>
        <v>0</v>
      </c>
      <c r="J828" s="1423">
        <f t="shared" ref="J828" ca="1" si="1185">IF(AND(J826=0,I828=0),0,
IF(AND(J826&lt;&gt;0,I828=0),(J826/J$10),
IF(AND(J827&lt;&gt;0,I828&lt;&gt;0),(I828-(I828/I852))+(J826/J$10),
IF(I852&lt;1,0,(I828-(I828/I852))))))</f>
        <v>0</v>
      </c>
      <c r="K828" s="1423">
        <f t="shared" ref="K828" ca="1" si="1186">IF(AND(K826=0,J828=0),0,
IF(AND(K826&lt;&gt;0,J828=0),(K826/K$10),
IF(AND(K827&lt;&gt;0,J828&lt;&gt;0),(J828-(J828/J852))+(K826/K$10),
IF(J852&lt;1,0,(J828-(J828/J852))))))</f>
        <v>0</v>
      </c>
      <c r="L828" s="1423">
        <f t="shared" ref="L828" ca="1" si="1187">IF(AND(L826=0,K828=0),0,
IF(AND(L826&lt;&gt;0,K828=0),(L826/L$10),
IF(AND(L827&lt;&gt;0,K828&lt;&gt;0),(K828-(K828/K852))+(L826/L$10),
IF(K852&lt;1,0,(K828-(K828/K852))))))</f>
        <v>0</v>
      </c>
      <c r="M828" s="1423">
        <f t="shared" ref="M828" ca="1" si="1188">IF(AND(M826=0,L828=0),0,
IF(AND(M826&lt;&gt;0,L828=0),(M826/M$10),
IF(AND(M827&lt;&gt;0,L828&lt;&gt;0),(L828-(L828/L852))+(M826/M$10),
IF(L852&lt;1,0,(L828-(L828/L852))))))</f>
        <v>0</v>
      </c>
      <c r="N828" s="1423">
        <f t="shared" ref="N828" ca="1" si="1189">IF(AND(N826=0,M828=0),0,
IF(AND(N826&lt;&gt;0,M828=0),(N826/N$10),
IF(AND(N827&lt;&gt;0,M828&lt;&gt;0),(M828-(M828/M852))+(N826/N$10),
IF(M852&lt;1,0,(M828-(M828/M852))))))</f>
        <v>0</v>
      </c>
      <c r="O828" s="1423">
        <f t="shared" ref="O828" ca="1" si="1190">IF(AND(O826=0,N828=0),0,
IF(AND(O826&lt;&gt;0,N828=0),(O826/O$10),
IF(AND(O827&lt;&gt;0,N828&lt;&gt;0),(N828-(N828/N852))+(O826/O$10),
IF(N852&lt;1,0,(N828-(N828/N852))))))</f>
        <v>0</v>
      </c>
      <c r="P828" s="1423">
        <f t="shared" ref="P828" ca="1" si="1191">IF(AND(P826=0,O828=0),0,
IF(AND(P826&lt;&gt;0,O828=0),(P826/P$10),
IF(AND(P827&lt;&gt;0,O828&lt;&gt;0),(O828-(O828/O852))+(P826/P$10),
IF(O852&lt;1,0,(O828-(O828/O852))))))</f>
        <v>0</v>
      </c>
      <c r="Q828" s="1423">
        <f t="shared" ref="Q828" ca="1" si="1192">IF(AND(Q826=0,P828=0),0,
IF(AND(Q826&lt;&gt;0,P828=0),(Q826/Q$10),
IF(AND(Q827&lt;&gt;0,P828&lt;&gt;0),(P828-(P828/P852))+(Q826/Q$10),
IF(P852&lt;1,0,(P828-(P828/P852))))))</f>
        <v>0</v>
      </c>
      <c r="R828" s="1423">
        <f t="shared" ref="R828" ca="1" si="1193">IF(AND(R826=0,Q828=0),0,
IF(AND(R826&lt;&gt;0,Q828=0),(R826/R$10),
IF(AND(R827&lt;&gt;0,Q828&lt;&gt;0),(Q828-(Q828/Q852))+(R826/R$10),
IF(Q852&lt;1,0,(Q828-(Q828/Q852))))))</f>
        <v>0</v>
      </c>
      <c r="S828" s="1423">
        <f t="shared" ref="S828" ca="1" si="1194">IF(AND(S826=0,R828=0),0,
IF(AND(S826&lt;&gt;0,R828=0),(S826/S$10),
IF(AND(S827&lt;&gt;0,R828&lt;&gt;0),(R828-(R828/R852))+(S826/S$10),
IF(R852&lt;1,0,(R828-(R828/R852))))))</f>
        <v>0</v>
      </c>
      <c r="T828" s="1423">
        <f t="shared" ref="T828" ca="1" si="1195">IF(AND(T826=0,S828=0),0,
IF(AND(T826&lt;&gt;0,S828=0),(T826/T$10),
IF(AND(T827&lt;&gt;0,S828&lt;&gt;0),(S828-(S828/S852))+(T826/T$10),
IF(S852&lt;1,0,(S828-(S828/S852))))))</f>
        <v>0</v>
      </c>
      <c r="U828" s="1423">
        <f t="shared" ref="U828" ca="1" si="1196">IF(AND(U826=0,T828=0),0,
IF(AND(U826&lt;&gt;0,T828=0),(U826/U$10),
IF(AND(U827&lt;&gt;0,T828&lt;&gt;0),(T828-(T828/T852))+(U826/U$10),
IF(T852&lt;1,0,(T828-(T828/T852))))))</f>
        <v>0</v>
      </c>
      <c r="V828" s="1423">
        <f t="shared" ref="V828" ca="1" si="1197">IF(AND(V826=0,U828=0),0,
IF(AND(V826&lt;&gt;0,U828=0),(V826/V$10),
IF(AND(V827&lt;&gt;0,U828&lt;&gt;0),(U828-(U828/U852))+(V826/V$10),
IF(U852&lt;1,0,(U828-(U828/U852))))))</f>
        <v>0</v>
      </c>
      <c r="W828" s="1423">
        <f t="shared" ref="W828" ca="1" si="1198">IF(AND(W826=0,V828=0),0,
IF(AND(W826&lt;&gt;0,V828=0),(W826/W$10),
IF(AND(W827&lt;&gt;0,V828&lt;&gt;0),(V828-(V828/V852))+(W826/W$10),
IF(V852&lt;1,0,(V828-(V828/V852))))))</f>
        <v>0</v>
      </c>
      <c r="X828" s="152"/>
      <c r="Y828" s="152"/>
      <c r="Z828" s="152"/>
      <c r="AA828" s="152"/>
      <c r="AB828" s="152"/>
    </row>
    <row r="829" spans="1:28" hidden="1" outlineLevel="1">
      <c r="A829" s="199">
        <f>A828+1</f>
        <v>0</v>
      </c>
      <c r="B829" s="190" t="s">
        <v>125</v>
      </c>
      <c r="C829" s="1423">
        <f ca="1">C824/C$10</f>
        <v>0</v>
      </c>
      <c r="D829" s="1423">
        <f ca="1">IF(C853="n/a",C829,IFERROR(IF((OFFSET($C829,0,$A829))&lt;0,
MIN(0,C829-(OFFSET($C829,0,$A829)/(OFFSET($C824,-$A828,$A829)))),
MAX(0,C829-(OFFSET($C829,0,$A829)/(OFFSET($C824,-$A828,$A829))))),0))</f>
        <v>0</v>
      </c>
      <c r="E829" s="1423">
        <f t="shared" ref="E829" ca="1" si="1199">IF(D853="n/a",D829,IFERROR(IF((OFFSET($C829,0,$A829))&lt;0,
MIN(0,D829-(OFFSET($C829,0,$A829)/(OFFSET($C824,-$A828,$A829)))),
MAX(0,D829-(OFFSET($C829,0,$A829)/(OFFSET($C824,-$A828,$A829))))),0))</f>
        <v>0</v>
      </c>
      <c r="F829" s="1423">
        <f t="shared" ref="F829:F830" ca="1" si="1200">IF(E853="n/a",E829,IFERROR(IF((OFFSET($C829,0,$A829))&lt;0,
MIN(0,E829-(OFFSET($C829,0,$A829)/(OFFSET($C824,-$A828,$A829)))),
MAX(0,E829-(OFFSET($C829,0,$A829)/(OFFSET($C824,-$A828,$A829))))),0))</f>
        <v>0</v>
      </c>
      <c r="G829" s="1423">
        <f t="shared" ref="G829:G831" ca="1" si="1201">IF(F853="n/a",F829,IFERROR(IF((OFFSET($C829,0,$A829))&lt;0,
MIN(0,F829-(OFFSET($C829,0,$A829)/(OFFSET($C824,-$A828,$A829)))),
MAX(0,F829-(OFFSET($C829,0,$A829)/(OFFSET($C824,-$A828,$A829))))),0))</f>
        <v>0</v>
      </c>
      <c r="H829" s="1423">
        <f t="shared" ref="H829:H832" ca="1" si="1202">IF(G853="n/a",G829,IFERROR(IF((OFFSET($C829,0,$A829))&lt;0,
MIN(0,G829-(OFFSET($C829,0,$A829)/(OFFSET($C824,-$A828,$A829)))),
MAX(0,G829-(OFFSET($C829,0,$A829)/(OFFSET($C824,-$A828,$A829))))),0))</f>
        <v>0</v>
      </c>
      <c r="I829" s="1423">
        <f t="shared" ref="I829:I833" ca="1" si="1203">IF(H853="n/a",H829,IFERROR(IF((OFFSET($C829,0,$A829))&lt;0,
MIN(0,H829-(OFFSET($C829,0,$A829)/(OFFSET($C824,-$A828,$A829)))),
MAX(0,H829-(OFFSET($C829,0,$A829)/(OFFSET($C824,-$A828,$A829))))),0))</f>
        <v>0</v>
      </c>
      <c r="J829" s="1423">
        <f t="shared" ref="J829:J834" ca="1" si="1204">IF(I853="n/a",I829,IFERROR(IF((OFFSET($C829,0,$A829))&lt;0,
MIN(0,I829-(OFFSET($C829,0,$A829)/(OFFSET($C824,-$A828,$A829)))),
MAX(0,I829-(OFFSET($C829,0,$A829)/(OFFSET($C824,-$A828,$A829))))),0))</f>
        <v>0</v>
      </c>
      <c r="K829" s="1423">
        <f t="shared" ref="K829:K835" ca="1" si="1205">IF(J853="n/a",J829,IFERROR(IF((OFFSET($C829,0,$A829))&lt;0,
MIN(0,J829-(OFFSET($C829,0,$A829)/(OFFSET($C824,-$A828,$A829)))),
MAX(0,J829-(OFFSET($C829,0,$A829)/(OFFSET($C824,-$A828,$A829))))),0))</f>
        <v>0</v>
      </c>
      <c r="L829" s="1423">
        <f t="shared" ref="L829:L836" ca="1" si="1206">IF(K853="n/a",K829,IFERROR(IF((OFFSET($C829,0,$A829))&lt;0,
MIN(0,K829-(OFFSET($C829,0,$A829)/(OFFSET($C824,-$A828,$A829)))),
MAX(0,K829-(OFFSET($C829,0,$A829)/(OFFSET($C824,-$A828,$A829))))),0))</f>
        <v>0</v>
      </c>
      <c r="M829" s="1423">
        <f t="shared" ref="M829:M837" ca="1" si="1207">IF(L853="n/a",L829,IFERROR(IF((OFFSET($C829,0,$A829))&lt;0,
MIN(0,L829-(OFFSET($C829,0,$A829)/(OFFSET($C824,-$A828,$A829)))),
MAX(0,L829-(OFFSET($C829,0,$A829)/(OFFSET($C824,-$A828,$A829))))),0))</f>
        <v>0</v>
      </c>
      <c r="N829" s="1423">
        <f t="shared" ref="N829:N838" ca="1" si="1208">IF(M853="n/a",M829,IFERROR(IF((OFFSET($C829,0,$A829))&lt;0,
MIN(0,M829-(OFFSET($C829,0,$A829)/(OFFSET($C824,-$A828,$A829)))),
MAX(0,M829-(OFFSET($C829,0,$A829)/(OFFSET($C824,-$A828,$A829))))),0))</f>
        <v>0</v>
      </c>
      <c r="O829" s="1423">
        <f t="shared" ref="O829:O839" ca="1" si="1209">IF(N853="n/a",N829,IFERROR(IF((OFFSET($C829,0,$A829))&lt;0,
MIN(0,N829-(OFFSET($C829,0,$A829)/(OFFSET($C824,-$A828,$A829)))),
MAX(0,N829-(OFFSET($C829,0,$A829)/(OFFSET($C824,-$A828,$A829))))),0))</f>
        <v>0</v>
      </c>
      <c r="P829" s="1423">
        <f t="shared" ref="P829:P840" ca="1" si="1210">IF(O853="n/a",O829,IFERROR(IF((OFFSET($C829,0,$A829))&lt;0,
MIN(0,O829-(OFFSET($C829,0,$A829)/(OFFSET($C824,-$A828,$A829)))),
MAX(0,O829-(OFFSET($C829,0,$A829)/(OFFSET($C824,-$A828,$A829))))),0))</f>
        <v>0</v>
      </c>
      <c r="Q829" s="1423">
        <f t="shared" ref="Q829:Q841" ca="1" si="1211">IF(P853="n/a",P829,IFERROR(IF((OFFSET($C829,0,$A829))&lt;0,
MIN(0,P829-(OFFSET($C829,0,$A829)/(OFFSET($C824,-$A828,$A829)))),
MAX(0,P829-(OFFSET($C829,0,$A829)/(OFFSET($C824,-$A828,$A829))))),0))</f>
        <v>0</v>
      </c>
      <c r="R829" s="1423">
        <f t="shared" ref="R829:R842" ca="1" si="1212">IF(Q853="n/a",Q829,IFERROR(IF((OFFSET($C829,0,$A829))&lt;0,
MIN(0,Q829-(OFFSET($C829,0,$A829)/(OFFSET($C824,-$A828,$A829)))),
MAX(0,Q829-(OFFSET($C829,0,$A829)/(OFFSET($C824,-$A828,$A829))))),0))</f>
        <v>0</v>
      </c>
      <c r="S829" s="1423">
        <f t="shared" ref="S829:S843" ca="1" si="1213">IF(R853="n/a",R829,IFERROR(IF((OFFSET($C829,0,$A829))&lt;0,
MIN(0,R829-(OFFSET($C829,0,$A829)/(OFFSET($C824,-$A828,$A829)))),
MAX(0,R829-(OFFSET($C829,0,$A829)/(OFFSET($C824,-$A828,$A829))))),0))</f>
        <v>0</v>
      </c>
      <c r="T829" s="1423">
        <f t="shared" ref="T829:T844" ca="1" si="1214">IF(S853="n/a",S829,IFERROR(IF((OFFSET($C829,0,$A829))&lt;0,
MIN(0,S829-(OFFSET($C829,0,$A829)/(OFFSET($C824,-$A828,$A829)))),
MAX(0,S829-(OFFSET($C829,0,$A829)/(OFFSET($C824,-$A828,$A829))))),0))</f>
        <v>0</v>
      </c>
      <c r="U829" s="1423">
        <f t="shared" ref="U829:U845" ca="1" si="1215">IF(T853="n/a",T829,IFERROR(IF((OFFSET($C829,0,$A829))&lt;0,
MIN(0,T829-(OFFSET($C829,0,$A829)/(OFFSET($C824,-$A828,$A829)))),
MAX(0,T829-(OFFSET($C829,0,$A829)/(OFFSET($C824,-$A828,$A829))))),0))</f>
        <v>0</v>
      </c>
      <c r="V829" s="1423">
        <f t="shared" ref="V829:V846" ca="1" si="1216">IF(U853="n/a",U829,IFERROR(IF((OFFSET($C829,0,$A829))&lt;0,
MIN(0,U829-(OFFSET($C829,0,$A829)/(OFFSET($C824,-$A828,$A829)))),
MAX(0,U829-(OFFSET($C829,0,$A829)/(OFFSET($C824,-$A828,$A829))))),0))</f>
        <v>0</v>
      </c>
      <c r="W829" s="1423">
        <f t="shared" ref="W829:W847" ca="1" si="1217">IF(V853="n/a",V829,IFERROR(IF((OFFSET($C829,0,$A829))&lt;0,
MIN(0,V829-(OFFSET($C829,0,$A829)/(OFFSET($C824,-$A828,$A829)))),
MAX(0,V829-(OFFSET($C829,0,$A829)/(OFFSET($C824,-$A828,$A829))))),0))</f>
        <v>0</v>
      </c>
      <c r="X829" s="152"/>
      <c r="Y829" s="152"/>
      <c r="Z829" s="152"/>
      <c r="AA829" s="152"/>
      <c r="AB829" s="152"/>
    </row>
    <row r="830" spans="1:28" hidden="1" outlineLevel="1">
      <c r="A830" s="199">
        <f t="shared" ref="A830:A849" si="1218">A829+1</f>
        <v>1</v>
      </c>
      <c r="B830" s="190" t="str">
        <f t="shared" ref="B830:B848" ca="1" si="1219">"Depreciated Net Capex "&amp;OFFSET($C$6,0,A830)</f>
        <v>Depreciated Net Capex 2016-17</v>
      </c>
      <c r="C830" s="1424"/>
      <c r="D830" s="1425">
        <f>(D824*((1+D$11)^0.5)/D$10)</f>
        <v>0</v>
      </c>
      <c r="E830" s="1423">
        <f ca="1">IF(D854="n/a",D830,IFERROR(IF((OFFSET($C830,0,$A830))&lt;0,
MIN(0,D830-(OFFSET($C830,0,$A830)/(OFFSET($C825,-$A829,$A830)))),
MAX(0,D830-(OFFSET($C830,0,$A830)/(OFFSET($C825,-$A829,$A830))))),0))</f>
        <v>0</v>
      </c>
      <c r="F830" s="1423">
        <f t="shared" ca="1" si="1200"/>
        <v>0</v>
      </c>
      <c r="G830" s="1423">
        <f t="shared" ca="1" si="1201"/>
        <v>0</v>
      </c>
      <c r="H830" s="1423">
        <f t="shared" ca="1" si="1202"/>
        <v>0</v>
      </c>
      <c r="I830" s="1423">
        <f t="shared" ca="1" si="1203"/>
        <v>0</v>
      </c>
      <c r="J830" s="1423">
        <f t="shared" ca="1" si="1204"/>
        <v>0</v>
      </c>
      <c r="K830" s="1423">
        <f t="shared" ca="1" si="1205"/>
        <v>0</v>
      </c>
      <c r="L830" s="1423">
        <f t="shared" ca="1" si="1206"/>
        <v>0</v>
      </c>
      <c r="M830" s="1423">
        <f t="shared" ca="1" si="1207"/>
        <v>0</v>
      </c>
      <c r="N830" s="1423">
        <f t="shared" ca="1" si="1208"/>
        <v>0</v>
      </c>
      <c r="O830" s="1423">
        <f t="shared" ca="1" si="1209"/>
        <v>0</v>
      </c>
      <c r="P830" s="1423">
        <f t="shared" ca="1" si="1210"/>
        <v>0</v>
      </c>
      <c r="Q830" s="1423">
        <f t="shared" ca="1" si="1211"/>
        <v>0</v>
      </c>
      <c r="R830" s="1423">
        <f t="shared" ca="1" si="1212"/>
        <v>0</v>
      </c>
      <c r="S830" s="1423">
        <f t="shared" ca="1" si="1213"/>
        <v>0</v>
      </c>
      <c r="T830" s="1423">
        <f t="shared" ca="1" si="1214"/>
        <v>0</v>
      </c>
      <c r="U830" s="1423">
        <f t="shared" ca="1" si="1215"/>
        <v>0</v>
      </c>
      <c r="V830" s="1423">
        <f t="shared" ca="1" si="1216"/>
        <v>0</v>
      </c>
      <c r="W830" s="1423">
        <f t="shared" ca="1" si="1217"/>
        <v>0</v>
      </c>
      <c r="X830" s="152"/>
      <c r="Y830" s="152"/>
      <c r="Z830" s="152"/>
      <c r="AA830" s="152"/>
      <c r="AB830" s="152"/>
    </row>
    <row r="831" spans="1:28" hidden="1" outlineLevel="1">
      <c r="A831" s="199">
        <f t="shared" si="1218"/>
        <v>2</v>
      </c>
      <c r="B831" s="190" t="str">
        <f t="shared" ca="1" si="1219"/>
        <v>Depreciated Net Capex 2017-18</v>
      </c>
      <c r="C831" s="1426"/>
      <c r="D831" s="1427"/>
      <c r="E831" s="1425">
        <f>(E824*((1+E$11)^0.5)/E$10)</f>
        <v>0</v>
      </c>
      <c r="F831" s="1423">
        <f ca="1">IF(E855="n/a",E831,IFERROR(IF((OFFSET($C831,0,$A831))&lt;0,
MIN(0,E831-(OFFSET($C831,0,$A831)/(OFFSET($C826,-$A830,$A831)))),
MAX(0,E831-(OFFSET($C831,0,$A831)/(OFFSET($C826,-$A830,$A831))))),0))</f>
        <v>0</v>
      </c>
      <c r="G831" s="1423">
        <f t="shared" ca="1" si="1201"/>
        <v>0</v>
      </c>
      <c r="H831" s="1423">
        <f t="shared" ca="1" si="1202"/>
        <v>0</v>
      </c>
      <c r="I831" s="1423">
        <f t="shared" ca="1" si="1203"/>
        <v>0</v>
      </c>
      <c r="J831" s="1423">
        <f t="shared" ca="1" si="1204"/>
        <v>0</v>
      </c>
      <c r="K831" s="1423">
        <f t="shared" ca="1" si="1205"/>
        <v>0</v>
      </c>
      <c r="L831" s="1423">
        <f t="shared" ca="1" si="1206"/>
        <v>0</v>
      </c>
      <c r="M831" s="1423">
        <f t="shared" ca="1" si="1207"/>
        <v>0</v>
      </c>
      <c r="N831" s="1423">
        <f t="shared" ca="1" si="1208"/>
        <v>0</v>
      </c>
      <c r="O831" s="1423">
        <f t="shared" ca="1" si="1209"/>
        <v>0</v>
      </c>
      <c r="P831" s="1423">
        <f t="shared" ca="1" si="1210"/>
        <v>0</v>
      </c>
      <c r="Q831" s="1423">
        <f t="shared" ca="1" si="1211"/>
        <v>0</v>
      </c>
      <c r="R831" s="1423">
        <f t="shared" ca="1" si="1212"/>
        <v>0</v>
      </c>
      <c r="S831" s="1423">
        <f t="shared" ca="1" si="1213"/>
        <v>0</v>
      </c>
      <c r="T831" s="1423">
        <f t="shared" ca="1" si="1214"/>
        <v>0</v>
      </c>
      <c r="U831" s="1423">
        <f t="shared" ca="1" si="1215"/>
        <v>0</v>
      </c>
      <c r="V831" s="1423">
        <f t="shared" ca="1" si="1216"/>
        <v>0</v>
      </c>
      <c r="W831" s="1423">
        <f t="shared" ca="1" si="1217"/>
        <v>0</v>
      </c>
      <c r="X831" s="202"/>
      <c r="Y831" s="152"/>
      <c r="Z831" s="152"/>
      <c r="AA831" s="152"/>
      <c r="AB831" s="152"/>
    </row>
    <row r="832" spans="1:28" hidden="1" outlineLevel="1">
      <c r="A832" s="199">
        <f t="shared" si="1218"/>
        <v>3</v>
      </c>
      <c r="B832" s="190" t="str">
        <f t="shared" ca="1" si="1219"/>
        <v>Depreciated Net Capex 2018-19</v>
      </c>
      <c r="C832" s="1426"/>
      <c r="D832" s="1426"/>
      <c r="E832" s="1427"/>
      <c r="F832" s="1428">
        <f>($F824*((1+F$11)^0.5)/F$10)</f>
        <v>0</v>
      </c>
      <c r="G832" s="1423">
        <f ca="1">IF(F856="n/a",F832,IFERROR(IF((OFFSET($C832,0,$A832))&lt;0,
MIN(0,F832-(OFFSET($C832,0,$A832)/(OFFSET($C827,-$A831,$A832)))),
MAX(0,F832-(OFFSET($C832,0,$A832)/(OFFSET($C827,-$A831,$A832))))),0))</f>
        <v>0</v>
      </c>
      <c r="H832" s="1423">
        <f t="shared" ca="1" si="1202"/>
        <v>0</v>
      </c>
      <c r="I832" s="1423">
        <f t="shared" ca="1" si="1203"/>
        <v>0</v>
      </c>
      <c r="J832" s="1423">
        <f t="shared" ca="1" si="1204"/>
        <v>0</v>
      </c>
      <c r="K832" s="1423">
        <f t="shared" ca="1" si="1205"/>
        <v>0</v>
      </c>
      <c r="L832" s="1423">
        <f t="shared" ca="1" si="1206"/>
        <v>0</v>
      </c>
      <c r="M832" s="1423">
        <f t="shared" ca="1" si="1207"/>
        <v>0</v>
      </c>
      <c r="N832" s="1423">
        <f t="shared" ca="1" si="1208"/>
        <v>0</v>
      </c>
      <c r="O832" s="1423">
        <f t="shared" ca="1" si="1209"/>
        <v>0</v>
      </c>
      <c r="P832" s="1423">
        <f t="shared" ca="1" si="1210"/>
        <v>0</v>
      </c>
      <c r="Q832" s="1423">
        <f t="shared" ca="1" si="1211"/>
        <v>0</v>
      </c>
      <c r="R832" s="1423">
        <f t="shared" ca="1" si="1212"/>
        <v>0</v>
      </c>
      <c r="S832" s="1423">
        <f t="shared" ca="1" si="1213"/>
        <v>0</v>
      </c>
      <c r="T832" s="1423">
        <f t="shared" ca="1" si="1214"/>
        <v>0</v>
      </c>
      <c r="U832" s="1423">
        <f t="shared" ca="1" si="1215"/>
        <v>0</v>
      </c>
      <c r="V832" s="1423">
        <f t="shared" ca="1" si="1216"/>
        <v>0</v>
      </c>
      <c r="W832" s="1423">
        <f t="shared" ca="1" si="1217"/>
        <v>0</v>
      </c>
      <c r="X832" s="202"/>
      <c r="Y832" s="202"/>
      <c r="Z832" s="152"/>
      <c r="AA832" s="152"/>
      <c r="AB832" s="152"/>
    </row>
    <row r="833" spans="1:28" hidden="1" outlineLevel="1">
      <c r="A833" s="199">
        <f t="shared" si="1218"/>
        <v>4</v>
      </c>
      <c r="B833" s="190" t="str">
        <f t="shared" ca="1" si="1219"/>
        <v>Depreciated Net Capex 2019-20</v>
      </c>
      <c r="C833" s="1426"/>
      <c r="D833" s="1426"/>
      <c r="E833" s="1426"/>
      <c r="F833" s="1427"/>
      <c r="G833" s="1428">
        <f>($G824*((1+G$11)^0.5)/G$10)</f>
        <v>0</v>
      </c>
      <c r="H833" s="1423">
        <f ca="1">IF(G857="n/a",G833,IFERROR(IF((OFFSET($C833,0,$A833))&lt;0,
MIN(0,G833-(OFFSET($C833,0,$A833)/(OFFSET($C828,-$A832,$A833)))),
MAX(0,G833-(OFFSET($C833,0,$A833)/(OFFSET($C828,-$A832,$A833))))),0))</f>
        <v>0</v>
      </c>
      <c r="I833" s="1423">
        <f t="shared" ca="1" si="1203"/>
        <v>0</v>
      </c>
      <c r="J833" s="1423">
        <f t="shared" ca="1" si="1204"/>
        <v>0</v>
      </c>
      <c r="K833" s="1423">
        <f t="shared" ca="1" si="1205"/>
        <v>0</v>
      </c>
      <c r="L833" s="1423">
        <f t="shared" ca="1" si="1206"/>
        <v>0</v>
      </c>
      <c r="M833" s="1423">
        <f t="shared" ca="1" si="1207"/>
        <v>0</v>
      </c>
      <c r="N833" s="1423">
        <f t="shared" ca="1" si="1208"/>
        <v>0</v>
      </c>
      <c r="O833" s="1423">
        <f t="shared" ca="1" si="1209"/>
        <v>0</v>
      </c>
      <c r="P833" s="1423">
        <f t="shared" ca="1" si="1210"/>
        <v>0</v>
      </c>
      <c r="Q833" s="1423">
        <f t="shared" ca="1" si="1211"/>
        <v>0</v>
      </c>
      <c r="R833" s="1423">
        <f t="shared" ca="1" si="1212"/>
        <v>0</v>
      </c>
      <c r="S833" s="1423">
        <f t="shared" ca="1" si="1213"/>
        <v>0</v>
      </c>
      <c r="T833" s="1423">
        <f t="shared" ca="1" si="1214"/>
        <v>0</v>
      </c>
      <c r="U833" s="1423">
        <f t="shared" ca="1" si="1215"/>
        <v>0</v>
      </c>
      <c r="V833" s="1423">
        <f t="shared" ca="1" si="1216"/>
        <v>0</v>
      </c>
      <c r="W833" s="1423">
        <f t="shared" ca="1" si="1217"/>
        <v>0</v>
      </c>
      <c r="X833" s="202"/>
      <c r="Y833" s="202"/>
      <c r="Z833" s="202"/>
      <c r="AA833" s="152"/>
      <c r="AB833" s="152"/>
    </row>
    <row r="834" spans="1:28" hidden="1" outlineLevel="1">
      <c r="A834" s="199">
        <f t="shared" si="1218"/>
        <v>5</v>
      </c>
      <c r="B834" s="190" t="str">
        <f t="shared" ca="1" si="1219"/>
        <v>Depreciated Net Capex 2020-21</v>
      </c>
      <c r="C834" s="1426"/>
      <c r="D834" s="1426"/>
      <c r="E834" s="1426"/>
      <c r="F834" s="1426"/>
      <c r="G834" s="1427"/>
      <c r="H834" s="1428">
        <f>(H824*((1+H$11)^0.5)/H$10)</f>
        <v>0</v>
      </c>
      <c r="I834" s="1423">
        <f ca="1">IF(H858="n/a",H834,IFERROR(IF((OFFSET($C834,0,$A834))&lt;0,
MIN(0,H834-(OFFSET($C834,0,$A834)/(OFFSET($C829,-$A833,$A834)))),
MAX(0,H834-(OFFSET($C834,0,$A834)/(OFFSET($C829,-$A833,$A834))))),0))</f>
        <v>0</v>
      </c>
      <c r="J834" s="1423">
        <f t="shared" ca="1" si="1204"/>
        <v>0</v>
      </c>
      <c r="K834" s="1423">
        <f t="shared" ca="1" si="1205"/>
        <v>0</v>
      </c>
      <c r="L834" s="1423">
        <f t="shared" ca="1" si="1206"/>
        <v>0</v>
      </c>
      <c r="M834" s="1423">
        <f t="shared" ca="1" si="1207"/>
        <v>0</v>
      </c>
      <c r="N834" s="1423">
        <f t="shared" ca="1" si="1208"/>
        <v>0</v>
      </c>
      <c r="O834" s="1423">
        <f t="shared" ca="1" si="1209"/>
        <v>0</v>
      </c>
      <c r="P834" s="1423">
        <f t="shared" ca="1" si="1210"/>
        <v>0</v>
      </c>
      <c r="Q834" s="1423">
        <f t="shared" ca="1" si="1211"/>
        <v>0</v>
      </c>
      <c r="R834" s="1423">
        <f t="shared" ca="1" si="1212"/>
        <v>0</v>
      </c>
      <c r="S834" s="1423">
        <f t="shared" ca="1" si="1213"/>
        <v>0</v>
      </c>
      <c r="T834" s="1423">
        <f t="shared" ca="1" si="1214"/>
        <v>0</v>
      </c>
      <c r="U834" s="1423">
        <f t="shared" ca="1" si="1215"/>
        <v>0</v>
      </c>
      <c r="V834" s="1423">
        <f t="shared" ca="1" si="1216"/>
        <v>0</v>
      </c>
      <c r="W834" s="1423">
        <f t="shared" ca="1" si="1217"/>
        <v>0</v>
      </c>
      <c r="X834" s="202"/>
      <c r="Y834" s="202"/>
      <c r="Z834" s="202"/>
      <c r="AA834" s="152"/>
      <c r="AB834" s="152"/>
    </row>
    <row r="835" spans="1:28" hidden="1" outlineLevel="1">
      <c r="A835" s="199">
        <f t="shared" si="1218"/>
        <v>6</v>
      </c>
      <c r="B835" s="190" t="str">
        <f t="shared" ca="1" si="1219"/>
        <v>Depreciated Net Capex 2021-22</v>
      </c>
      <c r="C835" s="1426"/>
      <c r="D835" s="1426"/>
      <c r="E835" s="1426"/>
      <c r="F835" s="1426"/>
      <c r="G835" s="1426"/>
      <c r="H835" s="1427"/>
      <c r="I835" s="1428">
        <f>(I824*((1+I$11)^0.5)/I$10)</f>
        <v>0</v>
      </c>
      <c r="J835" s="1423">
        <f ca="1">IF(I859="n/a",I835,IFERROR(IF((OFFSET($C835,0,$A835))&lt;0,
MIN(0,I835-(OFFSET($C835,0,$A835)/(OFFSET($C830,-$A834,$A835)))),
MAX(0,I835-(OFFSET($C835,0,$A835)/(OFFSET($C830,-$A834,$A835))))),0))</f>
        <v>0</v>
      </c>
      <c r="K835" s="1423">
        <f t="shared" ca="1" si="1205"/>
        <v>0</v>
      </c>
      <c r="L835" s="1423">
        <f t="shared" ca="1" si="1206"/>
        <v>0</v>
      </c>
      <c r="M835" s="1423">
        <f t="shared" ca="1" si="1207"/>
        <v>0</v>
      </c>
      <c r="N835" s="1423">
        <f t="shared" ca="1" si="1208"/>
        <v>0</v>
      </c>
      <c r="O835" s="1423">
        <f t="shared" ca="1" si="1209"/>
        <v>0</v>
      </c>
      <c r="P835" s="1423">
        <f t="shared" ca="1" si="1210"/>
        <v>0</v>
      </c>
      <c r="Q835" s="1423">
        <f t="shared" ca="1" si="1211"/>
        <v>0</v>
      </c>
      <c r="R835" s="1423">
        <f t="shared" ca="1" si="1212"/>
        <v>0</v>
      </c>
      <c r="S835" s="1423">
        <f t="shared" ca="1" si="1213"/>
        <v>0</v>
      </c>
      <c r="T835" s="1423">
        <f t="shared" ca="1" si="1214"/>
        <v>0</v>
      </c>
      <c r="U835" s="1423">
        <f t="shared" ca="1" si="1215"/>
        <v>0</v>
      </c>
      <c r="V835" s="1423">
        <f t="shared" ca="1" si="1216"/>
        <v>0</v>
      </c>
      <c r="W835" s="1423">
        <f t="shared" ca="1" si="1217"/>
        <v>0</v>
      </c>
      <c r="X835" s="202"/>
      <c r="Y835" s="202"/>
      <c r="Z835" s="202"/>
      <c r="AA835" s="152"/>
      <c r="AB835" s="152"/>
    </row>
    <row r="836" spans="1:28" hidden="1" outlineLevel="1">
      <c r="A836" s="199">
        <f t="shared" si="1218"/>
        <v>7</v>
      </c>
      <c r="B836" s="190" t="str">
        <f t="shared" ca="1" si="1219"/>
        <v>Depreciated Net Capex 2022-23</v>
      </c>
      <c r="C836" s="1426"/>
      <c r="D836" s="1426"/>
      <c r="E836" s="1426"/>
      <c r="F836" s="1426"/>
      <c r="G836" s="1426"/>
      <c r="H836" s="1426"/>
      <c r="I836" s="1427"/>
      <c r="J836" s="1428">
        <f>(J824*((1+J$11)^0.5)/J$10)</f>
        <v>0</v>
      </c>
      <c r="K836" s="1423">
        <f ca="1">IF(J860="n/a",J836,IFERROR(IF((OFFSET($C836,0,$A836))&lt;0,
MIN(0,J836-(OFFSET($C836,0,$A836)/(OFFSET($C831,-$A835,$A836)))),
MAX(0,J836-(OFFSET($C836,0,$A836)/(OFFSET($C831,-$A835,$A836))))),0))</f>
        <v>0</v>
      </c>
      <c r="L836" s="1423">
        <f t="shared" ca="1" si="1206"/>
        <v>0</v>
      </c>
      <c r="M836" s="1423">
        <f t="shared" ca="1" si="1207"/>
        <v>0</v>
      </c>
      <c r="N836" s="1423">
        <f t="shared" ca="1" si="1208"/>
        <v>0</v>
      </c>
      <c r="O836" s="1423">
        <f t="shared" ca="1" si="1209"/>
        <v>0</v>
      </c>
      <c r="P836" s="1423">
        <f t="shared" ca="1" si="1210"/>
        <v>0</v>
      </c>
      <c r="Q836" s="1423">
        <f t="shared" ca="1" si="1211"/>
        <v>0</v>
      </c>
      <c r="R836" s="1423">
        <f t="shared" ca="1" si="1212"/>
        <v>0</v>
      </c>
      <c r="S836" s="1423">
        <f t="shared" ca="1" si="1213"/>
        <v>0</v>
      </c>
      <c r="T836" s="1423">
        <f t="shared" ca="1" si="1214"/>
        <v>0</v>
      </c>
      <c r="U836" s="1423">
        <f t="shared" ca="1" si="1215"/>
        <v>0</v>
      </c>
      <c r="V836" s="1423">
        <f t="shared" ca="1" si="1216"/>
        <v>0</v>
      </c>
      <c r="W836" s="1423">
        <f t="shared" ca="1" si="1217"/>
        <v>0</v>
      </c>
      <c r="X836" s="202"/>
      <c r="Y836" s="202"/>
      <c r="Z836" s="202"/>
      <c r="AA836" s="152"/>
      <c r="AB836" s="152"/>
    </row>
    <row r="837" spans="1:28" hidden="1" outlineLevel="1">
      <c r="A837" s="199">
        <f t="shared" si="1218"/>
        <v>8</v>
      </c>
      <c r="B837" s="190" t="str">
        <f t="shared" ca="1" si="1219"/>
        <v>Depreciated Net Capex 2023-24</v>
      </c>
      <c r="C837" s="1426"/>
      <c r="D837" s="1426"/>
      <c r="E837" s="1426"/>
      <c r="F837" s="1426"/>
      <c r="G837" s="1426"/>
      <c r="H837" s="1426"/>
      <c r="I837" s="1426"/>
      <c r="J837" s="1427"/>
      <c r="K837" s="1428">
        <f>(K824*((1+K$11)^0.5)/K$10)</f>
        <v>0</v>
      </c>
      <c r="L837" s="1423">
        <f ca="1">IF(K861="n/a",K837,IFERROR(IF((OFFSET($C837,0,$A837))&lt;0,
MIN(0,K837-(OFFSET($C837,0,$A837)/(OFFSET($C832,-$A836,$A837)))),
MAX(0,K837-(OFFSET($C837,0,$A837)/(OFFSET($C832,-$A836,$A837))))),0))</f>
        <v>0</v>
      </c>
      <c r="M837" s="1423">
        <f t="shared" ca="1" si="1207"/>
        <v>0</v>
      </c>
      <c r="N837" s="1423">
        <f t="shared" ca="1" si="1208"/>
        <v>0</v>
      </c>
      <c r="O837" s="1423">
        <f t="shared" ca="1" si="1209"/>
        <v>0</v>
      </c>
      <c r="P837" s="1423">
        <f t="shared" ca="1" si="1210"/>
        <v>0</v>
      </c>
      <c r="Q837" s="1423">
        <f t="shared" ca="1" si="1211"/>
        <v>0</v>
      </c>
      <c r="R837" s="1423">
        <f t="shared" ca="1" si="1212"/>
        <v>0</v>
      </c>
      <c r="S837" s="1423">
        <f t="shared" ca="1" si="1213"/>
        <v>0</v>
      </c>
      <c r="T837" s="1423">
        <f t="shared" ca="1" si="1214"/>
        <v>0</v>
      </c>
      <c r="U837" s="1423">
        <f t="shared" ca="1" si="1215"/>
        <v>0</v>
      </c>
      <c r="V837" s="1423">
        <f t="shared" ca="1" si="1216"/>
        <v>0</v>
      </c>
      <c r="W837" s="1423">
        <f t="shared" ca="1" si="1217"/>
        <v>0</v>
      </c>
      <c r="X837" s="202"/>
      <c r="Y837" s="202"/>
      <c r="Z837" s="202"/>
      <c r="AA837" s="152"/>
      <c r="AB837" s="152"/>
    </row>
    <row r="838" spans="1:28" hidden="1" outlineLevel="1">
      <c r="A838" s="199">
        <f t="shared" si="1218"/>
        <v>9</v>
      </c>
      <c r="B838" s="190" t="str">
        <f t="shared" ca="1" si="1219"/>
        <v>Depreciated Net Capex 2024-25</v>
      </c>
      <c r="C838" s="1426"/>
      <c r="D838" s="1426"/>
      <c r="E838" s="1426"/>
      <c r="F838" s="1426"/>
      <c r="G838" s="1426"/>
      <c r="H838" s="1426"/>
      <c r="I838" s="1426"/>
      <c r="J838" s="1426"/>
      <c r="K838" s="1427"/>
      <c r="L838" s="1428">
        <f>(L824*((1+L$11)^0.5)/L$10)</f>
        <v>0</v>
      </c>
      <c r="M838" s="1423">
        <f ca="1">IF(L862="n/a",L838,IFERROR(IF((OFFSET($C838,0,$A838))&lt;0,
MIN(0,L838-(OFFSET($C838,0,$A838)/(OFFSET($C833,-$A837,$A838)))),
MAX(0,L838-(OFFSET($C838,0,$A838)/(OFFSET($C833,-$A837,$A838))))),0))</f>
        <v>0</v>
      </c>
      <c r="N838" s="1423">
        <f t="shared" ca="1" si="1208"/>
        <v>0</v>
      </c>
      <c r="O838" s="1423">
        <f t="shared" ca="1" si="1209"/>
        <v>0</v>
      </c>
      <c r="P838" s="1423">
        <f t="shared" ca="1" si="1210"/>
        <v>0</v>
      </c>
      <c r="Q838" s="1423">
        <f t="shared" ca="1" si="1211"/>
        <v>0</v>
      </c>
      <c r="R838" s="1423">
        <f t="shared" ca="1" si="1212"/>
        <v>0</v>
      </c>
      <c r="S838" s="1423">
        <f t="shared" ca="1" si="1213"/>
        <v>0</v>
      </c>
      <c r="T838" s="1423">
        <f t="shared" ca="1" si="1214"/>
        <v>0</v>
      </c>
      <c r="U838" s="1423">
        <f t="shared" ca="1" si="1215"/>
        <v>0</v>
      </c>
      <c r="V838" s="1423">
        <f t="shared" ca="1" si="1216"/>
        <v>0</v>
      </c>
      <c r="W838" s="1423">
        <f t="shared" ca="1" si="1217"/>
        <v>0</v>
      </c>
      <c r="X838" s="202"/>
      <c r="Y838" s="202"/>
      <c r="Z838" s="202"/>
      <c r="AA838" s="152"/>
      <c r="AB838" s="152"/>
    </row>
    <row r="839" spans="1:28" hidden="1" outlineLevel="1">
      <c r="A839" s="199">
        <f t="shared" si="1218"/>
        <v>10</v>
      </c>
      <c r="B839" s="190" t="str">
        <f t="shared" ca="1" si="1219"/>
        <v>Depreciated Net Capex 2025-26</v>
      </c>
      <c r="C839" s="1426"/>
      <c r="D839" s="1426"/>
      <c r="E839" s="1426"/>
      <c r="F839" s="1426"/>
      <c r="G839" s="1426"/>
      <c r="H839" s="1426"/>
      <c r="I839" s="1426"/>
      <c r="J839" s="1426"/>
      <c r="K839" s="1426"/>
      <c r="L839" s="1427"/>
      <c r="M839" s="1428">
        <f>(M824*((1+M$11)^0.5)/M$10)</f>
        <v>0</v>
      </c>
      <c r="N839" s="1423">
        <f ca="1">IF(M863="n/a",M839,IFERROR(IF((OFFSET($C839,0,$A839))&lt;0,
MIN(0,M839-(OFFSET($C839,0,$A839)/(OFFSET($C834,-$A838,$A839)))),
MAX(0,M839-(OFFSET($C839,0,$A839)/(OFFSET($C834,-$A838,$A839))))),0))</f>
        <v>0</v>
      </c>
      <c r="O839" s="1423">
        <f t="shared" ca="1" si="1209"/>
        <v>0</v>
      </c>
      <c r="P839" s="1423">
        <f t="shared" ca="1" si="1210"/>
        <v>0</v>
      </c>
      <c r="Q839" s="1423">
        <f t="shared" ca="1" si="1211"/>
        <v>0</v>
      </c>
      <c r="R839" s="1423">
        <f t="shared" ca="1" si="1212"/>
        <v>0</v>
      </c>
      <c r="S839" s="1423">
        <f t="shared" ca="1" si="1213"/>
        <v>0</v>
      </c>
      <c r="T839" s="1423">
        <f t="shared" ca="1" si="1214"/>
        <v>0</v>
      </c>
      <c r="U839" s="1423">
        <f t="shared" ca="1" si="1215"/>
        <v>0</v>
      </c>
      <c r="V839" s="1423">
        <f t="shared" ca="1" si="1216"/>
        <v>0</v>
      </c>
      <c r="W839" s="1423">
        <f t="shared" ca="1" si="1217"/>
        <v>0</v>
      </c>
      <c r="X839" s="202"/>
      <c r="Y839" s="202"/>
      <c r="Z839" s="202"/>
      <c r="AA839" s="152"/>
      <c r="AB839" s="152"/>
    </row>
    <row r="840" spans="1:28" hidden="1" outlineLevel="1">
      <c r="A840" s="199">
        <f t="shared" si="1218"/>
        <v>11</v>
      </c>
      <c r="B840" s="190" t="str">
        <f t="shared" ca="1" si="1219"/>
        <v>Depreciated Net Capex 2026-27</v>
      </c>
      <c r="C840" s="1426"/>
      <c r="D840" s="1426"/>
      <c r="E840" s="1426"/>
      <c r="F840" s="1426"/>
      <c r="G840" s="1426"/>
      <c r="H840" s="1426"/>
      <c r="I840" s="1426"/>
      <c r="J840" s="1426"/>
      <c r="K840" s="1426"/>
      <c r="L840" s="1426"/>
      <c r="M840" s="1427"/>
      <c r="N840" s="1428">
        <f>(N824*((1+N$11)^0.5)/N$10)</f>
        <v>0</v>
      </c>
      <c r="O840" s="1423">
        <f ca="1">IF(N864="n/a",N840,IFERROR(IF((OFFSET($C840,0,$A840))&lt;0,
MIN(0,N840-(OFFSET($C840,0,$A840)/(OFFSET($C835,-$A839,$A840)))),
MAX(0,N840-(OFFSET($C840,0,$A840)/(OFFSET($C835,-$A839,$A840))))),0))</f>
        <v>0</v>
      </c>
      <c r="P840" s="1423">
        <f t="shared" ca="1" si="1210"/>
        <v>0</v>
      </c>
      <c r="Q840" s="1423">
        <f t="shared" ca="1" si="1211"/>
        <v>0</v>
      </c>
      <c r="R840" s="1423">
        <f t="shared" ca="1" si="1212"/>
        <v>0</v>
      </c>
      <c r="S840" s="1423">
        <f t="shared" ca="1" si="1213"/>
        <v>0</v>
      </c>
      <c r="T840" s="1423">
        <f t="shared" ca="1" si="1214"/>
        <v>0</v>
      </c>
      <c r="U840" s="1423">
        <f t="shared" ca="1" si="1215"/>
        <v>0</v>
      </c>
      <c r="V840" s="1423">
        <f t="shared" ca="1" si="1216"/>
        <v>0</v>
      </c>
      <c r="W840" s="1423">
        <f t="shared" ca="1" si="1217"/>
        <v>0</v>
      </c>
      <c r="X840" s="202"/>
      <c r="Y840" s="202"/>
      <c r="Z840" s="202"/>
      <c r="AA840" s="152"/>
      <c r="AB840" s="152"/>
    </row>
    <row r="841" spans="1:28" hidden="1" outlineLevel="1">
      <c r="A841" s="199">
        <f t="shared" si="1218"/>
        <v>12</v>
      </c>
      <c r="B841" s="190" t="str">
        <f t="shared" ca="1" si="1219"/>
        <v>Depreciated Net Capex 2027-28</v>
      </c>
      <c r="C841" s="1426"/>
      <c r="D841" s="1426"/>
      <c r="E841" s="1426"/>
      <c r="F841" s="1426"/>
      <c r="G841" s="1426"/>
      <c r="H841" s="1426"/>
      <c r="I841" s="1426"/>
      <c r="J841" s="1426"/>
      <c r="K841" s="1426"/>
      <c r="L841" s="1426"/>
      <c r="M841" s="1426"/>
      <c r="N841" s="1427"/>
      <c r="O841" s="1428">
        <f>(O824*((1+O$11)^0.5)/O$10)</f>
        <v>0</v>
      </c>
      <c r="P841" s="1423">
        <f ca="1">IF(O865="n/a",O841,IFERROR(IF((OFFSET($C841,0,$A841))&lt;0,
MIN(0,O841-(OFFSET($C841,0,$A841)/(OFFSET($C836,-$A840,$A841)))),
MAX(0,O841-(OFFSET($C841,0,$A841)/(OFFSET($C836,-$A840,$A841))))),0))</f>
        <v>0</v>
      </c>
      <c r="Q841" s="1423">
        <f t="shared" ca="1" si="1211"/>
        <v>0</v>
      </c>
      <c r="R841" s="1423">
        <f t="shared" ca="1" si="1212"/>
        <v>0</v>
      </c>
      <c r="S841" s="1423">
        <f t="shared" ca="1" si="1213"/>
        <v>0</v>
      </c>
      <c r="T841" s="1423">
        <f t="shared" ca="1" si="1214"/>
        <v>0</v>
      </c>
      <c r="U841" s="1423">
        <f t="shared" ca="1" si="1215"/>
        <v>0</v>
      </c>
      <c r="V841" s="1423">
        <f t="shared" ca="1" si="1216"/>
        <v>0</v>
      </c>
      <c r="W841" s="1423">
        <f t="shared" ca="1" si="1217"/>
        <v>0</v>
      </c>
      <c r="X841" s="202"/>
      <c r="Y841" s="202"/>
      <c r="Z841" s="202"/>
      <c r="AA841" s="152"/>
      <c r="AB841" s="152"/>
    </row>
    <row r="842" spans="1:28" hidden="1" outlineLevel="1">
      <c r="A842" s="199">
        <f t="shared" si="1218"/>
        <v>13</v>
      </c>
      <c r="B842" s="190" t="str">
        <f t="shared" ca="1" si="1219"/>
        <v>Depreciated Net Capex 2028-29</v>
      </c>
      <c r="C842" s="1426"/>
      <c r="D842" s="1426"/>
      <c r="E842" s="1426"/>
      <c r="F842" s="1426"/>
      <c r="G842" s="1426"/>
      <c r="H842" s="1426"/>
      <c r="I842" s="1426"/>
      <c r="J842" s="1426"/>
      <c r="K842" s="1426"/>
      <c r="L842" s="1426"/>
      <c r="M842" s="1426"/>
      <c r="N842" s="1426"/>
      <c r="O842" s="1427"/>
      <c r="P842" s="1428">
        <f>(P824*((1+P$11)^0.5)/P$10)</f>
        <v>0</v>
      </c>
      <c r="Q842" s="1423">
        <f ca="1">IF(P866="n/a",P842,IFERROR(IF((OFFSET($C842,0,$A842))&lt;0,
MIN(0,P842-(OFFSET($C842,0,$A842)/(OFFSET($C837,-$A841,$A842)))),
MAX(0,P842-(OFFSET($C842,0,$A842)/(OFFSET($C837,-$A841,$A842))))),0))</f>
        <v>0</v>
      </c>
      <c r="R842" s="1423">
        <f t="shared" ca="1" si="1212"/>
        <v>0</v>
      </c>
      <c r="S842" s="1423">
        <f t="shared" ca="1" si="1213"/>
        <v>0</v>
      </c>
      <c r="T842" s="1423">
        <f t="shared" ca="1" si="1214"/>
        <v>0</v>
      </c>
      <c r="U842" s="1423">
        <f t="shared" ca="1" si="1215"/>
        <v>0</v>
      </c>
      <c r="V842" s="1423">
        <f t="shared" ca="1" si="1216"/>
        <v>0</v>
      </c>
      <c r="W842" s="1423">
        <f t="shared" ca="1" si="1217"/>
        <v>0</v>
      </c>
      <c r="X842" s="202"/>
      <c r="Y842" s="202"/>
      <c r="Z842" s="202"/>
      <c r="AA842" s="152"/>
      <c r="AB842" s="152"/>
    </row>
    <row r="843" spans="1:28" hidden="1" outlineLevel="1">
      <c r="A843" s="199">
        <f t="shared" si="1218"/>
        <v>14</v>
      </c>
      <c r="B843" s="190" t="str">
        <f t="shared" ca="1" si="1219"/>
        <v>Depreciated Net Capex 2029-30</v>
      </c>
      <c r="C843" s="1426"/>
      <c r="D843" s="1426"/>
      <c r="E843" s="1426"/>
      <c r="F843" s="1426"/>
      <c r="G843" s="1426"/>
      <c r="H843" s="1426"/>
      <c r="I843" s="1426"/>
      <c r="J843" s="1426"/>
      <c r="K843" s="1426"/>
      <c r="L843" s="1426"/>
      <c r="M843" s="1426"/>
      <c r="N843" s="1426"/>
      <c r="O843" s="1426"/>
      <c r="P843" s="1427"/>
      <c r="Q843" s="1428">
        <f>(Q824*((1+Q$11)^0.5)/Q$10)</f>
        <v>0</v>
      </c>
      <c r="R843" s="1423">
        <f ca="1">IF(Q867="n/a",Q843,IFERROR(IF((OFFSET($C843,0,$A843))&lt;0,
MIN(0,Q843-(OFFSET($C843,0,$A843)/(OFFSET($C838,-$A842,$A843)))),
MAX(0,Q843-(OFFSET($C843,0,$A843)/(OFFSET($C838,-$A842,$A843))))),0))</f>
        <v>0</v>
      </c>
      <c r="S843" s="1423">
        <f t="shared" ca="1" si="1213"/>
        <v>0</v>
      </c>
      <c r="T843" s="1423">
        <f t="shared" ca="1" si="1214"/>
        <v>0</v>
      </c>
      <c r="U843" s="1423">
        <f t="shared" ca="1" si="1215"/>
        <v>0</v>
      </c>
      <c r="V843" s="1423">
        <f t="shared" ca="1" si="1216"/>
        <v>0</v>
      </c>
      <c r="W843" s="1423">
        <f t="shared" ca="1" si="1217"/>
        <v>0</v>
      </c>
      <c r="X843" s="202"/>
      <c r="Y843" s="202"/>
      <c r="Z843" s="202"/>
      <c r="AA843" s="152"/>
      <c r="AB843" s="152"/>
    </row>
    <row r="844" spans="1:28" hidden="1" outlineLevel="1">
      <c r="A844" s="199">
        <f t="shared" si="1218"/>
        <v>15</v>
      </c>
      <c r="B844" s="190" t="str">
        <f t="shared" ca="1" si="1219"/>
        <v>Depreciated Net Capex 2030-31</v>
      </c>
      <c r="C844" s="1426"/>
      <c r="D844" s="1426"/>
      <c r="E844" s="1426"/>
      <c r="F844" s="1426"/>
      <c r="G844" s="1426"/>
      <c r="H844" s="1426"/>
      <c r="I844" s="1426"/>
      <c r="J844" s="1426"/>
      <c r="K844" s="1426"/>
      <c r="L844" s="1426"/>
      <c r="M844" s="1426"/>
      <c r="N844" s="1426"/>
      <c r="O844" s="1426"/>
      <c r="P844" s="1426"/>
      <c r="Q844" s="1427"/>
      <c r="R844" s="1428">
        <f>(R824*((1+R$11)^0.5)/R$10)</f>
        <v>0</v>
      </c>
      <c r="S844" s="1423">
        <f ca="1">IF(R868="n/a",R844,IFERROR(IF((OFFSET($C844,0,$A844))&lt;0,
MIN(0,R844-(OFFSET($C844,0,$A844)/(OFFSET($C839,-$A843,$A844)))),
MAX(0,R844-(OFFSET($C844,0,$A844)/(OFFSET($C839,-$A843,$A844))))),0))</f>
        <v>0</v>
      </c>
      <c r="T844" s="1423">
        <f t="shared" ca="1" si="1214"/>
        <v>0</v>
      </c>
      <c r="U844" s="1423">
        <f t="shared" ca="1" si="1215"/>
        <v>0</v>
      </c>
      <c r="V844" s="1423">
        <f t="shared" ca="1" si="1216"/>
        <v>0</v>
      </c>
      <c r="W844" s="1423">
        <f t="shared" ca="1" si="1217"/>
        <v>0</v>
      </c>
      <c r="X844" s="202"/>
      <c r="Y844" s="202"/>
      <c r="Z844" s="202"/>
      <c r="AA844" s="152"/>
      <c r="AB844" s="152"/>
    </row>
    <row r="845" spans="1:28" hidden="1" outlineLevel="1">
      <c r="A845" s="199">
        <f t="shared" si="1218"/>
        <v>16</v>
      </c>
      <c r="B845" s="190" t="str">
        <f t="shared" ca="1" si="1219"/>
        <v>Depreciated Net Capex 2031-32</v>
      </c>
      <c r="C845" s="1426"/>
      <c r="D845" s="1426"/>
      <c r="E845" s="1426"/>
      <c r="F845" s="1426"/>
      <c r="G845" s="1426"/>
      <c r="H845" s="1426"/>
      <c r="I845" s="1426"/>
      <c r="J845" s="1426"/>
      <c r="K845" s="1426"/>
      <c r="L845" s="1426"/>
      <c r="M845" s="1426"/>
      <c r="N845" s="1426"/>
      <c r="O845" s="1426"/>
      <c r="P845" s="1426"/>
      <c r="Q845" s="1426"/>
      <c r="R845" s="1427"/>
      <c r="S845" s="1428">
        <f>(S824*((1+S$11)^0.5)/S$10)</f>
        <v>0</v>
      </c>
      <c r="T845" s="1423">
        <f ca="1">IF(S869="n/a",S845,IFERROR(IF((OFFSET($C845,0,$A845))&lt;0,
MIN(0,S845-(OFFSET($C845,0,$A845)/(OFFSET($C840,-$A844,$A845)))),
MAX(0,S845-(OFFSET($C845,0,$A845)/(OFFSET($C840,-$A844,$A845))))),0))</f>
        <v>0</v>
      </c>
      <c r="U845" s="1423">
        <f t="shared" ca="1" si="1215"/>
        <v>0</v>
      </c>
      <c r="V845" s="1423">
        <f t="shared" ca="1" si="1216"/>
        <v>0</v>
      </c>
      <c r="W845" s="1423">
        <f t="shared" ca="1" si="1217"/>
        <v>0</v>
      </c>
      <c r="X845" s="202"/>
      <c r="Y845" s="202"/>
      <c r="Z845" s="202"/>
      <c r="AA845" s="152"/>
      <c r="AB845" s="152"/>
    </row>
    <row r="846" spans="1:28" hidden="1" outlineLevel="1">
      <c r="A846" s="199">
        <f t="shared" si="1218"/>
        <v>17</v>
      </c>
      <c r="B846" s="190" t="str">
        <f t="shared" ca="1" si="1219"/>
        <v>Depreciated Net Capex 2032-33</v>
      </c>
      <c r="C846" s="1426"/>
      <c r="D846" s="1426"/>
      <c r="E846" s="1426"/>
      <c r="F846" s="1426"/>
      <c r="G846" s="1426"/>
      <c r="H846" s="1426"/>
      <c r="I846" s="1426"/>
      <c r="J846" s="1426"/>
      <c r="K846" s="1426"/>
      <c r="L846" s="1426"/>
      <c r="M846" s="1426"/>
      <c r="N846" s="1426"/>
      <c r="O846" s="1426"/>
      <c r="P846" s="1426"/>
      <c r="Q846" s="1426"/>
      <c r="R846" s="1426"/>
      <c r="S846" s="1427"/>
      <c r="T846" s="1428">
        <f>(T824*((1+T$11)^0.5)/T$10)</f>
        <v>0</v>
      </c>
      <c r="U846" s="1423">
        <f ca="1">IF(T870="n/a",T846,IFERROR(IF((OFFSET($C846,0,$A846))&lt;0,
MIN(0,T846-(OFFSET($C846,0,$A846)/(OFFSET($C841,-$A845,$A846)))),
MAX(0,T846-(OFFSET($C846,0,$A846)/(OFFSET($C841,-$A845,$A846))))),0))</f>
        <v>0</v>
      </c>
      <c r="V846" s="1423">
        <f t="shared" ca="1" si="1216"/>
        <v>0</v>
      </c>
      <c r="W846" s="1423">
        <f t="shared" ca="1" si="1217"/>
        <v>0</v>
      </c>
      <c r="X846" s="202"/>
      <c r="Y846" s="202"/>
      <c r="Z846" s="202"/>
      <c r="AA846" s="152"/>
      <c r="AB846" s="152"/>
    </row>
    <row r="847" spans="1:28" hidden="1" outlineLevel="1">
      <c r="A847" s="199">
        <f t="shared" si="1218"/>
        <v>18</v>
      </c>
      <c r="B847" s="190" t="str">
        <f t="shared" ca="1" si="1219"/>
        <v>Depreciated Net Capex 2033-34</v>
      </c>
      <c r="C847" s="1426"/>
      <c r="D847" s="1426"/>
      <c r="E847" s="1426"/>
      <c r="F847" s="1426"/>
      <c r="G847" s="1426"/>
      <c r="H847" s="1426"/>
      <c r="I847" s="1426"/>
      <c r="J847" s="1426"/>
      <c r="K847" s="1426"/>
      <c r="L847" s="1426"/>
      <c r="M847" s="1426"/>
      <c r="N847" s="1426"/>
      <c r="O847" s="1426"/>
      <c r="P847" s="1426"/>
      <c r="Q847" s="1426"/>
      <c r="R847" s="1426"/>
      <c r="S847" s="1426"/>
      <c r="T847" s="1427"/>
      <c r="U847" s="1428">
        <f>(U824*((1+U$11)^0.5)/U$10)</f>
        <v>0</v>
      </c>
      <c r="V847" s="1423">
        <f ca="1">IF(U871="n/a",U847,IFERROR(IF((OFFSET($C847,0,$A847))&lt;0,
MIN(0,U847-(OFFSET($C847,0,$A847)/(OFFSET($C842,-$A846,$A847)))),
MAX(0,U847-(OFFSET($C847,0,$A847)/(OFFSET($C842,-$A846,$A847))))),0))</f>
        <v>0</v>
      </c>
      <c r="W847" s="1423">
        <f t="shared" ca="1" si="1217"/>
        <v>0</v>
      </c>
      <c r="X847" s="202"/>
      <c r="Y847" s="202"/>
      <c r="Z847" s="202"/>
      <c r="AA847" s="152"/>
      <c r="AB847" s="152"/>
    </row>
    <row r="848" spans="1:28" hidden="1" outlineLevel="1">
      <c r="A848" s="199">
        <f t="shared" si="1218"/>
        <v>19</v>
      </c>
      <c r="B848" s="190" t="str">
        <f t="shared" ca="1" si="1219"/>
        <v>Depreciated Net Capex 2034-35</v>
      </c>
      <c r="C848" s="1426"/>
      <c r="D848" s="1426"/>
      <c r="E848" s="1426"/>
      <c r="F848" s="1426"/>
      <c r="G848" s="1426"/>
      <c r="H848" s="1426"/>
      <c r="I848" s="1426"/>
      <c r="J848" s="1426"/>
      <c r="K848" s="1426"/>
      <c r="L848" s="1426"/>
      <c r="M848" s="1426"/>
      <c r="N848" s="1426"/>
      <c r="O848" s="1426"/>
      <c r="P848" s="1426"/>
      <c r="Q848" s="1426"/>
      <c r="R848" s="1426"/>
      <c r="S848" s="1426"/>
      <c r="T848" s="1426"/>
      <c r="U848" s="1427"/>
      <c r="V848" s="1428">
        <f>(V824*((1+V$11)^0.5)/V$10)</f>
        <v>0</v>
      </c>
      <c r="W848" s="1423">
        <f ca="1">IF(V872="n/a",V848,IFERROR(IF((OFFSET($C848,0,$A848))&lt;0,
MIN(0,V848-(OFFSET($C848,0,$A848)/(OFFSET($C843,-$A847,$A848)))),
MAX(0,V848-(OFFSET($C848,0,$A848)/(OFFSET($C843,-$A847,$A848))))),0))</f>
        <v>0</v>
      </c>
      <c r="X848" s="202"/>
      <c r="Y848" s="202"/>
      <c r="Z848" s="202"/>
      <c r="AA848" s="152"/>
      <c r="AB848" s="152"/>
    </row>
    <row r="849" spans="1:28" hidden="1" outlineLevel="1">
      <c r="A849" s="199">
        <f t="shared" si="1218"/>
        <v>20</v>
      </c>
      <c r="B849" s="190" t="str">
        <f ca="1">"Depreciated Net Capex "&amp;OFFSET($C$6,0,A849)</f>
        <v>Depreciated Net Capex 2035-36</v>
      </c>
      <c r="C849" s="1426"/>
      <c r="D849" s="1426"/>
      <c r="E849" s="1426"/>
      <c r="F849" s="1426"/>
      <c r="G849" s="1426"/>
      <c r="H849" s="1426"/>
      <c r="I849" s="1426"/>
      <c r="J849" s="1426"/>
      <c r="K849" s="1426"/>
      <c r="L849" s="1426"/>
      <c r="M849" s="1426"/>
      <c r="N849" s="1426"/>
      <c r="O849" s="1426"/>
      <c r="P849" s="1426"/>
      <c r="Q849" s="1426"/>
      <c r="R849" s="1426"/>
      <c r="S849" s="1426"/>
      <c r="T849" s="1426"/>
      <c r="U849" s="1426"/>
      <c r="V849" s="1427"/>
      <c r="W849" s="1423">
        <f>(W824*((1+W$11)^0.5)/W$10)</f>
        <v>0</v>
      </c>
      <c r="X849" s="152"/>
      <c r="Y849" s="152"/>
      <c r="Z849" s="152"/>
      <c r="AA849" s="152"/>
      <c r="AB849" s="152"/>
    </row>
    <row r="850" spans="1:28" hidden="1" outlineLevel="1">
      <c r="A850" s="152"/>
      <c r="B850" s="200"/>
      <c r="C850" s="1423"/>
      <c r="D850" s="1423"/>
      <c r="E850" s="1423"/>
      <c r="F850" s="1423"/>
      <c r="G850" s="1423"/>
      <c r="H850" s="1423"/>
      <c r="I850" s="1423"/>
      <c r="J850" s="1423"/>
      <c r="K850" s="1423"/>
      <c r="L850" s="1423"/>
      <c r="M850" s="1423"/>
      <c r="N850" s="1423"/>
      <c r="O850" s="1423"/>
      <c r="P850" s="1423"/>
      <c r="Q850" s="1423"/>
      <c r="R850" s="1423"/>
      <c r="S850" s="1423"/>
      <c r="T850" s="1423"/>
      <c r="U850" s="1423"/>
      <c r="V850" s="1423"/>
      <c r="W850" s="1423"/>
      <c r="X850" s="152"/>
      <c r="Y850" s="152"/>
      <c r="Z850" s="152"/>
      <c r="AA850" s="152"/>
      <c r="AB850" s="152"/>
    </row>
    <row r="851" spans="1:28" hidden="1" outlineLevel="1">
      <c r="A851" s="152"/>
      <c r="B851" s="200"/>
      <c r="C851" s="1423"/>
      <c r="D851" s="1423"/>
      <c r="E851" s="1423"/>
      <c r="F851" s="1423"/>
      <c r="G851" s="1423"/>
      <c r="H851" s="1423"/>
      <c r="I851" s="1423"/>
      <c r="J851" s="1423"/>
      <c r="K851" s="1423"/>
      <c r="L851" s="1423"/>
      <c r="M851" s="1423"/>
      <c r="N851" s="1423"/>
      <c r="O851" s="1423"/>
      <c r="P851" s="1423"/>
      <c r="Q851" s="1423"/>
      <c r="R851" s="1423"/>
      <c r="S851" s="1423"/>
      <c r="T851" s="1423"/>
      <c r="U851" s="1423"/>
      <c r="V851" s="1423"/>
      <c r="W851" s="1423"/>
      <c r="X851" s="152"/>
      <c r="Y851" s="152"/>
      <c r="Z851" s="152"/>
      <c r="AA851" s="152"/>
      <c r="AB851" s="152"/>
    </row>
    <row r="852" spans="1:28" hidden="1" outlineLevel="1">
      <c r="A852" s="152"/>
      <c r="B852" s="190" t="s">
        <v>190</v>
      </c>
      <c r="C852" s="1423"/>
      <c r="D852" s="1423">
        <f ca="1">IF(AND(C852&lt;1,D826=0),0,
IF(D826=0,C852-1,
IF(C852&lt;1,D827,
(((C852-1)*(C828-(C828/(C852))))+((D826/D$10)*D827))/(D828))))</f>
        <v>0</v>
      </c>
      <c r="E852" s="1423">
        <f t="shared" ref="E852" ca="1" si="1220">IF(AND(D852&lt;1,E826=0),0,
IF(E826=0,D852-1,
IF(D852&lt;1,E827,
(((D852-1)*(D828-(D828/(D852))))+((E826/E$10)*E827))/(E828))))</f>
        <v>0</v>
      </c>
      <c r="F852" s="1423">
        <f t="shared" ref="F852" ca="1" si="1221">IF(AND(E852&lt;1,F826=0),0,
IF(F826=0,E852-1,
IF(E852&lt;1,F827,
(((E852-1)*(E828-(E828/(E852))))+((F826/F$10)*F827))/(F828))))</f>
        <v>0</v>
      </c>
      <c r="G852" s="1423">
        <f t="shared" ref="G852" ca="1" si="1222">IF(AND(F852&lt;1,G826=0),0,
IF(G826=0,F852-1,
IF(F852&lt;1,G827,
(((F852-1)*(F828-(F828/(F852))))+((G826/G$10)*G827))/(G828))))</f>
        <v>0</v>
      </c>
      <c r="H852" s="1423">
        <f t="shared" ref="H852" ca="1" si="1223">IF(AND(G852&lt;1,H826=0),0,
IF(H826=0,G852-1,
IF(G852&lt;1,H827,
(((G852-1)*(G828-(G828/(G852))))+((H826/H$10)*H827))/(H828))))</f>
        <v>0</v>
      </c>
      <c r="I852" s="1423">
        <f t="shared" ref="I852" ca="1" si="1224">IF(AND(H852&lt;1,I826=0),0,
IF(I826=0,H852-1,
IF(H852&lt;1,I827,
(((H852-1)*(H828-(H828/(H852))))+((I826/I$10)*I827))/(I828))))</f>
        <v>0</v>
      </c>
      <c r="J852" s="1423">
        <f t="shared" ref="J852" ca="1" si="1225">IF(AND(I852&lt;1,J826=0),0,
IF(J826=0,I852-1,
IF(I852&lt;1,J827,
(((I852-1)*(I828-(I828/(I852))))+((J826/J$10)*J827))/(J828))))</f>
        <v>0</v>
      </c>
      <c r="K852" s="1423">
        <f t="shared" ref="K852" ca="1" si="1226">IF(AND(J852&lt;1,K826=0),0,
IF(K826=0,J852-1,
IF(J852&lt;1,K827,
(((J852-1)*(J828-(J828/(J852))))+((K826/K$10)*K827))/(K828))))</f>
        <v>0</v>
      </c>
      <c r="L852" s="1423">
        <f t="shared" ref="L852" ca="1" si="1227">IF(AND(K852&lt;1,L826=0),0,
IF(L826=0,K852-1,
IF(K852&lt;1,L827,
(((K852-1)*(K828-(K828/(K852))))+((L826/L$10)*L827))/(L828))))</f>
        <v>0</v>
      </c>
      <c r="M852" s="1423">
        <f t="shared" ref="M852" ca="1" si="1228">IF(AND(L852&lt;1,M826=0),0,
IF(M826=0,L852-1,
IF(L852&lt;1,M827,
(((L852-1)*(L828-(L828/(L852))))+((M826/M$10)*M827))/(M828))))</f>
        <v>0</v>
      </c>
      <c r="N852" s="1423">
        <f t="shared" ref="N852" ca="1" si="1229">IF(AND(M852&lt;1,N826=0),0,
IF(N826=0,M852-1,
IF(M852&lt;1,N827,
(((M852-1)*(M828-(M828/(M852))))+((N826/N$10)*N827))/(N828))))</f>
        <v>0</v>
      </c>
      <c r="O852" s="1423">
        <f t="shared" ref="O852" ca="1" si="1230">IF(AND(N852&lt;1,O826=0),0,
IF(O826=0,N852-1,
IF(N852&lt;1,O827,
(((N852-1)*(N828-(N828/(N852))))+((O826/O$10)*O827))/(O828))))</f>
        <v>0</v>
      </c>
      <c r="P852" s="1423">
        <f t="shared" ref="P852" ca="1" si="1231">IF(AND(O852&lt;1,P826=0),0,
IF(P826=0,O852-1,
IF(O852&lt;1,P827,
(((O852-1)*(O828-(O828/(O852))))+((P826/P$10)*P827))/(P828))))</f>
        <v>0</v>
      </c>
      <c r="Q852" s="1423">
        <f t="shared" ref="Q852" ca="1" si="1232">IF(AND(P852&lt;1,Q826=0),0,
IF(Q826=0,P852-1,
IF(P852&lt;1,Q827,
(((P852-1)*(P828-(P828/(P852))))+((Q826/Q$10)*Q827))/(Q828))))</f>
        <v>0</v>
      </c>
      <c r="R852" s="1423">
        <f t="shared" ref="R852" ca="1" si="1233">IF(AND(Q852&lt;1,R826=0),0,
IF(R826=0,Q852-1,
IF(Q852&lt;1,R827,
(((Q852-1)*(Q828-(Q828/(Q852))))+((R826/R$10)*R827))/(R828))))</f>
        <v>0</v>
      </c>
      <c r="S852" s="1423">
        <f t="shared" ref="S852" ca="1" si="1234">IF(AND(R852&lt;1,S826=0),0,
IF(S826=0,R852-1,
IF(R852&lt;1,S827,
(((R852-1)*(R828-(R828/(R852))))+((S826/S$10)*S827))/(S828))))</f>
        <v>0</v>
      </c>
      <c r="T852" s="1423">
        <f t="shared" ref="T852" ca="1" si="1235">IF(AND(S852&lt;1,T826=0),0,
IF(T826=0,S852-1,
IF(S852&lt;1,T827,
(((S852-1)*(S828-(S828/(S852))))+((T826/T$10)*T827))/(T828))))</f>
        <v>0</v>
      </c>
      <c r="U852" s="1423">
        <f t="shared" ref="U852" ca="1" si="1236">IF(AND(T852&lt;1,U826=0),0,
IF(U826=0,T852-1,
IF(T852&lt;1,U827,
(((T852-1)*(T828-(T828/(T852))))+((U826/U$10)*U827))/(U828))))</f>
        <v>0</v>
      </c>
      <c r="V852" s="1423">
        <f t="shared" ref="V852" ca="1" si="1237">IF(AND(U852&lt;1,V826=0),0,
IF(V826=0,U852-1,
IF(U852&lt;1,V827,
(((U852-1)*(U828-(U828/(U852))))+((V826/V$10)*V827))/(V828))))</f>
        <v>0</v>
      </c>
      <c r="W852" s="1423">
        <f t="shared" ref="W852" ca="1" si="1238">IF(AND(V852&lt;1,W826=0),0,
IF(W826=0,V852-1,
IF(V852&lt;1,W827,
(((V852-1)*(V828-(V828/(V852))))+((W826/W$10)*W827))/(W828))))</f>
        <v>0</v>
      </c>
      <c r="X852" s="152"/>
      <c r="Y852" s="152"/>
      <c r="Z852" s="152"/>
      <c r="AA852" s="152"/>
      <c r="AB852" s="152"/>
    </row>
    <row r="853" spans="1:28" hidden="1" outlineLevel="1">
      <c r="A853" s="152"/>
      <c r="B853" s="190" t="s">
        <v>122</v>
      </c>
      <c r="C853" s="1423">
        <f ca="1">C825</f>
        <v>0</v>
      </c>
      <c r="D853" s="1423">
        <f t="shared" ref="D853" ca="1" si="1239">IF(C853="n/a","n/a",MAX(0,C853-1))</f>
        <v>0</v>
      </c>
      <c r="E853" s="1423">
        <f t="shared" ref="E853:E854" ca="1" si="1240">IF(D853="n/a","n/a",MAX(0,D853-1))</f>
        <v>0</v>
      </c>
      <c r="F853" s="1423">
        <f t="shared" ref="F853:F855" ca="1" si="1241">IF(E853="n/a","n/a",MAX(0,E853-1))</f>
        <v>0</v>
      </c>
      <c r="G853" s="1423">
        <f t="shared" ref="G853:G856" ca="1" si="1242">IF(F853="n/a","n/a",MAX(0,F853-1))</f>
        <v>0</v>
      </c>
      <c r="H853" s="1423">
        <f t="shared" ref="H853:H857" ca="1" si="1243">IF(G853="n/a","n/a",MAX(0,G853-1))</f>
        <v>0</v>
      </c>
      <c r="I853" s="1423">
        <f t="shared" ref="I853:I858" ca="1" si="1244">IF(H853="n/a","n/a",MAX(0,H853-1))</f>
        <v>0</v>
      </c>
      <c r="J853" s="1423">
        <f t="shared" ref="J853:J859" ca="1" si="1245">IF(I853="n/a","n/a",MAX(0,I853-1))</f>
        <v>0</v>
      </c>
      <c r="K853" s="1423">
        <f t="shared" ref="K853:K860" ca="1" si="1246">IF(J853="n/a","n/a",MAX(0,J853-1))</f>
        <v>0</v>
      </c>
      <c r="L853" s="1423">
        <f t="shared" ref="L853:L861" ca="1" si="1247">IF(K853="n/a","n/a",MAX(0,K853-1))</f>
        <v>0</v>
      </c>
      <c r="M853" s="1423">
        <f t="shared" ref="M853:M862" ca="1" si="1248">IF(L853="n/a","n/a",MAX(0,L853-1))</f>
        <v>0</v>
      </c>
      <c r="N853" s="1423">
        <f t="shared" ref="N853:N863" ca="1" si="1249">IF(M853="n/a","n/a",MAX(0,M853-1))</f>
        <v>0</v>
      </c>
      <c r="O853" s="1423">
        <f t="shared" ref="O853:O864" ca="1" si="1250">IF(N853="n/a","n/a",MAX(0,N853-1))</f>
        <v>0</v>
      </c>
      <c r="P853" s="1423">
        <f t="shared" ref="P853:P865" ca="1" si="1251">IF(O853="n/a","n/a",MAX(0,O853-1))</f>
        <v>0</v>
      </c>
      <c r="Q853" s="1423">
        <f t="shared" ref="Q853:Q866" ca="1" si="1252">IF(P853="n/a","n/a",MAX(0,P853-1))</f>
        <v>0</v>
      </c>
      <c r="R853" s="1423">
        <f t="shared" ref="R853:R867" ca="1" si="1253">IF(Q853="n/a","n/a",MAX(0,Q853-1))</f>
        <v>0</v>
      </c>
      <c r="S853" s="1423">
        <f t="shared" ref="S853:S868" ca="1" si="1254">IF(R853="n/a","n/a",MAX(0,R853-1))</f>
        <v>0</v>
      </c>
      <c r="T853" s="1423">
        <f t="shared" ref="T853:T869" ca="1" si="1255">IF(S853="n/a","n/a",MAX(0,S853-1))</f>
        <v>0</v>
      </c>
      <c r="U853" s="1423">
        <f t="shared" ref="U853:U870" ca="1" si="1256">IF(T853="n/a","n/a",MAX(0,T853-1))</f>
        <v>0</v>
      </c>
      <c r="V853" s="1423">
        <f t="shared" ref="V853:V871" ca="1" si="1257">IF(U853="n/a","n/a",MAX(0,U853-1))</f>
        <v>0</v>
      </c>
      <c r="W853" s="1423">
        <f t="shared" ref="W853:W871" ca="1" si="1258">IF(V853="n/a","n/a",MAX(0,V853-1))</f>
        <v>0</v>
      </c>
      <c r="X853" s="152"/>
      <c r="Y853" s="152"/>
      <c r="Z853" s="152"/>
      <c r="AA853" s="152"/>
      <c r="AB853" s="152"/>
    </row>
    <row r="854" spans="1:28" hidden="1" outlineLevel="1">
      <c r="A854" s="152"/>
      <c r="B854" s="190" t="str">
        <f t="shared" ref="B854:B873" ca="1" si="1259">"RL Capex "&amp;OFFSET($C$6,0,A830)</f>
        <v>RL Capex 2016-17</v>
      </c>
      <c r="C854" s="1424"/>
      <c r="D854" s="1428">
        <f>D825</f>
        <v>0</v>
      </c>
      <c r="E854" s="1423">
        <f t="shared" si="1240"/>
        <v>0</v>
      </c>
      <c r="F854" s="1423">
        <f t="shared" si="1241"/>
        <v>0</v>
      </c>
      <c r="G854" s="1423">
        <f t="shared" si="1242"/>
        <v>0</v>
      </c>
      <c r="H854" s="1423">
        <f t="shared" si="1243"/>
        <v>0</v>
      </c>
      <c r="I854" s="1423">
        <f t="shared" si="1244"/>
        <v>0</v>
      </c>
      <c r="J854" s="1423">
        <f t="shared" si="1245"/>
        <v>0</v>
      </c>
      <c r="K854" s="1423">
        <f t="shared" si="1246"/>
        <v>0</v>
      </c>
      <c r="L854" s="1423">
        <f t="shared" si="1247"/>
        <v>0</v>
      </c>
      <c r="M854" s="1423">
        <f t="shared" si="1248"/>
        <v>0</v>
      </c>
      <c r="N854" s="1423">
        <f t="shared" si="1249"/>
        <v>0</v>
      </c>
      <c r="O854" s="1423">
        <f t="shared" si="1250"/>
        <v>0</v>
      </c>
      <c r="P854" s="1423">
        <f t="shared" si="1251"/>
        <v>0</v>
      </c>
      <c r="Q854" s="1423">
        <f t="shared" si="1252"/>
        <v>0</v>
      </c>
      <c r="R854" s="1423">
        <f t="shared" si="1253"/>
        <v>0</v>
      </c>
      <c r="S854" s="1423">
        <f t="shared" si="1254"/>
        <v>0</v>
      </c>
      <c r="T854" s="1423">
        <f t="shared" si="1255"/>
        <v>0</v>
      </c>
      <c r="U854" s="1423">
        <f t="shared" si="1256"/>
        <v>0</v>
      </c>
      <c r="V854" s="1423">
        <f t="shared" si="1257"/>
        <v>0</v>
      </c>
      <c r="W854" s="1423">
        <f t="shared" si="1258"/>
        <v>0</v>
      </c>
      <c r="X854" s="152"/>
      <c r="Y854" s="152"/>
      <c r="Z854" s="152"/>
      <c r="AA854" s="152"/>
      <c r="AB854" s="152"/>
    </row>
    <row r="855" spans="1:28" hidden="1" outlineLevel="1">
      <c r="A855" s="152"/>
      <c r="B855" s="190" t="str">
        <f t="shared" ca="1" si="1259"/>
        <v>RL Capex 2017-18</v>
      </c>
      <c r="C855" s="1429"/>
      <c r="D855" s="1424"/>
      <c r="E855" s="1428">
        <f>E825</f>
        <v>0</v>
      </c>
      <c r="F855" s="1423">
        <f t="shared" si="1241"/>
        <v>0</v>
      </c>
      <c r="G855" s="1423">
        <f t="shared" si="1242"/>
        <v>0</v>
      </c>
      <c r="H855" s="1423">
        <f t="shared" si="1243"/>
        <v>0</v>
      </c>
      <c r="I855" s="1423">
        <f t="shared" si="1244"/>
        <v>0</v>
      </c>
      <c r="J855" s="1423">
        <f t="shared" si="1245"/>
        <v>0</v>
      </c>
      <c r="K855" s="1423">
        <f t="shared" si="1246"/>
        <v>0</v>
      </c>
      <c r="L855" s="1423">
        <f t="shared" si="1247"/>
        <v>0</v>
      </c>
      <c r="M855" s="1423">
        <f t="shared" si="1248"/>
        <v>0</v>
      </c>
      <c r="N855" s="1423">
        <f t="shared" si="1249"/>
        <v>0</v>
      </c>
      <c r="O855" s="1423">
        <f t="shared" si="1250"/>
        <v>0</v>
      </c>
      <c r="P855" s="1423">
        <f t="shared" si="1251"/>
        <v>0</v>
      </c>
      <c r="Q855" s="1423">
        <f t="shared" si="1252"/>
        <v>0</v>
      </c>
      <c r="R855" s="1423">
        <f t="shared" si="1253"/>
        <v>0</v>
      </c>
      <c r="S855" s="1423">
        <f t="shared" si="1254"/>
        <v>0</v>
      </c>
      <c r="T855" s="1423">
        <f t="shared" si="1255"/>
        <v>0</v>
      </c>
      <c r="U855" s="1423">
        <f t="shared" si="1256"/>
        <v>0</v>
      </c>
      <c r="V855" s="1423">
        <f t="shared" si="1257"/>
        <v>0</v>
      </c>
      <c r="W855" s="1423">
        <f t="shared" si="1258"/>
        <v>0</v>
      </c>
      <c r="X855" s="152"/>
      <c r="Y855" s="152"/>
      <c r="Z855" s="152"/>
      <c r="AA855" s="152"/>
      <c r="AB855" s="152"/>
    </row>
    <row r="856" spans="1:28" hidden="1" outlineLevel="1">
      <c r="A856" s="152"/>
      <c r="B856" s="190" t="str">
        <f t="shared" ca="1" si="1259"/>
        <v>RL Capex 2018-19</v>
      </c>
      <c r="C856" s="1429"/>
      <c r="D856" s="1429"/>
      <c r="E856" s="1424"/>
      <c r="F856" s="1428">
        <f>F825</f>
        <v>0</v>
      </c>
      <c r="G856" s="1423">
        <f t="shared" si="1242"/>
        <v>0</v>
      </c>
      <c r="H856" s="1423">
        <f t="shared" si="1243"/>
        <v>0</v>
      </c>
      <c r="I856" s="1423">
        <f t="shared" si="1244"/>
        <v>0</v>
      </c>
      <c r="J856" s="1423">
        <f t="shared" si="1245"/>
        <v>0</v>
      </c>
      <c r="K856" s="1423">
        <f t="shared" si="1246"/>
        <v>0</v>
      </c>
      <c r="L856" s="1423">
        <f t="shared" si="1247"/>
        <v>0</v>
      </c>
      <c r="M856" s="1423">
        <f t="shared" si="1248"/>
        <v>0</v>
      </c>
      <c r="N856" s="1423">
        <f t="shared" si="1249"/>
        <v>0</v>
      </c>
      <c r="O856" s="1423">
        <f t="shared" si="1250"/>
        <v>0</v>
      </c>
      <c r="P856" s="1423">
        <f t="shared" si="1251"/>
        <v>0</v>
      </c>
      <c r="Q856" s="1423">
        <f t="shared" si="1252"/>
        <v>0</v>
      </c>
      <c r="R856" s="1423">
        <f t="shared" si="1253"/>
        <v>0</v>
      </c>
      <c r="S856" s="1423">
        <f t="shared" si="1254"/>
        <v>0</v>
      </c>
      <c r="T856" s="1423">
        <f t="shared" si="1255"/>
        <v>0</v>
      </c>
      <c r="U856" s="1423">
        <f t="shared" si="1256"/>
        <v>0</v>
      </c>
      <c r="V856" s="1423">
        <f t="shared" si="1257"/>
        <v>0</v>
      </c>
      <c r="W856" s="1423">
        <f t="shared" si="1258"/>
        <v>0</v>
      </c>
      <c r="X856" s="152"/>
      <c r="Y856" s="152"/>
      <c r="Z856" s="152"/>
      <c r="AA856" s="152"/>
      <c r="AB856" s="152"/>
    </row>
    <row r="857" spans="1:28" hidden="1" outlineLevel="1">
      <c r="A857" s="152"/>
      <c r="B857" s="190" t="str">
        <f t="shared" ca="1" si="1259"/>
        <v>RL Capex 2019-20</v>
      </c>
      <c r="C857" s="1429"/>
      <c r="D857" s="1429"/>
      <c r="E857" s="1429"/>
      <c r="F857" s="1424"/>
      <c r="G857" s="1428">
        <f>G825</f>
        <v>0</v>
      </c>
      <c r="H857" s="1423">
        <f t="shared" si="1243"/>
        <v>0</v>
      </c>
      <c r="I857" s="1423">
        <f t="shared" si="1244"/>
        <v>0</v>
      </c>
      <c r="J857" s="1423">
        <f t="shared" si="1245"/>
        <v>0</v>
      </c>
      <c r="K857" s="1423">
        <f t="shared" si="1246"/>
        <v>0</v>
      </c>
      <c r="L857" s="1423">
        <f t="shared" si="1247"/>
        <v>0</v>
      </c>
      <c r="M857" s="1423">
        <f t="shared" si="1248"/>
        <v>0</v>
      </c>
      <c r="N857" s="1423">
        <f t="shared" si="1249"/>
        <v>0</v>
      </c>
      <c r="O857" s="1423">
        <f t="shared" si="1250"/>
        <v>0</v>
      </c>
      <c r="P857" s="1423">
        <f t="shared" si="1251"/>
        <v>0</v>
      </c>
      <c r="Q857" s="1423">
        <f t="shared" si="1252"/>
        <v>0</v>
      </c>
      <c r="R857" s="1423">
        <f t="shared" si="1253"/>
        <v>0</v>
      </c>
      <c r="S857" s="1423">
        <f t="shared" si="1254"/>
        <v>0</v>
      </c>
      <c r="T857" s="1423">
        <f t="shared" si="1255"/>
        <v>0</v>
      </c>
      <c r="U857" s="1423">
        <f t="shared" si="1256"/>
        <v>0</v>
      </c>
      <c r="V857" s="1423">
        <f t="shared" si="1257"/>
        <v>0</v>
      </c>
      <c r="W857" s="1423">
        <f t="shared" si="1258"/>
        <v>0</v>
      </c>
      <c r="X857" s="152"/>
      <c r="Y857" s="152"/>
      <c r="Z857" s="152"/>
      <c r="AA857" s="152"/>
      <c r="AB857" s="152"/>
    </row>
    <row r="858" spans="1:28" hidden="1" outlineLevel="1">
      <c r="A858" s="152"/>
      <c r="B858" s="190" t="str">
        <f t="shared" ca="1" si="1259"/>
        <v>RL Capex 2020-21</v>
      </c>
      <c r="C858" s="1429"/>
      <c r="D858" s="1429"/>
      <c r="E858" s="1429"/>
      <c r="F858" s="1429"/>
      <c r="G858" s="1424"/>
      <c r="H858" s="1428">
        <f>H825</f>
        <v>0</v>
      </c>
      <c r="I858" s="1423">
        <f t="shared" si="1244"/>
        <v>0</v>
      </c>
      <c r="J858" s="1423">
        <f t="shared" si="1245"/>
        <v>0</v>
      </c>
      <c r="K858" s="1423">
        <f t="shared" si="1246"/>
        <v>0</v>
      </c>
      <c r="L858" s="1423">
        <f t="shared" si="1247"/>
        <v>0</v>
      </c>
      <c r="M858" s="1423">
        <f t="shared" si="1248"/>
        <v>0</v>
      </c>
      <c r="N858" s="1423">
        <f t="shared" si="1249"/>
        <v>0</v>
      </c>
      <c r="O858" s="1423">
        <f t="shared" si="1250"/>
        <v>0</v>
      </c>
      <c r="P858" s="1423">
        <f t="shared" si="1251"/>
        <v>0</v>
      </c>
      <c r="Q858" s="1423">
        <f t="shared" si="1252"/>
        <v>0</v>
      </c>
      <c r="R858" s="1423">
        <f t="shared" si="1253"/>
        <v>0</v>
      </c>
      <c r="S858" s="1423">
        <f t="shared" si="1254"/>
        <v>0</v>
      </c>
      <c r="T858" s="1423">
        <f t="shared" si="1255"/>
        <v>0</v>
      </c>
      <c r="U858" s="1423">
        <f t="shared" si="1256"/>
        <v>0</v>
      </c>
      <c r="V858" s="1423">
        <f t="shared" si="1257"/>
        <v>0</v>
      </c>
      <c r="W858" s="1423">
        <f t="shared" si="1258"/>
        <v>0</v>
      </c>
      <c r="X858" s="152"/>
      <c r="Y858" s="152"/>
      <c r="Z858" s="152"/>
      <c r="AA858" s="152"/>
      <c r="AB858" s="152"/>
    </row>
    <row r="859" spans="1:28" hidden="1" outlineLevel="1">
      <c r="A859" s="152"/>
      <c r="B859" s="190" t="str">
        <f t="shared" ca="1" si="1259"/>
        <v>RL Capex 2021-22</v>
      </c>
      <c r="C859" s="1429"/>
      <c r="D859" s="1429"/>
      <c r="E859" s="1429"/>
      <c r="F859" s="1429"/>
      <c r="G859" s="1429"/>
      <c r="H859" s="1424"/>
      <c r="I859" s="1428">
        <f>I825</f>
        <v>0</v>
      </c>
      <c r="J859" s="1423">
        <f t="shared" si="1245"/>
        <v>0</v>
      </c>
      <c r="K859" s="1423">
        <f t="shared" si="1246"/>
        <v>0</v>
      </c>
      <c r="L859" s="1423">
        <f t="shared" si="1247"/>
        <v>0</v>
      </c>
      <c r="M859" s="1423">
        <f t="shared" si="1248"/>
        <v>0</v>
      </c>
      <c r="N859" s="1423">
        <f t="shared" si="1249"/>
        <v>0</v>
      </c>
      <c r="O859" s="1423">
        <f t="shared" si="1250"/>
        <v>0</v>
      </c>
      <c r="P859" s="1423">
        <f t="shared" si="1251"/>
        <v>0</v>
      </c>
      <c r="Q859" s="1423">
        <f t="shared" si="1252"/>
        <v>0</v>
      </c>
      <c r="R859" s="1423">
        <f t="shared" si="1253"/>
        <v>0</v>
      </c>
      <c r="S859" s="1423">
        <f t="shared" si="1254"/>
        <v>0</v>
      </c>
      <c r="T859" s="1423">
        <f t="shared" si="1255"/>
        <v>0</v>
      </c>
      <c r="U859" s="1423">
        <f t="shared" si="1256"/>
        <v>0</v>
      </c>
      <c r="V859" s="1423">
        <f t="shared" si="1257"/>
        <v>0</v>
      </c>
      <c r="W859" s="1423">
        <f t="shared" si="1258"/>
        <v>0</v>
      </c>
      <c r="X859" s="152"/>
      <c r="Y859" s="152"/>
      <c r="Z859" s="152"/>
      <c r="AA859" s="152"/>
      <c r="AB859" s="152"/>
    </row>
    <row r="860" spans="1:28" hidden="1" outlineLevel="1">
      <c r="A860" s="152"/>
      <c r="B860" s="190" t="str">
        <f t="shared" ca="1" si="1259"/>
        <v>RL Capex 2022-23</v>
      </c>
      <c r="C860" s="1429"/>
      <c r="D860" s="1429"/>
      <c r="E860" s="1429"/>
      <c r="F860" s="1429"/>
      <c r="G860" s="1429"/>
      <c r="H860" s="1429"/>
      <c r="I860" s="1424"/>
      <c r="J860" s="1428">
        <f>J825</f>
        <v>0</v>
      </c>
      <c r="K860" s="1423">
        <f t="shared" si="1246"/>
        <v>0</v>
      </c>
      <c r="L860" s="1423">
        <f t="shared" si="1247"/>
        <v>0</v>
      </c>
      <c r="M860" s="1423">
        <f t="shared" si="1248"/>
        <v>0</v>
      </c>
      <c r="N860" s="1423">
        <f t="shared" si="1249"/>
        <v>0</v>
      </c>
      <c r="O860" s="1423">
        <f t="shared" si="1250"/>
        <v>0</v>
      </c>
      <c r="P860" s="1423">
        <f t="shared" si="1251"/>
        <v>0</v>
      </c>
      <c r="Q860" s="1423">
        <f t="shared" si="1252"/>
        <v>0</v>
      </c>
      <c r="R860" s="1423">
        <f t="shared" si="1253"/>
        <v>0</v>
      </c>
      <c r="S860" s="1423">
        <f t="shared" si="1254"/>
        <v>0</v>
      </c>
      <c r="T860" s="1423">
        <f t="shared" si="1255"/>
        <v>0</v>
      </c>
      <c r="U860" s="1423">
        <f t="shared" si="1256"/>
        <v>0</v>
      </c>
      <c r="V860" s="1423">
        <f t="shared" si="1257"/>
        <v>0</v>
      </c>
      <c r="W860" s="1423">
        <f t="shared" si="1258"/>
        <v>0</v>
      </c>
      <c r="X860" s="152"/>
      <c r="Y860" s="152"/>
      <c r="Z860" s="152"/>
      <c r="AA860" s="152"/>
      <c r="AB860" s="152"/>
    </row>
    <row r="861" spans="1:28" hidden="1" outlineLevel="1">
      <c r="A861" s="152"/>
      <c r="B861" s="190" t="str">
        <f t="shared" ca="1" si="1259"/>
        <v>RL Capex 2023-24</v>
      </c>
      <c r="C861" s="1429"/>
      <c r="D861" s="1429"/>
      <c r="E861" s="1429"/>
      <c r="F861" s="1429"/>
      <c r="G861" s="1429"/>
      <c r="H861" s="1429"/>
      <c r="I861" s="1429"/>
      <c r="J861" s="1424"/>
      <c r="K861" s="1428">
        <f>K825</f>
        <v>0</v>
      </c>
      <c r="L861" s="1423">
        <f t="shared" si="1247"/>
        <v>0</v>
      </c>
      <c r="M861" s="1423">
        <f t="shared" si="1248"/>
        <v>0</v>
      </c>
      <c r="N861" s="1423">
        <f t="shared" si="1249"/>
        <v>0</v>
      </c>
      <c r="O861" s="1423">
        <f t="shared" si="1250"/>
        <v>0</v>
      </c>
      <c r="P861" s="1423">
        <f t="shared" si="1251"/>
        <v>0</v>
      </c>
      <c r="Q861" s="1423">
        <f t="shared" si="1252"/>
        <v>0</v>
      </c>
      <c r="R861" s="1423">
        <f t="shared" si="1253"/>
        <v>0</v>
      </c>
      <c r="S861" s="1423">
        <f t="shared" si="1254"/>
        <v>0</v>
      </c>
      <c r="T861" s="1423">
        <f t="shared" si="1255"/>
        <v>0</v>
      </c>
      <c r="U861" s="1423">
        <f t="shared" si="1256"/>
        <v>0</v>
      </c>
      <c r="V861" s="1423">
        <f t="shared" si="1257"/>
        <v>0</v>
      </c>
      <c r="W861" s="1423">
        <f t="shared" si="1258"/>
        <v>0</v>
      </c>
      <c r="X861" s="152"/>
      <c r="Y861" s="152"/>
      <c r="Z861" s="152"/>
      <c r="AA861" s="152"/>
      <c r="AB861" s="152"/>
    </row>
    <row r="862" spans="1:28" hidden="1" outlineLevel="1">
      <c r="A862" s="152"/>
      <c r="B862" s="190" t="str">
        <f t="shared" ca="1" si="1259"/>
        <v>RL Capex 2024-25</v>
      </c>
      <c r="C862" s="1429"/>
      <c r="D862" s="1429"/>
      <c r="E862" s="1429"/>
      <c r="F862" s="1429"/>
      <c r="G862" s="1429"/>
      <c r="H862" s="1429"/>
      <c r="I862" s="1429"/>
      <c r="J862" s="1429"/>
      <c r="K862" s="1424"/>
      <c r="L862" s="1428">
        <f>L825</f>
        <v>0</v>
      </c>
      <c r="M862" s="1423">
        <f t="shared" si="1248"/>
        <v>0</v>
      </c>
      <c r="N862" s="1423">
        <f t="shared" si="1249"/>
        <v>0</v>
      </c>
      <c r="O862" s="1423">
        <f t="shared" si="1250"/>
        <v>0</v>
      </c>
      <c r="P862" s="1423">
        <f t="shared" si="1251"/>
        <v>0</v>
      </c>
      <c r="Q862" s="1423">
        <f t="shared" si="1252"/>
        <v>0</v>
      </c>
      <c r="R862" s="1423">
        <f t="shared" si="1253"/>
        <v>0</v>
      </c>
      <c r="S862" s="1423">
        <f t="shared" si="1254"/>
        <v>0</v>
      </c>
      <c r="T862" s="1423">
        <f t="shared" si="1255"/>
        <v>0</v>
      </c>
      <c r="U862" s="1423">
        <f t="shared" si="1256"/>
        <v>0</v>
      </c>
      <c r="V862" s="1423">
        <f t="shared" si="1257"/>
        <v>0</v>
      </c>
      <c r="W862" s="1423">
        <f t="shared" si="1258"/>
        <v>0</v>
      </c>
      <c r="X862" s="152"/>
      <c r="Y862" s="152"/>
      <c r="Z862" s="152"/>
      <c r="AA862" s="152"/>
      <c r="AB862" s="152"/>
    </row>
    <row r="863" spans="1:28" hidden="1" outlineLevel="1">
      <c r="A863" s="152"/>
      <c r="B863" s="190" t="str">
        <f t="shared" ca="1" si="1259"/>
        <v>RL Capex 2025-26</v>
      </c>
      <c r="C863" s="1429"/>
      <c r="D863" s="1429"/>
      <c r="E863" s="1429"/>
      <c r="F863" s="1429"/>
      <c r="G863" s="1429"/>
      <c r="H863" s="1429"/>
      <c r="I863" s="1429"/>
      <c r="J863" s="1429"/>
      <c r="K863" s="1429"/>
      <c r="L863" s="1424"/>
      <c r="M863" s="1428">
        <f>M825</f>
        <v>0</v>
      </c>
      <c r="N863" s="1423">
        <f t="shared" si="1249"/>
        <v>0</v>
      </c>
      <c r="O863" s="1423">
        <f t="shared" si="1250"/>
        <v>0</v>
      </c>
      <c r="P863" s="1423">
        <f t="shared" si="1251"/>
        <v>0</v>
      </c>
      <c r="Q863" s="1423">
        <f t="shared" si="1252"/>
        <v>0</v>
      </c>
      <c r="R863" s="1423">
        <f t="shared" si="1253"/>
        <v>0</v>
      </c>
      <c r="S863" s="1423">
        <f t="shared" si="1254"/>
        <v>0</v>
      </c>
      <c r="T863" s="1423">
        <f t="shared" si="1255"/>
        <v>0</v>
      </c>
      <c r="U863" s="1423">
        <f t="shared" si="1256"/>
        <v>0</v>
      </c>
      <c r="V863" s="1423">
        <f t="shared" si="1257"/>
        <v>0</v>
      </c>
      <c r="W863" s="1423">
        <f t="shared" si="1258"/>
        <v>0</v>
      </c>
      <c r="X863" s="152"/>
      <c r="Y863" s="152"/>
      <c r="Z863" s="152"/>
      <c r="AA863" s="152"/>
      <c r="AB863" s="152"/>
    </row>
    <row r="864" spans="1:28" hidden="1" outlineLevel="1">
      <c r="A864" s="152"/>
      <c r="B864" s="190" t="str">
        <f t="shared" ca="1" si="1259"/>
        <v>RL Capex 2026-27</v>
      </c>
      <c r="C864" s="1429"/>
      <c r="D864" s="1429"/>
      <c r="E864" s="1429"/>
      <c r="F864" s="1429"/>
      <c r="G864" s="1429"/>
      <c r="H864" s="1429"/>
      <c r="I864" s="1429"/>
      <c r="J864" s="1429"/>
      <c r="K864" s="1429"/>
      <c r="L864" s="1429"/>
      <c r="M864" s="1424"/>
      <c r="N864" s="1428">
        <f>N825</f>
        <v>0</v>
      </c>
      <c r="O864" s="1423">
        <f t="shared" si="1250"/>
        <v>0</v>
      </c>
      <c r="P864" s="1423">
        <f t="shared" si="1251"/>
        <v>0</v>
      </c>
      <c r="Q864" s="1423">
        <f t="shared" si="1252"/>
        <v>0</v>
      </c>
      <c r="R864" s="1423">
        <f t="shared" si="1253"/>
        <v>0</v>
      </c>
      <c r="S864" s="1423">
        <f t="shared" si="1254"/>
        <v>0</v>
      </c>
      <c r="T864" s="1423">
        <f t="shared" si="1255"/>
        <v>0</v>
      </c>
      <c r="U864" s="1423">
        <f t="shared" si="1256"/>
        <v>0</v>
      </c>
      <c r="V864" s="1423">
        <f t="shared" si="1257"/>
        <v>0</v>
      </c>
      <c r="W864" s="1423">
        <f t="shared" si="1258"/>
        <v>0</v>
      </c>
      <c r="X864" s="152"/>
      <c r="Y864" s="152"/>
      <c r="Z864" s="152"/>
      <c r="AA864" s="152"/>
      <c r="AB864" s="152"/>
    </row>
    <row r="865" spans="1:28" hidden="1" outlineLevel="1">
      <c r="A865" s="152"/>
      <c r="B865" s="190" t="str">
        <f t="shared" ca="1" si="1259"/>
        <v>RL Capex 2027-28</v>
      </c>
      <c r="C865" s="1429"/>
      <c r="D865" s="1429"/>
      <c r="E865" s="1429"/>
      <c r="F865" s="1429"/>
      <c r="G865" s="1429"/>
      <c r="H865" s="1429"/>
      <c r="I865" s="1429"/>
      <c r="J865" s="1429"/>
      <c r="K865" s="1429"/>
      <c r="L865" s="1429"/>
      <c r="M865" s="1429"/>
      <c r="N865" s="1424"/>
      <c r="O865" s="1428">
        <f>O825</f>
        <v>0</v>
      </c>
      <c r="P865" s="1423">
        <f t="shared" si="1251"/>
        <v>0</v>
      </c>
      <c r="Q865" s="1423">
        <f t="shared" si="1252"/>
        <v>0</v>
      </c>
      <c r="R865" s="1423">
        <f t="shared" si="1253"/>
        <v>0</v>
      </c>
      <c r="S865" s="1423">
        <f t="shared" si="1254"/>
        <v>0</v>
      </c>
      <c r="T865" s="1423">
        <f t="shared" si="1255"/>
        <v>0</v>
      </c>
      <c r="U865" s="1423">
        <f t="shared" si="1256"/>
        <v>0</v>
      </c>
      <c r="V865" s="1423">
        <f t="shared" si="1257"/>
        <v>0</v>
      </c>
      <c r="W865" s="1423">
        <f t="shared" si="1258"/>
        <v>0</v>
      </c>
      <c r="X865" s="152"/>
      <c r="Y865" s="152"/>
      <c r="Z865" s="152"/>
      <c r="AA865" s="152"/>
      <c r="AB865" s="152"/>
    </row>
    <row r="866" spans="1:28" hidden="1" outlineLevel="1">
      <c r="A866" s="152"/>
      <c r="B866" s="190" t="str">
        <f t="shared" ca="1" si="1259"/>
        <v>RL Capex 2028-29</v>
      </c>
      <c r="C866" s="1429"/>
      <c r="D866" s="1429"/>
      <c r="E866" s="1429"/>
      <c r="F866" s="1429"/>
      <c r="G866" s="1429"/>
      <c r="H866" s="1429"/>
      <c r="I866" s="1429"/>
      <c r="J866" s="1429"/>
      <c r="K866" s="1429"/>
      <c r="L866" s="1429"/>
      <c r="M866" s="1429"/>
      <c r="N866" s="1429"/>
      <c r="O866" s="1424"/>
      <c r="P866" s="1428">
        <f>P825</f>
        <v>0</v>
      </c>
      <c r="Q866" s="1423">
        <f t="shared" si="1252"/>
        <v>0</v>
      </c>
      <c r="R866" s="1423">
        <f t="shared" si="1253"/>
        <v>0</v>
      </c>
      <c r="S866" s="1423">
        <f t="shared" si="1254"/>
        <v>0</v>
      </c>
      <c r="T866" s="1423">
        <f t="shared" si="1255"/>
        <v>0</v>
      </c>
      <c r="U866" s="1423">
        <f t="shared" si="1256"/>
        <v>0</v>
      </c>
      <c r="V866" s="1423">
        <f t="shared" si="1257"/>
        <v>0</v>
      </c>
      <c r="W866" s="1423">
        <f t="shared" si="1258"/>
        <v>0</v>
      </c>
      <c r="X866" s="152"/>
      <c r="Y866" s="152"/>
      <c r="Z866" s="152"/>
      <c r="AA866" s="152"/>
      <c r="AB866" s="152"/>
    </row>
    <row r="867" spans="1:28" hidden="1" outlineLevel="1">
      <c r="A867" s="152"/>
      <c r="B867" s="190" t="str">
        <f t="shared" ca="1" si="1259"/>
        <v>RL Capex 2029-30</v>
      </c>
      <c r="C867" s="1429"/>
      <c r="D867" s="1429"/>
      <c r="E867" s="1429"/>
      <c r="F867" s="1429"/>
      <c r="G867" s="1429"/>
      <c r="H867" s="1429"/>
      <c r="I867" s="1429"/>
      <c r="J867" s="1429"/>
      <c r="K867" s="1429"/>
      <c r="L867" s="1429"/>
      <c r="M867" s="1429"/>
      <c r="N867" s="1429"/>
      <c r="O867" s="1429"/>
      <c r="P867" s="1424"/>
      <c r="Q867" s="1428">
        <f>Q825</f>
        <v>0</v>
      </c>
      <c r="R867" s="1423">
        <f t="shared" si="1253"/>
        <v>0</v>
      </c>
      <c r="S867" s="1423">
        <f t="shared" si="1254"/>
        <v>0</v>
      </c>
      <c r="T867" s="1423">
        <f t="shared" si="1255"/>
        <v>0</v>
      </c>
      <c r="U867" s="1423">
        <f t="shared" si="1256"/>
        <v>0</v>
      </c>
      <c r="V867" s="1423">
        <f t="shared" si="1257"/>
        <v>0</v>
      </c>
      <c r="W867" s="1423">
        <f t="shared" si="1258"/>
        <v>0</v>
      </c>
      <c r="X867" s="152"/>
      <c r="Y867" s="152"/>
      <c r="Z867" s="152"/>
      <c r="AA867" s="152"/>
      <c r="AB867" s="152"/>
    </row>
    <row r="868" spans="1:28" hidden="1" outlineLevel="1">
      <c r="A868" s="152"/>
      <c r="B868" s="190" t="str">
        <f t="shared" ca="1" si="1259"/>
        <v>RL Capex 2030-31</v>
      </c>
      <c r="C868" s="1429"/>
      <c r="D868" s="1429"/>
      <c r="E868" s="1429"/>
      <c r="F868" s="1429"/>
      <c r="G868" s="1429"/>
      <c r="H868" s="1429"/>
      <c r="I868" s="1429"/>
      <c r="J868" s="1429"/>
      <c r="K868" s="1429"/>
      <c r="L868" s="1429"/>
      <c r="M868" s="1429"/>
      <c r="N868" s="1429"/>
      <c r="O868" s="1429"/>
      <c r="P868" s="1429"/>
      <c r="Q868" s="1424"/>
      <c r="R868" s="1428">
        <f>R825</f>
        <v>0</v>
      </c>
      <c r="S868" s="1423">
        <f t="shared" si="1254"/>
        <v>0</v>
      </c>
      <c r="T868" s="1423">
        <f t="shared" si="1255"/>
        <v>0</v>
      </c>
      <c r="U868" s="1423">
        <f t="shared" si="1256"/>
        <v>0</v>
      </c>
      <c r="V868" s="1423">
        <f t="shared" si="1257"/>
        <v>0</v>
      </c>
      <c r="W868" s="1423">
        <f t="shared" si="1258"/>
        <v>0</v>
      </c>
      <c r="X868" s="152"/>
      <c r="Y868" s="152"/>
      <c r="Z868" s="152"/>
      <c r="AA868" s="152"/>
      <c r="AB868" s="152"/>
    </row>
    <row r="869" spans="1:28" hidden="1" outlineLevel="1">
      <c r="A869" s="152"/>
      <c r="B869" s="190" t="str">
        <f t="shared" ca="1" si="1259"/>
        <v>RL Capex 2031-32</v>
      </c>
      <c r="C869" s="1429"/>
      <c r="D869" s="1429"/>
      <c r="E869" s="1429"/>
      <c r="F869" s="1429"/>
      <c r="G869" s="1429"/>
      <c r="H869" s="1429"/>
      <c r="I869" s="1429"/>
      <c r="J869" s="1429"/>
      <c r="K869" s="1429"/>
      <c r="L869" s="1429"/>
      <c r="M869" s="1429"/>
      <c r="N869" s="1429"/>
      <c r="O869" s="1429"/>
      <c r="P869" s="1429"/>
      <c r="Q869" s="1429"/>
      <c r="R869" s="1424"/>
      <c r="S869" s="1428">
        <f>S825</f>
        <v>0</v>
      </c>
      <c r="T869" s="1423">
        <f t="shared" si="1255"/>
        <v>0</v>
      </c>
      <c r="U869" s="1423">
        <f t="shared" si="1256"/>
        <v>0</v>
      </c>
      <c r="V869" s="1423">
        <f t="shared" si="1257"/>
        <v>0</v>
      </c>
      <c r="W869" s="1423">
        <f t="shared" si="1258"/>
        <v>0</v>
      </c>
      <c r="X869" s="152"/>
      <c r="Y869" s="152"/>
      <c r="Z869" s="152"/>
      <c r="AA869" s="152"/>
      <c r="AB869" s="152"/>
    </row>
    <row r="870" spans="1:28" hidden="1" outlineLevel="1">
      <c r="A870" s="152"/>
      <c r="B870" s="190" t="str">
        <f t="shared" ca="1" si="1259"/>
        <v>RL Capex 2032-33</v>
      </c>
      <c r="C870" s="1429"/>
      <c r="D870" s="1429"/>
      <c r="E870" s="1429"/>
      <c r="F870" s="1429"/>
      <c r="G870" s="1429"/>
      <c r="H870" s="1429"/>
      <c r="I870" s="1429"/>
      <c r="J870" s="1429"/>
      <c r="K870" s="1429"/>
      <c r="L870" s="1429"/>
      <c r="M870" s="1429"/>
      <c r="N870" s="1429"/>
      <c r="O870" s="1429"/>
      <c r="P870" s="1429"/>
      <c r="Q870" s="1429"/>
      <c r="R870" s="1429"/>
      <c r="S870" s="1424"/>
      <c r="T870" s="1428">
        <f>T825</f>
        <v>0</v>
      </c>
      <c r="U870" s="1423">
        <f t="shared" si="1256"/>
        <v>0</v>
      </c>
      <c r="V870" s="1423">
        <f t="shared" si="1257"/>
        <v>0</v>
      </c>
      <c r="W870" s="1423">
        <f t="shared" si="1258"/>
        <v>0</v>
      </c>
      <c r="X870" s="152"/>
      <c r="Y870" s="152"/>
      <c r="Z870" s="152"/>
      <c r="AA870" s="152"/>
      <c r="AB870" s="152"/>
    </row>
    <row r="871" spans="1:28" hidden="1" outlineLevel="1">
      <c r="A871" s="152"/>
      <c r="B871" s="190" t="str">
        <f t="shared" ca="1" si="1259"/>
        <v>RL Capex 2033-34</v>
      </c>
      <c r="C871" s="1429"/>
      <c r="D871" s="1429"/>
      <c r="E871" s="1429"/>
      <c r="F871" s="1429"/>
      <c r="G871" s="1429"/>
      <c r="H871" s="1429"/>
      <c r="I871" s="1429"/>
      <c r="J871" s="1429"/>
      <c r="K871" s="1429"/>
      <c r="L871" s="1429"/>
      <c r="M871" s="1429"/>
      <c r="N871" s="1429"/>
      <c r="O871" s="1429"/>
      <c r="P871" s="1429"/>
      <c r="Q871" s="1429"/>
      <c r="R871" s="1429"/>
      <c r="S871" s="1429"/>
      <c r="T871" s="1424"/>
      <c r="U871" s="1428">
        <f>U825</f>
        <v>0</v>
      </c>
      <c r="V871" s="1423">
        <f t="shared" si="1257"/>
        <v>0</v>
      </c>
      <c r="W871" s="1423">
        <f t="shared" si="1258"/>
        <v>0</v>
      </c>
      <c r="X871" s="152"/>
      <c r="Y871" s="152"/>
      <c r="Z871" s="152"/>
      <c r="AA871" s="152"/>
      <c r="AB871" s="152"/>
    </row>
    <row r="872" spans="1:28" hidden="1" outlineLevel="1">
      <c r="A872" s="152"/>
      <c r="B872" s="190" t="str">
        <f t="shared" ca="1" si="1259"/>
        <v>RL Capex 2034-35</v>
      </c>
      <c r="C872" s="1429"/>
      <c r="D872" s="1429"/>
      <c r="E872" s="1429"/>
      <c r="F872" s="1429"/>
      <c r="G872" s="1429"/>
      <c r="H872" s="1429"/>
      <c r="I872" s="1429"/>
      <c r="J872" s="1429"/>
      <c r="K872" s="1429"/>
      <c r="L872" s="1429"/>
      <c r="M872" s="1429"/>
      <c r="N872" s="1429"/>
      <c r="O872" s="1429"/>
      <c r="P872" s="1429"/>
      <c r="Q872" s="1429"/>
      <c r="R872" s="1429"/>
      <c r="S872" s="1429"/>
      <c r="T872" s="1429"/>
      <c r="U872" s="1424"/>
      <c r="V872" s="1428">
        <f>V825</f>
        <v>0</v>
      </c>
      <c r="W872" s="1423">
        <f>IF(V872="n/a","n/a",MAX(0,V872-1))</f>
        <v>0</v>
      </c>
      <c r="X872" s="152"/>
      <c r="Y872" s="152"/>
      <c r="Z872" s="152"/>
      <c r="AA872" s="152"/>
      <c r="AB872" s="152"/>
    </row>
    <row r="873" spans="1:28" hidden="1" outlineLevel="1">
      <c r="A873" s="152"/>
      <c r="B873" s="190" t="str">
        <f t="shared" ca="1" si="1259"/>
        <v>RL Capex 2035-36</v>
      </c>
      <c r="C873" s="1429"/>
      <c r="D873" s="1429"/>
      <c r="E873" s="1429"/>
      <c r="F873" s="1429"/>
      <c r="G873" s="1429"/>
      <c r="H873" s="1429"/>
      <c r="I873" s="1429"/>
      <c r="J873" s="1429"/>
      <c r="K873" s="1429"/>
      <c r="L873" s="1429"/>
      <c r="M873" s="1429"/>
      <c r="N873" s="1429"/>
      <c r="O873" s="1429"/>
      <c r="P873" s="1429"/>
      <c r="Q873" s="1429"/>
      <c r="R873" s="1429"/>
      <c r="S873" s="1429"/>
      <c r="T873" s="1429"/>
      <c r="U873" s="1429"/>
      <c r="V873" s="1424"/>
      <c r="W873" s="1423">
        <f>W825</f>
        <v>0</v>
      </c>
      <c r="X873" s="152"/>
      <c r="Y873" s="152"/>
      <c r="Z873" s="152"/>
      <c r="AA873" s="152"/>
      <c r="AB873" s="152"/>
    </row>
    <row r="874" spans="1:28" hidden="1" outlineLevel="1">
      <c r="A874" s="152"/>
      <c r="B874" s="200"/>
      <c r="C874" s="1423"/>
      <c r="D874" s="1423"/>
      <c r="E874" s="1423"/>
      <c r="F874" s="1423"/>
      <c r="G874" s="1423"/>
      <c r="H874" s="1423"/>
      <c r="I874" s="1423"/>
      <c r="J874" s="1423"/>
      <c r="K874" s="1423"/>
      <c r="L874" s="1423"/>
      <c r="M874" s="1423"/>
      <c r="N874" s="1423"/>
      <c r="O874" s="1423"/>
      <c r="P874" s="1423"/>
      <c r="Q874" s="1423"/>
      <c r="R874" s="1423"/>
      <c r="S874" s="1423"/>
      <c r="T874" s="1423"/>
      <c r="U874" s="1423"/>
      <c r="V874" s="1423"/>
      <c r="W874" s="1423"/>
      <c r="X874" s="152"/>
      <c r="Y874" s="152"/>
      <c r="Z874" s="152"/>
      <c r="AA874" s="152"/>
      <c r="AB874" s="152"/>
    </row>
    <row r="875" spans="1:28" collapsed="1">
      <c r="A875" s="194"/>
      <c r="B875" s="204" t="s">
        <v>123</v>
      </c>
      <c r="C875" s="1430">
        <f ca="1">(IF(OR($C825&lt;&gt;"n/a",C825&lt;&gt;"n/a"),IF(SUM(C828:C850)=0,0,IF((SUMPRODUCT(C828:C850,C852:C874)/SUM(C828:C850))&lt;0,1,(SUMPRODUCT(C828:C850,C852:C874)/SUM(C828:C850)))),"n/a"))</f>
        <v>0</v>
      </c>
      <c r="D875" s="1430">
        <f ca="1">(IF(OR($C825&lt;&gt;"n/a",D825&lt;&gt;"n/a"),IF(SUM(D828:D850)=0,0,IF((SUMPRODUCT(D828:D850,D852:D874)/SUM(D828:D850))&lt;0,1,(SUMPRODUCT(D828:D850,D852:D874)/SUM(D828:D850)))),"n/a"))</f>
        <v>0</v>
      </c>
      <c r="E875" s="1430">
        <f t="shared" ref="E875:W875" ca="1" si="1260">(IF(OR($C825&lt;&gt;"n/a",E825&lt;&gt;"n/a"),IF(SUM(E828:E850)=0,0,IF((SUMPRODUCT(E828:E850,E852:E874)/SUM(E828:E850))&lt;0,1,(SUMPRODUCT(E828:E850,E852:E874)/SUM(E828:E850)))),"n/a"))</f>
        <v>0</v>
      </c>
      <c r="F875" s="1430">
        <f t="shared" ca="1" si="1260"/>
        <v>0</v>
      </c>
      <c r="G875" s="1430">
        <f t="shared" ca="1" si="1260"/>
        <v>0</v>
      </c>
      <c r="H875" s="1430">
        <f t="shared" ca="1" si="1260"/>
        <v>0</v>
      </c>
      <c r="I875" s="1430">
        <f t="shared" ca="1" si="1260"/>
        <v>0</v>
      </c>
      <c r="J875" s="1430">
        <f t="shared" ca="1" si="1260"/>
        <v>0</v>
      </c>
      <c r="K875" s="1430">
        <f t="shared" ca="1" si="1260"/>
        <v>0</v>
      </c>
      <c r="L875" s="1430">
        <f t="shared" ca="1" si="1260"/>
        <v>0</v>
      </c>
      <c r="M875" s="1430">
        <f t="shared" ca="1" si="1260"/>
        <v>0</v>
      </c>
      <c r="N875" s="1430">
        <f t="shared" ca="1" si="1260"/>
        <v>0</v>
      </c>
      <c r="O875" s="1430">
        <f t="shared" ca="1" si="1260"/>
        <v>0</v>
      </c>
      <c r="P875" s="1430">
        <f t="shared" ca="1" si="1260"/>
        <v>0</v>
      </c>
      <c r="Q875" s="1430">
        <f t="shared" ca="1" si="1260"/>
        <v>0</v>
      </c>
      <c r="R875" s="1430">
        <f t="shared" ca="1" si="1260"/>
        <v>0</v>
      </c>
      <c r="S875" s="1430">
        <f t="shared" ca="1" si="1260"/>
        <v>0</v>
      </c>
      <c r="T875" s="1430">
        <f t="shared" ca="1" si="1260"/>
        <v>0</v>
      </c>
      <c r="U875" s="1430">
        <f t="shared" ca="1" si="1260"/>
        <v>0</v>
      </c>
      <c r="V875" s="1430">
        <f t="shared" ca="1" si="1260"/>
        <v>0</v>
      </c>
      <c r="W875" s="1430">
        <f t="shared" ca="1" si="1260"/>
        <v>0</v>
      </c>
      <c r="X875" s="152"/>
      <c r="Y875" s="152"/>
      <c r="Z875" s="152"/>
      <c r="AA875" s="152"/>
      <c r="AB875" s="152"/>
    </row>
    <row r="876" spans="1:28">
      <c r="A876" s="152"/>
      <c r="B876" s="152"/>
      <c r="C876" s="1423"/>
      <c r="D876" s="1423"/>
      <c r="E876" s="1423"/>
      <c r="F876" s="1423"/>
      <c r="G876" s="1423"/>
      <c r="H876" s="1423"/>
      <c r="I876" s="1423"/>
      <c r="J876" s="1423"/>
      <c r="K876" s="1423"/>
      <c r="L876" s="1423"/>
      <c r="M876" s="1423"/>
      <c r="N876" s="1423"/>
      <c r="O876" s="1423"/>
      <c r="P876" s="1423"/>
      <c r="Q876" s="1423"/>
      <c r="R876" s="1423"/>
      <c r="S876" s="1423"/>
      <c r="T876" s="1423"/>
      <c r="U876" s="1423"/>
      <c r="V876" s="1423"/>
      <c r="W876" s="1423"/>
      <c r="X876" s="152"/>
      <c r="Y876" s="152"/>
      <c r="Z876" s="152"/>
      <c r="AA876" s="152"/>
      <c r="AB876" s="152"/>
    </row>
    <row r="877" spans="1:28">
      <c r="A877" s="269" t="s">
        <v>17</v>
      </c>
      <c r="B877" s="270">
        <f>VLOOKUP($A877,'RFM input'!$E$7:$F$56,2,FALSE)</f>
        <v>0</v>
      </c>
      <c r="C877" s="1431"/>
      <c r="D877" s="1431"/>
      <c r="E877" s="1432"/>
      <c r="F877" s="1432"/>
      <c r="G877" s="1432"/>
      <c r="H877" s="1432"/>
      <c r="I877" s="1432"/>
      <c r="J877" s="1432"/>
      <c r="K877" s="1432"/>
      <c r="L877" s="1432"/>
      <c r="M877" s="1432"/>
      <c r="N877" s="1432"/>
      <c r="O877" s="1432"/>
      <c r="P877" s="1432"/>
      <c r="Q877" s="1432"/>
      <c r="R877" s="1432"/>
      <c r="S877" s="1432"/>
      <c r="T877" s="1432"/>
      <c r="U877" s="1432"/>
      <c r="V877" s="1432"/>
      <c r="W877" s="1432"/>
      <c r="X877" s="152"/>
      <c r="Y877" s="152"/>
      <c r="Z877" s="152"/>
      <c r="AA877" s="152"/>
      <c r="AB877" s="152"/>
    </row>
    <row r="878" spans="1:28">
      <c r="A878" s="215">
        <f>VALUE(REPLACE(A877,1,12,""))</f>
        <v>17</v>
      </c>
      <c r="B878" s="193" t="s">
        <v>126</v>
      </c>
      <c r="C878" s="1416">
        <f ca="1">IF($C$8='Capital Base roll forward'!$H$4,OFFSET('Capital Base roll forward'!$H$717,'RAB remaining lives'!A878,0),"enter input")</f>
        <v>0</v>
      </c>
      <c r="D878" s="1417">
        <f>IF(LEFT(D$6,4)&lt;LEFT('RFM input'!$G$60,4),"enter input",IF(LEFT(D$6,4)&gt;LEFT('RFM input'!$Q$60,4),0,INDEX('RFM input'!$G$61:$Q$110,$A878,MATCH(D$6,'RFM input'!$G$60:$Q$60,0))
-INDEX('RFM input'!$G$115:$Q$164,$A878,MATCH(D$6,'RFM input'!$G$60:$Q$60,0))
-INDEX('RFM input'!$G$169:$Q$218,$A878,MATCH(D$6,'RFM input'!$G$60:$Q$60,0))))</f>
        <v>0</v>
      </c>
      <c r="E878" s="1417">
        <f>IF(LEFT(E$6,4)&lt;LEFT('RFM input'!$G$60,4),"enter input",IF(LEFT(E$6,4)&gt;LEFT('RFM input'!$Q$60,4),0,INDEX('RFM input'!$G$61:$Q$110,$A878,MATCH(E$6,'RFM input'!$G$60:$Q$60,0))
-INDEX('RFM input'!$G$115:$Q$164,$A878,MATCH(E$6,'RFM input'!$G$60:$Q$60,0))
-INDEX('RFM input'!$G$169:$Q$218,$A878,MATCH(E$6,'RFM input'!$G$60:$Q$60,0))))</f>
        <v>0</v>
      </c>
      <c r="F878" s="1417">
        <f>IF(LEFT(F$6,4)&lt;LEFT('RFM input'!$G$60,4),"enter input",IF(LEFT(F$6,4)&gt;LEFT('RFM input'!$Q$60,4),0,INDEX('RFM input'!$G$61:$Q$110,$A878,MATCH(F$6,'RFM input'!$G$60:$Q$60,0))
-INDEX('RFM input'!$G$115:$Q$164,$A878,MATCH(F$6,'RFM input'!$G$60:$Q$60,0))
-INDEX('RFM input'!$G$169:$Q$218,$A878,MATCH(F$6,'RFM input'!$G$60:$Q$60,0))))</f>
        <v>0</v>
      </c>
      <c r="G878" s="1417">
        <f>IF(LEFT(G$6,4)&lt;LEFT('RFM input'!$G$60,4),"enter input",IF(LEFT(G$6,4)&gt;LEFT('RFM input'!$Q$60,4),0,INDEX('RFM input'!$G$61:$Q$110,$A878,MATCH(G$6,'RFM input'!$G$60:$Q$60,0))
-INDEX('RFM input'!$G$115:$Q$164,$A878,MATCH(G$6,'RFM input'!$G$60:$Q$60,0))
-INDEX('RFM input'!$G$169:$Q$218,$A878,MATCH(G$6,'RFM input'!$G$60:$Q$60,0))))</f>
        <v>0</v>
      </c>
      <c r="H878" s="1417">
        <f>IF(LEFT(H$6,4)&lt;LEFT('RFM input'!$G$60,4),"enter input",IF(LEFT(H$6,4)&gt;LEFT('RFM input'!$Q$60,4),0,INDEX('RFM input'!$G$61:$Q$110,$A878,MATCH(H$6,'RFM input'!$G$60:$Q$60,0))
-INDEX('RFM input'!$G$115:$Q$164,$A878,MATCH(H$6,'RFM input'!$G$60:$Q$60,0))
-INDEX('RFM input'!$G$169:$Q$218,$A878,MATCH(H$6,'RFM input'!$G$60:$Q$60,0))))</f>
        <v>0</v>
      </c>
      <c r="I878" s="1417">
        <f>IF(LEFT(I$6,4)&lt;LEFT('RFM input'!$G$60,4),"enter input",IF(LEFT(I$6,4)&gt;LEFT('RFM input'!$Q$60,4),0,INDEX('RFM input'!$G$61:$Q$110,$A878,MATCH(I$6,'RFM input'!$G$60:$Q$60,0))
-INDEX('RFM input'!$G$115:$Q$164,$A878,MATCH(I$6,'RFM input'!$G$60:$Q$60,0))
-INDEX('RFM input'!$G$169:$Q$218,$A878,MATCH(I$6,'RFM input'!$G$60:$Q$60,0))))</f>
        <v>0</v>
      </c>
      <c r="J878" s="1417">
        <f>IF(LEFT(J$6,4)&lt;LEFT('RFM input'!$G$60,4),"enter input",IF(LEFT(J$6,4)&gt;LEFT('RFM input'!$Q$60,4),0,INDEX('RFM input'!$G$61:$Q$110,$A878,MATCH(J$6,'RFM input'!$G$60:$Q$60,0))
-INDEX('RFM input'!$G$115:$Q$164,$A878,MATCH(J$6,'RFM input'!$G$60:$Q$60,0))
-INDEX('RFM input'!$G$169:$Q$218,$A878,MATCH(J$6,'RFM input'!$G$60:$Q$60,0))))</f>
        <v>0</v>
      </c>
      <c r="K878" s="1417">
        <f>IF(LEFT(K$6,4)&lt;LEFT('RFM input'!$G$60,4),"enter input",IF(LEFT(K$6,4)&gt;LEFT('RFM input'!$Q$60,4),0,INDEX('RFM input'!$G$61:$Q$110,$A878,MATCH(K$6,'RFM input'!$G$60:$Q$60,0))
-INDEX('RFM input'!$G$115:$Q$164,$A878,MATCH(K$6,'RFM input'!$G$60:$Q$60,0))
-INDEX('RFM input'!$G$169:$Q$218,$A878,MATCH(K$6,'RFM input'!$G$60:$Q$60,0))))</f>
        <v>0</v>
      </c>
      <c r="L878" s="1417">
        <f>IF(LEFT(L$6,4)&lt;LEFT('RFM input'!$G$60,4),"enter input",IF(LEFT(L$6,4)&gt;LEFT('RFM input'!$Q$60,4),0,INDEX('RFM input'!$G$61:$Q$110,$A878,MATCH(L$6,'RFM input'!$G$60:$Q$60,0))
-INDEX('RFM input'!$G$115:$Q$164,$A878,MATCH(L$6,'RFM input'!$G$60:$Q$60,0))
-INDEX('RFM input'!$G$169:$Q$218,$A878,MATCH(L$6,'RFM input'!$G$60:$Q$60,0))))</f>
        <v>0</v>
      </c>
      <c r="M878" s="1417">
        <f>IF(LEFT(M$6,4)&lt;LEFT('RFM input'!$G$60,4),"enter input",IF(LEFT(M$6,4)&gt;LEFT('RFM input'!$Q$60,4),0,INDEX('RFM input'!$G$61:$Q$110,$A878,MATCH(M$6,'RFM input'!$G$60:$Q$60,0))
-INDEX('RFM input'!$G$115:$Q$164,$A878,MATCH(M$6,'RFM input'!$G$60:$Q$60,0))
-INDEX('RFM input'!$G$169:$Q$218,$A878,MATCH(M$6,'RFM input'!$G$60:$Q$60,0))))</f>
        <v>0</v>
      </c>
      <c r="N878" s="1417">
        <f>IF(LEFT(N$6,4)&lt;LEFT('RFM input'!$G$60,4),"enter input",IF(LEFT(N$6,4)&gt;LEFT('RFM input'!$Q$60,4),0,INDEX('RFM input'!$G$61:$Q$110,$A878,MATCH(N$6,'RFM input'!$G$60:$Q$60,0))
-INDEX('RFM input'!$G$115:$Q$164,$A878,MATCH(N$6,'RFM input'!$G$60:$Q$60,0))
-INDEX('RFM input'!$G$169:$Q$218,$A878,MATCH(N$6,'RFM input'!$G$60:$Q$60,0))))</f>
        <v>0</v>
      </c>
      <c r="O878" s="1417">
        <f>IF(LEFT(O$6,4)&lt;LEFT('RFM input'!$G$60,4),"enter input",IF(LEFT(O$6,4)&gt;LEFT('RFM input'!$Q$60,4),0,INDEX('RFM input'!$G$61:$Q$110,$A878,MATCH(O$6,'RFM input'!$G$60:$Q$60,0))
-INDEX('RFM input'!$G$115:$Q$164,$A878,MATCH(O$6,'RFM input'!$G$60:$Q$60,0))
-INDEX('RFM input'!$G$169:$Q$218,$A878,MATCH(O$6,'RFM input'!$G$60:$Q$60,0))))</f>
        <v>0</v>
      </c>
      <c r="P878" s="1417">
        <f>IF(LEFT(P$6,4)&lt;LEFT('RFM input'!$G$60,4),"enter input",IF(LEFT(P$6,4)&gt;LEFT('RFM input'!$Q$60,4),0,INDEX('RFM input'!$G$61:$Q$110,$A878,MATCH(P$6,'RFM input'!$G$60:$Q$60,0))
-INDEX('RFM input'!$G$115:$Q$164,$A878,MATCH(P$6,'RFM input'!$G$60:$Q$60,0))
-INDEX('RFM input'!$G$169:$Q$218,$A878,MATCH(P$6,'RFM input'!$G$60:$Q$60,0))))</f>
        <v>0</v>
      </c>
      <c r="Q878" s="1417">
        <f>IF(LEFT(Q$6,4)&lt;LEFT('RFM input'!$G$60,4),"enter input",IF(LEFT(Q$6,4)&gt;LEFT('RFM input'!$Q$60,4),0,INDEX('RFM input'!$G$61:$Q$110,$A878,MATCH(Q$6,'RFM input'!$G$60:$Q$60,0))
-INDEX('RFM input'!$G$115:$Q$164,$A878,MATCH(Q$6,'RFM input'!$G$60:$Q$60,0))
-INDEX('RFM input'!$G$169:$Q$218,$A878,MATCH(Q$6,'RFM input'!$G$60:$Q$60,0))))</f>
        <v>0</v>
      </c>
      <c r="R878" s="1417">
        <f>IF(LEFT(R$6,4)&lt;LEFT('RFM input'!$G$60,4),"enter input",IF(LEFT(R$6,4)&gt;LEFT('RFM input'!$Q$60,4),0,INDEX('RFM input'!$G$61:$Q$110,$A878,MATCH(R$6,'RFM input'!$G$60:$Q$60,0))
-INDEX('RFM input'!$G$115:$Q$164,$A878,MATCH(R$6,'RFM input'!$G$60:$Q$60,0))
-INDEX('RFM input'!$G$169:$Q$218,$A878,MATCH(R$6,'RFM input'!$G$60:$Q$60,0))))</f>
        <v>0</v>
      </c>
      <c r="S878" s="1417">
        <f>IF(LEFT(S$6,4)&lt;LEFT('RFM input'!$G$60,4),"enter input",IF(LEFT(S$6,4)&gt;LEFT('RFM input'!$Q$60,4),0,INDEX('RFM input'!$G$61:$Q$110,$A878,MATCH(S$6,'RFM input'!$G$60:$Q$60,0))
-INDEX('RFM input'!$G$115:$Q$164,$A878,MATCH(S$6,'RFM input'!$G$60:$Q$60,0))
-INDEX('RFM input'!$G$169:$Q$218,$A878,MATCH(S$6,'RFM input'!$G$60:$Q$60,0))))</f>
        <v>0</v>
      </c>
      <c r="T878" s="1417">
        <f>IF(LEFT(T$6,4)&lt;LEFT('RFM input'!$G$60,4),"enter input",IF(LEFT(T$6,4)&gt;LEFT('RFM input'!$Q$60,4),0,INDEX('RFM input'!$G$61:$Q$110,$A878,MATCH(T$6,'RFM input'!$G$60:$Q$60,0))
-INDEX('RFM input'!$G$115:$Q$164,$A878,MATCH(T$6,'RFM input'!$G$60:$Q$60,0))
-INDEX('RFM input'!$G$169:$Q$218,$A878,MATCH(T$6,'RFM input'!$G$60:$Q$60,0))))</f>
        <v>0</v>
      </c>
      <c r="U878" s="1417">
        <f>IF(LEFT(U$6,4)&lt;LEFT('RFM input'!$G$60,4),"enter input",IF(LEFT(U$6,4)&gt;LEFT('RFM input'!$Q$60,4),0,INDEX('RFM input'!$G$61:$Q$110,$A878,MATCH(U$6,'RFM input'!$G$60:$Q$60,0))
-INDEX('RFM input'!$G$115:$Q$164,$A878,MATCH(U$6,'RFM input'!$G$60:$Q$60,0))
-INDEX('RFM input'!$G$169:$Q$218,$A878,MATCH(U$6,'RFM input'!$G$60:$Q$60,0))))</f>
        <v>0</v>
      </c>
      <c r="V878" s="1417">
        <f>IF(LEFT(V$6,4)&lt;LEFT('RFM input'!$G$60,4),"enter input",IF(LEFT(V$6,4)&gt;LEFT('RFM input'!$Q$60,4),0,INDEX('RFM input'!$G$61:$Q$110,$A878,MATCH(V$6,'RFM input'!$G$60:$Q$60,0))
-INDEX('RFM input'!$G$115:$Q$164,$A878,MATCH(V$6,'RFM input'!$G$60:$Q$60,0))
-INDEX('RFM input'!$G$169:$Q$218,$A878,MATCH(V$6,'RFM input'!$G$60:$Q$60,0))))</f>
        <v>0</v>
      </c>
      <c r="W878" s="1417">
        <f>IF(LEFT(W$6,4)&lt;LEFT('RFM input'!$G$60,4),"enter input",IF(LEFT(W$6,4)&gt;LEFT('RFM input'!$Q$60,4),0,INDEX('RFM input'!$G$61:$Q$110,$A878,MATCH(W$6,'RFM input'!$G$60:$Q$60,0))
-INDEX('RFM input'!$G$115:$Q$164,$A878,MATCH(W$6,'RFM input'!$G$60:$Q$60,0))
-INDEX('RFM input'!$G$169:$Q$218,$A878,MATCH(W$6,'RFM input'!$G$60:$Q$60,0))))</f>
        <v>0</v>
      </c>
      <c r="X878" s="152"/>
      <c r="Y878" s="152"/>
      <c r="Z878" s="152"/>
      <c r="AA878" s="152"/>
      <c r="AB878" s="152"/>
    </row>
    <row r="879" spans="1:28">
      <c r="A879" s="152"/>
      <c r="B879" s="152" t="s">
        <v>204</v>
      </c>
      <c r="C879" s="1418">
        <f ca="1">IF($C$8='Capital Base roll forward'!$H$4,OFFSET('RFM input'!$J$6,'RAB remaining lives'!A878,0),"enter input")</f>
        <v>0</v>
      </c>
      <c r="D879" s="1417">
        <f>IF(LEFT(D$6,4)&lt;=LEFT('RFM input'!$G$60,4),"enter input",IF(LEFT(D$6,4)&gt;LEFT('RFM input'!$Q$60,4),0,IF(MATCH(D$6,'RFM input'!$H$60:$Q$60,0),INDEX('RFM input'!$K$7:$K$56,$A878,1))))</f>
        <v>0</v>
      </c>
      <c r="E879" s="1417">
        <f>IF(LEFT(E$6,4)&lt;=LEFT('RFM input'!$G$60,4),"enter input",IF(LEFT(E$6,4)&gt;LEFT('RFM input'!$Q$60,4),0,IF(MATCH(E$6,'RFM input'!$H$60:$Q$60,0),INDEX('RFM input'!$K$7:$K$56,$A878,1))))</f>
        <v>0</v>
      </c>
      <c r="F879" s="1417">
        <f>IF(LEFT(F$6,4)&lt;=LEFT('RFM input'!$G$60,4),"enter input",IF(LEFT(F$6,4)&gt;LEFT('RFM input'!$Q$60,4),0,IF(MATCH(F$6,'RFM input'!$H$60:$Q$60,0),INDEX('RFM input'!$K$7:$K$56,$A878,1))))</f>
        <v>0</v>
      </c>
      <c r="G879" s="1417">
        <f>IF(LEFT(G$6,4)&lt;=LEFT('RFM input'!$G$60,4),"enter input",IF(LEFT(G$6,4)&gt;LEFT('RFM input'!$Q$60,4),0,IF(MATCH(G$6,'RFM input'!$H$60:$Q$60,0),INDEX('RFM input'!$K$7:$K$56,$A878,1))))</f>
        <v>0</v>
      </c>
      <c r="H879" s="1417">
        <f>IF(LEFT(H$6,4)&lt;=LEFT('RFM input'!$G$60,4),"enter input",IF(LEFT(H$6,4)&gt;LEFT('RFM input'!$Q$60,4),0,IF(MATCH(H$6,'RFM input'!$H$60:$Q$60,0),INDEX('RFM input'!$K$7:$K$56,$A878,1))))</f>
        <v>0</v>
      </c>
      <c r="I879" s="1417">
        <f>IF(LEFT(I$6,4)&lt;=LEFT('RFM input'!$G$60,4),"enter input",IF(LEFT(I$6,4)&gt;LEFT('RFM input'!$Q$60,4),0,IF(MATCH(I$6,'RFM input'!$H$60:$Q$60,0),INDEX('RFM input'!$K$7:$K$56,$A878,1))))</f>
        <v>0</v>
      </c>
      <c r="J879" s="1417">
        <f>IF(LEFT(J$6,4)&lt;=LEFT('RFM input'!$G$60,4),"enter input",IF(LEFT(J$6,4)&gt;LEFT('RFM input'!$Q$60,4),0,IF(MATCH(J$6,'RFM input'!$H$60:$Q$60,0),INDEX('RFM input'!$K$7:$K$56,$A878,1))))</f>
        <v>0</v>
      </c>
      <c r="K879" s="1417">
        <f>IF(LEFT(K$6,4)&lt;=LEFT('RFM input'!$G$60,4),"enter input",IF(LEFT(K$6,4)&gt;LEFT('RFM input'!$Q$60,4),0,IF(MATCH(K$6,'RFM input'!$H$60:$Q$60,0),INDEX('RFM input'!$K$7:$K$56,$A878,1))))</f>
        <v>0</v>
      </c>
      <c r="L879" s="1417">
        <f>IF(LEFT(L$6,4)&lt;=LEFT('RFM input'!$G$60,4),"enter input",IF(LEFT(L$6,4)&gt;LEFT('RFM input'!$Q$60,4),0,IF(MATCH(L$6,'RFM input'!$H$60:$Q$60,0),INDEX('RFM input'!$K$7:$K$56,$A878,1))))</f>
        <v>0</v>
      </c>
      <c r="M879" s="1417">
        <f>IF(LEFT(M$6,4)&lt;=LEFT('RFM input'!$G$60,4),"enter input",IF(LEFT(M$6,4)&gt;LEFT('RFM input'!$Q$60,4),0,IF(MATCH(M$6,'RFM input'!$H$60:$Q$60,0),INDEX('RFM input'!$K$7:$K$56,$A878,1))))</f>
        <v>0</v>
      </c>
      <c r="N879" s="1417">
        <f>IF(LEFT(N$6,4)&lt;=LEFT('RFM input'!$G$60,4),"enter input",IF(LEFT(N$6,4)&gt;LEFT('RFM input'!$Q$60,4),0,IF(MATCH(N$6,'RFM input'!$H$60:$Q$60,0),INDEX('RFM input'!$K$7:$K$56,$A878,1))))</f>
        <v>0</v>
      </c>
      <c r="O879" s="1417">
        <f>IF(LEFT(O$6,4)&lt;=LEFT('RFM input'!$G$60,4),"enter input",IF(LEFT(O$6,4)&gt;LEFT('RFM input'!$Q$60,4),0,IF(MATCH(O$6,'RFM input'!$H$60:$Q$60,0),INDEX('RFM input'!$K$7:$K$56,$A878,1))))</f>
        <v>0</v>
      </c>
      <c r="P879" s="1417">
        <f>IF(LEFT(P$6,4)&lt;=LEFT('RFM input'!$G$60,4),"enter input",IF(LEFT(P$6,4)&gt;LEFT('RFM input'!$Q$60,4),0,IF(MATCH(P$6,'RFM input'!$H$60:$Q$60,0),INDEX('RFM input'!$K$7:$K$56,$A878,1))))</f>
        <v>0</v>
      </c>
      <c r="Q879" s="1417">
        <f>IF(LEFT(Q$6,4)&lt;=LEFT('RFM input'!$G$60,4),"enter input",IF(LEFT(Q$6,4)&gt;LEFT('RFM input'!$Q$60,4),0,IF(MATCH(Q$6,'RFM input'!$H$60:$Q$60,0),INDEX('RFM input'!$K$7:$K$56,$A878,1))))</f>
        <v>0</v>
      </c>
      <c r="R879" s="1417">
        <f>IF(LEFT(R$6,4)&lt;=LEFT('RFM input'!$G$60,4),"enter input",IF(LEFT(R$6,4)&gt;LEFT('RFM input'!$Q$60,4),0,IF(MATCH(R$6,'RFM input'!$H$60:$Q$60,0),INDEX('RFM input'!$K$7:$K$56,$A878,1))))</f>
        <v>0</v>
      </c>
      <c r="S879" s="1417">
        <f>IF(LEFT(S$6,4)&lt;=LEFT('RFM input'!$G$60,4),"enter input",IF(LEFT(S$6,4)&gt;LEFT('RFM input'!$Q$60,4),0,IF(MATCH(S$6,'RFM input'!$H$60:$Q$60,0),INDEX('RFM input'!$K$7:$K$56,$A878,1))))</f>
        <v>0</v>
      </c>
      <c r="T879" s="1417">
        <f>IF(LEFT(T$6,4)&lt;=LEFT('RFM input'!$G$60,4),"enter input",IF(LEFT(T$6,4)&gt;LEFT('RFM input'!$Q$60,4),0,IF(MATCH(T$6,'RFM input'!$H$60:$Q$60,0),INDEX('RFM input'!$K$7:$K$56,$A878,1))))</f>
        <v>0</v>
      </c>
      <c r="U879" s="1417">
        <f>IF(LEFT(U$6,4)&lt;=LEFT('RFM input'!$G$60,4),"enter input",IF(LEFT(U$6,4)&gt;LEFT('RFM input'!$Q$60,4),0,IF(MATCH(U$6,'RFM input'!$H$60:$Q$60,0),INDEX('RFM input'!$K$7:$K$56,$A878,1))))</f>
        <v>0</v>
      </c>
      <c r="V879" s="1417">
        <f>IF(LEFT(V$6,4)&lt;=LEFT('RFM input'!$G$60,4),"enter input",IF(LEFT(V$6,4)&gt;LEFT('RFM input'!$Q$60,4),0,IF(MATCH(V$6,'RFM input'!$H$60:$Q$60,0),INDEX('RFM input'!$K$7:$K$56,$A878,1))))</f>
        <v>0</v>
      </c>
      <c r="W879" s="1417">
        <f>IF(LEFT(W$6,4)&lt;=LEFT('RFM input'!$G$60,4),"enter input",IF(LEFT(W$6,4)&gt;LEFT('RFM input'!$Q$60,4),0,IF(MATCH(W$6,'RFM input'!$H$60:$Q$60,0),INDEX('RFM input'!$K$7:$K$56,$A878,1))))</f>
        <v>0</v>
      </c>
      <c r="X879" s="152"/>
      <c r="Y879" s="152"/>
      <c r="Z879" s="152"/>
      <c r="AA879" s="152"/>
      <c r="AB879" s="152"/>
    </row>
    <row r="880" spans="1:28">
      <c r="A880" s="152"/>
      <c r="B880" s="177" t="s">
        <v>191</v>
      </c>
      <c r="C880" s="1419"/>
      <c r="D880" s="1420">
        <f ca="1">IF(LEFT(D$6,4)&lt;=LEFT('RFM input'!$G$60,4),"enter input",IF(LEFT(D$6,4)&gt;LEFT('RFM input'!$Q$60,4),0,IF(D$6=(OFFSET('RFM input'!$G$60,0,'RFM input'!$V$7)),OFFSET('RFM input'!$G$411,$A878,0),0)))</f>
        <v>0</v>
      </c>
      <c r="E880" s="1417">
        <f ca="1">IF(LEFT(E$6,4)&lt;=LEFT('RFM input'!$G$60,4),"enter input",IF(LEFT(E$6,4)&gt;LEFT('RFM input'!$Q$60,4),0,IF(E$6=(OFFSET('RFM input'!$G$60,0,'RFM input'!$V$7)),OFFSET('RFM input'!$G$411,$A878,0),0)))</f>
        <v>0</v>
      </c>
      <c r="F880" s="1417">
        <f ca="1">IF(LEFT(F$6,4)&lt;=LEFT('RFM input'!$G$60,4),"enter input",IF(LEFT(F$6,4)&gt;LEFT('RFM input'!$Q$60,4),0,IF(F$6=(OFFSET('RFM input'!$G$60,0,'RFM input'!$V$7)),OFFSET('RFM input'!$G$411,$A878,0),0)))</f>
        <v>0</v>
      </c>
      <c r="G880" s="1417">
        <f ca="1">IF(LEFT(G$6,4)&lt;=LEFT('RFM input'!$G$60,4),"enter input",IF(LEFT(G$6,4)&gt;LEFT('RFM input'!$Q$60,4),0,IF(G$6=(OFFSET('RFM input'!$G$60,0,'RFM input'!$V$7)),OFFSET('RFM input'!$G$411,$A878,0),0)))</f>
        <v>0</v>
      </c>
      <c r="H880" s="1417">
        <f ca="1">IF(LEFT(H$6,4)&lt;=LEFT('RFM input'!$G$60,4),"enter input",IF(LEFT(H$6,4)&gt;LEFT('RFM input'!$Q$60,4),0,IF(H$6=(OFFSET('RFM input'!$G$60,0,'RFM input'!$V$7)),OFFSET('RFM input'!$G$411,$A878,0),0)))</f>
        <v>0</v>
      </c>
      <c r="I880" s="1417">
        <f ca="1">IF(LEFT(I$6,4)&lt;=LEFT('RFM input'!$G$60,4),"enter input",IF(LEFT(I$6,4)&gt;LEFT('RFM input'!$Q$60,4),0,IF(I$6=(OFFSET('RFM input'!$G$60,0,'RFM input'!$V$7)),OFFSET('RFM input'!$G$411,$A878,0),0)))</f>
        <v>0</v>
      </c>
      <c r="J880" s="1417">
        <f ca="1">IF(LEFT(J$6,4)&lt;=LEFT('RFM input'!$G$60,4),"enter input",IF(LEFT(J$6,4)&gt;LEFT('RFM input'!$Q$60,4),0,IF(J$6=(OFFSET('RFM input'!$G$60,0,'RFM input'!$V$7)),OFFSET('RFM input'!$G$411,$A878,0),0)))</f>
        <v>0</v>
      </c>
      <c r="K880" s="1417">
        <f ca="1">IF(LEFT(K$6,4)&lt;=LEFT('RFM input'!$G$60,4),"enter input",IF(LEFT(K$6,4)&gt;LEFT('RFM input'!$Q$60,4),0,IF(K$6=(OFFSET('RFM input'!$G$60,0,'RFM input'!$V$7)),OFFSET('RFM input'!$G$411,$A878,0),0)))</f>
        <v>0</v>
      </c>
      <c r="L880" s="1417">
        <f ca="1">IF(LEFT(L$6,4)&lt;=LEFT('RFM input'!$G$60,4),"enter input",IF(LEFT(L$6,4)&gt;LEFT('RFM input'!$Q$60,4),0,IF(L$6=(OFFSET('RFM input'!$G$60,0,'RFM input'!$V$7)),OFFSET('RFM input'!$G$411,$A878,0),0)))</f>
        <v>0</v>
      </c>
      <c r="M880" s="1417">
        <f ca="1">IF(LEFT(M$6,4)&lt;=LEFT('RFM input'!$G$60,4),"enter input",IF(LEFT(M$6,4)&gt;LEFT('RFM input'!$Q$60,4),0,IF(M$6=(OFFSET('RFM input'!$G$60,0,'RFM input'!$V$7)),OFFSET('RFM input'!$G$411,$A878,0),0)))</f>
        <v>0</v>
      </c>
      <c r="N880" s="1417">
        <f ca="1">IF(LEFT(N$6,4)&lt;=LEFT('RFM input'!$G$60,4),"enter input",IF(LEFT(N$6,4)&gt;LEFT('RFM input'!$Q$60,4),0,IF(N$6=(OFFSET('RFM input'!$G$60,0,'RFM input'!$V$7)),OFFSET('RFM input'!$G$411,$A878,0),0)))</f>
        <v>0</v>
      </c>
      <c r="O880" s="1417">
        <f ca="1">IF(LEFT(O$6,4)&lt;=LEFT('RFM input'!$G$60,4),"enter input",IF(LEFT(O$6,4)&gt;LEFT('RFM input'!$Q$60,4),0,IF(O$6=(OFFSET('RFM input'!$G$60,0,'RFM input'!$V$7)),OFFSET('RFM input'!$G$411,$A878,0),0)))</f>
        <v>0</v>
      </c>
      <c r="P880" s="1417">
        <f ca="1">IF(LEFT(P$6,4)&lt;=LEFT('RFM input'!$G$60,4),"enter input",IF(LEFT(P$6,4)&gt;LEFT('RFM input'!$Q$60,4),0,IF(P$6=(OFFSET('RFM input'!$G$60,0,'RFM input'!$V$7)),OFFSET('RFM input'!$G$411,$A878,0),0)))</f>
        <v>0</v>
      </c>
      <c r="Q880" s="1417">
        <f ca="1">IF(LEFT(Q$6,4)&lt;=LEFT('RFM input'!$G$60,4),"enter input",IF(LEFT(Q$6,4)&gt;LEFT('RFM input'!$Q$60,4),0,IF(Q$6=(OFFSET('RFM input'!$G$60,0,'RFM input'!$V$7)),OFFSET('RFM input'!$G$411,$A878,0),0)))</f>
        <v>0</v>
      </c>
      <c r="R880" s="1417">
        <f ca="1">IF(LEFT(R$6,4)&lt;=LEFT('RFM input'!$G$60,4),"enter input",IF(LEFT(R$6,4)&gt;LEFT('RFM input'!$Q$60,4),0,IF(R$6=(OFFSET('RFM input'!$G$60,0,'RFM input'!$V$7)),OFFSET('RFM input'!$G$411,$A878,0),0)))</f>
        <v>0</v>
      </c>
      <c r="S880" s="1417">
        <f ca="1">IF(LEFT(S$6,4)&lt;=LEFT('RFM input'!$G$60,4),"enter input",IF(LEFT(S$6,4)&gt;LEFT('RFM input'!$Q$60,4),0,IF(S$6=(OFFSET('RFM input'!$G$60,0,'RFM input'!$V$7)),OFFSET('RFM input'!$G$411,$A878,0),0)))</f>
        <v>0</v>
      </c>
      <c r="T880" s="1417">
        <f ca="1">IF(LEFT(T$6,4)&lt;=LEFT('RFM input'!$G$60,4),"enter input",IF(LEFT(T$6,4)&gt;LEFT('RFM input'!$Q$60,4),0,IF(T$6=(OFFSET('RFM input'!$G$60,0,'RFM input'!$V$7)),OFFSET('RFM input'!$G$411,$A878,0),0)))</f>
        <v>0</v>
      </c>
      <c r="U880" s="1417">
        <f ca="1">IF(LEFT(U$6,4)&lt;=LEFT('RFM input'!$G$60,4),"enter input",IF(LEFT(U$6,4)&gt;LEFT('RFM input'!$Q$60,4),0,IF(U$6=(OFFSET('RFM input'!$G$60,0,'RFM input'!$V$7)),OFFSET('RFM input'!$G$411,$A878,0),0)))</f>
        <v>0</v>
      </c>
      <c r="V880" s="1417">
        <f ca="1">IF(LEFT(V$6,4)&lt;=LEFT('RFM input'!$G$60,4),"enter input",IF(LEFT(V$6,4)&gt;LEFT('RFM input'!$Q$60,4),0,IF(V$6=(OFFSET('RFM input'!$G$60,0,'RFM input'!$V$7)),OFFSET('RFM input'!$G$411,$A878,0),0)))</f>
        <v>0</v>
      </c>
      <c r="W880" s="1417">
        <f ca="1">IF(LEFT(W$6,4)&lt;=LEFT('RFM input'!$G$60,4),"enter input",IF(LEFT(W$6,4)&gt;LEFT('RFM input'!$Q$60,4),0,IF(W$6=(OFFSET('RFM input'!$G$60,0,'RFM input'!$V$7)),OFFSET('RFM input'!$G$411,$A878,0),0)))</f>
        <v>0</v>
      </c>
      <c r="X880" s="152"/>
      <c r="Y880" s="152"/>
      <c r="Z880" s="152"/>
      <c r="AA880" s="152"/>
      <c r="AB880" s="152"/>
    </row>
    <row r="881" spans="1:28">
      <c r="A881" s="152"/>
      <c r="B881" s="195" t="s">
        <v>197</v>
      </c>
      <c r="C881" s="1419"/>
      <c r="D881" s="1418">
        <f ca="1">IF(LEFT(D$6,4)&lt;=LEFT('RFM input'!$G$60,4),"enter input",IF(LEFT(D$6,4)&gt;LEFT('RFM input'!$Q$60,4),0,IF(D$6=(OFFSET('RFM input'!$G$60,0,'RFM input'!$V$7)),OFFSET('RFM input'!$I$411,$A878,0),0)))</f>
        <v>0</v>
      </c>
      <c r="E881" s="1422">
        <f ca="1">IF(LEFT(E$6,4)&lt;=LEFT('RFM input'!$G$60,4),"enter input",IF(LEFT(E$6,4)&gt;LEFT('RFM input'!$Q$60,4),0,IF(E$6=(OFFSET('RFM input'!$G$60,0,'RFM input'!$V$7)),OFFSET('RFM input'!$I$411,$A878,0),0)))</f>
        <v>0</v>
      </c>
      <c r="F881" s="1422">
        <f ca="1">IF(LEFT(F$6,4)&lt;=LEFT('RFM input'!$G$60,4),"enter input",IF(LEFT(F$6,4)&gt;LEFT('RFM input'!$Q$60,4),0,IF(F$6=(OFFSET('RFM input'!$G$60,0,'RFM input'!$V$7)),OFFSET('RFM input'!$I$411,$A878,0),0)))</f>
        <v>0</v>
      </c>
      <c r="G881" s="1422">
        <f ca="1">IF(LEFT(G$6,4)&lt;=LEFT('RFM input'!$G$60,4),"enter input",IF(LEFT(G$6,4)&gt;LEFT('RFM input'!$Q$60,4),0,IF(G$6=(OFFSET('RFM input'!$G$60,0,'RFM input'!$V$7)),OFFSET('RFM input'!$I$411,$A878,0),0)))</f>
        <v>0</v>
      </c>
      <c r="H881" s="1422">
        <f ca="1">IF(LEFT(H$6,4)&lt;=LEFT('RFM input'!$G$60,4),"enter input",IF(LEFT(H$6,4)&gt;LEFT('RFM input'!$Q$60,4),0,IF(H$6=(OFFSET('RFM input'!$G$60,0,'RFM input'!$V$7)),OFFSET('RFM input'!$I$411,$A878,0),0)))</f>
        <v>0</v>
      </c>
      <c r="I881" s="1422">
        <f ca="1">IF(LEFT(I$6,4)&lt;=LEFT('RFM input'!$G$60,4),"enter input",IF(LEFT(I$6,4)&gt;LEFT('RFM input'!$Q$60,4),0,IF(I$6=(OFFSET('RFM input'!$G$60,0,'RFM input'!$V$7)),OFFSET('RFM input'!$I$411,$A878,0),0)))</f>
        <v>0</v>
      </c>
      <c r="J881" s="1422">
        <f ca="1">IF(LEFT(J$6,4)&lt;=LEFT('RFM input'!$G$60,4),"enter input",IF(LEFT(J$6,4)&gt;LEFT('RFM input'!$Q$60,4),0,IF(J$6=(OFFSET('RFM input'!$G$60,0,'RFM input'!$V$7)),OFFSET('RFM input'!$I$411,$A878,0),0)))</f>
        <v>0</v>
      </c>
      <c r="K881" s="1422">
        <f ca="1">IF(LEFT(K$6,4)&lt;=LEFT('RFM input'!$G$60,4),"enter input",IF(LEFT(K$6,4)&gt;LEFT('RFM input'!$Q$60,4),0,IF(K$6=(OFFSET('RFM input'!$G$60,0,'RFM input'!$V$7)),OFFSET('RFM input'!$I$411,$A878,0),0)))</f>
        <v>0</v>
      </c>
      <c r="L881" s="1422">
        <f ca="1">IF(LEFT(L$6,4)&lt;=LEFT('RFM input'!$G$60,4),"enter input",IF(LEFT(L$6,4)&gt;LEFT('RFM input'!$Q$60,4),0,IF(L$6=(OFFSET('RFM input'!$G$60,0,'RFM input'!$V$7)),OFFSET('RFM input'!$I$411,$A878,0),0)))</f>
        <v>0</v>
      </c>
      <c r="M881" s="1422">
        <f ca="1">IF(LEFT(M$6,4)&lt;=LEFT('RFM input'!$G$60,4),"enter input",IF(LEFT(M$6,4)&gt;LEFT('RFM input'!$Q$60,4),0,IF(M$6=(OFFSET('RFM input'!$G$60,0,'RFM input'!$V$7)),OFFSET('RFM input'!$I$411,$A878,0),0)))</f>
        <v>0</v>
      </c>
      <c r="N881" s="1422">
        <f ca="1">IF(LEFT(N$6,4)&lt;=LEFT('RFM input'!$G$60,4),"enter input",IF(LEFT(N$6,4)&gt;LEFT('RFM input'!$Q$60,4),0,IF(N$6=(OFFSET('RFM input'!$G$60,0,'RFM input'!$V$7)),OFFSET('RFM input'!$I$411,$A878,0),0)))</f>
        <v>0</v>
      </c>
      <c r="O881" s="1422">
        <f ca="1">IF(LEFT(O$6,4)&lt;=LEFT('RFM input'!$G$60,4),"enter input",IF(LEFT(O$6,4)&gt;LEFT('RFM input'!$Q$60,4),0,IF(O$6=(OFFSET('RFM input'!$G$60,0,'RFM input'!$V$7)),OFFSET('RFM input'!$I$411,$A878,0),0)))</f>
        <v>0</v>
      </c>
      <c r="P881" s="1422">
        <f ca="1">IF(LEFT(P$6,4)&lt;=LEFT('RFM input'!$G$60,4),"enter input",IF(LEFT(P$6,4)&gt;LEFT('RFM input'!$Q$60,4),0,IF(P$6=(OFFSET('RFM input'!$G$60,0,'RFM input'!$V$7)),OFFSET('RFM input'!$I$411,$A878,0),0)))</f>
        <v>0</v>
      </c>
      <c r="Q881" s="1422">
        <f ca="1">IF(LEFT(Q$6,4)&lt;=LEFT('RFM input'!$G$60,4),"enter input",IF(LEFT(Q$6,4)&gt;LEFT('RFM input'!$Q$60,4),0,IF(Q$6=(OFFSET('RFM input'!$G$60,0,'RFM input'!$V$7)),OFFSET('RFM input'!$I$411,$A878,0),0)))</f>
        <v>0</v>
      </c>
      <c r="R881" s="1422">
        <f ca="1">IF(LEFT(R$6,4)&lt;=LEFT('RFM input'!$G$60,4),"enter input",IF(LEFT(R$6,4)&gt;LEFT('RFM input'!$Q$60,4),0,IF(R$6=(OFFSET('RFM input'!$G$60,0,'RFM input'!$V$7)),OFFSET('RFM input'!$I$411,$A878,0),0)))</f>
        <v>0</v>
      </c>
      <c r="S881" s="1422">
        <f ca="1">IF(LEFT(S$6,4)&lt;=LEFT('RFM input'!$G$60,4),"enter input",IF(LEFT(S$6,4)&gt;LEFT('RFM input'!$Q$60,4),0,IF(S$6=(OFFSET('RFM input'!$G$60,0,'RFM input'!$V$7)),OFFSET('RFM input'!$I$411,$A878,0),0)))</f>
        <v>0</v>
      </c>
      <c r="T881" s="1422">
        <f ca="1">IF(LEFT(T$6,4)&lt;=LEFT('RFM input'!$G$60,4),"enter input",IF(LEFT(T$6,4)&gt;LEFT('RFM input'!$Q$60,4),0,IF(T$6=(OFFSET('RFM input'!$G$60,0,'RFM input'!$V$7)),OFFSET('RFM input'!$I$411,$A878,0),0)))</f>
        <v>0</v>
      </c>
      <c r="U881" s="1422">
        <f ca="1">IF(LEFT(U$6,4)&lt;=LEFT('RFM input'!$G$60,4),"enter input",IF(LEFT(U$6,4)&gt;LEFT('RFM input'!$Q$60,4),0,IF(U$6=(OFFSET('RFM input'!$G$60,0,'RFM input'!$V$7)),OFFSET('RFM input'!$I$411,$A878,0),0)))</f>
        <v>0</v>
      </c>
      <c r="V881" s="1422">
        <f ca="1">IF(LEFT(V$6,4)&lt;=LEFT('RFM input'!$G$60,4),"enter input",IF(LEFT(V$6,4)&gt;LEFT('RFM input'!$Q$60,4),0,IF(V$6=(OFFSET('RFM input'!$G$60,0,'RFM input'!$V$7)),OFFSET('RFM input'!$I$411,$A878,0),0)))</f>
        <v>0</v>
      </c>
      <c r="W881" s="1422">
        <f ca="1">IF(LEFT(W$6,4)&lt;=LEFT('RFM input'!$G$60,4),"enter input",IF(LEFT(W$6,4)&gt;LEFT('RFM input'!$Q$60,4),0,IF(W$6=(OFFSET('RFM input'!$G$60,0,'RFM input'!$V$7)),OFFSET('RFM input'!$I$411,$A878,0),0)))</f>
        <v>0</v>
      </c>
      <c r="X881" s="152"/>
      <c r="Y881" s="152"/>
      <c r="Z881" s="152"/>
      <c r="AA881" s="152"/>
      <c r="AB881" s="152"/>
    </row>
    <row r="882" spans="1:28" hidden="1" outlineLevel="1">
      <c r="A882" s="235">
        <v>-1</v>
      </c>
      <c r="B882" s="190" t="s">
        <v>189</v>
      </c>
      <c r="C882" s="1423"/>
      <c r="D882" s="1423">
        <f ca="1">IF(AND(D880=0,C882=0),0,
IF(AND(D880&lt;&gt;0,C882=0),(D880/D$10),
IF(AND(D881&lt;&gt;0,C882&lt;&gt;0),(C882-(C882/C906))+(D880/D$10),
IF(C906&lt;1,0,(C882-(C882/C906))))))</f>
        <v>0</v>
      </c>
      <c r="E882" s="1423">
        <f t="shared" ref="E882" ca="1" si="1261">IF(AND(E880=0,D882=0),0,
IF(AND(E880&lt;&gt;0,D882=0),(E880/E$10),
IF(AND(E881&lt;&gt;0,D882&lt;&gt;0),(D882-(D882/D906))+(E880/E$10),
IF(D906&lt;1,0,(D882-(D882/D906))))))</f>
        <v>0</v>
      </c>
      <c r="F882" s="1423">
        <f t="shared" ref="F882" ca="1" si="1262">IF(AND(F880=0,E882=0),0,
IF(AND(F880&lt;&gt;0,E882=0),(F880/F$10),
IF(AND(F881&lt;&gt;0,E882&lt;&gt;0),(E882-(E882/E906))+(F880/F$10),
IF(E906&lt;1,0,(E882-(E882/E906))))))</f>
        <v>0</v>
      </c>
      <c r="G882" s="1423">
        <f t="shared" ref="G882" ca="1" si="1263">IF(AND(G880=0,F882=0),0,
IF(AND(G880&lt;&gt;0,F882=0),(G880/G$10),
IF(AND(G881&lt;&gt;0,F882&lt;&gt;0),(F882-(F882/F906))+(G880/G$10),
IF(F906&lt;1,0,(F882-(F882/F906))))))</f>
        <v>0</v>
      </c>
      <c r="H882" s="1423">
        <f t="shared" ref="H882" ca="1" si="1264">IF(AND(H880=0,G882=0),0,
IF(AND(H880&lt;&gt;0,G882=0),(H880/H$10),
IF(AND(H881&lt;&gt;0,G882&lt;&gt;0),(G882-(G882/G906))+(H880/H$10),
IF(G906&lt;1,0,(G882-(G882/G906))))))</f>
        <v>0</v>
      </c>
      <c r="I882" s="1423">
        <f t="shared" ref="I882" ca="1" si="1265">IF(AND(I880=0,H882=0),0,
IF(AND(I880&lt;&gt;0,H882=0),(I880/I$10),
IF(AND(I881&lt;&gt;0,H882&lt;&gt;0),(H882-(H882/H906))+(I880/I$10),
IF(H906&lt;1,0,(H882-(H882/H906))))))</f>
        <v>0</v>
      </c>
      <c r="J882" s="1423">
        <f t="shared" ref="J882" ca="1" si="1266">IF(AND(J880=0,I882=0),0,
IF(AND(J880&lt;&gt;0,I882=0),(J880/J$10),
IF(AND(J881&lt;&gt;0,I882&lt;&gt;0),(I882-(I882/I906))+(J880/J$10),
IF(I906&lt;1,0,(I882-(I882/I906))))))</f>
        <v>0</v>
      </c>
      <c r="K882" s="1423">
        <f t="shared" ref="K882" ca="1" si="1267">IF(AND(K880=0,J882=0),0,
IF(AND(K880&lt;&gt;0,J882=0),(K880/K$10),
IF(AND(K881&lt;&gt;0,J882&lt;&gt;0),(J882-(J882/J906))+(K880/K$10),
IF(J906&lt;1,0,(J882-(J882/J906))))))</f>
        <v>0</v>
      </c>
      <c r="L882" s="1423">
        <f t="shared" ref="L882" ca="1" si="1268">IF(AND(L880=0,K882=0),0,
IF(AND(L880&lt;&gt;0,K882=0),(L880/L$10),
IF(AND(L881&lt;&gt;0,K882&lt;&gt;0),(K882-(K882/K906))+(L880/L$10),
IF(K906&lt;1,0,(K882-(K882/K906))))))</f>
        <v>0</v>
      </c>
      <c r="M882" s="1423">
        <f t="shared" ref="M882" ca="1" si="1269">IF(AND(M880=0,L882=0),0,
IF(AND(M880&lt;&gt;0,L882=0),(M880/M$10),
IF(AND(M881&lt;&gt;0,L882&lt;&gt;0),(L882-(L882/L906))+(M880/M$10),
IF(L906&lt;1,0,(L882-(L882/L906))))))</f>
        <v>0</v>
      </c>
      <c r="N882" s="1423">
        <f t="shared" ref="N882" ca="1" si="1270">IF(AND(N880=0,M882=0),0,
IF(AND(N880&lt;&gt;0,M882=0),(N880/N$10),
IF(AND(N881&lt;&gt;0,M882&lt;&gt;0),(M882-(M882/M906))+(N880/N$10),
IF(M906&lt;1,0,(M882-(M882/M906))))))</f>
        <v>0</v>
      </c>
      <c r="O882" s="1423">
        <f t="shared" ref="O882" ca="1" si="1271">IF(AND(O880=0,N882=0),0,
IF(AND(O880&lt;&gt;0,N882=0),(O880/O$10),
IF(AND(O881&lt;&gt;0,N882&lt;&gt;0),(N882-(N882/N906))+(O880/O$10),
IF(N906&lt;1,0,(N882-(N882/N906))))))</f>
        <v>0</v>
      </c>
      <c r="P882" s="1423">
        <f t="shared" ref="P882" ca="1" si="1272">IF(AND(P880=0,O882=0),0,
IF(AND(P880&lt;&gt;0,O882=0),(P880/P$10),
IF(AND(P881&lt;&gt;0,O882&lt;&gt;0),(O882-(O882/O906))+(P880/P$10),
IF(O906&lt;1,0,(O882-(O882/O906))))))</f>
        <v>0</v>
      </c>
      <c r="Q882" s="1423">
        <f t="shared" ref="Q882" ca="1" si="1273">IF(AND(Q880=0,P882=0),0,
IF(AND(Q880&lt;&gt;0,P882=0),(Q880/Q$10),
IF(AND(Q881&lt;&gt;0,P882&lt;&gt;0),(P882-(P882/P906))+(Q880/Q$10),
IF(P906&lt;1,0,(P882-(P882/P906))))))</f>
        <v>0</v>
      </c>
      <c r="R882" s="1423">
        <f t="shared" ref="R882" ca="1" si="1274">IF(AND(R880=0,Q882=0),0,
IF(AND(R880&lt;&gt;0,Q882=0),(R880/R$10),
IF(AND(R881&lt;&gt;0,Q882&lt;&gt;0),(Q882-(Q882/Q906))+(R880/R$10),
IF(Q906&lt;1,0,(Q882-(Q882/Q906))))))</f>
        <v>0</v>
      </c>
      <c r="S882" s="1423">
        <f t="shared" ref="S882" ca="1" si="1275">IF(AND(S880=0,R882=0),0,
IF(AND(S880&lt;&gt;0,R882=0),(S880/S$10),
IF(AND(S881&lt;&gt;0,R882&lt;&gt;0),(R882-(R882/R906))+(S880/S$10),
IF(R906&lt;1,0,(R882-(R882/R906))))))</f>
        <v>0</v>
      </c>
      <c r="T882" s="1423">
        <f t="shared" ref="T882" ca="1" si="1276">IF(AND(T880=0,S882=0),0,
IF(AND(T880&lt;&gt;0,S882=0),(T880/T$10),
IF(AND(T881&lt;&gt;0,S882&lt;&gt;0),(S882-(S882/S906))+(T880/T$10),
IF(S906&lt;1,0,(S882-(S882/S906))))))</f>
        <v>0</v>
      </c>
      <c r="U882" s="1423">
        <f t="shared" ref="U882" ca="1" si="1277">IF(AND(U880=0,T882=0),0,
IF(AND(U880&lt;&gt;0,T882=0),(U880/U$10),
IF(AND(U881&lt;&gt;0,T882&lt;&gt;0),(T882-(T882/T906))+(U880/U$10),
IF(T906&lt;1,0,(T882-(T882/T906))))))</f>
        <v>0</v>
      </c>
      <c r="V882" s="1423">
        <f t="shared" ref="V882" ca="1" si="1278">IF(AND(V880=0,U882=0),0,
IF(AND(V880&lt;&gt;0,U882=0),(V880/V$10),
IF(AND(V881&lt;&gt;0,U882&lt;&gt;0),(U882-(U882/U906))+(V880/V$10),
IF(U906&lt;1,0,(U882-(U882/U906))))))</f>
        <v>0</v>
      </c>
      <c r="W882" s="1423">
        <f t="shared" ref="W882" ca="1" si="1279">IF(AND(W880=0,V882=0),0,
IF(AND(W880&lt;&gt;0,V882=0),(W880/W$10),
IF(AND(W881&lt;&gt;0,V882&lt;&gt;0),(V882-(V882/V906))+(W880/W$10),
IF(V906&lt;1,0,(V882-(V882/V906))))))</f>
        <v>0</v>
      </c>
      <c r="X882" s="152"/>
      <c r="Y882" s="152"/>
      <c r="Z882" s="152"/>
      <c r="AA882" s="152"/>
      <c r="AB882" s="152"/>
    </row>
    <row r="883" spans="1:28" hidden="1" outlineLevel="1">
      <c r="A883" s="199">
        <f>A882+1</f>
        <v>0</v>
      </c>
      <c r="B883" s="190" t="s">
        <v>125</v>
      </c>
      <c r="C883" s="1423">
        <f ca="1">C878/C$10</f>
        <v>0</v>
      </c>
      <c r="D883" s="1423">
        <f ca="1">IF(C907="n/a",C883,IFERROR(IF((OFFSET($C883,0,$A883))&lt;0,
MIN(0,C883-(OFFSET($C883,0,$A883)/(OFFSET($C878,-$A882,$A883)))),
MAX(0,C883-(OFFSET($C883,0,$A883)/(OFFSET($C878,-$A882,$A883))))),0))</f>
        <v>0</v>
      </c>
      <c r="E883" s="1423">
        <f t="shared" ref="E883" ca="1" si="1280">IF(D907="n/a",D883,IFERROR(IF((OFFSET($C883,0,$A883))&lt;0,
MIN(0,D883-(OFFSET($C883,0,$A883)/(OFFSET($C878,-$A882,$A883)))),
MAX(0,D883-(OFFSET($C883,0,$A883)/(OFFSET($C878,-$A882,$A883))))),0))</f>
        <v>0</v>
      </c>
      <c r="F883" s="1423">
        <f t="shared" ref="F883:F884" ca="1" si="1281">IF(E907="n/a",E883,IFERROR(IF((OFFSET($C883,0,$A883))&lt;0,
MIN(0,E883-(OFFSET($C883,0,$A883)/(OFFSET($C878,-$A882,$A883)))),
MAX(0,E883-(OFFSET($C883,0,$A883)/(OFFSET($C878,-$A882,$A883))))),0))</f>
        <v>0</v>
      </c>
      <c r="G883" s="1423">
        <f t="shared" ref="G883:G885" ca="1" si="1282">IF(F907="n/a",F883,IFERROR(IF((OFFSET($C883,0,$A883))&lt;0,
MIN(0,F883-(OFFSET($C883,0,$A883)/(OFFSET($C878,-$A882,$A883)))),
MAX(0,F883-(OFFSET($C883,0,$A883)/(OFFSET($C878,-$A882,$A883))))),0))</f>
        <v>0</v>
      </c>
      <c r="H883" s="1423">
        <f t="shared" ref="H883:H886" ca="1" si="1283">IF(G907="n/a",G883,IFERROR(IF((OFFSET($C883,0,$A883))&lt;0,
MIN(0,G883-(OFFSET($C883,0,$A883)/(OFFSET($C878,-$A882,$A883)))),
MAX(0,G883-(OFFSET($C883,0,$A883)/(OFFSET($C878,-$A882,$A883))))),0))</f>
        <v>0</v>
      </c>
      <c r="I883" s="1423">
        <f t="shared" ref="I883:I887" ca="1" si="1284">IF(H907="n/a",H883,IFERROR(IF((OFFSET($C883,0,$A883))&lt;0,
MIN(0,H883-(OFFSET($C883,0,$A883)/(OFFSET($C878,-$A882,$A883)))),
MAX(0,H883-(OFFSET($C883,0,$A883)/(OFFSET($C878,-$A882,$A883))))),0))</f>
        <v>0</v>
      </c>
      <c r="J883" s="1423">
        <f t="shared" ref="J883:J888" ca="1" si="1285">IF(I907="n/a",I883,IFERROR(IF((OFFSET($C883,0,$A883))&lt;0,
MIN(0,I883-(OFFSET($C883,0,$A883)/(OFFSET($C878,-$A882,$A883)))),
MAX(0,I883-(OFFSET($C883,0,$A883)/(OFFSET($C878,-$A882,$A883))))),0))</f>
        <v>0</v>
      </c>
      <c r="K883" s="1423">
        <f t="shared" ref="K883:K889" ca="1" si="1286">IF(J907="n/a",J883,IFERROR(IF((OFFSET($C883,0,$A883))&lt;0,
MIN(0,J883-(OFFSET($C883,0,$A883)/(OFFSET($C878,-$A882,$A883)))),
MAX(0,J883-(OFFSET($C883,0,$A883)/(OFFSET($C878,-$A882,$A883))))),0))</f>
        <v>0</v>
      </c>
      <c r="L883" s="1423">
        <f t="shared" ref="L883:L890" ca="1" si="1287">IF(K907="n/a",K883,IFERROR(IF((OFFSET($C883,0,$A883))&lt;0,
MIN(0,K883-(OFFSET($C883,0,$A883)/(OFFSET($C878,-$A882,$A883)))),
MAX(0,K883-(OFFSET($C883,0,$A883)/(OFFSET($C878,-$A882,$A883))))),0))</f>
        <v>0</v>
      </c>
      <c r="M883" s="1423">
        <f t="shared" ref="M883:M891" ca="1" si="1288">IF(L907="n/a",L883,IFERROR(IF((OFFSET($C883,0,$A883))&lt;0,
MIN(0,L883-(OFFSET($C883,0,$A883)/(OFFSET($C878,-$A882,$A883)))),
MAX(0,L883-(OFFSET($C883,0,$A883)/(OFFSET($C878,-$A882,$A883))))),0))</f>
        <v>0</v>
      </c>
      <c r="N883" s="1423">
        <f t="shared" ref="N883:N892" ca="1" si="1289">IF(M907="n/a",M883,IFERROR(IF((OFFSET($C883,0,$A883))&lt;0,
MIN(0,M883-(OFFSET($C883,0,$A883)/(OFFSET($C878,-$A882,$A883)))),
MAX(0,M883-(OFFSET($C883,0,$A883)/(OFFSET($C878,-$A882,$A883))))),0))</f>
        <v>0</v>
      </c>
      <c r="O883" s="1423">
        <f t="shared" ref="O883:O893" ca="1" si="1290">IF(N907="n/a",N883,IFERROR(IF((OFFSET($C883,0,$A883))&lt;0,
MIN(0,N883-(OFFSET($C883,0,$A883)/(OFFSET($C878,-$A882,$A883)))),
MAX(0,N883-(OFFSET($C883,0,$A883)/(OFFSET($C878,-$A882,$A883))))),0))</f>
        <v>0</v>
      </c>
      <c r="P883" s="1423">
        <f t="shared" ref="P883:P894" ca="1" si="1291">IF(O907="n/a",O883,IFERROR(IF((OFFSET($C883,0,$A883))&lt;0,
MIN(0,O883-(OFFSET($C883,0,$A883)/(OFFSET($C878,-$A882,$A883)))),
MAX(0,O883-(OFFSET($C883,0,$A883)/(OFFSET($C878,-$A882,$A883))))),0))</f>
        <v>0</v>
      </c>
      <c r="Q883" s="1423">
        <f t="shared" ref="Q883:Q895" ca="1" si="1292">IF(P907="n/a",P883,IFERROR(IF((OFFSET($C883,0,$A883))&lt;0,
MIN(0,P883-(OFFSET($C883,0,$A883)/(OFFSET($C878,-$A882,$A883)))),
MAX(0,P883-(OFFSET($C883,0,$A883)/(OFFSET($C878,-$A882,$A883))))),0))</f>
        <v>0</v>
      </c>
      <c r="R883" s="1423">
        <f t="shared" ref="R883:R896" ca="1" si="1293">IF(Q907="n/a",Q883,IFERROR(IF((OFFSET($C883,0,$A883))&lt;0,
MIN(0,Q883-(OFFSET($C883,0,$A883)/(OFFSET($C878,-$A882,$A883)))),
MAX(0,Q883-(OFFSET($C883,0,$A883)/(OFFSET($C878,-$A882,$A883))))),0))</f>
        <v>0</v>
      </c>
      <c r="S883" s="1423">
        <f t="shared" ref="S883:S897" ca="1" si="1294">IF(R907="n/a",R883,IFERROR(IF((OFFSET($C883,0,$A883))&lt;0,
MIN(0,R883-(OFFSET($C883,0,$A883)/(OFFSET($C878,-$A882,$A883)))),
MAX(0,R883-(OFFSET($C883,0,$A883)/(OFFSET($C878,-$A882,$A883))))),0))</f>
        <v>0</v>
      </c>
      <c r="T883" s="1423">
        <f t="shared" ref="T883:T898" ca="1" si="1295">IF(S907="n/a",S883,IFERROR(IF((OFFSET($C883,0,$A883))&lt;0,
MIN(0,S883-(OFFSET($C883,0,$A883)/(OFFSET($C878,-$A882,$A883)))),
MAX(0,S883-(OFFSET($C883,0,$A883)/(OFFSET($C878,-$A882,$A883))))),0))</f>
        <v>0</v>
      </c>
      <c r="U883" s="1423">
        <f t="shared" ref="U883:U899" ca="1" si="1296">IF(T907="n/a",T883,IFERROR(IF((OFFSET($C883,0,$A883))&lt;0,
MIN(0,T883-(OFFSET($C883,0,$A883)/(OFFSET($C878,-$A882,$A883)))),
MAX(0,T883-(OFFSET($C883,0,$A883)/(OFFSET($C878,-$A882,$A883))))),0))</f>
        <v>0</v>
      </c>
      <c r="V883" s="1423">
        <f t="shared" ref="V883:V900" ca="1" si="1297">IF(U907="n/a",U883,IFERROR(IF((OFFSET($C883,0,$A883))&lt;0,
MIN(0,U883-(OFFSET($C883,0,$A883)/(OFFSET($C878,-$A882,$A883)))),
MAX(0,U883-(OFFSET($C883,0,$A883)/(OFFSET($C878,-$A882,$A883))))),0))</f>
        <v>0</v>
      </c>
      <c r="W883" s="1423">
        <f t="shared" ref="W883:W901" ca="1" si="1298">IF(V907="n/a",V883,IFERROR(IF((OFFSET($C883,0,$A883))&lt;0,
MIN(0,V883-(OFFSET($C883,0,$A883)/(OFFSET($C878,-$A882,$A883)))),
MAX(0,V883-(OFFSET($C883,0,$A883)/(OFFSET($C878,-$A882,$A883))))),0))</f>
        <v>0</v>
      </c>
      <c r="X883" s="152"/>
      <c r="Y883" s="152"/>
      <c r="Z883" s="152"/>
      <c r="AA883" s="152"/>
      <c r="AB883" s="152"/>
    </row>
    <row r="884" spans="1:28" hidden="1" outlineLevel="1">
      <c r="A884" s="199">
        <f t="shared" ref="A884:A903" si="1299">A883+1</f>
        <v>1</v>
      </c>
      <c r="B884" s="190" t="str">
        <f t="shared" ref="B884:B902" ca="1" si="1300">"Depreciated Net Capex "&amp;OFFSET($C$6,0,A884)</f>
        <v>Depreciated Net Capex 2016-17</v>
      </c>
      <c r="C884" s="1424"/>
      <c r="D884" s="1425">
        <f>(D878*((1+D$11)^0.5)/D$10)</f>
        <v>0</v>
      </c>
      <c r="E884" s="1423">
        <f ca="1">IF(D908="n/a",D884,IFERROR(IF((OFFSET($C884,0,$A884))&lt;0,
MIN(0,D884-(OFFSET($C884,0,$A884)/(OFFSET($C879,-$A883,$A884)))),
MAX(0,D884-(OFFSET($C884,0,$A884)/(OFFSET($C879,-$A883,$A884))))),0))</f>
        <v>0</v>
      </c>
      <c r="F884" s="1423">
        <f t="shared" ca="1" si="1281"/>
        <v>0</v>
      </c>
      <c r="G884" s="1423">
        <f t="shared" ca="1" si="1282"/>
        <v>0</v>
      </c>
      <c r="H884" s="1423">
        <f t="shared" ca="1" si="1283"/>
        <v>0</v>
      </c>
      <c r="I884" s="1423">
        <f t="shared" ca="1" si="1284"/>
        <v>0</v>
      </c>
      <c r="J884" s="1423">
        <f t="shared" ca="1" si="1285"/>
        <v>0</v>
      </c>
      <c r="K884" s="1423">
        <f t="shared" ca="1" si="1286"/>
        <v>0</v>
      </c>
      <c r="L884" s="1423">
        <f t="shared" ca="1" si="1287"/>
        <v>0</v>
      </c>
      <c r="M884" s="1423">
        <f t="shared" ca="1" si="1288"/>
        <v>0</v>
      </c>
      <c r="N884" s="1423">
        <f t="shared" ca="1" si="1289"/>
        <v>0</v>
      </c>
      <c r="O884" s="1423">
        <f t="shared" ca="1" si="1290"/>
        <v>0</v>
      </c>
      <c r="P884" s="1423">
        <f t="shared" ca="1" si="1291"/>
        <v>0</v>
      </c>
      <c r="Q884" s="1423">
        <f t="shared" ca="1" si="1292"/>
        <v>0</v>
      </c>
      <c r="R884" s="1423">
        <f t="shared" ca="1" si="1293"/>
        <v>0</v>
      </c>
      <c r="S884" s="1423">
        <f t="shared" ca="1" si="1294"/>
        <v>0</v>
      </c>
      <c r="T884" s="1423">
        <f t="shared" ca="1" si="1295"/>
        <v>0</v>
      </c>
      <c r="U884" s="1423">
        <f t="shared" ca="1" si="1296"/>
        <v>0</v>
      </c>
      <c r="V884" s="1423">
        <f t="shared" ca="1" si="1297"/>
        <v>0</v>
      </c>
      <c r="W884" s="1423">
        <f t="shared" ca="1" si="1298"/>
        <v>0</v>
      </c>
      <c r="X884" s="152"/>
      <c r="Y884" s="152"/>
      <c r="Z884" s="152"/>
      <c r="AA884" s="152"/>
      <c r="AB884" s="152"/>
    </row>
    <row r="885" spans="1:28" hidden="1" outlineLevel="1">
      <c r="A885" s="199">
        <f t="shared" si="1299"/>
        <v>2</v>
      </c>
      <c r="B885" s="190" t="str">
        <f t="shared" ca="1" si="1300"/>
        <v>Depreciated Net Capex 2017-18</v>
      </c>
      <c r="C885" s="1426"/>
      <c r="D885" s="1427"/>
      <c r="E885" s="1425">
        <f>(E878*((1+E$11)^0.5)/E$10)</f>
        <v>0</v>
      </c>
      <c r="F885" s="1423">
        <f ca="1">IF(E909="n/a",E885,IFERROR(IF((OFFSET($C885,0,$A885))&lt;0,
MIN(0,E885-(OFFSET($C885,0,$A885)/(OFFSET($C880,-$A884,$A885)))),
MAX(0,E885-(OFFSET($C885,0,$A885)/(OFFSET($C880,-$A884,$A885))))),0))</f>
        <v>0</v>
      </c>
      <c r="G885" s="1423">
        <f t="shared" ca="1" si="1282"/>
        <v>0</v>
      </c>
      <c r="H885" s="1423">
        <f t="shared" ca="1" si="1283"/>
        <v>0</v>
      </c>
      <c r="I885" s="1423">
        <f t="shared" ca="1" si="1284"/>
        <v>0</v>
      </c>
      <c r="J885" s="1423">
        <f t="shared" ca="1" si="1285"/>
        <v>0</v>
      </c>
      <c r="K885" s="1423">
        <f t="shared" ca="1" si="1286"/>
        <v>0</v>
      </c>
      <c r="L885" s="1423">
        <f t="shared" ca="1" si="1287"/>
        <v>0</v>
      </c>
      <c r="M885" s="1423">
        <f t="shared" ca="1" si="1288"/>
        <v>0</v>
      </c>
      <c r="N885" s="1423">
        <f t="shared" ca="1" si="1289"/>
        <v>0</v>
      </c>
      <c r="O885" s="1423">
        <f t="shared" ca="1" si="1290"/>
        <v>0</v>
      </c>
      <c r="P885" s="1423">
        <f t="shared" ca="1" si="1291"/>
        <v>0</v>
      </c>
      <c r="Q885" s="1423">
        <f t="shared" ca="1" si="1292"/>
        <v>0</v>
      </c>
      <c r="R885" s="1423">
        <f t="shared" ca="1" si="1293"/>
        <v>0</v>
      </c>
      <c r="S885" s="1423">
        <f t="shared" ca="1" si="1294"/>
        <v>0</v>
      </c>
      <c r="T885" s="1423">
        <f t="shared" ca="1" si="1295"/>
        <v>0</v>
      </c>
      <c r="U885" s="1423">
        <f t="shared" ca="1" si="1296"/>
        <v>0</v>
      </c>
      <c r="V885" s="1423">
        <f t="shared" ca="1" si="1297"/>
        <v>0</v>
      </c>
      <c r="W885" s="1423">
        <f t="shared" ca="1" si="1298"/>
        <v>0</v>
      </c>
      <c r="X885" s="202"/>
      <c r="Y885" s="152"/>
      <c r="Z885" s="152"/>
      <c r="AA885" s="152"/>
      <c r="AB885" s="152"/>
    </row>
    <row r="886" spans="1:28" hidden="1" outlineLevel="1">
      <c r="A886" s="199">
        <f t="shared" si="1299"/>
        <v>3</v>
      </c>
      <c r="B886" s="190" t="str">
        <f t="shared" ca="1" si="1300"/>
        <v>Depreciated Net Capex 2018-19</v>
      </c>
      <c r="C886" s="1426"/>
      <c r="D886" s="1426"/>
      <c r="E886" s="1427"/>
      <c r="F886" s="1428">
        <f>($F878*((1+F$11)^0.5)/F$10)</f>
        <v>0</v>
      </c>
      <c r="G886" s="1423">
        <f ca="1">IF(F910="n/a",F886,IFERROR(IF((OFFSET($C886,0,$A886))&lt;0,
MIN(0,F886-(OFFSET($C886,0,$A886)/(OFFSET($C881,-$A885,$A886)))),
MAX(0,F886-(OFFSET($C886,0,$A886)/(OFFSET($C881,-$A885,$A886))))),0))</f>
        <v>0</v>
      </c>
      <c r="H886" s="1423">
        <f t="shared" ca="1" si="1283"/>
        <v>0</v>
      </c>
      <c r="I886" s="1423">
        <f t="shared" ca="1" si="1284"/>
        <v>0</v>
      </c>
      <c r="J886" s="1423">
        <f t="shared" ca="1" si="1285"/>
        <v>0</v>
      </c>
      <c r="K886" s="1423">
        <f t="shared" ca="1" si="1286"/>
        <v>0</v>
      </c>
      <c r="L886" s="1423">
        <f t="shared" ca="1" si="1287"/>
        <v>0</v>
      </c>
      <c r="M886" s="1423">
        <f t="shared" ca="1" si="1288"/>
        <v>0</v>
      </c>
      <c r="N886" s="1423">
        <f t="shared" ca="1" si="1289"/>
        <v>0</v>
      </c>
      <c r="O886" s="1423">
        <f t="shared" ca="1" si="1290"/>
        <v>0</v>
      </c>
      <c r="P886" s="1423">
        <f t="shared" ca="1" si="1291"/>
        <v>0</v>
      </c>
      <c r="Q886" s="1423">
        <f t="shared" ca="1" si="1292"/>
        <v>0</v>
      </c>
      <c r="R886" s="1423">
        <f t="shared" ca="1" si="1293"/>
        <v>0</v>
      </c>
      <c r="S886" s="1423">
        <f t="shared" ca="1" si="1294"/>
        <v>0</v>
      </c>
      <c r="T886" s="1423">
        <f t="shared" ca="1" si="1295"/>
        <v>0</v>
      </c>
      <c r="U886" s="1423">
        <f t="shared" ca="1" si="1296"/>
        <v>0</v>
      </c>
      <c r="V886" s="1423">
        <f t="shared" ca="1" si="1297"/>
        <v>0</v>
      </c>
      <c r="W886" s="1423">
        <f t="shared" ca="1" si="1298"/>
        <v>0</v>
      </c>
      <c r="X886" s="202"/>
      <c r="Y886" s="202"/>
      <c r="Z886" s="152"/>
      <c r="AA886" s="152"/>
      <c r="AB886" s="152"/>
    </row>
    <row r="887" spans="1:28" hidden="1" outlineLevel="1">
      <c r="A887" s="199">
        <f t="shared" si="1299"/>
        <v>4</v>
      </c>
      <c r="B887" s="190" t="str">
        <f t="shared" ca="1" si="1300"/>
        <v>Depreciated Net Capex 2019-20</v>
      </c>
      <c r="C887" s="1426"/>
      <c r="D887" s="1426"/>
      <c r="E887" s="1426"/>
      <c r="F887" s="1427"/>
      <c r="G887" s="1428">
        <f>($G878*((1+G$11)^0.5)/G$10)</f>
        <v>0</v>
      </c>
      <c r="H887" s="1423">
        <f ca="1">IF(G911="n/a",G887,IFERROR(IF((OFFSET($C887,0,$A887))&lt;0,
MIN(0,G887-(OFFSET($C887,0,$A887)/(OFFSET($C882,-$A886,$A887)))),
MAX(0,G887-(OFFSET($C887,0,$A887)/(OFFSET($C882,-$A886,$A887))))),0))</f>
        <v>0</v>
      </c>
      <c r="I887" s="1423">
        <f t="shared" ca="1" si="1284"/>
        <v>0</v>
      </c>
      <c r="J887" s="1423">
        <f t="shared" ca="1" si="1285"/>
        <v>0</v>
      </c>
      <c r="K887" s="1423">
        <f t="shared" ca="1" si="1286"/>
        <v>0</v>
      </c>
      <c r="L887" s="1423">
        <f t="shared" ca="1" si="1287"/>
        <v>0</v>
      </c>
      <c r="M887" s="1423">
        <f t="shared" ca="1" si="1288"/>
        <v>0</v>
      </c>
      <c r="N887" s="1423">
        <f t="shared" ca="1" si="1289"/>
        <v>0</v>
      </c>
      <c r="O887" s="1423">
        <f t="shared" ca="1" si="1290"/>
        <v>0</v>
      </c>
      <c r="P887" s="1423">
        <f t="shared" ca="1" si="1291"/>
        <v>0</v>
      </c>
      <c r="Q887" s="1423">
        <f t="shared" ca="1" si="1292"/>
        <v>0</v>
      </c>
      <c r="R887" s="1423">
        <f t="shared" ca="1" si="1293"/>
        <v>0</v>
      </c>
      <c r="S887" s="1423">
        <f t="shared" ca="1" si="1294"/>
        <v>0</v>
      </c>
      <c r="T887" s="1423">
        <f t="shared" ca="1" si="1295"/>
        <v>0</v>
      </c>
      <c r="U887" s="1423">
        <f t="shared" ca="1" si="1296"/>
        <v>0</v>
      </c>
      <c r="V887" s="1423">
        <f t="shared" ca="1" si="1297"/>
        <v>0</v>
      </c>
      <c r="W887" s="1423">
        <f t="shared" ca="1" si="1298"/>
        <v>0</v>
      </c>
      <c r="X887" s="202"/>
      <c r="Y887" s="202"/>
      <c r="Z887" s="202"/>
      <c r="AA887" s="152"/>
      <c r="AB887" s="152"/>
    </row>
    <row r="888" spans="1:28" hidden="1" outlineLevel="1">
      <c r="A888" s="199">
        <f t="shared" si="1299"/>
        <v>5</v>
      </c>
      <c r="B888" s="190" t="str">
        <f t="shared" ca="1" si="1300"/>
        <v>Depreciated Net Capex 2020-21</v>
      </c>
      <c r="C888" s="1426"/>
      <c r="D888" s="1426"/>
      <c r="E888" s="1426"/>
      <c r="F888" s="1426"/>
      <c r="G888" s="1427"/>
      <c r="H888" s="1428">
        <f>(H878*((1+H$11)^0.5)/H$10)</f>
        <v>0</v>
      </c>
      <c r="I888" s="1423">
        <f ca="1">IF(H912="n/a",H888,IFERROR(IF((OFFSET($C888,0,$A888))&lt;0,
MIN(0,H888-(OFFSET($C888,0,$A888)/(OFFSET($C883,-$A887,$A888)))),
MAX(0,H888-(OFFSET($C888,0,$A888)/(OFFSET($C883,-$A887,$A888))))),0))</f>
        <v>0</v>
      </c>
      <c r="J888" s="1423">
        <f t="shared" ca="1" si="1285"/>
        <v>0</v>
      </c>
      <c r="K888" s="1423">
        <f t="shared" ca="1" si="1286"/>
        <v>0</v>
      </c>
      <c r="L888" s="1423">
        <f t="shared" ca="1" si="1287"/>
        <v>0</v>
      </c>
      <c r="M888" s="1423">
        <f t="shared" ca="1" si="1288"/>
        <v>0</v>
      </c>
      <c r="N888" s="1423">
        <f t="shared" ca="1" si="1289"/>
        <v>0</v>
      </c>
      <c r="O888" s="1423">
        <f t="shared" ca="1" si="1290"/>
        <v>0</v>
      </c>
      <c r="P888" s="1423">
        <f t="shared" ca="1" si="1291"/>
        <v>0</v>
      </c>
      <c r="Q888" s="1423">
        <f t="shared" ca="1" si="1292"/>
        <v>0</v>
      </c>
      <c r="R888" s="1423">
        <f t="shared" ca="1" si="1293"/>
        <v>0</v>
      </c>
      <c r="S888" s="1423">
        <f t="shared" ca="1" si="1294"/>
        <v>0</v>
      </c>
      <c r="T888" s="1423">
        <f t="shared" ca="1" si="1295"/>
        <v>0</v>
      </c>
      <c r="U888" s="1423">
        <f t="shared" ca="1" si="1296"/>
        <v>0</v>
      </c>
      <c r="V888" s="1423">
        <f t="shared" ca="1" si="1297"/>
        <v>0</v>
      </c>
      <c r="W888" s="1423">
        <f t="shared" ca="1" si="1298"/>
        <v>0</v>
      </c>
      <c r="X888" s="202"/>
      <c r="Y888" s="202"/>
      <c r="Z888" s="202"/>
      <c r="AA888" s="152"/>
      <c r="AB888" s="152"/>
    </row>
    <row r="889" spans="1:28" hidden="1" outlineLevel="1">
      <c r="A889" s="199">
        <f t="shared" si="1299"/>
        <v>6</v>
      </c>
      <c r="B889" s="190" t="str">
        <f t="shared" ca="1" si="1300"/>
        <v>Depreciated Net Capex 2021-22</v>
      </c>
      <c r="C889" s="1426"/>
      <c r="D889" s="1426"/>
      <c r="E889" s="1426"/>
      <c r="F889" s="1426"/>
      <c r="G889" s="1426"/>
      <c r="H889" s="1427"/>
      <c r="I889" s="1428">
        <f>(I878*((1+I$11)^0.5)/I$10)</f>
        <v>0</v>
      </c>
      <c r="J889" s="1423">
        <f ca="1">IF(I913="n/a",I889,IFERROR(IF((OFFSET($C889,0,$A889))&lt;0,
MIN(0,I889-(OFFSET($C889,0,$A889)/(OFFSET($C884,-$A888,$A889)))),
MAX(0,I889-(OFFSET($C889,0,$A889)/(OFFSET($C884,-$A888,$A889))))),0))</f>
        <v>0</v>
      </c>
      <c r="K889" s="1423">
        <f t="shared" ca="1" si="1286"/>
        <v>0</v>
      </c>
      <c r="L889" s="1423">
        <f t="shared" ca="1" si="1287"/>
        <v>0</v>
      </c>
      <c r="M889" s="1423">
        <f t="shared" ca="1" si="1288"/>
        <v>0</v>
      </c>
      <c r="N889" s="1423">
        <f t="shared" ca="1" si="1289"/>
        <v>0</v>
      </c>
      <c r="O889" s="1423">
        <f t="shared" ca="1" si="1290"/>
        <v>0</v>
      </c>
      <c r="P889" s="1423">
        <f t="shared" ca="1" si="1291"/>
        <v>0</v>
      </c>
      <c r="Q889" s="1423">
        <f t="shared" ca="1" si="1292"/>
        <v>0</v>
      </c>
      <c r="R889" s="1423">
        <f t="shared" ca="1" si="1293"/>
        <v>0</v>
      </c>
      <c r="S889" s="1423">
        <f t="shared" ca="1" si="1294"/>
        <v>0</v>
      </c>
      <c r="T889" s="1423">
        <f t="shared" ca="1" si="1295"/>
        <v>0</v>
      </c>
      <c r="U889" s="1423">
        <f t="shared" ca="1" si="1296"/>
        <v>0</v>
      </c>
      <c r="V889" s="1423">
        <f t="shared" ca="1" si="1297"/>
        <v>0</v>
      </c>
      <c r="W889" s="1423">
        <f t="shared" ca="1" si="1298"/>
        <v>0</v>
      </c>
      <c r="X889" s="202"/>
      <c r="Y889" s="202"/>
      <c r="Z889" s="202"/>
      <c r="AA889" s="152"/>
      <c r="AB889" s="152"/>
    </row>
    <row r="890" spans="1:28" hidden="1" outlineLevel="1">
      <c r="A890" s="199">
        <f t="shared" si="1299"/>
        <v>7</v>
      </c>
      <c r="B890" s="190" t="str">
        <f t="shared" ca="1" si="1300"/>
        <v>Depreciated Net Capex 2022-23</v>
      </c>
      <c r="C890" s="1426"/>
      <c r="D890" s="1426"/>
      <c r="E890" s="1426"/>
      <c r="F890" s="1426"/>
      <c r="G890" s="1426"/>
      <c r="H890" s="1426"/>
      <c r="I890" s="1427"/>
      <c r="J890" s="1428">
        <f>(J878*((1+J$11)^0.5)/J$10)</f>
        <v>0</v>
      </c>
      <c r="K890" s="1423">
        <f ca="1">IF(J914="n/a",J890,IFERROR(IF((OFFSET($C890,0,$A890))&lt;0,
MIN(0,J890-(OFFSET($C890,0,$A890)/(OFFSET($C885,-$A889,$A890)))),
MAX(0,J890-(OFFSET($C890,0,$A890)/(OFFSET($C885,-$A889,$A890))))),0))</f>
        <v>0</v>
      </c>
      <c r="L890" s="1423">
        <f t="shared" ca="1" si="1287"/>
        <v>0</v>
      </c>
      <c r="M890" s="1423">
        <f t="shared" ca="1" si="1288"/>
        <v>0</v>
      </c>
      <c r="N890" s="1423">
        <f t="shared" ca="1" si="1289"/>
        <v>0</v>
      </c>
      <c r="O890" s="1423">
        <f t="shared" ca="1" si="1290"/>
        <v>0</v>
      </c>
      <c r="P890" s="1423">
        <f t="shared" ca="1" si="1291"/>
        <v>0</v>
      </c>
      <c r="Q890" s="1423">
        <f t="shared" ca="1" si="1292"/>
        <v>0</v>
      </c>
      <c r="R890" s="1423">
        <f t="shared" ca="1" si="1293"/>
        <v>0</v>
      </c>
      <c r="S890" s="1423">
        <f t="shared" ca="1" si="1294"/>
        <v>0</v>
      </c>
      <c r="T890" s="1423">
        <f t="shared" ca="1" si="1295"/>
        <v>0</v>
      </c>
      <c r="U890" s="1423">
        <f t="shared" ca="1" si="1296"/>
        <v>0</v>
      </c>
      <c r="V890" s="1423">
        <f t="shared" ca="1" si="1297"/>
        <v>0</v>
      </c>
      <c r="W890" s="1423">
        <f t="shared" ca="1" si="1298"/>
        <v>0</v>
      </c>
      <c r="X890" s="202"/>
      <c r="Y890" s="202"/>
      <c r="Z890" s="202"/>
      <c r="AA890" s="152"/>
      <c r="AB890" s="152"/>
    </row>
    <row r="891" spans="1:28" hidden="1" outlineLevel="1">
      <c r="A891" s="199">
        <f t="shared" si="1299"/>
        <v>8</v>
      </c>
      <c r="B891" s="190" t="str">
        <f t="shared" ca="1" si="1300"/>
        <v>Depreciated Net Capex 2023-24</v>
      </c>
      <c r="C891" s="1426"/>
      <c r="D891" s="1426"/>
      <c r="E891" s="1426"/>
      <c r="F891" s="1426"/>
      <c r="G891" s="1426"/>
      <c r="H891" s="1426"/>
      <c r="I891" s="1426"/>
      <c r="J891" s="1427"/>
      <c r="K891" s="1428">
        <f>(K878*((1+K$11)^0.5)/K$10)</f>
        <v>0</v>
      </c>
      <c r="L891" s="1423">
        <f ca="1">IF(K915="n/a",K891,IFERROR(IF((OFFSET($C891,0,$A891))&lt;0,
MIN(0,K891-(OFFSET($C891,0,$A891)/(OFFSET($C886,-$A890,$A891)))),
MAX(0,K891-(OFFSET($C891,0,$A891)/(OFFSET($C886,-$A890,$A891))))),0))</f>
        <v>0</v>
      </c>
      <c r="M891" s="1423">
        <f t="shared" ca="1" si="1288"/>
        <v>0</v>
      </c>
      <c r="N891" s="1423">
        <f t="shared" ca="1" si="1289"/>
        <v>0</v>
      </c>
      <c r="O891" s="1423">
        <f t="shared" ca="1" si="1290"/>
        <v>0</v>
      </c>
      <c r="P891" s="1423">
        <f t="shared" ca="1" si="1291"/>
        <v>0</v>
      </c>
      <c r="Q891" s="1423">
        <f t="shared" ca="1" si="1292"/>
        <v>0</v>
      </c>
      <c r="R891" s="1423">
        <f t="shared" ca="1" si="1293"/>
        <v>0</v>
      </c>
      <c r="S891" s="1423">
        <f t="shared" ca="1" si="1294"/>
        <v>0</v>
      </c>
      <c r="T891" s="1423">
        <f t="shared" ca="1" si="1295"/>
        <v>0</v>
      </c>
      <c r="U891" s="1423">
        <f t="shared" ca="1" si="1296"/>
        <v>0</v>
      </c>
      <c r="V891" s="1423">
        <f t="shared" ca="1" si="1297"/>
        <v>0</v>
      </c>
      <c r="W891" s="1423">
        <f t="shared" ca="1" si="1298"/>
        <v>0</v>
      </c>
      <c r="X891" s="202"/>
      <c r="Y891" s="202"/>
      <c r="Z891" s="202"/>
      <c r="AA891" s="152"/>
      <c r="AB891" s="152"/>
    </row>
    <row r="892" spans="1:28" hidden="1" outlineLevel="1">
      <c r="A892" s="199">
        <f t="shared" si="1299"/>
        <v>9</v>
      </c>
      <c r="B892" s="190" t="str">
        <f t="shared" ca="1" si="1300"/>
        <v>Depreciated Net Capex 2024-25</v>
      </c>
      <c r="C892" s="1426"/>
      <c r="D892" s="1426"/>
      <c r="E892" s="1426"/>
      <c r="F892" s="1426"/>
      <c r="G892" s="1426"/>
      <c r="H892" s="1426"/>
      <c r="I892" s="1426"/>
      <c r="J892" s="1426"/>
      <c r="K892" s="1427"/>
      <c r="L892" s="1428">
        <f>(L878*((1+L$11)^0.5)/L$10)</f>
        <v>0</v>
      </c>
      <c r="M892" s="1423">
        <f ca="1">IF(L916="n/a",L892,IFERROR(IF((OFFSET($C892,0,$A892))&lt;0,
MIN(0,L892-(OFFSET($C892,0,$A892)/(OFFSET($C887,-$A891,$A892)))),
MAX(0,L892-(OFFSET($C892,0,$A892)/(OFFSET($C887,-$A891,$A892))))),0))</f>
        <v>0</v>
      </c>
      <c r="N892" s="1423">
        <f t="shared" ca="1" si="1289"/>
        <v>0</v>
      </c>
      <c r="O892" s="1423">
        <f t="shared" ca="1" si="1290"/>
        <v>0</v>
      </c>
      <c r="P892" s="1423">
        <f t="shared" ca="1" si="1291"/>
        <v>0</v>
      </c>
      <c r="Q892" s="1423">
        <f t="shared" ca="1" si="1292"/>
        <v>0</v>
      </c>
      <c r="R892" s="1423">
        <f t="shared" ca="1" si="1293"/>
        <v>0</v>
      </c>
      <c r="S892" s="1423">
        <f t="shared" ca="1" si="1294"/>
        <v>0</v>
      </c>
      <c r="T892" s="1423">
        <f t="shared" ca="1" si="1295"/>
        <v>0</v>
      </c>
      <c r="U892" s="1423">
        <f t="shared" ca="1" si="1296"/>
        <v>0</v>
      </c>
      <c r="V892" s="1423">
        <f t="shared" ca="1" si="1297"/>
        <v>0</v>
      </c>
      <c r="W892" s="1423">
        <f t="shared" ca="1" si="1298"/>
        <v>0</v>
      </c>
      <c r="X892" s="202"/>
      <c r="Y892" s="202"/>
      <c r="Z892" s="202"/>
      <c r="AA892" s="152"/>
      <c r="AB892" s="152"/>
    </row>
    <row r="893" spans="1:28" hidden="1" outlineLevel="1">
      <c r="A893" s="199">
        <f t="shared" si="1299"/>
        <v>10</v>
      </c>
      <c r="B893" s="190" t="str">
        <f t="shared" ca="1" si="1300"/>
        <v>Depreciated Net Capex 2025-26</v>
      </c>
      <c r="C893" s="1426"/>
      <c r="D893" s="1426"/>
      <c r="E893" s="1426"/>
      <c r="F893" s="1426"/>
      <c r="G893" s="1426"/>
      <c r="H893" s="1426"/>
      <c r="I893" s="1426"/>
      <c r="J893" s="1426"/>
      <c r="K893" s="1426"/>
      <c r="L893" s="1427"/>
      <c r="M893" s="1428">
        <f>(M878*((1+M$11)^0.5)/M$10)</f>
        <v>0</v>
      </c>
      <c r="N893" s="1423">
        <f ca="1">IF(M917="n/a",M893,IFERROR(IF((OFFSET($C893,0,$A893))&lt;0,
MIN(0,M893-(OFFSET($C893,0,$A893)/(OFFSET($C888,-$A892,$A893)))),
MAX(0,M893-(OFFSET($C893,0,$A893)/(OFFSET($C888,-$A892,$A893))))),0))</f>
        <v>0</v>
      </c>
      <c r="O893" s="1423">
        <f t="shared" ca="1" si="1290"/>
        <v>0</v>
      </c>
      <c r="P893" s="1423">
        <f t="shared" ca="1" si="1291"/>
        <v>0</v>
      </c>
      <c r="Q893" s="1423">
        <f t="shared" ca="1" si="1292"/>
        <v>0</v>
      </c>
      <c r="R893" s="1423">
        <f t="shared" ca="1" si="1293"/>
        <v>0</v>
      </c>
      <c r="S893" s="1423">
        <f t="shared" ca="1" si="1294"/>
        <v>0</v>
      </c>
      <c r="T893" s="1423">
        <f t="shared" ca="1" si="1295"/>
        <v>0</v>
      </c>
      <c r="U893" s="1423">
        <f t="shared" ca="1" si="1296"/>
        <v>0</v>
      </c>
      <c r="V893" s="1423">
        <f t="shared" ca="1" si="1297"/>
        <v>0</v>
      </c>
      <c r="W893" s="1423">
        <f t="shared" ca="1" si="1298"/>
        <v>0</v>
      </c>
      <c r="X893" s="202"/>
      <c r="Y893" s="202"/>
      <c r="Z893" s="202"/>
      <c r="AA893" s="152"/>
      <c r="AB893" s="152"/>
    </row>
    <row r="894" spans="1:28" hidden="1" outlineLevel="1">
      <c r="A894" s="199">
        <f t="shared" si="1299"/>
        <v>11</v>
      </c>
      <c r="B894" s="190" t="str">
        <f t="shared" ca="1" si="1300"/>
        <v>Depreciated Net Capex 2026-27</v>
      </c>
      <c r="C894" s="1426"/>
      <c r="D894" s="1426"/>
      <c r="E894" s="1426"/>
      <c r="F894" s="1426"/>
      <c r="G894" s="1426"/>
      <c r="H894" s="1426"/>
      <c r="I894" s="1426"/>
      <c r="J894" s="1426"/>
      <c r="K894" s="1426"/>
      <c r="L894" s="1426"/>
      <c r="M894" s="1427"/>
      <c r="N894" s="1428">
        <f>(N878*((1+N$11)^0.5)/N$10)</f>
        <v>0</v>
      </c>
      <c r="O894" s="1423">
        <f ca="1">IF(N918="n/a",N894,IFERROR(IF((OFFSET($C894,0,$A894))&lt;0,
MIN(0,N894-(OFFSET($C894,0,$A894)/(OFFSET($C889,-$A893,$A894)))),
MAX(0,N894-(OFFSET($C894,0,$A894)/(OFFSET($C889,-$A893,$A894))))),0))</f>
        <v>0</v>
      </c>
      <c r="P894" s="1423">
        <f t="shared" ca="1" si="1291"/>
        <v>0</v>
      </c>
      <c r="Q894" s="1423">
        <f t="shared" ca="1" si="1292"/>
        <v>0</v>
      </c>
      <c r="R894" s="1423">
        <f t="shared" ca="1" si="1293"/>
        <v>0</v>
      </c>
      <c r="S894" s="1423">
        <f t="shared" ca="1" si="1294"/>
        <v>0</v>
      </c>
      <c r="T894" s="1423">
        <f t="shared" ca="1" si="1295"/>
        <v>0</v>
      </c>
      <c r="U894" s="1423">
        <f t="shared" ca="1" si="1296"/>
        <v>0</v>
      </c>
      <c r="V894" s="1423">
        <f t="shared" ca="1" si="1297"/>
        <v>0</v>
      </c>
      <c r="W894" s="1423">
        <f t="shared" ca="1" si="1298"/>
        <v>0</v>
      </c>
      <c r="X894" s="202"/>
      <c r="Y894" s="202"/>
      <c r="Z894" s="202"/>
      <c r="AA894" s="152"/>
      <c r="AB894" s="152"/>
    </row>
    <row r="895" spans="1:28" hidden="1" outlineLevel="1">
      <c r="A895" s="199">
        <f t="shared" si="1299"/>
        <v>12</v>
      </c>
      <c r="B895" s="190" t="str">
        <f t="shared" ca="1" si="1300"/>
        <v>Depreciated Net Capex 2027-28</v>
      </c>
      <c r="C895" s="1426"/>
      <c r="D895" s="1426"/>
      <c r="E895" s="1426"/>
      <c r="F895" s="1426"/>
      <c r="G895" s="1426"/>
      <c r="H895" s="1426"/>
      <c r="I895" s="1426"/>
      <c r="J895" s="1426"/>
      <c r="K895" s="1426"/>
      <c r="L895" s="1426"/>
      <c r="M895" s="1426"/>
      <c r="N895" s="1427"/>
      <c r="O895" s="1428">
        <f>(O878*((1+O$11)^0.5)/O$10)</f>
        <v>0</v>
      </c>
      <c r="P895" s="1423">
        <f ca="1">IF(O919="n/a",O895,IFERROR(IF((OFFSET($C895,0,$A895))&lt;0,
MIN(0,O895-(OFFSET($C895,0,$A895)/(OFFSET($C890,-$A894,$A895)))),
MAX(0,O895-(OFFSET($C895,0,$A895)/(OFFSET($C890,-$A894,$A895))))),0))</f>
        <v>0</v>
      </c>
      <c r="Q895" s="1423">
        <f t="shared" ca="1" si="1292"/>
        <v>0</v>
      </c>
      <c r="R895" s="1423">
        <f t="shared" ca="1" si="1293"/>
        <v>0</v>
      </c>
      <c r="S895" s="1423">
        <f t="shared" ca="1" si="1294"/>
        <v>0</v>
      </c>
      <c r="T895" s="1423">
        <f t="shared" ca="1" si="1295"/>
        <v>0</v>
      </c>
      <c r="U895" s="1423">
        <f t="shared" ca="1" si="1296"/>
        <v>0</v>
      </c>
      <c r="V895" s="1423">
        <f t="shared" ca="1" si="1297"/>
        <v>0</v>
      </c>
      <c r="W895" s="1423">
        <f t="shared" ca="1" si="1298"/>
        <v>0</v>
      </c>
      <c r="X895" s="202"/>
      <c r="Y895" s="202"/>
      <c r="Z895" s="202"/>
      <c r="AA895" s="152"/>
      <c r="AB895" s="152"/>
    </row>
    <row r="896" spans="1:28" hidden="1" outlineLevel="1">
      <c r="A896" s="199">
        <f t="shared" si="1299"/>
        <v>13</v>
      </c>
      <c r="B896" s="190" t="str">
        <f t="shared" ca="1" si="1300"/>
        <v>Depreciated Net Capex 2028-29</v>
      </c>
      <c r="C896" s="1426"/>
      <c r="D896" s="1426"/>
      <c r="E896" s="1426"/>
      <c r="F896" s="1426"/>
      <c r="G896" s="1426"/>
      <c r="H896" s="1426"/>
      <c r="I896" s="1426"/>
      <c r="J896" s="1426"/>
      <c r="K896" s="1426"/>
      <c r="L896" s="1426"/>
      <c r="M896" s="1426"/>
      <c r="N896" s="1426"/>
      <c r="O896" s="1427"/>
      <c r="P896" s="1428">
        <f>(P878*((1+P$11)^0.5)/P$10)</f>
        <v>0</v>
      </c>
      <c r="Q896" s="1423">
        <f ca="1">IF(P920="n/a",P896,IFERROR(IF((OFFSET($C896,0,$A896))&lt;0,
MIN(0,P896-(OFFSET($C896,0,$A896)/(OFFSET($C891,-$A895,$A896)))),
MAX(0,P896-(OFFSET($C896,0,$A896)/(OFFSET($C891,-$A895,$A896))))),0))</f>
        <v>0</v>
      </c>
      <c r="R896" s="1423">
        <f t="shared" ca="1" si="1293"/>
        <v>0</v>
      </c>
      <c r="S896" s="1423">
        <f t="shared" ca="1" si="1294"/>
        <v>0</v>
      </c>
      <c r="T896" s="1423">
        <f t="shared" ca="1" si="1295"/>
        <v>0</v>
      </c>
      <c r="U896" s="1423">
        <f t="shared" ca="1" si="1296"/>
        <v>0</v>
      </c>
      <c r="V896" s="1423">
        <f t="shared" ca="1" si="1297"/>
        <v>0</v>
      </c>
      <c r="W896" s="1423">
        <f t="shared" ca="1" si="1298"/>
        <v>0</v>
      </c>
      <c r="X896" s="202"/>
      <c r="Y896" s="202"/>
      <c r="Z896" s="202"/>
      <c r="AA896" s="152"/>
      <c r="AB896" s="152"/>
    </row>
    <row r="897" spans="1:28" hidden="1" outlineLevel="1">
      <c r="A897" s="199">
        <f t="shared" si="1299"/>
        <v>14</v>
      </c>
      <c r="B897" s="190" t="str">
        <f t="shared" ca="1" si="1300"/>
        <v>Depreciated Net Capex 2029-30</v>
      </c>
      <c r="C897" s="1426"/>
      <c r="D897" s="1426"/>
      <c r="E897" s="1426"/>
      <c r="F897" s="1426"/>
      <c r="G897" s="1426"/>
      <c r="H897" s="1426"/>
      <c r="I897" s="1426"/>
      <c r="J897" s="1426"/>
      <c r="K897" s="1426"/>
      <c r="L897" s="1426"/>
      <c r="M897" s="1426"/>
      <c r="N897" s="1426"/>
      <c r="O897" s="1426"/>
      <c r="P897" s="1427"/>
      <c r="Q897" s="1428">
        <f>(Q878*((1+Q$11)^0.5)/Q$10)</f>
        <v>0</v>
      </c>
      <c r="R897" s="1423">
        <f ca="1">IF(Q921="n/a",Q897,IFERROR(IF((OFFSET($C897,0,$A897))&lt;0,
MIN(0,Q897-(OFFSET($C897,0,$A897)/(OFFSET($C892,-$A896,$A897)))),
MAX(0,Q897-(OFFSET($C897,0,$A897)/(OFFSET($C892,-$A896,$A897))))),0))</f>
        <v>0</v>
      </c>
      <c r="S897" s="1423">
        <f t="shared" ca="1" si="1294"/>
        <v>0</v>
      </c>
      <c r="T897" s="1423">
        <f t="shared" ca="1" si="1295"/>
        <v>0</v>
      </c>
      <c r="U897" s="1423">
        <f t="shared" ca="1" si="1296"/>
        <v>0</v>
      </c>
      <c r="V897" s="1423">
        <f t="shared" ca="1" si="1297"/>
        <v>0</v>
      </c>
      <c r="W897" s="1423">
        <f t="shared" ca="1" si="1298"/>
        <v>0</v>
      </c>
      <c r="X897" s="202"/>
      <c r="Y897" s="202"/>
      <c r="Z897" s="202"/>
      <c r="AA897" s="152"/>
      <c r="AB897" s="152"/>
    </row>
    <row r="898" spans="1:28" hidden="1" outlineLevel="1">
      <c r="A898" s="199">
        <f t="shared" si="1299"/>
        <v>15</v>
      </c>
      <c r="B898" s="190" t="str">
        <f t="shared" ca="1" si="1300"/>
        <v>Depreciated Net Capex 2030-31</v>
      </c>
      <c r="C898" s="1426"/>
      <c r="D898" s="1426"/>
      <c r="E898" s="1426"/>
      <c r="F898" s="1426"/>
      <c r="G898" s="1426"/>
      <c r="H898" s="1426"/>
      <c r="I898" s="1426"/>
      <c r="J898" s="1426"/>
      <c r="K898" s="1426"/>
      <c r="L898" s="1426"/>
      <c r="M898" s="1426"/>
      <c r="N898" s="1426"/>
      <c r="O898" s="1426"/>
      <c r="P898" s="1426"/>
      <c r="Q898" s="1427"/>
      <c r="R898" s="1428">
        <f>(R878*((1+R$11)^0.5)/R$10)</f>
        <v>0</v>
      </c>
      <c r="S898" s="1423">
        <f ca="1">IF(R922="n/a",R898,IFERROR(IF((OFFSET($C898,0,$A898))&lt;0,
MIN(0,R898-(OFFSET($C898,0,$A898)/(OFFSET($C893,-$A897,$A898)))),
MAX(0,R898-(OFFSET($C898,0,$A898)/(OFFSET($C893,-$A897,$A898))))),0))</f>
        <v>0</v>
      </c>
      <c r="T898" s="1423">
        <f t="shared" ca="1" si="1295"/>
        <v>0</v>
      </c>
      <c r="U898" s="1423">
        <f t="shared" ca="1" si="1296"/>
        <v>0</v>
      </c>
      <c r="V898" s="1423">
        <f t="shared" ca="1" si="1297"/>
        <v>0</v>
      </c>
      <c r="W898" s="1423">
        <f t="shared" ca="1" si="1298"/>
        <v>0</v>
      </c>
      <c r="X898" s="202"/>
      <c r="Y898" s="202"/>
      <c r="Z898" s="202"/>
      <c r="AA898" s="152"/>
      <c r="AB898" s="152"/>
    </row>
    <row r="899" spans="1:28" hidden="1" outlineLevel="1">
      <c r="A899" s="199">
        <f t="shared" si="1299"/>
        <v>16</v>
      </c>
      <c r="B899" s="190" t="str">
        <f t="shared" ca="1" si="1300"/>
        <v>Depreciated Net Capex 2031-32</v>
      </c>
      <c r="C899" s="1426"/>
      <c r="D899" s="1426"/>
      <c r="E899" s="1426"/>
      <c r="F899" s="1426"/>
      <c r="G899" s="1426"/>
      <c r="H899" s="1426"/>
      <c r="I899" s="1426"/>
      <c r="J899" s="1426"/>
      <c r="K899" s="1426"/>
      <c r="L899" s="1426"/>
      <c r="M899" s="1426"/>
      <c r="N899" s="1426"/>
      <c r="O899" s="1426"/>
      <c r="P899" s="1426"/>
      <c r="Q899" s="1426"/>
      <c r="R899" s="1427"/>
      <c r="S899" s="1428">
        <f>(S878*((1+S$11)^0.5)/S$10)</f>
        <v>0</v>
      </c>
      <c r="T899" s="1423">
        <f ca="1">IF(S923="n/a",S899,IFERROR(IF((OFFSET($C899,0,$A899))&lt;0,
MIN(0,S899-(OFFSET($C899,0,$A899)/(OFFSET($C894,-$A898,$A899)))),
MAX(0,S899-(OFFSET($C899,0,$A899)/(OFFSET($C894,-$A898,$A899))))),0))</f>
        <v>0</v>
      </c>
      <c r="U899" s="1423">
        <f t="shared" ca="1" si="1296"/>
        <v>0</v>
      </c>
      <c r="V899" s="1423">
        <f t="shared" ca="1" si="1297"/>
        <v>0</v>
      </c>
      <c r="W899" s="1423">
        <f t="shared" ca="1" si="1298"/>
        <v>0</v>
      </c>
      <c r="X899" s="202"/>
      <c r="Y899" s="202"/>
      <c r="Z899" s="202"/>
      <c r="AA899" s="152"/>
      <c r="AB899" s="152"/>
    </row>
    <row r="900" spans="1:28" hidden="1" outlineLevel="1">
      <c r="A900" s="199">
        <f t="shared" si="1299"/>
        <v>17</v>
      </c>
      <c r="B900" s="190" t="str">
        <f t="shared" ca="1" si="1300"/>
        <v>Depreciated Net Capex 2032-33</v>
      </c>
      <c r="C900" s="1426"/>
      <c r="D900" s="1426"/>
      <c r="E900" s="1426"/>
      <c r="F900" s="1426"/>
      <c r="G900" s="1426"/>
      <c r="H900" s="1426"/>
      <c r="I900" s="1426"/>
      <c r="J900" s="1426"/>
      <c r="K900" s="1426"/>
      <c r="L900" s="1426"/>
      <c r="M900" s="1426"/>
      <c r="N900" s="1426"/>
      <c r="O900" s="1426"/>
      <c r="P900" s="1426"/>
      <c r="Q900" s="1426"/>
      <c r="R900" s="1426"/>
      <c r="S900" s="1427"/>
      <c r="T900" s="1428">
        <f>(T878*((1+T$11)^0.5)/T$10)</f>
        <v>0</v>
      </c>
      <c r="U900" s="1423">
        <f ca="1">IF(T924="n/a",T900,IFERROR(IF((OFFSET($C900,0,$A900))&lt;0,
MIN(0,T900-(OFFSET($C900,0,$A900)/(OFFSET($C895,-$A899,$A900)))),
MAX(0,T900-(OFFSET($C900,0,$A900)/(OFFSET($C895,-$A899,$A900))))),0))</f>
        <v>0</v>
      </c>
      <c r="V900" s="1423">
        <f t="shared" ca="1" si="1297"/>
        <v>0</v>
      </c>
      <c r="W900" s="1423">
        <f t="shared" ca="1" si="1298"/>
        <v>0</v>
      </c>
      <c r="X900" s="202"/>
      <c r="Y900" s="202"/>
      <c r="Z900" s="202"/>
      <c r="AA900" s="152"/>
      <c r="AB900" s="152"/>
    </row>
    <row r="901" spans="1:28" hidden="1" outlineLevel="1">
      <c r="A901" s="199">
        <f t="shared" si="1299"/>
        <v>18</v>
      </c>
      <c r="B901" s="190" t="str">
        <f t="shared" ca="1" si="1300"/>
        <v>Depreciated Net Capex 2033-34</v>
      </c>
      <c r="C901" s="1426"/>
      <c r="D901" s="1426"/>
      <c r="E901" s="1426"/>
      <c r="F901" s="1426"/>
      <c r="G901" s="1426"/>
      <c r="H901" s="1426"/>
      <c r="I901" s="1426"/>
      <c r="J901" s="1426"/>
      <c r="K901" s="1426"/>
      <c r="L901" s="1426"/>
      <c r="M901" s="1426"/>
      <c r="N901" s="1426"/>
      <c r="O901" s="1426"/>
      <c r="P901" s="1426"/>
      <c r="Q901" s="1426"/>
      <c r="R901" s="1426"/>
      <c r="S901" s="1426"/>
      <c r="T901" s="1427"/>
      <c r="U901" s="1428">
        <f>(U878*((1+U$11)^0.5)/U$10)</f>
        <v>0</v>
      </c>
      <c r="V901" s="1423">
        <f ca="1">IF(U925="n/a",U901,IFERROR(IF((OFFSET($C901,0,$A901))&lt;0,
MIN(0,U901-(OFFSET($C901,0,$A901)/(OFFSET($C896,-$A900,$A901)))),
MAX(0,U901-(OFFSET($C901,0,$A901)/(OFFSET($C896,-$A900,$A901))))),0))</f>
        <v>0</v>
      </c>
      <c r="W901" s="1423">
        <f t="shared" ca="1" si="1298"/>
        <v>0</v>
      </c>
      <c r="X901" s="202"/>
      <c r="Y901" s="202"/>
      <c r="Z901" s="202"/>
      <c r="AA901" s="152"/>
      <c r="AB901" s="152"/>
    </row>
    <row r="902" spans="1:28" hidden="1" outlineLevel="1">
      <c r="A902" s="199">
        <f t="shared" si="1299"/>
        <v>19</v>
      </c>
      <c r="B902" s="190" t="str">
        <f t="shared" ca="1" si="1300"/>
        <v>Depreciated Net Capex 2034-35</v>
      </c>
      <c r="C902" s="1426"/>
      <c r="D902" s="1426"/>
      <c r="E902" s="1426"/>
      <c r="F902" s="1426"/>
      <c r="G902" s="1426"/>
      <c r="H902" s="1426"/>
      <c r="I902" s="1426"/>
      <c r="J902" s="1426"/>
      <c r="K902" s="1426"/>
      <c r="L902" s="1426"/>
      <c r="M902" s="1426"/>
      <c r="N902" s="1426"/>
      <c r="O902" s="1426"/>
      <c r="P902" s="1426"/>
      <c r="Q902" s="1426"/>
      <c r="R902" s="1426"/>
      <c r="S902" s="1426"/>
      <c r="T902" s="1426"/>
      <c r="U902" s="1427"/>
      <c r="V902" s="1428">
        <f>(V878*((1+V$11)^0.5)/V$10)</f>
        <v>0</v>
      </c>
      <c r="W902" s="1423">
        <f ca="1">IF(V926="n/a",V902,IFERROR(IF((OFFSET($C902,0,$A902))&lt;0,
MIN(0,V902-(OFFSET($C902,0,$A902)/(OFFSET($C897,-$A901,$A902)))),
MAX(0,V902-(OFFSET($C902,0,$A902)/(OFFSET($C897,-$A901,$A902))))),0))</f>
        <v>0</v>
      </c>
      <c r="X902" s="202"/>
      <c r="Y902" s="202"/>
      <c r="Z902" s="202"/>
      <c r="AA902" s="152"/>
      <c r="AB902" s="152"/>
    </row>
    <row r="903" spans="1:28" hidden="1" outlineLevel="1">
      <c r="A903" s="199">
        <f t="shared" si="1299"/>
        <v>20</v>
      </c>
      <c r="B903" s="190" t="str">
        <f ca="1">"Depreciated Net Capex "&amp;OFFSET($C$6,0,A903)</f>
        <v>Depreciated Net Capex 2035-36</v>
      </c>
      <c r="C903" s="1426"/>
      <c r="D903" s="1426"/>
      <c r="E903" s="1426"/>
      <c r="F903" s="1426"/>
      <c r="G903" s="1426"/>
      <c r="H903" s="1426"/>
      <c r="I903" s="1426"/>
      <c r="J903" s="1426"/>
      <c r="K903" s="1426"/>
      <c r="L903" s="1426"/>
      <c r="M903" s="1426"/>
      <c r="N903" s="1426"/>
      <c r="O903" s="1426"/>
      <c r="P903" s="1426"/>
      <c r="Q903" s="1426"/>
      <c r="R903" s="1426"/>
      <c r="S903" s="1426"/>
      <c r="T903" s="1426"/>
      <c r="U903" s="1426"/>
      <c r="V903" s="1427"/>
      <c r="W903" s="1423">
        <f>(W878*((1+W$11)^0.5)/W$10)</f>
        <v>0</v>
      </c>
      <c r="X903" s="152"/>
      <c r="Y903" s="152"/>
      <c r="Z903" s="152"/>
      <c r="AA903" s="152"/>
      <c r="AB903" s="152"/>
    </row>
    <row r="904" spans="1:28" hidden="1" outlineLevel="1">
      <c r="A904" s="152"/>
      <c r="B904" s="200"/>
      <c r="C904" s="1423"/>
      <c r="D904" s="1423"/>
      <c r="E904" s="1423"/>
      <c r="F904" s="1423"/>
      <c r="G904" s="1423"/>
      <c r="H904" s="1423"/>
      <c r="I904" s="1423"/>
      <c r="J904" s="1423"/>
      <c r="K904" s="1423"/>
      <c r="L904" s="1423"/>
      <c r="M904" s="1423"/>
      <c r="N904" s="1423"/>
      <c r="O904" s="1423"/>
      <c r="P904" s="1423"/>
      <c r="Q904" s="1423"/>
      <c r="R904" s="1423"/>
      <c r="S904" s="1423"/>
      <c r="T904" s="1423"/>
      <c r="U904" s="1423"/>
      <c r="V904" s="1423"/>
      <c r="W904" s="1423"/>
      <c r="X904" s="152"/>
      <c r="Y904" s="152"/>
      <c r="Z904" s="152"/>
      <c r="AA904" s="152"/>
      <c r="AB904" s="152"/>
    </row>
    <row r="905" spans="1:28" hidden="1" outlineLevel="1">
      <c r="A905" s="152"/>
      <c r="B905" s="200"/>
      <c r="C905" s="1423"/>
      <c r="D905" s="1423"/>
      <c r="E905" s="1423"/>
      <c r="F905" s="1423"/>
      <c r="G905" s="1423"/>
      <c r="H905" s="1423"/>
      <c r="I905" s="1423"/>
      <c r="J905" s="1423"/>
      <c r="K905" s="1423"/>
      <c r="L905" s="1423"/>
      <c r="M905" s="1423"/>
      <c r="N905" s="1423"/>
      <c r="O905" s="1423"/>
      <c r="P905" s="1423"/>
      <c r="Q905" s="1423"/>
      <c r="R905" s="1423"/>
      <c r="S905" s="1423"/>
      <c r="T905" s="1423"/>
      <c r="U905" s="1423"/>
      <c r="V905" s="1423"/>
      <c r="W905" s="1423"/>
      <c r="X905" s="152"/>
      <c r="Y905" s="152"/>
      <c r="Z905" s="152"/>
      <c r="AA905" s="152"/>
      <c r="AB905" s="152"/>
    </row>
    <row r="906" spans="1:28" hidden="1" outlineLevel="1">
      <c r="A906" s="152"/>
      <c r="B906" s="190" t="s">
        <v>190</v>
      </c>
      <c r="C906" s="1423"/>
      <c r="D906" s="1423">
        <f ca="1">IF(AND(C906&lt;1,D880=0),0,
IF(D880=0,C906-1,
IF(C906&lt;1,D881,
(((C906-1)*(C882-(C882/(C906))))+((D880/D$10)*D881))/(D882))))</f>
        <v>0</v>
      </c>
      <c r="E906" s="1423">
        <f t="shared" ref="E906" ca="1" si="1301">IF(AND(D906&lt;1,E880=0),0,
IF(E880=0,D906-1,
IF(D906&lt;1,E881,
(((D906-1)*(D882-(D882/(D906))))+((E880/E$10)*E881))/(E882))))</f>
        <v>0</v>
      </c>
      <c r="F906" s="1423">
        <f t="shared" ref="F906" ca="1" si="1302">IF(AND(E906&lt;1,F880=0),0,
IF(F880=0,E906-1,
IF(E906&lt;1,F881,
(((E906-1)*(E882-(E882/(E906))))+((F880/F$10)*F881))/(F882))))</f>
        <v>0</v>
      </c>
      <c r="G906" s="1423">
        <f t="shared" ref="G906" ca="1" si="1303">IF(AND(F906&lt;1,G880=0),0,
IF(G880=0,F906-1,
IF(F906&lt;1,G881,
(((F906-1)*(F882-(F882/(F906))))+((G880/G$10)*G881))/(G882))))</f>
        <v>0</v>
      </c>
      <c r="H906" s="1423">
        <f t="shared" ref="H906" ca="1" si="1304">IF(AND(G906&lt;1,H880=0),0,
IF(H880=0,G906-1,
IF(G906&lt;1,H881,
(((G906-1)*(G882-(G882/(G906))))+((H880/H$10)*H881))/(H882))))</f>
        <v>0</v>
      </c>
      <c r="I906" s="1423">
        <f t="shared" ref="I906" ca="1" si="1305">IF(AND(H906&lt;1,I880=0),0,
IF(I880=0,H906-1,
IF(H906&lt;1,I881,
(((H906-1)*(H882-(H882/(H906))))+((I880/I$10)*I881))/(I882))))</f>
        <v>0</v>
      </c>
      <c r="J906" s="1423">
        <f t="shared" ref="J906" ca="1" si="1306">IF(AND(I906&lt;1,J880=0),0,
IF(J880=0,I906-1,
IF(I906&lt;1,J881,
(((I906-1)*(I882-(I882/(I906))))+((J880/J$10)*J881))/(J882))))</f>
        <v>0</v>
      </c>
      <c r="K906" s="1423">
        <f t="shared" ref="K906" ca="1" si="1307">IF(AND(J906&lt;1,K880=0),0,
IF(K880=0,J906-1,
IF(J906&lt;1,K881,
(((J906-1)*(J882-(J882/(J906))))+((K880/K$10)*K881))/(K882))))</f>
        <v>0</v>
      </c>
      <c r="L906" s="1423">
        <f t="shared" ref="L906" ca="1" si="1308">IF(AND(K906&lt;1,L880=0),0,
IF(L880=0,K906-1,
IF(K906&lt;1,L881,
(((K906-1)*(K882-(K882/(K906))))+((L880/L$10)*L881))/(L882))))</f>
        <v>0</v>
      </c>
      <c r="M906" s="1423">
        <f t="shared" ref="M906" ca="1" si="1309">IF(AND(L906&lt;1,M880=0),0,
IF(M880=0,L906-1,
IF(L906&lt;1,M881,
(((L906-1)*(L882-(L882/(L906))))+((M880/M$10)*M881))/(M882))))</f>
        <v>0</v>
      </c>
      <c r="N906" s="1423">
        <f t="shared" ref="N906" ca="1" si="1310">IF(AND(M906&lt;1,N880=0),0,
IF(N880=0,M906-1,
IF(M906&lt;1,N881,
(((M906-1)*(M882-(M882/(M906))))+((N880/N$10)*N881))/(N882))))</f>
        <v>0</v>
      </c>
      <c r="O906" s="1423">
        <f t="shared" ref="O906" ca="1" si="1311">IF(AND(N906&lt;1,O880=0),0,
IF(O880=0,N906-1,
IF(N906&lt;1,O881,
(((N906-1)*(N882-(N882/(N906))))+((O880/O$10)*O881))/(O882))))</f>
        <v>0</v>
      </c>
      <c r="P906" s="1423">
        <f t="shared" ref="P906" ca="1" si="1312">IF(AND(O906&lt;1,P880=0),0,
IF(P880=0,O906-1,
IF(O906&lt;1,P881,
(((O906-1)*(O882-(O882/(O906))))+((P880/P$10)*P881))/(P882))))</f>
        <v>0</v>
      </c>
      <c r="Q906" s="1423">
        <f t="shared" ref="Q906" ca="1" si="1313">IF(AND(P906&lt;1,Q880=0),0,
IF(Q880=0,P906-1,
IF(P906&lt;1,Q881,
(((P906-1)*(P882-(P882/(P906))))+((Q880/Q$10)*Q881))/(Q882))))</f>
        <v>0</v>
      </c>
      <c r="R906" s="1423">
        <f t="shared" ref="R906" ca="1" si="1314">IF(AND(Q906&lt;1,R880=0),0,
IF(R880=0,Q906-1,
IF(Q906&lt;1,R881,
(((Q906-1)*(Q882-(Q882/(Q906))))+((R880/R$10)*R881))/(R882))))</f>
        <v>0</v>
      </c>
      <c r="S906" s="1423">
        <f t="shared" ref="S906" ca="1" si="1315">IF(AND(R906&lt;1,S880=0),0,
IF(S880=0,R906-1,
IF(R906&lt;1,S881,
(((R906-1)*(R882-(R882/(R906))))+((S880/S$10)*S881))/(S882))))</f>
        <v>0</v>
      </c>
      <c r="T906" s="1423">
        <f t="shared" ref="T906" ca="1" si="1316">IF(AND(S906&lt;1,T880=0),0,
IF(T880=0,S906-1,
IF(S906&lt;1,T881,
(((S906-1)*(S882-(S882/(S906))))+((T880/T$10)*T881))/(T882))))</f>
        <v>0</v>
      </c>
      <c r="U906" s="1423">
        <f t="shared" ref="U906" ca="1" si="1317">IF(AND(T906&lt;1,U880=0),0,
IF(U880=0,T906-1,
IF(T906&lt;1,U881,
(((T906-1)*(T882-(T882/(T906))))+((U880/U$10)*U881))/(U882))))</f>
        <v>0</v>
      </c>
      <c r="V906" s="1423">
        <f t="shared" ref="V906" ca="1" si="1318">IF(AND(U906&lt;1,V880=0),0,
IF(V880=0,U906-1,
IF(U906&lt;1,V881,
(((U906-1)*(U882-(U882/(U906))))+((V880/V$10)*V881))/(V882))))</f>
        <v>0</v>
      </c>
      <c r="W906" s="1423">
        <f t="shared" ref="W906" ca="1" si="1319">IF(AND(V906&lt;1,W880=0),0,
IF(W880=0,V906-1,
IF(V906&lt;1,W881,
(((V906-1)*(V882-(V882/(V906))))+((W880/W$10)*W881))/(W882))))</f>
        <v>0</v>
      </c>
      <c r="X906" s="152"/>
      <c r="Y906" s="152"/>
      <c r="Z906" s="152"/>
      <c r="AA906" s="152"/>
      <c r="AB906" s="152"/>
    </row>
    <row r="907" spans="1:28" hidden="1" outlineLevel="1">
      <c r="A907" s="152"/>
      <c r="B907" s="190" t="s">
        <v>122</v>
      </c>
      <c r="C907" s="1423">
        <f ca="1">C879</f>
        <v>0</v>
      </c>
      <c r="D907" s="1423">
        <f t="shared" ref="D907" ca="1" si="1320">IF(C907="n/a","n/a",MAX(0,C907-1))</f>
        <v>0</v>
      </c>
      <c r="E907" s="1423">
        <f t="shared" ref="E907:E908" ca="1" si="1321">IF(D907="n/a","n/a",MAX(0,D907-1))</f>
        <v>0</v>
      </c>
      <c r="F907" s="1423">
        <f t="shared" ref="F907:F909" ca="1" si="1322">IF(E907="n/a","n/a",MAX(0,E907-1))</f>
        <v>0</v>
      </c>
      <c r="G907" s="1423">
        <f t="shared" ref="G907:G910" ca="1" si="1323">IF(F907="n/a","n/a",MAX(0,F907-1))</f>
        <v>0</v>
      </c>
      <c r="H907" s="1423">
        <f t="shared" ref="H907:H911" ca="1" si="1324">IF(G907="n/a","n/a",MAX(0,G907-1))</f>
        <v>0</v>
      </c>
      <c r="I907" s="1423">
        <f t="shared" ref="I907:I912" ca="1" si="1325">IF(H907="n/a","n/a",MAX(0,H907-1))</f>
        <v>0</v>
      </c>
      <c r="J907" s="1423">
        <f t="shared" ref="J907:J913" ca="1" si="1326">IF(I907="n/a","n/a",MAX(0,I907-1))</f>
        <v>0</v>
      </c>
      <c r="K907" s="1423">
        <f t="shared" ref="K907:K914" ca="1" si="1327">IF(J907="n/a","n/a",MAX(0,J907-1))</f>
        <v>0</v>
      </c>
      <c r="L907" s="1423">
        <f t="shared" ref="L907:L915" ca="1" si="1328">IF(K907="n/a","n/a",MAX(0,K907-1))</f>
        <v>0</v>
      </c>
      <c r="M907" s="1423">
        <f t="shared" ref="M907:M916" ca="1" si="1329">IF(L907="n/a","n/a",MAX(0,L907-1))</f>
        <v>0</v>
      </c>
      <c r="N907" s="1423">
        <f t="shared" ref="N907:N917" ca="1" si="1330">IF(M907="n/a","n/a",MAX(0,M907-1))</f>
        <v>0</v>
      </c>
      <c r="O907" s="1423">
        <f t="shared" ref="O907:O918" ca="1" si="1331">IF(N907="n/a","n/a",MAX(0,N907-1))</f>
        <v>0</v>
      </c>
      <c r="P907" s="1423">
        <f t="shared" ref="P907:P919" ca="1" si="1332">IF(O907="n/a","n/a",MAX(0,O907-1))</f>
        <v>0</v>
      </c>
      <c r="Q907" s="1423">
        <f t="shared" ref="Q907:Q920" ca="1" si="1333">IF(P907="n/a","n/a",MAX(0,P907-1))</f>
        <v>0</v>
      </c>
      <c r="R907" s="1423">
        <f t="shared" ref="R907:R921" ca="1" si="1334">IF(Q907="n/a","n/a",MAX(0,Q907-1))</f>
        <v>0</v>
      </c>
      <c r="S907" s="1423">
        <f t="shared" ref="S907:S922" ca="1" si="1335">IF(R907="n/a","n/a",MAX(0,R907-1))</f>
        <v>0</v>
      </c>
      <c r="T907" s="1423">
        <f t="shared" ref="T907:T923" ca="1" si="1336">IF(S907="n/a","n/a",MAX(0,S907-1))</f>
        <v>0</v>
      </c>
      <c r="U907" s="1423">
        <f t="shared" ref="U907:U924" ca="1" si="1337">IF(T907="n/a","n/a",MAX(0,T907-1))</f>
        <v>0</v>
      </c>
      <c r="V907" s="1423">
        <f t="shared" ref="V907:V925" ca="1" si="1338">IF(U907="n/a","n/a",MAX(0,U907-1))</f>
        <v>0</v>
      </c>
      <c r="W907" s="1423">
        <f t="shared" ref="W907:W925" ca="1" si="1339">IF(V907="n/a","n/a",MAX(0,V907-1))</f>
        <v>0</v>
      </c>
      <c r="X907" s="152"/>
      <c r="Y907" s="152"/>
      <c r="Z907" s="152"/>
      <c r="AA907" s="152"/>
      <c r="AB907" s="152"/>
    </row>
    <row r="908" spans="1:28" hidden="1" outlineLevel="1">
      <c r="A908" s="152"/>
      <c r="B908" s="190" t="str">
        <f t="shared" ref="B908:B927" ca="1" si="1340">"RL Capex "&amp;OFFSET($C$6,0,A884)</f>
        <v>RL Capex 2016-17</v>
      </c>
      <c r="C908" s="1424"/>
      <c r="D908" s="1428">
        <f>D879</f>
        <v>0</v>
      </c>
      <c r="E908" s="1423">
        <f t="shared" si="1321"/>
        <v>0</v>
      </c>
      <c r="F908" s="1423">
        <f t="shared" si="1322"/>
        <v>0</v>
      </c>
      <c r="G908" s="1423">
        <f t="shared" si="1323"/>
        <v>0</v>
      </c>
      <c r="H908" s="1423">
        <f t="shared" si="1324"/>
        <v>0</v>
      </c>
      <c r="I908" s="1423">
        <f t="shared" si="1325"/>
        <v>0</v>
      </c>
      <c r="J908" s="1423">
        <f t="shared" si="1326"/>
        <v>0</v>
      </c>
      <c r="K908" s="1423">
        <f t="shared" si="1327"/>
        <v>0</v>
      </c>
      <c r="L908" s="1423">
        <f t="shared" si="1328"/>
        <v>0</v>
      </c>
      <c r="M908" s="1423">
        <f t="shared" si="1329"/>
        <v>0</v>
      </c>
      <c r="N908" s="1423">
        <f t="shared" si="1330"/>
        <v>0</v>
      </c>
      <c r="O908" s="1423">
        <f t="shared" si="1331"/>
        <v>0</v>
      </c>
      <c r="P908" s="1423">
        <f t="shared" si="1332"/>
        <v>0</v>
      </c>
      <c r="Q908" s="1423">
        <f t="shared" si="1333"/>
        <v>0</v>
      </c>
      <c r="R908" s="1423">
        <f t="shared" si="1334"/>
        <v>0</v>
      </c>
      <c r="S908" s="1423">
        <f t="shared" si="1335"/>
        <v>0</v>
      </c>
      <c r="T908" s="1423">
        <f t="shared" si="1336"/>
        <v>0</v>
      </c>
      <c r="U908" s="1423">
        <f t="shared" si="1337"/>
        <v>0</v>
      </c>
      <c r="V908" s="1423">
        <f t="shared" si="1338"/>
        <v>0</v>
      </c>
      <c r="W908" s="1423">
        <f t="shared" si="1339"/>
        <v>0</v>
      </c>
      <c r="X908" s="152"/>
      <c r="Y908" s="152"/>
      <c r="Z908" s="152"/>
      <c r="AA908" s="152"/>
      <c r="AB908" s="152"/>
    </row>
    <row r="909" spans="1:28" hidden="1" outlineLevel="1">
      <c r="A909" s="152"/>
      <c r="B909" s="190" t="str">
        <f t="shared" ca="1" si="1340"/>
        <v>RL Capex 2017-18</v>
      </c>
      <c r="C909" s="1429"/>
      <c r="D909" s="1424"/>
      <c r="E909" s="1428">
        <f>E879</f>
        <v>0</v>
      </c>
      <c r="F909" s="1423">
        <f t="shared" si="1322"/>
        <v>0</v>
      </c>
      <c r="G909" s="1423">
        <f t="shared" si="1323"/>
        <v>0</v>
      </c>
      <c r="H909" s="1423">
        <f t="shared" si="1324"/>
        <v>0</v>
      </c>
      <c r="I909" s="1423">
        <f t="shared" si="1325"/>
        <v>0</v>
      </c>
      <c r="J909" s="1423">
        <f t="shared" si="1326"/>
        <v>0</v>
      </c>
      <c r="K909" s="1423">
        <f t="shared" si="1327"/>
        <v>0</v>
      </c>
      <c r="L909" s="1423">
        <f t="shared" si="1328"/>
        <v>0</v>
      </c>
      <c r="M909" s="1423">
        <f t="shared" si="1329"/>
        <v>0</v>
      </c>
      <c r="N909" s="1423">
        <f t="shared" si="1330"/>
        <v>0</v>
      </c>
      <c r="O909" s="1423">
        <f t="shared" si="1331"/>
        <v>0</v>
      </c>
      <c r="P909" s="1423">
        <f t="shared" si="1332"/>
        <v>0</v>
      </c>
      <c r="Q909" s="1423">
        <f t="shared" si="1333"/>
        <v>0</v>
      </c>
      <c r="R909" s="1423">
        <f t="shared" si="1334"/>
        <v>0</v>
      </c>
      <c r="S909" s="1423">
        <f t="shared" si="1335"/>
        <v>0</v>
      </c>
      <c r="T909" s="1423">
        <f t="shared" si="1336"/>
        <v>0</v>
      </c>
      <c r="U909" s="1423">
        <f t="shared" si="1337"/>
        <v>0</v>
      </c>
      <c r="V909" s="1423">
        <f t="shared" si="1338"/>
        <v>0</v>
      </c>
      <c r="W909" s="1423">
        <f t="shared" si="1339"/>
        <v>0</v>
      </c>
      <c r="X909" s="152"/>
      <c r="Y909" s="152"/>
      <c r="Z909" s="152"/>
      <c r="AA909" s="152"/>
      <c r="AB909" s="152"/>
    </row>
    <row r="910" spans="1:28" hidden="1" outlineLevel="1">
      <c r="A910" s="152"/>
      <c r="B910" s="190" t="str">
        <f t="shared" ca="1" si="1340"/>
        <v>RL Capex 2018-19</v>
      </c>
      <c r="C910" s="1429"/>
      <c r="D910" s="1429"/>
      <c r="E910" s="1424"/>
      <c r="F910" s="1428">
        <f>F879</f>
        <v>0</v>
      </c>
      <c r="G910" s="1423">
        <f t="shared" si="1323"/>
        <v>0</v>
      </c>
      <c r="H910" s="1423">
        <f t="shared" si="1324"/>
        <v>0</v>
      </c>
      <c r="I910" s="1423">
        <f t="shared" si="1325"/>
        <v>0</v>
      </c>
      <c r="J910" s="1423">
        <f t="shared" si="1326"/>
        <v>0</v>
      </c>
      <c r="K910" s="1423">
        <f t="shared" si="1327"/>
        <v>0</v>
      </c>
      <c r="L910" s="1423">
        <f t="shared" si="1328"/>
        <v>0</v>
      </c>
      <c r="M910" s="1423">
        <f t="shared" si="1329"/>
        <v>0</v>
      </c>
      <c r="N910" s="1423">
        <f t="shared" si="1330"/>
        <v>0</v>
      </c>
      <c r="O910" s="1423">
        <f t="shared" si="1331"/>
        <v>0</v>
      </c>
      <c r="P910" s="1423">
        <f t="shared" si="1332"/>
        <v>0</v>
      </c>
      <c r="Q910" s="1423">
        <f t="shared" si="1333"/>
        <v>0</v>
      </c>
      <c r="R910" s="1423">
        <f t="shared" si="1334"/>
        <v>0</v>
      </c>
      <c r="S910" s="1423">
        <f t="shared" si="1335"/>
        <v>0</v>
      </c>
      <c r="T910" s="1423">
        <f t="shared" si="1336"/>
        <v>0</v>
      </c>
      <c r="U910" s="1423">
        <f t="shared" si="1337"/>
        <v>0</v>
      </c>
      <c r="V910" s="1423">
        <f t="shared" si="1338"/>
        <v>0</v>
      </c>
      <c r="W910" s="1423">
        <f t="shared" si="1339"/>
        <v>0</v>
      </c>
      <c r="X910" s="152"/>
      <c r="Y910" s="152"/>
      <c r="Z910" s="152"/>
      <c r="AA910" s="152"/>
      <c r="AB910" s="152"/>
    </row>
    <row r="911" spans="1:28" hidden="1" outlineLevel="1">
      <c r="A911" s="152"/>
      <c r="B911" s="190" t="str">
        <f t="shared" ca="1" si="1340"/>
        <v>RL Capex 2019-20</v>
      </c>
      <c r="C911" s="1429"/>
      <c r="D911" s="1429"/>
      <c r="E911" s="1429"/>
      <c r="F911" s="1424"/>
      <c r="G911" s="1428">
        <f>G879</f>
        <v>0</v>
      </c>
      <c r="H911" s="1423">
        <f t="shared" si="1324"/>
        <v>0</v>
      </c>
      <c r="I911" s="1423">
        <f t="shared" si="1325"/>
        <v>0</v>
      </c>
      <c r="J911" s="1423">
        <f t="shared" si="1326"/>
        <v>0</v>
      </c>
      <c r="K911" s="1423">
        <f t="shared" si="1327"/>
        <v>0</v>
      </c>
      <c r="L911" s="1423">
        <f t="shared" si="1328"/>
        <v>0</v>
      </c>
      <c r="M911" s="1423">
        <f t="shared" si="1329"/>
        <v>0</v>
      </c>
      <c r="N911" s="1423">
        <f t="shared" si="1330"/>
        <v>0</v>
      </c>
      <c r="O911" s="1423">
        <f t="shared" si="1331"/>
        <v>0</v>
      </c>
      <c r="P911" s="1423">
        <f t="shared" si="1332"/>
        <v>0</v>
      </c>
      <c r="Q911" s="1423">
        <f t="shared" si="1333"/>
        <v>0</v>
      </c>
      <c r="R911" s="1423">
        <f t="shared" si="1334"/>
        <v>0</v>
      </c>
      <c r="S911" s="1423">
        <f t="shared" si="1335"/>
        <v>0</v>
      </c>
      <c r="T911" s="1423">
        <f t="shared" si="1336"/>
        <v>0</v>
      </c>
      <c r="U911" s="1423">
        <f t="shared" si="1337"/>
        <v>0</v>
      </c>
      <c r="V911" s="1423">
        <f t="shared" si="1338"/>
        <v>0</v>
      </c>
      <c r="W911" s="1423">
        <f t="shared" si="1339"/>
        <v>0</v>
      </c>
      <c r="X911" s="152"/>
      <c r="Y911" s="152"/>
      <c r="Z911" s="152"/>
      <c r="AA911" s="152"/>
      <c r="AB911" s="152"/>
    </row>
    <row r="912" spans="1:28" hidden="1" outlineLevel="1">
      <c r="A912" s="152"/>
      <c r="B912" s="190" t="str">
        <f t="shared" ca="1" si="1340"/>
        <v>RL Capex 2020-21</v>
      </c>
      <c r="C912" s="1429"/>
      <c r="D912" s="1429"/>
      <c r="E912" s="1429"/>
      <c r="F912" s="1429"/>
      <c r="G912" s="1424"/>
      <c r="H912" s="1428">
        <f>H879</f>
        <v>0</v>
      </c>
      <c r="I912" s="1423">
        <f t="shared" si="1325"/>
        <v>0</v>
      </c>
      <c r="J912" s="1423">
        <f t="shared" si="1326"/>
        <v>0</v>
      </c>
      <c r="K912" s="1423">
        <f t="shared" si="1327"/>
        <v>0</v>
      </c>
      <c r="L912" s="1423">
        <f t="shared" si="1328"/>
        <v>0</v>
      </c>
      <c r="M912" s="1423">
        <f t="shared" si="1329"/>
        <v>0</v>
      </c>
      <c r="N912" s="1423">
        <f t="shared" si="1330"/>
        <v>0</v>
      </c>
      <c r="O912" s="1423">
        <f t="shared" si="1331"/>
        <v>0</v>
      </c>
      <c r="P912" s="1423">
        <f t="shared" si="1332"/>
        <v>0</v>
      </c>
      <c r="Q912" s="1423">
        <f t="shared" si="1333"/>
        <v>0</v>
      </c>
      <c r="R912" s="1423">
        <f t="shared" si="1334"/>
        <v>0</v>
      </c>
      <c r="S912" s="1423">
        <f t="shared" si="1335"/>
        <v>0</v>
      </c>
      <c r="T912" s="1423">
        <f t="shared" si="1336"/>
        <v>0</v>
      </c>
      <c r="U912" s="1423">
        <f t="shared" si="1337"/>
        <v>0</v>
      </c>
      <c r="V912" s="1423">
        <f t="shared" si="1338"/>
        <v>0</v>
      </c>
      <c r="W912" s="1423">
        <f t="shared" si="1339"/>
        <v>0</v>
      </c>
      <c r="X912" s="152"/>
      <c r="Y912" s="152"/>
      <c r="Z912" s="152"/>
      <c r="AA912" s="152"/>
      <c r="AB912" s="152"/>
    </row>
    <row r="913" spans="1:28" hidden="1" outlineLevel="1">
      <c r="A913" s="152"/>
      <c r="B913" s="190" t="str">
        <f t="shared" ca="1" si="1340"/>
        <v>RL Capex 2021-22</v>
      </c>
      <c r="C913" s="1429"/>
      <c r="D913" s="1429"/>
      <c r="E913" s="1429"/>
      <c r="F913" s="1429"/>
      <c r="G913" s="1429"/>
      <c r="H913" s="1424"/>
      <c r="I913" s="1428">
        <f>I879</f>
        <v>0</v>
      </c>
      <c r="J913" s="1423">
        <f t="shared" si="1326"/>
        <v>0</v>
      </c>
      <c r="K913" s="1423">
        <f t="shared" si="1327"/>
        <v>0</v>
      </c>
      <c r="L913" s="1423">
        <f t="shared" si="1328"/>
        <v>0</v>
      </c>
      <c r="M913" s="1423">
        <f t="shared" si="1329"/>
        <v>0</v>
      </c>
      <c r="N913" s="1423">
        <f t="shared" si="1330"/>
        <v>0</v>
      </c>
      <c r="O913" s="1423">
        <f t="shared" si="1331"/>
        <v>0</v>
      </c>
      <c r="P913" s="1423">
        <f t="shared" si="1332"/>
        <v>0</v>
      </c>
      <c r="Q913" s="1423">
        <f t="shared" si="1333"/>
        <v>0</v>
      </c>
      <c r="R913" s="1423">
        <f t="shared" si="1334"/>
        <v>0</v>
      </c>
      <c r="S913" s="1423">
        <f t="shared" si="1335"/>
        <v>0</v>
      </c>
      <c r="T913" s="1423">
        <f t="shared" si="1336"/>
        <v>0</v>
      </c>
      <c r="U913" s="1423">
        <f t="shared" si="1337"/>
        <v>0</v>
      </c>
      <c r="V913" s="1423">
        <f t="shared" si="1338"/>
        <v>0</v>
      </c>
      <c r="W913" s="1423">
        <f t="shared" si="1339"/>
        <v>0</v>
      </c>
      <c r="X913" s="152"/>
      <c r="Y913" s="152"/>
      <c r="Z913" s="152"/>
      <c r="AA913" s="152"/>
      <c r="AB913" s="152"/>
    </row>
    <row r="914" spans="1:28" hidden="1" outlineLevel="1">
      <c r="A914" s="152"/>
      <c r="B914" s="190" t="str">
        <f t="shared" ca="1" si="1340"/>
        <v>RL Capex 2022-23</v>
      </c>
      <c r="C914" s="1429"/>
      <c r="D914" s="1429"/>
      <c r="E914" s="1429"/>
      <c r="F914" s="1429"/>
      <c r="G914" s="1429"/>
      <c r="H914" s="1429"/>
      <c r="I914" s="1424"/>
      <c r="J914" s="1428">
        <f>J879</f>
        <v>0</v>
      </c>
      <c r="K914" s="1423">
        <f t="shared" si="1327"/>
        <v>0</v>
      </c>
      <c r="L914" s="1423">
        <f t="shared" si="1328"/>
        <v>0</v>
      </c>
      <c r="M914" s="1423">
        <f t="shared" si="1329"/>
        <v>0</v>
      </c>
      <c r="N914" s="1423">
        <f t="shared" si="1330"/>
        <v>0</v>
      </c>
      <c r="O914" s="1423">
        <f t="shared" si="1331"/>
        <v>0</v>
      </c>
      <c r="P914" s="1423">
        <f t="shared" si="1332"/>
        <v>0</v>
      </c>
      <c r="Q914" s="1423">
        <f t="shared" si="1333"/>
        <v>0</v>
      </c>
      <c r="R914" s="1423">
        <f t="shared" si="1334"/>
        <v>0</v>
      </c>
      <c r="S914" s="1423">
        <f t="shared" si="1335"/>
        <v>0</v>
      </c>
      <c r="T914" s="1423">
        <f t="shared" si="1336"/>
        <v>0</v>
      </c>
      <c r="U914" s="1423">
        <f t="shared" si="1337"/>
        <v>0</v>
      </c>
      <c r="V914" s="1423">
        <f t="shared" si="1338"/>
        <v>0</v>
      </c>
      <c r="W914" s="1423">
        <f t="shared" si="1339"/>
        <v>0</v>
      </c>
      <c r="X914" s="152"/>
      <c r="Y914" s="152"/>
      <c r="Z914" s="152"/>
      <c r="AA914" s="152"/>
      <c r="AB914" s="152"/>
    </row>
    <row r="915" spans="1:28" hidden="1" outlineLevel="1">
      <c r="A915" s="152"/>
      <c r="B915" s="190" t="str">
        <f t="shared" ca="1" si="1340"/>
        <v>RL Capex 2023-24</v>
      </c>
      <c r="C915" s="1429"/>
      <c r="D915" s="1429"/>
      <c r="E915" s="1429"/>
      <c r="F915" s="1429"/>
      <c r="G915" s="1429"/>
      <c r="H915" s="1429"/>
      <c r="I915" s="1429"/>
      <c r="J915" s="1424"/>
      <c r="K915" s="1428">
        <f>K879</f>
        <v>0</v>
      </c>
      <c r="L915" s="1423">
        <f t="shared" si="1328"/>
        <v>0</v>
      </c>
      <c r="M915" s="1423">
        <f t="shared" si="1329"/>
        <v>0</v>
      </c>
      <c r="N915" s="1423">
        <f t="shared" si="1330"/>
        <v>0</v>
      </c>
      <c r="O915" s="1423">
        <f t="shared" si="1331"/>
        <v>0</v>
      </c>
      <c r="P915" s="1423">
        <f t="shared" si="1332"/>
        <v>0</v>
      </c>
      <c r="Q915" s="1423">
        <f t="shared" si="1333"/>
        <v>0</v>
      </c>
      <c r="R915" s="1423">
        <f t="shared" si="1334"/>
        <v>0</v>
      </c>
      <c r="S915" s="1423">
        <f t="shared" si="1335"/>
        <v>0</v>
      </c>
      <c r="T915" s="1423">
        <f t="shared" si="1336"/>
        <v>0</v>
      </c>
      <c r="U915" s="1423">
        <f t="shared" si="1337"/>
        <v>0</v>
      </c>
      <c r="V915" s="1423">
        <f t="shared" si="1338"/>
        <v>0</v>
      </c>
      <c r="W915" s="1423">
        <f t="shared" si="1339"/>
        <v>0</v>
      </c>
      <c r="X915" s="152"/>
      <c r="Y915" s="152"/>
      <c r="Z915" s="152"/>
      <c r="AA915" s="152"/>
      <c r="AB915" s="152"/>
    </row>
    <row r="916" spans="1:28" hidden="1" outlineLevel="1">
      <c r="A916" s="152"/>
      <c r="B916" s="190" t="str">
        <f t="shared" ca="1" si="1340"/>
        <v>RL Capex 2024-25</v>
      </c>
      <c r="C916" s="1429"/>
      <c r="D916" s="1429"/>
      <c r="E916" s="1429"/>
      <c r="F916" s="1429"/>
      <c r="G916" s="1429"/>
      <c r="H916" s="1429"/>
      <c r="I916" s="1429"/>
      <c r="J916" s="1429"/>
      <c r="K916" s="1424"/>
      <c r="L916" s="1428">
        <f>L879</f>
        <v>0</v>
      </c>
      <c r="M916" s="1423">
        <f t="shared" si="1329"/>
        <v>0</v>
      </c>
      <c r="N916" s="1423">
        <f t="shared" si="1330"/>
        <v>0</v>
      </c>
      <c r="O916" s="1423">
        <f t="shared" si="1331"/>
        <v>0</v>
      </c>
      <c r="P916" s="1423">
        <f t="shared" si="1332"/>
        <v>0</v>
      </c>
      <c r="Q916" s="1423">
        <f t="shared" si="1333"/>
        <v>0</v>
      </c>
      <c r="R916" s="1423">
        <f t="shared" si="1334"/>
        <v>0</v>
      </c>
      <c r="S916" s="1423">
        <f t="shared" si="1335"/>
        <v>0</v>
      </c>
      <c r="T916" s="1423">
        <f t="shared" si="1336"/>
        <v>0</v>
      </c>
      <c r="U916" s="1423">
        <f t="shared" si="1337"/>
        <v>0</v>
      </c>
      <c r="V916" s="1423">
        <f t="shared" si="1338"/>
        <v>0</v>
      </c>
      <c r="W916" s="1423">
        <f t="shared" si="1339"/>
        <v>0</v>
      </c>
      <c r="X916" s="152"/>
      <c r="Y916" s="152"/>
      <c r="Z916" s="152"/>
      <c r="AA916" s="152"/>
      <c r="AB916" s="152"/>
    </row>
    <row r="917" spans="1:28" hidden="1" outlineLevel="1">
      <c r="A917" s="152"/>
      <c r="B917" s="190" t="str">
        <f t="shared" ca="1" si="1340"/>
        <v>RL Capex 2025-26</v>
      </c>
      <c r="C917" s="1429"/>
      <c r="D917" s="1429"/>
      <c r="E917" s="1429"/>
      <c r="F917" s="1429"/>
      <c r="G917" s="1429"/>
      <c r="H917" s="1429"/>
      <c r="I917" s="1429"/>
      <c r="J917" s="1429"/>
      <c r="K917" s="1429"/>
      <c r="L917" s="1424"/>
      <c r="M917" s="1428">
        <f>M879</f>
        <v>0</v>
      </c>
      <c r="N917" s="1423">
        <f t="shared" si="1330"/>
        <v>0</v>
      </c>
      <c r="O917" s="1423">
        <f t="shared" si="1331"/>
        <v>0</v>
      </c>
      <c r="P917" s="1423">
        <f t="shared" si="1332"/>
        <v>0</v>
      </c>
      <c r="Q917" s="1423">
        <f t="shared" si="1333"/>
        <v>0</v>
      </c>
      <c r="R917" s="1423">
        <f t="shared" si="1334"/>
        <v>0</v>
      </c>
      <c r="S917" s="1423">
        <f t="shared" si="1335"/>
        <v>0</v>
      </c>
      <c r="T917" s="1423">
        <f t="shared" si="1336"/>
        <v>0</v>
      </c>
      <c r="U917" s="1423">
        <f t="shared" si="1337"/>
        <v>0</v>
      </c>
      <c r="V917" s="1423">
        <f t="shared" si="1338"/>
        <v>0</v>
      </c>
      <c r="W917" s="1423">
        <f t="shared" si="1339"/>
        <v>0</v>
      </c>
      <c r="X917" s="152"/>
      <c r="Y917" s="152"/>
      <c r="Z917" s="152"/>
      <c r="AA917" s="152"/>
      <c r="AB917" s="152"/>
    </row>
    <row r="918" spans="1:28" hidden="1" outlineLevel="1">
      <c r="A918" s="152"/>
      <c r="B918" s="190" t="str">
        <f t="shared" ca="1" si="1340"/>
        <v>RL Capex 2026-27</v>
      </c>
      <c r="C918" s="1429"/>
      <c r="D918" s="1429"/>
      <c r="E918" s="1429"/>
      <c r="F918" s="1429"/>
      <c r="G918" s="1429"/>
      <c r="H918" s="1429"/>
      <c r="I918" s="1429"/>
      <c r="J918" s="1429"/>
      <c r="K918" s="1429"/>
      <c r="L918" s="1429"/>
      <c r="M918" s="1424"/>
      <c r="N918" s="1428">
        <f>N879</f>
        <v>0</v>
      </c>
      <c r="O918" s="1423">
        <f t="shared" si="1331"/>
        <v>0</v>
      </c>
      <c r="P918" s="1423">
        <f t="shared" si="1332"/>
        <v>0</v>
      </c>
      <c r="Q918" s="1423">
        <f t="shared" si="1333"/>
        <v>0</v>
      </c>
      <c r="R918" s="1423">
        <f t="shared" si="1334"/>
        <v>0</v>
      </c>
      <c r="S918" s="1423">
        <f t="shared" si="1335"/>
        <v>0</v>
      </c>
      <c r="T918" s="1423">
        <f t="shared" si="1336"/>
        <v>0</v>
      </c>
      <c r="U918" s="1423">
        <f t="shared" si="1337"/>
        <v>0</v>
      </c>
      <c r="V918" s="1423">
        <f t="shared" si="1338"/>
        <v>0</v>
      </c>
      <c r="W918" s="1423">
        <f t="shared" si="1339"/>
        <v>0</v>
      </c>
      <c r="X918" s="152"/>
      <c r="Y918" s="152"/>
      <c r="Z918" s="152"/>
      <c r="AA918" s="152"/>
      <c r="AB918" s="152"/>
    </row>
    <row r="919" spans="1:28" hidden="1" outlineLevel="1">
      <c r="A919" s="152"/>
      <c r="B919" s="190" t="str">
        <f t="shared" ca="1" si="1340"/>
        <v>RL Capex 2027-28</v>
      </c>
      <c r="C919" s="1429"/>
      <c r="D919" s="1429"/>
      <c r="E919" s="1429"/>
      <c r="F919" s="1429"/>
      <c r="G919" s="1429"/>
      <c r="H919" s="1429"/>
      <c r="I919" s="1429"/>
      <c r="J919" s="1429"/>
      <c r="K919" s="1429"/>
      <c r="L919" s="1429"/>
      <c r="M919" s="1429"/>
      <c r="N919" s="1424"/>
      <c r="O919" s="1428">
        <f>O879</f>
        <v>0</v>
      </c>
      <c r="P919" s="1423">
        <f t="shared" si="1332"/>
        <v>0</v>
      </c>
      <c r="Q919" s="1423">
        <f t="shared" si="1333"/>
        <v>0</v>
      </c>
      <c r="R919" s="1423">
        <f t="shared" si="1334"/>
        <v>0</v>
      </c>
      <c r="S919" s="1423">
        <f t="shared" si="1335"/>
        <v>0</v>
      </c>
      <c r="T919" s="1423">
        <f t="shared" si="1336"/>
        <v>0</v>
      </c>
      <c r="U919" s="1423">
        <f t="shared" si="1337"/>
        <v>0</v>
      </c>
      <c r="V919" s="1423">
        <f t="shared" si="1338"/>
        <v>0</v>
      </c>
      <c r="W919" s="1423">
        <f t="shared" si="1339"/>
        <v>0</v>
      </c>
      <c r="X919" s="152"/>
      <c r="Y919" s="152"/>
      <c r="Z919" s="152"/>
      <c r="AA919" s="152"/>
      <c r="AB919" s="152"/>
    </row>
    <row r="920" spans="1:28" hidden="1" outlineLevel="1">
      <c r="A920" s="152"/>
      <c r="B920" s="190" t="str">
        <f t="shared" ca="1" si="1340"/>
        <v>RL Capex 2028-29</v>
      </c>
      <c r="C920" s="1429"/>
      <c r="D920" s="1429"/>
      <c r="E920" s="1429"/>
      <c r="F920" s="1429"/>
      <c r="G920" s="1429"/>
      <c r="H920" s="1429"/>
      <c r="I920" s="1429"/>
      <c r="J920" s="1429"/>
      <c r="K920" s="1429"/>
      <c r="L920" s="1429"/>
      <c r="M920" s="1429"/>
      <c r="N920" s="1429"/>
      <c r="O920" s="1424"/>
      <c r="P920" s="1428">
        <f>P879</f>
        <v>0</v>
      </c>
      <c r="Q920" s="1423">
        <f t="shared" si="1333"/>
        <v>0</v>
      </c>
      <c r="R920" s="1423">
        <f t="shared" si="1334"/>
        <v>0</v>
      </c>
      <c r="S920" s="1423">
        <f t="shared" si="1335"/>
        <v>0</v>
      </c>
      <c r="T920" s="1423">
        <f t="shared" si="1336"/>
        <v>0</v>
      </c>
      <c r="U920" s="1423">
        <f t="shared" si="1337"/>
        <v>0</v>
      </c>
      <c r="V920" s="1423">
        <f t="shared" si="1338"/>
        <v>0</v>
      </c>
      <c r="W920" s="1423">
        <f t="shared" si="1339"/>
        <v>0</v>
      </c>
      <c r="X920" s="152"/>
      <c r="Y920" s="152"/>
      <c r="Z920" s="152"/>
      <c r="AA920" s="152"/>
      <c r="AB920" s="152"/>
    </row>
    <row r="921" spans="1:28" hidden="1" outlineLevel="1">
      <c r="A921" s="152"/>
      <c r="B921" s="190" t="str">
        <f t="shared" ca="1" si="1340"/>
        <v>RL Capex 2029-30</v>
      </c>
      <c r="C921" s="1429"/>
      <c r="D921" s="1429"/>
      <c r="E921" s="1429"/>
      <c r="F921" s="1429"/>
      <c r="G921" s="1429"/>
      <c r="H921" s="1429"/>
      <c r="I921" s="1429"/>
      <c r="J921" s="1429"/>
      <c r="K921" s="1429"/>
      <c r="L921" s="1429"/>
      <c r="M921" s="1429"/>
      <c r="N921" s="1429"/>
      <c r="O921" s="1429"/>
      <c r="P921" s="1424"/>
      <c r="Q921" s="1428">
        <f>Q879</f>
        <v>0</v>
      </c>
      <c r="R921" s="1423">
        <f t="shared" si="1334"/>
        <v>0</v>
      </c>
      <c r="S921" s="1423">
        <f t="shared" si="1335"/>
        <v>0</v>
      </c>
      <c r="T921" s="1423">
        <f t="shared" si="1336"/>
        <v>0</v>
      </c>
      <c r="U921" s="1423">
        <f t="shared" si="1337"/>
        <v>0</v>
      </c>
      <c r="V921" s="1423">
        <f t="shared" si="1338"/>
        <v>0</v>
      </c>
      <c r="W921" s="1423">
        <f t="shared" si="1339"/>
        <v>0</v>
      </c>
      <c r="X921" s="152"/>
      <c r="Y921" s="152"/>
      <c r="Z921" s="152"/>
      <c r="AA921" s="152"/>
      <c r="AB921" s="152"/>
    </row>
    <row r="922" spans="1:28" hidden="1" outlineLevel="1">
      <c r="A922" s="152"/>
      <c r="B922" s="190" t="str">
        <f t="shared" ca="1" si="1340"/>
        <v>RL Capex 2030-31</v>
      </c>
      <c r="C922" s="1429"/>
      <c r="D922" s="1429"/>
      <c r="E922" s="1429"/>
      <c r="F922" s="1429"/>
      <c r="G922" s="1429"/>
      <c r="H922" s="1429"/>
      <c r="I922" s="1429"/>
      <c r="J922" s="1429"/>
      <c r="K922" s="1429"/>
      <c r="L922" s="1429"/>
      <c r="M922" s="1429"/>
      <c r="N922" s="1429"/>
      <c r="O922" s="1429"/>
      <c r="P922" s="1429"/>
      <c r="Q922" s="1424"/>
      <c r="R922" s="1428">
        <f>R879</f>
        <v>0</v>
      </c>
      <c r="S922" s="1423">
        <f t="shared" si="1335"/>
        <v>0</v>
      </c>
      <c r="T922" s="1423">
        <f t="shared" si="1336"/>
        <v>0</v>
      </c>
      <c r="U922" s="1423">
        <f t="shared" si="1337"/>
        <v>0</v>
      </c>
      <c r="V922" s="1423">
        <f t="shared" si="1338"/>
        <v>0</v>
      </c>
      <c r="W922" s="1423">
        <f t="shared" si="1339"/>
        <v>0</v>
      </c>
      <c r="X922" s="152"/>
      <c r="Y922" s="152"/>
      <c r="Z922" s="152"/>
      <c r="AA922" s="152"/>
      <c r="AB922" s="152"/>
    </row>
    <row r="923" spans="1:28" hidden="1" outlineLevel="1">
      <c r="A923" s="152"/>
      <c r="B923" s="190" t="str">
        <f t="shared" ca="1" si="1340"/>
        <v>RL Capex 2031-32</v>
      </c>
      <c r="C923" s="1429"/>
      <c r="D923" s="1429"/>
      <c r="E923" s="1429"/>
      <c r="F923" s="1429"/>
      <c r="G923" s="1429"/>
      <c r="H923" s="1429"/>
      <c r="I923" s="1429"/>
      <c r="J923" s="1429"/>
      <c r="K923" s="1429"/>
      <c r="L923" s="1429"/>
      <c r="M923" s="1429"/>
      <c r="N923" s="1429"/>
      <c r="O923" s="1429"/>
      <c r="P923" s="1429"/>
      <c r="Q923" s="1429"/>
      <c r="R923" s="1424"/>
      <c r="S923" s="1428">
        <f>S879</f>
        <v>0</v>
      </c>
      <c r="T923" s="1423">
        <f t="shared" si="1336"/>
        <v>0</v>
      </c>
      <c r="U923" s="1423">
        <f t="shared" si="1337"/>
        <v>0</v>
      </c>
      <c r="V923" s="1423">
        <f t="shared" si="1338"/>
        <v>0</v>
      </c>
      <c r="W923" s="1423">
        <f t="shared" si="1339"/>
        <v>0</v>
      </c>
      <c r="X923" s="152"/>
      <c r="Y923" s="152"/>
      <c r="Z923" s="152"/>
      <c r="AA923" s="152"/>
      <c r="AB923" s="152"/>
    </row>
    <row r="924" spans="1:28" hidden="1" outlineLevel="1">
      <c r="A924" s="152"/>
      <c r="B924" s="190" t="str">
        <f t="shared" ca="1" si="1340"/>
        <v>RL Capex 2032-33</v>
      </c>
      <c r="C924" s="1429"/>
      <c r="D924" s="1429"/>
      <c r="E924" s="1429"/>
      <c r="F924" s="1429"/>
      <c r="G924" s="1429"/>
      <c r="H924" s="1429"/>
      <c r="I924" s="1429"/>
      <c r="J924" s="1429"/>
      <c r="K924" s="1429"/>
      <c r="L924" s="1429"/>
      <c r="M924" s="1429"/>
      <c r="N924" s="1429"/>
      <c r="O924" s="1429"/>
      <c r="P924" s="1429"/>
      <c r="Q924" s="1429"/>
      <c r="R924" s="1429"/>
      <c r="S924" s="1424"/>
      <c r="T924" s="1428">
        <f>T879</f>
        <v>0</v>
      </c>
      <c r="U924" s="1423">
        <f t="shared" si="1337"/>
        <v>0</v>
      </c>
      <c r="V924" s="1423">
        <f t="shared" si="1338"/>
        <v>0</v>
      </c>
      <c r="W924" s="1423">
        <f t="shared" si="1339"/>
        <v>0</v>
      </c>
      <c r="X924" s="152"/>
      <c r="Y924" s="152"/>
      <c r="Z924" s="152"/>
      <c r="AA924" s="152"/>
      <c r="AB924" s="152"/>
    </row>
    <row r="925" spans="1:28" hidden="1" outlineLevel="1">
      <c r="A925" s="152"/>
      <c r="B925" s="190" t="str">
        <f t="shared" ca="1" si="1340"/>
        <v>RL Capex 2033-34</v>
      </c>
      <c r="C925" s="1429"/>
      <c r="D925" s="1429"/>
      <c r="E925" s="1429"/>
      <c r="F925" s="1429"/>
      <c r="G925" s="1429"/>
      <c r="H925" s="1429"/>
      <c r="I925" s="1429"/>
      <c r="J925" s="1429"/>
      <c r="K925" s="1429"/>
      <c r="L925" s="1429"/>
      <c r="M925" s="1429"/>
      <c r="N925" s="1429"/>
      <c r="O925" s="1429"/>
      <c r="P925" s="1429"/>
      <c r="Q925" s="1429"/>
      <c r="R925" s="1429"/>
      <c r="S925" s="1429"/>
      <c r="T925" s="1424"/>
      <c r="U925" s="1428">
        <f>U879</f>
        <v>0</v>
      </c>
      <c r="V925" s="1423">
        <f t="shared" si="1338"/>
        <v>0</v>
      </c>
      <c r="W925" s="1423">
        <f t="shared" si="1339"/>
        <v>0</v>
      </c>
      <c r="X925" s="152"/>
      <c r="Y925" s="152"/>
      <c r="Z925" s="152"/>
      <c r="AA925" s="152"/>
      <c r="AB925" s="152"/>
    </row>
    <row r="926" spans="1:28" hidden="1" outlineLevel="1">
      <c r="A926" s="152"/>
      <c r="B926" s="190" t="str">
        <f t="shared" ca="1" si="1340"/>
        <v>RL Capex 2034-35</v>
      </c>
      <c r="C926" s="1429"/>
      <c r="D926" s="1429"/>
      <c r="E926" s="1429"/>
      <c r="F926" s="1429"/>
      <c r="G926" s="1429"/>
      <c r="H926" s="1429"/>
      <c r="I926" s="1429"/>
      <c r="J926" s="1429"/>
      <c r="K926" s="1429"/>
      <c r="L926" s="1429"/>
      <c r="M926" s="1429"/>
      <c r="N926" s="1429"/>
      <c r="O926" s="1429"/>
      <c r="P926" s="1429"/>
      <c r="Q926" s="1429"/>
      <c r="R926" s="1429"/>
      <c r="S926" s="1429"/>
      <c r="T926" s="1429"/>
      <c r="U926" s="1424"/>
      <c r="V926" s="1428">
        <f>V879</f>
        <v>0</v>
      </c>
      <c r="W926" s="1423">
        <f>IF(V926="n/a","n/a",MAX(0,V926-1))</f>
        <v>0</v>
      </c>
      <c r="X926" s="152"/>
      <c r="Y926" s="152"/>
      <c r="Z926" s="152"/>
      <c r="AA926" s="152"/>
      <c r="AB926" s="152"/>
    </row>
    <row r="927" spans="1:28" hidden="1" outlineLevel="1">
      <c r="A927" s="152"/>
      <c r="B927" s="190" t="str">
        <f t="shared" ca="1" si="1340"/>
        <v>RL Capex 2035-36</v>
      </c>
      <c r="C927" s="1429"/>
      <c r="D927" s="1429"/>
      <c r="E927" s="1429"/>
      <c r="F927" s="1429"/>
      <c r="G927" s="1429"/>
      <c r="H927" s="1429"/>
      <c r="I927" s="1429"/>
      <c r="J927" s="1429"/>
      <c r="K927" s="1429"/>
      <c r="L927" s="1429"/>
      <c r="M927" s="1429"/>
      <c r="N927" s="1429"/>
      <c r="O927" s="1429"/>
      <c r="P927" s="1429"/>
      <c r="Q927" s="1429"/>
      <c r="R927" s="1429"/>
      <c r="S927" s="1429"/>
      <c r="T927" s="1429"/>
      <c r="U927" s="1429"/>
      <c r="V927" s="1424"/>
      <c r="W927" s="1423">
        <f>W879</f>
        <v>0</v>
      </c>
      <c r="X927" s="152"/>
      <c r="Y927" s="152"/>
      <c r="Z927" s="152"/>
      <c r="AA927" s="152"/>
      <c r="AB927" s="152"/>
    </row>
    <row r="928" spans="1:28" hidden="1" outlineLevel="1">
      <c r="A928" s="152"/>
      <c r="B928" s="200"/>
      <c r="C928" s="1423"/>
      <c r="D928" s="1423"/>
      <c r="E928" s="1423"/>
      <c r="F928" s="1423"/>
      <c r="G928" s="1423"/>
      <c r="H928" s="1423"/>
      <c r="I928" s="1423"/>
      <c r="J928" s="1423"/>
      <c r="K928" s="1423"/>
      <c r="L928" s="1423"/>
      <c r="M928" s="1423"/>
      <c r="N928" s="1423"/>
      <c r="O928" s="1423"/>
      <c r="P928" s="1423"/>
      <c r="Q928" s="1423"/>
      <c r="R928" s="1423"/>
      <c r="S928" s="1423"/>
      <c r="T928" s="1423"/>
      <c r="U928" s="1423"/>
      <c r="V928" s="1423"/>
      <c r="W928" s="1423"/>
      <c r="X928" s="152"/>
      <c r="Y928" s="152"/>
      <c r="Z928" s="152"/>
      <c r="AA928" s="152"/>
      <c r="AB928" s="152"/>
    </row>
    <row r="929" spans="1:28" collapsed="1">
      <c r="A929" s="194"/>
      <c r="B929" s="204" t="s">
        <v>123</v>
      </c>
      <c r="C929" s="1430">
        <f ca="1">(IF(OR($C879&lt;&gt;"n/a",C879&lt;&gt;"n/a"),IF(SUM(C882:C904)=0,0,IF((SUMPRODUCT(C882:C904,C906:C928)/SUM(C882:C904))&lt;0,1,(SUMPRODUCT(C882:C904,C906:C928)/SUM(C882:C904)))),"n/a"))</f>
        <v>0</v>
      </c>
      <c r="D929" s="1430">
        <f ca="1">(IF(OR($C879&lt;&gt;"n/a",D879&lt;&gt;"n/a"),IF(SUM(D882:D904)=0,0,IF((SUMPRODUCT(D882:D904,D906:D928)/SUM(D882:D904))&lt;0,1,(SUMPRODUCT(D882:D904,D906:D928)/SUM(D882:D904)))),"n/a"))</f>
        <v>0</v>
      </c>
      <c r="E929" s="1430">
        <f t="shared" ref="E929:W929" ca="1" si="1341">(IF(OR($C879&lt;&gt;"n/a",E879&lt;&gt;"n/a"),IF(SUM(E882:E904)=0,0,IF((SUMPRODUCT(E882:E904,E906:E928)/SUM(E882:E904))&lt;0,1,(SUMPRODUCT(E882:E904,E906:E928)/SUM(E882:E904)))),"n/a"))</f>
        <v>0</v>
      </c>
      <c r="F929" s="1430">
        <f t="shared" ca="1" si="1341"/>
        <v>0</v>
      </c>
      <c r="G929" s="1430">
        <f t="shared" ca="1" si="1341"/>
        <v>0</v>
      </c>
      <c r="H929" s="1430">
        <f t="shared" ca="1" si="1341"/>
        <v>0</v>
      </c>
      <c r="I929" s="1430">
        <f t="shared" ca="1" si="1341"/>
        <v>0</v>
      </c>
      <c r="J929" s="1430">
        <f t="shared" ca="1" si="1341"/>
        <v>0</v>
      </c>
      <c r="K929" s="1430">
        <f t="shared" ca="1" si="1341"/>
        <v>0</v>
      </c>
      <c r="L929" s="1430">
        <f t="shared" ca="1" si="1341"/>
        <v>0</v>
      </c>
      <c r="M929" s="1430">
        <f t="shared" ca="1" si="1341"/>
        <v>0</v>
      </c>
      <c r="N929" s="1430">
        <f t="shared" ca="1" si="1341"/>
        <v>0</v>
      </c>
      <c r="O929" s="1430">
        <f t="shared" ca="1" si="1341"/>
        <v>0</v>
      </c>
      <c r="P929" s="1430">
        <f t="shared" ca="1" si="1341"/>
        <v>0</v>
      </c>
      <c r="Q929" s="1430">
        <f t="shared" ca="1" si="1341"/>
        <v>0</v>
      </c>
      <c r="R929" s="1430">
        <f t="shared" ca="1" si="1341"/>
        <v>0</v>
      </c>
      <c r="S929" s="1430">
        <f t="shared" ca="1" si="1341"/>
        <v>0</v>
      </c>
      <c r="T929" s="1430">
        <f t="shared" ca="1" si="1341"/>
        <v>0</v>
      </c>
      <c r="U929" s="1430">
        <f t="shared" ca="1" si="1341"/>
        <v>0</v>
      </c>
      <c r="V929" s="1430">
        <f t="shared" ca="1" si="1341"/>
        <v>0</v>
      </c>
      <c r="W929" s="1430">
        <f t="shared" ca="1" si="1341"/>
        <v>0</v>
      </c>
      <c r="X929" s="152"/>
      <c r="Y929" s="152"/>
      <c r="Z929" s="152"/>
      <c r="AA929" s="152"/>
      <c r="AB929" s="152"/>
    </row>
    <row r="930" spans="1:28">
      <c r="A930" s="152"/>
      <c r="B930" s="152"/>
      <c r="C930" s="1423"/>
      <c r="D930" s="1423"/>
      <c r="E930" s="1423"/>
      <c r="F930" s="1423"/>
      <c r="G930" s="1423"/>
      <c r="H930" s="1423"/>
      <c r="I930" s="1423"/>
      <c r="J930" s="1423"/>
      <c r="K930" s="1423"/>
      <c r="L930" s="1423"/>
      <c r="M930" s="1423"/>
      <c r="N930" s="1423"/>
      <c r="O930" s="1423"/>
      <c r="P930" s="1423"/>
      <c r="Q930" s="1423"/>
      <c r="R930" s="1423"/>
      <c r="S930" s="1423"/>
      <c r="T930" s="1423"/>
      <c r="U930" s="1423"/>
      <c r="V930" s="1423"/>
      <c r="W930" s="1423"/>
      <c r="X930" s="152"/>
      <c r="Y930" s="152"/>
      <c r="Z930" s="152"/>
      <c r="AA930" s="152"/>
      <c r="AB930" s="152"/>
    </row>
    <row r="931" spans="1:28">
      <c r="A931" s="269" t="s">
        <v>19</v>
      </c>
      <c r="B931" s="270">
        <f>VLOOKUP($A931,'RFM input'!$E$7:$F$56,2,FALSE)</f>
        <v>0</v>
      </c>
      <c r="C931" s="1431"/>
      <c r="D931" s="1431"/>
      <c r="E931" s="1432"/>
      <c r="F931" s="1432"/>
      <c r="G931" s="1432"/>
      <c r="H931" s="1432"/>
      <c r="I931" s="1432"/>
      <c r="J931" s="1432"/>
      <c r="K931" s="1432"/>
      <c r="L931" s="1432"/>
      <c r="M931" s="1432"/>
      <c r="N931" s="1432"/>
      <c r="O931" s="1432"/>
      <c r="P931" s="1432"/>
      <c r="Q931" s="1432"/>
      <c r="R931" s="1432"/>
      <c r="S931" s="1432"/>
      <c r="T931" s="1432"/>
      <c r="U931" s="1432"/>
      <c r="V931" s="1432"/>
      <c r="W931" s="1432"/>
      <c r="X931" s="152"/>
      <c r="Y931" s="152"/>
      <c r="Z931" s="152"/>
      <c r="AA931" s="152"/>
      <c r="AB931" s="152"/>
    </row>
    <row r="932" spans="1:28">
      <c r="A932" s="215">
        <f>VALUE(REPLACE(A931,1,12,""))</f>
        <v>18</v>
      </c>
      <c r="B932" s="193" t="s">
        <v>126</v>
      </c>
      <c r="C932" s="1416">
        <f ca="1">IF($C$8='Capital Base roll forward'!$H$4,OFFSET('Capital Base roll forward'!$H$717,'RAB remaining lives'!A932,0),"enter input")</f>
        <v>0</v>
      </c>
      <c r="D932" s="1417">
        <f>IF(LEFT(D$6,4)&lt;LEFT('RFM input'!$G$60,4),"enter input",IF(LEFT(D$6,4)&gt;LEFT('RFM input'!$Q$60,4),0,INDEX('RFM input'!$G$61:$Q$110,$A932,MATCH(D$6,'RFM input'!$G$60:$Q$60,0))
-INDEX('RFM input'!$G$115:$Q$164,$A932,MATCH(D$6,'RFM input'!$G$60:$Q$60,0))
-INDEX('RFM input'!$G$169:$Q$218,$A932,MATCH(D$6,'RFM input'!$G$60:$Q$60,0))))</f>
        <v>0</v>
      </c>
      <c r="E932" s="1417">
        <f>IF(LEFT(E$6,4)&lt;LEFT('RFM input'!$G$60,4),"enter input",IF(LEFT(E$6,4)&gt;LEFT('RFM input'!$Q$60,4),0,INDEX('RFM input'!$G$61:$Q$110,$A932,MATCH(E$6,'RFM input'!$G$60:$Q$60,0))
-INDEX('RFM input'!$G$115:$Q$164,$A932,MATCH(E$6,'RFM input'!$G$60:$Q$60,0))
-INDEX('RFM input'!$G$169:$Q$218,$A932,MATCH(E$6,'RFM input'!$G$60:$Q$60,0))))</f>
        <v>0</v>
      </c>
      <c r="F932" s="1417">
        <f>IF(LEFT(F$6,4)&lt;LEFT('RFM input'!$G$60,4),"enter input",IF(LEFT(F$6,4)&gt;LEFT('RFM input'!$Q$60,4),0,INDEX('RFM input'!$G$61:$Q$110,$A932,MATCH(F$6,'RFM input'!$G$60:$Q$60,0))
-INDEX('RFM input'!$G$115:$Q$164,$A932,MATCH(F$6,'RFM input'!$G$60:$Q$60,0))
-INDEX('RFM input'!$G$169:$Q$218,$A932,MATCH(F$6,'RFM input'!$G$60:$Q$60,0))))</f>
        <v>0</v>
      </c>
      <c r="G932" s="1417">
        <f>IF(LEFT(G$6,4)&lt;LEFT('RFM input'!$G$60,4),"enter input",IF(LEFT(G$6,4)&gt;LEFT('RFM input'!$Q$60,4),0,INDEX('RFM input'!$G$61:$Q$110,$A932,MATCH(G$6,'RFM input'!$G$60:$Q$60,0))
-INDEX('RFM input'!$G$115:$Q$164,$A932,MATCH(G$6,'RFM input'!$G$60:$Q$60,0))
-INDEX('RFM input'!$G$169:$Q$218,$A932,MATCH(G$6,'RFM input'!$G$60:$Q$60,0))))</f>
        <v>0</v>
      </c>
      <c r="H932" s="1417">
        <f>IF(LEFT(H$6,4)&lt;LEFT('RFM input'!$G$60,4),"enter input",IF(LEFT(H$6,4)&gt;LEFT('RFM input'!$Q$60,4),0,INDEX('RFM input'!$G$61:$Q$110,$A932,MATCH(H$6,'RFM input'!$G$60:$Q$60,0))
-INDEX('RFM input'!$G$115:$Q$164,$A932,MATCH(H$6,'RFM input'!$G$60:$Q$60,0))
-INDEX('RFM input'!$G$169:$Q$218,$A932,MATCH(H$6,'RFM input'!$G$60:$Q$60,0))))</f>
        <v>0</v>
      </c>
      <c r="I932" s="1417">
        <f>IF(LEFT(I$6,4)&lt;LEFT('RFM input'!$G$60,4),"enter input",IF(LEFT(I$6,4)&gt;LEFT('RFM input'!$Q$60,4),0,INDEX('RFM input'!$G$61:$Q$110,$A932,MATCH(I$6,'RFM input'!$G$60:$Q$60,0))
-INDEX('RFM input'!$G$115:$Q$164,$A932,MATCH(I$6,'RFM input'!$G$60:$Q$60,0))
-INDEX('RFM input'!$G$169:$Q$218,$A932,MATCH(I$6,'RFM input'!$G$60:$Q$60,0))))</f>
        <v>0</v>
      </c>
      <c r="J932" s="1417">
        <f>IF(LEFT(J$6,4)&lt;LEFT('RFM input'!$G$60,4),"enter input",IF(LEFT(J$6,4)&gt;LEFT('RFM input'!$Q$60,4),0,INDEX('RFM input'!$G$61:$Q$110,$A932,MATCH(J$6,'RFM input'!$G$60:$Q$60,0))
-INDEX('RFM input'!$G$115:$Q$164,$A932,MATCH(J$6,'RFM input'!$G$60:$Q$60,0))
-INDEX('RFM input'!$G$169:$Q$218,$A932,MATCH(J$6,'RFM input'!$G$60:$Q$60,0))))</f>
        <v>0</v>
      </c>
      <c r="K932" s="1417">
        <f>IF(LEFT(K$6,4)&lt;LEFT('RFM input'!$G$60,4),"enter input",IF(LEFT(K$6,4)&gt;LEFT('RFM input'!$Q$60,4),0,INDEX('RFM input'!$G$61:$Q$110,$A932,MATCH(K$6,'RFM input'!$G$60:$Q$60,0))
-INDEX('RFM input'!$G$115:$Q$164,$A932,MATCH(K$6,'RFM input'!$G$60:$Q$60,0))
-INDEX('RFM input'!$G$169:$Q$218,$A932,MATCH(K$6,'RFM input'!$G$60:$Q$60,0))))</f>
        <v>0</v>
      </c>
      <c r="L932" s="1417">
        <f>IF(LEFT(L$6,4)&lt;LEFT('RFM input'!$G$60,4),"enter input",IF(LEFT(L$6,4)&gt;LEFT('RFM input'!$Q$60,4),0,INDEX('RFM input'!$G$61:$Q$110,$A932,MATCH(L$6,'RFM input'!$G$60:$Q$60,0))
-INDEX('RFM input'!$G$115:$Q$164,$A932,MATCH(L$6,'RFM input'!$G$60:$Q$60,0))
-INDEX('RFM input'!$G$169:$Q$218,$A932,MATCH(L$6,'RFM input'!$G$60:$Q$60,0))))</f>
        <v>0</v>
      </c>
      <c r="M932" s="1417">
        <f>IF(LEFT(M$6,4)&lt;LEFT('RFM input'!$G$60,4),"enter input",IF(LEFT(M$6,4)&gt;LEFT('RFM input'!$Q$60,4),0,INDEX('RFM input'!$G$61:$Q$110,$A932,MATCH(M$6,'RFM input'!$G$60:$Q$60,0))
-INDEX('RFM input'!$G$115:$Q$164,$A932,MATCH(M$6,'RFM input'!$G$60:$Q$60,0))
-INDEX('RFM input'!$G$169:$Q$218,$A932,MATCH(M$6,'RFM input'!$G$60:$Q$60,0))))</f>
        <v>0</v>
      </c>
      <c r="N932" s="1417">
        <f>IF(LEFT(N$6,4)&lt;LEFT('RFM input'!$G$60,4),"enter input",IF(LEFT(N$6,4)&gt;LEFT('RFM input'!$Q$60,4),0,INDEX('RFM input'!$G$61:$Q$110,$A932,MATCH(N$6,'RFM input'!$G$60:$Q$60,0))
-INDEX('RFM input'!$G$115:$Q$164,$A932,MATCH(N$6,'RFM input'!$G$60:$Q$60,0))
-INDEX('RFM input'!$G$169:$Q$218,$A932,MATCH(N$6,'RFM input'!$G$60:$Q$60,0))))</f>
        <v>0</v>
      </c>
      <c r="O932" s="1417">
        <f>IF(LEFT(O$6,4)&lt;LEFT('RFM input'!$G$60,4),"enter input",IF(LEFT(O$6,4)&gt;LEFT('RFM input'!$Q$60,4),0,INDEX('RFM input'!$G$61:$Q$110,$A932,MATCH(O$6,'RFM input'!$G$60:$Q$60,0))
-INDEX('RFM input'!$G$115:$Q$164,$A932,MATCH(O$6,'RFM input'!$G$60:$Q$60,0))
-INDEX('RFM input'!$G$169:$Q$218,$A932,MATCH(O$6,'RFM input'!$G$60:$Q$60,0))))</f>
        <v>0</v>
      </c>
      <c r="P932" s="1417">
        <f>IF(LEFT(P$6,4)&lt;LEFT('RFM input'!$G$60,4),"enter input",IF(LEFT(P$6,4)&gt;LEFT('RFM input'!$Q$60,4),0,INDEX('RFM input'!$G$61:$Q$110,$A932,MATCH(P$6,'RFM input'!$G$60:$Q$60,0))
-INDEX('RFM input'!$G$115:$Q$164,$A932,MATCH(P$6,'RFM input'!$G$60:$Q$60,0))
-INDEX('RFM input'!$G$169:$Q$218,$A932,MATCH(P$6,'RFM input'!$G$60:$Q$60,0))))</f>
        <v>0</v>
      </c>
      <c r="Q932" s="1417">
        <f>IF(LEFT(Q$6,4)&lt;LEFT('RFM input'!$G$60,4),"enter input",IF(LEFT(Q$6,4)&gt;LEFT('RFM input'!$Q$60,4),0,INDEX('RFM input'!$G$61:$Q$110,$A932,MATCH(Q$6,'RFM input'!$G$60:$Q$60,0))
-INDEX('RFM input'!$G$115:$Q$164,$A932,MATCH(Q$6,'RFM input'!$G$60:$Q$60,0))
-INDEX('RFM input'!$G$169:$Q$218,$A932,MATCH(Q$6,'RFM input'!$G$60:$Q$60,0))))</f>
        <v>0</v>
      </c>
      <c r="R932" s="1417">
        <f>IF(LEFT(R$6,4)&lt;LEFT('RFM input'!$G$60,4),"enter input",IF(LEFT(R$6,4)&gt;LEFT('RFM input'!$Q$60,4),0,INDEX('RFM input'!$G$61:$Q$110,$A932,MATCH(R$6,'RFM input'!$G$60:$Q$60,0))
-INDEX('RFM input'!$G$115:$Q$164,$A932,MATCH(R$6,'RFM input'!$G$60:$Q$60,0))
-INDEX('RFM input'!$G$169:$Q$218,$A932,MATCH(R$6,'RFM input'!$G$60:$Q$60,0))))</f>
        <v>0</v>
      </c>
      <c r="S932" s="1417">
        <f>IF(LEFT(S$6,4)&lt;LEFT('RFM input'!$G$60,4),"enter input",IF(LEFT(S$6,4)&gt;LEFT('RFM input'!$Q$60,4),0,INDEX('RFM input'!$G$61:$Q$110,$A932,MATCH(S$6,'RFM input'!$G$60:$Q$60,0))
-INDEX('RFM input'!$G$115:$Q$164,$A932,MATCH(S$6,'RFM input'!$G$60:$Q$60,0))
-INDEX('RFM input'!$G$169:$Q$218,$A932,MATCH(S$6,'RFM input'!$G$60:$Q$60,0))))</f>
        <v>0</v>
      </c>
      <c r="T932" s="1417">
        <f>IF(LEFT(T$6,4)&lt;LEFT('RFM input'!$G$60,4),"enter input",IF(LEFT(T$6,4)&gt;LEFT('RFM input'!$Q$60,4),0,INDEX('RFM input'!$G$61:$Q$110,$A932,MATCH(T$6,'RFM input'!$G$60:$Q$60,0))
-INDEX('RFM input'!$G$115:$Q$164,$A932,MATCH(T$6,'RFM input'!$G$60:$Q$60,0))
-INDEX('RFM input'!$G$169:$Q$218,$A932,MATCH(T$6,'RFM input'!$G$60:$Q$60,0))))</f>
        <v>0</v>
      </c>
      <c r="U932" s="1417">
        <f>IF(LEFT(U$6,4)&lt;LEFT('RFM input'!$G$60,4),"enter input",IF(LEFT(U$6,4)&gt;LEFT('RFM input'!$Q$60,4),0,INDEX('RFM input'!$G$61:$Q$110,$A932,MATCH(U$6,'RFM input'!$G$60:$Q$60,0))
-INDEX('RFM input'!$G$115:$Q$164,$A932,MATCH(U$6,'RFM input'!$G$60:$Q$60,0))
-INDEX('RFM input'!$G$169:$Q$218,$A932,MATCH(U$6,'RFM input'!$G$60:$Q$60,0))))</f>
        <v>0</v>
      </c>
      <c r="V932" s="1417">
        <f>IF(LEFT(V$6,4)&lt;LEFT('RFM input'!$G$60,4),"enter input",IF(LEFT(V$6,4)&gt;LEFT('RFM input'!$Q$60,4),0,INDEX('RFM input'!$G$61:$Q$110,$A932,MATCH(V$6,'RFM input'!$G$60:$Q$60,0))
-INDEX('RFM input'!$G$115:$Q$164,$A932,MATCH(V$6,'RFM input'!$G$60:$Q$60,0))
-INDEX('RFM input'!$G$169:$Q$218,$A932,MATCH(V$6,'RFM input'!$G$60:$Q$60,0))))</f>
        <v>0</v>
      </c>
      <c r="W932" s="1417">
        <f>IF(LEFT(W$6,4)&lt;LEFT('RFM input'!$G$60,4),"enter input",IF(LEFT(W$6,4)&gt;LEFT('RFM input'!$Q$60,4),0,INDEX('RFM input'!$G$61:$Q$110,$A932,MATCH(W$6,'RFM input'!$G$60:$Q$60,0))
-INDEX('RFM input'!$G$115:$Q$164,$A932,MATCH(W$6,'RFM input'!$G$60:$Q$60,0))
-INDEX('RFM input'!$G$169:$Q$218,$A932,MATCH(W$6,'RFM input'!$G$60:$Q$60,0))))</f>
        <v>0</v>
      </c>
      <c r="X932" s="152"/>
      <c r="Y932" s="152"/>
      <c r="Z932" s="152"/>
      <c r="AA932" s="152"/>
      <c r="AB932" s="152"/>
    </row>
    <row r="933" spans="1:28">
      <c r="A933" s="152"/>
      <c r="B933" s="152" t="s">
        <v>204</v>
      </c>
      <c r="C933" s="1418">
        <f ca="1">IF($C$8='Capital Base roll forward'!$H$4,OFFSET('RFM input'!$J$6,'RAB remaining lives'!A932,0),"enter input")</f>
        <v>0</v>
      </c>
      <c r="D933" s="1417">
        <f>IF(LEFT(D$6,4)&lt;=LEFT('RFM input'!$G$60,4),"enter input",IF(LEFT(D$6,4)&gt;LEFT('RFM input'!$Q$60,4),0,IF(MATCH(D$6,'RFM input'!$H$60:$Q$60,0),INDEX('RFM input'!$K$7:$K$56,$A932,1))))</f>
        <v>0</v>
      </c>
      <c r="E933" s="1417">
        <f>IF(LEFT(E$6,4)&lt;=LEFT('RFM input'!$G$60,4),"enter input",IF(LEFT(E$6,4)&gt;LEFT('RFM input'!$Q$60,4),0,IF(MATCH(E$6,'RFM input'!$H$60:$Q$60,0),INDEX('RFM input'!$K$7:$K$56,$A932,1))))</f>
        <v>0</v>
      </c>
      <c r="F933" s="1417">
        <f>IF(LEFT(F$6,4)&lt;=LEFT('RFM input'!$G$60,4),"enter input",IF(LEFT(F$6,4)&gt;LEFT('RFM input'!$Q$60,4),0,IF(MATCH(F$6,'RFM input'!$H$60:$Q$60,0),INDEX('RFM input'!$K$7:$K$56,$A932,1))))</f>
        <v>0</v>
      </c>
      <c r="G933" s="1417">
        <f>IF(LEFT(G$6,4)&lt;=LEFT('RFM input'!$G$60,4),"enter input",IF(LEFT(G$6,4)&gt;LEFT('RFM input'!$Q$60,4),0,IF(MATCH(G$6,'RFM input'!$H$60:$Q$60,0),INDEX('RFM input'!$K$7:$K$56,$A932,1))))</f>
        <v>0</v>
      </c>
      <c r="H933" s="1417">
        <f>IF(LEFT(H$6,4)&lt;=LEFT('RFM input'!$G$60,4),"enter input",IF(LEFT(H$6,4)&gt;LEFT('RFM input'!$Q$60,4),0,IF(MATCH(H$6,'RFM input'!$H$60:$Q$60,0),INDEX('RFM input'!$K$7:$K$56,$A932,1))))</f>
        <v>0</v>
      </c>
      <c r="I933" s="1417">
        <f>IF(LEFT(I$6,4)&lt;=LEFT('RFM input'!$G$60,4),"enter input",IF(LEFT(I$6,4)&gt;LEFT('RFM input'!$Q$60,4),0,IF(MATCH(I$6,'RFM input'!$H$60:$Q$60,0),INDEX('RFM input'!$K$7:$K$56,$A932,1))))</f>
        <v>0</v>
      </c>
      <c r="J933" s="1417">
        <f>IF(LEFT(J$6,4)&lt;=LEFT('RFM input'!$G$60,4),"enter input",IF(LEFT(J$6,4)&gt;LEFT('RFM input'!$Q$60,4),0,IF(MATCH(J$6,'RFM input'!$H$60:$Q$60,0),INDEX('RFM input'!$K$7:$K$56,$A932,1))))</f>
        <v>0</v>
      </c>
      <c r="K933" s="1417">
        <f>IF(LEFT(K$6,4)&lt;=LEFT('RFM input'!$G$60,4),"enter input",IF(LEFT(K$6,4)&gt;LEFT('RFM input'!$Q$60,4),0,IF(MATCH(K$6,'RFM input'!$H$60:$Q$60,0),INDEX('RFM input'!$K$7:$K$56,$A932,1))))</f>
        <v>0</v>
      </c>
      <c r="L933" s="1417">
        <f>IF(LEFT(L$6,4)&lt;=LEFT('RFM input'!$G$60,4),"enter input",IF(LEFT(L$6,4)&gt;LEFT('RFM input'!$Q$60,4),0,IF(MATCH(L$6,'RFM input'!$H$60:$Q$60,0),INDEX('RFM input'!$K$7:$K$56,$A932,1))))</f>
        <v>0</v>
      </c>
      <c r="M933" s="1417">
        <f>IF(LEFT(M$6,4)&lt;=LEFT('RFM input'!$G$60,4),"enter input",IF(LEFT(M$6,4)&gt;LEFT('RFM input'!$Q$60,4),0,IF(MATCH(M$6,'RFM input'!$H$60:$Q$60,0),INDEX('RFM input'!$K$7:$K$56,$A932,1))))</f>
        <v>0</v>
      </c>
      <c r="N933" s="1417">
        <f>IF(LEFT(N$6,4)&lt;=LEFT('RFM input'!$G$60,4),"enter input",IF(LEFT(N$6,4)&gt;LEFT('RFM input'!$Q$60,4),0,IF(MATCH(N$6,'RFM input'!$H$60:$Q$60,0),INDEX('RFM input'!$K$7:$K$56,$A932,1))))</f>
        <v>0</v>
      </c>
      <c r="O933" s="1417">
        <f>IF(LEFT(O$6,4)&lt;=LEFT('RFM input'!$G$60,4),"enter input",IF(LEFT(O$6,4)&gt;LEFT('RFM input'!$Q$60,4),0,IF(MATCH(O$6,'RFM input'!$H$60:$Q$60,0),INDEX('RFM input'!$K$7:$K$56,$A932,1))))</f>
        <v>0</v>
      </c>
      <c r="P933" s="1417">
        <f>IF(LEFT(P$6,4)&lt;=LEFT('RFM input'!$G$60,4),"enter input",IF(LEFT(P$6,4)&gt;LEFT('RFM input'!$Q$60,4),0,IF(MATCH(P$6,'RFM input'!$H$60:$Q$60,0),INDEX('RFM input'!$K$7:$K$56,$A932,1))))</f>
        <v>0</v>
      </c>
      <c r="Q933" s="1417">
        <f>IF(LEFT(Q$6,4)&lt;=LEFT('RFM input'!$G$60,4),"enter input",IF(LEFT(Q$6,4)&gt;LEFT('RFM input'!$Q$60,4),0,IF(MATCH(Q$6,'RFM input'!$H$60:$Q$60,0),INDEX('RFM input'!$K$7:$K$56,$A932,1))))</f>
        <v>0</v>
      </c>
      <c r="R933" s="1417">
        <f>IF(LEFT(R$6,4)&lt;=LEFT('RFM input'!$G$60,4),"enter input",IF(LEFT(R$6,4)&gt;LEFT('RFM input'!$Q$60,4),0,IF(MATCH(R$6,'RFM input'!$H$60:$Q$60,0),INDEX('RFM input'!$K$7:$K$56,$A932,1))))</f>
        <v>0</v>
      </c>
      <c r="S933" s="1417">
        <f>IF(LEFT(S$6,4)&lt;=LEFT('RFM input'!$G$60,4),"enter input",IF(LEFT(S$6,4)&gt;LEFT('RFM input'!$Q$60,4),0,IF(MATCH(S$6,'RFM input'!$H$60:$Q$60,0),INDEX('RFM input'!$K$7:$K$56,$A932,1))))</f>
        <v>0</v>
      </c>
      <c r="T933" s="1417">
        <f>IF(LEFT(T$6,4)&lt;=LEFT('RFM input'!$G$60,4),"enter input",IF(LEFT(T$6,4)&gt;LEFT('RFM input'!$Q$60,4),0,IF(MATCH(T$6,'RFM input'!$H$60:$Q$60,0),INDEX('RFM input'!$K$7:$K$56,$A932,1))))</f>
        <v>0</v>
      </c>
      <c r="U933" s="1417">
        <f>IF(LEFT(U$6,4)&lt;=LEFT('RFM input'!$G$60,4),"enter input",IF(LEFT(U$6,4)&gt;LEFT('RFM input'!$Q$60,4),0,IF(MATCH(U$6,'RFM input'!$H$60:$Q$60,0),INDEX('RFM input'!$K$7:$K$56,$A932,1))))</f>
        <v>0</v>
      </c>
      <c r="V933" s="1417">
        <f>IF(LEFT(V$6,4)&lt;=LEFT('RFM input'!$G$60,4),"enter input",IF(LEFT(V$6,4)&gt;LEFT('RFM input'!$Q$60,4),0,IF(MATCH(V$6,'RFM input'!$H$60:$Q$60,0),INDEX('RFM input'!$K$7:$K$56,$A932,1))))</f>
        <v>0</v>
      </c>
      <c r="W933" s="1417">
        <f>IF(LEFT(W$6,4)&lt;=LEFT('RFM input'!$G$60,4),"enter input",IF(LEFT(W$6,4)&gt;LEFT('RFM input'!$Q$60,4),0,IF(MATCH(W$6,'RFM input'!$H$60:$Q$60,0),INDEX('RFM input'!$K$7:$K$56,$A932,1))))</f>
        <v>0</v>
      </c>
      <c r="X933" s="152"/>
      <c r="Y933" s="152"/>
      <c r="Z933" s="152"/>
      <c r="AA933" s="152"/>
      <c r="AB933" s="152"/>
    </row>
    <row r="934" spans="1:28">
      <c r="A934" s="152"/>
      <c r="B934" s="177" t="s">
        <v>191</v>
      </c>
      <c r="C934" s="1419"/>
      <c r="D934" s="1420">
        <f ca="1">IF(LEFT(D$6,4)&lt;=LEFT('RFM input'!$G$60,4),"enter input",IF(LEFT(D$6,4)&gt;LEFT('RFM input'!$Q$60,4),0,IF(D$6=(OFFSET('RFM input'!$G$60,0,'RFM input'!$V$7)),OFFSET('RFM input'!$G$411,$A932,0),0)))</f>
        <v>0</v>
      </c>
      <c r="E934" s="1417">
        <f ca="1">IF(LEFT(E$6,4)&lt;=LEFT('RFM input'!$G$60,4),"enter input",IF(LEFT(E$6,4)&gt;LEFT('RFM input'!$Q$60,4),0,IF(E$6=(OFFSET('RFM input'!$G$60,0,'RFM input'!$V$7)),OFFSET('RFM input'!$G$411,$A932,0),0)))</f>
        <v>0</v>
      </c>
      <c r="F934" s="1417">
        <f ca="1">IF(LEFT(F$6,4)&lt;=LEFT('RFM input'!$G$60,4),"enter input",IF(LEFT(F$6,4)&gt;LEFT('RFM input'!$Q$60,4),0,IF(F$6=(OFFSET('RFM input'!$G$60,0,'RFM input'!$V$7)),OFFSET('RFM input'!$G$411,$A932,0),0)))</f>
        <v>0</v>
      </c>
      <c r="G934" s="1417">
        <f ca="1">IF(LEFT(G$6,4)&lt;=LEFT('RFM input'!$G$60,4),"enter input",IF(LEFT(G$6,4)&gt;LEFT('RFM input'!$Q$60,4),0,IF(G$6=(OFFSET('RFM input'!$G$60,0,'RFM input'!$V$7)),OFFSET('RFM input'!$G$411,$A932,0),0)))</f>
        <v>0</v>
      </c>
      <c r="H934" s="1417">
        <f ca="1">IF(LEFT(H$6,4)&lt;=LEFT('RFM input'!$G$60,4),"enter input",IF(LEFT(H$6,4)&gt;LEFT('RFM input'!$Q$60,4),0,IF(H$6=(OFFSET('RFM input'!$G$60,0,'RFM input'!$V$7)),OFFSET('RFM input'!$G$411,$A932,0),0)))</f>
        <v>0</v>
      </c>
      <c r="I934" s="1417">
        <f ca="1">IF(LEFT(I$6,4)&lt;=LEFT('RFM input'!$G$60,4),"enter input",IF(LEFT(I$6,4)&gt;LEFT('RFM input'!$Q$60,4),0,IF(I$6=(OFFSET('RFM input'!$G$60,0,'RFM input'!$V$7)),OFFSET('RFM input'!$G$411,$A932,0),0)))</f>
        <v>0</v>
      </c>
      <c r="J934" s="1417">
        <f ca="1">IF(LEFT(J$6,4)&lt;=LEFT('RFM input'!$G$60,4),"enter input",IF(LEFT(J$6,4)&gt;LEFT('RFM input'!$Q$60,4),0,IF(J$6=(OFFSET('RFM input'!$G$60,0,'RFM input'!$V$7)),OFFSET('RFM input'!$G$411,$A932,0),0)))</f>
        <v>0</v>
      </c>
      <c r="K934" s="1417">
        <f ca="1">IF(LEFT(K$6,4)&lt;=LEFT('RFM input'!$G$60,4),"enter input",IF(LEFT(K$6,4)&gt;LEFT('RFM input'!$Q$60,4),0,IF(K$6=(OFFSET('RFM input'!$G$60,0,'RFM input'!$V$7)),OFFSET('RFM input'!$G$411,$A932,0),0)))</f>
        <v>0</v>
      </c>
      <c r="L934" s="1417">
        <f ca="1">IF(LEFT(L$6,4)&lt;=LEFT('RFM input'!$G$60,4),"enter input",IF(LEFT(L$6,4)&gt;LEFT('RFM input'!$Q$60,4),0,IF(L$6=(OFFSET('RFM input'!$G$60,0,'RFM input'!$V$7)),OFFSET('RFM input'!$G$411,$A932,0),0)))</f>
        <v>0</v>
      </c>
      <c r="M934" s="1417">
        <f ca="1">IF(LEFT(M$6,4)&lt;=LEFT('RFM input'!$G$60,4),"enter input",IF(LEFT(M$6,4)&gt;LEFT('RFM input'!$Q$60,4),0,IF(M$6=(OFFSET('RFM input'!$G$60,0,'RFM input'!$V$7)),OFFSET('RFM input'!$G$411,$A932,0),0)))</f>
        <v>0</v>
      </c>
      <c r="N934" s="1417">
        <f ca="1">IF(LEFT(N$6,4)&lt;=LEFT('RFM input'!$G$60,4),"enter input",IF(LEFT(N$6,4)&gt;LEFT('RFM input'!$Q$60,4),0,IF(N$6=(OFFSET('RFM input'!$G$60,0,'RFM input'!$V$7)),OFFSET('RFM input'!$G$411,$A932,0),0)))</f>
        <v>0</v>
      </c>
      <c r="O934" s="1417">
        <f ca="1">IF(LEFT(O$6,4)&lt;=LEFT('RFM input'!$G$60,4),"enter input",IF(LEFT(O$6,4)&gt;LEFT('RFM input'!$Q$60,4),0,IF(O$6=(OFFSET('RFM input'!$G$60,0,'RFM input'!$V$7)),OFFSET('RFM input'!$G$411,$A932,0),0)))</f>
        <v>0</v>
      </c>
      <c r="P934" s="1417">
        <f ca="1">IF(LEFT(P$6,4)&lt;=LEFT('RFM input'!$G$60,4),"enter input",IF(LEFT(P$6,4)&gt;LEFT('RFM input'!$Q$60,4),0,IF(P$6=(OFFSET('RFM input'!$G$60,0,'RFM input'!$V$7)),OFFSET('RFM input'!$G$411,$A932,0),0)))</f>
        <v>0</v>
      </c>
      <c r="Q934" s="1417">
        <f ca="1">IF(LEFT(Q$6,4)&lt;=LEFT('RFM input'!$G$60,4),"enter input",IF(LEFT(Q$6,4)&gt;LEFT('RFM input'!$Q$60,4),0,IF(Q$6=(OFFSET('RFM input'!$G$60,0,'RFM input'!$V$7)),OFFSET('RFM input'!$G$411,$A932,0),0)))</f>
        <v>0</v>
      </c>
      <c r="R934" s="1417">
        <f ca="1">IF(LEFT(R$6,4)&lt;=LEFT('RFM input'!$G$60,4),"enter input",IF(LEFT(R$6,4)&gt;LEFT('RFM input'!$Q$60,4),0,IF(R$6=(OFFSET('RFM input'!$G$60,0,'RFM input'!$V$7)),OFFSET('RFM input'!$G$411,$A932,0),0)))</f>
        <v>0</v>
      </c>
      <c r="S934" s="1417">
        <f ca="1">IF(LEFT(S$6,4)&lt;=LEFT('RFM input'!$G$60,4),"enter input",IF(LEFT(S$6,4)&gt;LEFT('RFM input'!$Q$60,4),0,IF(S$6=(OFFSET('RFM input'!$G$60,0,'RFM input'!$V$7)),OFFSET('RFM input'!$G$411,$A932,0),0)))</f>
        <v>0</v>
      </c>
      <c r="T934" s="1417">
        <f ca="1">IF(LEFT(T$6,4)&lt;=LEFT('RFM input'!$G$60,4),"enter input",IF(LEFT(T$6,4)&gt;LEFT('RFM input'!$Q$60,4),0,IF(T$6=(OFFSET('RFM input'!$G$60,0,'RFM input'!$V$7)),OFFSET('RFM input'!$G$411,$A932,0),0)))</f>
        <v>0</v>
      </c>
      <c r="U934" s="1417">
        <f ca="1">IF(LEFT(U$6,4)&lt;=LEFT('RFM input'!$G$60,4),"enter input",IF(LEFT(U$6,4)&gt;LEFT('RFM input'!$Q$60,4),0,IF(U$6=(OFFSET('RFM input'!$G$60,0,'RFM input'!$V$7)),OFFSET('RFM input'!$G$411,$A932,0),0)))</f>
        <v>0</v>
      </c>
      <c r="V934" s="1417">
        <f ca="1">IF(LEFT(V$6,4)&lt;=LEFT('RFM input'!$G$60,4),"enter input",IF(LEFT(V$6,4)&gt;LEFT('RFM input'!$Q$60,4),0,IF(V$6=(OFFSET('RFM input'!$G$60,0,'RFM input'!$V$7)),OFFSET('RFM input'!$G$411,$A932,0),0)))</f>
        <v>0</v>
      </c>
      <c r="W934" s="1417">
        <f ca="1">IF(LEFT(W$6,4)&lt;=LEFT('RFM input'!$G$60,4),"enter input",IF(LEFT(W$6,4)&gt;LEFT('RFM input'!$Q$60,4),0,IF(W$6=(OFFSET('RFM input'!$G$60,0,'RFM input'!$V$7)),OFFSET('RFM input'!$G$411,$A932,0),0)))</f>
        <v>0</v>
      </c>
      <c r="X934" s="152"/>
      <c r="Y934" s="152"/>
      <c r="Z934" s="152"/>
      <c r="AA934" s="152"/>
      <c r="AB934" s="152"/>
    </row>
    <row r="935" spans="1:28">
      <c r="A935" s="152"/>
      <c r="B935" s="195" t="s">
        <v>197</v>
      </c>
      <c r="C935" s="1419"/>
      <c r="D935" s="1418">
        <f ca="1">IF(LEFT(D$6,4)&lt;=LEFT('RFM input'!$G$60,4),"enter input",IF(LEFT(D$6,4)&gt;LEFT('RFM input'!$Q$60,4),0,IF(D$6=(OFFSET('RFM input'!$G$60,0,'RFM input'!$V$7)),OFFSET('RFM input'!$I$411,$A932,0),0)))</f>
        <v>0</v>
      </c>
      <c r="E935" s="1422">
        <f ca="1">IF(LEFT(E$6,4)&lt;=LEFT('RFM input'!$G$60,4),"enter input",IF(LEFT(E$6,4)&gt;LEFT('RFM input'!$Q$60,4),0,IF(E$6=(OFFSET('RFM input'!$G$60,0,'RFM input'!$V$7)),OFFSET('RFM input'!$I$411,$A932,0),0)))</f>
        <v>0</v>
      </c>
      <c r="F935" s="1422">
        <f ca="1">IF(LEFT(F$6,4)&lt;=LEFT('RFM input'!$G$60,4),"enter input",IF(LEFT(F$6,4)&gt;LEFT('RFM input'!$Q$60,4),0,IF(F$6=(OFFSET('RFM input'!$G$60,0,'RFM input'!$V$7)),OFFSET('RFM input'!$I$411,$A932,0),0)))</f>
        <v>0</v>
      </c>
      <c r="G935" s="1422">
        <f ca="1">IF(LEFT(G$6,4)&lt;=LEFT('RFM input'!$G$60,4),"enter input",IF(LEFT(G$6,4)&gt;LEFT('RFM input'!$Q$60,4),0,IF(G$6=(OFFSET('RFM input'!$G$60,0,'RFM input'!$V$7)),OFFSET('RFM input'!$I$411,$A932,0),0)))</f>
        <v>0</v>
      </c>
      <c r="H935" s="1422">
        <f ca="1">IF(LEFT(H$6,4)&lt;=LEFT('RFM input'!$G$60,4),"enter input",IF(LEFT(H$6,4)&gt;LEFT('RFM input'!$Q$60,4),0,IF(H$6=(OFFSET('RFM input'!$G$60,0,'RFM input'!$V$7)),OFFSET('RFM input'!$I$411,$A932,0),0)))</f>
        <v>0</v>
      </c>
      <c r="I935" s="1422">
        <f ca="1">IF(LEFT(I$6,4)&lt;=LEFT('RFM input'!$G$60,4),"enter input",IF(LEFT(I$6,4)&gt;LEFT('RFM input'!$Q$60,4),0,IF(I$6=(OFFSET('RFM input'!$G$60,0,'RFM input'!$V$7)),OFFSET('RFM input'!$I$411,$A932,0),0)))</f>
        <v>0</v>
      </c>
      <c r="J935" s="1422">
        <f ca="1">IF(LEFT(J$6,4)&lt;=LEFT('RFM input'!$G$60,4),"enter input",IF(LEFT(J$6,4)&gt;LEFT('RFM input'!$Q$60,4),0,IF(J$6=(OFFSET('RFM input'!$G$60,0,'RFM input'!$V$7)),OFFSET('RFM input'!$I$411,$A932,0),0)))</f>
        <v>0</v>
      </c>
      <c r="K935" s="1422">
        <f ca="1">IF(LEFT(K$6,4)&lt;=LEFT('RFM input'!$G$60,4),"enter input",IF(LEFT(K$6,4)&gt;LEFT('RFM input'!$Q$60,4),0,IF(K$6=(OFFSET('RFM input'!$G$60,0,'RFM input'!$V$7)),OFFSET('RFM input'!$I$411,$A932,0),0)))</f>
        <v>0</v>
      </c>
      <c r="L935" s="1422">
        <f ca="1">IF(LEFT(L$6,4)&lt;=LEFT('RFM input'!$G$60,4),"enter input",IF(LEFT(L$6,4)&gt;LEFT('RFM input'!$Q$60,4),0,IF(L$6=(OFFSET('RFM input'!$G$60,0,'RFM input'!$V$7)),OFFSET('RFM input'!$I$411,$A932,0),0)))</f>
        <v>0</v>
      </c>
      <c r="M935" s="1422">
        <f ca="1">IF(LEFT(M$6,4)&lt;=LEFT('RFM input'!$G$60,4),"enter input",IF(LEFT(M$6,4)&gt;LEFT('RFM input'!$Q$60,4),0,IF(M$6=(OFFSET('RFM input'!$G$60,0,'RFM input'!$V$7)),OFFSET('RFM input'!$I$411,$A932,0),0)))</f>
        <v>0</v>
      </c>
      <c r="N935" s="1422">
        <f ca="1">IF(LEFT(N$6,4)&lt;=LEFT('RFM input'!$G$60,4),"enter input",IF(LEFT(N$6,4)&gt;LEFT('RFM input'!$Q$60,4),0,IF(N$6=(OFFSET('RFM input'!$G$60,0,'RFM input'!$V$7)),OFFSET('RFM input'!$I$411,$A932,0),0)))</f>
        <v>0</v>
      </c>
      <c r="O935" s="1422">
        <f ca="1">IF(LEFT(O$6,4)&lt;=LEFT('RFM input'!$G$60,4),"enter input",IF(LEFT(O$6,4)&gt;LEFT('RFM input'!$Q$60,4),0,IF(O$6=(OFFSET('RFM input'!$G$60,0,'RFM input'!$V$7)),OFFSET('RFM input'!$I$411,$A932,0),0)))</f>
        <v>0</v>
      </c>
      <c r="P935" s="1422">
        <f ca="1">IF(LEFT(P$6,4)&lt;=LEFT('RFM input'!$G$60,4),"enter input",IF(LEFT(P$6,4)&gt;LEFT('RFM input'!$Q$60,4),0,IF(P$6=(OFFSET('RFM input'!$G$60,0,'RFM input'!$V$7)),OFFSET('RFM input'!$I$411,$A932,0),0)))</f>
        <v>0</v>
      </c>
      <c r="Q935" s="1422">
        <f ca="1">IF(LEFT(Q$6,4)&lt;=LEFT('RFM input'!$G$60,4),"enter input",IF(LEFT(Q$6,4)&gt;LEFT('RFM input'!$Q$60,4),0,IF(Q$6=(OFFSET('RFM input'!$G$60,0,'RFM input'!$V$7)),OFFSET('RFM input'!$I$411,$A932,0),0)))</f>
        <v>0</v>
      </c>
      <c r="R935" s="1422">
        <f ca="1">IF(LEFT(R$6,4)&lt;=LEFT('RFM input'!$G$60,4),"enter input",IF(LEFT(R$6,4)&gt;LEFT('RFM input'!$Q$60,4),0,IF(R$6=(OFFSET('RFM input'!$G$60,0,'RFM input'!$V$7)),OFFSET('RFM input'!$I$411,$A932,0),0)))</f>
        <v>0</v>
      </c>
      <c r="S935" s="1422">
        <f ca="1">IF(LEFT(S$6,4)&lt;=LEFT('RFM input'!$G$60,4),"enter input",IF(LEFT(S$6,4)&gt;LEFT('RFM input'!$Q$60,4),0,IF(S$6=(OFFSET('RFM input'!$G$60,0,'RFM input'!$V$7)),OFFSET('RFM input'!$I$411,$A932,0),0)))</f>
        <v>0</v>
      </c>
      <c r="T935" s="1422">
        <f ca="1">IF(LEFT(T$6,4)&lt;=LEFT('RFM input'!$G$60,4),"enter input",IF(LEFT(T$6,4)&gt;LEFT('RFM input'!$Q$60,4),0,IF(T$6=(OFFSET('RFM input'!$G$60,0,'RFM input'!$V$7)),OFFSET('RFM input'!$I$411,$A932,0),0)))</f>
        <v>0</v>
      </c>
      <c r="U935" s="1422">
        <f ca="1">IF(LEFT(U$6,4)&lt;=LEFT('RFM input'!$G$60,4),"enter input",IF(LEFT(U$6,4)&gt;LEFT('RFM input'!$Q$60,4),0,IF(U$6=(OFFSET('RFM input'!$G$60,0,'RFM input'!$V$7)),OFFSET('RFM input'!$I$411,$A932,0),0)))</f>
        <v>0</v>
      </c>
      <c r="V935" s="1422">
        <f ca="1">IF(LEFT(V$6,4)&lt;=LEFT('RFM input'!$G$60,4),"enter input",IF(LEFT(V$6,4)&gt;LEFT('RFM input'!$Q$60,4),0,IF(V$6=(OFFSET('RFM input'!$G$60,0,'RFM input'!$V$7)),OFFSET('RFM input'!$I$411,$A932,0),0)))</f>
        <v>0</v>
      </c>
      <c r="W935" s="1422">
        <f ca="1">IF(LEFT(W$6,4)&lt;=LEFT('RFM input'!$G$60,4),"enter input",IF(LEFT(W$6,4)&gt;LEFT('RFM input'!$Q$60,4),0,IF(W$6=(OFFSET('RFM input'!$G$60,0,'RFM input'!$V$7)),OFFSET('RFM input'!$I$411,$A932,0),0)))</f>
        <v>0</v>
      </c>
      <c r="X935" s="152"/>
      <c r="Y935" s="152"/>
      <c r="Z935" s="152"/>
      <c r="AA935" s="152"/>
      <c r="AB935" s="152"/>
    </row>
    <row r="936" spans="1:28" hidden="1" outlineLevel="1">
      <c r="A936" s="235">
        <v>-1</v>
      </c>
      <c r="B936" s="190" t="s">
        <v>189</v>
      </c>
      <c r="C936" s="1423"/>
      <c r="D936" s="1423">
        <f ca="1">IF(AND(D934=0,C936=0),0,
IF(AND(D934&lt;&gt;0,C936=0),(D934/D$10),
IF(AND(D935&lt;&gt;0,C936&lt;&gt;0),(C936-(C936/C960))+(D934/D$10),
IF(C960&lt;1,0,(C936-(C936/C960))))))</f>
        <v>0</v>
      </c>
      <c r="E936" s="1423">
        <f t="shared" ref="E936" ca="1" si="1342">IF(AND(E934=0,D936=0),0,
IF(AND(E934&lt;&gt;0,D936=0),(E934/E$10),
IF(AND(E935&lt;&gt;0,D936&lt;&gt;0),(D936-(D936/D960))+(E934/E$10),
IF(D960&lt;1,0,(D936-(D936/D960))))))</f>
        <v>0</v>
      </c>
      <c r="F936" s="1423">
        <f t="shared" ref="F936" ca="1" si="1343">IF(AND(F934=0,E936=0),0,
IF(AND(F934&lt;&gt;0,E936=0),(F934/F$10),
IF(AND(F935&lt;&gt;0,E936&lt;&gt;0),(E936-(E936/E960))+(F934/F$10),
IF(E960&lt;1,0,(E936-(E936/E960))))))</f>
        <v>0</v>
      </c>
      <c r="G936" s="1423">
        <f t="shared" ref="G936" ca="1" si="1344">IF(AND(G934=0,F936=0),0,
IF(AND(G934&lt;&gt;0,F936=0),(G934/G$10),
IF(AND(G935&lt;&gt;0,F936&lt;&gt;0),(F936-(F936/F960))+(G934/G$10),
IF(F960&lt;1,0,(F936-(F936/F960))))))</f>
        <v>0</v>
      </c>
      <c r="H936" s="1423">
        <f t="shared" ref="H936" ca="1" si="1345">IF(AND(H934=0,G936=0),0,
IF(AND(H934&lt;&gt;0,G936=0),(H934/H$10),
IF(AND(H935&lt;&gt;0,G936&lt;&gt;0),(G936-(G936/G960))+(H934/H$10),
IF(G960&lt;1,0,(G936-(G936/G960))))))</f>
        <v>0</v>
      </c>
      <c r="I936" s="1423">
        <f t="shared" ref="I936" ca="1" si="1346">IF(AND(I934=0,H936=0),0,
IF(AND(I934&lt;&gt;0,H936=0),(I934/I$10),
IF(AND(I935&lt;&gt;0,H936&lt;&gt;0),(H936-(H936/H960))+(I934/I$10),
IF(H960&lt;1,0,(H936-(H936/H960))))))</f>
        <v>0</v>
      </c>
      <c r="J936" s="1423">
        <f t="shared" ref="J936" ca="1" si="1347">IF(AND(J934=0,I936=0),0,
IF(AND(J934&lt;&gt;0,I936=0),(J934/J$10),
IF(AND(J935&lt;&gt;0,I936&lt;&gt;0),(I936-(I936/I960))+(J934/J$10),
IF(I960&lt;1,0,(I936-(I936/I960))))))</f>
        <v>0</v>
      </c>
      <c r="K936" s="1423">
        <f t="shared" ref="K936" ca="1" si="1348">IF(AND(K934=0,J936=0),0,
IF(AND(K934&lt;&gt;0,J936=0),(K934/K$10),
IF(AND(K935&lt;&gt;0,J936&lt;&gt;0),(J936-(J936/J960))+(K934/K$10),
IF(J960&lt;1,0,(J936-(J936/J960))))))</f>
        <v>0</v>
      </c>
      <c r="L936" s="1423">
        <f t="shared" ref="L936" ca="1" si="1349">IF(AND(L934=0,K936=0),0,
IF(AND(L934&lt;&gt;0,K936=0),(L934/L$10),
IF(AND(L935&lt;&gt;0,K936&lt;&gt;0),(K936-(K936/K960))+(L934/L$10),
IF(K960&lt;1,0,(K936-(K936/K960))))))</f>
        <v>0</v>
      </c>
      <c r="M936" s="1423">
        <f t="shared" ref="M936" ca="1" si="1350">IF(AND(M934=0,L936=0),0,
IF(AND(M934&lt;&gt;0,L936=0),(M934/M$10),
IF(AND(M935&lt;&gt;0,L936&lt;&gt;0),(L936-(L936/L960))+(M934/M$10),
IF(L960&lt;1,0,(L936-(L936/L960))))))</f>
        <v>0</v>
      </c>
      <c r="N936" s="1423">
        <f t="shared" ref="N936" ca="1" si="1351">IF(AND(N934=0,M936=0),0,
IF(AND(N934&lt;&gt;0,M936=0),(N934/N$10),
IF(AND(N935&lt;&gt;0,M936&lt;&gt;0),(M936-(M936/M960))+(N934/N$10),
IF(M960&lt;1,0,(M936-(M936/M960))))))</f>
        <v>0</v>
      </c>
      <c r="O936" s="1423">
        <f t="shared" ref="O936" ca="1" si="1352">IF(AND(O934=0,N936=0),0,
IF(AND(O934&lt;&gt;0,N936=0),(O934/O$10),
IF(AND(O935&lt;&gt;0,N936&lt;&gt;0),(N936-(N936/N960))+(O934/O$10),
IF(N960&lt;1,0,(N936-(N936/N960))))))</f>
        <v>0</v>
      </c>
      <c r="P936" s="1423">
        <f t="shared" ref="P936" ca="1" si="1353">IF(AND(P934=0,O936=0),0,
IF(AND(P934&lt;&gt;0,O936=0),(P934/P$10),
IF(AND(P935&lt;&gt;0,O936&lt;&gt;0),(O936-(O936/O960))+(P934/P$10),
IF(O960&lt;1,0,(O936-(O936/O960))))))</f>
        <v>0</v>
      </c>
      <c r="Q936" s="1423">
        <f t="shared" ref="Q936" ca="1" si="1354">IF(AND(Q934=0,P936=0),0,
IF(AND(Q934&lt;&gt;0,P936=0),(Q934/Q$10),
IF(AND(Q935&lt;&gt;0,P936&lt;&gt;0),(P936-(P936/P960))+(Q934/Q$10),
IF(P960&lt;1,0,(P936-(P936/P960))))))</f>
        <v>0</v>
      </c>
      <c r="R936" s="1423">
        <f t="shared" ref="R936" ca="1" si="1355">IF(AND(R934=0,Q936=0),0,
IF(AND(R934&lt;&gt;0,Q936=0),(R934/R$10),
IF(AND(R935&lt;&gt;0,Q936&lt;&gt;0),(Q936-(Q936/Q960))+(R934/R$10),
IF(Q960&lt;1,0,(Q936-(Q936/Q960))))))</f>
        <v>0</v>
      </c>
      <c r="S936" s="1423">
        <f t="shared" ref="S936" ca="1" si="1356">IF(AND(S934=0,R936=0),0,
IF(AND(S934&lt;&gt;0,R936=0),(S934/S$10),
IF(AND(S935&lt;&gt;0,R936&lt;&gt;0),(R936-(R936/R960))+(S934/S$10),
IF(R960&lt;1,0,(R936-(R936/R960))))))</f>
        <v>0</v>
      </c>
      <c r="T936" s="1423">
        <f t="shared" ref="T936" ca="1" si="1357">IF(AND(T934=0,S936=0),0,
IF(AND(T934&lt;&gt;0,S936=0),(T934/T$10),
IF(AND(T935&lt;&gt;0,S936&lt;&gt;0),(S936-(S936/S960))+(T934/T$10),
IF(S960&lt;1,0,(S936-(S936/S960))))))</f>
        <v>0</v>
      </c>
      <c r="U936" s="1423">
        <f t="shared" ref="U936" ca="1" si="1358">IF(AND(U934=0,T936=0),0,
IF(AND(U934&lt;&gt;0,T936=0),(U934/U$10),
IF(AND(U935&lt;&gt;0,T936&lt;&gt;0),(T936-(T936/T960))+(U934/U$10),
IF(T960&lt;1,0,(T936-(T936/T960))))))</f>
        <v>0</v>
      </c>
      <c r="V936" s="1423">
        <f t="shared" ref="V936" ca="1" si="1359">IF(AND(V934=0,U936=0),0,
IF(AND(V934&lt;&gt;0,U936=0),(V934/V$10),
IF(AND(V935&lt;&gt;0,U936&lt;&gt;0),(U936-(U936/U960))+(V934/V$10),
IF(U960&lt;1,0,(U936-(U936/U960))))))</f>
        <v>0</v>
      </c>
      <c r="W936" s="1423">
        <f t="shared" ref="W936" ca="1" si="1360">IF(AND(W934=0,V936=0),0,
IF(AND(W934&lt;&gt;0,V936=0),(W934/W$10),
IF(AND(W935&lt;&gt;0,V936&lt;&gt;0),(V936-(V936/V960))+(W934/W$10),
IF(V960&lt;1,0,(V936-(V936/V960))))))</f>
        <v>0</v>
      </c>
      <c r="X936" s="152"/>
      <c r="Y936" s="152"/>
      <c r="Z936" s="152"/>
      <c r="AA936" s="152"/>
      <c r="AB936" s="152"/>
    </row>
    <row r="937" spans="1:28" hidden="1" outlineLevel="1">
      <c r="A937" s="199">
        <f>A936+1</f>
        <v>0</v>
      </c>
      <c r="B937" s="190" t="s">
        <v>125</v>
      </c>
      <c r="C937" s="1423">
        <f ca="1">C932/C$10</f>
        <v>0</v>
      </c>
      <c r="D937" s="1423">
        <f ca="1">IF(C961="n/a",C937,IFERROR(IF((OFFSET($C937,0,$A937))&lt;0,
MIN(0,C937-(OFFSET($C937,0,$A937)/(OFFSET($C932,-$A936,$A937)))),
MAX(0,C937-(OFFSET($C937,0,$A937)/(OFFSET($C932,-$A936,$A937))))),0))</f>
        <v>0</v>
      </c>
      <c r="E937" s="1423">
        <f t="shared" ref="E937" ca="1" si="1361">IF(D961="n/a",D937,IFERROR(IF((OFFSET($C937,0,$A937))&lt;0,
MIN(0,D937-(OFFSET($C937,0,$A937)/(OFFSET($C932,-$A936,$A937)))),
MAX(0,D937-(OFFSET($C937,0,$A937)/(OFFSET($C932,-$A936,$A937))))),0))</f>
        <v>0</v>
      </c>
      <c r="F937" s="1423">
        <f t="shared" ref="F937:F938" ca="1" si="1362">IF(E961="n/a",E937,IFERROR(IF((OFFSET($C937,0,$A937))&lt;0,
MIN(0,E937-(OFFSET($C937,0,$A937)/(OFFSET($C932,-$A936,$A937)))),
MAX(0,E937-(OFFSET($C937,0,$A937)/(OFFSET($C932,-$A936,$A937))))),0))</f>
        <v>0</v>
      </c>
      <c r="G937" s="1423">
        <f t="shared" ref="G937:G939" ca="1" si="1363">IF(F961="n/a",F937,IFERROR(IF((OFFSET($C937,0,$A937))&lt;0,
MIN(0,F937-(OFFSET($C937,0,$A937)/(OFFSET($C932,-$A936,$A937)))),
MAX(0,F937-(OFFSET($C937,0,$A937)/(OFFSET($C932,-$A936,$A937))))),0))</f>
        <v>0</v>
      </c>
      <c r="H937" s="1423">
        <f t="shared" ref="H937:H940" ca="1" si="1364">IF(G961="n/a",G937,IFERROR(IF((OFFSET($C937,0,$A937))&lt;0,
MIN(0,G937-(OFFSET($C937,0,$A937)/(OFFSET($C932,-$A936,$A937)))),
MAX(0,G937-(OFFSET($C937,0,$A937)/(OFFSET($C932,-$A936,$A937))))),0))</f>
        <v>0</v>
      </c>
      <c r="I937" s="1423">
        <f t="shared" ref="I937:I941" ca="1" si="1365">IF(H961="n/a",H937,IFERROR(IF((OFFSET($C937,0,$A937))&lt;0,
MIN(0,H937-(OFFSET($C937,0,$A937)/(OFFSET($C932,-$A936,$A937)))),
MAX(0,H937-(OFFSET($C937,0,$A937)/(OFFSET($C932,-$A936,$A937))))),0))</f>
        <v>0</v>
      </c>
      <c r="J937" s="1423">
        <f t="shared" ref="J937:J942" ca="1" si="1366">IF(I961="n/a",I937,IFERROR(IF((OFFSET($C937,0,$A937))&lt;0,
MIN(0,I937-(OFFSET($C937,0,$A937)/(OFFSET($C932,-$A936,$A937)))),
MAX(0,I937-(OFFSET($C937,0,$A937)/(OFFSET($C932,-$A936,$A937))))),0))</f>
        <v>0</v>
      </c>
      <c r="K937" s="1423">
        <f t="shared" ref="K937:K943" ca="1" si="1367">IF(J961="n/a",J937,IFERROR(IF((OFFSET($C937,0,$A937))&lt;0,
MIN(0,J937-(OFFSET($C937,0,$A937)/(OFFSET($C932,-$A936,$A937)))),
MAX(0,J937-(OFFSET($C937,0,$A937)/(OFFSET($C932,-$A936,$A937))))),0))</f>
        <v>0</v>
      </c>
      <c r="L937" s="1423">
        <f t="shared" ref="L937:L944" ca="1" si="1368">IF(K961="n/a",K937,IFERROR(IF((OFFSET($C937,0,$A937))&lt;0,
MIN(0,K937-(OFFSET($C937,0,$A937)/(OFFSET($C932,-$A936,$A937)))),
MAX(0,K937-(OFFSET($C937,0,$A937)/(OFFSET($C932,-$A936,$A937))))),0))</f>
        <v>0</v>
      </c>
      <c r="M937" s="1423">
        <f t="shared" ref="M937:M945" ca="1" si="1369">IF(L961="n/a",L937,IFERROR(IF((OFFSET($C937,0,$A937))&lt;0,
MIN(0,L937-(OFFSET($C937,0,$A937)/(OFFSET($C932,-$A936,$A937)))),
MAX(0,L937-(OFFSET($C937,0,$A937)/(OFFSET($C932,-$A936,$A937))))),0))</f>
        <v>0</v>
      </c>
      <c r="N937" s="1423">
        <f t="shared" ref="N937:N946" ca="1" si="1370">IF(M961="n/a",M937,IFERROR(IF((OFFSET($C937,0,$A937))&lt;0,
MIN(0,M937-(OFFSET($C937,0,$A937)/(OFFSET($C932,-$A936,$A937)))),
MAX(0,M937-(OFFSET($C937,0,$A937)/(OFFSET($C932,-$A936,$A937))))),0))</f>
        <v>0</v>
      </c>
      <c r="O937" s="1423">
        <f t="shared" ref="O937:O947" ca="1" si="1371">IF(N961="n/a",N937,IFERROR(IF((OFFSET($C937,0,$A937))&lt;0,
MIN(0,N937-(OFFSET($C937,0,$A937)/(OFFSET($C932,-$A936,$A937)))),
MAX(0,N937-(OFFSET($C937,0,$A937)/(OFFSET($C932,-$A936,$A937))))),0))</f>
        <v>0</v>
      </c>
      <c r="P937" s="1423">
        <f t="shared" ref="P937:P948" ca="1" si="1372">IF(O961="n/a",O937,IFERROR(IF((OFFSET($C937,0,$A937))&lt;0,
MIN(0,O937-(OFFSET($C937,0,$A937)/(OFFSET($C932,-$A936,$A937)))),
MAX(0,O937-(OFFSET($C937,0,$A937)/(OFFSET($C932,-$A936,$A937))))),0))</f>
        <v>0</v>
      </c>
      <c r="Q937" s="1423">
        <f t="shared" ref="Q937:Q949" ca="1" si="1373">IF(P961="n/a",P937,IFERROR(IF((OFFSET($C937,0,$A937))&lt;0,
MIN(0,P937-(OFFSET($C937,0,$A937)/(OFFSET($C932,-$A936,$A937)))),
MAX(0,P937-(OFFSET($C937,0,$A937)/(OFFSET($C932,-$A936,$A937))))),0))</f>
        <v>0</v>
      </c>
      <c r="R937" s="1423">
        <f t="shared" ref="R937:R950" ca="1" si="1374">IF(Q961="n/a",Q937,IFERROR(IF((OFFSET($C937,0,$A937))&lt;0,
MIN(0,Q937-(OFFSET($C937,0,$A937)/(OFFSET($C932,-$A936,$A937)))),
MAX(0,Q937-(OFFSET($C937,0,$A937)/(OFFSET($C932,-$A936,$A937))))),0))</f>
        <v>0</v>
      </c>
      <c r="S937" s="1423">
        <f t="shared" ref="S937:S951" ca="1" si="1375">IF(R961="n/a",R937,IFERROR(IF((OFFSET($C937,0,$A937))&lt;0,
MIN(0,R937-(OFFSET($C937,0,$A937)/(OFFSET($C932,-$A936,$A937)))),
MAX(0,R937-(OFFSET($C937,0,$A937)/(OFFSET($C932,-$A936,$A937))))),0))</f>
        <v>0</v>
      </c>
      <c r="T937" s="1423">
        <f t="shared" ref="T937:T952" ca="1" si="1376">IF(S961="n/a",S937,IFERROR(IF((OFFSET($C937,0,$A937))&lt;0,
MIN(0,S937-(OFFSET($C937,0,$A937)/(OFFSET($C932,-$A936,$A937)))),
MAX(0,S937-(OFFSET($C937,0,$A937)/(OFFSET($C932,-$A936,$A937))))),0))</f>
        <v>0</v>
      </c>
      <c r="U937" s="1423">
        <f t="shared" ref="U937:U953" ca="1" si="1377">IF(T961="n/a",T937,IFERROR(IF((OFFSET($C937,0,$A937))&lt;0,
MIN(0,T937-(OFFSET($C937,0,$A937)/(OFFSET($C932,-$A936,$A937)))),
MAX(0,T937-(OFFSET($C937,0,$A937)/(OFFSET($C932,-$A936,$A937))))),0))</f>
        <v>0</v>
      </c>
      <c r="V937" s="1423">
        <f t="shared" ref="V937:V954" ca="1" si="1378">IF(U961="n/a",U937,IFERROR(IF((OFFSET($C937,0,$A937))&lt;0,
MIN(0,U937-(OFFSET($C937,0,$A937)/(OFFSET($C932,-$A936,$A937)))),
MAX(0,U937-(OFFSET($C937,0,$A937)/(OFFSET($C932,-$A936,$A937))))),0))</f>
        <v>0</v>
      </c>
      <c r="W937" s="1423">
        <f t="shared" ref="W937:W955" ca="1" si="1379">IF(V961="n/a",V937,IFERROR(IF((OFFSET($C937,0,$A937))&lt;0,
MIN(0,V937-(OFFSET($C937,0,$A937)/(OFFSET($C932,-$A936,$A937)))),
MAX(0,V937-(OFFSET($C937,0,$A937)/(OFFSET($C932,-$A936,$A937))))),0))</f>
        <v>0</v>
      </c>
      <c r="X937" s="152"/>
      <c r="Y937" s="152"/>
      <c r="Z937" s="152"/>
      <c r="AA937" s="152"/>
      <c r="AB937" s="152"/>
    </row>
    <row r="938" spans="1:28" hidden="1" outlineLevel="1">
      <c r="A938" s="199">
        <f t="shared" ref="A938:A957" si="1380">A937+1</f>
        <v>1</v>
      </c>
      <c r="B938" s="190" t="str">
        <f t="shared" ref="B938:B956" ca="1" si="1381">"Depreciated Net Capex "&amp;OFFSET($C$6,0,A938)</f>
        <v>Depreciated Net Capex 2016-17</v>
      </c>
      <c r="C938" s="1424"/>
      <c r="D938" s="1425">
        <f>(D932*((1+D$11)^0.5)/D$10)</f>
        <v>0</v>
      </c>
      <c r="E938" s="1423">
        <f ca="1">IF(D962="n/a",D938,IFERROR(IF((OFFSET($C938,0,$A938))&lt;0,
MIN(0,D938-(OFFSET($C938,0,$A938)/(OFFSET($C933,-$A937,$A938)))),
MAX(0,D938-(OFFSET($C938,0,$A938)/(OFFSET($C933,-$A937,$A938))))),0))</f>
        <v>0</v>
      </c>
      <c r="F938" s="1423">
        <f t="shared" ca="1" si="1362"/>
        <v>0</v>
      </c>
      <c r="G938" s="1423">
        <f t="shared" ca="1" si="1363"/>
        <v>0</v>
      </c>
      <c r="H938" s="1423">
        <f t="shared" ca="1" si="1364"/>
        <v>0</v>
      </c>
      <c r="I938" s="1423">
        <f t="shared" ca="1" si="1365"/>
        <v>0</v>
      </c>
      <c r="J938" s="1423">
        <f t="shared" ca="1" si="1366"/>
        <v>0</v>
      </c>
      <c r="K938" s="1423">
        <f t="shared" ca="1" si="1367"/>
        <v>0</v>
      </c>
      <c r="L938" s="1423">
        <f t="shared" ca="1" si="1368"/>
        <v>0</v>
      </c>
      <c r="M938" s="1423">
        <f t="shared" ca="1" si="1369"/>
        <v>0</v>
      </c>
      <c r="N938" s="1423">
        <f t="shared" ca="1" si="1370"/>
        <v>0</v>
      </c>
      <c r="O938" s="1423">
        <f t="shared" ca="1" si="1371"/>
        <v>0</v>
      </c>
      <c r="P938" s="1423">
        <f t="shared" ca="1" si="1372"/>
        <v>0</v>
      </c>
      <c r="Q938" s="1423">
        <f t="shared" ca="1" si="1373"/>
        <v>0</v>
      </c>
      <c r="R938" s="1423">
        <f t="shared" ca="1" si="1374"/>
        <v>0</v>
      </c>
      <c r="S938" s="1423">
        <f t="shared" ca="1" si="1375"/>
        <v>0</v>
      </c>
      <c r="T938" s="1423">
        <f t="shared" ca="1" si="1376"/>
        <v>0</v>
      </c>
      <c r="U938" s="1423">
        <f t="shared" ca="1" si="1377"/>
        <v>0</v>
      </c>
      <c r="V938" s="1423">
        <f t="shared" ca="1" si="1378"/>
        <v>0</v>
      </c>
      <c r="W938" s="1423">
        <f t="shared" ca="1" si="1379"/>
        <v>0</v>
      </c>
      <c r="X938" s="152"/>
      <c r="Y938" s="152"/>
      <c r="Z938" s="152"/>
      <c r="AA938" s="152"/>
      <c r="AB938" s="152"/>
    </row>
    <row r="939" spans="1:28" hidden="1" outlineLevel="1">
      <c r="A939" s="199">
        <f t="shared" si="1380"/>
        <v>2</v>
      </c>
      <c r="B939" s="190" t="str">
        <f t="shared" ca="1" si="1381"/>
        <v>Depreciated Net Capex 2017-18</v>
      </c>
      <c r="C939" s="1426"/>
      <c r="D939" s="1427"/>
      <c r="E939" s="1425">
        <f>(E932*((1+E$11)^0.5)/E$10)</f>
        <v>0</v>
      </c>
      <c r="F939" s="1423">
        <f ca="1">IF(E963="n/a",E939,IFERROR(IF((OFFSET($C939,0,$A939))&lt;0,
MIN(0,E939-(OFFSET($C939,0,$A939)/(OFFSET($C934,-$A938,$A939)))),
MAX(0,E939-(OFFSET($C939,0,$A939)/(OFFSET($C934,-$A938,$A939))))),0))</f>
        <v>0</v>
      </c>
      <c r="G939" s="1423">
        <f t="shared" ca="1" si="1363"/>
        <v>0</v>
      </c>
      <c r="H939" s="1423">
        <f t="shared" ca="1" si="1364"/>
        <v>0</v>
      </c>
      <c r="I939" s="1423">
        <f t="shared" ca="1" si="1365"/>
        <v>0</v>
      </c>
      <c r="J939" s="1423">
        <f t="shared" ca="1" si="1366"/>
        <v>0</v>
      </c>
      <c r="K939" s="1423">
        <f t="shared" ca="1" si="1367"/>
        <v>0</v>
      </c>
      <c r="L939" s="1423">
        <f t="shared" ca="1" si="1368"/>
        <v>0</v>
      </c>
      <c r="M939" s="1423">
        <f t="shared" ca="1" si="1369"/>
        <v>0</v>
      </c>
      <c r="N939" s="1423">
        <f t="shared" ca="1" si="1370"/>
        <v>0</v>
      </c>
      <c r="O939" s="1423">
        <f t="shared" ca="1" si="1371"/>
        <v>0</v>
      </c>
      <c r="P939" s="1423">
        <f t="shared" ca="1" si="1372"/>
        <v>0</v>
      </c>
      <c r="Q939" s="1423">
        <f t="shared" ca="1" si="1373"/>
        <v>0</v>
      </c>
      <c r="R939" s="1423">
        <f t="shared" ca="1" si="1374"/>
        <v>0</v>
      </c>
      <c r="S939" s="1423">
        <f t="shared" ca="1" si="1375"/>
        <v>0</v>
      </c>
      <c r="T939" s="1423">
        <f t="shared" ca="1" si="1376"/>
        <v>0</v>
      </c>
      <c r="U939" s="1423">
        <f t="shared" ca="1" si="1377"/>
        <v>0</v>
      </c>
      <c r="V939" s="1423">
        <f t="shared" ca="1" si="1378"/>
        <v>0</v>
      </c>
      <c r="W939" s="1423">
        <f t="shared" ca="1" si="1379"/>
        <v>0</v>
      </c>
      <c r="X939" s="202"/>
      <c r="Y939" s="152"/>
      <c r="Z939" s="152"/>
      <c r="AA939" s="152"/>
      <c r="AB939" s="152"/>
    </row>
    <row r="940" spans="1:28" hidden="1" outlineLevel="1">
      <c r="A940" s="199">
        <f t="shared" si="1380"/>
        <v>3</v>
      </c>
      <c r="B940" s="190" t="str">
        <f t="shared" ca="1" si="1381"/>
        <v>Depreciated Net Capex 2018-19</v>
      </c>
      <c r="C940" s="1426"/>
      <c r="D940" s="1426"/>
      <c r="E940" s="1427"/>
      <c r="F940" s="1428">
        <f>($F932*((1+F$11)^0.5)/F$10)</f>
        <v>0</v>
      </c>
      <c r="G940" s="1423">
        <f ca="1">IF(F964="n/a",F940,IFERROR(IF((OFFSET($C940,0,$A940))&lt;0,
MIN(0,F940-(OFFSET($C940,0,$A940)/(OFFSET($C935,-$A939,$A940)))),
MAX(0,F940-(OFFSET($C940,0,$A940)/(OFFSET($C935,-$A939,$A940))))),0))</f>
        <v>0</v>
      </c>
      <c r="H940" s="1423">
        <f t="shared" ca="1" si="1364"/>
        <v>0</v>
      </c>
      <c r="I940" s="1423">
        <f t="shared" ca="1" si="1365"/>
        <v>0</v>
      </c>
      <c r="J940" s="1423">
        <f t="shared" ca="1" si="1366"/>
        <v>0</v>
      </c>
      <c r="K940" s="1423">
        <f t="shared" ca="1" si="1367"/>
        <v>0</v>
      </c>
      <c r="L940" s="1423">
        <f t="shared" ca="1" si="1368"/>
        <v>0</v>
      </c>
      <c r="M940" s="1423">
        <f t="shared" ca="1" si="1369"/>
        <v>0</v>
      </c>
      <c r="N940" s="1423">
        <f t="shared" ca="1" si="1370"/>
        <v>0</v>
      </c>
      <c r="O940" s="1423">
        <f t="shared" ca="1" si="1371"/>
        <v>0</v>
      </c>
      <c r="P940" s="1423">
        <f t="shared" ca="1" si="1372"/>
        <v>0</v>
      </c>
      <c r="Q940" s="1423">
        <f t="shared" ca="1" si="1373"/>
        <v>0</v>
      </c>
      <c r="R940" s="1423">
        <f t="shared" ca="1" si="1374"/>
        <v>0</v>
      </c>
      <c r="S940" s="1423">
        <f t="shared" ca="1" si="1375"/>
        <v>0</v>
      </c>
      <c r="T940" s="1423">
        <f t="shared" ca="1" si="1376"/>
        <v>0</v>
      </c>
      <c r="U940" s="1423">
        <f t="shared" ca="1" si="1377"/>
        <v>0</v>
      </c>
      <c r="V940" s="1423">
        <f t="shared" ca="1" si="1378"/>
        <v>0</v>
      </c>
      <c r="W940" s="1423">
        <f t="shared" ca="1" si="1379"/>
        <v>0</v>
      </c>
      <c r="X940" s="202"/>
      <c r="Y940" s="202"/>
      <c r="Z940" s="152"/>
      <c r="AA940" s="152"/>
      <c r="AB940" s="152"/>
    </row>
    <row r="941" spans="1:28" hidden="1" outlineLevel="1">
      <c r="A941" s="199">
        <f t="shared" si="1380"/>
        <v>4</v>
      </c>
      <c r="B941" s="190" t="str">
        <f t="shared" ca="1" si="1381"/>
        <v>Depreciated Net Capex 2019-20</v>
      </c>
      <c r="C941" s="1426"/>
      <c r="D941" s="1426"/>
      <c r="E941" s="1426"/>
      <c r="F941" s="1427"/>
      <c r="G941" s="1428">
        <f>($G932*((1+G$11)^0.5)/G$10)</f>
        <v>0</v>
      </c>
      <c r="H941" s="1423">
        <f ca="1">IF(G965="n/a",G941,IFERROR(IF((OFFSET($C941,0,$A941))&lt;0,
MIN(0,G941-(OFFSET($C941,0,$A941)/(OFFSET($C936,-$A940,$A941)))),
MAX(0,G941-(OFFSET($C941,0,$A941)/(OFFSET($C936,-$A940,$A941))))),0))</f>
        <v>0</v>
      </c>
      <c r="I941" s="1423">
        <f t="shared" ca="1" si="1365"/>
        <v>0</v>
      </c>
      <c r="J941" s="1423">
        <f t="shared" ca="1" si="1366"/>
        <v>0</v>
      </c>
      <c r="K941" s="1423">
        <f t="shared" ca="1" si="1367"/>
        <v>0</v>
      </c>
      <c r="L941" s="1423">
        <f t="shared" ca="1" si="1368"/>
        <v>0</v>
      </c>
      <c r="M941" s="1423">
        <f t="shared" ca="1" si="1369"/>
        <v>0</v>
      </c>
      <c r="N941" s="1423">
        <f t="shared" ca="1" si="1370"/>
        <v>0</v>
      </c>
      <c r="O941" s="1423">
        <f t="shared" ca="1" si="1371"/>
        <v>0</v>
      </c>
      <c r="P941" s="1423">
        <f t="shared" ca="1" si="1372"/>
        <v>0</v>
      </c>
      <c r="Q941" s="1423">
        <f t="shared" ca="1" si="1373"/>
        <v>0</v>
      </c>
      <c r="R941" s="1423">
        <f t="shared" ca="1" si="1374"/>
        <v>0</v>
      </c>
      <c r="S941" s="1423">
        <f t="shared" ca="1" si="1375"/>
        <v>0</v>
      </c>
      <c r="T941" s="1423">
        <f t="shared" ca="1" si="1376"/>
        <v>0</v>
      </c>
      <c r="U941" s="1423">
        <f t="shared" ca="1" si="1377"/>
        <v>0</v>
      </c>
      <c r="V941" s="1423">
        <f t="shared" ca="1" si="1378"/>
        <v>0</v>
      </c>
      <c r="W941" s="1423">
        <f t="shared" ca="1" si="1379"/>
        <v>0</v>
      </c>
      <c r="X941" s="202"/>
      <c r="Y941" s="202"/>
      <c r="Z941" s="202"/>
      <c r="AA941" s="152"/>
      <c r="AB941" s="152"/>
    </row>
    <row r="942" spans="1:28" hidden="1" outlineLevel="1">
      <c r="A942" s="199">
        <f t="shared" si="1380"/>
        <v>5</v>
      </c>
      <c r="B942" s="190" t="str">
        <f t="shared" ca="1" si="1381"/>
        <v>Depreciated Net Capex 2020-21</v>
      </c>
      <c r="C942" s="1426"/>
      <c r="D942" s="1426"/>
      <c r="E942" s="1426"/>
      <c r="F942" s="1426"/>
      <c r="G942" s="1427"/>
      <c r="H942" s="1428">
        <f>(H932*((1+H$11)^0.5)/H$10)</f>
        <v>0</v>
      </c>
      <c r="I942" s="1423">
        <f ca="1">IF(H966="n/a",H942,IFERROR(IF((OFFSET($C942,0,$A942))&lt;0,
MIN(0,H942-(OFFSET($C942,0,$A942)/(OFFSET($C937,-$A941,$A942)))),
MAX(0,H942-(OFFSET($C942,0,$A942)/(OFFSET($C937,-$A941,$A942))))),0))</f>
        <v>0</v>
      </c>
      <c r="J942" s="1423">
        <f t="shared" ca="1" si="1366"/>
        <v>0</v>
      </c>
      <c r="K942" s="1423">
        <f t="shared" ca="1" si="1367"/>
        <v>0</v>
      </c>
      <c r="L942" s="1423">
        <f t="shared" ca="1" si="1368"/>
        <v>0</v>
      </c>
      <c r="M942" s="1423">
        <f t="shared" ca="1" si="1369"/>
        <v>0</v>
      </c>
      <c r="N942" s="1423">
        <f t="shared" ca="1" si="1370"/>
        <v>0</v>
      </c>
      <c r="O942" s="1423">
        <f t="shared" ca="1" si="1371"/>
        <v>0</v>
      </c>
      <c r="P942" s="1423">
        <f t="shared" ca="1" si="1372"/>
        <v>0</v>
      </c>
      <c r="Q942" s="1423">
        <f t="shared" ca="1" si="1373"/>
        <v>0</v>
      </c>
      <c r="R942" s="1423">
        <f t="shared" ca="1" si="1374"/>
        <v>0</v>
      </c>
      <c r="S942" s="1423">
        <f t="shared" ca="1" si="1375"/>
        <v>0</v>
      </c>
      <c r="T942" s="1423">
        <f t="shared" ca="1" si="1376"/>
        <v>0</v>
      </c>
      <c r="U942" s="1423">
        <f t="shared" ca="1" si="1377"/>
        <v>0</v>
      </c>
      <c r="V942" s="1423">
        <f t="shared" ca="1" si="1378"/>
        <v>0</v>
      </c>
      <c r="W942" s="1423">
        <f t="shared" ca="1" si="1379"/>
        <v>0</v>
      </c>
      <c r="X942" s="202"/>
      <c r="Y942" s="202"/>
      <c r="Z942" s="202"/>
      <c r="AA942" s="152"/>
      <c r="AB942" s="152"/>
    </row>
    <row r="943" spans="1:28" hidden="1" outlineLevel="1">
      <c r="A943" s="199">
        <f t="shared" si="1380"/>
        <v>6</v>
      </c>
      <c r="B943" s="190" t="str">
        <f t="shared" ca="1" si="1381"/>
        <v>Depreciated Net Capex 2021-22</v>
      </c>
      <c r="C943" s="1426"/>
      <c r="D943" s="1426"/>
      <c r="E943" s="1426"/>
      <c r="F943" s="1426"/>
      <c r="G943" s="1426"/>
      <c r="H943" s="1427"/>
      <c r="I943" s="1428">
        <f>(I932*((1+I$11)^0.5)/I$10)</f>
        <v>0</v>
      </c>
      <c r="J943" s="1423">
        <f ca="1">IF(I967="n/a",I943,IFERROR(IF((OFFSET($C943,0,$A943))&lt;0,
MIN(0,I943-(OFFSET($C943,0,$A943)/(OFFSET($C938,-$A942,$A943)))),
MAX(0,I943-(OFFSET($C943,0,$A943)/(OFFSET($C938,-$A942,$A943))))),0))</f>
        <v>0</v>
      </c>
      <c r="K943" s="1423">
        <f t="shared" ca="1" si="1367"/>
        <v>0</v>
      </c>
      <c r="L943" s="1423">
        <f t="shared" ca="1" si="1368"/>
        <v>0</v>
      </c>
      <c r="M943" s="1423">
        <f t="shared" ca="1" si="1369"/>
        <v>0</v>
      </c>
      <c r="N943" s="1423">
        <f t="shared" ca="1" si="1370"/>
        <v>0</v>
      </c>
      <c r="O943" s="1423">
        <f t="shared" ca="1" si="1371"/>
        <v>0</v>
      </c>
      <c r="P943" s="1423">
        <f t="shared" ca="1" si="1372"/>
        <v>0</v>
      </c>
      <c r="Q943" s="1423">
        <f t="shared" ca="1" si="1373"/>
        <v>0</v>
      </c>
      <c r="R943" s="1423">
        <f t="shared" ca="1" si="1374"/>
        <v>0</v>
      </c>
      <c r="S943" s="1423">
        <f t="shared" ca="1" si="1375"/>
        <v>0</v>
      </c>
      <c r="T943" s="1423">
        <f t="shared" ca="1" si="1376"/>
        <v>0</v>
      </c>
      <c r="U943" s="1423">
        <f t="shared" ca="1" si="1377"/>
        <v>0</v>
      </c>
      <c r="V943" s="1423">
        <f t="shared" ca="1" si="1378"/>
        <v>0</v>
      </c>
      <c r="W943" s="1423">
        <f t="shared" ca="1" si="1379"/>
        <v>0</v>
      </c>
      <c r="X943" s="202"/>
      <c r="Y943" s="202"/>
      <c r="Z943" s="202"/>
      <c r="AA943" s="152"/>
      <c r="AB943" s="152"/>
    </row>
    <row r="944" spans="1:28" hidden="1" outlineLevel="1">
      <c r="A944" s="199">
        <f t="shared" si="1380"/>
        <v>7</v>
      </c>
      <c r="B944" s="190" t="str">
        <f t="shared" ca="1" si="1381"/>
        <v>Depreciated Net Capex 2022-23</v>
      </c>
      <c r="C944" s="1426"/>
      <c r="D944" s="1426"/>
      <c r="E944" s="1426"/>
      <c r="F944" s="1426"/>
      <c r="G944" s="1426"/>
      <c r="H944" s="1426"/>
      <c r="I944" s="1427"/>
      <c r="J944" s="1428">
        <f>(J932*((1+J$11)^0.5)/J$10)</f>
        <v>0</v>
      </c>
      <c r="K944" s="1423">
        <f ca="1">IF(J968="n/a",J944,IFERROR(IF((OFFSET($C944,0,$A944))&lt;0,
MIN(0,J944-(OFFSET($C944,0,$A944)/(OFFSET($C939,-$A943,$A944)))),
MAX(0,J944-(OFFSET($C944,0,$A944)/(OFFSET($C939,-$A943,$A944))))),0))</f>
        <v>0</v>
      </c>
      <c r="L944" s="1423">
        <f t="shared" ca="1" si="1368"/>
        <v>0</v>
      </c>
      <c r="M944" s="1423">
        <f t="shared" ca="1" si="1369"/>
        <v>0</v>
      </c>
      <c r="N944" s="1423">
        <f t="shared" ca="1" si="1370"/>
        <v>0</v>
      </c>
      <c r="O944" s="1423">
        <f t="shared" ca="1" si="1371"/>
        <v>0</v>
      </c>
      <c r="P944" s="1423">
        <f t="shared" ca="1" si="1372"/>
        <v>0</v>
      </c>
      <c r="Q944" s="1423">
        <f t="shared" ca="1" si="1373"/>
        <v>0</v>
      </c>
      <c r="R944" s="1423">
        <f t="shared" ca="1" si="1374"/>
        <v>0</v>
      </c>
      <c r="S944" s="1423">
        <f t="shared" ca="1" si="1375"/>
        <v>0</v>
      </c>
      <c r="T944" s="1423">
        <f t="shared" ca="1" si="1376"/>
        <v>0</v>
      </c>
      <c r="U944" s="1423">
        <f t="shared" ca="1" si="1377"/>
        <v>0</v>
      </c>
      <c r="V944" s="1423">
        <f t="shared" ca="1" si="1378"/>
        <v>0</v>
      </c>
      <c r="W944" s="1423">
        <f t="shared" ca="1" si="1379"/>
        <v>0</v>
      </c>
      <c r="X944" s="202"/>
      <c r="Y944" s="202"/>
      <c r="Z944" s="202"/>
      <c r="AA944" s="152"/>
      <c r="AB944" s="152"/>
    </row>
    <row r="945" spans="1:28" hidden="1" outlineLevel="1">
      <c r="A945" s="199">
        <f t="shared" si="1380"/>
        <v>8</v>
      </c>
      <c r="B945" s="190" t="str">
        <f t="shared" ca="1" si="1381"/>
        <v>Depreciated Net Capex 2023-24</v>
      </c>
      <c r="C945" s="1426"/>
      <c r="D945" s="1426"/>
      <c r="E945" s="1426"/>
      <c r="F945" s="1426"/>
      <c r="G945" s="1426"/>
      <c r="H945" s="1426"/>
      <c r="I945" s="1426"/>
      <c r="J945" s="1427"/>
      <c r="K945" s="1428">
        <f>(K932*((1+K$11)^0.5)/K$10)</f>
        <v>0</v>
      </c>
      <c r="L945" s="1423">
        <f ca="1">IF(K969="n/a",K945,IFERROR(IF((OFFSET($C945,0,$A945))&lt;0,
MIN(0,K945-(OFFSET($C945,0,$A945)/(OFFSET($C940,-$A944,$A945)))),
MAX(0,K945-(OFFSET($C945,0,$A945)/(OFFSET($C940,-$A944,$A945))))),0))</f>
        <v>0</v>
      </c>
      <c r="M945" s="1423">
        <f t="shared" ca="1" si="1369"/>
        <v>0</v>
      </c>
      <c r="N945" s="1423">
        <f t="shared" ca="1" si="1370"/>
        <v>0</v>
      </c>
      <c r="O945" s="1423">
        <f t="shared" ca="1" si="1371"/>
        <v>0</v>
      </c>
      <c r="P945" s="1423">
        <f t="shared" ca="1" si="1372"/>
        <v>0</v>
      </c>
      <c r="Q945" s="1423">
        <f t="shared" ca="1" si="1373"/>
        <v>0</v>
      </c>
      <c r="R945" s="1423">
        <f t="shared" ca="1" si="1374"/>
        <v>0</v>
      </c>
      <c r="S945" s="1423">
        <f t="shared" ca="1" si="1375"/>
        <v>0</v>
      </c>
      <c r="T945" s="1423">
        <f t="shared" ca="1" si="1376"/>
        <v>0</v>
      </c>
      <c r="U945" s="1423">
        <f t="shared" ca="1" si="1377"/>
        <v>0</v>
      </c>
      <c r="V945" s="1423">
        <f t="shared" ca="1" si="1378"/>
        <v>0</v>
      </c>
      <c r="W945" s="1423">
        <f t="shared" ca="1" si="1379"/>
        <v>0</v>
      </c>
      <c r="X945" s="202"/>
      <c r="Y945" s="202"/>
      <c r="Z945" s="202"/>
      <c r="AA945" s="152"/>
      <c r="AB945" s="152"/>
    </row>
    <row r="946" spans="1:28" hidden="1" outlineLevel="1">
      <c r="A946" s="199">
        <f t="shared" si="1380"/>
        <v>9</v>
      </c>
      <c r="B946" s="190" t="str">
        <f t="shared" ca="1" si="1381"/>
        <v>Depreciated Net Capex 2024-25</v>
      </c>
      <c r="C946" s="1426"/>
      <c r="D946" s="1426"/>
      <c r="E946" s="1426"/>
      <c r="F946" s="1426"/>
      <c r="G946" s="1426"/>
      <c r="H946" s="1426"/>
      <c r="I946" s="1426"/>
      <c r="J946" s="1426"/>
      <c r="K946" s="1427"/>
      <c r="L946" s="1428">
        <f>(L932*((1+L$11)^0.5)/L$10)</f>
        <v>0</v>
      </c>
      <c r="M946" s="1423">
        <f ca="1">IF(L970="n/a",L946,IFERROR(IF((OFFSET($C946,0,$A946))&lt;0,
MIN(0,L946-(OFFSET($C946,0,$A946)/(OFFSET($C941,-$A945,$A946)))),
MAX(0,L946-(OFFSET($C946,0,$A946)/(OFFSET($C941,-$A945,$A946))))),0))</f>
        <v>0</v>
      </c>
      <c r="N946" s="1423">
        <f t="shared" ca="1" si="1370"/>
        <v>0</v>
      </c>
      <c r="O946" s="1423">
        <f t="shared" ca="1" si="1371"/>
        <v>0</v>
      </c>
      <c r="P946" s="1423">
        <f t="shared" ca="1" si="1372"/>
        <v>0</v>
      </c>
      <c r="Q946" s="1423">
        <f t="shared" ca="1" si="1373"/>
        <v>0</v>
      </c>
      <c r="R946" s="1423">
        <f t="shared" ca="1" si="1374"/>
        <v>0</v>
      </c>
      <c r="S946" s="1423">
        <f t="shared" ca="1" si="1375"/>
        <v>0</v>
      </c>
      <c r="T946" s="1423">
        <f t="shared" ca="1" si="1376"/>
        <v>0</v>
      </c>
      <c r="U946" s="1423">
        <f t="shared" ca="1" si="1377"/>
        <v>0</v>
      </c>
      <c r="V946" s="1423">
        <f t="shared" ca="1" si="1378"/>
        <v>0</v>
      </c>
      <c r="W946" s="1423">
        <f t="shared" ca="1" si="1379"/>
        <v>0</v>
      </c>
      <c r="X946" s="202"/>
      <c r="Y946" s="202"/>
      <c r="Z946" s="202"/>
      <c r="AA946" s="152"/>
      <c r="AB946" s="152"/>
    </row>
    <row r="947" spans="1:28" hidden="1" outlineLevel="1">
      <c r="A947" s="199">
        <f t="shared" si="1380"/>
        <v>10</v>
      </c>
      <c r="B947" s="190" t="str">
        <f t="shared" ca="1" si="1381"/>
        <v>Depreciated Net Capex 2025-26</v>
      </c>
      <c r="C947" s="1426"/>
      <c r="D947" s="1426"/>
      <c r="E947" s="1426"/>
      <c r="F947" s="1426"/>
      <c r="G947" s="1426"/>
      <c r="H947" s="1426"/>
      <c r="I947" s="1426"/>
      <c r="J947" s="1426"/>
      <c r="K947" s="1426"/>
      <c r="L947" s="1427"/>
      <c r="M947" s="1428">
        <f>(M932*((1+M$11)^0.5)/M$10)</f>
        <v>0</v>
      </c>
      <c r="N947" s="1423">
        <f ca="1">IF(M971="n/a",M947,IFERROR(IF((OFFSET($C947,0,$A947))&lt;0,
MIN(0,M947-(OFFSET($C947,0,$A947)/(OFFSET($C942,-$A946,$A947)))),
MAX(0,M947-(OFFSET($C947,0,$A947)/(OFFSET($C942,-$A946,$A947))))),0))</f>
        <v>0</v>
      </c>
      <c r="O947" s="1423">
        <f t="shared" ca="1" si="1371"/>
        <v>0</v>
      </c>
      <c r="P947" s="1423">
        <f t="shared" ca="1" si="1372"/>
        <v>0</v>
      </c>
      <c r="Q947" s="1423">
        <f t="shared" ca="1" si="1373"/>
        <v>0</v>
      </c>
      <c r="R947" s="1423">
        <f t="shared" ca="1" si="1374"/>
        <v>0</v>
      </c>
      <c r="S947" s="1423">
        <f t="shared" ca="1" si="1375"/>
        <v>0</v>
      </c>
      <c r="T947" s="1423">
        <f t="shared" ca="1" si="1376"/>
        <v>0</v>
      </c>
      <c r="U947" s="1423">
        <f t="shared" ca="1" si="1377"/>
        <v>0</v>
      </c>
      <c r="V947" s="1423">
        <f t="shared" ca="1" si="1378"/>
        <v>0</v>
      </c>
      <c r="W947" s="1423">
        <f t="shared" ca="1" si="1379"/>
        <v>0</v>
      </c>
      <c r="X947" s="202"/>
      <c r="Y947" s="202"/>
      <c r="Z947" s="202"/>
      <c r="AA947" s="152"/>
      <c r="AB947" s="152"/>
    </row>
    <row r="948" spans="1:28" hidden="1" outlineLevel="1">
      <c r="A948" s="199">
        <f t="shared" si="1380"/>
        <v>11</v>
      </c>
      <c r="B948" s="190" t="str">
        <f t="shared" ca="1" si="1381"/>
        <v>Depreciated Net Capex 2026-27</v>
      </c>
      <c r="C948" s="1426"/>
      <c r="D948" s="1426"/>
      <c r="E948" s="1426"/>
      <c r="F948" s="1426"/>
      <c r="G948" s="1426"/>
      <c r="H948" s="1426"/>
      <c r="I948" s="1426"/>
      <c r="J948" s="1426"/>
      <c r="K948" s="1426"/>
      <c r="L948" s="1426"/>
      <c r="M948" s="1427"/>
      <c r="N948" s="1428">
        <f>(N932*((1+N$11)^0.5)/N$10)</f>
        <v>0</v>
      </c>
      <c r="O948" s="1423">
        <f ca="1">IF(N972="n/a",N948,IFERROR(IF((OFFSET($C948,0,$A948))&lt;0,
MIN(0,N948-(OFFSET($C948,0,$A948)/(OFFSET($C943,-$A947,$A948)))),
MAX(0,N948-(OFFSET($C948,0,$A948)/(OFFSET($C943,-$A947,$A948))))),0))</f>
        <v>0</v>
      </c>
      <c r="P948" s="1423">
        <f t="shared" ca="1" si="1372"/>
        <v>0</v>
      </c>
      <c r="Q948" s="1423">
        <f t="shared" ca="1" si="1373"/>
        <v>0</v>
      </c>
      <c r="R948" s="1423">
        <f t="shared" ca="1" si="1374"/>
        <v>0</v>
      </c>
      <c r="S948" s="1423">
        <f t="shared" ca="1" si="1375"/>
        <v>0</v>
      </c>
      <c r="T948" s="1423">
        <f t="shared" ca="1" si="1376"/>
        <v>0</v>
      </c>
      <c r="U948" s="1423">
        <f t="shared" ca="1" si="1377"/>
        <v>0</v>
      </c>
      <c r="V948" s="1423">
        <f t="shared" ca="1" si="1378"/>
        <v>0</v>
      </c>
      <c r="W948" s="1423">
        <f t="shared" ca="1" si="1379"/>
        <v>0</v>
      </c>
      <c r="X948" s="202"/>
      <c r="Y948" s="202"/>
      <c r="Z948" s="202"/>
      <c r="AA948" s="152"/>
      <c r="AB948" s="152"/>
    </row>
    <row r="949" spans="1:28" hidden="1" outlineLevel="1">
      <c r="A949" s="199">
        <f t="shared" si="1380"/>
        <v>12</v>
      </c>
      <c r="B949" s="190" t="str">
        <f t="shared" ca="1" si="1381"/>
        <v>Depreciated Net Capex 2027-28</v>
      </c>
      <c r="C949" s="1426"/>
      <c r="D949" s="1426"/>
      <c r="E949" s="1426"/>
      <c r="F949" s="1426"/>
      <c r="G949" s="1426"/>
      <c r="H949" s="1426"/>
      <c r="I949" s="1426"/>
      <c r="J949" s="1426"/>
      <c r="K949" s="1426"/>
      <c r="L949" s="1426"/>
      <c r="M949" s="1426"/>
      <c r="N949" s="1427"/>
      <c r="O949" s="1428">
        <f>(O932*((1+O$11)^0.5)/O$10)</f>
        <v>0</v>
      </c>
      <c r="P949" s="1423">
        <f ca="1">IF(O973="n/a",O949,IFERROR(IF((OFFSET($C949,0,$A949))&lt;0,
MIN(0,O949-(OFFSET($C949,0,$A949)/(OFFSET($C944,-$A948,$A949)))),
MAX(0,O949-(OFFSET($C949,0,$A949)/(OFFSET($C944,-$A948,$A949))))),0))</f>
        <v>0</v>
      </c>
      <c r="Q949" s="1423">
        <f t="shared" ca="1" si="1373"/>
        <v>0</v>
      </c>
      <c r="R949" s="1423">
        <f t="shared" ca="1" si="1374"/>
        <v>0</v>
      </c>
      <c r="S949" s="1423">
        <f t="shared" ca="1" si="1375"/>
        <v>0</v>
      </c>
      <c r="T949" s="1423">
        <f t="shared" ca="1" si="1376"/>
        <v>0</v>
      </c>
      <c r="U949" s="1423">
        <f t="shared" ca="1" si="1377"/>
        <v>0</v>
      </c>
      <c r="V949" s="1423">
        <f t="shared" ca="1" si="1378"/>
        <v>0</v>
      </c>
      <c r="W949" s="1423">
        <f t="shared" ca="1" si="1379"/>
        <v>0</v>
      </c>
      <c r="X949" s="202"/>
      <c r="Y949" s="202"/>
      <c r="Z949" s="202"/>
      <c r="AA949" s="152"/>
      <c r="AB949" s="152"/>
    </row>
    <row r="950" spans="1:28" hidden="1" outlineLevel="1">
      <c r="A950" s="199">
        <f t="shared" si="1380"/>
        <v>13</v>
      </c>
      <c r="B950" s="190" t="str">
        <f t="shared" ca="1" si="1381"/>
        <v>Depreciated Net Capex 2028-29</v>
      </c>
      <c r="C950" s="1426"/>
      <c r="D950" s="1426"/>
      <c r="E950" s="1426"/>
      <c r="F950" s="1426"/>
      <c r="G950" s="1426"/>
      <c r="H950" s="1426"/>
      <c r="I950" s="1426"/>
      <c r="J950" s="1426"/>
      <c r="K950" s="1426"/>
      <c r="L950" s="1426"/>
      <c r="M950" s="1426"/>
      <c r="N950" s="1426"/>
      <c r="O950" s="1427"/>
      <c r="P950" s="1428">
        <f>(P932*((1+P$11)^0.5)/P$10)</f>
        <v>0</v>
      </c>
      <c r="Q950" s="1423">
        <f ca="1">IF(P974="n/a",P950,IFERROR(IF((OFFSET($C950,0,$A950))&lt;0,
MIN(0,P950-(OFFSET($C950,0,$A950)/(OFFSET($C945,-$A949,$A950)))),
MAX(0,P950-(OFFSET($C950,0,$A950)/(OFFSET($C945,-$A949,$A950))))),0))</f>
        <v>0</v>
      </c>
      <c r="R950" s="1423">
        <f t="shared" ca="1" si="1374"/>
        <v>0</v>
      </c>
      <c r="S950" s="1423">
        <f t="shared" ca="1" si="1375"/>
        <v>0</v>
      </c>
      <c r="T950" s="1423">
        <f t="shared" ca="1" si="1376"/>
        <v>0</v>
      </c>
      <c r="U950" s="1423">
        <f t="shared" ca="1" si="1377"/>
        <v>0</v>
      </c>
      <c r="V950" s="1423">
        <f t="shared" ca="1" si="1378"/>
        <v>0</v>
      </c>
      <c r="W950" s="1423">
        <f t="shared" ca="1" si="1379"/>
        <v>0</v>
      </c>
      <c r="X950" s="202"/>
      <c r="Y950" s="202"/>
      <c r="Z950" s="202"/>
      <c r="AA950" s="152"/>
      <c r="AB950" s="152"/>
    </row>
    <row r="951" spans="1:28" hidden="1" outlineLevel="1">
      <c r="A951" s="199">
        <f t="shared" si="1380"/>
        <v>14</v>
      </c>
      <c r="B951" s="190" t="str">
        <f t="shared" ca="1" si="1381"/>
        <v>Depreciated Net Capex 2029-30</v>
      </c>
      <c r="C951" s="1426"/>
      <c r="D951" s="1426"/>
      <c r="E951" s="1426"/>
      <c r="F951" s="1426"/>
      <c r="G951" s="1426"/>
      <c r="H951" s="1426"/>
      <c r="I951" s="1426"/>
      <c r="J951" s="1426"/>
      <c r="K951" s="1426"/>
      <c r="L951" s="1426"/>
      <c r="M951" s="1426"/>
      <c r="N951" s="1426"/>
      <c r="O951" s="1426"/>
      <c r="P951" s="1427"/>
      <c r="Q951" s="1428">
        <f>(Q932*((1+Q$11)^0.5)/Q$10)</f>
        <v>0</v>
      </c>
      <c r="R951" s="1423">
        <f ca="1">IF(Q975="n/a",Q951,IFERROR(IF((OFFSET($C951,0,$A951))&lt;0,
MIN(0,Q951-(OFFSET($C951,0,$A951)/(OFFSET($C946,-$A950,$A951)))),
MAX(0,Q951-(OFFSET($C951,0,$A951)/(OFFSET($C946,-$A950,$A951))))),0))</f>
        <v>0</v>
      </c>
      <c r="S951" s="1423">
        <f t="shared" ca="1" si="1375"/>
        <v>0</v>
      </c>
      <c r="T951" s="1423">
        <f t="shared" ca="1" si="1376"/>
        <v>0</v>
      </c>
      <c r="U951" s="1423">
        <f t="shared" ca="1" si="1377"/>
        <v>0</v>
      </c>
      <c r="V951" s="1423">
        <f t="shared" ca="1" si="1378"/>
        <v>0</v>
      </c>
      <c r="W951" s="1423">
        <f t="shared" ca="1" si="1379"/>
        <v>0</v>
      </c>
      <c r="X951" s="202"/>
      <c r="Y951" s="202"/>
      <c r="Z951" s="202"/>
      <c r="AA951" s="152"/>
      <c r="AB951" s="152"/>
    </row>
    <row r="952" spans="1:28" hidden="1" outlineLevel="1">
      <c r="A952" s="199">
        <f t="shared" si="1380"/>
        <v>15</v>
      </c>
      <c r="B952" s="190" t="str">
        <f t="shared" ca="1" si="1381"/>
        <v>Depreciated Net Capex 2030-31</v>
      </c>
      <c r="C952" s="1426"/>
      <c r="D952" s="1426"/>
      <c r="E952" s="1426"/>
      <c r="F952" s="1426"/>
      <c r="G952" s="1426"/>
      <c r="H952" s="1426"/>
      <c r="I952" s="1426"/>
      <c r="J952" s="1426"/>
      <c r="K952" s="1426"/>
      <c r="L952" s="1426"/>
      <c r="M952" s="1426"/>
      <c r="N952" s="1426"/>
      <c r="O952" s="1426"/>
      <c r="P952" s="1426"/>
      <c r="Q952" s="1427"/>
      <c r="R952" s="1428">
        <f>(R932*((1+R$11)^0.5)/R$10)</f>
        <v>0</v>
      </c>
      <c r="S952" s="1423">
        <f ca="1">IF(R976="n/a",R952,IFERROR(IF((OFFSET($C952,0,$A952))&lt;0,
MIN(0,R952-(OFFSET($C952,0,$A952)/(OFFSET($C947,-$A951,$A952)))),
MAX(0,R952-(OFFSET($C952,0,$A952)/(OFFSET($C947,-$A951,$A952))))),0))</f>
        <v>0</v>
      </c>
      <c r="T952" s="1423">
        <f t="shared" ca="1" si="1376"/>
        <v>0</v>
      </c>
      <c r="U952" s="1423">
        <f t="shared" ca="1" si="1377"/>
        <v>0</v>
      </c>
      <c r="V952" s="1423">
        <f t="shared" ca="1" si="1378"/>
        <v>0</v>
      </c>
      <c r="W952" s="1423">
        <f t="shared" ca="1" si="1379"/>
        <v>0</v>
      </c>
      <c r="X952" s="202"/>
      <c r="Y952" s="202"/>
      <c r="Z952" s="202"/>
      <c r="AA952" s="152"/>
      <c r="AB952" s="152"/>
    </row>
    <row r="953" spans="1:28" hidden="1" outlineLevel="1">
      <c r="A953" s="199">
        <f t="shared" si="1380"/>
        <v>16</v>
      </c>
      <c r="B953" s="190" t="str">
        <f t="shared" ca="1" si="1381"/>
        <v>Depreciated Net Capex 2031-32</v>
      </c>
      <c r="C953" s="1426"/>
      <c r="D953" s="1426"/>
      <c r="E953" s="1426"/>
      <c r="F953" s="1426"/>
      <c r="G953" s="1426"/>
      <c r="H953" s="1426"/>
      <c r="I953" s="1426"/>
      <c r="J953" s="1426"/>
      <c r="K953" s="1426"/>
      <c r="L953" s="1426"/>
      <c r="M953" s="1426"/>
      <c r="N953" s="1426"/>
      <c r="O953" s="1426"/>
      <c r="P953" s="1426"/>
      <c r="Q953" s="1426"/>
      <c r="R953" s="1427"/>
      <c r="S953" s="1428">
        <f>(S932*((1+S$11)^0.5)/S$10)</f>
        <v>0</v>
      </c>
      <c r="T953" s="1423">
        <f ca="1">IF(S977="n/a",S953,IFERROR(IF((OFFSET($C953,0,$A953))&lt;0,
MIN(0,S953-(OFFSET($C953,0,$A953)/(OFFSET($C948,-$A952,$A953)))),
MAX(0,S953-(OFFSET($C953,0,$A953)/(OFFSET($C948,-$A952,$A953))))),0))</f>
        <v>0</v>
      </c>
      <c r="U953" s="1423">
        <f t="shared" ca="1" si="1377"/>
        <v>0</v>
      </c>
      <c r="V953" s="1423">
        <f t="shared" ca="1" si="1378"/>
        <v>0</v>
      </c>
      <c r="W953" s="1423">
        <f t="shared" ca="1" si="1379"/>
        <v>0</v>
      </c>
      <c r="X953" s="202"/>
      <c r="Y953" s="202"/>
      <c r="Z953" s="202"/>
      <c r="AA953" s="152"/>
      <c r="AB953" s="152"/>
    </row>
    <row r="954" spans="1:28" hidden="1" outlineLevel="1">
      <c r="A954" s="199">
        <f t="shared" si="1380"/>
        <v>17</v>
      </c>
      <c r="B954" s="190" t="str">
        <f t="shared" ca="1" si="1381"/>
        <v>Depreciated Net Capex 2032-33</v>
      </c>
      <c r="C954" s="1426"/>
      <c r="D954" s="1426"/>
      <c r="E954" s="1426"/>
      <c r="F954" s="1426"/>
      <c r="G954" s="1426"/>
      <c r="H954" s="1426"/>
      <c r="I954" s="1426"/>
      <c r="J954" s="1426"/>
      <c r="K954" s="1426"/>
      <c r="L954" s="1426"/>
      <c r="M954" s="1426"/>
      <c r="N954" s="1426"/>
      <c r="O954" s="1426"/>
      <c r="P954" s="1426"/>
      <c r="Q954" s="1426"/>
      <c r="R954" s="1426"/>
      <c r="S954" s="1427"/>
      <c r="T954" s="1428">
        <f>(T932*((1+T$11)^0.5)/T$10)</f>
        <v>0</v>
      </c>
      <c r="U954" s="1423">
        <f ca="1">IF(T978="n/a",T954,IFERROR(IF((OFFSET($C954,0,$A954))&lt;0,
MIN(0,T954-(OFFSET($C954,0,$A954)/(OFFSET($C949,-$A953,$A954)))),
MAX(0,T954-(OFFSET($C954,0,$A954)/(OFFSET($C949,-$A953,$A954))))),0))</f>
        <v>0</v>
      </c>
      <c r="V954" s="1423">
        <f t="shared" ca="1" si="1378"/>
        <v>0</v>
      </c>
      <c r="W954" s="1423">
        <f t="shared" ca="1" si="1379"/>
        <v>0</v>
      </c>
      <c r="X954" s="202"/>
      <c r="Y954" s="202"/>
      <c r="Z954" s="202"/>
      <c r="AA954" s="152"/>
      <c r="AB954" s="152"/>
    </row>
    <row r="955" spans="1:28" hidden="1" outlineLevel="1">
      <c r="A955" s="199">
        <f t="shared" si="1380"/>
        <v>18</v>
      </c>
      <c r="B955" s="190" t="str">
        <f t="shared" ca="1" si="1381"/>
        <v>Depreciated Net Capex 2033-34</v>
      </c>
      <c r="C955" s="1426"/>
      <c r="D955" s="1426"/>
      <c r="E955" s="1426"/>
      <c r="F955" s="1426"/>
      <c r="G955" s="1426"/>
      <c r="H955" s="1426"/>
      <c r="I955" s="1426"/>
      <c r="J955" s="1426"/>
      <c r="K955" s="1426"/>
      <c r="L955" s="1426"/>
      <c r="M955" s="1426"/>
      <c r="N955" s="1426"/>
      <c r="O955" s="1426"/>
      <c r="P955" s="1426"/>
      <c r="Q955" s="1426"/>
      <c r="R955" s="1426"/>
      <c r="S955" s="1426"/>
      <c r="T955" s="1427"/>
      <c r="U955" s="1428">
        <f>(U932*((1+U$11)^0.5)/U$10)</f>
        <v>0</v>
      </c>
      <c r="V955" s="1423">
        <f ca="1">IF(U979="n/a",U955,IFERROR(IF((OFFSET($C955,0,$A955))&lt;0,
MIN(0,U955-(OFFSET($C955,0,$A955)/(OFFSET($C950,-$A954,$A955)))),
MAX(0,U955-(OFFSET($C955,0,$A955)/(OFFSET($C950,-$A954,$A955))))),0))</f>
        <v>0</v>
      </c>
      <c r="W955" s="1423">
        <f t="shared" ca="1" si="1379"/>
        <v>0</v>
      </c>
      <c r="X955" s="202"/>
      <c r="Y955" s="202"/>
      <c r="Z955" s="202"/>
      <c r="AA955" s="152"/>
      <c r="AB955" s="152"/>
    </row>
    <row r="956" spans="1:28" hidden="1" outlineLevel="1">
      <c r="A956" s="199">
        <f t="shared" si="1380"/>
        <v>19</v>
      </c>
      <c r="B956" s="190" t="str">
        <f t="shared" ca="1" si="1381"/>
        <v>Depreciated Net Capex 2034-35</v>
      </c>
      <c r="C956" s="1426"/>
      <c r="D956" s="1426"/>
      <c r="E956" s="1426"/>
      <c r="F956" s="1426"/>
      <c r="G956" s="1426"/>
      <c r="H956" s="1426"/>
      <c r="I956" s="1426"/>
      <c r="J956" s="1426"/>
      <c r="K956" s="1426"/>
      <c r="L956" s="1426"/>
      <c r="M956" s="1426"/>
      <c r="N956" s="1426"/>
      <c r="O956" s="1426"/>
      <c r="P956" s="1426"/>
      <c r="Q956" s="1426"/>
      <c r="R956" s="1426"/>
      <c r="S956" s="1426"/>
      <c r="T956" s="1426"/>
      <c r="U956" s="1427"/>
      <c r="V956" s="1428">
        <f>(V932*((1+V$11)^0.5)/V$10)</f>
        <v>0</v>
      </c>
      <c r="W956" s="1423">
        <f ca="1">IF(V980="n/a",V956,IFERROR(IF((OFFSET($C956,0,$A956))&lt;0,
MIN(0,V956-(OFFSET($C956,0,$A956)/(OFFSET($C951,-$A955,$A956)))),
MAX(0,V956-(OFFSET($C956,0,$A956)/(OFFSET($C951,-$A955,$A956))))),0))</f>
        <v>0</v>
      </c>
      <c r="X956" s="202"/>
      <c r="Y956" s="202"/>
      <c r="Z956" s="202"/>
      <c r="AA956" s="152"/>
      <c r="AB956" s="152"/>
    </row>
    <row r="957" spans="1:28" hidden="1" outlineLevel="1">
      <c r="A957" s="199">
        <f t="shared" si="1380"/>
        <v>20</v>
      </c>
      <c r="B957" s="190" t="str">
        <f ca="1">"Depreciated Net Capex "&amp;OFFSET($C$6,0,A957)</f>
        <v>Depreciated Net Capex 2035-36</v>
      </c>
      <c r="C957" s="1426"/>
      <c r="D957" s="1426"/>
      <c r="E957" s="1426"/>
      <c r="F957" s="1426"/>
      <c r="G957" s="1426"/>
      <c r="H957" s="1426"/>
      <c r="I957" s="1426"/>
      <c r="J957" s="1426"/>
      <c r="K957" s="1426"/>
      <c r="L957" s="1426"/>
      <c r="M957" s="1426"/>
      <c r="N957" s="1426"/>
      <c r="O957" s="1426"/>
      <c r="P957" s="1426"/>
      <c r="Q957" s="1426"/>
      <c r="R957" s="1426"/>
      <c r="S957" s="1426"/>
      <c r="T957" s="1426"/>
      <c r="U957" s="1426"/>
      <c r="V957" s="1427"/>
      <c r="W957" s="1423">
        <f>(W932*((1+W$11)^0.5)/W$10)</f>
        <v>0</v>
      </c>
      <c r="X957" s="152"/>
      <c r="Y957" s="152"/>
      <c r="Z957" s="152"/>
      <c r="AA957" s="152"/>
      <c r="AB957" s="152"/>
    </row>
    <row r="958" spans="1:28" hidden="1" outlineLevel="1">
      <c r="A958" s="152"/>
      <c r="B958" s="200"/>
      <c r="C958" s="1423"/>
      <c r="D958" s="1423"/>
      <c r="E958" s="1423"/>
      <c r="F958" s="1423"/>
      <c r="G958" s="1423"/>
      <c r="H958" s="1423"/>
      <c r="I958" s="1423"/>
      <c r="J958" s="1423"/>
      <c r="K958" s="1423"/>
      <c r="L958" s="1423"/>
      <c r="M958" s="1423"/>
      <c r="N958" s="1423"/>
      <c r="O958" s="1423"/>
      <c r="P958" s="1423"/>
      <c r="Q958" s="1423"/>
      <c r="R958" s="1423"/>
      <c r="S958" s="1423"/>
      <c r="T958" s="1423"/>
      <c r="U958" s="1423"/>
      <c r="V958" s="1423"/>
      <c r="W958" s="1423"/>
      <c r="X958" s="152"/>
      <c r="Y958" s="152"/>
      <c r="Z958" s="152"/>
      <c r="AA958" s="152"/>
      <c r="AB958" s="152"/>
    </row>
    <row r="959" spans="1:28" hidden="1" outlineLevel="1">
      <c r="A959" s="152"/>
      <c r="B959" s="200"/>
      <c r="C959" s="1423"/>
      <c r="D959" s="1423"/>
      <c r="E959" s="1423"/>
      <c r="F959" s="1423"/>
      <c r="G959" s="1423"/>
      <c r="H959" s="1423"/>
      <c r="I959" s="1423"/>
      <c r="J959" s="1423"/>
      <c r="K959" s="1423"/>
      <c r="L959" s="1423"/>
      <c r="M959" s="1423"/>
      <c r="N959" s="1423"/>
      <c r="O959" s="1423"/>
      <c r="P959" s="1423"/>
      <c r="Q959" s="1423"/>
      <c r="R959" s="1423"/>
      <c r="S959" s="1423"/>
      <c r="T959" s="1423"/>
      <c r="U959" s="1423"/>
      <c r="V959" s="1423"/>
      <c r="W959" s="1423"/>
      <c r="X959" s="152"/>
      <c r="Y959" s="152"/>
      <c r="Z959" s="152"/>
      <c r="AA959" s="152"/>
      <c r="AB959" s="152"/>
    </row>
    <row r="960" spans="1:28" hidden="1" outlineLevel="1">
      <c r="A960" s="152"/>
      <c r="B960" s="190" t="s">
        <v>190</v>
      </c>
      <c r="C960" s="1423"/>
      <c r="D960" s="1423">
        <f ca="1">IF(AND(C960&lt;1,D934=0),0,
IF(D934=0,C960-1,
IF(C960&lt;1,D935,
(((C960-1)*(C936-(C936/(C960))))+((D934/D$10)*D935))/(D936))))</f>
        <v>0</v>
      </c>
      <c r="E960" s="1423">
        <f t="shared" ref="E960" ca="1" si="1382">IF(AND(D960&lt;1,E934=0),0,
IF(E934=0,D960-1,
IF(D960&lt;1,E935,
(((D960-1)*(D936-(D936/(D960))))+((E934/E$10)*E935))/(E936))))</f>
        <v>0</v>
      </c>
      <c r="F960" s="1423">
        <f t="shared" ref="F960" ca="1" si="1383">IF(AND(E960&lt;1,F934=0),0,
IF(F934=0,E960-1,
IF(E960&lt;1,F935,
(((E960-1)*(E936-(E936/(E960))))+((F934/F$10)*F935))/(F936))))</f>
        <v>0</v>
      </c>
      <c r="G960" s="1423">
        <f t="shared" ref="G960" ca="1" si="1384">IF(AND(F960&lt;1,G934=0),0,
IF(G934=0,F960-1,
IF(F960&lt;1,G935,
(((F960-1)*(F936-(F936/(F960))))+((G934/G$10)*G935))/(G936))))</f>
        <v>0</v>
      </c>
      <c r="H960" s="1423">
        <f t="shared" ref="H960" ca="1" si="1385">IF(AND(G960&lt;1,H934=0),0,
IF(H934=0,G960-1,
IF(G960&lt;1,H935,
(((G960-1)*(G936-(G936/(G960))))+((H934/H$10)*H935))/(H936))))</f>
        <v>0</v>
      </c>
      <c r="I960" s="1423">
        <f t="shared" ref="I960" ca="1" si="1386">IF(AND(H960&lt;1,I934=0),0,
IF(I934=0,H960-1,
IF(H960&lt;1,I935,
(((H960-1)*(H936-(H936/(H960))))+((I934/I$10)*I935))/(I936))))</f>
        <v>0</v>
      </c>
      <c r="J960" s="1423">
        <f t="shared" ref="J960" ca="1" si="1387">IF(AND(I960&lt;1,J934=0),0,
IF(J934=0,I960-1,
IF(I960&lt;1,J935,
(((I960-1)*(I936-(I936/(I960))))+((J934/J$10)*J935))/(J936))))</f>
        <v>0</v>
      </c>
      <c r="K960" s="1423">
        <f t="shared" ref="K960" ca="1" si="1388">IF(AND(J960&lt;1,K934=0),0,
IF(K934=0,J960-1,
IF(J960&lt;1,K935,
(((J960-1)*(J936-(J936/(J960))))+((K934/K$10)*K935))/(K936))))</f>
        <v>0</v>
      </c>
      <c r="L960" s="1423">
        <f t="shared" ref="L960" ca="1" si="1389">IF(AND(K960&lt;1,L934=0),0,
IF(L934=0,K960-1,
IF(K960&lt;1,L935,
(((K960-1)*(K936-(K936/(K960))))+((L934/L$10)*L935))/(L936))))</f>
        <v>0</v>
      </c>
      <c r="M960" s="1423">
        <f t="shared" ref="M960" ca="1" si="1390">IF(AND(L960&lt;1,M934=0),0,
IF(M934=0,L960-1,
IF(L960&lt;1,M935,
(((L960-1)*(L936-(L936/(L960))))+((M934/M$10)*M935))/(M936))))</f>
        <v>0</v>
      </c>
      <c r="N960" s="1423">
        <f t="shared" ref="N960" ca="1" si="1391">IF(AND(M960&lt;1,N934=0),0,
IF(N934=0,M960-1,
IF(M960&lt;1,N935,
(((M960-1)*(M936-(M936/(M960))))+((N934/N$10)*N935))/(N936))))</f>
        <v>0</v>
      </c>
      <c r="O960" s="1423">
        <f t="shared" ref="O960" ca="1" si="1392">IF(AND(N960&lt;1,O934=0),0,
IF(O934=0,N960-1,
IF(N960&lt;1,O935,
(((N960-1)*(N936-(N936/(N960))))+((O934/O$10)*O935))/(O936))))</f>
        <v>0</v>
      </c>
      <c r="P960" s="1423">
        <f t="shared" ref="P960" ca="1" si="1393">IF(AND(O960&lt;1,P934=0),0,
IF(P934=0,O960-1,
IF(O960&lt;1,P935,
(((O960-1)*(O936-(O936/(O960))))+((P934/P$10)*P935))/(P936))))</f>
        <v>0</v>
      </c>
      <c r="Q960" s="1423">
        <f t="shared" ref="Q960" ca="1" si="1394">IF(AND(P960&lt;1,Q934=0),0,
IF(Q934=0,P960-1,
IF(P960&lt;1,Q935,
(((P960-1)*(P936-(P936/(P960))))+((Q934/Q$10)*Q935))/(Q936))))</f>
        <v>0</v>
      </c>
      <c r="R960" s="1423">
        <f t="shared" ref="R960" ca="1" si="1395">IF(AND(Q960&lt;1,R934=0),0,
IF(R934=0,Q960-1,
IF(Q960&lt;1,R935,
(((Q960-1)*(Q936-(Q936/(Q960))))+((R934/R$10)*R935))/(R936))))</f>
        <v>0</v>
      </c>
      <c r="S960" s="1423">
        <f t="shared" ref="S960" ca="1" si="1396">IF(AND(R960&lt;1,S934=0),0,
IF(S934=0,R960-1,
IF(R960&lt;1,S935,
(((R960-1)*(R936-(R936/(R960))))+((S934/S$10)*S935))/(S936))))</f>
        <v>0</v>
      </c>
      <c r="T960" s="1423">
        <f t="shared" ref="T960" ca="1" si="1397">IF(AND(S960&lt;1,T934=0),0,
IF(T934=0,S960-1,
IF(S960&lt;1,T935,
(((S960-1)*(S936-(S936/(S960))))+((T934/T$10)*T935))/(T936))))</f>
        <v>0</v>
      </c>
      <c r="U960" s="1423">
        <f t="shared" ref="U960" ca="1" si="1398">IF(AND(T960&lt;1,U934=0),0,
IF(U934=0,T960-1,
IF(T960&lt;1,U935,
(((T960-1)*(T936-(T936/(T960))))+((U934/U$10)*U935))/(U936))))</f>
        <v>0</v>
      </c>
      <c r="V960" s="1423">
        <f t="shared" ref="V960" ca="1" si="1399">IF(AND(U960&lt;1,V934=0),0,
IF(V934=0,U960-1,
IF(U960&lt;1,V935,
(((U960-1)*(U936-(U936/(U960))))+((V934/V$10)*V935))/(V936))))</f>
        <v>0</v>
      </c>
      <c r="W960" s="1423">
        <f t="shared" ref="W960" ca="1" si="1400">IF(AND(V960&lt;1,W934=0),0,
IF(W934=0,V960-1,
IF(V960&lt;1,W935,
(((V960-1)*(V936-(V936/(V960))))+((W934/W$10)*W935))/(W936))))</f>
        <v>0</v>
      </c>
      <c r="X960" s="152"/>
      <c r="Y960" s="152"/>
      <c r="Z960" s="152"/>
      <c r="AA960" s="152"/>
      <c r="AB960" s="152"/>
    </row>
    <row r="961" spans="1:28" hidden="1" outlineLevel="1">
      <c r="A961" s="152"/>
      <c r="B961" s="190" t="s">
        <v>122</v>
      </c>
      <c r="C961" s="1423">
        <f ca="1">C933</f>
        <v>0</v>
      </c>
      <c r="D961" s="1423">
        <f t="shared" ref="D961" ca="1" si="1401">IF(C961="n/a","n/a",MAX(0,C961-1))</f>
        <v>0</v>
      </c>
      <c r="E961" s="1423">
        <f t="shared" ref="E961:E962" ca="1" si="1402">IF(D961="n/a","n/a",MAX(0,D961-1))</f>
        <v>0</v>
      </c>
      <c r="F961" s="1423">
        <f t="shared" ref="F961:F963" ca="1" si="1403">IF(E961="n/a","n/a",MAX(0,E961-1))</f>
        <v>0</v>
      </c>
      <c r="G961" s="1423">
        <f t="shared" ref="G961:G964" ca="1" si="1404">IF(F961="n/a","n/a",MAX(0,F961-1))</f>
        <v>0</v>
      </c>
      <c r="H961" s="1423">
        <f t="shared" ref="H961:H965" ca="1" si="1405">IF(G961="n/a","n/a",MAX(0,G961-1))</f>
        <v>0</v>
      </c>
      <c r="I961" s="1423">
        <f t="shared" ref="I961:I966" ca="1" si="1406">IF(H961="n/a","n/a",MAX(0,H961-1))</f>
        <v>0</v>
      </c>
      <c r="J961" s="1423">
        <f t="shared" ref="J961:J967" ca="1" si="1407">IF(I961="n/a","n/a",MAX(0,I961-1))</f>
        <v>0</v>
      </c>
      <c r="K961" s="1423">
        <f t="shared" ref="K961:K968" ca="1" si="1408">IF(J961="n/a","n/a",MAX(0,J961-1))</f>
        <v>0</v>
      </c>
      <c r="L961" s="1423">
        <f t="shared" ref="L961:L969" ca="1" si="1409">IF(K961="n/a","n/a",MAX(0,K961-1))</f>
        <v>0</v>
      </c>
      <c r="M961" s="1423">
        <f t="shared" ref="M961:M970" ca="1" si="1410">IF(L961="n/a","n/a",MAX(0,L961-1))</f>
        <v>0</v>
      </c>
      <c r="N961" s="1423">
        <f t="shared" ref="N961:N971" ca="1" si="1411">IF(M961="n/a","n/a",MAX(0,M961-1))</f>
        <v>0</v>
      </c>
      <c r="O961" s="1423">
        <f t="shared" ref="O961:O972" ca="1" si="1412">IF(N961="n/a","n/a",MAX(0,N961-1))</f>
        <v>0</v>
      </c>
      <c r="P961" s="1423">
        <f t="shared" ref="P961:P973" ca="1" si="1413">IF(O961="n/a","n/a",MAX(0,O961-1))</f>
        <v>0</v>
      </c>
      <c r="Q961" s="1423">
        <f t="shared" ref="Q961:Q974" ca="1" si="1414">IF(P961="n/a","n/a",MAX(0,P961-1))</f>
        <v>0</v>
      </c>
      <c r="R961" s="1423">
        <f t="shared" ref="R961:R975" ca="1" si="1415">IF(Q961="n/a","n/a",MAX(0,Q961-1))</f>
        <v>0</v>
      </c>
      <c r="S961" s="1423">
        <f t="shared" ref="S961:S976" ca="1" si="1416">IF(R961="n/a","n/a",MAX(0,R961-1))</f>
        <v>0</v>
      </c>
      <c r="T961" s="1423">
        <f t="shared" ref="T961:T977" ca="1" si="1417">IF(S961="n/a","n/a",MAX(0,S961-1))</f>
        <v>0</v>
      </c>
      <c r="U961" s="1423">
        <f t="shared" ref="U961:U978" ca="1" si="1418">IF(T961="n/a","n/a",MAX(0,T961-1))</f>
        <v>0</v>
      </c>
      <c r="V961" s="1423">
        <f t="shared" ref="V961:V979" ca="1" si="1419">IF(U961="n/a","n/a",MAX(0,U961-1))</f>
        <v>0</v>
      </c>
      <c r="W961" s="1423">
        <f t="shared" ref="W961:W979" ca="1" si="1420">IF(V961="n/a","n/a",MAX(0,V961-1))</f>
        <v>0</v>
      </c>
      <c r="X961" s="152"/>
      <c r="Y961" s="152"/>
      <c r="Z961" s="152"/>
      <c r="AA961" s="152"/>
      <c r="AB961" s="152"/>
    </row>
    <row r="962" spans="1:28" hidden="1" outlineLevel="1">
      <c r="A962" s="152"/>
      <c r="B962" s="190" t="str">
        <f t="shared" ref="B962:B981" ca="1" si="1421">"RL Capex "&amp;OFFSET($C$6,0,A938)</f>
        <v>RL Capex 2016-17</v>
      </c>
      <c r="C962" s="1424"/>
      <c r="D962" s="1428">
        <f>D933</f>
        <v>0</v>
      </c>
      <c r="E962" s="1423">
        <f t="shared" si="1402"/>
        <v>0</v>
      </c>
      <c r="F962" s="1423">
        <f t="shared" si="1403"/>
        <v>0</v>
      </c>
      <c r="G962" s="1423">
        <f t="shared" si="1404"/>
        <v>0</v>
      </c>
      <c r="H962" s="1423">
        <f t="shared" si="1405"/>
        <v>0</v>
      </c>
      <c r="I962" s="1423">
        <f t="shared" si="1406"/>
        <v>0</v>
      </c>
      <c r="J962" s="1423">
        <f t="shared" si="1407"/>
        <v>0</v>
      </c>
      <c r="K962" s="1423">
        <f t="shared" si="1408"/>
        <v>0</v>
      </c>
      <c r="L962" s="1423">
        <f t="shared" si="1409"/>
        <v>0</v>
      </c>
      <c r="M962" s="1423">
        <f t="shared" si="1410"/>
        <v>0</v>
      </c>
      <c r="N962" s="1423">
        <f t="shared" si="1411"/>
        <v>0</v>
      </c>
      <c r="O962" s="1423">
        <f t="shared" si="1412"/>
        <v>0</v>
      </c>
      <c r="P962" s="1423">
        <f t="shared" si="1413"/>
        <v>0</v>
      </c>
      <c r="Q962" s="1423">
        <f t="shared" si="1414"/>
        <v>0</v>
      </c>
      <c r="R962" s="1423">
        <f t="shared" si="1415"/>
        <v>0</v>
      </c>
      <c r="S962" s="1423">
        <f t="shared" si="1416"/>
        <v>0</v>
      </c>
      <c r="T962" s="1423">
        <f t="shared" si="1417"/>
        <v>0</v>
      </c>
      <c r="U962" s="1423">
        <f t="shared" si="1418"/>
        <v>0</v>
      </c>
      <c r="V962" s="1423">
        <f t="shared" si="1419"/>
        <v>0</v>
      </c>
      <c r="W962" s="1423">
        <f t="shared" si="1420"/>
        <v>0</v>
      </c>
      <c r="X962" s="152"/>
      <c r="Y962" s="152"/>
      <c r="Z962" s="152"/>
      <c r="AA962" s="152"/>
      <c r="AB962" s="152"/>
    </row>
    <row r="963" spans="1:28" hidden="1" outlineLevel="1">
      <c r="A963" s="152"/>
      <c r="B963" s="190" t="str">
        <f t="shared" ca="1" si="1421"/>
        <v>RL Capex 2017-18</v>
      </c>
      <c r="C963" s="1429"/>
      <c r="D963" s="1424"/>
      <c r="E963" s="1428">
        <f>E933</f>
        <v>0</v>
      </c>
      <c r="F963" s="1423">
        <f t="shared" si="1403"/>
        <v>0</v>
      </c>
      <c r="G963" s="1423">
        <f t="shared" si="1404"/>
        <v>0</v>
      </c>
      <c r="H963" s="1423">
        <f t="shared" si="1405"/>
        <v>0</v>
      </c>
      <c r="I963" s="1423">
        <f t="shared" si="1406"/>
        <v>0</v>
      </c>
      <c r="J963" s="1423">
        <f t="shared" si="1407"/>
        <v>0</v>
      </c>
      <c r="K963" s="1423">
        <f t="shared" si="1408"/>
        <v>0</v>
      </c>
      <c r="L963" s="1423">
        <f t="shared" si="1409"/>
        <v>0</v>
      </c>
      <c r="M963" s="1423">
        <f t="shared" si="1410"/>
        <v>0</v>
      </c>
      <c r="N963" s="1423">
        <f t="shared" si="1411"/>
        <v>0</v>
      </c>
      <c r="O963" s="1423">
        <f t="shared" si="1412"/>
        <v>0</v>
      </c>
      <c r="P963" s="1423">
        <f t="shared" si="1413"/>
        <v>0</v>
      </c>
      <c r="Q963" s="1423">
        <f t="shared" si="1414"/>
        <v>0</v>
      </c>
      <c r="R963" s="1423">
        <f t="shared" si="1415"/>
        <v>0</v>
      </c>
      <c r="S963" s="1423">
        <f t="shared" si="1416"/>
        <v>0</v>
      </c>
      <c r="T963" s="1423">
        <f t="shared" si="1417"/>
        <v>0</v>
      </c>
      <c r="U963" s="1423">
        <f t="shared" si="1418"/>
        <v>0</v>
      </c>
      <c r="V963" s="1423">
        <f t="shared" si="1419"/>
        <v>0</v>
      </c>
      <c r="W963" s="1423">
        <f t="shared" si="1420"/>
        <v>0</v>
      </c>
      <c r="X963" s="152"/>
      <c r="Y963" s="152"/>
      <c r="Z963" s="152"/>
      <c r="AA963" s="152"/>
      <c r="AB963" s="152"/>
    </row>
    <row r="964" spans="1:28" hidden="1" outlineLevel="1">
      <c r="A964" s="152"/>
      <c r="B964" s="190" t="str">
        <f t="shared" ca="1" si="1421"/>
        <v>RL Capex 2018-19</v>
      </c>
      <c r="C964" s="1429"/>
      <c r="D964" s="1429"/>
      <c r="E964" s="1424"/>
      <c r="F964" s="1428">
        <f>F933</f>
        <v>0</v>
      </c>
      <c r="G964" s="1423">
        <f t="shared" si="1404"/>
        <v>0</v>
      </c>
      <c r="H964" s="1423">
        <f t="shared" si="1405"/>
        <v>0</v>
      </c>
      <c r="I964" s="1423">
        <f t="shared" si="1406"/>
        <v>0</v>
      </c>
      <c r="J964" s="1423">
        <f t="shared" si="1407"/>
        <v>0</v>
      </c>
      <c r="K964" s="1423">
        <f t="shared" si="1408"/>
        <v>0</v>
      </c>
      <c r="L964" s="1423">
        <f t="shared" si="1409"/>
        <v>0</v>
      </c>
      <c r="M964" s="1423">
        <f t="shared" si="1410"/>
        <v>0</v>
      </c>
      <c r="N964" s="1423">
        <f t="shared" si="1411"/>
        <v>0</v>
      </c>
      <c r="O964" s="1423">
        <f t="shared" si="1412"/>
        <v>0</v>
      </c>
      <c r="P964" s="1423">
        <f t="shared" si="1413"/>
        <v>0</v>
      </c>
      <c r="Q964" s="1423">
        <f t="shared" si="1414"/>
        <v>0</v>
      </c>
      <c r="R964" s="1423">
        <f t="shared" si="1415"/>
        <v>0</v>
      </c>
      <c r="S964" s="1423">
        <f t="shared" si="1416"/>
        <v>0</v>
      </c>
      <c r="T964" s="1423">
        <f t="shared" si="1417"/>
        <v>0</v>
      </c>
      <c r="U964" s="1423">
        <f t="shared" si="1418"/>
        <v>0</v>
      </c>
      <c r="V964" s="1423">
        <f t="shared" si="1419"/>
        <v>0</v>
      </c>
      <c r="W964" s="1423">
        <f t="shared" si="1420"/>
        <v>0</v>
      </c>
      <c r="X964" s="152"/>
      <c r="Y964" s="152"/>
      <c r="Z964" s="152"/>
      <c r="AA964" s="152"/>
      <c r="AB964" s="152"/>
    </row>
    <row r="965" spans="1:28" hidden="1" outlineLevel="1">
      <c r="A965" s="152"/>
      <c r="B965" s="190" t="str">
        <f t="shared" ca="1" si="1421"/>
        <v>RL Capex 2019-20</v>
      </c>
      <c r="C965" s="1429"/>
      <c r="D965" s="1429"/>
      <c r="E965" s="1429"/>
      <c r="F965" s="1424"/>
      <c r="G965" s="1428">
        <f>G933</f>
        <v>0</v>
      </c>
      <c r="H965" s="1423">
        <f t="shared" si="1405"/>
        <v>0</v>
      </c>
      <c r="I965" s="1423">
        <f t="shared" si="1406"/>
        <v>0</v>
      </c>
      <c r="J965" s="1423">
        <f t="shared" si="1407"/>
        <v>0</v>
      </c>
      <c r="K965" s="1423">
        <f t="shared" si="1408"/>
        <v>0</v>
      </c>
      <c r="L965" s="1423">
        <f t="shared" si="1409"/>
        <v>0</v>
      </c>
      <c r="M965" s="1423">
        <f t="shared" si="1410"/>
        <v>0</v>
      </c>
      <c r="N965" s="1423">
        <f t="shared" si="1411"/>
        <v>0</v>
      </c>
      <c r="O965" s="1423">
        <f t="shared" si="1412"/>
        <v>0</v>
      </c>
      <c r="P965" s="1423">
        <f t="shared" si="1413"/>
        <v>0</v>
      </c>
      <c r="Q965" s="1423">
        <f t="shared" si="1414"/>
        <v>0</v>
      </c>
      <c r="R965" s="1423">
        <f t="shared" si="1415"/>
        <v>0</v>
      </c>
      <c r="S965" s="1423">
        <f t="shared" si="1416"/>
        <v>0</v>
      </c>
      <c r="T965" s="1423">
        <f t="shared" si="1417"/>
        <v>0</v>
      </c>
      <c r="U965" s="1423">
        <f t="shared" si="1418"/>
        <v>0</v>
      </c>
      <c r="V965" s="1423">
        <f t="shared" si="1419"/>
        <v>0</v>
      </c>
      <c r="W965" s="1423">
        <f t="shared" si="1420"/>
        <v>0</v>
      </c>
      <c r="X965" s="152"/>
      <c r="Y965" s="152"/>
      <c r="Z965" s="152"/>
      <c r="AA965" s="152"/>
      <c r="AB965" s="152"/>
    </row>
    <row r="966" spans="1:28" hidden="1" outlineLevel="1">
      <c r="A966" s="152"/>
      <c r="B966" s="190" t="str">
        <f t="shared" ca="1" si="1421"/>
        <v>RL Capex 2020-21</v>
      </c>
      <c r="C966" s="1429"/>
      <c r="D966" s="1429"/>
      <c r="E966" s="1429"/>
      <c r="F966" s="1429"/>
      <c r="G966" s="1424"/>
      <c r="H966" s="1428">
        <f>H933</f>
        <v>0</v>
      </c>
      <c r="I966" s="1423">
        <f t="shared" si="1406"/>
        <v>0</v>
      </c>
      <c r="J966" s="1423">
        <f t="shared" si="1407"/>
        <v>0</v>
      </c>
      <c r="K966" s="1423">
        <f t="shared" si="1408"/>
        <v>0</v>
      </c>
      <c r="L966" s="1423">
        <f t="shared" si="1409"/>
        <v>0</v>
      </c>
      <c r="M966" s="1423">
        <f t="shared" si="1410"/>
        <v>0</v>
      </c>
      <c r="N966" s="1423">
        <f t="shared" si="1411"/>
        <v>0</v>
      </c>
      <c r="O966" s="1423">
        <f t="shared" si="1412"/>
        <v>0</v>
      </c>
      <c r="P966" s="1423">
        <f t="shared" si="1413"/>
        <v>0</v>
      </c>
      <c r="Q966" s="1423">
        <f t="shared" si="1414"/>
        <v>0</v>
      </c>
      <c r="R966" s="1423">
        <f t="shared" si="1415"/>
        <v>0</v>
      </c>
      <c r="S966" s="1423">
        <f t="shared" si="1416"/>
        <v>0</v>
      </c>
      <c r="T966" s="1423">
        <f t="shared" si="1417"/>
        <v>0</v>
      </c>
      <c r="U966" s="1423">
        <f t="shared" si="1418"/>
        <v>0</v>
      </c>
      <c r="V966" s="1423">
        <f t="shared" si="1419"/>
        <v>0</v>
      </c>
      <c r="W966" s="1423">
        <f t="shared" si="1420"/>
        <v>0</v>
      </c>
      <c r="X966" s="152"/>
      <c r="Y966" s="152"/>
      <c r="Z966" s="152"/>
      <c r="AA966" s="152"/>
      <c r="AB966" s="152"/>
    </row>
    <row r="967" spans="1:28" hidden="1" outlineLevel="1">
      <c r="A967" s="152"/>
      <c r="B967" s="190" t="str">
        <f t="shared" ca="1" si="1421"/>
        <v>RL Capex 2021-22</v>
      </c>
      <c r="C967" s="1429"/>
      <c r="D967" s="1429"/>
      <c r="E967" s="1429"/>
      <c r="F967" s="1429"/>
      <c r="G967" s="1429"/>
      <c r="H967" s="1424"/>
      <c r="I967" s="1428">
        <f>I933</f>
        <v>0</v>
      </c>
      <c r="J967" s="1423">
        <f t="shared" si="1407"/>
        <v>0</v>
      </c>
      <c r="K967" s="1423">
        <f t="shared" si="1408"/>
        <v>0</v>
      </c>
      <c r="L967" s="1423">
        <f t="shared" si="1409"/>
        <v>0</v>
      </c>
      <c r="M967" s="1423">
        <f t="shared" si="1410"/>
        <v>0</v>
      </c>
      <c r="N967" s="1423">
        <f t="shared" si="1411"/>
        <v>0</v>
      </c>
      <c r="O967" s="1423">
        <f t="shared" si="1412"/>
        <v>0</v>
      </c>
      <c r="P967" s="1423">
        <f t="shared" si="1413"/>
        <v>0</v>
      </c>
      <c r="Q967" s="1423">
        <f t="shared" si="1414"/>
        <v>0</v>
      </c>
      <c r="R967" s="1423">
        <f t="shared" si="1415"/>
        <v>0</v>
      </c>
      <c r="S967" s="1423">
        <f t="shared" si="1416"/>
        <v>0</v>
      </c>
      <c r="T967" s="1423">
        <f t="shared" si="1417"/>
        <v>0</v>
      </c>
      <c r="U967" s="1423">
        <f t="shared" si="1418"/>
        <v>0</v>
      </c>
      <c r="V967" s="1423">
        <f t="shared" si="1419"/>
        <v>0</v>
      </c>
      <c r="W967" s="1423">
        <f t="shared" si="1420"/>
        <v>0</v>
      </c>
      <c r="X967" s="152"/>
      <c r="Y967" s="152"/>
      <c r="Z967" s="152"/>
      <c r="AA967" s="152"/>
      <c r="AB967" s="152"/>
    </row>
    <row r="968" spans="1:28" hidden="1" outlineLevel="1">
      <c r="A968" s="152"/>
      <c r="B968" s="190" t="str">
        <f t="shared" ca="1" si="1421"/>
        <v>RL Capex 2022-23</v>
      </c>
      <c r="C968" s="1429"/>
      <c r="D968" s="1429"/>
      <c r="E968" s="1429"/>
      <c r="F968" s="1429"/>
      <c r="G968" s="1429"/>
      <c r="H968" s="1429"/>
      <c r="I968" s="1424"/>
      <c r="J968" s="1428">
        <f>J933</f>
        <v>0</v>
      </c>
      <c r="K968" s="1423">
        <f t="shared" si="1408"/>
        <v>0</v>
      </c>
      <c r="L968" s="1423">
        <f t="shared" si="1409"/>
        <v>0</v>
      </c>
      <c r="M968" s="1423">
        <f t="shared" si="1410"/>
        <v>0</v>
      </c>
      <c r="N968" s="1423">
        <f t="shared" si="1411"/>
        <v>0</v>
      </c>
      <c r="O968" s="1423">
        <f t="shared" si="1412"/>
        <v>0</v>
      </c>
      <c r="P968" s="1423">
        <f t="shared" si="1413"/>
        <v>0</v>
      </c>
      <c r="Q968" s="1423">
        <f t="shared" si="1414"/>
        <v>0</v>
      </c>
      <c r="R968" s="1423">
        <f t="shared" si="1415"/>
        <v>0</v>
      </c>
      <c r="S968" s="1423">
        <f t="shared" si="1416"/>
        <v>0</v>
      </c>
      <c r="T968" s="1423">
        <f t="shared" si="1417"/>
        <v>0</v>
      </c>
      <c r="U968" s="1423">
        <f t="shared" si="1418"/>
        <v>0</v>
      </c>
      <c r="V968" s="1423">
        <f t="shared" si="1419"/>
        <v>0</v>
      </c>
      <c r="W968" s="1423">
        <f t="shared" si="1420"/>
        <v>0</v>
      </c>
      <c r="X968" s="152"/>
      <c r="Y968" s="152"/>
      <c r="Z968" s="152"/>
      <c r="AA968" s="152"/>
      <c r="AB968" s="152"/>
    </row>
    <row r="969" spans="1:28" hidden="1" outlineLevel="1">
      <c r="A969" s="152"/>
      <c r="B969" s="190" t="str">
        <f t="shared" ca="1" si="1421"/>
        <v>RL Capex 2023-24</v>
      </c>
      <c r="C969" s="1429"/>
      <c r="D969" s="1429"/>
      <c r="E969" s="1429"/>
      <c r="F969" s="1429"/>
      <c r="G969" s="1429"/>
      <c r="H969" s="1429"/>
      <c r="I969" s="1429"/>
      <c r="J969" s="1424"/>
      <c r="K969" s="1428">
        <f>K933</f>
        <v>0</v>
      </c>
      <c r="L969" s="1423">
        <f t="shared" si="1409"/>
        <v>0</v>
      </c>
      <c r="M969" s="1423">
        <f t="shared" si="1410"/>
        <v>0</v>
      </c>
      <c r="N969" s="1423">
        <f t="shared" si="1411"/>
        <v>0</v>
      </c>
      <c r="O969" s="1423">
        <f t="shared" si="1412"/>
        <v>0</v>
      </c>
      <c r="P969" s="1423">
        <f t="shared" si="1413"/>
        <v>0</v>
      </c>
      <c r="Q969" s="1423">
        <f t="shared" si="1414"/>
        <v>0</v>
      </c>
      <c r="R969" s="1423">
        <f t="shared" si="1415"/>
        <v>0</v>
      </c>
      <c r="S969" s="1423">
        <f t="shared" si="1416"/>
        <v>0</v>
      </c>
      <c r="T969" s="1423">
        <f t="shared" si="1417"/>
        <v>0</v>
      </c>
      <c r="U969" s="1423">
        <f t="shared" si="1418"/>
        <v>0</v>
      </c>
      <c r="V969" s="1423">
        <f t="shared" si="1419"/>
        <v>0</v>
      </c>
      <c r="W969" s="1423">
        <f t="shared" si="1420"/>
        <v>0</v>
      </c>
      <c r="X969" s="152"/>
      <c r="Y969" s="152"/>
      <c r="Z969" s="152"/>
      <c r="AA969" s="152"/>
      <c r="AB969" s="152"/>
    </row>
    <row r="970" spans="1:28" hidden="1" outlineLevel="1">
      <c r="A970" s="152"/>
      <c r="B970" s="190" t="str">
        <f t="shared" ca="1" si="1421"/>
        <v>RL Capex 2024-25</v>
      </c>
      <c r="C970" s="1429"/>
      <c r="D970" s="1429"/>
      <c r="E970" s="1429"/>
      <c r="F970" s="1429"/>
      <c r="G970" s="1429"/>
      <c r="H970" s="1429"/>
      <c r="I970" s="1429"/>
      <c r="J970" s="1429"/>
      <c r="K970" s="1424"/>
      <c r="L970" s="1428">
        <f>L933</f>
        <v>0</v>
      </c>
      <c r="M970" s="1423">
        <f t="shared" si="1410"/>
        <v>0</v>
      </c>
      <c r="N970" s="1423">
        <f t="shared" si="1411"/>
        <v>0</v>
      </c>
      <c r="O970" s="1423">
        <f t="shared" si="1412"/>
        <v>0</v>
      </c>
      <c r="P970" s="1423">
        <f t="shared" si="1413"/>
        <v>0</v>
      </c>
      <c r="Q970" s="1423">
        <f t="shared" si="1414"/>
        <v>0</v>
      </c>
      <c r="R970" s="1423">
        <f t="shared" si="1415"/>
        <v>0</v>
      </c>
      <c r="S970" s="1423">
        <f t="shared" si="1416"/>
        <v>0</v>
      </c>
      <c r="T970" s="1423">
        <f t="shared" si="1417"/>
        <v>0</v>
      </c>
      <c r="U970" s="1423">
        <f t="shared" si="1418"/>
        <v>0</v>
      </c>
      <c r="V970" s="1423">
        <f t="shared" si="1419"/>
        <v>0</v>
      </c>
      <c r="W970" s="1423">
        <f t="shared" si="1420"/>
        <v>0</v>
      </c>
      <c r="X970" s="152"/>
      <c r="Y970" s="152"/>
      <c r="Z970" s="152"/>
      <c r="AA970" s="152"/>
      <c r="AB970" s="152"/>
    </row>
    <row r="971" spans="1:28" hidden="1" outlineLevel="1">
      <c r="A971" s="152"/>
      <c r="B971" s="190" t="str">
        <f t="shared" ca="1" si="1421"/>
        <v>RL Capex 2025-26</v>
      </c>
      <c r="C971" s="1429"/>
      <c r="D971" s="1429"/>
      <c r="E971" s="1429"/>
      <c r="F971" s="1429"/>
      <c r="G971" s="1429"/>
      <c r="H971" s="1429"/>
      <c r="I971" s="1429"/>
      <c r="J971" s="1429"/>
      <c r="K971" s="1429"/>
      <c r="L971" s="1424"/>
      <c r="M971" s="1428">
        <f>M933</f>
        <v>0</v>
      </c>
      <c r="N971" s="1423">
        <f t="shared" si="1411"/>
        <v>0</v>
      </c>
      <c r="O971" s="1423">
        <f t="shared" si="1412"/>
        <v>0</v>
      </c>
      <c r="P971" s="1423">
        <f t="shared" si="1413"/>
        <v>0</v>
      </c>
      <c r="Q971" s="1423">
        <f t="shared" si="1414"/>
        <v>0</v>
      </c>
      <c r="R971" s="1423">
        <f t="shared" si="1415"/>
        <v>0</v>
      </c>
      <c r="S971" s="1423">
        <f t="shared" si="1416"/>
        <v>0</v>
      </c>
      <c r="T971" s="1423">
        <f t="shared" si="1417"/>
        <v>0</v>
      </c>
      <c r="U971" s="1423">
        <f t="shared" si="1418"/>
        <v>0</v>
      </c>
      <c r="V971" s="1423">
        <f t="shared" si="1419"/>
        <v>0</v>
      </c>
      <c r="W971" s="1423">
        <f t="shared" si="1420"/>
        <v>0</v>
      </c>
      <c r="X971" s="152"/>
      <c r="Y971" s="152"/>
      <c r="Z971" s="152"/>
      <c r="AA971" s="152"/>
      <c r="AB971" s="152"/>
    </row>
    <row r="972" spans="1:28" hidden="1" outlineLevel="1">
      <c r="A972" s="152"/>
      <c r="B972" s="190" t="str">
        <f t="shared" ca="1" si="1421"/>
        <v>RL Capex 2026-27</v>
      </c>
      <c r="C972" s="1429"/>
      <c r="D972" s="1429"/>
      <c r="E972" s="1429"/>
      <c r="F972" s="1429"/>
      <c r="G972" s="1429"/>
      <c r="H972" s="1429"/>
      <c r="I972" s="1429"/>
      <c r="J972" s="1429"/>
      <c r="K972" s="1429"/>
      <c r="L972" s="1429"/>
      <c r="M972" s="1424"/>
      <c r="N972" s="1428">
        <f>N933</f>
        <v>0</v>
      </c>
      <c r="O972" s="1423">
        <f t="shared" si="1412"/>
        <v>0</v>
      </c>
      <c r="P972" s="1423">
        <f t="shared" si="1413"/>
        <v>0</v>
      </c>
      <c r="Q972" s="1423">
        <f t="shared" si="1414"/>
        <v>0</v>
      </c>
      <c r="R972" s="1423">
        <f t="shared" si="1415"/>
        <v>0</v>
      </c>
      <c r="S972" s="1423">
        <f t="shared" si="1416"/>
        <v>0</v>
      </c>
      <c r="T972" s="1423">
        <f t="shared" si="1417"/>
        <v>0</v>
      </c>
      <c r="U972" s="1423">
        <f t="shared" si="1418"/>
        <v>0</v>
      </c>
      <c r="V972" s="1423">
        <f t="shared" si="1419"/>
        <v>0</v>
      </c>
      <c r="W972" s="1423">
        <f t="shared" si="1420"/>
        <v>0</v>
      </c>
      <c r="X972" s="152"/>
      <c r="Y972" s="152"/>
      <c r="Z972" s="152"/>
      <c r="AA972" s="152"/>
      <c r="AB972" s="152"/>
    </row>
    <row r="973" spans="1:28" hidden="1" outlineLevel="1">
      <c r="A973" s="152"/>
      <c r="B973" s="190" t="str">
        <f t="shared" ca="1" si="1421"/>
        <v>RL Capex 2027-28</v>
      </c>
      <c r="C973" s="1429"/>
      <c r="D973" s="1429"/>
      <c r="E973" s="1429"/>
      <c r="F973" s="1429"/>
      <c r="G973" s="1429"/>
      <c r="H973" s="1429"/>
      <c r="I973" s="1429"/>
      <c r="J973" s="1429"/>
      <c r="K973" s="1429"/>
      <c r="L973" s="1429"/>
      <c r="M973" s="1429"/>
      <c r="N973" s="1424"/>
      <c r="O973" s="1428">
        <f>O933</f>
        <v>0</v>
      </c>
      <c r="P973" s="1423">
        <f t="shared" si="1413"/>
        <v>0</v>
      </c>
      <c r="Q973" s="1423">
        <f t="shared" si="1414"/>
        <v>0</v>
      </c>
      <c r="R973" s="1423">
        <f t="shared" si="1415"/>
        <v>0</v>
      </c>
      <c r="S973" s="1423">
        <f t="shared" si="1416"/>
        <v>0</v>
      </c>
      <c r="T973" s="1423">
        <f t="shared" si="1417"/>
        <v>0</v>
      </c>
      <c r="U973" s="1423">
        <f t="shared" si="1418"/>
        <v>0</v>
      </c>
      <c r="V973" s="1423">
        <f t="shared" si="1419"/>
        <v>0</v>
      </c>
      <c r="W973" s="1423">
        <f t="shared" si="1420"/>
        <v>0</v>
      </c>
      <c r="X973" s="152"/>
      <c r="Y973" s="152"/>
      <c r="Z973" s="152"/>
      <c r="AA973" s="152"/>
      <c r="AB973" s="152"/>
    </row>
    <row r="974" spans="1:28" hidden="1" outlineLevel="1">
      <c r="A974" s="152"/>
      <c r="B974" s="190" t="str">
        <f t="shared" ca="1" si="1421"/>
        <v>RL Capex 2028-29</v>
      </c>
      <c r="C974" s="1429"/>
      <c r="D974" s="1429"/>
      <c r="E974" s="1429"/>
      <c r="F974" s="1429"/>
      <c r="G974" s="1429"/>
      <c r="H974" s="1429"/>
      <c r="I974" s="1429"/>
      <c r="J974" s="1429"/>
      <c r="K974" s="1429"/>
      <c r="L974" s="1429"/>
      <c r="M974" s="1429"/>
      <c r="N974" s="1429"/>
      <c r="O974" s="1424"/>
      <c r="P974" s="1428">
        <f>P933</f>
        <v>0</v>
      </c>
      <c r="Q974" s="1423">
        <f t="shared" si="1414"/>
        <v>0</v>
      </c>
      <c r="R974" s="1423">
        <f t="shared" si="1415"/>
        <v>0</v>
      </c>
      <c r="S974" s="1423">
        <f t="shared" si="1416"/>
        <v>0</v>
      </c>
      <c r="T974" s="1423">
        <f t="shared" si="1417"/>
        <v>0</v>
      </c>
      <c r="U974" s="1423">
        <f t="shared" si="1418"/>
        <v>0</v>
      </c>
      <c r="V974" s="1423">
        <f t="shared" si="1419"/>
        <v>0</v>
      </c>
      <c r="W974" s="1423">
        <f t="shared" si="1420"/>
        <v>0</v>
      </c>
      <c r="X974" s="152"/>
      <c r="Y974" s="152"/>
      <c r="Z974" s="152"/>
      <c r="AA974" s="152"/>
      <c r="AB974" s="152"/>
    </row>
    <row r="975" spans="1:28" hidden="1" outlineLevel="1">
      <c r="A975" s="152"/>
      <c r="B975" s="190" t="str">
        <f t="shared" ca="1" si="1421"/>
        <v>RL Capex 2029-30</v>
      </c>
      <c r="C975" s="1429"/>
      <c r="D975" s="1429"/>
      <c r="E975" s="1429"/>
      <c r="F975" s="1429"/>
      <c r="G975" s="1429"/>
      <c r="H975" s="1429"/>
      <c r="I975" s="1429"/>
      <c r="J975" s="1429"/>
      <c r="K975" s="1429"/>
      <c r="L975" s="1429"/>
      <c r="M975" s="1429"/>
      <c r="N975" s="1429"/>
      <c r="O975" s="1429"/>
      <c r="P975" s="1424"/>
      <c r="Q975" s="1428">
        <f>Q933</f>
        <v>0</v>
      </c>
      <c r="R975" s="1423">
        <f t="shared" si="1415"/>
        <v>0</v>
      </c>
      <c r="S975" s="1423">
        <f t="shared" si="1416"/>
        <v>0</v>
      </c>
      <c r="T975" s="1423">
        <f t="shared" si="1417"/>
        <v>0</v>
      </c>
      <c r="U975" s="1423">
        <f t="shared" si="1418"/>
        <v>0</v>
      </c>
      <c r="V975" s="1423">
        <f t="shared" si="1419"/>
        <v>0</v>
      </c>
      <c r="W975" s="1423">
        <f t="shared" si="1420"/>
        <v>0</v>
      </c>
      <c r="X975" s="152"/>
      <c r="Y975" s="152"/>
      <c r="Z975" s="152"/>
      <c r="AA975" s="152"/>
      <c r="AB975" s="152"/>
    </row>
    <row r="976" spans="1:28" hidden="1" outlineLevel="1">
      <c r="A976" s="152"/>
      <c r="B976" s="190" t="str">
        <f t="shared" ca="1" si="1421"/>
        <v>RL Capex 2030-31</v>
      </c>
      <c r="C976" s="1429"/>
      <c r="D976" s="1429"/>
      <c r="E976" s="1429"/>
      <c r="F976" s="1429"/>
      <c r="G976" s="1429"/>
      <c r="H976" s="1429"/>
      <c r="I976" s="1429"/>
      <c r="J976" s="1429"/>
      <c r="K976" s="1429"/>
      <c r="L976" s="1429"/>
      <c r="M976" s="1429"/>
      <c r="N976" s="1429"/>
      <c r="O976" s="1429"/>
      <c r="P976" s="1429"/>
      <c r="Q976" s="1424"/>
      <c r="R976" s="1428">
        <f>R933</f>
        <v>0</v>
      </c>
      <c r="S976" s="1423">
        <f t="shared" si="1416"/>
        <v>0</v>
      </c>
      <c r="T976" s="1423">
        <f t="shared" si="1417"/>
        <v>0</v>
      </c>
      <c r="U976" s="1423">
        <f t="shared" si="1418"/>
        <v>0</v>
      </c>
      <c r="V976" s="1423">
        <f t="shared" si="1419"/>
        <v>0</v>
      </c>
      <c r="W976" s="1423">
        <f t="shared" si="1420"/>
        <v>0</v>
      </c>
      <c r="X976" s="152"/>
      <c r="Y976" s="152"/>
      <c r="Z976" s="152"/>
      <c r="AA976" s="152"/>
      <c r="AB976" s="152"/>
    </row>
    <row r="977" spans="1:28" hidden="1" outlineLevel="1">
      <c r="A977" s="152"/>
      <c r="B977" s="190" t="str">
        <f t="shared" ca="1" si="1421"/>
        <v>RL Capex 2031-32</v>
      </c>
      <c r="C977" s="1429"/>
      <c r="D977" s="1429"/>
      <c r="E977" s="1429"/>
      <c r="F977" s="1429"/>
      <c r="G977" s="1429"/>
      <c r="H977" s="1429"/>
      <c r="I977" s="1429"/>
      <c r="J977" s="1429"/>
      <c r="K977" s="1429"/>
      <c r="L977" s="1429"/>
      <c r="M977" s="1429"/>
      <c r="N977" s="1429"/>
      <c r="O977" s="1429"/>
      <c r="P977" s="1429"/>
      <c r="Q977" s="1429"/>
      <c r="R977" s="1424"/>
      <c r="S977" s="1428">
        <f>S933</f>
        <v>0</v>
      </c>
      <c r="T977" s="1423">
        <f t="shared" si="1417"/>
        <v>0</v>
      </c>
      <c r="U977" s="1423">
        <f t="shared" si="1418"/>
        <v>0</v>
      </c>
      <c r="V977" s="1423">
        <f t="shared" si="1419"/>
        <v>0</v>
      </c>
      <c r="W977" s="1423">
        <f t="shared" si="1420"/>
        <v>0</v>
      </c>
      <c r="X977" s="152"/>
      <c r="Y977" s="152"/>
      <c r="Z977" s="152"/>
      <c r="AA977" s="152"/>
      <c r="AB977" s="152"/>
    </row>
    <row r="978" spans="1:28" hidden="1" outlineLevel="1">
      <c r="A978" s="152"/>
      <c r="B978" s="190" t="str">
        <f t="shared" ca="1" si="1421"/>
        <v>RL Capex 2032-33</v>
      </c>
      <c r="C978" s="1429"/>
      <c r="D978" s="1429"/>
      <c r="E978" s="1429"/>
      <c r="F978" s="1429"/>
      <c r="G978" s="1429"/>
      <c r="H978" s="1429"/>
      <c r="I978" s="1429"/>
      <c r="J978" s="1429"/>
      <c r="K978" s="1429"/>
      <c r="L978" s="1429"/>
      <c r="M978" s="1429"/>
      <c r="N978" s="1429"/>
      <c r="O978" s="1429"/>
      <c r="P978" s="1429"/>
      <c r="Q978" s="1429"/>
      <c r="R978" s="1429"/>
      <c r="S978" s="1424"/>
      <c r="T978" s="1428">
        <f>T933</f>
        <v>0</v>
      </c>
      <c r="U978" s="1423">
        <f t="shared" si="1418"/>
        <v>0</v>
      </c>
      <c r="V978" s="1423">
        <f t="shared" si="1419"/>
        <v>0</v>
      </c>
      <c r="W978" s="1423">
        <f t="shared" si="1420"/>
        <v>0</v>
      </c>
      <c r="X978" s="152"/>
      <c r="Y978" s="152"/>
      <c r="Z978" s="152"/>
      <c r="AA978" s="152"/>
      <c r="AB978" s="152"/>
    </row>
    <row r="979" spans="1:28" hidden="1" outlineLevel="1">
      <c r="A979" s="152"/>
      <c r="B979" s="190" t="str">
        <f t="shared" ca="1" si="1421"/>
        <v>RL Capex 2033-34</v>
      </c>
      <c r="C979" s="1429"/>
      <c r="D979" s="1429"/>
      <c r="E979" s="1429"/>
      <c r="F979" s="1429"/>
      <c r="G979" s="1429"/>
      <c r="H979" s="1429"/>
      <c r="I979" s="1429"/>
      <c r="J979" s="1429"/>
      <c r="K979" s="1429"/>
      <c r="L979" s="1429"/>
      <c r="M979" s="1429"/>
      <c r="N979" s="1429"/>
      <c r="O979" s="1429"/>
      <c r="P979" s="1429"/>
      <c r="Q979" s="1429"/>
      <c r="R979" s="1429"/>
      <c r="S979" s="1429"/>
      <c r="T979" s="1424"/>
      <c r="U979" s="1428">
        <f>U933</f>
        <v>0</v>
      </c>
      <c r="V979" s="1423">
        <f t="shared" si="1419"/>
        <v>0</v>
      </c>
      <c r="W979" s="1423">
        <f t="shared" si="1420"/>
        <v>0</v>
      </c>
      <c r="X979" s="152"/>
      <c r="Y979" s="152"/>
      <c r="Z979" s="152"/>
      <c r="AA979" s="152"/>
      <c r="AB979" s="152"/>
    </row>
    <row r="980" spans="1:28" hidden="1" outlineLevel="1">
      <c r="A980" s="152"/>
      <c r="B980" s="190" t="str">
        <f t="shared" ca="1" si="1421"/>
        <v>RL Capex 2034-35</v>
      </c>
      <c r="C980" s="1429"/>
      <c r="D980" s="1429"/>
      <c r="E980" s="1429"/>
      <c r="F980" s="1429"/>
      <c r="G980" s="1429"/>
      <c r="H980" s="1429"/>
      <c r="I980" s="1429"/>
      <c r="J980" s="1429"/>
      <c r="K980" s="1429"/>
      <c r="L980" s="1429"/>
      <c r="M980" s="1429"/>
      <c r="N980" s="1429"/>
      <c r="O980" s="1429"/>
      <c r="P980" s="1429"/>
      <c r="Q980" s="1429"/>
      <c r="R980" s="1429"/>
      <c r="S980" s="1429"/>
      <c r="T980" s="1429"/>
      <c r="U980" s="1424"/>
      <c r="V980" s="1428">
        <f>V933</f>
        <v>0</v>
      </c>
      <c r="W980" s="1423">
        <f>IF(V980="n/a","n/a",MAX(0,V980-1))</f>
        <v>0</v>
      </c>
      <c r="X980" s="152"/>
      <c r="Y980" s="152"/>
      <c r="Z980" s="152"/>
      <c r="AA980" s="152"/>
      <c r="AB980" s="152"/>
    </row>
    <row r="981" spans="1:28" hidden="1" outlineLevel="1">
      <c r="A981" s="152"/>
      <c r="B981" s="190" t="str">
        <f t="shared" ca="1" si="1421"/>
        <v>RL Capex 2035-36</v>
      </c>
      <c r="C981" s="1429"/>
      <c r="D981" s="1429"/>
      <c r="E981" s="1429"/>
      <c r="F981" s="1429"/>
      <c r="G981" s="1429"/>
      <c r="H981" s="1429"/>
      <c r="I981" s="1429"/>
      <c r="J981" s="1429"/>
      <c r="K981" s="1429"/>
      <c r="L981" s="1429"/>
      <c r="M981" s="1429"/>
      <c r="N981" s="1429"/>
      <c r="O981" s="1429"/>
      <c r="P981" s="1429"/>
      <c r="Q981" s="1429"/>
      <c r="R981" s="1429"/>
      <c r="S981" s="1429"/>
      <c r="T981" s="1429"/>
      <c r="U981" s="1429"/>
      <c r="V981" s="1424"/>
      <c r="W981" s="1423">
        <f>W933</f>
        <v>0</v>
      </c>
      <c r="X981" s="152"/>
      <c r="Y981" s="152"/>
      <c r="Z981" s="152"/>
      <c r="AA981" s="152"/>
      <c r="AB981" s="152"/>
    </row>
    <row r="982" spans="1:28" hidden="1" outlineLevel="1">
      <c r="A982" s="152"/>
      <c r="B982" s="200"/>
      <c r="C982" s="1423"/>
      <c r="D982" s="1423"/>
      <c r="E982" s="1423"/>
      <c r="F982" s="1423"/>
      <c r="G982" s="1423"/>
      <c r="H982" s="1423"/>
      <c r="I982" s="1423"/>
      <c r="J982" s="1423"/>
      <c r="K982" s="1423"/>
      <c r="L982" s="1423"/>
      <c r="M982" s="1423"/>
      <c r="N982" s="1423"/>
      <c r="O982" s="1423"/>
      <c r="P982" s="1423"/>
      <c r="Q982" s="1423"/>
      <c r="R982" s="1423"/>
      <c r="S982" s="1423"/>
      <c r="T982" s="1423"/>
      <c r="U982" s="1423"/>
      <c r="V982" s="1423"/>
      <c r="W982" s="1423"/>
      <c r="X982" s="152"/>
      <c r="Y982" s="152"/>
      <c r="Z982" s="152"/>
      <c r="AA982" s="152"/>
      <c r="AB982" s="152"/>
    </row>
    <row r="983" spans="1:28" collapsed="1">
      <c r="A983" s="194"/>
      <c r="B983" s="204" t="s">
        <v>123</v>
      </c>
      <c r="C983" s="1430">
        <f ca="1">(IF(OR($C933&lt;&gt;"n/a",C933&lt;&gt;"n/a"),IF(SUM(C936:C958)=0,0,IF((SUMPRODUCT(C936:C958,C960:C982)/SUM(C936:C958))&lt;0,1,(SUMPRODUCT(C936:C958,C960:C982)/SUM(C936:C958)))),"n/a"))</f>
        <v>0</v>
      </c>
      <c r="D983" s="1430">
        <f ca="1">(IF(OR($C933&lt;&gt;"n/a",D933&lt;&gt;"n/a"),IF(SUM(D936:D958)=0,0,IF((SUMPRODUCT(D936:D958,D960:D982)/SUM(D936:D958))&lt;0,1,(SUMPRODUCT(D936:D958,D960:D982)/SUM(D936:D958)))),"n/a"))</f>
        <v>0</v>
      </c>
      <c r="E983" s="1430">
        <f t="shared" ref="E983:W983" ca="1" si="1422">(IF(OR($C933&lt;&gt;"n/a",E933&lt;&gt;"n/a"),IF(SUM(E936:E958)=0,0,IF((SUMPRODUCT(E936:E958,E960:E982)/SUM(E936:E958))&lt;0,1,(SUMPRODUCT(E936:E958,E960:E982)/SUM(E936:E958)))),"n/a"))</f>
        <v>0</v>
      </c>
      <c r="F983" s="1430">
        <f t="shared" ca="1" si="1422"/>
        <v>0</v>
      </c>
      <c r="G983" s="1430">
        <f t="shared" ca="1" si="1422"/>
        <v>0</v>
      </c>
      <c r="H983" s="1430">
        <f t="shared" ca="1" si="1422"/>
        <v>0</v>
      </c>
      <c r="I983" s="1430">
        <f t="shared" ca="1" si="1422"/>
        <v>0</v>
      </c>
      <c r="J983" s="1430">
        <f t="shared" ca="1" si="1422"/>
        <v>0</v>
      </c>
      <c r="K983" s="1430">
        <f t="shared" ca="1" si="1422"/>
        <v>0</v>
      </c>
      <c r="L983" s="1430">
        <f t="shared" ca="1" si="1422"/>
        <v>0</v>
      </c>
      <c r="M983" s="1430">
        <f t="shared" ca="1" si="1422"/>
        <v>0</v>
      </c>
      <c r="N983" s="1430">
        <f t="shared" ca="1" si="1422"/>
        <v>0</v>
      </c>
      <c r="O983" s="1430">
        <f t="shared" ca="1" si="1422"/>
        <v>0</v>
      </c>
      <c r="P983" s="1430">
        <f t="shared" ca="1" si="1422"/>
        <v>0</v>
      </c>
      <c r="Q983" s="1430">
        <f t="shared" ca="1" si="1422"/>
        <v>0</v>
      </c>
      <c r="R983" s="1430">
        <f t="shared" ca="1" si="1422"/>
        <v>0</v>
      </c>
      <c r="S983" s="1430">
        <f t="shared" ca="1" si="1422"/>
        <v>0</v>
      </c>
      <c r="T983" s="1430">
        <f t="shared" ca="1" si="1422"/>
        <v>0</v>
      </c>
      <c r="U983" s="1430">
        <f t="shared" ca="1" si="1422"/>
        <v>0</v>
      </c>
      <c r="V983" s="1430">
        <f t="shared" ca="1" si="1422"/>
        <v>0</v>
      </c>
      <c r="W983" s="1430">
        <f t="shared" ca="1" si="1422"/>
        <v>0</v>
      </c>
      <c r="X983" s="152"/>
      <c r="Y983" s="152"/>
      <c r="Z983" s="152"/>
      <c r="AA983" s="152"/>
      <c r="AB983" s="152"/>
    </row>
    <row r="984" spans="1:28">
      <c r="A984" s="152"/>
      <c r="B984" s="152"/>
      <c r="C984" s="1423"/>
      <c r="D984" s="1423"/>
      <c r="E984" s="1423"/>
      <c r="F984" s="1423"/>
      <c r="G984" s="1423"/>
      <c r="H984" s="1423"/>
      <c r="I984" s="1423"/>
      <c r="J984" s="1423"/>
      <c r="K984" s="1423"/>
      <c r="L984" s="1423"/>
      <c r="M984" s="1423"/>
      <c r="N984" s="1423"/>
      <c r="O984" s="1423"/>
      <c r="P984" s="1423"/>
      <c r="Q984" s="1423"/>
      <c r="R984" s="1423"/>
      <c r="S984" s="1423"/>
      <c r="T984" s="1423"/>
      <c r="U984" s="1423"/>
      <c r="V984" s="1423"/>
      <c r="W984" s="1423"/>
      <c r="X984" s="152"/>
      <c r="Y984" s="152"/>
      <c r="Z984" s="152"/>
      <c r="AA984" s="152"/>
      <c r="AB984" s="152"/>
    </row>
    <row r="985" spans="1:28">
      <c r="A985" s="269" t="s">
        <v>20</v>
      </c>
      <c r="B985" s="270">
        <f>VLOOKUP($A985,'RFM input'!$E$7:$F$56,2,FALSE)</f>
        <v>0</v>
      </c>
      <c r="C985" s="1431"/>
      <c r="D985" s="1431"/>
      <c r="E985" s="1432"/>
      <c r="F985" s="1432"/>
      <c r="G985" s="1432"/>
      <c r="H985" s="1432"/>
      <c r="I985" s="1432"/>
      <c r="J985" s="1432"/>
      <c r="K985" s="1432"/>
      <c r="L985" s="1432"/>
      <c r="M985" s="1432"/>
      <c r="N985" s="1432"/>
      <c r="O985" s="1432"/>
      <c r="P985" s="1432"/>
      <c r="Q985" s="1432"/>
      <c r="R985" s="1432"/>
      <c r="S985" s="1432"/>
      <c r="T985" s="1432"/>
      <c r="U985" s="1432"/>
      <c r="V985" s="1432"/>
      <c r="W985" s="1432"/>
      <c r="X985" s="152"/>
      <c r="Y985" s="152"/>
      <c r="Z985" s="152"/>
      <c r="AA985" s="152"/>
      <c r="AB985" s="152"/>
    </row>
    <row r="986" spans="1:28">
      <c r="A986" s="215">
        <f>VALUE(REPLACE(A985,1,12,""))</f>
        <v>19</v>
      </c>
      <c r="B986" s="193" t="s">
        <v>126</v>
      </c>
      <c r="C986" s="1416">
        <f ca="1">IF($C$8='Capital Base roll forward'!$H$4,OFFSET('Capital Base roll forward'!$H$717,'RAB remaining lives'!A986,0),"enter input")</f>
        <v>0</v>
      </c>
      <c r="D986" s="1417">
        <f>IF(LEFT(D$6,4)&lt;LEFT('RFM input'!$G$60,4),"enter input",IF(LEFT(D$6,4)&gt;LEFT('RFM input'!$Q$60,4),0,INDEX('RFM input'!$G$61:$Q$110,$A986,MATCH(D$6,'RFM input'!$G$60:$Q$60,0))
-INDEX('RFM input'!$G$115:$Q$164,$A986,MATCH(D$6,'RFM input'!$G$60:$Q$60,0))
-INDEX('RFM input'!$G$169:$Q$218,$A986,MATCH(D$6,'RFM input'!$G$60:$Q$60,0))))</f>
        <v>0</v>
      </c>
      <c r="E986" s="1417">
        <f>IF(LEFT(E$6,4)&lt;LEFT('RFM input'!$G$60,4),"enter input",IF(LEFT(E$6,4)&gt;LEFT('RFM input'!$Q$60,4),0,INDEX('RFM input'!$G$61:$Q$110,$A986,MATCH(E$6,'RFM input'!$G$60:$Q$60,0))
-INDEX('RFM input'!$G$115:$Q$164,$A986,MATCH(E$6,'RFM input'!$G$60:$Q$60,0))
-INDEX('RFM input'!$G$169:$Q$218,$A986,MATCH(E$6,'RFM input'!$G$60:$Q$60,0))))</f>
        <v>0</v>
      </c>
      <c r="F986" s="1417">
        <f>IF(LEFT(F$6,4)&lt;LEFT('RFM input'!$G$60,4),"enter input",IF(LEFT(F$6,4)&gt;LEFT('RFM input'!$Q$60,4),0,INDEX('RFM input'!$G$61:$Q$110,$A986,MATCH(F$6,'RFM input'!$G$60:$Q$60,0))
-INDEX('RFM input'!$G$115:$Q$164,$A986,MATCH(F$6,'RFM input'!$G$60:$Q$60,0))
-INDEX('RFM input'!$G$169:$Q$218,$A986,MATCH(F$6,'RFM input'!$G$60:$Q$60,0))))</f>
        <v>0</v>
      </c>
      <c r="G986" s="1417">
        <f>IF(LEFT(G$6,4)&lt;LEFT('RFM input'!$G$60,4),"enter input",IF(LEFT(G$6,4)&gt;LEFT('RFM input'!$Q$60,4),0,INDEX('RFM input'!$G$61:$Q$110,$A986,MATCH(G$6,'RFM input'!$G$60:$Q$60,0))
-INDEX('RFM input'!$G$115:$Q$164,$A986,MATCH(G$6,'RFM input'!$G$60:$Q$60,0))
-INDEX('RFM input'!$G$169:$Q$218,$A986,MATCH(G$6,'RFM input'!$G$60:$Q$60,0))))</f>
        <v>0</v>
      </c>
      <c r="H986" s="1417">
        <f>IF(LEFT(H$6,4)&lt;LEFT('RFM input'!$G$60,4),"enter input",IF(LEFT(H$6,4)&gt;LEFT('RFM input'!$Q$60,4),0,INDEX('RFM input'!$G$61:$Q$110,$A986,MATCH(H$6,'RFM input'!$G$60:$Q$60,0))
-INDEX('RFM input'!$G$115:$Q$164,$A986,MATCH(H$6,'RFM input'!$G$60:$Q$60,0))
-INDEX('RFM input'!$G$169:$Q$218,$A986,MATCH(H$6,'RFM input'!$G$60:$Q$60,0))))</f>
        <v>0</v>
      </c>
      <c r="I986" s="1417">
        <f>IF(LEFT(I$6,4)&lt;LEFT('RFM input'!$G$60,4),"enter input",IF(LEFT(I$6,4)&gt;LEFT('RFM input'!$Q$60,4),0,INDEX('RFM input'!$G$61:$Q$110,$A986,MATCH(I$6,'RFM input'!$G$60:$Q$60,0))
-INDEX('RFM input'!$G$115:$Q$164,$A986,MATCH(I$6,'RFM input'!$G$60:$Q$60,0))
-INDEX('RFM input'!$G$169:$Q$218,$A986,MATCH(I$6,'RFM input'!$G$60:$Q$60,0))))</f>
        <v>0</v>
      </c>
      <c r="J986" s="1417">
        <f>IF(LEFT(J$6,4)&lt;LEFT('RFM input'!$G$60,4),"enter input",IF(LEFT(J$6,4)&gt;LEFT('RFM input'!$Q$60,4),0,INDEX('RFM input'!$G$61:$Q$110,$A986,MATCH(J$6,'RFM input'!$G$60:$Q$60,0))
-INDEX('RFM input'!$G$115:$Q$164,$A986,MATCH(J$6,'RFM input'!$G$60:$Q$60,0))
-INDEX('RFM input'!$G$169:$Q$218,$A986,MATCH(J$6,'RFM input'!$G$60:$Q$60,0))))</f>
        <v>0</v>
      </c>
      <c r="K986" s="1417">
        <f>IF(LEFT(K$6,4)&lt;LEFT('RFM input'!$G$60,4),"enter input",IF(LEFT(K$6,4)&gt;LEFT('RFM input'!$Q$60,4),0,INDEX('RFM input'!$G$61:$Q$110,$A986,MATCH(K$6,'RFM input'!$G$60:$Q$60,0))
-INDEX('RFM input'!$G$115:$Q$164,$A986,MATCH(K$6,'RFM input'!$G$60:$Q$60,0))
-INDEX('RFM input'!$G$169:$Q$218,$A986,MATCH(K$6,'RFM input'!$G$60:$Q$60,0))))</f>
        <v>0</v>
      </c>
      <c r="L986" s="1417">
        <f>IF(LEFT(L$6,4)&lt;LEFT('RFM input'!$G$60,4),"enter input",IF(LEFT(L$6,4)&gt;LEFT('RFM input'!$Q$60,4),0,INDEX('RFM input'!$G$61:$Q$110,$A986,MATCH(L$6,'RFM input'!$G$60:$Q$60,0))
-INDEX('RFM input'!$G$115:$Q$164,$A986,MATCH(L$6,'RFM input'!$G$60:$Q$60,0))
-INDEX('RFM input'!$G$169:$Q$218,$A986,MATCH(L$6,'RFM input'!$G$60:$Q$60,0))))</f>
        <v>0</v>
      </c>
      <c r="M986" s="1417">
        <f>IF(LEFT(M$6,4)&lt;LEFT('RFM input'!$G$60,4),"enter input",IF(LEFT(M$6,4)&gt;LEFT('RFM input'!$Q$60,4),0,INDEX('RFM input'!$G$61:$Q$110,$A986,MATCH(M$6,'RFM input'!$G$60:$Q$60,0))
-INDEX('RFM input'!$G$115:$Q$164,$A986,MATCH(M$6,'RFM input'!$G$60:$Q$60,0))
-INDEX('RFM input'!$G$169:$Q$218,$A986,MATCH(M$6,'RFM input'!$G$60:$Q$60,0))))</f>
        <v>0</v>
      </c>
      <c r="N986" s="1417">
        <f>IF(LEFT(N$6,4)&lt;LEFT('RFM input'!$G$60,4),"enter input",IF(LEFT(N$6,4)&gt;LEFT('RFM input'!$Q$60,4),0,INDEX('RFM input'!$G$61:$Q$110,$A986,MATCH(N$6,'RFM input'!$G$60:$Q$60,0))
-INDEX('RFM input'!$G$115:$Q$164,$A986,MATCH(N$6,'RFM input'!$G$60:$Q$60,0))
-INDEX('RFM input'!$G$169:$Q$218,$A986,MATCH(N$6,'RFM input'!$G$60:$Q$60,0))))</f>
        <v>0</v>
      </c>
      <c r="O986" s="1417">
        <f>IF(LEFT(O$6,4)&lt;LEFT('RFM input'!$G$60,4),"enter input",IF(LEFT(O$6,4)&gt;LEFT('RFM input'!$Q$60,4),0,INDEX('RFM input'!$G$61:$Q$110,$A986,MATCH(O$6,'RFM input'!$G$60:$Q$60,0))
-INDEX('RFM input'!$G$115:$Q$164,$A986,MATCH(O$6,'RFM input'!$G$60:$Q$60,0))
-INDEX('RFM input'!$G$169:$Q$218,$A986,MATCH(O$6,'RFM input'!$G$60:$Q$60,0))))</f>
        <v>0</v>
      </c>
      <c r="P986" s="1417">
        <f>IF(LEFT(P$6,4)&lt;LEFT('RFM input'!$G$60,4),"enter input",IF(LEFT(P$6,4)&gt;LEFT('RFM input'!$Q$60,4),0,INDEX('RFM input'!$G$61:$Q$110,$A986,MATCH(P$6,'RFM input'!$G$60:$Q$60,0))
-INDEX('RFM input'!$G$115:$Q$164,$A986,MATCH(P$6,'RFM input'!$G$60:$Q$60,0))
-INDEX('RFM input'!$G$169:$Q$218,$A986,MATCH(P$6,'RFM input'!$G$60:$Q$60,0))))</f>
        <v>0</v>
      </c>
      <c r="Q986" s="1417">
        <f>IF(LEFT(Q$6,4)&lt;LEFT('RFM input'!$G$60,4),"enter input",IF(LEFT(Q$6,4)&gt;LEFT('RFM input'!$Q$60,4),0,INDEX('RFM input'!$G$61:$Q$110,$A986,MATCH(Q$6,'RFM input'!$G$60:$Q$60,0))
-INDEX('RFM input'!$G$115:$Q$164,$A986,MATCH(Q$6,'RFM input'!$G$60:$Q$60,0))
-INDEX('RFM input'!$G$169:$Q$218,$A986,MATCH(Q$6,'RFM input'!$G$60:$Q$60,0))))</f>
        <v>0</v>
      </c>
      <c r="R986" s="1417">
        <f>IF(LEFT(R$6,4)&lt;LEFT('RFM input'!$G$60,4),"enter input",IF(LEFT(R$6,4)&gt;LEFT('RFM input'!$Q$60,4),0,INDEX('RFM input'!$G$61:$Q$110,$A986,MATCH(R$6,'RFM input'!$G$60:$Q$60,0))
-INDEX('RFM input'!$G$115:$Q$164,$A986,MATCH(R$6,'RFM input'!$G$60:$Q$60,0))
-INDEX('RFM input'!$G$169:$Q$218,$A986,MATCH(R$6,'RFM input'!$G$60:$Q$60,0))))</f>
        <v>0</v>
      </c>
      <c r="S986" s="1417">
        <f>IF(LEFT(S$6,4)&lt;LEFT('RFM input'!$G$60,4),"enter input",IF(LEFT(S$6,4)&gt;LEFT('RFM input'!$Q$60,4),0,INDEX('RFM input'!$G$61:$Q$110,$A986,MATCH(S$6,'RFM input'!$G$60:$Q$60,0))
-INDEX('RFM input'!$G$115:$Q$164,$A986,MATCH(S$6,'RFM input'!$G$60:$Q$60,0))
-INDEX('RFM input'!$G$169:$Q$218,$A986,MATCH(S$6,'RFM input'!$G$60:$Q$60,0))))</f>
        <v>0</v>
      </c>
      <c r="T986" s="1417">
        <f>IF(LEFT(T$6,4)&lt;LEFT('RFM input'!$G$60,4),"enter input",IF(LEFT(T$6,4)&gt;LEFT('RFM input'!$Q$60,4),0,INDEX('RFM input'!$G$61:$Q$110,$A986,MATCH(T$6,'RFM input'!$G$60:$Q$60,0))
-INDEX('RFM input'!$G$115:$Q$164,$A986,MATCH(T$6,'RFM input'!$G$60:$Q$60,0))
-INDEX('RFM input'!$G$169:$Q$218,$A986,MATCH(T$6,'RFM input'!$G$60:$Q$60,0))))</f>
        <v>0</v>
      </c>
      <c r="U986" s="1417">
        <f>IF(LEFT(U$6,4)&lt;LEFT('RFM input'!$G$60,4),"enter input",IF(LEFT(U$6,4)&gt;LEFT('RFM input'!$Q$60,4),0,INDEX('RFM input'!$G$61:$Q$110,$A986,MATCH(U$6,'RFM input'!$G$60:$Q$60,0))
-INDEX('RFM input'!$G$115:$Q$164,$A986,MATCH(U$6,'RFM input'!$G$60:$Q$60,0))
-INDEX('RFM input'!$G$169:$Q$218,$A986,MATCH(U$6,'RFM input'!$G$60:$Q$60,0))))</f>
        <v>0</v>
      </c>
      <c r="V986" s="1417">
        <f>IF(LEFT(V$6,4)&lt;LEFT('RFM input'!$G$60,4),"enter input",IF(LEFT(V$6,4)&gt;LEFT('RFM input'!$Q$60,4),0,INDEX('RFM input'!$G$61:$Q$110,$A986,MATCH(V$6,'RFM input'!$G$60:$Q$60,0))
-INDEX('RFM input'!$G$115:$Q$164,$A986,MATCH(V$6,'RFM input'!$G$60:$Q$60,0))
-INDEX('RFM input'!$G$169:$Q$218,$A986,MATCH(V$6,'RFM input'!$G$60:$Q$60,0))))</f>
        <v>0</v>
      </c>
      <c r="W986" s="1417">
        <f>IF(LEFT(W$6,4)&lt;LEFT('RFM input'!$G$60,4),"enter input",IF(LEFT(W$6,4)&gt;LEFT('RFM input'!$Q$60,4),0,INDEX('RFM input'!$G$61:$Q$110,$A986,MATCH(W$6,'RFM input'!$G$60:$Q$60,0))
-INDEX('RFM input'!$G$115:$Q$164,$A986,MATCH(W$6,'RFM input'!$G$60:$Q$60,0))
-INDEX('RFM input'!$G$169:$Q$218,$A986,MATCH(W$6,'RFM input'!$G$60:$Q$60,0))))</f>
        <v>0</v>
      </c>
      <c r="X986" s="152"/>
      <c r="Y986" s="152"/>
      <c r="Z986" s="152"/>
      <c r="AA986" s="152"/>
      <c r="AB986" s="152"/>
    </row>
    <row r="987" spans="1:28">
      <c r="A987" s="152"/>
      <c r="B987" s="152" t="s">
        <v>204</v>
      </c>
      <c r="C987" s="1418">
        <f ca="1">IF($C$8='Capital Base roll forward'!$H$4,OFFSET('RFM input'!$J$6,'RAB remaining lives'!A986,0),"enter input")</f>
        <v>0</v>
      </c>
      <c r="D987" s="1417">
        <f>IF(LEFT(D$6,4)&lt;=LEFT('RFM input'!$G$60,4),"enter input",IF(LEFT(D$6,4)&gt;LEFT('RFM input'!$Q$60,4),0,IF(MATCH(D$6,'RFM input'!$H$60:$Q$60,0),INDEX('RFM input'!$K$7:$K$56,$A986,1))))</f>
        <v>0</v>
      </c>
      <c r="E987" s="1417">
        <f>IF(LEFT(E$6,4)&lt;=LEFT('RFM input'!$G$60,4),"enter input",IF(LEFT(E$6,4)&gt;LEFT('RFM input'!$Q$60,4),0,IF(MATCH(E$6,'RFM input'!$H$60:$Q$60,0),INDEX('RFM input'!$K$7:$K$56,$A986,1))))</f>
        <v>0</v>
      </c>
      <c r="F987" s="1417">
        <f>IF(LEFT(F$6,4)&lt;=LEFT('RFM input'!$G$60,4),"enter input",IF(LEFT(F$6,4)&gt;LEFT('RFM input'!$Q$60,4),0,IF(MATCH(F$6,'RFM input'!$H$60:$Q$60,0),INDEX('RFM input'!$K$7:$K$56,$A986,1))))</f>
        <v>0</v>
      </c>
      <c r="G987" s="1417">
        <f>IF(LEFT(G$6,4)&lt;=LEFT('RFM input'!$G$60,4),"enter input",IF(LEFT(G$6,4)&gt;LEFT('RFM input'!$Q$60,4),0,IF(MATCH(G$6,'RFM input'!$H$60:$Q$60,0),INDEX('RFM input'!$K$7:$K$56,$A986,1))))</f>
        <v>0</v>
      </c>
      <c r="H987" s="1417">
        <f>IF(LEFT(H$6,4)&lt;=LEFT('RFM input'!$G$60,4),"enter input",IF(LEFT(H$6,4)&gt;LEFT('RFM input'!$Q$60,4),0,IF(MATCH(H$6,'RFM input'!$H$60:$Q$60,0),INDEX('RFM input'!$K$7:$K$56,$A986,1))))</f>
        <v>0</v>
      </c>
      <c r="I987" s="1417">
        <f>IF(LEFT(I$6,4)&lt;=LEFT('RFM input'!$G$60,4),"enter input",IF(LEFT(I$6,4)&gt;LEFT('RFM input'!$Q$60,4),0,IF(MATCH(I$6,'RFM input'!$H$60:$Q$60,0),INDEX('RFM input'!$K$7:$K$56,$A986,1))))</f>
        <v>0</v>
      </c>
      <c r="J987" s="1417">
        <f>IF(LEFT(J$6,4)&lt;=LEFT('RFM input'!$G$60,4),"enter input",IF(LEFT(J$6,4)&gt;LEFT('RFM input'!$Q$60,4),0,IF(MATCH(J$6,'RFM input'!$H$60:$Q$60,0),INDEX('RFM input'!$K$7:$K$56,$A986,1))))</f>
        <v>0</v>
      </c>
      <c r="K987" s="1417">
        <f>IF(LEFT(K$6,4)&lt;=LEFT('RFM input'!$G$60,4),"enter input",IF(LEFT(K$6,4)&gt;LEFT('RFM input'!$Q$60,4),0,IF(MATCH(K$6,'RFM input'!$H$60:$Q$60,0),INDEX('RFM input'!$K$7:$K$56,$A986,1))))</f>
        <v>0</v>
      </c>
      <c r="L987" s="1417">
        <f>IF(LEFT(L$6,4)&lt;=LEFT('RFM input'!$G$60,4),"enter input",IF(LEFT(L$6,4)&gt;LEFT('RFM input'!$Q$60,4),0,IF(MATCH(L$6,'RFM input'!$H$60:$Q$60,0),INDEX('RFM input'!$K$7:$K$56,$A986,1))))</f>
        <v>0</v>
      </c>
      <c r="M987" s="1417">
        <f>IF(LEFT(M$6,4)&lt;=LEFT('RFM input'!$G$60,4),"enter input",IF(LEFT(M$6,4)&gt;LEFT('RFM input'!$Q$60,4),0,IF(MATCH(M$6,'RFM input'!$H$60:$Q$60,0),INDEX('RFM input'!$K$7:$K$56,$A986,1))))</f>
        <v>0</v>
      </c>
      <c r="N987" s="1417">
        <f>IF(LEFT(N$6,4)&lt;=LEFT('RFM input'!$G$60,4),"enter input",IF(LEFT(N$6,4)&gt;LEFT('RFM input'!$Q$60,4),0,IF(MATCH(N$6,'RFM input'!$H$60:$Q$60,0),INDEX('RFM input'!$K$7:$K$56,$A986,1))))</f>
        <v>0</v>
      </c>
      <c r="O987" s="1417">
        <f>IF(LEFT(O$6,4)&lt;=LEFT('RFM input'!$G$60,4),"enter input",IF(LEFT(O$6,4)&gt;LEFT('RFM input'!$Q$60,4),0,IF(MATCH(O$6,'RFM input'!$H$60:$Q$60,0),INDEX('RFM input'!$K$7:$K$56,$A986,1))))</f>
        <v>0</v>
      </c>
      <c r="P987" s="1417">
        <f>IF(LEFT(P$6,4)&lt;=LEFT('RFM input'!$G$60,4),"enter input",IF(LEFT(P$6,4)&gt;LEFT('RFM input'!$Q$60,4),0,IF(MATCH(P$6,'RFM input'!$H$60:$Q$60,0),INDEX('RFM input'!$K$7:$K$56,$A986,1))))</f>
        <v>0</v>
      </c>
      <c r="Q987" s="1417">
        <f>IF(LEFT(Q$6,4)&lt;=LEFT('RFM input'!$G$60,4),"enter input",IF(LEFT(Q$6,4)&gt;LEFT('RFM input'!$Q$60,4),0,IF(MATCH(Q$6,'RFM input'!$H$60:$Q$60,0),INDEX('RFM input'!$K$7:$K$56,$A986,1))))</f>
        <v>0</v>
      </c>
      <c r="R987" s="1417">
        <f>IF(LEFT(R$6,4)&lt;=LEFT('RFM input'!$G$60,4),"enter input",IF(LEFT(R$6,4)&gt;LEFT('RFM input'!$Q$60,4),0,IF(MATCH(R$6,'RFM input'!$H$60:$Q$60,0),INDEX('RFM input'!$K$7:$K$56,$A986,1))))</f>
        <v>0</v>
      </c>
      <c r="S987" s="1417">
        <f>IF(LEFT(S$6,4)&lt;=LEFT('RFM input'!$G$60,4),"enter input",IF(LEFT(S$6,4)&gt;LEFT('RFM input'!$Q$60,4),0,IF(MATCH(S$6,'RFM input'!$H$60:$Q$60,0),INDEX('RFM input'!$K$7:$K$56,$A986,1))))</f>
        <v>0</v>
      </c>
      <c r="T987" s="1417">
        <f>IF(LEFT(T$6,4)&lt;=LEFT('RFM input'!$G$60,4),"enter input",IF(LEFT(T$6,4)&gt;LEFT('RFM input'!$Q$60,4),0,IF(MATCH(T$6,'RFM input'!$H$60:$Q$60,0),INDEX('RFM input'!$K$7:$K$56,$A986,1))))</f>
        <v>0</v>
      </c>
      <c r="U987" s="1417">
        <f>IF(LEFT(U$6,4)&lt;=LEFT('RFM input'!$G$60,4),"enter input",IF(LEFT(U$6,4)&gt;LEFT('RFM input'!$Q$60,4),0,IF(MATCH(U$6,'RFM input'!$H$60:$Q$60,0),INDEX('RFM input'!$K$7:$K$56,$A986,1))))</f>
        <v>0</v>
      </c>
      <c r="V987" s="1417">
        <f>IF(LEFT(V$6,4)&lt;=LEFT('RFM input'!$G$60,4),"enter input",IF(LEFT(V$6,4)&gt;LEFT('RFM input'!$Q$60,4),0,IF(MATCH(V$6,'RFM input'!$H$60:$Q$60,0),INDEX('RFM input'!$K$7:$K$56,$A986,1))))</f>
        <v>0</v>
      </c>
      <c r="W987" s="1417">
        <f>IF(LEFT(W$6,4)&lt;=LEFT('RFM input'!$G$60,4),"enter input",IF(LEFT(W$6,4)&gt;LEFT('RFM input'!$Q$60,4),0,IF(MATCH(W$6,'RFM input'!$H$60:$Q$60,0),INDEX('RFM input'!$K$7:$K$56,$A986,1))))</f>
        <v>0</v>
      </c>
      <c r="X987" s="152"/>
      <c r="Y987" s="152"/>
      <c r="Z987" s="152"/>
      <c r="AA987" s="152"/>
      <c r="AB987" s="152"/>
    </row>
    <row r="988" spans="1:28">
      <c r="A988" s="152"/>
      <c r="B988" s="177" t="s">
        <v>191</v>
      </c>
      <c r="C988" s="1419"/>
      <c r="D988" s="1420">
        <f ca="1">IF(LEFT(D$6,4)&lt;=LEFT('RFM input'!$G$60,4),"enter input",IF(LEFT(D$6,4)&gt;LEFT('RFM input'!$Q$60,4),0,IF(D$6=(OFFSET('RFM input'!$G$60,0,'RFM input'!$V$7)),OFFSET('RFM input'!$G$411,$A986,0),0)))</f>
        <v>0</v>
      </c>
      <c r="E988" s="1417">
        <f ca="1">IF(LEFT(E$6,4)&lt;=LEFT('RFM input'!$G$60,4),"enter input",IF(LEFT(E$6,4)&gt;LEFT('RFM input'!$Q$60,4),0,IF(E$6=(OFFSET('RFM input'!$G$60,0,'RFM input'!$V$7)),OFFSET('RFM input'!$G$411,$A986,0),0)))</f>
        <v>0</v>
      </c>
      <c r="F988" s="1417">
        <f ca="1">IF(LEFT(F$6,4)&lt;=LEFT('RFM input'!$G$60,4),"enter input",IF(LEFT(F$6,4)&gt;LEFT('RFM input'!$Q$60,4),0,IF(F$6=(OFFSET('RFM input'!$G$60,0,'RFM input'!$V$7)),OFFSET('RFM input'!$G$411,$A986,0),0)))</f>
        <v>0</v>
      </c>
      <c r="G988" s="1417">
        <f ca="1">IF(LEFT(G$6,4)&lt;=LEFT('RFM input'!$G$60,4),"enter input",IF(LEFT(G$6,4)&gt;LEFT('RFM input'!$Q$60,4),0,IF(G$6=(OFFSET('RFM input'!$G$60,0,'RFM input'!$V$7)),OFFSET('RFM input'!$G$411,$A986,0),0)))</f>
        <v>0</v>
      </c>
      <c r="H988" s="1417">
        <f ca="1">IF(LEFT(H$6,4)&lt;=LEFT('RFM input'!$G$60,4),"enter input",IF(LEFT(H$6,4)&gt;LEFT('RFM input'!$Q$60,4),0,IF(H$6=(OFFSET('RFM input'!$G$60,0,'RFM input'!$V$7)),OFFSET('RFM input'!$G$411,$A986,0),0)))</f>
        <v>0</v>
      </c>
      <c r="I988" s="1417">
        <f ca="1">IF(LEFT(I$6,4)&lt;=LEFT('RFM input'!$G$60,4),"enter input",IF(LEFT(I$6,4)&gt;LEFT('RFM input'!$Q$60,4),0,IF(I$6=(OFFSET('RFM input'!$G$60,0,'RFM input'!$V$7)),OFFSET('RFM input'!$G$411,$A986,0),0)))</f>
        <v>0</v>
      </c>
      <c r="J988" s="1417">
        <f ca="1">IF(LEFT(J$6,4)&lt;=LEFT('RFM input'!$G$60,4),"enter input",IF(LEFT(J$6,4)&gt;LEFT('RFM input'!$Q$60,4),0,IF(J$6=(OFFSET('RFM input'!$G$60,0,'RFM input'!$V$7)),OFFSET('RFM input'!$G$411,$A986,0),0)))</f>
        <v>0</v>
      </c>
      <c r="K988" s="1417">
        <f ca="1">IF(LEFT(K$6,4)&lt;=LEFT('RFM input'!$G$60,4),"enter input",IF(LEFT(K$6,4)&gt;LEFT('RFM input'!$Q$60,4),0,IF(K$6=(OFFSET('RFM input'!$G$60,0,'RFM input'!$V$7)),OFFSET('RFM input'!$G$411,$A986,0),0)))</f>
        <v>0</v>
      </c>
      <c r="L988" s="1417">
        <f ca="1">IF(LEFT(L$6,4)&lt;=LEFT('RFM input'!$G$60,4),"enter input",IF(LEFT(L$6,4)&gt;LEFT('RFM input'!$Q$60,4),0,IF(L$6=(OFFSET('RFM input'!$G$60,0,'RFM input'!$V$7)),OFFSET('RFM input'!$G$411,$A986,0),0)))</f>
        <v>0</v>
      </c>
      <c r="M988" s="1417">
        <f ca="1">IF(LEFT(M$6,4)&lt;=LEFT('RFM input'!$G$60,4),"enter input",IF(LEFT(M$6,4)&gt;LEFT('RFM input'!$Q$60,4),0,IF(M$6=(OFFSET('RFM input'!$G$60,0,'RFM input'!$V$7)),OFFSET('RFM input'!$G$411,$A986,0),0)))</f>
        <v>0</v>
      </c>
      <c r="N988" s="1417">
        <f ca="1">IF(LEFT(N$6,4)&lt;=LEFT('RFM input'!$G$60,4),"enter input",IF(LEFT(N$6,4)&gt;LEFT('RFM input'!$Q$60,4),0,IF(N$6=(OFFSET('RFM input'!$G$60,0,'RFM input'!$V$7)),OFFSET('RFM input'!$G$411,$A986,0),0)))</f>
        <v>0</v>
      </c>
      <c r="O988" s="1417">
        <f ca="1">IF(LEFT(O$6,4)&lt;=LEFT('RFM input'!$G$60,4),"enter input",IF(LEFT(O$6,4)&gt;LEFT('RFM input'!$Q$60,4),0,IF(O$6=(OFFSET('RFM input'!$G$60,0,'RFM input'!$V$7)),OFFSET('RFM input'!$G$411,$A986,0),0)))</f>
        <v>0</v>
      </c>
      <c r="P988" s="1417">
        <f ca="1">IF(LEFT(P$6,4)&lt;=LEFT('RFM input'!$G$60,4),"enter input",IF(LEFT(P$6,4)&gt;LEFT('RFM input'!$Q$60,4),0,IF(P$6=(OFFSET('RFM input'!$G$60,0,'RFM input'!$V$7)),OFFSET('RFM input'!$G$411,$A986,0),0)))</f>
        <v>0</v>
      </c>
      <c r="Q988" s="1417">
        <f ca="1">IF(LEFT(Q$6,4)&lt;=LEFT('RFM input'!$G$60,4),"enter input",IF(LEFT(Q$6,4)&gt;LEFT('RFM input'!$Q$60,4),0,IF(Q$6=(OFFSET('RFM input'!$G$60,0,'RFM input'!$V$7)),OFFSET('RFM input'!$G$411,$A986,0),0)))</f>
        <v>0</v>
      </c>
      <c r="R988" s="1417">
        <f ca="1">IF(LEFT(R$6,4)&lt;=LEFT('RFM input'!$G$60,4),"enter input",IF(LEFT(R$6,4)&gt;LEFT('RFM input'!$Q$60,4),0,IF(R$6=(OFFSET('RFM input'!$G$60,0,'RFM input'!$V$7)),OFFSET('RFM input'!$G$411,$A986,0),0)))</f>
        <v>0</v>
      </c>
      <c r="S988" s="1417">
        <f ca="1">IF(LEFT(S$6,4)&lt;=LEFT('RFM input'!$G$60,4),"enter input",IF(LEFT(S$6,4)&gt;LEFT('RFM input'!$Q$60,4),0,IF(S$6=(OFFSET('RFM input'!$G$60,0,'RFM input'!$V$7)),OFFSET('RFM input'!$G$411,$A986,0),0)))</f>
        <v>0</v>
      </c>
      <c r="T988" s="1417">
        <f ca="1">IF(LEFT(T$6,4)&lt;=LEFT('RFM input'!$G$60,4),"enter input",IF(LEFT(T$6,4)&gt;LEFT('RFM input'!$Q$60,4),0,IF(T$6=(OFFSET('RFM input'!$G$60,0,'RFM input'!$V$7)),OFFSET('RFM input'!$G$411,$A986,0),0)))</f>
        <v>0</v>
      </c>
      <c r="U988" s="1417">
        <f ca="1">IF(LEFT(U$6,4)&lt;=LEFT('RFM input'!$G$60,4),"enter input",IF(LEFT(U$6,4)&gt;LEFT('RFM input'!$Q$60,4),0,IF(U$6=(OFFSET('RFM input'!$G$60,0,'RFM input'!$V$7)),OFFSET('RFM input'!$G$411,$A986,0),0)))</f>
        <v>0</v>
      </c>
      <c r="V988" s="1417">
        <f ca="1">IF(LEFT(V$6,4)&lt;=LEFT('RFM input'!$G$60,4),"enter input",IF(LEFT(V$6,4)&gt;LEFT('RFM input'!$Q$60,4),0,IF(V$6=(OFFSET('RFM input'!$G$60,0,'RFM input'!$V$7)),OFFSET('RFM input'!$G$411,$A986,0),0)))</f>
        <v>0</v>
      </c>
      <c r="W988" s="1417">
        <f ca="1">IF(LEFT(W$6,4)&lt;=LEFT('RFM input'!$G$60,4),"enter input",IF(LEFT(W$6,4)&gt;LEFT('RFM input'!$Q$60,4),0,IF(W$6=(OFFSET('RFM input'!$G$60,0,'RFM input'!$V$7)),OFFSET('RFM input'!$G$411,$A986,0),0)))</f>
        <v>0</v>
      </c>
      <c r="X988" s="152"/>
      <c r="Y988" s="152"/>
      <c r="Z988" s="152"/>
      <c r="AA988" s="152"/>
      <c r="AB988" s="152"/>
    </row>
    <row r="989" spans="1:28">
      <c r="A989" s="152"/>
      <c r="B989" s="195" t="s">
        <v>197</v>
      </c>
      <c r="C989" s="1419"/>
      <c r="D989" s="1418">
        <f ca="1">IF(LEFT(D$6,4)&lt;=LEFT('RFM input'!$G$60,4),"enter input",IF(LEFT(D$6,4)&gt;LEFT('RFM input'!$Q$60,4),0,IF(D$6=(OFFSET('RFM input'!$G$60,0,'RFM input'!$V$7)),OFFSET('RFM input'!$I$411,$A986,0),0)))</f>
        <v>0</v>
      </c>
      <c r="E989" s="1422">
        <f ca="1">IF(LEFT(E$6,4)&lt;=LEFT('RFM input'!$G$60,4),"enter input",IF(LEFT(E$6,4)&gt;LEFT('RFM input'!$Q$60,4),0,IF(E$6=(OFFSET('RFM input'!$G$60,0,'RFM input'!$V$7)),OFFSET('RFM input'!$I$411,$A986,0),0)))</f>
        <v>0</v>
      </c>
      <c r="F989" s="1422">
        <f ca="1">IF(LEFT(F$6,4)&lt;=LEFT('RFM input'!$G$60,4),"enter input",IF(LEFT(F$6,4)&gt;LEFT('RFM input'!$Q$60,4),0,IF(F$6=(OFFSET('RFM input'!$G$60,0,'RFM input'!$V$7)),OFFSET('RFM input'!$I$411,$A986,0),0)))</f>
        <v>0</v>
      </c>
      <c r="G989" s="1422">
        <f ca="1">IF(LEFT(G$6,4)&lt;=LEFT('RFM input'!$G$60,4),"enter input",IF(LEFT(G$6,4)&gt;LEFT('RFM input'!$Q$60,4),0,IF(G$6=(OFFSET('RFM input'!$G$60,0,'RFM input'!$V$7)),OFFSET('RFM input'!$I$411,$A986,0),0)))</f>
        <v>0</v>
      </c>
      <c r="H989" s="1422">
        <f ca="1">IF(LEFT(H$6,4)&lt;=LEFT('RFM input'!$G$60,4),"enter input",IF(LEFT(H$6,4)&gt;LEFT('RFM input'!$Q$60,4),0,IF(H$6=(OFFSET('RFM input'!$G$60,0,'RFM input'!$V$7)),OFFSET('RFM input'!$I$411,$A986,0),0)))</f>
        <v>0</v>
      </c>
      <c r="I989" s="1422">
        <f ca="1">IF(LEFT(I$6,4)&lt;=LEFT('RFM input'!$G$60,4),"enter input",IF(LEFT(I$6,4)&gt;LEFT('RFM input'!$Q$60,4),0,IF(I$6=(OFFSET('RFM input'!$G$60,0,'RFM input'!$V$7)),OFFSET('RFM input'!$I$411,$A986,0),0)))</f>
        <v>0</v>
      </c>
      <c r="J989" s="1422">
        <f ca="1">IF(LEFT(J$6,4)&lt;=LEFT('RFM input'!$G$60,4),"enter input",IF(LEFT(J$6,4)&gt;LEFT('RFM input'!$Q$60,4),0,IF(J$6=(OFFSET('RFM input'!$G$60,0,'RFM input'!$V$7)),OFFSET('RFM input'!$I$411,$A986,0),0)))</f>
        <v>0</v>
      </c>
      <c r="K989" s="1422">
        <f ca="1">IF(LEFT(K$6,4)&lt;=LEFT('RFM input'!$G$60,4),"enter input",IF(LEFT(K$6,4)&gt;LEFT('RFM input'!$Q$60,4),0,IF(K$6=(OFFSET('RFM input'!$G$60,0,'RFM input'!$V$7)),OFFSET('RFM input'!$I$411,$A986,0),0)))</f>
        <v>0</v>
      </c>
      <c r="L989" s="1422">
        <f ca="1">IF(LEFT(L$6,4)&lt;=LEFT('RFM input'!$G$60,4),"enter input",IF(LEFT(L$6,4)&gt;LEFT('RFM input'!$Q$60,4),0,IF(L$6=(OFFSET('RFM input'!$G$60,0,'RFM input'!$V$7)),OFFSET('RFM input'!$I$411,$A986,0),0)))</f>
        <v>0</v>
      </c>
      <c r="M989" s="1422">
        <f ca="1">IF(LEFT(M$6,4)&lt;=LEFT('RFM input'!$G$60,4),"enter input",IF(LEFT(M$6,4)&gt;LEFT('RFM input'!$Q$60,4),0,IF(M$6=(OFFSET('RFM input'!$G$60,0,'RFM input'!$V$7)),OFFSET('RFM input'!$I$411,$A986,0),0)))</f>
        <v>0</v>
      </c>
      <c r="N989" s="1422">
        <f ca="1">IF(LEFT(N$6,4)&lt;=LEFT('RFM input'!$G$60,4),"enter input",IF(LEFT(N$6,4)&gt;LEFT('RFM input'!$Q$60,4),0,IF(N$6=(OFFSET('RFM input'!$G$60,0,'RFM input'!$V$7)),OFFSET('RFM input'!$I$411,$A986,0),0)))</f>
        <v>0</v>
      </c>
      <c r="O989" s="1422">
        <f ca="1">IF(LEFT(O$6,4)&lt;=LEFT('RFM input'!$G$60,4),"enter input",IF(LEFT(O$6,4)&gt;LEFT('RFM input'!$Q$60,4),0,IF(O$6=(OFFSET('RFM input'!$G$60,0,'RFM input'!$V$7)),OFFSET('RFM input'!$I$411,$A986,0),0)))</f>
        <v>0</v>
      </c>
      <c r="P989" s="1422">
        <f ca="1">IF(LEFT(P$6,4)&lt;=LEFT('RFM input'!$G$60,4),"enter input",IF(LEFT(P$6,4)&gt;LEFT('RFM input'!$Q$60,4),0,IF(P$6=(OFFSET('RFM input'!$G$60,0,'RFM input'!$V$7)),OFFSET('RFM input'!$I$411,$A986,0),0)))</f>
        <v>0</v>
      </c>
      <c r="Q989" s="1422">
        <f ca="1">IF(LEFT(Q$6,4)&lt;=LEFT('RFM input'!$G$60,4),"enter input",IF(LEFT(Q$6,4)&gt;LEFT('RFM input'!$Q$60,4),0,IF(Q$6=(OFFSET('RFM input'!$G$60,0,'RFM input'!$V$7)),OFFSET('RFM input'!$I$411,$A986,0),0)))</f>
        <v>0</v>
      </c>
      <c r="R989" s="1422">
        <f ca="1">IF(LEFT(R$6,4)&lt;=LEFT('RFM input'!$G$60,4),"enter input",IF(LEFT(R$6,4)&gt;LEFT('RFM input'!$Q$60,4),0,IF(R$6=(OFFSET('RFM input'!$G$60,0,'RFM input'!$V$7)),OFFSET('RFM input'!$I$411,$A986,0),0)))</f>
        <v>0</v>
      </c>
      <c r="S989" s="1422">
        <f ca="1">IF(LEFT(S$6,4)&lt;=LEFT('RFM input'!$G$60,4),"enter input",IF(LEFT(S$6,4)&gt;LEFT('RFM input'!$Q$60,4),0,IF(S$6=(OFFSET('RFM input'!$G$60,0,'RFM input'!$V$7)),OFFSET('RFM input'!$I$411,$A986,0),0)))</f>
        <v>0</v>
      </c>
      <c r="T989" s="1422">
        <f ca="1">IF(LEFT(T$6,4)&lt;=LEFT('RFM input'!$G$60,4),"enter input",IF(LEFT(T$6,4)&gt;LEFT('RFM input'!$Q$60,4),0,IF(T$6=(OFFSET('RFM input'!$G$60,0,'RFM input'!$V$7)),OFFSET('RFM input'!$I$411,$A986,0),0)))</f>
        <v>0</v>
      </c>
      <c r="U989" s="1422">
        <f ca="1">IF(LEFT(U$6,4)&lt;=LEFT('RFM input'!$G$60,4),"enter input",IF(LEFT(U$6,4)&gt;LEFT('RFM input'!$Q$60,4),0,IF(U$6=(OFFSET('RFM input'!$G$60,0,'RFM input'!$V$7)),OFFSET('RFM input'!$I$411,$A986,0),0)))</f>
        <v>0</v>
      </c>
      <c r="V989" s="1422">
        <f ca="1">IF(LEFT(V$6,4)&lt;=LEFT('RFM input'!$G$60,4),"enter input",IF(LEFT(V$6,4)&gt;LEFT('RFM input'!$Q$60,4),0,IF(V$6=(OFFSET('RFM input'!$G$60,0,'RFM input'!$V$7)),OFFSET('RFM input'!$I$411,$A986,0),0)))</f>
        <v>0</v>
      </c>
      <c r="W989" s="1422">
        <f ca="1">IF(LEFT(W$6,4)&lt;=LEFT('RFM input'!$G$60,4),"enter input",IF(LEFT(W$6,4)&gt;LEFT('RFM input'!$Q$60,4),0,IF(W$6=(OFFSET('RFM input'!$G$60,0,'RFM input'!$V$7)),OFFSET('RFM input'!$I$411,$A986,0),0)))</f>
        <v>0</v>
      </c>
      <c r="X989" s="152"/>
      <c r="Y989" s="152"/>
      <c r="Z989" s="152"/>
      <c r="AA989" s="152"/>
      <c r="AB989" s="152"/>
    </row>
    <row r="990" spans="1:28" hidden="1" outlineLevel="1">
      <c r="A990" s="235">
        <v>-1</v>
      </c>
      <c r="B990" s="190" t="s">
        <v>189</v>
      </c>
      <c r="C990" s="1423"/>
      <c r="D990" s="1423">
        <f ca="1">IF(AND(D988=0,C990=0),0,
IF(AND(D988&lt;&gt;0,C990=0),(D988/D$10),
IF(AND(D989&lt;&gt;0,C990&lt;&gt;0),(C990-(C990/C1014))+(D988/D$10),
IF(C1014&lt;1,0,(C990-(C990/C1014))))))</f>
        <v>0</v>
      </c>
      <c r="E990" s="1423">
        <f t="shared" ref="E990" ca="1" si="1423">IF(AND(E988=0,D990=0),0,
IF(AND(E988&lt;&gt;0,D990=0),(E988/E$10),
IF(AND(E989&lt;&gt;0,D990&lt;&gt;0),(D990-(D990/D1014))+(E988/E$10),
IF(D1014&lt;1,0,(D990-(D990/D1014))))))</f>
        <v>0</v>
      </c>
      <c r="F990" s="1423">
        <f t="shared" ref="F990" ca="1" si="1424">IF(AND(F988=0,E990=0),0,
IF(AND(F988&lt;&gt;0,E990=0),(F988/F$10),
IF(AND(F989&lt;&gt;0,E990&lt;&gt;0),(E990-(E990/E1014))+(F988/F$10),
IF(E1014&lt;1,0,(E990-(E990/E1014))))))</f>
        <v>0</v>
      </c>
      <c r="G990" s="1423">
        <f t="shared" ref="G990" ca="1" si="1425">IF(AND(G988=0,F990=0),0,
IF(AND(G988&lt;&gt;0,F990=0),(G988/G$10),
IF(AND(G989&lt;&gt;0,F990&lt;&gt;0),(F990-(F990/F1014))+(G988/G$10),
IF(F1014&lt;1,0,(F990-(F990/F1014))))))</f>
        <v>0</v>
      </c>
      <c r="H990" s="1423">
        <f t="shared" ref="H990" ca="1" si="1426">IF(AND(H988=0,G990=0),0,
IF(AND(H988&lt;&gt;0,G990=0),(H988/H$10),
IF(AND(H989&lt;&gt;0,G990&lt;&gt;0),(G990-(G990/G1014))+(H988/H$10),
IF(G1014&lt;1,0,(G990-(G990/G1014))))))</f>
        <v>0</v>
      </c>
      <c r="I990" s="1423">
        <f t="shared" ref="I990" ca="1" si="1427">IF(AND(I988=0,H990=0),0,
IF(AND(I988&lt;&gt;0,H990=0),(I988/I$10),
IF(AND(I989&lt;&gt;0,H990&lt;&gt;0),(H990-(H990/H1014))+(I988/I$10),
IF(H1014&lt;1,0,(H990-(H990/H1014))))))</f>
        <v>0</v>
      </c>
      <c r="J990" s="1423">
        <f t="shared" ref="J990" ca="1" si="1428">IF(AND(J988=0,I990=0),0,
IF(AND(J988&lt;&gt;0,I990=0),(J988/J$10),
IF(AND(J989&lt;&gt;0,I990&lt;&gt;0),(I990-(I990/I1014))+(J988/J$10),
IF(I1014&lt;1,0,(I990-(I990/I1014))))))</f>
        <v>0</v>
      </c>
      <c r="K990" s="1423">
        <f t="shared" ref="K990" ca="1" si="1429">IF(AND(K988=0,J990=0),0,
IF(AND(K988&lt;&gt;0,J990=0),(K988/K$10),
IF(AND(K989&lt;&gt;0,J990&lt;&gt;0),(J990-(J990/J1014))+(K988/K$10),
IF(J1014&lt;1,0,(J990-(J990/J1014))))))</f>
        <v>0</v>
      </c>
      <c r="L990" s="1423">
        <f t="shared" ref="L990" ca="1" si="1430">IF(AND(L988=0,K990=0),0,
IF(AND(L988&lt;&gt;0,K990=0),(L988/L$10),
IF(AND(L989&lt;&gt;0,K990&lt;&gt;0),(K990-(K990/K1014))+(L988/L$10),
IF(K1014&lt;1,0,(K990-(K990/K1014))))))</f>
        <v>0</v>
      </c>
      <c r="M990" s="1423">
        <f t="shared" ref="M990" ca="1" si="1431">IF(AND(M988=0,L990=0),0,
IF(AND(M988&lt;&gt;0,L990=0),(M988/M$10),
IF(AND(M989&lt;&gt;0,L990&lt;&gt;0),(L990-(L990/L1014))+(M988/M$10),
IF(L1014&lt;1,0,(L990-(L990/L1014))))))</f>
        <v>0</v>
      </c>
      <c r="N990" s="1423">
        <f t="shared" ref="N990" ca="1" si="1432">IF(AND(N988=0,M990=0),0,
IF(AND(N988&lt;&gt;0,M990=0),(N988/N$10),
IF(AND(N989&lt;&gt;0,M990&lt;&gt;0),(M990-(M990/M1014))+(N988/N$10),
IF(M1014&lt;1,0,(M990-(M990/M1014))))))</f>
        <v>0</v>
      </c>
      <c r="O990" s="1423">
        <f t="shared" ref="O990" ca="1" si="1433">IF(AND(O988=0,N990=0),0,
IF(AND(O988&lt;&gt;0,N990=0),(O988/O$10),
IF(AND(O989&lt;&gt;0,N990&lt;&gt;0),(N990-(N990/N1014))+(O988/O$10),
IF(N1014&lt;1,0,(N990-(N990/N1014))))))</f>
        <v>0</v>
      </c>
      <c r="P990" s="1423">
        <f t="shared" ref="P990" ca="1" si="1434">IF(AND(P988=0,O990=0),0,
IF(AND(P988&lt;&gt;0,O990=0),(P988/P$10),
IF(AND(P989&lt;&gt;0,O990&lt;&gt;0),(O990-(O990/O1014))+(P988/P$10),
IF(O1014&lt;1,0,(O990-(O990/O1014))))))</f>
        <v>0</v>
      </c>
      <c r="Q990" s="1423">
        <f t="shared" ref="Q990" ca="1" si="1435">IF(AND(Q988=0,P990=0),0,
IF(AND(Q988&lt;&gt;0,P990=0),(Q988/Q$10),
IF(AND(Q989&lt;&gt;0,P990&lt;&gt;0),(P990-(P990/P1014))+(Q988/Q$10),
IF(P1014&lt;1,0,(P990-(P990/P1014))))))</f>
        <v>0</v>
      </c>
      <c r="R990" s="1423">
        <f t="shared" ref="R990" ca="1" si="1436">IF(AND(R988=0,Q990=0),0,
IF(AND(R988&lt;&gt;0,Q990=0),(R988/R$10),
IF(AND(R989&lt;&gt;0,Q990&lt;&gt;0),(Q990-(Q990/Q1014))+(R988/R$10),
IF(Q1014&lt;1,0,(Q990-(Q990/Q1014))))))</f>
        <v>0</v>
      </c>
      <c r="S990" s="1423">
        <f t="shared" ref="S990" ca="1" si="1437">IF(AND(S988=0,R990=0),0,
IF(AND(S988&lt;&gt;0,R990=0),(S988/S$10),
IF(AND(S989&lt;&gt;0,R990&lt;&gt;0),(R990-(R990/R1014))+(S988/S$10),
IF(R1014&lt;1,0,(R990-(R990/R1014))))))</f>
        <v>0</v>
      </c>
      <c r="T990" s="1423">
        <f t="shared" ref="T990" ca="1" si="1438">IF(AND(T988=0,S990=0),0,
IF(AND(T988&lt;&gt;0,S990=0),(T988/T$10),
IF(AND(T989&lt;&gt;0,S990&lt;&gt;0),(S990-(S990/S1014))+(T988/T$10),
IF(S1014&lt;1,0,(S990-(S990/S1014))))))</f>
        <v>0</v>
      </c>
      <c r="U990" s="1423">
        <f t="shared" ref="U990" ca="1" si="1439">IF(AND(U988=0,T990=0),0,
IF(AND(U988&lt;&gt;0,T990=0),(U988/U$10),
IF(AND(U989&lt;&gt;0,T990&lt;&gt;0),(T990-(T990/T1014))+(U988/U$10),
IF(T1014&lt;1,0,(T990-(T990/T1014))))))</f>
        <v>0</v>
      </c>
      <c r="V990" s="1423">
        <f t="shared" ref="V990" ca="1" si="1440">IF(AND(V988=0,U990=0),0,
IF(AND(V988&lt;&gt;0,U990=0),(V988/V$10),
IF(AND(V989&lt;&gt;0,U990&lt;&gt;0),(U990-(U990/U1014))+(V988/V$10),
IF(U1014&lt;1,0,(U990-(U990/U1014))))))</f>
        <v>0</v>
      </c>
      <c r="W990" s="1423">
        <f t="shared" ref="W990" ca="1" si="1441">IF(AND(W988=0,V990=0),0,
IF(AND(W988&lt;&gt;0,V990=0),(W988/W$10),
IF(AND(W989&lt;&gt;0,V990&lt;&gt;0),(V990-(V990/V1014))+(W988/W$10),
IF(V1014&lt;1,0,(V990-(V990/V1014))))))</f>
        <v>0</v>
      </c>
      <c r="X990" s="152"/>
      <c r="Y990" s="152"/>
      <c r="Z990" s="152"/>
      <c r="AA990" s="152"/>
      <c r="AB990" s="152"/>
    </row>
    <row r="991" spans="1:28" hidden="1" outlineLevel="1">
      <c r="A991" s="199">
        <f>A990+1</f>
        <v>0</v>
      </c>
      <c r="B991" s="190" t="s">
        <v>125</v>
      </c>
      <c r="C991" s="1423">
        <f ca="1">C986/C$10</f>
        <v>0</v>
      </c>
      <c r="D991" s="1423">
        <f ca="1">IF(C1015="n/a",C991,IFERROR(IF((OFFSET($C991,0,$A991))&lt;0,
MIN(0,C991-(OFFSET($C991,0,$A991)/(OFFSET($C986,-$A990,$A991)))),
MAX(0,C991-(OFFSET($C991,0,$A991)/(OFFSET($C986,-$A990,$A991))))),0))</f>
        <v>0</v>
      </c>
      <c r="E991" s="1423">
        <f t="shared" ref="E991" ca="1" si="1442">IF(D1015="n/a",D991,IFERROR(IF((OFFSET($C991,0,$A991))&lt;0,
MIN(0,D991-(OFFSET($C991,0,$A991)/(OFFSET($C986,-$A990,$A991)))),
MAX(0,D991-(OFFSET($C991,0,$A991)/(OFFSET($C986,-$A990,$A991))))),0))</f>
        <v>0</v>
      </c>
      <c r="F991" s="1423">
        <f t="shared" ref="F991:F992" ca="1" si="1443">IF(E1015="n/a",E991,IFERROR(IF((OFFSET($C991,0,$A991))&lt;0,
MIN(0,E991-(OFFSET($C991,0,$A991)/(OFFSET($C986,-$A990,$A991)))),
MAX(0,E991-(OFFSET($C991,0,$A991)/(OFFSET($C986,-$A990,$A991))))),0))</f>
        <v>0</v>
      </c>
      <c r="G991" s="1423">
        <f t="shared" ref="G991:G993" ca="1" si="1444">IF(F1015="n/a",F991,IFERROR(IF((OFFSET($C991,0,$A991))&lt;0,
MIN(0,F991-(OFFSET($C991,0,$A991)/(OFFSET($C986,-$A990,$A991)))),
MAX(0,F991-(OFFSET($C991,0,$A991)/(OFFSET($C986,-$A990,$A991))))),0))</f>
        <v>0</v>
      </c>
      <c r="H991" s="1423">
        <f t="shared" ref="H991:H994" ca="1" si="1445">IF(G1015="n/a",G991,IFERROR(IF((OFFSET($C991,0,$A991))&lt;0,
MIN(0,G991-(OFFSET($C991,0,$A991)/(OFFSET($C986,-$A990,$A991)))),
MAX(0,G991-(OFFSET($C991,0,$A991)/(OFFSET($C986,-$A990,$A991))))),0))</f>
        <v>0</v>
      </c>
      <c r="I991" s="1423">
        <f t="shared" ref="I991:I995" ca="1" si="1446">IF(H1015="n/a",H991,IFERROR(IF((OFFSET($C991,0,$A991))&lt;0,
MIN(0,H991-(OFFSET($C991,0,$A991)/(OFFSET($C986,-$A990,$A991)))),
MAX(0,H991-(OFFSET($C991,0,$A991)/(OFFSET($C986,-$A990,$A991))))),0))</f>
        <v>0</v>
      </c>
      <c r="J991" s="1423">
        <f t="shared" ref="J991:J996" ca="1" si="1447">IF(I1015="n/a",I991,IFERROR(IF((OFFSET($C991,0,$A991))&lt;0,
MIN(0,I991-(OFFSET($C991,0,$A991)/(OFFSET($C986,-$A990,$A991)))),
MAX(0,I991-(OFFSET($C991,0,$A991)/(OFFSET($C986,-$A990,$A991))))),0))</f>
        <v>0</v>
      </c>
      <c r="K991" s="1423">
        <f t="shared" ref="K991:K997" ca="1" si="1448">IF(J1015="n/a",J991,IFERROR(IF((OFFSET($C991,0,$A991))&lt;0,
MIN(0,J991-(OFFSET($C991,0,$A991)/(OFFSET($C986,-$A990,$A991)))),
MAX(0,J991-(OFFSET($C991,0,$A991)/(OFFSET($C986,-$A990,$A991))))),0))</f>
        <v>0</v>
      </c>
      <c r="L991" s="1423">
        <f t="shared" ref="L991:L998" ca="1" si="1449">IF(K1015="n/a",K991,IFERROR(IF((OFFSET($C991,0,$A991))&lt;0,
MIN(0,K991-(OFFSET($C991,0,$A991)/(OFFSET($C986,-$A990,$A991)))),
MAX(0,K991-(OFFSET($C991,0,$A991)/(OFFSET($C986,-$A990,$A991))))),0))</f>
        <v>0</v>
      </c>
      <c r="M991" s="1423">
        <f t="shared" ref="M991:M999" ca="1" si="1450">IF(L1015="n/a",L991,IFERROR(IF((OFFSET($C991,0,$A991))&lt;0,
MIN(0,L991-(OFFSET($C991,0,$A991)/(OFFSET($C986,-$A990,$A991)))),
MAX(0,L991-(OFFSET($C991,0,$A991)/(OFFSET($C986,-$A990,$A991))))),0))</f>
        <v>0</v>
      </c>
      <c r="N991" s="1423">
        <f t="shared" ref="N991:N1000" ca="1" si="1451">IF(M1015="n/a",M991,IFERROR(IF((OFFSET($C991,0,$A991))&lt;0,
MIN(0,M991-(OFFSET($C991,0,$A991)/(OFFSET($C986,-$A990,$A991)))),
MAX(0,M991-(OFFSET($C991,0,$A991)/(OFFSET($C986,-$A990,$A991))))),0))</f>
        <v>0</v>
      </c>
      <c r="O991" s="1423">
        <f t="shared" ref="O991:O1001" ca="1" si="1452">IF(N1015="n/a",N991,IFERROR(IF((OFFSET($C991,0,$A991))&lt;0,
MIN(0,N991-(OFFSET($C991,0,$A991)/(OFFSET($C986,-$A990,$A991)))),
MAX(0,N991-(OFFSET($C991,0,$A991)/(OFFSET($C986,-$A990,$A991))))),0))</f>
        <v>0</v>
      </c>
      <c r="P991" s="1423">
        <f t="shared" ref="P991:P1002" ca="1" si="1453">IF(O1015="n/a",O991,IFERROR(IF((OFFSET($C991,0,$A991))&lt;0,
MIN(0,O991-(OFFSET($C991,0,$A991)/(OFFSET($C986,-$A990,$A991)))),
MAX(0,O991-(OFFSET($C991,0,$A991)/(OFFSET($C986,-$A990,$A991))))),0))</f>
        <v>0</v>
      </c>
      <c r="Q991" s="1423">
        <f t="shared" ref="Q991:Q1003" ca="1" si="1454">IF(P1015="n/a",P991,IFERROR(IF((OFFSET($C991,0,$A991))&lt;0,
MIN(0,P991-(OFFSET($C991,0,$A991)/(OFFSET($C986,-$A990,$A991)))),
MAX(0,P991-(OFFSET($C991,0,$A991)/(OFFSET($C986,-$A990,$A991))))),0))</f>
        <v>0</v>
      </c>
      <c r="R991" s="1423">
        <f t="shared" ref="R991:R1004" ca="1" si="1455">IF(Q1015="n/a",Q991,IFERROR(IF((OFFSET($C991,0,$A991))&lt;0,
MIN(0,Q991-(OFFSET($C991,0,$A991)/(OFFSET($C986,-$A990,$A991)))),
MAX(0,Q991-(OFFSET($C991,0,$A991)/(OFFSET($C986,-$A990,$A991))))),0))</f>
        <v>0</v>
      </c>
      <c r="S991" s="1423">
        <f t="shared" ref="S991:S1005" ca="1" si="1456">IF(R1015="n/a",R991,IFERROR(IF((OFFSET($C991,0,$A991))&lt;0,
MIN(0,R991-(OFFSET($C991,0,$A991)/(OFFSET($C986,-$A990,$A991)))),
MAX(0,R991-(OFFSET($C991,0,$A991)/(OFFSET($C986,-$A990,$A991))))),0))</f>
        <v>0</v>
      </c>
      <c r="T991" s="1423">
        <f t="shared" ref="T991:T1006" ca="1" si="1457">IF(S1015="n/a",S991,IFERROR(IF((OFFSET($C991,0,$A991))&lt;0,
MIN(0,S991-(OFFSET($C991,0,$A991)/(OFFSET($C986,-$A990,$A991)))),
MAX(0,S991-(OFFSET($C991,0,$A991)/(OFFSET($C986,-$A990,$A991))))),0))</f>
        <v>0</v>
      </c>
      <c r="U991" s="1423">
        <f t="shared" ref="U991:U1007" ca="1" si="1458">IF(T1015="n/a",T991,IFERROR(IF((OFFSET($C991,0,$A991))&lt;0,
MIN(0,T991-(OFFSET($C991,0,$A991)/(OFFSET($C986,-$A990,$A991)))),
MAX(0,T991-(OFFSET($C991,0,$A991)/(OFFSET($C986,-$A990,$A991))))),0))</f>
        <v>0</v>
      </c>
      <c r="V991" s="1423">
        <f t="shared" ref="V991:V1008" ca="1" si="1459">IF(U1015="n/a",U991,IFERROR(IF((OFFSET($C991,0,$A991))&lt;0,
MIN(0,U991-(OFFSET($C991,0,$A991)/(OFFSET($C986,-$A990,$A991)))),
MAX(0,U991-(OFFSET($C991,0,$A991)/(OFFSET($C986,-$A990,$A991))))),0))</f>
        <v>0</v>
      </c>
      <c r="W991" s="1423">
        <f t="shared" ref="W991:W1009" ca="1" si="1460">IF(V1015="n/a",V991,IFERROR(IF((OFFSET($C991,0,$A991))&lt;0,
MIN(0,V991-(OFFSET($C991,0,$A991)/(OFFSET($C986,-$A990,$A991)))),
MAX(0,V991-(OFFSET($C991,0,$A991)/(OFFSET($C986,-$A990,$A991))))),0))</f>
        <v>0</v>
      </c>
      <c r="X991" s="152"/>
      <c r="Y991" s="152"/>
      <c r="Z991" s="152"/>
      <c r="AA991" s="152"/>
      <c r="AB991" s="152"/>
    </row>
    <row r="992" spans="1:28" hidden="1" outlineLevel="1">
      <c r="A992" s="199">
        <f t="shared" ref="A992:A1011" si="1461">A991+1</f>
        <v>1</v>
      </c>
      <c r="B992" s="190" t="str">
        <f t="shared" ref="B992:B1010" ca="1" si="1462">"Depreciated Net Capex "&amp;OFFSET($C$6,0,A992)</f>
        <v>Depreciated Net Capex 2016-17</v>
      </c>
      <c r="C992" s="1424"/>
      <c r="D992" s="1425">
        <f>(D986*((1+D$11)^0.5)/D$10)</f>
        <v>0</v>
      </c>
      <c r="E992" s="1423">
        <f ca="1">IF(D1016="n/a",D992,IFERROR(IF((OFFSET($C992,0,$A992))&lt;0,
MIN(0,D992-(OFFSET($C992,0,$A992)/(OFFSET($C987,-$A991,$A992)))),
MAX(0,D992-(OFFSET($C992,0,$A992)/(OFFSET($C987,-$A991,$A992))))),0))</f>
        <v>0</v>
      </c>
      <c r="F992" s="1423">
        <f t="shared" ca="1" si="1443"/>
        <v>0</v>
      </c>
      <c r="G992" s="1423">
        <f t="shared" ca="1" si="1444"/>
        <v>0</v>
      </c>
      <c r="H992" s="1423">
        <f t="shared" ca="1" si="1445"/>
        <v>0</v>
      </c>
      <c r="I992" s="1423">
        <f t="shared" ca="1" si="1446"/>
        <v>0</v>
      </c>
      <c r="J992" s="1423">
        <f t="shared" ca="1" si="1447"/>
        <v>0</v>
      </c>
      <c r="K992" s="1423">
        <f t="shared" ca="1" si="1448"/>
        <v>0</v>
      </c>
      <c r="L992" s="1423">
        <f t="shared" ca="1" si="1449"/>
        <v>0</v>
      </c>
      <c r="M992" s="1423">
        <f t="shared" ca="1" si="1450"/>
        <v>0</v>
      </c>
      <c r="N992" s="1423">
        <f t="shared" ca="1" si="1451"/>
        <v>0</v>
      </c>
      <c r="O992" s="1423">
        <f t="shared" ca="1" si="1452"/>
        <v>0</v>
      </c>
      <c r="P992" s="1423">
        <f t="shared" ca="1" si="1453"/>
        <v>0</v>
      </c>
      <c r="Q992" s="1423">
        <f t="shared" ca="1" si="1454"/>
        <v>0</v>
      </c>
      <c r="R992" s="1423">
        <f t="shared" ca="1" si="1455"/>
        <v>0</v>
      </c>
      <c r="S992" s="1423">
        <f t="shared" ca="1" si="1456"/>
        <v>0</v>
      </c>
      <c r="T992" s="1423">
        <f t="shared" ca="1" si="1457"/>
        <v>0</v>
      </c>
      <c r="U992" s="1423">
        <f t="shared" ca="1" si="1458"/>
        <v>0</v>
      </c>
      <c r="V992" s="1423">
        <f t="shared" ca="1" si="1459"/>
        <v>0</v>
      </c>
      <c r="W992" s="1423">
        <f t="shared" ca="1" si="1460"/>
        <v>0</v>
      </c>
      <c r="X992" s="152"/>
      <c r="Y992" s="152"/>
      <c r="Z992" s="152"/>
      <c r="AA992" s="152"/>
      <c r="AB992" s="152"/>
    </row>
    <row r="993" spans="1:28" hidden="1" outlineLevel="1">
      <c r="A993" s="199">
        <f t="shared" si="1461"/>
        <v>2</v>
      </c>
      <c r="B993" s="190" t="str">
        <f t="shared" ca="1" si="1462"/>
        <v>Depreciated Net Capex 2017-18</v>
      </c>
      <c r="C993" s="1426"/>
      <c r="D993" s="1427"/>
      <c r="E993" s="1425">
        <f>(E986*((1+E$11)^0.5)/E$10)</f>
        <v>0</v>
      </c>
      <c r="F993" s="1423">
        <f ca="1">IF(E1017="n/a",E993,IFERROR(IF((OFFSET($C993,0,$A993))&lt;0,
MIN(0,E993-(OFFSET($C993,0,$A993)/(OFFSET($C988,-$A992,$A993)))),
MAX(0,E993-(OFFSET($C993,0,$A993)/(OFFSET($C988,-$A992,$A993))))),0))</f>
        <v>0</v>
      </c>
      <c r="G993" s="1423">
        <f t="shared" ca="1" si="1444"/>
        <v>0</v>
      </c>
      <c r="H993" s="1423">
        <f t="shared" ca="1" si="1445"/>
        <v>0</v>
      </c>
      <c r="I993" s="1423">
        <f t="shared" ca="1" si="1446"/>
        <v>0</v>
      </c>
      <c r="J993" s="1423">
        <f t="shared" ca="1" si="1447"/>
        <v>0</v>
      </c>
      <c r="K993" s="1423">
        <f t="shared" ca="1" si="1448"/>
        <v>0</v>
      </c>
      <c r="L993" s="1423">
        <f t="shared" ca="1" si="1449"/>
        <v>0</v>
      </c>
      <c r="M993" s="1423">
        <f t="shared" ca="1" si="1450"/>
        <v>0</v>
      </c>
      <c r="N993" s="1423">
        <f t="shared" ca="1" si="1451"/>
        <v>0</v>
      </c>
      <c r="O993" s="1423">
        <f t="shared" ca="1" si="1452"/>
        <v>0</v>
      </c>
      <c r="P993" s="1423">
        <f t="shared" ca="1" si="1453"/>
        <v>0</v>
      </c>
      <c r="Q993" s="1423">
        <f t="shared" ca="1" si="1454"/>
        <v>0</v>
      </c>
      <c r="R993" s="1423">
        <f t="shared" ca="1" si="1455"/>
        <v>0</v>
      </c>
      <c r="S993" s="1423">
        <f t="shared" ca="1" si="1456"/>
        <v>0</v>
      </c>
      <c r="T993" s="1423">
        <f t="shared" ca="1" si="1457"/>
        <v>0</v>
      </c>
      <c r="U993" s="1423">
        <f t="shared" ca="1" si="1458"/>
        <v>0</v>
      </c>
      <c r="V993" s="1423">
        <f t="shared" ca="1" si="1459"/>
        <v>0</v>
      </c>
      <c r="W993" s="1423">
        <f t="shared" ca="1" si="1460"/>
        <v>0</v>
      </c>
      <c r="X993" s="202"/>
      <c r="Y993" s="152"/>
      <c r="Z993" s="152"/>
      <c r="AA993" s="152"/>
      <c r="AB993" s="152"/>
    </row>
    <row r="994" spans="1:28" hidden="1" outlineLevel="1">
      <c r="A994" s="199">
        <f t="shared" si="1461"/>
        <v>3</v>
      </c>
      <c r="B994" s="190" t="str">
        <f t="shared" ca="1" si="1462"/>
        <v>Depreciated Net Capex 2018-19</v>
      </c>
      <c r="C994" s="1426"/>
      <c r="D994" s="1426"/>
      <c r="E994" s="1427"/>
      <c r="F994" s="1428">
        <f>($F986*((1+F$11)^0.5)/F$10)</f>
        <v>0</v>
      </c>
      <c r="G994" s="1423">
        <f ca="1">IF(F1018="n/a",F994,IFERROR(IF((OFFSET($C994,0,$A994))&lt;0,
MIN(0,F994-(OFFSET($C994,0,$A994)/(OFFSET($C989,-$A993,$A994)))),
MAX(0,F994-(OFFSET($C994,0,$A994)/(OFFSET($C989,-$A993,$A994))))),0))</f>
        <v>0</v>
      </c>
      <c r="H994" s="1423">
        <f t="shared" ca="1" si="1445"/>
        <v>0</v>
      </c>
      <c r="I994" s="1423">
        <f t="shared" ca="1" si="1446"/>
        <v>0</v>
      </c>
      <c r="J994" s="1423">
        <f t="shared" ca="1" si="1447"/>
        <v>0</v>
      </c>
      <c r="K994" s="1423">
        <f t="shared" ca="1" si="1448"/>
        <v>0</v>
      </c>
      <c r="L994" s="1423">
        <f t="shared" ca="1" si="1449"/>
        <v>0</v>
      </c>
      <c r="M994" s="1423">
        <f t="shared" ca="1" si="1450"/>
        <v>0</v>
      </c>
      <c r="N994" s="1423">
        <f t="shared" ca="1" si="1451"/>
        <v>0</v>
      </c>
      <c r="O994" s="1423">
        <f t="shared" ca="1" si="1452"/>
        <v>0</v>
      </c>
      <c r="P994" s="1423">
        <f t="shared" ca="1" si="1453"/>
        <v>0</v>
      </c>
      <c r="Q994" s="1423">
        <f t="shared" ca="1" si="1454"/>
        <v>0</v>
      </c>
      <c r="R994" s="1423">
        <f t="shared" ca="1" si="1455"/>
        <v>0</v>
      </c>
      <c r="S994" s="1423">
        <f t="shared" ca="1" si="1456"/>
        <v>0</v>
      </c>
      <c r="T994" s="1423">
        <f t="shared" ca="1" si="1457"/>
        <v>0</v>
      </c>
      <c r="U994" s="1423">
        <f t="shared" ca="1" si="1458"/>
        <v>0</v>
      </c>
      <c r="V994" s="1423">
        <f t="shared" ca="1" si="1459"/>
        <v>0</v>
      </c>
      <c r="W994" s="1423">
        <f t="shared" ca="1" si="1460"/>
        <v>0</v>
      </c>
      <c r="X994" s="202"/>
      <c r="Y994" s="202"/>
      <c r="Z994" s="152"/>
      <c r="AA994" s="152"/>
      <c r="AB994" s="152"/>
    </row>
    <row r="995" spans="1:28" hidden="1" outlineLevel="1">
      <c r="A995" s="199">
        <f t="shared" si="1461"/>
        <v>4</v>
      </c>
      <c r="B995" s="190" t="str">
        <f t="shared" ca="1" si="1462"/>
        <v>Depreciated Net Capex 2019-20</v>
      </c>
      <c r="C995" s="1426"/>
      <c r="D995" s="1426"/>
      <c r="E995" s="1426"/>
      <c r="F995" s="1427"/>
      <c r="G995" s="1428">
        <f>($G986*((1+G$11)^0.5)/G$10)</f>
        <v>0</v>
      </c>
      <c r="H995" s="1423">
        <f ca="1">IF(G1019="n/a",G995,IFERROR(IF((OFFSET($C995,0,$A995))&lt;0,
MIN(0,G995-(OFFSET($C995,0,$A995)/(OFFSET($C990,-$A994,$A995)))),
MAX(0,G995-(OFFSET($C995,0,$A995)/(OFFSET($C990,-$A994,$A995))))),0))</f>
        <v>0</v>
      </c>
      <c r="I995" s="1423">
        <f t="shared" ca="1" si="1446"/>
        <v>0</v>
      </c>
      <c r="J995" s="1423">
        <f t="shared" ca="1" si="1447"/>
        <v>0</v>
      </c>
      <c r="K995" s="1423">
        <f t="shared" ca="1" si="1448"/>
        <v>0</v>
      </c>
      <c r="L995" s="1423">
        <f t="shared" ca="1" si="1449"/>
        <v>0</v>
      </c>
      <c r="M995" s="1423">
        <f t="shared" ca="1" si="1450"/>
        <v>0</v>
      </c>
      <c r="N995" s="1423">
        <f t="shared" ca="1" si="1451"/>
        <v>0</v>
      </c>
      <c r="O995" s="1423">
        <f t="shared" ca="1" si="1452"/>
        <v>0</v>
      </c>
      <c r="P995" s="1423">
        <f t="shared" ca="1" si="1453"/>
        <v>0</v>
      </c>
      <c r="Q995" s="1423">
        <f t="shared" ca="1" si="1454"/>
        <v>0</v>
      </c>
      <c r="R995" s="1423">
        <f t="shared" ca="1" si="1455"/>
        <v>0</v>
      </c>
      <c r="S995" s="1423">
        <f t="shared" ca="1" si="1456"/>
        <v>0</v>
      </c>
      <c r="T995" s="1423">
        <f t="shared" ca="1" si="1457"/>
        <v>0</v>
      </c>
      <c r="U995" s="1423">
        <f t="shared" ca="1" si="1458"/>
        <v>0</v>
      </c>
      <c r="V995" s="1423">
        <f t="shared" ca="1" si="1459"/>
        <v>0</v>
      </c>
      <c r="W995" s="1423">
        <f t="shared" ca="1" si="1460"/>
        <v>0</v>
      </c>
      <c r="X995" s="202"/>
      <c r="Y995" s="202"/>
      <c r="Z995" s="202"/>
      <c r="AA995" s="152"/>
      <c r="AB995" s="152"/>
    </row>
    <row r="996" spans="1:28" hidden="1" outlineLevel="1">
      <c r="A996" s="199">
        <f t="shared" si="1461"/>
        <v>5</v>
      </c>
      <c r="B996" s="190" t="str">
        <f t="shared" ca="1" si="1462"/>
        <v>Depreciated Net Capex 2020-21</v>
      </c>
      <c r="C996" s="1426"/>
      <c r="D996" s="1426"/>
      <c r="E996" s="1426"/>
      <c r="F996" s="1426"/>
      <c r="G996" s="1427"/>
      <c r="H996" s="1428">
        <f>(H986*((1+H$11)^0.5)/H$10)</f>
        <v>0</v>
      </c>
      <c r="I996" s="1423">
        <f ca="1">IF(H1020="n/a",H996,IFERROR(IF((OFFSET($C996,0,$A996))&lt;0,
MIN(0,H996-(OFFSET($C996,0,$A996)/(OFFSET($C991,-$A995,$A996)))),
MAX(0,H996-(OFFSET($C996,0,$A996)/(OFFSET($C991,-$A995,$A996))))),0))</f>
        <v>0</v>
      </c>
      <c r="J996" s="1423">
        <f t="shared" ca="1" si="1447"/>
        <v>0</v>
      </c>
      <c r="K996" s="1423">
        <f t="shared" ca="1" si="1448"/>
        <v>0</v>
      </c>
      <c r="L996" s="1423">
        <f t="shared" ca="1" si="1449"/>
        <v>0</v>
      </c>
      <c r="M996" s="1423">
        <f t="shared" ca="1" si="1450"/>
        <v>0</v>
      </c>
      <c r="N996" s="1423">
        <f t="shared" ca="1" si="1451"/>
        <v>0</v>
      </c>
      <c r="O996" s="1423">
        <f t="shared" ca="1" si="1452"/>
        <v>0</v>
      </c>
      <c r="P996" s="1423">
        <f t="shared" ca="1" si="1453"/>
        <v>0</v>
      </c>
      <c r="Q996" s="1423">
        <f t="shared" ca="1" si="1454"/>
        <v>0</v>
      </c>
      <c r="R996" s="1423">
        <f t="shared" ca="1" si="1455"/>
        <v>0</v>
      </c>
      <c r="S996" s="1423">
        <f t="shared" ca="1" si="1456"/>
        <v>0</v>
      </c>
      <c r="T996" s="1423">
        <f t="shared" ca="1" si="1457"/>
        <v>0</v>
      </c>
      <c r="U996" s="1423">
        <f t="shared" ca="1" si="1458"/>
        <v>0</v>
      </c>
      <c r="V996" s="1423">
        <f t="shared" ca="1" si="1459"/>
        <v>0</v>
      </c>
      <c r="W996" s="1423">
        <f t="shared" ca="1" si="1460"/>
        <v>0</v>
      </c>
      <c r="X996" s="202"/>
      <c r="Y996" s="202"/>
      <c r="Z996" s="202"/>
      <c r="AA996" s="152"/>
      <c r="AB996" s="152"/>
    </row>
    <row r="997" spans="1:28" hidden="1" outlineLevel="1">
      <c r="A997" s="199">
        <f t="shared" si="1461"/>
        <v>6</v>
      </c>
      <c r="B997" s="190" t="str">
        <f t="shared" ca="1" si="1462"/>
        <v>Depreciated Net Capex 2021-22</v>
      </c>
      <c r="C997" s="1426"/>
      <c r="D997" s="1426"/>
      <c r="E997" s="1426"/>
      <c r="F997" s="1426"/>
      <c r="G997" s="1426"/>
      <c r="H997" s="1427"/>
      <c r="I997" s="1428">
        <f>(I986*((1+I$11)^0.5)/I$10)</f>
        <v>0</v>
      </c>
      <c r="J997" s="1423">
        <f ca="1">IF(I1021="n/a",I997,IFERROR(IF((OFFSET($C997,0,$A997))&lt;0,
MIN(0,I997-(OFFSET($C997,0,$A997)/(OFFSET($C992,-$A996,$A997)))),
MAX(0,I997-(OFFSET($C997,0,$A997)/(OFFSET($C992,-$A996,$A997))))),0))</f>
        <v>0</v>
      </c>
      <c r="K997" s="1423">
        <f t="shared" ca="1" si="1448"/>
        <v>0</v>
      </c>
      <c r="L997" s="1423">
        <f t="shared" ca="1" si="1449"/>
        <v>0</v>
      </c>
      <c r="M997" s="1423">
        <f t="shared" ca="1" si="1450"/>
        <v>0</v>
      </c>
      <c r="N997" s="1423">
        <f t="shared" ca="1" si="1451"/>
        <v>0</v>
      </c>
      <c r="O997" s="1423">
        <f t="shared" ca="1" si="1452"/>
        <v>0</v>
      </c>
      <c r="P997" s="1423">
        <f t="shared" ca="1" si="1453"/>
        <v>0</v>
      </c>
      <c r="Q997" s="1423">
        <f t="shared" ca="1" si="1454"/>
        <v>0</v>
      </c>
      <c r="R997" s="1423">
        <f t="shared" ca="1" si="1455"/>
        <v>0</v>
      </c>
      <c r="S997" s="1423">
        <f t="shared" ca="1" si="1456"/>
        <v>0</v>
      </c>
      <c r="T997" s="1423">
        <f t="shared" ca="1" si="1457"/>
        <v>0</v>
      </c>
      <c r="U997" s="1423">
        <f t="shared" ca="1" si="1458"/>
        <v>0</v>
      </c>
      <c r="V997" s="1423">
        <f t="shared" ca="1" si="1459"/>
        <v>0</v>
      </c>
      <c r="W997" s="1423">
        <f t="shared" ca="1" si="1460"/>
        <v>0</v>
      </c>
      <c r="X997" s="202"/>
      <c r="Y997" s="202"/>
      <c r="Z997" s="202"/>
      <c r="AA997" s="152"/>
      <c r="AB997" s="152"/>
    </row>
    <row r="998" spans="1:28" hidden="1" outlineLevel="1">
      <c r="A998" s="199">
        <f t="shared" si="1461"/>
        <v>7</v>
      </c>
      <c r="B998" s="190" t="str">
        <f t="shared" ca="1" si="1462"/>
        <v>Depreciated Net Capex 2022-23</v>
      </c>
      <c r="C998" s="1426"/>
      <c r="D998" s="1426"/>
      <c r="E998" s="1426"/>
      <c r="F998" s="1426"/>
      <c r="G998" s="1426"/>
      <c r="H998" s="1426"/>
      <c r="I998" s="1427"/>
      <c r="J998" s="1428">
        <f>(J986*((1+J$11)^0.5)/J$10)</f>
        <v>0</v>
      </c>
      <c r="K998" s="1423">
        <f ca="1">IF(J1022="n/a",J998,IFERROR(IF((OFFSET($C998,0,$A998))&lt;0,
MIN(0,J998-(OFFSET($C998,0,$A998)/(OFFSET($C993,-$A997,$A998)))),
MAX(0,J998-(OFFSET($C998,0,$A998)/(OFFSET($C993,-$A997,$A998))))),0))</f>
        <v>0</v>
      </c>
      <c r="L998" s="1423">
        <f t="shared" ca="1" si="1449"/>
        <v>0</v>
      </c>
      <c r="M998" s="1423">
        <f t="shared" ca="1" si="1450"/>
        <v>0</v>
      </c>
      <c r="N998" s="1423">
        <f t="shared" ca="1" si="1451"/>
        <v>0</v>
      </c>
      <c r="O998" s="1423">
        <f t="shared" ca="1" si="1452"/>
        <v>0</v>
      </c>
      <c r="P998" s="1423">
        <f t="shared" ca="1" si="1453"/>
        <v>0</v>
      </c>
      <c r="Q998" s="1423">
        <f t="shared" ca="1" si="1454"/>
        <v>0</v>
      </c>
      <c r="R998" s="1423">
        <f t="shared" ca="1" si="1455"/>
        <v>0</v>
      </c>
      <c r="S998" s="1423">
        <f t="shared" ca="1" si="1456"/>
        <v>0</v>
      </c>
      <c r="T998" s="1423">
        <f t="shared" ca="1" si="1457"/>
        <v>0</v>
      </c>
      <c r="U998" s="1423">
        <f t="shared" ca="1" si="1458"/>
        <v>0</v>
      </c>
      <c r="V998" s="1423">
        <f t="shared" ca="1" si="1459"/>
        <v>0</v>
      </c>
      <c r="W998" s="1423">
        <f t="shared" ca="1" si="1460"/>
        <v>0</v>
      </c>
      <c r="X998" s="202"/>
      <c r="Y998" s="202"/>
      <c r="Z998" s="202"/>
      <c r="AA998" s="152"/>
      <c r="AB998" s="152"/>
    </row>
    <row r="999" spans="1:28" hidden="1" outlineLevel="1">
      <c r="A999" s="199">
        <f t="shared" si="1461"/>
        <v>8</v>
      </c>
      <c r="B999" s="190" t="str">
        <f t="shared" ca="1" si="1462"/>
        <v>Depreciated Net Capex 2023-24</v>
      </c>
      <c r="C999" s="1426"/>
      <c r="D999" s="1426"/>
      <c r="E999" s="1426"/>
      <c r="F999" s="1426"/>
      <c r="G999" s="1426"/>
      <c r="H999" s="1426"/>
      <c r="I999" s="1426"/>
      <c r="J999" s="1427"/>
      <c r="K999" s="1428">
        <f>(K986*((1+K$11)^0.5)/K$10)</f>
        <v>0</v>
      </c>
      <c r="L999" s="1423">
        <f ca="1">IF(K1023="n/a",K999,IFERROR(IF((OFFSET($C999,0,$A999))&lt;0,
MIN(0,K999-(OFFSET($C999,0,$A999)/(OFFSET($C994,-$A998,$A999)))),
MAX(0,K999-(OFFSET($C999,0,$A999)/(OFFSET($C994,-$A998,$A999))))),0))</f>
        <v>0</v>
      </c>
      <c r="M999" s="1423">
        <f t="shared" ca="1" si="1450"/>
        <v>0</v>
      </c>
      <c r="N999" s="1423">
        <f t="shared" ca="1" si="1451"/>
        <v>0</v>
      </c>
      <c r="O999" s="1423">
        <f t="shared" ca="1" si="1452"/>
        <v>0</v>
      </c>
      <c r="P999" s="1423">
        <f t="shared" ca="1" si="1453"/>
        <v>0</v>
      </c>
      <c r="Q999" s="1423">
        <f t="shared" ca="1" si="1454"/>
        <v>0</v>
      </c>
      <c r="R999" s="1423">
        <f t="shared" ca="1" si="1455"/>
        <v>0</v>
      </c>
      <c r="S999" s="1423">
        <f t="shared" ca="1" si="1456"/>
        <v>0</v>
      </c>
      <c r="T999" s="1423">
        <f t="shared" ca="1" si="1457"/>
        <v>0</v>
      </c>
      <c r="U999" s="1423">
        <f t="shared" ca="1" si="1458"/>
        <v>0</v>
      </c>
      <c r="V999" s="1423">
        <f t="shared" ca="1" si="1459"/>
        <v>0</v>
      </c>
      <c r="W999" s="1423">
        <f t="shared" ca="1" si="1460"/>
        <v>0</v>
      </c>
      <c r="X999" s="202"/>
      <c r="Y999" s="202"/>
      <c r="Z999" s="202"/>
      <c r="AA999" s="152"/>
      <c r="AB999" s="152"/>
    </row>
    <row r="1000" spans="1:28" hidden="1" outlineLevel="1">
      <c r="A1000" s="199">
        <f t="shared" si="1461"/>
        <v>9</v>
      </c>
      <c r="B1000" s="190" t="str">
        <f t="shared" ca="1" si="1462"/>
        <v>Depreciated Net Capex 2024-25</v>
      </c>
      <c r="C1000" s="1426"/>
      <c r="D1000" s="1426"/>
      <c r="E1000" s="1426"/>
      <c r="F1000" s="1426"/>
      <c r="G1000" s="1426"/>
      <c r="H1000" s="1426"/>
      <c r="I1000" s="1426"/>
      <c r="J1000" s="1426"/>
      <c r="K1000" s="1427"/>
      <c r="L1000" s="1428">
        <f>(L986*((1+L$11)^0.5)/L$10)</f>
        <v>0</v>
      </c>
      <c r="M1000" s="1423">
        <f ca="1">IF(L1024="n/a",L1000,IFERROR(IF((OFFSET($C1000,0,$A1000))&lt;0,
MIN(0,L1000-(OFFSET($C1000,0,$A1000)/(OFFSET($C995,-$A999,$A1000)))),
MAX(0,L1000-(OFFSET($C1000,0,$A1000)/(OFFSET($C995,-$A999,$A1000))))),0))</f>
        <v>0</v>
      </c>
      <c r="N1000" s="1423">
        <f t="shared" ca="1" si="1451"/>
        <v>0</v>
      </c>
      <c r="O1000" s="1423">
        <f t="shared" ca="1" si="1452"/>
        <v>0</v>
      </c>
      <c r="P1000" s="1423">
        <f t="shared" ca="1" si="1453"/>
        <v>0</v>
      </c>
      <c r="Q1000" s="1423">
        <f t="shared" ca="1" si="1454"/>
        <v>0</v>
      </c>
      <c r="R1000" s="1423">
        <f t="shared" ca="1" si="1455"/>
        <v>0</v>
      </c>
      <c r="S1000" s="1423">
        <f t="shared" ca="1" si="1456"/>
        <v>0</v>
      </c>
      <c r="T1000" s="1423">
        <f t="shared" ca="1" si="1457"/>
        <v>0</v>
      </c>
      <c r="U1000" s="1423">
        <f t="shared" ca="1" si="1458"/>
        <v>0</v>
      </c>
      <c r="V1000" s="1423">
        <f t="shared" ca="1" si="1459"/>
        <v>0</v>
      </c>
      <c r="W1000" s="1423">
        <f t="shared" ca="1" si="1460"/>
        <v>0</v>
      </c>
      <c r="X1000" s="202"/>
      <c r="Y1000" s="202"/>
      <c r="Z1000" s="202"/>
      <c r="AA1000" s="152"/>
      <c r="AB1000" s="152"/>
    </row>
    <row r="1001" spans="1:28" hidden="1" outlineLevel="1">
      <c r="A1001" s="199">
        <f t="shared" si="1461"/>
        <v>10</v>
      </c>
      <c r="B1001" s="190" t="str">
        <f t="shared" ca="1" si="1462"/>
        <v>Depreciated Net Capex 2025-26</v>
      </c>
      <c r="C1001" s="1426"/>
      <c r="D1001" s="1426"/>
      <c r="E1001" s="1426"/>
      <c r="F1001" s="1426"/>
      <c r="G1001" s="1426"/>
      <c r="H1001" s="1426"/>
      <c r="I1001" s="1426"/>
      <c r="J1001" s="1426"/>
      <c r="K1001" s="1426"/>
      <c r="L1001" s="1427"/>
      <c r="M1001" s="1428">
        <f>(M986*((1+M$11)^0.5)/M$10)</f>
        <v>0</v>
      </c>
      <c r="N1001" s="1423">
        <f ca="1">IF(M1025="n/a",M1001,IFERROR(IF((OFFSET($C1001,0,$A1001))&lt;0,
MIN(0,M1001-(OFFSET($C1001,0,$A1001)/(OFFSET($C996,-$A1000,$A1001)))),
MAX(0,M1001-(OFFSET($C1001,0,$A1001)/(OFFSET($C996,-$A1000,$A1001))))),0))</f>
        <v>0</v>
      </c>
      <c r="O1001" s="1423">
        <f t="shared" ca="1" si="1452"/>
        <v>0</v>
      </c>
      <c r="P1001" s="1423">
        <f t="shared" ca="1" si="1453"/>
        <v>0</v>
      </c>
      <c r="Q1001" s="1423">
        <f t="shared" ca="1" si="1454"/>
        <v>0</v>
      </c>
      <c r="R1001" s="1423">
        <f t="shared" ca="1" si="1455"/>
        <v>0</v>
      </c>
      <c r="S1001" s="1423">
        <f t="shared" ca="1" si="1456"/>
        <v>0</v>
      </c>
      <c r="T1001" s="1423">
        <f t="shared" ca="1" si="1457"/>
        <v>0</v>
      </c>
      <c r="U1001" s="1423">
        <f t="shared" ca="1" si="1458"/>
        <v>0</v>
      </c>
      <c r="V1001" s="1423">
        <f t="shared" ca="1" si="1459"/>
        <v>0</v>
      </c>
      <c r="W1001" s="1423">
        <f t="shared" ca="1" si="1460"/>
        <v>0</v>
      </c>
      <c r="X1001" s="202"/>
      <c r="Y1001" s="202"/>
      <c r="Z1001" s="202"/>
      <c r="AA1001" s="152"/>
      <c r="AB1001" s="152"/>
    </row>
    <row r="1002" spans="1:28" hidden="1" outlineLevel="1">
      <c r="A1002" s="199">
        <f t="shared" si="1461"/>
        <v>11</v>
      </c>
      <c r="B1002" s="190" t="str">
        <f t="shared" ca="1" si="1462"/>
        <v>Depreciated Net Capex 2026-27</v>
      </c>
      <c r="C1002" s="1426"/>
      <c r="D1002" s="1426"/>
      <c r="E1002" s="1426"/>
      <c r="F1002" s="1426"/>
      <c r="G1002" s="1426"/>
      <c r="H1002" s="1426"/>
      <c r="I1002" s="1426"/>
      <c r="J1002" s="1426"/>
      <c r="K1002" s="1426"/>
      <c r="L1002" s="1426"/>
      <c r="M1002" s="1427"/>
      <c r="N1002" s="1428">
        <f>(N986*((1+N$11)^0.5)/N$10)</f>
        <v>0</v>
      </c>
      <c r="O1002" s="1423">
        <f ca="1">IF(N1026="n/a",N1002,IFERROR(IF((OFFSET($C1002,0,$A1002))&lt;0,
MIN(0,N1002-(OFFSET($C1002,0,$A1002)/(OFFSET($C997,-$A1001,$A1002)))),
MAX(0,N1002-(OFFSET($C1002,0,$A1002)/(OFFSET($C997,-$A1001,$A1002))))),0))</f>
        <v>0</v>
      </c>
      <c r="P1002" s="1423">
        <f t="shared" ca="1" si="1453"/>
        <v>0</v>
      </c>
      <c r="Q1002" s="1423">
        <f t="shared" ca="1" si="1454"/>
        <v>0</v>
      </c>
      <c r="R1002" s="1423">
        <f t="shared" ca="1" si="1455"/>
        <v>0</v>
      </c>
      <c r="S1002" s="1423">
        <f t="shared" ca="1" si="1456"/>
        <v>0</v>
      </c>
      <c r="T1002" s="1423">
        <f t="shared" ca="1" si="1457"/>
        <v>0</v>
      </c>
      <c r="U1002" s="1423">
        <f t="shared" ca="1" si="1458"/>
        <v>0</v>
      </c>
      <c r="V1002" s="1423">
        <f t="shared" ca="1" si="1459"/>
        <v>0</v>
      </c>
      <c r="W1002" s="1423">
        <f t="shared" ca="1" si="1460"/>
        <v>0</v>
      </c>
      <c r="X1002" s="202"/>
      <c r="Y1002" s="202"/>
      <c r="Z1002" s="202"/>
      <c r="AA1002" s="152"/>
      <c r="AB1002" s="152"/>
    </row>
    <row r="1003" spans="1:28" hidden="1" outlineLevel="1">
      <c r="A1003" s="199">
        <f t="shared" si="1461"/>
        <v>12</v>
      </c>
      <c r="B1003" s="190" t="str">
        <f t="shared" ca="1" si="1462"/>
        <v>Depreciated Net Capex 2027-28</v>
      </c>
      <c r="C1003" s="1426"/>
      <c r="D1003" s="1426"/>
      <c r="E1003" s="1426"/>
      <c r="F1003" s="1426"/>
      <c r="G1003" s="1426"/>
      <c r="H1003" s="1426"/>
      <c r="I1003" s="1426"/>
      <c r="J1003" s="1426"/>
      <c r="K1003" s="1426"/>
      <c r="L1003" s="1426"/>
      <c r="M1003" s="1426"/>
      <c r="N1003" s="1427"/>
      <c r="O1003" s="1428">
        <f>(O986*((1+O$11)^0.5)/O$10)</f>
        <v>0</v>
      </c>
      <c r="P1003" s="1423">
        <f ca="1">IF(O1027="n/a",O1003,IFERROR(IF((OFFSET($C1003,0,$A1003))&lt;0,
MIN(0,O1003-(OFFSET($C1003,0,$A1003)/(OFFSET($C998,-$A1002,$A1003)))),
MAX(0,O1003-(OFFSET($C1003,0,$A1003)/(OFFSET($C998,-$A1002,$A1003))))),0))</f>
        <v>0</v>
      </c>
      <c r="Q1003" s="1423">
        <f t="shared" ca="1" si="1454"/>
        <v>0</v>
      </c>
      <c r="R1003" s="1423">
        <f t="shared" ca="1" si="1455"/>
        <v>0</v>
      </c>
      <c r="S1003" s="1423">
        <f t="shared" ca="1" si="1456"/>
        <v>0</v>
      </c>
      <c r="T1003" s="1423">
        <f t="shared" ca="1" si="1457"/>
        <v>0</v>
      </c>
      <c r="U1003" s="1423">
        <f t="shared" ca="1" si="1458"/>
        <v>0</v>
      </c>
      <c r="V1003" s="1423">
        <f t="shared" ca="1" si="1459"/>
        <v>0</v>
      </c>
      <c r="W1003" s="1423">
        <f t="shared" ca="1" si="1460"/>
        <v>0</v>
      </c>
      <c r="X1003" s="202"/>
      <c r="Y1003" s="202"/>
      <c r="Z1003" s="202"/>
      <c r="AA1003" s="152"/>
      <c r="AB1003" s="152"/>
    </row>
    <row r="1004" spans="1:28" hidden="1" outlineLevel="1">
      <c r="A1004" s="199">
        <f t="shared" si="1461"/>
        <v>13</v>
      </c>
      <c r="B1004" s="190" t="str">
        <f t="shared" ca="1" si="1462"/>
        <v>Depreciated Net Capex 2028-29</v>
      </c>
      <c r="C1004" s="1426"/>
      <c r="D1004" s="1426"/>
      <c r="E1004" s="1426"/>
      <c r="F1004" s="1426"/>
      <c r="G1004" s="1426"/>
      <c r="H1004" s="1426"/>
      <c r="I1004" s="1426"/>
      <c r="J1004" s="1426"/>
      <c r="K1004" s="1426"/>
      <c r="L1004" s="1426"/>
      <c r="M1004" s="1426"/>
      <c r="N1004" s="1426"/>
      <c r="O1004" s="1427"/>
      <c r="P1004" s="1428">
        <f>(P986*((1+P$11)^0.5)/P$10)</f>
        <v>0</v>
      </c>
      <c r="Q1004" s="1423">
        <f ca="1">IF(P1028="n/a",P1004,IFERROR(IF((OFFSET($C1004,0,$A1004))&lt;0,
MIN(0,P1004-(OFFSET($C1004,0,$A1004)/(OFFSET($C999,-$A1003,$A1004)))),
MAX(0,P1004-(OFFSET($C1004,0,$A1004)/(OFFSET($C999,-$A1003,$A1004))))),0))</f>
        <v>0</v>
      </c>
      <c r="R1004" s="1423">
        <f t="shared" ca="1" si="1455"/>
        <v>0</v>
      </c>
      <c r="S1004" s="1423">
        <f t="shared" ca="1" si="1456"/>
        <v>0</v>
      </c>
      <c r="T1004" s="1423">
        <f t="shared" ca="1" si="1457"/>
        <v>0</v>
      </c>
      <c r="U1004" s="1423">
        <f t="shared" ca="1" si="1458"/>
        <v>0</v>
      </c>
      <c r="V1004" s="1423">
        <f t="shared" ca="1" si="1459"/>
        <v>0</v>
      </c>
      <c r="W1004" s="1423">
        <f t="shared" ca="1" si="1460"/>
        <v>0</v>
      </c>
      <c r="X1004" s="202"/>
      <c r="Y1004" s="202"/>
      <c r="Z1004" s="202"/>
      <c r="AA1004" s="152"/>
      <c r="AB1004" s="152"/>
    </row>
    <row r="1005" spans="1:28" hidden="1" outlineLevel="1">
      <c r="A1005" s="199">
        <f t="shared" si="1461"/>
        <v>14</v>
      </c>
      <c r="B1005" s="190" t="str">
        <f t="shared" ca="1" si="1462"/>
        <v>Depreciated Net Capex 2029-30</v>
      </c>
      <c r="C1005" s="1426"/>
      <c r="D1005" s="1426"/>
      <c r="E1005" s="1426"/>
      <c r="F1005" s="1426"/>
      <c r="G1005" s="1426"/>
      <c r="H1005" s="1426"/>
      <c r="I1005" s="1426"/>
      <c r="J1005" s="1426"/>
      <c r="K1005" s="1426"/>
      <c r="L1005" s="1426"/>
      <c r="M1005" s="1426"/>
      <c r="N1005" s="1426"/>
      <c r="O1005" s="1426"/>
      <c r="P1005" s="1427"/>
      <c r="Q1005" s="1428">
        <f>(Q986*((1+Q$11)^0.5)/Q$10)</f>
        <v>0</v>
      </c>
      <c r="R1005" s="1423">
        <f ca="1">IF(Q1029="n/a",Q1005,IFERROR(IF((OFFSET($C1005,0,$A1005))&lt;0,
MIN(0,Q1005-(OFFSET($C1005,0,$A1005)/(OFFSET($C1000,-$A1004,$A1005)))),
MAX(0,Q1005-(OFFSET($C1005,0,$A1005)/(OFFSET($C1000,-$A1004,$A1005))))),0))</f>
        <v>0</v>
      </c>
      <c r="S1005" s="1423">
        <f t="shared" ca="1" si="1456"/>
        <v>0</v>
      </c>
      <c r="T1005" s="1423">
        <f t="shared" ca="1" si="1457"/>
        <v>0</v>
      </c>
      <c r="U1005" s="1423">
        <f t="shared" ca="1" si="1458"/>
        <v>0</v>
      </c>
      <c r="V1005" s="1423">
        <f t="shared" ca="1" si="1459"/>
        <v>0</v>
      </c>
      <c r="W1005" s="1423">
        <f t="shared" ca="1" si="1460"/>
        <v>0</v>
      </c>
      <c r="X1005" s="202"/>
      <c r="Y1005" s="202"/>
      <c r="Z1005" s="202"/>
      <c r="AA1005" s="152"/>
      <c r="AB1005" s="152"/>
    </row>
    <row r="1006" spans="1:28" hidden="1" outlineLevel="1">
      <c r="A1006" s="199">
        <f t="shared" si="1461"/>
        <v>15</v>
      </c>
      <c r="B1006" s="190" t="str">
        <f t="shared" ca="1" si="1462"/>
        <v>Depreciated Net Capex 2030-31</v>
      </c>
      <c r="C1006" s="1426"/>
      <c r="D1006" s="1426"/>
      <c r="E1006" s="1426"/>
      <c r="F1006" s="1426"/>
      <c r="G1006" s="1426"/>
      <c r="H1006" s="1426"/>
      <c r="I1006" s="1426"/>
      <c r="J1006" s="1426"/>
      <c r="K1006" s="1426"/>
      <c r="L1006" s="1426"/>
      <c r="M1006" s="1426"/>
      <c r="N1006" s="1426"/>
      <c r="O1006" s="1426"/>
      <c r="P1006" s="1426"/>
      <c r="Q1006" s="1427"/>
      <c r="R1006" s="1428">
        <f>(R986*((1+R$11)^0.5)/R$10)</f>
        <v>0</v>
      </c>
      <c r="S1006" s="1423">
        <f ca="1">IF(R1030="n/a",R1006,IFERROR(IF((OFFSET($C1006,0,$A1006))&lt;0,
MIN(0,R1006-(OFFSET($C1006,0,$A1006)/(OFFSET($C1001,-$A1005,$A1006)))),
MAX(0,R1006-(OFFSET($C1006,0,$A1006)/(OFFSET($C1001,-$A1005,$A1006))))),0))</f>
        <v>0</v>
      </c>
      <c r="T1006" s="1423">
        <f t="shared" ca="1" si="1457"/>
        <v>0</v>
      </c>
      <c r="U1006" s="1423">
        <f t="shared" ca="1" si="1458"/>
        <v>0</v>
      </c>
      <c r="V1006" s="1423">
        <f t="shared" ca="1" si="1459"/>
        <v>0</v>
      </c>
      <c r="W1006" s="1423">
        <f t="shared" ca="1" si="1460"/>
        <v>0</v>
      </c>
      <c r="X1006" s="202"/>
      <c r="Y1006" s="202"/>
      <c r="Z1006" s="202"/>
      <c r="AA1006" s="152"/>
      <c r="AB1006" s="152"/>
    </row>
    <row r="1007" spans="1:28" hidden="1" outlineLevel="1">
      <c r="A1007" s="199">
        <f t="shared" si="1461"/>
        <v>16</v>
      </c>
      <c r="B1007" s="190" t="str">
        <f t="shared" ca="1" si="1462"/>
        <v>Depreciated Net Capex 2031-32</v>
      </c>
      <c r="C1007" s="1426"/>
      <c r="D1007" s="1426"/>
      <c r="E1007" s="1426"/>
      <c r="F1007" s="1426"/>
      <c r="G1007" s="1426"/>
      <c r="H1007" s="1426"/>
      <c r="I1007" s="1426"/>
      <c r="J1007" s="1426"/>
      <c r="K1007" s="1426"/>
      <c r="L1007" s="1426"/>
      <c r="M1007" s="1426"/>
      <c r="N1007" s="1426"/>
      <c r="O1007" s="1426"/>
      <c r="P1007" s="1426"/>
      <c r="Q1007" s="1426"/>
      <c r="R1007" s="1427"/>
      <c r="S1007" s="1428">
        <f>(S986*((1+S$11)^0.5)/S$10)</f>
        <v>0</v>
      </c>
      <c r="T1007" s="1423">
        <f ca="1">IF(S1031="n/a",S1007,IFERROR(IF((OFFSET($C1007,0,$A1007))&lt;0,
MIN(0,S1007-(OFFSET($C1007,0,$A1007)/(OFFSET($C1002,-$A1006,$A1007)))),
MAX(0,S1007-(OFFSET($C1007,0,$A1007)/(OFFSET($C1002,-$A1006,$A1007))))),0))</f>
        <v>0</v>
      </c>
      <c r="U1007" s="1423">
        <f t="shared" ca="1" si="1458"/>
        <v>0</v>
      </c>
      <c r="V1007" s="1423">
        <f t="shared" ca="1" si="1459"/>
        <v>0</v>
      </c>
      <c r="W1007" s="1423">
        <f t="shared" ca="1" si="1460"/>
        <v>0</v>
      </c>
      <c r="X1007" s="202"/>
      <c r="Y1007" s="202"/>
      <c r="Z1007" s="202"/>
      <c r="AA1007" s="152"/>
      <c r="AB1007" s="152"/>
    </row>
    <row r="1008" spans="1:28" hidden="1" outlineLevel="1">
      <c r="A1008" s="199">
        <f t="shared" si="1461"/>
        <v>17</v>
      </c>
      <c r="B1008" s="190" t="str">
        <f t="shared" ca="1" si="1462"/>
        <v>Depreciated Net Capex 2032-33</v>
      </c>
      <c r="C1008" s="1426"/>
      <c r="D1008" s="1426"/>
      <c r="E1008" s="1426"/>
      <c r="F1008" s="1426"/>
      <c r="G1008" s="1426"/>
      <c r="H1008" s="1426"/>
      <c r="I1008" s="1426"/>
      <c r="J1008" s="1426"/>
      <c r="K1008" s="1426"/>
      <c r="L1008" s="1426"/>
      <c r="M1008" s="1426"/>
      <c r="N1008" s="1426"/>
      <c r="O1008" s="1426"/>
      <c r="P1008" s="1426"/>
      <c r="Q1008" s="1426"/>
      <c r="R1008" s="1426"/>
      <c r="S1008" s="1427"/>
      <c r="T1008" s="1428">
        <f>(T986*((1+T$11)^0.5)/T$10)</f>
        <v>0</v>
      </c>
      <c r="U1008" s="1423">
        <f ca="1">IF(T1032="n/a",T1008,IFERROR(IF((OFFSET($C1008,0,$A1008))&lt;0,
MIN(0,T1008-(OFFSET($C1008,0,$A1008)/(OFFSET($C1003,-$A1007,$A1008)))),
MAX(0,T1008-(OFFSET($C1008,0,$A1008)/(OFFSET($C1003,-$A1007,$A1008))))),0))</f>
        <v>0</v>
      </c>
      <c r="V1008" s="1423">
        <f t="shared" ca="1" si="1459"/>
        <v>0</v>
      </c>
      <c r="W1008" s="1423">
        <f t="shared" ca="1" si="1460"/>
        <v>0</v>
      </c>
      <c r="X1008" s="202"/>
      <c r="Y1008" s="202"/>
      <c r="Z1008" s="202"/>
      <c r="AA1008" s="152"/>
      <c r="AB1008" s="152"/>
    </row>
    <row r="1009" spans="1:28" hidden="1" outlineLevel="1">
      <c r="A1009" s="199">
        <f t="shared" si="1461"/>
        <v>18</v>
      </c>
      <c r="B1009" s="190" t="str">
        <f t="shared" ca="1" si="1462"/>
        <v>Depreciated Net Capex 2033-34</v>
      </c>
      <c r="C1009" s="1426"/>
      <c r="D1009" s="1426"/>
      <c r="E1009" s="1426"/>
      <c r="F1009" s="1426"/>
      <c r="G1009" s="1426"/>
      <c r="H1009" s="1426"/>
      <c r="I1009" s="1426"/>
      <c r="J1009" s="1426"/>
      <c r="K1009" s="1426"/>
      <c r="L1009" s="1426"/>
      <c r="M1009" s="1426"/>
      <c r="N1009" s="1426"/>
      <c r="O1009" s="1426"/>
      <c r="P1009" s="1426"/>
      <c r="Q1009" s="1426"/>
      <c r="R1009" s="1426"/>
      <c r="S1009" s="1426"/>
      <c r="T1009" s="1427"/>
      <c r="U1009" s="1428">
        <f>(U986*((1+U$11)^0.5)/U$10)</f>
        <v>0</v>
      </c>
      <c r="V1009" s="1423">
        <f ca="1">IF(U1033="n/a",U1009,IFERROR(IF((OFFSET($C1009,0,$A1009))&lt;0,
MIN(0,U1009-(OFFSET($C1009,0,$A1009)/(OFFSET($C1004,-$A1008,$A1009)))),
MAX(0,U1009-(OFFSET($C1009,0,$A1009)/(OFFSET($C1004,-$A1008,$A1009))))),0))</f>
        <v>0</v>
      </c>
      <c r="W1009" s="1423">
        <f t="shared" ca="1" si="1460"/>
        <v>0</v>
      </c>
      <c r="X1009" s="202"/>
      <c r="Y1009" s="202"/>
      <c r="Z1009" s="202"/>
      <c r="AA1009" s="152"/>
      <c r="AB1009" s="152"/>
    </row>
    <row r="1010" spans="1:28" hidden="1" outlineLevel="1">
      <c r="A1010" s="199">
        <f t="shared" si="1461"/>
        <v>19</v>
      </c>
      <c r="B1010" s="190" t="str">
        <f t="shared" ca="1" si="1462"/>
        <v>Depreciated Net Capex 2034-35</v>
      </c>
      <c r="C1010" s="1426"/>
      <c r="D1010" s="1426"/>
      <c r="E1010" s="1426"/>
      <c r="F1010" s="1426"/>
      <c r="G1010" s="1426"/>
      <c r="H1010" s="1426"/>
      <c r="I1010" s="1426"/>
      <c r="J1010" s="1426"/>
      <c r="K1010" s="1426"/>
      <c r="L1010" s="1426"/>
      <c r="M1010" s="1426"/>
      <c r="N1010" s="1426"/>
      <c r="O1010" s="1426"/>
      <c r="P1010" s="1426"/>
      <c r="Q1010" s="1426"/>
      <c r="R1010" s="1426"/>
      <c r="S1010" s="1426"/>
      <c r="T1010" s="1426"/>
      <c r="U1010" s="1427"/>
      <c r="V1010" s="1428">
        <f>(V986*((1+V$11)^0.5)/V$10)</f>
        <v>0</v>
      </c>
      <c r="W1010" s="1423">
        <f ca="1">IF(V1034="n/a",V1010,IFERROR(IF((OFFSET($C1010,0,$A1010))&lt;0,
MIN(0,V1010-(OFFSET($C1010,0,$A1010)/(OFFSET($C1005,-$A1009,$A1010)))),
MAX(0,V1010-(OFFSET($C1010,0,$A1010)/(OFFSET($C1005,-$A1009,$A1010))))),0))</f>
        <v>0</v>
      </c>
      <c r="X1010" s="202"/>
      <c r="Y1010" s="202"/>
      <c r="Z1010" s="202"/>
      <c r="AA1010" s="152"/>
      <c r="AB1010" s="152"/>
    </row>
    <row r="1011" spans="1:28" hidden="1" outlineLevel="1">
      <c r="A1011" s="199">
        <f t="shared" si="1461"/>
        <v>20</v>
      </c>
      <c r="B1011" s="190" t="str">
        <f ca="1">"Depreciated Net Capex "&amp;OFFSET($C$6,0,A1011)</f>
        <v>Depreciated Net Capex 2035-36</v>
      </c>
      <c r="C1011" s="1426"/>
      <c r="D1011" s="1426"/>
      <c r="E1011" s="1426"/>
      <c r="F1011" s="1426"/>
      <c r="G1011" s="1426"/>
      <c r="H1011" s="1426"/>
      <c r="I1011" s="1426"/>
      <c r="J1011" s="1426"/>
      <c r="K1011" s="1426"/>
      <c r="L1011" s="1426"/>
      <c r="M1011" s="1426"/>
      <c r="N1011" s="1426"/>
      <c r="O1011" s="1426"/>
      <c r="P1011" s="1426"/>
      <c r="Q1011" s="1426"/>
      <c r="R1011" s="1426"/>
      <c r="S1011" s="1426"/>
      <c r="T1011" s="1426"/>
      <c r="U1011" s="1426"/>
      <c r="V1011" s="1427"/>
      <c r="W1011" s="1423">
        <f>(W986*((1+W$11)^0.5)/W$10)</f>
        <v>0</v>
      </c>
      <c r="X1011" s="152"/>
      <c r="Y1011" s="152"/>
      <c r="Z1011" s="152"/>
      <c r="AA1011" s="152"/>
      <c r="AB1011" s="152"/>
    </row>
    <row r="1012" spans="1:28" hidden="1" outlineLevel="1">
      <c r="A1012" s="152"/>
      <c r="B1012" s="200"/>
      <c r="C1012" s="1423"/>
      <c r="D1012" s="1423"/>
      <c r="E1012" s="1423"/>
      <c r="F1012" s="1423"/>
      <c r="G1012" s="1423"/>
      <c r="H1012" s="1423"/>
      <c r="I1012" s="1423"/>
      <c r="J1012" s="1423"/>
      <c r="K1012" s="1423"/>
      <c r="L1012" s="1423"/>
      <c r="M1012" s="1423"/>
      <c r="N1012" s="1423"/>
      <c r="O1012" s="1423"/>
      <c r="P1012" s="1423"/>
      <c r="Q1012" s="1423"/>
      <c r="R1012" s="1423"/>
      <c r="S1012" s="1423"/>
      <c r="T1012" s="1423"/>
      <c r="U1012" s="1423"/>
      <c r="V1012" s="1423"/>
      <c r="W1012" s="1423"/>
      <c r="X1012" s="152"/>
      <c r="Y1012" s="152"/>
      <c r="Z1012" s="152"/>
      <c r="AA1012" s="152"/>
      <c r="AB1012" s="152"/>
    </row>
    <row r="1013" spans="1:28" hidden="1" outlineLevel="1">
      <c r="A1013" s="152"/>
      <c r="B1013" s="200"/>
      <c r="C1013" s="1423"/>
      <c r="D1013" s="1423"/>
      <c r="E1013" s="1423"/>
      <c r="F1013" s="1423"/>
      <c r="G1013" s="1423"/>
      <c r="H1013" s="1423"/>
      <c r="I1013" s="1423"/>
      <c r="J1013" s="1423"/>
      <c r="K1013" s="1423"/>
      <c r="L1013" s="1423"/>
      <c r="M1013" s="1423"/>
      <c r="N1013" s="1423"/>
      <c r="O1013" s="1423"/>
      <c r="P1013" s="1423"/>
      <c r="Q1013" s="1423"/>
      <c r="R1013" s="1423"/>
      <c r="S1013" s="1423"/>
      <c r="T1013" s="1423"/>
      <c r="U1013" s="1423"/>
      <c r="V1013" s="1423"/>
      <c r="W1013" s="1423"/>
      <c r="X1013" s="152"/>
      <c r="Y1013" s="152"/>
      <c r="Z1013" s="152"/>
      <c r="AA1013" s="152"/>
      <c r="AB1013" s="152"/>
    </row>
    <row r="1014" spans="1:28" hidden="1" outlineLevel="1">
      <c r="A1014" s="152"/>
      <c r="B1014" s="190" t="s">
        <v>190</v>
      </c>
      <c r="C1014" s="1423"/>
      <c r="D1014" s="1423">
        <f ca="1">IF(AND(C1014&lt;1,D988=0),0,
IF(D988=0,C1014-1,
IF(C1014&lt;1,D989,
(((C1014-1)*(C990-(C990/(C1014))))+((D988/D$10)*D989))/(D990))))</f>
        <v>0</v>
      </c>
      <c r="E1014" s="1423">
        <f t="shared" ref="E1014" ca="1" si="1463">IF(AND(D1014&lt;1,E988=0),0,
IF(E988=0,D1014-1,
IF(D1014&lt;1,E989,
(((D1014-1)*(D990-(D990/(D1014))))+((E988/E$10)*E989))/(E990))))</f>
        <v>0</v>
      </c>
      <c r="F1014" s="1423">
        <f t="shared" ref="F1014" ca="1" si="1464">IF(AND(E1014&lt;1,F988=0),0,
IF(F988=0,E1014-1,
IF(E1014&lt;1,F989,
(((E1014-1)*(E990-(E990/(E1014))))+((F988/F$10)*F989))/(F990))))</f>
        <v>0</v>
      </c>
      <c r="G1014" s="1423">
        <f t="shared" ref="G1014" ca="1" si="1465">IF(AND(F1014&lt;1,G988=0),0,
IF(G988=0,F1014-1,
IF(F1014&lt;1,G989,
(((F1014-1)*(F990-(F990/(F1014))))+((G988/G$10)*G989))/(G990))))</f>
        <v>0</v>
      </c>
      <c r="H1014" s="1423">
        <f t="shared" ref="H1014" ca="1" si="1466">IF(AND(G1014&lt;1,H988=0),0,
IF(H988=0,G1014-1,
IF(G1014&lt;1,H989,
(((G1014-1)*(G990-(G990/(G1014))))+((H988/H$10)*H989))/(H990))))</f>
        <v>0</v>
      </c>
      <c r="I1014" s="1423">
        <f t="shared" ref="I1014" ca="1" si="1467">IF(AND(H1014&lt;1,I988=0),0,
IF(I988=0,H1014-1,
IF(H1014&lt;1,I989,
(((H1014-1)*(H990-(H990/(H1014))))+((I988/I$10)*I989))/(I990))))</f>
        <v>0</v>
      </c>
      <c r="J1014" s="1423">
        <f t="shared" ref="J1014" ca="1" si="1468">IF(AND(I1014&lt;1,J988=0),0,
IF(J988=0,I1014-1,
IF(I1014&lt;1,J989,
(((I1014-1)*(I990-(I990/(I1014))))+((J988/J$10)*J989))/(J990))))</f>
        <v>0</v>
      </c>
      <c r="K1014" s="1423">
        <f t="shared" ref="K1014" ca="1" si="1469">IF(AND(J1014&lt;1,K988=0),0,
IF(K988=0,J1014-1,
IF(J1014&lt;1,K989,
(((J1014-1)*(J990-(J990/(J1014))))+((K988/K$10)*K989))/(K990))))</f>
        <v>0</v>
      </c>
      <c r="L1014" s="1423">
        <f t="shared" ref="L1014" ca="1" si="1470">IF(AND(K1014&lt;1,L988=0),0,
IF(L988=0,K1014-1,
IF(K1014&lt;1,L989,
(((K1014-1)*(K990-(K990/(K1014))))+((L988/L$10)*L989))/(L990))))</f>
        <v>0</v>
      </c>
      <c r="M1014" s="1423">
        <f t="shared" ref="M1014" ca="1" si="1471">IF(AND(L1014&lt;1,M988=0),0,
IF(M988=0,L1014-1,
IF(L1014&lt;1,M989,
(((L1014-1)*(L990-(L990/(L1014))))+((M988/M$10)*M989))/(M990))))</f>
        <v>0</v>
      </c>
      <c r="N1014" s="1423">
        <f t="shared" ref="N1014" ca="1" si="1472">IF(AND(M1014&lt;1,N988=0),0,
IF(N988=0,M1014-1,
IF(M1014&lt;1,N989,
(((M1014-1)*(M990-(M990/(M1014))))+((N988/N$10)*N989))/(N990))))</f>
        <v>0</v>
      </c>
      <c r="O1014" s="1423">
        <f t="shared" ref="O1014" ca="1" si="1473">IF(AND(N1014&lt;1,O988=0),0,
IF(O988=0,N1014-1,
IF(N1014&lt;1,O989,
(((N1014-1)*(N990-(N990/(N1014))))+((O988/O$10)*O989))/(O990))))</f>
        <v>0</v>
      </c>
      <c r="P1014" s="1423">
        <f t="shared" ref="P1014" ca="1" si="1474">IF(AND(O1014&lt;1,P988=0),0,
IF(P988=0,O1014-1,
IF(O1014&lt;1,P989,
(((O1014-1)*(O990-(O990/(O1014))))+((P988/P$10)*P989))/(P990))))</f>
        <v>0</v>
      </c>
      <c r="Q1014" s="1423">
        <f t="shared" ref="Q1014" ca="1" si="1475">IF(AND(P1014&lt;1,Q988=0),0,
IF(Q988=0,P1014-1,
IF(P1014&lt;1,Q989,
(((P1014-1)*(P990-(P990/(P1014))))+((Q988/Q$10)*Q989))/(Q990))))</f>
        <v>0</v>
      </c>
      <c r="R1014" s="1423">
        <f t="shared" ref="R1014" ca="1" si="1476">IF(AND(Q1014&lt;1,R988=0),0,
IF(R988=0,Q1014-1,
IF(Q1014&lt;1,R989,
(((Q1014-1)*(Q990-(Q990/(Q1014))))+((R988/R$10)*R989))/(R990))))</f>
        <v>0</v>
      </c>
      <c r="S1014" s="1423">
        <f t="shared" ref="S1014" ca="1" si="1477">IF(AND(R1014&lt;1,S988=0),0,
IF(S988=0,R1014-1,
IF(R1014&lt;1,S989,
(((R1014-1)*(R990-(R990/(R1014))))+((S988/S$10)*S989))/(S990))))</f>
        <v>0</v>
      </c>
      <c r="T1014" s="1423">
        <f t="shared" ref="T1014" ca="1" si="1478">IF(AND(S1014&lt;1,T988=0),0,
IF(T988=0,S1014-1,
IF(S1014&lt;1,T989,
(((S1014-1)*(S990-(S990/(S1014))))+((T988/T$10)*T989))/(T990))))</f>
        <v>0</v>
      </c>
      <c r="U1014" s="1423">
        <f t="shared" ref="U1014" ca="1" si="1479">IF(AND(T1014&lt;1,U988=0),0,
IF(U988=0,T1014-1,
IF(T1014&lt;1,U989,
(((T1014-1)*(T990-(T990/(T1014))))+((U988/U$10)*U989))/(U990))))</f>
        <v>0</v>
      </c>
      <c r="V1014" s="1423">
        <f t="shared" ref="V1014" ca="1" si="1480">IF(AND(U1014&lt;1,V988=0),0,
IF(V988=0,U1014-1,
IF(U1014&lt;1,V989,
(((U1014-1)*(U990-(U990/(U1014))))+((V988/V$10)*V989))/(V990))))</f>
        <v>0</v>
      </c>
      <c r="W1014" s="1423">
        <f t="shared" ref="W1014" ca="1" si="1481">IF(AND(V1014&lt;1,W988=0),0,
IF(W988=0,V1014-1,
IF(V1014&lt;1,W989,
(((V1014-1)*(V990-(V990/(V1014))))+((W988/W$10)*W989))/(W990))))</f>
        <v>0</v>
      </c>
      <c r="X1014" s="152"/>
      <c r="Y1014" s="152"/>
      <c r="Z1014" s="152"/>
      <c r="AA1014" s="152"/>
      <c r="AB1014" s="152"/>
    </row>
    <row r="1015" spans="1:28" hidden="1" outlineLevel="1">
      <c r="A1015" s="152"/>
      <c r="B1015" s="190" t="s">
        <v>122</v>
      </c>
      <c r="C1015" s="1423">
        <f ca="1">C987</f>
        <v>0</v>
      </c>
      <c r="D1015" s="1423">
        <f t="shared" ref="D1015" ca="1" si="1482">IF(C1015="n/a","n/a",MAX(0,C1015-1))</f>
        <v>0</v>
      </c>
      <c r="E1015" s="1423">
        <f t="shared" ref="E1015:E1016" ca="1" si="1483">IF(D1015="n/a","n/a",MAX(0,D1015-1))</f>
        <v>0</v>
      </c>
      <c r="F1015" s="1423">
        <f t="shared" ref="F1015:F1017" ca="1" si="1484">IF(E1015="n/a","n/a",MAX(0,E1015-1))</f>
        <v>0</v>
      </c>
      <c r="G1015" s="1423">
        <f t="shared" ref="G1015:G1018" ca="1" si="1485">IF(F1015="n/a","n/a",MAX(0,F1015-1))</f>
        <v>0</v>
      </c>
      <c r="H1015" s="1423">
        <f t="shared" ref="H1015:H1019" ca="1" si="1486">IF(G1015="n/a","n/a",MAX(0,G1015-1))</f>
        <v>0</v>
      </c>
      <c r="I1015" s="1423">
        <f t="shared" ref="I1015:I1020" ca="1" si="1487">IF(H1015="n/a","n/a",MAX(0,H1015-1))</f>
        <v>0</v>
      </c>
      <c r="J1015" s="1423">
        <f t="shared" ref="J1015:J1021" ca="1" si="1488">IF(I1015="n/a","n/a",MAX(0,I1015-1))</f>
        <v>0</v>
      </c>
      <c r="K1015" s="1423">
        <f t="shared" ref="K1015:K1022" ca="1" si="1489">IF(J1015="n/a","n/a",MAX(0,J1015-1))</f>
        <v>0</v>
      </c>
      <c r="L1015" s="1423">
        <f t="shared" ref="L1015:L1023" ca="1" si="1490">IF(K1015="n/a","n/a",MAX(0,K1015-1))</f>
        <v>0</v>
      </c>
      <c r="M1015" s="1423">
        <f t="shared" ref="M1015:M1024" ca="1" si="1491">IF(L1015="n/a","n/a",MAX(0,L1015-1))</f>
        <v>0</v>
      </c>
      <c r="N1015" s="1423">
        <f t="shared" ref="N1015:N1025" ca="1" si="1492">IF(M1015="n/a","n/a",MAX(0,M1015-1))</f>
        <v>0</v>
      </c>
      <c r="O1015" s="1423">
        <f t="shared" ref="O1015:O1026" ca="1" si="1493">IF(N1015="n/a","n/a",MAX(0,N1015-1))</f>
        <v>0</v>
      </c>
      <c r="P1015" s="1423">
        <f t="shared" ref="P1015:P1027" ca="1" si="1494">IF(O1015="n/a","n/a",MAX(0,O1015-1))</f>
        <v>0</v>
      </c>
      <c r="Q1015" s="1423">
        <f t="shared" ref="Q1015:Q1028" ca="1" si="1495">IF(P1015="n/a","n/a",MAX(0,P1015-1))</f>
        <v>0</v>
      </c>
      <c r="R1015" s="1423">
        <f t="shared" ref="R1015:R1029" ca="1" si="1496">IF(Q1015="n/a","n/a",MAX(0,Q1015-1))</f>
        <v>0</v>
      </c>
      <c r="S1015" s="1423">
        <f t="shared" ref="S1015:S1030" ca="1" si="1497">IF(R1015="n/a","n/a",MAX(0,R1015-1))</f>
        <v>0</v>
      </c>
      <c r="T1015" s="1423">
        <f t="shared" ref="T1015:T1031" ca="1" si="1498">IF(S1015="n/a","n/a",MAX(0,S1015-1))</f>
        <v>0</v>
      </c>
      <c r="U1015" s="1423">
        <f t="shared" ref="U1015:U1032" ca="1" si="1499">IF(T1015="n/a","n/a",MAX(0,T1015-1))</f>
        <v>0</v>
      </c>
      <c r="V1015" s="1423">
        <f t="shared" ref="V1015:V1033" ca="1" si="1500">IF(U1015="n/a","n/a",MAX(0,U1015-1))</f>
        <v>0</v>
      </c>
      <c r="W1015" s="1423">
        <f t="shared" ref="W1015:W1033" ca="1" si="1501">IF(V1015="n/a","n/a",MAX(0,V1015-1))</f>
        <v>0</v>
      </c>
      <c r="X1015" s="152"/>
      <c r="Y1015" s="152"/>
      <c r="Z1015" s="152"/>
      <c r="AA1015" s="152"/>
      <c r="AB1015" s="152"/>
    </row>
    <row r="1016" spans="1:28" hidden="1" outlineLevel="1">
      <c r="A1016" s="152"/>
      <c r="B1016" s="190" t="str">
        <f t="shared" ref="B1016:B1035" ca="1" si="1502">"RL Capex "&amp;OFFSET($C$6,0,A992)</f>
        <v>RL Capex 2016-17</v>
      </c>
      <c r="C1016" s="1424"/>
      <c r="D1016" s="1428">
        <f>D987</f>
        <v>0</v>
      </c>
      <c r="E1016" s="1423">
        <f t="shared" si="1483"/>
        <v>0</v>
      </c>
      <c r="F1016" s="1423">
        <f t="shared" si="1484"/>
        <v>0</v>
      </c>
      <c r="G1016" s="1423">
        <f t="shared" si="1485"/>
        <v>0</v>
      </c>
      <c r="H1016" s="1423">
        <f t="shared" si="1486"/>
        <v>0</v>
      </c>
      <c r="I1016" s="1423">
        <f t="shared" si="1487"/>
        <v>0</v>
      </c>
      <c r="J1016" s="1423">
        <f t="shared" si="1488"/>
        <v>0</v>
      </c>
      <c r="K1016" s="1423">
        <f t="shared" si="1489"/>
        <v>0</v>
      </c>
      <c r="L1016" s="1423">
        <f t="shared" si="1490"/>
        <v>0</v>
      </c>
      <c r="M1016" s="1423">
        <f t="shared" si="1491"/>
        <v>0</v>
      </c>
      <c r="N1016" s="1423">
        <f t="shared" si="1492"/>
        <v>0</v>
      </c>
      <c r="O1016" s="1423">
        <f t="shared" si="1493"/>
        <v>0</v>
      </c>
      <c r="P1016" s="1423">
        <f t="shared" si="1494"/>
        <v>0</v>
      </c>
      <c r="Q1016" s="1423">
        <f t="shared" si="1495"/>
        <v>0</v>
      </c>
      <c r="R1016" s="1423">
        <f t="shared" si="1496"/>
        <v>0</v>
      </c>
      <c r="S1016" s="1423">
        <f t="shared" si="1497"/>
        <v>0</v>
      </c>
      <c r="T1016" s="1423">
        <f t="shared" si="1498"/>
        <v>0</v>
      </c>
      <c r="U1016" s="1423">
        <f t="shared" si="1499"/>
        <v>0</v>
      </c>
      <c r="V1016" s="1423">
        <f t="shared" si="1500"/>
        <v>0</v>
      </c>
      <c r="W1016" s="1423">
        <f t="shared" si="1501"/>
        <v>0</v>
      </c>
      <c r="X1016" s="152"/>
      <c r="Y1016" s="152"/>
      <c r="Z1016" s="152"/>
      <c r="AA1016" s="152"/>
      <c r="AB1016" s="152"/>
    </row>
    <row r="1017" spans="1:28" hidden="1" outlineLevel="1">
      <c r="A1017" s="152"/>
      <c r="B1017" s="190" t="str">
        <f t="shared" ca="1" si="1502"/>
        <v>RL Capex 2017-18</v>
      </c>
      <c r="C1017" s="1429"/>
      <c r="D1017" s="1424"/>
      <c r="E1017" s="1428">
        <f>E987</f>
        <v>0</v>
      </c>
      <c r="F1017" s="1423">
        <f t="shared" si="1484"/>
        <v>0</v>
      </c>
      <c r="G1017" s="1423">
        <f t="shared" si="1485"/>
        <v>0</v>
      </c>
      <c r="H1017" s="1423">
        <f t="shared" si="1486"/>
        <v>0</v>
      </c>
      <c r="I1017" s="1423">
        <f t="shared" si="1487"/>
        <v>0</v>
      </c>
      <c r="J1017" s="1423">
        <f t="shared" si="1488"/>
        <v>0</v>
      </c>
      <c r="K1017" s="1423">
        <f t="shared" si="1489"/>
        <v>0</v>
      </c>
      <c r="L1017" s="1423">
        <f t="shared" si="1490"/>
        <v>0</v>
      </c>
      <c r="M1017" s="1423">
        <f t="shared" si="1491"/>
        <v>0</v>
      </c>
      <c r="N1017" s="1423">
        <f t="shared" si="1492"/>
        <v>0</v>
      </c>
      <c r="O1017" s="1423">
        <f t="shared" si="1493"/>
        <v>0</v>
      </c>
      <c r="P1017" s="1423">
        <f t="shared" si="1494"/>
        <v>0</v>
      </c>
      <c r="Q1017" s="1423">
        <f t="shared" si="1495"/>
        <v>0</v>
      </c>
      <c r="R1017" s="1423">
        <f t="shared" si="1496"/>
        <v>0</v>
      </c>
      <c r="S1017" s="1423">
        <f t="shared" si="1497"/>
        <v>0</v>
      </c>
      <c r="T1017" s="1423">
        <f t="shared" si="1498"/>
        <v>0</v>
      </c>
      <c r="U1017" s="1423">
        <f t="shared" si="1499"/>
        <v>0</v>
      </c>
      <c r="V1017" s="1423">
        <f t="shared" si="1500"/>
        <v>0</v>
      </c>
      <c r="W1017" s="1423">
        <f t="shared" si="1501"/>
        <v>0</v>
      </c>
      <c r="X1017" s="152"/>
      <c r="Y1017" s="152"/>
      <c r="Z1017" s="152"/>
      <c r="AA1017" s="152"/>
      <c r="AB1017" s="152"/>
    </row>
    <row r="1018" spans="1:28" hidden="1" outlineLevel="1">
      <c r="A1018" s="152"/>
      <c r="B1018" s="190" t="str">
        <f t="shared" ca="1" si="1502"/>
        <v>RL Capex 2018-19</v>
      </c>
      <c r="C1018" s="1429"/>
      <c r="D1018" s="1429"/>
      <c r="E1018" s="1424"/>
      <c r="F1018" s="1428">
        <f>F987</f>
        <v>0</v>
      </c>
      <c r="G1018" s="1423">
        <f t="shared" si="1485"/>
        <v>0</v>
      </c>
      <c r="H1018" s="1423">
        <f t="shared" si="1486"/>
        <v>0</v>
      </c>
      <c r="I1018" s="1423">
        <f t="shared" si="1487"/>
        <v>0</v>
      </c>
      <c r="J1018" s="1423">
        <f t="shared" si="1488"/>
        <v>0</v>
      </c>
      <c r="K1018" s="1423">
        <f t="shared" si="1489"/>
        <v>0</v>
      </c>
      <c r="L1018" s="1423">
        <f t="shared" si="1490"/>
        <v>0</v>
      </c>
      <c r="M1018" s="1423">
        <f t="shared" si="1491"/>
        <v>0</v>
      </c>
      <c r="N1018" s="1423">
        <f t="shared" si="1492"/>
        <v>0</v>
      </c>
      <c r="O1018" s="1423">
        <f t="shared" si="1493"/>
        <v>0</v>
      </c>
      <c r="P1018" s="1423">
        <f t="shared" si="1494"/>
        <v>0</v>
      </c>
      <c r="Q1018" s="1423">
        <f t="shared" si="1495"/>
        <v>0</v>
      </c>
      <c r="R1018" s="1423">
        <f t="shared" si="1496"/>
        <v>0</v>
      </c>
      <c r="S1018" s="1423">
        <f t="shared" si="1497"/>
        <v>0</v>
      </c>
      <c r="T1018" s="1423">
        <f t="shared" si="1498"/>
        <v>0</v>
      </c>
      <c r="U1018" s="1423">
        <f t="shared" si="1499"/>
        <v>0</v>
      </c>
      <c r="V1018" s="1423">
        <f t="shared" si="1500"/>
        <v>0</v>
      </c>
      <c r="W1018" s="1423">
        <f t="shared" si="1501"/>
        <v>0</v>
      </c>
      <c r="X1018" s="152"/>
      <c r="Y1018" s="152"/>
      <c r="Z1018" s="152"/>
      <c r="AA1018" s="152"/>
      <c r="AB1018" s="152"/>
    </row>
    <row r="1019" spans="1:28" hidden="1" outlineLevel="1">
      <c r="A1019" s="152"/>
      <c r="B1019" s="190" t="str">
        <f t="shared" ca="1" si="1502"/>
        <v>RL Capex 2019-20</v>
      </c>
      <c r="C1019" s="1429"/>
      <c r="D1019" s="1429"/>
      <c r="E1019" s="1429"/>
      <c r="F1019" s="1424"/>
      <c r="G1019" s="1428">
        <f>G987</f>
        <v>0</v>
      </c>
      <c r="H1019" s="1423">
        <f t="shared" si="1486"/>
        <v>0</v>
      </c>
      <c r="I1019" s="1423">
        <f t="shared" si="1487"/>
        <v>0</v>
      </c>
      <c r="J1019" s="1423">
        <f t="shared" si="1488"/>
        <v>0</v>
      </c>
      <c r="K1019" s="1423">
        <f t="shared" si="1489"/>
        <v>0</v>
      </c>
      <c r="L1019" s="1423">
        <f t="shared" si="1490"/>
        <v>0</v>
      </c>
      <c r="M1019" s="1423">
        <f t="shared" si="1491"/>
        <v>0</v>
      </c>
      <c r="N1019" s="1423">
        <f t="shared" si="1492"/>
        <v>0</v>
      </c>
      <c r="O1019" s="1423">
        <f t="shared" si="1493"/>
        <v>0</v>
      </c>
      <c r="P1019" s="1423">
        <f t="shared" si="1494"/>
        <v>0</v>
      </c>
      <c r="Q1019" s="1423">
        <f t="shared" si="1495"/>
        <v>0</v>
      </c>
      <c r="R1019" s="1423">
        <f t="shared" si="1496"/>
        <v>0</v>
      </c>
      <c r="S1019" s="1423">
        <f t="shared" si="1497"/>
        <v>0</v>
      </c>
      <c r="T1019" s="1423">
        <f t="shared" si="1498"/>
        <v>0</v>
      </c>
      <c r="U1019" s="1423">
        <f t="shared" si="1499"/>
        <v>0</v>
      </c>
      <c r="V1019" s="1423">
        <f t="shared" si="1500"/>
        <v>0</v>
      </c>
      <c r="W1019" s="1423">
        <f t="shared" si="1501"/>
        <v>0</v>
      </c>
      <c r="X1019" s="152"/>
      <c r="Y1019" s="152"/>
      <c r="Z1019" s="152"/>
      <c r="AA1019" s="152"/>
      <c r="AB1019" s="152"/>
    </row>
    <row r="1020" spans="1:28" hidden="1" outlineLevel="1">
      <c r="A1020" s="152"/>
      <c r="B1020" s="190" t="str">
        <f t="shared" ca="1" si="1502"/>
        <v>RL Capex 2020-21</v>
      </c>
      <c r="C1020" s="1429"/>
      <c r="D1020" s="1429"/>
      <c r="E1020" s="1429"/>
      <c r="F1020" s="1429"/>
      <c r="G1020" s="1424"/>
      <c r="H1020" s="1428">
        <f>H987</f>
        <v>0</v>
      </c>
      <c r="I1020" s="1423">
        <f t="shared" si="1487"/>
        <v>0</v>
      </c>
      <c r="J1020" s="1423">
        <f t="shared" si="1488"/>
        <v>0</v>
      </c>
      <c r="K1020" s="1423">
        <f t="shared" si="1489"/>
        <v>0</v>
      </c>
      <c r="L1020" s="1423">
        <f t="shared" si="1490"/>
        <v>0</v>
      </c>
      <c r="M1020" s="1423">
        <f t="shared" si="1491"/>
        <v>0</v>
      </c>
      <c r="N1020" s="1423">
        <f t="shared" si="1492"/>
        <v>0</v>
      </c>
      <c r="O1020" s="1423">
        <f t="shared" si="1493"/>
        <v>0</v>
      </c>
      <c r="P1020" s="1423">
        <f t="shared" si="1494"/>
        <v>0</v>
      </c>
      <c r="Q1020" s="1423">
        <f t="shared" si="1495"/>
        <v>0</v>
      </c>
      <c r="R1020" s="1423">
        <f t="shared" si="1496"/>
        <v>0</v>
      </c>
      <c r="S1020" s="1423">
        <f t="shared" si="1497"/>
        <v>0</v>
      </c>
      <c r="T1020" s="1423">
        <f t="shared" si="1498"/>
        <v>0</v>
      </c>
      <c r="U1020" s="1423">
        <f t="shared" si="1499"/>
        <v>0</v>
      </c>
      <c r="V1020" s="1423">
        <f t="shared" si="1500"/>
        <v>0</v>
      </c>
      <c r="W1020" s="1423">
        <f t="shared" si="1501"/>
        <v>0</v>
      </c>
      <c r="X1020" s="152"/>
      <c r="Y1020" s="152"/>
      <c r="Z1020" s="152"/>
      <c r="AA1020" s="152"/>
      <c r="AB1020" s="152"/>
    </row>
    <row r="1021" spans="1:28" hidden="1" outlineLevel="1">
      <c r="A1021" s="152"/>
      <c r="B1021" s="190" t="str">
        <f t="shared" ca="1" si="1502"/>
        <v>RL Capex 2021-22</v>
      </c>
      <c r="C1021" s="1429"/>
      <c r="D1021" s="1429"/>
      <c r="E1021" s="1429"/>
      <c r="F1021" s="1429"/>
      <c r="G1021" s="1429"/>
      <c r="H1021" s="1424"/>
      <c r="I1021" s="1428">
        <f>I987</f>
        <v>0</v>
      </c>
      <c r="J1021" s="1423">
        <f t="shared" si="1488"/>
        <v>0</v>
      </c>
      <c r="K1021" s="1423">
        <f t="shared" si="1489"/>
        <v>0</v>
      </c>
      <c r="L1021" s="1423">
        <f t="shared" si="1490"/>
        <v>0</v>
      </c>
      <c r="M1021" s="1423">
        <f t="shared" si="1491"/>
        <v>0</v>
      </c>
      <c r="N1021" s="1423">
        <f t="shared" si="1492"/>
        <v>0</v>
      </c>
      <c r="O1021" s="1423">
        <f t="shared" si="1493"/>
        <v>0</v>
      </c>
      <c r="P1021" s="1423">
        <f t="shared" si="1494"/>
        <v>0</v>
      </c>
      <c r="Q1021" s="1423">
        <f t="shared" si="1495"/>
        <v>0</v>
      </c>
      <c r="R1021" s="1423">
        <f t="shared" si="1496"/>
        <v>0</v>
      </c>
      <c r="S1021" s="1423">
        <f t="shared" si="1497"/>
        <v>0</v>
      </c>
      <c r="T1021" s="1423">
        <f t="shared" si="1498"/>
        <v>0</v>
      </c>
      <c r="U1021" s="1423">
        <f t="shared" si="1499"/>
        <v>0</v>
      </c>
      <c r="V1021" s="1423">
        <f t="shared" si="1500"/>
        <v>0</v>
      </c>
      <c r="W1021" s="1423">
        <f t="shared" si="1501"/>
        <v>0</v>
      </c>
      <c r="X1021" s="152"/>
      <c r="Y1021" s="152"/>
      <c r="Z1021" s="152"/>
      <c r="AA1021" s="152"/>
      <c r="AB1021" s="152"/>
    </row>
    <row r="1022" spans="1:28" hidden="1" outlineLevel="1">
      <c r="A1022" s="152"/>
      <c r="B1022" s="190" t="str">
        <f t="shared" ca="1" si="1502"/>
        <v>RL Capex 2022-23</v>
      </c>
      <c r="C1022" s="1429"/>
      <c r="D1022" s="1429"/>
      <c r="E1022" s="1429"/>
      <c r="F1022" s="1429"/>
      <c r="G1022" s="1429"/>
      <c r="H1022" s="1429"/>
      <c r="I1022" s="1424"/>
      <c r="J1022" s="1428">
        <f>J987</f>
        <v>0</v>
      </c>
      <c r="K1022" s="1423">
        <f t="shared" si="1489"/>
        <v>0</v>
      </c>
      <c r="L1022" s="1423">
        <f t="shared" si="1490"/>
        <v>0</v>
      </c>
      <c r="M1022" s="1423">
        <f t="shared" si="1491"/>
        <v>0</v>
      </c>
      <c r="N1022" s="1423">
        <f t="shared" si="1492"/>
        <v>0</v>
      </c>
      <c r="O1022" s="1423">
        <f t="shared" si="1493"/>
        <v>0</v>
      </c>
      <c r="P1022" s="1423">
        <f t="shared" si="1494"/>
        <v>0</v>
      </c>
      <c r="Q1022" s="1423">
        <f t="shared" si="1495"/>
        <v>0</v>
      </c>
      <c r="R1022" s="1423">
        <f t="shared" si="1496"/>
        <v>0</v>
      </c>
      <c r="S1022" s="1423">
        <f t="shared" si="1497"/>
        <v>0</v>
      </c>
      <c r="T1022" s="1423">
        <f t="shared" si="1498"/>
        <v>0</v>
      </c>
      <c r="U1022" s="1423">
        <f t="shared" si="1499"/>
        <v>0</v>
      </c>
      <c r="V1022" s="1423">
        <f t="shared" si="1500"/>
        <v>0</v>
      </c>
      <c r="W1022" s="1423">
        <f t="shared" si="1501"/>
        <v>0</v>
      </c>
      <c r="X1022" s="152"/>
      <c r="Y1022" s="152"/>
      <c r="Z1022" s="152"/>
      <c r="AA1022" s="152"/>
      <c r="AB1022" s="152"/>
    </row>
    <row r="1023" spans="1:28" hidden="1" outlineLevel="1">
      <c r="A1023" s="152"/>
      <c r="B1023" s="190" t="str">
        <f t="shared" ca="1" si="1502"/>
        <v>RL Capex 2023-24</v>
      </c>
      <c r="C1023" s="1429"/>
      <c r="D1023" s="1429"/>
      <c r="E1023" s="1429"/>
      <c r="F1023" s="1429"/>
      <c r="G1023" s="1429"/>
      <c r="H1023" s="1429"/>
      <c r="I1023" s="1429"/>
      <c r="J1023" s="1424"/>
      <c r="K1023" s="1428">
        <f>K987</f>
        <v>0</v>
      </c>
      <c r="L1023" s="1423">
        <f t="shared" si="1490"/>
        <v>0</v>
      </c>
      <c r="M1023" s="1423">
        <f t="shared" si="1491"/>
        <v>0</v>
      </c>
      <c r="N1023" s="1423">
        <f t="shared" si="1492"/>
        <v>0</v>
      </c>
      <c r="O1023" s="1423">
        <f t="shared" si="1493"/>
        <v>0</v>
      </c>
      <c r="P1023" s="1423">
        <f t="shared" si="1494"/>
        <v>0</v>
      </c>
      <c r="Q1023" s="1423">
        <f t="shared" si="1495"/>
        <v>0</v>
      </c>
      <c r="R1023" s="1423">
        <f t="shared" si="1496"/>
        <v>0</v>
      </c>
      <c r="S1023" s="1423">
        <f t="shared" si="1497"/>
        <v>0</v>
      </c>
      <c r="T1023" s="1423">
        <f t="shared" si="1498"/>
        <v>0</v>
      </c>
      <c r="U1023" s="1423">
        <f t="shared" si="1499"/>
        <v>0</v>
      </c>
      <c r="V1023" s="1423">
        <f t="shared" si="1500"/>
        <v>0</v>
      </c>
      <c r="W1023" s="1423">
        <f t="shared" si="1501"/>
        <v>0</v>
      </c>
      <c r="X1023" s="152"/>
      <c r="Y1023" s="152"/>
      <c r="Z1023" s="152"/>
      <c r="AA1023" s="152"/>
      <c r="AB1023" s="152"/>
    </row>
    <row r="1024" spans="1:28" hidden="1" outlineLevel="1">
      <c r="A1024" s="152"/>
      <c r="B1024" s="190" t="str">
        <f t="shared" ca="1" si="1502"/>
        <v>RL Capex 2024-25</v>
      </c>
      <c r="C1024" s="1429"/>
      <c r="D1024" s="1429"/>
      <c r="E1024" s="1429"/>
      <c r="F1024" s="1429"/>
      <c r="G1024" s="1429"/>
      <c r="H1024" s="1429"/>
      <c r="I1024" s="1429"/>
      <c r="J1024" s="1429"/>
      <c r="K1024" s="1424"/>
      <c r="L1024" s="1428">
        <f>L987</f>
        <v>0</v>
      </c>
      <c r="M1024" s="1423">
        <f t="shared" si="1491"/>
        <v>0</v>
      </c>
      <c r="N1024" s="1423">
        <f t="shared" si="1492"/>
        <v>0</v>
      </c>
      <c r="O1024" s="1423">
        <f t="shared" si="1493"/>
        <v>0</v>
      </c>
      <c r="P1024" s="1423">
        <f t="shared" si="1494"/>
        <v>0</v>
      </c>
      <c r="Q1024" s="1423">
        <f t="shared" si="1495"/>
        <v>0</v>
      </c>
      <c r="R1024" s="1423">
        <f t="shared" si="1496"/>
        <v>0</v>
      </c>
      <c r="S1024" s="1423">
        <f t="shared" si="1497"/>
        <v>0</v>
      </c>
      <c r="T1024" s="1423">
        <f t="shared" si="1498"/>
        <v>0</v>
      </c>
      <c r="U1024" s="1423">
        <f t="shared" si="1499"/>
        <v>0</v>
      </c>
      <c r="V1024" s="1423">
        <f t="shared" si="1500"/>
        <v>0</v>
      </c>
      <c r="W1024" s="1423">
        <f t="shared" si="1501"/>
        <v>0</v>
      </c>
      <c r="X1024" s="152"/>
      <c r="Y1024" s="152"/>
      <c r="Z1024" s="152"/>
      <c r="AA1024" s="152"/>
      <c r="AB1024" s="152"/>
    </row>
    <row r="1025" spans="1:28" hidden="1" outlineLevel="1">
      <c r="A1025" s="152"/>
      <c r="B1025" s="190" t="str">
        <f t="shared" ca="1" si="1502"/>
        <v>RL Capex 2025-26</v>
      </c>
      <c r="C1025" s="1429"/>
      <c r="D1025" s="1429"/>
      <c r="E1025" s="1429"/>
      <c r="F1025" s="1429"/>
      <c r="G1025" s="1429"/>
      <c r="H1025" s="1429"/>
      <c r="I1025" s="1429"/>
      <c r="J1025" s="1429"/>
      <c r="K1025" s="1429"/>
      <c r="L1025" s="1424"/>
      <c r="M1025" s="1428">
        <f>M987</f>
        <v>0</v>
      </c>
      <c r="N1025" s="1423">
        <f t="shared" si="1492"/>
        <v>0</v>
      </c>
      <c r="O1025" s="1423">
        <f t="shared" si="1493"/>
        <v>0</v>
      </c>
      <c r="P1025" s="1423">
        <f t="shared" si="1494"/>
        <v>0</v>
      </c>
      <c r="Q1025" s="1423">
        <f t="shared" si="1495"/>
        <v>0</v>
      </c>
      <c r="R1025" s="1423">
        <f t="shared" si="1496"/>
        <v>0</v>
      </c>
      <c r="S1025" s="1423">
        <f t="shared" si="1497"/>
        <v>0</v>
      </c>
      <c r="T1025" s="1423">
        <f t="shared" si="1498"/>
        <v>0</v>
      </c>
      <c r="U1025" s="1423">
        <f t="shared" si="1499"/>
        <v>0</v>
      </c>
      <c r="V1025" s="1423">
        <f t="shared" si="1500"/>
        <v>0</v>
      </c>
      <c r="W1025" s="1423">
        <f t="shared" si="1501"/>
        <v>0</v>
      </c>
      <c r="X1025" s="152"/>
      <c r="Y1025" s="152"/>
      <c r="Z1025" s="152"/>
      <c r="AA1025" s="152"/>
      <c r="AB1025" s="152"/>
    </row>
    <row r="1026" spans="1:28" hidden="1" outlineLevel="1">
      <c r="A1026" s="152"/>
      <c r="B1026" s="190" t="str">
        <f t="shared" ca="1" si="1502"/>
        <v>RL Capex 2026-27</v>
      </c>
      <c r="C1026" s="1429"/>
      <c r="D1026" s="1429"/>
      <c r="E1026" s="1429"/>
      <c r="F1026" s="1429"/>
      <c r="G1026" s="1429"/>
      <c r="H1026" s="1429"/>
      <c r="I1026" s="1429"/>
      <c r="J1026" s="1429"/>
      <c r="K1026" s="1429"/>
      <c r="L1026" s="1429"/>
      <c r="M1026" s="1424"/>
      <c r="N1026" s="1428">
        <f>N987</f>
        <v>0</v>
      </c>
      <c r="O1026" s="1423">
        <f t="shared" si="1493"/>
        <v>0</v>
      </c>
      <c r="P1026" s="1423">
        <f t="shared" si="1494"/>
        <v>0</v>
      </c>
      <c r="Q1026" s="1423">
        <f t="shared" si="1495"/>
        <v>0</v>
      </c>
      <c r="R1026" s="1423">
        <f t="shared" si="1496"/>
        <v>0</v>
      </c>
      <c r="S1026" s="1423">
        <f t="shared" si="1497"/>
        <v>0</v>
      </c>
      <c r="T1026" s="1423">
        <f t="shared" si="1498"/>
        <v>0</v>
      </c>
      <c r="U1026" s="1423">
        <f t="shared" si="1499"/>
        <v>0</v>
      </c>
      <c r="V1026" s="1423">
        <f t="shared" si="1500"/>
        <v>0</v>
      </c>
      <c r="W1026" s="1423">
        <f t="shared" si="1501"/>
        <v>0</v>
      </c>
      <c r="X1026" s="152"/>
      <c r="Y1026" s="152"/>
      <c r="Z1026" s="152"/>
      <c r="AA1026" s="152"/>
      <c r="AB1026" s="152"/>
    </row>
    <row r="1027" spans="1:28" hidden="1" outlineLevel="1">
      <c r="A1027" s="152"/>
      <c r="B1027" s="190" t="str">
        <f t="shared" ca="1" si="1502"/>
        <v>RL Capex 2027-28</v>
      </c>
      <c r="C1027" s="1429"/>
      <c r="D1027" s="1429"/>
      <c r="E1027" s="1429"/>
      <c r="F1027" s="1429"/>
      <c r="G1027" s="1429"/>
      <c r="H1027" s="1429"/>
      <c r="I1027" s="1429"/>
      <c r="J1027" s="1429"/>
      <c r="K1027" s="1429"/>
      <c r="L1027" s="1429"/>
      <c r="M1027" s="1429"/>
      <c r="N1027" s="1424"/>
      <c r="O1027" s="1428">
        <f>O987</f>
        <v>0</v>
      </c>
      <c r="P1027" s="1423">
        <f t="shared" si="1494"/>
        <v>0</v>
      </c>
      <c r="Q1027" s="1423">
        <f t="shared" si="1495"/>
        <v>0</v>
      </c>
      <c r="R1027" s="1423">
        <f t="shared" si="1496"/>
        <v>0</v>
      </c>
      <c r="S1027" s="1423">
        <f t="shared" si="1497"/>
        <v>0</v>
      </c>
      <c r="T1027" s="1423">
        <f t="shared" si="1498"/>
        <v>0</v>
      </c>
      <c r="U1027" s="1423">
        <f t="shared" si="1499"/>
        <v>0</v>
      </c>
      <c r="V1027" s="1423">
        <f t="shared" si="1500"/>
        <v>0</v>
      </c>
      <c r="W1027" s="1423">
        <f t="shared" si="1501"/>
        <v>0</v>
      </c>
      <c r="X1027" s="152"/>
      <c r="Y1027" s="152"/>
      <c r="Z1027" s="152"/>
      <c r="AA1027" s="152"/>
      <c r="AB1027" s="152"/>
    </row>
    <row r="1028" spans="1:28" hidden="1" outlineLevel="1">
      <c r="A1028" s="152"/>
      <c r="B1028" s="190" t="str">
        <f t="shared" ca="1" si="1502"/>
        <v>RL Capex 2028-29</v>
      </c>
      <c r="C1028" s="1429"/>
      <c r="D1028" s="1429"/>
      <c r="E1028" s="1429"/>
      <c r="F1028" s="1429"/>
      <c r="G1028" s="1429"/>
      <c r="H1028" s="1429"/>
      <c r="I1028" s="1429"/>
      <c r="J1028" s="1429"/>
      <c r="K1028" s="1429"/>
      <c r="L1028" s="1429"/>
      <c r="M1028" s="1429"/>
      <c r="N1028" s="1429"/>
      <c r="O1028" s="1424"/>
      <c r="P1028" s="1428">
        <f>P987</f>
        <v>0</v>
      </c>
      <c r="Q1028" s="1423">
        <f t="shared" si="1495"/>
        <v>0</v>
      </c>
      <c r="R1028" s="1423">
        <f t="shared" si="1496"/>
        <v>0</v>
      </c>
      <c r="S1028" s="1423">
        <f t="shared" si="1497"/>
        <v>0</v>
      </c>
      <c r="T1028" s="1423">
        <f t="shared" si="1498"/>
        <v>0</v>
      </c>
      <c r="U1028" s="1423">
        <f t="shared" si="1499"/>
        <v>0</v>
      </c>
      <c r="V1028" s="1423">
        <f t="shared" si="1500"/>
        <v>0</v>
      </c>
      <c r="W1028" s="1423">
        <f t="shared" si="1501"/>
        <v>0</v>
      </c>
      <c r="X1028" s="152"/>
      <c r="Y1028" s="152"/>
      <c r="Z1028" s="152"/>
      <c r="AA1028" s="152"/>
      <c r="AB1028" s="152"/>
    </row>
    <row r="1029" spans="1:28" hidden="1" outlineLevel="1">
      <c r="A1029" s="152"/>
      <c r="B1029" s="190" t="str">
        <f t="shared" ca="1" si="1502"/>
        <v>RL Capex 2029-30</v>
      </c>
      <c r="C1029" s="1429"/>
      <c r="D1029" s="1429"/>
      <c r="E1029" s="1429"/>
      <c r="F1029" s="1429"/>
      <c r="G1029" s="1429"/>
      <c r="H1029" s="1429"/>
      <c r="I1029" s="1429"/>
      <c r="J1029" s="1429"/>
      <c r="K1029" s="1429"/>
      <c r="L1029" s="1429"/>
      <c r="M1029" s="1429"/>
      <c r="N1029" s="1429"/>
      <c r="O1029" s="1429"/>
      <c r="P1029" s="1424"/>
      <c r="Q1029" s="1428">
        <f>Q987</f>
        <v>0</v>
      </c>
      <c r="R1029" s="1423">
        <f t="shared" si="1496"/>
        <v>0</v>
      </c>
      <c r="S1029" s="1423">
        <f t="shared" si="1497"/>
        <v>0</v>
      </c>
      <c r="T1029" s="1423">
        <f t="shared" si="1498"/>
        <v>0</v>
      </c>
      <c r="U1029" s="1423">
        <f t="shared" si="1499"/>
        <v>0</v>
      </c>
      <c r="V1029" s="1423">
        <f t="shared" si="1500"/>
        <v>0</v>
      </c>
      <c r="W1029" s="1423">
        <f t="shared" si="1501"/>
        <v>0</v>
      </c>
      <c r="X1029" s="152"/>
      <c r="Y1029" s="152"/>
      <c r="Z1029" s="152"/>
      <c r="AA1029" s="152"/>
      <c r="AB1029" s="152"/>
    </row>
    <row r="1030" spans="1:28" hidden="1" outlineLevel="1">
      <c r="A1030" s="152"/>
      <c r="B1030" s="190" t="str">
        <f t="shared" ca="1" si="1502"/>
        <v>RL Capex 2030-31</v>
      </c>
      <c r="C1030" s="1429"/>
      <c r="D1030" s="1429"/>
      <c r="E1030" s="1429"/>
      <c r="F1030" s="1429"/>
      <c r="G1030" s="1429"/>
      <c r="H1030" s="1429"/>
      <c r="I1030" s="1429"/>
      <c r="J1030" s="1429"/>
      <c r="K1030" s="1429"/>
      <c r="L1030" s="1429"/>
      <c r="M1030" s="1429"/>
      <c r="N1030" s="1429"/>
      <c r="O1030" s="1429"/>
      <c r="P1030" s="1429"/>
      <c r="Q1030" s="1424"/>
      <c r="R1030" s="1428">
        <f>R987</f>
        <v>0</v>
      </c>
      <c r="S1030" s="1423">
        <f t="shared" si="1497"/>
        <v>0</v>
      </c>
      <c r="T1030" s="1423">
        <f t="shared" si="1498"/>
        <v>0</v>
      </c>
      <c r="U1030" s="1423">
        <f t="shared" si="1499"/>
        <v>0</v>
      </c>
      <c r="V1030" s="1423">
        <f t="shared" si="1500"/>
        <v>0</v>
      </c>
      <c r="W1030" s="1423">
        <f t="shared" si="1501"/>
        <v>0</v>
      </c>
      <c r="X1030" s="152"/>
      <c r="Y1030" s="152"/>
      <c r="Z1030" s="152"/>
      <c r="AA1030" s="152"/>
      <c r="AB1030" s="152"/>
    </row>
    <row r="1031" spans="1:28" hidden="1" outlineLevel="1">
      <c r="A1031" s="152"/>
      <c r="B1031" s="190" t="str">
        <f t="shared" ca="1" si="1502"/>
        <v>RL Capex 2031-32</v>
      </c>
      <c r="C1031" s="1429"/>
      <c r="D1031" s="1429"/>
      <c r="E1031" s="1429"/>
      <c r="F1031" s="1429"/>
      <c r="G1031" s="1429"/>
      <c r="H1031" s="1429"/>
      <c r="I1031" s="1429"/>
      <c r="J1031" s="1429"/>
      <c r="K1031" s="1429"/>
      <c r="L1031" s="1429"/>
      <c r="M1031" s="1429"/>
      <c r="N1031" s="1429"/>
      <c r="O1031" s="1429"/>
      <c r="P1031" s="1429"/>
      <c r="Q1031" s="1429"/>
      <c r="R1031" s="1424"/>
      <c r="S1031" s="1428">
        <f>S987</f>
        <v>0</v>
      </c>
      <c r="T1031" s="1423">
        <f t="shared" si="1498"/>
        <v>0</v>
      </c>
      <c r="U1031" s="1423">
        <f t="shared" si="1499"/>
        <v>0</v>
      </c>
      <c r="V1031" s="1423">
        <f t="shared" si="1500"/>
        <v>0</v>
      </c>
      <c r="W1031" s="1423">
        <f t="shared" si="1501"/>
        <v>0</v>
      </c>
      <c r="X1031" s="152"/>
      <c r="Y1031" s="152"/>
      <c r="Z1031" s="152"/>
      <c r="AA1031" s="152"/>
      <c r="AB1031" s="152"/>
    </row>
    <row r="1032" spans="1:28" hidden="1" outlineLevel="1">
      <c r="A1032" s="152"/>
      <c r="B1032" s="190" t="str">
        <f t="shared" ca="1" si="1502"/>
        <v>RL Capex 2032-33</v>
      </c>
      <c r="C1032" s="1429"/>
      <c r="D1032" s="1429"/>
      <c r="E1032" s="1429"/>
      <c r="F1032" s="1429"/>
      <c r="G1032" s="1429"/>
      <c r="H1032" s="1429"/>
      <c r="I1032" s="1429"/>
      <c r="J1032" s="1429"/>
      <c r="K1032" s="1429"/>
      <c r="L1032" s="1429"/>
      <c r="M1032" s="1429"/>
      <c r="N1032" s="1429"/>
      <c r="O1032" s="1429"/>
      <c r="P1032" s="1429"/>
      <c r="Q1032" s="1429"/>
      <c r="R1032" s="1429"/>
      <c r="S1032" s="1424"/>
      <c r="T1032" s="1428">
        <f>T987</f>
        <v>0</v>
      </c>
      <c r="U1032" s="1423">
        <f t="shared" si="1499"/>
        <v>0</v>
      </c>
      <c r="V1032" s="1423">
        <f t="shared" si="1500"/>
        <v>0</v>
      </c>
      <c r="W1032" s="1423">
        <f t="shared" si="1501"/>
        <v>0</v>
      </c>
      <c r="X1032" s="152"/>
      <c r="Y1032" s="152"/>
      <c r="Z1032" s="152"/>
      <c r="AA1032" s="152"/>
      <c r="AB1032" s="152"/>
    </row>
    <row r="1033" spans="1:28" hidden="1" outlineLevel="1">
      <c r="A1033" s="152"/>
      <c r="B1033" s="190" t="str">
        <f t="shared" ca="1" si="1502"/>
        <v>RL Capex 2033-34</v>
      </c>
      <c r="C1033" s="1429"/>
      <c r="D1033" s="1429"/>
      <c r="E1033" s="1429"/>
      <c r="F1033" s="1429"/>
      <c r="G1033" s="1429"/>
      <c r="H1033" s="1429"/>
      <c r="I1033" s="1429"/>
      <c r="J1033" s="1429"/>
      <c r="K1033" s="1429"/>
      <c r="L1033" s="1429"/>
      <c r="M1033" s="1429"/>
      <c r="N1033" s="1429"/>
      <c r="O1033" s="1429"/>
      <c r="P1033" s="1429"/>
      <c r="Q1033" s="1429"/>
      <c r="R1033" s="1429"/>
      <c r="S1033" s="1429"/>
      <c r="T1033" s="1424"/>
      <c r="U1033" s="1428">
        <f>U987</f>
        <v>0</v>
      </c>
      <c r="V1033" s="1423">
        <f t="shared" si="1500"/>
        <v>0</v>
      </c>
      <c r="W1033" s="1423">
        <f t="shared" si="1501"/>
        <v>0</v>
      </c>
      <c r="X1033" s="152"/>
      <c r="Y1033" s="152"/>
      <c r="Z1033" s="152"/>
      <c r="AA1033" s="152"/>
      <c r="AB1033" s="152"/>
    </row>
    <row r="1034" spans="1:28" hidden="1" outlineLevel="1">
      <c r="A1034" s="152"/>
      <c r="B1034" s="190" t="str">
        <f t="shared" ca="1" si="1502"/>
        <v>RL Capex 2034-35</v>
      </c>
      <c r="C1034" s="1429"/>
      <c r="D1034" s="1429"/>
      <c r="E1034" s="1429"/>
      <c r="F1034" s="1429"/>
      <c r="G1034" s="1429"/>
      <c r="H1034" s="1429"/>
      <c r="I1034" s="1429"/>
      <c r="J1034" s="1429"/>
      <c r="K1034" s="1429"/>
      <c r="L1034" s="1429"/>
      <c r="M1034" s="1429"/>
      <c r="N1034" s="1429"/>
      <c r="O1034" s="1429"/>
      <c r="P1034" s="1429"/>
      <c r="Q1034" s="1429"/>
      <c r="R1034" s="1429"/>
      <c r="S1034" s="1429"/>
      <c r="T1034" s="1429"/>
      <c r="U1034" s="1424"/>
      <c r="V1034" s="1428">
        <f>V987</f>
        <v>0</v>
      </c>
      <c r="W1034" s="1423">
        <f>IF(V1034="n/a","n/a",MAX(0,V1034-1))</f>
        <v>0</v>
      </c>
      <c r="X1034" s="152"/>
      <c r="Y1034" s="152"/>
      <c r="Z1034" s="152"/>
      <c r="AA1034" s="152"/>
      <c r="AB1034" s="152"/>
    </row>
    <row r="1035" spans="1:28" hidden="1" outlineLevel="1">
      <c r="A1035" s="152"/>
      <c r="B1035" s="190" t="str">
        <f t="shared" ca="1" si="1502"/>
        <v>RL Capex 2035-36</v>
      </c>
      <c r="C1035" s="1429"/>
      <c r="D1035" s="1429"/>
      <c r="E1035" s="1429"/>
      <c r="F1035" s="1429"/>
      <c r="G1035" s="1429"/>
      <c r="H1035" s="1429"/>
      <c r="I1035" s="1429"/>
      <c r="J1035" s="1429"/>
      <c r="K1035" s="1429"/>
      <c r="L1035" s="1429"/>
      <c r="M1035" s="1429"/>
      <c r="N1035" s="1429"/>
      <c r="O1035" s="1429"/>
      <c r="P1035" s="1429"/>
      <c r="Q1035" s="1429"/>
      <c r="R1035" s="1429"/>
      <c r="S1035" s="1429"/>
      <c r="T1035" s="1429"/>
      <c r="U1035" s="1429"/>
      <c r="V1035" s="1424"/>
      <c r="W1035" s="1423">
        <f>W987</f>
        <v>0</v>
      </c>
      <c r="X1035" s="152"/>
      <c r="Y1035" s="152"/>
      <c r="Z1035" s="152"/>
      <c r="AA1035" s="152"/>
      <c r="AB1035" s="152"/>
    </row>
    <row r="1036" spans="1:28" hidden="1" outlineLevel="1">
      <c r="A1036" s="152"/>
      <c r="B1036" s="200"/>
      <c r="C1036" s="1423"/>
      <c r="D1036" s="1423"/>
      <c r="E1036" s="1423"/>
      <c r="F1036" s="1423"/>
      <c r="G1036" s="1423"/>
      <c r="H1036" s="1423"/>
      <c r="I1036" s="1423"/>
      <c r="J1036" s="1423"/>
      <c r="K1036" s="1423"/>
      <c r="L1036" s="1423"/>
      <c r="M1036" s="1423"/>
      <c r="N1036" s="1423"/>
      <c r="O1036" s="1423"/>
      <c r="P1036" s="1423"/>
      <c r="Q1036" s="1423"/>
      <c r="R1036" s="1423"/>
      <c r="S1036" s="1423"/>
      <c r="T1036" s="1423"/>
      <c r="U1036" s="1423"/>
      <c r="V1036" s="1423"/>
      <c r="W1036" s="1423"/>
      <c r="X1036" s="152"/>
      <c r="Y1036" s="152"/>
      <c r="Z1036" s="152"/>
      <c r="AA1036" s="152"/>
      <c r="AB1036" s="152"/>
    </row>
    <row r="1037" spans="1:28" collapsed="1">
      <c r="A1037" s="194"/>
      <c r="B1037" s="204" t="s">
        <v>123</v>
      </c>
      <c r="C1037" s="1430">
        <f ca="1">(IF(OR($C987&lt;&gt;"n/a",C987&lt;&gt;"n/a"),IF(SUM(C990:C1012)=0,0,IF((SUMPRODUCT(C990:C1012,C1014:C1036)/SUM(C990:C1012))&lt;0,1,(SUMPRODUCT(C990:C1012,C1014:C1036)/SUM(C990:C1012)))),"n/a"))</f>
        <v>0</v>
      </c>
      <c r="D1037" s="1430">
        <f ca="1">(IF(OR($C987&lt;&gt;"n/a",D987&lt;&gt;"n/a"),IF(SUM(D990:D1012)=0,0,IF((SUMPRODUCT(D990:D1012,D1014:D1036)/SUM(D990:D1012))&lt;0,1,(SUMPRODUCT(D990:D1012,D1014:D1036)/SUM(D990:D1012)))),"n/a"))</f>
        <v>0</v>
      </c>
      <c r="E1037" s="1430">
        <f t="shared" ref="E1037:W1037" ca="1" si="1503">(IF(OR($C987&lt;&gt;"n/a",E987&lt;&gt;"n/a"),IF(SUM(E990:E1012)=0,0,IF((SUMPRODUCT(E990:E1012,E1014:E1036)/SUM(E990:E1012))&lt;0,1,(SUMPRODUCT(E990:E1012,E1014:E1036)/SUM(E990:E1012)))),"n/a"))</f>
        <v>0</v>
      </c>
      <c r="F1037" s="1430">
        <f t="shared" ca="1" si="1503"/>
        <v>0</v>
      </c>
      <c r="G1037" s="1430">
        <f t="shared" ca="1" si="1503"/>
        <v>0</v>
      </c>
      <c r="H1037" s="1430">
        <f t="shared" ca="1" si="1503"/>
        <v>0</v>
      </c>
      <c r="I1037" s="1430">
        <f t="shared" ca="1" si="1503"/>
        <v>0</v>
      </c>
      <c r="J1037" s="1430">
        <f t="shared" ca="1" si="1503"/>
        <v>0</v>
      </c>
      <c r="K1037" s="1430">
        <f t="shared" ca="1" si="1503"/>
        <v>0</v>
      </c>
      <c r="L1037" s="1430">
        <f t="shared" ca="1" si="1503"/>
        <v>0</v>
      </c>
      <c r="M1037" s="1430">
        <f t="shared" ca="1" si="1503"/>
        <v>0</v>
      </c>
      <c r="N1037" s="1430">
        <f t="shared" ca="1" si="1503"/>
        <v>0</v>
      </c>
      <c r="O1037" s="1430">
        <f t="shared" ca="1" si="1503"/>
        <v>0</v>
      </c>
      <c r="P1037" s="1430">
        <f t="shared" ca="1" si="1503"/>
        <v>0</v>
      </c>
      <c r="Q1037" s="1430">
        <f t="shared" ca="1" si="1503"/>
        <v>0</v>
      </c>
      <c r="R1037" s="1430">
        <f t="shared" ca="1" si="1503"/>
        <v>0</v>
      </c>
      <c r="S1037" s="1430">
        <f t="shared" ca="1" si="1503"/>
        <v>0</v>
      </c>
      <c r="T1037" s="1430">
        <f t="shared" ca="1" si="1503"/>
        <v>0</v>
      </c>
      <c r="U1037" s="1430">
        <f t="shared" ca="1" si="1503"/>
        <v>0</v>
      </c>
      <c r="V1037" s="1430">
        <f t="shared" ca="1" si="1503"/>
        <v>0</v>
      </c>
      <c r="W1037" s="1430">
        <f t="shared" ca="1" si="1503"/>
        <v>0</v>
      </c>
      <c r="X1037" s="152"/>
      <c r="Y1037" s="152"/>
      <c r="Z1037" s="152"/>
      <c r="AA1037" s="152"/>
      <c r="AB1037" s="152"/>
    </row>
    <row r="1038" spans="1:28">
      <c r="A1038" s="152"/>
      <c r="B1038" s="152"/>
      <c r="C1038" s="1423"/>
      <c r="D1038" s="1423"/>
      <c r="E1038" s="1423"/>
      <c r="F1038" s="1423"/>
      <c r="G1038" s="1423"/>
      <c r="H1038" s="1423"/>
      <c r="I1038" s="1423"/>
      <c r="J1038" s="1423"/>
      <c r="K1038" s="1423"/>
      <c r="L1038" s="1423"/>
      <c r="M1038" s="1423"/>
      <c r="N1038" s="1423"/>
      <c r="O1038" s="1423"/>
      <c r="P1038" s="1423"/>
      <c r="Q1038" s="1423"/>
      <c r="R1038" s="1423"/>
      <c r="S1038" s="1423"/>
      <c r="T1038" s="1423"/>
      <c r="U1038" s="1423"/>
      <c r="V1038" s="1423"/>
      <c r="W1038" s="1423"/>
      <c r="X1038" s="152"/>
      <c r="Y1038" s="152"/>
      <c r="Z1038" s="152"/>
      <c r="AA1038" s="152"/>
      <c r="AB1038" s="152"/>
    </row>
    <row r="1039" spans="1:28">
      <c r="A1039" s="269" t="s">
        <v>21</v>
      </c>
      <c r="B1039" s="270">
        <f>VLOOKUP($A1039,'RFM input'!$E$7:$F$56,2,FALSE)</f>
        <v>0</v>
      </c>
      <c r="C1039" s="1431"/>
      <c r="D1039" s="1431"/>
      <c r="E1039" s="1432"/>
      <c r="F1039" s="1432"/>
      <c r="G1039" s="1432"/>
      <c r="H1039" s="1432"/>
      <c r="I1039" s="1432"/>
      <c r="J1039" s="1432"/>
      <c r="K1039" s="1432"/>
      <c r="L1039" s="1432"/>
      <c r="M1039" s="1432"/>
      <c r="N1039" s="1432"/>
      <c r="O1039" s="1432"/>
      <c r="P1039" s="1432"/>
      <c r="Q1039" s="1432"/>
      <c r="R1039" s="1432"/>
      <c r="S1039" s="1432"/>
      <c r="T1039" s="1432"/>
      <c r="U1039" s="1432"/>
      <c r="V1039" s="1432"/>
      <c r="W1039" s="1432"/>
      <c r="X1039" s="152"/>
      <c r="Y1039" s="152"/>
      <c r="Z1039" s="152"/>
      <c r="AA1039" s="152"/>
      <c r="AB1039" s="152"/>
    </row>
    <row r="1040" spans="1:28">
      <c r="A1040" s="215">
        <f>VALUE(REPLACE(A1039,1,12,""))</f>
        <v>20</v>
      </c>
      <c r="B1040" s="193" t="s">
        <v>126</v>
      </c>
      <c r="C1040" s="1416">
        <f ca="1">IF($C$8='Capital Base roll forward'!$H$4,OFFSET('Capital Base roll forward'!$H$717,'RAB remaining lives'!A1040,0),"enter input")</f>
        <v>0</v>
      </c>
      <c r="D1040" s="1417">
        <f>IF(LEFT(D$6,4)&lt;LEFT('RFM input'!$G$60,4),"enter input",IF(LEFT(D$6,4)&gt;LEFT('RFM input'!$Q$60,4),0,INDEX('RFM input'!$G$61:$Q$110,$A1040,MATCH(D$6,'RFM input'!$G$60:$Q$60,0))
-INDEX('RFM input'!$G$115:$Q$164,$A1040,MATCH(D$6,'RFM input'!$G$60:$Q$60,0))
-INDEX('RFM input'!$G$169:$Q$218,$A1040,MATCH(D$6,'RFM input'!$G$60:$Q$60,0))))</f>
        <v>0</v>
      </c>
      <c r="E1040" s="1417">
        <f>IF(LEFT(E$6,4)&lt;LEFT('RFM input'!$G$60,4),"enter input",IF(LEFT(E$6,4)&gt;LEFT('RFM input'!$Q$60,4),0,INDEX('RFM input'!$G$61:$Q$110,$A1040,MATCH(E$6,'RFM input'!$G$60:$Q$60,0))
-INDEX('RFM input'!$G$115:$Q$164,$A1040,MATCH(E$6,'RFM input'!$G$60:$Q$60,0))
-INDEX('RFM input'!$G$169:$Q$218,$A1040,MATCH(E$6,'RFM input'!$G$60:$Q$60,0))))</f>
        <v>0</v>
      </c>
      <c r="F1040" s="1417">
        <f>IF(LEFT(F$6,4)&lt;LEFT('RFM input'!$G$60,4),"enter input",IF(LEFT(F$6,4)&gt;LEFT('RFM input'!$Q$60,4),0,INDEX('RFM input'!$G$61:$Q$110,$A1040,MATCH(F$6,'RFM input'!$G$60:$Q$60,0))
-INDEX('RFM input'!$G$115:$Q$164,$A1040,MATCH(F$6,'RFM input'!$G$60:$Q$60,0))
-INDEX('RFM input'!$G$169:$Q$218,$A1040,MATCH(F$6,'RFM input'!$G$60:$Q$60,0))))</f>
        <v>0</v>
      </c>
      <c r="G1040" s="1417">
        <f>IF(LEFT(G$6,4)&lt;LEFT('RFM input'!$G$60,4),"enter input",IF(LEFT(G$6,4)&gt;LEFT('RFM input'!$Q$60,4),0,INDEX('RFM input'!$G$61:$Q$110,$A1040,MATCH(G$6,'RFM input'!$G$60:$Q$60,0))
-INDEX('RFM input'!$G$115:$Q$164,$A1040,MATCH(G$6,'RFM input'!$G$60:$Q$60,0))
-INDEX('RFM input'!$G$169:$Q$218,$A1040,MATCH(G$6,'RFM input'!$G$60:$Q$60,0))))</f>
        <v>0</v>
      </c>
      <c r="H1040" s="1417">
        <f>IF(LEFT(H$6,4)&lt;LEFT('RFM input'!$G$60,4),"enter input",IF(LEFT(H$6,4)&gt;LEFT('RFM input'!$Q$60,4),0,INDEX('RFM input'!$G$61:$Q$110,$A1040,MATCH(H$6,'RFM input'!$G$60:$Q$60,0))
-INDEX('RFM input'!$G$115:$Q$164,$A1040,MATCH(H$6,'RFM input'!$G$60:$Q$60,0))
-INDEX('RFM input'!$G$169:$Q$218,$A1040,MATCH(H$6,'RFM input'!$G$60:$Q$60,0))))</f>
        <v>0</v>
      </c>
      <c r="I1040" s="1417">
        <f>IF(LEFT(I$6,4)&lt;LEFT('RFM input'!$G$60,4),"enter input",IF(LEFT(I$6,4)&gt;LEFT('RFM input'!$Q$60,4),0,INDEX('RFM input'!$G$61:$Q$110,$A1040,MATCH(I$6,'RFM input'!$G$60:$Q$60,0))
-INDEX('RFM input'!$G$115:$Q$164,$A1040,MATCH(I$6,'RFM input'!$G$60:$Q$60,0))
-INDEX('RFM input'!$G$169:$Q$218,$A1040,MATCH(I$6,'RFM input'!$G$60:$Q$60,0))))</f>
        <v>0</v>
      </c>
      <c r="J1040" s="1417">
        <f>IF(LEFT(J$6,4)&lt;LEFT('RFM input'!$G$60,4),"enter input",IF(LEFT(J$6,4)&gt;LEFT('RFM input'!$Q$60,4),0,INDEX('RFM input'!$G$61:$Q$110,$A1040,MATCH(J$6,'RFM input'!$G$60:$Q$60,0))
-INDEX('RFM input'!$G$115:$Q$164,$A1040,MATCH(J$6,'RFM input'!$G$60:$Q$60,0))
-INDEX('RFM input'!$G$169:$Q$218,$A1040,MATCH(J$6,'RFM input'!$G$60:$Q$60,0))))</f>
        <v>0</v>
      </c>
      <c r="K1040" s="1417">
        <f>IF(LEFT(K$6,4)&lt;LEFT('RFM input'!$G$60,4),"enter input",IF(LEFT(K$6,4)&gt;LEFT('RFM input'!$Q$60,4),0,INDEX('RFM input'!$G$61:$Q$110,$A1040,MATCH(K$6,'RFM input'!$G$60:$Q$60,0))
-INDEX('RFM input'!$G$115:$Q$164,$A1040,MATCH(K$6,'RFM input'!$G$60:$Q$60,0))
-INDEX('RFM input'!$G$169:$Q$218,$A1040,MATCH(K$6,'RFM input'!$G$60:$Q$60,0))))</f>
        <v>0</v>
      </c>
      <c r="L1040" s="1417">
        <f>IF(LEFT(L$6,4)&lt;LEFT('RFM input'!$G$60,4),"enter input",IF(LEFT(L$6,4)&gt;LEFT('RFM input'!$Q$60,4),0,INDEX('RFM input'!$G$61:$Q$110,$A1040,MATCH(L$6,'RFM input'!$G$60:$Q$60,0))
-INDEX('RFM input'!$G$115:$Q$164,$A1040,MATCH(L$6,'RFM input'!$G$60:$Q$60,0))
-INDEX('RFM input'!$G$169:$Q$218,$A1040,MATCH(L$6,'RFM input'!$G$60:$Q$60,0))))</f>
        <v>0</v>
      </c>
      <c r="M1040" s="1417">
        <f>IF(LEFT(M$6,4)&lt;LEFT('RFM input'!$G$60,4),"enter input",IF(LEFT(M$6,4)&gt;LEFT('RFM input'!$Q$60,4),0,INDEX('RFM input'!$G$61:$Q$110,$A1040,MATCH(M$6,'RFM input'!$G$60:$Q$60,0))
-INDEX('RFM input'!$G$115:$Q$164,$A1040,MATCH(M$6,'RFM input'!$G$60:$Q$60,0))
-INDEX('RFM input'!$G$169:$Q$218,$A1040,MATCH(M$6,'RFM input'!$G$60:$Q$60,0))))</f>
        <v>0</v>
      </c>
      <c r="N1040" s="1417">
        <f>IF(LEFT(N$6,4)&lt;LEFT('RFM input'!$G$60,4),"enter input",IF(LEFT(N$6,4)&gt;LEFT('RFM input'!$Q$60,4),0,INDEX('RFM input'!$G$61:$Q$110,$A1040,MATCH(N$6,'RFM input'!$G$60:$Q$60,0))
-INDEX('RFM input'!$G$115:$Q$164,$A1040,MATCH(N$6,'RFM input'!$G$60:$Q$60,0))
-INDEX('RFM input'!$G$169:$Q$218,$A1040,MATCH(N$6,'RFM input'!$G$60:$Q$60,0))))</f>
        <v>0</v>
      </c>
      <c r="O1040" s="1417">
        <f>IF(LEFT(O$6,4)&lt;LEFT('RFM input'!$G$60,4),"enter input",IF(LEFT(O$6,4)&gt;LEFT('RFM input'!$Q$60,4),0,INDEX('RFM input'!$G$61:$Q$110,$A1040,MATCH(O$6,'RFM input'!$G$60:$Q$60,0))
-INDEX('RFM input'!$G$115:$Q$164,$A1040,MATCH(O$6,'RFM input'!$G$60:$Q$60,0))
-INDEX('RFM input'!$G$169:$Q$218,$A1040,MATCH(O$6,'RFM input'!$G$60:$Q$60,0))))</f>
        <v>0</v>
      </c>
      <c r="P1040" s="1417">
        <f>IF(LEFT(P$6,4)&lt;LEFT('RFM input'!$G$60,4),"enter input",IF(LEFT(P$6,4)&gt;LEFT('RFM input'!$Q$60,4),0,INDEX('RFM input'!$G$61:$Q$110,$A1040,MATCH(P$6,'RFM input'!$G$60:$Q$60,0))
-INDEX('RFM input'!$G$115:$Q$164,$A1040,MATCH(P$6,'RFM input'!$G$60:$Q$60,0))
-INDEX('RFM input'!$G$169:$Q$218,$A1040,MATCH(P$6,'RFM input'!$G$60:$Q$60,0))))</f>
        <v>0</v>
      </c>
      <c r="Q1040" s="1417">
        <f>IF(LEFT(Q$6,4)&lt;LEFT('RFM input'!$G$60,4),"enter input",IF(LEFT(Q$6,4)&gt;LEFT('RFM input'!$Q$60,4),0,INDEX('RFM input'!$G$61:$Q$110,$A1040,MATCH(Q$6,'RFM input'!$G$60:$Q$60,0))
-INDEX('RFM input'!$G$115:$Q$164,$A1040,MATCH(Q$6,'RFM input'!$G$60:$Q$60,0))
-INDEX('RFM input'!$G$169:$Q$218,$A1040,MATCH(Q$6,'RFM input'!$G$60:$Q$60,0))))</f>
        <v>0</v>
      </c>
      <c r="R1040" s="1417">
        <f>IF(LEFT(R$6,4)&lt;LEFT('RFM input'!$G$60,4),"enter input",IF(LEFT(R$6,4)&gt;LEFT('RFM input'!$Q$60,4),0,INDEX('RFM input'!$G$61:$Q$110,$A1040,MATCH(R$6,'RFM input'!$G$60:$Q$60,0))
-INDEX('RFM input'!$G$115:$Q$164,$A1040,MATCH(R$6,'RFM input'!$G$60:$Q$60,0))
-INDEX('RFM input'!$G$169:$Q$218,$A1040,MATCH(R$6,'RFM input'!$G$60:$Q$60,0))))</f>
        <v>0</v>
      </c>
      <c r="S1040" s="1417">
        <f>IF(LEFT(S$6,4)&lt;LEFT('RFM input'!$G$60,4),"enter input",IF(LEFT(S$6,4)&gt;LEFT('RFM input'!$Q$60,4),0,INDEX('RFM input'!$G$61:$Q$110,$A1040,MATCH(S$6,'RFM input'!$G$60:$Q$60,0))
-INDEX('RFM input'!$G$115:$Q$164,$A1040,MATCH(S$6,'RFM input'!$G$60:$Q$60,0))
-INDEX('RFM input'!$G$169:$Q$218,$A1040,MATCH(S$6,'RFM input'!$G$60:$Q$60,0))))</f>
        <v>0</v>
      </c>
      <c r="T1040" s="1417">
        <f>IF(LEFT(T$6,4)&lt;LEFT('RFM input'!$G$60,4),"enter input",IF(LEFT(T$6,4)&gt;LEFT('RFM input'!$Q$60,4),0,INDEX('RFM input'!$G$61:$Q$110,$A1040,MATCH(T$6,'RFM input'!$G$60:$Q$60,0))
-INDEX('RFM input'!$G$115:$Q$164,$A1040,MATCH(T$6,'RFM input'!$G$60:$Q$60,0))
-INDEX('RFM input'!$G$169:$Q$218,$A1040,MATCH(T$6,'RFM input'!$G$60:$Q$60,0))))</f>
        <v>0</v>
      </c>
      <c r="U1040" s="1417">
        <f>IF(LEFT(U$6,4)&lt;LEFT('RFM input'!$G$60,4),"enter input",IF(LEFT(U$6,4)&gt;LEFT('RFM input'!$Q$60,4),0,INDEX('RFM input'!$G$61:$Q$110,$A1040,MATCH(U$6,'RFM input'!$G$60:$Q$60,0))
-INDEX('RFM input'!$G$115:$Q$164,$A1040,MATCH(U$6,'RFM input'!$G$60:$Q$60,0))
-INDEX('RFM input'!$G$169:$Q$218,$A1040,MATCH(U$6,'RFM input'!$G$60:$Q$60,0))))</f>
        <v>0</v>
      </c>
      <c r="V1040" s="1417">
        <f>IF(LEFT(V$6,4)&lt;LEFT('RFM input'!$G$60,4),"enter input",IF(LEFT(V$6,4)&gt;LEFT('RFM input'!$Q$60,4),0,INDEX('RFM input'!$G$61:$Q$110,$A1040,MATCH(V$6,'RFM input'!$G$60:$Q$60,0))
-INDEX('RFM input'!$G$115:$Q$164,$A1040,MATCH(V$6,'RFM input'!$G$60:$Q$60,0))
-INDEX('RFM input'!$G$169:$Q$218,$A1040,MATCH(V$6,'RFM input'!$G$60:$Q$60,0))))</f>
        <v>0</v>
      </c>
      <c r="W1040" s="1417">
        <f>IF(LEFT(W$6,4)&lt;LEFT('RFM input'!$G$60,4),"enter input",IF(LEFT(W$6,4)&gt;LEFT('RFM input'!$Q$60,4),0,INDEX('RFM input'!$G$61:$Q$110,$A1040,MATCH(W$6,'RFM input'!$G$60:$Q$60,0))
-INDEX('RFM input'!$G$115:$Q$164,$A1040,MATCH(W$6,'RFM input'!$G$60:$Q$60,0))
-INDEX('RFM input'!$G$169:$Q$218,$A1040,MATCH(W$6,'RFM input'!$G$60:$Q$60,0))))</f>
        <v>0</v>
      </c>
      <c r="X1040" s="152"/>
      <c r="Y1040" s="152"/>
      <c r="Z1040" s="152"/>
      <c r="AA1040" s="152"/>
      <c r="AB1040" s="152"/>
    </row>
    <row r="1041" spans="1:28">
      <c r="A1041" s="152"/>
      <c r="B1041" s="152" t="s">
        <v>204</v>
      </c>
      <c r="C1041" s="1418">
        <f ca="1">IF($C$8='Capital Base roll forward'!$H$4,OFFSET('RFM input'!$J$6,'RAB remaining lives'!A1040,0),"enter input")</f>
        <v>0</v>
      </c>
      <c r="D1041" s="1417">
        <f>IF(LEFT(D$6,4)&lt;=LEFT('RFM input'!$G$60,4),"enter input",IF(LEFT(D$6,4)&gt;LEFT('RFM input'!$Q$60,4),0,IF(MATCH(D$6,'RFM input'!$H$60:$Q$60,0),INDEX('RFM input'!$K$7:$K$56,$A1040,1))))</f>
        <v>0</v>
      </c>
      <c r="E1041" s="1417">
        <f>IF(LEFT(E$6,4)&lt;=LEFT('RFM input'!$G$60,4),"enter input",IF(LEFT(E$6,4)&gt;LEFT('RFM input'!$Q$60,4),0,IF(MATCH(E$6,'RFM input'!$H$60:$Q$60,0),INDEX('RFM input'!$K$7:$K$56,$A1040,1))))</f>
        <v>0</v>
      </c>
      <c r="F1041" s="1417">
        <f>IF(LEFT(F$6,4)&lt;=LEFT('RFM input'!$G$60,4),"enter input",IF(LEFT(F$6,4)&gt;LEFT('RFM input'!$Q$60,4),0,IF(MATCH(F$6,'RFM input'!$H$60:$Q$60,0),INDEX('RFM input'!$K$7:$K$56,$A1040,1))))</f>
        <v>0</v>
      </c>
      <c r="G1041" s="1417">
        <f>IF(LEFT(G$6,4)&lt;=LEFT('RFM input'!$G$60,4),"enter input",IF(LEFT(G$6,4)&gt;LEFT('RFM input'!$Q$60,4),0,IF(MATCH(G$6,'RFM input'!$H$60:$Q$60,0),INDEX('RFM input'!$K$7:$K$56,$A1040,1))))</f>
        <v>0</v>
      </c>
      <c r="H1041" s="1417">
        <f>IF(LEFT(H$6,4)&lt;=LEFT('RFM input'!$G$60,4),"enter input",IF(LEFT(H$6,4)&gt;LEFT('RFM input'!$Q$60,4),0,IF(MATCH(H$6,'RFM input'!$H$60:$Q$60,0),INDEX('RFM input'!$K$7:$K$56,$A1040,1))))</f>
        <v>0</v>
      </c>
      <c r="I1041" s="1417">
        <f>IF(LEFT(I$6,4)&lt;=LEFT('RFM input'!$G$60,4),"enter input",IF(LEFT(I$6,4)&gt;LEFT('RFM input'!$Q$60,4),0,IF(MATCH(I$6,'RFM input'!$H$60:$Q$60,0),INDEX('RFM input'!$K$7:$K$56,$A1040,1))))</f>
        <v>0</v>
      </c>
      <c r="J1041" s="1417">
        <f>IF(LEFT(J$6,4)&lt;=LEFT('RFM input'!$G$60,4),"enter input",IF(LEFT(J$6,4)&gt;LEFT('RFM input'!$Q$60,4),0,IF(MATCH(J$6,'RFM input'!$H$60:$Q$60,0),INDEX('RFM input'!$K$7:$K$56,$A1040,1))))</f>
        <v>0</v>
      </c>
      <c r="K1041" s="1417">
        <f>IF(LEFT(K$6,4)&lt;=LEFT('RFM input'!$G$60,4),"enter input",IF(LEFT(K$6,4)&gt;LEFT('RFM input'!$Q$60,4),0,IF(MATCH(K$6,'RFM input'!$H$60:$Q$60,0),INDEX('RFM input'!$K$7:$K$56,$A1040,1))))</f>
        <v>0</v>
      </c>
      <c r="L1041" s="1417">
        <f>IF(LEFT(L$6,4)&lt;=LEFT('RFM input'!$G$60,4),"enter input",IF(LEFT(L$6,4)&gt;LEFT('RFM input'!$Q$60,4),0,IF(MATCH(L$6,'RFM input'!$H$60:$Q$60,0),INDEX('RFM input'!$K$7:$K$56,$A1040,1))))</f>
        <v>0</v>
      </c>
      <c r="M1041" s="1417">
        <f>IF(LEFT(M$6,4)&lt;=LEFT('RFM input'!$G$60,4),"enter input",IF(LEFT(M$6,4)&gt;LEFT('RFM input'!$Q$60,4),0,IF(MATCH(M$6,'RFM input'!$H$60:$Q$60,0),INDEX('RFM input'!$K$7:$K$56,$A1040,1))))</f>
        <v>0</v>
      </c>
      <c r="N1041" s="1417">
        <f>IF(LEFT(N$6,4)&lt;=LEFT('RFM input'!$G$60,4),"enter input",IF(LEFT(N$6,4)&gt;LEFT('RFM input'!$Q$60,4),0,IF(MATCH(N$6,'RFM input'!$H$60:$Q$60,0),INDEX('RFM input'!$K$7:$K$56,$A1040,1))))</f>
        <v>0</v>
      </c>
      <c r="O1041" s="1417">
        <f>IF(LEFT(O$6,4)&lt;=LEFT('RFM input'!$G$60,4),"enter input",IF(LEFT(O$6,4)&gt;LEFT('RFM input'!$Q$60,4),0,IF(MATCH(O$6,'RFM input'!$H$60:$Q$60,0),INDEX('RFM input'!$K$7:$K$56,$A1040,1))))</f>
        <v>0</v>
      </c>
      <c r="P1041" s="1417">
        <f>IF(LEFT(P$6,4)&lt;=LEFT('RFM input'!$G$60,4),"enter input",IF(LEFT(P$6,4)&gt;LEFT('RFM input'!$Q$60,4),0,IF(MATCH(P$6,'RFM input'!$H$60:$Q$60,0),INDEX('RFM input'!$K$7:$K$56,$A1040,1))))</f>
        <v>0</v>
      </c>
      <c r="Q1041" s="1417">
        <f>IF(LEFT(Q$6,4)&lt;=LEFT('RFM input'!$G$60,4),"enter input",IF(LEFT(Q$6,4)&gt;LEFT('RFM input'!$Q$60,4),0,IF(MATCH(Q$6,'RFM input'!$H$60:$Q$60,0),INDEX('RFM input'!$K$7:$K$56,$A1040,1))))</f>
        <v>0</v>
      </c>
      <c r="R1041" s="1417">
        <f>IF(LEFT(R$6,4)&lt;=LEFT('RFM input'!$G$60,4),"enter input",IF(LEFT(R$6,4)&gt;LEFT('RFM input'!$Q$60,4),0,IF(MATCH(R$6,'RFM input'!$H$60:$Q$60,0),INDEX('RFM input'!$K$7:$K$56,$A1040,1))))</f>
        <v>0</v>
      </c>
      <c r="S1041" s="1417">
        <f>IF(LEFT(S$6,4)&lt;=LEFT('RFM input'!$G$60,4),"enter input",IF(LEFT(S$6,4)&gt;LEFT('RFM input'!$Q$60,4),0,IF(MATCH(S$6,'RFM input'!$H$60:$Q$60,0),INDEX('RFM input'!$K$7:$K$56,$A1040,1))))</f>
        <v>0</v>
      </c>
      <c r="T1041" s="1417">
        <f>IF(LEFT(T$6,4)&lt;=LEFT('RFM input'!$G$60,4),"enter input",IF(LEFT(T$6,4)&gt;LEFT('RFM input'!$Q$60,4),0,IF(MATCH(T$6,'RFM input'!$H$60:$Q$60,0),INDEX('RFM input'!$K$7:$K$56,$A1040,1))))</f>
        <v>0</v>
      </c>
      <c r="U1041" s="1417">
        <f>IF(LEFT(U$6,4)&lt;=LEFT('RFM input'!$G$60,4),"enter input",IF(LEFT(U$6,4)&gt;LEFT('RFM input'!$Q$60,4),0,IF(MATCH(U$6,'RFM input'!$H$60:$Q$60,0),INDEX('RFM input'!$K$7:$K$56,$A1040,1))))</f>
        <v>0</v>
      </c>
      <c r="V1041" s="1417">
        <f>IF(LEFT(V$6,4)&lt;=LEFT('RFM input'!$G$60,4),"enter input",IF(LEFT(V$6,4)&gt;LEFT('RFM input'!$Q$60,4),0,IF(MATCH(V$6,'RFM input'!$H$60:$Q$60,0),INDEX('RFM input'!$K$7:$K$56,$A1040,1))))</f>
        <v>0</v>
      </c>
      <c r="W1041" s="1417">
        <f>IF(LEFT(W$6,4)&lt;=LEFT('RFM input'!$G$60,4),"enter input",IF(LEFT(W$6,4)&gt;LEFT('RFM input'!$Q$60,4),0,IF(MATCH(W$6,'RFM input'!$H$60:$Q$60,0),INDEX('RFM input'!$K$7:$K$56,$A1040,1))))</f>
        <v>0</v>
      </c>
      <c r="X1041" s="152"/>
      <c r="Y1041" s="152"/>
      <c r="Z1041" s="152"/>
      <c r="AA1041" s="152"/>
      <c r="AB1041" s="152"/>
    </row>
    <row r="1042" spans="1:28">
      <c r="A1042" s="152"/>
      <c r="B1042" s="177" t="s">
        <v>191</v>
      </c>
      <c r="C1042" s="1419"/>
      <c r="D1042" s="1420">
        <f ca="1">IF(LEFT(D$6,4)&lt;=LEFT('RFM input'!$G$60,4),"enter input",IF(LEFT(D$6,4)&gt;LEFT('RFM input'!$Q$60,4),0,IF(D$6=(OFFSET('RFM input'!$G$60,0,'RFM input'!$V$7)),OFFSET('RFM input'!$G$411,$A1040,0),0)))</f>
        <v>0</v>
      </c>
      <c r="E1042" s="1417">
        <f ca="1">IF(LEFT(E$6,4)&lt;=LEFT('RFM input'!$G$60,4),"enter input",IF(LEFT(E$6,4)&gt;LEFT('RFM input'!$Q$60,4),0,IF(E$6=(OFFSET('RFM input'!$G$60,0,'RFM input'!$V$7)),OFFSET('RFM input'!$G$411,$A1040,0),0)))</f>
        <v>0</v>
      </c>
      <c r="F1042" s="1417">
        <f ca="1">IF(LEFT(F$6,4)&lt;=LEFT('RFM input'!$G$60,4),"enter input",IF(LEFT(F$6,4)&gt;LEFT('RFM input'!$Q$60,4),0,IF(F$6=(OFFSET('RFM input'!$G$60,0,'RFM input'!$V$7)),OFFSET('RFM input'!$G$411,$A1040,0),0)))</f>
        <v>0</v>
      </c>
      <c r="G1042" s="1417">
        <f ca="1">IF(LEFT(G$6,4)&lt;=LEFT('RFM input'!$G$60,4),"enter input",IF(LEFT(G$6,4)&gt;LEFT('RFM input'!$Q$60,4),0,IF(G$6=(OFFSET('RFM input'!$G$60,0,'RFM input'!$V$7)),OFFSET('RFM input'!$G$411,$A1040,0),0)))</f>
        <v>0</v>
      </c>
      <c r="H1042" s="1417">
        <f ca="1">IF(LEFT(H$6,4)&lt;=LEFT('RFM input'!$G$60,4),"enter input",IF(LEFT(H$6,4)&gt;LEFT('RFM input'!$Q$60,4),0,IF(H$6=(OFFSET('RFM input'!$G$60,0,'RFM input'!$V$7)),OFFSET('RFM input'!$G$411,$A1040,0),0)))</f>
        <v>0</v>
      </c>
      <c r="I1042" s="1417">
        <f ca="1">IF(LEFT(I$6,4)&lt;=LEFT('RFM input'!$G$60,4),"enter input",IF(LEFT(I$6,4)&gt;LEFT('RFM input'!$Q$60,4),0,IF(I$6=(OFFSET('RFM input'!$G$60,0,'RFM input'!$V$7)),OFFSET('RFM input'!$G$411,$A1040,0),0)))</f>
        <v>0</v>
      </c>
      <c r="J1042" s="1417">
        <f ca="1">IF(LEFT(J$6,4)&lt;=LEFT('RFM input'!$G$60,4),"enter input",IF(LEFT(J$6,4)&gt;LEFT('RFM input'!$Q$60,4),0,IF(J$6=(OFFSET('RFM input'!$G$60,0,'RFM input'!$V$7)),OFFSET('RFM input'!$G$411,$A1040,0),0)))</f>
        <v>0</v>
      </c>
      <c r="K1042" s="1417">
        <f ca="1">IF(LEFT(K$6,4)&lt;=LEFT('RFM input'!$G$60,4),"enter input",IF(LEFT(K$6,4)&gt;LEFT('RFM input'!$Q$60,4),0,IF(K$6=(OFFSET('RFM input'!$G$60,0,'RFM input'!$V$7)),OFFSET('RFM input'!$G$411,$A1040,0),0)))</f>
        <v>0</v>
      </c>
      <c r="L1042" s="1417">
        <f ca="1">IF(LEFT(L$6,4)&lt;=LEFT('RFM input'!$G$60,4),"enter input",IF(LEFT(L$6,4)&gt;LEFT('RFM input'!$Q$60,4),0,IF(L$6=(OFFSET('RFM input'!$G$60,0,'RFM input'!$V$7)),OFFSET('RFM input'!$G$411,$A1040,0),0)))</f>
        <v>0</v>
      </c>
      <c r="M1042" s="1417">
        <f ca="1">IF(LEFT(M$6,4)&lt;=LEFT('RFM input'!$G$60,4),"enter input",IF(LEFT(M$6,4)&gt;LEFT('RFM input'!$Q$60,4),0,IF(M$6=(OFFSET('RFM input'!$G$60,0,'RFM input'!$V$7)),OFFSET('RFM input'!$G$411,$A1040,0),0)))</f>
        <v>0</v>
      </c>
      <c r="N1042" s="1417">
        <f ca="1">IF(LEFT(N$6,4)&lt;=LEFT('RFM input'!$G$60,4),"enter input",IF(LEFT(N$6,4)&gt;LEFT('RFM input'!$Q$60,4),0,IF(N$6=(OFFSET('RFM input'!$G$60,0,'RFM input'!$V$7)),OFFSET('RFM input'!$G$411,$A1040,0),0)))</f>
        <v>0</v>
      </c>
      <c r="O1042" s="1417">
        <f ca="1">IF(LEFT(O$6,4)&lt;=LEFT('RFM input'!$G$60,4),"enter input",IF(LEFT(O$6,4)&gt;LEFT('RFM input'!$Q$60,4),0,IF(O$6=(OFFSET('RFM input'!$G$60,0,'RFM input'!$V$7)),OFFSET('RFM input'!$G$411,$A1040,0),0)))</f>
        <v>0</v>
      </c>
      <c r="P1042" s="1417">
        <f ca="1">IF(LEFT(P$6,4)&lt;=LEFT('RFM input'!$G$60,4),"enter input",IF(LEFT(P$6,4)&gt;LEFT('RFM input'!$Q$60,4),0,IF(P$6=(OFFSET('RFM input'!$G$60,0,'RFM input'!$V$7)),OFFSET('RFM input'!$G$411,$A1040,0),0)))</f>
        <v>0</v>
      </c>
      <c r="Q1042" s="1417">
        <f ca="1">IF(LEFT(Q$6,4)&lt;=LEFT('RFM input'!$G$60,4),"enter input",IF(LEFT(Q$6,4)&gt;LEFT('RFM input'!$Q$60,4),0,IF(Q$6=(OFFSET('RFM input'!$G$60,0,'RFM input'!$V$7)),OFFSET('RFM input'!$G$411,$A1040,0),0)))</f>
        <v>0</v>
      </c>
      <c r="R1042" s="1417">
        <f ca="1">IF(LEFT(R$6,4)&lt;=LEFT('RFM input'!$G$60,4),"enter input",IF(LEFT(R$6,4)&gt;LEFT('RFM input'!$Q$60,4),0,IF(R$6=(OFFSET('RFM input'!$G$60,0,'RFM input'!$V$7)),OFFSET('RFM input'!$G$411,$A1040,0),0)))</f>
        <v>0</v>
      </c>
      <c r="S1042" s="1417">
        <f ca="1">IF(LEFT(S$6,4)&lt;=LEFT('RFM input'!$G$60,4),"enter input",IF(LEFT(S$6,4)&gt;LEFT('RFM input'!$Q$60,4),0,IF(S$6=(OFFSET('RFM input'!$G$60,0,'RFM input'!$V$7)),OFFSET('RFM input'!$G$411,$A1040,0),0)))</f>
        <v>0</v>
      </c>
      <c r="T1042" s="1417">
        <f ca="1">IF(LEFT(T$6,4)&lt;=LEFT('RFM input'!$G$60,4),"enter input",IF(LEFT(T$6,4)&gt;LEFT('RFM input'!$Q$60,4),0,IF(T$6=(OFFSET('RFM input'!$G$60,0,'RFM input'!$V$7)),OFFSET('RFM input'!$G$411,$A1040,0),0)))</f>
        <v>0</v>
      </c>
      <c r="U1042" s="1417">
        <f ca="1">IF(LEFT(U$6,4)&lt;=LEFT('RFM input'!$G$60,4),"enter input",IF(LEFT(U$6,4)&gt;LEFT('RFM input'!$Q$60,4),0,IF(U$6=(OFFSET('RFM input'!$G$60,0,'RFM input'!$V$7)),OFFSET('RFM input'!$G$411,$A1040,0),0)))</f>
        <v>0</v>
      </c>
      <c r="V1042" s="1417">
        <f ca="1">IF(LEFT(V$6,4)&lt;=LEFT('RFM input'!$G$60,4),"enter input",IF(LEFT(V$6,4)&gt;LEFT('RFM input'!$Q$60,4),0,IF(V$6=(OFFSET('RFM input'!$G$60,0,'RFM input'!$V$7)),OFFSET('RFM input'!$G$411,$A1040,0),0)))</f>
        <v>0</v>
      </c>
      <c r="W1042" s="1417">
        <f ca="1">IF(LEFT(W$6,4)&lt;=LEFT('RFM input'!$G$60,4),"enter input",IF(LEFT(W$6,4)&gt;LEFT('RFM input'!$Q$60,4),0,IF(W$6=(OFFSET('RFM input'!$G$60,0,'RFM input'!$V$7)),OFFSET('RFM input'!$G$411,$A1040,0),0)))</f>
        <v>0</v>
      </c>
      <c r="X1042" s="152"/>
      <c r="Y1042" s="152"/>
      <c r="Z1042" s="152"/>
      <c r="AA1042" s="152"/>
      <c r="AB1042" s="152"/>
    </row>
    <row r="1043" spans="1:28">
      <c r="A1043" s="152"/>
      <c r="B1043" s="195" t="s">
        <v>197</v>
      </c>
      <c r="C1043" s="1419"/>
      <c r="D1043" s="1418">
        <f ca="1">IF(LEFT(D$6,4)&lt;=LEFT('RFM input'!$G$60,4),"enter input",IF(LEFT(D$6,4)&gt;LEFT('RFM input'!$Q$60,4),0,IF(D$6=(OFFSET('RFM input'!$G$60,0,'RFM input'!$V$7)),OFFSET('RFM input'!$I$411,$A1040,0),0)))</f>
        <v>0</v>
      </c>
      <c r="E1043" s="1422">
        <f ca="1">IF(LEFT(E$6,4)&lt;=LEFT('RFM input'!$G$60,4),"enter input",IF(LEFT(E$6,4)&gt;LEFT('RFM input'!$Q$60,4),0,IF(E$6=(OFFSET('RFM input'!$G$60,0,'RFM input'!$V$7)),OFFSET('RFM input'!$I$411,$A1040,0),0)))</f>
        <v>0</v>
      </c>
      <c r="F1043" s="1422">
        <f ca="1">IF(LEFT(F$6,4)&lt;=LEFT('RFM input'!$G$60,4),"enter input",IF(LEFT(F$6,4)&gt;LEFT('RFM input'!$Q$60,4),0,IF(F$6=(OFFSET('RFM input'!$G$60,0,'RFM input'!$V$7)),OFFSET('RFM input'!$I$411,$A1040,0),0)))</f>
        <v>0</v>
      </c>
      <c r="G1043" s="1422">
        <f ca="1">IF(LEFT(G$6,4)&lt;=LEFT('RFM input'!$G$60,4),"enter input",IF(LEFT(G$6,4)&gt;LEFT('RFM input'!$Q$60,4),0,IF(G$6=(OFFSET('RFM input'!$G$60,0,'RFM input'!$V$7)),OFFSET('RFM input'!$I$411,$A1040,0),0)))</f>
        <v>0</v>
      </c>
      <c r="H1043" s="1422">
        <f ca="1">IF(LEFT(H$6,4)&lt;=LEFT('RFM input'!$G$60,4),"enter input",IF(LEFT(H$6,4)&gt;LEFT('RFM input'!$Q$60,4),0,IF(H$6=(OFFSET('RFM input'!$G$60,0,'RFM input'!$V$7)),OFFSET('RFM input'!$I$411,$A1040,0),0)))</f>
        <v>0</v>
      </c>
      <c r="I1043" s="1422">
        <f ca="1">IF(LEFT(I$6,4)&lt;=LEFT('RFM input'!$G$60,4),"enter input",IF(LEFT(I$6,4)&gt;LEFT('RFM input'!$Q$60,4),0,IF(I$6=(OFFSET('RFM input'!$G$60,0,'RFM input'!$V$7)),OFFSET('RFM input'!$I$411,$A1040,0),0)))</f>
        <v>0</v>
      </c>
      <c r="J1043" s="1422">
        <f ca="1">IF(LEFT(J$6,4)&lt;=LEFT('RFM input'!$G$60,4),"enter input",IF(LEFT(J$6,4)&gt;LEFT('RFM input'!$Q$60,4),0,IF(J$6=(OFFSET('RFM input'!$G$60,0,'RFM input'!$V$7)),OFFSET('RFM input'!$I$411,$A1040,0),0)))</f>
        <v>0</v>
      </c>
      <c r="K1043" s="1422">
        <f ca="1">IF(LEFT(K$6,4)&lt;=LEFT('RFM input'!$G$60,4),"enter input",IF(LEFT(K$6,4)&gt;LEFT('RFM input'!$Q$60,4),0,IF(K$6=(OFFSET('RFM input'!$G$60,0,'RFM input'!$V$7)),OFFSET('RFM input'!$I$411,$A1040,0),0)))</f>
        <v>0</v>
      </c>
      <c r="L1043" s="1422">
        <f ca="1">IF(LEFT(L$6,4)&lt;=LEFT('RFM input'!$G$60,4),"enter input",IF(LEFT(L$6,4)&gt;LEFT('RFM input'!$Q$60,4),0,IF(L$6=(OFFSET('RFM input'!$G$60,0,'RFM input'!$V$7)),OFFSET('RFM input'!$I$411,$A1040,0),0)))</f>
        <v>0</v>
      </c>
      <c r="M1043" s="1422">
        <f ca="1">IF(LEFT(M$6,4)&lt;=LEFT('RFM input'!$G$60,4),"enter input",IF(LEFT(M$6,4)&gt;LEFT('RFM input'!$Q$60,4),0,IF(M$6=(OFFSET('RFM input'!$G$60,0,'RFM input'!$V$7)),OFFSET('RFM input'!$I$411,$A1040,0),0)))</f>
        <v>0</v>
      </c>
      <c r="N1043" s="1422">
        <f ca="1">IF(LEFT(N$6,4)&lt;=LEFT('RFM input'!$G$60,4),"enter input",IF(LEFT(N$6,4)&gt;LEFT('RFM input'!$Q$60,4),0,IF(N$6=(OFFSET('RFM input'!$G$60,0,'RFM input'!$V$7)),OFFSET('RFM input'!$I$411,$A1040,0),0)))</f>
        <v>0</v>
      </c>
      <c r="O1043" s="1422">
        <f ca="1">IF(LEFT(O$6,4)&lt;=LEFT('RFM input'!$G$60,4),"enter input",IF(LEFT(O$6,4)&gt;LEFT('RFM input'!$Q$60,4),0,IF(O$6=(OFFSET('RFM input'!$G$60,0,'RFM input'!$V$7)),OFFSET('RFM input'!$I$411,$A1040,0),0)))</f>
        <v>0</v>
      </c>
      <c r="P1043" s="1422">
        <f ca="1">IF(LEFT(P$6,4)&lt;=LEFT('RFM input'!$G$60,4),"enter input",IF(LEFT(P$6,4)&gt;LEFT('RFM input'!$Q$60,4),0,IF(P$6=(OFFSET('RFM input'!$G$60,0,'RFM input'!$V$7)),OFFSET('RFM input'!$I$411,$A1040,0),0)))</f>
        <v>0</v>
      </c>
      <c r="Q1043" s="1422">
        <f ca="1">IF(LEFT(Q$6,4)&lt;=LEFT('RFM input'!$G$60,4),"enter input",IF(LEFT(Q$6,4)&gt;LEFT('RFM input'!$Q$60,4),0,IF(Q$6=(OFFSET('RFM input'!$G$60,0,'RFM input'!$V$7)),OFFSET('RFM input'!$I$411,$A1040,0),0)))</f>
        <v>0</v>
      </c>
      <c r="R1043" s="1422">
        <f ca="1">IF(LEFT(R$6,4)&lt;=LEFT('RFM input'!$G$60,4),"enter input",IF(LEFT(R$6,4)&gt;LEFT('RFM input'!$Q$60,4),0,IF(R$6=(OFFSET('RFM input'!$G$60,0,'RFM input'!$V$7)),OFFSET('RFM input'!$I$411,$A1040,0),0)))</f>
        <v>0</v>
      </c>
      <c r="S1043" s="1422">
        <f ca="1">IF(LEFT(S$6,4)&lt;=LEFT('RFM input'!$G$60,4),"enter input",IF(LEFT(S$6,4)&gt;LEFT('RFM input'!$Q$60,4),0,IF(S$6=(OFFSET('RFM input'!$G$60,0,'RFM input'!$V$7)),OFFSET('RFM input'!$I$411,$A1040,0),0)))</f>
        <v>0</v>
      </c>
      <c r="T1043" s="1422">
        <f ca="1">IF(LEFT(T$6,4)&lt;=LEFT('RFM input'!$G$60,4),"enter input",IF(LEFT(T$6,4)&gt;LEFT('RFM input'!$Q$60,4),0,IF(T$6=(OFFSET('RFM input'!$G$60,0,'RFM input'!$V$7)),OFFSET('RFM input'!$I$411,$A1040,0),0)))</f>
        <v>0</v>
      </c>
      <c r="U1043" s="1422">
        <f ca="1">IF(LEFT(U$6,4)&lt;=LEFT('RFM input'!$G$60,4),"enter input",IF(LEFT(U$6,4)&gt;LEFT('RFM input'!$Q$60,4),0,IF(U$6=(OFFSET('RFM input'!$G$60,0,'RFM input'!$V$7)),OFFSET('RFM input'!$I$411,$A1040,0),0)))</f>
        <v>0</v>
      </c>
      <c r="V1043" s="1422">
        <f ca="1">IF(LEFT(V$6,4)&lt;=LEFT('RFM input'!$G$60,4),"enter input",IF(LEFT(V$6,4)&gt;LEFT('RFM input'!$Q$60,4),0,IF(V$6=(OFFSET('RFM input'!$G$60,0,'RFM input'!$V$7)),OFFSET('RFM input'!$I$411,$A1040,0),0)))</f>
        <v>0</v>
      </c>
      <c r="W1043" s="1422">
        <f ca="1">IF(LEFT(W$6,4)&lt;=LEFT('RFM input'!$G$60,4),"enter input",IF(LEFT(W$6,4)&gt;LEFT('RFM input'!$Q$60,4),0,IF(W$6=(OFFSET('RFM input'!$G$60,0,'RFM input'!$V$7)),OFFSET('RFM input'!$I$411,$A1040,0),0)))</f>
        <v>0</v>
      </c>
      <c r="X1043" s="152"/>
      <c r="Y1043" s="152"/>
      <c r="Z1043" s="152"/>
      <c r="AA1043" s="152"/>
      <c r="AB1043" s="152"/>
    </row>
    <row r="1044" spans="1:28" hidden="1" outlineLevel="1">
      <c r="A1044" s="235">
        <v>-1</v>
      </c>
      <c r="B1044" s="190" t="s">
        <v>189</v>
      </c>
      <c r="C1044" s="1423"/>
      <c r="D1044" s="1423">
        <f ca="1">IF(AND(D1042=0,C1044=0),0,
IF(AND(D1042&lt;&gt;0,C1044=0),(D1042/D$10),
IF(AND(D1043&lt;&gt;0,C1044&lt;&gt;0),(C1044-(C1044/C1068))+(D1042/D$10),
IF(C1068&lt;1,0,(C1044-(C1044/C1068))))))</f>
        <v>0</v>
      </c>
      <c r="E1044" s="1423">
        <f t="shared" ref="E1044" ca="1" si="1504">IF(AND(E1042=0,D1044=0),0,
IF(AND(E1042&lt;&gt;0,D1044=0),(E1042/E$10),
IF(AND(E1043&lt;&gt;0,D1044&lt;&gt;0),(D1044-(D1044/D1068))+(E1042/E$10),
IF(D1068&lt;1,0,(D1044-(D1044/D1068))))))</f>
        <v>0</v>
      </c>
      <c r="F1044" s="1423">
        <f t="shared" ref="F1044" ca="1" si="1505">IF(AND(F1042=0,E1044=0),0,
IF(AND(F1042&lt;&gt;0,E1044=0),(F1042/F$10),
IF(AND(F1043&lt;&gt;0,E1044&lt;&gt;0),(E1044-(E1044/E1068))+(F1042/F$10),
IF(E1068&lt;1,0,(E1044-(E1044/E1068))))))</f>
        <v>0</v>
      </c>
      <c r="G1044" s="1423">
        <f t="shared" ref="G1044" ca="1" si="1506">IF(AND(G1042=0,F1044=0),0,
IF(AND(G1042&lt;&gt;0,F1044=0),(G1042/G$10),
IF(AND(G1043&lt;&gt;0,F1044&lt;&gt;0),(F1044-(F1044/F1068))+(G1042/G$10),
IF(F1068&lt;1,0,(F1044-(F1044/F1068))))))</f>
        <v>0</v>
      </c>
      <c r="H1044" s="1423">
        <f t="shared" ref="H1044" ca="1" si="1507">IF(AND(H1042=0,G1044=0),0,
IF(AND(H1042&lt;&gt;0,G1044=0),(H1042/H$10),
IF(AND(H1043&lt;&gt;0,G1044&lt;&gt;0),(G1044-(G1044/G1068))+(H1042/H$10),
IF(G1068&lt;1,0,(G1044-(G1044/G1068))))))</f>
        <v>0</v>
      </c>
      <c r="I1044" s="1423">
        <f t="shared" ref="I1044" ca="1" si="1508">IF(AND(I1042=0,H1044=0),0,
IF(AND(I1042&lt;&gt;0,H1044=0),(I1042/I$10),
IF(AND(I1043&lt;&gt;0,H1044&lt;&gt;0),(H1044-(H1044/H1068))+(I1042/I$10),
IF(H1068&lt;1,0,(H1044-(H1044/H1068))))))</f>
        <v>0</v>
      </c>
      <c r="J1044" s="1423">
        <f t="shared" ref="J1044" ca="1" si="1509">IF(AND(J1042=0,I1044=0),0,
IF(AND(J1042&lt;&gt;0,I1044=0),(J1042/J$10),
IF(AND(J1043&lt;&gt;0,I1044&lt;&gt;0),(I1044-(I1044/I1068))+(J1042/J$10),
IF(I1068&lt;1,0,(I1044-(I1044/I1068))))))</f>
        <v>0</v>
      </c>
      <c r="K1044" s="1423">
        <f t="shared" ref="K1044" ca="1" si="1510">IF(AND(K1042=0,J1044=0),0,
IF(AND(K1042&lt;&gt;0,J1044=0),(K1042/K$10),
IF(AND(K1043&lt;&gt;0,J1044&lt;&gt;0),(J1044-(J1044/J1068))+(K1042/K$10),
IF(J1068&lt;1,0,(J1044-(J1044/J1068))))))</f>
        <v>0</v>
      </c>
      <c r="L1044" s="1423">
        <f t="shared" ref="L1044" ca="1" si="1511">IF(AND(L1042=0,K1044=0),0,
IF(AND(L1042&lt;&gt;0,K1044=0),(L1042/L$10),
IF(AND(L1043&lt;&gt;0,K1044&lt;&gt;0),(K1044-(K1044/K1068))+(L1042/L$10),
IF(K1068&lt;1,0,(K1044-(K1044/K1068))))))</f>
        <v>0</v>
      </c>
      <c r="M1044" s="1423">
        <f t="shared" ref="M1044" ca="1" si="1512">IF(AND(M1042=0,L1044=0),0,
IF(AND(M1042&lt;&gt;0,L1044=0),(M1042/M$10),
IF(AND(M1043&lt;&gt;0,L1044&lt;&gt;0),(L1044-(L1044/L1068))+(M1042/M$10),
IF(L1068&lt;1,0,(L1044-(L1044/L1068))))))</f>
        <v>0</v>
      </c>
      <c r="N1044" s="1423">
        <f t="shared" ref="N1044" ca="1" si="1513">IF(AND(N1042=0,M1044=0),0,
IF(AND(N1042&lt;&gt;0,M1044=0),(N1042/N$10),
IF(AND(N1043&lt;&gt;0,M1044&lt;&gt;0),(M1044-(M1044/M1068))+(N1042/N$10),
IF(M1068&lt;1,0,(M1044-(M1044/M1068))))))</f>
        <v>0</v>
      </c>
      <c r="O1044" s="1423">
        <f t="shared" ref="O1044" ca="1" si="1514">IF(AND(O1042=0,N1044=0),0,
IF(AND(O1042&lt;&gt;0,N1044=0),(O1042/O$10),
IF(AND(O1043&lt;&gt;0,N1044&lt;&gt;0),(N1044-(N1044/N1068))+(O1042/O$10),
IF(N1068&lt;1,0,(N1044-(N1044/N1068))))))</f>
        <v>0</v>
      </c>
      <c r="P1044" s="1423">
        <f t="shared" ref="P1044" ca="1" si="1515">IF(AND(P1042=0,O1044=0),0,
IF(AND(P1042&lt;&gt;0,O1044=0),(P1042/P$10),
IF(AND(P1043&lt;&gt;0,O1044&lt;&gt;0),(O1044-(O1044/O1068))+(P1042/P$10),
IF(O1068&lt;1,0,(O1044-(O1044/O1068))))))</f>
        <v>0</v>
      </c>
      <c r="Q1044" s="1423">
        <f t="shared" ref="Q1044" ca="1" si="1516">IF(AND(Q1042=0,P1044=0),0,
IF(AND(Q1042&lt;&gt;0,P1044=0),(Q1042/Q$10),
IF(AND(Q1043&lt;&gt;0,P1044&lt;&gt;0),(P1044-(P1044/P1068))+(Q1042/Q$10),
IF(P1068&lt;1,0,(P1044-(P1044/P1068))))))</f>
        <v>0</v>
      </c>
      <c r="R1044" s="1423">
        <f t="shared" ref="R1044" ca="1" si="1517">IF(AND(R1042=0,Q1044=0),0,
IF(AND(R1042&lt;&gt;0,Q1044=0),(R1042/R$10),
IF(AND(R1043&lt;&gt;0,Q1044&lt;&gt;0),(Q1044-(Q1044/Q1068))+(R1042/R$10),
IF(Q1068&lt;1,0,(Q1044-(Q1044/Q1068))))))</f>
        <v>0</v>
      </c>
      <c r="S1044" s="1423">
        <f t="shared" ref="S1044" ca="1" si="1518">IF(AND(S1042=0,R1044=0),0,
IF(AND(S1042&lt;&gt;0,R1044=0),(S1042/S$10),
IF(AND(S1043&lt;&gt;0,R1044&lt;&gt;0),(R1044-(R1044/R1068))+(S1042/S$10),
IF(R1068&lt;1,0,(R1044-(R1044/R1068))))))</f>
        <v>0</v>
      </c>
      <c r="T1044" s="1423">
        <f t="shared" ref="T1044" ca="1" si="1519">IF(AND(T1042=0,S1044=0),0,
IF(AND(T1042&lt;&gt;0,S1044=0),(T1042/T$10),
IF(AND(T1043&lt;&gt;0,S1044&lt;&gt;0),(S1044-(S1044/S1068))+(T1042/T$10),
IF(S1068&lt;1,0,(S1044-(S1044/S1068))))))</f>
        <v>0</v>
      </c>
      <c r="U1044" s="1423">
        <f t="shared" ref="U1044" ca="1" si="1520">IF(AND(U1042=0,T1044=0),0,
IF(AND(U1042&lt;&gt;0,T1044=0),(U1042/U$10),
IF(AND(U1043&lt;&gt;0,T1044&lt;&gt;0),(T1044-(T1044/T1068))+(U1042/U$10),
IF(T1068&lt;1,0,(T1044-(T1044/T1068))))))</f>
        <v>0</v>
      </c>
      <c r="V1044" s="1423">
        <f t="shared" ref="V1044" ca="1" si="1521">IF(AND(V1042=0,U1044=0),0,
IF(AND(V1042&lt;&gt;0,U1044=0),(V1042/V$10),
IF(AND(V1043&lt;&gt;0,U1044&lt;&gt;0),(U1044-(U1044/U1068))+(V1042/V$10),
IF(U1068&lt;1,0,(U1044-(U1044/U1068))))))</f>
        <v>0</v>
      </c>
      <c r="W1044" s="1423">
        <f t="shared" ref="W1044" ca="1" si="1522">IF(AND(W1042=0,V1044=0),0,
IF(AND(W1042&lt;&gt;0,V1044=0),(W1042/W$10),
IF(AND(W1043&lt;&gt;0,V1044&lt;&gt;0),(V1044-(V1044/V1068))+(W1042/W$10),
IF(V1068&lt;1,0,(V1044-(V1044/V1068))))))</f>
        <v>0</v>
      </c>
      <c r="X1044" s="152"/>
      <c r="Y1044" s="152"/>
      <c r="Z1044" s="152"/>
      <c r="AA1044" s="152"/>
      <c r="AB1044" s="152"/>
    </row>
    <row r="1045" spans="1:28" hidden="1" outlineLevel="1">
      <c r="A1045" s="199">
        <f>A1044+1</f>
        <v>0</v>
      </c>
      <c r="B1045" s="190" t="s">
        <v>125</v>
      </c>
      <c r="C1045" s="1423">
        <f ca="1">C1040/C$10</f>
        <v>0</v>
      </c>
      <c r="D1045" s="1423">
        <f ca="1">IF(C1069="n/a",C1045,IFERROR(IF((OFFSET($C1045,0,$A1045))&lt;0,
MIN(0,C1045-(OFFSET($C1045,0,$A1045)/(OFFSET($C1040,-$A1044,$A1045)))),
MAX(0,C1045-(OFFSET($C1045,0,$A1045)/(OFFSET($C1040,-$A1044,$A1045))))),0))</f>
        <v>0</v>
      </c>
      <c r="E1045" s="1423">
        <f t="shared" ref="E1045" ca="1" si="1523">IF(D1069="n/a",D1045,IFERROR(IF((OFFSET($C1045,0,$A1045))&lt;0,
MIN(0,D1045-(OFFSET($C1045,0,$A1045)/(OFFSET($C1040,-$A1044,$A1045)))),
MAX(0,D1045-(OFFSET($C1045,0,$A1045)/(OFFSET($C1040,-$A1044,$A1045))))),0))</f>
        <v>0</v>
      </c>
      <c r="F1045" s="1423">
        <f t="shared" ref="F1045:F1046" ca="1" si="1524">IF(E1069="n/a",E1045,IFERROR(IF((OFFSET($C1045,0,$A1045))&lt;0,
MIN(0,E1045-(OFFSET($C1045,0,$A1045)/(OFFSET($C1040,-$A1044,$A1045)))),
MAX(0,E1045-(OFFSET($C1045,0,$A1045)/(OFFSET($C1040,-$A1044,$A1045))))),0))</f>
        <v>0</v>
      </c>
      <c r="G1045" s="1423">
        <f t="shared" ref="G1045:G1047" ca="1" si="1525">IF(F1069="n/a",F1045,IFERROR(IF((OFFSET($C1045,0,$A1045))&lt;0,
MIN(0,F1045-(OFFSET($C1045,0,$A1045)/(OFFSET($C1040,-$A1044,$A1045)))),
MAX(0,F1045-(OFFSET($C1045,0,$A1045)/(OFFSET($C1040,-$A1044,$A1045))))),0))</f>
        <v>0</v>
      </c>
      <c r="H1045" s="1423">
        <f t="shared" ref="H1045:H1048" ca="1" si="1526">IF(G1069="n/a",G1045,IFERROR(IF((OFFSET($C1045,0,$A1045))&lt;0,
MIN(0,G1045-(OFFSET($C1045,0,$A1045)/(OFFSET($C1040,-$A1044,$A1045)))),
MAX(0,G1045-(OFFSET($C1045,0,$A1045)/(OFFSET($C1040,-$A1044,$A1045))))),0))</f>
        <v>0</v>
      </c>
      <c r="I1045" s="1423">
        <f t="shared" ref="I1045:I1049" ca="1" si="1527">IF(H1069="n/a",H1045,IFERROR(IF((OFFSET($C1045,0,$A1045))&lt;0,
MIN(0,H1045-(OFFSET($C1045,0,$A1045)/(OFFSET($C1040,-$A1044,$A1045)))),
MAX(0,H1045-(OFFSET($C1045,0,$A1045)/(OFFSET($C1040,-$A1044,$A1045))))),0))</f>
        <v>0</v>
      </c>
      <c r="J1045" s="1423">
        <f t="shared" ref="J1045:J1050" ca="1" si="1528">IF(I1069="n/a",I1045,IFERROR(IF((OFFSET($C1045,0,$A1045))&lt;0,
MIN(0,I1045-(OFFSET($C1045,0,$A1045)/(OFFSET($C1040,-$A1044,$A1045)))),
MAX(0,I1045-(OFFSET($C1045,0,$A1045)/(OFFSET($C1040,-$A1044,$A1045))))),0))</f>
        <v>0</v>
      </c>
      <c r="K1045" s="1423">
        <f t="shared" ref="K1045:K1051" ca="1" si="1529">IF(J1069="n/a",J1045,IFERROR(IF((OFFSET($C1045,0,$A1045))&lt;0,
MIN(0,J1045-(OFFSET($C1045,0,$A1045)/(OFFSET($C1040,-$A1044,$A1045)))),
MAX(0,J1045-(OFFSET($C1045,0,$A1045)/(OFFSET($C1040,-$A1044,$A1045))))),0))</f>
        <v>0</v>
      </c>
      <c r="L1045" s="1423">
        <f t="shared" ref="L1045:L1052" ca="1" si="1530">IF(K1069="n/a",K1045,IFERROR(IF((OFFSET($C1045,0,$A1045))&lt;0,
MIN(0,K1045-(OFFSET($C1045,0,$A1045)/(OFFSET($C1040,-$A1044,$A1045)))),
MAX(0,K1045-(OFFSET($C1045,0,$A1045)/(OFFSET($C1040,-$A1044,$A1045))))),0))</f>
        <v>0</v>
      </c>
      <c r="M1045" s="1423">
        <f t="shared" ref="M1045:M1053" ca="1" si="1531">IF(L1069="n/a",L1045,IFERROR(IF((OFFSET($C1045,0,$A1045))&lt;0,
MIN(0,L1045-(OFFSET($C1045,0,$A1045)/(OFFSET($C1040,-$A1044,$A1045)))),
MAX(0,L1045-(OFFSET($C1045,0,$A1045)/(OFFSET($C1040,-$A1044,$A1045))))),0))</f>
        <v>0</v>
      </c>
      <c r="N1045" s="1423">
        <f t="shared" ref="N1045:N1054" ca="1" si="1532">IF(M1069="n/a",M1045,IFERROR(IF((OFFSET($C1045,0,$A1045))&lt;0,
MIN(0,M1045-(OFFSET($C1045,0,$A1045)/(OFFSET($C1040,-$A1044,$A1045)))),
MAX(0,M1045-(OFFSET($C1045,0,$A1045)/(OFFSET($C1040,-$A1044,$A1045))))),0))</f>
        <v>0</v>
      </c>
      <c r="O1045" s="1423">
        <f t="shared" ref="O1045:O1055" ca="1" si="1533">IF(N1069="n/a",N1045,IFERROR(IF((OFFSET($C1045,0,$A1045))&lt;0,
MIN(0,N1045-(OFFSET($C1045,0,$A1045)/(OFFSET($C1040,-$A1044,$A1045)))),
MAX(0,N1045-(OFFSET($C1045,0,$A1045)/(OFFSET($C1040,-$A1044,$A1045))))),0))</f>
        <v>0</v>
      </c>
      <c r="P1045" s="1423">
        <f t="shared" ref="P1045:P1056" ca="1" si="1534">IF(O1069="n/a",O1045,IFERROR(IF((OFFSET($C1045,0,$A1045))&lt;0,
MIN(0,O1045-(OFFSET($C1045,0,$A1045)/(OFFSET($C1040,-$A1044,$A1045)))),
MAX(0,O1045-(OFFSET($C1045,0,$A1045)/(OFFSET($C1040,-$A1044,$A1045))))),0))</f>
        <v>0</v>
      </c>
      <c r="Q1045" s="1423">
        <f t="shared" ref="Q1045:Q1057" ca="1" si="1535">IF(P1069="n/a",P1045,IFERROR(IF((OFFSET($C1045,0,$A1045))&lt;0,
MIN(0,P1045-(OFFSET($C1045,0,$A1045)/(OFFSET($C1040,-$A1044,$A1045)))),
MAX(0,P1045-(OFFSET($C1045,0,$A1045)/(OFFSET($C1040,-$A1044,$A1045))))),0))</f>
        <v>0</v>
      </c>
      <c r="R1045" s="1423">
        <f t="shared" ref="R1045:R1058" ca="1" si="1536">IF(Q1069="n/a",Q1045,IFERROR(IF((OFFSET($C1045,0,$A1045))&lt;0,
MIN(0,Q1045-(OFFSET($C1045,0,$A1045)/(OFFSET($C1040,-$A1044,$A1045)))),
MAX(0,Q1045-(OFFSET($C1045,0,$A1045)/(OFFSET($C1040,-$A1044,$A1045))))),0))</f>
        <v>0</v>
      </c>
      <c r="S1045" s="1423">
        <f t="shared" ref="S1045:S1059" ca="1" si="1537">IF(R1069="n/a",R1045,IFERROR(IF((OFFSET($C1045,0,$A1045))&lt;0,
MIN(0,R1045-(OFFSET($C1045,0,$A1045)/(OFFSET($C1040,-$A1044,$A1045)))),
MAX(0,R1045-(OFFSET($C1045,0,$A1045)/(OFFSET($C1040,-$A1044,$A1045))))),0))</f>
        <v>0</v>
      </c>
      <c r="T1045" s="1423">
        <f t="shared" ref="T1045:T1060" ca="1" si="1538">IF(S1069="n/a",S1045,IFERROR(IF((OFFSET($C1045,0,$A1045))&lt;0,
MIN(0,S1045-(OFFSET($C1045,0,$A1045)/(OFFSET($C1040,-$A1044,$A1045)))),
MAX(0,S1045-(OFFSET($C1045,0,$A1045)/(OFFSET($C1040,-$A1044,$A1045))))),0))</f>
        <v>0</v>
      </c>
      <c r="U1045" s="1423">
        <f t="shared" ref="U1045:U1061" ca="1" si="1539">IF(T1069="n/a",T1045,IFERROR(IF((OFFSET($C1045,0,$A1045))&lt;0,
MIN(0,T1045-(OFFSET($C1045,0,$A1045)/(OFFSET($C1040,-$A1044,$A1045)))),
MAX(0,T1045-(OFFSET($C1045,0,$A1045)/(OFFSET($C1040,-$A1044,$A1045))))),0))</f>
        <v>0</v>
      </c>
      <c r="V1045" s="1423">
        <f t="shared" ref="V1045:V1062" ca="1" si="1540">IF(U1069="n/a",U1045,IFERROR(IF((OFFSET($C1045,0,$A1045))&lt;0,
MIN(0,U1045-(OFFSET($C1045,0,$A1045)/(OFFSET($C1040,-$A1044,$A1045)))),
MAX(0,U1045-(OFFSET($C1045,0,$A1045)/(OFFSET($C1040,-$A1044,$A1045))))),0))</f>
        <v>0</v>
      </c>
      <c r="W1045" s="1423">
        <f t="shared" ref="W1045:W1063" ca="1" si="1541">IF(V1069="n/a",V1045,IFERROR(IF((OFFSET($C1045,0,$A1045))&lt;0,
MIN(0,V1045-(OFFSET($C1045,0,$A1045)/(OFFSET($C1040,-$A1044,$A1045)))),
MAX(0,V1045-(OFFSET($C1045,0,$A1045)/(OFFSET($C1040,-$A1044,$A1045))))),0))</f>
        <v>0</v>
      </c>
      <c r="X1045" s="152"/>
      <c r="Y1045" s="152"/>
      <c r="Z1045" s="152"/>
      <c r="AA1045" s="152"/>
      <c r="AB1045" s="152"/>
    </row>
    <row r="1046" spans="1:28" hidden="1" outlineLevel="1">
      <c r="A1046" s="199">
        <f t="shared" ref="A1046:A1065" si="1542">A1045+1</f>
        <v>1</v>
      </c>
      <c r="B1046" s="190" t="str">
        <f t="shared" ref="B1046:B1064" ca="1" si="1543">"Depreciated Net Capex "&amp;OFFSET($C$6,0,A1046)</f>
        <v>Depreciated Net Capex 2016-17</v>
      </c>
      <c r="C1046" s="1424"/>
      <c r="D1046" s="1425">
        <f>(D1040*((1+D$11)^0.5)/D$10)</f>
        <v>0</v>
      </c>
      <c r="E1046" s="1423">
        <f ca="1">IF(D1070="n/a",D1046,IFERROR(IF((OFFSET($C1046,0,$A1046))&lt;0,
MIN(0,D1046-(OFFSET($C1046,0,$A1046)/(OFFSET($C1041,-$A1045,$A1046)))),
MAX(0,D1046-(OFFSET($C1046,0,$A1046)/(OFFSET($C1041,-$A1045,$A1046))))),0))</f>
        <v>0</v>
      </c>
      <c r="F1046" s="1423">
        <f t="shared" ca="1" si="1524"/>
        <v>0</v>
      </c>
      <c r="G1046" s="1423">
        <f t="shared" ca="1" si="1525"/>
        <v>0</v>
      </c>
      <c r="H1046" s="1423">
        <f t="shared" ca="1" si="1526"/>
        <v>0</v>
      </c>
      <c r="I1046" s="1423">
        <f t="shared" ca="1" si="1527"/>
        <v>0</v>
      </c>
      <c r="J1046" s="1423">
        <f t="shared" ca="1" si="1528"/>
        <v>0</v>
      </c>
      <c r="K1046" s="1423">
        <f t="shared" ca="1" si="1529"/>
        <v>0</v>
      </c>
      <c r="L1046" s="1423">
        <f t="shared" ca="1" si="1530"/>
        <v>0</v>
      </c>
      <c r="M1046" s="1423">
        <f t="shared" ca="1" si="1531"/>
        <v>0</v>
      </c>
      <c r="N1046" s="1423">
        <f t="shared" ca="1" si="1532"/>
        <v>0</v>
      </c>
      <c r="O1046" s="1423">
        <f t="shared" ca="1" si="1533"/>
        <v>0</v>
      </c>
      <c r="P1046" s="1423">
        <f t="shared" ca="1" si="1534"/>
        <v>0</v>
      </c>
      <c r="Q1046" s="1423">
        <f t="shared" ca="1" si="1535"/>
        <v>0</v>
      </c>
      <c r="R1046" s="1423">
        <f t="shared" ca="1" si="1536"/>
        <v>0</v>
      </c>
      <c r="S1046" s="1423">
        <f t="shared" ca="1" si="1537"/>
        <v>0</v>
      </c>
      <c r="T1046" s="1423">
        <f t="shared" ca="1" si="1538"/>
        <v>0</v>
      </c>
      <c r="U1046" s="1423">
        <f t="shared" ca="1" si="1539"/>
        <v>0</v>
      </c>
      <c r="V1046" s="1423">
        <f t="shared" ca="1" si="1540"/>
        <v>0</v>
      </c>
      <c r="W1046" s="1423">
        <f t="shared" ca="1" si="1541"/>
        <v>0</v>
      </c>
      <c r="X1046" s="152"/>
      <c r="Y1046" s="152"/>
      <c r="Z1046" s="152"/>
      <c r="AA1046" s="152"/>
      <c r="AB1046" s="152"/>
    </row>
    <row r="1047" spans="1:28" hidden="1" outlineLevel="1">
      <c r="A1047" s="199">
        <f t="shared" si="1542"/>
        <v>2</v>
      </c>
      <c r="B1047" s="190" t="str">
        <f t="shared" ca="1" si="1543"/>
        <v>Depreciated Net Capex 2017-18</v>
      </c>
      <c r="C1047" s="1426"/>
      <c r="D1047" s="1427"/>
      <c r="E1047" s="1425">
        <f>(E1040*((1+E$11)^0.5)/E$10)</f>
        <v>0</v>
      </c>
      <c r="F1047" s="1423">
        <f ca="1">IF(E1071="n/a",E1047,IFERROR(IF((OFFSET($C1047,0,$A1047))&lt;0,
MIN(0,E1047-(OFFSET($C1047,0,$A1047)/(OFFSET($C1042,-$A1046,$A1047)))),
MAX(0,E1047-(OFFSET($C1047,0,$A1047)/(OFFSET($C1042,-$A1046,$A1047))))),0))</f>
        <v>0</v>
      </c>
      <c r="G1047" s="1423">
        <f t="shared" ca="1" si="1525"/>
        <v>0</v>
      </c>
      <c r="H1047" s="1423">
        <f t="shared" ca="1" si="1526"/>
        <v>0</v>
      </c>
      <c r="I1047" s="1423">
        <f t="shared" ca="1" si="1527"/>
        <v>0</v>
      </c>
      <c r="J1047" s="1423">
        <f t="shared" ca="1" si="1528"/>
        <v>0</v>
      </c>
      <c r="K1047" s="1423">
        <f t="shared" ca="1" si="1529"/>
        <v>0</v>
      </c>
      <c r="L1047" s="1423">
        <f t="shared" ca="1" si="1530"/>
        <v>0</v>
      </c>
      <c r="M1047" s="1423">
        <f t="shared" ca="1" si="1531"/>
        <v>0</v>
      </c>
      <c r="N1047" s="1423">
        <f t="shared" ca="1" si="1532"/>
        <v>0</v>
      </c>
      <c r="O1047" s="1423">
        <f t="shared" ca="1" si="1533"/>
        <v>0</v>
      </c>
      <c r="P1047" s="1423">
        <f t="shared" ca="1" si="1534"/>
        <v>0</v>
      </c>
      <c r="Q1047" s="1423">
        <f t="shared" ca="1" si="1535"/>
        <v>0</v>
      </c>
      <c r="R1047" s="1423">
        <f t="shared" ca="1" si="1536"/>
        <v>0</v>
      </c>
      <c r="S1047" s="1423">
        <f t="shared" ca="1" si="1537"/>
        <v>0</v>
      </c>
      <c r="T1047" s="1423">
        <f t="shared" ca="1" si="1538"/>
        <v>0</v>
      </c>
      <c r="U1047" s="1423">
        <f t="shared" ca="1" si="1539"/>
        <v>0</v>
      </c>
      <c r="V1047" s="1423">
        <f t="shared" ca="1" si="1540"/>
        <v>0</v>
      </c>
      <c r="W1047" s="1423">
        <f t="shared" ca="1" si="1541"/>
        <v>0</v>
      </c>
      <c r="X1047" s="202"/>
      <c r="Y1047" s="152"/>
      <c r="Z1047" s="152"/>
      <c r="AA1047" s="152"/>
      <c r="AB1047" s="152"/>
    </row>
    <row r="1048" spans="1:28" hidden="1" outlineLevel="1">
      <c r="A1048" s="199">
        <f t="shared" si="1542"/>
        <v>3</v>
      </c>
      <c r="B1048" s="190" t="str">
        <f t="shared" ca="1" si="1543"/>
        <v>Depreciated Net Capex 2018-19</v>
      </c>
      <c r="C1048" s="1426"/>
      <c r="D1048" s="1426"/>
      <c r="E1048" s="1427"/>
      <c r="F1048" s="1428">
        <f>($F1040*((1+F$11)^0.5)/F$10)</f>
        <v>0</v>
      </c>
      <c r="G1048" s="1423">
        <f ca="1">IF(F1072="n/a",F1048,IFERROR(IF((OFFSET($C1048,0,$A1048))&lt;0,
MIN(0,F1048-(OFFSET($C1048,0,$A1048)/(OFFSET($C1043,-$A1047,$A1048)))),
MAX(0,F1048-(OFFSET($C1048,0,$A1048)/(OFFSET($C1043,-$A1047,$A1048))))),0))</f>
        <v>0</v>
      </c>
      <c r="H1048" s="1423">
        <f t="shared" ca="1" si="1526"/>
        <v>0</v>
      </c>
      <c r="I1048" s="1423">
        <f t="shared" ca="1" si="1527"/>
        <v>0</v>
      </c>
      <c r="J1048" s="1423">
        <f t="shared" ca="1" si="1528"/>
        <v>0</v>
      </c>
      <c r="K1048" s="1423">
        <f t="shared" ca="1" si="1529"/>
        <v>0</v>
      </c>
      <c r="L1048" s="1423">
        <f t="shared" ca="1" si="1530"/>
        <v>0</v>
      </c>
      <c r="M1048" s="1423">
        <f t="shared" ca="1" si="1531"/>
        <v>0</v>
      </c>
      <c r="N1048" s="1423">
        <f t="shared" ca="1" si="1532"/>
        <v>0</v>
      </c>
      <c r="O1048" s="1423">
        <f t="shared" ca="1" si="1533"/>
        <v>0</v>
      </c>
      <c r="P1048" s="1423">
        <f t="shared" ca="1" si="1534"/>
        <v>0</v>
      </c>
      <c r="Q1048" s="1423">
        <f t="shared" ca="1" si="1535"/>
        <v>0</v>
      </c>
      <c r="R1048" s="1423">
        <f t="shared" ca="1" si="1536"/>
        <v>0</v>
      </c>
      <c r="S1048" s="1423">
        <f t="shared" ca="1" si="1537"/>
        <v>0</v>
      </c>
      <c r="T1048" s="1423">
        <f t="shared" ca="1" si="1538"/>
        <v>0</v>
      </c>
      <c r="U1048" s="1423">
        <f t="shared" ca="1" si="1539"/>
        <v>0</v>
      </c>
      <c r="V1048" s="1423">
        <f t="shared" ca="1" si="1540"/>
        <v>0</v>
      </c>
      <c r="W1048" s="1423">
        <f t="shared" ca="1" si="1541"/>
        <v>0</v>
      </c>
      <c r="X1048" s="202"/>
      <c r="Y1048" s="202"/>
      <c r="Z1048" s="152"/>
      <c r="AA1048" s="152"/>
      <c r="AB1048" s="152"/>
    </row>
    <row r="1049" spans="1:28" hidden="1" outlineLevel="1">
      <c r="A1049" s="199">
        <f t="shared" si="1542"/>
        <v>4</v>
      </c>
      <c r="B1049" s="190" t="str">
        <f t="shared" ca="1" si="1543"/>
        <v>Depreciated Net Capex 2019-20</v>
      </c>
      <c r="C1049" s="1426"/>
      <c r="D1049" s="1426"/>
      <c r="E1049" s="1426"/>
      <c r="F1049" s="1427"/>
      <c r="G1049" s="1428">
        <f>($G1040*((1+G$11)^0.5)/G$10)</f>
        <v>0</v>
      </c>
      <c r="H1049" s="1423">
        <f ca="1">IF(G1073="n/a",G1049,IFERROR(IF((OFFSET($C1049,0,$A1049))&lt;0,
MIN(0,G1049-(OFFSET($C1049,0,$A1049)/(OFFSET($C1044,-$A1048,$A1049)))),
MAX(0,G1049-(OFFSET($C1049,0,$A1049)/(OFFSET($C1044,-$A1048,$A1049))))),0))</f>
        <v>0</v>
      </c>
      <c r="I1049" s="1423">
        <f t="shared" ca="1" si="1527"/>
        <v>0</v>
      </c>
      <c r="J1049" s="1423">
        <f t="shared" ca="1" si="1528"/>
        <v>0</v>
      </c>
      <c r="K1049" s="1423">
        <f t="shared" ca="1" si="1529"/>
        <v>0</v>
      </c>
      <c r="L1049" s="1423">
        <f t="shared" ca="1" si="1530"/>
        <v>0</v>
      </c>
      <c r="M1049" s="1423">
        <f t="shared" ca="1" si="1531"/>
        <v>0</v>
      </c>
      <c r="N1049" s="1423">
        <f t="shared" ca="1" si="1532"/>
        <v>0</v>
      </c>
      <c r="O1049" s="1423">
        <f t="shared" ca="1" si="1533"/>
        <v>0</v>
      </c>
      <c r="P1049" s="1423">
        <f t="shared" ca="1" si="1534"/>
        <v>0</v>
      </c>
      <c r="Q1049" s="1423">
        <f t="shared" ca="1" si="1535"/>
        <v>0</v>
      </c>
      <c r="R1049" s="1423">
        <f t="shared" ca="1" si="1536"/>
        <v>0</v>
      </c>
      <c r="S1049" s="1423">
        <f t="shared" ca="1" si="1537"/>
        <v>0</v>
      </c>
      <c r="T1049" s="1423">
        <f t="shared" ca="1" si="1538"/>
        <v>0</v>
      </c>
      <c r="U1049" s="1423">
        <f t="shared" ca="1" si="1539"/>
        <v>0</v>
      </c>
      <c r="V1049" s="1423">
        <f t="shared" ca="1" si="1540"/>
        <v>0</v>
      </c>
      <c r="W1049" s="1423">
        <f t="shared" ca="1" si="1541"/>
        <v>0</v>
      </c>
      <c r="X1049" s="202"/>
      <c r="Y1049" s="202"/>
      <c r="Z1049" s="202"/>
      <c r="AA1049" s="152"/>
      <c r="AB1049" s="152"/>
    </row>
    <row r="1050" spans="1:28" hidden="1" outlineLevel="1">
      <c r="A1050" s="199">
        <f t="shared" si="1542"/>
        <v>5</v>
      </c>
      <c r="B1050" s="190" t="str">
        <f t="shared" ca="1" si="1543"/>
        <v>Depreciated Net Capex 2020-21</v>
      </c>
      <c r="C1050" s="1426"/>
      <c r="D1050" s="1426"/>
      <c r="E1050" s="1426"/>
      <c r="F1050" s="1426"/>
      <c r="G1050" s="1427"/>
      <c r="H1050" s="1428">
        <f>(H1040*((1+H$11)^0.5)/H$10)</f>
        <v>0</v>
      </c>
      <c r="I1050" s="1423">
        <f ca="1">IF(H1074="n/a",H1050,IFERROR(IF((OFFSET($C1050,0,$A1050))&lt;0,
MIN(0,H1050-(OFFSET($C1050,0,$A1050)/(OFFSET($C1045,-$A1049,$A1050)))),
MAX(0,H1050-(OFFSET($C1050,0,$A1050)/(OFFSET($C1045,-$A1049,$A1050))))),0))</f>
        <v>0</v>
      </c>
      <c r="J1050" s="1423">
        <f t="shared" ca="1" si="1528"/>
        <v>0</v>
      </c>
      <c r="K1050" s="1423">
        <f t="shared" ca="1" si="1529"/>
        <v>0</v>
      </c>
      <c r="L1050" s="1423">
        <f t="shared" ca="1" si="1530"/>
        <v>0</v>
      </c>
      <c r="M1050" s="1423">
        <f t="shared" ca="1" si="1531"/>
        <v>0</v>
      </c>
      <c r="N1050" s="1423">
        <f t="shared" ca="1" si="1532"/>
        <v>0</v>
      </c>
      <c r="O1050" s="1423">
        <f t="shared" ca="1" si="1533"/>
        <v>0</v>
      </c>
      <c r="P1050" s="1423">
        <f t="shared" ca="1" si="1534"/>
        <v>0</v>
      </c>
      <c r="Q1050" s="1423">
        <f t="shared" ca="1" si="1535"/>
        <v>0</v>
      </c>
      <c r="R1050" s="1423">
        <f t="shared" ca="1" si="1536"/>
        <v>0</v>
      </c>
      <c r="S1050" s="1423">
        <f t="shared" ca="1" si="1537"/>
        <v>0</v>
      </c>
      <c r="T1050" s="1423">
        <f t="shared" ca="1" si="1538"/>
        <v>0</v>
      </c>
      <c r="U1050" s="1423">
        <f t="shared" ca="1" si="1539"/>
        <v>0</v>
      </c>
      <c r="V1050" s="1423">
        <f t="shared" ca="1" si="1540"/>
        <v>0</v>
      </c>
      <c r="W1050" s="1423">
        <f t="shared" ca="1" si="1541"/>
        <v>0</v>
      </c>
      <c r="X1050" s="202"/>
      <c r="Y1050" s="202"/>
      <c r="Z1050" s="202"/>
      <c r="AA1050" s="152"/>
      <c r="AB1050" s="152"/>
    </row>
    <row r="1051" spans="1:28" hidden="1" outlineLevel="1">
      <c r="A1051" s="199">
        <f t="shared" si="1542"/>
        <v>6</v>
      </c>
      <c r="B1051" s="190" t="str">
        <f t="shared" ca="1" si="1543"/>
        <v>Depreciated Net Capex 2021-22</v>
      </c>
      <c r="C1051" s="1426"/>
      <c r="D1051" s="1426"/>
      <c r="E1051" s="1426"/>
      <c r="F1051" s="1426"/>
      <c r="G1051" s="1426"/>
      <c r="H1051" s="1427"/>
      <c r="I1051" s="1428">
        <f>(I1040*((1+I$11)^0.5)/I$10)</f>
        <v>0</v>
      </c>
      <c r="J1051" s="1423">
        <f ca="1">IF(I1075="n/a",I1051,IFERROR(IF((OFFSET($C1051,0,$A1051))&lt;0,
MIN(0,I1051-(OFFSET($C1051,0,$A1051)/(OFFSET($C1046,-$A1050,$A1051)))),
MAX(0,I1051-(OFFSET($C1051,0,$A1051)/(OFFSET($C1046,-$A1050,$A1051))))),0))</f>
        <v>0</v>
      </c>
      <c r="K1051" s="1423">
        <f t="shared" ca="1" si="1529"/>
        <v>0</v>
      </c>
      <c r="L1051" s="1423">
        <f t="shared" ca="1" si="1530"/>
        <v>0</v>
      </c>
      <c r="M1051" s="1423">
        <f t="shared" ca="1" si="1531"/>
        <v>0</v>
      </c>
      <c r="N1051" s="1423">
        <f t="shared" ca="1" si="1532"/>
        <v>0</v>
      </c>
      <c r="O1051" s="1423">
        <f t="shared" ca="1" si="1533"/>
        <v>0</v>
      </c>
      <c r="P1051" s="1423">
        <f t="shared" ca="1" si="1534"/>
        <v>0</v>
      </c>
      <c r="Q1051" s="1423">
        <f t="shared" ca="1" si="1535"/>
        <v>0</v>
      </c>
      <c r="R1051" s="1423">
        <f t="shared" ca="1" si="1536"/>
        <v>0</v>
      </c>
      <c r="S1051" s="1423">
        <f t="shared" ca="1" si="1537"/>
        <v>0</v>
      </c>
      <c r="T1051" s="1423">
        <f t="shared" ca="1" si="1538"/>
        <v>0</v>
      </c>
      <c r="U1051" s="1423">
        <f t="shared" ca="1" si="1539"/>
        <v>0</v>
      </c>
      <c r="V1051" s="1423">
        <f t="shared" ca="1" si="1540"/>
        <v>0</v>
      </c>
      <c r="W1051" s="1423">
        <f t="shared" ca="1" si="1541"/>
        <v>0</v>
      </c>
      <c r="X1051" s="202"/>
      <c r="Y1051" s="202"/>
      <c r="Z1051" s="202"/>
      <c r="AA1051" s="152"/>
      <c r="AB1051" s="152"/>
    </row>
    <row r="1052" spans="1:28" hidden="1" outlineLevel="1">
      <c r="A1052" s="199">
        <f t="shared" si="1542"/>
        <v>7</v>
      </c>
      <c r="B1052" s="190" t="str">
        <f t="shared" ca="1" si="1543"/>
        <v>Depreciated Net Capex 2022-23</v>
      </c>
      <c r="C1052" s="1426"/>
      <c r="D1052" s="1426"/>
      <c r="E1052" s="1426"/>
      <c r="F1052" s="1426"/>
      <c r="G1052" s="1426"/>
      <c r="H1052" s="1426"/>
      <c r="I1052" s="1427"/>
      <c r="J1052" s="1428">
        <f>(J1040*((1+J$11)^0.5)/J$10)</f>
        <v>0</v>
      </c>
      <c r="K1052" s="1423">
        <f ca="1">IF(J1076="n/a",J1052,IFERROR(IF((OFFSET($C1052,0,$A1052))&lt;0,
MIN(0,J1052-(OFFSET($C1052,0,$A1052)/(OFFSET($C1047,-$A1051,$A1052)))),
MAX(0,J1052-(OFFSET($C1052,0,$A1052)/(OFFSET($C1047,-$A1051,$A1052))))),0))</f>
        <v>0</v>
      </c>
      <c r="L1052" s="1423">
        <f t="shared" ca="1" si="1530"/>
        <v>0</v>
      </c>
      <c r="M1052" s="1423">
        <f t="shared" ca="1" si="1531"/>
        <v>0</v>
      </c>
      <c r="N1052" s="1423">
        <f t="shared" ca="1" si="1532"/>
        <v>0</v>
      </c>
      <c r="O1052" s="1423">
        <f t="shared" ca="1" si="1533"/>
        <v>0</v>
      </c>
      <c r="P1052" s="1423">
        <f t="shared" ca="1" si="1534"/>
        <v>0</v>
      </c>
      <c r="Q1052" s="1423">
        <f t="shared" ca="1" si="1535"/>
        <v>0</v>
      </c>
      <c r="R1052" s="1423">
        <f t="shared" ca="1" si="1536"/>
        <v>0</v>
      </c>
      <c r="S1052" s="1423">
        <f t="shared" ca="1" si="1537"/>
        <v>0</v>
      </c>
      <c r="T1052" s="1423">
        <f t="shared" ca="1" si="1538"/>
        <v>0</v>
      </c>
      <c r="U1052" s="1423">
        <f t="shared" ca="1" si="1539"/>
        <v>0</v>
      </c>
      <c r="V1052" s="1423">
        <f t="shared" ca="1" si="1540"/>
        <v>0</v>
      </c>
      <c r="W1052" s="1423">
        <f t="shared" ca="1" si="1541"/>
        <v>0</v>
      </c>
      <c r="X1052" s="202"/>
      <c r="Y1052" s="202"/>
      <c r="Z1052" s="202"/>
      <c r="AA1052" s="152"/>
      <c r="AB1052" s="152"/>
    </row>
    <row r="1053" spans="1:28" hidden="1" outlineLevel="1">
      <c r="A1053" s="199">
        <f t="shared" si="1542"/>
        <v>8</v>
      </c>
      <c r="B1053" s="190" t="str">
        <f t="shared" ca="1" si="1543"/>
        <v>Depreciated Net Capex 2023-24</v>
      </c>
      <c r="C1053" s="1426"/>
      <c r="D1053" s="1426"/>
      <c r="E1053" s="1426"/>
      <c r="F1053" s="1426"/>
      <c r="G1053" s="1426"/>
      <c r="H1053" s="1426"/>
      <c r="I1053" s="1426"/>
      <c r="J1053" s="1427"/>
      <c r="K1053" s="1428">
        <f>(K1040*((1+K$11)^0.5)/K$10)</f>
        <v>0</v>
      </c>
      <c r="L1053" s="1423">
        <f ca="1">IF(K1077="n/a",K1053,IFERROR(IF((OFFSET($C1053,0,$A1053))&lt;0,
MIN(0,K1053-(OFFSET($C1053,0,$A1053)/(OFFSET($C1048,-$A1052,$A1053)))),
MAX(0,K1053-(OFFSET($C1053,0,$A1053)/(OFFSET($C1048,-$A1052,$A1053))))),0))</f>
        <v>0</v>
      </c>
      <c r="M1053" s="1423">
        <f t="shared" ca="1" si="1531"/>
        <v>0</v>
      </c>
      <c r="N1053" s="1423">
        <f t="shared" ca="1" si="1532"/>
        <v>0</v>
      </c>
      <c r="O1053" s="1423">
        <f t="shared" ca="1" si="1533"/>
        <v>0</v>
      </c>
      <c r="P1053" s="1423">
        <f t="shared" ca="1" si="1534"/>
        <v>0</v>
      </c>
      <c r="Q1053" s="1423">
        <f t="shared" ca="1" si="1535"/>
        <v>0</v>
      </c>
      <c r="R1053" s="1423">
        <f t="shared" ca="1" si="1536"/>
        <v>0</v>
      </c>
      <c r="S1053" s="1423">
        <f t="shared" ca="1" si="1537"/>
        <v>0</v>
      </c>
      <c r="T1053" s="1423">
        <f t="shared" ca="1" si="1538"/>
        <v>0</v>
      </c>
      <c r="U1053" s="1423">
        <f t="shared" ca="1" si="1539"/>
        <v>0</v>
      </c>
      <c r="V1053" s="1423">
        <f t="shared" ca="1" si="1540"/>
        <v>0</v>
      </c>
      <c r="W1053" s="1423">
        <f t="shared" ca="1" si="1541"/>
        <v>0</v>
      </c>
      <c r="X1053" s="202"/>
      <c r="Y1053" s="202"/>
      <c r="Z1053" s="202"/>
      <c r="AA1053" s="152"/>
      <c r="AB1053" s="152"/>
    </row>
    <row r="1054" spans="1:28" hidden="1" outlineLevel="1">
      <c r="A1054" s="199">
        <f t="shared" si="1542"/>
        <v>9</v>
      </c>
      <c r="B1054" s="190" t="str">
        <f t="shared" ca="1" si="1543"/>
        <v>Depreciated Net Capex 2024-25</v>
      </c>
      <c r="C1054" s="1426"/>
      <c r="D1054" s="1426"/>
      <c r="E1054" s="1426"/>
      <c r="F1054" s="1426"/>
      <c r="G1054" s="1426"/>
      <c r="H1054" s="1426"/>
      <c r="I1054" s="1426"/>
      <c r="J1054" s="1426"/>
      <c r="K1054" s="1427"/>
      <c r="L1054" s="1428">
        <f>(L1040*((1+L$11)^0.5)/L$10)</f>
        <v>0</v>
      </c>
      <c r="M1054" s="1423">
        <f ca="1">IF(L1078="n/a",L1054,IFERROR(IF((OFFSET($C1054,0,$A1054))&lt;0,
MIN(0,L1054-(OFFSET($C1054,0,$A1054)/(OFFSET($C1049,-$A1053,$A1054)))),
MAX(0,L1054-(OFFSET($C1054,0,$A1054)/(OFFSET($C1049,-$A1053,$A1054))))),0))</f>
        <v>0</v>
      </c>
      <c r="N1054" s="1423">
        <f t="shared" ca="1" si="1532"/>
        <v>0</v>
      </c>
      <c r="O1054" s="1423">
        <f t="shared" ca="1" si="1533"/>
        <v>0</v>
      </c>
      <c r="P1054" s="1423">
        <f t="shared" ca="1" si="1534"/>
        <v>0</v>
      </c>
      <c r="Q1054" s="1423">
        <f t="shared" ca="1" si="1535"/>
        <v>0</v>
      </c>
      <c r="R1054" s="1423">
        <f t="shared" ca="1" si="1536"/>
        <v>0</v>
      </c>
      <c r="S1054" s="1423">
        <f t="shared" ca="1" si="1537"/>
        <v>0</v>
      </c>
      <c r="T1054" s="1423">
        <f t="shared" ca="1" si="1538"/>
        <v>0</v>
      </c>
      <c r="U1054" s="1423">
        <f t="shared" ca="1" si="1539"/>
        <v>0</v>
      </c>
      <c r="V1054" s="1423">
        <f t="shared" ca="1" si="1540"/>
        <v>0</v>
      </c>
      <c r="W1054" s="1423">
        <f t="shared" ca="1" si="1541"/>
        <v>0</v>
      </c>
      <c r="X1054" s="202"/>
      <c r="Y1054" s="202"/>
      <c r="Z1054" s="202"/>
      <c r="AA1054" s="152"/>
      <c r="AB1054" s="152"/>
    </row>
    <row r="1055" spans="1:28" hidden="1" outlineLevel="1">
      <c r="A1055" s="199">
        <f t="shared" si="1542"/>
        <v>10</v>
      </c>
      <c r="B1055" s="190" t="str">
        <f t="shared" ca="1" si="1543"/>
        <v>Depreciated Net Capex 2025-26</v>
      </c>
      <c r="C1055" s="1426"/>
      <c r="D1055" s="1426"/>
      <c r="E1055" s="1426"/>
      <c r="F1055" s="1426"/>
      <c r="G1055" s="1426"/>
      <c r="H1055" s="1426"/>
      <c r="I1055" s="1426"/>
      <c r="J1055" s="1426"/>
      <c r="K1055" s="1426"/>
      <c r="L1055" s="1427"/>
      <c r="M1055" s="1428">
        <f>(M1040*((1+M$11)^0.5)/M$10)</f>
        <v>0</v>
      </c>
      <c r="N1055" s="1423">
        <f ca="1">IF(M1079="n/a",M1055,IFERROR(IF((OFFSET($C1055,0,$A1055))&lt;0,
MIN(0,M1055-(OFFSET($C1055,0,$A1055)/(OFFSET($C1050,-$A1054,$A1055)))),
MAX(0,M1055-(OFFSET($C1055,0,$A1055)/(OFFSET($C1050,-$A1054,$A1055))))),0))</f>
        <v>0</v>
      </c>
      <c r="O1055" s="1423">
        <f t="shared" ca="1" si="1533"/>
        <v>0</v>
      </c>
      <c r="P1055" s="1423">
        <f t="shared" ca="1" si="1534"/>
        <v>0</v>
      </c>
      <c r="Q1055" s="1423">
        <f t="shared" ca="1" si="1535"/>
        <v>0</v>
      </c>
      <c r="R1055" s="1423">
        <f t="shared" ca="1" si="1536"/>
        <v>0</v>
      </c>
      <c r="S1055" s="1423">
        <f t="shared" ca="1" si="1537"/>
        <v>0</v>
      </c>
      <c r="T1055" s="1423">
        <f t="shared" ca="1" si="1538"/>
        <v>0</v>
      </c>
      <c r="U1055" s="1423">
        <f t="shared" ca="1" si="1539"/>
        <v>0</v>
      </c>
      <c r="V1055" s="1423">
        <f t="shared" ca="1" si="1540"/>
        <v>0</v>
      </c>
      <c r="W1055" s="1423">
        <f t="shared" ca="1" si="1541"/>
        <v>0</v>
      </c>
      <c r="X1055" s="202"/>
      <c r="Y1055" s="202"/>
      <c r="Z1055" s="202"/>
      <c r="AA1055" s="152"/>
      <c r="AB1055" s="152"/>
    </row>
    <row r="1056" spans="1:28" hidden="1" outlineLevel="1">
      <c r="A1056" s="199">
        <f t="shared" si="1542"/>
        <v>11</v>
      </c>
      <c r="B1056" s="190" t="str">
        <f t="shared" ca="1" si="1543"/>
        <v>Depreciated Net Capex 2026-27</v>
      </c>
      <c r="C1056" s="1426"/>
      <c r="D1056" s="1426"/>
      <c r="E1056" s="1426"/>
      <c r="F1056" s="1426"/>
      <c r="G1056" s="1426"/>
      <c r="H1056" s="1426"/>
      <c r="I1056" s="1426"/>
      <c r="J1056" s="1426"/>
      <c r="K1056" s="1426"/>
      <c r="L1056" s="1426"/>
      <c r="M1056" s="1427"/>
      <c r="N1056" s="1428">
        <f>(N1040*((1+N$11)^0.5)/N$10)</f>
        <v>0</v>
      </c>
      <c r="O1056" s="1423">
        <f ca="1">IF(N1080="n/a",N1056,IFERROR(IF((OFFSET($C1056,0,$A1056))&lt;0,
MIN(0,N1056-(OFFSET($C1056,0,$A1056)/(OFFSET($C1051,-$A1055,$A1056)))),
MAX(0,N1056-(OFFSET($C1056,0,$A1056)/(OFFSET($C1051,-$A1055,$A1056))))),0))</f>
        <v>0</v>
      </c>
      <c r="P1056" s="1423">
        <f t="shared" ca="1" si="1534"/>
        <v>0</v>
      </c>
      <c r="Q1056" s="1423">
        <f t="shared" ca="1" si="1535"/>
        <v>0</v>
      </c>
      <c r="R1056" s="1423">
        <f t="shared" ca="1" si="1536"/>
        <v>0</v>
      </c>
      <c r="S1056" s="1423">
        <f t="shared" ca="1" si="1537"/>
        <v>0</v>
      </c>
      <c r="T1056" s="1423">
        <f t="shared" ca="1" si="1538"/>
        <v>0</v>
      </c>
      <c r="U1056" s="1423">
        <f t="shared" ca="1" si="1539"/>
        <v>0</v>
      </c>
      <c r="V1056" s="1423">
        <f t="shared" ca="1" si="1540"/>
        <v>0</v>
      </c>
      <c r="W1056" s="1423">
        <f t="shared" ca="1" si="1541"/>
        <v>0</v>
      </c>
      <c r="X1056" s="202"/>
      <c r="Y1056" s="202"/>
      <c r="Z1056" s="202"/>
      <c r="AA1056" s="152"/>
      <c r="AB1056" s="152"/>
    </row>
    <row r="1057" spans="1:28" hidden="1" outlineLevel="1">
      <c r="A1057" s="199">
        <f t="shared" si="1542"/>
        <v>12</v>
      </c>
      <c r="B1057" s="190" t="str">
        <f t="shared" ca="1" si="1543"/>
        <v>Depreciated Net Capex 2027-28</v>
      </c>
      <c r="C1057" s="1426"/>
      <c r="D1057" s="1426"/>
      <c r="E1057" s="1426"/>
      <c r="F1057" s="1426"/>
      <c r="G1057" s="1426"/>
      <c r="H1057" s="1426"/>
      <c r="I1057" s="1426"/>
      <c r="J1057" s="1426"/>
      <c r="K1057" s="1426"/>
      <c r="L1057" s="1426"/>
      <c r="M1057" s="1426"/>
      <c r="N1057" s="1427"/>
      <c r="O1057" s="1428">
        <f>(O1040*((1+O$11)^0.5)/O$10)</f>
        <v>0</v>
      </c>
      <c r="P1057" s="1423">
        <f ca="1">IF(O1081="n/a",O1057,IFERROR(IF((OFFSET($C1057,0,$A1057))&lt;0,
MIN(0,O1057-(OFFSET($C1057,0,$A1057)/(OFFSET($C1052,-$A1056,$A1057)))),
MAX(0,O1057-(OFFSET($C1057,0,$A1057)/(OFFSET($C1052,-$A1056,$A1057))))),0))</f>
        <v>0</v>
      </c>
      <c r="Q1057" s="1423">
        <f t="shared" ca="1" si="1535"/>
        <v>0</v>
      </c>
      <c r="R1057" s="1423">
        <f t="shared" ca="1" si="1536"/>
        <v>0</v>
      </c>
      <c r="S1057" s="1423">
        <f t="shared" ca="1" si="1537"/>
        <v>0</v>
      </c>
      <c r="T1057" s="1423">
        <f t="shared" ca="1" si="1538"/>
        <v>0</v>
      </c>
      <c r="U1057" s="1423">
        <f t="shared" ca="1" si="1539"/>
        <v>0</v>
      </c>
      <c r="V1057" s="1423">
        <f t="shared" ca="1" si="1540"/>
        <v>0</v>
      </c>
      <c r="W1057" s="1423">
        <f t="shared" ca="1" si="1541"/>
        <v>0</v>
      </c>
      <c r="X1057" s="202"/>
      <c r="Y1057" s="202"/>
      <c r="Z1057" s="202"/>
      <c r="AA1057" s="152"/>
      <c r="AB1057" s="152"/>
    </row>
    <row r="1058" spans="1:28" hidden="1" outlineLevel="1">
      <c r="A1058" s="199">
        <f t="shared" si="1542"/>
        <v>13</v>
      </c>
      <c r="B1058" s="190" t="str">
        <f t="shared" ca="1" si="1543"/>
        <v>Depreciated Net Capex 2028-29</v>
      </c>
      <c r="C1058" s="1426"/>
      <c r="D1058" s="1426"/>
      <c r="E1058" s="1426"/>
      <c r="F1058" s="1426"/>
      <c r="G1058" s="1426"/>
      <c r="H1058" s="1426"/>
      <c r="I1058" s="1426"/>
      <c r="J1058" s="1426"/>
      <c r="K1058" s="1426"/>
      <c r="L1058" s="1426"/>
      <c r="M1058" s="1426"/>
      <c r="N1058" s="1426"/>
      <c r="O1058" s="1427"/>
      <c r="P1058" s="1428">
        <f>(P1040*((1+P$11)^0.5)/P$10)</f>
        <v>0</v>
      </c>
      <c r="Q1058" s="1423">
        <f ca="1">IF(P1082="n/a",P1058,IFERROR(IF((OFFSET($C1058,0,$A1058))&lt;0,
MIN(0,P1058-(OFFSET($C1058,0,$A1058)/(OFFSET($C1053,-$A1057,$A1058)))),
MAX(0,P1058-(OFFSET($C1058,0,$A1058)/(OFFSET($C1053,-$A1057,$A1058))))),0))</f>
        <v>0</v>
      </c>
      <c r="R1058" s="1423">
        <f t="shared" ca="1" si="1536"/>
        <v>0</v>
      </c>
      <c r="S1058" s="1423">
        <f t="shared" ca="1" si="1537"/>
        <v>0</v>
      </c>
      <c r="T1058" s="1423">
        <f t="shared" ca="1" si="1538"/>
        <v>0</v>
      </c>
      <c r="U1058" s="1423">
        <f t="shared" ca="1" si="1539"/>
        <v>0</v>
      </c>
      <c r="V1058" s="1423">
        <f t="shared" ca="1" si="1540"/>
        <v>0</v>
      </c>
      <c r="W1058" s="1423">
        <f t="shared" ca="1" si="1541"/>
        <v>0</v>
      </c>
      <c r="X1058" s="202"/>
      <c r="Y1058" s="202"/>
      <c r="Z1058" s="202"/>
      <c r="AA1058" s="152"/>
      <c r="AB1058" s="152"/>
    </row>
    <row r="1059" spans="1:28" hidden="1" outlineLevel="1">
      <c r="A1059" s="199">
        <f t="shared" si="1542"/>
        <v>14</v>
      </c>
      <c r="B1059" s="190" t="str">
        <f t="shared" ca="1" si="1543"/>
        <v>Depreciated Net Capex 2029-30</v>
      </c>
      <c r="C1059" s="1426"/>
      <c r="D1059" s="1426"/>
      <c r="E1059" s="1426"/>
      <c r="F1059" s="1426"/>
      <c r="G1059" s="1426"/>
      <c r="H1059" s="1426"/>
      <c r="I1059" s="1426"/>
      <c r="J1059" s="1426"/>
      <c r="K1059" s="1426"/>
      <c r="L1059" s="1426"/>
      <c r="M1059" s="1426"/>
      <c r="N1059" s="1426"/>
      <c r="O1059" s="1426"/>
      <c r="P1059" s="1427"/>
      <c r="Q1059" s="1428">
        <f>(Q1040*((1+Q$11)^0.5)/Q$10)</f>
        <v>0</v>
      </c>
      <c r="R1059" s="1423">
        <f ca="1">IF(Q1083="n/a",Q1059,IFERROR(IF((OFFSET($C1059,0,$A1059))&lt;0,
MIN(0,Q1059-(OFFSET($C1059,0,$A1059)/(OFFSET($C1054,-$A1058,$A1059)))),
MAX(0,Q1059-(OFFSET($C1059,0,$A1059)/(OFFSET($C1054,-$A1058,$A1059))))),0))</f>
        <v>0</v>
      </c>
      <c r="S1059" s="1423">
        <f t="shared" ca="1" si="1537"/>
        <v>0</v>
      </c>
      <c r="T1059" s="1423">
        <f t="shared" ca="1" si="1538"/>
        <v>0</v>
      </c>
      <c r="U1059" s="1423">
        <f t="shared" ca="1" si="1539"/>
        <v>0</v>
      </c>
      <c r="V1059" s="1423">
        <f t="shared" ca="1" si="1540"/>
        <v>0</v>
      </c>
      <c r="W1059" s="1423">
        <f t="shared" ca="1" si="1541"/>
        <v>0</v>
      </c>
      <c r="X1059" s="202"/>
      <c r="Y1059" s="202"/>
      <c r="Z1059" s="202"/>
      <c r="AA1059" s="152"/>
      <c r="AB1059" s="152"/>
    </row>
    <row r="1060" spans="1:28" hidden="1" outlineLevel="1">
      <c r="A1060" s="199">
        <f t="shared" si="1542"/>
        <v>15</v>
      </c>
      <c r="B1060" s="190" t="str">
        <f t="shared" ca="1" si="1543"/>
        <v>Depreciated Net Capex 2030-31</v>
      </c>
      <c r="C1060" s="1426"/>
      <c r="D1060" s="1426"/>
      <c r="E1060" s="1426"/>
      <c r="F1060" s="1426"/>
      <c r="G1060" s="1426"/>
      <c r="H1060" s="1426"/>
      <c r="I1060" s="1426"/>
      <c r="J1060" s="1426"/>
      <c r="K1060" s="1426"/>
      <c r="L1060" s="1426"/>
      <c r="M1060" s="1426"/>
      <c r="N1060" s="1426"/>
      <c r="O1060" s="1426"/>
      <c r="P1060" s="1426"/>
      <c r="Q1060" s="1427"/>
      <c r="R1060" s="1428">
        <f>(R1040*((1+R$11)^0.5)/R$10)</f>
        <v>0</v>
      </c>
      <c r="S1060" s="1423">
        <f ca="1">IF(R1084="n/a",R1060,IFERROR(IF((OFFSET($C1060,0,$A1060))&lt;0,
MIN(0,R1060-(OFFSET($C1060,0,$A1060)/(OFFSET($C1055,-$A1059,$A1060)))),
MAX(0,R1060-(OFFSET($C1060,0,$A1060)/(OFFSET($C1055,-$A1059,$A1060))))),0))</f>
        <v>0</v>
      </c>
      <c r="T1060" s="1423">
        <f t="shared" ca="1" si="1538"/>
        <v>0</v>
      </c>
      <c r="U1060" s="1423">
        <f t="shared" ca="1" si="1539"/>
        <v>0</v>
      </c>
      <c r="V1060" s="1423">
        <f t="shared" ca="1" si="1540"/>
        <v>0</v>
      </c>
      <c r="W1060" s="1423">
        <f t="shared" ca="1" si="1541"/>
        <v>0</v>
      </c>
      <c r="X1060" s="202"/>
      <c r="Y1060" s="202"/>
      <c r="Z1060" s="202"/>
      <c r="AA1060" s="152"/>
      <c r="AB1060" s="152"/>
    </row>
    <row r="1061" spans="1:28" hidden="1" outlineLevel="1">
      <c r="A1061" s="199">
        <f t="shared" si="1542"/>
        <v>16</v>
      </c>
      <c r="B1061" s="190" t="str">
        <f t="shared" ca="1" si="1543"/>
        <v>Depreciated Net Capex 2031-32</v>
      </c>
      <c r="C1061" s="1426"/>
      <c r="D1061" s="1426"/>
      <c r="E1061" s="1426"/>
      <c r="F1061" s="1426"/>
      <c r="G1061" s="1426"/>
      <c r="H1061" s="1426"/>
      <c r="I1061" s="1426"/>
      <c r="J1061" s="1426"/>
      <c r="K1061" s="1426"/>
      <c r="L1061" s="1426"/>
      <c r="M1061" s="1426"/>
      <c r="N1061" s="1426"/>
      <c r="O1061" s="1426"/>
      <c r="P1061" s="1426"/>
      <c r="Q1061" s="1426"/>
      <c r="R1061" s="1427"/>
      <c r="S1061" s="1428">
        <f>(S1040*((1+S$11)^0.5)/S$10)</f>
        <v>0</v>
      </c>
      <c r="T1061" s="1423">
        <f ca="1">IF(S1085="n/a",S1061,IFERROR(IF((OFFSET($C1061,0,$A1061))&lt;0,
MIN(0,S1061-(OFFSET($C1061,0,$A1061)/(OFFSET($C1056,-$A1060,$A1061)))),
MAX(0,S1061-(OFFSET($C1061,0,$A1061)/(OFFSET($C1056,-$A1060,$A1061))))),0))</f>
        <v>0</v>
      </c>
      <c r="U1061" s="1423">
        <f t="shared" ca="1" si="1539"/>
        <v>0</v>
      </c>
      <c r="V1061" s="1423">
        <f t="shared" ca="1" si="1540"/>
        <v>0</v>
      </c>
      <c r="W1061" s="1423">
        <f t="shared" ca="1" si="1541"/>
        <v>0</v>
      </c>
      <c r="X1061" s="202"/>
      <c r="Y1061" s="202"/>
      <c r="Z1061" s="202"/>
      <c r="AA1061" s="152"/>
      <c r="AB1061" s="152"/>
    </row>
    <row r="1062" spans="1:28" hidden="1" outlineLevel="1">
      <c r="A1062" s="199">
        <f t="shared" si="1542"/>
        <v>17</v>
      </c>
      <c r="B1062" s="190" t="str">
        <f t="shared" ca="1" si="1543"/>
        <v>Depreciated Net Capex 2032-33</v>
      </c>
      <c r="C1062" s="1426"/>
      <c r="D1062" s="1426"/>
      <c r="E1062" s="1426"/>
      <c r="F1062" s="1426"/>
      <c r="G1062" s="1426"/>
      <c r="H1062" s="1426"/>
      <c r="I1062" s="1426"/>
      <c r="J1062" s="1426"/>
      <c r="K1062" s="1426"/>
      <c r="L1062" s="1426"/>
      <c r="M1062" s="1426"/>
      <c r="N1062" s="1426"/>
      <c r="O1062" s="1426"/>
      <c r="P1062" s="1426"/>
      <c r="Q1062" s="1426"/>
      <c r="R1062" s="1426"/>
      <c r="S1062" s="1427"/>
      <c r="T1062" s="1428">
        <f>(T1040*((1+T$11)^0.5)/T$10)</f>
        <v>0</v>
      </c>
      <c r="U1062" s="1423">
        <f ca="1">IF(T1086="n/a",T1062,IFERROR(IF((OFFSET($C1062,0,$A1062))&lt;0,
MIN(0,T1062-(OFFSET($C1062,0,$A1062)/(OFFSET($C1057,-$A1061,$A1062)))),
MAX(0,T1062-(OFFSET($C1062,0,$A1062)/(OFFSET($C1057,-$A1061,$A1062))))),0))</f>
        <v>0</v>
      </c>
      <c r="V1062" s="1423">
        <f t="shared" ca="1" si="1540"/>
        <v>0</v>
      </c>
      <c r="W1062" s="1423">
        <f t="shared" ca="1" si="1541"/>
        <v>0</v>
      </c>
      <c r="X1062" s="202"/>
      <c r="Y1062" s="202"/>
      <c r="Z1062" s="202"/>
      <c r="AA1062" s="152"/>
      <c r="AB1062" s="152"/>
    </row>
    <row r="1063" spans="1:28" hidden="1" outlineLevel="1">
      <c r="A1063" s="199">
        <f t="shared" si="1542"/>
        <v>18</v>
      </c>
      <c r="B1063" s="190" t="str">
        <f t="shared" ca="1" si="1543"/>
        <v>Depreciated Net Capex 2033-34</v>
      </c>
      <c r="C1063" s="1426"/>
      <c r="D1063" s="1426"/>
      <c r="E1063" s="1426"/>
      <c r="F1063" s="1426"/>
      <c r="G1063" s="1426"/>
      <c r="H1063" s="1426"/>
      <c r="I1063" s="1426"/>
      <c r="J1063" s="1426"/>
      <c r="K1063" s="1426"/>
      <c r="L1063" s="1426"/>
      <c r="M1063" s="1426"/>
      <c r="N1063" s="1426"/>
      <c r="O1063" s="1426"/>
      <c r="P1063" s="1426"/>
      <c r="Q1063" s="1426"/>
      <c r="R1063" s="1426"/>
      <c r="S1063" s="1426"/>
      <c r="T1063" s="1427"/>
      <c r="U1063" s="1428">
        <f>(U1040*((1+U$11)^0.5)/U$10)</f>
        <v>0</v>
      </c>
      <c r="V1063" s="1423">
        <f ca="1">IF(U1087="n/a",U1063,IFERROR(IF((OFFSET($C1063,0,$A1063))&lt;0,
MIN(0,U1063-(OFFSET($C1063,0,$A1063)/(OFFSET($C1058,-$A1062,$A1063)))),
MAX(0,U1063-(OFFSET($C1063,0,$A1063)/(OFFSET($C1058,-$A1062,$A1063))))),0))</f>
        <v>0</v>
      </c>
      <c r="W1063" s="1423">
        <f t="shared" ca="1" si="1541"/>
        <v>0</v>
      </c>
      <c r="X1063" s="202"/>
      <c r="Y1063" s="202"/>
      <c r="Z1063" s="202"/>
      <c r="AA1063" s="152"/>
      <c r="AB1063" s="152"/>
    </row>
    <row r="1064" spans="1:28" hidden="1" outlineLevel="1">
      <c r="A1064" s="199">
        <f t="shared" si="1542"/>
        <v>19</v>
      </c>
      <c r="B1064" s="190" t="str">
        <f t="shared" ca="1" si="1543"/>
        <v>Depreciated Net Capex 2034-35</v>
      </c>
      <c r="C1064" s="1426"/>
      <c r="D1064" s="1426"/>
      <c r="E1064" s="1426"/>
      <c r="F1064" s="1426"/>
      <c r="G1064" s="1426"/>
      <c r="H1064" s="1426"/>
      <c r="I1064" s="1426"/>
      <c r="J1064" s="1426"/>
      <c r="K1064" s="1426"/>
      <c r="L1064" s="1426"/>
      <c r="M1064" s="1426"/>
      <c r="N1064" s="1426"/>
      <c r="O1064" s="1426"/>
      <c r="P1064" s="1426"/>
      <c r="Q1064" s="1426"/>
      <c r="R1064" s="1426"/>
      <c r="S1064" s="1426"/>
      <c r="T1064" s="1426"/>
      <c r="U1064" s="1427"/>
      <c r="V1064" s="1428">
        <f>(V1040*((1+V$11)^0.5)/V$10)</f>
        <v>0</v>
      </c>
      <c r="W1064" s="1423">
        <f ca="1">IF(V1088="n/a",V1064,IFERROR(IF((OFFSET($C1064,0,$A1064))&lt;0,
MIN(0,V1064-(OFFSET($C1064,0,$A1064)/(OFFSET($C1059,-$A1063,$A1064)))),
MAX(0,V1064-(OFFSET($C1064,0,$A1064)/(OFFSET($C1059,-$A1063,$A1064))))),0))</f>
        <v>0</v>
      </c>
      <c r="X1064" s="202"/>
      <c r="Y1064" s="202"/>
      <c r="Z1064" s="202"/>
      <c r="AA1064" s="152"/>
      <c r="AB1064" s="152"/>
    </row>
    <row r="1065" spans="1:28" hidden="1" outlineLevel="1">
      <c r="A1065" s="199">
        <f t="shared" si="1542"/>
        <v>20</v>
      </c>
      <c r="B1065" s="190" t="str">
        <f ca="1">"Depreciated Net Capex "&amp;OFFSET($C$6,0,A1065)</f>
        <v>Depreciated Net Capex 2035-36</v>
      </c>
      <c r="C1065" s="1426"/>
      <c r="D1065" s="1426"/>
      <c r="E1065" s="1426"/>
      <c r="F1065" s="1426"/>
      <c r="G1065" s="1426"/>
      <c r="H1065" s="1426"/>
      <c r="I1065" s="1426"/>
      <c r="J1065" s="1426"/>
      <c r="K1065" s="1426"/>
      <c r="L1065" s="1426"/>
      <c r="M1065" s="1426"/>
      <c r="N1065" s="1426"/>
      <c r="O1065" s="1426"/>
      <c r="P1065" s="1426"/>
      <c r="Q1065" s="1426"/>
      <c r="R1065" s="1426"/>
      <c r="S1065" s="1426"/>
      <c r="T1065" s="1426"/>
      <c r="U1065" s="1426"/>
      <c r="V1065" s="1427"/>
      <c r="W1065" s="1423">
        <f>(W1040*((1+W$11)^0.5)/W$10)</f>
        <v>0</v>
      </c>
      <c r="X1065" s="152"/>
      <c r="Y1065" s="152"/>
      <c r="Z1065" s="152"/>
      <c r="AA1065" s="152"/>
      <c r="AB1065" s="152"/>
    </row>
    <row r="1066" spans="1:28" hidden="1" outlineLevel="1">
      <c r="A1066" s="152"/>
      <c r="B1066" s="200"/>
      <c r="C1066" s="1423"/>
      <c r="D1066" s="1423"/>
      <c r="E1066" s="1423"/>
      <c r="F1066" s="1423"/>
      <c r="G1066" s="1423"/>
      <c r="H1066" s="1423"/>
      <c r="I1066" s="1423"/>
      <c r="J1066" s="1423"/>
      <c r="K1066" s="1423"/>
      <c r="L1066" s="1423"/>
      <c r="M1066" s="1423"/>
      <c r="N1066" s="1423"/>
      <c r="O1066" s="1423"/>
      <c r="P1066" s="1423"/>
      <c r="Q1066" s="1423"/>
      <c r="R1066" s="1423"/>
      <c r="S1066" s="1423"/>
      <c r="T1066" s="1423"/>
      <c r="U1066" s="1423"/>
      <c r="V1066" s="1423"/>
      <c r="W1066" s="1423"/>
      <c r="X1066" s="152"/>
      <c r="Y1066" s="152"/>
      <c r="Z1066" s="152"/>
      <c r="AA1066" s="152"/>
      <c r="AB1066" s="152"/>
    </row>
    <row r="1067" spans="1:28" hidden="1" outlineLevel="1">
      <c r="A1067" s="152"/>
      <c r="B1067" s="200"/>
      <c r="C1067" s="1423"/>
      <c r="D1067" s="1423"/>
      <c r="E1067" s="1423"/>
      <c r="F1067" s="1423"/>
      <c r="G1067" s="1423"/>
      <c r="H1067" s="1423"/>
      <c r="I1067" s="1423"/>
      <c r="J1067" s="1423"/>
      <c r="K1067" s="1423"/>
      <c r="L1067" s="1423"/>
      <c r="M1067" s="1423"/>
      <c r="N1067" s="1423"/>
      <c r="O1067" s="1423"/>
      <c r="P1067" s="1423"/>
      <c r="Q1067" s="1423"/>
      <c r="R1067" s="1423"/>
      <c r="S1067" s="1423"/>
      <c r="T1067" s="1423"/>
      <c r="U1067" s="1423"/>
      <c r="V1067" s="1423"/>
      <c r="W1067" s="1423"/>
      <c r="X1067" s="152"/>
      <c r="Y1067" s="152"/>
      <c r="Z1067" s="152"/>
      <c r="AA1067" s="152"/>
      <c r="AB1067" s="152"/>
    </row>
    <row r="1068" spans="1:28" hidden="1" outlineLevel="1">
      <c r="A1068" s="152"/>
      <c r="B1068" s="190" t="s">
        <v>190</v>
      </c>
      <c r="C1068" s="1423"/>
      <c r="D1068" s="1423">
        <f ca="1">IF(AND(C1068&lt;1,D1042=0),0,
IF(D1042=0,C1068-1,
IF(C1068&lt;1,D1043,
(((C1068-1)*(C1044-(C1044/(C1068))))+((D1042/D$10)*D1043))/(D1044))))</f>
        <v>0</v>
      </c>
      <c r="E1068" s="1423">
        <f t="shared" ref="E1068" ca="1" si="1544">IF(AND(D1068&lt;1,E1042=0),0,
IF(E1042=0,D1068-1,
IF(D1068&lt;1,E1043,
(((D1068-1)*(D1044-(D1044/(D1068))))+((E1042/E$10)*E1043))/(E1044))))</f>
        <v>0</v>
      </c>
      <c r="F1068" s="1423">
        <f t="shared" ref="F1068" ca="1" si="1545">IF(AND(E1068&lt;1,F1042=0),0,
IF(F1042=0,E1068-1,
IF(E1068&lt;1,F1043,
(((E1068-1)*(E1044-(E1044/(E1068))))+((F1042/F$10)*F1043))/(F1044))))</f>
        <v>0</v>
      </c>
      <c r="G1068" s="1423">
        <f t="shared" ref="G1068" ca="1" si="1546">IF(AND(F1068&lt;1,G1042=0),0,
IF(G1042=0,F1068-1,
IF(F1068&lt;1,G1043,
(((F1068-1)*(F1044-(F1044/(F1068))))+((G1042/G$10)*G1043))/(G1044))))</f>
        <v>0</v>
      </c>
      <c r="H1068" s="1423">
        <f t="shared" ref="H1068" ca="1" si="1547">IF(AND(G1068&lt;1,H1042=0),0,
IF(H1042=0,G1068-1,
IF(G1068&lt;1,H1043,
(((G1068-1)*(G1044-(G1044/(G1068))))+((H1042/H$10)*H1043))/(H1044))))</f>
        <v>0</v>
      </c>
      <c r="I1068" s="1423">
        <f t="shared" ref="I1068" ca="1" si="1548">IF(AND(H1068&lt;1,I1042=0),0,
IF(I1042=0,H1068-1,
IF(H1068&lt;1,I1043,
(((H1068-1)*(H1044-(H1044/(H1068))))+((I1042/I$10)*I1043))/(I1044))))</f>
        <v>0</v>
      </c>
      <c r="J1068" s="1423">
        <f t="shared" ref="J1068" ca="1" si="1549">IF(AND(I1068&lt;1,J1042=0),0,
IF(J1042=0,I1068-1,
IF(I1068&lt;1,J1043,
(((I1068-1)*(I1044-(I1044/(I1068))))+((J1042/J$10)*J1043))/(J1044))))</f>
        <v>0</v>
      </c>
      <c r="K1068" s="1423">
        <f t="shared" ref="K1068" ca="1" si="1550">IF(AND(J1068&lt;1,K1042=0),0,
IF(K1042=0,J1068-1,
IF(J1068&lt;1,K1043,
(((J1068-1)*(J1044-(J1044/(J1068))))+((K1042/K$10)*K1043))/(K1044))))</f>
        <v>0</v>
      </c>
      <c r="L1068" s="1423">
        <f t="shared" ref="L1068" ca="1" si="1551">IF(AND(K1068&lt;1,L1042=0),0,
IF(L1042=0,K1068-1,
IF(K1068&lt;1,L1043,
(((K1068-1)*(K1044-(K1044/(K1068))))+((L1042/L$10)*L1043))/(L1044))))</f>
        <v>0</v>
      </c>
      <c r="M1068" s="1423">
        <f t="shared" ref="M1068" ca="1" si="1552">IF(AND(L1068&lt;1,M1042=0),0,
IF(M1042=0,L1068-1,
IF(L1068&lt;1,M1043,
(((L1068-1)*(L1044-(L1044/(L1068))))+((M1042/M$10)*M1043))/(M1044))))</f>
        <v>0</v>
      </c>
      <c r="N1068" s="1423">
        <f t="shared" ref="N1068" ca="1" si="1553">IF(AND(M1068&lt;1,N1042=0),0,
IF(N1042=0,M1068-1,
IF(M1068&lt;1,N1043,
(((M1068-1)*(M1044-(M1044/(M1068))))+((N1042/N$10)*N1043))/(N1044))))</f>
        <v>0</v>
      </c>
      <c r="O1068" s="1423">
        <f t="shared" ref="O1068" ca="1" si="1554">IF(AND(N1068&lt;1,O1042=0),0,
IF(O1042=0,N1068-1,
IF(N1068&lt;1,O1043,
(((N1068-1)*(N1044-(N1044/(N1068))))+((O1042/O$10)*O1043))/(O1044))))</f>
        <v>0</v>
      </c>
      <c r="P1068" s="1423">
        <f t="shared" ref="P1068" ca="1" si="1555">IF(AND(O1068&lt;1,P1042=0),0,
IF(P1042=0,O1068-1,
IF(O1068&lt;1,P1043,
(((O1068-1)*(O1044-(O1044/(O1068))))+((P1042/P$10)*P1043))/(P1044))))</f>
        <v>0</v>
      </c>
      <c r="Q1068" s="1423">
        <f t="shared" ref="Q1068" ca="1" si="1556">IF(AND(P1068&lt;1,Q1042=0),0,
IF(Q1042=0,P1068-1,
IF(P1068&lt;1,Q1043,
(((P1068-1)*(P1044-(P1044/(P1068))))+((Q1042/Q$10)*Q1043))/(Q1044))))</f>
        <v>0</v>
      </c>
      <c r="R1068" s="1423">
        <f t="shared" ref="R1068" ca="1" si="1557">IF(AND(Q1068&lt;1,R1042=0),0,
IF(R1042=0,Q1068-1,
IF(Q1068&lt;1,R1043,
(((Q1068-1)*(Q1044-(Q1044/(Q1068))))+((R1042/R$10)*R1043))/(R1044))))</f>
        <v>0</v>
      </c>
      <c r="S1068" s="1423">
        <f t="shared" ref="S1068" ca="1" si="1558">IF(AND(R1068&lt;1,S1042=0),0,
IF(S1042=0,R1068-1,
IF(R1068&lt;1,S1043,
(((R1068-1)*(R1044-(R1044/(R1068))))+((S1042/S$10)*S1043))/(S1044))))</f>
        <v>0</v>
      </c>
      <c r="T1068" s="1423">
        <f t="shared" ref="T1068" ca="1" si="1559">IF(AND(S1068&lt;1,T1042=0),0,
IF(T1042=0,S1068-1,
IF(S1068&lt;1,T1043,
(((S1068-1)*(S1044-(S1044/(S1068))))+((T1042/T$10)*T1043))/(T1044))))</f>
        <v>0</v>
      </c>
      <c r="U1068" s="1423">
        <f t="shared" ref="U1068" ca="1" si="1560">IF(AND(T1068&lt;1,U1042=0),0,
IF(U1042=0,T1068-1,
IF(T1068&lt;1,U1043,
(((T1068-1)*(T1044-(T1044/(T1068))))+((U1042/U$10)*U1043))/(U1044))))</f>
        <v>0</v>
      </c>
      <c r="V1068" s="1423">
        <f t="shared" ref="V1068" ca="1" si="1561">IF(AND(U1068&lt;1,V1042=0),0,
IF(V1042=0,U1068-1,
IF(U1068&lt;1,V1043,
(((U1068-1)*(U1044-(U1044/(U1068))))+((V1042/V$10)*V1043))/(V1044))))</f>
        <v>0</v>
      </c>
      <c r="W1068" s="1423">
        <f t="shared" ref="W1068" ca="1" si="1562">IF(AND(V1068&lt;1,W1042=0),0,
IF(W1042=0,V1068-1,
IF(V1068&lt;1,W1043,
(((V1068-1)*(V1044-(V1044/(V1068))))+((W1042/W$10)*W1043))/(W1044))))</f>
        <v>0</v>
      </c>
      <c r="X1068" s="152"/>
      <c r="Y1068" s="152"/>
      <c r="Z1068" s="152"/>
      <c r="AA1068" s="152"/>
      <c r="AB1068" s="152"/>
    </row>
    <row r="1069" spans="1:28" hidden="1" outlineLevel="1">
      <c r="A1069" s="152"/>
      <c r="B1069" s="190" t="s">
        <v>122</v>
      </c>
      <c r="C1069" s="1423">
        <f ca="1">C1041</f>
        <v>0</v>
      </c>
      <c r="D1069" s="1423">
        <f t="shared" ref="D1069" ca="1" si="1563">IF(C1069="n/a","n/a",MAX(0,C1069-1))</f>
        <v>0</v>
      </c>
      <c r="E1069" s="1423">
        <f t="shared" ref="E1069:E1070" ca="1" si="1564">IF(D1069="n/a","n/a",MAX(0,D1069-1))</f>
        <v>0</v>
      </c>
      <c r="F1069" s="1423">
        <f t="shared" ref="F1069:F1071" ca="1" si="1565">IF(E1069="n/a","n/a",MAX(0,E1069-1))</f>
        <v>0</v>
      </c>
      <c r="G1069" s="1423">
        <f t="shared" ref="G1069:G1072" ca="1" si="1566">IF(F1069="n/a","n/a",MAX(0,F1069-1))</f>
        <v>0</v>
      </c>
      <c r="H1069" s="1423">
        <f t="shared" ref="H1069:H1073" ca="1" si="1567">IF(G1069="n/a","n/a",MAX(0,G1069-1))</f>
        <v>0</v>
      </c>
      <c r="I1069" s="1423">
        <f t="shared" ref="I1069:I1074" ca="1" si="1568">IF(H1069="n/a","n/a",MAX(0,H1069-1))</f>
        <v>0</v>
      </c>
      <c r="J1069" s="1423">
        <f t="shared" ref="J1069:J1075" ca="1" si="1569">IF(I1069="n/a","n/a",MAX(0,I1069-1))</f>
        <v>0</v>
      </c>
      <c r="K1069" s="1423">
        <f t="shared" ref="K1069:K1076" ca="1" si="1570">IF(J1069="n/a","n/a",MAX(0,J1069-1))</f>
        <v>0</v>
      </c>
      <c r="L1069" s="1423">
        <f t="shared" ref="L1069:L1077" ca="1" si="1571">IF(K1069="n/a","n/a",MAX(0,K1069-1))</f>
        <v>0</v>
      </c>
      <c r="M1069" s="1423">
        <f t="shared" ref="M1069:M1078" ca="1" si="1572">IF(L1069="n/a","n/a",MAX(0,L1069-1))</f>
        <v>0</v>
      </c>
      <c r="N1069" s="1423">
        <f t="shared" ref="N1069:N1079" ca="1" si="1573">IF(M1069="n/a","n/a",MAX(0,M1069-1))</f>
        <v>0</v>
      </c>
      <c r="O1069" s="1423">
        <f t="shared" ref="O1069:O1080" ca="1" si="1574">IF(N1069="n/a","n/a",MAX(0,N1069-1))</f>
        <v>0</v>
      </c>
      <c r="P1069" s="1423">
        <f t="shared" ref="P1069:P1081" ca="1" si="1575">IF(O1069="n/a","n/a",MAX(0,O1069-1))</f>
        <v>0</v>
      </c>
      <c r="Q1069" s="1423">
        <f t="shared" ref="Q1069:Q1082" ca="1" si="1576">IF(P1069="n/a","n/a",MAX(0,P1069-1))</f>
        <v>0</v>
      </c>
      <c r="R1069" s="1423">
        <f t="shared" ref="R1069:R1083" ca="1" si="1577">IF(Q1069="n/a","n/a",MAX(0,Q1069-1))</f>
        <v>0</v>
      </c>
      <c r="S1069" s="1423">
        <f t="shared" ref="S1069:S1084" ca="1" si="1578">IF(R1069="n/a","n/a",MAX(0,R1069-1))</f>
        <v>0</v>
      </c>
      <c r="T1069" s="1423">
        <f t="shared" ref="T1069:T1085" ca="1" si="1579">IF(S1069="n/a","n/a",MAX(0,S1069-1))</f>
        <v>0</v>
      </c>
      <c r="U1069" s="1423">
        <f t="shared" ref="U1069:U1086" ca="1" si="1580">IF(T1069="n/a","n/a",MAX(0,T1069-1))</f>
        <v>0</v>
      </c>
      <c r="V1069" s="1423">
        <f t="shared" ref="V1069:V1087" ca="1" si="1581">IF(U1069="n/a","n/a",MAX(0,U1069-1))</f>
        <v>0</v>
      </c>
      <c r="W1069" s="1423">
        <f t="shared" ref="W1069:W1087" ca="1" si="1582">IF(V1069="n/a","n/a",MAX(0,V1069-1))</f>
        <v>0</v>
      </c>
      <c r="X1069" s="152"/>
      <c r="Y1069" s="152"/>
      <c r="Z1069" s="152"/>
      <c r="AA1069" s="152"/>
      <c r="AB1069" s="152"/>
    </row>
    <row r="1070" spans="1:28" hidden="1" outlineLevel="1">
      <c r="A1070" s="152"/>
      <c r="B1070" s="190" t="str">
        <f t="shared" ref="B1070:B1089" ca="1" si="1583">"RL Capex "&amp;OFFSET($C$6,0,A1046)</f>
        <v>RL Capex 2016-17</v>
      </c>
      <c r="C1070" s="1424"/>
      <c r="D1070" s="1428">
        <f>D1041</f>
        <v>0</v>
      </c>
      <c r="E1070" s="1423">
        <f t="shared" si="1564"/>
        <v>0</v>
      </c>
      <c r="F1070" s="1423">
        <f t="shared" si="1565"/>
        <v>0</v>
      </c>
      <c r="G1070" s="1423">
        <f t="shared" si="1566"/>
        <v>0</v>
      </c>
      <c r="H1070" s="1423">
        <f t="shared" si="1567"/>
        <v>0</v>
      </c>
      <c r="I1070" s="1423">
        <f t="shared" si="1568"/>
        <v>0</v>
      </c>
      <c r="J1070" s="1423">
        <f t="shared" si="1569"/>
        <v>0</v>
      </c>
      <c r="K1070" s="1423">
        <f t="shared" si="1570"/>
        <v>0</v>
      </c>
      <c r="L1070" s="1423">
        <f t="shared" si="1571"/>
        <v>0</v>
      </c>
      <c r="M1070" s="1423">
        <f t="shared" si="1572"/>
        <v>0</v>
      </c>
      <c r="N1070" s="1423">
        <f t="shared" si="1573"/>
        <v>0</v>
      </c>
      <c r="O1070" s="1423">
        <f t="shared" si="1574"/>
        <v>0</v>
      </c>
      <c r="P1070" s="1423">
        <f t="shared" si="1575"/>
        <v>0</v>
      </c>
      <c r="Q1070" s="1423">
        <f t="shared" si="1576"/>
        <v>0</v>
      </c>
      <c r="R1070" s="1423">
        <f t="shared" si="1577"/>
        <v>0</v>
      </c>
      <c r="S1070" s="1423">
        <f t="shared" si="1578"/>
        <v>0</v>
      </c>
      <c r="T1070" s="1423">
        <f t="shared" si="1579"/>
        <v>0</v>
      </c>
      <c r="U1070" s="1423">
        <f t="shared" si="1580"/>
        <v>0</v>
      </c>
      <c r="V1070" s="1423">
        <f t="shared" si="1581"/>
        <v>0</v>
      </c>
      <c r="W1070" s="1423">
        <f t="shared" si="1582"/>
        <v>0</v>
      </c>
      <c r="X1070" s="152"/>
      <c r="Y1070" s="152"/>
      <c r="Z1070" s="152"/>
      <c r="AA1070" s="152"/>
      <c r="AB1070" s="152"/>
    </row>
    <row r="1071" spans="1:28" hidden="1" outlineLevel="1">
      <c r="A1071" s="152"/>
      <c r="B1071" s="190" t="str">
        <f t="shared" ca="1" si="1583"/>
        <v>RL Capex 2017-18</v>
      </c>
      <c r="C1071" s="1429"/>
      <c r="D1071" s="1424"/>
      <c r="E1071" s="1428">
        <f>E1041</f>
        <v>0</v>
      </c>
      <c r="F1071" s="1423">
        <f t="shared" si="1565"/>
        <v>0</v>
      </c>
      <c r="G1071" s="1423">
        <f t="shared" si="1566"/>
        <v>0</v>
      </c>
      <c r="H1071" s="1423">
        <f t="shared" si="1567"/>
        <v>0</v>
      </c>
      <c r="I1071" s="1423">
        <f t="shared" si="1568"/>
        <v>0</v>
      </c>
      <c r="J1071" s="1423">
        <f t="shared" si="1569"/>
        <v>0</v>
      </c>
      <c r="K1071" s="1423">
        <f t="shared" si="1570"/>
        <v>0</v>
      </c>
      <c r="L1071" s="1423">
        <f t="shared" si="1571"/>
        <v>0</v>
      </c>
      <c r="M1071" s="1423">
        <f t="shared" si="1572"/>
        <v>0</v>
      </c>
      <c r="N1071" s="1423">
        <f t="shared" si="1573"/>
        <v>0</v>
      </c>
      <c r="O1071" s="1423">
        <f t="shared" si="1574"/>
        <v>0</v>
      </c>
      <c r="P1071" s="1423">
        <f t="shared" si="1575"/>
        <v>0</v>
      </c>
      <c r="Q1071" s="1423">
        <f t="shared" si="1576"/>
        <v>0</v>
      </c>
      <c r="R1071" s="1423">
        <f t="shared" si="1577"/>
        <v>0</v>
      </c>
      <c r="S1071" s="1423">
        <f t="shared" si="1578"/>
        <v>0</v>
      </c>
      <c r="T1071" s="1423">
        <f t="shared" si="1579"/>
        <v>0</v>
      </c>
      <c r="U1071" s="1423">
        <f t="shared" si="1580"/>
        <v>0</v>
      </c>
      <c r="V1071" s="1423">
        <f t="shared" si="1581"/>
        <v>0</v>
      </c>
      <c r="W1071" s="1423">
        <f t="shared" si="1582"/>
        <v>0</v>
      </c>
      <c r="X1071" s="152"/>
      <c r="Y1071" s="152"/>
      <c r="Z1071" s="152"/>
      <c r="AA1071" s="152"/>
      <c r="AB1071" s="152"/>
    </row>
    <row r="1072" spans="1:28" hidden="1" outlineLevel="1">
      <c r="A1072" s="152"/>
      <c r="B1072" s="190" t="str">
        <f t="shared" ca="1" si="1583"/>
        <v>RL Capex 2018-19</v>
      </c>
      <c r="C1072" s="1429"/>
      <c r="D1072" s="1429"/>
      <c r="E1072" s="1424"/>
      <c r="F1072" s="1428">
        <f>F1041</f>
        <v>0</v>
      </c>
      <c r="G1072" s="1423">
        <f t="shared" si="1566"/>
        <v>0</v>
      </c>
      <c r="H1072" s="1423">
        <f t="shared" si="1567"/>
        <v>0</v>
      </c>
      <c r="I1072" s="1423">
        <f t="shared" si="1568"/>
        <v>0</v>
      </c>
      <c r="J1072" s="1423">
        <f t="shared" si="1569"/>
        <v>0</v>
      </c>
      <c r="K1072" s="1423">
        <f t="shared" si="1570"/>
        <v>0</v>
      </c>
      <c r="L1072" s="1423">
        <f t="shared" si="1571"/>
        <v>0</v>
      </c>
      <c r="M1072" s="1423">
        <f t="shared" si="1572"/>
        <v>0</v>
      </c>
      <c r="N1072" s="1423">
        <f t="shared" si="1573"/>
        <v>0</v>
      </c>
      <c r="O1072" s="1423">
        <f t="shared" si="1574"/>
        <v>0</v>
      </c>
      <c r="P1072" s="1423">
        <f t="shared" si="1575"/>
        <v>0</v>
      </c>
      <c r="Q1072" s="1423">
        <f t="shared" si="1576"/>
        <v>0</v>
      </c>
      <c r="R1072" s="1423">
        <f t="shared" si="1577"/>
        <v>0</v>
      </c>
      <c r="S1072" s="1423">
        <f t="shared" si="1578"/>
        <v>0</v>
      </c>
      <c r="T1072" s="1423">
        <f t="shared" si="1579"/>
        <v>0</v>
      </c>
      <c r="U1072" s="1423">
        <f t="shared" si="1580"/>
        <v>0</v>
      </c>
      <c r="V1072" s="1423">
        <f t="shared" si="1581"/>
        <v>0</v>
      </c>
      <c r="W1072" s="1423">
        <f t="shared" si="1582"/>
        <v>0</v>
      </c>
      <c r="X1072" s="152"/>
      <c r="Y1072" s="152"/>
      <c r="Z1072" s="152"/>
      <c r="AA1072" s="152"/>
      <c r="AB1072" s="152"/>
    </row>
    <row r="1073" spans="1:28" hidden="1" outlineLevel="1">
      <c r="A1073" s="152"/>
      <c r="B1073" s="190" t="str">
        <f t="shared" ca="1" si="1583"/>
        <v>RL Capex 2019-20</v>
      </c>
      <c r="C1073" s="1429"/>
      <c r="D1073" s="1429"/>
      <c r="E1073" s="1429"/>
      <c r="F1073" s="1424"/>
      <c r="G1073" s="1428">
        <f>G1041</f>
        <v>0</v>
      </c>
      <c r="H1073" s="1423">
        <f t="shared" si="1567"/>
        <v>0</v>
      </c>
      <c r="I1073" s="1423">
        <f t="shared" si="1568"/>
        <v>0</v>
      </c>
      <c r="J1073" s="1423">
        <f t="shared" si="1569"/>
        <v>0</v>
      </c>
      <c r="K1073" s="1423">
        <f t="shared" si="1570"/>
        <v>0</v>
      </c>
      <c r="L1073" s="1423">
        <f t="shared" si="1571"/>
        <v>0</v>
      </c>
      <c r="M1073" s="1423">
        <f t="shared" si="1572"/>
        <v>0</v>
      </c>
      <c r="N1073" s="1423">
        <f t="shared" si="1573"/>
        <v>0</v>
      </c>
      <c r="O1073" s="1423">
        <f t="shared" si="1574"/>
        <v>0</v>
      </c>
      <c r="P1073" s="1423">
        <f t="shared" si="1575"/>
        <v>0</v>
      </c>
      <c r="Q1073" s="1423">
        <f t="shared" si="1576"/>
        <v>0</v>
      </c>
      <c r="R1073" s="1423">
        <f t="shared" si="1577"/>
        <v>0</v>
      </c>
      <c r="S1073" s="1423">
        <f t="shared" si="1578"/>
        <v>0</v>
      </c>
      <c r="T1073" s="1423">
        <f t="shared" si="1579"/>
        <v>0</v>
      </c>
      <c r="U1073" s="1423">
        <f t="shared" si="1580"/>
        <v>0</v>
      </c>
      <c r="V1073" s="1423">
        <f t="shared" si="1581"/>
        <v>0</v>
      </c>
      <c r="W1073" s="1423">
        <f t="shared" si="1582"/>
        <v>0</v>
      </c>
      <c r="X1073" s="152"/>
      <c r="Y1073" s="152"/>
      <c r="Z1073" s="152"/>
      <c r="AA1073" s="152"/>
      <c r="AB1073" s="152"/>
    </row>
    <row r="1074" spans="1:28" hidden="1" outlineLevel="1">
      <c r="A1074" s="152"/>
      <c r="B1074" s="190" t="str">
        <f t="shared" ca="1" si="1583"/>
        <v>RL Capex 2020-21</v>
      </c>
      <c r="C1074" s="1429"/>
      <c r="D1074" s="1429"/>
      <c r="E1074" s="1429"/>
      <c r="F1074" s="1429"/>
      <c r="G1074" s="1424"/>
      <c r="H1074" s="1428">
        <f>H1041</f>
        <v>0</v>
      </c>
      <c r="I1074" s="1423">
        <f t="shared" si="1568"/>
        <v>0</v>
      </c>
      <c r="J1074" s="1423">
        <f t="shared" si="1569"/>
        <v>0</v>
      </c>
      <c r="K1074" s="1423">
        <f t="shared" si="1570"/>
        <v>0</v>
      </c>
      <c r="L1074" s="1423">
        <f t="shared" si="1571"/>
        <v>0</v>
      </c>
      <c r="M1074" s="1423">
        <f t="shared" si="1572"/>
        <v>0</v>
      </c>
      <c r="N1074" s="1423">
        <f t="shared" si="1573"/>
        <v>0</v>
      </c>
      <c r="O1074" s="1423">
        <f t="shared" si="1574"/>
        <v>0</v>
      </c>
      <c r="P1074" s="1423">
        <f t="shared" si="1575"/>
        <v>0</v>
      </c>
      <c r="Q1074" s="1423">
        <f t="shared" si="1576"/>
        <v>0</v>
      </c>
      <c r="R1074" s="1423">
        <f t="shared" si="1577"/>
        <v>0</v>
      </c>
      <c r="S1074" s="1423">
        <f t="shared" si="1578"/>
        <v>0</v>
      </c>
      <c r="T1074" s="1423">
        <f t="shared" si="1579"/>
        <v>0</v>
      </c>
      <c r="U1074" s="1423">
        <f t="shared" si="1580"/>
        <v>0</v>
      </c>
      <c r="V1074" s="1423">
        <f t="shared" si="1581"/>
        <v>0</v>
      </c>
      <c r="W1074" s="1423">
        <f t="shared" si="1582"/>
        <v>0</v>
      </c>
      <c r="X1074" s="152"/>
      <c r="Y1074" s="152"/>
      <c r="Z1074" s="152"/>
      <c r="AA1074" s="152"/>
      <c r="AB1074" s="152"/>
    </row>
    <row r="1075" spans="1:28" hidden="1" outlineLevel="1">
      <c r="A1075" s="152"/>
      <c r="B1075" s="190" t="str">
        <f t="shared" ca="1" si="1583"/>
        <v>RL Capex 2021-22</v>
      </c>
      <c r="C1075" s="1429"/>
      <c r="D1075" s="1429"/>
      <c r="E1075" s="1429"/>
      <c r="F1075" s="1429"/>
      <c r="G1075" s="1429"/>
      <c r="H1075" s="1424"/>
      <c r="I1075" s="1428">
        <f>I1041</f>
        <v>0</v>
      </c>
      <c r="J1075" s="1423">
        <f t="shared" si="1569"/>
        <v>0</v>
      </c>
      <c r="K1075" s="1423">
        <f t="shared" si="1570"/>
        <v>0</v>
      </c>
      <c r="L1075" s="1423">
        <f t="shared" si="1571"/>
        <v>0</v>
      </c>
      <c r="M1075" s="1423">
        <f t="shared" si="1572"/>
        <v>0</v>
      </c>
      <c r="N1075" s="1423">
        <f t="shared" si="1573"/>
        <v>0</v>
      </c>
      <c r="O1075" s="1423">
        <f t="shared" si="1574"/>
        <v>0</v>
      </c>
      <c r="P1075" s="1423">
        <f t="shared" si="1575"/>
        <v>0</v>
      </c>
      <c r="Q1075" s="1423">
        <f t="shared" si="1576"/>
        <v>0</v>
      </c>
      <c r="R1075" s="1423">
        <f t="shared" si="1577"/>
        <v>0</v>
      </c>
      <c r="S1075" s="1423">
        <f t="shared" si="1578"/>
        <v>0</v>
      </c>
      <c r="T1075" s="1423">
        <f t="shared" si="1579"/>
        <v>0</v>
      </c>
      <c r="U1075" s="1423">
        <f t="shared" si="1580"/>
        <v>0</v>
      </c>
      <c r="V1075" s="1423">
        <f t="shared" si="1581"/>
        <v>0</v>
      </c>
      <c r="W1075" s="1423">
        <f t="shared" si="1582"/>
        <v>0</v>
      </c>
      <c r="X1075" s="152"/>
      <c r="Y1075" s="152"/>
      <c r="Z1075" s="152"/>
      <c r="AA1075" s="152"/>
      <c r="AB1075" s="152"/>
    </row>
    <row r="1076" spans="1:28" hidden="1" outlineLevel="1">
      <c r="A1076" s="152"/>
      <c r="B1076" s="190" t="str">
        <f t="shared" ca="1" si="1583"/>
        <v>RL Capex 2022-23</v>
      </c>
      <c r="C1076" s="1429"/>
      <c r="D1076" s="1429"/>
      <c r="E1076" s="1429"/>
      <c r="F1076" s="1429"/>
      <c r="G1076" s="1429"/>
      <c r="H1076" s="1429"/>
      <c r="I1076" s="1424"/>
      <c r="J1076" s="1428">
        <f>J1041</f>
        <v>0</v>
      </c>
      <c r="K1076" s="1423">
        <f t="shared" si="1570"/>
        <v>0</v>
      </c>
      <c r="L1076" s="1423">
        <f t="shared" si="1571"/>
        <v>0</v>
      </c>
      <c r="M1076" s="1423">
        <f t="shared" si="1572"/>
        <v>0</v>
      </c>
      <c r="N1076" s="1423">
        <f t="shared" si="1573"/>
        <v>0</v>
      </c>
      <c r="O1076" s="1423">
        <f t="shared" si="1574"/>
        <v>0</v>
      </c>
      <c r="P1076" s="1423">
        <f t="shared" si="1575"/>
        <v>0</v>
      </c>
      <c r="Q1076" s="1423">
        <f t="shared" si="1576"/>
        <v>0</v>
      </c>
      <c r="R1076" s="1423">
        <f t="shared" si="1577"/>
        <v>0</v>
      </c>
      <c r="S1076" s="1423">
        <f t="shared" si="1578"/>
        <v>0</v>
      </c>
      <c r="T1076" s="1423">
        <f t="shared" si="1579"/>
        <v>0</v>
      </c>
      <c r="U1076" s="1423">
        <f t="shared" si="1580"/>
        <v>0</v>
      </c>
      <c r="V1076" s="1423">
        <f t="shared" si="1581"/>
        <v>0</v>
      </c>
      <c r="W1076" s="1423">
        <f t="shared" si="1582"/>
        <v>0</v>
      </c>
      <c r="X1076" s="152"/>
      <c r="Y1076" s="152"/>
      <c r="Z1076" s="152"/>
      <c r="AA1076" s="152"/>
      <c r="AB1076" s="152"/>
    </row>
    <row r="1077" spans="1:28" hidden="1" outlineLevel="1">
      <c r="A1077" s="152"/>
      <c r="B1077" s="190" t="str">
        <f t="shared" ca="1" si="1583"/>
        <v>RL Capex 2023-24</v>
      </c>
      <c r="C1077" s="1429"/>
      <c r="D1077" s="1429"/>
      <c r="E1077" s="1429"/>
      <c r="F1077" s="1429"/>
      <c r="G1077" s="1429"/>
      <c r="H1077" s="1429"/>
      <c r="I1077" s="1429"/>
      <c r="J1077" s="1424"/>
      <c r="K1077" s="1428">
        <f>K1041</f>
        <v>0</v>
      </c>
      <c r="L1077" s="1423">
        <f t="shared" si="1571"/>
        <v>0</v>
      </c>
      <c r="M1077" s="1423">
        <f t="shared" si="1572"/>
        <v>0</v>
      </c>
      <c r="N1077" s="1423">
        <f t="shared" si="1573"/>
        <v>0</v>
      </c>
      <c r="O1077" s="1423">
        <f t="shared" si="1574"/>
        <v>0</v>
      </c>
      <c r="P1077" s="1423">
        <f t="shared" si="1575"/>
        <v>0</v>
      </c>
      <c r="Q1077" s="1423">
        <f t="shared" si="1576"/>
        <v>0</v>
      </c>
      <c r="R1077" s="1423">
        <f t="shared" si="1577"/>
        <v>0</v>
      </c>
      <c r="S1077" s="1423">
        <f t="shared" si="1578"/>
        <v>0</v>
      </c>
      <c r="T1077" s="1423">
        <f t="shared" si="1579"/>
        <v>0</v>
      </c>
      <c r="U1077" s="1423">
        <f t="shared" si="1580"/>
        <v>0</v>
      </c>
      <c r="V1077" s="1423">
        <f t="shared" si="1581"/>
        <v>0</v>
      </c>
      <c r="W1077" s="1423">
        <f t="shared" si="1582"/>
        <v>0</v>
      </c>
      <c r="X1077" s="152"/>
      <c r="Y1077" s="152"/>
      <c r="Z1077" s="152"/>
      <c r="AA1077" s="152"/>
      <c r="AB1077" s="152"/>
    </row>
    <row r="1078" spans="1:28" hidden="1" outlineLevel="1">
      <c r="A1078" s="152"/>
      <c r="B1078" s="190" t="str">
        <f t="shared" ca="1" si="1583"/>
        <v>RL Capex 2024-25</v>
      </c>
      <c r="C1078" s="1429"/>
      <c r="D1078" s="1429"/>
      <c r="E1078" s="1429"/>
      <c r="F1078" s="1429"/>
      <c r="G1078" s="1429"/>
      <c r="H1078" s="1429"/>
      <c r="I1078" s="1429"/>
      <c r="J1078" s="1429"/>
      <c r="K1078" s="1424"/>
      <c r="L1078" s="1428">
        <f>L1041</f>
        <v>0</v>
      </c>
      <c r="M1078" s="1423">
        <f t="shared" si="1572"/>
        <v>0</v>
      </c>
      <c r="N1078" s="1423">
        <f t="shared" si="1573"/>
        <v>0</v>
      </c>
      <c r="O1078" s="1423">
        <f t="shared" si="1574"/>
        <v>0</v>
      </c>
      <c r="P1078" s="1423">
        <f t="shared" si="1575"/>
        <v>0</v>
      </c>
      <c r="Q1078" s="1423">
        <f t="shared" si="1576"/>
        <v>0</v>
      </c>
      <c r="R1078" s="1423">
        <f t="shared" si="1577"/>
        <v>0</v>
      </c>
      <c r="S1078" s="1423">
        <f t="shared" si="1578"/>
        <v>0</v>
      </c>
      <c r="T1078" s="1423">
        <f t="shared" si="1579"/>
        <v>0</v>
      </c>
      <c r="U1078" s="1423">
        <f t="shared" si="1580"/>
        <v>0</v>
      </c>
      <c r="V1078" s="1423">
        <f t="shared" si="1581"/>
        <v>0</v>
      </c>
      <c r="W1078" s="1423">
        <f t="shared" si="1582"/>
        <v>0</v>
      </c>
      <c r="X1078" s="152"/>
      <c r="Y1078" s="152"/>
      <c r="Z1078" s="152"/>
      <c r="AA1078" s="152"/>
      <c r="AB1078" s="152"/>
    </row>
    <row r="1079" spans="1:28" hidden="1" outlineLevel="1">
      <c r="A1079" s="152"/>
      <c r="B1079" s="190" t="str">
        <f t="shared" ca="1" si="1583"/>
        <v>RL Capex 2025-26</v>
      </c>
      <c r="C1079" s="1429"/>
      <c r="D1079" s="1429"/>
      <c r="E1079" s="1429"/>
      <c r="F1079" s="1429"/>
      <c r="G1079" s="1429"/>
      <c r="H1079" s="1429"/>
      <c r="I1079" s="1429"/>
      <c r="J1079" s="1429"/>
      <c r="K1079" s="1429"/>
      <c r="L1079" s="1424"/>
      <c r="M1079" s="1428">
        <f>M1041</f>
        <v>0</v>
      </c>
      <c r="N1079" s="1423">
        <f t="shared" si="1573"/>
        <v>0</v>
      </c>
      <c r="O1079" s="1423">
        <f t="shared" si="1574"/>
        <v>0</v>
      </c>
      <c r="P1079" s="1423">
        <f t="shared" si="1575"/>
        <v>0</v>
      </c>
      <c r="Q1079" s="1423">
        <f t="shared" si="1576"/>
        <v>0</v>
      </c>
      <c r="R1079" s="1423">
        <f t="shared" si="1577"/>
        <v>0</v>
      </c>
      <c r="S1079" s="1423">
        <f t="shared" si="1578"/>
        <v>0</v>
      </c>
      <c r="T1079" s="1423">
        <f t="shared" si="1579"/>
        <v>0</v>
      </c>
      <c r="U1079" s="1423">
        <f t="shared" si="1580"/>
        <v>0</v>
      </c>
      <c r="V1079" s="1423">
        <f t="shared" si="1581"/>
        <v>0</v>
      </c>
      <c r="W1079" s="1423">
        <f t="shared" si="1582"/>
        <v>0</v>
      </c>
      <c r="X1079" s="152"/>
      <c r="Y1079" s="152"/>
      <c r="Z1079" s="152"/>
      <c r="AA1079" s="152"/>
      <c r="AB1079" s="152"/>
    </row>
    <row r="1080" spans="1:28" hidden="1" outlineLevel="1">
      <c r="A1080" s="152"/>
      <c r="B1080" s="190" t="str">
        <f t="shared" ca="1" si="1583"/>
        <v>RL Capex 2026-27</v>
      </c>
      <c r="C1080" s="1429"/>
      <c r="D1080" s="1429"/>
      <c r="E1080" s="1429"/>
      <c r="F1080" s="1429"/>
      <c r="G1080" s="1429"/>
      <c r="H1080" s="1429"/>
      <c r="I1080" s="1429"/>
      <c r="J1080" s="1429"/>
      <c r="K1080" s="1429"/>
      <c r="L1080" s="1429"/>
      <c r="M1080" s="1424"/>
      <c r="N1080" s="1428">
        <f>N1041</f>
        <v>0</v>
      </c>
      <c r="O1080" s="1423">
        <f t="shared" si="1574"/>
        <v>0</v>
      </c>
      <c r="P1080" s="1423">
        <f t="shared" si="1575"/>
        <v>0</v>
      </c>
      <c r="Q1080" s="1423">
        <f t="shared" si="1576"/>
        <v>0</v>
      </c>
      <c r="R1080" s="1423">
        <f t="shared" si="1577"/>
        <v>0</v>
      </c>
      <c r="S1080" s="1423">
        <f t="shared" si="1578"/>
        <v>0</v>
      </c>
      <c r="T1080" s="1423">
        <f t="shared" si="1579"/>
        <v>0</v>
      </c>
      <c r="U1080" s="1423">
        <f t="shared" si="1580"/>
        <v>0</v>
      </c>
      <c r="V1080" s="1423">
        <f t="shared" si="1581"/>
        <v>0</v>
      </c>
      <c r="W1080" s="1423">
        <f t="shared" si="1582"/>
        <v>0</v>
      </c>
      <c r="X1080" s="152"/>
      <c r="Y1080" s="152"/>
      <c r="Z1080" s="152"/>
      <c r="AA1080" s="152"/>
      <c r="AB1080" s="152"/>
    </row>
    <row r="1081" spans="1:28" hidden="1" outlineLevel="1">
      <c r="A1081" s="152"/>
      <c r="B1081" s="190" t="str">
        <f t="shared" ca="1" si="1583"/>
        <v>RL Capex 2027-28</v>
      </c>
      <c r="C1081" s="1429"/>
      <c r="D1081" s="1429"/>
      <c r="E1081" s="1429"/>
      <c r="F1081" s="1429"/>
      <c r="G1081" s="1429"/>
      <c r="H1081" s="1429"/>
      <c r="I1081" s="1429"/>
      <c r="J1081" s="1429"/>
      <c r="K1081" s="1429"/>
      <c r="L1081" s="1429"/>
      <c r="M1081" s="1429"/>
      <c r="N1081" s="1424"/>
      <c r="O1081" s="1428">
        <f>O1041</f>
        <v>0</v>
      </c>
      <c r="P1081" s="1423">
        <f t="shared" si="1575"/>
        <v>0</v>
      </c>
      <c r="Q1081" s="1423">
        <f t="shared" si="1576"/>
        <v>0</v>
      </c>
      <c r="R1081" s="1423">
        <f t="shared" si="1577"/>
        <v>0</v>
      </c>
      <c r="S1081" s="1423">
        <f t="shared" si="1578"/>
        <v>0</v>
      </c>
      <c r="T1081" s="1423">
        <f t="shared" si="1579"/>
        <v>0</v>
      </c>
      <c r="U1081" s="1423">
        <f t="shared" si="1580"/>
        <v>0</v>
      </c>
      <c r="V1081" s="1423">
        <f t="shared" si="1581"/>
        <v>0</v>
      </c>
      <c r="W1081" s="1423">
        <f t="shared" si="1582"/>
        <v>0</v>
      </c>
      <c r="X1081" s="152"/>
      <c r="Y1081" s="152"/>
      <c r="Z1081" s="152"/>
      <c r="AA1081" s="152"/>
      <c r="AB1081" s="152"/>
    </row>
    <row r="1082" spans="1:28" hidden="1" outlineLevel="1">
      <c r="A1082" s="152"/>
      <c r="B1082" s="190" t="str">
        <f t="shared" ca="1" si="1583"/>
        <v>RL Capex 2028-29</v>
      </c>
      <c r="C1082" s="1429"/>
      <c r="D1082" s="1429"/>
      <c r="E1082" s="1429"/>
      <c r="F1082" s="1429"/>
      <c r="G1082" s="1429"/>
      <c r="H1082" s="1429"/>
      <c r="I1082" s="1429"/>
      <c r="J1082" s="1429"/>
      <c r="K1082" s="1429"/>
      <c r="L1082" s="1429"/>
      <c r="M1082" s="1429"/>
      <c r="N1082" s="1429"/>
      <c r="O1082" s="1424"/>
      <c r="P1082" s="1428">
        <f>P1041</f>
        <v>0</v>
      </c>
      <c r="Q1082" s="1423">
        <f t="shared" si="1576"/>
        <v>0</v>
      </c>
      <c r="R1082" s="1423">
        <f t="shared" si="1577"/>
        <v>0</v>
      </c>
      <c r="S1082" s="1423">
        <f t="shared" si="1578"/>
        <v>0</v>
      </c>
      <c r="T1082" s="1423">
        <f t="shared" si="1579"/>
        <v>0</v>
      </c>
      <c r="U1082" s="1423">
        <f t="shared" si="1580"/>
        <v>0</v>
      </c>
      <c r="V1082" s="1423">
        <f t="shared" si="1581"/>
        <v>0</v>
      </c>
      <c r="W1082" s="1423">
        <f t="shared" si="1582"/>
        <v>0</v>
      </c>
      <c r="X1082" s="152"/>
      <c r="Y1082" s="152"/>
      <c r="Z1082" s="152"/>
      <c r="AA1082" s="152"/>
      <c r="AB1082" s="152"/>
    </row>
    <row r="1083" spans="1:28" hidden="1" outlineLevel="1">
      <c r="A1083" s="152"/>
      <c r="B1083" s="190" t="str">
        <f t="shared" ca="1" si="1583"/>
        <v>RL Capex 2029-30</v>
      </c>
      <c r="C1083" s="1429"/>
      <c r="D1083" s="1429"/>
      <c r="E1083" s="1429"/>
      <c r="F1083" s="1429"/>
      <c r="G1083" s="1429"/>
      <c r="H1083" s="1429"/>
      <c r="I1083" s="1429"/>
      <c r="J1083" s="1429"/>
      <c r="K1083" s="1429"/>
      <c r="L1083" s="1429"/>
      <c r="M1083" s="1429"/>
      <c r="N1083" s="1429"/>
      <c r="O1083" s="1429"/>
      <c r="P1083" s="1424"/>
      <c r="Q1083" s="1428">
        <f>Q1041</f>
        <v>0</v>
      </c>
      <c r="R1083" s="1423">
        <f t="shared" si="1577"/>
        <v>0</v>
      </c>
      <c r="S1083" s="1423">
        <f t="shared" si="1578"/>
        <v>0</v>
      </c>
      <c r="T1083" s="1423">
        <f t="shared" si="1579"/>
        <v>0</v>
      </c>
      <c r="U1083" s="1423">
        <f t="shared" si="1580"/>
        <v>0</v>
      </c>
      <c r="V1083" s="1423">
        <f t="shared" si="1581"/>
        <v>0</v>
      </c>
      <c r="W1083" s="1423">
        <f t="shared" si="1582"/>
        <v>0</v>
      </c>
      <c r="X1083" s="152"/>
      <c r="Y1083" s="152"/>
      <c r="Z1083" s="152"/>
      <c r="AA1083" s="152"/>
      <c r="AB1083" s="152"/>
    </row>
    <row r="1084" spans="1:28" hidden="1" outlineLevel="1">
      <c r="A1084" s="152"/>
      <c r="B1084" s="190" t="str">
        <f t="shared" ca="1" si="1583"/>
        <v>RL Capex 2030-31</v>
      </c>
      <c r="C1084" s="1429"/>
      <c r="D1084" s="1429"/>
      <c r="E1084" s="1429"/>
      <c r="F1084" s="1429"/>
      <c r="G1084" s="1429"/>
      <c r="H1084" s="1429"/>
      <c r="I1084" s="1429"/>
      <c r="J1084" s="1429"/>
      <c r="K1084" s="1429"/>
      <c r="L1084" s="1429"/>
      <c r="M1084" s="1429"/>
      <c r="N1084" s="1429"/>
      <c r="O1084" s="1429"/>
      <c r="P1084" s="1429"/>
      <c r="Q1084" s="1424"/>
      <c r="R1084" s="1428">
        <f>R1041</f>
        <v>0</v>
      </c>
      <c r="S1084" s="1423">
        <f t="shared" si="1578"/>
        <v>0</v>
      </c>
      <c r="T1084" s="1423">
        <f t="shared" si="1579"/>
        <v>0</v>
      </c>
      <c r="U1084" s="1423">
        <f t="shared" si="1580"/>
        <v>0</v>
      </c>
      <c r="V1084" s="1423">
        <f t="shared" si="1581"/>
        <v>0</v>
      </c>
      <c r="W1084" s="1423">
        <f t="shared" si="1582"/>
        <v>0</v>
      </c>
      <c r="X1084" s="152"/>
      <c r="Y1084" s="152"/>
      <c r="Z1084" s="152"/>
      <c r="AA1084" s="152"/>
      <c r="AB1084" s="152"/>
    </row>
    <row r="1085" spans="1:28" hidden="1" outlineLevel="1">
      <c r="A1085" s="152"/>
      <c r="B1085" s="190" t="str">
        <f t="shared" ca="1" si="1583"/>
        <v>RL Capex 2031-32</v>
      </c>
      <c r="C1085" s="1429"/>
      <c r="D1085" s="1429"/>
      <c r="E1085" s="1429"/>
      <c r="F1085" s="1429"/>
      <c r="G1085" s="1429"/>
      <c r="H1085" s="1429"/>
      <c r="I1085" s="1429"/>
      <c r="J1085" s="1429"/>
      <c r="K1085" s="1429"/>
      <c r="L1085" s="1429"/>
      <c r="M1085" s="1429"/>
      <c r="N1085" s="1429"/>
      <c r="O1085" s="1429"/>
      <c r="P1085" s="1429"/>
      <c r="Q1085" s="1429"/>
      <c r="R1085" s="1424"/>
      <c r="S1085" s="1428">
        <f>S1041</f>
        <v>0</v>
      </c>
      <c r="T1085" s="1423">
        <f t="shared" si="1579"/>
        <v>0</v>
      </c>
      <c r="U1085" s="1423">
        <f t="shared" si="1580"/>
        <v>0</v>
      </c>
      <c r="V1085" s="1423">
        <f t="shared" si="1581"/>
        <v>0</v>
      </c>
      <c r="W1085" s="1423">
        <f t="shared" si="1582"/>
        <v>0</v>
      </c>
      <c r="X1085" s="152"/>
      <c r="Y1085" s="152"/>
      <c r="Z1085" s="152"/>
      <c r="AA1085" s="152"/>
      <c r="AB1085" s="152"/>
    </row>
    <row r="1086" spans="1:28" hidden="1" outlineLevel="1">
      <c r="A1086" s="152"/>
      <c r="B1086" s="190" t="str">
        <f t="shared" ca="1" si="1583"/>
        <v>RL Capex 2032-33</v>
      </c>
      <c r="C1086" s="1429"/>
      <c r="D1086" s="1429"/>
      <c r="E1086" s="1429"/>
      <c r="F1086" s="1429"/>
      <c r="G1086" s="1429"/>
      <c r="H1086" s="1429"/>
      <c r="I1086" s="1429"/>
      <c r="J1086" s="1429"/>
      <c r="K1086" s="1429"/>
      <c r="L1086" s="1429"/>
      <c r="M1086" s="1429"/>
      <c r="N1086" s="1429"/>
      <c r="O1086" s="1429"/>
      <c r="P1086" s="1429"/>
      <c r="Q1086" s="1429"/>
      <c r="R1086" s="1429"/>
      <c r="S1086" s="1424"/>
      <c r="T1086" s="1428">
        <f>T1041</f>
        <v>0</v>
      </c>
      <c r="U1086" s="1423">
        <f t="shared" si="1580"/>
        <v>0</v>
      </c>
      <c r="V1086" s="1423">
        <f t="shared" si="1581"/>
        <v>0</v>
      </c>
      <c r="W1086" s="1423">
        <f t="shared" si="1582"/>
        <v>0</v>
      </c>
      <c r="X1086" s="152"/>
      <c r="Y1086" s="152"/>
      <c r="Z1086" s="152"/>
      <c r="AA1086" s="152"/>
      <c r="AB1086" s="152"/>
    </row>
    <row r="1087" spans="1:28" hidden="1" outlineLevel="1">
      <c r="A1087" s="152"/>
      <c r="B1087" s="190" t="str">
        <f t="shared" ca="1" si="1583"/>
        <v>RL Capex 2033-34</v>
      </c>
      <c r="C1087" s="1429"/>
      <c r="D1087" s="1429"/>
      <c r="E1087" s="1429"/>
      <c r="F1087" s="1429"/>
      <c r="G1087" s="1429"/>
      <c r="H1087" s="1429"/>
      <c r="I1087" s="1429"/>
      <c r="J1087" s="1429"/>
      <c r="K1087" s="1429"/>
      <c r="L1087" s="1429"/>
      <c r="M1087" s="1429"/>
      <c r="N1087" s="1429"/>
      <c r="O1087" s="1429"/>
      <c r="P1087" s="1429"/>
      <c r="Q1087" s="1429"/>
      <c r="R1087" s="1429"/>
      <c r="S1087" s="1429"/>
      <c r="T1087" s="1424"/>
      <c r="U1087" s="1428">
        <f>U1041</f>
        <v>0</v>
      </c>
      <c r="V1087" s="1423">
        <f t="shared" si="1581"/>
        <v>0</v>
      </c>
      <c r="W1087" s="1423">
        <f t="shared" si="1582"/>
        <v>0</v>
      </c>
      <c r="X1087" s="152"/>
      <c r="Y1087" s="152"/>
      <c r="Z1087" s="152"/>
      <c r="AA1087" s="152"/>
      <c r="AB1087" s="152"/>
    </row>
    <row r="1088" spans="1:28" hidden="1" outlineLevel="1">
      <c r="A1088" s="152"/>
      <c r="B1088" s="190" t="str">
        <f t="shared" ca="1" si="1583"/>
        <v>RL Capex 2034-35</v>
      </c>
      <c r="C1088" s="1429"/>
      <c r="D1088" s="1429"/>
      <c r="E1088" s="1429"/>
      <c r="F1088" s="1429"/>
      <c r="G1088" s="1429"/>
      <c r="H1088" s="1429"/>
      <c r="I1088" s="1429"/>
      <c r="J1088" s="1429"/>
      <c r="K1088" s="1429"/>
      <c r="L1088" s="1429"/>
      <c r="M1088" s="1429"/>
      <c r="N1088" s="1429"/>
      <c r="O1088" s="1429"/>
      <c r="P1088" s="1429"/>
      <c r="Q1088" s="1429"/>
      <c r="R1088" s="1429"/>
      <c r="S1088" s="1429"/>
      <c r="T1088" s="1429"/>
      <c r="U1088" s="1424"/>
      <c r="V1088" s="1428">
        <f>V1041</f>
        <v>0</v>
      </c>
      <c r="W1088" s="1423">
        <f>IF(V1088="n/a","n/a",MAX(0,V1088-1))</f>
        <v>0</v>
      </c>
      <c r="X1088" s="152"/>
      <c r="Y1088" s="152"/>
      <c r="Z1088" s="152"/>
      <c r="AA1088" s="152"/>
      <c r="AB1088" s="152"/>
    </row>
    <row r="1089" spans="1:28" hidden="1" outlineLevel="1">
      <c r="A1089" s="152"/>
      <c r="B1089" s="190" t="str">
        <f t="shared" ca="1" si="1583"/>
        <v>RL Capex 2035-36</v>
      </c>
      <c r="C1089" s="1429"/>
      <c r="D1089" s="1429"/>
      <c r="E1089" s="1429"/>
      <c r="F1089" s="1429"/>
      <c r="G1089" s="1429"/>
      <c r="H1089" s="1429"/>
      <c r="I1089" s="1429"/>
      <c r="J1089" s="1429"/>
      <c r="K1089" s="1429"/>
      <c r="L1089" s="1429"/>
      <c r="M1089" s="1429"/>
      <c r="N1089" s="1429"/>
      <c r="O1089" s="1429"/>
      <c r="P1089" s="1429"/>
      <c r="Q1089" s="1429"/>
      <c r="R1089" s="1429"/>
      <c r="S1089" s="1429"/>
      <c r="T1089" s="1429"/>
      <c r="U1089" s="1429"/>
      <c r="V1089" s="1424"/>
      <c r="W1089" s="1423">
        <f>W1041</f>
        <v>0</v>
      </c>
      <c r="X1089" s="152"/>
      <c r="Y1089" s="152"/>
      <c r="Z1089" s="152"/>
      <c r="AA1089" s="152"/>
      <c r="AB1089" s="152"/>
    </row>
    <row r="1090" spans="1:28" hidden="1" outlineLevel="1">
      <c r="A1090" s="152"/>
      <c r="B1090" s="200"/>
      <c r="C1090" s="1423"/>
      <c r="D1090" s="1423"/>
      <c r="E1090" s="1423"/>
      <c r="F1090" s="1423"/>
      <c r="G1090" s="1423"/>
      <c r="H1090" s="1423"/>
      <c r="I1090" s="1423"/>
      <c r="J1090" s="1423"/>
      <c r="K1090" s="1423"/>
      <c r="L1090" s="1423"/>
      <c r="M1090" s="1423"/>
      <c r="N1090" s="1423"/>
      <c r="O1090" s="1423"/>
      <c r="P1090" s="1423"/>
      <c r="Q1090" s="1423"/>
      <c r="R1090" s="1423"/>
      <c r="S1090" s="1423"/>
      <c r="T1090" s="1423"/>
      <c r="U1090" s="1423"/>
      <c r="V1090" s="1423"/>
      <c r="W1090" s="1423"/>
      <c r="X1090" s="152"/>
      <c r="Y1090" s="152"/>
      <c r="Z1090" s="152"/>
      <c r="AA1090" s="152"/>
      <c r="AB1090" s="152"/>
    </row>
    <row r="1091" spans="1:28" collapsed="1">
      <c r="A1091" s="194"/>
      <c r="B1091" s="204" t="s">
        <v>123</v>
      </c>
      <c r="C1091" s="1430">
        <f ca="1">(IF(OR($C1041&lt;&gt;"n/a",C1041&lt;&gt;"n/a"),IF(SUM(C1044:C1066)=0,0,IF((SUMPRODUCT(C1044:C1066,C1068:C1090)/SUM(C1044:C1066))&lt;0,1,(SUMPRODUCT(C1044:C1066,C1068:C1090)/SUM(C1044:C1066)))),"n/a"))</f>
        <v>0</v>
      </c>
      <c r="D1091" s="1430">
        <f ca="1">(IF(OR($C1041&lt;&gt;"n/a",D1041&lt;&gt;"n/a"),IF(SUM(D1044:D1066)=0,0,IF((SUMPRODUCT(D1044:D1066,D1068:D1090)/SUM(D1044:D1066))&lt;0,1,(SUMPRODUCT(D1044:D1066,D1068:D1090)/SUM(D1044:D1066)))),"n/a"))</f>
        <v>0</v>
      </c>
      <c r="E1091" s="1430">
        <f t="shared" ref="E1091:W1091" ca="1" si="1584">(IF(OR($C1041&lt;&gt;"n/a",E1041&lt;&gt;"n/a"),IF(SUM(E1044:E1066)=0,0,IF((SUMPRODUCT(E1044:E1066,E1068:E1090)/SUM(E1044:E1066))&lt;0,1,(SUMPRODUCT(E1044:E1066,E1068:E1090)/SUM(E1044:E1066)))),"n/a"))</f>
        <v>0</v>
      </c>
      <c r="F1091" s="1430">
        <f t="shared" ca="1" si="1584"/>
        <v>0</v>
      </c>
      <c r="G1091" s="1430">
        <f t="shared" ca="1" si="1584"/>
        <v>0</v>
      </c>
      <c r="H1091" s="1430">
        <f t="shared" ca="1" si="1584"/>
        <v>0</v>
      </c>
      <c r="I1091" s="1430">
        <f t="shared" ca="1" si="1584"/>
        <v>0</v>
      </c>
      <c r="J1091" s="1430">
        <f t="shared" ca="1" si="1584"/>
        <v>0</v>
      </c>
      <c r="K1091" s="1430">
        <f t="shared" ca="1" si="1584"/>
        <v>0</v>
      </c>
      <c r="L1091" s="1430">
        <f t="shared" ca="1" si="1584"/>
        <v>0</v>
      </c>
      <c r="M1091" s="1430">
        <f t="shared" ca="1" si="1584"/>
        <v>0</v>
      </c>
      <c r="N1091" s="1430">
        <f t="shared" ca="1" si="1584"/>
        <v>0</v>
      </c>
      <c r="O1091" s="1430">
        <f t="shared" ca="1" si="1584"/>
        <v>0</v>
      </c>
      <c r="P1091" s="1430">
        <f t="shared" ca="1" si="1584"/>
        <v>0</v>
      </c>
      <c r="Q1091" s="1430">
        <f t="shared" ca="1" si="1584"/>
        <v>0</v>
      </c>
      <c r="R1091" s="1430">
        <f t="shared" ca="1" si="1584"/>
        <v>0</v>
      </c>
      <c r="S1091" s="1430">
        <f t="shared" ca="1" si="1584"/>
        <v>0</v>
      </c>
      <c r="T1091" s="1430">
        <f t="shared" ca="1" si="1584"/>
        <v>0</v>
      </c>
      <c r="U1091" s="1430">
        <f t="shared" ca="1" si="1584"/>
        <v>0</v>
      </c>
      <c r="V1091" s="1430">
        <f t="shared" ca="1" si="1584"/>
        <v>0</v>
      </c>
      <c r="W1091" s="1430">
        <f t="shared" ca="1" si="1584"/>
        <v>0</v>
      </c>
      <c r="X1091" s="152"/>
      <c r="Y1091" s="152"/>
      <c r="Z1091" s="152"/>
      <c r="AA1091" s="152"/>
      <c r="AB1091" s="152"/>
    </row>
    <row r="1092" spans="1:28">
      <c r="A1092" s="152"/>
      <c r="B1092" s="152"/>
      <c r="C1092" s="1423"/>
      <c r="D1092" s="1423"/>
      <c r="E1092" s="1423"/>
      <c r="F1092" s="1423"/>
      <c r="G1092" s="1423"/>
      <c r="H1092" s="1423"/>
      <c r="I1092" s="1423"/>
      <c r="J1092" s="1423"/>
      <c r="K1092" s="1423"/>
      <c r="L1092" s="1423"/>
      <c r="M1092" s="1423"/>
      <c r="N1092" s="1423"/>
      <c r="O1092" s="1423"/>
      <c r="P1092" s="1423"/>
      <c r="Q1092" s="1423"/>
      <c r="R1092" s="1423"/>
      <c r="S1092" s="1423"/>
      <c r="T1092" s="1423"/>
      <c r="U1092" s="1423"/>
      <c r="V1092" s="1423"/>
      <c r="W1092" s="1423"/>
      <c r="X1092" s="152"/>
      <c r="Y1092" s="152"/>
      <c r="Z1092" s="152"/>
      <c r="AA1092" s="152"/>
      <c r="AB1092" s="152"/>
    </row>
    <row r="1093" spans="1:28">
      <c r="A1093" s="269" t="s">
        <v>55</v>
      </c>
      <c r="B1093" s="270">
        <f>VLOOKUP($A1093,'RFM input'!$E$7:$F$56,2,FALSE)</f>
        <v>0</v>
      </c>
      <c r="C1093" s="1431"/>
      <c r="D1093" s="1431"/>
      <c r="E1093" s="1432"/>
      <c r="F1093" s="1432"/>
      <c r="G1093" s="1432"/>
      <c r="H1093" s="1432"/>
      <c r="I1093" s="1432"/>
      <c r="J1093" s="1432"/>
      <c r="K1093" s="1432"/>
      <c r="L1093" s="1432"/>
      <c r="M1093" s="1432"/>
      <c r="N1093" s="1432"/>
      <c r="O1093" s="1432"/>
      <c r="P1093" s="1432"/>
      <c r="Q1093" s="1432"/>
      <c r="R1093" s="1432"/>
      <c r="S1093" s="1432"/>
      <c r="T1093" s="1432"/>
      <c r="U1093" s="1432"/>
      <c r="V1093" s="1432"/>
      <c r="W1093" s="1432"/>
      <c r="X1093" s="152"/>
      <c r="Y1093" s="152"/>
      <c r="Z1093" s="152"/>
      <c r="AA1093" s="152"/>
      <c r="AB1093" s="152"/>
    </row>
    <row r="1094" spans="1:28">
      <c r="A1094" s="215">
        <f>VALUE(REPLACE(A1093,1,12,""))</f>
        <v>21</v>
      </c>
      <c r="B1094" s="193" t="s">
        <v>126</v>
      </c>
      <c r="C1094" s="1416">
        <f ca="1">IF($C$8='Capital Base roll forward'!$H$4,OFFSET('Capital Base roll forward'!$H$717,'RAB remaining lives'!A1094,0),"enter input")</f>
        <v>0</v>
      </c>
      <c r="D1094" s="1417">
        <f>IF(LEFT(D$6,4)&lt;LEFT('RFM input'!$G$60,4),"enter input",IF(LEFT(D$6,4)&gt;LEFT('RFM input'!$Q$60,4),0,INDEX('RFM input'!$G$61:$Q$110,$A1094,MATCH(D$6,'RFM input'!$G$60:$Q$60,0))
-INDEX('RFM input'!$G$115:$Q$164,$A1094,MATCH(D$6,'RFM input'!$G$60:$Q$60,0))
-INDEX('RFM input'!$G$169:$Q$218,$A1094,MATCH(D$6,'RFM input'!$G$60:$Q$60,0))))</f>
        <v>0</v>
      </c>
      <c r="E1094" s="1417">
        <f>IF(LEFT(E$6,4)&lt;LEFT('RFM input'!$G$60,4),"enter input",IF(LEFT(E$6,4)&gt;LEFT('RFM input'!$Q$60,4),0,INDEX('RFM input'!$G$61:$Q$110,$A1094,MATCH(E$6,'RFM input'!$G$60:$Q$60,0))
-INDEX('RFM input'!$G$115:$Q$164,$A1094,MATCH(E$6,'RFM input'!$G$60:$Q$60,0))
-INDEX('RFM input'!$G$169:$Q$218,$A1094,MATCH(E$6,'RFM input'!$G$60:$Q$60,0))))</f>
        <v>0</v>
      </c>
      <c r="F1094" s="1417">
        <f>IF(LEFT(F$6,4)&lt;LEFT('RFM input'!$G$60,4),"enter input",IF(LEFT(F$6,4)&gt;LEFT('RFM input'!$Q$60,4),0,INDEX('RFM input'!$G$61:$Q$110,$A1094,MATCH(F$6,'RFM input'!$G$60:$Q$60,0))
-INDEX('RFM input'!$G$115:$Q$164,$A1094,MATCH(F$6,'RFM input'!$G$60:$Q$60,0))
-INDEX('RFM input'!$G$169:$Q$218,$A1094,MATCH(F$6,'RFM input'!$G$60:$Q$60,0))))</f>
        <v>0</v>
      </c>
      <c r="G1094" s="1417">
        <f>IF(LEFT(G$6,4)&lt;LEFT('RFM input'!$G$60,4),"enter input",IF(LEFT(G$6,4)&gt;LEFT('RFM input'!$Q$60,4),0,INDEX('RFM input'!$G$61:$Q$110,$A1094,MATCH(G$6,'RFM input'!$G$60:$Q$60,0))
-INDEX('RFM input'!$G$115:$Q$164,$A1094,MATCH(G$6,'RFM input'!$G$60:$Q$60,0))
-INDEX('RFM input'!$G$169:$Q$218,$A1094,MATCH(G$6,'RFM input'!$G$60:$Q$60,0))))</f>
        <v>0</v>
      </c>
      <c r="H1094" s="1417">
        <f>IF(LEFT(H$6,4)&lt;LEFT('RFM input'!$G$60,4),"enter input",IF(LEFT(H$6,4)&gt;LEFT('RFM input'!$Q$60,4),0,INDEX('RFM input'!$G$61:$Q$110,$A1094,MATCH(H$6,'RFM input'!$G$60:$Q$60,0))
-INDEX('RFM input'!$G$115:$Q$164,$A1094,MATCH(H$6,'RFM input'!$G$60:$Q$60,0))
-INDEX('RFM input'!$G$169:$Q$218,$A1094,MATCH(H$6,'RFM input'!$G$60:$Q$60,0))))</f>
        <v>0</v>
      </c>
      <c r="I1094" s="1417">
        <f>IF(LEFT(I$6,4)&lt;LEFT('RFM input'!$G$60,4),"enter input",IF(LEFT(I$6,4)&gt;LEFT('RFM input'!$Q$60,4),0,INDEX('RFM input'!$G$61:$Q$110,$A1094,MATCH(I$6,'RFM input'!$G$60:$Q$60,0))
-INDEX('RFM input'!$G$115:$Q$164,$A1094,MATCH(I$6,'RFM input'!$G$60:$Q$60,0))
-INDEX('RFM input'!$G$169:$Q$218,$A1094,MATCH(I$6,'RFM input'!$G$60:$Q$60,0))))</f>
        <v>0</v>
      </c>
      <c r="J1094" s="1417">
        <f>IF(LEFT(J$6,4)&lt;LEFT('RFM input'!$G$60,4),"enter input",IF(LEFT(J$6,4)&gt;LEFT('RFM input'!$Q$60,4),0,INDEX('RFM input'!$G$61:$Q$110,$A1094,MATCH(J$6,'RFM input'!$G$60:$Q$60,0))
-INDEX('RFM input'!$G$115:$Q$164,$A1094,MATCH(J$6,'RFM input'!$G$60:$Q$60,0))
-INDEX('RFM input'!$G$169:$Q$218,$A1094,MATCH(J$6,'RFM input'!$G$60:$Q$60,0))))</f>
        <v>0</v>
      </c>
      <c r="K1094" s="1417">
        <f>IF(LEFT(K$6,4)&lt;LEFT('RFM input'!$G$60,4),"enter input",IF(LEFT(K$6,4)&gt;LEFT('RFM input'!$Q$60,4),0,INDEX('RFM input'!$G$61:$Q$110,$A1094,MATCH(K$6,'RFM input'!$G$60:$Q$60,0))
-INDEX('RFM input'!$G$115:$Q$164,$A1094,MATCH(K$6,'RFM input'!$G$60:$Q$60,0))
-INDEX('RFM input'!$G$169:$Q$218,$A1094,MATCH(K$6,'RFM input'!$G$60:$Q$60,0))))</f>
        <v>0</v>
      </c>
      <c r="L1094" s="1417">
        <f>IF(LEFT(L$6,4)&lt;LEFT('RFM input'!$G$60,4),"enter input",IF(LEFT(L$6,4)&gt;LEFT('RFM input'!$Q$60,4),0,INDEX('RFM input'!$G$61:$Q$110,$A1094,MATCH(L$6,'RFM input'!$G$60:$Q$60,0))
-INDEX('RFM input'!$G$115:$Q$164,$A1094,MATCH(L$6,'RFM input'!$G$60:$Q$60,0))
-INDEX('RFM input'!$G$169:$Q$218,$A1094,MATCH(L$6,'RFM input'!$G$60:$Q$60,0))))</f>
        <v>0</v>
      </c>
      <c r="M1094" s="1417">
        <f>IF(LEFT(M$6,4)&lt;LEFT('RFM input'!$G$60,4),"enter input",IF(LEFT(M$6,4)&gt;LEFT('RFM input'!$Q$60,4),0,INDEX('RFM input'!$G$61:$Q$110,$A1094,MATCH(M$6,'RFM input'!$G$60:$Q$60,0))
-INDEX('RFM input'!$G$115:$Q$164,$A1094,MATCH(M$6,'RFM input'!$G$60:$Q$60,0))
-INDEX('RFM input'!$G$169:$Q$218,$A1094,MATCH(M$6,'RFM input'!$G$60:$Q$60,0))))</f>
        <v>0</v>
      </c>
      <c r="N1094" s="1417">
        <f>IF(LEFT(N$6,4)&lt;LEFT('RFM input'!$G$60,4),"enter input",IF(LEFT(N$6,4)&gt;LEFT('RFM input'!$Q$60,4),0,INDEX('RFM input'!$G$61:$Q$110,$A1094,MATCH(N$6,'RFM input'!$G$60:$Q$60,0))
-INDEX('RFM input'!$G$115:$Q$164,$A1094,MATCH(N$6,'RFM input'!$G$60:$Q$60,0))
-INDEX('RFM input'!$G$169:$Q$218,$A1094,MATCH(N$6,'RFM input'!$G$60:$Q$60,0))))</f>
        <v>0</v>
      </c>
      <c r="O1094" s="1417">
        <f>IF(LEFT(O$6,4)&lt;LEFT('RFM input'!$G$60,4),"enter input",IF(LEFT(O$6,4)&gt;LEFT('RFM input'!$Q$60,4),0,INDEX('RFM input'!$G$61:$Q$110,$A1094,MATCH(O$6,'RFM input'!$G$60:$Q$60,0))
-INDEX('RFM input'!$G$115:$Q$164,$A1094,MATCH(O$6,'RFM input'!$G$60:$Q$60,0))
-INDEX('RFM input'!$G$169:$Q$218,$A1094,MATCH(O$6,'RFM input'!$G$60:$Q$60,0))))</f>
        <v>0</v>
      </c>
      <c r="P1094" s="1417">
        <f>IF(LEFT(P$6,4)&lt;LEFT('RFM input'!$G$60,4),"enter input",IF(LEFT(P$6,4)&gt;LEFT('RFM input'!$Q$60,4),0,INDEX('RFM input'!$G$61:$Q$110,$A1094,MATCH(P$6,'RFM input'!$G$60:$Q$60,0))
-INDEX('RFM input'!$G$115:$Q$164,$A1094,MATCH(P$6,'RFM input'!$G$60:$Q$60,0))
-INDEX('RFM input'!$G$169:$Q$218,$A1094,MATCH(P$6,'RFM input'!$G$60:$Q$60,0))))</f>
        <v>0</v>
      </c>
      <c r="Q1094" s="1417">
        <f>IF(LEFT(Q$6,4)&lt;LEFT('RFM input'!$G$60,4),"enter input",IF(LEFT(Q$6,4)&gt;LEFT('RFM input'!$Q$60,4),0,INDEX('RFM input'!$G$61:$Q$110,$A1094,MATCH(Q$6,'RFM input'!$G$60:$Q$60,0))
-INDEX('RFM input'!$G$115:$Q$164,$A1094,MATCH(Q$6,'RFM input'!$G$60:$Q$60,0))
-INDEX('RFM input'!$G$169:$Q$218,$A1094,MATCH(Q$6,'RFM input'!$G$60:$Q$60,0))))</f>
        <v>0</v>
      </c>
      <c r="R1094" s="1417">
        <f>IF(LEFT(R$6,4)&lt;LEFT('RFM input'!$G$60,4),"enter input",IF(LEFT(R$6,4)&gt;LEFT('RFM input'!$Q$60,4),0,INDEX('RFM input'!$G$61:$Q$110,$A1094,MATCH(R$6,'RFM input'!$G$60:$Q$60,0))
-INDEX('RFM input'!$G$115:$Q$164,$A1094,MATCH(R$6,'RFM input'!$G$60:$Q$60,0))
-INDEX('RFM input'!$G$169:$Q$218,$A1094,MATCH(R$6,'RFM input'!$G$60:$Q$60,0))))</f>
        <v>0</v>
      </c>
      <c r="S1094" s="1417">
        <f>IF(LEFT(S$6,4)&lt;LEFT('RFM input'!$G$60,4),"enter input",IF(LEFT(S$6,4)&gt;LEFT('RFM input'!$Q$60,4),0,INDEX('RFM input'!$G$61:$Q$110,$A1094,MATCH(S$6,'RFM input'!$G$60:$Q$60,0))
-INDEX('RFM input'!$G$115:$Q$164,$A1094,MATCH(S$6,'RFM input'!$G$60:$Q$60,0))
-INDEX('RFM input'!$G$169:$Q$218,$A1094,MATCH(S$6,'RFM input'!$G$60:$Q$60,0))))</f>
        <v>0</v>
      </c>
      <c r="T1094" s="1417">
        <f>IF(LEFT(T$6,4)&lt;LEFT('RFM input'!$G$60,4),"enter input",IF(LEFT(T$6,4)&gt;LEFT('RFM input'!$Q$60,4),0,INDEX('RFM input'!$G$61:$Q$110,$A1094,MATCH(T$6,'RFM input'!$G$60:$Q$60,0))
-INDEX('RFM input'!$G$115:$Q$164,$A1094,MATCH(T$6,'RFM input'!$G$60:$Q$60,0))
-INDEX('RFM input'!$G$169:$Q$218,$A1094,MATCH(T$6,'RFM input'!$G$60:$Q$60,0))))</f>
        <v>0</v>
      </c>
      <c r="U1094" s="1417">
        <f>IF(LEFT(U$6,4)&lt;LEFT('RFM input'!$G$60,4),"enter input",IF(LEFT(U$6,4)&gt;LEFT('RFM input'!$Q$60,4),0,INDEX('RFM input'!$G$61:$Q$110,$A1094,MATCH(U$6,'RFM input'!$G$60:$Q$60,0))
-INDEX('RFM input'!$G$115:$Q$164,$A1094,MATCH(U$6,'RFM input'!$G$60:$Q$60,0))
-INDEX('RFM input'!$G$169:$Q$218,$A1094,MATCH(U$6,'RFM input'!$G$60:$Q$60,0))))</f>
        <v>0</v>
      </c>
      <c r="V1094" s="1417">
        <f>IF(LEFT(V$6,4)&lt;LEFT('RFM input'!$G$60,4),"enter input",IF(LEFT(V$6,4)&gt;LEFT('RFM input'!$Q$60,4),0,INDEX('RFM input'!$G$61:$Q$110,$A1094,MATCH(V$6,'RFM input'!$G$60:$Q$60,0))
-INDEX('RFM input'!$G$115:$Q$164,$A1094,MATCH(V$6,'RFM input'!$G$60:$Q$60,0))
-INDEX('RFM input'!$G$169:$Q$218,$A1094,MATCH(V$6,'RFM input'!$G$60:$Q$60,0))))</f>
        <v>0</v>
      </c>
      <c r="W1094" s="1417">
        <f>IF(LEFT(W$6,4)&lt;LEFT('RFM input'!$G$60,4),"enter input",IF(LEFT(W$6,4)&gt;LEFT('RFM input'!$Q$60,4),0,INDEX('RFM input'!$G$61:$Q$110,$A1094,MATCH(W$6,'RFM input'!$G$60:$Q$60,0))
-INDEX('RFM input'!$G$115:$Q$164,$A1094,MATCH(W$6,'RFM input'!$G$60:$Q$60,0))
-INDEX('RFM input'!$G$169:$Q$218,$A1094,MATCH(W$6,'RFM input'!$G$60:$Q$60,0))))</f>
        <v>0</v>
      </c>
      <c r="X1094" s="152"/>
      <c r="Y1094" s="152"/>
      <c r="Z1094" s="152"/>
      <c r="AA1094" s="152"/>
      <c r="AB1094" s="152"/>
    </row>
    <row r="1095" spans="1:28">
      <c r="A1095" s="152"/>
      <c r="B1095" s="152" t="s">
        <v>204</v>
      </c>
      <c r="C1095" s="1418">
        <f ca="1">IF($C$8='Capital Base roll forward'!$H$4,OFFSET('RFM input'!$J$6,'RAB remaining lives'!A1094,0),"enter input")</f>
        <v>0</v>
      </c>
      <c r="D1095" s="1417">
        <f>IF(LEFT(D$6,4)&lt;=LEFT('RFM input'!$G$60,4),"enter input",IF(LEFT(D$6,4)&gt;LEFT('RFM input'!$Q$60,4),0,IF(MATCH(D$6,'RFM input'!$H$60:$Q$60,0),INDEX('RFM input'!$K$7:$K$56,$A1094,1))))</f>
        <v>0</v>
      </c>
      <c r="E1095" s="1417">
        <f>IF(LEFT(E$6,4)&lt;=LEFT('RFM input'!$G$60,4),"enter input",IF(LEFT(E$6,4)&gt;LEFT('RFM input'!$Q$60,4),0,IF(MATCH(E$6,'RFM input'!$H$60:$Q$60,0),INDEX('RFM input'!$K$7:$K$56,$A1094,1))))</f>
        <v>0</v>
      </c>
      <c r="F1095" s="1417">
        <f>IF(LEFT(F$6,4)&lt;=LEFT('RFM input'!$G$60,4),"enter input",IF(LEFT(F$6,4)&gt;LEFT('RFM input'!$Q$60,4),0,IF(MATCH(F$6,'RFM input'!$H$60:$Q$60,0),INDEX('RFM input'!$K$7:$K$56,$A1094,1))))</f>
        <v>0</v>
      </c>
      <c r="G1095" s="1417">
        <f>IF(LEFT(G$6,4)&lt;=LEFT('RFM input'!$G$60,4),"enter input",IF(LEFT(G$6,4)&gt;LEFT('RFM input'!$Q$60,4),0,IF(MATCH(G$6,'RFM input'!$H$60:$Q$60,0),INDEX('RFM input'!$K$7:$K$56,$A1094,1))))</f>
        <v>0</v>
      </c>
      <c r="H1095" s="1417">
        <f>IF(LEFT(H$6,4)&lt;=LEFT('RFM input'!$G$60,4),"enter input",IF(LEFT(H$6,4)&gt;LEFT('RFM input'!$Q$60,4),0,IF(MATCH(H$6,'RFM input'!$H$60:$Q$60,0),INDEX('RFM input'!$K$7:$K$56,$A1094,1))))</f>
        <v>0</v>
      </c>
      <c r="I1095" s="1417">
        <f>IF(LEFT(I$6,4)&lt;=LEFT('RFM input'!$G$60,4),"enter input",IF(LEFT(I$6,4)&gt;LEFT('RFM input'!$Q$60,4),0,IF(MATCH(I$6,'RFM input'!$H$60:$Q$60,0),INDEX('RFM input'!$K$7:$K$56,$A1094,1))))</f>
        <v>0</v>
      </c>
      <c r="J1095" s="1417">
        <f>IF(LEFT(J$6,4)&lt;=LEFT('RFM input'!$G$60,4),"enter input",IF(LEFT(J$6,4)&gt;LEFT('RFM input'!$Q$60,4),0,IF(MATCH(J$6,'RFM input'!$H$60:$Q$60,0),INDEX('RFM input'!$K$7:$K$56,$A1094,1))))</f>
        <v>0</v>
      </c>
      <c r="K1095" s="1417">
        <f>IF(LEFT(K$6,4)&lt;=LEFT('RFM input'!$G$60,4),"enter input",IF(LEFT(K$6,4)&gt;LEFT('RFM input'!$Q$60,4),0,IF(MATCH(K$6,'RFM input'!$H$60:$Q$60,0),INDEX('RFM input'!$K$7:$K$56,$A1094,1))))</f>
        <v>0</v>
      </c>
      <c r="L1095" s="1417">
        <f>IF(LEFT(L$6,4)&lt;=LEFT('RFM input'!$G$60,4),"enter input",IF(LEFT(L$6,4)&gt;LEFT('RFM input'!$Q$60,4),0,IF(MATCH(L$6,'RFM input'!$H$60:$Q$60,0),INDEX('RFM input'!$K$7:$K$56,$A1094,1))))</f>
        <v>0</v>
      </c>
      <c r="M1095" s="1417">
        <f>IF(LEFT(M$6,4)&lt;=LEFT('RFM input'!$G$60,4),"enter input",IF(LEFT(M$6,4)&gt;LEFT('RFM input'!$Q$60,4),0,IF(MATCH(M$6,'RFM input'!$H$60:$Q$60,0),INDEX('RFM input'!$K$7:$K$56,$A1094,1))))</f>
        <v>0</v>
      </c>
      <c r="N1095" s="1417">
        <f>IF(LEFT(N$6,4)&lt;=LEFT('RFM input'!$G$60,4),"enter input",IF(LEFT(N$6,4)&gt;LEFT('RFM input'!$Q$60,4),0,IF(MATCH(N$6,'RFM input'!$H$60:$Q$60,0),INDEX('RFM input'!$K$7:$K$56,$A1094,1))))</f>
        <v>0</v>
      </c>
      <c r="O1095" s="1417">
        <f>IF(LEFT(O$6,4)&lt;=LEFT('RFM input'!$G$60,4),"enter input",IF(LEFT(O$6,4)&gt;LEFT('RFM input'!$Q$60,4),0,IF(MATCH(O$6,'RFM input'!$H$60:$Q$60,0),INDEX('RFM input'!$K$7:$K$56,$A1094,1))))</f>
        <v>0</v>
      </c>
      <c r="P1095" s="1417">
        <f>IF(LEFT(P$6,4)&lt;=LEFT('RFM input'!$G$60,4),"enter input",IF(LEFT(P$6,4)&gt;LEFT('RFM input'!$Q$60,4),0,IF(MATCH(P$6,'RFM input'!$H$60:$Q$60,0),INDEX('RFM input'!$K$7:$K$56,$A1094,1))))</f>
        <v>0</v>
      </c>
      <c r="Q1095" s="1417">
        <f>IF(LEFT(Q$6,4)&lt;=LEFT('RFM input'!$G$60,4),"enter input",IF(LEFT(Q$6,4)&gt;LEFT('RFM input'!$Q$60,4),0,IF(MATCH(Q$6,'RFM input'!$H$60:$Q$60,0),INDEX('RFM input'!$K$7:$K$56,$A1094,1))))</f>
        <v>0</v>
      </c>
      <c r="R1095" s="1417">
        <f>IF(LEFT(R$6,4)&lt;=LEFT('RFM input'!$G$60,4),"enter input",IF(LEFT(R$6,4)&gt;LEFT('RFM input'!$Q$60,4),0,IF(MATCH(R$6,'RFM input'!$H$60:$Q$60,0),INDEX('RFM input'!$K$7:$K$56,$A1094,1))))</f>
        <v>0</v>
      </c>
      <c r="S1095" s="1417">
        <f>IF(LEFT(S$6,4)&lt;=LEFT('RFM input'!$G$60,4),"enter input",IF(LEFT(S$6,4)&gt;LEFT('RFM input'!$Q$60,4),0,IF(MATCH(S$6,'RFM input'!$H$60:$Q$60,0),INDEX('RFM input'!$K$7:$K$56,$A1094,1))))</f>
        <v>0</v>
      </c>
      <c r="T1095" s="1417">
        <f>IF(LEFT(T$6,4)&lt;=LEFT('RFM input'!$G$60,4),"enter input",IF(LEFT(T$6,4)&gt;LEFT('RFM input'!$Q$60,4),0,IF(MATCH(T$6,'RFM input'!$H$60:$Q$60,0),INDEX('RFM input'!$K$7:$K$56,$A1094,1))))</f>
        <v>0</v>
      </c>
      <c r="U1095" s="1417">
        <f>IF(LEFT(U$6,4)&lt;=LEFT('RFM input'!$G$60,4),"enter input",IF(LEFT(U$6,4)&gt;LEFT('RFM input'!$Q$60,4),0,IF(MATCH(U$6,'RFM input'!$H$60:$Q$60,0),INDEX('RFM input'!$K$7:$K$56,$A1094,1))))</f>
        <v>0</v>
      </c>
      <c r="V1095" s="1417">
        <f>IF(LEFT(V$6,4)&lt;=LEFT('RFM input'!$G$60,4),"enter input",IF(LEFT(V$6,4)&gt;LEFT('RFM input'!$Q$60,4),0,IF(MATCH(V$6,'RFM input'!$H$60:$Q$60,0),INDEX('RFM input'!$K$7:$K$56,$A1094,1))))</f>
        <v>0</v>
      </c>
      <c r="W1095" s="1417">
        <f>IF(LEFT(W$6,4)&lt;=LEFT('RFM input'!$G$60,4),"enter input",IF(LEFT(W$6,4)&gt;LEFT('RFM input'!$Q$60,4),0,IF(MATCH(W$6,'RFM input'!$H$60:$Q$60,0),INDEX('RFM input'!$K$7:$K$56,$A1094,1))))</f>
        <v>0</v>
      </c>
      <c r="X1095" s="152"/>
      <c r="Y1095" s="152"/>
      <c r="Z1095" s="152"/>
      <c r="AA1095" s="152"/>
      <c r="AB1095" s="152"/>
    </row>
    <row r="1096" spans="1:28">
      <c r="A1096" s="152"/>
      <c r="B1096" s="177" t="s">
        <v>191</v>
      </c>
      <c r="C1096" s="1419"/>
      <c r="D1096" s="1420">
        <f ca="1">IF(LEFT(D$6,4)&lt;=LEFT('RFM input'!$G$60,4),"enter input",IF(LEFT(D$6,4)&gt;LEFT('RFM input'!$Q$60,4),0,IF(D$6=(OFFSET('RFM input'!$G$60,0,'RFM input'!$V$7)),OFFSET('RFM input'!$G$411,$A1094,0),0)))</f>
        <v>0</v>
      </c>
      <c r="E1096" s="1417">
        <f ca="1">IF(LEFT(E$6,4)&lt;=LEFT('RFM input'!$G$60,4),"enter input",IF(LEFT(E$6,4)&gt;LEFT('RFM input'!$Q$60,4),0,IF(E$6=(OFFSET('RFM input'!$G$60,0,'RFM input'!$V$7)),OFFSET('RFM input'!$G$411,$A1094,0),0)))</f>
        <v>0</v>
      </c>
      <c r="F1096" s="1417">
        <f ca="1">IF(LEFT(F$6,4)&lt;=LEFT('RFM input'!$G$60,4),"enter input",IF(LEFT(F$6,4)&gt;LEFT('RFM input'!$Q$60,4),0,IF(F$6=(OFFSET('RFM input'!$G$60,0,'RFM input'!$V$7)),OFFSET('RFM input'!$G$411,$A1094,0),0)))</f>
        <v>0</v>
      </c>
      <c r="G1096" s="1417">
        <f ca="1">IF(LEFT(G$6,4)&lt;=LEFT('RFM input'!$G$60,4),"enter input",IF(LEFT(G$6,4)&gt;LEFT('RFM input'!$Q$60,4),0,IF(G$6=(OFFSET('RFM input'!$G$60,0,'RFM input'!$V$7)),OFFSET('RFM input'!$G$411,$A1094,0),0)))</f>
        <v>0</v>
      </c>
      <c r="H1096" s="1417">
        <f ca="1">IF(LEFT(H$6,4)&lt;=LEFT('RFM input'!$G$60,4),"enter input",IF(LEFT(H$6,4)&gt;LEFT('RFM input'!$Q$60,4),0,IF(H$6=(OFFSET('RFM input'!$G$60,0,'RFM input'!$V$7)),OFFSET('RFM input'!$G$411,$A1094,0),0)))</f>
        <v>0</v>
      </c>
      <c r="I1096" s="1417">
        <f ca="1">IF(LEFT(I$6,4)&lt;=LEFT('RFM input'!$G$60,4),"enter input",IF(LEFT(I$6,4)&gt;LEFT('RFM input'!$Q$60,4),0,IF(I$6=(OFFSET('RFM input'!$G$60,0,'RFM input'!$V$7)),OFFSET('RFM input'!$G$411,$A1094,0),0)))</f>
        <v>0</v>
      </c>
      <c r="J1096" s="1417">
        <f ca="1">IF(LEFT(J$6,4)&lt;=LEFT('RFM input'!$G$60,4),"enter input",IF(LEFT(J$6,4)&gt;LEFT('RFM input'!$Q$60,4),0,IF(J$6=(OFFSET('RFM input'!$G$60,0,'RFM input'!$V$7)),OFFSET('RFM input'!$G$411,$A1094,0),0)))</f>
        <v>0</v>
      </c>
      <c r="K1096" s="1417">
        <f ca="1">IF(LEFT(K$6,4)&lt;=LEFT('RFM input'!$G$60,4),"enter input",IF(LEFT(K$6,4)&gt;LEFT('RFM input'!$Q$60,4),0,IF(K$6=(OFFSET('RFM input'!$G$60,0,'RFM input'!$V$7)),OFFSET('RFM input'!$G$411,$A1094,0),0)))</f>
        <v>0</v>
      </c>
      <c r="L1096" s="1417">
        <f ca="1">IF(LEFT(L$6,4)&lt;=LEFT('RFM input'!$G$60,4),"enter input",IF(LEFT(L$6,4)&gt;LEFT('RFM input'!$Q$60,4),0,IF(L$6=(OFFSET('RFM input'!$G$60,0,'RFM input'!$V$7)),OFFSET('RFM input'!$G$411,$A1094,0),0)))</f>
        <v>0</v>
      </c>
      <c r="M1096" s="1417">
        <f ca="1">IF(LEFT(M$6,4)&lt;=LEFT('RFM input'!$G$60,4),"enter input",IF(LEFT(M$6,4)&gt;LEFT('RFM input'!$Q$60,4),0,IF(M$6=(OFFSET('RFM input'!$G$60,0,'RFM input'!$V$7)),OFFSET('RFM input'!$G$411,$A1094,0),0)))</f>
        <v>0</v>
      </c>
      <c r="N1096" s="1417">
        <f ca="1">IF(LEFT(N$6,4)&lt;=LEFT('RFM input'!$G$60,4),"enter input",IF(LEFT(N$6,4)&gt;LEFT('RFM input'!$Q$60,4),0,IF(N$6=(OFFSET('RFM input'!$G$60,0,'RFM input'!$V$7)),OFFSET('RFM input'!$G$411,$A1094,0),0)))</f>
        <v>0</v>
      </c>
      <c r="O1096" s="1417">
        <f ca="1">IF(LEFT(O$6,4)&lt;=LEFT('RFM input'!$G$60,4),"enter input",IF(LEFT(O$6,4)&gt;LEFT('RFM input'!$Q$60,4),0,IF(O$6=(OFFSET('RFM input'!$G$60,0,'RFM input'!$V$7)),OFFSET('RFM input'!$G$411,$A1094,0),0)))</f>
        <v>0</v>
      </c>
      <c r="P1096" s="1417">
        <f ca="1">IF(LEFT(P$6,4)&lt;=LEFT('RFM input'!$G$60,4),"enter input",IF(LEFT(P$6,4)&gt;LEFT('RFM input'!$Q$60,4),0,IF(P$6=(OFFSET('RFM input'!$G$60,0,'RFM input'!$V$7)),OFFSET('RFM input'!$G$411,$A1094,0),0)))</f>
        <v>0</v>
      </c>
      <c r="Q1096" s="1417">
        <f ca="1">IF(LEFT(Q$6,4)&lt;=LEFT('RFM input'!$G$60,4),"enter input",IF(LEFT(Q$6,4)&gt;LEFT('RFM input'!$Q$60,4),0,IF(Q$6=(OFFSET('RFM input'!$G$60,0,'RFM input'!$V$7)),OFFSET('RFM input'!$G$411,$A1094,0),0)))</f>
        <v>0</v>
      </c>
      <c r="R1096" s="1417">
        <f ca="1">IF(LEFT(R$6,4)&lt;=LEFT('RFM input'!$G$60,4),"enter input",IF(LEFT(R$6,4)&gt;LEFT('RFM input'!$Q$60,4),0,IF(R$6=(OFFSET('RFM input'!$G$60,0,'RFM input'!$V$7)),OFFSET('RFM input'!$G$411,$A1094,0),0)))</f>
        <v>0</v>
      </c>
      <c r="S1096" s="1417">
        <f ca="1">IF(LEFT(S$6,4)&lt;=LEFT('RFM input'!$G$60,4),"enter input",IF(LEFT(S$6,4)&gt;LEFT('RFM input'!$Q$60,4),0,IF(S$6=(OFFSET('RFM input'!$G$60,0,'RFM input'!$V$7)),OFFSET('RFM input'!$G$411,$A1094,0),0)))</f>
        <v>0</v>
      </c>
      <c r="T1096" s="1417">
        <f ca="1">IF(LEFT(T$6,4)&lt;=LEFT('RFM input'!$G$60,4),"enter input",IF(LEFT(T$6,4)&gt;LEFT('RFM input'!$Q$60,4),0,IF(T$6=(OFFSET('RFM input'!$G$60,0,'RFM input'!$V$7)),OFFSET('RFM input'!$G$411,$A1094,0),0)))</f>
        <v>0</v>
      </c>
      <c r="U1096" s="1417">
        <f ca="1">IF(LEFT(U$6,4)&lt;=LEFT('RFM input'!$G$60,4),"enter input",IF(LEFT(U$6,4)&gt;LEFT('RFM input'!$Q$60,4),0,IF(U$6=(OFFSET('RFM input'!$G$60,0,'RFM input'!$V$7)),OFFSET('RFM input'!$G$411,$A1094,0),0)))</f>
        <v>0</v>
      </c>
      <c r="V1096" s="1417">
        <f ca="1">IF(LEFT(V$6,4)&lt;=LEFT('RFM input'!$G$60,4),"enter input",IF(LEFT(V$6,4)&gt;LEFT('RFM input'!$Q$60,4),0,IF(V$6=(OFFSET('RFM input'!$G$60,0,'RFM input'!$V$7)),OFFSET('RFM input'!$G$411,$A1094,0),0)))</f>
        <v>0</v>
      </c>
      <c r="W1096" s="1417">
        <f ca="1">IF(LEFT(W$6,4)&lt;=LEFT('RFM input'!$G$60,4),"enter input",IF(LEFT(W$6,4)&gt;LEFT('RFM input'!$Q$60,4),0,IF(W$6=(OFFSET('RFM input'!$G$60,0,'RFM input'!$V$7)),OFFSET('RFM input'!$G$411,$A1094,0),0)))</f>
        <v>0</v>
      </c>
      <c r="X1096" s="152"/>
      <c r="Y1096" s="152"/>
      <c r="Z1096" s="152"/>
      <c r="AA1096" s="152"/>
      <c r="AB1096" s="152"/>
    </row>
    <row r="1097" spans="1:28">
      <c r="A1097" s="152"/>
      <c r="B1097" s="195" t="s">
        <v>197</v>
      </c>
      <c r="C1097" s="1419"/>
      <c r="D1097" s="1418">
        <f ca="1">IF(LEFT(D$6,4)&lt;=LEFT('RFM input'!$G$60,4),"enter input",IF(LEFT(D$6,4)&gt;LEFT('RFM input'!$Q$60,4),0,IF(D$6=(OFFSET('RFM input'!$G$60,0,'RFM input'!$V$7)),OFFSET('RFM input'!$I$411,$A1094,0),0)))</f>
        <v>0</v>
      </c>
      <c r="E1097" s="1422">
        <f ca="1">IF(LEFT(E$6,4)&lt;=LEFT('RFM input'!$G$60,4),"enter input",IF(LEFT(E$6,4)&gt;LEFT('RFM input'!$Q$60,4),0,IF(E$6=(OFFSET('RFM input'!$G$60,0,'RFM input'!$V$7)),OFFSET('RFM input'!$I$411,$A1094,0),0)))</f>
        <v>0</v>
      </c>
      <c r="F1097" s="1422">
        <f ca="1">IF(LEFT(F$6,4)&lt;=LEFT('RFM input'!$G$60,4),"enter input",IF(LEFT(F$6,4)&gt;LEFT('RFM input'!$Q$60,4),0,IF(F$6=(OFFSET('RFM input'!$G$60,0,'RFM input'!$V$7)),OFFSET('RFM input'!$I$411,$A1094,0),0)))</f>
        <v>0</v>
      </c>
      <c r="G1097" s="1422">
        <f ca="1">IF(LEFT(G$6,4)&lt;=LEFT('RFM input'!$G$60,4),"enter input",IF(LEFT(G$6,4)&gt;LEFT('RFM input'!$Q$60,4),0,IF(G$6=(OFFSET('RFM input'!$G$60,0,'RFM input'!$V$7)),OFFSET('RFM input'!$I$411,$A1094,0),0)))</f>
        <v>0</v>
      </c>
      <c r="H1097" s="1422">
        <f ca="1">IF(LEFT(H$6,4)&lt;=LEFT('RFM input'!$G$60,4),"enter input",IF(LEFT(H$6,4)&gt;LEFT('RFM input'!$Q$60,4),0,IF(H$6=(OFFSET('RFM input'!$G$60,0,'RFM input'!$V$7)),OFFSET('RFM input'!$I$411,$A1094,0),0)))</f>
        <v>0</v>
      </c>
      <c r="I1097" s="1422">
        <f ca="1">IF(LEFT(I$6,4)&lt;=LEFT('RFM input'!$G$60,4),"enter input",IF(LEFT(I$6,4)&gt;LEFT('RFM input'!$Q$60,4),0,IF(I$6=(OFFSET('RFM input'!$G$60,0,'RFM input'!$V$7)),OFFSET('RFM input'!$I$411,$A1094,0),0)))</f>
        <v>0</v>
      </c>
      <c r="J1097" s="1422">
        <f ca="1">IF(LEFT(J$6,4)&lt;=LEFT('RFM input'!$G$60,4),"enter input",IF(LEFT(J$6,4)&gt;LEFT('RFM input'!$Q$60,4),0,IF(J$6=(OFFSET('RFM input'!$G$60,0,'RFM input'!$V$7)),OFFSET('RFM input'!$I$411,$A1094,0),0)))</f>
        <v>0</v>
      </c>
      <c r="K1097" s="1422">
        <f ca="1">IF(LEFT(K$6,4)&lt;=LEFT('RFM input'!$G$60,4),"enter input",IF(LEFT(K$6,4)&gt;LEFT('RFM input'!$Q$60,4),0,IF(K$6=(OFFSET('RFM input'!$G$60,0,'RFM input'!$V$7)),OFFSET('RFM input'!$I$411,$A1094,0),0)))</f>
        <v>0</v>
      </c>
      <c r="L1097" s="1422">
        <f ca="1">IF(LEFT(L$6,4)&lt;=LEFT('RFM input'!$G$60,4),"enter input",IF(LEFT(L$6,4)&gt;LEFT('RFM input'!$Q$60,4),0,IF(L$6=(OFFSET('RFM input'!$G$60,0,'RFM input'!$V$7)),OFFSET('RFM input'!$I$411,$A1094,0),0)))</f>
        <v>0</v>
      </c>
      <c r="M1097" s="1422">
        <f ca="1">IF(LEFT(M$6,4)&lt;=LEFT('RFM input'!$G$60,4),"enter input",IF(LEFT(M$6,4)&gt;LEFT('RFM input'!$Q$60,4),0,IF(M$6=(OFFSET('RFM input'!$G$60,0,'RFM input'!$V$7)),OFFSET('RFM input'!$I$411,$A1094,0),0)))</f>
        <v>0</v>
      </c>
      <c r="N1097" s="1422">
        <f ca="1">IF(LEFT(N$6,4)&lt;=LEFT('RFM input'!$G$60,4),"enter input",IF(LEFT(N$6,4)&gt;LEFT('RFM input'!$Q$60,4),0,IF(N$6=(OFFSET('RFM input'!$G$60,0,'RFM input'!$V$7)),OFFSET('RFM input'!$I$411,$A1094,0),0)))</f>
        <v>0</v>
      </c>
      <c r="O1097" s="1422">
        <f ca="1">IF(LEFT(O$6,4)&lt;=LEFT('RFM input'!$G$60,4),"enter input",IF(LEFT(O$6,4)&gt;LEFT('RFM input'!$Q$60,4),0,IF(O$6=(OFFSET('RFM input'!$G$60,0,'RFM input'!$V$7)),OFFSET('RFM input'!$I$411,$A1094,0),0)))</f>
        <v>0</v>
      </c>
      <c r="P1097" s="1422">
        <f ca="1">IF(LEFT(P$6,4)&lt;=LEFT('RFM input'!$G$60,4),"enter input",IF(LEFT(P$6,4)&gt;LEFT('RFM input'!$Q$60,4),0,IF(P$6=(OFFSET('RFM input'!$G$60,0,'RFM input'!$V$7)),OFFSET('RFM input'!$I$411,$A1094,0),0)))</f>
        <v>0</v>
      </c>
      <c r="Q1097" s="1422">
        <f ca="1">IF(LEFT(Q$6,4)&lt;=LEFT('RFM input'!$G$60,4),"enter input",IF(LEFT(Q$6,4)&gt;LEFT('RFM input'!$Q$60,4),0,IF(Q$6=(OFFSET('RFM input'!$G$60,0,'RFM input'!$V$7)),OFFSET('RFM input'!$I$411,$A1094,0),0)))</f>
        <v>0</v>
      </c>
      <c r="R1097" s="1422">
        <f ca="1">IF(LEFT(R$6,4)&lt;=LEFT('RFM input'!$G$60,4),"enter input",IF(LEFT(R$6,4)&gt;LEFT('RFM input'!$Q$60,4),0,IF(R$6=(OFFSET('RFM input'!$G$60,0,'RFM input'!$V$7)),OFFSET('RFM input'!$I$411,$A1094,0),0)))</f>
        <v>0</v>
      </c>
      <c r="S1097" s="1422">
        <f ca="1">IF(LEFT(S$6,4)&lt;=LEFT('RFM input'!$G$60,4),"enter input",IF(LEFT(S$6,4)&gt;LEFT('RFM input'!$Q$60,4),0,IF(S$6=(OFFSET('RFM input'!$G$60,0,'RFM input'!$V$7)),OFFSET('RFM input'!$I$411,$A1094,0),0)))</f>
        <v>0</v>
      </c>
      <c r="T1097" s="1422">
        <f ca="1">IF(LEFT(T$6,4)&lt;=LEFT('RFM input'!$G$60,4),"enter input",IF(LEFT(T$6,4)&gt;LEFT('RFM input'!$Q$60,4),0,IF(T$6=(OFFSET('RFM input'!$G$60,0,'RFM input'!$V$7)),OFFSET('RFM input'!$I$411,$A1094,0),0)))</f>
        <v>0</v>
      </c>
      <c r="U1097" s="1422">
        <f ca="1">IF(LEFT(U$6,4)&lt;=LEFT('RFM input'!$G$60,4),"enter input",IF(LEFT(U$6,4)&gt;LEFT('RFM input'!$Q$60,4),0,IF(U$6=(OFFSET('RFM input'!$G$60,0,'RFM input'!$V$7)),OFFSET('RFM input'!$I$411,$A1094,0),0)))</f>
        <v>0</v>
      </c>
      <c r="V1097" s="1422">
        <f ca="1">IF(LEFT(V$6,4)&lt;=LEFT('RFM input'!$G$60,4),"enter input",IF(LEFT(V$6,4)&gt;LEFT('RFM input'!$Q$60,4),0,IF(V$6=(OFFSET('RFM input'!$G$60,0,'RFM input'!$V$7)),OFFSET('RFM input'!$I$411,$A1094,0),0)))</f>
        <v>0</v>
      </c>
      <c r="W1097" s="1422">
        <f ca="1">IF(LEFT(W$6,4)&lt;=LEFT('RFM input'!$G$60,4),"enter input",IF(LEFT(W$6,4)&gt;LEFT('RFM input'!$Q$60,4),0,IF(W$6=(OFFSET('RFM input'!$G$60,0,'RFM input'!$V$7)),OFFSET('RFM input'!$I$411,$A1094,0),0)))</f>
        <v>0</v>
      </c>
      <c r="X1097" s="152"/>
      <c r="Y1097" s="152"/>
      <c r="Z1097" s="152"/>
      <c r="AA1097" s="152"/>
      <c r="AB1097" s="152"/>
    </row>
    <row r="1098" spans="1:28" hidden="1" outlineLevel="1">
      <c r="A1098" s="235">
        <v>-1</v>
      </c>
      <c r="B1098" s="190" t="s">
        <v>189</v>
      </c>
      <c r="C1098" s="1423"/>
      <c r="D1098" s="1423">
        <f ca="1">IF(AND(D1096=0,C1098=0),0,
IF(AND(D1096&lt;&gt;0,C1098=0),(D1096/D$10),
IF(AND(D1097&lt;&gt;0,C1098&lt;&gt;0),(C1098-(C1098/C1122))+(D1096/D$10),
IF(C1122&lt;1,0,(C1098-(C1098/C1122))))))</f>
        <v>0</v>
      </c>
      <c r="E1098" s="1423">
        <f t="shared" ref="E1098" ca="1" si="1585">IF(AND(E1096=0,D1098=0),0,
IF(AND(E1096&lt;&gt;0,D1098=0),(E1096/E$10),
IF(AND(E1097&lt;&gt;0,D1098&lt;&gt;0),(D1098-(D1098/D1122))+(E1096/E$10),
IF(D1122&lt;1,0,(D1098-(D1098/D1122))))))</f>
        <v>0</v>
      </c>
      <c r="F1098" s="1423">
        <f t="shared" ref="F1098" ca="1" si="1586">IF(AND(F1096=0,E1098=0),0,
IF(AND(F1096&lt;&gt;0,E1098=0),(F1096/F$10),
IF(AND(F1097&lt;&gt;0,E1098&lt;&gt;0),(E1098-(E1098/E1122))+(F1096/F$10),
IF(E1122&lt;1,0,(E1098-(E1098/E1122))))))</f>
        <v>0</v>
      </c>
      <c r="G1098" s="1423">
        <f t="shared" ref="G1098" ca="1" si="1587">IF(AND(G1096=0,F1098=0),0,
IF(AND(G1096&lt;&gt;0,F1098=0),(G1096/G$10),
IF(AND(G1097&lt;&gt;0,F1098&lt;&gt;0),(F1098-(F1098/F1122))+(G1096/G$10),
IF(F1122&lt;1,0,(F1098-(F1098/F1122))))))</f>
        <v>0</v>
      </c>
      <c r="H1098" s="1423">
        <f t="shared" ref="H1098" ca="1" si="1588">IF(AND(H1096=0,G1098=0),0,
IF(AND(H1096&lt;&gt;0,G1098=0),(H1096/H$10),
IF(AND(H1097&lt;&gt;0,G1098&lt;&gt;0),(G1098-(G1098/G1122))+(H1096/H$10),
IF(G1122&lt;1,0,(G1098-(G1098/G1122))))))</f>
        <v>0</v>
      </c>
      <c r="I1098" s="1423">
        <f t="shared" ref="I1098" ca="1" si="1589">IF(AND(I1096=0,H1098=0),0,
IF(AND(I1096&lt;&gt;0,H1098=0),(I1096/I$10),
IF(AND(I1097&lt;&gt;0,H1098&lt;&gt;0),(H1098-(H1098/H1122))+(I1096/I$10),
IF(H1122&lt;1,0,(H1098-(H1098/H1122))))))</f>
        <v>0</v>
      </c>
      <c r="J1098" s="1423">
        <f t="shared" ref="J1098" ca="1" si="1590">IF(AND(J1096=0,I1098=0),0,
IF(AND(J1096&lt;&gt;0,I1098=0),(J1096/J$10),
IF(AND(J1097&lt;&gt;0,I1098&lt;&gt;0),(I1098-(I1098/I1122))+(J1096/J$10),
IF(I1122&lt;1,0,(I1098-(I1098/I1122))))))</f>
        <v>0</v>
      </c>
      <c r="K1098" s="1423">
        <f t="shared" ref="K1098" ca="1" si="1591">IF(AND(K1096=0,J1098=0),0,
IF(AND(K1096&lt;&gt;0,J1098=0),(K1096/K$10),
IF(AND(K1097&lt;&gt;0,J1098&lt;&gt;0),(J1098-(J1098/J1122))+(K1096/K$10),
IF(J1122&lt;1,0,(J1098-(J1098/J1122))))))</f>
        <v>0</v>
      </c>
      <c r="L1098" s="1423">
        <f t="shared" ref="L1098" ca="1" si="1592">IF(AND(L1096=0,K1098=0),0,
IF(AND(L1096&lt;&gt;0,K1098=0),(L1096/L$10),
IF(AND(L1097&lt;&gt;0,K1098&lt;&gt;0),(K1098-(K1098/K1122))+(L1096/L$10),
IF(K1122&lt;1,0,(K1098-(K1098/K1122))))))</f>
        <v>0</v>
      </c>
      <c r="M1098" s="1423">
        <f t="shared" ref="M1098" ca="1" si="1593">IF(AND(M1096=0,L1098=0),0,
IF(AND(M1096&lt;&gt;0,L1098=0),(M1096/M$10),
IF(AND(M1097&lt;&gt;0,L1098&lt;&gt;0),(L1098-(L1098/L1122))+(M1096/M$10),
IF(L1122&lt;1,0,(L1098-(L1098/L1122))))))</f>
        <v>0</v>
      </c>
      <c r="N1098" s="1423">
        <f t="shared" ref="N1098" ca="1" si="1594">IF(AND(N1096=0,M1098=0),0,
IF(AND(N1096&lt;&gt;0,M1098=0),(N1096/N$10),
IF(AND(N1097&lt;&gt;0,M1098&lt;&gt;0),(M1098-(M1098/M1122))+(N1096/N$10),
IF(M1122&lt;1,0,(M1098-(M1098/M1122))))))</f>
        <v>0</v>
      </c>
      <c r="O1098" s="1423">
        <f t="shared" ref="O1098" ca="1" si="1595">IF(AND(O1096=0,N1098=0),0,
IF(AND(O1096&lt;&gt;0,N1098=0),(O1096/O$10),
IF(AND(O1097&lt;&gt;0,N1098&lt;&gt;0),(N1098-(N1098/N1122))+(O1096/O$10),
IF(N1122&lt;1,0,(N1098-(N1098/N1122))))))</f>
        <v>0</v>
      </c>
      <c r="P1098" s="1423">
        <f t="shared" ref="P1098" ca="1" si="1596">IF(AND(P1096=0,O1098=0),0,
IF(AND(P1096&lt;&gt;0,O1098=0),(P1096/P$10),
IF(AND(P1097&lt;&gt;0,O1098&lt;&gt;0),(O1098-(O1098/O1122))+(P1096/P$10),
IF(O1122&lt;1,0,(O1098-(O1098/O1122))))))</f>
        <v>0</v>
      </c>
      <c r="Q1098" s="1423">
        <f t="shared" ref="Q1098" ca="1" si="1597">IF(AND(Q1096=0,P1098=0),0,
IF(AND(Q1096&lt;&gt;0,P1098=0),(Q1096/Q$10),
IF(AND(Q1097&lt;&gt;0,P1098&lt;&gt;0),(P1098-(P1098/P1122))+(Q1096/Q$10),
IF(P1122&lt;1,0,(P1098-(P1098/P1122))))))</f>
        <v>0</v>
      </c>
      <c r="R1098" s="1423">
        <f t="shared" ref="R1098" ca="1" si="1598">IF(AND(R1096=0,Q1098=0),0,
IF(AND(R1096&lt;&gt;0,Q1098=0),(R1096/R$10),
IF(AND(R1097&lt;&gt;0,Q1098&lt;&gt;0),(Q1098-(Q1098/Q1122))+(R1096/R$10),
IF(Q1122&lt;1,0,(Q1098-(Q1098/Q1122))))))</f>
        <v>0</v>
      </c>
      <c r="S1098" s="1423">
        <f t="shared" ref="S1098" ca="1" si="1599">IF(AND(S1096=0,R1098=0),0,
IF(AND(S1096&lt;&gt;0,R1098=0),(S1096/S$10),
IF(AND(S1097&lt;&gt;0,R1098&lt;&gt;0),(R1098-(R1098/R1122))+(S1096/S$10),
IF(R1122&lt;1,0,(R1098-(R1098/R1122))))))</f>
        <v>0</v>
      </c>
      <c r="T1098" s="1423">
        <f t="shared" ref="T1098" ca="1" si="1600">IF(AND(T1096=0,S1098=0),0,
IF(AND(T1096&lt;&gt;0,S1098=0),(T1096/T$10),
IF(AND(T1097&lt;&gt;0,S1098&lt;&gt;0),(S1098-(S1098/S1122))+(T1096/T$10),
IF(S1122&lt;1,0,(S1098-(S1098/S1122))))))</f>
        <v>0</v>
      </c>
      <c r="U1098" s="1423">
        <f t="shared" ref="U1098" ca="1" si="1601">IF(AND(U1096=0,T1098=0),0,
IF(AND(U1096&lt;&gt;0,T1098=0),(U1096/U$10),
IF(AND(U1097&lt;&gt;0,T1098&lt;&gt;0),(T1098-(T1098/T1122))+(U1096/U$10),
IF(T1122&lt;1,0,(T1098-(T1098/T1122))))))</f>
        <v>0</v>
      </c>
      <c r="V1098" s="1423">
        <f t="shared" ref="V1098" ca="1" si="1602">IF(AND(V1096=0,U1098=0),0,
IF(AND(V1096&lt;&gt;0,U1098=0),(V1096/V$10),
IF(AND(V1097&lt;&gt;0,U1098&lt;&gt;0),(U1098-(U1098/U1122))+(V1096/V$10),
IF(U1122&lt;1,0,(U1098-(U1098/U1122))))))</f>
        <v>0</v>
      </c>
      <c r="W1098" s="1423">
        <f t="shared" ref="W1098" ca="1" si="1603">IF(AND(W1096=0,V1098=0),0,
IF(AND(W1096&lt;&gt;0,V1098=0),(W1096/W$10),
IF(AND(W1097&lt;&gt;0,V1098&lt;&gt;0),(V1098-(V1098/V1122))+(W1096/W$10),
IF(V1122&lt;1,0,(V1098-(V1098/V1122))))))</f>
        <v>0</v>
      </c>
      <c r="X1098" s="152"/>
      <c r="Y1098" s="152"/>
      <c r="Z1098" s="152"/>
      <c r="AA1098" s="152"/>
      <c r="AB1098" s="152"/>
    </row>
    <row r="1099" spans="1:28" hidden="1" outlineLevel="1">
      <c r="A1099" s="199">
        <f>A1098+1</f>
        <v>0</v>
      </c>
      <c r="B1099" s="190" t="s">
        <v>125</v>
      </c>
      <c r="C1099" s="1423">
        <f ca="1">C1094/C$10</f>
        <v>0</v>
      </c>
      <c r="D1099" s="1423">
        <f ca="1">IF(C1123="n/a",C1099,IFERROR(IF((OFFSET($C1099,0,$A1099))&lt;0,
MIN(0,C1099-(OFFSET($C1099,0,$A1099)/(OFFSET($C1094,-$A1098,$A1099)))),
MAX(0,C1099-(OFFSET($C1099,0,$A1099)/(OFFSET($C1094,-$A1098,$A1099))))),0))</f>
        <v>0</v>
      </c>
      <c r="E1099" s="1423">
        <f t="shared" ref="E1099" ca="1" si="1604">IF(D1123="n/a",D1099,IFERROR(IF((OFFSET($C1099,0,$A1099))&lt;0,
MIN(0,D1099-(OFFSET($C1099,0,$A1099)/(OFFSET($C1094,-$A1098,$A1099)))),
MAX(0,D1099-(OFFSET($C1099,0,$A1099)/(OFFSET($C1094,-$A1098,$A1099))))),0))</f>
        <v>0</v>
      </c>
      <c r="F1099" s="1423">
        <f t="shared" ref="F1099:F1100" ca="1" si="1605">IF(E1123="n/a",E1099,IFERROR(IF((OFFSET($C1099,0,$A1099))&lt;0,
MIN(0,E1099-(OFFSET($C1099,0,$A1099)/(OFFSET($C1094,-$A1098,$A1099)))),
MAX(0,E1099-(OFFSET($C1099,0,$A1099)/(OFFSET($C1094,-$A1098,$A1099))))),0))</f>
        <v>0</v>
      </c>
      <c r="G1099" s="1423">
        <f t="shared" ref="G1099:G1101" ca="1" si="1606">IF(F1123="n/a",F1099,IFERROR(IF((OFFSET($C1099,0,$A1099))&lt;0,
MIN(0,F1099-(OFFSET($C1099,0,$A1099)/(OFFSET($C1094,-$A1098,$A1099)))),
MAX(0,F1099-(OFFSET($C1099,0,$A1099)/(OFFSET($C1094,-$A1098,$A1099))))),0))</f>
        <v>0</v>
      </c>
      <c r="H1099" s="1423">
        <f t="shared" ref="H1099:H1102" ca="1" si="1607">IF(G1123="n/a",G1099,IFERROR(IF((OFFSET($C1099,0,$A1099))&lt;0,
MIN(0,G1099-(OFFSET($C1099,0,$A1099)/(OFFSET($C1094,-$A1098,$A1099)))),
MAX(0,G1099-(OFFSET($C1099,0,$A1099)/(OFFSET($C1094,-$A1098,$A1099))))),0))</f>
        <v>0</v>
      </c>
      <c r="I1099" s="1423">
        <f t="shared" ref="I1099:I1103" ca="1" si="1608">IF(H1123="n/a",H1099,IFERROR(IF((OFFSET($C1099,0,$A1099))&lt;0,
MIN(0,H1099-(OFFSET($C1099,0,$A1099)/(OFFSET($C1094,-$A1098,$A1099)))),
MAX(0,H1099-(OFFSET($C1099,0,$A1099)/(OFFSET($C1094,-$A1098,$A1099))))),0))</f>
        <v>0</v>
      </c>
      <c r="J1099" s="1423">
        <f t="shared" ref="J1099:J1104" ca="1" si="1609">IF(I1123="n/a",I1099,IFERROR(IF((OFFSET($C1099,0,$A1099))&lt;0,
MIN(0,I1099-(OFFSET($C1099,0,$A1099)/(OFFSET($C1094,-$A1098,$A1099)))),
MAX(0,I1099-(OFFSET($C1099,0,$A1099)/(OFFSET($C1094,-$A1098,$A1099))))),0))</f>
        <v>0</v>
      </c>
      <c r="K1099" s="1423">
        <f t="shared" ref="K1099:K1105" ca="1" si="1610">IF(J1123="n/a",J1099,IFERROR(IF((OFFSET($C1099,0,$A1099))&lt;0,
MIN(0,J1099-(OFFSET($C1099,0,$A1099)/(OFFSET($C1094,-$A1098,$A1099)))),
MAX(0,J1099-(OFFSET($C1099,0,$A1099)/(OFFSET($C1094,-$A1098,$A1099))))),0))</f>
        <v>0</v>
      </c>
      <c r="L1099" s="1423">
        <f t="shared" ref="L1099:L1106" ca="1" si="1611">IF(K1123="n/a",K1099,IFERROR(IF((OFFSET($C1099,0,$A1099))&lt;0,
MIN(0,K1099-(OFFSET($C1099,0,$A1099)/(OFFSET($C1094,-$A1098,$A1099)))),
MAX(0,K1099-(OFFSET($C1099,0,$A1099)/(OFFSET($C1094,-$A1098,$A1099))))),0))</f>
        <v>0</v>
      </c>
      <c r="M1099" s="1423">
        <f t="shared" ref="M1099:M1107" ca="1" si="1612">IF(L1123="n/a",L1099,IFERROR(IF((OFFSET($C1099,0,$A1099))&lt;0,
MIN(0,L1099-(OFFSET($C1099,0,$A1099)/(OFFSET($C1094,-$A1098,$A1099)))),
MAX(0,L1099-(OFFSET($C1099,0,$A1099)/(OFFSET($C1094,-$A1098,$A1099))))),0))</f>
        <v>0</v>
      </c>
      <c r="N1099" s="1423">
        <f t="shared" ref="N1099:N1108" ca="1" si="1613">IF(M1123="n/a",M1099,IFERROR(IF((OFFSET($C1099,0,$A1099))&lt;0,
MIN(0,M1099-(OFFSET($C1099,0,$A1099)/(OFFSET($C1094,-$A1098,$A1099)))),
MAX(0,M1099-(OFFSET($C1099,0,$A1099)/(OFFSET($C1094,-$A1098,$A1099))))),0))</f>
        <v>0</v>
      </c>
      <c r="O1099" s="1423">
        <f t="shared" ref="O1099:O1109" ca="1" si="1614">IF(N1123="n/a",N1099,IFERROR(IF((OFFSET($C1099,0,$A1099))&lt;0,
MIN(0,N1099-(OFFSET($C1099,0,$A1099)/(OFFSET($C1094,-$A1098,$A1099)))),
MAX(0,N1099-(OFFSET($C1099,0,$A1099)/(OFFSET($C1094,-$A1098,$A1099))))),0))</f>
        <v>0</v>
      </c>
      <c r="P1099" s="1423">
        <f t="shared" ref="P1099:P1110" ca="1" si="1615">IF(O1123="n/a",O1099,IFERROR(IF((OFFSET($C1099,0,$A1099))&lt;0,
MIN(0,O1099-(OFFSET($C1099,0,$A1099)/(OFFSET($C1094,-$A1098,$A1099)))),
MAX(0,O1099-(OFFSET($C1099,0,$A1099)/(OFFSET($C1094,-$A1098,$A1099))))),0))</f>
        <v>0</v>
      </c>
      <c r="Q1099" s="1423">
        <f t="shared" ref="Q1099:Q1111" ca="1" si="1616">IF(P1123="n/a",P1099,IFERROR(IF((OFFSET($C1099,0,$A1099))&lt;0,
MIN(0,P1099-(OFFSET($C1099,0,$A1099)/(OFFSET($C1094,-$A1098,$A1099)))),
MAX(0,P1099-(OFFSET($C1099,0,$A1099)/(OFFSET($C1094,-$A1098,$A1099))))),0))</f>
        <v>0</v>
      </c>
      <c r="R1099" s="1423">
        <f t="shared" ref="R1099:R1112" ca="1" si="1617">IF(Q1123="n/a",Q1099,IFERROR(IF((OFFSET($C1099,0,$A1099))&lt;0,
MIN(0,Q1099-(OFFSET($C1099,0,$A1099)/(OFFSET($C1094,-$A1098,$A1099)))),
MAX(0,Q1099-(OFFSET($C1099,0,$A1099)/(OFFSET($C1094,-$A1098,$A1099))))),0))</f>
        <v>0</v>
      </c>
      <c r="S1099" s="1423">
        <f t="shared" ref="S1099:S1113" ca="1" si="1618">IF(R1123="n/a",R1099,IFERROR(IF((OFFSET($C1099,0,$A1099))&lt;0,
MIN(0,R1099-(OFFSET($C1099,0,$A1099)/(OFFSET($C1094,-$A1098,$A1099)))),
MAX(0,R1099-(OFFSET($C1099,0,$A1099)/(OFFSET($C1094,-$A1098,$A1099))))),0))</f>
        <v>0</v>
      </c>
      <c r="T1099" s="1423">
        <f t="shared" ref="T1099:T1114" ca="1" si="1619">IF(S1123="n/a",S1099,IFERROR(IF((OFFSET($C1099,0,$A1099))&lt;0,
MIN(0,S1099-(OFFSET($C1099,0,$A1099)/(OFFSET($C1094,-$A1098,$A1099)))),
MAX(0,S1099-(OFFSET($C1099,0,$A1099)/(OFFSET($C1094,-$A1098,$A1099))))),0))</f>
        <v>0</v>
      </c>
      <c r="U1099" s="1423">
        <f t="shared" ref="U1099:U1115" ca="1" si="1620">IF(T1123="n/a",T1099,IFERROR(IF((OFFSET($C1099,0,$A1099))&lt;0,
MIN(0,T1099-(OFFSET($C1099,0,$A1099)/(OFFSET($C1094,-$A1098,$A1099)))),
MAX(0,T1099-(OFFSET($C1099,0,$A1099)/(OFFSET($C1094,-$A1098,$A1099))))),0))</f>
        <v>0</v>
      </c>
      <c r="V1099" s="1423">
        <f t="shared" ref="V1099:V1116" ca="1" si="1621">IF(U1123="n/a",U1099,IFERROR(IF((OFFSET($C1099,0,$A1099))&lt;0,
MIN(0,U1099-(OFFSET($C1099,0,$A1099)/(OFFSET($C1094,-$A1098,$A1099)))),
MAX(0,U1099-(OFFSET($C1099,0,$A1099)/(OFFSET($C1094,-$A1098,$A1099))))),0))</f>
        <v>0</v>
      </c>
      <c r="W1099" s="1423">
        <f t="shared" ref="W1099:W1117" ca="1" si="1622">IF(V1123="n/a",V1099,IFERROR(IF((OFFSET($C1099,0,$A1099))&lt;0,
MIN(0,V1099-(OFFSET($C1099,0,$A1099)/(OFFSET($C1094,-$A1098,$A1099)))),
MAX(0,V1099-(OFFSET($C1099,0,$A1099)/(OFFSET($C1094,-$A1098,$A1099))))),0))</f>
        <v>0</v>
      </c>
      <c r="X1099" s="152"/>
      <c r="Y1099" s="152"/>
      <c r="Z1099" s="152"/>
      <c r="AA1099" s="152"/>
      <c r="AB1099" s="152"/>
    </row>
    <row r="1100" spans="1:28" hidden="1" outlineLevel="1">
      <c r="A1100" s="199">
        <f t="shared" ref="A1100:A1119" si="1623">A1099+1</f>
        <v>1</v>
      </c>
      <c r="B1100" s="190" t="str">
        <f t="shared" ref="B1100:B1118" ca="1" si="1624">"Depreciated Net Capex "&amp;OFFSET($C$6,0,A1100)</f>
        <v>Depreciated Net Capex 2016-17</v>
      </c>
      <c r="C1100" s="1424"/>
      <c r="D1100" s="1425">
        <f>(D1094*((1+D$11)^0.5)/D$10)</f>
        <v>0</v>
      </c>
      <c r="E1100" s="1423">
        <f ca="1">IF(D1124="n/a",D1100,IFERROR(IF((OFFSET($C1100,0,$A1100))&lt;0,
MIN(0,D1100-(OFFSET($C1100,0,$A1100)/(OFFSET($C1095,-$A1099,$A1100)))),
MAX(0,D1100-(OFFSET($C1100,0,$A1100)/(OFFSET($C1095,-$A1099,$A1100))))),0))</f>
        <v>0</v>
      </c>
      <c r="F1100" s="1423">
        <f t="shared" ca="1" si="1605"/>
        <v>0</v>
      </c>
      <c r="G1100" s="1423">
        <f t="shared" ca="1" si="1606"/>
        <v>0</v>
      </c>
      <c r="H1100" s="1423">
        <f t="shared" ca="1" si="1607"/>
        <v>0</v>
      </c>
      <c r="I1100" s="1423">
        <f t="shared" ca="1" si="1608"/>
        <v>0</v>
      </c>
      <c r="J1100" s="1423">
        <f t="shared" ca="1" si="1609"/>
        <v>0</v>
      </c>
      <c r="K1100" s="1423">
        <f t="shared" ca="1" si="1610"/>
        <v>0</v>
      </c>
      <c r="L1100" s="1423">
        <f t="shared" ca="1" si="1611"/>
        <v>0</v>
      </c>
      <c r="M1100" s="1423">
        <f t="shared" ca="1" si="1612"/>
        <v>0</v>
      </c>
      <c r="N1100" s="1423">
        <f t="shared" ca="1" si="1613"/>
        <v>0</v>
      </c>
      <c r="O1100" s="1423">
        <f t="shared" ca="1" si="1614"/>
        <v>0</v>
      </c>
      <c r="P1100" s="1423">
        <f t="shared" ca="1" si="1615"/>
        <v>0</v>
      </c>
      <c r="Q1100" s="1423">
        <f t="shared" ca="1" si="1616"/>
        <v>0</v>
      </c>
      <c r="R1100" s="1423">
        <f t="shared" ca="1" si="1617"/>
        <v>0</v>
      </c>
      <c r="S1100" s="1423">
        <f t="shared" ca="1" si="1618"/>
        <v>0</v>
      </c>
      <c r="T1100" s="1423">
        <f t="shared" ca="1" si="1619"/>
        <v>0</v>
      </c>
      <c r="U1100" s="1423">
        <f t="shared" ca="1" si="1620"/>
        <v>0</v>
      </c>
      <c r="V1100" s="1423">
        <f t="shared" ca="1" si="1621"/>
        <v>0</v>
      </c>
      <c r="W1100" s="1423">
        <f t="shared" ca="1" si="1622"/>
        <v>0</v>
      </c>
      <c r="X1100" s="152"/>
      <c r="Y1100" s="152"/>
      <c r="Z1100" s="152"/>
      <c r="AA1100" s="152"/>
      <c r="AB1100" s="152"/>
    </row>
    <row r="1101" spans="1:28" hidden="1" outlineLevel="1">
      <c r="A1101" s="199">
        <f t="shared" si="1623"/>
        <v>2</v>
      </c>
      <c r="B1101" s="190" t="str">
        <f t="shared" ca="1" si="1624"/>
        <v>Depreciated Net Capex 2017-18</v>
      </c>
      <c r="C1101" s="1426"/>
      <c r="D1101" s="1427"/>
      <c r="E1101" s="1425">
        <f>(E1094*((1+E$11)^0.5)/E$10)</f>
        <v>0</v>
      </c>
      <c r="F1101" s="1423">
        <f ca="1">IF(E1125="n/a",E1101,IFERROR(IF((OFFSET($C1101,0,$A1101))&lt;0,
MIN(0,E1101-(OFFSET($C1101,0,$A1101)/(OFFSET($C1096,-$A1100,$A1101)))),
MAX(0,E1101-(OFFSET($C1101,0,$A1101)/(OFFSET($C1096,-$A1100,$A1101))))),0))</f>
        <v>0</v>
      </c>
      <c r="G1101" s="1423">
        <f t="shared" ca="1" si="1606"/>
        <v>0</v>
      </c>
      <c r="H1101" s="1423">
        <f t="shared" ca="1" si="1607"/>
        <v>0</v>
      </c>
      <c r="I1101" s="1423">
        <f t="shared" ca="1" si="1608"/>
        <v>0</v>
      </c>
      <c r="J1101" s="1423">
        <f t="shared" ca="1" si="1609"/>
        <v>0</v>
      </c>
      <c r="K1101" s="1423">
        <f t="shared" ca="1" si="1610"/>
        <v>0</v>
      </c>
      <c r="L1101" s="1423">
        <f t="shared" ca="1" si="1611"/>
        <v>0</v>
      </c>
      <c r="M1101" s="1423">
        <f t="shared" ca="1" si="1612"/>
        <v>0</v>
      </c>
      <c r="N1101" s="1423">
        <f t="shared" ca="1" si="1613"/>
        <v>0</v>
      </c>
      <c r="O1101" s="1423">
        <f t="shared" ca="1" si="1614"/>
        <v>0</v>
      </c>
      <c r="P1101" s="1423">
        <f t="shared" ca="1" si="1615"/>
        <v>0</v>
      </c>
      <c r="Q1101" s="1423">
        <f t="shared" ca="1" si="1616"/>
        <v>0</v>
      </c>
      <c r="R1101" s="1423">
        <f t="shared" ca="1" si="1617"/>
        <v>0</v>
      </c>
      <c r="S1101" s="1423">
        <f t="shared" ca="1" si="1618"/>
        <v>0</v>
      </c>
      <c r="T1101" s="1423">
        <f t="shared" ca="1" si="1619"/>
        <v>0</v>
      </c>
      <c r="U1101" s="1423">
        <f t="shared" ca="1" si="1620"/>
        <v>0</v>
      </c>
      <c r="V1101" s="1423">
        <f t="shared" ca="1" si="1621"/>
        <v>0</v>
      </c>
      <c r="W1101" s="1423">
        <f t="shared" ca="1" si="1622"/>
        <v>0</v>
      </c>
      <c r="X1101" s="202"/>
      <c r="Y1101" s="152"/>
      <c r="Z1101" s="152"/>
      <c r="AA1101" s="152"/>
      <c r="AB1101" s="152"/>
    </row>
    <row r="1102" spans="1:28" hidden="1" outlineLevel="1">
      <c r="A1102" s="199">
        <f t="shared" si="1623"/>
        <v>3</v>
      </c>
      <c r="B1102" s="190" t="str">
        <f t="shared" ca="1" si="1624"/>
        <v>Depreciated Net Capex 2018-19</v>
      </c>
      <c r="C1102" s="1426"/>
      <c r="D1102" s="1426"/>
      <c r="E1102" s="1427"/>
      <c r="F1102" s="1428">
        <f>($F1094*((1+F$11)^0.5)/F$10)</f>
        <v>0</v>
      </c>
      <c r="G1102" s="1423">
        <f ca="1">IF(F1126="n/a",F1102,IFERROR(IF((OFFSET($C1102,0,$A1102))&lt;0,
MIN(0,F1102-(OFFSET($C1102,0,$A1102)/(OFFSET($C1097,-$A1101,$A1102)))),
MAX(0,F1102-(OFFSET($C1102,0,$A1102)/(OFFSET($C1097,-$A1101,$A1102))))),0))</f>
        <v>0</v>
      </c>
      <c r="H1102" s="1423">
        <f t="shared" ca="1" si="1607"/>
        <v>0</v>
      </c>
      <c r="I1102" s="1423">
        <f t="shared" ca="1" si="1608"/>
        <v>0</v>
      </c>
      <c r="J1102" s="1423">
        <f t="shared" ca="1" si="1609"/>
        <v>0</v>
      </c>
      <c r="K1102" s="1423">
        <f t="shared" ca="1" si="1610"/>
        <v>0</v>
      </c>
      <c r="L1102" s="1423">
        <f t="shared" ca="1" si="1611"/>
        <v>0</v>
      </c>
      <c r="M1102" s="1423">
        <f t="shared" ca="1" si="1612"/>
        <v>0</v>
      </c>
      <c r="N1102" s="1423">
        <f t="shared" ca="1" si="1613"/>
        <v>0</v>
      </c>
      <c r="O1102" s="1423">
        <f t="shared" ca="1" si="1614"/>
        <v>0</v>
      </c>
      <c r="P1102" s="1423">
        <f t="shared" ca="1" si="1615"/>
        <v>0</v>
      </c>
      <c r="Q1102" s="1423">
        <f t="shared" ca="1" si="1616"/>
        <v>0</v>
      </c>
      <c r="R1102" s="1423">
        <f t="shared" ca="1" si="1617"/>
        <v>0</v>
      </c>
      <c r="S1102" s="1423">
        <f t="shared" ca="1" si="1618"/>
        <v>0</v>
      </c>
      <c r="T1102" s="1423">
        <f t="shared" ca="1" si="1619"/>
        <v>0</v>
      </c>
      <c r="U1102" s="1423">
        <f t="shared" ca="1" si="1620"/>
        <v>0</v>
      </c>
      <c r="V1102" s="1423">
        <f t="shared" ca="1" si="1621"/>
        <v>0</v>
      </c>
      <c r="W1102" s="1423">
        <f t="shared" ca="1" si="1622"/>
        <v>0</v>
      </c>
      <c r="X1102" s="202"/>
      <c r="Y1102" s="202"/>
      <c r="Z1102" s="152"/>
      <c r="AA1102" s="152"/>
      <c r="AB1102" s="152"/>
    </row>
    <row r="1103" spans="1:28" hidden="1" outlineLevel="1">
      <c r="A1103" s="199">
        <f t="shared" si="1623"/>
        <v>4</v>
      </c>
      <c r="B1103" s="190" t="str">
        <f t="shared" ca="1" si="1624"/>
        <v>Depreciated Net Capex 2019-20</v>
      </c>
      <c r="C1103" s="1426"/>
      <c r="D1103" s="1426"/>
      <c r="E1103" s="1426"/>
      <c r="F1103" s="1427"/>
      <c r="G1103" s="1428">
        <f>($G1094*((1+G$11)^0.5)/G$10)</f>
        <v>0</v>
      </c>
      <c r="H1103" s="1423">
        <f ca="1">IF(G1127="n/a",G1103,IFERROR(IF((OFFSET($C1103,0,$A1103))&lt;0,
MIN(0,G1103-(OFFSET($C1103,0,$A1103)/(OFFSET($C1098,-$A1102,$A1103)))),
MAX(0,G1103-(OFFSET($C1103,0,$A1103)/(OFFSET($C1098,-$A1102,$A1103))))),0))</f>
        <v>0</v>
      </c>
      <c r="I1103" s="1423">
        <f t="shared" ca="1" si="1608"/>
        <v>0</v>
      </c>
      <c r="J1103" s="1423">
        <f t="shared" ca="1" si="1609"/>
        <v>0</v>
      </c>
      <c r="K1103" s="1423">
        <f t="shared" ca="1" si="1610"/>
        <v>0</v>
      </c>
      <c r="L1103" s="1423">
        <f t="shared" ca="1" si="1611"/>
        <v>0</v>
      </c>
      <c r="M1103" s="1423">
        <f t="shared" ca="1" si="1612"/>
        <v>0</v>
      </c>
      <c r="N1103" s="1423">
        <f t="shared" ca="1" si="1613"/>
        <v>0</v>
      </c>
      <c r="O1103" s="1423">
        <f t="shared" ca="1" si="1614"/>
        <v>0</v>
      </c>
      <c r="P1103" s="1423">
        <f t="shared" ca="1" si="1615"/>
        <v>0</v>
      </c>
      <c r="Q1103" s="1423">
        <f t="shared" ca="1" si="1616"/>
        <v>0</v>
      </c>
      <c r="R1103" s="1423">
        <f t="shared" ca="1" si="1617"/>
        <v>0</v>
      </c>
      <c r="S1103" s="1423">
        <f t="shared" ca="1" si="1618"/>
        <v>0</v>
      </c>
      <c r="T1103" s="1423">
        <f t="shared" ca="1" si="1619"/>
        <v>0</v>
      </c>
      <c r="U1103" s="1423">
        <f t="shared" ca="1" si="1620"/>
        <v>0</v>
      </c>
      <c r="V1103" s="1423">
        <f t="shared" ca="1" si="1621"/>
        <v>0</v>
      </c>
      <c r="W1103" s="1423">
        <f t="shared" ca="1" si="1622"/>
        <v>0</v>
      </c>
      <c r="X1103" s="202"/>
      <c r="Y1103" s="202"/>
      <c r="Z1103" s="202"/>
      <c r="AA1103" s="152"/>
      <c r="AB1103" s="152"/>
    </row>
    <row r="1104" spans="1:28" hidden="1" outlineLevel="1">
      <c r="A1104" s="199">
        <f t="shared" si="1623"/>
        <v>5</v>
      </c>
      <c r="B1104" s="190" t="str">
        <f t="shared" ca="1" si="1624"/>
        <v>Depreciated Net Capex 2020-21</v>
      </c>
      <c r="C1104" s="1426"/>
      <c r="D1104" s="1426"/>
      <c r="E1104" s="1426"/>
      <c r="F1104" s="1426"/>
      <c r="G1104" s="1427"/>
      <c r="H1104" s="1428">
        <f>(H1094*((1+H$11)^0.5)/H$10)</f>
        <v>0</v>
      </c>
      <c r="I1104" s="1423">
        <f ca="1">IF(H1128="n/a",H1104,IFERROR(IF((OFFSET($C1104,0,$A1104))&lt;0,
MIN(0,H1104-(OFFSET($C1104,0,$A1104)/(OFFSET($C1099,-$A1103,$A1104)))),
MAX(0,H1104-(OFFSET($C1104,0,$A1104)/(OFFSET($C1099,-$A1103,$A1104))))),0))</f>
        <v>0</v>
      </c>
      <c r="J1104" s="1423">
        <f t="shared" ca="1" si="1609"/>
        <v>0</v>
      </c>
      <c r="K1104" s="1423">
        <f t="shared" ca="1" si="1610"/>
        <v>0</v>
      </c>
      <c r="L1104" s="1423">
        <f t="shared" ca="1" si="1611"/>
        <v>0</v>
      </c>
      <c r="M1104" s="1423">
        <f t="shared" ca="1" si="1612"/>
        <v>0</v>
      </c>
      <c r="N1104" s="1423">
        <f t="shared" ca="1" si="1613"/>
        <v>0</v>
      </c>
      <c r="O1104" s="1423">
        <f t="shared" ca="1" si="1614"/>
        <v>0</v>
      </c>
      <c r="P1104" s="1423">
        <f t="shared" ca="1" si="1615"/>
        <v>0</v>
      </c>
      <c r="Q1104" s="1423">
        <f t="shared" ca="1" si="1616"/>
        <v>0</v>
      </c>
      <c r="R1104" s="1423">
        <f t="shared" ca="1" si="1617"/>
        <v>0</v>
      </c>
      <c r="S1104" s="1423">
        <f t="shared" ca="1" si="1618"/>
        <v>0</v>
      </c>
      <c r="T1104" s="1423">
        <f t="shared" ca="1" si="1619"/>
        <v>0</v>
      </c>
      <c r="U1104" s="1423">
        <f t="shared" ca="1" si="1620"/>
        <v>0</v>
      </c>
      <c r="V1104" s="1423">
        <f t="shared" ca="1" si="1621"/>
        <v>0</v>
      </c>
      <c r="W1104" s="1423">
        <f t="shared" ca="1" si="1622"/>
        <v>0</v>
      </c>
      <c r="X1104" s="202"/>
      <c r="Y1104" s="202"/>
      <c r="Z1104" s="202"/>
      <c r="AA1104" s="152"/>
      <c r="AB1104" s="152"/>
    </row>
    <row r="1105" spans="1:28" hidden="1" outlineLevel="1">
      <c r="A1105" s="199">
        <f t="shared" si="1623"/>
        <v>6</v>
      </c>
      <c r="B1105" s="190" t="str">
        <f t="shared" ca="1" si="1624"/>
        <v>Depreciated Net Capex 2021-22</v>
      </c>
      <c r="C1105" s="1426"/>
      <c r="D1105" s="1426"/>
      <c r="E1105" s="1426"/>
      <c r="F1105" s="1426"/>
      <c r="G1105" s="1426"/>
      <c r="H1105" s="1427"/>
      <c r="I1105" s="1428">
        <f>(I1094*((1+I$11)^0.5)/I$10)</f>
        <v>0</v>
      </c>
      <c r="J1105" s="1423">
        <f ca="1">IF(I1129="n/a",I1105,IFERROR(IF((OFFSET($C1105,0,$A1105))&lt;0,
MIN(0,I1105-(OFFSET($C1105,0,$A1105)/(OFFSET($C1100,-$A1104,$A1105)))),
MAX(0,I1105-(OFFSET($C1105,0,$A1105)/(OFFSET($C1100,-$A1104,$A1105))))),0))</f>
        <v>0</v>
      </c>
      <c r="K1105" s="1423">
        <f t="shared" ca="1" si="1610"/>
        <v>0</v>
      </c>
      <c r="L1105" s="1423">
        <f t="shared" ca="1" si="1611"/>
        <v>0</v>
      </c>
      <c r="M1105" s="1423">
        <f t="shared" ca="1" si="1612"/>
        <v>0</v>
      </c>
      <c r="N1105" s="1423">
        <f t="shared" ca="1" si="1613"/>
        <v>0</v>
      </c>
      <c r="O1105" s="1423">
        <f t="shared" ca="1" si="1614"/>
        <v>0</v>
      </c>
      <c r="P1105" s="1423">
        <f t="shared" ca="1" si="1615"/>
        <v>0</v>
      </c>
      <c r="Q1105" s="1423">
        <f t="shared" ca="1" si="1616"/>
        <v>0</v>
      </c>
      <c r="R1105" s="1423">
        <f t="shared" ca="1" si="1617"/>
        <v>0</v>
      </c>
      <c r="S1105" s="1423">
        <f t="shared" ca="1" si="1618"/>
        <v>0</v>
      </c>
      <c r="T1105" s="1423">
        <f t="shared" ca="1" si="1619"/>
        <v>0</v>
      </c>
      <c r="U1105" s="1423">
        <f t="shared" ca="1" si="1620"/>
        <v>0</v>
      </c>
      <c r="V1105" s="1423">
        <f t="shared" ca="1" si="1621"/>
        <v>0</v>
      </c>
      <c r="W1105" s="1423">
        <f t="shared" ca="1" si="1622"/>
        <v>0</v>
      </c>
      <c r="X1105" s="202"/>
      <c r="Y1105" s="202"/>
      <c r="Z1105" s="202"/>
      <c r="AA1105" s="152"/>
      <c r="AB1105" s="152"/>
    </row>
    <row r="1106" spans="1:28" hidden="1" outlineLevel="1">
      <c r="A1106" s="199">
        <f t="shared" si="1623"/>
        <v>7</v>
      </c>
      <c r="B1106" s="190" t="str">
        <f t="shared" ca="1" si="1624"/>
        <v>Depreciated Net Capex 2022-23</v>
      </c>
      <c r="C1106" s="1426"/>
      <c r="D1106" s="1426"/>
      <c r="E1106" s="1426"/>
      <c r="F1106" s="1426"/>
      <c r="G1106" s="1426"/>
      <c r="H1106" s="1426"/>
      <c r="I1106" s="1427"/>
      <c r="J1106" s="1428">
        <f>(J1094*((1+J$11)^0.5)/J$10)</f>
        <v>0</v>
      </c>
      <c r="K1106" s="1423">
        <f ca="1">IF(J1130="n/a",J1106,IFERROR(IF((OFFSET($C1106,0,$A1106))&lt;0,
MIN(0,J1106-(OFFSET($C1106,0,$A1106)/(OFFSET($C1101,-$A1105,$A1106)))),
MAX(0,J1106-(OFFSET($C1106,0,$A1106)/(OFFSET($C1101,-$A1105,$A1106))))),0))</f>
        <v>0</v>
      </c>
      <c r="L1106" s="1423">
        <f t="shared" ca="1" si="1611"/>
        <v>0</v>
      </c>
      <c r="M1106" s="1423">
        <f t="shared" ca="1" si="1612"/>
        <v>0</v>
      </c>
      <c r="N1106" s="1423">
        <f t="shared" ca="1" si="1613"/>
        <v>0</v>
      </c>
      <c r="O1106" s="1423">
        <f t="shared" ca="1" si="1614"/>
        <v>0</v>
      </c>
      <c r="P1106" s="1423">
        <f t="shared" ca="1" si="1615"/>
        <v>0</v>
      </c>
      <c r="Q1106" s="1423">
        <f t="shared" ca="1" si="1616"/>
        <v>0</v>
      </c>
      <c r="R1106" s="1423">
        <f t="shared" ca="1" si="1617"/>
        <v>0</v>
      </c>
      <c r="S1106" s="1423">
        <f t="shared" ca="1" si="1618"/>
        <v>0</v>
      </c>
      <c r="T1106" s="1423">
        <f t="shared" ca="1" si="1619"/>
        <v>0</v>
      </c>
      <c r="U1106" s="1423">
        <f t="shared" ca="1" si="1620"/>
        <v>0</v>
      </c>
      <c r="V1106" s="1423">
        <f t="shared" ca="1" si="1621"/>
        <v>0</v>
      </c>
      <c r="W1106" s="1423">
        <f t="shared" ca="1" si="1622"/>
        <v>0</v>
      </c>
      <c r="X1106" s="202"/>
      <c r="Y1106" s="202"/>
      <c r="Z1106" s="202"/>
      <c r="AA1106" s="152"/>
      <c r="AB1106" s="152"/>
    </row>
    <row r="1107" spans="1:28" hidden="1" outlineLevel="1">
      <c r="A1107" s="199">
        <f t="shared" si="1623"/>
        <v>8</v>
      </c>
      <c r="B1107" s="190" t="str">
        <f t="shared" ca="1" si="1624"/>
        <v>Depreciated Net Capex 2023-24</v>
      </c>
      <c r="C1107" s="1426"/>
      <c r="D1107" s="1426"/>
      <c r="E1107" s="1426"/>
      <c r="F1107" s="1426"/>
      <c r="G1107" s="1426"/>
      <c r="H1107" s="1426"/>
      <c r="I1107" s="1426"/>
      <c r="J1107" s="1427"/>
      <c r="K1107" s="1428">
        <f>(K1094*((1+K$11)^0.5)/K$10)</f>
        <v>0</v>
      </c>
      <c r="L1107" s="1423">
        <f ca="1">IF(K1131="n/a",K1107,IFERROR(IF((OFFSET($C1107,0,$A1107))&lt;0,
MIN(0,K1107-(OFFSET($C1107,0,$A1107)/(OFFSET($C1102,-$A1106,$A1107)))),
MAX(0,K1107-(OFFSET($C1107,0,$A1107)/(OFFSET($C1102,-$A1106,$A1107))))),0))</f>
        <v>0</v>
      </c>
      <c r="M1107" s="1423">
        <f t="shared" ca="1" si="1612"/>
        <v>0</v>
      </c>
      <c r="N1107" s="1423">
        <f t="shared" ca="1" si="1613"/>
        <v>0</v>
      </c>
      <c r="O1107" s="1423">
        <f t="shared" ca="1" si="1614"/>
        <v>0</v>
      </c>
      <c r="P1107" s="1423">
        <f t="shared" ca="1" si="1615"/>
        <v>0</v>
      </c>
      <c r="Q1107" s="1423">
        <f t="shared" ca="1" si="1616"/>
        <v>0</v>
      </c>
      <c r="R1107" s="1423">
        <f t="shared" ca="1" si="1617"/>
        <v>0</v>
      </c>
      <c r="S1107" s="1423">
        <f t="shared" ca="1" si="1618"/>
        <v>0</v>
      </c>
      <c r="T1107" s="1423">
        <f t="shared" ca="1" si="1619"/>
        <v>0</v>
      </c>
      <c r="U1107" s="1423">
        <f t="shared" ca="1" si="1620"/>
        <v>0</v>
      </c>
      <c r="V1107" s="1423">
        <f t="shared" ca="1" si="1621"/>
        <v>0</v>
      </c>
      <c r="W1107" s="1423">
        <f t="shared" ca="1" si="1622"/>
        <v>0</v>
      </c>
      <c r="X1107" s="202"/>
      <c r="Y1107" s="202"/>
      <c r="Z1107" s="202"/>
      <c r="AA1107" s="152"/>
      <c r="AB1107" s="152"/>
    </row>
    <row r="1108" spans="1:28" hidden="1" outlineLevel="1">
      <c r="A1108" s="199">
        <f t="shared" si="1623"/>
        <v>9</v>
      </c>
      <c r="B1108" s="190" t="str">
        <f t="shared" ca="1" si="1624"/>
        <v>Depreciated Net Capex 2024-25</v>
      </c>
      <c r="C1108" s="1426"/>
      <c r="D1108" s="1426"/>
      <c r="E1108" s="1426"/>
      <c r="F1108" s="1426"/>
      <c r="G1108" s="1426"/>
      <c r="H1108" s="1426"/>
      <c r="I1108" s="1426"/>
      <c r="J1108" s="1426"/>
      <c r="K1108" s="1427"/>
      <c r="L1108" s="1428">
        <f>(L1094*((1+L$11)^0.5)/L$10)</f>
        <v>0</v>
      </c>
      <c r="M1108" s="1423">
        <f ca="1">IF(L1132="n/a",L1108,IFERROR(IF((OFFSET($C1108,0,$A1108))&lt;0,
MIN(0,L1108-(OFFSET($C1108,0,$A1108)/(OFFSET($C1103,-$A1107,$A1108)))),
MAX(0,L1108-(OFFSET($C1108,0,$A1108)/(OFFSET($C1103,-$A1107,$A1108))))),0))</f>
        <v>0</v>
      </c>
      <c r="N1108" s="1423">
        <f t="shared" ca="1" si="1613"/>
        <v>0</v>
      </c>
      <c r="O1108" s="1423">
        <f t="shared" ca="1" si="1614"/>
        <v>0</v>
      </c>
      <c r="P1108" s="1423">
        <f t="shared" ca="1" si="1615"/>
        <v>0</v>
      </c>
      <c r="Q1108" s="1423">
        <f t="shared" ca="1" si="1616"/>
        <v>0</v>
      </c>
      <c r="R1108" s="1423">
        <f t="shared" ca="1" si="1617"/>
        <v>0</v>
      </c>
      <c r="S1108" s="1423">
        <f t="shared" ca="1" si="1618"/>
        <v>0</v>
      </c>
      <c r="T1108" s="1423">
        <f t="shared" ca="1" si="1619"/>
        <v>0</v>
      </c>
      <c r="U1108" s="1423">
        <f t="shared" ca="1" si="1620"/>
        <v>0</v>
      </c>
      <c r="V1108" s="1423">
        <f t="shared" ca="1" si="1621"/>
        <v>0</v>
      </c>
      <c r="W1108" s="1423">
        <f t="shared" ca="1" si="1622"/>
        <v>0</v>
      </c>
      <c r="X1108" s="202"/>
      <c r="Y1108" s="202"/>
      <c r="Z1108" s="202"/>
      <c r="AA1108" s="152"/>
      <c r="AB1108" s="152"/>
    </row>
    <row r="1109" spans="1:28" hidden="1" outlineLevel="1">
      <c r="A1109" s="199">
        <f t="shared" si="1623"/>
        <v>10</v>
      </c>
      <c r="B1109" s="190" t="str">
        <f t="shared" ca="1" si="1624"/>
        <v>Depreciated Net Capex 2025-26</v>
      </c>
      <c r="C1109" s="1426"/>
      <c r="D1109" s="1426"/>
      <c r="E1109" s="1426"/>
      <c r="F1109" s="1426"/>
      <c r="G1109" s="1426"/>
      <c r="H1109" s="1426"/>
      <c r="I1109" s="1426"/>
      <c r="J1109" s="1426"/>
      <c r="K1109" s="1426"/>
      <c r="L1109" s="1427"/>
      <c r="M1109" s="1428">
        <f>(M1094*((1+M$11)^0.5)/M$10)</f>
        <v>0</v>
      </c>
      <c r="N1109" s="1423">
        <f ca="1">IF(M1133="n/a",M1109,IFERROR(IF((OFFSET($C1109,0,$A1109))&lt;0,
MIN(0,M1109-(OFFSET($C1109,0,$A1109)/(OFFSET($C1104,-$A1108,$A1109)))),
MAX(0,M1109-(OFFSET($C1109,0,$A1109)/(OFFSET($C1104,-$A1108,$A1109))))),0))</f>
        <v>0</v>
      </c>
      <c r="O1109" s="1423">
        <f t="shared" ca="1" si="1614"/>
        <v>0</v>
      </c>
      <c r="P1109" s="1423">
        <f t="shared" ca="1" si="1615"/>
        <v>0</v>
      </c>
      <c r="Q1109" s="1423">
        <f t="shared" ca="1" si="1616"/>
        <v>0</v>
      </c>
      <c r="R1109" s="1423">
        <f t="shared" ca="1" si="1617"/>
        <v>0</v>
      </c>
      <c r="S1109" s="1423">
        <f t="shared" ca="1" si="1618"/>
        <v>0</v>
      </c>
      <c r="T1109" s="1423">
        <f t="shared" ca="1" si="1619"/>
        <v>0</v>
      </c>
      <c r="U1109" s="1423">
        <f t="shared" ca="1" si="1620"/>
        <v>0</v>
      </c>
      <c r="V1109" s="1423">
        <f t="shared" ca="1" si="1621"/>
        <v>0</v>
      </c>
      <c r="W1109" s="1423">
        <f t="shared" ca="1" si="1622"/>
        <v>0</v>
      </c>
      <c r="X1109" s="202"/>
      <c r="Y1109" s="202"/>
      <c r="Z1109" s="202"/>
      <c r="AA1109" s="152"/>
      <c r="AB1109" s="152"/>
    </row>
    <row r="1110" spans="1:28" hidden="1" outlineLevel="1">
      <c r="A1110" s="199">
        <f t="shared" si="1623"/>
        <v>11</v>
      </c>
      <c r="B1110" s="190" t="str">
        <f t="shared" ca="1" si="1624"/>
        <v>Depreciated Net Capex 2026-27</v>
      </c>
      <c r="C1110" s="1426"/>
      <c r="D1110" s="1426"/>
      <c r="E1110" s="1426"/>
      <c r="F1110" s="1426"/>
      <c r="G1110" s="1426"/>
      <c r="H1110" s="1426"/>
      <c r="I1110" s="1426"/>
      <c r="J1110" s="1426"/>
      <c r="K1110" s="1426"/>
      <c r="L1110" s="1426"/>
      <c r="M1110" s="1427"/>
      <c r="N1110" s="1428">
        <f>(N1094*((1+N$11)^0.5)/N$10)</f>
        <v>0</v>
      </c>
      <c r="O1110" s="1423">
        <f ca="1">IF(N1134="n/a",N1110,IFERROR(IF((OFFSET($C1110,0,$A1110))&lt;0,
MIN(0,N1110-(OFFSET($C1110,0,$A1110)/(OFFSET($C1105,-$A1109,$A1110)))),
MAX(0,N1110-(OFFSET($C1110,0,$A1110)/(OFFSET($C1105,-$A1109,$A1110))))),0))</f>
        <v>0</v>
      </c>
      <c r="P1110" s="1423">
        <f t="shared" ca="1" si="1615"/>
        <v>0</v>
      </c>
      <c r="Q1110" s="1423">
        <f t="shared" ca="1" si="1616"/>
        <v>0</v>
      </c>
      <c r="R1110" s="1423">
        <f t="shared" ca="1" si="1617"/>
        <v>0</v>
      </c>
      <c r="S1110" s="1423">
        <f t="shared" ca="1" si="1618"/>
        <v>0</v>
      </c>
      <c r="T1110" s="1423">
        <f t="shared" ca="1" si="1619"/>
        <v>0</v>
      </c>
      <c r="U1110" s="1423">
        <f t="shared" ca="1" si="1620"/>
        <v>0</v>
      </c>
      <c r="V1110" s="1423">
        <f t="shared" ca="1" si="1621"/>
        <v>0</v>
      </c>
      <c r="W1110" s="1423">
        <f t="shared" ca="1" si="1622"/>
        <v>0</v>
      </c>
      <c r="X1110" s="202"/>
      <c r="Y1110" s="202"/>
      <c r="Z1110" s="202"/>
      <c r="AA1110" s="152"/>
      <c r="AB1110" s="152"/>
    </row>
    <row r="1111" spans="1:28" hidden="1" outlineLevel="1">
      <c r="A1111" s="199">
        <f t="shared" si="1623"/>
        <v>12</v>
      </c>
      <c r="B1111" s="190" t="str">
        <f t="shared" ca="1" si="1624"/>
        <v>Depreciated Net Capex 2027-28</v>
      </c>
      <c r="C1111" s="1426"/>
      <c r="D1111" s="1426"/>
      <c r="E1111" s="1426"/>
      <c r="F1111" s="1426"/>
      <c r="G1111" s="1426"/>
      <c r="H1111" s="1426"/>
      <c r="I1111" s="1426"/>
      <c r="J1111" s="1426"/>
      <c r="K1111" s="1426"/>
      <c r="L1111" s="1426"/>
      <c r="M1111" s="1426"/>
      <c r="N1111" s="1427"/>
      <c r="O1111" s="1428">
        <f>(O1094*((1+O$11)^0.5)/O$10)</f>
        <v>0</v>
      </c>
      <c r="P1111" s="1423">
        <f ca="1">IF(O1135="n/a",O1111,IFERROR(IF((OFFSET($C1111,0,$A1111))&lt;0,
MIN(0,O1111-(OFFSET($C1111,0,$A1111)/(OFFSET($C1106,-$A1110,$A1111)))),
MAX(0,O1111-(OFFSET($C1111,0,$A1111)/(OFFSET($C1106,-$A1110,$A1111))))),0))</f>
        <v>0</v>
      </c>
      <c r="Q1111" s="1423">
        <f t="shared" ca="1" si="1616"/>
        <v>0</v>
      </c>
      <c r="R1111" s="1423">
        <f t="shared" ca="1" si="1617"/>
        <v>0</v>
      </c>
      <c r="S1111" s="1423">
        <f t="shared" ca="1" si="1618"/>
        <v>0</v>
      </c>
      <c r="T1111" s="1423">
        <f t="shared" ca="1" si="1619"/>
        <v>0</v>
      </c>
      <c r="U1111" s="1423">
        <f t="shared" ca="1" si="1620"/>
        <v>0</v>
      </c>
      <c r="V1111" s="1423">
        <f t="shared" ca="1" si="1621"/>
        <v>0</v>
      </c>
      <c r="W1111" s="1423">
        <f t="shared" ca="1" si="1622"/>
        <v>0</v>
      </c>
      <c r="X1111" s="202"/>
      <c r="Y1111" s="202"/>
      <c r="Z1111" s="202"/>
      <c r="AA1111" s="152"/>
      <c r="AB1111" s="152"/>
    </row>
    <row r="1112" spans="1:28" hidden="1" outlineLevel="1">
      <c r="A1112" s="199">
        <f t="shared" si="1623"/>
        <v>13</v>
      </c>
      <c r="B1112" s="190" t="str">
        <f t="shared" ca="1" si="1624"/>
        <v>Depreciated Net Capex 2028-29</v>
      </c>
      <c r="C1112" s="1426"/>
      <c r="D1112" s="1426"/>
      <c r="E1112" s="1426"/>
      <c r="F1112" s="1426"/>
      <c r="G1112" s="1426"/>
      <c r="H1112" s="1426"/>
      <c r="I1112" s="1426"/>
      <c r="J1112" s="1426"/>
      <c r="K1112" s="1426"/>
      <c r="L1112" s="1426"/>
      <c r="M1112" s="1426"/>
      <c r="N1112" s="1426"/>
      <c r="O1112" s="1427"/>
      <c r="P1112" s="1428">
        <f>(P1094*((1+P$11)^0.5)/P$10)</f>
        <v>0</v>
      </c>
      <c r="Q1112" s="1423">
        <f ca="1">IF(P1136="n/a",P1112,IFERROR(IF((OFFSET($C1112,0,$A1112))&lt;0,
MIN(0,P1112-(OFFSET($C1112,0,$A1112)/(OFFSET($C1107,-$A1111,$A1112)))),
MAX(0,P1112-(OFFSET($C1112,0,$A1112)/(OFFSET($C1107,-$A1111,$A1112))))),0))</f>
        <v>0</v>
      </c>
      <c r="R1112" s="1423">
        <f t="shared" ca="1" si="1617"/>
        <v>0</v>
      </c>
      <c r="S1112" s="1423">
        <f t="shared" ca="1" si="1618"/>
        <v>0</v>
      </c>
      <c r="T1112" s="1423">
        <f t="shared" ca="1" si="1619"/>
        <v>0</v>
      </c>
      <c r="U1112" s="1423">
        <f t="shared" ca="1" si="1620"/>
        <v>0</v>
      </c>
      <c r="V1112" s="1423">
        <f t="shared" ca="1" si="1621"/>
        <v>0</v>
      </c>
      <c r="W1112" s="1423">
        <f t="shared" ca="1" si="1622"/>
        <v>0</v>
      </c>
      <c r="X1112" s="202"/>
      <c r="Y1112" s="202"/>
      <c r="Z1112" s="202"/>
      <c r="AA1112" s="152"/>
      <c r="AB1112" s="152"/>
    </row>
    <row r="1113" spans="1:28" hidden="1" outlineLevel="1">
      <c r="A1113" s="199">
        <f t="shared" si="1623"/>
        <v>14</v>
      </c>
      <c r="B1113" s="190" t="str">
        <f t="shared" ca="1" si="1624"/>
        <v>Depreciated Net Capex 2029-30</v>
      </c>
      <c r="C1113" s="1426"/>
      <c r="D1113" s="1426"/>
      <c r="E1113" s="1426"/>
      <c r="F1113" s="1426"/>
      <c r="G1113" s="1426"/>
      <c r="H1113" s="1426"/>
      <c r="I1113" s="1426"/>
      <c r="J1113" s="1426"/>
      <c r="K1113" s="1426"/>
      <c r="L1113" s="1426"/>
      <c r="M1113" s="1426"/>
      <c r="N1113" s="1426"/>
      <c r="O1113" s="1426"/>
      <c r="P1113" s="1427"/>
      <c r="Q1113" s="1428">
        <f>(Q1094*((1+Q$11)^0.5)/Q$10)</f>
        <v>0</v>
      </c>
      <c r="R1113" s="1423">
        <f ca="1">IF(Q1137="n/a",Q1113,IFERROR(IF((OFFSET($C1113,0,$A1113))&lt;0,
MIN(0,Q1113-(OFFSET($C1113,0,$A1113)/(OFFSET($C1108,-$A1112,$A1113)))),
MAX(0,Q1113-(OFFSET($C1113,0,$A1113)/(OFFSET($C1108,-$A1112,$A1113))))),0))</f>
        <v>0</v>
      </c>
      <c r="S1113" s="1423">
        <f t="shared" ca="1" si="1618"/>
        <v>0</v>
      </c>
      <c r="T1113" s="1423">
        <f t="shared" ca="1" si="1619"/>
        <v>0</v>
      </c>
      <c r="U1113" s="1423">
        <f t="shared" ca="1" si="1620"/>
        <v>0</v>
      </c>
      <c r="V1113" s="1423">
        <f t="shared" ca="1" si="1621"/>
        <v>0</v>
      </c>
      <c r="W1113" s="1423">
        <f t="shared" ca="1" si="1622"/>
        <v>0</v>
      </c>
      <c r="X1113" s="202"/>
      <c r="Y1113" s="202"/>
      <c r="Z1113" s="202"/>
      <c r="AA1113" s="152"/>
      <c r="AB1113" s="152"/>
    </row>
    <row r="1114" spans="1:28" hidden="1" outlineLevel="1">
      <c r="A1114" s="199">
        <f t="shared" si="1623"/>
        <v>15</v>
      </c>
      <c r="B1114" s="190" t="str">
        <f t="shared" ca="1" si="1624"/>
        <v>Depreciated Net Capex 2030-31</v>
      </c>
      <c r="C1114" s="1426"/>
      <c r="D1114" s="1426"/>
      <c r="E1114" s="1426"/>
      <c r="F1114" s="1426"/>
      <c r="G1114" s="1426"/>
      <c r="H1114" s="1426"/>
      <c r="I1114" s="1426"/>
      <c r="J1114" s="1426"/>
      <c r="K1114" s="1426"/>
      <c r="L1114" s="1426"/>
      <c r="M1114" s="1426"/>
      <c r="N1114" s="1426"/>
      <c r="O1114" s="1426"/>
      <c r="P1114" s="1426"/>
      <c r="Q1114" s="1427"/>
      <c r="R1114" s="1428">
        <f>(R1094*((1+R$11)^0.5)/R$10)</f>
        <v>0</v>
      </c>
      <c r="S1114" s="1423">
        <f ca="1">IF(R1138="n/a",R1114,IFERROR(IF((OFFSET($C1114,0,$A1114))&lt;0,
MIN(0,R1114-(OFFSET($C1114,0,$A1114)/(OFFSET($C1109,-$A1113,$A1114)))),
MAX(0,R1114-(OFFSET($C1114,0,$A1114)/(OFFSET($C1109,-$A1113,$A1114))))),0))</f>
        <v>0</v>
      </c>
      <c r="T1114" s="1423">
        <f t="shared" ca="1" si="1619"/>
        <v>0</v>
      </c>
      <c r="U1114" s="1423">
        <f t="shared" ca="1" si="1620"/>
        <v>0</v>
      </c>
      <c r="V1114" s="1423">
        <f t="shared" ca="1" si="1621"/>
        <v>0</v>
      </c>
      <c r="W1114" s="1423">
        <f t="shared" ca="1" si="1622"/>
        <v>0</v>
      </c>
      <c r="X1114" s="202"/>
      <c r="Y1114" s="202"/>
      <c r="Z1114" s="202"/>
      <c r="AA1114" s="152"/>
      <c r="AB1114" s="152"/>
    </row>
    <row r="1115" spans="1:28" hidden="1" outlineLevel="1">
      <c r="A1115" s="199">
        <f t="shared" si="1623"/>
        <v>16</v>
      </c>
      <c r="B1115" s="190" t="str">
        <f t="shared" ca="1" si="1624"/>
        <v>Depreciated Net Capex 2031-32</v>
      </c>
      <c r="C1115" s="1426"/>
      <c r="D1115" s="1426"/>
      <c r="E1115" s="1426"/>
      <c r="F1115" s="1426"/>
      <c r="G1115" s="1426"/>
      <c r="H1115" s="1426"/>
      <c r="I1115" s="1426"/>
      <c r="J1115" s="1426"/>
      <c r="K1115" s="1426"/>
      <c r="L1115" s="1426"/>
      <c r="M1115" s="1426"/>
      <c r="N1115" s="1426"/>
      <c r="O1115" s="1426"/>
      <c r="P1115" s="1426"/>
      <c r="Q1115" s="1426"/>
      <c r="R1115" s="1427"/>
      <c r="S1115" s="1428">
        <f>(S1094*((1+S$11)^0.5)/S$10)</f>
        <v>0</v>
      </c>
      <c r="T1115" s="1423">
        <f ca="1">IF(S1139="n/a",S1115,IFERROR(IF((OFFSET($C1115,0,$A1115))&lt;0,
MIN(0,S1115-(OFFSET($C1115,0,$A1115)/(OFFSET($C1110,-$A1114,$A1115)))),
MAX(0,S1115-(OFFSET($C1115,0,$A1115)/(OFFSET($C1110,-$A1114,$A1115))))),0))</f>
        <v>0</v>
      </c>
      <c r="U1115" s="1423">
        <f t="shared" ca="1" si="1620"/>
        <v>0</v>
      </c>
      <c r="V1115" s="1423">
        <f t="shared" ca="1" si="1621"/>
        <v>0</v>
      </c>
      <c r="W1115" s="1423">
        <f t="shared" ca="1" si="1622"/>
        <v>0</v>
      </c>
      <c r="X1115" s="202"/>
      <c r="Y1115" s="202"/>
      <c r="Z1115" s="202"/>
      <c r="AA1115" s="152"/>
      <c r="AB1115" s="152"/>
    </row>
    <row r="1116" spans="1:28" hidden="1" outlineLevel="1">
      <c r="A1116" s="199">
        <f t="shared" si="1623"/>
        <v>17</v>
      </c>
      <c r="B1116" s="190" t="str">
        <f t="shared" ca="1" si="1624"/>
        <v>Depreciated Net Capex 2032-33</v>
      </c>
      <c r="C1116" s="1426"/>
      <c r="D1116" s="1426"/>
      <c r="E1116" s="1426"/>
      <c r="F1116" s="1426"/>
      <c r="G1116" s="1426"/>
      <c r="H1116" s="1426"/>
      <c r="I1116" s="1426"/>
      <c r="J1116" s="1426"/>
      <c r="K1116" s="1426"/>
      <c r="L1116" s="1426"/>
      <c r="M1116" s="1426"/>
      <c r="N1116" s="1426"/>
      <c r="O1116" s="1426"/>
      <c r="P1116" s="1426"/>
      <c r="Q1116" s="1426"/>
      <c r="R1116" s="1426"/>
      <c r="S1116" s="1427"/>
      <c r="T1116" s="1428">
        <f>(T1094*((1+T$11)^0.5)/T$10)</f>
        <v>0</v>
      </c>
      <c r="U1116" s="1423">
        <f ca="1">IF(T1140="n/a",T1116,IFERROR(IF((OFFSET($C1116,0,$A1116))&lt;0,
MIN(0,T1116-(OFFSET($C1116,0,$A1116)/(OFFSET($C1111,-$A1115,$A1116)))),
MAX(0,T1116-(OFFSET($C1116,0,$A1116)/(OFFSET($C1111,-$A1115,$A1116))))),0))</f>
        <v>0</v>
      </c>
      <c r="V1116" s="1423">
        <f t="shared" ca="1" si="1621"/>
        <v>0</v>
      </c>
      <c r="W1116" s="1423">
        <f t="shared" ca="1" si="1622"/>
        <v>0</v>
      </c>
      <c r="X1116" s="202"/>
      <c r="Y1116" s="202"/>
      <c r="Z1116" s="202"/>
      <c r="AA1116" s="152"/>
      <c r="AB1116" s="152"/>
    </row>
    <row r="1117" spans="1:28" hidden="1" outlineLevel="1">
      <c r="A1117" s="199">
        <f t="shared" si="1623"/>
        <v>18</v>
      </c>
      <c r="B1117" s="190" t="str">
        <f t="shared" ca="1" si="1624"/>
        <v>Depreciated Net Capex 2033-34</v>
      </c>
      <c r="C1117" s="1426"/>
      <c r="D1117" s="1426"/>
      <c r="E1117" s="1426"/>
      <c r="F1117" s="1426"/>
      <c r="G1117" s="1426"/>
      <c r="H1117" s="1426"/>
      <c r="I1117" s="1426"/>
      <c r="J1117" s="1426"/>
      <c r="K1117" s="1426"/>
      <c r="L1117" s="1426"/>
      <c r="M1117" s="1426"/>
      <c r="N1117" s="1426"/>
      <c r="O1117" s="1426"/>
      <c r="P1117" s="1426"/>
      <c r="Q1117" s="1426"/>
      <c r="R1117" s="1426"/>
      <c r="S1117" s="1426"/>
      <c r="T1117" s="1427"/>
      <c r="U1117" s="1428">
        <f>(U1094*((1+U$11)^0.5)/U$10)</f>
        <v>0</v>
      </c>
      <c r="V1117" s="1423">
        <f ca="1">IF(U1141="n/a",U1117,IFERROR(IF((OFFSET($C1117,0,$A1117))&lt;0,
MIN(0,U1117-(OFFSET($C1117,0,$A1117)/(OFFSET($C1112,-$A1116,$A1117)))),
MAX(0,U1117-(OFFSET($C1117,0,$A1117)/(OFFSET($C1112,-$A1116,$A1117))))),0))</f>
        <v>0</v>
      </c>
      <c r="W1117" s="1423">
        <f t="shared" ca="1" si="1622"/>
        <v>0</v>
      </c>
      <c r="X1117" s="202"/>
      <c r="Y1117" s="202"/>
      <c r="Z1117" s="202"/>
      <c r="AA1117" s="152"/>
      <c r="AB1117" s="152"/>
    </row>
    <row r="1118" spans="1:28" hidden="1" outlineLevel="1">
      <c r="A1118" s="199">
        <f t="shared" si="1623"/>
        <v>19</v>
      </c>
      <c r="B1118" s="190" t="str">
        <f t="shared" ca="1" si="1624"/>
        <v>Depreciated Net Capex 2034-35</v>
      </c>
      <c r="C1118" s="1426"/>
      <c r="D1118" s="1426"/>
      <c r="E1118" s="1426"/>
      <c r="F1118" s="1426"/>
      <c r="G1118" s="1426"/>
      <c r="H1118" s="1426"/>
      <c r="I1118" s="1426"/>
      <c r="J1118" s="1426"/>
      <c r="K1118" s="1426"/>
      <c r="L1118" s="1426"/>
      <c r="M1118" s="1426"/>
      <c r="N1118" s="1426"/>
      <c r="O1118" s="1426"/>
      <c r="P1118" s="1426"/>
      <c r="Q1118" s="1426"/>
      <c r="R1118" s="1426"/>
      <c r="S1118" s="1426"/>
      <c r="T1118" s="1426"/>
      <c r="U1118" s="1427"/>
      <c r="V1118" s="1428">
        <f>(V1094*((1+V$11)^0.5)/V$10)</f>
        <v>0</v>
      </c>
      <c r="W1118" s="1423">
        <f ca="1">IF(V1142="n/a",V1118,IFERROR(IF((OFFSET($C1118,0,$A1118))&lt;0,
MIN(0,V1118-(OFFSET($C1118,0,$A1118)/(OFFSET($C1113,-$A1117,$A1118)))),
MAX(0,V1118-(OFFSET($C1118,0,$A1118)/(OFFSET($C1113,-$A1117,$A1118))))),0))</f>
        <v>0</v>
      </c>
      <c r="X1118" s="202"/>
      <c r="Y1118" s="202"/>
      <c r="Z1118" s="202"/>
      <c r="AA1118" s="152"/>
      <c r="AB1118" s="152"/>
    </row>
    <row r="1119" spans="1:28" hidden="1" outlineLevel="1">
      <c r="A1119" s="199">
        <f t="shared" si="1623"/>
        <v>20</v>
      </c>
      <c r="B1119" s="190" t="str">
        <f ca="1">"Depreciated Net Capex "&amp;OFFSET($C$6,0,A1119)</f>
        <v>Depreciated Net Capex 2035-36</v>
      </c>
      <c r="C1119" s="1426"/>
      <c r="D1119" s="1426"/>
      <c r="E1119" s="1426"/>
      <c r="F1119" s="1426"/>
      <c r="G1119" s="1426"/>
      <c r="H1119" s="1426"/>
      <c r="I1119" s="1426"/>
      <c r="J1119" s="1426"/>
      <c r="K1119" s="1426"/>
      <c r="L1119" s="1426"/>
      <c r="M1119" s="1426"/>
      <c r="N1119" s="1426"/>
      <c r="O1119" s="1426"/>
      <c r="P1119" s="1426"/>
      <c r="Q1119" s="1426"/>
      <c r="R1119" s="1426"/>
      <c r="S1119" s="1426"/>
      <c r="T1119" s="1426"/>
      <c r="U1119" s="1426"/>
      <c r="V1119" s="1427"/>
      <c r="W1119" s="1423">
        <f>(W1094*((1+W$11)^0.5)/W$10)</f>
        <v>0</v>
      </c>
      <c r="X1119" s="152"/>
      <c r="Y1119" s="152"/>
      <c r="Z1119" s="152"/>
      <c r="AA1119" s="152"/>
      <c r="AB1119" s="152"/>
    </row>
    <row r="1120" spans="1:28" hidden="1" outlineLevel="1">
      <c r="A1120" s="152"/>
      <c r="B1120" s="200"/>
      <c r="C1120" s="1423"/>
      <c r="D1120" s="1423"/>
      <c r="E1120" s="1423"/>
      <c r="F1120" s="1423"/>
      <c r="G1120" s="1423"/>
      <c r="H1120" s="1423"/>
      <c r="I1120" s="1423"/>
      <c r="J1120" s="1423"/>
      <c r="K1120" s="1423"/>
      <c r="L1120" s="1423"/>
      <c r="M1120" s="1423"/>
      <c r="N1120" s="1423"/>
      <c r="O1120" s="1423"/>
      <c r="P1120" s="1423"/>
      <c r="Q1120" s="1423"/>
      <c r="R1120" s="1423"/>
      <c r="S1120" s="1423"/>
      <c r="T1120" s="1423"/>
      <c r="U1120" s="1423"/>
      <c r="V1120" s="1423"/>
      <c r="W1120" s="1423"/>
      <c r="X1120" s="152"/>
      <c r="Y1120" s="152"/>
      <c r="Z1120" s="152"/>
      <c r="AA1120" s="152"/>
      <c r="AB1120" s="152"/>
    </row>
    <row r="1121" spans="1:28" hidden="1" outlineLevel="1">
      <c r="A1121" s="152"/>
      <c r="B1121" s="200"/>
      <c r="C1121" s="1423"/>
      <c r="D1121" s="1423"/>
      <c r="E1121" s="1423"/>
      <c r="F1121" s="1423"/>
      <c r="G1121" s="1423"/>
      <c r="H1121" s="1423"/>
      <c r="I1121" s="1423"/>
      <c r="J1121" s="1423"/>
      <c r="K1121" s="1423"/>
      <c r="L1121" s="1423"/>
      <c r="M1121" s="1423"/>
      <c r="N1121" s="1423"/>
      <c r="O1121" s="1423"/>
      <c r="P1121" s="1423"/>
      <c r="Q1121" s="1423"/>
      <c r="R1121" s="1423"/>
      <c r="S1121" s="1423"/>
      <c r="T1121" s="1423"/>
      <c r="U1121" s="1423"/>
      <c r="V1121" s="1423"/>
      <c r="W1121" s="1423"/>
      <c r="X1121" s="152"/>
      <c r="Y1121" s="152"/>
      <c r="Z1121" s="152"/>
      <c r="AA1121" s="152"/>
      <c r="AB1121" s="152"/>
    </row>
    <row r="1122" spans="1:28" hidden="1" outlineLevel="1">
      <c r="A1122" s="152"/>
      <c r="B1122" s="190" t="s">
        <v>190</v>
      </c>
      <c r="C1122" s="1423"/>
      <c r="D1122" s="1423">
        <f ca="1">IF(AND(C1122&lt;1,D1096=0),0,
IF(D1096=0,C1122-1,
IF(C1122&lt;1,D1097,
(((C1122-1)*(C1098-(C1098/(C1122))))+((D1096/D$10)*D1097))/(D1098))))</f>
        <v>0</v>
      </c>
      <c r="E1122" s="1423">
        <f t="shared" ref="E1122" ca="1" si="1625">IF(AND(D1122&lt;1,E1096=0),0,
IF(E1096=0,D1122-1,
IF(D1122&lt;1,E1097,
(((D1122-1)*(D1098-(D1098/(D1122))))+((E1096/E$10)*E1097))/(E1098))))</f>
        <v>0</v>
      </c>
      <c r="F1122" s="1423">
        <f t="shared" ref="F1122" ca="1" si="1626">IF(AND(E1122&lt;1,F1096=0),0,
IF(F1096=0,E1122-1,
IF(E1122&lt;1,F1097,
(((E1122-1)*(E1098-(E1098/(E1122))))+((F1096/F$10)*F1097))/(F1098))))</f>
        <v>0</v>
      </c>
      <c r="G1122" s="1423">
        <f t="shared" ref="G1122" ca="1" si="1627">IF(AND(F1122&lt;1,G1096=0),0,
IF(G1096=0,F1122-1,
IF(F1122&lt;1,G1097,
(((F1122-1)*(F1098-(F1098/(F1122))))+((G1096/G$10)*G1097))/(G1098))))</f>
        <v>0</v>
      </c>
      <c r="H1122" s="1423">
        <f t="shared" ref="H1122" ca="1" si="1628">IF(AND(G1122&lt;1,H1096=0),0,
IF(H1096=0,G1122-1,
IF(G1122&lt;1,H1097,
(((G1122-1)*(G1098-(G1098/(G1122))))+((H1096/H$10)*H1097))/(H1098))))</f>
        <v>0</v>
      </c>
      <c r="I1122" s="1423">
        <f t="shared" ref="I1122" ca="1" si="1629">IF(AND(H1122&lt;1,I1096=0),0,
IF(I1096=0,H1122-1,
IF(H1122&lt;1,I1097,
(((H1122-1)*(H1098-(H1098/(H1122))))+((I1096/I$10)*I1097))/(I1098))))</f>
        <v>0</v>
      </c>
      <c r="J1122" s="1423">
        <f t="shared" ref="J1122" ca="1" si="1630">IF(AND(I1122&lt;1,J1096=0),0,
IF(J1096=0,I1122-1,
IF(I1122&lt;1,J1097,
(((I1122-1)*(I1098-(I1098/(I1122))))+((J1096/J$10)*J1097))/(J1098))))</f>
        <v>0</v>
      </c>
      <c r="K1122" s="1423">
        <f t="shared" ref="K1122" ca="1" si="1631">IF(AND(J1122&lt;1,K1096=0),0,
IF(K1096=0,J1122-1,
IF(J1122&lt;1,K1097,
(((J1122-1)*(J1098-(J1098/(J1122))))+((K1096/K$10)*K1097))/(K1098))))</f>
        <v>0</v>
      </c>
      <c r="L1122" s="1423">
        <f t="shared" ref="L1122" ca="1" si="1632">IF(AND(K1122&lt;1,L1096=0),0,
IF(L1096=0,K1122-1,
IF(K1122&lt;1,L1097,
(((K1122-1)*(K1098-(K1098/(K1122))))+((L1096/L$10)*L1097))/(L1098))))</f>
        <v>0</v>
      </c>
      <c r="M1122" s="1423">
        <f t="shared" ref="M1122" ca="1" si="1633">IF(AND(L1122&lt;1,M1096=0),0,
IF(M1096=0,L1122-1,
IF(L1122&lt;1,M1097,
(((L1122-1)*(L1098-(L1098/(L1122))))+((M1096/M$10)*M1097))/(M1098))))</f>
        <v>0</v>
      </c>
      <c r="N1122" s="1423">
        <f t="shared" ref="N1122" ca="1" si="1634">IF(AND(M1122&lt;1,N1096=0),0,
IF(N1096=0,M1122-1,
IF(M1122&lt;1,N1097,
(((M1122-1)*(M1098-(M1098/(M1122))))+((N1096/N$10)*N1097))/(N1098))))</f>
        <v>0</v>
      </c>
      <c r="O1122" s="1423">
        <f t="shared" ref="O1122" ca="1" si="1635">IF(AND(N1122&lt;1,O1096=0),0,
IF(O1096=0,N1122-1,
IF(N1122&lt;1,O1097,
(((N1122-1)*(N1098-(N1098/(N1122))))+((O1096/O$10)*O1097))/(O1098))))</f>
        <v>0</v>
      </c>
      <c r="P1122" s="1423">
        <f t="shared" ref="P1122" ca="1" si="1636">IF(AND(O1122&lt;1,P1096=0),0,
IF(P1096=0,O1122-1,
IF(O1122&lt;1,P1097,
(((O1122-1)*(O1098-(O1098/(O1122))))+((P1096/P$10)*P1097))/(P1098))))</f>
        <v>0</v>
      </c>
      <c r="Q1122" s="1423">
        <f t="shared" ref="Q1122" ca="1" si="1637">IF(AND(P1122&lt;1,Q1096=0),0,
IF(Q1096=0,P1122-1,
IF(P1122&lt;1,Q1097,
(((P1122-1)*(P1098-(P1098/(P1122))))+((Q1096/Q$10)*Q1097))/(Q1098))))</f>
        <v>0</v>
      </c>
      <c r="R1122" s="1423">
        <f t="shared" ref="R1122" ca="1" si="1638">IF(AND(Q1122&lt;1,R1096=0),0,
IF(R1096=0,Q1122-1,
IF(Q1122&lt;1,R1097,
(((Q1122-1)*(Q1098-(Q1098/(Q1122))))+((R1096/R$10)*R1097))/(R1098))))</f>
        <v>0</v>
      </c>
      <c r="S1122" s="1423">
        <f t="shared" ref="S1122" ca="1" si="1639">IF(AND(R1122&lt;1,S1096=0),0,
IF(S1096=0,R1122-1,
IF(R1122&lt;1,S1097,
(((R1122-1)*(R1098-(R1098/(R1122))))+((S1096/S$10)*S1097))/(S1098))))</f>
        <v>0</v>
      </c>
      <c r="T1122" s="1423">
        <f t="shared" ref="T1122" ca="1" si="1640">IF(AND(S1122&lt;1,T1096=0),0,
IF(T1096=0,S1122-1,
IF(S1122&lt;1,T1097,
(((S1122-1)*(S1098-(S1098/(S1122))))+((T1096/T$10)*T1097))/(T1098))))</f>
        <v>0</v>
      </c>
      <c r="U1122" s="1423">
        <f t="shared" ref="U1122" ca="1" si="1641">IF(AND(T1122&lt;1,U1096=0),0,
IF(U1096=0,T1122-1,
IF(T1122&lt;1,U1097,
(((T1122-1)*(T1098-(T1098/(T1122))))+((U1096/U$10)*U1097))/(U1098))))</f>
        <v>0</v>
      </c>
      <c r="V1122" s="1423">
        <f t="shared" ref="V1122" ca="1" si="1642">IF(AND(U1122&lt;1,V1096=0),0,
IF(V1096=0,U1122-1,
IF(U1122&lt;1,V1097,
(((U1122-1)*(U1098-(U1098/(U1122))))+((V1096/V$10)*V1097))/(V1098))))</f>
        <v>0</v>
      </c>
      <c r="W1122" s="1423">
        <f t="shared" ref="W1122" ca="1" si="1643">IF(AND(V1122&lt;1,W1096=0),0,
IF(W1096=0,V1122-1,
IF(V1122&lt;1,W1097,
(((V1122-1)*(V1098-(V1098/(V1122))))+((W1096/W$10)*W1097))/(W1098))))</f>
        <v>0</v>
      </c>
      <c r="X1122" s="152"/>
      <c r="Y1122" s="152"/>
      <c r="Z1122" s="152"/>
      <c r="AA1122" s="152"/>
      <c r="AB1122" s="152"/>
    </row>
    <row r="1123" spans="1:28" hidden="1" outlineLevel="1">
      <c r="A1123" s="152"/>
      <c r="B1123" s="190" t="s">
        <v>122</v>
      </c>
      <c r="C1123" s="1423">
        <f ca="1">C1095</f>
        <v>0</v>
      </c>
      <c r="D1123" s="1423">
        <f t="shared" ref="D1123" ca="1" si="1644">IF(C1123="n/a","n/a",MAX(0,C1123-1))</f>
        <v>0</v>
      </c>
      <c r="E1123" s="1423">
        <f t="shared" ref="E1123:E1124" ca="1" si="1645">IF(D1123="n/a","n/a",MAX(0,D1123-1))</f>
        <v>0</v>
      </c>
      <c r="F1123" s="1423">
        <f t="shared" ref="F1123:F1125" ca="1" si="1646">IF(E1123="n/a","n/a",MAX(0,E1123-1))</f>
        <v>0</v>
      </c>
      <c r="G1123" s="1423">
        <f t="shared" ref="G1123:G1126" ca="1" si="1647">IF(F1123="n/a","n/a",MAX(0,F1123-1))</f>
        <v>0</v>
      </c>
      <c r="H1123" s="1423">
        <f t="shared" ref="H1123:H1127" ca="1" si="1648">IF(G1123="n/a","n/a",MAX(0,G1123-1))</f>
        <v>0</v>
      </c>
      <c r="I1123" s="1423">
        <f t="shared" ref="I1123:I1128" ca="1" si="1649">IF(H1123="n/a","n/a",MAX(0,H1123-1))</f>
        <v>0</v>
      </c>
      <c r="J1123" s="1423">
        <f t="shared" ref="J1123:J1129" ca="1" si="1650">IF(I1123="n/a","n/a",MAX(0,I1123-1))</f>
        <v>0</v>
      </c>
      <c r="K1123" s="1423">
        <f t="shared" ref="K1123:K1130" ca="1" si="1651">IF(J1123="n/a","n/a",MAX(0,J1123-1))</f>
        <v>0</v>
      </c>
      <c r="L1123" s="1423">
        <f t="shared" ref="L1123:L1131" ca="1" si="1652">IF(K1123="n/a","n/a",MAX(0,K1123-1))</f>
        <v>0</v>
      </c>
      <c r="M1123" s="1423">
        <f t="shared" ref="M1123:M1132" ca="1" si="1653">IF(L1123="n/a","n/a",MAX(0,L1123-1))</f>
        <v>0</v>
      </c>
      <c r="N1123" s="1423">
        <f t="shared" ref="N1123:N1133" ca="1" si="1654">IF(M1123="n/a","n/a",MAX(0,M1123-1))</f>
        <v>0</v>
      </c>
      <c r="O1123" s="1423">
        <f t="shared" ref="O1123:O1134" ca="1" si="1655">IF(N1123="n/a","n/a",MAX(0,N1123-1))</f>
        <v>0</v>
      </c>
      <c r="P1123" s="1423">
        <f t="shared" ref="P1123:P1135" ca="1" si="1656">IF(O1123="n/a","n/a",MAX(0,O1123-1))</f>
        <v>0</v>
      </c>
      <c r="Q1123" s="1423">
        <f t="shared" ref="Q1123:Q1136" ca="1" si="1657">IF(P1123="n/a","n/a",MAX(0,P1123-1))</f>
        <v>0</v>
      </c>
      <c r="R1123" s="1423">
        <f t="shared" ref="R1123:R1137" ca="1" si="1658">IF(Q1123="n/a","n/a",MAX(0,Q1123-1))</f>
        <v>0</v>
      </c>
      <c r="S1123" s="1423">
        <f t="shared" ref="S1123:S1138" ca="1" si="1659">IF(R1123="n/a","n/a",MAX(0,R1123-1))</f>
        <v>0</v>
      </c>
      <c r="T1123" s="1423">
        <f t="shared" ref="T1123:T1139" ca="1" si="1660">IF(S1123="n/a","n/a",MAX(0,S1123-1))</f>
        <v>0</v>
      </c>
      <c r="U1123" s="1423">
        <f t="shared" ref="U1123:U1140" ca="1" si="1661">IF(T1123="n/a","n/a",MAX(0,T1123-1))</f>
        <v>0</v>
      </c>
      <c r="V1123" s="1423">
        <f t="shared" ref="V1123:V1141" ca="1" si="1662">IF(U1123="n/a","n/a",MAX(0,U1123-1))</f>
        <v>0</v>
      </c>
      <c r="W1123" s="1423">
        <f t="shared" ref="W1123:W1141" ca="1" si="1663">IF(V1123="n/a","n/a",MAX(0,V1123-1))</f>
        <v>0</v>
      </c>
      <c r="X1123" s="152"/>
      <c r="Y1123" s="152"/>
      <c r="Z1123" s="152"/>
      <c r="AA1123" s="152"/>
      <c r="AB1123" s="152"/>
    </row>
    <row r="1124" spans="1:28" hidden="1" outlineLevel="1">
      <c r="A1124" s="152"/>
      <c r="B1124" s="190" t="str">
        <f t="shared" ref="B1124:B1143" ca="1" si="1664">"RL Capex "&amp;OFFSET($C$6,0,A1100)</f>
        <v>RL Capex 2016-17</v>
      </c>
      <c r="C1124" s="1424"/>
      <c r="D1124" s="1428">
        <f>D1095</f>
        <v>0</v>
      </c>
      <c r="E1124" s="1423">
        <f t="shared" si="1645"/>
        <v>0</v>
      </c>
      <c r="F1124" s="1423">
        <f t="shared" si="1646"/>
        <v>0</v>
      </c>
      <c r="G1124" s="1423">
        <f t="shared" si="1647"/>
        <v>0</v>
      </c>
      <c r="H1124" s="1423">
        <f t="shared" si="1648"/>
        <v>0</v>
      </c>
      <c r="I1124" s="1423">
        <f t="shared" si="1649"/>
        <v>0</v>
      </c>
      <c r="J1124" s="1423">
        <f t="shared" si="1650"/>
        <v>0</v>
      </c>
      <c r="K1124" s="1423">
        <f t="shared" si="1651"/>
        <v>0</v>
      </c>
      <c r="L1124" s="1423">
        <f t="shared" si="1652"/>
        <v>0</v>
      </c>
      <c r="M1124" s="1423">
        <f t="shared" si="1653"/>
        <v>0</v>
      </c>
      <c r="N1124" s="1423">
        <f t="shared" si="1654"/>
        <v>0</v>
      </c>
      <c r="O1124" s="1423">
        <f t="shared" si="1655"/>
        <v>0</v>
      </c>
      <c r="P1124" s="1423">
        <f t="shared" si="1656"/>
        <v>0</v>
      </c>
      <c r="Q1124" s="1423">
        <f t="shared" si="1657"/>
        <v>0</v>
      </c>
      <c r="R1124" s="1423">
        <f t="shared" si="1658"/>
        <v>0</v>
      </c>
      <c r="S1124" s="1423">
        <f t="shared" si="1659"/>
        <v>0</v>
      </c>
      <c r="T1124" s="1423">
        <f t="shared" si="1660"/>
        <v>0</v>
      </c>
      <c r="U1124" s="1423">
        <f t="shared" si="1661"/>
        <v>0</v>
      </c>
      <c r="V1124" s="1423">
        <f t="shared" si="1662"/>
        <v>0</v>
      </c>
      <c r="W1124" s="1423">
        <f t="shared" si="1663"/>
        <v>0</v>
      </c>
      <c r="X1124" s="152"/>
      <c r="Y1124" s="152"/>
      <c r="Z1124" s="152"/>
      <c r="AA1124" s="152"/>
      <c r="AB1124" s="152"/>
    </row>
    <row r="1125" spans="1:28" hidden="1" outlineLevel="1">
      <c r="A1125" s="152"/>
      <c r="B1125" s="190" t="str">
        <f t="shared" ca="1" si="1664"/>
        <v>RL Capex 2017-18</v>
      </c>
      <c r="C1125" s="1429"/>
      <c r="D1125" s="1424"/>
      <c r="E1125" s="1428">
        <f>E1095</f>
        <v>0</v>
      </c>
      <c r="F1125" s="1423">
        <f t="shared" si="1646"/>
        <v>0</v>
      </c>
      <c r="G1125" s="1423">
        <f t="shared" si="1647"/>
        <v>0</v>
      </c>
      <c r="H1125" s="1423">
        <f t="shared" si="1648"/>
        <v>0</v>
      </c>
      <c r="I1125" s="1423">
        <f t="shared" si="1649"/>
        <v>0</v>
      </c>
      <c r="J1125" s="1423">
        <f t="shared" si="1650"/>
        <v>0</v>
      </c>
      <c r="K1125" s="1423">
        <f t="shared" si="1651"/>
        <v>0</v>
      </c>
      <c r="L1125" s="1423">
        <f t="shared" si="1652"/>
        <v>0</v>
      </c>
      <c r="M1125" s="1423">
        <f t="shared" si="1653"/>
        <v>0</v>
      </c>
      <c r="N1125" s="1423">
        <f t="shared" si="1654"/>
        <v>0</v>
      </c>
      <c r="O1125" s="1423">
        <f t="shared" si="1655"/>
        <v>0</v>
      </c>
      <c r="P1125" s="1423">
        <f t="shared" si="1656"/>
        <v>0</v>
      </c>
      <c r="Q1125" s="1423">
        <f t="shared" si="1657"/>
        <v>0</v>
      </c>
      <c r="R1125" s="1423">
        <f t="shared" si="1658"/>
        <v>0</v>
      </c>
      <c r="S1125" s="1423">
        <f t="shared" si="1659"/>
        <v>0</v>
      </c>
      <c r="T1125" s="1423">
        <f t="shared" si="1660"/>
        <v>0</v>
      </c>
      <c r="U1125" s="1423">
        <f t="shared" si="1661"/>
        <v>0</v>
      </c>
      <c r="V1125" s="1423">
        <f t="shared" si="1662"/>
        <v>0</v>
      </c>
      <c r="W1125" s="1423">
        <f t="shared" si="1663"/>
        <v>0</v>
      </c>
      <c r="X1125" s="152"/>
      <c r="Y1125" s="152"/>
      <c r="Z1125" s="152"/>
      <c r="AA1125" s="152"/>
      <c r="AB1125" s="152"/>
    </row>
    <row r="1126" spans="1:28" hidden="1" outlineLevel="1">
      <c r="A1126" s="152"/>
      <c r="B1126" s="190" t="str">
        <f t="shared" ca="1" si="1664"/>
        <v>RL Capex 2018-19</v>
      </c>
      <c r="C1126" s="1429"/>
      <c r="D1126" s="1429"/>
      <c r="E1126" s="1424"/>
      <c r="F1126" s="1428">
        <f>F1095</f>
        <v>0</v>
      </c>
      <c r="G1126" s="1423">
        <f t="shared" si="1647"/>
        <v>0</v>
      </c>
      <c r="H1126" s="1423">
        <f t="shared" si="1648"/>
        <v>0</v>
      </c>
      <c r="I1126" s="1423">
        <f t="shared" si="1649"/>
        <v>0</v>
      </c>
      <c r="J1126" s="1423">
        <f t="shared" si="1650"/>
        <v>0</v>
      </c>
      <c r="K1126" s="1423">
        <f t="shared" si="1651"/>
        <v>0</v>
      </c>
      <c r="L1126" s="1423">
        <f t="shared" si="1652"/>
        <v>0</v>
      </c>
      <c r="M1126" s="1423">
        <f t="shared" si="1653"/>
        <v>0</v>
      </c>
      <c r="N1126" s="1423">
        <f t="shared" si="1654"/>
        <v>0</v>
      </c>
      <c r="O1126" s="1423">
        <f t="shared" si="1655"/>
        <v>0</v>
      </c>
      <c r="P1126" s="1423">
        <f t="shared" si="1656"/>
        <v>0</v>
      </c>
      <c r="Q1126" s="1423">
        <f t="shared" si="1657"/>
        <v>0</v>
      </c>
      <c r="R1126" s="1423">
        <f t="shared" si="1658"/>
        <v>0</v>
      </c>
      <c r="S1126" s="1423">
        <f t="shared" si="1659"/>
        <v>0</v>
      </c>
      <c r="T1126" s="1423">
        <f t="shared" si="1660"/>
        <v>0</v>
      </c>
      <c r="U1126" s="1423">
        <f t="shared" si="1661"/>
        <v>0</v>
      </c>
      <c r="V1126" s="1423">
        <f t="shared" si="1662"/>
        <v>0</v>
      </c>
      <c r="W1126" s="1423">
        <f t="shared" si="1663"/>
        <v>0</v>
      </c>
      <c r="X1126" s="152"/>
      <c r="Y1126" s="152"/>
      <c r="Z1126" s="152"/>
      <c r="AA1126" s="152"/>
      <c r="AB1126" s="152"/>
    </row>
    <row r="1127" spans="1:28" hidden="1" outlineLevel="1">
      <c r="A1127" s="152"/>
      <c r="B1127" s="190" t="str">
        <f t="shared" ca="1" si="1664"/>
        <v>RL Capex 2019-20</v>
      </c>
      <c r="C1127" s="1429"/>
      <c r="D1127" s="1429"/>
      <c r="E1127" s="1429"/>
      <c r="F1127" s="1424"/>
      <c r="G1127" s="1428">
        <f>G1095</f>
        <v>0</v>
      </c>
      <c r="H1127" s="1423">
        <f t="shared" si="1648"/>
        <v>0</v>
      </c>
      <c r="I1127" s="1423">
        <f t="shared" si="1649"/>
        <v>0</v>
      </c>
      <c r="J1127" s="1423">
        <f t="shared" si="1650"/>
        <v>0</v>
      </c>
      <c r="K1127" s="1423">
        <f t="shared" si="1651"/>
        <v>0</v>
      </c>
      <c r="L1127" s="1423">
        <f t="shared" si="1652"/>
        <v>0</v>
      </c>
      <c r="M1127" s="1423">
        <f t="shared" si="1653"/>
        <v>0</v>
      </c>
      <c r="N1127" s="1423">
        <f t="shared" si="1654"/>
        <v>0</v>
      </c>
      <c r="O1127" s="1423">
        <f t="shared" si="1655"/>
        <v>0</v>
      </c>
      <c r="P1127" s="1423">
        <f t="shared" si="1656"/>
        <v>0</v>
      </c>
      <c r="Q1127" s="1423">
        <f t="shared" si="1657"/>
        <v>0</v>
      </c>
      <c r="R1127" s="1423">
        <f t="shared" si="1658"/>
        <v>0</v>
      </c>
      <c r="S1127" s="1423">
        <f t="shared" si="1659"/>
        <v>0</v>
      </c>
      <c r="T1127" s="1423">
        <f t="shared" si="1660"/>
        <v>0</v>
      </c>
      <c r="U1127" s="1423">
        <f t="shared" si="1661"/>
        <v>0</v>
      </c>
      <c r="V1127" s="1423">
        <f t="shared" si="1662"/>
        <v>0</v>
      </c>
      <c r="W1127" s="1423">
        <f t="shared" si="1663"/>
        <v>0</v>
      </c>
      <c r="X1127" s="152"/>
      <c r="Y1127" s="152"/>
      <c r="Z1127" s="152"/>
      <c r="AA1127" s="152"/>
      <c r="AB1127" s="152"/>
    </row>
    <row r="1128" spans="1:28" hidden="1" outlineLevel="1">
      <c r="A1128" s="152"/>
      <c r="B1128" s="190" t="str">
        <f t="shared" ca="1" si="1664"/>
        <v>RL Capex 2020-21</v>
      </c>
      <c r="C1128" s="1429"/>
      <c r="D1128" s="1429"/>
      <c r="E1128" s="1429"/>
      <c r="F1128" s="1429"/>
      <c r="G1128" s="1424"/>
      <c r="H1128" s="1428">
        <f>H1095</f>
        <v>0</v>
      </c>
      <c r="I1128" s="1423">
        <f t="shared" si="1649"/>
        <v>0</v>
      </c>
      <c r="J1128" s="1423">
        <f t="shared" si="1650"/>
        <v>0</v>
      </c>
      <c r="K1128" s="1423">
        <f t="shared" si="1651"/>
        <v>0</v>
      </c>
      <c r="L1128" s="1423">
        <f t="shared" si="1652"/>
        <v>0</v>
      </c>
      <c r="M1128" s="1423">
        <f t="shared" si="1653"/>
        <v>0</v>
      </c>
      <c r="N1128" s="1423">
        <f t="shared" si="1654"/>
        <v>0</v>
      </c>
      <c r="O1128" s="1423">
        <f t="shared" si="1655"/>
        <v>0</v>
      </c>
      <c r="P1128" s="1423">
        <f t="shared" si="1656"/>
        <v>0</v>
      </c>
      <c r="Q1128" s="1423">
        <f t="shared" si="1657"/>
        <v>0</v>
      </c>
      <c r="R1128" s="1423">
        <f t="shared" si="1658"/>
        <v>0</v>
      </c>
      <c r="S1128" s="1423">
        <f t="shared" si="1659"/>
        <v>0</v>
      </c>
      <c r="T1128" s="1423">
        <f t="shared" si="1660"/>
        <v>0</v>
      </c>
      <c r="U1128" s="1423">
        <f t="shared" si="1661"/>
        <v>0</v>
      </c>
      <c r="V1128" s="1423">
        <f t="shared" si="1662"/>
        <v>0</v>
      </c>
      <c r="W1128" s="1423">
        <f t="shared" si="1663"/>
        <v>0</v>
      </c>
      <c r="X1128" s="152"/>
      <c r="Y1128" s="152"/>
      <c r="Z1128" s="152"/>
      <c r="AA1128" s="152"/>
      <c r="AB1128" s="152"/>
    </row>
    <row r="1129" spans="1:28" hidden="1" outlineLevel="1">
      <c r="A1129" s="152"/>
      <c r="B1129" s="190" t="str">
        <f t="shared" ca="1" si="1664"/>
        <v>RL Capex 2021-22</v>
      </c>
      <c r="C1129" s="1429"/>
      <c r="D1129" s="1429"/>
      <c r="E1129" s="1429"/>
      <c r="F1129" s="1429"/>
      <c r="G1129" s="1429"/>
      <c r="H1129" s="1424"/>
      <c r="I1129" s="1428">
        <f>I1095</f>
        <v>0</v>
      </c>
      <c r="J1129" s="1423">
        <f t="shared" si="1650"/>
        <v>0</v>
      </c>
      <c r="K1129" s="1423">
        <f t="shared" si="1651"/>
        <v>0</v>
      </c>
      <c r="L1129" s="1423">
        <f t="shared" si="1652"/>
        <v>0</v>
      </c>
      <c r="M1129" s="1423">
        <f t="shared" si="1653"/>
        <v>0</v>
      </c>
      <c r="N1129" s="1423">
        <f t="shared" si="1654"/>
        <v>0</v>
      </c>
      <c r="O1129" s="1423">
        <f t="shared" si="1655"/>
        <v>0</v>
      </c>
      <c r="P1129" s="1423">
        <f t="shared" si="1656"/>
        <v>0</v>
      </c>
      <c r="Q1129" s="1423">
        <f t="shared" si="1657"/>
        <v>0</v>
      </c>
      <c r="R1129" s="1423">
        <f t="shared" si="1658"/>
        <v>0</v>
      </c>
      <c r="S1129" s="1423">
        <f t="shared" si="1659"/>
        <v>0</v>
      </c>
      <c r="T1129" s="1423">
        <f t="shared" si="1660"/>
        <v>0</v>
      </c>
      <c r="U1129" s="1423">
        <f t="shared" si="1661"/>
        <v>0</v>
      </c>
      <c r="V1129" s="1423">
        <f t="shared" si="1662"/>
        <v>0</v>
      </c>
      <c r="W1129" s="1423">
        <f t="shared" si="1663"/>
        <v>0</v>
      </c>
      <c r="X1129" s="152"/>
      <c r="Y1129" s="152"/>
      <c r="Z1129" s="152"/>
      <c r="AA1129" s="152"/>
      <c r="AB1129" s="152"/>
    </row>
    <row r="1130" spans="1:28" hidden="1" outlineLevel="1">
      <c r="A1130" s="152"/>
      <c r="B1130" s="190" t="str">
        <f t="shared" ca="1" si="1664"/>
        <v>RL Capex 2022-23</v>
      </c>
      <c r="C1130" s="1429"/>
      <c r="D1130" s="1429"/>
      <c r="E1130" s="1429"/>
      <c r="F1130" s="1429"/>
      <c r="G1130" s="1429"/>
      <c r="H1130" s="1429"/>
      <c r="I1130" s="1424"/>
      <c r="J1130" s="1428">
        <f>J1095</f>
        <v>0</v>
      </c>
      <c r="K1130" s="1423">
        <f t="shared" si="1651"/>
        <v>0</v>
      </c>
      <c r="L1130" s="1423">
        <f t="shared" si="1652"/>
        <v>0</v>
      </c>
      <c r="M1130" s="1423">
        <f t="shared" si="1653"/>
        <v>0</v>
      </c>
      <c r="N1130" s="1423">
        <f t="shared" si="1654"/>
        <v>0</v>
      </c>
      <c r="O1130" s="1423">
        <f t="shared" si="1655"/>
        <v>0</v>
      </c>
      <c r="P1130" s="1423">
        <f t="shared" si="1656"/>
        <v>0</v>
      </c>
      <c r="Q1130" s="1423">
        <f t="shared" si="1657"/>
        <v>0</v>
      </c>
      <c r="R1130" s="1423">
        <f t="shared" si="1658"/>
        <v>0</v>
      </c>
      <c r="S1130" s="1423">
        <f t="shared" si="1659"/>
        <v>0</v>
      </c>
      <c r="T1130" s="1423">
        <f t="shared" si="1660"/>
        <v>0</v>
      </c>
      <c r="U1130" s="1423">
        <f t="shared" si="1661"/>
        <v>0</v>
      </c>
      <c r="V1130" s="1423">
        <f t="shared" si="1662"/>
        <v>0</v>
      </c>
      <c r="W1130" s="1423">
        <f t="shared" si="1663"/>
        <v>0</v>
      </c>
      <c r="X1130" s="152"/>
      <c r="Y1130" s="152"/>
      <c r="Z1130" s="152"/>
      <c r="AA1130" s="152"/>
      <c r="AB1130" s="152"/>
    </row>
    <row r="1131" spans="1:28" hidden="1" outlineLevel="1">
      <c r="A1131" s="152"/>
      <c r="B1131" s="190" t="str">
        <f t="shared" ca="1" si="1664"/>
        <v>RL Capex 2023-24</v>
      </c>
      <c r="C1131" s="1429"/>
      <c r="D1131" s="1429"/>
      <c r="E1131" s="1429"/>
      <c r="F1131" s="1429"/>
      <c r="G1131" s="1429"/>
      <c r="H1131" s="1429"/>
      <c r="I1131" s="1429"/>
      <c r="J1131" s="1424"/>
      <c r="K1131" s="1428">
        <f>K1095</f>
        <v>0</v>
      </c>
      <c r="L1131" s="1423">
        <f t="shared" si="1652"/>
        <v>0</v>
      </c>
      <c r="M1131" s="1423">
        <f t="shared" si="1653"/>
        <v>0</v>
      </c>
      <c r="N1131" s="1423">
        <f t="shared" si="1654"/>
        <v>0</v>
      </c>
      <c r="O1131" s="1423">
        <f t="shared" si="1655"/>
        <v>0</v>
      </c>
      <c r="P1131" s="1423">
        <f t="shared" si="1656"/>
        <v>0</v>
      </c>
      <c r="Q1131" s="1423">
        <f t="shared" si="1657"/>
        <v>0</v>
      </c>
      <c r="R1131" s="1423">
        <f t="shared" si="1658"/>
        <v>0</v>
      </c>
      <c r="S1131" s="1423">
        <f t="shared" si="1659"/>
        <v>0</v>
      </c>
      <c r="T1131" s="1423">
        <f t="shared" si="1660"/>
        <v>0</v>
      </c>
      <c r="U1131" s="1423">
        <f t="shared" si="1661"/>
        <v>0</v>
      </c>
      <c r="V1131" s="1423">
        <f t="shared" si="1662"/>
        <v>0</v>
      </c>
      <c r="W1131" s="1423">
        <f t="shared" si="1663"/>
        <v>0</v>
      </c>
      <c r="X1131" s="152"/>
      <c r="Y1131" s="152"/>
      <c r="Z1131" s="152"/>
      <c r="AA1131" s="152"/>
      <c r="AB1131" s="152"/>
    </row>
    <row r="1132" spans="1:28" hidden="1" outlineLevel="1">
      <c r="A1132" s="152"/>
      <c r="B1132" s="190" t="str">
        <f t="shared" ca="1" si="1664"/>
        <v>RL Capex 2024-25</v>
      </c>
      <c r="C1132" s="1429"/>
      <c r="D1132" s="1429"/>
      <c r="E1132" s="1429"/>
      <c r="F1132" s="1429"/>
      <c r="G1132" s="1429"/>
      <c r="H1132" s="1429"/>
      <c r="I1132" s="1429"/>
      <c r="J1132" s="1429"/>
      <c r="K1132" s="1424"/>
      <c r="L1132" s="1428">
        <f>L1095</f>
        <v>0</v>
      </c>
      <c r="M1132" s="1423">
        <f t="shared" si="1653"/>
        <v>0</v>
      </c>
      <c r="N1132" s="1423">
        <f t="shared" si="1654"/>
        <v>0</v>
      </c>
      <c r="O1132" s="1423">
        <f t="shared" si="1655"/>
        <v>0</v>
      </c>
      <c r="P1132" s="1423">
        <f t="shared" si="1656"/>
        <v>0</v>
      </c>
      <c r="Q1132" s="1423">
        <f t="shared" si="1657"/>
        <v>0</v>
      </c>
      <c r="R1132" s="1423">
        <f t="shared" si="1658"/>
        <v>0</v>
      </c>
      <c r="S1132" s="1423">
        <f t="shared" si="1659"/>
        <v>0</v>
      </c>
      <c r="T1132" s="1423">
        <f t="shared" si="1660"/>
        <v>0</v>
      </c>
      <c r="U1132" s="1423">
        <f t="shared" si="1661"/>
        <v>0</v>
      </c>
      <c r="V1132" s="1423">
        <f t="shared" si="1662"/>
        <v>0</v>
      </c>
      <c r="W1132" s="1423">
        <f t="shared" si="1663"/>
        <v>0</v>
      </c>
      <c r="X1132" s="152"/>
      <c r="Y1132" s="152"/>
      <c r="Z1132" s="152"/>
      <c r="AA1132" s="152"/>
      <c r="AB1132" s="152"/>
    </row>
    <row r="1133" spans="1:28" hidden="1" outlineLevel="1">
      <c r="A1133" s="152"/>
      <c r="B1133" s="190" t="str">
        <f t="shared" ca="1" si="1664"/>
        <v>RL Capex 2025-26</v>
      </c>
      <c r="C1133" s="1429"/>
      <c r="D1133" s="1429"/>
      <c r="E1133" s="1429"/>
      <c r="F1133" s="1429"/>
      <c r="G1133" s="1429"/>
      <c r="H1133" s="1429"/>
      <c r="I1133" s="1429"/>
      <c r="J1133" s="1429"/>
      <c r="K1133" s="1429"/>
      <c r="L1133" s="1424"/>
      <c r="M1133" s="1428">
        <f>M1095</f>
        <v>0</v>
      </c>
      <c r="N1133" s="1423">
        <f t="shared" si="1654"/>
        <v>0</v>
      </c>
      <c r="O1133" s="1423">
        <f t="shared" si="1655"/>
        <v>0</v>
      </c>
      <c r="P1133" s="1423">
        <f t="shared" si="1656"/>
        <v>0</v>
      </c>
      <c r="Q1133" s="1423">
        <f t="shared" si="1657"/>
        <v>0</v>
      </c>
      <c r="R1133" s="1423">
        <f t="shared" si="1658"/>
        <v>0</v>
      </c>
      <c r="S1133" s="1423">
        <f t="shared" si="1659"/>
        <v>0</v>
      </c>
      <c r="T1133" s="1423">
        <f t="shared" si="1660"/>
        <v>0</v>
      </c>
      <c r="U1133" s="1423">
        <f t="shared" si="1661"/>
        <v>0</v>
      </c>
      <c r="V1133" s="1423">
        <f t="shared" si="1662"/>
        <v>0</v>
      </c>
      <c r="W1133" s="1423">
        <f t="shared" si="1663"/>
        <v>0</v>
      </c>
      <c r="X1133" s="152"/>
      <c r="Y1133" s="152"/>
      <c r="Z1133" s="152"/>
      <c r="AA1133" s="152"/>
      <c r="AB1133" s="152"/>
    </row>
    <row r="1134" spans="1:28" hidden="1" outlineLevel="1">
      <c r="A1134" s="152"/>
      <c r="B1134" s="190" t="str">
        <f t="shared" ca="1" si="1664"/>
        <v>RL Capex 2026-27</v>
      </c>
      <c r="C1134" s="1429"/>
      <c r="D1134" s="1429"/>
      <c r="E1134" s="1429"/>
      <c r="F1134" s="1429"/>
      <c r="G1134" s="1429"/>
      <c r="H1134" s="1429"/>
      <c r="I1134" s="1429"/>
      <c r="J1134" s="1429"/>
      <c r="K1134" s="1429"/>
      <c r="L1134" s="1429"/>
      <c r="M1134" s="1424"/>
      <c r="N1134" s="1428">
        <f>N1095</f>
        <v>0</v>
      </c>
      <c r="O1134" s="1423">
        <f t="shared" si="1655"/>
        <v>0</v>
      </c>
      <c r="P1134" s="1423">
        <f t="shared" si="1656"/>
        <v>0</v>
      </c>
      <c r="Q1134" s="1423">
        <f t="shared" si="1657"/>
        <v>0</v>
      </c>
      <c r="R1134" s="1423">
        <f t="shared" si="1658"/>
        <v>0</v>
      </c>
      <c r="S1134" s="1423">
        <f t="shared" si="1659"/>
        <v>0</v>
      </c>
      <c r="T1134" s="1423">
        <f t="shared" si="1660"/>
        <v>0</v>
      </c>
      <c r="U1134" s="1423">
        <f t="shared" si="1661"/>
        <v>0</v>
      </c>
      <c r="V1134" s="1423">
        <f t="shared" si="1662"/>
        <v>0</v>
      </c>
      <c r="W1134" s="1423">
        <f t="shared" si="1663"/>
        <v>0</v>
      </c>
      <c r="X1134" s="152"/>
      <c r="Y1134" s="152"/>
      <c r="Z1134" s="152"/>
      <c r="AA1134" s="152"/>
      <c r="AB1134" s="152"/>
    </row>
    <row r="1135" spans="1:28" hidden="1" outlineLevel="1">
      <c r="A1135" s="152"/>
      <c r="B1135" s="190" t="str">
        <f t="shared" ca="1" si="1664"/>
        <v>RL Capex 2027-28</v>
      </c>
      <c r="C1135" s="1429"/>
      <c r="D1135" s="1429"/>
      <c r="E1135" s="1429"/>
      <c r="F1135" s="1429"/>
      <c r="G1135" s="1429"/>
      <c r="H1135" s="1429"/>
      <c r="I1135" s="1429"/>
      <c r="J1135" s="1429"/>
      <c r="K1135" s="1429"/>
      <c r="L1135" s="1429"/>
      <c r="M1135" s="1429"/>
      <c r="N1135" s="1424"/>
      <c r="O1135" s="1428">
        <f>O1095</f>
        <v>0</v>
      </c>
      <c r="P1135" s="1423">
        <f t="shared" si="1656"/>
        <v>0</v>
      </c>
      <c r="Q1135" s="1423">
        <f t="shared" si="1657"/>
        <v>0</v>
      </c>
      <c r="R1135" s="1423">
        <f t="shared" si="1658"/>
        <v>0</v>
      </c>
      <c r="S1135" s="1423">
        <f t="shared" si="1659"/>
        <v>0</v>
      </c>
      <c r="T1135" s="1423">
        <f t="shared" si="1660"/>
        <v>0</v>
      </c>
      <c r="U1135" s="1423">
        <f t="shared" si="1661"/>
        <v>0</v>
      </c>
      <c r="V1135" s="1423">
        <f t="shared" si="1662"/>
        <v>0</v>
      </c>
      <c r="W1135" s="1423">
        <f t="shared" si="1663"/>
        <v>0</v>
      </c>
      <c r="X1135" s="152"/>
      <c r="Y1135" s="152"/>
      <c r="Z1135" s="152"/>
      <c r="AA1135" s="152"/>
      <c r="AB1135" s="152"/>
    </row>
    <row r="1136" spans="1:28" hidden="1" outlineLevel="1">
      <c r="A1136" s="152"/>
      <c r="B1136" s="190" t="str">
        <f t="shared" ca="1" si="1664"/>
        <v>RL Capex 2028-29</v>
      </c>
      <c r="C1136" s="1429"/>
      <c r="D1136" s="1429"/>
      <c r="E1136" s="1429"/>
      <c r="F1136" s="1429"/>
      <c r="G1136" s="1429"/>
      <c r="H1136" s="1429"/>
      <c r="I1136" s="1429"/>
      <c r="J1136" s="1429"/>
      <c r="K1136" s="1429"/>
      <c r="L1136" s="1429"/>
      <c r="M1136" s="1429"/>
      <c r="N1136" s="1429"/>
      <c r="O1136" s="1424"/>
      <c r="P1136" s="1428">
        <f>P1095</f>
        <v>0</v>
      </c>
      <c r="Q1136" s="1423">
        <f t="shared" si="1657"/>
        <v>0</v>
      </c>
      <c r="R1136" s="1423">
        <f t="shared" si="1658"/>
        <v>0</v>
      </c>
      <c r="S1136" s="1423">
        <f t="shared" si="1659"/>
        <v>0</v>
      </c>
      <c r="T1136" s="1423">
        <f t="shared" si="1660"/>
        <v>0</v>
      </c>
      <c r="U1136" s="1423">
        <f t="shared" si="1661"/>
        <v>0</v>
      </c>
      <c r="V1136" s="1423">
        <f t="shared" si="1662"/>
        <v>0</v>
      </c>
      <c r="W1136" s="1423">
        <f t="shared" si="1663"/>
        <v>0</v>
      </c>
      <c r="X1136" s="152"/>
      <c r="Y1136" s="152"/>
      <c r="Z1136" s="152"/>
      <c r="AA1136" s="152"/>
      <c r="AB1136" s="152"/>
    </row>
    <row r="1137" spans="1:28" hidden="1" outlineLevel="1">
      <c r="A1137" s="152"/>
      <c r="B1137" s="190" t="str">
        <f t="shared" ca="1" si="1664"/>
        <v>RL Capex 2029-30</v>
      </c>
      <c r="C1137" s="1429"/>
      <c r="D1137" s="1429"/>
      <c r="E1137" s="1429"/>
      <c r="F1137" s="1429"/>
      <c r="G1137" s="1429"/>
      <c r="H1137" s="1429"/>
      <c r="I1137" s="1429"/>
      <c r="J1137" s="1429"/>
      <c r="K1137" s="1429"/>
      <c r="L1137" s="1429"/>
      <c r="M1137" s="1429"/>
      <c r="N1137" s="1429"/>
      <c r="O1137" s="1429"/>
      <c r="P1137" s="1424"/>
      <c r="Q1137" s="1428">
        <f>Q1095</f>
        <v>0</v>
      </c>
      <c r="R1137" s="1423">
        <f t="shared" si="1658"/>
        <v>0</v>
      </c>
      <c r="S1137" s="1423">
        <f t="shared" si="1659"/>
        <v>0</v>
      </c>
      <c r="T1137" s="1423">
        <f t="shared" si="1660"/>
        <v>0</v>
      </c>
      <c r="U1137" s="1423">
        <f t="shared" si="1661"/>
        <v>0</v>
      </c>
      <c r="V1137" s="1423">
        <f t="shared" si="1662"/>
        <v>0</v>
      </c>
      <c r="W1137" s="1423">
        <f t="shared" si="1663"/>
        <v>0</v>
      </c>
      <c r="X1137" s="152"/>
      <c r="Y1137" s="152"/>
      <c r="Z1137" s="152"/>
      <c r="AA1137" s="152"/>
      <c r="AB1137" s="152"/>
    </row>
    <row r="1138" spans="1:28" hidden="1" outlineLevel="1">
      <c r="A1138" s="152"/>
      <c r="B1138" s="190" t="str">
        <f t="shared" ca="1" si="1664"/>
        <v>RL Capex 2030-31</v>
      </c>
      <c r="C1138" s="1429"/>
      <c r="D1138" s="1429"/>
      <c r="E1138" s="1429"/>
      <c r="F1138" s="1429"/>
      <c r="G1138" s="1429"/>
      <c r="H1138" s="1429"/>
      <c r="I1138" s="1429"/>
      <c r="J1138" s="1429"/>
      <c r="K1138" s="1429"/>
      <c r="L1138" s="1429"/>
      <c r="M1138" s="1429"/>
      <c r="N1138" s="1429"/>
      <c r="O1138" s="1429"/>
      <c r="P1138" s="1429"/>
      <c r="Q1138" s="1424"/>
      <c r="R1138" s="1428">
        <f>R1095</f>
        <v>0</v>
      </c>
      <c r="S1138" s="1423">
        <f t="shared" si="1659"/>
        <v>0</v>
      </c>
      <c r="T1138" s="1423">
        <f t="shared" si="1660"/>
        <v>0</v>
      </c>
      <c r="U1138" s="1423">
        <f t="shared" si="1661"/>
        <v>0</v>
      </c>
      <c r="V1138" s="1423">
        <f t="shared" si="1662"/>
        <v>0</v>
      </c>
      <c r="W1138" s="1423">
        <f t="shared" si="1663"/>
        <v>0</v>
      </c>
      <c r="X1138" s="152"/>
      <c r="Y1138" s="152"/>
      <c r="Z1138" s="152"/>
      <c r="AA1138" s="152"/>
      <c r="AB1138" s="152"/>
    </row>
    <row r="1139" spans="1:28" hidden="1" outlineLevel="1">
      <c r="A1139" s="152"/>
      <c r="B1139" s="190" t="str">
        <f t="shared" ca="1" si="1664"/>
        <v>RL Capex 2031-32</v>
      </c>
      <c r="C1139" s="1429"/>
      <c r="D1139" s="1429"/>
      <c r="E1139" s="1429"/>
      <c r="F1139" s="1429"/>
      <c r="G1139" s="1429"/>
      <c r="H1139" s="1429"/>
      <c r="I1139" s="1429"/>
      <c r="J1139" s="1429"/>
      <c r="K1139" s="1429"/>
      <c r="L1139" s="1429"/>
      <c r="M1139" s="1429"/>
      <c r="N1139" s="1429"/>
      <c r="O1139" s="1429"/>
      <c r="P1139" s="1429"/>
      <c r="Q1139" s="1429"/>
      <c r="R1139" s="1424"/>
      <c r="S1139" s="1428">
        <f>S1095</f>
        <v>0</v>
      </c>
      <c r="T1139" s="1423">
        <f t="shared" si="1660"/>
        <v>0</v>
      </c>
      <c r="U1139" s="1423">
        <f t="shared" si="1661"/>
        <v>0</v>
      </c>
      <c r="V1139" s="1423">
        <f t="shared" si="1662"/>
        <v>0</v>
      </c>
      <c r="W1139" s="1423">
        <f t="shared" si="1663"/>
        <v>0</v>
      </c>
      <c r="X1139" s="152"/>
      <c r="Y1139" s="152"/>
      <c r="Z1139" s="152"/>
      <c r="AA1139" s="152"/>
      <c r="AB1139" s="152"/>
    </row>
    <row r="1140" spans="1:28" hidden="1" outlineLevel="1">
      <c r="A1140" s="152"/>
      <c r="B1140" s="190" t="str">
        <f t="shared" ca="1" si="1664"/>
        <v>RL Capex 2032-33</v>
      </c>
      <c r="C1140" s="1429"/>
      <c r="D1140" s="1429"/>
      <c r="E1140" s="1429"/>
      <c r="F1140" s="1429"/>
      <c r="G1140" s="1429"/>
      <c r="H1140" s="1429"/>
      <c r="I1140" s="1429"/>
      <c r="J1140" s="1429"/>
      <c r="K1140" s="1429"/>
      <c r="L1140" s="1429"/>
      <c r="M1140" s="1429"/>
      <c r="N1140" s="1429"/>
      <c r="O1140" s="1429"/>
      <c r="P1140" s="1429"/>
      <c r="Q1140" s="1429"/>
      <c r="R1140" s="1429"/>
      <c r="S1140" s="1424"/>
      <c r="T1140" s="1428">
        <f>T1095</f>
        <v>0</v>
      </c>
      <c r="U1140" s="1423">
        <f t="shared" si="1661"/>
        <v>0</v>
      </c>
      <c r="V1140" s="1423">
        <f t="shared" si="1662"/>
        <v>0</v>
      </c>
      <c r="W1140" s="1423">
        <f t="shared" si="1663"/>
        <v>0</v>
      </c>
      <c r="X1140" s="152"/>
      <c r="Y1140" s="152"/>
      <c r="Z1140" s="152"/>
      <c r="AA1140" s="152"/>
      <c r="AB1140" s="152"/>
    </row>
    <row r="1141" spans="1:28" hidden="1" outlineLevel="1">
      <c r="A1141" s="152"/>
      <c r="B1141" s="190" t="str">
        <f t="shared" ca="1" si="1664"/>
        <v>RL Capex 2033-34</v>
      </c>
      <c r="C1141" s="1429"/>
      <c r="D1141" s="1429"/>
      <c r="E1141" s="1429"/>
      <c r="F1141" s="1429"/>
      <c r="G1141" s="1429"/>
      <c r="H1141" s="1429"/>
      <c r="I1141" s="1429"/>
      <c r="J1141" s="1429"/>
      <c r="K1141" s="1429"/>
      <c r="L1141" s="1429"/>
      <c r="M1141" s="1429"/>
      <c r="N1141" s="1429"/>
      <c r="O1141" s="1429"/>
      <c r="P1141" s="1429"/>
      <c r="Q1141" s="1429"/>
      <c r="R1141" s="1429"/>
      <c r="S1141" s="1429"/>
      <c r="T1141" s="1424"/>
      <c r="U1141" s="1428">
        <f>U1095</f>
        <v>0</v>
      </c>
      <c r="V1141" s="1423">
        <f t="shared" si="1662"/>
        <v>0</v>
      </c>
      <c r="W1141" s="1423">
        <f t="shared" si="1663"/>
        <v>0</v>
      </c>
      <c r="X1141" s="152"/>
      <c r="Y1141" s="152"/>
      <c r="Z1141" s="152"/>
      <c r="AA1141" s="152"/>
      <c r="AB1141" s="152"/>
    </row>
    <row r="1142" spans="1:28" hidden="1" outlineLevel="1">
      <c r="A1142" s="152"/>
      <c r="B1142" s="190" t="str">
        <f t="shared" ca="1" si="1664"/>
        <v>RL Capex 2034-35</v>
      </c>
      <c r="C1142" s="1429"/>
      <c r="D1142" s="1429"/>
      <c r="E1142" s="1429"/>
      <c r="F1142" s="1429"/>
      <c r="G1142" s="1429"/>
      <c r="H1142" s="1429"/>
      <c r="I1142" s="1429"/>
      <c r="J1142" s="1429"/>
      <c r="K1142" s="1429"/>
      <c r="L1142" s="1429"/>
      <c r="M1142" s="1429"/>
      <c r="N1142" s="1429"/>
      <c r="O1142" s="1429"/>
      <c r="P1142" s="1429"/>
      <c r="Q1142" s="1429"/>
      <c r="R1142" s="1429"/>
      <c r="S1142" s="1429"/>
      <c r="T1142" s="1429"/>
      <c r="U1142" s="1424"/>
      <c r="V1142" s="1428">
        <f>V1095</f>
        <v>0</v>
      </c>
      <c r="W1142" s="1423">
        <f>IF(V1142="n/a","n/a",MAX(0,V1142-1))</f>
        <v>0</v>
      </c>
      <c r="X1142" s="152"/>
      <c r="Y1142" s="152"/>
      <c r="Z1142" s="152"/>
      <c r="AA1142" s="152"/>
      <c r="AB1142" s="152"/>
    </row>
    <row r="1143" spans="1:28" hidden="1" outlineLevel="1">
      <c r="A1143" s="152"/>
      <c r="B1143" s="190" t="str">
        <f t="shared" ca="1" si="1664"/>
        <v>RL Capex 2035-36</v>
      </c>
      <c r="C1143" s="1429"/>
      <c r="D1143" s="1429"/>
      <c r="E1143" s="1429"/>
      <c r="F1143" s="1429"/>
      <c r="G1143" s="1429"/>
      <c r="H1143" s="1429"/>
      <c r="I1143" s="1429"/>
      <c r="J1143" s="1429"/>
      <c r="K1143" s="1429"/>
      <c r="L1143" s="1429"/>
      <c r="M1143" s="1429"/>
      <c r="N1143" s="1429"/>
      <c r="O1143" s="1429"/>
      <c r="P1143" s="1429"/>
      <c r="Q1143" s="1429"/>
      <c r="R1143" s="1429"/>
      <c r="S1143" s="1429"/>
      <c r="T1143" s="1429"/>
      <c r="U1143" s="1429"/>
      <c r="V1143" s="1424"/>
      <c r="W1143" s="1423">
        <f>W1095</f>
        <v>0</v>
      </c>
      <c r="X1143" s="152"/>
      <c r="Y1143" s="152"/>
      <c r="Z1143" s="152"/>
      <c r="AA1143" s="152"/>
      <c r="AB1143" s="152"/>
    </row>
    <row r="1144" spans="1:28" hidden="1" outlineLevel="1">
      <c r="A1144" s="152"/>
      <c r="B1144" s="200"/>
      <c r="C1144" s="1423"/>
      <c r="D1144" s="1423"/>
      <c r="E1144" s="1423"/>
      <c r="F1144" s="1423"/>
      <c r="G1144" s="1423"/>
      <c r="H1144" s="1423"/>
      <c r="I1144" s="1423"/>
      <c r="J1144" s="1423"/>
      <c r="K1144" s="1423"/>
      <c r="L1144" s="1423"/>
      <c r="M1144" s="1423"/>
      <c r="N1144" s="1423"/>
      <c r="O1144" s="1423"/>
      <c r="P1144" s="1423"/>
      <c r="Q1144" s="1423"/>
      <c r="R1144" s="1423"/>
      <c r="S1144" s="1423"/>
      <c r="T1144" s="1423"/>
      <c r="U1144" s="1423"/>
      <c r="V1144" s="1423"/>
      <c r="W1144" s="1423"/>
      <c r="X1144" s="152"/>
      <c r="Y1144" s="152"/>
      <c r="Z1144" s="152"/>
      <c r="AA1144" s="152"/>
      <c r="AB1144" s="152"/>
    </row>
    <row r="1145" spans="1:28" collapsed="1">
      <c r="A1145" s="194"/>
      <c r="B1145" s="204" t="s">
        <v>123</v>
      </c>
      <c r="C1145" s="1430">
        <f ca="1">(IF(OR($C1095&lt;&gt;"n/a",C1095&lt;&gt;"n/a"),IF(SUM(C1098:C1120)=0,0,IF((SUMPRODUCT(C1098:C1120,C1122:C1144)/SUM(C1098:C1120))&lt;0,1,(SUMPRODUCT(C1098:C1120,C1122:C1144)/SUM(C1098:C1120)))),"n/a"))</f>
        <v>0</v>
      </c>
      <c r="D1145" s="1430">
        <f ca="1">(IF(OR($C1095&lt;&gt;"n/a",D1095&lt;&gt;"n/a"),IF(SUM(D1098:D1120)=0,0,IF((SUMPRODUCT(D1098:D1120,D1122:D1144)/SUM(D1098:D1120))&lt;0,1,(SUMPRODUCT(D1098:D1120,D1122:D1144)/SUM(D1098:D1120)))),"n/a"))</f>
        <v>0</v>
      </c>
      <c r="E1145" s="1430">
        <f t="shared" ref="E1145:W1145" ca="1" si="1665">(IF(OR($C1095&lt;&gt;"n/a",E1095&lt;&gt;"n/a"),IF(SUM(E1098:E1120)=0,0,IF((SUMPRODUCT(E1098:E1120,E1122:E1144)/SUM(E1098:E1120))&lt;0,1,(SUMPRODUCT(E1098:E1120,E1122:E1144)/SUM(E1098:E1120)))),"n/a"))</f>
        <v>0</v>
      </c>
      <c r="F1145" s="1430">
        <f t="shared" ca="1" si="1665"/>
        <v>0</v>
      </c>
      <c r="G1145" s="1430">
        <f t="shared" ca="1" si="1665"/>
        <v>0</v>
      </c>
      <c r="H1145" s="1430">
        <f t="shared" ca="1" si="1665"/>
        <v>0</v>
      </c>
      <c r="I1145" s="1430">
        <f t="shared" ca="1" si="1665"/>
        <v>0</v>
      </c>
      <c r="J1145" s="1430">
        <f t="shared" ca="1" si="1665"/>
        <v>0</v>
      </c>
      <c r="K1145" s="1430">
        <f t="shared" ca="1" si="1665"/>
        <v>0</v>
      </c>
      <c r="L1145" s="1430">
        <f t="shared" ca="1" si="1665"/>
        <v>0</v>
      </c>
      <c r="M1145" s="1430">
        <f t="shared" ca="1" si="1665"/>
        <v>0</v>
      </c>
      <c r="N1145" s="1430">
        <f t="shared" ca="1" si="1665"/>
        <v>0</v>
      </c>
      <c r="O1145" s="1430">
        <f t="shared" ca="1" si="1665"/>
        <v>0</v>
      </c>
      <c r="P1145" s="1430">
        <f t="shared" ca="1" si="1665"/>
        <v>0</v>
      </c>
      <c r="Q1145" s="1430">
        <f t="shared" ca="1" si="1665"/>
        <v>0</v>
      </c>
      <c r="R1145" s="1430">
        <f t="shared" ca="1" si="1665"/>
        <v>0</v>
      </c>
      <c r="S1145" s="1430">
        <f t="shared" ca="1" si="1665"/>
        <v>0</v>
      </c>
      <c r="T1145" s="1430">
        <f t="shared" ca="1" si="1665"/>
        <v>0</v>
      </c>
      <c r="U1145" s="1430">
        <f t="shared" ca="1" si="1665"/>
        <v>0</v>
      </c>
      <c r="V1145" s="1430">
        <f t="shared" ca="1" si="1665"/>
        <v>0</v>
      </c>
      <c r="W1145" s="1430">
        <f t="shared" ca="1" si="1665"/>
        <v>0</v>
      </c>
      <c r="X1145" s="152"/>
      <c r="Y1145" s="152"/>
      <c r="Z1145" s="152"/>
      <c r="AA1145" s="152"/>
      <c r="AB1145" s="152"/>
    </row>
    <row r="1146" spans="1:28">
      <c r="A1146" s="152"/>
      <c r="B1146" s="152"/>
      <c r="C1146" s="1423"/>
      <c r="D1146" s="1423"/>
      <c r="E1146" s="1423"/>
      <c r="F1146" s="1423"/>
      <c r="G1146" s="1423"/>
      <c r="H1146" s="1423"/>
      <c r="I1146" s="1423"/>
      <c r="J1146" s="1423"/>
      <c r="K1146" s="1423"/>
      <c r="L1146" s="1423"/>
      <c r="M1146" s="1423"/>
      <c r="N1146" s="1423"/>
      <c r="O1146" s="1423"/>
      <c r="P1146" s="1423"/>
      <c r="Q1146" s="1423"/>
      <c r="R1146" s="1423"/>
      <c r="S1146" s="1423"/>
      <c r="T1146" s="1423"/>
      <c r="U1146" s="1423"/>
      <c r="V1146" s="1423"/>
      <c r="W1146" s="1423"/>
      <c r="X1146" s="152"/>
      <c r="Y1146" s="152"/>
      <c r="Z1146" s="152"/>
      <c r="AA1146" s="152"/>
      <c r="AB1146" s="152"/>
    </row>
    <row r="1147" spans="1:28">
      <c r="A1147" s="269" t="s">
        <v>56</v>
      </c>
      <c r="B1147" s="270">
        <f>VLOOKUP($A1147,'RFM input'!$E$7:$F$56,2,FALSE)</f>
        <v>0</v>
      </c>
      <c r="C1147" s="1431"/>
      <c r="D1147" s="1431"/>
      <c r="E1147" s="1432"/>
      <c r="F1147" s="1432"/>
      <c r="G1147" s="1432"/>
      <c r="H1147" s="1432"/>
      <c r="I1147" s="1432"/>
      <c r="J1147" s="1432"/>
      <c r="K1147" s="1432"/>
      <c r="L1147" s="1432"/>
      <c r="M1147" s="1432"/>
      <c r="N1147" s="1432"/>
      <c r="O1147" s="1432"/>
      <c r="P1147" s="1432"/>
      <c r="Q1147" s="1432"/>
      <c r="R1147" s="1432"/>
      <c r="S1147" s="1432"/>
      <c r="T1147" s="1432"/>
      <c r="U1147" s="1432"/>
      <c r="V1147" s="1432"/>
      <c r="W1147" s="1432"/>
      <c r="X1147" s="152"/>
      <c r="Y1147" s="152"/>
      <c r="Z1147" s="152"/>
      <c r="AA1147" s="152"/>
      <c r="AB1147" s="152"/>
    </row>
    <row r="1148" spans="1:28">
      <c r="A1148" s="215">
        <f>VALUE(REPLACE(A1147,1,12,""))</f>
        <v>22</v>
      </c>
      <c r="B1148" s="193" t="s">
        <v>126</v>
      </c>
      <c r="C1148" s="1416">
        <f ca="1">IF($C$8='Capital Base roll forward'!$H$4,OFFSET('Capital Base roll forward'!$H$717,'RAB remaining lives'!A1148,0),"enter input")</f>
        <v>0</v>
      </c>
      <c r="D1148" s="1417">
        <f>IF(LEFT(D$6,4)&lt;LEFT('RFM input'!$G$60,4),"enter input",IF(LEFT(D$6,4)&gt;LEFT('RFM input'!$Q$60,4),0,INDEX('RFM input'!$G$61:$Q$110,$A1148,MATCH(D$6,'RFM input'!$G$60:$Q$60,0))
-INDEX('RFM input'!$G$115:$Q$164,$A1148,MATCH(D$6,'RFM input'!$G$60:$Q$60,0))
-INDEX('RFM input'!$G$169:$Q$218,$A1148,MATCH(D$6,'RFM input'!$G$60:$Q$60,0))))</f>
        <v>0</v>
      </c>
      <c r="E1148" s="1417">
        <f>IF(LEFT(E$6,4)&lt;LEFT('RFM input'!$G$60,4),"enter input",IF(LEFT(E$6,4)&gt;LEFT('RFM input'!$Q$60,4),0,INDEX('RFM input'!$G$61:$Q$110,$A1148,MATCH(E$6,'RFM input'!$G$60:$Q$60,0))
-INDEX('RFM input'!$G$115:$Q$164,$A1148,MATCH(E$6,'RFM input'!$G$60:$Q$60,0))
-INDEX('RFM input'!$G$169:$Q$218,$A1148,MATCH(E$6,'RFM input'!$G$60:$Q$60,0))))</f>
        <v>0</v>
      </c>
      <c r="F1148" s="1417">
        <f>IF(LEFT(F$6,4)&lt;LEFT('RFM input'!$G$60,4),"enter input",IF(LEFT(F$6,4)&gt;LEFT('RFM input'!$Q$60,4),0,INDEX('RFM input'!$G$61:$Q$110,$A1148,MATCH(F$6,'RFM input'!$G$60:$Q$60,0))
-INDEX('RFM input'!$G$115:$Q$164,$A1148,MATCH(F$6,'RFM input'!$G$60:$Q$60,0))
-INDEX('RFM input'!$G$169:$Q$218,$A1148,MATCH(F$6,'RFM input'!$G$60:$Q$60,0))))</f>
        <v>0</v>
      </c>
      <c r="G1148" s="1417">
        <f>IF(LEFT(G$6,4)&lt;LEFT('RFM input'!$G$60,4),"enter input",IF(LEFT(G$6,4)&gt;LEFT('RFM input'!$Q$60,4),0,INDEX('RFM input'!$G$61:$Q$110,$A1148,MATCH(G$6,'RFM input'!$G$60:$Q$60,0))
-INDEX('RFM input'!$G$115:$Q$164,$A1148,MATCH(G$6,'RFM input'!$G$60:$Q$60,0))
-INDEX('RFM input'!$G$169:$Q$218,$A1148,MATCH(G$6,'RFM input'!$G$60:$Q$60,0))))</f>
        <v>0</v>
      </c>
      <c r="H1148" s="1417">
        <f>IF(LEFT(H$6,4)&lt;LEFT('RFM input'!$G$60,4),"enter input",IF(LEFT(H$6,4)&gt;LEFT('RFM input'!$Q$60,4),0,INDEX('RFM input'!$G$61:$Q$110,$A1148,MATCH(H$6,'RFM input'!$G$60:$Q$60,0))
-INDEX('RFM input'!$G$115:$Q$164,$A1148,MATCH(H$6,'RFM input'!$G$60:$Q$60,0))
-INDEX('RFM input'!$G$169:$Q$218,$A1148,MATCH(H$6,'RFM input'!$G$60:$Q$60,0))))</f>
        <v>0</v>
      </c>
      <c r="I1148" s="1417">
        <f>IF(LEFT(I$6,4)&lt;LEFT('RFM input'!$G$60,4),"enter input",IF(LEFT(I$6,4)&gt;LEFT('RFM input'!$Q$60,4),0,INDEX('RFM input'!$G$61:$Q$110,$A1148,MATCH(I$6,'RFM input'!$G$60:$Q$60,0))
-INDEX('RFM input'!$G$115:$Q$164,$A1148,MATCH(I$6,'RFM input'!$G$60:$Q$60,0))
-INDEX('RFM input'!$G$169:$Q$218,$A1148,MATCH(I$6,'RFM input'!$G$60:$Q$60,0))))</f>
        <v>0</v>
      </c>
      <c r="J1148" s="1417">
        <f>IF(LEFT(J$6,4)&lt;LEFT('RFM input'!$G$60,4),"enter input",IF(LEFT(J$6,4)&gt;LEFT('RFM input'!$Q$60,4),0,INDEX('RFM input'!$G$61:$Q$110,$A1148,MATCH(J$6,'RFM input'!$G$60:$Q$60,0))
-INDEX('RFM input'!$G$115:$Q$164,$A1148,MATCH(J$6,'RFM input'!$G$60:$Q$60,0))
-INDEX('RFM input'!$G$169:$Q$218,$A1148,MATCH(J$6,'RFM input'!$G$60:$Q$60,0))))</f>
        <v>0</v>
      </c>
      <c r="K1148" s="1417">
        <f>IF(LEFT(K$6,4)&lt;LEFT('RFM input'!$G$60,4),"enter input",IF(LEFT(K$6,4)&gt;LEFT('RFM input'!$Q$60,4),0,INDEX('RFM input'!$G$61:$Q$110,$A1148,MATCH(K$6,'RFM input'!$G$60:$Q$60,0))
-INDEX('RFM input'!$G$115:$Q$164,$A1148,MATCH(K$6,'RFM input'!$G$60:$Q$60,0))
-INDEX('RFM input'!$G$169:$Q$218,$A1148,MATCH(K$6,'RFM input'!$G$60:$Q$60,0))))</f>
        <v>0</v>
      </c>
      <c r="L1148" s="1417">
        <f>IF(LEFT(L$6,4)&lt;LEFT('RFM input'!$G$60,4),"enter input",IF(LEFT(L$6,4)&gt;LEFT('RFM input'!$Q$60,4),0,INDEX('RFM input'!$G$61:$Q$110,$A1148,MATCH(L$6,'RFM input'!$G$60:$Q$60,0))
-INDEX('RFM input'!$G$115:$Q$164,$A1148,MATCH(L$6,'RFM input'!$G$60:$Q$60,0))
-INDEX('RFM input'!$G$169:$Q$218,$A1148,MATCH(L$6,'RFM input'!$G$60:$Q$60,0))))</f>
        <v>0</v>
      </c>
      <c r="M1148" s="1417">
        <f>IF(LEFT(M$6,4)&lt;LEFT('RFM input'!$G$60,4),"enter input",IF(LEFT(M$6,4)&gt;LEFT('RFM input'!$Q$60,4),0,INDEX('RFM input'!$G$61:$Q$110,$A1148,MATCH(M$6,'RFM input'!$G$60:$Q$60,0))
-INDEX('RFM input'!$G$115:$Q$164,$A1148,MATCH(M$6,'RFM input'!$G$60:$Q$60,0))
-INDEX('RFM input'!$G$169:$Q$218,$A1148,MATCH(M$6,'RFM input'!$G$60:$Q$60,0))))</f>
        <v>0</v>
      </c>
      <c r="N1148" s="1417">
        <f>IF(LEFT(N$6,4)&lt;LEFT('RFM input'!$G$60,4),"enter input",IF(LEFT(N$6,4)&gt;LEFT('RFM input'!$Q$60,4),0,INDEX('RFM input'!$G$61:$Q$110,$A1148,MATCH(N$6,'RFM input'!$G$60:$Q$60,0))
-INDEX('RFM input'!$G$115:$Q$164,$A1148,MATCH(N$6,'RFM input'!$G$60:$Q$60,0))
-INDEX('RFM input'!$G$169:$Q$218,$A1148,MATCH(N$6,'RFM input'!$G$60:$Q$60,0))))</f>
        <v>0</v>
      </c>
      <c r="O1148" s="1417">
        <f>IF(LEFT(O$6,4)&lt;LEFT('RFM input'!$G$60,4),"enter input",IF(LEFT(O$6,4)&gt;LEFT('RFM input'!$Q$60,4),0,INDEX('RFM input'!$G$61:$Q$110,$A1148,MATCH(O$6,'RFM input'!$G$60:$Q$60,0))
-INDEX('RFM input'!$G$115:$Q$164,$A1148,MATCH(O$6,'RFM input'!$G$60:$Q$60,0))
-INDEX('RFM input'!$G$169:$Q$218,$A1148,MATCH(O$6,'RFM input'!$G$60:$Q$60,0))))</f>
        <v>0</v>
      </c>
      <c r="P1148" s="1417">
        <f>IF(LEFT(P$6,4)&lt;LEFT('RFM input'!$G$60,4),"enter input",IF(LEFT(P$6,4)&gt;LEFT('RFM input'!$Q$60,4),0,INDEX('RFM input'!$G$61:$Q$110,$A1148,MATCH(P$6,'RFM input'!$G$60:$Q$60,0))
-INDEX('RFM input'!$G$115:$Q$164,$A1148,MATCH(P$6,'RFM input'!$G$60:$Q$60,0))
-INDEX('RFM input'!$G$169:$Q$218,$A1148,MATCH(P$6,'RFM input'!$G$60:$Q$60,0))))</f>
        <v>0</v>
      </c>
      <c r="Q1148" s="1417">
        <f>IF(LEFT(Q$6,4)&lt;LEFT('RFM input'!$G$60,4),"enter input",IF(LEFT(Q$6,4)&gt;LEFT('RFM input'!$Q$60,4),0,INDEX('RFM input'!$G$61:$Q$110,$A1148,MATCH(Q$6,'RFM input'!$G$60:$Q$60,0))
-INDEX('RFM input'!$G$115:$Q$164,$A1148,MATCH(Q$6,'RFM input'!$G$60:$Q$60,0))
-INDEX('RFM input'!$G$169:$Q$218,$A1148,MATCH(Q$6,'RFM input'!$G$60:$Q$60,0))))</f>
        <v>0</v>
      </c>
      <c r="R1148" s="1417">
        <f>IF(LEFT(R$6,4)&lt;LEFT('RFM input'!$G$60,4),"enter input",IF(LEFT(R$6,4)&gt;LEFT('RFM input'!$Q$60,4),0,INDEX('RFM input'!$G$61:$Q$110,$A1148,MATCH(R$6,'RFM input'!$G$60:$Q$60,0))
-INDEX('RFM input'!$G$115:$Q$164,$A1148,MATCH(R$6,'RFM input'!$G$60:$Q$60,0))
-INDEX('RFM input'!$G$169:$Q$218,$A1148,MATCH(R$6,'RFM input'!$G$60:$Q$60,0))))</f>
        <v>0</v>
      </c>
      <c r="S1148" s="1417">
        <f>IF(LEFT(S$6,4)&lt;LEFT('RFM input'!$G$60,4),"enter input",IF(LEFT(S$6,4)&gt;LEFT('RFM input'!$Q$60,4),0,INDEX('RFM input'!$G$61:$Q$110,$A1148,MATCH(S$6,'RFM input'!$G$60:$Q$60,0))
-INDEX('RFM input'!$G$115:$Q$164,$A1148,MATCH(S$6,'RFM input'!$G$60:$Q$60,0))
-INDEX('RFM input'!$G$169:$Q$218,$A1148,MATCH(S$6,'RFM input'!$G$60:$Q$60,0))))</f>
        <v>0</v>
      </c>
      <c r="T1148" s="1417">
        <f>IF(LEFT(T$6,4)&lt;LEFT('RFM input'!$G$60,4),"enter input",IF(LEFT(T$6,4)&gt;LEFT('RFM input'!$Q$60,4),0,INDEX('RFM input'!$G$61:$Q$110,$A1148,MATCH(T$6,'RFM input'!$G$60:$Q$60,0))
-INDEX('RFM input'!$G$115:$Q$164,$A1148,MATCH(T$6,'RFM input'!$G$60:$Q$60,0))
-INDEX('RFM input'!$G$169:$Q$218,$A1148,MATCH(T$6,'RFM input'!$G$60:$Q$60,0))))</f>
        <v>0</v>
      </c>
      <c r="U1148" s="1417">
        <f>IF(LEFT(U$6,4)&lt;LEFT('RFM input'!$G$60,4),"enter input",IF(LEFT(U$6,4)&gt;LEFT('RFM input'!$Q$60,4),0,INDEX('RFM input'!$G$61:$Q$110,$A1148,MATCH(U$6,'RFM input'!$G$60:$Q$60,0))
-INDEX('RFM input'!$G$115:$Q$164,$A1148,MATCH(U$6,'RFM input'!$G$60:$Q$60,0))
-INDEX('RFM input'!$G$169:$Q$218,$A1148,MATCH(U$6,'RFM input'!$G$60:$Q$60,0))))</f>
        <v>0</v>
      </c>
      <c r="V1148" s="1417">
        <f>IF(LEFT(V$6,4)&lt;LEFT('RFM input'!$G$60,4),"enter input",IF(LEFT(V$6,4)&gt;LEFT('RFM input'!$Q$60,4),0,INDEX('RFM input'!$G$61:$Q$110,$A1148,MATCH(V$6,'RFM input'!$G$60:$Q$60,0))
-INDEX('RFM input'!$G$115:$Q$164,$A1148,MATCH(V$6,'RFM input'!$G$60:$Q$60,0))
-INDEX('RFM input'!$G$169:$Q$218,$A1148,MATCH(V$6,'RFM input'!$G$60:$Q$60,0))))</f>
        <v>0</v>
      </c>
      <c r="W1148" s="1417">
        <f>IF(LEFT(W$6,4)&lt;LEFT('RFM input'!$G$60,4),"enter input",IF(LEFT(W$6,4)&gt;LEFT('RFM input'!$Q$60,4),0,INDEX('RFM input'!$G$61:$Q$110,$A1148,MATCH(W$6,'RFM input'!$G$60:$Q$60,0))
-INDEX('RFM input'!$G$115:$Q$164,$A1148,MATCH(W$6,'RFM input'!$G$60:$Q$60,0))
-INDEX('RFM input'!$G$169:$Q$218,$A1148,MATCH(W$6,'RFM input'!$G$60:$Q$60,0))))</f>
        <v>0</v>
      </c>
      <c r="X1148" s="152"/>
      <c r="Y1148" s="152"/>
      <c r="Z1148" s="152"/>
      <c r="AA1148" s="152"/>
      <c r="AB1148" s="152"/>
    </row>
    <row r="1149" spans="1:28">
      <c r="A1149" s="152"/>
      <c r="B1149" s="152" t="s">
        <v>204</v>
      </c>
      <c r="C1149" s="1418">
        <f ca="1">IF($C$8='Capital Base roll forward'!$H$4,OFFSET('RFM input'!$J$6,'RAB remaining lives'!A1148,0),"enter input")</f>
        <v>0</v>
      </c>
      <c r="D1149" s="1417">
        <f>IF(LEFT(D$6,4)&lt;=LEFT('RFM input'!$G$60,4),"enter input",IF(LEFT(D$6,4)&gt;LEFT('RFM input'!$Q$60,4),0,IF(MATCH(D$6,'RFM input'!$H$60:$Q$60,0),INDEX('RFM input'!$K$7:$K$56,$A1148,1))))</f>
        <v>0</v>
      </c>
      <c r="E1149" s="1417">
        <f>IF(LEFT(E$6,4)&lt;=LEFT('RFM input'!$G$60,4),"enter input",IF(LEFT(E$6,4)&gt;LEFT('RFM input'!$Q$60,4),0,IF(MATCH(E$6,'RFM input'!$H$60:$Q$60,0),INDEX('RFM input'!$K$7:$K$56,$A1148,1))))</f>
        <v>0</v>
      </c>
      <c r="F1149" s="1417">
        <f>IF(LEFT(F$6,4)&lt;=LEFT('RFM input'!$G$60,4),"enter input",IF(LEFT(F$6,4)&gt;LEFT('RFM input'!$Q$60,4),0,IF(MATCH(F$6,'RFM input'!$H$60:$Q$60,0),INDEX('RFM input'!$K$7:$K$56,$A1148,1))))</f>
        <v>0</v>
      </c>
      <c r="G1149" s="1417">
        <f>IF(LEFT(G$6,4)&lt;=LEFT('RFM input'!$G$60,4),"enter input",IF(LEFT(G$6,4)&gt;LEFT('RFM input'!$Q$60,4),0,IF(MATCH(G$6,'RFM input'!$H$60:$Q$60,0),INDEX('RFM input'!$K$7:$K$56,$A1148,1))))</f>
        <v>0</v>
      </c>
      <c r="H1149" s="1417">
        <f>IF(LEFT(H$6,4)&lt;=LEFT('RFM input'!$G$60,4),"enter input",IF(LEFT(H$6,4)&gt;LEFT('RFM input'!$Q$60,4),0,IF(MATCH(H$6,'RFM input'!$H$60:$Q$60,0),INDEX('RFM input'!$K$7:$K$56,$A1148,1))))</f>
        <v>0</v>
      </c>
      <c r="I1149" s="1417">
        <f>IF(LEFT(I$6,4)&lt;=LEFT('RFM input'!$G$60,4),"enter input",IF(LEFT(I$6,4)&gt;LEFT('RFM input'!$Q$60,4),0,IF(MATCH(I$6,'RFM input'!$H$60:$Q$60,0),INDEX('RFM input'!$K$7:$K$56,$A1148,1))))</f>
        <v>0</v>
      </c>
      <c r="J1149" s="1417">
        <f>IF(LEFT(J$6,4)&lt;=LEFT('RFM input'!$G$60,4),"enter input",IF(LEFT(J$6,4)&gt;LEFT('RFM input'!$Q$60,4),0,IF(MATCH(J$6,'RFM input'!$H$60:$Q$60,0),INDEX('RFM input'!$K$7:$K$56,$A1148,1))))</f>
        <v>0</v>
      </c>
      <c r="K1149" s="1417">
        <f>IF(LEFT(K$6,4)&lt;=LEFT('RFM input'!$G$60,4),"enter input",IF(LEFT(K$6,4)&gt;LEFT('RFM input'!$Q$60,4),0,IF(MATCH(K$6,'RFM input'!$H$60:$Q$60,0),INDEX('RFM input'!$K$7:$K$56,$A1148,1))))</f>
        <v>0</v>
      </c>
      <c r="L1149" s="1417">
        <f>IF(LEFT(L$6,4)&lt;=LEFT('RFM input'!$G$60,4),"enter input",IF(LEFT(L$6,4)&gt;LEFT('RFM input'!$Q$60,4),0,IF(MATCH(L$6,'RFM input'!$H$60:$Q$60,0),INDEX('RFM input'!$K$7:$K$56,$A1148,1))))</f>
        <v>0</v>
      </c>
      <c r="M1149" s="1417">
        <f>IF(LEFT(M$6,4)&lt;=LEFT('RFM input'!$G$60,4),"enter input",IF(LEFT(M$6,4)&gt;LEFT('RFM input'!$Q$60,4),0,IF(MATCH(M$6,'RFM input'!$H$60:$Q$60,0),INDEX('RFM input'!$K$7:$K$56,$A1148,1))))</f>
        <v>0</v>
      </c>
      <c r="N1149" s="1417">
        <f>IF(LEFT(N$6,4)&lt;=LEFT('RFM input'!$G$60,4),"enter input",IF(LEFT(N$6,4)&gt;LEFT('RFM input'!$Q$60,4),0,IF(MATCH(N$6,'RFM input'!$H$60:$Q$60,0),INDEX('RFM input'!$K$7:$K$56,$A1148,1))))</f>
        <v>0</v>
      </c>
      <c r="O1149" s="1417">
        <f>IF(LEFT(O$6,4)&lt;=LEFT('RFM input'!$G$60,4),"enter input",IF(LEFT(O$6,4)&gt;LEFT('RFM input'!$Q$60,4),0,IF(MATCH(O$6,'RFM input'!$H$60:$Q$60,0),INDEX('RFM input'!$K$7:$K$56,$A1148,1))))</f>
        <v>0</v>
      </c>
      <c r="P1149" s="1417">
        <f>IF(LEFT(P$6,4)&lt;=LEFT('RFM input'!$G$60,4),"enter input",IF(LEFT(P$6,4)&gt;LEFT('RFM input'!$Q$60,4),0,IF(MATCH(P$6,'RFM input'!$H$60:$Q$60,0),INDEX('RFM input'!$K$7:$K$56,$A1148,1))))</f>
        <v>0</v>
      </c>
      <c r="Q1149" s="1417">
        <f>IF(LEFT(Q$6,4)&lt;=LEFT('RFM input'!$G$60,4),"enter input",IF(LEFT(Q$6,4)&gt;LEFT('RFM input'!$Q$60,4),0,IF(MATCH(Q$6,'RFM input'!$H$60:$Q$60,0),INDEX('RFM input'!$K$7:$K$56,$A1148,1))))</f>
        <v>0</v>
      </c>
      <c r="R1149" s="1417">
        <f>IF(LEFT(R$6,4)&lt;=LEFT('RFM input'!$G$60,4),"enter input",IF(LEFT(R$6,4)&gt;LEFT('RFM input'!$Q$60,4),0,IF(MATCH(R$6,'RFM input'!$H$60:$Q$60,0),INDEX('RFM input'!$K$7:$K$56,$A1148,1))))</f>
        <v>0</v>
      </c>
      <c r="S1149" s="1417">
        <f>IF(LEFT(S$6,4)&lt;=LEFT('RFM input'!$G$60,4),"enter input",IF(LEFT(S$6,4)&gt;LEFT('RFM input'!$Q$60,4),0,IF(MATCH(S$6,'RFM input'!$H$60:$Q$60,0),INDEX('RFM input'!$K$7:$K$56,$A1148,1))))</f>
        <v>0</v>
      </c>
      <c r="T1149" s="1417">
        <f>IF(LEFT(T$6,4)&lt;=LEFT('RFM input'!$G$60,4),"enter input",IF(LEFT(T$6,4)&gt;LEFT('RFM input'!$Q$60,4),0,IF(MATCH(T$6,'RFM input'!$H$60:$Q$60,0),INDEX('RFM input'!$K$7:$K$56,$A1148,1))))</f>
        <v>0</v>
      </c>
      <c r="U1149" s="1417">
        <f>IF(LEFT(U$6,4)&lt;=LEFT('RFM input'!$G$60,4),"enter input",IF(LEFT(U$6,4)&gt;LEFT('RFM input'!$Q$60,4),0,IF(MATCH(U$6,'RFM input'!$H$60:$Q$60,0),INDEX('RFM input'!$K$7:$K$56,$A1148,1))))</f>
        <v>0</v>
      </c>
      <c r="V1149" s="1417">
        <f>IF(LEFT(V$6,4)&lt;=LEFT('RFM input'!$G$60,4),"enter input",IF(LEFT(V$6,4)&gt;LEFT('RFM input'!$Q$60,4),0,IF(MATCH(V$6,'RFM input'!$H$60:$Q$60,0),INDEX('RFM input'!$K$7:$K$56,$A1148,1))))</f>
        <v>0</v>
      </c>
      <c r="W1149" s="1417">
        <f>IF(LEFT(W$6,4)&lt;=LEFT('RFM input'!$G$60,4),"enter input",IF(LEFT(W$6,4)&gt;LEFT('RFM input'!$Q$60,4),0,IF(MATCH(W$6,'RFM input'!$H$60:$Q$60,0),INDEX('RFM input'!$K$7:$K$56,$A1148,1))))</f>
        <v>0</v>
      </c>
      <c r="X1149" s="152"/>
      <c r="Y1149" s="152"/>
      <c r="Z1149" s="152"/>
      <c r="AA1149" s="152"/>
      <c r="AB1149" s="152"/>
    </row>
    <row r="1150" spans="1:28">
      <c r="A1150" s="152"/>
      <c r="B1150" s="177" t="s">
        <v>191</v>
      </c>
      <c r="C1150" s="1419"/>
      <c r="D1150" s="1420">
        <f ca="1">IF(LEFT(D$6,4)&lt;=LEFT('RFM input'!$G$60,4),"enter input",IF(LEFT(D$6,4)&gt;LEFT('RFM input'!$Q$60,4),0,IF(D$6=(OFFSET('RFM input'!$G$60,0,'RFM input'!$V$7)),OFFSET('RFM input'!$G$411,$A1148,0),0)))</f>
        <v>0</v>
      </c>
      <c r="E1150" s="1417">
        <f ca="1">IF(LEFT(E$6,4)&lt;=LEFT('RFM input'!$G$60,4),"enter input",IF(LEFT(E$6,4)&gt;LEFT('RFM input'!$Q$60,4),0,IF(E$6=(OFFSET('RFM input'!$G$60,0,'RFM input'!$V$7)),OFFSET('RFM input'!$G$411,$A1148,0),0)))</f>
        <v>0</v>
      </c>
      <c r="F1150" s="1417">
        <f ca="1">IF(LEFT(F$6,4)&lt;=LEFT('RFM input'!$G$60,4),"enter input",IF(LEFT(F$6,4)&gt;LEFT('RFM input'!$Q$60,4),0,IF(F$6=(OFFSET('RFM input'!$G$60,0,'RFM input'!$V$7)),OFFSET('RFM input'!$G$411,$A1148,0),0)))</f>
        <v>0</v>
      </c>
      <c r="G1150" s="1417">
        <f ca="1">IF(LEFT(G$6,4)&lt;=LEFT('RFM input'!$G$60,4),"enter input",IF(LEFT(G$6,4)&gt;LEFT('RFM input'!$Q$60,4),0,IF(G$6=(OFFSET('RFM input'!$G$60,0,'RFM input'!$V$7)),OFFSET('RFM input'!$G$411,$A1148,0),0)))</f>
        <v>0</v>
      </c>
      <c r="H1150" s="1417">
        <f ca="1">IF(LEFT(H$6,4)&lt;=LEFT('RFM input'!$G$60,4),"enter input",IF(LEFT(H$6,4)&gt;LEFT('RFM input'!$Q$60,4),0,IF(H$6=(OFFSET('RFM input'!$G$60,0,'RFM input'!$V$7)),OFFSET('RFM input'!$G$411,$A1148,0),0)))</f>
        <v>0</v>
      </c>
      <c r="I1150" s="1417">
        <f ca="1">IF(LEFT(I$6,4)&lt;=LEFT('RFM input'!$G$60,4),"enter input",IF(LEFT(I$6,4)&gt;LEFT('RFM input'!$Q$60,4),0,IF(I$6=(OFFSET('RFM input'!$G$60,0,'RFM input'!$V$7)),OFFSET('RFM input'!$G$411,$A1148,0),0)))</f>
        <v>0</v>
      </c>
      <c r="J1150" s="1417">
        <f ca="1">IF(LEFT(J$6,4)&lt;=LEFT('RFM input'!$G$60,4),"enter input",IF(LEFT(J$6,4)&gt;LEFT('RFM input'!$Q$60,4),0,IF(J$6=(OFFSET('RFM input'!$G$60,0,'RFM input'!$V$7)),OFFSET('RFM input'!$G$411,$A1148,0),0)))</f>
        <v>0</v>
      </c>
      <c r="K1150" s="1417">
        <f ca="1">IF(LEFT(K$6,4)&lt;=LEFT('RFM input'!$G$60,4),"enter input",IF(LEFT(K$6,4)&gt;LEFT('RFM input'!$Q$60,4),0,IF(K$6=(OFFSET('RFM input'!$G$60,0,'RFM input'!$V$7)),OFFSET('RFM input'!$G$411,$A1148,0),0)))</f>
        <v>0</v>
      </c>
      <c r="L1150" s="1417">
        <f ca="1">IF(LEFT(L$6,4)&lt;=LEFT('RFM input'!$G$60,4),"enter input",IF(LEFT(L$6,4)&gt;LEFT('RFM input'!$Q$60,4),0,IF(L$6=(OFFSET('RFM input'!$G$60,0,'RFM input'!$V$7)),OFFSET('RFM input'!$G$411,$A1148,0),0)))</f>
        <v>0</v>
      </c>
      <c r="M1150" s="1417">
        <f ca="1">IF(LEFT(M$6,4)&lt;=LEFT('RFM input'!$G$60,4),"enter input",IF(LEFT(M$6,4)&gt;LEFT('RFM input'!$Q$60,4),0,IF(M$6=(OFFSET('RFM input'!$G$60,0,'RFM input'!$V$7)),OFFSET('RFM input'!$G$411,$A1148,0),0)))</f>
        <v>0</v>
      </c>
      <c r="N1150" s="1417">
        <f ca="1">IF(LEFT(N$6,4)&lt;=LEFT('RFM input'!$G$60,4),"enter input",IF(LEFT(N$6,4)&gt;LEFT('RFM input'!$Q$60,4),0,IF(N$6=(OFFSET('RFM input'!$G$60,0,'RFM input'!$V$7)),OFFSET('RFM input'!$G$411,$A1148,0),0)))</f>
        <v>0</v>
      </c>
      <c r="O1150" s="1417">
        <f ca="1">IF(LEFT(O$6,4)&lt;=LEFT('RFM input'!$G$60,4),"enter input",IF(LEFT(O$6,4)&gt;LEFT('RFM input'!$Q$60,4),0,IF(O$6=(OFFSET('RFM input'!$G$60,0,'RFM input'!$V$7)),OFFSET('RFM input'!$G$411,$A1148,0),0)))</f>
        <v>0</v>
      </c>
      <c r="P1150" s="1417">
        <f ca="1">IF(LEFT(P$6,4)&lt;=LEFT('RFM input'!$G$60,4),"enter input",IF(LEFT(P$6,4)&gt;LEFT('RFM input'!$Q$60,4),0,IF(P$6=(OFFSET('RFM input'!$G$60,0,'RFM input'!$V$7)),OFFSET('RFM input'!$G$411,$A1148,0),0)))</f>
        <v>0</v>
      </c>
      <c r="Q1150" s="1417">
        <f ca="1">IF(LEFT(Q$6,4)&lt;=LEFT('RFM input'!$G$60,4),"enter input",IF(LEFT(Q$6,4)&gt;LEFT('RFM input'!$Q$60,4),0,IF(Q$6=(OFFSET('RFM input'!$G$60,0,'RFM input'!$V$7)),OFFSET('RFM input'!$G$411,$A1148,0),0)))</f>
        <v>0</v>
      </c>
      <c r="R1150" s="1417">
        <f ca="1">IF(LEFT(R$6,4)&lt;=LEFT('RFM input'!$G$60,4),"enter input",IF(LEFT(R$6,4)&gt;LEFT('RFM input'!$Q$60,4),0,IF(R$6=(OFFSET('RFM input'!$G$60,0,'RFM input'!$V$7)),OFFSET('RFM input'!$G$411,$A1148,0),0)))</f>
        <v>0</v>
      </c>
      <c r="S1150" s="1417">
        <f ca="1">IF(LEFT(S$6,4)&lt;=LEFT('RFM input'!$G$60,4),"enter input",IF(LEFT(S$6,4)&gt;LEFT('RFM input'!$Q$60,4),0,IF(S$6=(OFFSET('RFM input'!$G$60,0,'RFM input'!$V$7)),OFFSET('RFM input'!$G$411,$A1148,0),0)))</f>
        <v>0</v>
      </c>
      <c r="T1150" s="1417">
        <f ca="1">IF(LEFT(T$6,4)&lt;=LEFT('RFM input'!$G$60,4),"enter input",IF(LEFT(T$6,4)&gt;LEFT('RFM input'!$Q$60,4),0,IF(T$6=(OFFSET('RFM input'!$G$60,0,'RFM input'!$V$7)),OFFSET('RFM input'!$G$411,$A1148,0),0)))</f>
        <v>0</v>
      </c>
      <c r="U1150" s="1417">
        <f ca="1">IF(LEFT(U$6,4)&lt;=LEFT('RFM input'!$G$60,4),"enter input",IF(LEFT(U$6,4)&gt;LEFT('RFM input'!$Q$60,4),0,IF(U$6=(OFFSET('RFM input'!$G$60,0,'RFM input'!$V$7)),OFFSET('RFM input'!$G$411,$A1148,0),0)))</f>
        <v>0</v>
      </c>
      <c r="V1150" s="1417">
        <f ca="1">IF(LEFT(V$6,4)&lt;=LEFT('RFM input'!$G$60,4),"enter input",IF(LEFT(V$6,4)&gt;LEFT('RFM input'!$Q$60,4),0,IF(V$6=(OFFSET('RFM input'!$G$60,0,'RFM input'!$V$7)),OFFSET('RFM input'!$G$411,$A1148,0),0)))</f>
        <v>0</v>
      </c>
      <c r="W1150" s="1417">
        <f ca="1">IF(LEFT(W$6,4)&lt;=LEFT('RFM input'!$G$60,4),"enter input",IF(LEFT(W$6,4)&gt;LEFT('RFM input'!$Q$60,4),0,IF(W$6=(OFFSET('RFM input'!$G$60,0,'RFM input'!$V$7)),OFFSET('RFM input'!$G$411,$A1148,0),0)))</f>
        <v>0</v>
      </c>
      <c r="X1150" s="152"/>
      <c r="Y1150" s="152"/>
      <c r="Z1150" s="152"/>
      <c r="AA1150" s="152"/>
      <c r="AB1150" s="152"/>
    </row>
    <row r="1151" spans="1:28">
      <c r="A1151" s="152"/>
      <c r="B1151" s="195" t="s">
        <v>197</v>
      </c>
      <c r="C1151" s="1419"/>
      <c r="D1151" s="1418">
        <f ca="1">IF(LEFT(D$6,4)&lt;=LEFT('RFM input'!$G$60,4),"enter input",IF(LEFT(D$6,4)&gt;LEFT('RFM input'!$Q$60,4),0,IF(D$6=(OFFSET('RFM input'!$G$60,0,'RFM input'!$V$7)),OFFSET('RFM input'!$I$411,$A1148,0),0)))</f>
        <v>0</v>
      </c>
      <c r="E1151" s="1422">
        <f ca="1">IF(LEFT(E$6,4)&lt;=LEFT('RFM input'!$G$60,4),"enter input",IF(LEFT(E$6,4)&gt;LEFT('RFM input'!$Q$60,4),0,IF(E$6=(OFFSET('RFM input'!$G$60,0,'RFM input'!$V$7)),OFFSET('RFM input'!$I$411,$A1148,0),0)))</f>
        <v>0</v>
      </c>
      <c r="F1151" s="1422">
        <f ca="1">IF(LEFT(F$6,4)&lt;=LEFT('RFM input'!$G$60,4),"enter input",IF(LEFT(F$6,4)&gt;LEFT('RFM input'!$Q$60,4),0,IF(F$6=(OFFSET('RFM input'!$G$60,0,'RFM input'!$V$7)),OFFSET('RFM input'!$I$411,$A1148,0),0)))</f>
        <v>0</v>
      </c>
      <c r="G1151" s="1422">
        <f ca="1">IF(LEFT(G$6,4)&lt;=LEFT('RFM input'!$G$60,4),"enter input",IF(LEFT(G$6,4)&gt;LEFT('RFM input'!$Q$60,4),0,IF(G$6=(OFFSET('RFM input'!$G$60,0,'RFM input'!$V$7)),OFFSET('RFM input'!$I$411,$A1148,0),0)))</f>
        <v>0</v>
      </c>
      <c r="H1151" s="1422">
        <f ca="1">IF(LEFT(H$6,4)&lt;=LEFT('RFM input'!$G$60,4),"enter input",IF(LEFT(H$6,4)&gt;LEFT('RFM input'!$Q$60,4),0,IF(H$6=(OFFSET('RFM input'!$G$60,0,'RFM input'!$V$7)),OFFSET('RFM input'!$I$411,$A1148,0),0)))</f>
        <v>0</v>
      </c>
      <c r="I1151" s="1422">
        <f ca="1">IF(LEFT(I$6,4)&lt;=LEFT('RFM input'!$G$60,4),"enter input",IF(LEFT(I$6,4)&gt;LEFT('RFM input'!$Q$60,4),0,IF(I$6=(OFFSET('RFM input'!$G$60,0,'RFM input'!$V$7)),OFFSET('RFM input'!$I$411,$A1148,0),0)))</f>
        <v>0</v>
      </c>
      <c r="J1151" s="1422">
        <f ca="1">IF(LEFT(J$6,4)&lt;=LEFT('RFM input'!$G$60,4),"enter input",IF(LEFT(J$6,4)&gt;LEFT('RFM input'!$Q$60,4),0,IF(J$6=(OFFSET('RFM input'!$G$60,0,'RFM input'!$V$7)),OFFSET('RFM input'!$I$411,$A1148,0),0)))</f>
        <v>0</v>
      </c>
      <c r="K1151" s="1422">
        <f ca="1">IF(LEFT(K$6,4)&lt;=LEFT('RFM input'!$G$60,4),"enter input",IF(LEFT(K$6,4)&gt;LEFT('RFM input'!$Q$60,4),0,IF(K$6=(OFFSET('RFM input'!$G$60,0,'RFM input'!$V$7)),OFFSET('RFM input'!$I$411,$A1148,0),0)))</f>
        <v>0</v>
      </c>
      <c r="L1151" s="1422">
        <f ca="1">IF(LEFT(L$6,4)&lt;=LEFT('RFM input'!$G$60,4),"enter input",IF(LEFT(L$6,4)&gt;LEFT('RFM input'!$Q$60,4),0,IF(L$6=(OFFSET('RFM input'!$G$60,0,'RFM input'!$V$7)),OFFSET('RFM input'!$I$411,$A1148,0),0)))</f>
        <v>0</v>
      </c>
      <c r="M1151" s="1422">
        <f ca="1">IF(LEFT(M$6,4)&lt;=LEFT('RFM input'!$G$60,4),"enter input",IF(LEFT(M$6,4)&gt;LEFT('RFM input'!$Q$60,4),0,IF(M$6=(OFFSET('RFM input'!$G$60,0,'RFM input'!$V$7)),OFFSET('RFM input'!$I$411,$A1148,0),0)))</f>
        <v>0</v>
      </c>
      <c r="N1151" s="1422">
        <f ca="1">IF(LEFT(N$6,4)&lt;=LEFT('RFM input'!$G$60,4),"enter input",IF(LEFT(N$6,4)&gt;LEFT('RFM input'!$Q$60,4),0,IF(N$6=(OFFSET('RFM input'!$G$60,0,'RFM input'!$V$7)),OFFSET('RFM input'!$I$411,$A1148,0),0)))</f>
        <v>0</v>
      </c>
      <c r="O1151" s="1422">
        <f ca="1">IF(LEFT(O$6,4)&lt;=LEFT('RFM input'!$G$60,4),"enter input",IF(LEFT(O$6,4)&gt;LEFT('RFM input'!$Q$60,4),0,IF(O$6=(OFFSET('RFM input'!$G$60,0,'RFM input'!$V$7)),OFFSET('RFM input'!$I$411,$A1148,0),0)))</f>
        <v>0</v>
      </c>
      <c r="P1151" s="1422">
        <f ca="1">IF(LEFT(P$6,4)&lt;=LEFT('RFM input'!$G$60,4),"enter input",IF(LEFT(P$6,4)&gt;LEFT('RFM input'!$Q$60,4),0,IF(P$6=(OFFSET('RFM input'!$G$60,0,'RFM input'!$V$7)),OFFSET('RFM input'!$I$411,$A1148,0),0)))</f>
        <v>0</v>
      </c>
      <c r="Q1151" s="1422">
        <f ca="1">IF(LEFT(Q$6,4)&lt;=LEFT('RFM input'!$G$60,4),"enter input",IF(LEFT(Q$6,4)&gt;LEFT('RFM input'!$Q$60,4),0,IF(Q$6=(OFFSET('RFM input'!$G$60,0,'RFM input'!$V$7)),OFFSET('RFM input'!$I$411,$A1148,0),0)))</f>
        <v>0</v>
      </c>
      <c r="R1151" s="1422">
        <f ca="1">IF(LEFT(R$6,4)&lt;=LEFT('RFM input'!$G$60,4),"enter input",IF(LEFT(R$6,4)&gt;LEFT('RFM input'!$Q$60,4),0,IF(R$6=(OFFSET('RFM input'!$G$60,0,'RFM input'!$V$7)),OFFSET('RFM input'!$I$411,$A1148,0),0)))</f>
        <v>0</v>
      </c>
      <c r="S1151" s="1422">
        <f ca="1">IF(LEFT(S$6,4)&lt;=LEFT('RFM input'!$G$60,4),"enter input",IF(LEFT(S$6,4)&gt;LEFT('RFM input'!$Q$60,4),0,IF(S$6=(OFFSET('RFM input'!$G$60,0,'RFM input'!$V$7)),OFFSET('RFM input'!$I$411,$A1148,0),0)))</f>
        <v>0</v>
      </c>
      <c r="T1151" s="1422">
        <f ca="1">IF(LEFT(T$6,4)&lt;=LEFT('RFM input'!$G$60,4),"enter input",IF(LEFT(T$6,4)&gt;LEFT('RFM input'!$Q$60,4),0,IF(T$6=(OFFSET('RFM input'!$G$60,0,'RFM input'!$V$7)),OFFSET('RFM input'!$I$411,$A1148,0),0)))</f>
        <v>0</v>
      </c>
      <c r="U1151" s="1422">
        <f ca="1">IF(LEFT(U$6,4)&lt;=LEFT('RFM input'!$G$60,4),"enter input",IF(LEFT(U$6,4)&gt;LEFT('RFM input'!$Q$60,4),0,IF(U$6=(OFFSET('RFM input'!$G$60,0,'RFM input'!$V$7)),OFFSET('RFM input'!$I$411,$A1148,0),0)))</f>
        <v>0</v>
      </c>
      <c r="V1151" s="1422">
        <f ca="1">IF(LEFT(V$6,4)&lt;=LEFT('RFM input'!$G$60,4),"enter input",IF(LEFT(V$6,4)&gt;LEFT('RFM input'!$Q$60,4),0,IF(V$6=(OFFSET('RFM input'!$G$60,0,'RFM input'!$V$7)),OFFSET('RFM input'!$I$411,$A1148,0),0)))</f>
        <v>0</v>
      </c>
      <c r="W1151" s="1422">
        <f ca="1">IF(LEFT(W$6,4)&lt;=LEFT('RFM input'!$G$60,4),"enter input",IF(LEFT(W$6,4)&gt;LEFT('RFM input'!$Q$60,4),0,IF(W$6=(OFFSET('RFM input'!$G$60,0,'RFM input'!$V$7)),OFFSET('RFM input'!$I$411,$A1148,0),0)))</f>
        <v>0</v>
      </c>
      <c r="X1151" s="152"/>
      <c r="Y1151" s="152"/>
      <c r="Z1151" s="152"/>
      <c r="AA1151" s="152"/>
      <c r="AB1151" s="152"/>
    </row>
    <row r="1152" spans="1:28" hidden="1" outlineLevel="1">
      <c r="A1152" s="235">
        <v>-1</v>
      </c>
      <c r="B1152" s="190" t="s">
        <v>189</v>
      </c>
      <c r="C1152" s="1423"/>
      <c r="D1152" s="1423">
        <f ca="1">IF(AND(D1150=0,C1152=0),0,
IF(AND(D1150&lt;&gt;0,C1152=0),(D1150/D$10),
IF(AND(D1151&lt;&gt;0,C1152&lt;&gt;0),(C1152-(C1152/C1176))+(D1150/D$10),
IF(C1176&lt;1,0,(C1152-(C1152/C1176))))))</f>
        <v>0</v>
      </c>
      <c r="E1152" s="1423">
        <f t="shared" ref="E1152" ca="1" si="1666">IF(AND(E1150=0,D1152=0),0,
IF(AND(E1150&lt;&gt;0,D1152=0),(E1150/E$10),
IF(AND(E1151&lt;&gt;0,D1152&lt;&gt;0),(D1152-(D1152/D1176))+(E1150/E$10),
IF(D1176&lt;1,0,(D1152-(D1152/D1176))))))</f>
        <v>0</v>
      </c>
      <c r="F1152" s="1423">
        <f t="shared" ref="F1152" ca="1" si="1667">IF(AND(F1150=0,E1152=0),0,
IF(AND(F1150&lt;&gt;0,E1152=0),(F1150/F$10),
IF(AND(F1151&lt;&gt;0,E1152&lt;&gt;0),(E1152-(E1152/E1176))+(F1150/F$10),
IF(E1176&lt;1,0,(E1152-(E1152/E1176))))))</f>
        <v>0</v>
      </c>
      <c r="G1152" s="1423">
        <f t="shared" ref="G1152" ca="1" si="1668">IF(AND(G1150=0,F1152=0),0,
IF(AND(G1150&lt;&gt;0,F1152=0),(G1150/G$10),
IF(AND(G1151&lt;&gt;0,F1152&lt;&gt;0),(F1152-(F1152/F1176))+(G1150/G$10),
IF(F1176&lt;1,0,(F1152-(F1152/F1176))))))</f>
        <v>0</v>
      </c>
      <c r="H1152" s="1423">
        <f t="shared" ref="H1152" ca="1" si="1669">IF(AND(H1150=0,G1152=0),0,
IF(AND(H1150&lt;&gt;0,G1152=0),(H1150/H$10),
IF(AND(H1151&lt;&gt;0,G1152&lt;&gt;0),(G1152-(G1152/G1176))+(H1150/H$10),
IF(G1176&lt;1,0,(G1152-(G1152/G1176))))))</f>
        <v>0</v>
      </c>
      <c r="I1152" s="1423">
        <f t="shared" ref="I1152" ca="1" si="1670">IF(AND(I1150=0,H1152=0),0,
IF(AND(I1150&lt;&gt;0,H1152=0),(I1150/I$10),
IF(AND(I1151&lt;&gt;0,H1152&lt;&gt;0),(H1152-(H1152/H1176))+(I1150/I$10),
IF(H1176&lt;1,0,(H1152-(H1152/H1176))))))</f>
        <v>0</v>
      </c>
      <c r="J1152" s="1423">
        <f t="shared" ref="J1152" ca="1" si="1671">IF(AND(J1150=0,I1152=0),0,
IF(AND(J1150&lt;&gt;0,I1152=0),(J1150/J$10),
IF(AND(J1151&lt;&gt;0,I1152&lt;&gt;0),(I1152-(I1152/I1176))+(J1150/J$10),
IF(I1176&lt;1,0,(I1152-(I1152/I1176))))))</f>
        <v>0</v>
      </c>
      <c r="K1152" s="1423">
        <f t="shared" ref="K1152" ca="1" si="1672">IF(AND(K1150=0,J1152=0),0,
IF(AND(K1150&lt;&gt;0,J1152=0),(K1150/K$10),
IF(AND(K1151&lt;&gt;0,J1152&lt;&gt;0),(J1152-(J1152/J1176))+(K1150/K$10),
IF(J1176&lt;1,0,(J1152-(J1152/J1176))))))</f>
        <v>0</v>
      </c>
      <c r="L1152" s="1423">
        <f t="shared" ref="L1152" ca="1" si="1673">IF(AND(L1150=0,K1152=0),0,
IF(AND(L1150&lt;&gt;0,K1152=0),(L1150/L$10),
IF(AND(L1151&lt;&gt;0,K1152&lt;&gt;0),(K1152-(K1152/K1176))+(L1150/L$10),
IF(K1176&lt;1,0,(K1152-(K1152/K1176))))))</f>
        <v>0</v>
      </c>
      <c r="M1152" s="1423">
        <f t="shared" ref="M1152" ca="1" si="1674">IF(AND(M1150=0,L1152=0),0,
IF(AND(M1150&lt;&gt;0,L1152=0),(M1150/M$10),
IF(AND(M1151&lt;&gt;0,L1152&lt;&gt;0),(L1152-(L1152/L1176))+(M1150/M$10),
IF(L1176&lt;1,0,(L1152-(L1152/L1176))))))</f>
        <v>0</v>
      </c>
      <c r="N1152" s="1423">
        <f t="shared" ref="N1152" ca="1" si="1675">IF(AND(N1150=0,M1152=0),0,
IF(AND(N1150&lt;&gt;0,M1152=0),(N1150/N$10),
IF(AND(N1151&lt;&gt;0,M1152&lt;&gt;0),(M1152-(M1152/M1176))+(N1150/N$10),
IF(M1176&lt;1,0,(M1152-(M1152/M1176))))))</f>
        <v>0</v>
      </c>
      <c r="O1152" s="1423">
        <f t="shared" ref="O1152" ca="1" si="1676">IF(AND(O1150=0,N1152=0),0,
IF(AND(O1150&lt;&gt;0,N1152=0),(O1150/O$10),
IF(AND(O1151&lt;&gt;0,N1152&lt;&gt;0),(N1152-(N1152/N1176))+(O1150/O$10),
IF(N1176&lt;1,0,(N1152-(N1152/N1176))))))</f>
        <v>0</v>
      </c>
      <c r="P1152" s="1423">
        <f t="shared" ref="P1152" ca="1" si="1677">IF(AND(P1150=0,O1152=0),0,
IF(AND(P1150&lt;&gt;0,O1152=0),(P1150/P$10),
IF(AND(P1151&lt;&gt;0,O1152&lt;&gt;0),(O1152-(O1152/O1176))+(P1150/P$10),
IF(O1176&lt;1,0,(O1152-(O1152/O1176))))))</f>
        <v>0</v>
      </c>
      <c r="Q1152" s="1423">
        <f t="shared" ref="Q1152" ca="1" si="1678">IF(AND(Q1150=0,P1152=0),0,
IF(AND(Q1150&lt;&gt;0,P1152=0),(Q1150/Q$10),
IF(AND(Q1151&lt;&gt;0,P1152&lt;&gt;0),(P1152-(P1152/P1176))+(Q1150/Q$10),
IF(P1176&lt;1,0,(P1152-(P1152/P1176))))))</f>
        <v>0</v>
      </c>
      <c r="R1152" s="1423">
        <f t="shared" ref="R1152" ca="1" si="1679">IF(AND(R1150=0,Q1152=0),0,
IF(AND(R1150&lt;&gt;0,Q1152=0),(R1150/R$10),
IF(AND(R1151&lt;&gt;0,Q1152&lt;&gt;0),(Q1152-(Q1152/Q1176))+(R1150/R$10),
IF(Q1176&lt;1,0,(Q1152-(Q1152/Q1176))))))</f>
        <v>0</v>
      </c>
      <c r="S1152" s="1423">
        <f t="shared" ref="S1152" ca="1" si="1680">IF(AND(S1150=0,R1152=0),0,
IF(AND(S1150&lt;&gt;0,R1152=0),(S1150/S$10),
IF(AND(S1151&lt;&gt;0,R1152&lt;&gt;0),(R1152-(R1152/R1176))+(S1150/S$10),
IF(R1176&lt;1,0,(R1152-(R1152/R1176))))))</f>
        <v>0</v>
      </c>
      <c r="T1152" s="1423">
        <f t="shared" ref="T1152" ca="1" si="1681">IF(AND(T1150=0,S1152=0),0,
IF(AND(T1150&lt;&gt;0,S1152=0),(T1150/T$10),
IF(AND(T1151&lt;&gt;0,S1152&lt;&gt;0),(S1152-(S1152/S1176))+(T1150/T$10),
IF(S1176&lt;1,0,(S1152-(S1152/S1176))))))</f>
        <v>0</v>
      </c>
      <c r="U1152" s="1423">
        <f t="shared" ref="U1152" ca="1" si="1682">IF(AND(U1150=0,T1152=0),0,
IF(AND(U1150&lt;&gt;0,T1152=0),(U1150/U$10),
IF(AND(U1151&lt;&gt;0,T1152&lt;&gt;0),(T1152-(T1152/T1176))+(U1150/U$10),
IF(T1176&lt;1,0,(T1152-(T1152/T1176))))))</f>
        <v>0</v>
      </c>
      <c r="V1152" s="1423">
        <f t="shared" ref="V1152" ca="1" si="1683">IF(AND(V1150=0,U1152=0),0,
IF(AND(V1150&lt;&gt;0,U1152=0),(V1150/V$10),
IF(AND(V1151&lt;&gt;0,U1152&lt;&gt;0),(U1152-(U1152/U1176))+(V1150/V$10),
IF(U1176&lt;1,0,(U1152-(U1152/U1176))))))</f>
        <v>0</v>
      </c>
      <c r="W1152" s="1423">
        <f t="shared" ref="W1152" ca="1" si="1684">IF(AND(W1150=0,V1152=0),0,
IF(AND(W1150&lt;&gt;0,V1152=0),(W1150/W$10),
IF(AND(W1151&lt;&gt;0,V1152&lt;&gt;0),(V1152-(V1152/V1176))+(W1150/W$10),
IF(V1176&lt;1,0,(V1152-(V1152/V1176))))))</f>
        <v>0</v>
      </c>
      <c r="X1152" s="152"/>
      <c r="Y1152" s="152"/>
      <c r="Z1152" s="152"/>
      <c r="AA1152" s="152"/>
      <c r="AB1152" s="152"/>
    </row>
    <row r="1153" spans="1:28" hidden="1" outlineLevel="1">
      <c r="A1153" s="199">
        <f>A1152+1</f>
        <v>0</v>
      </c>
      <c r="B1153" s="190" t="s">
        <v>125</v>
      </c>
      <c r="C1153" s="1423">
        <f ca="1">C1148/C$10</f>
        <v>0</v>
      </c>
      <c r="D1153" s="1423">
        <f ca="1">IF(C1177="n/a",C1153,IFERROR(IF((OFFSET($C1153,0,$A1153))&lt;0,
MIN(0,C1153-(OFFSET($C1153,0,$A1153)/(OFFSET($C1148,-$A1152,$A1153)))),
MAX(0,C1153-(OFFSET($C1153,0,$A1153)/(OFFSET($C1148,-$A1152,$A1153))))),0))</f>
        <v>0</v>
      </c>
      <c r="E1153" s="1423">
        <f t="shared" ref="E1153" ca="1" si="1685">IF(D1177="n/a",D1153,IFERROR(IF((OFFSET($C1153,0,$A1153))&lt;0,
MIN(0,D1153-(OFFSET($C1153,0,$A1153)/(OFFSET($C1148,-$A1152,$A1153)))),
MAX(0,D1153-(OFFSET($C1153,0,$A1153)/(OFFSET($C1148,-$A1152,$A1153))))),0))</f>
        <v>0</v>
      </c>
      <c r="F1153" s="1423">
        <f t="shared" ref="F1153:F1154" ca="1" si="1686">IF(E1177="n/a",E1153,IFERROR(IF((OFFSET($C1153,0,$A1153))&lt;0,
MIN(0,E1153-(OFFSET($C1153,0,$A1153)/(OFFSET($C1148,-$A1152,$A1153)))),
MAX(0,E1153-(OFFSET($C1153,0,$A1153)/(OFFSET($C1148,-$A1152,$A1153))))),0))</f>
        <v>0</v>
      </c>
      <c r="G1153" s="1423">
        <f t="shared" ref="G1153:G1155" ca="1" si="1687">IF(F1177="n/a",F1153,IFERROR(IF((OFFSET($C1153,0,$A1153))&lt;0,
MIN(0,F1153-(OFFSET($C1153,0,$A1153)/(OFFSET($C1148,-$A1152,$A1153)))),
MAX(0,F1153-(OFFSET($C1153,0,$A1153)/(OFFSET($C1148,-$A1152,$A1153))))),0))</f>
        <v>0</v>
      </c>
      <c r="H1153" s="1423">
        <f t="shared" ref="H1153:H1156" ca="1" si="1688">IF(G1177="n/a",G1153,IFERROR(IF((OFFSET($C1153,0,$A1153))&lt;0,
MIN(0,G1153-(OFFSET($C1153,0,$A1153)/(OFFSET($C1148,-$A1152,$A1153)))),
MAX(0,G1153-(OFFSET($C1153,0,$A1153)/(OFFSET($C1148,-$A1152,$A1153))))),0))</f>
        <v>0</v>
      </c>
      <c r="I1153" s="1423">
        <f t="shared" ref="I1153:I1157" ca="1" si="1689">IF(H1177="n/a",H1153,IFERROR(IF((OFFSET($C1153,0,$A1153))&lt;0,
MIN(0,H1153-(OFFSET($C1153,0,$A1153)/(OFFSET($C1148,-$A1152,$A1153)))),
MAX(0,H1153-(OFFSET($C1153,0,$A1153)/(OFFSET($C1148,-$A1152,$A1153))))),0))</f>
        <v>0</v>
      </c>
      <c r="J1153" s="1423">
        <f t="shared" ref="J1153:J1158" ca="1" si="1690">IF(I1177="n/a",I1153,IFERROR(IF((OFFSET($C1153,0,$A1153))&lt;0,
MIN(0,I1153-(OFFSET($C1153,0,$A1153)/(OFFSET($C1148,-$A1152,$A1153)))),
MAX(0,I1153-(OFFSET($C1153,0,$A1153)/(OFFSET($C1148,-$A1152,$A1153))))),0))</f>
        <v>0</v>
      </c>
      <c r="K1153" s="1423">
        <f t="shared" ref="K1153:K1159" ca="1" si="1691">IF(J1177="n/a",J1153,IFERROR(IF((OFFSET($C1153,0,$A1153))&lt;0,
MIN(0,J1153-(OFFSET($C1153,0,$A1153)/(OFFSET($C1148,-$A1152,$A1153)))),
MAX(0,J1153-(OFFSET($C1153,0,$A1153)/(OFFSET($C1148,-$A1152,$A1153))))),0))</f>
        <v>0</v>
      </c>
      <c r="L1153" s="1423">
        <f t="shared" ref="L1153:L1160" ca="1" si="1692">IF(K1177="n/a",K1153,IFERROR(IF((OFFSET($C1153,0,$A1153))&lt;0,
MIN(0,K1153-(OFFSET($C1153,0,$A1153)/(OFFSET($C1148,-$A1152,$A1153)))),
MAX(0,K1153-(OFFSET($C1153,0,$A1153)/(OFFSET($C1148,-$A1152,$A1153))))),0))</f>
        <v>0</v>
      </c>
      <c r="M1153" s="1423">
        <f t="shared" ref="M1153:M1161" ca="1" si="1693">IF(L1177="n/a",L1153,IFERROR(IF((OFFSET($C1153,0,$A1153))&lt;0,
MIN(0,L1153-(OFFSET($C1153,0,$A1153)/(OFFSET($C1148,-$A1152,$A1153)))),
MAX(0,L1153-(OFFSET($C1153,0,$A1153)/(OFFSET($C1148,-$A1152,$A1153))))),0))</f>
        <v>0</v>
      </c>
      <c r="N1153" s="1423">
        <f t="shared" ref="N1153:N1162" ca="1" si="1694">IF(M1177="n/a",M1153,IFERROR(IF((OFFSET($C1153,0,$A1153))&lt;0,
MIN(0,M1153-(OFFSET($C1153,0,$A1153)/(OFFSET($C1148,-$A1152,$A1153)))),
MAX(0,M1153-(OFFSET($C1153,0,$A1153)/(OFFSET($C1148,-$A1152,$A1153))))),0))</f>
        <v>0</v>
      </c>
      <c r="O1153" s="1423">
        <f t="shared" ref="O1153:O1163" ca="1" si="1695">IF(N1177="n/a",N1153,IFERROR(IF((OFFSET($C1153,0,$A1153))&lt;0,
MIN(0,N1153-(OFFSET($C1153,0,$A1153)/(OFFSET($C1148,-$A1152,$A1153)))),
MAX(0,N1153-(OFFSET($C1153,0,$A1153)/(OFFSET($C1148,-$A1152,$A1153))))),0))</f>
        <v>0</v>
      </c>
      <c r="P1153" s="1423">
        <f t="shared" ref="P1153:P1164" ca="1" si="1696">IF(O1177="n/a",O1153,IFERROR(IF((OFFSET($C1153,0,$A1153))&lt;0,
MIN(0,O1153-(OFFSET($C1153,0,$A1153)/(OFFSET($C1148,-$A1152,$A1153)))),
MAX(0,O1153-(OFFSET($C1153,0,$A1153)/(OFFSET($C1148,-$A1152,$A1153))))),0))</f>
        <v>0</v>
      </c>
      <c r="Q1153" s="1423">
        <f t="shared" ref="Q1153:Q1165" ca="1" si="1697">IF(P1177="n/a",P1153,IFERROR(IF((OFFSET($C1153,0,$A1153))&lt;0,
MIN(0,P1153-(OFFSET($C1153,0,$A1153)/(OFFSET($C1148,-$A1152,$A1153)))),
MAX(0,P1153-(OFFSET($C1153,0,$A1153)/(OFFSET($C1148,-$A1152,$A1153))))),0))</f>
        <v>0</v>
      </c>
      <c r="R1153" s="1423">
        <f t="shared" ref="R1153:R1166" ca="1" si="1698">IF(Q1177="n/a",Q1153,IFERROR(IF((OFFSET($C1153,0,$A1153))&lt;0,
MIN(0,Q1153-(OFFSET($C1153,0,$A1153)/(OFFSET($C1148,-$A1152,$A1153)))),
MAX(0,Q1153-(OFFSET($C1153,0,$A1153)/(OFFSET($C1148,-$A1152,$A1153))))),0))</f>
        <v>0</v>
      </c>
      <c r="S1153" s="1423">
        <f t="shared" ref="S1153:S1167" ca="1" si="1699">IF(R1177="n/a",R1153,IFERROR(IF((OFFSET($C1153,0,$A1153))&lt;0,
MIN(0,R1153-(OFFSET($C1153,0,$A1153)/(OFFSET($C1148,-$A1152,$A1153)))),
MAX(0,R1153-(OFFSET($C1153,0,$A1153)/(OFFSET($C1148,-$A1152,$A1153))))),0))</f>
        <v>0</v>
      </c>
      <c r="T1153" s="1423">
        <f t="shared" ref="T1153:T1168" ca="1" si="1700">IF(S1177="n/a",S1153,IFERROR(IF((OFFSET($C1153,0,$A1153))&lt;0,
MIN(0,S1153-(OFFSET($C1153,0,$A1153)/(OFFSET($C1148,-$A1152,$A1153)))),
MAX(0,S1153-(OFFSET($C1153,0,$A1153)/(OFFSET($C1148,-$A1152,$A1153))))),0))</f>
        <v>0</v>
      </c>
      <c r="U1153" s="1423">
        <f t="shared" ref="U1153:U1169" ca="1" si="1701">IF(T1177="n/a",T1153,IFERROR(IF((OFFSET($C1153,0,$A1153))&lt;0,
MIN(0,T1153-(OFFSET($C1153,0,$A1153)/(OFFSET($C1148,-$A1152,$A1153)))),
MAX(0,T1153-(OFFSET($C1153,0,$A1153)/(OFFSET($C1148,-$A1152,$A1153))))),0))</f>
        <v>0</v>
      </c>
      <c r="V1153" s="1423">
        <f t="shared" ref="V1153:V1170" ca="1" si="1702">IF(U1177="n/a",U1153,IFERROR(IF((OFFSET($C1153,0,$A1153))&lt;0,
MIN(0,U1153-(OFFSET($C1153,0,$A1153)/(OFFSET($C1148,-$A1152,$A1153)))),
MAX(0,U1153-(OFFSET($C1153,0,$A1153)/(OFFSET($C1148,-$A1152,$A1153))))),0))</f>
        <v>0</v>
      </c>
      <c r="W1153" s="1423">
        <f t="shared" ref="W1153:W1171" ca="1" si="1703">IF(V1177="n/a",V1153,IFERROR(IF((OFFSET($C1153,0,$A1153))&lt;0,
MIN(0,V1153-(OFFSET($C1153,0,$A1153)/(OFFSET($C1148,-$A1152,$A1153)))),
MAX(0,V1153-(OFFSET($C1153,0,$A1153)/(OFFSET($C1148,-$A1152,$A1153))))),0))</f>
        <v>0</v>
      </c>
      <c r="X1153" s="152"/>
      <c r="Y1153" s="152"/>
      <c r="Z1153" s="152"/>
      <c r="AA1153" s="152"/>
      <c r="AB1153" s="152"/>
    </row>
    <row r="1154" spans="1:28" hidden="1" outlineLevel="1">
      <c r="A1154" s="199">
        <f t="shared" ref="A1154:A1173" si="1704">A1153+1</f>
        <v>1</v>
      </c>
      <c r="B1154" s="190" t="str">
        <f t="shared" ref="B1154:B1172" ca="1" si="1705">"Depreciated Net Capex "&amp;OFFSET($C$6,0,A1154)</f>
        <v>Depreciated Net Capex 2016-17</v>
      </c>
      <c r="C1154" s="1424"/>
      <c r="D1154" s="1425">
        <f>(D1148*((1+D$11)^0.5)/D$10)</f>
        <v>0</v>
      </c>
      <c r="E1154" s="1423">
        <f ca="1">IF(D1178="n/a",D1154,IFERROR(IF((OFFSET($C1154,0,$A1154))&lt;0,
MIN(0,D1154-(OFFSET($C1154,0,$A1154)/(OFFSET($C1149,-$A1153,$A1154)))),
MAX(0,D1154-(OFFSET($C1154,0,$A1154)/(OFFSET($C1149,-$A1153,$A1154))))),0))</f>
        <v>0</v>
      </c>
      <c r="F1154" s="1423">
        <f t="shared" ca="1" si="1686"/>
        <v>0</v>
      </c>
      <c r="G1154" s="1423">
        <f t="shared" ca="1" si="1687"/>
        <v>0</v>
      </c>
      <c r="H1154" s="1423">
        <f t="shared" ca="1" si="1688"/>
        <v>0</v>
      </c>
      <c r="I1154" s="1423">
        <f t="shared" ca="1" si="1689"/>
        <v>0</v>
      </c>
      <c r="J1154" s="1423">
        <f t="shared" ca="1" si="1690"/>
        <v>0</v>
      </c>
      <c r="K1154" s="1423">
        <f t="shared" ca="1" si="1691"/>
        <v>0</v>
      </c>
      <c r="L1154" s="1423">
        <f t="shared" ca="1" si="1692"/>
        <v>0</v>
      </c>
      <c r="M1154" s="1423">
        <f t="shared" ca="1" si="1693"/>
        <v>0</v>
      </c>
      <c r="N1154" s="1423">
        <f t="shared" ca="1" si="1694"/>
        <v>0</v>
      </c>
      <c r="O1154" s="1423">
        <f t="shared" ca="1" si="1695"/>
        <v>0</v>
      </c>
      <c r="P1154" s="1423">
        <f t="shared" ca="1" si="1696"/>
        <v>0</v>
      </c>
      <c r="Q1154" s="1423">
        <f t="shared" ca="1" si="1697"/>
        <v>0</v>
      </c>
      <c r="R1154" s="1423">
        <f t="shared" ca="1" si="1698"/>
        <v>0</v>
      </c>
      <c r="S1154" s="1423">
        <f t="shared" ca="1" si="1699"/>
        <v>0</v>
      </c>
      <c r="T1154" s="1423">
        <f t="shared" ca="1" si="1700"/>
        <v>0</v>
      </c>
      <c r="U1154" s="1423">
        <f t="shared" ca="1" si="1701"/>
        <v>0</v>
      </c>
      <c r="V1154" s="1423">
        <f t="shared" ca="1" si="1702"/>
        <v>0</v>
      </c>
      <c r="W1154" s="1423">
        <f t="shared" ca="1" si="1703"/>
        <v>0</v>
      </c>
      <c r="X1154" s="152"/>
      <c r="Y1154" s="152"/>
      <c r="Z1154" s="152"/>
      <c r="AA1154" s="152"/>
      <c r="AB1154" s="152"/>
    </row>
    <row r="1155" spans="1:28" hidden="1" outlineLevel="1">
      <c r="A1155" s="199">
        <f t="shared" si="1704"/>
        <v>2</v>
      </c>
      <c r="B1155" s="190" t="str">
        <f t="shared" ca="1" si="1705"/>
        <v>Depreciated Net Capex 2017-18</v>
      </c>
      <c r="C1155" s="1426"/>
      <c r="D1155" s="1427"/>
      <c r="E1155" s="1425">
        <f>(E1148*((1+E$11)^0.5)/E$10)</f>
        <v>0</v>
      </c>
      <c r="F1155" s="1423">
        <f ca="1">IF(E1179="n/a",E1155,IFERROR(IF((OFFSET($C1155,0,$A1155))&lt;0,
MIN(0,E1155-(OFFSET($C1155,0,$A1155)/(OFFSET($C1150,-$A1154,$A1155)))),
MAX(0,E1155-(OFFSET($C1155,0,$A1155)/(OFFSET($C1150,-$A1154,$A1155))))),0))</f>
        <v>0</v>
      </c>
      <c r="G1155" s="1423">
        <f t="shared" ca="1" si="1687"/>
        <v>0</v>
      </c>
      <c r="H1155" s="1423">
        <f t="shared" ca="1" si="1688"/>
        <v>0</v>
      </c>
      <c r="I1155" s="1423">
        <f t="shared" ca="1" si="1689"/>
        <v>0</v>
      </c>
      <c r="J1155" s="1423">
        <f t="shared" ca="1" si="1690"/>
        <v>0</v>
      </c>
      <c r="K1155" s="1423">
        <f t="shared" ca="1" si="1691"/>
        <v>0</v>
      </c>
      <c r="L1155" s="1423">
        <f t="shared" ca="1" si="1692"/>
        <v>0</v>
      </c>
      <c r="M1155" s="1423">
        <f t="shared" ca="1" si="1693"/>
        <v>0</v>
      </c>
      <c r="N1155" s="1423">
        <f t="shared" ca="1" si="1694"/>
        <v>0</v>
      </c>
      <c r="O1155" s="1423">
        <f t="shared" ca="1" si="1695"/>
        <v>0</v>
      </c>
      <c r="P1155" s="1423">
        <f t="shared" ca="1" si="1696"/>
        <v>0</v>
      </c>
      <c r="Q1155" s="1423">
        <f t="shared" ca="1" si="1697"/>
        <v>0</v>
      </c>
      <c r="R1155" s="1423">
        <f t="shared" ca="1" si="1698"/>
        <v>0</v>
      </c>
      <c r="S1155" s="1423">
        <f t="shared" ca="1" si="1699"/>
        <v>0</v>
      </c>
      <c r="T1155" s="1423">
        <f t="shared" ca="1" si="1700"/>
        <v>0</v>
      </c>
      <c r="U1155" s="1423">
        <f t="shared" ca="1" si="1701"/>
        <v>0</v>
      </c>
      <c r="V1155" s="1423">
        <f t="shared" ca="1" si="1702"/>
        <v>0</v>
      </c>
      <c r="W1155" s="1423">
        <f t="shared" ca="1" si="1703"/>
        <v>0</v>
      </c>
      <c r="X1155" s="202"/>
      <c r="Y1155" s="152"/>
      <c r="Z1155" s="152"/>
      <c r="AA1155" s="152"/>
      <c r="AB1155" s="152"/>
    </row>
    <row r="1156" spans="1:28" hidden="1" outlineLevel="1">
      <c r="A1156" s="199">
        <f t="shared" si="1704"/>
        <v>3</v>
      </c>
      <c r="B1156" s="190" t="str">
        <f t="shared" ca="1" si="1705"/>
        <v>Depreciated Net Capex 2018-19</v>
      </c>
      <c r="C1156" s="1426"/>
      <c r="D1156" s="1426"/>
      <c r="E1156" s="1427"/>
      <c r="F1156" s="1428">
        <f>($F1148*((1+F$11)^0.5)/F$10)</f>
        <v>0</v>
      </c>
      <c r="G1156" s="1423">
        <f ca="1">IF(F1180="n/a",F1156,IFERROR(IF((OFFSET($C1156,0,$A1156))&lt;0,
MIN(0,F1156-(OFFSET($C1156,0,$A1156)/(OFFSET($C1151,-$A1155,$A1156)))),
MAX(0,F1156-(OFFSET($C1156,0,$A1156)/(OFFSET($C1151,-$A1155,$A1156))))),0))</f>
        <v>0</v>
      </c>
      <c r="H1156" s="1423">
        <f t="shared" ca="1" si="1688"/>
        <v>0</v>
      </c>
      <c r="I1156" s="1423">
        <f t="shared" ca="1" si="1689"/>
        <v>0</v>
      </c>
      <c r="J1156" s="1423">
        <f t="shared" ca="1" si="1690"/>
        <v>0</v>
      </c>
      <c r="K1156" s="1423">
        <f t="shared" ca="1" si="1691"/>
        <v>0</v>
      </c>
      <c r="L1156" s="1423">
        <f t="shared" ca="1" si="1692"/>
        <v>0</v>
      </c>
      <c r="M1156" s="1423">
        <f t="shared" ca="1" si="1693"/>
        <v>0</v>
      </c>
      <c r="N1156" s="1423">
        <f t="shared" ca="1" si="1694"/>
        <v>0</v>
      </c>
      <c r="O1156" s="1423">
        <f t="shared" ca="1" si="1695"/>
        <v>0</v>
      </c>
      <c r="P1156" s="1423">
        <f t="shared" ca="1" si="1696"/>
        <v>0</v>
      </c>
      <c r="Q1156" s="1423">
        <f t="shared" ca="1" si="1697"/>
        <v>0</v>
      </c>
      <c r="R1156" s="1423">
        <f t="shared" ca="1" si="1698"/>
        <v>0</v>
      </c>
      <c r="S1156" s="1423">
        <f t="shared" ca="1" si="1699"/>
        <v>0</v>
      </c>
      <c r="T1156" s="1423">
        <f t="shared" ca="1" si="1700"/>
        <v>0</v>
      </c>
      <c r="U1156" s="1423">
        <f t="shared" ca="1" si="1701"/>
        <v>0</v>
      </c>
      <c r="V1156" s="1423">
        <f t="shared" ca="1" si="1702"/>
        <v>0</v>
      </c>
      <c r="W1156" s="1423">
        <f t="shared" ca="1" si="1703"/>
        <v>0</v>
      </c>
      <c r="X1156" s="202"/>
      <c r="Y1156" s="202"/>
      <c r="Z1156" s="152"/>
      <c r="AA1156" s="152"/>
      <c r="AB1156" s="152"/>
    </row>
    <row r="1157" spans="1:28" hidden="1" outlineLevel="1">
      <c r="A1157" s="199">
        <f t="shared" si="1704"/>
        <v>4</v>
      </c>
      <c r="B1157" s="190" t="str">
        <f t="shared" ca="1" si="1705"/>
        <v>Depreciated Net Capex 2019-20</v>
      </c>
      <c r="C1157" s="1426"/>
      <c r="D1157" s="1426"/>
      <c r="E1157" s="1426"/>
      <c r="F1157" s="1427"/>
      <c r="G1157" s="1428">
        <f>($G1148*((1+G$11)^0.5)/G$10)</f>
        <v>0</v>
      </c>
      <c r="H1157" s="1423">
        <f ca="1">IF(G1181="n/a",G1157,IFERROR(IF((OFFSET($C1157,0,$A1157))&lt;0,
MIN(0,G1157-(OFFSET($C1157,0,$A1157)/(OFFSET($C1152,-$A1156,$A1157)))),
MAX(0,G1157-(OFFSET($C1157,0,$A1157)/(OFFSET($C1152,-$A1156,$A1157))))),0))</f>
        <v>0</v>
      </c>
      <c r="I1157" s="1423">
        <f t="shared" ca="1" si="1689"/>
        <v>0</v>
      </c>
      <c r="J1157" s="1423">
        <f t="shared" ca="1" si="1690"/>
        <v>0</v>
      </c>
      <c r="K1157" s="1423">
        <f t="shared" ca="1" si="1691"/>
        <v>0</v>
      </c>
      <c r="L1157" s="1423">
        <f t="shared" ca="1" si="1692"/>
        <v>0</v>
      </c>
      <c r="M1157" s="1423">
        <f t="shared" ca="1" si="1693"/>
        <v>0</v>
      </c>
      <c r="N1157" s="1423">
        <f t="shared" ca="1" si="1694"/>
        <v>0</v>
      </c>
      <c r="O1157" s="1423">
        <f t="shared" ca="1" si="1695"/>
        <v>0</v>
      </c>
      <c r="P1157" s="1423">
        <f t="shared" ca="1" si="1696"/>
        <v>0</v>
      </c>
      <c r="Q1157" s="1423">
        <f t="shared" ca="1" si="1697"/>
        <v>0</v>
      </c>
      <c r="R1157" s="1423">
        <f t="shared" ca="1" si="1698"/>
        <v>0</v>
      </c>
      <c r="S1157" s="1423">
        <f t="shared" ca="1" si="1699"/>
        <v>0</v>
      </c>
      <c r="T1157" s="1423">
        <f t="shared" ca="1" si="1700"/>
        <v>0</v>
      </c>
      <c r="U1157" s="1423">
        <f t="shared" ca="1" si="1701"/>
        <v>0</v>
      </c>
      <c r="V1157" s="1423">
        <f t="shared" ca="1" si="1702"/>
        <v>0</v>
      </c>
      <c r="W1157" s="1423">
        <f t="shared" ca="1" si="1703"/>
        <v>0</v>
      </c>
      <c r="X1157" s="202"/>
      <c r="Y1157" s="202"/>
      <c r="Z1157" s="202"/>
      <c r="AA1157" s="152"/>
      <c r="AB1157" s="152"/>
    </row>
    <row r="1158" spans="1:28" hidden="1" outlineLevel="1">
      <c r="A1158" s="199">
        <f t="shared" si="1704"/>
        <v>5</v>
      </c>
      <c r="B1158" s="190" t="str">
        <f t="shared" ca="1" si="1705"/>
        <v>Depreciated Net Capex 2020-21</v>
      </c>
      <c r="C1158" s="1426"/>
      <c r="D1158" s="1426"/>
      <c r="E1158" s="1426"/>
      <c r="F1158" s="1426"/>
      <c r="G1158" s="1427"/>
      <c r="H1158" s="1428">
        <f>(H1148*((1+H$11)^0.5)/H$10)</f>
        <v>0</v>
      </c>
      <c r="I1158" s="1423">
        <f ca="1">IF(H1182="n/a",H1158,IFERROR(IF((OFFSET($C1158,0,$A1158))&lt;0,
MIN(0,H1158-(OFFSET($C1158,0,$A1158)/(OFFSET($C1153,-$A1157,$A1158)))),
MAX(0,H1158-(OFFSET($C1158,0,$A1158)/(OFFSET($C1153,-$A1157,$A1158))))),0))</f>
        <v>0</v>
      </c>
      <c r="J1158" s="1423">
        <f t="shared" ca="1" si="1690"/>
        <v>0</v>
      </c>
      <c r="K1158" s="1423">
        <f t="shared" ca="1" si="1691"/>
        <v>0</v>
      </c>
      <c r="L1158" s="1423">
        <f t="shared" ca="1" si="1692"/>
        <v>0</v>
      </c>
      <c r="M1158" s="1423">
        <f t="shared" ca="1" si="1693"/>
        <v>0</v>
      </c>
      <c r="N1158" s="1423">
        <f t="shared" ca="1" si="1694"/>
        <v>0</v>
      </c>
      <c r="O1158" s="1423">
        <f t="shared" ca="1" si="1695"/>
        <v>0</v>
      </c>
      <c r="P1158" s="1423">
        <f t="shared" ca="1" si="1696"/>
        <v>0</v>
      </c>
      <c r="Q1158" s="1423">
        <f t="shared" ca="1" si="1697"/>
        <v>0</v>
      </c>
      <c r="R1158" s="1423">
        <f t="shared" ca="1" si="1698"/>
        <v>0</v>
      </c>
      <c r="S1158" s="1423">
        <f t="shared" ca="1" si="1699"/>
        <v>0</v>
      </c>
      <c r="T1158" s="1423">
        <f t="shared" ca="1" si="1700"/>
        <v>0</v>
      </c>
      <c r="U1158" s="1423">
        <f t="shared" ca="1" si="1701"/>
        <v>0</v>
      </c>
      <c r="V1158" s="1423">
        <f t="shared" ca="1" si="1702"/>
        <v>0</v>
      </c>
      <c r="W1158" s="1423">
        <f t="shared" ca="1" si="1703"/>
        <v>0</v>
      </c>
      <c r="X1158" s="202"/>
      <c r="Y1158" s="202"/>
      <c r="Z1158" s="202"/>
      <c r="AA1158" s="152"/>
      <c r="AB1158" s="152"/>
    </row>
    <row r="1159" spans="1:28" hidden="1" outlineLevel="1">
      <c r="A1159" s="199">
        <f t="shared" si="1704"/>
        <v>6</v>
      </c>
      <c r="B1159" s="190" t="str">
        <f t="shared" ca="1" si="1705"/>
        <v>Depreciated Net Capex 2021-22</v>
      </c>
      <c r="C1159" s="1426"/>
      <c r="D1159" s="1426"/>
      <c r="E1159" s="1426"/>
      <c r="F1159" s="1426"/>
      <c r="G1159" s="1426"/>
      <c r="H1159" s="1427"/>
      <c r="I1159" s="1428">
        <f>(I1148*((1+I$11)^0.5)/I$10)</f>
        <v>0</v>
      </c>
      <c r="J1159" s="1423">
        <f ca="1">IF(I1183="n/a",I1159,IFERROR(IF((OFFSET($C1159,0,$A1159))&lt;0,
MIN(0,I1159-(OFFSET($C1159,0,$A1159)/(OFFSET($C1154,-$A1158,$A1159)))),
MAX(0,I1159-(OFFSET($C1159,0,$A1159)/(OFFSET($C1154,-$A1158,$A1159))))),0))</f>
        <v>0</v>
      </c>
      <c r="K1159" s="1423">
        <f t="shared" ca="1" si="1691"/>
        <v>0</v>
      </c>
      <c r="L1159" s="1423">
        <f t="shared" ca="1" si="1692"/>
        <v>0</v>
      </c>
      <c r="M1159" s="1423">
        <f t="shared" ca="1" si="1693"/>
        <v>0</v>
      </c>
      <c r="N1159" s="1423">
        <f t="shared" ca="1" si="1694"/>
        <v>0</v>
      </c>
      <c r="O1159" s="1423">
        <f t="shared" ca="1" si="1695"/>
        <v>0</v>
      </c>
      <c r="P1159" s="1423">
        <f t="shared" ca="1" si="1696"/>
        <v>0</v>
      </c>
      <c r="Q1159" s="1423">
        <f t="shared" ca="1" si="1697"/>
        <v>0</v>
      </c>
      <c r="R1159" s="1423">
        <f t="shared" ca="1" si="1698"/>
        <v>0</v>
      </c>
      <c r="S1159" s="1423">
        <f t="shared" ca="1" si="1699"/>
        <v>0</v>
      </c>
      <c r="T1159" s="1423">
        <f t="shared" ca="1" si="1700"/>
        <v>0</v>
      </c>
      <c r="U1159" s="1423">
        <f t="shared" ca="1" si="1701"/>
        <v>0</v>
      </c>
      <c r="V1159" s="1423">
        <f t="shared" ca="1" si="1702"/>
        <v>0</v>
      </c>
      <c r="W1159" s="1423">
        <f t="shared" ca="1" si="1703"/>
        <v>0</v>
      </c>
      <c r="X1159" s="202"/>
      <c r="Y1159" s="202"/>
      <c r="Z1159" s="202"/>
      <c r="AA1159" s="152"/>
      <c r="AB1159" s="152"/>
    </row>
    <row r="1160" spans="1:28" hidden="1" outlineLevel="1">
      <c r="A1160" s="199">
        <f t="shared" si="1704"/>
        <v>7</v>
      </c>
      <c r="B1160" s="190" t="str">
        <f t="shared" ca="1" si="1705"/>
        <v>Depreciated Net Capex 2022-23</v>
      </c>
      <c r="C1160" s="1426"/>
      <c r="D1160" s="1426"/>
      <c r="E1160" s="1426"/>
      <c r="F1160" s="1426"/>
      <c r="G1160" s="1426"/>
      <c r="H1160" s="1426"/>
      <c r="I1160" s="1427"/>
      <c r="J1160" s="1428">
        <f>(J1148*((1+J$11)^0.5)/J$10)</f>
        <v>0</v>
      </c>
      <c r="K1160" s="1423">
        <f ca="1">IF(J1184="n/a",J1160,IFERROR(IF((OFFSET($C1160,0,$A1160))&lt;0,
MIN(0,J1160-(OFFSET($C1160,0,$A1160)/(OFFSET($C1155,-$A1159,$A1160)))),
MAX(0,J1160-(OFFSET($C1160,0,$A1160)/(OFFSET($C1155,-$A1159,$A1160))))),0))</f>
        <v>0</v>
      </c>
      <c r="L1160" s="1423">
        <f t="shared" ca="1" si="1692"/>
        <v>0</v>
      </c>
      <c r="M1160" s="1423">
        <f t="shared" ca="1" si="1693"/>
        <v>0</v>
      </c>
      <c r="N1160" s="1423">
        <f t="shared" ca="1" si="1694"/>
        <v>0</v>
      </c>
      <c r="O1160" s="1423">
        <f t="shared" ca="1" si="1695"/>
        <v>0</v>
      </c>
      <c r="P1160" s="1423">
        <f t="shared" ca="1" si="1696"/>
        <v>0</v>
      </c>
      <c r="Q1160" s="1423">
        <f t="shared" ca="1" si="1697"/>
        <v>0</v>
      </c>
      <c r="R1160" s="1423">
        <f t="shared" ca="1" si="1698"/>
        <v>0</v>
      </c>
      <c r="S1160" s="1423">
        <f t="shared" ca="1" si="1699"/>
        <v>0</v>
      </c>
      <c r="T1160" s="1423">
        <f t="shared" ca="1" si="1700"/>
        <v>0</v>
      </c>
      <c r="U1160" s="1423">
        <f t="shared" ca="1" si="1701"/>
        <v>0</v>
      </c>
      <c r="V1160" s="1423">
        <f t="shared" ca="1" si="1702"/>
        <v>0</v>
      </c>
      <c r="W1160" s="1423">
        <f t="shared" ca="1" si="1703"/>
        <v>0</v>
      </c>
      <c r="X1160" s="202"/>
      <c r="Y1160" s="202"/>
      <c r="Z1160" s="202"/>
      <c r="AA1160" s="152"/>
      <c r="AB1160" s="152"/>
    </row>
    <row r="1161" spans="1:28" hidden="1" outlineLevel="1">
      <c r="A1161" s="199">
        <f t="shared" si="1704"/>
        <v>8</v>
      </c>
      <c r="B1161" s="190" t="str">
        <f t="shared" ca="1" si="1705"/>
        <v>Depreciated Net Capex 2023-24</v>
      </c>
      <c r="C1161" s="1426"/>
      <c r="D1161" s="1426"/>
      <c r="E1161" s="1426"/>
      <c r="F1161" s="1426"/>
      <c r="G1161" s="1426"/>
      <c r="H1161" s="1426"/>
      <c r="I1161" s="1426"/>
      <c r="J1161" s="1427"/>
      <c r="K1161" s="1428">
        <f>(K1148*((1+K$11)^0.5)/K$10)</f>
        <v>0</v>
      </c>
      <c r="L1161" s="1423">
        <f ca="1">IF(K1185="n/a",K1161,IFERROR(IF((OFFSET($C1161,0,$A1161))&lt;0,
MIN(0,K1161-(OFFSET($C1161,0,$A1161)/(OFFSET($C1156,-$A1160,$A1161)))),
MAX(0,K1161-(OFFSET($C1161,0,$A1161)/(OFFSET($C1156,-$A1160,$A1161))))),0))</f>
        <v>0</v>
      </c>
      <c r="M1161" s="1423">
        <f t="shared" ca="1" si="1693"/>
        <v>0</v>
      </c>
      <c r="N1161" s="1423">
        <f t="shared" ca="1" si="1694"/>
        <v>0</v>
      </c>
      <c r="O1161" s="1423">
        <f t="shared" ca="1" si="1695"/>
        <v>0</v>
      </c>
      <c r="P1161" s="1423">
        <f t="shared" ca="1" si="1696"/>
        <v>0</v>
      </c>
      <c r="Q1161" s="1423">
        <f t="shared" ca="1" si="1697"/>
        <v>0</v>
      </c>
      <c r="R1161" s="1423">
        <f t="shared" ca="1" si="1698"/>
        <v>0</v>
      </c>
      <c r="S1161" s="1423">
        <f t="shared" ca="1" si="1699"/>
        <v>0</v>
      </c>
      <c r="T1161" s="1423">
        <f t="shared" ca="1" si="1700"/>
        <v>0</v>
      </c>
      <c r="U1161" s="1423">
        <f t="shared" ca="1" si="1701"/>
        <v>0</v>
      </c>
      <c r="V1161" s="1423">
        <f t="shared" ca="1" si="1702"/>
        <v>0</v>
      </c>
      <c r="W1161" s="1423">
        <f t="shared" ca="1" si="1703"/>
        <v>0</v>
      </c>
      <c r="X1161" s="202"/>
      <c r="Y1161" s="202"/>
      <c r="Z1161" s="202"/>
      <c r="AA1161" s="152"/>
      <c r="AB1161" s="152"/>
    </row>
    <row r="1162" spans="1:28" hidden="1" outlineLevel="1">
      <c r="A1162" s="199">
        <f t="shared" si="1704"/>
        <v>9</v>
      </c>
      <c r="B1162" s="190" t="str">
        <f t="shared" ca="1" si="1705"/>
        <v>Depreciated Net Capex 2024-25</v>
      </c>
      <c r="C1162" s="1426"/>
      <c r="D1162" s="1426"/>
      <c r="E1162" s="1426"/>
      <c r="F1162" s="1426"/>
      <c r="G1162" s="1426"/>
      <c r="H1162" s="1426"/>
      <c r="I1162" s="1426"/>
      <c r="J1162" s="1426"/>
      <c r="K1162" s="1427"/>
      <c r="L1162" s="1428">
        <f>(L1148*((1+L$11)^0.5)/L$10)</f>
        <v>0</v>
      </c>
      <c r="M1162" s="1423">
        <f ca="1">IF(L1186="n/a",L1162,IFERROR(IF((OFFSET($C1162,0,$A1162))&lt;0,
MIN(0,L1162-(OFFSET($C1162,0,$A1162)/(OFFSET($C1157,-$A1161,$A1162)))),
MAX(0,L1162-(OFFSET($C1162,0,$A1162)/(OFFSET($C1157,-$A1161,$A1162))))),0))</f>
        <v>0</v>
      </c>
      <c r="N1162" s="1423">
        <f t="shared" ca="1" si="1694"/>
        <v>0</v>
      </c>
      <c r="O1162" s="1423">
        <f t="shared" ca="1" si="1695"/>
        <v>0</v>
      </c>
      <c r="P1162" s="1423">
        <f t="shared" ca="1" si="1696"/>
        <v>0</v>
      </c>
      <c r="Q1162" s="1423">
        <f t="shared" ca="1" si="1697"/>
        <v>0</v>
      </c>
      <c r="R1162" s="1423">
        <f t="shared" ca="1" si="1698"/>
        <v>0</v>
      </c>
      <c r="S1162" s="1423">
        <f t="shared" ca="1" si="1699"/>
        <v>0</v>
      </c>
      <c r="T1162" s="1423">
        <f t="shared" ca="1" si="1700"/>
        <v>0</v>
      </c>
      <c r="U1162" s="1423">
        <f t="shared" ca="1" si="1701"/>
        <v>0</v>
      </c>
      <c r="V1162" s="1423">
        <f t="shared" ca="1" si="1702"/>
        <v>0</v>
      </c>
      <c r="W1162" s="1423">
        <f t="shared" ca="1" si="1703"/>
        <v>0</v>
      </c>
      <c r="X1162" s="202"/>
      <c r="Y1162" s="202"/>
      <c r="Z1162" s="202"/>
      <c r="AA1162" s="152"/>
      <c r="AB1162" s="152"/>
    </row>
    <row r="1163" spans="1:28" hidden="1" outlineLevel="1">
      <c r="A1163" s="199">
        <f t="shared" si="1704"/>
        <v>10</v>
      </c>
      <c r="B1163" s="190" t="str">
        <f t="shared" ca="1" si="1705"/>
        <v>Depreciated Net Capex 2025-26</v>
      </c>
      <c r="C1163" s="1426"/>
      <c r="D1163" s="1426"/>
      <c r="E1163" s="1426"/>
      <c r="F1163" s="1426"/>
      <c r="G1163" s="1426"/>
      <c r="H1163" s="1426"/>
      <c r="I1163" s="1426"/>
      <c r="J1163" s="1426"/>
      <c r="K1163" s="1426"/>
      <c r="L1163" s="1427"/>
      <c r="M1163" s="1428">
        <f>(M1148*((1+M$11)^0.5)/M$10)</f>
        <v>0</v>
      </c>
      <c r="N1163" s="1423">
        <f ca="1">IF(M1187="n/a",M1163,IFERROR(IF((OFFSET($C1163,0,$A1163))&lt;0,
MIN(0,M1163-(OFFSET($C1163,0,$A1163)/(OFFSET($C1158,-$A1162,$A1163)))),
MAX(0,M1163-(OFFSET($C1163,0,$A1163)/(OFFSET($C1158,-$A1162,$A1163))))),0))</f>
        <v>0</v>
      </c>
      <c r="O1163" s="1423">
        <f t="shared" ca="1" si="1695"/>
        <v>0</v>
      </c>
      <c r="P1163" s="1423">
        <f t="shared" ca="1" si="1696"/>
        <v>0</v>
      </c>
      <c r="Q1163" s="1423">
        <f t="shared" ca="1" si="1697"/>
        <v>0</v>
      </c>
      <c r="R1163" s="1423">
        <f t="shared" ca="1" si="1698"/>
        <v>0</v>
      </c>
      <c r="S1163" s="1423">
        <f t="shared" ca="1" si="1699"/>
        <v>0</v>
      </c>
      <c r="T1163" s="1423">
        <f t="shared" ca="1" si="1700"/>
        <v>0</v>
      </c>
      <c r="U1163" s="1423">
        <f t="shared" ca="1" si="1701"/>
        <v>0</v>
      </c>
      <c r="V1163" s="1423">
        <f t="shared" ca="1" si="1702"/>
        <v>0</v>
      </c>
      <c r="W1163" s="1423">
        <f t="shared" ca="1" si="1703"/>
        <v>0</v>
      </c>
      <c r="X1163" s="202"/>
      <c r="Y1163" s="202"/>
      <c r="Z1163" s="202"/>
      <c r="AA1163" s="152"/>
      <c r="AB1163" s="152"/>
    </row>
    <row r="1164" spans="1:28" hidden="1" outlineLevel="1">
      <c r="A1164" s="199">
        <f t="shared" si="1704"/>
        <v>11</v>
      </c>
      <c r="B1164" s="190" t="str">
        <f t="shared" ca="1" si="1705"/>
        <v>Depreciated Net Capex 2026-27</v>
      </c>
      <c r="C1164" s="1426"/>
      <c r="D1164" s="1426"/>
      <c r="E1164" s="1426"/>
      <c r="F1164" s="1426"/>
      <c r="G1164" s="1426"/>
      <c r="H1164" s="1426"/>
      <c r="I1164" s="1426"/>
      <c r="J1164" s="1426"/>
      <c r="K1164" s="1426"/>
      <c r="L1164" s="1426"/>
      <c r="M1164" s="1427"/>
      <c r="N1164" s="1428">
        <f>(N1148*((1+N$11)^0.5)/N$10)</f>
        <v>0</v>
      </c>
      <c r="O1164" s="1423">
        <f ca="1">IF(N1188="n/a",N1164,IFERROR(IF((OFFSET($C1164,0,$A1164))&lt;0,
MIN(0,N1164-(OFFSET($C1164,0,$A1164)/(OFFSET($C1159,-$A1163,$A1164)))),
MAX(0,N1164-(OFFSET($C1164,0,$A1164)/(OFFSET($C1159,-$A1163,$A1164))))),0))</f>
        <v>0</v>
      </c>
      <c r="P1164" s="1423">
        <f t="shared" ca="1" si="1696"/>
        <v>0</v>
      </c>
      <c r="Q1164" s="1423">
        <f t="shared" ca="1" si="1697"/>
        <v>0</v>
      </c>
      <c r="R1164" s="1423">
        <f t="shared" ca="1" si="1698"/>
        <v>0</v>
      </c>
      <c r="S1164" s="1423">
        <f t="shared" ca="1" si="1699"/>
        <v>0</v>
      </c>
      <c r="T1164" s="1423">
        <f t="shared" ca="1" si="1700"/>
        <v>0</v>
      </c>
      <c r="U1164" s="1423">
        <f t="shared" ca="1" si="1701"/>
        <v>0</v>
      </c>
      <c r="V1164" s="1423">
        <f t="shared" ca="1" si="1702"/>
        <v>0</v>
      </c>
      <c r="W1164" s="1423">
        <f t="shared" ca="1" si="1703"/>
        <v>0</v>
      </c>
      <c r="X1164" s="202"/>
      <c r="Y1164" s="202"/>
      <c r="Z1164" s="202"/>
      <c r="AA1164" s="152"/>
      <c r="AB1164" s="152"/>
    </row>
    <row r="1165" spans="1:28" hidden="1" outlineLevel="1">
      <c r="A1165" s="199">
        <f t="shared" si="1704"/>
        <v>12</v>
      </c>
      <c r="B1165" s="190" t="str">
        <f t="shared" ca="1" si="1705"/>
        <v>Depreciated Net Capex 2027-28</v>
      </c>
      <c r="C1165" s="1426"/>
      <c r="D1165" s="1426"/>
      <c r="E1165" s="1426"/>
      <c r="F1165" s="1426"/>
      <c r="G1165" s="1426"/>
      <c r="H1165" s="1426"/>
      <c r="I1165" s="1426"/>
      <c r="J1165" s="1426"/>
      <c r="K1165" s="1426"/>
      <c r="L1165" s="1426"/>
      <c r="M1165" s="1426"/>
      <c r="N1165" s="1427"/>
      <c r="O1165" s="1428">
        <f>(O1148*((1+O$11)^0.5)/O$10)</f>
        <v>0</v>
      </c>
      <c r="P1165" s="1423">
        <f ca="1">IF(O1189="n/a",O1165,IFERROR(IF((OFFSET($C1165,0,$A1165))&lt;0,
MIN(0,O1165-(OFFSET($C1165,0,$A1165)/(OFFSET($C1160,-$A1164,$A1165)))),
MAX(0,O1165-(OFFSET($C1165,0,$A1165)/(OFFSET($C1160,-$A1164,$A1165))))),0))</f>
        <v>0</v>
      </c>
      <c r="Q1165" s="1423">
        <f t="shared" ca="1" si="1697"/>
        <v>0</v>
      </c>
      <c r="R1165" s="1423">
        <f t="shared" ca="1" si="1698"/>
        <v>0</v>
      </c>
      <c r="S1165" s="1423">
        <f t="shared" ca="1" si="1699"/>
        <v>0</v>
      </c>
      <c r="T1165" s="1423">
        <f t="shared" ca="1" si="1700"/>
        <v>0</v>
      </c>
      <c r="U1165" s="1423">
        <f t="shared" ca="1" si="1701"/>
        <v>0</v>
      </c>
      <c r="V1165" s="1423">
        <f t="shared" ca="1" si="1702"/>
        <v>0</v>
      </c>
      <c r="W1165" s="1423">
        <f t="shared" ca="1" si="1703"/>
        <v>0</v>
      </c>
      <c r="X1165" s="202"/>
      <c r="Y1165" s="202"/>
      <c r="Z1165" s="202"/>
      <c r="AA1165" s="152"/>
      <c r="AB1165" s="152"/>
    </row>
    <row r="1166" spans="1:28" hidden="1" outlineLevel="1">
      <c r="A1166" s="199">
        <f t="shared" si="1704"/>
        <v>13</v>
      </c>
      <c r="B1166" s="190" t="str">
        <f t="shared" ca="1" si="1705"/>
        <v>Depreciated Net Capex 2028-29</v>
      </c>
      <c r="C1166" s="1426"/>
      <c r="D1166" s="1426"/>
      <c r="E1166" s="1426"/>
      <c r="F1166" s="1426"/>
      <c r="G1166" s="1426"/>
      <c r="H1166" s="1426"/>
      <c r="I1166" s="1426"/>
      <c r="J1166" s="1426"/>
      <c r="K1166" s="1426"/>
      <c r="L1166" s="1426"/>
      <c r="M1166" s="1426"/>
      <c r="N1166" s="1426"/>
      <c r="O1166" s="1427"/>
      <c r="P1166" s="1428">
        <f>(P1148*((1+P$11)^0.5)/P$10)</f>
        <v>0</v>
      </c>
      <c r="Q1166" s="1423">
        <f ca="1">IF(P1190="n/a",P1166,IFERROR(IF((OFFSET($C1166,0,$A1166))&lt;0,
MIN(0,P1166-(OFFSET($C1166,0,$A1166)/(OFFSET($C1161,-$A1165,$A1166)))),
MAX(0,P1166-(OFFSET($C1166,0,$A1166)/(OFFSET($C1161,-$A1165,$A1166))))),0))</f>
        <v>0</v>
      </c>
      <c r="R1166" s="1423">
        <f t="shared" ca="1" si="1698"/>
        <v>0</v>
      </c>
      <c r="S1166" s="1423">
        <f t="shared" ca="1" si="1699"/>
        <v>0</v>
      </c>
      <c r="T1166" s="1423">
        <f t="shared" ca="1" si="1700"/>
        <v>0</v>
      </c>
      <c r="U1166" s="1423">
        <f t="shared" ca="1" si="1701"/>
        <v>0</v>
      </c>
      <c r="V1166" s="1423">
        <f t="shared" ca="1" si="1702"/>
        <v>0</v>
      </c>
      <c r="W1166" s="1423">
        <f t="shared" ca="1" si="1703"/>
        <v>0</v>
      </c>
      <c r="X1166" s="202"/>
      <c r="Y1166" s="202"/>
      <c r="Z1166" s="202"/>
      <c r="AA1166" s="152"/>
      <c r="AB1166" s="152"/>
    </row>
    <row r="1167" spans="1:28" hidden="1" outlineLevel="1">
      <c r="A1167" s="199">
        <f t="shared" si="1704"/>
        <v>14</v>
      </c>
      <c r="B1167" s="190" t="str">
        <f t="shared" ca="1" si="1705"/>
        <v>Depreciated Net Capex 2029-30</v>
      </c>
      <c r="C1167" s="1426"/>
      <c r="D1167" s="1426"/>
      <c r="E1167" s="1426"/>
      <c r="F1167" s="1426"/>
      <c r="G1167" s="1426"/>
      <c r="H1167" s="1426"/>
      <c r="I1167" s="1426"/>
      <c r="J1167" s="1426"/>
      <c r="K1167" s="1426"/>
      <c r="L1167" s="1426"/>
      <c r="M1167" s="1426"/>
      <c r="N1167" s="1426"/>
      <c r="O1167" s="1426"/>
      <c r="P1167" s="1427"/>
      <c r="Q1167" s="1428">
        <f>(Q1148*((1+Q$11)^0.5)/Q$10)</f>
        <v>0</v>
      </c>
      <c r="R1167" s="1423">
        <f ca="1">IF(Q1191="n/a",Q1167,IFERROR(IF((OFFSET($C1167,0,$A1167))&lt;0,
MIN(0,Q1167-(OFFSET($C1167,0,$A1167)/(OFFSET($C1162,-$A1166,$A1167)))),
MAX(0,Q1167-(OFFSET($C1167,0,$A1167)/(OFFSET($C1162,-$A1166,$A1167))))),0))</f>
        <v>0</v>
      </c>
      <c r="S1167" s="1423">
        <f t="shared" ca="1" si="1699"/>
        <v>0</v>
      </c>
      <c r="T1167" s="1423">
        <f t="shared" ca="1" si="1700"/>
        <v>0</v>
      </c>
      <c r="U1167" s="1423">
        <f t="shared" ca="1" si="1701"/>
        <v>0</v>
      </c>
      <c r="V1167" s="1423">
        <f t="shared" ca="1" si="1702"/>
        <v>0</v>
      </c>
      <c r="W1167" s="1423">
        <f t="shared" ca="1" si="1703"/>
        <v>0</v>
      </c>
      <c r="X1167" s="202"/>
      <c r="Y1167" s="202"/>
      <c r="Z1167" s="202"/>
      <c r="AA1167" s="152"/>
      <c r="AB1167" s="152"/>
    </row>
    <row r="1168" spans="1:28" hidden="1" outlineLevel="1">
      <c r="A1168" s="199">
        <f t="shared" si="1704"/>
        <v>15</v>
      </c>
      <c r="B1168" s="190" t="str">
        <f t="shared" ca="1" si="1705"/>
        <v>Depreciated Net Capex 2030-31</v>
      </c>
      <c r="C1168" s="1426"/>
      <c r="D1168" s="1426"/>
      <c r="E1168" s="1426"/>
      <c r="F1168" s="1426"/>
      <c r="G1168" s="1426"/>
      <c r="H1168" s="1426"/>
      <c r="I1168" s="1426"/>
      <c r="J1168" s="1426"/>
      <c r="K1168" s="1426"/>
      <c r="L1168" s="1426"/>
      <c r="M1168" s="1426"/>
      <c r="N1168" s="1426"/>
      <c r="O1168" s="1426"/>
      <c r="P1168" s="1426"/>
      <c r="Q1168" s="1427"/>
      <c r="R1168" s="1428">
        <f>(R1148*((1+R$11)^0.5)/R$10)</f>
        <v>0</v>
      </c>
      <c r="S1168" s="1423">
        <f ca="1">IF(R1192="n/a",R1168,IFERROR(IF((OFFSET($C1168,0,$A1168))&lt;0,
MIN(0,R1168-(OFFSET($C1168,0,$A1168)/(OFFSET($C1163,-$A1167,$A1168)))),
MAX(0,R1168-(OFFSET($C1168,0,$A1168)/(OFFSET($C1163,-$A1167,$A1168))))),0))</f>
        <v>0</v>
      </c>
      <c r="T1168" s="1423">
        <f t="shared" ca="1" si="1700"/>
        <v>0</v>
      </c>
      <c r="U1168" s="1423">
        <f t="shared" ca="1" si="1701"/>
        <v>0</v>
      </c>
      <c r="V1168" s="1423">
        <f t="shared" ca="1" si="1702"/>
        <v>0</v>
      </c>
      <c r="W1168" s="1423">
        <f t="shared" ca="1" si="1703"/>
        <v>0</v>
      </c>
      <c r="X1168" s="202"/>
      <c r="Y1168" s="202"/>
      <c r="Z1168" s="202"/>
      <c r="AA1168" s="152"/>
      <c r="AB1168" s="152"/>
    </row>
    <row r="1169" spans="1:28" hidden="1" outlineLevel="1">
      <c r="A1169" s="199">
        <f t="shared" si="1704"/>
        <v>16</v>
      </c>
      <c r="B1169" s="190" t="str">
        <f t="shared" ca="1" si="1705"/>
        <v>Depreciated Net Capex 2031-32</v>
      </c>
      <c r="C1169" s="1426"/>
      <c r="D1169" s="1426"/>
      <c r="E1169" s="1426"/>
      <c r="F1169" s="1426"/>
      <c r="G1169" s="1426"/>
      <c r="H1169" s="1426"/>
      <c r="I1169" s="1426"/>
      <c r="J1169" s="1426"/>
      <c r="K1169" s="1426"/>
      <c r="L1169" s="1426"/>
      <c r="M1169" s="1426"/>
      <c r="N1169" s="1426"/>
      <c r="O1169" s="1426"/>
      <c r="P1169" s="1426"/>
      <c r="Q1169" s="1426"/>
      <c r="R1169" s="1427"/>
      <c r="S1169" s="1428">
        <f>(S1148*((1+S$11)^0.5)/S$10)</f>
        <v>0</v>
      </c>
      <c r="T1169" s="1423">
        <f ca="1">IF(S1193="n/a",S1169,IFERROR(IF((OFFSET($C1169,0,$A1169))&lt;0,
MIN(0,S1169-(OFFSET($C1169,0,$A1169)/(OFFSET($C1164,-$A1168,$A1169)))),
MAX(0,S1169-(OFFSET($C1169,0,$A1169)/(OFFSET($C1164,-$A1168,$A1169))))),0))</f>
        <v>0</v>
      </c>
      <c r="U1169" s="1423">
        <f t="shared" ca="1" si="1701"/>
        <v>0</v>
      </c>
      <c r="V1169" s="1423">
        <f t="shared" ca="1" si="1702"/>
        <v>0</v>
      </c>
      <c r="W1169" s="1423">
        <f t="shared" ca="1" si="1703"/>
        <v>0</v>
      </c>
      <c r="X1169" s="202"/>
      <c r="Y1169" s="202"/>
      <c r="Z1169" s="202"/>
      <c r="AA1169" s="152"/>
      <c r="AB1169" s="152"/>
    </row>
    <row r="1170" spans="1:28" hidden="1" outlineLevel="1">
      <c r="A1170" s="199">
        <f t="shared" si="1704"/>
        <v>17</v>
      </c>
      <c r="B1170" s="190" t="str">
        <f t="shared" ca="1" si="1705"/>
        <v>Depreciated Net Capex 2032-33</v>
      </c>
      <c r="C1170" s="1426"/>
      <c r="D1170" s="1426"/>
      <c r="E1170" s="1426"/>
      <c r="F1170" s="1426"/>
      <c r="G1170" s="1426"/>
      <c r="H1170" s="1426"/>
      <c r="I1170" s="1426"/>
      <c r="J1170" s="1426"/>
      <c r="K1170" s="1426"/>
      <c r="L1170" s="1426"/>
      <c r="M1170" s="1426"/>
      <c r="N1170" s="1426"/>
      <c r="O1170" s="1426"/>
      <c r="P1170" s="1426"/>
      <c r="Q1170" s="1426"/>
      <c r="R1170" s="1426"/>
      <c r="S1170" s="1427"/>
      <c r="T1170" s="1428">
        <f>(T1148*((1+T$11)^0.5)/T$10)</f>
        <v>0</v>
      </c>
      <c r="U1170" s="1423">
        <f ca="1">IF(T1194="n/a",T1170,IFERROR(IF((OFFSET($C1170,0,$A1170))&lt;0,
MIN(0,T1170-(OFFSET($C1170,0,$A1170)/(OFFSET($C1165,-$A1169,$A1170)))),
MAX(0,T1170-(OFFSET($C1170,0,$A1170)/(OFFSET($C1165,-$A1169,$A1170))))),0))</f>
        <v>0</v>
      </c>
      <c r="V1170" s="1423">
        <f t="shared" ca="1" si="1702"/>
        <v>0</v>
      </c>
      <c r="W1170" s="1423">
        <f t="shared" ca="1" si="1703"/>
        <v>0</v>
      </c>
      <c r="X1170" s="202"/>
      <c r="Y1170" s="202"/>
      <c r="Z1170" s="202"/>
      <c r="AA1170" s="152"/>
      <c r="AB1170" s="152"/>
    </row>
    <row r="1171" spans="1:28" hidden="1" outlineLevel="1">
      <c r="A1171" s="199">
        <f t="shared" si="1704"/>
        <v>18</v>
      </c>
      <c r="B1171" s="190" t="str">
        <f t="shared" ca="1" si="1705"/>
        <v>Depreciated Net Capex 2033-34</v>
      </c>
      <c r="C1171" s="1426"/>
      <c r="D1171" s="1426"/>
      <c r="E1171" s="1426"/>
      <c r="F1171" s="1426"/>
      <c r="G1171" s="1426"/>
      <c r="H1171" s="1426"/>
      <c r="I1171" s="1426"/>
      <c r="J1171" s="1426"/>
      <c r="K1171" s="1426"/>
      <c r="L1171" s="1426"/>
      <c r="M1171" s="1426"/>
      <c r="N1171" s="1426"/>
      <c r="O1171" s="1426"/>
      <c r="P1171" s="1426"/>
      <c r="Q1171" s="1426"/>
      <c r="R1171" s="1426"/>
      <c r="S1171" s="1426"/>
      <c r="T1171" s="1427"/>
      <c r="U1171" s="1428">
        <f>(U1148*((1+U$11)^0.5)/U$10)</f>
        <v>0</v>
      </c>
      <c r="V1171" s="1423">
        <f ca="1">IF(U1195="n/a",U1171,IFERROR(IF((OFFSET($C1171,0,$A1171))&lt;0,
MIN(0,U1171-(OFFSET($C1171,0,$A1171)/(OFFSET($C1166,-$A1170,$A1171)))),
MAX(0,U1171-(OFFSET($C1171,0,$A1171)/(OFFSET($C1166,-$A1170,$A1171))))),0))</f>
        <v>0</v>
      </c>
      <c r="W1171" s="1423">
        <f t="shared" ca="1" si="1703"/>
        <v>0</v>
      </c>
      <c r="X1171" s="202"/>
      <c r="Y1171" s="202"/>
      <c r="Z1171" s="202"/>
      <c r="AA1171" s="152"/>
      <c r="AB1171" s="152"/>
    </row>
    <row r="1172" spans="1:28" hidden="1" outlineLevel="1">
      <c r="A1172" s="199">
        <f t="shared" si="1704"/>
        <v>19</v>
      </c>
      <c r="B1172" s="190" t="str">
        <f t="shared" ca="1" si="1705"/>
        <v>Depreciated Net Capex 2034-35</v>
      </c>
      <c r="C1172" s="1426"/>
      <c r="D1172" s="1426"/>
      <c r="E1172" s="1426"/>
      <c r="F1172" s="1426"/>
      <c r="G1172" s="1426"/>
      <c r="H1172" s="1426"/>
      <c r="I1172" s="1426"/>
      <c r="J1172" s="1426"/>
      <c r="K1172" s="1426"/>
      <c r="L1172" s="1426"/>
      <c r="M1172" s="1426"/>
      <c r="N1172" s="1426"/>
      <c r="O1172" s="1426"/>
      <c r="P1172" s="1426"/>
      <c r="Q1172" s="1426"/>
      <c r="R1172" s="1426"/>
      <c r="S1172" s="1426"/>
      <c r="T1172" s="1426"/>
      <c r="U1172" s="1427"/>
      <c r="V1172" s="1428">
        <f>(V1148*((1+V$11)^0.5)/V$10)</f>
        <v>0</v>
      </c>
      <c r="W1172" s="1423">
        <f ca="1">IF(V1196="n/a",V1172,IFERROR(IF((OFFSET($C1172,0,$A1172))&lt;0,
MIN(0,V1172-(OFFSET($C1172,0,$A1172)/(OFFSET($C1167,-$A1171,$A1172)))),
MAX(0,V1172-(OFFSET($C1172,0,$A1172)/(OFFSET($C1167,-$A1171,$A1172))))),0))</f>
        <v>0</v>
      </c>
      <c r="X1172" s="202"/>
      <c r="Y1172" s="202"/>
      <c r="Z1172" s="202"/>
      <c r="AA1172" s="152"/>
      <c r="AB1172" s="152"/>
    </row>
    <row r="1173" spans="1:28" hidden="1" outlineLevel="1">
      <c r="A1173" s="199">
        <f t="shared" si="1704"/>
        <v>20</v>
      </c>
      <c r="B1173" s="190" t="str">
        <f ca="1">"Depreciated Net Capex "&amp;OFFSET($C$6,0,A1173)</f>
        <v>Depreciated Net Capex 2035-36</v>
      </c>
      <c r="C1173" s="1426"/>
      <c r="D1173" s="1426"/>
      <c r="E1173" s="1426"/>
      <c r="F1173" s="1426"/>
      <c r="G1173" s="1426"/>
      <c r="H1173" s="1426"/>
      <c r="I1173" s="1426"/>
      <c r="J1173" s="1426"/>
      <c r="K1173" s="1426"/>
      <c r="L1173" s="1426"/>
      <c r="M1173" s="1426"/>
      <c r="N1173" s="1426"/>
      <c r="O1173" s="1426"/>
      <c r="P1173" s="1426"/>
      <c r="Q1173" s="1426"/>
      <c r="R1173" s="1426"/>
      <c r="S1173" s="1426"/>
      <c r="T1173" s="1426"/>
      <c r="U1173" s="1426"/>
      <c r="V1173" s="1427"/>
      <c r="W1173" s="1423">
        <f>(W1148*((1+W$11)^0.5)/W$10)</f>
        <v>0</v>
      </c>
      <c r="X1173" s="152"/>
      <c r="Y1173" s="152"/>
      <c r="Z1173" s="152"/>
      <c r="AA1173" s="152"/>
      <c r="AB1173" s="152"/>
    </row>
    <row r="1174" spans="1:28" hidden="1" outlineLevel="1">
      <c r="A1174" s="152"/>
      <c r="B1174" s="200"/>
      <c r="C1174" s="1423"/>
      <c r="D1174" s="1423"/>
      <c r="E1174" s="1423"/>
      <c r="F1174" s="1423"/>
      <c r="G1174" s="1423"/>
      <c r="H1174" s="1423"/>
      <c r="I1174" s="1423"/>
      <c r="J1174" s="1423"/>
      <c r="K1174" s="1423"/>
      <c r="L1174" s="1423"/>
      <c r="M1174" s="1423"/>
      <c r="N1174" s="1423"/>
      <c r="O1174" s="1423"/>
      <c r="P1174" s="1423"/>
      <c r="Q1174" s="1423"/>
      <c r="R1174" s="1423"/>
      <c r="S1174" s="1423"/>
      <c r="T1174" s="1423"/>
      <c r="U1174" s="1423"/>
      <c r="V1174" s="1423"/>
      <c r="W1174" s="1423"/>
      <c r="X1174" s="152"/>
      <c r="Y1174" s="152"/>
      <c r="Z1174" s="152"/>
      <c r="AA1174" s="152"/>
      <c r="AB1174" s="152"/>
    </row>
    <row r="1175" spans="1:28" hidden="1" outlineLevel="1">
      <c r="A1175" s="152"/>
      <c r="B1175" s="200"/>
      <c r="C1175" s="1423"/>
      <c r="D1175" s="1423"/>
      <c r="E1175" s="1423"/>
      <c r="F1175" s="1423"/>
      <c r="G1175" s="1423"/>
      <c r="H1175" s="1423"/>
      <c r="I1175" s="1423"/>
      <c r="J1175" s="1423"/>
      <c r="K1175" s="1423"/>
      <c r="L1175" s="1423"/>
      <c r="M1175" s="1423"/>
      <c r="N1175" s="1423"/>
      <c r="O1175" s="1423"/>
      <c r="P1175" s="1423"/>
      <c r="Q1175" s="1423"/>
      <c r="R1175" s="1423"/>
      <c r="S1175" s="1423"/>
      <c r="T1175" s="1423"/>
      <c r="U1175" s="1423"/>
      <c r="V1175" s="1423"/>
      <c r="W1175" s="1423"/>
      <c r="X1175" s="152"/>
      <c r="Y1175" s="152"/>
      <c r="Z1175" s="152"/>
      <c r="AA1175" s="152"/>
      <c r="AB1175" s="152"/>
    </row>
    <row r="1176" spans="1:28" hidden="1" outlineLevel="1">
      <c r="A1176" s="152"/>
      <c r="B1176" s="190" t="s">
        <v>190</v>
      </c>
      <c r="C1176" s="1423"/>
      <c r="D1176" s="1423">
        <f ca="1">IF(AND(C1176&lt;1,D1150=0),0,
IF(D1150=0,C1176-1,
IF(C1176&lt;1,D1151,
(((C1176-1)*(C1152-(C1152/(C1176))))+((D1150/D$10)*D1151))/(D1152))))</f>
        <v>0</v>
      </c>
      <c r="E1176" s="1423">
        <f t="shared" ref="E1176" ca="1" si="1706">IF(AND(D1176&lt;1,E1150=0),0,
IF(E1150=0,D1176-1,
IF(D1176&lt;1,E1151,
(((D1176-1)*(D1152-(D1152/(D1176))))+((E1150/E$10)*E1151))/(E1152))))</f>
        <v>0</v>
      </c>
      <c r="F1176" s="1423">
        <f t="shared" ref="F1176" ca="1" si="1707">IF(AND(E1176&lt;1,F1150=0),0,
IF(F1150=0,E1176-1,
IF(E1176&lt;1,F1151,
(((E1176-1)*(E1152-(E1152/(E1176))))+((F1150/F$10)*F1151))/(F1152))))</f>
        <v>0</v>
      </c>
      <c r="G1176" s="1423">
        <f t="shared" ref="G1176" ca="1" si="1708">IF(AND(F1176&lt;1,G1150=0),0,
IF(G1150=0,F1176-1,
IF(F1176&lt;1,G1151,
(((F1176-1)*(F1152-(F1152/(F1176))))+((G1150/G$10)*G1151))/(G1152))))</f>
        <v>0</v>
      </c>
      <c r="H1176" s="1423">
        <f t="shared" ref="H1176" ca="1" si="1709">IF(AND(G1176&lt;1,H1150=0),0,
IF(H1150=0,G1176-1,
IF(G1176&lt;1,H1151,
(((G1176-1)*(G1152-(G1152/(G1176))))+((H1150/H$10)*H1151))/(H1152))))</f>
        <v>0</v>
      </c>
      <c r="I1176" s="1423">
        <f t="shared" ref="I1176" ca="1" si="1710">IF(AND(H1176&lt;1,I1150=0),0,
IF(I1150=0,H1176-1,
IF(H1176&lt;1,I1151,
(((H1176-1)*(H1152-(H1152/(H1176))))+((I1150/I$10)*I1151))/(I1152))))</f>
        <v>0</v>
      </c>
      <c r="J1176" s="1423">
        <f t="shared" ref="J1176" ca="1" si="1711">IF(AND(I1176&lt;1,J1150=0),0,
IF(J1150=0,I1176-1,
IF(I1176&lt;1,J1151,
(((I1176-1)*(I1152-(I1152/(I1176))))+((J1150/J$10)*J1151))/(J1152))))</f>
        <v>0</v>
      </c>
      <c r="K1176" s="1423">
        <f t="shared" ref="K1176" ca="1" si="1712">IF(AND(J1176&lt;1,K1150=0),0,
IF(K1150=0,J1176-1,
IF(J1176&lt;1,K1151,
(((J1176-1)*(J1152-(J1152/(J1176))))+((K1150/K$10)*K1151))/(K1152))))</f>
        <v>0</v>
      </c>
      <c r="L1176" s="1423">
        <f t="shared" ref="L1176" ca="1" si="1713">IF(AND(K1176&lt;1,L1150=0),0,
IF(L1150=0,K1176-1,
IF(K1176&lt;1,L1151,
(((K1176-1)*(K1152-(K1152/(K1176))))+((L1150/L$10)*L1151))/(L1152))))</f>
        <v>0</v>
      </c>
      <c r="M1176" s="1423">
        <f t="shared" ref="M1176" ca="1" si="1714">IF(AND(L1176&lt;1,M1150=0),0,
IF(M1150=0,L1176-1,
IF(L1176&lt;1,M1151,
(((L1176-1)*(L1152-(L1152/(L1176))))+((M1150/M$10)*M1151))/(M1152))))</f>
        <v>0</v>
      </c>
      <c r="N1176" s="1423">
        <f t="shared" ref="N1176" ca="1" si="1715">IF(AND(M1176&lt;1,N1150=0),0,
IF(N1150=0,M1176-1,
IF(M1176&lt;1,N1151,
(((M1176-1)*(M1152-(M1152/(M1176))))+((N1150/N$10)*N1151))/(N1152))))</f>
        <v>0</v>
      </c>
      <c r="O1176" s="1423">
        <f t="shared" ref="O1176" ca="1" si="1716">IF(AND(N1176&lt;1,O1150=0),0,
IF(O1150=0,N1176-1,
IF(N1176&lt;1,O1151,
(((N1176-1)*(N1152-(N1152/(N1176))))+((O1150/O$10)*O1151))/(O1152))))</f>
        <v>0</v>
      </c>
      <c r="P1176" s="1423">
        <f t="shared" ref="P1176" ca="1" si="1717">IF(AND(O1176&lt;1,P1150=0),0,
IF(P1150=0,O1176-1,
IF(O1176&lt;1,P1151,
(((O1176-1)*(O1152-(O1152/(O1176))))+((P1150/P$10)*P1151))/(P1152))))</f>
        <v>0</v>
      </c>
      <c r="Q1176" s="1423">
        <f t="shared" ref="Q1176" ca="1" si="1718">IF(AND(P1176&lt;1,Q1150=0),0,
IF(Q1150=0,P1176-1,
IF(P1176&lt;1,Q1151,
(((P1176-1)*(P1152-(P1152/(P1176))))+((Q1150/Q$10)*Q1151))/(Q1152))))</f>
        <v>0</v>
      </c>
      <c r="R1176" s="1423">
        <f t="shared" ref="R1176" ca="1" si="1719">IF(AND(Q1176&lt;1,R1150=0),0,
IF(R1150=0,Q1176-1,
IF(Q1176&lt;1,R1151,
(((Q1176-1)*(Q1152-(Q1152/(Q1176))))+((R1150/R$10)*R1151))/(R1152))))</f>
        <v>0</v>
      </c>
      <c r="S1176" s="1423">
        <f t="shared" ref="S1176" ca="1" si="1720">IF(AND(R1176&lt;1,S1150=0),0,
IF(S1150=0,R1176-1,
IF(R1176&lt;1,S1151,
(((R1176-1)*(R1152-(R1152/(R1176))))+((S1150/S$10)*S1151))/(S1152))))</f>
        <v>0</v>
      </c>
      <c r="T1176" s="1423">
        <f t="shared" ref="T1176" ca="1" si="1721">IF(AND(S1176&lt;1,T1150=0),0,
IF(T1150=0,S1176-1,
IF(S1176&lt;1,T1151,
(((S1176-1)*(S1152-(S1152/(S1176))))+((T1150/T$10)*T1151))/(T1152))))</f>
        <v>0</v>
      </c>
      <c r="U1176" s="1423">
        <f t="shared" ref="U1176" ca="1" si="1722">IF(AND(T1176&lt;1,U1150=0),0,
IF(U1150=0,T1176-1,
IF(T1176&lt;1,U1151,
(((T1176-1)*(T1152-(T1152/(T1176))))+((U1150/U$10)*U1151))/(U1152))))</f>
        <v>0</v>
      </c>
      <c r="V1176" s="1423">
        <f t="shared" ref="V1176" ca="1" si="1723">IF(AND(U1176&lt;1,V1150=0),0,
IF(V1150=0,U1176-1,
IF(U1176&lt;1,V1151,
(((U1176-1)*(U1152-(U1152/(U1176))))+((V1150/V$10)*V1151))/(V1152))))</f>
        <v>0</v>
      </c>
      <c r="W1176" s="1423">
        <f t="shared" ref="W1176" ca="1" si="1724">IF(AND(V1176&lt;1,W1150=0),0,
IF(W1150=0,V1176-1,
IF(V1176&lt;1,W1151,
(((V1176-1)*(V1152-(V1152/(V1176))))+((W1150/W$10)*W1151))/(W1152))))</f>
        <v>0</v>
      </c>
      <c r="X1176" s="152"/>
      <c r="Y1176" s="152"/>
      <c r="Z1176" s="152"/>
      <c r="AA1176" s="152"/>
      <c r="AB1176" s="152"/>
    </row>
    <row r="1177" spans="1:28" hidden="1" outlineLevel="1">
      <c r="A1177" s="152"/>
      <c r="B1177" s="190" t="s">
        <v>122</v>
      </c>
      <c r="C1177" s="1423">
        <f ca="1">C1149</f>
        <v>0</v>
      </c>
      <c r="D1177" s="1423">
        <f t="shared" ref="D1177" ca="1" si="1725">IF(C1177="n/a","n/a",MAX(0,C1177-1))</f>
        <v>0</v>
      </c>
      <c r="E1177" s="1423">
        <f t="shared" ref="E1177:E1178" ca="1" si="1726">IF(D1177="n/a","n/a",MAX(0,D1177-1))</f>
        <v>0</v>
      </c>
      <c r="F1177" s="1423">
        <f t="shared" ref="F1177:F1179" ca="1" si="1727">IF(E1177="n/a","n/a",MAX(0,E1177-1))</f>
        <v>0</v>
      </c>
      <c r="G1177" s="1423">
        <f t="shared" ref="G1177:G1180" ca="1" si="1728">IF(F1177="n/a","n/a",MAX(0,F1177-1))</f>
        <v>0</v>
      </c>
      <c r="H1177" s="1423">
        <f t="shared" ref="H1177:H1181" ca="1" si="1729">IF(G1177="n/a","n/a",MAX(0,G1177-1))</f>
        <v>0</v>
      </c>
      <c r="I1177" s="1423">
        <f t="shared" ref="I1177:I1182" ca="1" si="1730">IF(H1177="n/a","n/a",MAX(0,H1177-1))</f>
        <v>0</v>
      </c>
      <c r="J1177" s="1423">
        <f t="shared" ref="J1177:J1183" ca="1" si="1731">IF(I1177="n/a","n/a",MAX(0,I1177-1))</f>
        <v>0</v>
      </c>
      <c r="K1177" s="1423">
        <f t="shared" ref="K1177:K1184" ca="1" si="1732">IF(J1177="n/a","n/a",MAX(0,J1177-1))</f>
        <v>0</v>
      </c>
      <c r="L1177" s="1423">
        <f t="shared" ref="L1177:L1185" ca="1" si="1733">IF(K1177="n/a","n/a",MAX(0,K1177-1))</f>
        <v>0</v>
      </c>
      <c r="M1177" s="1423">
        <f t="shared" ref="M1177:M1186" ca="1" si="1734">IF(L1177="n/a","n/a",MAX(0,L1177-1))</f>
        <v>0</v>
      </c>
      <c r="N1177" s="1423">
        <f t="shared" ref="N1177:N1187" ca="1" si="1735">IF(M1177="n/a","n/a",MAX(0,M1177-1))</f>
        <v>0</v>
      </c>
      <c r="O1177" s="1423">
        <f t="shared" ref="O1177:O1188" ca="1" si="1736">IF(N1177="n/a","n/a",MAX(0,N1177-1))</f>
        <v>0</v>
      </c>
      <c r="P1177" s="1423">
        <f t="shared" ref="P1177:P1189" ca="1" si="1737">IF(O1177="n/a","n/a",MAX(0,O1177-1))</f>
        <v>0</v>
      </c>
      <c r="Q1177" s="1423">
        <f t="shared" ref="Q1177:Q1190" ca="1" si="1738">IF(P1177="n/a","n/a",MAX(0,P1177-1))</f>
        <v>0</v>
      </c>
      <c r="R1177" s="1423">
        <f t="shared" ref="R1177:R1191" ca="1" si="1739">IF(Q1177="n/a","n/a",MAX(0,Q1177-1))</f>
        <v>0</v>
      </c>
      <c r="S1177" s="1423">
        <f t="shared" ref="S1177:S1192" ca="1" si="1740">IF(R1177="n/a","n/a",MAX(0,R1177-1))</f>
        <v>0</v>
      </c>
      <c r="T1177" s="1423">
        <f t="shared" ref="T1177:T1193" ca="1" si="1741">IF(S1177="n/a","n/a",MAX(0,S1177-1))</f>
        <v>0</v>
      </c>
      <c r="U1177" s="1423">
        <f t="shared" ref="U1177:U1194" ca="1" si="1742">IF(T1177="n/a","n/a",MAX(0,T1177-1))</f>
        <v>0</v>
      </c>
      <c r="V1177" s="1423">
        <f t="shared" ref="V1177:V1195" ca="1" si="1743">IF(U1177="n/a","n/a",MAX(0,U1177-1))</f>
        <v>0</v>
      </c>
      <c r="W1177" s="1423">
        <f t="shared" ref="W1177:W1195" ca="1" si="1744">IF(V1177="n/a","n/a",MAX(0,V1177-1))</f>
        <v>0</v>
      </c>
      <c r="X1177" s="152"/>
      <c r="Y1177" s="152"/>
      <c r="Z1177" s="152"/>
      <c r="AA1177" s="152"/>
      <c r="AB1177" s="152"/>
    </row>
    <row r="1178" spans="1:28" hidden="1" outlineLevel="1">
      <c r="A1178" s="152"/>
      <c r="B1178" s="190" t="str">
        <f t="shared" ref="B1178:B1197" ca="1" si="1745">"RL Capex "&amp;OFFSET($C$6,0,A1154)</f>
        <v>RL Capex 2016-17</v>
      </c>
      <c r="C1178" s="1424"/>
      <c r="D1178" s="1428">
        <f>D1149</f>
        <v>0</v>
      </c>
      <c r="E1178" s="1423">
        <f t="shared" si="1726"/>
        <v>0</v>
      </c>
      <c r="F1178" s="1423">
        <f t="shared" si="1727"/>
        <v>0</v>
      </c>
      <c r="G1178" s="1423">
        <f t="shared" si="1728"/>
        <v>0</v>
      </c>
      <c r="H1178" s="1423">
        <f t="shared" si="1729"/>
        <v>0</v>
      </c>
      <c r="I1178" s="1423">
        <f t="shared" si="1730"/>
        <v>0</v>
      </c>
      <c r="J1178" s="1423">
        <f t="shared" si="1731"/>
        <v>0</v>
      </c>
      <c r="K1178" s="1423">
        <f t="shared" si="1732"/>
        <v>0</v>
      </c>
      <c r="L1178" s="1423">
        <f t="shared" si="1733"/>
        <v>0</v>
      </c>
      <c r="M1178" s="1423">
        <f t="shared" si="1734"/>
        <v>0</v>
      </c>
      <c r="N1178" s="1423">
        <f t="shared" si="1735"/>
        <v>0</v>
      </c>
      <c r="O1178" s="1423">
        <f t="shared" si="1736"/>
        <v>0</v>
      </c>
      <c r="P1178" s="1423">
        <f t="shared" si="1737"/>
        <v>0</v>
      </c>
      <c r="Q1178" s="1423">
        <f t="shared" si="1738"/>
        <v>0</v>
      </c>
      <c r="R1178" s="1423">
        <f t="shared" si="1739"/>
        <v>0</v>
      </c>
      <c r="S1178" s="1423">
        <f t="shared" si="1740"/>
        <v>0</v>
      </c>
      <c r="T1178" s="1423">
        <f t="shared" si="1741"/>
        <v>0</v>
      </c>
      <c r="U1178" s="1423">
        <f t="shared" si="1742"/>
        <v>0</v>
      </c>
      <c r="V1178" s="1423">
        <f t="shared" si="1743"/>
        <v>0</v>
      </c>
      <c r="W1178" s="1423">
        <f t="shared" si="1744"/>
        <v>0</v>
      </c>
      <c r="X1178" s="152"/>
      <c r="Y1178" s="152"/>
      <c r="Z1178" s="152"/>
      <c r="AA1178" s="152"/>
      <c r="AB1178" s="152"/>
    </row>
    <row r="1179" spans="1:28" hidden="1" outlineLevel="1">
      <c r="A1179" s="152"/>
      <c r="B1179" s="190" t="str">
        <f t="shared" ca="1" si="1745"/>
        <v>RL Capex 2017-18</v>
      </c>
      <c r="C1179" s="1429"/>
      <c r="D1179" s="1424"/>
      <c r="E1179" s="1428">
        <f>E1149</f>
        <v>0</v>
      </c>
      <c r="F1179" s="1423">
        <f t="shared" si="1727"/>
        <v>0</v>
      </c>
      <c r="G1179" s="1423">
        <f t="shared" si="1728"/>
        <v>0</v>
      </c>
      <c r="H1179" s="1423">
        <f t="shared" si="1729"/>
        <v>0</v>
      </c>
      <c r="I1179" s="1423">
        <f t="shared" si="1730"/>
        <v>0</v>
      </c>
      <c r="J1179" s="1423">
        <f t="shared" si="1731"/>
        <v>0</v>
      </c>
      <c r="K1179" s="1423">
        <f t="shared" si="1732"/>
        <v>0</v>
      </c>
      <c r="L1179" s="1423">
        <f t="shared" si="1733"/>
        <v>0</v>
      </c>
      <c r="M1179" s="1423">
        <f t="shared" si="1734"/>
        <v>0</v>
      </c>
      <c r="N1179" s="1423">
        <f t="shared" si="1735"/>
        <v>0</v>
      </c>
      <c r="O1179" s="1423">
        <f t="shared" si="1736"/>
        <v>0</v>
      </c>
      <c r="P1179" s="1423">
        <f t="shared" si="1737"/>
        <v>0</v>
      </c>
      <c r="Q1179" s="1423">
        <f t="shared" si="1738"/>
        <v>0</v>
      </c>
      <c r="R1179" s="1423">
        <f t="shared" si="1739"/>
        <v>0</v>
      </c>
      <c r="S1179" s="1423">
        <f t="shared" si="1740"/>
        <v>0</v>
      </c>
      <c r="T1179" s="1423">
        <f t="shared" si="1741"/>
        <v>0</v>
      </c>
      <c r="U1179" s="1423">
        <f t="shared" si="1742"/>
        <v>0</v>
      </c>
      <c r="V1179" s="1423">
        <f t="shared" si="1743"/>
        <v>0</v>
      </c>
      <c r="W1179" s="1423">
        <f t="shared" si="1744"/>
        <v>0</v>
      </c>
      <c r="X1179" s="152"/>
      <c r="Y1179" s="152"/>
      <c r="Z1179" s="152"/>
      <c r="AA1179" s="152"/>
      <c r="AB1179" s="152"/>
    </row>
    <row r="1180" spans="1:28" hidden="1" outlineLevel="1">
      <c r="A1180" s="152"/>
      <c r="B1180" s="190" t="str">
        <f t="shared" ca="1" si="1745"/>
        <v>RL Capex 2018-19</v>
      </c>
      <c r="C1180" s="1429"/>
      <c r="D1180" s="1429"/>
      <c r="E1180" s="1424"/>
      <c r="F1180" s="1428">
        <f>F1149</f>
        <v>0</v>
      </c>
      <c r="G1180" s="1423">
        <f t="shared" si="1728"/>
        <v>0</v>
      </c>
      <c r="H1180" s="1423">
        <f t="shared" si="1729"/>
        <v>0</v>
      </c>
      <c r="I1180" s="1423">
        <f t="shared" si="1730"/>
        <v>0</v>
      </c>
      <c r="J1180" s="1423">
        <f t="shared" si="1731"/>
        <v>0</v>
      </c>
      <c r="K1180" s="1423">
        <f t="shared" si="1732"/>
        <v>0</v>
      </c>
      <c r="L1180" s="1423">
        <f t="shared" si="1733"/>
        <v>0</v>
      </c>
      <c r="M1180" s="1423">
        <f t="shared" si="1734"/>
        <v>0</v>
      </c>
      <c r="N1180" s="1423">
        <f t="shared" si="1735"/>
        <v>0</v>
      </c>
      <c r="O1180" s="1423">
        <f t="shared" si="1736"/>
        <v>0</v>
      </c>
      <c r="P1180" s="1423">
        <f t="shared" si="1737"/>
        <v>0</v>
      </c>
      <c r="Q1180" s="1423">
        <f t="shared" si="1738"/>
        <v>0</v>
      </c>
      <c r="R1180" s="1423">
        <f t="shared" si="1739"/>
        <v>0</v>
      </c>
      <c r="S1180" s="1423">
        <f t="shared" si="1740"/>
        <v>0</v>
      </c>
      <c r="T1180" s="1423">
        <f t="shared" si="1741"/>
        <v>0</v>
      </c>
      <c r="U1180" s="1423">
        <f t="shared" si="1742"/>
        <v>0</v>
      </c>
      <c r="V1180" s="1423">
        <f t="shared" si="1743"/>
        <v>0</v>
      </c>
      <c r="W1180" s="1423">
        <f t="shared" si="1744"/>
        <v>0</v>
      </c>
      <c r="X1180" s="152"/>
      <c r="Y1180" s="152"/>
      <c r="Z1180" s="152"/>
      <c r="AA1180" s="152"/>
      <c r="AB1180" s="152"/>
    </row>
    <row r="1181" spans="1:28" hidden="1" outlineLevel="1">
      <c r="A1181" s="152"/>
      <c r="B1181" s="190" t="str">
        <f t="shared" ca="1" si="1745"/>
        <v>RL Capex 2019-20</v>
      </c>
      <c r="C1181" s="1429"/>
      <c r="D1181" s="1429"/>
      <c r="E1181" s="1429"/>
      <c r="F1181" s="1424"/>
      <c r="G1181" s="1428">
        <f>G1149</f>
        <v>0</v>
      </c>
      <c r="H1181" s="1423">
        <f t="shared" si="1729"/>
        <v>0</v>
      </c>
      <c r="I1181" s="1423">
        <f t="shared" si="1730"/>
        <v>0</v>
      </c>
      <c r="J1181" s="1423">
        <f t="shared" si="1731"/>
        <v>0</v>
      </c>
      <c r="K1181" s="1423">
        <f t="shared" si="1732"/>
        <v>0</v>
      </c>
      <c r="L1181" s="1423">
        <f t="shared" si="1733"/>
        <v>0</v>
      </c>
      <c r="M1181" s="1423">
        <f t="shared" si="1734"/>
        <v>0</v>
      </c>
      <c r="N1181" s="1423">
        <f t="shared" si="1735"/>
        <v>0</v>
      </c>
      <c r="O1181" s="1423">
        <f t="shared" si="1736"/>
        <v>0</v>
      </c>
      <c r="P1181" s="1423">
        <f t="shared" si="1737"/>
        <v>0</v>
      </c>
      <c r="Q1181" s="1423">
        <f t="shared" si="1738"/>
        <v>0</v>
      </c>
      <c r="R1181" s="1423">
        <f t="shared" si="1739"/>
        <v>0</v>
      </c>
      <c r="S1181" s="1423">
        <f t="shared" si="1740"/>
        <v>0</v>
      </c>
      <c r="T1181" s="1423">
        <f t="shared" si="1741"/>
        <v>0</v>
      </c>
      <c r="U1181" s="1423">
        <f t="shared" si="1742"/>
        <v>0</v>
      </c>
      <c r="V1181" s="1423">
        <f t="shared" si="1743"/>
        <v>0</v>
      </c>
      <c r="W1181" s="1423">
        <f t="shared" si="1744"/>
        <v>0</v>
      </c>
      <c r="X1181" s="152"/>
      <c r="Y1181" s="152"/>
      <c r="Z1181" s="152"/>
      <c r="AA1181" s="152"/>
      <c r="AB1181" s="152"/>
    </row>
    <row r="1182" spans="1:28" hidden="1" outlineLevel="1">
      <c r="A1182" s="152"/>
      <c r="B1182" s="190" t="str">
        <f t="shared" ca="1" si="1745"/>
        <v>RL Capex 2020-21</v>
      </c>
      <c r="C1182" s="1429"/>
      <c r="D1182" s="1429"/>
      <c r="E1182" s="1429"/>
      <c r="F1182" s="1429"/>
      <c r="G1182" s="1424"/>
      <c r="H1182" s="1428">
        <f>H1149</f>
        <v>0</v>
      </c>
      <c r="I1182" s="1423">
        <f t="shared" si="1730"/>
        <v>0</v>
      </c>
      <c r="J1182" s="1423">
        <f t="shared" si="1731"/>
        <v>0</v>
      </c>
      <c r="K1182" s="1423">
        <f t="shared" si="1732"/>
        <v>0</v>
      </c>
      <c r="L1182" s="1423">
        <f t="shared" si="1733"/>
        <v>0</v>
      </c>
      <c r="M1182" s="1423">
        <f t="shared" si="1734"/>
        <v>0</v>
      </c>
      <c r="N1182" s="1423">
        <f t="shared" si="1735"/>
        <v>0</v>
      </c>
      <c r="O1182" s="1423">
        <f t="shared" si="1736"/>
        <v>0</v>
      </c>
      <c r="P1182" s="1423">
        <f t="shared" si="1737"/>
        <v>0</v>
      </c>
      <c r="Q1182" s="1423">
        <f t="shared" si="1738"/>
        <v>0</v>
      </c>
      <c r="R1182" s="1423">
        <f t="shared" si="1739"/>
        <v>0</v>
      </c>
      <c r="S1182" s="1423">
        <f t="shared" si="1740"/>
        <v>0</v>
      </c>
      <c r="T1182" s="1423">
        <f t="shared" si="1741"/>
        <v>0</v>
      </c>
      <c r="U1182" s="1423">
        <f t="shared" si="1742"/>
        <v>0</v>
      </c>
      <c r="V1182" s="1423">
        <f t="shared" si="1743"/>
        <v>0</v>
      </c>
      <c r="W1182" s="1423">
        <f t="shared" si="1744"/>
        <v>0</v>
      </c>
      <c r="X1182" s="152"/>
      <c r="Y1182" s="152"/>
      <c r="Z1182" s="152"/>
      <c r="AA1182" s="152"/>
      <c r="AB1182" s="152"/>
    </row>
    <row r="1183" spans="1:28" hidden="1" outlineLevel="1">
      <c r="A1183" s="152"/>
      <c r="B1183" s="190" t="str">
        <f t="shared" ca="1" si="1745"/>
        <v>RL Capex 2021-22</v>
      </c>
      <c r="C1183" s="1429"/>
      <c r="D1183" s="1429"/>
      <c r="E1183" s="1429"/>
      <c r="F1183" s="1429"/>
      <c r="G1183" s="1429"/>
      <c r="H1183" s="1424"/>
      <c r="I1183" s="1428">
        <f>I1149</f>
        <v>0</v>
      </c>
      <c r="J1183" s="1423">
        <f t="shared" si="1731"/>
        <v>0</v>
      </c>
      <c r="K1183" s="1423">
        <f t="shared" si="1732"/>
        <v>0</v>
      </c>
      <c r="L1183" s="1423">
        <f t="shared" si="1733"/>
        <v>0</v>
      </c>
      <c r="M1183" s="1423">
        <f t="shared" si="1734"/>
        <v>0</v>
      </c>
      <c r="N1183" s="1423">
        <f t="shared" si="1735"/>
        <v>0</v>
      </c>
      <c r="O1183" s="1423">
        <f t="shared" si="1736"/>
        <v>0</v>
      </c>
      <c r="P1183" s="1423">
        <f t="shared" si="1737"/>
        <v>0</v>
      </c>
      <c r="Q1183" s="1423">
        <f t="shared" si="1738"/>
        <v>0</v>
      </c>
      <c r="R1183" s="1423">
        <f t="shared" si="1739"/>
        <v>0</v>
      </c>
      <c r="S1183" s="1423">
        <f t="shared" si="1740"/>
        <v>0</v>
      </c>
      <c r="T1183" s="1423">
        <f t="shared" si="1741"/>
        <v>0</v>
      </c>
      <c r="U1183" s="1423">
        <f t="shared" si="1742"/>
        <v>0</v>
      </c>
      <c r="V1183" s="1423">
        <f t="shared" si="1743"/>
        <v>0</v>
      </c>
      <c r="W1183" s="1423">
        <f t="shared" si="1744"/>
        <v>0</v>
      </c>
      <c r="X1183" s="152"/>
      <c r="Y1183" s="152"/>
      <c r="Z1183" s="152"/>
      <c r="AA1183" s="152"/>
      <c r="AB1183" s="152"/>
    </row>
    <row r="1184" spans="1:28" hidden="1" outlineLevel="1">
      <c r="A1184" s="152"/>
      <c r="B1184" s="190" t="str">
        <f t="shared" ca="1" si="1745"/>
        <v>RL Capex 2022-23</v>
      </c>
      <c r="C1184" s="1429"/>
      <c r="D1184" s="1429"/>
      <c r="E1184" s="1429"/>
      <c r="F1184" s="1429"/>
      <c r="G1184" s="1429"/>
      <c r="H1184" s="1429"/>
      <c r="I1184" s="1424"/>
      <c r="J1184" s="1428">
        <f>J1149</f>
        <v>0</v>
      </c>
      <c r="K1184" s="1423">
        <f t="shared" si="1732"/>
        <v>0</v>
      </c>
      <c r="L1184" s="1423">
        <f t="shared" si="1733"/>
        <v>0</v>
      </c>
      <c r="M1184" s="1423">
        <f t="shared" si="1734"/>
        <v>0</v>
      </c>
      <c r="N1184" s="1423">
        <f t="shared" si="1735"/>
        <v>0</v>
      </c>
      <c r="O1184" s="1423">
        <f t="shared" si="1736"/>
        <v>0</v>
      </c>
      <c r="P1184" s="1423">
        <f t="shared" si="1737"/>
        <v>0</v>
      </c>
      <c r="Q1184" s="1423">
        <f t="shared" si="1738"/>
        <v>0</v>
      </c>
      <c r="R1184" s="1423">
        <f t="shared" si="1739"/>
        <v>0</v>
      </c>
      <c r="S1184" s="1423">
        <f t="shared" si="1740"/>
        <v>0</v>
      </c>
      <c r="T1184" s="1423">
        <f t="shared" si="1741"/>
        <v>0</v>
      </c>
      <c r="U1184" s="1423">
        <f t="shared" si="1742"/>
        <v>0</v>
      </c>
      <c r="V1184" s="1423">
        <f t="shared" si="1743"/>
        <v>0</v>
      </c>
      <c r="W1184" s="1423">
        <f t="shared" si="1744"/>
        <v>0</v>
      </c>
      <c r="X1184" s="152"/>
      <c r="Y1184" s="152"/>
      <c r="Z1184" s="152"/>
      <c r="AA1184" s="152"/>
      <c r="AB1184" s="152"/>
    </row>
    <row r="1185" spans="1:28" hidden="1" outlineLevel="1">
      <c r="A1185" s="152"/>
      <c r="B1185" s="190" t="str">
        <f t="shared" ca="1" si="1745"/>
        <v>RL Capex 2023-24</v>
      </c>
      <c r="C1185" s="1429"/>
      <c r="D1185" s="1429"/>
      <c r="E1185" s="1429"/>
      <c r="F1185" s="1429"/>
      <c r="G1185" s="1429"/>
      <c r="H1185" s="1429"/>
      <c r="I1185" s="1429"/>
      <c r="J1185" s="1424"/>
      <c r="K1185" s="1428">
        <f>K1149</f>
        <v>0</v>
      </c>
      <c r="L1185" s="1423">
        <f t="shared" si="1733"/>
        <v>0</v>
      </c>
      <c r="M1185" s="1423">
        <f t="shared" si="1734"/>
        <v>0</v>
      </c>
      <c r="N1185" s="1423">
        <f t="shared" si="1735"/>
        <v>0</v>
      </c>
      <c r="O1185" s="1423">
        <f t="shared" si="1736"/>
        <v>0</v>
      </c>
      <c r="P1185" s="1423">
        <f t="shared" si="1737"/>
        <v>0</v>
      </c>
      <c r="Q1185" s="1423">
        <f t="shared" si="1738"/>
        <v>0</v>
      </c>
      <c r="R1185" s="1423">
        <f t="shared" si="1739"/>
        <v>0</v>
      </c>
      <c r="S1185" s="1423">
        <f t="shared" si="1740"/>
        <v>0</v>
      </c>
      <c r="T1185" s="1423">
        <f t="shared" si="1741"/>
        <v>0</v>
      </c>
      <c r="U1185" s="1423">
        <f t="shared" si="1742"/>
        <v>0</v>
      </c>
      <c r="V1185" s="1423">
        <f t="shared" si="1743"/>
        <v>0</v>
      </c>
      <c r="W1185" s="1423">
        <f t="shared" si="1744"/>
        <v>0</v>
      </c>
      <c r="X1185" s="152"/>
      <c r="Y1185" s="152"/>
      <c r="Z1185" s="152"/>
      <c r="AA1185" s="152"/>
      <c r="AB1185" s="152"/>
    </row>
    <row r="1186" spans="1:28" hidden="1" outlineLevel="1">
      <c r="A1186" s="152"/>
      <c r="B1186" s="190" t="str">
        <f t="shared" ca="1" si="1745"/>
        <v>RL Capex 2024-25</v>
      </c>
      <c r="C1186" s="1429"/>
      <c r="D1186" s="1429"/>
      <c r="E1186" s="1429"/>
      <c r="F1186" s="1429"/>
      <c r="G1186" s="1429"/>
      <c r="H1186" s="1429"/>
      <c r="I1186" s="1429"/>
      <c r="J1186" s="1429"/>
      <c r="K1186" s="1424"/>
      <c r="L1186" s="1428">
        <f>L1149</f>
        <v>0</v>
      </c>
      <c r="M1186" s="1423">
        <f t="shared" si="1734"/>
        <v>0</v>
      </c>
      <c r="N1186" s="1423">
        <f t="shared" si="1735"/>
        <v>0</v>
      </c>
      <c r="O1186" s="1423">
        <f t="shared" si="1736"/>
        <v>0</v>
      </c>
      <c r="P1186" s="1423">
        <f t="shared" si="1737"/>
        <v>0</v>
      </c>
      <c r="Q1186" s="1423">
        <f t="shared" si="1738"/>
        <v>0</v>
      </c>
      <c r="R1186" s="1423">
        <f t="shared" si="1739"/>
        <v>0</v>
      </c>
      <c r="S1186" s="1423">
        <f t="shared" si="1740"/>
        <v>0</v>
      </c>
      <c r="T1186" s="1423">
        <f t="shared" si="1741"/>
        <v>0</v>
      </c>
      <c r="U1186" s="1423">
        <f t="shared" si="1742"/>
        <v>0</v>
      </c>
      <c r="V1186" s="1423">
        <f t="shared" si="1743"/>
        <v>0</v>
      </c>
      <c r="W1186" s="1423">
        <f t="shared" si="1744"/>
        <v>0</v>
      </c>
      <c r="X1186" s="152"/>
      <c r="Y1186" s="152"/>
      <c r="Z1186" s="152"/>
      <c r="AA1186" s="152"/>
      <c r="AB1186" s="152"/>
    </row>
    <row r="1187" spans="1:28" hidden="1" outlineLevel="1">
      <c r="A1187" s="152"/>
      <c r="B1187" s="190" t="str">
        <f t="shared" ca="1" si="1745"/>
        <v>RL Capex 2025-26</v>
      </c>
      <c r="C1187" s="1429"/>
      <c r="D1187" s="1429"/>
      <c r="E1187" s="1429"/>
      <c r="F1187" s="1429"/>
      <c r="G1187" s="1429"/>
      <c r="H1187" s="1429"/>
      <c r="I1187" s="1429"/>
      <c r="J1187" s="1429"/>
      <c r="K1187" s="1429"/>
      <c r="L1187" s="1424"/>
      <c r="M1187" s="1428">
        <f>M1149</f>
        <v>0</v>
      </c>
      <c r="N1187" s="1423">
        <f t="shared" si="1735"/>
        <v>0</v>
      </c>
      <c r="O1187" s="1423">
        <f t="shared" si="1736"/>
        <v>0</v>
      </c>
      <c r="P1187" s="1423">
        <f t="shared" si="1737"/>
        <v>0</v>
      </c>
      <c r="Q1187" s="1423">
        <f t="shared" si="1738"/>
        <v>0</v>
      </c>
      <c r="R1187" s="1423">
        <f t="shared" si="1739"/>
        <v>0</v>
      </c>
      <c r="S1187" s="1423">
        <f t="shared" si="1740"/>
        <v>0</v>
      </c>
      <c r="T1187" s="1423">
        <f t="shared" si="1741"/>
        <v>0</v>
      </c>
      <c r="U1187" s="1423">
        <f t="shared" si="1742"/>
        <v>0</v>
      </c>
      <c r="V1187" s="1423">
        <f t="shared" si="1743"/>
        <v>0</v>
      </c>
      <c r="W1187" s="1423">
        <f t="shared" si="1744"/>
        <v>0</v>
      </c>
      <c r="X1187" s="152"/>
      <c r="Y1187" s="152"/>
      <c r="Z1187" s="152"/>
      <c r="AA1187" s="152"/>
      <c r="AB1187" s="152"/>
    </row>
    <row r="1188" spans="1:28" hidden="1" outlineLevel="1">
      <c r="A1188" s="152"/>
      <c r="B1188" s="190" t="str">
        <f t="shared" ca="1" si="1745"/>
        <v>RL Capex 2026-27</v>
      </c>
      <c r="C1188" s="1429"/>
      <c r="D1188" s="1429"/>
      <c r="E1188" s="1429"/>
      <c r="F1188" s="1429"/>
      <c r="G1188" s="1429"/>
      <c r="H1188" s="1429"/>
      <c r="I1188" s="1429"/>
      <c r="J1188" s="1429"/>
      <c r="K1188" s="1429"/>
      <c r="L1188" s="1429"/>
      <c r="M1188" s="1424"/>
      <c r="N1188" s="1428">
        <f>N1149</f>
        <v>0</v>
      </c>
      <c r="O1188" s="1423">
        <f t="shared" si="1736"/>
        <v>0</v>
      </c>
      <c r="P1188" s="1423">
        <f t="shared" si="1737"/>
        <v>0</v>
      </c>
      <c r="Q1188" s="1423">
        <f t="shared" si="1738"/>
        <v>0</v>
      </c>
      <c r="R1188" s="1423">
        <f t="shared" si="1739"/>
        <v>0</v>
      </c>
      <c r="S1188" s="1423">
        <f t="shared" si="1740"/>
        <v>0</v>
      </c>
      <c r="T1188" s="1423">
        <f t="shared" si="1741"/>
        <v>0</v>
      </c>
      <c r="U1188" s="1423">
        <f t="shared" si="1742"/>
        <v>0</v>
      </c>
      <c r="V1188" s="1423">
        <f t="shared" si="1743"/>
        <v>0</v>
      </c>
      <c r="W1188" s="1423">
        <f t="shared" si="1744"/>
        <v>0</v>
      </c>
      <c r="X1188" s="152"/>
      <c r="Y1188" s="152"/>
      <c r="Z1188" s="152"/>
      <c r="AA1188" s="152"/>
      <c r="AB1188" s="152"/>
    </row>
    <row r="1189" spans="1:28" hidden="1" outlineLevel="1">
      <c r="A1189" s="152"/>
      <c r="B1189" s="190" t="str">
        <f t="shared" ca="1" si="1745"/>
        <v>RL Capex 2027-28</v>
      </c>
      <c r="C1189" s="1429"/>
      <c r="D1189" s="1429"/>
      <c r="E1189" s="1429"/>
      <c r="F1189" s="1429"/>
      <c r="G1189" s="1429"/>
      <c r="H1189" s="1429"/>
      <c r="I1189" s="1429"/>
      <c r="J1189" s="1429"/>
      <c r="K1189" s="1429"/>
      <c r="L1189" s="1429"/>
      <c r="M1189" s="1429"/>
      <c r="N1189" s="1424"/>
      <c r="O1189" s="1428">
        <f>O1149</f>
        <v>0</v>
      </c>
      <c r="P1189" s="1423">
        <f t="shared" si="1737"/>
        <v>0</v>
      </c>
      <c r="Q1189" s="1423">
        <f t="shared" si="1738"/>
        <v>0</v>
      </c>
      <c r="R1189" s="1423">
        <f t="shared" si="1739"/>
        <v>0</v>
      </c>
      <c r="S1189" s="1423">
        <f t="shared" si="1740"/>
        <v>0</v>
      </c>
      <c r="T1189" s="1423">
        <f t="shared" si="1741"/>
        <v>0</v>
      </c>
      <c r="U1189" s="1423">
        <f t="shared" si="1742"/>
        <v>0</v>
      </c>
      <c r="V1189" s="1423">
        <f t="shared" si="1743"/>
        <v>0</v>
      </c>
      <c r="W1189" s="1423">
        <f t="shared" si="1744"/>
        <v>0</v>
      </c>
      <c r="X1189" s="152"/>
      <c r="Y1189" s="152"/>
      <c r="Z1189" s="152"/>
      <c r="AA1189" s="152"/>
      <c r="AB1189" s="152"/>
    </row>
    <row r="1190" spans="1:28" hidden="1" outlineLevel="1">
      <c r="A1190" s="152"/>
      <c r="B1190" s="190" t="str">
        <f t="shared" ca="1" si="1745"/>
        <v>RL Capex 2028-29</v>
      </c>
      <c r="C1190" s="1429"/>
      <c r="D1190" s="1429"/>
      <c r="E1190" s="1429"/>
      <c r="F1190" s="1429"/>
      <c r="G1190" s="1429"/>
      <c r="H1190" s="1429"/>
      <c r="I1190" s="1429"/>
      <c r="J1190" s="1429"/>
      <c r="K1190" s="1429"/>
      <c r="L1190" s="1429"/>
      <c r="M1190" s="1429"/>
      <c r="N1190" s="1429"/>
      <c r="O1190" s="1424"/>
      <c r="P1190" s="1428">
        <f>P1149</f>
        <v>0</v>
      </c>
      <c r="Q1190" s="1423">
        <f t="shared" si="1738"/>
        <v>0</v>
      </c>
      <c r="R1190" s="1423">
        <f t="shared" si="1739"/>
        <v>0</v>
      </c>
      <c r="S1190" s="1423">
        <f t="shared" si="1740"/>
        <v>0</v>
      </c>
      <c r="T1190" s="1423">
        <f t="shared" si="1741"/>
        <v>0</v>
      </c>
      <c r="U1190" s="1423">
        <f t="shared" si="1742"/>
        <v>0</v>
      </c>
      <c r="V1190" s="1423">
        <f t="shared" si="1743"/>
        <v>0</v>
      </c>
      <c r="W1190" s="1423">
        <f t="shared" si="1744"/>
        <v>0</v>
      </c>
      <c r="X1190" s="152"/>
      <c r="Y1190" s="152"/>
      <c r="Z1190" s="152"/>
      <c r="AA1190" s="152"/>
      <c r="AB1190" s="152"/>
    </row>
    <row r="1191" spans="1:28" hidden="1" outlineLevel="1">
      <c r="A1191" s="152"/>
      <c r="B1191" s="190" t="str">
        <f t="shared" ca="1" si="1745"/>
        <v>RL Capex 2029-30</v>
      </c>
      <c r="C1191" s="1429"/>
      <c r="D1191" s="1429"/>
      <c r="E1191" s="1429"/>
      <c r="F1191" s="1429"/>
      <c r="G1191" s="1429"/>
      <c r="H1191" s="1429"/>
      <c r="I1191" s="1429"/>
      <c r="J1191" s="1429"/>
      <c r="K1191" s="1429"/>
      <c r="L1191" s="1429"/>
      <c r="M1191" s="1429"/>
      <c r="N1191" s="1429"/>
      <c r="O1191" s="1429"/>
      <c r="P1191" s="1424"/>
      <c r="Q1191" s="1428">
        <f>Q1149</f>
        <v>0</v>
      </c>
      <c r="R1191" s="1423">
        <f t="shared" si="1739"/>
        <v>0</v>
      </c>
      <c r="S1191" s="1423">
        <f t="shared" si="1740"/>
        <v>0</v>
      </c>
      <c r="T1191" s="1423">
        <f t="shared" si="1741"/>
        <v>0</v>
      </c>
      <c r="U1191" s="1423">
        <f t="shared" si="1742"/>
        <v>0</v>
      </c>
      <c r="V1191" s="1423">
        <f t="shared" si="1743"/>
        <v>0</v>
      </c>
      <c r="W1191" s="1423">
        <f t="shared" si="1744"/>
        <v>0</v>
      </c>
      <c r="X1191" s="152"/>
      <c r="Y1191" s="152"/>
      <c r="Z1191" s="152"/>
      <c r="AA1191" s="152"/>
      <c r="AB1191" s="152"/>
    </row>
    <row r="1192" spans="1:28" hidden="1" outlineLevel="1">
      <c r="A1192" s="152"/>
      <c r="B1192" s="190" t="str">
        <f t="shared" ca="1" si="1745"/>
        <v>RL Capex 2030-31</v>
      </c>
      <c r="C1192" s="1429"/>
      <c r="D1192" s="1429"/>
      <c r="E1192" s="1429"/>
      <c r="F1192" s="1429"/>
      <c r="G1192" s="1429"/>
      <c r="H1192" s="1429"/>
      <c r="I1192" s="1429"/>
      <c r="J1192" s="1429"/>
      <c r="K1192" s="1429"/>
      <c r="L1192" s="1429"/>
      <c r="M1192" s="1429"/>
      <c r="N1192" s="1429"/>
      <c r="O1192" s="1429"/>
      <c r="P1192" s="1429"/>
      <c r="Q1192" s="1424"/>
      <c r="R1192" s="1428">
        <f>R1149</f>
        <v>0</v>
      </c>
      <c r="S1192" s="1423">
        <f t="shared" si="1740"/>
        <v>0</v>
      </c>
      <c r="T1192" s="1423">
        <f t="shared" si="1741"/>
        <v>0</v>
      </c>
      <c r="U1192" s="1423">
        <f t="shared" si="1742"/>
        <v>0</v>
      </c>
      <c r="V1192" s="1423">
        <f t="shared" si="1743"/>
        <v>0</v>
      </c>
      <c r="W1192" s="1423">
        <f t="shared" si="1744"/>
        <v>0</v>
      </c>
      <c r="X1192" s="152"/>
      <c r="Y1192" s="152"/>
      <c r="Z1192" s="152"/>
      <c r="AA1192" s="152"/>
      <c r="AB1192" s="152"/>
    </row>
    <row r="1193" spans="1:28" hidden="1" outlineLevel="1">
      <c r="A1193" s="152"/>
      <c r="B1193" s="190" t="str">
        <f t="shared" ca="1" si="1745"/>
        <v>RL Capex 2031-32</v>
      </c>
      <c r="C1193" s="1429"/>
      <c r="D1193" s="1429"/>
      <c r="E1193" s="1429"/>
      <c r="F1193" s="1429"/>
      <c r="G1193" s="1429"/>
      <c r="H1193" s="1429"/>
      <c r="I1193" s="1429"/>
      <c r="J1193" s="1429"/>
      <c r="K1193" s="1429"/>
      <c r="L1193" s="1429"/>
      <c r="M1193" s="1429"/>
      <c r="N1193" s="1429"/>
      <c r="O1193" s="1429"/>
      <c r="P1193" s="1429"/>
      <c r="Q1193" s="1429"/>
      <c r="R1193" s="1424"/>
      <c r="S1193" s="1428">
        <f>S1149</f>
        <v>0</v>
      </c>
      <c r="T1193" s="1423">
        <f t="shared" si="1741"/>
        <v>0</v>
      </c>
      <c r="U1193" s="1423">
        <f t="shared" si="1742"/>
        <v>0</v>
      </c>
      <c r="V1193" s="1423">
        <f t="shared" si="1743"/>
        <v>0</v>
      </c>
      <c r="W1193" s="1423">
        <f t="shared" si="1744"/>
        <v>0</v>
      </c>
      <c r="X1193" s="152"/>
      <c r="Y1193" s="152"/>
      <c r="Z1193" s="152"/>
      <c r="AA1193" s="152"/>
      <c r="AB1193" s="152"/>
    </row>
    <row r="1194" spans="1:28" hidden="1" outlineLevel="1">
      <c r="A1194" s="152"/>
      <c r="B1194" s="190" t="str">
        <f t="shared" ca="1" si="1745"/>
        <v>RL Capex 2032-33</v>
      </c>
      <c r="C1194" s="1429"/>
      <c r="D1194" s="1429"/>
      <c r="E1194" s="1429"/>
      <c r="F1194" s="1429"/>
      <c r="G1194" s="1429"/>
      <c r="H1194" s="1429"/>
      <c r="I1194" s="1429"/>
      <c r="J1194" s="1429"/>
      <c r="K1194" s="1429"/>
      <c r="L1194" s="1429"/>
      <c r="M1194" s="1429"/>
      <c r="N1194" s="1429"/>
      <c r="O1194" s="1429"/>
      <c r="P1194" s="1429"/>
      <c r="Q1194" s="1429"/>
      <c r="R1194" s="1429"/>
      <c r="S1194" s="1424"/>
      <c r="T1194" s="1428">
        <f>T1149</f>
        <v>0</v>
      </c>
      <c r="U1194" s="1423">
        <f t="shared" si="1742"/>
        <v>0</v>
      </c>
      <c r="V1194" s="1423">
        <f t="shared" si="1743"/>
        <v>0</v>
      </c>
      <c r="W1194" s="1423">
        <f t="shared" si="1744"/>
        <v>0</v>
      </c>
      <c r="X1194" s="152"/>
      <c r="Y1194" s="152"/>
      <c r="Z1194" s="152"/>
      <c r="AA1194" s="152"/>
      <c r="AB1194" s="152"/>
    </row>
    <row r="1195" spans="1:28" hidden="1" outlineLevel="1">
      <c r="A1195" s="152"/>
      <c r="B1195" s="190" t="str">
        <f t="shared" ca="1" si="1745"/>
        <v>RL Capex 2033-34</v>
      </c>
      <c r="C1195" s="1429"/>
      <c r="D1195" s="1429"/>
      <c r="E1195" s="1429"/>
      <c r="F1195" s="1429"/>
      <c r="G1195" s="1429"/>
      <c r="H1195" s="1429"/>
      <c r="I1195" s="1429"/>
      <c r="J1195" s="1429"/>
      <c r="K1195" s="1429"/>
      <c r="L1195" s="1429"/>
      <c r="M1195" s="1429"/>
      <c r="N1195" s="1429"/>
      <c r="O1195" s="1429"/>
      <c r="P1195" s="1429"/>
      <c r="Q1195" s="1429"/>
      <c r="R1195" s="1429"/>
      <c r="S1195" s="1429"/>
      <c r="T1195" s="1424"/>
      <c r="U1195" s="1428">
        <f>U1149</f>
        <v>0</v>
      </c>
      <c r="V1195" s="1423">
        <f t="shared" si="1743"/>
        <v>0</v>
      </c>
      <c r="W1195" s="1423">
        <f t="shared" si="1744"/>
        <v>0</v>
      </c>
      <c r="X1195" s="152"/>
      <c r="Y1195" s="152"/>
      <c r="Z1195" s="152"/>
      <c r="AA1195" s="152"/>
      <c r="AB1195" s="152"/>
    </row>
    <row r="1196" spans="1:28" hidden="1" outlineLevel="1">
      <c r="A1196" s="152"/>
      <c r="B1196" s="190" t="str">
        <f t="shared" ca="1" si="1745"/>
        <v>RL Capex 2034-35</v>
      </c>
      <c r="C1196" s="1429"/>
      <c r="D1196" s="1429"/>
      <c r="E1196" s="1429"/>
      <c r="F1196" s="1429"/>
      <c r="G1196" s="1429"/>
      <c r="H1196" s="1429"/>
      <c r="I1196" s="1429"/>
      <c r="J1196" s="1429"/>
      <c r="K1196" s="1429"/>
      <c r="L1196" s="1429"/>
      <c r="M1196" s="1429"/>
      <c r="N1196" s="1429"/>
      <c r="O1196" s="1429"/>
      <c r="P1196" s="1429"/>
      <c r="Q1196" s="1429"/>
      <c r="R1196" s="1429"/>
      <c r="S1196" s="1429"/>
      <c r="T1196" s="1429"/>
      <c r="U1196" s="1424"/>
      <c r="V1196" s="1428">
        <f>V1149</f>
        <v>0</v>
      </c>
      <c r="W1196" s="1423">
        <f>IF(V1196="n/a","n/a",MAX(0,V1196-1))</f>
        <v>0</v>
      </c>
      <c r="X1196" s="152"/>
      <c r="Y1196" s="152"/>
      <c r="Z1196" s="152"/>
      <c r="AA1196" s="152"/>
      <c r="AB1196" s="152"/>
    </row>
    <row r="1197" spans="1:28" hidden="1" outlineLevel="1">
      <c r="A1197" s="152"/>
      <c r="B1197" s="190" t="str">
        <f t="shared" ca="1" si="1745"/>
        <v>RL Capex 2035-36</v>
      </c>
      <c r="C1197" s="1429"/>
      <c r="D1197" s="1429"/>
      <c r="E1197" s="1429"/>
      <c r="F1197" s="1429"/>
      <c r="G1197" s="1429"/>
      <c r="H1197" s="1429"/>
      <c r="I1197" s="1429"/>
      <c r="J1197" s="1429"/>
      <c r="K1197" s="1429"/>
      <c r="L1197" s="1429"/>
      <c r="M1197" s="1429"/>
      <c r="N1197" s="1429"/>
      <c r="O1197" s="1429"/>
      <c r="P1197" s="1429"/>
      <c r="Q1197" s="1429"/>
      <c r="R1197" s="1429"/>
      <c r="S1197" s="1429"/>
      <c r="T1197" s="1429"/>
      <c r="U1197" s="1429"/>
      <c r="V1197" s="1424"/>
      <c r="W1197" s="1423">
        <f>W1149</f>
        <v>0</v>
      </c>
      <c r="X1197" s="152"/>
      <c r="Y1197" s="152"/>
      <c r="Z1197" s="152"/>
      <c r="AA1197" s="152"/>
      <c r="AB1197" s="152"/>
    </row>
    <row r="1198" spans="1:28" hidden="1" outlineLevel="1">
      <c r="A1198" s="152"/>
      <c r="B1198" s="200"/>
      <c r="C1198" s="1423"/>
      <c r="D1198" s="1423"/>
      <c r="E1198" s="1423"/>
      <c r="F1198" s="1423"/>
      <c r="G1198" s="1423"/>
      <c r="H1198" s="1423"/>
      <c r="I1198" s="1423"/>
      <c r="J1198" s="1423"/>
      <c r="K1198" s="1423"/>
      <c r="L1198" s="1423"/>
      <c r="M1198" s="1423"/>
      <c r="N1198" s="1423"/>
      <c r="O1198" s="1423"/>
      <c r="P1198" s="1423"/>
      <c r="Q1198" s="1423"/>
      <c r="R1198" s="1423"/>
      <c r="S1198" s="1423"/>
      <c r="T1198" s="1423"/>
      <c r="U1198" s="1423"/>
      <c r="V1198" s="1423"/>
      <c r="W1198" s="1423"/>
      <c r="X1198" s="152"/>
      <c r="Y1198" s="152"/>
      <c r="Z1198" s="152"/>
      <c r="AA1198" s="152"/>
      <c r="AB1198" s="152"/>
    </row>
    <row r="1199" spans="1:28" collapsed="1">
      <c r="A1199" s="194"/>
      <c r="B1199" s="204" t="s">
        <v>123</v>
      </c>
      <c r="C1199" s="1430">
        <f ca="1">(IF(OR($C1149&lt;&gt;"n/a",C1149&lt;&gt;"n/a"),IF(SUM(C1152:C1174)=0,0,IF((SUMPRODUCT(C1152:C1174,C1176:C1198)/SUM(C1152:C1174))&lt;0,1,(SUMPRODUCT(C1152:C1174,C1176:C1198)/SUM(C1152:C1174)))),"n/a"))</f>
        <v>0</v>
      </c>
      <c r="D1199" s="1430">
        <f ca="1">(IF(OR($C1149&lt;&gt;"n/a",D1149&lt;&gt;"n/a"),IF(SUM(D1152:D1174)=0,0,IF((SUMPRODUCT(D1152:D1174,D1176:D1198)/SUM(D1152:D1174))&lt;0,1,(SUMPRODUCT(D1152:D1174,D1176:D1198)/SUM(D1152:D1174)))),"n/a"))</f>
        <v>0</v>
      </c>
      <c r="E1199" s="1430">
        <f t="shared" ref="E1199:W1199" ca="1" si="1746">(IF(OR($C1149&lt;&gt;"n/a",E1149&lt;&gt;"n/a"),IF(SUM(E1152:E1174)=0,0,IF((SUMPRODUCT(E1152:E1174,E1176:E1198)/SUM(E1152:E1174))&lt;0,1,(SUMPRODUCT(E1152:E1174,E1176:E1198)/SUM(E1152:E1174)))),"n/a"))</f>
        <v>0</v>
      </c>
      <c r="F1199" s="1430">
        <f t="shared" ca="1" si="1746"/>
        <v>0</v>
      </c>
      <c r="G1199" s="1430">
        <f t="shared" ca="1" si="1746"/>
        <v>0</v>
      </c>
      <c r="H1199" s="1430">
        <f t="shared" ca="1" si="1746"/>
        <v>0</v>
      </c>
      <c r="I1199" s="1430">
        <f t="shared" ca="1" si="1746"/>
        <v>0</v>
      </c>
      <c r="J1199" s="1430">
        <f t="shared" ca="1" si="1746"/>
        <v>0</v>
      </c>
      <c r="K1199" s="1430">
        <f t="shared" ca="1" si="1746"/>
        <v>0</v>
      </c>
      <c r="L1199" s="1430">
        <f t="shared" ca="1" si="1746"/>
        <v>0</v>
      </c>
      <c r="M1199" s="1430">
        <f t="shared" ca="1" si="1746"/>
        <v>0</v>
      </c>
      <c r="N1199" s="1430">
        <f t="shared" ca="1" si="1746"/>
        <v>0</v>
      </c>
      <c r="O1199" s="1430">
        <f t="shared" ca="1" si="1746"/>
        <v>0</v>
      </c>
      <c r="P1199" s="1430">
        <f t="shared" ca="1" si="1746"/>
        <v>0</v>
      </c>
      <c r="Q1199" s="1430">
        <f t="shared" ca="1" si="1746"/>
        <v>0</v>
      </c>
      <c r="R1199" s="1430">
        <f t="shared" ca="1" si="1746"/>
        <v>0</v>
      </c>
      <c r="S1199" s="1430">
        <f t="shared" ca="1" si="1746"/>
        <v>0</v>
      </c>
      <c r="T1199" s="1430">
        <f t="shared" ca="1" si="1746"/>
        <v>0</v>
      </c>
      <c r="U1199" s="1430">
        <f t="shared" ca="1" si="1746"/>
        <v>0</v>
      </c>
      <c r="V1199" s="1430">
        <f t="shared" ca="1" si="1746"/>
        <v>0</v>
      </c>
      <c r="W1199" s="1430">
        <f t="shared" ca="1" si="1746"/>
        <v>0</v>
      </c>
      <c r="X1199" s="152"/>
      <c r="Y1199" s="152"/>
      <c r="Z1199" s="152"/>
      <c r="AA1199" s="152"/>
      <c r="AB1199" s="152"/>
    </row>
    <row r="1200" spans="1:28">
      <c r="A1200" s="152"/>
      <c r="B1200" s="152"/>
      <c r="C1200" s="1423"/>
      <c r="D1200" s="1423"/>
      <c r="E1200" s="1423"/>
      <c r="F1200" s="1423"/>
      <c r="G1200" s="1423"/>
      <c r="H1200" s="1423"/>
      <c r="I1200" s="1423"/>
      <c r="J1200" s="1423"/>
      <c r="K1200" s="1423"/>
      <c r="L1200" s="1423"/>
      <c r="M1200" s="1423"/>
      <c r="N1200" s="1423"/>
      <c r="O1200" s="1423"/>
      <c r="P1200" s="1423"/>
      <c r="Q1200" s="1423"/>
      <c r="R1200" s="1423"/>
      <c r="S1200" s="1423"/>
      <c r="T1200" s="1423"/>
      <c r="U1200" s="1423"/>
      <c r="V1200" s="1423"/>
      <c r="W1200" s="1423"/>
      <c r="X1200" s="152"/>
      <c r="Y1200" s="152"/>
      <c r="Z1200" s="152"/>
      <c r="AA1200" s="152"/>
      <c r="AB1200" s="152"/>
    </row>
    <row r="1201" spans="1:28">
      <c r="A1201" s="269" t="s">
        <v>57</v>
      </c>
      <c r="B1201" s="270">
        <f>VLOOKUP($A1201,'RFM input'!$E$7:$F$56,2,FALSE)</f>
        <v>0</v>
      </c>
      <c r="C1201" s="1431"/>
      <c r="D1201" s="1431"/>
      <c r="E1201" s="1432"/>
      <c r="F1201" s="1432"/>
      <c r="G1201" s="1432"/>
      <c r="H1201" s="1432"/>
      <c r="I1201" s="1432"/>
      <c r="J1201" s="1432"/>
      <c r="K1201" s="1432"/>
      <c r="L1201" s="1432"/>
      <c r="M1201" s="1432"/>
      <c r="N1201" s="1432"/>
      <c r="O1201" s="1432"/>
      <c r="P1201" s="1432"/>
      <c r="Q1201" s="1432"/>
      <c r="R1201" s="1432"/>
      <c r="S1201" s="1432"/>
      <c r="T1201" s="1432"/>
      <c r="U1201" s="1432"/>
      <c r="V1201" s="1432"/>
      <c r="W1201" s="1432"/>
      <c r="X1201" s="152"/>
      <c r="Y1201" s="152"/>
      <c r="Z1201" s="152"/>
      <c r="AA1201" s="152"/>
      <c r="AB1201" s="152"/>
    </row>
    <row r="1202" spans="1:28">
      <c r="A1202" s="215">
        <f>VALUE(REPLACE(A1201,1,12,""))</f>
        <v>23</v>
      </c>
      <c r="B1202" s="193" t="s">
        <v>126</v>
      </c>
      <c r="C1202" s="1416">
        <f ca="1">IF($C$8='Capital Base roll forward'!$H$4,OFFSET('Capital Base roll forward'!$H$717,'RAB remaining lives'!A1202,0),"enter input")</f>
        <v>0</v>
      </c>
      <c r="D1202" s="1417">
        <f>IF(LEFT(D$6,4)&lt;LEFT('RFM input'!$G$60,4),"enter input",IF(LEFT(D$6,4)&gt;LEFT('RFM input'!$Q$60,4),0,INDEX('RFM input'!$G$61:$Q$110,$A1202,MATCH(D$6,'RFM input'!$G$60:$Q$60,0))
-INDEX('RFM input'!$G$115:$Q$164,$A1202,MATCH(D$6,'RFM input'!$G$60:$Q$60,0))
-INDEX('RFM input'!$G$169:$Q$218,$A1202,MATCH(D$6,'RFM input'!$G$60:$Q$60,0))))</f>
        <v>0</v>
      </c>
      <c r="E1202" s="1417">
        <f>IF(LEFT(E$6,4)&lt;LEFT('RFM input'!$G$60,4),"enter input",IF(LEFT(E$6,4)&gt;LEFT('RFM input'!$Q$60,4),0,INDEX('RFM input'!$G$61:$Q$110,$A1202,MATCH(E$6,'RFM input'!$G$60:$Q$60,0))
-INDEX('RFM input'!$G$115:$Q$164,$A1202,MATCH(E$6,'RFM input'!$G$60:$Q$60,0))
-INDEX('RFM input'!$G$169:$Q$218,$A1202,MATCH(E$6,'RFM input'!$G$60:$Q$60,0))))</f>
        <v>0</v>
      </c>
      <c r="F1202" s="1417">
        <f>IF(LEFT(F$6,4)&lt;LEFT('RFM input'!$G$60,4),"enter input",IF(LEFT(F$6,4)&gt;LEFT('RFM input'!$Q$60,4),0,INDEX('RFM input'!$G$61:$Q$110,$A1202,MATCH(F$6,'RFM input'!$G$60:$Q$60,0))
-INDEX('RFM input'!$G$115:$Q$164,$A1202,MATCH(F$6,'RFM input'!$G$60:$Q$60,0))
-INDEX('RFM input'!$G$169:$Q$218,$A1202,MATCH(F$6,'RFM input'!$G$60:$Q$60,0))))</f>
        <v>0</v>
      </c>
      <c r="G1202" s="1417">
        <f>IF(LEFT(G$6,4)&lt;LEFT('RFM input'!$G$60,4),"enter input",IF(LEFT(G$6,4)&gt;LEFT('RFM input'!$Q$60,4),0,INDEX('RFM input'!$G$61:$Q$110,$A1202,MATCH(G$6,'RFM input'!$G$60:$Q$60,0))
-INDEX('RFM input'!$G$115:$Q$164,$A1202,MATCH(G$6,'RFM input'!$G$60:$Q$60,0))
-INDEX('RFM input'!$G$169:$Q$218,$A1202,MATCH(G$6,'RFM input'!$G$60:$Q$60,0))))</f>
        <v>0</v>
      </c>
      <c r="H1202" s="1417">
        <f>IF(LEFT(H$6,4)&lt;LEFT('RFM input'!$G$60,4),"enter input",IF(LEFT(H$6,4)&gt;LEFT('RFM input'!$Q$60,4),0,INDEX('RFM input'!$G$61:$Q$110,$A1202,MATCH(H$6,'RFM input'!$G$60:$Q$60,0))
-INDEX('RFM input'!$G$115:$Q$164,$A1202,MATCH(H$6,'RFM input'!$G$60:$Q$60,0))
-INDEX('RFM input'!$G$169:$Q$218,$A1202,MATCH(H$6,'RFM input'!$G$60:$Q$60,0))))</f>
        <v>0</v>
      </c>
      <c r="I1202" s="1417">
        <f>IF(LEFT(I$6,4)&lt;LEFT('RFM input'!$G$60,4),"enter input",IF(LEFT(I$6,4)&gt;LEFT('RFM input'!$Q$60,4),0,INDEX('RFM input'!$G$61:$Q$110,$A1202,MATCH(I$6,'RFM input'!$G$60:$Q$60,0))
-INDEX('RFM input'!$G$115:$Q$164,$A1202,MATCH(I$6,'RFM input'!$G$60:$Q$60,0))
-INDEX('RFM input'!$G$169:$Q$218,$A1202,MATCH(I$6,'RFM input'!$G$60:$Q$60,0))))</f>
        <v>0</v>
      </c>
      <c r="J1202" s="1417">
        <f>IF(LEFT(J$6,4)&lt;LEFT('RFM input'!$G$60,4),"enter input",IF(LEFT(J$6,4)&gt;LEFT('RFM input'!$Q$60,4),0,INDEX('RFM input'!$G$61:$Q$110,$A1202,MATCH(J$6,'RFM input'!$G$60:$Q$60,0))
-INDEX('RFM input'!$G$115:$Q$164,$A1202,MATCH(J$6,'RFM input'!$G$60:$Q$60,0))
-INDEX('RFM input'!$G$169:$Q$218,$A1202,MATCH(J$6,'RFM input'!$G$60:$Q$60,0))))</f>
        <v>0</v>
      </c>
      <c r="K1202" s="1417">
        <f>IF(LEFT(K$6,4)&lt;LEFT('RFM input'!$G$60,4),"enter input",IF(LEFT(K$6,4)&gt;LEFT('RFM input'!$Q$60,4),0,INDEX('RFM input'!$G$61:$Q$110,$A1202,MATCH(K$6,'RFM input'!$G$60:$Q$60,0))
-INDEX('RFM input'!$G$115:$Q$164,$A1202,MATCH(K$6,'RFM input'!$G$60:$Q$60,0))
-INDEX('RFM input'!$G$169:$Q$218,$A1202,MATCH(K$6,'RFM input'!$G$60:$Q$60,0))))</f>
        <v>0</v>
      </c>
      <c r="L1202" s="1417">
        <f>IF(LEFT(L$6,4)&lt;LEFT('RFM input'!$G$60,4),"enter input",IF(LEFT(L$6,4)&gt;LEFT('RFM input'!$Q$60,4),0,INDEX('RFM input'!$G$61:$Q$110,$A1202,MATCH(L$6,'RFM input'!$G$60:$Q$60,0))
-INDEX('RFM input'!$G$115:$Q$164,$A1202,MATCH(L$6,'RFM input'!$G$60:$Q$60,0))
-INDEX('RFM input'!$G$169:$Q$218,$A1202,MATCH(L$6,'RFM input'!$G$60:$Q$60,0))))</f>
        <v>0</v>
      </c>
      <c r="M1202" s="1417">
        <f>IF(LEFT(M$6,4)&lt;LEFT('RFM input'!$G$60,4),"enter input",IF(LEFT(M$6,4)&gt;LEFT('RFM input'!$Q$60,4),0,INDEX('RFM input'!$G$61:$Q$110,$A1202,MATCH(M$6,'RFM input'!$G$60:$Q$60,0))
-INDEX('RFM input'!$G$115:$Q$164,$A1202,MATCH(M$6,'RFM input'!$G$60:$Q$60,0))
-INDEX('RFM input'!$G$169:$Q$218,$A1202,MATCH(M$6,'RFM input'!$G$60:$Q$60,0))))</f>
        <v>0</v>
      </c>
      <c r="N1202" s="1417">
        <f>IF(LEFT(N$6,4)&lt;LEFT('RFM input'!$G$60,4),"enter input",IF(LEFT(N$6,4)&gt;LEFT('RFM input'!$Q$60,4),0,INDEX('RFM input'!$G$61:$Q$110,$A1202,MATCH(N$6,'RFM input'!$G$60:$Q$60,0))
-INDEX('RFM input'!$G$115:$Q$164,$A1202,MATCH(N$6,'RFM input'!$G$60:$Q$60,0))
-INDEX('RFM input'!$G$169:$Q$218,$A1202,MATCH(N$6,'RFM input'!$G$60:$Q$60,0))))</f>
        <v>0</v>
      </c>
      <c r="O1202" s="1417">
        <f>IF(LEFT(O$6,4)&lt;LEFT('RFM input'!$G$60,4),"enter input",IF(LEFT(O$6,4)&gt;LEFT('RFM input'!$Q$60,4),0,INDEX('RFM input'!$G$61:$Q$110,$A1202,MATCH(O$6,'RFM input'!$G$60:$Q$60,0))
-INDEX('RFM input'!$G$115:$Q$164,$A1202,MATCH(O$6,'RFM input'!$G$60:$Q$60,0))
-INDEX('RFM input'!$G$169:$Q$218,$A1202,MATCH(O$6,'RFM input'!$G$60:$Q$60,0))))</f>
        <v>0</v>
      </c>
      <c r="P1202" s="1417">
        <f>IF(LEFT(P$6,4)&lt;LEFT('RFM input'!$G$60,4),"enter input",IF(LEFT(P$6,4)&gt;LEFT('RFM input'!$Q$60,4),0,INDEX('RFM input'!$G$61:$Q$110,$A1202,MATCH(P$6,'RFM input'!$G$60:$Q$60,0))
-INDEX('RFM input'!$G$115:$Q$164,$A1202,MATCH(P$6,'RFM input'!$G$60:$Q$60,0))
-INDEX('RFM input'!$G$169:$Q$218,$A1202,MATCH(P$6,'RFM input'!$G$60:$Q$60,0))))</f>
        <v>0</v>
      </c>
      <c r="Q1202" s="1417">
        <f>IF(LEFT(Q$6,4)&lt;LEFT('RFM input'!$G$60,4),"enter input",IF(LEFT(Q$6,4)&gt;LEFT('RFM input'!$Q$60,4),0,INDEX('RFM input'!$G$61:$Q$110,$A1202,MATCH(Q$6,'RFM input'!$G$60:$Q$60,0))
-INDEX('RFM input'!$G$115:$Q$164,$A1202,MATCH(Q$6,'RFM input'!$G$60:$Q$60,0))
-INDEX('RFM input'!$G$169:$Q$218,$A1202,MATCH(Q$6,'RFM input'!$G$60:$Q$60,0))))</f>
        <v>0</v>
      </c>
      <c r="R1202" s="1417">
        <f>IF(LEFT(R$6,4)&lt;LEFT('RFM input'!$G$60,4),"enter input",IF(LEFT(R$6,4)&gt;LEFT('RFM input'!$Q$60,4),0,INDEX('RFM input'!$G$61:$Q$110,$A1202,MATCH(R$6,'RFM input'!$G$60:$Q$60,0))
-INDEX('RFM input'!$G$115:$Q$164,$A1202,MATCH(R$6,'RFM input'!$G$60:$Q$60,0))
-INDEX('RFM input'!$G$169:$Q$218,$A1202,MATCH(R$6,'RFM input'!$G$60:$Q$60,0))))</f>
        <v>0</v>
      </c>
      <c r="S1202" s="1417">
        <f>IF(LEFT(S$6,4)&lt;LEFT('RFM input'!$G$60,4),"enter input",IF(LEFT(S$6,4)&gt;LEFT('RFM input'!$Q$60,4),0,INDEX('RFM input'!$G$61:$Q$110,$A1202,MATCH(S$6,'RFM input'!$G$60:$Q$60,0))
-INDEX('RFM input'!$G$115:$Q$164,$A1202,MATCH(S$6,'RFM input'!$G$60:$Q$60,0))
-INDEX('RFM input'!$G$169:$Q$218,$A1202,MATCH(S$6,'RFM input'!$G$60:$Q$60,0))))</f>
        <v>0</v>
      </c>
      <c r="T1202" s="1417">
        <f>IF(LEFT(T$6,4)&lt;LEFT('RFM input'!$G$60,4),"enter input",IF(LEFT(T$6,4)&gt;LEFT('RFM input'!$Q$60,4),0,INDEX('RFM input'!$G$61:$Q$110,$A1202,MATCH(T$6,'RFM input'!$G$60:$Q$60,0))
-INDEX('RFM input'!$G$115:$Q$164,$A1202,MATCH(T$6,'RFM input'!$G$60:$Q$60,0))
-INDEX('RFM input'!$G$169:$Q$218,$A1202,MATCH(T$6,'RFM input'!$G$60:$Q$60,0))))</f>
        <v>0</v>
      </c>
      <c r="U1202" s="1417">
        <f>IF(LEFT(U$6,4)&lt;LEFT('RFM input'!$G$60,4),"enter input",IF(LEFT(U$6,4)&gt;LEFT('RFM input'!$Q$60,4),0,INDEX('RFM input'!$G$61:$Q$110,$A1202,MATCH(U$6,'RFM input'!$G$60:$Q$60,0))
-INDEX('RFM input'!$G$115:$Q$164,$A1202,MATCH(U$6,'RFM input'!$G$60:$Q$60,0))
-INDEX('RFM input'!$G$169:$Q$218,$A1202,MATCH(U$6,'RFM input'!$G$60:$Q$60,0))))</f>
        <v>0</v>
      </c>
      <c r="V1202" s="1417">
        <f>IF(LEFT(V$6,4)&lt;LEFT('RFM input'!$G$60,4),"enter input",IF(LEFT(V$6,4)&gt;LEFT('RFM input'!$Q$60,4),0,INDEX('RFM input'!$G$61:$Q$110,$A1202,MATCH(V$6,'RFM input'!$G$60:$Q$60,0))
-INDEX('RFM input'!$G$115:$Q$164,$A1202,MATCH(V$6,'RFM input'!$G$60:$Q$60,0))
-INDEX('RFM input'!$G$169:$Q$218,$A1202,MATCH(V$6,'RFM input'!$G$60:$Q$60,0))))</f>
        <v>0</v>
      </c>
      <c r="W1202" s="1417">
        <f>IF(LEFT(W$6,4)&lt;LEFT('RFM input'!$G$60,4),"enter input",IF(LEFT(W$6,4)&gt;LEFT('RFM input'!$Q$60,4),0,INDEX('RFM input'!$G$61:$Q$110,$A1202,MATCH(W$6,'RFM input'!$G$60:$Q$60,0))
-INDEX('RFM input'!$G$115:$Q$164,$A1202,MATCH(W$6,'RFM input'!$G$60:$Q$60,0))
-INDEX('RFM input'!$G$169:$Q$218,$A1202,MATCH(W$6,'RFM input'!$G$60:$Q$60,0))))</f>
        <v>0</v>
      </c>
      <c r="X1202" s="152"/>
      <c r="Y1202" s="152"/>
      <c r="Z1202" s="152"/>
      <c r="AA1202" s="152"/>
      <c r="AB1202" s="152"/>
    </row>
    <row r="1203" spans="1:28">
      <c r="A1203" s="152"/>
      <c r="B1203" s="152" t="s">
        <v>204</v>
      </c>
      <c r="C1203" s="1418">
        <f ca="1">IF($C$8='Capital Base roll forward'!$H$4,OFFSET('RFM input'!$J$6,'RAB remaining lives'!A1202,0),"enter input")</f>
        <v>0</v>
      </c>
      <c r="D1203" s="1417">
        <f>IF(LEFT(D$6,4)&lt;=LEFT('RFM input'!$G$60,4),"enter input",IF(LEFT(D$6,4)&gt;LEFT('RFM input'!$Q$60,4),0,IF(MATCH(D$6,'RFM input'!$H$60:$Q$60,0),INDEX('RFM input'!$K$7:$K$56,$A1202,1))))</f>
        <v>0</v>
      </c>
      <c r="E1203" s="1417">
        <f>IF(LEFT(E$6,4)&lt;=LEFT('RFM input'!$G$60,4),"enter input",IF(LEFT(E$6,4)&gt;LEFT('RFM input'!$Q$60,4),0,IF(MATCH(E$6,'RFM input'!$H$60:$Q$60,0),INDEX('RFM input'!$K$7:$K$56,$A1202,1))))</f>
        <v>0</v>
      </c>
      <c r="F1203" s="1417">
        <f>IF(LEFT(F$6,4)&lt;=LEFT('RFM input'!$G$60,4),"enter input",IF(LEFT(F$6,4)&gt;LEFT('RFM input'!$Q$60,4),0,IF(MATCH(F$6,'RFM input'!$H$60:$Q$60,0),INDEX('RFM input'!$K$7:$K$56,$A1202,1))))</f>
        <v>0</v>
      </c>
      <c r="G1203" s="1417">
        <f>IF(LEFT(G$6,4)&lt;=LEFT('RFM input'!$G$60,4),"enter input",IF(LEFT(G$6,4)&gt;LEFT('RFM input'!$Q$60,4),0,IF(MATCH(G$6,'RFM input'!$H$60:$Q$60,0),INDEX('RFM input'!$K$7:$K$56,$A1202,1))))</f>
        <v>0</v>
      </c>
      <c r="H1203" s="1417">
        <f>IF(LEFT(H$6,4)&lt;=LEFT('RFM input'!$G$60,4),"enter input",IF(LEFT(H$6,4)&gt;LEFT('RFM input'!$Q$60,4),0,IF(MATCH(H$6,'RFM input'!$H$60:$Q$60,0),INDEX('RFM input'!$K$7:$K$56,$A1202,1))))</f>
        <v>0</v>
      </c>
      <c r="I1203" s="1417">
        <f>IF(LEFT(I$6,4)&lt;=LEFT('RFM input'!$G$60,4),"enter input",IF(LEFT(I$6,4)&gt;LEFT('RFM input'!$Q$60,4),0,IF(MATCH(I$6,'RFM input'!$H$60:$Q$60,0),INDEX('RFM input'!$K$7:$K$56,$A1202,1))))</f>
        <v>0</v>
      </c>
      <c r="J1203" s="1417">
        <f>IF(LEFT(J$6,4)&lt;=LEFT('RFM input'!$G$60,4),"enter input",IF(LEFT(J$6,4)&gt;LEFT('RFM input'!$Q$60,4),0,IF(MATCH(J$6,'RFM input'!$H$60:$Q$60,0),INDEX('RFM input'!$K$7:$K$56,$A1202,1))))</f>
        <v>0</v>
      </c>
      <c r="K1203" s="1417">
        <f>IF(LEFT(K$6,4)&lt;=LEFT('RFM input'!$G$60,4),"enter input",IF(LEFT(K$6,4)&gt;LEFT('RFM input'!$Q$60,4),0,IF(MATCH(K$6,'RFM input'!$H$60:$Q$60,0),INDEX('RFM input'!$K$7:$K$56,$A1202,1))))</f>
        <v>0</v>
      </c>
      <c r="L1203" s="1417">
        <f>IF(LEFT(L$6,4)&lt;=LEFT('RFM input'!$G$60,4),"enter input",IF(LEFT(L$6,4)&gt;LEFT('RFM input'!$Q$60,4),0,IF(MATCH(L$6,'RFM input'!$H$60:$Q$60,0),INDEX('RFM input'!$K$7:$K$56,$A1202,1))))</f>
        <v>0</v>
      </c>
      <c r="M1203" s="1417">
        <f>IF(LEFT(M$6,4)&lt;=LEFT('RFM input'!$G$60,4),"enter input",IF(LEFT(M$6,4)&gt;LEFT('RFM input'!$Q$60,4),0,IF(MATCH(M$6,'RFM input'!$H$60:$Q$60,0),INDEX('RFM input'!$K$7:$K$56,$A1202,1))))</f>
        <v>0</v>
      </c>
      <c r="N1203" s="1417">
        <f>IF(LEFT(N$6,4)&lt;=LEFT('RFM input'!$G$60,4),"enter input",IF(LEFT(N$6,4)&gt;LEFT('RFM input'!$Q$60,4),0,IF(MATCH(N$6,'RFM input'!$H$60:$Q$60,0),INDEX('RFM input'!$K$7:$K$56,$A1202,1))))</f>
        <v>0</v>
      </c>
      <c r="O1203" s="1417">
        <f>IF(LEFT(O$6,4)&lt;=LEFT('RFM input'!$G$60,4),"enter input",IF(LEFT(O$6,4)&gt;LEFT('RFM input'!$Q$60,4),0,IF(MATCH(O$6,'RFM input'!$H$60:$Q$60,0),INDEX('RFM input'!$K$7:$K$56,$A1202,1))))</f>
        <v>0</v>
      </c>
      <c r="P1203" s="1417">
        <f>IF(LEFT(P$6,4)&lt;=LEFT('RFM input'!$G$60,4),"enter input",IF(LEFT(P$6,4)&gt;LEFT('RFM input'!$Q$60,4),0,IF(MATCH(P$6,'RFM input'!$H$60:$Q$60,0),INDEX('RFM input'!$K$7:$K$56,$A1202,1))))</f>
        <v>0</v>
      </c>
      <c r="Q1203" s="1417">
        <f>IF(LEFT(Q$6,4)&lt;=LEFT('RFM input'!$G$60,4),"enter input",IF(LEFT(Q$6,4)&gt;LEFT('RFM input'!$Q$60,4),0,IF(MATCH(Q$6,'RFM input'!$H$60:$Q$60,0),INDEX('RFM input'!$K$7:$K$56,$A1202,1))))</f>
        <v>0</v>
      </c>
      <c r="R1203" s="1417">
        <f>IF(LEFT(R$6,4)&lt;=LEFT('RFM input'!$G$60,4),"enter input",IF(LEFT(R$6,4)&gt;LEFT('RFM input'!$Q$60,4),0,IF(MATCH(R$6,'RFM input'!$H$60:$Q$60,0),INDEX('RFM input'!$K$7:$K$56,$A1202,1))))</f>
        <v>0</v>
      </c>
      <c r="S1203" s="1417">
        <f>IF(LEFT(S$6,4)&lt;=LEFT('RFM input'!$G$60,4),"enter input",IF(LEFT(S$6,4)&gt;LEFT('RFM input'!$Q$60,4),0,IF(MATCH(S$6,'RFM input'!$H$60:$Q$60,0),INDEX('RFM input'!$K$7:$K$56,$A1202,1))))</f>
        <v>0</v>
      </c>
      <c r="T1203" s="1417">
        <f>IF(LEFT(T$6,4)&lt;=LEFT('RFM input'!$G$60,4),"enter input",IF(LEFT(T$6,4)&gt;LEFT('RFM input'!$Q$60,4),0,IF(MATCH(T$6,'RFM input'!$H$60:$Q$60,0),INDEX('RFM input'!$K$7:$K$56,$A1202,1))))</f>
        <v>0</v>
      </c>
      <c r="U1203" s="1417">
        <f>IF(LEFT(U$6,4)&lt;=LEFT('RFM input'!$G$60,4),"enter input",IF(LEFT(U$6,4)&gt;LEFT('RFM input'!$Q$60,4),0,IF(MATCH(U$6,'RFM input'!$H$60:$Q$60,0),INDEX('RFM input'!$K$7:$K$56,$A1202,1))))</f>
        <v>0</v>
      </c>
      <c r="V1203" s="1417">
        <f>IF(LEFT(V$6,4)&lt;=LEFT('RFM input'!$G$60,4),"enter input",IF(LEFT(V$6,4)&gt;LEFT('RFM input'!$Q$60,4),0,IF(MATCH(V$6,'RFM input'!$H$60:$Q$60,0),INDEX('RFM input'!$K$7:$K$56,$A1202,1))))</f>
        <v>0</v>
      </c>
      <c r="W1203" s="1417">
        <f>IF(LEFT(W$6,4)&lt;=LEFT('RFM input'!$G$60,4),"enter input",IF(LEFT(W$6,4)&gt;LEFT('RFM input'!$Q$60,4),0,IF(MATCH(W$6,'RFM input'!$H$60:$Q$60,0),INDEX('RFM input'!$K$7:$K$56,$A1202,1))))</f>
        <v>0</v>
      </c>
      <c r="X1203" s="152"/>
      <c r="Y1203" s="152"/>
      <c r="Z1203" s="152"/>
      <c r="AA1203" s="152"/>
      <c r="AB1203" s="152"/>
    </row>
    <row r="1204" spans="1:28">
      <c r="A1204" s="152"/>
      <c r="B1204" s="177" t="s">
        <v>191</v>
      </c>
      <c r="C1204" s="1419"/>
      <c r="D1204" s="1420">
        <f ca="1">IF(LEFT(D$6,4)&lt;=LEFT('RFM input'!$G$60,4),"enter input",IF(LEFT(D$6,4)&gt;LEFT('RFM input'!$Q$60,4),0,IF(D$6=(OFFSET('RFM input'!$G$60,0,'RFM input'!$V$7)),OFFSET('RFM input'!$G$411,$A1202,0),0)))</f>
        <v>0</v>
      </c>
      <c r="E1204" s="1417">
        <f ca="1">IF(LEFT(E$6,4)&lt;=LEFT('RFM input'!$G$60,4),"enter input",IF(LEFT(E$6,4)&gt;LEFT('RFM input'!$Q$60,4),0,IF(E$6=(OFFSET('RFM input'!$G$60,0,'RFM input'!$V$7)),OFFSET('RFM input'!$G$411,$A1202,0),0)))</f>
        <v>0</v>
      </c>
      <c r="F1204" s="1417">
        <f ca="1">IF(LEFT(F$6,4)&lt;=LEFT('RFM input'!$G$60,4),"enter input",IF(LEFT(F$6,4)&gt;LEFT('RFM input'!$Q$60,4),0,IF(F$6=(OFFSET('RFM input'!$G$60,0,'RFM input'!$V$7)),OFFSET('RFM input'!$G$411,$A1202,0),0)))</f>
        <v>0</v>
      </c>
      <c r="G1204" s="1417">
        <f ca="1">IF(LEFT(G$6,4)&lt;=LEFT('RFM input'!$G$60,4),"enter input",IF(LEFT(G$6,4)&gt;LEFT('RFM input'!$Q$60,4),0,IF(G$6=(OFFSET('RFM input'!$G$60,0,'RFM input'!$V$7)),OFFSET('RFM input'!$G$411,$A1202,0),0)))</f>
        <v>0</v>
      </c>
      <c r="H1204" s="1417">
        <f ca="1">IF(LEFT(H$6,4)&lt;=LEFT('RFM input'!$G$60,4),"enter input",IF(LEFT(H$6,4)&gt;LEFT('RFM input'!$Q$60,4),0,IF(H$6=(OFFSET('RFM input'!$G$60,0,'RFM input'!$V$7)),OFFSET('RFM input'!$G$411,$A1202,0),0)))</f>
        <v>0</v>
      </c>
      <c r="I1204" s="1417">
        <f ca="1">IF(LEFT(I$6,4)&lt;=LEFT('RFM input'!$G$60,4),"enter input",IF(LEFT(I$6,4)&gt;LEFT('RFM input'!$Q$60,4),0,IF(I$6=(OFFSET('RFM input'!$G$60,0,'RFM input'!$V$7)),OFFSET('RFM input'!$G$411,$A1202,0),0)))</f>
        <v>0</v>
      </c>
      <c r="J1204" s="1417">
        <f ca="1">IF(LEFT(J$6,4)&lt;=LEFT('RFM input'!$G$60,4),"enter input",IF(LEFT(J$6,4)&gt;LEFT('RFM input'!$Q$60,4),0,IF(J$6=(OFFSET('RFM input'!$G$60,0,'RFM input'!$V$7)),OFFSET('RFM input'!$G$411,$A1202,0),0)))</f>
        <v>0</v>
      </c>
      <c r="K1204" s="1417">
        <f ca="1">IF(LEFT(K$6,4)&lt;=LEFT('RFM input'!$G$60,4),"enter input",IF(LEFT(K$6,4)&gt;LEFT('RFM input'!$Q$60,4),0,IF(K$6=(OFFSET('RFM input'!$G$60,0,'RFM input'!$V$7)),OFFSET('RFM input'!$G$411,$A1202,0),0)))</f>
        <v>0</v>
      </c>
      <c r="L1204" s="1417">
        <f ca="1">IF(LEFT(L$6,4)&lt;=LEFT('RFM input'!$G$60,4),"enter input",IF(LEFT(L$6,4)&gt;LEFT('RFM input'!$Q$60,4),0,IF(L$6=(OFFSET('RFM input'!$G$60,0,'RFM input'!$V$7)),OFFSET('RFM input'!$G$411,$A1202,0),0)))</f>
        <v>0</v>
      </c>
      <c r="M1204" s="1417">
        <f ca="1">IF(LEFT(M$6,4)&lt;=LEFT('RFM input'!$G$60,4),"enter input",IF(LEFT(M$6,4)&gt;LEFT('RFM input'!$Q$60,4),0,IF(M$6=(OFFSET('RFM input'!$G$60,0,'RFM input'!$V$7)),OFFSET('RFM input'!$G$411,$A1202,0),0)))</f>
        <v>0</v>
      </c>
      <c r="N1204" s="1417">
        <f ca="1">IF(LEFT(N$6,4)&lt;=LEFT('RFM input'!$G$60,4),"enter input",IF(LEFT(N$6,4)&gt;LEFT('RFM input'!$Q$60,4),0,IF(N$6=(OFFSET('RFM input'!$G$60,0,'RFM input'!$V$7)),OFFSET('RFM input'!$G$411,$A1202,0),0)))</f>
        <v>0</v>
      </c>
      <c r="O1204" s="1417">
        <f ca="1">IF(LEFT(O$6,4)&lt;=LEFT('RFM input'!$G$60,4),"enter input",IF(LEFT(O$6,4)&gt;LEFT('RFM input'!$Q$60,4),0,IF(O$6=(OFFSET('RFM input'!$G$60,0,'RFM input'!$V$7)),OFFSET('RFM input'!$G$411,$A1202,0),0)))</f>
        <v>0</v>
      </c>
      <c r="P1204" s="1417">
        <f ca="1">IF(LEFT(P$6,4)&lt;=LEFT('RFM input'!$G$60,4),"enter input",IF(LEFT(P$6,4)&gt;LEFT('RFM input'!$Q$60,4),0,IF(P$6=(OFFSET('RFM input'!$G$60,0,'RFM input'!$V$7)),OFFSET('RFM input'!$G$411,$A1202,0),0)))</f>
        <v>0</v>
      </c>
      <c r="Q1204" s="1417">
        <f ca="1">IF(LEFT(Q$6,4)&lt;=LEFT('RFM input'!$G$60,4),"enter input",IF(LEFT(Q$6,4)&gt;LEFT('RFM input'!$Q$60,4),0,IF(Q$6=(OFFSET('RFM input'!$G$60,0,'RFM input'!$V$7)),OFFSET('RFM input'!$G$411,$A1202,0),0)))</f>
        <v>0</v>
      </c>
      <c r="R1204" s="1417">
        <f ca="1">IF(LEFT(R$6,4)&lt;=LEFT('RFM input'!$G$60,4),"enter input",IF(LEFT(R$6,4)&gt;LEFT('RFM input'!$Q$60,4),0,IF(R$6=(OFFSET('RFM input'!$G$60,0,'RFM input'!$V$7)),OFFSET('RFM input'!$G$411,$A1202,0),0)))</f>
        <v>0</v>
      </c>
      <c r="S1204" s="1417">
        <f ca="1">IF(LEFT(S$6,4)&lt;=LEFT('RFM input'!$G$60,4),"enter input",IF(LEFT(S$6,4)&gt;LEFT('RFM input'!$Q$60,4),0,IF(S$6=(OFFSET('RFM input'!$G$60,0,'RFM input'!$V$7)),OFFSET('RFM input'!$G$411,$A1202,0),0)))</f>
        <v>0</v>
      </c>
      <c r="T1204" s="1417">
        <f ca="1">IF(LEFT(T$6,4)&lt;=LEFT('RFM input'!$G$60,4),"enter input",IF(LEFT(T$6,4)&gt;LEFT('RFM input'!$Q$60,4),0,IF(T$6=(OFFSET('RFM input'!$G$60,0,'RFM input'!$V$7)),OFFSET('RFM input'!$G$411,$A1202,0),0)))</f>
        <v>0</v>
      </c>
      <c r="U1204" s="1417">
        <f ca="1">IF(LEFT(U$6,4)&lt;=LEFT('RFM input'!$G$60,4),"enter input",IF(LEFT(U$6,4)&gt;LEFT('RFM input'!$Q$60,4),0,IF(U$6=(OFFSET('RFM input'!$G$60,0,'RFM input'!$V$7)),OFFSET('RFM input'!$G$411,$A1202,0),0)))</f>
        <v>0</v>
      </c>
      <c r="V1204" s="1417">
        <f ca="1">IF(LEFT(V$6,4)&lt;=LEFT('RFM input'!$G$60,4),"enter input",IF(LEFT(V$6,4)&gt;LEFT('RFM input'!$Q$60,4),0,IF(V$6=(OFFSET('RFM input'!$G$60,0,'RFM input'!$V$7)),OFFSET('RFM input'!$G$411,$A1202,0),0)))</f>
        <v>0</v>
      </c>
      <c r="W1204" s="1417">
        <f ca="1">IF(LEFT(W$6,4)&lt;=LEFT('RFM input'!$G$60,4),"enter input",IF(LEFT(W$6,4)&gt;LEFT('RFM input'!$Q$60,4),0,IF(W$6=(OFFSET('RFM input'!$G$60,0,'RFM input'!$V$7)),OFFSET('RFM input'!$G$411,$A1202,0),0)))</f>
        <v>0</v>
      </c>
      <c r="X1204" s="152"/>
      <c r="Y1204" s="152"/>
      <c r="Z1204" s="152"/>
      <c r="AA1204" s="152"/>
      <c r="AB1204" s="152"/>
    </row>
    <row r="1205" spans="1:28">
      <c r="A1205" s="152"/>
      <c r="B1205" s="195" t="s">
        <v>197</v>
      </c>
      <c r="C1205" s="1419"/>
      <c r="D1205" s="1418">
        <f ca="1">IF(LEFT(D$6,4)&lt;=LEFT('RFM input'!$G$60,4),"enter input",IF(LEFT(D$6,4)&gt;LEFT('RFM input'!$Q$60,4),0,IF(D$6=(OFFSET('RFM input'!$G$60,0,'RFM input'!$V$7)),OFFSET('RFM input'!$I$411,$A1202,0),0)))</f>
        <v>0</v>
      </c>
      <c r="E1205" s="1422">
        <f ca="1">IF(LEFT(E$6,4)&lt;=LEFT('RFM input'!$G$60,4),"enter input",IF(LEFT(E$6,4)&gt;LEFT('RFM input'!$Q$60,4),0,IF(E$6=(OFFSET('RFM input'!$G$60,0,'RFM input'!$V$7)),OFFSET('RFM input'!$I$411,$A1202,0),0)))</f>
        <v>0</v>
      </c>
      <c r="F1205" s="1422">
        <f ca="1">IF(LEFT(F$6,4)&lt;=LEFT('RFM input'!$G$60,4),"enter input",IF(LEFT(F$6,4)&gt;LEFT('RFM input'!$Q$60,4),0,IF(F$6=(OFFSET('RFM input'!$G$60,0,'RFM input'!$V$7)),OFFSET('RFM input'!$I$411,$A1202,0),0)))</f>
        <v>0</v>
      </c>
      <c r="G1205" s="1422">
        <f ca="1">IF(LEFT(G$6,4)&lt;=LEFT('RFM input'!$G$60,4),"enter input",IF(LEFT(G$6,4)&gt;LEFT('RFM input'!$Q$60,4),0,IF(G$6=(OFFSET('RFM input'!$G$60,0,'RFM input'!$V$7)),OFFSET('RFM input'!$I$411,$A1202,0),0)))</f>
        <v>0</v>
      </c>
      <c r="H1205" s="1422">
        <f ca="1">IF(LEFT(H$6,4)&lt;=LEFT('RFM input'!$G$60,4),"enter input",IF(LEFT(H$6,4)&gt;LEFT('RFM input'!$Q$60,4),0,IF(H$6=(OFFSET('RFM input'!$G$60,0,'RFM input'!$V$7)),OFFSET('RFM input'!$I$411,$A1202,0),0)))</f>
        <v>0</v>
      </c>
      <c r="I1205" s="1422">
        <f ca="1">IF(LEFT(I$6,4)&lt;=LEFT('RFM input'!$G$60,4),"enter input",IF(LEFT(I$6,4)&gt;LEFT('RFM input'!$Q$60,4),0,IF(I$6=(OFFSET('RFM input'!$G$60,0,'RFM input'!$V$7)),OFFSET('RFM input'!$I$411,$A1202,0),0)))</f>
        <v>0</v>
      </c>
      <c r="J1205" s="1422">
        <f ca="1">IF(LEFT(J$6,4)&lt;=LEFT('RFM input'!$G$60,4),"enter input",IF(LEFT(J$6,4)&gt;LEFT('RFM input'!$Q$60,4),0,IF(J$6=(OFFSET('RFM input'!$G$60,0,'RFM input'!$V$7)),OFFSET('RFM input'!$I$411,$A1202,0),0)))</f>
        <v>0</v>
      </c>
      <c r="K1205" s="1422">
        <f ca="1">IF(LEFT(K$6,4)&lt;=LEFT('RFM input'!$G$60,4),"enter input",IF(LEFT(K$6,4)&gt;LEFT('RFM input'!$Q$60,4),0,IF(K$6=(OFFSET('RFM input'!$G$60,0,'RFM input'!$V$7)),OFFSET('RFM input'!$I$411,$A1202,0),0)))</f>
        <v>0</v>
      </c>
      <c r="L1205" s="1422">
        <f ca="1">IF(LEFT(L$6,4)&lt;=LEFT('RFM input'!$G$60,4),"enter input",IF(LEFT(L$6,4)&gt;LEFT('RFM input'!$Q$60,4),0,IF(L$6=(OFFSET('RFM input'!$G$60,0,'RFM input'!$V$7)),OFFSET('RFM input'!$I$411,$A1202,0),0)))</f>
        <v>0</v>
      </c>
      <c r="M1205" s="1422">
        <f ca="1">IF(LEFT(M$6,4)&lt;=LEFT('RFM input'!$G$60,4),"enter input",IF(LEFT(M$6,4)&gt;LEFT('RFM input'!$Q$60,4),0,IF(M$6=(OFFSET('RFM input'!$G$60,0,'RFM input'!$V$7)),OFFSET('RFM input'!$I$411,$A1202,0),0)))</f>
        <v>0</v>
      </c>
      <c r="N1205" s="1422">
        <f ca="1">IF(LEFT(N$6,4)&lt;=LEFT('RFM input'!$G$60,4),"enter input",IF(LEFT(N$6,4)&gt;LEFT('RFM input'!$Q$60,4),0,IF(N$6=(OFFSET('RFM input'!$G$60,0,'RFM input'!$V$7)),OFFSET('RFM input'!$I$411,$A1202,0),0)))</f>
        <v>0</v>
      </c>
      <c r="O1205" s="1422">
        <f ca="1">IF(LEFT(O$6,4)&lt;=LEFT('RFM input'!$G$60,4),"enter input",IF(LEFT(O$6,4)&gt;LEFT('RFM input'!$Q$60,4),0,IF(O$6=(OFFSET('RFM input'!$G$60,0,'RFM input'!$V$7)),OFFSET('RFM input'!$I$411,$A1202,0),0)))</f>
        <v>0</v>
      </c>
      <c r="P1205" s="1422">
        <f ca="1">IF(LEFT(P$6,4)&lt;=LEFT('RFM input'!$G$60,4),"enter input",IF(LEFT(P$6,4)&gt;LEFT('RFM input'!$Q$60,4),0,IF(P$6=(OFFSET('RFM input'!$G$60,0,'RFM input'!$V$7)),OFFSET('RFM input'!$I$411,$A1202,0),0)))</f>
        <v>0</v>
      </c>
      <c r="Q1205" s="1422">
        <f ca="1">IF(LEFT(Q$6,4)&lt;=LEFT('RFM input'!$G$60,4),"enter input",IF(LEFT(Q$6,4)&gt;LEFT('RFM input'!$Q$60,4),0,IF(Q$6=(OFFSET('RFM input'!$G$60,0,'RFM input'!$V$7)),OFFSET('RFM input'!$I$411,$A1202,0),0)))</f>
        <v>0</v>
      </c>
      <c r="R1205" s="1422">
        <f ca="1">IF(LEFT(R$6,4)&lt;=LEFT('RFM input'!$G$60,4),"enter input",IF(LEFT(R$6,4)&gt;LEFT('RFM input'!$Q$60,4),0,IF(R$6=(OFFSET('RFM input'!$G$60,0,'RFM input'!$V$7)),OFFSET('RFM input'!$I$411,$A1202,0),0)))</f>
        <v>0</v>
      </c>
      <c r="S1205" s="1422">
        <f ca="1">IF(LEFT(S$6,4)&lt;=LEFT('RFM input'!$G$60,4),"enter input",IF(LEFT(S$6,4)&gt;LEFT('RFM input'!$Q$60,4),0,IF(S$6=(OFFSET('RFM input'!$G$60,0,'RFM input'!$V$7)),OFFSET('RFM input'!$I$411,$A1202,0),0)))</f>
        <v>0</v>
      </c>
      <c r="T1205" s="1422">
        <f ca="1">IF(LEFT(T$6,4)&lt;=LEFT('RFM input'!$G$60,4),"enter input",IF(LEFT(T$6,4)&gt;LEFT('RFM input'!$Q$60,4),0,IF(T$6=(OFFSET('RFM input'!$G$60,0,'RFM input'!$V$7)),OFFSET('RFM input'!$I$411,$A1202,0),0)))</f>
        <v>0</v>
      </c>
      <c r="U1205" s="1422">
        <f ca="1">IF(LEFT(U$6,4)&lt;=LEFT('RFM input'!$G$60,4),"enter input",IF(LEFT(U$6,4)&gt;LEFT('RFM input'!$Q$60,4),0,IF(U$6=(OFFSET('RFM input'!$G$60,0,'RFM input'!$V$7)),OFFSET('RFM input'!$I$411,$A1202,0),0)))</f>
        <v>0</v>
      </c>
      <c r="V1205" s="1422">
        <f ca="1">IF(LEFT(V$6,4)&lt;=LEFT('RFM input'!$G$60,4),"enter input",IF(LEFT(V$6,4)&gt;LEFT('RFM input'!$Q$60,4),0,IF(V$6=(OFFSET('RFM input'!$G$60,0,'RFM input'!$V$7)),OFFSET('RFM input'!$I$411,$A1202,0),0)))</f>
        <v>0</v>
      </c>
      <c r="W1205" s="1422">
        <f ca="1">IF(LEFT(W$6,4)&lt;=LEFT('RFM input'!$G$60,4),"enter input",IF(LEFT(W$6,4)&gt;LEFT('RFM input'!$Q$60,4),0,IF(W$6=(OFFSET('RFM input'!$G$60,0,'RFM input'!$V$7)),OFFSET('RFM input'!$I$411,$A1202,0),0)))</f>
        <v>0</v>
      </c>
      <c r="X1205" s="152"/>
      <c r="Y1205" s="152"/>
      <c r="Z1205" s="152"/>
      <c r="AA1205" s="152"/>
      <c r="AB1205" s="152"/>
    </row>
    <row r="1206" spans="1:28" hidden="1" outlineLevel="1">
      <c r="A1206" s="235">
        <v>-1</v>
      </c>
      <c r="B1206" s="190" t="s">
        <v>189</v>
      </c>
      <c r="C1206" s="1423"/>
      <c r="D1206" s="1423">
        <f ca="1">IF(AND(D1204=0,C1206=0),0,
IF(AND(D1204&lt;&gt;0,C1206=0),(D1204/D$10),
IF(AND(D1205&lt;&gt;0,C1206&lt;&gt;0),(C1206-(C1206/C1230))+(D1204/D$10),
IF(C1230&lt;1,0,(C1206-(C1206/C1230))))))</f>
        <v>0</v>
      </c>
      <c r="E1206" s="1423">
        <f t="shared" ref="E1206" ca="1" si="1747">IF(AND(E1204=0,D1206=0),0,
IF(AND(E1204&lt;&gt;0,D1206=0),(E1204/E$10),
IF(AND(E1205&lt;&gt;0,D1206&lt;&gt;0),(D1206-(D1206/D1230))+(E1204/E$10),
IF(D1230&lt;1,0,(D1206-(D1206/D1230))))))</f>
        <v>0</v>
      </c>
      <c r="F1206" s="1423">
        <f t="shared" ref="F1206" ca="1" si="1748">IF(AND(F1204=0,E1206=0),0,
IF(AND(F1204&lt;&gt;0,E1206=0),(F1204/F$10),
IF(AND(F1205&lt;&gt;0,E1206&lt;&gt;0),(E1206-(E1206/E1230))+(F1204/F$10),
IF(E1230&lt;1,0,(E1206-(E1206/E1230))))))</f>
        <v>0</v>
      </c>
      <c r="G1206" s="1423">
        <f t="shared" ref="G1206" ca="1" si="1749">IF(AND(G1204=0,F1206=0),0,
IF(AND(G1204&lt;&gt;0,F1206=0),(G1204/G$10),
IF(AND(G1205&lt;&gt;0,F1206&lt;&gt;0),(F1206-(F1206/F1230))+(G1204/G$10),
IF(F1230&lt;1,0,(F1206-(F1206/F1230))))))</f>
        <v>0</v>
      </c>
      <c r="H1206" s="1423">
        <f t="shared" ref="H1206" ca="1" si="1750">IF(AND(H1204=0,G1206=0),0,
IF(AND(H1204&lt;&gt;0,G1206=0),(H1204/H$10),
IF(AND(H1205&lt;&gt;0,G1206&lt;&gt;0),(G1206-(G1206/G1230))+(H1204/H$10),
IF(G1230&lt;1,0,(G1206-(G1206/G1230))))))</f>
        <v>0</v>
      </c>
      <c r="I1206" s="1423">
        <f t="shared" ref="I1206" ca="1" si="1751">IF(AND(I1204=0,H1206=0),0,
IF(AND(I1204&lt;&gt;0,H1206=0),(I1204/I$10),
IF(AND(I1205&lt;&gt;0,H1206&lt;&gt;0),(H1206-(H1206/H1230))+(I1204/I$10),
IF(H1230&lt;1,0,(H1206-(H1206/H1230))))))</f>
        <v>0</v>
      </c>
      <c r="J1206" s="1423">
        <f t="shared" ref="J1206" ca="1" si="1752">IF(AND(J1204=0,I1206=0),0,
IF(AND(J1204&lt;&gt;0,I1206=0),(J1204/J$10),
IF(AND(J1205&lt;&gt;0,I1206&lt;&gt;0),(I1206-(I1206/I1230))+(J1204/J$10),
IF(I1230&lt;1,0,(I1206-(I1206/I1230))))))</f>
        <v>0</v>
      </c>
      <c r="K1206" s="1423">
        <f t="shared" ref="K1206" ca="1" si="1753">IF(AND(K1204=0,J1206=0),0,
IF(AND(K1204&lt;&gt;0,J1206=0),(K1204/K$10),
IF(AND(K1205&lt;&gt;0,J1206&lt;&gt;0),(J1206-(J1206/J1230))+(K1204/K$10),
IF(J1230&lt;1,0,(J1206-(J1206/J1230))))))</f>
        <v>0</v>
      </c>
      <c r="L1206" s="1423">
        <f t="shared" ref="L1206" ca="1" si="1754">IF(AND(L1204=0,K1206=0),0,
IF(AND(L1204&lt;&gt;0,K1206=0),(L1204/L$10),
IF(AND(L1205&lt;&gt;0,K1206&lt;&gt;0),(K1206-(K1206/K1230))+(L1204/L$10),
IF(K1230&lt;1,0,(K1206-(K1206/K1230))))))</f>
        <v>0</v>
      </c>
      <c r="M1206" s="1423">
        <f t="shared" ref="M1206" ca="1" si="1755">IF(AND(M1204=0,L1206=0),0,
IF(AND(M1204&lt;&gt;0,L1206=0),(M1204/M$10),
IF(AND(M1205&lt;&gt;0,L1206&lt;&gt;0),(L1206-(L1206/L1230))+(M1204/M$10),
IF(L1230&lt;1,0,(L1206-(L1206/L1230))))))</f>
        <v>0</v>
      </c>
      <c r="N1206" s="1423">
        <f t="shared" ref="N1206" ca="1" si="1756">IF(AND(N1204=0,M1206=0),0,
IF(AND(N1204&lt;&gt;0,M1206=0),(N1204/N$10),
IF(AND(N1205&lt;&gt;0,M1206&lt;&gt;0),(M1206-(M1206/M1230))+(N1204/N$10),
IF(M1230&lt;1,0,(M1206-(M1206/M1230))))))</f>
        <v>0</v>
      </c>
      <c r="O1206" s="1423">
        <f t="shared" ref="O1206" ca="1" si="1757">IF(AND(O1204=0,N1206=0),0,
IF(AND(O1204&lt;&gt;0,N1206=0),(O1204/O$10),
IF(AND(O1205&lt;&gt;0,N1206&lt;&gt;0),(N1206-(N1206/N1230))+(O1204/O$10),
IF(N1230&lt;1,0,(N1206-(N1206/N1230))))))</f>
        <v>0</v>
      </c>
      <c r="P1206" s="1423">
        <f t="shared" ref="P1206" ca="1" si="1758">IF(AND(P1204=0,O1206=0),0,
IF(AND(P1204&lt;&gt;0,O1206=0),(P1204/P$10),
IF(AND(P1205&lt;&gt;0,O1206&lt;&gt;0),(O1206-(O1206/O1230))+(P1204/P$10),
IF(O1230&lt;1,0,(O1206-(O1206/O1230))))))</f>
        <v>0</v>
      </c>
      <c r="Q1206" s="1423">
        <f t="shared" ref="Q1206" ca="1" si="1759">IF(AND(Q1204=0,P1206=0),0,
IF(AND(Q1204&lt;&gt;0,P1206=0),(Q1204/Q$10),
IF(AND(Q1205&lt;&gt;0,P1206&lt;&gt;0),(P1206-(P1206/P1230))+(Q1204/Q$10),
IF(P1230&lt;1,0,(P1206-(P1206/P1230))))))</f>
        <v>0</v>
      </c>
      <c r="R1206" s="1423">
        <f t="shared" ref="R1206" ca="1" si="1760">IF(AND(R1204=0,Q1206=0),0,
IF(AND(R1204&lt;&gt;0,Q1206=0),(R1204/R$10),
IF(AND(R1205&lt;&gt;0,Q1206&lt;&gt;0),(Q1206-(Q1206/Q1230))+(R1204/R$10),
IF(Q1230&lt;1,0,(Q1206-(Q1206/Q1230))))))</f>
        <v>0</v>
      </c>
      <c r="S1206" s="1423">
        <f t="shared" ref="S1206" ca="1" si="1761">IF(AND(S1204=0,R1206=0),0,
IF(AND(S1204&lt;&gt;0,R1206=0),(S1204/S$10),
IF(AND(S1205&lt;&gt;0,R1206&lt;&gt;0),(R1206-(R1206/R1230))+(S1204/S$10),
IF(R1230&lt;1,0,(R1206-(R1206/R1230))))))</f>
        <v>0</v>
      </c>
      <c r="T1206" s="1423">
        <f t="shared" ref="T1206" ca="1" si="1762">IF(AND(T1204=0,S1206=0),0,
IF(AND(T1204&lt;&gt;0,S1206=0),(T1204/T$10),
IF(AND(T1205&lt;&gt;0,S1206&lt;&gt;0),(S1206-(S1206/S1230))+(T1204/T$10),
IF(S1230&lt;1,0,(S1206-(S1206/S1230))))))</f>
        <v>0</v>
      </c>
      <c r="U1206" s="1423">
        <f t="shared" ref="U1206" ca="1" si="1763">IF(AND(U1204=0,T1206=0),0,
IF(AND(U1204&lt;&gt;0,T1206=0),(U1204/U$10),
IF(AND(U1205&lt;&gt;0,T1206&lt;&gt;0),(T1206-(T1206/T1230))+(U1204/U$10),
IF(T1230&lt;1,0,(T1206-(T1206/T1230))))))</f>
        <v>0</v>
      </c>
      <c r="V1206" s="1423">
        <f t="shared" ref="V1206" ca="1" si="1764">IF(AND(V1204=0,U1206=0),0,
IF(AND(V1204&lt;&gt;0,U1206=0),(V1204/V$10),
IF(AND(V1205&lt;&gt;0,U1206&lt;&gt;0),(U1206-(U1206/U1230))+(V1204/V$10),
IF(U1230&lt;1,0,(U1206-(U1206/U1230))))))</f>
        <v>0</v>
      </c>
      <c r="W1206" s="1423">
        <f t="shared" ref="W1206" ca="1" si="1765">IF(AND(W1204=0,V1206=0),0,
IF(AND(W1204&lt;&gt;0,V1206=0),(W1204/W$10),
IF(AND(W1205&lt;&gt;0,V1206&lt;&gt;0),(V1206-(V1206/V1230))+(W1204/W$10),
IF(V1230&lt;1,0,(V1206-(V1206/V1230))))))</f>
        <v>0</v>
      </c>
      <c r="X1206" s="152"/>
      <c r="Y1206" s="152"/>
      <c r="Z1206" s="152"/>
      <c r="AA1206" s="152"/>
      <c r="AB1206" s="152"/>
    </row>
    <row r="1207" spans="1:28" hidden="1" outlineLevel="1">
      <c r="A1207" s="199">
        <f>A1206+1</f>
        <v>0</v>
      </c>
      <c r="B1207" s="190" t="s">
        <v>125</v>
      </c>
      <c r="C1207" s="1423">
        <f ca="1">C1202/C$10</f>
        <v>0</v>
      </c>
      <c r="D1207" s="1423">
        <f ca="1">IF(C1231="n/a",C1207,IFERROR(IF((OFFSET($C1207,0,$A1207))&lt;0,
MIN(0,C1207-(OFFSET($C1207,0,$A1207)/(OFFSET($C1202,-$A1206,$A1207)))),
MAX(0,C1207-(OFFSET($C1207,0,$A1207)/(OFFSET($C1202,-$A1206,$A1207))))),0))</f>
        <v>0</v>
      </c>
      <c r="E1207" s="1423">
        <f t="shared" ref="E1207" ca="1" si="1766">IF(D1231="n/a",D1207,IFERROR(IF((OFFSET($C1207,0,$A1207))&lt;0,
MIN(0,D1207-(OFFSET($C1207,0,$A1207)/(OFFSET($C1202,-$A1206,$A1207)))),
MAX(0,D1207-(OFFSET($C1207,0,$A1207)/(OFFSET($C1202,-$A1206,$A1207))))),0))</f>
        <v>0</v>
      </c>
      <c r="F1207" s="1423">
        <f t="shared" ref="F1207:F1208" ca="1" si="1767">IF(E1231="n/a",E1207,IFERROR(IF((OFFSET($C1207,0,$A1207))&lt;0,
MIN(0,E1207-(OFFSET($C1207,0,$A1207)/(OFFSET($C1202,-$A1206,$A1207)))),
MAX(0,E1207-(OFFSET($C1207,0,$A1207)/(OFFSET($C1202,-$A1206,$A1207))))),0))</f>
        <v>0</v>
      </c>
      <c r="G1207" s="1423">
        <f t="shared" ref="G1207:G1209" ca="1" si="1768">IF(F1231="n/a",F1207,IFERROR(IF((OFFSET($C1207,0,$A1207))&lt;0,
MIN(0,F1207-(OFFSET($C1207,0,$A1207)/(OFFSET($C1202,-$A1206,$A1207)))),
MAX(0,F1207-(OFFSET($C1207,0,$A1207)/(OFFSET($C1202,-$A1206,$A1207))))),0))</f>
        <v>0</v>
      </c>
      <c r="H1207" s="1423">
        <f t="shared" ref="H1207:H1210" ca="1" si="1769">IF(G1231="n/a",G1207,IFERROR(IF((OFFSET($C1207,0,$A1207))&lt;0,
MIN(0,G1207-(OFFSET($C1207,0,$A1207)/(OFFSET($C1202,-$A1206,$A1207)))),
MAX(0,G1207-(OFFSET($C1207,0,$A1207)/(OFFSET($C1202,-$A1206,$A1207))))),0))</f>
        <v>0</v>
      </c>
      <c r="I1207" s="1423">
        <f t="shared" ref="I1207:I1211" ca="1" si="1770">IF(H1231="n/a",H1207,IFERROR(IF((OFFSET($C1207,0,$A1207))&lt;0,
MIN(0,H1207-(OFFSET($C1207,0,$A1207)/(OFFSET($C1202,-$A1206,$A1207)))),
MAX(0,H1207-(OFFSET($C1207,0,$A1207)/(OFFSET($C1202,-$A1206,$A1207))))),0))</f>
        <v>0</v>
      </c>
      <c r="J1207" s="1423">
        <f t="shared" ref="J1207:J1212" ca="1" si="1771">IF(I1231="n/a",I1207,IFERROR(IF((OFFSET($C1207,0,$A1207))&lt;0,
MIN(0,I1207-(OFFSET($C1207,0,$A1207)/(OFFSET($C1202,-$A1206,$A1207)))),
MAX(0,I1207-(OFFSET($C1207,0,$A1207)/(OFFSET($C1202,-$A1206,$A1207))))),0))</f>
        <v>0</v>
      </c>
      <c r="K1207" s="1423">
        <f t="shared" ref="K1207:K1213" ca="1" si="1772">IF(J1231="n/a",J1207,IFERROR(IF((OFFSET($C1207,0,$A1207))&lt;0,
MIN(0,J1207-(OFFSET($C1207,0,$A1207)/(OFFSET($C1202,-$A1206,$A1207)))),
MAX(0,J1207-(OFFSET($C1207,0,$A1207)/(OFFSET($C1202,-$A1206,$A1207))))),0))</f>
        <v>0</v>
      </c>
      <c r="L1207" s="1423">
        <f t="shared" ref="L1207:L1214" ca="1" si="1773">IF(K1231="n/a",K1207,IFERROR(IF((OFFSET($C1207,0,$A1207))&lt;0,
MIN(0,K1207-(OFFSET($C1207,0,$A1207)/(OFFSET($C1202,-$A1206,$A1207)))),
MAX(0,K1207-(OFFSET($C1207,0,$A1207)/(OFFSET($C1202,-$A1206,$A1207))))),0))</f>
        <v>0</v>
      </c>
      <c r="M1207" s="1423">
        <f t="shared" ref="M1207:M1215" ca="1" si="1774">IF(L1231="n/a",L1207,IFERROR(IF((OFFSET($C1207,0,$A1207))&lt;0,
MIN(0,L1207-(OFFSET($C1207,0,$A1207)/(OFFSET($C1202,-$A1206,$A1207)))),
MAX(0,L1207-(OFFSET($C1207,0,$A1207)/(OFFSET($C1202,-$A1206,$A1207))))),0))</f>
        <v>0</v>
      </c>
      <c r="N1207" s="1423">
        <f t="shared" ref="N1207:N1216" ca="1" si="1775">IF(M1231="n/a",M1207,IFERROR(IF((OFFSET($C1207,0,$A1207))&lt;0,
MIN(0,M1207-(OFFSET($C1207,0,$A1207)/(OFFSET($C1202,-$A1206,$A1207)))),
MAX(0,M1207-(OFFSET($C1207,0,$A1207)/(OFFSET($C1202,-$A1206,$A1207))))),0))</f>
        <v>0</v>
      </c>
      <c r="O1207" s="1423">
        <f t="shared" ref="O1207:O1217" ca="1" si="1776">IF(N1231="n/a",N1207,IFERROR(IF((OFFSET($C1207,0,$A1207))&lt;0,
MIN(0,N1207-(OFFSET($C1207,0,$A1207)/(OFFSET($C1202,-$A1206,$A1207)))),
MAX(0,N1207-(OFFSET($C1207,0,$A1207)/(OFFSET($C1202,-$A1206,$A1207))))),0))</f>
        <v>0</v>
      </c>
      <c r="P1207" s="1423">
        <f t="shared" ref="P1207:P1218" ca="1" si="1777">IF(O1231="n/a",O1207,IFERROR(IF((OFFSET($C1207,0,$A1207))&lt;0,
MIN(0,O1207-(OFFSET($C1207,0,$A1207)/(OFFSET($C1202,-$A1206,$A1207)))),
MAX(0,O1207-(OFFSET($C1207,0,$A1207)/(OFFSET($C1202,-$A1206,$A1207))))),0))</f>
        <v>0</v>
      </c>
      <c r="Q1207" s="1423">
        <f t="shared" ref="Q1207:Q1219" ca="1" si="1778">IF(P1231="n/a",P1207,IFERROR(IF((OFFSET($C1207,0,$A1207))&lt;0,
MIN(0,P1207-(OFFSET($C1207,0,$A1207)/(OFFSET($C1202,-$A1206,$A1207)))),
MAX(0,P1207-(OFFSET($C1207,0,$A1207)/(OFFSET($C1202,-$A1206,$A1207))))),0))</f>
        <v>0</v>
      </c>
      <c r="R1207" s="1423">
        <f t="shared" ref="R1207:R1220" ca="1" si="1779">IF(Q1231="n/a",Q1207,IFERROR(IF((OFFSET($C1207,0,$A1207))&lt;0,
MIN(0,Q1207-(OFFSET($C1207,0,$A1207)/(OFFSET($C1202,-$A1206,$A1207)))),
MAX(0,Q1207-(OFFSET($C1207,0,$A1207)/(OFFSET($C1202,-$A1206,$A1207))))),0))</f>
        <v>0</v>
      </c>
      <c r="S1207" s="1423">
        <f t="shared" ref="S1207:S1221" ca="1" si="1780">IF(R1231="n/a",R1207,IFERROR(IF((OFFSET($C1207,0,$A1207))&lt;0,
MIN(0,R1207-(OFFSET($C1207,0,$A1207)/(OFFSET($C1202,-$A1206,$A1207)))),
MAX(0,R1207-(OFFSET($C1207,0,$A1207)/(OFFSET($C1202,-$A1206,$A1207))))),0))</f>
        <v>0</v>
      </c>
      <c r="T1207" s="1423">
        <f t="shared" ref="T1207:T1222" ca="1" si="1781">IF(S1231="n/a",S1207,IFERROR(IF((OFFSET($C1207,0,$A1207))&lt;0,
MIN(0,S1207-(OFFSET($C1207,0,$A1207)/(OFFSET($C1202,-$A1206,$A1207)))),
MAX(0,S1207-(OFFSET($C1207,0,$A1207)/(OFFSET($C1202,-$A1206,$A1207))))),0))</f>
        <v>0</v>
      </c>
      <c r="U1207" s="1423">
        <f t="shared" ref="U1207:U1223" ca="1" si="1782">IF(T1231="n/a",T1207,IFERROR(IF((OFFSET($C1207,0,$A1207))&lt;0,
MIN(0,T1207-(OFFSET($C1207,0,$A1207)/(OFFSET($C1202,-$A1206,$A1207)))),
MAX(0,T1207-(OFFSET($C1207,0,$A1207)/(OFFSET($C1202,-$A1206,$A1207))))),0))</f>
        <v>0</v>
      </c>
      <c r="V1207" s="1423">
        <f t="shared" ref="V1207:V1224" ca="1" si="1783">IF(U1231="n/a",U1207,IFERROR(IF((OFFSET($C1207,0,$A1207))&lt;0,
MIN(0,U1207-(OFFSET($C1207,0,$A1207)/(OFFSET($C1202,-$A1206,$A1207)))),
MAX(0,U1207-(OFFSET($C1207,0,$A1207)/(OFFSET($C1202,-$A1206,$A1207))))),0))</f>
        <v>0</v>
      </c>
      <c r="W1207" s="1423">
        <f t="shared" ref="W1207:W1225" ca="1" si="1784">IF(V1231="n/a",V1207,IFERROR(IF((OFFSET($C1207,0,$A1207))&lt;0,
MIN(0,V1207-(OFFSET($C1207,0,$A1207)/(OFFSET($C1202,-$A1206,$A1207)))),
MAX(0,V1207-(OFFSET($C1207,0,$A1207)/(OFFSET($C1202,-$A1206,$A1207))))),0))</f>
        <v>0</v>
      </c>
      <c r="X1207" s="152"/>
      <c r="Y1207" s="152"/>
      <c r="Z1207" s="152"/>
      <c r="AA1207" s="152"/>
      <c r="AB1207" s="152"/>
    </row>
    <row r="1208" spans="1:28" hidden="1" outlineLevel="1">
      <c r="A1208" s="199">
        <f t="shared" ref="A1208:A1227" si="1785">A1207+1</f>
        <v>1</v>
      </c>
      <c r="B1208" s="190" t="str">
        <f t="shared" ref="B1208:B1226" ca="1" si="1786">"Depreciated Net Capex "&amp;OFFSET($C$6,0,A1208)</f>
        <v>Depreciated Net Capex 2016-17</v>
      </c>
      <c r="C1208" s="1424"/>
      <c r="D1208" s="1425">
        <f>(D1202*((1+D$11)^0.5)/D$10)</f>
        <v>0</v>
      </c>
      <c r="E1208" s="1423">
        <f ca="1">IF(D1232="n/a",D1208,IFERROR(IF((OFFSET($C1208,0,$A1208))&lt;0,
MIN(0,D1208-(OFFSET($C1208,0,$A1208)/(OFFSET($C1203,-$A1207,$A1208)))),
MAX(0,D1208-(OFFSET($C1208,0,$A1208)/(OFFSET($C1203,-$A1207,$A1208))))),0))</f>
        <v>0</v>
      </c>
      <c r="F1208" s="1423">
        <f t="shared" ca="1" si="1767"/>
        <v>0</v>
      </c>
      <c r="G1208" s="1423">
        <f t="shared" ca="1" si="1768"/>
        <v>0</v>
      </c>
      <c r="H1208" s="1423">
        <f t="shared" ca="1" si="1769"/>
        <v>0</v>
      </c>
      <c r="I1208" s="1423">
        <f t="shared" ca="1" si="1770"/>
        <v>0</v>
      </c>
      <c r="J1208" s="1423">
        <f t="shared" ca="1" si="1771"/>
        <v>0</v>
      </c>
      <c r="K1208" s="1423">
        <f t="shared" ca="1" si="1772"/>
        <v>0</v>
      </c>
      <c r="L1208" s="1423">
        <f t="shared" ca="1" si="1773"/>
        <v>0</v>
      </c>
      <c r="M1208" s="1423">
        <f t="shared" ca="1" si="1774"/>
        <v>0</v>
      </c>
      <c r="N1208" s="1423">
        <f t="shared" ca="1" si="1775"/>
        <v>0</v>
      </c>
      <c r="O1208" s="1423">
        <f t="shared" ca="1" si="1776"/>
        <v>0</v>
      </c>
      <c r="P1208" s="1423">
        <f t="shared" ca="1" si="1777"/>
        <v>0</v>
      </c>
      <c r="Q1208" s="1423">
        <f t="shared" ca="1" si="1778"/>
        <v>0</v>
      </c>
      <c r="R1208" s="1423">
        <f t="shared" ca="1" si="1779"/>
        <v>0</v>
      </c>
      <c r="S1208" s="1423">
        <f t="shared" ca="1" si="1780"/>
        <v>0</v>
      </c>
      <c r="T1208" s="1423">
        <f t="shared" ca="1" si="1781"/>
        <v>0</v>
      </c>
      <c r="U1208" s="1423">
        <f t="shared" ca="1" si="1782"/>
        <v>0</v>
      </c>
      <c r="V1208" s="1423">
        <f t="shared" ca="1" si="1783"/>
        <v>0</v>
      </c>
      <c r="W1208" s="1423">
        <f t="shared" ca="1" si="1784"/>
        <v>0</v>
      </c>
      <c r="X1208" s="152"/>
      <c r="Y1208" s="152"/>
      <c r="Z1208" s="152"/>
      <c r="AA1208" s="152"/>
      <c r="AB1208" s="152"/>
    </row>
    <row r="1209" spans="1:28" hidden="1" outlineLevel="1">
      <c r="A1209" s="199">
        <f t="shared" si="1785"/>
        <v>2</v>
      </c>
      <c r="B1209" s="190" t="str">
        <f t="shared" ca="1" si="1786"/>
        <v>Depreciated Net Capex 2017-18</v>
      </c>
      <c r="C1209" s="1426"/>
      <c r="D1209" s="1427"/>
      <c r="E1209" s="1425">
        <f>(E1202*((1+E$11)^0.5)/E$10)</f>
        <v>0</v>
      </c>
      <c r="F1209" s="1423">
        <f ca="1">IF(E1233="n/a",E1209,IFERROR(IF((OFFSET($C1209,0,$A1209))&lt;0,
MIN(0,E1209-(OFFSET($C1209,0,$A1209)/(OFFSET($C1204,-$A1208,$A1209)))),
MAX(0,E1209-(OFFSET($C1209,0,$A1209)/(OFFSET($C1204,-$A1208,$A1209))))),0))</f>
        <v>0</v>
      </c>
      <c r="G1209" s="1423">
        <f t="shared" ca="1" si="1768"/>
        <v>0</v>
      </c>
      <c r="H1209" s="1423">
        <f t="shared" ca="1" si="1769"/>
        <v>0</v>
      </c>
      <c r="I1209" s="1423">
        <f t="shared" ca="1" si="1770"/>
        <v>0</v>
      </c>
      <c r="J1209" s="1423">
        <f t="shared" ca="1" si="1771"/>
        <v>0</v>
      </c>
      <c r="K1209" s="1423">
        <f t="shared" ca="1" si="1772"/>
        <v>0</v>
      </c>
      <c r="L1209" s="1423">
        <f t="shared" ca="1" si="1773"/>
        <v>0</v>
      </c>
      <c r="M1209" s="1423">
        <f t="shared" ca="1" si="1774"/>
        <v>0</v>
      </c>
      <c r="N1209" s="1423">
        <f t="shared" ca="1" si="1775"/>
        <v>0</v>
      </c>
      <c r="O1209" s="1423">
        <f t="shared" ca="1" si="1776"/>
        <v>0</v>
      </c>
      <c r="P1209" s="1423">
        <f t="shared" ca="1" si="1777"/>
        <v>0</v>
      </c>
      <c r="Q1209" s="1423">
        <f t="shared" ca="1" si="1778"/>
        <v>0</v>
      </c>
      <c r="R1209" s="1423">
        <f t="shared" ca="1" si="1779"/>
        <v>0</v>
      </c>
      <c r="S1209" s="1423">
        <f t="shared" ca="1" si="1780"/>
        <v>0</v>
      </c>
      <c r="T1209" s="1423">
        <f t="shared" ca="1" si="1781"/>
        <v>0</v>
      </c>
      <c r="U1209" s="1423">
        <f t="shared" ca="1" si="1782"/>
        <v>0</v>
      </c>
      <c r="V1209" s="1423">
        <f t="shared" ca="1" si="1783"/>
        <v>0</v>
      </c>
      <c r="W1209" s="1423">
        <f t="shared" ca="1" si="1784"/>
        <v>0</v>
      </c>
      <c r="X1209" s="202"/>
      <c r="Y1209" s="152"/>
      <c r="Z1209" s="152"/>
      <c r="AA1209" s="152"/>
      <c r="AB1209" s="152"/>
    </row>
    <row r="1210" spans="1:28" hidden="1" outlineLevel="1">
      <c r="A1210" s="199">
        <f t="shared" si="1785"/>
        <v>3</v>
      </c>
      <c r="B1210" s="190" t="str">
        <f t="shared" ca="1" si="1786"/>
        <v>Depreciated Net Capex 2018-19</v>
      </c>
      <c r="C1210" s="1426"/>
      <c r="D1210" s="1426"/>
      <c r="E1210" s="1427"/>
      <c r="F1210" s="1428">
        <f>($F1202*((1+F$11)^0.5)/F$10)</f>
        <v>0</v>
      </c>
      <c r="G1210" s="1423">
        <f ca="1">IF(F1234="n/a",F1210,IFERROR(IF((OFFSET($C1210,0,$A1210))&lt;0,
MIN(0,F1210-(OFFSET($C1210,0,$A1210)/(OFFSET($C1205,-$A1209,$A1210)))),
MAX(0,F1210-(OFFSET($C1210,0,$A1210)/(OFFSET($C1205,-$A1209,$A1210))))),0))</f>
        <v>0</v>
      </c>
      <c r="H1210" s="1423">
        <f t="shared" ca="1" si="1769"/>
        <v>0</v>
      </c>
      <c r="I1210" s="1423">
        <f t="shared" ca="1" si="1770"/>
        <v>0</v>
      </c>
      <c r="J1210" s="1423">
        <f t="shared" ca="1" si="1771"/>
        <v>0</v>
      </c>
      <c r="K1210" s="1423">
        <f t="shared" ca="1" si="1772"/>
        <v>0</v>
      </c>
      <c r="L1210" s="1423">
        <f t="shared" ca="1" si="1773"/>
        <v>0</v>
      </c>
      <c r="M1210" s="1423">
        <f t="shared" ca="1" si="1774"/>
        <v>0</v>
      </c>
      <c r="N1210" s="1423">
        <f t="shared" ca="1" si="1775"/>
        <v>0</v>
      </c>
      <c r="O1210" s="1423">
        <f t="shared" ca="1" si="1776"/>
        <v>0</v>
      </c>
      <c r="P1210" s="1423">
        <f t="shared" ca="1" si="1777"/>
        <v>0</v>
      </c>
      <c r="Q1210" s="1423">
        <f t="shared" ca="1" si="1778"/>
        <v>0</v>
      </c>
      <c r="R1210" s="1423">
        <f t="shared" ca="1" si="1779"/>
        <v>0</v>
      </c>
      <c r="S1210" s="1423">
        <f t="shared" ca="1" si="1780"/>
        <v>0</v>
      </c>
      <c r="T1210" s="1423">
        <f t="shared" ca="1" si="1781"/>
        <v>0</v>
      </c>
      <c r="U1210" s="1423">
        <f t="shared" ca="1" si="1782"/>
        <v>0</v>
      </c>
      <c r="V1210" s="1423">
        <f t="shared" ca="1" si="1783"/>
        <v>0</v>
      </c>
      <c r="W1210" s="1423">
        <f t="shared" ca="1" si="1784"/>
        <v>0</v>
      </c>
      <c r="X1210" s="202"/>
      <c r="Y1210" s="202"/>
      <c r="Z1210" s="152"/>
      <c r="AA1210" s="152"/>
      <c r="AB1210" s="152"/>
    </row>
    <row r="1211" spans="1:28" hidden="1" outlineLevel="1">
      <c r="A1211" s="199">
        <f t="shared" si="1785"/>
        <v>4</v>
      </c>
      <c r="B1211" s="190" t="str">
        <f t="shared" ca="1" si="1786"/>
        <v>Depreciated Net Capex 2019-20</v>
      </c>
      <c r="C1211" s="1426"/>
      <c r="D1211" s="1426"/>
      <c r="E1211" s="1426"/>
      <c r="F1211" s="1427"/>
      <c r="G1211" s="1428">
        <f>($G1202*((1+G$11)^0.5)/G$10)</f>
        <v>0</v>
      </c>
      <c r="H1211" s="1423">
        <f ca="1">IF(G1235="n/a",G1211,IFERROR(IF((OFFSET($C1211,0,$A1211))&lt;0,
MIN(0,G1211-(OFFSET($C1211,0,$A1211)/(OFFSET($C1206,-$A1210,$A1211)))),
MAX(0,G1211-(OFFSET($C1211,0,$A1211)/(OFFSET($C1206,-$A1210,$A1211))))),0))</f>
        <v>0</v>
      </c>
      <c r="I1211" s="1423">
        <f t="shared" ca="1" si="1770"/>
        <v>0</v>
      </c>
      <c r="J1211" s="1423">
        <f t="shared" ca="1" si="1771"/>
        <v>0</v>
      </c>
      <c r="K1211" s="1423">
        <f t="shared" ca="1" si="1772"/>
        <v>0</v>
      </c>
      <c r="L1211" s="1423">
        <f t="shared" ca="1" si="1773"/>
        <v>0</v>
      </c>
      <c r="M1211" s="1423">
        <f t="shared" ca="1" si="1774"/>
        <v>0</v>
      </c>
      <c r="N1211" s="1423">
        <f t="shared" ca="1" si="1775"/>
        <v>0</v>
      </c>
      <c r="O1211" s="1423">
        <f t="shared" ca="1" si="1776"/>
        <v>0</v>
      </c>
      <c r="P1211" s="1423">
        <f t="shared" ca="1" si="1777"/>
        <v>0</v>
      </c>
      <c r="Q1211" s="1423">
        <f t="shared" ca="1" si="1778"/>
        <v>0</v>
      </c>
      <c r="R1211" s="1423">
        <f t="shared" ca="1" si="1779"/>
        <v>0</v>
      </c>
      <c r="S1211" s="1423">
        <f t="shared" ca="1" si="1780"/>
        <v>0</v>
      </c>
      <c r="T1211" s="1423">
        <f t="shared" ca="1" si="1781"/>
        <v>0</v>
      </c>
      <c r="U1211" s="1423">
        <f t="shared" ca="1" si="1782"/>
        <v>0</v>
      </c>
      <c r="V1211" s="1423">
        <f t="shared" ca="1" si="1783"/>
        <v>0</v>
      </c>
      <c r="W1211" s="1423">
        <f t="shared" ca="1" si="1784"/>
        <v>0</v>
      </c>
      <c r="X1211" s="202"/>
      <c r="Y1211" s="202"/>
      <c r="Z1211" s="202"/>
      <c r="AA1211" s="152"/>
      <c r="AB1211" s="152"/>
    </row>
    <row r="1212" spans="1:28" hidden="1" outlineLevel="1">
      <c r="A1212" s="199">
        <f t="shared" si="1785"/>
        <v>5</v>
      </c>
      <c r="B1212" s="190" t="str">
        <f t="shared" ca="1" si="1786"/>
        <v>Depreciated Net Capex 2020-21</v>
      </c>
      <c r="C1212" s="1426"/>
      <c r="D1212" s="1426"/>
      <c r="E1212" s="1426"/>
      <c r="F1212" s="1426"/>
      <c r="G1212" s="1427"/>
      <c r="H1212" s="1428">
        <f>(H1202*((1+H$11)^0.5)/H$10)</f>
        <v>0</v>
      </c>
      <c r="I1212" s="1423">
        <f ca="1">IF(H1236="n/a",H1212,IFERROR(IF((OFFSET($C1212,0,$A1212))&lt;0,
MIN(0,H1212-(OFFSET($C1212,0,$A1212)/(OFFSET($C1207,-$A1211,$A1212)))),
MAX(0,H1212-(OFFSET($C1212,0,$A1212)/(OFFSET($C1207,-$A1211,$A1212))))),0))</f>
        <v>0</v>
      </c>
      <c r="J1212" s="1423">
        <f t="shared" ca="1" si="1771"/>
        <v>0</v>
      </c>
      <c r="K1212" s="1423">
        <f t="shared" ca="1" si="1772"/>
        <v>0</v>
      </c>
      <c r="L1212" s="1423">
        <f t="shared" ca="1" si="1773"/>
        <v>0</v>
      </c>
      <c r="M1212" s="1423">
        <f t="shared" ca="1" si="1774"/>
        <v>0</v>
      </c>
      <c r="N1212" s="1423">
        <f t="shared" ca="1" si="1775"/>
        <v>0</v>
      </c>
      <c r="O1212" s="1423">
        <f t="shared" ca="1" si="1776"/>
        <v>0</v>
      </c>
      <c r="P1212" s="1423">
        <f t="shared" ca="1" si="1777"/>
        <v>0</v>
      </c>
      <c r="Q1212" s="1423">
        <f t="shared" ca="1" si="1778"/>
        <v>0</v>
      </c>
      <c r="R1212" s="1423">
        <f t="shared" ca="1" si="1779"/>
        <v>0</v>
      </c>
      <c r="S1212" s="1423">
        <f t="shared" ca="1" si="1780"/>
        <v>0</v>
      </c>
      <c r="T1212" s="1423">
        <f t="shared" ca="1" si="1781"/>
        <v>0</v>
      </c>
      <c r="U1212" s="1423">
        <f t="shared" ca="1" si="1782"/>
        <v>0</v>
      </c>
      <c r="V1212" s="1423">
        <f t="shared" ca="1" si="1783"/>
        <v>0</v>
      </c>
      <c r="W1212" s="1423">
        <f t="shared" ca="1" si="1784"/>
        <v>0</v>
      </c>
      <c r="X1212" s="202"/>
      <c r="Y1212" s="202"/>
      <c r="Z1212" s="202"/>
      <c r="AA1212" s="152"/>
      <c r="AB1212" s="152"/>
    </row>
    <row r="1213" spans="1:28" hidden="1" outlineLevel="1">
      <c r="A1213" s="199">
        <f t="shared" si="1785"/>
        <v>6</v>
      </c>
      <c r="B1213" s="190" t="str">
        <f t="shared" ca="1" si="1786"/>
        <v>Depreciated Net Capex 2021-22</v>
      </c>
      <c r="C1213" s="1426"/>
      <c r="D1213" s="1426"/>
      <c r="E1213" s="1426"/>
      <c r="F1213" s="1426"/>
      <c r="G1213" s="1426"/>
      <c r="H1213" s="1427"/>
      <c r="I1213" s="1428">
        <f>(I1202*((1+I$11)^0.5)/I$10)</f>
        <v>0</v>
      </c>
      <c r="J1213" s="1423">
        <f ca="1">IF(I1237="n/a",I1213,IFERROR(IF((OFFSET($C1213,0,$A1213))&lt;0,
MIN(0,I1213-(OFFSET($C1213,0,$A1213)/(OFFSET($C1208,-$A1212,$A1213)))),
MAX(0,I1213-(OFFSET($C1213,0,$A1213)/(OFFSET($C1208,-$A1212,$A1213))))),0))</f>
        <v>0</v>
      </c>
      <c r="K1213" s="1423">
        <f t="shared" ca="1" si="1772"/>
        <v>0</v>
      </c>
      <c r="L1213" s="1423">
        <f t="shared" ca="1" si="1773"/>
        <v>0</v>
      </c>
      <c r="M1213" s="1423">
        <f t="shared" ca="1" si="1774"/>
        <v>0</v>
      </c>
      <c r="N1213" s="1423">
        <f t="shared" ca="1" si="1775"/>
        <v>0</v>
      </c>
      <c r="O1213" s="1423">
        <f t="shared" ca="1" si="1776"/>
        <v>0</v>
      </c>
      <c r="P1213" s="1423">
        <f t="shared" ca="1" si="1777"/>
        <v>0</v>
      </c>
      <c r="Q1213" s="1423">
        <f t="shared" ca="1" si="1778"/>
        <v>0</v>
      </c>
      <c r="R1213" s="1423">
        <f t="shared" ca="1" si="1779"/>
        <v>0</v>
      </c>
      <c r="S1213" s="1423">
        <f t="shared" ca="1" si="1780"/>
        <v>0</v>
      </c>
      <c r="T1213" s="1423">
        <f t="shared" ca="1" si="1781"/>
        <v>0</v>
      </c>
      <c r="U1213" s="1423">
        <f t="shared" ca="1" si="1782"/>
        <v>0</v>
      </c>
      <c r="V1213" s="1423">
        <f t="shared" ca="1" si="1783"/>
        <v>0</v>
      </c>
      <c r="W1213" s="1423">
        <f t="shared" ca="1" si="1784"/>
        <v>0</v>
      </c>
      <c r="X1213" s="202"/>
      <c r="Y1213" s="202"/>
      <c r="Z1213" s="202"/>
      <c r="AA1213" s="152"/>
      <c r="AB1213" s="152"/>
    </row>
    <row r="1214" spans="1:28" hidden="1" outlineLevel="1">
      <c r="A1214" s="199">
        <f t="shared" si="1785"/>
        <v>7</v>
      </c>
      <c r="B1214" s="190" t="str">
        <f t="shared" ca="1" si="1786"/>
        <v>Depreciated Net Capex 2022-23</v>
      </c>
      <c r="C1214" s="1426"/>
      <c r="D1214" s="1426"/>
      <c r="E1214" s="1426"/>
      <c r="F1214" s="1426"/>
      <c r="G1214" s="1426"/>
      <c r="H1214" s="1426"/>
      <c r="I1214" s="1427"/>
      <c r="J1214" s="1428">
        <f>(J1202*((1+J$11)^0.5)/J$10)</f>
        <v>0</v>
      </c>
      <c r="K1214" s="1423">
        <f ca="1">IF(J1238="n/a",J1214,IFERROR(IF((OFFSET($C1214,0,$A1214))&lt;0,
MIN(0,J1214-(OFFSET($C1214,0,$A1214)/(OFFSET($C1209,-$A1213,$A1214)))),
MAX(0,J1214-(OFFSET($C1214,0,$A1214)/(OFFSET($C1209,-$A1213,$A1214))))),0))</f>
        <v>0</v>
      </c>
      <c r="L1214" s="1423">
        <f t="shared" ca="1" si="1773"/>
        <v>0</v>
      </c>
      <c r="M1214" s="1423">
        <f t="shared" ca="1" si="1774"/>
        <v>0</v>
      </c>
      <c r="N1214" s="1423">
        <f t="shared" ca="1" si="1775"/>
        <v>0</v>
      </c>
      <c r="O1214" s="1423">
        <f t="shared" ca="1" si="1776"/>
        <v>0</v>
      </c>
      <c r="P1214" s="1423">
        <f t="shared" ca="1" si="1777"/>
        <v>0</v>
      </c>
      <c r="Q1214" s="1423">
        <f t="shared" ca="1" si="1778"/>
        <v>0</v>
      </c>
      <c r="R1214" s="1423">
        <f t="shared" ca="1" si="1779"/>
        <v>0</v>
      </c>
      <c r="S1214" s="1423">
        <f t="shared" ca="1" si="1780"/>
        <v>0</v>
      </c>
      <c r="T1214" s="1423">
        <f t="shared" ca="1" si="1781"/>
        <v>0</v>
      </c>
      <c r="U1214" s="1423">
        <f t="shared" ca="1" si="1782"/>
        <v>0</v>
      </c>
      <c r="V1214" s="1423">
        <f t="shared" ca="1" si="1783"/>
        <v>0</v>
      </c>
      <c r="W1214" s="1423">
        <f t="shared" ca="1" si="1784"/>
        <v>0</v>
      </c>
      <c r="X1214" s="202"/>
      <c r="Y1214" s="202"/>
      <c r="Z1214" s="202"/>
      <c r="AA1214" s="152"/>
      <c r="AB1214" s="152"/>
    </row>
    <row r="1215" spans="1:28" hidden="1" outlineLevel="1">
      <c r="A1215" s="199">
        <f t="shared" si="1785"/>
        <v>8</v>
      </c>
      <c r="B1215" s="190" t="str">
        <f t="shared" ca="1" si="1786"/>
        <v>Depreciated Net Capex 2023-24</v>
      </c>
      <c r="C1215" s="1426"/>
      <c r="D1215" s="1426"/>
      <c r="E1215" s="1426"/>
      <c r="F1215" s="1426"/>
      <c r="G1215" s="1426"/>
      <c r="H1215" s="1426"/>
      <c r="I1215" s="1426"/>
      <c r="J1215" s="1427"/>
      <c r="K1215" s="1428">
        <f>(K1202*((1+K$11)^0.5)/K$10)</f>
        <v>0</v>
      </c>
      <c r="L1215" s="1423">
        <f ca="1">IF(K1239="n/a",K1215,IFERROR(IF((OFFSET($C1215,0,$A1215))&lt;0,
MIN(0,K1215-(OFFSET($C1215,0,$A1215)/(OFFSET($C1210,-$A1214,$A1215)))),
MAX(0,K1215-(OFFSET($C1215,0,$A1215)/(OFFSET($C1210,-$A1214,$A1215))))),0))</f>
        <v>0</v>
      </c>
      <c r="M1215" s="1423">
        <f t="shared" ca="1" si="1774"/>
        <v>0</v>
      </c>
      <c r="N1215" s="1423">
        <f t="shared" ca="1" si="1775"/>
        <v>0</v>
      </c>
      <c r="O1215" s="1423">
        <f t="shared" ca="1" si="1776"/>
        <v>0</v>
      </c>
      <c r="P1215" s="1423">
        <f t="shared" ca="1" si="1777"/>
        <v>0</v>
      </c>
      <c r="Q1215" s="1423">
        <f t="shared" ca="1" si="1778"/>
        <v>0</v>
      </c>
      <c r="R1215" s="1423">
        <f t="shared" ca="1" si="1779"/>
        <v>0</v>
      </c>
      <c r="S1215" s="1423">
        <f t="shared" ca="1" si="1780"/>
        <v>0</v>
      </c>
      <c r="T1215" s="1423">
        <f t="shared" ca="1" si="1781"/>
        <v>0</v>
      </c>
      <c r="U1215" s="1423">
        <f t="shared" ca="1" si="1782"/>
        <v>0</v>
      </c>
      <c r="V1215" s="1423">
        <f t="shared" ca="1" si="1783"/>
        <v>0</v>
      </c>
      <c r="W1215" s="1423">
        <f t="shared" ca="1" si="1784"/>
        <v>0</v>
      </c>
      <c r="X1215" s="202"/>
      <c r="Y1215" s="202"/>
      <c r="Z1215" s="202"/>
      <c r="AA1215" s="152"/>
      <c r="AB1215" s="152"/>
    </row>
    <row r="1216" spans="1:28" hidden="1" outlineLevel="1">
      <c r="A1216" s="199">
        <f t="shared" si="1785"/>
        <v>9</v>
      </c>
      <c r="B1216" s="190" t="str">
        <f t="shared" ca="1" si="1786"/>
        <v>Depreciated Net Capex 2024-25</v>
      </c>
      <c r="C1216" s="1426"/>
      <c r="D1216" s="1426"/>
      <c r="E1216" s="1426"/>
      <c r="F1216" s="1426"/>
      <c r="G1216" s="1426"/>
      <c r="H1216" s="1426"/>
      <c r="I1216" s="1426"/>
      <c r="J1216" s="1426"/>
      <c r="K1216" s="1427"/>
      <c r="L1216" s="1428">
        <f>(L1202*((1+L$11)^0.5)/L$10)</f>
        <v>0</v>
      </c>
      <c r="M1216" s="1423">
        <f ca="1">IF(L1240="n/a",L1216,IFERROR(IF((OFFSET($C1216,0,$A1216))&lt;0,
MIN(0,L1216-(OFFSET($C1216,0,$A1216)/(OFFSET($C1211,-$A1215,$A1216)))),
MAX(0,L1216-(OFFSET($C1216,0,$A1216)/(OFFSET($C1211,-$A1215,$A1216))))),0))</f>
        <v>0</v>
      </c>
      <c r="N1216" s="1423">
        <f t="shared" ca="1" si="1775"/>
        <v>0</v>
      </c>
      <c r="O1216" s="1423">
        <f t="shared" ca="1" si="1776"/>
        <v>0</v>
      </c>
      <c r="P1216" s="1423">
        <f t="shared" ca="1" si="1777"/>
        <v>0</v>
      </c>
      <c r="Q1216" s="1423">
        <f t="shared" ca="1" si="1778"/>
        <v>0</v>
      </c>
      <c r="R1216" s="1423">
        <f t="shared" ca="1" si="1779"/>
        <v>0</v>
      </c>
      <c r="S1216" s="1423">
        <f t="shared" ca="1" si="1780"/>
        <v>0</v>
      </c>
      <c r="T1216" s="1423">
        <f t="shared" ca="1" si="1781"/>
        <v>0</v>
      </c>
      <c r="U1216" s="1423">
        <f t="shared" ca="1" si="1782"/>
        <v>0</v>
      </c>
      <c r="V1216" s="1423">
        <f t="shared" ca="1" si="1783"/>
        <v>0</v>
      </c>
      <c r="W1216" s="1423">
        <f t="shared" ca="1" si="1784"/>
        <v>0</v>
      </c>
      <c r="X1216" s="202"/>
      <c r="Y1216" s="202"/>
      <c r="Z1216" s="202"/>
      <c r="AA1216" s="152"/>
      <c r="AB1216" s="152"/>
    </row>
    <row r="1217" spans="1:28" hidden="1" outlineLevel="1">
      <c r="A1217" s="199">
        <f t="shared" si="1785"/>
        <v>10</v>
      </c>
      <c r="B1217" s="190" t="str">
        <f t="shared" ca="1" si="1786"/>
        <v>Depreciated Net Capex 2025-26</v>
      </c>
      <c r="C1217" s="1426"/>
      <c r="D1217" s="1426"/>
      <c r="E1217" s="1426"/>
      <c r="F1217" s="1426"/>
      <c r="G1217" s="1426"/>
      <c r="H1217" s="1426"/>
      <c r="I1217" s="1426"/>
      <c r="J1217" s="1426"/>
      <c r="K1217" s="1426"/>
      <c r="L1217" s="1427"/>
      <c r="M1217" s="1428">
        <f>(M1202*((1+M$11)^0.5)/M$10)</f>
        <v>0</v>
      </c>
      <c r="N1217" s="1423">
        <f ca="1">IF(M1241="n/a",M1217,IFERROR(IF((OFFSET($C1217,0,$A1217))&lt;0,
MIN(0,M1217-(OFFSET($C1217,0,$A1217)/(OFFSET($C1212,-$A1216,$A1217)))),
MAX(0,M1217-(OFFSET($C1217,0,$A1217)/(OFFSET($C1212,-$A1216,$A1217))))),0))</f>
        <v>0</v>
      </c>
      <c r="O1217" s="1423">
        <f t="shared" ca="1" si="1776"/>
        <v>0</v>
      </c>
      <c r="P1217" s="1423">
        <f t="shared" ca="1" si="1777"/>
        <v>0</v>
      </c>
      <c r="Q1217" s="1423">
        <f t="shared" ca="1" si="1778"/>
        <v>0</v>
      </c>
      <c r="R1217" s="1423">
        <f t="shared" ca="1" si="1779"/>
        <v>0</v>
      </c>
      <c r="S1217" s="1423">
        <f t="shared" ca="1" si="1780"/>
        <v>0</v>
      </c>
      <c r="T1217" s="1423">
        <f t="shared" ca="1" si="1781"/>
        <v>0</v>
      </c>
      <c r="U1217" s="1423">
        <f t="shared" ca="1" si="1782"/>
        <v>0</v>
      </c>
      <c r="V1217" s="1423">
        <f t="shared" ca="1" si="1783"/>
        <v>0</v>
      </c>
      <c r="W1217" s="1423">
        <f t="shared" ca="1" si="1784"/>
        <v>0</v>
      </c>
      <c r="X1217" s="202"/>
      <c r="Y1217" s="202"/>
      <c r="Z1217" s="202"/>
      <c r="AA1217" s="152"/>
      <c r="AB1217" s="152"/>
    </row>
    <row r="1218" spans="1:28" hidden="1" outlineLevel="1">
      <c r="A1218" s="199">
        <f t="shared" si="1785"/>
        <v>11</v>
      </c>
      <c r="B1218" s="190" t="str">
        <f t="shared" ca="1" si="1786"/>
        <v>Depreciated Net Capex 2026-27</v>
      </c>
      <c r="C1218" s="1426"/>
      <c r="D1218" s="1426"/>
      <c r="E1218" s="1426"/>
      <c r="F1218" s="1426"/>
      <c r="G1218" s="1426"/>
      <c r="H1218" s="1426"/>
      <c r="I1218" s="1426"/>
      <c r="J1218" s="1426"/>
      <c r="K1218" s="1426"/>
      <c r="L1218" s="1426"/>
      <c r="M1218" s="1427"/>
      <c r="N1218" s="1428">
        <f>(N1202*((1+N$11)^0.5)/N$10)</f>
        <v>0</v>
      </c>
      <c r="O1218" s="1423">
        <f ca="1">IF(N1242="n/a",N1218,IFERROR(IF((OFFSET($C1218,0,$A1218))&lt;0,
MIN(0,N1218-(OFFSET($C1218,0,$A1218)/(OFFSET($C1213,-$A1217,$A1218)))),
MAX(0,N1218-(OFFSET($C1218,0,$A1218)/(OFFSET($C1213,-$A1217,$A1218))))),0))</f>
        <v>0</v>
      </c>
      <c r="P1218" s="1423">
        <f t="shared" ca="1" si="1777"/>
        <v>0</v>
      </c>
      <c r="Q1218" s="1423">
        <f t="shared" ca="1" si="1778"/>
        <v>0</v>
      </c>
      <c r="R1218" s="1423">
        <f t="shared" ca="1" si="1779"/>
        <v>0</v>
      </c>
      <c r="S1218" s="1423">
        <f t="shared" ca="1" si="1780"/>
        <v>0</v>
      </c>
      <c r="T1218" s="1423">
        <f t="shared" ca="1" si="1781"/>
        <v>0</v>
      </c>
      <c r="U1218" s="1423">
        <f t="shared" ca="1" si="1782"/>
        <v>0</v>
      </c>
      <c r="V1218" s="1423">
        <f t="shared" ca="1" si="1783"/>
        <v>0</v>
      </c>
      <c r="W1218" s="1423">
        <f t="shared" ca="1" si="1784"/>
        <v>0</v>
      </c>
      <c r="X1218" s="202"/>
      <c r="Y1218" s="202"/>
      <c r="Z1218" s="202"/>
      <c r="AA1218" s="152"/>
      <c r="AB1218" s="152"/>
    </row>
    <row r="1219" spans="1:28" hidden="1" outlineLevel="1">
      <c r="A1219" s="199">
        <f t="shared" si="1785"/>
        <v>12</v>
      </c>
      <c r="B1219" s="190" t="str">
        <f t="shared" ca="1" si="1786"/>
        <v>Depreciated Net Capex 2027-28</v>
      </c>
      <c r="C1219" s="1426"/>
      <c r="D1219" s="1426"/>
      <c r="E1219" s="1426"/>
      <c r="F1219" s="1426"/>
      <c r="G1219" s="1426"/>
      <c r="H1219" s="1426"/>
      <c r="I1219" s="1426"/>
      <c r="J1219" s="1426"/>
      <c r="K1219" s="1426"/>
      <c r="L1219" s="1426"/>
      <c r="M1219" s="1426"/>
      <c r="N1219" s="1427"/>
      <c r="O1219" s="1428">
        <f>(O1202*((1+O$11)^0.5)/O$10)</f>
        <v>0</v>
      </c>
      <c r="P1219" s="1423">
        <f ca="1">IF(O1243="n/a",O1219,IFERROR(IF((OFFSET($C1219,0,$A1219))&lt;0,
MIN(0,O1219-(OFFSET($C1219,0,$A1219)/(OFFSET($C1214,-$A1218,$A1219)))),
MAX(0,O1219-(OFFSET($C1219,0,$A1219)/(OFFSET($C1214,-$A1218,$A1219))))),0))</f>
        <v>0</v>
      </c>
      <c r="Q1219" s="1423">
        <f t="shared" ca="1" si="1778"/>
        <v>0</v>
      </c>
      <c r="R1219" s="1423">
        <f t="shared" ca="1" si="1779"/>
        <v>0</v>
      </c>
      <c r="S1219" s="1423">
        <f t="shared" ca="1" si="1780"/>
        <v>0</v>
      </c>
      <c r="T1219" s="1423">
        <f t="shared" ca="1" si="1781"/>
        <v>0</v>
      </c>
      <c r="U1219" s="1423">
        <f t="shared" ca="1" si="1782"/>
        <v>0</v>
      </c>
      <c r="V1219" s="1423">
        <f t="shared" ca="1" si="1783"/>
        <v>0</v>
      </c>
      <c r="W1219" s="1423">
        <f t="shared" ca="1" si="1784"/>
        <v>0</v>
      </c>
      <c r="X1219" s="202"/>
      <c r="Y1219" s="202"/>
      <c r="Z1219" s="202"/>
      <c r="AA1219" s="152"/>
      <c r="AB1219" s="152"/>
    </row>
    <row r="1220" spans="1:28" hidden="1" outlineLevel="1">
      <c r="A1220" s="199">
        <f t="shared" si="1785"/>
        <v>13</v>
      </c>
      <c r="B1220" s="190" t="str">
        <f t="shared" ca="1" si="1786"/>
        <v>Depreciated Net Capex 2028-29</v>
      </c>
      <c r="C1220" s="1426"/>
      <c r="D1220" s="1426"/>
      <c r="E1220" s="1426"/>
      <c r="F1220" s="1426"/>
      <c r="G1220" s="1426"/>
      <c r="H1220" s="1426"/>
      <c r="I1220" s="1426"/>
      <c r="J1220" s="1426"/>
      <c r="K1220" s="1426"/>
      <c r="L1220" s="1426"/>
      <c r="M1220" s="1426"/>
      <c r="N1220" s="1426"/>
      <c r="O1220" s="1427"/>
      <c r="P1220" s="1428">
        <f>(P1202*((1+P$11)^0.5)/P$10)</f>
        <v>0</v>
      </c>
      <c r="Q1220" s="1423">
        <f ca="1">IF(P1244="n/a",P1220,IFERROR(IF((OFFSET($C1220,0,$A1220))&lt;0,
MIN(0,P1220-(OFFSET($C1220,0,$A1220)/(OFFSET($C1215,-$A1219,$A1220)))),
MAX(0,P1220-(OFFSET($C1220,0,$A1220)/(OFFSET($C1215,-$A1219,$A1220))))),0))</f>
        <v>0</v>
      </c>
      <c r="R1220" s="1423">
        <f t="shared" ca="1" si="1779"/>
        <v>0</v>
      </c>
      <c r="S1220" s="1423">
        <f t="shared" ca="1" si="1780"/>
        <v>0</v>
      </c>
      <c r="T1220" s="1423">
        <f t="shared" ca="1" si="1781"/>
        <v>0</v>
      </c>
      <c r="U1220" s="1423">
        <f t="shared" ca="1" si="1782"/>
        <v>0</v>
      </c>
      <c r="V1220" s="1423">
        <f t="shared" ca="1" si="1783"/>
        <v>0</v>
      </c>
      <c r="W1220" s="1423">
        <f t="shared" ca="1" si="1784"/>
        <v>0</v>
      </c>
      <c r="X1220" s="202"/>
      <c r="Y1220" s="202"/>
      <c r="Z1220" s="202"/>
      <c r="AA1220" s="152"/>
      <c r="AB1220" s="152"/>
    </row>
    <row r="1221" spans="1:28" hidden="1" outlineLevel="1">
      <c r="A1221" s="199">
        <f t="shared" si="1785"/>
        <v>14</v>
      </c>
      <c r="B1221" s="190" t="str">
        <f t="shared" ca="1" si="1786"/>
        <v>Depreciated Net Capex 2029-30</v>
      </c>
      <c r="C1221" s="1426"/>
      <c r="D1221" s="1426"/>
      <c r="E1221" s="1426"/>
      <c r="F1221" s="1426"/>
      <c r="G1221" s="1426"/>
      <c r="H1221" s="1426"/>
      <c r="I1221" s="1426"/>
      <c r="J1221" s="1426"/>
      <c r="K1221" s="1426"/>
      <c r="L1221" s="1426"/>
      <c r="M1221" s="1426"/>
      <c r="N1221" s="1426"/>
      <c r="O1221" s="1426"/>
      <c r="P1221" s="1427"/>
      <c r="Q1221" s="1428">
        <f>(Q1202*((1+Q$11)^0.5)/Q$10)</f>
        <v>0</v>
      </c>
      <c r="R1221" s="1423">
        <f ca="1">IF(Q1245="n/a",Q1221,IFERROR(IF((OFFSET($C1221,0,$A1221))&lt;0,
MIN(0,Q1221-(OFFSET($C1221,0,$A1221)/(OFFSET($C1216,-$A1220,$A1221)))),
MAX(0,Q1221-(OFFSET($C1221,0,$A1221)/(OFFSET($C1216,-$A1220,$A1221))))),0))</f>
        <v>0</v>
      </c>
      <c r="S1221" s="1423">
        <f t="shared" ca="1" si="1780"/>
        <v>0</v>
      </c>
      <c r="T1221" s="1423">
        <f t="shared" ca="1" si="1781"/>
        <v>0</v>
      </c>
      <c r="U1221" s="1423">
        <f t="shared" ca="1" si="1782"/>
        <v>0</v>
      </c>
      <c r="V1221" s="1423">
        <f t="shared" ca="1" si="1783"/>
        <v>0</v>
      </c>
      <c r="W1221" s="1423">
        <f t="shared" ca="1" si="1784"/>
        <v>0</v>
      </c>
      <c r="X1221" s="202"/>
      <c r="Y1221" s="202"/>
      <c r="Z1221" s="202"/>
      <c r="AA1221" s="152"/>
      <c r="AB1221" s="152"/>
    </row>
    <row r="1222" spans="1:28" hidden="1" outlineLevel="1">
      <c r="A1222" s="199">
        <f t="shared" si="1785"/>
        <v>15</v>
      </c>
      <c r="B1222" s="190" t="str">
        <f t="shared" ca="1" si="1786"/>
        <v>Depreciated Net Capex 2030-31</v>
      </c>
      <c r="C1222" s="1426"/>
      <c r="D1222" s="1426"/>
      <c r="E1222" s="1426"/>
      <c r="F1222" s="1426"/>
      <c r="G1222" s="1426"/>
      <c r="H1222" s="1426"/>
      <c r="I1222" s="1426"/>
      <c r="J1222" s="1426"/>
      <c r="K1222" s="1426"/>
      <c r="L1222" s="1426"/>
      <c r="M1222" s="1426"/>
      <c r="N1222" s="1426"/>
      <c r="O1222" s="1426"/>
      <c r="P1222" s="1426"/>
      <c r="Q1222" s="1427"/>
      <c r="R1222" s="1428">
        <f>(R1202*((1+R$11)^0.5)/R$10)</f>
        <v>0</v>
      </c>
      <c r="S1222" s="1423">
        <f ca="1">IF(R1246="n/a",R1222,IFERROR(IF((OFFSET($C1222,0,$A1222))&lt;0,
MIN(0,R1222-(OFFSET($C1222,0,$A1222)/(OFFSET($C1217,-$A1221,$A1222)))),
MAX(0,R1222-(OFFSET($C1222,0,$A1222)/(OFFSET($C1217,-$A1221,$A1222))))),0))</f>
        <v>0</v>
      </c>
      <c r="T1222" s="1423">
        <f t="shared" ca="1" si="1781"/>
        <v>0</v>
      </c>
      <c r="U1222" s="1423">
        <f t="shared" ca="1" si="1782"/>
        <v>0</v>
      </c>
      <c r="V1222" s="1423">
        <f t="shared" ca="1" si="1783"/>
        <v>0</v>
      </c>
      <c r="W1222" s="1423">
        <f t="shared" ca="1" si="1784"/>
        <v>0</v>
      </c>
      <c r="X1222" s="202"/>
      <c r="Y1222" s="202"/>
      <c r="Z1222" s="202"/>
      <c r="AA1222" s="152"/>
      <c r="AB1222" s="152"/>
    </row>
    <row r="1223" spans="1:28" hidden="1" outlineLevel="1">
      <c r="A1223" s="199">
        <f t="shared" si="1785"/>
        <v>16</v>
      </c>
      <c r="B1223" s="190" t="str">
        <f t="shared" ca="1" si="1786"/>
        <v>Depreciated Net Capex 2031-32</v>
      </c>
      <c r="C1223" s="1426"/>
      <c r="D1223" s="1426"/>
      <c r="E1223" s="1426"/>
      <c r="F1223" s="1426"/>
      <c r="G1223" s="1426"/>
      <c r="H1223" s="1426"/>
      <c r="I1223" s="1426"/>
      <c r="J1223" s="1426"/>
      <c r="K1223" s="1426"/>
      <c r="L1223" s="1426"/>
      <c r="M1223" s="1426"/>
      <c r="N1223" s="1426"/>
      <c r="O1223" s="1426"/>
      <c r="P1223" s="1426"/>
      <c r="Q1223" s="1426"/>
      <c r="R1223" s="1427"/>
      <c r="S1223" s="1428">
        <f>(S1202*((1+S$11)^0.5)/S$10)</f>
        <v>0</v>
      </c>
      <c r="T1223" s="1423">
        <f ca="1">IF(S1247="n/a",S1223,IFERROR(IF((OFFSET($C1223,0,$A1223))&lt;0,
MIN(0,S1223-(OFFSET($C1223,0,$A1223)/(OFFSET($C1218,-$A1222,$A1223)))),
MAX(0,S1223-(OFFSET($C1223,0,$A1223)/(OFFSET($C1218,-$A1222,$A1223))))),0))</f>
        <v>0</v>
      </c>
      <c r="U1223" s="1423">
        <f t="shared" ca="1" si="1782"/>
        <v>0</v>
      </c>
      <c r="V1223" s="1423">
        <f t="shared" ca="1" si="1783"/>
        <v>0</v>
      </c>
      <c r="W1223" s="1423">
        <f t="shared" ca="1" si="1784"/>
        <v>0</v>
      </c>
      <c r="X1223" s="202"/>
      <c r="Y1223" s="202"/>
      <c r="Z1223" s="202"/>
      <c r="AA1223" s="152"/>
      <c r="AB1223" s="152"/>
    </row>
    <row r="1224" spans="1:28" hidden="1" outlineLevel="1">
      <c r="A1224" s="199">
        <f t="shared" si="1785"/>
        <v>17</v>
      </c>
      <c r="B1224" s="190" t="str">
        <f t="shared" ca="1" si="1786"/>
        <v>Depreciated Net Capex 2032-33</v>
      </c>
      <c r="C1224" s="1426"/>
      <c r="D1224" s="1426"/>
      <c r="E1224" s="1426"/>
      <c r="F1224" s="1426"/>
      <c r="G1224" s="1426"/>
      <c r="H1224" s="1426"/>
      <c r="I1224" s="1426"/>
      <c r="J1224" s="1426"/>
      <c r="K1224" s="1426"/>
      <c r="L1224" s="1426"/>
      <c r="M1224" s="1426"/>
      <c r="N1224" s="1426"/>
      <c r="O1224" s="1426"/>
      <c r="P1224" s="1426"/>
      <c r="Q1224" s="1426"/>
      <c r="R1224" s="1426"/>
      <c r="S1224" s="1427"/>
      <c r="T1224" s="1428">
        <f>(T1202*((1+T$11)^0.5)/T$10)</f>
        <v>0</v>
      </c>
      <c r="U1224" s="1423">
        <f ca="1">IF(T1248="n/a",T1224,IFERROR(IF((OFFSET($C1224,0,$A1224))&lt;0,
MIN(0,T1224-(OFFSET($C1224,0,$A1224)/(OFFSET($C1219,-$A1223,$A1224)))),
MAX(0,T1224-(OFFSET($C1224,0,$A1224)/(OFFSET($C1219,-$A1223,$A1224))))),0))</f>
        <v>0</v>
      </c>
      <c r="V1224" s="1423">
        <f t="shared" ca="1" si="1783"/>
        <v>0</v>
      </c>
      <c r="W1224" s="1423">
        <f t="shared" ca="1" si="1784"/>
        <v>0</v>
      </c>
      <c r="X1224" s="202"/>
      <c r="Y1224" s="202"/>
      <c r="Z1224" s="202"/>
      <c r="AA1224" s="152"/>
      <c r="AB1224" s="152"/>
    </row>
    <row r="1225" spans="1:28" hidden="1" outlineLevel="1">
      <c r="A1225" s="199">
        <f t="shared" si="1785"/>
        <v>18</v>
      </c>
      <c r="B1225" s="190" t="str">
        <f t="shared" ca="1" si="1786"/>
        <v>Depreciated Net Capex 2033-34</v>
      </c>
      <c r="C1225" s="1426"/>
      <c r="D1225" s="1426"/>
      <c r="E1225" s="1426"/>
      <c r="F1225" s="1426"/>
      <c r="G1225" s="1426"/>
      <c r="H1225" s="1426"/>
      <c r="I1225" s="1426"/>
      <c r="J1225" s="1426"/>
      <c r="K1225" s="1426"/>
      <c r="L1225" s="1426"/>
      <c r="M1225" s="1426"/>
      <c r="N1225" s="1426"/>
      <c r="O1225" s="1426"/>
      <c r="P1225" s="1426"/>
      <c r="Q1225" s="1426"/>
      <c r="R1225" s="1426"/>
      <c r="S1225" s="1426"/>
      <c r="T1225" s="1427"/>
      <c r="U1225" s="1428">
        <f>(U1202*((1+U$11)^0.5)/U$10)</f>
        <v>0</v>
      </c>
      <c r="V1225" s="1423">
        <f ca="1">IF(U1249="n/a",U1225,IFERROR(IF((OFFSET($C1225,0,$A1225))&lt;0,
MIN(0,U1225-(OFFSET($C1225,0,$A1225)/(OFFSET($C1220,-$A1224,$A1225)))),
MAX(0,U1225-(OFFSET($C1225,0,$A1225)/(OFFSET($C1220,-$A1224,$A1225))))),0))</f>
        <v>0</v>
      </c>
      <c r="W1225" s="1423">
        <f t="shared" ca="1" si="1784"/>
        <v>0</v>
      </c>
      <c r="X1225" s="202"/>
      <c r="Y1225" s="202"/>
      <c r="Z1225" s="202"/>
      <c r="AA1225" s="152"/>
      <c r="AB1225" s="152"/>
    </row>
    <row r="1226" spans="1:28" hidden="1" outlineLevel="1">
      <c r="A1226" s="199">
        <f t="shared" si="1785"/>
        <v>19</v>
      </c>
      <c r="B1226" s="190" t="str">
        <f t="shared" ca="1" si="1786"/>
        <v>Depreciated Net Capex 2034-35</v>
      </c>
      <c r="C1226" s="1426"/>
      <c r="D1226" s="1426"/>
      <c r="E1226" s="1426"/>
      <c r="F1226" s="1426"/>
      <c r="G1226" s="1426"/>
      <c r="H1226" s="1426"/>
      <c r="I1226" s="1426"/>
      <c r="J1226" s="1426"/>
      <c r="K1226" s="1426"/>
      <c r="L1226" s="1426"/>
      <c r="M1226" s="1426"/>
      <c r="N1226" s="1426"/>
      <c r="O1226" s="1426"/>
      <c r="P1226" s="1426"/>
      <c r="Q1226" s="1426"/>
      <c r="R1226" s="1426"/>
      <c r="S1226" s="1426"/>
      <c r="T1226" s="1426"/>
      <c r="U1226" s="1427"/>
      <c r="V1226" s="1428">
        <f>(V1202*((1+V$11)^0.5)/V$10)</f>
        <v>0</v>
      </c>
      <c r="W1226" s="1423">
        <f ca="1">IF(V1250="n/a",V1226,IFERROR(IF((OFFSET($C1226,0,$A1226))&lt;0,
MIN(0,V1226-(OFFSET($C1226,0,$A1226)/(OFFSET($C1221,-$A1225,$A1226)))),
MAX(0,V1226-(OFFSET($C1226,0,$A1226)/(OFFSET($C1221,-$A1225,$A1226))))),0))</f>
        <v>0</v>
      </c>
      <c r="X1226" s="202"/>
      <c r="Y1226" s="202"/>
      <c r="Z1226" s="202"/>
      <c r="AA1226" s="152"/>
      <c r="AB1226" s="152"/>
    </row>
    <row r="1227" spans="1:28" hidden="1" outlineLevel="1">
      <c r="A1227" s="199">
        <f t="shared" si="1785"/>
        <v>20</v>
      </c>
      <c r="B1227" s="190" t="str">
        <f ca="1">"Depreciated Net Capex "&amp;OFFSET($C$6,0,A1227)</f>
        <v>Depreciated Net Capex 2035-36</v>
      </c>
      <c r="C1227" s="1426"/>
      <c r="D1227" s="1426"/>
      <c r="E1227" s="1426"/>
      <c r="F1227" s="1426"/>
      <c r="G1227" s="1426"/>
      <c r="H1227" s="1426"/>
      <c r="I1227" s="1426"/>
      <c r="J1227" s="1426"/>
      <c r="K1227" s="1426"/>
      <c r="L1227" s="1426"/>
      <c r="M1227" s="1426"/>
      <c r="N1227" s="1426"/>
      <c r="O1227" s="1426"/>
      <c r="P1227" s="1426"/>
      <c r="Q1227" s="1426"/>
      <c r="R1227" s="1426"/>
      <c r="S1227" s="1426"/>
      <c r="T1227" s="1426"/>
      <c r="U1227" s="1426"/>
      <c r="V1227" s="1427"/>
      <c r="W1227" s="1423">
        <f>(W1202*((1+W$11)^0.5)/W$10)</f>
        <v>0</v>
      </c>
      <c r="X1227" s="152"/>
      <c r="Y1227" s="152"/>
      <c r="Z1227" s="152"/>
      <c r="AA1227" s="152"/>
      <c r="AB1227" s="152"/>
    </row>
    <row r="1228" spans="1:28" hidden="1" outlineLevel="1">
      <c r="A1228" s="152"/>
      <c r="B1228" s="200"/>
      <c r="C1228" s="1423"/>
      <c r="D1228" s="1423"/>
      <c r="E1228" s="1423"/>
      <c r="F1228" s="1423"/>
      <c r="G1228" s="1423"/>
      <c r="H1228" s="1423"/>
      <c r="I1228" s="1423"/>
      <c r="J1228" s="1423"/>
      <c r="K1228" s="1423"/>
      <c r="L1228" s="1423"/>
      <c r="M1228" s="1423"/>
      <c r="N1228" s="1423"/>
      <c r="O1228" s="1423"/>
      <c r="P1228" s="1423"/>
      <c r="Q1228" s="1423"/>
      <c r="R1228" s="1423"/>
      <c r="S1228" s="1423"/>
      <c r="T1228" s="1423"/>
      <c r="U1228" s="1423"/>
      <c r="V1228" s="1423"/>
      <c r="W1228" s="1423"/>
      <c r="X1228" s="152"/>
      <c r="Y1228" s="152"/>
      <c r="Z1228" s="152"/>
      <c r="AA1228" s="152"/>
      <c r="AB1228" s="152"/>
    </row>
    <row r="1229" spans="1:28" hidden="1" outlineLevel="1">
      <c r="A1229" s="152"/>
      <c r="B1229" s="200"/>
      <c r="C1229" s="1423"/>
      <c r="D1229" s="1423"/>
      <c r="E1229" s="1423"/>
      <c r="F1229" s="1423"/>
      <c r="G1229" s="1423"/>
      <c r="H1229" s="1423"/>
      <c r="I1229" s="1423"/>
      <c r="J1229" s="1423"/>
      <c r="K1229" s="1423"/>
      <c r="L1229" s="1423"/>
      <c r="M1229" s="1423"/>
      <c r="N1229" s="1423"/>
      <c r="O1229" s="1423"/>
      <c r="P1229" s="1423"/>
      <c r="Q1229" s="1423"/>
      <c r="R1229" s="1423"/>
      <c r="S1229" s="1423"/>
      <c r="T1229" s="1423"/>
      <c r="U1229" s="1423"/>
      <c r="V1229" s="1423"/>
      <c r="W1229" s="1423"/>
      <c r="X1229" s="152"/>
      <c r="Y1229" s="152"/>
      <c r="Z1229" s="152"/>
      <c r="AA1229" s="152"/>
      <c r="AB1229" s="152"/>
    </row>
    <row r="1230" spans="1:28" hidden="1" outlineLevel="1">
      <c r="A1230" s="152"/>
      <c r="B1230" s="190" t="s">
        <v>190</v>
      </c>
      <c r="C1230" s="1423"/>
      <c r="D1230" s="1423">
        <f ca="1">IF(AND(C1230&lt;1,D1204=0),0,
IF(D1204=0,C1230-1,
IF(C1230&lt;1,D1205,
(((C1230-1)*(C1206-(C1206/(C1230))))+((D1204/D$10)*D1205))/(D1206))))</f>
        <v>0</v>
      </c>
      <c r="E1230" s="1423">
        <f t="shared" ref="E1230" ca="1" si="1787">IF(AND(D1230&lt;1,E1204=0),0,
IF(E1204=0,D1230-1,
IF(D1230&lt;1,E1205,
(((D1230-1)*(D1206-(D1206/(D1230))))+((E1204/E$10)*E1205))/(E1206))))</f>
        <v>0</v>
      </c>
      <c r="F1230" s="1423">
        <f t="shared" ref="F1230" ca="1" si="1788">IF(AND(E1230&lt;1,F1204=0),0,
IF(F1204=0,E1230-1,
IF(E1230&lt;1,F1205,
(((E1230-1)*(E1206-(E1206/(E1230))))+((F1204/F$10)*F1205))/(F1206))))</f>
        <v>0</v>
      </c>
      <c r="G1230" s="1423">
        <f t="shared" ref="G1230" ca="1" si="1789">IF(AND(F1230&lt;1,G1204=0),0,
IF(G1204=0,F1230-1,
IF(F1230&lt;1,G1205,
(((F1230-1)*(F1206-(F1206/(F1230))))+((G1204/G$10)*G1205))/(G1206))))</f>
        <v>0</v>
      </c>
      <c r="H1230" s="1423">
        <f t="shared" ref="H1230" ca="1" si="1790">IF(AND(G1230&lt;1,H1204=0),0,
IF(H1204=0,G1230-1,
IF(G1230&lt;1,H1205,
(((G1230-1)*(G1206-(G1206/(G1230))))+((H1204/H$10)*H1205))/(H1206))))</f>
        <v>0</v>
      </c>
      <c r="I1230" s="1423">
        <f t="shared" ref="I1230" ca="1" si="1791">IF(AND(H1230&lt;1,I1204=0),0,
IF(I1204=0,H1230-1,
IF(H1230&lt;1,I1205,
(((H1230-1)*(H1206-(H1206/(H1230))))+((I1204/I$10)*I1205))/(I1206))))</f>
        <v>0</v>
      </c>
      <c r="J1230" s="1423">
        <f t="shared" ref="J1230" ca="1" si="1792">IF(AND(I1230&lt;1,J1204=0),0,
IF(J1204=0,I1230-1,
IF(I1230&lt;1,J1205,
(((I1230-1)*(I1206-(I1206/(I1230))))+((J1204/J$10)*J1205))/(J1206))))</f>
        <v>0</v>
      </c>
      <c r="K1230" s="1423">
        <f t="shared" ref="K1230" ca="1" si="1793">IF(AND(J1230&lt;1,K1204=0),0,
IF(K1204=0,J1230-1,
IF(J1230&lt;1,K1205,
(((J1230-1)*(J1206-(J1206/(J1230))))+((K1204/K$10)*K1205))/(K1206))))</f>
        <v>0</v>
      </c>
      <c r="L1230" s="1423">
        <f t="shared" ref="L1230" ca="1" si="1794">IF(AND(K1230&lt;1,L1204=0),0,
IF(L1204=0,K1230-1,
IF(K1230&lt;1,L1205,
(((K1230-1)*(K1206-(K1206/(K1230))))+((L1204/L$10)*L1205))/(L1206))))</f>
        <v>0</v>
      </c>
      <c r="M1230" s="1423">
        <f t="shared" ref="M1230" ca="1" si="1795">IF(AND(L1230&lt;1,M1204=0),0,
IF(M1204=0,L1230-1,
IF(L1230&lt;1,M1205,
(((L1230-1)*(L1206-(L1206/(L1230))))+((M1204/M$10)*M1205))/(M1206))))</f>
        <v>0</v>
      </c>
      <c r="N1230" s="1423">
        <f t="shared" ref="N1230" ca="1" si="1796">IF(AND(M1230&lt;1,N1204=0),0,
IF(N1204=0,M1230-1,
IF(M1230&lt;1,N1205,
(((M1230-1)*(M1206-(M1206/(M1230))))+((N1204/N$10)*N1205))/(N1206))))</f>
        <v>0</v>
      </c>
      <c r="O1230" s="1423">
        <f t="shared" ref="O1230" ca="1" si="1797">IF(AND(N1230&lt;1,O1204=0),0,
IF(O1204=0,N1230-1,
IF(N1230&lt;1,O1205,
(((N1230-1)*(N1206-(N1206/(N1230))))+((O1204/O$10)*O1205))/(O1206))))</f>
        <v>0</v>
      </c>
      <c r="P1230" s="1423">
        <f t="shared" ref="P1230" ca="1" si="1798">IF(AND(O1230&lt;1,P1204=0),0,
IF(P1204=0,O1230-1,
IF(O1230&lt;1,P1205,
(((O1230-1)*(O1206-(O1206/(O1230))))+((P1204/P$10)*P1205))/(P1206))))</f>
        <v>0</v>
      </c>
      <c r="Q1230" s="1423">
        <f t="shared" ref="Q1230" ca="1" si="1799">IF(AND(P1230&lt;1,Q1204=0),0,
IF(Q1204=0,P1230-1,
IF(P1230&lt;1,Q1205,
(((P1230-1)*(P1206-(P1206/(P1230))))+((Q1204/Q$10)*Q1205))/(Q1206))))</f>
        <v>0</v>
      </c>
      <c r="R1230" s="1423">
        <f t="shared" ref="R1230" ca="1" si="1800">IF(AND(Q1230&lt;1,R1204=0),0,
IF(R1204=0,Q1230-1,
IF(Q1230&lt;1,R1205,
(((Q1230-1)*(Q1206-(Q1206/(Q1230))))+((R1204/R$10)*R1205))/(R1206))))</f>
        <v>0</v>
      </c>
      <c r="S1230" s="1423">
        <f t="shared" ref="S1230" ca="1" si="1801">IF(AND(R1230&lt;1,S1204=0),0,
IF(S1204=0,R1230-1,
IF(R1230&lt;1,S1205,
(((R1230-1)*(R1206-(R1206/(R1230))))+((S1204/S$10)*S1205))/(S1206))))</f>
        <v>0</v>
      </c>
      <c r="T1230" s="1423">
        <f t="shared" ref="T1230" ca="1" si="1802">IF(AND(S1230&lt;1,T1204=0),0,
IF(T1204=0,S1230-1,
IF(S1230&lt;1,T1205,
(((S1230-1)*(S1206-(S1206/(S1230))))+((T1204/T$10)*T1205))/(T1206))))</f>
        <v>0</v>
      </c>
      <c r="U1230" s="1423">
        <f t="shared" ref="U1230" ca="1" si="1803">IF(AND(T1230&lt;1,U1204=0),0,
IF(U1204=0,T1230-1,
IF(T1230&lt;1,U1205,
(((T1230-1)*(T1206-(T1206/(T1230))))+((U1204/U$10)*U1205))/(U1206))))</f>
        <v>0</v>
      </c>
      <c r="V1230" s="1423">
        <f t="shared" ref="V1230" ca="1" si="1804">IF(AND(U1230&lt;1,V1204=0),0,
IF(V1204=0,U1230-1,
IF(U1230&lt;1,V1205,
(((U1230-1)*(U1206-(U1206/(U1230))))+((V1204/V$10)*V1205))/(V1206))))</f>
        <v>0</v>
      </c>
      <c r="W1230" s="1423">
        <f t="shared" ref="W1230" ca="1" si="1805">IF(AND(V1230&lt;1,W1204=0),0,
IF(W1204=0,V1230-1,
IF(V1230&lt;1,W1205,
(((V1230-1)*(V1206-(V1206/(V1230))))+((W1204/W$10)*W1205))/(W1206))))</f>
        <v>0</v>
      </c>
      <c r="X1230" s="152"/>
      <c r="Y1230" s="152"/>
      <c r="Z1230" s="152"/>
      <c r="AA1230" s="152"/>
      <c r="AB1230" s="152"/>
    </row>
    <row r="1231" spans="1:28" hidden="1" outlineLevel="1">
      <c r="A1231" s="152"/>
      <c r="B1231" s="190" t="s">
        <v>122</v>
      </c>
      <c r="C1231" s="1423">
        <f ca="1">C1203</f>
        <v>0</v>
      </c>
      <c r="D1231" s="1423">
        <f t="shared" ref="D1231" ca="1" si="1806">IF(C1231="n/a","n/a",MAX(0,C1231-1))</f>
        <v>0</v>
      </c>
      <c r="E1231" s="1423">
        <f t="shared" ref="E1231:E1232" ca="1" si="1807">IF(D1231="n/a","n/a",MAX(0,D1231-1))</f>
        <v>0</v>
      </c>
      <c r="F1231" s="1423">
        <f t="shared" ref="F1231:F1233" ca="1" si="1808">IF(E1231="n/a","n/a",MAX(0,E1231-1))</f>
        <v>0</v>
      </c>
      <c r="G1231" s="1423">
        <f t="shared" ref="G1231:G1234" ca="1" si="1809">IF(F1231="n/a","n/a",MAX(0,F1231-1))</f>
        <v>0</v>
      </c>
      <c r="H1231" s="1423">
        <f t="shared" ref="H1231:H1235" ca="1" si="1810">IF(G1231="n/a","n/a",MAX(0,G1231-1))</f>
        <v>0</v>
      </c>
      <c r="I1231" s="1423">
        <f t="shared" ref="I1231:I1236" ca="1" si="1811">IF(H1231="n/a","n/a",MAX(0,H1231-1))</f>
        <v>0</v>
      </c>
      <c r="J1231" s="1423">
        <f t="shared" ref="J1231:J1237" ca="1" si="1812">IF(I1231="n/a","n/a",MAX(0,I1231-1))</f>
        <v>0</v>
      </c>
      <c r="K1231" s="1423">
        <f t="shared" ref="K1231:K1238" ca="1" si="1813">IF(J1231="n/a","n/a",MAX(0,J1231-1))</f>
        <v>0</v>
      </c>
      <c r="L1231" s="1423">
        <f t="shared" ref="L1231:L1239" ca="1" si="1814">IF(K1231="n/a","n/a",MAX(0,K1231-1))</f>
        <v>0</v>
      </c>
      <c r="M1231" s="1423">
        <f t="shared" ref="M1231:M1240" ca="1" si="1815">IF(L1231="n/a","n/a",MAX(0,L1231-1))</f>
        <v>0</v>
      </c>
      <c r="N1231" s="1423">
        <f t="shared" ref="N1231:N1241" ca="1" si="1816">IF(M1231="n/a","n/a",MAX(0,M1231-1))</f>
        <v>0</v>
      </c>
      <c r="O1231" s="1423">
        <f t="shared" ref="O1231:O1242" ca="1" si="1817">IF(N1231="n/a","n/a",MAX(0,N1231-1))</f>
        <v>0</v>
      </c>
      <c r="P1231" s="1423">
        <f t="shared" ref="P1231:P1243" ca="1" si="1818">IF(O1231="n/a","n/a",MAX(0,O1231-1))</f>
        <v>0</v>
      </c>
      <c r="Q1231" s="1423">
        <f t="shared" ref="Q1231:Q1244" ca="1" si="1819">IF(P1231="n/a","n/a",MAX(0,P1231-1))</f>
        <v>0</v>
      </c>
      <c r="R1231" s="1423">
        <f t="shared" ref="R1231:R1245" ca="1" si="1820">IF(Q1231="n/a","n/a",MAX(0,Q1231-1))</f>
        <v>0</v>
      </c>
      <c r="S1231" s="1423">
        <f t="shared" ref="S1231:S1246" ca="1" si="1821">IF(R1231="n/a","n/a",MAX(0,R1231-1))</f>
        <v>0</v>
      </c>
      <c r="T1231" s="1423">
        <f t="shared" ref="T1231:T1247" ca="1" si="1822">IF(S1231="n/a","n/a",MAX(0,S1231-1))</f>
        <v>0</v>
      </c>
      <c r="U1231" s="1423">
        <f t="shared" ref="U1231:U1248" ca="1" si="1823">IF(T1231="n/a","n/a",MAX(0,T1231-1))</f>
        <v>0</v>
      </c>
      <c r="V1231" s="1423">
        <f t="shared" ref="V1231:V1249" ca="1" si="1824">IF(U1231="n/a","n/a",MAX(0,U1231-1))</f>
        <v>0</v>
      </c>
      <c r="W1231" s="1423">
        <f t="shared" ref="W1231:W1249" ca="1" si="1825">IF(V1231="n/a","n/a",MAX(0,V1231-1))</f>
        <v>0</v>
      </c>
      <c r="X1231" s="152"/>
      <c r="Y1231" s="152"/>
      <c r="Z1231" s="152"/>
      <c r="AA1231" s="152"/>
      <c r="AB1231" s="152"/>
    </row>
    <row r="1232" spans="1:28" hidden="1" outlineLevel="1">
      <c r="A1232" s="152"/>
      <c r="B1232" s="190" t="str">
        <f t="shared" ref="B1232:B1251" ca="1" si="1826">"RL Capex "&amp;OFFSET($C$6,0,A1208)</f>
        <v>RL Capex 2016-17</v>
      </c>
      <c r="C1232" s="1424"/>
      <c r="D1232" s="1428">
        <f>D1203</f>
        <v>0</v>
      </c>
      <c r="E1232" s="1423">
        <f t="shared" si="1807"/>
        <v>0</v>
      </c>
      <c r="F1232" s="1423">
        <f t="shared" si="1808"/>
        <v>0</v>
      </c>
      <c r="G1232" s="1423">
        <f t="shared" si="1809"/>
        <v>0</v>
      </c>
      <c r="H1232" s="1423">
        <f t="shared" si="1810"/>
        <v>0</v>
      </c>
      <c r="I1232" s="1423">
        <f t="shared" si="1811"/>
        <v>0</v>
      </c>
      <c r="J1232" s="1423">
        <f t="shared" si="1812"/>
        <v>0</v>
      </c>
      <c r="K1232" s="1423">
        <f t="shared" si="1813"/>
        <v>0</v>
      </c>
      <c r="L1232" s="1423">
        <f t="shared" si="1814"/>
        <v>0</v>
      </c>
      <c r="M1232" s="1423">
        <f t="shared" si="1815"/>
        <v>0</v>
      </c>
      <c r="N1232" s="1423">
        <f t="shared" si="1816"/>
        <v>0</v>
      </c>
      <c r="O1232" s="1423">
        <f t="shared" si="1817"/>
        <v>0</v>
      </c>
      <c r="P1232" s="1423">
        <f t="shared" si="1818"/>
        <v>0</v>
      </c>
      <c r="Q1232" s="1423">
        <f t="shared" si="1819"/>
        <v>0</v>
      </c>
      <c r="R1232" s="1423">
        <f t="shared" si="1820"/>
        <v>0</v>
      </c>
      <c r="S1232" s="1423">
        <f t="shared" si="1821"/>
        <v>0</v>
      </c>
      <c r="T1232" s="1423">
        <f t="shared" si="1822"/>
        <v>0</v>
      </c>
      <c r="U1232" s="1423">
        <f t="shared" si="1823"/>
        <v>0</v>
      </c>
      <c r="V1232" s="1423">
        <f t="shared" si="1824"/>
        <v>0</v>
      </c>
      <c r="W1232" s="1423">
        <f t="shared" si="1825"/>
        <v>0</v>
      </c>
      <c r="X1232" s="152"/>
      <c r="Y1232" s="152"/>
      <c r="Z1232" s="152"/>
      <c r="AA1232" s="152"/>
      <c r="AB1232" s="152"/>
    </row>
    <row r="1233" spans="1:28" hidden="1" outlineLevel="1">
      <c r="A1233" s="152"/>
      <c r="B1233" s="190" t="str">
        <f t="shared" ca="1" si="1826"/>
        <v>RL Capex 2017-18</v>
      </c>
      <c r="C1233" s="1429"/>
      <c r="D1233" s="1424"/>
      <c r="E1233" s="1428">
        <f>E1203</f>
        <v>0</v>
      </c>
      <c r="F1233" s="1423">
        <f t="shared" si="1808"/>
        <v>0</v>
      </c>
      <c r="G1233" s="1423">
        <f t="shared" si="1809"/>
        <v>0</v>
      </c>
      <c r="H1233" s="1423">
        <f t="shared" si="1810"/>
        <v>0</v>
      </c>
      <c r="I1233" s="1423">
        <f t="shared" si="1811"/>
        <v>0</v>
      </c>
      <c r="J1233" s="1423">
        <f t="shared" si="1812"/>
        <v>0</v>
      </c>
      <c r="K1233" s="1423">
        <f t="shared" si="1813"/>
        <v>0</v>
      </c>
      <c r="L1233" s="1423">
        <f t="shared" si="1814"/>
        <v>0</v>
      </c>
      <c r="M1233" s="1423">
        <f t="shared" si="1815"/>
        <v>0</v>
      </c>
      <c r="N1233" s="1423">
        <f t="shared" si="1816"/>
        <v>0</v>
      </c>
      <c r="O1233" s="1423">
        <f t="shared" si="1817"/>
        <v>0</v>
      </c>
      <c r="P1233" s="1423">
        <f t="shared" si="1818"/>
        <v>0</v>
      </c>
      <c r="Q1233" s="1423">
        <f t="shared" si="1819"/>
        <v>0</v>
      </c>
      <c r="R1233" s="1423">
        <f t="shared" si="1820"/>
        <v>0</v>
      </c>
      <c r="S1233" s="1423">
        <f t="shared" si="1821"/>
        <v>0</v>
      </c>
      <c r="T1233" s="1423">
        <f t="shared" si="1822"/>
        <v>0</v>
      </c>
      <c r="U1233" s="1423">
        <f t="shared" si="1823"/>
        <v>0</v>
      </c>
      <c r="V1233" s="1423">
        <f t="shared" si="1824"/>
        <v>0</v>
      </c>
      <c r="W1233" s="1423">
        <f t="shared" si="1825"/>
        <v>0</v>
      </c>
      <c r="X1233" s="152"/>
      <c r="Y1233" s="152"/>
      <c r="Z1233" s="152"/>
      <c r="AA1233" s="152"/>
      <c r="AB1233" s="152"/>
    </row>
    <row r="1234" spans="1:28" hidden="1" outlineLevel="1">
      <c r="A1234" s="152"/>
      <c r="B1234" s="190" t="str">
        <f t="shared" ca="1" si="1826"/>
        <v>RL Capex 2018-19</v>
      </c>
      <c r="C1234" s="1429"/>
      <c r="D1234" s="1429"/>
      <c r="E1234" s="1424"/>
      <c r="F1234" s="1428">
        <f>F1203</f>
        <v>0</v>
      </c>
      <c r="G1234" s="1423">
        <f t="shared" si="1809"/>
        <v>0</v>
      </c>
      <c r="H1234" s="1423">
        <f t="shared" si="1810"/>
        <v>0</v>
      </c>
      <c r="I1234" s="1423">
        <f t="shared" si="1811"/>
        <v>0</v>
      </c>
      <c r="J1234" s="1423">
        <f t="shared" si="1812"/>
        <v>0</v>
      </c>
      <c r="K1234" s="1423">
        <f t="shared" si="1813"/>
        <v>0</v>
      </c>
      <c r="L1234" s="1423">
        <f t="shared" si="1814"/>
        <v>0</v>
      </c>
      <c r="M1234" s="1423">
        <f t="shared" si="1815"/>
        <v>0</v>
      </c>
      <c r="N1234" s="1423">
        <f t="shared" si="1816"/>
        <v>0</v>
      </c>
      <c r="O1234" s="1423">
        <f t="shared" si="1817"/>
        <v>0</v>
      </c>
      <c r="P1234" s="1423">
        <f t="shared" si="1818"/>
        <v>0</v>
      </c>
      <c r="Q1234" s="1423">
        <f t="shared" si="1819"/>
        <v>0</v>
      </c>
      <c r="R1234" s="1423">
        <f t="shared" si="1820"/>
        <v>0</v>
      </c>
      <c r="S1234" s="1423">
        <f t="shared" si="1821"/>
        <v>0</v>
      </c>
      <c r="T1234" s="1423">
        <f t="shared" si="1822"/>
        <v>0</v>
      </c>
      <c r="U1234" s="1423">
        <f t="shared" si="1823"/>
        <v>0</v>
      </c>
      <c r="V1234" s="1423">
        <f t="shared" si="1824"/>
        <v>0</v>
      </c>
      <c r="W1234" s="1423">
        <f t="shared" si="1825"/>
        <v>0</v>
      </c>
      <c r="X1234" s="152"/>
      <c r="Y1234" s="152"/>
      <c r="Z1234" s="152"/>
      <c r="AA1234" s="152"/>
      <c r="AB1234" s="152"/>
    </row>
    <row r="1235" spans="1:28" hidden="1" outlineLevel="1">
      <c r="A1235" s="152"/>
      <c r="B1235" s="190" t="str">
        <f t="shared" ca="1" si="1826"/>
        <v>RL Capex 2019-20</v>
      </c>
      <c r="C1235" s="1429"/>
      <c r="D1235" s="1429"/>
      <c r="E1235" s="1429"/>
      <c r="F1235" s="1424"/>
      <c r="G1235" s="1428">
        <f>G1203</f>
        <v>0</v>
      </c>
      <c r="H1235" s="1423">
        <f t="shared" si="1810"/>
        <v>0</v>
      </c>
      <c r="I1235" s="1423">
        <f t="shared" si="1811"/>
        <v>0</v>
      </c>
      <c r="J1235" s="1423">
        <f t="shared" si="1812"/>
        <v>0</v>
      </c>
      <c r="K1235" s="1423">
        <f t="shared" si="1813"/>
        <v>0</v>
      </c>
      <c r="L1235" s="1423">
        <f t="shared" si="1814"/>
        <v>0</v>
      </c>
      <c r="M1235" s="1423">
        <f t="shared" si="1815"/>
        <v>0</v>
      </c>
      <c r="N1235" s="1423">
        <f t="shared" si="1816"/>
        <v>0</v>
      </c>
      <c r="O1235" s="1423">
        <f t="shared" si="1817"/>
        <v>0</v>
      </c>
      <c r="P1235" s="1423">
        <f t="shared" si="1818"/>
        <v>0</v>
      </c>
      <c r="Q1235" s="1423">
        <f t="shared" si="1819"/>
        <v>0</v>
      </c>
      <c r="R1235" s="1423">
        <f t="shared" si="1820"/>
        <v>0</v>
      </c>
      <c r="S1235" s="1423">
        <f t="shared" si="1821"/>
        <v>0</v>
      </c>
      <c r="T1235" s="1423">
        <f t="shared" si="1822"/>
        <v>0</v>
      </c>
      <c r="U1235" s="1423">
        <f t="shared" si="1823"/>
        <v>0</v>
      </c>
      <c r="V1235" s="1423">
        <f t="shared" si="1824"/>
        <v>0</v>
      </c>
      <c r="W1235" s="1423">
        <f t="shared" si="1825"/>
        <v>0</v>
      </c>
      <c r="X1235" s="152"/>
      <c r="Y1235" s="152"/>
      <c r="Z1235" s="152"/>
      <c r="AA1235" s="152"/>
      <c r="AB1235" s="152"/>
    </row>
    <row r="1236" spans="1:28" hidden="1" outlineLevel="1">
      <c r="A1236" s="152"/>
      <c r="B1236" s="190" t="str">
        <f t="shared" ca="1" si="1826"/>
        <v>RL Capex 2020-21</v>
      </c>
      <c r="C1236" s="1429"/>
      <c r="D1236" s="1429"/>
      <c r="E1236" s="1429"/>
      <c r="F1236" s="1429"/>
      <c r="G1236" s="1424"/>
      <c r="H1236" s="1428">
        <f>H1203</f>
        <v>0</v>
      </c>
      <c r="I1236" s="1423">
        <f t="shared" si="1811"/>
        <v>0</v>
      </c>
      <c r="J1236" s="1423">
        <f t="shared" si="1812"/>
        <v>0</v>
      </c>
      <c r="K1236" s="1423">
        <f t="shared" si="1813"/>
        <v>0</v>
      </c>
      <c r="L1236" s="1423">
        <f t="shared" si="1814"/>
        <v>0</v>
      </c>
      <c r="M1236" s="1423">
        <f t="shared" si="1815"/>
        <v>0</v>
      </c>
      <c r="N1236" s="1423">
        <f t="shared" si="1816"/>
        <v>0</v>
      </c>
      <c r="O1236" s="1423">
        <f t="shared" si="1817"/>
        <v>0</v>
      </c>
      <c r="P1236" s="1423">
        <f t="shared" si="1818"/>
        <v>0</v>
      </c>
      <c r="Q1236" s="1423">
        <f t="shared" si="1819"/>
        <v>0</v>
      </c>
      <c r="R1236" s="1423">
        <f t="shared" si="1820"/>
        <v>0</v>
      </c>
      <c r="S1236" s="1423">
        <f t="shared" si="1821"/>
        <v>0</v>
      </c>
      <c r="T1236" s="1423">
        <f t="shared" si="1822"/>
        <v>0</v>
      </c>
      <c r="U1236" s="1423">
        <f t="shared" si="1823"/>
        <v>0</v>
      </c>
      <c r="V1236" s="1423">
        <f t="shared" si="1824"/>
        <v>0</v>
      </c>
      <c r="W1236" s="1423">
        <f t="shared" si="1825"/>
        <v>0</v>
      </c>
      <c r="X1236" s="152"/>
      <c r="Y1236" s="152"/>
      <c r="Z1236" s="152"/>
      <c r="AA1236" s="152"/>
      <c r="AB1236" s="152"/>
    </row>
    <row r="1237" spans="1:28" hidden="1" outlineLevel="1">
      <c r="A1237" s="152"/>
      <c r="B1237" s="190" t="str">
        <f t="shared" ca="1" si="1826"/>
        <v>RL Capex 2021-22</v>
      </c>
      <c r="C1237" s="1429"/>
      <c r="D1237" s="1429"/>
      <c r="E1237" s="1429"/>
      <c r="F1237" s="1429"/>
      <c r="G1237" s="1429"/>
      <c r="H1237" s="1424"/>
      <c r="I1237" s="1428">
        <f>I1203</f>
        <v>0</v>
      </c>
      <c r="J1237" s="1423">
        <f t="shared" si="1812"/>
        <v>0</v>
      </c>
      <c r="K1237" s="1423">
        <f t="shared" si="1813"/>
        <v>0</v>
      </c>
      <c r="L1237" s="1423">
        <f t="shared" si="1814"/>
        <v>0</v>
      </c>
      <c r="M1237" s="1423">
        <f t="shared" si="1815"/>
        <v>0</v>
      </c>
      <c r="N1237" s="1423">
        <f t="shared" si="1816"/>
        <v>0</v>
      </c>
      <c r="O1237" s="1423">
        <f t="shared" si="1817"/>
        <v>0</v>
      </c>
      <c r="P1237" s="1423">
        <f t="shared" si="1818"/>
        <v>0</v>
      </c>
      <c r="Q1237" s="1423">
        <f t="shared" si="1819"/>
        <v>0</v>
      </c>
      <c r="R1237" s="1423">
        <f t="shared" si="1820"/>
        <v>0</v>
      </c>
      <c r="S1237" s="1423">
        <f t="shared" si="1821"/>
        <v>0</v>
      </c>
      <c r="T1237" s="1423">
        <f t="shared" si="1822"/>
        <v>0</v>
      </c>
      <c r="U1237" s="1423">
        <f t="shared" si="1823"/>
        <v>0</v>
      </c>
      <c r="V1237" s="1423">
        <f t="shared" si="1824"/>
        <v>0</v>
      </c>
      <c r="W1237" s="1423">
        <f t="shared" si="1825"/>
        <v>0</v>
      </c>
      <c r="X1237" s="152"/>
      <c r="Y1237" s="152"/>
      <c r="Z1237" s="152"/>
      <c r="AA1237" s="152"/>
      <c r="AB1237" s="152"/>
    </row>
    <row r="1238" spans="1:28" hidden="1" outlineLevel="1">
      <c r="A1238" s="152"/>
      <c r="B1238" s="190" t="str">
        <f t="shared" ca="1" si="1826"/>
        <v>RL Capex 2022-23</v>
      </c>
      <c r="C1238" s="1429"/>
      <c r="D1238" s="1429"/>
      <c r="E1238" s="1429"/>
      <c r="F1238" s="1429"/>
      <c r="G1238" s="1429"/>
      <c r="H1238" s="1429"/>
      <c r="I1238" s="1424"/>
      <c r="J1238" s="1428">
        <f>J1203</f>
        <v>0</v>
      </c>
      <c r="K1238" s="1423">
        <f t="shared" si="1813"/>
        <v>0</v>
      </c>
      <c r="L1238" s="1423">
        <f t="shared" si="1814"/>
        <v>0</v>
      </c>
      <c r="M1238" s="1423">
        <f t="shared" si="1815"/>
        <v>0</v>
      </c>
      <c r="N1238" s="1423">
        <f t="shared" si="1816"/>
        <v>0</v>
      </c>
      <c r="O1238" s="1423">
        <f t="shared" si="1817"/>
        <v>0</v>
      </c>
      <c r="P1238" s="1423">
        <f t="shared" si="1818"/>
        <v>0</v>
      </c>
      <c r="Q1238" s="1423">
        <f t="shared" si="1819"/>
        <v>0</v>
      </c>
      <c r="R1238" s="1423">
        <f t="shared" si="1820"/>
        <v>0</v>
      </c>
      <c r="S1238" s="1423">
        <f t="shared" si="1821"/>
        <v>0</v>
      </c>
      <c r="T1238" s="1423">
        <f t="shared" si="1822"/>
        <v>0</v>
      </c>
      <c r="U1238" s="1423">
        <f t="shared" si="1823"/>
        <v>0</v>
      </c>
      <c r="V1238" s="1423">
        <f t="shared" si="1824"/>
        <v>0</v>
      </c>
      <c r="W1238" s="1423">
        <f t="shared" si="1825"/>
        <v>0</v>
      </c>
      <c r="X1238" s="152"/>
      <c r="Y1238" s="152"/>
      <c r="Z1238" s="152"/>
      <c r="AA1238" s="152"/>
      <c r="AB1238" s="152"/>
    </row>
    <row r="1239" spans="1:28" hidden="1" outlineLevel="1">
      <c r="A1239" s="152"/>
      <c r="B1239" s="190" t="str">
        <f t="shared" ca="1" si="1826"/>
        <v>RL Capex 2023-24</v>
      </c>
      <c r="C1239" s="1429"/>
      <c r="D1239" s="1429"/>
      <c r="E1239" s="1429"/>
      <c r="F1239" s="1429"/>
      <c r="G1239" s="1429"/>
      <c r="H1239" s="1429"/>
      <c r="I1239" s="1429"/>
      <c r="J1239" s="1424"/>
      <c r="K1239" s="1428">
        <f>K1203</f>
        <v>0</v>
      </c>
      <c r="L1239" s="1423">
        <f t="shared" si="1814"/>
        <v>0</v>
      </c>
      <c r="M1239" s="1423">
        <f t="shared" si="1815"/>
        <v>0</v>
      </c>
      <c r="N1239" s="1423">
        <f t="shared" si="1816"/>
        <v>0</v>
      </c>
      <c r="O1239" s="1423">
        <f t="shared" si="1817"/>
        <v>0</v>
      </c>
      <c r="P1239" s="1423">
        <f t="shared" si="1818"/>
        <v>0</v>
      </c>
      <c r="Q1239" s="1423">
        <f t="shared" si="1819"/>
        <v>0</v>
      </c>
      <c r="R1239" s="1423">
        <f t="shared" si="1820"/>
        <v>0</v>
      </c>
      <c r="S1239" s="1423">
        <f t="shared" si="1821"/>
        <v>0</v>
      </c>
      <c r="T1239" s="1423">
        <f t="shared" si="1822"/>
        <v>0</v>
      </c>
      <c r="U1239" s="1423">
        <f t="shared" si="1823"/>
        <v>0</v>
      </c>
      <c r="V1239" s="1423">
        <f t="shared" si="1824"/>
        <v>0</v>
      </c>
      <c r="W1239" s="1423">
        <f t="shared" si="1825"/>
        <v>0</v>
      </c>
      <c r="X1239" s="152"/>
      <c r="Y1239" s="152"/>
      <c r="Z1239" s="152"/>
      <c r="AA1239" s="152"/>
      <c r="AB1239" s="152"/>
    </row>
    <row r="1240" spans="1:28" hidden="1" outlineLevel="1">
      <c r="A1240" s="152"/>
      <c r="B1240" s="190" t="str">
        <f t="shared" ca="1" si="1826"/>
        <v>RL Capex 2024-25</v>
      </c>
      <c r="C1240" s="1429"/>
      <c r="D1240" s="1429"/>
      <c r="E1240" s="1429"/>
      <c r="F1240" s="1429"/>
      <c r="G1240" s="1429"/>
      <c r="H1240" s="1429"/>
      <c r="I1240" s="1429"/>
      <c r="J1240" s="1429"/>
      <c r="K1240" s="1424"/>
      <c r="L1240" s="1428">
        <f>L1203</f>
        <v>0</v>
      </c>
      <c r="M1240" s="1423">
        <f t="shared" si="1815"/>
        <v>0</v>
      </c>
      <c r="N1240" s="1423">
        <f t="shared" si="1816"/>
        <v>0</v>
      </c>
      <c r="O1240" s="1423">
        <f t="shared" si="1817"/>
        <v>0</v>
      </c>
      <c r="P1240" s="1423">
        <f t="shared" si="1818"/>
        <v>0</v>
      </c>
      <c r="Q1240" s="1423">
        <f t="shared" si="1819"/>
        <v>0</v>
      </c>
      <c r="R1240" s="1423">
        <f t="shared" si="1820"/>
        <v>0</v>
      </c>
      <c r="S1240" s="1423">
        <f t="shared" si="1821"/>
        <v>0</v>
      </c>
      <c r="T1240" s="1423">
        <f t="shared" si="1822"/>
        <v>0</v>
      </c>
      <c r="U1240" s="1423">
        <f t="shared" si="1823"/>
        <v>0</v>
      </c>
      <c r="V1240" s="1423">
        <f t="shared" si="1824"/>
        <v>0</v>
      </c>
      <c r="W1240" s="1423">
        <f t="shared" si="1825"/>
        <v>0</v>
      </c>
      <c r="X1240" s="152"/>
      <c r="Y1240" s="152"/>
      <c r="Z1240" s="152"/>
      <c r="AA1240" s="152"/>
      <c r="AB1240" s="152"/>
    </row>
    <row r="1241" spans="1:28" hidden="1" outlineLevel="1">
      <c r="A1241" s="152"/>
      <c r="B1241" s="190" t="str">
        <f t="shared" ca="1" si="1826"/>
        <v>RL Capex 2025-26</v>
      </c>
      <c r="C1241" s="1429"/>
      <c r="D1241" s="1429"/>
      <c r="E1241" s="1429"/>
      <c r="F1241" s="1429"/>
      <c r="G1241" s="1429"/>
      <c r="H1241" s="1429"/>
      <c r="I1241" s="1429"/>
      <c r="J1241" s="1429"/>
      <c r="K1241" s="1429"/>
      <c r="L1241" s="1424"/>
      <c r="M1241" s="1428">
        <f>M1203</f>
        <v>0</v>
      </c>
      <c r="N1241" s="1423">
        <f t="shared" si="1816"/>
        <v>0</v>
      </c>
      <c r="O1241" s="1423">
        <f t="shared" si="1817"/>
        <v>0</v>
      </c>
      <c r="P1241" s="1423">
        <f t="shared" si="1818"/>
        <v>0</v>
      </c>
      <c r="Q1241" s="1423">
        <f t="shared" si="1819"/>
        <v>0</v>
      </c>
      <c r="R1241" s="1423">
        <f t="shared" si="1820"/>
        <v>0</v>
      </c>
      <c r="S1241" s="1423">
        <f t="shared" si="1821"/>
        <v>0</v>
      </c>
      <c r="T1241" s="1423">
        <f t="shared" si="1822"/>
        <v>0</v>
      </c>
      <c r="U1241" s="1423">
        <f t="shared" si="1823"/>
        <v>0</v>
      </c>
      <c r="V1241" s="1423">
        <f t="shared" si="1824"/>
        <v>0</v>
      </c>
      <c r="W1241" s="1423">
        <f t="shared" si="1825"/>
        <v>0</v>
      </c>
      <c r="X1241" s="152"/>
      <c r="Y1241" s="152"/>
      <c r="Z1241" s="152"/>
      <c r="AA1241" s="152"/>
      <c r="AB1241" s="152"/>
    </row>
    <row r="1242" spans="1:28" hidden="1" outlineLevel="1">
      <c r="A1242" s="152"/>
      <c r="B1242" s="190" t="str">
        <f t="shared" ca="1" si="1826"/>
        <v>RL Capex 2026-27</v>
      </c>
      <c r="C1242" s="1429"/>
      <c r="D1242" s="1429"/>
      <c r="E1242" s="1429"/>
      <c r="F1242" s="1429"/>
      <c r="G1242" s="1429"/>
      <c r="H1242" s="1429"/>
      <c r="I1242" s="1429"/>
      <c r="J1242" s="1429"/>
      <c r="K1242" s="1429"/>
      <c r="L1242" s="1429"/>
      <c r="M1242" s="1424"/>
      <c r="N1242" s="1428">
        <f>N1203</f>
        <v>0</v>
      </c>
      <c r="O1242" s="1423">
        <f t="shared" si="1817"/>
        <v>0</v>
      </c>
      <c r="P1242" s="1423">
        <f t="shared" si="1818"/>
        <v>0</v>
      </c>
      <c r="Q1242" s="1423">
        <f t="shared" si="1819"/>
        <v>0</v>
      </c>
      <c r="R1242" s="1423">
        <f t="shared" si="1820"/>
        <v>0</v>
      </c>
      <c r="S1242" s="1423">
        <f t="shared" si="1821"/>
        <v>0</v>
      </c>
      <c r="T1242" s="1423">
        <f t="shared" si="1822"/>
        <v>0</v>
      </c>
      <c r="U1242" s="1423">
        <f t="shared" si="1823"/>
        <v>0</v>
      </c>
      <c r="V1242" s="1423">
        <f t="shared" si="1824"/>
        <v>0</v>
      </c>
      <c r="W1242" s="1423">
        <f t="shared" si="1825"/>
        <v>0</v>
      </c>
      <c r="X1242" s="152"/>
      <c r="Y1242" s="152"/>
      <c r="Z1242" s="152"/>
      <c r="AA1242" s="152"/>
      <c r="AB1242" s="152"/>
    </row>
    <row r="1243" spans="1:28" hidden="1" outlineLevel="1">
      <c r="A1243" s="152"/>
      <c r="B1243" s="190" t="str">
        <f t="shared" ca="1" si="1826"/>
        <v>RL Capex 2027-28</v>
      </c>
      <c r="C1243" s="1429"/>
      <c r="D1243" s="1429"/>
      <c r="E1243" s="1429"/>
      <c r="F1243" s="1429"/>
      <c r="G1243" s="1429"/>
      <c r="H1243" s="1429"/>
      <c r="I1243" s="1429"/>
      <c r="J1243" s="1429"/>
      <c r="K1243" s="1429"/>
      <c r="L1243" s="1429"/>
      <c r="M1243" s="1429"/>
      <c r="N1243" s="1424"/>
      <c r="O1243" s="1428">
        <f>O1203</f>
        <v>0</v>
      </c>
      <c r="P1243" s="1423">
        <f t="shared" si="1818"/>
        <v>0</v>
      </c>
      <c r="Q1243" s="1423">
        <f t="shared" si="1819"/>
        <v>0</v>
      </c>
      <c r="R1243" s="1423">
        <f t="shared" si="1820"/>
        <v>0</v>
      </c>
      <c r="S1243" s="1423">
        <f t="shared" si="1821"/>
        <v>0</v>
      </c>
      <c r="T1243" s="1423">
        <f t="shared" si="1822"/>
        <v>0</v>
      </c>
      <c r="U1243" s="1423">
        <f t="shared" si="1823"/>
        <v>0</v>
      </c>
      <c r="V1243" s="1423">
        <f t="shared" si="1824"/>
        <v>0</v>
      </c>
      <c r="W1243" s="1423">
        <f t="shared" si="1825"/>
        <v>0</v>
      </c>
      <c r="X1243" s="152"/>
      <c r="Y1243" s="152"/>
      <c r="Z1243" s="152"/>
      <c r="AA1243" s="152"/>
      <c r="AB1243" s="152"/>
    </row>
    <row r="1244" spans="1:28" hidden="1" outlineLevel="1">
      <c r="A1244" s="152"/>
      <c r="B1244" s="190" t="str">
        <f t="shared" ca="1" si="1826"/>
        <v>RL Capex 2028-29</v>
      </c>
      <c r="C1244" s="1429"/>
      <c r="D1244" s="1429"/>
      <c r="E1244" s="1429"/>
      <c r="F1244" s="1429"/>
      <c r="G1244" s="1429"/>
      <c r="H1244" s="1429"/>
      <c r="I1244" s="1429"/>
      <c r="J1244" s="1429"/>
      <c r="K1244" s="1429"/>
      <c r="L1244" s="1429"/>
      <c r="M1244" s="1429"/>
      <c r="N1244" s="1429"/>
      <c r="O1244" s="1424"/>
      <c r="P1244" s="1428">
        <f>P1203</f>
        <v>0</v>
      </c>
      <c r="Q1244" s="1423">
        <f t="shared" si="1819"/>
        <v>0</v>
      </c>
      <c r="R1244" s="1423">
        <f t="shared" si="1820"/>
        <v>0</v>
      </c>
      <c r="S1244" s="1423">
        <f t="shared" si="1821"/>
        <v>0</v>
      </c>
      <c r="T1244" s="1423">
        <f t="shared" si="1822"/>
        <v>0</v>
      </c>
      <c r="U1244" s="1423">
        <f t="shared" si="1823"/>
        <v>0</v>
      </c>
      <c r="V1244" s="1423">
        <f t="shared" si="1824"/>
        <v>0</v>
      </c>
      <c r="W1244" s="1423">
        <f t="shared" si="1825"/>
        <v>0</v>
      </c>
      <c r="X1244" s="152"/>
      <c r="Y1244" s="152"/>
      <c r="Z1244" s="152"/>
      <c r="AA1244" s="152"/>
      <c r="AB1244" s="152"/>
    </row>
    <row r="1245" spans="1:28" hidden="1" outlineLevel="1">
      <c r="A1245" s="152"/>
      <c r="B1245" s="190" t="str">
        <f t="shared" ca="1" si="1826"/>
        <v>RL Capex 2029-30</v>
      </c>
      <c r="C1245" s="1429"/>
      <c r="D1245" s="1429"/>
      <c r="E1245" s="1429"/>
      <c r="F1245" s="1429"/>
      <c r="G1245" s="1429"/>
      <c r="H1245" s="1429"/>
      <c r="I1245" s="1429"/>
      <c r="J1245" s="1429"/>
      <c r="K1245" s="1429"/>
      <c r="L1245" s="1429"/>
      <c r="M1245" s="1429"/>
      <c r="N1245" s="1429"/>
      <c r="O1245" s="1429"/>
      <c r="P1245" s="1424"/>
      <c r="Q1245" s="1428">
        <f>Q1203</f>
        <v>0</v>
      </c>
      <c r="R1245" s="1423">
        <f t="shared" si="1820"/>
        <v>0</v>
      </c>
      <c r="S1245" s="1423">
        <f t="shared" si="1821"/>
        <v>0</v>
      </c>
      <c r="T1245" s="1423">
        <f t="shared" si="1822"/>
        <v>0</v>
      </c>
      <c r="U1245" s="1423">
        <f t="shared" si="1823"/>
        <v>0</v>
      </c>
      <c r="V1245" s="1423">
        <f t="shared" si="1824"/>
        <v>0</v>
      </c>
      <c r="W1245" s="1423">
        <f t="shared" si="1825"/>
        <v>0</v>
      </c>
      <c r="X1245" s="152"/>
      <c r="Y1245" s="152"/>
      <c r="Z1245" s="152"/>
      <c r="AA1245" s="152"/>
      <c r="AB1245" s="152"/>
    </row>
    <row r="1246" spans="1:28" hidden="1" outlineLevel="1">
      <c r="A1246" s="152"/>
      <c r="B1246" s="190" t="str">
        <f t="shared" ca="1" si="1826"/>
        <v>RL Capex 2030-31</v>
      </c>
      <c r="C1246" s="1429"/>
      <c r="D1246" s="1429"/>
      <c r="E1246" s="1429"/>
      <c r="F1246" s="1429"/>
      <c r="G1246" s="1429"/>
      <c r="H1246" s="1429"/>
      <c r="I1246" s="1429"/>
      <c r="J1246" s="1429"/>
      <c r="K1246" s="1429"/>
      <c r="L1246" s="1429"/>
      <c r="M1246" s="1429"/>
      <c r="N1246" s="1429"/>
      <c r="O1246" s="1429"/>
      <c r="P1246" s="1429"/>
      <c r="Q1246" s="1424"/>
      <c r="R1246" s="1428">
        <f>R1203</f>
        <v>0</v>
      </c>
      <c r="S1246" s="1423">
        <f t="shared" si="1821"/>
        <v>0</v>
      </c>
      <c r="T1246" s="1423">
        <f t="shared" si="1822"/>
        <v>0</v>
      </c>
      <c r="U1246" s="1423">
        <f t="shared" si="1823"/>
        <v>0</v>
      </c>
      <c r="V1246" s="1423">
        <f t="shared" si="1824"/>
        <v>0</v>
      </c>
      <c r="W1246" s="1423">
        <f t="shared" si="1825"/>
        <v>0</v>
      </c>
      <c r="X1246" s="152"/>
      <c r="Y1246" s="152"/>
      <c r="Z1246" s="152"/>
      <c r="AA1246" s="152"/>
      <c r="AB1246" s="152"/>
    </row>
    <row r="1247" spans="1:28" hidden="1" outlineLevel="1">
      <c r="A1247" s="152"/>
      <c r="B1247" s="190" t="str">
        <f t="shared" ca="1" si="1826"/>
        <v>RL Capex 2031-32</v>
      </c>
      <c r="C1247" s="1429"/>
      <c r="D1247" s="1429"/>
      <c r="E1247" s="1429"/>
      <c r="F1247" s="1429"/>
      <c r="G1247" s="1429"/>
      <c r="H1247" s="1429"/>
      <c r="I1247" s="1429"/>
      <c r="J1247" s="1429"/>
      <c r="K1247" s="1429"/>
      <c r="L1247" s="1429"/>
      <c r="M1247" s="1429"/>
      <c r="N1247" s="1429"/>
      <c r="O1247" s="1429"/>
      <c r="P1247" s="1429"/>
      <c r="Q1247" s="1429"/>
      <c r="R1247" s="1424"/>
      <c r="S1247" s="1428">
        <f>S1203</f>
        <v>0</v>
      </c>
      <c r="T1247" s="1423">
        <f t="shared" si="1822"/>
        <v>0</v>
      </c>
      <c r="U1247" s="1423">
        <f t="shared" si="1823"/>
        <v>0</v>
      </c>
      <c r="V1247" s="1423">
        <f t="shared" si="1824"/>
        <v>0</v>
      </c>
      <c r="W1247" s="1423">
        <f t="shared" si="1825"/>
        <v>0</v>
      </c>
      <c r="X1247" s="152"/>
      <c r="Y1247" s="152"/>
      <c r="Z1247" s="152"/>
      <c r="AA1247" s="152"/>
      <c r="AB1247" s="152"/>
    </row>
    <row r="1248" spans="1:28" hidden="1" outlineLevel="1">
      <c r="A1248" s="152"/>
      <c r="B1248" s="190" t="str">
        <f t="shared" ca="1" si="1826"/>
        <v>RL Capex 2032-33</v>
      </c>
      <c r="C1248" s="1429"/>
      <c r="D1248" s="1429"/>
      <c r="E1248" s="1429"/>
      <c r="F1248" s="1429"/>
      <c r="G1248" s="1429"/>
      <c r="H1248" s="1429"/>
      <c r="I1248" s="1429"/>
      <c r="J1248" s="1429"/>
      <c r="K1248" s="1429"/>
      <c r="L1248" s="1429"/>
      <c r="M1248" s="1429"/>
      <c r="N1248" s="1429"/>
      <c r="O1248" s="1429"/>
      <c r="P1248" s="1429"/>
      <c r="Q1248" s="1429"/>
      <c r="R1248" s="1429"/>
      <c r="S1248" s="1424"/>
      <c r="T1248" s="1428">
        <f>T1203</f>
        <v>0</v>
      </c>
      <c r="U1248" s="1423">
        <f t="shared" si="1823"/>
        <v>0</v>
      </c>
      <c r="V1248" s="1423">
        <f t="shared" si="1824"/>
        <v>0</v>
      </c>
      <c r="W1248" s="1423">
        <f t="shared" si="1825"/>
        <v>0</v>
      </c>
      <c r="X1248" s="152"/>
      <c r="Y1248" s="152"/>
      <c r="Z1248" s="152"/>
      <c r="AA1248" s="152"/>
      <c r="AB1248" s="152"/>
    </row>
    <row r="1249" spans="1:28" hidden="1" outlineLevel="1">
      <c r="A1249" s="152"/>
      <c r="B1249" s="190" t="str">
        <f t="shared" ca="1" si="1826"/>
        <v>RL Capex 2033-34</v>
      </c>
      <c r="C1249" s="1429"/>
      <c r="D1249" s="1429"/>
      <c r="E1249" s="1429"/>
      <c r="F1249" s="1429"/>
      <c r="G1249" s="1429"/>
      <c r="H1249" s="1429"/>
      <c r="I1249" s="1429"/>
      <c r="J1249" s="1429"/>
      <c r="K1249" s="1429"/>
      <c r="L1249" s="1429"/>
      <c r="M1249" s="1429"/>
      <c r="N1249" s="1429"/>
      <c r="O1249" s="1429"/>
      <c r="P1249" s="1429"/>
      <c r="Q1249" s="1429"/>
      <c r="R1249" s="1429"/>
      <c r="S1249" s="1429"/>
      <c r="T1249" s="1424"/>
      <c r="U1249" s="1428">
        <f>U1203</f>
        <v>0</v>
      </c>
      <c r="V1249" s="1423">
        <f t="shared" si="1824"/>
        <v>0</v>
      </c>
      <c r="W1249" s="1423">
        <f t="shared" si="1825"/>
        <v>0</v>
      </c>
      <c r="X1249" s="152"/>
      <c r="Y1249" s="152"/>
      <c r="Z1249" s="152"/>
      <c r="AA1249" s="152"/>
      <c r="AB1249" s="152"/>
    </row>
    <row r="1250" spans="1:28" hidden="1" outlineLevel="1">
      <c r="A1250" s="152"/>
      <c r="B1250" s="190" t="str">
        <f t="shared" ca="1" si="1826"/>
        <v>RL Capex 2034-35</v>
      </c>
      <c r="C1250" s="1429"/>
      <c r="D1250" s="1429"/>
      <c r="E1250" s="1429"/>
      <c r="F1250" s="1429"/>
      <c r="G1250" s="1429"/>
      <c r="H1250" s="1429"/>
      <c r="I1250" s="1429"/>
      <c r="J1250" s="1429"/>
      <c r="K1250" s="1429"/>
      <c r="L1250" s="1429"/>
      <c r="M1250" s="1429"/>
      <c r="N1250" s="1429"/>
      <c r="O1250" s="1429"/>
      <c r="P1250" s="1429"/>
      <c r="Q1250" s="1429"/>
      <c r="R1250" s="1429"/>
      <c r="S1250" s="1429"/>
      <c r="T1250" s="1429"/>
      <c r="U1250" s="1424"/>
      <c r="V1250" s="1428">
        <f>V1203</f>
        <v>0</v>
      </c>
      <c r="W1250" s="1423">
        <f>IF(V1250="n/a","n/a",MAX(0,V1250-1))</f>
        <v>0</v>
      </c>
      <c r="X1250" s="152"/>
      <c r="Y1250" s="152"/>
      <c r="Z1250" s="152"/>
      <c r="AA1250" s="152"/>
      <c r="AB1250" s="152"/>
    </row>
    <row r="1251" spans="1:28" hidden="1" outlineLevel="1">
      <c r="A1251" s="152"/>
      <c r="B1251" s="190" t="str">
        <f t="shared" ca="1" si="1826"/>
        <v>RL Capex 2035-36</v>
      </c>
      <c r="C1251" s="1429"/>
      <c r="D1251" s="1429"/>
      <c r="E1251" s="1429"/>
      <c r="F1251" s="1429"/>
      <c r="G1251" s="1429"/>
      <c r="H1251" s="1429"/>
      <c r="I1251" s="1429"/>
      <c r="J1251" s="1429"/>
      <c r="K1251" s="1429"/>
      <c r="L1251" s="1429"/>
      <c r="M1251" s="1429"/>
      <c r="N1251" s="1429"/>
      <c r="O1251" s="1429"/>
      <c r="P1251" s="1429"/>
      <c r="Q1251" s="1429"/>
      <c r="R1251" s="1429"/>
      <c r="S1251" s="1429"/>
      <c r="T1251" s="1429"/>
      <c r="U1251" s="1429"/>
      <c r="V1251" s="1424"/>
      <c r="W1251" s="1423">
        <f>W1203</f>
        <v>0</v>
      </c>
      <c r="X1251" s="152"/>
      <c r="Y1251" s="152"/>
      <c r="Z1251" s="152"/>
      <c r="AA1251" s="152"/>
      <c r="AB1251" s="152"/>
    </row>
    <row r="1252" spans="1:28" hidden="1" outlineLevel="1">
      <c r="A1252" s="152"/>
      <c r="B1252" s="200"/>
      <c r="C1252" s="1423"/>
      <c r="D1252" s="1423"/>
      <c r="E1252" s="1423"/>
      <c r="F1252" s="1423"/>
      <c r="G1252" s="1423"/>
      <c r="H1252" s="1423"/>
      <c r="I1252" s="1423"/>
      <c r="J1252" s="1423"/>
      <c r="K1252" s="1423"/>
      <c r="L1252" s="1423"/>
      <c r="M1252" s="1423"/>
      <c r="N1252" s="1423"/>
      <c r="O1252" s="1423"/>
      <c r="P1252" s="1423"/>
      <c r="Q1252" s="1423"/>
      <c r="R1252" s="1423"/>
      <c r="S1252" s="1423"/>
      <c r="T1252" s="1423"/>
      <c r="U1252" s="1423"/>
      <c r="V1252" s="1423"/>
      <c r="W1252" s="1423"/>
      <c r="X1252" s="152"/>
      <c r="Y1252" s="152"/>
      <c r="Z1252" s="152"/>
      <c r="AA1252" s="152"/>
      <c r="AB1252" s="152"/>
    </row>
    <row r="1253" spans="1:28" collapsed="1">
      <c r="A1253" s="194"/>
      <c r="B1253" s="204" t="s">
        <v>123</v>
      </c>
      <c r="C1253" s="1430">
        <f ca="1">(IF(OR($C1203&lt;&gt;"n/a",C1203&lt;&gt;"n/a"),IF(SUM(C1206:C1228)=0,0,IF((SUMPRODUCT(C1206:C1228,C1230:C1252)/SUM(C1206:C1228))&lt;0,1,(SUMPRODUCT(C1206:C1228,C1230:C1252)/SUM(C1206:C1228)))),"n/a"))</f>
        <v>0</v>
      </c>
      <c r="D1253" s="1430">
        <f ca="1">(IF(OR($C1203&lt;&gt;"n/a",D1203&lt;&gt;"n/a"),IF(SUM(D1206:D1228)=0,0,IF((SUMPRODUCT(D1206:D1228,D1230:D1252)/SUM(D1206:D1228))&lt;0,1,(SUMPRODUCT(D1206:D1228,D1230:D1252)/SUM(D1206:D1228)))),"n/a"))</f>
        <v>0</v>
      </c>
      <c r="E1253" s="1430">
        <f t="shared" ref="E1253:W1253" ca="1" si="1827">(IF(OR($C1203&lt;&gt;"n/a",E1203&lt;&gt;"n/a"),IF(SUM(E1206:E1228)=0,0,IF((SUMPRODUCT(E1206:E1228,E1230:E1252)/SUM(E1206:E1228))&lt;0,1,(SUMPRODUCT(E1206:E1228,E1230:E1252)/SUM(E1206:E1228)))),"n/a"))</f>
        <v>0</v>
      </c>
      <c r="F1253" s="1430">
        <f t="shared" ca="1" si="1827"/>
        <v>0</v>
      </c>
      <c r="G1253" s="1430">
        <f t="shared" ca="1" si="1827"/>
        <v>0</v>
      </c>
      <c r="H1253" s="1430">
        <f t="shared" ca="1" si="1827"/>
        <v>0</v>
      </c>
      <c r="I1253" s="1430">
        <f t="shared" ca="1" si="1827"/>
        <v>0</v>
      </c>
      <c r="J1253" s="1430">
        <f t="shared" ca="1" si="1827"/>
        <v>0</v>
      </c>
      <c r="K1253" s="1430">
        <f t="shared" ca="1" si="1827"/>
        <v>0</v>
      </c>
      <c r="L1253" s="1430">
        <f t="shared" ca="1" si="1827"/>
        <v>0</v>
      </c>
      <c r="M1253" s="1430">
        <f t="shared" ca="1" si="1827"/>
        <v>0</v>
      </c>
      <c r="N1253" s="1430">
        <f t="shared" ca="1" si="1827"/>
        <v>0</v>
      </c>
      <c r="O1253" s="1430">
        <f t="shared" ca="1" si="1827"/>
        <v>0</v>
      </c>
      <c r="P1253" s="1430">
        <f t="shared" ca="1" si="1827"/>
        <v>0</v>
      </c>
      <c r="Q1253" s="1430">
        <f t="shared" ca="1" si="1827"/>
        <v>0</v>
      </c>
      <c r="R1253" s="1430">
        <f t="shared" ca="1" si="1827"/>
        <v>0</v>
      </c>
      <c r="S1253" s="1430">
        <f t="shared" ca="1" si="1827"/>
        <v>0</v>
      </c>
      <c r="T1253" s="1430">
        <f t="shared" ca="1" si="1827"/>
        <v>0</v>
      </c>
      <c r="U1253" s="1430">
        <f t="shared" ca="1" si="1827"/>
        <v>0</v>
      </c>
      <c r="V1253" s="1430">
        <f t="shared" ca="1" si="1827"/>
        <v>0</v>
      </c>
      <c r="W1253" s="1430">
        <f t="shared" ca="1" si="1827"/>
        <v>0</v>
      </c>
      <c r="X1253" s="152"/>
      <c r="Y1253" s="152"/>
      <c r="Z1253" s="152"/>
      <c r="AA1253" s="152"/>
      <c r="AB1253" s="152"/>
    </row>
    <row r="1254" spans="1:28">
      <c r="A1254" s="152"/>
      <c r="B1254" s="152"/>
      <c r="C1254" s="1423"/>
      <c r="D1254" s="1423"/>
      <c r="E1254" s="1423"/>
      <c r="F1254" s="1423"/>
      <c r="G1254" s="1423"/>
      <c r="H1254" s="1423"/>
      <c r="I1254" s="1423"/>
      <c r="J1254" s="1423"/>
      <c r="K1254" s="1423"/>
      <c r="L1254" s="1423"/>
      <c r="M1254" s="1423"/>
      <c r="N1254" s="1423"/>
      <c r="O1254" s="1423"/>
      <c r="P1254" s="1423"/>
      <c r="Q1254" s="1423"/>
      <c r="R1254" s="1423"/>
      <c r="S1254" s="1423"/>
      <c r="T1254" s="1423"/>
      <c r="U1254" s="1423"/>
      <c r="V1254" s="1423"/>
      <c r="W1254" s="1423"/>
      <c r="X1254" s="152"/>
      <c r="Y1254" s="152"/>
      <c r="Z1254" s="152"/>
      <c r="AA1254" s="152"/>
      <c r="AB1254" s="152"/>
    </row>
    <row r="1255" spans="1:28">
      <c r="A1255" s="269" t="s">
        <v>58</v>
      </c>
      <c r="B1255" s="270">
        <f>VLOOKUP($A1255,'RFM input'!$E$7:$F$56,2,FALSE)</f>
        <v>0</v>
      </c>
      <c r="C1255" s="1431"/>
      <c r="D1255" s="1431"/>
      <c r="E1255" s="1432"/>
      <c r="F1255" s="1432"/>
      <c r="G1255" s="1432"/>
      <c r="H1255" s="1432"/>
      <c r="I1255" s="1432"/>
      <c r="J1255" s="1432"/>
      <c r="K1255" s="1432"/>
      <c r="L1255" s="1432"/>
      <c r="M1255" s="1432"/>
      <c r="N1255" s="1432"/>
      <c r="O1255" s="1432"/>
      <c r="P1255" s="1432"/>
      <c r="Q1255" s="1432"/>
      <c r="R1255" s="1432"/>
      <c r="S1255" s="1432"/>
      <c r="T1255" s="1432"/>
      <c r="U1255" s="1432"/>
      <c r="V1255" s="1432"/>
      <c r="W1255" s="1432"/>
      <c r="X1255" s="152"/>
      <c r="Y1255" s="152"/>
      <c r="Z1255" s="152"/>
      <c r="AA1255" s="152"/>
      <c r="AB1255" s="152"/>
    </row>
    <row r="1256" spans="1:28">
      <c r="A1256" s="215">
        <f>VALUE(REPLACE(A1255,1,12,""))</f>
        <v>24</v>
      </c>
      <c r="B1256" s="193" t="s">
        <v>126</v>
      </c>
      <c r="C1256" s="1416">
        <f ca="1">IF($C$8='Capital Base roll forward'!$H$4,OFFSET('Capital Base roll forward'!$H$717,'RAB remaining lives'!A1256,0),"enter input")</f>
        <v>0</v>
      </c>
      <c r="D1256" s="1417">
        <f>IF(LEFT(D$6,4)&lt;LEFT('RFM input'!$G$60,4),"enter input",IF(LEFT(D$6,4)&gt;LEFT('RFM input'!$Q$60,4),0,INDEX('RFM input'!$G$61:$Q$110,$A1256,MATCH(D$6,'RFM input'!$G$60:$Q$60,0))
-INDEX('RFM input'!$G$115:$Q$164,$A1256,MATCH(D$6,'RFM input'!$G$60:$Q$60,0))
-INDEX('RFM input'!$G$169:$Q$218,$A1256,MATCH(D$6,'RFM input'!$G$60:$Q$60,0))))</f>
        <v>0</v>
      </c>
      <c r="E1256" s="1417">
        <f>IF(LEFT(E$6,4)&lt;LEFT('RFM input'!$G$60,4),"enter input",IF(LEFT(E$6,4)&gt;LEFT('RFM input'!$Q$60,4),0,INDEX('RFM input'!$G$61:$Q$110,$A1256,MATCH(E$6,'RFM input'!$G$60:$Q$60,0))
-INDEX('RFM input'!$G$115:$Q$164,$A1256,MATCH(E$6,'RFM input'!$G$60:$Q$60,0))
-INDEX('RFM input'!$G$169:$Q$218,$A1256,MATCH(E$6,'RFM input'!$G$60:$Q$60,0))))</f>
        <v>0</v>
      </c>
      <c r="F1256" s="1417">
        <f>IF(LEFT(F$6,4)&lt;LEFT('RFM input'!$G$60,4),"enter input",IF(LEFT(F$6,4)&gt;LEFT('RFM input'!$Q$60,4),0,INDEX('RFM input'!$G$61:$Q$110,$A1256,MATCH(F$6,'RFM input'!$G$60:$Q$60,0))
-INDEX('RFM input'!$G$115:$Q$164,$A1256,MATCH(F$6,'RFM input'!$G$60:$Q$60,0))
-INDEX('RFM input'!$G$169:$Q$218,$A1256,MATCH(F$6,'RFM input'!$G$60:$Q$60,0))))</f>
        <v>0</v>
      </c>
      <c r="G1256" s="1417">
        <f>IF(LEFT(G$6,4)&lt;LEFT('RFM input'!$G$60,4),"enter input",IF(LEFT(G$6,4)&gt;LEFT('RFM input'!$Q$60,4),0,INDEX('RFM input'!$G$61:$Q$110,$A1256,MATCH(G$6,'RFM input'!$G$60:$Q$60,0))
-INDEX('RFM input'!$G$115:$Q$164,$A1256,MATCH(G$6,'RFM input'!$G$60:$Q$60,0))
-INDEX('RFM input'!$G$169:$Q$218,$A1256,MATCH(G$6,'RFM input'!$G$60:$Q$60,0))))</f>
        <v>0</v>
      </c>
      <c r="H1256" s="1417">
        <f>IF(LEFT(H$6,4)&lt;LEFT('RFM input'!$G$60,4),"enter input",IF(LEFT(H$6,4)&gt;LEFT('RFM input'!$Q$60,4),0,INDEX('RFM input'!$G$61:$Q$110,$A1256,MATCH(H$6,'RFM input'!$G$60:$Q$60,0))
-INDEX('RFM input'!$G$115:$Q$164,$A1256,MATCH(H$6,'RFM input'!$G$60:$Q$60,0))
-INDEX('RFM input'!$G$169:$Q$218,$A1256,MATCH(H$6,'RFM input'!$G$60:$Q$60,0))))</f>
        <v>0</v>
      </c>
      <c r="I1256" s="1417">
        <f>IF(LEFT(I$6,4)&lt;LEFT('RFM input'!$G$60,4),"enter input",IF(LEFT(I$6,4)&gt;LEFT('RFM input'!$Q$60,4),0,INDEX('RFM input'!$G$61:$Q$110,$A1256,MATCH(I$6,'RFM input'!$G$60:$Q$60,0))
-INDEX('RFM input'!$G$115:$Q$164,$A1256,MATCH(I$6,'RFM input'!$G$60:$Q$60,0))
-INDEX('RFM input'!$G$169:$Q$218,$A1256,MATCH(I$6,'RFM input'!$G$60:$Q$60,0))))</f>
        <v>0</v>
      </c>
      <c r="J1256" s="1417">
        <f>IF(LEFT(J$6,4)&lt;LEFT('RFM input'!$G$60,4),"enter input",IF(LEFT(J$6,4)&gt;LEFT('RFM input'!$Q$60,4),0,INDEX('RFM input'!$G$61:$Q$110,$A1256,MATCH(J$6,'RFM input'!$G$60:$Q$60,0))
-INDEX('RFM input'!$G$115:$Q$164,$A1256,MATCH(J$6,'RFM input'!$G$60:$Q$60,0))
-INDEX('RFM input'!$G$169:$Q$218,$A1256,MATCH(J$6,'RFM input'!$G$60:$Q$60,0))))</f>
        <v>0</v>
      </c>
      <c r="K1256" s="1417">
        <f>IF(LEFT(K$6,4)&lt;LEFT('RFM input'!$G$60,4),"enter input",IF(LEFT(K$6,4)&gt;LEFT('RFM input'!$Q$60,4),0,INDEX('RFM input'!$G$61:$Q$110,$A1256,MATCH(K$6,'RFM input'!$G$60:$Q$60,0))
-INDEX('RFM input'!$G$115:$Q$164,$A1256,MATCH(K$6,'RFM input'!$G$60:$Q$60,0))
-INDEX('RFM input'!$G$169:$Q$218,$A1256,MATCH(K$6,'RFM input'!$G$60:$Q$60,0))))</f>
        <v>0</v>
      </c>
      <c r="L1256" s="1417">
        <f>IF(LEFT(L$6,4)&lt;LEFT('RFM input'!$G$60,4),"enter input",IF(LEFT(L$6,4)&gt;LEFT('RFM input'!$Q$60,4),0,INDEX('RFM input'!$G$61:$Q$110,$A1256,MATCH(L$6,'RFM input'!$G$60:$Q$60,0))
-INDEX('RFM input'!$G$115:$Q$164,$A1256,MATCH(L$6,'RFM input'!$G$60:$Q$60,0))
-INDEX('RFM input'!$G$169:$Q$218,$A1256,MATCH(L$6,'RFM input'!$G$60:$Q$60,0))))</f>
        <v>0</v>
      </c>
      <c r="M1256" s="1417">
        <f>IF(LEFT(M$6,4)&lt;LEFT('RFM input'!$G$60,4),"enter input",IF(LEFT(M$6,4)&gt;LEFT('RFM input'!$Q$60,4),0,INDEX('RFM input'!$G$61:$Q$110,$A1256,MATCH(M$6,'RFM input'!$G$60:$Q$60,0))
-INDEX('RFM input'!$G$115:$Q$164,$A1256,MATCH(M$6,'RFM input'!$G$60:$Q$60,0))
-INDEX('RFM input'!$G$169:$Q$218,$A1256,MATCH(M$6,'RFM input'!$G$60:$Q$60,0))))</f>
        <v>0</v>
      </c>
      <c r="N1256" s="1417">
        <f>IF(LEFT(N$6,4)&lt;LEFT('RFM input'!$G$60,4),"enter input",IF(LEFT(N$6,4)&gt;LEFT('RFM input'!$Q$60,4),0,INDEX('RFM input'!$G$61:$Q$110,$A1256,MATCH(N$6,'RFM input'!$G$60:$Q$60,0))
-INDEX('RFM input'!$G$115:$Q$164,$A1256,MATCH(N$6,'RFM input'!$G$60:$Q$60,0))
-INDEX('RFM input'!$G$169:$Q$218,$A1256,MATCH(N$6,'RFM input'!$G$60:$Q$60,0))))</f>
        <v>0</v>
      </c>
      <c r="O1256" s="1417">
        <f>IF(LEFT(O$6,4)&lt;LEFT('RFM input'!$G$60,4),"enter input",IF(LEFT(O$6,4)&gt;LEFT('RFM input'!$Q$60,4),0,INDEX('RFM input'!$G$61:$Q$110,$A1256,MATCH(O$6,'RFM input'!$G$60:$Q$60,0))
-INDEX('RFM input'!$G$115:$Q$164,$A1256,MATCH(O$6,'RFM input'!$G$60:$Q$60,0))
-INDEX('RFM input'!$G$169:$Q$218,$A1256,MATCH(O$6,'RFM input'!$G$60:$Q$60,0))))</f>
        <v>0</v>
      </c>
      <c r="P1256" s="1417">
        <f>IF(LEFT(P$6,4)&lt;LEFT('RFM input'!$G$60,4),"enter input",IF(LEFT(P$6,4)&gt;LEFT('RFM input'!$Q$60,4),0,INDEX('RFM input'!$G$61:$Q$110,$A1256,MATCH(P$6,'RFM input'!$G$60:$Q$60,0))
-INDEX('RFM input'!$G$115:$Q$164,$A1256,MATCH(P$6,'RFM input'!$G$60:$Q$60,0))
-INDEX('RFM input'!$G$169:$Q$218,$A1256,MATCH(P$6,'RFM input'!$G$60:$Q$60,0))))</f>
        <v>0</v>
      </c>
      <c r="Q1256" s="1417">
        <f>IF(LEFT(Q$6,4)&lt;LEFT('RFM input'!$G$60,4),"enter input",IF(LEFT(Q$6,4)&gt;LEFT('RFM input'!$Q$60,4),0,INDEX('RFM input'!$G$61:$Q$110,$A1256,MATCH(Q$6,'RFM input'!$G$60:$Q$60,0))
-INDEX('RFM input'!$G$115:$Q$164,$A1256,MATCH(Q$6,'RFM input'!$G$60:$Q$60,0))
-INDEX('RFM input'!$G$169:$Q$218,$A1256,MATCH(Q$6,'RFM input'!$G$60:$Q$60,0))))</f>
        <v>0</v>
      </c>
      <c r="R1256" s="1417">
        <f>IF(LEFT(R$6,4)&lt;LEFT('RFM input'!$G$60,4),"enter input",IF(LEFT(R$6,4)&gt;LEFT('RFM input'!$Q$60,4),0,INDEX('RFM input'!$G$61:$Q$110,$A1256,MATCH(R$6,'RFM input'!$G$60:$Q$60,0))
-INDEX('RFM input'!$G$115:$Q$164,$A1256,MATCH(R$6,'RFM input'!$G$60:$Q$60,0))
-INDEX('RFM input'!$G$169:$Q$218,$A1256,MATCH(R$6,'RFM input'!$G$60:$Q$60,0))))</f>
        <v>0</v>
      </c>
      <c r="S1256" s="1417">
        <f>IF(LEFT(S$6,4)&lt;LEFT('RFM input'!$G$60,4),"enter input",IF(LEFT(S$6,4)&gt;LEFT('RFM input'!$Q$60,4),0,INDEX('RFM input'!$G$61:$Q$110,$A1256,MATCH(S$6,'RFM input'!$G$60:$Q$60,0))
-INDEX('RFM input'!$G$115:$Q$164,$A1256,MATCH(S$6,'RFM input'!$G$60:$Q$60,0))
-INDEX('RFM input'!$G$169:$Q$218,$A1256,MATCH(S$6,'RFM input'!$G$60:$Q$60,0))))</f>
        <v>0</v>
      </c>
      <c r="T1256" s="1417">
        <f>IF(LEFT(T$6,4)&lt;LEFT('RFM input'!$G$60,4),"enter input",IF(LEFT(T$6,4)&gt;LEFT('RFM input'!$Q$60,4),0,INDEX('RFM input'!$G$61:$Q$110,$A1256,MATCH(T$6,'RFM input'!$G$60:$Q$60,0))
-INDEX('RFM input'!$G$115:$Q$164,$A1256,MATCH(T$6,'RFM input'!$G$60:$Q$60,0))
-INDEX('RFM input'!$G$169:$Q$218,$A1256,MATCH(T$6,'RFM input'!$G$60:$Q$60,0))))</f>
        <v>0</v>
      </c>
      <c r="U1256" s="1417">
        <f>IF(LEFT(U$6,4)&lt;LEFT('RFM input'!$G$60,4),"enter input",IF(LEFT(U$6,4)&gt;LEFT('RFM input'!$Q$60,4),0,INDEX('RFM input'!$G$61:$Q$110,$A1256,MATCH(U$6,'RFM input'!$G$60:$Q$60,0))
-INDEX('RFM input'!$G$115:$Q$164,$A1256,MATCH(U$6,'RFM input'!$G$60:$Q$60,0))
-INDEX('RFM input'!$G$169:$Q$218,$A1256,MATCH(U$6,'RFM input'!$G$60:$Q$60,0))))</f>
        <v>0</v>
      </c>
      <c r="V1256" s="1417">
        <f>IF(LEFT(V$6,4)&lt;LEFT('RFM input'!$G$60,4),"enter input",IF(LEFT(V$6,4)&gt;LEFT('RFM input'!$Q$60,4),0,INDEX('RFM input'!$G$61:$Q$110,$A1256,MATCH(V$6,'RFM input'!$G$60:$Q$60,0))
-INDEX('RFM input'!$G$115:$Q$164,$A1256,MATCH(V$6,'RFM input'!$G$60:$Q$60,0))
-INDEX('RFM input'!$G$169:$Q$218,$A1256,MATCH(V$6,'RFM input'!$G$60:$Q$60,0))))</f>
        <v>0</v>
      </c>
      <c r="W1256" s="1417">
        <f>IF(LEFT(W$6,4)&lt;LEFT('RFM input'!$G$60,4),"enter input",IF(LEFT(W$6,4)&gt;LEFT('RFM input'!$Q$60,4),0,INDEX('RFM input'!$G$61:$Q$110,$A1256,MATCH(W$6,'RFM input'!$G$60:$Q$60,0))
-INDEX('RFM input'!$G$115:$Q$164,$A1256,MATCH(W$6,'RFM input'!$G$60:$Q$60,0))
-INDEX('RFM input'!$G$169:$Q$218,$A1256,MATCH(W$6,'RFM input'!$G$60:$Q$60,0))))</f>
        <v>0</v>
      </c>
      <c r="X1256" s="152"/>
      <c r="Y1256" s="152"/>
      <c r="Z1256" s="152"/>
      <c r="AA1256" s="152"/>
      <c r="AB1256" s="152"/>
    </row>
    <row r="1257" spans="1:28">
      <c r="A1257" s="152"/>
      <c r="B1257" s="152" t="s">
        <v>204</v>
      </c>
      <c r="C1257" s="1418">
        <f ca="1">IF($C$8='Capital Base roll forward'!$H$4,OFFSET('RFM input'!$J$6,'RAB remaining lives'!A1256,0),"enter input")</f>
        <v>0</v>
      </c>
      <c r="D1257" s="1417">
        <f>IF(LEFT(D$6,4)&lt;=LEFT('RFM input'!$G$60,4),"enter input",IF(LEFT(D$6,4)&gt;LEFT('RFM input'!$Q$60,4),0,IF(MATCH(D$6,'RFM input'!$H$60:$Q$60,0),INDEX('RFM input'!$K$7:$K$56,$A1256,1))))</f>
        <v>0</v>
      </c>
      <c r="E1257" s="1417">
        <f>IF(LEFT(E$6,4)&lt;=LEFT('RFM input'!$G$60,4),"enter input",IF(LEFT(E$6,4)&gt;LEFT('RFM input'!$Q$60,4),0,IF(MATCH(E$6,'RFM input'!$H$60:$Q$60,0),INDEX('RFM input'!$K$7:$K$56,$A1256,1))))</f>
        <v>0</v>
      </c>
      <c r="F1257" s="1417">
        <f>IF(LEFT(F$6,4)&lt;=LEFT('RFM input'!$G$60,4),"enter input",IF(LEFT(F$6,4)&gt;LEFT('RFM input'!$Q$60,4),0,IF(MATCH(F$6,'RFM input'!$H$60:$Q$60,0),INDEX('RFM input'!$K$7:$K$56,$A1256,1))))</f>
        <v>0</v>
      </c>
      <c r="G1257" s="1417">
        <f>IF(LEFT(G$6,4)&lt;=LEFT('RFM input'!$G$60,4),"enter input",IF(LEFT(G$6,4)&gt;LEFT('RFM input'!$Q$60,4),0,IF(MATCH(G$6,'RFM input'!$H$60:$Q$60,0),INDEX('RFM input'!$K$7:$K$56,$A1256,1))))</f>
        <v>0</v>
      </c>
      <c r="H1257" s="1417">
        <f>IF(LEFT(H$6,4)&lt;=LEFT('RFM input'!$G$60,4),"enter input",IF(LEFT(H$6,4)&gt;LEFT('RFM input'!$Q$60,4),0,IF(MATCH(H$6,'RFM input'!$H$60:$Q$60,0),INDEX('RFM input'!$K$7:$K$56,$A1256,1))))</f>
        <v>0</v>
      </c>
      <c r="I1257" s="1417">
        <f>IF(LEFT(I$6,4)&lt;=LEFT('RFM input'!$G$60,4),"enter input",IF(LEFT(I$6,4)&gt;LEFT('RFM input'!$Q$60,4),0,IF(MATCH(I$6,'RFM input'!$H$60:$Q$60,0),INDEX('RFM input'!$K$7:$K$56,$A1256,1))))</f>
        <v>0</v>
      </c>
      <c r="J1257" s="1417">
        <f>IF(LEFT(J$6,4)&lt;=LEFT('RFM input'!$G$60,4),"enter input",IF(LEFT(J$6,4)&gt;LEFT('RFM input'!$Q$60,4),0,IF(MATCH(J$6,'RFM input'!$H$60:$Q$60,0),INDEX('RFM input'!$K$7:$K$56,$A1256,1))))</f>
        <v>0</v>
      </c>
      <c r="K1257" s="1417">
        <f>IF(LEFT(K$6,4)&lt;=LEFT('RFM input'!$G$60,4),"enter input",IF(LEFT(K$6,4)&gt;LEFT('RFM input'!$Q$60,4),0,IF(MATCH(K$6,'RFM input'!$H$60:$Q$60,0),INDEX('RFM input'!$K$7:$K$56,$A1256,1))))</f>
        <v>0</v>
      </c>
      <c r="L1257" s="1417">
        <f>IF(LEFT(L$6,4)&lt;=LEFT('RFM input'!$G$60,4),"enter input",IF(LEFT(L$6,4)&gt;LEFT('RFM input'!$Q$60,4),0,IF(MATCH(L$6,'RFM input'!$H$60:$Q$60,0),INDEX('RFM input'!$K$7:$K$56,$A1256,1))))</f>
        <v>0</v>
      </c>
      <c r="M1257" s="1417">
        <f>IF(LEFT(M$6,4)&lt;=LEFT('RFM input'!$G$60,4),"enter input",IF(LEFT(M$6,4)&gt;LEFT('RFM input'!$Q$60,4),0,IF(MATCH(M$6,'RFM input'!$H$60:$Q$60,0),INDEX('RFM input'!$K$7:$K$56,$A1256,1))))</f>
        <v>0</v>
      </c>
      <c r="N1257" s="1417">
        <f>IF(LEFT(N$6,4)&lt;=LEFT('RFM input'!$G$60,4),"enter input",IF(LEFT(N$6,4)&gt;LEFT('RFM input'!$Q$60,4),0,IF(MATCH(N$6,'RFM input'!$H$60:$Q$60,0),INDEX('RFM input'!$K$7:$K$56,$A1256,1))))</f>
        <v>0</v>
      </c>
      <c r="O1257" s="1417">
        <f>IF(LEFT(O$6,4)&lt;=LEFT('RFM input'!$G$60,4),"enter input",IF(LEFT(O$6,4)&gt;LEFT('RFM input'!$Q$60,4),0,IF(MATCH(O$6,'RFM input'!$H$60:$Q$60,0),INDEX('RFM input'!$K$7:$K$56,$A1256,1))))</f>
        <v>0</v>
      </c>
      <c r="P1257" s="1417">
        <f>IF(LEFT(P$6,4)&lt;=LEFT('RFM input'!$G$60,4),"enter input",IF(LEFT(P$6,4)&gt;LEFT('RFM input'!$Q$60,4),0,IF(MATCH(P$6,'RFM input'!$H$60:$Q$60,0),INDEX('RFM input'!$K$7:$K$56,$A1256,1))))</f>
        <v>0</v>
      </c>
      <c r="Q1257" s="1417">
        <f>IF(LEFT(Q$6,4)&lt;=LEFT('RFM input'!$G$60,4),"enter input",IF(LEFT(Q$6,4)&gt;LEFT('RFM input'!$Q$60,4),0,IF(MATCH(Q$6,'RFM input'!$H$60:$Q$60,0),INDEX('RFM input'!$K$7:$K$56,$A1256,1))))</f>
        <v>0</v>
      </c>
      <c r="R1257" s="1417">
        <f>IF(LEFT(R$6,4)&lt;=LEFT('RFM input'!$G$60,4),"enter input",IF(LEFT(R$6,4)&gt;LEFT('RFM input'!$Q$60,4),0,IF(MATCH(R$6,'RFM input'!$H$60:$Q$60,0),INDEX('RFM input'!$K$7:$K$56,$A1256,1))))</f>
        <v>0</v>
      </c>
      <c r="S1257" s="1417">
        <f>IF(LEFT(S$6,4)&lt;=LEFT('RFM input'!$G$60,4),"enter input",IF(LEFT(S$6,4)&gt;LEFT('RFM input'!$Q$60,4),0,IF(MATCH(S$6,'RFM input'!$H$60:$Q$60,0),INDEX('RFM input'!$K$7:$K$56,$A1256,1))))</f>
        <v>0</v>
      </c>
      <c r="T1257" s="1417">
        <f>IF(LEFT(T$6,4)&lt;=LEFT('RFM input'!$G$60,4),"enter input",IF(LEFT(T$6,4)&gt;LEFT('RFM input'!$Q$60,4),0,IF(MATCH(T$6,'RFM input'!$H$60:$Q$60,0),INDEX('RFM input'!$K$7:$K$56,$A1256,1))))</f>
        <v>0</v>
      </c>
      <c r="U1257" s="1417">
        <f>IF(LEFT(U$6,4)&lt;=LEFT('RFM input'!$G$60,4),"enter input",IF(LEFT(U$6,4)&gt;LEFT('RFM input'!$Q$60,4),0,IF(MATCH(U$6,'RFM input'!$H$60:$Q$60,0),INDEX('RFM input'!$K$7:$K$56,$A1256,1))))</f>
        <v>0</v>
      </c>
      <c r="V1257" s="1417">
        <f>IF(LEFT(V$6,4)&lt;=LEFT('RFM input'!$G$60,4),"enter input",IF(LEFT(V$6,4)&gt;LEFT('RFM input'!$Q$60,4),0,IF(MATCH(V$6,'RFM input'!$H$60:$Q$60,0),INDEX('RFM input'!$K$7:$K$56,$A1256,1))))</f>
        <v>0</v>
      </c>
      <c r="W1257" s="1417">
        <f>IF(LEFT(W$6,4)&lt;=LEFT('RFM input'!$G$60,4),"enter input",IF(LEFT(W$6,4)&gt;LEFT('RFM input'!$Q$60,4),0,IF(MATCH(W$6,'RFM input'!$H$60:$Q$60,0),INDEX('RFM input'!$K$7:$K$56,$A1256,1))))</f>
        <v>0</v>
      </c>
      <c r="X1257" s="152"/>
      <c r="Y1257" s="152"/>
      <c r="Z1257" s="152"/>
      <c r="AA1257" s="152"/>
      <c r="AB1257" s="152"/>
    </row>
    <row r="1258" spans="1:28">
      <c r="A1258" s="152"/>
      <c r="B1258" s="177" t="s">
        <v>191</v>
      </c>
      <c r="C1258" s="1419"/>
      <c r="D1258" s="1420">
        <f ca="1">IF(LEFT(D$6,4)&lt;=LEFT('RFM input'!$G$60,4),"enter input",IF(LEFT(D$6,4)&gt;LEFT('RFM input'!$Q$60,4),0,IF(D$6=(OFFSET('RFM input'!$G$60,0,'RFM input'!$V$7)),OFFSET('RFM input'!$G$411,$A1256,0),0)))</f>
        <v>0</v>
      </c>
      <c r="E1258" s="1417">
        <f ca="1">IF(LEFT(E$6,4)&lt;=LEFT('RFM input'!$G$60,4),"enter input",IF(LEFT(E$6,4)&gt;LEFT('RFM input'!$Q$60,4),0,IF(E$6=(OFFSET('RFM input'!$G$60,0,'RFM input'!$V$7)),OFFSET('RFM input'!$G$411,$A1256,0),0)))</f>
        <v>0</v>
      </c>
      <c r="F1258" s="1417">
        <f ca="1">IF(LEFT(F$6,4)&lt;=LEFT('RFM input'!$G$60,4),"enter input",IF(LEFT(F$6,4)&gt;LEFT('RFM input'!$Q$60,4),0,IF(F$6=(OFFSET('RFM input'!$G$60,0,'RFM input'!$V$7)),OFFSET('RFM input'!$G$411,$A1256,0),0)))</f>
        <v>0</v>
      </c>
      <c r="G1258" s="1417">
        <f ca="1">IF(LEFT(G$6,4)&lt;=LEFT('RFM input'!$G$60,4),"enter input",IF(LEFT(G$6,4)&gt;LEFT('RFM input'!$Q$60,4),0,IF(G$6=(OFFSET('RFM input'!$G$60,0,'RFM input'!$V$7)),OFFSET('RFM input'!$G$411,$A1256,0),0)))</f>
        <v>0</v>
      </c>
      <c r="H1258" s="1417">
        <f ca="1">IF(LEFT(H$6,4)&lt;=LEFT('RFM input'!$G$60,4),"enter input",IF(LEFT(H$6,4)&gt;LEFT('RFM input'!$Q$60,4),0,IF(H$6=(OFFSET('RFM input'!$G$60,0,'RFM input'!$V$7)),OFFSET('RFM input'!$G$411,$A1256,0),0)))</f>
        <v>0</v>
      </c>
      <c r="I1258" s="1417">
        <f ca="1">IF(LEFT(I$6,4)&lt;=LEFT('RFM input'!$G$60,4),"enter input",IF(LEFT(I$6,4)&gt;LEFT('RFM input'!$Q$60,4),0,IF(I$6=(OFFSET('RFM input'!$G$60,0,'RFM input'!$V$7)),OFFSET('RFM input'!$G$411,$A1256,0),0)))</f>
        <v>0</v>
      </c>
      <c r="J1258" s="1417">
        <f ca="1">IF(LEFT(J$6,4)&lt;=LEFT('RFM input'!$G$60,4),"enter input",IF(LEFT(J$6,4)&gt;LEFT('RFM input'!$Q$60,4),0,IF(J$6=(OFFSET('RFM input'!$G$60,0,'RFM input'!$V$7)),OFFSET('RFM input'!$G$411,$A1256,0),0)))</f>
        <v>0</v>
      </c>
      <c r="K1258" s="1417">
        <f ca="1">IF(LEFT(K$6,4)&lt;=LEFT('RFM input'!$G$60,4),"enter input",IF(LEFT(K$6,4)&gt;LEFT('RFM input'!$Q$60,4),0,IF(K$6=(OFFSET('RFM input'!$G$60,0,'RFM input'!$V$7)),OFFSET('RFM input'!$G$411,$A1256,0),0)))</f>
        <v>0</v>
      </c>
      <c r="L1258" s="1417">
        <f ca="1">IF(LEFT(L$6,4)&lt;=LEFT('RFM input'!$G$60,4),"enter input",IF(LEFT(L$6,4)&gt;LEFT('RFM input'!$Q$60,4),0,IF(L$6=(OFFSET('RFM input'!$G$60,0,'RFM input'!$V$7)),OFFSET('RFM input'!$G$411,$A1256,0),0)))</f>
        <v>0</v>
      </c>
      <c r="M1258" s="1417">
        <f ca="1">IF(LEFT(M$6,4)&lt;=LEFT('RFM input'!$G$60,4),"enter input",IF(LEFT(M$6,4)&gt;LEFT('RFM input'!$Q$60,4),0,IF(M$6=(OFFSET('RFM input'!$G$60,0,'RFM input'!$V$7)),OFFSET('RFM input'!$G$411,$A1256,0),0)))</f>
        <v>0</v>
      </c>
      <c r="N1258" s="1417">
        <f ca="1">IF(LEFT(N$6,4)&lt;=LEFT('RFM input'!$G$60,4),"enter input",IF(LEFT(N$6,4)&gt;LEFT('RFM input'!$Q$60,4),0,IF(N$6=(OFFSET('RFM input'!$G$60,0,'RFM input'!$V$7)),OFFSET('RFM input'!$G$411,$A1256,0),0)))</f>
        <v>0</v>
      </c>
      <c r="O1258" s="1417">
        <f ca="1">IF(LEFT(O$6,4)&lt;=LEFT('RFM input'!$G$60,4),"enter input",IF(LEFT(O$6,4)&gt;LEFT('RFM input'!$Q$60,4),0,IF(O$6=(OFFSET('RFM input'!$G$60,0,'RFM input'!$V$7)),OFFSET('RFM input'!$G$411,$A1256,0),0)))</f>
        <v>0</v>
      </c>
      <c r="P1258" s="1417">
        <f ca="1">IF(LEFT(P$6,4)&lt;=LEFT('RFM input'!$G$60,4),"enter input",IF(LEFT(P$6,4)&gt;LEFT('RFM input'!$Q$60,4),0,IF(P$6=(OFFSET('RFM input'!$G$60,0,'RFM input'!$V$7)),OFFSET('RFM input'!$G$411,$A1256,0),0)))</f>
        <v>0</v>
      </c>
      <c r="Q1258" s="1417">
        <f ca="1">IF(LEFT(Q$6,4)&lt;=LEFT('RFM input'!$G$60,4),"enter input",IF(LEFT(Q$6,4)&gt;LEFT('RFM input'!$Q$60,4),0,IF(Q$6=(OFFSET('RFM input'!$G$60,0,'RFM input'!$V$7)),OFFSET('RFM input'!$G$411,$A1256,0),0)))</f>
        <v>0</v>
      </c>
      <c r="R1258" s="1417">
        <f ca="1">IF(LEFT(R$6,4)&lt;=LEFT('RFM input'!$G$60,4),"enter input",IF(LEFT(R$6,4)&gt;LEFT('RFM input'!$Q$60,4),0,IF(R$6=(OFFSET('RFM input'!$G$60,0,'RFM input'!$V$7)),OFFSET('RFM input'!$G$411,$A1256,0),0)))</f>
        <v>0</v>
      </c>
      <c r="S1258" s="1417">
        <f ca="1">IF(LEFT(S$6,4)&lt;=LEFT('RFM input'!$G$60,4),"enter input",IF(LEFT(S$6,4)&gt;LEFT('RFM input'!$Q$60,4),0,IF(S$6=(OFFSET('RFM input'!$G$60,0,'RFM input'!$V$7)),OFFSET('RFM input'!$G$411,$A1256,0),0)))</f>
        <v>0</v>
      </c>
      <c r="T1258" s="1417">
        <f ca="1">IF(LEFT(T$6,4)&lt;=LEFT('RFM input'!$G$60,4),"enter input",IF(LEFT(T$6,4)&gt;LEFT('RFM input'!$Q$60,4),0,IF(T$6=(OFFSET('RFM input'!$G$60,0,'RFM input'!$V$7)),OFFSET('RFM input'!$G$411,$A1256,0),0)))</f>
        <v>0</v>
      </c>
      <c r="U1258" s="1417">
        <f ca="1">IF(LEFT(U$6,4)&lt;=LEFT('RFM input'!$G$60,4),"enter input",IF(LEFT(U$6,4)&gt;LEFT('RFM input'!$Q$60,4),0,IF(U$6=(OFFSET('RFM input'!$G$60,0,'RFM input'!$V$7)),OFFSET('RFM input'!$G$411,$A1256,0),0)))</f>
        <v>0</v>
      </c>
      <c r="V1258" s="1417">
        <f ca="1">IF(LEFT(V$6,4)&lt;=LEFT('RFM input'!$G$60,4),"enter input",IF(LEFT(V$6,4)&gt;LEFT('RFM input'!$Q$60,4),0,IF(V$6=(OFFSET('RFM input'!$G$60,0,'RFM input'!$V$7)),OFFSET('RFM input'!$G$411,$A1256,0),0)))</f>
        <v>0</v>
      </c>
      <c r="W1258" s="1417">
        <f ca="1">IF(LEFT(W$6,4)&lt;=LEFT('RFM input'!$G$60,4),"enter input",IF(LEFT(W$6,4)&gt;LEFT('RFM input'!$Q$60,4),0,IF(W$6=(OFFSET('RFM input'!$G$60,0,'RFM input'!$V$7)),OFFSET('RFM input'!$G$411,$A1256,0),0)))</f>
        <v>0</v>
      </c>
      <c r="X1258" s="152"/>
      <c r="Y1258" s="152"/>
      <c r="Z1258" s="152"/>
      <c r="AA1258" s="152"/>
      <c r="AB1258" s="152"/>
    </row>
    <row r="1259" spans="1:28">
      <c r="A1259" s="152"/>
      <c r="B1259" s="195" t="s">
        <v>197</v>
      </c>
      <c r="C1259" s="1419"/>
      <c r="D1259" s="1418">
        <f ca="1">IF(LEFT(D$6,4)&lt;=LEFT('RFM input'!$G$60,4),"enter input",IF(LEFT(D$6,4)&gt;LEFT('RFM input'!$Q$60,4),0,IF(D$6=(OFFSET('RFM input'!$G$60,0,'RFM input'!$V$7)),OFFSET('RFM input'!$I$411,$A1256,0),0)))</f>
        <v>0</v>
      </c>
      <c r="E1259" s="1422">
        <f ca="1">IF(LEFT(E$6,4)&lt;=LEFT('RFM input'!$G$60,4),"enter input",IF(LEFT(E$6,4)&gt;LEFT('RFM input'!$Q$60,4),0,IF(E$6=(OFFSET('RFM input'!$G$60,0,'RFM input'!$V$7)),OFFSET('RFM input'!$I$411,$A1256,0),0)))</f>
        <v>0</v>
      </c>
      <c r="F1259" s="1422">
        <f ca="1">IF(LEFT(F$6,4)&lt;=LEFT('RFM input'!$G$60,4),"enter input",IF(LEFT(F$6,4)&gt;LEFT('RFM input'!$Q$60,4),0,IF(F$6=(OFFSET('RFM input'!$G$60,0,'RFM input'!$V$7)),OFFSET('RFM input'!$I$411,$A1256,0),0)))</f>
        <v>0</v>
      </c>
      <c r="G1259" s="1422">
        <f ca="1">IF(LEFT(G$6,4)&lt;=LEFT('RFM input'!$G$60,4),"enter input",IF(LEFT(G$6,4)&gt;LEFT('RFM input'!$Q$60,4),0,IF(G$6=(OFFSET('RFM input'!$G$60,0,'RFM input'!$V$7)),OFFSET('RFM input'!$I$411,$A1256,0),0)))</f>
        <v>0</v>
      </c>
      <c r="H1259" s="1422">
        <f ca="1">IF(LEFT(H$6,4)&lt;=LEFT('RFM input'!$G$60,4),"enter input",IF(LEFT(H$6,4)&gt;LEFT('RFM input'!$Q$60,4),0,IF(H$6=(OFFSET('RFM input'!$G$60,0,'RFM input'!$V$7)),OFFSET('RFM input'!$I$411,$A1256,0),0)))</f>
        <v>0</v>
      </c>
      <c r="I1259" s="1422">
        <f ca="1">IF(LEFT(I$6,4)&lt;=LEFT('RFM input'!$G$60,4),"enter input",IF(LEFT(I$6,4)&gt;LEFT('RFM input'!$Q$60,4),0,IF(I$6=(OFFSET('RFM input'!$G$60,0,'RFM input'!$V$7)),OFFSET('RFM input'!$I$411,$A1256,0),0)))</f>
        <v>0</v>
      </c>
      <c r="J1259" s="1422">
        <f ca="1">IF(LEFT(J$6,4)&lt;=LEFT('RFM input'!$G$60,4),"enter input",IF(LEFT(J$6,4)&gt;LEFT('RFM input'!$Q$60,4),0,IF(J$6=(OFFSET('RFM input'!$G$60,0,'RFM input'!$V$7)),OFFSET('RFM input'!$I$411,$A1256,0),0)))</f>
        <v>0</v>
      </c>
      <c r="K1259" s="1422">
        <f ca="1">IF(LEFT(K$6,4)&lt;=LEFT('RFM input'!$G$60,4),"enter input",IF(LEFT(K$6,4)&gt;LEFT('RFM input'!$Q$60,4),0,IF(K$6=(OFFSET('RFM input'!$G$60,0,'RFM input'!$V$7)),OFFSET('RFM input'!$I$411,$A1256,0),0)))</f>
        <v>0</v>
      </c>
      <c r="L1259" s="1422">
        <f ca="1">IF(LEFT(L$6,4)&lt;=LEFT('RFM input'!$G$60,4),"enter input",IF(LEFT(L$6,4)&gt;LEFT('RFM input'!$Q$60,4),0,IF(L$6=(OFFSET('RFM input'!$G$60,0,'RFM input'!$V$7)),OFFSET('RFM input'!$I$411,$A1256,0),0)))</f>
        <v>0</v>
      </c>
      <c r="M1259" s="1422">
        <f ca="1">IF(LEFT(M$6,4)&lt;=LEFT('RFM input'!$G$60,4),"enter input",IF(LEFT(M$6,4)&gt;LEFT('RFM input'!$Q$60,4),0,IF(M$6=(OFFSET('RFM input'!$G$60,0,'RFM input'!$V$7)),OFFSET('RFM input'!$I$411,$A1256,0),0)))</f>
        <v>0</v>
      </c>
      <c r="N1259" s="1422">
        <f ca="1">IF(LEFT(N$6,4)&lt;=LEFT('RFM input'!$G$60,4),"enter input",IF(LEFT(N$6,4)&gt;LEFT('RFM input'!$Q$60,4),0,IF(N$6=(OFFSET('RFM input'!$G$60,0,'RFM input'!$V$7)),OFFSET('RFM input'!$I$411,$A1256,0),0)))</f>
        <v>0</v>
      </c>
      <c r="O1259" s="1422">
        <f ca="1">IF(LEFT(O$6,4)&lt;=LEFT('RFM input'!$G$60,4),"enter input",IF(LEFT(O$6,4)&gt;LEFT('RFM input'!$Q$60,4),0,IF(O$6=(OFFSET('RFM input'!$G$60,0,'RFM input'!$V$7)),OFFSET('RFM input'!$I$411,$A1256,0),0)))</f>
        <v>0</v>
      </c>
      <c r="P1259" s="1422">
        <f ca="1">IF(LEFT(P$6,4)&lt;=LEFT('RFM input'!$G$60,4),"enter input",IF(LEFT(P$6,4)&gt;LEFT('RFM input'!$Q$60,4),0,IF(P$6=(OFFSET('RFM input'!$G$60,0,'RFM input'!$V$7)),OFFSET('RFM input'!$I$411,$A1256,0),0)))</f>
        <v>0</v>
      </c>
      <c r="Q1259" s="1422">
        <f ca="1">IF(LEFT(Q$6,4)&lt;=LEFT('RFM input'!$G$60,4),"enter input",IF(LEFT(Q$6,4)&gt;LEFT('RFM input'!$Q$60,4),0,IF(Q$6=(OFFSET('RFM input'!$G$60,0,'RFM input'!$V$7)),OFFSET('RFM input'!$I$411,$A1256,0),0)))</f>
        <v>0</v>
      </c>
      <c r="R1259" s="1422">
        <f ca="1">IF(LEFT(R$6,4)&lt;=LEFT('RFM input'!$G$60,4),"enter input",IF(LEFT(R$6,4)&gt;LEFT('RFM input'!$Q$60,4),0,IF(R$6=(OFFSET('RFM input'!$G$60,0,'RFM input'!$V$7)),OFFSET('RFM input'!$I$411,$A1256,0),0)))</f>
        <v>0</v>
      </c>
      <c r="S1259" s="1422">
        <f ca="1">IF(LEFT(S$6,4)&lt;=LEFT('RFM input'!$G$60,4),"enter input",IF(LEFT(S$6,4)&gt;LEFT('RFM input'!$Q$60,4),0,IF(S$6=(OFFSET('RFM input'!$G$60,0,'RFM input'!$V$7)),OFFSET('RFM input'!$I$411,$A1256,0),0)))</f>
        <v>0</v>
      </c>
      <c r="T1259" s="1422">
        <f ca="1">IF(LEFT(T$6,4)&lt;=LEFT('RFM input'!$G$60,4),"enter input",IF(LEFT(T$6,4)&gt;LEFT('RFM input'!$Q$60,4),0,IF(T$6=(OFFSET('RFM input'!$G$60,0,'RFM input'!$V$7)),OFFSET('RFM input'!$I$411,$A1256,0),0)))</f>
        <v>0</v>
      </c>
      <c r="U1259" s="1422">
        <f ca="1">IF(LEFT(U$6,4)&lt;=LEFT('RFM input'!$G$60,4),"enter input",IF(LEFT(U$6,4)&gt;LEFT('RFM input'!$Q$60,4),0,IF(U$6=(OFFSET('RFM input'!$G$60,0,'RFM input'!$V$7)),OFFSET('RFM input'!$I$411,$A1256,0),0)))</f>
        <v>0</v>
      </c>
      <c r="V1259" s="1422">
        <f ca="1">IF(LEFT(V$6,4)&lt;=LEFT('RFM input'!$G$60,4),"enter input",IF(LEFT(V$6,4)&gt;LEFT('RFM input'!$Q$60,4),0,IF(V$6=(OFFSET('RFM input'!$G$60,0,'RFM input'!$V$7)),OFFSET('RFM input'!$I$411,$A1256,0),0)))</f>
        <v>0</v>
      </c>
      <c r="W1259" s="1422">
        <f ca="1">IF(LEFT(W$6,4)&lt;=LEFT('RFM input'!$G$60,4),"enter input",IF(LEFT(W$6,4)&gt;LEFT('RFM input'!$Q$60,4),0,IF(W$6=(OFFSET('RFM input'!$G$60,0,'RFM input'!$V$7)),OFFSET('RFM input'!$I$411,$A1256,0),0)))</f>
        <v>0</v>
      </c>
      <c r="X1259" s="152"/>
      <c r="Y1259" s="152"/>
      <c r="Z1259" s="152"/>
      <c r="AA1259" s="152"/>
      <c r="AB1259" s="152"/>
    </row>
    <row r="1260" spans="1:28" hidden="1" outlineLevel="1">
      <c r="A1260" s="235">
        <v>-1</v>
      </c>
      <c r="B1260" s="190" t="s">
        <v>189</v>
      </c>
      <c r="C1260" s="1423"/>
      <c r="D1260" s="1423">
        <f ca="1">IF(AND(D1258=0,C1260=0),0,
IF(AND(D1258&lt;&gt;0,C1260=0),(D1258/D$10),
IF(AND(D1259&lt;&gt;0,C1260&lt;&gt;0),(C1260-(C1260/C1284))+(D1258/D$10),
IF(C1284&lt;1,0,(C1260-(C1260/C1284))))))</f>
        <v>0</v>
      </c>
      <c r="E1260" s="1423">
        <f t="shared" ref="E1260" ca="1" si="1828">IF(AND(E1258=0,D1260=0),0,
IF(AND(E1258&lt;&gt;0,D1260=0),(E1258/E$10),
IF(AND(E1259&lt;&gt;0,D1260&lt;&gt;0),(D1260-(D1260/D1284))+(E1258/E$10),
IF(D1284&lt;1,0,(D1260-(D1260/D1284))))))</f>
        <v>0</v>
      </c>
      <c r="F1260" s="1423">
        <f t="shared" ref="F1260" ca="1" si="1829">IF(AND(F1258=0,E1260=0),0,
IF(AND(F1258&lt;&gt;0,E1260=0),(F1258/F$10),
IF(AND(F1259&lt;&gt;0,E1260&lt;&gt;0),(E1260-(E1260/E1284))+(F1258/F$10),
IF(E1284&lt;1,0,(E1260-(E1260/E1284))))))</f>
        <v>0</v>
      </c>
      <c r="G1260" s="1423">
        <f t="shared" ref="G1260" ca="1" si="1830">IF(AND(G1258=0,F1260=0),0,
IF(AND(G1258&lt;&gt;0,F1260=0),(G1258/G$10),
IF(AND(G1259&lt;&gt;0,F1260&lt;&gt;0),(F1260-(F1260/F1284))+(G1258/G$10),
IF(F1284&lt;1,0,(F1260-(F1260/F1284))))))</f>
        <v>0</v>
      </c>
      <c r="H1260" s="1423">
        <f t="shared" ref="H1260" ca="1" si="1831">IF(AND(H1258=0,G1260=0),0,
IF(AND(H1258&lt;&gt;0,G1260=0),(H1258/H$10),
IF(AND(H1259&lt;&gt;0,G1260&lt;&gt;0),(G1260-(G1260/G1284))+(H1258/H$10),
IF(G1284&lt;1,0,(G1260-(G1260/G1284))))))</f>
        <v>0</v>
      </c>
      <c r="I1260" s="1423">
        <f t="shared" ref="I1260" ca="1" si="1832">IF(AND(I1258=0,H1260=0),0,
IF(AND(I1258&lt;&gt;0,H1260=0),(I1258/I$10),
IF(AND(I1259&lt;&gt;0,H1260&lt;&gt;0),(H1260-(H1260/H1284))+(I1258/I$10),
IF(H1284&lt;1,0,(H1260-(H1260/H1284))))))</f>
        <v>0</v>
      </c>
      <c r="J1260" s="1423">
        <f t="shared" ref="J1260" ca="1" si="1833">IF(AND(J1258=0,I1260=0),0,
IF(AND(J1258&lt;&gt;0,I1260=0),(J1258/J$10),
IF(AND(J1259&lt;&gt;0,I1260&lt;&gt;0),(I1260-(I1260/I1284))+(J1258/J$10),
IF(I1284&lt;1,0,(I1260-(I1260/I1284))))))</f>
        <v>0</v>
      </c>
      <c r="K1260" s="1423">
        <f t="shared" ref="K1260" ca="1" si="1834">IF(AND(K1258=0,J1260=0),0,
IF(AND(K1258&lt;&gt;0,J1260=0),(K1258/K$10),
IF(AND(K1259&lt;&gt;0,J1260&lt;&gt;0),(J1260-(J1260/J1284))+(K1258/K$10),
IF(J1284&lt;1,0,(J1260-(J1260/J1284))))))</f>
        <v>0</v>
      </c>
      <c r="L1260" s="1423">
        <f t="shared" ref="L1260" ca="1" si="1835">IF(AND(L1258=0,K1260=0),0,
IF(AND(L1258&lt;&gt;0,K1260=0),(L1258/L$10),
IF(AND(L1259&lt;&gt;0,K1260&lt;&gt;0),(K1260-(K1260/K1284))+(L1258/L$10),
IF(K1284&lt;1,0,(K1260-(K1260/K1284))))))</f>
        <v>0</v>
      </c>
      <c r="M1260" s="1423">
        <f t="shared" ref="M1260" ca="1" si="1836">IF(AND(M1258=0,L1260=0),0,
IF(AND(M1258&lt;&gt;0,L1260=0),(M1258/M$10),
IF(AND(M1259&lt;&gt;0,L1260&lt;&gt;0),(L1260-(L1260/L1284))+(M1258/M$10),
IF(L1284&lt;1,0,(L1260-(L1260/L1284))))))</f>
        <v>0</v>
      </c>
      <c r="N1260" s="1423">
        <f t="shared" ref="N1260" ca="1" si="1837">IF(AND(N1258=0,M1260=0),0,
IF(AND(N1258&lt;&gt;0,M1260=0),(N1258/N$10),
IF(AND(N1259&lt;&gt;0,M1260&lt;&gt;0),(M1260-(M1260/M1284))+(N1258/N$10),
IF(M1284&lt;1,0,(M1260-(M1260/M1284))))))</f>
        <v>0</v>
      </c>
      <c r="O1260" s="1423">
        <f t="shared" ref="O1260" ca="1" si="1838">IF(AND(O1258=0,N1260=0),0,
IF(AND(O1258&lt;&gt;0,N1260=0),(O1258/O$10),
IF(AND(O1259&lt;&gt;0,N1260&lt;&gt;0),(N1260-(N1260/N1284))+(O1258/O$10),
IF(N1284&lt;1,0,(N1260-(N1260/N1284))))))</f>
        <v>0</v>
      </c>
      <c r="P1260" s="1423">
        <f t="shared" ref="P1260" ca="1" si="1839">IF(AND(P1258=0,O1260=0),0,
IF(AND(P1258&lt;&gt;0,O1260=0),(P1258/P$10),
IF(AND(P1259&lt;&gt;0,O1260&lt;&gt;0),(O1260-(O1260/O1284))+(P1258/P$10),
IF(O1284&lt;1,0,(O1260-(O1260/O1284))))))</f>
        <v>0</v>
      </c>
      <c r="Q1260" s="1423">
        <f t="shared" ref="Q1260" ca="1" si="1840">IF(AND(Q1258=0,P1260=0),0,
IF(AND(Q1258&lt;&gt;0,P1260=0),(Q1258/Q$10),
IF(AND(Q1259&lt;&gt;0,P1260&lt;&gt;0),(P1260-(P1260/P1284))+(Q1258/Q$10),
IF(P1284&lt;1,0,(P1260-(P1260/P1284))))))</f>
        <v>0</v>
      </c>
      <c r="R1260" s="1423">
        <f t="shared" ref="R1260" ca="1" si="1841">IF(AND(R1258=0,Q1260=0),0,
IF(AND(R1258&lt;&gt;0,Q1260=0),(R1258/R$10),
IF(AND(R1259&lt;&gt;0,Q1260&lt;&gt;0),(Q1260-(Q1260/Q1284))+(R1258/R$10),
IF(Q1284&lt;1,0,(Q1260-(Q1260/Q1284))))))</f>
        <v>0</v>
      </c>
      <c r="S1260" s="1423">
        <f t="shared" ref="S1260" ca="1" si="1842">IF(AND(S1258=0,R1260=0),0,
IF(AND(S1258&lt;&gt;0,R1260=0),(S1258/S$10),
IF(AND(S1259&lt;&gt;0,R1260&lt;&gt;0),(R1260-(R1260/R1284))+(S1258/S$10),
IF(R1284&lt;1,0,(R1260-(R1260/R1284))))))</f>
        <v>0</v>
      </c>
      <c r="T1260" s="1423">
        <f t="shared" ref="T1260" ca="1" si="1843">IF(AND(T1258=0,S1260=0),0,
IF(AND(T1258&lt;&gt;0,S1260=0),(T1258/T$10),
IF(AND(T1259&lt;&gt;0,S1260&lt;&gt;0),(S1260-(S1260/S1284))+(T1258/T$10),
IF(S1284&lt;1,0,(S1260-(S1260/S1284))))))</f>
        <v>0</v>
      </c>
      <c r="U1260" s="1423">
        <f t="shared" ref="U1260" ca="1" si="1844">IF(AND(U1258=0,T1260=0),0,
IF(AND(U1258&lt;&gt;0,T1260=0),(U1258/U$10),
IF(AND(U1259&lt;&gt;0,T1260&lt;&gt;0),(T1260-(T1260/T1284))+(U1258/U$10),
IF(T1284&lt;1,0,(T1260-(T1260/T1284))))))</f>
        <v>0</v>
      </c>
      <c r="V1260" s="1423">
        <f t="shared" ref="V1260" ca="1" si="1845">IF(AND(V1258=0,U1260=0),0,
IF(AND(V1258&lt;&gt;0,U1260=0),(V1258/V$10),
IF(AND(V1259&lt;&gt;0,U1260&lt;&gt;0),(U1260-(U1260/U1284))+(V1258/V$10),
IF(U1284&lt;1,0,(U1260-(U1260/U1284))))))</f>
        <v>0</v>
      </c>
      <c r="W1260" s="1423">
        <f t="shared" ref="W1260" ca="1" si="1846">IF(AND(W1258=0,V1260=0),0,
IF(AND(W1258&lt;&gt;0,V1260=0),(W1258/W$10),
IF(AND(W1259&lt;&gt;0,V1260&lt;&gt;0),(V1260-(V1260/V1284))+(W1258/W$10),
IF(V1284&lt;1,0,(V1260-(V1260/V1284))))))</f>
        <v>0</v>
      </c>
      <c r="X1260" s="152"/>
      <c r="Y1260" s="152"/>
      <c r="Z1260" s="152"/>
      <c r="AA1260" s="152"/>
      <c r="AB1260" s="152"/>
    </row>
    <row r="1261" spans="1:28" hidden="1" outlineLevel="1">
      <c r="A1261" s="199">
        <f>A1260+1</f>
        <v>0</v>
      </c>
      <c r="B1261" s="190" t="s">
        <v>125</v>
      </c>
      <c r="C1261" s="1423">
        <f ca="1">C1256/C$10</f>
        <v>0</v>
      </c>
      <c r="D1261" s="1423">
        <f ca="1">IF(C1285="n/a",C1261,IFERROR(IF((OFFSET($C1261,0,$A1261))&lt;0,
MIN(0,C1261-(OFFSET($C1261,0,$A1261)/(OFFSET($C1256,-$A1260,$A1261)))),
MAX(0,C1261-(OFFSET($C1261,0,$A1261)/(OFFSET($C1256,-$A1260,$A1261))))),0))</f>
        <v>0</v>
      </c>
      <c r="E1261" s="1423">
        <f t="shared" ref="E1261" ca="1" si="1847">IF(D1285="n/a",D1261,IFERROR(IF((OFFSET($C1261,0,$A1261))&lt;0,
MIN(0,D1261-(OFFSET($C1261,0,$A1261)/(OFFSET($C1256,-$A1260,$A1261)))),
MAX(0,D1261-(OFFSET($C1261,0,$A1261)/(OFFSET($C1256,-$A1260,$A1261))))),0))</f>
        <v>0</v>
      </c>
      <c r="F1261" s="1423">
        <f t="shared" ref="F1261:F1262" ca="1" si="1848">IF(E1285="n/a",E1261,IFERROR(IF((OFFSET($C1261,0,$A1261))&lt;0,
MIN(0,E1261-(OFFSET($C1261,0,$A1261)/(OFFSET($C1256,-$A1260,$A1261)))),
MAX(0,E1261-(OFFSET($C1261,0,$A1261)/(OFFSET($C1256,-$A1260,$A1261))))),0))</f>
        <v>0</v>
      </c>
      <c r="G1261" s="1423">
        <f t="shared" ref="G1261:G1263" ca="1" si="1849">IF(F1285="n/a",F1261,IFERROR(IF((OFFSET($C1261,0,$A1261))&lt;0,
MIN(0,F1261-(OFFSET($C1261,0,$A1261)/(OFFSET($C1256,-$A1260,$A1261)))),
MAX(0,F1261-(OFFSET($C1261,0,$A1261)/(OFFSET($C1256,-$A1260,$A1261))))),0))</f>
        <v>0</v>
      </c>
      <c r="H1261" s="1423">
        <f t="shared" ref="H1261:H1264" ca="1" si="1850">IF(G1285="n/a",G1261,IFERROR(IF((OFFSET($C1261,0,$A1261))&lt;0,
MIN(0,G1261-(OFFSET($C1261,0,$A1261)/(OFFSET($C1256,-$A1260,$A1261)))),
MAX(0,G1261-(OFFSET($C1261,0,$A1261)/(OFFSET($C1256,-$A1260,$A1261))))),0))</f>
        <v>0</v>
      </c>
      <c r="I1261" s="1423">
        <f t="shared" ref="I1261:I1265" ca="1" si="1851">IF(H1285="n/a",H1261,IFERROR(IF((OFFSET($C1261,0,$A1261))&lt;0,
MIN(0,H1261-(OFFSET($C1261,0,$A1261)/(OFFSET($C1256,-$A1260,$A1261)))),
MAX(0,H1261-(OFFSET($C1261,0,$A1261)/(OFFSET($C1256,-$A1260,$A1261))))),0))</f>
        <v>0</v>
      </c>
      <c r="J1261" s="1423">
        <f t="shared" ref="J1261:J1266" ca="1" si="1852">IF(I1285="n/a",I1261,IFERROR(IF((OFFSET($C1261,0,$A1261))&lt;0,
MIN(0,I1261-(OFFSET($C1261,0,$A1261)/(OFFSET($C1256,-$A1260,$A1261)))),
MAX(0,I1261-(OFFSET($C1261,0,$A1261)/(OFFSET($C1256,-$A1260,$A1261))))),0))</f>
        <v>0</v>
      </c>
      <c r="K1261" s="1423">
        <f t="shared" ref="K1261:K1267" ca="1" si="1853">IF(J1285="n/a",J1261,IFERROR(IF((OFFSET($C1261,0,$A1261))&lt;0,
MIN(0,J1261-(OFFSET($C1261,0,$A1261)/(OFFSET($C1256,-$A1260,$A1261)))),
MAX(0,J1261-(OFFSET($C1261,0,$A1261)/(OFFSET($C1256,-$A1260,$A1261))))),0))</f>
        <v>0</v>
      </c>
      <c r="L1261" s="1423">
        <f t="shared" ref="L1261:L1268" ca="1" si="1854">IF(K1285="n/a",K1261,IFERROR(IF((OFFSET($C1261,0,$A1261))&lt;0,
MIN(0,K1261-(OFFSET($C1261,0,$A1261)/(OFFSET($C1256,-$A1260,$A1261)))),
MAX(0,K1261-(OFFSET($C1261,0,$A1261)/(OFFSET($C1256,-$A1260,$A1261))))),0))</f>
        <v>0</v>
      </c>
      <c r="M1261" s="1423">
        <f t="shared" ref="M1261:M1269" ca="1" si="1855">IF(L1285="n/a",L1261,IFERROR(IF((OFFSET($C1261,0,$A1261))&lt;0,
MIN(0,L1261-(OFFSET($C1261,0,$A1261)/(OFFSET($C1256,-$A1260,$A1261)))),
MAX(0,L1261-(OFFSET($C1261,0,$A1261)/(OFFSET($C1256,-$A1260,$A1261))))),0))</f>
        <v>0</v>
      </c>
      <c r="N1261" s="1423">
        <f t="shared" ref="N1261:N1270" ca="1" si="1856">IF(M1285="n/a",M1261,IFERROR(IF((OFFSET($C1261,0,$A1261))&lt;0,
MIN(0,M1261-(OFFSET($C1261,0,$A1261)/(OFFSET($C1256,-$A1260,$A1261)))),
MAX(0,M1261-(OFFSET($C1261,0,$A1261)/(OFFSET($C1256,-$A1260,$A1261))))),0))</f>
        <v>0</v>
      </c>
      <c r="O1261" s="1423">
        <f t="shared" ref="O1261:O1271" ca="1" si="1857">IF(N1285="n/a",N1261,IFERROR(IF((OFFSET($C1261,0,$A1261))&lt;0,
MIN(0,N1261-(OFFSET($C1261,0,$A1261)/(OFFSET($C1256,-$A1260,$A1261)))),
MAX(0,N1261-(OFFSET($C1261,0,$A1261)/(OFFSET($C1256,-$A1260,$A1261))))),0))</f>
        <v>0</v>
      </c>
      <c r="P1261" s="1423">
        <f t="shared" ref="P1261:P1272" ca="1" si="1858">IF(O1285="n/a",O1261,IFERROR(IF((OFFSET($C1261,0,$A1261))&lt;0,
MIN(0,O1261-(OFFSET($C1261,0,$A1261)/(OFFSET($C1256,-$A1260,$A1261)))),
MAX(0,O1261-(OFFSET($C1261,0,$A1261)/(OFFSET($C1256,-$A1260,$A1261))))),0))</f>
        <v>0</v>
      </c>
      <c r="Q1261" s="1423">
        <f t="shared" ref="Q1261:Q1273" ca="1" si="1859">IF(P1285="n/a",P1261,IFERROR(IF((OFFSET($C1261,0,$A1261))&lt;0,
MIN(0,P1261-(OFFSET($C1261,0,$A1261)/(OFFSET($C1256,-$A1260,$A1261)))),
MAX(0,P1261-(OFFSET($C1261,0,$A1261)/(OFFSET($C1256,-$A1260,$A1261))))),0))</f>
        <v>0</v>
      </c>
      <c r="R1261" s="1423">
        <f t="shared" ref="R1261:R1274" ca="1" si="1860">IF(Q1285="n/a",Q1261,IFERROR(IF((OFFSET($C1261,0,$A1261))&lt;0,
MIN(0,Q1261-(OFFSET($C1261,0,$A1261)/(OFFSET($C1256,-$A1260,$A1261)))),
MAX(0,Q1261-(OFFSET($C1261,0,$A1261)/(OFFSET($C1256,-$A1260,$A1261))))),0))</f>
        <v>0</v>
      </c>
      <c r="S1261" s="1423">
        <f t="shared" ref="S1261:S1275" ca="1" si="1861">IF(R1285="n/a",R1261,IFERROR(IF((OFFSET($C1261,0,$A1261))&lt;0,
MIN(0,R1261-(OFFSET($C1261,0,$A1261)/(OFFSET($C1256,-$A1260,$A1261)))),
MAX(0,R1261-(OFFSET($C1261,0,$A1261)/(OFFSET($C1256,-$A1260,$A1261))))),0))</f>
        <v>0</v>
      </c>
      <c r="T1261" s="1423">
        <f t="shared" ref="T1261:T1276" ca="1" si="1862">IF(S1285="n/a",S1261,IFERROR(IF((OFFSET($C1261,0,$A1261))&lt;0,
MIN(0,S1261-(OFFSET($C1261,0,$A1261)/(OFFSET($C1256,-$A1260,$A1261)))),
MAX(0,S1261-(OFFSET($C1261,0,$A1261)/(OFFSET($C1256,-$A1260,$A1261))))),0))</f>
        <v>0</v>
      </c>
      <c r="U1261" s="1423">
        <f t="shared" ref="U1261:U1277" ca="1" si="1863">IF(T1285="n/a",T1261,IFERROR(IF((OFFSET($C1261,0,$A1261))&lt;0,
MIN(0,T1261-(OFFSET($C1261,0,$A1261)/(OFFSET($C1256,-$A1260,$A1261)))),
MAX(0,T1261-(OFFSET($C1261,0,$A1261)/(OFFSET($C1256,-$A1260,$A1261))))),0))</f>
        <v>0</v>
      </c>
      <c r="V1261" s="1423">
        <f t="shared" ref="V1261:V1278" ca="1" si="1864">IF(U1285="n/a",U1261,IFERROR(IF((OFFSET($C1261,0,$A1261))&lt;0,
MIN(0,U1261-(OFFSET($C1261,0,$A1261)/(OFFSET($C1256,-$A1260,$A1261)))),
MAX(0,U1261-(OFFSET($C1261,0,$A1261)/(OFFSET($C1256,-$A1260,$A1261))))),0))</f>
        <v>0</v>
      </c>
      <c r="W1261" s="1423">
        <f t="shared" ref="W1261:W1279" ca="1" si="1865">IF(V1285="n/a",V1261,IFERROR(IF((OFFSET($C1261,0,$A1261))&lt;0,
MIN(0,V1261-(OFFSET($C1261,0,$A1261)/(OFFSET($C1256,-$A1260,$A1261)))),
MAX(0,V1261-(OFFSET($C1261,0,$A1261)/(OFFSET($C1256,-$A1260,$A1261))))),0))</f>
        <v>0</v>
      </c>
      <c r="X1261" s="152"/>
      <c r="Y1261" s="152"/>
      <c r="Z1261" s="152"/>
      <c r="AA1261" s="152"/>
      <c r="AB1261" s="152"/>
    </row>
    <row r="1262" spans="1:28" hidden="1" outlineLevel="1">
      <c r="A1262" s="199">
        <f t="shared" ref="A1262:A1281" si="1866">A1261+1</f>
        <v>1</v>
      </c>
      <c r="B1262" s="190" t="str">
        <f t="shared" ref="B1262:B1280" ca="1" si="1867">"Depreciated Net Capex "&amp;OFFSET($C$6,0,A1262)</f>
        <v>Depreciated Net Capex 2016-17</v>
      </c>
      <c r="C1262" s="1424"/>
      <c r="D1262" s="1425">
        <f>(D1256*((1+D$11)^0.5)/D$10)</f>
        <v>0</v>
      </c>
      <c r="E1262" s="1423">
        <f ca="1">IF(D1286="n/a",D1262,IFERROR(IF((OFFSET($C1262,0,$A1262))&lt;0,
MIN(0,D1262-(OFFSET($C1262,0,$A1262)/(OFFSET($C1257,-$A1261,$A1262)))),
MAX(0,D1262-(OFFSET($C1262,0,$A1262)/(OFFSET($C1257,-$A1261,$A1262))))),0))</f>
        <v>0</v>
      </c>
      <c r="F1262" s="1423">
        <f t="shared" ca="1" si="1848"/>
        <v>0</v>
      </c>
      <c r="G1262" s="1423">
        <f t="shared" ca="1" si="1849"/>
        <v>0</v>
      </c>
      <c r="H1262" s="1423">
        <f t="shared" ca="1" si="1850"/>
        <v>0</v>
      </c>
      <c r="I1262" s="1423">
        <f t="shared" ca="1" si="1851"/>
        <v>0</v>
      </c>
      <c r="J1262" s="1423">
        <f t="shared" ca="1" si="1852"/>
        <v>0</v>
      </c>
      <c r="K1262" s="1423">
        <f t="shared" ca="1" si="1853"/>
        <v>0</v>
      </c>
      <c r="L1262" s="1423">
        <f t="shared" ca="1" si="1854"/>
        <v>0</v>
      </c>
      <c r="M1262" s="1423">
        <f t="shared" ca="1" si="1855"/>
        <v>0</v>
      </c>
      <c r="N1262" s="1423">
        <f t="shared" ca="1" si="1856"/>
        <v>0</v>
      </c>
      <c r="O1262" s="1423">
        <f t="shared" ca="1" si="1857"/>
        <v>0</v>
      </c>
      <c r="P1262" s="1423">
        <f t="shared" ca="1" si="1858"/>
        <v>0</v>
      </c>
      <c r="Q1262" s="1423">
        <f t="shared" ca="1" si="1859"/>
        <v>0</v>
      </c>
      <c r="R1262" s="1423">
        <f t="shared" ca="1" si="1860"/>
        <v>0</v>
      </c>
      <c r="S1262" s="1423">
        <f t="shared" ca="1" si="1861"/>
        <v>0</v>
      </c>
      <c r="T1262" s="1423">
        <f t="shared" ca="1" si="1862"/>
        <v>0</v>
      </c>
      <c r="U1262" s="1423">
        <f t="shared" ca="1" si="1863"/>
        <v>0</v>
      </c>
      <c r="V1262" s="1423">
        <f t="shared" ca="1" si="1864"/>
        <v>0</v>
      </c>
      <c r="W1262" s="1423">
        <f t="shared" ca="1" si="1865"/>
        <v>0</v>
      </c>
      <c r="X1262" s="152"/>
      <c r="Y1262" s="152"/>
      <c r="Z1262" s="152"/>
      <c r="AA1262" s="152"/>
      <c r="AB1262" s="152"/>
    </row>
    <row r="1263" spans="1:28" hidden="1" outlineLevel="1">
      <c r="A1263" s="199">
        <f t="shared" si="1866"/>
        <v>2</v>
      </c>
      <c r="B1263" s="190" t="str">
        <f t="shared" ca="1" si="1867"/>
        <v>Depreciated Net Capex 2017-18</v>
      </c>
      <c r="C1263" s="1426"/>
      <c r="D1263" s="1427"/>
      <c r="E1263" s="1425">
        <f>(E1256*((1+E$11)^0.5)/E$10)</f>
        <v>0</v>
      </c>
      <c r="F1263" s="1423">
        <f ca="1">IF(E1287="n/a",E1263,IFERROR(IF((OFFSET($C1263,0,$A1263))&lt;0,
MIN(0,E1263-(OFFSET($C1263,0,$A1263)/(OFFSET($C1258,-$A1262,$A1263)))),
MAX(0,E1263-(OFFSET($C1263,0,$A1263)/(OFFSET($C1258,-$A1262,$A1263))))),0))</f>
        <v>0</v>
      </c>
      <c r="G1263" s="1423">
        <f t="shared" ca="1" si="1849"/>
        <v>0</v>
      </c>
      <c r="H1263" s="1423">
        <f t="shared" ca="1" si="1850"/>
        <v>0</v>
      </c>
      <c r="I1263" s="1423">
        <f t="shared" ca="1" si="1851"/>
        <v>0</v>
      </c>
      <c r="J1263" s="1423">
        <f t="shared" ca="1" si="1852"/>
        <v>0</v>
      </c>
      <c r="K1263" s="1423">
        <f t="shared" ca="1" si="1853"/>
        <v>0</v>
      </c>
      <c r="L1263" s="1423">
        <f t="shared" ca="1" si="1854"/>
        <v>0</v>
      </c>
      <c r="M1263" s="1423">
        <f t="shared" ca="1" si="1855"/>
        <v>0</v>
      </c>
      <c r="N1263" s="1423">
        <f t="shared" ca="1" si="1856"/>
        <v>0</v>
      </c>
      <c r="O1263" s="1423">
        <f t="shared" ca="1" si="1857"/>
        <v>0</v>
      </c>
      <c r="P1263" s="1423">
        <f t="shared" ca="1" si="1858"/>
        <v>0</v>
      </c>
      <c r="Q1263" s="1423">
        <f t="shared" ca="1" si="1859"/>
        <v>0</v>
      </c>
      <c r="R1263" s="1423">
        <f t="shared" ca="1" si="1860"/>
        <v>0</v>
      </c>
      <c r="S1263" s="1423">
        <f t="shared" ca="1" si="1861"/>
        <v>0</v>
      </c>
      <c r="T1263" s="1423">
        <f t="shared" ca="1" si="1862"/>
        <v>0</v>
      </c>
      <c r="U1263" s="1423">
        <f t="shared" ca="1" si="1863"/>
        <v>0</v>
      </c>
      <c r="V1263" s="1423">
        <f t="shared" ca="1" si="1864"/>
        <v>0</v>
      </c>
      <c r="W1263" s="1423">
        <f t="shared" ca="1" si="1865"/>
        <v>0</v>
      </c>
      <c r="X1263" s="202"/>
      <c r="Y1263" s="152"/>
      <c r="Z1263" s="152"/>
      <c r="AA1263" s="152"/>
      <c r="AB1263" s="152"/>
    </row>
    <row r="1264" spans="1:28" hidden="1" outlineLevel="1">
      <c r="A1264" s="199">
        <f t="shared" si="1866"/>
        <v>3</v>
      </c>
      <c r="B1264" s="190" t="str">
        <f t="shared" ca="1" si="1867"/>
        <v>Depreciated Net Capex 2018-19</v>
      </c>
      <c r="C1264" s="1426"/>
      <c r="D1264" s="1426"/>
      <c r="E1264" s="1427"/>
      <c r="F1264" s="1428">
        <f>($F1256*((1+F$11)^0.5)/F$10)</f>
        <v>0</v>
      </c>
      <c r="G1264" s="1423">
        <f ca="1">IF(F1288="n/a",F1264,IFERROR(IF((OFFSET($C1264,0,$A1264))&lt;0,
MIN(0,F1264-(OFFSET($C1264,0,$A1264)/(OFFSET($C1259,-$A1263,$A1264)))),
MAX(0,F1264-(OFFSET($C1264,0,$A1264)/(OFFSET($C1259,-$A1263,$A1264))))),0))</f>
        <v>0</v>
      </c>
      <c r="H1264" s="1423">
        <f t="shared" ca="1" si="1850"/>
        <v>0</v>
      </c>
      <c r="I1264" s="1423">
        <f t="shared" ca="1" si="1851"/>
        <v>0</v>
      </c>
      <c r="J1264" s="1423">
        <f t="shared" ca="1" si="1852"/>
        <v>0</v>
      </c>
      <c r="K1264" s="1423">
        <f t="shared" ca="1" si="1853"/>
        <v>0</v>
      </c>
      <c r="L1264" s="1423">
        <f t="shared" ca="1" si="1854"/>
        <v>0</v>
      </c>
      <c r="M1264" s="1423">
        <f t="shared" ca="1" si="1855"/>
        <v>0</v>
      </c>
      <c r="N1264" s="1423">
        <f t="shared" ca="1" si="1856"/>
        <v>0</v>
      </c>
      <c r="O1264" s="1423">
        <f t="shared" ca="1" si="1857"/>
        <v>0</v>
      </c>
      <c r="P1264" s="1423">
        <f t="shared" ca="1" si="1858"/>
        <v>0</v>
      </c>
      <c r="Q1264" s="1423">
        <f t="shared" ca="1" si="1859"/>
        <v>0</v>
      </c>
      <c r="R1264" s="1423">
        <f t="shared" ca="1" si="1860"/>
        <v>0</v>
      </c>
      <c r="S1264" s="1423">
        <f t="shared" ca="1" si="1861"/>
        <v>0</v>
      </c>
      <c r="T1264" s="1423">
        <f t="shared" ca="1" si="1862"/>
        <v>0</v>
      </c>
      <c r="U1264" s="1423">
        <f t="shared" ca="1" si="1863"/>
        <v>0</v>
      </c>
      <c r="V1264" s="1423">
        <f t="shared" ca="1" si="1864"/>
        <v>0</v>
      </c>
      <c r="W1264" s="1423">
        <f t="shared" ca="1" si="1865"/>
        <v>0</v>
      </c>
      <c r="X1264" s="202"/>
      <c r="Y1264" s="202"/>
      <c r="Z1264" s="152"/>
      <c r="AA1264" s="152"/>
      <c r="AB1264" s="152"/>
    </row>
    <row r="1265" spans="1:28" hidden="1" outlineLevel="1">
      <c r="A1265" s="199">
        <f t="shared" si="1866"/>
        <v>4</v>
      </c>
      <c r="B1265" s="190" t="str">
        <f t="shared" ca="1" si="1867"/>
        <v>Depreciated Net Capex 2019-20</v>
      </c>
      <c r="C1265" s="1426"/>
      <c r="D1265" s="1426"/>
      <c r="E1265" s="1426"/>
      <c r="F1265" s="1427"/>
      <c r="G1265" s="1428">
        <f>($G1256*((1+G$11)^0.5)/G$10)</f>
        <v>0</v>
      </c>
      <c r="H1265" s="1423">
        <f ca="1">IF(G1289="n/a",G1265,IFERROR(IF((OFFSET($C1265,0,$A1265))&lt;0,
MIN(0,G1265-(OFFSET($C1265,0,$A1265)/(OFFSET($C1260,-$A1264,$A1265)))),
MAX(0,G1265-(OFFSET($C1265,0,$A1265)/(OFFSET($C1260,-$A1264,$A1265))))),0))</f>
        <v>0</v>
      </c>
      <c r="I1265" s="1423">
        <f t="shared" ca="1" si="1851"/>
        <v>0</v>
      </c>
      <c r="J1265" s="1423">
        <f t="shared" ca="1" si="1852"/>
        <v>0</v>
      </c>
      <c r="K1265" s="1423">
        <f t="shared" ca="1" si="1853"/>
        <v>0</v>
      </c>
      <c r="L1265" s="1423">
        <f t="shared" ca="1" si="1854"/>
        <v>0</v>
      </c>
      <c r="M1265" s="1423">
        <f t="shared" ca="1" si="1855"/>
        <v>0</v>
      </c>
      <c r="N1265" s="1423">
        <f t="shared" ca="1" si="1856"/>
        <v>0</v>
      </c>
      <c r="O1265" s="1423">
        <f t="shared" ca="1" si="1857"/>
        <v>0</v>
      </c>
      <c r="P1265" s="1423">
        <f t="shared" ca="1" si="1858"/>
        <v>0</v>
      </c>
      <c r="Q1265" s="1423">
        <f t="shared" ca="1" si="1859"/>
        <v>0</v>
      </c>
      <c r="R1265" s="1423">
        <f t="shared" ca="1" si="1860"/>
        <v>0</v>
      </c>
      <c r="S1265" s="1423">
        <f t="shared" ca="1" si="1861"/>
        <v>0</v>
      </c>
      <c r="T1265" s="1423">
        <f t="shared" ca="1" si="1862"/>
        <v>0</v>
      </c>
      <c r="U1265" s="1423">
        <f t="shared" ca="1" si="1863"/>
        <v>0</v>
      </c>
      <c r="V1265" s="1423">
        <f t="shared" ca="1" si="1864"/>
        <v>0</v>
      </c>
      <c r="W1265" s="1423">
        <f t="shared" ca="1" si="1865"/>
        <v>0</v>
      </c>
      <c r="X1265" s="202"/>
      <c r="Y1265" s="202"/>
      <c r="Z1265" s="202"/>
      <c r="AA1265" s="152"/>
      <c r="AB1265" s="152"/>
    </row>
    <row r="1266" spans="1:28" hidden="1" outlineLevel="1">
      <c r="A1266" s="199">
        <f t="shared" si="1866"/>
        <v>5</v>
      </c>
      <c r="B1266" s="190" t="str">
        <f t="shared" ca="1" si="1867"/>
        <v>Depreciated Net Capex 2020-21</v>
      </c>
      <c r="C1266" s="1426"/>
      <c r="D1266" s="1426"/>
      <c r="E1266" s="1426"/>
      <c r="F1266" s="1426"/>
      <c r="G1266" s="1427"/>
      <c r="H1266" s="1428">
        <f>(H1256*((1+H$11)^0.5)/H$10)</f>
        <v>0</v>
      </c>
      <c r="I1266" s="1423">
        <f ca="1">IF(H1290="n/a",H1266,IFERROR(IF((OFFSET($C1266,0,$A1266))&lt;0,
MIN(0,H1266-(OFFSET($C1266,0,$A1266)/(OFFSET($C1261,-$A1265,$A1266)))),
MAX(0,H1266-(OFFSET($C1266,0,$A1266)/(OFFSET($C1261,-$A1265,$A1266))))),0))</f>
        <v>0</v>
      </c>
      <c r="J1266" s="1423">
        <f t="shared" ca="1" si="1852"/>
        <v>0</v>
      </c>
      <c r="K1266" s="1423">
        <f t="shared" ca="1" si="1853"/>
        <v>0</v>
      </c>
      <c r="L1266" s="1423">
        <f t="shared" ca="1" si="1854"/>
        <v>0</v>
      </c>
      <c r="M1266" s="1423">
        <f t="shared" ca="1" si="1855"/>
        <v>0</v>
      </c>
      <c r="N1266" s="1423">
        <f t="shared" ca="1" si="1856"/>
        <v>0</v>
      </c>
      <c r="O1266" s="1423">
        <f t="shared" ca="1" si="1857"/>
        <v>0</v>
      </c>
      <c r="P1266" s="1423">
        <f t="shared" ca="1" si="1858"/>
        <v>0</v>
      </c>
      <c r="Q1266" s="1423">
        <f t="shared" ca="1" si="1859"/>
        <v>0</v>
      </c>
      <c r="R1266" s="1423">
        <f t="shared" ca="1" si="1860"/>
        <v>0</v>
      </c>
      <c r="S1266" s="1423">
        <f t="shared" ca="1" si="1861"/>
        <v>0</v>
      </c>
      <c r="T1266" s="1423">
        <f t="shared" ca="1" si="1862"/>
        <v>0</v>
      </c>
      <c r="U1266" s="1423">
        <f t="shared" ca="1" si="1863"/>
        <v>0</v>
      </c>
      <c r="V1266" s="1423">
        <f t="shared" ca="1" si="1864"/>
        <v>0</v>
      </c>
      <c r="W1266" s="1423">
        <f t="shared" ca="1" si="1865"/>
        <v>0</v>
      </c>
      <c r="X1266" s="202"/>
      <c r="Y1266" s="202"/>
      <c r="Z1266" s="202"/>
      <c r="AA1266" s="152"/>
      <c r="AB1266" s="152"/>
    </row>
    <row r="1267" spans="1:28" hidden="1" outlineLevel="1">
      <c r="A1267" s="199">
        <f t="shared" si="1866"/>
        <v>6</v>
      </c>
      <c r="B1267" s="190" t="str">
        <f t="shared" ca="1" si="1867"/>
        <v>Depreciated Net Capex 2021-22</v>
      </c>
      <c r="C1267" s="1426"/>
      <c r="D1267" s="1426"/>
      <c r="E1267" s="1426"/>
      <c r="F1267" s="1426"/>
      <c r="G1267" s="1426"/>
      <c r="H1267" s="1427"/>
      <c r="I1267" s="1428">
        <f>(I1256*((1+I$11)^0.5)/I$10)</f>
        <v>0</v>
      </c>
      <c r="J1267" s="1423">
        <f ca="1">IF(I1291="n/a",I1267,IFERROR(IF((OFFSET($C1267,0,$A1267))&lt;0,
MIN(0,I1267-(OFFSET($C1267,0,$A1267)/(OFFSET($C1262,-$A1266,$A1267)))),
MAX(0,I1267-(OFFSET($C1267,0,$A1267)/(OFFSET($C1262,-$A1266,$A1267))))),0))</f>
        <v>0</v>
      </c>
      <c r="K1267" s="1423">
        <f t="shared" ca="1" si="1853"/>
        <v>0</v>
      </c>
      <c r="L1267" s="1423">
        <f t="shared" ca="1" si="1854"/>
        <v>0</v>
      </c>
      <c r="M1267" s="1423">
        <f t="shared" ca="1" si="1855"/>
        <v>0</v>
      </c>
      <c r="N1267" s="1423">
        <f t="shared" ca="1" si="1856"/>
        <v>0</v>
      </c>
      <c r="O1267" s="1423">
        <f t="shared" ca="1" si="1857"/>
        <v>0</v>
      </c>
      <c r="P1267" s="1423">
        <f t="shared" ca="1" si="1858"/>
        <v>0</v>
      </c>
      <c r="Q1267" s="1423">
        <f t="shared" ca="1" si="1859"/>
        <v>0</v>
      </c>
      <c r="R1267" s="1423">
        <f t="shared" ca="1" si="1860"/>
        <v>0</v>
      </c>
      <c r="S1267" s="1423">
        <f t="shared" ca="1" si="1861"/>
        <v>0</v>
      </c>
      <c r="T1267" s="1423">
        <f t="shared" ca="1" si="1862"/>
        <v>0</v>
      </c>
      <c r="U1267" s="1423">
        <f t="shared" ca="1" si="1863"/>
        <v>0</v>
      </c>
      <c r="V1267" s="1423">
        <f t="shared" ca="1" si="1864"/>
        <v>0</v>
      </c>
      <c r="W1267" s="1423">
        <f t="shared" ca="1" si="1865"/>
        <v>0</v>
      </c>
      <c r="X1267" s="202"/>
      <c r="Y1267" s="202"/>
      <c r="Z1267" s="202"/>
      <c r="AA1267" s="152"/>
      <c r="AB1267" s="152"/>
    </row>
    <row r="1268" spans="1:28" hidden="1" outlineLevel="1">
      <c r="A1268" s="199">
        <f t="shared" si="1866"/>
        <v>7</v>
      </c>
      <c r="B1268" s="190" t="str">
        <f t="shared" ca="1" si="1867"/>
        <v>Depreciated Net Capex 2022-23</v>
      </c>
      <c r="C1268" s="1426"/>
      <c r="D1268" s="1426"/>
      <c r="E1268" s="1426"/>
      <c r="F1268" s="1426"/>
      <c r="G1268" s="1426"/>
      <c r="H1268" s="1426"/>
      <c r="I1268" s="1427"/>
      <c r="J1268" s="1428">
        <f>(J1256*((1+J$11)^0.5)/J$10)</f>
        <v>0</v>
      </c>
      <c r="K1268" s="1423">
        <f ca="1">IF(J1292="n/a",J1268,IFERROR(IF((OFFSET($C1268,0,$A1268))&lt;0,
MIN(0,J1268-(OFFSET($C1268,0,$A1268)/(OFFSET($C1263,-$A1267,$A1268)))),
MAX(0,J1268-(OFFSET($C1268,0,$A1268)/(OFFSET($C1263,-$A1267,$A1268))))),0))</f>
        <v>0</v>
      </c>
      <c r="L1268" s="1423">
        <f t="shared" ca="1" si="1854"/>
        <v>0</v>
      </c>
      <c r="M1268" s="1423">
        <f t="shared" ca="1" si="1855"/>
        <v>0</v>
      </c>
      <c r="N1268" s="1423">
        <f t="shared" ca="1" si="1856"/>
        <v>0</v>
      </c>
      <c r="O1268" s="1423">
        <f t="shared" ca="1" si="1857"/>
        <v>0</v>
      </c>
      <c r="P1268" s="1423">
        <f t="shared" ca="1" si="1858"/>
        <v>0</v>
      </c>
      <c r="Q1268" s="1423">
        <f t="shared" ca="1" si="1859"/>
        <v>0</v>
      </c>
      <c r="R1268" s="1423">
        <f t="shared" ca="1" si="1860"/>
        <v>0</v>
      </c>
      <c r="S1268" s="1423">
        <f t="shared" ca="1" si="1861"/>
        <v>0</v>
      </c>
      <c r="T1268" s="1423">
        <f t="shared" ca="1" si="1862"/>
        <v>0</v>
      </c>
      <c r="U1268" s="1423">
        <f t="shared" ca="1" si="1863"/>
        <v>0</v>
      </c>
      <c r="V1268" s="1423">
        <f t="shared" ca="1" si="1864"/>
        <v>0</v>
      </c>
      <c r="W1268" s="1423">
        <f t="shared" ca="1" si="1865"/>
        <v>0</v>
      </c>
      <c r="X1268" s="202"/>
      <c r="Y1268" s="202"/>
      <c r="Z1268" s="202"/>
      <c r="AA1268" s="152"/>
      <c r="AB1268" s="152"/>
    </row>
    <row r="1269" spans="1:28" hidden="1" outlineLevel="1">
      <c r="A1269" s="199">
        <f t="shared" si="1866"/>
        <v>8</v>
      </c>
      <c r="B1269" s="190" t="str">
        <f t="shared" ca="1" si="1867"/>
        <v>Depreciated Net Capex 2023-24</v>
      </c>
      <c r="C1269" s="1426"/>
      <c r="D1269" s="1426"/>
      <c r="E1269" s="1426"/>
      <c r="F1269" s="1426"/>
      <c r="G1269" s="1426"/>
      <c r="H1269" s="1426"/>
      <c r="I1269" s="1426"/>
      <c r="J1269" s="1427"/>
      <c r="K1269" s="1428">
        <f>(K1256*((1+K$11)^0.5)/K$10)</f>
        <v>0</v>
      </c>
      <c r="L1269" s="1423">
        <f ca="1">IF(K1293="n/a",K1269,IFERROR(IF((OFFSET($C1269,0,$A1269))&lt;0,
MIN(0,K1269-(OFFSET($C1269,0,$A1269)/(OFFSET($C1264,-$A1268,$A1269)))),
MAX(0,K1269-(OFFSET($C1269,0,$A1269)/(OFFSET($C1264,-$A1268,$A1269))))),0))</f>
        <v>0</v>
      </c>
      <c r="M1269" s="1423">
        <f t="shared" ca="1" si="1855"/>
        <v>0</v>
      </c>
      <c r="N1269" s="1423">
        <f t="shared" ca="1" si="1856"/>
        <v>0</v>
      </c>
      <c r="O1269" s="1423">
        <f t="shared" ca="1" si="1857"/>
        <v>0</v>
      </c>
      <c r="P1269" s="1423">
        <f t="shared" ca="1" si="1858"/>
        <v>0</v>
      </c>
      <c r="Q1269" s="1423">
        <f t="shared" ca="1" si="1859"/>
        <v>0</v>
      </c>
      <c r="R1269" s="1423">
        <f t="shared" ca="1" si="1860"/>
        <v>0</v>
      </c>
      <c r="S1269" s="1423">
        <f t="shared" ca="1" si="1861"/>
        <v>0</v>
      </c>
      <c r="T1269" s="1423">
        <f t="shared" ca="1" si="1862"/>
        <v>0</v>
      </c>
      <c r="U1269" s="1423">
        <f t="shared" ca="1" si="1863"/>
        <v>0</v>
      </c>
      <c r="V1269" s="1423">
        <f t="shared" ca="1" si="1864"/>
        <v>0</v>
      </c>
      <c r="W1269" s="1423">
        <f t="shared" ca="1" si="1865"/>
        <v>0</v>
      </c>
      <c r="X1269" s="202"/>
      <c r="Y1269" s="202"/>
      <c r="Z1269" s="202"/>
      <c r="AA1269" s="152"/>
      <c r="AB1269" s="152"/>
    </row>
    <row r="1270" spans="1:28" hidden="1" outlineLevel="1">
      <c r="A1270" s="199">
        <f t="shared" si="1866"/>
        <v>9</v>
      </c>
      <c r="B1270" s="190" t="str">
        <f t="shared" ca="1" si="1867"/>
        <v>Depreciated Net Capex 2024-25</v>
      </c>
      <c r="C1270" s="1426"/>
      <c r="D1270" s="1426"/>
      <c r="E1270" s="1426"/>
      <c r="F1270" s="1426"/>
      <c r="G1270" s="1426"/>
      <c r="H1270" s="1426"/>
      <c r="I1270" s="1426"/>
      <c r="J1270" s="1426"/>
      <c r="K1270" s="1427"/>
      <c r="L1270" s="1428">
        <f>(L1256*((1+L$11)^0.5)/L$10)</f>
        <v>0</v>
      </c>
      <c r="M1270" s="1423">
        <f ca="1">IF(L1294="n/a",L1270,IFERROR(IF((OFFSET($C1270,0,$A1270))&lt;0,
MIN(0,L1270-(OFFSET($C1270,0,$A1270)/(OFFSET($C1265,-$A1269,$A1270)))),
MAX(0,L1270-(OFFSET($C1270,0,$A1270)/(OFFSET($C1265,-$A1269,$A1270))))),0))</f>
        <v>0</v>
      </c>
      <c r="N1270" s="1423">
        <f t="shared" ca="1" si="1856"/>
        <v>0</v>
      </c>
      <c r="O1270" s="1423">
        <f t="shared" ca="1" si="1857"/>
        <v>0</v>
      </c>
      <c r="P1270" s="1423">
        <f t="shared" ca="1" si="1858"/>
        <v>0</v>
      </c>
      <c r="Q1270" s="1423">
        <f t="shared" ca="1" si="1859"/>
        <v>0</v>
      </c>
      <c r="R1270" s="1423">
        <f t="shared" ca="1" si="1860"/>
        <v>0</v>
      </c>
      <c r="S1270" s="1423">
        <f t="shared" ca="1" si="1861"/>
        <v>0</v>
      </c>
      <c r="T1270" s="1423">
        <f t="shared" ca="1" si="1862"/>
        <v>0</v>
      </c>
      <c r="U1270" s="1423">
        <f t="shared" ca="1" si="1863"/>
        <v>0</v>
      </c>
      <c r="V1270" s="1423">
        <f t="shared" ca="1" si="1864"/>
        <v>0</v>
      </c>
      <c r="W1270" s="1423">
        <f t="shared" ca="1" si="1865"/>
        <v>0</v>
      </c>
      <c r="X1270" s="202"/>
      <c r="Y1270" s="202"/>
      <c r="Z1270" s="202"/>
      <c r="AA1270" s="152"/>
      <c r="AB1270" s="152"/>
    </row>
    <row r="1271" spans="1:28" hidden="1" outlineLevel="1">
      <c r="A1271" s="199">
        <f t="shared" si="1866"/>
        <v>10</v>
      </c>
      <c r="B1271" s="190" t="str">
        <f t="shared" ca="1" si="1867"/>
        <v>Depreciated Net Capex 2025-26</v>
      </c>
      <c r="C1271" s="1426"/>
      <c r="D1271" s="1426"/>
      <c r="E1271" s="1426"/>
      <c r="F1271" s="1426"/>
      <c r="G1271" s="1426"/>
      <c r="H1271" s="1426"/>
      <c r="I1271" s="1426"/>
      <c r="J1271" s="1426"/>
      <c r="K1271" s="1426"/>
      <c r="L1271" s="1427"/>
      <c r="M1271" s="1428">
        <f>(M1256*((1+M$11)^0.5)/M$10)</f>
        <v>0</v>
      </c>
      <c r="N1271" s="1423">
        <f ca="1">IF(M1295="n/a",M1271,IFERROR(IF((OFFSET($C1271,0,$A1271))&lt;0,
MIN(0,M1271-(OFFSET($C1271,0,$A1271)/(OFFSET($C1266,-$A1270,$A1271)))),
MAX(0,M1271-(OFFSET($C1271,0,$A1271)/(OFFSET($C1266,-$A1270,$A1271))))),0))</f>
        <v>0</v>
      </c>
      <c r="O1271" s="1423">
        <f t="shared" ca="1" si="1857"/>
        <v>0</v>
      </c>
      <c r="P1271" s="1423">
        <f t="shared" ca="1" si="1858"/>
        <v>0</v>
      </c>
      <c r="Q1271" s="1423">
        <f t="shared" ca="1" si="1859"/>
        <v>0</v>
      </c>
      <c r="R1271" s="1423">
        <f t="shared" ca="1" si="1860"/>
        <v>0</v>
      </c>
      <c r="S1271" s="1423">
        <f t="shared" ca="1" si="1861"/>
        <v>0</v>
      </c>
      <c r="T1271" s="1423">
        <f t="shared" ca="1" si="1862"/>
        <v>0</v>
      </c>
      <c r="U1271" s="1423">
        <f t="shared" ca="1" si="1863"/>
        <v>0</v>
      </c>
      <c r="V1271" s="1423">
        <f t="shared" ca="1" si="1864"/>
        <v>0</v>
      </c>
      <c r="W1271" s="1423">
        <f t="shared" ca="1" si="1865"/>
        <v>0</v>
      </c>
      <c r="X1271" s="202"/>
      <c r="Y1271" s="202"/>
      <c r="Z1271" s="202"/>
      <c r="AA1271" s="152"/>
      <c r="AB1271" s="152"/>
    </row>
    <row r="1272" spans="1:28" hidden="1" outlineLevel="1">
      <c r="A1272" s="199">
        <f t="shared" si="1866"/>
        <v>11</v>
      </c>
      <c r="B1272" s="190" t="str">
        <f t="shared" ca="1" si="1867"/>
        <v>Depreciated Net Capex 2026-27</v>
      </c>
      <c r="C1272" s="1426"/>
      <c r="D1272" s="1426"/>
      <c r="E1272" s="1426"/>
      <c r="F1272" s="1426"/>
      <c r="G1272" s="1426"/>
      <c r="H1272" s="1426"/>
      <c r="I1272" s="1426"/>
      <c r="J1272" s="1426"/>
      <c r="K1272" s="1426"/>
      <c r="L1272" s="1426"/>
      <c r="M1272" s="1427"/>
      <c r="N1272" s="1428">
        <f>(N1256*((1+N$11)^0.5)/N$10)</f>
        <v>0</v>
      </c>
      <c r="O1272" s="1423">
        <f ca="1">IF(N1296="n/a",N1272,IFERROR(IF((OFFSET($C1272,0,$A1272))&lt;0,
MIN(0,N1272-(OFFSET($C1272,0,$A1272)/(OFFSET($C1267,-$A1271,$A1272)))),
MAX(0,N1272-(OFFSET($C1272,0,$A1272)/(OFFSET($C1267,-$A1271,$A1272))))),0))</f>
        <v>0</v>
      </c>
      <c r="P1272" s="1423">
        <f t="shared" ca="1" si="1858"/>
        <v>0</v>
      </c>
      <c r="Q1272" s="1423">
        <f t="shared" ca="1" si="1859"/>
        <v>0</v>
      </c>
      <c r="R1272" s="1423">
        <f t="shared" ca="1" si="1860"/>
        <v>0</v>
      </c>
      <c r="S1272" s="1423">
        <f t="shared" ca="1" si="1861"/>
        <v>0</v>
      </c>
      <c r="T1272" s="1423">
        <f t="shared" ca="1" si="1862"/>
        <v>0</v>
      </c>
      <c r="U1272" s="1423">
        <f t="shared" ca="1" si="1863"/>
        <v>0</v>
      </c>
      <c r="V1272" s="1423">
        <f t="shared" ca="1" si="1864"/>
        <v>0</v>
      </c>
      <c r="W1272" s="1423">
        <f t="shared" ca="1" si="1865"/>
        <v>0</v>
      </c>
      <c r="X1272" s="202"/>
      <c r="Y1272" s="202"/>
      <c r="Z1272" s="202"/>
      <c r="AA1272" s="152"/>
      <c r="AB1272" s="152"/>
    </row>
    <row r="1273" spans="1:28" hidden="1" outlineLevel="1">
      <c r="A1273" s="199">
        <f t="shared" si="1866"/>
        <v>12</v>
      </c>
      <c r="B1273" s="190" t="str">
        <f t="shared" ca="1" si="1867"/>
        <v>Depreciated Net Capex 2027-28</v>
      </c>
      <c r="C1273" s="1426"/>
      <c r="D1273" s="1426"/>
      <c r="E1273" s="1426"/>
      <c r="F1273" s="1426"/>
      <c r="G1273" s="1426"/>
      <c r="H1273" s="1426"/>
      <c r="I1273" s="1426"/>
      <c r="J1273" s="1426"/>
      <c r="K1273" s="1426"/>
      <c r="L1273" s="1426"/>
      <c r="M1273" s="1426"/>
      <c r="N1273" s="1427"/>
      <c r="O1273" s="1428">
        <f>(O1256*((1+O$11)^0.5)/O$10)</f>
        <v>0</v>
      </c>
      <c r="P1273" s="1423">
        <f ca="1">IF(O1297="n/a",O1273,IFERROR(IF((OFFSET($C1273,0,$A1273))&lt;0,
MIN(0,O1273-(OFFSET($C1273,0,$A1273)/(OFFSET($C1268,-$A1272,$A1273)))),
MAX(0,O1273-(OFFSET($C1273,0,$A1273)/(OFFSET($C1268,-$A1272,$A1273))))),0))</f>
        <v>0</v>
      </c>
      <c r="Q1273" s="1423">
        <f t="shared" ca="1" si="1859"/>
        <v>0</v>
      </c>
      <c r="R1273" s="1423">
        <f t="shared" ca="1" si="1860"/>
        <v>0</v>
      </c>
      <c r="S1273" s="1423">
        <f t="shared" ca="1" si="1861"/>
        <v>0</v>
      </c>
      <c r="T1273" s="1423">
        <f t="shared" ca="1" si="1862"/>
        <v>0</v>
      </c>
      <c r="U1273" s="1423">
        <f t="shared" ca="1" si="1863"/>
        <v>0</v>
      </c>
      <c r="V1273" s="1423">
        <f t="shared" ca="1" si="1864"/>
        <v>0</v>
      </c>
      <c r="W1273" s="1423">
        <f t="shared" ca="1" si="1865"/>
        <v>0</v>
      </c>
      <c r="X1273" s="202"/>
      <c r="Y1273" s="202"/>
      <c r="Z1273" s="202"/>
      <c r="AA1273" s="152"/>
      <c r="AB1273" s="152"/>
    </row>
    <row r="1274" spans="1:28" hidden="1" outlineLevel="1">
      <c r="A1274" s="199">
        <f t="shared" si="1866"/>
        <v>13</v>
      </c>
      <c r="B1274" s="190" t="str">
        <f t="shared" ca="1" si="1867"/>
        <v>Depreciated Net Capex 2028-29</v>
      </c>
      <c r="C1274" s="1426"/>
      <c r="D1274" s="1426"/>
      <c r="E1274" s="1426"/>
      <c r="F1274" s="1426"/>
      <c r="G1274" s="1426"/>
      <c r="H1274" s="1426"/>
      <c r="I1274" s="1426"/>
      <c r="J1274" s="1426"/>
      <c r="K1274" s="1426"/>
      <c r="L1274" s="1426"/>
      <c r="M1274" s="1426"/>
      <c r="N1274" s="1426"/>
      <c r="O1274" s="1427"/>
      <c r="P1274" s="1428">
        <f>(P1256*((1+P$11)^0.5)/P$10)</f>
        <v>0</v>
      </c>
      <c r="Q1274" s="1423">
        <f ca="1">IF(P1298="n/a",P1274,IFERROR(IF((OFFSET($C1274,0,$A1274))&lt;0,
MIN(0,P1274-(OFFSET($C1274,0,$A1274)/(OFFSET($C1269,-$A1273,$A1274)))),
MAX(0,P1274-(OFFSET($C1274,0,$A1274)/(OFFSET($C1269,-$A1273,$A1274))))),0))</f>
        <v>0</v>
      </c>
      <c r="R1274" s="1423">
        <f t="shared" ca="1" si="1860"/>
        <v>0</v>
      </c>
      <c r="S1274" s="1423">
        <f t="shared" ca="1" si="1861"/>
        <v>0</v>
      </c>
      <c r="T1274" s="1423">
        <f t="shared" ca="1" si="1862"/>
        <v>0</v>
      </c>
      <c r="U1274" s="1423">
        <f t="shared" ca="1" si="1863"/>
        <v>0</v>
      </c>
      <c r="V1274" s="1423">
        <f t="shared" ca="1" si="1864"/>
        <v>0</v>
      </c>
      <c r="W1274" s="1423">
        <f t="shared" ca="1" si="1865"/>
        <v>0</v>
      </c>
      <c r="X1274" s="202"/>
      <c r="Y1274" s="202"/>
      <c r="Z1274" s="202"/>
      <c r="AA1274" s="152"/>
      <c r="AB1274" s="152"/>
    </row>
    <row r="1275" spans="1:28" hidden="1" outlineLevel="1">
      <c r="A1275" s="199">
        <f t="shared" si="1866"/>
        <v>14</v>
      </c>
      <c r="B1275" s="190" t="str">
        <f t="shared" ca="1" si="1867"/>
        <v>Depreciated Net Capex 2029-30</v>
      </c>
      <c r="C1275" s="1426"/>
      <c r="D1275" s="1426"/>
      <c r="E1275" s="1426"/>
      <c r="F1275" s="1426"/>
      <c r="G1275" s="1426"/>
      <c r="H1275" s="1426"/>
      <c r="I1275" s="1426"/>
      <c r="J1275" s="1426"/>
      <c r="K1275" s="1426"/>
      <c r="L1275" s="1426"/>
      <c r="M1275" s="1426"/>
      <c r="N1275" s="1426"/>
      <c r="O1275" s="1426"/>
      <c r="P1275" s="1427"/>
      <c r="Q1275" s="1428">
        <f>(Q1256*((1+Q$11)^0.5)/Q$10)</f>
        <v>0</v>
      </c>
      <c r="R1275" s="1423">
        <f ca="1">IF(Q1299="n/a",Q1275,IFERROR(IF((OFFSET($C1275,0,$A1275))&lt;0,
MIN(0,Q1275-(OFFSET($C1275,0,$A1275)/(OFFSET($C1270,-$A1274,$A1275)))),
MAX(0,Q1275-(OFFSET($C1275,0,$A1275)/(OFFSET($C1270,-$A1274,$A1275))))),0))</f>
        <v>0</v>
      </c>
      <c r="S1275" s="1423">
        <f t="shared" ca="1" si="1861"/>
        <v>0</v>
      </c>
      <c r="T1275" s="1423">
        <f t="shared" ca="1" si="1862"/>
        <v>0</v>
      </c>
      <c r="U1275" s="1423">
        <f t="shared" ca="1" si="1863"/>
        <v>0</v>
      </c>
      <c r="V1275" s="1423">
        <f t="shared" ca="1" si="1864"/>
        <v>0</v>
      </c>
      <c r="W1275" s="1423">
        <f t="shared" ca="1" si="1865"/>
        <v>0</v>
      </c>
      <c r="X1275" s="202"/>
      <c r="Y1275" s="202"/>
      <c r="Z1275" s="202"/>
      <c r="AA1275" s="152"/>
      <c r="AB1275" s="152"/>
    </row>
    <row r="1276" spans="1:28" hidden="1" outlineLevel="1">
      <c r="A1276" s="199">
        <f t="shared" si="1866"/>
        <v>15</v>
      </c>
      <c r="B1276" s="190" t="str">
        <f t="shared" ca="1" si="1867"/>
        <v>Depreciated Net Capex 2030-31</v>
      </c>
      <c r="C1276" s="1426"/>
      <c r="D1276" s="1426"/>
      <c r="E1276" s="1426"/>
      <c r="F1276" s="1426"/>
      <c r="G1276" s="1426"/>
      <c r="H1276" s="1426"/>
      <c r="I1276" s="1426"/>
      <c r="J1276" s="1426"/>
      <c r="K1276" s="1426"/>
      <c r="L1276" s="1426"/>
      <c r="M1276" s="1426"/>
      <c r="N1276" s="1426"/>
      <c r="O1276" s="1426"/>
      <c r="P1276" s="1426"/>
      <c r="Q1276" s="1427"/>
      <c r="R1276" s="1428">
        <f>(R1256*((1+R$11)^0.5)/R$10)</f>
        <v>0</v>
      </c>
      <c r="S1276" s="1423">
        <f ca="1">IF(R1300="n/a",R1276,IFERROR(IF((OFFSET($C1276,0,$A1276))&lt;0,
MIN(0,R1276-(OFFSET($C1276,0,$A1276)/(OFFSET($C1271,-$A1275,$A1276)))),
MAX(0,R1276-(OFFSET($C1276,0,$A1276)/(OFFSET($C1271,-$A1275,$A1276))))),0))</f>
        <v>0</v>
      </c>
      <c r="T1276" s="1423">
        <f t="shared" ca="1" si="1862"/>
        <v>0</v>
      </c>
      <c r="U1276" s="1423">
        <f t="shared" ca="1" si="1863"/>
        <v>0</v>
      </c>
      <c r="V1276" s="1423">
        <f t="shared" ca="1" si="1864"/>
        <v>0</v>
      </c>
      <c r="W1276" s="1423">
        <f t="shared" ca="1" si="1865"/>
        <v>0</v>
      </c>
      <c r="X1276" s="202"/>
      <c r="Y1276" s="202"/>
      <c r="Z1276" s="202"/>
      <c r="AA1276" s="152"/>
      <c r="AB1276" s="152"/>
    </row>
    <row r="1277" spans="1:28" hidden="1" outlineLevel="1">
      <c r="A1277" s="199">
        <f t="shared" si="1866"/>
        <v>16</v>
      </c>
      <c r="B1277" s="190" t="str">
        <f t="shared" ca="1" si="1867"/>
        <v>Depreciated Net Capex 2031-32</v>
      </c>
      <c r="C1277" s="1426"/>
      <c r="D1277" s="1426"/>
      <c r="E1277" s="1426"/>
      <c r="F1277" s="1426"/>
      <c r="G1277" s="1426"/>
      <c r="H1277" s="1426"/>
      <c r="I1277" s="1426"/>
      <c r="J1277" s="1426"/>
      <c r="K1277" s="1426"/>
      <c r="L1277" s="1426"/>
      <c r="M1277" s="1426"/>
      <c r="N1277" s="1426"/>
      <c r="O1277" s="1426"/>
      <c r="P1277" s="1426"/>
      <c r="Q1277" s="1426"/>
      <c r="R1277" s="1427"/>
      <c r="S1277" s="1428">
        <f>(S1256*((1+S$11)^0.5)/S$10)</f>
        <v>0</v>
      </c>
      <c r="T1277" s="1423">
        <f ca="1">IF(S1301="n/a",S1277,IFERROR(IF((OFFSET($C1277,0,$A1277))&lt;0,
MIN(0,S1277-(OFFSET($C1277,0,$A1277)/(OFFSET($C1272,-$A1276,$A1277)))),
MAX(0,S1277-(OFFSET($C1277,0,$A1277)/(OFFSET($C1272,-$A1276,$A1277))))),0))</f>
        <v>0</v>
      </c>
      <c r="U1277" s="1423">
        <f t="shared" ca="1" si="1863"/>
        <v>0</v>
      </c>
      <c r="V1277" s="1423">
        <f t="shared" ca="1" si="1864"/>
        <v>0</v>
      </c>
      <c r="W1277" s="1423">
        <f t="shared" ca="1" si="1865"/>
        <v>0</v>
      </c>
      <c r="X1277" s="202"/>
      <c r="Y1277" s="202"/>
      <c r="Z1277" s="202"/>
      <c r="AA1277" s="152"/>
      <c r="AB1277" s="152"/>
    </row>
    <row r="1278" spans="1:28" hidden="1" outlineLevel="1">
      <c r="A1278" s="199">
        <f t="shared" si="1866"/>
        <v>17</v>
      </c>
      <c r="B1278" s="190" t="str">
        <f t="shared" ca="1" si="1867"/>
        <v>Depreciated Net Capex 2032-33</v>
      </c>
      <c r="C1278" s="1426"/>
      <c r="D1278" s="1426"/>
      <c r="E1278" s="1426"/>
      <c r="F1278" s="1426"/>
      <c r="G1278" s="1426"/>
      <c r="H1278" s="1426"/>
      <c r="I1278" s="1426"/>
      <c r="J1278" s="1426"/>
      <c r="K1278" s="1426"/>
      <c r="L1278" s="1426"/>
      <c r="M1278" s="1426"/>
      <c r="N1278" s="1426"/>
      <c r="O1278" s="1426"/>
      <c r="P1278" s="1426"/>
      <c r="Q1278" s="1426"/>
      <c r="R1278" s="1426"/>
      <c r="S1278" s="1427"/>
      <c r="T1278" s="1428">
        <f>(T1256*((1+T$11)^0.5)/T$10)</f>
        <v>0</v>
      </c>
      <c r="U1278" s="1423">
        <f ca="1">IF(T1302="n/a",T1278,IFERROR(IF((OFFSET($C1278,0,$A1278))&lt;0,
MIN(0,T1278-(OFFSET($C1278,0,$A1278)/(OFFSET($C1273,-$A1277,$A1278)))),
MAX(0,T1278-(OFFSET($C1278,0,$A1278)/(OFFSET($C1273,-$A1277,$A1278))))),0))</f>
        <v>0</v>
      </c>
      <c r="V1278" s="1423">
        <f t="shared" ca="1" si="1864"/>
        <v>0</v>
      </c>
      <c r="W1278" s="1423">
        <f t="shared" ca="1" si="1865"/>
        <v>0</v>
      </c>
      <c r="X1278" s="202"/>
      <c r="Y1278" s="202"/>
      <c r="Z1278" s="202"/>
      <c r="AA1278" s="152"/>
      <c r="AB1278" s="152"/>
    </row>
    <row r="1279" spans="1:28" hidden="1" outlineLevel="1">
      <c r="A1279" s="199">
        <f t="shared" si="1866"/>
        <v>18</v>
      </c>
      <c r="B1279" s="190" t="str">
        <f t="shared" ca="1" si="1867"/>
        <v>Depreciated Net Capex 2033-34</v>
      </c>
      <c r="C1279" s="1426"/>
      <c r="D1279" s="1426"/>
      <c r="E1279" s="1426"/>
      <c r="F1279" s="1426"/>
      <c r="G1279" s="1426"/>
      <c r="H1279" s="1426"/>
      <c r="I1279" s="1426"/>
      <c r="J1279" s="1426"/>
      <c r="K1279" s="1426"/>
      <c r="L1279" s="1426"/>
      <c r="M1279" s="1426"/>
      <c r="N1279" s="1426"/>
      <c r="O1279" s="1426"/>
      <c r="P1279" s="1426"/>
      <c r="Q1279" s="1426"/>
      <c r="R1279" s="1426"/>
      <c r="S1279" s="1426"/>
      <c r="T1279" s="1427"/>
      <c r="U1279" s="1428">
        <f>(U1256*((1+U$11)^0.5)/U$10)</f>
        <v>0</v>
      </c>
      <c r="V1279" s="1423">
        <f ca="1">IF(U1303="n/a",U1279,IFERROR(IF((OFFSET($C1279,0,$A1279))&lt;0,
MIN(0,U1279-(OFFSET($C1279,0,$A1279)/(OFFSET($C1274,-$A1278,$A1279)))),
MAX(0,U1279-(OFFSET($C1279,0,$A1279)/(OFFSET($C1274,-$A1278,$A1279))))),0))</f>
        <v>0</v>
      </c>
      <c r="W1279" s="1423">
        <f t="shared" ca="1" si="1865"/>
        <v>0</v>
      </c>
      <c r="X1279" s="202"/>
      <c r="Y1279" s="202"/>
      <c r="Z1279" s="202"/>
      <c r="AA1279" s="152"/>
      <c r="AB1279" s="152"/>
    </row>
    <row r="1280" spans="1:28" hidden="1" outlineLevel="1">
      <c r="A1280" s="199">
        <f t="shared" si="1866"/>
        <v>19</v>
      </c>
      <c r="B1280" s="190" t="str">
        <f t="shared" ca="1" si="1867"/>
        <v>Depreciated Net Capex 2034-35</v>
      </c>
      <c r="C1280" s="1426"/>
      <c r="D1280" s="1426"/>
      <c r="E1280" s="1426"/>
      <c r="F1280" s="1426"/>
      <c r="G1280" s="1426"/>
      <c r="H1280" s="1426"/>
      <c r="I1280" s="1426"/>
      <c r="J1280" s="1426"/>
      <c r="K1280" s="1426"/>
      <c r="L1280" s="1426"/>
      <c r="M1280" s="1426"/>
      <c r="N1280" s="1426"/>
      <c r="O1280" s="1426"/>
      <c r="P1280" s="1426"/>
      <c r="Q1280" s="1426"/>
      <c r="R1280" s="1426"/>
      <c r="S1280" s="1426"/>
      <c r="T1280" s="1426"/>
      <c r="U1280" s="1427"/>
      <c r="V1280" s="1428">
        <f>(V1256*((1+V$11)^0.5)/V$10)</f>
        <v>0</v>
      </c>
      <c r="W1280" s="1423">
        <f ca="1">IF(V1304="n/a",V1280,IFERROR(IF((OFFSET($C1280,0,$A1280))&lt;0,
MIN(0,V1280-(OFFSET($C1280,0,$A1280)/(OFFSET($C1275,-$A1279,$A1280)))),
MAX(0,V1280-(OFFSET($C1280,0,$A1280)/(OFFSET($C1275,-$A1279,$A1280))))),0))</f>
        <v>0</v>
      </c>
      <c r="X1280" s="202"/>
      <c r="Y1280" s="202"/>
      <c r="Z1280" s="202"/>
      <c r="AA1280" s="152"/>
      <c r="AB1280" s="152"/>
    </row>
    <row r="1281" spans="1:28" hidden="1" outlineLevel="1">
      <c r="A1281" s="199">
        <f t="shared" si="1866"/>
        <v>20</v>
      </c>
      <c r="B1281" s="190" t="str">
        <f ca="1">"Depreciated Net Capex "&amp;OFFSET($C$6,0,A1281)</f>
        <v>Depreciated Net Capex 2035-36</v>
      </c>
      <c r="C1281" s="1426"/>
      <c r="D1281" s="1426"/>
      <c r="E1281" s="1426"/>
      <c r="F1281" s="1426"/>
      <c r="G1281" s="1426"/>
      <c r="H1281" s="1426"/>
      <c r="I1281" s="1426"/>
      <c r="J1281" s="1426"/>
      <c r="K1281" s="1426"/>
      <c r="L1281" s="1426"/>
      <c r="M1281" s="1426"/>
      <c r="N1281" s="1426"/>
      <c r="O1281" s="1426"/>
      <c r="P1281" s="1426"/>
      <c r="Q1281" s="1426"/>
      <c r="R1281" s="1426"/>
      <c r="S1281" s="1426"/>
      <c r="T1281" s="1426"/>
      <c r="U1281" s="1426"/>
      <c r="V1281" s="1427"/>
      <c r="W1281" s="1423">
        <f>(W1256*((1+W$11)^0.5)/W$10)</f>
        <v>0</v>
      </c>
      <c r="X1281" s="152"/>
      <c r="Y1281" s="152"/>
      <c r="Z1281" s="152"/>
      <c r="AA1281" s="152"/>
      <c r="AB1281" s="152"/>
    </row>
    <row r="1282" spans="1:28" hidden="1" outlineLevel="1">
      <c r="A1282" s="152"/>
      <c r="B1282" s="200"/>
      <c r="C1282" s="1423"/>
      <c r="D1282" s="1423"/>
      <c r="E1282" s="1423"/>
      <c r="F1282" s="1423"/>
      <c r="G1282" s="1423"/>
      <c r="H1282" s="1423"/>
      <c r="I1282" s="1423"/>
      <c r="J1282" s="1423"/>
      <c r="K1282" s="1423"/>
      <c r="L1282" s="1423"/>
      <c r="M1282" s="1423"/>
      <c r="N1282" s="1423"/>
      <c r="O1282" s="1423"/>
      <c r="P1282" s="1423"/>
      <c r="Q1282" s="1423"/>
      <c r="R1282" s="1423"/>
      <c r="S1282" s="1423"/>
      <c r="T1282" s="1423"/>
      <c r="U1282" s="1423"/>
      <c r="V1282" s="1423"/>
      <c r="W1282" s="1423"/>
      <c r="X1282" s="152"/>
      <c r="Y1282" s="152"/>
      <c r="Z1282" s="152"/>
      <c r="AA1282" s="152"/>
      <c r="AB1282" s="152"/>
    </row>
    <row r="1283" spans="1:28" hidden="1" outlineLevel="1">
      <c r="A1283" s="152"/>
      <c r="B1283" s="200"/>
      <c r="C1283" s="1423"/>
      <c r="D1283" s="1423"/>
      <c r="E1283" s="1423"/>
      <c r="F1283" s="1423"/>
      <c r="G1283" s="1423"/>
      <c r="H1283" s="1423"/>
      <c r="I1283" s="1423"/>
      <c r="J1283" s="1423"/>
      <c r="K1283" s="1423"/>
      <c r="L1283" s="1423"/>
      <c r="M1283" s="1423"/>
      <c r="N1283" s="1423"/>
      <c r="O1283" s="1423"/>
      <c r="P1283" s="1423"/>
      <c r="Q1283" s="1423"/>
      <c r="R1283" s="1423"/>
      <c r="S1283" s="1423"/>
      <c r="T1283" s="1423"/>
      <c r="U1283" s="1423"/>
      <c r="V1283" s="1423"/>
      <c r="W1283" s="1423"/>
      <c r="X1283" s="152"/>
      <c r="Y1283" s="152"/>
      <c r="Z1283" s="152"/>
      <c r="AA1283" s="152"/>
      <c r="AB1283" s="152"/>
    </row>
    <row r="1284" spans="1:28" hidden="1" outlineLevel="1">
      <c r="A1284" s="152"/>
      <c r="B1284" s="190" t="s">
        <v>190</v>
      </c>
      <c r="C1284" s="1423"/>
      <c r="D1284" s="1423">
        <f ca="1">IF(AND(C1284&lt;1,D1258=0),0,
IF(D1258=0,C1284-1,
IF(C1284&lt;1,D1259,
(((C1284-1)*(C1260-(C1260/(C1284))))+((D1258/D$10)*D1259))/(D1260))))</f>
        <v>0</v>
      </c>
      <c r="E1284" s="1423">
        <f t="shared" ref="E1284" ca="1" si="1868">IF(AND(D1284&lt;1,E1258=0),0,
IF(E1258=0,D1284-1,
IF(D1284&lt;1,E1259,
(((D1284-1)*(D1260-(D1260/(D1284))))+((E1258/E$10)*E1259))/(E1260))))</f>
        <v>0</v>
      </c>
      <c r="F1284" s="1423">
        <f t="shared" ref="F1284" ca="1" si="1869">IF(AND(E1284&lt;1,F1258=0),0,
IF(F1258=0,E1284-1,
IF(E1284&lt;1,F1259,
(((E1284-1)*(E1260-(E1260/(E1284))))+((F1258/F$10)*F1259))/(F1260))))</f>
        <v>0</v>
      </c>
      <c r="G1284" s="1423">
        <f t="shared" ref="G1284" ca="1" si="1870">IF(AND(F1284&lt;1,G1258=0),0,
IF(G1258=0,F1284-1,
IF(F1284&lt;1,G1259,
(((F1284-1)*(F1260-(F1260/(F1284))))+((G1258/G$10)*G1259))/(G1260))))</f>
        <v>0</v>
      </c>
      <c r="H1284" s="1423">
        <f t="shared" ref="H1284" ca="1" si="1871">IF(AND(G1284&lt;1,H1258=0),0,
IF(H1258=0,G1284-1,
IF(G1284&lt;1,H1259,
(((G1284-1)*(G1260-(G1260/(G1284))))+((H1258/H$10)*H1259))/(H1260))))</f>
        <v>0</v>
      </c>
      <c r="I1284" s="1423">
        <f t="shared" ref="I1284" ca="1" si="1872">IF(AND(H1284&lt;1,I1258=0),0,
IF(I1258=0,H1284-1,
IF(H1284&lt;1,I1259,
(((H1284-1)*(H1260-(H1260/(H1284))))+((I1258/I$10)*I1259))/(I1260))))</f>
        <v>0</v>
      </c>
      <c r="J1284" s="1423">
        <f t="shared" ref="J1284" ca="1" si="1873">IF(AND(I1284&lt;1,J1258=0),0,
IF(J1258=0,I1284-1,
IF(I1284&lt;1,J1259,
(((I1284-1)*(I1260-(I1260/(I1284))))+((J1258/J$10)*J1259))/(J1260))))</f>
        <v>0</v>
      </c>
      <c r="K1284" s="1423">
        <f t="shared" ref="K1284" ca="1" si="1874">IF(AND(J1284&lt;1,K1258=0),0,
IF(K1258=0,J1284-1,
IF(J1284&lt;1,K1259,
(((J1284-1)*(J1260-(J1260/(J1284))))+((K1258/K$10)*K1259))/(K1260))))</f>
        <v>0</v>
      </c>
      <c r="L1284" s="1423">
        <f t="shared" ref="L1284" ca="1" si="1875">IF(AND(K1284&lt;1,L1258=0),0,
IF(L1258=0,K1284-1,
IF(K1284&lt;1,L1259,
(((K1284-1)*(K1260-(K1260/(K1284))))+((L1258/L$10)*L1259))/(L1260))))</f>
        <v>0</v>
      </c>
      <c r="M1284" s="1423">
        <f t="shared" ref="M1284" ca="1" si="1876">IF(AND(L1284&lt;1,M1258=0),0,
IF(M1258=0,L1284-1,
IF(L1284&lt;1,M1259,
(((L1284-1)*(L1260-(L1260/(L1284))))+((M1258/M$10)*M1259))/(M1260))))</f>
        <v>0</v>
      </c>
      <c r="N1284" s="1423">
        <f t="shared" ref="N1284" ca="1" si="1877">IF(AND(M1284&lt;1,N1258=0),0,
IF(N1258=0,M1284-1,
IF(M1284&lt;1,N1259,
(((M1284-1)*(M1260-(M1260/(M1284))))+((N1258/N$10)*N1259))/(N1260))))</f>
        <v>0</v>
      </c>
      <c r="O1284" s="1423">
        <f t="shared" ref="O1284" ca="1" si="1878">IF(AND(N1284&lt;1,O1258=0),0,
IF(O1258=0,N1284-1,
IF(N1284&lt;1,O1259,
(((N1284-1)*(N1260-(N1260/(N1284))))+((O1258/O$10)*O1259))/(O1260))))</f>
        <v>0</v>
      </c>
      <c r="P1284" s="1423">
        <f t="shared" ref="P1284" ca="1" si="1879">IF(AND(O1284&lt;1,P1258=0),0,
IF(P1258=0,O1284-1,
IF(O1284&lt;1,P1259,
(((O1284-1)*(O1260-(O1260/(O1284))))+((P1258/P$10)*P1259))/(P1260))))</f>
        <v>0</v>
      </c>
      <c r="Q1284" s="1423">
        <f t="shared" ref="Q1284" ca="1" si="1880">IF(AND(P1284&lt;1,Q1258=0),0,
IF(Q1258=0,P1284-1,
IF(P1284&lt;1,Q1259,
(((P1284-1)*(P1260-(P1260/(P1284))))+((Q1258/Q$10)*Q1259))/(Q1260))))</f>
        <v>0</v>
      </c>
      <c r="R1284" s="1423">
        <f t="shared" ref="R1284" ca="1" si="1881">IF(AND(Q1284&lt;1,R1258=0),0,
IF(R1258=0,Q1284-1,
IF(Q1284&lt;1,R1259,
(((Q1284-1)*(Q1260-(Q1260/(Q1284))))+((R1258/R$10)*R1259))/(R1260))))</f>
        <v>0</v>
      </c>
      <c r="S1284" s="1423">
        <f t="shared" ref="S1284" ca="1" si="1882">IF(AND(R1284&lt;1,S1258=0),0,
IF(S1258=0,R1284-1,
IF(R1284&lt;1,S1259,
(((R1284-1)*(R1260-(R1260/(R1284))))+((S1258/S$10)*S1259))/(S1260))))</f>
        <v>0</v>
      </c>
      <c r="T1284" s="1423">
        <f t="shared" ref="T1284" ca="1" si="1883">IF(AND(S1284&lt;1,T1258=0),0,
IF(T1258=0,S1284-1,
IF(S1284&lt;1,T1259,
(((S1284-1)*(S1260-(S1260/(S1284))))+((T1258/T$10)*T1259))/(T1260))))</f>
        <v>0</v>
      </c>
      <c r="U1284" s="1423">
        <f t="shared" ref="U1284" ca="1" si="1884">IF(AND(T1284&lt;1,U1258=0),0,
IF(U1258=0,T1284-1,
IF(T1284&lt;1,U1259,
(((T1284-1)*(T1260-(T1260/(T1284))))+((U1258/U$10)*U1259))/(U1260))))</f>
        <v>0</v>
      </c>
      <c r="V1284" s="1423">
        <f t="shared" ref="V1284" ca="1" si="1885">IF(AND(U1284&lt;1,V1258=0),0,
IF(V1258=0,U1284-1,
IF(U1284&lt;1,V1259,
(((U1284-1)*(U1260-(U1260/(U1284))))+((V1258/V$10)*V1259))/(V1260))))</f>
        <v>0</v>
      </c>
      <c r="W1284" s="1423">
        <f t="shared" ref="W1284" ca="1" si="1886">IF(AND(V1284&lt;1,W1258=0),0,
IF(W1258=0,V1284-1,
IF(V1284&lt;1,W1259,
(((V1284-1)*(V1260-(V1260/(V1284))))+((W1258/W$10)*W1259))/(W1260))))</f>
        <v>0</v>
      </c>
      <c r="X1284" s="152"/>
      <c r="Y1284" s="152"/>
      <c r="Z1284" s="152"/>
      <c r="AA1284" s="152"/>
      <c r="AB1284" s="152"/>
    </row>
    <row r="1285" spans="1:28" hidden="1" outlineLevel="1">
      <c r="A1285" s="152"/>
      <c r="B1285" s="190" t="s">
        <v>122</v>
      </c>
      <c r="C1285" s="1423">
        <f ca="1">C1257</f>
        <v>0</v>
      </c>
      <c r="D1285" s="1423">
        <f t="shared" ref="D1285" ca="1" si="1887">IF(C1285="n/a","n/a",MAX(0,C1285-1))</f>
        <v>0</v>
      </c>
      <c r="E1285" s="1423">
        <f t="shared" ref="E1285:E1286" ca="1" si="1888">IF(D1285="n/a","n/a",MAX(0,D1285-1))</f>
        <v>0</v>
      </c>
      <c r="F1285" s="1423">
        <f t="shared" ref="F1285:F1287" ca="1" si="1889">IF(E1285="n/a","n/a",MAX(0,E1285-1))</f>
        <v>0</v>
      </c>
      <c r="G1285" s="1423">
        <f t="shared" ref="G1285:G1288" ca="1" si="1890">IF(F1285="n/a","n/a",MAX(0,F1285-1))</f>
        <v>0</v>
      </c>
      <c r="H1285" s="1423">
        <f t="shared" ref="H1285:H1289" ca="1" si="1891">IF(G1285="n/a","n/a",MAX(0,G1285-1))</f>
        <v>0</v>
      </c>
      <c r="I1285" s="1423">
        <f t="shared" ref="I1285:I1290" ca="1" si="1892">IF(H1285="n/a","n/a",MAX(0,H1285-1))</f>
        <v>0</v>
      </c>
      <c r="J1285" s="1423">
        <f t="shared" ref="J1285:J1291" ca="1" si="1893">IF(I1285="n/a","n/a",MAX(0,I1285-1))</f>
        <v>0</v>
      </c>
      <c r="K1285" s="1423">
        <f t="shared" ref="K1285:K1292" ca="1" si="1894">IF(J1285="n/a","n/a",MAX(0,J1285-1))</f>
        <v>0</v>
      </c>
      <c r="L1285" s="1423">
        <f t="shared" ref="L1285:L1293" ca="1" si="1895">IF(K1285="n/a","n/a",MAX(0,K1285-1))</f>
        <v>0</v>
      </c>
      <c r="M1285" s="1423">
        <f t="shared" ref="M1285:M1294" ca="1" si="1896">IF(L1285="n/a","n/a",MAX(0,L1285-1))</f>
        <v>0</v>
      </c>
      <c r="N1285" s="1423">
        <f t="shared" ref="N1285:N1295" ca="1" si="1897">IF(M1285="n/a","n/a",MAX(0,M1285-1))</f>
        <v>0</v>
      </c>
      <c r="O1285" s="1423">
        <f t="shared" ref="O1285:O1296" ca="1" si="1898">IF(N1285="n/a","n/a",MAX(0,N1285-1))</f>
        <v>0</v>
      </c>
      <c r="P1285" s="1423">
        <f t="shared" ref="P1285:P1297" ca="1" si="1899">IF(O1285="n/a","n/a",MAX(0,O1285-1))</f>
        <v>0</v>
      </c>
      <c r="Q1285" s="1423">
        <f t="shared" ref="Q1285:Q1298" ca="1" si="1900">IF(P1285="n/a","n/a",MAX(0,P1285-1))</f>
        <v>0</v>
      </c>
      <c r="R1285" s="1423">
        <f t="shared" ref="R1285:R1299" ca="1" si="1901">IF(Q1285="n/a","n/a",MAX(0,Q1285-1))</f>
        <v>0</v>
      </c>
      <c r="S1285" s="1423">
        <f t="shared" ref="S1285:S1300" ca="1" si="1902">IF(R1285="n/a","n/a",MAX(0,R1285-1))</f>
        <v>0</v>
      </c>
      <c r="T1285" s="1423">
        <f t="shared" ref="T1285:T1301" ca="1" si="1903">IF(S1285="n/a","n/a",MAX(0,S1285-1))</f>
        <v>0</v>
      </c>
      <c r="U1285" s="1423">
        <f t="shared" ref="U1285:U1302" ca="1" si="1904">IF(T1285="n/a","n/a",MAX(0,T1285-1))</f>
        <v>0</v>
      </c>
      <c r="V1285" s="1423">
        <f t="shared" ref="V1285:V1303" ca="1" si="1905">IF(U1285="n/a","n/a",MAX(0,U1285-1))</f>
        <v>0</v>
      </c>
      <c r="W1285" s="1423">
        <f t="shared" ref="W1285:W1303" ca="1" si="1906">IF(V1285="n/a","n/a",MAX(0,V1285-1))</f>
        <v>0</v>
      </c>
      <c r="X1285" s="152"/>
      <c r="Y1285" s="152"/>
      <c r="Z1285" s="152"/>
      <c r="AA1285" s="152"/>
      <c r="AB1285" s="152"/>
    </row>
    <row r="1286" spans="1:28" hidden="1" outlineLevel="1">
      <c r="A1286" s="152"/>
      <c r="B1286" s="190" t="str">
        <f t="shared" ref="B1286:B1305" ca="1" si="1907">"RL Capex "&amp;OFFSET($C$6,0,A1262)</f>
        <v>RL Capex 2016-17</v>
      </c>
      <c r="C1286" s="1424"/>
      <c r="D1286" s="1428">
        <f>D1257</f>
        <v>0</v>
      </c>
      <c r="E1286" s="1423">
        <f t="shared" si="1888"/>
        <v>0</v>
      </c>
      <c r="F1286" s="1423">
        <f t="shared" si="1889"/>
        <v>0</v>
      </c>
      <c r="G1286" s="1423">
        <f t="shared" si="1890"/>
        <v>0</v>
      </c>
      <c r="H1286" s="1423">
        <f t="shared" si="1891"/>
        <v>0</v>
      </c>
      <c r="I1286" s="1423">
        <f t="shared" si="1892"/>
        <v>0</v>
      </c>
      <c r="J1286" s="1423">
        <f t="shared" si="1893"/>
        <v>0</v>
      </c>
      <c r="K1286" s="1423">
        <f t="shared" si="1894"/>
        <v>0</v>
      </c>
      <c r="L1286" s="1423">
        <f t="shared" si="1895"/>
        <v>0</v>
      </c>
      <c r="M1286" s="1423">
        <f t="shared" si="1896"/>
        <v>0</v>
      </c>
      <c r="N1286" s="1423">
        <f t="shared" si="1897"/>
        <v>0</v>
      </c>
      <c r="O1286" s="1423">
        <f t="shared" si="1898"/>
        <v>0</v>
      </c>
      <c r="P1286" s="1423">
        <f t="shared" si="1899"/>
        <v>0</v>
      </c>
      <c r="Q1286" s="1423">
        <f t="shared" si="1900"/>
        <v>0</v>
      </c>
      <c r="R1286" s="1423">
        <f t="shared" si="1901"/>
        <v>0</v>
      </c>
      <c r="S1286" s="1423">
        <f t="shared" si="1902"/>
        <v>0</v>
      </c>
      <c r="T1286" s="1423">
        <f t="shared" si="1903"/>
        <v>0</v>
      </c>
      <c r="U1286" s="1423">
        <f t="shared" si="1904"/>
        <v>0</v>
      </c>
      <c r="V1286" s="1423">
        <f t="shared" si="1905"/>
        <v>0</v>
      </c>
      <c r="W1286" s="1423">
        <f t="shared" si="1906"/>
        <v>0</v>
      </c>
      <c r="X1286" s="152"/>
      <c r="Y1286" s="152"/>
      <c r="Z1286" s="152"/>
      <c r="AA1286" s="152"/>
      <c r="AB1286" s="152"/>
    </row>
    <row r="1287" spans="1:28" hidden="1" outlineLevel="1">
      <c r="A1287" s="152"/>
      <c r="B1287" s="190" t="str">
        <f t="shared" ca="1" si="1907"/>
        <v>RL Capex 2017-18</v>
      </c>
      <c r="C1287" s="1429"/>
      <c r="D1287" s="1424"/>
      <c r="E1287" s="1428">
        <f>E1257</f>
        <v>0</v>
      </c>
      <c r="F1287" s="1423">
        <f t="shared" si="1889"/>
        <v>0</v>
      </c>
      <c r="G1287" s="1423">
        <f t="shared" si="1890"/>
        <v>0</v>
      </c>
      <c r="H1287" s="1423">
        <f t="shared" si="1891"/>
        <v>0</v>
      </c>
      <c r="I1287" s="1423">
        <f t="shared" si="1892"/>
        <v>0</v>
      </c>
      <c r="J1287" s="1423">
        <f t="shared" si="1893"/>
        <v>0</v>
      </c>
      <c r="K1287" s="1423">
        <f t="shared" si="1894"/>
        <v>0</v>
      </c>
      <c r="L1287" s="1423">
        <f t="shared" si="1895"/>
        <v>0</v>
      </c>
      <c r="M1287" s="1423">
        <f t="shared" si="1896"/>
        <v>0</v>
      </c>
      <c r="N1287" s="1423">
        <f t="shared" si="1897"/>
        <v>0</v>
      </c>
      <c r="O1287" s="1423">
        <f t="shared" si="1898"/>
        <v>0</v>
      </c>
      <c r="P1287" s="1423">
        <f t="shared" si="1899"/>
        <v>0</v>
      </c>
      <c r="Q1287" s="1423">
        <f t="shared" si="1900"/>
        <v>0</v>
      </c>
      <c r="R1287" s="1423">
        <f t="shared" si="1901"/>
        <v>0</v>
      </c>
      <c r="S1287" s="1423">
        <f t="shared" si="1902"/>
        <v>0</v>
      </c>
      <c r="T1287" s="1423">
        <f t="shared" si="1903"/>
        <v>0</v>
      </c>
      <c r="U1287" s="1423">
        <f t="shared" si="1904"/>
        <v>0</v>
      </c>
      <c r="V1287" s="1423">
        <f t="shared" si="1905"/>
        <v>0</v>
      </c>
      <c r="W1287" s="1423">
        <f t="shared" si="1906"/>
        <v>0</v>
      </c>
      <c r="X1287" s="152"/>
      <c r="Y1287" s="152"/>
      <c r="Z1287" s="152"/>
      <c r="AA1287" s="152"/>
      <c r="AB1287" s="152"/>
    </row>
    <row r="1288" spans="1:28" hidden="1" outlineLevel="1">
      <c r="A1288" s="152"/>
      <c r="B1288" s="190" t="str">
        <f t="shared" ca="1" si="1907"/>
        <v>RL Capex 2018-19</v>
      </c>
      <c r="C1288" s="1429"/>
      <c r="D1288" s="1429"/>
      <c r="E1288" s="1424"/>
      <c r="F1288" s="1428">
        <f>F1257</f>
        <v>0</v>
      </c>
      <c r="G1288" s="1423">
        <f t="shared" si="1890"/>
        <v>0</v>
      </c>
      <c r="H1288" s="1423">
        <f t="shared" si="1891"/>
        <v>0</v>
      </c>
      <c r="I1288" s="1423">
        <f t="shared" si="1892"/>
        <v>0</v>
      </c>
      <c r="J1288" s="1423">
        <f t="shared" si="1893"/>
        <v>0</v>
      </c>
      <c r="K1288" s="1423">
        <f t="shared" si="1894"/>
        <v>0</v>
      </c>
      <c r="L1288" s="1423">
        <f t="shared" si="1895"/>
        <v>0</v>
      </c>
      <c r="M1288" s="1423">
        <f t="shared" si="1896"/>
        <v>0</v>
      </c>
      <c r="N1288" s="1423">
        <f t="shared" si="1897"/>
        <v>0</v>
      </c>
      <c r="O1288" s="1423">
        <f t="shared" si="1898"/>
        <v>0</v>
      </c>
      <c r="P1288" s="1423">
        <f t="shared" si="1899"/>
        <v>0</v>
      </c>
      <c r="Q1288" s="1423">
        <f t="shared" si="1900"/>
        <v>0</v>
      </c>
      <c r="R1288" s="1423">
        <f t="shared" si="1901"/>
        <v>0</v>
      </c>
      <c r="S1288" s="1423">
        <f t="shared" si="1902"/>
        <v>0</v>
      </c>
      <c r="T1288" s="1423">
        <f t="shared" si="1903"/>
        <v>0</v>
      </c>
      <c r="U1288" s="1423">
        <f t="shared" si="1904"/>
        <v>0</v>
      </c>
      <c r="V1288" s="1423">
        <f t="shared" si="1905"/>
        <v>0</v>
      </c>
      <c r="W1288" s="1423">
        <f t="shared" si="1906"/>
        <v>0</v>
      </c>
      <c r="X1288" s="152"/>
      <c r="Y1288" s="152"/>
      <c r="Z1288" s="152"/>
      <c r="AA1288" s="152"/>
      <c r="AB1288" s="152"/>
    </row>
    <row r="1289" spans="1:28" hidden="1" outlineLevel="1">
      <c r="A1289" s="152"/>
      <c r="B1289" s="190" t="str">
        <f t="shared" ca="1" si="1907"/>
        <v>RL Capex 2019-20</v>
      </c>
      <c r="C1289" s="1429"/>
      <c r="D1289" s="1429"/>
      <c r="E1289" s="1429"/>
      <c r="F1289" s="1424"/>
      <c r="G1289" s="1428">
        <f>G1257</f>
        <v>0</v>
      </c>
      <c r="H1289" s="1423">
        <f t="shared" si="1891"/>
        <v>0</v>
      </c>
      <c r="I1289" s="1423">
        <f t="shared" si="1892"/>
        <v>0</v>
      </c>
      <c r="J1289" s="1423">
        <f t="shared" si="1893"/>
        <v>0</v>
      </c>
      <c r="K1289" s="1423">
        <f t="shared" si="1894"/>
        <v>0</v>
      </c>
      <c r="L1289" s="1423">
        <f t="shared" si="1895"/>
        <v>0</v>
      </c>
      <c r="M1289" s="1423">
        <f t="shared" si="1896"/>
        <v>0</v>
      </c>
      <c r="N1289" s="1423">
        <f t="shared" si="1897"/>
        <v>0</v>
      </c>
      <c r="O1289" s="1423">
        <f t="shared" si="1898"/>
        <v>0</v>
      </c>
      <c r="P1289" s="1423">
        <f t="shared" si="1899"/>
        <v>0</v>
      </c>
      <c r="Q1289" s="1423">
        <f t="shared" si="1900"/>
        <v>0</v>
      </c>
      <c r="R1289" s="1423">
        <f t="shared" si="1901"/>
        <v>0</v>
      </c>
      <c r="S1289" s="1423">
        <f t="shared" si="1902"/>
        <v>0</v>
      </c>
      <c r="T1289" s="1423">
        <f t="shared" si="1903"/>
        <v>0</v>
      </c>
      <c r="U1289" s="1423">
        <f t="shared" si="1904"/>
        <v>0</v>
      </c>
      <c r="V1289" s="1423">
        <f t="shared" si="1905"/>
        <v>0</v>
      </c>
      <c r="W1289" s="1423">
        <f t="shared" si="1906"/>
        <v>0</v>
      </c>
      <c r="X1289" s="152"/>
      <c r="Y1289" s="152"/>
      <c r="Z1289" s="152"/>
      <c r="AA1289" s="152"/>
      <c r="AB1289" s="152"/>
    </row>
    <row r="1290" spans="1:28" hidden="1" outlineLevel="1">
      <c r="A1290" s="152"/>
      <c r="B1290" s="190" t="str">
        <f t="shared" ca="1" si="1907"/>
        <v>RL Capex 2020-21</v>
      </c>
      <c r="C1290" s="1429"/>
      <c r="D1290" s="1429"/>
      <c r="E1290" s="1429"/>
      <c r="F1290" s="1429"/>
      <c r="G1290" s="1424"/>
      <c r="H1290" s="1428">
        <f>H1257</f>
        <v>0</v>
      </c>
      <c r="I1290" s="1423">
        <f t="shared" si="1892"/>
        <v>0</v>
      </c>
      <c r="J1290" s="1423">
        <f t="shared" si="1893"/>
        <v>0</v>
      </c>
      <c r="K1290" s="1423">
        <f t="shared" si="1894"/>
        <v>0</v>
      </c>
      <c r="L1290" s="1423">
        <f t="shared" si="1895"/>
        <v>0</v>
      </c>
      <c r="M1290" s="1423">
        <f t="shared" si="1896"/>
        <v>0</v>
      </c>
      <c r="N1290" s="1423">
        <f t="shared" si="1897"/>
        <v>0</v>
      </c>
      <c r="O1290" s="1423">
        <f t="shared" si="1898"/>
        <v>0</v>
      </c>
      <c r="P1290" s="1423">
        <f t="shared" si="1899"/>
        <v>0</v>
      </c>
      <c r="Q1290" s="1423">
        <f t="shared" si="1900"/>
        <v>0</v>
      </c>
      <c r="R1290" s="1423">
        <f t="shared" si="1901"/>
        <v>0</v>
      </c>
      <c r="S1290" s="1423">
        <f t="shared" si="1902"/>
        <v>0</v>
      </c>
      <c r="T1290" s="1423">
        <f t="shared" si="1903"/>
        <v>0</v>
      </c>
      <c r="U1290" s="1423">
        <f t="shared" si="1904"/>
        <v>0</v>
      </c>
      <c r="V1290" s="1423">
        <f t="shared" si="1905"/>
        <v>0</v>
      </c>
      <c r="W1290" s="1423">
        <f t="shared" si="1906"/>
        <v>0</v>
      </c>
      <c r="X1290" s="152"/>
      <c r="Y1290" s="152"/>
      <c r="Z1290" s="152"/>
      <c r="AA1290" s="152"/>
      <c r="AB1290" s="152"/>
    </row>
    <row r="1291" spans="1:28" hidden="1" outlineLevel="1">
      <c r="A1291" s="152"/>
      <c r="B1291" s="190" t="str">
        <f t="shared" ca="1" si="1907"/>
        <v>RL Capex 2021-22</v>
      </c>
      <c r="C1291" s="1429"/>
      <c r="D1291" s="1429"/>
      <c r="E1291" s="1429"/>
      <c r="F1291" s="1429"/>
      <c r="G1291" s="1429"/>
      <c r="H1291" s="1424"/>
      <c r="I1291" s="1428">
        <f>I1257</f>
        <v>0</v>
      </c>
      <c r="J1291" s="1423">
        <f t="shared" si="1893"/>
        <v>0</v>
      </c>
      <c r="K1291" s="1423">
        <f t="shared" si="1894"/>
        <v>0</v>
      </c>
      <c r="L1291" s="1423">
        <f t="shared" si="1895"/>
        <v>0</v>
      </c>
      <c r="M1291" s="1423">
        <f t="shared" si="1896"/>
        <v>0</v>
      </c>
      <c r="N1291" s="1423">
        <f t="shared" si="1897"/>
        <v>0</v>
      </c>
      <c r="O1291" s="1423">
        <f t="shared" si="1898"/>
        <v>0</v>
      </c>
      <c r="P1291" s="1423">
        <f t="shared" si="1899"/>
        <v>0</v>
      </c>
      <c r="Q1291" s="1423">
        <f t="shared" si="1900"/>
        <v>0</v>
      </c>
      <c r="R1291" s="1423">
        <f t="shared" si="1901"/>
        <v>0</v>
      </c>
      <c r="S1291" s="1423">
        <f t="shared" si="1902"/>
        <v>0</v>
      </c>
      <c r="T1291" s="1423">
        <f t="shared" si="1903"/>
        <v>0</v>
      </c>
      <c r="U1291" s="1423">
        <f t="shared" si="1904"/>
        <v>0</v>
      </c>
      <c r="V1291" s="1423">
        <f t="shared" si="1905"/>
        <v>0</v>
      </c>
      <c r="W1291" s="1423">
        <f t="shared" si="1906"/>
        <v>0</v>
      </c>
      <c r="X1291" s="152"/>
      <c r="Y1291" s="152"/>
      <c r="Z1291" s="152"/>
      <c r="AA1291" s="152"/>
      <c r="AB1291" s="152"/>
    </row>
    <row r="1292" spans="1:28" hidden="1" outlineLevel="1">
      <c r="A1292" s="152"/>
      <c r="B1292" s="190" t="str">
        <f t="shared" ca="1" si="1907"/>
        <v>RL Capex 2022-23</v>
      </c>
      <c r="C1292" s="1429"/>
      <c r="D1292" s="1429"/>
      <c r="E1292" s="1429"/>
      <c r="F1292" s="1429"/>
      <c r="G1292" s="1429"/>
      <c r="H1292" s="1429"/>
      <c r="I1292" s="1424"/>
      <c r="J1292" s="1428">
        <f>J1257</f>
        <v>0</v>
      </c>
      <c r="K1292" s="1423">
        <f t="shared" si="1894"/>
        <v>0</v>
      </c>
      <c r="L1292" s="1423">
        <f t="shared" si="1895"/>
        <v>0</v>
      </c>
      <c r="M1292" s="1423">
        <f t="shared" si="1896"/>
        <v>0</v>
      </c>
      <c r="N1292" s="1423">
        <f t="shared" si="1897"/>
        <v>0</v>
      </c>
      <c r="O1292" s="1423">
        <f t="shared" si="1898"/>
        <v>0</v>
      </c>
      <c r="P1292" s="1423">
        <f t="shared" si="1899"/>
        <v>0</v>
      </c>
      <c r="Q1292" s="1423">
        <f t="shared" si="1900"/>
        <v>0</v>
      </c>
      <c r="R1292" s="1423">
        <f t="shared" si="1901"/>
        <v>0</v>
      </c>
      <c r="S1292" s="1423">
        <f t="shared" si="1902"/>
        <v>0</v>
      </c>
      <c r="T1292" s="1423">
        <f t="shared" si="1903"/>
        <v>0</v>
      </c>
      <c r="U1292" s="1423">
        <f t="shared" si="1904"/>
        <v>0</v>
      </c>
      <c r="V1292" s="1423">
        <f t="shared" si="1905"/>
        <v>0</v>
      </c>
      <c r="W1292" s="1423">
        <f t="shared" si="1906"/>
        <v>0</v>
      </c>
      <c r="X1292" s="152"/>
      <c r="Y1292" s="152"/>
      <c r="Z1292" s="152"/>
      <c r="AA1292" s="152"/>
      <c r="AB1292" s="152"/>
    </row>
    <row r="1293" spans="1:28" hidden="1" outlineLevel="1">
      <c r="A1293" s="152"/>
      <c r="B1293" s="190" t="str">
        <f t="shared" ca="1" si="1907"/>
        <v>RL Capex 2023-24</v>
      </c>
      <c r="C1293" s="1429"/>
      <c r="D1293" s="1429"/>
      <c r="E1293" s="1429"/>
      <c r="F1293" s="1429"/>
      <c r="G1293" s="1429"/>
      <c r="H1293" s="1429"/>
      <c r="I1293" s="1429"/>
      <c r="J1293" s="1424"/>
      <c r="K1293" s="1428">
        <f>K1257</f>
        <v>0</v>
      </c>
      <c r="L1293" s="1423">
        <f t="shared" si="1895"/>
        <v>0</v>
      </c>
      <c r="M1293" s="1423">
        <f t="shared" si="1896"/>
        <v>0</v>
      </c>
      <c r="N1293" s="1423">
        <f t="shared" si="1897"/>
        <v>0</v>
      </c>
      <c r="O1293" s="1423">
        <f t="shared" si="1898"/>
        <v>0</v>
      </c>
      <c r="P1293" s="1423">
        <f t="shared" si="1899"/>
        <v>0</v>
      </c>
      <c r="Q1293" s="1423">
        <f t="shared" si="1900"/>
        <v>0</v>
      </c>
      <c r="R1293" s="1423">
        <f t="shared" si="1901"/>
        <v>0</v>
      </c>
      <c r="S1293" s="1423">
        <f t="shared" si="1902"/>
        <v>0</v>
      </c>
      <c r="T1293" s="1423">
        <f t="shared" si="1903"/>
        <v>0</v>
      </c>
      <c r="U1293" s="1423">
        <f t="shared" si="1904"/>
        <v>0</v>
      </c>
      <c r="V1293" s="1423">
        <f t="shared" si="1905"/>
        <v>0</v>
      </c>
      <c r="W1293" s="1423">
        <f t="shared" si="1906"/>
        <v>0</v>
      </c>
      <c r="X1293" s="152"/>
      <c r="Y1293" s="152"/>
      <c r="Z1293" s="152"/>
      <c r="AA1293" s="152"/>
      <c r="AB1293" s="152"/>
    </row>
    <row r="1294" spans="1:28" hidden="1" outlineLevel="1">
      <c r="A1294" s="152"/>
      <c r="B1294" s="190" t="str">
        <f t="shared" ca="1" si="1907"/>
        <v>RL Capex 2024-25</v>
      </c>
      <c r="C1294" s="1429"/>
      <c r="D1294" s="1429"/>
      <c r="E1294" s="1429"/>
      <c r="F1294" s="1429"/>
      <c r="G1294" s="1429"/>
      <c r="H1294" s="1429"/>
      <c r="I1294" s="1429"/>
      <c r="J1294" s="1429"/>
      <c r="K1294" s="1424"/>
      <c r="L1294" s="1428">
        <f>L1257</f>
        <v>0</v>
      </c>
      <c r="M1294" s="1423">
        <f t="shared" si="1896"/>
        <v>0</v>
      </c>
      <c r="N1294" s="1423">
        <f t="shared" si="1897"/>
        <v>0</v>
      </c>
      <c r="O1294" s="1423">
        <f t="shared" si="1898"/>
        <v>0</v>
      </c>
      <c r="P1294" s="1423">
        <f t="shared" si="1899"/>
        <v>0</v>
      </c>
      <c r="Q1294" s="1423">
        <f t="shared" si="1900"/>
        <v>0</v>
      </c>
      <c r="R1294" s="1423">
        <f t="shared" si="1901"/>
        <v>0</v>
      </c>
      <c r="S1294" s="1423">
        <f t="shared" si="1902"/>
        <v>0</v>
      </c>
      <c r="T1294" s="1423">
        <f t="shared" si="1903"/>
        <v>0</v>
      </c>
      <c r="U1294" s="1423">
        <f t="shared" si="1904"/>
        <v>0</v>
      </c>
      <c r="V1294" s="1423">
        <f t="shared" si="1905"/>
        <v>0</v>
      </c>
      <c r="W1294" s="1423">
        <f t="shared" si="1906"/>
        <v>0</v>
      </c>
      <c r="X1294" s="152"/>
      <c r="Y1294" s="152"/>
      <c r="Z1294" s="152"/>
      <c r="AA1294" s="152"/>
      <c r="AB1294" s="152"/>
    </row>
    <row r="1295" spans="1:28" hidden="1" outlineLevel="1">
      <c r="A1295" s="152"/>
      <c r="B1295" s="190" t="str">
        <f t="shared" ca="1" si="1907"/>
        <v>RL Capex 2025-26</v>
      </c>
      <c r="C1295" s="1429"/>
      <c r="D1295" s="1429"/>
      <c r="E1295" s="1429"/>
      <c r="F1295" s="1429"/>
      <c r="G1295" s="1429"/>
      <c r="H1295" s="1429"/>
      <c r="I1295" s="1429"/>
      <c r="J1295" s="1429"/>
      <c r="K1295" s="1429"/>
      <c r="L1295" s="1424"/>
      <c r="M1295" s="1428">
        <f>M1257</f>
        <v>0</v>
      </c>
      <c r="N1295" s="1423">
        <f t="shared" si="1897"/>
        <v>0</v>
      </c>
      <c r="O1295" s="1423">
        <f t="shared" si="1898"/>
        <v>0</v>
      </c>
      <c r="P1295" s="1423">
        <f t="shared" si="1899"/>
        <v>0</v>
      </c>
      <c r="Q1295" s="1423">
        <f t="shared" si="1900"/>
        <v>0</v>
      </c>
      <c r="R1295" s="1423">
        <f t="shared" si="1901"/>
        <v>0</v>
      </c>
      <c r="S1295" s="1423">
        <f t="shared" si="1902"/>
        <v>0</v>
      </c>
      <c r="T1295" s="1423">
        <f t="shared" si="1903"/>
        <v>0</v>
      </c>
      <c r="U1295" s="1423">
        <f t="shared" si="1904"/>
        <v>0</v>
      </c>
      <c r="V1295" s="1423">
        <f t="shared" si="1905"/>
        <v>0</v>
      </c>
      <c r="W1295" s="1423">
        <f t="shared" si="1906"/>
        <v>0</v>
      </c>
      <c r="X1295" s="152"/>
      <c r="Y1295" s="152"/>
      <c r="Z1295" s="152"/>
      <c r="AA1295" s="152"/>
      <c r="AB1295" s="152"/>
    </row>
    <row r="1296" spans="1:28" hidden="1" outlineLevel="1">
      <c r="A1296" s="152"/>
      <c r="B1296" s="190" t="str">
        <f t="shared" ca="1" si="1907"/>
        <v>RL Capex 2026-27</v>
      </c>
      <c r="C1296" s="1429"/>
      <c r="D1296" s="1429"/>
      <c r="E1296" s="1429"/>
      <c r="F1296" s="1429"/>
      <c r="G1296" s="1429"/>
      <c r="H1296" s="1429"/>
      <c r="I1296" s="1429"/>
      <c r="J1296" s="1429"/>
      <c r="K1296" s="1429"/>
      <c r="L1296" s="1429"/>
      <c r="M1296" s="1424"/>
      <c r="N1296" s="1428">
        <f>N1257</f>
        <v>0</v>
      </c>
      <c r="O1296" s="1423">
        <f t="shared" si="1898"/>
        <v>0</v>
      </c>
      <c r="P1296" s="1423">
        <f t="shared" si="1899"/>
        <v>0</v>
      </c>
      <c r="Q1296" s="1423">
        <f t="shared" si="1900"/>
        <v>0</v>
      </c>
      <c r="R1296" s="1423">
        <f t="shared" si="1901"/>
        <v>0</v>
      </c>
      <c r="S1296" s="1423">
        <f t="shared" si="1902"/>
        <v>0</v>
      </c>
      <c r="T1296" s="1423">
        <f t="shared" si="1903"/>
        <v>0</v>
      </c>
      <c r="U1296" s="1423">
        <f t="shared" si="1904"/>
        <v>0</v>
      </c>
      <c r="V1296" s="1423">
        <f t="shared" si="1905"/>
        <v>0</v>
      </c>
      <c r="W1296" s="1423">
        <f t="shared" si="1906"/>
        <v>0</v>
      </c>
      <c r="X1296" s="152"/>
      <c r="Y1296" s="152"/>
      <c r="Z1296" s="152"/>
      <c r="AA1296" s="152"/>
      <c r="AB1296" s="152"/>
    </row>
    <row r="1297" spans="1:28" hidden="1" outlineLevel="1">
      <c r="A1297" s="152"/>
      <c r="B1297" s="190" t="str">
        <f t="shared" ca="1" si="1907"/>
        <v>RL Capex 2027-28</v>
      </c>
      <c r="C1297" s="1429"/>
      <c r="D1297" s="1429"/>
      <c r="E1297" s="1429"/>
      <c r="F1297" s="1429"/>
      <c r="G1297" s="1429"/>
      <c r="H1297" s="1429"/>
      <c r="I1297" s="1429"/>
      <c r="J1297" s="1429"/>
      <c r="K1297" s="1429"/>
      <c r="L1297" s="1429"/>
      <c r="M1297" s="1429"/>
      <c r="N1297" s="1424"/>
      <c r="O1297" s="1428">
        <f>O1257</f>
        <v>0</v>
      </c>
      <c r="P1297" s="1423">
        <f t="shared" si="1899"/>
        <v>0</v>
      </c>
      <c r="Q1297" s="1423">
        <f t="shared" si="1900"/>
        <v>0</v>
      </c>
      <c r="R1297" s="1423">
        <f t="shared" si="1901"/>
        <v>0</v>
      </c>
      <c r="S1297" s="1423">
        <f t="shared" si="1902"/>
        <v>0</v>
      </c>
      <c r="T1297" s="1423">
        <f t="shared" si="1903"/>
        <v>0</v>
      </c>
      <c r="U1297" s="1423">
        <f t="shared" si="1904"/>
        <v>0</v>
      </c>
      <c r="V1297" s="1423">
        <f t="shared" si="1905"/>
        <v>0</v>
      </c>
      <c r="W1297" s="1423">
        <f t="shared" si="1906"/>
        <v>0</v>
      </c>
      <c r="X1297" s="152"/>
      <c r="Y1297" s="152"/>
      <c r="Z1297" s="152"/>
      <c r="AA1297" s="152"/>
      <c r="AB1297" s="152"/>
    </row>
    <row r="1298" spans="1:28" hidden="1" outlineLevel="1">
      <c r="A1298" s="152"/>
      <c r="B1298" s="190" t="str">
        <f t="shared" ca="1" si="1907"/>
        <v>RL Capex 2028-29</v>
      </c>
      <c r="C1298" s="1429"/>
      <c r="D1298" s="1429"/>
      <c r="E1298" s="1429"/>
      <c r="F1298" s="1429"/>
      <c r="G1298" s="1429"/>
      <c r="H1298" s="1429"/>
      <c r="I1298" s="1429"/>
      <c r="J1298" s="1429"/>
      <c r="K1298" s="1429"/>
      <c r="L1298" s="1429"/>
      <c r="M1298" s="1429"/>
      <c r="N1298" s="1429"/>
      <c r="O1298" s="1424"/>
      <c r="P1298" s="1428">
        <f>P1257</f>
        <v>0</v>
      </c>
      <c r="Q1298" s="1423">
        <f t="shared" si="1900"/>
        <v>0</v>
      </c>
      <c r="R1298" s="1423">
        <f t="shared" si="1901"/>
        <v>0</v>
      </c>
      <c r="S1298" s="1423">
        <f t="shared" si="1902"/>
        <v>0</v>
      </c>
      <c r="T1298" s="1423">
        <f t="shared" si="1903"/>
        <v>0</v>
      </c>
      <c r="U1298" s="1423">
        <f t="shared" si="1904"/>
        <v>0</v>
      </c>
      <c r="V1298" s="1423">
        <f t="shared" si="1905"/>
        <v>0</v>
      </c>
      <c r="W1298" s="1423">
        <f t="shared" si="1906"/>
        <v>0</v>
      </c>
      <c r="X1298" s="152"/>
      <c r="Y1298" s="152"/>
      <c r="Z1298" s="152"/>
      <c r="AA1298" s="152"/>
      <c r="AB1298" s="152"/>
    </row>
    <row r="1299" spans="1:28" hidden="1" outlineLevel="1">
      <c r="A1299" s="152"/>
      <c r="B1299" s="190" t="str">
        <f t="shared" ca="1" si="1907"/>
        <v>RL Capex 2029-30</v>
      </c>
      <c r="C1299" s="1429"/>
      <c r="D1299" s="1429"/>
      <c r="E1299" s="1429"/>
      <c r="F1299" s="1429"/>
      <c r="G1299" s="1429"/>
      <c r="H1299" s="1429"/>
      <c r="I1299" s="1429"/>
      <c r="J1299" s="1429"/>
      <c r="K1299" s="1429"/>
      <c r="L1299" s="1429"/>
      <c r="M1299" s="1429"/>
      <c r="N1299" s="1429"/>
      <c r="O1299" s="1429"/>
      <c r="P1299" s="1424"/>
      <c r="Q1299" s="1428">
        <f>Q1257</f>
        <v>0</v>
      </c>
      <c r="R1299" s="1423">
        <f t="shared" si="1901"/>
        <v>0</v>
      </c>
      <c r="S1299" s="1423">
        <f t="shared" si="1902"/>
        <v>0</v>
      </c>
      <c r="T1299" s="1423">
        <f t="shared" si="1903"/>
        <v>0</v>
      </c>
      <c r="U1299" s="1423">
        <f t="shared" si="1904"/>
        <v>0</v>
      </c>
      <c r="V1299" s="1423">
        <f t="shared" si="1905"/>
        <v>0</v>
      </c>
      <c r="W1299" s="1423">
        <f t="shared" si="1906"/>
        <v>0</v>
      </c>
      <c r="X1299" s="152"/>
      <c r="Y1299" s="152"/>
      <c r="Z1299" s="152"/>
      <c r="AA1299" s="152"/>
      <c r="AB1299" s="152"/>
    </row>
    <row r="1300" spans="1:28" hidden="1" outlineLevel="1">
      <c r="A1300" s="152"/>
      <c r="B1300" s="190" t="str">
        <f t="shared" ca="1" si="1907"/>
        <v>RL Capex 2030-31</v>
      </c>
      <c r="C1300" s="1429"/>
      <c r="D1300" s="1429"/>
      <c r="E1300" s="1429"/>
      <c r="F1300" s="1429"/>
      <c r="G1300" s="1429"/>
      <c r="H1300" s="1429"/>
      <c r="I1300" s="1429"/>
      <c r="J1300" s="1429"/>
      <c r="K1300" s="1429"/>
      <c r="L1300" s="1429"/>
      <c r="M1300" s="1429"/>
      <c r="N1300" s="1429"/>
      <c r="O1300" s="1429"/>
      <c r="P1300" s="1429"/>
      <c r="Q1300" s="1424"/>
      <c r="R1300" s="1428">
        <f>R1257</f>
        <v>0</v>
      </c>
      <c r="S1300" s="1423">
        <f t="shared" si="1902"/>
        <v>0</v>
      </c>
      <c r="T1300" s="1423">
        <f t="shared" si="1903"/>
        <v>0</v>
      </c>
      <c r="U1300" s="1423">
        <f t="shared" si="1904"/>
        <v>0</v>
      </c>
      <c r="V1300" s="1423">
        <f t="shared" si="1905"/>
        <v>0</v>
      </c>
      <c r="W1300" s="1423">
        <f t="shared" si="1906"/>
        <v>0</v>
      </c>
      <c r="X1300" s="152"/>
      <c r="Y1300" s="152"/>
      <c r="Z1300" s="152"/>
      <c r="AA1300" s="152"/>
      <c r="AB1300" s="152"/>
    </row>
    <row r="1301" spans="1:28" hidden="1" outlineLevel="1">
      <c r="A1301" s="152"/>
      <c r="B1301" s="190" t="str">
        <f t="shared" ca="1" si="1907"/>
        <v>RL Capex 2031-32</v>
      </c>
      <c r="C1301" s="1429"/>
      <c r="D1301" s="1429"/>
      <c r="E1301" s="1429"/>
      <c r="F1301" s="1429"/>
      <c r="G1301" s="1429"/>
      <c r="H1301" s="1429"/>
      <c r="I1301" s="1429"/>
      <c r="J1301" s="1429"/>
      <c r="K1301" s="1429"/>
      <c r="L1301" s="1429"/>
      <c r="M1301" s="1429"/>
      <c r="N1301" s="1429"/>
      <c r="O1301" s="1429"/>
      <c r="P1301" s="1429"/>
      <c r="Q1301" s="1429"/>
      <c r="R1301" s="1424"/>
      <c r="S1301" s="1428">
        <f>S1257</f>
        <v>0</v>
      </c>
      <c r="T1301" s="1423">
        <f t="shared" si="1903"/>
        <v>0</v>
      </c>
      <c r="U1301" s="1423">
        <f t="shared" si="1904"/>
        <v>0</v>
      </c>
      <c r="V1301" s="1423">
        <f t="shared" si="1905"/>
        <v>0</v>
      </c>
      <c r="W1301" s="1423">
        <f t="shared" si="1906"/>
        <v>0</v>
      </c>
      <c r="X1301" s="152"/>
      <c r="Y1301" s="152"/>
      <c r="Z1301" s="152"/>
      <c r="AA1301" s="152"/>
      <c r="AB1301" s="152"/>
    </row>
    <row r="1302" spans="1:28" hidden="1" outlineLevel="1">
      <c r="A1302" s="152"/>
      <c r="B1302" s="190" t="str">
        <f t="shared" ca="1" si="1907"/>
        <v>RL Capex 2032-33</v>
      </c>
      <c r="C1302" s="1429"/>
      <c r="D1302" s="1429"/>
      <c r="E1302" s="1429"/>
      <c r="F1302" s="1429"/>
      <c r="G1302" s="1429"/>
      <c r="H1302" s="1429"/>
      <c r="I1302" s="1429"/>
      <c r="J1302" s="1429"/>
      <c r="K1302" s="1429"/>
      <c r="L1302" s="1429"/>
      <c r="M1302" s="1429"/>
      <c r="N1302" s="1429"/>
      <c r="O1302" s="1429"/>
      <c r="P1302" s="1429"/>
      <c r="Q1302" s="1429"/>
      <c r="R1302" s="1429"/>
      <c r="S1302" s="1424"/>
      <c r="T1302" s="1428">
        <f>T1257</f>
        <v>0</v>
      </c>
      <c r="U1302" s="1423">
        <f t="shared" si="1904"/>
        <v>0</v>
      </c>
      <c r="V1302" s="1423">
        <f t="shared" si="1905"/>
        <v>0</v>
      </c>
      <c r="W1302" s="1423">
        <f t="shared" si="1906"/>
        <v>0</v>
      </c>
      <c r="X1302" s="152"/>
      <c r="Y1302" s="152"/>
      <c r="Z1302" s="152"/>
      <c r="AA1302" s="152"/>
      <c r="AB1302" s="152"/>
    </row>
    <row r="1303" spans="1:28" hidden="1" outlineLevel="1">
      <c r="A1303" s="152"/>
      <c r="B1303" s="190" t="str">
        <f t="shared" ca="1" si="1907"/>
        <v>RL Capex 2033-34</v>
      </c>
      <c r="C1303" s="1429"/>
      <c r="D1303" s="1429"/>
      <c r="E1303" s="1429"/>
      <c r="F1303" s="1429"/>
      <c r="G1303" s="1429"/>
      <c r="H1303" s="1429"/>
      <c r="I1303" s="1429"/>
      <c r="J1303" s="1429"/>
      <c r="K1303" s="1429"/>
      <c r="L1303" s="1429"/>
      <c r="M1303" s="1429"/>
      <c r="N1303" s="1429"/>
      <c r="O1303" s="1429"/>
      <c r="P1303" s="1429"/>
      <c r="Q1303" s="1429"/>
      <c r="R1303" s="1429"/>
      <c r="S1303" s="1429"/>
      <c r="T1303" s="1424"/>
      <c r="U1303" s="1428">
        <f>U1257</f>
        <v>0</v>
      </c>
      <c r="V1303" s="1423">
        <f t="shared" si="1905"/>
        <v>0</v>
      </c>
      <c r="W1303" s="1423">
        <f t="shared" si="1906"/>
        <v>0</v>
      </c>
      <c r="X1303" s="152"/>
      <c r="Y1303" s="152"/>
      <c r="Z1303" s="152"/>
      <c r="AA1303" s="152"/>
      <c r="AB1303" s="152"/>
    </row>
    <row r="1304" spans="1:28" hidden="1" outlineLevel="1">
      <c r="A1304" s="152"/>
      <c r="B1304" s="190" t="str">
        <f t="shared" ca="1" si="1907"/>
        <v>RL Capex 2034-35</v>
      </c>
      <c r="C1304" s="1429"/>
      <c r="D1304" s="1429"/>
      <c r="E1304" s="1429"/>
      <c r="F1304" s="1429"/>
      <c r="G1304" s="1429"/>
      <c r="H1304" s="1429"/>
      <c r="I1304" s="1429"/>
      <c r="J1304" s="1429"/>
      <c r="K1304" s="1429"/>
      <c r="L1304" s="1429"/>
      <c r="M1304" s="1429"/>
      <c r="N1304" s="1429"/>
      <c r="O1304" s="1429"/>
      <c r="P1304" s="1429"/>
      <c r="Q1304" s="1429"/>
      <c r="R1304" s="1429"/>
      <c r="S1304" s="1429"/>
      <c r="T1304" s="1429"/>
      <c r="U1304" s="1424"/>
      <c r="V1304" s="1428">
        <f>V1257</f>
        <v>0</v>
      </c>
      <c r="W1304" s="1423">
        <f>IF(V1304="n/a","n/a",MAX(0,V1304-1))</f>
        <v>0</v>
      </c>
      <c r="X1304" s="152"/>
      <c r="Y1304" s="152"/>
      <c r="Z1304" s="152"/>
      <c r="AA1304" s="152"/>
      <c r="AB1304" s="152"/>
    </row>
    <row r="1305" spans="1:28" hidden="1" outlineLevel="1">
      <c r="A1305" s="152"/>
      <c r="B1305" s="190" t="str">
        <f t="shared" ca="1" si="1907"/>
        <v>RL Capex 2035-36</v>
      </c>
      <c r="C1305" s="1429"/>
      <c r="D1305" s="1429"/>
      <c r="E1305" s="1429"/>
      <c r="F1305" s="1429"/>
      <c r="G1305" s="1429"/>
      <c r="H1305" s="1429"/>
      <c r="I1305" s="1429"/>
      <c r="J1305" s="1429"/>
      <c r="K1305" s="1429"/>
      <c r="L1305" s="1429"/>
      <c r="M1305" s="1429"/>
      <c r="N1305" s="1429"/>
      <c r="O1305" s="1429"/>
      <c r="P1305" s="1429"/>
      <c r="Q1305" s="1429"/>
      <c r="R1305" s="1429"/>
      <c r="S1305" s="1429"/>
      <c r="T1305" s="1429"/>
      <c r="U1305" s="1429"/>
      <c r="V1305" s="1424"/>
      <c r="W1305" s="1423">
        <f>W1257</f>
        <v>0</v>
      </c>
      <c r="X1305" s="152"/>
      <c r="Y1305" s="152"/>
      <c r="Z1305" s="152"/>
      <c r="AA1305" s="152"/>
      <c r="AB1305" s="152"/>
    </row>
    <row r="1306" spans="1:28" hidden="1" outlineLevel="1">
      <c r="A1306" s="152"/>
      <c r="B1306" s="200"/>
      <c r="C1306" s="1423"/>
      <c r="D1306" s="1423"/>
      <c r="E1306" s="1423"/>
      <c r="F1306" s="1423"/>
      <c r="G1306" s="1423"/>
      <c r="H1306" s="1423"/>
      <c r="I1306" s="1423"/>
      <c r="J1306" s="1423"/>
      <c r="K1306" s="1423"/>
      <c r="L1306" s="1423"/>
      <c r="M1306" s="1423"/>
      <c r="N1306" s="1423"/>
      <c r="O1306" s="1423"/>
      <c r="P1306" s="1423"/>
      <c r="Q1306" s="1423"/>
      <c r="R1306" s="1423"/>
      <c r="S1306" s="1423"/>
      <c r="T1306" s="1423"/>
      <c r="U1306" s="1423"/>
      <c r="V1306" s="1423"/>
      <c r="W1306" s="1423"/>
      <c r="X1306" s="152"/>
      <c r="Y1306" s="152"/>
      <c r="Z1306" s="152"/>
      <c r="AA1306" s="152"/>
      <c r="AB1306" s="152"/>
    </row>
    <row r="1307" spans="1:28" collapsed="1">
      <c r="A1307" s="194"/>
      <c r="B1307" s="204" t="s">
        <v>123</v>
      </c>
      <c r="C1307" s="1430">
        <f ca="1">(IF(OR($C1257&lt;&gt;"n/a",C1257&lt;&gt;"n/a"),IF(SUM(C1260:C1282)=0,0,IF((SUMPRODUCT(C1260:C1282,C1284:C1306)/SUM(C1260:C1282))&lt;0,1,(SUMPRODUCT(C1260:C1282,C1284:C1306)/SUM(C1260:C1282)))),"n/a"))</f>
        <v>0</v>
      </c>
      <c r="D1307" s="1430">
        <f ca="1">(IF(OR($C1257&lt;&gt;"n/a",D1257&lt;&gt;"n/a"),IF(SUM(D1260:D1282)=0,0,IF((SUMPRODUCT(D1260:D1282,D1284:D1306)/SUM(D1260:D1282))&lt;0,1,(SUMPRODUCT(D1260:D1282,D1284:D1306)/SUM(D1260:D1282)))),"n/a"))</f>
        <v>0</v>
      </c>
      <c r="E1307" s="1430">
        <f t="shared" ref="E1307:W1307" ca="1" si="1908">(IF(OR($C1257&lt;&gt;"n/a",E1257&lt;&gt;"n/a"),IF(SUM(E1260:E1282)=0,0,IF((SUMPRODUCT(E1260:E1282,E1284:E1306)/SUM(E1260:E1282))&lt;0,1,(SUMPRODUCT(E1260:E1282,E1284:E1306)/SUM(E1260:E1282)))),"n/a"))</f>
        <v>0</v>
      </c>
      <c r="F1307" s="1430">
        <f t="shared" ca="1" si="1908"/>
        <v>0</v>
      </c>
      <c r="G1307" s="1430">
        <f t="shared" ca="1" si="1908"/>
        <v>0</v>
      </c>
      <c r="H1307" s="1430">
        <f t="shared" ca="1" si="1908"/>
        <v>0</v>
      </c>
      <c r="I1307" s="1430">
        <f t="shared" ca="1" si="1908"/>
        <v>0</v>
      </c>
      <c r="J1307" s="1430">
        <f t="shared" ca="1" si="1908"/>
        <v>0</v>
      </c>
      <c r="K1307" s="1430">
        <f t="shared" ca="1" si="1908"/>
        <v>0</v>
      </c>
      <c r="L1307" s="1430">
        <f t="shared" ca="1" si="1908"/>
        <v>0</v>
      </c>
      <c r="M1307" s="1430">
        <f t="shared" ca="1" si="1908"/>
        <v>0</v>
      </c>
      <c r="N1307" s="1430">
        <f t="shared" ca="1" si="1908"/>
        <v>0</v>
      </c>
      <c r="O1307" s="1430">
        <f t="shared" ca="1" si="1908"/>
        <v>0</v>
      </c>
      <c r="P1307" s="1430">
        <f t="shared" ca="1" si="1908"/>
        <v>0</v>
      </c>
      <c r="Q1307" s="1430">
        <f t="shared" ca="1" si="1908"/>
        <v>0</v>
      </c>
      <c r="R1307" s="1430">
        <f t="shared" ca="1" si="1908"/>
        <v>0</v>
      </c>
      <c r="S1307" s="1430">
        <f t="shared" ca="1" si="1908"/>
        <v>0</v>
      </c>
      <c r="T1307" s="1430">
        <f t="shared" ca="1" si="1908"/>
        <v>0</v>
      </c>
      <c r="U1307" s="1430">
        <f t="shared" ca="1" si="1908"/>
        <v>0</v>
      </c>
      <c r="V1307" s="1430">
        <f t="shared" ca="1" si="1908"/>
        <v>0</v>
      </c>
      <c r="W1307" s="1430">
        <f t="shared" ca="1" si="1908"/>
        <v>0</v>
      </c>
      <c r="X1307" s="152"/>
      <c r="Y1307" s="152"/>
      <c r="Z1307" s="152"/>
      <c r="AA1307" s="152"/>
      <c r="AB1307" s="152"/>
    </row>
    <row r="1308" spans="1:28">
      <c r="A1308" s="152"/>
      <c r="B1308" s="152"/>
      <c r="C1308" s="1423"/>
      <c r="D1308" s="1423"/>
      <c r="E1308" s="1423"/>
      <c r="F1308" s="1423"/>
      <c r="G1308" s="1423"/>
      <c r="H1308" s="1423"/>
      <c r="I1308" s="1423"/>
      <c r="J1308" s="1423"/>
      <c r="K1308" s="1423"/>
      <c r="L1308" s="1423"/>
      <c r="M1308" s="1423"/>
      <c r="N1308" s="1423"/>
      <c r="O1308" s="1423"/>
      <c r="P1308" s="1423"/>
      <c r="Q1308" s="1423"/>
      <c r="R1308" s="1423"/>
      <c r="S1308" s="1423"/>
      <c r="T1308" s="1423"/>
      <c r="U1308" s="1423"/>
      <c r="V1308" s="1423"/>
      <c r="W1308" s="1423"/>
      <c r="X1308" s="152"/>
      <c r="Y1308" s="152"/>
      <c r="Z1308" s="152"/>
      <c r="AA1308" s="152"/>
      <c r="AB1308" s="152"/>
    </row>
    <row r="1309" spans="1:28">
      <c r="A1309" s="269" t="s">
        <v>59</v>
      </c>
      <c r="B1309" s="270">
        <f>VLOOKUP($A1309,'RFM input'!$E$7:$F$56,2,FALSE)</f>
        <v>0</v>
      </c>
      <c r="C1309" s="1431"/>
      <c r="D1309" s="1431"/>
      <c r="E1309" s="1432"/>
      <c r="F1309" s="1432"/>
      <c r="G1309" s="1432"/>
      <c r="H1309" s="1432"/>
      <c r="I1309" s="1432"/>
      <c r="J1309" s="1432"/>
      <c r="K1309" s="1432"/>
      <c r="L1309" s="1432"/>
      <c r="M1309" s="1432"/>
      <c r="N1309" s="1432"/>
      <c r="O1309" s="1432"/>
      <c r="P1309" s="1432"/>
      <c r="Q1309" s="1432"/>
      <c r="R1309" s="1432"/>
      <c r="S1309" s="1432"/>
      <c r="T1309" s="1432"/>
      <c r="U1309" s="1432"/>
      <c r="V1309" s="1432"/>
      <c r="W1309" s="1432"/>
      <c r="X1309" s="152"/>
      <c r="Y1309" s="152"/>
      <c r="Z1309" s="152"/>
      <c r="AA1309" s="152"/>
      <c r="AB1309" s="152"/>
    </row>
    <row r="1310" spans="1:28">
      <c r="A1310" s="215">
        <f>VALUE(REPLACE(A1309,1,12,""))</f>
        <v>25</v>
      </c>
      <c r="B1310" s="193" t="s">
        <v>126</v>
      </c>
      <c r="C1310" s="1416">
        <f ca="1">IF($C$8='Capital Base roll forward'!$H$4,OFFSET('Capital Base roll forward'!$H$717,'RAB remaining lives'!A1310,0),"enter input")</f>
        <v>0</v>
      </c>
      <c r="D1310" s="1417">
        <f>IF(LEFT(D$6,4)&lt;LEFT('RFM input'!$G$60,4),"enter input",IF(LEFT(D$6,4)&gt;LEFT('RFM input'!$Q$60,4),0,INDEX('RFM input'!$G$61:$Q$110,$A1310,MATCH(D$6,'RFM input'!$G$60:$Q$60,0))
-INDEX('RFM input'!$G$115:$Q$164,$A1310,MATCH(D$6,'RFM input'!$G$60:$Q$60,0))
-INDEX('RFM input'!$G$169:$Q$218,$A1310,MATCH(D$6,'RFM input'!$G$60:$Q$60,0))))</f>
        <v>0</v>
      </c>
      <c r="E1310" s="1417">
        <f>IF(LEFT(E$6,4)&lt;LEFT('RFM input'!$G$60,4),"enter input",IF(LEFT(E$6,4)&gt;LEFT('RFM input'!$Q$60,4),0,INDEX('RFM input'!$G$61:$Q$110,$A1310,MATCH(E$6,'RFM input'!$G$60:$Q$60,0))
-INDEX('RFM input'!$G$115:$Q$164,$A1310,MATCH(E$6,'RFM input'!$G$60:$Q$60,0))
-INDEX('RFM input'!$G$169:$Q$218,$A1310,MATCH(E$6,'RFM input'!$G$60:$Q$60,0))))</f>
        <v>0</v>
      </c>
      <c r="F1310" s="1417">
        <f>IF(LEFT(F$6,4)&lt;LEFT('RFM input'!$G$60,4),"enter input",IF(LEFT(F$6,4)&gt;LEFT('RFM input'!$Q$60,4),0,INDEX('RFM input'!$G$61:$Q$110,$A1310,MATCH(F$6,'RFM input'!$G$60:$Q$60,0))
-INDEX('RFM input'!$G$115:$Q$164,$A1310,MATCH(F$6,'RFM input'!$G$60:$Q$60,0))
-INDEX('RFM input'!$G$169:$Q$218,$A1310,MATCH(F$6,'RFM input'!$G$60:$Q$60,0))))</f>
        <v>0</v>
      </c>
      <c r="G1310" s="1417">
        <f>IF(LEFT(G$6,4)&lt;LEFT('RFM input'!$G$60,4),"enter input",IF(LEFT(G$6,4)&gt;LEFT('RFM input'!$Q$60,4),0,INDEX('RFM input'!$G$61:$Q$110,$A1310,MATCH(G$6,'RFM input'!$G$60:$Q$60,0))
-INDEX('RFM input'!$G$115:$Q$164,$A1310,MATCH(G$6,'RFM input'!$G$60:$Q$60,0))
-INDEX('RFM input'!$G$169:$Q$218,$A1310,MATCH(G$6,'RFM input'!$G$60:$Q$60,0))))</f>
        <v>0</v>
      </c>
      <c r="H1310" s="1417">
        <f>IF(LEFT(H$6,4)&lt;LEFT('RFM input'!$G$60,4),"enter input",IF(LEFT(H$6,4)&gt;LEFT('RFM input'!$Q$60,4),0,INDEX('RFM input'!$G$61:$Q$110,$A1310,MATCH(H$6,'RFM input'!$G$60:$Q$60,0))
-INDEX('RFM input'!$G$115:$Q$164,$A1310,MATCH(H$6,'RFM input'!$G$60:$Q$60,0))
-INDEX('RFM input'!$G$169:$Q$218,$A1310,MATCH(H$6,'RFM input'!$G$60:$Q$60,0))))</f>
        <v>0</v>
      </c>
      <c r="I1310" s="1417">
        <f>IF(LEFT(I$6,4)&lt;LEFT('RFM input'!$G$60,4),"enter input",IF(LEFT(I$6,4)&gt;LEFT('RFM input'!$Q$60,4),0,INDEX('RFM input'!$G$61:$Q$110,$A1310,MATCH(I$6,'RFM input'!$G$60:$Q$60,0))
-INDEX('RFM input'!$G$115:$Q$164,$A1310,MATCH(I$6,'RFM input'!$G$60:$Q$60,0))
-INDEX('RFM input'!$G$169:$Q$218,$A1310,MATCH(I$6,'RFM input'!$G$60:$Q$60,0))))</f>
        <v>0</v>
      </c>
      <c r="J1310" s="1417">
        <f>IF(LEFT(J$6,4)&lt;LEFT('RFM input'!$G$60,4),"enter input",IF(LEFT(J$6,4)&gt;LEFT('RFM input'!$Q$60,4),0,INDEX('RFM input'!$G$61:$Q$110,$A1310,MATCH(J$6,'RFM input'!$G$60:$Q$60,0))
-INDEX('RFM input'!$G$115:$Q$164,$A1310,MATCH(J$6,'RFM input'!$G$60:$Q$60,0))
-INDEX('RFM input'!$G$169:$Q$218,$A1310,MATCH(J$6,'RFM input'!$G$60:$Q$60,0))))</f>
        <v>0</v>
      </c>
      <c r="K1310" s="1417">
        <f>IF(LEFT(K$6,4)&lt;LEFT('RFM input'!$G$60,4),"enter input",IF(LEFT(K$6,4)&gt;LEFT('RFM input'!$Q$60,4),0,INDEX('RFM input'!$G$61:$Q$110,$A1310,MATCH(K$6,'RFM input'!$G$60:$Q$60,0))
-INDEX('RFM input'!$G$115:$Q$164,$A1310,MATCH(K$6,'RFM input'!$G$60:$Q$60,0))
-INDEX('RFM input'!$G$169:$Q$218,$A1310,MATCH(K$6,'RFM input'!$G$60:$Q$60,0))))</f>
        <v>0</v>
      </c>
      <c r="L1310" s="1417">
        <f>IF(LEFT(L$6,4)&lt;LEFT('RFM input'!$G$60,4),"enter input",IF(LEFT(L$6,4)&gt;LEFT('RFM input'!$Q$60,4),0,INDEX('RFM input'!$G$61:$Q$110,$A1310,MATCH(L$6,'RFM input'!$G$60:$Q$60,0))
-INDEX('RFM input'!$G$115:$Q$164,$A1310,MATCH(L$6,'RFM input'!$G$60:$Q$60,0))
-INDEX('RFM input'!$G$169:$Q$218,$A1310,MATCH(L$6,'RFM input'!$G$60:$Q$60,0))))</f>
        <v>0</v>
      </c>
      <c r="M1310" s="1417">
        <f>IF(LEFT(M$6,4)&lt;LEFT('RFM input'!$G$60,4),"enter input",IF(LEFT(M$6,4)&gt;LEFT('RFM input'!$Q$60,4),0,INDEX('RFM input'!$G$61:$Q$110,$A1310,MATCH(M$6,'RFM input'!$G$60:$Q$60,0))
-INDEX('RFM input'!$G$115:$Q$164,$A1310,MATCH(M$6,'RFM input'!$G$60:$Q$60,0))
-INDEX('RFM input'!$G$169:$Q$218,$A1310,MATCH(M$6,'RFM input'!$G$60:$Q$60,0))))</f>
        <v>0</v>
      </c>
      <c r="N1310" s="1417">
        <f>IF(LEFT(N$6,4)&lt;LEFT('RFM input'!$G$60,4),"enter input",IF(LEFT(N$6,4)&gt;LEFT('RFM input'!$Q$60,4),0,INDEX('RFM input'!$G$61:$Q$110,$A1310,MATCH(N$6,'RFM input'!$G$60:$Q$60,0))
-INDEX('RFM input'!$G$115:$Q$164,$A1310,MATCH(N$6,'RFM input'!$G$60:$Q$60,0))
-INDEX('RFM input'!$G$169:$Q$218,$A1310,MATCH(N$6,'RFM input'!$G$60:$Q$60,0))))</f>
        <v>0</v>
      </c>
      <c r="O1310" s="1417">
        <f>IF(LEFT(O$6,4)&lt;LEFT('RFM input'!$G$60,4),"enter input",IF(LEFT(O$6,4)&gt;LEFT('RFM input'!$Q$60,4),0,INDEX('RFM input'!$G$61:$Q$110,$A1310,MATCH(O$6,'RFM input'!$G$60:$Q$60,0))
-INDEX('RFM input'!$G$115:$Q$164,$A1310,MATCH(O$6,'RFM input'!$G$60:$Q$60,0))
-INDEX('RFM input'!$G$169:$Q$218,$A1310,MATCH(O$6,'RFM input'!$G$60:$Q$60,0))))</f>
        <v>0</v>
      </c>
      <c r="P1310" s="1417">
        <f>IF(LEFT(P$6,4)&lt;LEFT('RFM input'!$G$60,4),"enter input",IF(LEFT(P$6,4)&gt;LEFT('RFM input'!$Q$60,4),0,INDEX('RFM input'!$G$61:$Q$110,$A1310,MATCH(P$6,'RFM input'!$G$60:$Q$60,0))
-INDEX('RFM input'!$G$115:$Q$164,$A1310,MATCH(P$6,'RFM input'!$G$60:$Q$60,0))
-INDEX('RFM input'!$G$169:$Q$218,$A1310,MATCH(P$6,'RFM input'!$G$60:$Q$60,0))))</f>
        <v>0</v>
      </c>
      <c r="Q1310" s="1417">
        <f>IF(LEFT(Q$6,4)&lt;LEFT('RFM input'!$G$60,4),"enter input",IF(LEFT(Q$6,4)&gt;LEFT('RFM input'!$Q$60,4),0,INDEX('RFM input'!$G$61:$Q$110,$A1310,MATCH(Q$6,'RFM input'!$G$60:$Q$60,0))
-INDEX('RFM input'!$G$115:$Q$164,$A1310,MATCH(Q$6,'RFM input'!$G$60:$Q$60,0))
-INDEX('RFM input'!$G$169:$Q$218,$A1310,MATCH(Q$6,'RFM input'!$G$60:$Q$60,0))))</f>
        <v>0</v>
      </c>
      <c r="R1310" s="1417">
        <f>IF(LEFT(R$6,4)&lt;LEFT('RFM input'!$G$60,4),"enter input",IF(LEFT(R$6,4)&gt;LEFT('RFM input'!$Q$60,4),0,INDEX('RFM input'!$G$61:$Q$110,$A1310,MATCH(R$6,'RFM input'!$G$60:$Q$60,0))
-INDEX('RFM input'!$G$115:$Q$164,$A1310,MATCH(R$6,'RFM input'!$G$60:$Q$60,0))
-INDEX('RFM input'!$G$169:$Q$218,$A1310,MATCH(R$6,'RFM input'!$G$60:$Q$60,0))))</f>
        <v>0</v>
      </c>
      <c r="S1310" s="1417">
        <f>IF(LEFT(S$6,4)&lt;LEFT('RFM input'!$G$60,4),"enter input",IF(LEFT(S$6,4)&gt;LEFT('RFM input'!$Q$60,4),0,INDEX('RFM input'!$G$61:$Q$110,$A1310,MATCH(S$6,'RFM input'!$G$60:$Q$60,0))
-INDEX('RFM input'!$G$115:$Q$164,$A1310,MATCH(S$6,'RFM input'!$G$60:$Q$60,0))
-INDEX('RFM input'!$G$169:$Q$218,$A1310,MATCH(S$6,'RFM input'!$G$60:$Q$60,0))))</f>
        <v>0</v>
      </c>
      <c r="T1310" s="1417">
        <f>IF(LEFT(T$6,4)&lt;LEFT('RFM input'!$G$60,4),"enter input",IF(LEFT(T$6,4)&gt;LEFT('RFM input'!$Q$60,4),0,INDEX('RFM input'!$G$61:$Q$110,$A1310,MATCH(T$6,'RFM input'!$G$60:$Q$60,0))
-INDEX('RFM input'!$G$115:$Q$164,$A1310,MATCH(T$6,'RFM input'!$G$60:$Q$60,0))
-INDEX('RFM input'!$G$169:$Q$218,$A1310,MATCH(T$6,'RFM input'!$G$60:$Q$60,0))))</f>
        <v>0</v>
      </c>
      <c r="U1310" s="1417">
        <f>IF(LEFT(U$6,4)&lt;LEFT('RFM input'!$G$60,4),"enter input",IF(LEFT(U$6,4)&gt;LEFT('RFM input'!$Q$60,4),0,INDEX('RFM input'!$G$61:$Q$110,$A1310,MATCH(U$6,'RFM input'!$G$60:$Q$60,0))
-INDEX('RFM input'!$G$115:$Q$164,$A1310,MATCH(U$6,'RFM input'!$G$60:$Q$60,0))
-INDEX('RFM input'!$G$169:$Q$218,$A1310,MATCH(U$6,'RFM input'!$G$60:$Q$60,0))))</f>
        <v>0</v>
      </c>
      <c r="V1310" s="1417">
        <f>IF(LEFT(V$6,4)&lt;LEFT('RFM input'!$G$60,4),"enter input",IF(LEFT(V$6,4)&gt;LEFT('RFM input'!$Q$60,4),0,INDEX('RFM input'!$G$61:$Q$110,$A1310,MATCH(V$6,'RFM input'!$G$60:$Q$60,0))
-INDEX('RFM input'!$G$115:$Q$164,$A1310,MATCH(V$6,'RFM input'!$G$60:$Q$60,0))
-INDEX('RFM input'!$G$169:$Q$218,$A1310,MATCH(V$6,'RFM input'!$G$60:$Q$60,0))))</f>
        <v>0</v>
      </c>
      <c r="W1310" s="1417">
        <f>IF(LEFT(W$6,4)&lt;LEFT('RFM input'!$G$60,4),"enter input",IF(LEFT(W$6,4)&gt;LEFT('RFM input'!$Q$60,4),0,INDEX('RFM input'!$G$61:$Q$110,$A1310,MATCH(W$6,'RFM input'!$G$60:$Q$60,0))
-INDEX('RFM input'!$G$115:$Q$164,$A1310,MATCH(W$6,'RFM input'!$G$60:$Q$60,0))
-INDEX('RFM input'!$G$169:$Q$218,$A1310,MATCH(W$6,'RFM input'!$G$60:$Q$60,0))))</f>
        <v>0</v>
      </c>
      <c r="X1310" s="152"/>
      <c r="Y1310" s="152"/>
      <c r="Z1310" s="152"/>
      <c r="AA1310" s="152"/>
      <c r="AB1310" s="152"/>
    </row>
    <row r="1311" spans="1:28">
      <c r="A1311" s="152"/>
      <c r="B1311" s="152" t="s">
        <v>204</v>
      </c>
      <c r="C1311" s="1418">
        <f ca="1">IF($C$8='Capital Base roll forward'!$H$4,OFFSET('RFM input'!$J$6,'RAB remaining lives'!A1310,0),"enter input")</f>
        <v>0</v>
      </c>
      <c r="D1311" s="1417">
        <f>IF(LEFT(D$6,4)&lt;=LEFT('RFM input'!$G$60,4),"enter input",IF(LEFT(D$6,4)&gt;LEFT('RFM input'!$Q$60,4),0,IF(MATCH(D$6,'RFM input'!$H$60:$Q$60,0),INDEX('RFM input'!$K$7:$K$56,$A1310,1))))</f>
        <v>0</v>
      </c>
      <c r="E1311" s="1417">
        <f>IF(LEFT(E$6,4)&lt;=LEFT('RFM input'!$G$60,4),"enter input",IF(LEFT(E$6,4)&gt;LEFT('RFM input'!$Q$60,4),0,IF(MATCH(E$6,'RFM input'!$H$60:$Q$60,0),INDEX('RFM input'!$K$7:$K$56,$A1310,1))))</f>
        <v>0</v>
      </c>
      <c r="F1311" s="1417">
        <f>IF(LEFT(F$6,4)&lt;=LEFT('RFM input'!$G$60,4),"enter input",IF(LEFT(F$6,4)&gt;LEFT('RFM input'!$Q$60,4),0,IF(MATCH(F$6,'RFM input'!$H$60:$Q$60,0),INDEX('RFM input'!$K$7:$K$56,$A1310,1))))</f>
        <v>0</v>
      </c>
      <c r="G1311" s="1417">
        <f>IF(LEFT(G$6,4)&lt;=LEFT('RFM input'!$G$60,4),"enter input",IF(LEFT(G$6,4)&gt;LEFT('RFM input'!$Q$60,4),0,IF(MATCH(G$6,'RFM input'!$H$60:$Q$60,0),INDEX('RFM input'!$K$7:$K$56,$A1310,1))))</f>
        <v>0</v>
      </c>
      <c r="H1311" s="1417">
        <f>IF(LEFT(H$6,4)&lt;=LEFT('RFM input'!$G$60,4),"enter input",IF(LEFT(H$6,4)&gt;LEFT('RFM input'!$Q$60,4),0,IF(MATCH(H$6,'RFM input'!$H$60:$Q$60,0),INDEX('RFM input'!$K$7:$K$56,$A1310,1))))</f>
        <v>0</v>
      </c>
      <c r="I1311" s="1417">
        <f>IF(LEFT(I$6,4)&lt;=LEFT('RFM input'!$G$60,4),"enter input",IF(LEFT(I$6,4)&gt;LEFT('RFM input'!$Q$60,4),0,IF(MATCH(I$6,'RFM input'!$H$60:$Q$60,0),INDEX('RFM input'!$K$7:$K$56,$A1310,1))))</f>
        <v>0</v>
      </c>
      <c r="J1311" s="1417">
        <f>IF(LEFT(J$6,4)&lt;=LEFT('RFM input'!$G$60,4),"enter input",IF(LEFT(J$6,4)&gt;LEFT('RFM input'!$Q$60,4),0,IF(MATCH(J$6,'RFM input'!$H$60:$Q$60,0),INDEX('RFM input'!$K$7:$K$56,$A1310,1))))</f>
        <v>0</v>
      </c>
      <c r="K1311" s="1417">
        <f>IF(LEFT(K$6,4)&lt;=LEFT('RFM input'!$G$60,4),"enter input",IF(LEFT(K$6,4)&gt;LEFT('RFM input'!$Q$60,4),0,IF(MATCH(K$6,'RFM input'!$H$60:$Q$60,0),INDEX('RFM input'!$K$7:$K$56,$A1310,1))))</f>
        <v>0</v>
      </c>
      <c r="L1311" s="1417">
        <f>IF(LEFT(L$6,4)&lt;=LEFT('RFM input'!$G$60,4),"enter input",IF(LEFT(L$6,4)&gt;LEFT('RFM input'!$Q$60,4),0,IF(MATCH(L$6,'RFM input'!$H$60:$Q$60,0),INDEX('RFM input'!$K$7:$K$56,$A1310,1))))</f>
        <v>0</v>
      </c>
      <c r="M1311" s="1417">
        <f>IF(LEFT(M$6,4)&lt;=LEFT('RFM input'!$G$60,4),"enter input",IF(LEFT(M$6,4)&gt;LEFT('RFM input'!$Q$60,4),0,IF(MATCH(M$6,'RFM input'!$H$60:$Q$60,0),INDEX('RFM input'!$K$7:$K$56,$A1310,1))))</f>
        <v>0</v>
      </c>
      <c r="N1311" s="1417">
        <f>IF(LEFT(N$6,4)&lt;=LEFT('RFM input'!$G$60,4),"enter input",IF(LEFT(N$6,4)&gt;LEFT('RFM input'!$Q$60,4),0,IF(MATCH(N$6,'RFM input'!$H$60:$Q$60,0),INDEX('RFM input'!$K$7:$K$56,$A1310,1))))</f>
        <v>0</v>
      </c>
      <c r="O1311" s="1417">
        <f>IF(LEFT(O$6,4)&lt;=LEFT('RFM input'!$G$60,4),"enter input",IF(LEFT(O$6,4)&gt;LEFT('RFM input'!$Q$60,4),0,IF(MATCH(O$6,'RFM input'!$H$60:$Q$60,0),INDEX('RFM input'!$K$7:$K$56,$A1310,1))))</f>
        <v>0</v>
      </c>
      <c r="P1311" s="1417">
        <f>IF(LEFT(P$6,4)&lt;=LEFT('RFM input'!$G$60,4),"enter input",IF(LEFT(P$6,4)&gt;LEFT('RFM input'!$Q$60,4),0,IF(MATCH(P$6,'RFM input'!$H$60:$Q$60,0),INDEX('RFM input'!$K$7:$K$56,$A1310,1))))</f>
        <v>0</v>
      </c>
      <c r="Q1311" s="1417">
        <f>IF(LEFT(Q$6,4)&lt;=LEFT('RFM input'!$G$60,4),"enter input",IF(LEFT(Q$6,4)&gt;LEFT('RFM input'!$Q$60,4),0,IF(MATCH(Q$6,'RFM input'!$H$60:$Q$60,0),INDEX('RFM input'!$K$7:$K$56,$A1310,1))))</f>
        <v>0</v>
      </c>
      <c r="R1311" s="1417">
        <f>IF(LEFT(R$6,4)&lt;=LEFT('RFM input'!$G$60,4),"enter input",IF(LEFT(R$6,4)&gt;LEFT('RFM input'!$Q$60,4),0,IF(MATCH(R$6,'RFM input'!$H$60:$Q$60,0),INDEX('RFM input'!$K$7:$K$56,$A1310,1))))</f>
        <v>0</v>
      </c>
      <c r="S1311" s="1417">
        <f>IF(LEFT(S$6,4)&lt;=LEFT('RFM input'!$G$60,4),"enter input",IF(LEFT(S$6,4)&gt;LEFT('RFM input'!$Q$60,4),0,IF(MATCH(S$6,'RFM input'!$H$60:$Q$60,0),INDEX('RFM input'!$K$7:$K$56,$A1310,1))))</f>
        <v>0</v>
      </c>
      <c r="T1311" s="1417">
        <f>IF(LEFT(T$6,4)&lt;=LEFT('RFM input'!$G$60,4),"enter input",IF(LEFT(T$6,4)&gt;LEFT('RFM input'!$Q$60,4),0,IF(MATCH(T$6,'RFM input'!$H$60:$Q$60,0),INDEX('RFM input'!$K$7:$K$56,$A1310,1))))</f>
        <v>0</v>
      </c>
      <c r="U1311" s="1417">
        <f>IF(LEFT(U$6,4)&lt;=LEFT('RFM input'!$G$60,4),"enter input",IF(LEFT(U$6,4)&gt;LEFT('RFM input'!$Q$60,4),0,IF(MATCH(U$6,'RFM input'!$H$60:$Q$60,0),INDEX('RFM input'!$K$7:$K$56,$A1310,1))))</f>
        <v>0</v>
      </c>
      <c r="V1311" s="1417">
        <f>IF(LEFT(V$6,4)&lt;=LEFT('RFM input'!$G$60,4),"enter input",IF(LEFT(V$6,4)&gt;LEFT('RFM input'!$Q$60,4),0,IF(MATCH(V$6,'RFM input'!$H$60:$Q$60,0),INDEX('RFM input'!$K$7:$K$56,$A1310,1))))</f>
        <v>0</v>
      </c>
      <c r="W1311" s="1417">
        <f>IF(LEFT(W$6,4)&lt;=LEFT('RFM input'!$G$60,4),"enter input",IF(LEFT(W$6,4)&gt;LEFT('RFM input'!$Q$60,4),0,IF(MATCH(W$6,'RFM input'!$H$60:$Q$60,0),INDEX('RFM input'!$K$7:$K$56,$A1310,1))))</f>
        <v>0</v>
      </c>
      <c r="X1311" s="152"/>
      <c r="Y1311" s="152"/>
      <c r="Z1311" s="152"/>
      <c r="AA1311" s="152"/>
      <c r="AB1311" s="152"/>
    </row>
    <row r="1312" spans="1:28">
      <c r="A1312" s="152"/>
      <c r="B1312" s="177" t="s">
        <v>191</v>
      </c>
      <c r="C1312" s="1419"/>
      <c r="D1312" s="1420">
        <f ca="1">IF(LEFT(D$6,4)&lt;=LEFT('RFM input'!$G$60,4),"enter input",IF(LEFT(D$6,4)&gt;LEFT('RFM input'!$Q$60,4),0,IF(D$6=(OFFSET('RFM input'!$G$60,0,'RFM input'!$V$7)),OFFSET('RFM input'!$G$411,$A1310,0),0)))</f>
        <v>0</v>
      </c>
      <c r="E1312" s="1417">
        <f ca="1">IF(LEFT(E$6,4)&lt;=LEFT('RFM input'!$G$60,4),"enter input",IF(LEFT(E$6,4)&gt;LEFT('RFM input'!$Q$60,4),0,IF(E$6=(OFFSET('RFM input'!$G$60,0,'RFM input'!$V$7)),OFFSET('RFM input'!$G$411,$A1310,0),0)))</f>
        <v>0</v>
      </c>
      <c r="F1312" s="1417">
        <f ca="1">IF(LEFT(F$6,4)&lt;=LEFT('RFM input'!$G$60,4),"enter input",IF(LEFT(F$6,4)&gt;LEFT('RFM input'!$Q$60,4),0,IF(F$6=(OFFSET('RFM input'!$G$60,0,'RFM input'!$V$7)),OFFSET('RFM input'!$G$411,$A1310,0),0)))</f>
        <v>0</v>
      </c>
      <c r="G1312" s="1417">
        <f ca="1">IF(LEFT(G$6,4)&lt;=LEFT('RFM input'!$G$60,4),"enter input",IF(LEFT(G$6,4)&gt;LEFT('RFM input'!$Q$60,4),0,IF(G$6=(OFFSET('RFM input'!$G$60,0,'RFM input'!$V$7)),OFFSET('RFM input'!$G$411,$A1310,0),0)))</f>
        <v>0</v>
      </c>
      <c r="H1312" s="1417">
        <f ca="1">IF(LEFT(H$6,4)&lt;=LEFT('RFM input'!$G$60,4),"enter input",IF(LEFT(H$6,4)&gt;LEFT('RFM input'!$Q$60,4),0,IF(H$6=(OFFSET('RFM input'!$G$60,0,'RFM input'!$V$7)),OFFSET('RFM input'!$G$411,$A1310,0),0)))</f>
        <v>0</v>
      </c>
      <c r="I1312" s="1417">
        <f ca="1">IF(LEFT(I$6,4)&lt;=LEFT('RFM input'!$G$60,4),"enter input",IF(LEFT(I$6,4)&gt;LEFT('RFM input'!$Q$60,4),0,IF(I$6=(OFFSET('RFM input'!$G$60,0,'RFM input'!$V$7)),OFFSET('RFM input'!$G$411,$A1310,0),0)))</f>
        <v>0</v>
      </c>
      <c r="J1312" s="1417">
        <f ca="1">IF(LEFT(J$6,4)&lt;=LEFT('RFM input'!$G$60,4),"enter input",IF(LEFT(J$6,4)&gt;LEFT('RFM input'!$Q$60,4),0,IF(J$6=(OFFSET('RFM input'!$G$60,0,'RFM input'!$V$7)),OFFSET('RFM input'!$G$411,$A1310,0),0)))</f>
        <v>0</v>
      </c>
      <c r="K1312" s="1417">
        <f ca="1">IF(LEFT(K$6,4)&lt;=LEFT('RFM input'!$G$60,4),"enter input",IF(LEFT(K$6,4)&gt;LEFT('RFM input'!$Q$60,4),0,IF(K$6=(OFFSET('RFM input'!$G$60,0,'RFM input'!$V$7)),OFFSET('RFM input'!$G$411,$A1310,0),0)))</f>
        <v>0</v>
      </c>
      <c r="L1312" s="1417">
        <f ca="1">IF(LEFT(L$6,4)&lt;=LEFT('RFM input'!$G$60,4),"enter input",IF(LEFT(L$6,4)&gt;LEFT('RFM input'!$Q$60,4),0,IF(L$6=(OFFSET('RFM input'!$G$60,0,'RFM input'!$V$7)),OFFSET('RFM input'!$G$411,$A1310,0),0)))</f>
        <v>0</v>
      </c>
      <c r="M1312" s="1417">
        <f ca="1">IF(LEFT(M$6,4)&lt;=LEFT('RFM input'!$G$60,4),"enter input",IF(LEFT(M$6,4)&gt;LEFT('RFM input'!$Q$60,4),0,IF(M$6=(OFFSET('RFM input'!$G$60,0,'RFM input'!$V$7)),OFFSET('RFM input'!$G$411,$A1310,0),0)))</f>
        <v>0</v>
      </c>
      <c r="N1312" s="1417">
        <f ca="1">IF(LEFT(N$6,4)&lt;=LEFT('RFM input'!$G$60,4),"enter input",IF(LEFT(N$6,4)&gt;LEFT('RFM input'!$Q$60,4),0,IF(N$6=(OFFSET('RFM input'!$G$60,0,'RFM input'!$V$7)),OFFSET('RFM input'!$G$411,$A1310,0),0)))</f>
        <v>0</v>
      </c>
      <c r="O1312" s="1417">
        <f ca="1">IF(LEFT(O$6,4)&lt;=LEFT('RFM input'!$G$60,4),"enter input",IF(LEFT(O$6,4)&gt;LEFT('RFM input'!$Q$60,4),0,IF(O$6=(OFFSET('RFM input'!$G$60,0,'RFM input'!$V$7)),OFFSET('RFM input'!$G$411,$A1310,0),0)))</f>
        <v>0</v>
      </c>
      <c r="P1312" s="1417">
        <f ca="1">IF(LEFT(P$6,4)&lt;=LEFT('RFM input'!$G$60,4),"enter input",IF(LEFT(P$6,4)&gt;LEFT('RFM input'!$Q$60,4),0,IF(P$6=(OFFSET('RFM input'!$G$60,0,'RFM input'!$V$7)),OFFSET('RFM input'!$G$411,$A1310,0),0)))</f>
        <v>0</v>
      </c>
      <c r="Q1312" s="1417">
        <f ca="1">IF(LEFT(Q$6,4)&lt;=LEFT('RFM input'!$G$60,4),"enter input",IF(LEFT(Q$6,4)&gt;LEFT('RFM input'!$Q$60,4),0,IF(Q$6=(OFFSET('RFM input'!$G$60,0,'RFM input'!$V$7)),OFFSET('RFM input'!$G$411,$A1310,0),0)))</f>
        <v>0</v>
      </c>
      <c r="R1312" s="1417">
        <f ca="1">IF(LEFT(R$6,4)&lt;=LEFT('RFM input'!$G$60,4),"enter input",IF(LEFT(R$6,4)&gt;LEFT('RFM input'!$Q$60,4),0,IF(R$6=(OFFSET('RFM input'!$G$60,0,'RFM input'!$V$7)),OFFSET('RFM input'!$G$411,$A1310,0),0)))</f>
        <v>0</v>
      </c>
      <c r="S1312" s="1417">
        <f ca="1">IF(LEFT(S$6,4)&lt;=LEFT('RFM input'!$G$60,4),"enter input",IF(LEFT(S$6,4)&gt;LEFT('RFM input'!$Q$60,4),0,IF(S$6=(OFFSET('RFM input'!$G$60,0,'RFM input'!$V$7)),OFFSET('RFM input'!$G$411,$A1310,0),0)))</f>
        <v>0</v>
      </c>
      <c r="T1312" s="1417">
        <f ca="1">IF(LEFT(T$6,4)&lt;=LEFT('RFM input'!$G$60,4),"enter input",IF(LEFT(T$6,4)&gt;LEFT('RFM input'!$Q$60,4),0,IF(T$6=(OFFSET('RFM input'!$G$60,0,'RFM input'!$V$7)),OFFSET('RFM input'!$G$411,$A1310,0),0)))</f>
        <v>0</v>
      </c>
      <c r="U1312" s="1417">
        <f ca="1">IF(LEFT(U$6,4)&lt;=LEFT('RFM input'!$G$60,4),"enter input",IF(LEFT(U$6,4)&gt;LEFT('RFM input'!$Q$60,4),0,IF(U$6=(OFFSET('RFM input'!$G$60,0,'RFM input'!$V$7)),OFFSET('RFM input'!$G$411,$A1310,0),0)))</f>
        <v>0</v>
      </c>
      <c r="V1312" s="1417">
        <f ca="1">IF(LEFT(V$6,4)&lt;=LEFT('RFM input'!$G$60,4),"enter input",IF(LEFT(V$6,4)&gt;LEFT('RFM input'!$Q$60,4),0,IF(V$6=(OFFSET('RFM input'!$G$60,0,'RFM input'!$V$7)),OFFSET('RFM input'!$G$411,$A1310,0),0)))</f>
        <v>0</v>
      </c>
      <c r="W1312" s="1417">
        <f ca="1">IF(LEFT(W$6,4)&lt;=LEFT('RFM input'!$G$60,4),"enter input",IF(LEFT(W$6,4)&gt;LEFT('RFM input'!$Q$60,4),0,IF(W$6=(OFFSET('RFM input'!$G$60,0,'RFM input'!$V$7)),OFFSET('RFM input'!$G$411,$A1310,0),0)))</f>
        <v>0</v>
      </c>
      <c r="X1312" s="152"/>
      <c r="Y1312" s="152"/>
      <c r="Z1312" s="152"/>
      <c r="AA1312" s="152"/>
      <c r="AB1312" s="152"/>
    </row>
    <row r="1313" spans="1:28">
      <c r="A1313" s="152"/>
      <c r="B1313" s="195" t="s">
        <v>197</v>
      </c>
      <c r="C1313" s="1419"/>
      <c r="D1313" s="1418">
        <f ca="1">IF(LEFT(D$6,4)&lt;=LEFT('RFM input'!$G$60,4),"enter input",IF(LEFT(D$6,4)&gt;LEFT('RFM input'!$Q$60,4),0,IF(D$6=(OFFSET('RFM input'!$G$60,0,'RFM input'!$V$7)),OFFSET('RFM input'!$I$411,$A1310,0),0)))</f>
        <v>0</v>
      </c>
      <c r="E1313" s="1422">
        <f ca="1">IF(LEFT(E$6,4)&lt;=LEFT('RFM input'!$G$60,4),"enter input",IF(LEFT(E$6,4)&gt;LEFT('RFM input'!$Q$60,4),0,IF(E$6=(OFFSET('RFM input'!$G$60,0,'RFM input'!$V$7)),OFFSET('RFM input'!$I$411,$A1310,0),0)))</f>
        <v>0</v>
      </c>
      <c r="F1313" s="1422">
        <f ca="1">IF(LEFT(F$6,4)&lt;=LEFT('RFM input'!$G$60,4),"enter input",IF(LEFT(F$6,4)&gt;LEFT('RFM input'!$Q$60,4),0,IF(F$6=(OFFSET('RFM input'!$G$60,0,'RFM input'!$V$7)),OFFSET('RFM input'!$I$411,$A1310,0),0)))</f>
        <v>0</v>
      </c>
      <c r="G1313" s="1422">
        <f ca="1">IF(LEFT(G$6,4)&lt;=LEFT('RFM input'!$G$60,4),"enter input",IF(LEFT(G$6,4)&gt;LEFT('RFM input'!$Q$60,4),0,IF(G$6=(OFFSET('RFM input'!$G$60,0,'RFM input'!$V$7)),OFFSET('RFM input'!$I$411,$A1310,0),0)))</f>
        <v>0</v>
      </c>
      <c r="H1313" s="1422">
        <f ca="1">IF(LEFT(H$6,4)&lt;=LEFT('RFM input'!$G$60,4),"enter input",IF(LEFT(H$6,4)&gt;LEFT('RFM input'!$Q$60,4),0,IF(H$6=(OFFSET('RFM input'!$G$60,0,'RFM input'!$V$7)),OFFSET('RFM input'!$I$411,$A1310,0),0)))</f>
        <v>0</v>
      </c>
      <c r="I1313" s="1422">
        <f ca="1">IF(LEFT(I$6,4)&lt;=LEFT('RFM input'!$G$60,4),"enter input",IF(LEFT(I$6,4)&gt;LEFT('RFM input'!$Q$60,4),0,IF(I$6=(OFFSET('RFM input'!$G$60,0,'RFM input'!$V$7)),OFFSET('RFM input'!$I$411,$A1310,0),0)))</f>
        <v>0</v>
      </c>
      <c r="J1313" s="1422">
        <f ca="1">IF(LEFT(J$6,4)&lt;=LEFT('RFM input'!$G$60,4),"enter input",IF(LEFT(J$6,4)&gt;LEFT('RFM input'!$Q$60,4),0,IF(J$6=(OFFSET('RFM input'!$G$60,0,'RFM input'!$V$7)),OFFSET('RFM input'!$I$411,$A1310,0),0)))</f>
        <v>0</v>
      </c>
      <c r="K1313" s="1422">
        <f ca="1">IF(LEFT(K$6,4)&lt;=LEFT('RFM input'!$G$60,4),"enter input",IF(LEFT(K$6,4)&gt;LEFT('RFM input'!$Q$60,4),0,IF(K$6=(OFFSET('RFM input'!$G$60,0,'RFM input'!$V$7)),OFFSET('RFM input'!$I$411,$A1310,0),0)))</f>
        <v>0</v>
      </c>
      <c r="L1313" s="1422">
        <f ca="1">IF(LEFT(L$6,4)&lt;=LEFT('RFM input'!$G$60,4),"enter input",IF(LEFT(L$6,4)&gt;LEFT('RFM input'!$Q$60,4),0,IF(L$6=(OFFSET('RFM input'!$G$60,0,'RFM input'!$V$7)),OFFSET('RFM input'!$I$411,$A1310,0),0)))</f>
        <v>0</v>
      </c>
      <c r="M1313" s="1422">
        <f ca="1">IF(LEFT(M$6,4)&lt;=LEFT('RFM input'!$G$60,4),"enter input",IF(LEFT(M$6,4)&gt;LEFT('RFM input'!$Q$60,4),0,IF(M$6=(OFFSET('RFM input'!$G$60,0,'RFM input'!$V$7)),OFFSET('RFM input'!$I$411,$A1310,0),0)))</f>
        <v>0</v>
      </c>
      <c r="N1313" s="1422">
        <f ca="1">IF(LEFT(N$6,4)&lt;=LEFT('RFM input'!$G$60,4),"enter input",IF(LEFT(N$6,4)&gt;LEFT('RFM input'!$Q$60,4),0,IF(N$6=(OFFSET('RFM input'!$G$60,0,'RFM input'!$V$7)),OFFSET('RFM input'!$I$411,$A1310,0),0)))</f>
        <v>0</v>
      </c>
      <c r="O1313" s="1422">
        <f ca="1">IF(LEFT(O$6,4)&lt;=LEFT('RFM input'!$G$60,4),"enter input",IF(LEFT(O$6,4)&gt;LEFT('RFM input'!$Q$60,4),0,IF(O$6=(OFFSET('RFM input'!$G$60,0,'RFM input'!$V$7)),OFFSET('RFM input'!$I$411,$A1310,0),0)))</f>
        <v>0</v>
      </c>
      <c r="P1313" s="1422">
        <f ca="1">IF(LEFT(P$6,4)&lt;=LEFT('RFM input'!$G$60,4),"enter input",IF(LEFT(P$6,4)&gt;LEFT('RFM input'!$Q$60,4),0,IF(P$6=(OFFSET('RFM input'!$G$60,0,'RFM input'!$V$7)),OFFSET('RFM input'!$I$411,$A1310,0),0)))</f>
        <v>0</v>
      </c>
      <c r="Q1313" s="1422">
        <f ca="1">IF(LEFT(Q$6,4)&lt;=LEFT('RFM input'!$G$60,4),"enter input",IF(LEFT(Q$6,4)&gt;LEFT('RFM input'!$Q$60,4),0,IF(Q$6=(OFFSET('RFM input'!$G$60,0,'RFM input'!$V$7)),OFFSET('RFM input'!$I$411,$A1310,0),0)))</f>
        <v>0</v>
      </c>
      <c r="R1313" s="1422">
        <f ca="1">IF(LEFT(R$6,4)&lt;=LEFT('RFM input'!$G$60,4),"enter input",IF(LEFT(R$6,4)&gt;LEFT('RFM input'!$Q$60,4),0,IF(R$6=(OFFSET('RFM input'!$G$60,0,'RFM input'!$V$7)),OFFSET('RFM input'!$I$411,$A1310,0),0)))</f>
        <v>0</v>
      </c>
      <c r="S1313" s="1422">
        <f ca="1">IF(LEFT(S$6,4)&lt;=LEFT('RFM input'!$G$60,4),"enter input",IF(LEFT(S$6,4)&gt;LEFT('RFM input'!$Q$60,4),0,IF(S$6=(OFFSET('RFM input'!$G$60,0,'RFM input'!$V$7)),OFFSET('RFM input'!$I$411,$A1310,0),0)))</f>
        <v>0</v>
      </c>
      <c r="T1313" s="1422">
        <f ca="1">IF(LEFT(T$6,4)&lt;=LEFT('RFM input'!$G$60,4),"enter input",IF(LEFT(T$6,4)&gt;LEFT('RFM input'!$Q$60,4),0,IF(T$6=(OFFSET('RFM input'!$G$60,0,'RFM input'!$V$7)),OFFSET('RFM input'!$I$411,$A1310,0),0)))</f>
        <v>0</v>
      </c>
      <c r="U1313" s="1422">
        <f ca="1">IF(LEFT(U$6,4)&lt;=LEFT('RFM input'!$G$60,4),"enter input",IF(LEFT(U$6,4)&gt;LEFT('RFM input'!$Q$60,4),0,IF(U$6=(OFFSET('RFM input'!$G$60,0,'RFM input'!$V$7)),OFFSET('RFM input'!$I$411,$A1310,0),0)))</f>
        <v>0</v>
      </c>
      <c r="V1313" s="1422">
        <f ca="1">IF(LEFT(V$6,4)&lt;=LEFT('RFM input'!$G$60,4),"enter input",IF(LEFT(V$6,4)&gt;LEFT('RFM input'!$Q$60,4),0,IF(V$6=(OFFSET('RFM input'!$G$60,0,'RFM input'!$V$7)),OFFSET('RFM input'!$I$411,$A1310,0),0)))</f>
        <v>0</v>
      </c>
      <c r="W1313" s="1422">
        <f ca="1">IF(LEFT(W$6,4)&lt;=LEFT('RFM input'!$G$60,4),"enter input",IF(LEFT(W$6,4)&gt;LEFT('RFM input'!$Q$60,4),0,IF(W$6=(OFFSET('RFM input'!$G$60,0,'RFM input'!$V$7)),OFFSET('RFM input'!$I$411,$A1310,0),0)))</f>
        <v>0</v>
      </c>
      <c r="X1313" s="152"/>
      <c r="Y1313" s="152"/>
      <c r="Z1313" s="152"/>
      <c r="AA1313" s="152"/>
      <c r="AB1313" s="152"/>
    </row>
    <row r="1314" spans="1:28" hidden="1" outlineLevel="1">
      <c r="A1314" s="235">
        <v>-1</v>
      </c>
      <c r="B1314" s="190" t="s">
        <v>189</v>
      </c>
      <c r="C1314" s="1423"/>
      <c r="D1314" s="1423">
        <f ca="1">IF(AND(D1312=0,C1314=0),0,
IF(AND(D1312&lt;&gt;0,C1314=0),(D1312/D$10),
IF(AND(D1313&lt;&gt;0,C1314&lt;&gt;0),(C1314-(C1314/C1338))+(D1312/D$10),
IF(C1338&lt;1,0,(C1314-(C1314/C1338))))))</f>
        <v>0</v>
      </c>
      <c r="E1314" s="1423">
        <f t="shared" ref="E1314" ca="1" si="1909">IF(AND(E1312=0,D1314=0),0,
IF(AND(E1312&lt;&gt;0,D1314=0),(E1312/E$10),
IF(AND(E1313&lt;&gt;0,D1314&lt;&gt;0),(D1314-(D1314/D1338))+(E1312/E$10),
IF(D1338&lt;1,0,(D1314-(D1314/D1338))))))</f>
        <v>0</v>
      </c>
      <c r="F1314" s="1423">
        <f t="shared" ref="F1314" ca="1" si="1910">IF(AND(F1312=0,E1314=0),0,
IF(AND(F1312&lt;&gt;0,E1314=0),(F1312/F$10),
IF(AND(F1313&lt;&gt;0,E1314&lt;&gt;0),(E1314-(E1314/E1338))+(F1312/F$10),
IF(E1338&lt;1,0,(E1314-(E1314/E1338))))))</f>
        <v>0</v>
      </c>
      <c r="G1314" s="1423">
        <f t="shared" ref="G1314" ca="1" si="1911">IF(AND(G1312=0,F1314=0),0,
IF(AND(G1312&lt;&gt;0,F1314=0),(G1312/G$10),
IF(AND(G1313&lt;&gt;0,F1314&lt;&gt;0),(F1314-(F1314/F1338))+(G1312/G$10),
IF(F1338&lt;1,0,(F1314-(F1314/F1338))))))</f>
        <v>0</v>
      </c>
      <c r="H1314" s="1423">
        <f t="shared" ref="H1314" ca="1" si="1912">IF(AND(H1312=0,G1314=0),0,
IF(AND(H1312&lt;&gt;0,G1314=0),(H1312/H$10),
IF(AND(H1313&lt;&gt;0,G1314&lt;&gt;0),(G1314-(G1314/G1338))+(H1312/H$10),
IF(G1338&lt;1,0,(G1314-(G1314/G1338))))))</f>
        <v>0</v>
      </c>
      <c r="I1314" s="1423">
        <f t="shared" ref="I1314" ca="1" si="1913">IF(AND(I1312=0,H1314=0),0,
IF(AND(I1312&lt;&gt;0,H1314=0),(I1312/I$10),
IF(AND(I1313&lt;&gt;0,H1314&lt;&gt;0),(H1314-(H1314/H1338))+(I1312/I$10),
IF(H1338&lt;1,0,(H1314-(H1314/H1338))))))</f>
        <v>0</v>
      </c>
      <c r="J1314" s="1423">
        <f t="shared" ref="J1314" ca="1" si="1914">IF(AND(J1312=0,I1314=0),0,
IF(AND(J1312&lt;&gt;0,I1314=0),(J1312/J$10),
IF(AND(J1313&lt;&gt;0,I1314&lt;&gt;0),(I1314-(I1314/I1338))+(J1312/J$10),
IF(I1338&lt;1,0,(I1314-(I1314/I1338))))))</f>
        <v>0</v>
      </c>
      <c r="K1314" s="1423">
        <f t="shared" ref="K1314" ca="1" si="1915">IF(AND(K1312=0,J1314=0),0,
IF(AND(K1312&lt;&gt;0,J1314=0),(K1312/K$10),
IF(AND(K1313&lt;&gt;0,J1314&lt;&gt;0),(J1314-(J1314/J1338))+(K1312/K$10),
IF(J1338&lt;1,0,(J1314-(J1314/J1338))))))</f>
        <v>0</v>
      </c>
      <c r="L1314" s="1423">
        <f t="shared" ref="L1314" ca="1" si="1916">IF(AND(L1312=0,K1314=0),0,
IF(AND(L1312&lt;&gt;0,K1314=0),(L1312/L$10),
IF(AND(L1313&lt;&gt;0,K1314&lt;&gt;0),(K1314-(K1314/K1338))+(L1312/L$10),
IF(K1338&lt;1,0,(K1314-(K1314/K1338))))))</f>
        <v>0</v>
      </c>
      <c r="M1314" s="1423">
        <f t="shared" ref="M1314" ca="1" si="1917">IF(AND(M1312=0,L1314=0),0,
IF(AND(M1312&lt;&gt;0,L1314=0),(M1312/M$10),
IF(AND(M1313&lt;&gt;0,L1314&lt;&gt;0),(L1314-(L1314/L1338))+(M1312/M$10),
IF(L1338&lt;1,0,(L1314-(L1314/L1338))))))</f>
        <v>0</v>
      </c>
      <c r="N1314" s="1423">
        <f t="shared" ref="N1314" ca="1" si="1918">IF(AND(N1312=0,M1314=0),0,
IF(AND(N1312&lt;&gt;0,M1314=0),(N1312/N$10),
IF(AND(N1313&lt;&gt;0,M1314&lt;&gt;0),(M1314-(M1314/M1338))+(N1312/N$10),
IF(M1338&lt;1,0,(M1314-(M1314/M1338))))))</f>
        <v>0</v>
      </c>
      <c r="O1314" s="1423">
        <f t="shared" ref="O1314" ca="1" si="1919">IF(AND(O1312=0,N1314=0),0,
IF(AND(O1312&lt;&gt;0,N1314=0),(O1312/O$10),
IF(AND(O1313&lt;&gt;0,N1314&lt;&gt;0),(N1314-(N1314/N1338))+(O1312/O$10),
IF(N1338&lt;1,0,(N1314-(N1314/N1338))))))</f>
        <v>0</v>
      </c>
      <c r="P1314" s="1423">
        <f t="shared" ref="P1314" ca="1" si="1920">IF(AND(P1312=0,O1314=0),0,
IF(AND(P1312&lt;&gt;0,O1314=0),(P1312/P$10),
IF(AND(P1313&lt;&gt;0,O1314&lt;&gt;0),(O1314-(O1314/O1338))+(P1312/P$10),
IF(O1338&lt;1,0,(O1314-(O1314/O1338))))))</f>
        <v>0</v>
      </c>
      <c r="Q1314" s="1423">
        <f t="shared" ref="Q1314" ca="1" si="1921">IF(AND(Q1312=0,P1314=0),0,
IF(AND(Q1312&lt;&gt;0,P1314=0),(Q1312/Q$10),
IF(AND(Q1313&lt;&gt;0,P1314&lt;&gt;0),(P1314-(P1314/P1338))+(Q1312/Q$10),
IF(P1338&lt;1,0,(P1314-(P1314/P1338))))))</f>
        <v>0</v>
      </c>
      <c r="R1314" s="1423">
        <f t="shared" ref="R1314" ca="1" si="1922">IF(AND(R1312=0,Q1314=0),0,
IF(AND(R1312&lt;&gt;0,Q1314=0),(R1312/R$10),
IF(AND(R1313&lt;&gt;0,Q1314&lt;&gt;0),(Q1314-(Q1314/Q1338))+(R1312/R$10),
IF(Q1338&lt;1,0,(Q1314-(Q1314/Q1338))))))</f>
        <v>0</v>
      </c>
      <c r="S1314" s="1423">
        <f t="shared" ref="S1314" ca="1" si="1923">IF(AND(S1312=0,R1314=0),0,
IF(AND(S1312&lt;&gt;0,R1314=0),(S1312/S$10),
IF(AND(S1313&lt;&gt;0,R1314&lt;&gt;0),(R1314-(R1314/R1338))+(S1312/S$10),
IF(R1338&lt;1,0,(R1314-(R1314/R1338))))))</f>
        <v>0</v>
      </c>
      <c r="T1314" s="1423">
        <f t="shared" ref="T1314" ca="1" si="1924">IF(AND(T1312=0,S1314=0),0,
IF(AND(T1312&lt;&gt;0,S1314=0),(T1312/T$10),
IF(AND(T1313&lt;&gt;0,S1314&lt;&gt;0),(S1314-(S1314/S1338))+(T1312/T$10),
IF(S1338&lt;1,0,(S1314-(S1314/S1338))))))</f>
        <v>0</v>
      </c>
      <c r="U1314" s="1423">
        <f t="shared" ref="U1314" ca="1" si="1925">IF(AND(U1312=0,T1314=0),0,
IF(AND(U1312&lt;&gt;0,T1314=0),(U1312/U$10),
IF(AND(U1313&lt;&gt;0,T1314&lt;&gt;0),(T1314-(T1314/T1338))+(U1312/U$10),
IF(T1338&lt;1,0,(T1314-(T1314/T1338))))))</f>
        <v>0</v>
      </c>
      <c r="V1314" s="1423">
        <f t="shared" ref="V1314" ca="1" si="1926">IF(AND(V1312=0,U1314=0),0,
IF(AND(V1312&lt;&gt;0,U1314=0),(V1312/V$10),
IF(AND(V1313&lt;&gt;0,U1314&lt;&gt;0),(U1314-(U1314/U1338))+(V1312/V$10),
IF(U1338&lt;1,0,(U1314-(U1314/U1338))))))</f>
        <v>0</v>
      </c>
      <c r="W1314" s="1423">
        <f t="shared" ref="W1314" ca="1" si="1927">IF(AND(W1312=0,V1314=0),0,
IF(AND(W1312&lt;&gt;0,V1314=0),(W1312/W$10),
IF(AND(W1313&lt;&gt;0,V1314&lt;&gt;0),(V1314-(V1314/V1338))+(W1312/W$10),
IF(V1338&lt;1,0,(V1314-(V1314/V1338))))))</f>
        <v>0</v>
      </c>
      <c r="X1314" s="152"/>
      <c r="Y1314" s="152"/>
      <c r="Z1314" s="152"/>
      <c r="AA1314" s="152"/>
      <c r="AB1314" s="152"/>
    </row>
    <row r="1315" spans="1:28" hidden="1" outlineLevel="1">
      <c r="A1315" s="199">
        <f>A1314+1</f>
        <v>0</v>
      </c>
      <c r="B1315" s="190" t="s">
        <v>125</v>
      </c>
      <c r="C1315" s="1423">
        <f ca="1">C1310/C$10</f>
        <v>0</v>
      </c>
      <c r="D1315" s="1423">
        <f ca="1">IF(C1339="n/a",C1315,IFERROR(IF((OFFSET($C1315,0,$A1315))&lt;0,
MIN(0,C1315-(OFFSET($C1315,0,$A1315)/(OFFSET($C1310,-$A1314,$A1315)))),
MAX(0,C1315-(OFFSET($C1315,0,$A1315)/(OFFSET($C1310,-$A1314,$A1315))))),0))</f>
        <v>0</v>
      </c>
      <c r="E1315" s="1423">
        <f t="shared" ref="E1315" ca="1" si="1928">IF(D1339="n/a",D1315,IFERROR(IF((OFFSET($C1315,0,$A1315))&lt;0,
MIN(0,D1315-(OFFSET($C1315,0,$A1315)/(OFFSET($C1310,-$A1314,$A1315)))),
MAX(0,D1315-(OFFSET($C1315,0,$A1315)/(OFFSET($C1310,-$A1314,$A1315))))),0))</f>
        <v>0</v>
      </c>
      <c r="F1315" s="1423">
        <f t="shared" ref="F1315:F1316" ca="1" si="1929">IF(E1339="n/a",E1315,IFERROR(IF((OFFSET($C1315,0,$A1315))&lt;0,
MIN(0,E1315-(OFFSET($C1315,0,$A1315)/(OFFSET($C1310,-$A1314,$A1315)))),
MAX(0,E1315-(OFFSET($C1315,0,$A1315)/(OFFSET($C1310,-$A1314,$A1315))))),0))</f>
        <v>0</v>
      </c>
      <c r="G1315" s="1423">
        <f t="shared" ref="G1315:G1317" ca="1" si="1930">IF(F1339="n/a",F1315,IFERROR(IF((OFFSET($C1315,0,$A1315))&lt;0,
MIN(0,F1315-(OFFSET($C1315,0,$A1315)/(OFFSET($C1310,-$A1314,$A1315)))),
MAX(0,F1315-(OFFSET($C1315,0,$A1315)/(OFFSET($C1310,-$A1314,$A1315))))),0))</f>
        <v>0</v>
      </c>
      <c r="H1315" s="1423">
        <f t="shared" ref="H1315:H1318" ca="1" si="1931">IF(G1339="n/a",G1315,IFERROR(IF((OFFSET($C1315,0,$A1315))&lt;0,
MIN(0,G1315-(OFFSET($C1315,0,$A1315)/(OFFSET($C1310,-$A1314,$A1315)))),
MAX(0,G1315-(OFFSET($C1315,0,$A1315)/(OFFSET($C1310,-$A1314,$A1315))))),0))</f>
        <v>0</v>
      </c>
      <c r="I1315" s="1423">
        <f t="shared" ref="I1315:I1319" ca="1" si="1932">IF(H1339="n/a",H1315,IFERROR(IF((OFFSET($C1315,0,$A1315))&lt;0,
MIN(0,H1315-(OFFSET($C1315,0,$A1315)/(OFFSET($C1310,-$A1314,$A1315)))),
MAX(0,H1315-(OFFSET($C1315,0,$A1315)/(OFFSET($C1310,-$A1314,$A1315))))),0))</f>
        <v>0</v>
      </c>
      <c r="J1315" s="1423">
        <f t="shared" ref="J1315:J1320" ca="1" si="1933">IF(I1339="n/a",I1315,IFERROR(IF((OFFSET($C1315,0,$A1315))&lt;0,
MIN(0,I1315-(OFFSET($C1315,0,$A1315)/(OFFSET($C1310,-$A1314,$A1315)))),
MAX(0,I1315-(OFFSET($C1315,0,$A1315)/(OFFSET($C1310,-$A1314,$A1315))))),0))</f>
        <v>0</v>
      </c>
      <c r="K1315" s="1423">
        <f t="shared" ref="K1315:K1321" ca="1" si="1934">IF(J1339="n/a",J1315,IFERROR(IF((OFFSET($C1315,0,$A1315))&lt;0,
MIN(0,J1315-(OFFSET($C1315,0,$A1315)/(OFFSET($C1310,-$A1314,$A1315)))),
MAX(0,J1315-(OFFSET($C1315,0,$A1315)/(OFFSET($C1310,-$A1314,$A1315))))),0))</f>
        <v>0</v>
      </c>
      <c r="L1315" s="1423">
        <f t="shared" ref="L1315:L1322" ca="1" si="1935">IF(K1339="n/a",K1315,IFERROR(IF((OFFSET($C1315,0,$A1315))&lt;0,
MIN(0,K1315-(OFFSET($C1315,0,$A1315)/(OFFSET($C1310,-$A1314,$A1315)))),
MAX(0,K1315-(OFFSET($C1315,0,$A1315)/(OFFSET($C1310,-$A1314,$A1315))))),0))</f>
        <v>0</v>
      </c>
      <c r="M1315" s="1423">
        <f t="shared" ref="M1315:M1323" ca="1" si="1936">IF(L1339="n/a",L1315,IFERROR(IF((OFFSET($C1315,0,$A1315))&lt;0,
MIN(0,L1315-(OFFSET($C1315,0,$A1315)/(OFFSET($C1310,-$A1314,$A1315)))),
MAX(0,L1315-(OFFSET($C1315,0,$A1315)/(OFFSET($C1310,-$A1314,$A1315))))),0))</f>
        <v>0</v>
      </c>
      <c r="N1315" s="1423">
        <f t="shared" ref="N1315:N1324" ca="1" si="1937">IF(M1339="n/a",M1315,IFERROR(IF((OFFSET($C1315,0,$A1315))&lt;0,
MIN(0,M1315-(OFFSET($C1315,0,$A1315)/(OFFSET($C1310,-$A1314,$A1315)))),
MAX(0,M1315-(OFFSET($C1315,0,$A1315)/(OFFSET($C1310,-$A1314,$A1315))))),0))</f>
        <v>0</v>
      </c>
      <c r="O1315" s="1423">
        <f t="shared" ref="O1315:O1325" ca="1" si="1938">IF(N1339="n/a",N1315,IFERROR(IF((OFFSET($C1315,0,$A1315))&lt;0,
MIN(0,N1315-(OFFSET($C1315,0,$A1315)/(OFFSET($C1310,-$A1314,$A1315)))),
MAX(0,N1315-(OFFSET($C1315,0,$A1315)/(OFFSET($C1310,-$A1314,$A1315))))),0))</f>
        <v>0</v>
      </c>
      <c r="P1315" s="1423">
        <f t="shared" ref="P1315:P1326" ca="1" si="1939">IF(O1339="n/a",O1315,IFERROR(IF((OFFSET($C1315,0,$A1315))&lt;0,
MIN(0,O1315-(OFFSET($C1315,0,$A1315)/(OFFSET($C1310,-$A1314,$A1315)))),
MAX(0,O1315-(OFFSET($C1315,0,$A1315)/(OFFSET($C1310,-$A1314,$A1315))))),0))</f>
        <v>0</v>
      </c>
      <c r="Q1315" s="1423">
        <f t="shared" ref="Q1315:Q1327" ca="1" si="1940">IF(P1339="n/a",P1315,IFERROR(IF((OFFSET($C1315,0,$A1315))&lt;0,
MIN(0,P1315-(OFFSET($C1315,0,$A1315)/(OFFSET($C1310,-$A1314,$A1315)))),
MAX(0,P1315-(OFFSET($C1315,0,$A1315)/(OFFSET($C1310,-$A1314,$A1315))))),0))</f>
        <v>0</v>
      </c>
      <c r="R1315" s="1423">
        <f t="shared" ref="R1315:R1328" ca="1" si="1941">IF(Q1339="n/a",Q1315,IFERROR(IF((OFFSET($C1315,0,$A1315))&lt;0,
MIN(0,Q1315-(OFFSET($C1315,0,$A1315)/(OFFSET($C1310,-$A1314,$A1315)))),
MAX(0,Q1315-(OFFSET($C1315,0,$A1315)/(OFFSET($C1310,-$A1314,$A1315))))),0))</f>
        <v>0</v>
      </c>
      <c r="S1315" s="1423">
        <f t="shared" ref="S1315:S1329" ca="1" si="1942">IF(R1339="n/a",R1315,IFERROR(IF((OFFSET($C1315,0,$A1315))&lt;0,
MIN(0,R1315-(OFFSET($C1315,0,$A1315)/(OFFSET($C1310,-$A1314,$A1315)))),
MAX(0,R1315-(OFFSET($C1315,0,$A1315)/(OFFSET($C1310,-$A1314,$A1315))))),0))</f>
        <v>0</v>
      </c>
      <c r="T1315" s="1423">
        <f t="shared" ref="T1315:T1330" ca="1" si="1943">IF(S1339="n/a",S1315,IFERROR(IF((OFFSET($C1315,0,$A1315))&lt;0,
MIN(0,S1315-(OFFSET($C1315,0,$A1315)/(OFFSET($C1310,-$A1314,$A1315)))),
MAX(0,S1315-(OFFSET($C1315,0,$A1315)/(OFFSET($C1310,-$A1314,$A1315))))),0))</f>
        <v>0</v>
      </c>
      <c r="U1315" s="1423">
        <f t="shared" ref="U1315:U1331" ca="1" si="1944">IF(T1339="n/a",T1315,IFERROR(IF((OFFSET($C1315,0,$A1315))&lt;0,
MIN(0,T1315-(OFFSET($C1315,0,$A1315)/(OFFSET($C1310,-$A1314,$A1315)))),
MAX(0,T1315-(OFFSET($C1315,0,$A1315)/(OFFSET($C1310,-$A1314,$A1315))))),0))</f>
        <v>0</v>
      </c>
      <c r="V1315" s="1423">
        <f t="shared" ref="V1315:V1332" ca="1" si="1945">IF(U1339="n/a",U1315,IFERROR(IF((OFFSET($C1315,0,$A1315))&lt;0,
MIN(0,U1315-(OFFSET($C1315,0,$A1315)/(OFFSET($C1310,-$A1314,$A1315)))),
MAX(0,U1315-(OFFSET($C1315,0,$A1315)/(OFFSET($C1310,-$A1314,$A1315))))),0))</f>
        <v>0</v>
      </c>
      <c r="W1315" s="1423">
        <f t="shared" ref="W1315:W1333" ca="1" si="1946">IF(V1339="n/a",V1315,IFERROR(IF((OFFSET($C1315,0,$A1315))&lt;0,
MIN(0,V1315-(OFFSET($C1315,0,$A1315)/(OFFSET($C1310,-$A1314,$A1315)))),
MAX(0,V1315-(OFFSET($C1315,0,$A1315)/(OFFSET($C1310,-$A1314,$A1315))))),0))</f>
        <v>0</v>
      </c>
      <c r="X1315" s="152"/>
      <c r="Y1315" s="152"/>
      <c r="Z1315" s="152"/>
      <c r="AA1315" s="152"/>
      <c r="AB1315" s="152"/>
    </row>
    <row r="1316" spans="1:28" hidden="1" outlineLevel="1">
      <c r="A1316" s="199">
        <f t="shared" ref="A1316:A1335" si="1947">A1315+1</f>
        <v>1</v>
      </c>
      <c r="B1316" s="190" t="str">
        <f t="shared" ref="B1316:B1334" ca="1" si="1948">"Depreciated Net Capex "&amp;OFFSET($C$6,0,A1316)</f>
        <v>Depreciated Net Capex 2016-17</v>
      </c>
      <c r="C1316" s="1424"/>
      <c r="D1316" s="1425">
        <f>(D1310*((1+D$11)^0.5)/D$10)</f>
        <v>0</v>
      </c>
      <c r="E1316" s="1423">
        <f ca="1">IF(D1340="n/a",D1316,IFERROR(IF((OFFSET($C1316,0,$A1316))&lt;0,
MIN(0,D1316-(OFFSET($C1316,0,$A1316)/(OFFSET($C1311,-$A1315,$A1316)))),
MAX(0,D1316-(OFFSET($C1316,0,$A1316)/(OFFSET($C1311,-$A1315,$A1316))))),0))</f>
        <v>0</v>
      </c>
      <c r="F1316" s="1423">
        <f t="shared" ca="1" si="1929"/>
        <v>0</v>
      </c>
      <c r="G1316" s="1423">
        <f t="shared" ca="1" si="1930"/>
        <v>0</v>
      </c>
      <c r="H1316" s="1423">
        <f t="shared" ca="1" si="1931"/>
        <v>0</v>
      </c>
      <c r="I1316" s="1423">
        <f t="shared" ca="1" si="1932"/>
        <v>0</v>
      </c>
      <c r="J1316" s="1423">
        <f t="shared" ca="1" si="1933"/>
        <v>0</v>
      </c>
      <c r="K1316" s="1423">
        <f t="shared" ca="1" si="1934"/>
        <v>0</v>
      </c>
      <c r="L1316" s="1423">
        <f t="shared" ca="1" si="1935"/>
        <v>0</v>
      </c>
      <c r="M1316" s="1423">
        <f t="shared" ca="1" si="1936"/>
        <v>0</v>
      </c>
      <c r="N1316" s="1423">
        <f t="shared" ca="1" si="1937"/>
        <v>0</v>
      </c>
      <c r="O1316" s="1423">
        <f t="shared" ca="1" si="1938"/>
        <v>0</v>
      </c>
      <c r="P1316" s="1423">
        <f t="shared" ca="1" si="1939"/>
        <v>0</v>
      </c>
      <c r="Q1316" s="1423">
        <f t="shared" ca="1" si="1940"/>
        <v>0</v>
      </c>
      <c r="R1316" s="1423">
        <f t="shared" ca="1" si="1941"/>
        <v>0</v>
      </c>
      <c r="S1316" s="1423">
        <f t="shared" ca="1" si="1942"/>
        <v>0</v>
      </c>
      <c r="T1316" s="1423">
        <f t="shared" ca="1" si="1943"/>
        <v>0</v>
      </c>
      <c r="U1316" s="1423">
        <f t="shared" ca="1" si="1944"/>
        <v>0</v>
      </c>
      <c r="V1316" s="1423">
        <f t="shared" ca="1" si="1945"/>
        <v>0</v>
      </c>
      <c r="W1316" s="1423">
        <f t="shared" ca="1" si="1946"/>
        <v>0</v>
      </c>
      <c r="X1316" s="152"/>
      <c r="Y1316" s="152"/>
      <c r="Z1316" s="152"/>
      <c r="AA1316" s="152"/>
      <c r="AB1316" s="152"/>
    </row>
    <row r="1317" spans="1:28" hidden="1" outlineLevel="1">
      <c r="A1317" s="199">
        <f t="shared" si="1947"/>
        <v>2</v>
      </c>
      <c r="B1317" s="190" t="str">
        <f t="shared" ca="1" si="1948"/>
        <v>Depreciated Net Capex 2017-18</v>
      </c>
      <c r="C1317" s="1426"/>
      <c r="D1317" s="1427"/>
      <c r="E1317" s="1425">
        <f>(E1310*((1+E$11)^0.5)/E$10)</f>
        <v>0</v>
      </c>
      <c r="F1317" s="1423">
        <f ca="1">IF(E1341="n/a",E1317,IFERROR(IF((OFFSET($C1317,0,$A1317))&lt;0,
MIN(0,E1317-(OFFSET($C1317,0,$A1317)/(OFFSET($C1312,-$A1316,$A1317)))),
MAX(0,E1317-(OFFSET($C1317,0,$A1317)/(OFFSET($C1312,-$A1316,$A1317))))),0))</f>
        <v>0</v>
      </c>
      <c r="G1317" s="1423">
        <f t="shared" ca="1" si="1930"/>
        <v>0</v>
      </c>
      <c r="H1317" s="1423">
        <f t="shared" ca="1" si="1931"/>
        <v>0</v>
      </c>
      <c r="I1317" s="1423">
        <f t="shared" ca="1" si="1932"/>
        <v>0</v>
      </c>
      <c r="J1317" s="1423">
        <f t="shared" ca="1" si="1933"/>
        <v>0</v>
      </c>
      <c r="K1317" s="1423">
        <f t="shared" ca="1" si="1934"/>
        <v>0</v>
      </c>
      <c r="L1317" s="1423">
        <f t="shared" ca="1" si="1935"/>
        <v>0</v>
      </c>
      <c r="M1317" s="1423">
        <f t="shared" ca="1" si="1936"/>
        <v>0</v>
      </c>
      <c r="N1317" s="1423">
        <f t="shared" ca="1" si="1937"/>
        <v>0</v>
      </c>
      <c r="O1317" s="1423">
        <f t="shared" ca="1" si="1938"/>
        <v>0</v>
      </c>
      <c r="P1317" s="1423">
        <f t="shared" ca="1" si="1939"/>
        <v>0</v>
      </c>
      <c r="Q1317" s="1423">
        <f t="shared" ca="1" si="1940"/>
        <v>0</v>
      </c>
      <c r="R1317" s="1423">
        <f t="shared" ca="1" si="1941"/>
        <v>0</v>
      </c>
      <c r="S1317" s="1423">
        <f t="shared" ca="1" si="1942"/>
        <v>0</v>
      </c>
      <c r="T1317" s="1423">
        <f t="shared" ca="1" si="1943"/>
        <v>0</v>
      </c>
      <c r="U1317" s="1423">
        <f t="shared" ca="1" si="1944"/>
        <v>0</v>
      </c>
      <c r="V1317" s="1423">
        <f t="shared" ca="1" si="1945"/>
        <v>0</v>
      </c>
      <c r="W1317" s="1423">
        <f t="shared" ca="1" si="1946"/>
        <v>0</v>
      </c>
      <c r="X1317" s="202"/>
      <c r="Y1317" s="152"/>
      <c r="Z1317" s="152"/>
      <c r="AA1317" s="152"/>
      <c r="AB1317" s="152"/>
    </row>
    <row r="1318" spans="1:28" hidden="1" outlineLevel="1">
      <c r="A1318" s="199">
        <f t="shared" si="1947"/>
        <v>3</v>
      </c>
      <c r="B1318" s="190" t="str">
        <f t="shared" ca="1" si="1948"/>
        <v>Depreciated Net Capex 2018-19</v>
      </c>
      <c r="C1318" s="1426"/>
      <c r="D1318" s="1426"/>
      <c r="E1318" s="1427"/>
      <c r="F1318" s="1428">
        <f>($F1310*((1+F$11)^0.5)/F$10)</f>
        <v>0</v>
      </c>
      <c r="G1318" s="1423">
        <f ca="1">IF(F1342="n/a",F1318,IFERROR(IF((OFFSET($C1318,0,$A1318))&lt;0,
MIN(0,F1318-(OFFSET($C1318,0,$A1318)/(OFFSET($C1313,-$A1317,$A1318)))),
MAX(0,F1318-(OFFSET($C1318,0,$A1318)/(OFFSET($C1313,-$A1317,$A1318))))),0))</f>
        <v>0</v>
      </c>
      <c r="H1318" s="1423">
        <f t="shared" ca="1" si="1931"/>
        <v>0</v>
      </c>
      <c r="I1318" s="1423">
        <f t="shared" ca="1" si="1932"/>
        <v>0</v>
      </c>
      <c r="J1318" s="1423">
        <f t="shared" ca="1" si="1933"/>
        <v>0</v>
      </c>
      <c r="K1318" s="1423">
        <f t="shared" ca="1" si="1934"/>
        <v>0</v>
      </c>
      <c r="L1318" s="1423">
        <f t="shared" ca="1" si="1935"/>
        <v>0</v>
      </c>
      <c r="M1318" s="1423">
        <f t="shared" ca="1" si="1936"/>
        <v>0</v>
      </c>
      <c r="N1318" s="1423">
        <f t="shared" ca="1" si="1937"/>
        <v>0</v>
      </c>
      <c r="O1318" s="1423">
        <f t="shared" ca="1" si="1938"/>
        <v>0</v>
      </c>
      <c r="P1318" s="1423">
        <f t="shared" ca="1" si="1939"/>
        <v>0</v>
      </c>
      <c r="Q1318" s="1423">
        <f t="shared" ca="1" si="1940"/>
        <v>0</v>
      </c>
      <c r="R1318" s="1423">
        <f t="shared" ca="1" si="1941"/>
        <v>0</v>
      </c>
      <c r="S1318" s="1423">
        <f t="shared" ca="1" si="1942"/>
        <v>0</v>
      </c>
      <c r="T1318" s="1423">
        <f t="shared" ca="1" si="1943"/>
        <v>0</v>
      </c>
      <c r="U1318" s="1423">
        <f t="shared" ca="1" si="1944"/>
        <v>0</v>
      </c>
      <c r="V1318" s="1423">
        <f t="shared" ca="1" si="1945"/>
        <v>0</v>
      </c>
      <c r="W1318" s="1423">
        <f t="shared" ca="1" si="1946"/>
        <v>0</v>
      </c>
      <c r="X1318" s="202"/>
      <c r="Y1318" s="202"/>
      <c r="Z1318" s="152"/>
      <c r="AA1318" s="152"/>
      <c r="AB1318" s="152"/>
    </row>
    <row r="1319" spans="1:28" hidden="1" outlineLevel="1">
      <c r="A1319" s="199">
        <f t="shared" si="1947"/>
        <v>4</v>
      </c>
      <c r="B1319" s="190" t="str">
        <f t="shared" ca="1" si="1948"/>
        <v>Depreciated Net Capex 2019-20</v>
      </c>
      <c r="C1319" s="1426"/>
      <c r="D1319" s="1426"/>
      <c r="E1319" s="1426"/>
      <c r="F1319" s="1427"/>
      <c r="G1319" s="1428">
        <f>($G1310*((1+G$11)^0.5)/G$10)</f>
        <v>0</v>
      </c>
      <c r="H1319" s="1423">
        <f ca="1">IF(G1343="n/a",G1319,IFERROR(IF((OFFSET($C1319,0,$A1319))&lt;0,
MIN(0,G1319-(OFFSET($C1319,0,$A1319)/(OFFSET($C1314,-$A1318,$A1319)))),
MAX(0,G1319-(OFFSET($C1319,0,$A1319)/(OFFSET($C1314,-$A1318,$A1319))))),0))</f>
        <v>0</v>
      </c>
      <c r="I1319" s="1423">
        <f t="shared" ca="1" si="1932"/>
        <v>0</v>
      </c>
      <c r="J1319" s="1423">
        <f t="shared" ca="1" si="1933"/>
        <v>0</v>
      </c>
      <c r="K1319" s="1423">
        <f t="shared" ca="1" si="1934"/>
        <v>0</v>
      </c>
      <c r="L1319" s="1423">
        <f t="shared" ca="1" si="1935"/>
        <v>0</v>
      </c>
      <c r="M1319" s="1423">
        <f t="shared" ca="1" si="1936"/>
        <v>0</v>
      </c>
      <c r="N1319" s="1423">
        <f t="shared" ca="1" si="1937"/>
        <v>0</v>
      </c>
      <c r="O1319" s="1423">
        <f t="shared" ca="1" si="1938"/>
        <v>0</v>
      </c>
      <c r="P1319" s="1423">
        <f t="shared" ca="1" si="1939"/>
        <v>0</v>
      </c>
      <c r="Q1319" s="1423">
        <f t="shared" ca="1" si="1940"/>
        <v>0</v>
      </c>
      <c r="R1319" s="1423">
        <f t="shared" ca="1" si="1941"/>
        <v>0</v>
      </c>
      <c r="S1319" s="1423">
        <f t="shared" ca="1" si="1942"/>
        <v>0</v>
      </c>
      <c r="T1319" s="1423">
        <f t="shared" ca="1" si="1943"/>
        <v>0</v>
      </c>
      <c r="U1319" s="1423">
        <f t="shared" ca="1" si="1944"/>
        <v>0</v>
      </c>
      <c r="V1319" s="1423">
        <f t="shared" ca="1" si="1945"/>
        <v>0</v>
      </c>
      <c r="W1319" s="1423">
        <f t="shared" ca="1" si="1946"/>
        <v>0</v>
      </c>
      <c r="X1319" s="202"/>
      <c r="Y1319" s="202"/>
      <c r="Z1319" s="202"/>
      <c r="AA1319" s="152"/>
      <c r="AB1319" s="152"/>
    </row>
    <row r="1320" spans="1:28" hidden="1" outlineLevel="1">
      <c r="A1320" s="199">
        <f t="shared" si="1947"/>
        <v>5</v>
      </c>
      <c r="B1320" s="190" t="str">
        <f t="shared" ca="1" si="1948"/>
        <v>Depreciated Net Capex 2020-21</v>
      </c>
      <c r="C1320" s="1426"/>
      <c r="D1320" s="1426"/>
      <c r="E1320" s="1426"/>
      <c r="F1320" s="1426"/>
      <c r="G1320" s="1427"/>
      <c r="H1320" s="1428">
        <f>(H1310*((1+H$11)^0.5)/H$10)</f>
        <v>0</v>
      </c>
      <c r="I1320" s="1423">
        <f ca="1">IF(H1344="n/a",H1320,IFERROR(IF((OFFSET($C1320,0,$A1320))&lt;0,
MIN(0,H1320-(OFFSET($C1320,0,$A1320)/(OFFSET($C1315,-$A1319,$A1320)))),
MAX(0,H1320-(OFFSET($C1320,0,$A1320)/(OFFSET($C1315,-$A1319,$A1320))))),0))</f>
        <v>0</v>
      </c>
      <c r="J1320" s="1423">
        <f t="shared" ca="1" si="1933"/>
        <v>0</v>
      </c>
      <c r="K1320" s="1423">
        <f t="shared" ca="1" si="1934"/>
        <v>0</v>
      </c>
      <c r="L1320" s="1423">
        <f t="shared" ca="1" si="1935"/>
        <v>0</v>
      </c>
      <c r="M1320" s="1423">
        <f t="shared" ca="1" si="1936"/>
        <v>0</v>
      </c>
      <c r="N1320" s="1423">
        <f t="shared" ca="1" si="1937"/>
        <v>0</v>
      </c>
      <c r="O1320" s="1423">
        <f t="shared" ca="1" si="1938"/>
        <v>0</v>
      </c>
      <c r="P1320" s="1423">
        <f t="shared" ca="1" si="1939"/>
        <v>0</v>
      </c>
      <c r="Q1320" s="1423">
        <f t="shared" ca="1" si="1940"/>
        <v>0</v>
      </c>
      <c r="R1320" s="1423">
        <f t="shared" ca="1" si="1941"/>
        <v>0</v>
      </c>
      <c r="S1320" s="1423">
        <f t="shared" ca="1" si="1942"/>
        <v>0</v>
      </c>
      <c r="T1320" s="1423">
        <f t="shared" ca="1" si="1943"/>
        <v>0</v>
      </c>
      <c r="U1320" s="1423">
        <f t="shared" ca="1" si="1944"/>
        <v>0</v>
      </c>
      <c r="V1320" s="1423">
        <f t="shared" ca="1" si="1945"/>
        <v>0</v>
      </c>
      <c r="W1320" s="1423">
        <f t="shared" ca="1" si="1946"/>
        <v>0</v>
      </c>
      <c r="X1320" s="202"/>
      <c r="Y1320" s="202"/>
      <c r="Z1320" s="202"/>
      <c r="AA1320" s="152"/>
      <c r="AB1320" s="152"/>
    </row>
    <row r="1321" spans="1:28" hidden="1" outlineLevel="1">
      <c r="A1321" s="199">
        <f t="shared" si="1947"/>
        <v>6</v>
      </c>
      <c r="B1321" s="190" t="str">
        <f t="shared" ca="1" si="1948"/>
        <v>Depreciated Net Capex 2021-22</v>
      </c>
      <c r="C1321" s="1426"/>
      <c r="D1321" s="1426"/>
      <c r="E1321" s="1426"/>
      <c r="F1321" s="1426"/>
      <c r="G1321" s="1426"/>
      <c r="H1321" s="1427"/>
      <c r="I1321" s="1428">
        <f>(I1310*((1+I$11)^0.5)/I$10)</f>
        <v>0</v>
      </c>
      <c r="J1321" s="1423">
        <f ca="1">IF(I1345="n/a",I1321,IFERROR(IF((OFFSET($C1321,0,$A1321))&lt;0,
MIN(0,I1321-(OFFSET($C1321,0,$A1321)/(OFFSET($C1316,-$A1320,$A1321)))),
MAX(0,I1321-(OFFSET($C1321,0,$A1321)/(OFFSET($C1316,-$A1320,$A1321))))),0))</f>
        <v>0</v>
      </c>
      <c r="K1321" s="1423">
        <f t="shared" ca="1" si="1934"/>
        <v>0</v>
      </c>
      <c r="L1321" s="1423">
        <f t="shared" ca="1" si="1935"/>
        <v>0</v>
      </c>
      <c r="M1321" s="1423">
        <f t="shared" ca="1" si="1936"/>
        <v>0</v>
      </c>
      <c r="N1321" s="1423">
        <f t="shared" ca="1" si="1937"/>
        <v>0</v>
      </c>
      <c r="O1321" s="1423">
        <f t="shared" ca="1" si="1938"/>
        <v>0</v>
      </c>
      <c r="P1321" s="1423">
        <f t="shared" ca="1" si="1939"/>
        <v>0</v>
      </c>
      <c r="Q1321" s="1423">
        <f t="shared" ca="1" si="1940"/>
        <v>0</v>
      </c>
      <c r="R1321" s="1423">
        <f t="shared" ca="1" si="1941"/>
        <v>0</v>
      </c>
      <c r="S1321" s="1423">
        <f t="shared" ca="1" si="1942"/>
        <v>0</v>
      </c>
      <c r="T1321" s="1423">
        <f t="shared" ca="1" si="1943"/>
        <v>0</v>
      </c>
      <c r="U1321" s="1423">
        <f t="shared" ca="1" si="1944"/>
        <v>0</v>
      </c>
      <c r="V1321" s="1423">
        <f t="shared" ca="1" si="1945"/>
        <v>0</v>
      </c>
      <c r="W1321" s="1423">
        <f t="shared" ca="1" si="1946"/>
        <v>0</v>
      </c>
      <c r="X1321" s="202"/>
      <c r="Y1321" s="202"/>
      <c r="Z1321" s="202"/>
      <c r="AA1321" s="152"/>
      <c r="AB1321" s="152"/>
    </row>
    <row r="1322" spans="1:28" hidden="1" outlineLevel="1">
      <c r="A1322" s="199">
        <f t="shared" si="1947"/>
        <v>7</v>
      </c>
      <c r="B1322" s="190" t="str">
        <f t="shared" ca="1" si="1948"/>
        <v>Depreciated Net Capex 2022-23</v>
      </c>
      <c r="C1322" s="1426"/>
      <c r="D1322" s="1426"/>
      <c r="E1322" s="1426"/>
      <c r="F1322" s="1426"/>
      <c r="G1322" s="1426"/>
      <c r="H1322" s="1426"/>
      <c r="I1322" s="1427"/>
      <c r="J1322" s="1428">
        <f>(J1310*((1+J$11)^0.5)/J$10)</f>
        <v>0</v>
      </c>
      <c r="K1322" s="1423">
        <f ca="1">IF(J1346="n/a",J1322,IFERROR(IF((OFFSET($C1322,0,$A1322))&lt;0,
MIN(0,J1322-(OFFSET($C1322,0,$A1322)/(OFFSET($C1317,-$A1321,$A1322)))),
MAX(0,J1322-(OFFSET($C1322,0,$A1322)/(OFFSET($C1317,-$A1321,$A1322))))),0))</f>
        <v>0</v>
      </c>
      <c r="L1322" s="1423">
        <f t="shared" ca="1" si="1935"/>
        <v>0</v>
      </c>
      <c r="M1322" s="1423">
        <f t="shared" ca="1" si="1936"/>
        <v>0</v>
      </c>
      <c r="N1322" s="1423">
        <f t="shared" ca="1" si="1937"/>
        <v>0</v>
      </c>
      <c r="O1322" s="1423">
        <f t="shared" ca="1" si="1938"/>
        <v>0</v>
      </c>
      <c r="P1322" s="1423">
        <f t="shared" ca="1" si="1939"/>
        <v>0</v>
      </c>
      <c r="Q1322" s="1423">
        <f t="shared" ca="1" si="1940"/>
        <v>0</v>
      </c>
      <c r="R1322" s="1423">
        <f t="shared" ca="1" si="1941"/>
        <v>0</v>
      </c>
      <c r="S1322" s="1423">
        <f t="shared" ca="1" si="1942"/>
        <v>0</v>
      </c>
      <c r="T1322" s="1423">
        <f t="shared" ca="1" si="1943"/>
        <v>0</v>
      </c>
      <c r="U1322" s="1423">
        <f t="shared" ca="1" si="1944"/>
        <v>0</v>
      </c>
      <c r="V1322" s="1423">
        <f t="shared" ca="1" si="1945"/>
        <v>0</v>
      </c>
      <c r="W1322" s="1423">
        <f t="shared" ca="1" si="1946"/>
        <v>0</v>
      </c>
      <c r="X1322" s="202"/>
      <c r="Y1322" s="202"/>
      <c r="Z1322" s="202"/>
      <c r="AA1322" s="152"/>
      <c r="AB1322" s="152"/>
    </row>
    <row r="1323" spans="1:28" hidden="1" outlineLevel="1">
      <c r="A1323" s="199">
        <f t="shared" si="1947"/>
        <v>8</v>
      </c>
      <c r="B1323" s="190" t="str">
        <f t="shared" ca="1" si="1948"/>
        <v>Depreciated Net Capex 2023-24</v>
      </c>
      <c r="C1323" s="1426"/>
      <c r="D1323" s="1426"/>
      <c r="E1323" s="1426"/>
      <c r="F1323" s="1426"/>
      <c r="G1323" s="1426"/>
      <c r="H1323" s="1426"/>
      <c r="I1323" s="1426"/>
      <c r="J1323" s="1427"/>
      <c r="K1323" s="1428">
        <f>(K1310*((1+K$11)^0.5)/K$10)</f>
        <v>0</v>
      </c>
      <c r="L1323" s="1423">
        <f ca="1">IF(K1347="n/a",K1323,IFERROR(IF((OFFSET($C1323,0,$A1323))&lt;0,
MIN(0,K1323-(OFFSET($C1323,0,$A1323)/(OFFSET($C1318,-$A1322,$A1323)))),
MAX(0,K1323-(OFFSET($C1323,0,$A1323)/(OFFSET($C1318,-$A1322,$A1323))))),0))</f>
        <v>0</v>
      </c>
      <c r="M1323" s="1423">
        <f t="shared" ca="1" si="1936"/>
        <v>0</v>
      </c>
      <c r="N1323" s="1423">
        <f t="shared" ca="1" si="1937"/>
        <v>0</v>
      </c>
      <c r="O1323" s="1423">
        <f t="shared" ca="1" si="1938"/>
        <v>0</v>
      </c>
      <c r="P1323" s="1423">
        <f t="shared" ca="1" si="1939"/>
        <v>0</v>
      </c>
      <c r="Q1323" s="1423">
        <f t="shared" ca="1" si="1940"/>
        <v>0</v>
      </c>
      <c r="R1323" s="1423">
        <f t="shared" ca="1" si="1941"/>
        <v>0</v>
      </c>
      <c r="S1323" s="1423">
        <f t="shared" ca="1" si="1942"/>
        <v>0</v>
      </c>
      <c r="T1323" s="1423">
        <f t="shared" ca="1" si="1943"/>
        <v>0</v>
      </c>
      <c r="U1323" s="1423">
        <f t="shared" ca="1" si="1944"/>
        <v>0</v>
      </c>
      <c r="V1323" s="1423">
        <f t="shared" ca="1" si="1945"/>
        <v>0</v>
      </c>
      <c r="W1323" s="1423">
        <f t="shared" ca="1" si="1946"/>
        <v>0</v>
      </c>
      <c r="X1323" s="202"/>
      <c r="Y1323" s="202"/>
      <c r="Z1323" s="202"/>
      <c r="AA1323" s="152"/>
      <c r="AB1323" s="152"/>
    </row>
    <row r="1324" spans="1:28" hidden="1" outlineLevel="1">
      <c r="A1324" s="199">
        <f t="shared" si="1947"/>
        <v>9</v>
      </c>
      <c r="B1324" s="190" t="str">
        <f t="shared" ca="1" si="1948"/>
        <v>Depreciated Net Capex 2024-25</v>
      </c>
      <c r="C1324" s="1426"/>
      <c r="D1324" s="1426"/>
      <c r="E1324" s="1426"/>
      <c r="F1324" s="1426"/>
      <c r="G1324" s="1426"/>
      <c r="H1324" s="1426"/>
      <c r="I1324" s="1426"/>
      <c r="J1324" s="1426"/>
      <c r="K1324" s="1427"/>
      <c r="L1324" s="1428">
        <f>(L1310*((1+L$11)^0.5)/L$10)</f>
        <v>0</v>
      </c>
      <c r="M1324" s="1423">
        <f ca="1">IF(L1348="n/a",L1324,IFERROR(IF((OFFSET($C1324,0,$A1324))&lt;0,
MIN(0,L1324-(OFFSET($C1324,0,$A1324)/(OFFSET($C1319,-$A1323,$A1324)))),
MAX(0,L1324-(OFFSET($C1324,0,$A1324)/(OFFSET($C1319,-$A1323,$A1324))))),0))</f>
        <v>0</v>
      </c>
      <c r="N1324" s="1423">
        <f t="shared" ca="1" si="1937"/>
        <v>0</v>
      </c>
      <c r="O1324" s="1423">
        <f t="shared" ca="1" si="1938"/>
        <v>0</v>
      </c>
      <c r="P1324" s="1423">
        <f t="shared" ca="1" si="1939"/>
        <v>0</v>
      </c>
      <c r="Q1324" s="1423">
        <f t="shared" ca="1" si="1940"/>
        <v>0</v>
      </c>
      <c r="R1324" s="1423">
        <f t="shared" ca="1" si="1941"/>
        <v>0</v>
      </c>
      <c r="S1324" s="1423">
        <f t="shared" ca="1" si="1942"/>
        <v>0</v>
      </c>
      <c r="T1324" s="1423">
        <f t="shared" ca="1" si="1943"/>
        <v>0</v>
      </c>
      <c r="U1324" s="1423">
        <f t="shared" ca="1" si="1944"/>
        <v>0</v>
      </c>
      <c r="V1324" s="1423">
        <f t="shared" ca="1" si="1945"/>
        <v>0</v>
      </c>
      <c r="W1324" s="1423">
        <f t="shared" ca="1" si="1946"/>
        <v>0</v>
      </c>
      <c r="X1324" s="202"/>
      <c r="Y1324" s="202"/>
      <c r="Z1324" s="202"/>
      <c r="AA1324" s="152"/>
      <c r="AB1324" s="152"/>
    </row>
    <row r="1325" spans="1:28" hidden="1" outlineLevel="1">
      <c r="A1325" s="199">
        <f t="shared" si="1947"/>
        <v>10</v>
      </c>
      <c r="B1325" s="190" t="str">
        <f t="shared" ca="1" si="1948"/>
        <v>Depreciated Net Capex 2025-26</v>
      </c>
      <c r="C1325" s="1426"/>
      <c r="D1325" s="1426"/>
      <c r="E1325" s="1426"/>
      <c r="F1325" s="1426"/>
      <c r="G1325" s="1426"/>
      <c r="H1325" s="1426"/>
      <c r="I1325" s="1426"/>
      <c r="J1325" s="1426"/>
      <c r="K1325" s="1426"/>
      <c r="L1325" s="1427"/>
      <c r="M1325" s="1428">
        <f>(M1310*((1+M$11)^0.5)/M$10)</f>
        <v>0</v>
      </c>
      <c r="N1325" s="1423">
        <f ca="1">IF(M1349="n/a",M1325,IFERROR(IF((OFFSET($C1325,0,$A1325))&lt;0,
MIN(0,M1325-(OFFSET($C1325,0,$A1325)/(OFFSET($C1320,-$A1324,$A1325)))),
MAX(0,M1325-(OFFSET($C1325,0,$A1325)/(OFFSET($C1320,-$A1324,$A1325))))),0))</f>
        <v>0</v>
      </c>
      <c r="O1325" s="1423">
        <f t="shared" ca="1" si="1938"/>
        <v>0</v>
      </c>
      <c r="P1325" s="1423">
        <f t="shared" ca="1" si="1939"/>
        <v>0</v>
      </c>
      <c r="Q1325" s="1423">
        <f t="shared" ca="1" si="1940"/>
        <v>0</v>
      </c>
      <c r="R1325" s="1423">
        <f t="shared" ca="1" si="1941"/>
        <v>0</v>
      </c>
      <c r="S1325" s="1423">
        <f t="shared" ca="1" si="1942"/>
        <v>0</v>
      </c>
      <c r="T1325" s="1423">
        <f t="shared" ca="1" si="1943"/>
        <v>0</v>
      </c>
      <c r="U1325" s="1423">
        <f t="shared" ca="1" si="1944"/>
        <v>0</v>
      </c>
      <c r="V1325" s="1423">
        <f t="shared" ca="1" si="1945"/>
        <v>0</v>
      </c>
      <c r="W1325" s="1423">
        <f t="shared" ca="1" si="1946"/>
        <v>0</v>
      </c>
      <c r="X1325" s="202"/>
      <c r="Y1325" s="202"/>
      <c r="Z1325" s="202"/>
      <c r="AA1325" s="152"/>
      <c r="AB1325" s="152"/>
    </row>
    <row r="1326" spans="1:28" hidden="1" outlineLevel="1">
      <c r="A1326" s="199">
        <f t="shared" si="1947"/>
        <v>11</v>
      </c>
      <c r="B1326" s="190" t="str">
        <f t="shared" ca="1" si="1948"/>
        <v>Depreciated Net Capex 2026-27</v>
      </c>
      <c r="C1326" s="1426"/>
      <c r="D1326" s="1426"/>
      <c r="E1326" s="1426"/>
      <c r="F1326" s="1426"/>
      <c r="G1326" s="1426"/>
      <c r="H1326" s="1426"/>
      <c r="I1326" s="1426"/>
      <c r="J1326" s="1426"/>
      <c r="K1326" s="1426"/>
      <c r="L1326" s="1426"/>
      <c r="M1326" s="1427"/>
      <c r="N1326" s="1428">
        <f>(N1310*((1+N$11)^0.5)/N$10)</f>
        <v>0</v>
      </c>
      <c r="O1326" s="1423">
        <f ca="1">IF(N1350="n/a",N1326,IFERROR(IF((OFFSET($C1326,0,$A1326))&lt;0,
MIN(0,N1326-(OFFSET($C1326,0,$A1326)/(OFFSET($C1321,-$A1325,$A1326)))),
MAX(0,N1326-(OFFSET($C1326,0,$A1326)/(OFFSET($C1321,-$A1325,$A1326))))),0))</f>
        <v>0</v>
      </c>
      <c r="P1326" s="1423">
        <f t="shared" ca="1" si="1939"/>
        <v>0</v>
      </c>
      <c r="Q1326" s="1423">
        <f t="shared" ca="1" si="1940"/>
        <v>0</v>
      </c>
      <c r="R1326" s="1423">
        <f t="shared" ca="1" si="1941"/>
        <v>0</v>
      </c>
      <c r="S1326" s="1423">
        <f t="shared" ca="1" si="1942"/>
        <v>0</v>
      </c>
      <c r="T1326" s="1423">
        <f t="shared" ca="1" si="1943"/>
        <v>0</v>
      </c>
      <c r="U1326" s="1423">
        <f t="shared" ca="1" si="1944"/>
        <v>0</v>
      </c>
      <c r="V1326" s="1423">
        <f t="shared" ca="1" si="1945"/>
        <v>0</v>
      </c>
      <c r="W1326" s="1423">
        <f t="shared" ca="1" si="1946"/>
        <v>0</v>
      </c>
      <c r="X1326" s="202"/>
      <c r="Y1326" s="202"/>
      <c r="Z1326" s="202"/>
      <c r="AA1326" s="152"/>
      <c r="AB1326" s="152"/>
    </row>
    <row r="1327" spans="1:28" hidden="1" outlineLevel="1">
      <c r="A1327" s="199">
        <f t="shared" si="1947"/>
        <v>12</v>
      </c>
      <c r="B1327" s="190" t="str">
        <f t="shared" ca="1" si="1948"/>
        <v>Depreciated Net Capex 2027-28</v>
      </c>
      <c r="C1327" s="1426"/>
      <c r="D1327" s="1426"/>
      <c r="E1327" s="1426"/>
      <c r="F1327" s="1426"/>
      <c r="G1327" s="1426"/>
      <c r="H1327" s="1426"/>
      <c r="I1327" s="1426"/>
      <c r="J1327" s="1426"/>
      <c r="K1327" s="1426"/>
      <c r="L1327" s="1426"/>
      <c r="M1327" s="1426"/>
      <c r="N1327" s="1427"/>
      <c r="O1327" s="1428">
        <f>(O1310*((1+O$11)^0.5)/O$10)</f>
        <v>0</v>
      </c>
      <c r="P1327" s="1423">
        <f ca="1">IF(O1351="n/a",O1327,IFERROR(IF((OFFSET($C1327,0,$A1327))&lt;0,
MIN(0,O1327-(OFFSET($C1327,0,$A1327)/(OFFSET($C1322,-$A1326,$A1327)))),
MAX(0,O1327-(OFFSET($C1327,0,$A1327)/(OFFSET($C1322,-$A1326,$A1327))))),0))</f>
        <v>0</v>
      </c>
      <c r="Q1327" s="1423">
        <f t="shared" ca="1" si="1940"/>
        <v>0</v>
      </c>
      <c r="R1327" s="1423">
        <f t="shared" ca="1" si="1941"/>
        <v>0</v>
      </c>
      <c r="S1327" s="1423">
        <f t="shared" ca="1" si="1942"/>
        <v>0</v>
      </c>
      <c r="T1327" s="1423">
        <f t="shared" ca="1" si="1943"/>
        <v>0</v>
      </c>
      <c r="U1327" s="1423">
        <f t="shared" ca="1" si="1944"/>
        <v>0</v>
      </c>
      <c r="V1327" s="1423">
        <f t="shared" ca="1" si="1945"/>
        <v>0</v>
      </c>
      <c r="W1327" s="1423">
        <f t="shared" ca="1" si="1946"/>
        <v>0</v>
      </c>
      <c r="X1327" s="202"/>
      <c r="Y1327" s="202"/>
      <c r="Z1327" s="202"/>
      <c r="AA1327" s="152"/>
      <c r="AB1327" s="152"/>
    </row>
    <row r="1328" spans="1:28" hidden="1" outlineLevel="1">
      <c r="A1328" s="199">
        <f t="shared" si="1947"/>
        <v>13</v>
      </c>
      <c r="B1328" s="190" t="str">
        <f t="shared" ca="1" si="1948"/>
        <v>Depreciated Net Capex 2028-29</v>
      </c>
      <c r="C1328" s="1426"/>
      <c r="D1328" s="1426"/>
      <c r="E1328" s="1426"/>
      <c r="F1328" s="1426"/>
      <c r="G1328" s="1426"/>
      <c r="H1328" s="1426"/>
      <c r="I1328" s="1426"/>
      <c r="J1328" s="1426"/>
      <c r="K1328" s="1426"/>
      <c r="L1328" s="1426"/>
      <c r="M1328" s="1426"/>
      <c r="N1328" s="1426"/>
      <c r="O1328" s="1427"/>
      <c r="P1328" s="1428">
        <f>(P1310*((1+P$11)^0.5)/P$10)</f>
        <v>0</v>
      </c>
      <c r="Q1328" s="1423">
        <f ca="1">IF(P1352="n/a",P1328,IFERROR(IF((OFFSET($C1328,0,$A1328))&lt;0,
MIN(0,P1328-(OFFSET($C1328,0,$A1328)/(OFFSET($C1323,-$A1327,$A1328)))),
MAX(0,P1328-(OFFSET($C1328,0,$A1328)/(OFFSET($C1323,-$A1327,$A1328))))),0))</f>
        <v>0</v>
      </c>
      <c r="R1328" s="1423">
        <f t="shared" ca="1" si="1941"/>
        <v>0</v>
      </c>
      <c r="S1328" s="1423">
        <f t="shared" ca="1" si="1942"/>
        <v>0</v>
      </c>
      <c r="T1328" s="1423">
        <f t="shared" ca="1" si="1943"/>
        <v>0</v>
      </c>
      <c r="U1328" s="1423">
        <f t="shared" ca="1" si="1944"/>
        <v>0</v>
      </c>
      <c r="V1328" s="1423">
        <f t="shared" ca="1" si="1945"/>
        <v>0</v>
      </c>
      <c r="W1328" s="1423">
        <f t="shared" ca="1" si="1946"/>
        <v>0</v>
      </c>
      <c r="X1328" s="202"/>
      <c r="Y1328" s="202"/>
      <c r="Z1328" s="202"/>
      <c r="AA1328" s="152"/>
      <c r="AB1328" s="152"/>
    </row>
    <row r="1329" spans="1:28" hidden="1" outlineLevel="1">
      <c r="A1329" s="199">
        <f t="shared" si="1947"/>
        <v>14</v>
      </c>
      <c r="B1329" s="190" t="str">
        <f t="shared" ca="1" si="1948"/>
        <v>Depreciated Net Capex 2029-30</v>
      </c>
      <c r="C1329" s="1426"/>
      <c r="D1329" s="1426"/>
      <c r="E1329" s="1426"/>
      <c r="F1329" s="1426"/>
      <c r="G1329" s="1426"/>
      <c r="H1329" s="1426"/>
      <c r="I1329" s="1426"/>
      <c r="J1329" s="1426"/>
      <c r="K1329" s="1426"/>
      <c r="L1329" s="1426"/>
      <c r="M1329" s="1426"/>
      <c r="N1329" s="1426"/>
      <c r="O1329" s="1426"/>
      <c r="P1329" s="1427"/>
      <c r="Q1329" s="1428">
        <f>(Q1310*((1+Q$11)^0.5)/Q$10)</f>
        <v>0</v>
      </c>
      <c r="R1329" s="1423">
        <f ca="1">IF(Q1353="n/a",Q1329,IFERROR(IF((OFFSET($C1329,0,$A1329))&lt;0,
MIN(0,Q1329-(OFFSET($C1329,0,$A1329)/(OFFSET($C1324,-$A1328,$A1329)))),
MAX(0,Q1329-(OFFSET($C1329,0,$A1329)/(OFFSET($C1324,-$A1328,$A1329))))),0))</f>
        <v>0</v>
      </c>
      <c r="S1329" s="1423">
        <f t="shared" ca="1" si="1942"/>
        <v>0</v>
      </c>
      <c r="T1329" s="1423">
        <f t="shared" ca="1" si="1943"/>
        <v>0</v>
      </c>
      <c r="U1329" s="1423">
        <f t="shared" ca="1" si="1944"/>
        <v>0</v>
      </c>
      <c r="V1329" s="1423">
        <f t="shared" ca="1" si="1945"/>
        <v>0</v>
      </c>
      <c r="W1329" s="1423">
        <f t="shared" ca="1" si="1946"/>
        <v>0</v>
      </c>
      <c r="X1329" s="202"/>
      <c r="Y1329" s="202"/>
      <c r="Z1329" s="202"/>
      <c r="AA1329" s="152"/>
      <c r="AB1329" s="152"/>
    </row>
    <row r="1330" spans="1:28" hidden="1" outlineLevel="1">
      <c r="A1330" s="199">
        <f t="shared" si="1947"/>
        <v>15</v>
      </c>
      <c r="B1330" s="190" t="str">
        <f t="shared" ca="1" si="1948"/>
        <v>Depreciated Net Capex 2030-31</v>
      </c>
      <c r="C1330" s="1426"/>
      <c r="D1330" s="1426"/>
      <c r="E1330" s="1426"/>
      <c r="F1330" s="1426"/>
      <c r="G1330" s="1426"/>
      <c r="H1330" s="1426"/>
      <c r="I1330" s="1426"/>
      <c r="J1330" s="1426"/>
      <c r="K1330" s="1426"/>
      <c r="L1330" s="1426"/>
      <c r="M1330" s="1426"/>
      <c r="N1330" s="1426"/>
      <c r="O1330" s="1426"/>
      <c r="P1330" s="1426"/>
      <c r="Q1330" s="1427"/>
      <c r="R1330" s="1428">
        <f>(R1310*((1+R$11)^0.5)/R$10)</f>
        <v>0</v>
      </c>
      <c r="S1330" s="1423">
        <f ca="1">IF(R1354="n/a",R1330,IFERROR(IF((OFFSET($C1330,0,$A1330))&lt;0,
MIN(0,R1330-(OFFSET($C1330,0,$A1330)/(OFFSET($C1325,-$A1329,$A1330)))),
MAX(0,R1330-(OFFSET($C1330,0,$A1330)/(OFFSET($C1325,-$A1329,$A1330))))),0))</f>
        <v>0</v>
      </c>
      <c r="T1330" s="1423">
        <f t="shared" ca="1" si="1943"/>
        <v>0</v>
      </c>
      <c r="U1330" s="1423">
        <f t="shared" ca="1" si="1944"/>
        <v>0</v>
      </c>
      <c r="V1330" s="1423">
        <f t="shared" ca="1" si="1945"/>
        <v>0</v>
      </c>
      <c r="W1330" s="1423">
        <f t="shared" ca="1" si="1946"/>
        <v>0</v>
      </c>
      <c r="X1330" s="202"/>
      <c r="Y1330" s="202"/>
      <c r="Z1330" s="202"/>
      <c r="AA1330" s="152"/>
      <c r="AB1330" s="152"/>
    </row>
    <row r="1331" spans="1:28" hidden="1" outlineLevel="1">
      <c r="A1331" s="199">
        <f t="shared" si="1947"/>
        <v>16</v>
      </c>
      <c r="B1331" s="190" t="str">
        <f t="shared" ca="1" si="1948"/>
        <v>Depreciated Net Capex 2031-32</v>
      </c>
      <c r="C1331" s="1426"/>
      <c r="D1331" s="1426"/>
      <c r="E1331" s="1426"/>
      <c r="F1331" s="1426"/>
      <c r="G1331" s="1426"/>
      <c r="H1331" s="1426"/>
      <c r="I1331" s="1426"/>
      <c r="J1331" s="1426"/>
      <c r="K1331" s="1426"/>
      <c r="L1331" s="1426"/>
      <c r="M1331" s="1426"/>
      <c r="N1331" s="1426"/>
      <c r="O1331" s="1426"/>
      <c r="P1331" s="1426"/>
      <c r="Q1331" s="1426"/>
      <c r="R1331" s="1427"/>
      <c r="S1331" s="1428">
        <f>(S1310*((1+S$11)^0.5)/S$10)</f>
        <v>0</v>
      </c>
      <c r="T1331" s="1423">
        <f ca="1">IF(S1355="n/a",S1331,IFERROR(IF((OFFSET($C1331,0,$A1331))&lt;0,
MIN(0,S1331-(OFFSET($C1331,0,$A1331)/(OFFSET($C1326,-$A1330,$A1331)))),
MAX(0,S1331-(OFFSET($C1331,0,$A1331)/(OFFSET($C1326,-$A1330,$A1331))))),0))</f>
        <v>0</v>
      </c>
      <c r="U1331" s="1423">
        <f t="shared" ca="1" si="1944"/>
        <v>0</v>
      </c>
      <c r="V1331" s="1423">
        <f t="shared" ca="1" si="1945"/>
        <v>0</v>
      </c>
      <c r="W1331" s="1423">
        <f t="shared" ca="1" si="1946"/>
        <v>0</v>
      </c>
      <c r="X1331" s="202"/>
      <c r="Y1331" s="202"/>
      <c r="Z1331" s="202"/>
      <c r="AA1331" s="152"/>
      <c r="AB1331" s="152"/>
    </row>
    <row r="1332" spans="1:28" hidden="1" outlineLevel="1">
      <c r="A1332" s="199">
        <f t="shared" si="1947"/>
        <v>17</v>
      </c>
      <c r="B1332" s="190" t="str">
        <f t="shared" ca="1" si="1948"/>
        <v>Depreciated Net Capex 2032-33</v>
      </c>
      <c r="C1332" s="1426"/>
      <c r="D1332" s="1426"/>
      <c r="E1332" s="1426"/>
      <c r="F1332" s="1426"/>
      <c r="G1332" s="1426"/>
      <c r="H1332" s="1426"/>
      <c r="I1332" s="1426"/>
      <c r="J1332" s="1426"/>
      <c r="K1332" s="1426"/>
      <c r="L1332" s="1426"/>
      <c r="M1332" s="1426"/>
      <c r="N1332" s="1426"/>
      <c r="O1332" s="1426"/>
      <c r="P1332" s="1426"/>
      <c r="Q1332" s="1426"/>
      <c r="R1332" s="1426"/>
      <c r="S1332" s="1427"/>
      <c r="T1332" s="1428">
        <f>(T1310*((1+T$11)^0.5)/T$10)</f>
        <v>0</v>
      </c>
      <c r="U1332" s="1423">
        <f ca="1">IF(T1356="n/a",T1332,IFERROR(IF((OFFSET($C1332,0,$A1332))&lt;0,
MIN(0,T1332-(OFFSET($C1332,0,$A1332)/(OFFSET($C1327,-$A1331,$A1332)))),
MAX(0,T1332-(OFFSET($C1332,0,$A1332)/(OFFSET($C1327,-$A1331,$A1332))))),0))</f>
        <v>0</v>
      </c>
      <c r="V1332" s="1423">
        <f t="shared" ca="1" si="1945"/>
        <v>0</v>
      </c>
      <c r="W1332" s="1423">
        <f t="shared" ca="1" si="1946"/>
        <v>0</v>
      </c>
      <c r="X1332" s="202"/>
      <c r="Y1332" s="202"/>
      <c r="Z1332" s="202"/>
      <c r="AA1332" s="152"/>
      <c r="AB1332" s="152"/>
    </row>
    <row r="1333" spans="1:28" hidden="1" outlineLevel="1">
      <c r="A1333" s="199">
        <f t="shared" si="1947"/>
        <v>18</v>
      </c>
      <c r="B1333" s="190" t="str">
        <f t="shared" ca="1" si="1948"/>
        <v>Depreciated Net Capex 2033-34</v>
      </c>
      <c r="C1333" s="1426"/>
      <c r="D1333" s="1426"/>
      <c r="E1333" s="1426"/>
      <c r="F1333" s="1426"/>
      <c r="G1333" s="1426"/>
      <c r="H1333" s="1426"/>
      <c r="I1333" s="1426"/>
      <c r="J1333" s="1426"/>
      <c r="K1333" s="1426"/>
      <c r="L1333" s="1426"/>
      <c r="M1333" s="1426"/>
      <c r="N1333" s="1426"/>
      <c r="O1333" s="1426"/>
      <c r="P1333" s="1426"/>
      <c r="Q1333" s="1426"/>
      <c r="R1333" s="1426"/>
      <c r="S1333" s="1426"/>
      <c r="T1333" s="1427"/>
      <c r="U1333" s="1428">
        <f>(U1310*((1+U$11)^0.5)/U$10)</f>
        <v>0</v>
      </c>
      <c r="V1333" s="1423">
        <f ca="1">IF(U1357="n/a",U1333,IFERROR(IF((OFFSET($C1333,0,$A1333))&lt;0,
MIN(0,U1333-(OFFSET($C1333,0,$A1333)/(OFFSET($C1328,-$A1332,$A1333)))),
MAX(0,U1333-(OFFSET($C1333,0,$A1333)/(OFFSET($C1328,-$A1332,$A1333))))),0))</f>
        <v>0</v>
      </c>
      <c r="W1333" s="1423">
        <f t="shared" ca="1" si="1946"/>
        <v>0</v>
      </c>
      <c r="X1333" s="202"/>
      <c r="Y1333" s="202"/>
      <c r="Z1333" s="202"/>
      <c r="AA1333" s="152"/>
      <c r="AB1333" s="152"/>
    </row>
    <row r="1334" spans="1:28" hidden="1" outlineLevel="1">
      <c r="A1334" s="199">
        <f t="shared" si="1947"/>
        <v>19</v>
      </c>
      <c r="B1334" s="190" t="str">
        <f t="shared" ca="1" si="1948"/>
        <v>Depreciated Net Capex 2034-35</v>
      </c>
      <c r="C1334" s="1426"/>
      <c r="D1334" s="1426"/>
      <c r="E1334" s="1426"/>
      <c r="F1334" s="1426"/>
      <c r="G1334" s="1426"/>
      <c r="H1334" s="1426"/>
      <c r="I1334" s="1426"/>
      <c r="J1334" s="1426"/>
      <c r="K1334" s="1426"/>
      <c r="L1334" s="1426"/>
      <c r="M1334" s="1426"/>
      <c r="N1334" s="1426"/>
      <c r="O1334" s="1426"/>
      <c r="P1334" s="1426"/>
      <c r="Q1334" s="1426"/>
      <c r="R1334" s="1426"/>
      <c r="S1334" s="1426"/>
      <c r="T1334" s="1426"/>
      <c r="U1334" s="1427"/>
      <c r="V1334" s="1428">
        <f>(V1310*((1+V$11)^0.5)/V$10)</f>
        <v>0</v>
      </c>
      <c r="W1334" s="1423">
        <f ca="1">IF(V1358="n/a",V1334,IFERROR(IF((OFFSET($C1334,0,$A1334))&lt;0,
MIN(0,V1334-(OFFSET($C1334,0,$A1334)/(OFFSET($C1329,-$A1333,$A1334)))),
MAX(0,V1334-(OFFSET($C1334,0,$A1334)/(OFFSET($C1329,-$A1333,$A1334))))),0))</f>
        <v>0</v>
      </c>
      <c r="X1334" s="202"/>
      <c r="Y1334" s="202"/>
      <c r="Z1334" s="202"/>
      <c r="AA1334" s="152"/>
      <c r="AB1334" s="152"/>
    </row>
    <row r="1335" spans="1:28" hidden="1" outlineLevel="1">
      <c r="A1335" s="199">
        <f t="shared" si="1947"/>
        <v>20</v>
      </c>
      <c r="B1335" s="190" t="str">
        <f ca="1">"Depreciated Net Capex "&amp;OFFSET($C$6,0,A1335)</f>
        <v>Depreciated Net Capex 2035-36</v>
      </c>
      <c r="C1335" s="1426"/>
      <c r="D1335" s="1426"/>
      <c r="E1335" s="1426"/>
      <c r="F1335" s="1426"/>
      <c r="G1335" s="1426"/>
      <c r="H1335" s="1426"/>
      <c r="I1335" s="1426"/>
      <c r="J1335" s="1426"/>
      <c r="K1335" s="1426"/>
      <c r="L1335" s="1426"/>
      <c r="M1335" s="1426"/>
      <c r="N1335" s="1426"/>
      <c r="O1335" s="1426"/>
      <c r="P1335" s="1426"/>
      <c r="Q1335" s="1426"/>
      <c r="R1335" s="1426"/>
      <c r="S1335" s="1426"/>
      <c r="T1335" s="1426"/>
      <c r="U1335" s="1426"/>
      <c r="V1335" s="1427"/>
      <c r="W1335" s="1423">
        <f>(W1310*((1+W$11)^0.5)/W$10)</f>
        <v>0</v>
      </c>
      <c r="X1335" s="152"/>
      <c r="Y1335" s="152"/>
      <c r="Z1335" s="152"/>
      <c r="AA1335" s="152"/>
      <c r="AB1335" s="152"/>
    </row>
    <row r="1336" spans="1:28" hidden="1" outlineLevel="1">
      <c r="A1336" s="152"/>
      <c r="B1336" s="200"/>
      <c r="C1336" s="1423"/>
      <c r="D1336" s="1423"/>
      <c r="E1336" s="1423"/>
      <c r="F1336" s="1423"/>
      <c r="G1336" s="1423"/>
      <c r="H1336" s="1423"/>
      <c r="I1336" s="1423"/>
      <c r="J1336" s="1423"/>
      <c r="K1336" s="1423"/>
      <c r="L1336" s="1423"/>
      <c r="M1336" s="1423"/>
      <c r="N1336" s="1423"/>
      <c r="O1336" s="1423"/>
      <c r="P1336" s="1423"/>
      <c r="Q1336" s="1423"/>
      <c r="R1336" s="1423"/>
      <c r="S1336" s="1423"/>
      <c r="T1336" s="1423"/>
      <c r="U1336" s="1423"/>
      <c r="V1336" s="1423"/>
      <c r="W1336" s="1423"/>
      <c r="X1336" s="152"/>
      <c r="Y1336" s="152"/>
      <c r="Z1336" s="152"/>
      <c r="AA1336" s="152"/>
      <c r="AB1336" s="152"/>
    </row>
    <row r="1337" spans="1:28" hidden="1" outlineLevel="1">
      <c r="A1337" s="152"/>
      <c r="B1337" s="200"/>
      <c r="C1337" s="1423"/>
      <c r="D1337" s="1423"/>
      <c r="E1337" s="1423"/>
      <c r="F1337" s="1423"/>
      <c r="G1337" s="1423"/>
      <c r="H1337" s="1423"/>
      <c r="I1337" s="1423"/>
      <c r="J1337" s="1423"/>
      <c r="K1337" s="1423"/>
      <c r="L1337" s="1423"/>
      <c r="M1337" s="1423"/>
      <c r="N1337" s="1423"/>
      <c r="O1337" s="1423"/>
      <c r="P1337" s="1423"/>
      <c r="Q1337" s="1423"/>
      <c r="R1337" s="1423"/>
      <c r="S1337" s="1423"/>
      <c r="T1337" s="1423"/>
      <c r="U1337" s="1423"/>
      <c r="V1337" s="1423"/>
      <c r="W1337" s="1423"/>
      <c r="X1337" s="152"/>
      <c r="Y1337" s="152"/>
      <c r="Z1337" s="152"/>
      <c r="AA1337" s="152"/>
      <c r="AB1337" s="152"/>
    </row>
    <row r="1338" spans="1:28" hidden="1" outlineLevel="1">
      <c r="A1338" s="152"/>
      <c r="B1338" s="190" t="s">
        <v>190</v>
      </c>
      <c r="C1338" s="1423"/>
      <c r="D1338" s="1423">
        <f ca="1">IF(AND(C1338&lt;1,D1312=0),0,
IF(D1312=0,C1338-1,
IF(C1338&lt;1,D1313,
(((C1338-1)*(C1314-(C1314/(C1338))))+((D1312/D$10)*D1313))/(D1314))))</f>
        <v>0</v>
      </c>
      <c r="E1338" s="1423">
        <f t="shared" ref="E1338" ca="1" si="1949">IF(AND(D1338&lt;1,E1312=0),0,
IF(E1312=0,D1338-1,
IF(D1338&lt;1,E1313,
(((D1338-1)*(D1314-(D1314/(D1338))))+((E1312/E$10)*E1313))/(E1314))))</f>
        <v>0</v>
      </c>
      <c r="F1338" s="1423">
        <f t="shared" ref="F1338" ca="1" si="1950">IF(AND(E1338&lt;1,F1312=0),0,
IF(F1312=0,E1338-1,
IF(E1338&lt;1,F1313,
(((E1338-1)*(E1314-(E1314/(E1338))))+((F1312/F$10)*F1313))/(F1314))))</f>
        <v>0</v>
      </c>
      <c r="G1338" s="1423">
        <f t="shared" ref="G1338" ca="1" si="1951">IF(AND(F1338&lt;1,G1312=0),0,
IF(G1312=0,F1338-1,
IF(F1338&lt;1,G1313,
(((F1338-1)*(F1314-(F1314/(F1338))))+((G1312/G$10)*G1313))/(G1314))))</f>
        <v>0</v>
      </c>
      <c r="H1338" s="1423">
        <f t="shared" ref="H1338" ca="1" si="1952">IF(AND(G1338&lt;1,H1312=0),0,
IF(H1312=0,G1338-1,
IF(G1338&lt;1,H1313,
(((G1338-1)*(G1314-(G1314/(G1338))))+((H1312/H$10)*H1313))/(H1314))))</f>
        <v>0</v>
      </c>
      <c r="I1338" s="1423">
        <f t="shared" ref="I1338" ca="1" si="1953">IF(AND(H1338&lt;1,I1312=0),0,
IF(I1312=0,H1338-1,
IF(H1338&lt;1,I1313,
(((H1338-1)*(H1314-(H1314/(H1338))))+((I1312/I$10)*I1313))/(I1314))))</f>
        <v>0</v>
      </c>
      <c r="J1338" s="1423">
        <f t="shared" ref="J1338" ca="1" si="1954">IF(AND(I1338&lt;1,J1312=0),0,
IF(J1312=0,I1338-1,
IF(I1338&lt;1,J1313,
(((I1338-1)*(I1314-(I1314/(I1338))))+((J1312/J$10)*J1313))/(J1314))))</f>
        <v>0</v>
      </c>
      <c r="K1338" s="1423">
        <f t="shared" ref="K1338" ca="1" si="1955">IF(AND(J1338&lt;1,K1312=0),0,
IF(K1312=0,J1338-1,
IF(J1338&lt;1,K1313,
(((J1338-1)*(J1314-(J1314/(J1338))))+((K1312/K$10)*K1313))/(K1314))))</f>
        <v>0</v>
      </c>
      <c r="L1338" s="1423">
        <f t="shared" ref="L1338" ca="1" si="1956">IF(AND(K1338&lt;1,L1312=0),0,
IF(L1312=0,K1338-1,
IF(K1338&lt;1,L1313,
(((K1338-1)*(K1314-(K1314/(K1338))))+((L1312/L$10)*L1313))/(L1314))))</f>
        <v>0</v>
      </c>
      <c r="M1338" s="1423">
        <f t="shared" ref="M1338" ca="1" si="1957">IF(AND(L1338&lt;1,M1312=0),0,
IF(M1312=0,L1338-1,
IF(L1338&lt;1,M1313,
(((L1338-1)*(L1314-(L1314/(L1338))))+((M1312/M$10)*M1313))/(M1314))))</f>
        <v>0</v>
      </c>
      <c r="N1338" s="1423">
        <f t="shared" ref="N1338" ca="1" si="1958">IF(AND(M1338&lt;1,N1312=0),0,
IF(N1312=0,M1338-1,
IF(M1338&lt;1,N1313,
(((M1338-1)*(M1314-(M1314/(M1338))))+((N1312/N$10)*N1313))/(N1314))))</f>
        <v>0</v>
      </c>
      <c r="O1338" s="1423">
        <f t="shared" ref="O1338" ca="1" si="1959">IF(AND(N1338&lt;1,O1312=0),0,
IF(O1312=0,N1338-1,
IF(N1338&lt;1,O1313,
(((N1338-1)*(N1314-(N1314/(N1338))))+((O1312/O$10)*O1313))/(O1314))))</f>
        <v>0</v>
      </c>
      <c r="P1338" s="1423">
        <f t="shared" ref="P1338" ca="1" si="1960">IF(AND(O1338&lt;1,P1312=0),0,
IF(P1312=0,O1338-1,
IF(O1338&lt;1,P1313,
(((O1338-1)*(O1314-(O1314/(O1338))))+((P1312/P$10)*P1313))/(P1314))))</f>
        <v>0</v>
      </c>
      <c r="Q1338" s="1423">
        <f t="shared" ref="Q1338" ca="1" si="1961">IF(AND(P1338&lt;1,Q1312=0),0,
IF(Q1312=0,P1338-1,
IF(P1338&lt;1,Q1313,
(((P1338-1)*(P1314-(P1314/(P1338))))+((Q1312/Q$10)*Q1313))/(Q1314))))</f>
        <v>0</v>
      </c>
      <c r="R1338" s="1423">
        <f t="shared" ref="R1338" ca="1" si="1962">IF(AND(Q1338&lt;1,R1312=0),0,
IF(R1312=0,Q1338-1,
IF(Q1338&lt;1,R1313,
(((Q1338-1)*(Q1314-(Q1314/(Q1338))))+((R1312/R$10)*R1313))/(R1314))))</f>
        <v>0</v>
      </c>
      <c r="S1338" s="1423">
        <f t="shared" ref="S1338" ca="1" si="1963">IF(AND(R1338&lt;1,S1312=0),0,
IF(S1312=0,R1338-1,
IF(R1338&lt;1,S1313,
(((R1338-1)*(R1314-(R1314/(R1338))))+((S1312/S$10)*S1313))/(S1314))))</f>
        <v>0</v>
      </c>
      <c r="T1338" s="1423">
        <f t="shared" ref="T1338" ca="1" si="1964">IF(AND(S1338&lt;1,T1312=0),0,
IF(T1312=0,S1338-1,
IF(S1338&lt;1,T1313,
(((S1338-1)*(S1314-(S1314/(S1338))))+((T1312/T$10)*T1313))/(T1314))))</f>
        <v>0</v>
      </c>
      <c r="U1338" s="1423">
        <f t="shared" ref="U1338" ca="1" si="1965">IF(AND(T1338&lt;1,U1312=0),0,
IF(U1312=0,T1338-1,
IF(T1338&lt;1,U1313,
(((T1338-1)*(T1314-(T1314/(T1338))))+((U1312/U$10)*U1313))/(U1314))))</f>
        <v>0</v>
      </c>
      <c r="V1338" s="1423">
        <f t="shared" ref="V1338" ca="1" si="1966">IF(AND(U1338&lt;1,V1312=0),0,
IF(V1312=0,U1338-1,
IF(U1338&lt;1,V1313,
(((U1338-1)*(U1314-(U1314/(U1338))))+((V1312/V$10)*V1313))/(V1314))))</f>
        <v>0</v>
      </c>
      <c r="W1338" s="1423">
        <f t="shared" ref="W1338" ca="1" si="1967">IF(AND(V1338&lt;1,W1312=0),0,
IF(W1312=0,V1338-1,
IF(V1338&lt;1,W1313,
(((V1338-1)*(V1314-(V1314/(V1338))))+((W1312/W$10)*W1313))/(W1314))))</f>
        <v>0</v>
      </c>
      <c r="X1338" s="152"/>
      <c r="Y1338" s="152"/>
      <c r="Z1338" s="152"/>
      <c r="AA1338" s="152"/>
      <c r="AB1338" s="152"/>
    </row>
    <row r="1339" spans="1:28" hidden="1" outlineLevel="1">
      <c r="A1339" s="152"/>
      <c r="B1339" s="190" t="s">
        <v>122</v>
      </c>
      <c r="C1339" s="1423">
        <f ca="1">C1311</f>
        <v>0</v>
      </c>
      <c r="D1339" s="1423">
        <f t="shared" ref="D1339" ca="1" si="1968">IF(C1339="n/a","n/a",MAX(0,C1339-1))</f>
        <v>0</v>
      </c>
      <c r="E1339" s="1423">
        <f t="shared" ref="E1339:E1340" ca="1" si="1969">IF(D1339="n/a","n/a",MAX(0,D1339-1))</f>
        <v>0</v>
      </c>
      <c r="F1339" s="1423">
        <f t="shared" ref="F1339:F1341" ca="1" si="1970">IF(E1339="n/a","n/a",MAX(0,E1339-1))</f>
        <v>0</v>
      </c>
      <c r="G1339" s="1423">
        <f t="shared" ref="G1339:G1342" ca="1" si="1971">IF(F1339="n/a","n/a",MAX(0,F1339-1))</f>
        <v>0</v>
      </c>
      <c r="H1339" s="1423">
        <f t="shared" ref="H1339:H1343" ca="1" si="1972">IF(G1339="n/a","n/a",MAX(0,G1339-1))</f>
        <v>0</v>
      </c>
      <c r="I1339" s="1423">
        <f t="shared" ref="I1339:I1344" ca="1" si="1973">IF(H1339="n/a","n/a",MAX(0,H1339-1))</f>
        <v>0</v>
      </c>
      <c r="J1339" s="1423">
        <f t="shared" ref="J1339:J1345" ca="1" si="1974">IF(I1339="n/a","n/a",MAX(0,I1339-1))</f>
        <v>0</v>
      </c>
      <c r="K1339" s="1423">
        <f t="shared" ref="K1339:K1346" ca="1" si="1975">IF(J1339="n/a","n/a",MAX(0,J1339-1))</f>
        <v>0</v>
      </c>
      <c r="L1339" s="1423">
        <f t="shared" ref="L1339:L1347" ca="1" si="1976">IF(K1339="n/a","n/a",MAX(0,K1339-1))</f>
        <v>0</v>
      </c>
      <c r="M1339" s="1423">
        <f t="shared" ref="M1339:M1348" ca="1" si="1977">IF(L1339="n/a","n/a",MAX(0,L1339-1))</f>
        <v>0</v>
      </c>
      <c r="N1339" s="1423">
        <f t="shared" ref="N1339:N1349" ca="1" si="1978">IF(M1339="n/a","n/a",MAX(0,M1339-1))</f>
        <v>0</v>
      </c>
      <c r="O1339" s="1423">
        <f t="shared" ref="O1339:O1350" ca="1" si="1979">IF(N1339="n/a","n/a",MAX(0,N1339-1))</f>
        <v>0</v>
      </c>
      <c r="P1339" s="1423">
        <f t="shared" ref="P1339:P1351" ca="1" si="1980">IF(O1339="n/a","n/a",MAX(0,O1339-1))</f>
        <v>0</v>
      </c>
      <c r="Q1339" s="1423">
        <f t="shared" ref="Q1339:Q1352" ca="1" si="1981">IF(P1339="n/a","n/a",MAX(0,P1339-1))</f>
        <v>0</v>
      </c>
      <c r="R1339" s="1423">
        <f t="shared" ref="R1339:R1353" ca="1" si="1982">IF(Q1339="n/a","n/a",MAX(0,Q1339-1))</f>
        <v>0</v>
      </c>
      <c r="S1339" s="1423">
        <f t="shared" ref="S1339:S1354" ca="1" si="1983">IF(R1339="n/a","n/a",MAX(0,R1339-1))</f>
        <v>0</v>
      </c>
      <c r="T1339" s="1423">
        <f t="shared" ref="T1339:T1355" ca="1" si="1984">IF(S1339="n/a","n/a",MAX(0,S1339-1))</f>
        <v>0</v>
      </c>
      <c r="U1339" s="1423">
        <f t="shared" ref="U1339:U1356" ca="1" si="1985">IF(T1339="n/a","n/a",MAX(0,T1339-1))</f>
        <v>0</v>
      </c>
      <c r="V1339" s="1423">
        <f t="shared" ref="V1339:V1357" ca="1" si="1986">IF(U1339="n/a","n/a",MAX(0,U1339-1))</f>
        <v>0</v>
      </c>
      <c r="W1339" s="1423">
        <f t="shared" ref="W1339:W1357" ca="1" si="1987">IF(V1339="n/a","n/a",MAX(0,V1339-1))</f>
        <v>0</v>
      </c>
      <c r="X1339" s="152"/>
      <c r="Y1339" s="152"/>
      <c r="Z1339" s="152"/>
      <c r="AA1339" s="152"/>
      <c r="AB1339" s="152"/>
    </row>
    <row r="1340" spans="1:28" hidden="1" outlineLevel="1">
      <c r="A1340" s="152"/>
      <c r="B1340" s="190" t="str">
        <f t="shared" ref="B1340:B1359" ca="1" si="1988">"RL Capex "&amp;OFFSET($C$6,0,A1316)</f>
        <v>RL Capex 2016-17</v>
      </c>
      <c r="C1340" s="1424"/>
      <c r="D1340" s="1428">
        <f>D1311</f>
        <v>0</v>
      </c>
      <c r="E1340" s="1423">
        <f t="shared" si="1969"/>
        <v>0</v>
      </c>
      <c r="F1340" s="1423">
        <f t="shared" si="1970"/>
        <v>0</v>
      </c>
      <c r="G1340" s="1423">
        <f t="shared" si="1971"/>
        <v>0</v>
      </c>
      <c r="H1340" s="1423">
        <f t="shared" si="1972"/>
        <v>0</v>
      </c>
      <c r="I1340" s="1423">
        <f t="shared" si="1973"/>
        <v>0</v>
      </c>
      <c r="J1340" s="1423">
        <f t="shared" si="1974"/>
        <v>0</v>
      </c>
      <c r="K1340" s="1423">
        <f t="shared" si="1975"/>
        <v>0</v>
      </c>
      <c r="L1340" s="1423">
        <f t="shared" si="1976"/>
        <v>0</v>
      </c>
      <c r="M1340" s="1423">
        <f t="shared" si="1977"/>
        <v>0</v>
      </c>
      <c r="N1340" s="1423">
        <f t="shared" si="1978"/>
        <v>0</v>
      </c>
      <c r="O1340" s="1423">
        <f t="shared" si="1979"/>
        <v>0</v>
      </c>
      <c r="P1340" s="1423">
        <f t="shared" si="1980"/>
        <v>0</v>
      </c>
      <c r="Q1340" s="1423">
        <f t="shared" si="1981"/>
        <v>0</v>
      </c>
      <c r="R1340" s="1423">
        <f t="shared" si="1982"/>
        <v>0</v>
      </c>
      <c r="S1340" s="1423">
        <f t="shared" si="1983"/>
        <v>0</v>
      </c>
      <c r="T1340" s="1423">
        <f t="shared" si="1984"/>
        <v>0</v>
      </c>
      <c r="U1340" s="1423">
        <f t="shared" si="1985"/>
        <v>0</v>
      </c>
      <c r="V1340" s="1423">
        <f t="shared" si="1986"/>
        <v>0</v>
      </c>
      <c r="W1340" s="1423">
        <f t="shared" si="1987"/>
        <v>0</v>
      </c>
      <c r="X1340" s="152"/>
      <c r="Y1340" s="152"/>
      <c r="Z1340" s="152"/>
      <c r="AA1340" s="152"/>
      <c r="AB1340" s="152"/>
    </row>
    <row r="1341" spans="1:28" hidden="1" outlineLevel="1">
      <c r="A1341" s="152"/>
      <c r="B1341" s="190" t="str">
        <f t="shared" ca="1" si="1988"/>
        <v>RL Capex 2017-18</v>
      </c>
      <c r="C1341" s="1429"/>
      <c r="D1341" s="1424"/>
      <c r="E1341" s="1428">
        <f>E1311</f>
        <v>0</v>
      </c>
      <c r="F1341" s="1423">
        <f t="shared" si="1970"/>
        <v>0</v>
      </c>
      <c r="G1341" s="1423">
        <f t="shared" si="1971"/>
        <v>0</v>
      </c>
      <c r="H1341" s="1423">
        <f t="shared" si="1972"/>
        <v>0</v>
      </c>
      <c r="I1341" s="1423">
        <f t="shared" si="1973"/>
        <v>0</v>
      </c>
      <c r="J1341" s="1423">
        <f t="shared" si="1974"/>
        <v>0</v>
      </c>
      <c r="K1341" s="1423">
        <f t="shared" si="1975"/>
        <v>0</v>
      </c>
      <c r="L1341" s="1423">
        <f t="shared" si="1976"/>
        <v>0</v>
      </c>
      <c r="M1341" s="1423">
        <f t="shared" si="1977"/>
        <v>0</v>
      </c>
      <c r="N1341" s="1423">
        <f t="shared" si="1978"/>
        <v>0</v>
      </c>
      <c r="O1341" s="1423">
        <f t="shared" si="1979"/>
        <v>0</v>
      </c>
      <c r="P1341" s="1423">
        <f t="shared" si="1980"/>
        <v>0</v>
      </c>
      <c r="Q1341" s="1423">
        <f t="shared" si="1981"/>
        <v>0</v>
      </c>
      <c r="R1341" s="1423">
        <f t="shared" si="1982"/>
        <v>0</v>
      </c>
      <c r="S1341" s="1423">
        <f t="shared" si="1983"/>
        <v>0</v>
      </c>
      <c r="T1341" s="1423">
        <f t="shared" si="1984"/>
        <v>0</v>
      </c>
      <c r="U1341" s="1423">
        <f t="shared" si="1985"/>
        <v>0</v>
      </c>
      <c r="V1341" s="1423">
        <f t="shared" si="1986"/>
        <v>0</v>
      </c>
      <c r="W1341" s="1423">
        <f t="shared" si="1987"/>
        <v>0</v>
      </c>
      <c r="X1341" s="152"/>
      <c r="Y1341" s="152"/>
      <c r="Z1341" s="152"/>
      <c r="AA1341" s="152"/>
      <c r="AB1341" s="152"/>
    </row>
    <row r="1342" spans="1:28" hidden="1" outlineLevel="1">
      <c r="A1342" s="152"/>
      <c r="B1342" s="190" t="str">
        <f t="shared" ca="1" si="1988"/>
        <v>RL Capex 2018-19</v>
      </c>
      <c r="C1342" s="1429"/>
      <c r="D1342" s="1429"/>
      <c r="E1342" s="1424"/>
      <c r="F1342" s="1428">
        <f>F1311</f>
        <v>0</v>
      </c>
      <c r="G1342" s="1423">
        <f t="shared" si="1971"/>
        <v>0</v>
      </c>
      <c r="H1342" s="1423">
        <f t="shared" si="1972"/>
        <v>0</v>
      </c>
      <c r="I1342" s="1423">
        <f t="shared" si="1973"/>
        <v>0</v>
      </c>
      <c r="J1342" s="1423">
        <f t="shared" si="1974"/>
        <v>0</v>
      </c>
      <c r="K1342" s="1423">
        <f t="shared" si="1975"/>
        <v>0</v>
      </c>
      <c r="L1342" s="1423">
        <f t="shared" si="1976"/>
        <v>0</v>
      </c>
      <c r="M1342" s="1423">
        <f t="shared" si="1977"/>
        <v>0</v>
      </c>
      <c r="N1342" s="1423">
        <f t="shared" si="1978"/>
        <v>0</v>
      </c>
      <c r="O1342" s="1423">
        <f t="shared" si="1979"/>
        <v>0</v>
      </c>
      <c r="P1342" s="1423">
        <f t="shared" si="1980"/>
        <v>0</v>
      </c>
      <c r="Q1342" s="1423">
        <f t="shared" si="1981"/>
        <v>0</v>
      </c>
      <c r="R1342" s="1423">
        <f t="shared" si="1982"/>
        <v>0</v>
      </c>
      <c r="S1342" s="1423">
        <f t="shared" si="1983"/>
        <v>0</v>
      </c>
      <c r="T1342" s="1423">
        <f t="shared" si="1984"/>
        <v>0</v>
      </c>
      <c r="U1342" s="1423">
        <f t="shared" si="1985"/>
        <v>0</v>
      </c>
      <c r="V1342" s="1423">
        <f t="shared" si="1986"/>
        <v>0</v>
      </c>
      <c r="W1342" s="1423">
        <f t="shared" si="1987"/>
        <v>0</v>
      </c>
      <c r="X1342" s="152"/>
      <c r="Y1342" s="152"/>
      <c r="Z1342" s="152"/>
      <c r="AA1342" s="152"/>
      <c r="AB1342" s="152"/>
    </row>
    <row r="1343" spans="1:28" hidden="1" outlineLevel="1">
      <c r="A1343" s="152"/>
      <c r="B1343" s="190" t="str">
        <f t="shared" ca="1" si="1988"/>
        <v>RL Capex 2019-20</v>
      </c>
      <c r="C1343" s="1429"/>
      <c r="D1343" s="1429"/>
      <c r="E1343" s="1429"/>
      <c r="F1343" s="1424"/>
      <c r="G1343" s="1428">
        <f>G1311</f>
        <v>0</v>
      </c>
      <c r="H1343" s="1423">
        <f t="shared" si="1972"/>
        <v>0</v>
      </c>
      <c r="I1343" s="1423">
        <f t="shared" si="1973"/>
        <v>0</v>
      </c>
      <c r="J1343" s="1423">
        <f t="shared" si="1974"/>
        <v>0</v>
      </c>
      <c r="K1343" s="1423">
        <f t="shared" si="1975"/>
        <v>0</v>
      </c>
      <c r="L1343" s="1423">
        <f t="shared" si="1976"/>
        <v>0</v>
      </c>
      <c r="M1343" s="1423">
        <f t="shared" si="1977"/>
        <v>0</v>
      </c>
      <c r="N1343" s="1423">
        <f t="shared" si="1978"/>
        <v>0</v>
      </c>
      <c r="O1343" s="1423">
        <f t="shared" si="1979"/>
        <v>0</v>
      </c>
      <c r="P1343" s="1423">
        <f t="shared" si="1980"/>
        <v>0</v>
      </c>
      <c r="Q1343" s="1423">
        <f t="shared" si="1981"/>
        <v>0</v>
      </c>
      <c r="R1343" s="1423">
        <f t="shared" si="1982"/>
        <v>0</v>
      </c>
      <c r="S1343" s="1423">
        <f t="shared" si="1983"/>
        <v>0</v>
      </c>
      <c r="T1343" s="1423">
        <f t="shared" si="1984"/>
        <v>0</v>
      </c>
      <c r="U1343" s="1423">
        <f t="shared" si="1985"/>
        <v>0</v>
      </c>
      <c r="V1343" s="1423">
        <f t="shared" si="1986"/>
        <v>0</v>
      </c>
      <c r="W1343" s="1423">
        <f t="shared" si="1987"/>
        <v>0</v>
      </c>
      <c r="X1343" s="152"/>
      <c r="Y1343" s="152"/>
      <c r="Z1343" s="152"/>
      <c r="AA1343" s="152"/>
      <c r="AB1343" s="152"/>
    </row>
    <row r="1344" spans="1:28" hidden="1" outlineLevel="1">
      <c r="A1344" s="152"/>
      <c r="B1344" s="190" t="str">
        <f t="shared" ca="1" si="1988"/>
        <v>RL Capex 2020-21</v>
      </c>
      <c r="C1344" s="1429"/>
      <c r="D1344" s="1429"/>
      <c r="E1344" s="1429"/>
      <c r="F1344" s="1429"/>
      <c r="G1344" s="1424"/>
      <c r="H1344" s="1428">
        <f>H1311</f>
        <v>0</v>
      </c>
      <c r="I1344" s="1423">
        <f t="shared" si="1973"/>
        <v>0</v>
      </c>
      <c r="J1344" s="1423">
        <f t="shared" si="1974"/>
        <v>0</v>
      </c>
      <c r="K1344" s="1423">
        <f t="shared" si="1975"/>
        <v>0</v>
      </c>
      <c r="L1344" s="1423">
        <f t="shared" si="1976"/>
        <v>0</v>
      </c>
      <c r="M1344" s="1423">
        <f t="shared" si="1977"/>
        <v>0</v>
      </c>
      <c r="N1344" s="1423">
        <f t="shared" si="1978"/>
        <v>0</v>
      </c>
      <c r="O1344" s="1423">
        <f t="shared" si="1979"/>
        <v>0</v>
      </c>
      <c r="P1344" s="1423">
        <f t="shared" si="1980"/>
        <v>0</v>
      </c>
      <c r="Q1344" s="1423">
        <f t="shared" si="1981"/>
        <v>0</v>
      </c>
      <c r="R1344" s="1423">
        <f t="shared" si="1982"/>
        <v>0</v>
      </c>
      <c r="S1344" s="1423">
        <f t="shared" si="1983"/>
        <v>0</v>
      </c>
      <c r="T1344" s="1423">
        <f t="shared" si="1984"/>
        <v>0</v>
      </c>
      <c r="U1344" s="1423">
        <f t="shared" si="1985"/>
        <v>0</v>
      </c>
      <c r="V1344" s="1423">
        <f t="shared" si="1986"/>
        <v>0</v>
      </c>
      <c r="W1344" s="1423">
        <f t="shared" si="1987"/>
        <v>0</v>
      </c>
      <c r="X1344" s="152"/>
      <c r="Y1344" s="152"/>
      <c r="Z1344" s="152"/>
      <c r="AA1344" s="152"/>
      <c r="AB1344" s="152"/>
    </row>
    <row r="1345" spans="1:28" hidden="1" outlineLevel="1">
      <c r="A1345" s="152"/>
      <c r="B1345" s="190" t="str">
        <f t="shared" ca="1" si="1988"/>
        <v>RL Capex 2021-22</v>
      </c>
      <c r="C1345" s="1429"/>
      <c r="D1345" s="1429"/>
      <c r="E1345" s="1429"/>
      <c r="F1345" s="1429"/>
      <c r="G1345" s="1429"/>
      <c r="H1345" s="1424"/>
      <c r="I1345" s="1428">
        <f>I1311</f>
        <v>0</v>
      </c>
      <c r="J1345" s="1423">
        <f t="shared" si="1974"/>
        <v>0</v>
      </c>
      <c r="K1345" s="1423">
        <f t="shared" si="1975"/>
        <v>0</v>
      </c>
      <c r="L1345" s="1423">
        <f t="shared" si="1976"/>
        <v>0</v>
      </c>
      <c r="M1345" s="1423">
        <f t="shared" si="1977"/>
        <v>0</v>
      </c>
      <c r="N1345" s="1423">
        <f t="shared" si="1978"/>
        <v>0</v>
      </c>
      <c r="O1345" s="1423">
        <f t="shared" si="1979"/>
        <v>0</v>
      </c>
      <c r="P1345" s="1423">
        <f t="shared" si="1980"/>
        <v>0</v>
      </c>
      <c r="Q1345" s="1423">
        <f t="shared" si="1981"/>
        <v>0</v>
      </c>
      <c r="R1345" s="1423">
        <f t="shared" si="1982"/>
        <v>0</v>
      </c>
      <c r="S1345" s="1423">
        <f t="shared" si="1983"/>
        <v>0</v>
      </c>
      <c r="T1345" s="1423">
        <f t="shared" si="1984"/>
        <v>0</v>
      </c>
      <c r="U1345" s="1423">
        <f t="shared" si="1985"/>
        <v>0</v>
      </c>
      <c r="V1345" s="1423">
        <f t="shared" si="1986"/>
        <v>0</v>
      </c>
      <c r="W1345" s="1423">
        <f t="shared" si="1987"/>
        <v>0</v>
      </c>
      <c r="X1345" s="152"/>
      <c r="Y1345" s="152"/>
      <c r="Z1345" s="152"/>
      <c r="AA1345" s="152"/>
      <c r="AB1345" s="152"/>
    </row>
    <row r="1346" spans="1:28" hidden="1" outlineLevel="1">
      <c r="A1346" s="152"/>
      <c r="B1346" s="190" t="str">
        <f t="shared" ca="1" si="1988"/>
        <v>RL Capex 2022-23</v>
      </c>
      <c r="C1346" s="1429"/>
      <c r="D1346" s="1429"/>
      <c r="E1346" s="1429"/>
      <c r="F1346" s="1429"/>
      <c r="G1346" s="1429"/>
      <c r="H1346" s="1429"/>
      <c r="I1346" s="1424"/>
      <c r="J1346" s="1428">
        <f>J1311</f>
        <v>0</v>
      </c>
      <c r="K1346" s="1423">
        <f t="shared" si="1975"/>
        <v>0</v>
      </c>
      <c r="L1346" s="1423">
        <f t="shared" si="1976"/>
        <v>0</v>
      </c>
      <c r="M1346" s="1423">
        <f t="shared" si="1977"/>
        <v>0</v>
      </c>
      <c r="N1346" s="1423">
        <f t="shared" si="1978"/>
        <v>0</v>
      </c>
      <c r="O1346" s="1423">
        <f t="shared" si="1979"/>
        <v>0</v>
      </c>
      <c r="P1346" s="1423">
        <f t="shared" si="1980"/>
        <v>0</v>
      </c>
      <c r="Q1346" s="1423">
        <f t="shared" si="1981"/>
        <v>0</v>
      </c>
      <c r="R1346" s="1423">
        <f t="shared" si="1982"/>
        <v>0</v>
      </c>
      <c r="S1346" s="1423">
        <f t="shared" si="1983"/>
        <v>0</v>
      </c>
      <c r="T1346" s="1423">
        <f t="shared" si="1984"/>
        <v>0</v>
      </c>
      <c r="U1346" s="1423">
        <f t="shared" si="1985"/>
        <v>0</v>
      </c>
      <c r="V1346" s="1423">
        <f t="shared" si="1986"/>
        <v>0</v>
      </c>
      <c r="W1346" s="1423">
        <f t="shared" si="1987"/>
        <v>0</v>
      </c>
      <c r="X1346" s="152"/>
      <c r="Y1346" s="152"/>
      <c r="Z1346" s="152"/>
      <c r="AA1346" s="152"/>
      <c r="AB1346" s="152"/>
    </row>
    <row r="1347" spans="1:28" hidden="1" outlineLevel="1">
      <c r="A1347" s="152"/>
      <c r="B1347" s="190" t="str">
        <f t="shared" ca="1" si="1988"/>
        <v>RL Capex 2023-24</v>
      </c>
      <c r="C1347" s="1429"/>
      <c r="D1347" s="1429"/>
      <c r="E1347" s="1429"/>
      <c r="F1347" s="1429"/>
      <c r="G1347" s="1429"/>
      <c r="H1347" s="1429"/>
      <c r="I1347" s="1429"/>
      <c r="J1347" s="1424"/>
      <c r="K1347" s="1428">
        <f>K1311</f>
        <v>0</v>
      </c>
      <c r="L1347" s="1423">
        <f t="shared" si="1976"/>
        <v>0</v>
      </c>
      <c r="M1347" s="1423">
        <f t="shared" si="1977"/>
        <v>0</v>
      </c>
      <c r="N1347" s="1423">
        <f t="shared" si="1978"/>
        <v>0</v>
      </c>
      <c r="O1347" s="1423">
        <f t="shared" si="1979"/>
        <v>0</v>
      </c>
      <c r="P1347" s="1423">
        <f t="shared" si="1980"/>
        <v>0</v>
      </c>
      <c r="Q1347" s="1423">
        <f t="shared" si="1981"/>
        <v>0</v>
      </c>
      <c r="R1347" s="1423">
        <f t="shared" si="1982"/>
        <v>0</v>
      </c>
      <c r="S1347" s="1423">
        <f t="shared" si="1983"/>
        <v>0</v>
      </c>
      <c r="T1347" s="1423">
        <f t="shared" si="1984"/>
        <v>0</v>
      </c>
      <c r="U1347" s="1423">
        <f t="shared" si="1985"/>
        <v>0</v>
      </c>
      <c r="V1347" s="1423">
        <f t="shared" si="1986"/>
        <v>0</v>
      </c>
      <c r="W1347" s="1423">
        <f t="shared" si="1987"/>
        <v>0</v>
      </c>
      <c r="X1347" s="152"/>
      <c r="Y1347" s="152"/>
      <c r="Z1347" s="152"/>
      <c r="AA1347" s="152"/>
      <c r="AB1347" s="152"/>
    </row>
    <row r="1348" spans="1:28" hidden="1" outlineLevel="1">
      <c r="A1348" s="152"/>
      <c r="B1348" s="190" t="str">
        <f t="shared" ca="1" si="1988"/>
        <v>RL Capex 2024-25</v>
      </c>
      <c r="C1348" s="1429"/>
      <c r="D1348" s="1429"/>
      <c r="E1348" s="1429"/>
      <c r="F1348" s="1429"/>
      <c r="G1348" s="1429"/>
      <c r="H1348" s="1429"/>
      <c r="I1348" s="1429"/>
      <c r="J1348" s="1429"/>
      <c r="K1348" s="1424"/>
      <c r="L1348" s="1428">
        <f>L1311</f>
        <v>0</v>
      </c>
      <c r="M1348" s="1423">
        <f t="shared" si="1977"/>
        <v>0</v>
      </c>
      <c r="N1348" s="1423">
        <f t="shared" si="1978"/>
        <v>0</v>
      </c>
      <c r="O1348" s="1423">
        <f t="shared" si="1979"/>
        <v>0</v>
      </c>
      <c r="P1348" s="1423">
        <f t="shared" si="1980"/>
        <v>0</v>
      </c>
      <c r="Q1348" s="1423">
        <f t="shared" si="1981"/>
        <v>0</v>
      </c>
      <c r="R1348" s="1423">
        <f t="shared" si="1982"/>
        <v>0</v>
      </c>
      <c r="S1348" s="1423">
        <f t="shared" si="1983"/>
        <v>0</v>
      </c>
      <c r="T1348" s="1423">
        <f t="shared" si="1984"/>
        <v>0</v>
      </c>
      <c r="U1348" s="1423">
        <f t="shared" si="1985"/>
        <v>0</v>
      </c>
      <c r="V1348" s="1423">
        <f t="shared" si="1986"/>
        <v>0</v>
      </c>
      <c r="W1348" s="1423">
        <f t="shared" si="1987"/>
        <v>0</v>
      </c>
      <c r="X1348" s="152"/>
      <c r="Y1348" s="152"/>
      <c r="Z1348" s="152"/>
      <c r="AA1348" s="152"/>
      <c r="AB1348" s="152"/>
    </row>
    <row r="1349" spans="1:28" hidden="1" outlineLevel="1">
      <c r="A1349" s="152"/>
      <c r="B1349" s="190" t="str">
        <f t="shared" ca="1" si="1988"/>
        <v>RL Capex 2025-26</v>
      </c>
      <c r="C1349" s="1429"/>
      <c r="D1349" s="1429"/>
      <c r="E1349" s="1429"/>
      <c r="F1349" s="1429"/>
      <c r="G1349" s="1429"/>
      <c r="H1349" s="1429"/>
      <c r="I1349" s="1429"/>
      <c r="J1349" s="1429"/>
      <c r="K1349" s="1429"/>
      <c r="L1349" s="1424"/>
      <c r="M1349" s="1428">
        <f>M1311</f>
        <v>0</v>
      </c>
      <c r="N1349" s="1423">
        <f t="shared" si="1978"/>
        <v>0</v>
      </c>
      <c r="O1349" s="1423">
        <f t="shared" si="1979"/>
        <v>0</v>
      </c>
      <c r="P1349" s="1423">
        <f t="shared" si="1980"/>
        <v>0</v>
      </c>
      <c r="Q1349" s="1423">
        <f t="shared" si="1981"/>
        <v>0</v>
      </c>
      <c r="R1349" s="1423">
        <f t="shared" si="1982"/>
        <v>0</v>
      </c>
      <c r="S1349" s="1423">
        <f t="shared" si="1983"/>
        <v>0</v>
      </c>
      <c r="T1349" s="1423">
        <f t="shared" si="1984"/>
        <v>0</v>
      </c>
      <c r="U1349" s="1423">
        <f t="shared" si="1985"/>
        <v>0</v>
      </c>
      <c r="V1349" s="1423">
        <f t="shared" si="1986"/>
        <v>0</v>
      </c>
      <c r="W1349" s="1423">
        <f t="shared" si="1987"/>
        <v>0</v>
      </c>
      <c r="X1349" s="152"/>
      <c r="Y1349" s="152"/>
      <c r="Z1349" s="152"/>
      <c r="AA1349" s="152"/>
      <c r="AB1349" s="152"/>
    </row>
    <row r="1350" spans="1:28" hidden="1" outlineLevel="1">
      <c r="A1350" s="152"/>
      <c r="B1350" s="190" t="str">
        <f t="shared" ca="1" si="1988"/>
        <v>RL Capex 2026-27</v>
      </c>
      <c r="C1350" s="1429"/>
      <c r="D1350" s="1429"/>
      <c r="E1350" s="1429"/>
      <c r="F1350" s="1429"/>
      <c r="G1350" s="1429"/>
      <c r="H1350" s="1429"/>
      <c r="I1350" s="1429"/>
      <c r="J1350" s="1429"/>
      <c r="K1350" s="1429"/>
      <c r="L1350" s="1429"/>
      <c r="M1350" s="1424"/>
      <c r="N1350" s="1428">
        <f>N1311</f>
        <v>0</v>
      </c>
      <c r="O1350" s="1423">
        <f t="shared" si="1979"/>
        <v>0</v>
      </c>
      <c r="P1350" s="1423">
        <f t="shared" si="1980"/>
        <v>0</v>
      </c>
      <c r="Q1350" s="1423">
        <f t="shared" si="1981"/>
        <v>0</v>
      </c>
      <c r="R1350" s="1423">
        <f t="shared" si="1982"/>
        <v>0</v>
      </c>
      <c r="S1350" s="1423">
        <f t="shared" si="1983"/>
        <v>0</v>
      </c>
      <c r="T1350" s="1423">
        <f t="shared" si="1984"/>
        <v>0</v>
      </c>
      <c r="U1350" s="1423">
        <f t="shared" si="1985"/>
        <v>0</v>
      </c>
      <c r="V1350" s="1423">
        <f t="shared" si="1986"/>
        <v>0</v>
      </c>
      <c r="W1350" s="1423">
        <f t="shared" si="1987"/>
        <v>0</v>
      </c>
      <c r="X1350" s="152"/>
      <c r="Y1350" s="152"/>
      <c r="Z1350" s="152"/>
      <c r="AA1350" s="152"/>
      <c r="AB1350" s="152"/>
    </row>
    <row r="1351" spans="1:28" hidden="1" outlineLevel="1">
      <c r="A1351" s="152"/>
      <c r="B1351" s="190" t="str">
        <f t="shared" ca="1" si="1988"/>
        <v>RL Capex 2027-28</v>
      </c>
      <c r="C1351" s="1429"/>
      <c r="D1351" s="1429"/>
      <c r="E1351" s="1429"/>
      <c r="F1351" s="1429"/>
      <c r="G1351" s="1429"/>
      <c r="H1351" s="1429"/>
      <c r="I1351" s="1429"/>
      <c r="J1351" s="1429"/>
      <c r="K1351" s="1429"/>
      <c r="L1351" s="1429"/>
      <c r="M1351" s="1429"/>
      <c r="N1351" s="1424"/>
      <c r="O1351" s="1428">
        <f>O1311</f>
        <v>0</v>
      </c>
      <c r="P1351" s="1423">
        <f t="shared" si="1980"/>
        <v>0</v>
      </c>
      <c r="Q1351" s="1423">
        <f t="shared" si="1981"/>
        <v>0</v>
      </c>
      <c r="R1351" s="1423">
        <f t="shared" si="1982"/>
        <v>0</v>
      </c>
      <c r="S1351" s="1423">
        <f t="shared" si="1983"/>
        <v>0</v>
      </c>
      <c r="T1351" s="1423">
        <f t="shared" si="1984"/>
        <v>0</v>
      </c>
      <c r="U1351" s="1423">
        <f t="shared" si="1985"/>
        <v>0</v>
      </c>
      <c r="V1351" s="1423">
        <f t="shared" si="1986"/>
        <v>0</v>
      </c>
      <c r="W1351" s="1423">
        <f t="shared" si="1987"/>
        <v>0</v>
      </c>
      <c r="X1351" s="152"/>
      <c r="Y1351" s="152"/>
      <c r="Z1351" s="152"/>
      <c r="AA1351" s="152"/>
      <c r="AB1351" s="152"/>
    </row>
    <row r="1352" spans="1:28" hidden="1" outlineLevel="1">
      <c r="A1352" s="152"/>
      <c r="B1352" s="190" t="str">
        <f t="shared" ca="1" si="1988"/>
        <v>RL Capex 2028-29</v>
      </c>
      <c r="C1352" s="1429"/>
      <c r="D1352" s="1429"/>
      <c r="E1352" s="1429"/>
      <c r="F1352" s="1429"/>
      <c r="G1352" s="1429"/>
      <c r="H1352" s="1429"/>
      <c r="I1352" s="1429"/>
      <c r="J1352" s="1429"/>
      <c r="K1352" s="1429"/>
      <c r="L1352" s="1429"/>
      <c r="M1352" s="1429"/>
      <c r="N1352" s="1429"/>
      <c r="O1352" s="1424"/>
      <c r="P1352" s="1428">
        <f>P1311</f>
        <v>0</v>
      </c>
      <c r="Q1352" s="1423">
        <f t="shared" si="1981"/>
        <v>0</v>
      </c>
      <c r="R1352" s="1423">
        <f t="shared" si="1982"/>
        <v>0</v>
      </c>
      <c r="S1352" s="1423">
        <f t="shared" si="1983"/>
        <v>0</v>
      </c>
      <c r="T1352" s="1423">
        <f t="shared" si="1984"/>
        <v>0</v>
      </c>
      <c r="U1352" s="1423">
        <f t="shared" si="1985"/>
        <v>0</v>
      </c>
      <c r="V1352" s="1423">
        <f t="shared" si="1986"/>
        <v>0</v>
      </c>
      <c r="W1352" s="1423">
        <f t="shared" si="1987"/>
        <v>0</v>
      </c>
      <c r="X1352" s="152"/>
      <c r="Y1352" s="152"/>
      <c r="Z1352" s="152"/>
      <c r="AA1352" s="152"/>
      <c r="AB1352" s="152"/>
    </row>
    <row r="1353" spans="1:28" hidden="1" outlineLevel="1">
      <c r="A1353" s="152"/>
      <c r="B1353" s="190" t="str">
        <f t="shared" ca="1" si="1988"/>
        <v>RL Capex 2029-30</v>
      </c>
      <c r="C1353" s="1429"/>
      <c r="D1353" s="1429"/>
      <c r="E1353" s="1429"/>
      <c r="F1353" s="1429"/>
      <c r="G1353" s="1429"/>
      <c r="H1353" s="1429"/>
      <c r="I1353" s="1429"/>
      <c r="J1353" s="1429"/>
      <c r="K1353" s="1429"/>
      <c r="L1353" s="1429"/>
      <c r="M1353" s="1429"/>
      <c r="N1353" s="1429"/>
      <c r="O1353" s="1429"/>
      <c r="P1353" s="1424"/>
      <c r="Q1353" s="1428">
        <f>Q1311</f>
        <v>0</v>
      </c>
      <c r="R1353" s="1423">
        <f t="shared" si="1982"/>
        <v>0</v>
      </c>
      <c r="S1353" s="1423">
        <f t="shared" si="1983"/>
        <v>0</v>
      </c>
      <c r="T1353" s="1423">
        <f t="shared" si="1984"/>
        <v>0</v>
      </c>
      <c r="U1353" s="1423">
        <f t="shared" si="1985"/>
        <v>0</v>
      </c>
      <c r="V1353" s="1423">
        <f t="shared" si="1986"/>
        <v>0</v>
      </c>
      <c r="W1353" s="1423">
        <f t="shared" si="1987"/>
        <v>0</v>
      </c>
      <c r="X1353" s="152"/>
      <c r="Y1353" s="152"/>
      <c r="Z1353" s="152"/>
      <c r="AA1353" s="152"/>
      <c r="AB1353" s="152"/>
    </row>
    <row r="1354" spans="1:28" hidden="1" outlineLevel="1">
      <c r="A1354" s="152"/>
      <c r="B1354" s="190" t="str">
        <f t="shared" ca="1" si="1988"/>
        <v>RL Capex 2030-31</v>
      </c>
      <c r="C1354" s="1429"/>
      <c r="D1354" s="1429"/>
      <c r="E1354" s="1429"/>
      <c r="F1354" s="1429"/>
      <c r="G1354" s="1429"/>
      <c r="H1354" s="1429"/>
      <c r="I1354" s="1429"/>
      <c r="J1354" s="1429"/>
      <c r="K1354" s="1429"/>
      <c r="L1354" s="1429"/>
      <c r="M1354" s="1429"/>
      <c r="N1354" s="1429"/>
      <c r="O1354" s="1429"/>
      <c r="P1354" s="1429"/>
      <c r="Q1354" s="1424"/>
      <c r="R1354" s="1428">
        <f>R1311</f>
        <v>0</v>
      </c>
      <c r="S1354" s="1423">
        <f t="shared" si="1983"/>
        <v>0</v>
      </c>
      <c r="T1354" s="1423">
        <f t="shared" si="1984"/>
        <v>0</v>
      </c>
      <c r="U1354" s="1423">
        <f t="shared" si="1985"/>
        <v>0</v>
      </c>
      <c r="V1354" s="1423">
        <f t="shared" si="1986"/>
        <v>0</v>
      </c>
      <c r="W1354" s="1423">
        <f t="shared" si="1987"/>
        <v>0</v>
      </c>
      <c r="X1354" s="152"/>
      <c r="Y1354" s="152"/>
      <c r="Z1354" s="152"/>
      <c r="AA1354" s="152"/>
      <c r="AB1354" s="152"/>
    </row>
    <row r="1355" spans="1:28" hidden="1" outlineLevel="1">
      <c r="A1355" s="152"/>
      <c r="B1355" s="190" t="str">
        <f t="shared" ca="1" si="1988"/>
        <v>RL Capex 2031-32</v>
      </c>
      <c r="C1355" s="1429"/>
      <c r="D1355" s="1429"/>
      <c r="E1355" s="1429"/>
      <c r="F1355" s="1429"/>
      <c r="G1355" s="1429"/>
      <c r="H1355" s="1429"/>
      <c r="I1355" s="1429"/>
      <c r="J1355" s="1429"/>
      <c r="K1355" s="1429"/>
      <c r="L1355" s="1429"/>
      <c r="M1355" s="1429"/>
      <c r="N1355" s="1429"/>
      <c r="O1355" s="1429"/>
      <c r="P1355" s="1429"/>
      <c r="Q1355" s="1429"/>
      <c r="R1355" s="1424"/>
      <c r="S1355" s="1428">
        <f>S1311</f>
        <v>0</v>
      </c>
      <c r="T1355" s="1423">
        <f t="shared" si="1984"/>
        <v>0</v>
      </c>
      <c r="U1355" s="1423">
        <f t="shared" si="1985"/>
        <v>0</v>
      </c>
      <c r="V1355" s="1423">
        <f t="shared" si="1986"/>
        <v>0</v>
      </c>
      <c r="W1355" s="1423">
        <f t="shared" si="1987"/>
        <v>0</v>
      </c>
      <c r="X1355" s="152"/>
      <c r="Y1355" s="152"/>
      <c r="Z1355" s="152"/>
      <c r="AA1355" s="152"/>
      <c r="AB1355" s="152"/>
    </row>
    <row r="1356" spans="1:28" hidden="1" outlineLevel="1">
      <c r="A1356" s="152"/>
      <c r="B1356" s="190" t="str">
        <f t="shared" ca="1" si="1988"/>
        <v>RL Capex 2032-33</v>
      </c>
      <c r="C1356" s="1429"/>
      <c r="D1356" s="1429"/>
      <c r="E1356" s="1429"/>
      <c r="F1356" s="1429"/>
      <c r="G1356" s="1429"/>
      <c r="H1356" s="1429"/>
      <c r="I1356" s="1429"/>
      <c r="J1356" s="1429"/>
      <c r="K1356" s="1429"/>
      <c r="L1356" s="1429"/>
      <c r="M1356" s="1429"/>
      <c r="N1356" s="1429"/>
      <c r="O1356" s="1429"/>
      <c r="P1356" s="1429"/>
      <c r="Q1356" s="1429"/>
      <c r="R1356" s="1429"/>
      <c r="S1356" s="1424"/>
      <c r="T1356" s="1428">
        <f>T1311</f>
        <v>0</v>
      </c>
      <c r="U1356" s="1423">
        <f t="shared" si="1985"/>
        <v>0</v>
      </c>
      <c r="V1356" s="1423">
        <f t="shared" si="1986"/>
        <v>0</v>
      </c>
      <c r="W1356" s="1423">
        <f t="shared" si="1987"/>
        <v>0</v>
      </c>
      <c r="X1356" s="152"/>
      <c r="Y1356" s="152"/>
      <c r="Z1356" s="152"/>
      <c r="AA1356" s="152"/>
      <c r="AB1356" s="152"/>
    </row>
    <row r="1357" spans="1:28" hidden="1" outlineLevel="1">
      <c r="A1357" s="152"/>
      <c r="B1357" s="190" t="str">
        <f t="shared" ca="1" si="1988"/>
        <v>RL Capex 2033-34</v>
      </c>
      <c r="C1357" s="1429"/>
      <c r="D1357" s="1429"/>
      <c r="E1357" s="1429"/>
      <c r="F1357" s="1429"/>
      <c r="G1357" s="1429"/>
      <c r="H1357" s="1429"/>
      <c r="I1357" s="1429"/>
      <c r="J1357" s="1429"/>
      <c r="K1357" s="1429"/>
      <c r="L1357" s="1429"/>
      <c r="M1357" s="1429"/>
      <c r="N1357" s="1429"/>
      <c r="O1357" s="1429"/>
      <c r="P1357" s="1429"/>
      <c r="Q1357" s="1429"/>
      <c r="R1357" s="1429"/>
      <c r="S1357" s="1429"/>
      <c r="T1357" s="1424"/>
      <c r="U1357" s="1428">
        <f>U1311</f>
        <v>0</v>
      </c>
      <c r="V1357" s="1423">
        <f t="shared" si="1986"/>
        <v>0</v>
      </c>
      <c r="W1357" s="1423">
        <f t="shared" si="1987"/>
        <v>0</v>
      </c>
      <c r="X1357" s="152"/>
      <c r="Y1357" s="152"/>
      <c r="Z1357" s="152"/>
      <c r="AA1357" s="152"/>
      <c r="AB1357" s="152"/>
    </row>
    <row r="1358" spans="1:28" hidden="1" outlineLevel="1">
      <c r="A1358" s="152"/>
      <c r="B1358" s="190" t="str">
        <f t="shared" ca="1" si="1988"/>
        <v>RL Capex 2034-35</v>
      </c>
      <c r="C1358" s="1429"/>
      <c r="D1358" s="1429"/>
      <c r="E1358" s="1429"/>
      <c r="F1358" s="1429"/>
      <c r="G1358" s="1429"/>
      <c r="H1358" s="1429"/>
      <c r="I1358" s="1429"/>
      <c r="J1358" s="1429"/>
      <c r="K1358" s="1429"/>
      <c r="L1358" s="1429"/>
      <c r="M1358" s="1429"/>
      <c r="N1358" s="1429"/>
      <c r="O1358" s="1429"/>
      <c r="P1358" s="1429"/>
      <c r="Q1358" s="1429"/>
      <c r="R1358" s="1429"/>
      <c r="S1358" s="1429"/>
      <c r="T1358" s="1429"/>
      <c r="U1358" s="1424"/>
      <c r="V1358" s="1428">
        <f>V1311</f>
        <v>0</v>
      </c>
      <c r="W1358" s="1423">
        <f>IF(V1358="n/a","n/a",MAX(0,V1358-1))</f>
        <v>0</v>
      </c>
      <c r="X1358" s="152"/>
      <c r="Y1358" s="152"/>
      <c r="Z1358" s="152"/>
      <c r="AA1358" s="152"/>
      <c r="AB1358" s="152"/>
    </row>
    <row r="1359" spans="1:28" hidden="1" outlineLevel="1">
      <c r="A1359" s="152"/>
      <c r="B1359" s="190" t="str">
        <f t="shared" ca="1" si="1988"/>
        <v>RL Capex 2035-36</v>
      </c>
      <c r="C1359" s="1429"/>
      <c r="D1359" s="1429"/>
      <c r="E1359" s="1429"/>
      <c r="F1359" s="1429"/>
      <c r="G1359" s="1429"/>
      <c r="H1359" s="1429"/>
      <c r="I1359" s="1429"/>
      <c r="J1359" s="1429"/>
      <c r="K1359" s="1429"/>
      <c r="L1359" s="1429"/>
      <c r="M1359" s="1429"/>
      <c r="N1359" s="1429"/>
      <c r="O1359" s="1429"/>
      <c r="P1359" s="1429"/>
      <c r="Q1359" s="1429"/>
      <c r="R1359" s="1429"/>
      <c r="S1359" s="1429"/>
      <c r="T1359" s="1429"/>
      <c r="U1359" s="1429"/>
      <c r="V1359" s="1424"/>
      <c r="W1359" s="1423">
        <f>W1311</f>
        <v>0</v>
      </c>
      <c r="X1359" s="152"/>
      <c r="Y1359" s="152"/>
      <c r="Z1359" s="152"/>
      <c r="AA1359" s="152"/>
      <c r="AB1359" s="152"/>
    </row>
    <row r="1360" spans="1:28" hidden="1" outlineLevel="1">
      <c r="A1360" s="152"/>
      <c r="B1360" s="200"/>
      <c r="C1360" s="1423"/>
      <c r="D1360" s="1423"/>
      <c r="E1360" s="1423"/>
      <c r="F1360" s="1423"/>
      <c r="G1360" s="1423"/>
      <c r="H1360" s="1423"/>
      <c r="I1360" s="1423"/>
      <c r="J1360" s="1423"/>
      <c r="K1360" s="1423"/>
      <c r="L1360" s="1423"/>
      <c r="M1360" s="1423"/>
      <c r="N1360" s="1423"/>
      <c r="O1360" s="1423"/>
      <c r="P1360" s="1423"/>
      <c r="Q1360" s="1423"/>
      <c r="R1360" s="1423"/>
      <c r="S1360" s="1423"/>
      <c r="T1360" s="1423"/>
      <c r="U1360" s="1423"/>
      <c r="V1360" s="1423"/>
      <c r="W1360" s="1423"/>
      <c r="X1360" s="152"/>
      <c r="Y1360" s="152"/>
      <c r="Z1360" s="152"/>
      <c r="AA1360" s="152"/>
      <c r="AB1360" s="152"/>
    </row>
    <row r="1361" spans="1:28" collapsed="1">
      <c r="A1361" s="194"/>
      <c r="B1361" s="204" t="s">
        <v>123</v>
      </c>
      <c r="C1361" s="1430">
        <f ca="1">(IF(OR($C1311&lt;&gt;"n/a",C1311&lt;&gt;"n/a"),IF(SUM(C1314:C1336)=0,0,IF((SUMPRODUCT(C1314:C1336,C1338:C1360)/SUM(C1314:C1336))&lt;0,1,(SUMPRODUCT(C1314:C1336,C1338:C1360)/SUM(C1314:C1336)))),"n/a"))</f>
        <v>0</v>
      </c>
      <c r="D1361" s="1430">
        <f ca="1">(IF(OR($C1311&lt;&gt;"n/a",D1311&lt;&gt;"n/a"),IF(SUM(D1314:D1336)=0,0,IF((SUMPRODUCT(D1314:D1336,D1338:D1360)/SUM(D1314:D1336))&lt;0,1,(SUMPRODUCT(D1314:D1336,D1338:D1360)/SUM(D1314:D1336)))),"n/a"))</f>
        <v>0</v>
      </c>
      <c r="E1361" s="1430">
        <f t="shared" ref="E1361:W1361" ca="1" si="1989">(IF(OR($C1311&lt;&gt;"n/a",E1311&lt;&gt;"n/a"),IF(SUM(E1314:E1336)=0,0,IF((SUMPRODUCT(E1314:E1336,E1338:E1360)/SUM(E1314:E1336))&lt;0,1,(SUMPRODUCT(E1314:E1336,E1338:E1360)/SUM(E1314:E1336)))),"n/a"))</f>
        <v>0</v>
      </c>
      <c r="F1361" s="1430">
        <f t="shared" ca="1" si="1989"/>
        <v>0</v>
      </c>
      <c r="G1361" s="1430">
        <f t="shared" ca="1" si="1989"/>
        <v>0</v>
      </c>
      <c r="H1361" s="1430">
        <f t="shared" ca="1" si="1989"/>
        <v>0</v>
      </c>
      <c r="I1361" s="1430">
        <f t="shared" ca="1" si="1989"/>
        <v>0</v>
      </c>
      <c r="J1361" s="1430">
        <f t="shared" ca="1" si="1989"/>
        <v>0</v>
      </c>
      <c r="K1361" s="1430">
        <f t="shared" ca="1" si="1989"/>
        <v>0</v>
      </c>
      <c r="L1361" s="1430">
        <f t="shared" ca="1" si="1989"/>
        <v>0</v>
      </c>
      <c r="M1361" s="1430">
        <f t="shared" ca="1" si="1989"/>
        <v>0</v>
      </c>
      <c r="N1361" s="1430">
        <f t="shared" ca="1" si="1989"/>
        <v>0</v>
      </c>
      <c r="O1361" s="1430">
        <f t="shared" ca="1" si="1989"/>
        <v>0</v>
      </c>
      <c r="P1361" s="1430">
        <f t="shared" ca="1" si="1989"/>
        <v>0</v>
      </c>
      <c r="Q1361" s="1430">
        <f t="shared" ca="1" si="1989"/>
        <v>0</v>
      </c>
      <c r="R1361" s="1430">
        <f t="shared" ca="1" si="1989"/>
        <v>0</v>
      </c>
      <c r="S1361" s="1430">
        <f t="shared" ca="1" si="1989"/>
        <v>0</v>
      </c>
      <c r="T1361" s="1430">
        <f t="shared" ca="1" si="1989"/>
        <v>0</v>
      </c>
      <c r="U1361" s="1430">
        <f t="shared" ca="1" si="1989"/>
        <v>0</v>
      </c>
      <c r="V1361" s="1430">
        <f t="shared" ca="1" si="1989"/>
        <v>0</v>
      </c>
      <c r="W1361" s="1430">
        <f t="shared" ca="1" si="1989"/>
        <v>0</v>
      </c>
      <c r="X1361" s="152"/>
      <c r="Y1361" s="152"/>
      <c r="Z1361" s="152"/>
      <c r="AA1361" s="152"/>
      <c r="AB1361" s="152"/>
    </row>
    <row r="1362" spans="1:28">
      <c r="A1362" s="152"/>
      <c r="B1362" s="152"/>
      <c r="C1362" s="1423"/>
      <c r="D1362" s="1423"/>
      <c r="E1362" s="1423"/>
      <c r="F1362" s="1423"/>
      <c r="G1362" s="1423"/>
      <c r="H1362" s="1423"/>
      <c r="I1362" s="1423"/>
      <c r="J1362" s="1423"/>
      <c r="K1362" s="1423"/>
      <c r="L1362" s="1423"/>
      <c r="M1362" s="1423"/>
      <c r="N1362" s="1423"/>
      <c r="O1362" s="1423"/>
      <c r="P1362" s="1423"/>
      <c r="Q1362" s="1423"/>
      <c r="R1362" s="1423"/>
      <c r="S1362" s="1423"/>
      <c r="T1362" s="1423"/>
      <c r="U1362" s="1423"/>
      <c r="V1362" s="1423"/>
      <c r="W1362" s="1423"/>
      <c r="X1362" s="152"/>
      <c r="Y1362" s="152"/>
      <c r="Z1362" s="152"/>
      <c r="AA1362" s="152"/>
      <c r="AB1362" s="152"/>
    </row>
    <row r="1363" spans="1:28">
      <c r="A1363" s="269" t="s">
        <v>60</v>
      </c>
      <c r="B1363" s="270">
        <f>VLOOKUP($A1363,'RFM input'!$E$7:$F$56,2,FALSE)</f>
        <v>0</v>
      </c>
      <c r="C1363" s="1431"/>
      <c r="D1363" s="1431"/>
      <c r="E1363" s="1432"/>
      <c r="F1363" s="1432"/>
      <c r="G1363" s="1432"/>
      <c r="H1363" s="1432"/>
      <c r="I1363" s="1432"/>
      <c r="J1363" s="1432"/>
      <c r="K1363" s="1432"/>
      <c r="L1363" s="1432"/>
      <c r="M1363" s="1432"/>
      <c r="N1363" s="1432"/>
      <c r="O1363" s="1432"/>
      <c r="P1363" s="1432"/>
      <c r="Q1363" s="1432"/>
      <c r="R1363" s="1432"/>
      <c r="S1363" s="1432"/>
      <c r="T1363" s="1432"/>
      <c r="U1363" s="1432"/>
      <c r="V1363" s="1432"/>
      <c r="W1363" s="1432"/>
      <c r="X1363" s="152"/>
      <c r="Y1363" s="152"/>
      <c r="Z1363" s="152"/>
      <c r="AA1363" s="152"/>
      <c r="AB1363" s="152"/>
    </row>
    <row r="1364" spans="1:28">
      <c r="A1364" s="215">
        <f>VALUE(REPLACE(A1363,1,12,""))</f>
        <v>26</v>
      </c>
      <c r="B1364" s="193" t="s">
        <v>126</v>
      </c>
      <c r="C1364" s="1416">
        <f ca="1">IF($C$8='Capital Base roll forward'!$H$4,OFFSET('Capital Base roll forward'!$H$717,'RAB remaining lives'!A1364,0),"enter input")</f>
        <v>0</v>
      </c>
      <c r="D1364" s="1417">
        <f>IF(LEFT(D$6,4)&lt;LEFT('RFM input'!$G$60,4),"enter input",IF(LEFT(D$6,4)&gt;LEFT('RFM input'!$Q$60,4),0,INDEX('RFM input'!$G$61:$Q$110,$A1364,MATCH(D$6,'RFM input'!$G$60:$Q$60,0))
-INDEX('RFM input'!$G$115:$Q$164,$A1364,MATCH(D$6,'RFM input'!$G$60:$Q$60,0))
-INDEX('RFM input'!$G$169:$Q$218,$A1364,MATCH(D$6,'RFM input'!$G$60:$Q$60,0))))</f>
        <v>0</v>
      </c>
      <c r="E1364" s="1417">
        <f>IF(LEFT(E$6,4)&lt;LEFT('RFM input'!$G$60,4),"enter input",IF(LEFT(E$6,4)&gt;LEFT('RFM input'!$Q$60,4),0,INDEX('RFM input'!$G$61:$Q$110,$A1364,MATCH(E$6,'RFM input'!$G$60:$Q$60,0))
-INDEX('RFM input'!$G$115:$Q$164,$A1364,MATCH(E$6,'RFM input'!$G$60:$Q$60,0))
-INDEX('RFM input'!$G$169:$Q$218,$A1364,MATCH(E$6,'RFM input'!$G$60:$Q$60,0))))</f>
        <v>0</v>
      </c>
      <c r="F1364" s="1417">
        <f>IF(LEFT(F$6,4)&lt;LEFT('RFM input'!$G$60,4),"enter input",IF(LEFT(F$6,4)&gt;LEFT('RFM input'!$Q$60,4),0,INDEX('RFM input'!$G$61:$Q$110,$A1364,MATCH(F$6,'RFM input'!$G$60:$Q$60,0))
-INDEX('RFM input'!$G$115:$Q$164,$A1364,MATCH(F$6,'RFM input'!$G$60:$Q$60,0))
-INDEX('RFM input'!$G$169:$Q$218,$A1364,MATCH(F$6,'RFM input'!$G$60:$Q$60,0))))</f>
        <v>0</v>
      </c>
      <c r="G1364" s="1417">
        <f>IF(LEFT(G$6,4)&lt;LEFT('RFM input'!$G$60,4),"enter input",IF(LEFT(G$6,4)&gt;LEFT('RFM input'!$Q$60,4),0,INDEX('RFM input'!$G$61:$Q$110,$A1364,MATCH(G$6,'RFM input'!$G$60:$Q$60,0))
-INDEX('RFM input'!$G$115:$Q$164,$A1364,MATCH(G$6,'RFM input'!$G$60:$Q$60,0))
-INDEX('RFM input'!$G$169:$Q$218,$A1364,MATCH(G$6,'RFM input'!$G$60:$Q$60,0))))</f>
        <v>0</v>
      </c>
      <c r="H1364" s="1417">
        <f>IF(LEFT(H$6,4)&lt;LEFT('RFM input'!$G$60,4),"enter input",IF(LEFT(H$6,4)&gt;LEFT('RFM input'!$Q$60,4),0,INDEX('RFM input'!$G$61:$Q$110,$A1364,MATCH(H$6,'RFM input'!$G$60:$Q$60,0))
-INDEX('RFM input'!$G$115:$Q$164,$A1364,MATCH(H$6,'RFM input'!$G$60:$Q$60,0))
-INDEX('RFM input'!$G$169:$Q$218,$A1364,MATCH(H$6,'RFM input'!$G$60:$Q$60,0))))</f>
        <v>0</v>
      </c>
      <c r="I1364" s="1417">
        <f>IF(LEFT(I$6,4)&lt;LEFT('RFM input'!$G$60,4),"enter input",IF(LEFT(I$6,4)&gt;LEFT('RFM input'!$Q$60,4),0,INDEX('RFM input'!$G$61:$Q$110,$A1364,MATCH(I$6,'RFM input'!$G$60:$Q$60,0))
-INDEX('RFM input'!$G$115:$Q$164,$A1364,MATCH(I$6,'RFM input'!$G$60:$Q$60,0))
-INDEX('RFM input'!$G$169:$Q$218,$A1364,MATCH(I$6,'RFM input'!$G$60:$Q$60,0))))</f>
        <v>0</v>
      </c>
      <c r="J1364" s="1417">
        <f>IF(LEFT(J$6,4)&lt;LEFT('RFM input'!$G$60,4),"enter input",IF(LEFT(J$6,4)&gt;LEFT('RFM input'!$Q$60,4),0,INDEX('RFM input'!$G$61:$Q$110,$A1364,MATCH(J$6,'RFM input'!$G$60:$Q$60,0))
-INDEX('RFM input'!$G$115:$Q$164,$A1364,MATCH(J$6,'RFM input'!$G$60:$Q$60,0))
-INDEX('RFM input'!$G$169:$Q$218,$A1364,MATCH(J$6,'RFM input'!$G$60:$Q$60,0))))</f>
        <v>0</v>
      </c>
      <c r="K1364" s="1417">
        <f>IF(LEFT(K$6,4)&lt;LEFT('RFM input'!$G$60,4),"enter input",IF(LEFT(K$6,4)&gt;LEFT('RFM input'!$Q$60,4),0,INDEX('RFM input'!$G$61:$Q$110,$A1364,MATCH(K$6,'RFM input'!$G$60:$Q$60,0))
-INDEX('RFM input'!$G$115:$Q$164,$A1364,MATCH(K$6,'RFM input'!$G$60:$Q$60,0))
-INDEX('RFM input'!$G$169:$Q$218,$A1364,MATCH(K$6,'RFM input'!$G$60:$Q$60,0))))</f>
        <v>0</v>
      </c>
      <c r="L1364" s="1417">
        <f>IF(LEFT(L$6,4)&lt;LEFT('RFM input'!$G$60,4),"enter input",IF(LEFT(L$6,4)&gt;LEFT('RFM input'!$Q$60,4),0,INDEX('RFM input'!$G$61:$Q$110,$A1364,MATCH(L$6,'RFM input'!$G$60:$Q$60,0))
-INDEX('RFM input'!$G$115:$Q$164,$A1364,MATCH(L$6,'RFM input'!$G$60:$Q$60,0))
-INDEX('RFM input'!$G$169:$Q$218,$A1364,MATCH(L$6,'RFM input'!$G$60:$Q$60,0))))</f>
        <v>0</v>
      </c>
      <c r="M1364" s="1417">
        <f>IF(LEFT(M$6,4)&lt;LEFT('RFM input'!$G$60,4),"enter input",IF(LEFT(M$6,4)&gt;LEFT('RFM input'!$Q$60,4),0,INDEX('RFM input'!$G$61:$Q$110,$A1364,MATCH(M$6,'RFM input'!$G$60:$Q$60,0))
-INDEX('RFM input'!$G$115:$Q$164,$A1364,MATCH(M$6,'RFM input'!$G$60:$Q$60,0))
-INDEX('RFM input'!$G$169:$Q$218,$A1364,MATCH(M$6,'RFM input'!$G$60:$Q$60,0))))</f>
        <v>0</v>
      </c>
      <c r="N1364" s="1417">
        <f>IF(LEFT(N$6,4)&lt;LEFT('RFM input'!$G$60,4),"enter input",IF(LEFT(N$6,4)&gt;LEFT('RFM input'!$Q$60,4),0,INDEX('RFM input'!$G$61:$Q$110,$A1364,MATCH(N$6,'RFM input'!$G$60:$Q$60,0))
-INDEX('RFM input'!$G$115:$Q$164,$A1364,MATCH(N$6,'RFM input'!$G$60:$Q$60,0))
-INDEX('RFM input'!$G$169:$Q$218,$A1364,MATCH(N$6,'RFM input'!$G$60:$Q$60,0))))</f>
        <v>0</v>
      </c>
      <c r="O1364" s="1417">
        <f>IF(LEFT(O$6,4)&lt;LEFT('RFM input'!$G$60,4),"enter input",IF(LEFT(O$6,4)&gt;LEFT('RFM input'!$Q$60,4),0,INDEX('RFM input'!$G$61:$Q$110,$A1364,MATCH(O$6,'RFM input'!$G$60:$Q$60,0))
-INDEX('RFM input'!$G$115:$Q$164,$A1364,MATCH(O$6,'RFM input'!$G$60:$Q$60,0))
-INDEX('RFM input'!$G$169:$Q$218,$A1364,MATCH(O$6,'RFM input'!$G$60:$Q$60,0))))</f>
        <v>0</v>
      </c>
      <c r="P1364" s="1417">
        <f>IF(LEFT(P$6,4)&lt;LEFT('RFM input'!$G$60,4),"enter input",IF(LEFT(P$6,4)&gt;LEFT('RFM input'!$Q$60,4),0,INDEX('RFM input'!$G$61:$Q$110,$A1364,MATCH(P$6,'RFM input'!$G$60:$Q$60,0))
-INDEX('RFM input'!$G$115:$Q$164,$A1364,MATCH(P$6,'RFM input'!$G$60:$Q$60,0))
-INDEX('RFM input'!$G$169:$Q$218,$A1364,MATCH(P$6,'RFM input'!$G$60:$Q$60,0))))</f>
        <v>0</v>
      </c>
      <c r="Q1364" s="1417">
        <f>IF(LEFT(Q$6,4)&lt;LEFT('RFM input'!$G$60,4),"enter input",IF(LEFT(Q$6,4)&gt;LEFT('RFM input'!$Q$60,4),0,INDEX('RFM input'!$G$61:$Q$110,$A1364,MATCH(Q$6,'RFM input'!$G$60:$Q$60,0))
-INDEX('RFM input'!$G$115:$Q$164,$A1364,MATCH(Q$6,'RFM input'!$G$60:$Q$60,0))
-INDEX('RFM input'!$G$169:$Q$218,$A1364,MATCH(Q$6,'RFM input'!$G$60:$Q$60,0))))</f>
        <v>0</v>
      </c>
      <c r="R1364" s="1417">
        <f>IF(LEFT(R$6,4)&lt;LEFT('RFM input'!$G$60,4),"enter input",IF(LEFT(R$6,4)&gt;LEFT('RFM input'!$Q$60,4),0,INDEX('RFM input'!$G$61:$Q$110,$A1364,MATCH(R$6,'RFM input'!$G$60:$Q$60,0))
-INDEX('RFM input'!$G$115:$Q$164,$A1364,MATCH(R$6,'RFM input'!$G$60:$Q$60,0))
-INDEX('RFM input'!$G$169:$Q$218,$A1364,MATCH(R$6,'RFM input'!$G$60:$Q$60,0))))</f>
        <v>0</v>
      </c>
      <c r="S1364" s="1417">
        <f>IF(LEFT(S$6,4)&lt;LEFT('RFM input'!$G$60,4),"enter input",IF(LEFT(S$6,4)&gt;LEFT('RFM input'!$Q$60,4),0,INDEX('RFM input'!$G$61:$Q$110,$A1364,MATCH(S$6,'RFM input'!$G$60:$Q$60,0))
-INDEX('RFM input'!$G$115:$Q$164,$A1364,MATCH(S$6,'RFM input'!$G$60:$Q$60,0))
-INDEX('RFM input'!$G$169:$Q$218,$A1364,MATCH(S$6,'RFM input'!$G$60:$Q$60,0))))</f>
        <v>0</v>
      </c>
      <c r="T1364" s="1417">
        <f>IF(LEFT(T$6,4)&lt;LEFT('RFM input'!$G$60,4),"enter input",IF(LEFT(T$6,4)&gt;LEFT('RFM input'!$Q$60,4),0,INDEX('RFM input'!$G$61:$Q$110,$A1364,MATCH(T$6,'RFM input'!$G$60:$Q$60,0))
-INDEX('RFM input'!$G$115:$Q$164,$A1364,MATCH(T$6,'RFM input'!$G$60:$Q$60,0))
-INDEX('RFM input'!$G$169:$Q$218,$A1364,MATCH(T$6,'RFM input'!$G$60:$Q$60,0))))</f>
        <v>0</v>
      </c>
      <c r="U1364" s="1417">
        <f>IF(LEFT(U$6,4)&lt;LEFT('RFM input'!$G$60,4),"enter input",IF(LEFT(U$6,4)&gt;LEFT('RFM input'!$Q$60,4),0,INDEX('RFM input'!$G$61:$Q$110,$A1364,MATCH(U$6,'RFM input'!$G$60:$Q$60,0))
-INDEX('RFM input'!$G$115:$Q$164,$A1364,MATCH(U$6,'RFM input'!$G$60:$Q$60,0))
-INDEX('RFM input'!$G$169:$Q$218,$A1364,MATCH(U$6,'RFM input'!$G$60:$Q$60,0))))</f>
        <v>0</v>
      </c>
      <c r="V1364" s="1417">
        <f>IF(LEFT(V$6,4)&lt;LEFT('RFM input'!$G$60,4),"enter input",IF(LEFT(V$6,4)&gt;LEFT('RFM input'!$Q$60,4),0,INDEX('RFM input'!$G$61:$Q$110,$A1364,MATCH(V$6,'RFM input'!$G$60:$Q$60,0))
-INDEX('RFM input'!$G$115:$Q$164,$A1364,MATCH(V$6,'RFM input'!$G$60:$Q$60,0))
-INDEX('RFM input'!$G$169:$Q$218,$A1364,MATCH(V$6,'RFM input'!$G$60:$Q$60,0))))</f>
        <v>0</v>
      </c>
      <c r="W1364" s="1417">
        <f>IF(LEFT(W$6,4)&lt;LEFT('RFM input'!$G$60,4),"enter input",IF(LEFT(W$6,4)&gt;LEFT('RFM input'!$Q$60,4),0,INDEX('RFM input'!$G$61:$Q$110,$A1364,MATCH(W$6,'RFM input'!$G$60:$Q$60,0))
-INDEX('RFM input'!$G$115:$Q$164,$A1364,MATCH(W$6,'RFM input'!$G$60:$Q$60,0))
-INDEX('RFM input'!$G$169:$Q$218,$A1364,MATCH(W$6,'RFM input'!$G$60:$Q$60,0))))</f>
        <v>0</v>
      </c>
      <c r="X1364" s="152"/>
      <c r="Y1364" s="152"/>
      <c r="Z1364" s="152"/>
      <c r="AA1364" s="152"/>
      <c r="AB1364" s="152"/>
    </row>
    <row r="1365" spans="1:28">
      <c r="A1365" s="152"/>
      <c r="B1365" s="152" t="s">
        <v>204</v>
      </c>
      <c r="C1365" s="1418">
        <f ca="1">IF($C$8='Capital Base roll forward'!$H$4,OFFSET('RFM input'!$J$6,'RAB remaining lives'!A1364,0),"enter input")</f>
        <v>0</v>
      </c>
      <c r="D1365" s="1417">
        <f>IF(LEFT(D$6,4)&lt;=LEFT('RFM input'!$G$60,4),"enter input",IF(LEFT(D$6,4)&gt;LEFT('RFM input'!$Q$60,4),0,IF(MATCH(D$6,'RFM input'!$H$60:$Q$60,0),INDEX('RFM input'!$K$7:$K$56,$A1364,1))))</f>
        <v>0</v>
      </c>
      <c r="E1365" s="1417">
        <f>IF(LEFT(E$6,4)&lt;=LEFT('RFM input'!$G$60,4),"enter input",IF(LEFT(E$6,4)&gt;LEFT('RFM input'!$Q$60,4),0,IF(MATCH(E$6,'RFM input'!$H$60:$Q$60,0),INDEX('RFM input'!$K$7:$K$56,$A1364,1))))</f>
        <v>0</v>
      </c>
      <c r="F1365" s="1417">
        <f>IF(LEFT(F$6,4)&lt;=LEFT('RFM input'!$G$60,4),"enter input",IF(LEFT(F$6,4)&gt;LEFT('RFM input'!$Q$60,4),0,IF(MATCH(F$6,'RFM input'!$H$60:$Q$60,0),INDEX('RFM input'!$K$7:$K$56,$A1364,1))))</f>
        <v>0</v>
      </c>
      <c r="G1365" s="1417">
        <f>IF(LEFT(G$6,4)&lt;=LEFT('RFM input'!$G$60,4),"enter input",IF(LEFT(G$6,4)&gt;LEFT('RFM input'!$Q$60,4),0,IF(MATCH(G$6,'RFM input'!$H$60:$Q$60,0),INDEX('RFM input'!$K$7:$K$56,$A1364,1))))</f>
        <v>0</v>
      </c>
      <c r="H1365" s="1417">
        <f>IF(LEFT(H$6,4)&lt;=LEFT('RFM input'!$G$60,4),"enter input",IF(LEFT(H$6,4)&gt;LEFT('RFM input'!$Q$60,4),0,IF(MATCH(H$6,'RFM input'!$H$60:$Q$60,0),INDEX('RFM input'!$K$7:$K$56,$A1364,1))))</f>
        <v>0</v>
      </c>
      <c r="I1365" s="1417">
        <f>IF(LEFT(I$6,4)&lt;=LEFT('RFM input'!$G$60,4),"enter input",IF(LEFT(I$6,4)&gt;LEFT('RFM input'!$Q$60,4),0,IF(MATCH(I$6,'RFM input'!$H$60:$Q$60,0),INDEX('RFM input'!$K$7:$K$56,$A1364,1))))</f>
        <v>0</v>
      </c>
      <c r="J1365" s="1417">
        <f>IF(LEFT(J$6,4)&lt;=LEFT('RFM input'!$G$60,4),"enter input",IF(LEFT(J$6,4)&gt;LEFT('RFM input'!$Q$60,4),0,IF(MATCH(J$6,'RFM input'!$H$60:$Q$60,0),INDEX('RFM input'!$K$7:$K$56,$A1364,1))))</f>
        <v>0</v>
      </c>
      <c r="K1365" s="1417">
        <f>IF(LEFT(K$6,4)&lt;=LEFT('RFM input'!$G$60,4),"enter input",IF(LEFT(K$6,4)&gt;LEFT('RFM input'!$Q$60,4),0,IF(MATCH(K$6,'RFM input'!$H$60:$Q$60,0),INDEX('RFM input'!$K$7:$K$56,$A1364,1))))</f>
        <v>0</v>
      </c>
      <c r="L1365" s="1417">
        <f>IF(LEFT(L$6,4)&lt;=LEFT('RFM input'!$G$60,4),"enter input",IF(LEFT(L$6,4)&gt;LEFT('RFM input'!$Q$60,4),0,IF(MATCH(L$6,'RFM input'!$H$60:$Q$60,0),INDEX('RFM input'!$K$7:$K$56,$A1364,1))))</f>
        <v>0</v>
      </c>
      <c r="M1365" s="1417">
        <f>IF(LEFT(M$6,4)&lt;=LEFT('RFM input'!$G$60,4),"enter input",IF(LEFT(M$6,4)&gt;LEFT('RFM input'!$Q$60,4),0,IF(MATCH(M$6,'RFM input'!$H$60:$Q$60,0),INDEX('RFM input'!$K$7:$K$56,$A1364,1))))</f>
        <v>0</v>
      </c>
      <c r="N1365" s="1417">
        <f>IF(LEFT(N$6,4)&lt;=LEFT('RFM input'!$G$60,4),"enter input",IF(LEFT(N$6,4)&gt;LEFT('RFM input'!$Q$60,4),0,IF(MATCH(N$6,'RFM input'!$H$60:$Q$60,0),INDEX('RFM input'!$K$7:$K$56,$A1364,1))))</f>
        <v>0</v>
      </c>
      <c r="O1365" s="1417">
        <f>IF(LEFT(O$6,4)&lt;=LEFT('RFM input'!$G$60,4),"enter input",IF(LEFT(O$6,4)&gt;LEFT('RFM input'!$Q$60,4),0,IF(MATCH(O$6,'RFM input'!$H$60:$Q$60,0),INDEX('RFM input'!$K$7:$K$56,$A1364,1))))</f>
        <v>0</v>
      </c>
      <c r="P1365" s="1417">
        <f>IF(LEFT(P$6,4)&lt;=LEFT('RFM input'!$G$60,4),"enter input",IF(LEFT(P$6,4)&gt;LEFT('RFM input'!$Q$60,4),0,IF(MATCH(P$6,'RFM input'!$H$60:$Q$60,0),INDEX('RFM input'!$K$7:$K$56,$A1364,1))))</f>
        <v>0</v>
      </c>
      <c r="Q1365" s="1417">
        <f>IF(LEFT(Q$6,4)&lt;=LEFT('RFM input'!$G$60,4),"enter input",IF(LEFT(Q$6,4)&gt;LEFT('RFM input'!$Q$60,4),0,IF(MATCH(Q$6,'RFM input'!$H$60:$Q$60,0),INDEX('RFM input'!$K$7:$K$56,$A1364,1))))</f>
        <v>0</v>
      </c>
      <c r="R1365" s="1417">
        <f>IF(LEFT(R$6,4)&lt;=LEFT('RFM input'!$G$60,4),"enter input",IF(LEFT(R$6,4)&gt;LEFT('RFM input'!$Q$60,4),0,IF(MATCH(R$6,'RFM input'!$H$60:$Q$60,0),INDEX('RFM input'!$K$7:$K$56,$A1364,1))))</f>
        <v>0</v>
      </c>
      <c r="S1365" s="1417">
        <f>IF(LEFT(S$6,4)&lt;=LEFT('RFM input'!$G$60,4),"enter input",IF(LEFT(S$6,4)&gt;LEFT('RFM input'!$Q$60,4),0,IF(MATCH(S$6,'RFM input'!$H$60:$Q$60,0),INDEX('RFM input'!$K$7:$K$56,$A1364,1))))</f>
        <v>0</v>
      </c>
      <c r="T1365" s="1417">
        <f>IF(LEFT(T$6,4)&lt;=LEFT('RFM input'!$G$60,4),"enter input",IF(LEFT(T$6,4)&gt;LEFT('RFM input'!$Q$60,4),0,IF(MATCH(T$6,'RFM input'!$H$60:$Q$60,0),INDEX('RFM input'!$K$7:$K$56,$A1364,1))))</f>
        <v>0</v>
      </c>
      <c r="U1365" s="1417">
        <f>IF(LEFT(U$6,4)&lt;=LEFT('RFM input'!$G$60,4),"enter input",IF(LEFT(U$6,4)&gt;LEFT('RFM input'!$Q$60,4),0,IF(MATCH(U$6,'RFM input'!$H$60:$Q$60,0),INDEX('RFM input'!$K$7:$K$56,$A1364,1))))</f>
        <v>0</v>
      </c>
      <c r="V1365" s="1417">
        <f>IF(LEFT(V$6,4)&lt;=LEFT('RFM input'!$G$60,4),"enter input",IF(LEFT(V$6,4)&gt;LEFT('RFM input'!$Q$60,4),0,IF(MATCH(V$6,'RFM input'!$H$60:$Q$60,0),INDEX('RFM input'!$K$7:$K$56,$A1364,1))))</f>
        <v>0</v>
      </c>
      <c r="W1365" s="1417">
        <f>IF(LEFT(W$6,4)&lt;=LEFT('RFM input'!$G$60,4),"enter input",IF(LEFT(W$6,4)&gt;LEFT('RFM input'!$Q$60,4),0,IF(MATCH(W$6,'RFM input'!$H$60:$Q$60,0),INDEX('RFM input'!$K$7:$K$56,$A1364,1))))</f>
        <v>0</v>
      </c>
      <c r="X1365" s="152"/>
      <c r="Y1365" s="152"/>
      <c r="Z1365" s="152"/>
      <c r="AA1365" s="152"/>
      <c r="AB1365" s="152"/>
    </row>
    <row r="1366" spans="1:28">
      <c r="A1366" s="152"/>
      <c r="B1366" s="177" t="s">
        <v>191</v>
      </c>
      <c r="C1366" s="1419"/>
      <c r="D1366" s="1420">
        <f ca="1">IF(LEFT(D$6,4)&lt;=LEFT('RFM input'!$G$60,4),"enter input",IF(LEFT(D$6,4)&gt;LEFT('RFM input'!$Q$60,4),0,IF(D$6=(OFFSET('RFM input'!$G$60,0,'RFM input'!$V$7)),OFFSET('RFM input'!$G$411,$A1364,0),0)))</f>
        <v>0</v>
      </c>
      <c r="E1366" s="1417">
        <f ca="1">IF(LEFT(E$6,4)&lt;=LEFT('RFM input'!$G$60,4),"enter input",IF(LEFT(E$6,4)&gt;LEFT('RFM input'!$Q$60,4),0,IF(E$6=(OFFSET('RFM input'!$G$60,0,'RFM input'!$V$7)),OFFSET('RFM input'!$G$411,$A1364,0),0)))</f>
        <v>0</v>
      </c>
      <c r="F1366" s="1417">
        <f ca="1">IF(LEFT(F$6,4)&lt;=LEFT('RFM input'!$G$60,4),"enter input",IF(LEFT(F$6,4)&gt;LEFT('RFM input'!$Q$60,4),0,IF(F$6=(OFFSET('RFM input'!$G$60,0,'RFM input'!$V$7)),OFFSET('RFM input'!$G$411,$A1364,0),0)))</f>
        <v>0</v>
      </c>
      <c r="G1366" s="1417">
        <f ca="1">IF(LEFT(G$6,4)&lt;=LEFT('RFM input'!$G$60,4),"enter input",IF(LEFT(G$6,4)&gt;LEFT('RFM input'!$Q$60,4),0,IF(G$6=(OFFSET('RFM input'!$G$60,0,'RFM input'!$V$7)),OFFSET('RFM input'!$G$411,$A1364,0),0)))</f>
        <v>0</v>
      </c>
      <c r="H1366" s="1417">
        <f ca="1">IF(LEFT(H$6,4)&lt;=LEFT('RFM input'!$G$60,4),"enter input",IF(LEFT(H$6,4)&gt;LEFT('RFM input'!$Q$60,4),0,IF(H$6=(OFFSET('RFM input'!$G$60,0,'RFM input'!$V$7)),OFFSET('RFM input'!$G$411,$A1364,0),0)))</f>
        <v>0</v>
      </c>
      <c r="I1366" s="1417">
        <f ca="1">IF(LEFT(I$6,4)&lt;=LEFT('RFM input'!$G$60,4),"enter input",IF(LEFT(I$6,4)&gt;LEFT('RFM input'!$Q$60,4),0,IF(I$6=(OFFSET('RFM input'!$G$60,0,'RFM input'!$V$7)),OFFSET('RFM input'!$G$411,$A1364,0),0)))</f>
        <v>0</v>
      </c>
      <c r="J1366" s="1417">
        <f ca="1">IF(LEFT(J$6,4)&lt;=LEFT('RFM input'!$G$60,4),"enter input",IF(LEFT(J$6,4)&gt;LEFT('RFM input'!$Q$60,4),0,IF(J$6=(OFFSET('RFM input'!$G$60,0,'RFM input'!$V$7)),OFFSET('RFM input'!$G$411,$A1364,0),0)))</f>
        <v>0</v>
      </c>
      <c r="K1366" s="1417">
        <f ca="1">IF(LEFT(K$6,4)&lt;=LEFT('RFM input'!$G$60,4),"enter input",IF(LEFT(K$6,4)&gt;LEFT('RFM input'!$Q$60,4),0,IF(K$6=(OFFSET('RFM input'!$G$60,0,'RFM input'!$V$7)),OFFSET('RFM input'!$G$411,$A1364,0),0)))</f>
        <v>0</v>
      </c>
      <c r="L1366" s="1417">
        <f ca="1">IF(LEFT(L$6,4)&lt;=LEFT('RFM input'!$G$60,4),"enter input",IF(LEFT(L$6,4)&gt;LEFT('RFM input'!$Q$60,4),0,IF(L$6=(OFFSET('RFM input'!$G$60,0,'RFM input'!$V$7)),OFFSET('RFM input'!$G$411,$A1364,0),0)))</f>
        <v>0</v>
      </c>
      <c r="M1366" s="1417">
        <f ca="1">IF(LEFT(M$6,4)&lt;=LEFT('RFM input'!$G$60,4),"enter input",IF(LEFT(M$6,4)&gt;LEFT('RFM input'!$Q$60,4),0,IF(M$6=(OFFSET('RFM input'!$G$60,0,'RFM input'!$V$7)),OFFSET('RFM input'!$G$411,$A1364,0),0)))</f>
        <v>0</v>
      </c>
      <c r="N1366" s="1417">
        <f ca="1">IF(LEFT(N$6,4)&lt;=LEFT('RFM input'!$G$60,4),"enter input",IF(LEFT(N$6,4)&gt;LEFT('RFM input'!$Q$60,4),0,IF(N$6=(OFFSET('RFM input'!$G$60,0,'RFM input'!$V$7)),OFFSET('RFM input'!$G$411,$A1364,0),0)))</f>
        <v>0</v>
      </c>
      <c r="O1366" s="1417">
        <f ca="1">IF(LEFT(O$6,4)&lt;=LEFT('RFM input'!$G$60,4),"enter input",IF(LEFT(O$6,4)&gt;LEFT('RFM input'!$Q$60,4),0,IF(O$6=(OFFSET('RFM input'!$G$60,0,'RFM input'!$V$7)),OFFSET('RFM input'!$G$411,$A1364,0),0)))</f>
        <v>0</v>
      </c>
      <c r="P1366" s="1417">
        <f ca="1">IF(LEFT(P$6,4)&lt;=LEFT('RFM input'!$G$60,4),"enter input",IF(LEFT(P$6,4)&gt;LEFT('RFM input'!$Q$60,4),0,IF(P$6=(OFFSET('RFM input'!$G$60,0,'RFM input'!$V$7)),OFFSET('RFM input'!$G$411,$A1364,0),0)))</f>
        <v>0</v>
      </c>
      <c r="Q1366" s="1417">
        <f ca="1">IF(LEFT(Q$6,4)&lt;=LEFT('RFM input'!$G$60,4),"enter input",IF(LEFT(Q$6,4)&gt;LEFT('RFM input'!$Q$60,4),0,IF(Q$6=(OFFSET('RFM input'!$G$60,0,'RFM input'!$V$7)),OFFSET('RFM input'!$G$411,$A1364,0),0)))</f>
        <v>0</v>
      </c>
      <c r="R1366" s="1417">
        <f ca="1">IF(LEFT(R$6,4)&lt;=LEFT('RFM input'!$G$60,4),"enter input",IF(LEFT(R$6,4)&gt;LEFT('RFM input'!$Q$60,4),0,IF(R$6=(OFFSET('RFM input'!$G$60,0,'RFM input'!$V$7)),OFFSET('RFM input'!$G$411,$A1364,0),0)))</f>
        <v>0</v>
      </c>
      <c r="S1366" s="1417">
        <f ca="1">IF(LEFT(S$6,4)&lt;=LEFT('RFM input'!$G$60,4),"enter input",IF(LEFT(S$6,4)&gt;LEFT('RFM input'!$Q$60,4),0,IF(S$6=(OFFSET('RFM input'!$G$60,0,'RFM input'!$V$7)),OFFSET('RFM input'!$G$411,$A1364,0),0)))</f>
        <v>0</v>
      </c>
      <c r="T1366" s="1417">
        <f ca="1">IF(LEFT(T$6,4)&lt;=LEFT('RFM input'!$G$60,4),"enter input",IF(LEFT(T$6,4)&gt;LEFT('RFM input'!$Q$60,4),0,IF(T$6=(OFFSET('RFM input'!$G$60,0,'RFM input'!$V$7)),OFFSET('RFM input'!$G$411,$A1364,0),0)))</f>
        <v>0</v>
      </c>
      <c r="U1366" s="1417">
        <f ca="1">IF(LEFT(U$6,4)&lt;=LEFT('RFM input'!$G$60,4),"enter input",IF(LEFT(U$6,4)&gt;LEFT('RFM input'!$Q$60,4),0,IF(U$6=(OFFSET('RFM input'!$G$60,0,'RFM input'!$V$7)),OFFSET('RFM input'!$G$411,$A1364,0),0)))</f>
        <v>0</v>
      </c>
      <c r="V1366" s="1417">
        <f ca="1">IF(LEFT(V$6,4)&lt;=LEFT('RFM input'!$G$60,4),"enter input",IF(LEFT(V$6,4)&gt;LEFT('RFM input'!$Q$60,4),0,IF(V$6=(OFFSET('RFM input'!$G$60,0,'RFM input'!$V$7)),OFFSET('RFM input'!$G$411,$A1364,0),0)))</f>
        <v>0</v>
      </c>
      <c r="W1366" s="1417">
        <f ca="1">IF(LEFT(W$6,4)&lt;=LEFT('RFM input'!$G$60,4),"enter input",IF(LEFT(W$6,4)&gt;LEFT('RFM input'!$Q$60,4),0,IF(W$6=(OFFSET('RFM input'!$G$60,0,'RFM input'!$V$7)),OFFSET('RFM input'!$G$411,$A1364,0),0)))</f>
        <v>0</v>
      </c>
      <c r="X1366" s="152"/>
      <c r="Y1366" s="152"/>
      <c r="Z1366" s="152"/>
      <c r="AA1366" s="152"/>
      <c r="AB1366" s="152"/>
    </row>
    <row r="1367" spans="1:28">
      <c r="A1367" s="152"/>
      <c r="B1367" s="195" t="s">
        <v>197</v>
      </c>
      <c r="C1367" s="1419"/>
      <c r="D1367" s="1418">
        <f ca="1">IF(LEFT(D$6,4)&lt;=LEFT('RFM input'!$G$60,4),"enter input",IF(LEFT(D$6,4)&gt;LEFT('RFM input'!$Q$60,4),0,IF(D$6=(OFFSET('RFM input'!$G$60,0,'RFM input'!$V$7)),OFFSET('RFM input'!$I$411,$A1364,0),0)))</f>
        <v>0</v>
      </c>
      <c r="E1367" s="1422">
        <f ca="1">IF(LEFT(E$6,4)&lt;=LEFT('RFM input'!$G$60,4),"enter input",IF(LEFT(E$6,4)&gt;LEFT('RFM input'!$Q$60,4),0,IF(E$6=(OFFSET('RFM input'!$G$60,0,'RFM input'!$V$7)),OFFSET('RFM input'!$I$411,$A1364,0),0)))</f>
        <v>0</v>
      </c>
      <c r="F1367" s="1422">
        <f ca="1">IF(LEFT(F$6,4)&lt;=LEFT('RFM input'!$G$60,4),"enter input",IF(LEFT(F$6,4)&gt;LEFT('RFM input'!$Q$60,4),0,IF(F$6=(OFFSET('RFM input'!$G$60,0,'RFM input'!$V$7)),OFFSET('RFM input'!$I$411,$A1364,0),0)))</f>
        <v>0</v>
      </c>
      <c r="G1367" s="1422">
        <f ca="1">IF(LEFT(G$6,4)&lt;=LEFT('RFM input'!$G$60,4),"enter input",IF(LEFT(G$6,4)&gt;LEFT('RFM input'!$Q$60,4),0,IF(G$6=(OFFSET('RFM input'!$G$60,0,'RFM input'!$V$7)),OFFSET('RFM input'!$I$411,$A1364,0),0)))</f>
        <v>0</v>
      </c>
      <c r="H1367" s="1422">
        <f ca="1">IF(LEFT(H$6,4)&lt;=LEFT('RFM input'!$G$60,4),"enter input",IF(LEFT(H$6,4)&gt;LEFT('RFM input'!$Q$60,4),0,IF(H$6=(OFFSET('RFM input'!$G$60,0,'RFM input'!$V$7)),OFFSET('RFM input'!$I$411,$A1364,0),0)))</f>
        <v>0</v>
      </c>
      <c r="I1367" s="1422">
        <f ca="1">IF(LEFT(I$6,4)&lt;=LEFT('RFM input'!$G$60,4),"enter input",IF(LEFT(I$6,4)&gt;LEFT('RFM input'!$Q$60,4),0,IF(I$6=(OFFSET('RFM input'!$G$60,0,'RFM input'!$V$7)),OFFSET('RFM input'!$I$411,$A1364,0),0)))</f>
        <v>0</v>
      </c>
      <c r="J1367" s="1422">
        <f ca="1">IF(LEFT(J$6,4)&lt;=LEFT('RFM input'!$G$60,4),"enter input",IF(LEFT(J$6,4)&gt;LEFT('RFM input'!$Q$60,4),0,IF(J$6=(OFFSET('RFM input'!$G$60,0,'RFM input'!$V$7)),OFFSET('RFM input'!$I$411,$A1364,0),0)))</f>
        <v>0</v>
      </c>
      <c r="K1367" s="1422">
        <f ca="1">IF(LEFT(K$6,4)&lt;=LEFT('RFM input'!$G$60,4),"enter input",IF(LEFT(K$6,4)&gt;LEFT('RFM input'!$Q$60,4),0,IF(K$6=(OFFSET('RFM input'!$G$60,0,'RFM input'!$V$7)),OFFSET('RFM input'!$I$411,$A1364,0),0)))</f>
        <v>0</v>
      </c>
      <c r="L1367" s="1422">
        <f ca="1">IF(LEFT(L$6,4)&lt;=LEFT('RFM input'!$G$60,4),"enter input",IF(LEFT(L$6,4)&gt;LEFT('RFM input'!$Q$60,4),0,IF(L$6=(OFFSET('RFM input'!$G$60,0,'RFM input'!$V$7)),OFFSET('RFM input'!$I$411,$A1364,0),0)))</f>
        <v>0</v>
      </c>
      <c r="M1367" s="1422">
        <f ca="1">IF(LEFT(M$6,4)&lt;=LEFT('RFM input'!$G$60,4),"enter input",IF(LEFT(M$6,4)&gt;LEFT('RFM input'!$Q$60,4),0,IF(M$6=(OFFSET('RFM input'!$G$60,0,'RFM input'!$V$7)),OFFSET('RFM input'!$I$411,$A1364,0),0)))</f>
        <v>0</v>
      </c>
      <c r="N1367" s="1422">
        <f ca="1">IF(LEFT(N$6,4)&lt;=LEFT('RFM input'!$G$60,4),"enter input",IF(LEFT(N$6,4)&gt;LEFT('RFM input'!$Q$60,4),0,IF(N$6=(OFFSET('RFM input'!$G$60,0,'RFM input'!$V$7)),OFFSET('RFM input'!$I$411,$A1364,0),0)))</f>
        <v>0</v>
      </c>
      <c r="O1367" s="1422">
        <f ca="1">IF(LEFT(O$6,4)&lt;=LEFT('RFM input'!$G$60,4),"enter input",IF(LEFT(O$6,4)&gt;LEFT('RFM input'!$Q$60,4),0,IF(O$6=(OFFSET('RFM input'!$G$60,0,'RFM input'!$V$7)),OFFSET('RFM input'!$I$411,$A1364,0),0)))</f>
        <v>0</v>
      </c>
      <c r="P1367" s="1422">
        <f ca="1">IF(LEFT(P$6,4)&lt;=LEFT('RFM input'!$G$60,4),"enter input",IF(LEFT(P$6,4)&gt;LEFT('RFM input'!$Q$60,4),0,IF(P$6=(OFFSET('RFM input'!$G$60,0,'RFM input'!$V$7)),OFFSET('RFM input'!$I$411,$A1364,0),0)))</f>
        <v>0</v>
      </c>
      <c r="Q1367" s="1422">
        <f ca="1">IF(LEFT(Q$6,4)&lt;=LEFT('RFM input'!$G$60,4),"enter input",IF(LEFT(Q$6,4)&gt;LEFT('RFM input'!$Q$60,4),0,IF(Q$6=(OFFSET('RFM input'!$G$60,0,'RFM input'!$V$7)),OFFSET('RFM input'!$I$411,$A1364,0),0)))</f>
        <v>0</v>
      </c>
      <c r="R1367" s="1422">
        <f ca="1">IF(LEFT(R$6,4)&lt;=LEFT('RFM input'!$G$60,4),"enter input",IF(LEFT(R$6,4)&gt;LEFT('RFM input'!$Q$60,4),0,IF(R$6=(OFFSET('RFM input'!$G$60,0,'RFM input'!$V$7)),OFFSET('RFM input'!$I$411,$A1364,0),0)))</f>
        <v>0</v>
      </c>
      <c r="S1367" s="1422">
        <f ca="1">IF(LEFT(S$6,4)&lt;=LEFT('RFM input'!$G$60,4),"enter input",IF(LEFT(S$6,4)&gt;LEFT('RFM input'!$Q$60,4),0,IF(S$6=(OFFSET('RFM input'!$G$60,0,'RFM input'!$V$7)),OFFSET('RFM input'!$I$411,$A1364,0),0)))</f>
        <v>0</v>
      </c>
      <c r="T1367" s="1422">
        <f ca="1">IF(LEFT(T$6,4)&lt;=LEFT('RFM input'!$G$60,4),"enter input",IF(LEFT(T$6,4)&gt;LEFT('RFM input'!$Q$60,4),0,IF(T$6=(OFFSET('RFM input'!$G$60,0,'RFM input'!$V$7)),OFFSET('RFM input'!$I$411,$A1364,0),0)))</f>
        <v>0</v>
      </c>
      <c r="U1367" s="1422">
        <f ca="1">IF(LEFT(U$6,4)&lt;=LEFT('RFM input'!$G$60,4),"enter input",IF(LEFT(U$6,4)&gt;LEFT('RFM input'!$Q$60,4),0,IF(U$6=(OFFSET('RFM input'!$G$60,0,'RFM input'!$V$7)),OFFSET('RFM input'!$I$411,$A1364,0),0)))</f>
        <v>0</v>
      </c>
      <c r="V1367" s="1422">
        <f ca="1">IF(LEFT(V$6,4)&lt;=LEFT('RFM input'!$G$60,4),"enter input",IF(LEFT(V$6,4)&gt;LEFT('RFM input'!$Q$60,4),0,IF(V$6=(OFFSET('RFM input'!$G$60,0,'RFM input'!$V$7)),OFFSET('RFM input'!$I$411,$A1364,0),0)))</f>
        <v>0</v>
      </c>
      <c r="W1367" s="1422">
        <f ca="1">IF(LEFT(W$6,4)&lt;=LEFT('RFM input'!$G$60,4),"enter input",IF(LEFT(W$6,4)&gt;LEFT('RFM input'!$Q$60,4),0,IF(W$6=(OFFSET('RFM input'!$G$60,0,'RFM input'!$V$7)),OFFSET('RFM input'!$I$411,$A1364,0),0)))</f>
        <v>0</v>
      </c>
      <c r="X1367" s="152"/>
      <c r="Y1367" s="152"/>
      <c r="Z1367" s="152"/>
      <c r="AA1367" s="152"/>
      <c r="AB1367" s="152"/>
    </row>
    <row r="1368" spans="1:28" hidden="1" outlineLevel="1">
      <c r="A1368" s="235">
        <v>-1</v>
      </c>
      <c r="B1368" s="190" t="s">
        <v>189</v>
      </c>
      <c r="C1368" s="1423"/>
      <c r="D1368" s="1423">
        <f ca="1">IF(AND(D1366=0,C1368=0),0,
IF(AND(D1366&lt;&gt;0,C1368=0),(D1366/D$10),
IF(AND(D1367&lt;&gt;0,C1368&lt;&gt;0),(C1368-(C1368/C1392))+(D1366/D$10),
IF(C1392&lt;1,0,(C1368-(C1368/C1392))))))</f>
        <v>0</v>
      </c>
      <c r="E1368" s="1423">
        <f t="shared" ref="E1368" ca="1" si="1990">IF(AND(E1366=0,D1368=0),0,
IF(AND(E1366&lt;&gt;0,D1368=0),(E1366/E$10),
IF(AND(E1367&lt;&gt;0,D1368&lt;&gt;0),(D1368-(D1368/D1392))+(E1366/E$10),
IF(D1392&lt;1,0,(D1368-(D1368/D1392))))))</f>
        <v>0</v>
      </c>
      <c r="F1368" s="1423">
        <f t="shared" ref="F1368" ca="1" si="1991">IF(AND(F1366=0,E1368=0),0,
IF(AND(F1366&lt;&gt;0,E1368=0),(F1366/F$10),
IF(AND(F1367&lt;&gt;0,E1368&lt;&gt;0),(E1368-(E1368/E1392))+(F1366/F$10),
IF(E1392&lt;1,0,(E1368-(E1368/E1392))))))</f>
        <v>0</v>
      </c>
      <c r="G1368" s="1423">
        <f t="shared" ref="G1368" ca="1" si="1992">IF(AND(G1366=0,F1368=0),0,
IF(AND(G1366&lt;&gt;0,F1368=0),(G1366/G$10),
IF(AND(G1367&lt;&gt;0,F1368&lt;&gt;0),(F1368-(F1368/F1392))+(G1366/G$10),
IF(F1392&lt;1,0,(F1368-(F1368/F1392))))))</f>
        <v>0</v>
      </c>
      <c r="H1368" s="1423">
        <f t="shared" ref="H1368" ca="1" si="1993">IF(AND(H1366=0,G1368=0),0,
IF(AND(H1366&lt;&gt;0,G1368=0),(H1366/H$10),
IF(AND(H1367&lt;&gt;0,G1368&lt;&gt;0),(G1368-(G1368/G1392))+(H1366/H$10),
IF(G1392&lt;1,0,(G1368-(G1368/G1392))))))</f>
        <v>0</v>
      </c>
      <c r="I1368" s="1423">
        <f t="shared" ref="I1368" ca="1" si="1994">IF(AND(I1366=0,H1368=0),0,
IF(AND(I1366&lt;&gt;0,H1368=0),(I1366/I$10),
IF(AND(I1367&lt;&gt;0,H1368&lt;&gt;0),(H1368-(H1368/H1392))+(I1366/I$10),
IF(H1392&lt;1,0,(H1368-(H1368/H1392))))))</f>
        <v>0</v>
      </c>
      <c r="J1368" s="1423">
        <f t="shared" ref="J1368" ca="1" si="1995">IF(AND(J1366=0,I1368=0),0,
IF(AND(J1366&lt;&gt;0,I1368=0),(J1366/J$10),
IF(AND(J1367&lt;&gt;0,I1368&lt;&gt;0),(I1368-(I1368/I1392))+(J1366/J$10),
IF(I1392&lt;1,0,(I1368-(I1368/I1392))))))</f>
        <v>0</v>
      </c>
      <c r="K1368" s="1423">
        <f t="shared" ref="K1368" ca="1" si="1996">IF(AND(K1366=0,J1368=0),0,
IF(AND(K1366&lt;&gt;0,J1368=0),(K1366/K$10),
IF(AND(K1367&lt;&gt;0,J1368&lt;&gt;0),(J1368-(J1368/J1392))+(K1366/K$10),
IF(J1392&lt;1,0,(J1368-(J1368/J1392))))))</f>
        <v>0</v>
      </c>
      <c r="L1368" s="1423">
        <f t="shared" ref="L1368" ca="1" si="1997">IF(AND(L1366=0,K1368=0),0,
IF(AND(L1366&lt;&gt;0,K1368=0),(L1366/L$10),
IF(AND(L1367&lt;&gt;0,K1368&lt;&gt;0),(K1368-(K1368/K1392))+(L1366/L$10),
IF(K1392&lt;1,0,(K1368-(K1368/K1392))))))</f>
        <v>0</v>
      </c>
      <c r="M1368" s="1423">
        <f t="shared" ref="M1368" ca="1" si="1998">IF(AND(M1366=0,L1368=0),0,
IF(AND(M1366&lt;&gt;0,L1368=0),(M1366/M$10),
IF(AND(M1367&lt;&gt;0,L1368&lt;&gt;0),(L1368-(L1368/L1392))+(M1366/M$10),
IF(L1392&lt;1,0,(L1368-(L1368/L1392))))))</f>
        <v>0</v>
      </c>
      <c r="N1368" s="1423">
        <f t="shared" ref="N1368" ca="1" si="1999">IF(AND(N1366=0,M1368=0),0,
IF(AND(N1366&lt;&gt;0,M1368=0),(N1366/N$10),
IF(AND(N1367&lt;&gt;0,M1368&lt;&gt;0),(M1368-(M1368/M1392))+(N1366/N$10),
IF(M1392&lt;1,0,(M1368-(M1368/M1392))))))</f>
        <v>0</v>
      </c>
      <c r="O1368" s="1423">
        <f t="shared" ref="O1368" ca="1" si="2000">IF(AND(O1366=0,N1368=0),0,
IF(AND(O1366&lt;&gt;0,N1368=0),(O1366/O$10),
IF(AND(O1367&lt;&gt;0,N1368&lt;&gt;0),(N1368-(N1368/N1392))+(O1366/O$10),
IF(N1392&lt;1,0,(N1368-(N1368/N1392))))))</f>
        <v>0</v>
      </c>
      <c r="P1368" s="1423">
        <f t="shared" ref="P1368" ca="1" si="2001">IF(AND(P1366=0,O1368=0),0,
IF(AND(P1366&lt;&gt;0,O1368=0),(P1366/P$10),
IF(AND(P1367&lt;&gt;0,O1368&lt;&gt;0),(O1368-(O1368/O1392))+(P1366/P$10),
IF(O1392&lt;1,0,(O1368-(O1368/O1392))))))</f>
        <v>0</v>
      </c>
      <c r="Q1368" s="1423">
        <f t="shared" ref="Q1368" ca="1" si="2002">IF(AND(Q1366=0,P1368=0),0,
IF(AND(Q1366&lt;&gt;0,P1368=0),(Q1366/Q$10),
IF(AND(Q1367&lt;&gt;0,P1368&lt;&gt;0),(P1368-(P1368/P1392))+(Q1366/Q$10),
IF(P1392&lt;1,0,(P1368-(P1368/P1392))))))</f>
        <v>0</v>
      </c>
      <c r="R1368" s="1423">
        <f t="shared" ref="R1368" ca="1" si="2003">IF(AND(R1366=0,Q1368=0),0,
IF(AND(R1366&lt;&gt;0,Q1368=0),(R1366/R$10),
IF(AND(R1367&lt;&gt;0,Q1368&lt;&gt;0),(Q1368-(Q1368/Q1392))+(R1366/R$10),
IF(Q1392&lt;1,0,(Q1368-(Q1368/Q1392))))))</f>
        <v>0</v>
      </c>
      <c r="S1368" s="1423">
        <f t="shared" ref="S1368" ca="1" si="2004">IF(AND(S1366=0,R1368=0),0,
IF(AND(S1366&lt;&gt;0,R1368=0),(S1366/S$10),
IF(AND(S1367&lt;&gt;0,R1368&lt;&gt;0),(R1368-(R1368/R1392))+(S1366/S$10),
IF(R1392&lt;1,0,(R1368-(R1368/R1392))))))</f>
        <v>0</v>
      </c>
      <c r="T1368" s="1423">
        <f t="shared" ref="T1368" ca="1" si="2005">IF(AND(T1366=0,S1368=0),0,
IF(AND(T1366&lt;&gt;0,S1368=0),(T1366/T$10),
IF(AND(T1367&lt;&gt;0,S1368&lt;&gt;0),(S1368-(S1368/S1392))+(T1366/T$10),
IF(S1392&lt;1,0,(S1368-(S1368/S1392))))))</f>
        <v>0</v>
      </c>
      <c r="U1368" s="1423">
        <f t="shared" ref="U1368" ca="1" si="2006">IF(AND(U1366=0,T1368=0),0,
IF(AND(U1366&lt;&gt;0,T1368=0),(U1366/U$10),
IF(AND(U1367&lt;&gt;0,T1368&lt;&gt;0),(T1368-(T1368/T1392))+(U1366/U$10),
IF(T1392&lt;1,0,(T1368-(T1368/T1392))))))</f>
        <v>0</v>
      </c>
      <c r="V1368" s="1423">
        <f t="shared" ref="V1368" ca="1" si="2007">IF(AND(V1366=0,U1368=0),0,
IF(AND(V1366&lt;&gt;0,U1368=0),(V1366/V$10),
IF(AND(V1367&lt;&gt;0,U1368&lt;&gt;0),(U1368-(U1368/U1392))+(V1366/V$10),
IF(U1392&lt;1,0,(U1368-(U1368/U1392))))))</f>
        <v>0</v>
      </c>
      <c r="W1368" s="1423">
        <f t="shared" ref="W1368" ca="1" si="2008">IF(AND(W1366=0,V1368=0),0,
IF(AND(W1366&lt;&gt;0,V1368=0),(W1366/W$10),
IF(AND(W1367&lt;&gt;0,V1368&lt;&gt;0),(V1368-(V1368/V1392))+(W1366/W$10),
IF(V1392&lt;1,0,(V1368-(V1368/V1392))))))</f>
        <v>0</v>
      </c>
      <c r="X1368" s="152"/>
      <c r="Y1368" s="152"/>
      <c r="Z1368" s="152"/>
      <c r="AA1368" s="152"/>
      <c r="AB1368" s="152"/>
    </row>
    <row r="1369" spans="1:28" hidden="1" outlineLevel="1">
      <c r="A1369" s="199">
        <f>A1368+1</f>
        <v>0</v>
      </c>
      <c r="B1369" s="190" t="s">
        <v>125</v>
      </c>
      <c r="C1369" s="1423">
        <f ca="1">C1364/C$10</f>
        <v>0</v>
      </c>
      <c r="D1369" s="1423">
        <f ca="1">IF(C1393="n/a",C1369,IFERROR(IF((OFFSET($C1369,0,$A1369))&lt;0,
MIN(0,C1369-(OFFSET($C1369,0,$A1369)/(OFFSET($C1364,-$A1368,$A1369)))),
MAX(0,C1369-(OFFSET($C1369,0,$A1369)/(OFFSET($C1364,-$A1368,$A1369))))),0))</f>
        <v>0</v>
      </c>
      <c r="E1369" s="1423">
        <f t="shared" ref="E1369" ca="1" si="2009">IF(D1393="n/a",D1369,IFERROR(IF((OFFSET($C1369,0,$A1369))&lt;0,
MIN(0,D1369-(OFFSET($C1369,0,$A1369)/(OFFSET($C1364,-$A1368,$A1369)))),
MAX(0,D1369-(OFFSET($C1369,0,$A1369)/(OFFSET($C1364,-$A1368,$A1369))))),0))</f>
        <v>0</v>
      </c>
      <c r="F1369" s="1423">
        <f t="shared" ref="F1369:F1370" ca="1" si="2010">IF(E1393="n/a",E1369,IFERROR(IF((OFFSET($C1369,0,$A1369))&lt;0,
MIN(0,E1369-(OFFSET($C1369,0,$A1369)/(OFFSET($C1364,-$A1368,$A1369)))),
MAX(0,E1369-(OFFSET($C1369,0,$A1369)/(OFFSET($C1364,-$A1368,$A1369))))),0))</f>
        <v>0</v>
      </c>
      <c r="G1369" s="1423">
        <f t="shared" ref="G1369:G1371" ca="1" si="2011">IF(F1393="n/a",F1369,IFERROR(IF((OFFSET($C1369,0,$A1369))&lt;0,
MIN(0,F1369-(OFFSET($C1369,0,$A1369)/(OFFSET($C1364,-$A1368,$A1369)))),
MAX(0,F1369-(OFFSET($C1369,0,$A1369)/(OFFSET($C1364,-$A1368,$A1369))))),0))</f>
        <v>0</v>
      </c>
      <c r="H1369" s="1423">
        <f t="shared" ref="H1369:H1372" ca="1" si="2012">IF(G1393="n/a",G1369,IFERROR(IF((OFFSET($C1369,0,$A1369))&lt;0,
MIN(0,G1369-(OFFSET($C1369,0,$A1369)/(OFFSET($C1364,-$A1368,$A1369)))),
MAX(0,G1369-(OFFSET($C1369,0,$A1369)/(OFFSET($C1364,-$A1368,$A1369))))),0))</f>
        <v>0</v>
      </c>
      <c r="I1369" s="1423">
        <f t="shared" ref="I1369:I1373" ca="1" si="2013">IF(H1393="n/a",H1369,IFERROR(IF((OFFSET($C1369,0,$A1369))&lt;0,
MIN(0,H1369-(OFFSET($C1369,0,$A1369)/(OFFSET($C1364,-$A1368,$A1369)))),
MAX(0,H1369-(OFFSET($C1369,0,$A1369)/(OFFSET($C1364,-$A1368,$A1369))))),0))</f>
        <v>0</v>
      </c>
      <c r="J1369" s="1423">
        <f t="shared" ref="J1369:J1374" ca="1" si="2014">IF(I1393="n/a",I1369,IFERROR(IF((OFFSET($C1369,0,$A1369))&lt;0,
MIN(0,I1369-(OFFSET($C1369,0,$A1369)/(OFFSET($C1364,-$A1368,$A1369)))),
MAX(0,I1369-(OFFSET($C1369,0,$A1369)/(OFFSET($C1364,-$A1368,$A1369))))),0))</f>
        <v>0</v>
      </c>
      <c r="K1369" s="1423">
        <f t="shared" ref="K1369:K1375" ca="1" si="2015">IF(J1393="n/a",J1369,IFERROR(IF((OFFSET($C1369,0,$A1369))&lt;0,
MIN(0,J1369-(OFFSET($C1369,0,$A1369)/(OFFSET($C1364,-$A1368,$A1369)))),
MAX(0,J1369-(OFFSET($C1369,0,$A1369)/(OFFSET($C1364,-$A1368,$A1369))))),0))</f>
        <v>0</v>
      </c>
      <c r="L1369" s="1423">
        <f t="shared" ref="L1369:L1376" ca="1" si="2016">IF(K1393="n/a",K1369,IFERROR(IF((OFFSET($C1369,0,$A1369))&lt;0,
MIN(0,K1369-(OFFSET($C1369,0,$A1369)/(OFFSET($C1364,-$A1368,$A1369)))),
MAX(0,K1369-(OFFSET($C1369,0,$A1369)/(OFFSET($C1364,-$A1368,$A1369))))),0))</f>
        <v>0</v>
      </c>
      <c r="M1369" s="1423">
        <f t="shared" ref="M1369:M1377" ca="1" si="2017">IF(L1393="n/a",L1369,IFERROR(IF((OFFSET($C1369,0,$A1369))&lt;0,
MIN(0,L1369-(OFFSET($C1369,0,$A1369)/(OFFSET($C1364,-$A1368,$A1369)))),
MAX(0,L1369-(OFFSET($C1369,0,$A1369)/(OFFSET($C1364,-$A1368,$A1369))))),0))</f>
        <v>0</v>
      </c>
      <c r="N1369" s="1423">
        <f t="shared" ref="N1369:N1378" ca="1" si="2018">IF(M1393="n/a",M1369,IFERROR(IF((OFFSET($C1369,0,$A1369))&lt;0,
MIN(0,M1369-(OFFSET($C1369,0,$A1369)/(OFFSET($C1364,-$A1368,$A1369)))),
MAX(0,M1369-(OFFSET($C1369,0,$A1369)/(OFFSET($C1364,-$A1368,$A1369))))),0))</f>
        <v>0</v>
      </c>
      <c r="O1369" s="1423">
        <f t="shared" ref="O1369:O1379" ca="1" si="2019">IF(N1393="n/a",N1369,IFERROR(IF((OFFSET($C1369,0,$A1369))&lt;0,
MIN(0,N1369-(OFFSET($C1369,0,$A1369)/(OFFSET($C1364,-$A1368,$A1369)))),
MAX(0,N1369-(OFFSET($C1369,0,$A1369)/(OFFSET($C1364,-$A1368,$A1369))))),0))</f>
        <v>0</v>
      </c>
      <c r="P1369" s="1423">
        <f t="shared" ref="P1369:P1380" ca="1" si="2020">IF(O1393="n/a",O1369,IFERROR(IF((OFFSET($C1369,0,$A1369))&lt;0,
MIN(0,O1369-(OFFSET($C1369,0,$A1369)/(OFFSET($C1364,-$A1368,$A1369)))),
MAX(0,O1369-(OFFSET($C1369,0,$A1369)/(OFFSET($C1364,-$A1368,$A1369))))),0))</f>
        <v>0</v>
      </c>
      <c r="Q1369" s="1423">
        <f t="shared" ref="Q1369:Q1381" ca="1" si="2021">IF(P1393="n/a",P1369,IFERROR(IF((OFFSET($C1369,0,$A1369))&lt;0,
MIN(0,P1369-(OFFSET($C1369,0,$A1369)/(OFFSET($C1364,-$A1368,$A1369)))),
MAX(0,P1369-(OFFSET($C1369,0,$A1369)/(OFFSET($C1364,-$A1368,$A1369))))),0))</f>
        <v>0</v>
      </c>
      <c r="R1369" s="1423">
        <f t="shared" ref="R1369:R1382" ca="1" si="2022">IF(Q1393="n/a",Q1369,IFERROR(IF((OFFSET($C1369,0,$A1369))&lt;0,
MIN(0,Q1369-(OFFSET($C1369,0,$A1369)/(OFFSET($C1364,-$A1368,$A1369)))),
MAX(0,Q1369-(OFFSET($C1369,0,$A1369)/(OFFSET($C1364,-$A1368,$A1369))))),0))</f>
        <v>0</v>
      </c>
      <c r="S1369" s="1423">
        <f t="shared" ref="S1369:S1383" ca="1" si="2023">IF(R1393="n/a",R1369,IFERROR(IF((OFFSET($C1369,0,$A1369))&lt;0,
MIN(0,R1369-(OFFSET($C1369,0,$A1369)/(OFFSET($C1364,-$A1368,$A1369)))),
MAX(0,R1369-(OFFSET($C1369,0,$A1369)/(OFFSET($C1364,-$A1368,$A1369))))),0))</f>
        <v>0</v>
      </c>
      <c r="T1369" s="1423">
        <f t="shared" ref="T1369:T1384" ca="1" si="2024">IF(S1393="n/a",S1369,IFERROR(IF((OFFSET($C1369,0,$A1369))&lt;0,
MIN(0,S1369-(OFFSET($C1369,0,$A1369)/(OFFSET($C1364,-$A1368,$A1369)))),
MAX(0,S1369-(OFFSET($C1369,0,$A1369)/(OFFSET($C1364,-$A1368,$A1369))))),0))</f>
        <v>0</v>
      </c>
      <c r="U1369" s="1423">
        <f t="shared" ref="U1369:U1385" ca="1" si="2025">IF(T1393="n/a",T1369,IFERROR(IF((OFFSET($C1369,0,$A1369))&lt;0,
MIN(0,T1369-(OFFSET($C1369,0,$A1369)/(OFFSET($C1364,-$A1368,$A1369)))),
MAX(0,T1369-(OFFSET($C1369,0,$A1369)/(OFFSET($C1364,-$A1368,$A1369))))),0))</f>
        <v>0</v>
      </c>
      <c r="V1369" s="1423">
        <f t="shared" ref="V1369:V1386" ca="1" si="2026">IF(U1393="n/a",U1369,IFERROR(IF((OFFSET($C1369,0,$A1369))&lt;0,
MIN(0,U1369-(OFFSET($C1369,0,$A1369)/(OFFSET($C1364,-$A1368,$A1369)))),
MAX(0,U1369-(OFFSET($C1369,0,$A1369)/(OFFSET($C1364,-$A1368,$A1369))))),0))</f>
        <v>0</v>
      </c>
      <c r="W1369" s="1423">
        <f t="shared" ref="W1369:W1387" ca="1" si="2027">IF(V1393="n/a",V1369,IFERROR(IF((OFFSET($C1369,0,$A1369))&lt;0,
MIN(0,V1369-(OFFSET($C1369,0,$A1369)/(OFFSET($C1364,-$A1368,$A1369)))),
MAX(0,V1369-(OFFSET($C1369,0,$A1369)/(OFFSET($C1364,-$A1368,$A1369))))),0))</f>
        <v>0</v>
      </c>
      <c r="X1369" s="152"/>
      <c r="Y1369" s="152"/>
      <c r="Z1369" s="152"/>
      <c r="AA1369" s="152"/>
      <c r="AB1369" s="152"/>
    </row>
    <row r="1370" spans="1:28" hidden="1" outlineLevel="1">
      <c r="A1370" s="199">
        <f t="shared" ref="A1370:A1389" si="2028">A1369+1</f>
        <v>1</v>
      </c>
      <c r="B1370" s="190" t="str">
        <f t="shared" ref="B1370:B1388" ca="1" si="2029">"Depreciated Net Capex "&amp;OFFSET($C$6,0,A1370)</f>
        <v>Depreciated Net Capex 2016-17</v>
      </c>
      <c r="C1370" s="1424"/>
      <c r="D1370" s="1425">
        <f>(D1364*((1+D$11)^0.5)/D$10)</f>
        <v>0</v>
      </c>
      <c r="E1370" s="1423">
        <f ca="1">IF(D1394="n/a",D1370,IFERROR(IF((OFFSET($C1370,0,$A1370))&lt;0,
MIN(0,D1370-(OFFSET($C1370,0,$A1370)/(OFFSET($C1365,-$A1369,$A1370)))),
MAX(0,D1370-(OFFSET($C1370,0,$A1370)/(OFFSET($C1365,-$A1369,$A1370))))),0))</f>
        <v>0</v>
      </c>
      <c r="F1370" s="1423">
        <f t="shared" ca="1" si="2010"/>
        <v>0</v>
      </c>
      <c r="G1370" s="1423">
        <f t="shared" ca="1" si="2011"/>
        <v>0</v>
      </c>
      <c r="H1370" s="1423">
        <f t="shared" ca="1" si="2012"/>
        <v>0</v>
      </c>
      <c r="I1370" s="1423">
        <f t="shared" ca="1" si="2013"/>
        <v>0</v>
      </c>
      <c r="J1370" s="1423">
        <f t="shared" ca="1" si="2014"/>
        <v>0</v>
      </c>
      <c r="K1370" s="1423">
        <f t="shared" ca="1" si="2015"/>
        <v>0</v>
      </c>
      <c r="L1370" s="1423">
        <f t="shared" ca="1" si="2016"/>
        <v>0</v>
      </c>
      <c r="M1370" s="1423">
        <f t="shared" ca="1" si="2017"/>
        <v>0</v>
      </c>
      <c r="N1370" s="1423">
        <f t="shared" ca="1" si="2018"/>
        <v>0</v>
      </c>
      <c r="O1370" s="1423">
        <f t="shared" ca="1" si="2019"/>
        <v>0</v>
      </c>
      <c r="P1370" s="1423">
        <f t="shared" ca="1" si="2020"/>
        <v>0</v>
      </c>
      <c r="Q1370" s="1423">
        <f t="shared" ca="1" si="2021"/>
        <v>0</v>
      </c>
      <c r="R1370" s="1423">
        <f t="shared" ca="1" si="2022"/>
        <v>0</v>
      </c>
      <c r="S1370" s="1423">
        <f t="shared" ca="1" si="2023"/>
        <v>0</v>
      </c>
      <c r="T1370" s="1423">
        <f t="shared" ca="1" si="2024"/>
        <v>0</v>
      </c>
      <c r="U1370" s="1423">
        <f t="shared" ca="1" si="2025"/>
        <v>0</v>
      </c>
      <c r="V1370" s="1423">
        <f t="shared" ca="1" si="2026"/>
        <v>0</v>
      </c>
      <c r="W1370" s="1423">
        <f t="shared" ca="1" si="2027"/>
        <v>0</v>
      </c>
      <c r="X1370" s="152"/>
      <c r="Y1370" s="152"/>
      <c r="Z1370" s="152"/>
      <c r="AA1370" s="152"/>
      <c r="AB1370" s="152"/>
    </row>
    <row r="1371" spans="1:28" hidden="1" outlineLevel="1">
      <c r="A1371" s="199">
        <f t="shared" si="2028"/>
        <v>2</v>
      </c>
      <c r="B1371" s="190" t="str">
        <f t="shared" ca="1" si="2029"/>
        <v>Depreciated Net Capex 2017-18</v>
      </c>
      <c r="C1371" s="1426"/>
      <c r="D1371" s="1427"/>
      <c r="E1371" s="1425">
        <f>(E1364*((1+E$11)^0.5)/E$10)</f>
        <v>0</v>
      </c>
      <c r="F1371" s="1423">
        <f ca="1">IF(E1395="n/a",E1371,IFERROR(IF((OFFSET($C1371,0,$A1371))&lt;0,
MIN(0,E1371-(OFFSET($C1371,0,$A1371)/(OFFSET($C1366,-$A1370,$A1371)))),
MAX(0,E1371-(OFFSET($C1371,0,$A1371)/(OFFSET($C1366,-$A1370,$A1371))))),0))</f>
        <v>0</v>
      </c>
      <c r="G1371" s="1423">
        <f t="shared" ca="1" si="2011"/>
        <v>0</v>
      </c>
      <c r="H1371" s="1423">
        <f t="shared" ca="1" si="2012"/>
        <v>0</v>
      </c>
      <c r="I1371" s="1423">
        <f t="shared" ca="1" si="2013"/>
        <v>0</v>
      </c>
      <c r="J1371" s="1423">
        <f t="shared" ca="1" si="2014"/>
        <v>0</v>
      </c>
      <c r="K1371" s="1423">
        <f t="shared" ca="1" si="2015"/>
        <v>0</v>
      </c>
      <c r="L1371" s="1423">
        <f t="shared" ca="1" si="2016"/>
        <v>0</v>
      </c>
      <c r="M1371" s="1423">
        <f t="shared" ca="1" si="2017"/>
        <v>0</v>
      </c>
      <c r="N1371" s="1423">
        <f t="shared" ca="1" si="2018"/>
        <v>0</v>
      </c>
      <c r="O1371" s="1423">
        <f t="shared" ca="1" si="2019"/>
        <v>0</v>
      </c>
      <c r="P1371" s="1423">
        <f t="shared" ca="1" si="2020"/>
        <v>0</v>
      </c>
      <c r="Q1371" s="1423">
        <f t="shared" ca="1" si="2021"/>
        <v>0</v>
      </c>
      <c r="R1371" s="1423">
        <f t="shared" ca="1" si="2022"/>
        <v>0</v>
      </c>
      <c r="S1371" s="1423">
        <f t="shared" ca="1" si="2023"/>
        <v>0</v>
      </c>
      <c r="T1371" s="1423">
        <f t="shared" ca="1" si="2024"/>
        <v>0</v>
      </c>
      <c r="U1371" s="1423">
        <f t="shared" ca="1" si="2025"/>
        <v>0</v>
      </c>
      <c r="V1371" s="1423">
        <f t="shared" ca="1" si="2026"/>
        <v>0</v>
      </c>
      <c r="W1371" s="1423">
        <f t="shared" ca="1" si="2027"/>
        <v>0</v>
      </c>
      <c r="X1371" s="202"/>
      <c r="Y1371" s="152"/>
      <c r="Z1371" s="152"/>
      <c r="AA1371" s="152"/>
      <c r="AB1371" s="152"/>
    </row>
    <row r="1372" spans="1:28" hidden="1" outlineLevel="1">
      <c r="A1372" s="199">
        <f t="shared" si="2028"/>
        <v>3</v>
      </c>
      <c r="B1372" s="190" t="str">
        <f t="shared" ca="1" si="2029"/>
        <v>Depreciated Net Capex 2018-19</v>
      </c>
      <c r="C1372" s="1426"/>
      <c r="D1372" s="1426"/>
      <c r="E1372" s="1427"/>
      <c r="F1372" s="1428">
        <f>($F1364*((1+F$11)^0.5)/F$10)</f>
        <v>0</v>
      </c>
      <c r="G1372" s="1423">
        <f ca="1">IF(F1396="n/a",F1372,IFERROR(IF((OFFSET($C1372,0,$A1372))&lt;0,
MIN(0,F1372-(OFFSET($C1372,0,$A1372)/(OFFSET($C1367,-$A1371,$A1372)))),
MAX(0,F1372-(OFFSET($C1372,0,$A1372)/(OFFSET($C1367,-$A1371,$A1372))))),0))</f>
        <v>0</v>
      </c>
      <c r="H1372" s="1423">
        <f t="shared" ca="1" si="2012"/>
        <v>0</v>
      </c>
      <c r="I1372" s="1423">
        <f t="shared" ca="1" si="2013"/>
        <v>0</v>
      </c>
      <c r="J1372" s="1423">
        <f t="shared" ca="1" si="2014"/>
        <v>0</v>
      </c>
      <c r="K1372" s="1423">
        <f t="shared" ca="1" si="2015"/>
        <v>0</v>
      </c>
      <c r="L1372" s="1423">
        <f t="shared" ca="1" si="2016"/>
        <v>0</v>
      </c>
      <c r="M1372" s="1423">
        <f t="shared" ca="1" si="2017"/>
        <v>0</v>
      </c>
      <c r="N1372" s="1423">
        <f t="shared" ca="1" si="2018"/>
        <v>0</v>
      </c>
      <c r="O1372" s="1423">
        <f t="shared" ca="1" si="2019"/>
        <v>0</v>
      </c>
      <c r="P1372" s="1423">
        <f t="shared" ca="1" si="2020"/>
        <v>0</v>
      </c>
      <c r="Q1372" s="1423">
        <f t="shared" ca="1" si="2021"/>
        <v>0</v>
      </c>
      <c r="R1372" s="1423">
        <f t="shared" ca="1" si="2022"/>
        <v>0</v>
      </c>
      <c r="S1372" s="1423">
        <f t="shared" ca="1" si="2023"/>
        <v>0</v>
      </c>
      <c r="T1372" s="1423">
        <f t="shared" ca="1" si="2024"/>
        <v>0</v>
      </c>
      <c r="U1372" s="1423">
        <f t="shared" ca="1" si="2025"/>
        <v>0</v>
      </c>
      <c r="V1372" s="1423">
        <f t="shared" ca="1" si="2026"/>
        <v>0</v>
      </c>
      <c r="W1372" s="1423">
        <f t="shared" ca="1" si="2027"/>
        <v>0</v>
      </c>
      <c r="X1372" s="202"/>
      <c r="Y1372" s="202"/>
      <c r="Z1372" s="152"/>
      <c r="AA1372" s="152"/>
      <c r="AB1372" s="152"/>
    </row>
    <row r="1373" spans="1:28" hidden="1" outlineLevel="1">
      <c r="A1373" s="199">
        <f t="shared" si="2028"/>
        <v>4</v>
      </c>
      <c r="B1373" s="190" t="str">
        <f t="shared" ca="1" si="2029"/>
        <v>Depreciated Net Capex 2019-20</v>
      </c>
      <c r="C1373" s="1426"/>
      <c r="D1373" s="1426"/>
      <c r="E1373" s="1426"/>
      <c r="F1373" s="1427"/>
      <c r="G1373" s="1428">
        <f>($G1364*((1+G$11)^0.5)/G$10)</f>
        <v>0</v>
      </c>
      <c r="H1373" s="1423">
        <f ca="1">IF(G1397="n/a",G1373,IFERROR(IF((OFFSET($C1373,0,$A1373))&lt;0,
MIN(0,G1373-(OFFSET($C1373,0,$A1373)/(OFFSET($C1368,-$A1372,$A1373)))),
MAX(0,G1373-(OFFSET($C1373,0,$A1373)/(OFFSET($C1368,-$A1372,$A1373))))),0))</f>
        <v>0</v>
      </c>
      <c r="I1373" s="1423">
        <f t="shared" ca="1" si="2013"/>
        <v>0</v>
      </c>
      <c r="J1373" s="1423">
        <f t="shared" ca="1" si="2014"/>
        <v>0</v>
      </c>
      <c r="K1373" s="1423">
        <f t="shared" ca="1" si="2015"/>
        <v>0</v>
      </c>
      <c r="L1373" s="1423">
        <f t="shared" ca="1" si="2016"/>
        <v>0</v>
      </c>
      <c r="M1373" s="1423">
        <f t="shared" ca="1" si="2017"/>
        <v>0</v>
      </c>
      <c r="N1373" s="1423">
        <f t="shared" ca="1" si="2018"/>
        <v>0</v>
      </c>
      <c r="O1373" s="1423">
        <f t="shared" ca="1" si="2019"/>
        <v>0</v>
      </c>
      <c r="P1373" s="1423">
        <f t="shared" ca="1" si="2020"/>
        <v>0</v>
      </c>
      <c r="Q1373" s="1423">
        <f t="shared" ca="1" si="2021"/>
        <v>0</v>
      </c>
      <c r="R1373" s="1423">
        <f t="shared" ca="1" si="2022"/>
        <v>0</v>
      </c>
      <c r="S1373" s="1423">
        <f t="shared" ca="1" si="2023"/>
        <v>0</v>
      </c>
      <c r="T1373" s="1423">
        <f t="shared" ca="1" si="2024"/>
        <v>0</v>
      </c>
      <c r="U1373" s="1423">
        <f t="shared" ca="1" si="2025"/>
        <v>0</v>
      </c>
      <c r="V1373" s="1423">
        <f t="shared" ca="1" si="2026"/>
        <v>0</v>
      </c>
      <c r="W1373" s="1423">
        <f t="shared" ca="1" si="2027"/>
        <v>0</v>
      </c>
      <c r="X1373" s="202"/>
      <c r="Y1373" s="202"/>
      <c r="Z1373" s="202"/>
      <c r="AA1373" s="152"/>
      <c r="AB1373" s="152"/>
    </row>
    <row r="1374" spans="1:28" hidden="1" outlineLevel="1">
      <c r="A1374" s="199">
        <f t="shared" si="2028"/>
        <v>5</v>
      </c>
      <c r="B1374" s="190" t="str">
        <f t="shared" ca="1" si="2029"/>
        <v>Depreciated Net Capex 2020-21</v>
      </c>
      <c r="C1374" s="1426"/>
      <c r="D1374" s="1426"/>
      <c r="E1374" s="1426"/>
      <c r="F1374" s="1426"/>
      <c r="G1374" s="1427"/>
      <c r="H1374" s="1428">
        <f>(H1364*((1+H$11)^0.5)/H$10)</f>
        <v>0</v>
      </c>
      <c r="I1374" s="1423">
        <f ca="1">IF(H1398="n/a",H1374,IFERROR(IF((OFFSET($C1374,0,$A1374))&lt;0,
MIN(0,H1374-(OFFSET($C1374,0,$A1374)/(OFFSET($C1369,-$A1373,$A1374)))),
MAX(0,H1374-(OFFSET($C1374,0,$A1374)/(OFFSET($C1369,-$A1373,$A1374))))),0))</f>
        <v>0</v>
      </c>
      <c r="J1374" s="1423">
        <f t="shared" ca="1" si="2014"/>
        <v>0</v>
      </c>
      <c r="K1374" s="1423">
        <f t="shared" ca="1" si="2015"/>
        <v>0</v>
      </c>
      <c r="L1374" s="1423">
        <f t="shared" ca="1" si="2016"/>
        <v>0</v>
      </c>
      <c r="M1374" s="1423">
        <f t="shared" ca="1" si="2017"/>
        <v>0</v>
      </c>
      <c r="N1374" s="1423">
        <f t="shared" ca="1" si="2018"/>
        <v>0</v>
      </c>
      <c r="O1374" s="1423">
        <f t="shared" ca="1" si="2019"/>
        <v>0</v>
      </c>
      <c r="P1374" s="1423">
        <f t="shared" ca="1" si="2020"/>
        <v>0</v>
      </c>
      <c r="Q1374" s="1423">
        <f t="shared" ca="1" si="2021"/>
        <v>0</v>
      </c>
      <c r="R1374" s="1423">
        <f t="shared" ca="1" si="2022"/>
        <v>0</v>
      </c>
      <c r="S1374" s="1423">
        <f t="shared" ca="1" si="2023"/>
        <v>0</v>
      </c>
      <c r="T1374" s="1423">
        <f t="shared" ca="1" si="2024"/>
        <v>0</v>
      </c>
      <c r="U1374" s="1423">
        <f t="shared" ca="1" si="2025"/>
        <v>0</v>
      </c>
      <c r="V1374" s="1423">
        <f t="shared" ca="1" si="2026"/>
        <v>0</v>
      </c>
      <c r="W1374" s="1423">
        <f t="shared" ca="1" si="2027"/>
        <v>0</v>
      </c>
      <c r="X1374" s="202"/>
      <c r="Y1374" s="202"/>
      <c r="Z1374" s="202"/>
      <c r="AA1374" s="152"/>
      <c r="AB1374" s="152"/>
    </row>
    <row r="1375" spans="1:28" hidden="1" outlineLevel="1">
      <c r="A1375" s="199">
        <f t="shared" si="2028"/>
        <v>6</v>
      </c>
      <c r="B1375" s="190" t="str">
        <f t="shared" ca="1" si="2029"/>
        <v>Depreciated Net Capex 2021-22</v>
      </c>
      <c r="C1375" s="1426"/>
      <c r="D1375" s="1426"/>
      <c r="E1375" s="1426"/>
      <c r="F1375" s="1426"/>
      <c r="G1375" s="1426"/>
      <c r="H1375" s="1427"/>
      <c r="I1375" s="1428">
        <f>(I1364*((1+I$11)^0.5)/I$10)</f>
        <v>0</v>
      </c>
      <c r="J1375" s="1423">
        <f ca="1">IF(I1399="n/a",I1375,IFERROR(IF((OFFSET($C1375,0,$A1375))&lt;0,
MIN(0,I1375-(OFFSET($C1375,0,$A1375)/(OFFSET($C1370,-$A1374,$A1375)))),
MAX(0,I1375-(OFFSET($C1375,0,$A1375)/(OFFSET($C1370,-$A1374,$A1375))))),0))</f>
        <v>0</v>
      </c>
      <c r="K1375" s="1423">
        <f t="shared" ca="1" si="2015"/>
        <v>0</v>
      </c>
      <c r="L1375" s="1423">
        <f t="shared" ca="1" si="2016"/>
        <v>0</v>
      </c>
      <c r="M1375" s="1423">
        <f t="shared" ca="1" si="2017"/>
        <v>0</v>
      </c>
      <c r="N1375" s="1423">
        <f t="shared" ca="1" si="2018"/>
        <v>0</v>
      </c>
      <c r="O1375" s="1423">
        <f t="shared" ca="1" si="2019"/>
        <v>0</v>
      </c>
      <c r="P1375" s="1423">
        <f t="shared" ca="1" si="2020"/>
        <v>0</v>
      </c>
      <c r="Q1375" s="1423">
        <f t="shared" ca="1" si="2021"/>
        <v>0</v>
      </c>
      <c r="R1375" s="1423">
        <f t="shared" ca="1" si="2022"/>
        <v>0</v>
      </c>
      <c r="S1375" s="1423">
        <f t="shared" ca="1" si="2023"/>
        <v>0</v>
      </c>
      <c r="T1375" s="1423">
        <f t="shared" ca="1" si="2024"/>
        <v>0</v>
      </c>
      <c r="U1375" s="1423">
        <f t="shared" ca="1" si="2025"/>
        <v>0</v>
      </c>
      <c r="V1375" s="1423">
        <f t="shared" ca="1" si="2026"/>
        <v>0</v>
      </c>
      <c r="W1375" s="1423">
        <f t="shared" ca="1" si="2027"/>
        <v>0</v>
      </c>
      <c r="X1375" s="202"/>
      <c r="Y1375" s="202"/>
      <c r="Z1375" s="202"/>
      <c r="AA1375" s="152"/>
      <c r="AB1375" s="152"/>
    </row>
    <row r="1376" spans="1:28" hidden="1" outlineLevel="1">
      <c r="A1376" s="199">
        <f t="shared" si="2028"/>
        <v>7</v>
      </c>
      <c r="B1376" s="190" t="str">
        <f t="shared" ca="1" si="2029"/>
        <v>Depreciated Net Capex 2022-23</v>
      </c>
      <c r="C1376" s="1426"/>
      <c r="D1376" s="1426"/>
      <c r="E1376" s="1426"/>
      <c r="F1376" s="1426"/>
      <c r="G1376" s="1426"/>
      <c r="H1376" s="1426"/>
      <c r="I1376" s="1427"/>
      <c r="J1376" s="1428">
        <f>(J1364*((1+J$11)^0.5)/J$10)</f>
        <v>0</v>
      </c>
      <c r="K1376" s="1423">
        <f ca="1">IF(J1400="n/a",J1376,IFERROR(IF((OFFSET($C1376,0,$A1376))&lt;0,
MIN(0,J1376-(OFFSET($C1376,0,$A1376)/(OFFSET($C1371,-$A1375,$A1376)))),
MAX(0,J1376-(OFFSET($C1376,0,$A1376)/(OFFSET($C1371,-$A1375,$A1376))))),0))</f>
        <v>0</v>
      </c>
      <c r="L1376" s="1423">
        <f t="shared" ca="1" si="2016"/>
        <v>0</v>
      </c>
      <c r="M1376" s="1423">
        <f t="shared" ca="1" si="2017"/>
        <v>0</v>
      </c>
      <c r="N1376" s="1423">
        <f t="shared" ca="1" si="2018"/>
        <v>0</v>
      </c>
      <c r="O1376" s="1423">
        <f t="shared" ca="1" si="2019"/>
        <v>0</v>
      </c>
      <c r="P1376" s="1423">
        <f t="shared" ca="1" si="2020"/>
        <v>0</v>
      </c>
      <c r="Q1376" s="1423">
        <f t="shared" ca="1" si="2021"/>
        <v>0</v>
      </c>
      <c r="R1376" s="1423">
        <f t="shared" ca="1" si="2022"/>
        <v>0</v>
      </c>
      <c r="S1376" s="1423">
        <f t="shared" ca="1" si="2023"/>
        <v>0</v>
      </c>
      <c r="T1376" s="1423">
        <f t="shared" ca="1" si="2024"/>
        <v>0</v>
      </c>
      <c r="U1376" s="1423">
        <f t="shared" ca="1" si="2025"/>
        <v>0</v>
      </c>
      <c r="V1376" s="1423">
        <f t="shared" ca="1" si="2026"/>
        <v>0</v>
      </c>
      <c r="W1376" s="1423">
        <f t="shared" ca="1" si="2027"/>
        <v>0</v>
      </c>
      <c r="X1376" s="202"/>
      <c r="Y1376" s="202"/>
      <c r="Z1376" s="202"/>
      <c r="AA1376" s="152"/>
      <c r="AB1376" s="152"/>
    </row>
    <row r="1377" spans="1:28" hidden="1" outlineLevel="1">
      <c r="A1377" s="199">
        <f t="shared" si="2028"/>
        <v>8</v>
      </c>
      <c r="B1377" s="190" t="str">
        <f t="shared" ca="1" si="2029"/>
        <v>Depreciated Net Capex 2023-24</v>
      </c>
      <c r="C1377" s="1426"/>
      <c r="D1377" s="1426"/>
      <c r="E1377" s="1426"/>
      <c r="F1377" s="1426"/>
      <c r="G1377" s="1426"/>
      <c r="H1377" s="1426"/>
      <c r="I1377" s="1426"/>
      <c r="J1377" s="1427"/>
      <c r="K1377" s="1428">
        <f>(K1364*((1+K$11)^0.5)/K$10)</f>
        <v>0</v>
      </c>
      <c r="L1377" s="1423">
        <f ca="1">IF(K1401="n/a",K1377,IFERROR(IF((OFFSET($C1377,0,$A1377))&lt;0,
MIN(0,K1377-(OFFSET($C1377,0,$A1377)/(OFFSET($C1372,-$A1376,$A1377)))),
MAX(0,K1377-(OFFSET($C1377,0,$A1377)/(OFFSET($C1372,-$A1376,$A1377))))),0))</f>
        <v>0</v>
      </c>
      <c r="M1377" s="1423">
        <f t="shared" ca="1" si="2017"/>
        <v>0</v>
      </c>
      <c r="N1377" s="1423">
        <f t="shared" ca="1" si="2018"/>
        <v>0</v>
      </c>
      <c r="O1377" s="1423">
        <f t="shared" ca="1" si="2019"/>
        <v>0</v>
      </c>
      <c r="P1377" s="1423">
        <f t="shared" ca="1" si="2020"/>
        <v>0</v>
      </c>
      <c r="Q1377" s="1423">
        <f t="shared" ca="1" si="2021"/>
        <v>0</v>
      </c>
      <c r="R1377" s="1423">
        <f t="shared" ca="1" si="2022"/>
        <v>0</v>
      </c>
      <c r="S1377" s="1423">
        <f t="shared" ca="1" si="2023"/>
        <v>0</v>
      </c>
      <c r="T1377" s="1423">
        <f t="shared" ca="1" si="2024"/>
        <v>0</v>
      </c>
      <c r="U1377" s="1423">
        <f t="shared" ca="1" si="2025"/>
        <v>0</v>
      </c>
      <c r="V1377" s="1423">
        <f t="shared" ca="1" si="2026"/>
        <v>0</v>
      </c>
      <c r="W1377" s="1423">
        <f t="shared" ca="1" si="2027"/>
        <v>0</v>
      </c>
      <c r="X1377" s="202"/>
      <c r="Y1377" s="202"/>
      <c r="Z1377" s="202"/>
      <c r="AA1377" s="152"/>
      <c r="AB1377" s="152"/>
    </row>
    <row r="1378" spans="1:28" hidden="1" outlineLevel="1">
      <c r="A1378" s="199">
        <f t="shared" si="2028"/>
        <v>9</v>
      </c>
      <c r="B1378" s="190" t="str">
        <f t="shared" ca="1" si="2029"/>
        <v>Depreciated Net Capex 2024-25</v>
      </c>
      <c r="C1378" s="1426"/>
      <c r="D1378" s="1426"/>
      <c r="E1378" s="1426"/>
      <c r="F1378" s="1426"/>
      <c r="G1378" s="1426"/>
      <c r="H1378" s="1426"/>
      <c r="I1378" s="1426"/>
      <c r="J1378" s="1426"/>
      <c r="K1378" s="1427"/>
      <c r="L1378" s="1428">
        <f>(L1364*((1+L$11)^0.5)/L$10)</f>
        <v>0</v>
      </c>
      <c r="M1378" s="1423">
        <f ca="1">IF(L1402="n/a",L1378,IFERROR(IF((OFFSET($C1378,0,$A1378))&lt;0,
MIN(0,L1378-(OFFSET($C1378,0,$A1378)/(OFFSET($C1373,-$A1377,$A1378)))),
MAX(0,L1378-(OFFSET($C1378,0,$A1378)/(OFFSET($C1373,-$A1377,$A1378))))),0))</f>
        <v>0</v>
      </c>
      <c r="N1378" s="1423">
        <f t="shared" ca="1" si="2018"/>
        <v>0</v>
      </c>
      <c r="O1378" s="1423">
        <f t="shared" ca="1" si="2019"/>
        <v>0</v>
      </c>
      <c r="P1378" s="1423">
        <f t="shared" ca="1" si="2020"/>
        <v>0</v>
      </c>
      <c r="Q1378" s="1423">
        <f t="shared" ca="1" si="2021"/>
        <v>0</v>
      </c>
      <c r="R1378" s="1423">
        <f t="shared" ca="1" si="2022"/>
        <v>0</v>
      </c>
      <c r="S1378" s="1423">
        <f t="shared" ca="1" si="2023"/>
        <v>0</v>
      </c>
      <c r="T1378" s="1423">
        <f t="shared" ca="1" si="2024"/>
        <v>0</v>
      </c>
      <c r="U1378" s="1423">
        <f t="shared" ca="1" si="2025"/>
        <v>0</v>
      </c>
      <c r="V1378" s="1423">
        <f t="shared" ca="1" si="2026"/>
        <v>0</v>
      </c>
      <c r="W1378" s="1423">
        <f t="shared" ca="1" si="2027"/>
        <v>0</v>
      </c>
      <c r="X1378" s="202"/>
      <c r="Y1378" s="202"/>
      <c r="Z1378" s="202"/>
      <c r="AA1378" s="152"/>
      <c r="AB1378" s="152"/>
    </row>
    <row r="1379" spans="1:28" hidden="1" outlineLevel="1">
      <c r="A1379" s="199">
        <f t="shared" si="2028"/>
        <v>10</v>
      </c>
      <c r="B1379" s="190" t="str">
        <f t="shared" ca="1" si="2029"/>
        <v>Depreciated Net Capex 2025-26</v>
      </c>
      <c r="C1379" s="1426"/>
      <c r="D1379" s="1426"/>
      <c r="E1379" s="1426"/>
      <c r="F1379" s="1426"/>
      <c r="G1379" s="1426"/>
      <c r="H1379" s="1426"/>
      <c r="I1379" s="1426"/>
      <c r="J1379" s="1426"/>
      <c r="K1379" s="1426"/>
      <c r="L1379" s="1427"/>
      <c r="M1379" s="1428">
        <f>(M1364*((1+M$11)^0.5)/M$10)</f>
        <v>0</v>
      </c>
      <c r="N1379" s="1423">
        <f ca="1">IF(M1403="n/a",M1379,IFERROR(IF((OFFSET($C1379,0,$A1379))&lt;0,
MIN(0,M1379-(OFFSET($C1379,0,$A1379)/(OFFSET($C1374,-$A1378,$A1379)))),
MAX(0,M1379-(OFFSET($C1379,0,$A1379)/(OFFSET($C1374,-$A1378,$A1379))))),0))</f>
        <v>0</v>
      </c>
      <c r="O1379" s="1423">
        <f t="shared" ca="1" si="2019"/>
        <v>0</v>
      </c>
      <c r="P1379" s="1423">
        <f t="shared" ca="1" si="2020"/>
        <v>0</v>
      </c>
      <c r="Q1379" s="1423">
        <f t="shared" ca="1" si="2021"/>
        <v>0</v>
      </c>
      <c r="R1379" s="1423">
        <f t="shared" ca="1" si="2022"/>
        <v>0</v>
      </c>
      <c r="S1379" s="1423">
        <f t="shared" ca="1" si="2023"/>
        <v>0</v>
      </c>
      <c r="T1379" s="1423">
        <f t="shared" ca="1" si="2024"/>
        <v>0</v>
      </c>
      <c r="U1379" s="1423">
        <f t="shared" ca="1" si="2025"/>
        <v>0</v>
      </c>
      <c r="V1379" s="1423">
        <f t="shared" ca="1" si="2026"/>
        <v>0</v>
      </c>
      <c r="W1379" s="1423">
        <f t="shared" ca="1" si="2027"/>
        <v>0</v>
      </c>
      <c r="X1379" s="202"/>
      <c r="Y1379" s="202"/>
      <c r="Z1379" s="202"/>
      <c r="AA1379" s="152"/>
      <c r="AB1379" s="152"/>
    </row>
    <row r="1380" spans="1:28" hidden="1" outlineLevel="1">
      <c r="A1380" s="199">
        <f t="shared" si="2028"/>
        <v>11</v>
      </c>
      <c r="B1380" s="190" t="str">
        <f t="shared" ca="1" si="2029"/>
        <v>Depreciated Net Capex 2026-27</v>
      </c>
      <c r="C1380" s="1426"/>
      <c r="D1380" s="1426"/>
      <c r="E1380" s="1426"/>
      <c r="F1380" s="1426"/>
      <c r="G1380" s="1426"/>
      <c r="H1380" s="1426"/>
      <c r="I1380" s="1426"/>
      <c r="J1380" s="1426"/>
      <c r="K1380" s="1426"/>
      <c r="L1380" s="1426"/>
      <c r="M1380" s="1427"/>
      <c r="N1380" s="1428">
        <f>(N1364*((1+N$11)^0.5)/N$10)</f>
        <v>0</v>
      </c>
      <c r="O1380" s="1423">
        <f ca="1">IF(N1404="n/a",N1380,IFERROR(IF((OFFSET($C1380,0,$A1380))&lt;0,
MIN(0,N1380-(OFFSET($C1380,0,$A1380)/(OFFSET($C1375,-$A1379,$A1380)))),
MAX(0,N1380-(OFFSET($C1380,0,$A1380)/(OFFSET($C1375,-$A1379,$A1380))))),0))</f>
        <v>0</v>
      </c>
      <c r="P1380" s="1423">
        <f t="shared" ca="1" si="2020"/>
        <v>0</v>
      </c>
      <c r="Q1380" s="1423">
        <f t="shared" ca="1" si="2021"/>
        <v>0</v>
      </c>
      <c r="R1380" s="1423">
        <f t="shared" ca="1" si="2022"/>
        <v>0</v>
      </c>
      <c r="S1380" s="1423">
        <f t="shared" ca="1" si="2023"/>
        <v>0</v>
      </c>
      <c r="T1380" s="1423">
        <f t="shared" ca="1" si="2024"/>
        <v>0</v>
      </c>
      <c r="U1380" s="1423">
        <f t="shared" ca="1" si="2025"/>
        <v>0</v>
      </c>
      <c r="V1380" s="1423">
        <f t="shared" ca="1" si="2026"/>
        <v>0</v>
      </c>
      <c r="W1380" s="1423">
        <f t="shared" ca="1" si="2027"/>
        <v>0</v>
      </c>
      <c r="X1380" s="202"/>
      <c r="Y1380" s="202"/>
      <c r="Z1380" s="202"/>
      <c r="AA1380" s="152"/>
      <c r="AB1380" s="152"/>
    </row>
    <row r="1381" spans="1:28" hidden="1" outlineLevel="1">
      <c r="A1381" s="199">
        <f t="shared" si="2028"/>
        <v>12</v>
      </c>
      <c r="B1381" s="190" t="str">
        <f t="shared" ca="1" si="2029"/>
        <v>Depreciated Net Capex 2027-28</v>
      </c>
      <c r="C1381" s="1426"/>
      <c r="D1381" s="1426"/>
      <c r="E1381" s="1426"/>
      <c r="F1381" s="1426"/>
      <c r="G1381" s="1426"/>
      <c r="H1381" s="1426"/>
      <c r="I1381" s="1426"/>
      <c r="J1381" s="1426"/>
      <c r="K1381" s="1426"/>
      <c r="L1381" s="1426"/>
      <c r="M1381" s="1426"/>
      <c r="N1381" s="1427"/>
      <c r="O1381" s="1428">
        <f>(O1364*((1+O$11)^0.5)/O$10)</f>
        <v>0</v>
      </c>
      <c r="P1381" s="1423">
        <f ca="1">IF(O1405="n/a",O1381,IFERROR(IF((OFFSET($C1381,0,$A1381))&lt;0,
MIN(0,O1381-(OFFSET($C1381,0,$A1381)/(OFFSET($C1376,-$A1380,$A1381)))),
MAX(0,O1381-(OFFSET($C1381,0,$A1381)/(OFFSET($C1376,-$A1380,$A1381))))),0))</f>
        <v>0</v>
      </c>
      <c r="Q1381" s="1423">
        <f t="shared" ca="1" si="2021"/>
        <v>0</v>
      </c>
      <c r="R1381" s="1423">
        <f t="shared" ca="1" si="2022"/>
        <v>0</v>
      </c>
      <c r="S1381" s="1423">
        <f t="shared" ca="1" si="2023"/>
        <v>0</v>
      </c>
      <c r="T1381" s="1423">
        <f t="shared" ca="1" si="2024"/>
        <v>0</v>
      </c>
      <c r="U1381" s="1423">
        <f t="shared" ca="1" si="2025"/>
        <v>0</v>
      </c>
      <c r="V1381" s="1423">
        <f t="shared" ca="1" si="2026"/>
        <v>0</v>
      </c>
      <c r="W1381" s="1423">
        <f t="shared" ca="1" si="2027"/>
        <v>0</v>
      </c>
      <c r="X1381" s="202"/>
      <c r="Y1381" s="202"/>
      <c r="Z1381" s="202"/>
      <c r="AA1381" s="152"/>
      <c r="AB1381" s="152"/>
    </row>
    <row r="1382" spans="1:28" hidden="1" outlineLevel="1">
      <c r="A1382" s="199">
        <f t="shared" si="2028"/>
        <v>13</v>
      </c>
      <c r="B1382" s="190" t="str">
        <f t="shared" ca="1" si="2029"/>
        <v>Depreciated Net Capex 2028-29</v>
      </c>
      <c r="C1382" s="1426"/>
      <c r="D1382" s="1426"/>
      <c r="E1382" s="1426"/>
      <c r="F1382" s="1426"/>
      <c r="G1382" s="1426"/>
      <c r="H1382" s="1426"/>
      <c r="I1382" s="1426"/>
      <c r="J1382" s="1426"/>
      <c r="K1382" s="1426"/>
      <c r="L1382" s="1426"/>
      <c r="M1382" s="1426"/>
      <c r="N1382" s="1426"/>
      <c r="O1382" s="1427"/>
      <c r="P1382" s="1428">
        <f>(P1364*((1+P$11)^0.5)/P$10)</f>
        <v>0</v>
      </c>
      <c r="Q1382" s="1423">
        <f ca="1">IF(P1406="n/a",P1382,IFERROR(IF((OFFSET($C1382,0,$A1382))&lt;0,
MIN(0,P1382-(OFFSET($C1382,0,$A1382)/(OFFSET($C1377,-$A1381,$A1382)))),
MAX(0,P1382-(OFFSET($C1382,0,$A1382)/(OFFSET($C1377,-$A1381,$A1382))))),0))</f>
        <v>0</v>
      </c>
      <c r="R1382" s="1423">
        <f t="shared" ca="1" si="2022"/>
        <v>0</v>
      </c>
      <c r="S1382" s="1423">
        <f t="shared" ca="1" si="2023"/>
        <v>0</v>
      </c>
      <c r="T1382" s="1423">
        <f t="shared" ca="1" si="2024"/>
        <v>0</v>
      </c>
      <c r="U1382" s="1423">
        <f t="shared" ca="1" si="2025"/>
        <v>0</v>
      </c>
      <c r="V1382" s="1423">
        <f t="shared" ca="1" si="2026"/>
        <v>0</v>
      </c>
      <c r="W1382" s="1423">
        <f t="shared" ca="1" si="2027"/>
        <v>0</v>
      </c>
      <c r="X1382" s="202"/>
      <c r="Y1382" s="202"/>
      <c r="Z1382" s="202"/>
      <c r="AA1382" s="152"/>
      <c r="AB1382" s="152"/>
    </row>
    <row r="1383" spans="1:28" hidden="1" outlineLevel="1">
      <c r="A1383" s="199">
        <f t="shared" si="2028"/>
        <v>14</v>
      </c>
      <c r="B1383" s="190" t="str">
        <f t="shared" ca="1" si="2029"/>
        <v>Depreciated Net Capex 2029-30</v>
      </c>
      <c r="C1383" s="1426"/>
      <c r="D1383" s="1426"/>
      <c r="E1383" s="1426"/>
      <c r="F1383" s="1426"/>
      <c r="G1383" s="1426"/>
      <c r="H1383" s="1426"/>
      <c r="I1383" s="1426"/>
      <c r="J1383" s="1426"/>
      <c r="K1383" s="1426"/>
      <c r="L1383" s="1426"/>
      <c r="M1383" s="1426"/>
      <c r="N1383" s="1426"/>
      <c r="O1383" s="1426"/>
      <c r="P1383" s="1427"/>
      <c r="Q1383" s="1428">
        <f>(Q1364*((1+Q$11)^0.5)/Q$10)</f>
        <v>0</v>
      </c>
      <c r="R1383" s="1423">
        <f ca="1">IF(Q1407="n/a",Q1383,IFERROR(IF((OFFSET($C1383,0,$A1383))&lt;0,
MIN(0,Q1383-(OFFSET($C1383,0,$A1383)/(OFFSET($C1378,-$A1382,$A1383)))),
MAX(0,Q1383-(OFFSET($C1383,0,$A1383)/(OFFSET($C1378,-$A1382,$A1383))))),0))</f>
        <v>0</v>
      </c>
      <c r="S1383" s="1423">
        <f t="shared" ca="1" si="2023"/>
        <v>0</v>
      </c>
      <c r="T1383" s="1423">
        <f t="shared" ca="1" si="2024"/>
        <v>0</v>
      </c>
      <c r="U1383" s="1423">
        <f t="shared" ca="1" si="2025"/>
        <v>0</v>
      </c>
      <c r="V1383" s="1423">
        <f t="shared" ca="1" si="2026"/>
        <v>0</v>
      </c>
      <c r="W1383" s="1423">
        <f t="shared" ca="1" si="2027"/>
        <v>0</v>
      </c>
      <c r="X1383" s="202"/>
      <c r="Y1383" s="202"/>
      <c r="Z1383" s="202"/>
      <c r="AA1383" s="152"/>
      <c r="AB1383" s="152"/>
    </row>
    <row r="1384" spans="1:28" hidden="1" outlineLevel="1">
      <c r="A1384" s="199">
        <f t="shared" si="2028"/>
        <v>15</v>
      </c>
      <c r="B1384" s="190" t="str">
        <f t="shared" ca="1" si="2029"/>
        <v>Depreciated Net Capex 2030-31</v>
      </c>
      <c r="C1384" s="1426"/>
      <c r="D1384" s="1426"/>
      <c r="E1384" s="1426"/>
      <c r="F1384" s="1426"/>
      <c r="G1384" s="1426"/>
      <c r="H1384" s="1426"/>
      <c r="I1384" s="1426"/>
      <c r="J1384" s="1426"/>
      <c r="K1384" s="1426"/>
      <c r="L1384" s="1426"/>
      <c r="M1384" s="1426"/>
      <c r="N1384" s="1426"/>
      <c r="O1384" s="1426"/>
      <c r="P1384" s="1426"/>
      <c r="Q1384" s="1427"/>
      <c r="R1384" s="1428">
        <f>(R1364*((1+R$11)^0.5)/R$10)</f>
        <v>0</v>
      </c>
      <c r="S1384" s="1423">
        <f ca="1">IF(R1408="n/a",R1384,IFERROR(IF((OFFSET($C1384,0,$A1384))&lt;0,
MIN(0,R1384-(OFFSET($C1384,0,$A1384)/(OFFSET($C1379,-$A1383,$A1384)))),
MAX(0,R1384-(OFFSET($C1384,0,$A1384)/(OFFSET($C1379,-$A1383,$A1384))))),0))</f>
        <v>0</v>
      </c>
      <c r="T1384" s="1423">
        <f t="shared" ca="1" si="2024"/>
        <v>0</v>
      </c>
      <c r="U1384" s="1423">
        <f t="shared" ca="1" si="2025"/>
        <v>0</v>
      </c>
      <c r="V1384" s="1423">
        <f t="shared" ca="1" si="2026"/>
        <v>0</v>
      </c>
      <c r="W1384" s="1423">
        <f t="shared" ca="1" si="2027"/>
        <v>0</v>
      </c>
      <c r="X1384" s="202"/>
      <c r="Y1384" s="202"/>
      <c r="Z1384" s="202"/>
      <c r="AA1384" s="152"/>
      <c r="AB1384" s="152"/>
    </row>
    <row r="1385" spans="1:28" hidden="1" outlineLevel="1">
      <c r="A1385" s="199">
        <f t="shared" si="2028"/>
        <v>16</v>
      </c>
      <c r="B1385" s="190" t="str">
        <f t="shared" ca="1" si="2029"/>
        <v>Depreciated Net Capex 2031-32</v>
      </c>
      <c r="C1385" s="1426"/>
      <c r="D1385" s="1426"/>
      <c r="E1385" s="1426"/>
      <c r="F1385" s="1426"/>
      <c r="G1385" s="1426"/>
      <c r="H1385" s="1426"/>
      <c r="I1385" s="1426"/>
      <c r="J1385" s="1426"/>
      <c r="K1385" s="1426"/>
      <c r="L1385" s="1426"/>
      <c r="M1385" s="1426"/>
      <c r="N1385" s="1426"/>
      <c r="O1385" s="1426"/>
      <c r="P1385" s="1426"/>
      <c r="Q1385" s="1426"/>
      <c r="R1385" s="1427"/>
      <c r="S1385" s="1428">
        <f>(S1364*((1+S$11)^0.5)/S$10)</f>
        <v>0</v>
      </c>
      <c r="T1385" s="1423">
        <f ca="1">IF(S1409="n/a",S1385,IFERROR(IF((OFFSET($C1385,0,$A1385))&lt;0,
MIN(0,S1385-(OFFSET($C1385,0,$A1385)/(OFFSET($C1380,-$A1384,$A1385)))),
MAX(0,S1385-(OFFSET($C1385,0,$A1385)/(OFFSET($C1380,-$A1384,$A1385))))),0))</f>
        <v>0</v>
      </c>
      <c r="U1385" s="1423">
        <f t="shared" ca="1" si="2025"/>
        <v>0</v>
      </c>
      <c r="V1385" s="1423">
        <f t="shared" ca="1" si="2026"/>
        <v>0</v>
      </c>
      <c r="W1385" s="1423">
        <f t="shared" ca="1" si="2027"/>
        <v>0</v>
      </c>
      <c r="X1385" s="202"/>
      <c r="Y1385" s="202"/>
      <c r="Z1385" s="202"/>
      <c r="AA1385" s="152"/>
      <c r="AB1385" s="152"/>
    </row>
    <row r="1386" spans="1:28" hidden="1" outlineLevel="1">
      <c r="A1386" s="199">
        <f t="shared" si="2028"/>
        <v>17</v>
      </c>
      <c r="B1386" s="190" t="str">
        <f t="shared" ca="1" si="2029"/>
        <v>Depreciated Net Capex 2032-33</v>
      </c>
      <c r="C1386" s="1426"/>
      <c r="D1386" s="1426"/>
      <c r="E1386" s="1426"/>
      <c r="F1386" s="1426"/>
      <c r="G1386" s="1426"/>
      <c r="H1386" s="1426"/>
      <c r="I1386" s="1426"/>
      <c r="J1386" s="1426"/>
      <c r="K1386" s="1426"/>
      <c r="L1386" s="1426"/>
      <c r="M1386" s="1426"/>
      <c r="N1386" s="1426"/>
      <c r="O1386" s="1426"/>
      <c r="P1386" s="1426"/>
      <c r="Q1386" s="1426"/>
      <c r="R1386" s="1426"/>
      <c r="S1386" s="1427"/>
      <c r="T1386" s="1428">
        <f>(T1364*((1+T$11)^0.5)/T$10)</f>
        <v>0</v>
      </c>
      <c r="U1386" s="1423">
        <f ca="1">IF(T1410="n/a",T1386,IFERROR(IF((OFFSET($C1386,0,$A1386))&lt;0,
MIN(0,T1386-(OFFSET($C1386,0,$A1386)/(OFFSET($C1381,-$A1385,$A1386)))),
MAX(0,T1386-(OFFSET($C1386,0,$A1386)/(OFFSET($C1381,-$A1385,$A1386))))),0))</f>
        <v>0</v>
      </c>
      <c r="V1386" s="1423">
        <f t="shared" ca="1" si="2026"/>
        <v>0</v>
      </c>
      <c r="W1386" s="1423">
        <f t="shared" ca="1" si="2027"/>
        <v>0</v>
      </c>
      <c r="X1386" s="202"/>
      <c r="Y1386" s="202"/>
      <c r="Z1386" s="202"/>
      <c r="AA1386" s="152"/>
      <c r="AB1386" s="152"/>
    </row>
    <row r="1387" spans="1:28" hidden="1" outlineLevel="1">
      <c r="A1387" s="199">
        <f t="shared" si="2028"/>
        <v>18</v>
      </c>
      <c r="B1387" s="190" t="str">
        <f t="shared" ca="1" si="2029"/>
        <v>Depreciated Net Capex 2033-34</v>
      </c>
      <c r="C1387" s="1426"/>
      <c r="D1387" s="1426"/>
      <c r="E1387" s="1426"/>
      <c r="F1387" s="1426"/>
      <c r="G1387" s="1426"/>
      <c r="H1387" s="1426"/>
      <c r="I1387" s="1426"/>
      <c r="J1387" s="1426"/>
      <c r="K1387" s="1426"/>
      <c r="L1387" s="1426"/>
      <c r="M1387" s="1426"/>
      <c r="N1387" s="1426"/>
      <c r="O1387" s="1426"/>
      <c r="P1387" s="1426"/>
      <c r="Q1387" s="1426"/>
      <c r="R1387" s="1426"/>
      <c r="S1387" s="1426"/>
      <c r="T1387" s="1427"/>
      <c r="U1387" s="1428">
        <f>(U1364*((1+U$11)^0.5)/U$10)</f>
        <v>0</v>
      </c>
      <c r="V1387" s="1423">
        <f ca="1">IF(U1411="n/a",U1387,IFERROR(IF((OFFSET($C1387,0,$A1387))&lt;0,
MIN(0,U1387-(OFFSET($C1387,0,$A1387)/(OFFSET($C1382,-$A1386,$A1387)))),
MAX(0,U1387-(OFFSET($C1387,0,$A1387)/(OFFSET($C1382,-$A1386,$A1387))))),0))</f>
        <v>0</v>
      </c>
      <c r="W1387" s="1423">
        <f t="shared" ca="1" si="2027"/>
        <v>0</v>
      </c>
      <c r="X1387" s="202"/>
      <c r="Y1387" s="202"/>
      <c r="Z1387" s="202"/>
      <c r="AA1387" s="152"/>
      <c r="AB1387" s="152"/>
    </row>
    <row r="1388" spans="1:28" hidden="1" outlineLevel="1">
      <c r="A1388" s="199">
        <f t="shared" si="2028"/>
        <v>19</v>
      </c>
      <c r="B1388" s="190" t="str">
        <f t="shared" ca="1" si="2029"/>
        <v>Depreciated Net Capex 2034-35</v>
      </c>
      <c r="C1388" s="1426"/>
      <c r="D1388" s="1426"/>
      <c r="E1388" s="1426"/>
      <c r="F1388" s="1426"/>
      <c r="G1388" s="1426"/>
      <c r="H1388" s="1426"/>
      <c r="I1388" s="1426"/>
      <c r="J1388" s="1426"/>
      <c r="K1388" s="1426"/>
      <c r="L1388" s="1426"/>
      <c r="M1388" s="1426"/>
      <c r="N1388" s="1426"/>
      <c r="O1388" s="1426"/>
      <c r="P1388" s="1426"/>
      <c r="Q1388" s="1426"/>
      <c r="R1388" s="1426"/>
      <c r="S1388" s="1426"/>
      <c r="T1388" s="1426"/>
      <c r="U1388" s="1427"/>
      <c r="V1388" s="1428">
        <f>(V1364*((1+V$11)^0.5)/V$10)</f>
        <v>0</v>
      </c>
      <c r="W1388" s="1423">
        <f ca="1">IF(V1412="n/a",V1388,IFERROR(IF((OFFSET($C1388,0,$A1388))&lt;0,
MIN(0,V1388-(OFFSET($C1388,0,$A1388)/(OFFSET($C1383,-$A1387,$A1388)))),
MAX(0,V1388-(OFFSET($C1388,0,$A1388)/(OFFSET($C1383,-$A1387,$A1388))))),0))</f>
        <v>0</v>
      </c>
      <c r="X1388" s="202"/>
      <c r="Y1388" s="202"/>
      <c r="Z1388" s="202"/>
      <c r="AA1388" s="152"/>
      <c r="AB1388" s="152"/>
    </row>
    <row r="1389" spans="1:28" hidden="1" outlineLevel="1">
      <c r="A1389" s="199">
        <f t="shared" si="2028"/>
        <v>20</v>
      </c>
      <c r="B1389" s="190" t="str">
        <f ca="1">"Depreciated Net Capex "&amp;OFFSET($C$6,0,A1389)</f>
        <v>Depreciated Net Capex 2035-36</v>
      </c>
      <c r="C1389" s="1426"/>
      <c r="D1389" s="1426"/>
      <c r="E1389" s="1426"/>
      <c r="F1389" s="1426"/>
      <c r="G1389" s="1426"/>
      <c r="H1389" s="1426"/>
      <c r="I1389" s="1426"/>
      <c r="J1389" s="1426"/>
      <c r="K1389" s="1426"/>
      <c r="L1389" s="1426"/>
      <c r="M1389" s="1426"/>
      <c r="N1389" s="1426"/>
      <c r="O1389" s="1426"/>
      <c r="P1389" s="1426"/>
      <c r="Q1389" s="1426"/>
      <c r="R1389" s="1426"/>
      <c r="S1389" s="1426"/>
      <c r="T1389" s="1426"/>
      <c r="U1389" s="1426"/>
      <c r="V1389" s="1427"/>
      <c r="W1389" s="1423">
        <f>(W1364*((1+W$11)^0.5)/W$10)</f>
        <v>0</v>
      </c>
      <c r="X1389" s="152"/>
      <c r="Y1389" s="152"/>
      <c r="Z1389" s="152"/>
      <c r="AA1389" s="152"/>
      <c r="AB1389" s="152"/>
    </row>
    <row r="1390" spans="1:28" hidden="1" outlineLevel="1">
      <c r="A1390" s="152"/>
      <c r="B1390" s="200"/>
      <c r="C1390" s="1423"/>
      <c r="D1390" s="1423"/>
      <c r="E1390" s="1423"/>
      <c r="F1390" s="1423"/>
      <c r="G1390" s="1423"/>
      <c r="H1390" s="1423"/>
      <c r="I1390" s="1423"/>
      <c r="J1390" s="1423"/>
      <c r="K1390" s="1423"/>
      <c r="L1390" s="1423"/>
      <c r="M1390" s="1423"/>
      <c r="N1390" s="1423"/>
      <c r="O1390" s="1423"/>
      <c r="P1390" s="1423"/>
      <c r="Q1390" s="1423"/>
      <c r="R1390" s="1423"/>
      <c r="S1390" s="1423"/>
      <c r="T1390" s="1423"/>
      <c r="U1390" s="1423"/>
      <c r="V1390" s="1423"/>
      <c r="W1390" s="1423"/>
      <c r="X1390" s="152"/>
      <c r="Y1390" s="152"/>
      <c r="Z1390" s="152"/>
      <c r="AA1390" s="152"/>
      <c r="AB1390" s="152"/>
    </row>
    <row r="1391" spans="1:28" hidden="1" outlineLevel="1">
      <c r="A1391" s="152"/>
      <c r="B1391" s="200"/>
      <c r="C1391" s="1423"/>
      <c r="D1391" s="1423"/>
      <c r="E1391" s="1423"/>
      <c r="F1391" s="1423"/>
      <c r="G1391" s="1423"/>
      <c r="H1391" s="1423"/>
      <c r="I1391" s="1423"/>
      <c r="J1391" s="1423"/>
      <c r="K1391" s="1423"/>
      <c r="L1391" s="1423"/>
      <c r="M1391" s="1423"/>
      <c r="N1391" s="1423"/>
      <c r="O1391" s="1423"/>
      <c r="P1391" s="1423"/>
      <c r="Q1391" s="1423"/>
      <c r="R1391" s="1423"/>
      <c r="S1391" s="1423"/>
      <c r="T1391" s="1423"/>
      <c r="U1391" s="1423"/>
      <c r="V1391" s="1423"/>
      <c r="W1391" s="1423"/>
      <c r="X1391" s="152"/>
      <c r="Y1391" s="152"/>
      <c r="Z1391" s="152"/>
      <c r="AA1391" s="152"/>
      <c r="AB1391" s="152"/>
    </row>
    <row r="1392" spans="1:28" hidden="1" outlineLevel="1">
      <c r="A1392" s="152"/>
      <c r="B1392" s="190" t="s">
        <v>190</v>
      </c>
      <c r="C1392" s="1423"/>
      <c r="D1392" s="1423">
        <f ca="1">IF(AND(C1392&lt;1,D1366=0),0,
IF(D1366=0,C1392-1,
IF(C1392&lt;1,D1367,
(((C1392-1)*(C1368-(C1368/(C1392))))+((D1366/D$10)*D1367))/(D1368))))</f>
        <v>0</v>
      </c>
      <c r="E1392" s="1423">
        <f t="shared" ref="E1392" ca="1" si="2030">IF(AND(D1392&lt;1,E1366=0),0,
IF(E1366=0,D1392-1,
IF(D1392&lt;1,E1367,
(((D1392-1)*(D1368-(D1368/(D1392))))+((E1366/E$10)*E1367))/(E1368))))</f>
        <v>0</v>
      </c>
      <c r="F1392" s="1423">
        <f t="shared" ref="F1392" ca="1" si="2031">IF(AND(E1392&lt;1,F1366=0),0,
IF(F1366=0,E1392-1,
IF(E1392&lt;1,F1367,
(((E1392-1)*(E1368-(E1368/(E1392))))+((F1366/F$10)*F1367))/(F1368))))</f>
        <v>0</v>
      </c>
      <c r="G1392" s="1423">
        <f t="shared" ref="G1392" ca="1" si="2032">IF(AND(F1392&lt;1,G1366=0),0,
IF(G1366=0,F1392-1,
IF(F1392&lt;1,G1367,
(((F1392-1)*(F1368-(F1368/(F1392))))+((G1366/G$10)*G1367))/(G1368))))</f>
        <v>0</v>
      </c>
      <c r="H1392" s="1423">
        <f t="shared" ref="H1392" ca="1" si="2033">IF(AND(G1392&lt;1,H1366=0),0,
IF(H1366=0,G1392-1,
IF(G1392&lt;1,H1367,
(((G1392-1)*(G1368-(G1368/(G1392))))+((H1366/H$10)*H1367))/(H1368))))</f>
        <v>0</v>
      </c>
      <c r="I1392" s="1423">
        <f t="shared" ref="I1392" ca="1" si="2034">IF(AND(H1392&lt;1,I1366=0),0,
IF(I1366=0,H1392-1,
IF(H1392&lt;1,I1367,
(((H1392-1)*(H1368-(H1368/(H1392))))+((I1366/I$10)*I1367))/(I1368))))</f>
        <v>0</v>
      </c>
      <c r="J1392" s="1423">
        <f t="shared" ref="J1392" ca="1" si="2035">IF(AND(I1392&lt;1,J1366=0),0,
IF(J1366=0,I1392-1,
IF(I1392&lt;1,J1367,
(((I1392-1)*(I1368-(I1368/(I1392))))+((J1366/J$10)*J1367))/(J1368))))</f>
        <v>0</v>
      </c>
      <c r="K1392" s="1423">
        <f t="shared" ref="K1392" ca="1" si="2036">IF(AND(J1392&lt;1,K1366=0),0,
IF(K1366=0,J1392-1,
IF(J1392&lt;1,K1367,
(((J1392-1)*(J1368-(J1368/(J1392))))+((K1366/K$10)*K1367))/(K1368))))</f>
        <v>0</v>
      </c>
      <c r="L1392" s="1423">
        <f t="shared" ref="L1392" ca="1" si="2037">IF(AND(K1392&lt;1,L1366=0),0,
IF(L1366=0,K1392-1,
IF(K1392&lt;1,L1367,
(((K1392-1)*(K1368-(K1368/(K1392))))+((L1366/L$10)*L1367))/(L1368))))</f>
        <v>0</v>
      </c>
      <c r="M1392" s="1423">
        <f t="shared" ref="M1392" ca="1" si="2038">IF(AND(L1392&lt;1,M1366=0),0,
IF(M1366=0,L1392-1,
IF(L1392&lt;1,M1367,
(((L1392-1)*(L1368-(L1368/(L1392))))+((M1366/M$10)*M1367))/(M1368))))</f>
        <v>0</v>
      </c>
      <c r="N1392" s="1423">
        <f t="shared" ref="N1392" ca="1" si="2039">IF(AND(M1392&lt;1,N1366=0),0,
IF(N1366=0,M1392-1,
IF(M1392&lt;1,N1367,
(((M1392-1)*(M1368-(M1368/(M1392))))+((N1366/N$10)*N1367))/(N1368))))</f>
        <v>0</v>
      </c>
      <c r="O1392" s="1423">
        <f t="shared" ref="O1392" ca="1" si="2040">IF(AND(N1392&lt;1,O1366=0),0,
IF(O1366=0,N1392-1,
IF(N1392&lt;1,O1367,
(((N1392-1)*(N1368-(N1368/(N1392))))+((O1366/O$10)*O1367))/(O1368))))</f>
        <v>0</v>
      </c>
      <c r="P1392" s="1423">
        <f t="shared" ref="P1392" ca="1" si="2041">IF(AND(O1392&lt;1,P1366=0),0,
IF(P1366=0,O1392-1,
IF(O1392&lt;1,P1367,
(((O1392-1)*(O1368-(O1368/(O1392))))+((P1366/P$10)*P1367))/(P1368))))</f>
        <v>0</v>
      </c>
      <c r="Q1392" s="1423">
        <f t="shared" ref="Q1392" ca="1" si="2042">IF(AND(P1392&lt;1,Q1366=0),0,
IF(Q1366=0,P1392-1,
IF(P1392&lt;1,Q1367,
(((P1392-1)*(P1368-(P1368/(P1392))))+((Q1366/Q$10)*Q1367))/(Q1368))))</f>
        <v>0</v>
      </c>
      <c r="R1392" s="1423">
        <f t="shared" ref="R1392" ca="1" si="2043">IF(AND(Q1392&lt;1,R1366=0),0,
IF(R1366=0,Q1392-1,
IF(Q1392&lt;1,R1367,
(((Q1392-1)*(Q1368-(Q1368/(Q1392))))+((R1366/R$10)*R1367))/(R1368))))</f>
        <v>0</v>
      </c>
      <c r="S1392" s="1423">
        <f t="shared" ref="S1392" ca="1" si="2044">IF(AND(R1392&lt;1,S1366=0),0,
IF(S1366=0,R1392-1,
IF(R1392&lt;1,S1367,
(((R1392-1)*(R1368-(R1368/(R1392))))+((S1366/S$10)*S1367))/(S1368))))</f>
        <v>0</v>
      </c>
      <c r="T1392" s="1423">
        <f t="shared" ref="T1392" ca="1" si="2045">IF(AND(S1392&lt;1,T1366=0),0,
IF(T1366=0,S1392-1,
IF(S1392&lt;1,T1367,
(((S1392-1)*(S1368-(S1368/(S1392))))+((T1366/T$10)*T1367))/(T1368))))</f>
        <v>0</v>
      </c>
      <c r="U1392" s="1423">
        <f t="shared" ref="U1392" ca="1" si="2046">IF(AND(T1392&lt;1,U1366=0),0,
IF(U1366=0,T1392-1,
IF(T1392&lt;1,U1367,
(((T1392-1)*(T1368-(T1368/(T1392))))+((U1366/U$10)*U1367))/(U1368))))</f>
        <v>0</v>
      </c>
      <c r="V1392" s="1423">
        <f t="shared" ref="V1392" ca="1" si="2047">IF(AND(U1392&lt;1,V1366=0),0,
IF(V1366=0,U1392-1,
IF(U1392&lt;1,V1367,
(((U1392-1)*(U1368-(U1368/(U1392))))+((V1366/V$10)*V1367))/(V1368))))</f>
        <v>0</v>
      </c>
      <c r="W1392" s="1423">
        <f t="shared" ref="W1392" ca="1" si="2048">IF(AND(V1392&lt;1,W1366=0),0,
IF(W1366=0,V1392-1,
IF(V1392&lt;1,W1367,
(((V1392-1)*(V1368-(V1368/(V1392))))+((W1366/W$10)*W1367))/(W1368))))</f>
        <v>0</v>
      </c>
      <c r="X1392" s="152"/>
      <c r="Y1392" s="152"/>
      <c r="Z1392" s="152"/>
      <c r="AA1392" s="152"/>
      <c r="AB1392" s="152"/>
    </row>
    <row r="1393" spans="1:28" hidden="1" outlineLevel="1">
      <c r="A1393" s="152"/>
      <c r="B1393" s="190" t="s">
        <v>122</v>
      </c>
      <c r="C1393" s="1423">
        <f ca="1">C1365</f>
        <v>0</v>
      </c>
      <c r="D1393" s="1423">
        <f t="shared" ref="D1393" ca="1" si="2049">IF(C1393="n/a","n/a",MAX(0,C1393-1))</f>
        <v>0</v>
      </c>
      <c r="E1393" s="1423">
        <f t="shared" ref="E1393:E1394" ca="1" si="2050">IF(D1393="n/a","n/a",MAX(0,D1393-1))</f>
        <v>0</v>
      </c>
      <c r="F1393" s="1423">
        <f t="shared" ref="F1393:F1395" ca="1" si="2051">IF(E1393="n/a","n/a",MAX(0,E1393-1))</f>
        <v>0</v>
      </c>
      <c r="G1393" s="1423">
        <f t="shared" ref="G1393:G1396" ca="1" si="2052">IF(F1393="n/a","n/a",MAX(0,F1393-1))</f>
        <v>0</v>
      </c>
      <c r="H1393" s="1423">
        <f t="shared" ref="H1393:H1397" ca="1" si="2053">IF(G1393="n/a","n/a",MAX(0,G1393-1))</f>
        <v>0</v>
      </c>
      <c r="I1393" s="1423">
        <f t="shared" ref="I1393:I1398" ca="1" si="2054">IF(H1393="n/a","n/a",MAX(0,H1393-1))</f>
        <v>0</v>
      </c>
      <c r="J1393" s="1423">
        <f t="shared" ref="J1393:J1399" ca="1" si="2055">IF(I1393="n/a","n/a",MAX(0,I1393-1))</f>
        <v>0</v>
      </c>
      <c r="K1393" s="1423">
        <f t="shared" ref="K1393:K1400" ca="1" si="2056">IF(J1393="n/a","n/a",MAX(0,J1393-1))</f>
        <v>0</v>
      </c>
      <c r="L1393" s="1423">
        <f t="shared" ref="L1393:L1401" ca="1" si="2057">IF(K1393="n/a","n/a",MAX(0,K1393-1))</f>
        <v>0</v>
      </c>
      <c r="M1393" s="1423">
        <f t="shared" ref="M1393:M1402" ca="1" si="2058">IF(L1393="n/a","n/a",MAX(0,L1393-1))</f>
        <v>0</v>
      </c>
      <c r="N1393" s="1423">
        <f t="shared" ref="N1393:N1403" ca="1" si="2059">IF(M1393="n/a","n/a",MAX(0,M1393-1))</f>
        <v>0</v>
      </c>
      <c r="O1393" s="1423">
        <f t="shared" ref="O1393:O1404" ca="1" si="2060">IF(N1393="n/a","n/a",MAX(0,N1393-1))</f>
        <v>0</v>
      </c>
      <c r="P1393" s="1423">
        <f t="shared" ref="P1393:P1405" ca="1" si="2061">IF(O1393="n/a","n/a",MAX(0,O1393-1))</f>
        <v>0</v>
      </c>
      <c r="Q1393" s="1423">
        <f t="shared" ref="Q1393:Q1406" ca="1" si="2062">IF(P1393="n/a","n/a",MAX(0,P1393-1))</f>
        <v>0</v>
      </c>
      <c r="R1393" s="1423">
        <f t="shared" ref="R1393:R1407" ca="1" si="2063">IF(Q1393="n/a","n/a",MAX(0,Q1393-1))</f>
        <v>0</v>
      </c>
      <c r="S1393" s="1423">
        <f t="shared" ref="S1393:S1408" ca="1" si="2064">IF(R1393="n/a","n/a",MAX(0,R1393-1))</f>
        <v>0</v>
      </c>
      <c r="T1393" s="1423">
        <f t="shared" ref="T1393:T1409" ca="1" si="2065">IF(S1393="n/a","n/a",MAX(0,S1393-1))</f>
        <v>0</v>
      </c>
      <c r="U1393" s="1423">
        <f t="shared" ref="U1393:U1410" ca="1" si="2066">IF(T1393="n/a","n/a",MAX(0,T1393-1))</f>
        <v>0</v>
      </c>
      <c r="V1393" s="1423">
        <f t="shared" ref="V1393:V1411" ca="1" si="2067">IF(U1393="n/a","n/a",MAX(0,U1393-1))</f>
        <v>0</v>
      </c>
      <c r="W1393" s="1423">
        <f t="shared" ref="W1393:W1411" ca="1" si="2068">IF(V1393="n/a","n/a",MAX(0,V1393-1))</f>
        <v>0</v>
      </c>
      <c r="X1393" s="152"/>
      <c r="Y1393" s="152"/>
      <c r="Z1393" s="152"/>
      <c r="AA1393" s="152"/>
      <c r="AB1393" s="152"/>
    </row>
    <row r="1394" spans="1:28" hidden="1" outlineLevel="1">
      <c r="A1394" s="152"/>
      <c r="B1394" s="190" t="str">
        <f t="shared" ref="B1394:B1413" ca="1" si="2069">"RL Capex "&amp;OFFSET($C$6,0,A1370)</f>
        <v>RL Capex 2016-17</v>
      </c>
      <c r="C1394" s="1424"/>
      <c r="D1394" s="1428">
        <f>D1365</f>
        <v>0</v>
      </c>
      <c r="E1394" s="1423">
        <f t="shared" si="2050"/>
        <v>0</v>
      </c>
      <c r="F1394" s="1423">
        <f t="shared" si="2051"/>
        <v>0</v>
      </c>
      <c r="G1394" s="1423">
        <f t="shared" si="2052"/>
        <v>0</v>
      </c>
      <c r="H1394" s="1423">
        <f t="shared" si="2053"/>
        <v>0</v>
      </c>
      <c r="I1394" s="1423">
        <f t="shared" si="2054"/>
        <v>0</v>
      </c>
      <c r="J1394" s="1423">
        <f t="shared" si="2055"/>
        <v>0</v>
      </c>
      <c r="K1394" s="1423">
        <f t="shared" si="2056"/>
        <v>0</v>
      </c>
      <c r="L1394" s="1423">
        <f t="shared" si="2057"/>
        <v>0</v>
      </c>
      <c r="M1394" s="1423">
        <f t="shared" si="2058"/>
        <v>0</v>
      </c>
      <c r="N1394" s="1423">
        <f t="shared" si="2059"/>
        <v>0</v>
      </c>
      <c r="O1394" s="1423">
        <f t="shared" si="2060"/>
        <v>0</v>
      </c>
      <c r="P1394" s="1423">
        <f t="shared" si="2061"/>
        <v>0</v>
      </c>
      <c r="Q1394" s="1423">
        <f t="shared" si="2062"/>
        <v>0</v>
      </c>
      <c r="R1394" s="1423">
        <f t="shared" si="2063"/>
        <v>0</v>
      </c>
      <c r="S1394" s="1423">
        <f t="shared" si="2064"/>
        <v>0</v>
      </c>
      <c r="T1394" s="1423">
        <f t="shared" si="2065"/>
        <v>0</v>
      </c>
      <c r="U1394" s="1423">
        <f t="shared" si="2066"/>
        <v>0</v>
      </c>
      <c r="V1394" s="1423">
        <f t="shared" si="2067"/>
        <v>0</v>
      </c>
      <c r="W1394" s="1423">
        <f t="shared" si="2068"/>
        <v>0</v>
      </c>
      <c r="X1394" s="152"/>
      <c r="Y1394" s="152"/>
      <c r="Z1394" s="152"/>
      <c r="AA1394" s="152"/>
      <c r="AB1394" s="152"/>
    </row>
    <row r="1395" spans="1:28" hidden="1" outlineLevel="1">
      <c r="A1395" s="152"/>
      <c r="B1395" s="190" t="str">
        <f t="shared" ca="1" si="2069"/>
        <v>RL Capex 2017-18</v>
      </c>
      <c r="C1395" s="1429"/>
      <c r="D1395" s="1424"/>
      <c r="E1395" s="1428">
        <f>E1365</f>
        <v>0</v>
      </c>
      <c r="F1395" s="1423">
        <f t="shared" si="2051"/>
        <v>0</v>
      </c>
      <c r="G1395" s="1423">
        <f t="shared" si="2052"/>
        <v>0</v>
      </c>
      <c r="H1395" s="1423">
        <f t="shared" si="2053"/>
        <v>0</v>
      </c>
      <c r="I1395" s="1423">
        <f t="shared" si="2054"/>
        <v>0</v>
      </c>
      <c r="J1395" s="1423">
        <f t="shared" si="2055"/>
        <v>0</v>
      </c>
      <c r="K1395" s="1423">
        <f t="shared" si="2056"/>
        <v>0</v>
      </c>
      <c r="L1395" s="1423">
        <f t="shared" si="2057"/>
        <v>0</v>
      </c>
      <c r="M1395" s="1423">
        <f t="shared" si="2058"/>
        <v>0</v>
      </c>
      <c r="N1395" s="1423">
        <f t="shared" si="2059"/>
        <v>0</v>
      </c>
      <c r="O1395" s="1423">
        <f t="shared" si="2060"/>
        <v>0</v>
      </c>
      <c r="P1395" s="1423">
        <f t="shared" si="2061"/>
        <v>0</v>
      </c>
      <c r="Q1395" s="1423">
        <f t="shared" si="2062"/>
        <v>0</v>
      </c>
      <c r="R1395" s="1423">
        <f t="shared" si="2063"/>
        <v>0</v>
      </c>
      <c r="S1395" s="1423">
        <f t="shared" si="2064"/>
        <v>0</v>
      </c>
      <c r="T1395" s="1423">
        <f t="shared" si="2065"/>
        <v>0</v>
      </c>
      <c r="U1395" s="1423">
        <f t="shared" si="2066"/>
        <v>0</v>
      </c>
      <c r="V1395" s="1423">
        <f t="shared" si="2067"/>
        <v>0</v>
      </c>
      <c r="W1395" s="1423">
        <f t="shared" si="2068"/>
        <v>0</v>
      </c>
      <c r="X1395" s="152"/>
      <c r="Y1395" s="152"/>
      <c r="Z1395" s="152"/>
      <c r="AA1395" s="152"/>
      <c r="AB1395" s="152"/>
    </row>
    <row r="1396" spans="1:28" hidden="1" outlineLevel="1">
      <c r="A1396" s="152"/>
      <c r="B1396" s="190" t="str">
        <f t="shared" ca="1" si="2069"/>
        <v>RL Capex 2018-19</v>
      </c>
      <c r="C1396" s="1429"/>
      <c r="D1396" s="1429"/>
      <c r="E1396" s="1424"/>
      <c r="F1396" s="1428">
        <f>F1365</f>
        <v>0</v>
      </c>
      <c r="G1396" s="1423">
        <f t="shared" si="2052"/>
        <v>0</v>
      </c>
      <c r="H1396" s="1423">
        <f t="shared" si="2053"/>
        <v>0</v>
      </c>
      <c r="I1396" s="1423">
        <f t="shared" si="2054"/>
        <v>0</v>
      </c>
      <c r="J1396" s="1423">
        <f t="shared" si="2055"/>
        <v>0</v>
      </c>
      <c r="K1396" s="1423">
        <f t="shared" si="2056"/>
        <v>0</v>
      </c>
      <c r="L1396" s="1423">
        <f t="shared" si="2057"/>
        <v>0</v>
      </c>
      <c r="M1396" s="1423">
        <f t="shared" si="2058"/>
        <v>0</v>
      </c>
      <c r="N1396" s="1423">
        <f t="shared" si="2059"/>
        <v>0</v>
      </c>
      <c r="O1396" s="1423">
        <f t="shared" si="2060"/>
        <v>0</v>
      </c>
      <c r="P1396" s="1423">
        <f t="shared" si="2061"/>
        <v>0</v>
      </c>
      <c r="Q1396" s="1423">
        <f t="shared" si="2062"/>
        <v>0</v>
      </c>
      <c r="R1396" s="1423">
        <f t="shared" si="2063"/>
        <v>0</v>
      </c>
      <c r="S1396" s="1423">
        <f t="shared" si="2064"/>
        <v>0</v>
      </c>
      <c r="T1396" s="1423">
        <f t="shared" si="2065"/>
        <v>0</v>
      </c>
      <c r="U1396" s="1423">
        <f t="shared" si="2066"/>
        <v>0</v>
      </c>
      <c r="V1396" s="1423">
        <f t="shared" si="2067"/>
        <v>0</v>
      </c>
      <c r="W1396" s="1423">
        <f t="shared" si="2068"/>
        <v>0</v>
      </c>
      <c r="X1396" s="152"/>
      <c r="Y1396" s="152"/>
      <c r="Z1396" s="152"/>
      <c r="AA1396" s="152"/>
      <c r="AB1396" s="152"/>
    </row>
    <row r="1397" spans="1:28" hidden="1" outlineLevel="1">
      <c r="A1397" s="152"/>
      <c r="B1397" s="190" t="str">
        <f t="shared" ca="1" si="2069"/>
        <v>RL Capex 2019-20</v>
      </c>
      <c r="C1397" s="1429"/>
      <c r="D1397" s="1429"/>
      <c r="E1397" s="1429"/>
      <c r="F1397" s="1424"/>
      <c r="G1397" s="1428">
        <f>G1365</f>
        <v>0</v>
      </c>
      <c r="H1397" s="1423">
        <f t="shared" si="2053"/>
        <v>0</v>
      </c>
      <c r="I1397" s="1423">
        <f t="shared" si="2054"/>
        <v>0</v>
      </c>
      <c r="J1397" s="1423">
        <f t="shared" si="2055"/>
        <v>0</v>
      </c>
      <c r="K1397" s="1423">
        <f t="shared" si="2056"/>
        <v>0</v>
      </c>
      <c r="L1397" s="1423">
        <f t="shared" si="2057"/>
        <v>0</v>
      </c>
      <c r="M1397" s="1423">
        <f t="shared" si="2058"/>
        <v>0</v>
      </c>
      <c r="N1397" s="1423">
        <f t="shared" si="2059"/>
        <v>0</v>
      </c>
      <c r="O1397" s="1423">
        <f t="shared" si="2060"/>
        <v>0</v>
      </c>
      <c r="P1397" s="1423">
        <f t="shared" si="2061"/>
        <v>0</v>
      </c>
      <c r="Q1397" s="1423">
        <f t="shared" si="2062"/>
        <v>0</v>
      </c>
      <c r="R1397" s="1423">
        <f t="shared" si="2063"/>
        <v>0</v>
      </c>
      <c r="S1397" s="1423">
        <f t="shared" si="2064"/>
        <v>0</v>
      </c>
      <c r="T1397" s="1423">
        <f t="shared" si="2065"/>
        <v>0</v>
      </c>
      <c r="U1397" s="1423">
        <f t="shared" si="2066"/>
        <v>0</v>
      </c>
      <c r="V1397" s="1423">
        <f t="shared" si="2067"/>
        <v>0</v>
      </c>
      <c r="W1397" s="1423">
        <f t="shared" si="2068"/>
        <v>0</v>
      </c>
      <c r="X1397" s="152"/>
      <c r="Y1397" s="152"/>
      <c r="Z1397" s="152"/>
      <c r="AA1397" s="152"/>
      <c r="AB1397" s="152"/>
    </row>
    <row r="1398" spans="1:28" hidden="1" outlineLevel="1">
      <c r="A1398" s="152"/>
      <c r="B1398" s="190" t="str">
        <f t="shared" ca="1" si="2069"/>
        <v>RL Capex 2020-21</v>
      </c>
      <c r="C1398" s="1429"/>
      <c r="D1398" s="1429"/>
      <c r="E1398" s="1429"/>
      <c r="F1398" s="1429"/>
      <c r="G1398" s="1424"/>
      <c r="H1398" s="1428">
        <f>H1365</f>
        <v>0</v>
      </c>
      <c r="I1398" s="1423">
        <f t="shared" si="2054"/>
        <v>0</v>
      </c>
      <c r="J1398" s="1423">
        <f t="shared" si="2055"/>
        <v>0</v>
      </c>
      <c r="K1398" s="1423">
        <f t="shared" si="2056"/>
        <v>0</v>
      </c>
      <c r="L1398" s="1423">
        <f t="shared" si="2057"/>
        <v>0</v>
      </c>
      <c r="M1398" s="1423">
        <f t="shared" si="2058"/>
        <v>0</v>
      </c>
      <c r="N1398" s="1423">
        <f t="shared" si="2059"/>
        <v>0</v>
      </c>
      <c r="O1398" s="1423">
        <f t="shared" si="2060"/>
        <v>0</v>
      </c>
      <c r="P1398" s="1423">
        <f t="shared" si="2061"/>
        <v>0</v>
      </c>
      <c r="Q1398" s="1423">
        <f t="shared" si="2062"/>
        <v>0</v>
      </c>
      <c r="R1398" s="1423">
        <f t="shared" si="2063"/>
        <v>0</v>
      </c>
      <c r="S1398" s="1423">
        <f t="shared" si="2064"/>
        <v>0</v>
      </c>
      <c r="T1398" s="1423">
        <f t="shared" si="2065"/>
        <v>0</v>
      </c>
      <c r="U1398" s="1423">
        <f t="shared" si="2066"/>
        <v>0</v>
      </c>
      <c r="V1398" s="1423">
        <f t="shared" si="2067"/>
        <v>0</v>
      </c>
      <c r="W1398" s="1423">
        <f t="shared" si="2068"/>
        <v>0</v>
      </c>
      <c r="X1398" s="152"/>
      <c r="Y1398" s="152"/>
      <c r="Z1398" s="152"/>
      <c r="AA1398" s="152"/>
      <c r="AB1398" s="152"/>
    </row>
    <row r="1399" spans="1:28" hidden="1" outlineLevel="1">
      <c r="A1399" s="152"/>
      <c r="B1399" s="190" t="str">
        <f t="shared" ca="1" si="2069"/>
        <v>RL Capex 2021-22</v>
      </c>
      <c r="C1399" s="1429"/>
      <c r="D1399" s="1429"/>
      <c r="E1399" s="1429"/>
      <c r="F1399" s="1429"/>
      <c r="G1399" s="1429"/>
      <c r="H1399" s="1424"/>
      <c r="I1399" s="1428">
        <f>I1365</f>
        <v>0</v>
      </c>
      <c r="J1399" s="1423">
        <f t="shared" si="2055"/>
        <v>0</v>
      </c>
      <c r="K1399" s="1423">
        <f t="shared" si="2056"/>
        <v>0</v>
      </c>
      <c r="L1399" s="1423">
        <f t="shared" si="2057"/>
        <v>0</v>
      </c>
      <c r="M1399" s="1423">
        <f t="shared" si="2058"/>
        <v>0</v>
      </c>
      <c r="N1399" s="1423">
        <f t="shared" si="2059"/>
        <v>0</v>
      </c>
      <c r="O1399" s="1423">
        <f t="shared" si="2060"/>
        <v>0</v>
      </c>
      <c r="P1399" s="1423">
        <f t="shared" si="2061"/>
        <v>0</v>
      </c>
      <c r="Q1399" s="1423">
        <f t="shared" si="2062"/>
        <v>0</v>
      </c>
      <c r="R1399" s="1423">
        <f t="shared" si="2063"/>
        <v>0</v>
      </c>
      <c r="S1399" s="1423">
        <f t="shared" si="2064"/>
        <v>0</v>
      </c>
      <c r="T1399" s="1423">
        <f t="shared" si="2065"/>
        <v>0</v>
      </c>
      <c r="U1399" s="1423">
        <f t="shared" si="2066"/>
        <v>0</v>
      </c>
      <c r="V1399" s="1423">
        <f t="shared" si="2067"/>
        <v>0</v>
      </c>
      <c r="W1399" s="1423">
        <f t="shared" si="2068"/>
        <v>0</v>
      </c>
      <c r="X1399" s="152"/>
      <c r="Y1399" s="152"/>
      <c r="Z1399" s="152"/>
      <c r="AA1399" s="152"/>
      <c r="AB1399" s="152"/>
    </row>
    <row r="1400" spans="1:28" hidden="1" outlineLevel="1">
      <c r="A1400" s="152"/>
      <c r="B1400" s="190" t="str">
        <f t="shared" ca="1" si="2069"/>
        <v>RL Capex 2022-23</v>
      </c>
      <c r="C1400" s="1429"/>
      <c r="D1400" s="1429"/>
      <c r="E1400" s="1429"/>
      <c r="F1400" s="1429"/>
      <c r="G1400" s="1429"/>
      <c r="H1400" s="1429"/>
      <c r="I1400" s="1424"/>
      <c r="J1400" s="1428">
        <f>J1365</f>
        <v>0</v>
      </c>
      <c r="K1400" s="1423">
        <f t="shared" si="2056"/>
        <v>0</v>
      </c>
      <c r="L1400" s="1423">
        <f t="shared" si="2057"/>
        <v>0</v>
      </c>
      <c r="M1400" s="1423">
        <f t="shared" si="2058"/>
        <v>0</v>
      </c>
      <c r="N1400" s="1423">
        <f t="shared" si="2059"/>
        <v>0</v>
      </c>
      <c r="O1400" s="1423">
        <f t="shared" si="2060"/>
        <v>0</v>
      </c>
      <c r="P1400" s="1423">
        <f t="shared" si="2061"/>
        <v>0</v>
      </c>
      <c r="Q1400" s="1423">
        <f t="shared" si="2062"/>
        <v>0</v>
      </c>
      <c r="R1400" s="1423">
        <f t="shared" si="2063"/>
        <v>0</v>
      </c>
      <c r="S1400" s="1423">
        <f t="shared" si="2064"/>
        <v>0</v>
      </c>
      <c r="T1400" s="1423">
        <f t="shared" si="2065"/>
        <v>0</v>
      </c>
      <c r="U1400" s="1423">
        <f t="shared" si="2066"/>
        <v>0</v>
      </c>
      <c r="V1400" s="1423">
        <f t="shared" si="2067"/>
        <v>0</v>
      </c>
      <c r="W1400" s="1423">
        <f t="shared" si="2068"/>
        <v>0</v>
      </c>
      <c r="X1400" s="152"/>
      <c r="Y1400" s="152"/>
      <c r="Z1400" s="152"/>
      <c r="AA1400" s="152"/>
      <c r="AB1400" s="152"/>
    </row>
    <row r="1401" spans="1:28" hidden="1" outlineLevel="1">
      <c r="A1401" s="152"/>
      <c r="B1401" s="190" t="str">
        <f t="shared" ca="1" si="2069"/>
        <v>RL Capex 2023-24</v>
      </c>
      <c r="C1401" s="1429"/>
      <c r="D1401" s="1429"/>
      <c r="E1401" s="1429"/>
      <c r="F1401" s="1429"/>
      <c r="G1401" s="1429"/>
      <c r="H1401" s="1429"/>
      <c r="I1401" s="1429"/>
      <c r="J1401" s="1424"/>
      <c r="K1401" s="1428">
        <f>K1365</f>
        <v>0</v>
      </c>
      <c r="L1401" s="1423">
        <f t="shared" si="2057"/>
        <v>0</v>
      </c>
      <c r="M1401" s="1423">
        <f t="shared" si="2058"/>
        <v>0</v>
      </c>
      <c r="N1401" s="1423">
        <f t="shared" si="2059"/>
        <v>0</v>
      </c>
      <c r="O1401" s="1423">
        <f t="shared" si="2060"/>
        <v>0</v>
      </c>
      <c r="P1401" s="1423">
        <f t="shared" si="2061"/>
        <v>0</v>
      </c>
      <c r="Q1401" s="1423">
        <f t="shared" si="2062"/>
        <v>0</v>
      </c>
      <c r="R1401" s="1423">
        <f t="shared" si="2063"/>
        <v>0</v>
      </c>
      <c r="S1401" s="1423">
        <f t="shared" si="2064"/>
        <v>0</v>
      </c>
      <c r="T1401" s="1423">
        <f t="shared" si="2065"/>
        <v>0</v>
      </c>
      <c r="U1401" s="1423">
        <f t="shared" si="2066"/>
        <v>0</v>
      </c>
      <c r="V1401" s="1423">
        <f t="shared" si="2067"/>
        <v>0</v>
      </c>
      <c r="W1401" s="1423">
        <f t="shared" si="2068"/>
        <v>0</v>
      </c>
      <c r="X1401" s="152"/>
      <c r="Y1401" s="152"/>
      <c r="Z1401" s="152"/>
      <c r="AA1401" s="152"/>
      <c r="AB1401" s="152"/>
    </row>
    <row r="1402" spans="1:28" hidden="1" outlineLevel="1">
      <c r="A1402" s="152"/>
      <c r="B1402" s="190" t="str">
        <f t="shared" ca="1" si="2069"/>
        <v>RL Capex 2024-25</v>
      </c>
      <c r="C1402" s="1429"/>
      <c r="D1402" s="1429"/>
      <c r="E1402" s="1429"/>
      <c r="F1402" s="1429"/>
      <c r="G1402" s="1429"/>
      <c r="H1402" s="1429"/>
      <c r="I1402" s="1429"/>
      <c r="J1402" s="1429"/>
      <c r="K1402" s="1424"/>
      <c r="L1402" s="1428">
        <f>L1365</f>
        <v>0</v>
      </c>
      <c r="M1402" s="1423">
        <f t="shared" si="2058"/>
        <v>0</v>
      </c>
      <c r="N1402" s="1423">
        <f t="shared" si="2059"/>
        <v>0</v>
      </c>
      <c r="O1402" s="1423">
        <f t="shared" si="2060"/>
        <v>0</v>
      </c>
      <c r="P1402" s="1423">
        <f t="shared" si="2061"/>
        <v>0</v>
      </c>
      <c r="Q1402" s="1423">
        <f t="shared" si="2062"/>
        <v>0</v>
      </c>
      <c r="R1402" s="1423">
        <f t="shared" si="2063"/>
        <v>0</v>
      </c>
      <c r="S1402" s="1423">
        <f t="shared" si="2064"/>
        <v>0</v>
      </c>
      <c r="T1402" s="1423">
        <f t="shared" si="2065"/>
        <v>0</v>
      </c>
      <c r="U1402" s="1423">
        <f t="shared" si="2066"/>
        <v>0</v>
      </c>
      <c r="V1402" s="1423">
        <f t="shared" si="2067"/>
        <v>0</v>
      </c>
      <c r="W1402" s="1423">
        <f t="shared" si="2068"/>
        <v>0</v>
      </c>
      <c r="X1402" s="152"/>
      <c r="Y1402" s="152"/>
      <c r="Z1402" s="152"/>
      <c r="AA1402" s="152"/>
      <c r="AB1402" s="152"/>
    </row>
    <row r="1403" spans="1:28" hidden="1" outlineLevel="1">
      <c r="A1403" s="152"/>
      <c r="B1403" s="190" t="str">
        <f t="shared" ca="1" si="2069"/>
        <v>RL Capex 2025-26</v>
      </c>
      <c r="C1403" s="1429"/>
      <c r="D1403" s="1429"/>
      <c r="E1403" s="1429"/>
      <c r="F1403" s="1429"/>
      <c r="G1403" s="1429"/>
      <c r="H1403" s="1429"/>
      <c r="I1403" s="1429"/>
      <c r="J1403" s="1429"/>
      <c r="K1403" s="1429"/>
      <c r="L1403" s="1424"/>
      <c r="M1403" s="1428">
        <f>M1365</f>
        <v>0</v>
      </c>
      <c r="N1403" s="1423">
        <f t="shared" si="2059"/>
        <v>0</v>
      </c>
      <c r="O1403" s="1423">
        <f t="shared" si="2060"/>
        <v>0</v>
      </c>
      <c r="P1403" s="1423">
        <f t="shared" si="2061"/>
        <v>0</v>
      </c>
      <c r="Q1403" s="1423">
        <f t="shared" si="2062"/>
        <v>0</v>
      </c>
      <c r="R1403" s="1423">
        <f t="shared" si="2063"/>
        <v>0</v>
      </c>
      <c r="S1403" s="1423">
        <f t="shared" si="2064"/>
        <v>0</v>
      </c>
      <c r="T1403" s="1423">
        <f t="shared" si="2065"/>
        <v>0</v>
      </c>
      <c r="U1403" s="1423">
        <f t="shared" si="2066"/>
        <v>0</v>
      </c>
      <c r="V1403" s="1423">
        <f t="shared" si="2067"/>
        <v>0</v>
      </c>
      <c r="W1403" s="1423">
        <f t="shared" si="2068"/>
        <v>0</v>
      </c>
      <c r="X1403" s="152"/>
      <c r="Y1403" s="152"/>
      <c r="Z1403" s="152"/>
      <c r="AA1403" s="152"/>
      <c r="AB1403" s="152"/>
    </row>
    <row r="1404" spans="1:28" hidden="1" outlineLevel="1">
      <c r="A1404" s="152"/>
      <c r="B1404" s="190" t="str">
        <f t="shared" ca="1" si="2069"/>
        <v>RL Capex 2026-27</v>
      </c>
      <c r="C1404" s="1429"/>
      <c r="D1404" s="1429"/>
      <c r="E1404" s="1429"/>
      <c r="F1404" s="1429"/>
      <c r="G1404" s="1429"/>
      <c r="H1404" s="1429"/>
      <c r="I1404" s="1429"/>
      <c r="J1404" s="1429"/>
      <c r="K1404" s="1429"/>
      <c r="L1404" s="1429"/>
      <c r="M1404" s="1424"/>
      <c r="N1404" s="1428">
        <f>N1365</f>
        <v>0</v>
      </c>
      <c r="O1404" s="1423">
        <f t="shared" si="2060"/>
        <v>0</v>
      </c>
      <c r="P1404" s="1423">
        <f t="shared" si="2061"/>
        <v>0</v>
      </c>
      <c r="Q1404" s="1423">
        <f t="shared" si="2062"/>
        <v>0</v>
      </c>
      <c r="R1404" s="1423">
        <f t="shared" si="2063"/>
        <v>0</v>
      </c>
      <c r="S1404" s="1423">
        <f t="shared" si="2064"/>
        <v>0</v>
      </c>
      <c r="T1404" s="1423">
        <f t="shared" si="2065"/>
        <v>0</v>
      </c>
      <c r="U1404" s="1423">
        <f t="shared" si="2066"/>
        <v>0</v>
      </c>
      <c r="V1404" s="1423">
        <f t="shared" si="2067"/>
        <v>0</v>
      </c>
      <c r="W1404" s="1423">
        <f t="shared" si="2068"/>
        <v>0</v>
      </c>
      <c r="X1404" s="152"/>
      <c r="Y1404" s="152"/>
      <c r="Z1404" s="152"/>
      <c r="AA1404" s="152"/>
      <c r="AB1404" s="152"/>
    </row>
    <row r="1405" spans="1:28" hidden="1" outlineLevel="1">
      <c r="A1405" s="152"/>
      <c r="B1405" s="190" t="str">
        <f t="shared" ca="1" si="2069"/>
        <v>RL Capex 2027-28</v>
      </c>
      <c r="C1405" s="1429"/>
      <c r="D1405" s="1429"/>
      <c r="E1405" s="1429"/>
      <c r="F1405" s="1429"/>
      <c r="G1405" s="1429"/>
      <c r="H1405" s="1429"/>
      <c r="I1405" s="1429"/>
      <c r="J1405" s="1429"/>
      <c r="K1405" s="1429"/>
      <c r="L1405" s="1429"/>
      <c r="M1405" s="1429"/>
      <c r="N1405" s="1424"/>
      <c r="O1405" s="1428">
        <f>O1365</f>
        <v>0</v>
      </c>
      <c r="P1405" s="1423">
        <f t="shared" si="2061"/>
        <v>0</v>
      </c>
      <c r="Q1405" s="1423">
        <f t="shared" si="2062"/>
        <v>0</v>
      </c>
      <c r="R1405" s="1423">
        <f t="shared" si="2063"/>
        <v>0</v>
      </c>
      <c r="S1405" s="1423">
        <f t="shared" si="2064"/>
        <v>0</v>
      </c>
      <c r="T1405" s="1423">
        <f t="shared" si="2065"/>
        <v>0</v>
      </c>
      <c r="U1405" s="1423">
        <f t="shared" si="2066"/>
        <v>0</v>
      </c>
      <c r="V1405" s="1423">
        <f t="shared" si="2067"/>
        <v>0</v>
      </c>
      <c r="W1405" s="1423">
        <f t="shared" si="2068"/>
        <v>0</v>
      </c>
      <c r="X1405" s="152"/>
      <c r="Y1405" s="152"/>
      <c r="Z1405" s="152"/>
      <c r="AA1405" s="152"/>
      <c r="AB1405" s="152"/>
    </row>
    <row r="1406" spans="1:28" hidden="1" outlineLevel="1">
      <c r="A1406" s="152"/>
      <c r="B1406" s="190" t="str">
        <f t="shared" ca="1" si="2069"/>
        <v>RL Capex 2028-29</v>
      </c>
      <c r="C1406" s="1429"/>
      <c r="D1406" s="1429"/>
      <c r="E1406" s="1429"/>
      <c r="F1406" s="1429"/>
      <c r="G1406" s="1429"/>
      <c r="H1406" s="1429"/>
      <c r="I1406" s="1429"/>
      <c r="J1406" s="1429"/>
      <c r="K1406" s="1429"/>
      <c r="L1406" s="1429"/>
      <c r="M1406" s="1429"/>
      <c r="N1406" s="1429"/>
      <c r="O1406" s="1424"/>
      <c r="P1406" s="1428">
        <f>P1365</f>
        <v>0</v>
      </c>
      <c r="Q1406" s="1423">
        <f t="shared" si="2062"/>
        <v>0</v>
      </c>
      <c r="R1406" s="1423">
        <f t="shared" si="2063"/>
        <v>0</v>
      </c>
      <c r="S1406" s="1423">
        <f t="shared" si="2064"/>
        <v>0</v>
      </c>
      <c r="T1406" s="1423">
        <f t="shared" si="2065"/>
        <v>0</v>
      </c>
      <c r="U1406" s="1423">
        <f t="shared" si="2066"/>
        <v>0</v>
      </c>
      <c r="V1406" s="1423">
        <f t="shared" si="2067"/>
        <v>0</v>
      </c>
      <c r="W1406" s="1423">
        <f t="shared" si="2068"/>
        <v>0</v>
      </c>
      <c r="X1406" s="152"/>
      <c r="Y1406" s="152"/>
      <c r="Z1406" s="152"/>
      <c r="AA1406" s="152"/>
      <c r="AB1406" s="152"/>
    </row>
    <row r="1407" spans="1:28" hidden="1" outlineLevel="1">
      <c r="A1407" s="152"/>
      <c r="B1407" s="190" t="str">
        <f t="shared" ca="1" si="2069"/>
        <v>RL Capex 2029-30</v>
      </c>
      <c r="C1407" s="1429"/>
      <c r="D1407" s="1429"/>
      <c r="E1407" s="1429"/>
      <c r="F1407" s="1429"/>
      <c r="G1407" s="1429"/>
      <c r="H1407" s="1429"/>
      <c r="I1407" s="1429"/>
      <c r="J1407" s="1429"/>
      <c r="K1407" s="1429"/>
      <c r="L1407" s="1429"/>
      <c r="M1407" s="1429"/>
      <c r="N1407" s="1429"/>
      <c r="O1407" s="1429"/>
      <c r="P1407" s="1424"/>
      <c r="Q1407" s="1428">
        <f>Q1365</f>
        <v>0</v>
      </c>
      <c r="R1407" s="1423">
        <f t="shared" si="2063"/>
        <v>0</v>
      </c>
      <c r="S1407" s="1423">
        <f t="shared" si="2064"/>
        <v>0</v>
      </c>
      <c r="T1407" s="1423">
        <f t="shared" si="2065"/>
        <v>0</v>
      </c>
      <c r="U1407" s="1423">
        <f t="shared" si="2066"/>
        <v>0</v>
      </c>
      <c r="V1407" s="1423">
        <f t="shared" si="2067"/>
        <v>0</v>
      </c>
      <c r="W1407" s="1423">
        <f t="shared" si="2068"/>
        <v>0</v>
      </c>
      <c r="X1407" s="152"/>
      <c r="Y1407" s="152"/>
      <c r="Z1407" s="152"/>
      <c r="AA1407" s="152"/>
      <c r="AB1407" s="152"/>
    </row>
    <row r="1408" spans="1:28" hidden="1" outlineLevel="1">
      <c r="A1408" s="152"/>
      <c r="B1408" s="190" t="str">
        <f t="shared" ca="1" si="2069"/>
        <v>RL Capex 2030-31</v>
      </c>
      <c r="C1408" s="1429"/>
      <c r="D1408" s="1429"/>
      <c r="E1408" s="1429"/>
      <c r="F1408" s="1429"/>
      <c r="G1408" s="1429"/>
      <c r="H1408" s="1429"/>
      <c r="I1408" s="1429"/>
      <c r="J1408" s="1429"/>
      <c r="K1408" s="1429"/>
      <c r="L1408" s="1429"/>
      <c r="M1408" s="1429"/>
      <c r="N1408" s="1429"/>
      <c r="O1408" s="1429"/>
      <c r="P1408" s="1429"/>
      <c r="Q1408" s="1424"/>
      <c r="R1408" s="1428">
        <f>R1365</f>
        <v>0</v>
      </c>
      <c r="S1408" s="1423">
        <f t="shared" si="2064"/>
        <v>0</v>
      </c>
      <c r="T1408" s="1423">
        <f t="shared" si="2065"/>
        <v>0</v>
      </c>
      <c r="U1408" s="1423">
        <f t="shared" si="2066"/>
        <v>0</v>
      </c>
      <c r="V1408" s="1423">
        <f t="shared" si="2067"/>
        <v>0</v>
      </c>
      <c r="W1408" s="1423">
        <f t="shared" si="2068"/>
        <v>0</v>
      </c>
      <c r="X1408" s="152"/>
      <c r="Y1408" s="152"/>
      <c r="Z1408" s="152"/>
      <c r="AA1408" s="152"/>
      <c r="AB1408" s="152"/>
    </row>
    <row r="1409" spans="1:28" hidden="1" outlineLevel="1">
      <c r="A1409" s="152"/>
      <c r="B1409" s="190" t="str">
        <f t="shared" ca="1" si="2069"/>
        <v>RL Capex 2031-32</v>
      </c>
      <c r="C1409" s="1429"/>
      <c r="D1409" s="1429"/>
      <c r="E1409" s="1429"/>
      <c r="F1409" s="1429"/>
      <c r="G1409" s="1429"/>
      <c r="H1409" s="1429"/>
      <c r="I1409" s="1429"/>
      <c r="J1409" s="1429"/>
      <c r="K1409" s="1429"/>
      <c r="L1409" s="1429"/>
      <c r="M1409" s="1429"/>
      <c r="N1409" s="1429"/>
      <c r="O1409" s="1429"/>
      <c r="P1409" s="1429"/>
      <c r="Q1409" s="1429"/>
      <c r="R1409" s="1424"/>
      <c r="S1409" s="1428">
        <f>S1365</f>
        <v>0</v>
      </c>
      <c r="T1409" s="1423">
        <f t="shared" si="2065"/>
        <v>0</v>
      </c>
      <c r="U1409" s="1423">
        <f t="shared" si="2066"/>
        <v>0</v>
      </c>
      <c r="V1409" s="1423">
        <f t="shared" si="2067"/>
        <v>0</v>
      </c>
      <c r="W1409" s="1423">
        <f t="shared" si="2068"/>
        <v>0</v>
      </c>
      <c r="X1409" s="152"/>
      <c r="Y1409" s="152"/>
      <c r="Z1409" s="152"/>
      <c r="AA1409" s="152"/>
      <c r="AB1409" s="152"/>
    </row>
    <row r="1410" spans="1:28" hidden="1" outlineLevel="1">
      <c r="A1410" s="152"/>
      <c r="B1410" s="190" t="str">
        <f t="shared" ca="1" si="2069"/>
        <v>RL Capex 2032-33</v>
      </c>
      <c r="C1410" s="1429"/>
      <c r="D1410" s="1429"/>
      <c r="E1410" s="1429"/>
      <c r="F1410" s="1429"/>
      <c r="G1410" s="1429"/>
      <c r="H1410" s="1429"/>
      <c r="I1410" s="1429"/>
      <c r="J1410" s="1429"/>
      <c r="K1410" s="1429"/>
      <c r="L1410" s="1429"/>
      <c r="M1410" s="1429"/>
      <c r="N1410" s="1429"/>
      <c r="O1410" s="1429"/>
      <c r="P1410" s="1429"/>
      <c r="Q1410" s="1429"/>
      <c r="R1410" s="1429"/>
      <c r="S1410" s="1424"/>
      <c r="T1410" s="1428">
        <f>T1365</f>
        <v>0</v>
      </c>
      <c r="U1410" s="1423">
        <f t="shared" si="2066"/>
        <v>0</v>
      </c>
      <c r="V1410" s="1423">
        <f t="shared" si="2067"/>
        <v>0</v>
      </c>
      <c r="W1410" s="1423">
        <f t="shared" si="2068"/>
        <v>0</v>
      </c>
      <c r="X1410" s="152"/>
      <c r="Y1410" s="152"/>
      <c r="Z1410" s="152"/>
      <c r="AA1410" s="152"/>
      <c r="AB1410" s="152"/>
    </row>
    <row r="1411" spans="1:28" hidden="1" outlineLevel="1">
      <c r="A1411" s="152"/>
      <c r="B1411" s="190" t="str">
        <f t="shared" ca="1" si="2069"/>
        <v>RL Capex 2033-34</v>
      </c>
      <c r="C1411" s="1429"/>
      <c r="D1411" s="1429"/>
      <c r="E1411" s="1429"/>
      <c r="F1411" s="1429"/>
      <c r="G1411" s="1429"/>
      <c r="H1411" s="1429"/>
      <c r="I1411" s="1429"/>
      <c r="J1411" s="1429"/>
      <c r="K1411" s="1429"/>
      <c r="L1411" s="1429"/>
      <c r="M1411" s="1429"/>
      <c r="N1411" s="1429"/>
      <c r="O1411" s="1429"/>
      <c r="P1411" s="1429"/>
      <c r="Q1411" s="1429"/>
      <c r="R1411" s="1429"/>
      <c r="S1411" s="1429"/>
      <c r="T1411" s="1424"/>
      <c r="U1411" s="1428">
        <f>U1365</f>
        <v>0</v>
      </c>
      <c r="V1411" s="1423">
        <f t="shared" si="2067"/>
        <v>0</v>
      </c>
      <c r="W1411" s="1423">
        <f t="shared" si="2068"/>
        <v>0</v>
      </c>
      <c r="X1411" s="152"/>
      <c r="Y1411" s="152"/>
      <c r="Z1411" s="152"/>
      <c r="AA1411" s="152"/>
      <c r="AB1411" s="152"/>
    </row>
    <row r="1412" spans="1:28" hidden="1" outlineLevel="1">
      <c r="A1412" s="152"/>
      <c r="B1412" s="190" t="str">
        <f t="shared" ca="1" si="2069"/>
        <v>RL Capex 2034-35</v>
      </c>
      <c r="C1412" s="1429"/>
      <c r="D1412" s="1429"/>
      <c r="E1412" s="1429"/>
      <c r="F1412" s="1429"/>
      <c r="G1412" s="1429"/>
      <c r="H1412" s="1429"/>
      <c r="I1412" s="1429"/>
      <c r="J1412" s="1429"/>
      <c r="K1412" s="1429"/>
      <c r="L1412" s="1429"/>
      <c r="M1412" s="1429"/>
      <c r="N1412" s="1429"/>
      <c r="O1412" s="1429"/>
      <c r="P1412" s="1429"/>
      <c r="Q1412" s="1429"/>
      <c r="R1412" s="1429"/>
      <c r="S1412" s="1429"/>
      <c r="T1412" s="1429"/>
      <c r="U1412" s="1424"/>
      <c r="V1412" s="1428">
        <f>V1365</f>
        <v>0</v>
      </c>
      <c r="W1412" s="1423">
        <f>IF(V1412="n/a","n/a",MAX(0,V1412-1))</f>
        <v>0</v>
      </c>
      <c r="X1412" s="152"/>
      <c r="Y1412" s="152"/>
      <c r="Z1412" s="152"/>
      <c r="AA1412" s="152"/>
      <c r="AB1412" s="152"/>
    </row>
    <row r="1413" spans="1:28" hidden="1" outlineLevel="1">
      <c r="A1413" s="152"/>
      <c r="B1413" s="190" t="str">
        <f t="shared" ca="1" si="2069"/>
        <v>RL Capex 2035-36</v>
      </c>
      <c r="C1413" s="1429"/>
      <c r="D1413" s="1429"/>
      <c r="E1413" s="1429"/>
      <c r="F1413" s="1429"/>
      <c r="G1413" s="1429"/>
      <c r="H1413" s="1429"/>
      <c r="I1413" s="1429"/>
      <c r="J1413" s="1429"/>
      <c r="K1413" s="1429"/>
      <c r="L1413" s="1429"/>
      <c r="M1413" s="1429"/>
      <c r="N1413" s="1429"/>
      <c r="O1413" s="1429"/>
      <c r="P1413" s="1429"/>
      <c r="Q1413" s="1429"/>
      <c r="R1413" s="1429"/>
      <c r="S1413" s="1429"/>
      <c r="T1413" s="1429"/>
      <c r="U1413" s="1429"/>
      <c r="V1413" s="1424"/>
      <c r="W1413" s="1423">
        <f>W1365</f>
        <v>0</v>
      </c>
      <c r="X1413" s="152"/>
      <c r="Y1413" s="152"/>
      <c r="Z1413" s="152"/>
      <c r="AA1413" s="152"/>
      <c r="AB1413" s="152"/>
    </row>
    <row r="1414" spans="1:28" hidden="1" outlineLevel="1">
      <c r="A1414" s="152"/>
      <c r="B1414" s="200"/>
      <c r="C1414" s="1423"/>
      <c r="D1414" s="1423"/>
      <c r="E1414" s="1423"/>
      <c r="F1414" s="1423"/>
      <c r="G1414" s="1423"/>
      <c r="H1414" s="1423"/>
      <c r="I1414" s="1423"/>
      <c r="J1414" s="1423"/>
      <c r="K1414" s="1423"/>
      <c r="L1414" s="1423"/>
      <c r="M1414" s="1423"/>
      <c r="N1414" s="1423"/>
      <c r="O1414" s="1423"/>
      <c r="P1414" s="1423"/>
      <c r="Q1414" s="1423"/>
      <c r="R1414" s="1423"/>
      <c r="S1414" s="1423"/>
      <c r="T1414" s="1423"/>
      <c r="U1414" s="1423"/>
      <c r="V1414" s="1423"/>
      <c r="W1414" s="1423"/>
      <c r="X1414" s="152"/>
      <c r="Y1414" s="152"/>
      <c r="Z1414" s="152"/>
      <c r="AA1414" s="152"/>
      <c r="AB1414" s="152"/>
    </row>
    <row r="1415" spans="1:28" collapsed="1">
      <c r="A1415" s="194"/>
      <c r="B1415" s="204" t="s">
        <v>123</v>
      </c>
      <c r="C1415" s="1430">
        <f ca="1">(IF(OR($C1365&lt;&gt;"n/a",C1365&lt;&gt;"n/a"),IF(SUM(C1368:C1390)=0,0,IF((SUMPRODUCT(C1368:C1390,C1392:C1414)/SUM(C1368:C1390))&lt;0,1,(SUMPRODUCT(C1368:C1390,C1392:C1414)/SUM(C1368:C1390)))),"n/a"))</f>
        <v>0</v>
      </c>
      <c r="D1415" s="1430">
        <f ca="1">(IF(OR($C1365&lt;&gt;"n/a",D1365&lt;&gt;"n/a"),IF(SUM(D1368:D1390)=0,0,IF((SUMPRODUCT(D1368:D1390,D1392:D1414)/SUM(D1368:D1390))&lt;0,1,(SUMPRODUCT(D1368:D1390,D1392:D1414)/SUM(D1368:D1390)))),"n/a"))</f>
        <v>0</v>
      </c>
      <c r="E1415" s="1430">
        <f t="shared" ref="E1415:W1415" ca="1" si="2070">(IF(OR($C1365&lt;&gt;"n/a",E1365&lt;&gt;"n/a"),IF(SUM(E1368:E1390)=0,0,IF((SUMPRODUCT(E1368:E1390,E1392:E1414)/SUM(E1368:E1390))&lt;0,1,(SUMPRODUCT(E1368:E1390,E1392:E1414)/SUM(E1368:E1390)))),"n/a"))</f>
        <v>0</v>
      </c>
      <c r="F1415" s="1430">
        <f t="shared" ca="1" si="2070"/>
        <v>0</v>
      </c>
      <c r="G1415" s="1430">
        <f t="shared" ca="1" si="2070"/>
        <v>0</v>
      </c>
      <c r="H1415" s="1430">
        <f t="shared" ca="1" si="2070"/>
        <v>0</v>
      </c>
      <c r="I1415" s="1430">
        <f t="shared" ca="1" si="2070"/>
        <v>0</v>
      </c>
      <c r="J1415" s="1430">
        <f t="shared" ca="1" si="2070"/>
        <v>0</v>
      </c>
      <c r="K1415" s="1430">
        <f t="shared" ca="1" si="2070"/>
        <v>0</v>
      </c>
      <c r="L1415" s="1430">
        <f t="shared" ca="1" si="2070"/>
        <v>0</v>
      </c>
      <c r="M1415" s="1430">
        <f t="shared" ca="1" si="2070"/>
        <v>0</v>
      </c>
      <c r="N1415" s="1430">
        <f t="shared" ca="1" si="2070"/>
        <v>0</v>
      </c>
      <c r="O1415" s="1430">
        <f t="shared" ca="1" si="2070"/>
        <v>0</v>
      </c>
      <c r="P1415" s="1430">
        <f t="shared" ca="1" si="2070"/>
        <v>0</v>
      </c>
      <c r="Q1415" s="1430">
        <f t="shared" ca="1" si="2070"/>
        <v>0</v>
      </c>
      <c r="R1415" s="1430">
        <f t="shared" ca="1" si="2070"/>
        <v>0</v>
      </c>
      <c r="S1415" s="1430">
        <f t="shared" ca="1" si="2070"/>
        <v>0</v>
      </c>
      <c r="T1415" s="1430">
        <f t="shared" ca="1" si="2070"/>
        <v>0</v>
      </c>
      <c r="U1415" s="1430">
        <f t="shared" ca="1" si="2070"/>
        <v>0</v>
      </c>
      <c r="V1415" s="1430">
        <f t="shared" ca="1" si="2070"/>
        <v>0</v>
      </c>
      <c r="W1415" s="1430">
        <f t="shared" ca="1" si="2070"/>
        <v>0</v>
      </c>
      <c r="X1415" s="152"/>
      <c r="Y1415" s="152"/>
      <c r="Z1415" s="152"/>
      <c r="AA1415" s="152"/>
      <c r="AB1415" s="152"/>
    </row>
    <row r="1416" spans="1:28">
      <c r="A1416" s="152"/>
      <c r="B1416" s="152"/>
      <c r="C1416" s="1423"/>
      <c r="D1416" s="1423"/>
      <c r="E1416" s="1423"/>
      <c r="F1416" s="1423"/>
      <c r="G1416" s="1423"/>
      <c r="H1416" s="1423"/>
      <c r="I1416" s="1423"/>
      <c r="J1416" s="1423"/>
      <c r="K1416" s="1423"/>
      <c r="L1416" s="1423"/>
      <c r="M1416" s="1423"/>
      <c r="N1416" s="1423"/>
      <c r="O1416" s="1423"/>
      <c r="P1416" s="1423"/>
      <c r="Q1416" s="1423"/>
      <c r="R1416" s="1423"/>
      <c r="S1416" s="1423"/>
      <c r="T1416" s="1423"/>
      <c r="U1416" s="1423"/>
      <c r="V1416" s="1423"/>
      <c r="W1416" s="1423"/>
      <c r="X1416" s="152"/>
      <c r="Y1416" s="152"/>
      <c r="Z1416" s="152"/>
      <c r="AA1416" s="152"/>
      <c r="AB1416" s="152"/>
    </row>
    <row r="1417" spans="1:28">
      <c r="A1417" s="269" t="s">
        <v>61</v>
      </c>
      <c r="B1417" s="270">
        <f>VLOOKUP($A1417,'RFM input'!$E$7:$F$56,2,FALSE)</f>
        <v>0</v>
      </c>
      <c r="C1417" s="1431"/>
      <c r="D1417" s="1431"/>
      <c r="E1417" s="1432"/>
      <c r="F1417" s="1432"/>
      <c r="G1417" s="1432"/>
      <c r="H1417" s="1432"/>
      <c r="I1417" s="1432"/>
      <c r="J1417" s="1432"/>
      <c r="K1417" s="1432"/>
      <c r="L1417" s="1432"/>
      <c r="M1417" s="1432"/>
      <c r="N1417" s="1432"/>
      <c r="O1417" s="1432"/>
      <c r="P1417" s="1432"/>
      <c r="Q1417" s="1432"/>
      <c r="R1417" s="1432"/>
      <c r="S1417" s="1432"/>
      <c r="T1417" s="1432"/>
      <c r="U1417" s="1432"/>
      <c r="V1417" s="1432"/>
      <c r="W1417" s="1432"/>
      <c r="X1417" s="152"/>
      <c r="Y1417" s="152"/>
      <c r="Z1417" s="152"/>
      <c r="AA1417" s="152"/>
      <c r="AB1417" s="152"/>
    </row>
    <row r="1418" spans="1:28">
      <c r="A1418" s="215">
        <f>VALUE(REPLACE(A1417,1,12,""))</f>
        <v>27</v>
      </c>
      <c r="B1418" s="193" t="s">
        <v>126</v>
      </c>
      <c r="C1418" s="1416">
        <f ca="1">IF($C$8='Capital Base roll forward'!$H$4,OFFSET('Capital Base roll forward'!$H$717,'RAB remaining lives'!A1418,0),"enter input")</f>
        <v>0</v>
      </c>
      <c r="D1418" s="1417">
        <f>IF(LEFT(D$6,4)&lt;LEFT('RFM input'!$G$60,4),"enter input",IF(LEFT(D$6,4)&gt;LEFT('RFM input'!$Q$60,4),0,INDEX('RFM input'!$G$61:$Q$110,$A1418,MATCH(D$6,'RFM input'!$G$60:$Q$60,0))
-INDEX('RFM input'!$G$115:$Q$164,$A1418,MATCH(D$6,'RFM input'!$G$60:$Q$60,0))
-INDEX('RFM input'!$G$169:$Q$218,$A1418,MATCH(D$6,'RFM input'!$G$60:$Q$60,0))))</f>
        <v>0</v>
      </c>
      <c r="E1418" s="1417">
        <f>IF(LEFT(E$6,4)&lt;LEFT('RFM input'!$G$60,4),"enter input",IF(LEFT(E$6,4)&gt;LEFT('RFM input'!$Q$60,4),0,INDEX('RFM input'!$G$61:$Q$110,$A1418,MATCH(E$6,'RFM input'!$G$60:$Q$60,0))
-INDEX('RFM input'!$G$115:$Q$164,$A1418,MATCH(E$6,'RFM input'!$G$60:$Q$60,0))
-INDEX('RFM input'!$G$169:$Q$218,$A1418,MATCH(E$6,'RFM input'!$G$60:$Q$60,0))))</f>
        <v>0</v>
      </c>
      <c r="F1418" s="1417">
        <f>IF(LEFT(F$6,4)&lt;LEFT('RFM input'!$G$60,4),"enter input",IF(LEFT(F$6,4)&gt;LEFT('RFM input'!$Q$60,4),0,INDEX('RFM input'!$G$61:$Q$110,$A1418,MATCH(F$6,'RFM input'!$G$60:$Q$60,0))
-INDEX('RFM input'!$G$115:$Q$164,$A1418,MATCH(F$6,'RFM input'!$G$60:$Q$60,0))
-INDEX('RFM input'!$G$169:$Q$218,$A1418,MATCH(F$6,'RFM input'!$G$60:$Q$60,0))))</f>
        <v>0</v>
      </c>
      <c r="G1418" s="1417">
        <f>IF(LEFT(G$6,4)&lt;LEFT('RFM input'!$G$60,4),"enter input",IF(LEFT(G$6,4)&gt;LEFT('RFM input'!$Q$60,4),0,INDEX('RFM input'!$G$61:$Q$110,$A1418,MATCH(G$6,'RFM input'!$G$60:$Q$60,0))
-INDEX('RFM input'!$G$115:$Q$164,$A1418,MATCH(G$6,'RFM input'!$G$60:$Q$60,0))
-INDEX('RFM input'!$G$169:$Q$218,$A1418,MATCH(G$6,'RFM input'!$G$60:$Q$60,0))))</f>
        <v>0</v>
      </c>
      <c r="H1418" s="1417">
        <f>IF(LEFT(H$6,4)&lt;LEFT('RFM input'!$G$60,4),"enter input",IF(LEFT(H$6,4)&gt;LEFT('RFM input'!$Q$60,4),0,INDEX('RFM input'!$G$61:$Q$110,$A1418,MATCH(H$6,'RFM input'!$G$60:$Q$60,0))
-INDEX('RFM input'!$G$115:$Q$164,$A1418,MATCH(H$6,'RFM input'!$G$60:$Q$60,0))
-INDEX('RFM input'!$G$169:$Q$218,$A1418,MATCH(H$6,'RFM input'!$G$60:$Q$60,0))))</f>
        <v>0</v>
      </c>
      <c r="I1418" s="1417">
        <f>IF(LEFT(I$6,4)&lt;LEFT('RFM input'!$G$60,4),"enter input",IF(LEFT(I$6,4)&gt;LEFT('RFM input'!$Q$60,4),0,INDEX('RFM input'!$G$61:$Q$110,$A1418,MATCH(I$6,'RFM input'!$G$60:$Q$60,0))
-INDEX('RFM input'!$G$115:$Q$164,$A1418,MATCH(I$6,'RFM input'!$G$60:$Q$60,0))
-INDEX('RFM input'!$G$169:$Q$218,$A1418,MATCH(I$6,'RFM input'!$G$60:$Q$60,0))))</f>
        <v>0</v>
      </c>
      <c r="J1418" s="1417">
        <f>IF(LEFT(J$6,4)&lt;LEFT('RFM input'!$G$60,4),"enter input",IF(LEFT(J$6,4)&gt;LEFT('RFM input'!$Q$60,4),0,INDEX('RFM input'!$G$61:$Q$110,$A1418,MATCH(J$6,'RFM input'!$G$60:$Q$60,0))
-INDEX('RFM input'!$G$115:$Q$164,$A1418,MATCH(J$6,'RFM input'!$G$60:$Q$60,0))
-INDEX('RFM input'!$G$169:$Q$218,$A1418,MATCH(J$6,'RFM input'!$G$60:$Q$60,0))))</f>
        <v>0</v>
      </c>
      <c r="K1418" s="1417">
        <f>IF(LEFT(K$6,4)&lt;LEFT('RFM input'!$G$60,4),"enter input",IF(LEFT(K$6,4)&gt;LEFT('RFM input'!$Q$60,4),0,INDEX('RFM input'!$G$61:$Q$110,$A1418,MATCH(K$6,'RFM input'!$G$60:$Q$60,0))
-INDEX('RFM input'!$G$115:$Q$164,$A1418,MATCH(K$6,'RFM input'!$G$60:$Q$60,0))
-INDEX('RFM input'!$G$169:$Q$218,$A1418,MATCH(K$6,'RFM input'!$G$60:$Q$60,0))))</f>
        <v>0</v>
      </c>
      <c r="L1418" s="1417">
        <f>IF(LEFT(L$6,4)&lt;LEFT('RFM input'!$G$60,4),"enter input",IF(LEFT(L$6,4)&gt;LEFT('RFM input'!$Q$60,4),0,INDEX('RFM input'!$G$61:$Q$110,$A1418,MATCH(L$6,'RFM input'!$G$60:$Q$60,0))
-INDEX('RFM input'!$G$115:$Q$164,$A1418,MATCH(L$6,'RFM input'!$G$60:$Q$60,0))
-INDEX('RFM input'!$G$169:$Q$218,$A1418,MATCH(L$6,'RFM input'!$G$60:$Q$60,0))))</f>
        <v>0</v>
      </c>
      <c r="M1418" s="1417">
        <f>IF(LEFT(M$6,4)&lt;LEFT('RFM input'!$G$60,4),"enter input",IF(LEFT(M$6,4)&gt;LEFT('RFM input'!$Q$60,4),0,INDEX('RFM input'!$G$61:$Q$110,$A1418,MATCH(M$6,'RFM input'!$G$60:$Q$60,0))
-INDEX('RFM input'!$G$115:$Q$164,$A1418,MATCH(M$6,'RFM input'!$G$60:$Q$60,0))
-INDEX('RFM input'!$G$169:$Q$218,$A1418,MATCH(M$6,'RFM input'!$G$60:$Q$60,0))))</f>
        <v>0</v>
      </c>
      <c r="N1418" s="1417">
        <f>IF(LEFT(N$6,4)&lt;LEFT('RFM input'!$G$60,4),"enter input",IF(LEFT(N$6,4)&gt;LEFT('RFM input'!$Q$60,4),0,INDEX('RFM input'!$G$61:$Q$110,$A1418,MATCH(N$6,'RFM input'!$G$60:$Q$60,0))
-INDEX('RFM input'!$G$115:$Q$164,$A1418,MATCH(N$6,'RFM input'!$G$60:$Q$60,0))
-INDEX('RFM input'!$G$169:$Q$218,$A1418,MATCH(N$6,'RFM input'!$G$60:$Q$60,0))))</f>
        <v>0</v>
      </c>
      <c r="O1418" s="1417">
        <f>IF(LEFT(O$6,4)&lt;LEFT('RFM input'!$G$60,4),"enter input",IF(LEFT(O$6,4)&gt;LEFT('RFM input'!$Q$60,4),0,INDEX('RFM input'!$G$61:$Q$110,$A1418,MATCH(O$6,'RFM input'!$G$60:$Q$60,0))
-INDEX('RFM input'!$G$115:$Q$164,$A1418,MATCH(O$6,'RFM input'!$G$60:$Q$60,0))
-INDEX('RFM input'!$G$169:$Q$218,$A1418,MATCH(O$6,'RFM input'!$G$60:$Q$60,0))))</f>
        <v>0</v>
      </c>
      <c r="P1418" s="1417">
        <f>IF(LEFT(P$6,4)&lt;LEFT('RFM input'!$G$60,4),"enter input",IF(LEFT(P$6,4)&gt;LEFT('RFM input'!$Q$60,4),0,INDEX('RFM input'!$G$61:$Q$110,$A1418,MATCH(P$6,'RFM input'!$G$60:$Q$60,0))
-INDEX('RFM input'!$G$115:$Q$164,$A1418,MATCH(P$6,'RFM input'!$G$60:$Q$60,0))
-INDEX('RFM input'!$G$169:$Q$218,$A1418,MATCH(P$6,'RFM input'!$G$60:$Q$60,0))))</f>
        <v>0</v>
      </c>
      <c r="Q1418" s="1417">
        <f>IF(LEFT(Q$6,4)&lt;LEFT('RFM input'!$G$60,4),"enter input",IF(LEFT(Q$6,4)&gt;LEFT('RFM input'!$Q$60,4),0,INDEX('RFM input'!$G$61:$Q$110,$A1418,MATCH(Q$6,'RFM input'!$G$60:$Q$60,0))
-INDEX('RFM input'!$G$115:$Q$164,$A1418,MATCH(Q$6,'RFM input'!$G$60:$Q$60,0))
-INDEX('RFM input'!$G$169:$Q$218,$A1418,MATCH(Q$6,'RFM input'!$G$60:$Q$60,0))))</f>
        <v>0</v>
      </c>
      <c r="R1418" s="1417">
        <f>IF(LEFT(R$6,4)&lt;LEFT('RFM input'!$G$60,4),"enter input",IF(LEFT(R$6,4)&gt;LEFT('RFM input'!$Q$60,4),0,INDEX('RFM input'!$G$61:$Q$110,$A1418,MATCH(R$6,'RFM input'!$G$60:$Q$60,0))
-INDEX('RFM input'!$G$115:$Q$164,$A1418,MATCH(R$6,'RFM input'!$G$60:$Q$60,0))
-INDEX('RFM input'!$G$169:$Q$218,$A1418,MATCH(R$6,'RFM input'!$G$60:$Q$60,0))))</f>
        <v>0</v>
      </c>
      <c r="S1418" s="1417">
        <f>IF(LEFT(S$6,4)&lt;LEFT('RFM input'!$G$60,4),"enter input",IF(LEFT(S$6,4)&gt;LEFT('RFM input'!$Q$60,4),0,INDEX('RFM input'!$G$61:$Q$110,$A1418,MATCH(S$6,'RFM input'!$G$60:$Q$60,0))
-INDEX('RFM input'!$G$115:$Q$164,$A1418,MATCH(S$6,'RFM input'!$G$60:$Q$60,0))
-INDEX('RFM input'!$G$169:$Q$218,$A1418,MATCH(S$6,'RFM input'!$G$60:$Q$60,0))))</f>
        <v>0</v>
      </c>
      <c r="T1418" s="1417">
        <f>IF(LEFT(T$6,4)&lt;LEFT('RFM input'!$G$60,4),"enter input",IF(LEFT(T$6,4)&gt;LEFT('RFM input'!$Q$60,4),0,INDEX('RFM input'!$G$61:$Q$110,$A1418,MATCH(T$6,'RFM input'!$G$60:$Q$60,0))
-INDEX('RFM input'!$G$115:$Q$164,$A1418,MATCH(T$6,'RFM input'!$G$60:$Q$60,0))
-INDEX('RFM input'!$G$169:$Q$218,$A1418,MATCH(T$6,'RFM input'!$G$60:$Q$60,0))))</f>
        <v>0</v>
      </c>
      <c r="U1418" s="1417">
        <f>IF(LEFT(U$6,4)&lt;LEFT('RFM input'!$G$60,4),"enter input",IF(LEFT(U$6,4)&gt;LEFT('RFM input'!$Q$60,4),0,INDEX('RFM input'!$G$61:$Q$110,$A1418,MATCH(U$6,'RFM input'!$G$60:$Q$60,0))
-INDEX('RFM input'!$G$115:$Q$164,$A1418,MATCH(U$6,'RFM input'!$G$60:$Q$60,0))
-INDEX('RFM input'!$G$169:$Q$218,$A1418,MATCH(U$6,'RFM input'!$G$60:$Q$60,0))))</f>
        <v>0</v>
      </c>
      <c r="V1418" s="1417">
        <f>IF(LEFT(V$6,4)&lt;LEFT('RFM input'!$G$60,4),"enter input",IF(LEFT(V$6,4)&gt;LEFT('RFM input'!$Q$60,4),0,INDEX('RFM input'!$G$61:$Q$110,$A1418,MATCH(V$6,'RFM input'!$G$60:$Q$60,0))
-INDEX('RFM input'!$G$115:$Q$164,$A1418,MATCH(V$6,'RFM input'!$G$60:$Q$60,0))
-INDEX('RFM input'!$G$169:$Q$218,$A1418,MATCH(V$6,'RFM input'!$G$60:$Q$60,0))))</f>
        <v>0</v>
      </c>
      <c r="W1418" s="1417">
        <f>IF(LEFT(W$6,4)&lt;LEFT('RFM input'!$G$60,4),"enter input",IF(LEFT(W$6,4)&gt;LEFT('RFM input'!$Q$60,4),0,INDEX('RFM input'!$G$61:$Q$110,$A1418,MATCH(W$6,'RFM input'!$G$60:$Q$60,0))
-INDEX('RFM input'!$G$115:$Q$164,$A1418,MATCH(W$6,'RFM input'!$G$60:$Q$60,0))
-INDEX('RFM input'!$G$169:$Q$218,$A1418,MATCH(W$6,'RFM input'!$G$60:$Q$60,0))))</f>
        <v>0</v>
      </c>
      <c r="X1418" s="152"/>
      <c r="Y1418" s="152"/>
      <c r="Z1418" s="152"/>
      <c r="AA1418" s="152"/>
      <c r="AB1418" s="152"/>
    </row>
    <row r="1419" spans="1:28">
      <c r="A1419" s="152"/>
      <c r="B1419" s="152" t="s">
        <v>204</v>
      </c>
      <c r="C1419" s="1418">
        <f ca="1">IF($C$8='Capital Base roll forward'!$H$4,OFFSET('RFM input'!$J$6,'RAB remaining lives'!A1418,0),"enter input")</f>
        <v>0</v>
      </c>
      <c r="D1419" s="1417">
        <f>IF(LEFT(D$6,4)&lt;=LEFT('RFM input'!$G$60,4),"enter input",IF(LEFT(D$6,4)&gt;LEFT('RFM input'!$Q$60,4),0,IF(MATCH(D$6,'RFM input'!$H$60:$Q$60,0),INDEX('RFM input'!$K$7:$K$56,$A1418,1))))</f>
        <v>0</v>
      </c>
      <c r="E1419" s="1417">
        <f>IF(LEFT(E$6,4)&lt;=LEFT('RFM input'!$G$60,4),"enter input",IF(LEFT(E$6,4)&gt;LEFT('RFM input'!$Q$60,4),0,IF(MATCH(E$6,'RFM input'!$H$60:$Q$60,0),INDEX('RFM input'!$K$7:$K$56,$A1418,1))))</f>
        <v>0</v>
      </c>
      <c r="F1419" s="1417">
        <f>IF(LEFT(F$6,4)&lt;=LEFT('RFM input'!$G$60,4),"enter input",IF(LEFT(F$6,4)&gt;LEFT('RFM input'!$Q$60,4),0,IF(MATCH(F$6,'RFM input'!$H$60:$Q$60,0),INDEX('RFM input'!$K$7:$K$56,$A1418,1))))</f>
        <v>0</v>
      </c>
      <c r="G1419" s="1417">
        <f>IF(LEFT(G$6,4)&lt;=LEFT('RFM input'!$G$60,4),"enter input",IF(LEFT(G$6,4)&gt;LEFT('RFM input'!$Q$60,4),0,IF(MATCH(G$6,'RFM input'!$H$60:$Q$60,0),INDEX('RFM input'!$K$7:$K$56,$A1418,1))))</f>
        <v>0</v>
      </c>
      <c r="H1419" s="1417">
        <f>IF(LEFT(H$6,4)&lt;=LEFT('RFM input'!$G$60,4),"enter input",IF(LEFT(H$6,4)&gt;LEFT('RFM input'!$Q$60,4),0,IF(MATCH(H$6,'RFM input'!$H$60:$Q$60,0),INDEX('RFM input'!$K$7:$K$56,$A1418,1))))</f>
        <v>0</v>
      </c>
      <c r="I1419" s="1417">
        <f>IF(LEFT(I$6,4)&lt;=LEFT('RFM input'!$G$60,4),"enter input",IF(LEFT(I$6,4)&gt;LEFT('RFM input'!$Q$60,4),0,IF(MATCH(I$6,'RFM input'!$H$60:$Q$60,0),INDEX('RFM input'!$K$7:$K$56,$A1418,1))))</f>
        <v>0</v>
      </c>
      <c r="J1419" s="1417">
        <f>IF(LEFT(J$6,4)&lt;=LEFT('RFM input'!$G$60,4),"enter input",IF(LEFT(J$6,4)&gt;LEFT('RFM input'!$Q$60,4),0,IF(MATCH(J$6,'RFM input'!$H$60:$Q$60,0),INDEX('RFM input'!$K$7:$K$56,$A1418,1))))</f>
        <v>0</v>
      </c>
      <c r="K1419" s="1417">
        <f>IF(LEFT(K$6,4)&lt;=LEFT('RFM input'!$G$60,4),"enter input",IF(LEFT(K$6,4)&gt;LEFT('RFM input'!$Q$60,4),0,IF(MATCH(K$6,'RFM input'!$H$60:$Q$60,0),INDEX('RFM input'!$K$7:$K$56,$A1418,1))))</f>
        <v>0</v>
      </c>
      <c r="L1419" s="1417">
        <f>IF(LEFT(L$6,4)&lt;=LEFT('RFM input'!$G$60,4),"enter input",IF(LEFT(L$6,4)&gt;LEFT('RFM input'!$Q$60,4),0,IF(MATCH(L$6,'RFM input'!$H$60:$Q$60,0),INDEX('RFM input'!$K$7:$K$56,$A1418,1))))</f>
        <v>0</v>
      </c>
      <c r="M1419" s="1417">
        <f>IF(LEFT(M$6,4)&lt;=LEFT('RFM input'!$G$60,4),"enter input",IF(LEFT(M$6,4)&gt;LEFT('RFM input'!$Q$60,4),0,IF(MATCH(M$6,'RFM input'!$H$60:$Q$60,0),INDEX('RFM input'!$K$7:$K$56,$A1418,1))))</f>
        <v>0</v>
      </c>
      <c r="N1419" s="1417">
        <f>IF(LEFT(N$6,4)&lt;=LEFT('RFM input'!$G$60,4),"enter input",IF(LEFT(N$6,4)&gt;LEFT('RFM input'!$Q$60,4),0,IF(MATCH(N$6,'RFM input'!$H$60:$Q$60,0),INDEX('RFM input'!$K$7:$K$56,$A1418,1))))</f>
        <v>0</v>
      </c>
      <c r="O1419" s="1417">
        <f>IF(LEFT(O$6,4)&lt;=LEFT('RFM input'!$G$60,4),"enter input",IF(LEFT(O$6,4)&gt;LEFT('RFM input'!$Q$60,4),0,IF(MATCH(O$6,'RFM input'!$H$60:$Q$60,0),INDEX('RFM input'!$K$7:$K$56,$A1418,1))))</f>
        <v>0</v>
      </c>
      <c r="P1419" s="1417">
        <f>IF(LEFT(P$6,4)&lt;=LEFT('RFM input'!$G$60,4),"enter input",IF(LEFT(P$6,4)&gt;LEFT('RFM input'!$Q$60,4),0,IF(MATCH(P$6,'RFM input'!$H$60:$Q$60,0),INDEX('RFM input'!$K$7:$K$56,$A1418,1))))</f>
        <v>0</v>
      </c>
      <c r="Q1419" s="1417">
        <f>IF(LEFT(Q$6,4)&lt;=LEFT('RFM input'!$G$60,4),"enter input",IF(LEFT(Q$6,4)&gt;LEFT('RFM input'!$Q$60,4),0,IF(MATCH(Q$6,'RFM input'!$H$60:$Q$60,0),INDEX('RFM input'!$K$7:$K$56,$A1418,1))))</f>
        <v>0</v>
      </c>
      <c r="R1419" s="1417">
        <f>IF(LEFT(R$6,4)&lt;=LEFT('RFM input'!$G$60,4),"enter input",IF(LEFT(R$6,4)&gt;LEFT('RFM input'!$Q$60,4),0,IF(MATCH(R$6,'RFM input'!$H$60:$Q$60,0),INDEX('RFM input'!$K$7:$K$56,$A1418,1))))</f>
        <v>0</v>
      </c>
      <c r="S1419" s="1417">
        <f>IF(LEFT(S$6,4)&lt;=LEFT('RFM input'!$G$60,4),"enter input",IF(LEFT(S$6,4)&gt;LEFT('RFM input'!$Q$60,4),0,IF(MATCH(S$6,'RFM input'!$H$60:$Q$60,0),INDEX('RFM input'!$K$7:$K$56,$A1418,1))))</f>
        <v>0</v>
      </c>
      <c r="T1419" s="1417">
        <f>IF(LEFT(T$6,4)&lt;=LEFT('RFM input'!$G$60,4),"enter input",IF(LEFT(T$6,4)&gt;LEFT('RFM input'!$Q$60,4),0,IF(MATCH(T$6,'RFM input'!$H$60:$Q$60,0),INDEX('RFM input'!$K$7:$K$56,$A1418,1))))</f>
        <v>0</v>
      </c>
      <c r="U1419" s="1417">
        <f>IF(LEFT(U$6,4)&lt;=LEFT('RFM input'!$G$60,4),"enter input",IF(LEFT(U$6,4)&gt;LEFT('RFM input'!$Q$60,4),0,IF(MATCH(U$6,'RFM input'!$H$60:$Q$60,0),INDEX('RFM input'!$K$7:$K$56,$A1418,1))))</f>
        <v>0</v>
      </c>
      <c r="V1419" s="1417">
        <f>IF(LEFT(V$6,4)&lt;=LEFT('RFM input'!$G$60,4),"enter input",IF(LEFT(V$6,4)&gt;LEFT('RFM input'!$Q$60,4),0,IF(MATCH(V$6,'RFM input'!$H$60:$Q$60,0),INDEX('RFM input'!$K$7:$K$56,$A1418,1))))</f>
        <v>0</v>
      </c>
      <c r="W1419" s="1417">
        <f>IF(LEFT(W$6,4)&lt;=LEFT('RFM input'!$G$60,4),"enter input",IF(LEFT(W$6,4)&gt;LEFT('RFM input'!$Q$60,4),0,IF(MATCH(W$6,'RFM input'!$H$60:$Q$60,0),INDEX('RFM input'!$K$7:$K$56,$A1418,1))))</f>
        <v>0</v>
      </c>
      <c r="X1419" s="152"/>
      <c r="Y1419" s="152"/>
      <c r="Z1419" s="152"/>
      <c r="AA1419" s="152"/>
      <c r="AB1419" s="152"/>
    </row>
    <row r="1420" spans="1:28">
      <c r="A1420" s="152"/>
      <c r="B1420" s="177" t="s">
        <v>191</v>
      </c>
      <c r="C1420" s="1419"/>
      <c r="D1420" s="1420">
        <f ca="1">IF(LEFT(D$6,4)&lt;=LEFT('RFM input'!$G$60,4),"enter input",IF(LEFT(D$6,4)&gt;LEFT('RFM input'!$Q$60,4),0,IF(D$6=(OFFSET('RFM input'!$G$60,0,'RFM input'!$V$7)),OFFSET('RFM input'!$G$411,$A1418,0),0)))</f>
        <v>0</v>
      </c>
      <c r="E1420" s="1417">
        <f ca="1">IF(LEFT(E$6,4)&lt;=LEFT('RFM input'!$G$60,4),"enter input",IF(LEFT(E$6,4)&gt;LEFT('RFM input'!$Q$60,4),0,IF(E$6=(OFFSET('RFM input'!$G$60,0,'RFM input'!$V$7)),OFFSET('RFM input'!$G$411,$A1418,0),0)))</f>
        <v>0</v>
      </c>
      <c r="F1420" s="1417">
        <f ca="1">IF(LEFT(F$6,4)&lt;=LEFT('RFM input'!$G$60,4),"enter input",IF(LEFT(F$6,4)&gt;LEFT('RFM input'!$Q$60,4),0,IF(F$6=(OFFSET('RFM input'!$G$60,0,'RFM input'!$V$7)),OFFSET('RFM input'!$G$411,$A1418,0),0)))</f>
        <v>0</v>
      </c>
      <c r="G1420" s="1417">
        <f ca="1">IF(LEFT(G$6,4)&lt;=LEFT('RFM input'!$G$60,4),"enter input",IF(LEFT(G$6,4)&gt;LEFT('RFM input'!$Q$60,4),0,IF(G$6=(OFFSET('RFM input'!$G$60,0,'RFM input'!$V$7)),OFFSET('RFM input'!$G$411,$A1418,0),0)))</f>
        <v>0</v>
      </c>
      <c r="H1420" s="1417">
        <f ca="1">IF(LEFT(H$6,4)&lt;=LEFT('RFM input'!$G$60,4),"enter input",IF(LEFT(H$6,4)&gt;LEFT('RFM input'!$Q$60,4),0,IF(H$6=(OFFSET('RFM input'!$G$60,0,'RFM input'!$V$7)),OFFSET('RFM input'!$G$411,$A1418,0),0)))</f>
        <v>0</v>
      </c>
      <c r="I1420" s="1417">
        <f ca="1">IF(LEFT(I$6,4)&lt;=LEFT('RFM input'!$G$60,4),"enter input",IF(LEFT(I$6,4)&gt;LEFT('RFM input'!$Q$60,4),0,IF(I$6=(OFFSET('RFM input'!$G$60,0,'RFM input'!$V$7)),OFFSET('RFM input'!$G$411,$A1418,0),0)))</f>
        <v>0</v>
      </c>
      <c r="J1420" s="1417">
        <f ca="1">IF(LEFT(J$6,4)&lt;=LEFT('RFM input'!$G$60,4),"enter input",IF(LEFT(J$6,4)&gt;LEFT('RFM input'!$Q$60,4),0,IF(J$6=(OFFSET('RFM input'!$G$60,0,'RFM input'!$V$7)),OFFSET('RFM input'!$G$411,$A1418,0),0)))</f>
        <v>0</v>
      </c>
      <c r="K1420" s="1417">
        <f ca="1">IF(LEFT(K$6,4)&lt;=LEFT('RFM input'!$G$60,4),"enter input",IF(LEFT(K$6,4)&gt;LEFT('RFM input'!$Q$60,4),0,IF(K$6=(OFFSET('RFM input'!$G$60,0,'RFM input'!$V$7)),OFFSET('RFM input'!$G$411,$A1418,0),0)))</f>
        <v>0</v>
      </c>
      <c r="L1420" s="1417">
        <f ca="1">IF(LEFT(L$6,4)&lt;=LEFT('RFM input'!$G$60,4),"enter input",IF(LEFT(L$6,4)&gt;LEFT('RFM input'!$Q$60,4),0,IF(L$6=(OFFSET('RFM input'!$G$60,0,'RFM input'!$V$7)),OFFSET('RFM input'!$G$411,$A1418,0),0)))</f>
        <v>0</v>
      </c>
      <c r="M1420" s="1417">
        <f ca="1">IF(LEFT(M$6,4)&lt;=LEFT('RFM input'!$G$60,4),"enter input",IF(LEFT(M$6,4)&gt;LEFT('RFM input'!$Q$60,4),0,IF(M$6=(OFFSET('RFM input'!$G$60,0,'RFM input'!$V$7)),OFFSET('RFM input'!$G$411,$A1418,0),0)))</f>
        <v>0</v>
      </c>
      <c r="N1420" s="1417">
        <f ca="1">IF(LEFT(N$6,4)&lt;=LEFT('RFM input'!$G$60,4),"enter input",IF(LEFT(N$6,4)&gt;LEFT('RFM input'!$Q$60,4),0,IF(N$6=(OFFSET('RFM input'!$G$60,0,'RFM input'!$V$7)),OFFSET('RFM input'!$G$411,$A1418,0),0)))</f>
        <v>0</v>
      </c>
      <c r="O1420" s="1417">
        <f ca="1">IF(LEFT(O$6,4)&lt;=LEFT('RFM input'!$G$60,4),"enter input",IF(LEFT(O$6,4)&gt;LEFT('RFM input'!$Q$60,4),0,IF(O$6=(OFFSET('RFM input'!$G$60,0,'RFM input'!$V$7)),OFFSET('RFM input'!$G$411,$A1418,0),0)))</f>
        <v>0</v>
      </c>
      <c r="P1420" s="1417">
        <f ca="1">IF(LEFT(P$6,4)&lt;=LEFT('RFM input'!$G$60,4),"enter input",IF(LEFT(P$6,4)&gt;LEFT('RFM input'!$Q$60,4),0,IF(P$6=(OFFSET('RFM input'!$G$60,0,'RFM input'!$V$7)),OFFSET('RFM input'!$G$411,$A1418,0),0)))</f>
        <v>0</v>
      </c>
      <c r="Q1420" s="1417">
        <f ca="1">IF(LEFT(Q$6,4)&lt;=LEFT('RFM input'!$G$60,4),"enter input",IF(LEFT(Q$6,4)&gt;LEFT('RFM input'!$Q$60,4),0,IF(Q$6=(OFFSET('RFM input'!$G$60,0,'RFM input'!$V$7)),OFFSET('RFM input'!$G$411,$A1418,0),0)))</f>
        <v>0</v>
      </c>
      <c r="R1420" s="1417">
        <f ca="1">IF(LEFT(R$6,4)&lt;=LEFT('RFM input'!$G$60,4),"enter input",IF(LEFT(R$6,4)&gt;LEFT('RFM input'!$Q$60,4),0,IF(R$6=(OFFSET('RFM input'!$G$60,0,'RFM input'!$V$7)),OFFSET('RFM input'!$G$411,$A1418,0),0)))</f>
        <v>0</v>
      </c>
      <c r="S1420" s="1417">
        <f ca="1">IF(LEFT(S$6,4)&lt;=LEFT('RFM input'!$G$60,4),"enter input",IF(LEFT(S$6,4)&gt;LEFT('RFM input'!$Q$60,4),0,IF(S$6=(OFFSET('RFM input'!$G$60,0,'RFM input'!$V$7)),OFFSET('RFM input'!$G$411,$A1418,0),0)))</f>
        <v>0</v>
      </c>
      <c r="T1420" s="1417">
        <f ca="1">IF(LEFT(T$6,4)&lt;=LEFT('RFM input'!$G$60,4),"enter input",IF(LEFT(T$6,4)&gt;LEFT('RFM input'!$Q$60,4),0,IF(T$6=(OFFSET('RFM input'!$G$60,0,'RFM input'!$V$7)),OFFSET('RFM input'!$G$411,$A1418,0),0)))</f>
        <v>0</v>
      </c>
      <c r="U1420" s="1417">
        <f ca="1">IF(LEFT(U$6,4)&lt;=LEFT('RFM input'!$G$60,4),"enter input",IF(LEFT(U$6,4)&gt;LEFT('RFM input'!$Q$60,4),0,IF(U$6=(OFFSET('RFM input'!$G$60,0,'RFM input'!$V$7)),OFFSET('RFM input'!$G$411,$A1418,0),0)))</f>
        <v>0</v>
      </c>
      <c r="V1420" s="1417">
        <f ca="1">IF(LEFT(V$6,4)&lt;=LEFT('RFM input'!$G$60,4),"enter input",IF(LEFT(V$6,4)&gt;LEFT('RFM input'!$Q$60,4),0,IF(V$6=(OFFSET('RFM input'!$G$60,0,'RFM input'!$V$7)),OFFSET('RFM input'!$G$411,$A1418,0),0)))</f>
        <v>0</v>
      </c>
      <c r="W1420" s="1417">
        <f ca="1">IF(LEFT(W$6,4)&lt;=LEFT('RFM input'!$G$60,4),"enter input",IF(LEFT(W$6,4)&gt;LEFT('RFM input'!$Q$60,4),0,IF(W$6=(OFFSET('RFM input'!$G$60,0,'RFM input'!$V$7)),OFFSET('RFM input'!$G$411,$A1418,0),0)))</f>
        <v>0</v>
      </c>
      <c r="X1420" s="152"/>
      <c r="Y1420" s="152"/>
      <c r="Z1420" s="152"/>
      <c r="AA1420" s="152"/>
      <c r="AB1420" s="152"/>
    </row>
    <row r="1421" spans="1:28">
      <c r="A1421" s="152"/>
      <c r="B1421" s="195" t="s">
        <v>197</v>
      </c>
      <c r="C1421" s="1419"/>
      <c r="D1421" s="1418">
        <f ca="1">IF(LEFT(D$6,4)&lt;=LEFT('RFM input'!$G$60,4),"enter input",IF(LEFT(D$6,4)&gt;LEFT('RFM input'!$Q$60,4),0,IF(D$6=(OFFSET('RFM input'!$G$60,0,'RFM input'!$V$7)),OFFSET('RFM input'!$I$411,$A1418,0),0)))</f>
        <v>0</v>
      </c>
      <c r="E1421" s="1422">
        <f ca="1">IF(LEFT(E$6,4)&lt;=LEFT('RFM input'!$G$60,4),"enter input",IF(LEFT(E$6,4)&gt;LEFT('RFM input'!$Q$60,4),0,IF(E$6=(OFFSET('RFM input'!$G$60,0,'RFM input'!$V$7)),OFFSET('RFM input'!$I$411,$A1418,0),0)))</f>
        <v>0</v>
      </c>
      <c r="F1421" s="1422">
        <f ca="1">IF(LEFT(F$6,4)&lt;=LEFT('RFM input'!$G$60,4),"enter input",IF(LEFT(F$6,4)&gt;LEFT('RFM input'!$Q$60,4),0,IF(F$6=(OFFSET('RFM input'!$G$60,0,'RFM input'!$V$7)),OFFSET('RFM input'!$I$411,$A1418,0),0)))</f>
        <v>0</v>
      </c>
      <c r="G1421" s="1422">
        <f ca="1">IF(LEFT(G$6,4)&lt;=LEFT('RFM input'!$G$60,4),"enter input",IF(LEFT(G$6,4)&gt;LEFT('RFM input'!$Q$60,4),0,IF(G$6=(OFFSET('RFM input'!$G$60,0,'RFM input'!$V$7)),OFFSET('RFM input'!$I$411,$A1418,0),0)))</f>
        <v>0</v>
      </c>
      <c r="H1421" s="1422">
        <f ca="1">IF(LEFT(H$6,4)&lt;=LEFT('RFM input'!$G$60,4),"enter input",IF(LEFT(H$6,4)&gt;LEFT('RFM input'!$Q$60,4),0,IF(H$6=(OFFSET('RFM input'!$G$60,0,'RFM input'!$V$7)),OFFSET('RFM input'!$I$411,$A1418,0),0)))</f>
        <v>0</v>
      </c>
      <c r="I1421" s="1422">
        <f ca="1">IF(LEFT(I$6,4)&lt;=LEFT('RFM input'!$G$60,4),"enter input",IF(LEFT(I$6,4)&gt;LEFT('RFM input'!$Q$60,4),0,IF(I$6=(OFFSET('RFM input'!$G$60,0,'RFM input'!$V$7)),OFFSET('RFM input'!$I$411,$A1418,0),0)))</f>
        <v>0</v>
      </c>
      <c r="J1421" s="1422">
        <f ca="1">IF(LEFT(J$6,4)&lt;=LEFT('RFM input'!$G$60,4),"enter input",IF(LEFT(J$6,4)&gt;LEFT('RFM input'!$Q$60,4),0,IF(J$6=(OFFSET('RFM input'!$G$60,0,'RFM input'!$V$7)),OFFSET('RFM input'!$I$411,$A1418,0),0)))</f>
        <v>0</v>
      </c>
      <c r="K1421" s="1422">
        <f ca="1">IF(LEFT(K$6,4)&lt;=LEFT('RFM input'!$G$60,4),"enter input",IF(LEFT(K$6,4)&gt;LEFT('RFM input'!$Q$60,4),0,IF(K$6=(OFFSET('RFM input'!$G$60,0,'RFM input'!$V$7)),OFFSET('RFM input'!$I$411,$A1418,0),0)))</f>
        <v>0</v>
      </c>
      <c r="L1421" s="1422">
        <f ca="1">IF(LEFT(L$6,4)&lt;=LEFT('RFM input'!$G$60,4),"enter input",IF(LEFT(L$6,4)&gt;LEFT('RFM input'!$Q$60,4),0,IF(L$6=(OFFSET('RFM input'!$G$60,0,'RFM input'!$V$7)),OFFSET('RFM input'!$I$411,$A1418,0),0)))</f>
        <v>0</v>
      </c>
      <c r="M1421" s="1422">
        <f ca="1">IF(LEFT(M$6,4)&lt;=LEFT('RFM input'!$G$60,4),"enter input",IF(LEFT(M$6,4)&gt;LEFT('RFM input'!$Q$60,4),0,IF(M$6=(OFFSET('RFM input'!$G$60,0,'RFM input'!$V$7)),OFFSET('RFM input'!$I$411,$A1418,0),0)))</f>
        <v>0</v>
      </c>
      <c r="N1421" s="1422">
        <f ca="1">IF(LEFT(N$6,4)&lt;=LEFT('RFM input'!$G$60,4),"enter input",IF(LEFT(N$6,4)&gt;LEFT('RFM input'!$Q$60,4),0,IF(N$6=(OFFSET('RFM input'!$G$60,0,'RFM input'!$V$7)),OFFSET('RFM input'!$I$411,$A1418,0),0)))</f>
        <v>0</v>
      </c>
      <c r="O1421" s="1422">
        <f ca="1">IF(LEFT(O$6,4)&lt;=LEFT('RFM input'!$G$60,4),"enter input",IF(LEFT(O$6,4)&gt;LEFT('RFM input'!$Q$60,4),0,IF(O$6=(OFFSET('RFM input'!$G$60,0,'RFM input'!$V$7)),OFFSET('RFM input'!$I$411,$A1418,0),0)))</f>
        <v>0</v>
      </c>
      <c r="P1421" s="1422">
        <f ca="1">IF(LEFT(P$6,4)&lt;=LEFT('RFM input'!$G$60,4),"enter input",IF(LEFT(P$6,4)&gt;LEFT('RFM input'!$Q$60,4),0,IF(P$6=(OFFSET('RFM input'!$G$60,0,'RFM input'!$V$7)),OFFSET('RFM input'!$I$411,$A1418,0),0)))</f>
        <v>0</v>
      </c>
      <c r="Q1421" s="1422">
        <f ca="1">IF(LEFT(Q$6,4)&lt;=LEFT('RFM input'!$G$60,4),"enter input",IF(LEFT(Q$6,4)&gt;LEFT('RFM input'!$Q$60,4),0,IF(Q$6=(OFFSET('RFM input'!$G$60,0,'RFM input'!$V$7)),OFFSET('RFM input'!$I$411,$A1418,0),0)))</f>
        <v>0</v>
      </c>
      <c r="R1421" s="1422">
        <f ca="1">IF(LEFT(R$6,4)&lt;=LEFT('RFM input'!$G$60,4),"enter input",IF(LEFT(R$6,4)&gt;LEFT('RFM input'!$Q$60,4),0,IF(R$6=(OFFSET('RFM input'!$G$60,0,'RFM input'!$V$7)),OFFSET('RFM input'!$I$411,$A1418,0),0)))</f>
        <v>0</v>
      </c>
      <c r="S1421" s="1422">
        <f ca="1">IF(LEFT(S$6,4)&lt;=LEFT('RFM input'!$G$60,4),"enter input",IF(LEFT(S$6,4)&gt;LEFT('RFM input'!$Q$60,4),0,IF(S$6=(OFFSET('RFM input'!$G$60,0,'RFM input'!$V$7)),OFFSET('RFM input'!$I$411,$A1418,0),0)))</f>
        <v>0</v>
      </c>
      <c r="T1421" s="1422">
        <f ca="1">IF(LEFT(T$6,4)&lt;=LEFT('RFM input'!$G$60,4),"enter input",IF(LEFT(T$6,4)&gt;LEFT('RFM input'!$Q$60,4),0,IF(T$6=(OFFSET('RFM input'!$G$60,0,'RFM input'!$V$7)),OFFSET('RFM input'!$I$411,$A1418,0),0)))</f>
        <v>0</v>
      </c>
      <c r="U1421" s="1422">
        <f ca="1">IF(LEFT(U$6,4)&lt;=LEFT('RFM input'!$G$60,4),"enter input",IF(LEFT(U$6,4)&gt;LEFT('RFM input'!$Q$60,4),0,IF(U$6=(OFFSET('RFM input'!$G$60,0,'RFM input'!$V$7)),OFFSET('RFM input'!$I$411,$A1418,0),0)))</f>
        <v>0</v>
      </c>
      <c r="V1421" s="1422">
        <f ca="1">IF(LEFT(V$6,4)&lt;=LEFT('RFM input'!$G$60,4),"enter input",IF(LEFT(V$6,4)&gt;LEFT('RFM input'!$Q$60,4),0,IF(V$6=(OFFSET('RFM input'!$G$60,0,'RFM input'!$V$7)),OFFSET('RFM input'!$I$411,$A1418,0),0)))</f>
        <v>0</v>
      </c>
      <c r="W1421" s="1422">
        <f ca="1">IF(LEFT(W$6,4)&lt;=LEFT('RFM input'!$G$60,4),"enter input",IF(LEFT(W$6,4)&gt;LEFT('RFM input'!$Q$60,4),0,IF(W$6=(OFFSET('RFM input'!$G$60,0,'RFM input'!$V$7)),OFFSET('RFM input'!$I$411,$A1418,0),0)))</f>
        <v>0</v>
      </c>
      <c r="X1421" s="152"/>
      <c r="Y1421" s="152"/>
      <c r="Z1421" s="152"/>
      <c r="AA1421" s="152"/>
      <c r="AB1421" s="152"/>
    </row>
    <row r="1422" spans="1:28" hidden="1" outlineLevel="1">
      <c r="A1422" s="235">
        <v>-1</v>
      </c>
      <c r="B1422" s="190" t="s">
        <v>189</v>
      </c>
      <c r="C1422" s="1423"/>
      <c r="D1422" s="1423">
        <f ca="1">IF(AND(D1420=0,C1422=0),0,
IF(AND(D1420&lt;&gt;0,C1422=0),(D1420/D$10),
IF(AND(D1421&lt;&gt;0,C1422&lt;&gt;0),(C1422-(C1422/C1446))+(D1420/D$10),
IF(C1446&lt;1,0,(C1422-(C1422/C1446))))))</f>
        <v>0</v>
      </c>
      <c r="E1422" s="1423">
        <f t="shared" ref="E1422" ca="1" si="2071">IF(AND(E1420=0,D1422=0),0,
IF(AND(E1420&lt;&gt;0,D1422=0),(E1420/E$10),
IF(AND(E1421&lt;&gt;0,D1422&lt;&gt;0),(D1422-(D1422/D1446))+(E1420/E$10),
IF(D1446&lt;1,0,(D1422-(D1422/D1446))))))</f>
        <v>0</v>
      </c>
      <c r="F1422" s="1423">
        <f t="shared" ref="F1422" ca="1" si="2072">IF(AND(F1420=0,E1422=0),0,
IF(AND(F1420&lt;&gt;0,E1422=0),(F1420/F$10),
IF(AND(F1421&lt;&gt;0,E1422&lt;&gt;0),(E1422-(E1422/E1446))+(F1420/F$10),
IF(E1446&lt;1,0,(E1422-(E1422/E1446))))))</f>
        <v>0</v>
      </c>
      <c r="G1422" s="1423">
        <f t="shared" ref="G1422" ca="1" si="2073">IF(AND(G1420=0,F1422=0),0,
IF(AND(G1420&lt;&gt;0,F1422=0),(G1420/G$10),
IF(AND(G1421&lt;&gt;0,F1422&lt;&gt;0),(F1422-(F1422/F1446))+(G1420/G$10),
IF(F1446&lt;1,0,(F1422-(F1422/F1446))))))</f>
        <v>0</v>
      </c>
      <c r="H1422" s="1423">
        <f t="shared" ref="H1422" ca="1" si="2074">IF(AND(H1420=0,G1422=0),0,
IF(AND(H1420&lt;&gt;0,G1422=0),(H1420/H$10),
IF(AND(H1421&lt;&gt;0,G1422&lt;&gt;0),(G1422-(G1422/G1446))+(H1420/H$10),
IF(G1446&lt;1,0,(G1422-(G1422/G1446))))))</f>
        <v>0</v>
      </c>
      <c r="I1422" s="1423">
        <f t="shared" ref="I1422" ca="1" si="2075">IF(AND(I1420=0,H1422=0),0,
IF(AND(I1420&lt;&gt;0,H1422=0),(I1420/I$10),
IF(AND(I1421&lt;&gt;0,H1422&lt;&gt;0),(H1422-(H1422/H1446))+(I1420/I$10),
IF(H1446&lt;1,0,(H1422-(H1422/H1446))))))</f>
        <v>0</v>
      </c>
      <c r="J1422" s="1423">
        <f t="shared" ref="J1422" ca="1" si="2076">IF(AND(J1420=0,I1422=0),0,
IF(AND(J1420&lt;&gt;0,I1422=0),(J1420/J$10),
IF(AND(J1421&lt;&gt;0,I1422&lt;&gt;0),(I1422-(I1422/I1446))+(J1420/J$10),
IF(I1446&lt;1,0,(I1422-(I1422/I1446))))))</f>
        <v>0</v>
      </c>
      <c r="K1422" s="1423">
        <f t="shared" ref="K1422" ca="1" si="2077">IF(AND(K1420=0,J1422=0),0,
IF(AND(K1420&lt;&gt;0,J1422=0),(K1420/K$10),
IF(AND(K1421&lt;&gt;0,J1422&lt;&gt;0),(J1422-(J1422/J1446))+(K1420/K$10),
IF(J1446&lt;1,0,(J1422-(J1422/J1446))))))</f>
        <v>0</v>
      </c>
      <c r="L1422" s="1423">
        <f t="shared" ref="L1422" ca="1" si="2078">IF(AND(L1420=0,K1422=0),0,
IF(AND(L1420&lt;&gt;0,K1422=0),(L1420/L$10),
IF(AND(L1421&lt;&gt;0,K1422&lt;&gt;0),(K1422-(K1422/K1446))+(L1420/L$10),
IF(K1446&lt;1,0,(K1422-(K1422/K1446))))))</f>
        <v>0</v>
      </c>
      <c r="M1422" s="1423">
        <f t="shared" ref="M1422" ca="1" si="2079">IF(AND(M1420=0,L1422=0),0,
IF(AND(M1420&lt;&gt;0,L1422=0),(M1420/M$10),
IF(AND(M1421&lt;&gt;0,L1422&lt;&gt;0),(L1422-(L1422/L1446))+(M1420/M$10),
IF(L1446&lt;1,0,(L1422-(L1422/L1446))))))</f>
        <v>0</v>
      </c>
      <c r="N1422" s="1423">
        <f t="shared" ref="N1422" ca="1" si="2080">IF(AND(N1420=0,M1422=0),0,
IF(AND(N1420&lt;&gt;0,M1422=0),(N1420/N$10),
IF(AND(N1421&lt;&gt;0,M1422&lt;&gt;0),(M1422-(M1422/M1446))+(N1420/N$10),
IF(M1446&lt;1,0,(M1422-(M1422/M1446))))))</f>
        <v>0</v>
      </c>
      <c r="O1422" s="1423">
        <f t="shared" ref="O1422" ca="1" si="2081">IF(AND(O1420=0,N1422=0),0,
IF(AND(O1420&lt;&gt;0,N1422=0),(O1420/O$10),
IF(AND(O1421&lt;&gt;0,N1422&lt;&gt;0),(N1422-(N1422/N1446))+(O1420/O$10),
IF(N1446&lt;1,0,(N1422-(N1422/N1446))))))</f>
        <v>0</v>
      </c>
      <c r="P1422" s="1423">
        <f t="shared" ref="P1422" ca="1" si="2082">IF(AND(P1420=0,O1422=0),0,
IF(AND(P1420&lt;&gt;0,O1422=0),(P1420/P$10),
IF(AND(P1421&lt;&gt;0,O1422&lt;&gt;0),(O1422-(O1422/O1446))+(P1420/P$10),
IF(O1446&lt;1,0,(O1422-(O1422/O1446))))))</f>
        <v>0</v>
      </c>
      <c r="Q1422" s="1423">
        <f t="shared" ref="Q1422" ca="1" si="2083">IF(AND(Q1420=0,P1422=0),0,
IF(AND(Q1420&lt;&gt;0,P1422=0),(Q1420/Q$10),
IF(AND(Q1421&lt;&gt;0,P1422&lt;&gt;0),(P1422-(P1422/P1446))+(Q1420/Q$10),
IF(P1446&lt;1,0,(P1422-(P1422/P1446))))))</f>
        <v>0</v>
      </c>
      <c r="R1422" s="1423">
        <f t="shared" ref="R1422" ca="1" si="2084">IF(AND(R1420=0,Q1422=0),0,
IF(AND(R1420&lt;&gt;0,Q1422=0),(R1420/R$10),
IF(AND(R1421&lt;&gt;0,Q1422&lt;&gt;0),(Q1422-(Q1422/Q1446))+(R1420/R$10),
IF(Q1446&lt;1,0,(Q1422-(Q1422/Q1446))))))</f>
        <v>0</v>
      </c>
      <c r="S1422" s="1423">
        <f t="shared" ref="S1422" ca="1" si="2085">IF(AND(S1420=0,R1422=0),0,
IF(AND(S1420&lt;&gt;0,R1422=0),(S1420/S$10),
IF(AND(S1421&lt;&gt;0,R1422&lt;&gt;0),(R1422-(R1422/R1446))+(S1420/S$10),
IF(R1446&lt;1,0,(R1422-(R1422/R1446))))))</f>
        <v>0</v>
      </c>
      <c r="T1422" s="1423">
        <f t="shared" ref="T1422" ca="1" si="2086">IF(AND(T1420=0,S1422=0),0,
IF(AND(T1420&lt;&gt;0,S1422=0),(T1420/T$10),
IF(AND(T1421&lt;&gt;0,S1422&lt;&gt;0),(S1422-(S1422/S1446))+(T1420/T$10),
IF(S1446&lt;1,0,(S1422-(S1422/S1446))))))</f>
        <v>0</v>
      </c>
      <c r="U1422" s="1423">
        <f t="shared" ref="U1422" ca="1" si="2087">IF(AND(U1420=0,T1422=0),0,
IF(AND(U1420&lt;&gt;0,T1422=0),(U1420/U$10),
IF(AND(U1421&lt;&gt;0,T1422&lt;&gt;0),(T1422-(T1422/T1446))+(U1420/U$10),
IF(T1446&lt;1,0,(T1422-(T1422/T1446))))))</f>
        <v>0</v>
      </c>
      <c r="V1422" s="1423">
        <f t="shared" ref="V1422" ca="1" si="2088">IF(AND(V1420=0,U1422=0),0,
IF(AND(V1420&lt;&gt;0,U1422=0),(V1420/V$10),
IF(AND(V1421&lt;&gt;0,U1422&lt;&gt;0),(U1422-(U1422/U1446))+(V1420/V$10),
IF(U1446&lt;1,0,(U1422-(U1422/U1446))))))</f>
        <v>0</v>
      </c>
      <c r="W1422" s="1423">
        <f t="shared" ref="W1422" ca="1" si="2089">IF(AND(W1420=0,V1422=0),0,
IF(AND(W1420&lt;&gt;0,V1422=0),(W1420/W$10),
IF(AND(W1421&lt;&gt;0,V1422&lt;&gt;0),(V1422-(V1422/V1446))+(W1420/W$10),
IF(V1446&lt;1,0,(V1422-(V1422/V1446))))))</f>
        <v>0</v>
      </c>
      <c r="X1422" s="152"/>
      <c r="Y1422" s="152"/>
      <c r="Z1422" s="152"/>
      <c r="AA1422" s="152"/>
      <c r="AB1422" s="152"/>
    </row>
    <row r="1423" spans="1:28" hidden="1" outlineLevel="1">
      <c r="A1423" s="199">
        <f>A1422+1</f>
        <v>0</v>
      </c>
      <c r="B1423" s="190" t="s">
        <v>125</v>
      </c>
      <c r="C1423" s="1423">
        <f ca="1">C1418/C$10</f>
        <v>0</v>
      </c>
      <c r="D1423" s="1423">
        <f ca="1">IF(C1447="n/a",C1423,IFERROR(IF((OFFSET($C1423,0,$A1423))&lt;0,
MIN(0,C1423-(OFFSET($C1423,0,$A1423)/(OFFSET($C1418,-$A1422,$A1423)))),
MAX(0,C1423-(OFFSET($C1423,0,$A1423)/(OFFSET($C1418,-$A1422,$A1423))))),0))</f>
        <v>0</v>
      </c>
      <c r="E1423" s="1423">
        <f t="shared" ref="E1423" ca="1" si="2090">IF(D1447="n/a",D1423,IFERROR(IF((OFFSET($C1423,0,$A1423))&lt;0,
MIN(0,D1423-(OFFSET($C1423,0,$A1423)/(OFFSET($C1418,-$A1422,$A1423)))),
MAX(0,D1423-(OFFSET($C1423,0,$A1423)/(OFFSET($C1418,-$A1422,$A1423))))),0))</f>
        <v>0</v>
      </c>
      <c r="F1423" s="1423">
        <f t="shared" ref="F1423:F1424" ca="1" si="2091">IF(E1447="n/a",E1423,IFERROR(IF((OFFSET($C1423,0,$A1423))&lt;0,
MIN(0,E1423-(OFFSET($C1423,0,$A1423)/(OFFSET($C1418,-$A1422,$A1423)))),
MAX(0,E1423-(OFFSET($C1423,0,$A1423)/(OFFSET($C1418,-$A1422,$A1423))))),0))</f>
        <v>0</v>
      </c>
      <c r="G1423" s="1423">
        <f t="shared" ref="G1423:G1425" ca="1" si="2092">IF(F1447="n/a",F1423,IFERROR(IF((OFFSET($C1423,0,$A1423))&lt;0,
MIN(0,F1423-(OFFSET($C1423,0,$A1423)/(OFFSET($C1418,-$A1422,$A1423)))),
MAX(0,F1423-(OFFSET($C1423,0,$A1423)/(OFFSET($C1418,-$A1422,$A1423))))),0))</f>
        <v>0</v>
      </c>
      <c r="H1423" s="1423">
        <f t="shared" ref="H1423:H1426" ca="1" si="2093">IF(G1447="n/a",G1423,IFERROR(IF((OFFSET($C1423,0,$A1423))&lt;0,
MIN(0,G1423-(OFFSET($C1423,0,$A1423)/(OFFSET($C1418,-$A1422,$A1423)))),
MAX(0,G1423-(OFFSET($C1423,0,$A1423)/(OFFSET($C1418,-$A1422,$A1423))))),0))</f>
        <v>0</v>
      </c>
      <c r="I1423" s="1423">
        <f t="shared" ref="I1423:I1427" ca="1" si="2094">IF(H1447="n/a",H1423,IFERROR(IF((OFFSET($C1423,0,$A1423))&lt;0,
MIN(0,H1423-(OFFSET($C1423,0,$A1423)/(OFFSET($C1418,-$A1422,$A1423)))),
MAX(0,H1423-(OFFSET($C1423,0,$A1423)/(OFFSET($C1418,-$A1422,$A1423))))),0))</f>
        <v>0</v>
      </c>
      <c r="J1423" s="1423">
        <f t="shared" ref="J1423:J1428" ca="1" si="2095">IF(I1447="n/a",I1423,IFERROR(IF((OFFSET($C1423,0,$A1423))&lt;0,
MIN(0,I1423-(OFFSET($C1423,0,$A1423)/(OFFSET($C1418,-$A1422,$A1423)))),
MAX(0,I1423-(OFFSET($C1423,0,$A1423)/(OFFSET($C1418,-$A1422,$A1423))))),0))</f>
        <v>0</v>
      </c>
      <c r="K1423" s="1423">
        <f t="shared" ref="K1423:K1429" ca="1" si="2096">IF(J1447="n/a",J1423,IFERROR(IF((OFFSET($C1423,0,$A1423))&lt;0,
MIN(0,J1423-(OFFSET($C1423,0,$A1423)/(OFFSET($C1418,-$A1422,$A1423)))),
MAX(0,J1423-(OFFSET($C1423,0,$A1423)/(OFFSET($C1418,-$A1422,$A1423))))),0))</f>
        <v>0</v>
      </c>
      <c r="L1423" s="1423">
        <f t="shared" ref="L1423:L1430" ca="1" si="2097">IF(K1447="n/a",K1423,IFERROR(IF((OFFSET($C1423,0,$A1423))&lt;0,
MIN(0,K1423-(OFFSET($C1423,0,$A1423)/(OFFSET($C1418,-$A1422,$A1423)))),
MAX(0,K1423-(OFFSET($C1423,0,$A1423)/(OFFSET($C1418,-$A1422,$A1423))))),0))</f>
        <v>0</v>
      </c>
      <c r="M1423" s="1423">
        <f t="shared" ref="M1423:M1431" ca="1" si="2098">IF(L1447="n/a",L1423,IFERROR(IF((OFFSET($C1423,0,$A1423))&lt;0,
MIN(0,L1423-(OFFSET($C1423,0,$A1423)/(OFFSET($C1418,-$A1422,$A1423)))),
MAX(0,L1423-(OFFSET($C1423,0,$A1423)/(OFFSET($C1418,-$A1422,$A1423))))),0))</f>
        <v>0</v>
      </c>
      <c r="N1423" s="1423">
        <f t="shared" ref="N1423:N1432" ca="1" si="2099">IF(M1447="n/a",M1423,IFERROR(IF((OFFSET($C1423,0,$A1423))&lt;0,
MIN(0,M1423-(OFFSET($C1423,0,$A1423)/(OFFSET($C1418,-$A1422,$A1423)))),
MAX(0,M1423-(OFFSET($C1423,0,$A1423)/(OFFSET($C1418,-$A1422,$A1423))))),0))</f>
        <v>0</v>
      </c>
      <c r="O1423" s="1423">
        <f t="shared" ref="O1423:O1433" ca="1" si="2100">IF(N1447="n/a",N1423,IFERROR(IF((OFFSET($C1423,0,$A1423))&lt;0,
MIN(0,N1423-(OFFSET($C1423,0,$A1423)/(OFFSET($C1418,-$A1422,$A1423)))),
MAX(0,N1423-(OFFSET($C1423,0,$A1423)/(OFFSET($C1418,-$A1422,$A1423))))),0))</f>
        <v>0</v>
      </c>
      <c r="P1423" s="1423">
        <f t="shared" ref="P1423:P1434" ca="1" si="2101">IF(O1447="n/a",O1423,IFERROR(IF((OFFSET($C1423,0,$A1423))&lt;0,
MIN(0,O1423-(OFFSET($C1423,0,$A1423)/(OFFSET($C1418,-$A1422,$A1423)))),
MAX(0,O1423-(OFFSET($C1423,0,$A1423)/(OFFSET($C1418,-$A1422,$A1423))))),0))</f>
        <v>0</v>
      </c>
      <c r="Q1423" s="1423">
        <f t="shared" ref="Q1423:Q1435" ca="1" si="2102">IF(P1447="n/a",P1423,IFERROR(IF((OFFSET($C1423,0,$A1423))&lt;0,
MIN(0,P1423-(OFFSET($C1423,0,$A1423)/(OFFSET($C1418,-$A1422,$A1423)))),
MAX(0,P1423-(OFFSET($C1423,0,$A1423)/(OFFSET($C1418,-$A1422,$A1423))))),0))</f>
        <v>0</v>
      </c>
      <c r="R1423" s="1423">
        <f t="shared" ref="R1423:R1436" ca="1" si="2103">IF(Q1447="n/a",Q1423,IFERROR(IF((OFFSET($C1423,0,$A1423))&lt;0,
MIN(0,Q1423-(OFFSET($C1423,0,$A1423)/(OFFSET($C1418,-$A1422,$A1423)))),
MAX(0,Q1423-(OFFSET($C1423,0,$A1423)/(OFFSET($C1418,-$A1422,$A1423))))),0))</f>
        <v>0</v>
      </c>
      <c r="S1423" s="1423">
        <f t="shared" ref="S1423:S1437" ca="1" si="2104">IF(R1447="n/a",R1423,IFERROR(IF((OFFSET($C1423,0,$A1423))&lt;0,
MIN(0,R1423-(OFFSET($C1423,0,$A1423)/(OFFSET($C1418,-$A1422,$A1423)))),
MAX(0,R1423-(OFFSET($C1423,0,$A1423)/(OFFSET($C1418,-$A1422,$A1423))))),0))</f>
        <v>0</v>
      </c>
      <c r="T1423" s="1423">
        <f t="shared" ref="T1423:T1438" ca="1" si="2105">IF(S1447="n/a",S1423,IFERROR(IF((OFFSET($C1423,0,$A1423))&lt;0,
MIN(0,S1423-(OFFSET($C1423,0,$A1423)/(OFFSET($C1418,-$A1422,$A1423)))),
MAX(0,S1423-(OFFSET($C1423,0,$A1423)/(OFFSET($C1418,-$A1422,$A1423))))),0))</f>
        <v>0</v>
      </c>
      <c r="U1423" s="1423">
        <f t="shared" ref="U1423:U1439" ca="1" si="2106">IF(T1447="n/a",T1423,IFERROR(IF((OFFSET($C1423,0,$A1423))&lt;0,
MIN(0,T1423-(OFFSET($C1423,0,$A1423)/(OFFSET($C1418,-$A1422,$A1423)))),
MAX(0,T1423-(OFFSET($C1423,0,$A1423)/(OFFSET($C1418,-$A1422,$A1423))))),0))</f>
        <v>0</v>
      </c>
      <c r="V1423" s="1423">
        <f t="shared" ref="V1423:V1440" ca="1" si="2107">IF(U1447="n/a",U1423,IFERROR(IF((OFFSET($C1423,0,$A1423))&lt;0,
MIN(0,U1423-(OFFSET($C1423,0,$A1423)/(OFFSET($C1418,-$A1422,$A1423)))),
MAX(0,U1423-(OFFSET($C1423,0,$A1423)/(OFFSET($C1418,-$A1422,$A1423))))),0))</f>
        <v>0</v>
      </c>
      <c r="W1423" s="1423">
        <f t="shared" ref="W1423:W1441" ca="1" si="2108">IF(V1447="n/a",V1423,IFERROR(IF((OFFSET($C1423,0,$A1423))&lt;0,
MIN(0,V1423-(OFFSET($C1423,0,$A1423)/(OFFSET($C1418,-$A1422,$A1423)))),
MAX(0,V1423-(OFFSET($C1423,0,$A1423)/(OFFSET($C1418,-$A1422,$A1423))))),0))</f>
        <v>0</v>
      </c>
      <c r="X1423" s="152"/>
      <c r="Y1423" s="152"/>
      <c r="Z1423" s="152"/>
      <c r="AA1423" s="152"/>
      <c r="AB1423" s="152"/>
    </row>
    <row r="1424" spans="1:28" hidden="1" outlineLevel="1">
      <c r="A1424" s="199">
        <f t="shared" ref="A1424:A1443" si="2109">A1423+1</f>
        <v>1</v>
      </c>
      <c r="B1424" s="190" t="str">
        <f t="shared" ref="B1424:B1442" ca="1" si="2110">"Depreciated Net Capex "&amp;OFFSET($C$6,0,A1424)</f>
        <v>Depreciated Net Capex 2016-17</v>
      </c>
      <c r="C1424" s="1424"/>
      <c r="D1424" s="1425">
        <f>(D1418*((1+D$11)^0.5)/D$10)</f>
        <v>0</v>
      </c>
      <c r="E1424" s="1423">
        <f ca="1">IF(D1448="n/a",D1424,IFERROR(IF((OFFSET($C1424,0,$A1424))&lt;0,
MIN(0,D1424-(OFFSET($C1424,0,$A1424)/(OFFSET($C1419,-$A1423,$A1424)))),
MAX(0,D1424-(OFFSET($C1424,0,$A1424)/(OFFSET($C1419,-$A1423,$A1424))))),0))</f>
        <v>0</v>
      </c>
      <c r="F1424" s="1423">
        <f t="shared" ca="1" si="2091"/>
        <v>0</v>
      </c>
      <c r="G1424" s="1423">
        <f t="shared" ca="1" si="2092"/>
        <v>0</v>
      </c>
      <c r="H1424" s="1423">
        <f t="shared" ca="1" si="2093"/>
        <v>0</v>
      </c>
      <c r="I1424" s="1423">
        <f t="shared" ca="1" si="2094"/>
        <v>0</v>
      </c>
      <c r="J1424" s="1423">
        <f t="shared" ca="1" si="2095"/>
        <v>0</v>
      </c>
      <c r="K1424" s="1423">
        <f t="shared" ca="1" si="2096"/>
        <v>0</v>
      </c>
      <c r="L1424" s="1423">
        <f t="shared" ca="1" si="2097"/>
        <v>0</v>
      </c>
      <c r="M1424" s="1423">
        <f t="shared" ca="1" si="2098"/>
        <v>0</v>
      </c>
      <c r="N1424" s="1423">
        <f t="shared" ca="1" si="2099"/>
        <v>0</v>
      </c>
      <c r="O1424" s="1423">
        <f t="shared" ca="1" si="2100"/>
        <v>0</v>
      </c>
      <c r="P1424" s="1423">
        <f t="shared" ca="1" si="2101"/>
        <v>0</v>
      </c>
      <c r="Q1424" s="1423">
        <f t="shared" ca="1" si="2102"/>
        <v>0</v>
      </c>
      <c r="R1424" s="1423">
        <f t="shared" ca="1" si="2103"/>
        <v>0</v>
      </c>
      <c r="S1424" s="1423">
        <f t="shared" ca="1" si="2104"/>
        <v>0</v>
      </c>
      <c r="T1424" s="1423">
        <f t="shared" ca="1" si="2105"/>
        <v>0</v>
      </c>
      <c r="U1424" s="1423">
        <f t="shared" ca="1" si="2106"/>
        <v>0</v>
      </c>
      <c r="V1424" s="1423">
        <f t="shared" ca="1" si="2107"/>
        <v>0</v>
      </c>
      <c r="W1424" s="1423">
        <f t="shared" ca="1" si="2108"/>
        <v>0</v>
      </c>
      <c r="X1424" s="152"/>
      <c r="Y1424" s="152"/>
      <c r="Z1424" s="152"/>
      <c r="AA1424" s="152"/>
      <c r="AB1424" s="152"/>
    </row>
    <row r="1425" spans="1:28" hidden="1" outlineLevel="1">
      <c r="A1425" s="199">
        <f t="shared" si="2109"/>
        <v>2</v>
      </c>
      <c r="B1425" s="190" t="str">
        <f t="shared" ca="1" si="2110"/>
        <v>Depreciated Net Capex 2017-18</v>
      </c>
      <c r="C1425" s="1426"/>
      <c r="D1425" s="1427"/>
      <c r="E1425" s="1425">
        <f>(E1418*((1+E$11)^0.5)/E$10)</f>
        <v>0</v>
      </c>
      <c r="F1425" s="1423">
        <f ca="1">IF(E1449="n/a",E1425,IFERROR(IF((OFFSET($C1425,0,$A1425))&lt;0,
MIN(0,E1425-(OFFSET($C1425,0,$A1425)/(OFFSET($C1420,-$A1424,$A1425)))),
MAX(0,E1425-(OFFSET($C1425,0,$A1425)/(OFFSET($C1420,-$A1424,$A1425))))),0))</f>
        <v>0</v>
      </c>
      <c r="G1425" s="1423">
        <f t="shared" ca="1" si="2092"/>
        <v>0</v>
      </c>
      <c r="H1425" s="1423">
        <f t="shared" ca="1" si="2093"/>
        <v>0</v>
      </c>
      <c r="I1425" s="1423">
        <f t="shared" ca="1" si="2094"/>
        <v>0</v>
      </c>
      <c r="J1425" s="1423">
        <f t="shared" ca="1" si="2095"/>
        <v>0</v>
      </c>
      <c r="K1425" s="1423">
        <f t="shared" ca="1" si="2096"/>
        <v>0</v>
      </c>
      <c r="L1425" s="1423">
        <f t="shared" ca="1" si="2097"/>
        <v>0</v>
      </c>
      <c r="M1425" s="1423">
        <f t="shared" ca="1" si="2098"/>
        <v>0</v>
      </c>
      <c r="N1425" s="1423">
        <f t="shared" ca="1" si="2099"/>
        <v>0</v>
      </c>
      <c r="O1425" s="1423">
        <f t="shared" ca="1" si="2100"/>
        <v>0</v>
      </c>
      <c r="P1425" s="1423">
        <f t="shared" ca="1" si="2101"/>
        <v>0</v>
      </c>
      <c r="Q1425" s="1423">
        <f t="shared" ca="1" si="2102"/>
        <v>0</v>
      </c>
      <c r="R1425" s="1423">
        <f t="shared" ca="1" si="2103"/>
        <v>0</v>
      </c>
      <c r="S1425" s="1423">
        <f t="shared" ca="1" si="2104"/>
        <v>0</v>
      </c>
      <c r="T1425" s="1423">
        <f t="shared" ca="1" si="2105"/>
        <v>0</v>
      </c>
      <c r="U1425" s="1423">
        <f t="shared" ca="1" si="2106"/>
        <v>0</v>
      </c>
      <c r="V1425" s="1423">
        <f t="shared" ca="1" si="2107"/>
        <v>0</v>
      </c>
      <c r="W1425" s="1423">
        <f t="shared" ca="1" si="2108"/>
        <v>0</v>
      </c>
      <c r="X1425" s="202"/>
      <c r="Y1425" s="152"/>
      <c r="Z1425" s="152"/>
      <c r="AA1425" s="152"/>
      <c r="AB1425" s="152"/>
    </row>
    <row r="1426" spans="1:28" hidden="1" outlineLevel="1">
      <c r="A1426" s="199">
        <f t="shared" si="2109"/>
        <v>3</v>
      </c>
      <c r="B1426" s="190" t="str">
        <f t="shared" ca="1" si="2110"/>
        <v>Depreciated Net Capex 2018-19</v>
      </c>
      <c r="C1426" s="1426"/>
      <c r="D1426" s="1426"/>
      <c r="E1426" s="1427"/>
      <c r="F1426" s="1428">
        <f>($F1418*((1+F$11)^0.5)/F$10)</f>
        <v>0</v>
      </c>
      <c r="G1426" s="1423">
        <f ca="1">IF(F1450="n/a",F1426,IFERROR(IF((OFFSET($C1426,0,$A1426))&lt;0,
MIN(0,F1426-(OFFSET($C1426,0,$A1426)/(OFFSET($C1421,-$A1425,$A1426)))),
MAX(0,F1426-(OFFSET($C1426,0,$A1426)/(OFFSET($C1421,-$A1425,$A1426))))),0))</f>
        <v>0</v>
      </c>
      <c r="H1426" s="1423">
        <f t="shared" ca="1" si="2093"/>
        <v>0</v>
      </c>
      <c r="I1426" s="1423">
        <f t="shared" ca="1" si="2094"/>
        <v>0</v>
      </c>
      <c r="J1426" s="1423">
        <f t="shared" ca="1" si="2095"/>
        <v>0</v>
      </c>
      <c r="K1426" s="1423">
        <f t="shared" ca="1" si="2096"/>
        <v>0</v>
      </c>
      <c r="L1426" s="1423">
        <f t="shared" ca="1" si="2097"/>
        <v>0</v>
      </c>
      <c r="M1426" s="1423">
        <f t="shared" ca="1" si="2098"/>
        <v>0</v>
      </c>
      <c r="N1426" s="1423">
        <f t="shared" ca="1" si="2099"/>
        <v>0</v>
      </c>
      <c r="O1426" s="1423">
        <f t="shared" ca="1" si="2100"/>
        <v>0</v>
      </c>
      <c r="P1426" s="1423">
        <f t="shared" ca="1" si="2101"/>
        <v>0</v>
      </c>
      <c r="Q1426" s="1423">
        <f t="shared" ca="1" si="2102"/>
        <v>0</v>
      </c>
      <c r="R1426" s="1423">
        <f t="shared" ca="1" si="2103"/>
        <v>0</v>
      </c>
      <c r="S1426" s="1423">
        <f t="shared" ca="1" si="2104"/>
        <v>0</v>
      </c>
      <c r="T1426" s="1423">
        <f t="shared" ca="1" si="2105"/>
        <v>0</v>
      </c>
      <c r="U1426" s="1423">
        <f t="shared" ca="1" si="2106"/>
        <v>0</v>
      </c>
      <c r="V1426" s="1423">
        <f t="shared" ca="1" si="2107"/>
        <v>0</v>
      </c>
      <c r="W1426" s="1423">
        <f t="shared" ca="1" si="2108"/>
        <v>0</v>
      </c>
      <c r="X1426" s="202"/>
      <c r="Y1426" s="202"/>
      <c r="Z1426" s="152"/>
      <c r="AA1426" s="152"/>
      <c r="AB1426" s="152"/>
    </row>
    <row r="1427" spans="1:28" hidden="1" outlineLevel="1">
      <c r="A1427" s="199">
        <f t="shared" si="2109"/>
        <v>4</v>
      </c>
      <c r="B1427" s="190" t="str">
        <f t="shared" ca="1" si="2110"/>
        <v>Depreciated Net Capex 2019-20</v>
      </c>
      <c r="C1427" s="1426"/>
      <c r="D1427" s="1426"/>
      <c r="E1427" s="1426"/>
      <c r="F1427" s="1427"/>
      <c r="G1427" s="1428">
        <f>($G1418*((1+G$11)^0.5)/G$10)</f>
        <v>0</v>
      </c>
      <c r="H1427" s="1423">
        <f ca="1">IF(G1451="n/a",G1427,IFERROR(IF((OFFSET($C1427,0,$A1427))&lt;0,
MIN(0,G1427-(OFFSET($C1427,0,$A1427)/(OFFSET($C1422,-$A1426,$A1427)))),
MAX(0,G1427-(OFFSET($C1427,0,$A1427)/(OFFSET($C1422,-$A1426,$A1427))))),0))</f>
        <v>0</v>
      </c>
      <c r="I1427" s="1423">
        <f t="shared" ca="1" si="2094"/>
        <v>0</v>
      </c>
      <c r="J1427" s="1423">
        <f t="shared" ca="1" si="2095"/>
        <v>0</v>
      </c>
      <c r="K1427" s="1423">
        <f t="shared" ca="1" si="2096"/>
        <v>0</v>
      </c>
      <c r="L1427" s="1423">
        <f t="shared" ca="1" si="2097"/>
        <v>0</v>
      </c>
      <c r="M1427" s="1423">
        <f t="shared" ca="1" si="2098"/>
        <v>0</v>
      </c>
      <c r="N1427" s="1423">
        <f t="shared" ca="1" si="2099"/>
        <v>0</v>
      </c>
      <c r="O1427" s="1423">
        <f t="shared" ca="1" si="2100"/>
        <v>0</v>
      </c>
      <c r="P1427" s="1423">
        <f t="shared" ca="1" si="2101"/>
        <v>0</v>
      </c>
      <c r="Q1427" s="1423">
        <f t="shared" ca="1" si="2102"/>
        <v>0</v>
      </c>
      <c r="R1427" s="1423">
        <f t="shared" ca="1" si="2103"/>
        <v>0</v>
      </c>
      <c r="S1427" s="1423">
        <f t="shared" ca="1" si="2104"/>
        <v>0</v>
      </c>
      <c r="T1427" s="1423">
        <f t="shared" ca="1" si="2105"/>
        <v>0</v>
      </c>
      <c r="U1427" s="1423">
        <f t="shared" ca="1" si="2106"/>
        <v>0</v>
      </c>
      <c r="V1427" s="1423">
        <f t="shared" ca="1" si="2107"/>
        <v>0</v>
      </c>
      <c r="W1427" s="1423">
        <f t="shared" ca="1" si="2108"/>
        <v>0</v>
      </c>
      <c r="X1427" s="202"/>
      <c r="Y1427" s="202"/>
      <c r="Z1427" s="202"/>
      <c r="AA1427" s="152"/>
      <c r="AB1427" s="152"/>
    </row>
    <row r="1428" spans="1:28" hidden="1" outlineLevel="1">
      <c r="A1428" s="199">
        <f t="shared" si="2109"/>
        <v>5</v>
      </c>
      <c r="B1428" s="190" t="str">
        <f t="shared" ca="1" si="2110"/>
        <v>Depreciated Net Capex 2020-21</v>
      </c>
      <c r="C1428" s="1426"/>
      <c r="D1428" s="1426"/>
      <c r="E1428" s="1426"/>
      <c r="F1428" s="1426"/>
      <c r="G1428" s="1427"/>
      <c r="H1428" s="1428">
        <f>(H1418*((1+H$11)^0.5)/H$10)</f>
        <v>0</v>
      </c>
      <c r="I1428" s="1423">
        <f ca="1">IF(H1452="n/a",H1428,IFERROR(IF((OFFSET($C1428,0,$A1428))&lt;0,
MIN(0,H1428-(OFFSET($C1428,0,$A1428)/(OFFSET($C1423,-$A1427,$A1428)))),
MAX(0,H1428-(OFFSET($C1428,0,$A1428)/(OFFSET($C1423,-$A1427,$A1428))))),0))</f>
        <v>0</v>
      </c>
      <c r="J1428" s="1423">
        <f t="shared" ca="1" si="2095"/>
        <v>0</v>
      </c>
      <c r="K1428" s="1423">
        <f t="shared" ca="1" si="2096"/>
        <v>0</v>
      </c>
      <c r="L1428" s="1423">
        <f t="shared" ca="1" si="2097"/>
        <v>0</v>
      </c>
      <c r="M1428" s="1423">
        <f t="shared" ca="1" si="2098"/>
        <v>0</v>
      </c>
      <c r="N1428" s="1423">
        <f t="shared" ca="1" si="2099"/>
        <v>0</v>
      </c>
      <c r="O1428" s="1423">
        <f t="shared" ca="1" si="2100"/>
        <v>0</v>
      </c>
      <c r="P1428" s="1423">
        <f t="shared" ca="1" si="2101"/>
        <v>0</v>
      </c>
      <c r="Q1428" s="1423">
        <f t="shared" ca="1" si="2102"/>
        <v>0</v>
      </c>
      <c r="R1428" s="1423">
        <f t="shared" ca="1" si="2103"/>
        <v>0</v>
      </c>
      <c r="S1428" s="1423">
        <f t="shared" ca="1" si="2104"/>
        <v>0</v>
      </c>
      <c r="T1428" s="1423">
        <f t="shared" ca="1" si="2105"/>
        <v>0</v>
      </c>
      <c r="U1428" s="1423">
        <f t="shared" ca="1" si="2106"/>
        <v>0</v>
      </c>
      <c r="V1428" s="1423">
        <f t="shared" ca="1" si="2107"/>
        <v>0</v>
      </c>
      <c r="W1428" s="1423">
        <f t="shared" ca="1" si="2108"/>
        <v>0</v>
      </c>
      <c r="X1428" s="202"/>
      <c r="Y1428" s="202"/>
      <c r="Z1428" s="202"/>
      <c r="AA1428" s="152"/>
      <c r="AB1428" s="152"/>
    </row>
    <row r="1429" spans="1:28" hidden="1" outlineLevel="1">
      <c r="A1429" s="199">
        <f t="shared" si="2109"/>
        <v>6</v>
      </c>
      <c r="B1429" s="190" t="str">
        <f t="shared" ca="1" si="2110"/>
        <v>Depreciated Net Capex 2021-22</v>
      </c>
      <c r="C1429" s="1426"/>
      <c r="D1429" s="1426"/>
      <c r="E1429" s="1426"/>
      <c r="F1429" s="1426"/>
      <c r="G1429" s="1426"/>
      <c r="H1429" s="1427"/>
      <c r="I1429" s="1428">
        <f>(I1418*((1+I$11)^0.5)/I$10)</f>
        <v>0</v>
      </c>
      <c r="J1429" s="1423">
        <f ca="1">IF(I1453="n/a",I1429,IFERROR(IF((OFFSET($C1429,0,$A1429))&lt;0,
MIN(0,I1429-(OFFSET($C1429,0,$A1429)/(OFFSET($C1424,-$A1428,$A1429)))),
MAX(0,I1429-(OFFSET($C1429,0,$A1429)/(OFFSET($C1424,-$A1428,$A1429))))),0))</f>
        <v>0</v>
      </c>
      <c r="K1429" s="1423">
        <f t="shared" ca="1" si="2096"/>
        <v>0</v>
      </c>
      <c r="L1429" s="1423">
        <f t="shared" ca="1" si="2097"/>
        <v>0</v>
      </c>
      <c r="M1429" s="1423">
        <f t="shared" ca="1" si="2098"/>
        <v>0</v>
      </c>
      <c r="N1429" s="1423">
        <f t="shared" ca="1" si="2099"/>
        <v>0</v>
      </c>
      <c r="O1429" s="1423">
        <f t="shared" ca="1" si="2100"/>
        <v>0</v>
      </c>
      <c r="P1429" s="1423">
        <f t="shared" ca="1" si="2101"/>
        <v>0</v>
      </c>
      <c r="Q1429" s="1423">
        <f t="shared" ca="1" si="2102"/>
        <v>0</v>
      </c>
      <c r="R1429" s="1423">
        <f t="shared" ca="1" si="2103"/>
        <v>0</v>
      </c>
      <c r="S1429" s="1423">
        <f t="shared" ca="1" si="2104"/>
        <v>0</v>
      </c>
      <c r="T1429" s="1423">
        <f t="shared" ca="1" si="2105"/>
        <v>0</v>
      </c>
      <c r="U1429" s="1423">
        <f t="shared" ca="1" si="2106"/>
        <v>0</v>
      </c>
      <c r="V1429" s="1423">
        <f t="shared" ca="1" si="2107"/>
        <v>0</v>
      </c>
      <c r="W1429" s="1423">
        <f t="shared" ca="1" si="2108"/>
        <v>0</v>
      </c>
      <c r="X1429" s="202"/>
      <c r="Y1429" s="202"/>
      <c r="Z1429" s="202"/>
      <c r="AA1429" s="152"/>
      <c r="AB1429" s="152"/>
    </row>
    <row r="1430" spans="1:28" hidden="1" outlineLevel="1">
      <c r="A1430" s="199">
        <f t="shared" si="2109"/>
        <v>7</v>
      </c>
      <c r="B1430" s="190" t="str">
        <f t="shared" ca="1" si="2110"/>
        <v>Depreciated Net Capex 2022-23</v>
      </c>
      <c r="C1430" s="1426"/>
      <c r="D1430" s="1426"/>
      <c r="E1430" s="1426"/>
      <c r="F1430" s="1426"/>
      <c r="G1430" s="1426"/>
      <c r="H1430" s="1426"/>
      <c r="I1430" s="1427"/>
      <c r="J1430" s="1428">
        <f>(J1418*((1+J$11)^0.5)/J$10)</f>
        <v>0</v>
      </c>
      <c r="K1430" s="1423">
        <f ca="1">IF(J1454="n/a",J1430,IFERROR(IF((OFFSET($C1430,0,$A1430))&lt;0,
MIN(0,J1430-(OFFSET($C1430,0,$A1430)/(OFFSET($C1425,-$A1429,$A1430)))),
MAX(0,J1430-(OFFSET($C1430,0,$A1430)/(OFFSET($C1425,-$A1429,$A1430))))),0))</f>
        <v>0</v>
      </c>
      <c r="L1430" s="1423">
        <f t="shared" ca="1" si="2097"/>
        <v>0</v>
      </c>
      <c r="M1430" s="1423">
        <f t="shared" ca="1" si="2098"/>
        <v>0</v>
      </c>
      <c r="N1430" s="1423">
        <f t="shared" ca="1" si="2099"/>
        <v>0</v>
      </c>
      <c r="O1430" s="1423">
        <f t="shared" ca="1" si="2100"/>
        <v>0</v>
      </c>
      <c r="P1430" s="1423">
        <f t="shared" ca="1" si="2101"/>
        <v>0</v>
      </c>
      <c r="Q1430" s="1423">
        <f t="shared" ca="1" si="2102"/>
        <v>0</v>
      </c>
      <c r="R1430" s="1423">
        <f t="shared" ca="1" si="2103"/>
        <v>0</v>
      </c>
      <c r="S1430" s="1423">
        <f t="shared" ca="1" si="2104"/>
        <v>0</v>
      </c>
      <c r="T1430" s="1423">
        <f t="shared" ca="1" si="2105"/>
        <v>0</v>
      </c>
      <c r="U1430" s="1423">
        <f t="shared" ca="1" si="2106"/>
        <v>0</v>
      </c>
      <c r="V1430" s="1423">
        <f t="shared" ca="1" si="2107"/>
        <v>0</v>
      </c>
      <c r="W1430" s="1423">
        <f t="shared" ca="1" si="2108"/>
        <v>0</v>
      </c>
      <c r="X1430" s="202"/>
      <c r="Y1430" s="202"/>
      <c r="Z1430" s="202"/>
      <c r="AA1430" s="152"/>
      <c r="AB1430" s="152"/>
    </row>
    <row r="1431" spans="1:28" hidden="1" outlineLevel="1">
      <c r="A1431" s="199">
        <f t="shared" si="2109"/>
        <v>8</v>
      </c>
      <c r="B1431" s="190" t="str">
        <f t="shared" ca="1" si="2110"/>
        <v>Depreciated Net Capex 2023-24</v>
      </c>
      <c r="C1431" s="1426"/>
      <c r="D1431" s="1426"/>
      <c r="E1431" s="1426"/>
      <c r="F1431" s="1426"/>
      <c r="G1431" s="1426"/>
      <c r="H1431" s="1426"/>
      <c r="I1431" s="1426"/>
      <c r="J1431" s="1427"/>
      <c r="K1431" s="1428">
        <f>(K1418*((1+K$11)^0.5)/K$10)</f>
        <v>0</v>
      </c>
      <c r="L1431" s="1423">
        <f ca="1">IF(K1455="n/a",K1431,IFERROR(IF((OFFSET($C1431,0,$A1431))&lt;0,
MIN(0,K1431-(OFFSET($C1431,0,$A1431)/(OFFSET($C1426,-$A1430,$A1431)))),
MAX(0,K1431-(OFFSET($C1431,0,$A1431)/(OFFSET($C1426,-$A1430,$A1431))))),0))</f>
        <v>0</v>
      </c>
      <c r="M1431" s="1423">
        <f t="shared" ca="1" si="2098"/>
        <v>0</v>
      </c>
      <c r="N1431" s="1423">
        <f t="shared" ca="1" si="2099"/>
        <v>0</v>
      </c>
      <c r="O1431" s="1423">
        <f t="shared" ca="1" si="2100"/>
        <v>0</v>
      </c>
      <c r="P1431" s="1423">
        <f t="shared" ca="1" si="2101"/>
        <v>0</v>
      </c>
      <c r="Q1431" s="1423">
        <f t="shared" ca="1" si="2102"/>
        <v>0</v>
      </c>
      <c r="R1431" s="1423">
        <f t="shared" ca="1" si="2103"/>
        <v>0</v>
      </c>
      <c r="S1431" s="1423">
        <f t="shared" ca="1" si="2104"/>
        <v>0</v>
      </c>
      <c r="T1431" s="1423">
        <f t="shared" ca="1" si="2105"/>
        <v>0</v>
      </c>
      <c r="U1431" s="1423">
        <f t="shared" ca="1" si="2106"/>
        <v>0</v>
      </c>
      <c r="V1431" s="1423">
        <f t="shared" ca="1" si="2107"/>
        <v>0</v>
      </c>
      <c r="W1431" s="1423">
        <f t="shared" ca="1" si="2108"/>
        <v>0</v>
      </c>
      <c r="X1431" s="202"/>
      <c r="Y1431" s="202"/>
      <c r="Z1431" s="202"/>
      <c r="AA1431" s="152"/>
      <c r="AB1431" s="152"/>
    </row>
    <row r="1432" spans="1:28" hidden="1" outlineLevel="1">
      <c r="A1432" s="199">
        <f t="shared" si="2109"/>
        <v>9</v>
      </c>
      <c r="B1432" s="190" t="str">
        <f t="shared" ca="1" si="2110"/>
        <v>Depreciated Net Capex 2024-25</v>
      </c>
      <c r="C1432" s="1426"/>
      <c r="D1432" s="1426"/>
      <c r="E1432" s="1426"/>
      <c r="F1432" s="1426"/>
      <c r="G1432" s="1426"/>
      <c r="H1432" s="1426"/>
      <c r="I1432" s="1426"/>
      <c r="J1432" s="1426"/>
      <c r="K1432" s="1427"/>
      <c r="L1432" s="1428">
        <f>(L1418*((1+L$11)^0.5)/L$10)</f>
        <v>0</v>
      </c>
      <c r="M1432" s="1423">
        <f ca="1">IF(L1456="n/a",L1432,IFERROR(IF((OFFSET($C1432,0,$A1432))&lt;0,
MIN(0,L1432-(OFFSET($C1432,0,$A1432)/(OFFSET($C1427,-$A1431,$A1432)))),
MAX(0,L1432-(OFFSET($C1432,0,$A1432)/(OFFSET($C1427,-$A1431,$A1432))))),0))</f>
        <v>0</v>
      </c>
      <c r="N1432" s="1423">
        <f t="shared" ca="1" si="2099"/>
        <v>0</v>
      </c>
      <c r="O1432" s="1423">
        <f t="shared" ca="1" si="2100"/>
        <v>0</v>
      </c>
      <c r="P1432" s="1423">
        <f t="shared" ca="1" si="2101"/>
        <v>0</v>
      </c>
      <c r="Q1432" s="1423">
        <f t="shared" ca="1" si="2102"/>
        <v>0</v>
      </c>
      <c r="R1432" s="1423">
        <f t="shared" ca="1" si="2103"/>
        <v>0</v>
      </c>
      <c r="S1432" s="1423">
        <f t="shared" ca="1" si="2104"/>
        <v>0</v>
      </c>
      <c r="T1432" s="1423">
        <f t="shared" ca="1" si="2105"/>
        <v>0</v>
      </c>
      <c r="U1432" s="1423">
        <f t="shared" ca="1" si="2106"/>
        <v>0</v>
      </c>
      <c r="V1432" s="1423">
        <f t="shared" ca="1" si="2107"/>
        <v>0</v>
      </c>
      <c r="W1432" s="1423">
        <f t="shared" ca="1" si="2108"/>
        <v>0</v>
      </c>
      <c r="X1432" s="202"/>
      <c r="Y1432" s="202"/>
      <c r="Z1432" s="202"/>
      <c r="AA1432" s="152"/>
      <c r="AB1432" s="152"/>
    </row>
    <row r="1433" spans="1:28" hidden="1" outlineLevel="1">
      <c r="A1433" s="199">
        <f t="shared" si="2109"/>
        <v>10</v>
      </c>
      <c r="B1433" s="190" t="str">
        <f t="shared" ca="1" si="2110"/>
        <v>Depreciated Net Capex 2025-26</v>
      </c>
      <c r="C1433" s="1426"/>
      <c r="D1433" s="1426"/>
      <c r="E1433" s="1426"/>
      <c r="F1433" s="1426"/>
      <c r="G1433" s="1426"/>
      <c r="H1433" s="1426"/>
      <c r="I1433" s="1426"/>
      <c r="J1433" s="1426"/>
      <c r="K1433" s="1426"/>
      <c r="L1433" s="1427"/>
      <c r="M1433" s="1428">
        <f>(M1418*((1+M$11)^0.5)/M$10)</f>
        <v>0</v>
      </c>
      <c r="N1433" s="1423">
        <f ca="1">IF(M1457="n/a",M1433,IFERROR(IF((OFFSET($C1433,0,$A1433))&lt;0,
MIN(0,M1433-(OFFSET($C1433,0,$A1433)/(OFFSET($C1428,-$A1432,$A1433)))),
MAX(0,M1433-(OFFSET($C1433,0,$A1433)/(OFFSET($C1428,-$A1432,$A1433))))),0))</f>
        <v>0</v>
      </c>
      <c r="O1433" s="1423">
        <f t="shared" ca="1" si="2100"/>
        <v>0</v>
      </c>
      <c r="P1433" s="1423">
        <f t="shared" ca="1" si="2101"/>
        <v>0</v>
      </c>
      <c r="Q1433" s="1423">
        <f t="shared" ca="1" si="2102"/>
        <v>0</v>
      </c>
      <c r="R1433" s="1423">
        <f t="shared" ca="1" si="2103"/>
        <v>0</v>
      </c>
      <c r="S1433" s="1423">
        <f t="shared" ca="1" si="2104"/>
        <v>0</v>
      </c>
      <c r="T1433" s="1423">
        <f t="shared" ca="1" si="2105"/>
        <v>0</v>
      </c>
      <c r="U1433" s="1423">
        <f t="shared" ca="1" si="2106"/>
        <v>0</v>
      </c>
      <c r="V1433" s="1423">
        <f t="shared" ca="1" si="2107"/>
        <v>0</v>
      </c>
      <c r="W1433" s="1423">
        <f t="shared" ca="1" si="2108"/>
        <v>0</v>
      </c>
      <c r="X1433" s="202"/>
      <c r="Y1433" s="202"/>
      <c r="Z1433" s="202"/>
      <c r="AA1433" s="152"/>
      <c r="AB1433" s="152"/>
    </row>
    <row r="1434" spans="1:28" hidden="1" outlineLevel="1">
      <c r="A1434" s="199">
        <f t="shared" si="2109"/>
        <v>11</v>
      </c>
      <c r="B1434" s="190" t="str">
        <f t="shared" ca="1" si="2110"/>
        <v>Depreciated Net Capex 2026-27</v>
      </c>
      <c r="C1434" s="1426"/>
      <c r="D1434" s="1426"/>
      <c r="E1434" s="1426"/>
      <c r="F1434" s="1426"/>
      <c r="G1434" s="1426"/>
      <c r="H1434" s="1426"/>
      <c r="I1434" s="1426"/>
      <c r="J1434" s="1426"/>
      <c r="K1434" s="1426"/>
      <c r="L1434" s="1426"/>
      <c r="M1434" s="1427"/>
      <c r="N1434" s="1428">
        <f>(N1418*((1+N$11)^0.5)/N$10)</f>
        <v>0</v>
      </c>
      <c r="O1434" s="1423">
        <f ca="1">IF(N1458="n/a",N1434,IFERROR(IF((OFFSET($C1434,0,$A1434))&lt;0,
MIN(0,N1434-(OFFSET($C1434,0,$A1434)/(OFFSET($C1429,-$A1433,$A1434)))),
MAX(0,N1434-(OFFSET($C1434,0,$A1434)/(OFFSET($C1429,-$A1433,$A1434))))),0))</f>
        <v>0</v>
      </c>
      <c r="P1434" s="1423">
        <f t="shared" ca="1" si="2101"/>
        <v>0</v>
      </c>
      <c r="Q1434" s="1423">
        <f t="shared" ca="1" si="2102"/>
        <v>0</v>
      </c>
      <c r="R1434" s="1423">
        <f t="shared" ca="1" si="2103"/>
        <v>0</v>
      </c>
      <c r="S1434" s="1423">
        <f t="shared" ca="1" si="2104"/>
        <v>0</v>
      </c>
      <c r="T1434" s="1423">
        <f t="shared" ca="1" si="2105"/>
        <v>0</v>
      </c>
      <c r="U1434" s="1423">
        <f t="shared" ca="1" si="2106"/>
        <v>0</v>
      </c>
      <c r="V1434" s="1423">
        <f t="shared" ca="1" si="2107"/>
        <v>0</v>
      </c>
      <c r="W1434" s="1423">
        <f t="shared" ca="1" si="2108"/>
        <v>0</v>
      </c>
      <c r="X1434" s="202"/>
      <c r="Y1434" s="202"/>
      <c r="Z1434" s="202"/>
      <c r="AA1434" s="152"/>
      <c r="AB1434" s="152"/>
    </row>
    <row r="1435" spans="1:28" hidden="1" outlineLevel="1">
      <c r="A1435" s="199">
        <f t="shared" si="2109"/>
        <v>12</v>
      </c>
      <c r="B1435" s="190" t="str">
        <f t="shared" ca="1" si="2110"/>
        <v>Depreciated Net Capex 2027-28</v>
      </c>
      <c r="C1435" s="1426"/>
      <c r="D1435" s="1426"/>
      <c r="E1435" s="1426"/>
      <c r="F1435" s="1426"/>
      <c r="G1435" s="1426"/>
      <c r="H1435" s="1426"/>
      <c r="I1435" s="1426"/>
      <c r="J1435" s="1426"/>
      <c r="K1435" s="1426"/>
      <c r="L1435" s="1426"/>
      <c r="M1435" s="1426"/>
      <c r="N1435" s="1427"/>
      <c r="O1435" s="1428">
        <f>(O1418*((1+O$11)^0.5)/O$10)</f>
        <v>0</v>
      </c>
      <c r="P1435" s="1423">
        <f ca="1">IF(O1459="n/a",O1435,IFERROR(IF((OFFSET($C1435,0,$A1435))&lt;0,
MIN(0,O1435-(OFFSET($C1435,0,$A1435)/(OFFSET($C1430,-$A1434,$A1435)))),
MAX(0,O1435-(OFFSET($C1435,0,$A1435)/(OFFSET($C1430,-$A1434,$A1435))))),0))</f>
        <v>0</v>
      </c>
      <c r="Q1435" s="1423">
        <f t="shared" ca="1" si="2102"/>
        <v>0</v>
      </c>
      <c r="R1435" s="1423">
        <f t="shared" ca="1" si="2103"/>
        <v>0</v>
      </c>
      <c r="S1435" s="1423">
        <f t="shared" ca="1" si="2104"/>
        <v>0</v>
      </c>
      <c r="T1435" s="1423">
        <f t="shared" ca="1" si="2105"/>
        <v>0</v>
      </c>
      <c r="U1435" s="1423">
        <f t="shared" ca="1" si="2106"/>
        <v>0</v>
      </c>
      <c r="V1435" s="1423">
        <f t="shared" ca="1" si="2107"/>
        <v>0</v>
      </c>
      <c r="W1435" s="1423">
        <f t="shared" ca="1" si="2108"/>
        <v>0</v>
      </c>
      <c r="X1435" s="202"/>
      <c r="Y1435" s="202"/>
      <c r="Z1435" s="202"/>
      <c r="AA1435" s="152"/>
      <c r="AB1435" s="152"/>
    </row>
    <row r="1436" spans="1:28" hidden="1" outlineLevel="1">
      <c r="A1436" s="199">
        <f t="shared" si="2109"/>
        <v>13</v>
      </c>
      <c r="B1436" s="190" t="str">
        <f t="shared" ca="1" si="2110"/>
        <v>Depreciated Net Capex 2028-29</v>
      </c>
      <c r="C1436" s="1426"/>
      <c r="D1436" s="1426"/>
      <c r="E1436" s="1426"/>
      <c r="F1436" s="1426"/>
      <c r="G1436" s="1426"/>
      <c r="H1436" s="1426"/>
      <c r="I1436" s="1426"/>
      <c r="J1436" s="1426"/>
      <c r="K1436" s="1426"/>
      <c r="L1436" s="1426"/>
      <c r="M1436" s="1426"/>
      <c r="N1436" s="1426"/>
      <c r="O1436" s="1427"/>
      <c r="P1436" s="1428">
        <f>(P1418*((1+P$11)^0.5)/P$10)</f>
        <v>0</v>
      </c>
      <c r="Q1436" s="1423">
        <f ca="1">IF(P1460="n/a",P1436,IFERROR(IF((OFFSET($C1436,0,$A1436))&lt;0,
MIN(0,P1436-(OFFSET($C1436,0,$A1436)/(OFFSET($C1431,-$A1435,$A1436)))),
MAX(0,P1436-(OFFSET($C1436,0,$A1436)/(OFFSET($C1431,-$A1435,$A1436))))),0))</f>
        <v>0</v>
      </c>
      <c r="R1436" s="1423">
        <f t="shared" ca="1" si="2103"/>
        <v>0</v>
      </c>
      <c r="S1436" s="1423">
        <f t="shared" ca="1" si="2104"/>
        <v>0</v>
      </c>
      <c r="T1436" s="1423">
        <f t="shared" ca="1" si="2105"/>
        <v>0</v>
      </c>
      <c r="U1436" s="1423">
        <f t="shared" ca="1" si="2106"/>
        <v>0</v>
      </c>
      <c r="V1436" s="1423">
        <f t="shared" ca="1" si="2107"/>
        <v>0</v>
      </c>
      <c r="W1436" s="1423">
        <f t="shared" ca="1" si="2108"/>
        <v>0</v>
      </c>
      <c r="X1436" s="202"/>
      <c r="Y1436" s="202"/>
      <c r="Z1436" s="202"/>
      <c r="AA1436" s="152"/>
      <c r="AB1436" s="152"/>
    </row>
    <row r="1437" spans="1:28" hidden="1" outlineLevel="1">
      <c r="A1437" s="199">
        <f t="shared" si="2109"/>
        <v>14</v>
      </c>
      <c r="B1437" s="190" t="str">
        <f t="shared" ca="1" si="2110"/>
        <v>Depreciated Net Capex 2029-30</v>
      </c>
      <c r="C1437" s="1426"/>
      <c r="D1437" s="1426"/>
      <c r="E1437" s="1426"/>
      <c r="F1437" s="1426"/>
      <c r="G1437" s="1426"/>
      <c r="H1437" s="1426"/>
      <c r="I1437" s="1426"/>
      <c r="J1437" s="1426"/>
      <c r="K1437" s="1426"/>
      <c r="L1437" s="1426"/>
      <c r="M1437" s="1426"/>
      <c r="N1437" s="1426"/>
      <c r="O1437" s="1426"/>
      <c r="P1437" s="1427"/>
      <c r="Q1437" s="1428">
        <f>(Q1418*((1+Q$11)^0.5)/Q$10)</f>
        <v>0</v>
      </c>
      <c r="R1437" s="1423">
        <f ca="1">IF(Q1461="n/a",Q1437,IFERROR(IF((OFFSET($C1437,0,$A1437))&lt;0,
MIN(0,Q1437-(OFFSET($C1437,0,$A1437)/(OFFSET($C1432,-$A1436,$A1437)))),
MAX(0,Q1437-(OFFSET($C1437,0,$A1437)/(OFFSET($C1432,-$A1436,$A1437))))),0))</f>
        <v>0</v>
      </c>
      <c r="S1437" s="1423">
        <f t="shared" ca="1" si="2104"/>
        <v>0</v>
      </c>
      <c r="T1437" s="1423">
        <f t="shared" ca="1" si="2105"/>
        <v>0</v>
      </c>
      <c r="U1437" s="1423">
        <f t="shared" ca="1" si="2106"/>
        <v>0</v>
      </c>
      <c r="V1437" s="1423">
        <f t="shared" ca="1" si="2107"/>
        <v>0</v>
      </c>
      <c r="W1437" s="1423">
        <f t="shared" ca="1" si="2108"/>
        <v>0</v>
      </c>
      <c r="X1437" s="202"/>
      <c r="Y1437" s="202"/>
      <c r="Z1437" s="202"/>
      <c r="AA1437" s="152"/>
      <c r="AB1437" s="152"/>
    </row>
    <row r="1438" spans="1:28" hidden="1" outlineLevel="1">
      <c r="A1438" s="199">
        <f t="shared" si="2109"/>
        <v>15</v>
      </c>
      <c r="B1438" s="190" t="str">
        <f t="shared" ca="1" si="2110"/>
        <v>Depreciated Net Capex 2030-31</v>
      </c>
      <c r="C1438" s="1426"/>
      <c r="D1438" s="1426"/>
      <c r="E1438" s="1426"/>
      <c r="F1438" s="1426"/>
      <c r="G1438" s="1426"/>
      <c r="H1438" s="1426"/>
      <c r="I1438" s="1426"/>
      <c r="J1438" s="1426"/>
      <c r="K1438" s="1426"/>
      <c r="L1438" s="1426"/>
      <c r="M1438" s="1426"/>
      <c r="N1438" s="1426"/>
      <c r="O1438" s="1426"/>
      <c r="P1438" s="1426"/>
      <c r="Q1438" s="1427"/>
      <c r="R1438" s="1428">
        <f>(R1418*((1+R$11)^0.5)/R$10)</f>
        <v>0</v>
      </c>
      <c r="S1438" s="1423">
        <f ca="1">IF(R1462="n/a",R1438,IFERROR(IF((OFFSET($C1438,0,$A1438))&lt;0,
MIN(0,R1438-(OFFSET($C1438,0,$A1438)/(OFFSET($C1433,-$A1437,$A1438)))),
MAX(0,R1438-(OFFSET($C1438,0,$A1438)/(OFFSET($C1433,-$A1437,$A1438))))),0))</f>
        <v>0</v>
      </c>
      <c r="T1438" s="1423">
        <f t="shared" ca="1" si="2105"/>
        <v>0</v>
      </c>
      <c r="U1438" s="1423">
        <f t="shared" ca="1" si="2106"/>
        <v>0</v>
      </c>
      <c r="V1438" s="1423">
        <f t="shared" ca="1" si="2107"/>
        <v>0</v>
      </c>
      <c r="W1438" s="1423">
        <f t="shared" ca="1" si="2108"/>
        <v>0</v>
      </c>
      <c r="X1438" s="202"/>
      <c r="Y1438" s="202"/>
      <c r="Z1438" s="202"/>
      <c r="AA1438" s="152"/>
      <c r="AB1438" s="152"/>
    </row>
    <row r="1439" spans="1:28" hidden="1" outlineLevel="1">
      <c r="A1439" s="199">
        <f t="shared" si="2109"/>
        <v>16</v>
      </c>
      <c r="B1439" s="190" t="str">
        <f t="shared" ca="1" si="2110"/>
        <v>Depreciated Net Capex 2031-32</v>
      </c>
      <c r="C1439" s="1426"/>
      <c r="D1439" s="1426"/>
      <c r="E1439" s="1426"/>
      <c r="F1439" s="1426"/>
      <c r="G1439" s="1426"/>
      <c r="H1439" s="1426"/>
      <c r="I1439" s="1426"/>
      <c r="J1439" s="1426"/>
      <c r="K1439" s="1426"/>
      <c r="L1439" s="1426"/>
      <c r="M1439" s="1426"/>
      <c r="N1439" s="1426"/>
      <c r="O1439" s="1426"/>
      <c r="P1439" s="1426"/>
      <c r="Q1439" s="1426"/>
      <c r="R1439" s="1427"/>
      <c r="S1439" s="1428">
        <f>(S1418*((1+S$11)^0.5)/S$10)</f>
        <v>0</v>
      </c>
      <c r="T1439" s="1423">
        <f ca="1">IF(S1463="n/a",S1439,IFERROR(IF((OFFSET($C1439,0,$A1439))&lt;0,
MIN(0,S1439-(OFFSET($C1439,0,$A1439)/(OFFSET($C1434,-$A1438,$A1439)))),
MAX(0,S1439-(OFFSET($C1439,0,$A1439)/(OFFSET($C1434,-$A1438,$A1439))))),0))</f>
        <v>0</v>
      </c>
      <c r="U1439" s="1423">
        <f t="shared" ca="1" si="2106"/>
        <v>0</v>
      </c>
      <c r="V1439" s="1423">
        <f t="shared" ca="1" si="2107"/>
        <v>0</v>
      </c>
      <c r="W1439" s="1423">
        <f t="shared" ca="1" si="2108"/>
        <v>0</v>
      </c>
      <c r="X1439" s="202"/>
      <c r="Y1439" s="202"/>
      <c r="Z1439" s="202"/>
      <c r="AA1439" s="152"/>
      <c r="AB1439" s="152"/>
    </row>
    <row r="1440" spans="1:28" hidden="1" outlineLevel="1">
      <c r="A1440" s="199">
        <f t="shared" si="2109"/>
        <v>17</v>
      </c>
      <c r="B1440" s="190" t="str">
        <f t="shared" ca="1" si="2110"/>
        <v>Depreciated Net Capex 2032-33</v>
      </c>
      <c r="C1440" s="1426"/>
      <c r="D1440" s="1426"/>
      <c r="E1440" s="1426"/>
      <c r="F1440" s="1426"/>
      <c r="G1440" s="1426"/>
      <c r="H1440" s="1426"/>
      <c r="I1440" s="1426"/>
      <c r="J1440" s="1426"/>
      <c r="K1440" s="1426"/>
      <c r="L1440" s="1426"/>
      <c r="M1440" s="1426"/>
      <c r="N1440" s="1426"/>
      <c r="O1440" s="1426"/>
      <c r="P1440" s="1426"/>
      <c r="Q1440" s="1426"/>
      <c r="R1440" s="1426"/>
      <c r="S1440" s="1427"/>
      <c r="T1440" s="1428">
        <f>(T1418*((1+T$11)^0.5)/T$10)</f>
        <v>0</v>
      </c>
      <c r="U1440" s="1423">
        <f ca="1">IF(T1464="n/a",T1440,IFERROR(IF((OFFSET($C1440,0,$A1440))&lt;0,
MIN(0,T1440-(OFFSET($C1440,0,$A1440)/(OFFSET($C1435,-$A1439,$A1440)))),
MAX(0,T1440-(OFFSET($C1440,0,$A1440)/(OFFSET($C1435,-$A1439,$A1440))))),0))</f>
        <v>0</v>
      </c>
      <c r="V1440" s="1423">
        <f t="shared" ca="1" si="2107"/>
        <v>0</v>
      </c>
      <c r="W1440" s="1423">
        <f t="shared" ca="1" si="2108"/>
        <v>0</v>
      </c>
      <c r="X1440" s="202"/>
      <c r="Y1440" s="202"/>
      <c r="Z1440" s="202"/>
      <c r="AA1440" s="152"/>
      <c r="AB1440" s="152"/>
    </row>
    <row r="1441" spans="1:28" hidden="1" outlineLevel="1">
      <c r="A1441" s="199">
        <f t="shared" si="2109"/>
        <v>18</v>
      </c>
      <c r="B1441" s="190" t="str">
        <f t="shared" ca="1" si="2110"/>
        <v>Depreciated Net Capex 2033-34</v>
      </c>
      <c r="C1441" s="1426"/>
      <c r="D1441" s="1426"/>
      <c r="E1441" s="1426"/>
      <c r="F1441" s="1426"/>
      <c r="G1441" s="1426"/>
      <c r="H1441" s="1426"/>
      <c r="I1441" s="1426"/>
      <c r="J1441" s="1426"/>
      <c r="K1441" s="1426"/>
      <c r="L1441" s="1426"/>
      <c r="M1441" s="1426"/>
      <c r="N1441" s="1426"/>
      <c r="O1441" s="1426"/>
      <c r="P1441" s="1426"/>
      <c r="Q1441" s="1426"/>
      <c r="R1441" s="1426"/>
      <c r="S1441" s="1426"/>
      <c r="T1441" s="1427"/>
      <c r="U1441" s="1428">
        <f>(U1418*((1+U$11)^0.5)/U$10)</f>
        <v>0</v>
      </c>
      <c r="V1441" s="1423">
        <f ca="1">IF(U1465="n/a",U1441,IFERROR(IF((OFFSET($C1441,0,$A1441))&lt;0,
MIN(0,U1441-(OFFSET($C1441,0,$A1441)/(OFFSET($C1436,-$A1440,$A1441)))),
MAX(0,U1441-(OFFSET($C1441,0,$A1441)/(OFFSET($C1436,-$A1440,$A1441))))),0))</f>
        <v>0</v>
      </c>
      <c r="W1441" s="1423">
        <f t="shared" ca="1" si="2108"/>
        <v>0</v>
      </c>
      <c r="X1441" s="202"/>
      <c r="Y1441" s="202"/>
      <c r="Z1441" s="202"/>
      <c r="AA1441" s="152"/>
      <c r="AB1441" s="152"/>
    </row>
    <row r="1442" spans="1:28" hidden="1" outlineLevel="1">
      <c r="A1442" s="199">
        <f t="shared" si="2109"/>
        <v>19</v>
      </c>
      <c r="B1442" s="190" t="str">
        <f t="shared" ca="1" si="2110"/>
        <v>Depreciated Net Capex 2034-35</v>
      </c>
      <c r="C1442" s="1426"/>
      <c r="D1442" s="1426"/>
      <c r="E1442" s="1426"/>
      <c r="F1442" s="1426"/>
      <c r="G1442" s="1426"/>
      <c r="H1442" s="1426"/>
      <c r="I1442" s="1426"/>
      <c r="J1442" s="1426"/>
      <c r="K1442" s="1426"/>
      <c r="L1442" s="1426"/>
      <c r="M1442" s="1426"/>
      <c r="N1442" s="1426"/>
      <c r="O1442" s="1426"/>
      <c r="P1442" s="1426"/>
      <c r="Q1442" s="1426"/>
      <c r="R1442" s="1426"/>
      <c r="S1442" s="1426"/>
      <c r="T1442" s="1426"/>
      <c r="U1442" s="1427"/>
      <c r="V1442" s="1428">
        <f>(V1418*((1+V$11)^0.5)/V$10)</f>
        <v>0</v>
      </c>
      <c r="W1442" s="1423">
        <f ca="1">IF(V1466="n/a",V1442,IFERROR(IF((OFFSET($C1442,0,$A1442))&lt;0,
MIN(0,V1442-(OFFSET($C1442,0,$A1442)/(OFFSET($C1437,-$A1441,$A1442)))),
MAX(0,V1442-(OFFSET($C1442,0,$A1442)/(OFFSET($C1437,-$A1441,$A1442))))),0))</f>
        <v>0</v>
      </c>
      <c r="X1442" s="202"/>
      <c r="Y1442" s="202"/>
      <c r="Z1442" s="202"/>
      <c r="AA1442" s="152"/>
      <c r="AB1442" s="152"/>
    </row>
    <row r="1443" spans="1:28" hidden="1" outlineLevel="1">
      <c r="A1443" s="199">
        <f t="shared" si="2109"/>
        <v>20</v>
      </c>
      <c r="B1443" s="190" t="str">
        <f ca="1">"Depreciated Net Capex "&amp;OFFSET($C$6,0,A1443)</f>
        <v>Depreciated Net Capex 2035-36</v>
      </c>
      <c r="C1443" s="1426"/>
      <c r="D1443" s="1426"/>
      <c r="E1443" s="1426"/>
      <c r="F1443" s="1426"/>
      <c r="G1443" s="1426"/>
      <c r="H1443" s="1426"/>
      <c r="I1443" s="1426"/>
      <c r="J1443" s="1426"/>
      <c r="K1443" s="1426"/>
      <c r="L1443" s="1426"/>
      <c r="M1443" s="1426"/>
      <c r="N1443" s="1426"/>
      <c r="O1443" s="1426"/>
      <c r="P1443" s="1426"/>
      <c r="Q1443" s="1426"/>
      <c r="R1443" s="1426"/>
      <c r="S1443" s="1426"/>
      <c r="T1443" s="1426"/>
      <c r="U1443" s="1426"/>
      <c r="V1443" s="1427"/>
      <c r="W1443" s="1423">
        <f>(W1418*((1+W$11)^0.5)/W$10)</f>
        <v>0</v>
      </c>
      <c r="X1443" s="152"/>
      <c r="Y1443" s="152"/>
      <c r="Z1443" s="152"/>
      <c r="AA1443" s="152"/>
      <c r="AB1443" s="152"/>
    </row>
    <row r="1444" spans="1:28" hidden="1" outlineLevel="1">
      <c r="A1444" s="152"/>
      <c r="B1444" s="200"/>
      <c r="C1444" s="1423"/>
      <c r="D1444" s="1423"/>
      <c r="E1444" s="1423"/>
      <c r="F1444" s="1423"/>
      <c r="G1444" s="1423"/>
      <c r="H1444" s="1423"/>
      <c r="I1444" s="1423"/>
      <c r="J1444" s="1423"/>
      <c r="K1444" s="1423"/>
      <c r="L1444" s="1423"/>
      <c r="M1444" s="1423"/>
      <c r="N1444" s="1423"/>
      <c r="O1444" s="1423"/>
      <c r="P1444" s="1423"/>
      <c r="Q1444" s="1423"/>
      <c r="R1444" s="1423"/>
      <c r="S1444" s="1423"/>
      <c r="T1444" s="1423"/>
      <c r="U1444" s="1423"/>
      <c r="V1444" s="1423"/>
      <c r="W1444" s="1423"/>
      <c r="X1444" s="152"/>
      <c r="Y1444" s="152"/>
      <c r="Z1444" s="152"/>
      <c r="AA1444" s="152"/>
      <c r="AB1444" s="152"/>
    </row>
    <row r="1445" spans="1:28" hidden="1" outlineLevel="1">
      <c r="A1445" s="152"/>
      <c r="B1445" s="200"/>
      <c r="C1445" s="1423"/>
      <c r="D1445" s="1423"/>
      <c r="E1445" s="1423"/>
      <c r="F1445" s="1423"/>
      <c r="G1445" s="1423"/>
      <c r="H1445" s="1423"/>
      <c r="I1445" s="1423"/>
      <c r="J1445" s="1423"/>
      <c r="K1445" s="1423"/>
      <c r="L1445" s="1423"/>
      <c r="M1445" s="1423"/>
      <c r="N1445" s="1423"/>
      <c r="O1445" s="1423"/>
      <c r="P1445" s="1423"/>
      <c r="Q1445" s="1423"/>
      <c r="R1445" s="1423"/>
      <c r="S1445" s="1423"/>
      <c r="T1445" s="1423"/>
      <c r="U1445" s="1423"/>
      <c r="V1445" s="1423"/>
      <c r="W1445" s="1423"/>
      <c r="X1445" s="152"/>
      <c r="Y1445" s="152"/>
      <c r="Z1445" s="152"/>
      <c r="AA1445" s="152"/>
      <c r="AB1445" s="152"/>
    </row>
    <row r="1446" spans="1:28" hidden="1" outlineLevel="1">
      <c r="A1446" s="152"/>
      <c r="B1446" s="190" t="s">
        <v>190</v>
      </c>
      <c r="C1446" s="1423"/>
      <c r="D1446" s="1423">
        <f ca="1">IF(AND(C1446&lt;1,D1420=0),0,
IF(D1420=0,C1446-1,
IF(C1446&lt;1,D1421,
(((C1446-1)*(C1422-(C1422/(C1446))))+((D1420/D$10)*D1421))/(D1422))))</f>
        <v>0</v>
      </c>
      <c r="E1446" s="1423">
        <f t="shared" ref="E1446" ca="1" si="2111">IF(AND(D1446&lt;1,E1420=0),0,
IF(E1420=0,D1446-1,
IF(D1446&lt;1,E1421,
(((D1446-1)*(D1422-(D1422/(D1446))))+((E1420/E$10)*E1421))/(E1422))))</f>
        <v>0</v>
      </c>
      <c r="F1446" s="1423">
        <f t="shared" ref="F1446" ca="1" si="2112">IF(AND(E1446&lt;1,F1420=0),0,
IF(F1420=0,E1446-1,
IF(E1446&lt;1,F1421,
(((E1446-1)*(E1422-(E1422/(E1446))))+((F1420/F$10)*F1421))/(F1422))))</f>
        <v>0</v>
      </c>
      <c r="G1446" s="1423">
        <f t="shared" ref="G1446" ca="1" si="2113">IF(AND(F1446&lt;1,G1420=0),0,
IF(G1420=0,F1446-1,
IF(F1446&lt;1,G1421,
(((F1446-1)*(F1422-(F1422/(F1446))))+((G1420/G$10)*G1421))/(G1422))))</f>
        <v>0</v>
      </c>
      <c r="H1446" s="1423">
        <f t="shared" ref="H1446" ca="1" si="2114">IF(AND(G1446&lt;1,H1420=0),0,
IF(H1420=0,G1446-1,
IF(G1446&lt;1,H1421,
(((G1446-1)*(G1422-(G1422/(G1446))))+((H1420/H$10)*H1421))/(H1422))))</f>
        <v>0</v>
      </c>
      <c r="I1446" s="1423">
        <f t="shared" ref="I1446" ca="1" si="2115">IF(AND(H1446&lt;1,I1420=0),0,
IF(I1420=0,H1446-1,
IF(H1446&lt;1,I1421,
(((H1446-1)*(H1422-(H1422/(H1446))))+((I1420/I$10)*I1421))/(I1422))))</f>
        <v>0</v>
      </c>
      <c r="J1446" s="1423">
        <f t="shared" ref="J1446" ca="1" si="2116">IF(AND(I1446&lt;1,J1420=0),0,
IF(J1420=0,I1446-1,
IF(I1446&lt;1,J1421,
(((I1446-1)*(I1422-(I1422/(I1446))))+((J1420/J$10)*J1421))/(J1422))))</f>
        <v>0</v>
      </c>
      <c r="K1446" s="1423">
        <f t="shared" ref="K1446" ca="1" si="2117">IF(AND(J1446&lt;1,K1420=0),0,
IF(K1420=0,J1446-1,
IF(J1446&lt;1,K1421,
(((J1446-1)*(J1422-(J1422/(J1446))))+((K1420/K$10)*K1421))/(K1422))))</f>
        <v>0</v>
      </c>
      <c r="L1446" s="1423">
        <f t="shared" ref="L1446" ca="1" si="2118">IF(AND(K1446&lt;1,L1420=0),0,
IF(L1420=0,K1446-1,
IF(K1446&lt;1,L1421,
(((K1446-1)*(K1422-(K1422/(K1446))))+((L1420/L$10)*L1421))/(L1422))))</f>
        <v>0</v>
      </c>
      <c r="M1446" s="1423">
        <f t="shared" ref="M1446" ca="1" si="2119">IF(AND(L1446&lt;1,M1420=0),0,
IF(M1420=0,L1446-1,
IF(L1446&lt;1,M1421,
(((L1446-1)*(L1422-(L1422/(L1446))))+((M1420/M$10)*M1421))/(M1422))))</f>
        <v>0</v>
      </c>
      <c r="N1446" s="1423">
        <f t="shared" ref="N1446" ca="1" si="2120">IF(AND(M1446&lt;1,N1420=0),0,
IF(N1420=0,M1446-1,
IF(M1446&lt;1,N1421,
(((M1446-1)*(M1422-(M1422/(M1446))))+((N1420/N$10)*N1421))/(N1422))))</f>
        <v>0</v>
      </c>
      <c r="O1446" s="1423">
        <f t="shared" ref="O1446" ca="1" si="2121">IF(AND(N1446&lt;1,O1420=0),0,
IF(O1420=0,N1446-1,
IF(N1446&lt;1,O1421,
(((N1446-1)*(N1422-(N1422/(N1446))))+((O1420/O$10)*O1421))/(O1422))))</f>
        <v>0</v>
      </c>
      <c r="P1446" s="1423">
        <f t="shared" ref="P1446" ca="1" si="2122">IF(AND(O1446&lt;1,P1420=0),0,
IF(P1420=0,O1446-1,
IF(O1446&lt;1,P1421,
(((O1446-1)*(O1422-(O1422/(O1446))))+((P1420/P$10)*P1421))/(P1422))))</f>
        <v>0</v>
      </c>
      <c r="Q1446" s="1423">
        <f t="shared" ref="Q1446" ca="1" si="2123">IF(AND(P1446&lt;1,Q1420=0),0,
IF(Q1420=0,P1446-1,
IF(P1446&lt;1,Q1421,
(((P1446-1)*(P1422-(P1422/(P1446))))+((Q1420/Q$10)*Q1421))/(Q1422))))</f>
        <v>0</v>
      </c>
      <c r="R1446" s="1423">
        <f t="shared" ref="R1446" ca="1" si="2124">IF(AND(Q1446&lt;1,R1420=0),0,
IF(R1420=0,Q1446-1,
IF(Q1446&lt;1,R1421,
(((Q1446-1)*(Q1422-(Q1422/(Q1446))))+((R1420/R$10)*R1421))/(R1422))))</f>
        <v>0</v>
      </c>
      <c r="S1446" s="1423">
        <f t="shared" ref="S1446" ca="1" si="2125">IF(AND(R1446&lt;1,S1420=0),0,
IF(S1420=0,R1446-1,
IF(R1446&lt;1,S1421,
(((R1446-1)*(R1422-(R1422/(R1446))))+((S1420/S$10)*S1421))/(S1422))))</f>
        <v>0</v>
      </c>
      <c r="T1446" s="1423">
        <f t="shared" ref="T1446" ca="1" si="2126">IF(AND(S1446&lt;1,T1420=0),0,
IF(T1420=0,S1446-1,
IF(S1446&lt;1,T1421,
(((S1446-1)*(S1422-(S1422/(S1446))))+((T1420/T$10)*T1421))/(T1422))))</f>
        <v>0</v>
      </c>
      <c r="U1446" s="1423">
        <f t="shared" ref="U1446" ca="1" si="2127">IF(AND(T1446&lt;1,U1420=0),0,
IF(U1420=0,T1446-1,
IF(T1446&lt;1,U1421,
(((T1446-1)*(T1422-(T1422/(T1446))))+((U1420/U$10)*U1421))/(U1422))))</f>
        <v>0</v>
      </c>
      <c r="V1446" s="1423">
        <f t="shared" ref="V1446" ca="1" si="2128">IF(AND(U1446&lt;1,V1420=0),0,
IF(V1420=0,U1446-1,
IF(U1446&lt;1,V1421,
(((U1446-1)*(U1422-(U1422/(U1446))))+((V1420/V$10)*V1421))/(V1422))))</f>
        <v>0</v>
      </c>
      <c r="W1446" s="1423">
        <f t="shared" ref="W1446" ca="1" si="2129">IF(AND(V1446&lt;1,W1420=0),0,
IF(W1420=0,V1446-1,
IF(V1446&lt;1,W1421,
(((V1446-1)*(V1422-(V1422/(V1446))))+((W1420/W$10)*W1421))/(W1422))))</f>
        <v>0</v>
      </c>
      <c r="X1446" s="152"/>
      <c r="Y1446" s="152"/>
      <c r="Z1446" s="152"/>
      <c r="AA1446" s="152"/>
      <c r="AB1446" s="152"/>
    </row>
    <row r="1447" spans="1:28" hidden="1" outlineLevel="1">
      <c r="A1447" s="152"/>
      <c r="B1447" s="190" t="s">
        <v>122</v>
      </c>
      <c r="C1447" s="1423">
        <f ca="1">C1419</f>
        <v>0</v>
      </c>
      <c r="D1447" s="1423">
        <f t="shared" ref="D1447" ca="1" si="2130">IF(C1447="n/a","n/a",MAX(0,C1447-1))</f>
        <v>0</v>
      </c>
      <c r="E1447" s="1423">
        <f t="shared" ref="E1447:E1448" ca="1" si="2131">IF(D1447="n/a","n/a",MAX(0,D1447-1))</f>
        <v>0</v>
      </c>
      <c r="F1447" s="1423">
        <f t="shared" ref="F1447:F1449" ca="1" si="2132">IF(E1447="n/a","n/a",MAX(0,E1447-1))</f>
        <v>0</v>
      </c>
      <c r="G1447" s="1423">
        <f t="shared" ref="G1447:G1450" ca="1" si="2133">IF(F1447="n/a","n/a",MAX(0,F1447-1))</f>
        <v>0</v>
      </c>
      <c r="H1447" s="1423">
        <f t="shared" ref="H1447:H1451" ca="1" si="2134">IF(G1447="n/a","n/a",MAX(0,G1447-1))</f>
        <v>0</v>
      </c>
      <c r="I1447" s="1423">
        <f t="shared" ref="I1447:I1452" ca="1" si="2135">IF(H1447="n/a","n/a",MAX(0,H1447-1))</f>
        <v>0</v>
      </c>
      <c r="J1447" s="1423">
        <f t="shared" ref="J1447:J1453" ca="1" si="2136">IF(I1447="n/a","n/a",MAX(0,I1447-1))</f>
        <v>0</v>
      </c>
      <c r="K1447" s="1423">
        <f t="shared" ref="K1447:K1454" ca="1" si="2137">IF(J1447="n/a","n/a",MAX(0,J1447-1))</f>
        <v>0</v>
      </c>
      <c r="L1447" s="1423">
        <f t="shared" ref="L1447:L1455" ca="1" si="2138">IF(K1447="n/a","n/a",MAX(0,K1447-1))</f>
        <v>0</v>
      </c>
      <c r="M1447" s="1423">
        <f t="shared" ref="M1447:M1456" ca="1" si="2139">IF(L1447="n/a","n/a",MAX(0,L1447-1))</f>
        <v>0</v>
      </c>
      <c r="N1447" s="1423">
        <f t="shared" ref="N1447:N1457" ca="1" si="2140">IF(M1447="n/a","n/a",MAX(0,M1447-1))</f>
        <v>0</v>
      </c>
      <c r="O1447" s="1423">
        <f t="shared" ref="O1447:O1458" ca="1" si="2141">IF(N1447="n/a","n/a",MAX(0,N1447-1))</f>
        <v>0</v>
      </c>
      <c r="P1447" s="1423">
        <f t="shared" ref="P1447:P1459" ca="1" si="2142">IF(O1447="n/a","n/a",MAX(0,O1447-1))</f>
        <v>0</v>
      </c>
      <c r="Q1447" s="1423">
        <f t="shared" ref="Q1447:Q1460" ca="1" si="2143">IF(P1447="n/a","n/a",MAX(0,P1447-1))</f>
        <v>0</v>
      </c>
      <c r="R1447" s="1423">
        <f t="shared" ref="R1447:R1461" ca="1" si="2144">IF(Q1447="n/a","n/a",MAX(0,Q1447-1))</f>
        <v>0</v>
      </c>
      <c r="S1447" s="1423">
        <f t="shared" ref="S1447:S1462" ca="1" si="2145">IF(R1447="n/a","n/a",MAX(0,R1447-1))</f>
        <v>0</v>
      </c>
      <c r="T1447" s="1423">
        <f t="shared" ref="T1447:T1463" ca="1" si="2146">IF(S1447="n/a","n/a",MAX(0,S1447-1))</f>
        <v>0</v>
      </c>
      <c r="U1447" s="1423">
        <f t="shared" ref="U1447:U1464" ca="1" si="2147">IF(T1447="n/a","n/a",MAX(0,T1447-1))</f>
        <v>0</v>
      </c>
      <c r="V1447" s="1423">
        <f t="shared" ref="V1447:V1465" ca="1" si="2148">IF(U1447="n/a","n/a",MAX(0,U1447-1))</f>
        <v>0</v>
      </c>
      <c r="W1447" s="1423">
        <f t="shared" ref="W1447:W1465" ca="1" si="2149">IF(V1447="n/a","n/a",MAX(0,V1447-1))</f>
        <v>0</v>
      </c>
      <c r="X1447" s="152"/>
      <c r="Y1447" s="152"/>
      <c r="Z1447" s="152"/>
      <c r="AA1447" s="152"/>
      <c r="AB1447" s="152"/>
    </row>
    <row r="1448" spans="1:28" hidden="1" outlineLevel="1">
      <c r="A1448" s="152"/>
      <c r="B1448" s="190" t="str">
        <f t="shared" ref="B1448:B1467" ca="1" si="2150">"RL Capex "&amp;OFFSET($C$6,0,A1424)</f>
        <v>RL Capex 2016-17</v>
      </c>
      <c r="C1448" s="1424"/>
      <c r="D1448" s="1428">
        <f>D1419</f>
        <v>0</v>
      </c>
      <c r="E1448" s="1423">
        <f t="shared" si="2131"/>
        <v>0</v>
      </c>
      <c r="F1448" s="1423">
        <f t="shared" si="2132"/>
        <v>0</v>
      </c>
      <c r="G1448" s="1423">
        <f t="shared" si="2133"/>
        <v>0</v>
      </c>
      <c r="H1448" s="1423">
        <f t="shared" si="2134"/>
        <v>0</v>
      </c>
      <c r="I1448" s="1423">
        <f t="shared" si="2135"/>
        <v>0</v>
      </c>
      <c r="J1448" s="1423">
        <f t="shared" si="2136"/>
        <v>0</v>
      </c>
      <c r="K1448" s="1423">
        <f t="shared" si="2137"/>
        <v>0</v>
      </c>
      <c r="L1448" s="1423">
        <f t="shared" si="2138"/>
        <v>0</v>
      </c>
      <c r="M1448" s="1423">
        <f t="shared" si="2139"/>
        <v>0</v>
      </c>
      <c r="N1448" s="1423">
        <f t="shared" si="2140"/>
        <v>0</v>
      </c>
      <c r="O1448" s="1423">
        <f t="shared" si="2141"/>
        <v>0</v>
      </c>
      <c r="P1448" s="1423">
        <f t="shared" si="2142"/>
        <v>0</v>
      </c>
      <c r="Q1448" s="1423">
        <f t="shared" si="2143"/>
        <v>0</v>
      </c>
      <c r="R1448" s="1423">
        <f t="shared" si="2144"/>
        <v>0</v>
      </c>
      <c r="S1448" s="1423">
        <f t="shared" si="2145"/>
        <v>0</v>
      </c>
      <c r="T1448" s="1423">
        <f t="shared" si="2146"/>
        <v>0</v>
      </c>
      <c r="U1448" s="1423">
        <f t="shared" si="2147"/>
        <v>0</v>
      </c>
      <c r="V1448" s="1423">
        <f t="shared" si="2148"/>
        <v>0</v>
      </c>
      <c r="W1448" s="1423">
        <f t="shared" si="2149"/>
        <v>0</v>
      </c>
      <c r="X1448" s="152"/>
      <c r="Y1448" s="152"/>
      <c r="Z1448" s="152"/>
      <c r="AA1448" s="152"/>
      <c r="AB1448" s="152"/>
    </row>
    <row r="1449" spans="1:28" hidden="1" outlineLevel="1">
      <c r="A1449" s="152"/>
      <c r="B1449" s="190" t="str">
        <f t="shared" ca="1" si="2150"/>
        <v>RL Capex 2017-18</v>
      </c>
      <c r="C1449" s="1429"/>
      <c r="D1449" s="1424"/>
      <c r="E1449" s="1428">
        <f>E1419</f>
        <v>0</v>
      </c>
      <c r="F1449" s="1423">
        <f t="shared" si="2132"/>
        <v>0</v>
      </c>
      <c r="G1449" s="1423">
        <f t="shared" si="2133"/>
        <v>0</v>
      </c>
      <c r="H1449" s="1423">
        <f t="shared" si="2134"/>
        <v>0</v>
      </c>
      <c r="I1449" s="1423">
        <f t="shared" si="2135"/>
        <v>0</v>
      </c>
      <c r="J1449" s="1423">
        <f t="shared" si="2136"/>
        <v>0</v>
      </c>
      <c r="K1449" s="1423">
        <f t="shared" si="2137"/>
        <v>0</v>
      </c>
      <c r="L1449" s="1423">
        <f t="shared" si="2138"/>
        <v>0</v>
      </c>
      <c r="M1449" s="1423">
        <f t="shared" si="2139"/>
        <v>0</v>
      </c>
      <c r="N1449" s="1423">
        <f t="shared" si="2140"/>
        <v>0</v>
      </c>
      <c r="O1449" s="1423">
        <f t="shared" si="2141"/>
        <v>0</v>
      </c>
      <c r="P1449" s="1423">
        <f t="shared" si="2142"/>
        <v>0</v>
      </c>
      <c r="Q1449" s="1423">
        <f t="shared" si="2143"/>
        <v>0</v>
      </c>
      <c r="R1449" s="1423">
        <f t="shared" si="2144"/>
        <v>0</v>
      </c>
      <c r="S1449" s="1423">
        <f t="shared" si="2145"/>
        <v>0</v>
      </c>
      <c r="T1449" s="1423">
        <f t="shared" si="2146"/>
        <v>0</v>
      </c>
      <c r="U1449" s="1423">
        <f t="shared" si="2147"/>
        <v>0</v>
      </c>
      <c r="V1449" s="1423">
        <f t="shared" si="2148"/>
        <v>0</v>
      </c>
      <c r="W1449" s="1423">
        <f t="shared" si="2149"/>
        <v>0</v>
      </c>
      <c r="X1449" s="152"/>
      <c r="Y1449" s="152"/>
      <c r="Z1449" s="152"/>
      <c r="AA1449" s="152"/>
      <c r="AB1449" s="152"/>
    </row>
    <row r="1450" spans="1:28" hidden="1" outlineLevel="1">
      <c r="A1450" s="152"/>
      <c r="B1450" s="190" t="str">
        <f t="shared" ca="1" si="2150"/>
        <v>RL Capex 2018-19</v>
      </c>
      <c r="C1450" s="1429"/>
      <c r="D1450" s="1429"/>
      <c r="E1450" s="1424"/>
      <c r="F1450" s="1428">
        <f>F1419</f>
        <v>0</v>
      </c>
      <c r="G1450" s="1423">
        <f t="shared" si="2133"/>
        <v>0</v>
      </c>
      <c r="H1450" s="1423">
        <f t="shared" si="2134"/>
        <v>0</v>
      </c>
      <c r="I1450" s="1423">
        <f t="shared" si="2135"/>
        <v>0</v>
      </c>
      <c r="J1450" s="1423">
        <f t="shared" si="2136"/>
        <v>0</v>
      </c>
      <c r="K1450" s="1423">
        <f t="shared" si="2137"/>
        <v>0</v>
      </c>
      <c r="L1450" s="1423">
        <f t="shared" si="2138"/>
        <v>0</v>
      </c>
      <c r="M1450" s="1423">
        <f t="shared" si="2139"/>
        <v>0</v>
      </c>
      <c r="N1450" s="1423">
        <f t="shared" si="2140"/>
        <v>0</v>
      </c>
      <c r="O1450" s="1423">
        <f t="shared" si="2141"/>
        <v>0</v>
      </c>
      <c r="P1450" s="1423">
        <f t="shared" si="2142"/>
        <v>0</v>
      </c>
      <c r="Q1450" s="1423">
        <f t="shared" si="2143"/>
        <v>0</v>
      </c>
      <c r="R1450" s="1423">
        <f t="shared" si="2144"/>
        <v>0</v>
      </c>
      <c r="S1450" s="1423">
        <f t="shared" si="2145"/>
        <v>0</v>
      </c>
      <c r="T1450" s="1423">
        <f t="shared" si="2146"/>
        <v>0</v>
      </c>
      <c r="U1450" s="1423">
        <f t="shared" si="2147"/>
        <v>0</v>
      </c>
      <c r="V1450" s="1423">
        <f t="shared" si="2148"/>
        <v>0</v>
      </c>
      <c r="W1450" s="1423">
        <f t="shared" si="2149"/>
        <v>0</v>
      </c>
      <c r="X1450" s="152"/>
      <c r="Y1450" s="152"/>
      <c r="Z1450" s="152"/>
      <c r="AA1450" s="152"/>
      <c r="AB1450" s="152"/>
    </row>
    <row r="1451" spans="1:28" hidden="1" outlineLevel="1">
      <c r="A1451" s="152"/>
      <c r="B1451" s="190" t="str">
        <f t="shared" ca="1" si="2150"/>
        <v>RL Capex 2019-20</v>
      </c>
      <c r="C1451" s="1429"/>
      <c r="D1451" s="1429"/>
      <c r="E1451" s="1429"/>
      <c r="F1451" s="1424"/>
      <c r="G1451" s="1428">
        <f>G1419</f>
        <v>0</v>
      </c>
      <c r="H1451" s="1423">
        <f t="shared" si="2134"/>
        <v>0</v>
      </c>
      <c r="I1451" s="1423">
        <f t="shared" si="2135"/>
        <v>0</v>
      </c>
      <c r="J1451" s="1423">
        <f t="shared" si="2136"/>
        <v>0</v>
      </c>
      <c r="K1451" s="1423">
        <f t="shared" si="2137"/>
        <v>0</v>
      </c>
      <c r="L1451" s="1423">
        <f t="shared" si="2138"/>
        <v>0</v>
      </c>
      <c r="M1451" s="1423">
        <f t="shared" si="2139"/>
        <v>0</v>
      </c>
      <c r="N1451" s="1423">
        <f t="shared" si="2140"/>
        <v>0</v>
      </c>
      <c r="O1451" s="1423">
        <f t="shared" si="2141"/>
        <v>0</v>
      </c>
      <c r="P1451" s="1423">
        <f t="shared" si="2142"/>
        <v>0</v>
      </c>
      <c r="Q1451" s="1423">
        <f t="shared" si="2143"/>
        <v>0</v>
      </c>
      <c r="R1451" s="1423">
        <f t="shared" si="2144"/>
        <v>0</v>
      </c>
      <c r="S1451" s="1423">
        <f t="shared" si="2145"/>
        <v>0</v>
      </c>
      <c r="T1451" s="1423">
        <f t="shared" si="2146"/>
        <v>0</v>
      </c>
      <c r="U1451" s="1423">
        <f t="shared" si="2147"/>
        <v>0</v>
      </c>
      <c r="V1451" s="1423">
        <f t="shared" si="2148"/>
        <v>0</v>
      </c>
      <c r="W1451" s="1423">
        <f t="shared" si="2149"/>
        <v>0</v>
      </c>
      <c r="X1451" s="152"/>
      <c r="Y1451" s="152"/>
      <c r="Z1451" s="152"/>
      <c r="AA1451" s="152"/>
      <c r="AB1451" s="152"/>
    </row>
    <row r="1452" spans="1:28" hidden="1" outlineLevel="1">
      <c r="A1452" s="152"/>
      <c r="B1452" s="190" t="str">
        <f t="shared" ca="1" si="2150"/>
        <v>RL Capex 2020-21</v>
      </c>
      <c r="C1452" s="1429"/>
      <c r="D1452" s="1429"/>
      <c r="E1452" s="1429"/>
      <c r="F1452" s="1429"/>
      <c r="G1452" s="1424"/>
      <c r="H1452" s="1428">
        <f>H1419</f>
        <v>0</v>
      </c>
      <c r="I1452" s="1423">
        <f t="shared" si="2135"/>
        <v>0</v>
      </c>
      <c r="J1452" s="1423">
        <f t="shared" si="2136"/>
        <v>0</v>
      </c>
      <c r="K1452" s="1423">
        <f t="shared" si="2137"/>
        <v>0</v>
      </c>
      <c r="L1452" s="1423">
        <f t="shared" si="2138"/>
        <v>0</v>
      </c>
      <c r="M1452" s="1423">
        <f t="shared" si="2139"/>
        <v>0</v>
      </c>
      <c r="N1452" s="1423">
        <f t="shared" si="2140"/>
        <v>0</v>
      </c>
      <c r="O1452" s="1423">
        <f t="shared" si="2141"/>
        <v>0</v>
      </c>
      <c r="P1452" s="1423">
        <f t="shared" si="2142"/>
        <v>0</v>
      </c>
      <c r="Q1452" s="1423">
        <f t="shared" si="2143"/>
        <v>0</v>
      </c>
      <c r="R1452" s="1423">
        <f t="shared" si="2144"/>
        <v>0</v>
      </c>
      <c r="S1452" s="1423">
        <f t="shared" si="2145"/>
        <v>0</v>
      </c>
      <c r="T1452" s="1423">
        <f t="shared" si="2146"/>
        <v>0</v>
      </c>
      <c r="U1452" s="1423">
        <f t="shared" si="2147"/>
        <v>0</v>
      </c>
      <c r="V1452" s="1423">
        <f t="shared" si="2148"/>
        <v>0</v>
      </c>
      <c r="W1452" s="1423">
        <f t="shared" si="2149"/>
        <v>0</v>
      </c>
      <c r="X1452" s="152"/>
      <c r="Y1452" s="152"/>
      <c r="Z1452" s="152"/>
      <c r="AA1452" s="152"/>
      <c r="AB1452" s="152"/>
    </row>
    <row r="1453" spans="1:28" hidden="1" outlineLevel="1">
      <c r="A1453" s="152"/>
      <c r="B1453" s="190" t="str">
        <f t="shared" ca="1" si="2150"/>
        <v>RL Capex 2021-22</v>
      </c>
      <c r="C1453" s="1429"/>
      <c r="D1453" s="1429"/>
      <c r="E1453" s="1429"/>
      <c r="F1453" s="1429"/>
      <c r="G1453" s="1429"/>
      <c r="H1453" s="1424"/>
      <c r="I1453" s="1428">
        <f>I1419</f>
        <v>0</v>
      </c>
      <c r="J1453" s="1423">
        <f t="shared" si="2136"/>
        <v>0</v>
      </c>
      <c r="K1453" s="1423">
        <f t="shared" si="2137"/>
        <v>0</v>
      </c>
      <c r="L1453" s="1423">
        <f t="shared" si="2138"/>
        <v>0</v>
      </c>
      <c r="M1453" s="1423">
        <f t="shared" si="2139"/>
        <v>0</v>
      </c>
      <c r="N1453" s="1423">
        <f t="shared" si="2140"/>
        <v>0</v>
      </c>
      <c r="O1453" s="1423">
        <f t="shared" si="2141"/>
        <v>0</v>
      </c>
      <c r="P1453" s="1423">
        <f t="shared" si="2142"/>
        <v>0</v>
      </c>
      <c r="Q1453" s="1423">
        <f t="shared" si="2143"/>
        <v>0</v>
      </c>
      <c r="R1453" s="1423">
        <f t="shared" si="2144"/>
        <v>0</v>
      </c>
      <c r="S1453" s="1423">
        <f t="shared" si="2145"/>
        <v>0</v>
      </c>
      <c r="T1453" s="1423">
        <f t="shared" si="2146"/>
        <v>0</v>
      </c>
      <c r="U1453" s="1423">
        <f t="shared" si="2147"/>
        <v>0</v>
      </c>
      <c r="V1453" s="1423">
        <f t="shared" si="2148"/>
        <v>0</v>
      </c>
      <c r="W1453" s="1423">
        <f t="shared" si="2149"/>
        <v>0</v>
      </c>
      <c r="X1453" s="152"/>
      <c r="Y1453" s="152"/>
      <c r="Z1453" s="152"/>
      <c r="AA1453" s="152"/>
      <c r="AB1453" s="152"/>
    </row>
    <row r="1454" spans="1:28" hidden="1" outlineLevel="1">
      <c r="A1454" s="152"/>
      <c r="B1454" s="190" t="str">
        <f t="shared" ca="1" si="2150"/>
        <v>RL Capex 2022-23</v>
      </c>
      <c r="C1454" s="1429"/>
      <c r="D1454" s="1429"/>
      <c r="E1454" s="1429"/>
      <c r="F1454" s="1429"/>
      <c r="G1454" s="1429"/>
      <c r="H1454" s="1429"/>
      <c r="I1454" s="1424"/>
      <c r="J1454" s="1428">
        <f>J1419</f>
        <v>0</v>
      </c>
      <c r="K1454" s="1423">
        <f t="shared" si="2137"/>
        <v>0</v>
      </c>
      <c r="L1454" s="1423">
        <f t="shared" si="2138"/>
        <v>0</v>
      </c>
      <c r="M1454" s="1423">
        <f t="shared" si="2139"/>
        <v>0</v>
      </c>
      <c r="N1454" s="1423">
        <f t="shared" si="2140"/>
        <v>0</v>
      </c>
      <c r="O1454" s="1423">
        <f t="shared" si="2141"/>
        <v>0</v>
      </c>
      <c r="P1454" s="1423">
        <f t="shared" si="2142"/>
        <v>0</v>
      </c>
      <c r="Q1454" s="1423">
        <f t="shared" si="2143"/>
        <v>0</v>
      </c>
      <c r="R1454" s="1423">
        <f t="shared" si="2144"/>
        <v>0</v>
      </c>
      <c r="S1454" s="1423">
        <f t="shared" si="2145"/>
        <v>0</v>
      </c>
      <c r="T1454" s="1423">
        <f t="shared" si="2146"/>
        <v>0</v>
      </c>
      <c r="U1454" s="1423">
        <f t="shared" si="2147"/>
        <v>0</v>
      </c>
      <c r="V1454" s="1423">
        <f t="shared" si="2148"/>
        <v>0</v>
      </c>
      <c r="W1454" s="1423">
        <f t="shared" si="2149"/>
        <v>0</v>
      </c>
      <c r="X1454" s="152"/>
      <c r="Y1454" s="152"/>
      <c r="Z1454" s="152"/>
      <c r="AA1454" s="152"/>
      <c r="AB1454" s="152"/>
    </row>
    <row r="1455" spans="1:28" hidden="1" outlineLevel="1">
      <c r="A1455" s="152"/>
      <c r="B1455" s="190" t="str">
        <f t="shared" ca="1" si="2150"/>
        <v>RL Capex 2023-24</v>
      </c>
      <c r="C1455" s="1429"/>
      <c r="D1455" s="1429"/>
      <c r="E1455" s="1429"/>
      <c r="F1455" s="1429"/>
      <c r="G1455" s="1429"/>
      <c r="H1455" s="1429"/>
      <c r="I1455" s="1429"/>
      <c r="J1455" s="1424"/>
      <c r="K1455" s="1428">
        <f>K1419</f>
        <v>0</v>
      </c>
      <c r="L1455" s="1423">
        <f t="shared" si="2138"/>
        <v>0</v>
      </c>
      <c r="M1455" s="1423">
        <f t="shared" si="2139"/>
        <v>0</v>
      </c>
      <c r="N1455" s="1423">
        <f t="shared" si="2140"/>
        <v>0</v>
      </c>
      <c r="O1455" s="1423">
        <f t="shared" si="2141"/>
        <v>0</v>
      </c>
      <c r="P1455" s="1423">
        <f t="shared" si="2142"/>
        <v>0</v>
      </c>
      <c r="Q1455" s="1423">
        <f t="shared" si="2143"/>
        <v>0</v>
      </c>
      <c r="R1455" s="1423">
        <f t="shared" si="2144"/>
        <v>0</v>
      </c>
      <c r="S1455" s="1423">
        <f t="shared" si="2145"/>
        <v>0</v>
      </c>
      <c r="T1455" s="1423">
        <f t="shared" si="2146"/>
        <v>0</v>
      </c>
      <c r="U1455" s="1423">
        <f t="shared" si="2147"/>
        <v>0</v>
      </c>
      <c r="V1455" s="1423">
        <f t="shared" si="2148"/>
        <v>0</v>
      </c>
      <c r="W1455" s="1423">
        <f t="shared" si="2149"/>
        <v>0</v>
      </c>
      <c r="X1455" s="152"/>
      <c r="Y1455" s="152"/>
      <c r="Z1455" s="152"/>
      <c r="AA1455" s="152"/>
      <c r="AB1455" s="152"/>
    </row>
    <row r="1456" spans="1:28" hidden="1" outlineLevel="1">
      <c r="A1456" s="152"/>
      <c r="B1456" s="190" t="str">
        <f t="shared" ca="1" si="2150"/>
        <v>RL Capex 2024-25</v>
      </c>
      <c r="C1456" s="1429"/>
      <c r="D1456" s="1429"/>
      <c r="E1456" s="1429"/>
      <c r="F1456" s="1429"/>
      <c r="G1456" s="1429"/>
      <c r="H1456" s="1429"/>
      <c r="I1456" s="1429"/>
      <c r="J1456" s="1429"/>
      <c r="K1456" s="1424"/>
      <c r="L1456" s="1428">
        <f>L1419</f>
        <v>0</v>
      </c>
      <c r="M1456" s="1423">
        <f t="shared" si="2139"/>
        <v>0</v>
      </c>
      <c r="N1456" s="1423">
        <f t="shared" si="2140"/>
        <v>0</v>
      </c>
      <c r="O1456" s="1423">
        <f t="shared" si="2141"/>
        <v>0</v>
      </c>
      <c r="P1456" s="1423">
        <f t="shared" si="2142"/>
        <v>0</v>
      </c>
      <c r="Q1456" s="1423">
        <f t="shared" si="2143"/>
        <v>0</v>
      </c>
      <c r="R1456" s="1423">
        <f t="shared" si="2144"/>
        <v>0</v>
      </c>
      <c r="S1456" s="1423">
        <f t="shared" si="2145"/>
        <v>0</v>
      </c>
      <c r="T1456" s="1423">
        <f t="shared" si="2146"/>
        <v>0</v>
      </c>
      <c r="U1456" s="1423">
        <f t="shared" si="2147"/>
        <v>0</v>
      </c>
      <c r="V1456" s="1423">
        <f t="shared" si="2148"/>
        <v>0</v>
      </c>
      <c r="W1456" s="1423">
        <f t="shared" si="2149"/>
        <v>0</v>
      </c>
      <c r="X1456" s="152"/>
      <c r="Y1456" s="152"/>
      <c r="Z1456" s="152"/>
      <c r="AA1456" s="152"/>
      <c r="AB1456" s="152"/>
    </row>
    <row r="1457" spans="1:28" hidden="1" outlineLevel="1">
      <c r="A1457" s="152"/>
      <c r="B1457" s="190" t="str">
        <f t="shared" ca="1" si="2150"/>
        <v>RL Capex 2025-26</v>
      </c>
      <c r="C1457" s="1429"/>
      <c r="D1457" s="1429"/>
      <c r="E1457" s="1429"/>
      <c r="F1457" s="1429"/>
      <c r="G1457" s="1429"/>
      <c r="H1457" s="1429"/>
      <c r="I1457" s="1429"/>
      <c r="J1457" s="1429"/>
      <c r="K1457" s="1429"/>
      <c r="L1457" s="1424"/>
      <c r="M1457" s="1428">
        <f>M1419</f>
        <v>0</v>
      </c>
      <c r="N1457" s="1423">
        <f t="shared" si="2140"/>
        <v>0</v>
      </c>
      <c r="O1457" s="1423">
        <f t="shared" si="2141"/>
        <v>0</v>
      </c>
      <c r="P1457" s="1423">
        <f t="shared" si="2142"/>
        <v>0</v>
      </c>
      <c r="Q1457" s="1423">
        <f t="shared" si="2143"/>
        <v>0</v>
      </c>
      <c r="R1457" s="1423">
        <f t="shared" si="2144"/>
        <v>0</v>
      </c>
      <c r="S1457" s="1423">
        <f t="shared" si="2145"/>
        <v>0</v>
      </c>
      <c r="T1457" s="1423">
        <f t="shared" si="2146"/>
        <v>0</v>
      </c>
      <c r="U1457" s="1423">
        <f t="shared" si="2147"/>
        <v>0</v>
      </c>
      <c r="V1457" s="1423">
        <f t="shared" si="2148"/>
        <v>0</v>
      </c>
      <c r="W1457" s="1423">
        <f t="shared" si="2149"/>
        <v>0</v>
      </c>
      <c r="X1457" s="152"/>
      <c r="Y1457" s="152"/>
      <c r="Z1457" s="152"/>
      <c r="AA1457" s="152"/>
      <c r="AB1457" s="152"/>
    </row>
    <row r="1458" spans="1:28" hidden="1" outlineLevel="1">
      <c r="A1458" s="152"/>
      <c r="B1458" s="190" t="str">
        <f t="shared" ca="1" si="2150"/>
        <v>RL Capex 2026-27</v>
      </c>
      <c r="C1458" s="1429"/>
      <c r="D1458" s="1429"/>
      <c r="E1458" s="1429"/>
      <c r="F1458" s="1429"/>
      <c r="G1458" s="1429"/>
      <c r="H1458" s="1429"/>
      <c r="I1458" s="1429"/>
      <c r="J1458" s="1429"/>
      <c r="K1458" s="1429"/>
      <c r="L1458" s="1429"/>
      <c r="M1458" s="1424"/>
      <c r="N1458" s="1428">
        <f>N1419</f>
        <v>0</v>
      </c>
      <c r="O1458" s="1423">
        <f t="shared" si="2141"/>
        <v>0</v>
      </c>
      <c r="P1458" s="1423">
        <f t="shared" si="2142"/>
        <v>0</v>
      </c>
      <c r="Q1458" s="1423">
        <f t="shared" si="2143"/>
        <v>0</v>
      </c>
      <c r="R1458" s="1423">
        <f t="shared" si="2144"/>
        <v>0</v>
      </c>
      <c r="S1458" s="1423">
        <f t="shared" si="2145"/>
        <v>0</v>
      </c>
      <c r="T1458" s="1423">
        <f t="shared" si="2146"/>
        <v>0</v>
      </c>
      <c r="U1458" s="1423">
        <f t="shared" si="2147"/>
        <v>0</v>
      </c>
      <c r="V1458" s="1423">
        <f t="shared" si="2148"/>
        <v>0</v>
      </c>
      <c r="W1458" s="1423">
        <f t="shared" si="2149"/>
        <v>0</v>
      </c>
      <c r="X1458" s="152"/>
      <c r="Y1458" s="152"/>
      <c r="Z1458" s="152"/>
      <c r="AA1458" s="152"/>
      <c r="AB1458" s="152"/>
    </row>
    <row r="1459" spans="1:28" hidden="1" outlineLevel="1">
      <c r="A1459" s="152"/>
      <c r="B1459" s="190" t="str">
        <f t="shared" ca="1" si="2150"/>
        <v>RL Capex 2027-28</v>
      </c>
      <c r="C1459" s="1429"/>
      <c r="D1459" s="1429"/>
      <c r="E1459" s="1429"/>
      <c r="F1459" s="1429"/>
      <c r="G1459" s="1429"/>
      <c r="H1459" s="1429"/>
      <c r="I1459" s="1429"/>
      <c r="J1459" s="1429"/>
      <c r="K1459" s="1429"/>
      <c r="L1459" s="1429"/>
      <c r="M1459" s="1429"/>
      <c r="N1459" s="1424"/>
      <c r="O1459" s="1428">
        <f>O1419</f>
        <v>0</v>
      </c>
      <c r="P1459" s="1423">
        <f t="shared" si="2142"/>
        <v>0</v>
      </c>
      <c r="Q1459" s="1423">
        <f t="shared" si="2143"/>
        <v>0</v>
      </c>
      <c r="R1459" s="1423">
        <f t="shared" si="2144"/>
        <v>0</v>
      </c>
      <c r="S1459" s="1423">
        <f t="shared" si="2145"/>
        <v>0</v>
      </c>
      <c r="T1459" s="1423">
        <f t="shared" si="2146"/>
        <v>0</v>
      </c>
      <c r="U1459" s="1423">
        <f t="shared" si="2147"/>
        <v>0</v>
      </c>
      <c r="V1459" s="1423">
        <f t="shared" si="2148"/>
        <v>0</v>
      </c>
      <c r="W1459" s="1423">
        <f t="shared" si="2149"/>
        <v>0</v>
      </c>
      <c r="X1459" s="152"/>
      <c r="Y1459" s="152"/>
      <c r="Z1459" s="152"/>
      <c r="AA1459" s="152"/>
      <c r="AB1459" s="152"/>
    </row>
    <row r="1460" spans="1:28" hidden="1" outlineLevel="1">
      <c r="A1460" s="152"/>
      <c r="B1460" s="190" t="str">
        <f t="shared" ca="1" si="2150"/>
        <v>RL Capex 2028-29</v>
      </c>
      <c r="C1460" s="1429"/>
      <c r="D1460" s="1429"/>
      <c r="E1460" s="1429"/>
      <c r="F1460" s="1429"/>
      <c r="G1460" s="1429"/>
      <c r="H1460" s="1429"/>
      <c r="I1460" s="1429"/>
      <c r="J1460" s="1429"/>
      <c r="K1460" s="1429"/>
      <c r="L1460" s="1429"/>
      <c r="M1460" s="1429"/>
      <c r="N1460" s="1429"/>
      <c r="O1460" s="1424"/>
      <c r="P1460" s="1428">
        <f>P1419</f>
        <v>0</v>
      </c>
      <c r="Q1460" s="1423">
        <f t="shared" si="2143"/>
        <v>0</v>
      </c>
      <c r="R1460" s="1423">
        <f t="shared" si="2144"/>
        <v>0</v>
      </c>
      <c r="S1460" s="1423">
        <f t="shared" si="2145"/>
        <v>0</v>
      </c>
      <c r="T1460" s="1423">
        <f t="shared" si="2146"/>
        <v>0</v>
      </c>
      <c r="U1460" s="1423">
        <f t="shared" si="2147"/>
        <v>0</v>
      </c>
      <c r="V1460" s="1423">
        <f t="shared" si="2148"/>
        <v>0</v>
      </c>
      <c r="W1460" s="1423">
        <f t="shared" si="2149"/>
        <v>0</v>
      </c>
      <c r="X1460" s="152"/>
      <c r="Y1460" s="152"/>
      <c r="Z1460" s="152"/>
      <c r="AA1460" s="152"/>
      <c r="AB1460" s="152"/>
    </row>
    <row r="1461" spans="1:28" hidden="1" outlineLevel="1">
      <c r="A1461" s="152"/>
      <c r="B1461" s="190" t="str">
        <f t="shared" ca="1" si="2150"/>
        <v>RL Capex 2029-30</v>
      </c>
      <c r="C1461" s="1429"/>
      <c r="D1461" s="1429"/>
      <c r="E1461" s="1429"/>
      <c r="F1461" s="1429"/>
      <c r="G1461" s="1429"/>
      <c r="H1461" s="1429"/>
      <c r="I1461" s="1429"/>
      <c r="J1461" s="1429"/>
      <c r="K1461" s="1429"/>
      <c r="L1461" s="1429"/>
      <c r="M1461" s="1429"/>
      <c r="N1461" s="1429"/>
      <c r="O1461" s="1429"/>
      <c r="P1461" s="1424"/>
      <c r="Q1461" s="1428">
        <f>Q1419</f>
        <v>0</v>
      </c>
      <c r="R1461" s="1423">
        <f t="shared" si="2144"/>
        <v>0</v>
      </c>
      <c r="S1461" s="1423">
        <f t="shared" si="2145"/>
        <v>0</v>
      </c>
      <c r="T1461" s="1423">
        <f t="shared" si="2146"/>
        <v>0</v>
      </c>
      <c r="U1461" s="1423">
        <f t="shared" si="2147"/>
        <v>0</v>
      </c>
      <c r="V1461" s="1423">
        <f t="shared" si="2148"/>
        <v>0</v>
      </c>
      <c r="W1461" s="1423">
        <f t="shared" si="2149"/>
        <v>0</v>
      </c>
      <c r="X1461" s="152"/>
      <c r="Y1461" s="152"/>
      <c r="Z1461" s="152"/>
      <c r="AA1461" s="152"/>
      <c r="AB1461" s="152"/>
    </row>
    <row r="1462" spans="1:28" hidden="1" outlineLevel="1">
      <c r="A1462" s="152"/>
      <c r="B1462" s="190" t="str">
        <f t="shared" ca="1" si="2150"/>
        <v>RL Capex 2030-31</v>
      </c>
      <c r="C1462" s="1429"/>
      <c r="D1462" s="1429"/>
      <c r="E1462" s="1429"/>
      <c r="F1462" s="1429"/>
      <c r="G1462" s="1429"/>
      <c r="H1462" s="1429"/>
      <c r="I1462" s="1429"/>
      <c r="J1462" s="1429"/>
      <c r="K1462" s="1429"/>
      <c r="L1462" s="1429"/>
      <c r="M1462" s="1429"/>
      <c r="N1462" s="1429"/>
      <c r="O1462" s="1429"/>
      <c r="P1462" s="1429"/>
      <c r="Q1462" s="1424"/>
      <c r="R1462" s="1428">
        <f>R1419</f>
        <v>0</v>
      </c>
      <c r="S1462" s="1423">
        <f t="shared" si="2145"/>
        <v>0</v>
      </c>
      <c r="T1462" s="1423">
        <f t="shared" si="2146"/>
        <v>0</v>
      </c>
      <c r="U1462" s="1423">
        <f t="shared" si="2147"/>
        <v>0</v>
      </c>
      <c r="V1462" s="1423">
        <f t="shared" si="2148"/>
        <v>0</v>
      </c>
      <c r="W1462" s="1423">
        <f t="shared" si="2149"/>
        <v>0</v>
      </c>
      <c r="X1462" s="152"/>
      <c r="Y1462" s="152"/>
      <c r="Z1462" s="152"/>
      <c r="AA1462" s="152"/>
      <c r="AB1462" s="152"/>
    </row>
    <row r="1463" spans="1:28" hidden="1" outlineLevel="1">
      <c r="A1463" s="152"/>
      <c r="B1463" s="190" t="str">
        <f t="shared" ca="1" si="2150"/>
        <v>RL Capex 2031-32</v>
      </c>
      <c r="C1463" s="1429"/>
      <c r="D1463" s="1429"/>
      <c r="E1463" s="1429"/>
      <c r="F1463" s="1429"/>
      <c r="G1463" s="1429"/>
      <c r="H1463" s="1429"/>
      <c r="I1463" s="1429"/>
      <c r="J1463" s="1429"/>
      <c r="K1463" s="1429"/>
      <c r="L1463" s="1429"/>
      <c r="M1463" s="1429"/>
      <c r="N1463" s="1429"/>
      <c r="O1463" s="1429"/>
      <c r="P1463" s="1429"/>
      <c r="Q1463" s="1429"/>
      <c r="R1463" s="1424"/>
      <c r="S1463" s="1428">
        <f>S1419</f>
        <v>0</v>
      </c>
      <c r="T1463" s="1423">
        <f t="shared" si="2146"/>
        <v>0</v>
      </c>
      <c r="U1463" s="1423">
        <f t="shared" si="2147"/>
        <v>0</v>
      </c>
      <c r="V1463" s="1423">
        <f t="shared" si="2148"/>
        <v>0</v>
      </c>
      <c r="W1463" s="1423">
        <f t="shared" si="2149"/>
        <v>0</v>
      </c>
      <c r="X1463" s="152"/>
      <c r="Y1463" s="152"/>
      <c r="Z1463" s="152"/>
      <c r="AA1463" s="152"/>
      <c r="AB1463" s="152"/>
    </row>
    <row r="1464" spans="1:28" hidden="1" outlineLevel="1">
      <c r="A1464" s="152"/>
      <c r="B1464" s="190" t="str">
        <f t="shared" ca="1" si="2150"/>
        <v>RL Capex 2032-33</v>
      </c>
      <c r="C1464" s="1429"/>
      <c r="D1464" s="1429"/>
      <c r="E1464" s="1429"/>
      <c r="F1464" s="1429"/>
      <c r="G1464" s="1429"/>
      <c r="H1464" s="1429"/>
      <c r="I1464" s="1429"/>
      <c r="J1464" s="1429"/>
      <c r="K1464" s="1429"/>
      <c r="L1464" s="1429"/>
      <c r="M1464" s="1429"/>
      <c r="N1464" s="1429"/>
      <c r="O1464" s="1429"/>
      <c r="P1464" s="1429"/>
      <c r="Q1464" s="1429"/>
      <c r="R1464" s="1429"/>
      <c r="S1464" s="1424"/>
      <c r="T1464" s="1428">
        <f>T1419</f>
        <v>0</v>
      </c>
      <c r="U1464" s="1423">
        <f t="shared" si="2147"/>
        <v>0</v>
      </c>
      <c r="V1464" s="1423">
        <f t="shared" si="2148"/>
        <v>0</v>
      </c>
      <c r="W1464" s="1423">
        <f t="shared" si="2149"/>
        <v>0</v>
      </c>
      <c r="X1464" s="152"/>
      <c r="Y1464" s="152"/>
      <c r="Z1464" s="152"/>
      <c r="AA1464" s="152"/>
      <c r="AB1464" s="152"/>
    </row>
    <row r="1465" spans="1:28" hidden="1" outlineLevel="1">
      <c r="A1465" s="152"/>
      <c r="B1465" s="190" t="str">
        <f t="shared" ca="1" si="2150"/>
        <v>RL Capex 2033-34</v>
      </c>
      <c r="C1465" s="1429"/>
      <c r="D1465" s="1429"/>
      <c r="E1465" s="1429"/>
      <c r="F1465" s="1429"/>
      <c r="G1465" s="1429"/>
      <c r="H1465" s="1429"/>
      <c r="I1465" s="1429"/>
      <c r="J1465" s="1429"/>
      <c r="K1465" s="1429"/>
      <c r="L1465" s="1429"/>
      <c r="M1465" s="1429"/>
      <c r="N1465" s="1429"/>
      <c r="O1465" s="1429"/>
      <c r="P1465" s="1429"/>
      <c r="Q1465" s="1429"/>
      <c r="R1465" s="1429"/>
      <c r="S1465" s="1429"/>
      <c r="T1465" s="1424"/>
      <c r="U1465" s="1428">
        <f>U1419</f>
        <v>0</v>
      </c>
      <c r="V1465" s="1423">
        <f t="shared" si="2148"/>
        <v>0</v>
      </c>
      <c r="W1465" s="1423">
        <f t="shared" si="2149"/>
        <v>0</v>
      </c>
      <c r="X1465" s="152"/>
      <c r="Y1465" s="152"/>
      <c r="Z1465" s="152"/>
      <c r="AA1465" s="152"/>
      <c r="AB1465" s="152"/>
    </row>
    <row r="1466" spans="1:28" hidden="1" outlineLevel="1">
      <c r="A1466" s="152"/>
      <c r="B1466" s="190" t="str">
        <f t="shared" ca="1" si="2150"/>
        <v>RL Capex 2034-35</v>
      </c>
      <c r="C1466" s="1429"/>
      <c r="D1466" s="1429"/>
      <c r="E1466" s="1429"/>
      <c r="F1466" s="1429"/>
      <c r="G1466" s="1429"/>
      <c r="H1466" s="1429"/>
      <c r="I1466" s="1429"/>
      <c r="J1466" s="1429"/>
      <c r="K1466" s="1429"/>
      <c r="L1466" s="1429"/>
      <c r="M1466" s="1429"/>
      <c r="N1466" s="1429"/>
      <c r="O1466" s="1429"/>
      <c r="P1466" s="1429"/>
      <c r="Q1466" s="1429"/>
      <c r="R1466" s="1429"/>
      <c r="S1466" s="1429"/>
      <c r="T1466" s="1429"/>
      <c r="U1466" s="1424"/>
      <c r="V1466" s="1428">
        <f>V1419</f>
        <v>0</v>
      </c>
      <c r="W1466" s="1423">
        <f>IF(V1466="n/a","n/a",MAX(0,V1466-1))</f>
        <v>0</v>
      </c>
      <c r="X1466" s="152"/>
      <c r="Y1466" s="152"/>
      <c r="Z1466" s="152"/>
      <c r="AA1466" s="152"/>
      <c r="AB1466" s="152"/>
    </row>
    <row r="1467" spans="1:28" hidden="1" outlineLevel="1">
      <c r="A1467" s="152"/>
      <c r="B1467" s="190" t="str">
        <f t="shared" ca="1" si="2150"/>
        <v>RL Capex 2035-36</v>
      </c>
      <c r="C1467" s="1429"/>
      <c r="D1467" s="1429"/>
      <c r="E1467" s="1429"/>
      <c r="F1467" s="1429"/>
      <c r="G1467" s="1429"/>
      <c r="H1467" s="1429"/>
      <c r="I1467" s="1429"/>
      <c r="J1467" s="1429"/>
      <c r="K1467" s="1429"/>
      <c r="L1467" s="1429"/>
      <c r="M1467" s="1429"/>
      <c r="N1467" s="1429"/>
      <c r="O1467" s="1429"/>
      <c r="P1467" s="1429"/>
      <c r="Q1467" s="1429"/>
      <c r="R1467" s="1429"/>
      <c r="S1467" s="1429"/>
      <c r="T1467" s="1429"/>
      <c r="U1467" s="1429"/>
      <c r="V1467" s="1424"/>
      <c r="W1467" s="1423">
        <f>W1419</f>
        <v>0</v>
      </c>
      <c r="X1467" s="152"/>
      <c r="Y1467" s="152"/>
      <c r="Z1467" s="152"/>
      <c r="AA1467" s="152"/>
      <c r="AB1467" s="152"/>
    </row>
    <row r="1468" spans="1:28" hidden="1" outlineLevel="1">
      <c r="A1468" s="152"/>
      <c r="B1468" s="200"/>
      <c r="C1468" s="1423"/>
      <c r="D1468" s="1423"/>
      <c r="E1468" s="1423"/>
      <c r="F1468" s="1423"/>
      <c r="G1468" s="1423"/>
      <c r="H1468" s="1423"/>
      <c r="I1468" s="1423"/>
      <c r="J1468" s="1423"/>
      <c r="K1468" s="1423"/>
      <c r="L1468" s="1423"/>
      <c r="M1468" s="1423"/>
      <c r="N1468" s="1423"/>
      <c r="O1468" s="1423"/>
      <c r="P1468" s="1423"/>
      <c r="Q1468" s="1423"/>
      <c r="R1468" s="1423"/>
      <c r="S1468" s="1423"/>
      <c r="T1468" s="1423"/>
      <c r="U1468" s="1423"/>
      <c r="V1468" s="1423"/>
      <c r="W1468" s="1423"/>
      <c r="X1468" s="152"/>
      <c r="Y1468" s="152"/>
      <c r="Z1468" s="152"/>
      <c r="AA1468" s="152"/>
      <c r="AB1468" s="152"/>
    </row>
    <row r="1469" spans="1:28" collapsed="1">
      <c r="A1469" s="194"/>
      <c r="B1469" s="204" t="s">
        <v>123</v>
      </c>
      <c r="C1469" s="1430">
        <f ca="1">(IF(OR($C1419&lt;&gt;"n/a",C1419&lt;&gt;"n/a"),IF(SUM(C1422:C1444)=0,0,IF((SUMPRODUCT(C1422:C1444,C1446:C1468)/SUM(C1422:C1444))&lt;0,1,(SUMPRODUCT(C1422:C1444,C1446:C1468)/SUM(C1422:C1444)))),"n/a"))</f>
        <v>0</v>
      </c>
      <c r="D1469" s="1430">
        <f ca="1">(IF(OR($C1419&lt;&gt;"n/a",D1419&lt;&gt;"n/a"),IF(SUM(D1422:D1444)=0,0,IF((SUMPRODUCT(D1422:D1444,D1446:D1468)/SUM(D1422:D1444))&lt;0,1,(SUMPRODUCT(D1422:D1444,D1446:D1468)/SUM(D1422:D1444)))),"n/a"))</f>
        <v>0</v>
      </c>
      <c r="E1469" s="1430">
        <f t="shared" ref="E1469:W1469" ca="1" si="2151">(IF(OR($C1419&lt;&gt;"n/a",E1419&lt;&gt;"n/a"),IF(SUM(E1422:E1444)=0,0,IF((SUMPRODUCT(E1422:E1444,E1446:E1468)/SUM(E1422:E1444))&lt;0,1,(SUMPRODUCT(E1422:E1444,E1446:E1468)/SUM(E1422:E1444)))),"n/a"))</f>
        <v>0</v>
      </c>
      <c r="F1469" s="1430">
        <f t="shared" ca="1" si="2151"/>
        <v>0</v>
      </c>
      <c r="G1469" s="1430">
        <f t="shared" ca="1" si="2151"/>
        <v>0</v>
      </c>
      <c r="H1469" s="1430">
        <f t="shared" ca="1" si="2151"/>
        <v>0</v>
      </c>
      <c r="I1469" s="1430">
        <f t="shared" ca="1" si="2151"/>
        <v>0</v>
      </c>
      <c r="J1469" s="1430">
        <f t="shared" ca="1" si="2151"/>
        <v>0</v>
      </c>
      <c r="K1469" s="1430">
        <f t="shared" ca="1" si="2151"/>
        <v>0</v>
      </c>
      <c r="L1469" s="1430">
        <f t="shared" ca="1" si="2151"/>
        <v>0</v>
      </c>
      <c r="M1469" s="1430">
        <f t="shared" ca="1" si="2151"/>
        <v>0</v>
      </c>
      <c r="N1469" s="1430">
        <f t="shared" ca="1" si="2151"/>
        <v>0</v>
      </c>
      <c r="O1469" s="1430">
        <f t="shared" ca="1" si="2151"/>
        <v>0</v>
      </c>
      <c r="P1469" s="1430">
        <f t="shared" ca="1" si="2151"/>
        <v>0</v>
      </c>
      <c r="Q1469" s="1430">
        <f t="shared" ca="1" si="2151"/>
        <v>0</v>
      </c>
      <c r="R1469" s="1430">
        <f t="shared" ca="1" si="2151"/>
        <v>0</v>
      </c>
      <c r="S1469" s="1430">
        <f t="shared" ca="1" si="2151"/>
        <v>0</v>
      </c>
      <c r="T1469" s="1430">
        <f t="shared" ca="1" si="2151"/>
        <v>0</v>
      </c>
      <c r="U1469" s="1430">
        <f t="shared" ca="1" si="2151"/>
        <v>0</v>
      </c>
      <c r="V1469" s="1430">
        <f t="shared" ca="1" si="2151"/>
        <v>0</v>
      </c>
      <c r="W1469" s="1430">
        <f t="shared" ca="1" si="2151"/>
        <v>0</v>
      </c>
      <c r="X1469" s="152"/>
      <c r="Y1469" s="152"/>
      <c r="Z1469" s="152"/>
      <c r="AA1469" s="152"/>
      <c r="AB1469" s="152"/>
    </row>
    <row r="1470" spans="1:28">
      <c r="A1470" s="152"/>
      <c r="B1470" s="152"/>
      <c r="C1470" s="1423"/>
      <c r="D1470" s="1423"/>
      <c r="E1470" s="1423"/>
      <c r="F1470" s="1423"/>
      <c r="G1470" s="1423"/>
      <c r="H1470" s="1423"/>
      <c r="I1470" s="1423"/>
      <c r="J1470" s="1423"/>
      <c r="K1470" s="1423"/>
      <c r="L1470" s="1423"/>
      <c r="M1470" s="1423"/>
      <c r="N1470" s="1423"/>
      <c r="O1470" s="1423"/>
      <c r="P1470" s="1423"/>
      <c r="Q1470" s="1423"/>
      <c r="R1470" s="1423"/>
      <c r="S1470" s="1423"/>
      <c r="T1470" s="1423"/>
      <c r="U1470" s="1423"/>
      <c r="V1470" s="1423"/>
      <c r="W1470" s="1423"/>
      <c r="X1470" s="152"/>
      <c r="Y1470" s="152"/>
      <c r="Z1470" s="152"/>
      <c r="AA1470" s="152"/>
      <c r="AB1470" s="152"/>
    </row>
    <row r="1471" spans="1:28">
      <c r="A1471" s="269" t="s">
        <v>62</v>
      </c>
      <c r="B1471" s="270">
        <f>VLOOKUP($A1471,'RFM input'!$E$7:$F$56,2,FALSE)</f>
        <v>0</v>
      </c>
      <c r="C1471" s="1431"/>
      <c r="D1471" s="1431"/>
      <c r="E1471" s="1432"/>
      <c r="F1471" s="1432"/>
      <c r="G1471" s="1432"/>
      <c r="H1471" s="1432"/>
      <c r="I1471" s="1432"/>
      <c r="J1471" s="1432"/>
      <c r="K1471" s="1432"/>
      <c r="L1471" s="1432"/>
      <c r="M1471" s="1432"/>
      <c r="N1471" s="1432"/>
      <c r="O1471" s="1432"/>
      <c r="P1471" s="1432"/>
      <c r="Q1471" s="1432"/>
      <c r="R1471" s="1432"/>
      <c r="S1471" s="1432"/>
      <c r="T1471" s="1432"/>
      <c r="U1471" s="1432"/>
      <c r="V1471" s="1432"/>
      <c r="W1471" s="1432"/>
      <c r="X1471" s="152"/>
      <c r="Y1471" s="152"/>
      <c r="Z1471" s="152"/>
      <c r="AA1471" s="152"/>
      <c r="AB1471" s="152"/>
    </row>
    <row r="1472" spans="1:28">
      <c r="A1472" s="215">
        <f>VALUE(REPLACE(A1471,1,12,""))</f>
        <v>28</v>
      </c>
      <c r="B1472" s="193" t="s">
        <v>126</v>
      </c>
      <c r="C1472" s="1416">
        <f ca="1">IF($C$8='Capital Base roll forward'!$H$4,OFFSET('Capital Base roll forward'!$H$717,'RAB remaining lives'!A1472,0),"enter input")</f>
        <v>0</v>
      </c>
      <c r="D1472" s="1417">
        <f>IF(LEFT(D$6,4)&lt;LEFT('RFM input'!$G$60,4),"enter input",IF(LEFT(D$6,4)&gt;LEFT('RFM input'!$Q$60,4),0,INDEX('RFM input'!$G$61:$Q$110,$A1472,MATCH(D$6,'RFM input'!$G$60:$Q$60,0))
-INDEX('RFM input'!$G$115:$Q$164,$A1472,MATCH(D$6,'RFM input'!$G$60:$Q$60,0))
-INDEX('RFM input'!$G$169:$Q$218,$A1472,MATCH(D$6,'RFM input'!$G$60:$Q$60,0))))</f>
        <v>0</v>
      </c>
      <c r="E1472" s="1417">
        <f>IF(LEFT(E$6,4)&lt;LEFT('RFM input'!$G$60,4),"enter input",IF(LEFT(E$6,4)&gt;LEFT('RFM input'!$Q$60,4),0,INDEX('RFM input'!$G$61:$Q$110,$A1472,MATCH(E$6,'RFM input'!$G$60:$Q$60,0))
-INDEX('RFM input'!$G$115:$Q$164,$A1472,MATCH(E$6,'RFM input'!$G$60:$Q$60,0))
-INDEX('RFM input'!$G$169:$Q$218,$A1472,MATCH(E$6,'RFM input'!$G$60:$Q$60,0))))</f>
        <v>0</v>
      </c>
      <c r="F1472" s="1417">
        <f>IF(LEFT(F$6,4)&lt;LEFT('RFM input'!$G$60,4),"enter input",IF(LEFT(F$6,4)&gt;LEFT('RFM input'!$Q$60,4),0,INDEX('RFM input'!$G$61:$Q$110,$A1472,MATCH(F$6,'RFM input'!$G$60:$Q$60,0))
-INDEX('RFM input'!$G$115:$Q$164,$A1472,MATCH(F$6,'RFM input'!$G$60:$Q$60,0))
-INDEX('RFM input'!$G$169:$Q$218,$A1472,MATCH(F$6,'RFM input'!$G$60:$Q$60,0))))</f>
        <v>0</v>
      </c>
      <c r="G1472" s="1417">
        <f>IF(LEFT(G$6,4)&lt;LEFT('RFM input'!$G$60,4),"enter input",IF(LEFT(G$6,4)&gt;LEFT('RFM input'!$Q$60,4),0,INDEX('RFM input'!$G$61:$Q$110,$A1472,MATCH(G$6,'RFM input'!$G$60:$Q$60,0))
-INDEX('RFM input'!$G$115:$Q$164,$A1472,MATCH(G$6,'RFM input'!$G$60:$Q$60,0))
-INDEX('RFM input'!$G$169:$Q$218,$A1472,MATCH(G$6,'RFM input'!$G$60:$Q$60,0))))</f>
        <v>0</v>
      </c>
      <c r="H1472" s="1417">
        <f>IF(LEFT(H$6,4)&lt;LEFT('RFM input'!$G$60,4),"enter input",IF(LEFT(H$6,4)&gt;LEFT('RFM input'!$Q$60,4),0,INDEX('RFM input'!$G$61:$Q$110,$A1472,MATCH(H$6,'RFM input'!$G$60:$Q$60,0))
-INDEX('RFM input'!$G$115:$Q$164,$A1472,MATCH(H$6,'RFM input'!$G$60:$Q$60,0))
-INDEX('RFM input'!$G$169:$Q$218,$A1472,MATCH(H$6,'RFM input'!$G$60:$Q$60,0))))</f>
        <v>0</v>
      </c>
      <c r="I1472" s="1417">
        <f>IF(LEFT(I$6,4)&lt;LEFT('RFM input'!$G$60,4),"enter input",IF(LEFT(I$6,4)&gt;LEFT('RFM input'!$Q$60,4),0,INDEX('RFM input'!$G$61:$Q$110,$A1472,MATCH(I$6,'RFM input'!$G$60:$Q$60,0))
-INDEX('RFM input'!$G$115:$Q$164,$A1472,MATCH(I$6,'RFM input'!$G$60:$Q$60,0))
-INDEX('RFM input'!$G$169:$Q$218,$A1472,MATCH(I$6,'RFM input'!$G$60:$Q$60,0))))</f>
        <v>0</v>
      </c>
      <c r="J1472" s="1417">
        <f>IF(LEFT(J$6,4)&lt;LEFT('RFM input'!$G$60,4),"enter input",IF(LEFT(J$6,4)&gt;LEFT('RFM input'!$Q$60,4),0,INDEX('RFM input'!$G$61:$Q$110,$A1472,MATCH(J$6,'RFM input'!$G$60:$Q$60,0))
-INDEX('RFM input'!$G$115:$Q$164,$A1472,MATCH(J$6,'RFM input'!$G$60:$Q$60,0))
-INDEX('RFM input'!$G$169:$Q$218,$A1472,MATCH(J$6,'RFM input'!$G$60:$Q$60,0))))</f>
        <v>0</v>
      </c>
      <c r="K1472" s="1417">
        <f>IF(LEFT(K$6,4)&lt;LEFT('RFM input'!$G$60,4),"enter input",IF(LEFT(K$6,4)&gt;LEFT('RFM input'!$Q$60,4),0,INDEX('RFM input'!$G$61:$Q$110,$A1472,MATCH(K$6,'RFM input'!$G$60:$Q$60,0))
-INDEX('RFM input'!$G$115:$Q$164,$A1472,MATCH(K$6,'RFM input'!$G$60:$Q$60,0))
-INDEX('RFM input'!$G$169:$Q$218,$A1472,MATCH(K$6,'RFM input'!$G$60:$Q$60,0))))</f>
        <v>0</v>
      </c>
      <c r="L1472" s="1417">
        <f>IF(LEFT(L$6,4)&lt;LEFT('RFM input'!$G$60,4),"enter input",IF(LEFT(L$6,4)&gt;LEFT('RFM input'!$Q$60,4),0,INDEX('RFM input'!$G$61:$Q$110,$A1472,MATCH(L$6,'RFM input'!$G$60:$Q$60,0))
-INDEX('RFM input'!$G$115:$Q$164,$A1472,MATCH(L$6,'RFM input'!$G$60:$Q$60,0))
-INDEX('RFM input'!$G$169:$Q$218,$A1472,MATCH(L$6,'RFM input'!$G$60:$Q$60,0))))</f>
        <v>0</v>
      </c>
      <c r="M1472" s="1417">
        <f>IF(LEFT(M$6,4)&lt;LEFT('RFM input'!$G$60,4),"enter input",IF(LEFT(M$6,4)&gt;LEFT('RFM input'!$Q$60,4),0,INDEX('RFM input'!$G$61:$Q$110,$A1472,MATCH(M$6,'RFM input'!$G$60:$Q$60,0))
-INDEX('RFM input'!$G$115:$Q$164,$A1472,MATCH(M$6,'RFM input'!$G$60:$Q$60,0))
-INDEX('RFM input'!$G$169:$Q$218,$A1472,MATCH(M$6,'RFM input'!$G$60:$Q$60,0))))</f>
        <v>0</v>
      </c>
      <c r="N1472" s="1417">
        <f>IF(LEFT(N$6,4)&lt;LEFT('RFM input'!$G$60,4),"enter input",IF(LEFT(N$6,4)&gt;LEFT('RFM input'!$Q$60,4),0,INDEX('RFM input'!$G$61:$Q$110,$A1472,MATCH(N$6,'RFM input'!$G$60:$Q$60,0))
-INDEX('RFM input'!$G$115:$Q$164,$A1472,MATCH(N$6,'RFM input'!$G$60:$Q$60,0))
-INDEX('RFM input'!$G$169:$Q$218,$A1472,MATCH(N$6,'RFM input'!$G$60:$Q$60,0))))</f>
        <v>0</v>
      </c>
      <c r="O1472" s="1417">
        <f>IF(LEFT(O$6,4)&lt;LEFT('RFM input'!$G$60,4),"enter input",IF(LEFT(O$6,4)&gt;LEFT('RFM input'!$Q$60,4),0,INDEX('RFM input'!$G$61:$Q$110,$A1472,MATCH(O$6,'RFM input'!$G$60:$Q$60,0))
-INDEX('RFM input'!$G$115:$Q$164,$A1472,MATCH(O$6,'RFM input'!$G$60:$Q$60,0))
-INDEX('RFM input'!$G$169:$Q$218,$A1472,MATCH(O$6,'RFM input'!$G$60:$Q$60,0))))</f>
        <v>0</v>
      </c>
      <c r="P1472" s="1417">
        <f>IF(LEFT(P$6,4)&lt;LEFT('RFM input'!$G$60,4),"enter input",IF(LEFT(P$6,4)&gt;LEFT('RFM input'!$Q$60,4),0,INDEX('RFM input'!$G$61:$Q$110,$A1472,MATCH(P$6,'RFM input'!$G$60:$Q$60,0))
-INDEX('RFM input'!$G$115:$Q$164,$A1472,MATCH(P$6,'RFM input'!$G$60:$Q$60,0))
-INDEX('RFM input'!$G$169:$Q$218,$A1472,MATCH(P$6,'RFM input'!$G$60:$Q$60,0))))</f>
        <v>0</v>
      </c>
      <c r="Q1472" s="1417">
        <f>IF(LEFT(Q$6,4)&lt;LEFT('RFM input'!$G$60,4),"enter input",IF(LEFT(Q$6,4)&gt;LEFT('RFM input'!$Q$60,4),0,INDEX('RFM input'!$G$61:$Q$110,$A1472,MATCH(Q$6,'RFM input'!$G$60:$Q$60,0))
-INDEX('RFM input'!$G$115:$Q$164,$A1472,MATCH(Q$6,'RFM input'!$G$60:$Q$60,0))
-INDEX('RFM input'!$G$169:$Q$218,$A1472,MATCH(Q$6,'RFM input'!$G$60:$Q$60,0))))</f>
        <v>0</v>
      </c>
      <c r="R1472" s="1417">
        <f>IF(LEFT(R$6,4)&lt;LEFT('RFM input'!$G$60,4),"enter input",IF(LEFT(R$6,4)&gt;LEFT('RFM input'!$Q$60,4),0,INDEX('RFM input'!$G$61:$Q$110,$A1472,MATCH(R$6,'RFM input'!$G$60:$Q$60,0))
-INDEX('RFM input'!$G$115:$Q$164,$A1472,MATCH(R$6,'RFM input'!$G$60:$Q$60,0))
-INDEX('RFM input'!$G$169:$Q$218,$A1472,MATCH(R$6,'RFM input'!$G$60:$Q$60,0))))</f>
        <v>0</v>
      </c>
      <c r="S1472" s="1417">
        <f>IF(LEFT(S$6,4)&lt;LEFT('RFM input'!$G$60,4),"enter input",IF(LEFT(S$6,4)&gt;LEFT('RFM input'!$Q$60,4),0,INDEX('RFM input'!$G$61:$Q$110,$A1472,MATCH(S$6,'RFM input'!$G$60:$Q$60,0))
-INDEX('RFM input'!$G$115:$Q$164,$A1472,MATCH(S$6,'RFM input'!$G$60:$Q$60,0))
-INDEX('RFM input'!$G$169:$Q$218,$A1472,MATCH(S$6,'RFM input'!$G$60:$Q$60,0))))</f>
        <v>0</v>
      </c>
      <c r="T1472" s="1417">
        <f>IF(LEFT(T$6,4)&lt;LEFT('RFM input'!$G$60,4),"enter input",IF(LEFT(T$6,4)&gt;LEFT('RFM input'!$Q$60,4),0,INDEX('RFM input'!$G$61:$Q$110,$A1472,MATCH(T$6,'RFM input'!$G$60:$Q$60,0))
-INDEX('RFM input'!$G$115:$Q$164,$A1472,MATCH(T$6,'RFM input'!$G$60:$Q$60,0))
-INDEX('RFM input'!$G$169:$Q$218,$A1472,MATCH(T$6,'RFM input'!$G$60:$Q$60,0))))</f>
        <v>0</v>
      </c>
      <c r="U1472" s="1417">
        <f>IF(LEFT(U$6,4)&lt;LEFT('RFM input'!$G$60,4),"enter input",IF(LEFT(U$6,4)&gt;LEFT('RFM input'!$Q$60,4),0,INDEX('RFM input'!$G$61:$Q$110,$A1472,MATCH(U$6,'RFM input'!$G$60:$Q$60,0))
-INDEX('RFM input'!$G$115:$Q$164,$A1472,MATCH(U$6,'RFM input'!$G$60:$Q$60,0))
-INDEX('RFM input'!$G$169:$Q$218,$A1472,MATCH(U$6,'RFM input'!$G$60:$Q$60,0))))</f>
        <v>0</v>
      </c>
      <c r="V1472" s="1417">
        <f>IF(LEFT(V$6,4)&lt;LEFT('RFM input'!$G$60,4),"enter input",IF(LEFT(V$6,4)&gt;LEFT('RFM input'!$Q$60,4),0,INDEX('RFM input'!$G$61:$Q$110,$A1472,MATCH(V$6,'RFM input'!$G$60:$Q$60,0))
-INDEX('RFM input'!$G$115:$Q$164,$A1472,MATCH(V$6,'RFM input'!$G$60:$Q$60,0))
-INDEX('RFM input'!$G$169:$Q$218,$A1472,MATCH(V$6,'RFM input'!$G$60:$Q$60,0))))</f>
        <v>0</v>
      </c>
      <c r="W1472" s="1417">
        <f>IF(LEFT(W$6,4)&lt;LEFT('RFM input'!$G$60,4),"enter input",IF(LEFT(W$6,4)&gt;LEFT('RFM input'!$Q$60,4),0,INDEX('RFM input'!$G$61:$Q$110,$A1472,MATCH(W$6,'RFM input'!$G$60:$Q$60,0))
-INDEX('RFM input'!$G$115:$Q$164,$A1472,MATCH(W$6,'RFM input'!$G$60:$Q$60,0))
-INDEX('RFM input'!$G$169:$Q$218,$A1472,MATCH(W$6,'RFM input'!$G$60:$Q$60,0))))</f>
        <v>0</v>
      </c>
      <c r="X1472" s="152"/>
      <c r="Y1472" s="152"/>
      <c r="Z1472" s="152"/>
      <c r="AA1472" s="152"/>
      <c r="AB1472" s="152"/>
    </row>
    <row r="1473" spans="1:28">
      <c r="A1473" s="152"/>
      <c r="B1473" s="152" t="s">
        <v>204</v>
      </c>
      <c r="C1473" s="1418">
        <f ca="1">IF($C$8='Capital Base roll forward'!$H$4,OFFSET('RFM input'!$J$6,'RAB remaining lives'!A1472,0),"enter input")</f>
        <v>0</v>
      </c>
      <c r="D1473" s="1417">
        <f>IF(LEFT(D$6,4)&lt;=LEFT('RFM input'!$G$60,4),"enter input",IF(LEFT(D$6,4)&gt;LEFT('RFM input'!$Q$60,4),0,IF(MATCH(D$6,'RFM input'!$H$60:$Q$60,0),INDEX('RFM input'!$K$7:$K$56,$A1472,1))))</f>
        <v>0</v>
      </c>
      <c r="E1473" s="1417">
        <f>IF(LEFT(E$6,4)&lt;=LEFT('RFM input'!$G$60,4),"enter input",IF(LEFT(E$6,4)&gt;LEFT('RFM input'!$Q$60,4),0,IF(MATCH(E$6,'RFM input'!$H$60:$Q$60,0),INDEX('RFM input'!$K$7:$K$56,$A1472,1))))</f>
        <v>0</v>
      </c>
      <c r="F1473" s="1417">
        <f>IF(LEFT(F$6,4)&lt;=LEFT('RFM input'!$G$60,4),"enter input",IF(LEFT(F$6,4)&gt;LEFT('RFM input'!$Q$60,4),0,IF(MATCH(F$6,'RFM input'!$H$60:$Q$60,0),INDEX('RFM input'!$K$7:$K$56,$A1472,1))))</f>
        <v>0</v>
      </c>
      <c r="G1473" s="1417">
        <f>IF(LEFT(G$6,4)&lt;=LEFT('RFM input'!$G$60,4),"enter input",IF(LEFT(G$6,4)&gt;LEFT('RFM input'!$Q$60,4),0,IF(MATCH(G$6,'RFM input'!$H$60:$Q$60,0),INDEX('RFM input'!$K$7:$K$56,$A1472,1))))</f>
        <v>0</v>
      </c>
      <c r="H1473" s="1417">
        <f>IF(LEFT(H$6,4)&lt;=LEFT('RFM input'!$G$60,4),"enter input",IF(LEFT(H$6,4)&gt;LEFT('RFM input'!$Q$60,4),0,IF(MATCH(H$6,'RFM input'!$H$60:$Q$60,0),INDEX('RFM input'!$K$7:$K$56,$A1472,1))))</f>
        <v>0</v>
      </c>
      <c r="I1473" s="1417">
        <f>IF(LEFT(I$6,4)&lt;=LEFT('RFM input'!$G$60,4),"enter input",IF(LEFT(I$6,4)&gt;LEFT('RFM input'!$Q$60,4),0,IF(MATCH(I$6,'RFM input'!$H$60:$Q$60,0),INDEX('RFM input'!$K$7:$K$56,$A1472,1))))</f>
        <v>0</v>
      </c>
      <c r="J1473" s="1417">
        <f>IF(LEFT(J$6,4)&lt;=LEFT('RFM input'!$G$60,4),"enter input",IF(LEFT(J$6,4)&gt;LEFT('RFM input'!$Q$60,4),0,IF(MATCH(J$6,'RFM input'!$H$60:$Q$60,0),INDEX('RFM input'!$K$7:$K$56,$A1472,1))))</f>
        <v>0</v>
      </c>
      <c r="K1473" s="1417">
        <f>IF(LEFT(K$6,4)&lt;=LEFT('RFM input'!$G$60,4),"enter input",IF(LEFT(K$6,4)&gt;LEFT('RFM input'!$Q$60,4),0,IF(MATCH(K$6,'RFM input'!$H$60:$Q$60,0),INDEX('RFM input'!$K$7:$K$56,$A1472,1))))</f>
        <v>0</v>
      </c>
      <c r="L1473" s="1417">
        <f>IF(LEFT(L$6,4)&lt;=LEFT('RFM input'!$G$60,4),"enter input",IF(LEFT(L$6,4)&gt;LEFT('RFM input'!$Q$60,4),0,IF(MATCH(L$6,'RFM input'!$H$60:$Q$60,0),INDEX('RFM input'!$K$7:$K$56,$A1472,1))))</f>
        <v>0</v>
      </c>
      <c r="M1473" s="1417">
        <f>IF(LEFT(M$6,4)&lt;=LEFT('RFM input'!$G$60,4),"enter input",IF(LEFT(M$6,4)&gt;LEFT('RFM input'!$Q$60,4),0,IF(MATCH(M$6,'RFM input'!$H$60:$Q$60,0),INDEX('RFM input'!$K$7:$K$56,$A1472,1))))</f>
        <v>0</v>
      </c>
      <c r="N1473" s="1417">
        <f>IF(LEFT(N$6,4)&lt;=LEFT('RFM input'!$G$60,4),"enter input",IF(LEFT(N$6,4)&gt;LEFT('RFM input'!$Q$60,4),0,IF(MATCH(N$6,'RFM input'!$H$60:$Q$60,0),INDEX('RFM input'!$K$7:$K$56,$A1472,1))))</f>
        <v>0</v>
      </c>
      <c r="O1473" s="1417">
        <f>IF(LEFT(O$6,4)&lt;=LEFT('RFM input'!$G$60,4),"enter input",IF(LEFT(O$6,4)&gt;LEFT('RFM input'!$Q$60,4),0,IF(MATCH(O$6,'RFM input'!$H$60:$Q$60,0),INDEX('RFM input'!$K$7:$K$56,$A1472,1))))</f>
        <v>0</v>
      </c>
      <c r="P1473" s="1417">
        <f>IF(LEFT(P$6,4)&lt;=LEFT('RFM input'!$G$60,4),"enter input",IF(LEFT(P$6,4)&gt;LEFT('RFM input'!$Q$60,4),0,IF(MATCH(P$6,'RFM input'!$H$60:$Q$60,0),INDEX('RFM input'!$K$7:$K$56,$A1472,1))))</f>
        <v>0</v>
      </c>
      <c r="Q1473" s="1417">
        <f>IF(LEFT(Q$6,4)&lt;=LEFT('RFM input'!$G$60,4),"enter input",IF(LEFT(Q$6,4)&gt;LEFT('RFM input'!$Q$60,4),0,IF(MATCH(Q$6,'RFM input'!$H$60:$Q$60,0),INDEX('RFM input'!$K$7:$K$56,$A1472,1))))</f>
        <v>0</v>
      </c>
      <c r="R1473" s="1417">
        <f>IF(LEFT(R$6,4)&lt;=LEFT('RFM input'!$G$60,4),"enter input",IF(LEFT(R$6,4)&gt;LEFT('RFM input'!$Q$60,4),0,IF(MATCH(R$6,'RFM input'!$H$60:$Q$60,0),INDEX('RFM input'!$K$7:$K$56,$A1472,1))))</f>
        <v>0</v>
      </c>
      <c r="S1473" s="1417">
        <f>IF(LEFT(S$6,4)&lt;=LEFT('RFM input'!$G$60,4),"enter input",IF(LEFT(S$6,4)&gt;LEFT('RFM input'!$Q$60,4),0,IF(MATCH(S$6,'RFM input'!$H$60:$Q$60,0),INDEX('RFM input'!$K$7:$K$56,$A1472,1))))</f>
        <v>0</v>
      </c>
      <c r="T1473" s="1417">
        <f>IF(LEFT(T$6,4)&lt;=LEFT('RFM input'!$G$60,4),"enter input",IF(LEFT(T$6,4)&gt;LEFT('RFM input'!$Q$60,4),0,IF(MATCH(T$6,'RFM input'!$H$60:$Q$60,0),INDEX('RFM input'!$K$7:$K$56,$A1472,1))))</f>
        <v>0</v>
      </c>
      <c r="U1473" s="1417">
        <f>IF(LEFT(U$6,4)&lt;=LEFT('RFM input'!$G$60,4),"enter input",IF(LEFT(U$6,4)&gt;LEFT('RFM input'!$Q$60,4),0,IF(MATCH(U$6,'RFM input'!$H$60:$Q$60,0),INDEX('RFM input'!$K$7:$K$56,$A1472,1))))</f>
        <v>0</v>
      </c>
      <c r="V1473" s="1417">
        <f>IF(LEFT(V$6,4)&lt;=LEFT('RFM input'!$G$60,4),"enter input",IF(LEFT(V$6,4)&gt;LEFT('RFM input'!$Q$60,4),0,IF(MATCH(V$6,'RFM input'!$H$60:$Q$60,0),INDEX('RFM input'!$K$7:$K$56,$A1472,1))))</f>
        <v>0</v>
      </c>
      <c r="W1473" s="1417">
        <f>IF(LEFT(W$6,4)&lt;=LEFT('RFM input'!$G$60,4),"enter input",IF(LEFT(W$6,4)&gt;LEFT('RFM input'!$Q$60,4),0,IF(MATCH(W$6,'RFM input'!$H$60:$Q$60,0),INDEX('RFM input'!$K$7:$K$56,$A1472,1))))</f>
        <v>0</v>
      </c>
      <c r="X1473" s="152"/>
      <c r="Y1473" s="152"/>
      <c r="Z1473" s="152"/>
      <c r="AA1473" s="152"/>
      <c r="AB1473" s="152"/>
    </row>
    <row r="1474" spans="1:28">
      <c r="A1474" s="152"/>
      <c r="B1474" s="177" t="s">
        <v>191</v>
      </c>
      <c r="C1474" s="1419"/>
      <c r="D1474" s="1420">
        <f ca="1">IF(LEFT(D$6,4)&lt;=LEFT('RFM input'!$G$60,4),"enter input",IF(LEFT(D$6,4)&gt;LEFT('RFM input'!$Q$60,4),0,IF(D$6=(OFFSET('RFM input'!$G$60,0,'RFM input'!$V$7)),OFFSET('RFM input'!$G$411,$A1472,0),0)))</f>
        <v>0</v>
      </c>
      <c r="E1474" s="1417">
        <f ca="1">IF(LEFT(E$6,4)&lt;=LEFT('RFM input'!$G$60,4),"enter input",IF(LEFT(E$6,4)&gt;LEFT('RFM input'!$Q$60,4),0,IF(E$6=(OFFSET('RFM input'!$G$60,0,'RFM input'!$V$7)),OFFSET('RFM input'!$G$411,$A1472,0),0)))</f>
        <v>0</v>
      </c>
      <c r="F1474" s="1417">
        <f ca="1">IF(LEFT(F$6,4)&lt;=LEFT('RFM input'!$G$60,4),"enter input",IF(LEFT(F$6,4)&gt;LEFT('RFM input'!$Q$60,4),0,IF(F$6=(OFFSET('RFM input'!$G$60,0,'RFM input'!$V$7)),OFFSET('RFM input'!$G$411,$A1472,0),0)))</f>
        <v>0</v>
      </c>
      <c r="G1474" s="1417">
        <f ca="1">IF(LEFT(G$6,4)&lt;=LEFT('RFM input'!$G$60,4),"enter input",IF(LEFT(G$6,4)&gt;LEFT('RFM input'!$Q$60,4),0,IF(G$6=(OFFSET('RFM input'!$G$60,0,'RFM input'!$V$7)),OFFSET('RFM input'!$G$411,$A1472,0),0)))</f>
        <v>0</v>
      </c>
      <c r="H1474" s="1417">
        <f ca="1">IF(LEFT(H$6,4)&lt;=LEFT('RFM input'!$G$60,4),"enter input",IF(LEFT(H$6,4)&gt;LEFT('RFM input'!$Q$60,4),0,IF(H$6=(OFFSET('RFM input'!$G$60,0,'RFM input'!$V$7)),OFFSET('RFM input'!$G$411,$A1472,0),0)))</f>
        <v>0</v>
      </c>
      <c r="I1474" s="1417">
        <f ca="1">IF(LEFT(I$6,4)&lt;=LEFT('RFM input'!$G$60,4),"enter input",IF(LEFT(I$6,4)&gt;LEFT('RFM input'!$Q$60,4),0,IF(I$6=(OFFSET('RFM input'!$G$60,0,'RFM input'!$V$7)),OFFSET('RFM input'!$G$411,$A1472,0),0)))</f>
        <v>0</v>
      </c>
      <c r="J1474" s="1417">
        <f ca="1">IF(LEFT(J$6,4)&lt;=LEFT('RFM input'!$G$60,4),"enter input",IF(LEFT(J$6,4)&gt;LEFT('RFM input'!$Q$60,4),0,IF(J$6=(OFFSET('RFM input'!$G$60,0,'RFM input'!$V$7)),OFFSET('RFM input'!$G$411,$A1472,0),0)))</f>
        <v>0</v>
      </c>
      <c r="K1474" s="1417">
        <f ca="1">IF(LEFT(K$6,4)&lt;=LEFT('RFM input'!$G$60,4),"enter input",IF(LEFT(K$6,4)&gt;LEFT('RFM input'!$Q$60,4),0,IF(K$6=(OFFSET('RFM input'!$G$60,0,'RFM input'!$V$7)),OFFSET('RFM input'!$G$411,$A1472,0),0)))</f>
        <v>0</v>
      </c>
      <c r="L1474" s="1417">
        <f ca="1">IF(LEFT(L$6,4)&lt;=LEFT('RFM input'!$G$60,4),"enter input",IF(LEFT(L$6,4)&gt;LEFT('RFM input'!$Q$60,4),0,IF(L$6=(OFFSET('RFM input'!$G$60,0,'RFM input'!$V$7)),OFFSET('RFM input'!$G$411,$A1472,0),0)))</f>
        <v>0</v>
      </c>
      <c r="M1474" s="1417">
        <f ca="1">IF(LEFT(M$6,4)&lt;=LEFT('RFM input'!$G$60,4),"enter input",IF(LEFT(M$6,4)&gt;LEFT('RFM input'!$Q$60,4),0,IF(M$6=(OFFSET('RFM input'!$G$60,0,'RFM input'!$V$7)),OFFSET('RFM input'!$G$411,$A1472,0),0)))</f>
        <v>0</v>
      </c>
      <c r="N1474" s="1417">
        <f ca="1">IF(LEFT(N$6,4)&lt;=LEFT('RFM input'!$G$60,4),"enter input",IF(LEFT(N$6,4)&gt;LEFT('RFM input'!$Q$60,4),0,IF(N$6=(OFFSET('RFM input'!$G$60,0,'RFM input'!$V$7)),OFFSET('RFM input'!$G$411,$A1472,0),0)))</f>
        <v>0</v>
      </c>
      <c r="O1474" s="1417">
        <f ca="1">IF(LEFT(O$6,4)&lt;=LEFT('RFM input'!$G$60,4),"enter input",IF(LEFT(O$6,4)&gt;LEFT('RFM input'!$Q$60,4),0,IF(O$6=(OFFSET('RFM input'!$G$60,0,'RFM input'!$V$7)),OFFSET('RFM input'!$G$411,$A1472,0),0)))</f>
        <v>0</v>
      </c>
      <c r="P1474" s="1417">
        <f ca="1">IF(LEFT(P$6,4)&lt;=LEFT('RFM input'!$G$60,4),"enter input",IF(LEFT(P$6,4)&gt;LEFT('RFM input'!$Q$60,4),0,IF(P$6=(OFFSET('RFM input'!$G$60,0,'RFM input'!$V$7)),OFFSET('RFM input'!$G$411,$A1472,0),0)))</f>
        <v>0</v>
      </c>
      <c r="Q1474" s="1417">
        <f ca="1">IF(LEFT(Q$6,4)&lt;=LEFT('RFM input'!$G$60,4),"enter input",IF(LEFT(Q$6,4)&gt;LEFT('RFM input'!$Q$60,4),0,IF(Q$6=(OFFSET('RFM input'!$G$60,0,'RFM input'!$V$7)),OFFSET('RFM input'!$G$411,$A1472,0),0)))</f>
        <v>0</v>
      </c>
      <c r="R1474" s="1417">
        <f ca="1">IF(LEFT(R$6,4)&lt;=LEFT('RFM input'!$G$60,4),"enter input",IF(LEFT(R$6,4)&gt;LEFT('RFM input'!$Q$60,4),0,IF(R$6=(OFFSET('RFM input'!$G$60,0,'RFM input'!$V$7)),OFFSET('RFM input'!$G$411,$A1472,0),0)))</f>
        <v>0</v>
      </c>
      <c r="S1474" s="1417">
        <f ca="1">IF(LEFT(S$6,4)&lt;=LEFT('RFM input'!$G$60,4),"enter input",IF(LEFT(S$6,4)&gt;LEFT('RFM input'!$Q$60,4),0,IF(S$6=(OFFSET('RFM input'!$G$60,0,'RFM input'!$V$7)),OFFSET('RFM input'!$G$411,$A1472,0),0)))</f>
        <v>0</v>
      </c>
      <c r="T1474" s="1417">
        <f ca="1">IF(LEFT(T$6,4)&lt;=LEFT('RFM input'!$G$60,4),"enter input",IF(LEFT(T$6,4)&gt;LEFT('RFM input'!$Q$60,4),0,IF(T$6=(OFFSET('RFM input'!$G$60,0,'RFM input'!$V$7)),OFFSET('RFM input'!$G$411,$A1472,0),0)))</f>
        <v>0</v>
      </c>
      <c r="U1474" s="1417">
        <f ca="1">IF(LEFT(U$6,4)&lt;=LEFT('RFM input'!$G$60,4),"enter input",IF(LEFT(U$6,4)&gt;LEFT('RFM input'!$Q$60,4),0,IF(U$6=(OFFSET('RFM input'!$G$60,0,'RFM input'!$V$7)),OFFSET('RFM input'!$G$411,$A1472,0),0)))</f>
        <v>0</v>
      </c>
      <c r="V1474" s="1417">
        <f ca="1">IF(LEFT(V$6,4)&lt;=LEFT('RFM input'!$G$60,4),"enter input",IF(LEFT(V$6,4)&gt;LEFT('RFM input'!$Q$60,4),0,IF(V$6=(OFFSET('RFM input'!$G$60,0,'RFM input'!$V$7)),OFFSET('RFM input'!$G$411,$A1472,0),0)))</f>
        <v>0</v>
      </c>
      <c r="W1474" s="1417">
        <f ca="1">IF(LEFT(W$6,4)&lt;=LEFT('RFM input'!$G$60,4),"enter input",IF(LEFT(W$6,4)&gt;LEFT('RFM input'!$Q$60,4),0,IF(W$6=(OFFSET('RFM input'!$G$60,0,'RFM input'!$V$7)),OFFSET('RFM input'!$G$411,$A1472,0),0)))</f>
        <v>0</v>
      </c>
      <c r="X1474" s="152"/>
      <c r="Y1474" s="152"/>
      <c r="Z1474" s="152"/>
      <c r="AA1474" s="152"/>
      <c r="AB1474" s="152"/>
    </row>
    <row r="1475" spans="1:28">
      <c r="A1475" s="152"/>
      <c r="B1475" s="195" t="s">
        <v>197</v>
      </c>
      <c r="C1475" s="1419"/>
      <c r="D1475" s="1418">
        <f ca="1">IF(LEFT(D$6,4)&lt;=LEFT('RFM input'!$G$60,4),"enter input",IF(LEFT(D$6,4)&gt;LEFT('RFM input'!$Q$60,4),0,IF(D$6=(OFFSET('RFM input'!$G$60,0,'RFM input'!$V$7)),OFFSET('RFM input'!$I$411,$A1472,0),0)))</f>
        <v>0</v>
      </c>
      <c r="E1475" s="1422">
        <f ca="1">IF(LEFT(E$6,4)&lt;=LEFT('RFM input'!$G$60,4),"enter input",IF(LEFT(E$6,4)&gt;LEFT('RFM input'!$Q$60,4),0,IF(E$6=(OFFSET('RFM input'!$G$60,0,'RFM input'!$V$7)),OFFSET('RFM input'!$I$411,$A1472,0),0)))</f>
        <v>0</v>
      </c>
      <c r="F1475" s="1422">
        <f ca="1">IF(LEFT(F$6,4)&lt;=LEFT('RFM input'!$G$60,4),"enter input",IF(LEFT(F$6,4)&gt;LEFT('RFM input'!$Q$60,4),0,IF(F$6=(OFFSET('RFM input'!$G$60,0,'RFM input'!$V$7)),OFFSET('RFM input'!$I$411,$A1472,0),0)))</f>
        <v>0</v>
      </c>
      <c r="G1475" s="1422">
        <f ca="1">IF(LEFT(G$6,4)&lt;=LEFT('RFM input'!$G$60,4),"enter input",IF(LEFT(G$6,4)&gt;LEFT('RFM input'!$Q$60,4),0,IF(G$6=(OFFSET('RFM input'!$G$60,0,'RFM input'!$V$7)),OFFSET('RFM input'!$I$411,$A1472,0),0)))</f>
        <v>0</v>
      </c>
      <c r="H1475" s="1422">
        <f ca="1">IF(LEFT(H$6,4)&lt;=LEFT('RFM input'!$G$60,4),"enter input",IF(LEFT(H$6,4)&gt;LEFT('RFM input'!$Q$60,4),0,IF(H$6=(OFFSET('RFM input'!$G$60,0,'RFM input'!$V$7)),OFFSET('RFM input'!$I$411,$A1472,0),0)))</f>
        <v>0</v>
      </c>
      <c r="I1475" s="1422">
        <f ca="1">IF(LEFT(I$6,4)&lt;=LEFT('RFM input'!$G$60,4),"enter input",IF(LEFT(I$6,4)&gt;LEFT('RFM input'!$Q$60,4),0,IF(I$6=(OFFSET('RFM input'!$G$60,0,'RFM input'!$V$7)),OFFSET('RFM input'!$I$411,$A1472,0),0)))</f>
        <v>0</v>
      </c>
      <c r="J1475" s="1422">
        <f ca="1">IF(LEFT(J$6,4)&lt;=LEFT('RFM input'!$G$60,4),"enter input",IF(LEFT(J$6,4)&gt;LEFT('RFM input'!$Q$60,4),0,IF(J$6=(OFFSET('RFM input'!$G$60,0,'RFM input'!$V$7)),OFFSET('RFM input'!$I$411,$A1472,0),0)))</f>
        <v>0</v>
      </c>
      <c r="K1475" s="1422">
        <f ca="1">IF(LEFT(K$6,4)&lt;=LEFT('RFM input'!$G$60,4),"enter input",IF(LEFT(K$6,4)&gt;LEFT('RFM input'!$Q$60,4),0,IF(K$6=(OFFSET('RFM input'!$G$60,0,'RFM input'!$V$7)),OFFSET('RFM input'!$I$411,$A1472,0),0)))</f>
        <v>0</v>
      </c>
      <c r="L1475" s="1422">
        <f ca="1">IF(LEFT(L$6,4)&lt;=LEFT('RFM input'!$G$60,4),"enter input",IF(LEFT(L$6,4)&gt;LEFT('RFM input'!$Q$60,4),0,IF(L$6=(OFFSET('RFM input'!$G$60,0,'RFM input'!$V$7)),OFFSET('RFM input'!$I$411,$A1472,0),0)))</f>
        <v>0</v>
      </c>
      <c r="M1475" s="1422">
        <f ca="1">IF(LEFT(M$6,4)&lt;=LEFT('RFM input'!$G$60,4),"enter input",IF(LEFT(M$6,4)&gt;LEFT('RFM input'!$Q$60,4),0,IF(M$6=(OFFSET('RFM input'!$G$60,0,'RFM input'!$V$7)),OFFSET('RFM input'!$I$411,$A1472,0),0)))</f>
        <v>0</v>
      </c>
      <c r="N1475" s="1422">
        <f ca="1">IF(LEFT(N$6,4)&lt;=LEFT('RFM input'!$G$60,4),"enter input",IF(LEFT(N$6,4)&gt;LEFT('RFM input'!$Q$60,4),0,IF(N$6=(OFFSET('RFM input'!$G$60,0,'RFM input'!$V$7)),OFFSET('RFM input'!$I$411,$A1472,0),0)))</f>
        <v>0</v>
      </c>
      <c r="O1475" s="1422">
        <f ca="1">IF(LEFT(O$6,4)&lt;=LEFT('RFM input'!$G$60,4),"enter input",IF(LEFT(O$6,4)&gt;LEFT('RFM input'!$Q$60,4),0,IF(O$6=(OFFSET('RFM input'!$G$60,0,'RFM input'!$V$7)),OFFSET('RFM input'!$I$411,$A1472,0),0)))</f>
        <v>0</v>
      </c>
      <c r="P1475" s="1422">
        <f ca="1">IF(LEFT(P$6,4)&lt;=LEFT('RFM input'!$G$60,4),"enter input",IF(LEFT(P$6,4)&gt;LEFT('RFM input'!$Q$60,4),0,IF(P$6=(OFFSET('RFM input'!$G$60,0,'RFM input'!$V$7)),OFFSET('RFM input'!$I$411,$A1472,0),0)))</f>
        <v>0</v>
      </c>
      <c r="Q1475" s="1422">
        <f ca="1">IF(LEFT(Q$6,4)&lt;=LEFT('RFM input'!$G$60,4),"enter input",IF(LEFT(Q$6,4)&gt;LEFT('RFM input'!$Q$60,4),0,IF(Q$6=(OFFSET('RFM input'!$G$60,0,'RFM input'!$V$7)),OFFSET('RFM input'!$I$411,$A1472,0),0)))</f>
        <v>0</v>
      </c>
      <c r="R1475" s="1422">
        <f ca="1">IF(LEFT(R$6,4)&lt;=LEFT('RFM input'!$G$60,4),"enter input",IF(LEFT(R$6,4)&gt;LEFT('RFM input'!$Q$60,4),0,IF(R$6=(OFFSET('RFM input'!$G$60,0,'RFM input'!$V$7)),OFFSET('RFM input'!$I$411,$A1472,0),0)))</f>
        <v>0</v>
      </c>
      <c r="S1475" s="1422">
        <f ca="1">IF(LEFT(S$6,4)&lt;=LEFT('RFM input'!$G$60,4),"enter input",IF(LEFT(S$6,4)&gt;LEFT('RFM input'!$Q$60,4),0,IF(S$6=(OFFSET('RFM input'!$G$60,0,'RFM input'!$V$7)),OFFSET('RFM input'!$I$411,$A1472,0),0)))</f>
        <v>0</v>
      </c>
      <c r="T1475" s="1422">
        <f ca="1">IF(LEFT(T$6,4)&lt;=LEFT('RFM input'!$G$60,4),"enter input",IF(LEFT(T$6,4)&gt;LEFT('RFM input'!$Q$60,4),0,IF(T$6=(OFFSET('RFM input'!$G$60,0,'RFM input'!$V$7)),OFFSET('RFM input'!$I$411,$A1472,0),0)))</f>
        <v>0</v>
      </c>
      <c r="U1475" s="1422">
        <f ca="1">IF(LEFT(U$6,4)&lt;=LEFT('RFM input'!$G$60,4),"enter input",IF(LEFT(U$6,4)&gt;LEFT('RFM input'!$Q$60,4),0,IF(U$6=(OFFSET('RFM input'!$G$60,0,'RFM input'!$V$7)),OFFSET('RFM input'!$I$411,$A1472,0),0)))</f>
        <v>0</v>
      </c>
      <c r="V1475" s="1422">
        <f ca="1">IF(LEFT(V$6,4)&lt;=LEFT('RFM input'!$G$60,4),"enter input",IF(LEFT(V$6,4)&gt;LEFT('RFM input'!$Q$60,4),0,IF(V$6=(OFFSET('RFM input'!$G$60,0,'RFM input'!$V$7)),OFFSET('RFM input'!$I$411,$A1472,0),0)))</f>
        <v>0</v>
      </c>
      <c r="W1475" s="1422">
        <f ca="1">IF(LEFT(W$6,4)&lt;=LEFT('RFM input'!$G$60,4),"enter input",IF(LEFT(W$6,4)&gt;LEFT('RFM input'!$Q$60,4),0,IF(W$6=(OFFSET('RFM input'!$G$60,0,'RFM input'!$V$7)),OFFSET('RFM input'!$I$411,$A1472,0),0)))</f>
        <v>0</v>
      </c>
      <c r="X1475" s="152"/>
      <c r="Y1475" s="152"/>
      <c r="Z1475" s="152"/>
      <c r="AA1475" s="152"/>
      <c r="AB1475" s="152"/>
    </row>
    <row r="1476" spans="1:28" hidden="1" outlineLevel="1">
      <c r="A1476" s="235">
        <v>-1</v>
      </c>
      <c r="B1476" s="190" t="s">
        <v>189</v>
      </c>
      <c r="C1476" s="1423"/>
      <c r="D1476" s="1423">
        <f ca="1">IF(AND(D1474=0,C1476=0),0,
IF(AND(D1474&lt;&gt;0,C1476=0),(D1474/D$10),
IF(AND(D1475&lt;&gt;0,C1476&lt;&gt;0),(C1476-(C1476/C1500))+(D1474/D$10),
IF(C1500&lt;1,0,(C1476-(C1476/C1500))))))</f>
        <v>0</v>
      </c>
      <c r="E1476" s="1423">
        <f t="shared" ref="E1476" ca="1" si="2152">IF(AND(E1474=0,D1476=0),0,
IF(AND(E1474&lt;&gt;0,D1476=0),(E1474/E$10),
IF(AND(E1475&lt;&gt;0,D1476&lt;&gt;0),(D1476-(D1476/D1500))+(E1474/E$10),
IF(D1500&lt;1,0,(D1476-(D1476/D1500))))))</f>
        <v>0</v>
      </c>
      <c r="F1476" s="1423">
        <f t="shared" ref="F1476" ca="1" si="2153">IF(AND(F1474=0,E1476=0),0,
IF(AND(F1474&lt;&gt;0,E1476=0),(F1474/F$10),
IF(AND(F1475&lt;&gt;0,E1476&lt;&gt;0),(E1476-(E1476/E1500))+(F1474/F$10),
IF(E1500&lt;1,0,(E1476-(E1476/E1500))))))</f>
        <v>0</v>
      </c>
      <c r="G1476" s="1423">
        <f t="shared" ref="G1476" ca="1" si="2154">IF(AND(G1474=0,F1476=0),0,
IF(AND(G1474&lt;&gt;0,F1476=0),(G1474/G$10),
IF(AND(G1475&lt;&gt;0,F1476&lt;&gt;0),(F1476-(F1476/F1500))+(G1474/G$10),
IF(F1500&lt;1,0,(F1476-(F1476/F1500))))))</f>
        <v>0</v>
      </c>
      <c r="H1476" s="1423">
        <f t="shared" ref="H1476" ca="1" si="2155">IF(AND(H1474=0,G1476=0),0,
IF(AND(H1474&lt;&gt;0,G1476=0),(H1474/H$10),
IF(AND(H1475&lt;&gt;0,G1476&lt;&gt;0),(G1476-(G1476/G1500))+(H1474/H$10),
IF(G1500&lt;1,0,(G1476-(G1476/G1500))))))</f>
        <v>0</v>
      </c>
      <c r="I1476" s="1423">
        <f t="shared" ref="I1476" ca="1" si="2156">IF(AND(I1474=0,H1476=0),0,
IF(AND(I1474&lt;&gt;0,H1476=0),(I1474/I$10),
IF(AND(I1475&lt;&gt;0,H1476&lt;&gt;0),(H1476-(H1476/H1500))+(I1474/I$10),
IF(H1500&lt;1,0,(H1476-(H1476/H1500))))))</f>
        <v>0</v>
      </c>
      <c r="J1476" s="1423">
        <f t="shared" ref="J1476" ca="1" si="2157">IF(AND(J1474=0,I1476=0),0,
IF(AND(J1474&lt;&gt;0,I1476=0),(J1474/J$10),
IF(AND(J1475&lt;&gt;0,I1476&lt;&gt;0),(I1476-(I1476/I1500))+(J1474/J$10),
IF(I1500&lt;1,0,(I1476-(I1476/I1500))))))</f>
        <v>0</v>
      </c>
      <c r="K1476" s="1423">
        <f t="shared" ref="K1476" ca="1" si="2158">IF(AND(K1474=0,J1476=0),0,
IF(AND(K1474&lt;&gt;0,J1476=0),(K1474/K$10),
IF(AND(K1475&lt;&gt;0,J1476&lt;&gt;0),(J1476-(J1476/J1500))+(K1474/K$10),
IF(J1500&lt;1,0,(J1476-(J1476/J1500))))))</f>
        <v>0</v>
      </c>
      <c r="L1476" s="1423">
        <f t="shared" ref="L1476" ca="1" si="2159">IF(AND(L1474=0,K1476=0),0,
IF(AND(L1474&lt;&gt;0,K1476=0),(L1474/L$10),
IF(AND(L1475&lt;&gt;0,K1476&lt;&gt;0),(K1476-(K1476/K1500))+(L1474/L$10),
IF(K1500&lt;1,0,(K1476-(K1476/K1500))))))</f>
        <v>0</v>
      </c>
      <c r="M1476" s="1423">
        <f t="shared" ref="M1476" ca="1" si="2160">IF(AND(M1474=0,L1476=0),0,
IF(AND(M1474&lt;&gt;0,L1476=0),(M1474/M$10),
IF(AND(M1475&lt;&gt;0,L1476&lt;&gt;0),(L1476-(L1476/L1500))+(M1474/M$10),
IF(L1500&lt;1,0,(L1476-(L1476/L1500))))))</f>
        <v>0</v>
      </c>
      <c r="N1476" s="1423">
        <f t="shared" ref="N1476" ca="1" si="2161">IF(AND(N1474=0,M1476=0),0,
IF(AND(N1474&lt;&gt;0,M1476=0),(N1474/N$10),
IF(AND(N1475&lt;&gt;0,M1476&lt;&gt;0),(M1476-(M1476/M1500))+(N1474/N$10),
IF(M1500&lt;1,0,(M1476-(M1476/M1500))))))</f>
        <v>0</v>
      </c>
      <c r="O1476" s="1423">
        <f t="shared" ref="O1476" ca="1" si="2162">IF(AND(O1474=0,N1476=0),0,
IF(AND(O1474&lt;&gt;0,N1476=0),(O1474/O$10),
IF(AND(O1475&lt;&gt;0,N1476&lt;&gt;0),(N1476-(N1476/N1500))+(O1474/O$10),
IF(N1500&lt;1,0,(N1476-(N1476/N1500))))))</f>
        <v>0</v>
      </c>
      <c r="P1476" s="1423">
        <f t="shared" ref="P1476" ca="1" si="2163">IF(AND(P1474=0,O1476=0),0,
IF(AND(P1474&lt;&gt;0,O1476=0),(P1474/P$10),
IF(AND(P1475&lt;&gt;0,O1476&lt;&gt;0),(O1476-(O1476/O1500))+(P1474/P$10),
IF(O1500&lt;1,0,(O1476-(O1476/O1500))))))</f>
        <v>0</v>
      </c>
      <c r="Q1476" s="1423">
        <f t="shared" ref="Q1476" ca="1" si="2164">IF(AND(Q1474=0,P1476=0),0,
IF(AND(Q1474&lt;&gt;0,P1476=0),(Q1474/Q$10),
IF(AND(Q1475&lt;&gt;0,P1476&lt;&gt;0),(P1476-(P1476/P1500))+(Q1474/Q$10),
IF(P1500&lt;1,0,(P1476-(P1476/P1500))))))</f>
        <v>0</v>
      </c>
      <c r="R1476" s="1423">
        <f t="shared" ref="R1476" ca="1" si="2165">IF(AND(R1474=0,Q1476=0),0,
IF(AND(R1474&lt;&gt;0,Q1476=0),(R1474/R$10),
IF(AND(R1475&lt;&gt;0,Q1476&lt;&gt;0),(Q1476-(Q1476/Q1500))+(R1474/R$10),
IF(Q1500&lt;1,0,(Q1476-(Q1476/Q1500))))))</f>
        <v>0</v>
      </c>
      <c r="S1476" s="1423">
        <f t="shared" ref="S1476" ca="1" si="2166">IF(AND(S1474=0,R1476=0),0,
IF(AND(S1474&lt;&gt;0,R1476=0),(S1474/S$10),
IF(AND(S1475&lt;&gt;0,R1476&lt;&gt;0),(R1476-(R1476/R1500))+(S1474/S$10),
IF(R1500&lt;1,0,(R1476-(R1476/R1500))))))</f>
        <v>0</v>
      </c>
      <c r="T1476" s="1423">
        <f t="shared" ref="T1476" ca="1" si="2167">IF(AND(T1474=0,S1476=0),0,
IF(AND(T1474&lt;&gt;0,S1476=0),(T1474/T$10),
IF(AND(T1475&lt;&gt;0,S1476&lt;&gt;0),(S1476-(S1476/S1500))+(T1474/T$10),
IF(S1500&lt;1,0,(S1476-(S1476/S1500))))))</f>
        <v>0</v>
      </c>
      <c r="U1476" s="1423">
        <f t="shared" ref="U1476" ca="1" si="2168">IF(AND(U1474=0,T1476=0),0,
IF(AND(U1474&lt;&gt;0,T1476=0),(U1474/U$10),
IF(AND(U1475&lt;&gt;0,T1476&lt;&gt;0),(T1476-(T1476/T1500))+(U1474/U$10),
IF(T1500&lt;1,0,(T1476-(T1476/T1500))))))</f>
        <v>0</v>
      </c>
      <c r="V1476" s="1423">
        <f t="shared" ref="V1476" ca="1" si="2169">IF(AND(V1474=0,U1476=0),0,
IF(AND(V1474&lt;&gt;0,U1476=0),(V1474/V$10),
IF(AND(V1475&lt;&gt;0,U1476&lt;&gt;0),(U1476-(U1476/U1500))+(V1474/V$10),
IF(U1500&lt;1,0,(U1476-(U1476/U1500))))))</f>
        <v>0</v>
      </c>
      <c r="W1476" s="1423">
        <f t="shared" ref="W1476" ca="1" si="2170">IF(AND(W1474=0,V1476=0),0,
IF(AND(W1474&lt;&gt;0,V1476=0),(W1474/W$10),
IF(AND(W1475&lt;&gt;0,V1476&lt;&gt;0),(V1476-(V1476/V1500))+(W1474/W$10),
IF(V1500&lt;1,0,(V1476-(V1476/V1500))))))</f>
        <v>0</v>
      </c>
      <c r="X1476" s="152"/>
      <c r="Y1476" s="152"/>
      <c r="Z1476" s="152"/>
      <c r="AA1476" s="152"/>
      <c r="AB1476" s="152"/>
    </row>
    <row r="1477" spans="1:28" hidden="1" outlineLevel="1">
      <c r="A1477" s="199">
        <f>A1476+1</f>
        <v>0</v>
      </c>
      <c r="B1477" s="190" t="s">
        <v>125</v>
      </c>
      <c r="C1477" s="1423">
        <f ca="1">C1472/C$10</f>
        <v>0</v>
      </c>
      <c r="D1477" s="1423">
        <f ca="1">IF(C1501="n/a",C1477,IFERROR(IF((OFFSET($C1477,0,$A1477))&lt;0,
MIN(0,C1477-(OFFSET($C1477,0,$A1477)/(OFFSET($C1472,-$A1476,$A1477)))),
MAX(0,C1477-(OFFSET($C1477,0,$A1477)/(OFFSET($C1472,-$A1476,$A1477))))),0))</f>
        <v>0</v>
      </c>
      <c r="E1477" s="1423">
        <f t="shared" ref="E1477" ca="1" si="2171">IF(D1501="n/a",D1477,IFERROR(IF((OFFSET($C1477,0,$A1477))&lt;0,
MIN(0,D1477-(OFFSET($C1477,0,$A1477)/(OFFSET($C1472,-$A1476,$A1477)))),
MAX(0,D1477-(OFFSET($C1477,0,$A1477)/(OFFSET($C1472,-$A1476,$A1477))))),0))</f>
        <v>0</v>
      </c>
      <c r="F1477" s="1423">
        <f t="shared" ref="F1477:F1478" ca="1" si="2172">IF(E1501="n/a",E1477,IFERROR(IF((OFFSET($C1477,0,$A1477))&lt;0,
MIN(0,E1477-(OFFSET($C1477,0,$A1477)/(OFFSET($C1472,-$A1476,$A1477)))),
MAX(0,E1477-(OFFSET($C1477,0,$A1477)/(OFFSET($C1472,-$A1476,$A1477))))),0))</f>
        <v>0</v>
      </c>
      <c r="G1477" s="1423">
        <f t="shared" ref="G1477:G1479" ca="1" si="2173">IF(F1501="n/a",F1477,IFERROR(IF((OFFSET($C1477,0,$A1477))&lt;0,
MIN(0,F1477-(OFFSET($C1477,0,$A1477)/(OFFSET($C1472,-$A1476,$A1477)))),
MAX(0,F1477-(OFFSET($C1477,0,$A1477)/(OFFSET($C1472,-$A1476,$A1477))))),0))</f>
        <v>0</v>
      </c>
      <c r="H1477" s="1423">
        <f t="shared" ref="H1477:H1480" ca="1" si="2174">IF(G1501="n/a",G1477,IFERROR(IF((OFFSET($C1477,0,$A1477))&lt;0,
MIN(0,G1477-(OFFSET($C1477,0,$A1477)/(OFFSET($C1472,-$A1476,$A1477)))),
MAX(0,G1477-(OFFSET($C1477,0,$A1477)/(OFFSET($C1472,-$A1476,$A1477))))),0))</f>
        <v>0</v>
      </c>
      <c r="I1477" s="1423">
        <f t="shared" ref="I1477:I1481" ca="1" si="2175">IF(H1501="n/a",H1477,IFERROR(IF((OFFSET($C1477,0,$A1477))&lt;0,
MIN(0,H1477-(OFFSET($C1477,0,$A1477)/(OFFSET($C1472,-$A1476,$A1477)))),
MAX(0,H1477-(OFFSET($C1477,0,$A1477)/(OFFSET($C1472,-$A1476,$A1477))))),0))</f>
        <v>0</v>
      </c>
      <c r="J1477" s="1423">
        <f t="shared" ref="J1477:J1482" ca="1" si="2176">IF(I1501="n/a",I1477,IFERROR(IF((OFFSET($C1477,0,$A1477))&lt;0,
MIN(0,I1477-(OFFSET($C1477,0,$A1477)/(OFFSET($C1472,-$A1476,$A1477)))),
MAX(0,I1477-(OFFSET($C1477,0,$A1477)/(OFFSET($C1472,-$A1476,$A1477))))),0))</f>
        <v>0</v>
      </c>
      <c r="K1477" s="1423">
        <f t="shared" ref="K1477:K1483" ca="1" si="2177">IF(J1501="n/a",J1477,IFERROR(IF((OFFSET($C1477,0,$A1477))&lt;0,
MIN(0,J1477-(OFFSET($C1477,0,$A1477)/(OFFSET($C1472,-$A1476,$A1477)))),
MAX(0,J1477-(OFFSET($C1477,0,$A1477)/(OFFSET($C1472,-$A1476,$A1477))))),0))</f>
        <v>0</v>
      </c>
      <c r="L1477" s="1423">
        <f t="shared" ref="L1477:L1484" ca="1" si="2178">IF(K1501="n/a",K1477,IFERROR(IF((OFFSET($C1477,0,$A1477))&lt;0,
MIN(0,K1477-(OFFSET($C1477,0,$A1477)/(OFFSET($C1472,-$A1476,$A1477)))),
MAX(0,K1477-(OFFSET($C1477,0,$A1477)/(OFFSET($C1472,-$A1476,$A1477))))),0))</f>
        <v>0</v>
      </c>
      <c r="M1477" s="1423">
        <f t="shared" ref="M1477:M1485" ca="1" si="2179">IF(L1501="n/a",L1477,IFERROR(IF((OFFSET($C1477,0,$A1477))&lt;0,
MIN(0,L1477-(OFFSET($C1477,0,$A1477)/(OFFSET($C1472,-$A1476,$A1477)))),
MAX(0,L1477-(OFFSET($C1477,0,$A1477)/(OFFSET($C1472,-$A1476,$A1477))))),0))</f>
        <v>0</v>
      </c>
      <c r="N1477" s="1423">
        <f t="shared" ref="N1477:N1486" ca="1" si="2180">IF(M1501="n/a",M1477,IFERROR(IF((OFFSET($C1477,0,$A1477))&lt;0,
MIN(0,M1477-(OFFSET($C1477,0,$A1477)/(OFFSET($C1472,-$A1476,$A1477)))),
MAX(0,M1477-(OFFSET($C1477,0,$A1477)/(OFFSET($C1472,-$A1476,$A1477))))),0))</f>
        <v>0</v>
      </c>
      <c r="O1477" s="1423">
        <f t="shared" ref="O1477:O1487" ca="1" si="2181">IF(N1501="n/a",N1477,IFERROR(IF((OFFSET($C1477,0,$A1477))&lt;0,
MIN(0,N1477-(OFFSET($C1477,0,$A1477)/(OFFSET($C1472,-$A1476,$A1477)))),
MAX(0,N1477-(OFFSET($C1477,0,$A1477)/(OFFSET($C1472,-$A1476,$A1477))))),0))</f>
        <v>0</v>
      </c>
      <c r="P1477" s="1423">
        <f t="shared" ref="P1477:P1488" ca="1" si="2182">IF(O1501="n/a",O1477,IFERROR(IF((OFFSET($C1477,0,$A1477))&lt;0,
MIN(0,O1477-(OFFSET($C1477,0,$A1477)/(OFFSET($C1472,-$A1476,$A1477)))),
MAX(0,O1477-(OFFSET($C1477,0,$A1477)/(OFFSET($C1472,-$A1476,$A1477))))),0))</f>
        <v>0</v>
      </c>
      <c r="Q1477" s="1423">
        <f t="shared" ref="Q1477:Q1489" ca="1" si="2183">IF(P1501="n/a",P1477,IFERROR(IF((OFFSET($C1477,0,$A1477))&lt;0,
MIN(0,P1477-(OFFSET($C1477,0,$A1477)/(OFFSET($C1472,-$A1476,$A1477)))),
MAX(0,P1477-(OFFSET($C1477,0,$A1477)/(OFFSET($C1472,-$A1476,$A1477))))),0))</f>
        <v>0</v>
      </c>
      <c r="R1477" s="1423">
        <f t="shared" ref="R1477:R1490" ca="1" si="2184">IF(Q1501="n/a",Q1477,IFERROR(IF((OFFSET($C1477,0,$A1477))&lt;0,
MIN(0,Q1477-(OFFSET($C1477,0,$A1477)/(OFFSET($C1472,-$A1476,$A1477)))),
MAX(0,Q1477-(OFFSET($C1477,0,$A1477)/(OFFSET($C1472,-$A1476,$A1477))))),0))</f>
        <v>0</v>
      </c>
      <c r="S1477" s="1423">
        <f t="shared" ref="S1477:S1491" ca="1" si="2185">IF(R1501="n/a",R1477,IFERROR(IF((OFFSET($C1477,0,$A1477))&lt;0,
MIN(0,R1477-(OFFSET($C1477,0,$A1477)/(OFFSET($C1472,-$A1476,$A1477)))),
MAX(0,R1477-(OFFSET($C1477,0,$A1477)/(OFFSET($C1472,-$A1476,$A1477))))),0))</f>
        <v>0</v>
      </c>
      <c r="T1477" s="1423">
        <f t="shared" ref="T1477:T1492" ca="1" si="2186">IF(S1501="n/a",S1477,IFERROR(IF((OFFSET($C1477,0,$A1477))&lt;0,
MIN(0,S1477-(OFFSET($C1477,0,$A1477)/(OFFSET($C1472,-$A1476,$A1477)))),
MAX(0,S1477-(OFFSET($C1477,0,$A1477)/(OFFSET($C1472,-$A1476,$A1477))))),0))</f>
        <v>0</v>
      </c>
      <c r="U1477" s="1423">
        <f t="shared" ref="U1477:U1493" ca="1" si="2187">IF(T1501="n/a",T1477,IFERROR(IF((OFFSET($C1477,0,$A1477))&lt;0,
MIN(0,T1477-(OFFSET($C1477,0,$A1477)/(OFFSET($C1472,-$A1476,$A1477)))),
MAX(0,T1477-(OFFSET($C1477,0,$A1477)/(OFFSET($C1472,-$A1476,$A1477))))),0))</f>
        <v>0</v>
      </c>
      <c r="V1477" s="1423">
        <f t="shared" ref="V1477:V1494" ca="1" si="2188">IF(U1501="n/a",U1477,IFERROR(IF((OFFSET($C1477,0,$A1477))&lt;0,
MIN(0,U1477-(OFFSET($C1477,0,$A1477)/(OFFSET($C1472,-$A1476,$A1477)))),
MAX(0,U1477-(OFFSET($C1477,0,$A1477)/(OFFSET($C1472,-$A1476,$A1477))))),0))</f>
        <v>0</v>
      </c>
      <c r="W1477" s="1423">
        <f t="shared" ref="W1477:W1495" ca="1" si="2189">IF(V1501="n/a",V1477,IFERROR(IF((OFFSET($C1477,0,$A1477))&lt;0,
MIN(0,V1477-(OFFSET($C1477,0,$A1477)/(OFFSET($C1472,-$A1476,$A1477)))),
MAX(0,V1477-(OFFSET($C1477,0,$A1477)/(OFFSET($C1472,-$A1476,$A1477))))),0))</f>
        <v>0</v>
      </c>
      <c r="X1477" s="152"/>
      <c r="Y1477" s="152"/>
      <c r="Z1477" s="152"/>
      <c r="AA1477" s="152"/>
      <c r="AB1477" s="152"/>
    </row>
    <row r="1478" spans="1:28" hidden="1" outlineLevel="1">
      <c r="A1478" s="199">
        <f t="shared" ref="A1478:A1497" si="2190">A1477+1</f>
        <v>1</v>
      </c>
      <c r="B1478" s="190" t="str">
        <f t="shared" ref="B1478:B1496" ca="1" si="2191">"Depreciated Net Capex "&amp;OFFSET($C$6,0,A1478)</f>
        <v>Depreciated Net Capex 2016-17</v>
      </c>
      <c r="C1478" s="1424"/>
      <c r="D1478" s="1425">
        <f>(D1472*((1+D$11)^0.5)/D$10)</f>
        <v>0</v>
      </c>
      <c r="E1478" s="1423">
        <f ca="1">IF(D1502="n/a",D1478,IFERROR(IF((OFFSET($C1478,0,$A1478))&lt;0,
MIN(0,D1478-(OFFSET($C1478,0,$A1478)/(OFFSET($C1473,-$A1477,$A1478)))),
MAX(0,D1478-(OFFSET($C1478,0,$A1478)/(OFFSET($C1473,-$A1477,$A1478))))),0))</f>
        <v>0</v>
      </c>
      <c r="F1478" s="1423">
        <f t="shared" ca="1" si="2172"/>
        <v>0</v>
      </c>
      <c r="G1478" s="1423">
        <f t="shared" ca="1" si="2173"/>
        <v>0</v>
      </c>
      <c r="H1478" s="1423">
        <f t="shared" ca="1" si="2174"/>
        <v>0</v>
      </c>
      <c r="I1478" s="1423">
        <f t="shared" ca="1" si="2175"/>
        <v>0</v>
      </c>
      <c r="J1478" s="1423">
        <f t="shared" ca="1" si="2176"/>
        <v>0</v>
      </c>
      <c r="K1478" s="1423">
        <f t="shared" ca="1" si="2177"/>
        <v>0</v>
      </c>
      <c r="L1478" s="1423">
        <f t="shared" ca="1" si="2178"/>
        <v>0</v>
      </c>
      <c r="M1478" s="1423">
        <f t="shared" ca="1" si="2179"/>
        <v>0</v>
      </c>
      <c r="N1478" s="1423">
        <f t="shared" ca="1" si="2180"/>
        <v>0</v>
      </c>
      <c r="O1478" s="1423">
        <f t="shared" ca="1" si="2181"/>
        <v>0</v>
      </c>
      <c r="P1478" s="1423">
        <f t="shared" ca="1" si="2182"/>
        <v>0</v>
      </c>
      <c r="Q1478" s="1423">
        <f t="shared" ca="1" si="2183"/>
        <v>0</v>
      </c>
      <c r="R1478" s="1423">
        <f t="shared" ca="1" si="2184"/>
        <v>0</v>
      </c>
      <c r="S1478" s="1423">
        <f t="shared" ca="1" si="2185"/>
        <v>0</v>
      </c>
      <c r="T1478" s="1423">
        <f t="shared" ca="1" si="2186"/>
        <v>0</v>
      </c>
      <c r="U1478" s="1423">
        <f t="shared" ca="1" si="2187"/>
        <v>0</v>
      </c>
      <c r="V1478" s="1423">
        <f t="shared" ca="1" si="2188"/>
        <v>0</v>
      </c>
      <c r="W1478" s="1423">
        <f t="shared" ca="1" si="2189"/>
        <v>0</v>
      </c>
      <c r="X1478" s="152"/>
      <c r="Y1478" s="152"/>
      <c r="Z1478" s="152"/>
      <c r="AA1478" s="152"/>
      <c r="AB1478" s="152"/>
    </row>
    <row r="1479" spans="1:28" hidden="1" outlineLevel="1">
      <c r="A1479" s="199">
        <f t="shared" si="2190"/>
        <v>2</v>
      </c>
      <c r="B1479" s="190" t="str">
        <f t="shared" ca="1" si="2191"/>
        <v>Depreciated Net Capex 2017-18</v>
      </c>
      <c r="C1479" s="1426"/>
      <c r="D1479" s="1427"/>
      <c r="E1479" s="1425">
        <f>(E1472*((1+E$11)^0.5)/E$10)</f>
        <v>0</v>
      </c>
      <c r="F1479" s="1423">
        <f ca="1">IF(E1503="n/a",E1479,IFERROR(IF((OFFSET($C1479,0,$A1479))&lt;0,
MIN(0,E1479-(OFFSET($C1479,0,$A1479)/(OFFSET($C1474,-$A1478,$A1479)))),
MAX(0,E1479-(OFFSET($C1479,0,$A1479)/(OFFSET($C1474,-$A1478,$A1479))))),0))</f>
        <v>0</v>
      </c>
      <c r="G1479" s="1423">
        <f t="shared" ca="1" si="2173"/>
        <v>0</v>
      </c>
      <c r="H1479" s="1423">
        <f t="shared" ca="1" si="2174"/>
        <v>0</v>
      </c>
      <c r="I1479" s="1423">
        <f t="shared" ca="1" si="2175"/>
        <v>0</v>
      </c>
      <c r="J1479" s="1423">
        <f t="shared" ca="1" si="2176"/>
        <v>0</v>
      </c>
      <c r="K1479" s="1423">
        <f t="shared" ca="1" si="2177"/>
        <v>0</v>
      </c>
      <c r="L1479" s="1423">
        <f t="shared" ca="1" si="2178"/>
        <v>0</v>
      </c>
      <c r="M1479" s="1423">
        <f t="shared" ca="1" si="2179"/>
        <v>0</v>
      </c>
      <c r="N1479" s="1423">
        <f t="shared" ca="1" si="2180"/>
        <v>0</v>
      </c>
      <c r="O1479" s="1423">
        <f t="shared" ca="1" si="2181"/>
        <v>0</v>
      </c>
      <c r="P1479" s="1423">
        <f t="shared" ca="1" si="2182"/>
        <v>0</v>
      </c>
      <c r="Q1479" s="1423">
        <f t="shared" ca="1" si="2183"/>
        <v>0</v>
      </c>
      <c r="R1479" s="1423">
        <f t="shared" ca="1" si="2184"/>
        <v>0</v>
      </c>
      <c r="S1479" s="1423">
        <f t="shared" ca="1" si="2185"/>
        <v>0</v>
      </c>
      <c r="T1479" s="1423">
        <f t="shared" ca="1" si="2186"/>
        <v>0</v>
      </c>
      <c r="U1479" s="1423">
        <f t="shared" ca="1" si="2187"/>
        <v>0</v>
      </c>
      <c r="V1479" s="1423">
        <f t="shared" ca="1" si="2188"/>
        <v>0</v>
      </c>
      <c r="W1479" s="1423">
        <f t="shared" ca="1" si="2189"/>
        <v>0</v>
      </c>
      <c r="X1479" s="202"/>
      <c r="Y1479" s="152"/>
      <c r="Z1479" s="152"/>
      <c r="AA1479" s="152"/>
      <c r="AB1479" s="152"/>
    </row>
    <row r="1480" spans="1:28" hidden="1" outlineLevel="1">
      <c r="A1480" s="199">
        <f t="shared" si="2190"/>
        <v>3</v>
      </c>
      <c r="B1480" s="190" t="str">
        <f t="shared" ca="1" si="2191"/>
        <v>Depreciated Net Capex 2018-19</v>
      </c>
      <c r="C1480" s="1426"/>
      <c r="D1480" s="1426"/>
      <c r="E1480" s="1427"/>
      <c r="F1480" s="1428">
        <f>($F1472*((1+F$11)^0.5)/F$10)</f>
        <v>0</v>
      </c>
      <c r="G1480" s="1423">
        <f ca="1">IF(F1504="n/a",F1480,IFERROR(IF((OFFSET($C1480,0,$A1480))&lt;0,
MIN(0,F1480-(OFFSET($C1480,0,$A1480)/(OFFSET($C1475,-$A1479,$A1480)))),
MAX(0,F1480-(OFFSET($C1480,0,$A1480)/(OFFSET($C1475,-$A1479,$A1480))))),0))</f>
        <v>0</v>
      </c>
      <c r="H1480" s="1423">
        <f t="shared" ca="1" si="2174"/>
        <v>0</v>
      </c>
      <c r="I1480" s="1423">
        <f t="shared" ca="1" si="2175"/>
        <v>0</v>
      </c>
      <c r="J1480" s="1423">
        <f t="shared" ca="1" si="2176"/>
        <v>0</v>
      </c>
      <c r="K1480" s="1423">
        <f t="shared" ca="1" si="2177"/>
        <v>0</v>
      </c>
      <c r="L1480" s="1423">
        <f t="shared" ca="1" si="2178"/>
        <v>0</v>
      </c>
      <c r="M1480" s="1423">
        <f t="shared" ca="1" si="2179"/>
        <v>0</v>
      </c>
      <c r="N1480" s="1423">
        <f t="shared" ca="1" si="2180"/>
        <v>0</v>
      </c>
      <c r="O1480" s="1423">
        <f t="shared" ca="1" si="2181"/>
        <v>0</v>
      </c>
      <c r="P1480" s="1423">
        <f t="shared" ca="1" si="2182"/>
        <v>0</v>
      </c>
      <c r="Q1480" s="1423">
        <f t="shared" ca="1" si="2183"/>
        <v>0</v>
      </c>
      <c r="R1480" s="1423">
        <f t="shared" ca="1" si="2184"/>
        <v>0</v>
      </c>
      <c r="S1480" s="1423">
        <f t="shared" ca="1" si="2185"/>
        <v>0</v>
      </c>
      <c r="T1480" s="1423">
        <f t="shared" ca="1" si="2186"/>
        <v>0</v>
      </c>
      <c r="U1480" s="1423">
        <f t="shared" ca="1" si="2187"/>
        <v>0</v>
      </c>
      <c r="V1480" s="1423">
        <f t="shared" ca="1" si="2188"/>
        <v>0</v>
      </c>
      <c r="W1480" s="1423">
        <f t="shared" ca="1" si="2189"/>
        <v>0</v>
      </c>
      <c r="X1480" s="202"/>
      <c r="Y1480" s="202"/>
      <c r="Z1480" s="152"/>
      <c r="AA1480" s="152"/>
      <c r="AB1480" s="152"/>
    </row>
    <row r="1481" spans="1:28" hidden="1" outlineLevel="1">
      <c r="A1481" s="199">
        <f t="shared" si="2190"/>
        <v>4</v>
      </c>
      <c r="B1481" s="190" t="str">
        <f t="shared" ca="1" si="2191"/>
        <v>Depreciated Net Capex 2019-20</v>
      </c>
      <c r="C1481" s="1426"/>
      <c r="D1481" s="1426"/>
      <c r="E1481" s="1426"/>
      <c r="F1481" s="1427"/>
      <c r="G1481" s="1428">
        <f>($G1472*((1+G$11)^0.5)/G$10)</f>
        <v>0</v>
      </c>
      <c r="H1481" s="1423">
        <f ca="1">IF(G1505="n/a",G1481,IFERROR(IF((OFFSET($C1481,0,$A1481))&lt;0,
MIN(0,G1481-(OFFSET($C1481,0,$A1481)/(OFFSET($C1476,-$A1480,$A1481)))),
MAX(0,G1481-(OFFSET($C1481,0,$A1481)/(OFFSET($C1476,-$A1480,$A1481))))),0))</f>
        <v>0</v>
      </c>
      <c r="I1481" s="1423">
        <f t="shared" ca="1" si="2175"/>
        <v>0</v>
      </c>
      <c r="J1481" s="1423">
        <f t="shared" ca="1" si="2176"/>
        <v>0</v>
      </c>
      <c r="K1481" s="1423">
        <f t="shared" ca="1" si="2177"/>
        <v>0</v>
      </c>
      <c r="L1481" s="1423">
        <f t="shared" ca="1" si="2178"/>
        <v>0</v>
      </c>
      <c r="M1481" s="1423">
        <f t="shared" ca="1" si="2179"/>
        <v>0</v>
      </c>
      <c r="N1481" s="1423">
        <f t="shared" ca="1" si="2180"/>
        <v>0</v>
      </c>
      <c r="O1481" s="1423">
        <f t="shared" ca="1" si="2181"/>
        <v>0</v>
      </c>
      <c r="P1481" s="1423">
        <f t="shared" ca="1" si="2182"/>
        <v>0</v>
      </c>
      <c r="Q1481" s="1423">
        <f t="shared" ca="1" si="2183"/>
        <v>0</v>
      </c>
      <c r="R1481" s="1423">
        <f t="shared" ca="1" si="2184"/>
        <v>0</v>
      </c>
      <c r="S1481" s="1423">
        <f t="shared" ca="1" si="2185"/>
        <v>0</v>
      </c>
      <c r="T1481" s="1423">
        <f t="shared" ca="1" si="2186"/>
        <v>0</v>
      </c>
      <c r="U1481" s="1423">
        <f t="shared" ca="1" si="2187"/>
        <v>0</v>
      </c>
      <c r="V1481" s="1423">
        <f t="shared" ca="1" si="2188"/>
        <v>0</v>
      </c>
      <c r="W1481" s="1423">
        <f t="shared" ca="1" si="2189"/>
        <v>0</v>
      </c>
      <c r="X1481" s="202"/>
      <c r="Y1481" s="202"/>
      <c r="Z1481" s="202"/>
      <c r="AA1481" s="152"/>
      <c r="AB1481" s="152"/>
    </row>
    <row r="1482" spans="1:28" hidden="1" outlineLevel="1">
      <c r="A1482" s="199">
        <f t="shared" si="2190"/>
        <v>5</v>
      </c>
      <c r="B1482" s="190" t="str">
        <f t="shared" ca="1" si="2191"/>
        <v>Depreciated Net Capex 2020-21</v>
      </c>
      <c r="C1482" s="1426"/>
      <c r="D1482" s="1426"/>
      <c r="E1482" s="1426"/>
      <c r="F1482" s="1426"/>
      <c r="G1482" s="1427"/>
      <c r="H1482" s="1428">
        <f>(H1472*((1+H$11)^0.5)/H$10)</f>
        <v>0</v>
      </c>
      <c r="I1482" s="1423">
        <f ca="1">IF(H1506="n/a",H1482,IFERROR(IF((OFFSET($C1482,0,$A1482))&lt;0,
MIN(0,H1482-(OFFSET($C1482,0,$A1482)/(OFFSET($C1477,-$A1481,$A1482)))),
MAX(0,H1482-(OFFSET($C1482,0,$A1482)/(OFFSET($C1477,-$A1481,$A1482))))),0))</f>
        <v>0</v>
      </c>
      <c r="J1482" s="1423">
        <f t="shared" ca="1" si="2176"/>
        <v>0</v>
      </c>
      <c r="K1482" s="1423">
        <f t="shared" ca="1" si="2177"/>
        <v>0</v>
      </c>
      <c r="L1482" s="1423">
        <f t="shared" ca="1" si="2178"/>
        <v>0</v>
      </c>
      <c r="M1482" s="1423">
        <f t="shared" ca="1" si="2179"/>
        <v>0</v>
      </c>
      <c r="N1482" s="1423">
        <f t="shared" ca="1" si="2180"/>
        <v>0</v>
      </c>
      <c r="O1482" s="1423">
        <f t="shared" ca="1" si="2181"/>
        <v>0</v>
      </c>
      <c r="P1482" s="1423">
        <f t="shared" ca="1" si="2182"/>
        <v>0</v>
      </c>
      <c r="Q1482" s="1423">
        <f t="shared" ca="1" si="2183"/>
        <v>0</v>
      </c>
      <c r="R1482" s="1423">
        <f t="shared" ca="1" si="2184"/>
        <v>0</v>
      </c>
      <c r="S1482" s="1423">
        <f t="shared" ca="1" si="2185"/>
        <v>0</v>
      </c>
      <c r="T1482" s="1423">
        <f t="shared" ca="1" si="2186"/>
        <v>0</v>
      </c>
      <c r="U1482" s="1423">
        <f t="shared" ca="1" si="2187"/>
        <v>0</v>
      </c>
      <c r="V1482" s="1423">
        <f t="shared" ca="1" si="2188"/>
        <v>0</v>
      </c>
      <c r="W1482" s="1423">
        <f t="shared" ca="1" si="2189"/>
        <v>0</v>
      </c>
      <c r="X1482" s="202"/>
      <c r="Y1482" s="202"/>
      <c r="Z1482" s="202"/>
      <c r="AA1482" s="152"/>
      <c r="AB1482" s="152"/>
    </row>
    <row r="1483" spans="1:28" hidden="1" outlineLevel="1">
      <c r="A1483" s="199">
        <f t="shared" si="2190"/>
        <v>6</v>
      </c>
      <c r="B1483" s="190" t="str">
        <f t="shared" ca="1" si="2191"/>
        <v>Depreciated Net Capex 2021-22</v>
      </c>
      <c r="C1483" s="1426"/>
      <c r="D1483" s="1426"/>
      <c r="E1483" s="1426"/>
      <c r="F1483" s="1426"/>
      <c r="G1483" s="1426"/>
      <c r="H1483" s="1427"/>
      <c r="I1483" s="1428">
        <f>(I1472*((1+I$11)^0.5)/I$10)</f>
        <v>0</v>
      </c>
      <c r="J1483" s="1423">
        <f ca="1">IF(I1507="n/a",I1483,IFERROR(IF((OFFSET($C1483,0,$A1483))&lt;0,
MIN(0,I1483-(OFFSET($C1483,0,$A1483)/(OFFSET($C1478,-$A1482,$A1483)))),
MAX(0,I1483-(OFFSET($C1483,0,$A1483)/(OFFSET($C1478,-$A1482,$A1483))))),0))</f>
        <v>0</v>
      </c>
      <c r="K1483" s="1423">
        <f t="shared" ca="1" si="2177"/>
        <v>0</v>
      </c>
      <c r="L1483" s="1423">
        <f t="shared" ca="1" si="2178"/>
        <v>0</v>
      </c>
      <c r="M1483" s="1423">
        <f t="shared" ca="1" si="2179"/>
        <v>0</v>
      </c>
      <c r="N1483" s="1423">
        <f t="shared" ca="1" si="2180"/>
        <v>0</v>
      </c>
      <c r="O1483" s="1423">
        <f t="shared" ca="1" si="2181"/>
        <v>0</v>
      </c>
      <c r="P1483" s="1423">
        <f t="shared" ca="1" si="2182"/>
        <v>0</v>
      </c>
      <c r="Q1483" s="1423">
        <f t="shared" ca="1" si="2183"/>
        <v>0</v>
      </c>
      <c r="R1483" s="1423">
        <f t="shared" ca="1" si="2184"/>
        <v>0</v>
      </c>
      <c r="S1483" s="1423">
        <f t="shared" ca="1" si="2185"/>
        <v>0</v>
      </c>
      <c r="T1483" s="1423">
        <f t="shared" ca="1" si="2186"/>
        <v>0</v>
      </c>
      <c r="U1483" s="1423">
        <f t="shared" ca="1" si="2187"/>
        <v>0</v>
      </c>
      <c r="V1483" s="1423">
        <f t="shared" ca="1" si="2188"/>
        <v>0</v>
      </c>
      <c r="W1483" s="1423">
        <f t="shared" ca="1" si="2189"/>
        <v>0</v>
      </c>
      <c r="X1483" s="202"/>
      <c r="Y1483" s="202"/>
      <c r="Z1483" s="202"/>
      <c r="AA1483" s="152"/>
      <c r="AB1483" s="152"/>
    </row>
    <row r="1484" spans="1:28" hidden="1" outlineLevel="1">
      <c r="A1484" s="199">
        <f t="shared" si="2190"/>
        <v>7</v>
      </c>
      <c r="B1484" s="190" t="str">
        <f t="shared" ca="1" si="2191"/>
        <v>Depreciated Net Capex 2022-23</v>
      </c>
      <c r="C1484" s="1426"/>
      <c r="D1484" s="1426"/>
      <c r="E1484" s="1426"/>
      <c r="F1484" s="1426"/>
      <c r="G1484" s="1426"/>
      <c r="H1484" s="1426"/>
      <c r="I1484" s="1427"/>
      <c r="J1484" s="1428">
        <f>(J1472*((1+J$11)^0.5)/J$10)</f>
        <v>0</v>
      </c>
      <c r="K1484" s="1423">
        <f ca="1">IF(J1508="n/a",J1484,IFERROR(IF((OFFSET($C1484,0,$A1484))&lt;0,
MIN(0,J1484-(OFFSET($C1484,0,$A1484)/(OFFSET($C1479,-$A1483,$A1484)))),
MAX(0,J1484-(OFFSET($C1484,0,$A1484)/(OFFSET($C1479,-$A1483,$A1484))))),0))</f>
        <v>0</v>
      </c>
      <c r="L1484" s="1423">
        <f t="shared" ca="1" si="2178"/>
        <v>0</v>
      </c>
      <c r="M1484" s="1423">
        <f t="shared" ca="1" si="2179"/>
        <v>0</v>
      </c>
      <c r="N1484" s="1423">
        <f t="shared" ca="1" si="2180"/>
        <v>0</v>
      </c>
      <c r="O1484" s="1423">
        <f t="shared" ca="1" si="2181"/>
        <v>0</v>
      </c>
      <c r="P1484" s="1423">
        <f t="shared" ca="1" si="2182"/>
        <v>0</v>
      </c>
      <c r="Q1484" s="1423">
        <f t="shared" ca="1" si="2183"/>
        <v>0</v>
      </c>
      <c r="R1484" s="1423">
        <f t="shared" ca="1" si="2184"/>
        <v>0</v>
      </c>
      <c r="S1484" s="1423">
        <f t="shared" ca="1" si="2185"/>
        <v>0</v>
      </c>
      <c r="T1484" s="1423">
        <f t="shared" ca="1" si="2186"/>
        <v>0</v>
      </c>
      <c r="U1484" s="1423">
        <f t="shared" ca="1" si="2187"/>
        <v>0</v>
      </c>
      <c r="V1484" s="1423">
        <f t="shared" ca="1" si="2188"/>
        <v>0</v>
      </c>
      <c r="W1484" s="1423">
        <f t="shared" ca="1" si="2189"/>
        <v>0</v>
      </c>
      <c r="X1484" s="202"/>
      <c r="Y1484" s="202"/>
      <c r="Z1484" s="202"/>
      <c r="AA1484" s="152"/>
      <c r="AB1484" s="152"/>
    </row>
    <row r="1485" spans="1:28" hidden="1" outlineLevel="1">
      <c r="A1485" s="199">
        <f t="shared" si="2190"/>
        <v>8</v>
      </c>
      <c r="B1485" s="190" t="str">
        <f t="shared" ca="1" si="2191"/>
        <v>Depreciated Net Capex 2023-24</v>
      </c>
      <c r="C1485" s="1426"/>
      <c r="D1485" s="1426"/>
      <c r="E1485" s="1426"/>
      <c r="F1485" s="1426"/>
      <c r="G1485" s="1426"/>
      <c r="H1485" s="1426"/>
      <c r="I1485" s="1426"/>
      <c r="J1485" s="1427"/>
      <c r="K1485" s="1428">
        <f>(K1472*((1+K$11)^0.5)/K$10)</f>
        <v>0</v>
      </c>
      <c r="L1485" s="1423">
        <f ca="1">IF(K1509="n/a",K1485,IFERROR(IF((OFFSET($C1485,0,$A1485))&lt;0,
MIN(0,K1485-(OFFSET($C1485,0,$A1485)/(OFFSET($C1480,-$A1484,$A1485)))),
MAX(0,K1485-(OFFSET($C1485,0,$A1485)/(OFFSET($C1480,-$A1484,$A1485))))),0))</f>
        <v>0</v>
      </c>
      <c r="M1485" s="1423">
        <f t="shared" ca="1" si="2179"/>
        <v>0</v>
      </c>
      <c r="N1485" s="1423">
        <f t="shared" ca="1" si="2180"/>
        <v>0</v>
      </c>
      <c r="O1485" s="1423">
        <f t="shared" ca="1" si="2181"/>
        <v>0</v>
      </c>
      <c r="P1485" s="1423">
        <f t="shared" ca="1" si="2182"/>
        <v>0</v>
      </c>
      <c r="Q1485" s="1423">
        <f t="shared" ca="1" si="2183"/>
        <v>0</v>
      </c>
      <c r="R1485" s="1423">
        <f t="shared" ca="1" si="2184"/>
        <v>0</v>
      </c>
      <c r="S1485" s="1423">
        <f t="shared" ca="1" si="2185"/>
        <v>0</v>
      </c>
      <c r="T1485" s="1423">
        <f t="shared" ca="1" si="2186"/>
        <v>0</v>
      </c>
      <c r="U1485" s="1423">
        <f t="shared" ca="1" si="2187"/>
        <v>0</v>
      </c>
      <c r="V1485" s="1423">
        <f t="shared" ca="1" si="2188"/>
        <v>0</v>
      </c>
      <c r="W1485" s="1423">
        <f t="shared" ca="1" si="2189"/>
        <v>0</v>
      </c>
      <c r="X1485" s="202"/>
      <c r="Y1485" s="202"/>
      <c r="Z1485" s="202"/>
      <c r="AA1485" s="152"/>
      <c r="AB1485" s="152"/>
    </row>
    <row r="1486" spans="1:28" hidden="1" outlineLevel="1">
      <c r="A1486" s="199">
        <f t="shared" si="2190"/>
        <v>9</v>
      </c>
      <c r="B1486" s="190" t="str">
        <f t="shared" ca="1" si="2191"/>
        <v>Depreciated Net Capex 2024-25</v>
      </c>
      <c r="C1486" s="1426"/>
      <c r="D1486" s="1426"/>
      <c r="E1486" s="1426"/>
      <c r="F1486" s="1426"/>
      <c r="G1486" s="1426"/>
      <c r="H1486" s="1426"/>
      <c r="I1486" s="1426"/>
      <c r="J1486" s="1426"/>
      <c r="K1486" s="1427"/>
      <c r="L1486" s="1428">
        <f>(L1472*((1+L$11)^0.5)/L$10)</f>
        <v>0</v>
      </c>
      <c r="M1486" s="1423">
        <f ca="1">IF(L1510="n/a",L1486,IFERROR(IF((OFFSET($C1486,0,$A1486))&lt;0,
MIN(0,L1486-(OFFSET($C1486,0,$A1486)/(OFFSET($C1481,-$A1485,$A1486)))),
MAX(0,L1486-(OFFSET($C1486,0,$A1486)/(OFFSET($C1481,-$A1485,$A1486))))),0))</f>
        <v>0</v>
      </c>
      <c r="N1486" s="1423">
        <f t="shared" ca="1" si="2180"/>
        <v>0</v>
      </c>
      <c r="O1486" s="1423">
        <f t="shared" ca="1" si="2181"/>
        <v>0</v>
      </c>
      <c r="P1486" s="1423">
        <f t="shared" ca="1" si="2182"/>
        <v>0</v>
      </c>
      <c r="Q1486" s="1423">
        <f t="shared" ca="1" si="2183"/>
        <v>0</v>
      </c>
      <c r="R1486" s="1423">
        <f t="shared" ca="1" si="2184"/>
        <v>0</v>
      </c>
      <c r="S1486" s="1423">
        <f t="shared" ca="1" si="2185"/>
        <v>0</v>
      </c>
      <c r="T1486" s="1423">
        <f t="shared" ca="1" si="2186"/>
        <v>0</v>
      </c>
      <c r="U1486" s="1423">
        <f t="shared" ca="1" si="2187"/>
        <v>0</v>
      </c>
      <c r="V1486" s="1423">
        <f t="shared" ca="1" si="2188"/>
        <v>0</v>
      </c>
      <c r="W1486" s="1423">
        <f t="shared" ca="1" si="2189"/>
        <v>0</v>
      </c>
      <c r="X1486" s="202"/>
      <c r="Y1486" s="202"/>
      <c r="Z1486" s="202"/>
      <c r="AA1486" s="152"/>
      <c r="AB1486" s="152"/>
    </row>
    <row r="1487" spans="1:28" hidden="1" outlineLevel="1">
      <c r="A1487" s="199">
        <f t="shared" si="2190"/>
        <v>10</v>
      </c>
      <c r="B1487" s="190" t="str">
        <f t="shared" ca="1" si="2191"/>
        <v>Depreciated Net Capex 2025-26</v>
      </c>
      <c r="C1487" s="1426"/>
      <c r="D1487" s="1426"/>
      <c r="E1487" s="1426"/>
      <c r="F1487" s="1426"/>
      <c r="G1487" s="1426"/>
      <c r="H1487" s="1426"/>
      <c r="I1487" s="1426"/>
      <c r="J1487" s="1426"/>
      <c r="K1487" s="1426"/>
      <c r="L1487" s="1427"/>
      <c r="M1487" s="1428">
        <f>(M1472*((1+M$11)^0.5)/M$10)</f>
        <v>0</v>
      </c>
      <c r="N1487" s="1423">
        <f ca="1">IF(M1511="n/a",M1487,IFERROR(IF((OFFSET($C1487,0,$A1487))&lt;0,
MIN(0,M1487-(OFFSET($C1487,0,$A1487)/(OFFSET($C1482,-$A1486,$A1487)))),
MAX(0,M1487-(OFFSET($C1487,0,$A1487)/(OFFSET($C1482,-$A1486,$A1487))))),0))</f>
        <v>0</v>
      </c>
      <c r="O1487" s="1423">
        <f t="shared" ca="1" si="2181"/>
        <v>0</v>
      </c>
      <c r="P1487" s="1423">
        <f t="shared" ca="1" si="2182"/>
        <v>0</v>
      </c>
      <c r="Q1487" s="1423">
        <f t="shared" ca="1" si="2183"/>
        <v>0</v>
      </c>
      <c r="R1487" s="1423">
        <f t="shared" ca="1" si="2184"/>
        <v>0</v>
      </c>
      <c r="S1487" s="1423">
        <f t="shared" ca="1" si="2185"/>
        <v>0</v>
      </c>
      <c r="T1487" s="1423">
        <f t="shared" ca="1" si="2186"/>
        <v>0</v>
      </c>
      <c r="U1487" s="1423">
        <f t="shared" ca="1" si="2187"/>
        <v>0</v>
      </c>
      <c r="V1487" s="1423">
        <f t="shared" ca="1" si="2188"/>
        <v>0</v>
      </c>
      <c r="W1487" s="1423">
        <f t="shared" ca="1" si="2189"/>
        <v>0</v>
      </c>
      <c r="X1487" s="202"/>
      <c r="Y1487" s="202"/>
      <c r="Z1487" s="202"/>
      <c r="AA1487" s="152"/>
      <c r="AB1487" s="152"/>
    </row>
    <row r="1488" spans="1:28" hidden="1" outlineLevel="1">
      <c r="A1488" s="199">
        <f t="shared" si="2190"/>
        <v>11</v>
      </c>
      <c r="B1488" s="190" t="str">
        <f t="shared" ca="1" si="2191"/>
        <v>Depreciated Net Capex 2026-27</v>
      </c>
      <c r="C1488" s="1426"/>
      <c r="D1488" s="1426"/>
      <c r="E1488" s="1426"/>
      <c r="F1488" s="1426"/>
      <c r="G1488" s="1426"/>
      <c r="H1488" s="1426"/>
      <c r="I1488" s="1426"/>
      <c r="J1488" s="1426"/>
      <c r="K1488" s="1426"/>
      <c r="L1488" s="1426"/>
      <c r="M1488" s="1427"/>
      <c r="N1488" s="1428">
        <f>(N1472*((1+N$11)^0.5)/N$10)</f>
        <v>0</v>
      </c>
      <c r="O1488" s="1423">
        <f ca="1">IF(N1512="n/a",N1488,IFERROR(IF((OFFSET($C1488,0,$A1488))&lt;0,
MIN(0,N1488-(OFFSET($C1488,0,$A1488)/(OFFSET($C1483,-$A1487,$A1488)))),
MAX(0,N1488-(OFFSET($C1488,0,$A1488)/(OFFSET($C1483,-$A1487,$A1488))))),0))</f>
        <v>0</v>
      </c>
      <c r="P1488" s="1423">
        <f t="shared" ca="1" si="2182"/>
        <v>0</v>
      </c>
      <c r="Q1488" s="1423">
        <f t="shared" ca="1" si="2183"/>
        <v>0</v>
      </c>
      <c r="R1488" s="1423">
        <f t="shared" ca="1" si="2184"/>
        <v>0</v>
      </c>
      <c r="S1488" s="1423">
        <f t="shared" ca="1" si="2185"/>
        <v>0</v>
      </c>
      <c r="T1488" s="1423">
        <f t="shared" ca="1" si="2186"/>
        <v>0</v>
      </c>
      <c r="U1488" s="1423">
        <f t="shared" ca="1" si="2187"/>
        <v>0</v>
      </c>
      <c r="V1488" s="1423">
        <f t="shared" ca="1" si="2188"/>
        <v>0</v>
      </c>
      <c r="W1488" s="1423">
        <f t="shared" ca="1" si="2189"/>
        <v>0</v>
      </c>
      <c r="X1488" s="202"/>
      <c r="Y1488" s="202"/>
      <c r="Z1488" s="202"/>
      <c r="AA1488" s="152"/>
      <c r="AB1488" s="152"/>
    </row>
    <row r="1489" spans="1:28" hidden="1" outlineLevel="1">
      <c r="A1489" s="199">
        <f t="shared" si="2190"/>
        <v>12</v>
      </c>
      <c r="B1489" s="190" t="str">
        <f t="shared" ca="1" si="2191"/>
        <v>Depreciated Net Capex 2027-28</v>
      </c>
      <c r="C1489" s="1426"/>
      <c r="D1489" s="1426"/>
      <c r="E1489" s="1426"/>
      <c r="F1489" s="1426"/>
      <c r="G1489" s="1426"/>
      <c r="H1489" s="1426"/>
      <c r="I1489" s="1426"/>
      <c r="J1489" s="1426"/>
      <c r="K1489" s="1426"/>
      <c r="L1489" s="1426"/>
      <c r="M1489" s="1426"/>
      <c r="N1489" s="1427"/>
      <c r="O1489" s="1428">
        <f>(O1472*((1+O$11)^0.5)/O$10)</f>
        <v>0</v>
      </c>
      <c r="P1489" s="1423">
        <f ca="1">IF(O1513="n/a",O1489,IFERROR(IF((OFFSET($C1489,0,$A1489))&lt;0,
MIN(0,O1489-(OFFSET($C1489,0,$A1489)/(OFFSET($C1484,-$A1488,$A1489)))),
MAX(0,O1489-(OFFSET($C1489,0,$A1489)/(OFFSET($C1484,-$A1488,$A1489))))),0))</f>
        <v>0</v>
      </c>
      <c r="Q1489" s="1423">
        <f t="shared" ca="1" si="2183"/>
        <v>0</v>
      </c>
      <c r="R1489" s="1423">
        <f t="shared" ca="1" si="2184"/>
        <v>0</v>
      </c>
      <c r="S1489" s="1423">
        <f t="shared" ca="1" si="2185"/>
        <v>0</v>
      </c>
      <c r="T1489" s="1423">
        <f t="shared" ca="1" si="2186"/>
        <v>0</v>
      </c>
      <c r="U1489" s="1423">
        <f t="shared" ca="1" si="2187"/>
        <v>0</v>
      </c>
      <c r="V1489" s="1423">
        <f t="shared" ca="1" si="2188"/>
        <v>0</v>
      </c>
      <c r="W1489" s="1423">
        <f t="shared" ca="1" si="2189"/>
        <v>0</v>
      </c>
      <c r="X1489" s="202"/>
      <c r="Y1489" s="202"/>
      <c r="Z1489" s="202"/>
      <c r="AA1489" s="152"/>
      <c r="AB1489" s="152"/>
    </row>
    <row r="1490" spans="1:28" hidden="1" outlineLevel="1">
      <c r="A1490" s="199">
        <f t="shared" si="2190"/>
        <v>13</v>
      </c>
      <c r="B1490" s="190" t="str">
        <f t="shared" ca="1" si="2191"/>
        <v>Depreciated Net Capex 2028-29</v>
      </c>
      <c r="C1490" s="1426"/>
      <c r="D1490" s="1426"/>
      <c r="E1490" s="1426"/>
      <c r="F1490" s="1426"/>
      <c r="G1490" s="1426"/>
      <c r="H1490" s="1426"/>
      <c r="I1490" s="1426"/>
      <c r="J1490" s="1426"/>
      <c r="K1490" s="1426"/>
      <c r="L1490" s="1426"/>
      <c r="M1490" s="1426"/>
      <c r="N1490" s="1426"/>
      <c r="O1490" s="1427"/>
      <c r="P1490" s="1428">
        <f>(P1472*((1+P$11)^0.5)/P$10)</f>
        <v>0</v>
      </c>
      <c r="Q1490" s="1423">
        <f ca="1">IF(P1514="n/a",P1490,IFERROR(IF((OFFSET($C1490,0,$A1490))&lt;0,
MIN(0,P1490-(OFFSET($C1490,0,$A1490)/(OFFSET($C1485,-$A1489,$A1490)))),
MAX(0,P1490-(OFFSET($C1490,0,$A1490)/(OFFSET($C1485,-$A1489,$A1490))))),0))</f>
        <v>0</v>
      </c>
      <c r="R1490" s="1423">
        <f t="shared" ca="1" si="2184"/>
        <v>0</v>
      </c>
      <c r="S1490" s="1423">
        <f t="shared" ca="1" si="2185"/>
        <v>0</v>
      </c>
      <c r="T1490" s="1423">
        <f t="shared" ca="1" si="2186"/>
        <v>0</v>
      </c>
      <c r="U1490" s="1423">
        <f t="shared" ca="1" si="2187"/>
        <v>0</v>
      </c>
      <c r="V1490" s="1423">
        <f t="shared" ca="1" si="2188"/>
        <v>0</v>
      </c>
      <c r="W1490" s="1423">
        <f t="shared" ca="1" si="2189"/>
        <v>0</v>
      </c>
      <c r="X1490" s="202"/>
      <c r="Y1490" s="202"/>
      <c r="Z1490" s="202"/>
      <c r="AA1490" s="152"/>
      <c r="AB1490" s="152"/>
    </row>
    <row r="1491" spans="1:28" hidden="1" outlineLevel="1">
      <c r="A1491" s="199">
        <f t="shared" si="2190"/>
        <v>14</v>
      </c>
      <c r="B1491" s="190" t="str">
        <f t="shared" ca="1" si="2191"/>
        <v>Depreciated Net Capex 2029-30</v>
      </c>
      <c r="C1491" s="1426"/>
      <c r="D1491" s="1426"/>
      <c r="E1491" s="1426"/>
      <c r="F1491" s="1426"/>
      <c r="G1491" s="1426"/>
      <c r="H1491" s="1426"/>
      <c r="I1491" s="1426"/>
      <c r="J1491" s="1426"/>
      <c r="K1491" s="1426"/>
      <c r="L1491" s="1426"/>
      <c r="M1491" s="1426"/>
      <c r="N1491" s="1426"/>
      <c r="O1491" s="1426"/>
      <c r="P1491" s="1427"/>
      <c r="Q1491" s="1428">
        <f>(Q1472*((1+Q$11)^0.5)/Q$10)</f>
        <v>0</v>
      </c>
      <c r="R1491" s="1423">
        <f ca="1">IF(Q1515="n/a",Q1491,IFERROR(IF((OFFSET($C1491,0,$A1491))&lt;0,
MIN(0,Q1491-(OFFSET($C1491,0,$A1491)/(OFFSET($C1486,-$A1490,$A1491)))),
MAX(0,Q1491-(OFFSET($C1491,0,$A1491)/(OFFSET($C1486,-$A1490,$A1491))))),0))</f>
        <v>0</v>
      </c>
      <c r="S1491" s="1423">
        <f t="shared" ca="1" si="2185"/>
        <v>0</v>
      </c>
      <c r="T1491" s="1423">
        <f t="shared" ca="1" si="2186"/>
        <v>0</v>
      </c>
      <c r="U1491" s="1423">
        <f t="shared" ca="1" si="2187"/>
        <v>0</v>
      </c>
      <c r="V1491" s="1423">
        <f t="shared" ca="1" si="2188"/>
        <v>0</v>
      </c>
      <c r="W1491" s="1423">
        <f t="shared" ca="1" si="2189"/>
        <v>0</v>
      </c>
      <c r="X1491" s="202"/>
      <c r="Y1491" s="202"/>
      <c r="Z1491" s="202"/>
      <c r="AA1491" s="152"/>
      <c r="AB1491" s="152"/>
    </row>
    <row r="1492" spans="1:28" hidden="1" outlineLevel="1">
      <c r="A1492" s="199">
        <f t="shared" si="2190"/>
        <v>15</v>
      </c>
      <c r="B1492" s="190" t="str">
        <f t="shared" ca="1" si="2191"/>
        <v>Depreciated Net Capex 2030-31</v>
      </c>
      <c r="C1492" s="1426"/>
      <c r="D1492" s="1426"/>
      <c r="E1492" s="1426"/>
      <c r="F1492" s="1426"/>
      <c r="G1492" s="1426"/>
      <c r="H1492" s="1426"/>
      <c r="I1492" s="1426"/>
      <c r="J1492" s="1426"/>
      <c r="K1492" s="1426"/>
      <c r="L1492" s="1426"/>
      <c r="M1492" s="1426"/>
      <c r="N1492" s="1426"/>
      <c r="O1492" s="1426"/>
      <c r="P1492" s="1426"/>
      <c r="Q1492" s="1427"/>
      <c r="R1492" s="1428">
        <f>(R1472*((1+R$11)^0.5)/R$10)</f>
        <v>0</v>
      </c>
      <c r="S1492" s="1423">
        <f ca="1">IF(R1516="n/a",R1492,IFERROR(IF((OFFSET($C1492,0,$A1492))&lt;0,
MIN(0,R1492-(OFFSET($C1492,0,$A1492)/(OFFSET($C1487,-$A1491,$A1492)))),
MAX(0,R1492-(OFFSET($C1492,0,$A1492)/(OFFSET($C1487,-$A1491,$A1492))))),0))</f>
        <v>0</v>
      </c>
      <c r="T1492" s="1423">
        <f t="shared" ca="1" si="2186"/>
        <v>0</v>
      </c>
      <c r="U1492" s="1423">
        <f t="shared" ca="1" si="2187"/>
        <v>0</v>
      </c>
      <c r="V1492" s="1423">
        <f t="shared" ca="1" si="2188"/>
        <v>0</v>
      </c>
      <c r="W1492" s="1423">
        <f t="shared" ca="1" si="2189"/>
        <v>0</v>
      </c>
      <c r="X1492" s="202"/>
      <c r="Y1492" s="202"/>
      <c r="Z1492" s="202"/>
      <c r="AA1492" s="152"/>
      <c r="AB1492" s="152"/>
    </row>
    <row r="1493" spans="1:28" hidden="1" outlineLevel="1">
      <c r="A1493" s="199">
        <f t="shared" si="2190"/>
        <v>16</v>
      </c>
      <c r="B1493" s="190" t="str">
        <f t="shared" ca="1" si="2191"/>
        <v>Depreciated Net Capex 2031-32</v>
      </c>
      <c r="C1493" s="1426"/>
      <c r="D1493" s="1426"/>
      <c r="E1493" s="1426"/>
      <c r="F1493" s="1426"/>
      <c r="G1493" s="1426"/>
      <c r="H1493" s="1426"/>
      <c r="I1493" s="1426"/>
      <c r="J1493" s="1426"/>
      <c r="K1493" s="1426"/>
      <c r="L1493" s="1426"/>
      <c r="M1493" s="1426"/>
      <c r="N1493" s="1426"/>
      <c r="O1493" s="1426"/>
      <c r="P1493" s="1426"/>
      <c r="Q1493" s="1426"/>
      <c r="R1493" s="1427"/>
      <c r="S1493" s="1428">
        <f>(S1472*((1+S$11)^0.5)/S$10)</f>
        <v>0</v>
      </c>
      <c r="T1493" s="1423">
        <f ca="1">IF(S1517="n/a",S1493,IFERROR(IF((OFFSET($C1493,0,$A1493))&lt;0,
MIN(0,S1493-(OFFSET($C1493,0,$A1493)/(OFFSET($C1488,-$A1492,$A1493)))),
MAX(0,S1493-(OFFSET($C1493,0,$A1493)/(OFFSET($C1488,-$A1492,$A1493))))),0))</f>
        <v>0</v>
      </c>
      <c r="U1493" s="1423">
        <f t="shared" ca="1" si="2187"/>
        <v>0</v>
      </c>
      <c r="V1493" s="1423">
        <f t="shared" ca="1" si="2188"/>
        <v>0</v>
      </c>
      <c r="W1493" s="1423">
        <f t="shared" ca="1" si="2189"/>
        <v>0</v>
      </c>
      <c r="X1493" s="202"/>
      <c r="Y1493" s="202"/>
      <c r="Z1493" s="202"/>
      <c r="AA1493" s="152"/>
      <c r="AB1493" s="152"/>
    </row>
    <row r="1494" spans="1:28" hidden="1" outlineLevel="1">
      <c r="A1494" s="199">
        <f t="shared" si="2190"/>
        <v>17</v>
      </c>
      <c r="B1494" s="190" t="str">
        <f t="shared" ca="1" si="2191"/>
        <v>Depreciated Net Capex 2032-33</v>
      </c>
      <c r="C1494" s="1426"/>
      <c r="D1494" s="1426"/>
      <c r="E1494" s="1426"/>
      <c r="F1494" s="1426"/>
      <c r="G1494" s="1426"/>
      <c r="H1494" s="1426"/>
      <c r="I1494" s="1426"/>
      <c r="J1494" s="1426"/>
      <c r="K1494" s="1426"/>
      <c r="L1494" s="1426"/>
      <c r="M1494" s="1426"/>
      <c r="N1494" s="1426"/>
      <c r="O1494" s="1426"/>
      <c r="P1494" s="1426"/>
      <c r="Q1494" s="1426"/>
      <c r="R1494" s="1426"/>
      <c r="S1494" s="1427"/>
      <c r="T1494" s="1428">
        <f>(T1472*((1+T$11)^0.5)/T$10)</f>
        <v>0</v>
      </c>
      <c r="U1494" s="1423">
        <f ca="1">IF(T1518="n/a",T1494,IFERROR(IF((OFFSET($C1494,0,$A1494))&lt;0,
MIN(0,T1494-(OFFSET($C1494,0,$A1494)/(OFFSET($C1489,-$A1493,$A1494)))),
MAX(0,T1494-(OFFSET($C1494,0,$A1494)/(OFFSET($C1489,-$A1493,$A1494))))),0))</f>
        <v>0</v>
      </c>
      <c r="V1494" s="1423">
        <f t="shared" ca="1" si="2188"/>
        <v>0</v>
      </c>
      <c r="W1494" s="1423">
        <f t="shared" ca="1" si="2189"/>
        <v>0</v>
      </c>
      <c r="X1494" s="202"/>
      <c r="Y1494" s="202"/>
      <c r="Z1494" s="202"/>
      <c r="AA1494" s="152"/>
      <c r="AB1494" s="152"/>
    </row>
    <row r="1495" spans="1:28" hidden="1" outlineLevel="1">
      <c r="A1495" s="199">
        <f t="shared" si="2190"/>
        <v>18</v>
      </c>
      <c r="B1495" s="190" t="str">
        <f t="shared" ca="1" si="2191"/>
        <v>Depreciated Net Capex 2033-34</v>
      </c>
      <c r="C1495" s="1426"/>
      <c r="D1495" s="1426"/>
      <c r="E1495" s="1426"/>
      <c r="F1495" s="1426"/>
      <c r="G1495" s="1426"/>
      <c r="H1495" s="1426"/>
      <c r="I1495" s="1426"/>
      <c r="J1495" s="1426"/>
      <c r="K1495" s="1426"/>
      <c r="L1495" s="1426"/>
      <c r="M1495" s="1426"/>
      <c r="N1495" s="1426"/>
      <c r="O1495" s="1426"/>
      <c r="P1495" s="1426"/>
      <c r="Q1495" s="1426"/>
      <c r="R1495" s="1426"/>
      <c r="S1495" s="1426"/>
      <c r="T1495" s="1427"/>
      <c r="U1495" s="1428">
        <f>(U1472*((1+U$11)^0.5)/U$10)</f>
        <v>0</v>
      </c>
      <c r="V1495" s="1423">
        <f ca="1">IF(U1519="n/a",U1495,IFERROR(IF((OFFSET($C1495,0,$A1495))&lt;0,
MIN(0,U1495-(OFFSET($C1495,0,$A1495)/(OFFSET($C1490,-$A1494,$A1495)))),
MAX(0,U1495-(OFFSET($C1495,0,$A1495)/(OFFSET($C1490,-$A1494,$A1495))))),0))</f>
        <v>0</v>
      </c>
      <c r="W1495" s="1423">
        <f t="shared" ca="1" si="2189"/>
        <v>0</v>
      </c>
      <c r="X1495" s="202"/>
      <c r="Y1495" s="202"/>
      <c r="Z1495" s="202"/>
      <c r="AA1495" s="152"/>
      <c r="AB1495" s="152"/>
    </row>
    <row r="1496" spans="1:28" hidden="1" outlineLevel="1">
      <c r="A1496" s="199">
        <f t="shared" si="2190"/>
        <v>19</v>
      </c>
      <c r="B1496" s="190" t="str">
        <f t="shared" ca="1" si="2191"/>
        <v>Depreciated Net Capex 2034-35</v>
      </c>
      <c r="C1496" s="1426"/>
      <c r="D1496" s="1426"/>
      <c r="E1496" s="1426"/>
      <c r="F1496" s="1426"/>
      <c r="G1496" s="1426"/>
      <c r="H1496" s="1426"/>
      <c r="I1496" s="1426"/>
      <c r="J1496" s="1426"/>
      <c r="K1496" s="1426"/>
      <c r="L1496" s="1426"/>
      <c r="M1496" s="1426"/>
      <c r="N1496" s="1426"/>
      <c r="O1496" s="1426"/>
      <c r="P1496" s="1426"/>
      <c r="Q1496" s="1426"/>
      <c r="R1496" s="1426"/>
      <c r="S1496" s="1426"/>
      <c r="T1496" s="1426"/>
      <c r="U1496" s="1427"/>
      <c r="V1496" s="1428">
        <f>(V1472*((1+V$11)^0.5)/V$10)</f>
        <v>0</v>
      </c>
      <c r="W1496" s="1423">
        <f ca="1">IF(V1520="n/a",V1496,IFERROR(IF((OFFSET($C1496,0,$A1496))&lt;0,
MIN(0,V1496-(OFFSET($C1496,0,$A1496)/(OFFSET($C1491,-$A1495,$A1496)))),
MAX(0,V1496-(OFFSET($C1496,0,$A1496)/(OFFSET($C1491,-$A1495,$A1496))))),0))</f>
        <v>0</v>
      </c>
      <c r="X1496" s="202"/>
      <c r="Y1496" s="202"/>
      <c r="Z1496" s="202"/>
      <c r="AA1496" s="152"/>
      <c r="AB1496" s="152"/>
    </row>
    <row r="1497" spans="1:28" hidden="1" outlineLevel="1">
      <c r="A1497" s="199">
        <f t="shared" si="2190"/>
        <v>20</v>
      </c>
      <c r="B1497" s="190" t="str">
        <f ca="1">"Depreciated Net Capex "&amp;OFFSET($C$6,0,A1497)</f>
        <v>Depreciated Net Capex 2035-36</v>
      </c>
      <c r="C1497" s="1426"/>
      <c r="D1497" s="1426"/>
      <c r="E1497" s="1426"/>
      <c r="F1497" s="1426"/>
      <c r="G1497" s="1426"/>
      <c r="H1497" s="1426"/>
      <c r="I1497" s="1426"/>
      <c r="J1497" s="1426"/>
      <c r="K1497" s="1426"/>
      <c r="L1497" s="1426"/>
      <c r="M1497" s="1426"/>
      <c r="N1497" s="1426"/>
      <c r="O1497" s="1426"/>
      <c r="P1497" s="1426"/>
      <c r="Q1497" s="1426"/>
      <c r="R1497" s="1426"/>
      <c r="S1497" s="1426"/>
      <c r="T1497" s="1426"/>
      <c r="U1497" s="1426"/>
      <c r="V1497" s="1427"/>
      <c r="W1497" s="1423">
        <f>(W1472*((1+W$11)^0.5)/W$10)</f>
        <v>0</v>
      </c>
      <c r="X1497" s="152"/>
      <c r="Y1497" s="152"/>
      <c r="Z1497" s="152"/>
      <c r="AA1497" s="152"/>
      <c r="AB1497" s="152"/>
    </row>
    <row r="1498" spans="1:28" hidden="1" outlineLevel="1">
      <c r="A1498" s="152"/>
      <c r="B1498" s="200"/>
      <c r="C1498" s="1423"/>
      <c r="D1498" s="1423"/>
      <c r="E1498" s="1423"/>
      <c r="F1498" s="1423"/>
      <c r="G1498" s="1423"/>
      <c r="H1498" s="1423"/>
      <c r="I1498" s="1423"/>
      <c r="J1498" s="1423"/>
      <c r="K1498" s="1423"/>
      <c r="L1498" s="1423"/>
      <c r="M1498" s="1423"/>
      <c r="N1498" s="1423"/>
      <c r="O1498" s="1423"/>
      <c r="P1498" s="1423"/>
      <c r="Q1498" s="1423"/>
      <c r="R1498" s="1423"/>
      <c r="S1498" s="1423"/>
      <c r="T1498" s="1423"/>
      <c r="U1498" s="1423"/>
      <c r="V1498" s="1423"/>
      <c r="W1498" s="1423"/>
      <c r="X1498" s="152"/>
      <c r="Y1498" s="152"/>
      <c r="Z1498" s="152"/>
      <c r="AA1498" s="152"/>
      <c r="AB1498" s="152"/>
    </row>
    <row r="1499" spans="1:28" hidden="1" outlineLevel="1">
      <c r="A1499" s="152"/>
      <c r="B1499" s="200"/>
      <c r="C1499" s="1423"/>
      <c r="D1499" s="1423"/>
      <c r="E1499" s="1423"/>
      <c r="F1499" s="1423"/>
      <c r="G1499" s="1423"/>
      <c r="H1499" s="1423"/>
      <c r="I1499" s="1423"/>
      <c r="J1499" s="1423"/>
      <c r="K1499" s="1423"/>
      <c r="L1499" s="1423"/>
      <c r="M1499" s="1423"/>
      <c r="N1499" s="1423"/>
      <c r="O1499" s="1423"/>
      <c r="P1499" s="1423"/>
      <c r="Q1499" s="1423"/>
      <c r="R1499" s="1423"/>
      <c r="S1499" s="1423"/>
      <c r="T1499" s="1423"/>
      <c r="U1499" s="1423"/>
      <c r="V1499" s="1423"/>
      <c r="W1499" s="1423"/>
      <c r="X1499" s="152"/>
      <c r="Y1499" s="152"/>
      <c r="Z1499" s="152"/>
      <c r="AA1499" s="152"/>
      <c r="AB1499" s="152"/>
    </row>
    <row r="1500" spans="1:28" hidden="1" outlineLevel="1">
      <c r="A1500" s="152"/>
      <c r="B1500" s="190" t="s">
        <v>190</v>
      </c>
      <c r="C1500" s="1423"/>
      <c r="D1500" s="1423">
        <f ca="1">IF(AND(C1500&lt;1,D1474=0),0,
IF(D1474=0,C1500-1,
IF(C1500&lt;1,D1475,
(((C1500-1)*(C1476-(C1476/(C1500))))+((D1474/D$10)*D1475))/(D1476))))</f>
        <v>0</v>
      </c>
      <c r="E1500" s="1423">
        <f t="shared" ref="E1500" ca="1" si="2192">IF(AND(D1500&lt;1,E1474=0),0,
IF(E1474=0,D1500-1,
IF(D1500&lt;1,E1475,
(((D1500-1)*(D1476-(D1476/(D1500))))+((E1474/E$10)*E1475))/(E1476))))</f>
        <v>0</v>
      </c>
      <c r="F1500" s="1423">
        <f t="shared" ref="F1500" ca="1" si="2193">IF(AND(E1500&lt;1,F1474=0),0,
IF(F1474=0,E1500-1,
IF(E1500&lt;1,F1475,
(((E1500-1)*(E1476-(E1476/(E1500))))+((F1474/F$10)*F1475))/(F1476))))</f>
        <v>0</v>
      </c>
      <c r="G1500" s="1423">
        <f t="shared" ref="G1500" ca="1" si="2194">IF(AND(F1500&lt;1,G1474=0),0,
IF(G1474=0,F1500-1,
IF(F1500&lt;1,G1475,
(((F1500-1)*(F1476-(F1476/(F1500))))+((G1474/G$10)*G1475))/(G1476))))</f>
        <v>0</v>
      </c>
      <c r="H1500" s="1423">
        <f t="shared" ref="H1500" ca="1" si="2195">IF(AND(G1500&lt;1,H1474=0),0,
IF(H1474=0,G1500-1,
IF(G1500&lt;1,H1475,
(((G1500-1)*(G1476-(G1476/(G1500))))+((H1474/H$10)*H1475))/(H1476))))</f>
        <v>0</v>
      </c>
      <c r="I1500" s="1423">
        <f t="shared" ref="I1500" ca="1" si="2196">IF(AND(H1500&lt;1,I1474=0),0,
IF(I1474=0,H1500-1,
IF(H1500&lt;1,I1475,
(((H1500-1)*(H1476-(H1476/(H1500))))+((I1474/I$10)*I1475))/(I1476))))</f>
        <v>0</v>
      </c>
      <c r="J1500" s="1423">
        <f t="shared" ref="J1500" ca="1" si="2197">IF(AND(I1500&lt;1,J1474=0),0,
IF(J1474=0,I1500-1,
IF(I1500&lt;1,J1475,
(((I1500-1)*(I1476-(I1476/(I1500))))+((J1474/J$10)*J1475))/(J1476))))</f>
        <v>0</v>
      </c>
      <c r="K1500" s="1423">
        <f t="shared" ref="K1500" ca="1" si="2198">IF(AND(J1500&lt;1,K1474=0),0,
IF(K1474=0,J1500-1,
IF(J1500&lt;1,K1475,
(((J1500-1)*(J1476-(J1476/(J1500))))+((K1474/K$10)*K1475))/(K1476))))</f>
        <v>0</v>
      </c>
      <c r="L1500" s="1423">
        <f t="shared" ref="L1500" ca="1" si="2199">IF(AND(K1500&lt;1,L1474=0),0,
IF(L1474=0,K1500-1,
IF(K1500&lt;1,L1475,
(((K1500-1)*(K1476-(K1476/(K1500))))+((L1474/L$10)*L1475))/(L1476))))</f>
        <v>0</v>
      </c>
      <c r="M1500" s="1423">
        <f t="shared" ref="M1500" ca="1" si="2200">IF(AND(L1500&lt;1,M1474=0),0,
IF(M1474=0,L1500-1,
IF(L1500&lt;1,M1475,
(((L1500-1)*(L1476-(L1476/(L1500))))+((M1474/M$10)*M1475))/(M1476))))</f>
        <v>0</v>
      </c>
      <c r="N1500" s="1423">
        <f t="shared" ref="N1500" ca="1" si="2201">IF(AND(M1500&lt;1,N1474=0),0,
IF(N1474=0,M1500-1,
IF(M1500&lt;1,N1475,
(((M1500-1)*(M1476-(M1476/(M1500))))+((N1474/N$10)*N1475))/(N1476))))</f>
        <v>0</v>
      </c>
      <c r="O1500" s="1423">
        <f t="shared" ref="O1500" ca="1" si="2202">IF(AND(N1500&lt;1,O1474=0),0,
IF(O1474=0,N1500-1,
IF(N1500&lt;1,O1475,
(((N1500-1)*(N1476-(N1476/(N1500))))+((O1474/O$10)*O1475))/(O1476))))</f>
        <v>0</v>
      </c>
      <c r="P1500" s="1423">
        <f t="shared" ref="P1500" ca="1" si="2203">IF(AND(O1500&lt;1,P1474=0),0,
IF(P1474=0,O1500-1,
IF(O1500&lt;1,P1475,
(((O1500-1)*(O1476-(O1476/(O1500))))+((P1474/P$10)*P1475))/(P1476))))</f>
        <v>0</v>
      </c>
      <c r="Q1500" s="1423">
        <f t="shared" ref="Q1500" ca="1" si="2204">IF(AND(P1500&lt;1,Q1474=0),0,
IF(Q1474=0,P1500-1,
IF(P1500&lt;1,Q1475,
(((P1500-1)*(P1476-(P1476/(P1500))))+((Q1474/Q$10)*Q1475))/(Q1476))))</f>
        <v>0</v>
      </c>
      <c r="R1500" s="1423">
        <f t="shared" ref="R1500" ca="1" si="2205">IF(AND(Q1500&lt;1,R1474=0),0,
IF(R1474=0,Q1500-1,
IF(Q1500&lt;1,R1475,
(((Q1500-1)*(Q1476-(Q1476/(Q1500))))+((R1474/R$10)*R1475))/(R1476))))</f>
        <v>0</v>
      </c>
      <c r="S1500" s="1423">
        <f t="shared" ref="S1500" ca="1" si="2206">IF(AND(R1500&lt;1,S1474=0),0,
IF(S1474=0,R1500-1,
IF(R1500&lt;1,S1475,
(((R1500-1)*(R1476-(R1476/(R1500))))+((S1474/S$10)*S1475))/(S1476))))</f>
        <v>0</v>
      </c>
      <c r="T1500" s="1423">
        <f t="shared" ref="T1500" ca="1" si="2207">IF(AND(S1500&lt;1,T1474=0),0,
IF(T1474=0,S1500-1,
IF(S1500&lt;1,T1475,
(((S1500-1)*(S1476-(S1476/(S1500))))+((T1474/T$10)*T1475))/(T1476))))</f>
        <v>0</v>
      </c>
      <c r="U1500" s="1423">
        <f t="shared" ref="U1500" ca="1" si="2208">IF(AND(T1500&lt;1,U1474=0),0,
IF(U1474=0,T1500-1,
IF(T1500&lt;1,U1475,
(((T1500-1)*(T1476-(T1476/(T1500))))+((U1474/U$10)*U1475))/(U1476))))</f>
        <v>0</v>
      </c>
      <c r="V1500" s="1423">
        <f t="shared" ref="V1500" ca="1" si="2209">IF(AND(U1500&lt;1,V1474=0),0,
IF(V1474=0,U1500-1,
IF(U1500&lt;1,V1475,
(((U1500-1)*(U1476-(U1476/(U1500))))+((V1474/V$10)*V1475))/(V1476))))</f>
        <v>0</v>
      </c>
      <c r="W1500" s="1423">
        <f t="shared" ref="W1500" ca="1" si="2210">IF(AND(V1500&lt;1,W1474=0),0,
IF(W1474=0,V1500-1,
IF(V1500&lt;1,W1475,
(((V1500-1)*(V1476-(V1476/(V1500))))+((W1474/W$10)*W1475))/(W1476))))</f>
        <v>0</v>
      </c>
      <c r="X1500" s="152"/>
      <c r="Y1500" s="152"/>
      <c r="Z1500" s="152"/>
      <c r="AA1500" s="152"/>
      <c r="AB1500" s="152"/>
    </row>
    <row r="1501" spans="1:28" hidden="1" outlineLevel="1">
      <c r="A1501" s="152"/>
      <c r="B1501" s="190" t="s">
        <v>122</v>
      </c>
      <c r="C1501" s="1423">
        <f ca="1">C1473</f>
        <v>0</v>
      </c>
      <c r="D1501" s="1423">
        <f t="shared" ref="D1501" ca="1" si="2211">IF(C1501="n/a","n/a",MAX(0,C1501-1))</f>
        <v>0</v>
      </c>
      <c r="E1501" s="1423">
        <f t="shared" ref="E1501:E1502" ca="1" si="2212">IF(D1501="n/a","n/a",MAX(0,D1501-1))</f>
        <v>0</v>
      </c>
      <c r="F1501" s="1423">
        <f t="shared" ref="F1501:F1503" ca="1" si="2213">IF(E1501="n/a","n/a",MAX(0,E1501-1))</f>
        <v>0</v>
      </c>
      <c r="G1501" s="1423">
        <f t="shared" ref="G1501:G1504" ca="1" si="2214">IF(F1501="n/a","n/a",MAX(0,F1501-1))</f>
        <v>0</v>
      </c>
      <c r="H1501" s="1423">
        <f t="shared" ref="H1501:H1505" ca="1" si="2215">IF(G1501="n/a","n/a",MAX(0,G1501-1))</f>
        <v>0</v>
      </c>
      <c r="I1501" s="1423">
        <f t="shared" ref="I1501:I1506" ca="1" si="2216">IF(H1501="n/a","n/a",MAX(0,H1501-1))</f>
        <v>0</v>
      </c>
      <c r="J1501" s="1423">
        <f t="shared" ref="J1501:J1507" ca="1" si="2217">IF(I1501="n/a","n/a",MAX(0,I1501-1))</f>
        <v>0</v>
      </c>
      <c r="K1501" s="1423">
        <f t="shared" ref="K1501:K1508" ca="1" si="2218">IF(J1501="n/a","n/a",MAX(0,J1501-1))</f>
        <v>0</v>
      </c>
      <c r="L1501" s="1423">
        <f t="shared" ref="L1501:L1509" ca="1" si="2219">IF(K1501="n/a","n/a",MAX(0,K1501-1))</f>
        <v>0</v>
      </c>
      <c r="M1501" s="1423">
        <f t="shared" ref="M1501:M1510" ca="1" si="2220">IF(L1501="n/a","n/a",MAX(0,L1501-1))</f>
        <v>0</v>
      </c>
      <c r="N1501" s="1423">
        <f t="shared" ref="N1501:N1511" ca="1" si="2221">IF(M1501="n/a","n/a",MAX(0,M1501-1))</f>
        <v>0</v>
      </c>
      <c r="O1501" s="1423">
        <f t="shared" ref="O1501:O1512" ca="1" si="2222">IF(N1501="n/a","n/a",MAX(0,N1501-1))</f>
        <v>0</v>
      </c>
      <c r="P1501" s="1423">
        <f t="shared" ref="P1501:P1513" ca="1" si="2223">IF(O1501="n/a","n/a",MAX(0,O1501-1))</f>
        <v>0</v>
      </c>
      <c r="Q1501" s="1423">
        <f t="shared" ref="Q1501:Q1514" ca="1" si="2224">IF(P1501="n/a","n/a",MAX(0,P1501-1))</f>
        <v>0</v>
      </c>
      <c r="R1501" s="1423">
        <f t="shared" ref="R1501:R1515" ca="1" si="2225">IF(Q1501="n/a","n/a",MAX(0,Q1501-1))</f>
        <v>0</v>
      </c>
      <c r="S1501" s="1423">
        <f t="shared" ref="S1501:S1516" ca="1" si="2226">IF(R1501="n/a","n/a",MAX(0,R1501-1))</f>
        <v>0</v>
      </c>
      <c r="T1501" s="1423">
        <f t="shared" ref="T1501:T1517" ca="1" si="2227">IF(S1501="n/a","n/a",MAX(0,S1501-1))</f>
        <v>0</v>
      </c>
      <c r="U1501" s="1423">
        <f t="shared" ref="U1501:U1518" ca="1" si="2228">IF(T1501="n/a","n/a",MAX(0,T1501-1))</f>
        <v>0</v>
      </c>
      <c r="V1501" s="1423">
        <f t="shared" ref="V1501:V1519" ca="1" si="2229">IF(U1501="n/a","n/a",MAX(0,U1501-1))</f>
        <v>0</v>
      </c>
      <c r="W1501" s="1423">
        <f t="shared" ref="W1501:W1519" ca="1" si="2230">IF(V1501="n/a","n/a",MAX(0,V1501-1))</f>
        <v>0</v>
      </c>
      <c r="X1501" s="152"/>
      <c r="Y1501" s="152"/>
      <c r="Z1501" s="152"/>
      <c r="AA1501" s="152"/>
      <c r="AB1501" s="152"/>
    </row>
    <row r="1502" spans="1:28" hidden="1" outlineLevel="1">
      <c r="A1502" s="152"/>
      <c r="B1502" s="190" t="str">
        <f t="shared" ref="B1502:B1521" ca="1" si="2231">"RL Capex "&amp;OFFSET($C$6,0,A1478)</f>
        <v>RL Capex 2016-17</v>
      </c>
      <c r="C1502" s="1424"/>
      <c r="D1502" s="1428">
        <f>D1473</f>
        <v>0</v>
      </c>
      <c r="E1502" s="1423">
        <f t="shared" si="2212"/>
        <v>0</v>
      </c>
      <c r="F1502" s="1423">
        <f t="shared" si="2213"/>
        <v>0</v>
      </c>
      <c r="G1502" s="1423">
        <f t="shared" si="2214"/>
        <v>0</v>
      </c>
      <c r="H1502" s="1423">
        <f t="shared" si="2215"/>
        <v>0</v>
      </c>
      <c r="I1502" s="1423">
        <f t="shared" si="2216"/>
        <v>0</v>
      </c>
      <c r="J1502" s="1423">
        <f t="shared" si="2217"/>
        <v>0</v>
      </c>
      <c r="K1502" s="1423">
        <f t="shared" si="2218"/>
        <v>0</v>
      </c>
      <c r="L1502" s="1423">
        <f t="shared" si="2219"/>
        <v>0</v>
      </c>
      <c r="M1502" s="1423">
        <f t="shared" si="2220"/>
        <v>0</v>
      </c>
      <c r="N1502" s="1423">
        <f t="shared" si="2221"/>
        <v>0</v>
      </c>
      <c r="O1502" s="1423">
        <f t="shared" si="2222"/>
        <v>0</v>
      </c>
      <c r="P1502" s="1423">
        <f t="shared" si="2223"/>
        <v>0</v>
      </c>
      <c r="Q1502" s="1423">
        <f t="shared" si="2224"/>
        <v>0</v>
      </c>
      <c r="R1502" s="1423">
        <f t="shared" si="2225"/>
        <v>0</v>
      </c>
      <c r="S1502" s="1423">
        <f t="shared" si="2226"/>
        <v>0</v>
      </c>
      <c r="T1502" s="1423">
        <f t="shared" si="2227"/>
        <v>0</v>
      </c>
      <c r="U1502" s="1423">
        <f t="shared" si="2228"/>
        <v>0</v>
      </c>
      <c r="V1502" s="1423">
        <f t="shared" si="2229"/>
        <v>0</v>
      </c>
      <c r="W1502" s="1423">
        <f t="shared" si="2230"/>
        <v>0</v>
      </c>
      <c r="X1502" s="152"/>
      <c r="Y1502" s="152"/>
      <c r="Z1502" s="152"/>
      <c r="AA1502" s="152"/>
      <c r="AB1502" s="152"/>
    </row>
    <row r="1503" spans="1:28" hidden="1" outlineLevel="1">
      <c r="A1503" s="152"/>
      <c r="B1503" s="190" t="str">
        <f t="shared" ca="1" si="2231"/>
        <v>RL Capex 2017-18</v>
      </c>
      <c r="C1503" s="1429"/>
      <c r="D1503" s="1424"/>
      <c r="E1503" s="1428">
        <f>E1473</f>
        <v>0</v>
      </c>
      <c r="F1503" s="1423">
        <f t="shared" si="2213"/>
        <v>0</v>
      </c>
      <c r="G1503" s="1423">
        <f t="shared" si="2214"/>
        <v>0</v>
      </c>
      <c r="H1503" s="1423">
        <f t="shared" si="2215"/>
        <v>0</v>
      </c>
      <c r="I1503" s="1423">
        <f t="shared" si="2216"/>
        <v>0</v>
      </c>
      <c r="J1503" s="1423">
        <f t="shared" si="2217"/>
        <v>0</v>
      </c>
      <c r="K1503" s="1423">
        <f t="shared" si="2218"/>
        <v>0</v>
      </c>
      <c r="L1503" s="1423">
        <f t="shared" si="2219"/>
        <v>0</v>
      </c>
      <c r="M1503" s="1423">
        <f t="shared" si="2220"/>
        <v>0</v>
      </c>
      <c r="N1503" s="1423">
        <f t="shared" si="2221"/>
        <v>0</v>
      </c>
      <c r="O1503" s="1423">
        <f t="shared" si="2222"/>
        <v>0</v>
      </c>
      <c r="P1503" s="1423">
        <f t="shared" si="2223"/>
        <v>0</v>
      </c>
      <c r="Q1503" s="1423">
        <f t="shared" si="2224"/>
        <v>0</v>
      </c>
      <c r="R1503" s="1423">
        <f t="shared" si="2225"/>
        <v>0</v>
      </c>
      <c r="S1503" s="1423">
        <f t="shared" si="2226"/>
        <v>0</v>
      </c>
      <c r="T1503" s="1423">
        <f t="shared" si="2227"/>
        <v>0</v>
      </c>
      <c r="U1503" s="1423">
        <f t="shared" si="2228"/>
        <v>0</v>
      </c>
      <c r="V1503" s="1423">
        <f t="shared" si="2229"/>
        <v>0</v>
      </c>
      <c r="W1503" s="1423">
        <f t="shared" si="2230"/>
        <v>0</v>
      </c>
      <c r="X1503" s="152"/>
      <c r="Y1503" s="152"/>
      <c r="Z1503" s="152"/>
      <c r="AA1503" s="152"/>
      <c r="AB1503" s="152"/>
    </row>
    <row r="1504" spans="1:28" hidden="1" outlineLevel="1">
      <c r="A1504" s="152"/>
      <c r="B1504" s="190" t="str">
        <f t="shared" ca="1" si="2231"/>
        <v>RL Capex 2018-19</v>
      </c>
      <c r="C1504" s="1429"/>
      <c r="D1504" s="1429"/>
      <c r="E1504" s="1424"/>
      <c r="F1504" s="1428">
        <f>F1473</f>
        <v>0</v>
      </c>
      <c r="G1504" s="1423">
        <f t="shared" si="2214"/>
        <v>0</v>
      </c>
      <c r="H1504" s="1423">
        <f t="shared" si="2215"/>
        <v>0</v>
      </c>
      <c r="I1504" s="1423">
        <f t="shared" si="2216"/>
        <v>0</v>
      </c>
      <c r="J1504" s="1423">
        <f t="shared" si="2217"/>
        <v>0</v>
      </c>
      <c r="K1504" s="1423">
        <f t="shared" si="2218"/>
        <v>0</v>
      </c>
      <c r="L1504" s="1423">
        <f t="shared" si="2219"/>
        <v>0</v>
      </c>
      <c r="M1504" s="1423">
        <f t="shared" si="2220"/>
        <v>0</v>
      </c>
      <c r="N1504" s="1423">
        <f t="shared" si="2221"/>
        <v>0</v>
      </c>
      <c r="O1504" s="1423">
        <f t="shared" si="2222"/>
        <v>0</v>
      </c>
      <c r="P1504" s="1423">
        <f t="shared" si="2223"/>
        <v>0</v>
      </c>
      <c r="Q1504" s="1423">
        <f t="shared" si="2224"/>
        <v>0</v>
      </c>
      <c r="R1504" s="1423">
        <f t="shared" si="2225"/>
        <v>0</v>
      </c>
      <c r="S1504" s="1423">
        <f t="shared" si="2226"/>
        <v>0</v>
      </c>
      <c r="T1504" s="1423">
        <f t="shared" si="2227"/>
        <v>0</v>
      </c>
      <c r="U1504" s="1423">
        <f t="shared" si="2228"/>
        <v>0</v>
      </c>
      <c r="V1504" s="1423">
        <f t="shared" si="2229"/>
        <v>0</v>
      </c>
      <c r="W1504" s="1423">
        <f t="shared" si="2230"/>
        <v>0</v>
      </c>
      <c r="X1504" s="152"/>
      <c r="Y1504" s="152"/>
      <c r="Z1504" s="152"/>
      <c r="AA1504" s="152"/>
      <c r="AB1504" s="152"/>
    </row>
    <row r="1505" spans="1:28" hidden="1" outlineLevel="1">
      <c r="A1505" s="152"/>
      <c r="B1505" s="190" t="str">
        <f t="shared" ca="1" si="2231"/>
        <v>RL Capex 2019-20</v>
      </c>
      <c r="C1505" s="1429"/>
      <c r="D1505" s="1429"/>
      <c r="E1505" s="1429"/>
      <c r="F1505" s="1424"/>
      <c r="G1505" s="1428">
        <f>G1473</f>
        <v>0</v>
      </c>
      <c r="H1505" s="1423">
        <f t="shared" si="2215"/>
        <v>0</v>
      </c>
      <c r="I1505" s="1423">
        <f t="shared" si="2216"/>
        <v>0</v>
      </c>
      <c r="J1505" s="1423">
        <f t="shared" si="2217"/>
        <v>0</v>
      </c>
      <c r="K1505" s="1423">
        <f t="shared" si="2218"/>
        <v>0</v>
      </c>
      <c r="L1505" s="1423">
        <f t="shared" si="2219"/>
        <v>0</v>
      </c>
      <c r="M1505" s="1423">
        <f t="shared" si="2220"/>
        <v>0</v>
      </c>
      <c r="N1505" s="1423">
        <f t="shared" si="2221"/>
        <v>0</v>
      </c>
      <c r="O1505" s="1423">
        <f t="shared" si="2222"/>
        <v>0</v>
      </c>
      <c r="P1505" s="1423">
        <f t="shared" si="2223"/>
        <v>0</v>
      </c>
      <c r="Q1505" s="1423">
        <f t="shared" si="2224"/>
        <v>0</v>
      </c>
      <c r="R1505" s="1423">
        <f t="shared" si="2225"/>
        <v>0</v>
      </c>
      <c r="S1505" s="1423">
        <f t="shared" si="2226"/>
        <v>0</v>
      </c>
      <c r="T1505" s="1423">
        <f t="shared" si="2227"/>
        <v>0</v>
      </c>
      <c r="U1505" s="1423">
        <f t="shared" si="2228"/>
        <v>0</v>
      </c>
      <c r="V1505" s="1423">
        <f t="shared" si="2229"/>
        <v>0</v>
      </c>
      <c r="W1505" s="1423">
        <f t="shared" si="2230"/>
        <v>0</v>
      </c>
      <c r="X1505" s="152"/>
      <c r="Y1505" s="152"/>
      <c r="Z1505" s="152"/>
      <c r="AA1505" s="152"/>
      <c r="AB1505" s="152"/>
    </row>
    <row r="1506" spans="1:28" hidden="1" outlineLevel="1">
      <c r="A1506" s="152"/>
      <c r="B1506" s="190" t="str">
        <f t="shared" ca="1" si="2231"/>
        <v>RL Capex 2020-21</v>
      </c>
      <c r="C1506" s="1429"/>
      <c r="D1506" s="1429"/>
      <c r="E1506" s="1429"/>
      <c r="F1506" s="1429"/>
      <c r="G1506" s="1424"/>
      <c r="H1506" s="1428">
        <f>H1473</f>
        <v>0</v>
      </c>
      <c r="I1506" s="1423">
        <f t="shared" si="2216"/>
        <v>0</v>
      </c>
      <c r="J1506" s="1423">
        <f t="shared" si="2217"/>
        <v>0</v>
      </c>
      <c r="K1506" s="1423">
        <f t="shared" si="2218"/>
        <v>0</v>
      </c>
      <c r="L1506" s="1423">
        <f t="shared" si="2219"/>
        <v>0</v>
      </c>
      <c r="M1506" s="1423">
        <f t="shared" si="2220"/>
        <v>0</v>
      </c>
      <c r="N1506" s="1423">
        <f t="shared" si="2221"/>
        <v>0</v>
      </c>
      <c r="O1506" s="1423">
        <f t="shared" si="2222"/>
        <v>0</v>
      </c>
      <c r="P1506" s="1423">
        <f t="shared" si="2223"/>
        <v>0</v>
      </c>
      <c r="Q1506" s="1423">
        <f t="shared" si="2224"/>
        <v>0</v>
      </c>
      <c r="R1506" s="1423">
        <f t="shared" si="2225"/>
        <v>0</v>
      </c>
      <c r="S1506" s="1423">
        <f t="shared" si="2226"/>
        <v>0</v>
      </c>
      <c r="T1506" s="1423">
        <f t="shared" si="2227"/>
        <v>0</v>
      </c>
      <c r="U1506" s="1423">
        <f t="shared" si="2228"/>
        <v>0</v>
      </c>
      <c r="V1506" s="1423">
        <f t="shared" si="2229"/>
        <v>0</v>
      </c>
      <c r="W1506" s="1423">
        <f t="shared" si="2230"/>
        <v>0</v>
      </c>
      <c r="X1506" s="152"/>
      <c r="Y1506" s="152"/>
      <c r="Z1506" s="152"/>
      <c r="AA1506" s="152"/>
      <c r="AB1506" s="152"/>
    </row>
    <row r="1507" spans="1:28" hidden="1" outlineLevel="1">
      <c r="A1507" s="152"/>
      <c r="B1507" s="190" t="str">
        <f t="shared" ca="1" si="2231"/>
        <v>RL Capex 2021-22</v>
      </c>
      <c r="C1507" s="1429"/>
      <c r="D1507" s="1429"/>
      <c r="E1507" s="1429"/>
      <c r="F1507" s="1429"/>
      <c r="G1507" s="1429"/>
      <c r="H1507" s="1424"/>
      <c r="I1507" s="1428">
        <f>I1473</f>
        <v>0</v>
      </c>
      <c r="J1507" s="1423">
        <f t="shared" si="2217"/>
        <v>0</v>
      </c>
      <c r="K1507" s="1423">
        <f t="shared" si="2218"/>
        <v>0</v>
      </c>
      <c r="L1507" s="1423">
        <f t="shared" si="2219"/>
        <v>0</v>
      </c>
      <c r="M1507" s="1423">
        <f t="shared" si="2220"/>
        <v>0</v>
      </c>
      <c r="N1507" s="1423">
        <f t="shared" si="2221"/>
        <v>0</v>
      </c>
      <c r="O1507" s="1423">
        <f t="shared" si="2222"/>
        <v>0</v>
      </c>
      <c r="P1507" s="1423">
        <f t="shared" si="2223"/>
        <v>0</v>
      </c>
      <c r="Q1507" s="1423">
        <f t="shared" si="2224"/>
        <v>0</v>
      </c>
      <c r="R1507" s="1423">
        <f t="shared" si="2225"/>
        <v>0</v>
      </c>
      <c r="S1507" s="1423">
        <f t="shared" si="2226"/>
        <v>0</v>
      </c>
      <c r="T1507" s="1423">
        <f t="shared" si="2227"/>
        <v>0</v>
      </c>
      <c r="U1507" s="1423">
        <f t="shared" si="2228"/>
        <v>0</v>
      </c>
      <c r="V1507" s="1423">
        <f t="shared" si="2229"/>
        <v>0</v>
      </c>
      <c r="W1507" s="1423">
        <f t="shared" si="2230"/>
        <v>0</v>
      </c>
      <c r="X1507" s="152"/>
      <c r="Y1507" s="152"/>
      <c r="Z1507" s="152"/>
      <c r="AA1507" s="152"/>
      <c r="AB1507" s="152"/>
    </row>
    <row r="1508" spans="1:28" hidden="1" outlineLevel="1">
      <c r="A1508" s="152"/>
      <c r="B1508" s="190" t="str">
        <f t="shared" ca="1" si="2231"/>
        <v>RL Capex 2022-23</v>
      </c>
      <c r="C1508" s="1429"/>
      <c r="D1508" s="1429"/>
      <c r="E1508" s="1429"/>
      <c r="F1508" s="1429"/>
      <c r="G1508" s="1429"/>
      <c r="H1508" s="1429"/>
      <c r="I1508" s="1424"/>
      <c r="J1508" s="1428">
        <f>J1473</f>
        <v>0</v>
      </c>
      <c r="K1508" s="1423">
        <f t="shared" si="2218"/>
        <v>0</v>
      </c>
      <c r="L1508" s="1423">
        <f t="shared" si="2219"/>
        <v>0</v>
      </c>
      <c r="M1508" s="1423">
        <f t="shared" si="2220"/>
        <v>0</v>
      </c>
      <c r="N1508" s="1423">
        <f t="shared" si="2221"/>
        <v>0</v>
      </c>
      <c r="O1508" s="1423">
        <f t="shared" si="2222"/>
        <v>0</v>
      </c>
      <c r="P1508" s="1423">
        <f t="shared" si="2223"/>
        <v>0</v>
      </c>
      <c r="Q1508" s="1423">
        <f t="shared" si="2224"/>
        <v>0</v>
      </c>
      <c r="R1508" s="1423">
        <f t="shared" si="2225"/>
        <v>0</v>
      </c>
      <c r="S1508" s="1423">
        <f t="shared" si="2226"/>
        <v>0</v>
      </c>
      <c r="T1508" s="1423">
        <f t="shared" si="2227"/>
        <v>0</v>
      </c>
      <c r="U1508" s="1423">
        <f t="shared" si="2228"/>
        <v>0</v>
      </c>
      <c r="V1508" s="1423">
        <f t="shared" si="2229"/>
        <v>0</v>
      </c>
      <c r="W1508" s="1423">
        <f t="shared" si="2230"/>
        <v>0</v>
      </c>
      <c r="X1508" s="152"/>
      <c r="Y1508" s="152"/>
      <c r="Z1508" s="152"/>
      <c r="AA1508" s="152"/>
      <c r="AB1508" s="152"/>
    </row>
    <row r="1509" spans="1:28" hidden="1" outlineLevel="1">
      <c r="A1509" s="152"/>
      <c r="B1509" s="190" t="str">
        <f t="shared" ca="1" si="2231"/>
        <v>RL Capex 2023-24</v>
      </c>
      <c r="C1509" s="1429"/>
      <c r="D1509" s="1429"/>
      <c r="E1509" s="1429"/>
      <c r="F1509" s="1429"/>
      <c r="G1509" s="1429"/>
      <c r="H1509" s="1429"/>
      <c r="I1509" s="1429"/>
      <c r="J1509" s="1424"/>
      <c r="K1509" s="1428">
        <f>K1473</f>
        <v>0</v>
      </c>
      <c r="L1509" s="1423">
        <f t="shared" si="2219"/>
        <v>0</v>
      </c>
      <c r="M1509" s="1423">
        <f t="shared" si="2220"/>
        <v>0</v>
      </c>
      <c r="N1509" s="1423">
        <f t="shared" si="2221"/>
        <v>0</v>
      </c>
      <c r="O1509" s="1423">
        <f t="shared" si="2222"/>
        <v>0</v>
      </c>
      <c r="P1509" s="1423">
        <f t="shared" si="2223"/>
        <v>0</v>
      </c>
      <c r="Q1509" s="1423">
        <f t="shared" si="2224"/>
        <v>0</v>
      </c>
      <c r="R1509" s="1423">
        <f t="shared" si="2225"/>
        <v>0</v>
      </c>
      <c r="S1509" s="1423">
        <f t="shared" si="2226"/>
        <v>0</v>
      </c>
      <c r="T1509" s="1423">
        <f t="shared" si="2227"/>
        <v>0</v>
      </c>
      <c r="U1509" s="1423">
        <f t="shared" si="2228"/>
        <v>0</v>
      </c>
      <c r="V1509" s="1423">
        <f t="shared" si="2229"/>
        <v>0</v>
      </c>
      <c r="W1509" s="1423">
        <f t="shared" si="2230"/>
        <v>0</v>
      </c>
      <c r="X1509" s="152"/>
      <c r="Y1509" s="152"/>
      <c r="Z1509" s="152"/>
      <c r="AA1509" s="152"/>
      <c r="AB1509" s="152"/>
    </row>
    <row r="1510" spans="1:28" hidden="1" outlineLevel="1">
      <c r="A1510" s="152"/>
      <c r="B1510" s="190" t="str">
        <f t="shared" ca="1" si="2231"/>
        <v>RL Capex 2024-25</v>
      </c>
      <c r="C1510" s="1429"/>
      <c r="D1510" s="1429"/>
      <c r="E1510" s="1429"/>
      <c r="F1510" s="1429"/>
      <c r="G1510" s="1429"/>
      <c r="H1510" s="1429"/>
      <c r="I1510" s="1429"/>
      <c r="J1510" s="1429"/>
      <c r="K1510" s="1424"/>
      <c r="L1510" s="1428">
        <f>L1473</f>
        <v>0</v>
      </c>
      <c r="M1510" s="1423">
        <f t="shared" si="2220"/>
        <v>0</v>
      </c>
      <c r="N1510" s="1423">
        <f t="shared" si="2221"/>
        <v>0</v>
      </c>
      <c r="O1510" s="1423">
        <f t="shared" si="2222"/>
        <v>0</v>
      </c>
      <c r="P1510" s="1423">
        <f t="shared" si="2223"/>
        <v>0</v>
      </c>
      <c r="Q1510" s="1423">
        <f t="shared" si="2224"/>
        <v>0</v>
      </c>
      <c r="R1510" s="1423">
        <f t="shared" si="2225"/>
        <v>0</v>
      </c>
      <c r="S1510" s="1423">
        <f t="shared" si="2226"/>
        <v>0</v>
      </c>
      <c r="T1510" s="1423">
        <f t="shared" si="2227"/>
        <v>0</v>
      </c>
      <c r="U1510" s="1423">
        <f t="shared" si="2228"/>
        <v>0</v>
      </c>
      <c r="V1510" s="1423">
        <f t="shared" si="2229"/>
        <v>0</v>
      </c>
      <c r="W1510" s="1423">
        <f t="shared" si="2230"/>
        <v>0</v>
      </c>
      <c r="X1510" s="152"/>
      <c r="Y1510" s="152"/>
      <c r="Z1510" s="152"/>
      <c r="AA1510" s="152"/>
      <c r="AB1510" s="152"/>
    </row>
    <row r="1511" spans="1:28" hidden="1" outlineLevel="1">
      <c r="A1511" s="152"/>
      <c r="B1511" s="190" t="str">
        <f t="shared" ca="1" si="2231"/>
        <v>RL Capex 2025-26</v>
      </c>
      <c r="C1511" s="1429"/>
      <c r="D1511" s="1429"/>
      <c r="E1511" s="1429"/>
      <c r="F1511" s="1429"/>
      <c r="G1511" s="1429"/>
      <c r="H1511" s="1429"/>
      <c r="I1511" s="1429"/>
      <c r="J1511" s="1429"/>
      <c r="K1511" s="1429"/>
      <c r="L1511" s="1424"/>
      <c r="M1511" s="1428">
        <f>M1473</f>
        <v>0</v>
      </c>
      <c r="N1511" s="1423">
        <f t="shared" si="2221"/>
        <v>0</v>
      </c>
      <c r="O1511" s="1423">
        <f t="shared" si="2222"/>
        <v>0</v>
      </c>
      <c r="P1511" s="1423">
        <f t="shared" si="2223"/>
        <v>0</v>
      </c>
      <c r="Q1511" s="1423">
        <f t="shared" si="2224"/>
        <v>0</v>
      </c>
      <c r="R1511" s="1423">
        <f t="shared" si="2225"/>
        <v>0</v>
      </c>
      <c r="S1511" s="1423">
        <f t="shared" si="2226"/>
        <v>0</v>
      </c>
      <c r="T1511" s="1423">
        <f t="shared" si="2227"/>
        <v>0</v>
      </c>
      <c r="U1511" s="1423">
        <f t="shared" si="2228"/>
        <v>0</v>
      </c>
      <c r="V1511" s="1423">
        <f t="shared" si="2229"/>
        <v>0</v>
      </c>
      <c r="W1511" s="1423">
        <f t="shared" si="2230"/>
        <v>0</v>
      </c>
      <c r="X1511" s="152"/>
      <c r="Y1511" s="152"/>
      <c r="Z1511" s="152"/>
      <c r="AA1511" s="152"/>
      <c r="AB1511" s="152"/>
    </row>
    <row r="1512" spans="1:28" hidden="1" outlineLevel="1">
      <c r="A1512" s="152"/>
      <c r="B1512" s="190" t="str">
        <f t="shared" ca="1" si="2231"/>
        <v>RL Capex 2026-27</v>
      </c>
      <c r="C1512" s="1429"/>
      <c r="D1512" s="1429"/>
      <c r="E1512" s="1429"/>
      <c r="F1512" s="1429"/>
      <c r="G1512" s="1429"/>
      <c r="H1512" s="1429"/>
      <c r="I1512" s="1429"/>
      <c r="J1512" s="1429"/>
      <c r="K1512" s="1429"/>
      <c r="L1512" s="1429"/>
      <c r="M1512" s="1424"/>
      <c r="N1512" s="1428">
        <f>N1473</f>
        <v>0</v>
      </c>
      <c r="O1512" s="1423">
        <f t="shared" si="2222"/>
        <v>0</v>
      </c>
      <c r="P1512" s="1423">
        <f t="shared" si="2223"/>
        <v>0</v>
      </c>
      <c r="Q1512" s="1423">
        <f t="shared" si="2224"/>
        <v>0</v>
      </c>
      <c r="R1512" s="1423">
        <f t="shared" si="2225"/>
        <v>0</v>
      </c>
      <c r="S1512" s="1423">
        <f t="shared" si="2226"/>
        <v>0</v>
      </c>
      <c r="T1512" s="1423">
        <f t="shared" si="2227"/>
        <v>0</v>
      </c>
      <c r="U1512" s="1423">
        <f t="shared" si="2228"/>
        <v>0</v>
      </c>
      <c r="V1512" s="1423">
        <f t="shared" si="2229"/>
        <v>0</v>
      </c>
      <c r="W1512" s="1423">
        <f t="shared" si="2230"/>
        <v>0</v>
      </c>
      <c r="X1512" s="152"/>
      <c r="Y1512" s="152"/>
      <c r="Z1512" s="152"/>
      <c r="AA1512" s="152"/>
      <c r="AB1512" s="152"/>
    </row>
    <row r="1513" spans="1:28" hidden="1" outlineLevel="1">
      <c r="A1513" s="152"/>
      <c r="B1513" s="190" t="str">
        <f t="shared" ca="1" si="2231"/>
        <v>RL Capex 2027-28</v>
      </c>
      <c r="C1513" s="1429"/>
      <c r="D1513" s="1429"/>
      <c r="E1513" s="1429"/>
      <c r="F1513" s="1429"/>
      <c r="G1513" s="1429"/>
      <c r="H1513" s="1429"/>
      <c r="I1513" s="1429"/>
      <c r="J1513" s="1429"/>
      <c r="K1513" s="1429"/>
      <c r="L1513" s="1429"/>
      <c r="M1513" s="1429"/>
      <c r="N1513" s="1424"/>
      <c r="O1513" s="1428">
        <f>O1473</f>
        <v>0</v>
      </c>
      <c r="P1513" s="1423">
        <f t="shared" si="2223"/>
        <v>0</v>
      </c>
      <c r="Q1513" s="1423">
        <f t="shared" si="2224"/>
        <v>0</v>
      </c>
      <c r="R1513" s="1423">
        <f t="shared" si="2225"/>
        <v>0</v>
      </c>
      <c r="S1513" s="1423">
        <f t="shared" si="2226"/>
        <v>0</v>
      </c>
      <c r="T1513" s="1423">
        <f t="shared" si="2227"/>
        <v>0</v>
      </c>
      <c r="U1513" s="1423">
        <f t="shared" si="2228"/>
        <v>0</v>
      </c>
      <c r="V1513" s="1423">
        <f t="shared" si="2229"/>
        <v>0</v>
      </c>
      <c r="W1513" s="1423">
        <f t="shared" si="2230"/>
        <v>0</v>
      </c>
      <c r="X1513" s="152"/>
      <c r="Y1513" s="152"/>
      <c r="Z1513" s="152"/>
      <c r="AA1513" s="152"/>
      <c r="AB1513" s="152"/>
    </row>
    <row r="1514" spans="1:28" hidden="1" outlineLevel="1">
      <c r="A1514" s="152"/>
      <c r="B1514" s="190" t="str">
        <f t="shared" ca="1" si="2231"/>
        <v>RL Capex 2028-29</v>
      </c>
      <c r="C1514" s="1429"/>
      <c r="D1514" s="1429"/>
      <c r="E1514" s="1429"/>
      <c r="F1514" s="1429"/>
      <c r="G1514" s="1429"/>
      <c r="H1514" s="1429"/>
      <c r="I1514" s="1429"/>
      <c r="J1514" s="1429"/>
      <c r="K1514" s="1429"/>
      <c r="L1514" s="1429"/>
      <c r="M1514" s="1429"/>
      <c r="N1514" s="1429"/>
      <c r="O1514" s="1424"/>
      <c r="P1514" s="1428">
        <f>P1473</f>
        <v>0</v>
      </c>
      <c r="Q1514" s="1423">
        <f t="shared" si="2224"/>
        <v>0</v>
      </c>
      <c r="R1514" s="1423">
        <f t="shared" si="2225"/>
        <v>0</v>
      </c>
      <c r="S1514" s="1423">
        <f t="shared" si="2226"/>
        <v>0</v>
      </c>
      <c r="T1514" s="1423">
        <f t="shared" si="2227"/>
        <v>0</v>
      </c>
      <c r="U1514" s="1423">
        <f t="shared" si="2228"/>
        <v>0</v>
      </c>
      <c r="V1514" s="1423">
        <f t="shared" si="2229"/>
        <v>0</v>
      </c>
      <c r="W1514" s="1423">
        <f t="shared" si="2230"/>
        <v>0</v>
      </c>
      <c r="X1514" s="152"/>
      <c r="Y1514" s="152"/>
      <c r="Z1514" s="152"/>
      <c r="AA1514" s="152"/>
      <c r="AB1514" s="152"/>
    </row>
    <row r="1515" spans="1:28" hidden="1" outlineLevel="1">
      <c r="A1515" s="152"/>
      <c r="B1515" s="190" t="str">
        <f t="shared" ca="1" si="2231"/>
        <v>RL Capex 2029-30</v>
      </c>
      <c r="C1515" s="1429"/>
      <c r="D1515" s="1429"/>
      <c r="E1515" s="1429"/>
      <c r="F1515" s="1429"/>
      <c r="G1515" s="1429"/>
      <c r="H1515" s="1429"/>
      <c r="I1515" s="1429"/>
      <c r="J1515" s="1429"/>
      <c r="K1515" s="1429"/>
      <c r="L1515" s="1429"/>
      <c r="M1515" s="1429"/>
      <c r="N1515" s="1429"/>
      <c r="O1515" s="1429"/>
      <c r="P1515" s="1424"/>
      <c r="Q1515" s="1428">
        <f>Q1473</f>
        <v>0</v>
      </c>
      <c r="R1515" s="1423">
        <f t="shared" si="2225"/>
        <v>0</v>
      </c>
      <c r="S1515" s="1423">
        <f t="shared" si="2226"/>
        <v>0</v>
      </c>
      <c r="T1515" s="1423">
        <f t="shared" si="2227"/>
        <v>0</v>
      </c>
      <c r="U1515" s="1423">
        <f t="shared" si="2228"/>
        <v>0</v>
      </c>
      <c r="V1515" s="1423">
        <f t="shared" si="2229"/>
        <v>0</v>
      </c>
      <c r="W1515" s="1423">
        <f t="shared" si="2230"/>
        <v>0</v>
      </c>
      <c r="X1515" s="152"/>
      <c r="Y1515" s="152"/>
      <c r="Z1515" s="152"/>
      <c r="AA1515" s="152"/>
      <c r="AB1515" s="152"/>
    </row>
    <row r="1516" spans="1:28" hidden="1" outlineLevel="1">
      <c r="A1516" s="152"/>
      <c r="B1516" s="190" t="str">
        <f t="shared" ca="1" si="2231"/>
        <v>RL Capex 2030-31</v>
      </c>
      <c r="C1516" s="1429"/>
      <c r="D1516" s="1429"/>
      <c r="E1516" s="1429"/>
      <c r="F1516" s="1429"/>
      <c r="G1516" s="1429"/>
      <c r="H1516" s="1429"/>
      <c r="I1516" s="1429"/>
      <c r="J1516" s="1429"/>
      <c r="K1516" s="1429"/>
      <c r="L1516" s="1429"/>
      <c r="M1516" s="1429"/>
      <c r="N1516" s="1429"/>
      <c r="O1516" s="1429"/>
      <c r="P1516" s="1429"/>
      <c r="Q1516" s="1424"/>
      <c r="R1516" s="1428">
        <f>R1473</f>
        <v>0</v>
      </c>
      <c r="S1516" s="1423">
        <f t="shared" si="2226"/>
        <v>0</v>
      </c>
      <c r="T1516" s="1423">
        <f t="shared" si="2227"/>
        <v>0</v>
      </c>
      <c r="U1516" s="1423">
        <f t="shared" si="2228"/>
        <v>0</v>
      </c>
      <c r="V1516" s="1423">
        <f t="shared" si="2229"/>
        <v>0</v>
      </c>
      <c r="W1516" s="1423">
        <f t="shared" si="2230"/>
        <v>0</v>
      </c>
      <c r="X1516" s="152"/>
      <c r="Y1516" s="152"/>
      <c r="Z1516" s="152"/>
      <c r="AA1516" s="152"/>
      <c r="AB1516" s="152"/>
    </row>
    <row r="1517" spans="1:28" hidden="1" outlineLevel="1">
      <c r="A1517" s="152"/>
      <c r="B1517" s="190" t="str">
        <f t="shared" ca="1" si="2231"/>
        <v>RL Capex 2031-32</v>
      </c>
      <c r="C1517" s="1429"/>
      <c r="D1517" s="1429"/>
      <c r="E1517" s="1429"/>
      <c r="F1517" s="1429"/>
      <c r="G1517" s="1429"/>
      <c r="H1517" s="1429"/>
      <c r="I1517" s="1429"/>
      <c r="J1517" s="1429"/>
      <c r="K1517" s="1429"/>
      <c r="L1517" s="1429"/>
      <c r="M1517" s="1429"/>
      <c r="N1517" s="1429"/>
      <c r="O1517" s="1429"/>
      <c r="P1517" s="1429"/>
      <c r="Q1517" s="1429"/>
      <c r="R1517" s="1424"/>
      <c r="S1517" s="1428">
        <f>S1473</f>
        <v>0</v>
      </c>
      <c r="T1517" s="1423">
        <f t="shared" si="2227"/>
        <v>0</v>
      </c>
      <c r="U1517" s="1423">
        <f t="shared" si="2228"/>
        <v>0</v>
      </c>
      <c r="V1517" s="1423">
        <f t="shared" si="2229"/>
        <v>0</v>
      </c>
      <c r="W1517" s="1423">
        <f t="shared" si="2230"/>
        <v>0</v>
      </c>
      <c r="X1517" s="152"/>
      <c r="Y1517" s="152"/>
      <c r="Z1517" s="152"/>
      <c r="AA1517" s="152"/>
      <c r="AB1517" s="152"/>
    </row>
    <row r="1518" spans="1:28" hidden="1" outlineLevel="1">
      <c r="A1518" s="152"/>
      <c r="B1518" s="190" t="str">
        <f t="shared" ca="1" si="2231"/>
        <v>RL Capex 2032-33</v>
      </c>
      <c r="C1518" s="1429"/>
      <c r="D1518" s="1429"/>
      <c r="E1518" s="1429"/>
      <c r="F1518" s="1429"/>
      <c r="G1518" s="1429"/>
      <c r="H1518" s="1429"/>
      <c r="I1518" s="1429"/>
      <c r="J1518" s="1429"/>
      <c r="K1518" s="1429"/>
      <c r="L1518" s="1429"/>
      <c r="M1518" s="1429"/>
      <c r="N1518" s="1429"/>
      <c r="O1518" s="1429"/>
      <c r="P1518" s="1429"/>
      <c r="Q1518" s="1429"/>
      <c r="R1518" s="1429"/>
      <c r="S1518" s="1424"/>
      <c r="T1518" s="1428">
        <f>T1473</f>
        <v>0</v>
      </c>
      <c r="U1518" s="1423">
        <f t="shared" si="2228"/>
        <v>0</v>
      </c>
      <c r="V1518" s="1423">
        <f t="shared" si="2229"/>
        <v>0</v>
      </c>
      <c r="W1518" s="1423">
        <f t="shared" si="2230"/>
        <v>0</v>
      </c>
      <c r="X1518" s="152"/>
      <c r="Y1518" s="152"/>
      <c r="Z1518" s="152"/>
      <c r="AA1518" s="152"/>
      <c r="AB1518" s="152"/>
    </row>
    <row r="1519" spans="1:28" hidden="1" outlineLevel="1">
      <c r="A1519" s="152"/>
      <c r="B1519" s="190" t="str">
        <f t="shared" ca="1" si="2231"/>
        <v>RL Capex 2033-34</v>
      </c>
      <c r="C1519" s="1429"/>
      <c r="D1519" s="1429"/>
      <c r="E1519" s="1429"/>
      <c r="F1519" s="1429"/>
      <c r="G1519" s="1429"/>
      <c r="H1519" s="1429"/>
      <c r="I1519" s="1429"/>
      <c r="J1519" s="1429"/>
      <c r="K1519" s="1429"/>
      <c r="L1519" s="1429"/>
      <c r="M1519" s="1429"/>
      <c r="N1519" s="1429"/>
      <c r="O1519" s="1429"/>
      <c r="P1519" s="1429"/>
      <c r="Q1519" s="1429"/>
      <c r="R1519" s="1429"/>
      <c r="S1519" s="1429"/>
      <c r="T1519" s="1424"/>
      <c r="U1519" s="1428">
        <f>U1473</f>
        <v>0</v>
      </c>
      <c r="V1519" s="1423">
        <f t="shared" si="2229"/>
        <v>0</v>
      </c>
      <c r="W1519" s="1423">
        <f t="shared" si="2230"/>
        <v>0</v>
      </c>
      <c r="X1519" s="152"/>
      <c r="Y1519" s="152"/>
      <c r="Z1519" s="152"/>
      <c r="AA1519" s="152"/>
      <c r="AB1519" s="152"/>
    </row>
    <row r="1520" spans="1:28" hidden="1" outlineLevel="1">
      <c r="A1520" s="152"/>
      <c r="B1520" s="190" t="str">
        <f t="shared" ca="1" si="2231"/>
        <v>RL Capex 2034-35</v>
      </c>
      <c r="C1520" s="1429"/>
      <c r="D1520" s="1429"/>
      <c r="E1520" s="1429"/>
      <c r="F1520" s="1429"/>
      <c r="G1520" s="1429"/>
      <c r="H1520" s="1429"/>
      <c r="I1520" s="1429"/>
      <c r="J1520" s="1429"/>
      <c r="K1520" s="1429"/>
      <c r="L1520" s="1429"/>
      <c r="M1520" s="1429"/>
      <c r="N1520" s="1429"/>
      <c r="O1520" s="1429"/>
      <c r="P1520" s="1429"/>
      <c r="Q1520" s="1429"/>
      <c r="R1520" s="1429"/>
      <c r="S1520" s="1429"/>
      <c r="T1520" s="1429"/>
      <c r="U1520" s="1424"/>
      <c r="V1520" s="1428">
        <f>V1473</f>
        <v>0</v>
      </c>
      <c r="W1520" s="1423">
        <f>IF(V1520="n/a","n/a",MAX(0,V1520-1))</f>
        <v>0</v>
      </c>
      <c r="X1520" s="152"/>
      <c r="Y1520" s="152"/>
      <c r="Z1520" s="152"/>
      <c r="AA1520" s="152"/>
      <c r="AB1520" s="152"/>
    </row>
    <row r="1521" spans="1:28" hidden="1" outlineLevel="1">
      <c r="A1521" s="152"/>
      <c r="B1521" s="190" t="str">
        <f t="shared" ca="1" si="2231"/>
        <v>RL Capex 2035-36</v>
      </c>
      <c r="C1521" s="1429"/>
      <c r="D1521" s="1429"/>
      <c r="E1521" s="1429"/>
      <c r="F1521" s="1429"/>
      <c r="G1521" s="1429"/>
      <c r="H1521" s="1429"/>
      <c r="I1521" s="1429"/>
      <c r="J1521" s="1429"/>
      <c r="K1521" s="1429"/>
      <c r="L1521" s="1429"/>
      <c r="M1521" s="1429"/>
      <c r="N1521" s="1429"/>
      <c r="O1521" s="1429"/>
      <c r="P1521" s="1429"/>
      <c r="Q1521" s="1429"/>
      <c r="R1521" s="1429"/>
      <c r="S1521" s="1429"/>
      <c r="T1521" s="1429"/>
      <c r="U1521" s="1429"/>
      <c r="V1521" s="1424"/>
      <c r="W1521" s="1423">
        <f>W1473</f>
        <v>0</v>
      </c>
      <c r="X1521" s="152"/>
      <c r="Y1521" s="152"/>
      <c r="Z1521" s="152"/>
      <c r="AA1521" s="152"/>
      <c r="AB1521" s="152"/>
    </row>
    <row r="1522" spans="1:28" hidden="1" outlineLevel="1">
      <c r="A1522" s="152"/>
      <c r="B1522" s="200"/>
      <c r="C1522" s="1423"/>
      <c r="D1522" s="1423"/>
      <c r="E1522" s="1423"/>
      <c r="F1522" s="1423"/>
      <c r="G1522" s="1423"/>
      <c r="H1522" s="1423"/>
      <c r="I1522" s="1423"/>
      <c r="J1522" s="1423"/>
      <c r="K1522" s="1423"/>
      <c r="L1522" s="1423"/>
      <c r="M1522" s="1423"/>
      <c r="N1522" s="1423"/>
      <c r="O1522" s="1423"/>
      <c r="P1522" s="1423"/>
      <c r="Q1522" s="1423"/>
      <c r="R1522" s="1423"/>
      <c r="S1522" s="1423"/>
      <c r="T1522" s="1423"/>
      <c r="U1522" s="1423"/>
      <c r="V1522" s="1423"/>
      <c r="W1522" s="1423"/>
      <c r="X1522" s="152"/>
      <c r="Y1522" s="152"/>
      <c r="Z1522" s="152"/>
      <c r="AA1522" s="152"/>
      <c r="AB1522" s="152"/>
    </row>
    <row r="1523" spans="1:28" collapsed="1">
      <c r="A1523" s="194"/>
      <c r="B1523" s="204" t="s">
        <v>123</v>
      </c>
      <c r="C1523" s="1430">
        <f ca="1">(IF(OR($C1473&lt;&gt;"n/a",C1473&lt;&gt;"n/a"),IF(SUM(C1476:C1498)=0,0,IF((SUMPRODUCT(C1476:C1498,C1500:C1522)/SUM(C1476:C1498))&lt;0,1,(SUMPRODUCT(C1476:C1498,C1500:C1522)/SUM(C1476:C1498)))),"n/a"))</f>
        <v>0</v>
      </c>
      <c r="D1523" s="1430">
        <f ca="1">(IF(OR($C1473&lt;&gt;"n/a",D1473&lt;&gt;"n/a"),IF(SUM(D1476:D1498)=0,0,IF((SUMPRODUCT(D1476:D1498,D1500:D1522)/SUM(D1476:D1498))&lt;0,1,(SUMPRODUCT(D1476:D1498,D1500:D1522)/SUM(D1476:D1498)))),"n/a"))</f>
        <v>0</v>
      </c>
      <c r="E1523" s="1430">
        <f t="shared" ref="E1523:W1523" ca="1" si="2232">(IF(OR($C1473&lt;&gt;"n/a",E1473&lt;&gt;"n/a"),IF(SUM(E1476:E1498)=0,0,IF((SUMPRODUCT(E1476:E1498,E1500:E1522)/SUM(E1476:E1498))&lt;0,1,(SUMPRODUCT(E1476:E1498,E1500:E1522)/SUM(E1476:E1498)))),"n/a"))</f>
        <v>0</v>
      </c>
      <c r="F1523" s="1430">
        <f t="shared" ca="1" si="2232"/>
        <v>0</v>
      </c>
      <c r="G1523" s="1430">
        <f t="shared" ca="1" si="2232"/>
        <v>0</v>
      </c>
      <c r="H1523" s="1430">
        <f t="shared" ca="1" si="2232"/>
        <v>0</v>
      </c>
      <c r="I1523" s="1430">
        <f t="shared" ca="1" si="2232"/>
        <v>0</v>
      </c>
      <c r="J1523" s="1430">
        <f t="shared" ca="1" si="2232"/>
        <v>0</v>
      </c>
      <c r="K1523" s="1430">
        <f t="shared" ca="1" si="2232"/>
        <v>0</v>
      </c>
      <c r="L1523" s="1430">
        <f t="shared" ca="1" si="2232"/>
        <v>0</v>
      </c>
      <c r="M1523" s="1430">
        <f t="shared" ca="1" si="2232"/>
        <v>0</v>
      </c>
      <c r="N1523" s="1430">
        <f t="shared" ca="1" si="2232"/>
        <v>0</v>
      </c>
      <c r="O1523" s="1430">
        <f t="shared" ca="1" si="2232"/>
        <v>0</v>
      </c>
      <c r="P1523" s="1430">
        <f t="shared" ca="1" si="2232"/>
        <v>0</v>
      </c>
      <c r="Q1523" s="1430">
        <f t="shared" ca="1" si="2232"/>
        <v>0</v>
      </c>
      <c r="R1523" s="1430">
        <f t="shared" ca="1" si="2232"/>
        <v>0</v>
      </c>
      <c r="S1523" s="1430">
        <f t="shared" ca="1" si="2232"/>
        <v>0</v>
      </c>
      <c r="T1523" s="1430">
        <f t="shared" ca="1" si="2232"/>
        <v>0</v>
      </c>
      <c r="U1523" s="1430">
        <f t="shared" ca="1" si="2232"/>
        <v>0</v>
      </c>
      <c r="V1523" s="1430">
        <f t="shared" ca="1" si="2232"/>
        <v>0</v>
      </c>
      <c r="W1523" s="1430">
        <f t="shared" ca="1" si="2232"/>
        <v>0</v>
      </c>
      <c r="X1523" s="152"/>
      <c r="Y1523" s="152"/>
      <c r="Z1523" s="152"/>
      <c r="AA1523" s="152"/>
      <c r="AB1523" s="152"/>
    </row>
    <row r="1524" spans="1:28">
      <c r="A1524" s="152"/>
      <c r="B1524" s="152"/>
      <c r="C1524" s="1423"/>
      <c r="D1524" s="1423"/>
      <c r="E1524" s="1423"/>
      <c r="F1524" s="1423"/>
      <c r="G1524" s="1423"/>
      <c r="H1524" s="1423"/>
      <c r="I1524" s="1423"/>
      <c r="J1524" s="1423"/>
      <c r="K1524" s="1423"/>
      <c r="L1524" s="1423"/>
      <c r="M1524" s="1423"/>
      <c r="N1524" s="1423"/>
      <c r="O1524" s="1423"/>
      <c r="P1524" s="1423"/>
      <c r="Q1524" s="1423"/>
      <c r="R1524" s="1423"/>
      <c r="S1524" s="1423"/>
      <c r="T1524" s="1423"/>
      <c r="U1524" s="1423"/>
      <c r="V1524" s="1423"/>
      <c r="W1524" s="1423"/>
      <c r="X1524" s="152"/>
      <c r="Y1524" s="152"/>
      <c r="Z1524" s="152"/>
      <c r="AA1524" s="152"/>
      <c r="AB1524" s="152"/>
    </row>
    <row r="1525" spans="1:28">
      <c r="A1525" s="269" t="s">
        <v>63</v>
      </c>
      <c r="B1525" s="270">
        <f>VLOOKUP($A1525,'RFM input'!$E$7:$F$56,2,FALSE)</f>
        <v>0</v>
      </c>
      <c r="C1525" s="1431"/>
      <c r="D1525" s="1431"/>
      <c r="E1525" s="1432"/>
      <c r="F1525" s="1432"/>
      <c r="G1525" s="1432"/>
      <c r="H1525" s="1432"/>
      <c r="I1525" s="1432"/>
      <c r="J1525" s="1432"/>
      <c r="K1525" s="1432"/>
      <c r="L1525" s="1432"/>
      <c r="M1525" s="1432"/>
      <c r="N1525" s="1432"/>
      <c r="O1525" s="1432"/>
      <c r="P1525" s="1432"/>
      <c r="Q1525" s="1432"/>
      <c r="R1525" s="1432"/>
      <c r="S1525" s="1432"/>
      <c r="T1525" s="1432"/>
      <c r="U1525" s="1432"/>
      <c r="V1525" s="1432"/>
      <c r="W1525" s="1432"/>
      <c r="X1525" s="152"/>
      <c r="Y1525" s="152"/>
      <c r="Z1525" s="152"/>
      <c r="AA1525" s="152"/>
      <c r="AB1525" s="152"/>
    </row>
    <row r="1526" spans="1:28">
      <c r="A1526" s="215">
        <f>VALUE(REPLACE(A1525,1,12,""))</f>
        <v>29</v>
      </c>
      <c r="B1526" s="193" t="s">
        <v>126</v>
      </c>
      <c r="C1526" s="1416">
        <f ca="1">IF($C$8='Capital Base roll forward'!$H$4,OFFSET('Capital Base roll forward'!$H$717,'RAB remaining lives'!A1526,0),"enter input")</f>
        <v>0</v>
      </c>
      <c r="D1526" s="1417">
        <f>IF(LEFT(D$6,4)&lt;LEFT('RFM input'!$G$60,4),"enter input",IF(LEFT(D$6,4)&gt;LEFT('RFM input'!$Q$60,4),0,INDEX('RFM input'!$G$61:$Q$110,$A1526,MATCH(D$6,'RFM input'!$G$60:$Q$60,0))
-INDEX('RFM input'!$G$115:$Q$164,$A1526,MATCH(D$6,'RFM input'!$G$60:$Q$60,0))
-INDEX('RFM input'!$G$169:$Q$218,$A1526,MATCH(D$6,'RFM input'!$G$60:$Q$60,0))))</f>
        <v>0</v>
      </c>
      <c r="E1526" s="1417">
        <f>IF(LEFT(E$6,4)&lt;LEFT('RFM input'!$G$60,4),"enter input",IF(LEFT(E$6,4)&gt;LEFT('RFM input'!$Q$60,4),0,INDEX('RFM input'!$G$61:$Q$110,$A1526,MATCH(E$6,'RFM input'!$G$60:$Q$60,0))
-INDEX('RFM input'!$G$115:$Q$164,$A1526,MATCH(E$6,'RFM input'!$G$60:$Q$60,0))
-INDEX('RFM input'!$G$169:$Q$218,$A1526,MATCH(E$6,'RFM input'!$G$60:$Q$60,0))))</f>
        <v>0</v>
      </c>
      <c r="F1526" s="1417">
        <f>IF(LEFT(F$6,4)&lt;LEFT('RFM input'!$G$60,4),"enter input",IF(LEFT(F$6,4)&gt;LEFT('RFM input'!$Q$60,4),0,INDEX('RFM input'!$G$61:$Q$110,$A1526,MATCH(F$6,'RFM input'!$G$60:$Q$60,0))
-INDEX('RFM input'!$G$115:$Q$164,$A1526,MATCH(F$6,'RFM input'!$G$60:$Q$60,0))
-INDEX('RFM input'!$G$169:$Q$218,$A1526,MATCH(F$6,'RFM input'!$G$60:$Q$60,0))))</f>
        <v>0</v>
      </c>
      <c r="G1526" s="1417">
        <f>IF(LEFT(G$6,4)&lt;LEFT('RFM input'!$G$60,4),"enter input",IF(LEFT(G$6,4)&gt;LEFT('RFM input'!$Q$60,4),0,INDEX('RFM input'!$G$61:$Q$110,$A1526,MATCH(G$6,'RFM input'!$G$60:$Q$60,0))
-INDEX('RFM input'!$G$115:$Q$164,$A1526,MATCH(G$6,'RFM input'!$G$60:$Q$60,0))
-INDEX('RFM input'!$G$169:$Q$218,$A1526,MATCH(G$6,'RFM input'!$G$60:$Q$60,0))))</f>
        <v>0</v>
      </c>
      <c r="H1526" s="1417">
        <f>IF(LEFT(H$6,4)&lt;LEFT('RFM input'!$G$60,4),"enter input",IF(LEFT(H$6,4)&gt;LEFT('RFM input'!$Q$60,4),0,INDEX('RFM input'!$G$61:$Q$110,$A1526,MATCH(H$6,'RFM input'!$G$60:$Q$60,0))
-INDEX('RFM input'!$G$115:$Q$164,$A1526,MATCH(H$6,'RFM input'!$G$60:$Q$60,0))
-INDEX('RFM input'!$G$169:$Q$218,$A1526,MATCH(H$6,'RFM input'!$G$60:$Q$60,0))))</f>
        <v>0</v>
      </c>
      <c r="I1526" s="1417">
        <f>IF(LEFT(I$6,4)&lt;LEFT('RFM input'!$G$60,4),"enter input",IF(LEFT(I$6,4)&gt;LEFT('RFM input'!$Q$60,4),0,INDEX('RFM input'!$G$61:$Q$110,$A1526,MATCH(I$6,'RFM input'!$G$60:$Q$60,0))
-INDEX('RFM input'!$G$115:$Q$164,$A1526,MATCH(I$6,'RFM input'!$G$60:$Q$60,0))
-INDEX('RFM input'!$G$169:$Q$218,$A1526,MATCH(I$6,'RFM input'!$G$60:$Q$60,0))))</f>
        <v>0</v>
      </c>
      <c r="J1526" s="1417">
        <f>IF(LEFT(J$6,4)&lt;LEFT('RFM input'!$G$60,4),"enter input",IF(LEFT(J$6,4)&gt;LEFT('RFM input'!$Q$60,4),0,INDEX('RFM input'!$G$61:$Q$110,$A1526,MATCH(J$6,'RFM input'!$G$60:$Q$60,0))
-INDEX('RFM input'!$G$115:$Q$164,$A1526,MATCH(J$6,'RFM input'!$G$60:$Q$60,0))
-INDEX('RFM input'!$G$169:$Q$218,$A1526,MATCH(J$6,'RFM input'!$G$60:$Q$60,0))))</f>
        <v>0</v>
      </c>
      <c r="K1526" s="1417">
        <f>IF(LEFT(K$6,4)&lt;LEFT('RFM input'!$G$60,4),"enter input",IF(LEFT(K$6,4)&gt;LEFT('RFM input'!$Q$60,4),0,INDEX('RFM input'!$G$61:$Q$110,$A1526,MATCH(K$6,'RFM input'!$G$60:$Q$60,0))
-INDEX('RFM input'!$G$115:$Q$164,$A1526,MATCH(K$6,'RFM input'!$G$60:$Q$60,0))
-INDEX('RFM input'!$G$169:$Q$218,$A1526,MATCH(K$6,'RFM input'!$G$60:$Q$60,0))))</f>
        <v>0</v>
      </c>
      <c r="L1526" s="1417">
        <f>IF(LEFT(L$6,4)&lt;LEFT('RFM input'!$G$60,4),"enter input",IF(LEFT(L$6,4)&gt;LEFT('RFM input'!$Q$60,4),0,INDEX('RFM input'!$G$61:$Q$110,$A1526,MATCH(L$6,'RFM input'!$G$60:$Q$60,0))
-INDEX('RFM input'!$G$115:$Q$164,$A1526,MATCH(L$6,'RFM input'!$G$60:$Q$60,0))
-INDEX('RFM input'!$G$169:$Q$218,$A1526,MATCH(L$6,'RFM input'!$G$60:$Q$60,0))))</f>
        <v>0</v>
      </c>
      <c r="M1526" s="1417">
        <f>IF(LEFT(M$6,4)&lt;LEFT('RFM input'!$G$60,4),"enter input",IF(LEFT(M$6,4)&gt;LEFT('RFM input'!$Q$60,4),0,INDEX('RFM input'!$G$61:$Q$110,$A1526,MATCH(M$6,'RFM input'!$G$60:$Q$60,0))
-INDEX('RFM input'!$G$115:$Q$164,$A1526,MATCH(M$6,'RFM input'!$G$60:$Q$60,0))
-INDEX('RFM input'!$G$169:$Q$218,$A1526,MATCH(M$6,'RFM input'!$G$60:$Q$60,0))))</f>
        <v>0</v>
      </c>
      <c r="N1526" s="1417">
        <f>IF(LEFT(N$6,4)&lt;LEFT('RFM input'!$G$60,4),"enter input",IF(LEFT(N$6,4)&gt;LEFT('RFM input'!$Q$60,4),0,INDEX('RFM input'!$G$61:$Q$110,$A1526,MATCH(N$6,'RFM input'!$G$60:$Q$60,0))
-INDEX('RFM input'!$G$115:$Q$164,$A1526,MATCH(N$6,'RFM input'!$G$60:$Q$60,0))
-INDEX('RFM input'!$G$169:$Q$218,$A1526,MATCH(N$6,'RFM input'!$G$60:$Q$60,0))))</f>
        <v>0</v>
      </c>
      <c r="O1526" s="1417">
        <f>IF(LEFT(O$6,4)&lt;LEFT('RFM input'!$G$60,4),"enter input",IF(LEFT(O$6,4)&gt;LEFT('RFM input'!$Q$60,4),0,INDEX('RFM input'!$G$61:$Q$110,$A1526,MATCH(O$6,'RFM input'!$G$60:$Q$60,0))
-INDEX('RFM input'!$G$115:$Q$164,$A1526,MATCH(O$6,'RFM input'!$G$60:$Q$60,0))
-INDEX('RFM input'!$G$169:$Q$218,$A1526,MATCH(O$6,'RFM input'!$G$60:$Q$60,0))))</f>
        <v>0</v>
      </c>
      <c r="P1526" s="1417">
        <f>IF(LEFT(P$6,4)&lt;LEFT('RFM input'!$G$60,4),"enter input",IF(LEFT(P$6,4)&gt;LEFT('RFM input'!$Q$60,4),0,INDEX('RFM input'!$G$61:$Q$110,$A1526,MATCH(P$6,'RFM input'!$G$60:$Q$60,0))
-INDEX('RFM input'!$G$115:$Q$164,$A1526,MATCH(P$6,'RFM input'!$G$60:$Q$60,0))
-INDEX('RFM input'!$G$169:$Q$218,$A1526,MATCH(P$6,'RFM input'!$G$60:$Q$60,0))))</f>
        <v>0</v>
      </c>
      <c r="Q1526" s="1417">
        <f>IF(LEFT(Q$6,4)&lt;LEFT('RFM input'!$G$60,4),"enter input",IF(LEFT(Q$6,4)&gt;LEFT('RFM input'!$Q$60,4),0,INDEX('RFM input'!$G$61:$Q$110,$A1526,MATCH(Q$6,'RFM input'!$G$60:$Q$60,0))
-INDEX('RFM input'!$G$115:$Q$164,$A1526,MATCH(Q$6,'RFM input'!$G$60:$Q$60,0))
-INDEX('RFM input'!$G$169:$Q$218,$A1526,MATCH(Q$6,'RFM input'!$G$60:$Q$60,0))))</f>
        <v>0</v>
      </c>
      <c r="R1526" s="1417">
        <f>IF(LEFT(R$6,4)&lt;LEFT('RFM input'!$G$60,4),"enter input",IF(LEFT(R$6,4)&gt;LEFT('RFM input'!$Q$60,4),0,INDEX('RFM input'!$G$61:$Q$110,$A1526,MATCH(R$6,'RFM input'!$G$60:$Q$60,0))
-INDEX('RFM input'!$G$115:$Q$164,$A1526,MATCH(R$6,'RFM input'!$G$60:$Q$60,0))
-INDEX('RFM input'!$G$169:$Q$218,$A1526,MATCH(R$6,'RFM input'!$G$60:$Q$60,0))))</f>
        <v>0</v>
      </c>
      <c r="S1526" s="1417">
        <f>IF(LEFT(S$6,4)&lt;LEFT('RFM input'!$G$60,4),"enter input",IF(LEFT(S$6,4)&gt;LEFT('RFM input'!$Q$60,4),0,INDEX('RFM input'!$G$61:$Q$110,$A1526,MATCH(S$6,'RFM input'!$G$60:$Q$60,0))
-INDEX('RFM input'!$G$115:$Q$164,$A1526,MATCH(S$6,'RFM input'!$G$60:$Q$60,0))
-INDEX('RFM input'!$G$169:$Q$218,$A1526,MATCH(S$6,'RFM input'!$G$60:$Q$60,0))))</f>
        <v>0</v>
      </c>
      <c r="T1526" s="1417">
        <f>IF(LEFT(T$6,4)&lt;LEFT('RFM input'!$G$60,4),"enter input",IF(LEFT(T$6,4)&gt;LEFT('RFM input'!$Q$60,4),0,INDEX('RFM input'!$G$61:$Q$110,$A1526,MATCH(T$6,'RFM input'!$G$60:$Q$60,0))
-INDEX('RFM input'!$G$115:$Q$164,$A1526,MATCH(T$6,'RFM input'!$G$60:$Q$60,0))
-INDEX('RFM input'!$G$169:$Q$218,$A1526,MATCH(T$6,'RFM input'!$G$60:$Q$60,0))))</f>
        <v>0</v>
      </c>
      <c r="U1526" s="1417">
        <f>IF(LEFT(U$6,4)&lt;LEFT('RFM input'!$G$60,4),"enter input",IF(LEFT(U$6,4)&gt;LEFT('RFM input'!$Q$60,4),0,INDEX('RFM input'!$G$61:$Q$110,$A1526,MATCH(U$6,'RFM input'!$G$60:$Q$60,0))
-INDEX('RFM input'!$G$115:$Q$164,$A1526,MATCH(U$6,'RFM input'!$G$60:$Q$60,0))
-INDEX('RFM input'!$G$169:$Q$218,$A1526,MATCH(U$6,'RFM input'!$G$60:$Q$60,0))))</f>
        <v>0</v>
      </c>
      <c r="V1526" s="1417">
        <f>IF(LEFT(V$6,4)&lt;LEFT('RFM input'!$G$60,4),"enter input",IF(LEFT(V$6,4)&gt;LEFT('RFM input'!$Q$60,4),0,INDEX('RFM input'!$G$61:$Q$110,$A1526,MATCH(V$6,'RFM input'!$G$60:$Q$60,0))
-INDEX('RFM input'!$G$115:$Q$164,$A1526,MATCH(V$6,'RFM input'!$G$60:$Q$60,0))
-INDEX('RFM input'!$G$169:$Q$218,$A1526,MATCH(V$6,'RFM input'!$G$60:$Q$60,0))))</f>
        <v>0</v>
      </c>
      <c r="W1526" s="1417">
        <f>IF(LEFT(W$6,4)&lt;LEFT('RFM input'!$G$60,4),"enter input",IF(LEFT(W$6,4)&gt;LEFT('RFM input'!$Q$60,4),0,INDEX('RFM input'!$G$61:$Q$110,$A1526,MATCH(W$6,'RFM input'!$G$60:$Q$60,0))
-INDEX('RFM input'!$G$115:$Q$164,$A1526,MATCH(W$6,'RFM input'!$G$60:$Q$60,0))
-INDEX('RFM input'!$G$169:$Q$218,$A1526,MATCH(W$6,'RFM input'!$G$60:$Q$60,0))))</f>
        <v>0</v>
      </c>
      <c r="X1526" s="152"/>
      <c r="Y1526" s="152"/>
      <c r="Z1526" s="152"/>
      <c r="AA1526" s="152"/>
      <c r="AB1526" s="152"/>
    </row>
    <row r="1527" spans="1:28">
      <c r="A1527" s="152"/>
      <c r="B1527" s="152" t="s">
        <v>204</v>
      </c>
      <c r="C1527" s="1418">
        <f ca="1">IF($C$8='Capital Base roll forward'!$H$4,OFFSET('RFM input'!$J$6,'RAB remaining lives'!A1526,0),"enter input")</f>
        <v>0</v>
      </c>
      <c r="D1527" s="1417">
        <f>IF(LEFT(D$6,4)&lt;=LEFT('RFM input'!$G$60,4),"enter input",IF(LEFT(D$6,4)&gt;LEFT('RFM input'!$Q$60,4),0,IF(MATCH(D$6,'RFM input'!$H$60:$Q$60,0),INDEX('RFM input'!$K$7:$K$56,$A1526,1))))</f>
        <v>0</v>
      </c>
      <c r="E1527" s="1417">
        <f>IF(LEFT(E$6,4)&lt;=LEFT('RFM input'!$G$60,4),"enter input",IF(LEFT(E$6,4)&gt;LEFT('RFM input'!$Q$60,4),0,IF(MATCH(E$6,'RFM input'!$H$60:$Q$60,0),INDEX('RFM input'!$K$7:$K$56,$A1526,1))))</f>
        <v>0</v>
      </c>
      <c r="F1527" s="1417">
        <f>IF(LEFT(F$6,4)&lt;=LEFT('RFM input'!$G$60,4),"enter input",IF(LEFT(F$6,4)&gt;LEFT('RFM input'!$Q$60,4),0,IF(MATCH(F$6,'RFM input'!$H$60:$Q$60,0),INDEX('RFM input'!$K$7:$K$56,$A1526,1))))</f>
        <v>0</v>
      </c>
      <c r="G1527" s="1417">
        <f>IF(LEFT(G$6,4)&lt;=LEFT('RFM input'!$G$60,4),"enter input",IF(LEFT(G$6,4)&gt;LEFT('RFM input'!$Q$60,4),0,IF(MATCH(G$6,'RFM input'!$H$60:$Q$60,0),INDEX('RFM input'!$K$7:$K$56,$A1526,1))))</f>
        <v>0</v>
      </c>
      <c r="H1527" s="1417">
        <f>IF(LEFT(H$6,4)&lt;=LEFT('RFM input'!$G$60,4),"enter input",IF(LEFT(H$6,4)&gt;LEFT('RFM input'!$Q$60,4),0,IF(MATCH(H$6,'RFM input'!$H$60:$Q$60,0),INDEX('RFM input'!$K$7:$K$56,$A1526,1))))</f>
        <v>0</v>
      </c>
      <c r="I1527" s="1417">
        <f>IF(LEFT(I$6,4)&lt;=LEFT('RFM input'!$G$60,4),"enter input",IF(LEFT(I$6,4)&gt;LEFT('RFM input'!$Q$60,4),0,IF(MATCH(I$6,'RFM input'!$H$60:$Q$60,0),INDEX('RFM input'!$K$7:$K$56,$A1526,1))))</f>
        <v>0</v>
      </c>
      <c r="J1527" s="1417">
        <f>IF(LEFT(J$6,4)&lt;=LEFT('RFM input'!$G$60,4),"enter input",IF(LEFT(J$6,4)&gt;LEFT('RFM input'!$Q$60,4),0,IF(MATCH(J$6,'RFM input'!$H$60:$Q$60,0),INDEX('RFM input'!$K$7:$K$56,$A1526,1))))</f>
        <v>0</v>
      </c>
      <c r="K1527" s="1417">
        <f>IF(LEFT(K$6,4)&lt;=LEFT('RFM input'!$G$60,4),"enter input",IF(LEFT(K$6,4)&gt;LEFT('RFM input'!$Q$60,4),0,IF(MATCH(K$6,'RFM input'!$H$60:$Q$60,0),INDEX('RFM input'!$K$7:$K$56,$A1526,1))))</f>
        <v>0</v>
      </c>
      <c r="L1527" s="1417">
        <f>IF(LEFT(L$6,4)&lt;=LEFT('RFM input'!$G$60,4),"enter input",IF(LEFT(L$6,4)&gt;LEFT('RFM input'!$Q$60,4),0,IF(MATCH(L$6,'RFM input'!$H$60:$Q$60,0),INDEX('RFM input'!$K$7:$K$56,$A1526,1))))</f>
        <v>0</v>
      </c>
      <c r="M1527" s="1417">
        <f>IF(LEFT(M$6,4)&lt;=LEFT('RFM input'!$G$60,4),"enter input",IF(LEFT(M$6,4)&gt;LEFT('RFM input'!$Q$60,4),0,IF(MATCH(M$6,'RFM input'!$H$60:$Q$60,0),INDEX('RFM input'!$K$7:$K$56,$A1526,1))))</f>
        <v>0</v>
      </c>
      <c r="N1527" s="1417">
        <f>IF(LEFT(N$6,4)&lt;=LEFT('RFM input'!$G$60,4),"enter input",IF(LEFT(N$6,4)&gt;LEFT('RFM input'!$Q$60,4),0,IF(MATCH(N$6,'RFM input'!$H$60:$Q$60,0),INDEX('RFM input'!$K$7:$K$56,$A1526,1))))</f>
        <v>0</v>
      </c>
      <c r="O1527" s="1417">
        <f>IF(LEFT(O$6,4)&lt;=LEFT('RFM input'!$G$60,4),"enter input",IF(LEFT(O$6,4)&gt;LEFT('RFM input'!$Q$60,4),0,IF(MATCH(O$6,'RFM input'!$H$60:$Q$60,0),INDEX('RFM input'!$K$7:$K$56,$A1526,1))))</f>
        <v>0</v>
      </c>
      <c r="P1527" s="1417">
        <f>IF(LEFT(P$6,4)&lt;=LEFT('RFM input'!$G$60,4),"enter input",IF(LEFT(P$6,4)&gt;LEFT('RFM input'!$Q$60,4),0,IF(MATCH(P$6,'RFM input'!$H$60:$Q$60,0),INDEX('RFM input'!$K$7:$K$56,$A1526,1))))</f>
        <v>0</v>
      </c>
      <c r="Q1527" s="1417">
        <f>IF(LEFT(Q$6,4)&lt;=LEFT('RFM input'!$G$60,4),"enter input",IF(LEFT(Q$6,4)&gt;LEFT('RFM input'!$Q$60,4),0,IF(MATCH(Q$6,'RFM input'!$H$60:$Q$60,0),INDEX('RFM input'!$K$7:$K$56,$A1526,1))))</f>
        <v>0</v>
      </c>
      <c r="R1527" s="1417">
        <f>IF(LEFT(R$6,4)&lt;=LEFT('RFM input'!$G$60,4),"enter input",IF(LEFT(R$6,4)&gt;LEFT('RFM input'!$Q$60,4),0,IF(MATCH(R$6,'RFM input'!$H$60:$Q$60,0),INDEX('RFM input'!$K$7:$K$56,$A1526,1))))</f>
        <v>0</v>
      </c>
      <c r="S1527" s="1417">
        <f>IF(LEFT(S$6,4)&lt;=LEFT('RFM input'!$G$60,4),"enter input",IF(LEFT(S$6,4)&gt;LEFT('RFM input'!$Q$60,4),0,IF(MATCH(S$6,'RFM input'!$H$60:$Q$60,0),INDEX('RFM input'!$K$7:$K$56,$A1526,1))))</f>
        <v>0</v>
      </c>
      <c r="T1527" s="1417">
        <f>IF(LEFT(T$6,4)&lt;=LEFT('RFM input'!$G$60,4),"enter input",IF(LEFT(T$6,4)&gt;LEFT('RFM input'!$Q$60,4),0,IF(MATCH(T$6,'RFM input'!$H$60:$Q$60,0),INDEX('RFM input'!$K$7:$K$56,$A1526,1))))</f>
        <v>0</v>
      </c>
      <c r="U1527" s="1417">
        <f>IF(LEFT(U$6,4)&lt;=LEFT('RFM input'!$G$60,4),"enter input",IF(LEFT(U$6,4)&gt;LEFT('RFM input'!$Q$60,4),0,IF(MATCH(U$6,'RFM input'!$H$60:$Q$60,0),INDEX('RFM input'!$K$7:$K$56,$A1526,1))))</f>
        <v>0</v>
      </c>
      <c r="V1527" s="1417">
        <f>IF(LEFT(V$6,4)&lt;=LEFT('RFM input'!$G$60,4),"enter input",IF(LEFT(V$6,4)&gt;LEFT('RFM input'!$Q$60,4),0,IF(MATCH(V$6,'RFM input'!$H$60:$Q$60,0),INDEX('RFM input'!$K$7:$K$56,$A1526,1))))</f>
        <v>0</v>
      </c>
      <c r="W1527" s="1417">
        <f>IF(LEFT(W$6,4)&lt;=LEFT('RFM input'!$G$60,4),"enter input",IF(LEFT(W$6,4)&gt;LEFT('RFM input'!$Q$60,4),0,IF(MATCH(W$6,'RFM input'!$H$60:$Q$60,0),INDEX('RFM input'!$K$7:$K$56,$A1526,1))))</f>
        <v>0</v>
      </c>
      <c r="X1527" s="152"/>
      <c r="Y1527" s="152"/>
      <c r="Z1527" s="152"/>
      <c r="AA1527" s="152"/>
      <c r="AB1527" s="152"/>
    </row>
    <row r="1528" spans="1:28">
      <c r="A1528" s="152"/>
      <c r="B1528" s="177" t="s">
        <v>191</v>
      </c>
      <c r="C1528" s="1419"/>
      <c r="D1528" s="1420">
        <f ca="1">IF(LEFT(D$6,4)&lt;=LEFT('RFM input'!$G$60,4),"enter input",IF(LEFT(D$6,4)&gt;LEFT('RFM input'!$Q$60,4),0,IF(D$6=(OFFSET('RFM input'!$G$60,0,'RFM input'!$V$7)),OFFSET('RFM input'!$G$411,$A1526,0),0)))</f>
        <v>0</v>
      </c>
      <c r="E1528" s="1417">
        <f ca="1">IF(LEFT(E$6,4)&lt;=LEFT('RFM input'!$G$60,4),"enter input",IF(LEFT(E$6,4)&gt;LEFT('RFM input'!$Q$60,4),0,IF(E$6=(OFFSET('RFM input'!$G$60,0,'RFM input'!$V$7)),OFFSET('RFM input'!$G$411,$A1526,0),0)))</f>
        <v>0</v>
      </c>
      <c r="F1528" s="1417">
        <f ca="1">IF(LEFT(F$6,4)&lt;=LEFT('RFM input'!$G$60,4),"enter input",IF(LEFT(F$6,4)&gt;LEFT('RFM input'!$Q$60,4),0,IF(F$6=(OFFSET('RFM input'!$G$60,0,'RFM input'!$V$7)),OFFSET('RFM input'!$G$411,$A1526,0),0)))</f>
        <v>0</v>
      </c>
      <c r="G1528" s="1417">
        <f ca="1">IF(LEFT(G$6,4)&lt;=LEFT('RFM input'!$G$60,4),"enter input",IF(LEFT(G$6,4)&gt;LEFT('RFM input'!$Q$60,4),0,IF(G$6=(OFFSET('RFM input'!$G$60,0,'RFM input'!$V$7)),OFFSET('RFM input'!$G$411,$A1526,0),0)))</f>
        <v>0</v>
      </c>
      <c r="H1528" s="1417">
        <f ca="1">IF(LEFT(H$6,4)&lt;=LEFT('RFM input'!$G$60,4),"enter input",IF(LEFT(H$6,4)&gt;LEFT('RFM input'!$Q$60,4),0,IF(H$6=(OFFSET('RFM input'!$G$60,0,'RFM input'!$V$7)),OFFSET('RFM input'!$G$411,$A1526,0),0)))</f>
        <v>0</v>
      </c>
      <c r="I1528" s="1417">
        <f ca="1">IF(LEFT(I$6,4)&lt;=LEFT('RFM input'!$G$60,4),"enter input",IF(LEFT(I$6,4)&gt;LEFT('RFM input'!$Q$60,4),0,IF(I$6=(OFFSET('RFM input'!$G$60,0,'RFM input'!$V$7)),OFFSET('RFM input'!$G$411,$A1526,0),0)))</f>
        <v>0</v>
      </c>
      <c r="J1528" s="1417">
        <f ca="1">IF(LEFT(J$6,4)&lt;=LEFT('RFM input'!$G$60,4),"enter input",IF(LEFT(J$6,4)&gt;LEFT('RFM input'!$Q$60,4),0,IF(J$6=(OFFSET('RFM input'!$G$60,0,'RFM input'!$V$7)),OFFSET('RFM input'!$G$411,$A1526,0),0)))</f>
        <v>0</v>
      </c>
      <c r="K1528" s="1417">
        <f ca="1">IF(LEFT(K$6,4)&lt;=LEFT('RFM input'!$G$60,4),"enter input",IF(LEFT(K$6,4)&gt;LEFT('RFM input'!$Q$60,4),0,IF(K$6=(OFFSET('RFM input'!$G$60,0,'RFM input'!$V$7)),OFFSET('RFM input'!$G$411,$A1526,0),0)))</f>
        <v>0</v>
      </c>
      <c r="L1528" s="1417">
        <f ca="1">IF(LEFT(L$6,4)&lt;=LEFT('RFM input'!$G$60,4),"enter input",IF(LEFT(L$6,4)&gt;LEFT('RFM input'!$Q$60,4),0,IF(L$6=(OFFSET('RFM input'!$G$60,0,'RFM input'!$V$7)),OFFSET('RFM input'!$G$411,$A1526,0),0)))</f>
        <v>0</v>
      </c>
      <c r="M1528" s="1417">
        <f ca="1">IF(LEFT(M$6,4)&lt;=LEFT('RFM input'!$G$60,4),"enter input",IF(LEFT(M$6,4)&gt;LEFT('RFM input'!$Q$60,4),0,IF(M$6=(OFFSET('RFM input'!$G$60,0,'RFM input'!$V$7)),OFFSET('RFM input'!$G$411,$A1526,0),0)))</f>
        <v>0</v>
      </c>
      <c r="N1528" s="1417">
        <f ca="1">IF(LEFT(N$6,4)&lt;=LEFT('RFM input'!$G$60,4),"enter input",IF(LEFT(N$6,4)&gt;LEFT('RFM input'!$Q$60,4),0,IF(N$6=(OFFSET('RFM input'!$G$60,0,'RFM input'!$V$7)),OFFSET('RFM input'!$G$411,$A1526,0),0)))</f>
        <v>0</v>
      </c>
      <c r="O1528" s="1417">
        <f ca="1">IF(LEFT(O$6,4)&lt;=LEFT('RFM input'!$G$60,4),"enter input",IF(LEFT(O$6,4)&gt;LEFT('RFM input'!$Q$60,4),0,IF(O$6=(OFFSET('RFM input'!$G$60,0,'RFM input'!$V$7)),OFFSET('RFM input'!$G$411,$A1526,0),0)))</f>
        <v>0</v>
      </c>
      <c r="P1528" s="1417">
        <f ca="1">IF(LEFT(P$6,4)&lt;=LEFT('RFM input'!$G$60,4),"enter input",IF(LEFT(P$6,4)&gt;LEFT('RFM input'!$Q$60,4),0,IF(P$6=(OFFSET('RFM input'!$G$60,0,'RFM input'!$V$7)),OFFSET('RFM input'!$G$411,$A1526,0),0)))</f>
        <v>0</v>
      </c>
      <c r="Q1528" s="1417">
        <f ca="1">IF(LEFT(Q$6,4)&lt;=LEFT('RFM input'!$G$60,4),"enter input",IF(LEFT(Q$6,4)&gt;LEFT('RFM input'!$Q$60,4),0,IF(Q$6=(OFFSET('RFM input'!$G$60,0,'RFM input'!$V$7)),OFFSET('RFM input'!$G$411,$A1526,0),0)))</f>
        <v>0</v>
      </c>
      <c r="R1528" s="1417">
        <f ca="1">IF(LEFT(R$6,4)&lt;=LEFT('RFM input'!$G$60,4),"enter input",IF(LEFT(R$6,4)&gt;LEFT('RFM input'!$Q$60,4),0,IF(R$6=(OFFSET('RFM input'!$G$60,0,'RFM input'!$V$7)),OFFSET('RFM input'!$G$411,$A1526,0),0)))</f>
        <v>0</v>
      </c>
      <c r="S1528" s="1417">
        <f ca="1">IF(LEFT(S$6,4)&lt;=LEFT('RFM input'!$G$60,4),"enter input",IF(LEFT(S$6,4)&gt;LEFT('RFM input'!$Q$60,4),0,IF(S$6=(OFFSET('RFM input'!$G$60,0,'RFM input'!$V$7)),OFFSET('RFM input'!$G$411,$A1526,0),0)))</f>
        <v>0</v>
      </c>
      <c r="T1528" s="1417">
        <f ca="1">IF(LEFT(T$6,4)&lt;=LEFT('RFM input'!$G$60,4),"enter input",IF(LEFT(T$6,4)&gt;LEFT('RFM input'!$Q$60,4),0,IF(T$6=(OFFSET('RFM input'!$G$60,0,'RFM input'!$V$7)),OFFSET('RFM input'!$G$411,$A1526,0),0)))</f>
        <v>0</v>
      </c>
      <c r="U1528" s="1417">
        <f ca="1">IF(LEFT(U$6,4)&lt;=LEFT('RFM input'!$G$60,4),"enter input",IF(LEFT(U$6,4)&gt;LEFT('RFM input'!$Q$60,4),0,IF(U$6=(OFFSET('RFM input'!$G$60,0,'RFM input'!$V$7)),OFFSET('RFM input'!$G$411,$A1526,0),0)))</f>
        <v>0</v>
      </c>
      <c r="V1528" s="1417">
        <f ca="1">IF(LEFT(V$6,4)&lt;=LEFT('RFM input'!$G$60,4),"enter input",IF(LEFT(V$6,4)&gt;LEFT('RFM input'!$Q$60,4),0,IF(V$6=(OFFSET('RFM input'!$G$60,0,'RFM input'!$V$7)),OFFSET('RFM input'!$G$411,$A1526,0),0)))</f>
        <v>0</v>
      </c>
      <c r="W1528" s="1417">
        <f ca="1">IF(LEFT(W$6,4)&lt;=LEFT('RFM input'!$G$60,4),"enter input",IF(LEFT(W$6,4)&gt;LEFT('RFM input'!$Q$60,4),0,IF(W$6=(OFFSET('RFM input'!$G$60,0,'RFM input'!$V$7)),OFFSET('RFM input'!$G$411,$A1526,0),0)))</f>
        <v>0</v>
      </c>
      <c r="X1528" s="152"/>
      <c r="Y1528" s="152"/>
      <c r="Z1528" s="152"/>
      <c r="AA1528" s="152"/>
      <c r="AB1528" s="152"/>
    </row>
    <row r="1529" spans="1:28">
      <c r="A1529" s="152"/>
      <c r="B1529" s="195" t="s">
        <v>197</v>
      </c>
      <c r="C1529" s="1419"/>
      <c r="D1529" s="1418">
        <f ca="1">IF(LEFT(D$6,4)&lt;=LEFT('RFM input'!$G$60,4),"enter input",IF(LEFT(D$6,4)&gt;LEFT('RFM input'!$Q$60,4),0,IF(D$6=(OFFSET('RFM input'!$G$60,0,'RFM input'!$V$7)),OFFSET('RFM input'!$I$411,$A1526,0),0)))</f>
        <v>0</v>
      </c>
      <c r="E1529" s="1422">
        <f ca="1">IF(LEFT(E$6,4)&lt;=LEFT('RFM input'!$G$60,4),"enter input",IF(LEFT(E$6,4)&gt;LEFT('RFM input'!$Q$60,4),0,IF(E$6=(OFFSET('RFM input'!$G$60,0,'RFM input'!$V$7)),OFFSET('RFM input'!$I$411,$A1526,0),0)))</f>
        <v>0</v>
      </c>
      <c r="F1529" s="1422">
        <f ca="1">IF(LEFT(F$6,4)&lt;=LEFT('RFM input'!$G$60,4),"enter input",IF(LEFT(F$6,4)&gt;LEFT('RFM input'!$Q$60,4),0,IF(F$6=(OFFSET('RFM input'!$G$60,0,'RFM input'!$V$7)),OFFSET('RFM input'!$I$411,$A1526,0),0)))</f>
        <v>0</v>
      </c>
      <c r="G1529" s="1422">
        <f ca="1">IF(LEFT(G$6,4)&lt;=LEFT('RFM input'!$G$60,4),"enter input",IF(LEFT(G$6,4)&gt;LEFT('RFM input'!$Q$60,4),0,IF(G$6=(OFFSET('RFM input'!$G$60,0,'RFM input'!$V$7)),OFFSET('RFM input'!$I$411,$A1526,0),0)))</f>
        <v>0</v>
      </c>
      <c r="H1529" s="1422">
        <f ca="1">IF(LEFT(H$6,4)&lt;=LEFT('RFM input'!$G$60,4),"enter input",IF(LEFT(H$6,4)&gt;LEFT('RFM input'!$Q$60,4),0,IF(H$6=(OFFSET('RFM input'!$G$60,0,'RFM input'!$V$7)),OFFSET('RFM input'!$I$411,$A1526,0),0)))</f>
        <v>0</v>
      </c>
      <c r="I1529" s="1422">
        <f ca="1">IF(LEFT(I$6,4)&lt;=LEFT('RFM input'!$G$60,4),"enter input",IF(LEFT(I$6,4)&gt;LEFT('RFM input'!$Q$60,4),0,IF(I$6=(OFFSET('RFM input'!$G$60,0,'RFM input'!$V$7)),OFFSET('RFM input'!$I$411,$A1526,0),0)))</f>
        <v>0</v>
      </c>
      <c r="J1529" s="1422">
        <f ca="1">IF(LEFT(J$6,4)&lt;=LEFT('RFM input'!$G$60,4),"enter input",IF(LEFT(J$6,4)&gt;LEFT('RFM input'!$Q$60,4),0,IF(J$6=(OFFSET('RFM input'!$G$60,0,'RFM input'!$V$7)),OFFSET('RFM input'!$I$411,$A1526,0),0)))</f>
        <v>0</v>
      </c>
      <c r="K1529" s="1422">
        <f ca="1">IF(LEFT(K$6,4)&lt;=LEFT('RFM input'!$G$60,4),"enter input",IF(LEFT(K$6,4)&gt;LEFT('RFM input'!$Q$60,4),0,IF(K$6=(OFFSET('RFM input'!$G$60,0,'RFM input'!$V$7)),OFFSET('RFM input'!$I$411,$A1526,0),0)))</f>
        <v>0</v>
      </c>
      <c r="L1529" s="1422">
        <f ca="1">IF(LEFT(L$6,4)&lt;=LEFT('RFM input'!$G$60,4),"enter input",IF(LEFT(L$6,4)&gt;LEFT('RFM input'!$Q$60,4),0,IF(L$6=(OFFSET('RFM input'!$G$60,0,'RFM input'!$V$7)),OFFSET('RFM input'!$I$411,$A1526,0),0)))</f>
        <v>0</v>
      </c>
      <c r="M1529" s="1422">
        <f ca="1">IF(LEFT(M$6,4)&lt;=LEFT('RFM input'!$G$60,4),"enter input",IF(LEFT(M$6,4)&gt;LEFT('RFM input'!$Q$60,4),0,IF(M$6=(OFFSET('RFM input'!$G$60,0,'RFM input'!$V$7)),OFFSET('RFM input'!$I$411,$A1526,0),0)))</f>
        <v>0</v>
      </c>
      <c r="N1529" s="1422">
        <f ca="1">IF(LEFT(N$6,4)&lt;=LEFT('RFM input'!$G$60,4),"enter input",IF(LEFT(N$6,4)&gt;LEFT('RFM input'!$Q$60,4),0,IF(N$6=(OFFSET('RFM input'!$G$60,0,'RFM input'!$V$7)),OFFSET('RFM input'!$I$411,$A1526,0),0)))</f>
        <v>0</v>
      </c>
      <c r="O1529" s="1422">
        <f ca="1">IF(LEFT(O$6,4)&lt;=LEFT('RFM input'!$G$60,4),"enter input",IF(LEFT(O$6,4)&gt;LEFT('RFM input'!$Q$60,4),0,IF(O$6=(OFFSET('RFM input'!$G$60,0,'RFM input'!$V$7)),OFFSET('RFM input'!$I$411,$A1526,0),0)))</f>
        <v>0</v>
      </c>
      <c r="P1529" s="1422">
        <f ca="1">IF(LEFT(P$6,4)&lt;=LEFT('RFM input'!$G$60,4),"enter input",IF(LEFT(P$6,4)&gt;LEFT('RFM input'!$Q$60,4),0,IF(P$6=(OFFSET('RFM input'!$G$60,0,'RFM input'!$V$7)),OFFSET('RFM input'!$I$411,$A1526,0),0)))</f>
        <v>0</v>
      </c>
      <c r="Q1529" s="1422">
        <f ca="1">IF(LEFT(Q$6,4)&lt;=LEFT('RFM input'!$G$60,4),"enter input",IF(LEFT(Q$6,4)&gt;LEFT('RFM input'!$Q$60,4),0,IF(Q$6=(OFFSET('RFM input'!$G$60,0,'RFM input'!$V$7)),OFFSET('RFM input'!$I$411,$A1526,0),0)))</f>
        <v>0</v>
      </c>
      <c r="R1529" s="1422">
        <f ca="1">IF(LEFT(R$6,4)&lt;=LEFT('RFM input'!$G$60,4),"enter input",IF(LEFT(R$6,4)&gt;LEFT('RFM input'!$Q$60,4),0,IF(R$6=(OFFSET('RFM input'!$G$60,0,'RFM input'!$V$7)),OFFSET('RFM input'!$I$411,$A1526,0),0)))</f>
        <v>0</v>
      </c>
      <c r="S1529" s="1422">
        <f ca="1">IF(LEFT(S$6,4)&lt;=LEFT('RFM input'!$G$60,4),"enter input",IF(LEFT(S$6,4)&gt;LEFT('RFM input'!$Q$60,4),0,IF(S$6=(OFFSET('RFM input'!$G$60,0,'RFM input'!$V$7)),OFFSET('RFM input'!$I$411,$A1526,0),0)))</f>
        <v>0</v>
      </c>
      <c r="T1529" s="1422">
        <f ca="1">IF(LEFT(T$6,4)&lt;=LEFT('RFM input'!$G$60,4),"enter input",IF(LEFT(T$6,4)&gt;LEFT('RFM input'!$Q$60,4),0,IF(T$6=(OFFSET('RFM input'!$G$60,0,'RFM input'!$V$7)),OFFSET('RFM input'!$I$411,$A1526,0),0)))</f>
        <v>0</v>
      </c>
      <c r="U1529" s="1422">
        <f ca="1">IF(LEFT(U$6,4)&lt;=LEFT('RFM input'!$G$60,4),"enter input",IF(LEFT(U$6,4)&gt;LEFT('RFM input'!$Q$60,4),0,IF(U$6=(OFFSET('RFM input'!$G$60,0,'RFM input'!$V$7)),OFFSET('RFM input'!$I$411,$A1526,0),0)))</f>
        <v>0</v>
      </c>
      <c r="V1529" s="1422">
        <f ca="1">IF(LEFT(V$6,4)&lt;=LEFT('RFM input'!$G$60,4),"enter input",IF(LEFT(V$6,4)&gt;LEFT('RFM input'!$Q$60,4),0,IF(V$6=(OFFSET('RFM input'!$G$60,0,'RFM input'!$V$7)),OFFSET('RFM input'!$I$411,$A1526,0),0)))</f>
        <v>0</v>
      </c>
      <c r="W1529" s="1422">
        <f ca="1">IF(LEFT(W$6,4)&lt;=LEFT('RFM input'!$G$60,4),"enter input",IF(LEFT(W$6,4)&gt;LEFT('RFM input'!$Q$60,4),0,IF(W$6=(OFFSET('RFM input'!$G$60,0,'RFM input'!$V$7)),OFFSET('RFM input'!$I$411,$A1526,0),0)))</f>
        <v>0</v>
      </c>
      <c r="X1529" s="152"/>
      <c r="Y1529" s="152"/>
      <c r="Z1529" s="152"/>
      <c r="AA1529" s="152"/>
      <c r="AB1529" s="152"/>
    </row>
    <row r="1530" spans="1:28" hidden="1" outlineLevel="1">
      <c r="A1530" s="235">
        <v>-1</v>
      </c>
      <c r="B1530" s="190" t="s">
        <v>189</v>
      </c>
      <c r="C1530" s="1423"/>
      <c r="D1530" s="1423">
        <f ca="1">IF(AND(D1528=0,C1530=0),0,
IF(AND(D1528&lt;&gt;0,C1530=0),(D1528/D$10),
IF(AND(D1529&lt;&gt;0,C1530&lt;&gt;0),(C1530-(C1530/C1554))+(D1528/D$10),
IF(C1554&lt;1,0,(C1530-(C1530/C1554))))))</f>
        <v>0</v>
      </c>
      <c r="E1530" s="1423">
        <f t="shared" ref="E1530" ca="1" si="2233">IF(AND(E1528=0,D1530=0),0,
IF(AND(E1528&lt;&gt;0,D1530=0),(E1528/E$10),
IF(AND(E1529&lt;&gt;0,D1530&lt;&gt;0),(D1530-(D1530/D1554))+(E1528/E$10),
IF(D1554&lt;1,0,(D1530-(D1530/D1554))))))</f>
        <v>0</v>
      </c>
      <c r="F1530" s="1423">
        <f t="shared" ref="F1530" ca="1" si="2234">IF(AND(F1528=0,E1530=0),0,
IF(AND(F1528&lt;&gt;0,E1530=0),(F1528/F$10),
IF(AND(F1529&lt;&gt;0,E1530&lt;&gt;0),(E1530-(E1530/E1554))+(F1528/F$10),
IF(E1554&lt;1,0,(E1530-(E1530/E1554))))))</f>
        <v>0</v>
      </c>
      <c r="G1530" s="1423">
        <f t="shared" ref="G1530" ca="1" si="2235">IF(AND(G1528=0,F1530=0),0,
IF(AND(G1528&lt;&gt;0,F1530=0),(G1528/G$10),
IF(AND(G1529&lt;&gt;0,F1530&lt;&gt;0),(F1530-(F1530/F1554))+(G1528/G$10),
IF(F1554&lt;1,0,(F1530-(F1530/F1554))))))</f>
        <v>0</v>
      </c>
      <c r="H1530" s="1423">
        <f t="shared" ref="H1530" ca="1" si="2236">IF(AND(H1528=0,G1530=0),0,
IF(AND(H1528&lt;&gt;0,G1530=0),(H1528/H$10),
IF(AND(H1529&lt;&gt;0,G1530&lt;&gt;0),(G1530-(G1530/G1554))+(H1528/H$10),
IF(G1554&lt;1,0,(G1530-(G1530/G1554))))))</f>
        <v>0</v>
      </c>
      <c r="I1530" s="1423">
        <f t="shared" ref="I1530" ca="1" si="2237">IF(AND(I1528=0,H1530=0),0,
IF(AND(I1528&lt;&gt;0,H1530=0),(I1528/I$10),
IF(AND(I1529&lt;&gt;0,H1530&lt;&gt;0),(H1530-(H1530/H1554))+(I1528/I$10),
IF(H1554&lt;1,0,(H1530-(H1530/H1554))))))</f>
        <v>0</v>
      </c>
      <c r="J1530" s="1423">
        <f t="shared" ref="J1530" ca="1" si="2238">IF(AND(J1528=0,I1530=0),0,
IF(AND(J1528&lt;&gt;0,I1530=0),(J1528/J$10),
IF(AND(J1529&lt;&gt;0,I1530&lt;&gt;0),(I1530-(I1530/I1554))+(J1528/J$10),
IF(I1554&lt;1,0,(I1530-(I1530/I1554))))))</f>
        <v>0</v>
      </c>
      <c r="K1530" s="1423">
        <f t="shared" ref="K1530" ca="1" si="2239">IF(AND(K1528=0,J1530=0),0,
IF(AND(K1528&lt;&gt;0,J1530=0),(K1528/K$10),
IF(AND(K1529&lt;&gt;0,J1530&lt;&gt;0),(J1530-(J1530/J1554))+(K1528/K$10),
IF(J1554&lt;1,0,(J1530-(J1530/J1554))))))</f>
        <v>0</v>
      </c>
      <c r="L1530" s="1423">
        <f t="shared" ref="L1530" ca="1" si="2240">IF(AND(L1528=0,K1530=0),0,
IF(AND(L1528&lt;&gt;0,K1530=0),(L1528/L$10),
IF(AND(L1529&lt;&gt;0,K1530&lt;&gt;0),(K1530-(K1530/K1554))+(L1528/L$10),
IF(K1554&lt;1,0,(K1530-(K1530/K1554))))))</f>
        <v>0</v>
      </c>
      <c r="M1530" s="1423">
        <f t="shared" ref="M1530" ca="1" si="2241">IF(AND(M1528=0,L1530=0),0,
IF(AND(M1528&lt;&gt;0,L1530=0),(M1528/M$10),
IF(AND(M1529&lt;&gt;0,L1530&lt;&gt;0),(L1530-(L1530/L1554))+(M1528/M$10),
IF(L1554&lt;1,0,(L1530-(L1530/L1554))))))</f>
        <v>0</v>
      </c>
      <c r="N1530" s="1423">
        <f t="shared" ref="N1530" ca="1" si="2242">IF(AND(N1528=0,M1530=0),0,
IF(AND(N1528&lt;&gt;0,M1530=0),(N1528/N$10),
IF(AND(N1529&lt;&gt;0,M1530&lt;&gt;0),(M1530-(M1530/M1554))+(N1528/N$10),
IF(M1554&lt;1,0,(M1530-(M1530/M1554))))))</f>
        <v>0</v>
      </c>
      <c r="O1530" s="1423">
        <f t="shared" ref="O1530" ca="1" si="2243">IF(AND(O1528=0,N1530=0),0,
IF(AND(O1528&lt;&gt;0,N1530=0),(O1528/O$10),
IF(AND(O1529&lt;&gt;0,N1530&lt;&gt;0),(N1530-(N1530/N1554))+(O1528/O$10),
IF(N1554&lt;1,0,(N1530-(N1530/N1554))))))</f>
        <v>0</v>
      </c>
      <c r="P1530" s="1423">
        <f t="shared" ref="P1530" ca="1" si="2244">IF(AND(P1528=0,O1530=0),0,
IF(AND(P1528&lt;&gt;0,O1530=0),(P1528/P$10),
IF(AND(P1529&lt;&gt;0,O1530&lt;&gt;0),(O1530-(O1530/O1554))+(P1528/P$10),
IF(O1554&lt;1,0,(O1530-(O1530/O1554))))))</f>
        <v>0</v>
      </c>
      <c r="Q1530" s="1423">
        <f t="shared" ref="Q1530" ca="1" si="2245">IF(AND(Q1528=0,P1530=0),0,
IF(AND(Q1528&lt;&gt;0,P1530=0),(Q1528/Q$10),
IF(AND(Q1529&lt;&gt;0,P1530&lt;&gt;0),(P1530-(P1530/P1554))+(Q1528/Q$10),
IF(P1554&lt;1,0,(P1530-(P1530/P1554))))))</f>
        <v>0</v>
      </c>
      <c r="R1530" s="1423">
        <f t="shared" ref="R1530" ca="1" si="2246">IF(AND(R1528=0,Q1530=0),0,
IF(AND(R1528&lt;&gt;0,Q1530=0),(R1528/R$10),
IF(AND(R1529&lt;&gt;0,Q1530&lt;&gt;0),(Q1530-(Q1530/Q1554))+(R1528/R$10),
IF(Q1554&lt;1,0,(Q1530-(Q1530/Q1554))))))</f>
        <v>0</v>
      </c>
      <c r="S1530" s="1423">
        <f t="shared" ref="S1530" ca="1" si="2247">IF(AND(S1528=0,R1530=0),0,
IF(AND(S1528&lt;&gt;0,R1530=0),(S1528/S$10),
IF(AND(S1529&lt;&gt;0,R1530&lt;&gt;0),(R1530-(R1530/R1554))+(S1528/S$10),
IF(R1554&lt;1,0,(R1530-(R1530/R1554))))))</f>
        <v>0</v>
      </c>
      <c r="T1530" s="1423">
        <f t="shared" ref="T1530" ca="1" si="2248">IF(AND(T1528=0,S1530=0),0,
IF(AND(T1528&lt;&gt;0,S1530=0),(T1528/T$10),
IF(AND(T1529&lt;&gt;0,S1530&lt;&gt;0),(S1530-(S1530/S1554))+(T1528/T$10),
IF(S1554&lt;1,0,(S1530-(S1530/S1554))))))</f>
        <v>0</v>
      </c>
      <c r="U1530" s="1423">
        <f t="shared" ref="U1530" ca="1" si="2249">IF(AND(U1528=0,T1530=0),0,
IF(AND(U1528&lt;&gt;0,T1530=0),(U1528/U$10),
IF(AND(U1529&lt;&gt;0,T1530&lt;&gt;0),(T1530-(T1530/T1554))+(U1528/U$10),
IF(T1554&lt;1,0,(T1530-(T1530/T1554))))))</f>
        <v>0</v>
      </c>
      <c r="V1530" s="1423">
        <f t="shared" ref="V1530" ca="1" si="2250">IF(AND(V1528=0,U1530=0),0,
IF(AND(V1528&lt;&gt;0,U1530=0),(V1528/V$10),
IF(AND(V1529&lt;&gt;0,U1530&lt;&gt;0),(U1530-(U1530/U1554))+(V1528/V$10),
IF(U1554&lt;1,0,(U1530-(U1530/U1554))))))</f>
        <v>0</v>
      </c>
      <c r="W1530" s="1423">
        <f t="shared" ref="W1530" ca="1" si="2251">IF(AND(W1528=0,V1530=0),0,
IF(AND(W1528&lt;&gt;0,V1530=0),(W1528/W$10),
IF(AND(W1529&lt;&gt;0,V1530&lt;&gt;0),(V1530-(V1530/V1554))+(W1528/W$10),
IF(V1554&lt;1,0,(V1530-(V1530/V1554))))))</f>
        <v>0</v>
      </c>
      <c r="X1530" s="152"/>
      <c r="Y1530" s="152"/>
      <c r="Z1530" s="152"/>
      <c r="AA1530" s="152"/>
      <c r="AB1530" s="152"/>
    </row>
    <row r="1531" spans="1:28" hidden="1" outlineLevel="1">
      <c r="A1531" s="199">
        <f>A1530+1</f>
        <v>0</v>
      </c>
      <c r="B1531" s="190" t="s">
        <v>125</v>
      </c>
      <c r="C1531" s="1423">
        <f ca="1">C1526/C$10</f>
        <v>0</v>
      </c>
      <c r="D1531" s="1423">
        <f ca="1">IF(C1555="n/a",C1531,IFERROR(IF((OFFSET($C1531,0,$A1531))&lt;0,
MIN(0,C1531-(OFFSET($C1531,0,$A1531)/(OFFSET($C1526,-$A1530,$A1531)))),
MAX(0,C1531-(OFFSET($C1531,0,$A1531)/(OFFSET($C1526,-$A1530,$A1531))))),0))</f>
        <v>0</v>
      </c>
      <c r="E1531" s="1423">
        <f t="shared" ref="E1531" ca="1" si="2252">IF(D1555="n/a",D1531,IFERROR(IF((OFFSET($C1531,0,$A1531))&lt;0,
MIN(0,D1531-(OFFSET($C1531,0,$A1531)/(OFFSET($C1526,-$A1530,$A1531)))),
MAX(0,D1531-(OFFSET($C1531,0,$A1531)/(OFFSET($C1526,-$A1530,$A1531))))),0))</f>
        <v>0</v>
      </c>
      <c r="F1531" s="1423">
        <f t="shared" ref="F1531:F1532" ca="1" si="2253">IF(E1555="n/a",E1531,IFERROR(IF((OFFSET($C1531,0,$A1531))&lt;0,
MIN(0,E1531-(OFFSET($C1531,0,$A1531)/(OFFSET($C1526,-$A1530,$A1531)))),
MAX(0,E1531-(OFFSET($C1531,0,$A1531)/(OFFSET($C1526,-$A1530,$A1531))))),0))</f>
        <v>0</v>
      </c>
      <c r="G1531" s="1423">
        <f t="shared" ref="G1531:G1533" ca="1" si="2254">IF(F1555="n/a",F1531,IFERROR(IF((OFFSET($C1531,0,$A1531))&lt;0,
MIN(0,F1531-(OFFSET($C1531,0,$A1531)/(OFFSET($C1526,-$A1530,$A1531)))),
MAX(0,F1531-(OFFSET($C1531,0,$A1531)/(OFFSET($C1526,-$A1530,$A1531))))),0))</f>
        <v>0</v>
      </c>
      <c r="H1531" s="1423">
        <f t="shared" ref="H1531:H1534" ca="1" si="2255">IF(G1555="n/a",G1531,IFERROR(IF((OFFSET($C1531,0,$A1531))&lt;0,
MIN(0,G1531-(OFFSET($C1531,0,$A1531)/(OFFSET($C1526,-$A1530,$A1531)))),
MAX(0,G1531-(OFFSET($C1531,0,$A1531)/(OFFSET($C1526,-$A1530,$A1531))))),0))</f>
        <v>0</v>
      </c>
      <c r="I1531" s="1423">
        <f t="shared" ref="I1531:I1535" ca="1" si="2256">IF(H1555="n/a",H1531,IFERROR(IF((OFFSET($C1531,0,$A1531))&lt;0,
MIN(0,H1531-(OFFSET($C1531,0,$A1531)/(OFFSET($C1526,-$A1530,$A1531)))),
MAX(0,H1531-(OFFSET($C1531,0,$A1531)/(OFFSET($C1526,-$A1530,$A1531))))),0))</f>
        <v>0</v>
      </c>
      <c r="J1531" s="1423">
        <f t="shared" ref="J1531:J1536" ca="1" si="2257">IF(I1555="n/a",I1531,IFERROR(IF((OFFSET($C1531,0,$A1531))&lt;0,
MIN(0,I1531-(OFFSET($C1531,0,$A1531)/(OFFSET($C1526,-$A1530,$A1531)))),
MAX(0,I1531-(OFFSET($C1531,0,$A1531)/(OFFSET($C1526,-$A1530,$A1531))))),0))</f>
        <v>0</v>
      </c>
      <c r="K1531" s="1423">
        <f t="shared" ref="K1531:K1537" ca="1" si="2258">IF(J1555="n/a",J1531,IFERROR(IF((OFFSET($C1531,0,$A1531))&lt;0,
MIN(0,J1531-(OFFSET($C1531,0,$A1531)/(OFFSET($C1526,-$A1530,$A1531)))),
MAX(0,J1531-(OFFSET($C1531,0,$A1531)/(OFFSET($C1526,-$A1530,$A1531))))),0))</f>
        <v>0</v>
      </c>
      <c r="L1531" s="1423">
        <f t="shared" ref="L1531:L1538" ca="1" si="2259">IF(K1555="n/a",K1531,IFERROR(IF((OFFSET($C1531,0,$A1531))&lt;0,
MIN(0,K1531-(OFFSET($C1531,0,$A1531)/(OFFSET($C1526,-$A1530,$A1531)))),
MAX(0,K1531-(OFFSET($C1531,0,$A1531)/(OFFSET($C1526,-$A1530,$A1531))))),0))</f>
        <v>0</v>
      </c>
      <c r="M1531" s="1423">
        <f t="shared" ref="M1531:M1539" ca="1" si="2260">IF(L1555="n/a",L1531,IFERROR(IF((OFFSET($C1531,0,$A1531))&lt;0,
MIN(0,L1531-(OFFSET($C1531,0,$A1531)/(OFFSET($C1526,-$A1530,$A1531)))),
MAX(0,L1531-(OFFSET($C1531,0,$A1531)/(OFFSET($C1526,-$A1530,$A1531))))),0))</f>
        <v>0</v>
      </c>
      <c r="N1531" s="1423">
        <f t="shared" ref="N1531:N1540" ca="1" si="2261">IF(M1555="n/a",M1531,IFERROR(IF((OFFSET($C1531,0,$A1531))&lt;0,
MIN(0,M1531-(OFFSET($C1531,0,$A1531)/(OFFSET($C1526,-$A1530,$A1531)))),
MAX(0,M1531-(OFFSET($C1531,0,$A1531)/(OFFSET($C1526,-$A1530,$A1531))))),0))</f>
        <v>0</v>
      </c>
      <c r="O1531" s="1423">
        <f t="shared" ref="O1531:O1541" ca="1" si="2262">IF(N1555="n/a",N1531,IFERROR(IF((OFFSET($C1531,0,$A1531))&lt;0,
MIN(0,N1531-(OFFSET($C1531,0,$A1531)/(OFFSET($C1526,-$A1530,$A1531)))),
MAX(0,N1531-(OFFSET($C1531,0,$A1531)/(OFFSET($C1526,-$A1530,$A1531))))),0))</f>
        <v>0</v>
      </c>
      <c r="P1531" s="1423">
        <f t="shared" ref="P1531:P1542" ca="1" si="2263">IF(O1555="n/a",O1531,IFERROR(IF((OFFSET($C1531,0,$A1531))&lt;0,
MIN(0,O1531-(OFFSET($C1531,0,$A1531)/(OFFSET($C1526,-$A1530,$A1531)))),
MAX(0,O1531-(OFFSET($C1531,0,$A1531)/(OFFSET($C1526,-$A1530,$A1531))))),0))</f>
        <v>0</v>
      </c>
      <c r="Q1531" s="1423">
        <f t="shared" ref="Q1531:Q1543" ca="1" si="2264">IF(P1555="n/a",P1531,IFERROR(IF((OFFSET($C1531,0,$A1531))&lt;0,
MIN(0,P1531-(OFFSET($C1531,0,$A1531)/(OFFSET($C1526,-$A1530,$A1531)))),
MAX(0,P1531-(OFFSET($C1531,0,$A1531)/(OFFSET($C1526,-$A1530,$A1531))))),0))</f>
        <v>0</v>
      </c>
      <c r="R1531" s="1423">
        <f t="shared" ref="R1531:R1544" ca="1" si="2265">IF(Q1555="n/a",Q1531,IFERROR(IF((OFFSET($C1531,0,$A1531))&lt;0,
MIN(0,Q1531-(OFFSET($C1531,0,$A1531)/(OFFSET($C1526,-$A1530,$A1531)))),
MAX(0,Q1531-(OFFSET($C1531,0,$A1531)/(OFFSET($C1526,-$A1530,$A1531))))),0))</f>
        <v>0</v>
      </c>
      <c r="S1531" s="1423">
        <f t="shared" ref="S1531:S1545" ca="1" si="2266">IF(R1555="n/a",R1531,IFERROR(IF((OFFSET($C1531,0,$A1531))&lt;0,
MIN(0,R1531-(OFFSET($C1531,0,$A1531)/(OFFSET($C1526,-$A1530,$A1531)))),
MAX(0,R1531-(OFFSET($C1531,0,$A1531)/(OFFSET($C1526,-$A1530,$A1531))))),0))</f>
        <v>0</v>
      </c>
      <c r="T1531" s="1423">
        <f t="shared" ref="T1531:T1546" ca="1" si="2267">IF(S1555="n/a",S1531,IFERROR(IF((OFFSET($C1531,0,$A1531))&lt;0,
MIN(0,S1531-(OFFSET($C1531,0,$A1531)/(OFFSET($C1526,-$A1530,$A1531)))),
MAX(0,S1531-(OFFSET($C1531,0,$A1531)/(OFFSET($C1526,-$A1530,$A1531))))),0))</f>
        <v>0</v>
      </c>
      <c r="U1531" s="1423">
        <f t="shared" ref="U1531:U1547" ca="1" si="2268">IF(T1555="n/a",T1531,IFERROR(IF((OFFSET($C1531,0,$A1531))&lt;0,
MIN(0,T1531-(OFFSET($C1531,0,$A1531)/(OFFSET($C1526,-$A1530,$A1531)))),
MAX(0,T1531-(OFFSET($C1531,0,$A1531)/(OFFSET($C1526,-$A1530,$A1531))))),0))</f>
        <v>0</v>
      </c>
      <c r="V1531" s="1423">
        <f t="shared" ref="V1531:V1548" ca="1" si="2269">IF(U1555="n/a",U1531,IFERROR(IF((OFFSET($C1531,0,$A1531))&lt;0,
MIN(0,U1531-(OFFSET($C1531,0,$A1531)/(OFFSET($C1526,-$A1530,$A1531)))),
MAX(0,U1531-(OFFSET($C1531,0,$A1531)/(OFFSET($C1526,-$A1530,$A1531))))),0))</f>
        <v>0</v>
      </c>
      <c r="W1531" s="1423">
        <f t="shared" ref="W1531:W1549" ca="1" si="2270">IF(V1555="n/a",V1531,IFERROR(IF((OFFSET($C1531,0,$A1531))&lt;0,
MIN(0,V1531-(OFFSET($C1531,0,$A1531)/(OFFSET($C1526,-$A1530,$A1531)))),
MAX(0,V1531-(OFFSET($C1531,0,$A1531)/(OFFSET($C1526,-$A1530,$A1531))))),0))</f>
        <v>0</v>
      </c>
      <c r="X1531" s="152"/>
      <c r="Y1531" s="152"/>
      <c r="Z1531" s="152"/>
      <c r="AA1531" s="152"/>
      <c r="AB1531" s="152"/>
    </row>
    <row r="1532" spans="1:28" hidden="1" outlineLevel="1">
      <c r="A1532" s="199">
        <f t="shared" ref="A1532:A1551" si="2271">A1531+1</f>
        <v>1</v>
      </c>
      <c r="B1532" s="190" t="str">
        <f t="shared" ref="B1532:B1550" ca="1" si="2272">"Depreciated Net Capex "&amp;OFFSET($C$6,0,A1532)</f>
        <v>Depreciated Net Capex 2016-17</v>
      </c>
      <c r="C1532" s="1424"/>
      <c r="D1532" s="1425">
        <f>(D1526*((1+D$11)^0.5)/D$10)</f>
        <v>0</v>
      </c>
      <c r="E1532" s="1423">
        <f ca="1">IF(D1556="n/a",D1532,IFERROR(IF((OFFSET($C1532,0,$A1532))&lt;0,
MIN(0,D1532-(OFFSET($C1532,0,$A1532)/(OFFSET($C1527,-$A1531,$A1532)))),
MAX(0,D1532-(OFFSET($C1532,0,$A1532)/(OFFSET($C1527,-$A1531,$A1532))))),0))</f>
        <v>0</v>
      </c>
      <c r="F1532" s="1423">
        <f t="shared" ca="1" si="2253"/>
        <v>0</v>
      </c>
      <c r="G1532" s="1423">
        <f t="shared" ca="1" si="2254"/>
        <v>0</v>
      </c>
      <c r="H1532" s="1423">
        <f t="shared" ca="1" si="2255"/>
        <v>0</v>
      </c>
      <c r="I1532" s="1423">
        <f t="shared" ca="1" si="2256"/>
        <v>0</v>
      </c>
      <c r="J1532" s="1423">
        <f t="shared" ca="1" si="2257"/>
        <v>0</v>
      </c>
      <c r="K1532" s="1423">
        <f t="shared" ca="1" si="2258"/>
        <v>0</v>
      </c>
      <c r="L1532" s="1423">
        <f t="shared" ca="1" si="2259"/>
        <v>0</v>
      </c>
      <c r="M1532" s="1423">
        <f t="shared" ca="1" si="2260"/>
        <v>0</v>
      </c>
      <c r="N1532" s="1423">
        <f t="shared" ca="1" si="2261"/>
        <v>0</v>
      </c>
      <c r="O1532" s="1423">
        <f t="shared" ca="1" si="2262"/>
        <v>0</v>
      </c>
      <c r="P1532" s="1423">
        <f t="shared" ca="1" si="2263"/>
        <v>0</v>
      </c>
      <c r="Q1532" s="1423">
        <f t="shared" ca="1" si="2264"/>
        <v>0</v>
      </c>
      <c r="R1532" s="1423">
        <f t="shared" ca="1" si="2265"/>
        <v>0</v>
      </c>
      <c r="S1532" s="1423">
        <f t="shared" ca="1" si="2266"/>
        <v>0</v>
      </c>
      <c r="T1532" s="1423">
        <f t="shared" ca="1" si="2267"/>
        <v>0</v>
      </c>
      <c r="U1532" s="1423">
        <f t="shared" ca="1" si="2268"/>
        <v>0</v>
      </c>
      <c r="V1532" s="1423">
        <f t="shared" ca="1" si="2269"/>
        <v>0</v>
      </c>
      <c r="W1532" s="1423">
        <f t="shared" ca="1" si="2270"/>
        <v>0</v>
      </c>
      <c r="X1532" s="152"/>
      <c r="Y1532" s="152"/>
      <c r="Z1532" s="152"/>
      <c r="AA1532" s="152"/>
      <c r="AB1532" s="152"/>
    </row>
    <row r="1533" spans="1:28" hidden="1" outlineLevel="1">
      <c r="A1533" s="199">
        <f t="shared" si="2271"/>
        <v>2</v>
      </c>
      <c r="B1533" s="190" t="str">
        <f t="shared" ca="1" si="2272"/>
        <v>Depreciated Net Capex 2017-18</v>
      </c>
      <c r="C1533" s="1426"/>
      <c r="D1533" s="1427"/>
      <c r="E1533" s="1425">
        <f>(E1526*((1+E$11)^0.5)/E$10)</f>
        <v>0</v>
      </c>
      <c r="F1533" s="1423">
        <f ca="1">IF(E1557="n/a",E1533,IFERROR(IF((OFFSET($C1533,0,$A1533))&lt;0,
MIN(0,E1533-(OFFSET($C1533,0,$A1533)/(OFFSET($C1528,-$A1532,$A1533)))),
MAX(0,E1533-(OFFSET($C1533,0,$A1533)/(OFFSET($C1528,-$A1532,$A1533))))),0))</f>
        <v>0</v>
      </c>
      <c r="G1533" s="1423">
        <f t="shared" ca="1" si="2254"/>
        <v>0</v>
      </c>
      <c r="H1533" s="1423">
        <f t="shared" ca="1" si="2255"/>
        <v>0</v>
      </c>
      <c r="I1533" s="1423">
        <f t="shared" ca="1" si="2256"/>
        <v>0</v>
      </c>
      <c r="J1533" s="1423">
        <f t="shared" ca="1" si="2257"/>
        <v>0</v>
      </c>
      <c r="K1533" s="1423">
        <f t="shared" ca="1" si="2258"/>
        <v>0</v>
      </c>
      <c r="L1533" s="1423">
        <f t="shared" ca="1" si="2259"/>
        <v>0</v>
      </c>
      <c r="M1533" s="1423">
        <f t="shared" ca="1" si="2260"/>
        <v>0</v>
      </c>
      <c r="N1533" s="1423">
        <f t="shared" ca="1" si="2261"/>
        <v>0</v>
      </c>
      <c r="O1533" s="1423">
        <f t="shared" ca="1" si="2262"/>
        <v>0</v>
      </c>
      <c r="P1533" s="1423">
        <f t="shared" ca="1" si="2263"/>
        <v>0</v>
      </c>
      <c r="Q1533" s="1423">
        <f t="shared" ca="1" si="2264"/>
        <v>0</v>
      </c>
      <c r="R1533" s="1423">
        <f t="shared" ca="1" si="2265"/>
        <v>0</v>
      </c>
      <c r="S1533" s="1423">
        <f t="shared" ca="1" si="2266"/>
        <v>0</v>
      </c>
      <c r="T1533" s="1423">
        <f t="shared" ca="1" si="2267"/>
        <v>0</v>
      </c>
      <c r="U1533" s="1423">
        <f t="shared" ca="1" si="2268"/>
        <v>0</v>
      </c>
      <c r="V1533" s="1423">
        <f t="shared" ca="1" si="2269"/>
        <v>0</v>
      </c>
      <c r="W1533" s="1423">
        <f t="shared" ca="1" si="2270"/>
        <v>0</v>
      </c>
      <c r="X1533" s="202"/>
      <c r="Y1533" s="152"/>
      <c r="Z1533" s="152"/>
      <c r="AA1533" s="152"/>
      <c r="AB1533" s="152"/>
    </row>
    <row r="1534" spans="1:28" hidden="1" outlineLevel="1">
      <c r="A1534" s="199">
        <f t="shared" si="2271"/>
        <v>3</v>
      </c>
      <c r="B1534" s="190" t="str">
        <f t="shared" ca="1" si="2272"/>
        <v>Depreciated Net Capex 2018-19</v>
      </c>
      <c r="C1534" s="1426"/>
      <c r="D1534" s="1426"/>
      <c r="E1534" s="1427"/>
      <c r="F1534" s="1428">
        <f>($F1526*((1+F$11)^0.5)/F$10)</f>
        <v>0</v>
      </c>
      <c r="G1534" s="1423">
        <f ca="1">IF(F1558="n/a",F1534,IFERROR(IF((OFFSET($C1534,0,$A1534))&lt;0,
MIN(0,F1534-(OFFSET($C1534,0,$A1534)/(OFFSET($C1529,-$A1533,$A1534)))),
MAX(0,F1534-(OFFSET($C1534,0,$A1534)/(OFFSET($C1529,-$A1533,$A1534))))),0))</f>
        <v>0</v>
      </c>
      <c r="H1534" s="1423">
        <f t="shared" ca="1" si="2255"/>
        <v>0</v>
      </c>
      <c r="I1534" s="1423">
        <f t="shared" ca="1" si="2256"/>
        <v>0</v>
      </c>
      <c r="J1534" s="1423">
        <f t="shared" ca="1" si="2257"/>
        <v>0</v>
      </c>
      <c r="K1534" s="1423">
        <f t="shared" ca="1" si="2258"/>
        <v>0</v>
      </c>
      <c r="L1534" s="1423">
        <f t="shared" ca="1" si="2259"/>
        <v>0</v>
      </c>
      <c r="M1534" s="1423">
        <f t="shared" ca="1" si="2260"/>
        <v>0</v>
      </c>
      <c r="N1534" s="1423">
        <f t="shared" ca="1" si="2261"/>
        <v>0</v>
      </c>
      <c r="O1534" s="1423">
        <f t="shared" ca="1" si="2262"/>
        <v>0</v>
      </c>
      <c r="P1534" s="1423">
        <f t="shared" ca="1" si="2263"/>
        <v>0</v>
      </c>
      <c r="Q1534" s="1423">
        <f t="shared" ca="1" si="2264"/>
        <v>0</v>
      </c>
      <c r="R1534" s="1423">
        <f t="shared" ca="1" si="2265"/>
        <v>0</v>
      </c>
      <c r="S1534" s="1423">
        <f t="shared" ca="1" si="2266"/>
        <v>0</v>
      </c>
      <c r="T1534" s="1423">
        <f t="shared" ca="1" si="2267"/>
        <v>0</v>
      </c>
      <c r="U1534" s="1423">
        <f t="shared" ca="1" si="2268"/>
        <v>0</v>
      </c>
      <c r="V1534" s="1423">
        <f t="shared" ca="1" si="2269"/>
        <v>0</v>
      </c>
      <c r="W1534" s="1423">
        <f t="shared" ca="1" si="2270"/>
        <v>0</v>
      </c>
      <c r="X1534" s="202"/>
      <c r="Y1534" s="202"/>
      <c r="Z1534" s="152"/>
      <c r="AA1534" s="152"/>
      <c r="AB1534" s="152"/>
    </row>
    <row r="1535" spans="1:28" hidden="1" outlineLevel="1">
      <c r="A1535" s="199">
        <f t="shared" si="2271"/>
        <v>4</v>
      </c>
      <c r="B1535" s="190" t="str">
        <f t="shared" ca="1" si="2272"/>
        <v>Depreciated Net Capex 2019-20</v>
      </c>
      <c r="C1535" s="1426"/>
      <c r="D1535" s="1426"/>
      <c r="E1535" s="1426"/>
      <c r="F1535" s="1427"/>
      <c r="G1535" s="1428">
        <f>($G1526*((1+G$11)^0.5)/G$10)</f>
        <v>0</v>
      </c>
      <c r="H1535" s="1423">
        <f ca="1">IF(G1559="n/a",G1535,IFERROR(IF((OFFSET($C1535,0,$A1535))&lt;0,
MIN(0,G1535-(OFFSET($C1535,0,$A1535)/(OFFSET($C1530,-$A1534,$A1535)))),
MAX(0,G1535-(OFFSET($C1535,0,$A1535)/(OFFSET($C1530,-$A1534,$A1535))))),0))</f>
        <v>0</v>
      </c>
      <c r="I1535" s="1423">
        <f t="shared" ca="1" si="2256"/>
        <v>0</v>
      </c>
      <c r="J1535" s="1423">
        <f t="shared" ca="1" si="2257"/>
        <v>0</v>
      </c>
      <c r="K1535" s="1423">
        <f t="shared" ca="1" si="2258"/>
        <v>0</v>
      </c>
      <c r="L1535" s="1423">
        <f t="shared" ca="1" si="2259"/>
        <v>0</v>
      </c>
      <c r="M1535" s="1423">
        <f t="shared" ca="1" si="2260"/>
        <v>0</v>
      </c>
      <c r="N1535" s="1423">
        <f t="shared" ca="1" si="2261"/>
        <v>0</v>
      </c>
      <c r="O1535" s="1423">
        <f t="shared" ca="1" si="2262"/>
        <v>0</v>
      </c>
      <c r="P1535" s="1423">
        <f t="shared" ca="1" si="2263"/>
        <v>0</v>
      </c>
      <c r="Q1535" s="1423">
        <f t="shared" ca="1" si="2264"/>
        <v>0</v>
      </c>
      <c r="R1535" s="1423">
        <f t="shared" ca="1" si="2265"/>
        <v>0</v>
      </c>
      <c r="S1535" s="1423">
        <f t="shared" ca="1" si="2266"/>
        <v>0</v>
      </c>
      <c r="T1535" s="1423">
        <f t="shared" ca="1" si="2267"/>
        <v>0</v>
      </c>
      <c r="U1535" s="1423">
        <f t="shared" ca="1" si="2268"/>
        <v>0</v>
      </c>
      <c r="V1535" s="1423">
        <f t="shared" ca="1" si="2269"/>
        <v>0</v>
      </c>
      <c r="W1535" s="1423">
        <f t="shared" ca="1" si="2270"/>
        <v>0</v>
      </c>
      <c r="X1535" s="202"/>
      <c r="Y1535" s="202"/>
      <c r="Z1535" s="202"/>
      <c r="AA1535" s="152"/>
      <c r="AB1535" s="152"/>
    </row>
    <row r="1536" spans="1:28" hidden="1" outlineLevel="1">
      <c r="A1536" s="199">
        <f t="shared" si="2271"/>
        <v>5</v>
      </c>
      <c r="B1536" s="190" t="str">
        <f t="shared" ca="1" si="2272"/>
        <v>Depreciated Net Capex 2020-21</v>
      </c>
      <c r="C1536" s="1426"/>
      <c r="D1536" s="1426"/>
      <c r="E1536" s="1426"/>
      <c r="F1536" s="1426"/>
      <c r="G1536" s="1427"/>
      <c r="H1536" s="1428">
        <f>(H1526*((1+H$11)^0.5)/H$10)</f>
        <v>0</v>
      </c>
      <c r="I1536" s="1423">
        <f ca="1">IF(H1560="n/a",H1536,IFERROR(IF((OFFSET($C1536,0,$A1536))&lt;0,
MIN(0,H1536-(OFFSET($C1536,0,$A1536)/(OFFSET($C1531,-$A1535,$A1536)))),
MAX(0,H1536-(OFFSET($C1536,0,$A1536)/(OFFSET($C1531,-$A1535,$A1536))))),0))</f>
        <v>0</v>
      </c>
      <c r="J1536" s="1423">
        <f t="shared" ca="1" si="2257"/>
        <v>0</v>
      </c>
      <c r="K1536" s="1423">
        <f t="shared" ca="1" si="2258"/>
        <v>0</v>
      </c>
      <c r="L1536" s="1423">
        <f t="shared" ca="1" si="2259"/>
        <v>0</v>
      </c>
      <c r="M1536" s="1423">
        <f t="shared" ca="1" si="2260"/>
        <v>0</v>
      </c>
      <c r="N1536" s="1423">
        <f t="shared" ca="1" si="2261"/>
        <v>0</v>
      </c>
      <c r="O1536" s="1423">
        <f t="shared" ca="1" si="2262"/>
        <v>0</v>
      </c>
      <c r="P1536" s="1423">
        <f t="shared" ca="1" si="2263"/>
        <v>0</v>
      </c>
      <c r="Q1536" s="1423">
        <f t="shared" ca="1" si="2264"/>
        <v>0</v>
      </c>
      <c r="R1536" s="1423">
        <f t="shared" ca="1" si="2265"/>
        <v>0</v>
      </c>
      <c r="S1536" s="1423">
        <f t="shared" ca="1" si="2266"/>
        <v>0</v>
      </c>
      <c r="T1536" s="1423">
        <f t="shared" ca="1" si="2267"/>
        <v>0</v>
      </c>
      <c r="U1536" s="1423">
        <f t="shared" ca="1" si="2268"/>
        <v>0</v>
      </c>
      <c r="V1536" s="1423">
        <f t="shared" ca="1" si="2269"/>
        <v>0</v>
      </c>
      <c r="W1536" s="1423">
        <f t="shared" ca="1" si="2270"/>
        <v>0</v>
      </c>
      <c r="X1536" s="202"/>
      <c r="Y1536" s="202"/>
      <c r="Z1536" s="202"/>
      <c r="AA1536" s="152"/>
      <c r="AB1536" s="152"/>
    </row>
    <row r="1537" spans="1:28" hidden="1" outlineLevel="1">
      <c r="A1537" s="199">
        <f t="shared" si="2271"/>
        <v>6</v>
      </c>
      <c r="B1537" s="190" t="str">
        <f t="shared" ca="1" si="2272"/>
        <v>Depreciated Net Capex 2021-22</v>
      </c>
      <c r="C1537" s="1426"/>
      <c r="D1537" s="1426"/>
      <c r="E1537" s="1426"/>
      <c r="F1537" s="1426"/>
      <c r="G1537" s="1426"/>
      <c r="H1537" s="1427"/>
      <c r="I1537" s="1428">
        <f>(I1526*((1+I$11)^0.5)/I$10)</f>
        <v>0</v>
      </c>
      <c r="J1537" s="1423">
        <f ca="1">IF(I1561="n/a",I1537,IFERROR(IF((OFFSET($C1537,0,$A1537))&lt;0,
MIN(0,I1537-(OFFSET($C1537,0,$A1537)/(OFFSET($C1532,-$A1536,$A1537)))),
MAX(0,I1537-(OFFSET($C1537,0,$A1537)/(OFFSET($C1532,-$A1536,$A1537))))),0))</f>
        <v>0</v>
      </c>
      <c r="K1537" s="1423">
        <f t="shared" ca="1" si="2258"/>
        <v>0</v>
      </c>
      <c r="L1537" s="1423">
        <f t="shared" ca="1" si="2259"/>
        <v>0</v>
      </c>
      <c r="M1537" s="1423">
        <f t="shared" ca="1" si="2260"/>
        <v>0</v>
      </c>
      <c r="N1537" s="1423">
        <f t="shared" ca="1" si="2261"/>
        <v>0</v>
      </c>
      <c r="O1537" s="1423">
        <f t="shared" ca="1" si="2262"/>
        <v>0</v>
      </c>
      <c r="P1537" s="1423">
        <f t="shared" ca="1" si="2263"/>
        <v>0</v>
      </c>
      <c r="Q1537" s="1423">
        <f t="shared" ca="1" si="2264"/>
        <v>0</v>
      </c>
      <c r="R1537" s="1423">
        <f t="shared" ca="1" si="2265"/>
        <v>0</v>
      </c>
      <c r="S1537" s="1423">
        <f t="shared" ca="1" si="2266"/>
        <v>0</v>
      </c>
      <c r="T1537" s="1423">
        <f t="shared" ca="1" si="2267"/>
        <v>0</v>
      </c>
      <c r="U1537" s="1423">
        <f t="shared" ca="1" si="2268"/>
        <v>0</v>
      </c>
      <c r="V1537" s="1423">
        <f t="shared" ca="1" si="2269"/>
        <v>0</v>
      </c>
      <c r="W1537" s="1423">
        <f t="shared" ca="1" si="2270"/>
        <v>0</v>
      </c>
      <c r="X1537" s="202"/>
      <c r="Y1537" s="202"/>
      <c r="Z1537" s="202"/>
      <c r="AA1537" s="152"/>
      <c r="AB1537" s="152"/>
    </row>
    <row r="1538" spans="1:28" hidden="1" outlineLevel="1">
      <c r="A1538" s="199">
        <f t="shared" si="2271"/>
        <v>7</v>
      </c>
      <c r="B1538" s="190" t="str">
        <f t="shared" ca="1" si="2272"/>
        <v>Depreciated Net Capex 2022-23</v>
      </c>
      <c r="C1538" s="1426"/>
      <c r="D1538" s="1426"/>
      <c r="E1538" s="1426"/>
      <c r="F1538" s="1426"/>
      <c r="G1538" s="1426"/>
      <c r="H1538" s="1426"/>
      <c r="I1538" s="1427"/>
      <c r="J1538" s="1428">
        <f>(J1526*((1+J$11)^0.5)/J$10)</f>
        <v>0</v>
      </c>
      <c r="K1538" s="1423">
        <f ca="1">IF(J1562="n/a",J1538,IFERROR(IF((OFFSET($C1538,0,$A1538))&lt;0,
MIN(0,J1538-(OFFSET($C1538,0,$A1538)/(OFFSET($C1533,-$A1537,$A1538)))),
MAX(0,J1538-(OFFSET($C1538,0,$A1538)/(OFFSET($C1533,-$A1537,$A1538))))),0))</f>
        <v>0</v>
      </c>
      <c r="L1538" s="1423">
        <f t="shared" ca="1" si="2259"/>
        <v>0</v>
      </c>
      <c r="M1538" s="1423">
        <f t="shared" ca="1" si="2260"/>
        <v>0</v>
      </c>
      <c r="N1538" s="1423">
        <f t="shared" ca="1" si="2261"/>
        <v>0</v>
      </c>
      <c r="O1538" s="1423">
        <f t="shared" ca="1" si="2262"/>
        <v>0</v>
      </c>
      <c r="P1538" s="1423">
        <f t="shared" ca="1" si="2263"/>
        <v>0</v>
      </c>
      <c r="Q1538" s="1423">
        <f t="shared" ca="1" si="2264"/>
        <v>0</v>
      </c>
      <c r="R1538" s="1423">
        <f t="shared" ca="1" si="2265"/>
        <v>0</v>
      </c>
      <c r="S1538" s="1423">
        <f t="shared" ca="1" si="2266"/>
        <v>0</v>
      </c>
      <c r="T1538" s="1423">
        <f t="shared" ca="1" si="2267"/>
        <v>0</v>
      </c>
      <c r="U1538" s="1423">
        <f t="shared" ca="1" si="2268"/>
        <v>0</v>
      </c>
      <c r="V1538" s="1423">
        <f t="shared" ca="1" si="2269"/>
        <v>0</v>
      </c>
      <c r="W1538" s="1423">
        <f t="shared" ca="1" si="2270"/>
        <v>0</v>
      </c>
      <c r="X1538" s="202"/>
      <c r="Y1538" s="202"/>
      <c r="Z1538" s="202"/>
      <c r="AA1538" s="152"/>
      <c r="AB1538" s="152"/>
    </row>
    <row r="1539" spans="1:28" hidden="1" outlineLevel="1">
      <c r="A1539" s="199">
        <f t="shared" si="2271"/>
        <v>8</v>
      </c>
      <c r="B1539" s="190" t="str">
        <f t="shared" ca="1" si="2272"/>
        <v>Depreciated Net Capex 2023-24</v>
      </c>
      <c r="C1539" s="1426"/>
      <c r="D1539" s="1426"/>
      <c r="E1539" s="1426"/>
      <c r="F1539" s="1426"/>
      <c r="G1539" s="1426"/>
      <c r="H1539" s="1426"/>
      <c r="I1539" s="1426"/>
      <c r="J1539" s="1427"/>
      <c r="K1539" s="1428">
        <f>(K1526*((1+K$11)^0.5)/K$10)</f>
        <v>0</v>
      </c>
      <c r="L1539" s="1423">
        <f ca="1">IF(K1563="n/a",K1539,IFERROR(IF((OFFSET($C1539,0,$A1539))&lt;0,
MIN(0,K1539-(OFFSET($C1539,0,$A1539)/(OFFSET($C1534,-$A1538,$A1539)))),
MAX(0,K1539-(OFFSET($C1539,0,$A1539)/(OFFSET($C1534,-$A1538,$A1539))))),0))</f>
        <v>0</v>
      </c>
      <c r="M1539" s="1423">
        <f t="shared" ca="1" si="2260"/>
        <v>0</v>
      </c>
      <c r="N1539" s="1423">
        <f t="shared" ca="1" si="2261"/>
        <v>0</v>
      </c>
      <c r="O1539" s="1423">
        <f t="shared" ca="1" si="2262"/>
        <v>0</v>
      </c>
      <c r="P1539" s="1423">
        <f t="shared" ca="1" si="2263"/>
        <v>0</v>
      </c>
      <c r="Q1539" s="1423">
        <f t="shared" ca="1" si="2264"/>
        <v>0</v>
      </c>
      <c r="R1539" s="1423">
        <f t="shared" ca="1" si="2265"/>
        <v>0</v>
      </c>
      <c r="S1539" s="1423">
        <f t="shared" ca="1" si="2266"/>
        <v>0</v>
      </c>
      <c r="T1539" s="1423">
        <f t="shared" ca="1" si="2267"/>
        <v>0</v>
      </c>
      <c r="U1539" s="1423">
        <f t="shared" ca="1" si="2268"/>
        <v>0</v>
      </c>
      <c r="V1539" s="1423">
        <f t="shared" ca="1" si="2269"/>
        <v>0</v>
      </c>
      <c r="W1539" s="1423">
        <f t="shared" ca="1" si="2270"/>
        <v>0</v>
      </c>
      <c r="X1539" s="202"/>
      <c r="Y1539" s="202"/>
      <c r="Z1539" s="202"/>
      <c r="AA1539" s="152"/>
      <c r="AB1539" s="152"/>
    </row>
    <row r="1540" spans="1:28" hidden="1" outlineLevel="1">
      <c r="A1540" s="199">
        <f t="shared" si="2271"/>
        <v>9</v>
      </c>
      <c r="B1540" s="190" t="str">
        <f t="shared" ca="1" si="2272"/>
        <v>Depreciated Net Capex 2024-25</v>
      </c>
      <c r="C1540" s="1426"/>
      <c r="D1540" s="1426"/>
      <c r="E1540" s="1426"/>
      <c r="F1540" s="1426"/>
      <c r="G1540" s="1426"/>
      <c r="H1540" s="1426"/>
      <c r="I1540" s="1426"/>
      <c r="J1540" s="1426"/>
      <c r="K1540" s="1427"/>
      <c r="L1540" s="1428">
        <f>(L1526*((1+L$11)^0.5)/L$10)</f>
        <v>0</v>
      </c>
      <c r="M1540" s="1423">
        <f ca="1">IF(L1564="n/a",L1540,IFERROR(IF((OFFSET($C1540,0,$A1540))&lt;0,
MIN(0,L1540-(OFFSET($C1540,0,$A1540)/(OFFSET($C1535,-$A1539,$A1540)))),
MAX(0,L1540-(OFFSET($C1540,0,$A1540)/(OFFSET($C1535,-$A1539,$A1540))))),0))</f>
        <v>0</v>
      </c>
      <c r="N1540" s="1423">
        <f t="shared" ca="1" si="2261"/>
        <v>0</v>
      </c>
      <c r="O1540" s="1423">
        <f t="shared" ca="1" si="2262"/>
        <v>0</v>
      </c>
      <c r="P1540" s="1423">
        <f t="shared" ca="1" si="2263"/>
        <v>0</v>
      </c>
      <c r="Q1540" s="1423">
        <f t="shared" ca="1" si="2264"/>
        <v>0</v>
      </c>
      <c r="R1540" s="1423">
        <f t="shared" ca="1" si="2265"/>
        <v>0</v>
      </c>
      <c r="S1540" s="1423">
        <f t="shared" ca="1" si="2266"/>
        <v>0</v>
      </c>
      <c r="T1540" s="1423">
        <f t="shared" ca="1" si="2267"/>
        <v>0</v>
      </c>
      <c r="U1540" s="1423">
        <f t="shared" ca="1" si="2268"/>
        <v>0</v>
      </c>
      <c r="V1540" s="1423">
        <f t="shared" ca="1" si="2269"/>
        <v>0</v>
      </c>
      <c r="W1540" s="1423">
        <f t="shared" ca="1" si="2270"/>
        <v>0</v>
      </c>
      <c r="X1540" s="202"/>
      <c r="Y1540" s="202"/>
      <c r="Z1540" s="202"/>
      <c r="AA1540" s="152"/>
      <c r="AB1540" s="152"/>
    </row>
    <row r="1541" spans="1:28" hidden="1" outlineLevel="1">
      <c r="A1541" s="199">
        <f t="shared" si="2271"/>
        <v>10</v>
      </c>
      <c r="B1541" s="190" t="str">
        <f t="shared" ca="1" si="2272"/>
        <v>Depreciated Net Capex 2025-26</v>
      </c>
      <c r="C1541" s="1426"/>
      <c r="D1541" s="1426"/>
      <c r="E1541" s="1426"/>
      <c r="F1541" s="1426"/>
      <c r="G1541" s="1426"/>
      <c r="H1541" s="1426"/>
      <c r="I1541" s="1426"/>
      <c r="J1541" s="1426"/>
      <c r="K1541" s="1426"/>
      <c r="L1541" s="1427"/>
      <c r="M1541" s="1428">
        <f>(M1526*((1+M$11)^0.5)/M$10)</f>
        <v>0</v>
      </c>
      <c r="N1541" s="1423">
        <f ca="1">IF(M1565="n/a",M1541,IFERROR(IF((OFFSET($C1541,0,$A1541))&lt;0,
MIN(0,M1541-(OFFSET($C1541,0,$A1541)/(OFFSET($C1536,-$A1540,$A1541)))),
MAX(0,M1541-(OFFSET($C1541,0,$A1541)/(OFFSET($C1536,-$A1540,$A1541))))),0))</f>
        <v>0</v>
      </c>
      <c r="O1541" s="1423">
        <f t="shared" ca="1" si="2262"/>
        <v>0</v>
      </c>
      <c r="P1541" s="1423">
        <f t="shared" ca="1" si="2263"/>
        <v>0</v>
      </c>
      <c r="Q1541" s="1423">
        <f t="shared" ca="1" si="2264"/>
        <v>0</v>
      </c>
      <c r="R1541" s="1423">
        <f t="shared" ca="1" si="2265"/>
        <v>0</v>
      </c>
      <c r="S1541" s="1423">
        <f t="shared" ca="1" si="2266"/>
        <v>0</v>
      </c>
      <c r="T1541" s="1423">
        <f t="shared" ca="1" si="2267"/>
        <v>0</v>
      </c>
      <c r="U1541" s="1423">
        <f t="shared" ca="1" si="2268"/>
        <v>0</v>
      </c>
      <c r="V1541" s="1423">
        <f t="shared" ca="1" si="2269"/>
        <v>0</v>
      </c>
      <c r="W1541" s="1423">
        <f t="shared" ca="1" si="2270"/>
        <v>0</v>
      </c>
      <c r="X1541" s="202"/>
      <c r="Y1541" s="202"/>
      <c r="Z1541" s="202"/>
      <c r="AA1541" s="152"/>
      <c r="AB1541" s="152"/>
    </row>
    <row r="1542" spans="1:28" hidden="1" outlineLevel="1">
      <c r="A1542" s="199">
        <f t="shared" si="2271"/>
        <v>11</v>
      </c>
      <c r="B1542" s="190" t="str">
        <f t="shared" ca="1" si="2272"/>
        <v>Depreciated Net Capex 2026-27</v>
      </c>
      <c r="C1542" s="1426"/>
      <c r="D1542" s="1426"/>
      <c r="E1542" s="1426"/>
      <c r="F1542" s="1426"/>
      <c r="G1542" s="1426"/>
      <c r="H1542" s="1426"/>
      <c r="I1542" s="1426"/>
      <c r="J1542" s="1426"/>
      <c r="K1542" s="1426"/>
      <c r="L1542" s="1426"/>
      <c r="M1542" s="1427"/>
      <c r="N1542" s="1428">
        <f>(N1526*((1+N$11)^0.5)/N$10)</f>
        <v>0</v>
      </c>
      <c r="O1542" s="1423">
        <f ca="1">IF(N1566="n/a",N1542,IFERROR(IF((OFFSET($C1542,0,$A1542))&lt;0,
MIN(0,N1542-(OFFSET($C1542,0,$A1542)/(OFFSET($C1537,-$A1541,$A1542)))),
MAX(0,N1542-(OFFSET($C1542,0,$A1542)/(OFFSET($C1537,-$A1541,$A1542))))),0))</f>
        <v>0</v>
      </c>
      <c r="P1542" s="1423">
        <f t="shared" ca="1" si="2263"/>
        <v>0</v>
      </c>
      <c r="Q1542" s="1423">
        <f t="shared" ca="1" si="2264"/>
        <v>0</v>
      </c>
      <c r="R1542" s="1423">
        <f t="shared" ca="1" si="2265"/>
        <v>0</v>
      </c>
      <c r="S1542" s="1423">
        <f t="shared" ca="1" si="2266"/>
        <v>0</v>
      </c>
      <c r="T1542" s="1423">
        <f t="shared" ca="1" si="2267"/>
        <v>0</v>
      </c>
      <c r="U1542" s="1423">
        <f t="shared" ca="1" si="2268"/>
        <v>0</v>
      </c>
      <c r="V1542" s="1423">
        <f t="shared" ca="1" si="2269"/>
        <v>0</v>
      </c>
      <c r="W1542" s="1423">
        <f t="shared" ca="1" si="2270"/>
        <v>0</v>
      </c>
      <c r="X1542" s="202"/>
      <c r="Y1542" s="202"/>
      <c r="Z1542" s="202"/>
      <c r="AA1542" s="152"/>
      <c r="AB1542" s="152"/>
    </row>
    <row r="1543" spans="1:28" hidden="1" outlineLevel="1">
      <c r="A1543" s="199">
        <f t="shared" si="2271"/>
        <v>12</v>
      </c>
      <c r="B1543" s="190" t="str">
        <f t="shared" ca="1" si="2272"/>
        <v>Depreciated Net Capex 2027-28</v>
      </c>
      <c r="C1543" s="1426"/>
      <c r="D1543" s="1426"/>
      <c r="E1543" s="1426"/>
      <c r="F1543" s="1426"/>
      <c r="G1543" s="1426"/>
      <c r="H1543" s="1426"/>
      <c r="I1543" s="1426"/>
      <c r="J1543" s="1426"/>
      <c r="K1543" s="1426"/>
      <c r="L1543" s="1426"/>
      <c r="M1543" s="1426"/>
      <c r="N1543" s="1427"/>
      <c r="O1543" s="1428">
        <f>(O1526*((1+O$11)^0.5)/O$10)</f>
        <v>0</v>
      </c>
      <c r="P1543" s="1423">
        <f ca="1">IF(O1567="n/a",O1543,IFERROR(IF((OFFSET($C1543,0,$A1543))&lt;0,
MIN(0,O1543-(OFFSET($C1543,0,$A1543)/(OFFSET($C1538,-$A1542,$A1543)))),
MAX(0,O1543-(OFFSET($C1543,0,$A1543)/(OFFSET($C1538,-$A1542,$A1543))))),0))</f>
        <v>0</v>
      </c>
      <c r="Q1543" s="1423">
        <f t="shared" ca="1" si="2264"/>
        <v>0</v>
      </c>
      <c r="R1543" s="1423">
        <f t="shared" ca="1" si="2265"/>
        <v>0</v>
      </c>
      <c r="S1543" s="1423">
        <f t="shared" ca="1" si="2266"/>
        <v>0</v>
      </c>
      <c r="T1543" s="1423">
        <f t="shared" ca="1" si="2267"/>
        <v>0</v>
      </c>
      <c r="U1543" s="1423">
        <f t="shared" ca="1" si="2268"/>
        <v>0</v>
      </c>
      <c r="V1543" s="1423">
        <f t="shared" ca="1" si="2269"/>
        <v>0</v>
      </c>
      <c r="W1543" s="1423">
        <f t="shared" ca="1" si="2270"/>
        <v>0</v>
      </c>
      <c r="X1543" s="202"/>
      <c r="Y1543" s="202"/>
      <c r="Z1543" s="202"/>
      <c r="AA1543" s="152"/>
      <c r="AB1543" s="152"/>
    </row>
    <row r="1544" spans="1:28" hidden="1" outlineLevel="1">
      <c r="A1544" s="199">
        <f t="shared" si="2271"/>
        <v>13</v>
      </c>
      <c r="B1544" s="190" t="str">
        <f t="shared" ca="1" si="2272"/>
        <v>Depreciated Net Capex 2028-29</v>
      </c>
      <c r="C1544" s="1426"/>
      <c r="D1544" s="1426"/>
      <c r="E1544" s="1426"/>
      <c r="F1544" s="1426"/>
      <c r="G1544" s="1426"/>
      <c r="H1544" s="1426"/>
      <c r="I1544" s="1426"/>
      <c r="J1544" s="1426"/>
      <c r="K1544" s="1426"/>
      <c r="L1544" s="1426"/>
      <c r="M1544" s="1426"/>
      <c r="N1544" s="1426"/>
      <c r="O1544" s="1427"/>
      <c r="P1544" s="1428">
        <f>(P1526*((1+P$11)^0.5)/P$10)</f>
        <v>0</v>
      </c>
      <c r="Q1544" s="1423">
        <f ca="1">IF(P1568="n/a",P1544,IFERROR(IF((OFFSET($C1544,0,$A1544))&lt;0,
MIN(0,P1544-(OFFSET($C1544,0,$A1544)/(OFFSET($C1539,-$A1543,$A1544)))),
MAX(0,P1544-(OFFSET($C1544,0,$A1544)/(OFFSET($C1539,-$A1543,$A1544))))),0))</f>
        <v>0</v>
      </c>
      <c r="R1544" s="1423">
        <f t="shared" ca="1" si="2265"/>
        <v>0</v>
      </c>
      <c r="S1544" s="1423">
        <f t="shared" ca="1" si="2266"/>
        <v>0</v>
      </c>
      <c r="T1544" s="1423">
        <f t="shared" ca="1" si="2267"/>
        <v>0</v>
      </c>
      <c r="U1544" s="1423">
        <f t="shared" ca="1" si="2268"/>
        <v>0</v>
      </c>
      <c r="V1544" s="1423">
        <f t="shared" ca="1" si="2269"/>
        <v>0</v>
      </c>
      <c r="W1544" s="1423">
        <f t="shared" ca="1" si="2270"/>
        <v>0</v>
      </c>
      <c r="X1544" s="202"/>
      <c r="Y1544" s="202"/>
      <c r="Z1544" s="202"/>
      <c r="AA1544" s="152"/>
      <c r="AB1544" s="152"/>
    </row>
    <row r="1545" spans="1:28" hidden="1" outlineLevel="1">
      <c r="A1545" s="199">
        <f t="shared" si="2271"/>
        <v>14</v>
      </c>
      <c r="B1545" s="190" t="str">
        <f t="shared" ca="1" si="2272"/>
        <v>Depreciated Net Capex 2029-30</v>
      </c>
      <c r="C1545" s="1426"/>
      <c r="D1545" s="1426"/>
      <c r="E1545" s="1426"/>
      <c r="F1545" s="1426"/>
      <c r="G1545" s="1426"/>
      <c r="H1545" s="1426"/>
      <c r="I1545" s="1426"/>
      <c r="J1545" s="1426"/>
      <c r="K1545" s="1426"/>
      <c r="L1545" s="1426"/>
      <c r="M1545" s="1426"/>
      <c r="N1545" s="1426"/>
      <c r="O1545" s="1426"/>
      <c r="P1545" s="1427"/>
      <c r="Q1545" s="1428">
        <f>(Q1526*((1+Q$11)^0.5)/Q$10)</f>
        <v>0</v>
      </c>
      <c r="R1545" s="1423">
        <f ca="1">IF(Q1569="n/a",Q1545,IFERROR(IF((OFFSET($C1545,0,$A1545))&lt;0,
MIN(0,Q1545-(OFFSET($C1545,0,$A1545)/(OFFSET($C1540,-$A1544,$A1545)))),
MAX(0,Q1545-(OFFSET($C1545,0,$A1545)/(OFFSET($C1540,-$A1544,$A1545))))),0))</f>
        <v>0</v>
      </c>
      <c r="S1545" s="1423">
        <f t="shared" ca="1" si="2266"/>
        <v>0</v>
      </c>
      <c r="T1545" s="1423">
        <f t="shared" ca="1" si="2267"/>
        <v>0</v>
      </c>
      <c r="U1545" s="1423">
        <f t="shared" ca="1" si="2268"/>
        <v>0</v>
      </c>
      <c r="V1545" s="1423">
        <f t="shared" ca="1" si="2269"/>
        <v>0</v>
      </c>
      <c r="W1545" s="1423">
        <f t="shared" ca="1" si="2270"/>
        <v>0</v>
      </c>
      <c r="X1545" s="202"/>
      <c r="Y1545" s="202"/>
      <c r="Z1545" s="202"/>
      <c r="AA1545" s="152"/>
      <c r="AB1545" s="152"/>
    </row>
    <row r="1546" spans="1:28" hidden="1" outlineLevel="1">
      <c r="A1546" s="199">
        <f t="shared" si="2271"/>
        <v>15</v>
      </c>
      <c r="B1546" s="190" t="str">
        <f t="shared" ca="1" si="2272"/>
        <v>Depreciated Net Capex 2030-31</v>
      </c>
      <c r="C1546" s="1426"/>
      <c r="D1546" s="1426"/>
      <c r="E1546" s="1426"/>
      <c r="F1546" s="1426"/>
      <c r="G1546" s="1426"/>
      <c r="H1546" s="1426"/>
      <c r="I1546" s="1426"/>
      <c r="J1546" s="1426"/>
      <c r="K1546" s="1426"/>
      <c r="L1546" s="1426"/>
      <c r="M1546" s="1426"/>
      <c r="N1546" s="1426"/>
      <c r="O1546" s="1426"/>
      <c r="P1546" s="1426"/>
      <c r="Q1546" s="1427"/>
      <c r="R1546" s="1428">
        <f>(R1526*((1+R$11)^0.5)/R$10)</f>
        <v>0</v>
      </c>
      <c r="S1546" s="1423">
        <f ca="1">IF(R1570="n/a",R1546,IFERROR(IF((OFFSET($C1546,0,$A1546))&lt;0,
MIN(0,R1546-(OFFSET($C1546,0,$A1546)/(OFFSET($C1541,-$A1545,$A1546)))),
MAX(0,R1546-(OFFSET($C1546,0,$A1546)/(OFFSET($C1541,-$A1545,$A1546))))),0))</f>
        <v>0</v>
      </c>
      <c r="T1546" s="1423">
        <f t="shared" ca="1" si="2267"/>
        <v>0</v>
      </c>
      <c r="U1546" s="1423">
        <f t="shared" ca="1" si="2268"/>
        <v>0</v>
      </c>
      <c r="V1546" s="1423">
        <f t="shared" ca="1" si="2269"/>
        <v>0</v>
      </c>
      <c r="W1546" s="1423">
        <f t="shared" ca="1" si="2270"/>
        <v>0</v>
      </c>
      <c r="X1546" s="202"/>
      <c r="Y1546" s="202"/>
      <c r="Z1546" s="202"/>
      <c r="AA1546" s="152"/>
      <c r="AB1546" s="152"/>
    </row>
    <row r="1547" spans="1:28" hidden="1" outlineLevel="1">
      <c r="A1547" s="199">
        <f t="shared" si="2271"/>
        <v>16</v>
      </c>
      <c r="B1547" s="190" t="str">
        <f t="shared" ca="1" si="2272"/>
        <v>Depreciated Net Capex 2031-32</v>
      </c>
      <c r="C1547" s="1426"/>
      <c r="D1547" s="1426"/>
      <c r="E1547" s="1426"/>
      <c r="F1547" s="1426"/>
      <c r="G1547" s="1426"/>
      <c r="H1547" s="1426"/>
      <c r="I1547" s="1426"/>
      <c r="J1547" s="1426"/>
      <c r="K1547" s="1426"/>
      <c r="L1547" s="1426"/>
      <c r="M1547" s="1426"/>
      <c r="N1547" s="1426"/>
      <c r="O1547" s="1426"/>
      <c r="P1547" s="1426"/>
      <c r="Q1547" s="1426"/>
      <c r="R1547" s="1427"/>
      <c r="S1547" s="1428">
        <f>(S1526*((1+S$11)^0.5)/S$10)</f>
        <v>0</v>
      </c>
      <c r="T1547" s="1423">
        <f ca="1">IF(S1571="n/a",S1547,IFERROR(IF((OFFSET($C1547,0,$A1547))&lt;0,
MIN(0,S1547-(OFFSET($C1547,0,$A1547)/(OFFSET($C1542,-$A1546,$A1547)))),
MAX(0,S1547-(OFFSET($C1547,0,$A1547)/(OFFSET($C1542,-$A1546,$A1547))))),0))</f>
        <v>0</v>
      </c>
      <c r="U1547" s="1423">
        <f t="shared" ca="1" si="2268"/>
        <v>0</v>
      </c>
      <c r="V1547" s="1423">
        <f t="shared" ca="1" si="2269"/>
        <v>0</v>
      </c>
      <c r="W1547" s="1423">
        <f t="shared" ca="1" si="2270"/>
        <v>0</v>
      </c>
      <c r="X1547" s="202"/>
      <c r="Y1547" s="202"/>
      <c r="Z1547" s="202"/>
      <c r="AA1547" s="152"/>
      <c r="AB1547" s="152"/>
    </row>
    <row r="1548" spans="1:28" hidden="1" outlineLevel="1">
      <c r="A1548" s="199">
        <f t="shared" si="2271"/>
        <v>17</v>
      </c>
      <c r="B1548" s="190" t="str">
        <f t="shared" ca="1" si="2272"/>
        <v>Depreciated Net Capex 2032-33</v>
      </c>
      <c r="C1548" s="1426"/>
      <c r="D1548" s="1426"/>
      <c r="E1548" s="1426"/>
      <c r="F1548" s="1426"/>
      <c r="G1548" s="1426"/>
      <c r="H1548" s="1426"/>
      <c r="I1548" s="1426"/>
      <c r="J1548" s="1426"/>
      <c r="K1548" s="1426"/>
      <c r="L1548" s="1426"/>
      <c r="M1548" s="1426"/>
      <c r="N1548" s="1426"/>
      <c r="O1548" s="1426"/>
      <c r="P1548" s="1426"/>
      <c r="Q1548" s="1426"/>
      <c r="R1548" s="1426"/>
      <c r="S1548" s="1427"/>
      <c r="T1548" s="1428">
        <f>(T1526*((1+T$11)^0.5)/T$10)</f>
        <v>0</v>
      </c>
      <c r="U1548" s="1423">
        <f ca="1">IF(T1572="n/a",T1548,IFERROR(IF((OFFSET($C1548,0,$A1548))&lt;0,
MIN(0,T1548-(OFFSET($C1548,0,$A1548)/(OFFSET($C1543,-$A1547,$A1548)))),
MAX(0,T1548-(OFFSET($C1548,0,$A1548)/(OFFSET($C1543,-$A1547,$A1548))))),0))</f>
        <v>0</v>
      </c>
      <c r="V1548" s="1423">
        <f t="shared" ca="1" si="2269"/>
        <v>0</v>
      </c>
      <c r="W1548" s="1423">
        <f t="shared" ca="1" si="2270"/>
        <v>0</v>
      </c>
      <c r="X1548" s="202"/>
      <c r="Y1548" s="202"/>
      <c r="Z1548" s="202"/>
      <c r="AA1548" s="152"/>
      <c r="AB1548" s="152"/>
    </row>
    <row r="1549" spans="1:28" hidden="1" outlineLevel="1">
      <c r="A1549" s="199">
        <f t="shared" si="2271"/>
        <v>18</v>
      </c>
      <c r="B1549" s="190" t="str">
        <f t="shared" ca="1" si="2272"/>
        <v>Depreciated Net Capex 2033-34</v>
      </c>
      <c r="C1549" s="1426"/>
      <c r="D1549" s="1426"/>
      <c r="E1549" s="1426"/>
      <c r="F1549" s="1426"/>
      <c r="G1549" s="1426"/>
      <c r="H1549" s="1426"/>
      <c r="I1549" s="1426"/>
      <c r="J1549" s="1426"/>
      <c r="K1549" s="1426"/>
      <c r="L1549" s="1426"/>
      <c r="M1549" s="1426"/>
      <c r="N1549" s="1426"/>
      <c r="O1549" s="1426"/>
      <c r="P1549" s="1426"/>
      <c r="Q1549" s="1426"/>
      <c r="R1549" s="1426"/>
      <c r="S1549" s="1426"/>
      <c r="T1549" s="1427"/>
      <c r="U1549" s="1428">
        <f>(U1526*((1+U$11)^0.5)/U$10)</f>
        <v>0</v>
      </c>
      <c r="V1549" s="1423">
        <f ca="1">IF(U1573="n/a",U1549,IFERROR(IF((OFFSET($C1549,0,$A1549))&lt;0,
MIN(0,U1549-(OFFSET($C1549,0,$A1549)/(OFFSET($C1544,-$A1548,$A1549)))),
MAX(0,U1549-(OFFSET($C1549,0,$A1549)/(OFFSET($C1544,-$A1548,$A1549))))),0))</f>
        <v>0</v>
      </c>
      <c r="W1549" s="1423">
        <f t="shared" ca="1" si="2270"/>
        <v>0</v>
      </c>
      <c r="X1549" s="202"/>
      <c r="Y1549" s="202"/>
      <c r="Z1549" s="202"/>
      <c r="AA1549" s="152"/>
      <c r="AB1549" s="152"/>
    </row>
    <row r="1550" spans="1:28" hidden="1" outlineLevel="1">
      <c r="A1550" s="199">
        <f t="shared" si="2271"/>
        <v>19</v>
      </c>
      <c r="B1550" s="190" t="str">
        <f t="shared" ca="1" si="2272"/>
        <v>Depreciated Net Capex 2034-35</v>
      </c>
      <c r="C1550" s="1426"/>
      <c r="D1550" s="1426"/>
      <c r="E1550" s="1426"/>
      <c r="F1550" s="1426"/>
      <c r="G1550" s="1426"/>
      <c r="H1550" s="1426"/>
      <c r="I1550" s="1426"/>
      <c r="J1550" s="1426"/>
      <c r="K1550" s="1426"/>
      <c r="L1550" s="1426"/>
      <c r="M1550" s="1426"/>
      <c r="N1550" s="1426"/>
      <c r="O1550" s="1426"/>
      <c r="P1550" s="1426"/>
      <c r="Q1550" s="1426"/>
      <c r="R1550" s="1426"/>
      <c r="S1550" s="1426"/>
      <c r="T1550" s="1426"/>
      <c r="U1550" s="1427"/>
      <c r="V1550" s="1428">
        <f>(V1526*((1+V$11)^0.5)/V$10)</f>
        <v>0</v>
      </c>
      <c r="W1550" s="1423">
        <f ca="1">IF(V1574="n/a",V1550,IFERROR(IF((OFFSET($C1550,0,$A1550))&lt;0,
MIN(0,V1550-(OFFSET($C1550,0,$A1550)/(OFFSET($C1545,-$A1549,$A1550)))),
MAX(0,V1550-(OFFSET($C1550,0,$A1550)/(OFFSET($C1545,-$A1549,$A1550))))),0))</f>
        <v>0</v>
      </c>
      <c r="X1550" s="202"/>
      <c r="Y1550" s="202"/>
      <c r="Z1550" s="202"/>
      <c r="AA1550" s="152"/>
      <c r="AB1550" s="152"/>
    </row>
    <row r="1551" spans="1:28" hidden="1" outlineLevel="1">
      <c r="A1551" s="199">
        <f t="shared" si="2271"/>
        <v>20</v>
      </c>
      <c r="B1551" s="190" t="str">
        <f ca="1">"Depreciated Net Capex "&amp;OFFSET($C$6,0,A1551)</f>
        <v>Depreciated Net Capex 2035-36</v>
      </c>
      <c r="C1551" s="1426"/>
      <c r="D1551" s="1426"/>
      <c r="E1551" s="1426"/>
      <c r="F1551" s="1426"/>
      <c r="G1551" s="1426"/>
      <c r="H1551" s="1426"/>
      <c r="I1551" s="1426"/>
      <c r="J1551" s="1426"/>
      <c r="K1551" s="1426"/>
      <c r="L1551" s="1426"/>
      <c r="M1551" s="1426"/>
      <c r="N1551" s="1426"/>
      <c r="O1551" s="1426"/>
      <c r="P1551" s="1426"/>
      <c r="Q1551" s="1426"/>
      <c r="R1551" s="1426"/>
      <c r="S1551" s="1426"/>
      <c r="T1551" s="1426"/>
      <c r="U1551" s="1426"/>
      <c r="V1551" s="1427"/>
      <c r="W1551" s="1423">
        <f>(W1526*((1+W$11)^0.5)/W$10)</f>
        <v>0</v>
      </c>
      <c r="X1551" s="152"/>
      <c r="Y1551" s="152"/>
      <c r="Z1551" s="152"/>
      <c r="AA1551" s="152"/>
      <c r="AB1551" s="152"/>
    </row>
    <row r="1552" spans="1:28" hidden="1" outlineLevel="1">
      <c r="A1552" s="152"/>
      <c r="B1552" s="200"/>
      <c r="C1552" s="1423"/>
      <c r="D1552" s="1423"/>
      <c r="E1552" s="1423"/>
      <c r="F1552" s="1423"/>
      <c r="G1552" s="1423"/>
      <c r="H1552" s="1423"/>
      <c r="I1552" s="1423"/>
      <c r="J1552" s="1423"/>
      <c r="K1552" s="1423"/>
      <c r="L1552" s="1423"/>
      <c r="M1552" s="1423"/>
      <c r="N1552" s="1423"/>
      <c r="O1552" s="1423"/>
      <c r="P1552" s="1423"/>
      <c r="Q1552" s="1423"/>
      <c r="R1552" s="1423"/>
      <c r="S1552" s="1423"/>
      <c r="T1552" s="1423"/>
      <c r="U1552" s="1423"/>
      <c r="V1552" s="1423"/>
      <c r="W1552" s="1423"/>
      <c r="X1552" s="152"/>
      <c r="Y1552" s="152"/>
      <c r="Z1552" s="152"/>
      <c r="AA1552" s="152"/>
      <c r="AB1552" s="152"/>
    </row>
    <row r="1553" spans="1:28" hidden="1" outlineLevel="1">
      <c r="A1553" s="152"/>
      <c r="B1553" s="200"/>
      <c r="C1553" s="1423"/>
      <c r="D1553" s="1423"/>
      <c r="E1553" s="1423"/>
      <c r="F1553" s="1423"/>
      <c r="G1553" s="1423"/>
      <c r="H1553" s="1423"/>
      <c r="I1553" s="1423"/>
      <c r="J1553" s="1423"/>
      <c r="K1553" s="1423"/>
      <c r="L1553" s="1423"/>
      <c r="M1553" s="1423"/>
      <c r="N1553" s="1423"/>
      <c r="O1553" s="1423"/>
      <c r="P1553" s="1423"/>
      <c r="Q1553" s="1423"/>
      <c r="R1553" s="1423"/>
      <c r="S1553" s="1423"/>
      <c r="T1553" s="1423"/>
      <c r="U1553" s="1423"/>
      <c r="V1553" s="1423"/>
      <c r="W1553" s="1423"/>
      <c r="X1553" s="152"/>
      <c r="Y1553" s="152"/>
      <c r="Z1553" s="152"/>
      <c r="AA1553" s="152"/>
      <c r="AB1553" s="152"/>
    </row>
    <row r="1554" spans="1:28" hidden="1" outlineLevel="1">
      <c r="A1554" s="152"/>
      <c r="B1554" s="190" t="s">
        <v>190</v>
      </c>
      <c r="C1554" s="1423"/>
      <c r="D1554" s="1423">
        <f ca="1">IF(AND(C1554&lt;1,D1528=0),0,
IF(D1528=0,C1554-1,
IF(C1554&lt;1,D1529,
(((C1554-1)*(C1530-(C1530/(C1554))))+((D1528/D$10)*D1529))/(D1530))))</f>
        <v>0</v>
      </c>
      <c r="E1554" s="1423">
        <f t="shared" ref="E1554" ca="1" si="2273">IF(AND(D1554&lt;1,E1528=0),0,
IF(E1528=0,D1554-1,
IF(D1554&lt;1,E1529,
(((D1554-1)*(D1530-(D1530/(D1554))))+((E1528/E$10)*E1529))/(E1530))))</f>
        <v>0</v>
      </c>
      <c r="F1554" s="1423">
        <f t="shared" ref="F1554" ca="1" si="2274">IF(AND(E1554&lt;1,F1528=0),0,
IF(F1528=0,E1554-1,
IF(E1554&lt;1,F1529,
(((E1554-1)*(E1530-(E1530/(E1554))))+((F1528/F$10)*F1529))/(F1530))))</f>
        <v>0</v>
      </c>
      <c r="G1554" s="1423">
        <f t="shared" ref="G1554" ca="1" si="2275">IF(AND(F1554&lt;1,G1528=0),0,
IF(G1528=0,F1554-1,
IF(F1554&lt;1,G1529,
(((F1554-1)*(F1530-(F1530/(F1554))))+((G1528/G$10)*G1529))/(G1530))))</f>
        <v>0</v>
      </c>
      <c r="H1554" s="1423">
        <f t="shared" ref="H1554" ca="1" si="2276">IF(AND(G1554&lt;1,H1528=0),0,
IF(H1528=0,G1554-1,
IF(G1554&lt;1,H1529,
(((G1554-1)*(G1530-(G1530/(G1554))))+((H1528/H$10)*H1529))/(H1530))))</f>
        <v>0</v>
      </c>
      <c r="I1554" s="1423">
        <f t="shared" ref="I1554" ca="1" si="2277">IF(AND(H1554&lt;1,I1528=0),0,
IF(I1528=0,H1554-1,
IF(H1554&lt;1,I1529,
(((H1554-1)*(H1530-(H1530/(H1554))))+((I1528/I$10)*I1529))/(I1530))))</f>
        <v>0</v>
      </c>
      <c r="J1554" s="1423">
        <f t="shared" ref="J1554" ca="1" si="2278">IF(AND(I1554&lt;1,J1528=0),0,
IF(J1528=0,I1554-1,
IF(I1554&lt;1,J1529,
(((I1554-1)*(I1530-(I1530/(I1554))))+((J1528/J$10)*J1529))/(J1530))))</f>
        <v>0</v>
      </c>
      <c r="K1554" s="1423">
        <f t="shared" ref="K1554" ca="1" si="2279">IF(AND(J1554&lt;1,K1528=0),0,
IF(K1528=0,J1554-1,
IF(J1554&lt;1,K1529,
(((J1554-1)*(J1530-(J1530/(J1554))))+((K1528/K$10)*K1529))/(K1530))))</f>
        <v>0</v>
      </c>
      <c r="L1554" s="1423">
        <f t="shared" ref="L1554" ca="1" si="2280">IF(AND(K1554&lt;1,L1528=0),0,
IF(L1528=0,K1554-1,
IF(K1554&lt;1,L1529,
(((K1554-1)*(K1530-(K1530/(K1554))))+((L1528/L$10)*L1529))/(L1530))))</f>
        <v>0</v>
      </c>
      <c r="M1554" s="1423">
        <f t="shared" ref="M1554" ca="1" si="2281">IF(AND(L1554&lt;1,M1528=0),0,
IF(M1528=0,L1554-1,
IF(L1554&lt;1,M1529,
(((L1554-1)*(L1530-(L1530/(L1554))))+((M1528/M$10)*M1529))/(M1530))))</f>
        <v>0</v>
      </c>
      <c r="N1554" s="1423">
        <f t="shared" ref="N1554" ca="1" si="2282">IF(AND(M1554&lt;1,N1528=0),0,
IF(N1528=0,M1554-1,
IF(M1554&lt;1,N1529,
(((M1554-1)*(M1530-(M1530/(M1554))))+((N1528/N$10)*N1529))/(N1530))))</f>
        <v>0</v>
      </c>
      <c r="O1554" s="1423">
        <f t="shared" ref="O1554" ca="1" si="2283">IF(AND(N1554&lt;1,O1528=0),0,
IF(O1528=0,N1554-1,
IF(N1554&lt;1,O1529,
(((N1554-1)*(N1530-(N1530/(N1554))))+((O1528/O$10)*O1529))/(O1530))))</f>
        <v>0</v>
      </c>
      <c r="P1554" s="1423">
        <f t="shared" ref="P1554" ca="1" si="2284">IF(AND(O1554&lt;1,P1528=0),0,
IF(P1528=0,O1554-1,
IF(O1554&lt;1,P1529,
(((O1554-1)*(O1530-(O1530/(O1554))))+((P1528/P$10)*P1529))/(P1530))))</f>
        <v>0</v>
      </c>
      <c r="Q1554" s="1423">
        <f t="shared" ref="Q1554" ca="1" si="2285">IF(AND(P1554&lt;1,Q1528=0),0,
IF(Q1528=0,P1554-1,
IF(P1554&lt;1,Q1529,
(((P1554-1)*(P1530-(P1530/(P1554))))+((Q1528/Q$10)*Q1529))/(Q1530))))</f>
        <v>0</v>
      </c>
      <c r="R1554" s="1423">
        <f t="shared" ref="R1554" ca="1" si="2286">IF(AND(Q1554&lt;1,R1528=0),0,
IF(R1528=0,Q1554-1,
IF(Q1554&lt;1,R1529,
(((Q1554-1)*(Q1530-(Q1530/(Q1554))))+((R1528/R$10)*R1529))/(R1530))))</f>
        <v>0</v>
      </c>
      <c r="S1554" s="1423">
        <f t="shared" ref="S1554" ca="1" si="2287">IF(AND(R1554&lt;1,S1528=0),0,
IF(S1528=0,R1554-1,
IF(R1554&lt;1,S1529,
(((R1554-1)*(R1530-(R1530/(R1554))))+((S1528/S$10)*S1529))/(S1530))))</f>
        <v>0</v>
      </c>
      <c r="T1554" s="1423">
        <f t="shared" ref="T1554" ca="1" si="2288">IF(AND(S1554&lt;1,T1528=0),0,
IF(T1528=0,S1554-1,
IF(S1554&lt;1,T1529,
(((S1554-1)*(S1530-(S1530/(S1554))))+((T1528/T$10)*T1529))/(T1530))))</f>
        <v>0</v>
      </c>
      <c r="U1554" s="1423">
        <f t="shared" ref="U1554" ca="1" si="2289">IF(AND(T1554&lt;1,U1528=0),0,
IF(U1528=0,T1554-1,
IF(T1554&lt;1,U1529,
(((T1554-1)*(T1530-(T1530/(T1554))))+((U1528/U$10)*U1529))/(U1530))))</f>
        <v>0</v>
      </c>
      <c r="V1554" s="1423">
        <f t="shared" ref="V1554" ca="1" si="2290">IF(AND(U1554&lt;1,V1528=0),0,
IF(V1528=0,U1554-1,
IF(U1554&lt;1,V1529,
(((U1554-1)*(U1530-(U1530/(U1554))))+((V1528/V$10)*V1529))/(V1530))))</f>
        <v>0</v>
      </c>
      <c r="W1554" s="1423">
        <f t="shared" ref="W1554" ca="1" si="2291">IF(AND(V1554&lt;1,W1528=0),0,
IF(W1528=0,V1554-1,
IF(V1554&lt;1,W1529,
(((V1554-1)*(V1530-(V1530/(V1554))))+((W1528/W$10)*W1529))/(W1530))))</f>
        <v>0</v>
      </c>
      <c r="X1554" s="152"/>
      <c r="Y1554" s="152"/>
      <c r="Z1554" s="152"/>
      <c r="AA1554" s="152"/>
      <c r="AB1554" s="152"/>
    </row>
    <row r="1555" spans="1:28" hidden="1" outlineLevel="1">
      <c r="A1555" s="152"/>
      <c r="B1555" s="190" t="s">
        <v>122</v>
      </c>
      <c r="C1555" s="1423">
        <f ca="1">C1527</f>
        <v>0</v>
      </c>
      <c r="D1555" s="1423">
        <f t="shared" ref="D1555" ca="1" si="2292">IF(C1555="n/a","n/a",MAX(0,C1555-1))</f>
        <v>0</v>
      </c>
      <c r="E1555" s="1423">
        <f t="shared" ref="E1555:E1556" ca="1" si="2293">IF(D1555="n/a","n/a",MAX(0,D1555-1))</f>
        <v>0</v>
      </c>
      <c r="F1555" s="1423">
        <f t="shared" ref="F1555:F1557" ca="1" si="2294">IF(E1555="n/a","n/a",MAX(0,E1555-1))</f>
        <v>0</v>
      </c>
      <c r="G1555" s="1423">
        <f t="shared" ref="G1555:G1558" ca="1" si="2295">IF(F1555="n/a","n/a",MAX(0,F1555-1))</f>
        <v>0</v>
      </c>
      <c r="H1555" s="1423">
        <f t="shared" ref="H1555:H1559" ca="1" si="2296">IF(G1555="n/a","n/a",MAX(0,G1555-1))</f>
        <v>0</v>
      </c>
      <c r="I1555" s="1423">
        <f t="shared" ref="I1555:I1560" ca="1" si="2297">IF(H1555="n/a","n/a",MAX(0,H1555-1))</f>
        <v>0</v>
      </c>
      <c r="J1555" s="1423">
        <f t="shared" ref="J1555:J1561" ca="1" si="2298">IF(I1555="n/a","n/a",MAX(0,I1555-1))</f>
        <v>0</v>
      </c>
      <c r="K1555" s="1423">
        <f t="shared" ref="K1555:K1562" ca="1" si="2299">IF(J1555="n/a","n/a",MAX(0,J1555-1))</f>
        <v>0</v>
      </c>
      <c r="L1555" s="1423">
        <f t="shared" ref="L1555:L1563" ca="1" si="2300">IF(K1555="n/a","n/a",MAX(0,K1555-1))</f>
        <v>0</v>
      </c>
      <c r="M1555" s="1423">
        <f t="shared" ref="M1555:M1564" ca="1" si="2301">IF(L1555="n/a","n/a",MAX(0,L1555-1))</f>
        <v>0</v>
      </c>
      <c r="N1555" s="1423">
        <f t="shared" ref="N1555:N1565" ca="1" si="2302">IF(M1555="n/a","n/a",MAX(0,M1555-1))</f>
        <v>0</v>
      </c>
      <c r="O1555" s="1423">
        <f t="shared" ref="O1555:O1566" ca="1" si="2303">IF(N1555="n/a","n/a",MAX(0,N1555-1))</f>
        <v>0</v>
      </c>
      <c r="P1555" s="1423">
        <f t="shared" ref="P1555:P1567" ca="1" si="2304">IF(O1555="n/a","n/a",MAX(0,O1555-1))</f>
        <v>0</v>
      </c>
      <c r="Q1555" s="1423">
        <f t="shared" ref="Q1555:Q1568" ca="1" si="2305">IF(P1555="n/a","n/a",MAX(0,P1555-1))</f>
        <v>0</v>
      </c>
      <c r="R1555" s="1423">
        <f t="shared" ref="R1555:R1569" ca="1" si="2306">IF(Q1555="n/a","n/a",MAX(0,Q1555-1))</f>
        <v>0</v>
      </c>
      <c r="S1555" s="1423">
        <f t="shared" ref="S1555:S1570" ca="1" si="2307">IF(R1555="n/a","n/a",MAX(0,R1555-1))</f>
        <v>0</v>
      </c>
      <c r="T1555" s="1423">
        <f t="shared" ref="T1555:T1571" ca="1" si="2308">IF(S1555="n/a","n/a",MAX(0,S1555-1))</f>
        <v>0</v>
      </c>
      <c r="U1555" s="1423">
        <f t="shared" ref="U1555:U1572" ca="1" si="2309">IF(T1555="n/a","n/a",MAX(0,T1555-1))</f>
        <v>0</v>
      </c>
      <c r="V1555" s="1423">
        <f t="shared" ref="V1555:V1573" ca="1" si="2310">IF(U1555="n/a","n/a",MAX(0,U1555-1))</f>
        <v>0</v>
      </c>
      <c r="W1555" s="1423">
        <f t="shared" ref="W1555:W1573" ca="1" si="2311">IF(V1555="n/a","n/a",MAX(0,V1555-1))</f>
        <v>0</v>
      </c>
      <c r="X1555" s="152"/>
      <c r="Y1555" s="152"/>
      <c r="Z1555" s="152"/>
      <c r="AA1555" s="152"/>
      <c r="AB1555" s="152"/>
    </row>
    <row r="1556" spans="1:28" hidden="1" outlineLevel="1">
      <c r="A1556" s="152"/>
      <c r="B1556" s="190" t="str">
        <f t="shared" ref="B1556:B1575" ca="1" si="2312">"RL Capex "&amp;OFFSET($C$6,0,A1532)</f>
        <v>RL Capex 2016-17</v>
      </c>
      <c r="C1556" s="1424"/>
      <c r="D1556" s="1428">
        <f>D1527</f>
        <v>0</v>
      </c>
      <c r="E1556" s="1423">
        <f t="shared" si="2293"/>
        <v>0</v>
      </c>
      <c r="F1556" s="1423">
        <f t="shared" si="2294"/>
        <v>0</v>
      </c>
      <c r="G1556" s="1423">
        <f t="shared" si="2295"/>
        <v>0</v>
      </c>
      <c r="H1556" s="1423">
        <f t="shared" si="2296"/>
        <v>0</v>
      </c>
      <c r="I1556" s="1423">
        <f t="shared" si="2297"/>
        <v>0</v>
      </c>
      <c r="J1556" s="1423">
        <f t="shared" si="2298"/>
        <v>0</v>
      </c>
      <c r="K1556" s="1423">
        <f t="shared" si="2299"/>
        <v>0</v>
      </c>
      <c r="L1556" s="1423">
        <f t="shared" si="2300"/>
        <v>0</v>
      </c>
      <c r="M1556" s="1423">
        <f t="shared" si="2301"/>
        <v>0</v>
      </c>
      <c r="N1556" s="1423">
        <f t="shared" si="2302"/>
        <v>0</v>
      </c>
      <c r="O1556" s="1423">
        <f t="shared" si="2303"/>
        <v>0</v>
      </c>
      <c r="P1556" s="1423">
        <f t="shared" si="2304"/>
        <v>0</v>
      </c>
      <c r="Q1556" s="1423">
        <f t="shared" si="2305"/>
        <v>0</v>
      </c>
      <c r="R1556" s="1423">
        <f t="shared" si="2306"/>
        <v>0</v>
      </c>
      <c r="S1556" s="1423">
        <f t="shared" si="2307"/>
        <v>0</v>
      </c>
      <c r="T1556" s="1423">
        <f t="shared" si="2308"/>
        <v>0</v>
      </c>
      <c r="U1556" s="1423">
        <f t="shared" si="2309"/>
        <v>0</v>
      </c>
      <c r="V1556" s="1423">
        <f t="shared" si="2310"/>
        <v>0</v>
      </c>
      <c r="W1556" s="1423">
        <f t="shared" si="2311"/>
        <v>0</v>
      </c>
      <c r="X1556" s="152"/>
      <c r="Y1556" s="152"/>
      <c r="Z1556" s="152"/>
      <c r="AA1556" s="152"/>
      <c r="AB1556" s="152"/>
    </row>
    <row r="1557" spans="1:28" hidden="1" outlineLevel="1">
      <c r="A1557" s="152"/>
      <c r="B1557" s="190" t="str">
        <f t="shared" ca="1" si="2312"/>
        <v>RL Capex 2017-18</v>
      </c>
      <c r="C1557" s="1429"/>
      <c r="D1557" s="1424"/>
      <c r="E1557" s="1428">
        <f>E1527</f>
        <v>0</v>
      </c>
      <c r="F1557" s="1423">
        <f t="shared" si="2294"/>
        <v>0</v>
      </c>
      <c r="G1557" s="1423">
        <f t="shared" si="2295"/>
        <v>0</v>
      </c>
      <c r="H1557" s="1423">
        <f t="shared" si="2296"/>
        <v>0</v>
      </c>
      <c r="I1557" s="1423">
        <f t="shared" si="2297"/>
        <v>0</v>
      </c>
      <c r="J1557" s="1423">
        <f t="shared" si="2298"/>
        <v>0</v>
      </c>
      <c r="K1557" s="1423">
        <f t="shared" si="2299"/>
        <v>0</v>
      </c>
      <c r="L1557" s="1423">
        <f t="shared" si="2300"/>
        <v>0</v>
      </c>
      <c r="M1557" s="1423">
        <f t="shared" si="2301"/>
        <v>0</v>
      </c>
      <c r="N1557" s="1423">
        <f t="shared" si="2302"/>
        <v>0</v>
      </c>
      <c r="O1557" s="1423">
        <f t="shared" si="2303"/>
        <v>0</v>
      </c>
      <c r="P1557" s="1423">
        <f t="shared" si="2304"/>
        <v>0</v>
      </c>
      <c r="Q1557" s="1423">
        <f t="shared" si="2305"/>
        <v>0</v>
      </c>
      <c r="R1557" s="1423">
        <f t="shared" si="2306"/>
        <v>0</v>
      </c>
      <c r="S1557" s="1423">
        <f t="shared" si="2307"/>
        <v>0</v>
      </c>
      <c r="T1557" s="1423">
        <f t="shared" si="2308"/>
        <v>0</v>
      </c>
      <c r="U1557" s="1423">
        <f t="shared" si="2309"/>
        <v>0</v>
      </c>
      <c r="V1557" s="1423">
        <f t="shared" si="2310"/>
        <v>0</v>
      </c>
      <c r="W1557" s="1423">
        <f t="shared" si="2311"/>
        <v>0</v>
      </c>
      <c r="X1557" s="152"/>
      <c r="Y1557" s="152"/>
      <c r="Z1557" s="152"/>
      <c r="AA1557" s="152"/>
      <c r="AB1557" s="152"/>
    </row>
    <row r="1558" spans="1:28" hidden="1" outlineLevel="1">
      <c r="A1558" s="152"/>
      <c r="B1558" s="190" t="str">
        <f t="shared" ca="1" si="2312"/>
        <v>RL Capex 2018-19</v>
      </c>
      <c r="C1558" s="1429"/>
      <c r="D1558" s="1429"/>
      <c r="E1558" s="1424"/>
      <c r="F1558" s="1428">
        <f>F1527</f>
        <v>0</v>
      </c>
      <c r="G1558" s="1423">
        <f t="shared" si="2295"/>
        <v>0</v>
      </c>
      <c r="H1558" s="1423">
        <f t="shared" si="2296"/>
        <v>0</v>
      </c>
      <c r="I1558" s="1423">
        <f t="shared" si="2297"/>
        <v>0</v>
      </c>
      <c r="J1558" s="1423">
        <f t="shared" si="2298"/>
        <v>0</v>
      </c>
      <c r="K1558" s="1423">
        <f t="shared" si="2299"/>
        <v>0</v>
      </c>
      <c r="L1558" s="1423">
        <f t="shared" si="2300"/>
        <v>0</v>
      </c>
      <c r="M1558" s="1423">
        <f t="shared" si="2301"/>
        <v>0</v>
      </c>
      <c r="N1558" s="1423">
        <f t="shared" si="2302"/>
        <v>0</v>
      </c>
      <c r="O1558" s="1423">
        <f t="shared" si="2303"/>
        <v>0</v>
      </c>
      <c r="P1558" s="1423">
        <f t="shared" si="2304"/>
        <v>0</v>
      </c>
      <c r="Q1558" s="1423">
        <f t="shared" si="2305"/>
        <v>0</v>
      </c>
      <c r="R1558" s="1423">
        <f t="shared" si="2306"/>
        <v>0</v>
      </c>
      <c r="S1558" s="1423">
        <f t="shared" si="2307"/>
        <v>0</v>
      </c>
      <c r="T1558" s="1423">
        <f t="shared" si="2308"/>
        <v>0</v>
      </c>
      <c r="U1558" s="1423">
        <f t="shared" si="2309"/>
        <v>0</v>
      </c>
      <c r="V1558" s="1423">
        <f t="shared" si="2310"/>
        <v>0</v>
      </c>
      <c r="W1558" s="1423">
        <f t="shared" si="2311"/>
        <v>0</v>
      </c>
      <c r="X1558" s="152"/>
      <c r="Y1558" s="152"/>
      <c r="Z1558" s="152"/>
      <c r="AA1558" s="152"/>
      <c r="AB1558" s="152"/>
    </row>
    <row r="1559" spans="1:28" hidden="1" outlineLevel="1">
      <c r="A1559" s="152"/>
      <c r="B1559" s="190" t="str">
        <f t="shared" ca="1" si="2312"/>
        <v>RL Capex 2019-20</v>
      </c>
      <c r="C1559" s="1429"/>
      <c r="D1559" s="1429"/>
      <c r="E1559" s="1429"/>
      <c r="F1559" s="1424"/>
      <c r="G1559" s="1428">
        <f>G1527</f>
        <v>0</v>
      </c>
      <c r="H1559" s="1423">
        <f t="shared" si="2296"/>
        <v>0</v>
      </c>
      <c r="I1559" s="1423">
        <f t="shared" si="2297"/>
        <v>0</v>
      </c>
      <c r="J1559" s="1423">
        <f t="shared" si="2298"/>
        <v>0</v>
      </c>
      <c r="K1559" s="1423">
        <f t="shared" si="2299"/>
        <v>0</v>
      </c>
      <c r="L1559" s="1423">
        <f t="shared" si="2300"/>
        <v>0</v>
      </c>
      <c r="M1559" s="1423">
        <f t="shared" si="2301"/>
        <v>0</v>
      </c>
      <c r="N1559" s="1423">
        <f t="shared" si="2302"/>
        <v>0</v>
      </c>
      <c r="O1559" s="1423">
        <f t="shared" si="2303"/>
        <v>0</v>
      </c>
      <c r="P1559" s="1423">
        <f t="shared" si="2304"/>
        <v>0</v>
      </c>
      <c r="Q1559" s="1423">
        <f t="shared" si="2305"/>
        <v>0</v>
      </c>
      <c r="R1559" s="1423">
        <f t="shared" si="2306"/>
        <v>0</v>
      </c>
      <c r="S1559" s="1423">
        <f t="shared" si="2307"/>
        <v>0</v>
      </c>
      <c r="T1559" s="1423">
        <f t="shared" si="2308"/>
        <v>0</v>
      </c>
      <c r="U1559" s="1423">
        <f t="shared" si="2309"/>
        <v>0</v>
      </c>
      <c r="V1559" s="1423">
        <f t="shared" si="2310"/>
        <v>0</v>
      </c>
      <c r="W1559" s="1423">
        <f t="shared" si="2311"/>
        <v>0</v>
      </c>
      <c r="X1559" s="152"/>
      <c r="Y1559" s="152"/>
      <c r="Z1559" s="152"/>
      <c r="AA1559" s="152"/>
      <c r="AB1559" s="152"/>
    </row>
    <row r="1560" spans="1:28" hidden="1" outlineLevel="1">
      <c r="A1560" s="152"/>
      <c r="B1560" s="190" t="str">
        <f t="shared" ca="1" si="2312"/>
        <v>RL Capex 2020-21</v>
      </c>
      <c r="C1560" s="1429"/>
      <c r="D1560" s="1429"/>
      <c r="E1560" s="1429"/>
      <c r="F1560" s="1429"/>
      <c r="G1560" s="1424"/>
      <c r="H1560" s="1428">
        <f>H1527</f>
        <v>0</v>
      </c>
      <c r="I1560" s="1423">
        <f t="shared" si="2297"/>
        <v>0</v>
      </c>
      <c r="J1560" s="1423">
        <f t="shared" si="2298"/>
        <v>0</v>
      </c>
      <c r="K1560" s="1423">
        <f t="shared" si="2299"/>
        <v>0</v>
      </c>
      <c r="L1560" s="1423">
        <f t="shared" si="2300"/>
        <v>0</v>
      </c>
      <c r="M1560" s="1423">
        <f t="shared" si="2301"/>
        <v>0</v>
      </c>
      <c r="N1560" s="1423">
        <f t="shared" si="2302"/>
        <v>0</v>
      </c>
      <c r="O1560" s="1423">
        <f t="shared" si="2303"/>
        <v>0</v>
      </c>
      <c r="P1560" s="1423">
        <f t="shared" si="2304"/>
        <v>0</v>
      </c>
      <c r="Q1560" s="1423">
        <f t="shared" si="2305"/>
        <v>0</v>
      </c>
      <c r="R1560" s="1423">
        <f t="shared" si="2306"/>
        <v>0</v>
      </c>
      <c r="S1560" s="1423">
        <f t="shared" si="2307"/>
        <v>0</v>
      </c>
      <c r="T1560" s="1423">
        <f t="shared" si="2308"/>
        <v>0</v>
      </c>
      <c r="U1560" s="1423">
        <f t="shared" si="2309"/>
        <v>0</v>
      </c>
      <c r="V1560" s="1423">
        <f t="shared" si="2310"/>
        <v>0</v>
      </c>
      <c r="W1560" s="1423">
        <f t="shared" si="2311"/>
        <v>0</v>
      </c>
      <c r="X1560" s="152"/>
      <c r="Y1560" s="152"/>
      <c r="Z1560" s="152"/>
      <c r="AA1560" s="152"/>
      <c r="AB1560" s="152"/>
    </row>
    <row r="1561" spans="1:28" hidden="1" outlineLevel="1">
      <c r="A1561" s="152"/>
      <c r="B1561" s="190" t="str">
        <f t="shared" ca="1" si="2312"/>
        <v>RL Capex 2021-22</v>
      </c>
      <c r="C1561" s="1429"/>
      <c r="D1561" s="1429"/>
      <c r="E1561" s="1429"/>
      <c r="F1561" s="1429"/>
      <c r="G1561" s="1429"/>
      <c r="H1561" s="1424"/>
      <c r="I1561" s="1428">
        <f>I1527</f>
        <v>0</v>
      </c>
      <c r="J1561" s="1423">
        <f t="shared" si="2298"/>
        <v>0</v>
      </c>
      <c r="K1561" s="1423">
        <f t="shared" si="2299"/>
        <v>0</v>
      </c>
      <c r="L1561" s="1423">
        <f t="shared" si="2300"/>
        <v>0</v>
      </c>
      <c r="M1561" s="1423">
        <f t="shared" si="2301"/>
        <v>0</v>
      </c>
      <c r="N1561" s="1423">
        <f t="shared" si="2302"/>
        <v>0</v>
      </c>
      <c r="O1561" s="1423">
        <f t="shared" si="2303"/>
        <v>0</v>
      </c>
      <c r="P1561" s="1423">
        <f t="shared" si="2304"/>
        <v>0</v>
      </c>
      <c r="Q1561" s="1423">
        <f t="shared" si="2305"/>
        <v>0</v>
      </c>
      <c r="R1561" s="1423">
        <f t="shared" si="2306"/>
        <v>0</v>
      </c>
      <c r="S1561" s="1423">
        <f t="shared" si="2307"/>
        <v>0</v>
      </c>
      <c r="T1561" s="1423">
        <f t="shared" si="2308"/>
        <v>0</v>
      </c>
      <c r="U1561" s="1423">
        <f t="shared" si="2309"/>
        <v>0</v>
      </c>
      <c r="V1561" s="1423">
        <f t="shared" si="2310"/>
        <v>0</v>
      </c>
      <c r="W1561" s="1423">
        <f t="shared" si="2311"/>
        <v>0</v>
      </c>
      <c r="X1561" s="152"/>
      <c r="Y1561" s="152"/>
      <c r="Z1561" s="152"/>
      <c r="AA1561" s="152"/>
      <c r="AB1561" s="152"/>
    </row>
    <row r="1562" spans="1:28" hidden="1" outlineLevel="1">
      <c r="A1562" s="152"/>
      <c r="B1562" s="190" t="str">
        <f t="shared" ca="1" si="2312"/>
        <v>RL Capex 2022-23</v>
      </c>
      <c r="C1562" s="1429"/>
      <c r="D1562" s="1429"/>
      <c r="E1562" s="1429"/>
      <c r="F1562" s="1429"/>
      <c r="G1562" s="1429"/>
      <c r="H1562" s="1429"/>
      <c r="I1562" s="1424"/>
      <c r="J1562" s="1428">
        <f>J1527</f>
        <v>0</v>
      </c>
      <c r="K1562" s="1423">
        <f t="shared" si="2299"/>
        <v>0</v>
      </c>
      <c r="L1562" s="1423">
        <f t="shared" si="2300"/>
        <v>0</v>
      </c>
      <c r="M1562" s="1423">
        <f t="shared" si="2301"/>
        <v>0</v>
      </c>
      <c r="N1562" s="1423">
        <f t="shared" si="2302"/>
        <v>0</v>
      </c>
      <c r="O1562" s="1423">
        <f t="shared" si="2303"/>
        <v>0</v>
      </c>
      <c r="P1562" s="1423">
        <f t="shared" si="2304"/>
        <v>0</v>
      </c>
      <c r="Q1562" s="1423">
        <f t="shared" si="2305"/>
        <v>0</v>
      </c>
      <c r="R1562" s="1423">
        <f t="shared" si="2306"/>
        <v>0</v>
      </c>
      <c r="S1562" s="1423">
        <f t="shared" si="2307"/>
        <v>0</v>
      </c>
      <c r="T1562" s="1423">
        <f t="shared" si="2308"/>
        <v>0</v>
      </c>
      <c r="U1562" s="1423">
        <f t="shared" si="2309"/>
        <v>0</v>
      </c>
      <c r="V1562" s="1423">
        <f t="shared" si="2310"/>
        <v>0</v>
      </c>
      <c r="W1562" s="1423">
        <f t="shared" si="2311"/>
        <v>0</v>
      </c>
      <c r="X1562" s="152"/>
      <c r="Y1562" s="152"/>
      <c r="Z1562" s="152"/>
      <c r="AA1562" s="152"/>
      <c r="AB1562" s="152"/>
    </row>
    <row r="1563" spans="1:28" hidden="1" outlineLevel="1">
      <c r="A1563" s="152"/>
      <c r="B1563" s="190" t="str">
        <f t="shared" ca="1" si="2312"/>
        <v>RL Capex 2023-24</v>
      </c>
      <c r="C1563" s="1429"/>
      <c r="D1563" s="1429"/>
      <c r="E1563" s="1429"/>
      <c r="F1563" s="1429"/>
      <c r="G1563" s="1429"/>
      <c r="H1563" s="1429"/>
      <c r="I1563" s="1429"/>
      <c r="J1563" s="1424"/>
      <c r="K1563" s="1428">
        <f>K1527</f>
        <v>0</v>
      </c>
      <c r="L1563" s="1423">
        <f t="shared" si="2300"/>
        <v>0</v>
      </c>
      <c r="M1563" s="1423">
        <f t="shared" si="2301"/>
        <v>0</v>
      </c>
      <c r="N1563" s="1423">
        <f t="shared" si="2302"/>
        <v>0</v>
      </c>
      <c r="O1563" s="1423">
        <f t="shared" si="2303"/>
        <v>0</v>
      </c>
      <c r="P1563" s="1423">
        <f t="shared" si="2304"/>
        <v>0</v>
      </c>
      <c r="Q1563" s="1423">
        <f t="shared" si="2305"/>
        <v>0</v>
      </c>
      <c r="R1563" s="1423">
        <f t="shared" si="2306"/>
        <v>0</v>
      </c>
      <c r="S1563" s="1423">
        <f t="shared" si="2307"/>
        <v>0</v>
      </c>
      <c r="T1563" s="1423">
        <f t="shared" si="2308"/>
        <v>0</v>
      </c>
      <c r="U1563" s="1423">
        <f t="shared" si="2309"/>
        <v>0</v>
      </c>
      <c r="V1563" s="1423">
        <f t="shared" si="2310"/>
        <v>0</v>
      </c>
      <c r="W1563" s="1423">
        <f t="shared" si="2311"/>
        <v>0</v>
      </c>
      <c r="X1563" s="152"/>
      <c r="Y1563" s="152"/>
      <c r="Z1563" s="152"/>
      <c r="AA1563" s="152"/>
      <c r="AB1563" s="152"/>
    </row>
    <row r="1564" spans="1:28" hidden="1" outlineLevel="1">
      <c r="A1564" s="152"/>
      <c r="B1564" s="190" t="str">
        <f t="shared" ca="1" si="2312"/>
        <v>RL Capex 2024-25</v>
      </c>
      <c r="C1564" s="1429"/>
      <c r="D1564" s="1429"/>
      <c r="E1564" s="1429"/>
      <c r="F1564" s="1429"/>
      <c r="G1564" s="1429"/>
      <c r="H1564" s="1429"/>
      <c r="I1564" s="1429"/>
      <c r="J1564" s="1429"/>
      <c r="K1564" s="1424"/>
      <c r="L1564" s="1428">
        <f>L1527</f>
        <v>0</v>
      </c>
      <c r="M1564" s="1423">
        <f t="shared" si="2301"/>
        <v>0</v>
      </c>
      <c r="N1564" s="1423">
        <f t="shared" si="2302"/>
        <v>0</v>
      </c>
      <c r="O1564" s="1423">
        <f t="shared" si="2303"/>
        <v>0</v>
      </c>
      <c r="P1564" s="1423">
        <f t="shared" si="2304"/>
        <v>0</v>
      </c>
      <c r="Q1564" s="1423">
        <f t="shared" si="2305"/>
        <v>0</v>
      </c>
      <c r="R1564" s="1423">
        <f t="shared" si="2306"/>
        <v>0</v>
      </c>
      <c r="S1564" s="1423">
        <f t="shared" si="2307"/>
        <v>0</v>
      </c>
      <c r="T1564" s="1423">
        <f t="shared" si="2308"/>
        <v>0</v>
      </c>
      <c r="U1564" s="1423">
        <f t="shared" si="2309"/>
        <v>0</v>
      </c>
      <c r="V1564" s="1423">
        <f t="shared" si="2310"/>
        <v>0</v>
      </c>
      <c r="W1564" s="1423">
        <f t="shared" si="2311"/>
        <v>0</v>
      </c>
      <c r="X1564" s="152"/>
      <c r="Y1564" s="152"/>
      <c r="Z1564" s="152"/>
      <c r="AA1564" s="152"/>
      <c r="AB1564" s="152"/>
    </row>
    <row r="1565" spans="1:28" hidden="1" outlineLevel="1">
      <c r="A1565" s="152"/>
      <c r="B1565" s="190" t="str">
        <f t="shared" ca="1" si="2312"/>
        <v>RL Capex 2025-26</v>
      </c>
      <c r="C1565" s="1429"/>
      <c r="D1565" s="1429"/>
      <c r="E1565" s="1429"/>
      <c r="F1565" s="1429"/>
      <c r="G1565" s="1429"/>
      <c r="H1565" s="1429"/>
      <c r="I1565" s="1429"/>
      <c r="J1565" s="1429"/>
      <c r="K1565" s="1429"/>
      <c r="L1565" s="1424"/>
      <c r="M1565" s="1428">
        <f>M1527</f>
        <v>0</v>
      </c>
      <c r="N1565" s="1423">
        <f t="shared" si="2302"/>
        <v>0</v>
      </c>
      <c r="O1565" s="1423">
        <f t="shared" si="2303"/>
        <v>0</v>
      </c>
      <c r="P1565" s="1423">
        <f t="shared" si="2304"/>
        <v>0</v>
      </c>
      <c r="Q1565" s="1423">
        <f t="shared" si="2305"/>
        <v>0</v>
      </c>
      <c r="R1565" s="1423">
        <f t="shared" si="2306"/>
        <v>0</v>
      </c>
      <c r="S1565" s="1423">
        <f t="shared" si="2307"/>
        <v>0</v>
      </c>
      <c r="T1565" s="1423">
        <f t="shared" si="2308"/>
        <v>0</v>
      </c>
      <c r="U1565" s="1423">
        <f t="shared" si="2309"/>
        <v>0</v>
      </c>
      <c r="V1565" s="1423">
        <f t="shared" si="2310"/>
        <v>0</v>
      </c>
      <c r="W1565" s="1423">
        <f t="shared" si="2311"/>
        <v>0</v>
      </c>
      <c r="X1565" s="152"/>
      <c r="Y1565" s="152"/>
      <c r="Z1565" s="152"/>
      <c r="AA1565" s="152"/>
      <c r="AB1565" s="152"/>
    </row>
    <row r="1566" spans="1:28" hidden="1" outlineLevel="1">
      <c r="A1566" s="152"/>
      <c r="B1566" s="190" t="str">
        <f t="shared" ca="1" si="2312"/>
        <v>RL Capex 2026-27</v>
      </c>
      <c r="C1566" s="1429"/>
      <c r="D1566" s="1429"/>
      <c r="E1566" s="1429"/>
      <c r="F1566" s="1429"/>
      <c r="G1566" s="1429"/>
      <c r="H1566" s="1429"/>
      <c r="I1566" s="1429"/>
      <c r="J1566" s="1429"/>
      <c r="K1566" s="1429"/>
      <c r="L1566" s="1429"/>
      <c r="M1566" s="1424"/>
      <c r="N1566" s="1428">
        <f>N1527</f>
        <v>0</v>
      </c>
      <c r="O1566" s="1423">
        <f t="shared" si="2303"/>
        <v>0</v>
      </c>
      <c r="P1566" s="1423">
        <f t="shared" si="2304"/>
        <v>0</v>
      </c>
      <c r="Q1566" s="1423">
        <f t="shared" si="2305"/>
        <v>0</v>
      </c>
      <c r="R1566" s="1423">
        <f t="shared" si="2306"/>
        <v>0</v>
      </c>
      <c r="S1566" s="1423">
        <f t="shared" si="2307"/>
        <v>0</v>
      </c>
      <c r="T1566" s="1423">
        <f t="shared" si="2308"/>
        <v>0</v>
      </c>
      <c r="U1566" s="1423">
        <f t="shared" si="2309"/>
        <v>0</v>
      </c>
      <c r="V1566" s="1423">
        <f t="shared" si="2310"/>
        <v>0</v>
      </c>
      <c r="W1566" s="1423">
        <f t="shared" si="2311"/>
        <v>0</v>
      </c>
      <c r="X1566" s="152"/>
      <c r="Y1566" s="152"/>
      <c r="Z1566" s="152"/>
      <c r="AA1566" s="152"/>
      <c r="AB1566" s="152"/>
    </row>
    <row r="1567" spans="1:28" hidden="1" outlineLevel="1">
      <c r="A1567" s="152"/>
      <c r="B1567" s="190" t="str">
        <f t="shared" ca="1" si="2312"/>
        <v>RL Capex 2027-28</v>
      </c>
      <c r="C1567" s="1429"/>
      <c r="D1567" s="1429"/>
      <c r="E1567" s="1429"/>
      <c r="F1567" s="1429"/>
      <c r="G1567" s="1429"/>
      <c r="H1567" s="1429"/>
      <c r="I1567" s="1429"/>
      <c r="J1567" s="1429"/>
      <c r="K1567" s="1429"/>
      <c r="L1567" s="1429"/>
      <c r="M1567" s="1429"/>
      <c r="N1567" s="1424"/>
      <c r="O1567" s="1428">
        <f>O1527</f>
        <v>0</v>
      </c>
      <c r="P1567" s="1423">
        <f t="shared" si="2304"/>
        <v>0</v>
      </c>
      <c r="Q1567" s="1423">
        <f t="shared" si="2305"/>
        <v>0</v>
      </c>
      <c r="R1567" s="1423">
        <f t="shared" si="2306"/>
        <v>0</v>
      </c>
      <c r="S1567" s="1423">
        <f t="shared" si="2307"/>
        <v>0</v>
      </c>
      <c r="T1567" s="1423">
        <f t="shared" si="2308"/>
        <v>0</v>
      </c>
      <c r="U1567" s="1423">
        <f t="shared" si="2309"/>
        <v>0</v>
      </c>
      <c r="V1567" s="1423">
        <f t="shared" si="2310"/>
        <v>0</v>
      </c>
      <c r="W1567" s="1423">
        <f t="shared" si="2311"/>
        <v>0</v>
      </c>
      <c r="X1567" s="152"/>
      <c r="Y1567" s="152"/>
      <c r="Z1567" s="152"/>
      <c r="AA1567" s="152"/>
      <c r="AB1567" s="152"/>
    </row>
    <row r="1568" spans="1:28" hidden="1" outlineLevel="1">
      <c r="A1568" s="152"/>
      <c r="B1568" s="190" t="str">
        <f t="shared" ca="1" si="2312"/>
        <v>RL Capex 2028-29</v>
      </c>
      <c r="C1568" s="1429"/>
      <c r="D1568" s="1429"/>
      <c r="E1568" s="1429"/>
      <c r="F1568" s="1429"/>
      <c r="G1568" s="1429"/>
      <c r="H1568" s="1429"/>
      <c r="I1568" s="1429"/>
      <c r="J1568" s="1429"/>
      <c r="K1568" s="1429"/>
      <c r="L1568" s="1429"/>
      <c r="M1568" s="1429"/>
      <c r="N1568" s="1429"/>
      <c r="O1568" s="1424"/>
      <c r="P1568" s="1428">
        <f>P1527</f>
        <v>0</v>
      </c>
      <c r="Q1568" s="1423">
        <f t="shared" si="2305"/>
        <v>0</v>
      </c>
      <c r="R1568" s="1423">
        <f t="shared" si="2306"/>
        <v>0</v>
      </c>
      <c r="S1568" s="1423">
        <f t="shared" si="2307"/>
        <v>0</v>
      </c>
      <c r="T1568" s="1423">
        <f t="shared" si="2308"/>
        <v>0</v>
      </c>
      <c r="U1568" s="1423">
        <f t="shared" si="2309"/>
        <v>0</v>
      </c>
      <c r="V1568" s="1423">
        <f t="shared" si="2310"/>
        <v>0</v>
      </c>
      <c r="W1568" s="1423">
        <f t="shared" si="2311"/>
        <v>0</v>
      </c>
      <c r="X1568" s="152"/>
      <c r="Y1568" s="152"/>
      <c r="Z1568" s="152"/>
      <c r="AA1568" s="152"/>
      <c r="AB1568" s="152"/>
    </row>
    <row r="1569" spans="1:28" hidden="1" outlineLevel="1">
      <c r="A1569" s="152"/>
      <c r="B1569" s="190" t="str">
        <f t="shared" ca="1" si="2312"/>
        <v>RL Capex 2029-30</v>
      </c>
      <c r="C1569" s="1429"/>
      <c r="D1569" s="1429"/>
      <c r="E1569" s="1429"/>
      <c r="F1569" s="1429"/>
      <c r="G1569" s="1429"/>
      <c r="H1569" s="1429"/>
      <c r="I1569" s="1429"/>
      <c r="J1569" s="1429"/>
      <c r="K1569" s="1429"/>
      <c r="L1569" s="1429"/>
      <c r="M1569" s="1429"/>
      <c r="N1569" s="1429"/>
      <c r="O1569" s="1429"/>
      <c r="P1569" s="1424"/>
      <c r="Q1569" s="1428">
        <f>Q1527</f>
        <v>0</v>
      </c>
      <c r="R1569" s="1423">
        <f t="shared" si="2306"/>
        <v>0</v>
      </c>
      <c r="S1569" s="1423">
        <f t="shared" si="2307"/>
        <v>0</v>
      </c>
      <c r="T1569" s="1423">
        <f t="shared" si="2308"/>
        <v>0</v>
      </c>
      <c r="U1569" s="1423">
        <f t="shared" si="2309"/>
        <v>0</v>
      </c>
      <c r="V1569" s="1423">
        <f t="shared" si="2310"/>
        <v>0</v>
      </c>
      <c r="W1569" s="1423">
        <f t="shared" si="2311"/>
        <v>0</v>
      </c>
      <c r="X1569" s="152"/>
      <c r="Y1569" s="152"/>
      <c r="Z1569" s="152"/>
      <c r="AA1569" s="152"/>
      <c r="AB1569" s="152"/>
    </row>
    <row r="1570" spans="1:28" hidden="1" outlineLevel="1">
      <c r="A1570" s="152"/>
      <c r="B1570" s="190" t="str">
        <f t="shared" ca="1" si="2312"/>
        <v>RL Capex 2030-31</v>
      </c>
      <c r="C1570" s="1429"/>
      <c r="D1570" s="1429"/>
      <c r="E1570" s="1429"/>
      <c r="F1570" s="1429"/>
      <c r="G1570" s="1429"/>
      <c r="H1570" s="1429"/>
      <c r="I1570" s="1429"/>
      <c r="J1570" s="1429"/>
      <c r="K1570" s="1429"/>
      <c r="L1570" s="1429"/>
      <c r="M1570" s="1429"/>
      <c r="N1570" s="1429"/>
      <c r="O1570" s="1429"/>
      <c r="P1570" s="1429"/>
      <c r="Q1570" s="1424"/>
      <c r="R1570" s="1428">
        <f>R1527</f>
        <v>0</v>
      </c>
      <c r="S1570" s="1423">
        <f t="shared" si="2307"/>
        <v>0</v>
      </c>
      <c r="T1570" s="1423">
        <f t="shared" si="2308"/>
        <v>0</v>
      </c>
      <c r="U1570" s="1423">
        <f t="shared" si="2309"/>
        <v>0</v>
      </c>
      <c r="V1570" s="1423">
        <f t="shared" si="2310"/>
        <v>0</v>
      </c>
      <c r="W1570" s="1423">
        <f t="shared" si="2311"/>
        <v>0</v>
      </c>
      <c r="X1570" s="152"/>
      <c r="Y1570" s="152"/>
      <c r="Z1570" s="152"/>
      <c r="AA1570" s="152"/>
      <c r="AB1570" s="152"/>
    </row>
    <row r="1571" spans="1:28" hidden="1" outlineLevel="1">
      <c r="A1571" s="152"/>
      <c r="B1571" s="190" t="str">
        <f t="shared" ca="1" si="2312"/>
        <v>RL Capex 2031-32</v>
      </c>
      <c r="C1571" s="1429"/>
      <c r="D1571" s="1429"/>
      <c r="E1571" s="1429"/>
      <c r="F1571" s="1429"/>
      <c r="G1571" s="1429"/>
      <c r="H1571" s="1429"/>
      <c r="I1571" s="1429"/>
      <c r="J1571" s="1429"/>
      <c r="K1571" s="1429"/>
      <c r="L1571" s="1429"/>
      <c r="M1571" s="1429"/>
      <c r="N1571" s="1429"/>
      <c r="O1571" s="1429"/>
      <c r="P1571" s="1429"/>
      <c r="Q1571" s="1429"/>
      <c r="R1571" s="1424"/>
      <c r="S1571" s="1428">
        <f>S1527</f>
        <v>0</v>
      </c>
      <c r="T1571" s="1423">
        <f t="shared" si="2308"/>
        <v>0</v>
      </c>
      <c r="U1571" s="1423">
        <f t="shared" si="2309"/>
        <v>0</v>
      </c>
      <c r="V1571" s="1423">
        <f t="shared" si="2310"/>
        <v>0</v>
      </c>
      <c r="W1571" s="1423">
        <f t="shared" si="2311"/>
        <v>0</v>
      </c>
      <c r="X1571" s="152"/>
      <c r="Y1571" s="152"/>
      <c r="Z1571" s="152"/>
      <c r="AA1571" s="152"/>
      <c r="AB1571" s="152"/>
    </row>
    <row r="1572" spans="1:28" hidden="1" outlineLevel="1">
      <c r="A1572" s="152"/>
      <c r="B1572" s="190" t="str">
        <f t="shared" ca="1" si="2312"/>
        <v>RL Capex 2032-33</v>
      </c>
      <c r="C1572" s="1429"/>
      <c r="D1572" s="1429"/>
      <c r="E1572" s="1429"/>
      <c r="F1572" s="1429"/>
      <c r="G1572" s="1429"/>
      <c r="H1572" s="1429"/>
      <c r="I1572" s="1429"/>
      <c r="J1572" s="1429"/>
      <c r="K1572" s="1429"/>
      <c r="L1572" s="1429"/>
      <c r="M1572" s="1429"/>
      <c r="N1572" s="1429"/>
      <c r="O1572" s="1429"/>
      <c r="P1572" s="1429"/>
      <c r="Q1572" s="1429"/>
      <c r="R1572" s="1429"/>
      <c r="S1572" s="1424"/>
      <c r="T1572" s="1428">
        <f>T1527</f>
        <v>0</v>
      </c>
      <c r="U1572" s="1423">
        <f t="shared" si="2309"/>
        <v>0</v>
      </c>
      <c r="V1572" s="1423">
        <f t="shared" si="2310"/>
        <v>0</v>
      </c>
      <c r="W1572" s="1423">
        <f t="shared" si="2311"/>
        <v>0</v>
      </c>
      <c r="X1572" s="152"/>
      <c r="Y1572" s="152"/>
      <c r="Z1572" s="152"/>
      <c r="AA1572" s="152"/>
      <c r="AB1572" s="152"/>
    </row>
    <row r="1573" spans="1:28" hidden="1" outlineLevel="1">
      <c r="A1573" s="152"/>
      <c r="B1573" s="190" t="str">
        <f t="shared" ca="1" si="2312"/>
        <v>RL Capex 2033-34</v>
      </c>
      <c r="C1573" s="1429"/>
      <c r="D1573" s="1429"/>
      <c r="E1573" s="1429"/>
      <c r="F1573" s="1429"/>
      <c r="G1573" s="1429"/>
      <c r="H1573" s="1429"/>
      <c r="I1573" s="1429"/>
      <c r="J1573" s="1429"/>
      <c r="K1573" s="1429"/>
      <c r="L1573" s="1429"/>
      <c r="M1573" s="1429"/>
      <c r="N1573" s="1429"/>
      <c r="O1573" s="1429"/>
      <c r="P1573" s="1429"/>
      <c r="Q1573" s="1429"/>
      <c r="R1573" s="1429"/>
      <c r="S1573" s="1429"/>
      <c r="T1573" s="1424"/>
      <c r="U1573" s="1428">
        <f>U1527</f>
        <v>0</v>
      </c>
      <c r="V1573" s="1423">
        <f t="shared" si="2310"/>
        <v>0</v>
      </c>
      <c r="W1573" s="1423">
        <f t="shared" si="2311"/>
        <v>0</v>
      </c>
      <c r="X1573" s="152"/>
      <c r="Y1573" s="152"/>
      <c r="Z1573" s="152"/>
      <c r="AA1573" s="152"/>
      <c r="AB1573" s="152"/>
    </row>
    <row r="1574" spans="1:28" hidden="1" outlineLevel="1">
      <c r="A1574" s="152"/>
      <c r="B1574" s="190" t="str">
        <f t="shared" ca="1" si="2312"/>
        <v>RL Capex 2034-35</v>
      </c>
      <c r="C1574" s="1429"/>
      <c r="D1574" s="1429"/>
      <c r="E1574" s="1429"/>
      <c r="F1574" s="1429"/>
      <c r="G1574" s="1429"/>
      <c r="H1574" s="1429"/>
      <c r="I1574" s="1429"/>
      <c r="J1574" s="1429"/>
      <c r="K1574" s="1429"/>
      <c r="L1574" s="1429"/>
      <c r="M1574" s="1429"/>
      <c r="N1574" s="1429"/>
      <c r="O1574" s="1429"/>
      <c r="P1574" s="1429"/>
      <c r="Q1574" s="1429"/>
      <c r="R1574" s="1429"/>
      <c r="S1574" s="1429"/>
      <c r="T1574" s="1429"/>
      <c r="U1574" s="1424"/>
      <c r="V1574" s="1428">
        <f>V1527</f>
        <v>0</v>
      </c>
      <c r="W1574" s="1423">
        <f>IF(V1574="n/a","n/a",MAX(0,V1574-1))</f>
        <v>0</v>
      </c>
      <c r="X1574" s="152"/>
      <c r="Y1574" s="152"/>
      <c r="Z1574" s="152"/>
      <c r="AA1574" s="152"/>
      <c r="AB1574" s="152"/>
    </row>
    <row r="1575" spans="1:28" hidden="1" outlineLevel="1">
      <c r="A1575" s="152"/>
      <c r="B1575" s="190" t="str">
        <f t="shared" ca="1" si="2312"/>
        <v>RL Capex 2035-36</v>
      </c>
      <c r="C1575" s="1429"/>
      <c r="D1575" s="1429"/>
      <c r="E1575" s="1429"/>
      <c r="F1575" s="1429"/>
      <c r="G1575" s="1429"/>
      <c r="H1575" s="1429"/>
      <c r="I1575" s="1429"/>
      <c r="J1575" s="1429"/>
      <c r="K1575" s="1429"/>
      <c r="L1575" s="1429"/>
      <c r="M1575" s="1429"/>
      <c r="N1575" s="1429"/>
      <c r="O1575" s="1429"/>
      <c r="P1575" s="1429"/>
      <c r="Q1575" s="1429"/>
      <c r="R1575" s="1429"/>
      <c r="S1575" s="1429"/>
      <c r="T1575" s="1429"/>
      <c r="U1575" s="1429"/>
      <c r="V1575" s="1424"/>
      <c r="W1575" s="1423">
        <f>W1527</f>
        <v>0</v>
      </c>
      <c r="X1575" s="152"/>
      <c r="Y1575" s="152"/>
      <c r="Z1575" s="152"/>
      <c r="AA1575" s="152"/>
      <c r="AB1575" s="152"/>
    </row>
    <row r="1576" spans="1:28" hidden="1" outlineLevel="1">
      <c r="A1576" s="152"/>
      <c r="B1576" s="200"/>
      <c r="C1576" s="1423"/>
      <c r="D1576" s="1423"/>
      <c r="E1576" s="1423"/>
      <c r="F1576" s="1423"/>
      <c r="G1576" s="1423"/>
      <c r="H1576" s="1423"/>
      <c r="I1576" s="1423"/>
      <c r="J1576" s="1423"/>
      <c r="K1576" s="1423"/>
      <c r="L1576" s="1423"/>
      <c r="M1576" s="1423"/>
      <c r="N1576" s="1423"/>
      <c r="O1576" s="1423"/>
      <c r="P1576" s="1423"/>
      <c r="Q1576" s="1423"/>
      <c r="R1576" s="1423"/>
      <c r="S1576" s="1423"/>
      <c r="T1576" s="1423"/>
      <c r="U1576" s="1423"/>
      <c r="V1576" s="1423"/>
      <c r="W1576" s="1423"/>
      <c r="X1576" s="152"/>
      <c r="Y1576" s="152"/>
      <c r="Z1576" s="152"/>
      <c r="AA1576" s="152"/>
      <c r="AB1576" s="152"/>
    </row>
    <row r="1577" spans="1:28" collapsed="1">
      <c r="A1577" s="194"/>
      <c r="B1577" s="204" t="s">
        <v>123</v>
      </c>
      <c r="C1577" s="1430">
        <f ca="1">(IF(OR($C1527&lt;&gt;"n/a",C1527&lt;&gt;"n/a"),IF(SUM(C1530:C1552)=0,0,IF((SUMPRODUCT(C1530:C1552,C1554:C1576)/SUM(C1530:C1552))&lt;0,1,(SUMPRODUCT(C1530:C1552,C1554:C1576)/SUM(C1530:C1552)))),"n/a"))</f>
        <v>0</v>
      </c>
      <c r="D1577" s="1430">
        <f ca="1">(IF(OR($C1527&lt;&gt;"n/a",D1527&lt;&gt;"n/a"),IF(SUM(D1530:D1552)=0,0,IF((SUMPRODUCT(D1530:D1552,D1554:D1576)/SUM(D1530:D1552))&lt;0,1,(SUMPRODUCT(D1530:D1552,D1554:D1576)/SUM(D1530:D1552)))),"n/a"))</f>
        <v>0</v>
      </c>
      <c r="E1577" s="1430">
        <f t="shared" ref="E1577:W1577" ca="1" si="2313">(IF(OR($C1527&lt;&gt;"n/a",E1527&lt;&gt;"n/a"),IF(SUM(E1530:E1552)=0,0,IF((SUMPRODUCT(E1530:E1552,E1554:E1576)/SUM(E1530:E1552))&lt;0,1,(SUMPRODUCT(E1530:E1552,E1554:E1576)/SUM(E1530:E1552)))),"n/a"))</f>
        <v>0</v>
      </c>
      <c r="F1577" s="1430">
        <f t="shared" ca="1" si="2313"/>
        <v>0</v>
      </c>
      <c r="G1577" s="1430">
        <f t="shared" ca="1" si="2313"/>
        <v>0</v>
      </c>
      <c r="H1577" s="1430">
        <f t="shared" ca="1" si="2313"/>
        <v>0</v>
      </c>
      <c r="I1577" s="1430">
        <f t="shared" ca="1" si="2313"/>
        <v>0</v>
      </c>
      <c r="J1577" s="1430">
        <f t="shared" ca="1" si="2313"/>
        <v>0</v>
      </c>
      <c r="K1577" s="1430">
        <f t="shared" ca="1" si="2313"/>
        <v>0</v>
      </c>
      <c r="L1577" s="1430">
        <f t="shared" ca="1" si="2313"/>
        <v>0</v>
      </c>
      <c r="M1577" s="1430">
        <f t="shared" ca="1" si="2313"/>
        <v>0</v>
      </c>
      <c r="N1577" s="1430">
        <f t="shared" ca="1" si="2313"/>
        <v>0</v>
      </c>
      <c r="O1577" s="1430">
        <f t="shared" ca="1" si="2313"/>
        <v>0</v>
      </c>
      <c r="P1577" s="1430">
        <f t="shared" ca="1" si="2313"/>
        <v>0</v>
      </c>
      <c r="Q1577" s="1430">
        <f t="shared" ca="1" si="2313"/>
        <v>0</v>
      </c>
      <c r="R1577" s="1430">
        <f t="shared" ca="1" si="2313"/>
        <v>0</v>
      </c>
      <c r="S1577" s="1430">
        <f t="shared" ca="1" si="2313"/>
        <v>0</v>
      </c>
      <c r="T1577" s="1430">
        <f t="shared" ca="1" si="2313"/>
        <v>0</v>
      </c>
      <c r="U1577" s="1430">
        <f t="shared" ca="1" si="2313"/>
        <v>0</v>
      </c>
      <c r="V1577" s="1430">
        <f t="shared" ca="1" si="2313"/>
        <v>0</v>
      </c>
      <c r="W1577" s="1430">
        <f t="shared" ca="1" si="2313"/>
        <v>0</v>
      </c>
      <c r="X1577" s="152"/>
      <c r="Y1577" s="152"/>
      <c r="Z1577" s="152"/>
      <c r="AA1577" s="152"/>
      <c r="AB1577" s="152"/>
    </row>
    <row r="1578" spans="1:28">
      <c r="A1578" s="152"/>
      <c r="B1578" s="152"/>
      <c r="C1578" s="1423"/>
      <c r="D1578" s="1423"/>
      <c r="E1578" s="1423"/>
      <c r="F1578" s="1423"/>
      <c r="G1578" s="1423"/>
      <c r="H1578" s="1423"/>
      <c r="I1578" s="1423"/>
      <c r="J1578" s="1423"/>
      <c r="K1578" s="1423"/>
      <c r="L1578" s="1423"/>
      <c r="M1578" s="1423"/>
      <c r="N1578" s="1423"/>
      <c r="O1578" s="1423"/>
      <c r="P1578" s="1423"/>
      <c r="Q1578" s="1423"/>
      <c r="R1578" s="1423"/>
      <c r="S1578" s="1423"/>
      <c r="T1578" s="1423"/>
      <c r="U1578" s="1423"/>
      <c r="V1578" s="1423"/>
      <c r="W1578" s="1423"/>
      <c r="X1578" s="152"/>
      <c r="Y1578" s="152"/>
      <c r="Z1578" s="152"/>
      <c r="AA1578" s="152"/>
      <c r="AB1578" s="152"/>
    </row>
    <row r="1579" spans="1:28">
      <c r="A1579" s="269" t="s">
        <v>64</v>
      </c>
      <c r="B1579" s="270">
        <f>VLOOKUP($A1579,'RFM input'!$E$7:$F$56,2,FALSE)</f>
        <v>0</v>
      </c>
      <c r="C1579" s="1431"/>
      <c r="D1579" s="1431"/>
      <c r="E1579" s="1432"/>
      <c r="F1579" s="1432"/>
      <c r="G1579" s="1432"/>
      <c r="H1579" s="1432"/>
      <c r="I1579" s="1432"/>
      <c r="J1579" s="1432"/>
      <c r="K1579" s="1432"/>
      <c r="L1579" s="1432"/>
      <c r="M1579" s="1432"/>
      <c r="N1579" s="1432"/>
      <c r="O1579" s="1432"/>
      <c r="P1579" s="1432"/>
      <c r="Q1579" s="1432"/>
      <c r="R1579" s="1432"/>
      <c r="S1579" s="1432"/>
      <c r="T1579" s="1432"/>
      <c r="U1579" s="1432"/>
      <c r="V1579" s="1432"/>
      <c r="W1579" s="1432"/>
      <c r="X1579" s="152"/>
      <c r="Y1579" s="152"/>
      <c r="Z1579" s="152"/>
      <c r="AA1579" s="152"/>
      <c r="AB1579" s="152"/>
    </row>
    <row r="1580" spans="1:28">
      <c r="A1580" s="215">
        <f>VALUE(REPLACE(A1579,1,12,""))</f>
        <v>30</v>
      </c>
      <c r="B1580" s="193" t="s">
        <v>126</v>
      </c>
      <c r="C1580" s="1416">
        <f ca="1">IF($C$8='Capital Base roll forward'!$H$4,OFFSET('Capital Base roll forward'!$H$717,'RAB remaining lives'!A1580,0),"enter input")</f>
        <v>0</v>
      </c>
      <c r="D1580" s="1417">
        <f>IF(LEFT(D$6,4)&lt;LEFT('RFM input'!$G$60,4),"enter input",IF(LEFT(D$6,4)&gt;LEFT('RFM input'!$Q$60,4),0,INDEX('RFM input'!$G$61:$Q$110,$A1580,MATCH(D$6,'RFM input'!$G$60:$Q$60,0))
-INDEX('RFM input'!$G$115:$Q$164,$A1580,MATCH(D$6,'RFM input'!$G$60:$Q$60,0))
-INDEX('RFM input'!$G$169:$Q$218,$A1580,MATCH(D$6,'RFM input'!$G$60:$Q$60,0))))</f>
        <v>0</v>
      </c>
      <c r="E1580" s="1417">
        <f>IF(LEFT(E$6,4)&lt;LEFT('RFM input'!$G$60,4),"enter input",IF(LEFT(E$6,4)&gt;LEFT('RFM input'!$Q$60,4),0,INDEX('RFM input'!$G$61:$Q$110,$A1580,MATCH(E$6,'RFM input'!$G$60:$Q$60,0))
-INDEX('RFM input'!$G$115:$Q$164,$A1580,MATCH(E$6,'RFM input'!$G$60:$Q$60,0))
-INDEX('RFM input'!$G$169:$Q$218,$A1580,MATCH(E$6,'RFM input'!$G$60:$Q$60,0))))</f>
        <v>0</v>
      </c>
      <c r="F1580" s="1417">
        <f>IF(LEFT(F$6,4)&lt;LEFT('RFM input'!$G$60,4),"enter input",IF(LEFT(F$6,4)&gt;LEFT('RFM input'!$Q$60,4),0,INDEX('RFM input'!$G$61:$Q$110,$A1580,MATCH(F$6,'RFM input'!$G$60:$Q$60,0))
-INDEX('RFM input'!$G$115:$Q$164,$A1580,MATCH(F$6,'RFM input'!$G$60:$Q$60,0))
-INDEX('RFM input'!$G$169:$Q$218,$A1580,MATCH(F$6,'RFM input'!$G$60:$Q$60,0))))</f>
        <v>0</v>
      </c>
      <c r="G1580" s="1417">
        <f>IF(LEFT(G$6,4)&lt;LEFT('RFM input'!$G$60,4),"enter input",IF(LEFT(G$6,4)&gt;LEFT('RFM input'!$Q$60,4),0,INDEX('RFM input'!$G$61:$Q$110,$A1580,MATCH(G$6,'RFM input'!$G$60:$Q$60,0))
-INDEX('RFM input'!$G$115:$Q$164,$A1580,MATCH(G$6,'RFM input'!$G$60:$Q$60,0))
-INDEX('RFM input'!$G$169:$Q$218,$A1580,MATCH(G$6,'RFM input'!$G$60:$Q$60,0))))</f>
        <v>0</v>
      </c>
      <c r="H1580" s="1417">
        <f>IF(LEFT(H$6,4)&lt;LEFT('RFM input'!$G$60,4),"enter input",IF(LEFT(H$6,4)&gt;LEFT('RFM input'!$Q$60,4),0,INDEX('RFM input'!$G$61:$Q$110,$A1580,MATCH(H$6,'RFM input'!$G$60:$Q$60,0))
-INDEX('RFM input'!$G$115:$Q$164,$A1580,MATCH(H$6,'RFM input'!$G$60:$Q$60,0))
-INDEX('RFM input'!$G$169:$Q$218,$A1580,MATCH(H$6,'RFM input'!$G$60:$Q$60,0))))</f>
        <v>0</v>
      </c>
      <c r="I1580" s="1417">
        <f>IF(LEFT(I$6,4)&lt;LEFT('RFM input'!$G$60,4),"enter input",IF(LEFT(I$6,4)&gt;LEFT('RFM input'!$Q$60,4),0,INDEX('RFM input'!$G$61:$Q$110,$A1580,MATCH(I$6,'RFM input'!$G$60:$Q$60,0))
-INDEX('RFM input'!$G$115:$Q$164,$A1580,MATCH(I$6,'RFM input'!$G$60:$Q$60,0))
-INDEX('RFM input'!$G$169:$Q$218,$A1580,MATCH(I$6,'RFM input'!$G$60:$Q$60,0))))</f>
        <v>0</v>
      </c>
      <c r="J1580" s="1417">
        <f>IF(LEFT(J$6,4)&lt;LEFT('RFM input'!$G$60,4),"enter input",IF(LEFT(J$6,4)&gt;LEFT('RFM input'!$Q$60,4),0,INDEX('RFM input'!$G$61:$Q$110,$A1580,MATCH(J$6,'RFM input'!$G$60:$Q$60,0))
-INDEX('RFM input'!$G$115:$Q$164,$A1580,MATCH(J$6,'RFM input'!$G$60:$Q$60,0))
-INDEX('RFM input'!$G$169:$Q$218,$A1580,MATCH(J$6,'RFM input'!$G$60:$Q$60,0))))</f>
        <v>0</v>
      </c>
      <c r="K1580" s="1417">
        <f>IF(LEFT(K$6,4)&lt;LEFT('RFM input'!$G$60,4),"enter input",IF(LEFT(K$6,4)&gt;LEFT('RFM input'!$Q$60,4),0,INDEX('RFM input'!$G$61:$Q$110,$A1580,MATCH(K$6,'RFM input'!$G$60:$Q$60,0))
-INDEX('RFM input'!$G$115:$Q$164,$A1580,MATCH(K$6,'RFM input'!$G$60:$Q$60,0))
-INDEX('RFM input'!$G$169:$Q$218,$A1580,MATCH(K$6,'RFM input'!$G$60:$Q$60,0))))</f>
        <v>0</v>
      </c>
      <c r="L1580" s="1417">
        <f>IF(LEFT(L$6,4)&lt;LEFT('RFM input'!$G$60,4),"enter input",IF(LEFT(L$6,4)&gt;LEFT('RFM input'!$Q$60,4),0,INDEX('RFM input'!$G$61:$Q$110,$A1580,MATCH(L$6,'RFM input'!$G$60:$Q$60,0))
-INDEX('RFM input'!$G$115:$Q$164,$A1580,MATCH(L$6,'RFM input'!$G$60:$Q$60,0))
-INDEX('RFM input'!$G$169:$Q$218,$A1580,MATCH(L$6,'RFM input'!$G$60:$Q$60,0))))</f>
        <v>0</v>
      </c>
      <c r="M1580" s="1417">
        <f>IF(LEFT(M$6,4)&lt;LEFT('RFM input'!$G$60,4),"enter input",IF(LEFT(M$6,4)&gt;LEFT('RFM input'!$Q$60,4),0,INDEX('RFM input'!$G$61:$Q$110,$A1580,MATCH(M$6,'RFM input'!$G$60:$Q$60,0))
-INDEX('RFM input'!$G$115:$Q$164,$A1580,MATCH(M$6,'RFM input'!$G$60:$Q$60,0))
-INDEX('RFM input'!$G$169:$Q$218,$A1580,MATCH(M$6,'RFM input'!$G$60:$Q$60,0))))</f>
        <v>0</v>
      </c>
      <c r="N1580" s="1417">
        <f>IF(LEFT(N$6,4)&lt;LEFT('RFM input'!$G$60,4),"enter input",IF(LEFT(N$6,4)&gt;LEFT('RFM input'!$Q$60,4),0,INDEX('RFM input'!$G$61:$Q$110,$A1580,MATCH(N$6,'RFM input'!$G$60:$Q$60,0))
-INDEX('RFM input'!$G$115:$Q$164,$A1580,MATCH(N$6,'RFM input'!$G$60:$Q$60,0))
-INDEX('RFM input'!$G$169:$Q$218,$A1580,MATCH(N$6,'RFM input'!$G$60:$Q$60,0))))</f>
        <v>0</v>
      </c>
      <c r="O1580" s="1417">
        <f>IF(LEFT(O$6,4)&lt;LEFT('RFM input'!$G$60,4),"enter input",IF(LEFT(O$6,4)&gt;LEFT('RFM input'!$Q$60,4),0,INDEX('RFM input'!$G$61:$Q$110,$A1580,MATCH(O$6,'RFM input'!$G$60:$Q$60,0))
-INDEX('RFM input'!$G$115:$Q$164,$A1580,MATCH(O$6,'RFM input'!$G$60:$Q$60,0))
-INDEX('RFM input'!$G$169:$Q$218,$A1580,MATCH(O$6,'RFM input'!$G$60:$Q$60,0))))</f>
        <v>0</v>
      </c>
      <c r="P1580" s="1417">
        <f>IF(LEFT(P$6,4)&lt;LEFT('RFM input'!$G$60,4),"enter input",IF(LEFT(P$6,4)&gt;LEFT('RFM input'!$Q$60,4),0,INDEX('RFM input'!$G$61:$Q$110,$A1580,MATCH(P$6,'RFM input'!$G$60:$Q$60,0))
-INDEX('RFM input'!$G$115:$Q$164,$A1580,MATCH(P$6,'RFM input'!$G$60:$Q$60,0))
-INDEX('RFM input'!$G$169:$Q$218,$A1580,MATCH(P$6,'RFM input'!$G$60:$Q$60,0))))</f>
        <v>0</v>
      </c>
      <c r="Q1580" s="1417">
        <f>IF(LEFT(Q$6,4)&lt;LEFT('RFM input'!$G$60,4),"enter input",IF(LEFT(Q$6,4)&gt;LEFT('RFM input'!$Q$60,4),0,INDEX('RFM input'!$G$61:$Q$110,$A1580,MATCH(Q$6,'RFM input'!$G$60:$Q$60,0))
-INDEX('RFM input'!$G$115:$Q$164,$A1580,MATCH(Q$6,'RFM input'!$G$60:$Q$60,0))
-INDEX('RFM input'!$G$169:$Q$218,$A1580,MATCH(Q$6,'RFM input'!$G$60:$Q$60,0))))</f>
        <v>0</v>
      </c>
      <c r="R1580" s="1417">
        <f>IF(LEFT(R$6,4)&lt;LEFT('RFM input'!$G$60,4),"enter input",IF(LEFT(R$6,4)&gt;LEFT('RFM input'!$Q$60,4),0,INDEX('RFM input'!$G$61:$Q$110,$A1580,MATCH(R$6,'RFM input'!$G$60:$Q$60,0))
-INDEX('RFM input'!$G$115:$Q$164,$A1580,MATCH(R$6,'RFM input'!$G$60:$Q$60,0))
-INDEX('RFM input'!$G$169:$Q$218,$A1580,MATCH(R$6,'RFM input'!$G$60:$Q$60,0))))</f>
        <v>0</v>
      </c>
      <c r="S1580" s="1417">
        <f>IF(LEFT(S$6,4)&lt;LEFT('RFM input'!$G$60,4),"enter input",IF(LEFT(S$6,4)&gt;LEFT('RFM input'!$Q$60,4),0,INDEX('RFM input'!$G$61:$Q$110,$A1580,MATCH(S$6,'RFM input'!$G$60:$Q$60,0))
-INDEX('RFM input'!$G$115:$Q$164,$A1580,MATCH(S$6,'RFM input'!$G$60:$Q$60,0))
-INDEX('RFM input'!$G$169:$Q$218,$A1580,MATCH(S$6,'RFM input'!$G$60:$Q$60,0))))</f>
        <v>0</v>
      </c>
      <c r="T1580" s="1417">
        <f>IF(LEFT(T$6,4)&lt;LEFT('RFM input'!$G$60,4),"enter input",IF(LEFT(T$6,4)&gt;LEFT('RFM input'!$Q$60,4),0,INDEX('RFM input'!$G$61:$Q$110,$A1580,MATCH(T$6,'RFM input'!$G$60:$Q$60,0))
-INDEX('RFM input'!$G$115:$Q$164,$A1580,MATCH(T$6,'RFM input'!$G$60:$Q$60,0))
-INDEX('RFM input'!$G$169:$Q$218,$A1580,MATCH(T$6,'RFM input'!$G$60:$Q$60,0))))</f>
        <v>0</v>
      </c>
      <c r="U1580" s="1417">
        <f>IF(LEFT(U$6,4)&lt;LEFT('RFM input'!$G$60,4),"enter input",IF(LEFT(U$6,4)&gt;LEFT('RFM input'!$Q$60,4),0,INDEX('RFM input'!$G$61:$Q$110,$A1580,MATCH(U$6,'RFM input'!$G$60:$Q$60,0))
-INDEX('RFM input'!$G$115:$Q$164,$A1580,MATCH(U$6,'RFM input'!$G$60:$Q$60,0))
-INDEX('RFM input'!$G$169:$Q$218,$A1580,MATCH(U$6,'RFM input'!$G$60:$Q$60,0))))</f>
        <v>0</v>
      </c>
      <c r="V1580" s="1417">
        <f>IF(LEFT(V$6,4)&lt;LEFT('RFM input'!$G$60,4),"enter input",IF(LEFT(V$6,4)&gt;LEFT('RFM input'!$Q$60,4),0,INDEX('RFM input'!$G$61:$Q$110,$A1580,MATCH(V$6,'RFM input'!$G$60:$Q$60,0))
-INDEX('RFM input'!$G$115:$Q$164,$A1580,MATCH(V$6,'RFM input'!$G$60:$Q$60,0))
-INDEX('RFM input'!$G$169:$Q$218,$A1580,MATCH(V$6,'RFM input'!$G$60:$Q$60,0))))</f>
        <v>0</v>
      </c>
      <c r="W1580" s="1417">
        <f>IF(LEFT(W$6,4)&lt;LEFT('RFM input'!$G$60,4),"enter input",IF(LEFT(W$6,4)&gt;LEFT('RFM input'!$Q$60,4),0,INDEX('RFM input'!$G$61:$Q$110,$A1580,MATCH(W$6,'RFM input'!$G$60:$Q$60,0))
-INDEX('RFM input'!$G$115:$Q$164,$A1580,MATCH(W$6,'RFM input'!$G$60:$Q$60,0))
-INDEX('RFM input'!$G$169:$Q$218,$A1580,MATCH(W$6,'RFM input'!$G$60:$Q$60,0))))</f>
        <v>0</v>
      </c>
      <c r="X1580" s="152"/>
      <c r="Y1580" s="152"/>
      <c r="Z1580" s="152"/>
      <c r="AA1580" s="152"/>
      <c r="AB1580" s="152"/>
    </row>
    <row r="1581" spans="1:28">
      <c r="A1581" s="152"/>
      <c r="B1581" s="152" t="s">
        <v>204</v>
      </c>
      <c r="C1581" s="1418">
        <f ca="1">IF($C$8='Capital Base roll forward'!$H$4,OFFSET('RFM input'!$J$6,'RAB remaining lives'!A1580,0),"enter input")</f>
        <v>0</v>
      </c>
      <c r="D1581" s="1417">
        <f>IF(LEFT(D$6,4)&lt;=LEFT('RFM input'!$G$60,4),"enter input",IF(LEFT(D$6,4)&gt;LEFT('RFM input'!$Q$60,4),0,IF(MATCH(D$6,'RFM input'!$H$60:$Q$60,0),INDEX('RFM input'!$K$7:$K$56,$A1580,1))))</f>
        <v>0</v>
      </c>
      <c r="E1581" s="1417">
        <f>IF(LEFT(E$6,4)&lt;=LEFT('RFM input'!$G$60,4),"enter input",IF(LEFT(E$6,4)&gt;LEFT('RFM input'!$Q$60,4),0,IF(MATCH(E$6,'RFM input'!$H$60:$Q$60,0),INDEX('RFM input'!$K$7:$K$56,$A1580,1))))</f>
        <v>0</v>
      </c>
      <c r="F1581" s="1417">
        <f>IF(LEFT(F$6,4)&lt;=LEFT('RFM input'!$G$60,4),"enter input",IF(LEFT(F$6,4)&gt;LEFT('RFM input'!$Q$60,4),0,IF(MATCH(F$6,'RFM input'!$H$60:$Q$60,0),INDEX('RFM input'!$K$7:$K$56,$A1580,1))))</f>
        <v>0</v>
      </c>
      <c r="G1581" s="1417">
        <f>IF(LEFT(G$6,4)&lt;=LEFT('RFM input'!$G$60,4),"enter input",IF(LEFT(G$6,4)&gt;LEFT('RFM input'!$Q$60,4),0,IF(MATCH(G$6,'RFM input'!$H$60:$Q$60,0),INDEX('RFM input'!$K$7:$K$56,$A1580,1))))</f>
        <v>0</v>
      </c>
      <c r="H1581" s="1417">
        <f>IF(LEFT(H$6,4)&lt;=LEFT('RFM input'!$G$60,4),"enter input",IF(LEFT(H$6,4)&gt;LEFT('RFM input'!$Q$60,4),0,IF(MATCH(H$6,'RFM input'!$H$60:$Q$60,0),INDEX('RFM input'!$K$7:$K$56,$A1580,1))))</f>
        <v>0</v>
      </c>
      <c r="I1581" s="1417">
        <f>IF(LEFT(I$6,4)&lt;=LEFT('RFM input'!$G$60,4),"enter input",IF(LEFT(I$6,4)&gt;LEFT('RFM input'!$Q$60,4),0,IF(MATCH(I$6,'RFM input'!$H$60:$Q$60,0),INDEX('RFM input'!$K$7:$K$56,$A1580,1))))</f>
        <v>0</v>
      </c>
      <c r="J1581" s="1417">
        <f>IF(LEFT(J$6,4)&lt;=LEFT('RFM input'!$G$60,4),"enter input",IF(LEFT(J$6,4)&gt;LEFT('RFM input'!$Q$60,4),0,IF(MATCH(J$6,'RFM input'!$H$60:$Q$60,0),INDEX('RFM input'!$K$7:$K$56,$A1580,1))))</f>
        <v>0</v>
      </c>
      <c r="K1581" s="1417">
        <f>IF(LEFT(K$6,4)&lt;=LEFT('RFM input'!$G$60,4),"enter input",IF(LEFT(K$6,4)&gt;LEFT('RFM input'!$Q$60,4),0,IF(MATCH(K$6,'RFM input'!$H$60:$Q$60,0),INDEX('RFM input'!$K$7:$K$56,$A1580,1))))</f>
        <v>0</v>
      </c>
      <c r="L1581" s="1417">
        <f>IF(LEFT(L$6,4)&lt;=LEFT('RFM input'!$G$60,4),"enter input",IF(LEFT(L$6,4)&gt;LEFT('RFM input'!$Q$60,4),0,IF(MATCH(L$6,'RFM input'!$H$60:$Q$60,0),INDEX('RFM input'!$K$7:$K$56,$A1580,1))))</f>
        <v>0</v>
      </c>
      <c r="M1581" s="1417">
        <f>IF(LEFT(M$6,4)&lt;=LEFT('RFM input'!$G$60,4),"enter input",IF(LEFT(M$6,4)&gt;LEFT('RFM input'!$Q$60,4),0,IF(MATCH(M$6,'RFM input'!$H$60:$Q$60,0),INDEX('RFM input'!$K$7:$K$56,$A1580,1))))</f>
        <v>0</v>
      </c>
      <c r="N1581" s="1417">
        <f>IF(LEFT(N$6,4)&lt;=LEFT('RFM input'!$G$60,4),"enter input",IF(LEFT(N$6,4)&gt;LEFT('RFM input'!$Q$60,4),0,IF(MATCH(N$6,'RFM input'!$H$60:$Q$60,0),INDEX('RFM input'!$K$7:$K$56,$A1580,1))))</f>
        <v>0</v>
      </c>
      <c r="O1581" s="1417">
        <f>IF(LEFT(O$6,4)&lt;=LEFT('RFM input'!$G$60,4),"enter input",IF(LEFT(O$6,4)&gt;LEFT('RFM input'!$Q$60,4),0,IF(MATCH(O$6,'RFM input'!$H$60:$Q$60,0),INDEX('RFM input'!$K$7:$K$56,$A1580,1))))</f>
        <v>0</v>
      </c>
      <c r="P1581" s="1417">
        <f>IF(LEFT(P$6,4)&lt;=LEFT('RFM input'!$G$60,4),"enter input",IF(LEFT(P$6,4)&gt;LEFT('RFM input'!$Q$60,4),0,IF(MATCH(P$6,'RFM input'!$H$60:$Q$60,0),INDEX('RFM input'!$K$7:$K$56,$A1580,1))))</f>
        <v>0</v>
      </c>
      <c r="Q1581" s="1417">
        <f>IF(LEFT(Q$6,4)&lt;=LEFT('RFM input'!$G$60,4),"enter input",IF(LEFT(Q$6,4)&gt;LEFT('RFM input'!$Q$60,4),0,IF(MATCH(Q$6,'RFM input'!$H$60:$Q$60,0),INDEX('RFM input'!$K$7:$K$56,$A1580,1))))</f>
        <v>0</v>
      </c>
      <c r="R1581" s="1417">
        <f>IF(LEFT(R$6,4)&lt;=LEFT('RFM input'!$G$60,4),"enter input",IF(LEFT(R$6,4)&gt;LEFT('RFM input'!$Q$60,4),0,IF(MATCH(R$6,'RFM input'!$H$60:$Q$60,0),INDEX('RFM input'!$K$7:$K$56,$A1580,1))))</f>
        <v>0</v>
      </c>
      <c r="S1581" s="1417">
        <f>IF(LEFT(S$6,4)&lt;=LEFT('RFM input'!$G$60,4),"enter input",IF(LEFT(S$6,4)&gt;LEFT('RFM input'!$Q$60,4),0,IF(MATCH(S$6,'RFM input'!$H$60:$Q$60,0),INDEX('RFM input'!$K$7:$K$56,$A1580,1))))</f>
        <v>0</v>
      </c>
      <c r="T1581" s="1417">
        <f>IF(LEFT(T$6,4)&lt;=LEFT('RFM input'!$G$60,4),"enter input",IF(LEFT(T$6,4)&gt;LEFT('RFM input'!$Q$60,4),0,IF(MATCH(T$6,'RFM input'!$H$60:$Q$60,0),INDEX('RFM input'!$K$7:$K$56,$A1580,1))))</f>
        <v>0</v>
      </c>
      <c r="U1581" s="1417">
        <f>IF(LEFT(U$6,4)&lt;=LEFT('RFM input'!$G$60,4),"enter input",IF(LEFT(U$6,4)&gt;LEFT('RFM input'!$Q$60,4),0,IF(MATCH(U$6,'RFM input'!$H$60:$Q$60,0),INDEX('RFM input'!$K$7:$K$56,$A1580,1))))</f>
        <v>0</v>
      </c>
      <c r="V1581" s="1417">
        <f>IF(LEFT(V$6,4)&lt;=LEFT('RFM input'!$G$60,4),"enter input",IF(LEFT(V$6,4)&gt;LEFT('RFM input'!$Q$60,4),0,IF(MATCH(V$6,'RFM input'!$H$60:$Q$60,0),INDEX('RFM input'!$K$7:$K$56,$A1580,1))))</f>
        <v>0</v>
      </c>
      <c r="W1581" s="1417">
        <f>IF(LEFT(W$6,4)&lt;=LEFT('RFM input'!$G$60,4),"enter input",IF(LEFT(W$6,4)&gt;LEFT('RFM input'!$Q$60,4),0,IF(MATCH(W$6,'RFM input'!$H$60:$Q$60,0),INDEX('RFM input'!$K$7:$K$56,$A1580,1))))</f>
        <v>0</v>
      </c>
      <c r="X1581" s="152"/>
      <c r="Y1581" s="152"/>
      <c r="Z1581" s="152"/>
      <c r="AA1581" s="152"/>
      <c r="AB1581" s="152"/>
    </row>
    <row r="1582" spans="1:28">
      <c r="A1582" s="152"/>
      <c r="B1582" s="177" t="s">
        <v>191</v>
      </c>
      <c r="C1582" s="1419"/>
      <c r="D1582" s="1420">
        <f ca="1">IF(LEFT(D$6,4)&lt;=LEFT('RFM input'!$G$60,4),"enter input",IF(LEFT(D$6,4)&gt;LEFT('RFM input'!$Q$60,4),0,IF(D$6=(OFFSET('RFM input'!$G$60,0,'RFM input'!$V$7)),OFFSET('RFM input'!$G$411,$A1580,0),0)))</f>
        <v>0</v>
      </c>
      <c r="E1582" s="1417">
        <f ca="1">IF(LEFT(E$6,4)&lt;=LEFT('RFM input'!$G$60,4),"enter input",IF(LEFT(E$6,4)&gt;LEFT('RFM input'!$Q$60,4),0,IF(E$6=(OFFSET('RFM input'!$G$60,0,'RFM input'!$V$7)),OFFSET('RFM input'!$G$411,$A1580,0),0)))</f>
        <v>0</v>
      </c>
      <c r="F1582" s="1417">
        <f ca="1">IF(LEFT(F$6,4)&lt;=LEFT('RFM input'!$G$60,4),"enter input",IF(LEFT(F$6,4)&gt;LEFT('RFM input'!$Q$60,4),0,IF(F$6=(OFFSET('RFM input'!$G$60,0,'RFM input'!$V$7)),OFFSET('RFM input'!$G$411,$A1580,0),0)))</f>
        <v>0</v>
      </c>
      <c r="G1582" s="1417">
        <f ca="1">IF(LEFT(G$6,4)&lt;=LEFT('RFM input'!$G$60,4),"enter input",IF(LEFT(G$6,4)&gt;LEFT('RFM input'!$Q$60,4),0,IF(G$6=(OFFSET('RFM input'!$G$60,0,'RFM input'!$V$7)),OFFSET('RFM input'!$G$411,$A1580,0),0)))</f>
        <v>0</v>
      </c>
      <c r="H1582" s="1417">
        <f ca="1">IF(LEFT(H$6,4)&lt;=LEFT('RFM input'!$G$60,4),"enter input",IF(LEFT(H$6,4)&gt;LEFT('RFM input'!$Q$60,4),0,IF(H$6=(OFFSET('RFM input'!$G$60,0,'RFM input'!$V$7)),OFFSET('RFM input'!$G$411,$A1580,0),0)))</f>
        <v>0</v>
      </c>
      <c r="I1582" s="1417">
        <f ca="1">IF(LEFT(I$6,4)&lt;=LEFT('RFM input'!$G$60,4),"enter input",IF(LEFT(I$6,4)&gt;LEFT('RFM input'!$Q$60,4),0,IF(I$6=(OFFSET('RFM input'!$G$60,0,'RFM input'!$V$7)),OFFSET('RFM input'!$G$411,$A1580,0),0)))</f>
        <v>0</v>
      </c>
      <c r="J1582" s="1417">
        <f ca="1">IF(LEFT(J$6,4)&lt;=LEFT('RFM input'!$G$60,4),"enter input",IF(LEFT(J$6,4)&gt;LEFT('RFM input'!$Q$60,4),0,IF(J$6=(OFFSET('RFM input'!$G$60,0,'RFM input'!$V$7)),OFFSET('RFM input'!$G$411,$A1580,0),0)))</f>
        <v>0</v>
      </c>
      <c r="K1582" s="1417">
        <f ca="1">IF(LEFT(K$6,4)&lt;=LEFT('RFM input'!$G$60,4),"enter input",IF(LEFT(K$6,4)&gt;LEFT('RFM input'!$Q$60,4),0,IF(K$6=(OFFSET('RFM input'!$G$60,0,'RFM input'!$V$7)),OFFSET('RFM input'!$G$411,$A1580,0),0)))</f>
        <v>0</v>
      </c>
      <c r="L1582" s="1417">
        <f ca="1">IF(LEFT(L$6,4)&lt;=LEFT('RFM input'!$G$60,4),"enter input",IF(LEFT(L$6,4)&gt;LEFT('RFM input'!$Q$60,4),0,IF(L$6=(OFFSET('RFM input'!$G$60,0,'RFM input'!$V$7)),OFFSET('RFM input'!$G$411,$A1580,0),0)))</f>
        <v>0</v>
      </c>
      <c r="M1582" s="1417">
        <f ca="1">IF(LEFT(M$6,4)&lt;=LEFT('RFM input'!$G$60,4),"enter input",IF(LEFT(M$6,4)&gt;LEFT('RFM input'!$Q$60,4),0,IF(M$6=(OFFSET('RFM input'!$G$60,0,'RFM input'!$V$7)),OFFSET('RFM input'!$G$411,$A1580,0),0)))</f>
        <v>0</v>
      </c>
      <c r="N1582" s="1417">
        <f ca="1">IF(LEFT(N$6,4)&lt;=LEFT('RFM input'!$G$60,4),"enter input",IF(LEFT(N$6,4)&gt;LEFT('RFM input'!$Q$60,4),0,IF(N$6=(OFFSET('RFM input'!$G$60,0,'RFM input'!$V$7)),OFFSET('RFM input'!$G$411,$A1580,0),0)))</f>
        <v>0</v>
      </c>
      <c r="O1582" s="1417">
        <f ca="1">IF(LEFT(O$6,4)&lt;=LEFT('RFM input'!$G$60,4),"enter input",IF(LEFT(O$6,4)&gt;LEFT('RFM input'!$Q$60,4),0,IF(O$6=(OFFSET('RFM input'!$G$60,0,'RFM input'!$V$7)),OFFSET('RFM input'!$G$411,$A1580,0),0)))</f>
        <v>0</v>
      </c>
      <c r="P1582" s="1417">
        <f ca="1">IF(LEFT(P$6,4)&lt;=LEFT('RFM input'!$G$60,4),"enter input",IF(LEFT(P$6,4)&gt;LEFT('RFM input'!$Q$60,4),0,IF(P$6=(OFFSET('RFM input'!$G$60,0,'RFM input'!$V$7)),OFFSET('RFM input'!$G$411,$A1580,0),0)))</f>
        <v>0</v>
      </c>
      <c r="Q1582" s="1417">
        <f ca="1">IF(LEFT(Q$6,4)&lt;=LEFT('RFM input'!$G$60,4),"enter input",IF(LEFT(Q$6,4)&gt;LEFT('RFM input'!$Q$60,4),0,IF(Q$6=(OFFSET('RFM input'!$G$60,0,'RFM input'!$V$7)),OFFSET('RFM input'!$G$411,$A1580,0),0)))</f>
        <v>0</v>
      </c>
      <c r="R1582" s="1417">
        <f ca="1">IF(LEFT(R$6,4)&lt;=LEFT('RFM input'!$G$60,4),"enter input",IF(LEFT(R$6,4)&gt;LEFT('RFM input'!$Q$60,4),0,IF(R$6=(OFFSET('RFM input'!$G$60,0,'RFM input'!$V$7)),OFFSET('RFM input'!$G$411,$A1580,0),0)))</f>
        <v>0</v>
      </c>
      <c r="S1582" s="1417">
        <f ca="1">IF(LEFT(S$6,4)&lt;=LEFT('RFM input'!$G$60,4),"enter input",IF(LEFT(S$6,4)&gt;LEFT('RFM input'!$Q$60,4),0,IF(S$6=(OFFSET('RFM input'!$G$60,0,'RFM input'!$V$7)),OFFSET('RFM input'!$G$411,$A1580,0),0)))</f>
        <v>0</v>
      </c>
      <c r="T1582" s="1417">
        <f ca="1">IF(LEFT(T$6,4)&lt;=LEFT('RFM input'!$G$60,4),"enter input",IF(LEFT(T$6,4)&gt;LEFT('RFM input'!$Q$60,4),0,IF(T$6=(OFFSET('RFM input'!$G$60,0,'RFM input'!$V$7)),OFFSET('RFM input'!$G$411,$A1580,0),0)))</f>
        <v>0</v>
      </c>
      <c r="U1582" s="1417">
        <f ca="1">IF(LEFT(U$6,4)&lt;=LEFT('RFM input'!$G$60,4),"enter input",IF(LEFT(U$6,4)&gt;LEFT('RFM input'!$Q$60,4),0,IF(U$6=(OFFSET('RFM input'!$G$60,0,'RFM input'!$V$7)),OFFSET('RFM input'!$G$411,$A1580,0),0)))</f>
        <v>0</v>
      </c>
      <c r="V1582" s="1417">
        <f ca="1">IF(LEFT(V$6,4)&lt;=LEFT('RFM input'!$G$60,4),"enter input",IF(LEFT(V$6,4)&gt;LEFT('RFM input'!$Q$60,4),0,IF(V$6=(OFFSET('RFM input'!$G$60,0,'RFM input'!$V$7)),OFFSET('RFM input'!$G$411,$A1580,0),0)))</f>
        <v>0</v>
      </c>
      <c r="W1582" s="1417">
        <f ca="1">IF(LEFT(W$6,4)&lt;=LEFT('RFM input'!$G$60,4),"enter input",IF(LEFT(W$6,4)&gt;LEFT('RFM input'!$Q$60,4),0,IF(W$6=(OFFSET('RFM input'!$G$60,0,'RFM input'!$V$7)),OFFSET('RFM input'!$G$411,$A1580,0),0)))</f>
        <v>0</v>
      </c>
      <c r="X1582" s="152"/>
      <c r="Y1582" s="152"/>
      <c r="Z1582" s="152"/>
      <c r="AA1582" s="152"/>
      <c r="AB1582" s="152"/>
    </row>
    <row r="1583" spans="1:28">
      <c r="A1583" s="152"/>
      <c r="B1583" s="195" t="s">
        <v>197</v>
      </c>
      <c r="C1583" s="1419"/>
      <c r="D1583" s="1418">
        <f ca="1">IF(LEFT(D$6,4)&lt;=LEFT('RFM input'!$G$60,4),"enter input",IF(LEFT(D$6,4)&gt;LEFT('RFM input'!$Q$60,4),0,IF(D$6=(OFFSET('RFM input'!$G$60,0,'RFM input'!$V$7)),OFFSET('RFM input'!$I$411,$A1580,0),0)))</f>
        <v>0</v>
      </c>
      <c r="E1583" s="1422">
        <f ca="1">IF(LEFT(E$6,4)&lt;=LEFT('RFM input'!$G$60,4),"enter input",IF(LEFT(E$6,4)&gt;LEFT('RFM input'!$Q$60,4),0,IF(E$6=(OFFSET('RFM input'!$G$60,0,'RFM input'!$V$7)),OFFSET('RFM input'!$I$411,$A1580,0),0)))</f>
        <v>0</v>
      </c>
      <c r="F1583" s="1422">
        <f ca="1">IF(LEFT(F$6,4)&lt;=LEFT('RFM input'!$G$60,4),"enter input",IF(LEFT(F$6,4)&gt;LEFT('RFM input'!$Q$60,4),0,IF(F$6=(OFFSET('RFM input'!$G$60,0,'RFM input'!$V$7)),OFFSET('RFM input'!$I$411,$A1580,0),0)))</f>
        <v>0</v>
      </c>
      <c r="G1583" s="1422">
        <f ca="1">IF(LEFT(G$6,4)&lt;=LEFT('RFM input'!$G$60,4),"enter input",IF(LEFT(G$6,4)&gt;LEFT('RFM input'!$Q$60,4),0,IF(G$6=(OFFSET('RFM input'!$G$60,0,'RFM input'!$V$7)),OFFSET('RFM input'!$I$411,$A1580,0),0)))</f>
        <v>0</v>
      </c>
      <c r="H1583" s="1422">
        <f ca="1">IF(LEFT(H$6,4)&lt;=LEFT('RFM input'!$G$60,4),"enter input",IF(LEFT(H$6,4)&gt;LEFT('RFM input'!$Q$60,4),0,IF(H$6=(OFFSET('RFM input'!$G$60,0,'RFM input'!$V$7)),OFFSET('RFM input'!$I$411,$A1580,0),0)))</f>
        <v>0</v>
      </c>
      <c r="I1583" s="1422">
        <f ca="1">IF(LEFT(I$6,4)&lt;=LEFT('RFM input'!$G$60,4),"enter input",IF(LEFT(I$6,4)&gt;LEFT('RFM input'!$Q$60,4),0,IF(I$6=(OFFSET('RFM input'!$G$60,0,'RFM input'!$V$7)),OFFSET('RFM input'!$I$411,$A1580,0),0)))</f>
        <v>0</v>
      </c>
      <c r="J1583" s="1422">
        <f ca="1">IF(LEFT(J$6,4)&lt;=LEFT('RFM input'!$G$60,4),"enter input",IF(LEFT(J$6,4)&gt;LEFT('RFM input'!$Q$60,4),0,IF(J$6=(OFFSET('RFM input'!$G$60,0,'RFM input'!$V$7)),OFFSET('RFM input'!$I$411,$A1580,0),0)))</f>
        <v>0</v>
      </c>
      <c r="K1583" s="1422">
        <f ca="1">IF(LEFT(K$6,4)&lt;=LEFT('RFM input'!$G$60,4),"enter input",IF(LEFT(K$6,4)&gt;LEFT('RFM input'!$Q$60,4),0,IF(K$6=(OFFSET('RFM input'!$G$60,0,'RFM input'!$V$7)),OFFSET('RFM input'!$I$411,$A1580,0),0)))</f>
        <v>0</v>
      </c>
      <c r="L1583" s="1422">
        <f ca="1">IF(LEFT(L$6,4)&lt;=LEFT('RFM input'!$G$60,4),"enter input",IF(LEFT(L$6,4)&gt;LEFT('RFM input'!$Q$60,4),0,IF(L$6=(OFFSET('RFM input'!$G$60,0,'RFM input'!$V$7)),OFFSET('RFM input'!$I$411,$A1580,0),0)))</f>
        <v>0</v>
      </c>
      <c r="M1583" s="1422">
        <f ca="1">IF(LEFT(M$6,4)&lt;=LEFT('RFM input'!$G$60,4),"enter input",IF(LEFT(M$6,4)&gt;LEFT('RFM input'!$Q$60,4),0,IF(M$6=(OFFSET('RFM input'!$G$60,0,'RFM input'!$V$7)),OFFSET('RFM input'!$I$411,$A1580,0),0)))</f>
        <v>0</v>
      </c>
      <c r="N1583" s="1422">
        <f ca="1">IF(LEFT(N$6,4)&lt;=LEFT('RFM input'!$G$60,4),"enter input",IF(LEFT(N$6,4)&gt;LEFT('RFM input'!$Q$60,4),0,IF(N$6=(OFFSET('RFM input'!$G$60,0,'RFM input'!$V$7)),OFFSET('RFM input'!$I$411,$A1580,0),0)))</f>
        <v>0</v>
      </c>
      <c r="O1583" s="1422">
        <f ca="1">IF(LEFT(O$6,4)&lt;=LEFT('RFM input'!$G$60,4),"enter input",IF(LEFT(O$6,4)&gt;LEFT('RFM input'!$Q$60,4),0,IF(O$6=(OFFSET('RFM input'!$G$60,0,'RFM input'!$V$7)),OFFSET('RFM input'!$I$411,$A1580,0),0)))</f>
        <v>0</v>
      </c>
      <c r="P1583" s="1422">
        <f ca="1">IF(LEFT(P$6,4)&lt;=LEFT('RFM input'!$G$60,4),"enter input",IF(LEFT(P$6,4)&gt;LEFT('RFM input'!$Q$60,4),0,IF(P$6=(OFFSET('RFM input'!$G$60,0,'RFM input'!$V$7)),OFFSET('RFM input'!$I$411,$A1580,0),0)))</f>
        <v>0</v>
      </c>
      <c r="Q1583" s="1422">
        <f ca="1">IF(LEFT(Q$6,4)&lt;=LEFT('RFM input'!$G$60,4),"enter input",IF(LEFT(Q$6,4)&gt;LEFT('RFM input'!$Q$60,4),0,IF(Q$6=(OFFSET('RFM input'!$G$60,0,'RFM input'!$V$7)),OFFSET('RFM input'!$I$411,$A1580,0),0)))</f>
        <v>0</v>
      </c>
      <c r="R1583" s="1422">
        <f ca="1">IF(LEFT(R$6,4)&lt;=LEFT('RFM input'!$G$60,4),"enter input",IF(LEFT(R$6,4)&gt;LEFT('RFM input'!$Q$60,4),0,IF(R$6=(OFFSET('RFM input'!$G$60,0,'RFM input'!$V$7)),OFFSET('RFM input'!$I$411,$A1580,0),0)))</f>
        <v>0</v>
      </c>
      <c r="S1583" s="1422">
        <f ca="1">IF(LEFT(S$6,4)&lt;=LEFT('RFM input'!$G$60,4),"enter input",IF(LEFT(S$6,4)&gt;LEFT('RFM input'!$Q$60,4),0,IF(S$6=(OFFSET('RFM input'!$G$60,0,'RFM input'!$V$7)),OFFSET('RFM input'!$I$411,$A1580,0),0)))</f>
        <v>0</v>
      </c>
      <c r="T1583" s="1422">
        <f ca="1">IF(LEFT(T$6,4)&lt;=LEFT('RFM input'!$G$60,4),"enter input",IF(LEFT(T$6,4)&gt;LEFT('RFM input'!$Q$60,4),0,IF(T$6=(OFFSET('RFM input'!$G$60,0,'RFM input'!$V$7)),OFFSET('RFM input'!$I$411,$A1580,0),0)))</f>
        <v>0</v>
      </c>
      <c r="U1583" s="1422">
        <f ca="1">IF(LEFT(U$6,4)&lt;=LEFT('RFM input'!$G$60,4),"enter input",IF(LEFT(U$6,4)&gt;LEFT('RFM input'!$Q$60,4),0,IF(U$6=(OFFSET('RFM input'!$G$60,0,'RFM input'!$V$7)),OFFSET('RFM input'!$I$411,$A1580,0),0)))</f>
        <v>0</v>
      </c>
      <c r="V1583" s="1422">
        <f ca="1">IF(LEFT(V$6,4)&lt;=LEFT('RFM input'!$G$60,4),"enter input",IF(LEFT(V$6,4)&gt;LEFT('RFM input'!$Q$60,4),0,IF(V$6=(OFFSET('RFM input'!$G$60,0,'RFM input'!$V$7)),OFFSET('RFM input'!$I$411,$A1580,0),0)))</f>
        <v>0</v>
      </c>
      <c r="W1583" s="1422">
        <f ca="1">IF(LEFT(W$6,4)&lt;=LEFT('RFM input'!$G$60,4),"enter input",IF(LEFT(W$6,4)&gt;LEFT('RFM input'!$Q$60,4),0,IF(W$6=(OFFSET('RFM input'!$G$60,0,'RFM input'!$V$7)),OFFSET('RFM input'!$I$411,$A1580,0),0)))</f>
        <v>0</v>
      </c>
      <c r="X1583" s="152"/>
      <c r="Y1583" s="152"/>
      <c r="Z1583" s="152"/>
      <c r="AA1583" s="152"/>
      <c r="AB1583" s="152"/>
    </row>
    <row r="1584" spans="1:28" hidden="1" outlineLevel="1">
      <c r="A1584" s="235">
        <v>-1</v>
      </c>
      <c r="B1584" s="190" t="s">
        <v>189</v>
      </c>
      <c r="C1584" s="1423"/>
      <c r="D1584" s="1423">
        <f ca="1">IF(AND(D1582=0,C1584=0),0,
IF(AND(D1582&lt;&gt;0,C1584=0),(D1582/D$10),
IF(AND(D1583&lt;&gt;0,C1584&lt;&gt;0),(C1584-(C1584/C1608))+(D1582/D$10),
IF(C1608&lt;1,0,(C1584-(C1584/C1608))))))</f>
        <v>0</v>
      </c>
      <c r="E1584" s="1423">
        <f t="shared" ref="E1584" ca="1" si="2314">IF(AND(E1582=0,D1584=0),0,
IF(AND(E1582&lt;&gt;0,D1584=0),(E1582/E$10),
IF(AND(E1583&lt;&gt;0,D1584&lt;&gt;0),(D1584-(D1584/D1608))+(E1582/E$10),
IF(D1608&lt;1,0,(D1584-(D1584/D1608))))))</f>
        <v>0</v>
      </c>
      <c r="F1584" s="1423">
        <f t="shared" ref="F1584" ca="1" si="2315">IF(AND(F1582=0,E1584=0),0,
IF(AND(F1582&lt;&gt;0,E1584=0),(F1582/F$10),
IF(AND(F1583&lt;&gt;0,E1584&lt;&gt;0),(E1584-(E1584/E1608))+(F1582/F$10),
IF(E1608&lt;1,0,(E1584-(E1584/E1608))))))</f>
        <v>0</v>
      </c>
      <c r="G1584" s="1423">
        <f t="shared" ref="G1584" ca="1" si="2316">IF(AND(G1582=0,F1584=0),0,
IF(AND(G1582&lt;&gt;0,F1584=0),(G1582/G$10),
IF(AND(G1583&lt;&gt;0,F1584&lt;&gt;0),(F1584-(F1584/F1608))+(G1582/G$10),
IF(F1608&lt;1,0,(F1584-(F1584/F1608))))))</f>
        <v>0</v>
      </c>
      <c r="H1584" s="1423">
        <f t="shared" ref="H1584" ca="1" si="2317">IF(AND(H1582=0,G1584=0),0,
IF(AND(H1582&lt;&gt;0,G1584=0),(H1582/H$10),
IF(AND(H1583&lt;&gt;0,G1584&lt;&gt;0),(G1584-(G1584/G1608))+(H1582/H$10),
IF(G1608&lt;1,0,(G1584-(G1584/G1608))))))</f>
        <v>0</v>
      </c>
      <c r="I1584" s="1423">
        <f t="shared" ref="I1584" ca="1" si="2318">IF(AND(I1582=0,H1584=0),0,
IF(AND(I1582&lt;&gt;0,H1584=0),(I1582/I$10),
IF(AND(I1583&lt;&gt;0,H1584&lt;&gt;0),(H1584-(H1584/H1608))+(I1582/I$10),
IF(H1608&lt;1,0,(H1584-(H1584/H1608))))))</f>
        <v>0</v>
      </c>
      <c r="J1584" s="1423">
        <f t="shared" ref="J1584" ca="1" si="2319">IF(AND(J1582=0,I1584=0),0,
IF(AND(J1582&lt;&gt;0,I1584=0),(J1582/J$10),
IF(AND(J1583&lt;&gt;0,I1584&lt;&gt;0),(I1584-(I1584/I1608))+(J1582/J$10),
IF(I1608&lt;1,0,(I1584-(I1584/I1608))))))</f>
        <v>0</v>
      </c>
      <c r="K1584" s="1423">
        <f t="shared" ref="K1584" ca="1" si="2320">IF(AND(K1582=0,J1584=0),0,
IF(AND(K1582&lt;&gt;0,J1584=0),(K1582/K$10),
IF(AND(K1583&lt;&gt;0,J1584&lt;&gt;0),(J1584-(J1584/J1608))+(K1582/K$10),
IF(J1608&lt;1,0,(J1584-(J1584/J1608))))))</f>
        <v>0</v>
      </c>
      <c r="L1584" s="1423">
        <f t="shared" ref="L1584" ca="1" si="2321">IF(AND(L1582=0,K1584=0),0,
IF(AND(L1582&lt;&gt;0,K1584=0),(L1582/L$10),
IF(AND(L1583&lt;&gt;0,K1584&lt;&gt;0),(K1584-(K1584/K1608))+(L1582/L$10),
IF(K1608&lt;1,0,(K1584-(K1584/K1608))))))</f>
        <v>0</v>
      </c>
      <c r="M1584" s="1423">
        <f t="shared" ref="M1584" ca="1" si="2322">IF(AND(M1582=0,L1584=0),0,
IF(AND(M1582&lt;&gt;0,L1584=0),(M1582/M$10),
IF(AND(M1583&lt;&gt;0,L1584&lt;&gt;0),(L1584-(L1584/L1608))+(M1582/M$10),
IF(L1608&lt;1,0,(L1584-(L1584/L1608))))))</f>
        <v>0</v>
      </c>
      <c r="N1584" s="1423">
        <f t="shared" ref="N1584" ca="1" si="2323">IF(AND(N1582=0,M1584=0),0,
IF(AND(N1582&lt;&gt;0,M1584=0),(N1582/N$10),
IF(AND(N1583&lt;&gt;0,M1584&lt;&gt;0),(M1584-(M1584/M1608))+(N1582/N$10),
IF(M1608&lt;1,0,(M1584-(M1584/M1608))))))</f>
        <v>0</v>
      </c>
      <c r="O1584" s="1423">
        <f t="shared" ref="O1584" ca="1" si="2324">IF(AND(O1582=0,N1584=0),0,
IF(AND(O1582&lt;&gt;0,N1584=0),(O1582/O$10),
IF(AND(O1583&lt;&gt;0,N1584&lt;&gt;0),(N1584-(N1584/N1608))+(O1582/O$10),
IF(N1608&lt;1,0,(N1584-(N1584/N1608))))))</f>
        <v>0</v>
      </c>
      <c r="P1584" s="1423">
        <f t="shared" ref="P1584" ca="1" si="2325">IF(AND(P1582=0,O1584=0),0,
IF(AND(P1582&lt;&gt;0,O1584=0),(P1582/P$10),
IF(AND(P1583&lt;&gt;0,O1584&lt;&gt;0),(O1584-(O1584/O1608))+(P1582/P$10),
IF(O1608&lt;1,0,(O1584-(O1584/O1608))))))</f>
        <v>0</v>
      </c>
      <c r="Q1584" s="1423">
        <f t="shared" ref="Q1584" ca="1" si="2326">IF(AND(Q1582=0,P1584=0),0,
IF(AND(Q1582&lt;&gt;0,P1584=0),(Q1582/Q$10),
IF(AND(Q1583&lt;&gt;0,P1584&lt;&gt;0),(P1584-(P1584/P1608))+(Q1582/Q$10),
IF(P1608&lt;1,0,(P1584-(P1584/P1608))))))</f>
        <v>0</v>
      </c>
      <c r="R1584" s="1423">
        <f t="shared" ref="R1584" ca="1" si="2327">IF(AND(R1582=0,Q1584=0),0,
IF(AND(R1582&lt;&gt;0,Q1584=0),(R1582/R$10),
IF(AND(R1583&lt;&gt;0,Q1584&lt;&gt;0),(Q1584-(Q1584/Q1608))+(R1582/R$10),
IF(Q1608&lt;1,0,(Q1584-(Q1584/Q1608))))))</f>
        <v>0</v>
      </c>
      <c r="S1584" s="1423">
        <f t="shared" ref="S1584" ca="1" si="2328">IF(AND(S1582=0,R1584=0),0,
IF(AND(S1582&lt;&gt;0,R1584=0),(S1582/S$10),
IF(AND(S1583&lt;&gt;0,R1584&lt;&gt;0),(R1584-(R1584/R1608))+(S1582/S$10),
IF(R1608&lt;1,0,(R1584-(R1584/R1608))))))</f>
        <v>0</v>
      </c>
      <c r="T1584" s="1423">
        <f t="shared" ref="T1584" ca="1" si="2329">IF(AND(T1582=0,S1584=0),0,
IF(AND(T1582&lt;&gt;0,S1584=0),(T1582/T$10),
IF(AND(T1583&lt;&gt;0,S1584&lt;&gt;0),(S1584-(S1584/S1608))+(T1582/T$10),
IF(S1608&lt;1,0,(S1584-(S1584/S1608))))))</f>
        <v>0</v>
      </c>
      <c r="U1584" s="1423">
        <f t="shared" ref="U1584" ca="1" si="2330">IF(AND(U1582=0,T1584=0),0,
IF(AND(U1582&lt;&gt;0,T1584=0),(U1582/U$10),
IF(AND(U1583&lt;&gt;0,T1584&lt;&gt;0),(T1584-(T1584/T1608))+(U1582/U$10),
IF(T1608&lt;1,0,(T1584-(T1584/T1608))))))</f>
        <v>0</v>
      </c>
      <c r="V1584" s="1423">
        <f t="shared" ref="V1584" ca="1" si="2331">IF(AND(V1582=0,U1584=0),0,
IF(AND(V1582&lt;&gt;0,U1584=0),(V1582/V$10),
IF(AND(V1583&lt;&gt;0,U1584&lt;&gt;0),(U1584-(U1584/U1608))+(V1582/V$10),
IF(U1608&lt;1,0,(U1584-(U1584/U1608))))))</f>
        <v>0</v>
      </c>
      <c r="W1584" s="1423">
        <f t="shared" ref="W1584" ca="1" si="2332">IF(AND(W1582=0,V1584=0),0,
IF(AND(W1582&lt;&gt;0,V1584=0),(W1582/W$10),
IF(AND(W1583&lt;&gt;0,V1584&lt;&gt;0),(V1584-(V1584/V1608))+(W1582/W$10),
IF(V1608&lt;1,0,(V1584-(V1584/V1608))))))</f>
        <v>0</v>
      </c>
      <c r="X1584" s="152"/>
      <c r="Y1584" s="152"/>
      <c r="Z1584" s="152"/>
      <c r="AA1584" s="152"/>
      <c r="AB1584" s="152"/>
    </row>
    <row r="1585" spans="1:28" hidden="1" outlineLevel="1">
      <c r="A1585" s="199">
        <f>A1584+1</f>
        <v>0</v>
      </c>
      <c r="B1585" s="190" t="s">
        <v>125</v>
      </c>
      <c r="C1585" s="1423">
        <f ca="1">C1580/C$10</f>
        <v>0</v>
      </c>
      <c r="D1585" s="1423">
        <f ca="1">IF(C1609="n/a",C1585,IFERROR(IF((OFFSET($C1585,0,$A1585))&lt;0,
MIN(0,C1585-(OFFSET($C1585,0,$A1585)/(OFFSET($C1580,-$A1584,$A1585)))),
MAX(0,C1585-(OFFSET($C1585,0,$A1585)/(OFFSET($C1580,-$A1584,$A1585))))),0))</f>
        <v>0</v>
      </c>
      <c r="E1585" s="1423">
        <f t="shared" ref="E1585" ca="1" si="2333">IF(D1609="n/a",D1585,IFERROR(IF((OFFSET($C1585,0,$A1585))&lt;0,
MIN(0,D1585-(OFFSET($C1585,0,$A1585)/(OFFSET($C1580,-$A1584,$A1585)))),
MAX(0,D1585-(OFFSET($C1585,0,$A1585)/(OFFSET($C1580,-$A1584,$A1585))))),0))</f>
        <v>0</v>
      </c>
      <c r="F1585" s="1423">
        <f t="shared" ref="F1585:F1586" ca="1" si="2334">IF(E1609="n/a",E1585,IFERROR(IF((OFFSET($C1585,0,$A1585))&lt;0,
MIN(0,E1585-(OFFSET($C1585,0,$A1585)/(OFFSET($C1580,-$A1584,$A1585)))),
MAX(0,E1585-(OFFSET($C1585,0,$A1585)/(OFFSET($C1580,-$A1584,$A1585))))),0))</f>
        <v>0</v>
      </c>
      <c r="G1585" s="1423">
        <f t="shared" ref="G1585:G1587" ca="1" si="2335">IF(F1609="n/a",F1585,IFERROR(IF((OFFSET($C1585,0,$A1585))&lt;0,
MIN(0,F1585-(OFFSET($C1585,0,$A1585)/(OFFSET($C1580,-$A1584,$A1585)))),
MAX(0,F1585-(OFFSET($C1585,0,$A1585)/(OFFSET($C1580,-$A1584,$A1585))))),0))</f>
        <v>0</v>
      </c>
      <c r="H1585" s="1423">
        <f t="shared" ref="H1585:H1588" ca="1" si="2336">IF(G1609="n/a",G1585,IFERROR(IF((OFFSET($C1585,0,$A1585))&lt;0,
MIN(0,G1585-(OFFSET($C1585,0,$A1585)/(OFFSET($C1580,-$A1584,$A1585)))),
MAX(0,G1585-(OFFSET($C1585,0,$A1585)/(OFFSET($C1580,-$A1584,$A1585))))),0))</f>
        <v>0</v>
      </c>
      <c r="I1585" s="1423">
        <f t="shared" ref="I1585:I1589" ca="1" si="2337">IF(H1609="n/a",H1585,IFERROR(IF((OFFSET($C1585,0,$A1585))&lt;0,
MIN(0,H1585-(OFFSET($C1585,0,$A1585)/(OFFSET($C1580,-$A1584,$A1585)))),
MAX(0,H1585-(OFFSET($C1585,0,$A1585)/(OFFSET($C1580,-$A1584,$A1585))))),0))</f>
        <v>0</v>
      </c>
      <c r="J1585" s="1423">
        <f t="shared" ref="J1585:J1590" ca="1" si="2338">IF(I1609="n/a",I1585,IFERROR(IF((OFFSET($C1585,0,$A1585))&lt;0,
MIN(0,I1585-(OFFSET($C1585,0,$A1585)/(OFFSET($C1580,-$A1584,$A1585)))),
MAX(0,I1585-(OFFSET($C1585,0,$A1585)/(OFFSET($C1580,-$A1584,$A1585))))),0))</f>
        <v>0</v>
      </c>
      <c r="K1585" s="1423">
        <f t="shared" ref="K1585:K1591" ca="1" si="2339">IF(J1609="n/a",J1585,IFERROR(IF((OFFSET($C1585,0,$A1585))&lt;0,
MIN(0,J1585-(OFFSET($C1585,0,$A1585)/(OFFSET($C1580,-$A1584,$A1585)))),
MAX(0,J1585-(OFFSET($C1585,0,$A1585)/(OFFSET($C1580,-$A1584,$A1585))))),0))</f>
        <v>0</v>
      </c>
      <c r="L1585" s="1423">
        <f t="shared" ref="L1585:L1592" ca="1" si="2340">IF(K1609="n/a",K1585,IFERROR(IF((OFFSET($C1585,0,$A1585))&lt;0,
MIN(0,K1585-(OFFSET($C1585,0,$A1585)/(OFFSET($C1580,-$A1584,$A1585)))),
MAX(0,K1585-(OFFSET($C1585,0,$A1585)/(OFFSET($C1580,-$A1584,$A1585))))),0))</f>
        <v>0</v>
      </c>
      <c r="M1585" s="1423">
        <f t="shared" ref="M1585:M1593" ca="1" si="2341">IF(L1609="n/a",L1585,IFERROR(IF((OFFSET($C1585,0,$A1585))&lt;0,
MIN(0,L1585-(OFFSET($C1585,0,$A1585)/(OFFSET($C1580,-$A1584,$A1585)))),
MAX(0,L1585-(OFFSET($C1585,0,$A1585)/(OFFSET($C1580,-$A1584,$A1585))))),0))</f>
        <v>0</v>
      </c>
      <c r="N1585" s="1423">
        <f t="shared" ref="N1585:N1594" ca="1" si="2342">IF(M1609="n/a",M1585,IFERROR(IF((OFFSET($C1585,0,$A1585))&lt;0,
MIN(0,M1585-(OFFSET($C1585,0,$A1585)/(OFFSET($C1580,-$A1584,$A1585)))),
MAX(0,M1585-(OFFSET($C1585,0,$A1585)/(OFFSET($C1580,-$A1584,$A1585))))),0))</f>
        <v>0</v>
      </c>
      <c r="O1585" s="1423">
        <f t="shared" ref="O1585:O1595" ca="1" si="2343">IF(N1609="n/a",N1585,IFERROR(IF((OFFSET($C1585,0,$A1585))&lt;0,
MIN(0,N1585-(OFFSET($C1585,0,$A1585)/(OFFSET($C1580,-$A1584,$A1585)))),
MAX(0,N1585-(OFFSET($C1585,0,$A1585)/(OFFSET($C1580,-$A1584,$A1585))))),0))</f>
        <v>0</v>
      </c>
      <c r="P1585" s="1423">
        <f t="shared" ref="P1585:P1596" ca="1" si="2344">IF(O1609="n/a",O1585,IFERROR(IF((OFFSET($C1585,0,$A1585))&lt;0,
MIN(0,O1585-(OFFSET($C1585,0,$A1585)/(OFFSET($C1580,-$A1584,$A1585)))),
MAX(0,O1585-(OFFSET($C1585,0,$A1585)/(OFFSET($C1580,-$A1584,$A1585))))),0))</f>
        <v>0</v>
      </c>
      <c r="Q1585" s="1423">
        <f t="shared" ref="Q1585:Q1597" ca="1" si="2345">IF(P1609="n/a",P1585,IFERROR(IF((OFFSET($C1585,0,$A1585))&lt;0,
MIN(0,P1585-(OFFSET($C1585,0,$A1585)/(OFFSET($C1580,-$A1584,$A1585)))),
MAX(0,P1585-(OFFSET($C1585,0,$A1585)/(OFFSET($C1580,-$A1584,$A1585))))),0))</f>
        <v>0</v>
      </c>
      <c r="R1585" s="1423">
        <f t="shared" ref="R1585:R1598" ca="1" si="2346">IF(Q1609="n/a",Q1585,IFERROR(IF((OFFSET($C1585,0,$A1585))&lt;0,
MIN(0,Q1585-(OFFSET($C1585,0,$A1585)/(OFFSET($C1580,-$A1584,$A1585)))),
MAX(0,Q1585-(OFFSET($C1585,0,$A1585)/(OFFSET($C1580,-$A1584,$A1585))))),0))</f>
        <v>0</v>
      </c>
      <c r="S1585" s="1423">
        <f t="shared" ref="S1585:S1599" ca="1" si="2347">IF(R1609="n/a",R1585,IFERROR(IF((OFFSET($C1585,0,$A1585))&lt;0,
MIN(0,R1585-(OFFSET($C1585,0,$A1585)/(OFFSET($C1580,-$A1584,$A1585)))),
MAX(0,R1585-(OFFSET($C1585,0,$A1585)/(OFFSET($C1580,-$A1584,$A1585))))),0))</f>
        <v>0</v>
      </c>
      <c r="T1585" s="1423">
        <f t="shared" ref="T1585:T1600" ca="1" si="2348">IF(S1609="n/a",S1585,IFERROR(IF((OFFSET($C1585,0,$A1585))&lt;0,
MIN(0,S1585-(OFFSET($C1585,0,$A1585)/(OFFSET($C1580,-$A1584,$A1585)))),
MAX(0,S1585-(OFFSET($C1585,0,$A1585)/(OFFSET($C1580,-$A1584,$A1585))))),0))</f>
        <v>0</v>
      </c>
      <c r="U1585" s="1423">
        <f t="shared" ref="U1585:U1601" ca="1" si="2349">IF(T1609="n/a",T1585,IFERROR(IF((OFFSET($C1585,0,$A1585))&lt;0,
MIN(0,T1585-(OFFSET($C1585,0,$A1585)/(OFFSET($C1580,-$A1584,$A1585)))),
MAX(0,T1585-(OFFSET($C1585,0,$A1585)/(OFFSET($C1580,-$A1584,$A1585))))),0))</f>
        <v>0</v>
      </c>
      <c r="V1585" s="1423">
        <f t="shared" ref="V1585:V1602" ca="1" si="2350">IF(U1609="n/a",U1585,IFERROR(IF((OFFSET($C1585,0,$A1585))&lt;0,
MIN(0,U1585-(OFFSET($C1585,0,$A1585)/(OFFSET($C1580,-$A1584,$A1585)))),
MAX(0,U1585-(OFFSET($C1585,0,$A1585)/(OFFSET($C1580,-$A1584,$A1585))))),0))</f>
        <v>0</v>
      </c>
      <c r="W1585" s="1423">
        <f t="shared" ref="W1585:W1603" ca="1" si="2351">IF(V1609="n/a",V1585,IFERROR(IF((OFFSET($C1585,0,$A1585))&lt;0,
MIN(0,V1585-(OFFSET($C1585,0,$A1585)/(OFFSET($C1580,-$A1584,$A1585)))),
MAX(0,V1585-(OFFSET($C1585,0,$A1585)/(OFFSET($C1580,-$A1584,$A1585))))),0))</f>
        <v>0</v>
      </c>
      <c r="X1585" s="152"/>
      <c r="Y1585" s="152"/>
      <c r="Z1585" s="152"/>
      <c r="AA1585" s="152"/>
      <c r="AB1585" s="152"/>
    </row>
    <row r="1586" spans="1:28" hidden="1" outlineLevel="1">
      <c r="A1586" s="199">
        <f t="shared" ref="A1586:A1605" si="2352">A1585+1</f>
        <v>1</v>
      </c>
      <c r="B1586" s="190" t="str">
        <f t="shared" ref="B1586:B1604" ca="1" si="2353">"Depreciated Net Capex "&amp;OFFSET($C$6,0,A1586)</f>
        <v>Depreciated Net Capex 2016-17</v>
      </c>
      <c r="C1586" s="1424"/>
      <c r="D1586" s="1425">
        <f>(D1580*((1+D$11)^0.5)/D$10)</f>
        <v>0</v>
      </c>
      <c r="E1586" s="1423">
        <f ca="1">IF(D1610="n/a",D1586,IFERROR(IF((OFFSET($C1586,0,$A1586))&lt;0,
MIN(0,D1586-(OFFSET($C1586,0,$A1586)/(OFFSET($C1581,-$A1585,$A1586)))),
MAX(0,D1586-(OFFSET($C1586,0,$A1586)/(OFFSET($C1581,-$A1585,$A1586))))),0))</f>
        <v>0</v>
      </c>
      <c r="F1586" s="1423">
        <f t="shared" ca="1" si="2334"/>
        <v>0</v>
      </c>
      <c r="G1586" s="1423">
        <f t="shared" ca="1" si="2335"/>
        <v>0</v>
      </c>
      <c r="H1586" s="1423">
        <f t="shared" ca="1" si="2336"/>
        <v>0</v>
      </c>
      <c r="I1586" s="1423">
        <f t="shared" ca="1" si="2337"/>
        <v>0</v>
      </c>
      <c r="J1586" s="1423">
        <f t="shared" ca="1" si="2338"/>
        <v>0</v>
      </c>
      <c r="K1586" s="1423">
        <f t="shared" ca="1" si="2339"/>
        <v>0</v>
      </c>
      <c r="L1586" s="1423">
        <f t="shared" ca="1" si="2340"/>
        <v>0</v>
      </c>
      <c r="M1586" s="1423">
        <f t="shared" ca="1" si="2341"/>
        <v>0</v>
      </c>
      <c r="N1586" s="1423">
        <f t="shared" ca="1" si="2342"/>
        <v>0</v>
      </c>
      <c r="O1586" s="1423">
        <f t="shared" ca="1" si="2343"/>
        <v>0</v>
      </c>
      <c r="P1586" s="1423">
        <f t="shared" ca="1" si="2344"/>
        <v>0</v>
      </c>
      <c r="Q1586" s="1423">
        <f t="shared" ca="1" si="2345"/>
        <v>0</v>
      </c>
      <c r="R1586" s="1423">
        <f t="shared" ca="1" si="2346"/>
        <v>0</v>
      </c>
      <c r="S1586" s="1423">
        <f t="shared" ca="1" si="2347"/>
        <v>0</v>
      </c>
      <c r="T1586" s="1423">
        <f t="shared" ca="1" si="2348"/>
        <v>0</v>
      </c>
      <c r="U1586" s="1423">
        <f t="shared" ca="1" si="2349"/>
        <v>0</v>
      </c>
      <c r="V1586" s="1423">
        <f t="shared" ca="1" si="2350"/>
        <v>0</v>
      </c>
      <c r="W1586" s="1423">
        <f t="shared" ca="1" si="2351"/>
        <v>0</v>
      </c>
      <c r="X1586" s="152"/>
      <c r="Y1586" s="152"/>
      <c r="Z1586" s="152"/>
      <c r="AA1586" s="152"/>
      <c r="AB1586" s="152"/>
    </row>
    <row r="1587" spans="1:28" hidden="1" outlineLevel="1">
      <c r="A1587" s="199">
        <f t="shared" si="2352"/>
        <v>2</v>
      </c>
      <c r="B1587" s="190" t="str">
        <f t="shared" ca="1" si="2353"/>
        <v>Depreciated Net Capex 2017-18</v>
      </c>
      <c r="C1587" s="1426"/>
      <c r="D1587" s="1427"/>
      <c r="E1587" s="1425">
        <f>(E1580*((1+E$11)^0.5)/E$10)</f>
        <v>0</v>
      </c>
      <c r="F1587" s="1423">
        <f ca="1">IF(E1611="n/a",E1587,IFERROR(IF((OFFSET($C1587,0,$A1587))&lt;0,
MIN(0,E1587-(OFFSET($C1587,0,$A1587)/(OFFSET($C1582,-$A1586,$A1587)))),
MAX(0,E1587-(OFFSET($C1587,0,$A1587)/(OFFSET($C1582,-$A1586,$A1587))))),0))</f>
        <v>0</v>
      </c>
      <c r="G1587" s="1423">
        <f t="shared" ca="1" si="2335"/>
        <v>0</v>
      </c>
      <c r="H1587" s="1423">
        <f t="shared" ca="1" si="2336"/>
        <v>0</v>
      </c>
      <c r="I1587" s="1423">
        <f t="shared" ca="1" si="2337"/>
        <v>0</v>
      </c>
      <c r="J1587" s="1423">
        <f t="shared" ca="1" si="2338"/>
        <v>0</v>
      </c>
      <c r="K1587" s="1423">
        <f t="shared" ca="1" si="2339"/>
        <v>0</v>
      </c>
      <c r="L1587" s="1423">
        <f t="shared" ca="1" si="2340"/>
        <v>0</v>
      </c>
      <c r="M1587" s="1423">
        <f t="shared" ca="1" si="2341"/>
        <v>0</v>
      </c>
      <c r="N1587" s="1423">
        <f t="shared" ca="1" si="2342"/>
        <v>0</v>
      </c>
      <c r="O1587" s="1423">
        <f t="shared" ca="1" si="2343"/>
        <v>0</v>
      </c>
      <c r="P1587" s="1423">
        <f t="shared" ca="1" si="2344"/>
        <v>0</v>
      </c>
      <c r="Q1587" s="1423">
        <f t="shared" ca="1" si="2345"/>
        <v>0</v>
      </c>
      <c r="R1587" s="1423">
        <f t="shared" ca="1" si="2346"/>
        <v>0</v>
      </c>
      <c r="S1587" s="1423">
        <f t="shared" ca="1" si="2347"/>
        <v>0</v>
      </c>
      <c r="T1587" s="1423">
        <f t="shared" ca="1" si="2348"/>
        <v>0</v>
      </c>
      <c r="U1587" s="1423">
        <f t="shared" ca="1" si="2349"/>
        <v>0</v>
      </c>
      <c r="V1587" s="1423">
        <f t="shared" ca="1" si="2350"/>
        <v>0</v>
      </c>
      <c r="W1587" s="1423">
        <f t="shared" ca="1" si="2351"/>
        <v>0</v>
      </c>
      <c r="X1587" s="202"/>
      <c r="Y1587" s="152"/>
      <c r="Z1587" s="152"/>
      <c r="AA1587" s="152"/>
      <c r="AB1587" s="152"/>
    </row>
    <row r="1588" spans="1:28" hidden="1" outlineLevel="1">
      <c r="A1588" s="199">
        <f t="shared" si="2352"/>
        <v>3</v>
      </c>
      <c r="B1588" s="190" t="str">
        <f t="shared" ca="1" si="2353"/>
        <v>Depreciated Net Capex 2018-19</v>
      </c>
      <c r="C1588" s="1426"/>
      <c r="D1588" s="1426"/>
      <c r="E1588" s="1427"/>
      <c r="F1588" s="1428">
        <f>($F1580*((1+F$11)^0.5)/F$10)</f>
        <v>0</v>
      </c>
      <c r="G1588" s="1423">
        <f ca="1">IF(F1612="n/a",F1588,IFERROR(IF((OFFSET($C1588,0,$A1588))&lt;0,
MIN(0,F1588-(OFFSET($C1588,0,$A1588)/(OFFSET($C1583,-$A1587,$A1588)))),
MAX(0,F1588-(OFFSET($C1588,0,$A1588)/(OFFSET($C1583,-$A1587,$A1588))))),0))</f>
        <v>0</v>
      </c>
      <c r="H1588" s="1423">
        <f t="shared" ca="1" si="2336"/>
        <v>0</v>
      </c>
      <c r="I1588" s="1423">
        <f t="shared" ca="1" si="2337"/>
        <v>0</v>
      </c>
      <c r="J1588" s="1423">
        <f t="shared" ca="1" si="2338"/>
        <v>0</v>
      </c>
      <c r="K1588" s="1423">
        <f t="shared" ca="1" si="2339"/>
        <v>0</v>
      </c>
      <c r="L1588" s="1423">
        <f t="shared" ca="1" si="2340"/>
        <v>0</v>
      </c>
      <c r="M1588" s="1423">
        <f t="shared" ca="1" si="2341"/>
        <v>0</v>
      </c>
      <c r="N1588" s="1423">
        <f t="shared" ca="1" si="2342"/>
        <v>0</v>
      </c>
      <c r="O1588" s="1423">
        <f t="shared" ca="1" si="2343"/>
        <v>0</v>
      </c>
      <c r="P1588" s="1423">
        <f t="shared" ca="1" si="2344"/>
        <v>0</v>
      </c>
      <c r="Q1588" s="1423">
        <f t="shared" ca="1" si="2345"/>
        <v>0</v>
      </c>
      <c r="R1588" s="1423">
        <f t="shared" ca="1" si="2346"/>
        <v>0</v>
      </c>
      <c r="S1588" s="1423">
        <f t="shared" ca="1" si="2347"/>
        <v>0</v>
      </c>
      <c r="T1588" s="1423">
        <f t="shared" ca="1" si="2348"/>
        <v>0</v>
      </c>
      <c r="U1588" s="1423">
        <f t="shared" ca="1" si="2349"/>
        <v>0</v>
      </c>
      <c r="V1588" s="1423">
        <f t="shared" ca="1" si="2350"/>
        <v>0</v>
      </c>
      <c r="W1588" s="1423">
        <f t="shared" ca="1" si="2351"/>
        <v>0</v>
      </c>
      <c r="X1588" s="202"/>
      <c r="Y1588" s="202"/>
      <c r="Z1588" s="152"/>
      <c r="AA1588" s="152"/>
      <c r="AB1588" s="152"/>
    </row>
    <row r="1589" spans="1:28" hidden="1" outlineLevel="1">
      <c r="A1589" s="199">
        <f t="shared" si="2352"/>
        <v>4</v>
      </c>
      <c r="B1589" s="190" t="str">
        <f t="shared" ca="1" si="2353"/>
        <v>Depreciated Net Capex 2019-20</v>
      </c>
      <c r="C1589" s="1426"/>
      <c r="D1589" s="1426"/>
      <c r="E1589" s="1426"/>
      <c r="F1589" s="1427"/>
      <c r="G1589" s="1428">
        <f>($G1580*((1+G$11)^0.5)/G$10)</f>
        <v>0</v>
      </c>
      <c r="H1589" s="1423">
        <f ca="1">IF(G1613="n/a",G1589,IFERROR(IF((OFFSET($C1589,0,$A1589))&lt;0,
MIN(0,G1589-(OFFSET($C1589,0,$A1589)/(OFFSET($C1584,-$A1588,$A1589)))),
MAX(0,G1589-(OFFSET($C1589,0,$A1589)/(OFFSET($C1584,-$A1588,$A1589))))),0))</f>
        <v>0</v>
      </c>
      <c r="I1589" s="1423">
        <f t="shared" ca="1" si="2337"/>
        <v>0</v>
      </c>
      <c r="J1589" s="1423">
        <f t="shared" ca="1" si="2338"/>
        <v>0</v>
      </c>
      <c r="K1589" s="1423">
        <f t="shared" ca="1" si="2339"/>
        <v>0</v>
      </c>
      <c r="L1589" s="1423">
        <f t="shared" ca="1" si="2340"/>
        <v>0</v>
      </c>
      <c r="M1589" s="1423">
        <f t="shared" ca="1" si="2341"/>
        <v>0</v>
      </c>
      <c r="N1589" s="1423">
        <f t="shared" ca="1" si="2342"/>
        <v>0</v>
      </c>
      <c r="O1589" s="1423">
        <f t="shared" ca="1" si="2343"/>
        <v>0</v>
      </c>
      <c r="P1589" s="1423">
        <f t="shared" ca="1" si="2344"/>
        <v>0</v>
      </c>
      <c r="Q1589" s="1423">
        <f t="shared" ca="1" si="2345"/>
        <v>0</v>
      </c>
      <c r="R1589" s="1423">
        <f t="shared" ca="1" si="2346"/>
        <v>0</v>
      </c>
      <c r="S1589" s="1423">
        <f t="shared" ca="1" si="2347"/>
        <v>0</v>
      </c>
      <c r="T1589" s="1423">
        <f t="shared" ca="1" si="2348"/>
        <v>0</v>
      </c>
      <c r="U1589" s="1423">
        <f t="shared" ca="1" si="2349"/>
        <v>0</v>
      </c>
      <c r="V1589" s="1423">
        <f t="shared" ca="1" si="2350"/>
        <v>0</v>
      </c>
      <c r="W1589" s="1423">
        <f t="shared" ca="1" si="2351"/>
        <v>0</v>
      </c>
      <c r="X1589" s="202"/>
      <c r="Y1589" s="202"/>
      <c r="Z1589" s="202"/>
      <c r="AA1589" s="152"/>
      <c r="AB1589" s="152"/>
    </row>
    <row r="1590" spans="1:28" hidden="1" outlineLevel="1">
      <c r="A1590" s="199">
        <f t="shared" si="2352"/>
        <v>5</v>
      </c>
      <c r="B1590" s="190" t="str">
        <f t="shared" ca="1" si="2353"/>
        <v>Depreciated Net Capex 2020-21</v>
      </c>
      <c r="C1590" s="1426"/>
      <c r="D1590" s="1426"/>
      <c r="E1590" s="1426"/>
      <c r="F1590" s="1426"/>
      <c r="G1590" s="1427"/>
      <c r="H1590" s="1428">
        <f>(H1580*((1+H$11)^0.5)/H$10)</f>
        <v>0</v>
      </c>
      <c r="I1590" s="1423">
        <f ca="1">IF(H1614="n/a",H1590,IFERROR(IF((OFFSET($C1590,0,$A1590))&lt;0,
MIN(0,H1590-(OFFSET($C1590,0,$A1590)/(OFFSET($C1585,-$A1589,$A1590)))),
MAX(0,H1590-(OFFSET($C1590,0,$A1590)/(OFFSET($C1585,-$A1589,$A1590))))),0))</f>
        <v>0</v>
      </c>
      <c r="J1590" s="1423">
        <f t="shared" ca="1" si="2338"/>
        <v>0</v>
      </c>
      <c r="K1590" s="1423">
        <f t="shared" ca="1" si="2339"/>
        <v>0</v>
      </c>
      <c r="L1590" s="1423">
        <f t="shared" ca="1" si="2340"/>
        <v>0</v>
      </c>
      <c r="M1590" s="1423">
        <f t="shared" ca="1" si="2341"/>
        <v>0</v>
      </c>
      <c r="N1590" s="1423">
        <f t="shared" ca="1" si="2342"/>
        <v>0</v>
      </c>
      <c r="O1590" s="1423">
        <f t="shared" ca="1" si="2343"/>
        <v>0</v>
      </c>
      <c r="P1590" s="1423">
        <f t="shared" ca="1" si="2344"/>
        <v>0</v>
      </c>
      <c r="Q1590" s="1423">
        <f t="shared" ca="1" si="2345"/>
        <v>0</v>
      </c>
      <c r="R1590" s="1423">
        <f t="shared" ca="1" si="2346"/>
        <v>0</v>
      </c>
      <c r="S1590" s="1423">
        <f t="shared" ca="1" si="2347"/>
        <v>0</v>
      </c>
      <c r="T1590" s="1423">
        <f t="shared" ca="1" si="2348"/>
        <v>0</v>
      </c>
      <c r="U1590" s="1423">
        <f t="shared" ca="1" si="2349"/>
        <v>0</v>
      </c>
      <c r="V1590" s="1423">
        <f t="shared" ca="1" si="2350"/>
        <v>0</v>
      </c>
      <c r="W1590" s="1423">
        <f t="shared" ca="1" si="2351"/>
        <v>0</v>
      </c>
      <c r="X1590" s="202"/>
      <c r="Y1590" s="202"/>
      <c r="Z1590" s="202"/>
      <c r="AA1590" s="152"/>
      <c r="AB1590" s="152"/>
    </row>
    <row r="1591" spans="1:28" hidden="1" outlineLevel="1">
      <c r="A1591" s="199">
        <f t="shared" si="2352"/>
        <v>6</v>
      </c>
      <c r="B1591" s="190" t="str">
        <f t="shared" ca="1" si="2353"/>
        <v>Depreciated Net Capex 2021-22</v>
      </c>
      <c r="C1591" s="1426"/>
      <c r="D1591" s="1426"/>
      <c r="E1591" s="1426"/>
      <c r="F1591" s="1426"/>
      <c r="G1591" s="1426"/>
      <c r="H1591" s="1427"/>
      <c r="I1591" s="1428">
        <f>(I1580*((1+I$11)^0.5)/I$10)</f>
        <v>0</v>
      </c>
      <c r="J1591" s="1423">
        <f ca="1">IF(I1615="n/a",I1591,IFERROR(IF((OFFSET($C1591,0,$A1591))&lt;0,
MIN(0,I1591-(OFFSET($C1591,0,$A1591)/(OFFSET($C1586,-$A1590,$A1591)))),
MAX(0,I1591-(OFFSET($C1591,0,$A1591)/(OFFSET($C1586,-$A1590,$A1591))))),0))</f>
        <v>0</v>
      </c>
      <c r="K1591" s="1423">
        <f t="shared" ca="1" si="2339"/>
        <v>0</v>
      </c>
      <c r="L1591" s="1423">
        <f t="shared" ca="1" si="2340"/>
        <v>0</v>
      </c>
      <c r="M1591" s="1423">
        <f t="shared" ca="1" si="2341"/>
        <v>0</v>
      </c>
      <c r="N1591" s="1423">
        <f t="shared" ca="1" si="2342"/>
        <v>0</v>
      </c>
      <c r="O1591" s="1423">
        <f t="shared" ca="1" si="2343"/>
        <v>0</v>
      </c>
      <c r="P1591" s="1423">
        <f t="shared" ca="1" si="2344"/>
        <v>0</v>
      </c>
      <c r="Q1591" s="1423">
        <f t="shared" ca="1" si="2345"/>
        <v>0</v>
      </c>
      <c r="R1591" s="1423">
        <f t="shared" ca="1" si="2346"/>
        <v>0</v>
      </c>
      <c r="S1591" s="1423">
        <f t="shared" ca="1" si="2347"/>
        <v>0</v>
      </c>
      <c r="T1591" s="1423">
        <f t="shared" ca="1" si="2348"/>
        <v>0</v>
      </c>
      <c r="U1591" s="1423">
        <f t="shared" ca="1" si="2349"/>
        <v>0</v>
      </c>
      <c r="V1591" s="1423">
        <f t="shared" ca="1" si="2350"/>
        <v>0</v>
      </c>
      <c r="W1591" s="1423">
        <f t="shared" ca="1" si="2351"/>
        <v>0</v>
      </c>
      <c r="X1591" s="202"/>
      <c r="Y1591" s="202"/>
      <c r="Z1591" s="202"/>
      <c r="AA1591" s="152"/>
      <c r="AB1591" s="152"/>
    </row>
    <row r="1592" spans="1:28" hidden="1" outlineLevel="1">
      <c r="A1592" s="199">
        <f t="shared" si="2352"/>
        <v>7</v>
      </c>
      <c r="B1592" s="190" t="str">
        <f t="shared" ca="1" si="2353"/>
        <v>Depreciated Net Capex 2022-23</v>
      </c>
      <c r="C1592" s="1426"/>
      <c r="D1592" s="1426"/>
      <c r="E1592" s="1426"/>
      <c r="F1592" s="1426"/>
      <c r="G1592" s="1426"/>
      <c r="H1592" s="1426"/>
      <c r="I1592" s="1427"/>
      <c r="J1592" s="1428">
        <f>(J1580*((1+J$11)^0.5)/J$10)</f>
        <v>0</v>
      </c>
      <c r="K1592" s="1423">
        <f ca="1">IF(J1616="n/a",J1592,IFERROR(IF((OFFSET($C1592,0,$A1592))&lt;0,
MIN(0,J1592-(OFFSET($C1592,0,$A1592)/(OFFSET($C1587,-$A1591,$A1592)))),
MAX(0,J1592-(OFFSET($C1592,0,$A1592)/(OFFSET($C1587,-$A1591,$A1592))))),0))</f>
        <v>0</v>
      </c>
      <c r="L1592" s="1423">
        <f t="shared" ca="1" si="2340"/>
        <v>0</v>
      </c>
      <c r="M1592" s="1423">
        <f t="shared" ca="1" si="2341"/>
        <v>0</v>
      </c>
      <c r="N1592" s="1423">
        <f t="shared" ca="1" si="2342"/>
        <v>0</v>
      </c>
      <c r="O1592" s="1423">
        <f t="shared" ca="1" si="2343"/>
        <v>0</v>
      </c>
      <c r="P1592" s="1423">
        <f t="shared" ca="1" si="2344"/>
        <v>0</v>
      </c>
      <c r="Q1592" s="1423">
        <f t="shared" ca="1" si="2345"/>
        <v>0</v>
      </c>
      <c r="R1592" s="1423">
        <f t="shared" ca="1" si="2346"/>
        <v>0</v>
      </c>
      <c r="S1592" s="1423">
        <f t="shared" ca="1" si="2347"/>
        <v>0</v>
      </c>
      <c r="T1592" s="1423">
        <f t="shared" ca="1" si="2348"/>
        <v>0</v>
      </c>
      <c r="U1592" s="1423">
        <f t="shared" ca="1" si="2349"/>
        <v>0</v>
      </c>
      <c r="V1592" s="1423">
        <f t="shared" ca="1" si="2350"/>
        <v>0</v>
      </c>
      <c r="W1592" s="1423">
        <f t="shared" ca="1" si="2351"/>
        <v>0</v>
      </c>
      <c r="X1592" s="202"/>
      <c r="Y1592" s="202"/>
      <c r="Z1592" s="202"/>
      <c r="AA1592" s="152"/>
      <c r="AB1592" s="152"/>
    </row>
    <row r="1593" spans="1:28" hidden="1" outlineLevel="1">
      <c r="A1593" s="199">
        <f t="shared" si="2352"/>
        <v>8</v>
      </c>
      <c r="B1593" s="190" t="str">
        <f t="shared" ca="1" si="2353"/>
        <v>Depreciated Net Capex 2023-24</v>
      </c>
      <c r="C1593" s="1426"/>
      <c r="D1593" s="1426"/>
      <c r="E1593" s="1426"/>
      <c r="F1593" s="1426"/>
      <c r="G1593" s="1426"/>
      <c r="H1593" s="1426"/>
      <c r="I1593" s="1426"/>
      <c r="J1593" s="1427"/>
      <c r="K1593" s="1428">
        <f>(K1580*((1+K$11)^0.5)/K$10)</f>
        <v>0</v>
      </c>
      <c r="L1593" s="1423">
        <f ca="1">IF(K1617="n/a",K1593,IFERROR(IF((OFFSET($C1593,0,$A1593))&lt;0,
MIN(0,K1593-(OFFSET($C1593,0,$A1593)/(OFFSET($C1588,-$A1592,$A1593)))),
MAX(0,K1593-(OFFSET($C1593,0,$A1593)/(OFFSET($C1588,-$A1592,$A1593))))),0))</f>
        <v>0</v>
      </c>
      <c r="M1593" s="1423">
        <f t="shared" ca="1" si="2341"/>
        <v>0</v>
      </c>
      <c r="N1593" s="1423">
        <f t="shared" ca="1" si="2342"/>
        <v>0</v>
      </c>
      <c r="O1593" s="1423">
        <f t="shared" ca="1" si="2343"/>
        <v>0</v>
      </c>
      <c r="P1593" s="1423">
        <f t="shared" ca="1" si="2344"/>
        <v>0</v>
      </c>
      <c r="Q1593" s="1423">
        <f t="shared" ca="1" si="2345"/>
        <v>0</v>
      </c>
      <c r="R1593" s="1423">
        <f t="shared" ca="1" si="2346"/>
        <v>0</v>
      </c>
      <c r="S1593" s="1423">
        <f t="shared" ca="1" si="2347"/>
        <v>0</v>
      </c>
      <c r="T1593" s="1423">
        <f t="shared" ca="1" si="2348"/>
        <v>0</v>
      </c>
      <c r="U1593" s="1423">
        <f t="shared" ca="1" si="2349"/>
        <v>0</v>
      </c>
      <c r="V1593" s="1423">
        <f t="shared" ca="1" si="2350"/>
        <v>0</v>
      </c>
      <c r="W1593" s="1423">
        <f t="shared" ca="1" si="2351"/>
        <v>0</v>
      </c>
      <c r="X1593" s="202"/>
      <c r="Y1593" s="202"/>
      <c r="Z1593" s="202"/>
      <c r="AA1593" s="152"/>
      <c r="AB1593" s="152"/>
    </row>
    <row r="1594" spans="1:28" hidden="1" outlineLevel="1">
      <c r="A1594" s="199">
        <f t="shared" si="2352"/>
        <v>9</v>
      </c>
      <c r="B1594" s="190" t="str">
        <f t="shared" ca="1" si="2353"/>
        <v>Depreciated Net Capex 2024-25</v>
      </c>
      <c r="C1594" s="1426"/>
      <c r="D1594" s="1426"/>
      <c r="E1594" s="1426"/>
      <c r="F1594" s="1426"/>
      <c r="G1594" s="1426"/>
      <c r="H1594" s="1426"/>
      <c r="I1594" s="1426"/>
      <c r="J1594" s="1426"/>
      <c r="K1594" s="1427"/>
      <c r="L1594" s="1428">
        <f>(L1580*((1+L$11)^0.5)/L$10)</f>
        <v>0</v>
      </c>
      <c r="M1594" s="1423">
        <f ca="1">IF(L1618="n/a",L1594,IFERROR(IF((OFFSET($C1594,0,$A1594))&lt;0,
MIN(0,L1594-(OFFSET($C1594,0,$A1594)/(OFFSET($C1589,-$A1593,$A1594)))),
MAX(0,L1594-(OFFSET($C1594,0,$A1594)/(OFFSET($C1589,-$A1593,$A1594))))),0))</f>
        <v>0</v>
      </c>
      <c r="N1594" s="1423">
        <f t="shared" ca="1" si="2342"/>
        <v>0</v>
      </c>
      <c r="O1594" s="1423">
        <f t="shared" ca="1" si="2343"/>
        <v>0</v>
      </c>
      <c r="P1594" s="1423">
        <f t="shared" ca="1" si="2344"/>
        <v>0</v>
      </c>
      <c r="Q1594" s="1423">
        <f t="shared" ca="1" si="2345"/>
        <v>0</v>
      </c>
      <c r="R1594" s="1423">
        <f t="shared" ca="1" si="2346"/>
        <v>0</v>
      </c>
      <c r="S1594" s="1423">
        <f t="shared" ca="1" si="2347"/>
        <v>0</v>
      </c>
      <c r="T1594" s="1423">
        <f t="shared" ca="1" si="2348"/>
        <v>0</v>
      </c>
      <c r="U1594" s="1423">
        <f t="shared" ca="1" si="2349"/>
        <v>0</v>
      </c>
      <c r="V1594" s="1423">
        <f t="shared" ca="1" si="2350"/>
        <v>0</v>
      </c>
      <c r="W1594" s="1423">
        <f t="shared" ca="1" si="2351"/>
        <v>0</v>
      </c>
      <c r="X1594" s="202"/>
      <c r="Y1594" s="202"/>
      <c r="Z1594" s="202"/>
      <c r="AA1594" s="152"/>
      <c r="AB1594" s="152"/>
    </row>
    <row r="1595" spans="1:28" hidden="1" outlineLevel="1">
      <c r="A1595" s="199">
        <f t="shared" si="2352"/>
        <v>10</v>
      </c>
      <c r="B1595" s="190" t="str">
        <f t="shared" ca="1" si="2353"/>
        <v>Depreciated Net Capex 2025-26</v>
      </c>
      <c r="C1595" s="1426"/>
      <c r="D1595" s="1426"/>
      <c r="E1595" s="1426"/>
      <c r="F1595" s="1426"/>
      <c r="G1595" s="1426"/>
      <c r="H1595" s="1426"/>
      <c r="I1595" s="1426"/>
      <c r="J1595" s="1426"/>
      <c r="K1595" s="1426"/>
      <c r="L1595" s="1427"/>
      <c r="M1595" s="1428">
        <f>(M1580*((1+M$11)^0.5)/M$10)</f>
        <v>0</v>
      </c>
      <c r="N1595" s="1423">
        <f ca="1">IF(M1619="n/a",M1595,IFERROR(IF((OFFSET($C1595,0,$A1595))&lt;0,
MIN(0,M1595-(OFFSET($C1595,0,$A1595)/(OFFSET($C1590,-$A1594,$A1595)))),
MAX(0,M1595-(OFFSET($C1595,0,$A1595)/(OFFSET($C1590,-$A1594,$A1595))))),0))</f>
        <v>0</v>
      </c>
      <c r="O1595" s="1423">
        <f t="shared" ca="1" si="2343"/>
        <v>0</v>
      </c>
      <c r="P1595" s="1423">
        <f t="shared" ca="1" si="2344"/>
        <v>0</v>
      </c>
      <c r="Q1595" s="1423">
        <f t="shared" ca="1" si="2345"/>
        <v>0</v>
      </c>
      <c r="R1595" s="1423">
        <f t="shared" ca="1" si="2346"/>
        <v>0</v>
      </c>
      <c r="S1595" s="1423">
        <f t="shared" ca="1" si="2347"/>
        <v>0</v>
      </c>
      <c r="T1595" s="1423">
        <f t="shared" ca="1" si="2348"/>
        <v>0</v>
      </c>
      <c r="U1595" s="1423">
        <f t="shared" ca="1" si="2349"/>
        <v>0</v>
      </c>
      <c r="V1595" s="1423">
        <f t="shared" ca="1" si="2350"/>
        <v>0</v>
      </c>
      <c r="W1595" s="1423">
        <f t="shared" ca="1" si="2351"/>
        <v>0</v>
      </c>
      <c r="X1595" s="202"/>
      <c r="Y1595" s="202"/>
      <c r="Z1595" s="202"/>
      <c r="AA1595" s="152"/>
      <c r="AB1595" s="152"/>
    </row>
    <row r="1596" spans="1:28" hidden="1" outlineLevel="1">
      <c r="A1596" s="199">
        <f t="shared" si="2352"/>
        <v>11</v>
      </c>
      <c r="B1596" s="190" t="str">
        <f t="shared" ca="1" si="2353"/>
        <v>Depreciated Net Capex 2026-27</v>
      </c>
      <c r="C1596" s="1426"/>
      <c r="D1596" s="1426"/>
      <c r="E1596" s="1426"/>
      <c r="F1596" s="1426"/>
      <c r="G1596" s="1426"/>
      <c r="H1596" s="1426"/>
      <c r="I1596" s="1426"/>
      <c r="J1596" s="1426"/>
      <c r="K1596" s="1426"/>
      <c r="L1596" s="1426"/>
      <c r="M1596" s="1427"/>
      <c r="N1596" s="1428">
        <f>(N1580*((1+N$11)^0.5)/N$10)</f>
        <v>0</v>
      </c>
      <c r="O1596" s="1423">
        <f ca="1">IF(N1620="n/a",N1596,IFERROR(IF((OFFSET($C1596,0,$A1596))&lt;0,
MIN(0,N1596-(OFFSET($C1596,0,$A1596)/(OFFSET($C1591,-$A1595,$A1596)))),
MAX(0,N1596-(OFFSET($C1596,0,$A1596)/(OFFSET($C1591,-$A1595,$A1596))))),0))</f>
        <v>0</v>
      </c>
      <c r="P1596" s="1423">
        <f t="shared" ca="1" si="2344"/>
        <v>0</v>
      </c>
      <c r="Q1596" s="1423">
        <f t="shared" ca="1" si="2345"/>
        <v>0</v>
      </c>
      <c r="R1596" s="1423">
        <f t="shared" ca="1" si="2346"/>
        <v>0</v>
      </c>
      <c r="S1596" s="1423">
        <f t="shared" ca="1" si="2347"/>
        <v>0</v>
      </c>
      <c r="T1596" s="1423">
        <f t="shared" ca="1" si="2348"/>
        <v>0</v>
      </c>
      <c r="U1596" s="1423">
        <f t="shared" ca="1" si="2349"/>
        <v>0</v>
      </c>
      <c r="V1596" s="1423">
        <f t="shared" ca="1" si="2350"/>
        <v>0</v>
      </c>
      <c r="W1596" s="1423">
        <f t="shared" ca="1" si="2351"/>
        <v>0</v>
      </c>
      <c r="X1596" s="202"/>
      <c r="Y1596" s="202"/>
      <c r="Z1596" s="202"/>
      <c r="AA1596" s="152"/>
      <c r="AB1596" s="152"/>
    </row>
    <row r="1597" spans="1:28" hidden="1" outlineLevel="1">
      <c r="A1597" s="199">
        <f t="shared" si="2352"/>
        <v>12</v>
      </c>
      <c r="B1597" s="190" t="str">
        <f t="shared" ca="1" si="2353"/>
        <v>Depreciated Net Capex 2027-28</v>
      </c>
      <c r="C1597" s="1426"/>
      <c r="D1597" s="1426"/>
      <c r="E1597" s="1426"/>
      <c r="F1597" s="1426"/>
      <c r="G1597" s="1426"/>
      <c r="H1597" s="1426"/>
      <c r="I1597" s="1426"/>
      <c r="J1597" s="1426"/>
      <c r="K1597" s="1426"/>
      <c r="L1597" s="1426"/>
      <c r="M1597" s="1426"/>
      <c r="N1597" s="1427"/>
      <c r="O1597" s="1428">
        <f>(O1580*((1+O$11)^0.5)/O$10)</f>
        <v>0</v>
      </c>
      <c r="P1597" s="1423">
        <f ca="1">IF(O1621="n/a",O1597,IFERROR(IF((OFFSET($C1597,0,$A1597))&lt;0,
MIN(0,O1597-(OFFSET($C1597,0,$A1597)/(OFFSET($C1592,-$A1596,$A1597)))),
MAX(0,O1597-(OFFSET($C1597,0,$A1597)/(OFFSET($C1592,-$A1596,$A1597))))),0))</f>
        <v>0</v>
      </c>
      <c r="Q1597" s="1423">
        <f t="shared" ca="1" si="2345"/>
        <v>0</v>
      </c>
      <c r="R1597" s="1423">
        <f t="shared" ca="1" si="2346"/>
        <v>0</v>
      </c>
      <c r="S1597" s="1423">
        <f t="shared" ca="1" si="2347"/>
        <v>0</v>
      </c>
      <c r="T1597" s="1423">
        <f t="shared" ca="1" si="2348"/>
        <v>0</v>
      </c>
      <c r="U1597" s="1423">
        <f t="shared" ca="1" si="2349"/>
        <v>0</v>
      </c>
      <c r="V1597" s="1423">
        <f t="shared" ca="1" si="2350"/>
        <v>0</v>
      </c>
      <c r="W1597" s="1423">
        <f t="shared" ca="1" si="2351"/>
        <v>0</v>
      </c>
      <c r="X1597" s="202"/>
      <c r="Y1597" s="202"/>
      <c r="Z1597" s="202"/>
      <c r="AA1597" s="152"/>
      <c r="AB1597" s="152"/>
    </row>
    <row r="1598" spans="1:28" hidden="1" outlineLevel="1">
      <c r="A1598" s="199">
        <f t="shared" si="2352"/>
        <v>13</v>
      </c>
      <c r="B1598" s="190" t="str">
        <f t="shared" ca="1" si="2353"/>
        <v>Depreciated Net Capex 2028-29</v>
      </c>
      <c r="C1598" s="1426"/>
      <c r="D1598" s="1426"/>
      <c r="E1598" s="1426"/>
      <c r="F1598" s="1426"/>
      <c r="G1598" s="1426"/>
      <c r="H1598" s="1426"/>
      <c r="I1598" s="1426"/>
      <c r="J1598" s="1426"/>
      <c r="K1598" s="1426"/>
      <c r="L1598" s="1426"/>
      <c r="M1598" s="1426"/>
      <c r="N1598" s="1426"/>
      <c r="O1598" s="1427"/>
      <c r="P1598" s="1428">
        <f>(P1580*((1+P$11)^0.5)/P$10)</f>
        <v>0</v>
      </c>
      <c r="Q1598" s="1423">
        <f ca="1">IF(P1622="n/a",P1598,IFERROR(IF((OFFSET($C1598,0,$A1598))&lt;0,
MIN(0,P1598-(OFFSET($C1598,0,$A1598)/(OFFSET($C1593,-$A1597,$A1598)))),
MAX(0,P1598-(OFFSET($C1598,0,$A1598)/(OFFSET($C1593,-$A1597,$A1598))))),0))</f>
        <v>0</v>
      </c>
      <c r="R1598" s="1423">
        <f t="shared" ca="1" si="2346"/>
        <v>0</v>
      </c>
      <c r="S1598" s="1423">
        <f t="shared" ca="1" si="2347"/>
        <v>0</v>
      </c>
      <c r="T1598" s="1423">
        <f t="shared" ca="1" si="2348"/>
        <v>0</v>
      </c>
      <c r="U1598" s="1423">
        <f t="shared" ca="1" si="2349"/>
        <v>0</v>
      </c>
      <c r="V1598" s="1423">
        <f t="shared" ca="1" si="2350"/>
        <v>0</v>
      </c>
      <c r="W1598" s="1423">
        <f t="shared" ca="1" si="2351"/>
        <v>0</v>
      </c>
      <c r="X1598" s="202"/>
      <c r="Y1598" s="202"/>
      <c r="Z1598" s="202"/>
      <c r="AA1598" s="152"/>
      <c r="AB1598" s="152"/>
    </row>
    <row r="1599" spans="1:28" hidden="1" outlineLevel="1">
      <c r="A1599" s="199">
        <f t="shared" si="2352"/>
        <v>14</v>
      </c>
      <c r="B1599" s="190" t="str">
        <f t="shared" ca="1" si="2353"/>
        <v>Depreciated Net Capex 2029-30</v>
      </c>
      <c r="C1599" s="1426"/>
      <c r="D1599" s="1426"/>
      <c r="E1599" s="1426"/>
      <c r="F1599" s="1426"/>
      <c r="G1599" s="1426"/>
      <c r="H1599" s="1426"/>
      <c r="I1599" s="1426"/>
      <c r="J1599" s="1426"/>
      <c r="K1599" s="1426"/>
      <c r="L1599" s="1426"/>
      <c r="M1599" s="1426"/>
      <c r="N1599" s="1426"/>
      <c r="O1599" s="1426"/>
      <c r="P1599" s="1427"/>
      <c r="Q1599" s="1428">
        <f>(Q1580*((1+Q$11)^0.5)/Q$10)</f>
        <v>0</v>
      </c>
      <c r="R1599" s="1423">
        <f ca="1">IF(Q1623="n/a",Q1599,IFERROR(IF((OFFSET($C1599,0,$A1599))&lt;0,
MIN(0,Q1599-(OFFSET($C1599,0,$A1599)/(OFFSET($C1594,-$A1598,$A1599)))),
MAX(0,Q1599-(OFFSET($C1599,0,$A1599)/(OFFSET($C1594,-$A1598,$A1599))))),0))</f>
        <v>0</v>
      </c>
      <c r="S1599" s="1423">
        <f t="shared" ca="1" si="2347"/>
        <v>0</v>
      </c>
      <c r="T1599" s="1423">
        <f t="shared" ca="1" si="2348"/>
        <v>0</v>
      </c>
      <c r="U1599" s="1423">
        <f t="shared" ca="1" si="2349"/>
        <v>0</v>
      </c>
      <c r="V1599" s="1423">
        <f t="shared" ca="1" si="2350"/>
        <v>0</v>
      </c>
      <c r="W1599" s="1423">
        <f t="shared" ca="1" si="2351"/>
        <v>0</v>
      </c>
      <c r="X1599" s="202"/>
      <c r="Y1599" s="202"/>
      <c r="Z1599" s="202"/>
      <c r="AA1599" s="152"/>
      <c r="AB1599" s="152"/>
    </row>
    <row r="1600" spans="1:28" hidden="1" outlineLevel="1">
      <c r="A1600" s="199">
        <f t="shared" si="2352"/>
        <v>15</v>
      </c>
      <c r="B1600" s="190" t="str">
        <f t="shared" ca="1" si="2353"/>
        <v>Depreciated Net Capex 2030-31</v>
      </c>
      <c r="C1600" s="1426"/>
      <c r="D1600" s="1426"/>
      <c r="E1600" s="1426"/>
      <c r="F1600" s="1426"/>
      <c r="G1600" s="1426"/>
      <c r="H1600" s="1426"/>
      <c r="I1600" s="1426"/>
      <c r="J1600" s="1426"/>
      <c r="K1600" s="1426"/>
      <c r="L1600" s="1426"/>
      <c r="M1600" s="1426"/>
      <c r="N1600" s="1426"/>
      <c r="O1600" s="1426"/>
      <c r="P1600" s="1426"/>
      <c r="Q1600" s="1427"/>
      <c r="R1600" s="1428">
        <f>(R1580*((1+R$11)^0.5)/R$10)</f>
        <v>0</v>
      </c>
      <c r="S1600" s="1423">
        <f ca="1">IF(R1624="n/a",R1600,IFERROR(IF((OFFSET($C1600,0,$A1600))&lt;0,
MIN(0,R1600-(OFFSET($C1600,0,$A1600)/(OFFSET($C1595,-$A1599,$A1600)))),
MAX(0,R1600-(OFFSET($C1600,0,$A1600)/(OFFSET($C1595,-$A1599,$A1600))))),0))</f>
        <v>0</v>
      </c>
      <c r="T1600" s="1423">
        <f t="shared" ca="1" si="2348"/>
        <v>0</v>
      </c>
      <c r="U1600" s="1423">
        <f t="shared" ca="1" si="2349"/>
        <v>0</v>
      </c>
      <c r="V1600" s="1423">
        <f t="shared" ca="1" si="2350"/>
        <v>0</v>
      </c>
      <c r="W1600" s="1423">
        <f t="shared" ca="1" si="2351"/>
        <v>0</v>
      </c>
      <c r="X1600" s="202"/>
      <c r="Y1600" s="202"/>
      <c r="Z1600" s="202"/>
      <c r="AA1600" s="152"/>
      <c r="AB1600" s="152"/>
    </row>
    <row r="1601" spans="1:28" hidden="1" outlineLevel="1">
      <c r="A1601" s="199">
        <f t="shared" si="2352"/>
        <v>16</v>
      </c>
      <c r="B1601" s="190" t="str">
        <f t="shared" ca="1" si="2353"/>
        <v>Depreciated Net Capex 2031-32</v>
      </c>
      <c r="C1601" s="1426"/>
      <c r="D1601" s="1426"/>
      <c r="E1601" s="1426"/>
      <c r="F1601" s="1426"/>
      <c r="G1601" s="1426"/>
      <c r="H1601" s="1426"/>
      <c r="I1601" s="1426"/>
      <c r="J1601" s="1426"/>
      <c r="K1601" s="1426"/>
      <c r="L1601" s="1426"/>
      <c r="M1601" s="1426"/>
      <c r="N1601" s="1426"/>
      <c r="O1601" s="1426"/>
      <c r="P1601" s="1426"/>
      <c r="Q1601" s="1426"/>
      <c r="R1601" s="1427"/>
      <c r="S1601" s="1428">
        <f>(S1580*((1+S$11)^0.5)/S$10)</f>
        <v>0</v>
      </c>
      <c r="T1601" s="1423">
        <f ca="1">IF(S1625="n/a",S1601,IFERROR(IF((OFFSET($C1601,0,$A1601))&lt;0,
MIN(0,S1601-(OFFSET($C1601,0,$A1601)/(OFFSET($C1596,-$A1600,$A1601)))),
MAX(0,S1601-(OFFSET($C1601,0,$A1601)/(OFFSET($C1596,-$A1600,$A1601))))),0))</f>
        <v>0</v>
      </c>
      <c r="U1601" s="1423">
        <f t="shared" ca="1" si="2349"/>
        <v>0</v>
      </c>
      <c r="V1601" s="1423">
        <f t="shared" ca="1" si="2350"/>
        <v>0</v>
      </c>
      <c r="W1601" s="1423">
        <f t="shared" ca="1" si="2351"/>
        <v>0</v>
      </c>
      <c r="X1601" s="202"/>
      <c r="Y1601" s="202"/>
      <c r="Z1601" s="202"/>
      <c r="AA1601" s="152"/>
      <c r="AB1601" s="152"/>
    </row>
    <row r="1602" spans="1:28" hidden="1" outlineLevel="1">
      <c r="A1602" s="199">
        <f t="shared" si="2352"/>
        <v>17</v>
      </c>
      <c r="B1602" s="190" t="str">
        <f t="shared" ca="1" si="2353"/>
        <v>Depreciated Net Capex 2032-33</v>
      </c>
      <c r="C1602" s="1426"/>
      <c r="D1602" s="1426"/>
      <c r="E1602" s="1426"/>
      <c r="F1602" s="1426"/>
      <c r="G1602" s="1426"/>
      <c r="H1602" s="1426"/>
      <c r="I1602" s="1426"/>
      <c r="J1602" s="1426"/>
      <c r="K1602" s="1426"/>
      <c r="L1602" s="1426"/>
      <c r="M1602" s="1426"/>
      <c r="N1602" s="1426"/>
      <c r="O1602" s="1426"/>
      <c r="P1602" s="1426"/>
      <c r="Q1602" s="1426"/>
      <c r="R1602" s="1426"/>
      <c r="S1602" s="1427"/>
      <c r="T1602" s="1428">
        <f>(T1580*((1+T$11)^0.5)/T$10)</f>
        <v>0</v>
      </c>
      <c r="U1602" s="1423">
        <f ca="1">IF(T1626="n/a",T1602,IFERROR(IF((OFFSET($C1602,0,$A1602))&lt;0,
MIN(0,T1602-(OFFSET($C1602,0,$A1602)/(OFFSET($C1597,-$A1601,$A1602)))),
MAX(0,T1602-(OFFSET($C1602,0,$A1602)/(OFFSET($C1597,-$A1601,$A1602))))),0))</f>
        <v>0</v>
      </c>
      <c r="V1602" s="1423">
        <f t="shared" ca="1" si="2350"/>
        <v>0</v>
      </c>
      <c r="W1602" s="1423">
        <f t="shared" ca="1" si="2351"/>
        <v>0</v>
      </c>
      <c r="X1602" s="202"/>
      <c r="Y1602" s="202"/>
      <c r="Z1602" s="202"/>
      <c r="AA1602" s="152"/>
      <c r="AB1602" s="152"/>
    </row>
    <row r="1603" spans="1:28" hidden="1" outlineLevel="1">
      <c r="A1603" s="199">
        <f t="shared" si="2352"/>
        <v>18</v>
      </c>
      <c r="B1603" s="190" t="str">
        <f t="shared" ca="1" si="2353"/>
        <v>Depreciated Net Capex 2033-34</v>
      </c>
      <c r="C1603" s="1426"/>
      <c r="D1603" s="1426"/>
      <c r="E1603" s="1426"/>
      <c r="F1603" s="1426"/>
      <c r="G1603" s="1426"/>
      <c r="H1603" s="1426"/>
      <c r="I1603" s="1426"/>
      <c r="J1603" s="1426"/>
      <c r="K1603" s="1426"/>
      <c r="L1603" s="1426"/>
      <c r="M1603" s="1426"/>
      <c r="N1603" s="1426"/>
      <c r="O1603" s="1426"/>
      <c r="P1603" s="1426"/>
      <c r="Q1603" s="1426"/>
      <c r="R1603" s="1426"/>
      <c r="S1603" s="1426"/>
      <c r="T1603" s="1427"/>
      <c r="U1603" s="1428">
        <f>(U1580*((1+U$11)^0.5)/U$10)</f>
        <v>0</v>
      </c>
      <c r="V1603" s="1423">
        <f ca="1">IF(U1627="n/a",U1603,IFERROR(IF((OFFSET($C1603,0,$A1603))&lt;0,
MIN(0,U1603-(OFFSET($C1603,0,$A1603)/(OFFSET($C1598,-$A1602,$A1603)))),
MAX(0,U1603-(OFFSET($C1603,0,$A1603)/(OFFSET($C1598,-$A1602,$A1603))))),0))</f>
        <v>0</v>
      </c>
      <c r="W1603" s="1423">
        <f t="shared" ca="1" si="2351"/>
        <v>0</v>
      </c>
      <c r="X1603" s="202"/>
      <c r="Y1603" s="202"/>
      <c r="Z1603" s="202"/>
      <c r="AA1603" s="152"/>
      <c r="AB1603" s="152"/>
    </row>
    <row r="1604" spans="1:28" hidden="1" outlineLevel="1">
      <c r="A1604" s="199">
        <f t="shared" si="2352"/>
        <v>19</v>
      </c>
      <c r="B1604" s="190" t="str">
        <f t="shared" ca="1" si="2353"/>
        <v>Depreciated Net Capex 2034-35</v>
      </c>
      <c r="C1604" s="1426"/>
      <c r="D1604" s="1426"/>
      <c r="E1604" s="1426"/>
      <c r="F1604" s="1426"/>
      <c r="G1604" s="1426"/>
      <c r="H1604" s="1426"/>
      <c r="I1604" s="1426"/>
      <c r="J1604" s="1426"/>
      <c r="K1604" s="1426"/>
      <c r="L1604" s="1426"/>
      <c r="M1604" s="1426"/>
      <c r="N1604" s="1426"/>
      <c r="O1604" s="1426"/>
      <c r="P1604" s="1426"/>
      <c r="Q1604" s="1426"/>
      <c r="R1604" s="1426"/>
      <c r="S1604" s="1426"/>
      <c r="T1604" s="1426"/>
      <c r="U1604" s="1427"/>
      <c r="V1604" s="1428">
        <f>(V1580*((1+V$11)^0.5)/V$10)</f>
        <v>0</v>
      </c>
      <c r="W1604" s="1423">
        <f ca="1">IF(V1628="n/a",V1604,IFERROR(IF((OFFSET($C1604,0,$A1604))&lt;0,
MIN(0,V1604-(OFFSET($C1604,0,$A1604)/(OFFSET($C1599,-$A1603,$A1604)))),
MAX(0,V1604-(OFFSET($C1604,0,$A1604)/(OFFSET($C1599,-$A1603,$A1604))))),0))</f>
        <v>0</v>
      </c>
      <c r="X1604" s="202"/>
      <c r="Y1604" s="202"/>
      <c r="Z1604" s="202"/>
      <c r="AA1604" s="152"/>
      <c r="AB1604" s="152"/>
    </row>
    <row r="1605" spans="1:28" hidden="1" outlineLevel="1">
      <c r="A1605" s="199">
        <f t="shared" si="2352"/>
        <v>20</v>
      </c>
      <c r="B1605" s="190" t="str">
        <f ca="1">"Depreciated Net Capex "&amp;OFFSET($C$6,0,A1605)</f>
        <v>Depreciated Net Capex 2035-36</v>
      </c>
      <c r="C1605" s="1426"/>
      <c r="D1605" s="1426"/>
      <c r="E1605" s="1426"/>
      <c r="F1605" s="1426"/>
      <c r="G1605" s="1426"/>
      <c r="H1605" s="1426"/>
      <c r="I1605" s="1426"/>
      <c r="J1605" s="1426"/>
      <c r="K1605" s="1426"/>
      <c r="L1605" s="1426"/>
      <c r="M1605" s="1426"/>
      <c r="N1605" s="1426"/>
      <c r="O1605" s="1426"/>
      <c r="P1605" s="1426"/>
      <c r="Q1605" s="1426"/>
      <c r="R1605" s="1426"/>
      <c r="S1605" s="1426"/>
      <c r="T1605" s="1426"/>
      <c r="U1605" s="1426"/>
      <c r="V1605" s="1427"/>
      <c r="W1605" s="1423">
        <f>(W1580*((1+W$11)^0.5)/W$10)</f>
        <v>0</v>
      </c>
      <c r="X1605" s="152"/>
      <c r="Y1605" s="152"/>
      <c r="Z1605" s="152"/>
      <c r="AA1605" s="152"/>
      <c r="AB1605" s="152"/>
    </row>
    <row r="1606" spans="1:28" hidden="1" outlineLevel="1">
      <c r="A1606" s="152"/>
      <c r="B1606" s="200"/>
      <c r="C1606" s="1423"/>
      <c r="D1606" s="1423"/>
      <c r="E1606" s="1423"/>
      <c r="F1606" s="1423"/>
      <c r="G1606" s="1423"/>
      <c r="H1606" s="1423"/>
      <c r="I1606" s="1423"/>
      <c r="J1606" s="1423"/>
      <c r="K1606" s="1423"/>
      <c r="L1606" s="1423"/>
      <c r="M1606" s="1423"/>
      <c r="N1606" s="1423"/>
      <c r="O1606" s="1423"/>
      <c r="P1606" s="1423"/>
      <c r="Q1606" s="1423"/>
      <c r="R1606" s="1423"/>
      <c r="S1606" s="1423"/>
      <c r="T1606" s="1423"/>
      <c r="U1606" s="1423"/>
      <c r="V1606" s="1423"/>
      <c r="W1606" s="1423"/>
      <c r="X1606" s="152"/>
      <c r="Y1606" s="152"/>
      <c r="Z1606" s="152"/>
      <c r="AA1606" s="152"/>
      <c r="AB1606" s="152"/>
    </row>
    <row r="1607" spans="1:28" hidden="1" outlineLevel="1">
      <c r="A1607" s="152"/>
      <c r="B1607" s="200"/>
      <c r="C1607" s="1423"/>
      <c r="D1607" s="1423"/>
      <c r="E1607" s="1423"/>
      <c r="F1607" s="1423"/>
      <c r="G1607" s="1423"/>
      <c r="H1607" s="1423"/>
      <c r="I1607" s="1423"/>
      <c r="J1607" s="1423"/>
      <c r="K1607" s="1423"/>
      <c r="L1607" s="1423"/>
      <c r="M1607" s="1423"/>
      <c r="N1607" s="1423"/>
      <c r="O1607" s="1423"/>
      <c r="P1607" s="1423"/>
      <c r="Q1607" s="1423"/>
      <c r="R1607" s="1423"/>
      <c r="S1607" s="1423"/>
      <c r="T1607" s="1423"/>
      <c r="U1607" s="1423"/>
      <c r="V1607" s="1423"/>
      <c r="W1607" s="1423"/>
      <c r="X1607" s="152"/>
      <c r="Y1607" s="152"/>
      <c r="Z1607" s="152"/>
      <c r="AA1607" s="152"/>
      <c r="AB1607" s="152"/>
    </row>
    <row r="1608" spans="1:28" hidden="1" outlineLevel="1">
      <c r="A1608" s="152"/>
      <c r="B1608" s="190" t="s">
        <v>190</v>
      </c>
      <c r="C1608" s="1423"/>
      <c r="D1608" s="1423">
        <f ca="1">IF(AND(C1608&lt;1,D1582=0),0,
IF(D1582=0,C1608-1,
IF(C1608&lt;1,D1583,
(((C1608-1)*(C1584-(C1584/(C1608))))+((D1582/D$10)*D1583))/(D1584))))</f>
        <v>0</v>
      </c>
      <c r="E1608" s="1423">
        <f t="shared" ref="E1608" ca="1" si="2354">IF(AND(D1608&lt;1,E1582=0),0,
IF(E1582=0,D1608-1,
IF(D1608&lt;1,E1583,
(((D1608-1)*(D1584-(D1584/(D1608))))+((E1582/E$10)*E1583))/(E1584))))</f>
        <v>0</v>
      </c>
      <c r="F1608" s="1423">
        <f t="shared" ref="F1608" ca="1" si="2355">IF(AND(E1608&lt;1,F1582=0),0,
IF(F1582=0,E1608-1,
IF(E1608&lt;1,F1583,
(((E1608-1)*(E1584-(E1584/(E1608))))+((F1582/F$10)*F1583))/(F1584))))</f>
        <v>0</v>
      </c>
      <c r="G1608" s="1423">
        <f t="shared" ref="G1608" ca="1" si="2356">IF(AND(F1608&lt;1,G1582=0),0,
IF(G1582=0,F1608-1,
IF(F1608&lt;1,G1583,
(((F1608-1)*(F1584-(F1584/(F1608))))+((G1582/G$10)*G1583))/(G1584))))</f>
        <v>0</v>
      </c>
      <c r="H1608" s="1423">
        <f t="shared" ref="H1608" ca="1" si="2357">IF(AND(G1608&lt;1,H1582=0),0,
IF(H1582=0,G1608-1,
IF(G1608&lt;1,H1583,
(((G1608-1)*(G1584-(G1584/(G1608))))+((H1582/H$10)*H1583))/(H1584))))</f>
        <v>0</v>
      </c>
      <c r="I1608" s="1423">
        <f t="shared" ref="I1608" ca="1" si="2358">IF(AND(H1608&lt;1,I1582=0),0,
IF(I1582=0,H1608-1,
IF(H1608&lt;1,I1583,
(((H1608-1)*(H1584-(H1584/(H1608))))+((I1582/I$10)*I1583))/(I1584))))</f>
        <v>0</v>
      </c>
      <c r="J1608" s="1423">
        <f t="shared" ref="J1608" ca="1" si="2359">IF(AND(I1608&lt;1,J1582=0),0,
IF(J1582=0,I1608-1,
IF(I1608&lt;1,J1583,
(((I1608-1)*(I1584-(I1584/(I1608))))+((J1582/J$10)*J1583))/(J1584))))</f>
        <v>0</v>
      </c>
      <c r="K1608" s="1423">
        <f t="shared" ref="K1608" ca="1" si="2360">IF(AND(J1608&lt;1,K1582=0),0,
IF(K1582=0,J1608-1,
IF(J1608&lt;1,K1583,
(((J1608-1)*(J1584-(J1584/(J1608))))+((K1582/K$10)*K1583))/(K1584))))</f>
        <v>0</v>
      </c>
      <c r="L1608" s="1423">
        <f t="shared" ref="L1608" ca="1" si="2361">IF(AND(K1608&lt;1,L1582=0),0,
IF(L1582=0,K1608-1,
IF(K1608&lt;1,L1583,
(((K1608-1)*(K1584-(K1584/(K1608))))+((L1582/L$10)*L1583))/(L1584))))</f>
        <v>0</v>
      </c>
      <c r="M1608" s="1423">
        <f t="shared" ref="M1608" ca="1" si="2362">IF(AND(L1608&lt;1,M1582=0),0,
IF(M1582=0,L1608-1,
IF(L1608&lt;1,M1583,
(((L1608-1)*(L1584-(L1584/(L1608))))+((M1582/M$10)*M1583))/(M1584))))</f>
        <v>0</v>
      </c>
      <c r="N1608" s="1423">
        <f t="shared" ref="N1608" ca="1" si="2363">IF(AND(M1608&lt;1,N1582=0),0,
IF(N1582=0,M1608-1,
IF(M1608&lt;1,N1583,
(((M1608-1)*(M1584-(M1584/(M1608))))+((N1582/N$10)*N1583))/(N1584))))</f>
        <v>0</v>
      </c>
      <c r="O1608" s="1423">
        <f t="shared" ref="O1608" ca="1" si="2364">IF(AND(N1608&lt;1,O1582=0),0,
IF(O1582=0,N1608-1,
IF(N1608&lt;1,O1583,
(((N1608-1)*(N1584-(N1584/(N1608))))+((O1582/O$10)*O1583))/(O1584))))</f>
        <v>0</v>
      </c>
      <c r="P1608" s="1423">
        <f t="shared" ref="P1608" ca="1" si="2365">IF(AND(O1608&lt;1,P1582=0),0,
IF(P1582=0,O1608-1,
IF(O1608&lt;1,P1583,
(((O1608-1)*(O1584-(O1584/(O1608))))+((P1582/P$10)*P1583))/(P1584))))</f>
        <v>0</v>
      </c>
      <c r="Q1608" s="1423">
        <f t="shared" ref="Q1608" ca="1" si="2366">IF(AND(P1608&lt;1,Q1582=0),0,
IF(Q1582=0,P1608-1,
IF(P1608&lt;1,Q1583,
(((P1608-1)*(P1584-(P1584/(P1608))))+((Q1582/Q$10)*Q1583))/(Q1584))))</f>
        <v>0</v>
      </c>
      <c r="R1608" s="1423">
        <f t="shared" ref="R1608" ca="1" si="2367">IF(AND(Q1608&lt;1,R1582=0),0,
IF(R1582=0,Q1608-1,
IF(Q1608&lt;1,R1583,
(((Q1608-1)*(Q1584-(Q1584/(Q1608))))+((R1582/R$10)*R1583))/(R1584))))</f>
        <v>0</v>
      </c>
      <c r="S1608" s="1423">
        <f t="shared" ref="S1608" ca="1" si="2368">IF(AND(R1608&lt;1,S1582=0),0,
IF(S1582=0,R1608-1,
IF(R1608&lt;1,S1583,
(((R1608-1)*(R1584-(R1584/(R1608))))+((S1582/S$10)*S1583))/(S1584))))</f>
        <v>0</v>
      </c>
      <c r="T1608" s="1423">
        <f t="shared" ref="T1608" ca="1" si="2369">IF(AND(S1608&lt;1,T1582=0),0,
IF(T1582=0,S1608-1,
IF(S1608&lt;1,T1583,
(((S1608-1)*(S1584-(S1584/(S1608))))+((T1582/T$10)*T1583))/(T1584))))</f>
        <v>0</v>
      </c>
      <c r="U1608" s="1423">
        <f t="shared" ref="U1608" ca="1" si="2370">IF(AND(T1608&lt;1,U1582=0),0,
IF(U1582=0,T1608-1,
IF(T1608&lt;1,U1583,
(((T1608-1)*(T1584-(T1584/(T1608))))+((U1582/U$10)*U1583))/(U1584))))</f>
        <v>0</v>
      </c>
      <c r="V1608" s="1423">
        <f t="shared" ref="V1608" ca="1" si="2371">IF(AND(U1608&lt;1,V1582=0),0,
IF(V1582=0,U1608-1,
IF(U1608&lt;1,V1583,
(((U1608-1)*(U1584-(U1584/(U1608))))+((V1582/V$10)*V1583))/(V1584))))</f>
        <v>0</v>
      </c>
      <c r="W1608" s="1423">
        <f t="shared" ref="W1608" ca="1" si="2372">IF(AND(V1608&lt;1,W1582=0),0,
IF(W1582=0,V1608-1,
IF(V1608&lt;1,W1583,
(((V1608-1)*(V1584-(V1584/(V1608))))+((W1582/W$10)*W1583))/(W1584))))</f>
        <v>0</v>
      </c>
      <c r="X1608" s="152"/>
      <c r="Y1608" s="152"/>
      <c r="Z1608" s="152"/>
      <c r="AA1608" s="152"/>
      <c r="AB1608" s="152"/>
    </row>
    <row r="1609" spans="1:28" hidden="1" outlineLevel="1">
      <c r="A1609" s="152"/>
      <c r="B1609" s="190" t="s">
        <v>122</v>
      </c>
      <c r="C1609" s="1423">
        <f ca="1">C1581</f>
        <v>0</v>
      </c>
      <c r="D1609" s="1423">
        <f t="shared" ref="D1609" ca="1" si="2373">IF(C1609="n/a","n/a",MAX(0,C1609-1))</f>
        <v>0</v>
      </c>
      <c r="E1609" s="1423">
        <f t="shared" ref="E1609:E1610" ca="1" si="2374">IF(D1609="n/a","n/a",MAX(0,D1609-1))</f>
        <v>0</v>
      </c>
      <c r="F1609" s="1423">
        <f t="shared" ref="F1609:F1611" ca="1" si="2375">IF(E1609="n/a","n/a",MAX(0,E1609-1))</f>
        <v>0</v>
      </c>
      <c r="G1609" s="1423">
        <f t="shared" ref="G1609:G1612" ca="1" si="2376">IF(F1609="n/a","n/a",MAX(0,F1609-1))</f>
        <v>0</v>
      </c>
      <c r="H1609" s="1423">
        <f t="shared" ref="H1609:H1613" ca="1" si="2377">IF(G1609="n/a","n/a",MAX(0,G1609-1))</f>
        <v>0</v>
      </c>
      <c r="I1609" s="1423">
        <f t="shared" ref="I1609:I1614" ca="1" si="2378">IF(H1609="n/a","n/a",MAX(0,H1609-1))</f>
        <v>0</v>
      </c>
      <c r="J1609" s="1423">
        <f t="shared" ref="J1609:J1615" ca="1" si="2379">IF(I1609="n/a","n/a",MAX(0,I1609-1))</f>
        <v>0</v>
      </c>
      <c r="K1609" s="1423">
        <f t="shared" ref="K1609:K1616" ca="1" si="2380">IF(J1609="n/a","n/a",MAX(0,J1609-1))</f>
        <v>0</v>
      </c>
      <c r="L1609" s="1423">
        <f t="shared" ref="L1609:L1617" ca="1" si="2381">IF(K1609="n/a","n/a",MAX(0,K1609-1))</f>
        <v>0</v>
      </c>
      <c r="M1609" s="1423">
        <f t="shared" ref="M1609:M1618" ca="1" si="2382">IF(L1609="n/a","n/a",MAX(0,L1609-1))</f>
        <v>0</v>
      </c>
      <c r="N1609" s="1423">
        <f t="shared" ref="N1609:N1619" ca="1" si="2383">IF(M1609="n/a","n/a",MAX(0,M1609-1))</f>
        <v>0</v>
      </c>
      <c r="O1609" s="1423">
        <f t="shared" ref="O1609:O1620" ca="1" si="2384">IF(N1609="n/a","n/a",MAX(0,N1609-1))</f>
        <v>0</v>
      </c>
      <c r="P1609" s="1423">
        <f t="shared" ref="P1609:P1621" ca="1" si="2385">IF(O1609="n/a","n/a",MAX(0,O1609-1))</f>
        <v>0</v>
      </c>
      <c r="Q1609" s="1423">
        <f t="shared" ref="Q1609:Q1622" ca="1" si="2386">IF(P1609="n/a","n/a",MAX(0,P1609-1))</f>
        <v>0</v>
      </c>
      <c r="R1609" s="1423">
        <f t="shared" ref="R1609:R1623" ca="1" si="2387">IF(Q1609="n/a","n/a",MAX(0,Q1609-1))</f>
        <v>0</v>
      </c>
      <c r="S1609" s="1423">
        <f t="shared" ref="S1609:S1624" ca="1" si="2388">IF(R1609="n/a","n/a",MAX(0,R1609-1))</f>
        <v>0</v>
      </c>
      <c r="T1609" s="1423">
        <f t="shared" ref="T1609:T1625" ca="1" si="2389">IF(S1609="n/a","n/a",MAX(0,S1609-1))</f>
        <v>0</v>
      </c>
      <c r="U1609" s="1423">
        <f t="shared" ref="U1609:U1626" ca="1" si="2390">IF(T1609="n/a","n/a",MAX(0,T1609-1))</f>
        <v>0</v>
      </c>
      <c r="V1609" s="1423">
        <f t="shared" ref="V1609:V1627" ca="1" si="2391">IF(U1609="n/a","n/a",MAX(0,U1609-1))</f>
        <v>0</v>
      </c>
      <c r="W1609" s="1423">
        <f t="shared" ref="W1609:W1627" ca="1" si="2392">IF(V1609="n/a","n/a",MAX(0,V1609-1))</f>
        <v>0</v>
      </c>
      <c r="X1609" s="152"/>
      <c r="Y1609" s="152"/>
      <c r="Z1609" s="152"/>
      <c r="AA1609" s="152"/>
      <c r="AB1609" s="152"/>
    </row>
    <row r="1610" spans="1:28" hidden="1" outlineLevel="1">
      <c r="A1610" s="152"/>
      <c r="B1610" s="190" t="str">
        <f t="shared" ref="B1610:B1629" ca="1" si="2393">"RL Capex "&amp;OFFSET($C$6,0,A1586)</f>
        <v>RL Capex 2016-17</v>
      </c>
      <c r="C1610" s="1424"/>
      <c r="D1610" s="1428">
        <f>D1581</f>
        <v>0</v>
      </c>
      <c r="E1610" s="1423">
        <f t="shared" si="2374"/>
        <v>0</v>
      </c>
      <c r="F1610" s="1423">
        <f t="shared" si="2375"/>
        <v>0</v>
      </c>
      <c r="G1610" s="1423">
        <f t="shared" si="2376"/>
        <v>0</v>
      </c>
      <c r="H1610" s="1423">
        <f t="shared" si="2377"/>
        <v>0</v>
      </c>
      <c r="I1610" s="1423">
        <f t="shared" si="2378"/>
        <v>0</v>
      </c>
      <c r="J1610" s="1423">
        <f t="shared" si="2379"/>
        <v>0</v>
      </c>
      <c r="K1610" s="1423">
        <f t="shared" si="2380"/>
        <v>0</v>
      </c>
      <c r="L1610" s="1423">
        <f t="shared" si="2381"/>
        <v>0</v>
      </c>
      <c r="M1610" s="1423">
        <f t="shared" si="2382"/>
        <v>0</v>
      </c>
      <c r="N1610" s="1423">
        <f t="shared" si="2383"/>
        <v>0</v>
      </c>
      <c r="O1610" s="1423">
        <f t="shared" si="2384"/>
        <v>0</v>
      </c>
      <c r="P1610" s="1423">
        <f t="shared" si="2385"/>
        <v>0</v>
      </c>
      <c r="Q1610" s="1423">
        <f t="shared" si="2386"/>
        <v>0</v>
      </c>
      <c r="R1610" s="1423">
        <f t="shared" si="2387"/>
        <v>0</v>
      </c>
      <c r="S1610" s="1423">
        <f t="shared" si="2388"/>
        <v>0</v>
      </c>
      <c r="T1610" s="1423">
        <f t="shared" si="2389"/>
        <v>0</v>
      </c>
      <c r="U1610" s="1423">
        <f t="shared" si="2390"/>
        <v>0</v>
      </c>
      <c r="V1610" s="1423">
        <f t="shared" si="2391"/>
        <v>0</v>
      </c>
      <c r="W1610" s="1423">
        <f t="shared" si="2392"/>
        <v>0</v>
      </c>
      <c r="X1610" s="152"/>
      <c r="Y1610" s="152"/>
      <c r="Z1610" s="152"/>
      <c r="AA1610" s="152"/>
      <c r="AB1610" s="152"/>
    </row>
    <row r="1611" spans="1:28" hidden="1" outlineLevel="1">
      <c r="A1611" s="152"/>
      <c r="B1611" s="190" t="str">
        <f t="shared" ca="1" si="2393"/>
        <v>RL Capex 2017-18</v>
      </c>
      <c r="C1611" s="1429"/>
      <c r="D1611" s="1424"/>
      <c r="E1611" s="1428">
        <f>E1581</f>
        <v>0</v>
      </c>
      <c r="F1611" s="1423">
        <f t="shared" si="2375"/>
        <v>0</v>
      </c>
      <c r="G1611" s="1423">
        <f t="shared" si="2376"/>
        <v>0</v>
      </c>
      <c r="H1611" s="1423">
        <f t="shared" si="2377"/>
        <v>0</v>
      </c>
      <c r="I1611" s="1423">
        <f t="shared" si="2378"/>
        <v>0</v>
      </c>
      <c r="J1611" s="1423">
        <f t="shared" si="2379"/>
        <v>0</v>
      </c>
      <c r="K1611" s="1423">
        <f t="shared" si="2380"/>
        <v>0</v>
      </c>
      <c r="L1611" s="1423">
        <f t="shared" si="2381"/>
        <v>0</v>
      </c>
      <c r="M1611" s="1423">
        <f t="shared" si="2382"/>
        <v>0</v>
      </c>
      <c r="N1611" s="1423">
        <f t="shared" si="2383"/>
        <v>0</v>
      </c>
      <c r="O1611" s="1423">
        <f t="shared" si="2384"/>
        <v>0</v>
      </c>
      <c r="P1611" s="1423">
        <f t="shared" si="2385"/>
        <v>0</v>
      </c>
      <c r="Q1611" s="1423">
        <f t="shared" si="2386"/>
        <v>0</v>
      </c>
      <c r="R1611" s="1423">
        <f t="shared" si="2387"/>
        <v>0</v>
      </c>
      <c r="S1611" s="1423">
        <f t="shared" si="2388"/>
        <v>0</v>
      </c>
      <c r="T1611" s="1423">
        <f t="shared" si="2389"/>
        <v>0</v>
      </c>
      <c r="U1611" s="1423">
        <f t="shared" si="2390"/>
        <v>0</v>
      </c>
      <c r="V1611" s="1423">
        <f t="shared" si="2391"/>
        <v>0</v>
      </c>
      <c r="W1611" s="1423">
        <f t="shared" si="2392"/>
        <v>0</v>
      </c>
      <c r="X1611" s="152"/>
      <c r="Y1611" s="152"/>
      <c r="Z1611" s="152"/>
      <c r="AA1611" s="152"/>
      <c r="AB1611" s="152"/>
    </row>
    <row r="1612" spans="1:28" hidden="1" outlineLevel="1">
      <c r="A1612" s="152"/>
      <c r="B1612" s="190" t="str">
        <f t="shared" ca="1" si="2393"/>
        <v>RL Capex 2018-19</v>
      </c>
      <c r="C1612" s="1429"/>
      <c r="D1612" s="1429"/>
      <c r="E1612" s="1424"/>
      <c r="F1612" s="1428">
        <f>F1581</f>
        <v>0</v>
      </c>
      <c r="G1612" s="1423">
        <f t="shared" si="2376"/>
        <v>0</v>
      </c>
      <c r="H1612" s="1423">
        <f t="shared" si="2377"/>
        <v>0</v>
      </c>
      <c r="I1612" s="1423">
        <f t="shared" si="2378"/>
        <v>0</v>
      </c>
      <c r="J1612" s="1423">
        <f t="shared" si="2379"/>
        <v>0</v>
      </c>
      <c r="K1612" s="1423">
        <f t="shared" si="2380"/>
        <v>0</v>
      </c>
      <c r="L1612" s="1423">
        <f t="shared" si="2381"/>
        <v>0</v>
      </c>
      <c r="M1612" s="1423">
        <f t="shared" si="2382"/>
        <v>0</v>
      </c>
      <c r="N1612" s="1423">
        <f t="shared" si="2383"/>
        <v>0</v>
      </c>
      <c r="O1612" s="1423">
        <f t="shared" si="2384"/>
        <v>0</v>
      </c>
      <c r="P1612" s="1423">
        <f t="shared" si="2385"/>
        <v>0</v>
      </c>
      <c r="Q1612" s="1423">
        <f t="shared" si="2386"/>
        <v>0</v>
      </c>
      <c r="R1612" s="1423">
        <f t="shared" si="2387"/>
        <v>0</v>
      </c>
      <c r="S1612" s="1423">
        <f t="shared" si="2388"/>
        <v>0</v>
      </c>
      <c r="T1612" s="1423">
        <f t="shared" si="2389"/>
        <v>0</v>
      </c>
      <c r="U1612" s="1423">
        <f t="shared" si="2390"/>
        <v>0</v>
      </c>
      <c r="V1612" s="1423">
        <f t="shared" si="2391"/>
        <v>0</v>
      </c>
      <c r="W1612" s="1423">
        <f t="shared" si="2392"/>
        <v>0</v>
      </c>
      <c r="X1612" s="152"/>
      <c r="Y1612" s="152"/>
      <c r="Z1612" s="152"/>
      <c r="AA1612" s="152"/>
      <c r="AB1612" s="152"/>
    </row>
    <row r="1613" spans="1:28" hidden="1" outlineLevel="1">
      <c r="A1613" s="152"/>
      <c r="B1613" s="190" t="str">
        <f t="shared" ca="1" si="2393"/>
        <v>RL Capex 2019-20</v>
      </c>
      <c r="C1613" s="1429"/>
      <c r="D1613" s="1429"/>
      <c r="E1613" s="1429"/>
      <c r="F1613" s="1424"/>
      <c r="G1613" s="1428">
        <f>G1581</f>
        <v>0</v>
      </c>
      <c r="H1613" s="1423">
        <f t="shared" si="2377"/>
        <v>0</v>
      </c>
      <c r="I1613" s="1423">
        <f t="shared" si="2378"/>
        <v>0</v>
      </c>
      <c r="J1613" s="1423">
        <f t="shared" si="2379"/>
        <v>0</v>
      </c>
      <c r="K1613" s="1423">
        <f t="shared" si="2380"/>
        <v>0</v>
      </c>
      <c r="L1613" s="1423">
        <f t="shared" si="2381"/>
        <v>0</v>
      </c>
      <c r="M1613" s="1423">
        <f t="shared" si="2382"/>
        <v>0</v>
      </c>
      <c r="N1613" s="1423">
        <f t="shared" si="2383"/>
        <v>0</v>
      </c>
      <c r="O1613" s="1423">
        <f t="shared" si="2384"/>
        <v>0</v>
      </c>
      <c r="P1613" s="1423">
        <f t="shared" si="2385"/>
        <v>0</v>
      </c>
      <c r="Q1613" s="1423">
        <f t="shared" si="2386"/>
        <v>0</v>
      </c>
      <c r="R1613" s="1423">
        <f t="shared" si="2387"/>
        <v>0</v>
      </c>
      <c r="S1613" s="1423">
        <f t="shared" si="2388"/>
        <v>0</v>
      </c>
      <c r="T1613" s="1423">
        <f t="shared" si="2389"/>
        <v>0</v>
      </c>
      <c r="U1613" s="1423">
        <f t="shared" si="2390"/>
        <v>0</v>
      </c>
      <c r="V1613" s="1423">
        <f t="shared" si="2391"/>
        <v>0</v>
      </c>
      <c r="W1613" s="1423">
        <f t="shared" si="2392"/>
        <v>0</v>
      </c>
      <c r="X1613" s="152"/>
      <c r="Y1613" s="152"/>
      <c r="Z1613" s="152"/>
      <c r="AA1613" s="152"/>
      <c r="AB1613" s="152"/>
    </row>
    <row r="1614" spans="1:28" hidden="1" outlineLevel="1">
      <c r="A1614" s="152"/>
      <c r="B1614" s="190" t="str">
        <f t="shared" ca="1" si="2393"/>
        <v>RL Capex 2020-21</v>
      </c>
      <c r="C1614" s="1429"/>
      <c r="D1614" s="1429"/>
      <c r="E1614" s="1429"/>
      <c r="F1614" s="1429"/>
      <c r="G1614" s="1424"/>
      <c r="H1614" s="1428">
        <f>H1581</f>
        <v>0</v>
      </c>
      <c r="I1614" s="1423">
        <f t="shared" si="2378"/>
        <v>0</v>
      </c>
      <c r="J1614" s="1423">
        <f t="shared" si="2379"/>
        <v>0</v>
      </c>
      <c r="K1614" s="1423">
        <f t="shared" si="2380"/>
        <v>0</v>
      </c>
      <c r="L1614" s="1423">
        <f t="shared" si="2381"/>
        <v>0</v>
      </c>
      <c r="M1614" s="1423">
        <f t="shared" si="2382"/>
        <v>0</v>
      </c>
      <c r="N1614" s="1423">
        <f t="shared" si="2383"/>
        <v>0</v>
      </c>
      <c r="O1614" s="1423">
        <f t="shared" si="2384"/>
        <v>0</v>
      </c>
      <c r="P1614" s="1423">
        <f t="shared" si="2385"/>
        <v>0</v>
      </c>
      <c r="Q1614" s="1423">
        <f t="shared" si="2386"/>
        <v>0</v>
      </c>
      <c r="R1614" s="1423">
        <f t="shared" si="2387"/>
        <v>0</v>
      </c>
      <c r="S1614" s="1423">
        <f t="shared" si="2388"/>
        <v>0</v>
      </c>
      <c r="T1614" s="1423">
        <f t="shared" si="2389"/>
        <v>0</v>
      </c>
      <c r="U1614" s="1423">
        <f t="shared" si="2390"/>
        <v>0</v>
      </c>
      <c r="V1614" s="1423">
        <f t="shared" si="2391"/>
        <v>0</v>
      </c>
      <c r="W1614" s="1423">
        <f t="shared" si="2392"/>
        <v>0</v>
      </c>
      <c r="X1614" s="152"/>
      <c r="Y1614" s="152"/>
      <c r="Z1614" s="152"/>
      <c r="AA1614" s="152"/>
      <c r="AB1614" s="152"/>
    </row>
    <row r="1615" spans="1:28" hidden="1" outlineLevel="1">
      <c r="A1615" s="152"/>
      <c r="B1615" s="190" t="str">
        <f t="shared" ca="1" si="2393"/>
        <v>RL Capex 2021-22</v>
      </c>
      <c r="C1615" s="1429"/>
      <c r="D1615" s="1429"/>
      <c r="E1615" s="1429"/>
      <c r="F1615" s="1429"/>
      <c r="G1615" s="1429"/>
      <c r="H1615" s="1424"/>
      <c r="I1615" s="1428">
        <f>I1581</f>
        <v>0</v>
      </c>
      <c r="J1615" s="1423">
        <f t="shared" si="2379"/>
        <v>0</v>
      </c>
      <c r="K1615" s="1423">
        <f t="shared" si="2380"/>
        <v>0</v>
      </c>
      <c r="L1615" s="1423">
        <f t="shared" si="2381"/>
        <v>0</v>
      </c>
      <c r="M1615" s="1423">
        <f t="shared" si="2382"/>
        <v>0</v>
      </c>
      <c r="N1615" s="1423">
        <f t="shared" si="2383"/>
        <v>0</v>
      </c>
      <c r="O1615" s="1423">
        <f t="shared" si="2384"/>
        <v>0</v>
      </c>
      <c r="P1615" s="1423">
        <f t="shared" si="2385"/>
        <v>0</v>
      </c>
      <c r="Q1615" s="1423">
        <f t="shared" si="2386"/>
        <v>0</v>
      </c>
      <c r="R1615" s="1423">
        <f t="shared" si="2387"/>
        <v>0</v>
      </c>
      <c r="S1615" s="1423">
        <f t="shared" si="2388"/>
        <v>0</v>
      </c>
      <c r="T1615" s="1423">
        <f t="shared" si="2389"/>
        <v>0</v>
      </c>
      <c r="U1615" s="1423">
        <f t="shared" si="2390"/>
        <v>0</v>
      </c>
      <c r="V1615" s="1423">
        <f t="shared" si="2391"/>
        <v>0</v>
      </c>
      <c r="W1615" s="1423">
        <f t="shared" si="2392"/>
        <v>0</v>
      </c>
      <c r="X1615" s="152"/>
      <c r="Y1615" s="152"/>
      <c r="Z1615" s="152"/>
      <c r="AA1615" s="152"/>
      <c r="AB1615" s="152"/>
    </row>
    <row r="1616" spans="1:28" hidden="1" outlineLevel="1">
      <c r="A1616" s="152"/>
      <c r="B1616" s="190" t="str">
        <f t="shared" ca="1" si="2393"/>
        <v>RL Capex 2022-23</v>
      </c>
      <c r="C1616" s="1429"/>
      <c r="D1616" s="1429"/>
      <c r="E1616" s="1429"/>
      <c r="F1616" s="1429"/>
      <c r="G1616" s="1429"/>
      <c r="H1616" s="1429"/>
      <c r="I1616" s="1424"/>
      <c r="J1616" s="1428">
        <f>J1581</f>
        <v>0</v>
      </c>
      <c r="K1616" s="1423">
        <f t="shared" si="2380"/>
        <v>0</v>
      </c>
      <c r="L1616" s="1423">
        <f t="shared" si="2381"/>
        <v>0</v>
      </c>
      <c r="M1616" s="1423">
        <f t="shared" si="2382"/>
        <v>0</v>
      </c>
      <c r="N1616" s="1423">
        <f t="shared" si="2383"/>
        <v>0</v>
      </c>
      <c r="O1616" s="1423">
        <f t="shared" si="2384"/>
        <v>0</v>
      </c>
      <c r="P1616" s="1423">
        <f t="shared" si="2385"/>
        <v>0</v>
      </c>
      <c r="Q1616" s="1423">
        <f t="shared" si="2386"/>
        <v>0</v>
      </c>
      <c r="R1616" s="1423">
        <f t="shared" si="2387"/>
        <v>0</v>
      </c>
      <c r="S1616" s="1423">
        <f t="shared" si="2388"/>
        <v>0</v>
      </c>
      <c r="T1616" s="1423">
        <f t="shared" si="2389"/>
        <v>0</v>
      </c>
      <c r="U1616" s="1423">
        <f t="shared" si="2390"/>
        <v>0</v>
      </c>
      <c r="V1616" s="1423">
        <f t="shared" si="2391"/>
        <v>0</v>
      </c>
      <c r="W1616" s="1423">
        <f t="shared" si="2392"/>
        <v>0</v>
      </c>
      <c r="X1616" s="152"/>
      <c r="Y1616" s="152"/>
      <c r="Z1616" s="152"/>
      <c r="AA1616" s="152"/>
      <c r="AB1616" s="152"/>
    </row>
    <row r="1617" spans="1:28" hidden="1" outlineLevel="1">
      <c r="A1617" s="152"/>
      <c r="B1617" s="190" t="str">
        <f t="shared" ca="1" si="2393"/>
        <v>RL Capex 2023-24</v>
      </c>
      <c r="C1617" s="1429"/>
      <c r="D1617" s="1429"/>
      <c r="E1617" s="1429"/>
      <c r="F1617" s="1429"/>
      <c r="G1617" s="1429"/>
      <c r="H1617" s="1429"/>
      <c r="I1617" s="1429"/>
      <c r="J1617" s="1424"/>
      <c r="K1617" s="1428">
        <f>K1581</f>
        <v>0</v>
      </c>
      <c r="L1617" s="1423">
        <f t="shared" si="2381"/>
        <v>0</v>
      </c>
      <c r="M1617" s="1423">
        <f t="shared" si="2382"/>
        <v>0</v>
      </c>
      <c r="N1617" s="1423">
        <f t="shared" si="2383"/>
        <v>0</v>
      </c>
      <c r="O1617" s="1423">
        <f t="shared" si="2384"/>
        <v>0</v>
      </c>
      <c r="P1617" s="1423">
        <f t="shared" si="2385"/>
        <v>0</v>
      </c>
      <c r="Q1617" s="1423">
        <f t="shared" si="2386"/>
        <v>0</v>
      </c>
      <c r="R1617" s="1423">
        <f t="shared" si="2387"/>
        <v>0</v>
      </c>
      <c r="S1617" s="1423">
        <f t="shared" si="2388"/>
        <v>0</v>
      </c>
      <c r="T1617" s="1423">
        <f t="shared" si="2389"/>
        <v>0</v>
      </c>
      <c r="U1617" s="1423">
        <f t="shared" si="2390"/>
        <v>0</v>
      </c>
      <c r="V1617" s="1423">
        <f t="shared" si="2391"/>
        <v>0</v>
      </c>
      <c r="W1617" s="1423">
        <f t="shared" si="2392"/>
        <v>0</v>
      </c>
      <c r="X1617" s="152"/>
      <c r="Y1617" s="152"/>
      <c r="Z1617" s="152"/>
      <c r="AA1617" s="152"/>
      <c r="AB1617" s="152"/>
    </row>
    <row r="1618" spans="1:28" hidden="1" outlineLevel="1">
      <c r="A1618" s="152"/>
      <c r="B1618" s="190" t="str">
        <f t="shared" ca="1" si="2393"/>
        <v>RL Capex 2024-25</v>
      </c>
      <c r="C1618" s="1429"/>
      <c r="D1618" s="1429"/>
      <c r="E1618" s="1429"/>
      <c r="F1618" s="1429"/>
      <c r="G1618" s="1429"/>
      <c r="H1618" s="1429"/>
      <c r="I1618" s="1429"/>
      <c r="J1618" s="1429"/>
      <c r="K1618" s="1424"/>
      <c r="L1618" s="1428">
        <f>L1581</f>
        <v>0</v>
      </c>
      <c r="M1618" s="1423">
        <f t="shared" si="2382"/>
        <v>0</v>
      </c>
      <c r="N1618" s="1423">
        <f t="shared" si="2383"/>
        <v>0</v>
      </c>
      <c r="O1618" s="1423">
        <f t="shared" si="2384"/>
        <v>0</v>
      </c>
      <c r="P1618" s="1423">
        <f t="shared" si="2385"/>
        <v>0</v>
      </c>
      <c r="Q1618" s="1423">
        <f t="shared" si="2386"/>
        <v>0</v>
      </c>
      <c r="R1618" s="1423">
        <f t="shared" si="2387"/>
        <v>0</v>
      </c>
      <c r="S1618" s="1423">
        <f t="shared" si="2388"/>
        <v>0</v>
      </c>
      <c r="T1618" s="1423">
        <f t="shared" si="2389"/>
        <v>0</v>
      </c>
      <c r="U1618" s="1423">
        <f t="shared" si="2390"/>
        <v>0</v>
      </c>
      <c r="V1618" s="1423">
        <f t="shared" si="2391"/>
        <v>0</v>
      </c>
      <c r="W1618" s="1423">
        <f t="shared" si="2392"/>
        <v>0</v>
      </c>
      <c r="X1618" s="152"/>
      <c r="Y1618" s="152"/>
      <c r="Z1618" s="152"/>
      <c r="AA1618" s="152"/>
      <c r="AB1618" s="152"/>
    </row>
    <row r="1619" spans="1:28" hidden="1" outlineLevel="1">
      <c r="A1619" s="152"/>
      <c r="B1619" s="190" t="str">
        <f t="shared" ca="1" si="2393"/>
        <v>RL Capex 2025-26</v>
      </c>
      <c r="C1619" s="1429"/>
      <c r="D1619" s="1429"/>
      <c r="E1619" s="1429"/>
      <c r="F1619" s="1429"/>
      <c r="G1619" s="1429"/>
      <c r="H1619" s="1429"/>
      <c r="I1619" s="1429"/>
      <c r="J1619" s="1429"/>
      <c r="K1619" s="1429"/>
      <c r="L1619" s="1424"/>
      <c r="M1619" s="1428">
        <f>M1581</f>
        <v>0</v>
      </c>
      <c r="N1619" s="1423">
        <f t="shared" si="2383"/>
        <v>0</v>
      </c>
      <c r="O1619" s="1423">
        <f t="shared" si="2384"/>
        <v>0</v>
      </c>
      <c r="P1619" s="1423">
        <f t="shared" si="2385"/>
        <v>0</v>
      </c>
      <c r="Q1619" s="1423">
        <f t="shared" si="2386"/>
        <v>0</v>
      </c>
      <c r="R1619" s="1423">
        <f t="shared" si="2387"/>
        <v>0</v>
      </c>
      <c r="S1619" s="1423">
        <f t="shared" si="2388"/>
        <v>0</v>
      </c>
      <c r="T1619" s="1423">
        <f t="shared" si="2389"/>
        <v>0</v>
      </c>
      <c r="U1619" s="1423">
        <f t="shared" si="2390"/>
        <v>0</v>
      </c>
      <c r="V1619" s="1423">
        <f t="shared" si="2391"/>
        <v>0</v>
      </c>
      <c r="W1619" s="1423">
        <f t="shared" si="2392"/>
        <v>0</v>
      </c>
      <c r="X1619" s="152"/>
      <c r="Y1619" s="152"/>
      <c r="Z1619" s="152"/>
      <c r="AA1619" s="152"/>
      <c r="AB1619" s="152"/>
    </row>
    <row r="1620" spans="1:28" hidden="1" outlineLevel="1">
      <c r="A1620" s="152"/>
      <c r="B1620" s="190" t="str">
        <f t="shared" ca="1" si="2393"/>
        <v>RL Capex 2026-27</v>
      </c>
      <c r="C1620" s="1429"/>
      <c r="D1620" s="1429"/>
      <c r="E1620" s="1429"/>
      <c r="F1620" s="1429"/>
      <c r="G1620" s="1429"/>
      <c r="H1620" s="1429"/>
      <c r="I1620" s="1429"/>
      <c r="J1620" s="1429"/>
      <c r="K1620" s="1429"/>
      <c r="L1620" s="1429"/>
      <c r="M1620" s="1424"/>
      <c r="N1620" s="1428">
        <f>N1581</f>
        <v>0</v>
      </c>
      <c r="O1620" s="1423">
        <f t="shared" si="2384"/>
        <v>0</v>
      </c>
      <c r="P1620" s="1423">
        <f t="shared" si="2385"/>
        <v>0</v>
      </c>
      <c r="Q1620" s="1423">
        <f t="shared" si="2386"/>
        <v>0</v>
      </c>
      <c r="R1620" s="1423">
        <f t="shared" si="2387"/>
        <v>0</v>
      </c>
      <c r="S1620" s="1423">
        <f t="shared" si="2388"/>
        <v>0</v>
      </c>
      <c r="T1620" s="1423">
        <f t="shared" si="2389"/>
        <v>0</v>
      </c>
      <c r="U1620" s="1423">
        <f t="shared" si="2390"/>
        <v>0</v>
      </c>
      <c r="V1620" s="1423">
        <f t="shared" si="2391"/>
        <v>0</v>
      </c>
      <c r="W1620" s="1423">
        <f t="shared" si="2392"/>
        <v>0</v>
      </c>
      <c r="X1620" s="152"/>
      <c r="Y1620" s="152"/>
      <c r="Z1620" s="152"/>
      <c r="AA1620" s="152"/>
      <c r="AB1620" s="152"/>
    </row>
    <row r="1621" spans="1:28" hidden="1" outlineLevel="1">
      <c r="A1621" s="152"/>
      <c r="B1621" s="190" t="str">
        <f t="shared" ca="1" si="2393"/>
        <v>RL Capex 2027-28</v>
      </c>
      <c r="C1621" s="1429"/>
      <c r="D1621" s="1429"/>
      <c r="E1621" s="1429"/>
      <c r="F1621" s="1429"/>
      <c r="G1621" s="1429"/>
      <c r="H1621" s="1429"/>
      <c r="I1621" s="1429"/>
      <c r="J1621" s="1429"/>
      <c r="K1621" s="1429"/>
      <c r="L1621" s="1429"/>
      <c r="M1621" s="1429"/>
      <c r="N1621" s="1424"/>
      <c r="O1621" s="1428">
        <f>O1581</f>
        <v>0</v>
      </c>
      <c r="P1621" s="1423">
        <f t="shared" si="2385"/>
        <v>0</v>
      </c>
      <c r="Q1621" s="1423">
        <f t="shared" si="2386"/>
        <v>0</v>
      </c>
      <c r="R1621" s="1423">
        <f t="shared" si="2387"/>
        <v>0</v>
      </c>
      <c r="S1621" s="1423">
        <f t="shared" si="2388"/>
        <v>0</v>
      </c>
      <c r="T1621" s="1423">
        <f t="shared" si="2389"/>
        <v>0</v>
      </c>
      <c r="U1621" s="1423">
        <f t="shared" si="2390"/>
        <v>0</v>
      </c>
      <c r="V1621" s="1423">
        <f t="shared" si="2391"/>
        <v>0</v>
      </c>
      <c r="W1621" s="1423">
        <f t="shared" si="2392"/>
        <v>0</v>
      </c>
      <c r="X1621" s="152"/>
      <c r="Y1621" s="152"/>
      <c r="Z1621" s="152"/>
      <c r="AA1621" s="152"/>
      <c r="AB1621" s="152"/>
    </row>
    <row r="1622" spans="1:28" hidden="1" outlineLevel="1">
      <c r="A1622" s="152"/>
      <c r="B1622" s="190" t="str">
        <f t="shared" ca="1" si="2393"/>
        <v>RL Capex 2028-29</v>
      </c>
      <c r="C1622" s="1429"/>
      <c r="D1622" s="1429"/>
      <c r="E1622" s="1429"/>
      <c r="F1622" s="1429"/>
      <c r="G1622" s="1429"/>
      <c r="H1622" s="1429"/>
      <c r="I1622" s="1429"/>
      <c r="J1622" s="1429"/>
      <c r="K1622" s="1429"/>
      <c r="L1622" s="1429"/>
      <c r="M1622" s="1429"/>
      <c r="N1622" s="1429"/>
      <c r="O1622" s="1424"/>
      <c r="P1622" s="1428">
        <f>P1581</f>
        <v>0</v>
      </c>
      <c r="Q1622" s="1423">
        <f t="shared" si="2386"/>
        <v>0</v>
      </c>
      <c r="R1622" s="1423">
        <f t="shared" si="2387"/>
        <v>0</v>
      </c>
      <c r="S1622" s="1423">
        <f t="shared" si="2388"/>
        <v>0</v>
      </c>
      <c r="T1622" s="1423">
        <f t="shared" si="2389"/>
        <v>0</v>
      </c>
      <c r="U1622" s="1423">
        <f t="shared" si="2390"/>
        <v>0</v>
      </c>
      <c r="V1622" s="1423">
        <f t="shared" si="2391"/>
        <v>0</v>
      </c>
      <c r="W1622" s="1423">
        <f t="shared" si="2392"/>
        <v>0</v>
      </c>
      <c r="X1622" s="152"/>
      <c r="Y1622" s="152"/>
      <c r="Z1622" s="152"/>
      <c r="AA1622" s="152"/>
      <c r="AB1622" s="152"/>
    </row>
    <row r="1623" spans="1:28" hidden="1" outlineLevel="1">
      <c r="A1623" s="152"/>
      <c r="B1623" s="190" t="str">
        <f t="shared" ca="1" si="2393"/>
        <v>RL Capex 2029-30</v>
      </c>
      <c r="C1623" s="1429"/>
      <c r="D1623" s="1429"/>
      <c r="E1623" s="1429"/>
      <c r="F1623" s="1429"/>
      <c r="G1623" s="1429"/>
      <c r="H1623" s="1429"/>
      <c r="I1623" s="1429"/>
      <c r="J1623" s="1429"/>
      <c r="K1623" s="1429"/>
      <c r="L1623" s="1429"/>
      <c r="M1623" s="1429"/>
      <c r="N1623" s="1429"/>
      <c r="O1623" s="1429"/>
      <c r="P1623" s="1424"/>
      <c r="Q1623" s="1428">
        <f>Q1581</f>
        <v>0</v>
      </c>
      <c r="R1623" s="1423">
        <f t="shared" si="2387"/>
        <v>0</v>
      </c>
      <c r="S1623" s="1423">
        <f t="shared" si="2388"/>
        <v>0</v>
      </c>
      <c r="T1623" s="1423">
        <f t="shared" si="2389"/>
        <v>0</v>
      </c>
      <c r="U1623" s="1423">
        <f t="shared" si="2390"/>
        <v>0</v>
      </c>
      <c r="V1623" s="1423">
        <f t="shared" si="2391"/>
        <v>0</v>
      </c>
      <c r="W1623" s="1423">
        <f t="shared" si="2392"/>
        <v>0</v>
      </c>
      <c r="X1623" s="152"/>
      <c r="Y1623" s="152"/>
      <c r="Z1623" s="152"/>
      <c r="AA1623" s="152"/>
      <c r="AB1623" s="152"/>
    </row>
    <row r="1624" spans="1:28" hidden="1" outlineLevel="1">
      <c r="A1624" s="152"/>
      <c r="B1624" s="190" t="str">
        <f t="shared" ca="1" si="2393"/>
        <v>RL Capex 2030-31</v>
      </c>
      <c r="C1624" s="1429"/>
      <c r="D1624" s="1429"/>
      <c r="E1624" s="1429"/>
      <c r="F1624" s="1429"/>
      <c r="G1624" s="1429"/>
      <c r="H1624" s="1429"/>
      <c r="I1624" s="1429"/>
      <c r="J1624" s="1429"/>
      <c r="K1624" s="1429"/>
      <c r="L1624" s="1429"/>
      <c r="M1624" s="1429"/>
      <c r="N1624" s="1429"/>
      <c r="O1624" s="1429"/>
      <c r="P1624" s="1429"/>
      <c r="Q1624" s="1424"/>
      <c r="R1624" s="1428">
        <f>R1581</f>
        <v>0</v>
      </c>
      <c r="S1624" s="1423">
        <f t="shared" si="2388"/>
        <v>0</v>
      </c>
      <c r="T1624" s="1423">
        <f t="shared" si="2389"/>
        <v>0</v>
      </c>
      <c r="U1624" s="1423">
        <f t="shared" si="2390"/>
        <v>0</v>
      </c>
      <c r="V1624" s="1423">
        <f t="shared" si="2391"/>
        <v>0</v>
      </c>
      <c r="W1624" s="1423">
        <f t="shared" si="2392"/>
        <v>0</v>
      </c>
      <c r="X1624" s="152"/>
      <c r="Y1624" s="152"/>
      <c r="Z1624" s="152"/>
      <c r="AA1624" s="152"/>
      <c r="AB1624" s="152"/>
    </row>
    <row r="1625" spans="1:28" hidden="1" outlineLevel="1">
      <c r="A1625" s="152"/>
      <c r="B1625" s="190" t="str">
        <f t="shared" ca="1" si="2393"/>
        <v>RL Capex 2031-32</v>
      </c>
      <c r="C1625" s="1429"/>
      <c r="D1625" s="1429"/>
      <c r="E1625" s="1429"/>
      <c r="F1625" s="1429"/>
      <c r="G1625" s="1429"/>
      <c r="H1625" s="1429"/>
      <c r="I1625" s="1429"/>
      <c r="J1625" s="1429"/>
      <c r="K1625" s="1429"/>
      <c r="L1625" s="1429"/>
      <c r="M1625" s="1429"/>
      <c r="N1625" s="1429"/>
      <c r="O1625" s="1429"/>
      <c r="P1625" s="1429"/>
      <c r="Q1625" s="1429"/>
      <c r="R1625" s="1424"/>
      <c r="S1625" s="1428">
        <f>S1581</f>
        <v>0</v>
      </c>
      <c r="T1625" s="1423">
        <f t="shared" si="2389"/>
        <v>0</v>
      </c>
      <c r="U1625" s="1423">
        <f t="shared" si="2390"/>
        <v>0</v>
      </c>
      <c r="V1625" s="1423">
        <f t="shared" si="2391"/>
        <v>0</v>
      </c>
      <c r="W1625" s="1423">
        <f t="shared" si="2392"/>
        <v>0</v>
      </c>
      <c r="X1625" s="152"/>
      <c r="Y1625" s="152"/>
      <c r="Z1625" s="152"/>
      <c r="AA1625" s="152"/>
      <c r="AB1625" s="152"/>
    </row>
    <row r="1626" spans="1:28" hidden="1" outlineLevel="1">
      <c r="A1626" s="152"/>
      <c r="B1626" s="190" t="str">
        <f t="shared" ca="1" si="2393"/>
        <v>RL Capex 2032-33</v>
      </c>
      <c r="C1626" s="1429"/>
      <c r="D1626" s="1429"/>
      <c r="E1626" s="1429"/>
      <c r="F1626" s="1429"/>
      <c r="G1626" s="1429"/>
      <c r="H1626" s="1429"/>
      <c r="I1626" s="1429"/>
      <c r="J1626" s="1429"/>
      <c r="K1626" s="1429"/>
      <c r="L1626" s="1429"/>
      <c r="M1626" s="1429"/>
      <c r="N1626" s="1429"/>
      <c r="O1626" s="1429"/>
      <c r="P1626" s="1429"/>
      <c r="Q1626" s="1429"/>
      <c r="R1626" s="1429"/>
      <c r="S1626" s="1424"/>
      <c r="T1626" s="1428">
        <f>T1581</f>
        <v>0</v>
      </c>
      <c r="U1626" s="1423">
        <f t="shared" si="2390"/>
        <v>0</v>
      </c>
      <c r="V1626" s="1423">
        <f t="shared" si="2391"/>
        <v>0</v>
      </c>
      <c r="W1626" s="1423">
        <f t="shared" si="2392"/>
        <v>0</v>
      </c>
      <c r="X1626" s="152"/>
      <c r="Y1626" s="152"/>
      <c r="Z1626" s="152"/>
      <c r="AA1626" s="152"/>
      <c r="AB1626" s="152"/>
    </row>
    <row r="1627" spans="1:28" hidden="1" outlineLevel="1">
      <c r="A1627" s="152"/>
      <c r="B1627" s="190" t="str">
        <f t="shared" ca="1" si="2393"/>
        <v>RL Capex 2033-34</v>
      </c>
      <c r="C1627" s="1429"/>
      <c r="D1627" s="1429"/>
      <c r="E1627" s="1429"/>
      <c r="F1627" s="1429"/>
      <c r="G1627" s="1429"/>
      <c r="H1627" s="1429"/>
      <c r="I1627" s="1429"/>
      <c r="J1627" s="1429"/>
      <c r="K1627" s="1429"/>
      <c r="L1627" s="1429"/>
      <c r="M1627" s="1429"/>
      <c r="N1627" s="1429"/>
      <c r="O1627" s="1429"/>
      <c r="P1627" s="1429"/>
      <c r="Q1627" s="1429"/>
      <c r="R1627" s="1429"/>
      <c r="S1627" s="1429"/>
      <c r="T1627" s="1424"/>
      <c r="U1627" s="1428">
        <f>U1581</f>
        <v>0</v>
      </c>
      <c r="V1627" s="1423">
        <f t="shared" si="2391"/>
        <v>0</v>
      </c>
      <c r="W1627" s="1423">
        <f t="shared" si="2392"/>
        <v>0</v>
      </c>
      <c r="X1627" s="152"/>
      <c r="Y1627" s="152"/>
      <c r="Z1627" s="152"/>
      <c r="AA1627" s="152"/>
      <c r="AB1627" s="152"/>
    </row>
    <row r="1628" spans="1:28" hidden="1" outlineLevel="1">
      <c r="A1628" s="152"/>
      <c r="B1628" s="190" t="str">
        <f t="shared" ca="1" si="2393"/>
        <v>RL Capex 2034-35</v>
      </c>
      <c r="C1628" s="1429"/>
      <c r="D1628" s="1429"/>
      <c r="E1628" s="1429"/>
      <c r="F1628" s="1429"/>
      <c r="G1628" s="1429"/>
      <c r="H1628" s="1429"/>
      <c r="I1628" s="1429"/>
      <c r="J1628" s="1429"/>
      <c r="K1628" s="1429"/>
      <c r="L1628" s="1429"/>
      <c r="M1628" s="1429"/>
      <c r="N1628" s="1429"/>
      <c r="O1628" s="1429"/>
      <c r="P1628" s="1429"/>
      <c r="Q1628" s="1429"/>
      <c r="R1628" s="1429"/>
      <c r="S1628" s="1429"/>
      <c r="T1628" s="1429"/>
      <c r="U1628" s="1424"/>
      <c r="V1628" s="1428">
        <f>V1581</f>
        <v>0</v>
      </c>
      <c r="W1628" s="1423">
        <f>IF(V1628="n/a","n/a",MAX(0,V1628-1))</f>
        <v>0</v>
      </c>
      <c r="X1628" s="152"/>
      <c r="Y1628" s="152"/>
      <c r="Z1628" s="152"/>
      <c r="AA1628" s="152"/>
      <c r="AB1628" s="152"/>
    </row>
    <row r="1629" spans="1:28" hidden="1" outlineLevel="1">
      <c r="A1629" s="152"/>
      <c r="B1629" s="190" t="str">
        <f t="shared" ca="1" si="2393"/>
        <v>RL Capex 2035-36</v>
      </c>
      <c r="C1629" s="1429"/>
      <c r="D1629" s="1429"/>
      <c r="E1629" s="1429"/>
      <c r="F1629" s="1429"/>
      <c r="G1629" s="1429"/>
      <c r="H1629" s="1429"/>
      <c r="I1629" s="1429"/>
      <c r="J1629" s="1429"/>
      <c r="K1629" s="1429"/>
      <c r="L1629" s="1429"/>
      <c r="M1629" s="1429"/>
      <c r="N1629" s="1429"/>
      <c r="O1629" s="1429"/>
      <c r="P1629" s="1429"/>
      <c r="Q1629" s="1429"/>
      <c r="R1629" s="1429"/>
      <c r="S1629" s="1429"/>
      <c r="T1629" s="1429"/>
      <c r="U1629" s="1429"/>
      <c r="V1629" s="1424"/>
      <c r="W1629" s="1423">
        <f>W1581</f>
        <v>0</v>
      </c>
      <c r="X1629" s="152"/>
      <c r="Y1629" s="152"/>
      <c r="Z1629" s="152"/>
      <c r="AA1629" s="152"/>
      <c r="AB1629" s="152"/>
    </row>
    <row r="1630" spans="1:28" hidden="1" outlineLevel="1">
      <c r="A1630" s="152"/>
      <c r="B1630" s="200"/>
      <c r="C1630" s="1423"/>
      <c r="D1630" s="1423"/>
      <c r="E1630" s="1423"/>
      <c r="F1630" s="1423"/>
      <c r="G1630" s="1423"/>
      <c r="H1630" s="1423"/>
      <c r="I1630" s="1423"/>
      <c r="J1630" s="1423"/>
      <c r="K1630" s="1423"/>
      <c r="L1630" s="1423"/>
      <c r="M1630" s="1423"/>
      <c r="N1630" s="1423"/>
      <c r="O1630" s="1423"/>
      <c r="P1630" s="1423"/>
      <c r="Q1630" s="1423"/>
      <c r="R1630" s="1423"/>
      <c r="S1630" s="1423"/>
      <c r="T1630" s="1423"/>
      <c r="U1630" s="1423"/>
      <c r="V1630" s="1423"/>
      <c r="W1630" s="1423"/>
      <c r="X1630" s="152"/>
      <c r="Y1630" s="152"/>
      <c r="Z1630" s="152"/>
      <c r="AA1630" s="152"/>
      <c r="AB1630" s="152"/>
    </row>
    <row r="1631" spans="1:28" collapsed="1">
      <c r="A1631" s="194"/>
      <c r="B1631" s="204" t="s">
        <v>123</v>
      </c>
      <c r="C1631" s="1430">
        <f ca="1">(IF(OR($C1581&lt;&gt;"n/a",C1581&lt;&gt;"n/a"),IF(SUM(C1584:C1606)=0,0,IF((SUMPRODUCT(C1584:C1606,C1608:C1630)/SUM(C1584:C1606))&lt;0,1,(SUMPRODUCT(C1584:C1606,C1608:C1630)/SUM(C1584:C1606)))),"n/a"))</f>
        <v>0</v>
      </c>
      <c r="D1631" s="1430">
        <f ca="1">(IF(OR($C1581&lt;&gt;"n/a",D1581&lt;&gt;"n/a"),IF(SUM(D1584:D1606)=0,0,IF((SUMPRODUCT(D1584:D1606,D1608:D1630)/SUM(D1584:D1606))&lt;0,1,(SUMPRODUCT(D1584:D1606,D1608:D1630)/SUM(D1584:D1606)))),"n/a"))</f>
        <v>0</v>
      </c>
      <c r="E1631" s="1430">
        <f t="shared" ref="E1631:W1631" ca="1" si="2394">(IF(OR($C1581&lt;&gt;"n/a",E1581&lt;&gt;"n/a"),IF(SUM(E1584:E1606)=0,0,IF((SUMPRODUCT(E1584:E1606,E1608:E1630)/SUM(E1584:E1606))&lt;0,1,(SUMPRODUCT(E1584:E1606,E1608:E1630)/SUM(E1584:E1606)))),"n/a"))</f>
        <v>0</v>
      </c>
      <c r="F1631" s="1430">
        <f t="shared" ca="1" si="2394"/>
        <v>0</v>
      </c>
      <c r="G1631" s="1430">
        <f t="shared" ca="1" si="2394"/>
        <v>0</v>
      </c>
      <c r="H1631" s="1430">
        <f t="shared" ca="1" si="2394"/>
        <v>0</v>
      </c>
      <c r="I1631" s="1430">
        <f t="shared" ca="1" si="2394"/>
        <v>0</v>
      </c>
      <c r="J1631" s="1430">
        <f t="shared" ca="1" si="2394"/>
        <v>0</v>
      </c>
      <c r="K1631" s="1430">
        <f t="shared" ca="1" si="2394"/>
        <v>0</v>
      </c>
      <c r="L1631" s="1430">
        <f t="shared" ca="1" si="2394"/>
        <v>0</v>
      </c>
      <c r="M1631" s="1430">
        <f t="shared" ca="1" si="2394"/>
        <v>0</v>
      </c>
      <c r="N1631" s="1430">
        <f t="shared" ca="1" si="2394"/>
        <v>0</v>
      </c>
      <c r="O1631" s="1430">
        <f t="shared" ca="1" si="2394"/>
        <v>0</v>
      </c>
      <c r="P1631" s="1430">
        <f t="shared" ca="1" si="2394"/>
        <v>0</v>
      </c>
      <c r="Q1631" s="1430">
        <f t="shared" ca="1" si="2394"/>
        <v>0</v>
      </c>
      <c r="R1631" s="1430">
        <f t="shared" ca="1" si="2394"/>
        <v>0</v>
      </c>
      <c r="S1631" s="1430">
        <f t="shared" ca="1" si="2394"/>
        <v>0</v>
      </c>
      <c r="T1631" s="1430">
        <f t="shared" ca="1" si="2394"/>
        <v>0</v>
      </c>
      <c r="U1631" s="1430">
        <f t="shared" ca="1" si="2394"/>
        <v>0</v>
      </c>
      <c r="V1631" s="1430">
        <f t="shared" ca="1" si="2394"/>
        <v>0</v>
      </c>
      <c r="W1631" s="1430">
        <f t="shared" ca="1" si="2394"/>
        <v>0</v>
      </c>
      <c r="X1631" s="152"/>
      <c r="Y1631" s="152"/>
      <c r="Z1631" s="152"/>
      <c r="AA1631" s="152"/>
      <c r="AB1631" s="152"/>
    </row>
    <row r="1632" spans="1:28">
      <c r="A1632" s="152"/>
      <c r="B1632" s="152"/>
      <c r="C1632" s="1423"/>
      <c r="D1632" s="1423"/>
      <c r="E1632" s="1423"/>
      <c r="F1632" s="1423"/>
      <c r="G1632" s="1423"/>
      <c r="H1632" s="1423"/>
      <c r="I1632" s="1423"/>
      <c r="J1632" s="1423"/>
      <c r="K1632" s="1423"/>
      <c r="L1632" s="1423"/>
      <c r="M1632" s="1423"/>
      <c r="N1632" s="1423"/>
      <c r="O1632" s="1423"/>
      <c r="P1632" s="1423"/>
      <c r="Q1632" s="1423"/>
      <c r="R1632" s="1423"/>
      <c r="S1632" s="1423"/>
      <c r="T1632" s="1423"/>
      <c r="U1632" s="1423"/>
      <c r="V1632" s="1423"/>
      <c r="W1632" s="1423"/>
      <c r="X1632" s="152"/>
      <c r="Y1632" s="152"/>
      <c r="Z1632" s="152"/>
      <c r="AA1632" s="152"/>
      <c r="AB1632" s="152"/>
    </row>
    <row r="1633" spans="1:28">
      <c r="A1633" s="269" t="s">
        <v>97</v>
      </c>
      <c r="B1633" s="270">
        <f>VLOOKUP($A1633,'RFM input'!$E$7:$F$56,2,FALSE)</f>
        <v>0</v>
      </c>
      <c r="C1633" s="1431"/>
      <c r="D1633" s="1431"/>
      <c r="E1633" s="1432"/>
      <c r="F1633" s="1432"/>
      <c r="G1633" s="1432"/>
      <c r="H1633" s="1432"/>
      <c r="I1633" s="1432"/>
      <c r="J1633" s="1432"/>
      <c r="K1633" s="1432"/>
      <c r="L1633" s="1432"/>
      <c r="M1633" s="1432"/>
      <c r="N1633" s="1432"/>
      <c r="O1633" s="1432"/>
      <c r="P1633" s="1432"/>
      <c r="Q1633" s="1432"/>
      <c r="R1633" s="1432"/>
      <c r="S1633" s="1432"/>
      <c r="T1633" s="1432"/>
      <c r="U1633" s="1432"/>
      <c r="V1633" s="1432"/>
      <c r="W1633" s="1432"/>
      <c r="X1633" s="152"/>
      <c r="Y1633" s="152"/>
      <c r="Z1633" s="152"/>
      <c r="AA1633" s="152"/>
      <c r="AB1633" s="152"/>
    </row>
    <row r="1634" spans="1:28">
      <c r="A1634" s="215">
        <f>VALUE(REPLACE(A1633,1,12,""))</f>
        <v>31</v>
      </c>
      <c r="B1634" s="193" t="s">
        <v>126</v>
      </c>
      <c r="C1634" s="1416">
        <f ca="1">IF($C$8='Capital Base roll forward'!$H$4,OFFSET('Capital Base roll forward'!$H$717,'RAB remaining lives'!A1634,0),"enter input")</f>
        <v>0</v>
      </c>
      <c r="D1634" s="1417">
        <f>IF(LEFT(D$6,4)&lt;LEFT('RFM input'!$G$60,4),"enter input",IF(LEFT(D$6,4)&gt;LEFT('RFM input'!$Q$60,4),0,INDEX('RFM input'!$G$61:$Q$110,$A1634,MATCH(D$6,'RFM input'!$G$60:$Q$60,0))
-INDEX('RFM input'!$G$115:$Q$164,$A1634,MATCH(D$6,'RFM input'!$G$60:$Q$60,0))
-INDEX('RFM input'!$G$169:$Q$218,$A1634,MATCH(D$6,'RFM input'!$G$60:$Q$60,0))))</f>
        <v>0</v>
      </c>
      <c r="E1634" s="1417">
        <f>IF(LEFT(E$6,4)&lt;LEFT('RFM input'!$G$60,4),"enter input",IF(LEFT(E$6,4)&gt;LEFT('RFM input'!$Q$60,4),0,INDEX('RFM input'!$G$61:$Q$110,$A1634,MATCH(E$6,'RFM input'!$G$60:$Q$60,0))
-INDEX('RFM input'!$G$115:$Q$164,$A1634,MATCH(E$6,'RFM input'!$G$60:$Q$60,0))
-INDEX('RFM input'!$G$169:$Q$218,$A1634,MATCH(E$6,'RFM input'!$G$60:$Q$60,0))))</f>
        <v>0</v>
      </c>
      <c r="F1634" s="1417">
        <f>IF(LEFT(F$6,4)&lt;LEFT('RFM input'!$G$60,4),"enter input",IF(LEFT(F$6,4)&gt;LEFT('RFM input'!$Q$60,4),0,INDEX('RFM input'!$G$61:$Q$110,$A1634,MATCH(F$6,'RFM input'!$G$60:$Q$60,0))
-INDEX('RFM input'!$G$115:$Q$164,$A1634,MATCH(F$6,'RFM input'!$G$60:$Q$60,0))
-INDEX('RFM input'!$G$169:$Q$218,$A1634,MATCH(F$6,'RFM input'!$G$60:$Q$60,0))))</f>
        <v>0</v>
      </c>
      <c r="G1634" s="1417">
        <f>IF(LEFT(G$6,4)&lt;LEFT('RFM input'!$G$60,4),"enter input",IF(LEFT(G$6,4)&gt;LEFT('RFM input'!$Q$60,4),0,INDEX('RFM input'!$G$61:$Q$110,$A1634,MATCH(G$6,'RFM input'!$G$60:$Q$60,0))
-INDEX('RFM input'!$G$115:$Q$164,$A1634,MATCH(G$6,'RFM input'!$G$60:$Q$60,0))
-INDEX('RFM input'!$G$169:$Q$218,$A1634,MATCH(G$6,'RFM input'!$G$60:$Q$60,0))))</f>
        <v>0</v>
      </c>
      <c r="H1634" s="1417">
        <f>IF(LEFT(H$6,4)&lt;LEFT('RFM input'!$G$60,4),"enter input",IF(LEFT(H$6,4)&gt;LEFT('RFM input'!$Q$60,4),0,INDEX('RFM input'!$G$61:$Q$110,$A1634,MATCH(H$6,'RFM input'!$G$60:$Q$60,0))
-INDEX('RFM input'!$G$115:$Q$164,$A1634,MATCH(H$6,'RFM input'!$G$60:$Q$60,0))
-INDEX('RFM input'!$G$169:$Q$218,$A1634,MATCH(H$6,'RFM input'!$G$60:$Q$60,0))))</f>
        <v>0</v>
      </c>
      <c r="I1634" s="1417">
        <f>IF(LEFT(I$6,4)&lt;LEFT('RFM input'!$G$60,4),"enter input",IF(LEFT(I$6,4)&gt;LEFT('RFM input'!$Q$60,4),0,INDEX('RFM input'!$G$61:$Q$110,$A1634,MATCH(I$6,'RFM input'!$G$60:$Q$60,0))
-INDEX('RFM input'!$G$115:$Q$164,$A1634,MATCH(I$6,'RFM input'!$G$60:$Q$60,0))
-INDEX('RFM input'!$G$169:$Q$218,$A1634,MATCH(I$6,'RFM input'!$G$60:$Q$60,0))))</f>
        <v>0</v>
      </c>
      <c r="J1634" s="1417">
        <f>IF(LEFT(J$6,4)&lt;LEFT('RFM input'!$G$60,4),"enter input",IF(LEFT(J$6,4)&gt;LEFT('RFM input'!$Q$60,4),0,INDEX('RFM input'!$G$61:$Q$110,$A1634,MATCH(J$6,'RFM input'!$G$60:$Q$60,0))
-INDEX('RFM input'!$G$115:$Q$164,$A1634,MATCH(J$6,'RFM input'!$G$60:$Q$60,0))
-INDEX('RFM input'!$G$169:$Q$218,$A1634,MATCH(J$6,'RFM input'!$G$60:$Q$60,0))))</f>
        <v>0</v>
      </c>
      <c r="K1634" s="1417">
        <f>IF(LEFT(K$6,4)&lt;LEFT('RFM input'!$G$60,4),"enter input",IF(LEFT(K$6,4)&gt;LEFT('RFM input'!$Q$60,4),0,INDEX('RFM input'!$G$61:$Q$110,$A1634,MATCH(K$6,'RFM input'!$G$60:$Q$60,0))
-INDEX('RFM input'!$G$115:$Q$164,$A1634,MATCH(K$6,'RFM input'!$G$60:$Q$60,0))
-INDEX('RFM input'!$G$169:$Q$218,$A1634,MATCH(K$6,'RFM input'!$G$60:$Q$60,0))))</f>
        <v>0</v>
      </c>
      <c r="L1634" s="1417">
        <f>IF(LEFT(L$6,4)&lt;LEFT('RFM input'!$G$60,4),"enter input",IF(LEFT(L$6,4)&gt;LEFT('RFM input'!$Q$60,4),0,INDEX('RFM input'!$G$61:$Q$110,$A1634,MATCH(L$6,'RFM input'!$G$60:$Q$60,0))
-INDEX('RFM input'!$G$115:$Q$164,$A1634,MATCH(L$6,'RFM input'!$G$60:$Q$60,0))
-INDEX('RFM input'!$G$169:$Q$218,$A1634,MATCH(L$6,'RFM input'!$G$60:$Q$60,0))))</f>
        <v>0</v>
      </c>
      <c r="M1634" s="1417">
        <f>IF(LEFT(M$6,4)&lt;LEFT('RFM input'!$G$60,4),"enter input",IF(LEFT(M$6,4)&gt;LEFT('RFM input'!$Q$60,4),0,INDEX('RFM input'!$G$61:$Q$110,$A1634,MATCH(M$6,'RFM input'!$G$60:$Q$60,0))
-INDEX('RFM input'!$G$115:$Q$164,$A1634,MATCH(M$6,'RFM input'!$G$60:$Q$60,0))
-INDEX('RFM input'!$G$169:$Q$218,$A1634,MATCH(M$6,'RFM input'!$G$60:$Q$60,0))))</f>
        <v>0</v>
      </c>
      <c r="N1634" s="1417">
        <f>IF(LEFT(N$6,4)&lt;LEFT('RFM input'!$G$60,4),"enter input",IF(LEFT(N$6,4)&gt;LEFT('RFM input'!$Q$60,4),0,INDEX('RFM input'!$G$61:$Q$110,$A1634,MATCH(N$6,'RFM input'!$G$60:$Q$60,0))
-INDEX('RFM input'!$G$115:$Q$164,$A1634,MATCH(N$6,'RFM input'!$G$60:$Q$60,0))
-INDEX('RFM input'!$G$169:$Q$218,$A1634,MATCH(N$6,'RFM input'!$G$60:$Q$60,0))))</f>
        <v>0</v>
      </c>
      <c r="O1634" s="1417">
        <f>IF(LEFT(O$6,4)&lt;LEFT('RFM input'!$G$60,4),"enter input",IF(LEFT(O$6,4)&gt;LEFT('RFM input'!$Q$60,4),0,INDEX('RFM input'!$G$61:$Q$110,$A1634,MATCH(O$6,'RFM input'!$G$60:$Q$60,0))
-INDEX('RFM input'!$G$115:$Q$164,$A1634,MATCH(O$6,'RFM input'!$G$60:$Q$60,0))
-INDEX('RFM input'!$G$169:$Q$218,$A1634,MATCH(O$6,'RFM input'!$G$60:$Q$60,0))))</f>
        <v>0</v>
      </c>
      <c r="P1634" s="1417">
        <f>IF(LEFT(P$6,4)&lt;LEFT('RFM input'!$G$60,4),"enter input",IF(LEFT(P$6,4)&gt;LEFT('RFM input'!$Q$60,4),0,INDEX('RFM input'!$G$61:$Q$110,$A1634,MATCH(P$6,'RFM input'!$G$60:$Q$60,0))
-INDEX('RFM input'!$G$115:$Q$164,$A1634,MATCH(P$6,'RFM input'!$G$60:$Q$60,0))
-INDEX('RFM input'!$G$169:$Q$218,$A1634,MATCH(P$6,'RFM input'!$G$60:$Q$60,0))))</f>
        <v>0</v>
      </c>
      <c r="Q1634" s="1417">
        <f>IF(LEFT(Q$6,4)&lt;LEFT('RFM input'!$G$60,4),"enter input",IF(LEFT(Q$6,4)&gt;LEFT('RFM input'!$Q$60,4),0,INDEX('RFM input'!$G$61:$Q$110,$A1634,MATCH(Q$6,'RFM input'!$G$60:$Q$60,0))
-INDEX('RFM input'!$G$115:$Q$164,$A1634,MATCH(Q$6,'RFM input'!$G$60:$Q$60,0))
-INDEX('RFM input'!$G$169:$Q$218,$A1634,MATCH(Q$6,'RFM input'!$G$60:$Q$60,0))))</f>
        <v>0</v>
      </c>
      <c r="R1634" s="1417">
        <f>IF(LEFT(R$6,4)&lt;LEFT('RFM input'!$G$60,4),"enter input",IF(LEFT(R$6,4)&gt;LEFT('RFM input'!$Q$60,4),0,INDEX('RFM input'!$G$61:$Q$110,$A1634,MATCH(R$6,'RFM input'!$G$60:$Q$60,0))
-INDEX('RFM input'!$G$115:$Q$164,$A1634,MATCH(R$6,'RFM input'!$G$60:$Q$60,0))
-INDEX('RFM input'!$G$169:$Q$218,$A1634,MATCH(R$6,'RFM input'!$G$60:$Q$60,0))))</f>
        <v>0</v>
      </c>
      <c r="S1634" s="1417">
        <f>IF(LEFT(S$6,4)&lt;LEFT('RFM input'!$G$60,4),"enter input",IF(LEFT(S$6,4)&gt;LEFT('RFM input'!$Q$60,4),0,INDEX('RFM input'!$G$61:$Q$110,$A1634,MATCH(S$6,'RFM input'!$G$60:$Q$60,0))
-INDEX('RFM input'!$G$115:$Q$164,$A1634,MATCH(S$6,'RFM input'!$G$60:$Q$60,0))
-INDEX('RFM input'!$G$169:$Q$218,$A1634,MATCH(S$6,'RFM input'!$G$60:$Q$60,0))))</f>
        <v>0</v>
      </c>
      <c r="T1634" s="1417">
        <f>IF(LEFT(T$6,4)&lt;LEFT('RFM input'!$G$60,4),"enter input",IF(LEFT(T$6,4)&gt;LEFT('RFM input'!$Q$60,4),0,INDEX('RFM input'!$G$61:$Q$110,$A1634,MATCH(T$6,'RFM input'!$G$60:$Q$60,0))
-INDEX('RFM input'!$G$115:$Q$164,$A1634,MATCH(T$6,'RFM input'!$G$60:$Q$60,0))
-INDEX('RFM input'!$G$169:$Q$218,$A1634,MATCH(T$6,'RFM input'!$G$60:$Q$60,0))))</f>
        <v>0</v>
      </c>
      <c r="U1634" s="1417">
        <f>IF(LEFT(U$6,4)&lt;LEFT('RFM input'!$G$60,4),"enter input",IF(LEFT(U$6,4)&gt;LEFT('RFM input'!$Q$60,4),0,INDEX('RFM input'!$G$61:$Q$110,$A1634,MATCH(U$6,'RFM input'!$G$60:$Q$60,0))
-INDEX('RFM input'!$G$115:$Q$164,$A1634,MATCH(U$6,'RFM input'!$G$60:$Q$60,0))
-INDEX('RFM input'!$G$169:$Q$218,$A1634,MATCH(U$6,'RFM input'!$G$60:$Q$60,0))))</f>
        <v>0</v>
      </c>
      <c r="V1634" s="1417">
        <f>IF(LEFT(V$6,4)&lt;LEFT('RFM input'!$G$60,4),"enter input",IF(LEFT(V$6,4)&gt;LEFT('RFM input'!$Q$60,4),0,INDEX('RFM input'!$G$61:$Q$110,$A1634,MATCH(V$6,'RFM input'!$G$60:$Q$60,0))
-INDEX('RFM input'!$G$115:$Q$164,$A1634,MATCH(V$6,'RFM input'!$G$60:$Q$60,0))
-INDEX('RFM input'!$G$169:$Q$218,$A1634,MATCH(V$6,'RFM input'!$G$60:$Q$60,0))))</f>
        <v>0</v>
      </c>
      <c r="W1634" s="1417">
        <f>IF(LEFT(W$6,4)&lt;LEFT('RFM input'!$G$60,4),"enter input",IF(LEFT(W$6,4)&gt;LEFT('RFM input'!$Q$60,4),0,INDEX('RFM input'!$G$61:$Q$110,$A1634,MATCH(W$6,'RFM input'!$G$60:$Q$60,0))
-INDEX('RFM input'!$G$115:$Q$164,$A1634,MATCH(W$6,'RFM input'!$G$60:$Q$60,0))
-INDEX('RFM input'!$G$169:$Q$218,$A1634,MATCH(W$6,'RFM input'!$G$60:$Q$60,0))))</f>
        <v>0</v>
      </c>
      <c r="X1634" s="152"/>
      <c r="Y1634" s="152"/>
      <c r="Z1634" s="152"/>
      <c r="AA1634" s="152"/>
      <c r="AB1634" s="152"/>
    </row>
    <row r="1635" spans="1:28">
      <c r="A1635" s="152"/>
      <c r="B1635" s="152" t="s">
        <v>204</v>
      </c>
      <c r="C1635" s="1418">
        <f ca="1">IF($C$8='Capital Base roll forward'!$H$4,OFFSET('RFM input'!$J$6,'RAB remaining lives'!A1634,0),"enter input")</f>
        <v>0</v>
      </c>
      <c r="D1635" s="1417">
        <f>IF(LEFT(D$6,4)&lt;=LEFT('RFM input'!$G$60,4),"enter input",IF(LEFT(D$6,4)&gt;LEFT('RFM input'!$Q$60,4),0,IF(MATCH(D$6,'RFM input'!$H$60:$Q$60,0),INDEX('RFM input'!$K$7:$K$56,$A1634,1))))</f>
        <v>0</v>
      </c>
      <c r="E1635" s="1417">
        <f>IF(LEFT(E$6,4)&lt;=LEFT('RFM input'!$G$60,4),"enter input",IF(LEFT(E$6,4)&gt;LEFT('RFM input'!$Q$60,4),0,IF(MATCH(E$6,'RFM input'!$H$60:$Q$60,0),INDEX('RFM input'!$K$7:$K$56,$A1634,1))))</f>
        <v>0</v>
      </c>
      <c r="F1635" s="1417">
        <f>IF(LEFT(F$6,4)&lt;=LEFT('RFM input'!$G$60,4),"enter input",IF(LEFT(F$6,4)&gt;LEFT('RFM input'!$Q$60,4),0,IF(MATCH(F$6,'RFM input'!$H$60:$Q$60,0),INDEX('RFM input'!$K$7:$K$56,$A1634,1))))</f>
        <v>0</v>
      </c>
      <c r="G1635" s="1417">
        <f>IF(LEFT(G$6,4)&lt;=LEFT('RFM input'!$G$60,4),"enter input",IF(LEFT(G$6,4)&gt;LEFT('RFM input'!$Q$60,4),0,IF(MATCH(G$6,'RFM input'!$H$60:$Q$60,0),INDEX('RFM input'!$K$7:$K$56,$A1634,1))))</f>
        <v>0</v>
      </c>
      <c r="H1635" s="1417">
        <f>IF(LEFT(H$6,4)&lt;=LEFT('RFM input'!$G$60,4),"enter input",IF(LEFT(H$6,4)&gt;LEFT('RFM input'!$Q$60,4),0,IF(MATCH(H$6,'RFM input'!$H$60:$Q$60,0),INDEX('RFM input'!$K$7:$K$56,$A1634,1))))</f>
        <v>0</v>
      </c>
      <c r="I1635" s="1417">
        <f>IF(LEFT(I$6,4)&lt;=LEFT('RFM input'!$G$60,4),"enter input",IF(LEFT(I$6,4)&gt;LEFT('RFM input'!$Q$60,4),0,IF(MATCH(I$6,'RFM input'!$H$60:$Q$60,0),INDEX('RFM input'!$K$7:$K$56,$A1634,1))))</f>
        <v>0</v>
      </c>
      <c r="J1635" s="1417">
        <f>IF(LEFT(J$6,4)&lt;=LEFT('RFM input'!$G$60,4),"enter input",IF(LEFT(J$6,4)&gt;LEFT('RFM input'!$Q$60,4),0,IF(MATCH(J$6,'RFM input'!$H$60:$Q$60,0),INDEX('RFM input'!$K$7:$K$56,$A1634,1))))</f>
        <v>0</v>
      </c>
      <c r="K1635" s="1417">
        <f>IF(LEFT(K$6,4)&lt;=LEFT('RFM input'!$G$60,4),"enter input",IF(LEFT(K$6,4)&gt;LEFT('RFM input'!$Q$60,4),0,IF(MATCH(K$6,'RFM input'!$H$60:$Q$60,0),INDEX('RFM input'!$K$7:$K$56,$A1634,1))))</f>
        <v>0</v>
      </c>
      <c r="L1635" s="1417">
        <f>IF(LEFT(L$6,4)&lt;=LEFT('RFM input'!$G$60,4),"enter input",IF(LEFT(L$6,4)&gt;LEFT('RFM input'!$Q$60,4),0,IF(MATCH(L$6,'RFM input'!$H$60:$Q$60,0),INDEX('RFM input'!$K$7:$K$56,$A1634,1))))</f>
        <v>0</v>
      </c>
      <c r="M1635" s="1417">
        <f>IF(LEFT(M$6,4)&lt;=LEFT('RFM input'!$G$60,4),"enter input",IF(LEFT(M$6,4)&gt;LEFT('RFM input'!$Q$60,4),0,IF(MATCH(M$6,'RFM input'!$H$60:$Q$60,0),INDEX('RFM input'!$K$7:$K$56,$A1634,1))))</f>
        <v>0</v>
      </c>
      <c r="N1635" s="1417">
        <f>IF(LEFT(N$6,4)&lt;=LEFT('RFM input'!$G$60,4),"enter input",IF(LEFT(N$6,4)&gt;LEFT('RFM input'!$Q$60,4),0,IF(MATCH(N$6,'RFM input'!$H$60:$Q$60,0),INDEX('RFM input'!$K$7:$K$56,$A1634,1))))</f>
        <v>0</v>
      </c>
      <c r="O1635" s="1417">
        <f>IF(LEFT(O$6,4)&lt;=LEFT('RFM input'!$G$60,4),"enter input",IF(LEFT(O$6,4)&gt;LEFT('RFM input'!$Q$60,4),0,IF(MATCH(O$6,'RFM input'!$H$60:$Q$60,0),INDEX('RFM input'!$K$7:$K$56,$A1634,1))))</f>
        <v>0</v>
      </c>
      <c r="P1635" s="1417">
        <f>IF(LEFT(P$6,4)&lt;=LEFT('RFM input'!$G$60,4),"enter input",IF(LEFT(P$6,4)&gt;LEFT('RFM input'!$Q$60,4),0,IF(MATCH(P$6,'RFM input'!$H$60:$Q$60,0),INDEX('RFM input'!$K$7:$K$56,$A1634,1))))</f>
        <v>0</v>
      </c>
      <c r="Q1635" s="1417">
        <f>IF(LEFT(Q$6,4)&lt;=LEFT('RFM input'!$G$60,4),"enter input",IF(LEFT(Q$6,4)&gt;LEFT('RFM input'!$Q$60,4),0,IF(MATCH(Q$6,'RFM input'!$H$60:$Q$60,0),INDEX('RFM input'!$K$7:$K$56,$A1634,1))))</f>
        <v>0</v>
      </c>
      <c r="R1635" s="1417">
        <f>IF(LEFT(R$6,4)&lt;=LEFT('RFM input'!$G$60,4),"enter input",IF(LEFT(R$6,4)&gt;LEFT('RFM input'!$Q$60,4),0,IF(MATCH(R$6,'RFM input'!$H$60:$Q$60,0),INDEX('RFM input'!$K$7:$K$56,$A1634,1))))</f>
        <v>0</v>
      </c>
      <c r="S1635" s="1417">
        <f>IF(LEFT(S$6,4)&lt;=LEFT('RFM input'!$G$60,4),"enter input",IF(LEFT(S$6,4)&gt;LEFT('RFM input'!$Q$60,4),0,IF(MATCH(S$6,'RFM input'!$H$60:$Q$60,0),INDEX('RFM input'!$K$7:$K$56,$A1634,1))))</f>
        <v>0</v>
      </c>
      <c r="T1635" s="1417">
        <f>IF(LEFT(T$6,4)&lt;=LEFT('RFM input'!$G$60,4),"enter input",IF(LEFT(T$6,4)&gt;LEFT('RFM input'!$Q$60,4),0,IF(MATCH(T$6,'RFM input'!$H$60:$Q$60,0),INDEX('RFM input'!$K$7:$K$56,$A1634,1))))</f>
        <v>0</v>
      </c>
      <c r="U1635" s="1417">
        <f>IF(LEFT(U$6,4)&lt;=LEFT('RFM input'!$G$60,4),"enter input",IF(LEFT(U$6,4)&gt;LEFT('RFM input'!$Q$60,4),0,IF(MATCH(U$6,'RFM input'!$H$60:$Q$60,0),INDEX('RFM input'!$K$7:$K$56,$A1634,1))))</f>
        <v>0</v>
      </c>
      <c r="V1635" s="1417">
        <f>IF(LEFT(V$6,4)&lt;=LEFT('RFM input'!$G$60,4),"enter input",IF(LEFT(V$6,4)&gt;LEFT('RFM input'!$Q$60,4),0,IF(MATCH(V$6,'RFM input'!$H$60:$Q$60,0),INDEX('RFM input'!$K$7:$K$56,$A1634,1))))</f>
        <v>0</v>
      </c>
      <c r="W1635" s="1417">
        <f>IF(LEFT(W$6,4)&lt;=LEFT('RFM input'!$G$60,4),"enter input",IF(LEFT(W$6,4)&gt;LEFT('RFM input'!$Q$60,4),0,IF(MATCH(W$6,'RFM input'!$H$60:$Q$60,0),INDEX('RFM input'!$K$7:$K$56,$A1634,1))))</f>
        <v>0</v>
      </c>
      <c r="X1635" s="152"/>
      <c r="Y1635" s="152"/>
      <c r="Z1635" s="152"/>
      <c r="AA1635" s="152"/>
      <c r="AB1635" s="152"/>
    </row>
    <row r="1636" spans="1:28">
      <c r="A1636" s="152"/>
      <c r="B1636" s="177" t="s">
        <v>191</v>
      </c>
      <c r="C1636" s="1419"/>
      <c r="D1636" s="1420">
        <f ca="1">IF(LEFT(D$6,4)&lt;=LEFT('RFM input'!$G$60,4),"enter input",IF(LEFT(D$6,4)&gt;LEFT('RFM input'!$Q$60,4),0,IF(D$6=(OFFSET('RFM input'!$G$60,0,'RFM input'!$V$7)),OFFSET('RFM input'!$G$411,$A1634,0),0)))</f>
        <v>0</v>
      </c>
      <c r="E1636" s="1417">
        <f ca="1">IF(LEFT(E$6,4)&lt;=LEFT('RFM input'!$G$60,4),"enter input",IF(LEFT(E$6,4)&gt;LEFT('RFM input'!$Q$60,4),0,IF(E$6=(OFFSET('RFM input'!$G$60,0,'RFM input'!$V$7)),OFFSET('RFM input'!$G$411,$A1634,0),0)))</f>
        <v>0</v>
      </c>
      <c r="F1636" s="1417">
        <f ca="1">IF(LEFT(F$6,4)&lt;=LEFT('RFM input'!$G$60,4),"enter input",IF(LEFT(F$6,4)&gt;LEFT('RFM input'!$Q$60,4),0,IF(F$6=(OFFSET('RFM input'!$G$60,0,'RFM input'!$V$7)),OFFSET('RFM input'!$G$411,$A1634,0),0)))</f>
        <v>0</v>
      </c>
      <c r="G1636" s="1417">
        <f ca="1">IF(LEFT(G$6,4)&lt;=LEFT('RFM input'!$G$60,4),"enter input",IF(LEFT(G$6,4)&gt;LEFT('RFM input'!$Q$60,4),0,IF(G$6=(OFFSET('RFM input'!$G$60,0,'RFM input'!$V$7)),OFFSET('RFM input'!$G$411,$A1634,0),0)))</f>
        <v>0</v>
      </c>
      <c r="H1636" s="1417">
        <f ca="1">IF(LEFT(H$6,4)&lt;=LEFT('RFM input'!$G$60,4),"enter input",IF(LEFT(H$6,4)&gt;LEFT('RFM input'!$Q$60,4),0,IF(H$6=(OFFSET('RFM input'!$G$60,0,'RFM input'!$V$7)),OFFSET('RFM input'!$G$411,$A1634,0),0)))</f>
        <v>0</v>
      </c>
      <c r="I1636" s="1417">
        <f ca="1">IF(LEFT(I$6,4)&lt;=LEFT('RFM input'!$G$60,4),"enter input",IF(LEFT(I$6,4)&gt;LEFT('RFM input'!$Q$60,4),0,IF(I$6=(OFFSET('RFM input'!$G$60,0,'RFM input'!$V$7)),OFFSET('RFM input'!$G$411,$A1634,0),0)))</f>
        <v>0</v>
      </c>
      <c r="J1636" s="1417">
        <f ca="1">IF(LEFT(J$6,4)&lt;=LEFT('RFM input'!$G$60,4),"enter input",IF(LEFT(J$6,4)&gt;LEFT('RFM input'!$Q$60,4),0,IF(J$6=(OFFSET('RFM input'!$G$60,0,'RFM input'!$V$7)),OFFSET('RFM input'!$G$411,$A1634,0),0)))</f>
        <v>0</v>
      </c>
      <c r="K1636" s="1417">
        <f ca="1">IF(LEFT(K$6,4)&lt;=LEFT('RFM input'!$G$60,4),"enter input",IF(LEFT(K$6,4)&gt;LEFT('RFM input'!$Q$60,4),0,IF(K$6=(OFFSET('RFM input'!$G$60,0,'RFM input'!$V$7)),OFFSET('RFM input'!$G$411,$A1634,0),0)))</f>
        <v>0</v>
      </c>
      <c r="L1636" s="1417">
        <f ca="1">IF(LEFT(L$6,4)&lt;=LEFT('RFM input'!$G$60,4),"enter input",IF(LEFT(L$6,4)&gt;LEFT('RFM input'!$Q$60,4),0,IF(L$6=(OFFSET('RFM input'!$G$60,0,'RFM input'!$V$7)),OFFSET('RFM input'!$G$411,$A1634,0),0)))</f>
        <v>0</v>
      </c>
      <c r="M1636" s="1417">
        <f ca="1">IF(LEFT(M$6,4)&lt;=LEFT('RFM input'!$G$60,4),"enter input",IF(LEFT(M$6,4)&gt;LEFT('RFM input'!$Q$60,4),0,IF(M$6=(OFFSET('RFM input'!$G$60,0,'RFM input'!$V$7)),OFFSET('RFM input'!$G$411,$A1634,0),0)))</f>
        <v>0</v>
      </c>
      <c r="N1636" s="1417">
        <f ca="1">IF(LEFT(N$6,4)&lt;=LEFT('RFM input'!$G$60,4),"enter input",IF(LEFT(N$6,4)&gt;LEFT('RFM input'!$Q$60,4),0,IF(N$6=(OFFSET('RFM input'!$G$60,0,'RFM input'!$V$7)),OFFSET('RFM input'!$G$411,$A1634,0),0)))</f>
        <v>0</v>
      </c>
      <c r="O1636" s="1417">
        <f ca="1">IF(LEFT(O$6,4)&lt;=LEFT('RFM input'!$G$60,4),"enter input",IF(LEFT(O$6,4)&gt;LEFT('RFM input'!$Q$60,4),0,IF(O$6=(OFFSET('RFM input'!$G$60,0,'RFM input'!$V$7)),OFFSET('RFM input'!$G$411,$A1634,0),0)))</f>
        <v>0</v>
      </c>
      <c r="P1636" s="1417">
        <f ca="1">IF(LEFT(P$6,4)&lt;=LEFT('RFM input'!$G$60,4),"enter input",IF(LEFT(P$6,4)&gt;LEFT('RFM input'!$Q$60,4),0,IF(P$6=(OFFSET('RFM input'!$G$60,0,'RFM input'!$V$7)),OFFSET('RFM input'!$G$411,$A1634,0),0)))</f>
        <v>0</v>
      </c>
      <c r="Q1636" s="1417">
        <f ca="1">IF(LEFT(Q$6,4)&lt;=LEFT('RFM input'!$G$60,4),"enter input",IF(LEFT(Q$6,4)&gt;LEFT('RFM input'!$Q$60,4),0,IF(Q$6=(OFFSET('RFM input'!$G$60,0,'RFM input'!$V$7)),OFFSET('RFM input'!$G$411,$A1634,0),0)))</f>
        <v>0</v>
      </c>
      <c r="R1636" s="1417">
        <f ca="1">IF(LEFT(R$6,4)&lt;=LEFT('RFM input'!$G$60,4),"enter input",IF(LEFT(R$6,4)&gt;LEFT('RFM input'!$Q$60,4),0,IF(R$6=(OFFSET('RFM input'!$G$60,0,'RFM input'!$V$7)),OFFSET('RFM input'!$G$411,$A1634,0),0)))</f>
        <v>0</v>
      </c>
      <c r="S1636" s="1417">
        <f ca="1">IF(LEFT(S$6,4)&lt;=LEFT('RFM input'!$G$60,4),"enter input",IF(LEFT(S$6,4)&gt;LEFT('RFM input'!$Q$60,4),0,IF(S$6=(OFFSET('RFM input'!$G$60,0,'RFM input'!$V$7)),OFFSET('RFM input'!$G$411,$A1634,0),0)))</f>
        <v>0</v>
      </c>
      <c r="T1636" s="1417">
        <f ca="1">IF(LEFT(T$6,4)&lt;=LEFT('RFM input'!$G$60,4),"enter input",IF(LEFT(T$6,4)&gt;LEFT('RFM input'!$Q$60,4),0,IF(T$6=(OFFSET('RFM input'!$G$60,0,'RFM input'!$V$7)),OFFSET('RFM input'!$G$411,$A1634,0),0)))</f>
        <v>0</v>
      </c>
      <c r="U1636" s="1417">
        <f ca="1">IF(LEFT(U$6,4)&lt;=LEFT('RFM input'!$G$60,4),"enter input",IF(LEFT(U$6,4)&gt;LEFT('RFM input'!$Q$60,4),0,IF(U$6=(OFFSET('RFM input'!$G$60,0,'RFM input'!$V$7)),OFFSET('RFM input'!$G$411,$A1634,0),0)))</f>
        <v>0</v>
      </c>
      <c r="V1636" s="1417">
        <f ca="1">IF(LEFT(V$6,4)&lt;=LEFT('RFM input'!$G$60,4),"enter input",IF(LEFT(V$6,4)&gt;LEFT('RFM input'!$Q$60,4),0,IF(V$6=(OFFSET('RFM input'!$G$60,0,'RFM input'!$V$7)),OFFSET('RFM input'!$G$411,$A1634,0),0)))</f>
        <v>0</v>
      </c>
      <c r="W1636" s="1417">
        <f ca="1">IF(LEFT(W$6,4)&lt;=LEFT('RFM input'!$G$60,4),"enter input",IF(LEFT(W$6,4)&gt;LEFT('RFM input'!$Q$60,4),0,IF(W$6=(OFFSET('RFM input'!$G$60,0,'RFM input'!$V$7)),OFFSET('RFM input'!$G$411,$A1634,0),0)))</f>
        <v>0</v>
      </c>
      <c r="X1636" s="152"/>
      <c r="Y1636" s="152"/>
      <c r="Z1636" s="152"/>
      <c r="AA1636" s="152"/>
      <c r="AB1636" s="152"/>
    </row>
    <row r="1637" spans="1:28">
      <c r="A1637" s="152"/>
      <c r="B1637" s="195" t="s">
        <v>197</v>
      </c>
      <c r="C1637" s="1419"/>
      <c r="D1637" s="1418">
        <f ca="1">IF(LEFT(D$6,4)&lt;=LEFT('RFM input'!$G$60,4),"enter input",IF(LEFT(D$6,4)&gt;LEFT('RFM input'!$Q$60,4),0,IF(D$6=(OFFSET('RFM input'!$G$60,0,'RFM input'!$V$7)),OFFSET('RFM input'!$I$411,$A1634,0),0)))</f>
        <v>0</v>
      </c>
      <c r="E1637" s="1422">
        <f ca="1">IF(LEFT(E$6,4)&lt;=LEFT('RFM input'!$G$60,4),"enter input",IF(LEFT(E$6,4)&gt;LEFT('RFM input'!$Q$60,4),0,IF(E$6=(OFFSET('RFM input'!$G$60,0,'RFM input'!$V$7)),OFFSET('RFM input'!$I$411,$A1634,0),0)))</f>
        <v>0</v>
      </c>
      <c r="F1637" s="1422">
        <f ca="1">IF(LEFT(F$6,4)&lt;=LEFT('RFM input'!$G$60,4),"enter input",IF(LEFT(F$6,4)&gt;LEFT('RFM input'!$Q$60,4),0,IF(F$6=(OFFSET('RFM input'!$G$60,0,'RFM input'!$V$7)),OFFSET('RFM input'!$I$411,$A1634,0),0)))</f>
        <v>0</v>
      </c>
      <c r="G1637" s="1422">
        <f ca="1">IF(LEFT(G$6,4)&lt;=LEFT('RFM input'!$G$60,4),"enter input",IF(LEFT(G$6,4)&gt;LEFT('RFM input'!$Q$60,4),0,IF(G$6=(OFFSET('RFM input'!$G$60,0,'RFM input'!$V$7)),OFFSET('RFM input'!$I$411,$A1634,0),0)))</f>
        <v>0</v>
      </c>
      <c r="H1637" s="1422">
        <f ca="1">IF(LEFT(H$6,4)&lt;=LEFT('RFM input'!$G$60,4),"enter input",IF(LEFT(H$6,4)&gt;LEFT('RFM input'!$Q$60,4),0,IF(H$6=(OFFSET('RFM input'!$G$60,0,'RFM input'!$V$7)),OFFSET('RFM input'!$I$411,$A1634,0),0)))</f>
        <v>0</v>
      </c>
      <c r="I1637" s="1422">
        <f ca="1">IF(LEFT(I$6,4)&lt;=LEFT('RFM input'!$G$60,4),"enter input",IF(LEFT(I$6,4)&gt;LEFT('RFM input'!$Q$60,4),0,IF(I$6=(OFFSET('RFM input'!$G$60,0,'RFM input'!$V$7)),OFFSET('RFM input'!$I$411,$A1634,0),0)))</f>
        <v>0</v>
      </c>
      <c r="J1637" s="1422">
        <f ca="1">IF(LEFT(J$6,4)&lt;=LEFT('RFM input'!$G$60,4),"enter input",IF(LEFT(J$6,4)&gt;LEFT('RFM input'!$Q$60,4),0,IF(J$6=(OFFSET('RFM input'!$G$60,0,'RFM input'!$V$7)),OFFSET('RFM input'!$I$411,$A1634,0),0)))</f>
        <v>0</v>
      </c>
      <c r="K1637" s="1422">
        <f ca="1">IF(LEFT(K$6,4)&lt;=LEFT('RFM input'!$G$60,4),"enter input",IF(LEFT(K$6,4)&gt;LEFT('RFM input'!$Q$60,4),0,IF(K$6=(OFFSET('RFM input'!$G$60,0,'RFM input'!$V$7)),OFFSET('RFM input'!$I$411,$A1634,0),0)))</f>
        <v>0</v>
      </c>
      <c r="L1637" s="1422">
        <f ca="1">IF(LEFT(L$6,4)&lt;=LEFT('RFM input'!$G$60,4),"enter input",IF(LEFT(L$6,4)&gt;LEFT('RFM input'!$Q$60,4),0,IF(L$6=(OFFSET('RFM input'!$G$60,0,'RFM input'!$V$7)),OFFSET('RFM input'!$I$411,$A1634,0),0)))</f>
        <v>0</v>
      </c>
      <c r="M1637" s="1422">
        <f ca="1">IF(LEFT(M$6,4)&lt;=LEFT('RFM input'!$G$60,4),"enter input",IF(LEFT(M$6,4)&gt;LEFT('RFM input'!$Q$60,4),0,IF(M$6=(OFFSET('RFM input'!$G$60,0,'RFM input'!$V$7)),OFFSET('RFM input'!$I$411,$A1634,0),0)))</f>
        <v>0</v>
      </c>
      <c r="N1637" s="1422">
        <f ca="1">IF(LEFT(N$6,4)&lt;=LEFT('RFM input'!$G$60,4),"enter input",IF(LEFT(N$6,4)&gt;LEFT('RFM input'!$Q$60,4),0,IF(N$6=(OFFSET('RFM input'!$G$60,0,'RFM input'!$V$7)),OFFSET('RFM input'!$I$411,$A1634,0),0)))</f>
        <v>0</v>
      </c>
      <c r="O1637" s="1422">
        <f ca="1">IF(LEFT(O$6,4)&lt;=LEFT('RFM input'!$G$60,4),"enter input",IF(LEFT(O$6,4)&gt;LEFT('RFM input'!$Q$60,4),0,IF(O$6=(OFFSET('RFM input'!$G$60,0,'RFM input'!$V$7)),OFFSET('RFM input'!$I$411,$A1634,0),0)))</f>
        <v>0</v>
      </c>
      <c r="P1637" s="1422">
        <f ca="1">IF(LEFT(P$6,4)&lt;=LEFT('RFM input'!$G$60,4),"enter input",IF(LEFT(P$6,4)&gt;LEFT('RFM input'!$Q$60,4),0,IF(P$6=(OFFSET('RFM input'!$G$60,0,'RFM input'!$V$7)),OFFSET('RFM input'!$I$411,$A1634,0),0)))</f>
        <v>0</v>
      </c>
      <c r="Q1637" s="1422">
        <f ca="1">IF(LEFT(Q$6,4)&lt;=LEFT('RFM input'!$G$60,4),"enter input",IF(LEFT(Q$6,4)&gt;LEFT('RFM input'!$Q$60,4),0,IF(Q$6=(OFFSET('RFM input'!$G$60,0,'RFM input'!$V$7)),OFFSET('RFM input'!$I$411,$A1634,0),0)))</f>
        <v>0</v>
      </c>
      <c r="R1637" s="1422">
        <f ca="1">IF(LEFT(R$6,4)&lt;=LEFT('RFM input'!$G$60,4),"enter input",IF(LEFT(R$6,4)&gt;LEFT('RFM input'!$Q$60,4),0,IF(R$6=(OFFSET('RFM input'!$G$60,0,'RFM input'!$V$7)),OFFSET('RFM input'!$I$411,$A1634,0),0)))</f>
        <v>0</v>
      </c>
      <c r="S1637" s="1422">
        <f ca="1">IF(LEFT(S$6,4)&lt;=LEFT('RFM input'!$G$60,4),"enter input",IF(LEFT(S$6,4)&gt;LEFT('RFM input'!$Q$60,4),0,IF(S$6=(OFFSET('RFM input'!$G$60,0,'RFM input'!$V$7)),OFFSET('RFM input'!$I$411,$A1634,0),0)))</f>
        <v>0</v>
      </c>
      <c r="T1637" s="1422">
        <f ca="1">IF(LEFT(T$6,4)&lt;=LEFT('RFM input'!$G$60,4),"enter input",IF(LEFT(T$6,4)&gt;LEFT('RFM input'!$Q$60,4),0,IF(T$6=(OFFSET('RFM input'!$G$60,0,'RFM input'!$V$7)),OFFSET('RFM input'!$I$411,$A1634,0),0)))</f>
        <v>0</v>
      </c>
      <c r="U1637" s="1422">
        <f ca="1">IF(LEFT(U$6,4)&lt;=LEFT('RFM input'!$G$60,4),"enter input",IF(LEFT(U$6,4)&gt;LEFT('RFM input'!$Q$60,4),0,IF(U$6=(OFFSET('RFM input'!$G$60,0,'RFM input'!$V$7)),OFFSET('RFM input'!$I$411,$A1634,0),0)))</f>
        <v>0</v>
      </c>
      <c r="V1637" s="1422">
        <f ca="1">IF(LEFT(V$6,4)&lt;=LEFT('RFM input'!$G$60,4),"enter input",IF(LEFT(V$6,4)&gt;LEFT('RFM input'!$Q$60,4),0,IF(V$6=(OFFSET('RFM input'!$G$60,0,'RFM input'!$V$7)),OFFSET('RFM input'!$I$411,$A1634,0),0)))</f>
        <v>0</v>
      </c>
      <c r="W1637" s="1422">
        <f ca="1">IF(LEFT(W$6,4)&lt;=LEFT('RFM input'!$G$60,4),"enter input",IF(LEFT(W$6,4)&gt;LEFT('RFM input'!$Q$60,4),0,IF(W$6=(OFFSET('RFM input'!$G$60,0,'RFM input'!$V$7)),OFFSET('RFM input'!$I$411,$A1634,0),0)))</f>
        <v>0</v>
      </c>
      <c r="X1637" s="152"/>
      <c r="Y1637" s="152"/>
      <c r="Z1637" s="152"/>
      <c r="AA1637" s="152"/>
      <c r="AB1637" s="152"/>
    </row>
    <row r="1638" spans="1:28" hidden="1" outlineLevel="1">
      <c r="A1638" s="235">
        <v>-1</v>
      </c>
      <c r="B1638" s="190" t="s">
        <v>189</v>
      </c>
      <c r="C1638" s="1423"/>
      <c r="D1638" s="1423">
        <f ca="1">IF(AND(D1636=0,C1638=0),0,
IF(AND(D1636&lt;&gt;0,C1638=0),(D1636/D$10),
IF(AND(D1637&lt;&gt;0,C1638&lt;&gt;0),(C1638-(C1638/C1662))+(D1636/D$10),
IF(C1662&lt;1,0,(C1638-(C1638/C1662))))))</f>
        <v>0</v>
      </c>
      <c r="E1638" s="1423">
        <f t="shared" ref="E1638" ca="1" si="2395">IF(AND(E1636=0,D1638=0),0,
IF(AND(E1636&lt;&gt;0,D1638=0),(E1636/E$10),
IF(AND(E1637&lt;&gt;0,D1638&lt;&gt;0),(D1638-(D1638/D1662))+(E1636/E$10),
IF(D1662&lt;1,0,(D1638-(D1638/D1662))))))</f>
        <v>0</v>
      </c>
      <c r="F1638" s="1423">
        <f t="shared" ref="F1638" ca="1" si="2396">IF(AND(F1636=0,E1638=0),0,
IF(AND(F1636&lt;&gt;0,E1638=0),(F1636/F$10),
IF(AND(F1637&lt;&gt;0,E1638&lt;&gt;0),(E1638-(E1638/E1662))+(F1636/F$10),
IF(E1662&lt;1,0,(E1638-(E1638/E1662))))))</f>
        <v>0</v>
      </c>
      <c r="G1638" s="1423">
        <f t="shared" ref="G1638" ca="1" si="2397">IF(AND(G1636=0,F1638=0),0,
IF(AND(G1636&lt;&gt;0,F1638=0),(G1636/G$10),
IF(AND(G1637&lt;&gt;0,F1638&lt;&gt;0),(F1638-(F1638/F1662))+(G1636/G$10),
IF(F1662&lt;1,0,(F1638-(F1638/F1662))))))</f>
        <v>0</v>
      </c>
      <c r="H1638" s="1423">
        <f t="shared" ref="H1638" ca="1" si="2398">IF(AND(H1636=0,G1638=0),0,
IF(AND(H1636&lt;&gt;0,G1638=0),(H1636/H$10),
IF(AND(H1637&lt;&gt;0,G1638&lt;&gt;0),(G1638-(G1638/G1662))+(H1636/H$10),
IF(G1662&lt;1,0,(G1638-(G1638/G1662))))))</f>
        <v>0</v>
      </c>
      <c r="I1638" s="1423">
        <f t="shared" ref="I1638" ca="1" si="2399">IF(AND(I1636=0,H1638=0),0,
IF(AND(I1636&lt;&gt;0,H1638=0),(I1636/I$10),
IF(AND(I1637&lt;&gt;0,H1638&lt;&gt;0),(H1638-(H1638/H1662))+(I1636/I$10),
IF(H1662&lt;1,0,(H1638-(H1638/H1662))))))</f>
        <v>0</v>
      </c>
      <c r="J1638" s="1423">
        <f t="shared" ref="J1638" ca="1" si="2400">IF(AND(J1636=0,I1638=0),0,
IF(AND(J1636&lt;&gt;0,I1638=0),(J1636/J$10),
IF(AND(J1637&lt;&gt;0,I1638&lt;&gt;0),(I1638-(I1638/I1662))+(J1636/J$10),
IF(I1662&lt;1,0,(I1638-(I1638/I1662))))))</f>
        <v>0</v>
      </c>
      <c r="K1638" s="1423">
        <f t="shared" ref="K1638" ca="1" si="2401">IF(AND(K1636=0,J1638=0),0,
IF(AND(K1636&lt;&gt;0,J1638=0),(K1636/K$10),
IF(AND(K1637&lt;&gt;0,J1638&lt;&gt;0),(J1638-(J1638/J1662))+(K1636/K$10),
IF(J1662&lt;1,0,(J1638-(J1638/J1662))))))</f>
        <v>0</v>
      </c>
      <c r="L1638" s="1423">
        <f t="shared" ref="L1638" ca="1" si="2402">IF(AND(L1636=0,K1638=0),0,
IF(AND(L1636&lt;&gt;0,K1638=0),(L1636/L$10),
IF(AND(L1637&lt;&gt;0,K1638&lt;&gt;0),(K1638-(K1638/K1662))+(L1636/L$10),
IF(K1662&lt;1,0,(K1638-(K1638/K1662))))))</f>
        <v>0</v>
      </c>
      <c r="M1638" s="1423">
        <f t="shared" ref="M1638" ca="1" si="2403">IF(AND(M1636=0,L1638=0),0,
IF(AND(M1636&lt;&gt;0,L1638=0),(M1636/M$10),
IF(AND(M1637&lt;&gt;0,L1638&lt;&gt;0),(L1638-(L1638/L1662))+(M1636/M$10),
IF(L1662&lt;1,0,(L1638-(L1638/L1662))))))</f>
        <v>0</v>
      </c>
      <c r="N1638" s="1423">
        <f t="shared" ref="N1638" ca="1" si="2404">IF(AND(N1636=0,M1638=0),0,
IF(AND(N1636&lt;&gt;0,M1638=0),(N1636/N$10),
IF(AND(N1637&lt;&gt;0,M1638&lt;&gt;0),(M1638-(M1638/M1662))+(N1636/N$10),
IF(M1662&lt;1,0,(M1638-(M1638/M1662))))))</f>
        <v>0</v>
      </c>
      <c r="O1638" s="1423">
        <f t="shared" ref="O1638" ca="1" si="2405">IF(AND(O1636=0,N1638=0),0,
IF(AND(O1636&lt;&gt;0,N1638=0),(O1636/O$10),
IF(AND(O1637&lt;&gt;0,N1638&lt;&gt;0),(N1638-(N1638/N1662))+(O1636/O$10),
IF(N1662&lt;1,0,(N1638-(N1638/N1662))))))</f>
        <v>0</v>
      </c>
      <c r="P1638" s="1423">
        <f t="shared" ref="P1638" ca="1" si="2406">IF(AND(P1636=0,O1638=0),0,
IF(AND(P1636&lt;&gt;0,O1638=0),(P1636/P$10),
IF(AND(P1637&lt;&gt;0,O1638&lt;&gt;0),(O1638-(O1638/O1662))+(P1636/P$10),
IF(O1662&lt;1,0,(O1638-(O1638/O1662))))))</f>
        <v>0</v>
      </c>
      <c r="Q1638" s="1423">
        <f t="shared" ref="Q1638" ca="1" si="2407">IF(AND(Q1636=0,P1638=0),0,
IF(AND(Q1636&lt;&gt;0,P1638=0),(Q1636/Q$10),
IF(AND(Q1637&lt;&gt;0,P1638&lt;&gt;0),(P1638-(P1638/P1662))+(Q1636/Q$10),
IF(P1662&lt;1,0,(P1638-(P1638/P1662))))))</f>
        <v>0</v>
      </c>
      <c r="R1638" s="1423">
        <f t="shared" ref="R1638" ca="1" si="2408">IF(AND(R1636=0,Q1638=0),0,
IF(AND(R1636&lt;&gt;0,Q1638=0),(R1636/R$10),
IF(AND(R1637&lt;&gt;0,Q1638&lt;&gt;0),(Q1638-(Q1638/Q1662))+(R1636/R$10),
IF(Q1662&lt;1,0,(Q1638-(Q1638/Q1662))))))</f>
        <v>0</v>
      </c>
      <c r="S1638" s="1423">
        <f t="shared" ref="S1638" ca="1" si="2409">IF(AND(S1636=0,R1638=0),0,
IF(AND(S1636&lt;&gt;0,R1638=0),(S1636/S$10),
IF(AND(S1637&lt;&gt;0,R1638&lt;&gt;0),(R1638-(R1638/R1662))+(S1636/S$10),
IF(R1662&lt;1,0,(R1638-(R1638/R1662))))))</f>
        <v>0</v>
      </c>
      <c r="T1638" s="1423">
        <f t="shared" ref="T1638" ca="1" si="2410">IF(AND(T1636=0,S1638=0),0,
IF(AND(T1636&lt;&gt;0,S1638=0),(T1636/T$10),
IF(AND(T1637&lt;&gt;0,S1638&lt;&gt;0),(S1638-(S1638/S1662))+(T1636/T$10),
IF(S1662&lt;1,0,(S1638-(S1638/S1662))))))</f>
        <v>0</v>
      </c>
      <c r="U1638" s="1423">
        <f t="shared" ref="U1638" ca="1" si="2411">IF(AND(U1636=0,T1638=0),0,
IF(AND(U1636&lt;&gt;0,T1638=0),(U1636/U$10),
IF(AND(U1637&lt;&gt;0,T1638&lt;&gt;0),(T1638-(T1638/T1662))+(U1636/U$10),
IF(T1662&lt;1,0,(T1638-(T1638/T1662))))))</f>
        <v>0</v>
      </c>
      <c r="V1638" s="1423">
        <f t="shared" ref="V1638" ca="1" si="2412">IF(AND(V1636=0,U1638=0),0,
IF(AND(V1636&lt;&gt;0,U1638=0),(V1636/V$10),
IF(AND(V1637&lt;&gt;0,U1638&lt;&gt;0),(U1638-(U1638/U1662))+(V1636/V$10),
IF(U1662&lt;1,0,(U1638-(U1638/U1662))))))</f>
        <v>0</v>
      </c>
      <c r="W1638" s="1423">
        <f t="shared" ref="W1638" ca="1" si="2413">IF(AND(W1636=0,V1638=0),0,
IF(AND(W1636&lt;&gt;0,V1638=0),(W1636/W$10),
IF(AND(W1637&lt;&gt;0,V1638&lt;&gt;0),(V1638-(V1638/V1662))+(W1636/W$10),
IF(V1662&lt;1,0,(V1638-(V1638/V1662))))))</f>
        <v>0</v>
      </c>
      <c r="X1638" s="152"/>
      <c r="Y1638" s="152"/>
      <c r="Z1638" s="152"/>
      <c r="AA1638" s="152"/>
      <c r="AB1638" s="152"/>
    </row>
    <row r="1639" spans="1:28" hidden="1" outlineLevel="1">
      <c r="A1639" s="199">
        <f>A1638+1</f>
        <v>0</v>
      </c>
      <c r="B1639" s="190" t="s">
        <v>125</v>
      </c>
      <c r="C1639" s="1423">
        <f ca="1">C1634/C$10</f>
        <v>0</v>
      </c>
      <c r="D1639" s="1423">
        <f ca="1">IF(C1663="n/a",C1639,IFERROR(IF((OFFSET($C1639,0,$A1639))&lt;0,
MIN(0,C1639-(OFFSET($C1639,0,$A1639)/(OFFSET($C1634,-$A1638,$A1639)))),
MAX(0,C1639-(OFFSET($C1639,0,$A1639)/(OFFSET($C1634,-$A1638,$A1639))))),0))</f>
        <v>0</v>
      </c>
      <c r="E1639" s="1423">
        <f t="shared" ref="E1639" ca="1" si="2414">IF(D1663="n/a",D1639,IFERROR(IF((OFFSET($C1639,0,$A1639))&lt;0,
MIN(0,D1639-(OFFSET($C1639,0,$A1639)/(OFFSET($C1634,-$A1638,$A1639)))),
MAX(0,D1639-(OFFSET($C1639,0,$A1639)/(OFFSET($C1634,-$A1638,$A1639))))),0))</f>
        <v>0</v>
      </c>
      <c r="F1639" s="1423">
        <f t="shared" ref="F1639:F1640" ca="1" si="2415">IF(E1663="n/a",E1639,IFERROR(IF((OFFSET($C1639,0,$A1639))&lt;0,
MIN(0,E1639-(OFFSET($C1639,0,$A1639)/(OFFSET($C1634,-$A1638,$A1639)))),
MAX(0,E1639-(OFFSET($C1639,0,$A1639)/(OFFSET($C1634,-$A1638,$A1639))))),0))</f>
        <v>0</v>
      </c>
      <c r="G1639" s="1423">
        <f t="shared" ref="G1639:G1641" ca="1" si="2416">IF(F1663="n/a",F1639,IFERROR(IF((OFFSET($C1639,0,$A1639))&lt;0,
MIN(0,F1639-(OFFSET($C1639,0,$A1639)/(OFFSET($C1634,-$A1638,$A1639)))),
MAX(0,F1639-(OFFSET($C1639,0,$A1639)/(OFFSET($C1634,-$A1638,$A1639))))),0))</f>
        <v>0</v>
      </c>
      <c r="H1639" s="1423">
        <f t="shared" ref="H1639:H1642" ca="1" si="2417">IF(G1663="n/a",G1639,IFERROR(IF((OFFSET($C1639,0,$A1639))&lt;0,
MIN(0,G1639-(OFFSET($C1639,0,$A1639)/(OFFSET($C1634,-$A1638,$A1639)))),
MAX(0,G1639-(OFFSET($C1639,0,$A1639)/(OFFSET($C1634,-$A1638,$A1639))))),0))</f>
        <v>0</v>
      </c>
      <c r="I1639" s="1423">
        <f t="shared" ref="I1639:I1643" ca="1" si="2418">IF(H1663="n/a",H1639,IFERROR(IF((OFFSET($C1639,0,$A1639))&lt;0,
MIN(0,H1639-(OFFSET($C1639,0,$A1639)/(OFFSET($C1634,-$A1638,$A1639)))),
MAX(0,H1639-(OFFSET($C1639,0,$A1639)/(OFFSET($C1634,-$A1638,$A1639))))),0))</f>
        <v>0</v>
      </c>
      <c r="J1639" s="1423">
        <f t="shared" ref="J1639:J1644" ca="1" si="2419">IF(I1663="n/a",I1639,IFERROR(IF((OFFSET($C1639,0,$A1639))&lt;0,
MIN(0,I1639-(OFFSET($C1639,0,$A1639)/(OFFSET($C1634,-$A1638,$A1639)))),
MAX(0,I1639-(OFFSET($C1639,0,$A1639)/(OFFSET($C1634,-$A1638,$A1639))))),0))</f>
        <v>0</v>
      </c>
      <c r="K1639" s="1423">
        <f t="shared" ref="K1639:K1645" ca="1" si="2420">IF(J1663="n/a",J1639,IFERROR(IF((OFFSET($C1639,0,$A1639))&lt;0,
MIN(0,J1639-(OFFSET($C1639,0,$A1639)/(OFFSET($C1634,-$A1638,$A1639)))),
MAX(0,J1639-(OFFSET($C1639,0,$A1639)/(OFFSET($C1634,-$A1638,$A1639))))),0))</f>
        <v>0</v>
      </c>
      <c r="L1639" s="1423">
        <f t="shared" ref="L1639:L1646" ca="1" si="2421">IF(K1663="n/a",K1639,IFERROR(IF((OFFSET($C1639,0,$A1639))&lt;0,
MIN(0,K1639-(OFFSET($C1639,0,$A1639)/(OFFSET($C1634,-$A1638,$A1639)))),
MAX(0,K1639-(OFFSET($C1639,0,$A1639)/(OFFSET($C1634,-$A1638,$A1639))))),0))</f>
        <v>0</v>
      </c>
      <c r="M1639" s="1423">
        <f t="shared" ref="M1639:M1647" ca="1" si="2422">IF(L1663="n/a",L1639,IFERROR(IF((OFFSET($C1639,0,$A1639))&lt;0,
MIN(0,L1639-(OFFSET($C1639,0,$A1639)/(OFFSET($C1634,-$A1638,$A1639)))),
MAX(0,L1639-(OFFSET($C1639,0,$A1639)/(OFFSET($C1634,-$A1638,$A1639))))),0))</f>
        <v>0</v>
      </c>
      <c r="N1639" s="1423">
        <f t="shared" ref="N1639:N1648" ca="1" si="2423">IF(M1663="n/a",M1639,IFERROR(IF((OFFSET($C1639,0,$A1639))&lt;0,
MIN(0,M1639-(OFFSET($C1639,0,$A1639)/(OFFSET($C1634,-$A1638,$A1639)))),
MAX(0,M1639-(OFFSET($C1639,0,$A1639)/(OFFSET($C1634,-$A1638,$A1639))))),0))</f>
        <v>0</v>
      </c>
      <c r="O1639" s="1423">
        <f t="shared" ref="O1639:O1649" ca="1" si="2424">IF(N1663="n/a",N1639,IFERROR(IF((OFFSET($C1639,0,$A1639))&lt;0,
MIN(0,N1639-(OFFSET($C1639,0,$A1639)/(OFFSET($C1634,-$A1638,$A1639)))),
MAX(0,N1639-(OFFSET($C1639,0,$A1639)/(OFFSET($C1634,-$A1638,$A1639))))),0))</f>
        <v>0</v>
      </c>
      <c r="P1639" s="1423">
        <f t="shared" ref="P1639:P1650" ca="1" si="2425">IF(O1663="n/a",O1639,IFERROR(IF((OFFSET($C1639,0,$A1639))&lt;0,
MIN(0,O1639-(OFFSET($C1639,0,$A1639)/(OFFSET($C1634,-$A1638,$A1639)))),
MAX(0,O1639-(OFFSET($C1639,0,$A1639)/(OFFSET($C1634,-$A1638,$A1639))))),0))</f>
        <v>0</v>
      </c>
      <c r="Q1639" s="1423">
        <f t="shared" ref="Q1639:Q1651" ca="1" si="2426">IF(P1663="n/a",P1639,IFERROR(IF((OFFSET($C1639,0,$A1639))&lt;0,
MIN(0,P1639-(OFFSET($C1639,0,$A1639)/(OFFSET($C1634,-$A1638,$A1639)))),
MAX(0,P1639-(OFFSET($C1639,0,$A1639)/(OFFSET($C1634,-$A1638,$A1639))))),0))</f>
        <v>0</v>
      </c>
      <c r="R1639" s="1423">
        <f t="shared" ref="R1639:R1652" ca="1" si="2427">IF(Q1663="n/a",Q1639,IFERROR(IF((OFFSET($C1639,0,$A1639))&lt;0,
MIN(0,Q1639-(OFFSET($C1639,0,$A1639)/(OFFSET($C1634,-$A1638,$A1639)))),
MAX(0,Q1639-(OFFSET($C1639,0,$A1639)/(OFFSET($C1634,-$A1638,$A1639))))),0))</f>
        <v>0</v>
      </c>
      <c r="S1639" s="1423">
        <f t="shared" ref="S1639:S1653" ca="1" si="2428">IF(R1663="n/a",R1639,IFERROR(IF((OFFSET($C1639,0,$A1639))&lt;0,
MIN(0,R1639-(OFFSET($C1639,0,$A1639)/(OFFSET($C1634,-$A1638,$A1639)))),
MAX(0,R1639-(OFFSET($C1639,0,$A1639)/(OFFSET($C1634,-$A1638,$A1639))))),0))</f>
        <v>0</v>
      </c>
      <c r="T1639" s="1423">
        <f t="shared" ref="T1639:T1654" ca="1" si="2429">IF(S1663="n/a",S1639,IFERROR(IF((OFFSET($C1639,0,$A1639))&lt;0,
MIN(0,S1639-(OFFSET($C1639,0,$A1639)/(OFFSET($C1634,-$A1638,$A1639)))),
MAX(0,S1639-(OFFSET($C1639,0,$A1639)/(OFFSET($C1634,-$A1638,$A1639))))),0))</f>
        <v>0</v>
      </c>
      <c r="U1639" s="1423">
        <f t="shared" ref="U1639:U1655" ca="1" si="2430">IF(T1663="n/a",T1639,IFERROR(IF((OFFSET($C1639,0,$A1639))&lt;0,
MIN(0,T1639-(OFFSET($C1639,0,$A1639)/(OFFSET($C1634,-$A1638,$A1639)))),
MAX(0,T1639-(OFFSET($C1639,0,$A1639)/(OFFSET($C1634,-$A1638,$A1639))))),0))</f>
        <v>0</v>
      </c>
      <c r="V1639" s="1423">
        <f t="shared" ref="V1639:V1656" ca="1" si="2431">IF(U1663="n/a",U1639,IFERROR(IF((OFFSET($C1639,0,$A1639))&lt;0,
MIN(0,U1639-(OFFSET($C1639,0,$A1639)/(OFFSET($C1634,-$A1638,$A1639)))),
MAX(0,U1639-(OFFSET($C1639,0,$A1639)/(OFFSET($C1634,-$A1638,$A1639))))),0))</f>
        <v>0</v>
      </c>
      <c r="W1639" s="1423">
        <f t="shared" ref="W1639:W1657" ca="1" si="2432">IF(V1663="n/a",V1639,IFERROR(IF((OFFSET($C1639,0,$A1639))&lt;0,
MIN(0,V1639-(OFFSET($C1639,0,$A1639)/(OFFSET($C1634,-$A1638,$A1639)))),
MAX(0,V1639-(OFFSET($C1639,0,$A1639)/(OFFSET($C1634,-$A1638,$A1639))))),0))</f>
        <v>0</v>
      </c>
      <c r="X1639" s="152"/>
      <c r="Y1639" s="152"/>
      <c r="Z1639" s="152"/>
      <c r="AA1639" s="152"/>
      <c r="AB1639" s="152"/>
    </row>
    <row r="1640" spans="1:28" hidden="1" outlineLevel="1">
      <c r="A1640" s="199">
        <f t="shared" ref="A1640:A1659" si="2433">A1639+1</f>
        <v>1</v>
      </c>
      <c r="B1640" s="190" t="str">
        <f t="shared" ref="B1640:B1658" ca="1" si="2434">"Depreciated Net Capex "&amp;OFFSET($C$6,0,A1640)</f>
        <v>Depreciated Net Capex 2016-17</v>
      </c>
      <c r="C1640" s="1424"/>
      <c r="D1640" s="1425">
        <f>(D1634*((1+D$11)^0.5)/D$10)</f>
        <v>0</v>
      </c>
      <c r="E1640" s="1423">
        <f ca="1">IF(D1664="n/a",D1640,IFERROR(IF((OFFSET($C1640,0,$A1640))&lt;0,
MIN(0,D1640-(OFFSET($C1640,0,$A1640)/(OFFSET($C1635,-$A1639,$A1640)))),
MAX(0,D1640-(OFFSET($C1640,0,$A1640)/(OFFSET($C1635,-$A1639,$A1640))))),0))</f>
        <v>0</v>
      </c>
      <c r="F1640" s="1423">
        <f t="shared" ca="1" si="2415"/>
        <v>0</v>
      </c>
      <c r="G1640" s="1423">
        <f t="shared" ca="1" si="2416"/>
        <v>0</v>
      </c>
      <c r="H1640" s="1423">
        <f t="shared" ca="1" si="2417"/>
        <v>0</v>
      </c>
      <c r="I1640" s="1423">
        <f t="shared" ca="1" si="2418"/>
        <v>0</v>
      </c>
      <c r="J1640" s="1423">
        <f t="shared" ca="1" si="2419"/>
        <v>0</v>
      </c>
      <c r="K1640" s="1423">
        <f t="shared" ca="1" si="2420"/>
        <v>0</v>
      </c>
      <c r="L1640" s="1423">
        <f t="shared" ca="1" si="2421"/>
        <v>0</v>
      </c>
      <c r="M1640" s="1423">
        <f t="shared" ca="1" si="2422"/>
        <v>0</v>
      </c>
      <c r="N1640" s="1423">
        <f t="shared" ca="1" si="2423"/>
        <v>0</v>
      </c>
      <c r="O1640" s="1423">
        <f t="shared" ca="1" si="2424"/>
        <v>0</v>
      </c>
      <c r="P1640" s="1423">
        <f t="shared" ca="1" si="2425"/>
        <v>0</v>
      </c>
      <c r="Q1640" s="1423">
        <f t="shared" ca="1" si="2426"/>
        <v>0</v>
      </c>
      <c r="R1640" s="1423">
        <f t="shared" ca="1" si="2427"/>
        <v>0</v>
      </c>
      <c r="S1640" s="1423">
        <f t="shared" ca="1" si="2428"/>
        <v>0</v>
      </c>
      <c r="T1640" s="1423">
        <f t="shared" ca="1" si="2429"/>
        <v>0</v>
      </c>
      <c r="U1640" s="1423">
        <f t="shared" ca="1" si="2430"/>
        <v>0</v>
      </c>
      <c r="V1640" s="1423">
        <f t="shared" ca="1" si="2431"/>
        <v>0</v>
      </c>
      <c r="W1640" s="1423">
        <f t="shared" ca="1" si="2432"/>
        <v>0</v>
      </c>
      <c r="X1640" s="152"/>
      <c r="Y1640" s="152"/>
      <c r="Z1640" s="152"/>
      <c r="AA1640" s="152"/>
      <c r="AB1640" s="152"/>
    </row>
    <row r="1641" spans="1:28" hidden="1" outlineLevel="1">
      <c r="A1641" s="199">
        <f t="shared" si="2433"/>
        <v>2</v>
      </c>
      <c r="B1641" s="190" t="str">
        <f t="shared" ca="1" si="2434"/>
        <v>Depreciated Net Capex 2017-18</v>
      </c>
      <c r="C1641" s="1426"/>
      <c r="D1641" s="1427"/>
      <c r="E1641" s="1425">
        <f>(E1634*((1+E$11)^0.5)/E$10)</f>
        <v>0</v>
      </c>
      <c r="F1641" s="1423">
        <f ca="1">IF(E1665="n/a",E1641,IFERROR(IF((OFFSET($C1641,0,$A1641))&lt;0,
MIN(0,E1641-(OFFSET($C1641,0,$A1641)/(OFFSET($C1636,-$A1640,$A1641)))),
MAX(0,E1641-(OFFSET($C1641,0,$A1641)/(OFFSET($C1636,-$A1640,$A1641))))),0))</f>
        <v>0</v>
      </c>
      <c r="G1641" s="1423">
        <f t="shared" ca="1" si="2416"/>
        <v>0</v>
      </c>
      <c r="H1641" s="1423">
        <f t="shared" ca="1" si="2417"/>
        <v>0</v>
      </c>
      <c r="I1641" s="1423">
        <f t="shared" ca="1" si="2418"/>
        <v>0</v>
      </c>
      <c r="J1641" s="1423">
        <f t="shared" ca="1" si="2419"/>
        <v>0</v>
      </c>
      <c r="K1641" s="1423">
        <f t="shared" ca="1" si="2420"/>
        <v>0</v>
      </c>
      <c r="L1641" s="1423">
        <f t="shared" ca="1" si="2421"/>
        <v>0</v>
      </c>
      <c r="M1641" s="1423">
        <f t="shared" ca="1" si="2422"/>
        <v>0</v>
      </c>
      <c r="N1641" s="1423">
        <f t="shared" ca="1" si="2423"/>
        <v>0</v>
      </c>
      <c r="O1641" s="1423">
        <f t="shared" ca="1" si="2424"/>
        <v>0</v>
      </c>
      <c r="P1641" s="1423">
        <f t="shared" ca="1" si="2425"/>
        <v>0</v>
      </c>
      <c r="Q1641" s="1423">
        <f t="shared" ca="1" si="2426"/>
        <v>0</v>
      </c>
      <c r="R1641" s="1423">
        <f t="shared" ca="1" si="2427"/>
        <v>0</v>
      </c>
      <c r="S1641" s="1423">
        <f t="shared" ca="1" si="2428"/>
        <v>0</v>
      </c>
      <c r="T1641" s="1423">
        <f t="shared" ca="1" si="2429"/>
        <v>0</v>
      </c>
      <c r="U1641" s="1423">
        <f t="shared" ca="1" si="2430"/>
        <v>0</v>
      </c>
      <c r="V1641" s="1423">
        <f t="shared" ca="1" si="2431"/>
        <v>0</v>
      </c>
      <c r="W1641" s="1423">
        <f t="shared" ca="1" si="2432"/>
        <v>0</v>
      </c>
      <c r="X1641" s="202"/>
      <c r="Y1641" s="152"/>
      <c r="Z1641" s="152"/>
      <c r="AA1641" s="152"/>
      <c r="AB1641" s="152"/>
    </row>
    <row r="1642" spans="1:28" hidden="1" outlineLevel="1">
      <c r="A1642" s="199">
        <f t="shared" si="2433"/>
        <v>3</v>
      </c>
      <c r="B1642" s="190" t="str">
        <f t="shared" ca="1" si="2434"/>
        <v>Depreciated Net Capex 2018-19</v>
      </c>
      <c r="C1642" s="1426"/>
      <c r="D1642" s="1426"/>
      <c r="E1642" s="1427"/>
      <c r="F1642" s="1428">
        <f>($F1634*((1+F$11)^0.5)/F$10)</f>
        <v>0</v>
      </c>
      <c r="G1642" s="1423">
        <f ca="1">IF(F1666="n/a",F1642,IFERROR(IF((OFFSET($C1642,0,$A1642))&lt;0,
MIN(0,F1642-(OFFSET($C1642,0,$A1642)/(OFFSET($C1637,-$A1641,$A1642)))),
MAX(0,F1642-(OFFSET($C1642,0,$A1642)/(OFFSET($C1637,-$A1641,$A1642))))),0))</f>
        <v>0</v>
      </c>
      <c r="H1642" s="1423">
        <f t="shared" ca="1" si="2417"/>
        <v>0</v>
      </c>
      <c r="I1642" s="1423">
        <f t="shared" ca="1" si="2418"/>
        <v>0</v>
      </c>
      <c r="J1642" s="1423">
        <f t="shared" ca="1" si="2419"/>
        <v>0</v>
      </c>
      <c r="K1642" s="1423">
        <f t="shared" ca="1" si="2420"/>
        <v>0</v>
      </c>
      <c r="L1642" s="1423">
        <f t="shared" ca="1" si="2421"/>
        <v>0</v>
      </c>
      <c r="M1642" s="1423">
        <f t="shared" ca="1" si="2422"/>
        <v>0</v>
      </c>
      <c r="N1642" s="1423">
        <f t="shared" ca="1" si="2423"/>
        <v>0</v>
      </c>
      <c r="O1642" s="1423">
        <f t="shared" ca="1" si="2424"/>
        <v>0</v>
      </c>
      <c r="P1642" s="1423">
        <f t="shared" ca="1" si="2425"/>
        <v>0</v>
      </c>
      <c r="Q1642" s="1423">
        <f t="shared" ca="1" si="2426"/>
        <v>0</v>
      </c>
      <c r="R1642" s="1423">
        <f t="shared" ca="1" si="2427"/>
        <v>0</v>
      </c>
      <c r="S1642" s="1423">
        <f t="shared" ca="1" si="2428"/>
        <v>0</v>
      </c>
      <c r="T1642" s="1423">
        <f t="shared" ca="1" si="2429"/>
        <v>0</v>
      </c>
      <c r="U1642" s="1423">
        <f t="shared" ca="1" si="2430"/>
        <v>0</v>
      </c>
      <c r="V1642" s="1423">
        <f t="shared" ca="1" si="2431"/>
        <v>0</v>
      </c>
      <c r="W1642" s="1423">
        <f t="shared" ca="1" si="2432"/>
        <v>0</v>
      </c>
      <c r="X1642" s="202"/>
      <c r="Y1642" s="202"/>
      <c r="Z1642" s="152"/>
      <c r="AA1642" s="152"/>
      <c r="AB1642" s="152"/>
    </row>
    <row r="1643" spans="1:28" hidden="1" outlineLevel="1">
      <c r="A1643" s="199">
        <f t="shared" si="2433"/>
        <v>4</v>
      </c>
      <c r="B1643" s="190" t="str">
        <f t="shared" ca="1" si="2434"/>
        <v>Depreciated Net Capex 2019-20</v>
      </c>
      <c r="C1643" s="1426"/>
      <c r="D1643" s="1426"/>
      <c r="E1643" s="1426"/>
      <c r="F1643" s="1427"/>
      <c r="G1643" s="1428">
        <f>($G1634*((1+G$11)^0.5)/G$10)</f>
        <v>0</v>
      </c>
      <c r="H1643" s="1423">
        <f ca="1">IF(G1667="n/a",G1643,IFERROR(IF((OFFSET($C1643,0,$A1643))&lt;0,
MIN(0,G1643-(OFFSET($C1643,0,$A1643)/(OFFSET($C1638,-$A1642,$A1643)))),
MAX(0,G1643-(OFFSET($C1643,0,$A1643)/(OFFSET($C1638,-$A1642,$A1643))))),0))</f>
        <v>0</v>
      </c>
      <c r="I1643" s="1423">
        <f t="shared" ca="1" si="2418"/>
        <v>0</v>
      </c>
      <c r="J1643" s="1423">
        <f t="shared" ca="1" si="2419"/>
        <v>0</v>
      </c>
      <c r="K1643" s="1423">
        <f t="shared" ca="1" si="2420"/>
        <v>0</v>
      </c>
      <c r="L1643" s="1423">
        <f t="shared" ca="1" si="2421"/>
        <v>0</v>
      </c>
      <c r="M1643" s="1423">
        <f t="shared" ca="1" si="2422"/>
        <v>0</v>
      </c>
      <c r="N1643" s="1423">
        <f t="shared" ca="1" si="2423"/>
        <v>0</v>
      </c>
      <c r="O1643" s="1423">
        <f t="shared" ca="1" si="2424"/>
        <v>0</v>
      </c>
      <c r="P1643" s="1423">
        <f t="shared" ca="1" si="2425"/>
        <v>0</v>
      </c>
      <c r="Q1643" s="1423">
        <f t="shared" ca="1" si="2426"/>
        <v>0</v>
      </c>
      <c r="R1643" s="1423">
        <f t="shared" ca="1" si="2427"/>
        <v>0</v>
      </c>
      <c r="S1643" s="1423">
        <f t="shared" ca="1" si="2428"/>
        <v>0</v>
      </c>
      <c r="T1643" s="1423">
        <f t="shared" ca="1" si="2429"/>
        <v>0</v>
      </c>
      <c r="U1643" s="1423">
        <f t="shared" ca="1" si="2430"/>
        <v>0</v>
      </c>
      <c r="V1643" s="1423">
        <f t="shared" ca="1" si="2431"/>
        <v>0</v>
      </c>
      <c r="W1643" s="1423">
        <f t="shared" ca="1" si="2432"/>
        <v>0</v>
      </c>
      <c r="X1643" s="202"/>
      <c r="Y1643" s="202"/>
      <c r="Z1643" s="202"/>
      <c r="AA1643" s="152"/>
      <c r="AB1643" s="152"/>
    </row>
    <row r="1644" spans="1:28" hidden="1" outlineLevel="1">
      <c r="A1644" s="199">
        <f t="shared" si="2433"/>
        <v>5</v>
      </c>
      <c r="B1644" s="190" t="str">
        <f t="shared" ca="1" si="2434"/>
        <v>Depreciated Net Capex 2020-21</v>
      </c>
      <c r="C1644" s="1426"/>
      <c r="D1644" s="1426"/>
      <c r="E1644" s="1426"/>
      <c r="F1644" s="1426"/>
      <c r="G1644" s="1427"/>
      <c r="H1644" s="1428">
        <f>(H1634*((1+H$11)^0.5)/H$10)</f>
        <v>0</v>
      </c>
      <c r="I1644" s="1423">
        <f ca="1">IF(H1668="n/a",H1644,IFERROR(IF((OFFSET($C1644,0,$A1644))&lt;0,
MIN(0,H1644-(OFFSET($C1644,0,$A1644)/(OFFSET($C1639,-$A1643,$A1644)))),
MAX(0,H1644-(OFFSET($C1644,0,$A1644)/(OFFSET($C1639,-$A1643,$A1644))))),0))</f>
        <v>0</v>
      </c>
      <c r="J1644" s="1423">
        <f t="shared" ca="1" si="2419"/>
        <v>0</v>
      </c>
      <c r="K1644" s="1423">
        <f t="shared" ca="1" si="2420"/>
        <v>0</v>
      </c>
      <c r="L1644" s="1423">
        <f t="shared" ca="1" si="2421"/>
        <v>0</v>
      </c>
      <c r="M1644" s="1423">
        <f t="shared" ca="1" si="2422"/>
        <v>0</v>
      </c>
      <c r="N1644" s="1423">
        <f t="shared" ca="1" si="2423"/>
        <v>0</v>
      </c>
      <c r="O1644" s="1423">
        <f t="shared" ca="1" si="2424"/>
        <v>0</v>
      </c>
      <c r="P1644" s="1423">
        <f t="shared" ca="1" si="2425"/>
        <v>0</v>
      </c>
      <c r="Q1644" s="1423">
        <f t="shared" ca="1" si="2426"/>
        <v>0</v>
      </c>
      <c r="R1644" s="1423">
        <f t="shared" ca="1" si="2427"/>
        <v>0</v>
      </c>
      <c r="S1644" s="1423">
        <f t="shared" ca="1" si="2428"/>
        <v>0</v>
      </c>
      <c r="T1644" s="1423">
        <f t="shared" ca="1" si="2429"/>
        <v>0</v>
      </c>
      <c r="U1644" s="1423">
        <f t="shared" ca="1" si="2430"/>
        <v>0</v>
      </c>
      <c r="V1644" s="1423">
        <f t="shared" ca="1" si="2431"/>
        <v>0</v>
      </c>
      <c r="W1644" s="1423">
        <f t="shared" ca="1" si="2432"/>
        <v>0</v>
      </c>
      <c r="X1644" s="202"/>
      <c r="Y1644" s="202"/>
      <c r="Z1644" s="202"/>
      <c r="AA1644" s="152"/>
      <c r="AB1644" s="152"/>
    </row>
    <row r="1645" spans="1:28" hidden="1" outlineLevel="1">
      <c r="A1645" s="199">
        <f t="shared" si="2433"/>
        <v>6</v>
      </c>
      <c r="B1645" s="190" t="str">
        <f t="shared" ca="1" si="2434"/>
        <v>Depreciated Net Capex 2021-22</v>
      </c>
      <c r="C1645" s="1426"/>
      <c r="D1645" s="1426"/>
      <c r="E1645" s="1426"/>
      <c r="F1645" s="1426"/>
      <c r="G1645" s="1426"/>
      <c r="H1645" s="1427"/>
      <c r="I1645" s="1428">
        <f>(I1634*((1+I$11)^0.5)/I$10)</f>
        <v>0</v>
      </c>
      <c r="J1645" s="1423">
        <f ca="1">IF(I1669="n/a",I1645,IFERROR(IF((OFFSET($C1645,0,$A1645))&lt;0,
MIN(0,I1645-(OFFSET($C1645,0,$A1645)/(OFFSET($C1640,-$A1644,$A1645)))),
MAX(0,I1645-(OFFSET($C1645,0,$A1645)/(OFFSET($C1640,-$A1644,$A1645))))),0))</f>
        <v>0</v>
      </c>
      <c r="K1645" s="1423">
        <f t="shared" ca="1" si="2420"/>
        <v>0</v>
      </c>
      <c r="L1645" s="1423">
        <f t="shared" ca="1" si="2421"/>
        <v>0</v>
      </c>
      <c r="M1645" s="1423">
        <f t="shared" ca="1" si="2422"/>
        <v>0</v>
      </c>
      <c r="N1645" s="1423">
        <f t="shared" ca="1" si="2423"/>
        <v>0</v>
      </c>
      <c r="O1645" s="1423">
        <f t="shared" ca="1" si="2424"/>
        <v>0</v>
      </c>
      <c r="P1645" s="1423">
        <f t="shared" ca="1" si="2425"/>
        <v>0</v>
      </c>
      <c r="Q1645" s="1423">
        <f t="shared" ca="1" si="2426"/>
        <v>0</v>
      </c>
      <c r="R1645" s="1423">
        <f t="shared" ca="1" si="2427"/>
        <v>0</v>
      </c>
      <c r="S1645" s="1423">
        <f t="shared" ca="1" si="2428"/>
        <v>0</v>
      </c>
      <c r="T1645" s="1423">
        <f t="shared" ca="1" si="2429"/>
        <v>0</v>
      </c>
      <c r="U1645" s="1423">
        <f t="shared" ca="1" si="2430"/>
        <v>0</v>
      </c>
      <c r="V1645" s="1423">
        <f t="shared" ca="1" si="2431"/>
        <v>0</v>
      </c>
      <c r="W1645" s="1423">
        <f t="shared" ca="1" si="2432"/>
        <v>0</v>
      </c>
      <c r="X1645" s="202"/>
      <c r="Y1645" s="202"/>
      <c r="Z1645" s="202"/>
      <c r="AA1645" s="152"/>
      <c r="AB1645" s="152"/>
    </row>
    <row r="1646" spans="1:28" hidden="1" outlineLevel="1">
      <c r="A1646" s="199">
        <f t="shared" si="2433"/>
        <v>7</v>
      </c>
      <c r="B1646" s="190" t="str">
        <f t="shared" ca="1" si="2434"/>
        <v>Depreciated Net Capex 2022-23</v>
      </c>
      <c r="C1646" s="1426"/>
      <c r="D1646" s="1426"/>
      <c r="E1646" s="1426"/>
      <c r="F1646" s="1426"/>
      <c r="G1646" s="1426"/>
      <c r="H1646" s="1426"/>
      <c r="I1646" s="1427"/>
      <c r="J1646" s="1428">
        <f>(J1634*((1+J$11)^0.5)/J$10)</f>
        <v>0</v>
      </c>
      <c r="K1646" s="1423">
        <f ca="1">IF(J1670="n/a",J1646,IFERROR(IF((OFFSET($C1646,0,$A1646))&lt;0,
MIN(0,J1646-(OFFSET($C1646,0,$A1646)/(OFFSET($C1641,-$A1645,$A1646)))),
MAX(0,J1646-(OFFSET($C1646,0,$A1646)/(OFFSET($C1641,-$A1645,$A1646))))),0))</f>
        <v>0</v>
      </c>
      <c r="L1646" s="1423">
        <f t="shared" ca="1" si="2421"/>
        <v>0</v>
      </c>
      <c r="M1646" s="1423">
        <f t="shared" ca="1" si="2422"/>
        <v>0</v>
      </c>
      <c r="N1646" s="1423">
        <f t="shared" ca="1" si="2423"/>
        <v>0</v>
      </c>
      <c r="O1646" s="1423">
        <f t="shared" ca="1" si="2424"/>
        <v>0</v>
      </c>
      <c r="P1646" s="1423">
        <f t="shared" ca="1" si="2425"/>
        <v>0</v>
      </c>
      <c r="Q1646" s="1423">
        <f t="shared" ca="1" si="2426"/>
        <v>0</v>
      </c>
      <c r="R1646" s="1423">
        <f t="shared" ca="1" si="2427"/>
        <v>0</v>
      </c>
      <c r="S1646" s="1423">
        <f t="shared" ca="1" si="2428"/>
        <v>0</v>
      </c>
      <c r="T1646" s="1423">
        <f t="shared" ca="1" si="2429"/>
        <v>0</v>
      </c>
      <c r="U1646" s="1423">
        <f t="shared" ca="1" si="2430"/>
        <v>0</v>
      </c>
      <c r="V1646" s="1423">
        <f t="shared" ca="1" si="2431"/>
        <v>0</v>
      </c>
      <c r="W1646" s="1423">
        <f t="shared" ca="1" si="2432"/>
        <v>0</v>
      </c>
      <c r="X1646" s="202"/>
      <c r="Y1646" s="202"/>
      <c r="Z1646" s="202"/>
      <c r="AA1646" s="152"/>
      <c r="AB1646" s="152"/>
    </row>
    <row r="1647" spans="1:28" hidden="1" outlineLevel="1">
      <c r="A1647" s="199">
        <f t="shared" si="2433"/>
        <v>8</v>
      </c>
      <c r="B1647" s="190" t="str">
        <f t="shared" ca="1" si="2434"/>
        <v>Depreciated Net Capex 2023-24</v>
      </c>
      <c r="C1647" s="1426"/>
      <c r="D1647" s="1426"/>
      <c r="E1647" s="1426"/>
      <c r="F1647" s="1426"/>
      <c r="G1647" s="1426"/>
      <c r="H1647" s="1426"/>
      <c r="I1647" s="1426"/>
      <c r="J1647" s="1427"/>
      <c r="K1647" s="1428">
        <f>(K1634*((1+K$11)^0.5)/K$10)</f>
        <v>0</v>
      </c>
      <c r="L1647" s="1423">
        <f ca="1">IF(K1671="n/a",K1647,IFERROR(IF((OFFSET($C1647,0,$A1647))&lt;0,
MIN(0,K1647-(OFFSET($C1647,0,$A1647)/(OFFSET($C1642,-$A1646,$A1647)))),
MAX(0,K1647-(OFFSET($C1647,0,$A1647)/(OFFSET($C1642,-$A1646,$A1647))))),0))</f>
        <v>0</v>
      </c>
      <c r="M1647" s="1423">
        <f t="shared" ca="1" si="2422"/>
        <v>0</v>
      </c>
      <c r="N1647" s="1423">
        <f t="shared" ca="1" si="2423"/>
        <v>0</v>
      </c>
      <c r="O1647" s="1423">
        <f t="shared" ca="1" si="2424"/>
        <v>0</v>
      </c>
      <c r="P1647" s="1423">
        <f t="shared" ca="1" si="2425"/>
        <v>0</v>
      </c>
      <c r="Q1647" s="1423">
        <f t="shared" ca="1" si="2426"/>
        <v>0</v>
      </c>
      <c r="R1647" s="1423">
        <f t="shared" ca="1" si="2427"/>
        <v>0</v>
      </c>
      <c r="S1647" s="1423">
        <f t="shared" ca="1" si="2428"/>
        <v>0</v>
      </c>
      <c r="T1647" s="1423">
        <f t="shared" ca="1" si="2429"/>
        <v>0</v>
      </c>
      <c r="U1647" s="1423">
        <f t="shared" ca="1" si="2430"/>
        <v>0</v>
      </c>
      <c r="V1647" s="1423">
        <f t="shared" ca="1" si="2431"/>
        <v>0</v>
      </c>
      <c r="W1647" s="1423">
        <f t="shared" ca="1" si="2432"/>
        <v>0</v>
      </c>
      <c r="X1647" s="202"/>
      <c r="Y1647" s="202"/>
      <c r="Z1647" s="202"/>
      <c r="AA1647" s="152"/>
      <c r="AB1647" s="152"/>
    </row>
    <row r="1648" spans="1:28" hidden="1" outlineLevel="1">
      <c r="A1648" s="199">
        <f t="shared" si="2433"/>
        <v>9</v>
      </c>
      <c r="B1648" s="190" t="str">
        <f t="shared" ca="1" si="2434"/>
        <v>Depreciated Net Capex 2024-25</v>
      </c>
      <c r="C1648" s="1426"/>
      <c r="D1648" s="1426"/>
      <c r="E1648" s="1426"/>
      <c r="F1648" s="1426"/>
      <c r="G1648" s="1426"/>
      <c r="H1648" s="1426"/>
      <c r="I1648" s="1426"/>
      <c r="J1648" s="1426"/>
      <c r="K1648" s="1427"/>
      <c r="L1648" s="1428">
        <f>(L1634*((1+L$11)^0.5)/L$10)</f>
        <v>0</v>
      </c>
      <c r="M1648" s="1423">
        <f ca="1">IF(L1672="n/a",L1648,IFERROR(IF((OFFSET($C1648,0,$A1648))&lt;0,
MIN(0,L1648-(OFFSET($C1648,0,$A1648)/(OFFSET($C1643,-$A1647,$A1648)))),
MAX(0,L1648-(OFFSET($C1648,0,$A1648)/(OFFSET($C1643,-$A1647,$A1648))))),0))</f>
        <v>0</v>
      </c>
      <c r="N1648" s="1423">
        <f t="shared" ca="1" si="2423"/>
        <v>0</v>
      </c>
      <c r="O1648" s="1423">
        <f t="shared" ca="1" si="2424"/>
        <v>0</v>
      </c>
      <c r="P1648" s="1423">
        <f t="shared" ca="1" si="2425"/>
        <v>0</v>
      </c>
      <c r="Q1648" s="1423">
        <f t="shared" ca="1" si="2426"/>
        <v>0</v>
      </c>
      <c r="R1648" s="1423">
        <f t="shared" ca="1" si="2427"/>
        <v>0</v>
      </c>
      <c r="S1648" s="1423">
        <f t="shared" ca="1" si="2428"/>
        <v>0</v>
      </c>
      <c r="T1648" s="1423">
        <f t="shared" ca="1" si="2429"/>
        <v>0</v>
      </c>
      <c r="U1648" s="1423">
        <f t="shared" ca="1" si="2430"/>
        <v>0</v>
      </c>
      <c r="V1648" s="1423">
        <f t="shared" ca="1" si="2431"/>
        <v>0</v>
      </c>
      <c r="W1648" s="1423">
        <f t="shared" ca="1" si="2432"/>
        <v>0</v>
      </c>
      <c r="X1648" s="202"/>
      <c r="Y1648" s="202"/>
      <c r="Z1648" s="202"/>
      <c r="AA1648" s="152"/>
      <c r="AB1648" s="152"/>
    </row>
    <row r="1649" spans="1:28" hidden="1" outlineLevel="1">
      <c r="A1649" s="199">
        <f t="shared" si="2433"/>
        <v>10</v>
      </c>
      <c r="B1649" s="190" t="str">
        <f t="shared" ca="1" si="2434"/>
        <v>Depreciated Net Capex 2025-26</v>
      </c>
      <c r="C1649" s="1426"/>
      <c r="D1649" s="1426"/>
      <c r="E1649" s="1426"/>
      <c r="F1649" s="1426"/>
      <c r="G1649" s="1426"/>
      <c r="H1649" s="1426"/>
      <c r="I1649" s="1426"/>
      <c r="J1649" s="1426"/>
      <c r="K1649" s="1426"/>
      <c r="L1649" s="1427"/>
      <c r="M1649" s="1428">
        <f>(M1634*((1+M$11)^0.5)/M$10)</f>
        <v>0</v>
      </c>
      <c r="N1649" s="1423">
        <f ca="1">IF(M1673="n/a",M1649,IFERROR(IF((OFFSET($C1649,0,$A1649))&lt;0,
MIN(0,M1649-(OFFSET($C1649,0,$A1649)/(OFFSET($C1644,-$A1648,$A1649)))),
MAX(0,M1649-(OFFSET($C1649,0,$A1649)/(OFFSET($C1644,-$A1648,$A1649))))),0))</f>
        <v>0</v>
      </c>
      <c r="O1649" s="1423">
        <f t="shared" ca="1" si="2424"/>
        <v>0</v>
      </c>
      <c r="P1649" s="1423">
        <f t="shared" ca="1" si="2425"/>
        <v>0</v>
      </c>
      <c r="Q1649" s="1423">
        <f t="shared" ca="1" si="2426"/>
        <v>0</v>
      </c>
      <c r="R1649" s="1423">
        <f t="shared" ca="1" si="2427"/>
        <v>0</v>
      </c>
      <c r="S1649" s="1423">
        <f t="shared" ca="1" si="2428"/>
        <v>0</v>
      </c>
      <c r="T1649" s="1423">
        <f t="shared" ca="1" si="2429"/>
        <v>0</v>
      </c>
      <c r="U1649" s="1423">
        <f t="shared" ca="1" si="2430"/>
        <v>0</v>
      </c>
      <c r="V1649" s="1423">
        <f t="shared" ca="1" si="2431"/>
        <v>0</v>
      </c>
      <c r="W1649" s="1423">
        <f t="shared" ca="1" si="2432"/>
        <v>0</v>
      </c>
      <c r="X1649" s="202"/>
      <c r="Y1649" s="202"/>
      <c r="Z1649" s="202"/>
      <c r="AA1649" s="152"/>
      <c r="AB1649" s="152"/>
    </row>
    <row r="1650" spans="1:28" hidden="1" outlineLevel="1">
      <c r="A1650" s="199">
        <f t="shared" si="2433"/>
        <v>11</v>
      </c>
      <c r="B1650" s="190" t="str">
        <f t="shared" ca="1" si="2434"/>
        <v>Depreciated Net Capex 2026-27</v>
      </c>
      <c r="C1650" s="1426"/>
      <c r="D1650" s="1426"/>
      <c r="E1650" s="1426"/>
      <c r="F1650" s="1426"/>
      <c r="G1650" s="1426"/>
      <c r="H1650" s="1426"/>
      <c r="I1650" s="1426"/>
      <c r="J1650" s="1426"/>
      <c r="K1650" s="1426"/>
      <c r="L1650" s="1426"/>
      <c r="M1650" s="1427"/>
      <c r="N1650" s="1428">
        <f>(N1634*((1+N$11)^0.5)/N$10)</f>
        <v>0</v>
      </c>
      <c r="O1650" s="1423">
        <f ca="1">IF(N1674="n/a",N1650,IFERROR(IF((OFFSET($C1650,0,$A1650))&lt;0,
MIN(0,N1650-(OFFSET($C1650,0,$A1650)/(OFFSET($C1645,-$A1649,$A1650)))),
MAX(0,N1650-(OFFSET($C1650,0,$A1650)/(OFFSET($C1645,-$A1649,$A1650))))),0))</f>
        <v>0</v>
      </c>
      <c r="P1650" s="1423">
        <f t="shared" ca="1" si="2425"/>
        <v>0</v>
      </c>
      <c r="Q1650" s="1423">
        <f t="shared" ca="1" si="2426"/>
        <v>0</v>
      </c>
      <c r="R1650" s="1423">
        <f t="shared" ca="1" si="2427"/>
        <v>0</v>
      </c>
      <c r="S1650" s="1423">
        <f t="shared" ca="1" si="2428"/>
        <v>0</v>
      </c>
      <c r="T1650" s="1423">
        <f t="shared" ca="1" si="2429"/>
        <v>0</v>
      </c>
      <c r="U1650" s="1423">
        <f t="shared" ca="1" si="2430"/>
        <v>0</v>
      </c>
      <c r="V1650" s="1423">
        <f t="shared" ca="1" si="2431"/>
        <v>0</v>
      </c>
      <c r="W1650" s="1423">
        <f t="shared" ca="1" si="2432"/>
        <v>0</v>
      </c>
      <c r="X1650" s="202"/>
      <c r="Y1650" s="202"/>
      <c r="Z1650" s="202"/>
      <c r="AA1650" s="152"/>
      <c r="AB1650" s="152"/>
    </row>
    <row r="1651" spans="1:28" hidden="1" outlineLevel="1">
      <c r="A1651" s="199">
        <f t="shared" si="2433"/>
        <v>12</v>
      </c>
      <c r="B1651" s="190" t="str">
        <f t="shared" ca="1" si="2434"/>
        <v>Depreciated Net Capex 2027-28</v>
      </c>
      <c r="C1651" s="1426"/>
      <c r="D1651" s="1426"/>
      <c r="E1651" s="1426"/>
      <c r="F1651" s="1426"/>
      <c r="G1651" s="1426"/>
      <c r="H1651" s="1426"/>
      <c r="I1651" s="1426"/>
      <c r="J1651" s="1426"/>
      <c r="K1651" s="1426"/>
      <c r="L1651" s="1426"/>
      <c r="M1651" s="1426"/>
      <c r="N1651" s="1427"/>
      <c r="O1651" s="1428">
        <f>(O1634*((1+O$11)^0.5)/O$10)</f>
        <v>0</v>
      </c>
      <c r="P1651" s="1423">
        <f ca="1">IF(O1675="n/a",O1651,IFERROR(IF((OFFSET($C1651,0,$A1651))&lt;0,
MIN(0,O1651-(OFFSET($C1651,0,$A1651)/(OFFSET($C1646,-$A1650,$A1651)))),
MAX(0,O1651-(OFFSET($C1651,0,$A1651)/(OFFSET($C1646,-$A1650,$A1651))))),0))</f>
        <v>0</v>
      </c>
      <c r="Q1651" s="1423">
        <f t="shared" ca="1" si="2426"/>
        <v>0</v>
      </c>
      <c r="R1651" s="1423">
        <f t="shared" ca="1" si="2427"/>
        <v>0</v>
      </c>
      <c r="S1651" s="1423">
        <f t="shared" ca="1" si="2428"/>
        <v>0</v>
      </c>
      <c r="T1651" s="1423">
        <f t="shared" ca="1" si="2429"/>
        <v>0</v>
      </c>
      <c r="U1651" s="1423">
        <f t="shared" ca="1" si="2430"/>
        <v>0</v>
      </c>
      <c r="V1651" s="1423">
        <f t="shared" ca="1" si="2431"/>
        <v>0</v>
      </c>
      <c r="W1651" s="1423">
        <f t="shared" ca="1" si="2432"/>
        <v>0</v>
      </c>
      <c r="X1651" s="202"/>
      <c r="Y1651" s="202"/>
      <c r="Z1651" s="202"/>
      <c r="AA1651" s="152"/>
      <c r="AB1651" s="152"/>
    </row>
    <row r="1652" spans="1:28" hidden="1" outlineLevel="1">
      <c r="A1652" s="199">
        <f t="shared" si="2433"/>
        <v>13</v>
      </c>
      <c r="B1652" s="190" t="str">
        <f t="shared" ca="1" si="2434"/>
        <v>Depreciated Net Capex 2028-29</v>
      </c>
      <c r="C1652" s="1426"/>
      <c r="D1652" s="1426"/>
      <c r="E1652" s="1426"/>
      <c r="F1652" s="1426"/>
      <c r="G1652" s="1426"/>
      <c r="H1652" s="1426"/>
      <c r="I1652" s="1426"/>
      <c r="J1652" s="1426"/>
      <c r="K1652" s="1426"/>
      <c r="L1652" s="1426"/>
      <c r="M1652" s="1426"/>
      <c r="N1652" s="1426"/>
      <c r="O1652" s="1427"/>
      <c r="P1652" s="1428">
        <f>(P1634*((1+P$11)^0.5)/P$10)</f>
        <v>0</v>
      </c>
      <c r="Q1652" s="1423">
        <f ca="1">IF(P1676="n/a",P1652,IFERROR(IF((OFFSET($C1652,0,$A1652))&lt;0,
MIN(0,P1652-(OFFSET($C1652,0,$A1652)/(OFFSET($C1647,-$A1651,$A1652)))),
MAX(0,P1652-(OFFSET($C1652,0,$A1652)/(OFFSET($C1647,-$A1651,$A1652))))),0))</f>
        <v>0</v>
      </c>
      <c r="R1652" s="1423">
        <f t="shared" ca="1" si="2427"/>
        <v>0</v>
      </c>
      <c r="S1652" s="1423">
        <f t="shared" ca="1" si="2428"/>
        <v>0</v>
      </c>
      <c r="T1652" s="1423">
        <f t="shared" ca="1" si="2429"/>
        <v>0</v>
      </c>
      <c r="U1652" s="1423">
        <f t="shared" ca="1" si="2430"/>
        <v>0</v>
      </c>
      <c r="V1652" s="1423">
        <f t="shared" ca="1" si="2431"/>
        <v>0</v>
      </c>
      <c r="W1652" s="1423">
        <f t="shared" ca="1" si="2432"/>
        <v>0</v>
      </c>
      <c r="X1652" s="202"/>
      <c r="Y1652" s="202"/>
      <c r="Z1652" s="202"/>
      <c r="AA1652" s="152"/>
      <c r="AB1652" s="152"/>
    </row>
    <row r="1653" spans="1:28" hidden="1" outlineLevel="1">
      <c r="A1653" s="199">
        <f t="shared" si="2433"/>
        <v>14</v>
      </c>
      <c r="B1653" s="190" t="str">
        <f t="shared" ca="1" si="2434"/>
        <v>Depreciated Net Capex 2029-30</v>
      </c>
      <c r="C1653" s="1426"/>
      <c r="D1653" s="1426"/>
      <c r="E1653" s="1426"/>
      <c r="F1653" s="1426"/>
      <c r="G1653" s="1426"/>
      <c r="H1653" s="1426"/>
      <c r="I1653" s="1426"/>
      <c r="J1653" s="1426"/>
      <c r="K1653" s="1426"/>
      <c r="L1653" s="1426"/>
      <c r="M1653" s="1426"/>
      <c r="N1653" s="1426"/>
      <c r="O1653" s="1426"/>
      <c r="P1653" s="1427"/>
      <c r="Q1653" s="1428">
        <f>(Q1634*((1+Q$11)^0.5)/Q$10)</f>
        <v>0</v>
      </c>
      <c r="R1653" s="1423">
        <f ca="1">IF(Q1677="n/a",Q1653,IFERROR(IF((OFFSET($C1653,0,$A1653))&lt;0,
MIN(0,Q1653-(OFFSET($C1653,0,$A1653)/(OFFSET($C1648,-$A1652,$A1653)))),
MAX(0,Q1653-(OFFSET($C1653,0,$A1653)/(OFFSET($C1648,-$A1652,$A1653))))),0))</f>
        <v>0</v>
      </c>
      <c r="S1653" s="1423">
        <f t="shared" ca="1" si="2428"/>
        <v>0</v>
      </c>
      <c r="T1653" s="1423">
        <f t="shared" ca="1" si="2429"/>
        <v>0</v>
      </c>
      <c r="U1653" s="1423">
        <f t="shared" ca="1" si="2430"/>
        <v>0</v>
      </c>
      <c r="V1653" s="1423">
        <f t="shared" ca="1" si="2431"/>
        <v>0</v>
      </c>
      <c r="W1653" s="1423">
        <f t="shared" ca="1" si="2432"/>
        <v>0</v>
      </c>
      <c r="X1653" s="202"/>
      <c r="Y1653" s="202"/>
      <c r="Z1653" s="202"/>
      <c r="AA1653" s="152"/>
      <c r="AB1653" s="152"/>
    </row>
    <row r="1654" spans="1:28" hidden="1" outlineLevel="1">
      <c r="A1654" s="199">
        <f t="shared" si="2433"/>
        <v>15</v>
      </c>
      <c r="B1654" s="190" t="str">
        <f t="shared" ca="1" si="2434"/>
        <v>Depreciated Net Capex 2030-31</v>
      </c>
      <c r="C1654" s="1426"/>
      <c r="D1654" s="1426"/>
      <c r="E1654" s="1426"/>
      <c r="F1654" s="1426"/>
      <c r="G1654" s="1426"/>
      <c r="H1654" s="1426"/>
      <c r="I1654" s="1426"/>
      <c r="J1654" s="1426"/>
      <c r="K1654" s="1426"/>
      <c r="L1654" s="1426"/>
      <c r="M1654" s="1426"/>
      <c r="N1654" s="1426"/>
      <c r="O1654" s="1426"/>
      <c r="P1654" s="1426"/>
      <c r="Q1654" s="1427"/>
      <c r="R1654" s="1428">
        <f>(R1634*((1+R$11)^0.5)/R$10)</f>
        <v>0</v>
      </c>
      <c r="S1654" s="1423">
        <f ca="1">IF(R1678="n/a",R1654,IFERROR(IF((OFFSET($C1654,0,$A1654))&lt;0,
MIN(0,R1654-(OFFSET($C1654,0,$A1654)/(OFFSET($C1649,-$A1653,$A1654)))),
MAX(0,R1654-(OFFSET($C1654,0,$A1654)/(OFFSET($C1649,-$A1653,$A1654))))),0))</f>
        <v>0</v>
      </c>
      <c r="T1654" s="1423">
        <f t="shared" ca="1" si="2429"/>
        <v>0</v>
      </c>
      <c r="U1654" s="1423">
        <f t="shared" ca="1" si="2430"/>
        <v>0</v>
      </c>
      <c r="V1654" s="1423">
        <f t="shared" ca="1" si="2431"/>
        <v>0</v>
      </c>
      <c r="W1654" s="1423">
        <f t="shared" ca="1" si="2432"/>
        <v>0</v>
      </c>
      <c r="X1654" s="202"/>
      <c r="Y1654" s="202"/>
      <c r="Z1654" s="202"/>
      <c r="AA1654" s="152"/>
      <c r="AB1654" s="152"/>
    </row>
    <row r="1655" spans="1:28" hidden="1" outlineLevel="1">
      <c r="A1655" s="199">
        <f t="shared" si="2433"/>
        <v>16</v>
      </c>
      <c r="B1655" s="190" t="str">
        <f t="shared" ca="1" si="2434"/>
        <v>Depreciated Net Capex 2031-32</v>
      </c>
      <c r="C1655" s="1426"/>
      <c r="D1655" s="1426"/>
      <c r="E1655" s="1426"/>
      <c r="F1655" s="1426"/>
      <c r="G1655" s="1426"/>
      <c r="H1655" s="1426"/>
      <c r="I1655" s="1426"/>
      <c r="J1655" s="1426"/>
      <c r="K1655" s="1426"/>
      <c r="L1655" s="1426"/>
      <c r="M1655" s="1426"/>
      <c r="N1655" s="1426"/>
      <c r="O1655" s="1426"/>
      <c r="P1655" s="1426"/>
      <c r="Q1655" s="1426"/>
      <c r="R1655" s="1427"/>
      <c r="S1655" s="1428">
        <f>(S1634*((1+S$11)^0.5)/S$10)</f>
        <v>0</v>
      </c>
      <c r="T1655" s="1423">
        <f ca="1">IF(S1679="n/a",S1655,IFERROR(IF((OFFSET($C1655,0,$A1655))&lt;0,
MIN(0,S1655-(OFFSET($C1655,0,$A1655)/(OFFSET($C1650,-$A1654,$A1655)))),
MAX(0,S1655-(OFFSET($C1655,0,$A1655)/(OFFSET($C1650,-$A1654,$A1655))))),0))</f>
        <v>0</v>
      </c>
      <c r="U1655" s="1423">
        <f t="shared" ca="1" si="2430"/>
        <v>0</v>
      </c>
      <c r="V1655" s="1423">
        <f t="shared" ca="1" si="2431"/>
        <v>0</v>
      </c>
      <c r="W1655" s="1423">
        <f t="shared" ca="1" si="2432"/>
        <v>0</v>
      </c>
      <c r="X1655" s="202"/>
      <c r="Y1655" s="202"/>
      <c r="Z1655" s="202"/>
      <c r="AA1655" s="152"/>
      <c r="AB1655" s="152"/>
    </row>
    <row r="1656" spans="1:28" hidden="1" outlineLevel="1">
      <c r="A1656" s="199">
        <f t="shared" si="2433"/>
        <v>17</v>
      </c>
      <c r="B1656" s="190" t="str">
        <f t="shared" ca="1" si="2434"/>
        <v>Depreciated Net Capex 2032-33</v>
      </c>
      <c r="C1656" s="1426"/>
      <c r="D1656" s="1426"/>
      <c r="E1656" s="1426"/>
      <c r="F1656" s="1426"/>
      <c r="G1656" s="1426"/>
      <c r="H1656" s="1426"/>
      <c r="I1656" s="1426"/>
      <c r="J1656" s="1426"/>
      <c r="K1656" s="1426"/>
      <c r="L1656" s="1426"/>
      <c r="M1656" s="1426"/>
      <c r="N1656" s="1426"/>
      <c r="O1656" s="1426"/>
      <c r="P1656" s="1426"/>
      <c r="Q1656" s="1426"/>
      <c r="R1656" s="1426"/>
      <c r="S1656" s="1427"/>
      <c r="T1656" s="1428">
        <f>(T1634*((1+T$11)^0.5)/T$10)</f>
        <v>0</v>
      </c>
      <c r="U1656" s="1423">
        <f ca="1">IF(T1680="n/a",T1656,IFERROR(IF((OFFSET($C1656,0,$A1656))&lt;0,
MIN(0,T1656-(OFFSET($C1656,0,$A1656)/(OFFSET($C1651,-$A1655,$A1656)))),
MAX(0,T1656-(OFFSET($C1656,0,$A1656)/(OFFSET($C1651,-$A1655,$A1656))))),0))</f>
        <v>0</v>
      </c>
      <c r="V1656" s="1423">
        <f t="shared" ca="1" si="2431"/>
        <v>0</v>
      </c>
      <c r="W1656" s="1423">
        <f t="shared" ca="1" si="2432"/>
        <v>0</v>
      </c>
      <c r="X1656" s="202"/>
      <c r="Y1656" s="202"/>
      <c r="Z1656" s="202"/>
      <c r="AA1656" s="152"/>
      <c r="AB1656" s="152"/>
    </row>
    <row r="1657" spans="1:28" hidden="1" outlineLevel="1">
      <c r="A1657" s="199">
        <f t="shared" si="2433"/>
        <v>18</v>
      </c>
      <c r="B1657" s="190" t="str">
        <f t="shared" ca="1" si="2434"/>
        <v>Depreciated Net Capex 2033-34</v>
      </c>
      <c r="C1657" s="1426"/>
      <c r="D1657" s="1426"/>
      <c r="E1657" s="1426"/>
      <c r="F1657" s="1426"/>
      <c r="G1657" s="1426"/>
      <c r="H1657" s="1426"/>
      <c r="I1657" s="1426"/>
      <c r="J1657" s="1426"/>
      <c r="K1657" s="1426"/>
      <c r="L1657" s="1426"/>
      <c r="M1657" s="1426"/>
      <c r="N1657" s="1426"/>
      <c r="O1657" s="1426"/>
      <c r="P1657" s="1426"/>
      <c r="Q1657" s="1426"/>
      <c r="R1657" s="1426"/>
      <c r="S1657" s="1426"/>
      <c r="T1657" s="1427"/>
      <c r="U1657" s="1428">
        <f>(U1634*((1+U$11)^0.5)/U$10)</f>
        <v>0</v>
      </c>
      <c r="V1657" s="1423">
        <f ca="1">IF(U1681="n/a",U1657,IFERROR(IF((OFFSET($C1657,0,$A1657))&lt;0,
MIN(0,U1657-(OFFSET($C1657,0,$A1657)/(OFFSET($C1652,-$A1656,$A1657)))),
MAX(0,U1657-(OFFSET($C1657,0,$A1657)/(OFFSET($C1652,-$A1656,$A1657))))),0))</f>
        <v>0</v>
      </c>
      <c r="W1657" s="1423">
        <f t="shared" ca="1" si="2432"/>
        <v>0</v>
      </c>
      <c r="X1657" s="202"/>
      <c r="Y1657" s="202"/>
      <c r="Z1657" s="202"/>
      <c r="AA1657" s="152"/>
      <c r="AB1657" s="152"/>
    </row>
    <row r="1658" spans="1:28" hidden="1" outlineLevel="1">
      <c r="A1658" s="199">
        <f t="shared" si="2433"/>
        <v>19</v>
      </c>
      <c r="B1658" s="190" t="str">
        <f t="shared" ca="1" si="2434"/>
        <v>Depreciated Net Capex 2034-35</v>
      </c>
      <c r="C1658" s="1426"/>
      <c r="D1658" s="1426"/>
      <c r="E1658" s="1426"/>
      <c r="F1658" s="1426"/>
      <c r="G1658" s="1426"/>
      <c r="H1658" s="1426"/>
      <c r="I1658" s="1426"/>
      <c r="J1658" s="1426"/>
      <c r="K1658" s="1426"/>
      <c r="L1658" s="1426"/>
      <c r="M1658" s="1426"/>
      <c r="N1658" s="1426"/>
      <c r="O1658" s="1426"/>
      <c r="P1658" s="1426"/>
      <c r="Q1658" s="1426"/>
      <c r="R1658" s="1426"/>
      <c r="S1658" s="1426"/>
      <c r="T1658" s="1426"/>
      <c r="U1658" s="1427"/>
      <c r="V1658" s="1428">
        <f>(V1634*((1+V$11)^0.5)/V$10)</f>
        <v>0</v>
      </c>
      <c r="W1658" s="1423">
        <f ca="1">IF(V1682="n/a",V1658,IFERROR(IF((OFFSET($C1658,0,$A1658))&lt;0,
MIN(0,V1658-(OFFSET($C1658,0,$A1658)/(OFFSET($C1653,-$A1657,$A1658)))),
MAX(0,V1658-(OFFSET($C1658,0,$A1658)/(OFFSET($C1653,-$A1657,$A1658))))),0))</f>
        <v>0</v>
      </c>
      <c r="X1658" s="202"/>
      <c r="Y1658" s="202"/>
      <c r="Z1658" s="202"/>
      <c r="AA1658" s="152"/>
      <c r="AB1658" s="152"/>
    </row>
    <row r="1659" spans="1:28" hidden="1" outlineLevel="1">
      <c r="A1659" s="199">
        <f t="shared" si="2433"/>
        <v>20</v>
      </c>
      <c r="B1659" s="190" t="str">
        <f ca="1">"Depreciated Net Capex "&amp;OFFSET($C$6,0,A1659)</f>
        <v>Depreciated Net Capex 2035-36</v>
      </c>
      <c r="C1659" s="1426"/>
      <c r="D1659" s="1426"/>
      <c r="E1659" s="1426"/>
      <c r="F1659" s="1426"/>
      <c r="G1659" s="1426"/>
      <c r="H1659" s="1426"/>
      <c r="I1659" s="1426"/>
      <c r="J1659" s="1426"/>
      <c r="K1659" s="1426"/>
      <c r="L1659" s="1426"/>
      <c r="M1659" s="1426"/>
      <c r="N1659" s="1426"/>
      <c r="O1659" s="1426"/>
      <c r="P1659" s="1426"/>
      <c r="Q1659" s="1426"/>
      <c r="R1659" s="1426"/>
      <c r="S1659" s="1426"/>
      <c r="T1659" s="1426"/>
      <c r="U1659" s="1426"/>
      <c r="V1659" s="1427"/>
      <c r="W1659" s="1423">
        <f>(W1634*((1+W$11)^0.5)/W$10)</f>
        <v>0</v>
      </c>
      <c r="X1659" s="152"/>
      <c r="Y1659" s="152"/>
      <c r="Z1659" s="152"/>
      <c r="AA1659" s="152"/>
      <c r="AB1659" s="152"/>
    </row>
    <row r="1660" spans="1:28" hidden="1" outlineLevel="1">
      <c r="A1660" s="152"/>
      <c r="B1660" s="200"/>
      <c r="C1660" s="1423"/>
      <c r="D1660" s="1423"/>
      <c r="E1660" s="1423"/>
      <c r="F1660" s="1423"/>
      <c r="G1660" s="1423"/>
      <c r="H1660" s="1423"/>
      <c r="I1660" s="1423"/>
      <c r="J1660" s="1423"/>
      <c r="K1660" s="1423"/>
      <c r="L1660" s="1423"/>
      <c r="M1660" s="1423"/>
      <c r="N1660" s="1423"/>
      <c r="O1660" s="1423"/>
      <c r="P1660" s="1423"/>
      <c r="Q1660" s="1423"/>
      <c r="R1660" s="1423"/>
      <c r="S1660" s="1423"/>
      <c r="T1660" s="1423"/>
      <c r="U1660" s="1423"/>
      <c r="V1660" s="1423"/>
      <c r="W1660" s="1423"/>
      <c r="X1660" s="152"/>
      <c r="Y1660" s="152"/>
      <c r="Z1660" s="152"/>
      <c r="AA1660" s="152"/>
      <c r="AB1660" s="152"/>
    </row>
    <row r="1661" spans="1:28" hidden="1" outlineLevel="1">
      <c r="A1661" s="152"/>
      <c r="B1661" s="200"/>
      <c r="C1661" s="1423"/>
      <c r="D1661" s="1423"/>
      <c r="E1661" s="1423"/>
      <c r="F1661" s="1423"/>
      <c r="G1661" s="1423"/>
      <c r="H1661" s="1423"/>
      <c r="I1661" s="1423"/>
      <c r="J1661" s="1423"/>
      <c r="K1661" s="1423"/>
      <c r="L1661" s="1423"/>
      <c r="M1661" s="1423"/>
      <c r="N1661" s="1423"/>
      <c r="O1661" s="1423"/>
      <c r="P1661" s="1423"/>
      <c r="Q1661" s="1423"/>
      <c r="R1661" s="1423"/>
      <c r="S1661" s="1423"/>
      <c r="T1661" s="1423"/>
      <c r="U1661" s="1423"/>
      <c r="V1661" s="1423"/>
      <c r="W1661" s="1423"/>
      <c r="X1661" s="152"/>
      <c r="Y1661" s="152"/>
      <c r="Z1661" s="152"/>
      <c r="AA1661" s="152"/>
      <c r="AB1661" s="152"/>
    </row>
    <row r="1662" spans="1:28" hidden="1" outlineLevel="1">
      <c r="A1662" s="152"/>
      <c r="B1662" s="190" t="s">
        <v>190</v>
      </c>
      <c r="C1662" s="1423"/>
      <c r="D1662" s="1423">
        <f ca="1">IF(AND(C1662&lt;1,D1636=0),0,
IF(D1636=0,C1662-1,
IF(C1662&lt;1,D1637,
(((C1662-1)*(C1638-(C1638/(C1662))))+((D1636/D$10)*D1637))/(D1638))))</f>
        <v>0</v>
      </c>
      <c r="E1662" s="1423">
        <f t="shared" ref="E1662" ca="1" si="2435">IF(AND(D1662&lt;1,E1636=0),0,
IF(E1636=0,D1662-1,
IF(D1662&lt;1,E1637,
(((D1662-1)*(D1638-(D1638/(D1662))))+((E1636/E$10)*E1637))/(E1638))))</f>
        <v>0</v>
      </c>
      <c r="F1662" s="1423">
        <f t="shared" ref="F1662" ca="1" si="2436">IF(AND(E1662&lt;1,F1636=0),0,
IF(F1636=0,E1662-1,
IF(E1662&lt;1,F1637,
(((E1662-1)*(E1638-(E1638/(E1662))))+((F1636/F$10)*F1637))/(F1638))))</f>
        <v>0</v>
      </c>
      <c r="G1662" s="1423">
        <f t="shared" ref="G1662" ca="1" si="2437">IF(AND(F1662&lt;1,G1636=0),0,
IF(G1636=0,F1662-1,
IF(F1662&lt;1,G1637,
(((F1662-1)*(F1638-(F1638/(F1662))))+((G1636/G$10)*G1637))/(G1638))))</f>
        <v>0</v>
      </c>
      <c r="H1662" s="1423">
        <f t="shared" ref="H1662" ca="1" si="2438">IF(AND(G1662&lt;1,H1636=0),0,
IF(H1636=0,G1662-1,
IF(G1662&lt;1,H1637,
(((G1662-1)*(G1638-(G1638/(G1662))))+((H1636/H$10)*H1637))/(H1638))))</f>
        <v>0</v>
      </c>
      <c r="I1662" s="1423">
        <f t="shared" ref="I1662" ca="1" si="2439">IF(AND(H1662&lt;1,I1636=0),0,
IF(I1636=0,H1662-1,
IF(H1662&lt;1,I1637,
(((H1662-1)*(H1638-(H1638/(H1662))))+((I1636/I$10)*I1637))/(I1638))))</f>
        <v>0</v>
      </c>
      <c r="J1662" s="1423">
        <f t="shared" ref="J1662" ca="1" si="2440">IF(AND(I1662&lt;1,J1636=0),0,
IF(J1636=0,I1662-1,
IF(I1662&lt;1,J1637,
(((I1662-1)*(I1638-(I1638/(I1662))))+((J1636/J$10)*J1637))/(J1638))))</f>
        <v>0</v>
      </c>
      <c r="K1662" s="1423">
        <f t="shared" ref="K1662" ca="1" si="2441">IF(AND(J1662&lt;1,K1636=0),0,
IF(K1636=0,J1662-1,
IF(J1662&lt;1,K1637,
(((J1662-1)*(J1638-(J1638/(J1662))))+((K1636/K$10)*K1637))/(K1638))))</f>
        <v>0</v>
      </c>
      <c r="L1662" s="1423">
        <f t="shared" ref="L1662" ca="1" si="2442">IF(AND(K1662&lt;1,L1636=0),0,
IF(L1636=0,K1662-1,
IF(K1662&lt;1,L1637,
(((K1662-1)*(K1638-(K1638/(K1662))))+((L1636/L$10)*L1637))/(L1638))))</f>
        <v>0</v>
      </c>
      <c r="M1662" s="1423">
        <f t="shared" ref="M1662" ca="1" si="2443">IF(AND(L1662&lt;1,M1636=0),0,
IF(M1636=0,L1662-1,
IF(L1662&lt;1,M1637,
(((L1662-1)*(L1638-(L1638/(L1662))))+((M1636/M$10)*M1637))/(M1638))))</f>
        <v>0</v>
      </c>
      <c r="N1662" s="1423">
        <f t="shared" ref="N1662" ca="1" si="2444">IF(AND(M1662&lt;1,N1636=0),0,
IF(N1636=0,M1662-1,
IF(M1662&lt;1,N1637,
(((M1662-1)*(M1638-(M1638/(M1662))))+((N1636/N$10)*N1637))/(N1638))))</f>
        <v>0</v>
      </c>
      <c r="O1662" s="1423">
        <f t="shared" ref="O1662" ca="1" si="2445">IF(AND(N1662&lt;1,O1636=0),0,
IF(O1636=0,N1662-1,
IF(N1662&lt;1,O1637,
(((N1662-1)*(N1638-(N1638/(N1662))))+((O1636/O$10)*O1637))/(O1638))))</f>
        <v>0</v>
      </c>
      <c r="P1662" s="1423">
        <f t="shared" ref="P1662" ca="1" si="2446">IF(AND(O1662&lt;1,P1636=0),0,
IF(P1636=0,O1662-1,
IF(O1662&lt;1,P1637,
(((O1662-1)*(O1638-(O1638/(O1662))))+((P1636/P$10)*P1637))/(P1638))))</f>
        <v>0</v>
      </c>
      <c r="Q1662" s="1423">
        <f t="shared" ref="Q1662" ca="1" si="2447">IF(AND(P1662&lt;1,Q1636=0),0,
IF(Q1636=0,P1662-1,
IF(P1662&lt;1,Q1637,
(((P1662-1)*(P1638-(P1638/(P1662))))+((Q1636/Q$10)*Q1637))/(Q1638))))</f>
        <v>0</v>
      </c>
      <c r="R1662" s="1423">
        <f t="shared" ref="R1662" ca="1" si="2448">IF(AND(Q1662&lt;1,R1636=0),0,
IF(R1636=0,Q1662-1,
IF(Q1662&lt;1,R1637,
(((Q1662-1)*(Q1638-(Q1638/(Q1662))))+((R1636/R$10)*R1637))/(R1638))))</f>
        <v>0</v>
      </c>
      <c r="S1662" s="1423">
        <f t="shared" ref="S1662" ca="1" si="2449">IF(AND(R1662&lt;1,S1636=0),0,
IF(S1636=0,R1662-1,
IF(R1662&lt;1,S1637,
(((R1662-1)*(R1638-(R1638/(R1662))))+((S1636/S$10)*S1637))/(S1638))))</f>
        <v>0</v>
      </c>
      <c r="T1662" s="1423">
        <f t="shared" ref="T1662" ca="1" si="2450">IF(AND(S1662&lt;1,T1636=0),0,
IF(T1636=0,S1662-1,
IF(S1662&lt;1,T1637,
(((S1662-1)*(S1638-(S1638/(S1662))))+((T1636/T$10)*T1637))/(T1638))))</f>
        <v>0</v>
      </c>
      <c r="U1662" s="1423">
        <f t="shared" ref="U1662" ca="1" si="2451">IF(AND(T1662&lt;1,U1636=0),0,
IF(U1636=0,T1662-1,
IF(T1662&lt;1,U1637,
(((T1662-1)*(T1638-(T1638/(T1662))))+((U1636/U$10)*U1637))/(U1638))))</f>
        <v>0</v>
      </c>
      <c r="V1662" s="1423">
        <f t="shared" ref="V1662" ca="1" si="2452">IF(AND(U1662&lt;1,V1636=0),0,
IF(V1636=0,U1662-1,
IF(U1662&lt;1,V1637,
(((U1662-1)*(U1638-(U1638/(U1662))))+((V1636/V$10)*V1637))/(V1638))))</f>
        <v>0</v>
      </c>
      <c r="W1662" s="1423">
        <f t="shared" ref="W1662" ca="1" si="2453">IF(AND(V1662&lt;1,W1636=0),0,
IF(W1636=0,V1662-1,
IF(V1662&lt;1,W1637,
(((V1662-1)*(V1638-(V1638/(V1662))))+((W1636/W$10)*W1637))/(W1638))))</f>
        <v>0</v>
      </c>
      <c r="X1662" s="152"/>
      <c r="Y1662" s="152"/>
      <c r="Z1662" s="152"/>
      <c r="AA1662" s="152"/>
      <c r="AB1662" s="152"/>
    </row>
    <row r="1663" spans="1:28" hidden="1" outlineLevel="1">
      <c r="A1663" s="152"/>
      <c r="B1663" s="190" t="s">
        <v>122</v>
      </c>
      <c r="C1663" s="1423">
        <f ca="1">C1635</f>
        <v>0</v>
      </c>
      <c r="D1663" s="1423">
        <f t="shared" ref="D1663" ca="1" si="2454">IF(C1663="n/a","n/a",MAX(0,C1663-1))</f>
        <v>0</v>
      </c>
      <c r="E1663" s="1423">
        <f t="shared" ref="E1663:E1664" ca="1" si="2455">IF(D1663="n/a","n/a",MAX(0,D1663-1))</f>
        <v>0</v>
      </c>
      <c r="F1663" s="1423">
        <f t="shared" ref="F1663:F1665" ca="1" si="2456">IF(E1663="n/a","n/a",MAX(0,E1663-1))</f>
        <v>0</v>
      </c>
      <c r="G1663" s="1423">
        <f t="shared" ref="G1663:G1666" ca="1" si="2457">IF(F1663="n/a","n/a",MAX(0,F1663-1))</f>
        <v>0</v>
      </c>
      <c r="H1663" s="1423">
        <f t="shared" ref="H1663:H1667" ca="1" si="2458">IF(G1663="n/a","n/a",MAX(0,G1663-1))</f>
        <v>0</v>
      </c>
      <c r="I1663" s="1423">
        <f t="shared" ref="I1663:I1668" ca="1" si="2459">IF(H1663="n/a","n/a",MAX(0,H1663-1))</f>
        <v>0</v>
      </c>
      <c r="J1663" s="1423">
        <f t="shared" ref="J1663:J1669" ca="1" si="2460">IF(I1663="n/a","n/a",MAX(0,I1663-1))</f>
        <v>0</v>
      </c>
      <c r="K1663" s="1423">
        <f t="shared" ref="K1663:K1670" ca="1" si="2461">IF(J1663="n/a","n/a",MAX(0,J1663-1))</f>
        <v>0</v>
      </c>
      <c r="L1663" s="1423">
        <f t="shared" ref="L1663:L1671" ca="1" si="2462">IF(K1663="n/a","n/a",MAX(0,K1663-1))</f>
        <v>0</v>
      </c>
      <c r="M1663" s="1423">
        <f t="shared" ref="M1663:M1672" ca="1" si="2463">IF(L1663="n/a","n/a",MAX(0,L1663-1))</f>
        <v>0</v>
      </c>
      <c r="N1663" s="1423">
        <f t="shared" ref="N1663:N1673" ca="1" si="2464">IF(M1663="n/a","n/a",MAX(0,M1663-1))</f>
        <v>0</v>
      </c>
      <c r="O1663" s="1423">
        <f t="shared" ref="O1663:O1674" ca="1" si="2465">IF(N1663="n/a","n/a",MAX(0,N1663-1))</f>
        <v>0</v>
      </c>
      <c r="P1663" s="1423">
        <f t="shared" ref="P1663:P1675" ca="1" si="2466">IF(O1663="n/a","n/a",MAX(0,O1663-1))</f>
        <v>0</v>
      </c>
      <c r="Q1663" s="1423">
        <f t="shared" ref="Q1663:Q1676" ca="1" si="2467">IF(P1663="n/a","n/a",MAX(0,P1663-1))</f>
        <v>0</v>
      </c>
      <c r="R1663" s="1423">
        <f t="shared" ref="R1663:R1677" ca="1" si="2468">IF(Q1663="n/a","n/a",MAX(0,Q1663-1))</f>
        <v>0</v>
      </c>
      <c r="S1663" s="1423">
        <f t="shared" ref="S1663:S1678" ca="1" si="2469">IF(R1663="n/a","n/a",MAX(0,R1663-1))</f>
        <v>0</v>
      </c>
      <c r="T1663" s="1423">
        <f t="shared" ref="T1663:T1679" ca="1" si="2470">IF(S1663="n/a","n/a",MAX(0,S1663-1))</f>
        <v>0</v>
      </c>
      <c r="U1663" s="1423">
        <f t="shared" ref="U1663:U1680" ca="1" si="2471">IF(T1663="n/a","n/a",MAX(0,T1663-1))</f>
        <v>0</v>
      </c>
      <c r="V1663" s="1423">
        <f t="shared" ref="V1663:V1681" ca="1" si="2472">IF(U1663="n/a","n/a",MAX(0,U1663-1))</f>
        <v>0</v>
      </c>
      <c r="W1663" s="1423">
        <f t="shared" ref="W1663:W1681" ca="1" si="2473">IF(V1663="n/a","n/a",MAX(0,V1663-1))</f>
        <v>0</v>
      </c>
      <c r="X1663" s="152"/>
      <c r="Y1663" s="152"/>
      <c r="Z1663" s="152"/>
      <c r="AA1663" s="152"/>
      <c r="AB1663" s="152"/>
    </row>
    <row r="1664" spans="1:28" hidden="1" outlineLevel="1">
      <c r="A1664" s="152"/>
      <c r="B1664" s="190" t="str">
        <f t="shared" ref="B1664:B1683" ca="1" si="2474">"RL Capex "&amp;OFFSET($C$6,0,A1640)</f>
        <v>RL Capex 2016-17</v>
      </c>
      <c r="C1664" s="1424"/>
      <c r="D1664" s="1428">
        <f>D1635</f>
        <v>0</v>
      </c>
      <c r="E1664" s="1423">
        <f t="shared" si="2455"/>
        <v>0</v>
      </c>
      <c r="F1664" s="1423">
        <f t="shared" si="2456"/>
        <v>0</v>
      </c>
      <c r="G1664" s="1423">
        <f t="shared" si="2457"/>
        <v>0</v>
      </c>
      <c r="H1664" s="1423">
        <f t="shared" si="2458"/>
        <v>0</v>
      </c>
      <c r="I1664" s="1423">
        <f t="shared" si="2459"/>
        <v>0</v>
      </c>
      <c r="J1664" s="1423">
        <f t="shared" si="2460"/>
        <v>0</v>
      </c>
      <c r="K1664" s="1423">
        <f t="shared" si="2461"/>
        <v>0</v>
      </c>
      <c r="L1664" s="1423">
        <f t="shared" si="2462"/>
        <v>0</v>
      </c>
      <c r="M1664" s="1423">
        <f t="shared" si="2463"/>
        <v>0</v>
      </c>
      <c r="N1664" s="1423">
        <f t="shared" si="2464"/>
        <v>0</v>
      </c>
      <c r="O1664" s="1423">
        <f t="shared" si="2465"/>
        <v>0</v>
      </c>
      <c r="P1664" s="1423">
        <f t="shared" si="2466"/>
        <v>0</v>
      </c>
      <c r="Q1664" s="1423">
        <f t="shared" si="2467"/>
        <v>0</v>
      </c>
      <c r="R1664" s="1423">
        <f t="shared" si="2468"/>
        <v>0</v>
      </c>
      <c r="S1664" s="1423">
        <f t="shared" si="2469"/>
        <v>0</v>
      </c>
      <c r="T1664" s="1423">
        <f t="shared" si="2470"/>
        <v>0</v>
      </c>
      <c r="U1664" s="1423">
        <f t="shared" si="2471"/>
        <v>0</v>
      </c>
      <c r="V1664" s="1423">
        <f t="shared" si="2472"/>
        <v>0</v>
      </c>
      <c r="W1664" s="1423">
        <f t="shared" si="2473"/>
        <v>0</v>
      </c>
      <c r="X1664" s="152"/>
      <c r="Y1664" s="152"/>
      <c r="Z1664" s="152"/>
      <c r="AA1664" s="152"/>
      <c r="AB1664" s="152"/>
    </row>
    <row r="1665" spans="1:28" hidden="1" outlineLevel="1">
      <c r="A1665" s="152"/>
      <c r="B1665" s="190" t="str">
        <f t="shared" ca="1" si="2474"/>
        <v>RL Capex 2017-18</v>
      </c>
      <c r="C1665" s="1429"/>
      <c r="D1665" s="1424"/>
      <c r="E1665" s="1428">
        <f>E1635</f>
        <v>0</v>
      </c>
      <c r="F1665" s="1423">
        <f t="shared" si="2456"/>
        <v>0</v>
      </c>
      <c r="G1665" s="1423">
        <f t="shared" si="2457"/>
        <v>0</v>
      </c>
      <c r="H1665" s="1423">
        <f t="shared" si="2458"/>
        <v>0</v>
      </c>
      <c r="I1665" s="1423">
        <f t="shared" si="2459"/>
        <v>0</v>
      </c>
      <c r="J1665" s="1423">
        <f t="shared" si="2460"/>
        <v>0</v>
      </c>
      <c r="K1665" s="1423">
        <f t="shared" si="2461"/>
        <v>0</v>
      </c>
      <c r="L1665" s="1423">
        <f t="shared" si="2462"/>
        <v>0</v>
      </c>
      <c r="M1665" s="1423">
        <f t="shared" si="2463"/>
        <v>0</v>
      </c>
      <c r="N1665" s="1423">
        <f t="shared" si="2464"/>
        <v>0</v>
      </c>
      <c r="O1665" s="1423">
        <f t="shared" si="2465"/>
        <v>0</v>
      </c>
      <c r="P1665" s="1423">
        <f t="shared" si="2466"/>
        <v>0</v>
      </c>
      <c r="Q1665" s="1423">
        <f t="shared" si="2467"/>
        <v>0</v>
      </c>
      <c r="R1665" s="1423">
        <f t="shared" si="2468"/>
        <v>0</v>
      </c>
      <c r="S1665" s="1423">
        <f t="shared" si="2469"/>
        <v>0</v>
      </c>
      <c r="T1665" s="1423">
        <f t="shared" si="2470"/>
        <v>0</v>
      </c>
      <c r="U1665" s="1423">
        <f t="shared" si="2471"/>
        <v>0</v>
      </c>
      <c r="V1665" s="1423">
        <f t="shared" si="2472"/>
        <v>0</v>
      </c>
      <c r="W1665" s="1423">
        <f t="shared" si="2473"/>
        <v>0</v>
      </c>
      <c r="X1665" s="152"/>
      <c r="Y1665" s="152"/>
      <c r="Z1665" s="152"/>
      <c r="AA1665" s="152"/>
      <c r="AB1665" s="152"/>
    </row>
    <row r="1666" spans="1:28" hidden="1" outlineLevel="1">
      <c r="A1666" s="152"/>
      <c r="B1666" s="190" t="str">
        <f t="shared" ca="1" si="2474"/>
        <v>RL Capex 2018-19</v>
      </c>
      <c r="C1666" s="1429"/>
      <c r="D1666" s="1429"/>
      <c r="E1666" s="1424"/>
      <c r="F1666" s="1428">
        <f>F1635</f>
        <v>0</v>
      </c>
      <c r="G1666" s="1423">
        <f t="shared" si="2457"/>
        <v>0</v>
      </c>
      <c r="H1666" s="1423">
        <f t="shared" si="2458"/>
        <v>0</v>
      </c>
      <c r="I1666" s="1423">
        <f t="shared" si="2459"/>
        <v>0</v>
      </c>
      <c r="J1666" s="1423">
        <f t="shared" si="2460"/>
        <v>0</v>
      </c>
      <c r="K1666" s="1423">
        <f t="shared" si="2461"/>
        <v>0</v>
      </c>
      <c r="L1666" s="1423">
        <f t="shared" si="2462"/>
        <v>0</v>
      </c>
      <c r="M1666" s="1423">
        <f t="shared" si="2463"/>
        <v>0</v>
      </c>
      <c r="N1666" s="1423">
        <f t="shared" si="2464"/>
        <v>0</v>
      </c>
      <c r="O1666" s="1423">
        <f t="shared" si="2465"/>
        <v>0</v>
      </c>
      <c r="P1666" s="1423">
        <f t="shared" si="2466"/>
        <v>0</v>
      </c>
      <c r="Q1666" s="1423">
        <f t="shared" si="2467"/>
        <v>0</v>
      </c>
      <c r="R1666" s="1423">
        <f t="shared" si="2468"/>
        <v>0</v>
      </c>
      <c r="S1666" s="1423">
        <f t="shared" si="2469"/>
        <v>0</v>
      </c>
      <c r="T1666" s="1423">
        <f t="shared" si="2470"/>
        <v>0</v>
      </c>
      <c r="U1666" s="1423">
        <f t="shared" si="2471"/>
        <v>0</v>
      </c>
      <c r="V1666" s="1423">
        <f t="shared" si="2472"/>
        <v>0</v>
      </c>
      <c r="W1666" s="1423">
        <f t="shared" si="2473"/>
        <v>0</v>
      </c>
      <c r="X1666" s="152"/>
      <c r="Y1666" s="152"/>
      <c r="Z1666" s="152"/>
      <c r="AA1666" s="152"/>
      <c r="AB1666" s="152"/>
    </row>
    <row r="1667" spans="1:28" hidden="1" outlineLevel="1">
      <c r="A1667" s="152"/>
      <c r="B1667" s="190" t="str">
        <f t="shared" ca="1" si="2474"/>
        <v>RL Capex 2019-20</v>
      </c>
      <c r="C1667" s="1429"/>
      <c r="D1667" s="1429"/>
      <c r="E1667" s="1429"/>
      <c r="F1667" s="1424"/>
      <c r="G1667" s="1428">
        <f>G1635</f>
        <v>0</v>
      </c>
      <c r="H1667" s="1423">
        <f t="shared" si="2458"/>
        <v>0</v>
      </c>
      <c r="I1667" s="1423">
        <f t="shared" si="2459"/>
        <v>0</v>
      </c>
      <c r="J1667" s="1423">
        <f t="shared" si="2460"/>
        <v>0</v>
      </c>
      <c r="K1667" s="1423">
        <f t="shared" si="2461"/>
        <v>0</v>
      </c>
      <c r="L1667" s="1423">
        <f t="shared" si="2462"/>
        <v>0</v>
      </c>
      <c r="M1667" s="1423">
        <f t="shared" si="2463"/>
        <v>0</v>
      </c>
      <c r="N1667" s="1423">
        <f t="shared" si="2464"/>
        <v>0</v>
      </c>
      <c r="O1667" s="1423">
        <f t="shared" si="2465"/>
        <v>0</v>
      </c>
      <c r="P1667" s="1423">
        <f t="shared" si="2466"/>
        <v>0</v>
      </c>
      <c r="Q1667" s="1423">
        <f t="shared" si="2467"/>
        <v>0</v>
      </c>
      <c r="R1667" s="1423">
        <f t="shared" si="2468"/>
        <v>0</v>
      </c>
      <c r="S1667" s="1423">
        <f t="shared" si="2469"/>
        <v>0</v>
      </c>
      <c r="T1667" s="1423">
        <f t="shared" si="2470"/>
        <v>0</v>
      </c>
      <c r="U1667" s="1423">
        <f t="shared" si="2471"/>
        <v>0</v>
      </c>
      <c r="V1667" s="1423">
        <f t="shared" si="2472"/>
        <v>0</v>
      </c>
      <c r="W1667" s="1423">
        <f t="shared" si="2473"/>
        <v>0</v>
      </c>
      <c r="X1667" s="152"/>
      <c r="Y1667" s="152"/>
      <c r="Z1667" s="152"/>
      <c r="AA1667" s="152"/>
      <c r="AB1667" s="152"/>
    </row>
    <row r="1668" spans="1:28" hidden="1" outlineLevel="1">
      <c r="A1668" s="152"/>
      <c r="B1668" s="190" t="str">
        <f t="shared" ca="1" si="2474"/>
        <v>RL Capex 2020-21</v>
      </c>
      <c r="C1668" s="1429"/>
      <c r="D1668" s="1429"/>
      <c r="E1668" s="1429"/>
      <c r="F1668" s="1429"/>
      <c r="G1668" s="1424"/>
      <c r="H1668" s="1428">
        <f>H1635</f>
        <v>0</v>
      </c>
      <c r="I1668" s="1423">
        <f t="shared" si="2459"/>
        <v>0</v>
      </c>
      <c r="J1668" s="1423">
        <f t="shared" si="2460"/>
        <v>0</v>
      </c>
      <c r="K1668" s="1423">
        <f t="shared" si="2461"/>
        <v>0</v>
      </c>
      <c r="L1668" s="1423">
        <f t="shared" si="2462"/>
        <v>0</v>
      </c>
      <c r="M1668" s="1423">
        <f t="shared" si="2463"/>
        <v>0</v>
      </c>
      <c r="N1668" s="1423">
        <f t="shared" si="2464"/>
        <v>0</v>
      </c>
      <c r="O1668" s="1423">
        <f t="shared" si="2465"/>
        <v>0</v>
      </c>
      <c r="P1668" s="1423">
        <f t="shared" si="2466"/>
        <v>0</v>
      </c>
      <c r="Q1668" s="1423">
        <f t="shared" si="2467"/>
        <v>0</v>
      </c>
      <c r="R1668" s="1423">
        <f t="shared" si="2468"/>
        <v>0</v>
      </c>
      <c r="S1668" s="1423">
        <f t="shared" si="2469"/>
        <v>0</v>
      </c>
      <c r="T1668" s="1423">
        <f t="shared" si="2470"/>
        <v>0</v>
      </c>
      <c r="U1668" s="1423">
        <f t="shared" si="2471"/>
        <v>0</v>
      </c>
      <c r="V1668" s="1423">
        <f t="shared" si="2472"/>
        <v>0</v>
      </c>
      <c r="W1668" s="1423">
        <f t="shared" si="2473"/>
        <v>0</v>
      </c>
      <c r="X1668" s="152"/>
      <c r="Y1668" s="152"/>
      <c r="Z1668" s="152"/>
      <c r="AA1668" s="152"/>
      <c r="AB1668" s="152"/>
    </row>
    <row r="1669" spans="1:28" hidden="1" outlineLevel="1">
      <c r="A1669" s="152"/>
      <c r="B1669" s="190" t="str">
        <f t="shared" ca="1" si="2474"/>
        <v>RL Capex 2021-22</v>
      </c>
      <c r="C1669" s="1429"/>
      <c r="D1669" s="1429"/>
      <c r="E1669" s="1429"/>
      <c r="F1669" s="1429"/>
      <c r="G1669" s="1429"/>
      <c r="H1669" s="1424"/>
      <c r="I1669" s="1428">
        <f>I1635</f>
        <v>0</v>
      </c>
      <c r="J1669" s="1423">
        <f t="shared" si="2460"/>
        <v>0</v>
      </c>
      <c r="K1669" s="1423">
        <f t="shared" si="2461"/>
        <v>0</v>
      </c>
      <c r="L1669" s="1423">
        <f t="shared" si="2462"/>
        <v>0</v>
      </c>
      <c r="M1669" s="1423">
        <f t="shared" si="2463"/>
        <v>0</v>
      </c>
      <c r="N1669" s="1423">
        <f t="shared" si="2464"/>
        <v>0</v>
      </c>
      <c r="O1669" s="1423">
        <f t="shared" si="2465"/>
        <v>0</v>
      </c>
      <c r="P1669" s="1423">
        <f t="shared" si="2466"/>
        <v>0</v>
      </c>
      <c r="Q1669" s="1423">
        <f t="shared" si="2467"/>
        <v>0</v>
      </c>
      <c r="R1669" s="1423">
        <f t="shared" si="2468"/>
        <v>0</v>
      </c>
      <c r="S1669" s="1423">
        <f t="shared" si="2469"/>
        <v>0</v>
      </c>
      <c r="T1669" s="1423">
        <f t="shared" si="2470"/>
        <v>0</v>
      </c>
      <c r="U1669" s="1423">
        <f t="shared" si="2471"/>
        <v>0</v>
      </c>
      <c r="V1669" s="1423">
        <f t="shared" si="2472"/>
        <v>0</v>
      </c>
      <c r="W1669" s="1423">
        <f t="shared" si="2473"/>
        <v>0</v>
      </c>
      <c r="X1669" s="152"/>
      <c r="Y1669" s="152"/>
      <c r="Z1669" s="152"/>
      <c r="AA1669" s="152"/>
      <c r="AB1669" s="152"/>
    </row>
    <row r="1670" spans="1:28" hidden="1" outlineLevel="1">
      <c r="A1670" s="152"/>
      <c r="B1670" s="190" t="str">
        <f t="shared" ca="1" si="2474"/>
        <v>RL Capex 2022-23</v>
      </c>
      <c r="C1670" s="1429"/>
      <c r="D1670" s="1429"/>
      <c r="E1670" s="1429"/>
      <c r="F1670" s="1429"/>
      <c r="G1670" s="1429"/>
      <c r="H1670" s="1429"/>
      <c r="I1670" s="1424"/>
      <c r="J1670" s="1428">
        <f>J1635</f>
        <v>0</v>
      </c>
      <c r="K1670" s="1423">
        <f t="shared" si="2461"/>
        <v>0</v>
      </c>
      <c r="L1670" s="1423">
        <f t="shared" si="2462"/>
        <v>0</v>
      </c>
      <c r="M1670" s="1423">
        <f t="shared" si="2463"/>
        <v>0</v>
      </c>
      <c r="N1670" s="1423">
        <f t="shared" si="2464"/>
        <v>0</v>
      </c>
      <c r="O1670" s="1423">
        <f t="shared" si="2465"/>
        <v>0</v>
      </c>
      <c r="P1670" s="1423">
        <f t="shared" si="2466"/>
        <v>0</v>
      </c>
      <c r="Q1670" s="1423">
        <f t="shared" si="2467"/>
        <v>0</v>
      </c>
      <c r="R1670" s="1423">
        <f t="shared" si="2468"/>
        <v>0</v>
      </c>
      <c r="S1670" s="1423">
        <f t="shared" si="2469"/>
        <v>0</v>
      </c>
      <c r="T1670" s="1423">
        <f t="shared" si="2470"/>
        <v>0</v>
      </c>
      <c r="U1670" s="1423">
        <f t="shared" si="2471"/>
        <v>0</v>
      </c>
      <c r="V1670" s="1423">
        <f t="shared" si="2472"/>
        <v>0</v>
      </c>
      <c r="W1670" s="1423">
        <f t="shared" si="2473"/>
        <v>0</v>
      </c>
      <c r="X1670" s="152"/>
      <c r="Y1670" s="152"/>
      <c r="Z1670" s="152"/>
      <c r="AA1670" s="152"/>
      <c r="AB1670" s="152"/>
    </row>
    <row r="1671" spans="1:28" hidden="1" outlineLevel="1">
      <c r="A1671" s="152"/>
      <c r="B1671" s="190" t="str">
        <f t="shared" ca="1" si="2474"/>
        <v>RL Capex 2023-24</v>
      </c>
      <c r="C1671" s="1429"/>
      <c r="D1671" s="1429"/>
      <c r="E1671" s="1429"/>
      <c r="F1671" s="1429"/>
      <c r="G1671" s="1429"/>
      <c r="H1671" s="1429"/>
      <c r="I1671" s="1429"/>
      <c r="J1671" s="1424"/>
      <c r="K1671" s="1428">
        <f>K1635</f>
        <v>0</v>
      </c>
      <c r="L1671" s="1423">
        <f t="shared" si="2462"/>
        <v>0</v>
      </c>
      <c r="M1671" s="1423">
        <f t="shared" si="2463"/>
        <v>0</v>
      </c>
      <c r="N1671" s="1423">
        <f t="shared" si="2464"/>
        <v>0</v>
      </c>
      <c r="O1671" s="1423">
        <f t="shared" si="2465"/>
        <v>0</v>
      </c>
      <c r="P1671" s="1423">
        <f t="shared" si="2466"/>
        <v>0</v>
      </c>
      <c r="Q1671" s="1423">
        <f t="shared" si="2467"/>
        <v>0</v>
      </c>
      <c r="R1671" s="1423">
        <f t="shared" si="2468"/>
        <v>0</v>
      </c>
      <c r="S1671" s="1423">
        <f t="shared" si="2469"/>
        <v>0</v>
      </c>
      <c r="T1671" s="1423">
        <f t="shared" si="2470"/>
        <v>0</v>
      </c>
      <c r="U1671" s="1423">
        <f t="shared" si="2471"/>
        <v>0</v>
      </c>
      <c r="V1671" s="1423">
        <f t="shared" si="2472"/>
        <v>0</v>
      </c>
      <c r="W1671" s="1423">
        <f t="shared" si="2473"/>
        <v>0</v>
      </c>
      <c r="X1671" s="152"/>
      <c r="Y1671" s="152"/>
      <c r="Z1671" s="152"/>
      <c r="AA1671" s="152"/>
      <c r="AB1671" s="152"/>
    </row>
    <row r="1672" spans="1:28" hidden="1" outlineLevel="1">
      <c r="A1672" s="152"/>
      <c r="B1672" s="190" t="str">
        <f t="shared" ca="1" si="2474"/>
        <v>RL Capex 2024-25</v>
      </c>
      <c r="C1672" s="1429"/>
      <c r="D1672" s="1429"/>
      <c r="E1672" s="1429"/>
      <c r="F1672" s="1429"/>
      <c r="G1672" s="1429"/>
      <c r="H1672" s="1429"/>
      <c r="I1672" s="1429"/>
      <c r="J1672" s="1429"/>
      <c r="K1672" s="1424"/>
      <c r="L1672" s="1428">
        <f>L1635</f>
        <v>0</v>
      </c>
      <c r="M1672" s="1423">
        <f t="shared" si="2463"/>
        <v>0</v>
      </c>
      <c r="N1672" s="1423">
        <f t="shared" si="2464"/>
        <v>0</v>
      </c>
      <c r="O1672" s="1423">
        <f t="shared" si="2465"/>
        <v>0</v>
      </c>
      <c r="P1672" s="1423">
        <f t="shared" si="2466"/>
        <v>0</v>
      </c>
      <c r="Q1672" s="1423">
        <f t="shared" si="2467"/>
        <v>0</v>
      </c>
      <c r="R1672" s="1423">
        <f t="shared" si="2468"/>
        <v>0</v>
      </c>
      <c r="S1672" s="1423">
        <f t="shared" si="2469"/>
        <v>0</v>
      </c>
      <c r="T1672" s="1423">
        <f t="shared" si="2470"/>
        <v>0</v>
      </c>
      <c r="U1672" s="1423">
        <f t="shared" si="2471"/>
        <v>0</v>
      </c>
      <c r="V1672" s="1423">
        <f t="shared" si="2472"/>
        <v>0</v>
      </c>
      <c r="W1672" s="1423">
        <f t="shared" si="2473"/>
        <v>0</v>
      </c>
      <c r="X1672" s="152"/>
      <c r="Y1672" s="152"/>
      <c r="Z1672" s="152"/>
      <c r="AA1672" s="152"/>
      <c r="AB1672" s="152"/>
    </row>
    <row r="1673" spans="1:28" hidden="1" outlineLevel="1">
      <c r="A1673" s="152"/>
      <c r="B1673" s="190" t="str">
        <f t="shared" ca="1" si="2474"/>
        <v>RL Capex 2025-26</v>
      </c>
      <c r="C1673" s="1429"/>
      <c r="D1673" s="1429"/>
      <c r="E1673" s="1429"/>
      <c r="F1673" s="1429"/>
      <c r="G1673" s="1429"/>
      <c r="H1673" s="1429"/>
      <c r="I1673" s="1429"/>
      <c r="J1673" s="1429"/>
      <c r="K1673" s="1429"/>
      <c r="L1673" s="1424"/>
      <c r="M1673" s="1428">
        <f>M1635</f>
        <v>0</v>
      </c>
      <c r="N1673" s="1423">
        <f t="shared" si="2464"/>
        <v>0</v>
      </c>
      <c r="O1673" s="1423">
        <f t="shared" si="2465"/>
        <v>0</v>
      </c>
      <c r="P1673" s="1423">
        <f t="shared" si="2466"/>
        <v>0</v>
      </c>
      <c r="Q1673" s="1423">
        <f t="shared" si="2467"/>
        <v>0</v>
      </c>
      <c r="R1673" s="1423">
        <f t="shared" si="2468"/>
        <v>0</v>
      </c>
      <c r="S1673" s="1423">
        <f t="shared" si="2469"/>
        <v>0</v>
      </c>
      <c r="T1673" s="1423">
        <f t="shared" si="2470"/>
        <v>0</v>
      </c>
      <c r="U1673" s="1423">
        <f t="shared" si="2471"/>
        <v>0</v>
      </c>
      <c r="V1673" s="1423">
        <f t="shared" si="2472"/>
        <v>0</v>
      </c>
      <c r="W1673" s="1423">
        <f t="shared" si="2473"/>
        <v>0</v>
      </c>
      <c r="X1673" s="152"/>
      <c r="Y1673" s="152"/>
      <c r="Z1673" s="152"/>
      <c r="AA1673" s="152"/>
      <c r="AB1673" s="152"/>
    </row>
    <row r="1674" spans="1:28" hidden="1" outlineLevel="1">
      <c r="A1674" s="152"/>
      <c r="B1674" s="190" t="str">
        <f t="shared" ca="1" si="2474"/>
        <v>RL Capex 2026-27</v>
      </c>
      <c r="C1674" s="1429"/>
      <c r="D1674" s="1429"/>
      <c r="E1674" s="1429"/>
      <c r="F1674" s="1429"/>
      <c r="G1674" s="1429"/>
      <c r="H1674" s="1429"/>
      <c r="I1674" s="1429"/>
      <c r="J1674" s="1429"/>
      <c r="K1674" s="1429"/>
      <c r="L1674" s="1429"/>
      <c r="M1674" s="1424"/>
      <c r="N1674" s="1428">
        <f>N1635</f>
        <v>0</v>
      </c>
      <c r="O1674" s="1423">
        <f t="shared" si="2465"/>
        <v>0</v>
      </c>
      <c r="P1674" s="1423">
        <f t="shared" si="2466"/>
        <v>0</v>
      </c>
      <c r="Q1674" s="1423">
        <f t="shared" si="2467"/>
        <v>0</v>
      </c>
      <c r="R1674" s="1423">
        <f t="shared" si="2468"/>
        <v>0</v>
      </c>
      <c r="S1674" s="1423">
        <f t="shared" si="2469"/>
        <v>0</v>
      </c>
      <c r="T1674" s="1423">
        <f t="shared" si="2470"/>
        <v>0</v>
      </c>
      <c r="U1674" s="1423">
        <f t="shared" si="2471"/>
        <v>0</v>
      </c>
      <c r="V1674" s="1423">
        <f t="shared" si="2472"/>
        <v>0</v>
      </c>
      <c r="W1674" s="1423">
        <f t="shared" si="2473"/>
        <v>0</v>
      </c>
      <c r="X1674" s="152"/>
      <c r="Y1674" s="152"/>
      <c r="Z1674" s="152"/>
      <c r="AA1674" s="152"/>
      <c r="AB1674" s="152"/>
    </row>
    <row r="1675" spans="1:28" hidden="1" outlineLevel="1">
      <c r="A1675" s="152"/>
      <c r="B1675" s="190" t="str">
        <f t="shared" ca="1" si="2474"/>
        <v>RL Capex 2027-28</v>
      </c>
      <c r="C1675" s="1429"/>
      <c r="D1675" s="1429"/>
      <c r="E1675" s="1429"/>
      <c r="F1675" s="1429"/>
      <c r="G1675" s="1429"/>
      <c r="H1675" s="1429"/>
      <c r="I1675" s="1429"/>
      <c r="J1675" s="1429"/>
      <c r="K1675" s="1429"/>
      <c r="L1675" s="1429"/>
      <c r="M1675" s="1429"/>
      <c r="N1675" s="1424"/>
      <c r="O1675" s="1428">
        <f>O1635</f>
        <v>0</v>
      </c>
      <c r="P1675" s="1423">
        <f t="shared" si="2466"/>
        <v>0</v>
      </c>
      <c r="Q1675" s="1423">
        <f t="shared" si="2467"/>
        <v>0</v>
      </c>
      <c r="R1675" s="1423">
        <f t="shared" si="2468"/>
        <v>0</v>
      </c>
      <c r="S1675" s="1423">
        <f t="shared" si="2469"/>
        <v>0</v>
      </c>
      <c r="T1675" s="1423">
        <f t="shared" si="2470"/>
        <v>0</v>
      </c>
      <c r="U1675" s="1423">
        <f t="shared" si="2471"/>
        <v>0</v>
      </c>
      <c r="V1675" s="1423">
        <f t="shared" si="2472"/>
        <v>0</v>
      </c>
      <c r="W1675" s="1423">
        <f t="shared" si="2473"/>
        <v>0</v>
      </c>
      <c r="X1675" s="152"/>
      <c r="Y1675" s="152"/>
      <c r="Z1675" s="152"/>
      <c r="AA1675" s="152"/>
      <c r="AB1675" s="152"/>
    </row>
    <row r="1676" spans="1:28" hidden="1" outlineLevel="1">
      <c r="A1676" s="152"/>
      <c r="B1676" s="190" t="str">
        <f t="shared" ca="1" si="2474"/>
        <v>RL Capex 2028-29</v>
      </c>
      <c r="C1676" s="1429"/>
      <c r="D1676" s="1429"/>
      <c r="E1676" s="1429"/>
      <c r="F1676" s="1429"/>
      <c r="G1676" s="1429"/>
      <c r="H1676" s="1429"/>
      <c r="I1676" s="1429"/>
      <c r="J1676" s="1429"/>
      <c r="K1676" s="1429"/>
      <c r="L1676" s="1429"/>
      <c r="M1676" s="1429"/>
      <c r="N1676" s="1429"/>
      <c r="O1676" s="1424"/>
      <c r="P1676" s="1428">
        <f>P1635</f>
        <v>0</v>
      </c>
      <c r="Q1676" s="1423">
        <f t="shared" si="2467"/>
        <v>0</v>
      </c>
      <c r="R1676" s="1423">
        <f t="shared" si="2468"/>
        <v>0</v>
      </c>
      <c r="S1676" s="1423">
        <f t="shared" si="2469"/>
        <v>0</v>
      </c>
      <c r="T1676" s="1423">
        <f t="shared" si="2470"/>
        <v>0</v>
      </c>
      <c r="U1676" s="1423">
        <f t="shared" si="2471"/>
        <v>0</v>
      </c>
      <c r="V1676" s="1423">
        <f t="shared" si="2472"/>
        <v>0</v>
      </c>
      <c r="W1676" s="1423">
        <f t="shared" si="2473"/>
        <v>0</v>
      </c>
      <c r="X1676" s="152"/>
      <c r="Y1676" s="152"/>
      <c r="Z1676" s="152"/>
      <c r="AA1676" s="152"/>
      <c r="AB1676" s="152"/>
    </row>
    <row r="1677" spans="1:28" hidden="1" outlineLevel="1">
      <c r="A1677" s="152"/>
      <c r="B1677" s="190" t="str">
        <f t="shared" ca="1" si="2474"/>
        <v>RL Capex 2029-30</v>
      </c>
      <c r="C1677" s="1429"/>
      <c r="D1677" s="1429"/>
      <c r="E1677" s="1429"/>
      <c r="F1677" s="1429"/>
      <c r="G1677" s="1429"/>
      <c r="H1677" s="1429"/>
      <c r="I1677" s="1429"/>
      <c r="J1677" s="1429"/>
      <c r="K1677" s="1429"/>
      <c r="L1677" s="1429"/>
      <c r="M1677" s="1429"/>
      <c r="N1677" s="1429"/>
      <c r="O1677" s="1429"/>
      <c r="P1677" s="1424"/>
      <c r="Q1677" s="1428">
        <f>Q1635</f>
        <v>0</v>
      </c>
      <c r="R1677" s="1423">
        <f t="shared" si="2468"/>
        <v>0</v>
      </c>
      <c r="S1677" s="1423">
        <f t="shared" si="2469"/>
        <v>0</v>
      </c>
      <c r="T1677" s="1423">
        <f t="shared" si="2470"/>
        <v>0</v>
      </c>
      <c r="U1677" s="1423">
        <f t="shared" si="2471"/>
        <v>0</v>
      </c>
      <c r="V1677" s="1423">
        <f t="shared" si="2472"/>
        <v>0</v>
      </c>
      <c r="W1677" s="1423">
        <f t="shared" si="2473"/>
        <v>0</v>
      </c>
      <c r="X1677" s="152"/>
      <c r="Y1677" s="152"/>
      <c r="Z1677" s="152"/>
      <c r="AA1677" s="152"/>
      <c r="AB1677" s="152"/>
    </row>
    <row r="1678" spans="1:28" hidden="1" outlineLevel="1">
      <c r="A1678" s="152"/>
      <c r="B1678" s="190" t="str">
        <f t="shared" ca="1" si="2474"/>
        <v>RL Capex 2030-31</v>
      </c>
      <c r="C1678" s="1429"/>
      <c r="D1678" s="1429"/>
      <c r="E1678" s="1429"/>
      <c r="F1678" s="1429"/>
      <c r="G1678" s="1429"/>
      <c r="H1678" s="1429"/>
      <c r="I1678" s="1429"/>
      <c r="J1678" s="1429"/>
      <c r="K1678" s="1429"/>
      <c r="L1678" s="1429"/>
      <c r="M1678" s="1429"/>
      <c r="N1678" s="1429"/>
      <c r="O1678" s="1429"/>
      <c r="P1678" s="1429"/>
      <c r="Q1678" s="1424"/>
      <c r="R1678" s="1428">
        <f>R1635</f>
        <v>0</v>
      </c>
      <c r="S1678" s="1423">
        <f t="shared" si="2469"/>
        <v>0</v>
      </c>
      <c r="T1678" s="1423">
        <f t="shared" si="2470"/>
        <v>0</v>
      </c>
      <c r="U1678" s="1423">
        <f t="shared" si="2471"/>
        <v>0</v>
      </c>
      <c r="V1678" s="1423">
        <f t="shared" si="2472"/>
        <v>0</v>
      </c>
      <c r="W1678" s="1423">
        <f t="shared" si="2473"/>
        <v>0</v>
      </c>
      <c r="X1678" s="152"/>
      <c r="Y1678" s="152"/>
      <c r="Z1678" s="152"/>
      <c r="AA1678" s="152"/>
      <c r="AB1678" s="152"/>
    </row>
    <row r="1679" spans="1:28" hidden="1" outlineLevel="1">
      <c r="A1679" s="152"/>
      <c r="B1679" s="190" t="str">
        <f t="shared" ca="1" si="2474"/>
        <v>RL Capex 2031-32</v>
      </c>
      <c r="C1679" s="1429"/>
      <c r="D1679" s="1429"/>
      <c r="E1679" s="1429"/>
      <c r="F1679" s="1429"/>
      <c r="G1679" s="1429"/>
      <c r="H1679" s="1429"/>
      <c r="I1679" s="1429"/>
      <c r="J1679" s="1429"/>
      <c r="K1679" s="1429"/>
      <c r="L1679" s="1429"/>
      <c r="M1679" s="1429"/>
      <c r="N1679" s="1429"/>
      <c r="O1679" s="1429"/>
      <c r="P1679" s="1429"/>
      <c r="Q1679" s="1429"/>
      <c r="R1679" s="1424"/>
      <c r="S1679" s="1428">
        <f>S1635</f>
        <v>0</v>
      </c>
      <c r="T1679" s="1423">
        <f t="shared" si="2470"/>
        <v>0</v>
      </c>
      <c r="U1679" s="1423">
        <f t="shared" si="2471"/>
        <v>0</v>
      </c>
      <c r="V1679" s="1423">
        <f t="shared" si="2472"/>
        <v>0</v>
      </c>
      <c r="W1679" s="1423">
        <f t="shared" si="2473"/>
        <v>0</v>
      </c>
      <c r="X1679" s="152"/>
      <c r="Y1679" s="152"/>
      <c r="Z1679" s="152"/>
      <c r="AA1679" s="152"/>
      <c r="AB1679" s="152"/>
    </row>
    <row r="1680" spans="1:28" hidden="1" outlineLevel="1">
      <c r="A1680" s="152"/>
      <c r="B1680" s="190" t="str">
        <f t="shared" ca="1" si="2474"/>
        <v>RL Capex 2032-33</v>
      </c>
      <c r="C1680" s="1429"/>
      <c r="D1680" s="1429"/>
      <c r="E1680" s="1429"/>
      <c r="F1680" s="1429"/>
      <c r="G1680" s="1429"/>
      <c r="H1680" s="1429"/>
      <c r="I1680" s="1429"/>
      <c r="J1680" s="1429"/>
      <c r="K1680" s="1429"/>
      <c r="L1680" s="1429"/>
      <c r="M1680" s="1429"/>
      <c r="N1680" s="1429"/>
      <c r="O1680" s="1429"/>
      <c r="P1680" s="1429"/>
      <c r="Q1680" s="1429"/>
      <c r="R1680" s="1429"/>
      <c r="S1680" s="1424"/>
      <c r="T1680" s="1428">
        <f>T1635</f>
        <v>0</v>
      </c>
      <c r="U1680" s="1423">
        <f t="shared" si="2471"/>
        <v>0</v>
      </c>
      <c r="V1680" s="1423">
        <f t="shared" si="2472"/>
        <v>0</v>
      </c>
      <c r="W1680" s="1423">
        <f t="shared" si="2473"/>
        <v>0</v>
      </c>
      <c r="X1680" s="152"/>
      <c r="Y1680" s="152"/>
      <c r="Z1680" s="152"/>
      <c r="AA1680" s="152"/>
      <c r="AB1680" s="152"/>
    </row>
    <row r="1681" spans="1:28" hidden="1" outlineLevel="1">
      <c r="A1681" s="152"/>
      <c r="B1681" s="190" t="str">
        <f t="shared" ca="1" si="2474"/>
        <v>RL Capex 2033-34</v>
      </c>
      <c r="C1681" s="1429"/>
      <c r="D1681" s="1429"/>
      <c r="E1681" s="1429"/>
      <c r="F1681" s="1429"/>
      <c r="G1681" s="1429"/>
      <c r="H1681" s="1429"/>
      <c r="I1681" s="1429"/>
      <c r="J1681" s="1429"/>
      <c r="K1681" s="1429"/>
      <c r="L1681" s="1429"/>
      <c r="M1681" s="1429"/>
      <c r="N1681" s="1429"/>
      <c r="O1681" s="1429"/>
      <c r="P1681" s="1429"/>
      <c r="Q1681" s="1429"/>
      <c r="R1681" s="1429"/>
      <c r="S1681" s="1429"/>
      <c r="T1681" s="1424"/>
      <c r="U1681" s="1428">
        <f>U1635</f>
        <v>0</v>
      </c>
      <c r="V1681" s="1423">
        <f t="shared" si="2472"/>
        <v>0</v>
      </c>
      <c r="W1681" s="1423">
        <f t="shared" si="2473"/>
        <v>0</v>
      </c>
      <c r="X1681" s="152"/>
      <c r="Y1681" s="152"/>
      <c r="Z1681" s="152"/>
      <c r="AA1681" s="152"/>
      <c r="AB1681" s="152"/>
    </row>
    <row r="1682" spans="1:28" hidden="1" outlineLevel="1">
      <c r="A1682" s="152"/>
      <c r="B1682" s="190" t="str">
        <f t="shared" ca="1" si="2474"/>
        <v>RL Capex 2034-35</v>
      </c>
      <c r="C1682" s="1429"/>
      <c r="D1682" s="1429"/>
      <c r="E1682" s="1429"/>
      <c r="F1682" s="1429"/>
      <c r="G1682" s="1429"/>
      <c r="H1682" s="1429"/>
      <c r="I1682" s="1429"/>
      <c r="J1682" s="1429"/>
      <c r="K1682" s="1429"/>
      <c r="L1682" s="1429"/>
      <c r="M1682" s="1429"/>
      <c r="N1682" s="1429"/>
      <c r="O1682" s="1429"/>
      <c r="P1682" s="1429"/>
      <c r="Q1682" s="1429"/>
      <c r="R1682" s="1429"/>
      <c r="S1682" s="1429"/>
      <c r="T1682" s="1429"/>
      <c r="U1682" s="1424"/>
      <c r="V1682" s="1428">
        <f>V1635</f>
        <v>0</v>
      </c>
      <c r="W1682" s="1423">
        <f>IF(V1682="n/a","n/a",MAX(0,V1682-1))</f>
        <v>0</v>
      </c>
      <c r="X1682" s="152"/>
      <c r="Y1682" s="152"/>
      <c r="Z1682" s="152"/>
      <c r="AA1682" s="152"/>
      <c r="AB1682" s="152"/>
    </row>
    <row r="1683" spans="1:28" hidden="1" outlineLevel="1">
      <c r="A1683" s="152"/>
      <c r="B1683" s="190" t="str">
        <f t="shared" ca="1" si="2474"/>
        <v>RL Capex 2035-36</v>
      </c>
      <c r="C1683" s="1429"/>
      <c r="D1683" s="1429"/>
      <c r="E1683" s="1429"/>
      <c r="F1683" s="1429"/>
      <c r="G1683" s="1429"/>
      <c r="H1683" s="1429"/>
      <c r="I1683" s="1429"/>
      <c r="J1683" s="1429"/>
      <c r="K1683" s="1429"/>
      <c r="L1683" s="1429"/>
      <c r="M1683" s="1429"/>
      <c r="N1683" s="1429"/>
      <c r="O1683" s="1429"/>
      <c r="P1683" s="1429"/>
      <c r="Q1683" s="1429"/>
      <c r="R1683" s="1429"/>
      <c r="S1683" s="1429"/>
      <c r="T1683" s="1429"/>
      <c r="U1683" s="1429"/>
      <c r="V1683" s="1424"/>
      <c r="W1683" s="1423">
        <f>W1635</f>
        <v>0</v>
      </c>
      <c r="X1683" s="152"/>
      <c r="Y1683" s="152"/>
      <c r="Z1683" s="152"/>
      <c r="AA1683" s="152"/>
      <c r="AB1683" s="152"/>
    </row>
    <row r="1684" spans="1:28" hidden="1" outlineLevel="1">
      <c r="A1684" s="152"/>
      <c r="B1684" s="200"/>
      <c r="C1684" s="1423"/>
      <c r="D1684" s="1423"/>
      <c r="E1684" s="1423"/>
      <c r="F1684" s="1423"/>
      <c r="G1684" s="1423"/>
      <c r="H1684" s="1423"/>
      <c r="I1684" s="1423"/>
      <c r="J1684" s="1423"/>
      <c r="K1684" s="1423"/>
      <c r="L1684" s="1423"/>
      <c r="M1684" s="1423"/>
      <c r="N1684" s="1423"/>
      <c r="O1684" s="1423"/>
      <c r="P1684" s="1423"/>
      <c r="Q1684" s="1423"/>
      <c r="R1684" s="1423"/>
      <c r="S1684" s="1423"/>
      <c r="T1684" s="1423"/>
      <c r="U1684" s="1423"/>
      <c r="V1684" s="1423"/>
      <c r="W1684" s="1423"/>
      <c r="X1684" s="152"/>
      <c r="Y1684" s="152"/>
      <c r="Z1684" s="152"/>
      <c r="AA1684" s="152"/>
      <c r="AB1684" s="152"/>
    </row>
    <row r="1685" spans="1:28" collapsed="1">
      <c r="A1685" s="194"/>
      <c r="B1685" s="204" t="s">
        <v>123</v>
      </c>
      <c r="C1685" s="1430">
        <f ca="1">(IF(OR($C1635&lt;&gt;"n/a",C1635&lt;&gt;"n/a"),IF(SUM(C1638:C1660)=0,0,IF((SUMPRODUCT(C1638:C1660,C1662:C1684)/SUM(C1638:C1660))&lt;0,1,(SUMPRODUCT(C1638:C1660,C1662:C1684)/SUM(C1638:C1660)))),"n/a"))</f>
        <v>0</v>
      </c>
      <c r="D1685" s="1430">
        <f ca="1">(IF(OR($C1635&lt;&gt;"n/a",D1635&lt;&gt;"n/a"),IF(SUM(D1638:D1660)=0,0,IF((SUMPRODUCT(D1638:D1660,D1662:D1684)/SUM(D1638:D1660))&lt;0,1,(SUMPRODUCT(D1638:D1660,D1662:D1684)/SUM(D1638:D1660)))),"n/a"))</f>
        <v>0</v>
      </c>
      <c r="E1685" s="1430">
        <f t="shared" ref="E1685:W1685" ca="1" si="2475">(IF(OR($C1635&lt;&gt;"n/a",E1635&lt;&gt;"n/a"),IF(SUM(E1638:E1660)=0,0,IF((SUMPRODUCT(E1638:E1660,E1662:E1684)/SUM(E1638:E1660))&lt;0,1,(SUMPRODUCT(E1638:E1660,E1662:E1684)/SUM(E1638:E1660)))),"n/a"))</f>
        <v>0</v>
      </c>
      <c r="F1685" s="1430">
        <f t="shared" ca="1" si="2475"/>
        <v>0</v>
      </c>
      <c r="G1685" s="1430">
        <f t="shared" ca="1" si="2475"/>
        <v>0</v>
      </c>
      <c r="H1685" s="1430">
        <f t="shared" ca="1" si="2475"/>
        <v>0</v>
      </c>
      <c r="I1685" s="1430">
        <f t="shared" ca="1" si="2475"/>
        <v>0</v>
      </c>
      <c r="J1685" s="1430">
        <f t="shared" ca="1" si="2475"/>
        <v>0</v>
      </c>
      <c r="K1685" s="1430">
        <f t="shared" ca="1" si="2475"/>
        <v>0</v>
      </c>
      <c r="L1685" s="1430">
        <f t="shared" ca="1" si="2475"/>
        <v>0</v>
      </c>
      <c r="M1685" s="1430">
        <f t="shared" ca="1" si="2475"/>
        <v>0</v>
      </c>
      <c r="N1685" s="1430">
        <f t="shared" ca="1" si="2475"/>
        <v>0</v>
      </c>
      <c r="O1685" s="1430">
        <f t="shared" ca="1" si="2475"/>
        <v>0</v>
      </c>
      <c r="P1685" s="1430">
        <f t="shared" ca="1" si="2475"/>
        <v>0</v>
      </c>
      <c r="Q1685" s="1430">
        <f t="shared" ca="1" si="2475"/>
        <v>0</v>
      </c>
      <c r="R1685" s="1430">
        <f t="shared" ca="1" si="2475"/>
        <v>0</v>
      </c>
      <c r="S1685" s="1430">
        <f t="shared" ca="1" si="2475"/>
        <v>0</v>
      </c>
      <c r="T1685" s="1430">
        <f t="shared" ca="1" si="2475"/>
        <v>0</v>
      </c>
      <c r="U1685" s="1430">
        <f t="shared" ca="1" si="2475"/>
        <v>0</v>
      </c>
      <c r="V1685" s="1430">
        <f t="shared" ca="1" si="2475"/>
        <v>0</v>
      </c>
      <c r="W1685" s="1430">
        <f t="shared" ca="1" si="2475"/>
        <v>0</v>
      </c>
      <c r="X1685" s="152"/>
      <c r="Y1685" s="152"/>
      <c r="Z1685" s="152"/>
      <c r="AA1685" s="152"/>
      <c r="AB1685" s="152"/>
    </row>
    <row r="1686" spans="1:28">
      <c r="A1686" s="152"/>
      <c r="B1686" s="152"/>
      <c r="C1686" s="1423"/>
      <c r="D1686" s="1423"/>
      <c r="E1686" s="1423"/>
      <c r="F1686" s="1423"/>
      <c r="G1686" s="1423"/>
      <c r="H1686" s="1423"/>
      <c r="I1686" s="1423"/>
      <c r="J1686" s="1423"/>
      <c r="K1686" s="1423"/>
      <c r="L1686" s="1423"/>
      <c r="M1686" s="1423"/>
      <c r="N1686" s="1423"/>
      <c r="O1686" s="1423"/>
      <c r="P1686" s="1423"/>
      <c r="Q1686" s="1423"/>
      <c r="R1686" s="1423"/>
      <c r="S1686" s="1423"/>
      <c r="T1686" s="1423"/>
      <c r="U1686" s="1423"/>
      <c r="V1686" s="1423"/>
      <c r="W1686" s="1423"/>
      <c r="X1686" s="152"/>
      <c r="Y1686" s="152"/>
      <c r="Z1686" s="152"/>
      <c r="AA1686" s="152"/>
      <c r="AB1686" s="152"/>
    </row>
    <row r="1687" spans="1:28">
      <c r="A1687" s="269" t="s">
        <v>98</v>
      </c>
      <c r="B1687" s="270">
        <f>VLOOKUP($A1687,'RFM input'!$E$7:$F$56,2,FALSE)</f>
        <v>0</v>
      </c>
      <c r="C1687" s="1431"/>
      <c r="D1687" s="1431"/>
      <c r="E1687" s="1432"/>
      <c r="F1687" s="1432"/>
      <c r="G1687" s="1432"/>
      <c r="H1687" s="1432"/>
      <c r="I1687" s="1432"/>
      <c r="J1687" s="1432"/>
      <c r="K1687" s="1432"/>
      <c r="L1687" s="1432"/>
      <c r="M1687" s="1432"/>
      <c r="N1687" s="1432"/>
      <c r="O1687" s="1432"/>
      <c r="P1687" s="1432"/>
      <c r="Q1687" s="1432"/>
      <c r="R1687" s="1432"/>
      <c r="S1687" s="1432"/>
      <c r="T1687" s="1432"/>
      <c r="U1687" s="1432"/>
      <c r="V1687" s="1432"/>
      <c r="W1687" s="1432"/>
      <c r="X1687" s="152"/>
      <c r="Y1687" s="152"/>
      <c r="Z1687" s="152"/>
      <c r="AA1687" s="152"/>
      <c r="AB1687" s="152"/>
    </row>
    <row r="1688" spans="1:28">
      <c r="A1688" s="215">
        <f>VALUE(REPLACE(A1687,1,12,""))</f>
        <v>32</v>
      </c>
      <c r="B1688" s="193" t="s">
        <v>126</v>
      </c>
      <c r="C1688" s="1416">
        <f ca="1">IF($C$8='Capital Base roll forward'!$H$4,OFFSET('Capital Base roll forward'!$H$717,'RAB remaining lives'!A1688,0),"enter input")</f>
        <v>0</v>
      </c>
      <c r="D1688" s="1417">
        <f>IF(LEFT(D$6,4)&lt;LEFT('RFM input'!$G$60,4),"enter input",IF(LEFT(D$6,4)&gt;LEFT('RFM input'!$Q$60,4),0,INDEX('RFM input'!$G$61:$Q$110,$A1688,MATCH(D$6,'RFM input'!$G$60:$Q$60,0))
-INDEX('RFM input'!$G$115:$Q$164,$A1688,MATCH(D$6,'RFM input'!$G$60:$Q$60,0))
-INDEX('RFM input'!$G$169:$Q$218,$A1688,MATCH(D$6,'RFM input'!$G$60:$Q$60,0))))</f>
        <v>0</v>
      </c>
      <c r="E1688" s="1417">
        <f>IF(LEFT(E$6,4)&lt;LEFT('RFM input'!$G$60,4),"enter input",IF(LEFT(E$6,4)&gt;LEFT('RFM input'!$Q$60,4),0,INDEX('RFM input'!$G$61:$Q$110,$A1688,MATCH(E$6,'RFM input'!$G$60:$Q$60,0))
-INDEX('RFM input'!$G$115:$Q$164,$A1688,MATCH(E$6,'RFM input'!$G$60:$Q$60,0))
-INDEX('RFM input'!$G$169:$Q$218,$A1688,MATCH(E$6,'RFM input'!$G$60:$Q$60,0))))</f>
        <v>0</v>
      </c>
      <c r="F1688" s="1417">
        <f>IF(LEFT(F$6,4)&lt;LEFT('RFM input'!$G$60,4),"enter input",IF(LEFT(F$6,4)&gt;LEFT('RFM input'!$Q$60,4),0,INDEX('RFM input'!$G$61:$Q$110,$A1688,MATCH(F$6,'RFM input'!$G$60:$Q$60,0))
-INDEX('RFM input'!$G$115:$Q$164,$A1688,MATCH(F$6,'RFM input'!$G$60:$Q$60,0))
-INDEX('RFM input'!$G$169:$Q$218,$A1688,MATCH(F$6,'RFM input'!$G$60:$Q$60,0))))</f>
        <v>0</v>
      </c>
      <c r="G1688" s="1417">
        <f>IF(LEFT(G$6,4)&lt;LEFT('RFM input'!$G$60,4),"enter input",IF(LEFT(G$6,4)&gt;LEFT('RFM input'!$Q$60,4),0,INDEX('RFM input'!$G$61:$Q$110,$A1688,MATCH(G$6,'RFM input'!$G$60:$Q$60,0))
-INDEX('RFM input'!$G$115:$Q$164,$A1688,MATCH(G$6,'RFM input'!$G$60:$Q$60,0))
-INDEX('RFM input'!$G$169:$Q$218,$A1688,MATCH(G$6,'RFM input'!$G$60:$Q$60,0))))</f>
        <v>0</v>
      </c>
      <c r="H1688" s="1417">
        <f>IF(LEFT(H$6,4)&lt;LEFT('RFM input'!$G$60,4),"enter input",IF(LEFT(H$6,4)&gt;LEFT('RFM input'!$Q$60,4),0,INDEX('RFM input'!$G$61:$Q$110,$A1688,MATCH(H$6,'RFM input'!$G$60:$Q$60,0))
-INDEX('RFM input'!$G$115:$Q$164,$A1688,MATCH(H$6,'RFM input'!$G$60:$Q$60,0))
-INDEX('RFM input'!$G$169:$Q$218,$A1688,MATCH(H$6,'RFM input'!$G$60:$Q$60,0))))</f>
        <v>0</v>
      </c>
      <c r="I1688" s="1417">
        <f>IF(LEFT(I$6,4)&lt;LEFT('RFM input'!$G$60,4),"enter input",IF(LEFT(I$6,4)&gt;LEFT('RFM input'!$Q$60,4),0,INDEX('RFM input'!$G$61:$Q$110,$A1688,MATCH(I$6,'RFM input'!$G$60:$Q$60,0))
-INDEX('RFM input'!$G$115:$Q$164,$A1688,MATCH(I$6,'RFM input'!$G$60:$Q$60,0))
-INDEX('RFM input'!$G$169:$Q$218,$A1688,MATCH(I$6,'RFM input'!$G$60:$Q$60,0))))</f>
        <v>0</v>
      </c>
      <c r="J1688" s="1417">
        <f>IF(LEFT(J$6,4)&lt;LEFT('RFM input'!$G$60,4),"enter input",IF(LEFT(J$6,4)&gt;LEFT('RFM input'!$Q$60,4),0,INDEX('RFM input'!$G$61:$Q$110,$A1688,MATCH(J$6,'RFM input'!$G$60:$Q$60,0))
-INDEX('RFM input'!$G$115:$Q$164,$A1688,MATCH(J$6,'RFM input'!$G$60:$Q$60,0))
-INDEX('RFM input'!$G$169:$Q$218,$A1688,MATCH(J$6,'RFM input'!$G$60:$Q$60,0))))</f>
        <v>0</v>
      </c>
      <c r="K1688" s="1417">
        <f>IF(LEFT(K$6,4)&lt;LEFT('RFM input'!$G$60,4),"enter input",IF(LEFT(K$6,4)&gt;LEFT('RFM input'!$Q$60,4),0,INDEX('RFM input'!$G$61:$Q$110,$A1688,MATCH(K$6,'RFM input'!$G$60:$Q$60,0))
-INDEX('RFM input'!$G$115:$Q$164,$A1688,MATCH(K$6,'RFM input'!$G$60:$Q$60,0))
-INDEX('RFM input'!$G$169:$Q$218,$A1688,MATCH(K$6,'RFM input'!$G$60:$Q$60,0))))</f>
        <v>0</v>
      </c>
      <c r="L1688" s="1417">
        <f>IF(LEFT(L$6,4)&lt;LEFT('RFM input'!$G$60,4),"enter input",IF(LEFT(L$6,4)&gt;LEFT('RFM input'!$Q$60,4),0,INDEX('RFM input'!$G$61:$Q$110,$A1688,MATCH(L$6,'RFM input'!$G$60:$Q$60,0))
-INDEX('RFM input'!$G$115:$Q$164,$A1688,MATCH(L$6,'RFM input'!$G$60:$Q$60,0))
-INDEX('RFM input'!$G$169:$Q$218,$A1688,MATCH(L$6,'RFM input'!$G$60:$Q$60,0))))</f>
        <v>0</v>
      </c>
      <c r="M1688" s="1417">
        <f>IF(LEFT(M$6,4)&lt;LEFT('RFM input'!$G$60,4),"enter input",IF(LEFT(M$6,4)&gt;LEFT('RFM input'!$Q$60,4),0,INDEX('RFM input'!$G$61:$Q$110,$A1688,MATCH(M$6,'RFM input'!$G$60:$Q$60,0))
-INDEX('RFM input'!$G$115:$Q$164,$A1688,MATCH(M$6,'RFM input'!$G$60:$Q$60,0))
-INDEX('RFM input'!$G$169:$Q$218,$A1688,MATCH(M$6,'RFM input'!$G$60:$Q$60,0))))</f>
        <v>0</v>
      </c>
      <c r="N1688" s="1417">
        <f>IF(LEFT(N$6,4)&lt;LEFT('RFM input'!$G$60,4),"enter input",IF(LEFT(N$6,4)&gt;LEFT('RFM input'!$Q$60,4),0,INDEX('RFM input'!$G$61:$Q$110,$A1688,MATCH(N$6,'RFM input'!$G$60:$Q$60,0))
-INDEX('RFM input'!$G$115:$Q$164,$A1688,MATCH(N$6,'RFM input'!$G$60:$Q$60,0))
-INDEX('RFM input'!$G$169:$Q$218,$A1688,MATCH(N$6,'RFM input'!$G$60:$Q$60,0))))</f>
        <v>0</v>
      </c>
      <c r="O1688" s="1417">
        <f>IF(LEFT(O$6,4)&lt;LEFT('RFM input'!$G$60,4),"enter input",IF(LEFT(O$6,4)&gt;LEFT('RFM input'!$Q$60,4),0,INDEX('RFM input'!$G$61:$Q$110,$A1688,MATCH(O$6,'RFM input'!$G$60:$Q$60,0))
-INDEX('RFM input'!$G$115:$Q$164,$A1688,MATCH(O$6,'RFM input'!$G$60:$Q$60,0))
-INDEX('RFM input'!$G$169:$Q$218,$A1688,MATCH(O$6,'RFM input'!$G$60:$Q$60,0))))</f>
        <v>0</v>
      </c>
      <c r="P1688" s="1417">
        <f>IF(LEFT(P$6,4)&lt;LEFT('RFM input'!$G$60,4),"enter input",IF(LEFT(P$6,4)&gt;LEFT('RFM input'!$Q$60,4),0,INDEX('RFM input'!$G$61:$Q$110,$A1688,MATCH(P$6,'RFM input'!$G$60:$Q$60,0))
-INDEX('RFM input'!$G$115:$Q$164,$A1688,MATCH(P$6,'RFM input'!$G$60:$Q$60,0))
-INDEX('RFM input'!$G$169:$Q$218,$A1688,MATCH(P$6,'RFM input'!$G$60:$Q$60,0))))</f>
        <v>0</v>
      </c>
      <c r="Q1688" s="1417">
        <f>IF(LEFT(Q$6,4)&lt;LEFT('RFM input'!$G$60,4),"enter input",IF(LEFT(Q$6,4)&gt;LEFT('RFM input'!$Q$60,4),0,INDEX('RFM input'!$G$61:$Q$110,$A1688,MATCH(Q$6,'RFM input'!$G$60:$Q$60,0))
-INDEX('RFM input'!$G$115:$Q$164,$A1688,MATCH(Q$6,'RFM input'!$G$60:$Q$60,0))
-INDEX('RFM input'!$G$169:$Q$218,$A1688,MATCH(Q$6,'RFM input'!$G$60:$Q$60,0))))</f>
        <v>0</v>
      </c>
      <c r="R1688" s="1417">
        <f>IF(LEFT(R$6,4)&lt;LEFT('RFM input'!$G$60,4),"enter input",IF(LEFT(R$6,4)&gt;LEFT('RFM input'!$Q$60,4),0,INDEX('RFM input'!$G$61:$Q$110,$A1688,MATCH(R$6,'RFM input'!$G$60:$Q$60,0))
-INDEX('RFM input'!$G$115:$Q$164,$A1688,MATCH(R$6,'RFM input'!$G$60:$Q$60,0))
-INDEX('RFM input'!$G$169:$Q$218,$A1688,MATCH(R$6,'RFM input'!$G$60:$Q$60,0))))</f>
        <v>0</v>
      </c>
      <c r="S1688" s="1417">
        <f>IF(LEFT(S$6,4)&lt;LEFT('RFM input'!$G$60,4),"enter input",IF(LEFT(S$6,4)&gt;LEFT('RFM input'!$Q$60,4),0,INDEX('RFM input'!$G$61:$Q$110,$A1688,MATCH(S$6,'RFM input'!$G$60:$Q$60,0))
-INDEX('RFM input'!$G$115:$Q$164,$A1688,MATCH(S$6,'RFM input'!$G$60:$Q$60,0))
-INDEX('RFM input'!$G$169:$Q$218,$A1688,MATCH(S$6,'RFM input'!$G$60:$Q$60,0))))</f>
        <v>0</v>
      </c>
      <c r="T1688" s="1417">
        <f>IF(LEFT(T$6,4)&lt;LEFT('RFM input'!$G$60,4),"enter input",IF(LEFT(T$6,4)&gt;LEFT('RFM input'!$Q$60,4),0,INDEX('RFM input'!$G$61:$Q$110,$A1688,MATCH(T$6,'RFM input'!$G$60:$Q$60,0))
-INDEX('RFM input'!$G$115:$Q$164,$A1688,MATCH(T$6,'RFM input'!$G$60:$Q$60,0))
-INDEX('RFM input'!$G$169:$Q$218,$A1688,MATCH(T$6,'RFM input'!$G$60:$Q$60,0))))</f>
        <v>0</v>
      </c>
      <c r="U1688" s="1417">
        <f>IF(LEFT(U$6,4)&lt;LEFT('RFM input'!$G$60,4),"enter input",IF(LEFT(U$6,4)&gt;LEFT('RFM input'!$Q$60,4),0,INDEX('RFM input'!$G$61:$Q$110,$A1688,MATCH(U$6,'RFM input'!$G$60:$Q$60,0))
-INDEX('RFM input'!$G$115:$Q$164,$A1688,MATCH(U$6,'RFM input'!$G$60:$Q$60,0))
-INDEX('RFM input'!$G$169:$Q$218,$A1688,MATCH(U$6,'RFM input'!$G$60:$Q$60,0))))</f>
        <v>0</v>
      </c>
      <c r="V1688" s="1417">
        <f>IF(LEFT(V$6,4)&lt;LEFT('RFM input'!$G$60,4),"enter input",IF(LEFT(V$6,4)&gt;LEFT('RFM input'!$Q$60,4),0,INDEX('RFM input'!$G$61:$Q$110,$A1688,MATCH(V$6,'RFM input'!$G$60:$Q$60,0))
-INDEX('RFM input'!$G$115:$Q$164,$A1688,MATCH(V$6,'RFM input'!$G$60:$Q$60,0))
-INDEX('RFM input'!$G$169:$Q$218,$A1688,MATCH(V$6,'RFM input'!$G$60:$Q$60,0))))</f>
        <v>0</v>
      </c>
      <c r="W1688" s="1417">
        <f>IF(LEFT(W$6,4)&lt;LEFT('RFM input'!$G$60,4),"enter input",IF(LEFT(W$6,4)&gt;LEFT('RFM input'!$Q$60,4),0,INDEX('RFM input'!$G$61:$Q$110,$A1688,MATCH(W$6,'RFM input'!$G$60:$Q$60,0))
-INDEX('RFM input'!$G$115:$Q$164,$A1688,MATCH(W$6,'RFM input'!$G$60:$Q$60,0))
-INDEX('RFM input'!$G$169:$Q$218,$A1688,MATCH(W$6,'RFM input'!$G$60:$Q$60,0))))</f>
        <v>0</v>
      </c>
      <c r="X1688" s="152"/>
      <c r="Y1688" s="152"/>
      <c r="Z1688" s="152"/>
      <c r="AA1688" s="152"/>
      <c r="AB1688" s="152"/>
    </row>
    <row r="1689" spans="1:28">
      <c r="A1689" s="152"/>
      <c r="B1689" s="152" t="s">
        <v>204</v>
      </c>
      <c r="C1689" s="1418">
        <f ca="1">IF($C$8='Capital Base roll forward'!$H$4,OFFSET('RFM input'!$J$6,'RAB remaining lives'!A1688,0),"enter input")</f>
        <v>0</v>
      </c>
      <c r="D1689" s="1417">
        <f>IF(LEFT(D$6,4)&lt;=LEFT('RFM input'!$G$60,4),"enter input",IF(LEFT(D$6,4)&gt;LEFT('RFM input'!$Q$60,4),0,IF(MATCH(D$6,'RFM input'!$H$60:$Q$60,0),INDEX('RFM input'!$K$7:$K$56,$A1688,1))))</f>
        <v>0</v>
      </c>
      <c r="E1689" s="1417">
        <f>IF(LEFT(E$6,4)&lt;=LEFT('RFM input'!$G$60,4),"enter input",IF(LEFT(E$6,4)&gt;LEFT('RFM input'!$Q$60,4),0,IF(MATCH(E$6,'RFM input'!$H$60:$Q$60,0),INDEX('RFM input'!$K$7:$K$56,$A1688,1))))</f>
        <v>0</v>
      </c>
      <c r="F1689" s="1417">
        <f>IF(LEFT(F$6,4)&lt;=LEFT('RFM input'!$G$60,4),"enter input",IF(LEFT(F$6,4)&gt;LEFT('RFM input'!$Q$60,4),0,IF(MATCH(F$6,'RFM input'!$H$60:$Q$60,0),INDEX('RFM input'!$K$7:$K$56,$A1688,1))))</f>
        <v>0</v>
      </c>
      <c r="G1689" s="1417">
        <f>IF(LEFT(G$6,4)&lt;=LEFT('RFM input'!$G$60,4),"enter input",IF(LEFT(G$6,4)&gt;LEFT('RFM input'!$Q$60,4),0,IF(MATCH(G$6,'RFM input'!$H$60:$Q$60,0),INDEX('RFM input'!$K$7:$K$56,$A1688,1))))</f>
        <v>0</v>
      </c>
      <c r="H1689" s="1417">
        <f>IF(LEFT(H$6,4)&lt;=LEFT('RFM input'!$G$60,4),"enter input",IF(LEFT(H$6,4)&gt;LEFT('RFM input'!$Q$60,4),0,IF(MATCH(H$6,'RFM input'!$H$60:$Q$60,0),INDEX('RFM input'!$K$7:$K$56,$A1688,1))))</f>
        <v>0</v>
      </c>
      <c r="I1689" s="1417">
        <f>IF(LEFT(I$6,4)&lt;=LEFT('RFM input'!$G$60,4),"enter input",IF(LEFT(I$6,4)&gt;LEFT('RFM input'!$Q$60,4),0,IF(MATCH(I$6,'RFM input'!$H$60:$Q$60,0),INDEX('RFM input'!$K$7:$K$56,$A1688,1))))</f>
        <v>0</v>
      </c>
      <c r="J1689" s="1417">
        <f>IF(LEFT(J$6,4)&lt;=LEFT('RFM input'!$G$60,4),"enter input",IF(LEFT(J$6,4)&gt;LEFT('RFM input'!$Q$60,4),0,IF(MATCH(J$6,'RFM input'!$H$60:$Q$60,0),INDEX('RFM input'!$K$7:$K$56,$A1688,1))))</f>
        <v>0</v>
      </c>
      <c r="K1689" s="1417">
        <f>IF(LEFT(K$6,4)&lt;=LEFT('RFM input'!$G$60,4),"enter input",IF(LEFT(K$6,4)&gt;LEFT('RFM input'!$Q$60,4),0,IF(MATCH(K$6,'RFM input'!$H$60:$Q$60,0),INDEX('RFM input'!$K$7:$K$56,$A1688,1))))</f>
        <v>0</v>
      </c>
      <c r="L1689" s="1417">
        <f>IF(LEFT(L$6,4)&lt;=LEFT('RFM input'!$G$60,4),"enter input",IF(LEFT(L$6,4)&gt;LEFT('RFM input'!$Q$60,4),0,IF(MATCH(L$6,'RFM input'!$H$60:$Q$60,0),INDEX('RFM input'!$K$7:$K$56,$A1688,1))))</f>
        <v>0</v>
      </c>
      <c r="M1689" s="1417">
        <f>IF(LEFT(M$6,4)&lt;=LEFT('RFM input'!$G$60,4),"enter input",IF(LEFT(M$6,4)&gt;LEFT('RFM input'!$Q$60,4),0,IF(MATCH(M$6,'RFM input'!$H$60:$Q$60,0),INDEX('RFM input'!$K$7:$K$56,$A1688,1))))</f>
        <v>0</v>
      </c>
      <c r="N1689" s="1417">
        <f>IF(LEFT(N$6,4)&lt;=LEFT('RFM input'!$G$60,4),"enter input",IF(LEFT(N$6,4)&gt;LEFT('RFM input'!$Q$60,4),0,IF(MATCH(N$6,'RFM input'!$H$60:$Q$60,0),INDEX('RFM input'!$K$7:$K$56,$A1688,1))))</f>
        <v>0</v>
      </c>
      <c r="O1689" s="1417">
        <f>IF(LEFT(O$6,4)&lt;=LEFT('RFM input'!$G$60,4),"enter input",IF(LEFT(O$6,4)&gt;LEFT('RFM input'!$Q$60,4),0,IF(MATCH(O$6,'RFM input'!$H$60:$Q$60,0),INDEX('RFM input'!$K$7:$K$56,$A1688,1))))</f>
        <v>0</v>
      </c>
      <c r="P1689" s="1417">
        <f>IF(LEFT(P$6,4)&lt;=LEFT('RFM input'!$G$60,4),"enter input",IF(LEFT(P$6,4)&gt;LEFT('RFM input'!$Q$60,4),0,IF(MATCH(P$6,'RFM input'!$H$60:$Q$60,0),INDEX('RFM input'!$K$7:$K$56,$A1688,1))))</f>
        <v>0</v>
      </c>
      <c r="Q1689" s="1417">
        <f>IF(LEFT(Q$6,4)&lt;=LEFT('RFM input'!$G$60,4),"enter input",IF(LEFT(Q$6,4)&gt;LEFT('RFM input'!$Q$60,4),0,IF(MATCH(Q$6,'RFM input'!$H$60:$Q$60,0),INDEX('RFM input'!$K$7:$K$56,$A1688,1))))</f>
        <v>0</v>
      </c>
      <c r="R1689" s="1417">
        <f>IF(LEFT(R$6,4)&lt;=LEFT('RFM input'!$G$60,4),"enter input",IF(LEFT(R$6,4)&gt;LEFT('RFM input'!$Q$60,4),0,IF(MATCH(R$6,'RFM input'!$H$60:$Q$60,0),INDEX('RFM input'!$K$7:$K$56,$A1688,1))))</f>
        <v>0</v>
      </c>
      <c r="S1689" s="1417">
        <f>IF(LEFT(S$6,4)&lt;=LEFT('RFM input'!$G$60,4),"enter input",IF(LEFT(S$6,4)&gt;LEFT('RFM input'!$Q$60,4),0,IF(MATCH(S$6,'RFM input'!$H$60:$Q$60,0),INDEX('RFM input'!$K$7:$K$56,$A1688,1))))</f>
        <v>0</v>
      </c>
      <c r="T1689" s="1417">
        <f>IF(LEFT(T$6,4)&lt;=LEFT('RFM input'!$G$60,4),"enter input",IF(LEFT(T$6,4)&gt;LEFT('RFM input'!$Q$60,4),0,IF(MATCH(T$6,'RFM input'!$H$60:$Q$60,0),INDEX('RFM input'!$K$7:$K$56,$A1688,1))))</f>
        <v>0</v>
      </c>
      <c r="U1689" s="1417">
        <f>IF(LEFT(U$6,4)&lt;=LEFT('RFM input'!$G$60,4),"enter input",IF(LEFT(U$6,4)&gt;LEFT('RFM input'!$Q$60,4),0,IF(MATCH(U$6,'RFM input'!$H$60:$Q$60,0),INDEX('RFM input'!$K$7:$K$56,$A1688,1))))</f>
        <v>0</v>
      </c>
      <c r="V1689" s="1417">
        <f>IF(LEFT(V$6,4)&lt;=LEFT('RFM input'!$G$60,4),"enter input",IF(LEFT(V$6,4)&gt;LEFT('RFM input'!$Q$60,4),0,IF(MATCH(V$6,'RFM input'!$H$60:$Q$60,0),INDEX('RFM input'!$K$7:$K$56,$A1688,1))))</f>
        <v>0</v>
      </c>
      <c r="W1689" s="1417">
        <f>IF(LEFT(W$6,4)&lt;=LEFT('RFM input'!$G$60,4),"enter input",IF(LEFT(W$6,4)&gt;LEFT('RFM input'!$Q$60,4),0,IF(MATCH(W$6,'RFM input'!$H$60:$Q$60,0),INDEX('RFM input'!$K$7:$K$56,$A1688,1))))</f>
        <v>0</v>
      </c>
      <c r="X1689" s="152"/>
      <c r="Y1689" s="152"/>
      <c r="Z1689" s="152"/>
      <c r="AA1689" s="152"/>
      <c r="AB1689" s="152"/>
    </row>
    <row r="1690" spans="1:28">
      <c r="A1690" s="152"/>
      <c r="B1690" s="177" t="s">
        <v>191</v>
      </c>
      <c r="C1690" s="1419"/>
      <c r="D1690" s="1420">
        <f ca="1">IF(LEFT(D$6,4)&lt;=LEFT('RFM input'!$G$60,4),"enter input",IF(LEFT(D$6,4)&gt;LEFT('RFM input'!$Q$60,4),0,IF(D$6=(OFFSET('RFM input'!$G$60,0,'RFM input'!$V$7)),OFFSET('RFM input'!$G$411,$A1688,0),0)))</f>
        <v>0</v>
      </c>
      <c r="E1690" s="1417">
        <f ca="1">IF(LEFT(E$6,4)&lt;=LEFT('RFM input'!$G$60,4),"enter input",IF(LEFT(E$6,4)&gt;LEFT('RFM input'!$Q$60,4),0,IF(E$6=(OFFSET('RFM input'!$G$60,0,'RFM input'!$V$7)),OFFSET('RFM input'!$G$411,$A1688,0),0)))</f>
        <v>0</v>
      </c>
      <c r="F1690" s="1417">
        <f ca="1">IF(LEFT(F$6,4)&lt;=LEFT('RFM input'!$G$60,4),"enter input",IF(LEFT(F$6,4)&gt;LEFT('RFM input'!$Q$60,4),0,IF(F$6=(OFFSET('RFM input'!$G$60,0,'RFM input'!$V$7)),OFFSET('RFM input'!$G$411,$A1688,0),0)))</f>
        <v>0</v>
      </c>
      <c r="G1690" s="1417">
        <f ca="1">IF(LEFT(G$6,4)&lt;=LEFT('RFM input'!$G$60,4),"enter input",IF(LEFT(G$6,4)&gt;LEFT('RFM input'!$Q$60,4),0,IF(G$6=(OFFSET('RFM input'!$G$60,0,'RFM input'!$V$7)),OFFSET('RFM input'!$G$411,$A1688,0),0)))</f>
        <v>0</v>
      </c>
      <c r="H1690" s="1417">
        <f ca="1">IF(LEFT(H$6,4)&lt;=LEFT('RFM input'!$G$60,4),"enter input",IF(LEFT(H$6,4)&gt;LEFT('RFM input'!$Q$60,4),0,IF(H$6=(OFFSET('RFM input'!$G$60,0,'RFM input'!$V$7)),OFFSET('RFM input'!$G$411,$A1688,0),0)))</f>
        <v>0</v>
      </c>
      <c r="I1690" s="1417">
        <f ca="1">IF(LEFT(I$6,4)&lt;=LEFT('RFM input'!$G$60,4),"enter input",IF(LEFT(I$6,4)&gt;LEFT('RFM input'!$Q$60,4),0,IF(I$6=(OFFSET('RFM input'!$G$60,0,'RFM input'!$V$7)),OFFSET('RFM input'!$G$411,$A1688,0),0)))</f>
        <v>0</v>
      </c>
      <c r="J1690" s="1417">
        <f ca="1">IF(LEFT(J$6,4)&lt;=LEFT('RFM input'!$G$60,4),"enter input",IF(LEFT(J$6,4)&gt;LEFT('RFM input'!$Q$60,4),0,IF(J$6=(OFFSET('RFM input'!$G$60,0,'RFM input'!$V$7)),OFFSET('RFM input'!$G$411,$A1688,0),0)))</f>
        <v>0</v>
      </c>
      <c r="K1690" s="1417">
        <f ca="1">IF(LEFT(K$6,4)&lt;=LEFT('RFM input'!$G$60,4),"enter input",IF(LEFT(K$6,4)&gt;LEFT('RFM input'!$Q$60,4),0,IF(K$6=(OFFSET('RFM input'!$G$60,0,'RFM input'!$V$7)),OFFSET('RFM input'!$G$411,$A1688,0),0)))</f>
        <v>0</v>
      </c>
      <c r="L1690" s="1417">
        <f ca="1">IF(LEFT(L$6,4)&lt;=LEFT('RFM input'!$G$60,4),"enter input",IF(LEFT(L$6,4)&gt;LEFT('RFM input'!$Q$60,4),0,IF(L$6=(OFFSET('RFM input'!$G$60,0,'RFM input'!$V$7)),OFFSET('RFM input'!$G$411,$A1688,0),0)))</f>
        <v>0</v>
      </c>
      <c r="M1690" s="1417">
        <f ca="1">IF(LEFT(M$6,4)&lt;=LEFT('RFM input'!$G$60,4),"enter input",IF(LEFT(M$6,4)&gt;LEFT('RFM input'!$Q$60,4),0,IF(M$6=(OFFSET('RFM input'!$G$60,0,'RFM input'!$V$7)),OFFSET('RFM input'!$G$411,$A1688,0),0)))</f>
        <v>0</v>
      </c>
      <c r="N1690" s="1417">
        <f ca="1">IF(LEFT(N$6,4)&lt;=LEFT('RFM input'!$G$60,4),"enter input",IF(LEFT(N$6,4)&gt;LEFT('RFM input'!$Q$60,4),0,IF(N$6=(OFFSET('RFM input'!$G$60,0,'RFM input'!$V$7)),OFFSET('RFM input'!$G$411,$A1688,0),0)))</f>
        <v>0</v>
      </c>
      <c r="O1690" s="1417">
        <f ca="1">IF(LEFT(O$6,4)&lt;=LEFT('RFM input'!$G$60,4),"enter input",IF(LEFT(O$6,4)&gt;LEFT('RFM input'!$Q$60,4),0,IF(O$6=(OFFSET('RFM input'!$G$60,0,'RFM input'!$V$7)),OFFSET('RFM input'!$G$411,$A1688,0),0)))</f>
        <v>0</v>
      </c>
      <c r="P1690" s="1417">
        <f ca="1">IF(LEFT(P$6,4)&lt;=LEFT('RFM input'!$G$60,4),"enter input",IF(LEFT(P$6,4)&gt;LEFT('RFM input'!$Q$60,4),0,IF(P$6=(OFFSET('RFM input'!$G$60,0,'RFM input'!$V$7)),OFFSET('RFM input'!$G$411,$A1688,0),0)))</f>
        <v>0</v>
      </c>
      <c r="Q1690" s="1417">
        <f ca="1">IF(LEFT(Q$6,4)&lt;=LEFT('RFM input'!$G$60,4),"enter input",IF(LEFT(Q$6,4)&gt;LEFT('RFM input'!$Q$60,4),0,IF(Q$6=(OFFSET('RFM input'!$G$60,0,'RFM input'!$V$7)),OFFSET('RFM input'!$G$411,$A1688,0),0)))</f>
        <v>0</v>
      </c>
      <c r="R1690" s="1417">
        <f ca="1">IF(LEFT(R$6,4)&lt;=LEFT('RFM input'!$G$60,4),"enter input",IF(LEFT(R$6,4)&gt;LEFT('RFM input'!$Q$60,4),0,IF(R$6=(OFFSET('RFM input'!$G$60,0,'RFM input'!$V$7)),OFFSET('RFM input'!$G$411,$A1688,0),0)))</f>
        <v>0</v>
      </c>
      <c r="S1690" s="1417">
        <f ca="1">IF(LEFT(S$6,4)&lt;=LEFT('RFM input'!$G$60,4),"enter input",IF(LEFT(S$6,4)&gt;LEFT('RFM input'!$Q$60,4),0,IF(S$6=(OFFSET('RFM input'!$G$60,0,'RFM input'!$V$7)),OFFSET('RFM input'!$G$411,$A1688,0),0)))</f>
        <v>0</v>
      </c>
      <c r="T1690" s="1417">
        <f ca="1">IF(LEFT(T$6,4)&lt;=LEFT('RFM input'!$G$60,4),"enter input",IF(LEFT(T$6,4)&gt;LEFT('RFM input'!$Q$60,4),0,IF(T$6=(OFFSET('RFM input'!$G$60,0,'RFM input'!$V$7)),OFFSET('RFM input'!$G$411,$A1688,0),0)))</f>
        <v>0</v>
      </c>
      <c r="U1690" s="1417">
        <f ca="1">IF(LEFT(U$6,4)&lt;=LEFT('RFM input'!$G$60,4),"enter input",IF(LEFT(U$6,4)&gt;LEFT('RFM input'!$Q$60,4),0,IF(U$6=(OFFSET('RFM input'!$G$60,0,'RFM input'!$V$7)),OFFSET('RFM input'!$G$411,$A1688,0),0)))</f>
        <v>0</v>
      </c>
      <c r="V1690" s="1417">
        <f ca="1">IF(LEFT(V$6,4)&lt;=LEFT('RFM input'!$G$60,4),"enter input",IF(LEFT(V$6,4)&gt;LEFT('RFM input'!$Q$60,4),0,IF(V$6=(OFFSET('RFM input'!$G$60,0,'RFM input'!$V$7)),OFFSET('RFM input'!$G$411,$A1688,0),0)))</f>
        <v>0</v>
      </c>
      <c r="W1690" s="1417">
        <f ca="1">IF(LEFT(W$6,4)&lt;=LEFT('RFM input'!$G$60,4),"enter input",IF(LEFT(W$6,4)&gt;LEFT('RFM input'!$Q$60,4),0,IF(W$6=(OFFSET('RFM input'!$G$60,0,'RFM input'!$V$7)),OFFSET('RFM input'!$G$411,$A1688,0),0)))</f>
        <v>0</v>
      </c>
      <c r="X1690" s="152"/>
      <c r="Y1690" s="152"/>
      <c r="Z1690" s="152"/>
      <c r="AA1690" s="152"/>
      <c r="AB1690" s="152"/>
    </row>
    <row r="1691" spans="1:28">
      <c r="A1691" s="152"/>
      <c r="B1691" s="195" t="s">
        <v>197</v>
      </c>
      <c r="C1691" s="1419"/>
      <c r="D1691" s="1418">
        <f ca="1">IF(LEFT(D$6,4)&lt;=LEFT('RFM input'!$G$60,4),"enter input",IF(LEFT(D$6,4)&gt;LEFT('RFM input'!$Q$60,4),0,IF(D$6=(OFFSET('RFM input'!$G$60,0,'RFM input'!$V$7)),OFFSET('RFM input'!$I$411,$A1688,0),0)))</f>
        <v>0</v>
      </c>
      <c r="E1691" s="1422">
        <f ca="1">IF(LEFT(E$6,4)&lt;=LEFT('RFM input'!$G$60,4),"enter input",IF(LEFT(E$6,4)&gt;LEFT('RFM input'!$Q$60,4),0,IF(E$6=(OFFSET('RFM input'!$G$60,0,'RFM input'!$V$7)),OFFSET('RFM input'!$I$411,$A1688,0),0)))</f>
        <v>0</v>
      </c>
      <c r="F1691" s="1422">
        <f ca="1">IF(LEFT(F$6,4)&lt;=LEFT('RFM input'!$G$60,4),"enter input",IF(LEFT(F$6,4)&gt;LEFT('RFM input'!$Q$60,4),0,IF(F$6=(OFFSET('RFM input'!$G$60,0,'RFM input'!$V$7)),OFFSET('RFM input'!$I$411,$A1688,0),0)))</f>
        <v>0</v>
      </c>
      <c r="G1691" s="1422">
        <f ca="1">IF(LEFT(G$6,4)&lt;=LEFT('RFM input'!$G$60,4),"enter input",IF(LEFT(G$6,4)&gt;LEFT('RFM input'!$Q$60,4),0,IF(G$6=(OFFSET('RFM input'!$G$60,0,'RFM input'!$V$7)),OFFSET('RFM input'!$I$411,$A1688,0),0)))</f>
        <v>0</v>
      </c>
      <c r="H1691" s="1422">
        <f ca="1">IF(LEFT(H$6,4)&lt;=LEFT('RFM input'!$G$60,4),"enter input",IF(LEFT(H$6,4)&gt;LEFT('RFM input'!$Q$60,4),0,IF(H$6=(OFFSET('RFM input'!$G$60,0,'RFM input'!$V$7)),OFFSET('RFM input'!$I$411,$A1688,0),0)))</f>
        <v>0</v>
      </c>
      <c r="I1691" s="1422">
        <f ca="1">IF(LEFT(I$6,4)&lt;=LEFT('RFM input'!$G$60,4),"enter input",IF(LEFT(I$6,4)&gt;LEFT('RFM input'!$Q$60,4),0,IF(I$6=(OFFSET('RFM input'!$G$60,0,'RFM input'!$V$7)),OFFSET('RFM input'!$I$411,$A1688,0),0)))</f>
        <v>0</v>
      </c>
      <c r="J1691" s="1422">
        <f ca="1">IF(LEFT(J$6,4)&lt;=LEFT('RFM input'!$G$60,4),"enter input",IF(LEFT(J$6,4)&gt;LEFT('RFM input'!$Q$60,4),0,IF(J$6=(OFFSET('RFM input'!$G$60,0,'RFM input'!$V$7)),OFFSET('RFM input'!$I$411,$A1688,0),0)))</f>
        <v>0</v>
      </c>
      <c r="K1691" s="1422">
        <f ca="1">IF(LEFT(K$6,4)&lt;=LEFT('RFM input'!$G$60,4),"enter input",IF(LEFT(K$6,4)&gt;LEFT('RFM input'!$Q$60,4),0,IF(K$6=(OFFSET('RFM input'!$G$60,0,'RFM input'!$V$7)),OFFSET('RFM input'!$I$411,$A1688,0),0)))</f>
        <v>0</v>
      </c>
      <c r="L1691" s="1422">
        <f ca="1">IF(LEFT(L$6,4)&lt;=LEFT('RFM input'!$G$60,4),"enter input",IF(LEFT(L$6,4)&gt;LEFT('RFM input'!$Q$60,4),0,IF(L$6=(OFFSET('RFM input'!$G$60,0,'RFM input'!$V$7)),OFFSET('RFM input'!$I$411,$A1688,0),0)))</f>
        <v>0</v>
      </c>
      <c r="M1691" s="1422">
        <f ca="1">IF(LEFT(M$6,4)&lt;=LEFT('RFM input'!$G$60,4),"enter input",IF(LEFT(M$6,4)&gt;LEFT('RFM input'!$Q$60,4),0,IF(M$6=(OFFSET('RFM input'!$G$60,0,'RFM input'!$V$7)),OFFSET('RFM input'!$I$411,$A1688,0),0)))</f>
        <v>0</v>
      </c>
      <c r="N1691" s="1422">
        <f ca="1">IF(LEFT(N$6,4)&lt;=LEFT('RFM input'!$G$60,4),"enter input",IF(LEFT(N$6,4)&gt;LEFT('RFM input'!$Q$60,4),0,IF(N$6=(OFFSET('RFM input'!$G$60,0,'RFM input'!$V$7)),OFFSET('RFM input'!$I$411,$A1688,0),0)))</f>
        <v>0</v>
      </c>
      <c r="O1691" s="1422">
        <f ca="1">IF(LEFT(O$6,4)&lt;=LEFT('RFM input'!$G$60,4),"enter input",IF(LEFT(O$6,4)&gt;LEFT('RFM input'!$Q$60,4),0,IF(O$6=(OFFSET('RFM input'!$G$60,0,'RFM input'!$V$7)),OFFSET('RFM input'!$I$411,$A1688,0),0)))</f>
        <v>0</v>
      </c>
      <c r="P1691" s="1422">
        <f ca="1">IF(LEFT(P$6,4)&lt;=LEFT('RFM input'!$G$60,4),"enter input",IF(LEFT(P$6,4)&gt;LEFT('RFM input'!$Q$60,4),0,IF(P$6=(OFFSET('RFM input'!$G$60,0,'RFM input'!$V$7)),OFFSET('RFM input'!$I$411,$A1688,0),0)))</f>
        <v>0</v>
      </c>
      <c r="Q1691" s="1422">
        <f ca="1">IF(LEFT(Q$6,4)&lt;=LEFT('RFM input'!$G$60,4),"enter input",IF(LEFT(Q$6,4)&gt;LEFT('RFM input'!$Q$60,4),0,IF(Q$6=(OFFSET('RFM input'!$G$60,0,'RFM input'!$V$7)),OFFSET('RFM input'!$I$411,$A1688,0),0)))</f>
        <v>0</v>
      </c>
      <c r="R1691" s="1422">
        <f ca="1">IF(LEFT(R$6,4)&lt;=LEFT('RFM input'!$G$60,4),"enter input",IF(LEFT(R$6,4)&gt;LEFT('RFM input'!$Q$60,4),0,IF(R$6=(OFFSET('RFM input'!$G$60,0,'RFM input'!$V$7)),OFFSET('RFM input'!$I$411,$A1688,0),0)))</f>
        <v>0</v>
      </c>
      <c r="S1691" s="1422">
        <f ca="1">IF(LEFT(S$6,4)&lt;=LEFT('RFM input'!$G$60,4),"enter input",IF(LEFT(S$6,4)&gt;LEFT('RFM input'!$Q$60,4),0,IF(S$6=(OFFSET('RFM input'!$G$60,0,'RFM input'!$V$7)),OFFSET('RFM input'!$I$411,$A1688,0),0)))</f>
        <v>0</v>
      </c>
      <c r="T1691" s="1422">
        <f ca="1">IF(LEFT(T$6,4)&lt;=LEFT('RFM input'!$G$60,4),"enter input",IF(LEFT(T$6,4)&gt;LEFT('RFM input'!$Q$60,4),0,IF(T$6=(OFFSET('RFM input'!$G$60,0,'RFM input'!$V$7)),OFFSET('RFM input'!$I$411,$A1688,0),0)))</f>
        <v>0</v>
      </c>
      <c r="U1691" s="1422">
        <f ca="1">IF(LEFT(U$6,4)&lt;=LEFT('RFM input'!$G$60,4),"enter input",IF(LEFT(U$6,4)&gt;LEFT('RFM input'!$Q$60,4),0,IF(U$6=(OFFSET('RFM input'!$G$60,0,'RFM input'!$V$7)),OFFSET('RFM input'!$I$411,$A1688,0),0)))</f>
        <v>0</v>
      </c>
      <c r="V1691" s="1422">
        <f ca="1">IF(LEFT(V$6,4)&lt;=LEFT('RFM input'!$G$60,4),"enter input",IF(LEFT(V$6,4)&gt;LEFT('RFM input'!$Q$60,4),0,IF(V$6=(OFFSET('RFM input'!$G$60,0,'RFM input'!$V$7)),OFFSET('RFM input'!$I$411,$A1688,0),0)))</f>
        <v>0</v>
      </c>
      <c r="W1691" s="1422">
        <f ca="1">IF(LEFT(W$6,4)&lt;=LEFT('RFM input'!$G$60,4),"enter input",IF(LEFT(W$6,4)&gt;LEFT('RFM input'!$Q$60,4),0,IF(W$6=(OFFSET('RFM input'!$G$60,0,'RFM input'!$V$7)),OFFSET('RFM input'!$I$411,$A1688,0),0)))</f>
        <v>0</v>
      </c>
      <c r="X1691" s="152"/>
      <c r="Y1691" s="152"/>
      <c r="Z1691" s="152"/>
      <c r="AA1691" s="152"/>
      <c r="AB1691" s="152"/>
    </row>
    <row r="1692" spans="1:28" hidden="1" outlineLevel="1">
      <c r="A1692" s="235">
        <v>-1</v>
      </c>
      <c r="B1692" s="190" t="s">
        <v>189</v>
      </c>
      <c r="C1692" s="1423"/>
      <c r="D1692" s="1423">
        <f ca="1">IF(AND(D1690=0,C1692=0),0,
IF(AND(D1690&lt;&gt;0,C1692=0),(D1690/D$10),
IF(AND(D1691&lt;&gt;0,C1692&lt;&gt;0),(C1692-(C1692/C1716))+(D1690/D$10),
IF(C1716&lt;1,0,(C1692-(C1692/C1716))))))</f>
        <v>0</v>
      </c>
      <c r="E1692" s="1423">
        <f t="shared" ref="E1692" ca="1" si="2476">IF(AND(E1690=0,D1692=0),0,
IF(AND(E1690&lt;&gt;0,D1692=0),(E1690/E$10),
IF(AND(E1691&lt;&gt;0,D1692&lt;&gt;0),(D1692-(D1692/D1716))+(E1690/E$10),
IF(D1716&lt;1,0,(D1692-(D1692/D1716))))))</f>
        <v>0</v>
      </c>
      <c r="F1692" s="1423">
        <f t="shared" ref="F1692" ca="1" si="2477">IF(AND(F1690=0,E1692=0),0,
IF(AND(F1690&lt;&gt;0,E1692=0),(F1690/F$10),
IF(AND(F1691&lt;&gt;0,E1692&lt;&gt;0),(E1692-(E1692/E1716))+(F1690/F$10),
IF(E1716&lt;1,0,(E1692-(E1692/E1716))))))</f>
        <v>0</v>
      </c>
      <c r="G1692" s="1423">
        <f t="shared" ref="G1692" ca="1" si="2478">IF(AND(G1690=0,F1692=0),0,
IF(AND(G1690&lt;&gt;0,F1692=0),(G1690/G$10),
IF(AND(G1691&lt;&gt;0,F1692&lt;&gt;0),(F1692-(F1692/F1716))+(G1690/G$10),
IF(F1716&lt;1,0,(F1692-(F1692/F1716))))))</f>
        <v>0</v>
      </c>
      <c r="H1692" s="1423">
        <f t="shared" ref="H1692" ca="1" si="2479">IF(AND(H1690=0,G1692=0),0,
IF(AND(H1690&lt;&gt;0,G1692=0),(H1690/H$10),
IF(AND(H1691&lt;&gt;0,G1692&lt;&gt;0),(G1692-(G1692/G1716))+(H1690/H$10),
IF(G1716&lt;1,0,(G1692-(G1692/G1716))))))</f>
        <v>0</v>
      </c>
      <c r="I1692" s="1423">
        <f t="shared" ref="I1692" ca="1" si="2480">IF(AND(I1690=0,H1692=0),0,
IF(AND(I1690&lt;&gt;0,H1692=0),(I1690/I$10),
IF(AND(I1691&lt;&gt;0,H1692&lt;&gt;0),(H1692-(H1692/H1716))+(I1690/I$10),
IF(H1716&lt;1,0,(H1692-(H1692/H1716))))))</f>
        <v>0</v>
      </c>
      <c r="J1692" s="1423">
        <f t="shared" ref="J1692" ca="1" si="2481">IF(AND(J1690=0,I1692=0),0,
IF(AND(J1690&lt;&gt;0,I1692=0),(J1690/J$10),
IF(AND(J1691&lt;&gt;0,I1692&lt;&gt;0),(I1692-(I1692/I1716))+(J1690/J$10),
IF(I1716&lt;1,0,(I1692-(I1692/I1716))))))</f>
        <v>0</v>
      </c>
      <c r="K1692" s="1423">
        <f t="shared" ref="K1692" ca="1" si="2482">IF(AND(K1690=0,J1692=0),0,
IF(AND(K1690&lt;&gt;0,J1692=0),(K1690/K$10),
IF(AND(K1691&lt;&gt;0,J1692&lt;&gt;0),(J1692-(J1692/J1716))+(K1690/K$10),
IF(J1716&lt;1,0,(J1692-(J1692/J1716))))))</f>
        <v>0</v>
      </c>
      <c r="L1692" s="1423">
        <f t="shared" ref="L1692" ca="1" si="2483">IF(AND(L1690=0,K1692=0),0,
IF(AND(L1690&lt;&gt;0,K1692=0),(L1690/L$10),
IF(AND(L1691&lt;&gt;0,K1692&lt;&gt;0),(K1692-(K1692/K1716))+(L1690/L$10),
IF(K1716&lt;1,0,(K1692-(K1692/K1716))))))</f>
        <v>0</v>
      </c>
      <c r="M1692" s="1423">
        <f t="shared" ref="M1692" ca="1" si="2484">IF(AND(M1690=0,L1692=0),0,
IF(AND(M1690&lt;&gt;0,L1692=0),(M1690/M$10),
IF(AND(M1691&lt;&gt;0,L1692&lt;&gt;0),(L1692-(L1692/L1716))+(M1690/M$10),
IF(L1716&lt;1,0,(L1692-(L1692/L1716))))))</f>
        <v>0</v>
      </c>
      <c r="N1692" s="1423">
        <f t="shared" ref="N1692" ca="1" si="2485">IF(AND(N1690=0,M1692=0),0,
IF(AND(N1690&lt;&gt;0,M1692=0),(N1690/N$10),
IF(AND(N1691&lt;&gt;0,M1692&lt;&gt;0),(M1692-(M1692/M1716))+(N1690/N$10),
IF(M1716&lt;1,0,(M1692-(M1692/M1716))))))</f>
        <v>0</v>
      </c>
      <c r="O1692" s="1423">
        <f t="shared" ref="O1692" ca="1" si="2486">IF(AND(O1690=0,N1692=0),0,
IF(AND(O1690&lt;&gt;0,N1692=0),(O1690/O$10),
IF(AND(O1691&lt;&gt;0,N1692&lt;&gt;0),(N1692-(N1692/N1716))+(O1690/O$10),
IF(N1716&lt;1,0,(N1692-(N1692/N1716))))))</f>
        <v>0</v>
      </c>
      <c r="P1692" s="1423">
        <f t="shared" ref="P1692" ca="1" si="2487">IF(AND(P1690=0,O1692=0),0,
IF(AND(P1690&lt;&gt;0,O1692=0),(P1690/P$10),
IF(AND(P1691&lt;&gt;0,O1692&lt;&gt;0),(O1692-(O1692/O1716))+(P1690/P$10),
IF(O1716&lt;1,0,(O1692-(O1692/O1716))))))</f>
        <v>0</v>
      </c>
      <c r="Q1692" s="1423">
        <f t="shared" ref="Q1692" ca="1" si="2488">IF(AND(Q1690=0,P1692=0),0,
IF(AND(Q1690&lt;&gt;0,P1692=0),(Q1690/Q$10),
IF(AND(Q1691&lt;&gt;0,P1692&lt;&gt;0),(P1692-(P1692/P1716))+(Q1690/Q$10),
IF(P1716&lt;1,0,(P1692-(P1692/P1716))))))</f>
        <v>0</v>
      </c>
      <c r="R1692" s="1423">
        <f t="shared" ref="R1692" ca="1" si="2489">IF(AND(R1690=0,Q1692=0),0,
IF(AND(R1690&lt;&gt;0,Q1692=0),(R1690/R$10),
IF(AND(R1691&lt;&gt;0,Q1692&lt;&gt;0),(Q1692-(Q1692/Q1716))+(R1690/R$10),
IF(Q1716&lt;1,0,(Q1692-(Q1692/Q1716))))))</f>
        <v>0</v>
      </c>
      <c r="S1692" s="1423">
        <f t="shared" ref="S1692" ca="1" si="2490">IF(AND(S1690=0,R1692=0),0,
IF(AND(S1690&lt;&gt;0,R1692=0),(S1690/S$10),
IF(AND(S1691&lt;&gt;0,R1692&lt;&gt;0),(R1692-(R1692/R1716))+(S1690/S$10),
IF(R1716&lt;1,0,(R1692-(R1692/R1716))))))</f>
        <v>0</v>
      </c>
      <c r="T1692" s="1423">
        <f t="shared" ref="T1692" ca="1" si="2491">IF(AND(T1690=0,S1692=0),0,
IF(AND(T1690&lt;&gt;0,S1692=0),(T1690/T$10),
IF(AND(T1691&lt;&gt;0,S1692&lt;&gt;0),(S1692-(S1692/S1716))+(T1690/T$10),
IF(S1716&lt;1,0,(S1692-(S1692/S1716))))))</f>
        <v>0</v>
      </c>
      <c r="U1692" s="1423">
        <f t="shared" ref="U1692" ca="1" si="2492">IF(AND(U1690=0,T1692=0),0,
IF(AND(U1690&lt;&gt;0,T1692=0),(U1690/U$10),
IF(AND(U1691&lt;&gt;0,T1692&lt;&gt;0),(T1692-(T1692/T1716))+(U1690/U$10),
IF(T1716&lt;1,0,(T1692-(T1692/T1716))))))</f>
        <v>0</v>
      </c>
      <c r="V1692" s="1423">
        <f t="shared" ref="V1692" ca="1" si="2493">IF(AND(V1690=0,U1692=0),0,
IF(AND(V1690&lt;&gt;0,U1692=0),(V1690/V$10),
IF(AND(V1691&lt;&gt;0,U1692&lt;&gt;0),(U1692-(U1692/U1716))+(V1690/V$10),
IF(U1716&lt;1,0,(U1692-(U1692/U1716))))))</f>
        <v>0</v>
      </c>
      <c r="W1692" s="1423">
        <f t="shared" ref="W1692" ca="1" si="2494">IF(AND(W1690=0,V1692=0),0,
IF(AND(W1690&lt;&gt;0,V1692=0),(W1690/W$10),
IF(AND(W1691&lt;&gt;0,V1692&lt;&gt;0),(V1692-(V1692/V1716))+(W1690/W$10),
IF(V1716&lt;1,0,(V1692-(V1692/V1716))))))</f>
        <v>0</v>
      </c>
      <c r="X1692" s="152"/>
      <c r="Y1692" s="152"/>
      <c r="Z1692" s="152"/>
      <c r="AA1692" s="152"/>
      <c r="AB1692" s="152"/>
    </row>
    <row r="1693" spans="1:28" hidden="1" outlineLevel="1">
      <c r="A1693" s="199">
        <f>A1692+1</f>
        <v>0</v>
      </c>
      <c r="B1693" s="190" t="s">
        <v>125</v>
      </c>
      <c r="C1693" s="1423">
        <f ca="1">C1688/C$10</f>
        <v>0</v>
      </c>
      <c r="D1693" s="1423">
        <f ca="1">IF(C1717="n/a",C1693,IFERROR(IF((OFFSET($C1693,0,$A1693))&lt;0,
MIN(0,C1693-(OFFSET($C1693,0,$A1693)/(OFFSET($C1688,-$A1692,$A1693)))),
MAX(0,C1693-(OFFSET($C1693,0,$A1693)/(OFFSET($C1688,-$A1692,$A1693))))),0))</f>
        <v>0</v>
      </c>
      <c r="E1693" s="1423">
        <f t="shared" ref="E1693" ca="1" si="2495">IF(D1717="n/a",D1693,IFERROR(IF((OFFSET($C1693,0,$A1693))&lt;0,
MIN(0,D1693-(OFFSET($C1693,0,$A1693)/(OFFSET($C1688,-$A1692,$A1693)))),
MAX(0,D1693-(OFFSET($C1693,0,$A1693)/(OFFSET($C1688,-$A1692,$A1693))))),0))</f>
        <v>0</v>
      </c>
      <c r="F1693" s="1423">
        <f t="shared" ref="F1693:F1694" ca="1" si="2496">IF(E1717="n/a",E1693,IFERROR(IF((OFFSET($C1693,0,$A1693))&lt;0,
MIN(0,E1693-(OFFSET($C1693,0,$A1693)/(OFFSET($C1688,-$A1692,$A1693)))),
MAX(0,E1693-(OFFSET($C1693,0,$A1693)/(OFFSET($C1688,-$A1692,$A1693))))),0))</f>
        <v>0</v>
      </c>
      <c r="G1693" s="1423">
        <f t="shared" ref="G1693:G1695" ca="1" si="2497">IF(F1717="n/a",F1693,IFERROR(IF((OFFSET($C1693,0,$A1693))&lt;0,
MIN(0,F1693-(OFFSET($C1693,0,$A1693)/(OFFSET($C1688,-$A1692,$A1693)))),
MAX(0,F1693-(OFFSET($C1693,0,$A1693)/(OFFSET($C1688,-$A1692,$A1693))))),0))</f>
        <v>0</v>
      </c>
      <c r="H1693" s="1423">
        <f t="shared" ref="H1693:H1696" ca="1" si="2498">IF(G1717="n/a",G1693,IFERROR(IF((OFFSET($C1693,0,$A1693))&lt;0,
MIN(0,G1693-(OFFSET($C1693,0,$A1693)/(OFFSET($C1688,-$A1692,$A1693)))),
MAX(0,G1693-(OFFSET($C1693,0,$A1693)/(OFFSET($C1688,-$A1692,$A1693))))),0))</f>
        <v>0</v>
      </c>
      <c r="I1693" s="1423">
        <f t="shared" ref="I1693:I1697" ca="1" si="2499">IF(H1717="n/a",H1693,IFERROR(IF((OFFSET($C1693,0,$A1693))&lt;0,
MIN(0,H1693-(OFFSET($C1693,0,$A1693)/(OFFSET($C1688,-$A1692,$A1693)))),
MAX(0,H1693-(OFFSET($C1693,0,$A1693)/(OFFSET($C1688,-$A1692,$A1693))))),0))</f>
        <v>0</v>
      </c>
      <c r="J1693" s="1423">
        <f t="shared" ref="J1693:J1698" ca="1" si="2500">IF(I1717="n/a",I1693,IFERROR(IF((OFFSET($C1693,0,$A1693))&lt;0,
MIN(0,I1693-(OFFSET($C1693,0,$A1693)/(OFFSET($C1688,-$A1692,$A1693)))),
MAX(0,I1693-(OFFSET($C1693,0,$A1693)/(OFFSET($C1688,-$A1692,$A1693))))),0))</f>
        <v>0</v>
      </c>
      <c r="K1693" s="1423">
        <f t="shared" ref="K1693:K1699" ca="1" si="2501">IF(J1717="n/a",J1693,IFERROR(IF((OFFSET($C1693,0,$A1693))&lt;0,
MIN(0,J1693-(OFFSET($C1693,0,$A1693)/(OFFSET($C1688,-$A1692,$A1693)))),
MAX(0,J1693-(OFFSET($C1693,0,$A1693)/(OFFSET($C1688,-$A1692,$A1693))))),0))</f>
        <v>0</v>
      </c>
      <c r="L1693" s="1423">
        <f t="shared" ref="L1693:L1700" ca="1" si="2502">IF(K1717="n/a",K1693,IFERROR(IF((OFFSET($C1693,0,$A1693))&lt;0,
MIN(0,K1693-(OFFSET($C1693,0,$A1693)/(OFFSET($C1688,-$A1692,$A1693)))),
MAX(0,K1693-(OFFSET($C1693,0,$A1693)/(OFFSET($C1688,-$A1692,$A1693))))),0))</f>
        <v>0</v>
      </c>
      <c r="M1693" s="1423">
        <f t="shared" ref="M1693:M1701" ca="1" si="2503">IF(L1717="n/a",L1693,IFERROR(IF((OFFSET($C1693,0,$A1693))&lt;0,
MIN(0,L1693-(OFFSET($C1693,0,$A1693)/(OFFSET($C1688,-$A1692,$A1693)))),
MAX(0,L1693-(OFFSET($C1693,0,$A1693)/(OFFSET($C1688,-$A1692,$A1693))))),0))</f>
        <v>0</v>
      </c>
      <c r="N1693" s="1423">
        <f t="shared" ref="N1693:N1702" ca="1" si="2504">IF(M1717="n/a",M1693,IFERROR(IF((OFFSET($C1693,0,$A1693))&lt;0,
MIN(0,M1693-(OFFSET($C1693,0,$A1693)/(OFFSET($C1688,-$A1692,$A1693)))),
MAX(0,M1693-(OFFSET($C1693,0,$A1693)/(OFFSET($C1688,-$A1692,$A1693))))),0))</f>
        <v>0</v>
      </c>
      <c r="O1693" s="1423">
        <f t="shared" ref="O1693:O1703" ca="1" si="2505">IF(N1717="n/a",N1693,IFERROR(IF((OFFSET($C1693,0,$A1693))&lt;0,
MIN(0,N1693-(OFFSET($C1693,0,$A1693)/(OFFSET($C1688,-$A1692,$A1693)))),
MAX(0,N1693-(OFFSET($C1693,0,$A1693)/(OFFSET($C1688,-$A1692,$A1693))))),0))</f>
        <v>0</v>
      </c>
      <c r="P1693" s="1423">
        <f t="shared" ref="P1693:P1704" ca="1" si="2506">IF(O1717="n/a",O1693,IFERROR(IF((OFFSET($C1693,0,$A1693))&lt;0,
MIN(0,O1693-(OFFSET($C1693,0,$A1693)/(OFFSET($C1688,-$A1692,$A1693)))),
MAX(0,O1693-(OFFSET($C1693,0,$A1693)/(OFFSET($C1688,-$A1692,$A1693))))),0))</f>
        <v>0</v>
      </c>
      <c r="Q1693" s="1423">
        <f t="shared" ref="Q1693:Q1705" ca="1" si="2507">IF(P1717="n/a",P1693,IFERROR(IF((OFFSET($C1693,0,$A1693))&lt;0,
MIN(0,P1693-(OFFSET($C1693,0,$A1693)/(OFFSET($C1688,-$A1692,$A1693)))),
MAX(0,P1693-(OFFSET($C1693,0,$A1693)/(OFFSET($C1688,-$A1692,$A1693))))),0))</f>
        <v>0</v>
      </c>
      <c r="R1693" s="1423">
        <f t="shared" ref="R1693:R1706" ca="1" si="2508">IF(Q1717="n/a",Q1693,IFERROR(IF((OFFSET($C1693,0,$A1693))&lt;0,
MIN(0,Q1693-(OFFSET($C1693,0,$A1693)/(OFFSET($C1688,-$A1692,$A1693)))),
MAX(0,Q1693-(OFFSET($C1693,0,$A1693)/(OFFSET($C1688,-$A1692,$A1693))))),0))</f>
        <v>0</v>
      </c>
      <c r="S1693" s="1423">
        <f t="shared" ref="S1693:S1707" ca="1" si="2509">IF(R1717="n/a",R1693,IFERROR(IF((OFFSET($C1693,0,$A1693))&lt;0,
MIN(0,R1693-(OFFSET($C1693,0,$A1693)/(OFFSET($C1688,-$A1692,$A1693)))),
MAX(0,R1693-(OFFSET($C1693,0,$A1693)/(OFFSET($C1688,-$A1692,$A1693))))),0))</f>
        <v>0</v>
      </c>
      <c r="T1693" s="1423">
        <f t="shared" ref="T1693:T1708" ca="1" si="2510">IF(S1717="n/a",S1693,IFERROR(IF((OFFSET($C1693,0,$A1693))&lt;0,
MIN(0,S1693-(OFFSET($C1693,0,$A1693)/(OFFSET($C1688,-$A1692,$A1693)))),
MAX(0,S1693-(OFFSET($C1693,0,$A1693)/(OFFSET($C1688,-$A1692,$A1693))))),0))</f>
        <v>0</v>
      </c>
      <c r="U1693" s="1423">
        <f t="shared" ref="U1693:U1709" ca="1" si="2511">IF(T1717="n/a",T1693,IFERROR(IF((OFFSET($C1693,0,$A1693))&lt;0,
MIN(0,T1693-(OFFSET($C1693,0,$A1693)/(OFFSET($C1688,-$A1692,$A1693)))),
MAX(0,T1693-(OFFSET($C1693,0,$A1693)/(OFFSET($C1688,-$A1692,$A1693))))),0))</f>
        <v>0</v>
      </c>
      <c r="V1693" s="1423">
        <f t="shared" ref="V1693:V1710" ca="1" si="2512">IF(U1717="n/a",U1693,IFERROR(IF((OFFSET($C1693,0,$A1693))&lt;0,
MIN(0,U1693-(OFFSET($C1693,0,$A1693)/(OFFSET($C1688,-$A1692,$A1693)))),
MAX(0,U1693-(OFFSET($C1693,0,$A1693)/(OFFSET($C1688,-$A1692,$A1693))))),0))</f>
        <v>0</v>
      </c>
      <c r="W1693" s="1423">
        <f t="shared" ref="W1693:W1711" ca="1" si="2513">IF(V1717="n/a",V1693,IFERROR(IF((OFFSET($C1693,0,$A1693))&lt;0,
MIN(0,V1693-(OFFSET($C1693,0,$A1693)/(OFFSET($C1688,-$A1692,$A1693)))),
MAX(0,V1693-(OFFSET($C1693,0,$A1693)/(OFFSET($C1688,-$A1692,$A1693))))),0))</f>
        <v>0</v>
      </c>
      <c r="X1693" s="152"/>
      <c r="Y1693" s="152"/>
      <c r="Z1693" s="152"/>
      <c r="AA1693" s="152"/>
      <c r="AB1693" s="152"/>
    </row>
    <row r="1694" spans="1:28" hidden="1" outlineLevel="1">
      <c r="A1694" s="199">
        <f t="shared" ref="A1694:A1713" si="2514">A1693+1</f>
        <v>1</v>
      </c>
      <c r="B1694" s="190" t="str">
        <f t="shared" ref="B1694:B1712" ca="1" si="2515">"Depreciated Net Capex "&amp;OFFSET($C$6,0,A1694)</f>
        <v>Depreciated Net Capex 2016-17</v>
      </c>
      <c r="C1694" s="1424"/>
      <c r="D1694" s="1425">
        <f>(D1688*((1+D$11)^0.5)/D$10)</f>
        <v>0</v>
      </c>
      <c r="E1694" s="1423">
        <f ca="1">IF(D1718="n/a",D1694,IFERROR(IF((OFFSET($C1694,0,$A1694))&lt;0,
MIN(0,D1694-(OFFSET($C1694,0,$A1694)/(OFFSET($C1689,-$A1693,$A1694)))),
MAX(0,D1694-(OFFSET($C1694,0,$A1694)/(OFFSET($C1689,-$A1693,$A1694))))),0))</f>
        <v>0</v>
      </c>
      <c r="F1694" s="1423">
        <f t="shared" ca="1" si="2496"/>
        <v>0</v>
      </c>
      <c r="G1694" s="1423">
        <f t="shared" ca="1" si="2497"/>
        <v>0</v>
      </c>
      <c r="H1694" s="1423">
        <f t="shared" ca="1" si="2498"/>
        <v>0</v>
      </c>
      <c r="I1694" s="1423">
        <f t="shared" ca="1" si="2499"/>
        <v>0</v>
      </c>
      <c r="J1694" s="1423">
        <f t="shared" ca="1" si="2500"/>
        <v>0</v>
      </c>
      <c r="K1694" s="1423">
        <f t="shared" ca="1" si="2501"/>
        <v>0</v>
      </c>
      <c r="L1694" s="1423">
        <f t="shared" ca="1" si="2502"/>
        <v>0</v>
      </c>
      <c r="M1694" s="1423">
        <f t="shared" ca="1" si="2503"/>
        <v>0</v>
      </c>
      <c r="N1694" s="1423">
        <f t="shared" ca="1" si="2504"/>
        <v>0</v>
      </c>
      <c r="O1694" s="1423">
        <f t="shared" ca="1" si="2505"/>
        <v>0</v>
      </c>
      <c r="P1694" s="1423">
        <f t="shared" ca="1" si="2506"/>
        <v>0</v>
      </c>
      <c r="Q1694" s="1423">
        <f t="shared" ca="1" si="2507"/>
        <v>0</v>
      </c>
      <c r="R1694" s="1423">
        <f t="shared" ca="1" si="2508"/>
        <v>0</v>
      </c>
      <c r="S1694" s="1423">
        <f t="shared" ca="1" si="2509"/>
        <v>0</v>
      </c>
      <c r="T1694" s="1423">
        <f t="shared" ca="1" si="2510"/>
        <v>0</v>
      </c>
      <c r="U1694" s="1423">
        <f t="shared" ca="1" si="2511"/>
        <v>0</v>
      </c>
      <c r="V1694" s="1423">
        <f t="shared" ca="1" si="2512"/>
        <v>0</v>
      </c>
      <c r="W1694" s="1423">
        <f t="shared" ca="1" si="2513"/>
        <v>0</v>
      </c>
      <c r="X1694" s="152"/>
      <c r="Y1694" s="152"/>
      <c r="Z1694" s="152"/>
      <c r="AA1694" s="152"/>
      <c r="AB1694" s="152"/>
    </row>
    <row r="1695" spans="1:28" hidden="1" outlineLevel="1">
      <c r="A1695" s="199">
        <f t="shared" si="2514"/>
        <v>2</v>
      </c>
      <c r="B1695" s="190" t="str">
        <f t="shared" ca="1" si="2515"/>
        <v>Depreciated Net Capex 2017-18</v>
      </c>
      <c r="C1695" s="1426"/>
      <c r="D1695" s="1427"/>
      <c r="E1695" s="1425">
        <f>(E1688*((1+E$11)^0.5)/E$10)</f>
        <v>0</v>
      </c>
      <c r="F1695" s="1423">
        <f ca="1">IF(E1719="n/a",E1695,IFERROR(IF((OFFSET($C1695,0,$A1695))&lt;0,
MIN(0,E1695-(OFFSET($C1695,0,$A1695)/(OFFSET($C1690,-$A1694,$A1695)))),
MAX(0,E1695-(OFFSET($C1695,0,$A1695)/(OFFSET($C1690,-$A1694,$A1695))))),0))</f>
        <v>0</v>
      </c>
      <c r="G1695" s="1423">
        <f t="shared" ca="1" si="2497"/>
        <v>0</v>
      </c>
      <c r="H1695" s="1423">
        <f t="shared" ca="1" si="2498"/>
        <v>0</v>
      </c>
      <c r="I1695" s="1423">
        <f t="shared" ca="1" si="2499"/>
        <v>0</v>
      </c>
      <c r="J1695" s="1423">
        <f t="shared" ca="1" si="2500"/>
        <v>0</v>
      </c>
      <c r="K1695" s="1423">
        <f t="shared" ca="1" si="2501"/>
        <v>0</v>
      </c>
      <c r="L1695" s="1423">
        <f t="shared" ca="1" si="2502"/>
        <v>0</v>
      </c>
      <c r="M1695" s="1423">
        <f t="shared" ca="1" si="2503"/>
        <v>0</v>
      </c>
      <c r="N1695" s="1423">
        <f t="shared" ca="1" si="2504"/>
        <v>0</v>
      </c>
      <c r="O1695" s="1423">
        <f t="shared" ca="1" si="2505"/>
        <v>0</v>
      </c>
      <c r="P1695" s="1423">
        <f t="shared" ca="1" si="2506"/>
        <v>0</v>
      </c>
      <c r="Q1695" s="1423">
        <f t="shared" ca="1" si="2507"/>
        <v>0</v>
      </c>
      <c r="R1695" s="1423">
        <f t="shared" ca="1" si="2508"/>
        <v>0</v>
      </c>
      <c r="S1695" s="1423">
        <f t="shared" ca="1" si="2509"/>
        <v>0</v>
      </c>
      <c r="T1695" s="1423">
        <f t="shared" ca="1" si="2510"/>
        <v>0</v>
      </c>
      <c r="U1695" s="1423">
        <f t="shared" ca="1" si="2511"/>
        <v>0</v>
      </c>
      <c r="V1695" s="1423">
        <f t="shared" ca="1" si="2512"/>
        <v>0</v>
      </c>
      <c r="W1695" s="1423">
        <f t="shared" ca="1" si="2513"/>
        <v>0</v>
      </c>
      <c r="X1695" s="202"/>
      <c r="Y1695" s="152"/>
      <c r="Z1695" s="152"/>
      <c r="AA1695" s="152"/>
      <c r="AB1695" s="152"/>
    </row>
    <row r="1696" spans="1:28" hidden="1" outlineLevel="1">
      <c r="A1696" s="199">
        <f t="shared" si="2514"/>
        <v>3</v>
      </c>
      <c r="B1696" s="190" t="str">
        <f t="shared" ca="1" si="2515"/>
        <v>Depreciated Net Capex 2018-19</v>
      </c>
      <c r="C1696" s="1426"/>
      <c r="D1696" s="1426"/>
      <c r="E1696" s="1427"/>
      <c r="F1696" s="1428">
        <f>($F1688*((1+F$11)^0.5)/F$10)</f>
        <v>0</v>
      </c>
      <c r="G1696" s="1423">
        <f ca="1">IF(F1720="n/a",F1696,IFERROR(IF((OFFSET($C1696,0,$A1696))&lt;0,
MIN(0,F1696-(OFFSET($C1696,0,$A1696)/(OFFSET($C1691,-$A1695,$A1696)))),
MAX(0,F1696-(OFFSET($C1696,0,$A1696)/(OFFSET($C1691,-$A1695,$A1696))))),0))</f>
        <v>0</v>
      </c>
      <c r="H1696" s="1423">
        <f t="shared" ca="1" si="2498"/>
        <v>0</v>
      </c>
      <c r="I1696" s="1423">
        <f t="shared" ca="1" si="2499"/>
        <v>0</v>
      </c>
      <c r="J1696" s="1423">
        <f t="shared" ca="1" si="2500"/>
        <v>0</v>
      </c>
      <c r="K1696" s="1423">
        <f t="shared" ca="1" si="2501"/>
        <v>0</v>
      </c>
      <c r="L1696" s="1423">
        <f t="shared" ca="1" si="2502"/>
        <v>0</v>
      </c>
      <c r="M1696" s="1423">
        <f t="shared" ca="1" si="2503"/>
        <v>0</v>
      </c>
      <c r="N1696" s="1423">
        <f t="shared" ca="1" si="2504"/>
        <v>0</v>
      </c>
      <c r="O1696" s="1423">
        <f t="shared" ca="1" si="2505"/>
        <v>0</v>
      </c>
      <c r="P1696" s="1423">
        <f t="shared" ca="1" si="2506"/>
        <v>0</v>
      </c>
      <c r="Q1696" s="1423">
        <f t="shared" ca="1" si="2507"/>
        <v>0</v>
      </c>
      <c r="R1696" s="1423">
        <f t="shared" ca="1" si="2508"/>
        <v>0</v>
      </c>
      <c r="S1696" s="1423">
        <f t="shared" ca="1" si="2509"/>
        <v>0</v>
      </c>
      <c r="T1696" s="1423">
        <f t="shared" ca="1" si="2510"/>
        <v>0</v>
      </c>
      <c r="U1696" s="1423">
        <f t="shared" ca="1" si="2511"/>
        <v>0</v>
      </c>
      <c r="V1696" s="1423">
        <f t="shared" ca="1" si="2512"/>
        <v>0</v>
      </c>
      <c r="W1696" s="1423">
        <f t="shared" ca="1" si="2513"/>
        <v>0</v>
      </c>
      <c r="X1696" s="202"/>
      <c r="Y1696" s="202"/>
      <c r="Z1696" s="152"/>
      <c r="AA1696" s="152"/>
      <c r="AB1696" s="152"/>
    </row>
    <row r="1697" spans="1:28" hidden="1" outlineLevel="1">
      <c r="A1697" s="199">
        <f t="shared" si="2514"/>
        <v>4</v>
      </c>
      <c r="B1697" s="190" t="str">
        <f t="shared" ca="1" si="2515"/>
        <v>Depreciated Net Capex 2019-20</v>
      </c>
      <c r="C1697" s="1426"/>
      <c r="D1697" s="1426"/>
      <c r="E1697" s="1426"/>
      <c r="F1697" s="1427"/>
      <c r="G1697" s="1428">
        <f>($G1688*((1+G$11)^0.5)/G$10)</f>
        <v>0</v>
      </c>
      <c r="H1697" s="1423">
        <f ca="1">IF(G1721="n/a",G1697,IFERROR(IF((OFFSET($C1697,0,$A1697))&lt;0,
MIN(0,G1697-(OFFSET($C1697,0,$A1697)/(OFFSET($C1692,-$A1696,$A1697)))),
MAX(0,G1697-(OFFSET($C1697,0,$A1697)/(OFFSET($C1692,-$A1696,$A1697))))),0))</f>
        <v>0</v>
      </c>
      <c r="I1697" s="1423">
        <f t="shared" ca="1" si="2499"/>
        <v>0</v>
      </c>
      <c r="J1697" s="1423">
        <f t="shared" ca="1" si="2500"/>
        <v>0</v>
      </c>
      <c r="K1697" s="1423">
        <f t="shared" ca="1" si="2501"/>
        <v>0</v>
      </c>
      <c r="L1697" s="1423">
        <f t="shared" ca="1" si="2502"/>
        <v>0</v>
      </c>
      <c r="M1697" s="1423">
        <f t="shared" ca="1" si="2503"/>
        <v>0</v>
      </c>
      <c r="N1697" s="1423">
        <f t="shared" ca="1" si="2504"/>
        <v>0</v>
      </c>
      <c r="O1697" s="1423">
        <f t="shared" ca="1" si="2505"/>
        <v>0</v>
      </c>
      <c r="P1697" s="1423">
        <f t="shared" ca="1" si="2506"/>
        <v>0</v>
      </c>
      <c r="Q1697" s="1423">
        <f t="shared" ca="1" si="2507"/>
        <v>0</v>
      </c>
      <c r="R1697" s="1423">
        <f t="shared" ca="1" si="2508"/>
        <v>0</v>
      </c>
      <c r="S1697" s="1423">
        <f t="shared" ca="1" si="2509"/>
        <v>0</v>
      </c>
      <c r="T1697" s="1423">
        <f t="shared" ca="1" si="2510"/>
        <v>0</v>
      </c>
      <c r="U1697" s="1423">
        <f t="shared" ca="1" si="2511"/>
        <v>0</v>
      </c>
      <c r="V1697" s="1423">
        <f t="shared" ca="1" si="2512"/>
        <v>0</v>
      </c>
      <c r="W1697" s="1423">
        <f t="shared" ca="1" si="2513"/>
        <v>0</v>
      </c>
      <c r="X1697" s="202"/>
      <c r="Y1697" s="202"/>
      <c r="Z1697" s="202"/>
      <c r="AA1697" s="152"/>
      <c r="AB1697" s="152"/>
    </row>
    <row r="1698" spans="1:28" hidden="1" outlineLevel="1">
      <c r="A1698" s="199">
        <f t="shared" si="2514"/>
        <v>5</v>
      </c>
      <c r="B1698" s="190" t="str">
        <f t="shared" ca="1" si="2515"/>
        <v>Depreciated Net Capex 2020-21</v>
      </c>
      <c r="C1698" s="1426"/>
      <c r="D1698" s="1426"/>
      <c r="E1698" s="1426"/>
      <c r="F1698" s="1426"/>
      <c r="G1698" s="1427"/>
      <c r="H1698" s="1428">
        <f>(H1688*((1+H$11)^0.5)/H$10)</f>
        <v>0</v>
      </c>
      <c r="I1698" s="1423">
        <f ca="1">IF(H1722="n/a",H1698,IFERROR(IF((OFFSET($C1698,0,$A1698))&lt;0,
MIN(0,H1698-(OFFSET($C1698,0,$A1698)/(OFFSET($C1693,-$A1697,$A1698)))),
MAX(0,H1698-(OFFSET($C1698,0,$A1698)/(OFFSET($C1693,-$A1697,$A1698))))),0))</f>
        <v>0</v>
      </c>
      <c r="J1698" s="1423">
        <f t="shared" ca="1" si="2500"/>
        <v>0</v>
      </c>
      <c r="K1698" s="1423">
        <f t="shared" ca="1" si="2501"/>
        <v>0</v>
      </c>
      <c r="L1698" s="1423">
        <f t="shared" ca="1" si="2502"/>
        <v>0</v>
      </c>
      <c r="M1698" s="1423">
        <f t="shared" ca="1" si="2503"/>
        <v>0</v>
      </c>
      <c r="N1698" s="1423">
        <f t="shared" ca="1" si="2504"/>
        <v>0</v>
      </c>
      <c r="O1698" s="1423">
        <f t="shared" ca="1" si="2505"/>
        <v>0</v>
      </c>
      <c r="P1698" s="1423">
        <f t="shared" ca="1" si="2506"/>
        <v>0</v>
      </c>
      <c r="Q1698" s="1423">
        <f t="shared" ca="1" si="2507"/>
        <v>0</v>
      </c>
      <c r="R1698" s="1423">
        <f t="shared" ca="1" si="2508"/>
        <v>0</v>
      </c>
      <c r="S1698" s="1423">
        <f t="shared" ca="1" si="2509"/>
        <v>0</v>
      </c>
      <c r="T1698" s="1423">
        <f t="shared" ca="1" si="2510"/>
        <v>0</v>
      </c>
      <c r="U1698" s="1423">
        <f t="shared" ca="1" si="2511"/>
        <v>0</v>
      </c>
      <c r="V1698" s="1423">
        <f t="shared" ca="1" si="2512"/>
        <v>0</v>
      </c>
      <c r="W1698" s="1423">
        <f t="shared" ca="1" si="2513"/>
        <v>0</v>
      </c>
      <c r="X1698" s="202"/>
      <c r="Y1698" s="202"/>
      <c r="Z1698" s="202"/>
      <c r="AA1698" s="152"/>
      <c r="AB1698" s="152"/>
    </row>
    <row r="1699" spans="1:28" hidden="1" outlineLevel="1">
      <c r="A1699" s="199">
        <f t="shared" si="2514"/>
        <v>6</v>
      </c>
      <c r="B1699" s="190" t="str">
        <f t="shared" ca="1" si="2515"/>
        <v>Depreciated Net Capex 2021-22</v>
      </c>
      <c r="C1699" s="1426"/>
      <c r="D1699" s="1426"/>
      <c r="E1699" s="1426"/>
      <c r="F1699" s="1426"/>
      <c r="G1699" s="1426"/>
      <c r="H1699" s="1427"/>
      <c r="I1699" s="1428">
        <f>(I1688*((1+I$11)^0.5)/I$10)</f>
        <v>0</v>
      </c>
      <c r="J1699" s="1423">
        <f ca="1">IF(I1723="n/a",I1699,IFERROR(IF((OFFSET($C1699,0,$A1699))&lt;0,
MIN(0,I1699-(OFFSET($C1699,0,$A1699)/(OFFSET($C1694,-$A1698,$A1699)))),
MAX(0,I1699-(OFFSET($C1699,0,$A1699)/(OFFSET($C1694,-$A1698,$A1699))))),0))</f>
        <v>0</v>
      </c>
      <c r="K1699" s="1423">
        <f t="shared" ca="1" si="2501"/>
        <v>0</v>
      </c>
      <c r="L1699" s="1423">
        <f t="shared" ca="1" si="2502"/>
        <v>0</v>
      </c>
      <c r="M1699" s="1423">
        <f t="shared" ca="1" si="2503"/>
        <v>0</v>
      </c>
      <c r="N1699" s="1423">
        <f t="shared" ca="1" si="2504"/>
        <v>0</v>
      </c>
      <c r="O1699" s="1423">
        <f t="shared" ca="1" si="2505"/>
        <v>0</v>
      </c>
      <c r="P1699" s="1423">
        <f t="shared" ca="1" si="2506"/>
        <v>0</v>
      </c>
      <c r="Q1699" s="1423">
        <f t="shared" ca="1" si="2507"/>
        <v>0</v>
      </c>
      <c r="R1699" s="1423">
        <f t="shared" ca="1" si="2508"/>
        <v>0</v>
      </c>
      <c r="S1699" s="1423">
        <f t="shared" ca="1" si="2509"/>
        <v>0</v>
      </c>
      <c r="T1699" s="1423">
        <f t="shared" ca="1" si="2510"/>
        <v>0</v>
      </c>
      <c r="U1699" s="1423">
        <f t="shared" ca="1" si="2511"/>
        <v>0</v>
      </c>
      <c r="V1699" s="1423">
        <f t="shared" ca="1" si="2512"/>
        <v>0</v>
      </c>
      <c r="W1699" s="1423">
        <f t="shared" ca="1" si="2513"/>
        <v>0</v>
      </c>
      <c r="X1699" s="202"/>
      <c r="Y1699" s="202"/>
      <c r="Z1699" s="202"/>
      <c r="AA1699" s="152"/>
      <c r="AB1699" s="152"/>
    </row>
    <row r="1700" spans="1:28" hidden="1" outlineLevel="1">
      <c r="A1700" s="199">
        <f t="shared" si="2514"/>
        <v>7</v>
      </c>
      <c r="B1700" s="190" t="str">
        <f t="shared" ca="1" si="2515"/>
        <v>Depreciated Net Capex 2022-23</v>
      </c>
      <c r="C1700" s="1426"/>
      <c r="D1700" s="1426"/>
      <c r="E1700" s="1426"/>
      <c r="F1700" s="1426"/>
      <c r="G1700" s="1426"/>
      <c r="H1700" s="1426"/>
      <c r="I1700" s="1427"/>
      <c r="J1700" s="1428">
        <f>(J1688*((1+J$11)^0.5)/J$10)</f>
        <v>0</v>
      </c>
      <c r="K1700" s="1423">
        <f ca="1">IF(J1724="n/a",J1700,IFERROR(IF((OFFSET($C1700,0,$A1700))&lt;0,
MIN(0,J1700-(OFFSET($C1700,0,$A1700)/(OFFSET($C1695,-$A1699,$A1700)))),
MAX(0,J1700-(OFFSET($C1700,0,$A1700)/(OFFSET($C1695,-$A1699,$A1700))))),0))</f>
        <v>0</v>
      </c>
      <c r="L1700" s="1423">
        <f t="shared" ca="1" si="2502"/>
        <v>0</v>
      </c>
      <c r="M1700" s="1423">
        <f t="shared" ca="1" si="2503"/>
        <v>0</v>
      </c>
      <c r="N1700" s="1423">
        <f t="shared" ca="1" si="2504"/>
        <v>0</v>
      </c>
      <c r="O1700" s="1423">
        <f t="shared" ca="1" si="2505"/>
        <v>0</v>
      </c>
      <c r="P1700" s="1423">
        <f t="shared" ca="1" si="2506"/>
        <v>0</v>
      </c>
      <c r="Q1700" s="1423">
        <f t="shared" ca="1" si="2507"/>
        <v>0</v>
      </c>
      <c r="R1700" s="1423">
        <f t="shared" ca="1" si="2508"/>
        <v>0</v>
      </c>
      <c r="S1700" s="1423">
        <f t="shared" ca="1" si="2509"/>
        <v>0</v>
      </c>
      <c r="T1700" s="1423">
        <f t="shared" ca="1" si="2510"/>
        <v>0</v>
      </c>
      <c r="U1700" s="1423">
        <f t="shared" ca="1" si="2511"/>
        <v>0</v>
      </c>
      <c r="V1700" s="1423">
        <f t="shared" ca="1" si="2512"/>
        <v>0</v>
      </c>
      <c r="W1700" s="1423">
        <f t="shared" ca="1" si="2513"/>
        <v>0</v>
      </c>
      <c r="X1700" s="202"/>
      <c r="Y1700" s="202"/>
      <c r="Z1700" s="202"/>
      <c r="AA1700" s="152"/>
      <c r="AB1700" s="152"/>
    </row>
    <row r="1701" spans="1:28" hidden="1" outlineLevel="1">
      <c r="A1701" s="199">
        <f t="shared" si="2514"/>
        <v>8</v>
      </c>
      <c r="B1701" s="190" t="str">
        <f t="shared" ca="1" si="2515"/>
        <v>Depreciated Net Capex 2023-24</v>
      </c>
      <c r="C1701" s="1426"/>
      <c r="D1701" s="1426"/>
      <c r="E1701" s="1426"/>
      <c r="F1701" s="1426"/>
      <c r="G1701" s="1426"/>
      <c r="H1701" s="1426"/>
      <c r="I1701" s="1426"/>
      <c r="J1701" s="1427"/>
      <c r="K1701" s="1428">
        <f>(K1688*((1+K$11)^0.5)/K$10)</f>
        <v>0</v>
      </c>
      <c r="L1701" s="1423">
        <f ca="1">IF(K1725="n/a",K1701,IFERROR(IF((OFFSET($C1701,0,$A1701))&lt;0,
MIN(0,K1701-(OFFSET($C1701,0,$A1701)/(OFFSET($C1696,-$A1700,$A1701)))),
MAX(0,K1701-(OFFSET($C1701,0,$A1701)/(OFFSET($C1696,-$A1700,$A1701))))),0))</f>
        <v>0</v>
      </c>
      <c r="M1701" s="1423">
        <f t="shared" ca="1" si="2503"/>
        <v>0</v>
      </c>
      <c r="N1701" s="1423">
        <f t="shared" ca="1" si="2504"/>
        <v>0</v>
      </c>
      <c r="O1701" s="1423">
        <f t="shared" ca="1" si="2505"/>
        <v>0</v>
      </c>
      <c r="P1701" s="1423">
        <f t="shared" ca="1" si="2506"/>
        <v>0</v>
      </c>
      <c r="Q1701" s="1423">
        <f t="shared" ca="1" si="2507"/>
        <v>0</v>
      </c>
      <c r="R1701" s="1423">
        <f t="shared" ca="1" si="2508"/>
        <v>0</v>
      </c>
      <c r="S1701" s="1423">
        <f t="shared" ca="1" si="2509"/>
        <v>0</v>
      </c>
      <c r="T1701" s="1423">
        <f t="shared" ca="1" si="2510"/>
        <v>0</v>
      </c>
      <c r="U1701" s="1423">
        <f t="shared" ca="1" si="2511"/>
        <v>0</v>
      </c>
      <c r="V1701" s="1423">
        <f t="shared" ca="1" si="2512"/>
        <v>0</v>
      </c>
      <c r="W1701" s="1423">
        <f t="shared" ca="1" si="2513"/>
        <v>0</v>
      </c>
      <c r="X1701" s="202"/>
      <c r="Y1701" s="202"/>
      <c r="Z1701" s="202"/>
      <c r="AA1701" s="152"/>
      <c r="AB1701" s="152"/>
    </row>
    <row r="1702" spans="1:28" hidden="1" outlineLevel="1">
      <c r="A1702" s="199">
        <f t="shared" si="2514"/>
        <v>9</v>
      </c>
      <c r="B1702" s="190" t="str">
        <f t="shared" ca="1" si="2515"/>
        <v>Depreciated Net Capex 2024-25</v>
      </c>
      <c r="C1702" s="1426"/>
      <c r="D1702" s="1426"/>
      <c r="E1702" s="1426"/>
      <c r="F1702" s="1426"/>
      <c r="G1702" s="1426"/>
      <c r="H1702" s="1426"/>
      <c r="I1702" s="1426"/>
      <c r="J1702" s="1426"/>
      <c r="K1702" s="1427"/>
      <c r="L1702" s="1428">
        <f>(L1688*((1+L$11)^0.5)/L$10)</f>
        <v>0</v>
      </c>
      <c r="M1702" s="1423">
        <f ca="1">IF(L1726="n/a",L1702,IFERROR(IF((OFFSET($C1702,0,$A1702))&lt;0,
MIN(0,L1702-(OFFSET($C1702,0,$A1702)/(OFFSET($C1697,-$A1701,$A1702)))),
MAX(0,L1702-(OFFSET($C1702,0,$A1702)/(OFFSET($C1697,-$A1701,$A1702))))),0))</f>
        <v>0</v>
      </c>
      <c r="N1702" s="1423">
        <f t="shared" ca="1" si="2504"/>
        <v>0</v>
      </c>
      <c r="O1702" s="1423">
        <f t="shared" ca="1" si="2505"/>
        <v>0</v>
      </c>
      <c r="P1702" s="1423">
        <f t="shared" ca="1" si="2506"/>
        <v>0</v>
      </c>
      <c r="Q1702" s="1423">
        <f t="shared" ca="1" si="2507"/>
        <v>0</v>
      </c>
      <c r="R1702" s="1423">
        <f t="shared" ca="1" si="2508"/>
        <v>0</v>
      </c>
      <c r="S1702" s="1423">
        <f t="shared" ca="1" si="2509"/>
        <v>0</v>
      </c>
      <c r="T1702" s="1423">
        <f t="shared" ca="1" si="2510"/>
        <v>0</v>
      </c>
      <c r="U1702" s="1423">
        <f t="shared" ca="1" si="2511"/>
        <v>0</v>
      </c>
      <c r="V1702" s="1423">
        <f t="shared" ca="1" si="2512"/>
        <v>0</v>
      </c>
      <c r="W1702" s="1423">
        <f t="shared" ca="1" si="2513"/>
        <v>0</v>
      </c>
      <c r="X1702" s="202"/>
      <c r="Y1702" s="202"/>
      <c r="Z1702" s="202"/>
      <c r="AA1702" s="152"/>
      <c r="AB1702" s="152"/>
    </row>
    <row r="1703" spans="1:28" hidden="1" outlineLevel="1">
      <c r="A1703" s="199">
        <f t="shared" si="2514"/>
        <v>10</v>
      </c>
      <c r="B1703" s="190" t="str">
        <f t="shared" ca="1" si="2515"/>
        <v>Depreciated Net Capex 2025-26</v>
      </c>
      <c r="C1703" s="1426"/>
      <c r="D1703" s="1426"/>
      <c r="E1703" s="1426"/>
      <c r="F1703" s="1426"/>
      <c r="G1703" s="1426"/>
      <c r="H1703" s="1426"/>
      <c r="I1703" s="1426"/>
      <c r="J1703" s="1426"/>
      <c r="K1703" s="1426"/>
      <c r="L1703" s="1427"/>
      <c r="M1703" s="1428">
        <f>(M1688*((1+M$11)^0.5)/M$10)</f>
        <v>0</v>
      </c>
      <c r="N1703" s="1423">
        <f ca="1">IF(M1727="n/a",M1703,IFERROR(IF((OFFSET($C1703,0,$A1703))&lt;0,
MIN(0,M1703-(OFFSET($C1703,0,$A1703)/(OFFSET($C1698,-$A1702,$A1703)))),
MAX(0,M1703-(OFFSET($C1703,0,$A1703)/(OFFSET($C1698,-$A1702,$A1703))))),0))</f>
        <v>0</v>
      </c>
      <c r="O1703" s="1423">
        <f t="shared" ca="1" si="2505"/>
        <v>0</v>
      </c>
      <c r="P1703" s="1423">
        <f t="shared" ca="1" si="2506"/>
        <v>0</v>
      </c>
      <c r="Q1703" s="1423">
        <f t="shared" ca="1" si="2507"/>
        <v>0</v>
      </c>
      <c r="R1703" s="1423">
        <f t="shared" ca="1" si="2508"/>
        <v>0</v>
      </c>
      <c r="S1703" s="1423">
        <f t="shared" ca="1" si="2509"/>
        <v>0</v>
      </c>
      <c r="T1703" s="1423">
        <f t="shared" ca="1" si="2510"/>
        <v>0</v>
      </c>
      <c r="U1703" s="1423">
        <f t="shared" ca="1" si="2511"/>
        <v>0</v>
      </c>
      <c r="V1703" s="1423">
        <f t="shared" ca="1" si="2512"/>
        <v>0</v>
      </c>
      <c r="W1703" s="1423">
        <f t="shared" ca="1" si="2513"/>
        <v>0</v>
      </c>
      <c r="X1703" s="202"/>
      <c r="Y1703" s="202"/>
      <c r="Z1703" s="202"/>
      <c r="AA1703" s="152"/>
      <c r="AB1703" s="152"/>
    </row>
    <row r="1704" spans="1:28" hidden="1" outlineLevel="1">
      <c r="A1704" s="199">
        <f t="shared" si="2514"/>
        <v>11</v>
      </c>
      <c r="B1704" s="190" t="str">
        <f t="shared" ca="1" si="2515"/>
        <v>Depreciated Net Capex 2026-27</v>
      </c>
      <c r="C1704" s="1426"/>
      <c r="D1704" s="1426"/>
      <c r="E1704" s="1426"/>
      <c r="F1704" s="1426"/>
      <c r="G1704" s="1426"/>
      <c r="H1704" s="1426"/>
      <c r="I1704" s="1426"/>
      <c r="J1704" s="1426"/>
      <c r="K1704" s="1426"/>
      <c r="L1704" s="1426"/>
      <c r="M1704" s="1427"/>
      <c r="N1704" s="1428">
        <f>(N1688*((1+N$11)^0.5)/N$10)</f>
        <v>0</v>
      </c>
      <c r="O1704" s="1423">
        <f ca="1">IF(N1728="n/a",N1704,IFERROR(IF((OFFSET($C1704,0,$A1704))&lt;0,
MIN(0,N1704-(OFFSET($C1704,0,$A1704)/(OFFSET($C1699,-$A1703,$A1704)))),
MAX(0,N1704-(OFFSET($C1704,0,$A1704)/(OFFSET($C1699,-$A1703,$A1704))))),0))</f>
        <v>0</v>
      </c>
      <c r="P1704" s="1423">
        <f t="shared" ca="1" si="2506"/>
        <v>0</v>
      </c>
      <c r="Q1704" s="1423">
        <f t="shared" ca="1" si="2507"/>
        <v>0</v>
      </c>
      <c r="R1704" s="1423">
        <f t="shared" ca="1" si="2508"/>
        <v>0</v>
      </c>
      <c r="S1704" s="1423">
        <f t="shared" ca="1" si="2509"/>
        <v>0</v>
      </c>
      <c r="T1704" s="1423">
        <f t="shared" ca="1" si="2510"/>
        <v>0</v>
      </c>
      <c r="U1704" s="1423">
        <f t="shared" ca="1" si="2511"/>
        <v>0</v>
      </c>
      <c r="V1704" s="1423">
        <f t="shared" ca="1" si="2512"/>
        <v>0</v>
      </c>
      <c r="W1704" s="1423">
        <f t="shared" ca="1" si="2513"/>
        <v>0</v>
      </c>
      <c r="X1704" s="202"/>
      <c r="Y1704" s="202"/>
      <c r="Z1704" s="202"/>
      <c r="AA1704" s="152"/>
      <c r="AB1704" s="152"/>
    </row>
    <row r="1705" spans="1:28" hidden="1" outlineLevel="1">
      <c r="A1705" s="199">
        <f t="shared" si="2514"/>
        <v>12</v>
      </c>
      <c r="B1705" s="190" t="str">
        <f t="shared" ca="1" si="2515"/>
        <v>Depreciated Net Capex 2027-28</v>
      </c>
      <c r="C1705" s="1426"/>
      <c r="D1705" s="1426"/>
      <c r="E1705" s="1426"/>
      <c r="F1705" s="1426"/>
      <c r="G1705" s="1426"/>
      <c r="H1705" s="1426"/>
      <c r="I1705" s="1426"/>
      <c r="J1705" s="1426"/>
      <c r="K1705" s="1426"/>
      <c r="L1705" s="1426"/>
      <c r="M1705" s="1426"/>
      <c r="N1705" s="1427"/>
      <c r="O1705" s="1428">
        <f>(O1688*((1+O$11)^0.5)/O$10)</f>
        <v>0</v>
      </c>
      <c r="P1705" s="1423">
        <f ca="1">IF(O1729="n/a",O1705,IFERROR(IF((OFFSET($C1705,0,$A1705))&lt;0,
MIN(0,O1705-(OFFSET($C1705,0,$A1705)/(OFFSET($C1700,-$A1704,$A1705)))),
MAX(0,O1705-(OFFSET($C1705,0,$A1705)/(OFFSET($C1700,-$A1704,$A1705))))),0))</f>
        <v>0</v>
      </c>
      <c r="Q1705" s="1423">
        <f t="shared" ca="1" si="2507"/>
        <v>0</v>
      </c>
      <c r="R1705" s="1423">
        <f t="shared" ca="1" si="2508"/>
        <v>0</v>
      </c>
      <c r="S1705" s="1423">
        <f t="shared" ca="1" si="2509"/>
        <v>0</v>
      </c>
      <c r="T1705" s="1423">
        <f t="shared" ca="1" si="2510"/>
        <v>0</v>
      </c>
      <c r="U1705" s="1423">
        <f t="shared" ca="1" si="2511"/>
        <v>0</v>
      </c>
      <c r="V1705" s="1423">
        <f t="shared" ca="1" si="2512"/>
        <v>0</v>
      </c>
      <c r="W1705" s="1423">
        <f t="shared" ca="1" si="2513"/>
        <v>0</v>
      </c>
      <c r="X1705" s="202"/>
      <c r="Y1705" s="202"/>
      <c r="Z1705" s="202"/>
      <c r="AA1705" s="152"/>
      <c r="AB1705" s="152"/>
    </row>
    <row r="1706" spans="1:28" hidden="1" outlineLevel="1">
      <c r="A1706" s="199">
        <f t="shared" si="2514"/>
        <v>13</v>
      </c>
      <c r="B1706" s="190" t="str">
        <f t="shared" ca="1" si="2515"/>
        <v>Depreciated Net Capex 2028-29</v>
      </c>
      <c r="C1706" s="1426"/>
      <c r="D1706" s="1426"/>
      <c r="E1706" s="1426"/>
      <c r="F1706" s="1426"/>
      <c r="G1706" s="1426"/>
      <c r="H1706" s="1426"/>
      <c r="I1706" s="1426"/>
      <c r="J1706" s="1426"/>
      <c r="K1706" s="1426"/>
      <c r="L1706" s="1426"/>
      <c r="M1706" s="1426"/>
      <c r="N1706" s="1426"/>
      <c r="O1706" s="1427"/>
      <c r="P1706" s="1428">
        <f>(P1688*((1+P$11)^0.5)/P$10)</f>
        <v>0</v>
      </c>
      <c r="Q1706" s="1423">
        <f ca="1">IF(P1730="n/a",P1706,IFERROR(IF((OFFSET($C1706,0,$A1706))&lt;0,
MIN(0,P1706-(OFFSET($C1706,0,$A1706)/(OFFSET($C1701,-$A1705,$A1706)))),
MAX(0,P1706-(OFFSET($C1706,0,$A1706)/(OFFSET($C1701,-$A1705,$A1706))))),0))</f>
        <v>0</v>
      </c>
      <c r="R1706" s="1423">
        <f t="shared" ca="1" si="2508"/>
        <v>0</v>
      </c>
      <c r="S1706" s="1423">
        <f t="shared" ca="1" si="2509"/>
        <v>0</v>
      </c>
      <c r="T1706" s="1423">
        <f t="shared" ca="1" si="2510"/>
        <v>0</v>
      </c>
      <c r="U1706" s="1423">
        <f t="shared" ca="1" si="2511"/>
        <v>0</v>
      </c>
      <c r="V1706" s="1423">
        <f t="shared" ca="1" si="2512"/>
        <v>0</v>
      </c>
      <c r="W1706" s="1423">
        <f t="shared" ca="1" si="2513"/>
        <v>0</v>
      </c>
      <c r="X1706" s="202"/>
      <c r="Y1706" s="202"/>
      <c r="Z1706" s="202"/>
      <c r="AA1706" s="152"/>
      <c r="AB1706" s="152"/>
    </row>
    <row r="1707" spans="1:28" hidden="1" outlineLevel="1">
      <c r="A1707" s="199">
        <f t="shared" si="2514"/>
        <v>14</v>
      </c>
      <c r="B1707" s="190" t="str">
        <f t="shared" ca="1" si="2515"/>
        <v>Depreciated Net Capex 2029-30</v>
      </c>
      <c r="C1707" s="1426"/>
      <c r="D1707" s="1426"/>
      <c r="E1707" s="1426"/>
      <c r="F1707" s="1426"/>
      <c r="G1707" s="1426"/>
      <c r="H1707" s="1426"/>
      <c r="I1707" s="1426"/>
      <c r="J1707" s="1426"/>
      <c r="K1707" s="1426"/>
      <c r="L1707" s="1426"/>
      <c r="M1707" s="1426"/>
      <c r="N1707" s="1426"/>
      <c r="O1707" s="1426"/>
      <c r="P1707" s="1427"/>
      <c r="Q1707" s="1428">
        <f>(Q1688*((1+Q$11)^0.5)/Q$10)</f>
        <v>0</v>
      </c>
      <c r="R1707" s="1423">
        <f ca="1">IF(Q1731="n/a",Q1707,IFERROR(IF((OFFSET($C1707,0,$A1707))&lt;0,
MIN(0,Q1707-(OFFSET($C1707,0,$A1707)/(OFFSET($C1702,-$A1706,$A1707)))),
MAX(0,Q1707-(OFFSET($C1707,0,$A1707)/(OFFSET($C1702,-$A1706,$A1707))))),0))</f>
        <v>0</v>
      </c>
      <c r="S1707" s="1423">
        <f t="shared" ca="1" si="2509"/>
        <v>0</v>
      </c>
      <c r="T1707" s="1423">
        <f t="shared" ca="1" si="2510"/>
        <v>0</v>
      </c>
      <c r="U1707" s="1423">
        <f t="shared" ca="1" si="2511"/>
        <v>0</v>
      </c>
      <c r="V1707" s="1423">
        <f t="shared" ca="1" si="2512"/>
        <v>0</v>
      </c>
      <c r="W1707" s="1423">
        <f t="shared" ca="1" si="2513"/>
        <v>0</v>
      </c>
      <c r="X1707" s="202"/>
      <c r="Y1707" s="202"/>
      <c r="Z1707" s="202"/>
      <c r="AA1707" s="152"/>
      <c r="AB1707" s="152"/>
    </row>
    <row r="1708" spans="1:28" hidden="1" outlineLevel="1">
      <c r="A1708" s="199">
        <f t="shared" si="2514"/>
        <v>15</v>
      </c>
      <c r="B1708" s="190" t="str">
        <f t="shared" ca="1" si="2515"/>
        <v>Depreciated Net Capex 2030-31</v>
      </c>
      <c r="C1708" s="1426"/>
      <c r="D1708" s="1426"/>
      <c r="E1708" s="1426"/>
      <c r="F1708" s="1426"/>
      <c r="G1708" s="1426"/>
      <c r="H1708" s="1426"/>
      <c r="I1708" s="1426"/>
      <c r="J1708" s="1426"/>
      <c r="K1708" s="1426"/>
      <c r="L1708" s="1426"/>
      <c r="M1708" s="1426"/>
      <c r="N1708" s="1426"/>
      <c r="O1708" s="1426"/>
      <c r="P1708" s="1426"/>
      <c r="Q1708" s="1427"/>
      <c r="R1708" s="1428">
        <f>(R1688*((1+R$11)^0.5)/R$10)</f>
        <v>0</v>
      </c>
      <c r="S1708" s="1423">
        <f ca="1">IF(R1732="n/a",R1708,IFERROR(IF((OFFSET($C1708,0,$A1708))&lt;0,
MIN(0,R1708-(OFFSET($C1708,0,$A1708)/(OFFSET($C1703,-$A1707,$A1708)))),
MAX(0,R1708-(OFFSET($C1708,0,$A1708)/(OFFSET($C1703,-$A1707,$A1708))))),0))</f>
        <v>0</v>
      </c>
      <c r="T1708" s="1423">
        <f t="shared" ca="1" si="2510"/>
        <v>0</v>
      </c>
      <c r="U1708" s="1423">
        <f t="shared" ca="1" si="2511"/>
        <v>0</v>
      </c>
      <c r="V1708" s="1423">
        <f t="shared" ca="1" si="2512"/>
        <v>0</v>
      </c>
      <c r="W1708" s="1423">
        <f t="shared" ca="1" si="2513"/>
        <v>0</v>
      </c>
      <c r="X1708" s="202"/>
      <c r="Y1708" s="202"/>
      <c r="Z1708" s="202"/>
      <c r="AA1708" s="152"/>
      <c r="AB1708" s="152"/>
    </row>
    <row r="1709" spans="1:28" hidden="1" outlineLevel="1">
      <c r="A1709" s="199">
        <f t="shared" si="2514"/>
        <v>16</v>
      </c>
      <c r="B1709" s="190" t="str">
        <f t="shared" ca="1" si="2515"/>
        <v>Depreciated Net Capex 2031-32</v>
      </c>
      <c r="C1709" s="1426"/>
      <c r="D1709" s="1426"/>
      <c r="E1709" s="1426"/>
      <c r="F1709" s="1426"/>
      <c r="G1709" s="1426"/>
      <c r="H1709" s="1426"/>
      <c r="I1709" s="1426"/>
      <c r="J1709" s="1426"/>
      <c r="K1709" s="1426"/>
      <c r="L1709" s="1426"/>
      <c r="M1709" s="1426"/>
      <c r="N1709" s="1426"/>
      <c r="O1709" s="1426"/>
      <c r="P1709" s="1426"/>
      <c r="Q1709" s="1426"/>
      <c r="R1709" s="1427"/>
      <c r="S1709" s="1428">
        <f>(S1688*((1+S$11)^0.5)/S$10)</f>
        <v>0</v>
      </c>
      <c r="T1709" s="1423">
        <f ca="1">IF(S1733="n/a",S1709,IFERROR(IF((OFFSET($C1709,0,$A1709))&lt;0,
MIN(0,S1709-(OFFSET($C1709,0,$A1709)/(OFFSET($C1704,-$A1708,$A1709)))),
MAX(0,S1709-(OFFSET($C1709,0,$A1709)/(OFFSET($C1704,-$A1708,$A1709))))),0))</f>
        <v>0</v>
      </c>
      <c r="U1709" s="1423">
        <f t="shared" ca="1" si="2511"/>
        <v>0</v>
      </c>
      <c r="V1709" s="1423">
        <f t="shared" ca="1" si="2512"/>
        <v>0</v>
      </c>
      <c r="W1709" s="1423">
        <f t="shared" ca="1" si="2513"/>
        <v>0</v>
      </c>
      <c r="X1709" s="202"/>
      <c r="Y1709" s="202"/>
      <c r="Z1709" s="202"/>
      <c r="AA1709" s="152"/>
      <c r="AB1709" s="152"/>
    </row>
    <row r="1710" spans="1:28" hidden="1" outlineLevel="1">
      <c r="A1710" s="199">
        <f t="shared" si="2514"/>
        <v>17</v>
      </c>
      <c r="B1710" s="190" t="str">
        <f t="shared" ca="1" si="2515"/>
        <v>Depreciated Net Capex 2032-33</v>
      </c>
      <c r="C1710" s="1426"/>
      <c r="D1710" s="1426"/>
      <c r="E1710" s="1426"/>
      <c r="F1710" s="1426"/>
      <c r="G1710" s="1426"/>
      <c r="H1710" s="1426"/>
      <c r="I1710" s="1426"/>
      <c r="J1710" s="1426"/>
      <c r="K1710" s="1426"/>
      <c r="L1710" s="1426"/>
      <c r="M1710" s="1426"/>
      <c r="N1710" s="1426"/>
      <c r="O1710" s="1426"/>
      <c r="P1710" s="1426"/>
      <c r="Q1710" s="1426"/>
      <c r="R1710" s="1426"/>
      <c r="S1710" s="1427"/>
      <c r="T1710" s="1428">
        <f>(T1688*((1+T$11)^0.5)/T$10)</f>
        <v>0</v>
      </c>
      <c r="U1710" s="1423">
        <f ca="1">IF(T1734="n/a",T1710,IFERROR(IF((OFFSET($C1710,0,$A1710))&lt;0,
MIN(0,T1710-(OFFSET($C1710,0,$A1710)/(OFFSET($C1705,-$A1709,$A1710)))),
MAX(0,T1710-(OFFSET($C1710,0,$A1710)/(OFFSET($C1705,-$A1709,$A1710))))),0))</f>
        <v>0</v>
      </c>
      <c r="V1710" s="1423">
        <f t="shared" ca="1" si="2512"/>
        <v>0</v>
      </c>
      <c r="W1710" s="1423">
        <f t="shared" ca="1" si="2513"/>
        <v>0</v>
      </c>
      <c r="X1710" s="202"/>
      <c r="Y1710" s="202"/>
      <c r="Z1710" s="202"/>
      <c r="AA1710" s="152"/>
      <c r="AB1710" s="152"/>
    </row>
    <row r="1711" spans="1:28" hidden="1" outlineLevel="1">
      <c r="A1711" s="199">
        <f t="shared" si="2514"/>
        <v>18</v>
      </c>
      <c r="B1711" s="190" t="str">
        <f t="shared" ca="1" si="2515"/>
        <v>Depreciated Net Capex 2033-34</v>
      </c>
      <c r="C1711" s="1426"/>
      <c r="D1711" s="1426"/>
      <c r="E1711" s="1426"/>
      <c r="F1711" s="1426"/>
      <c r="G1711" s="1426"/>
      <c r="H1711" s="1426"/>
      <c r="I1711" s="1426"/>
      <c r="J1711" s="1426"/>
      <c r="K1711" s="1426"/>
      <c r="L1711" s="1426"/>
      <c r="M1711" s="1426"/>
      <c r="N1711" s="1426"/>
      <c r="O1711" s="1426"/>
      <c r="P1711" s="1426"/>
      <c r="Q1711" s="1426"/>
      <c r="R1711" s="1426"/>
      <c r="S1711" s="1426"/>
      <c r="T1711" s="1427"/>
      <c r="U1711" s="1428">
        <f>(U1688*((1+U$11)^0.5)/U$10)</f>
        <v>0</v>
      </c>
      <c r="V1711" s="1423">
        <f ca="1">IF(U1735="n/a",U1711,IFERROR(IF((OFFSET($C1711,0,$A1711))&lt;0,
MIN(0,U1711-(OFFSET($C1711,0,$A1711)/(OFFSET($C1706,-$A1710,$A1711)))),
MAX(0,U1711-(OFFSET($C1711,0,$A1711)/(OFFSET($C1706,-$A1710,$A1711))))),0))</f>
        <v>0</v>
      </c>
      <c r="W1711" s="1423">
        <f t="shared" ca="1" si="2513"/>
        <v>0</v>
      </c>
      <c r="X1711" s="202"/>
      <c r="Y1711" s="202"/>
      <c r="Z1711" s="202"/>
      <c r="AA1711" s="152"/>
      <c r="AB1711" s="152"/>
    </row>
    <row r="1712" spans="1:28" hidden="1" outlineLevel="1">
      <c r="A1712" s="199">
        <f t="shared" si="2514"/>
        <v>19</v>
      </c>
      <c r="B1712" s="190" t="str">
        <f t="shared" ca="1" si="2515"/>
        <v>Depreciated Net Capex 2034-35</v>
      </c>
      <c r="C1712" s="1426"/>
      <c r="D1712" s="1426"/>
      <c r="E1712" s="1426"/>
      <c r="F1712" s="1426"/>
      <c r="G1712" s="1426"/>
      <c r="H1712" s="1426"/>
      <c r="I1712" s="1426"/>
      <c r="J1712" s="1426"/>
      <c r="K1712" s="1426"/>
      <c r="L1712" s="1426"/>
      <c r="M1712" s="1426"/>
      <c r="N1712" s="1426"/>
      <c r="O1712" s="1426"/>
      <c r="P1712" s="1426"/>
      <c r="Q1712" s="1426"/>
      <c r="R1712" s="1426"/>
      <c r="S1712" s="1426"/>
      <c r="T1712" s="1426"/>
      <c r="U1712" s="1427"/>
      <c r="V1712" s="1428">
        <f>(V1688*((1+V$11)^0.5)/V$10)</f>
        <v>0</v>
      </c>
      <c r="W1712" s="1423">
        <f ca="1">IF(V1736="n/a",V1712,IFERROR(IF((OFFSET($C1712,0,$A1712))&lt;0,
MIN(0,V1712-(OFFSET($C1712,0,$A1712)/(OFFSET($C1707,-$A1711,$A1712)))),
MAX(0,V1712-(OFFSET($C1712,0,$A1712)/(OFFSET($C1707,-$A1711,$A1712))))),0))</f>
        <v>0</v>
      </c>
      <c r="X1712" s="202"/>
      <c r="Y1712" s="202"/>
      <c r="Z1712" s="202"/>
      <c r="AA1712" s="152"/>
      <c r="AB1712" s="152"/>
    </row>
    <row r="1713" spans="1:28" hidden="1" outlineLevel="1">
      <c r="A1713" s="199">
        <f t="shared" si="2514"/>
        <v>20</v>
      </c>
      <c r="B1713" s="190" t="str">
        <f ca="1">"Depreciated Net Capex "&amp;OFFSET($C$6,0,A1713)</f>
        <v>Depreciated Net Capex 2035-36</v>
      </c>
      <c r="C1713" s="1426"/>
      <c r="D1713" s="1426"/>
      <c r="E1713" s="1426"/>
      <c r="F1713" s="1426"/>
      <c r="G1713" s="1426"/>
      <c r="H1713" s="1426"/>
      <c r="I1713" s="1426"/>
      <c r="J1713" s="1426"/>
      <c r="K1713" s="1426"/>
      <c r="L1713" s="1426"/>
      <c r="M1713" s="1426"/>
      <c r="N1713" s="1426"/>
      <c r="O1713" s="1426"/>
      <c r="P1713" s="1426"/>
      <c r="Q1713" s="1426"/>
      <c r="R1713" s="1426"/>
      <c r="S1713" s="1426"/>
      <c r="T1713" s="1426"/>
      <c r="U1713" s="1426"/>
      <c r="V1713" s="1427"/>
      <c r="W1713" s="1423">
        <f>(W1688*((1+W$11)^0.5)/W$10)</f>
        <v>0</v>
      </c>
      <c r="X1713" s="152"/>
      <c r="Y1713" s="152"/>
      <c r="Z1713" s="152"/>
      <c r="AA1713" s="152"/>
      <c r="AB1713" s="152"/>
    </row>
    <row r="1714" spans="1:28" hidden="1" outlineLevel="1">
      <c r="A1714" s="152"/>
      <c r="B1714" s="200"/>
      <c r="C1714" s="1423"/>
      <c r="D1714" s="1423"/>
      <c r="E1714" s="1423"/>
      <c r="F1714" s="1423"/>
      <c r="G1714" s="1423"/>
      <c r="H1714" s="1423"/>
      <c r="I1714" s="1423"/>
      <c r="J1714" s="1423"/>
      <c r="K1714" s="1423"/>
      <c r="L1714" s="1423"/>
      <c r="M1714" s="1423"/>
      <c r="N1714" s="1423"/>
      <c r="O1714" s="1423"/>
      <c r="P1714" s="1423"/>
      <c r="Q1714" s="1423"/>
      <c r="R1714" s="1423"/>
      <c r="S1714" s="1423"/>
      <c r="T1714" s="1423"/>
      <c r="U1714" s="1423"/>
      <c r="V1714" s="1423"/>
      <c r="W1714" s="1423"/>
      <c r="X1714" s="152"/>
      <c r="Y1714" s="152"/>
      <c r="Z1714" s="152"/>
      <c r="AA1714" s="152"/>
      <c r="AB1714" s="152"/>
    </row>
    <row r="1715" spans="1:28" hidden="1" outlineLevel="1">
      <c r="A1715" s="152"/>
      <c r="B1715" s="200"/>
      <c r="C1715" s="1423"/>
      <c r="D1715" s="1423"/>
      <c r="E1715" s="1423"/>
      <c r="F1715" s="1423"/>
      <c r="G1715" s="1423"/>
      <c r="H1715" s="1423"/>
      <c r="I1715" s="1423"/>
      <c r="J1715" s="1423"/>
      <c r="K1715" s="1423"/>
      <c r="L1715" s="1423"/>
      <c r="M1715" s="1423"/>
      <c r="N1715" s="1423"/>
      <c r="O1715" s="1423"/>
      <c r="P1715" s="1423"/>
      <c r="Q1715" s="1423"/>
      <c r="R1715" s="1423"/>
      <c r="S1715" s="1423"/>
      <c r="T1715" s="1423"/>
      <c r="U1715" s="1423"/>
      <c r="V1715" s="1423"/>
      <c r="W1715" s="1423"/>
      <c r="X1715" s="152"/>
      <c r="Y1715" s="152"/>
      <c r="Z1715" s="152"/>
      <c r="AA1715" s="152"/>
      <c r="AB1715" s="152"/>
    </row>
    <row r="1716" spans="1:28" hidden="1" outlineLevel="1">
      <c r="A1716" s="152"/>
      <c r="B1716" s="190" t="s">
        <v>190</v>
      </c>
      <c r="C1716" s="1423"/>
      <c r="D1716" s="1423">
        <f ca="1">IF(AND(C1716&lt;1,D1690=0),0,
IF(D1690=0,C1716-1,
IF(C1716&lt;1,D1691,
(((C1716-1)*(C1692-(C1692/(C1716))))+((D1690/D$10)*D1691))/(D1692))))</f>
        <v>0</v>
      </c>
      <c r="E1716" s="1423">
        <f t="shared" ref="E1716" ca="1" si="2516">IF(AND(D1716&lt;1,E1690=0),0,
IF(E1690=0,D1716-1,
IF(D1716&lt;1,E1691,
(((D1716-1)*(D1692-(D1692/(D1716))))+((E1690/E$10)*E1691))/(E1692))))</f>
        <v>0</v>
      </c>
      <c r="F1716" s="1423">
        <f t="shared" ref="F1716" ca="1" si="2517">IF(AND(E1716&lt;1,F1690=0),0,
IF(F1690=0,E1716-1,
IF(E1716&lt;1,F1691,
(((E1716-1)*(E1692-(E1692/(E1716))))+((F1690/F$10)*F1691))/(F1692))))</f>
        <v>0</v>
      </c>
      <c r="G1716" s="1423">
        <f t="shared" ref="G1716" ca="1" si="2518">IF(AND(F1716&lt;1,G1690=0),0,
IF(G1690=0,F1716-1,
IF(F1716&lt;1,G1691,
(((F1716-1)*(F1692-(F1692/(F1716))))+((G1690/G$10)*G1691))/(G1692))))</f>
        <v>0</v>
      </c>
      <c r="H1716" s="1423">
        <f t="shared" ref="H1716" ca="1" si="2519">IF(AND(G1716&lt;1,H1690=0),0,
IF(H1690=0,G1716-1,
IF(G1716&lt;1,H1691,
(((G1716-1)*(G1692-(G1692/(G1716))))+((H1690/H$10)*H1691))/(H1692))))</f>
        <v>0</v>
      </c>
      <c r="I1716" s="1423">
        <f t="shared" ref="I1716" ca="1" si="2520">IF(AND(H1716&lt;1,I1690=0),0,
IF(I1690=0,H1716-1,
IF(H1716&lt;1,I1691,
(((H1716-1)*(H1692-(H1692/(H1716))))+((I1690/I$10)*I1691))/(I1692))))</f>
        <v>0</v>
      </c>
      <c r="J1716" s="1423">
        <f t="shared" ref="J1716" ca="1" si="2521">IF(AND(I1716&lt;1,J1690=0),0,
IF(J1690=0,I1716-1,
IF(I1716&lt;1,J1691,
(((I1716-1)*(I1692-(I1692/(I1716))))+((J1690/J$10)*J1691))/(J1692))))</f>
        <v>0</v>
      </c>
      <c r="K1716" s="1423">
        <f t="shared" ref="K1716" ca="1" si="2522">IF(AND(J1716&lt;1,K1690=0),0,
IF(K1690=0,J1716-1,
IF(J1716&lt;1,K1691,
(((J1716-1)*(J1692-(J1692/(J1716))))+((K1690/K$10)*K1691))/(K1692))))</f>
        <v>0</v>
      </c>
      <c r="L1716" s="1423">
        <f t="shared" ref="L1716" ca="1" si="2523">IF(AND(K1716&lt;1,L1690=0),0,
IF(L1690=0,K1716-1,
IF(K1716&lt;1,L1691,
(((K1716-1)*(K1692-(K1692/(K1716))))+((L1690/L$10)*L1691))/(L1692))))</f>
        <v>0</v>
      </c>
      <c r="M1716" s="1423">
        <f t="shared" ref="M1716" ca="1" si="2524">IF(AND(L1716&lt;1,M1690=0),0,
IF(M1690=0,L1716-1,
IF(L1716&lt;1,M1691,
(((L1716-1)*(L1692-(L1692/(L1716))))+((M1690/M$10)*M1691))/(M1692))))</f>
        <v>0</v>
      </c>
      <c r="N1716" s="1423">
        <f t="shared" ref="N1716" ca="1" si="2525">IF(AND(M1716&lt;1,N1690=0),0,
IF(N1690=0,M1716-1,
IF(M1716&lt;1,N1691,
(((M1716-1)*(M1692-(M1692/(M1716))))+((N1690/N$10)*N1691))/(N1692))))</f>
        <v>0</v>
      </c>
      <c r="O1716" s="1423">
        <f t="shared" ref="O1716" ca="1" si="2526">IF(AND(N1716&lt;1,O1690=0),0,
IF(O1690=0,N1716-1,
IF(N1716&lt;1,O1691,
(((N1716-1)*(N1692-(N1692/(N1716))))+((O1690/O$10)*O1691))/(O1692))))</f>
        <v>0</v>
      </c>
      <c r="P1716" s="1423">
        <f t="shared" ref="P1716" ca="1" si="2527">IF(AND(O1716&lt;1,P1690=0),0,
IF(P1690=0,O1716-1,
IF(O1716&lt;1,P1691,
(((O1716-1)*(O1692-(O1692/(O1716))))+((P1690/P$10)*P1691))/(P1692))))</f>
        <v>0</v>
      </c>
      <c r="Q1716" s="1423">
        <f t="shared" ref="Q1716" ca="1" si="2528">IF(AND(P1716&lt;1,Q1690=0),0,
IF(Q1690=0,P1716-1,
IF(P1716&lt;1,Q1691,
(((P1716-1)*(P1692-(P1692/(P1716))))+((Q1690/Q$10)*Q1691))/(Q1692))))</f>
        <v>0</v>
      </c>
      <c r="R1716" s="1423">
        <f t="shared" ref="R1716" ca="1" si="2529">IF(AND(Q1716&lt;1,R1690=0),0,
IF(R1690=0,Q1716-1,
IF(Q1716&lt;1,R1691,
(((Q1716-1)*(Q1692-(Q1692/(Q1716))))+((R1690/R$10)*R1691))/(R1692))))</f>
        <v>0</v>
      </c>
      <c r="S1716" s="1423">
        <f t="shared" ref="S1716" ca="1" si="2530">IF(AND(R1716&lt;1,S1690=0),0,
IF(S1690=0,R1716-1,
IF(R1716&lt;1,S1691,
(((R1716-1)*(R1692-(R1692/(R1716))))+((S1690/S$10)*S1691))/(S1692))))</f>
        <v>0</v>
      </c>
      <c r="T1716" s="1423">
        <f t="shared" ref="T1716" ca="1" si="2531">IF(AND(S1716&lt;1,T1690=0),0,
IF(T1690=0,S1716-1,
IF(S1716&lt;1,T1691,
(((S1716-1)*(S1692-(S1692/(S1716))))+((T1690/T$10)*T1691))/(T1692))))</f>
        <v>0</v>
      </c>
      <c r="U1716" s="1423">
        <f t="shared" ref="U1716" ca="1" si="2532">IF(AND(T1716&lt;1,U1690=0),0,
IF(U1690=0,T1716-1,
IF(T1716&lt;1,U1691,
(((T1716-1)*(T1692-(T1692/(T1716))))+((U1690/U$10)*U1691))/(U1692))))</f>
        <v>0</v>
      </c>
      <c r="V1716" s="1423">
        <f t="shared" ref="V1716" ca="1" si="2533">IF(AND(U1716&lt;1,V1690=0),0,
IF(V1690=0,U1716-1,
IF(U1716&lt;1,V1691,
(((U1716-1)*(U1692-(U1692/(U1716))))+((V1690/V$10)*V1691))/(V1692))))</f>
        <v>0</v>
      </c>
      <c r="W1716" s="1423">
        <f t="shared" ref="W1716" ca="1" si="2534">IF(AND(V1716&lt;1,W1690=0),0,
IF(W1690=0,V1716-1,
IF(V1716&lt;1,W1691,
(((V1716-1)*(V1692-(V1692/(V1716))))+((W1690/W$10)*W1691))/(W1692))))</f>
        <v>0</v>
      </c>
      <c r="X1716" s="152"/>
      <c r="Y1716" s="152"/>
      <c r="Z1716" s="152"/>
      <c r="AA1716" s="152"/>
      <c r="AB1716" s="152"/>
    </row>
    <row r="1717" spans="1:28" hidden="1" outlineLevel="1">
      <c r="A1717" s="152"/>
      <c r="B1717" s="190" t="s">
        <v>122</v>
      </c>
      <c r="C1717" s="1423">
        <f ca="1">C1689</f>
        <v>0</v>
      </c>
      <c r="D1717" s="1423">
        <f t="shared" ref="D1717" ca="1" si="2535">IF(C1717="n/a","n/a",MAX(0,C1717-1))</f>
        <v>0</v>
      </c>
      <c r="E1717" s="1423">
        <f t="shared" ref="E1717:E1718" ca="1" si="2536">IF(D1717="n/a","n/a",MAX(0,D1717-1))</f>
        <v>0</v>
      </c>
      <c r="F1717" s="1423">
        <f t="shared" ref="F1717:F1719" ca="1" si="2537">IF(E1717="n/a","n/a",MAX(0,E1717-1))</f>
        <v>0</v>
      </c>
      <c r="G1717" s="1423">
        <f t="shared" ref="G1717:G1720" ca="1" si="2538">IF(F1717="n/a","n/a",MAX(0,F1717-1))</f>
        <v>0</v>
      </c>
      <c r="H1717" s="1423">
        <f t="shared" ref="H1717:H1721" ca="1" si="2539">IF(G1717="n/a","n/a",MAX(0,G1717-1))</f>
        <v>0</v>
      </c>
      <c r="I1717" s="1423">
        <f t="shared" ref="I1717:I1722" ca="1" si="2540">IF(H1717="n/a","n/a",MAX(0,H1717-1))</f>
        <v>0</v>
      </c>
      <c r="J1717" s="1423">
        <f t="shared" ref="J1717:J1723" ca="1" si="2541">IF(I1717="n/a","n/a",MAX(0,I1717-1))</f>
        <v>0</v>
      </c>
      <c r="K1717" s="1423">
        <f t="shared" ref="K1717:K1724" ca="1" si="2542">IF(J1717="n/a","n/a",MAX(0,J1717-1))</f>
        <v>0</v>
      </c>
      <c r="L1717" s="1423">
        <f t="shared" ref="L1717:L1725" ca="1" si="2543">IF(K1717="n/a","n/a",MAX(0,K1717-1))</f>
        <v>0</v>
      </c>
      <c r="M1717" s="1423">
        <f t="shared" ref="M1717:M1726" ca="1" si="2544">IF(L1717="n/a","n/a",MAX(0,L1717-1))</f>
        <v>0</v>
      </c>
      <c r="N1717" s="1423">
        <f t="shared" ref="N1717:N1727" ca="1" si="2545">IF(M1717="n/a","n/a",MAX(0,M1717-1))</f>
        <v>0</v>
      </c>
      <c r="O1717" s="1423">
        <f t="shared" ref="O1717:O1728" ca="1" si="2546">IF(N1717="n/a","n/a",MAX(0,N1717-1))</f>
        <v>0</v>
      </c>
      <c r="P1717" s="1423">
        <f t="shared" ref="P1717:P1729" ca="1" si="2547">IF(O1717="n/a","n/a",MAX(0,O1717-1))</f>
        <v>0</v>
      </c>
      <c r="Q1717" s="1423">
        <f t="shared" ref="Q1717:Q1730" ca="1" si="2548">IF(P1717="n/a","n/a",MAX(0,P1717-1))</f>
        <v>0</v>
      </c>
      <c r="R1717" s="1423">
        <f t="shared" ref="R1717:R1731" ca="1" si="2549">IF(Q1717="n/a","n/a",MAX(0,Q1717-1))</f>
        <v>0</v>
      </c>
      <c r="S1717" s="1423">
        <f t="shared" ref="S1717:S1732" ca="1" si="2550">IF(R1717="n/a","n/a",MAX(0,R1717-1))</f>
        <v>0</v>
      </c>
      <c r="T1717" s="1423">
        <f t="shared" ref="T1717:T1733" ca="1" si="2551">IF(S1717="n/a","n/a",MAX(0,S1717-1))</f>
        <v>0</v>
      </c>
      <c r="U1717" s="1423">
        <f t="shared" ref="U1717:U1734" ca="1" si="2552">IF(T1717="n/a","n/a",MAX(0,T1717-1))</f>
        <v>0</v>
      </c>
      <c r="V1717" s="1423">
        <f t="shared" ref="V1717:V1735" ca="1" si="2553">IF(U1717="n/a","n/a",MAX(0,U1717-1))</f>
        <v>0</v>
      </c>
      <c r="W1717" s="1423">
        <f t="shared" ref="W1717:W1735" ca="1" si="2554">IF(V1717="n/a","n/a",MAX(0,V1717-1))</f>
        <v>0</v>
      </c>
      <c r="X1717" s="152"/>
      <c r="Y1717" s="152"/>
      <c r="Z1717" s="152"/>
      <c r="AA1717" s="152"/>
      <c r="AB1717" s="152"/>
    </row>
    <row r="1718" spans="1:28" hidden="1" outlineLevel="1">
      <c r="A1718" s="152"/>
      <c r="B1718" s="190" t="str">
        <f t="shared" ref="B1718:B1737" ca="1" si="2555">"RL Capex "&amp;OFFSET($C$6,0,A1694)</f>
        <v>RL Capex 2016-17</v>
      </c>
      <c r="C1718" s="1424"/>
      <c r="D1718" s="1428">
        <f>D1689</f>
        <v>0</v>
      </c>
      <c r="E1718" s="1423">
        <f t="shared" si="2536"/>
        <v>0</v>
      </c>
      <c r="F1718" s="1423">
        <f t="shared" si="2537"/>
        <v>0</v>
      </c>
      <c r="G1718" s="1423">
        <f t="shared" si="2538"/>
        <v>0</v>
      </c>
      <c r="H1718" s="1423">
        <f t="shared" si="2539"/>
        <v>0</v>
      </c>
      <c r="I1718" s="1423">
        <f t="shared" si="2540"/>
        <v>0</v>
      </c>
      <c r="J1718" s="1423">
        <f t="shared" si="2541"/>
        <v>0</v>
      </c>
      <c r="K1718" s="1423">
        <f t="shared" si="2542"/>
        <v>0</v>
      </c>
      <c r="L1718" s="1423">
        <f t="shared" si="2543"/>
        <v>0</v>
      </c>
      <c r="M1718" s="1423">
        <f t="shared" si="2544"/>
        <v>0</v>
      </c>
      <c r="N1718" s="1423">
        <f t="shared" si="2545"/>
        <v>0</v>
      </c>
      <c r="O1718" s="1423">
        <f t="shared" si="2546"/>
        <v>0</v>
      </c>
      <c r="P1718" s="1423">
        <f t="shared" si="2547"/>
        <v>0</v>
      </c>
      <c r="Q1718" s="1423">
        <f t="shared" si="2548"/>
        <v>0</v>
      </c>
      <c r="R1718" s="1423">
        <f t="shared" si="2549"/>
        <v>0</v>
      </c>
      <c r="S1718" s="1423">
        <f t="shared" si="2550"/>
        <v>0</v>
      </c>
      <c r="T1718" s="1423">
        <f t="shared" si="2551"/>
        <v>0</v>
      </c>
      <c r="U1718" s="1423">
        <f t="shared" si="2552"/>
        <v>0</v>
      </c>
      <c r="V1718" s="1423">
        <f t="shared" si="2553"/>
        <v>0</v>
      </c>
      <c r="W1718" s="1423">
        <f t="shared" si="2554"/>
        <v>0</v>
      </c>
      <c r="X1718" s="152"/>
      <c r="Y1718" s="152"/>
      <c r="Z1718" s="152"/>
      <c r="AA1718" s="152"/>
      <c r="AB1718" s="152"/>
    </row>
    <row r="1719" spans="1:28" hidden="1" outlineLevel="1">
      <c r="A1719" s="152"/>
      <c r="B1719" s="190" t="str">
        <f t="shared" ca="1" si="2555"/>
        <v>RL Capex 2017-18</v>
      </c>
      <c r="C1719" s="1429"/>
      <c r="D1719" s="1424"/>
      <c r="E1719" s="1428">
        <f>E1689</f>
        <v>0</v>
      </c>
      <c r="F1719" s="1423">
        <f t="shared" si="2537"/>
        <v>0</v>
      </c>
      <c r="G1719" s="1423">
        <f t="shared" si="2538"/>
        <v>0</v>
      </c>
      <c r="H1719" s="1423">
        <f t="shared" si="2539"/>
        <v>0</v>
      </c>
      <c r="I1719" s="1423">
        <f t="shared" si="2540"/>
        <v>0</v>
      </c>
      <c r="J1719" s="1423">
        <f t="shared" si="2541"/>
        <v>0</v>
      </c>
      <c r="K1719" s="1423">
        <f t="shared" si="2542"/>
        <v>0</v>
      </c>
      <c r="L1719" s="1423">
        <f t="shared" si="2543"/>
        <v>0</v>
      </c>
      <c r="M1719" s="1423">
        <f t="shared" si="2544"/>
        <v>0</v>
      </c>
      <c r="N1719" s="1423">
        <f t="shared" si="2545"/>
        <v>0</v>
      </c>
      <c r="O1719" s="1423">
        <f t="shared" si="2546"/>
        <v>0</v>
      </c>
      <c r="P1719" s="1423">
        <f t="shared" si="2547"/>
        <v>0</v>
      </c>
      <c r="Q1719" s="1423">
        <f t="shared" si="2548"/>
        <v>0</v>
      </c>
      <c r="R1719" s="1423">
        <f t="shared" si="2549"/>
        <v>0</v>
      </c>
      <c r="S1719" s="1423">
        <f t="shared" si="2550"/>
        <v>0</v>
      </c>
      <c r="T1719" s="1423">
        <f t="shared" si="2551"/>
        <v>0</v>
      </c>
      <c r="U1719" s="1423">
        <f t="shared" si="2552"/>
        <v>0</v>
      </c>
      <c r="V1719" s="1423">
        <f t="shared" si="2553"/>
        <v>0</v>
      </c>
      <c r="W1719" s="1423">
        <f t="shared" si="2554"/>
        <v>0</v>
      </c>
      <c r="X1719" s="152"/>
      <c r="Y1719" s="152"/>
      <c r="Z1719" s="152"/>
      <c r="AA1719" s="152"/>
      <c r="AB1719" s="152"/>
    </row>
    <row r="1720" spans="1:28" hidden="1" outlineLevel="1">
      <c r="A1720" s="152"/>
      <c r="B1720" s="190" t="str">
        <f t="shared" ca="1" si="2555"/>
        <v>RL Capex 2018-19</v>
      </c>
      <c r="C1720" s="1429"/>
      <c r="D1720" s="1429"/>
      <c r="E1720" s="1424"/>
      <c r="F1720" s="1428">
        <f>F1689</f>
        <v>0</v>
      </c>
      <c r="G1720" s="1423">
        <f t="shared" si="2538"/>
        <v>0</v>
      </c>
      <c r="H1720" s="1423">
        <f t="shared" si="2539"/>
        <v>0</v>
      </c>
      <c r="I1720" s="1423">
        <f t="shared" si="2540"/>
        <v>0</v>
      </c>
      <c r="J1720" s="1423">
        <f t="shared" si="2541"/>
        <v>0</v>
      </c>
      <c r="K1720" s="1423">
        <f t="shared" si="2542"/>
        <v>0</v>
      </c>
      <c r="L1720" s="1423">
        <f t="shared" si="2543"/>
        <v>0</v>
      </c>
      <c r="M1720" s="1423">
        <f t="shared" si="2544"/>
        <v>0</v>
      </c>
      <c r="N1720" s="1423">
        <f t="shared" si="2545"/>
        <v>0</v>
      </c>
      <c r="O1720" s="1423">
        <f t="shared" si="2546"/>
        <v>0</v>
      </c>
      <c r="P1720" s="1423">
        <f t="shared" si="2547"/>
        <v>0</v>
      </c>
      <c r="Q1720" s="1423">
        <f t="shared" si="2548"/>
        <v>0</v>
      </c>
      <c r="R1720" s="1423">
        <f t="shared" si="2549"/>
        <v>0</v>
      </c>
      <c r="S1720" s="1423">
        <f t="shared" si="2550"/>
        <v>0</v>
      </c>
      <c r="T1720" s="1423">
        <f t="shared" si="2551"/>
        <v>0</v>
      </c>
      <c r="U1720" s="1423">
        <f t="shared" si="2552"/>
        <v>0</v>
      </c>
      <c r="V1720" s="1423">
        <f t="shared" si="2553"/>
        <v>0</v>
      </c>
      <c r="W1720" s="1423">
        <f t="shared" si="2554"/>
        <v>0</v>
      </c>
      <c r="X1720" s="152"/>
      <c r="Y1720" s="152"/>
      <c r="Z1720" s="152"/>
      <c r="AA1720" s="152"/>
      <c r="AB1720" s="152"/>
    </row>
    <row r="1721" spans="1:28" hidden="1" outlineLevel="1">
      <c r="A1721" s="152"/>
      <c r="B1721" s="190" t="str">
        <f t="shared" ca="1" si="2555"/>
        <v>RL Capex 2019-20</v>
      </c>
      <c r="C1721" s="1429"/>
      <c r="D1721" s="1429"/>
      <c r="E1721" s="1429"/>
      <c r="F1721" s="1424"/>
      <c r="G1721" s="1428">
        <f>G1689</f>
        <v>0</v>
      </c>
      <c r="H1721" s="1423">
        <f t="shared" si="2539"/>
        <v>0</v>
      </c>
      <c r="I1721" s="1423">
        <f t="shared" si="2540"/>
        <v>0</v>
      </c>
      <c r="J1721" s="1423">
        <f t="shared" si="2541"/>
        <v>0</v>
      </c>
      <c r="K1721" s="1423">
        <f t="shared" si="2542"/>
        <v>0</v>
      </c>
      <c r="L1721" s="1423">
        <f t="shared" si="2543"/>
        <v>0</v>
      </c>
      <c r="M1721" s="1423">
        <f t="shared" si="2544"/>
        <v>0</v>
      </c>
      <c r="N1721" s="1423">
        <f t="shared" si="2545"/>
        <v>0</v>
      </c>
      <c r="O1721" s="1423">
        <f t="shared" si="2546"/>
        <v>0</v>
      </c>
      <c r="P1721" s="1423">
        <f t="shared" si="2547"/>
        <v>0</v>
      </c>
      <c r="Q1721" s="1423">
        <f t="shared" si="2548"/>
        <v>0</v>
      </c>
      <c r="R1721" s="1423">
        <f t="shared" si="2549"/>
        <v>0</v>
      </c>
      <c r="S1721" s="1423">
        <f t="shared" si="2550"/>
        <v>0</v>
      </c>
      <c r="T1721" s="1423">
        <f t="shared" si="2551"/>
        <v>0</v>
      </c>
      <c r="U1721" s="1423">
        <f t="shared" si="2552"/>
        <v>0</v>
      </c>
      <c r="V1721" s="1423">
        <f t="shared" si="2553"/>
        <v>0</v>
      </c>
      <c r="W1721" s="1423">
        <f t="shared" si="2554"/>
        <v>0</v>
      </c>
      <c r="X1721" s="152"/>
      <c r="Y1721" s="152"/>
      <c r="Z1721" s="152"/>
      <c r="AA1721" s="152"/>
      <c r="AB1721" s="152"/>
    </row>
    <row r="1722" spans="1:28" hidden="1" outlineLevel="1">
      <c r="A1722" s="152"/>
      <c r="B1722" s="190" t="str">
        <f t="shared" ca="1" si="2555"/>
        <v>RL Capex 2020-21</v>
      </c>
      <c r="C1722" s="1429"/>
      <c r="D1722" s="1429"/>
      <c r="E1722" s="1429"/>
      <c r="F1722" s="1429"/>
      <c r="G1722" s="1424"/>
      <c r="H1722" s="1428">
        <f>H1689</f>
        <v>0</v>
      </c>
      <c r="I1722" s="1423">
        <f t="shared" si="2540"/>
        <v>0</v>
      </c>
      <c r="J1722" s="1423">
        <f t="shared" si="2541"/>
        <v>0</v>
      </c>
      <c r="K1722" s="1423">
        <f t="shared" si="2542"/>
        <v>0</v>
      </c>
      <c r="L1722" s="1423">
        <f t="shared" si="2543"/>
        <v>0</v>
      </c>
      <c r="M1722" s="1423">
        <f t="shared" si="2544"/>
        <v>0</v>
      </c>
      <c r="N1722" s="1423">
        <f t="shared" si="2545"/>
        <v>0</v>
      </c>
      <c r="O1722" s="1423">
        <f t="shared" si="2546"/>
        <v>0</v>
      </c>
      <c r="P1722" s="1423">
        <f t="shared" si="2547"/>
        <v>0</v>
      </c>
      <c r="Q1722" s="1423">
        <f t="shared" si="2548"/>
        <v>0</v>
      </c>
      <c r="R1722" s="1423">
        <f t="shared" si="2549"/>
        <v>0</v>
      </c>
      <c r="S1722" s="1423">
        <f t="shared" si="2550"/>
        <v>0</v>
      </c>
      <c r="T1722" s="1423">
        <f t="shared" si="2551"/>
        <v>0</v>
      </c>
      <c r="U1722" s="1423">
        <f t="shared" si="2552"/>
        <v>0</v>
      </c>
      <c r="V1722" s="1423">
        <f t="shared" si="2553"/>
        <v>0</v>
      </c>
      <c r="W1722" s="1423">
        <f t="shared" si="2554"/>
        <v>0</v>
      </c>
      <c r="X1722" s="152"/>
      <c r="Y1722" s="152"/>
      <c r="Z1722" s="152"/>
      <c r="AA1722" s="152"/>
      <c r="AB1722" s="152"/>
    </row>
    <row r="1723" spans="1:28" hidden="1" outlineLevel="1">
      <c r="A1723" s="152"/>
      <c r="B1723" s="190" t="str">
        <f t="shared" ca="1" si="2555"/>
        <v>RL Capex 2021-22</v>
      </c>
      <c r="C1723" s="1429"/>
      <c r="D1723" s="1429"/>
      <c r="E1723" s="1429"/>
      <c r="F1723" s="1429"/>
      <c r="G1723" s="1429"/>
      <c r="H1723" s="1424"/>
      <c r="I1723" s="1428">
        <f>I1689</f>
        <v>0</v>
      </c>
      <c r="J1723" s="1423">
        <f t="shared" si="2541"/>
        <v>0</v>
      </c>
      <c r="K1723" s="1423">
        <f t="shared" si="2542"/>
        <v>0</v>
      </c>
      <c r="L1723" s="1423">
        <f t="shared" si="2543"/>
        <v>0</v>
      </c>
      <c r="M1723" s="1423">
        <f t="shared" si="2544"/>
        <v>0</v>
      </c>
      <c r="N1723" s="1423">
        <f t="shared" si="2545"/>
        <v>0</v>
      </c>
      <c r="O1723" s="1423">
        <f t="shared" si="2546"/>
        <v>0</v>
      </c>
      <c r="P1723" s="1423">
        <f t="shared" si="2547"/>
        <v>0</v>
      </c>
      <c r="Q1723" s="1423">
        <f t="shared" si="2548"/>
        <v>0</v>
      </c>
      <c r="R1723" s="1423">
        <f t="shared" si="2549"/>
        <v>0</v>
      </c>
      <c r="S1723" s="1423">
        <f t="shared" si="2550"/>
        <v>0</v>
      </c>
      <c r="T1723" s="1423">
        <f t="shared" si="2551"/>
        <v>0</v>
      </c>
      <c r="U1723" s="1423">
        <f t="shared" si="2552"/>
        <v>0</v>
      </c>
      <c r="V1723" s="1423">
        <f t="shared" si="2553"/>
        <v>0</v>
      </c>
      <c r="W1723" s="1423">
        <f t="shared" si="2554"/>
        <v>0</v>
      </c>
      <c r="X1723" s="152"/>
      <c r="Y1723" s="152"/>
      <c r="Z1723" s="152"/>
      <c r="AA1723" s="152"/>
      <c r="AB1723" s="152"/>
    </row>
    <row r="1724" spans="1:28" hidden="1" outlineLevel="1">
      <c r="A1724" s="152"/>
      <c r="B1724" s="190" t="str">
        <f t="shared" ca="1" si="2555"/>
        <v>RL Capex 2022-23</v>
      </c>
      <c r="C1724" s="1429"/>
      <c r="D1724" s="1429"/>
      <c r="E1724" s="1429"/>
      <c r="F1724" s="1429"/>
      <c r="G1724" s="1429"/>
      <c r="H1724" s="1429"/>
      <c r="I1724" s="1424"/>
      <c r="J1724" s="1428">
        <f>J1689</f>
        <v>0</v>
      </c>
      <c r="K1724" s="1423">
        <f t="shared" si="2542"/>
        <v>0</v>
      </c>
      <c r="L1724" s="1423">
        <f t="shared" si="2543"/>
        <v>0</v>
      </c>
      <c r="M1724" s="1423">
        <f t="shared" si="2544"/>
        <v>0</v>
      </c>
      <c r="N1724" s="1423">
        <f t="shared" si="2545"/>
        <v>0</v>
      </c>
      <c r="O1724" s="1423">
        <f t="shared" si="2546"/>
        <v>0</v>
      </c>
      <c r="P1724" s="1423">
        <f t="shared" si="2547"/>
        <v>0</v>
      </c>
      <c r="Q1724" s="1423">
        <f t="shared" si="2548"/>
        <v>0</v>
      </c>
      <c r="R1724" s="1423">
        <f t="shared" si="2549"/>
        <v>0</v>
      </c>
      <c r="S1724" s="1423">
        <f t="shared" si="2550"/>
        <v>0</v>
      </c>
      <c r="T1724" s="1423">
        <f t="shared" si="2551"/>
        <v>0</v>
      </c>
      <c r="U1724" s="1423">
        <f t="shared" si="2552"/>
        <v>0</v>
      </c>
      <c r="V1724" s="1423">
        <f t="shared" si="2553"/>
        <v>0</v>
      </c>
      <c r="W1724" s="1423">
        <f t="shared" si="2554"/>
        <v>0</v>
      </c>
      <c r="X1724" s="152"/>
      <c r="Y1724" s="152"/>
      <c r="Z1724" s="152"/>
      <c r="AA1724" s="152"/>
      <c r="AB1724" s="152"/>
    </row>
    <row r="1725" spans="1:28" hidden="1" outlineLevel="1">
      <c r="A1725" s="152"/>
      <c r="B1725" s="190" t="str">
        <f t="shared" ca="1" si="2555"/>
        <v>RL Capex 2023-24</v>
      </c>
      <c r="C1725" s="1429"/>
      <c r="D1725" s="1429"/>
      <c r="E1725" s="1429"/>
      <c r="F1725" s="1429"/>
      <c r="G1725" s="1429"/>
      <c r="H1725" s="1429"/>
      <c r="I1725" s="1429"/>
      <c r="J1725" s="1424"/>
      <c r="K1725" s="1428">
        <f>K1689</f>
        <v>0</v>
      </c>
      <c r="L1725" s="1423">
        <f t="shared" si="2543"/>
        <v>0</v>
      </c>
      <c r="M1725" s="1423">
        <f t="shared" si="2544"/>
        <v>0</v>
      </c>
      <c r="N1725" s="1423">
        <f t="shared" si="2545"/>
        <v>0</v>
      </c>
      <c r="O1725" s="1423">
        <f t="shared" si="2546"/>
        <v>0</v>
      </c>
      <c r="P1725" s="1423">
        <f t="shared" si="2547"/>
        <v>0</v>
      </c>
      <c r="Q1725" s="1423">
        <f t="shared" si="2548"/>
        <v>0</v>
      </c>
      <c r="R1725" s="1423">
        <f t="shared" si="2549"/>
        <v>0</v>
      </c>
      <c r="S1725" s="1423">
        <f t="shared" si="2550"/>
        <v>0</v>
      </c>
      <c r="T1725" s="1423">
        <f t="shared" si="2551"/>
        <v>0</v>
      </c>
      <c r="U1725" s="1423">
        <f t="shared" si="2552"/>
        <v>0</v>
      </c>
      <c r="V1725" s="1423">
        <f t="shared" si="2553"/>
        <v>0</v>
      </c>
      <c r="W1725" s="1423">
        <f t="shared" si="2554"/>
        <v>0</v>
      </c>
      <c r="X1725" s="152"/>
      <c r="Y1725" s="152"/>
      <c r="Z1725" s="152"/>
      <c r="AA1725" s="152"/>
      <c r="AB1725" s="152"/>
    </row>
    <row r="1726" spans="1:28" hidden="1" outlineLevel="1">
      <c r="A1726" s="152"/>
      <c r="B1726" s="190" t="str">
        <f t="shared" ca="1" si="2555"/>
        <v>RL Capex 2024-25</v>
      </c>
      <c r="C1726" s="1429"/>
      <c r="D1726" s="1429"/>
      <c r="E1726" s="1429"/>
      <c r="F1726" s="1429"/>
      <c r="G1726" s="1429"/>
      <c r="H1726" s="1429"/>
      <c r="I1726" s="1429"/>
      <c r="J1726" s="1429"/>
      <c r="K1726" s="1424"/>
      <c r="L1726" s="1428">
        <f>L1689</f>
        <v>0</v>
      </c>
      <c r="M1726" s="1423">
        <f t="shared" si="2544"/>
        <v>0</v>
      </c>
      <c r="N1726" s="1423">
        <f t="shared" si="2545"/>
        <v>0</v>
      </c>
      <c r="O1726" s="1423">
        <f t="shared" si="2546"/>
        <v>0</v>
      </c>
      <c r="P1726" s="1423">
        <f t="shared" si="2547"/>
        <v>0</v>
      </c>
      <c r="Q1726" s="1423">
        <f t="shared" si="2548"/>
        <v>0</v>
      </c>
      <c r="R1726" s="1423">
        <f t="shared" si="2549"/>
        <v>0</v>
      </c>
      <c r="S1726" s="1423">
        <f t="shared" si="2550"/>
        <v>0</v>
      </c>
      <c r="T1726" s="1423">
        <f t="shared" si="2551"/>
        <v>0</v>
      </c>
      <c r="U1726" s="1423">
        <f t="shared" si="2552"/>
        <v>0</v>
      </c>
      <c r="V1726" s="1423">
        <f t="shared" si="2553"/>
        <v>0</v>
      </c>
      <c r="W1726" s="1423">
        <f t="shared" si="2554"/>
        <v>0</v>
      </c>
      <c r="X1726" s="152"/>
      <c r="Y1726" s="152"/>
      <c r="Z1726" s="152"/>
      <c r="AA1726" s="152"/>
      <c r="AB1726" s="152"/>
    </row>
    <row r="1727" spans="1:28" hidden="1" outlineLevel="1">
      <c r="A1727" s="152"/>
      <c r="B1727" s="190" t="str">
        <f t="shared" ca="1" si="2555"/>
        <v>RL Capex 2025-26</v>
      </c>
      <c r="C1727" s="1429"/>
      <c r="D1727" s="1429"/>
      <c r="E1727" s="1429"/>
      <c r="F1727" s="1429"/>
      <c r="G1727" s="1429"/>
      <c r="H1727" s="1429"/>
      <c r="I1727" s="1429"/>
      <c r="J1727" s="1429"/>
      <c r="K1727" s="1429"/>
      <c r="L1727" s="1424"/>
      <c r="M1727" s="1428">
        <f>M1689</f>
        <v>0</v>
      </c>
      <c r="N1727" s="1423">
        <f t="shared" si="2545"/>
        <v>0</v>
      </c>
      <c r="O1727" s="1423">
        <f t="shared" si="2546"/>
        <v>0</v>
      </c>
      <c r="P1727" s="1423">
        <f t="shared" si="2547"/>
        <v>0</v>
      </c>
      <c r="Q1727" s="1423">
        <f t="shared" si="2548"/>
        <v>0</v>
      </c>
      <c r="R1727" s="1423">
        <f t="shared" si="2549"/>
        <v>0</v>
      </c>
      <c r="S1727" s="1423">
        <f t="shared" si="2550"/>
        <v>0</v>
      </c>
      <c r="T1727" s="1423">
        <f t="shared" si="2551"/>
        <v>0</v>
      </c>
      <c r="U1727" s="1423">
        <f t="shared" si="2552"/>
        <v>0</v>
      </c>
      <c r="V1727" s="1423">
        <f t="shared" si="2553"/>
        <v>0</v>
      </c>
      <c r="W1727" s="1423">
        <f t="shared" si="2554"/>
        <v>0</v>
      </c>
      <c r="X1727" s="152"/>
      <c r="Y1727" s="152"/>
      <c r="Z1727" s="152"/>
      <c r="AA1727" s="152"/>
      <c r="AB1727" s="152"/>
    </row>
    <row r="1728" spans="1:28" hidden="1" outlineLevel="1">
      <c r="A1728" s="152"/>
      <c r="B1728" s="190" t="str">
        <f t="shared" ca="1" si="2555"/>
        <v>RL Capex 2026-27</v>
      </c>
      <c r="C1728" s="1429"/>
      <c r="D1728" s="1429"/>
      <c r="E1728" s="1429"/>
      <c r="F1728" s="1429"/>
      <c r="G1728" s="1429"/>
      <c r="H1728" s="1429"/>
      <c r="I1728" s="1429"/>
      <c r="J1728" s="1429"/>
      <c r="K1728" s="1429"/>
      <c r="L1728" s="1429"/>
      <c r="M1728" s="1424"/>
      <c r="N1728" s="1428">
        <f>N1689</f>
        <v>0</v>
      </c>
      <c r="O1728" s="1423">
        <f t="shared" si="2546"/>
        <v>0</v>
      </c>
      <c r="P1728" s="1423">
        <f t="shared" si="2547"/>
        <v>0</v>
      </c>
      <c r="Q1728" s="1423">
        <f t="shared" si="2548"/>
        <v>0</v>
      </c>
      <c r="R1728" s="1423">
        <f t="shared" si="2549"/>
        <v>0</v>
      </c>
      <c r="S1728" s="1423">
        <f t="shared" si="2550"/>
        <v>0</v>
      </c>
      <c r="T1728" s="1423">
        <f t="shared" si="2551"/>
        <v>0</v>
      </c>
      <c r="U1728" s="1423">
        <f t="shared" si="2552"/>
        <v>0</v>
      </c>
      <c r="V1728" s="1423">
        <f t="shared" si="2553"/>
        <v>0</v>
      </c>
      <c r="W1728" s="1423">
        <f t="shared" si="2554"/>
        <v>0</v>
      </c>
      <c r="X1728" s="152"/>
      <c r="Y1728" s="152"/>
      <c r="Z1728" s="152"/>
      <c r="AA1728" s="152"/>
      <c r="AB1728" s="152"/>
    </row>
    <row r="1729" spans="1:28" hidden="1" outlineLevel="1">
      <c r="A1729" s="152"/>
      <c r="B1729" s="190" t="str">
        <f t="shared" ca="1" si="2555"/>
        <v>RL Capex 2027-28</v>
      </c>
      <c r="C1729" s="1429"/>
      <c r="D1729" s="1429"/>
      <c r="E1729" s="1429"/>
      <c r="F1729" s="1429"/>
      <c r="G1729" s="1429"/>
      <c r="H1729" s="1429"/>
      <c r="I1729" s="1429"/>
      <c r="J1729" s="1429"/>
      <c r="K1729" s="1429"/>
      <c r="L1729" s="1429"/>
      <c r="M1729" s="1429"/>
      <c r="N1729" s="1424"/>
      <c r="O1729" s="1428">
        <f>O1689</f>
        <v>0</v>
      </c>
      <c r="P1729" s="1423">
        <f t="shared" si="2547"/>
        <v>0</v>
      </c>
      <c r="Q1729" s="1423">
        <f t="shared" si="2548"/>
        <v>0</v>
      </c>
      <c r="R1729" s="1423">
        <f t="shared" si="2549"/>
        <v>0</v>
      </c>
      <c r="S1729" s="1423">
        <f t="shared" si="2550"/>
        <v>0</v>
      </c>
      <c r="T1729" s="1423">
        <f t="shared" si="2551"/>
        <v>0</v>
      </c>
      <c r="U1729" s="1423">
        <f t="shared" si="2552"/>
        <v>0</v>
      </c>
      <c r="V1729" s="1423">
        <f t="shared" si="2553"/>
        <v>0</v>
      </c>
      <c r="W1729" s="1423">
        <f t="shared" si="2554"/>
        <v>0</v>
      </c>
      <c r="X1729" s="152"/>
      <c r="Y1729" s="152"/>
      <c r="Z1729" s="152"/>
      <c r="AA1729" s="152"/>
      <c r="AB1729" s="152"/>
    </row>
    <row r="1730" spans="1:28" hidden="1" outlineLevel="1">
      <c r="A1730" s="152"/>
      <c r="B1730" s="190" t="str">
        <f t="shared" ca="1" si="2555"/>
        <v>RL Capex 2028-29</v>
      </c>
      <c r="C1730" s="1429"/>
      <c r="D1730" s="1429"/>
      <c r="E1730" s="1429"/>
      <c r="F1730" s="1429"/>
      <c r="G1730" s="1429"/>
      <c r="H1730" s="1429"/>
      <c r="I1730" s="1429"/>
      <c r="J1730" s="1429"/>
      <c r="K1730" s="1429"/>
      <c r="L1730" s="1429"/>
      <c r="M1730" s="1429"/>
      <c r="N1730" s="1429"/>
      <c r="O1730" s="1424"/>
      <c r="P1730" s="1428">
        <f>P1689</f>
        <v>0</v>
      </c>
      <c r="Q1730" s="1423">
        <f t="shared" si="2548"/>
        <v>0</v>
      </c>
      <c r="R1730" s="1423">
        <f t="shared" si="2549"/>
        <v>0</v>
      </c>
      <c r="S1730" s="1423">
        <f t="shared" si="2550"/>
        <v>0</v>
      </c>
      <c r="T1730" s="1423">
        <f t="shared" si="2551"/>
        <v>0</v>
      </c>
      <c r="U1730" s="1423">
        <f t="shared" si="2552"/>
        <v>0</v>
      </c>
      <c r="V1730" s="1423">
        <f t="shared" si="2553"/>
        <v>0</v>
      </c>
      <c r="W1730" s="1423">
        <f t="shared" si="2554"/>
        <v>0</v>
      </c>
      <c r="X1730" s="152"/>
      <c r="Y1730" s="152"/>
      <c r="Z1730" s="152"/>
      <c r="AA1730" s="152"/>
      <c r="AB1730" s="152"/>
    </row>
    <row r="1731" spans="1:28" hidden="1" outlineLevel="1">
      <c r="A1731" s="152"/>
      <c r="B1731" s="190" t="str">
        <f t="shared" ca="1" si="2555"/>
        <v>RL Capex 2029-30</v>
      </c>
      <c r="C1731" s="1429"/>
      <c r="D1731" s="1429"/>
      <c r="E1731" s="1429"/>
      <c r="F1731" s="1429"/>
      <c r="G1731" s="1429"/>
      <c r="H1731" s="1429"/>
      <c r="I1731" s="1429"/>
      <c r="J1731" s="1429"/>
      <c r="K1731" s="1429"/>
      <c r="L1731" s="1429"/>
      <c r="M1731" s="1429"/>
      <c r="N1731" s="1429"/>
      <c r="O1731" s="1429"/>
      <c r="P1731" s="1424"/>
      <c r="Q1731" s="1428">
        <f>Q1689</f>
        <v>0</v>
      </c>
      <c r="R1731" s="1423">
        <f t="shared" si="2549"/>
        <v>0</v>
      </c>
      <c r="S1731" s="1423">
        <f t="shared" si="2550"/>
        <v>0</v>
      </c>
      <c r="T1731" s="1423">
        <f t="shared" si="2551"/>
        <v>0</v>
      </c>
      <c r="U1731" s="1423">
        <f t="shared" si="2552"/>
        <v>0</v>
      </c>
      <c r="V1731" s="1423">
        <f t="shared" si="2553"/>
        <v>0</v>
      </c>
      <c r="W1731" s="1423">
        <f t="shared" si="2554"/>
        <v>0</v>
      </c>
      <c r="X1731" s="152"/>
      <c r="Y1731" s="152"/>
      <c r="Z1731" s="152"/>
      <c r="AA1731" s="152"/>
      <c r="AB1731" s="152"/>
    </row>
    <row r="1732" spans="1:28" hidden="1" outlineLevel="1">
      <c r="A1732" s="152"/>
      <c r="B1732" s="190" t="str">
        <f t="shared" ca="1" si="2555"/>
        <v>RL Capex 2030-31</v>
      </c>
      <c r="C1732" s="1429"/>
      <c r="D1732" s="1429"/>
      <c r="E1732" s="1429"/>
      <c r="F1732" s="1429"/>
      <c r="G1732" s="1429"/>
      <c r="H1732" s="1429"/>
      <c r="I1732" s="1429"/>
      <c r="J1732" s="1429"/>
      <c r="K1732" s="1429"/>
      <c r="L1732" s="1429"/>
      <c r="M1732" s="1429"/>
      <c r="N1732" s="1429"/>
      <c r="O1732" s="1429"/>
      <c r="P1732" s="1429"/>
      <c r="Q1732" s="1424"/>
      <c r="R1732" s="1428">
        <f>R1689</f>
        <v>0</v>
      </c>
      <c r="S1732" s="1423">
        <f t="shared" si="2550"/>
        <v>0</v>
      </c>
      <c r="T1732" s="1423">
        <f t="shared" si="2551"/>
        <v>0</v>
      </c>
      <c r="U1732" s="1423">
        <f t="shared" si="2552"/>
        <v>0</v>
      </c>
      <c r="V1732" s="1423">
        <f t="shared" si="2553"/>
        <v>0</v>
      </c>
      <c r="W1732" s="1423">
        <f t="shared" si="2554"/>
        <v>0</v>
      </c>
      <c r="X1732" s="152"/>
      <c r="Y1732" s="152"/>
      <c r="Z1732" s="152"/>
      <c r="AA1732" s="152"/>
      <c r="AB1732" s="152"/>
    </row>
    <row r="1733" spans="1:28" hidden="1" outlineLevel="1">
      <c r="A1733" s="152"/>
      <c r="B1733" s="190" t="str">
        <f t="shared" ca="1" si="2555"/>
        <v>RL Capex 2031-32</v>
      </c>
      <c r="C1733" s="1429"/>
      <c r="D1733" s="1429"/>
      <c r="E1733" s="1429"/>
      <c r="F1733" s="1429"/>
      <c r="G1733" s="1429"/>
      <c r="H1733" s="1429"/>
      <c r="I1733" s="1429"/>
      <c r="J1733" s="1429"/>
      <c r="K1733" s="1429"/>
      <c r="L1733" s="1429"/>
      <c r="M1733" s="1429"/>
      <c r="N1733" s="1429"/>
      <c r="O1733" s="1429"/>
      <c r="P1733" s="1429"/>
      <c r="Q1733" s="1429"/>
      <c r="R1733" s="1424"/>
      <c r="S1733" s="1428">
        <f>S1689</f>
        <v>0</v>
      </c>
      <c r="T1733" s="1423">
        <f t="shared" si="2551"/>
        <v>0</v>
      </c>
      <c r="U1733" s="1423">
        <f t="shared" si="2552"/>
        <v>0</v>
      </c>
      <c r="V1733" s="1423">
        <f t="shared" si="2553"/>
        <v>0</v>
      </c>
      <c r="W1733" s="1423">
        <f t="shared" si="2554"/>
        <v>0</v>
      </c>
      <c r="X1733" s="152"/>
      <c r="Y1733" s="152"/>
      <c r="Z1733" s="152"/>
      <c r="AA1733" s="152"/>
      <c r="AB1733" s="152"/>
    </row>
    <row r="1734" spans="1:28" hidden="1" outlineLevel="1">
      <c r="A1734" s="152"/>
      <c r="B1734" s="190" t="str">
        <f t="shared" ca="1" si="2555"/>
        <v>RL Capex 2032-33</v>
      </c>
      <c r="C1734" s="1429"/>
      <c r="D1734" s="1429"/>
      <c r="E1734" s="1429"/>
      <c r="F1734" s="1429"/>
      <c r="G1734" s="1429"/>
      <c r="H1734" s="1429"/>
      <c r="I1734" s="1429"/>
      <c r="J1734" s="1429"/>
      <c r="K1734" s="1429"/>
      <c r="L1734" s="1429"/>
      <c r="M1734" s="1429"/>
      <c r="N1734" s="1429"/>
      <c r="O1734" s="1429"/>
      <c r="P1734" s="1429"/>
      <c r="Q1734" s="1429"/>
      <c r="R1734" s="1429"/>
      <c r="S1734" s="1424"/>
      <c r="T1734" s="1428">
        <f>T1689</f>
        <v>0</v>
      </c>
      <c r="U1734" s="1423">
        <f t="shared" si="2552"/>
        <v>0</v>
      </c>
      <c r="V1734" s="1423">
        <f t="shared" si="2553"/>
        <v>0</v>
      </c>
      <c r="W1734" s="1423">
        <f t="shared" si="2554"/>
        <v>0</v>
      </c>
      <c r="X1734" s="152"/>
      <c r="Y1734" s="152"/>
      <c r="Z1734" s="152"/>
      <c r="AA1734" s="152"/>
      <c r="AB1734" s="152"/>
    </row>
    <row r="1735" spans="1:28" hidden="1" outlineLevel="1">
      <c r="A1735" s="152"/>
      <c r="B1735" s="190" t="str">
        <f t="shared" ca="1" si="2555"/>
        <v>RL Capex 2033-34</v>
      </c>
      <c r="C1735" s="1429"/>
      <c r="D1735" s="1429"/>
      <c r="E1735" s="1429"/>
      <c r="F1735" s="1429"/>
      <c r="G1735" s="1429"/>
      <c r="H1735" s="1429"/>
      <c r="I1735" s="1429"/>
      <c r="J1735" s="1429"/>
      <c r="K1735" s="1429"/>
      <c r="L1735" s="1429"/>
      <c r="M1735" s="1429"/>
      <c r="N1735" s="1429"/>
      <c r="O1735" s="1429"/>
      <c r="P1735" s="1429"/>
      <c r="Q1735" s="1429"/>
      <c r="R1735" s="1429"/>
      <c r="S1735" s="1429"/>
      <c r="T1735" s="1424"/>
      <c r="U1735" s="1428">
        <f>U1689</f>
        <v>0</v>
      </c>
      <c r="V1735" s="1423">
        <f t="shared" si="2553"/>
        <v>0</v>
      </c>
      <c r="W1735" s="1423">
        <f t="shared" si="2554"/>
        <v>0</v>
      </c>
      <c r="X1735" s="152"/>
      <c r="Y1735" s="152"/>
      <c r="Z1735" s="152"/>
      <c r="AA1735" s="152"/>
      <c r="AB1735" s="152"/>
    </row>
    <row r="1736" spans="1:28" hidden="1" outlineLevel="1">
      <c r="A1736" s="152"/>
      <c r="B1736" s="190" t="str">
        <f t="shared" ca="1" si="2555"/>
        <v>RL Capex 2034-35</v>
      </c>
      <c r="C1736" s="1429"/>
      <c r="D1736" s="1429"/>
      <c r="E1736" s="1429"/>
      <c r="F1736" s="1429"/>
      <c r="G1736" s="1429"/>
      <c r="H1736" s="1429"/>
      <c r="I1736" s="1429"/>
      <c r="J1736" s="1429"/>
      <c r="K1736" s="1429"/>
      <c r="L1736" s="1429"/>
      <c r="M1736" s="1429"/>
      <c r="N1736" s="1429"/>
      <c r="O1736" s="1429"/>
      <c r="P1736" s="1429"/>
      <c r="Q1736" s="1429"/>
      <c r="R1736" s="1429"/>
      <c r="S1736" s="1429"/>
      <c r="T1736" s="1429"/>
      <c r="U1736" s="1424"/>
      <c r="V1736" s="1428">
        <f>V1689</f>
        <v>0</v>
      </c>
      <c r="W1736" s="1423">
        <f>IF(V1736="n/a","n/a",MAX(0,V1736-1))</f>
        <v>0</v>
      </c>
      <c r="X1736" s="152"/>
      <c r="Y1736" s="152"/>
      <c r="Z1736" s="152"/>
      <c r="AA1736" s="152"/>
      <c r="AB1736" s="152"/>
    </row>
    <row r="1737" spans="1:28" hidden="1" outlineLevel="1">
      <c r="A1737" s="152"/>
      <c r="B1737" s="190" t="str">
        <f t="shared" ca="1" si="2555"/>
        <v>RL Capex 2035-36</v>
      </c>
      <c r="C1737" s="1429"/>
      <c r="D1737" s="1429"/>
      <c r="E1737" s="1429"/>
      <c r="F1737" s="1429"/>
      <c r="G1737" s="1429"/>
      <c r="H1737" s="1429"/>
      <c r="I1737" s="1429"/>
      <c r="J1737" s="1429"/>
      <c r="K1737" s="1429"/>
      <c r="L1737" s="1429"/>
      <c r="M1737" s="1429"/>
      <c r="N1737" s="1429"/>
      <c r="O1737" s="1429"/>
      <c r="P1737" s="1429"/>
      <c r="Q1737" s="1429"/>
      <c r="R1737" s="1429"/>
      <c r="S1737" s="1429"/>
      <c r="T1737" s="1429"/>
      <c r="U1737" s="1429"/>
      <c r="V1737" s="1424"/>
      <c r="W1737" s="1423">
        <f>W1689</f>
        <v>0</v>
      </c>
      <c r="X1737" s="152"/>
      <c r="Y1737" s="152"/>
      <c r="Z1737" s="152"/>
      <c r="AA1737" s="152"/>
      <c r="AB1737" s="152"/>
    </row>
    <row r="1738" spans="1:28" hidden="1" outlineLevel="1">
      <c r="A1738" s="152"/>
      <c r="B1738" s="200"/>
      <c r="C1738" s="1423"/>
      <c r="D1738" s="1423"/>
      <c r="E1738" s="1423"/>
      <c r="F1738" s="1423"/>
      <c r="G1738" s="1423"/>
      <c r="H1738" s="1423"/>
      <c r="I1738" s="1423"/>
      <c r="J1738" s="1423"/>
      <c r="K1738" s="1423"/>
      <c r="L1738" s="1423"/>
      <c r="M1738" s="1423"/>
      <c r="N1738" s="1423"/>
      <c r="O1738" s="1423"/>
      <c r="P1738" s="1423"/>
      <c r="Q1738" s="1423"/>
      <c r="R1738" s="1423"/>
      <c r="S1738" s="1423"/>
      <c r="T1738" s="1423"/>
      <c r="U1738" s="1423"/>
      <c r="V1738" s="1423"/>
      <c r="W1738" s="1423"/>
      <c r="X1738" s="152"/>
      <c r="Y1738" s="152"/>
      <c r="Z1738" s="152"/>
      <c r="AA1738" s="152"/>
      <c r="AB1738" s="152"/>
    </row>
    <row r="1739" spans="1:28" collapsed="1">
      <c r="A1739" s="194"/>
      <c r="B1739" s="204" t="s">
        <v>123</v>
      </c>
      <c r="C1739" s="1430">
        <f ca="1">(IF(OR($C1689&lt;&gt;"n/a",C1689&lt;&gt;"n/a"),IF(SUM(C1692:C1714)=0,0,IF((SUMPRODUCT(C1692:C1714,C1716:C1738)/SUM(C1692:C1714))&lt;0,1,(SUMPRODUCT(C1692:C1714,C1716:C1738)/SUM(C1692:C1714)))),"n/a"))</f>
        <v>0</v>
      </c>
      <c r="D1739" s="1430">
        <f ca="1">(IF(OR($C1689&lt;&gt;"n/a",D1689&lt;&gt;"n/a"),IF(SUM(D1692:D1714)=0,0,IF((SUMPRODUCT(D1692:D1714,D1716:D1738)/SUM(D1692:D1714))&lt;0,1,(SUMPRODUCT(D1692:D1714,D1716:D1738)/SUM(D1692:D1714)))),"n/a"))</f>
        <v>0</v>
      </c>
      <c r="E1739" s="1430">
        <f t="shared" ref="E1739:W1739" ca="1" si="2556">(IF(OR($C1689&lt;&gt;"n/a",E1689&lt;&gt;"n/a"),IF(SUM(E1692:E1714)=0,0,IF((SUMPRODUCT(E1692:E1714,E1716:E1738)/SUM(E1692:E1714))&lt;0,1,(SUMPRODUCT(E1692:E1714,E1716:E1738)/SUM(E1692:E1714)))),"n/a"))</f>
        <v>0</v>
      </c>
      <c r="F1739" s="1430">
        <f t="shared" ca="1" si="2556"/>
        <v>0</v>
      </c>
      <c r="G1739" s="1430">
        <f t="shared" ca="1" si="2556"/>
        <v>0</v>
      </c>
      <c r="H1739" s="1430">
        <f t="shared" ca="1" si="2556"/>
        <v>0</v>
      </c>
      <c r="I1739" s="1430">
        <f t="shared" ca="1" si="2556"/>
        <v>0</v>
      </c>
      <c r="J1739" s="1430">
        <f t="shared" ca="1" si="2556"/>
        <v>0</v>
      </c>
      <c r="K1739" s="1430">
        <f t="shared" ca="1" si="2556"/>
        <v>0</v>
      </c>
      <c r="L1739" s="1430">
        <f t="shared" ca="1" si="2556"/>
        <v>0</v>
      </c>
      <c r="M1739" s="1430">
        <f t="shared" ca="1" si="2556"/>
        <v>0</v>
      </c>
      <c r="N1739" s="1430">
        <f t="shared" ca="1" si="2556"/>
        <v>0</v>
      </c>
      <c r="O1739" s="1430">
        <f t="shared" ca="1" si="2556"/>
        <v>0</v>
      </c>
      <c r="P1739" s="1430">
        <f t="shared" ca="1" si="2556"/>
        <v>0</v>
      </c>
      <c r="Q1739" s="1430">
        <f t="shared" ca="1" si="2556"/>
        <v>0</v>
      </c>
      <c r="R1739" s="1430">
        <f t="shared" ca="1" si="2556"/>
        <v>0</v>
      </c>
      <c r="S1739" s="1430">
        <f t="shared" ca="1" si="2556"/>
        <v>0</v>
      </c>
      <c r="T1739" s="1430">
        <f t="shared" ca="1" si="2556"/>
        <v>0</v>
      </c>
      <c r="U1739" s="1430">
        <f t="shared" ca="1" si="2556"/>
        <v>0</v>
      </c>
      <c r="V1739" s="1430">
        <f t="shared" ca="1" si="2556"/>
        <v>0</v>
      </c>
      <c r="W1739" s="1430">
        <f t="shared" ca="1" si="2556"/>
        <v>0</v>
      </c>
      <c r="X1739" s="152"/>
      <c r="Y1739" s="152"/>
      <c r="Z1739" s="152"/>
      <c r="AA1739" s="152"/>
      <c r="AB1739" s="152"/>
    </row>
    <row r="1740" spans="1:28">
      <c r="A1740" s="152"/>
      <c r="B1740" s="152"/>
      <c r="C1740" s="1423"/>
      <c r="D1740" s="1423"/>
      <c r="E1740" s="1423"/>
      <c r="F1740" s="1423"/>
      <c r="G1740" s="1423"/>
      <c r="H1740" s="1423"/>
      <c r="I1740" s="1423"/>
      <c r="J1740" s="1423"/>
      <c r="K1740" s="1423"/>
      <c r="L1740" s="1423"/>
      <c r="M1740" s="1423"/>
      <c r="N1740" s="1423"/>
      <c r="O1740" s="1423"/>
      <c r="P1740" s="1423"/>
      <c r="Q1740" s="1423"/>
      <c r="R1740" s="1423"/>
      <c r="S1740" s="1423"/>
      <c r="T1740" s="1423"/>
      <c r="U1740" s="1423"/>
      <c r="V1740" s="1423"/>
      <c r="W1740" s="1423"/>
      <c r="X1740" s="152"/>
      <c r="Y1740" s="152"/>
      <c r="Z1740" s="152"/>
      <c r="AA1740" s="152"/>
      <c r="AB1740" s="152"/>
    </row>
    <row r="1741" spans="1:28">
      <c r="A1741" s="269" t="s">
        <v>99</v>
      </c>
      <c r="B1741" s="270">
        <f>VLOOKUP($A1741,'RFM input'!$E$7:$F$56,2,FALSE)</f>
        <v>0</v>
      </c>
      <c r="C1741" s="1431"/>
      <c r="D1741" s="1431"/>
      <c r="E1741" s="1432"/>
      <c r="F1741" s="1432"/>
      <c r="G1741" s="1432"/>
      <c r="H1741" s="1432"/>
      <c r="I1741" s="1432"/>
      <c r="J1741" s="1432"/>
      <c r="K1741" s="1432"/>
      <c r="L1741" s="1432"/>
      <c r="M1741" s="1432"/>
      <c r="N1741" s="1432"/>
      <c r="O1741" s="1432"/>
      <c r="P1741" s="1432"/>
      <c r="Q1741" s="1432"/>
      <c r="R1741" s="1432"/>
      <c r="S1741" s="1432"/>
      <c r="T1741" s="1432"/>
      <c r="U1741" s="1432"/>
      <c r="V1741" s="1432"/>
      <c r="W1741" s="1432"/>
      <c r="X1741" s="152"/>
      <c r="Y1741" s="152"/>
      <c r="Z1741" s="152"/>
      <c r="AA1741" s="152"/>
      <c r="AB1741" s="152"/>
    </row>
    <row r="1742" spans="1:28">
      <c r="A1742" s="215">
        <f>VALUE(REPLACE(A1741,1,12,""))</f>
        <v>33</v>
      </c>
      <c r="B1742" s="193" t="s">
        <v>126</v>
      </c>
      <c r="C1742" s="1416">
        <f ca="1">IF($C$8='Capital Base roll forward'!$H$4,OFFSET('Capital Base roll forward'!$H$717,'RAB remaining lives'!A1742,0),"enter input")</f>
        <v>0</v>
      </c>
      <c r="D1742" s="1417">
        <f>IF(LEFT(D$6,4)&lt;LEFT('RFM input'!$G$60,4),"enter input",IF(LEFT(D$6,4)&gt;LEFT('RFM input'!$Q$60,4),0,INDEX('RFM input'!$G$61:$Q$110,$A1742,MATCH(D$6,'RFM input'!$G$60:$Q$60,0))
-INDEX('RFM input'!$G$115:$Q$164,$A1742,MATCH(D$6,'RFM input'!$G$60:$Q$60,0))
-INDEX('RFM input'!$G$169:$Q$218,$A1742,MATCH(D$6,'RFM input'!$G$60:$Q$60,0))))</f>
        <v>0</v>
      </c>
      <c r="E1742" s="1417">
        <f>IF(LEFT(E$6,4)&lt;LEFT('RFM input'!$G$60,4),"enter input",IF(LEFT(E$6,4)&gt;LEFT('RFM input'!$Q$60,4),0,INDEX('RFM input'!$G$61:$Q$110,$A1742,MATCH(E$6,'RFM input'!$G$60:$Q$60,0))
-INDEX('RFM input'!$G$115:$Q$164,$A1742,MATCH(E$6,'RFM input'!$G$60:$Q$60,0))
-INDEX('RFM input'!$G$169:$Q$218,$A1742,MATCH(E$6,'RFM input'!$G$60:$Q$60,0))))</f>
        <v>0</v>
      </c>
      <c r="F1742" s="1417">
        <f>IF(LEFT(F$6,4)&lt;LEFT('RFM input'!$G$60,4),"enter input",IF(LEFT(F$6,4)&gt;LEFT('RFM input'!$Q$60,4),0,INDEX('RFM input'!$G$61:$Q$110,$A1742,MATCH(F$6,'RFM input'!$G$60:$Q$60,0))
-INDEX('RFM input'!$G$115:$Q$164,$A1742,MATCH(F$6,'RFM input'!$G$60:$Q$60,0))
-INDEX('RFM input'!$G$169:$Q$218,$A1742,MATCH(F$6,'RFM input'!$G$60:$Q$60,0))))</f>
        <v>0</v>
      </c>
      <c r="G1742" s="1417">
        <f>IF(LEFT(G$6,4)&lt;LEFT('RFM input'!$G$60,4),"enter input",IF(LEFT(G$6,4)&gt;LEFT('RFM input'!$Q$60,4),0,INDEX('RFM input'!$G$61:$Q$110,$A1742,MATCH(G$6,'RFM input'!$G$60:$Q$60,0))
-INDEX('RFM input'!$G$115:$Q$164,$A1742,MATCH(G$6,'RFM input'!$G$60:$Q$60,0))
-INDEX('RFM input'!$G$169:$Q$218,$A1742,MATCH(G$6,'RFM input'!$G$60:$Q$60,0))))</f>
        <v>0</v>
      </c>
      <c r="H1742" s="1417">
        <f>IF(LEFT(H$6,4)&lt;LEFT('RFM input'!$G$60,4),"enter input",IF(LEFT(H$6,4)&gt;LEFT('RFM input'!$Q$60,4),0,INDEX('RFM input'!$G$61:$Q$110,$A1742,MATCH(H$6,'RFM input'!$G$60:$Q$60,0))
-INDEX('RFM input'!$G$115:$Q$164,$A1742,MATCH(H$6,'RFM input'!$G$60:$Q$60,0))
-INDEX('RFM input'!$G$169:$Q$218,$A1742,MATCH(H$6,'RFM input'!$G$60:$Q$60,0))))</f>
        <v>0</v>
      </c>
      <c r="I1742" s="1417">
        <f>IF(LEFT(I$6,4)&lt;LEFT('RFM input'!$G$60,4),"enter input",IF(LEFT(I$6,4)&gt;LEFT('RFM input'!$Q$60,4),0,INDEX('RFM input'!$G$61:$Q$110,$A1742,MATCH(I$6,'RFM input'!$G$60:$Q$60,0))
-INDEX('RFM input'!$G$115:$Q$164,$A1742,MATCH(I$6,'RFM input'!$G$60:$Q$60,0))
-INDEX('RFM input'!$G$169:$Q$218,$A1742,MATCH(I$6,'RFM input'!$G$60:$Q$60,0))))</f>
        <v>0</v>
      </c>
      <c r="J1742" s="1417">
        <f>IF(LEFT(J$6,4)&lt;LEFT('RFM input'!$G$60,4),"enter input",IF(LEFT(J$6,4)&gt;LEFT('RFM input'!$Q$60,4),0,INDEX('RFM input'!$G$61:$Q$110,$A1742,MATCH(J$6,'RFM input'!$G$60:$Q$60,0))
-INDEX('RFM input'!$G$115:$Q$164,$A1742,MATCH(J$6,'RFM input'!$G$60:$Q$60,0))
-INDEX('RFM input'!$G$169:$Q$218,$A1742,MATCH(J$6,'RFM input'!$G$60:$Q$60,0))))</f>
        <v>0</v>
      </c>
      <c r="K1742" s="1417">
        <f>IF(LEFT(K$6,4)&lt;LEFT('RFM input'!$G$60,4),"enter input",IF(LEFT(K$6,4)&gt;LEFT('RFM input'!$Q$60,4),0,INDEX('RFM input'!$G$61:$Q$110,$A1742,MATCH(K$6,'RFM input'!$G$60:$Q$60,0))
-INDEX('RFM input'!$G$115:$Q$164,$A1742,MATCH(K$6,'RFM input'!$G$60:$Q$60,0))
-INDEX('RFM input'!$G$169:$Q$218,$A1742,MATCH(K$6,'RFM input'!$G$60:$Q$60,0))))</f>
        <v>0</v>
      </c>
      <c r="L1742" s="1417">
        <f>IF(LEFT(L$6,4)&lt;LEFT('RFM input'!$G$60,4),"enter input",IF(LEFT(L$6,4)&gt;LEFT('RFM input'!$Q$60,4),0,INDEX('RFM input'!$G$61:$Q$110,$A1742,MATCH(L$6,'RFM input'!$G$60:$Q$60,0))
-INDEX('RFM input'!$G$115:$Q$164,$A1742,MATCH(L$6,'RFM input'!$G$60:$Q$60,0))
-INDEX('RFM input'!$G$169:$Q$218,$A1742,MATCH(L$6,'RFM input'!$G$60:$Q$60,0))))</f>
        <v>0</v>
      </c>
      <c r="M1742" s="1417">
        <f>IF(LEFT(M$6,4)&lt;LEFT('RFM input'!$G$60,4),"enter input",IF(LEFT(M$6,4)&gt;LEFT('RFM input'!$Q$60,4),0,INDEX('RFM input'!$G$61:$Q$110,$A1742,MATCH(M$6,'RFM input'!$G$60:$Q$60,0))
-INDEX('RFM input'!$G$115:$Q$164,$A1742,MATCH(M$6,'RFM input'!$G$60:$Q$60,0))
-INDEX('RFM input'!$G$169:$Q$218,$A1742,MATCH(M$6,'RFM input'!$G$60:$Q$60,0))))</f>
        <v>0</v>
      </c>
      <c r="N1742" s="1417">
        <f>IF(LEFT(N$6,4)&lt;LEFT('RFM input'!$G$60,4),"enter input",IF(LEFT(N$6,4)&gt;LEFT('RFM input'!$Q$60,4),0,INDEX('RFM input'!$G$61:$Q$110,$A1742,MATCH(N$6,'RFM input'!$G$60:$Q$60,0))
-INDEX('RFM input'!$G$115:$Q$164,$A1742,MATCH(N$6,'RFM input'!$G$60:$Q$60,0))
-INDEX('RFM input'!$G$169:$Q$218,$A1742,MATCH(N$6,'RFM input'!$G$60:$Q$60,0))))</f>
        <v>0</v>
      </c>
      <c r="O1742" s="1417">
        <f>IF(LEFT(O$6,4)&lt;LEFT('RFM input'!$G$60,4),"enter input",IF(LEFT(O$6,4)&gt;LEFT('RFM input'!$Q$60,4),0,INDEX('RFM input'!$G$61:$Q$110,$A1742,MATCH(O$6,'RFM input'!$G$60:$Q$60,0))
-INDEX('RFM input'!$G$115:$Q$164,$A1742,MATCH(O$6,'RFM input'!$G$60:$Q$60,0))
-INDEX('RFM input'!$G$169:$Q$218,$A1742,MATCH(O$6,'RFM input'!$G$60:$Q$60,0))))</f>
        <v>0</v>
      </c>
      <c r="P1742" s="1417">
        <f>IF(LEFT(P$6,4)&lt;LEFT('RFM input'!$G$60,4),"enter input",IF(LEFT(P$6,4)&gt;LEFT('RFM input'!$Q$60,4),0,INDEX('RFM input'!$G$61:$Q$110,$A1742,MATCH(P$6,'RFM input'!$G$60:$Q$60,0))
-INDEX('RFM input'!$G$115:$Q$164,$A1742,MATCH(P$6,'RFM input'!$G$60:$Q$60,0))
-INDEX('RFM input'!$G$169:$Q$218,$A1742,MATCH(P$6,'RFM input'!$G$60:$Q$60,0))))</f>
        <v>0</v>
      </c>
      <c r="Q1742" s="1417">
        <f>IF(LEFT(Q$6,4)&lt;LEFT('RFM input'!$G$60,4),"enter input",IF(LEFT(Q$6,4)&gt;LEFT('RFM input'!$Q$60,4),0,INDEX('RFM input'!$G$61:$Q$110,$A1742,MATCH(Q$6,'RFM input'!$G$60:$Q$60,0))
-INDEX('RFM input'!$G$115:$Q$164,$A1742,MATCH(Q$6,'RFM input'!$G$60:$Q$60,0))
-INDEX('RFM input'!$G$169:$Q$218,$A1742,MATCH(Q$6,'RFM input'!$G$60:$Q$60,0))))</f>
        <v>0</v>
      </c>
      <c r="R1742" s="1417">
        <f>IF(LEFT(R$6,4)&lt;LEFT('RFM input'!$G$60,4),"enter input",IF(LEFT(R$6,4)&gt;LEFT('RFM input'!$Q$60,4),0,INDEX('RFM input'!$G$61:$Q$110,$A1742,MATCH(R$6,'RFM input'!$G$60:$Q$60,0))
-INDEX('RFM input'!$G$115:$Q$164,$A1742,MATCH(R$6,'RFM input'!$G$60:$Q$60,0))
-INDEX('RFM input'!$G$169:$Q$218,$A1742,MATCH(R$6,'RFM input'!$G$60:$Q$60,0))))</f>
        <v>0</v>
      </c>
      <c r="S1742" s="1417">
        <f>IF(LEFT(S$6,4)&lt;LEFT('RFM input'!$G$60,4),"enter input",IF(LEFT(S$6,4)&gt;LEFT('RFM input'!$Q$60,4),0,INDEX('RFM input'!$G$61:$Q$110,$A1742,MATCH(S$6,'RFM input'!$G$60:$Q$60,0))
-INDEX('RFM input'!$G$115:$Q$164,$A1742,MATCH(S$6,'RFM input'!$G$60:$Q$60,0))
-INDEX('RFM input'!$G$169:$Q$218,$A1742,MATCH(S$6,'RFM input'!$G$60:$Q$60,0))))</f>
        <v>0</v>
      </c>
      <c r="T1742" s="1417">
        <f>IF(LEFT(T$6,4)&lt;LEFT('RFM input'!$G$60,4),"enter input",IF(LEFT(T$6,4)&gt;LEFT('RFM input'!$Q$60,4),0,INDEX('RFM input'!$G$61:$Q$110,$A1742,MATCH(T$6,'RFM input'!$G$60:$Q$60,0))
-INDEX('RFM input'!$G$115:$Q$164,$A1742,MATCH(T$6,'RFM input'!$G$60:$Q$60,0))
-INDEX('RFM input'!$G$169:$Q$218,$A1742,MATCH(T$6,'RFM input'!$G$60:$Q$60,0))))</f>
        <v>0</v>
      </c>
      <c r="U1742" s="1417">
        <f>IF(LEFT(U$6,4)&lt;LEFT('RFM input'!$G$60,4),"enter input",IF(LEFT(U$6,4)&gt;LEFT('RFM input'!$Q$60,4),0,INDEX('RFM input'!$G$61:$Q$110,$A1742,MATCH(U$6,'RFM input'!$G$60:$Q$60,0))
-INDEX('RFM input'!$G$115:$Q$164,$A1742,MATCH(U$6,'RFM input'!$G$60:$Q$60,0))
-INDEX('RFM input'!$G$169:$Q$218,$A1742,MATCH(U$6,'RFM input'!$G$60:$Q$60,0))))</f>
        <v>0</v>
      </c>
      <c r="V1742" s="1417">
        <f>IF(LEFT(V$6,4)&lt;LEFT('RFM input'!$G$60,4),"enter input",IF(LEFT(V$6,4)&gt;LEFT('RFM input'!$Q$60,4),0,INDEX('RFM input'!$G$61:$Q$110,$A1742,MATCH(V$6,'RFM input'!$G$60:$Q$60,0))
-INDEX('RFM input'!$G$115:$Q$164,$A1742,MATCH(V$6,'RFM input'!$G$60:$Q$60,0))
-INDEX('RFM input'!$G$169:$Q$218,$A1742,MATCH(V$6,'RFM input'!$G$60:$Q$60,0))))</f>
        <v>0</v>
      </c>
      <c r="W1742" s="1417">
        <f>IF(LEFT(W$6,4)&lt;LEFT('RFM input'!$G$60,4),"enter input",IF(LEFT(W$6,4)&gt;LEFT('RFM input'!$Q$60,4),0,INDEX('RFM input'!$G$61:$Q$110,$A1742,MATCH(W$6,'RFM input'!$G$60:$Q$60,0))
-INDEX('RFM input'!$G$115:$Q$164,$A1742,MATCH(W$6,'RFM input'!$G$60:$Q$60,0))
-INDEX('RFM input'!$G$169:$Q$218,$A1742,MATCH(W$6,'RFM input'!$G$60:$Q$60,0))))</f>
        <v>0</v>
      </c>
      <c r="X1742" s="152"/>
      <c r="Y1742" s="152"/>
      <c r="Z1742" s="152"/>
      <c r="AA1742" s="152"/>
      <c r="AB1742" s="152"/>
    </row>
    <row r="1743" spans="1:28">
      <c r="A1743" s="152"/>
      <c r="B1743" s="152" t="s">
        <v>204</v>
      </c>
      <c r="C1743" s="1418">
        <f ca="1">IF($C$8='Capital Base roll forward'!$H$4,OFFSET('RFM input'!$J$6,'RAB remaining lives'!A1742,0),"enter input")</f>
        <v>0</v>
      </c>
      <c r="D1743" s="1417">
        <f>IF(LEFT(D$6,4)&lt;=LEFT('RFM input'!$G$60,4),"enter input",IF(LEFT(D$6,4)&gt;LEFT('RFM input'!$Q$60,4),0,IF(MATCH(D$6,'RFM input'!$H$60:$Q$60,0),INDEX('RFM input'!$K$7:$K$56,$A1742,1))))</f>
        <v>0</v>
      </c>
      <c r="E1743" s="1417">
        <f>IF(LEFT(E$6,4)&lt;=LEFT('RFM input'!$G$60,4),"enter input",IF(LEFT(E$6,4)&gt;LEFT('RFM input'!$Q$60,4),0,IF(MATCH(E$6,'RFM input'!$H$60:$Q$60,0),INDEX('RFM input'!$K$7:$K$56,$A1742,1))))</f>
        <v>0</v>
      </c>
      <c r="F1743" s="1417">
        <f>IF(LEFT(F$6,4)&lt;=LEFT('RFM input'!$G$60,4),"enter input",IF(LEFT(F$6,4)&gt;LEFT('RFM input'!$Q$60,4),0,IF(MATCH(F$6,'RFM input'!$H$60:$Q$60,0),INDEX('RFM input'!$K$7:$K$56,$A1742,1))))</f>
        <v>0</v>
      </c>
      <c r="G1743" s="1417">
        <f>IF(LEFT(G$6,4)&lt;=LEFT('RFM input'!$G$60,4),"enter input",IF(LEFT(G$6,4)&gt;LEFT('RFM input'!$Q$60,4),0,IF(MATCH(G$6,'RFM input'!$H$60:$Q$60,0),INDEX('RFM input'!$K$7:$K$56,$A1742,1))))</f>
        <v>0</v>
      </c>
      <c r="H1743" s="1417">
        <f>IF(LEFT(H$6,4)&lt;=LEFT('RFM input'!$G$60,4),"enter input",IF(LEFT(H$6,4)&gt;LEFT('RFM input'!$Q$60,4),0,IF(MATCH(H$6,'RFM input'!$H$60:$Q$60,0),INDEX('RFM input'!$K$7:$K$56,$A1742,1))))</f>
        <v>0</v>
      </c>
      <c r="I1743" s="1417">
        <f>IF(LEFT(I$6,4)&lt;=LEFT('RFM input'!$G$60,4),"enter input",IF(LEFT(I$6,4)&gt;LEFT('RFM input'!$Q$60,4),0,IF(MATCH(I$6,'RFM input'!$H$60:$Q$60,0),INDEX('RFM input'!$K$7:$K$56,$A1742,1))))</f>
        <v>0</v>
      </c>
      <c r="J1743" s="1417">
        <f>IF(LEFT(J$6,4)&lt;=LEFT('RFM input'!$G$60,4),"enter input",IF(LEFT(J$6,4)&gt;LEFT('RFM input'!$Q$60,4),0,IF(MATCH(J$6,'RFM input'!$H$60:$Q$60,0),INDEX('RFM input'!$K$7:$K$56,$A1742,1))))</f>
        <v>0</v>
      </c>
      <c r="K1743" s="1417">
        <f>IF(LEFT(K$6,4)&lt;=LEFT('RFM input'!$G$60,4),"enter input",IF(LEFT(K$6,4)&gt;LEFT('RFM input'!$Q$60,4),0,IF(MATCH(K$6,'RFM input'!$H$60:$Q$60,0),INDEX('RFM input'!$K$7:$K$56,$A1742,1))))</f>
        <v>0</v>
      </c>
      <c r="L1743" s="1417">
        <f>IF(LEFT(L$6,4)&lt;=LEFT('RFM input'!$G$60,4),"enter input",IF(LEFT(L$6,4)&gt;LEFT('RFM input'!$Q$60,4),0,IF(MATCH(L$6,'RFM input'!$H$60:$Q$60,0),INDEX('RFM input'!$K$7:$K$56,$A1742,1))))</f>
        <v>0</v>
      </c>
      <c r="M1743" s="1417">
        <f>IF(LEFT(M$6,4)&lt;=LEFT('RFM input'!$G$60,4),"enter input",IF(LEFT(M$6,4)&gt;LEFT('RFM input'!$Q$60,4),0,IF(MATCH(M$6,'RFM input'!$H$60:$Q$60,0),INDEX('RFM input'!$K$7:$K$56,$A1742,1))))</f>
        <v>0</v>
      </c>
      <c r="N1743" s="1417">
        <f>IF(LEFT(N$6,4)&lt;=LEFT('RFM input'!$G$60,4),"enter input",IF(LEFT(N$6,4)&gt;LEFT('RFM input'!$Q$60,4),0,IF(MATCH(N$6,'RFM input'!$H$60:$Q$60,0),INDEX('RFM input'!$K$7:$K$56,$A1742,1))))</f>
        <v>0</v>
      </c>
      <c r="O1743" s="1417">
        <f>IF(LEFT(O$6,4)&lt;=LEFT('RFM input'!$G$60,4),"enter input",IF(LEFT(O$6,4)&gt;LEFT('RFM input'!$Q$60,4),0,IF(MATCH(O$6,'RFM input'!$H$60:$Q$60,0),INDEX('RFM input'!$K$7:$K$56,$A1742,1))))</f>
        <v>0</v>
      </c>
      <c r="P1743" s="1417">
        <f>IF(LEFT(P$6,4)&lt;=LEFT('RFM input'!$G$60,4),"enter input",IF(LEFT(P$6,4)&gt;LEFT('RFM input'!$Q$60,4),0,IF(MATCH(P$6,'RFM input'!$H$60:$Q$60,0),INDEX('RFM input'!$K$7:$K$56,$A1742,1))))</f>
        <v>0</v>
      </c>
      <c r="Q1743" s="1417">
        <f>IF(LEFT(Q$6,4)&lt;=LEFT('RFM input'!$G$60,4),"enter input",IF(LEFT(Q$6,4)&gt;LEFT('RFM input'!$Q$60,4),0,IF(MATCH(Q$6,'RFM input'!$H$60:$Q$60,0),INDEX('RFM input'!$K$7:$K$56,$A1742,1))))</f>
        <v>0</v>
      </c>
      <c r="R1743" s="1417">
        <f>IF(LEFT(R$6,4)&lt;=LEFT('RFM input'!$G$60,4),"enter input",IF(LEFT(R$6,4)&gt;LEFT('RFM input'!$Q$60,4),0,IF(MATCH(R$6,'RFM input'!$H$60:$Q$60,0),INDEX('RFM input'!$K$7:$K$56,$A1742,1))))</f>
        <v>0</v>
      </c>
      <c r="S1743" s="1417">
        <f>IF(LEFT(S$6,4)&lt;=LEFT('RFM input'!$G$60,4),"enter input",IF(LEFT(S$6,4)&gt;LEFT('RFM input'!$Q$60,4),0,IF(MATCH(S$6,'RFM input'!$H$60:$Q$60,0),INDEX('RFM input'!$K$7:$K$56,$A1742,1))))</f>
        <v>0</v>
      </c>
      <c r="T1743" s="1417">
        <f>IF(LEFT(T$6,4)&lt;=LEFT('RFM input'!$G$60,4),"enter input",IF(LEFT(T$6,4)&gt;LEFT('RFM input'!$Q$60,4),0,IF(MATCH(T$6,'RFM input'!$H$60:$Q$60,0),INDEX('RFM input'!$K$7:$K$56,$A1742,1))))</f>
        <v>0</v>
      </c>
      <c r="U1743" s="1417">
        <f>IF(LEFT(U$6,4)&lt;=LEFT('RFM input'!$G$60,4),"enter input",IF(LEFT(U$6,4)&gt;LEFT('RFM input'!$Q$60,4),0,IF(MATCH(U$6,'RFM input'!$H$60:$Q$60,0),INDEX('RFM input'!$K$7:$K$56,$A1742,1))))</f>
        <v>0</v>
      </c>
      <c r="V1743" s="1417">
        <f>IF(LEFT(V$6,4)&lt;=LEFT('RFM input'!$G$60,4),"enter input",IF(LEFT(V$6,4)&gt;LEFT('RFM input'!$Q$60,4),0,IF(MATCH(V$6,'RFM input'!$H$60:$Q$60,0),INDEX('RFM input'!$K$7:$K$56,$A1742,1))))</f>
        <v>0</v>
      </c>
      <c r="W1743" s="1417">
        <f>IF(LEFT(W$6,4)&lt;=LEFT('RFM input'!$G$60,4),"enter input",IF(LEFT(W$6,4)&gt;LEFT('RFM input'!$Q$60,4),0,IF(MATCH(W$6,'RFM input'!$H$60:$Q$60,0),INDEX('RFM input'!$K$7:$K$56,$A1742,1))))</f>
        <v>0</v>
      </c>
      <c r="X1743" s="152"/>
      <c r="Y1743" s="152"/>
      <c r="Z1743" s="152"/>
      <c r="AA1743" s="152"/>
      <c r="AB1743" s="152"/>
    </row>
    <row r="1744" spans="1:28">
      <c r="A1744" s="152"/>
      <c r="B1744" s="177" t="s">
        <v>191</v>
      </c>
      <c r="C1744" s="1419"/>
      <c r="D1744" s="1420">
        <f ca="1">IF(LEFT(D$6,4)&lt;=LEFT('RFM input'!$G$60,4),"enter input",IF(LEFT(D$6,4)&gt;LEFT('RFM input'!$Q$60,4),0,IF(D$6=(OFFSET('RFM input'!$G$60,0,'RFM input'!$V$7)),OFFSET('RFM input'!$G$411,$A1742,0),0)))</f>
        <v>0</v>
      </c>
      <c r="E1744" s="1417">
        <f ca="1">IF(LEFT(E$6,4)&lt;=LEFT('RFM input'!$G$60,4),"enter input",IF(LEFT(E$6,4)&gt;LEFT('RFM input'!$Q$60,4),0,IF(E$6=(OFFSET('RFM input'!$G$60,0,'RFM input'!$V$7)),OFFSET('RFM input'!$G$411,$A1742,0),0)))</f>
        <v>0</v>
      </c>
      <c r="F1744" s="1417">
        <f ca="1">IF(LEFT(F$6,4)&lt;=LEFT('RFM input'!$G$60,4),"enter input",IF(LEFT(F$6,4)&gt;LEFT('RFM input'!$Q$60,4),0,IF(F$6=(OFFSET('RFM input'!$G$60,0,'RFM input'!$V$7)),OFFSET('RFM input'!$G$411,$A1742,0),0)))</f>
        <v>0</v>
      </c>
      <c r="G1744" s="1417">
        <f ca="1">IF(LEFT(G$6,4)&lt;=LEFT('RFM input'!$G$60,4),"enter input",IF(LEFT(G$6,4)&gt;LEFT('RFM input'!$Q$60,4),0,IF(G$6=(OFFSET('RFM input'!$G$60,0,'RFM input'!$V$7)),OFFSET('RFM input'!$G$411,$A1742,0),0)))</f>
        <v>0</v>
      </c>
      <c r="H1744" s="1417">
        <f ca="1">IF(LEFT(H$6,4)&lt;=LEFT('RFM input'!$G$60,4),"enter input",IF(LEFT(H$6,4)&gt;LEFT('RFM input'!$Q$60,4),0,IF(H$6=(OFFSET('RFM input'!$G$60,0,'RFM input'!$V$7)),OFFSET('RFM input'!$G$411,$A1742,0),0)))</f>
        <v>0</v>
      </c>
      <c r="I1744" s="1417">
        <f ca="1">IF(LEFT(I$6,4)&lt;=LEFT('RFM input'!$G$60,4),"enter input",IF(LEFT(I$6,4)&gt;LEFT('RFM input'!$Q$60,4),0,IF(I$6=(OFFSET('RFM input'!$G$60,0,'RFM input'!$V$7)),OFFSET('RFM input'!$G$411,$A1742,0),0)))</f>
        <v>0</v>
      </c>
      <c r="J1744" s="1417">
        <f ca="1">IF(LEFT(J$6,4)&lt;=LEFT('RFM input'!$G$60,4),"enter input",IF(LEFT(J$6,4)&gt;LEFT('RFM input'!$Q$60,4),0,IF(J$6=(OFFSET('RFM input'!$G$60,0,'RFM input'!$V$7)),OFFSET('RFM input'!$G$411,$A1742,0),0)))</f>
        <v>0</v>
      </c>
      <c r="K1744" s="1417">
        <f ca="1">IF(LEFT(K$6,4)&lt;=LEFT('RFM input'!$G$60,4),"enter input",IF(LEFT(K$6,4)&gt;LEFT('RFM input'!$Q$60,4),0,IF(K$6=(OFFSET('RFM input'!$G$60,0,'RFM input'!$V$7)),OFFSET('RFM input'!$G$411,$A1742,0),0)))</f>
        <v>0</v>
      </c>
      <c r="L1744" s="1417">
        <f ca="1">IF(LEFT(L$6,4)&lt;=LEFT('RFM input'!$G$60,4),"enter input",IF(LEFT(L$6,4)&gt;LEFT('RFM input'!$Q$60,4),0,IF(L$6=(OFFSET('RFM input'!$G$60,0,'RFM input'!$V$7)),OFFSET('RFM input'!$G$411,$A1742,0),0)))</f>
        <v>0</v>
      </c>
      <c r="M1744" s="1417">
        <f ca="1">IF(LEFT(M$6,4)&lt;=LEFT('RFM input'!$G$60,4),"enter input",IF(LEFT(M$6,4)&gt;LEFT('RFM input'!$Q$60,4),0,IF(M$6=(OFFSET('RFM input'!$G$60,0,'RFM input'!$V$7)),OFFSET('RFM input'!$G$411,$A1742,0),0)))</f>
        <v>0</v>
      </c>
      <c r="N1744" s="1417">
        <f ca="1">IF(LEFT(N$6,4)&lt;=LEFT('RFM input'!$G$60,4),"enter input",IF(LEFT(N$6,4)&gt;LEFT('RFM input'!$Q$60,4),0,IF(N$6=(OFFSET('RFM input'!$G$60,0,'RFM input'!$V$7)),OFFSET('RFM input'!$G$411,$A1742,0),0)))</f>
        <v>0</v>
      </c>
      <c r="O1744" s="1417">
        <f ca="1">IF(LEFT(O$6,4)&lt;=LEFT('RFM input'!$G$60,4),"enter input",IF(LEFT(O$6,4)&gt;LEFT('RFM input'!$Q$60,4),0,IF(O$6=(OFFSET('RFM input'!$G$60,0,'RFM input'!$V$7)),OFFSET('RFM input'!$G$411,$A1742,0),0)))</f>
        <v>0</v>
      </c>
      <c r="P1744" s="1417">
        <f ca="1">IF(LEFT(P$6,4)&lt;=LEFT('RFM input'!$G$60,4),"enter input",IF(LEFT(P$6,4)&gt;LEFT('RFM input'!$Q$60,4),0,IF(P$6=(OFFSET('RFM input'!$G$60,0,'RFM input'!$V$7)),OFFSET('RFM input'!$G$411,$A1742,0),0)))</f>
        <v>0</v>
      </c>
      <c r="Q1744" s="1417">
        <f ca="1">IF(LEFT(Q$6,4)&lt;=LEFT('RFM input'!$G$60,4),"enter input",IF(LEFT(Q$6,4)&gt;LEFT('RFM input'!$Q$60,4),0,IF(Q$6=(OFFSET('RFM input'!$G$60,0,'RFM input'!$V$7)),OFFSET('RFM input'!$G$411,$A1742,0),0)))</f>
        <v>0</v>
      </c>
      <c r="R1744" s="1417">
        <f ca="1">IF(LEFT(R$6,4)&lt;=LEFT('RFM input'!$G$60,4),"enter input",IF(LEFT(R$6,4)&gt;LEFT('RFM input'!$Q$60,4),0,IF(R$6=(OFFSET('RFM input'!$G$60,0,'RFM input'!$V$7)),OFFSET('RFM input'!$G$411,$A1742,0),0)))</f>
        <v>0</v>
      </c>
      <c r="S1744" s="1417">
        <f ca="1">IF(LEFT(S$6,4)&lt;=LEFT('RFM input'!$G$60,4),"enter input",IF(LEFT(S$6,4)&gt;LEFT('RFM input'!$Q$60,4),0,IF(S$6=(OFFSET('RFM input'!$G$60,0,'RFM input'!$V$7)),OFFSET('RFM input'!$G$411,$A1742,0),0)))</f>
        <v>0</v>
      </c>
      <c r="T1744" s="1417">
        <f ca="1">IF(LEFT(T$6,4)&lt;=LEFT('RFM input'!$G$60,4),"enter input",IF(LEFT(T$6,4)&gt;LEFT('RFM input'!$Q$60,4),0,IF(T$6=(OFFSET('RFM input'!$G$60,0,'RFM input'!$V$7)),OFFSET('RFM input'!$G$411,$A1742,0),0)))</f>
        <v>0</v>
      </c>
      <c r="U1744" s="1417">
        <f ca="1">IF(LEFT(U$6,4)&lt;=LEFT('RFM input'!$G$60,4),"enter input",IF(LEFT(U$6,4)&gt;LEFT('RFM input'!$Q$60,4),0,IF(U$6=(OFFSET('RFM input'!$G$60,0,'RFM input'!$V$7)),OFFSET('RFM input'!$G$411,$A1742,0),0)))</f>
        <v>0</v>
      </c>
      <c r="V1744" s="1417">
        <f ca="1">IF(LEFT(V$6,4)&lt;=LEFT('RFM input'!$G$60,4),"enter input",IF(LEFT(V$6,4)&gt;LEFT('RFM input'!$Q$60,4),0,IF(V$6=(OFFSET('RFM input'!$G$60,0,'RFM input'!$V$7)),OFFSET('RFM input'!$G$411,$A1742,0),0)))</f>
        <v>0</v>
      </c>
      <c r="W1744" s="1417">
        <f ca="1">IF(LEFT(W$6,4)&lt;=LEFT('RFM input'!$G$60,4),"enter input",IF(LEFT(W$6,4)&gt;LEFT('RFM input'!$Q$60,4),0,IF(W$6=(OFFSET('RFM input'!$G$60,0,'RFM input'!$V$7)),OFFSET('RFM input'!$G$411,$A1742,0),0)))</f>
        <v>0</v>
      </c>
      <c r="X1744" s="152"/>
      <c r="Y1744" s="152"/>
      <c r="Z1744" s="152"/>
      <c r="AA1744" s="152"/>
      <c r="AB1744" s="152"/>
    </row>
    <row r="1745" spans="1:28">
      <c r="A1745" s="152"/>
      <c r="B1745" s="195" t="s">
        <v>197</v>
      </c>
      <c r="C1745" s="1419"/>
      <c r="D1745" s="1418">
        <f ca="1">IF(LEFT(D$6,4)&lt;=LEFT('RFM input'!$G$60,4),"enter input",IF(LEFT(D$6,4)&gt;LEFT('RFM input'!$Q$60,4),0,IF(D$6=(OFFSET('RFM input'!$G$60,0,'RFM input'!$V$7)),OFFSET('RFM input'!$I$411,$A1742,0),0)))</f>
        <v>0</v>
      </c>
      <c r="E1745" s="1422">
        <f ca="1">IF(LEFT(E$6,4)&lt;=LEFT('RFM input'!$G$60,4),"enter input",IF(LEFT(E$6,4)&gt;LEFT('RFM input'!$Q$60,4),0,IF(E$6=(OFFSET('RFM input'!$G$60,0,'RFM input'!$V$7)),OFFSET('RFM input'!$I$411,$A1742,0),0)))</f>
        <v>0</v>
      </c>
      <c r="F1745" s="1422">
        <f ca="1">IF(LEFT(F$6,4)&lt;=LEFT('RFM input'!$G$60,4),"enter input",IF(LEFT(F$6,4)&gt;LEFT('RFM input'!$Q$60,4),0,IF(F$6=(OFFSET('RFM input'!$G$60,0,'RFM input'!$V$7)),OFFSET('RFM input'!$I$411,$A1742,0),0)))</f>
        <v>0</v>
      </c>
      <c r="G1745" s="1422">
        <f ca="1">IF(LEFT(G$6,4)&lt;=LEFT('RFM input'!$G$60,4),"enter input",IF(LEFT(G$6,4)&gt;LEFT('RFM input'!$Q$60,4),0,IF(G$6=(OFFSET('RFM input'!$G$60,0,'RFM input'!$V$7)),OFFSET('RFM input'!$I$411,$A1742,0),0)))</f>
        <v>0</v>
      </c>
      <c r="H1745" s="1422">
        <f ca="1">IF(LEFT(H$6,4)&lt;=LEFT('RFM input'!$G$60,4),"enter input",IF(LEFT(H$6,4)&gt;LEFT('RFM input'!$Q$60,4),0,IF(H$6=(OFFSET('RFM input'!$G$60,0,'RFM input'!$V$7)),OFFSET('RFM input'!$I$411,$A1742,0),0)))</f>
        <v>0</v>
      </c>
      <c r="I1745" s="1422">
        <f ca="1">IF(LEFT(I$6,4)&lt;=LEFT('RFM input'!$G$60,4),"enter input",IF(LEFT(I$6,4)&gt;LEFT('RFM input'!$Q$60,4),0,IF(I$6=(OFFSET('RFM input'!$G$60,0,'RFM input'!$V$7)),OFFSET('RFM input'!$I$411,$A1742,0),0)))</f>
        <v>0</v>
      </c>
      <c r="J1745" s="1422">
        <f ca="1">IF(LEFT(J$6,4)&lt;=LEFT('RFM input'!$G$60,4),"enter input",IF(LEFT(J$6,4)&gt;LEFT('RFM input'!$Q$60,4),0,IF(J$6=(OFFSET('RFM input'!$G$60,0,'RFM input'!$V$7)),OFFSET('RFM input'!$I$411,$A1742,0),0)))</f>
        <v>0</v>
      </c>
      <c r="K1745" s="1422">
        <f ca="1">IF(LEFT(K$6,4)&lt;=LEFT('RFM input'!$G$60,4),"enter input",IF(LEFT(K$6,4)&gt;LEFT('RFM input'!$Q$60,4),0,IF(K$6=(OFFSET('RFM input'!$G$60,0,'RFM input'!$V$7)),OFFSET('RFM input'!$I$411,$A1742,0),0)))</f>
        <v>0</v>
      </c>
      <c r="L1745" s="1422">
        <f ca="1">IF(LEFT(L$6,4)&lt;=LEFT('RFM input'!$G$60,4),"enter input",IF(LEFT(L$6,4)&gt;LEFT('RFM input'!$Q$60,4),0,IF(L$6=(OFFSET('RFM input'!$G$60,0,'RFM input'!$V$7)),OFFSET('RFM input'!$I$411,$A1742,0),0)))</f>
        <v>0</v>
      </c>
      <c r="M1745" s="1422">
        <f ca="1">IF(LEFT(M$6,4)&lt;=LEFT('RFM input'!$G$60,4),"enter input",IF(LEFT(M$6,4)&gt;LEFT('RFM input'!$Q$60,4),0,IF(M$6=(OFFSET('RFM input'!$G$60,0,'RFM input'!$V$7)),OFFSET('RFM input'!$I$411,$A1742,0),0)))</f>
        <v>0</v>
      </c>
      <c r="N1745" s="1422">
        <f ca="1">IF(LEFT(N$6,4)&lt;=LEFT('RFM input'!$G$60,4),"enter input",IF(LEFT(N$6,4)&gt;LEFT('RFM input'!$Q$60,4),0,IF(N$6=(OFFSET('RFM input'!$G$60,0,'RFM input'!$V$7)),OFFSET('RFM input'!$I$411,$A1742,0),0)))</f>
        <v>0</v>
      </c>
      <c r="O1745" s="1422">
        <f ca="1">IF(LEFT(O$6,4)&lt;=LEFT('RFM input'!$G$60,4),"enter input",IF(LEFT(O$6,4)&gt;LEFT('RFM input'!$Q$60,4),0,IF(O$6=(OFFSET('RFM input'!$G$60,0,'RFM input'!$V$7)),OFFSET('RFM input'!$I$411,$A1742,0),0)))</f>
        <v>0</v>
      </c>
      <c r="P1745" s="1422">
        <f ca="1">IF(LEFT(P$6,4)&lt;=LEFT('RFM input'!$G$60,4),"enter input",IF(LEFT(P$6,4)&gt;LEFT('RFM input'!$Q$60,4),0,IF(P$6=(OFFSET('RFM input'!$G$60,0,'RFM input'!$V$7)),OFFSET('RFM input'!$I$411,$A1742,0),0)))</f>
        <v>0</v>
      </c>
      <c r="Q1745" s="1422">
        <f ca="1">IF(LEFT(Q$6,4)&lt;=LEFT('RFM input'!$G$60,4),"enter input",IF(LEFT(Q$6,4)&gt;LEFT('RFM input'!$Q$60,4),0,IF(Q$6=(OFFSET('RFM input'!$G$60,0,'RFM input'!$V$7)),OFFSET('RFM input'!$I$411,$A1742,0),0)))</f>
        <v>0</v>
      </c>
      <c r="R1745" s="1422">
        <f ca="1">IF(LEFT(R$6,4)&lt;=LEFT('RFM input'!$G$60,4),"enter input",IF(LEFT(R$6,4)&gt;LEFT('RFM input'!$Q$60,4),0,IF(R$6=(OFFSET('RFM input'!$G$60,0,'RFM input'!$V$7)),OFFSET('RFM input'!$I$411,$A1742,0),0)))</f>
        <v>0</v>
      </c>
      <c r="S1745" s="1422">
        <f ca="1">IF(LEFT(S$6,4)&lt;=LEFT('RFM input'!$G$60,4),"enter input",IF(LEFT(S$6,4)&gt;LEFT('RFM input'!$Q$60,4),0,IF(S$6=(OFFSET('RFM input'!$G$60,0,'RFM input'!$V$7)),OFFSET('RFM input'!$I$411,$A1742,0),0)))</f>
        <v>0</v>
      </c>
      <c r="T1745" s="1422">
        <f ca="1">IF(LEFT(T$6,4)&lt;=LEFT('RFM input'!$G$60,4),"enter input",IF(LEFT(T$6,4)&gt;LEFT('RFM input'!$Q$60,4),0,IF(T$6=(OFFSET('RFM input'!$G$60,0,'RFM input'!$V$7)),OFFSET('RFM input'!$I$411,$A1742,0),0)))</f>
        <v>0</v>
      </c>
      <c r="U1745" s="1422">
        <f ca="1">IF(LEFT(U$6,4)&lt;=LEFT('RFM input'!$G$60,4),"enter input",IF(LEFT(U$6,4)&gt;LEFT('RFM input'!$Q$60,4),0,IF(U$6=(OFFSET('RFM input'!$G$60,0,'RFM input'!$V$7)),OFFSET('RFM input'!$I$411,$A1742,0),0)))</f>
        <v>0</v>
      </c>
      <c r="V1745" s="1422">
        <f ca="1">IF(LEFT(V$6,4)&lt;=LEFT('RFM input'!$G$60,4),"enter input",IF(LEFT(V$6,4)&gt;LEFT('RFM input'!$Q$60,4),0,IF(V$6=(OFFSET('RFM input'!$G$60,0,'RFM input'!$V$7)),OFFSET('RFM input'!$I$411,$A1742,0),0)))</f>
        <v>0</v>
      </c>
      <c r="W1745" s="1422">
        <f ca="1">IF(LEFT(W$6,4)&lt;=LEFT('RFM input'!$G$60,4),"enter input",IF(LEFT(W$6,4)&gt;LEFT('RFM input'!$Q$60,4),0,IF(W$6=(OFFSET('RFM input'!$G$60,0,'RFM input'!$V$7)),OFFSET('RFM input'!$I$411,$A1742,0),0)))</f>
        <v>0</v>
      </c>
      <c r="X1745" s="152"/>
      <c r="Y1745" s="152"/>
      <c r="Z1745" s="152"/>
      <c r="AA1745" s="152"/>
      <c r="AB1745" s="152"/>
    </row>
    <row r="1746" spans="1:28" hidden="1" outlineLevel="1">
      <c r="A1746" s="235">
        <v>-1</v>
      </c>
      <c r="B1746" s="190" t="s">
        <v>189</v>
      </c>
      <c r="C1746" s="1423"/>
      <c r="D1746" s="1423">
        <f ca="1">IF(AND(D1744=0,C1746=0),0,
IF(AND(D1744&lt;&gt;0,C1746=0),(D1744/D$10),
IF(AND(D1745&lt;&gt;0,C1746&lt;&gt;0),(C1746-(C1746/C1770))+(D1744/D$10),
IF(C1770&lt;1,0,(C1746-(C1746/C1770))))))</f>
        <v>0</v>
      </c>
      <c r="E1746" s="1423">
        <f t="shared" ref="E1746" ca="1" si="2557">IF(AND(E1744=0,D1746=0),0,
IF(AND(E1744&lt;&gt;0,D1746=0),(E1744/E$10),
IF(AND(E1745&lt;&gt;0,D1746&lt;&gt;0),(D1746-(D1746/D1770))+(E1744/E$10),
IF(D1770&lt;1,0,(D1746-(D1746/D1770))))))</f>
        <v>0</v>
      </c>
      <c r="F1746" s="1423">
        <f t="shared" ref="F1746" ca="1" si="2558">IF(AND(F1744=0,E1746=0),0,
IF(AND(F1744&lt;&gt;0,E1746=0),(F1744/F$10),
IF(AND(F1745&lt;&gt;0,E1746&lt;&gt;0),(E1746-(E1746/E1770))+(F1744/F$10),
IF(E1770&lt;1,0,(E1746-(E1746/E1770))))))</f>
        <v>0</v>
      </c>
      <c r="G1746" s="1423">
        <f t="shared" ref="G1746" ca="1" si="2559">IF(AND(G1744=0,F1746=0),0,
IF(AND(G1744&lt;&gt;0,F1746=0),(G1744/G$10),
IF(AND(G1745&lt;&gt;0,F1746&lt;&gt;0),(F1746-(F1746/F1770))+(G1744/G$10),
IF(F1770&lt;1,0,(F1746-(F1746/F1770))))))</f>
        <v>0</v>
      </c>
      <c r="H1746" s="1423">
        <f t="shared" ref="H1746" ca="1" si="2560">IF(AND(H1744=0,G1746=0),0,
IF(AND(H1744&lt;&gt;0,G1746=0),(H1744/H$10),
IF(AND(H1745&lt;&gt;0,G1746&lt;&gt;0),(G1746-(G1746/G1770))+(H1744/H$10),
IF(G1770&lt;1,0,(G1746-(G1746/G1770))))))</f>
        <v>0</v>
      </c>
      <c r="I1746" s="1423">
        <f t="shared" ref="I1746" ca="1" si="2561">IF(AND(I1744=0,H1746=0),0,
IF(AND(I1744&lt;&gt;0,H1746=0),(I1744/I$10),
IF(AND(I1745&lt;&gt;0,H1746&lt;&gt;0),(H1746-(H1746/H1770))+(I1744/I$10),
IF(H1770&lt;1,0,(H1746-(H1746/H1770))))))</f>
        <v>0</v>
      </c>
      <c r="J1746" s="1423">
        <f t="shared" ref="J1746" ca="1" si="2562">IF(AND(J1744=0,I1746=0),0,
IF(AND(J1744&lt;&gt;0,I1746=0),(J1744/J$10),
IF(AND(J1745&lt;&gt;0,I1746&lt;&gt;0),(I1746-(I1746/I1770))+(J1744/J$10),
IF(I1770&lt;1,0,(I1746-(I1746/I1770))))))</f>
        <v>0</v>
      </c>
      <c r="K1746" s="1423">
        <f t="shared" ref="K1746" ca="1" si="2563">IF(AND(K1744=0,J1746=0),0,
IF(AND(K1744&lt;&gt;0,J1746=0),(K1744/K$10),
IF(AND(K1745&lt;&gt;0,J1746&lt;&gt;0),(J1746-(J1746/J1770))+(K1744/K$10),
IF(J1770&lt;1,0,(J1746-(J1746/J1770))))))</f>
        <v>0</v>
      </c>
      <c r="L1746" s="1423">
        <f t="shared" ref="L1746" ca="1" si="2564">IF(AND(L1744=0,K1746=0),0,
IF(AND(L1744&lt;&gt;0,K1746=0),(L1744/L$10),
IF(AND(L1745&lt;&gt;0,K1746&lt;&gt;0),(K1746-(K1746/K1770))+(L1744/L$10),
IF(K1770&lt;1,0,(K1746-(K1746/K1770))))))</f>
        <v>0</v>
      </c>
      <c r="M1746" s="1423">
        <f t="shared" ref="M1746" ca="1" si="2565">IF(AND(M1744=0,L1746=0),0,
IF(AND(M1744&lt;&gt;0,L1746=0),(M1744/M$10),
IF(AND(M1745&lt;&gt;0,L1746&lt;&gt;0),(L1746-(L1746/L1770))+(M1744/M$10),
IF(L1770&lt;1,0,(L1746-(L1746/L1770))))))</f>
        <v>0</v>
      </c>
      <c r="N1746" s="1423">
        <f t="shared" ref="N1746" ca="1" si="2566">IF(AND(N1744=0,M1746=0),0,
IF(AND(N1744&lt;&gt;0,M1746=0),(N1744/N$10),
IF(AND(N1745&lt;&gt;0,M1746&lt;&gt;0),(M1746-(M1746/M1770))+(N1744/N$10),
IF(M1770&lt;1,0,(M1746-(M1746/M1770))))))</f>
        <v>0</v>
      </c>
      <c r="O1746" s="1423">
        <f t="shared" ref="O1746" ca="1" si="2567">IF(AND(O1744=0,N1746=0),0,
IF(AND(O1744&lt;&gt;0,N1746=0),(O1744/O$10),
IF(AND(O1745&lt;&gt;0,N1746&lt;&gt;0),(N1746-(N1746/N1770))+(O1744/O$10),
IF(N1770&lt;1,0,(N1746-(N1746/N1770))))))</f>
        <v>0</v>
      </c>
      <c r="P1746" s="1423">
        <f t="shared" ref="P1746" ca="1" si="2568">IF(AND(P1744=0,O1746=0),0,
IF(AND(P1744&lt;&gt;0,O1746=0),(P1744/P$10),
IF(AND(P1745&lt;&gt;0,O1746&lt;&gt;0),(O1746-(O1746/O1770))+(P1744/P$10),
IF(O1770&lt;1,0,(O1746-(O1746/O1770))))))</f>
        <v>0</v>
      </c>
      <c r="Q1746" s="1423">
        <f t="shared" ref="Q1746" ca="1" si="2569">IF(AND(Q1744=0,P1746=0),0,
IF(AND(Q1744&lt;&gt;0,P1746=0),(Q1744/Q$10),
IF(AND(Q1745&lt;&gt;0,P1746&lt;&gt;0),(P1746-(P1746/P1770))+(Q1744/Q$10),
IF(P1770&lt;1,0,(P1746-(P1746/P1770))))))</f>
        <v>0</v>
      </c>
      <c r="R1746" s="1423">
        <f t="shared" ref="R1746" ca="1" si="2570">IF(AND(R1744=0,Q1746=0),0,
IF(AND(R1744&lt;&gt;0,Q1746=0),(R1744/R$10),
IF(AND(R1745&lt;&gt;0,Q1746&lt;&gt;0),(Q1746-(Q1746/Q1770))+(R1744/R$10),
IF(Q1770&lt;1,0,(Q1746-(Q1746/Q1770))))))</f>
        <v>0</v>
      </c>
      <c r="S1746" s="1423">
        <f t="shared" ref="S1746" ca="1" si="2571">IF(AND(S1744=0,R1746=0),0,
IF(AND(S1744&lt;&gt;0,R1746=0),(S1744/S$10),
IF(AND(S1745&lt;&gt;0,R1746&lt;&gt;0),(R1746-(R1746/R1770))+(S1744/S$10),
IF(R1770&lt;1,0,(R1746-(R1746/R1770))))))</f>
        <v>0</v>
      </c>
      <c r="T1746" s="1423">
        <f t="shared" ref="T1746" ca="1" si="2572">IF(AND(T1744=0,S1746=0),0,
IF(AND(T1744&lt;&gt;0,S1746=0),(T1744/T$10),
IF(AND(T1745&lt;&gt;0,S1746&lt;&gt;0),(S1746-(S1746/S1770))+(T1744/T$10),
IF(S1770&lt;1,0,(S1746-(S1746/S1770))))))</f>
        <v>0</v>
      </c>
      <c r="U1746" s="1423">
        <f t="shared" ref="U1746" ca="1" si="2573">IF(AND(U1744=0,T1746=0),0,
IF(AND(U1744&lt;&gt;0,T1746=0),(U1744/U$10),
IF(AND(U1745&lt;&gt;0,T1746&lt;&gt;0),(T1746-(T1746/T1770))+(U1744/U$10),
IF(T1770&lt;1,0,(T1746-(T1746/T1770))))))</f>
        <v>0</v>
      </c>
      <c r="V1746" s="1423">
        <f t="shared" ref="V1746" ca="1" si="2574">IF(AND(V1744=0,U1746=0),0,
IF(AND(V1744&lt;&gt;0,U1746=0),(V1744/V$10),
IF(AND(V1745&lt;&gt;0,U1746&lt;&gt;0),(U1746-(U1746/U1770))+(V1744/V$10),
IF(U1770&lt;1,0,(U1746-(U1746/U1770))))))</f>
        <v>0</v>
      </c>
      <c r="W1746" s="1423">
        <f t="shared" ref="W1746" ca="1" si="2575">IF(AND(W1744=0,V1746=0),0,
IF(AND(W1744&lt;&gt;0,V1746=0),(W1744/W$10),
IF(AND(W1745&lt;&gt;0,V1746&lt;&gt;0),(V1746-(V1746/V1770))+(W1744/W$10),
IF(V1770&lt;1,0,(V1746-(V1746/V1770))))))</f>
        <v>0</v>
      </c>
      <c r="X1746" s="152"/>
      <c r="Y1746" s="152"/>
      <c r="Z1746" s="152"/>
      <c r="AA1746" s="152"/>
      <c r="AB1746" s="152"/>
    </row>
    <row r="1747" spans="1:28" hidden="1" outlineLevel="1">
      <c r="A1747" s="199">
        <f>A1746+1</f>
        <v>0</v>
      </c>
      <c r="B1747" s="190" t="s">
        <v>125</v>
      </c>
      <c r="C1747" s="1423">
        <f ca="1">C1742/C$10</f>
        <v>0</v>
      </c>
      <c r="D1747" s="1423">
        <f ca="1">IF(C1771="n/a",C1747,IFERROR(IF((OFFSET($C1747,0,$A1747))&lt;0,
MIN(0,C1747-(OFFSET($C1747,0,$A1747)/(OFFSET($C1742,-$A1746,$A1747)))),
MAX(0,C1747-(OFFSET($C1747,0,$A1747)/(OFFSET($C1742,-$A1746,$A1747))))),0))</f>
        <v>0</v>
      </c>
      <c r="E1747" s="1423">
        <f t="shared" ref="E1747" ca="1" si="2576">IF(D1771="n/a",D1747,IFERROR(IF((OFFSET($C1747,0,$A1747))&lt;0,
MIN(0,D1747-(OFFSET($C1747,0,$A1747)/(OFFSET($C1742,-$A1746,$A1747)))),
MAX(0,D1747-(OFFSET($C1747,0,$A1747)/(OFFSET($C1742,-$A1746,$A1747))))),0))</f>
        <v>0</v>
      </c>
      <c r="F1747" s="1423">
        <f t="shared" ref="F1747:F1748" ca="1" si="2577">IF(E1771="n/a",E1747,IFERROR(IF((OFFSET($C1747,0,$A1747))&lt;0,
MIN(0,E1747-(OFFSET($C1747,0,$A1747)/(OFFSET($C1742,-$A1746,$A1747)))),
MAX(0,E1747-(OFFSET($C1747,0,$A1747)/(OFFSET($C1742,-$A1746,$A1747))))),0))</f>
        <v>0</v>
      </c>
      <c r="G1747" s="1423">
        <f t="shared" ref="G1747:G1749" ca="1" si="2578">IF(F1771="n/a",F1747,IFERROR(IF((OFFSET($C1747,0,$A1747))&lt;0,
MIN(0,F1747-(OFFSET($C1747,0,$A1747)/(OFFSET($C1742,-$A1746,$A1747)))),
MAX(0,F1747-(OFFSET($C1747,0,$A1747)/(OFFSET($C1742,-$A1746,$A1747))))),0))</f>
        <v>0</v>
      </c>
      <c r="H1747" s="1423">
        <f t="shared" ref="H1747:H1750" ca="1" si="2579">IF(G1771="n/a",G1747,IFERROR(IF((OFFSET($C1747,0,$A1747))&lt;0,
MIN(0,G1747-(OFFSET($C1747,0,$A1747)/(OFFSET($C1742,-$A1746,$A1747)))),
MAX(0,G1747-(OFFSET($C1747,0,$A1747)/(OFFSET($C1742,-$A1746,$A1747))))),0))</f>
        <v>0</v>
      </c>
      <c r="I1747" s="1423">
        <f t="shared" ref="I1747:I1751" ca="1" si="2580">IF(H1771="n/a",H1747,IFERROR(IF((OFFSET($C1747,0,$A1747))&lt;0,
MIN(0,H1747-(OFFSET($C1747,0,$A1747)/(OFFSET($C1742,-$A1746,$A1747)))),
MAX(0,H1747-(OFFSET($C1747,0,$A1747)/(OFFSET($C1742,-$A1746,$A1747))))),0))</f>
        <v>0</v>
      </c>
      <c r="J1747" s="1423">
        <f t="shared" ref="J1747:J1752" ca="1" si="2581">IF(I1771="n/a",I1747,IFERROR(IF((OFFSET($C1747,0,$A1747))&lt;0,
MIN(0,I1747-(OFFSET($C1747,0,$A1747)/(OFFSET($C1742,-$A1746,$A1747)))),
MAX(0,I1747-(OFFSET($C1747,0,$A1747)/(OFFSET($C1742,-$A1746,$A1747))))),0))</f>
        <v>0</v>
      </c>
      <c r="K1747" s="1423">
        <f t="shared" ref="K1747:K1753" ca="1" si="2582">IF(J1771="n/a",J1747,IFERROR(IF((OFFSET($C1747,0,$A1747))&lt;0,
MIN(0,J1747-(OFFSET($C1747,0,$A1747)/(OFFSET($C1742,-$A1746,$A1747)))),
MAX(0,J1747-(OFFSET($C1747,0,$A1747)/(OFFSET($C1742,-$A1746,$A1747))))),0))</f>
        <v>0</v>
      </c>
      <c r="L1747" s="1423">
        <f t="shared" ref="L1747:L1754" ca="1" si="2583">IF(K1771="n/a",K1747,IFERROR(IF((OFFSET($C1747,0,$A1747))&lt;0,
MIN(0,K1747-(OFFSET($C1747,0,$A1747)/(OFFSET($C1742,-$A1746,$A1747)))),
MAX(0,K1747-(OFFSET($C1747,0,$A1747)/(OFFSET($C1742,-$A1746,$A1747))))),0))</f>
        <v>0</v>
      </c>
      <c r="M1747" s="1423">
        <f t="shared" ref="M1747:M1755" ca="1" si="2584">IF(L1771="n/a",L1747,IFERROR(IF((OFFSET($C1747,0,$A1747))&lt;0,
MIN(0,L1747-(OFFSET($C1747,0,$A1747)/(OFFSET($C1742,-$A1746,$A1747)))),
MAX(0,L1747-(OFFSET($C1747,0,$A1747)/(OFFSET($C1742,-$A1746,$A1747))))),0))</f>
        <v>0</v>
      </c>
      <c r="N1747" s="1423">
        <f t="shared" ref="N1747:N1756" ca="1" si="2585">IF(M1771="n/a",M1747,IFERROR(IF((OFFSET($C1747,0,$A1747))&lt;0,
MIN(0,M1747-(OFFSET($C1747,0,$A1747)/(OFFSET($C1742,-$A1746,$A1747)))),
MAX(0,M1747-(OFFSET($C1747,0,$A1747)/(OFFSET($C1742,-$A1746,$A1747))))),0))</f>
        <v>0</v>
      </c>
      <c r="O1747" s="1423">
        <f t="shared" ref="O1747:O1757" ca="1" si="2586">IF(N1771="n/a",N1747,IFERROR(IF((OFFSET($C1747,0,$A1747))&lt;0,
MIN(0,N1747-(OFFSET($C1747,0,$A1747)/(OFFSET($C1742,-$A1746,$A1747)))),
MAX(0,N1747-(OFFSET($C1747,0,$A1747)/(OFFSET($C1742,-$A1746,$A1747))))),0))</f>
        <v>0</v>
      </c>
      <c r="P1747" s="1423">
        <f t="shared" ref="P1747:P1758" ca="1" si="2587">IF(O1771="n/a",O1747,IFERROR(IF((OFFSET($C1747,0,$A1747))&lt;0,
MIN(0,O1747-(OFFSET($C1747,0,$A1747)/(OFFSET($C1742,-$A1746,$A1747)))),
MAX(0,O1747-(OFFSET($C1747,0,$A1747)/(OFFSET($C1742,-$A1746,$A1747))))),0))</f>
        <v>0</v>
      </c>
      <c r="Q1747" s="1423">
        <f t="shared" ref="Q1747:Q1759" ca="1" si="2588">IF(P1771="n/a",P1747,IFERROR(IF((OFFSET($C1747,0,$A1747))&lt;0,
MIN(0,P1747-(OFFSET($C1747,0,$A1747)/(OFFSET($C1742,-$A1746,$A1747)))),
MAX(0,P1747-(OFFSET($C1747,0,$A1747)/(OFFSET($C1742,-$A1746,$A1747))))),0))</f>
        <v>0</v>
      </c>
      <c r="R1747" s="1423">
        <f t="shared" ref="R1747:R1760" ca="1" si="2589">IF(Q1771="n/a",Q1747,IFERROR(IF((OFFSET($C1747,0,$A1747))&lt;0,
MIN(0,Q1747-(OFFSET($C1747,0,$A1747)/(OFFSET($C1742,-$A1746,$A1747)))),
MAX(0,Q1747-(OFFSET($C1747,0,$A1747)/(OFFSET($C1742,-$A1746,$A1747))))),0))</f>
        <v>0</v>
      </c>
      <c r="S1747" s="1423">
        <f t="shared" ref="S1747:S1761" ca="1" si="2590">IF(R1771="n/a",R1747,IFERROR(IF((OFFSET($C1747,0,$A1747))&lt;0,
MIN(0,R1747-(OFFSET($C1747,0,$A1747)/(OFFSET($C1742,-$A1746,$A1747)))),
MAX(0,R1747-(OFFSET($C1747,0,$A1747)/(OFFSET($C1742,-$A1746,$A1747))))),0))</f>
        <v>0</v>
      </c>
      <c r="T1747" s="1423">
        <f t="shared" ref="T1747:T1762" ca="1" si="2591">IF(S1771="n/a",S1747,IFERROR(IF((OFFSET($C1747,0,$A1747))&lt;0,
MIN(0,S1747-(OFFSET($C1747,0,$A1747)/(OFFSET($C1742,-$A1746,$A1747)))),
MAX(0,S1747-(OFFSET($C1747,0,$A1747)/(OFFSET($C1742,-$A1746,$A1747))))),0))</f>
        <v>0</v>
      </c>
      <c r="U1747" s="1423">
        <f t="shared" ref="U1747:U1763" ca="1" si="2592">IF(T1771="n/a",T1747,IFERROR(IF((OFFSET($C1747,0,$A1747))&lt;0,
MIN(0,T1747-(OFFSET($C1747,0,$A1747)/(OFFSET($C1742,-$A1746,$A1747)))),
MAX(0,T1747-(OFFSET($C1747,0,$A1747)/(OFFSET($C1742,-$A1746,$A1747))))),0))</f>
        <v>0</v>
      </c>
      <c r="V1747" s="1423">
        <f t="shared" ref="V1747:V1764" ca="1" si="2593">IF(U1771="n/a",U1747,IFERROR(IF((OFFSET($C1747,0,$A1747))&lt;0,
MIN(0,U1747-(OFFSET($C1747,0,$A1747)/(OFFSET($C1742,-$A1746,$A1747)))),
MAX(0,U1747-(OFFSET($C1747,0,$A1747)/(OFFSET($C1742,-$A1746,$A1747))))),0))</f>
        <v>0</v>
      </c>
      <c r="W1747" s="1423">
        <f t="shared" ref="W1747:W1765" ca="1" si="2594">IF(V1771="n/a",V1747,IFERROR(IF((OFFSET($C1747,0,$A1747))&lt;0,
MIN(0,V1747-(OFFSET($C1747,0,$A1747)/(OFFSET($C1742,-$A1746,$A1747)))),
MAX(0,V1747-(OFFSET($C1747,0,$A1747)/(OFFSET($C1742,-$A1746,$A1747))))),0))</f>
        <v>0</v>
      </c>
      <c r="X1747" s="152"/>
      <c r="Y1747" s="152"/>
      <c r="Z1747" s="152"/>
      <c r="AA1747" s="152"/>
      <c r="AB1747" s="152"/>
    </row>
    <row r="1748" spans="1:28" hidden="1" outlineLevel="1">
      <c r="A1748" s="199">
        <f t="shared" ref="A1748:A1767" si="2595">A1747+1</f>
        <v>1</v>
      </c>
      <c r="B1748" s="190" t="str">
        <f t="shared" ref="B1748:B1766" ca="1" si="2596">"Depreciated Net Capex "&amp;OFFSET($C$6,0,A1748)</f>
        <v>Depreciated Net Capex 2016-17</v>
      </c>
      <c r="C1748" s="1424"/>
      <c r="D1748" s="1425">
        <f>(D1742*((1+D$11)^0.5)/D$10)</f>
        <v>0</v>
      </c>
      <c r="E1748" s="1423">
        <f ca="1">IF(D1772="n/a",D1748,IFERROR(IF((OFFSET($C1748,0,$A1748))&lt;0,
MIN(0,D1748-(OFFSET($C1748,0,$A1748)/(OFFSET($C1743,-$A1747,$A1748)))),
MAX(0,D1748-(OFFSET($C1748,0,$A1748)/(OFFSET($C1743,-$A1747,$A1748))))),0))</f>
        <v>0</v>
      </c>
      <c r="F1748" s="1423">
        <f t="shared" ca="1" si="2577"/>
        <v>0</v>
      </c>
      <c r="G1748" s="1423">
        <f t="shared" ca="1" si="2578"/>
        <v>0</v>
      </c>
      <c r="H1748" s="1423">
        <f t="shared" ca="1" si="2579"/>
        <v>0</v>
      </c>
      <c r="I1748" s="1423">
        <f t="shared" ca="1" si="2580"/>
        <v>0</v>
      </c>
      <c r="J1748" s="1423">
        <f t="shared" ca="1" si="2581"/>
        <v>0</v>
      </c>
      <c r="K1748" s="1423">
        <f t="shared" ca="1" si="2582"/>
        <v>0</v>
      </c>
      <c r="L1748" s="1423">
        <f t="shared" ca="1" si="2583"/>
        <v>0</v>
      </c>
      <c r="M1748" s="1423">
        <f t="shared" ca="1" si="2584"/>
        <v>0</v>
      </c>
      <c r="N1748" s="1423">
        <f t="shared" ca="1" si="2585"/>
        <v>0</v>
      </c>
      <c r="O1748" s="1423">
        <f t="shared" ca="1" si="2586"/>
        <v>0</v>
      </c>
      <c r="P1748" s="1423">
        <f t="shared" ca="1" si="2587"/>
        <v>0</v>
      </c>
      <c r="Q1748" s="1423">
        <f t="shared" ca="1" si="2588"/>
        <v>0</v>
      </c>
      <c r="R1748" s="1423">
        <f t="shared" ca="1" si="2589"/>
        <v>0</v>
      </c>
      <c r="S1748" s="1423">
        <f t="shared" ca="1" si="2590"/>
        <v>0</v>
      </c>
      <c r="T1748" s="1423">
        <f t="shared" ca="1" si="2591"/>
        <v>0</v>
      </c>
      <c r="U1748" s="1423">
        <f t="shared" ca="1" si="2592"/>
        <v>0</v>
      </c>
      <c r="V1748" s="1423">
        <f t="shared" ca="1" si="2593"/>
        <v>0</v>
      </c>
      <c r="W1748" s="1423">
        <f t="shared" ca="1" si="2594"/>
        <v>0</v>
      </c>
      <c r="X1748" s="152"/>
      <c r="Y1748" s="152"/>
      <c r="Z1748" s="152"/>
      <c r="AA1748" s="152"/>
      <c r="AB1748" s="152"/>
    </row>
    <row r="1749" spans="1:28" hidden="1" outlineLevel="1">
      <c r="A1749" s="199">
        <f t="shared" si="2595"/>
        <v>2</v>
      </c>
      <c r="B1749" s="190" t="str">
        <f t="shared" ca="1" si="2596"/>
        <v>Depreciated Net Capex 2017-18</v>
      </c>
      <c r="C1749" s="1426"/>
      <c r="D1749" s="1427"/>
      <c r="E1749" s="1425">
        <f>(E1742*((1+E$11)^0.5)/E$10)</f>
        <v>0</v>
      </c>
      <c r="F1749" s="1423">
        <f ca="1">IF(E1773="n/a",E1749,IFERROR(IF((OFFSET($C1749,0,$A1749))&lt;0,
MIN(0,E1749-(OFFSET($C1749,0,$A1749)/(OFFSET($C1744,-$A1748,$A1749)))),
MAX(0,E1749-(OFFSET($C1749,0,$A1749)/(OFFSET($C1744,-$A1748,$A1749))))),0))</f>
        <v>0</v>
      </c>
      <c r="G1749" s="1423">
        <f t="shared" ca="1" si="2578"/>
        <v>0</v>
      </c>
      <c r="H1749" s="1423">
        <f t="shared" ca="1" si="2579"/>
        <v>0</v>
      </c>
      <c r="I1749" s="1423">
        <f t="shared" ca="1" si="2580"/>
        <v>0</v>
      </c>
      <c r="J1749" s="1423">
        <f t="shared" ca="1" si="2581"/>
        <v>0</v>
      </c>
      <c r="K1749" s="1423">
        <f t="shared" ca="1" si="2582"/>
        <v>0</v>
      </c>
      <c r="L1749" s="1423">
        <f t="shared" ca="1" si="2583"/>
        <v>0</v>
      </c>
      <c r="M1749" s="1423">
        <f t="shared" ca="1" si="2584"/>
        <v>0</v>
      </c>
      <c r="N1749" s="1423">
        <f t="shared" ca="1" si="2585"/>
        <v>0</v>
      </c>
      <c r="O1749" s="1423">
        <f t="shared" ca="1" si="2586"/>
        <v>0</v>
      </c>
      <c r="P1749" s="1423">
        <f t="shared" ca="1" si="2587"/>
        <v>0</v>
      </c>
      <c r="Q1749" s="1423">
        <f t="shared" ca="1" si="2588"/>
        <v>0</v>
      </c>
      <c r="R1749" s="1423">
        <f t="shared" ca="1" si="2589"/>
        <v>0</v>
      </c>
      <c r="S1749" s="1423">
        <f t="shared" ca="1" si="2590"/>
        <v>0</v>
      </c>
      <c r="T1749" s="1423">
        <f t="shared" ca="1" si="2591"/>
        <v>0</v>
      </c>
      <c r="U1749" s="1423">
        <f t="shared" ca="1" si="2592"/>
        <v>0</v>
      </c>
      <c r="V1749" s="1423">
        <f t="shared" ca="1" si="2593"/>
        <v>0</v>
      </c>
      <c r="W1749" s="1423">
        <f t="shared" ca="1" si="2594"/>
        <v>0</v>
      </c>
      <c r="X1749" s="202"/>
      <c r="Y1749" s="152"/>
      <c r="Z1749" s="152"/>
      <c r="AA1749" s="152"/>
      <c r="AB1749" s="152"/>
    </row>
    <row r="1750" spans="1:28" hidden="1" outlineLevel="1">
      <c r="A1750" s="199">
        <f t="shared" si="2595"/>
        <v>3</v>
      </c>
      <c r="B1750" s="190" t="str">
        <f t="shared" ca="1" si="2596"/>
        <v>Depreciated Net Capex 2018-19</v>
      </c>
      <c r="C1750" s="1426"/>
      <c r="D1750" s="1426"/>
      <c r="E1750" s="1427"/>
      <c r="F1750" s="1428">
        <f>($F1742*((1+F$11)^0.5)/F$10)</f>
        <v>0</v>
      </c>
      <c r="G1750" s="1423">
        <f ca="1">IF(F1774="n/a",F1750,IFERROR(IF((OFFSET($C1750,0,$A1750))&lt;0,
MIN(0,F1750-(OFFSET($C1750,0,$A1750)/(OFFSET($C1745,-$A1749,$A1750)))),
MAX(0,F1750-(OFFSET($C1750,0,$A1750)/(OFFSET($C1745,-$A1749,$A1750))))),0))</f>
        <v>0</v>
      </c>
      <c r="H1750" s="1423">
        <f t="shared" ca="1" si="2579"/>
        <v>0</v>
      </c>
      <c r="I1750" s="1423">
        <f t="shared" ca="1" si="2580"/>
        <v>0</v>
      </c>
      <c r="J1750" s="1423">
        <f t="shared" ca="1" si="2581"/>
        <v>0</v>
      </c>
      <c r="K1750" s="1423">
        <f t="shared" ca="1" si="2582"/>
        <v>0</v>
      </c>
      <c r="L1750" s="1423">
        <f t="shared" ca="1" si="2583"/>
        <v>0</v>
      </c>
      <c r="M1750" s="1423">
        <f t="shared" ca="1" si="2584"/>
        <v>0</v>
      </c>
      <c r="N1750" s="1423">
        <f t="shared" ca="1" si="2585"/>
        <v>0</v>
      </c>
      <c r="O1750" s="1423">
        <f t="shared" ca="1" si="2586"/>
        <v>0</v>
      </c>
      <c r="P1750" s="1423">
        <f t="shared" ca="1" si="2587"/>
        <v>0</v>
      </c>
      <c r="Q1750" s="1423">
        <f t="shared" ca="1" si="2588"/>
        <v>0</v>
      </c>
      <c r="R1750" s="1423">
        <f t="shared" ca="1" si="2589"/>
        <v>0</v>
      </c>
      <c r="S1750" s="1423">
        <f t="shared" ca="1" si="2590"/>
        <v>0</v>
      </c>
      <c r="T1750" s="1423">
        <f t="shared" ca="1" si="2591"/>
        <v>0</v>
      </c>
      <c r="U1750" s="1423">
        <f t="shared" ca="1" si="2592"/>
        <v>0</v>
      </c>
      <c r="V1750" s="1423">
        <f t="shared" ca="1" si="2593"/>
        <v>0</v>
      </c>
      <c r="W1750" s="1423">
        <f t="shared" ca="1" si="2594"/>
        <v>0</v>
      </c>
      <c r="X1750" s="202"/>
      <c r="Y1750" s="202"/>
      <c r="Z1750" s="152"/>
      <c r="AA1750" s="152"/>
      <c r="AB1750" s="152"/>
    </row>
    <row r="1751" spans="1:28" hidden="1" outlineLevel="1">
      <c r="A1751" s="199">
        <f t="shared" si="2595"/>
        <v>4</v>
      </c>
      <c r="B1751" s="190" t="str">
        <f t="shared" ca="1" si="2596"/>
        <v>Depreciated Net Capex 2019-20</v>
      </c>
      <c r="C1751" s="1426"/>
      <c r="D1751" s="1426"/>
      <c r="E1751" s="1426"/>
      <c r="F1751" s="1427"/>
      <c r="G1751" s="1428">
        <f>($G1742*((1+G$11)^0.5)/G$10)</f>
        <v>0</v>
      </c>
      <c r="H1751" s="1423">
        <f ca="1">IF(G1775="n/a",G1751,IFERROR(IF((OFFSET($C1751,0,$A1751))&lt;0,
MIN(0,G1751-(OFFSET($C1751,0,$A1751)/(OFFSET($C1746,-$A1750,$A1751)))),
MAX(0,G1751-(OFFSET($C1751,0,$A1751)/(OFFSET($C1746,-$A1750,$A1751))))),0))</f>
        <v>0</v>
      </c>
      <c r="I1751" s="1423">
        <f t="shared" ca="1" si="2580"/>
        <v>0</v>
      </c>
      <c r="J1751" s="1423">
        <f t="shared" ca="1" si="2581"/>
        <v>0</v>
      </c>
      <c r="K1751" s="1423">
        <f t="shared" ca="1" si="2582"/>
        <v>0</v>
      </c>
      <c r="L1751" s="1423">
        <f t="shared" ca="1" si="2583"/>
        <v>0</v>
      </c>
      <c r="M1751" s="1423">
        <f t="shared" ca="1" si="2584"/>
        <v>0</v>
      </c>
      <c r="N1751" s="1423">
        <f t="shared" ca="1" si="2585"/>
        <v>0</v>
      </c>
      <c r="O1751" s="1423">
        <f t="shared" ca="1" si="2586"/>
        <v>0</v>
      </c>
      <c r="P1751" s="1423">
        <f t="shared" ca="1" si="2587"/>
        <v>0</v>
      </c>
      <c r="Q1751" s="1423">
        <f t="shared" ca="1" si="2588"/>
        <v>0</v>
      </c>
      <c r="R1751" s="1423">
        <f t="shared" ca="1" si="2589"/>
        <v>0</v>
      </c>
      <c r="S1751" s="1423">
        <f t="shared" ca="1" si="2590"/>
        <v>0</v>
      </c>
      <c r="T1751" s="1423">
        <f t="shared" ca="1" si="2591"/>
        <v>0</v>
      </c>
      <c r="U1751" s="1423">
        <f t="shared" ca="1" si="2592"/>
        <v>0</v>
      </c>
      <c r="V1751" s="1423">
        <f t="shared" ca="1" si="2593"/>
        <v>0</v>
      </c>
      <c r="W1751" s="1423">
        <f t="shared" ca="1" si="2594"/>
        <v>0</v>
      </c>
      <c r="X1751" s="202"/>
      <c r="Y1751" s="202"/>
      <c r="Z1751" s="202"/>
      <c r="AA1751" s="152"/>
      <c r="AB1751" s="152"/>
    </row>
    <row r="1752" spans="1:28" hidden="1" outlineLevel="1">
      <c r="A1752" s="199">
        <f t="shared" si="2595"/>
        <v>5</v>
      </c>
      <c r="B1752" s="190" t="str">
        <f t="shared" ca="1" si="2596"/>
        <v>Depreciated Net Capex 2020-21</v>
      </c>
      <c r="C1752" s="1426"/>
      <c r="D1752" s="1426"/>
      <c r="E1752" s="1426"/>
      <c r="F1752" s="1426"/>
      <c r="G1752" s="1427"/>
      <c r="H1752" s="1428">
        <f>(H1742*((1+H$11)^0.5)/H$10)</f>
        <v>0</v>
      </c>
      <c r="I1752" s="1423">
        <f ca="1">IF(H1776="n/a",H1752,IFERROR(IF((OFFSET($C1752,0,$A1752))&lt;0,
MIN(0,H1752-(OFFSET($C1752,0,$A1752)/(OFFSET($C1747,-$A1751,$A1752)))),
MAX(0,H1752-(OFFSET($C1752,0,$A1752)/(OFFSET($C1747,-$A1751,$A1752))))),0))</f>
        <v>0</v>
      </c>
      <c r="J1752" s="1423">
        <f t="shared" ca="1" si="2581"/>
        <v>0</v>
      </c>
      <c r="K1752" s="1423">
        <f t="shared" ca="1" si="2582"/>
        <v>0</v>
      </c>
      <c r="L1752" s="1423">
        <f t="shared" ca="1" si="2583"/>
        <v>0</v>
      </c>
      <c r="M1752" s="1423">
        <f t="shared" ca="1" si="2584"/>
        <v>0</v>
      </c>
      <c r="N1752" s="1423">
        <f t="shared" ca="1" si="2585"/>
        <v>0</v>
      </c>
      <c r="O1752" s="1423">
        <f t="shared" ca="1" si="2586"/>
        <v>0</v>
      </c>
      <c r="P1752" s="1423">
        <f t="shared" ca="1" si="2587"/>
        <v>0</v>
      </c>
      <c r="Q1752" s="1423">
        <f t="shared" ca="1" si="2588"/>
        <v>0</v>
      </c>
      <c r="R1752" s="1423">
        <f t="shared" ca="1" si="2589"/>
        <v>0</v>
      </c>
      <c r="S1752" s="1423">
        <f t="shared" ca="1" si="2590"/>
        <v>0</v>
      </c>
      <c r="T1752" s="1423">
        <f t="shared" ca="1" si="2591"/>
        <v>0</v>
      </c>
      <c r="U1752" s="1423">
        <f t="shared" ca="1" si="2592"/>
        <v>0</v>
      </c>
      <c r="V1752" s="1423">
        <f t="shared" ca="1" si="2593"/>
        <v>0</v>
      </c>
      <c r="W1752" s="1423">
        <f t="shared" ca="1" si="2594"/>
        <v>0</v>
      </c>
      <c r="X1752" s="202"/>
      <c r="Y1752" s="202"/>
      <c r="Z1752" s="202"/>
      <c r="AA1752" s="152"/>
      <c r="AB1752" s="152"/>
    </row>
    <row r="1753" spans="1:28" hidden="1" outlineLevel="1">
      <c r="A1753" s="199">
        <f t="shared" si="2595"/>
        <v>6</v>
      </c>
      <c r="B1753" s="190" t="str">
        <f t="shared" ca="1" si="2596"/>
        <v>Depreciated Net Capex 2021-22</v>
      </c>
      <c r="C1753" s="1426"/>
      <c r="D1753" s="1426"/>
      <c r="E1753" s="1426"/>
      <c r="F1753" s="1426"/>
      <c r="G1753" s="1426"/>
      <c r="H1753" s="1427"/>
      <c r="I1753" s="1428">
        <f>(I1742*((1+I$11)^0.5)/I$10)</f>
        <v>0</v>
      </c>
      <c r="J1753" s="1423">
        <f ca="1">IF(I1777="n/a",I1753,IFERROR(IF((OFFSET($C1753,0,$A1753))&lt;0,
MIN(0,I1753-(OFFSET($C1753,0,$A1753)/(OFFSET($C1748,-$A1752,$A1753)))),
MAX(0,I1753-(OFFSET($C1753,0,$A1753)/(OFFSET($C1748,-$A1752,$A1753))))),0))</f>
        <v>0</v>
      </c>
      <c r="K1753" s="1423">
        <f t="shared" ca="1" si="2582"/>
        <v>0</v>
      </c>
      <c r="L1753" s="1423">
        <f t="shared" ca="1" si="2583"/>
        <v>0</v>
      </c>
      <c r="M1753" s="1423">
        <f t="shared" ca="1" si="2584"/>
        <v>0</v>
      </c>
      <c r="N1753" s="1423">
        <f t="shared" ca="1" si="2585"/>
        <v>0</v>
      </c>
      <c r="O1753" s="1423">
        <f t="shared" ca="1" si="2586"/>
        <v>0</v>
      </c>
      <c r="P1753" s="1423">
        <f t="shared" ca="1" si="2587"/>
        <v>0</v>
      </c>
      <c r="Q1753" s="1423">
        <f t="shared" ca="1" si="2588"/>
        <v>0</v>
      </c>
      <c r="R1753" s="1423">
        <f t="shared" ca="1" si="2589"/>
        <v>0</v>
      </c>
      <c r="S1753" s="1423">
        <f t="shared" ca="1" si="2590"/>
        <v>0</v>
      </c>
      <c r="T1753" s="1423">
        <f t="shared" ca="1" si="2591"/>
        <v>0</v>
      </c>
      <c r="U1753" s="1423">
        <f t="shared" ca="1" si="2592"/>
        <v>0</v>
      </c>
      <c r="V1753" s="1423">
        <f t="shared" ca="1" si="2593"/>
        <v>0</v>
      </c>
      <c r="W1753" s="1423">
        <f t="shared" ca="1" si="2594"/>
        <v>0</v>
      </c>
      <c r="X1753" s="202"/>
      <c r="Y1753" s="202"/>
      <c r="Z1753" s="202"/>
      <c r="AA1753" s="152"/>
      <c r="AB1753" s="152"/>
    </row>
    <row r="1754" spans="1:28" hidden="1" outlineLevel="1">
      <c r="A1754" s="199">
        <f t="shared" si="2595"/>
        <v>7</v>
      </c>
      <c r="B1754" s="190" t="str">
        <f t="shared" ca="1" si="2596"/>
        <v>Depreciated Net Capex 2022-23</v>
      </c>
      <c r="C1754" s="1426"/>
      <c r="D1754" s="1426"/>
      <c r="E1754" s="1426"/>
      <c r="F1754" s="1426"/>
      <c r="G1754" s="1426"/>
      <c r="H1754" s="1426"/>
      <c r="I1754" s="1427"/>
      <c r="J1754" s="1428">
        <f>(J1742*((1+J$11)^0.5)/J$10)</f>
        <v>0</v>
      </c>
      <c r="K1754" s="1423">
        <f ca="1">IF(J1778="n/a",J1754,IFERROR(IF((OFFSET($C1754,0,$A1754))&lt;0,
MIN(0,J1754-(OFFSET($C1754,0,$A1754)/(OFFSET($C1749,-$A1753,$A1754)))),
MAX(0,J1754-(OFFSET($C1754,0,$A1754)/(OFFSET($C1749,-$A1753,$A1754))))),0))</f>
        <v>0</v>
      </c>
      <c r="L1754" s="1423">
        <f t="shared" ca="1" si="2583"/>
        <v>0</v>
      </c>
      <c r="M1754" s="1423">
        <f t="shared" ca="1" si="2584"/>
        <v>0</v>
      </c>
      <c r="N1754" s="1423">
        <f t="shared" ca="1" si="2585"/>
        <v>0</v>
      </c>
      <c r="O1754" s="1423">
        <f t="shared" ca="1" si="2586"/>
        <v>0</v>
      </c>
      <c r="P1754" s="1423">
        <f t="shared" ca="1" si="2587"/>
        <v>0</v>
      </c>
      <c r="Q1754" s="1423">
        <f t="shared" ca="1" si="2588"/>
        <v>0</v>
      </c>
      <c r="R1754" s="1423">
        <f t="shared" ca="1" si="2589"/>
        <v>0</v>
      </c>
      <c r="S1754" s="1423">
        <f t="shared" ca="1" si="2590"/>
        <v>0</v>
      </c>
      <c r="T1754" s="1423">
        <f t="shared" ca="1" si="2591"/>
        <v>0</v>
      </c>
      <c r="U1754" s="1423">
        <f t="shared" ca="1" si="2592"/>
        <v>0</v>
      </c>
      <c r="V1754" s="1423">
        <f t="shared" ca="1" si="2593"/>
        <v>0</v>
      </c>
      <c r="W1754" s="1423">
        <f t="shared" ca="1" si="2594"/>
        <v>0</v>
      </c>
      <c r="X1754" s="202"/>
      <c r="Y1754" s="202"/>
      <c r="Z1754" s="202"/>
      <c r="AA1754" s="152"/>
      <c r="AB1754" s="152"/>
    </row>
    <row r="1755" spans="1:28" hidden="1" outlineLevel="1">
      <c r="A1755" s="199">
        <f t="shared" si="2595"/>
        <v>8</v>
      </c>
      <c r="B1755" s="190" t="str">
        <f t="shared" ca="1" si="2596"/>
        <v>Depreciated Net Capex 2023-24</v>
      </c>
      <c r="C1755" s="1426"/>
      <c r="D1755" s="1426"/>
      <c r="E1755" s="1426"/>
      <c r="F1755" s="1426"/>
      <c r="G1755" s="1426"/>
      <c r="H1755" s="1426"/>
      <c r="I1755" s="1426"/>
      <c r="J1755" s="1427"/>
      <c r="K1755" s="1428">
        <f>(K1742*((1+K$11)^0.5)/K$10)</f>
        <v>0</v>
      </c>
      <c r="L1755" s="1423">
        <f ca="1">IF(K1779="n/a",K1755,IFERROR(IF((OFFSET($C1755,0,$A1755))&lt;0,
MIN(0,K1755-(OFFSET($C1755,0,$A1755)/(OFFSET($C1750,-$A1754,$A1755)))),
MAX(0,K1755-(OFFSET($C1755,0,$A1755)/(OFFSET($C1750,-$A1754,$A1755))))),0))</f>
        <v>0</v>
      </c>
      <c r="M1755" s="1423">
        <f t="shared" ca="1" si="2584"/>
        <v>0</v>
      </c>
      <c r="N1755" s="1423">
        <f t="shared" ca="1" si="2585"/>
        <v>0</v>
      </c>
      <c r="O1755" s="1423">
        <f t="shared" ca="1" si="2586"/>
        <v>0</v>
      </c>
      <c r="P1755" s="1423">
        <f t="shared" ca="1" si="2587"/>
        <v>0</v>
      </c>
      <c r="Q1755" s="1423">
        <f t="shared" ca="1" si="2588"/>
        <v>0</v>
      </c>
      <c r="R1755" s="1423">
        <f t="shared" ca="1" si="2589"/>
        <v>0</v>
      </c>
      <c r="S1755" s="1423">
        <f t="shared" ca="1" si="2590"/>
        <v>0</v>
      </c>
      <c r="T1755" s="1423">
        <f t="shared" ca="1" si="2591"/>
        <v>0</v>
      </c>
      <c r="U1755" s="1423">
        <f t="shared" ca="1" si="2592"/>
        <v>0</v>
      </c>
      <c r="V1755" s="1423">
        <f t="shared" ca="1" si="2593"/>
        <v>0</v>
      </c>
      <c r="W1755" s="1423">
        <f t="shared" ca="1" si="2594"/>
        <v>0</v>
      </c>
      <c r="X1755" s="202"/>
      <c r="Y1755" s="202"/>
      <c r="Z1755" s="202"/>
      <c r="AA1755" s="152"/>
      <c r="AB1755" s="152"/>
    </row>
    <row r="1756" spans="1:28" hidden="1" outlineLevel="1">
      <c r="A1756" s="199">
        <f t="shared" si="2595"/>
        <v>9</v>
      </c>
      <c r="B1756" s="190" t="str">
        <f t="shared" ca="1" si="2596"/>
        <v>Depreciated Net Capex 2024-25</v>
      </c>
      <c r="C1756" s="1426"/>
      <c r="D1756" s="1426"/>
      <c r="E1756" s="1426"/>
      <c r="F1756" s="1426"/>
      <c r="G1756" s="1426"/>
      <c r="H1756" s="1426"/>
      <c r="I1756" s="1426"/>
      <c r="J1756" s="1426"/>
      <c r="K1756" s="1427"/>
      <c r="L1756" s="1428">
        <f>(L1742*((1+L$11)^0.5)/L$10)</f>
        <v>0</v>
      </c>
      <c r="M1756" s="1423">
        <f ca="1">IF(L1780="n/a",L1756,IFERROR(IF((OFFSET($C1756,0,$A1756))&lt;0,
MIN(0,L1756-(OFFSET($C1756,0,$A1756)/(OFFSET($C1751,-$A1755,$A1756)))),
MAX(0,L1756-(OFFSET($C1756,0,$A1756)/(OFFSET($C1751,-$A1755,$A1756))))),0))</f>
        <v>0</v>
      </c>
      <c r="N1756" s="1423">
        <f t="shared" ca="1" si="2585"/>
        <v>0</v>
      </c>
      <c r="O1756" s="1423">
        <f t="shared" ca="1" si="2586"/>
        <v>0</v>
      </c>
      <c r="P1756" s="1423">
        <f t="shared" ca="1" si="2587"/>
        <v>0</v>
      </c>
      <c r="Q1756" s="1423">
        <f t="shared" ca="1" si="2588"/>
        <v>0</v>
      </c>
      <c r="R1756" s="1423">
        <f t="shared" ca="1" si="2589"/>
        <v>0</v>
      </c>
      <c r="S1756" s="1423">
        <f t="shared" ca="1" si="2590"/>
        <v>0</v>
      </c>
      <c r="T1756" s="1423">
        <f t="shared" ca="1" si="2591"/>
        <v>0</v>
      </c>
      <c r="U1756" s="1423">
        <f t="shared" ca="1" si="2592"/>
        <v>0</v>
      </c>
      <c r="V1756" s="1423">
        <f t="shared" ca="1" si="2593"/>
        <v>0</v>
      </c>
      <c r="W1756" s="1423">
        <f t="shared" ca="1" si="2594"/>
        <v>0</v>
      </c>
      <c r="X1756" s="202"/>
      <c r="Y1756" s="202"/>
      <c r="Z1756" s="202"/>
      <c r="AA1756" s="152"/>
      <c r="AB1756" s="152"/>
    </row>
    <row r="1757" spans="1:28" hidden="1" outlineLevel="1">
      <c r="A1757" s="199">
        <f t="shared" si="2595"/>
        <v>10</v>
      </c>
      <c r="B1757" s="190" t="str">
        <f t="shared" ca="1" si="2596"/>
        <v>Depreciated Net Capex 2025-26</v>
      </c>
      <c r="C1757" s="1426"/>
      <c r="D1757" s="1426"/>
      <c r="E1757" s="1426"/>
      <c r="F1757" s="1426"/>
      <c r="G1757" s="1426"/>
      <c r="H1757" s="1426"/>
      <c r="I1757" s="1426"/>
      <c r="J1757" s="1426"/>
      <c r="K1757" s="1426"/>
      <c r="L1757" s="1427"/>
      <c r="M1757" s="1428">
        <f>(M1742*((1+M$11)^0.5)/M$10)</f>
        <v>0</v>
      </c>
      <c r="N1757" s="1423">
        <f ca="1">IF(M1781="n/a",M1757,IFERROR(IF((OFFSET($C1757,0,$A1757))&lt;0,
MIN(0,M1757-(OFFSET($C1757,0,$A1757)/(OFFSET($C1752,-$A1756,$A1757)))),
MAX(0,M1757-(OFFSET($C1757,0,$A1757)/(OFFSET($C1752,-$A1756,$A1757))))),0))</f>
        <v>0</v>
      </c>
      <c r="O1757" s="1423">
        <f t="shared" ca="1" si="2586"/>
        <v>0</v>
      </c>
      <c r="P1757" s="1423">
        <f t="shared" ca="1" si="2587"/>
        <v>0</v>
      </c>
      <c r="Q1757" s="1423">
        <f t="shared" ca="1" si="2588"/>
        <v>0</v>
      </c>
      <c r="R1757" s="1423">
        <f t="shared" ca="1" si="2589"/>
        <v>0</v>
      </c>
      <c r="S1757" s="1423">
        <f t="shared" ca="1" si="2590"/>
        <v>0</v>
      </c>
      <c r="T1757" s="1423">
        <f t="shared" ca="1" si="2591"/>
        <v>0</v>
      </c>
      <c r="U1757" s="1423">
        <f t="shared" ca="1" si="2592"/>
        <v>0</v>
      </c>
      <c r="V1757" s="1423">
        <f t="shared" ca="1" si="2593"/>
        <v>0</v>
      </c>
      <c r="W1757" s="1423">
        <f t="shared" ca="1" si="2594"/>
        <v>0</v>
      </c>
      <c r="X1757" s="202"/>
      <c r="Y1757" s="202"/>
      <c r="Z1757" s="202"/>
      <c r="AA1757" s="152"/>
      <c r="AB1757" s="152"/>
    </row>
    <row r="1758" spans="1:28" hidden="1" outlineLevel="1">
      <c r="A1758" s="199">
        <f t="shared" si="2595"/>
        <v>11</v>
      </c>
      <c r="B1758" s="190" t="str">
        <f t="shared" ca="1" si="2596"/>
        <v>Depreciated Net Capex 2026-27</v>
      </c>
      <c r="C1758" s="1426"/>
      <c r="D1758" s="1426"/>
      <c r="E1758" s="1426"/>
      <c r="F1758" s="1426"/>
      <c r="G1758" s="1426"/>
      <c r="H1758" s="1426"/>
      <c r="I1758" s="1426"/>
      <c r="J1758" s="1426"/>
      <c r="K1758" s="1426"/>
      <c r="L1758" s="1426"/>
      <c r="M1758" s="1427"/>
      <c r="N1758" s="1428">
        <f>(N1742*((1+N$11)^0.5)/N$10)</f>
        <v>0</v>
      </c>
      <c r="O1758" s="1423">
        <f ca="1">IF(N1782="n/a",N1758,IFERROR(IF((OFFSET($C1758,0,$A1758))&lt;0,
MIN(0,N1758-(OFFSET($C1758,0,$A1758)/(OFFSET($C1753,-$A1757,$A1758)))),
MAX(0,N1758-(OFFSET($C1758,0,$A1758)/(OFFSET($C1753,-$A1757,$A1758))))),0))</f>
        <v>0</v>
      </c>
      <c r="P1758" s="1423">
        <f t="shared" ca="1" si="2587"/>
        <v>0</v>
      </c>
      <c r="Q1758" s="1423">
        <f t="shared" ca="1" si="2588"/>
        <v>0</v>
      </c>
      <c r="R1758" s="1423">
        <f t="shared" ca="1" si="2589"/>
        <v>0</v>
      </c>
      <c r="S1758" s="1423">
        <f t="shared" ca="1" si="2590"/>
        <v>0</v>
      </c>
      <c r="T1758" s="1423">
        <f t="shared" ca="1" si="2591"/>
        <v>0</v>
      </c>
      <c r="U1758" s="1423">
        <f t="shared" ca="1" si="2592"/>
        <v>0</v>
      </c>
      <c r="V1758" s="1423">
        <f t="shared" ca="1" si="2593"/>
        <v>0</v>
      </c>
      <c r="W1758" s="1423">
        <f t="shared" ca="1" si="2594"/>
        <v>0</v>
      </c>
      <c r="X1758" s="202"/>
      <c r="Y1758" s="202"/>
      <c r="Z1758" s="202"/>
      <c r="AA1758" s="152"/>
      <c r="AB1758" s="152"/>
    </row>
    <row r="1759" spans="1:28" hidden="1" outlineLevel="1">
      <c r="A1759" s="199">
        <f t="shared" si="2595"/>
        <v>12</v>
      </c>
      <c r="B1759" s="190" t="str">
        <f t="shared" ca="1" si="2596"/>
        <v>Depreciated Net Capex 2027-28</v>
      </c>
      <c r="C1759" s="1426"/>
      <c r="D1759" s="1426"/>
      <c r="E1759" s="1426"/>
      <c r="F1759" s="1426"/>
      <c r="G1759" s="1426"/>
      <c r="H1759" s="1426"/>
      <c r="I1759" s="1426"/>
      <c r="J1759" s="1426"/>
      <c r="K1759" s="1426"/>
      <c r="L1759" s="1426"/>
      <c r="M1759" s="1426"/>
      <c r="N1759" s="1427"/>
      <c r="O1759" s="1428">
        <f>(O1742*((1+O$11)^0.5)/O$10)</f>
        <v>0</v>
      </c>
      <c r="P1759" s="1423">
        <f ca="1">IF(O1783="n/a",O1759,IFERROR(IF((OFFSET($C1759,0,$A1759))&lt;0,
MIN(0,O1759-(OFFSET($C1759,0,$A1759)/(OFFSET($C1754,-$A1758,$A1759)))),
MAX(0,O1759-(OFFSET($C1759,0,$A1759)/(OFFSET($C1754,-$A1758,$A1759))))),0))</f>
        <v>0</v>
      </c>
      <c r="Q1759" s="1423">
        <f t="shared" ca="1" si="2588"/>
        <v>0</v>
      </c>
      <c r="R1759" s="1423">
        <f t="shared" ca="1" si="2589"/>
        <v>0</v>
      </c>
      <c r="S1759" s="1423">
        <f t="shared" ca="1" si="2590"/>
        <v>0</v>
      </c>
      <c r="T1759" s="1423">
        <f t="shared" ca="1" si="2591"/>
        <v>0</v>
      </c>
      <c r="U1759" s="1423">
        <f t="shared" ca="1" si="2592"/>
        <v>0</v>
      </c>
      <c r="V1759" s="1423">
        <f t="shared" ca="1" si="2593"/>
        <v>0</v>
      </c>
      <c r="W1759" s="1423">
        <f t="shared" ca="1" si="2594"/>
        <v>0</v>
      </c>
      <c r="X1759" s="202"/>
      <c r="Y1759" s="202"/>
      <c r="Z1759" s="202"/>
      <c r="AA1759" s="152"/>
      <c r="AB1759" s="152"/>
    </row>
    <row r="1760" spans="1:28" hidden="1" outlineLevel="1">
      <c r="A1760" s="199">
        <f t="shared" si="2595"/>
        <v>13</v>
      </c>
      <c r="B1760" s="190" t="str">
        <f t="shared" ca="1" si="2596"/>
        <v>Depreciated Net Capex 2028-29</v>
      </c>
      <c r="C1760" s="1426"/>
      <c r="D1760" s="1426"/>
      <c r="E1760" s="1426"/>
      <c r="F1760" s="1426"/>
      <c r="G1760" s="1426"/>
      <c r="H1760" s="1426"/>
      <c r="I1760" s="1426"/>
      <c r="J1760" s="1426"/>
      <c r="K1760" s="1426"/>
      <c r="L1760" s="1426"/>
      <c r="M1760" s="1426"/>
      <c r="N1760" s="1426"/>
      <c r="O1760" s="1427"/>
      <c r="P1760" s="1428">
        <f>(P1742*((1+P$11)^0.5)/P$10)</f>
        <v>0</v>
      </c>
      <c r="Q1760" s="1423">
        <f ca="1">IF(P1784="n/a",P1760,IFERROR(IF((OFFSET($C1760,0,$A1760))&lt;0,
MIN(0,P1760-(OFFSET($C1760,0,$A1760)/(OFFSET($C1755,-$A1759,$A1760)))),
MAX(0,P1760-(OFFSET($C1760,0,$A1760)/(OFFSET($C1755,-$A1759,$A1760))))),0))</f>
        <v>0</v>
      </c>
      <c r="R1760" s="1423">
        <f t="shared" ca="1" si="2589"/>
        <v>0</v>
      </c>
      <c r="S1760" s="1423">
        <f t="shared" ca="1" si="2590"/>
        <v>0</v>
      </c>
      <c r="T1760" s="1423">
        <f t="shared" ca="1" si="2591"/>
        <v>0</v>
      </c>
      <c r="U1760" s="1423">
        <f t="shared" ca="1" si="2592"/>
        <v>0</v>
      </c>
      <c r="V1760" s="1423">
        <f t="shared" ca="1" si="2593"/>
        <v>0</v>
      </c>
      <c r="W1760" s="1423">
        <f t="shared" ca="1" si="2594"/>
        <v>0</v>
      </c>
      <c r="X1760" s="202"/>
      <c r="Y1760" s="202"/>
      <c r="Z1760" s="202"/>
      <c r="AA1760" s="152"/>
      <c r="AB1760" s="152"/>
    </row>
    <row r="1761" spans="1:28" hidden="1" outlineLevel="1">
      <c r="A1761" s="199">
        <f t="shared" si="2595"/>
        <v>14</v>
      </c>
      <c r="B1761" s="190" t="str">
        <f t="shared" ca="1" si="2596"/>
        <v>Depreciated Net Capex 2029-30</v>
      </c>
      <c r="C1761" s="1426"/>
      <c r="D1761" s="1426"/>
      <c r="E1761" s="1426"/>
      <c r="F1761" s="1426"/>
      <c r="G1761" s="1426"/>
      <c r="H1761" s="1426"/>
      <c r="I1761" s="1426"/>
      <c r="J1761" s="1426"/>
      <c r="K1761" s="1426"/>
      <c r="L1761" s="1426"/>
      <c r="M1761" s="1426"/>
      <c r="N1761" s="1426"/>
      <c r="O1761" s="1426"/>
      <c r="P1761" s="1427"/>
      <c r="Q1761" s="1428">
        <f>(Q1742*((1+Q$11)^0.5)/Q$10)</f>
        <v>0</v>
      </c>
      <c r="R1761" s="1423">
        <f ca="1">IF(Q1785="n/a",Q1761,IFERROR(IF((OFFSET($C1761,0,$A1761))&lt;0,
MIN(0,Q1761-(OFFSET($C1761,0,$A1761)/(OFFSET($C1756,-$A1760,$A1761)))),
MAX(0,Q1761-(OFFSET($C1761,0,$A1761)/(OFFSET($C1756,-$A1760,$A1761))))),0))</f>
        <v>0</v>
      </c>
      <c r="S1761" s="1423">
        <f t="shared" ca="1" si="2590"/>
        <v>0</v>
      </c>
      <c r="T1761" s="1423">
        <f t="shared" ca="1" si="2591"/>
        <v>0</v>
      </c>
      <c r="U1761" s="1423">
        <f t="shared" ca="1" si="2592"/>
        <v>0</v>
      </c>
      <c r="V1761" s="1423">
        <f t="shared" ca="1" si="2593"/>
        <v>0</v>
      </c>
      <c r="W1761" s="1423">
        <f t="shared" ca="1" si="2594"/>
        <v>0</v>
      </c>
      <c r="X1761" s="202"/>
      <c r="Y1761" s="202"/>
      <c r="Z1761" s="202"/>
      <c r="AA1761" s="152"/>
      <c r="AB1761" s="152"/>
    </row>
    <row r="1762" spans="1:28" hidden="1" outlineLevel="1">
      <c r="A1762" s="199">
        <f t="shared" si="2595"/>
        <v>15</v>
      </c>
      <c r="B1762" s="190" t="str">
        <f t="shared" ca="1" si="2596"/>
        <v>Depreciated Net Capex 2030-31</v>
      </c>
      <c r="C1762" s="1426"/>
      <c r="D1762" s="1426"/>
      <c r="E1762" s="1426"/>
      <c r="F1762" s="1426"/>
      <c r="G1762" s="1426"/>
      <c r="H1762" s="1426"/>
      <c r="I1762" s="1426"/>
      <c r="J1762" s="1426"/>
      <c r="K1762" s="1426"/>
      <c r="L1762" s="1426"/>
      <c r="M1762" s="1426"/>
      <c r="N1762" s="1426"/>
      <c r="O1762" s="1426"/>
      <c r="P1762" s="1426"/>
      <c r="Q1762" s="1427"/>
      <c r="R1762" s="1428">
        <f>(R1742*((1+R$11)^0.5)/R$10)</f>
        <v>0</v>
      </c>
      <c r="S1762" s="1423">
        <f ca="1">IF(R1786="n/a",R1762,IFERROR(IF((OFFSET($C1762,0,$A1762))&lt;0,
MIN(0,R1762-(OFFSET($C1762,0,$A1762)/(OFFSET($C1757,-$A1761,$A1762)))),
MAX(0,R1762-(OFFSET($C1762,0,$A1762)/(OFFSET($C1757,-$A1761,$A1762))))),0))</f>
        <v>0</v>
      </c>
      <c r="T1762" s="1423">
        <f t="shared" ca="1" si="2591"/>
        <v>0</v>
      </c>
      <c r="U1762" s="1423">
        <f t="shared" ca="1" si="2592"/>
        <v>0</v>
      </c>
      <c r="V1762" s="1423">
        <f t="shared" ca="1" si="2593"/>
        <v>0</v>
      </c>
      <c r="W1762" s="1423">
        <f t="shared" ca="1" si="2594"/>
        <v>0</v>
      </c>
      <c r="X1762" s="202"/>
      <c r="Y1762" s="202"/>
      <c r="Z1762" s="202"/>
      <c r="AA1762" s="152"/>
      <c r="AB1762" s="152"/>
    </row>
    <row r="1763" spans="1:28" hidden="1" outlineLevel="1">
      <c r="A1763" s="199">
        <f t="shared" si="2595"/>
        <v>16</v>
      </c>
      <c r="B1763" s="190" t="str">
        <f t="shared" ca="1" si="2596"/>
        <v>Depreciated Net Capex 2031-32</v>
      </c>
      <c r="C1763" s="1426"/>
      <c r="D1763" s="1426"/>
      <c r="E1763" s="1426"/>
      <c r="F1763" s="1426"/>
      <c r="G1763" s="1426"/>
      <c r="H1763" s="1426"/>
      <c r="I1763" s="1426"/>
      <c r="J1763" s="1426"/>
      <c r="K1763" s="1426"/>
      <c r="L1763" s="1426"/>
      <c r="M1763" s="1426"/>
      <c r="N1763" s="1426"/>
      <c r="O1763" s="1426"/>
      <c r="P1763" s="1426"/>
      <c r="Q1763" s="1426"/>
      <c r="R1763" s="1427"/>
      <c r="S1763" s="1428">
        <f>(S1742*((1+S$11)^0.5)/S$10)</f>
        <v>0</v>
      </c>
      <c r="T1763" s="1423">
        <f ca="1">IF(S1787="n/a",S1763,IFERROR(IF((OFFSET($C1763,0,$A1763))&lt;0,
MIN(0,S1763-(OFFSET($C1763,0,$A1763)/(OFFSET($C1758,-$A1762,$A1763)))),
MAX(0,S1763-(OFFSET($C1763,0,$A1763)/(OFFSET($C1758,-$A1762,$A1763))))),0))</f>
        <v>0</v>
      </c>
      <c r="U1763" s="1423">
        <f t="shared" ca="1" si="2592"/>
        <v>0</v>
      </c>
      <c r="V1763" s="1423">
        <f t="shared" ca="1" si="2593"/>
        <v>0</v>
      </c>
      <c r="W1763" s="1423">
        <f t="shared" ca="1" si="2594"/>
        <v>0</v>
      </c>
      <c r="X1763" s="202"/>
      <c r="Y1763" s="202"/>
      <c r="Z1763" s="202"/>
      <c r="AA1763" s="152"/>
      <c r="AB1763" s="152"/>
    </row>
    <row r="1764" spans="1:28" hidden="1" outlineLevel="1">
      <c r="A1764" s="199">
        <f t="shared" si="2595"/>
        <v>17</v>
      </c>
      <c r="B1764" s="190" t="str">
        <f t="shared" ca="1" si="2596"/>
        <v>Depreciated Net Capex 2032-33</v>
      </c>
      <c r="C1764" s="1426"/>
      <c r="D1764" s="1426"/>
      <c r="E1764" s="1426"/>
      <c r="F1764" s="1426"/>
      <c r="G1764" s="1426"/>
      <c r="H1764" s="1426"/>
      <c r="I1764" s="1426"/>
      <c r="J1764" s="1426"/>
      <c r="K1764" s="1426"/>
      <c r="L1764" s="1426"/>
      <c r="M1764" s="1426"/>
      <c r="N1764" s="1426"/>
      <c r="O1764" s="1426"/>
      <c r="P1764" s="1426"/>
      <c r="Q1764" s="1426"/>
      <c r="R1764" s="1426"/>
      <c r="S1764" s="1427"/>
      <c r="T1764" s="1428">
        <f>(T1742*((1+T$11)^0.5)/T$10)</f>
        <v>0</v>
      </c>
      <c r="U1764" s="1423">
        <f ca="1">IF(T1788="n/a",T1764,IFERROR(IF((OFFSET($C1764,0,$A1764))&lt;0,
MIN(0,T1764-(OFFSET($C1764,0,$A1764)/(OFFSET($C1759,-$A1763,$A1764)))),
MAX(0,T1764-(OFFSET($C1764,0,$A1764)/(OFFSET($C1759,-$A1763,$A1764))))),0))</f>
        <v>0</v>
      </c>
      <c r="V1764" s="1423">
        <f t="shared" ca="1" si="2593"/>
        <v>0</v>
      </c>
      <c r="W1764" s="1423">
        <f t="shared" ca="1" si="2594"/>
        <v>0</v>
      </c>
      <c r="X1764" s="202"/>
      <c r="Y1764" s="202"/>
      <c r="Z1764" s="202"/>
      <c r="AA1764" s="152"/>
      <c r="AB1764" s="152"/>
    </row>
    <row r="1765" spans="1:28" hidden="1" outlineLevel="1">
      <c r="A1765" s="199">
        <f t="shared" si="2595"/>
        <v>18</v>
      </c>
      <c r="B1765" s="190" t="str">
        <f t="shared" ca="1" si="2596"/>
        <v>Depreciated Net Capex 2033-34</v>
      </c>
      <c r="C1765" s="1426"/>
      <c r="D1765" s="1426"/>
      <c r="E1765" s="1426"/>
      <c r="F1765" s="1426"/>
      <c r="G1765" s="1426"/>
      <c r="H1765" s="1426"/>
      <c r="I1765" s="1426"/>
      <c r="J1765" s="1426"/>
      <c r="K1765" s="1426"/>
      <c r="L1765" s="1426"/>
      <c r="M1765" s="1426"/>
      <c r="N1765" s="1426"/>
      <c r="O1765" s="1426"/>
      <c r="P1765" s="1426"/>
      <c r="Q1765" s="1426"/>
      <c r="R1765" s="1426"/>
      <c r="S1765" s="1426"/>
      <c r="T1765" s="1427"/>
      <c r="U1765" s="1428">
        <f>(U1742*((1+U$11)^0.5)/U$10)</f>
        <v>0</v>
      </c>
      <c r="V1765" s="1423">
        <f ca="1">IF(U1789="n/a",U1765,IFERROR(IF((OFFSET($C1765,0,$A1765))&lt;0,
MIN(0,U1765-(OFFSET($C1765,0,$A1765)/(OFFSET($C1760,-$A1764,$A1765)))),
MAX(0,U1765-(OFFSET($C1765,0,$A1765)/(OFFSET($C1760,-$A1764,$A1765))))),0))</f>
        <v>0</v>
      </c>
      <c r="W1765" s="1423">
        <f t="shared" ca="1" si="2594"/>
        <v>0</v>
      </c>
      <c r="X1765" s="202"/>
      <c r="Y1765" s="202"/>
      <c r="Z1765" s="202"/>
      <c r="AA1765" s="152"/>
      <c r="AB1765" s="152"/>
    </row>
    <row r="1766" spans="1:28" hidden="1" outlineLevel="1">
      <c r="A1766" s="199">
        <f t="shared" si="2595"/>
        <v>19</v>
      </c>
      <c r="B1766" s="190" t="str">
        <f t="shared" ca="1" si="2596"/>
        <v>Depreciated Net Capex 2034-35</v>
      </c>
      <c r="C1766" s="1426"/>
      <c r="D1766" s="1426"/>
      <c r="E1766" s="1426"/>
      <c r="F1766" s="1426"/>
      <c r="G1766" s="1426"/>
      <c r="H1766" s="1426"/>
      <c r="I1766" s="1426"/>
      <c r="J1766" s="1426"/>
      <c r="K1766" s="1426"/>
      <c r="L1766" s="1426"/>
      <c r="M1766" s="1426"/>
      <c r="N1766" s="1426"/>
      <c r="O1766" s="1426"/>
      <c r="P1766" s="1426"/>
      <c r="Q1766" s="1426"/>
      <c r="R1766" s="1426"/>
      <c r="S1766" s="1426"/>
      <c r="T1766" s="1426"/>
      <c r="U1766" s="1427"/>
      <c r="V1766" s="1428">
        <f>(V1742*((1+V$11)^0.5)/V$10)</f>
        <v>0</v>
      </c>
      <c r="W1766" s="1423">
        <f ca="1">IF(V1790="n/a",V1766,IFERROR(IF((OFFSET($C1766,0,$A1766))&lt;0,
MIN(0,V1766-(OFFSET($C1766,0,$A1766)/(OFFSET($C1761,-$A1765,$A1766)))),
MAX(0,V1766-(OFFSET($C1766,0,$A1766)/(OFFSET($C1761,-$A1765,$A1766))))),0))</f>
        <v>0</v>
      </c>
      <c r="X1766" s="202"/>
      <c r="Y1766" s="202"/>
      <c r="Z1766" s="202"/>
      <c r="AA1766" s="152"/>
      <c r="AB1766" s="152"/>
    </row>
    <row r="1767" spans="1:28" hidden="1" outlineLevel="1">
      <c r="A1767" s="199">
        <f t="shared" si="2595"/>
        <v>20</v>
      </c>
      <c r="B1767" s="190" t="str">
        <f ca="1">"Depreciated Net Capex "&amp;OFFSET($C$6,0,A1767)</f>
        <v>Depreciated Net Capex 2035-36</v>
      </c>
      <c r="C1767" s="1426"/>
      <c r="D1767" s="1426"/>
      <c r="E1767" s="1426"/>
      <c r="F1767" s="1426"/>
      <c r="G1767" s="1426"/>
      <c r="H1767" s="1426"/>
      <c r="I1767" s="1426"/>
      <c r="J1767" s="1426"/>
      <c r="K1767" s="1426"/>
      <c r="L1767" s="1426"/>
      <c r="M1767" s="1426"/>
      <c r="N1767" s="1426"/>
      <c r="O1767" s="1426"/>
      <c r="P1767" s="1426"/>
      <c r="Q1767" s="1426"/>
      <c r="R1767" s="1426"/>
      <c r="S1767" s="1426"/>
      <c r="T1767" s="1426"/>
      <c r="U1767" s="1426"/>
      <c r="V1767" s="1427"/>
      <c r="W1767" s="1423">
        <f>(W1742*((1+W$11)^0.5)/W$10)</f>
        <v>0</v>
      </c>
      <c r="X1767" s="152"/>
      <c r="Y1767" s="152"/>
      <c r="Z1767" s="152"/>
      <c r="AA1767" s="152"/>
      <c r="AB1767" s="152"/>
    </row>
    <row r="1768" spans="1:28" hidden="1" outlineLevel="1">
      <c r="A1768" s="152"/>
      <c r="B1768" s="200"/>
      <c r="C1768" s="1423"/>
      <c r="D1768" s="1423"/>
      <c r="E1768" s="1423"/>
      <c r="F1768" s="1423"/>
      <c r="G1768" s="1423"/>
      <c r="H1768" s="1423"/>
      <c r="I1768" s="1423"/>
      <c r="J1768" s="1423"/>
      <c r="K1768" s="1423"/>
      <c r="L1768" s="1423"/>
      <c r="M1768" s="1423"/>
      <c r="N1768" s="1423"/>
      <c r="O1768" s="1423"/>
      <c r="P1768" s="1423"/>
      <c r="Q1768" s="1423"/>
      <c r="R1768" s="1423"/>
      <c r="S1768" s="1423"/>
      <c r="T1768" s="1423"/>
      <c r="U1768" s="1423"/>
      <c r="V1768" s="1423"/>
      <c r="W1768" s="1423"/>
      <c r="X1768" s="152"/>
      <c r="Y1768" s="152"/>
      <c r="Z1768" s="152"/>
      <c r="AA1768" s="152"/>
      <c r="AB1768" s="152"/>
    </row>
    <row r="1769" spans="1:28" hidden="1" outlineLevel="1">
      <c r="A1769" s="152"/>
      <c r="B1769" s="200"/>
      <c r="C1769" s="1423"/>
      <c r="D1769" s="1423"/>
      <c r="E1769" s="1423"/>
      <c r="F1769" s="1423"/>
      <c r="G1769" s="1423"/>
      <c r="H1769" s="1423"/>
      <c r="I1769" s="1423"/>
      <c r="J1769" s="1423"/>
      <c r="K1769" s="1423"/>
      <c r="L1769" s="1423"/>
      <c r="M1769" s="1423"/>
      <c r="N1769" s="1423"/>
      <c r="O1769" s="1423"/>
      <c r="P1769" s="1423"/>
      <c r="Q1769" s="1423"/>
      <c r="R1769" s="1423"/>
      <c r="S1769" s="1423"/>
      <c r="T1769" s="1423"/>
      <c r="U1769" s="1423"/>
      <c r="V1769" s="1423"/>
      <c r="W1769" s="1423"/>
      <c r="X1769" s="152"/>
      <c r="Y1769" s="152"/>
      <c r="Z1769" s="152"/>
      <c r="AA1769" s="152"/>
      <c r="AB1769" s="152"/>
    </row>
    <row r="1770" spans="1:28" hidden="1" outlineLevel="1">
      <c r="A1770" s="152"/>
      <c r="B1770" s="190" t="s">
        <v>190</v>
      </c>
      <c r="C1770" s="1423"/>
      <c r="D1770" s="1423">
        <f ca="1">IF(AND(C1770&lt;1,D1744=0),0,
IF(D1744=0,C1770-1,
IF(C1770&lt;1,D1745,
(((C1770-1)*(C1746-(C1746/(C1770))))+((D1744/D$10)*D1745))/(D1746))))</f>
        <v>0</v>
      </c>
      <c r="E1770" s="1423">
        <f t="shared" ref="E1770" ca="1" si="2597">IF(AND(D1770&lt;1,E1744=0),0,
IF(E1744=0,D1770-1,
IF(D1770&lt;1,E1745,
(((D1770-1)*(D1746-(D1746/(D1770))))+((E1744/E$10)*E1745))/(E1746))))</f>
        <v>0</v>
      </c>
      <c r="F1770" s="1423">
        <f t="shared" ref="F1770" ca="1" si="2598">IF(AND(E1770&lt;1,F1744=0),0,
IF(F1744=0,E1770-1,
IF(E1770&lt;1,F1745,
(((E1770-1)*(E1746-(E1746/(E1770))))+((F1744/F$10)*F1745))/(F1746))))</f>
        <v>0</v>
      </c>
      <c r="G1770" s="1423">
        <f t="shared" ref="G1770" ca="1" si="2599">IF(AND(F1770&lt;1,G1744=0),0,
IF(G1744=0,F1770-1,
IF(F1770&lt;1,G1745,
(((F1770-1)*(F1746-(F1746/(F1770))))+((G1744/G$10)*G1745))/(G1746))))</f>
        <v>0</v>
      </c>
      <c r="H1770" s="1423">
        <f t="shared" ref="H1770" ca="1" si="2600">IF(AND(G1770&lt;1,H1744=0),0,
IF(H1744=0,G1770-1,
IF(G1770&lt;1,H1745,
(((G1770-1)*(G1746-(G1746/(G1770))))+((H1744/H$10)*H1745))/(H1746))))</f>
        <v>0</v>
      </c>
      <c r="I1770" s="1423">
        <f t="shared" ref="I1770" ca="1" si="2601">IF(AND(H1770&lt;1,I1744=0),0,
IF(I1744=0,H1770-1,
IF(H1770&lt;1,I1745,
(((H1770-1)*(H1746-(H1746/(H1770))))+((I1744/I$10)*I1745))/(I1746))))</f>
        <v>0</v>
      </c>
      <c r="J1770" s="1423">
        <f t="shared" ref="J1770" ca="1" si="2602">IF(AND(I1770&lt;1,J1744=0),0,
IF(J1744=0,I1770-1,
IF(I1770&lt;1,J1745,
(((I1770-1)*(I1746-(I1746/(I1770))))+((J1744/J$10)*J1745))/(J1746))))</f>
        <v>0</v>
      </c>
      <c r="K1770" s="1423">
        <f t="shared" ref="K1770" ca="1" si="2603">IF(AND(J1770&lt;1,K1744=0),0,
IF(K1744=0,J1770-1,
IF(J1770&lt;1,K1745,
(((J1770-1)*(J1746-(J1746/(J1770))))+((K1744/K$10)*K1745))/(K1746))))</f>
        <v>0</v>
      </c>
      <c r="L1770" s="1423">
        <f t="shared" ref="L1770" ca="1" si="2604">IF(AND(K1770&lt;1,L1744=0),0,
IF(L1744=0,K1770-1,
IF(K1770&lt;1,L1745,
(((K1770-1)*(K1746-(K1746/(K1770))))+((L1744/L$10)*L1745))/(L1746))))</f>
        <v>0</v>
      </c>
      <c r="M1770" s="1423">
        <f t="shared" ref="M1770" ca="1" si="2605">IF(AND(L1770&lt;1,M1744=0),0,
IF(M1744=0,L1770-1,
IF(L1770&lt;1,M1745,
(((L1770-1)*(L1746-(L1746/(L1770))))+((M1744/M$10)*M1745))/(M1746))))</f>
        <v>0</v>
      </c>
      <c r="N1770" s="1423">
        <f t="shared" ref="N1770" ca="1" si="2606">IF(AND(M1770&lt;1,N1744=0),0,
IF(N1744=0,M1770-1,
IF(M1770&lt;1,N1745,
(((M1770-1)*(M1746-(M1746/(M1770))))+((N1744/N$10)*N1745))/(N1746))))</f>
        <v>0</v>
      </c>
      <c r="O1770" s="1423">
        <f t="shared" ref="O1770" ca="1" si="2607">IF(AND(N1770&lt;1,O1744=0),0,
IF(O1744=0,N1770-1,
IF(N1770&lt;1,O1745,
(((N1770-1)*(N1746-(N1746/(N1770))))+((O1744/O$10)*O1745))/(O1746))))</f>
        <v>0</v>
      </c>
      <c r="P1770" s="1423">
        <f t="shared" ref="P1770" ca="1" si="2608">IF(AND(O1770&lt;1,P1744=0),0,
IF(P1744=0,O1770-1,
IF(O1770&lt;1,P1745,
(((O1770-1)*(O1746-(O1746/(O1770))))+((P1744/P$10)*P1745))/(P1746))))</f>
        <v>0</v>
      </c>
      <c r="Q1770" s="1423">
        <f t="shared" ref="Q1770" ca="1" si="2609">IF(AND(P1770&lt;1,Q1744=0),0,
IF(Q1744=0,P1770-1,
IF(P1770&lt;1,Q1745,
(((P1770-1)*(P1746-(P1746/(P1770))))+((Q1744/Q$10)*Q1745))/(Q1746))))</f>
        <v>0</v>
      </c>
      <c r="R1770" s="1423">
        <f t="shared" ref="R1770" ca="1" si="2610">IF(AND(Q1770&lt;1,R1744=0),0,
IF(R1744=0,Q1770-1,
IF(Q1770&lt;1,R1745,
(((Q1770-1)*(Q1746-(Q1746/(Q1770))))+((R1744/R$10)*R1745))/(R1746))))</f>
        <v>0</v>
      </c>
      <c r="S1770" s="1423">
        <f t="shared" ref="S1770" ca="1" si="2611">IF(AND(R1770&lt;1,S1744=0),0,
IF(S1744=0,R1770-1,
IF(R1770&lt;1,S1745,
(((R1770-1)*(R1746-(R1746/(R1770))))+((S1744/S$10)*S1745))/(S1746))))</f>
        <v>0</v>
      </c>
      <c r="T1770" s="1423">
        <f t="shared" ref="T1770" ca="1" si="2612">IF(AND(S1770&lt;1,T1744=0),0,
IF(T1744=0,S1770-1,
IF(S1770&lt;1,T1745,
(((S1770-1)*(S1746-(S1746/(S1770))))+((T1744/T$10)*T1745))/(T1746))))</f>
        <v>0</v>
      </c>
      <c r="U1770" s="1423">
        <f t="shared" ref="U1770" ca="1" si="2613">IF(AND(T1770&lt;1,U1744=0),0,
IF(U1744=0,T1770-1,
IF(T1770&lt;1,U1745,
(((T1770-1)*(T1746-(T1746/(T1770))))+((U1744/U$10)*U1745))/(U1746))))</f>
        <v>0</v>
      </c>
      <c r="V1770" s="1423">
        <f t="shared" ref="V1770" ca="1" si="2614">IF(AND(U1770&lt;1,V1744=0),0,
IF(V1744=0,U1770-1,
IF(U1770&lt;1,V1745,
(((U1770-1)*(U1746-(U1746/(U1770))))+((V1744/V$10)*V1745))/(V1746))))</f>
        <v>0</v>
      </c>
      <c r="W1770" s="1423">
        <f t="shared" ref="W1770" ca="1" si="2615">IF(AND(V1770&lt;1,W1744=0),0,
IF(W1744=0,V1770-1,
IF(V1770&lt;1,W1745,
(((V1770-1)*(V1746-(V1746/(V1770))))+((W1744/W$10)*W1745))/(W1746))))</f>
        <v>0</v>
      </c>
      <c r="X1770" s="152"/>
      <c r="Y1770" s="152"/>
      <c r="Z1770" s="152"/>
      <c r="AA1770" s="152"/>
      <c r="AB1770" s="152"/>
    </row>
    <row r="1771" spans="1:28" hidden="1" outlineLevel="1">
      <c r="A1771" s="152"/>
      <c r="B1771" s="190" t="s">
        <v>122</v>
      </c>
      <c r="C1771" s="1423">
        <f ca="1">C1743</f>
        <v>0</v>
      </c>
      <c r="D1771" s="1423">
        <f t="shared" ref="D1771" ca="1" si="2616">IF(C1771="n/a","n/a",MAX(0,C1771-1))</f>
        <v>0</v>
      </c>
      <c r="E1771" s="1423">
        <f t="shared" ref="E1771:E1772" ca="1" si="2617">IF(D1771="n/a","n/a",MAX(0,D1771-1))</f>
        <v>0</v>
      </c>
      <c r="F1771" s="1423">
        <f t="shared" ref="F1771:F1773" ca="1" si="2618">IF(E1771="n/a","n/a",MAX(0,E1771-1))</f>
        <v>0</v>
      </c>
      <c r="G1771" s="1423">
        <f t="shared" ref="G1771:G1774" ca="1" si="2619">IF(F1771="n/a","n/a",MAX(0,F1771-1))</f>
        <v>0</v>
      </c>
      <c r="H1771" s="1423">
        <f t="shared" ref="H1771:H1775" ca="1" si="2620">IF(G1771="n/a","n/a",MAX(0,G1771-1))</f>
        <v>0</v>
      </c>
      <c r="I1771" s="1423">
        <f t="shared" ref="I1771:I1776" ca="1" si="2621">IF(H1771="n/a","n/a",MAX(0,H1771-1))</f>
        <v>0</v>
      </c>
      <c r="J1771" s="1423">
        <f t="shared" ref="J1771:J1777" ca="1" si="2622">IF(I1771="n/a","n/a",MAX(0,I1771-1))</f>
        <v>0</v>
      </c>
      <c r="K1771" s="1423">
        <f t="shared" ref="K1771:K1778" ca="1" si="2623">IF(J1771="n/a","n/a",MAX(0,J1771-1))</f>
        <v>0</v>
      </c>
      <c r="L1771" s="1423">
        <f t="shared" ref="L1771:L1779" ca="1" si="2624">IF(K1771="n/a","n/a",MAX(0,K1771-1))</f>
        <v>0</v>
      </c>
      <c r="M1771" s="1423">
        <f t="shared" ref="M1771:M1780" ca="1" si="2625">IF(L1771="n/a","n/a",MAX(0,L1771-1))</f>
        <v>0</v>
      </c>
      <c r="N1771" s="1423">
        <f t="shared" ref="N1771:N1781" ca="1" si="2626">IF(M1771="n/a","n/a",MAX(0,M1771-1))</f>
        <v>0</v>
      </c>
      <c r="O1771" s="1423">
        <f t="shared" ref="O1771:O1782" ca="1" si="2627">IF(N1771="n/a","n/a",MAX(0,N1771-1))</f>
        <v>0</v>
      </c>
      <c r="P1771" s="1423">
        <f t="shared" ref="P1771:P1783" ca="1" si="2628">IF(O1771="n/a","n/a",MAX(0,O1771-1))</f>
        <v>0</v>
      </c>
      <c r="Q1771" s="1423">
        <f t="shared" ref="Q1771:Q1784" ca="1" si="2629">IF(P1771="n/a","n/a",MAX(0,P1771-1))</f>
        <v>0</v>
      </c>
      <c r="R1771" s="1423">
        <f t="shared" ref="R1771:R1785" ca="1" si="2630">IF(Q1771="n/a","n/a",MAX(0,Q1771-1))</f>
        <v>0</v>
      </c>
      <c r="S1771" s="1423">
        <f t="shared" ref="S1771:S1786" ca="1" si="2631">IF(R1771="n/a","n/a",MAX(0,R1771-1))</f>
        <v>0</v>
      </c>
      <c r="T1771" s="1423">
        <f t="shared" ref="T1771:T1787" ca="1" si="2632">IF(S1771="n/a","n/a",MAX(0,S1771-1))</f>
        <v>0</v>
      </c>
      <c r="U1771" s="1423">
        <f t="shared" ref="U1771:U1788" ca="1" si="2633">IF(T1771="n/a","n/a",MAX(0,T1771-1))</f>
        <v>0</v>
      </c>
      <c r="V1771" s="1423">
        <f t="shared" ref="V1771:V1789" ca="1" si="2634">IF(U1771="n/a","n/a",MAX(0,U1771-1))</f>
        <v>0</v>
      </c>
      <c r="W1771" s="1423">
        <f t="shared" ref="W1771:W1789" ca="1" si="2635">IF(V1771="n/a","n/a",MAX(0,V1771-1))</f>
        <v>0</v>
      </c>
      <c r="X1771" s="152"/>
      <c r="Y1771" s="152"/>
      <c r="Z1771" s="152"/>
      <c r="AA1771" s="152"/>
      <c r="AB1771" s="152"/>
    </row>
    <row r="1772" spans="1:28" hidden="1" outlineLevel="1">
      <c r="A1772" s="152"/>
      <c r="B1772" s="190" t="str">
        <f t="shared" ref="B1772:B1791" ca="1" si="2636">"RL Capex "&amp;OFFSET($C$6,0,A1748)</f>
        <v>RL Capex 2016-17</v>
      </c>
      <c r="C1772" s="1424"/>
      <c r="D1772" s="1428">
        <f>D1743</f>
        <v>0</v>
      </c>
      <c r="E1772" s="1423">
        <f t="shared" si="2617"/>
        <v>0</v>
      </c>
      <c r="F1772" s="1423">
        <f t="shared" si="2618"/>
        <v>0</v>
      </c>
      <c r="G1772" s="1423">
        <f t="shared" si="2619"/>
        <v>0</v>
      </c>
      <c r="H1772" s="1423">
        <f t="shared" si="2620"/>
        <v>0</v>
      </c>
      <c r="I1772" s="1423">
        <f t="shared" si="2621"/>
        <v>0</v>
      </c>
      <c r="J1772" s="1423">
        <f t="shared" si="2622"/>
        <v>0</v>
      </c>
      <c r="K1772" s="1423">
        <f t="shared" si="2623"/>
        <v>0</v>
      </c>
      <c r="L1772" s="1423">
        <f t="shared" si="2624"/>
        <v>0</v>
      </c>
      <c r="M1772" s="1423">
        <f t="shared" si="2625"/>
        <v>0</v>
      </c>
      <c r="N1772" s="1423">
        <f t="shared" si="2626"/>
        <v>0</v>
      </c>
      <c r="O1772" s="1423">
        <f t="shared" si="2627"/>
        <v>0</v>
      </c>
      <c r="P1772" s="1423">
        <f t="shared" si="2628"/>
        <v>0</v>
      </c>
      <c r="Q1772" s="1423">
        <f t="shared" si="2629"/>
        <v>0</v>
      </c>
      <c r="R1772" s="1423">
        <f t="shared" si="2630"/>
        <v>0</v>
      </c>
      <c r="S1772" s="1423">
        <f t="shared" si="2631"/>
        <v>0</v>
      </c>
      <c r="T1772" s="1423">
        <f t="shared" si="2632"/>
        <v>0</v>
      </c>
      <c r="U1772" s="1423">
        <f t="shared" si="2633"/>
        <v>0</v>
      </c>
      <c r="V1772" s="1423">
        <f t="shared" si="2634"/>
        <v>0</v>
      </c>
      <c r="W1772" s="1423">
        <f t="shared" si="2635"/>
        <v>0</v>
      </c>
      <c r="X1772" s="152"/>
      <c r="Y1772" s="152"/>
      <c r="Z1772" s="152"/>
      <c r="AA1772" s="152"/>
      <c r="AB1772" s="152"/>
    </row>
    <row r="1773" spans="1:28" hidden="1" outlineLevel="1">
      <c r="A1773" s="152"/>
      <c r="B1773" s="190" t="str">
        <f t="shared" ca="1" si="2636"/>
        <v>RL Capex 2017-18</v>
      </c>
      <c r="C1773" s="1429"/>
      <c r="D1773" s="1424"/>
      <c r="E1773" s="1428">
        <f>E1743</f>
        <v>0</v>
      </c>
      <c r="F1773" s="1423">
        <f t="shared" si="2618"/>
        <v>0</v>
      </c>
      <c r="G1773" s="1423">
        <f t="shared" si="2619"/>
        <v>0</v>
      </c>
      <c r="H1773" s="1423">
        <f t="shared" si="2620"/>
        <v>0</v>
      </c>
      <c r="I1773" s="1423">
        <f t="shared" si="2621"/>
        <v>0</v>
      </c>
      <c r="J1773" s="1423">
        <f t="shared" si="2622"/>
        <v>0</v>
      </c>
      <c r="K1773" s="1423">
        <f t="shared" si="2623"/>
        <v>0</v>
      </c>
      <c r="L1773" s="1423">
        <f t="shared" si="2624"/>
        <v>0</v>
      </c>
      <c r="M1773" s="1423">
        <f t="shared" si="2625"/>
        <v>0</v>
      </c>
      <c r="N1773" s="1423">
        <f t="shared" si="2626"/>
        <v>0</v>
      </c>
      <c r="O1773" s="1423">
        <f t="shared" si="2627"/>
        <v>0</v>
      </c>
      <c r="P1773" s="1423">
        <f t="shared" si="2628"/>
        <v>0</v>
      </c>
      <c r="Q1773" s="1423">
        <f t="shared" si="2629"/>
        <v>0</v>
      </c>
      <c r="R1773" s="1423">
        <f t="shared" si="2630"/>
        <v>0</v>
      </c>
      <c r="S1773" s="1423">
        <f t="shared" si="2631"/>
        <v>0</v>
      </c>
      <c r="T1773" s="1423">
        <f t="shared" si="2632"/>
        <v>0</v>
      </c>
      <c r="U1773" s="1423">
        <f t="shared" si="2633"/>
        <v>0</v>
      </c>
      <c r="V1773" s="1423">
        <f t="shared" si="2634"/>
        <v>0</v>
      </c>
      <c r="W1773" s="1423">
        <f t="shared" si="2635"/>
        <v>0</v>
      </c>
      <c r="X1773" s="152"/>
      <c r="Y1773" s="152"/>
      <c r="Z1773" s="152"/>
      <c r="AA1773" s="152"/>
      <c r="AB1773" s="152"/>
    </row>
    <row r="1774" spans="1:28" hidden="1" outlineLevel="1">
      <c r="A1774" s="152"/>
      <c r="B1774" s="190" t="str">
        <f t="shared" ca="1" si="2636"/>
        <v>RL Capex 2018-19</v>
      </c>
      <c r="C1774" s="1429"/>
      <c r="D1774" s="1429"/>
      <c r="E1774" s="1424"/>
      <c r="F1774" s="1428">
        <f>F1743</f>
        <v>0</v>
      </c>
      <c r="G1774" s="1423">
        <f t="shared" si="2619"/>
        <v>0</v>
      </c>
      <c r="H1774" s="1423">
        <f t="shared" si="2620"/>
        <v>0</v>
      </c>
      <c r="I1774" s="1423">
        <f t="shared" si="2621"/>
        <v>0</v>
      </c>
      <c r="J1774" s="1423">
        <f t="shared" si="2622"/>
        <v>0</v>
      </c>
      <c r="K1774" s="1423">
        <f t="shared" si="2623"/>
        <v>0</v>
      </c>
      <c r="L1774" s="1423">
        <f t="shared" si="2624"/>
        <v>0</v>
      </c>
      <c r="M1774" s="1423">
        <f t="shared" si="2625"/>
        <v>0</v>
      </c>
      <c r="N1774" s="1423">
        <f t="shared" si="2626"/>
        <v>0</v>
      </c>
      <c r="O1774" s="1423">
        <f t="shared" si="2627"/>
        <v>0</v>
      </c>
      <c r="P1774" s="1423">
        <f t="shared" si="2628"/>
        <v>0</v>
      </c>
      <c r="Q1774" s="1423">
        <f t="shared" si="2629"/>
        <v>0</v>
      </c>
      <c r="R1774" s="1423">
        <f t="shared" si="2630"/>
        <v>0</v>
      </c>
      <c r="S1774" s="1423">
        <f t="shared" si="2631"/>
        <v>0</v>
      </c>
      <c r="T1774" s="1423">
        <f t="shared" si="2632"/>
        <v>0</v>
      </c>
      <c r="U1774" s="1423">
        <f t="shared" si="2633"/>
        <v>0</v>
      </c>
      <c r="V1774" s="1423">
        <f t="shared" si="2634"/>
        <v>0</v>
      </c>
      <c r="W1774" s="1423">
        <f t="shared" si="2635"/>
        <v>0</v>
      </c>
      <c r="X1774" s="152"/>
      <c r="Y1774" s="152"/>
      <c r="Z1774" s="152"/>
      <c r="AA1774" s="152"/>
      <c r="AB1774" s="152"/>
    </row>
    <row r="1775" spans="1:28" hidden="1" outlineLevel="1">
      <c r="A1775" s="152"/>
      <c r="B1775" s="190" t="str">
        <f t="shared" ca="1" si="2636"/>
        <v>RL Capex 2019-20</v>
      </c>
      <c r="C1775" s="1429"/>
      <c r="D1775" s="1429"/>
      <c r="E1775" s="1429"/>
      <c r="F1775" s="1424"/>
      <c r="G1775" s="1428">
        <f>G1743</f>
        <v>0</v>
      </c>
      <c r="H1775" s="1423">
        <f t="shared" si="2620"/>
        <v>0</v>
      </c>
      <c r="I1775" s="1423">
        <f t="shared" si="2621"/>
        <v>0</v>
      </c>
      <c r="J1775" s="1423">
        <f t="shared" si="2622"/>
        <v>0</v>
      </c>
      <c r="K1775" s="1423">
        <f t="shared" si="2623"/>
        <v>0</v>
      </c>
      <c r="L1775" s="1423">
        <f t="shared" si="2624"/>
        <v>0</v>
      </c>
      <c r="M1775" s="1423">
        <f t="shared" si="2625"/>
        <v>0</v>
      </c>
      <c r="N1775" s="1423">
        <f t="shared" si="2626"/>
        <v>0</v>
      </c>
      <c r="O1775" s="1423">
        <f t="shared" si="2627"/>
        <v>0</v>
      </c>
      <c r="P1775" s="1423">
        <f t="shared" si="2628"/>
        <v>0</v>
      </c>
      <c r="Q1775" s="1423">
        <f t="shared" si="2629"/>
        <v>0</v>
      </c>
      <c r="R1775" s="1423">
        <f t="shared" si="2630"/>
        <v>0</v>
      </c>
      <c r="S1775" s="1423">
        <f t="shared" si="2631"/>
        <v>0</v>
      </c>
      <c r="T1775" s="1423">
        <f t="shared" si="2632"/>
        <v>0</v>
      </c>
      <c r="U1775" s="1423">
        <f t="shared" si="2633"/>
        <v>0</v>
      </c>
      <c r="V1775" s="1423">
        <f t="shared" si="2634"/>
        <v>0</v>
      </c>
      <c r="W1775" s="1423">
        <f t="shared" si="2635"/>
        <v>0</v>
      </c>
      <c r="X1775" s="152"/>
      <c r="Y1775" s="152"/>
      <c r="Z1775" s="152"/>
      <c r="AA1775" s="152"/>
      <c r="AB1775" s="152"/>
    </row>
    <row r="1776" spans="1:28" hidden="1" outlineLevel="1">
      <c r="A1776" s="152"/>
      <c r="B1776" s="190" t="str">
        <f t="shared" ca="1" si="2636"/>
        <v>RL Capex 2020-21</v>
      </c>
      <c r="C1776" s="1429"/>
      <c r="D1776" s="1429"/>
      <c r="E1776" s="1429"/>
      <c r="F1776" s="1429"/>
      <c r="G1776" s="1424"/>
      <c r="H1776" s="1428">
        <f>H1743</f>
        <v>0</v>
      </c>
      <c r="I1776" s="1423">
        <f t="shared" si="2621"/>
        <v>0</v>
      </c>
      <c r="J1776" s="1423">
        <f t="shared" si="2622"/>
        <v>0</v>
      </c>
      <c r="K1776" s="1423">
        <f t="shared" si="2623"/>
        <v>0</v>
      </c>
      <c r="L1776" s="1423">
        <f t="shared" si="2624"/>
        <v>0</v>
      </c>
      <c r="M1776" s="1423">
        <f t="shared" si="2625"/>
        <v>0</v>
      </c>
      <c r="N1776" s="1423">
        <f t="shared" si="2626"/>
        <v>0</v>
      </c>
      <c r="O1776" s="1423">
        <f t="shared" si="2627"/>
        <v>0</v>
      </c>
      <c r="P1776" s="1423">
        <f t="shared" si="2628"/>
        <v>0</v>
      </c>
      <c r="Q1776" s="1423">
        <f t="shared" si="2629"/>
        <v>0</v>
      </c>
      <c r="R1776" s="1423">
        <f t="shared" si="2630"/>
        <v>0</v>
      </c>
      <c r="S1776" s="1423">
        <f t="shared" si="2631"/>
        <v>0</v>
      </c>
      <c r="T1776" s="1423">
        <f t="shared" si="2632"/>
        <v>0</v>
      </c>
      <c r="U1776" s="1423">
        <f t="shared" si="2633"/>
        <v>0</v>
      </c>
      <c r="V1776" s="1423">
        <f t="shared" si="2634"/>
        <v>0</v>
      </c>
      <c r="W1776" s="1423">
        <f t="shared" si="2635"/>
        <v>0</v>
      </c>
      <c r="X1776" s="152"/>
      <c r="Y1776" s="152"/>
      <c r="Z1776" s="152"/>
      <c r="AA1776" s="152"/>
      <c r="AB1776" s="152"/>
    </row>
    <row r="1777" spans="1:28" hidden="1" outlineLevel="1">
      <c r="A1777" s="152"/>
      <c r="B1777" s="190" t="str">
        <f t="shared" ca="1" si="2636"/>
        <v>RL Capex 2021-22</v>
      </c>
      <c r="C1777" s="1429"/>
      <c r="D1777" s="1429"/>
      <c r="E1777" s="1429"/>
      <c r="F1777" s="1429"/>
      <c r="G1777" s="1429"/>
      <c r="H1777" s="1424"/>
      <c r="I1777" s="1428">
        <f>I1743</f>
        <v>0</v>
      </c>
      <c r="J1777" s="1423">
        <f t="shared" si="2622"/>
        <v>0</v>
      </c>
      <c r="K1777" s="1423">
        <f t="shared" si="2623"/>
        <v>0</v>
      </c>
      <c r="L1777" s="1423">
        <f t="shared" si="2624"/>
        <v>0</v>
      </c>
      <c r="M1777" s="1423">
        <f t="shared" si="2625"/>
        <v>0</v>
      </c>
      <c r="N1777" s="1423">
        <f t="shared" si="2626"/>
        <v>0</v>
      </c>
      <c r="O1777" s="1423">
        <f t="shared" si="2627"/>
        <v>0</v>
      </c>
      <c r="P1777" s="1423">
        <f t="shared" si="2628"/>
        <v>0</v>
      </c>
      <c r="Q1777" s="1423">
        <f t="shared" si="2629"/>
        <v>0</v>
      </c>
      <c r="R1777" s="1423">
        <f t="shared" si="2630"/>
        <v>0</v>
      </c>
      <c r="S1777" s="1423">
        <f t="shared" si="2631"/>
        <v>0</v>
      </c>
      <c r="T1777" s="1423">
        <f t="shared" si="2632"/>
        <v>0</v>
      </c>
      <c r="U1777" s="1423">
        <f t="shared" si="2633"/>
        <v>0</v>
      </c>
      <c r="V1777" s="1423">
        <f t="shared" si="2634"/>
        <v>0</v>
      </c>
      <c r="W1777" s="1423">
        <f t="shared" si="2635"/>
        <v>0</v>
      </c>
      <c r="X1777" s="152"/>
      <c r="Y1777" s="152"/>
      <c r="Z1777" s="152"/>
      <c r="AA1777" s="152"/>
      <c r="AB1777" s="152"/>
    </row>
    <row r="1778" spans="1:28" hidden="1" outlineLevel="1">
      <c r="A1778" s="152"/>
      <c r="B1778" s="190" t="str">
        <f t="shared" ca="1" si="2636"/>
        <v>RL Capex 2022-23</v>
      </c>
      <c r="C1778" s="1429"/>
      <c r="D1778" s="1429"/>
      <c r="E1778" s="1429"/>
      <c r="F1778" s="1429"/>
      <c r="G1778" s="1429"/>
      <c r="H1778" s="1429"/>
      <c r="I1778" s="1424"/>
      <c r="J1778" s="1428">
        <f>J1743</f>
        <v>0</v>
      </c>
      <c r="K1778" s="1423">
        <f t="shared" si="2623"/>
        <v>0</v>
      </c>
      <c r="L1778" s="1423">
        <f t="shared" si="2624"/>
        <v>0</v>
      </c>
      <c r="M1778" s="1423">
        <f t="shared" si="2625"/>
        <v>0</v>
      </c>
      <c r="N1778" s="1423">
        <f t="shared" si="2626"/>
        <v>0</v>
      </c>
      <c r="O1778" s="1423">
        <f t="shared" si="2627"/>
        <v>0</v>
      </c>
      <c r="P1778" s="1423">
        <f t="shared" si="2628"/>
        <v>0</v>
      </c>
      <c r="Q1778" s="1423">
        <f t="shared" si="2629"/>
        <v>0</v>
      </c>
      <c r="R1778" s="1423">
        <f t="shared" si="2630"/>
        <v>0</v>
      </c>
      <c r="S1778" s="1423">
        <f t="shared" si="2631"/>
        <v>0</v>
      </c>
      <c r="T1778" s="1423">
        <f t="shared" si="2632"/>
        <v>0</v>
      </c>
      <c r="U1778" s="1423">
        <f t="shared" si="2633"/>
        <v>0</v>
      </c>
      <c r="V1778" s="1423">
        <f t="shared" si="2634"/>
        <v>0</v>
      </c>
      <c r="W1778" s="1423">
        <f t="shared" si="2635"/>
        <v>0</v>
      </c>
      <c r="X1778" s="152"/>
      <c r="Y1778" s="152"/>
      <c r="Z1778" s="152"/>
      <c r="AA1778" s="152"/>
      <c r="AB1778" s="152"/>
    </row>
    <row r="1779" spans="1:28" hidden="1" outlineLevel="1">
      <c r="A1779" s="152"/>
      <c r="B1779" s="190" t="str">
        <f t="shared" ca="1" si="2636"/>
        <v>RL Capex 2023-24</v>
      </c>
      <c r="C1779" s="1429"/>
      <c r="D1779" s="1429"/>
      <c r="E1779" s="1429"/>
      <c r="F1779" s="1429"/>
      <c r="G1779" s="1429"/>
      <c r="H1779" s="1429"/>
      <c r="I1779" s="1429"/>
      <c r="J1779" s="1424"/>
      <c r="K1779" s="1428">
        <f>K1743</f>
        <v>0</v>
      </c>
      <c r="L1779" s="1423">
        <f t="shared" si="2624"/>
        <v>0</v>
      </c>
      <c r="M1779" s="1423">
        <f t="shared" si="2625"/>
        <v>0</v>
      </c>
      <c r="N1779" s="1423">
        <f t="shared" si="2626"/>
        <v>0</v>
      </c>
      <c r="O1779" s="1423">
        <f t="shared" si="2627"/>
        <v>0</v>
      </c>
      <c r="P1779" s="1423">
        <f t="shared" si="2628"/>
        <v>0</v>
      </c>
      <c r="Q1779" s="1423">
        <f t="shared" si="2629"/>
        <v>0</v>
      </c>
      <c r="R1779" s="1423">
        <f t="shared" si="2630"/>
        <v>0</v>
      </c>
      <c r="S1779" s="1423">
        <f t="shared" si="2631"/>
        <v>0</v>
      </c>
      <c r="T1779" s="1423">
        <f t="shared" si="2632"/>
        <v>0</v>
      </c>
      <c r="U1779" s="1423">
        <f t="shared" si="2633"/>
        <v>0</v>
      </c>
      <c r="V1779" s="1423">
        <f t="shared" si="2634"/>
        <v>0</v>
      </c>
      <c r="W1779" s="1423">
        <f t="shared" si="2635"/>
        <v>0</v>
      </c>
      <c r="X1779" s="152"/>
      <c r="Y1779" s="152"/>
      <c r="Z1779" s="152"/>
      <c r="AA1779" s="152"/>
      <c r="AB1779" s="152"/>
    </row>
    <row r="1780" spans="1:28" hidden="1" outlineLevel="1">
      <c r="A1780" s="152"/>
      <c r="B1780" s="190" t="str">
        <f t="shared" ca="1" si="2636"/>
        <v>RL Capex 2024-25</v>
      </c>
      <c r="C1780" s="1429"/>
      <c r="D1780" s="1429"/>
      <c r="E1780" s="1429"/>
      <c r="F1780" s="1429"/>
      <c r="G1780" s="1429"/>
      <c r="H1780" s="1429"/>
      <c r="I1780" s="1429"/>
      <c r="J1780" s="1429"/>
      <c r="K1780" s="1424"/>
      <c r="L1780" s="1428">
        <f>L1743</f>
        <v>0</v>
      </c>
      <c r="M1780" s="1423">
        <f t="shared" si="2625"/>
        <v>0</v>
      </c>
      <c r="N1780" s="1423">
        <f t="shared" si="2626"/>
        <v>0</v>
      </c>
      <c r="O1780" s="1423">
        <f t="shared" si="2627"/>
        <v>0</v>
      </c>
      <c r="P1780" s="1423">
        <f t="shared" si="2628"/>
        <v>0</v>
      </c>
      <c r="Q1780" s="1423">
        <f t="shared" si="2629"/>
        <v>0</v>
      </c>
      <c r="R1780" s="1423">
        <f t="shared" si="2630"/>
        <v>0</v>
      </c>
      <c r="S1780" s="1423">
        <f t="shared" si="2631"/>
        <v>0</v>
      </c>
      <c r="T1780" s="1423">
        <f t="shared" si="2632"/>
        <v>0</v>
      </c>
      <c r="U1780" s="1423">
        <f t="shared" si="2633"/>
        <v>0</v>
      </c>
      <c r="V1780" s="1423">
        <f t="shared" si="2634"/>
        <v>0</v>
      </c>
      <c r="W1780" s="1423">
        <f t="shared" si="2635"/>
        <v>0</v>
      </c>
      <c r="X1780" s="152"/>
      <c r="Y1780" s="152"/>
      <c r="Z1780" s="152"/>
      <c r="AA1780" s="152"/>
      <c r="AB1780" s="152"/>
    </row>
    <row r="1781" spans="1:28" hidden="1" outlineLevel="1">
      <c r="A1781" s="152"/>
      <c r="B1781" s="190" t="str">
        <f t="shared" ca="1" si="2636"/>
        <v>RL Capex 2025-26</v>
      </c>
      <c r="C1781" s="1429"/>
      <c r="D1781" s="1429"/>
      <c r="E1781" s="1429"/>
      <c r="F1781" s="1429"/>
      <c r="G1781" s="1429"/>
      <c r="H1781" s="1429"/>
      <c r="I1781" s="1429"/>
      <c r="J1781" s="1429"/>
      <c r="K1781" s="1429"/>
      <c r="L1781" s="1424"/>
      <c r="M1781" s="1428">
        <f>M1743</f>
        <v>0</v>
      </c>
      <c r="N1781" s="1423">
        <f t="shared" si="2626"/>
        <v>0</v>
      </c>
      <c r="O1781" s="1423">
        <f t="shared" si="2627"/>
        <v>0</v>
      </c>
      <c r="P1781" s="1423">
        <f t="shared" si="2628"/>
        <v>0</v>
      </c>
      <c r="Q1781" s="1423">
        <f t="shared" si="2629"/>
        <v>0</v>
      </c>
      <c r="R1781" s="1423">
        <f t="shared" si="2630"/>
        <v>0</v>
      </c>
      <c r="S1781" s="1423">
        <f t="shared" si="2631"/>
        <v>0</v>
      </c>
      <c r="T1781" s="1423">
        <f t="shared" si="2632"/>
        <v>0</v>
      </c>
      <c r="U1781" s="1423">
        <f t="shared" si="2633"/>
        <v>0</v>
      </c>
      <c r="V1781" s="1423">
        <f t="shared" si="2634"/>
        <v>0</v>
      </c>
      <c r="W1781" s="1423">
        <f t="shared" si="2635"/>
        <v>0</v>
      </c>
      <c r="X1781" s="152"/>
      <c r="Y1781" s="152"/>
      <c r="Z1781" s="152"/>
      <c r="AA1781" s="152"/>
      <c r="AB1781" s="152"/>
    </row>
    <row r="1782" spans="1:28" hidden="1" outlineLevel="1">
      <c r="A1782" s="152"/>
      <c r="B1782" s="190" t="str">
        <f t="shared" ca="1" si="2636"/>
        <v>RL Capex 2026-27</v>
      </c>
      <c r="C1782" s="1429"/>
      <c r="D1782" s="1429"/>
      <c r="E1782" s="1429"/>
      <c r="F1782" s="1429"/>
      <c r="G1782" s="1429"/>
      <c r="H1782" s="1429"/>
      <c r="I1782" s="1429"/>
      <c r="J1782" s="1429"/>
      <c r="K1782" s="1429"/>
      <c r="L1782" s="1429"/>
      <c r="M1782" s="1424"/>
      <c r="N1782" s="1428">
        <f>N1743</f>
        <v>0</v>
      </c>
      <c r="O1782" s="1423">
        <f t="shared" si="2627"/>
        <v>0</v>
      </c>
      <c r="P1782" s="1423">
        <f t="shared" si="2628"/>
        <v>0</v>
      </c>
      <c r="Q1782" s="1423">
        <f t="shared" si="2629"/>
        <v>0</v>
      </c>
      <c r="R1782" s="1423">
        <f t="shared" si="2630"/>
        <v>0</v>
      </c>
      <c r="S1782" s="1423">
        <f t="shared" si="2631"/>
        <v>0</v>
      </c>
      <c r="T1782" s="1423">
        <f t="shared" si="2632"/>
        <v>0</v>
      </c>
      <c r="U1782" s="1423">
        <f t="shared" si="2633"/>
        <v>0</v>
      </c>
      <c r="V1782" s="1423">
        <f t="shared" si="2634"/>
        <v>0</v>
      </c>
      <c r="W1782" s="1423">
        <f t="shared" si="2635"/>
        <v>0</v>
      </c>
      <c r="X1782" s="152"/>
      <c r="Y1782" s="152"/>
      <c r="Z1782" s="152"/>
      <c r="AA1782" s="152"/>
      <c r="AB1782" s="152"/>
    </row>
    <row r="1783" spans="1:28" hidden="1" outlineLevel="1">
      <c r="A1783" s="152"/>
      <c r="B1783" s="190" t="str">
        <f t="shared" ca="1" si="2636"/>
        <v>RL Capex 2027-28</v>
      </c>
      <c r="C1783" s="1429"/>
      <c r="D1783" s="1429"/>
      <c r="E1783" s="1429"/>
      <c r="F1783" s="1429"/>
      <c r="G1783" s="1429"/>
      <c r="H1783" s="1429"/>
      <c r="I1783" s="1429"/>
      <c r="J1783" s="1429"/>
      <c r="K1783" s="1429"/>
      <c r="L1783" s="1429"/>
      <c r="M1783" s="1429"/>
      <c r="N1783" s="1424"/>
      <c r="O1783" s="1428">
        <f>O1743</f>
        <v>0</v>
      </c>
      <c r="P1783" s="1423">
        <f t="shared" si="2628"/>
        <v>0</v>
      </c>
      <c r="Q1783" s="1423">
        <f t="shared" si="2629"/>
        <v>0</v>
      </c>
      <c r="R1783" s="1423">
        <f t="shared" si="2630"/>
        <v>0</v>
      </c>
      <c r="S1783" s="1423">
        <f t="shared" si="2631"/>
        <v>0</v>
      </c>
      <c r="T1783" s="1423">
        <f t="shared" si="2632"/>
        <v>0</v>
      </c>
      <c r="U1783" s="1423">
        <f t="shared" si="2633"/>
        <v>0</v>
      </c>
      <c r="V1783" s="1423">
        <f t="shared" si="2634"/>
        <v>0</v>
      </c>
      <c r="W1783" s="1423">
        <f t="shared" si="2635"/>
        <v>0</v>
      </c>
      <c r="X1783" s="152"/>
      <c r="Y1783" s="152"/>
      <c r="Z1783" s="152"/>
      <c r="AA1783" s="152"/>
      <c r="AB1783" s="152"/>
    </row>
    <row r="1784" spans="1:28" hidden="1" outlineLevel="1">
      <c r="A1784" s="152"/>
      <c r="B1784" s="190" t="str">
        <f t="shared" ca="1" si="2636"/>
        <v>RL Capex 2028-29</v>
      </c>
      <c r="C1784" s="1429"/>
      <c r="D1784" s="1429"/>
      <c r="E1784" s="1429"/>
      <c r="F1784" s="1429"/>
      <c r="G1784" s="1429"/>
      <c r="H1784" s="1429"/>
      <c r="I1784" s="1429"/>
      <c r="J1784" s="1429"/>
      <c r="K1784" s="1429"/>
      <c r="L1784" s="1429"/>
      <c r="M1784" s="1429"/>
      <c r="N1784" s="1429"/>
      <c r="O1784" s="1424"/>
      <c r="P1784" s="1428">
        <f>P1743</f>
        <v>0</v>
      </c>
      <c r="Q1784" s="1423">
        <f t="shared" si="2629"/>
        <v>0</v>
      </c>
      <c r="R1784" s="1423">
        <f t="shared" si="2630"/>
        <v>0</v>
      </c>
      <c r="S1784" s="1423">
        <f t="shared" si="2631"/>
        <v>0</v>
      </c>
      <c r="T1784" s="1423">
        <f t="shared" si="2632"/>
        <v>0</v>
      </c>
      <c r="U1784" s="1423">
        <f t="shared" si="2633"/>
        <v>0</v>
      </c>
      <c r="V1784" s="1423">
        <f t="shared" si="2634"/>
        <v>0</v>
      </c>
      <c r="W1784" s="1423">
        <f t="shared" si="2635"/>
        <v>0</v>
      </c>
      <c r="X1784" s="152"/>
      <c r="Y1784" s="152"/>
      <c r="Z1784" s="152"/>
      <c r="AA1784" s="152"/>
      <c r="AB1784" s="152"/>
    </row>
    <row r="1785" spans="1:28" hidden="1" outlineLevel="1">
      <c r="A1785" s="152"/>
      <c r="B1785" s="190" t="str">
        <f t="shared" ca="1" si="2636"/>
        <v>RL Capex 2029-30</v>
      </c>
      <c r="C1785" s="1429"/>
      <c r="D1785" s="1429"/>
      <c r="E1785" s="1429"/>
      <c r="F1785" s="1429"/>
      <c r="G1785" s="1429"/>
      <c r="H1785" s="1429"/>
      <c r="I1785" s="1429"/>
      <c r="J1785" s="1429"/>
      <c r="K1785" s="1429"/>
      <c r="L1785" s="1429"/>
      <c r="M1785" s="1429"/>
      <c r="N1785" s="1429"/>
      <c r="O1785" s="1429"/>
      <c r="P1785" s="1424"/>
      <c r="Q1785" s="1428">
        <f>Q1743</f>
        <v>0</v>
      </c>
      <c r="R1785" s="1423">
        <f t="shared" si="2630"/>
        <v>0</v>
      </c>
      <c r="S1785" s="1423">
        <f t="shared" si="2631"/>
        <v>0</v>
      </c>
      <c r="T1785" s="1423">
        <f t="shared" si="2632"/>
        <v>0</v>
      </c>
      <c r="U1785" s="1423">
        <f t="shared" si="2633"/>
        <v>0</v>
      </c>
      <c r="V1785" s="1423">
        <f t="shared" si="2634"/>
        <v>0</v>
      </c>
      <c r="W1785" s="1423">
        <f t="shared" si="2635"/>
        <v>0</v>
      </c>
      <c r="X1785" s="152"/>
      <c r="Y1785" s="152"/>
      <c r="Z1785" s="152"/>
      <c r="AA1785" s="152"/>
      <c r="AB1785" s="152"/>
    </row>
    <row r="1786" spans="1:28" hidden="1" outlineLevel="1">
      <c r="A1786" s="152"/>
      <c r="B1786" s="190" t="str">
        <f t="shared" ca="1" si="2636"/>
        <v>RL Capex 2030-31</v>
      </c>
      <c r="C1786" s="1429"/>
      <c r="D1786" s="1429"/>
      <c r="E1786" s="1429"/>
      <c r="F1786" s="1429"/>
      <c r="G1786" s="1429"/>
      <c r="H1786" s="1429"/>
      <c r="I1786" s="1429"/>
      <c r="J1786" s="1429"/>
      <c r="K1786" s="1429"/>
      <c r="L1786" s="1429"/>
      <c r="M1786" s="1429"/>
      <c r="N1786" s="1429"/>
      <c r="O1786" s="1429"/>
      <c r="P1786" s="1429"/>
      <c r="Q1786" s="1424"/>
      <c r="R1786" s="1428">
        <f>R1743</f>
        <v>0</v>
      </c>
      <c r="S1786" s="1423">
        <f t="shared" si="2631"/>
        <v>0</v>
      </c>
      <c r="T1786" s="1423">
        <f t="shared" si="2632"/>
        <v>0</v>
      </c>
      <c r="U1786" s="1423">
        <f t="shared" si="2633"/>
        <v>0</v>
      </c>
      <c r="V1786" s="1423">
        <f t="shared" si="2634"/>
        <v>0</v>
      </c>
      <c r="W1786" s="1423">
        <f t="shared" si="2635"/>
        <v>0</v>
      </c>
      <c r="X1786" s="152"/>
      <c r="Y1786" s="152"/>
      <c r="Z1786" s="152"/>
      <c r="AA1786" s="152"/>
      <c r="AB1786" s="152"/>
    </row>
    <row r="1787" spans="1:28" hidden="1" outlineLevel="1">
      <c r="A1787" s="152"/>
      <c r="B1787" s="190" t="str">
        <f t="shared" ca="1" si="2636"/>
        <v>RL Capex 2031-32</v>
      </c>
      <c r="C1787" s="1429"/>
      <c r="D1787" s="1429"/>
      <c r="E1787" s="1429"/>
      <c r="F1787" s="1429"/>
      <c r="G1787" s="1429"/>
      <c r="H1787" s="1429"/>
      <c r="I1787" s="1429"/>
      <c r="J1787" s="1429"/>
      <c r="K1787" s="1429"/>
      <c r="L1787" s="1429"/>
      <c r="M1787" s="1429"/>
      <c r="N1787" s="1429"/>
      <c r="O1787" s="1429"/>
      <c r="P1787" s="1429"/>
      <c r="Q1787" s="1429"/>
      <c r="R1787" s="1424"/>
      <c r="S1787" s="1428">
        <f>S1743</f>
        <v>0</v>
      </c>
      <c r="T1787" s="1423">
        <f t="shared" si="2632"/>
        <v>0</v>
      </c>
      <c r="U1787" s="1423">
        <f t="shared" si="2633"/>
        <v>0</v>
      </c>
      <c r="V1787" s="1423">
        <f t="shared" si="2634"/>
        <v>0</v>
      </c>
      <c r="W1787" s="1423">
        <f t="shared" si="2635"/>
        <v>0</v>
      </c>
      <c r="X1787" s="152"/>
      <c r="Y1787" s="152"/>
      <c r="Z1787" s="152"/>
      <c r="AA1787" s="152"/>
      <c r="AB1787" s="152"/>
    </row>
    <row r="1788" spans="1:28" hidden="1" outlineLevel="1">
      <c r="A1788" s="152"/>
      <c r="B1788" s="190" t="str">
        <f t="shared" ca="1" si="2636"/>
        <v>RL Capex 2032-33</v>
      </c>
      <c r="C1788" s="1429"/>
      <c r="D1788" s="1429"/>
      <c r="E1788" s="1429"/>
      <c r="F1788" s="1429"/>
      <c r="G1788" s="1429"/>
      <c r="H1788" s="1429"/>
      <c r="I1788" s="1429"/>
      <c r="J1788" s="1429"/>
      <c r="K1788" s="1429"/>
      <c r="L1788" s="1429"/>
      <c r="M1788" s="1429"/>
      <c r="N1788" s="1429"/>
      <c r="O1788" s="1429"/>
      <c r="P1788" s="1429"/>
      <c r="Q1788" s="1429"/>
      <c r="R1788" s="1429"/>
      <c r="S1788" s="1424"/>
      <c r="T1788" s="1428">
        <f>T1743</f>
        <v>0</v>
      </c>
      <c r="U1788" s="1423">
        <f t="shared" si="2633"/>
        <v>0</v>
      </c>
      <c r="V1788" s="1423">
        <f t="shared" si="2634"/>
        <v>0</v>
      </c>
      <c r="W1788" s="1423">
        <f t="shared" si="2635"/>
        <v>0</v>
      </c>
      <c r="X1788" s="152"/>
      <c r="Y1788" s="152"/>
      <c r="Z1788" s="152"/>
      <c r="AA1788" s="152"/>
      <c r="AB1788" s="152"/>
    </row>
    <row r="1789" spans="1:28" hidden="1" outlineLevel="1">
      <c r="A1789" s="152"/>
      <c r="B1789" s="190" t="str">
        <f t="shared" ca="1" si="2636"/>
        <v>RL Capex 2033-34</v>
      </c>
      <c r="C1789" s="1429"/>
      <c r="D1789" s="1429"/>
      <c r="E1789" s="1429"/>
      <c r="F1789" s="1429"/>
      <c r="G1789" s="1429"/>
      <c r="H1789" s="1429"/>
      <c r="I1789" s="1429"/>
      <c r="J1789" s="1429"/>
      <c r="K1789" s="1429"/>
      <c r="L1789" s="1429"/>
      <c r="M1789" s="1429"/>
      <c r="N1789" s="1429"/>
      <c r="O1789" s="1429"/>
      <c r="P1789" s="1429"/>
      <c r="Q1789" s="1429"/>
      <c r="R1789" s="1429"/>
      <c r="S1789" s="1429"/>
      <c r="T1789" s="1424"/>
      <c r="U1789" s="1428">
        <f>U1743</f>
        <v>0</v>
      </c>
      <c r="V1789" s="1423">
        <f t="shared" si="2634"/>
        <v>0</v>
      </c>
      <c r="W1789" s="1423">
        <f t="shared" si="2635"/>
        <v>0</v>
      </c>
      <c r="X1789" s="152"/>
      <c r="Y1789" s="152"/>
      <c r="Z1789" s="152"/>
      <c r="AA1789" s="152"/>
      <c r="AB1789" s="152"/>
    </row>
    <row r="1790" spans="1:28" hidden="1" outlineLevel="1">
      <c r="A1790" s="152"/>
      <c r="B1790" s="190" t="str">
        <f t="shared" ca="1" si="2636"/>
        <v>RL Capex 2034-35</v>
      </c>
      <c r="C1790" s="1429"/>
      <c r="D1790" s="1429"/>
      <c r="E1790" s="1429"/>
      <c r="F1790" s="1429"/>
      <c r="G1790" s="1429"/>
      <c r="H1790" s="1429"/>
      <c r="I1790" s="1429"/>
      <c r="J1790" s="1429"/>
      <c r="K1790" s="1429"/>
      <c r="L1790" s="1429"/>
      <c r="M1790" s="1429"/>
      <c r="N1790" s="1429"/>
      <c r="O1790" s="1429"/>
      <c r="P1790" s="1429"/>
      <c r="Q1790" s="1429"/>
      <c r="R1790" s="1429"/>
      <c r="S1790" s="1429"/>
      <c r="T1790" s="1429"/>
      <c r="U1790" s="1424"/>
      <c r="V1790" s="1428">
        <f>V1743</f>
        <v>0</v>
      </c>
      <c r="W1790" s="1423">
        <f>IF(V1790="n/a","n/a",MAX(0,V1790-1))</f>
        <v>0</v>
      </c>
      <c r="X1790" s="152"/>
      <c r="Y1790" s="152"/>
      <c r="Z1790" s="152"/>
      <c r="AA1790" s="152"/>
      <c r="AB1790" s="152"/>
    </row>
    <row r="1791" spans="1:28" hidden="1" outlineLevel="1">
      <c r="A1791" s="152"/>
      <c r="B1791" s="190" t="str">
        <f t="shared" ca="1" si="2636"/>
        <v>RL Capex 2035-36</v>
      </c>
      <c r="C1791" s="1429"/>
      <c r="D1791" s="1429"/>
      <c r="E1791" s="1429"/>
      <c r="F1791" s="1429"/>
      <c r="G1791" s="1429"/>
      <c r="H1791" s="1429"/>
      <c r="I1791" s="1429"/>
      <c r="J1791" s="1429"/>
      <c r="K1791" s="1429"/>
      <c r="L1791" s="1429"/>
      <c r="M1791" s="1429"/>
      <c r="N1791" s="1429"/>
      <c r="O1791" s="1429"/>
      <c r="P1791" s="1429"/>
      <c r="Q1791" s="1429"/>
      <c r="R1791" s="1429"/>
      <c r="S1791" s="1429"/>
      <c r="T1791" s="1429"/>
      <c r="U1791" s="1429"/>
      <c r="V1791" s="1424"/>
      <c r="W1791" s="1423">
        <f>W1743</f>
        <v>0</v>
      </c>
      <c r="X1791" s="152"/>
      <c r="Y1791" s="152"/>
      <c r="Z1791" s="152"/>
      <c r="AA1791" s="152"/>
      <c r="AB1791" s="152"/>
    </row>
    <row r="1792" spans="1:28" hidden="1" outlineLevel="1">
      <c r="A1792" s="152"/>
      <c r="B1792" s="200"/>
      <c r="C1792" s="1423"/>
      <c r="D1792" s="1423"/>
      <c r="E1792" s="1423"/>
      <c r="F1792" s="1423"/>
      <c r="G1792" s="1423"/>
      <c r="H1792" s="1423"/>
      <c r="I1792" s="1423"/>
      <c r="J1792" s="1423"/>
      <c r="K1792" s="1423"/>
      <c r="L1792" s="1423"/>
      <c r="M1792" s="1423"/>
      <c r="N1792" s="1423"/>
      <c r="O1792" s="1423"/>
      <c r="P1792" s="1423"/>
      <c r="Q1792" s="1423"/>
      <c r="R1792" s="1423"/>
      <c r="S1792" s="1423"/>
      <c r="T1792" s="1423"/>
      <c r="U1792" s="1423"/>
      <c r="V1792" s="1423"/>
      <c r="W1792" s="1423"/>
      <c r="X1792" s="152"/>
      <c r="Y1792" s="152"/>
      <c r="Z1792" s="152"/>
      <c r="AA1792" s="152"/>
      <c r="AB1792" s="152"/>
    </row>
    <row r="1793" spans="1:28" collapsed="1">
      <c r="A1793" s="194"/>
      <c r="B1793" s="204" t="s">
        <v>123</v>
      </c>
      <c r="C1793" s="1430">
        <f ca="1">(IF(OR($C1743&lt;&gt;"n/a",C1743&lt;&gt;"n/a"),IF(SUM(C1746:C1768)=0,0,IF((SUMPRODUCT(C1746:C1768,C1770:C1792)/SUM(C1746:C1768))&lt;0,1,(SUMPRODUCT(C1746:C1768,C1770:C1792)/SUM(C1746:C1768)))),"n/a"))</f>
        <v>0</v>
      </c>
      <c r="D1793" s="1430">
        <f ca="1">(IF(OR($C1743&lt;&gt;"n/a",D1743&lt;&gt;"n/a"),IF(SUM(D1746:D1768)=0,0,IF((SUMPRODUCT(D1746:D1768,D1770:D1792)/SUM(D1746:D1768))&lt;0,1,(SUMPRODUCT(D1746:D1768,D1770:D1792)/SUM(D1746:D1768)))),"n/a"))</f>
        <v>0</v>
      </c>
      <c r="E1793" s="1430">
        <f t="shared" ref="E1793:W1793" ca="1" si="2637">(IF(OR($C1743&lt;&gt;"n/a",E1743&lt;&gt;"n/a"),IF(SUM(E1746:E1768)=0,0,IF((SUMPRODUCT(E1746:E1768,E1770:E1792)/SUM(E1746:E1768))&lt;0,1,(SUMPRODUCT(E1746:E1768,E1770:E1792)/SUM(E1746:E1768)))),"n/a"))</f>
        <v>0</v>
      </c>
      <c r="F1793" s="1430">
        <f t="shared" ca="1" si="2637"/>
        <v>0</v>
      </c>
      <c r="G1793" s="1430">
        <f t="shared" ca="1" si="2637"/>
        <v>0</v>
      </c>
      <c r="H1793" s="1430">
        <f t="shared" ca="1" si="2637"/>
        <v>0</v>
      </c>
      <c r="I1793" s="1430">
        <f t="shared" ca="1" si="2637"/>
        <v>0</v>
      </c>
      <c r="J1793" s="1430">
        <f t="shared" ca="1" si="2637"/>
        <v>0</v>
      </c>
      <c r="K1793" s="1430">
        <f t="shared" ca="1" si="2637"/>
        <v>0</v>
      </c>
      <c r="L1793" s="1430">
        <f t="shared" ca="1" si="2637"/>
        <v>0</v>
      </c>
      <c r="M1793" s="1430">
        <f t="shared" ca="1" si="2637"/>
        <v>0</v>
      </c>
      <c r="N1793" s="1430">
        <f t="shared" ca="1" si="2637"/>
        <v>0</v>
      </c>
      <c r="O1793" s="1430">
        <f t="shared" ca="1" si="2637"/>
        <v>0</v>
      </c>
      <c r="P1793" s="1430">
        <f t="shared" ca="1" si="2637"/>
        <v>0</v>
      </c>
      <c r="Q1793" s="1430">
        <f t="shared" ca="1" si="2637"/>
        <v>0</v>
      </c>
      <c r="R1793" s="1430">
        <f t="shared" ca="1" si="2637"/>
        <v>0</v>
      </c>
      <c r="S1793" s="1430">
        <f t="shared" ca="1" si="2637"/>
        <v>0</v>
      </c>
      <c r="T1793" s="1430">
        <f t="shared" ca="1" si="2637"/>
        <v>0</v>
      </c>
      <c r="U1793" s="1430">
        <f t="shared" ca="1" si="2637"/>
        <v>0</v>
      </c>
      <c r="V1793" s="1430">
        <f t="shared" ca="1" si="2637"/>
        <v>0</v>
      </c>
      <c r="W1793" s="1430">
        <f t="shared" ca="1" si="2637"/>
        <v>0</v>
      </c>
      <c r="X1793" s="152"/>
      <c r="Y1793" s="152"/>
      <c r="Z1793" s="152"/>
      <c r="AA1793" s="152"/>
      <c r="AB1793" s="152"/>
    </row>
    <row r="1794" spans="1:28">
      <c r="A1794" s="152"/>
      <c r="B1794" s="152"/>
      <c r="C1794" s="1423"/>
      <c r="D1794" s="1423"/>
      <c r="E1794" s="1423"/>
      <c r="F1794" s="1423"/>
      <c r="G1794" s="1423"/>
      <c r="H1794" s="1423"/>
      <c r="I1794" s="1423"/>
      <c r="J1794" s="1423"/>
      <c r="K1794" s="1423"/>
      <c r="L1794" s="1423"/>
      <c r="M1794" s="1423"/>
      <c r="N1794" s="1423"/>
      <c r="O1794" s="1423"/>
      <c r="P1794" s="1423"/>
      <c r="Q1794" s="1423"/>
      <c r="R1794" s="1423"/>
      <c r="S1794" s="1423"/>
      <c r="T1794" s="1423"/>
      <c r="U1794" s="1423"/>
      <c r="V1794" s="1423"/>
      <c r="W1794" s="1423"/>
      <c r="X1794" s="152"/>
      <c r="Y1794" s="152"/>
      <c r="Z1794" s="152"/>
      <c r="AA1794" s="152"/>
      <c r="AB1794" s="152"/>
    </row>
    <row r="1795" spans="1:28">
      <c r="A1795" s="269" t="s">
        <v>100</v>
      </c>
      <c r="B1795" s="270">
        <f>VLOOKUP($A1795,'RFM input'!$E$7:$F$56,2,FALSE)</f>
        <v>0</v>
      </c>
      <c r="C1795" s="1431"/>
      <c r="D1795" s="1431"/>
      <c r="E1795" s="1432"/>
      <c r="F1795" s="1432"/>
      <c r="G1795" s="1432"/>
      <c r="H1795" s="1432"/>
      <c r="I1795" s="1432"/>
      <c r="J1795" s="1432"/>
      <c r="K1795" s="1432"/>
      <c r="L1795" s="1432"/>
      <c r="M1795" s="1432"/>
      <c r="N1795" s="1432"/>
      <c r="O1795" s="1432"/>
      <c r="P1795" s="1432"/>
      <c r="Q1795" s="1432"/>
      <c r="R1795" s="1432"/>
      <c r="S1795" s="1432"/>
      <c r="T1795" s="1432"/>
      <c r="U1795" s="1432"/>
      <c r="V1795" s="1432"/>
      <c r="W1795" s="1432"/>
      <c r="X1795" s="152"/>
      <c r="Y1795" s="152"/>
      <c r="Z1795" s="152"/>
      <c r="AA1795" s="152"/>
      <c r="AB1795" s="152"/>
    </row>
    <row r="1796" spans="1:28">
      <c r="A1796" s="215">
        <f>VALUE(REPLACE(A1795,1,12,""))</f>
        <v>34</v>
      </c>
      <c r="B1796" s="193" t="s">
        <v>126</v>
      </c>
      <c r="C1796" s="1416">
        <f ca="1">IF($C$8='Capital Base roll forward'!$H$4,OFFSET('Capital Base roll forward'!$H$717,'RAB remaining lives'!A1796,0),"enter input")</f>
        <v>0</v>
      </c>
      <c r="D1796" s="1417">
        <f>IF(LEFT(D$6,4)&lt;LEFT('RFM input'!$G$60,4),"enter input",IF(LEFT(D$6,4)&gt;LEFT('RFM input'!$Q$60,4),0,INDEX('RFM input'!$G$61:$Q$110,$A1796,MATCH(D$6,'RFM input'!$G$60:$Q$60,0))
-INDEX('RFM input'!$G$115:$Q$164,$A1796,MATCH(D$6,'RFM input'!$G$60:$Q$60,0))
-INDEX('RFM input'!$G$169:$Q$218,$A1796,MATCH(D$6,'RFM input'!$G$60:$Q$60,0))))</f>
        <v>0</v>
      </c>
      <c r="E1796" s="1417">
        <f>IF(LEFT(E$6,4)&lt;LEFT('RFM input'!$G$60,4),"enter input",IF(LEFT(E$6,4)&gt;LEFT('RFM input'!$Q$60,4),0,INDEX('RFM input'!$G$61:$Q$110,$A1796,MATCH(E$6,'RFM input'!$G$60:$Q$60,0))
-INDEX('RFM input'!$G$115:$Q$164,$A1796,MATCH(E$6,'RFM input'!$G$60:$Q$60,0))
-INDEX('RFM input'!$G$169:$Q$218,$A1796,MATCH(E$6,'RFM input'!$G$60:$Q$60,0))))</f>
        <v>0</v>
      </c>
      <c r="F1796" s="1417">
        <f>IF(LEFT(F$6,4)&lt;LEFT('RFM input'!$G$60,4),"enter input",IF(LEFT(F$6,4)&gt;LEFT('RFM input'!$Q$60,4),0,INDEX('RFM input'!$G$61:$Q$110,$A1796,MATCH(F$6,'RFM input'!$G$60:$Q$60,0))
-INDEX('RFM input'!$G$115:$Q$164,$A1796,MATCH(F$6,'RFM input'!$G$60:$Q$60,0))
-INDEX('RFM input'!$G$169:$Q$218,$A1796,MATCH(F$6,'RFM input'!$G$60:$Q$60,0))))</f>
        <v>0</v>
      </c>
      <c r="G1796" s="1417">
        <f>IF(LEFT(G$6,4)&lt;LEFT('RFM input'!$G$60,4),"enter input",IF(LEFT(G$6,4)&gt;LEFT('RFM input'!$Q$60,4),0,INDEX('RFM input'!$G$61:$Q$110,$A1796,MATCH(G$6,'RFM input'!$G$60:$Q$60,0))
-INDEX('RFM input'!$G$115:$Q$164,$A1796,MATCH(G$6,'RFM input'!$G$60:$Q$60,0))
-INDEX('RFM input'!$G$169:$Q$218,$A1796,MATCH(G$6,'RFM input'!$G$60:$Q$60,0))))</f>
        <v>0</v>
      </c>
      <c r="H1796" s="1417">
        <f>IF(LEFT(H$6,4)&lt;LEFT('RFM input'!$G$60,4),"enter input",IF(LEFT(H$6,4)&gt;LEFT('RFM input'!$Q$60,4),0,INDEX('RFM input'!$G$61:$Q$110,$A1796,MATCH(H$6,'RFM input'!$G$60:$Q$60,0))
-INDEX('RFM input'!$G$115:$Q$164,$A1796,MATCH(H$6,'RFM input'!$G$60:$Q$60,0))
-INDEX('RFM input'!$G$169:$Q$218,$A1796,MATCH(H$6,'RFM input'!$G$60:$Q$60,0))))</f>
        <v>0</v>
      </c>
      <c r="I1796" s="1417">
        <f>IF(LEFT(I$6,4)&lt;LEFT('RFM input'!$G$60,4),"enter input",IF(LEFT(I$6,4)&gt;LEFT('RFM input'!$Q$60,4),0,INDEX('RFM input'!$G$61:$Q$110,$A1796,MATCH(I$6,'RFM input'!$G$60:$Q$60,0))
-INDEX('RFM input'!$G$115:$Q$164,$A1796,MATCH(I$6,'RFM input'!$G$60:$Q$60,0))
-INDEX('RFM input'!$G$169:$Q$218,$A1796,MATCH(I$6,'RFM input'!$G$60:$Q$60,0))))</f>
        <v>0</v>
      </c>
      <c r="J1796" s="1417">
        <f>IF(LEFT(J$6,4)&lt;LEFT('RFM input'!$G$60,4),"enter input",IF(LEFT(J$6,4)&gt;LEFT('RFM input'!$Q$60,4),0,INDEX('RFM input'!$G$61:$Q$110,$A1796,MATCH(J$6,'RFM input'!$G$60:$Q$60,0))
-INDEX('RFM input'!$G$115:$Q$164,$A1796,MATCH(J$6,'RFM input'!$G$60:$Q$60,0))
-INDEX('RFM input'!$G$169:$Q$218,$A1796,MATCH(J$6,'RFM input'!$G$60:$Q$60,0))))</f>
        <v>0</v>
      </c>
      <c r="K1796" s="1417">
        <f>IF(LEFT(K$6,4)&lt;LEFT('RFM input'!$G$60,4),"enter input",IF(LEFT(K$6,4)&gt;LEFT('RFM input'!$Q$60,4),0,INDEX('RFM input'!$G$61:$Q$110,$A1796,MATCH(K$6,'RFM input'!$G$60:$Q$60,0))
-INDEX('RFM input'!$G$115:$Q$164,$A1796,MATCH(K$6,'RFM input'!$G$60:$Q$60,0))
-INDEX('RFM input'!$G$169:$Q$218,$A1796,MATCH(K$6,'RFM input'!$G$60:$Q$60,0))))</f>
        <v>0</v>
      </c>
      <c r="L1796" s="1417">
        <f>IF(LEFT(L$6,4)&lt;LEFT('RFM input'!$G$60,4),"enter input",IF(LEFT(L$6,4)&gt;LEFT('RFM input'!$Q$60,4),0,INDEX('RFM input'!$G$61:$Q$110,$A1796,MATCH(L$6,'RFM input'!$G$60:$Q$60,0))
-INDEX('RFM input'!$G$115:$Q$164,$A1796,MATCH(L$6,'RFM input'!$G$60:$Q$60,0))
-INDEX('RFM input'!$G$169:$Q$218,$A1796,MATCH(L$6,'RFM input'!$G$60:$Q$60,0))))</f>
        <v>0</v>
      </c>
      <c r="M1796" s="1417">
        <f>IF(LEFT(M$6,4)&lt;LEFT('RFM input'!$G$60,4),"enter input",IF(LEFT(M$6,4)&gt;LEFT('RFM input'!$Q$60,4),0,INDEX('RFM input'!$G$61:$Q$110,$A1796,MATCH(M$6,'RFM input'!$G$60:$Q$60,0))
-INDEX('RFM input'!$G$115:$Q$164,$A1796,MATCH(M$6,'RFM input'!$G$60:$Q$60,0))
-INDEX('RFM input'!$G$169:$Q$218,$A1796,MATCH(M$6,'RFM input'!$G$60:$Q$60,0))))</f>
        <v>0</v>
      </c>
      <c r="N1796" s="1417">
        <f>IF(LEFT(N$6,4)&lt;LEFT('RFM input'!$G$60,4),"enter input",IF(LEFT(N$6,4)&gt;LEFT('RFM input'!$Q$60,4),0,INDEX('RFM input'!$G$61:$Q$110,$A1796,MATCH(N$6,'RFM input'!$G$60:$Q$60,0))
-INDEX('RFM input'!$G$115:$Q$164,$A1796,MATCH(N$6,'RFM input'!$G$60:$Q$60,0))
-INDEX('RFM input'!$G$169:$Q$218,$A1796,MATCH(N$6,'RFM input'!$G$60:$Q$60,0))))</f>
        <v>0</v>
      </c>
      <c r="O1796" s="1417">
        <f>IF(LEFT(O$6,4)&lt;LEFT('RFM input'!$G$60,4),"enter input",IF(LEFT(O$6,4)&gt;LEFT('RFM input'!$Q$60,4),0,INDEX('RFM input'!$G$61:$Q$110,$A1796,MATCH(O$6,'RFM input'!$G$60:$Q$60,0))
-INDEX('RFM input'!$G$115:$Q$164,$A1796,MATCH(O$6,'RFM input'!$G$60:$Q$60,0))
-INDEX('RFM input'!$G$169:$Q$218,$A1796,MATCH(O$6,'RFM input'!$G$60:$Q$60,0))))</f>
        <v>0</v>
      </c>
      <c r="P1796" s="1417">
        <f>IF(LEFT(P$6,4)&lt;LEFT('RFM input'!$G$60,4),"enter input",IF(LEFT(P$6,4)&gt;LEFT('RFM input'!$Q$60,4),0,INDEX('RFM input'!$G$61:$Q$110,$A1796,MATCH(P$6,'RFM input'!$G$60:$Q$60,0))
-INDEX('RFM input'!$G$115:$Q$164,$A1796,MATCH(P$6,'RFM input'!$G$60:$Q$60,0))
-INDEX('RFM input'!$G$169:$Q$218,$A1796,MATCH(P$6,'RFM input'!$G$60:$Q$60,0))))</f>
        <v>0</v>
      </c>
      <c r="Q1796" s="1417">
        <f>IF(LEFT(Q$6,4)&lt;LEFT('RFM input'!$G$60,4),"enter input",IF(LEFT(Q$6,4)&gt;LEFT('RFM input'!$Q$60,4),0,INDEX('RFM input'!$G$61:$Q$110,$A1796,MATCH(Q$6,'RFM input'!$G$60:$Q$60,0))
-INDEX('RFM input'!$G$115:$Q$164,$A1796,MATCH(Q$6,'RFM input'!$G$60:$Q$60,0))
-INDEX('RFM input'!$G$169:$Q$218,$A1796,MATCH(Q$6,'RFM input'!$G$60:$Q$60,0))))</f>
        <v>0</v>
      </c>
      <c r="R1796" s="1417">
        <f>IF(LEFT(R$6,4)&lt;LEFT('RFM input'!$G$60,4),"enter input",IF(LEFT(R$6,4)&gt;LEFT('RFM input'!$Q$60,4),0,INDEX('RFM input'!$G$61:$Q$110,$A1796,MATCH(R$6,'RFM input'!$G$60:$Q$60,0))
-INDEX('RFM input'!$G$115:$Q$164,$A1796,MATCH(R$6,'RFM input'!$G$60:$Q$60,0))
-INDEX('RFM input'!$G$169:$Q$218,$A1796,MATCH(R$6,'RFM input'!$G$60:$Q$60,0))))</f>
        <v>0</v>
      </c>
      <c r="S1796" s="1417">
        <f>IF(LEFT(S$6,4)&lt;LEFT('RFM input'!$G$60,4),"enter input",IF(LEFT(S$6,4)&gt;LEFT('RFM input'!$Q$60,4),0,INDEX('RFM input'!$G$61:$Q$110,$A1796,MATCH(S$6,'RFM input'!$G$60:$Q$60,0))
-INDEX('RFM input'!$G$115:$Q$164,$A1796,MATCH(S$6,'RFM input'!$G$60:$Q$60,0))
-INDEX('RFM input'!$G$169:$Q$218,$A1796,MATCH(S$6,'RFM input'!$G$60:$Q$60,0))))</f>
        <v>0</v>
      </c>
      <c r="T1796" s="1417">
        <f>IF(LEFT(T$6,4)&lt;LEFT('RFM input'!$G$60,4),"enter input",IF(LEFT(T$6,4)&gt;LEFT('RFM input'!$Q$60,4),0,INDEX('RFM input'!$G$61:$Q$110,$A1796,MATCH(T$6,'RFM input'!$G$60:$Q$60,0))
-INDEX('RFM input'!$G$115:$Q$164,$A1796,MATCH(T$6,'RFM input'!$G$60:$Q$60,0))
-INDEX('RFM input'!$G$169:$Q$218,$A1796,MATCH(T$6,'RFM input'!$G$60:$Q$60,0))))</f>
        <v>0</v>
      </c>
      <c r="U1796" s="1417">
        <f>IF(LEFT(U$6,4)&lt;LEFT('RFM input'!$G$60,4),"enter input",IF(LEFT(U$6,4)&gt;LEFT('RFM input'!$Q$60,4),0,INDEX('RFM input'!$G$61:$Q$110,$A1796,MATCH(U$6,'RFM input'!$G$60:$Q$60,0))
-INDEX('RFM input'!$G$115:$Q$164,$A1796,MATCH(U$6,'RFM input'!$G$60:$Q$60,0))
-INDEX('RFM input'!$G$169:$Q$218,$A1796,MATCH(U$6,'RFM input'!$G$60:$Q$60,0))))</f>
        <v>0</v>
      </c>
      <c r="V1796" s="1417">
        <f>IF(LEFT(V$6,4)&lt;LEFT('RFM input'!$G$60,4),"enter input",IF(LEFT(V$6,4)&gt;LEFT('RFM input'!$Q$60,4),0,INDEX('RFM input'!$G$61:$Q$110,$A1796,MATCH(V$6,'RFM input'!$G$60:$Q$60,0))
-INDEX('RFM input'!$G$115:$Q$164,$A1796,MATCH(V$6,'RFM input'!$G$60:$Q$60,0))
-INDEX('RFM input'!$G$169:$Q$218,$A1796,MATCH(V$6,'RFM input'!$G$60:$Q$60,0))))</f>
        <v>0</v>
      </c>
      <c r="W1796" s="1417">
        <f>IF(LEFT(W$6,4)&lt;LEFT('RFM input'!$G$60,4),"enter input",IF(LEFT(W$6,4)&gt;LEFT('RFM input'!$Q$60,4),0,INDEX('RFM input'!$G$61:$Q$110,$A1796,MATCH(W$6,'RFM input'!$G$60:$Q$60,0))
-INDEX('RFM input'!$G$115:$Q$164,$A1796,MATCH(W$6,'RFM input'!$G$60:$Q$60,0))
-INDEX('RFM input'!$G$169:$Q$218,$A1796,MATCH(W$6,'RFM input'!$G$60:$Q$60,0))))</f>
        <v>0</v>
      </c>
      <c r="X1796" s="152"/>
      <c r="Y1796" s="152"/>
      <c r="Z1796" s="152"/>
      <c r="AA1796" s="152"/>
      <c r="AB1796" s="152"/>
    </row>
    <row r="1797" spans="1:28">
      <c r="A1797" s="152"/>
      <c r="B1797" s="152" t="s">
        <v>204</v>
      </c>
      <c r="C1797" s="1418">
        <f ca="1">IF($C$8='Capital Base roll forward'!$H$4,OFFSET('RFM input'!$J$6,'RAB remaining lives'!A1796,0),"enter input")</f>
        <v>0</v>
      </c>
      <c r="D1797" s="1417">
        <f>IF(LEFT(D$6,4)&lt;=LEFT('RFM input'!$G$60,4),"enter input",IF(LEFT(D$6,4)&gt;LEFT('RFM input'!$Q$60,4),0,IF(MATCH(D$6,'RFM input'!$H$60:$Q$60,0),INDEX('RFM input'!$K$7:$K$56,$A1796,1))))</f>
        <v>0</v>
      </c>
      <c r="E1797" s="1417">
        <f>IF(LEFT(E$6,4)&lt;=LEFT('RFM input'!$G$60,4),"enter input",IF(LEFT(E$6,4)&gt;LEFT('RFM input'!$Q$60,4),0,IF(MATCH(E$6,'RFM input'!$H$60:$Q$60,0),INDEX('RFM input'!$K$7:$K$56,$A1796,1))))</f>
        <v>0</v>
      </c>
      <c r="F1797" s="1417">
        <f>IF(LEFT(F$6,4)&lt;=LEFT('RFM input'!$G$60,4),"enter input",IF(LEFT(F$6,4)&gt;LEFT('RFM input'!$Q$60,4),0,IF(MATCH(F$6,'RFM input'!$H$60:$Q$60,0),INDEX('RFM input'!$K$7:$K$56,$A1796,1))))</f>
        <v>0</v>
      </c>
      <c r="G1797" s="1417">
        <f>IF(LEFT(G$6,4)&lt;=LEFT('RFM input'!$G$60,4),"enter input",IF(LEFT(G$6,4)&gt;LEFT('RFM input'!$Q$60,4),0,IF(MATCH(G$6,'RFM input'!$H$60:$Q$60,0),INDEX('RFM input'!$K$7:$K$56,$A1796,1))))</f>
        <v>0</v>
      </c>
      <c r="H1797" s="1417">
        <f>IF(LEFT(H$6,4)&lt;=LEFT('RFM input'!$G$60,4),"enter input",IF(LEFT(H$6,4)&gt;LEFT('RFM input'!$Q$60,4),0,IF(MATCH(H$6,'RFM input'!$H$60:$Q$60,0),INDEX('RFM input'!$K$7:$K$56,$A1796,1))))</f>
        <v>0</v>
      </c>
      <c r="I1797" s="1417">
        <f>IF(LEFT(I$6,4)&lt;=LEFT('RFM input'!$G$60,4),"enter input",IF(LEFT(I$6,4)&gt;LEFT('RFM input'!$Q$60,4),0,IF(MATCH(I$6,'RFM input'!$H$60:$Q$60,0),INDEX('RFM input'!$K$7:$K$56,$A1796,1))))</f>
        <v>0</v>
      </c>
      <c r="J1797" s="1417">
        <f>IF(LEFT(J$6,4)&lt;=LEFT('RFM input'!$G$60,4),"enter input",IF(LEFT(J$6,4)&gt;LEFT('RFM input'!$Q$60,4),0,IF(MATCH(J$6,'RFM input'!$H$60:$Q$60,0),INDEX('RFM input'!$K$7:$K$56,$A1796,1))))</f>
        <v>0</v>
      </c>
      <c r="K1797" s="1417">
        <f>IF(LEFT(K$6,4)&lt;=LEFT('RFM input'!$G$60,4),"enter input",IF(LEFT(K$6,4)&gt;LEFT('RFM input'!$Q$60,4),0,IF(MATCH(K$6,'RFM input'!$H$60:$Q$60,0),INDEX('RFM input'!$K$7:$K$56,$A1796,1))))</f>
        <v>0</v>
      </c>
      <c r="L1797" s="1417">
        <f>IF(LEFT(L$6,4)&lt;=LEFT('RFM input'!$G$60,4),"enter input",IF(LEFT(L$6,4)&gt;LEFT('RFM input'!$Q$60,4),0,IF(MATCH(L$6,'RFM input'!$H$60:$Q$60,0),INDEX('RFM input'!$K$7:$K$56,$A1796,1))))</f>
        <v>0</v>
      </c>
      <c r="M1797" s="1417">
        <f>IF(LEFT(M$6,4)&lt;=LEFT('RFM input'!$G$60,4),"enter input",IF(LEFT(M$6,4)&gt;LEFT('RFM input'!$Q$60,4),0,IF(MATCH(M$6,'RFM input'!$H$60:$Q$60,0),INDEX('RFM input'!$K$7:$K$56,$A1796,1))))</f>
        <v>0</v>
      </c>
      <c r="N1797" s="1417">
        <f>IF(LEFT(N$6,4)&lt;=LEFT('RFM input'!$G$60,4),"enter input",IF(LEFT(N$6,4)&gt;LEFT('RFM input'!$Q$60,4),0,IF(MATCH(N$6,'RFM input'!$H$60:$Q$60,0),INDEX('RFM input'!$K$7:$K$56,$A1796,1))))</f>
        <v>0</v>
      </c>
      <c r="O1797" s="1417">
        <f>IF(LEFT(O$6,4)&lt;=LEFT('RFM input'!$G$60,4),"enter input",IF(LEFT(O$6,4)&gt;LEFT('RFM input'!$Q$60,4),0,IF(MATCH(O$6,'RFM input'!$H$60:$Q$60,0),INDEX('RFM input'!$K$7:$K$56,$A1796,1))))</f>
        <v>0</v>
      </c>
      <c r="P1797" s="1417">
        <f>IF(LEFT(P$6,4)&lt;=LEFT('RFM input'!$G$60,4),"enter input",IF(LEFT(P$6,4)&gt;LEFT('RFM input'!$Q$60,4),0,IF(MATCH(P$6,'RFM input'!$H$60:$Q$60,0),INDEX('RFM input'!$K$7:$K$56,$A1796,1))))</f>
        <v>0</v>
      </c>
      <c r="Q1797" s="1417">
        <f>IF(LEFT(Q$6,4)&lt;=LEFT('RFM input'!$G$60,4),"enter input",IF(LEFT(Q$6,4)&gt;LEFT('RFM input'!$Q$60,4),0,IF(MATCH(Q$6,'RFM input'!$H$60:$Q$60,0),INDEX('RFM input'!$K$7:$K$56,$A1796,1))))</f>
        <v>0</v>
      </c>
      <c r="R1797" s="1417">
        <f>IF(LEFT(R$6,4)&lt;=LEFT('RFM input'!$G$60,4),"enter input",IF(LEFT(R$6,4)&gt;LEFT('RFM input'!$Q$60,4),0,IF(MATCH(R$6,'RFM input'!$H$60:$Q$60,0),INDEX('RFM input'!$K$7:$K$56,$A1796,1))))</f>
        <v>0</v>
      </c>
      <c r="S1797" s="1417">
        <f>IF(LEFT(S$6,4)&lt;=LEFT('RFM input'!$G$60,4),"enter input",IF(LEFT(S$6,4)&gt;LEFT('RFM input'!$Q$60,4),0,IF(MATCH(S$6,'RFM input'!$H$60:$Q$60,0),INDEX('RFM input'!$K$7:$K$56,$A1796,1))))</f>
        <v>0</v>
      </c>
      <c r="T1797" s="1417">
        <f>IF(LEFT(T$6,4)&lt;=LEFT('RFM input'!$G$60,4),"enter input",IF(LEFT(T$6,4)&gt;LEFT('RFM input'!$Q$60,4),0,IF(MATCH(T$6,'RFM input'!$H$60:$Q$60,0),INDEX('RFM input'!$K$7:$K$56,$A1796,1))))</f>
        <v>0</v>
      </c>
      <c r="U1797" s="1417">
        <f>IF(LEFT(U$6,4)&lt;=LEFT('RFM input'!$G$60,4),"enter input",IF(LEFT(U$6,4)&gt;LEFT('RFM input'!$Q$60,4),0,IF(MATCH(U$6,'RFM input'!$H$60:$Q$60,0),INDEX('RFM input'!$K$7:$K$56,$A1796,1))))</f>
        <v>0</v>
      </c>
      <c r="V1797" s="1417">
        <f>IF(LEFT(V$6,4)&lt;=LEFT('RFM input'!$G$60,4),"enter input",IF(LEFT(V$6,4)&gt;LEFT('RFM input'!$Q$60,4),0,IF(MATCH(V$6,'RFM input'!$H$60:$Q$60,0),INDEX('RFM input'!$K$7:$K$56,$A1796,1))))</f>
        <v>0</v>
      </c>
      <c r="W1797" s="1417">
        <f>IF(LEFT(W$6,4)&lt;=LEFT('RFM input'!$G$60,4),"enter input",IF(LEFT(W$6,4)&gt;LEFT('RFM input'!$Q$60,4),0,IF(MATCH(W$6,'RFM input'!$H$60:$Q$60,0),INDEX('RFM input'!$K$7:$K$56,$A1796,1))))</f>
        <v>0</v>
      </c>
      <c r="X1797" s="152"/>
      <c r="Y1797" s="152"/>
      <c r="Z1797" s="152"/>
      <c r="AA1797" s="152"/>
      <c r="AB1797" s="152"/>
    </row>
    <row r="1798" spans="1:28">
      <c r="A1798" s="152"/>
      <c r="B1798" s="177" t="s">
        <v>191</v>
      </c>
      <c r="C1798" s="1419"/>
      <c r="D1798" s="1420">
        <f ca="1">IF(LEFT(D$6,4)&lt;=LEFT('RFM input'!$G$60,4),"enter input",IF(LEFT(D$6,4)&gt;LEFT('RFM input'!$Q$60,4),0,IF(D$6=(OFFSET('RFM input'!$G$60,0,'RFM input'!$V$7)),OFFSET('RFM input'!$G$411,$A1796,0),0)))</f>
        <v>0</v>
      </c>
      <c r="E1798" s="1417">
        <f ca="1">IF(LEFT(E$6,4)&lt;=LEFT('RFM input'!$G$60,4),"enter input",IF(LEFT(E$6,4)&gt;LEFT('RFM input'!$Q$60,4),0,IF(E$6=(OFFSET('RFM input'!$G$60,0,'RFM input'!$V$7)),OFFSET('RFM input'!$G$411,$A1796,0),0)))</f>
        <v>0</v>
      </c>
      <c r="F1798" s="1417">
        <f ca="1">IF(LEFT(F$6,4)&lt;=LEFT('RFM input'!$G$60,4),"enter input",IF(LEFT(F$6,4)&gt;LEFT('RFM input'!$Q$60,4),0,IF(F$6=(OFFSET('RFM input'!$G$60,0,'RFM input'!$V$7)),OFFSET('RFM input'!$G$411,$A1796,0),0)))</f>
        <v>0</v>
      </c>
      <c r="G1798" s="1417">
        <f ca="1">IF(LEFT(G$6,4)&lt;=LEFT('RFM input'!$G$60,4),"enter input",IF(LEFT(G$6,4)&gt;LEFT('RFM input'!$Q$60,4),0,IF(G$6=(OFFSET('RFM input'!$G$60,0,'RFM input'!$V$7)),OFFSET('RFM input'!$G$411,$A1796,0),0)))</f>
        <v>0</v>
      </c>
      <c r="H1798" s="1417">
        <f ca="1">IF(LEFT(H$6,4)&lt;=LEFT('RFM input'!$G$60,4),"enter input",IF(LEFT(H$6,4)&gt;LEFT('RFM input'!$Q$60,4),0,IF(H$6=(OFFSET('RFM input'!$G$60,0,'RFM input'!$V$7)),OFFSET('RFM input'!$G$411,$A1796,0),0)))</f>
        <v>0</v>
      </c>
      <c r="I1798" s="1417">
        <f ca="1">IF(LEFT(I$6,4)&lt;=LEFT('RFM input'!$G$60,4),"enter input",IF(LEFT(I$6,4)&gt;LEFT('RFM input'!$Q$60,4),0,IF(I$6=(OFFSET('RFM input'!$G$60,0,'RFM input'!$V$7)),OFFSET('RFM input'!$G$411,$A1796,0),0)))</f>
        <v>0</v>
      </c>
      <c r="J1798" s="1417">
        <f ca="1">IF(LEFT(J$6,4)&lt;=LEFT('RFM input'!$G$60,4),"enter input",IF(LEFT(J$6,4)&gt;LEFT('RFM input'!$Q$60,4),0,IF(J$6=(OFFSET('RFM input'!$G$60,0,'RFM input'!$V$7)),OFFSET('RFM input'!$G$411,$A1796,0),0)))</f>
        <v>0</v>
      </c>
      <c r="K1798" s="1417">
        <f ca="1">IF(LEFT(K$6,4)&lt;=LEFT('RFM input'!$G$60,4),"enter input",IF(LEFT(K$6,4)&gt;LEFT('RFM input'!$Q$60,4),0,IF(K$6=(OFFSET('RFM input'!$G$60,0,'RFM input'!$V$7)),OFFSET('RFM input'!$G$411,$A1796,0),0)))</f>
        <v>0</v>
      </c>
      <c r="L1798" s="1417">
        <f ca="1">IF(LEFT(L$6,4)&lt;=LEFT('RFM input'!$G$60,4),"enter input",IF(LEFT(L$6,4)&gt;LEFT('RFM input'!$Q$60,4),0,IF(L$6=(OFFSET('RFM input'!$G$60,0,'RFM input'!$V$7)),OFFSET('RFM input'!$G$411,$A1796,0),0)))</f>
        <v>0</v>
      </c>
      <c r="M1798" s="1417">
        <f ca="1">IF(LEFT(M$6,4)&lt;=LEFT('RFM input'!$G$60,4),"enter input",IF(LEFT(M$6,4)&gt;LEFT('RFM input'!$Q$60,4),0,IF(M$6=(OFFSET('RFM input'!$G$60,0,'RFM input'!$V$7)),OFFSET('RFM input'!$G$411,$A1796,0),0)))</f>
        <v>0</v>
      </c>
      <c r="N1798" s="1417">
        <f ca="1">IF(LEFT(N$6,4)&lt;=LEFT('RFM input'!$G$60,4),"enter input",IF(LEFT(N$6,4)&gt;LEFT('RFM input'!$Q$60,4),0,IF(N$6=(OFFSET('RFM input'!$G$60,0,'RFM input'!$V$7)),OFFSET('RFM input'!$G$411,$A1796,0),0)))</f>
        <v>0</v>
      </c>
      <c r="O1798" s="1417">
        <f ca="1">IF(LEFT(O$6,4)&lt;=LEFT('RFM input'!$G$60,4),"enter input",IF(LEFT(O$6,4)&gt;LEFT('RFM input'!$Q$60,4),0,IF(O$6=(OFFSET('RFM input'!$G$60,0,'RFM input'!$V$7)),OFFSET('RFM input'!$G$411,$A1796,0),0)))</f>
        <v>0</v>
      </c>
      <c r="P1798" s="1417">
        <f ca="1">IF(LEFT(P$6,4)&lt;=LEFT('RFM input'!$G$60,4),"enter input",IF(LEFT(P$6,4)&gt;LEFT('RFM input'!$Q$60,4),0,IF(P$6=(OFFSET('RFM input'!$G$60,0,'RFM input'!$V$7)),OFFSET('RFM input'!$G$411,$A1796,0),0)))</f>
        <v>0</v>
      </c>
      <c r="Q1798" s="1417">
        <f ca="1">IF(LEFT(Q$6,4)&lt;=LEFT('RFM input'!$G$60,4),"enter input",IF(LEFT(Q$6,4)&gt;LEFT('RFM input'!$Q$60,4),0,IF(Q$6=(OFFSET('RFM input'!$G$60,0,'RFM input'!$V$7)),OFFSET('RFM input'!$G$411,$A1796,0),0)))</f>
        <v>0</v>
      </c>
      <c r="R1798" s="1417">
        <f ca="1">IF(LEFT(R$6,4)&lt;=LEFT('RFM input'!$G$60,4),"enter input",IF(LEFT(R$6,4)&gt;LEFT('RFM input'!$Q$60,4),0,IF(R$6=(OFFSET('RFM input'!$G$60,0,'RFM input'!$V$7)),OFFSET('RFM input'!$G$411,$A1796,0),0)))</f>
        <v>0</v>
      </c>
      <c r="S1798" s="1417">
        <f ca="1">IF(LEFT(S$6,4)&lt;=LEFT('RFM input'!$G$60,4),"enter input",IF(LEFT(S$6,4)&gt;LEFT('RFM input'!$Q$60,4),0,IF(S$6=(OFFSET('RFM input'!$G$60,0,'RFM input'!$V$7)),OFFSET('RFM input'!$G$411,$A1796,0),0)))</f>
        <v>0</v>
      </c>
      <c r="T1798" s="1417">
        <f ca="1">IF(LEFT(T$6,4)&lt;=LEFT('RFM input'!$G$60,4),"enter input",IF(LEFT(T$6,4)&gt;LEFT('RFM input'!$Q$60,4),0,IF(T$6=(OFFSET('RFM input'!$G$60,0,'RFM input'!$V$7)),OFFSET('RFM input'!$G$411,$A1796,0),0)))</f>
        <v>0</v>
      </c>
      <c r="U1798" s="1417">
        <f ca="1">IF(LEFT(U$6,4)&lt;=LEFT('RFM input'!$G$60,4),"enter input",IF(LEFT(U$6,4)&gt;LEFT('RFM input'!$Q$60,4),0,IF(U$6=(OFFSET('RFM input'!$G$60,0,'RFM input'!$V$7)),OFFSET('RFM input'!$G$411,$A1796,0),0)))</f>
        <v>0</v>
      </c>
      <c r="V1798" s="1417">
        <f ca="1">IF(LEFT(V$6,4)&lt;=LEFT('RFM input'!$G$60,4),"enter input",IF(LEFT(V$6,4)&gt;LEFT('RFM input'!$Q$60,4),0,IF(V$6=(OFFSET('RFM input'!$G$60,0,'RFM input'!$V$7)),OFFSET('RFM input'!$G$411,$A1796,0),0)))</f>
        <v>0</v>
      </c>
      <c r="W1798" s="1417">
        <f ca="1">IF(LEFT(W$6,4)&lt;=LEFT('RFM input'!$G$60,4),"enter input",IF(LEFT(W$6,4)&gt;LEFT('RFM input'!$Q$60,4),0,IF(W$6=(OFFSET('RFM input'!$G$60,0,'RFM input'!$V$7)),OFFSET('RFM input'!$G$411,$A1796,0),0)))</f>
        <v>0</v>
      </c>
      <c r="X1798" s="152"/>
      <c r="Y1798" s="152"/>
      <c r="Z1798" s="152"/>
      <c r="AA1798" s="152"/>
      <c r="AB1798" s="152"/>
    </row>
    <row r="1799" spans="1:28">
      <c r="A1799" s="152"/>
      <c r="B1799" s="195" t="s">
        <v>197</v>
      </c>
      <c r="C1799" s="1419"/>
      <c r="D1799" s="1418">
        <f ca="1">IF(LEFT(D$6,4)&lt;=LEFT('RFM input'!$G$60,4),"enter input",IF(LEFT(D$6,4)&gt;LEFT('RFM input'!$Q$60,4),0,IF(D$6=(OFFSET('RFM input'!$G$60,0,'RFM input'!$V$7)),OFFSET('RFM input'!$I$411,$A1796,0),0)))</f>
        <v>0</v>
      </c>
      <c r="E1799" s="1422">
        <f ca="1">IF(LEFT(E$6,4)&lt;=LEFT('RFM input'!$G$60,4),"enter input",IF(LEFT(E$6,4)&gt;LEFT('RFM input'!$Q$60,4),0,IF(E$6=(OFFSET('RFM input'!$G$60,0,'RFM input'!$V$7)),OFFSET('RFM input'!$I$411,$A1796,0),0)))</f>
        <v>0</v>
      </c>
      <c r="F1799" s="1422">
        <f ca="1">IF(LEFT(F$6,4)&lt;=LEFT('RFM input'!$G$60,4),"enter input",IF(LEFT(F$6,4)&gt;LEFT('RFM input'!$Q$60,4),0,IF(F$6=(OFFSET('RFM input'!$G$60,0,'RFM input'!$V$7)),OFFSET('RFM input'!$I$411,$A1796,0),0)))</f>
        <v>0</v>
      </c>
      <c r="G1799" s="1422">
        <f ca="1">IF(LEFT(G$6,4)&lt;=LEFT('RFM input'!$G$60,4),"enter input",IF(LEFT(G$6,4)&gt;LEFT('RFM input'!$Q$60,4),0,IF(G$6=(OFFSET('RFM input'!$G$60,0,'RFM input'!$V$7)),OFFSET('RFM input'!$I$411,$A1796,0),0)))</f>
        <v>0</v>
      </c>
      <c r="H1799" s="1422">
        <f ca="1">IF(LEFT(H$6,4)&lt;=LEFT('RFM input'!$G$60,4),"enter input",IF(LEFT(H$6,4)&gt;LEFT('RFM input'!$Q$60,4),0,IF(H$6=(OFFSET('RFM input'!$G$60,0,'RFM input'!$V$7)),OFFSET('RFM input'!$I$411,$A1796,0),0)))</f>
        <v>0</v>
      </c>
      <c r="I1799" s="1422">
        <f ca="1">IF(LEFT(I$6,4)&lt;=LEFT('RFM input'!$G$60,4),"enter input",IF(LEFT(I$6,4)&gt;LEFT('RFM input'!$Q$60,4),0,IF(I$6=(OFFSET('RFM input'!$G$60,0,'RFM input'!$V$7)),OFFSET('RFM input'!$I$411,$A1796,0),0)))</f>
        <v>0</v>
      </c>
      <c r="J1799" s="1422">
        <f ca="1">IF(LEFT(J$6,4)&lt;=LEFT('RFM input'!$G$60,4),"enter input",IF(LEFT(J$6,4)&gt;LEFT('RFM input'!$Q$60,4),0,IF(J$6=(OFFSET('RFM input'!$G$60,0,'RFM input'!$V$7)),OFFSET('RFM input'!$I$411,$A1796,0),0)))</f>
        <v>0</v>
      </c>
      <c r="K1799" s="1422">
        <f ca="1">IF(LEFT(K$6,4)&lt;=LEFT('RFM input'!$G$60,4),"enter input",IF(LEFT(K$6,4)&gt;LEFT('RFM input'!$Q$60,4),0,IF(K$6=(OFFSET('RFM input'!$G$60,0,'RFM input'!$V$7)),OFFSET('RFM input'!$I$411,$A1796,0),0)))</f>
        <v>0</v>
      </c>
      <c r="L1799" s="1422">
        <f ca="1">IF(LEFT(L$6,4)&lt;=LEFT('RFM input'!$G$60,4),"enter input",IF(LEFT(L$6,4)&gt;LEFT('RFM input'!$Q$60,4),0,IF(L$6=(OFFSET('RFM input'!$G$60,0,'RFM input'!$V$7)),OFFSET('RFM input'!$I$411,$A1796,0),0)))</f>
        <v>0</v>
      </c>
      <c r="M1799" s="1422">
        <f ca="1">IF(LEFT(M$6,4)&lt;=LEFT('RFM input'!$G$60,4),"enter input",IF(LEFT(M$6,4)&gt;LEFT('RFM input'!$Q$60,4),0,IF(M$6=(OFFSET('RFM input'!$G$60,0,'RFM input'!$V$7)),OFFSET('RFM input'!$I$411,$A1796,0),0)))</f>
        <v>0</v>
      </c>
      <c r="N1799" s="1422">
        <f ca="1">IF(LEFT(N$6,4)&lt;=LEFT('RFM input'!$G$60,4),"enter input",IF(LEFT(N$6,4)&gt;LEFT('RFM input'!$Q$60,4),0,IF(N$6=(OFFSET('RFM input'!$G$60,0,'RFM input'!$V$7)),OFFSET('RFM input'!$I$411,$A1796,0),0)))</f>
        <v>0</v>
      </c>
      <c r="O1799" s="1422">
        <f ca="1">IF(LEFT(O$6,4)&lt;=LEFT('RFM input'!$G$60,4),"enter input",IF(LEFT(O$6,4)&gt;LEFT('RFM input'!$Q$60,4),0,IF(O$6=(OFFSET('RFM input'!$G$60,0,'RFM input'!$V$7)),OFFSET('RFM input'!$I$411,$A1796,0),0)))</f>
        <v>0</v>
      </c>
      <c r="P1799" s="1422">
        <f ca="1">IF(LEFT(P$6,4)&lt;=LEFT('RFM input'!$G$60,4),"enter input",IF(LEFT(P$6,4)&gt;LEFT('RFM input'!$Q$60,4),0,IF(P$6=(OFFSET('RFM input'!$G$60,0,'RFM input'!$V$7)),OFFSET('RFM input'!$I$411,$A1796,0),0)))</f>
        <v>0</v>
      </c>
      <c r="Q1799" s="1422">
        <f ca="1">IF(LEFT(Q$6,4)&lt;=LEFT('RFM input'!$G$60,4),"enter input",IF(LEFT(Q$6,4)&gt;LEFT('RFM input'!$Q$60,4),0,IF(Q$6=(OFFSET('RFM input'!$G$60,0,'RFM input'!$V$7)),OFFSET('RFM input'!$I$411,$A1796,0),0)))</f>
        <v>0</v>
      </c>
      <c r="R1799" s="1422">
        <f ca="1">IF(LEFT(R$6,4)&lt;=LEFT('RFM input'!$G$60,4),"enter input",IF(LEFT(R$6,4)&gt;LEFT('RFM input'!$Q$60,4),0,IF(R$6=(OFFSET('RFM input'!$G$60,0,'RFM input'!$V$7)),OFFSET('RFM input'!$I$411,$A1796,0),0)))</f>
        <v>0</v>
      </c>
      <c r="S1799" s="1422">
        <f ca="1">IF(LEFT(S$6,4)&lt;=LEFT('RFM input'!$G$60,4),"enter input",IF(LEFT(S$6,4)&gt;LEFT('RFM input'!$Q$60,4),0,IF(S$6=(OFFSET('RFM input'!$G$60,0,'RFM input'!$V$7)),OFFSET('RFM input'!$I$411,$A1796,0),0)))</f>
        <v>0</v>
      </c>
      <c r="T1799" s="1422">
        <f ca="1">IF(LEFT(T$6,4)&lt;=LEFT('RFM input'!$G$60,4),"enter input",IF(LEFT(T$6,4)&gt;LEFT('RFM input'!$Q$60,4),0,IF(T$6=(OFFSET('RFM input'!$G$60,0,'RFM input'!$V$7)),OFFSET('RFM input'!$I$411,$A1796,0),0)))</f>
        <v>0</v>
      </c>
      <c r="U1799" s="1422">
        <f ca="1">IF(LEFT(U$6,4)&lt;=LEFT('RFM input'!$G$60,4),"enter input",IF(LEFT(U$6,4)&gt;LEFT('RFM input'!$Q$60,4),0,IF(U$6=(OFFSET('RFM input'!$G$60,0,'RFM input'!$V$7)),OFFSET('RFM input'!$I$411,$A1796,0),0)))</f>
        <v>0</v>
      </c>
      <c r="V1799" s="1422">
        <f ca="1">IF(LEFT(V$6,4)&lt;=LEFT('RFM input'!$G$60,4),"enter input",IF(LEFT(V$6,4)&gt;LEFT('RFM input'!$Q$60,4),0,IF(V$6=(OFFSET('RFM input'!$G$60,0,'RFM input'!$V$7)),OFFSET('RFM input'!$I$411,$A1796,0),0)))</f>
        <v>0</v>
      </c>
      <c r="W1799" s="1422">
        <f ca="1">IF(LEFT(W$6,4)&lt;=LEFT('RFM input'!$G$60,4),"enter input",IF(LEFT(W$6,4)&gt;LEFT('RFM input'!$Q$60,4),0,IF(W$6=(OFFSET('RFM input'!$G$60,0,'RFM input'!$V$7)),OFFSET('RFM input'!$I$411,$A1796,0),0)))</f>
        <v>0</v>
      </c>
      <c r="X1799" s="152"/>
      <c r="Y1799" s="152"/>
      <c r="Z1799" s="152"/>
      <c r="AA1799" s="152"/>
      <c r="AB1799" s="152"/>
    </row>
    <row r="1800" spans="1:28" hidden="1" outlineLevel="1">
      <c r="A1800" s="235">
        <v>-1</v>
      </c>
      <c r="B1800" s="190" t="s">
        <v>189</v>
      </c>
      <c r="C1800" s="1423"/>
      <c r="D1800" s="1423">
        <f ca="1">IF(AND(D1798=0,C1800=0),0,
IF(AND(D1798&lt;&gt;0,C1800=0),(D1798/D$10),
IF(AND(D1799&lt;&gt;0,C1800&lt;&gt;0),(C1800-(C1800/C1824))+(D1798/D$10),
IF(C1824&lt;1,0,(C1800-(C1800/C1824))))))</f>
        <v>0</v>
      </c>
      <c r="E1800" s="1423">
        <f t="shared" ref="E1800" ca="1" si="2638">IF(AND(E1798=0,D1800=0),0,
IF(AND(E1798&lt;&gt;0,D1800=0),(E1798/E$10),
IF(AND(E1799&lt;&gt;0,D1800&lt;&gt;0),(D1800-(D1800/D1824))+(E1798/E$10),
IF(D1824&lt;1,0,(D1800-(D1800/D1824))))))</f>
        <v>0</v>
      </c>
      <c r="F1800" s="1423">
        <f t="shared" ref="F1800" ca="1" si="2639">IF(AND(F1798=0,E1800=0),0,
IF(AND(F1798&lt;&gt;0,E1800=0),(F1798/F$10),
IF(AND(F1799&lt;&gt;0,E1800&lt;&gt;0),(E1800-(E1800/E1824))+(F1798/F$10),
IF(E1824&lt;1,0,(E1800-(E1800/E1824))))))</f>
        <v>0</v>
      </c>
      <c r="G1800" s="1423">
        <f t="shared" ref="G1800" ca="1" si="2640">IF(AND(G1798=0,F1800=0),0,
IF(AND(G1798&lt;&gt;0,F1800=0),(G1798/G$10),
IF(AND(G1799&lt;&gt;0,F1800&lt;&gt;0),(F1800-(F1800/F1824))+(G1798/G$10),
IF(F1824&lt;1,0,(F1800-(F1800/F1824))))))</f>
        <v>0</v>
      </c>
      <c r="H1800" s="1423">
        <f t="shared" ref="H1800" ca="1" si="2641">IF(AND(H1798=0,G1800=0),0,
IF(AND(H1798&lt;&gt;0,G1800=0),(H1798/H$10),
IF(AND(H1799&lt;&gt;0,G1800&lt;&gt;0),(G1800-(G1800/G1824))+(H1798/H$10),
IF(G1824&lt;1,0,(G1800-(G1800/G1824))))))</f>
        <v>0</v>
      </c>
      <c r="I1800" s="1423">
        <f t="shared" ref="I1800" ca="1" si="2642">IF(AND(I1798=0,H1800=0),0,
IF(AND(I1798&lt;&gt;0,H1800=0),(I1798/I$10),
IF(AND(I1799&lt;&gt;0,H1800&lt;&gt;0),(H1800-(H1800/H1824))+(I1798/I$10),
IF(H1824&lt;1,0,(H1800-(H1800/H1824))))))</f>
        <v>0</v>
      </c>
      <c r="J1800" s="1423">
        <f t="shared" ref="J1800" ca="1" si="2643">IF(AND(J1798=0,I1800=0),0,
IF(AND(J1798&lt;&gt;0,I1800=0),(J1798/J$10),
IF(AND(J1799&lt;&gt;0,I1800&lt;&gt;0),(I1800-(I1800/I1824))+(J1798/J$10),
IF(I1824&lt;1,0,(I1800-(I1800/I1824))))))</f>
        <v>0</v>
      </c>
      <c r="K1800" s="1423">
        <f t="shared" ref="K1800" ca="1" si="2644">IF(AND(K1798=0,J1800=0),0,
IF(AND(K1798&lt;&gt;0,J1800=0),(K1798/K$10),
IF(AND(K1799&lt;&gt;0,J1800&lt;&gt;0),(J1800-(J1800/J1824))+(K1798/K$10),
IF(J1824&lt;1,0,(J1800-(J1800/J1824))))))</f>
        <v>0</v>
      </c>
      <c r="L1800" s="1423">
        <f t="shared" ref="L1800" ca="1" si="2645">IF(AND(L1798=0,K1800=0),0,
IF(AND(L1798&lt;&gt;0,K1800=0),(L1798/L$10),
IF(AND(L1799&lt;&gt;0,K1800&lt;&gt;0),(K1800-(K1800/K1824))+(L1798/L$10),
IF(K1824&lt;1,0,(K1800-(K1800/K1824))))))</f>
        <v>0</v>
      </c>
      <c r="M1800" s="1423">
        <f t="shared" ref="M1800" ca="1" si="2646">IF(AND(M1798=0,L1800=0),0,
IF(AND(M1798&lt;&gt;0,L1800=0),(M1798/M$10),
IF(AND(M1799&lt;&gt;0,L1800&lt;&gt;0),(L1800-(L1800/L1824))+(M1798/M$10),
IF(L1824&lt;1,0,(L1800-(L1800/L1824))))))</f>
        <v>0</v>
      </c>
      <c r="N1800" s="1423">
        <f t="shared" ref="N1800" ca="1" si="2647">IF(AND(N1798=0,M1800=0),0,
IF(AND(N1798&lt;&gt;0,M1800=0),(N1798/N$10),
IF(AND(N1799&lt;&gt;0,M1800&lt;&gt;0),(M1800-(M1800/M1824))+(N1798/N$10),
IF(M1824&lt;1,0,(M1800-(M1800/M1824))))))</f>
        <v>0</v>
      </c>
      <c r="O1800" s="1423">
        <f t="shared" ref="O1800" ca="1" si="2648">IF(AND(O1798=0,N1800=0),0,
IF(AND(O1798&lt;&gt;0,N1800=0),(O1798/O$10),
IF(AND(O1799&lt;&gt;0,N1800&lt;&gt;0),(N1800-(N1800/N1824))+(O1798/O$10),
IF(N1824&lt;1,0,(N1800-(N1800/N1824))))))</f>
        <v>0</v>
      </c>
      <c r="P1800" s="1423">
        <f t="shared" ref="P1800" ca="1" si="2649">IF(AND(P1798=0,O1800=0),0,
IF(AND(P1798&lt;&gt;0,O1800=0),(P1798/P$10),
IF(AND(P1799&lt;&gt;0,O1800&lt;&gt;0),(O1800-(O1800/O1824))+(P1798/P$10),
IF(O1824&lt;1,0,(O1800-(O1800/O1824))))))</f>
        <v>0</v>
      </c>
      <c r="Q1800" s="1423">
        <f t="shared" ref="Q1800" ca="1" si="2650">IF(AND(Q1798=0,P1800=0),0,
IF(AND(Q1798&lt;&gt;0,P1800=0),(Q1798/Q$10),
IF(AND(Q1799&lt;&gt;0,P1800&lt;&gt;0),(P1800-(P1800/P1824))+(Q1798/Q$10),
IF(P1824&lt;1,0,(P1800-(P1800/P1824))))))</f>
        <v>0</v>
      </c>
      <c r="R1800" s="1423">
        <f t="shared" ref="R1800" ca="1" si="2651">IF(AND(R1798=0,Q1800=0),0,
IF(AND(R1798&lt;&gt;0,Q1800=0),(R1798/R$10),
IF(AND(R1799&lt;&gt;0,Q1800&lt;&gt;0),(Q1800-(Q1800/Q1824))+(R1798/R$10),
IF(Q1824&lt;1,0,(Q1800-(Q1800/Q1824))))))</f>
        <v>0</v>
      </c>
      <c r="S1800" s="1423">
        <f t="shared" ref="S1800" ca="1" si="2652">IF(AND(S1798=0,R1800=0),0,
IF(AND(S1798&lt;&gt;0,R1800=0),(S1798/S$10),
IF(AND(S1799&lt;&gt;0,R1800&lt;&gt;0),(R1800-(R1800/R1824))+(S1798/S$10),
IF(R1824&lt;1,0,(R1800-(R1800/R1824))))))</f>
        <v>0</v>
      </c>
      <c r="T1800" s="1423">
        <f t="shared" ref="T1800" ca="1" si="2653">IF(AND(T1798=0,S1800=0),0,
IF(AND(T1798&lt;&gt;0,S1800=0),(T1798/T$10),
IF(AND(T1799&lt;&gt;0,S1800&lt;&gt;0),(S1800-(S1800/S1824))+(T1798/T$10),
IF(S1824&lt;1,0,(S1800-(S1800/S1824))))))</f>
        <v>0</v>
      </c>
      <c r="U1800" s="1423">
        <f t="shared" ref="U1800" ca="1" si="2654">IF(AND(U1798=0,T1800=0),0,
IF(AND(U1798&lt;&gt;0,T1800=0),(U1798/U$10),
IF(AND(U1799&lt;&gt;0,T1800&lt;&gt;0),(T1800-(T1800/T1824))+(U1798/U$10),
IF(T1824&lt;1,0,(T1800-(T1800/T1824))))))</f>
        <v>0</v>
      </c>
      <c r="V1800" s="1423">
        <f t="shared" ref="V1800" ca="1" si="2655">IF(AND(V1798=0,U1800=0),0,
IF(AND(V1798&lt;&gt;0,U1800=0),(V1798/V$10),
IF(AND(V1799&lt;&gt;0,U1800&lt;&gt;0),(U1800-(U1800/U1824))+(V1798/V$10),
IF(U1824&lt;1,0,(U1800-(U1800/U1824))))))</f>
        <v>0</v>
      </c>
      <c r="W1800" s="1423">
        <f t="shared" ref="W1800" ca="1" si="2656">IF(AND(W1798=0,V1800=0),0,
IF(AND(W1798&lt;&gt;0,V1800=0),(W1798/W$10),
IF(AND(W1799&lt;&gt;0,V1800&lt;&gt;0),(V1800-(V1800/V1824))+(W1798/W$10),
IF(V1824&lt;1,0,(V1800-(V1800/V1824))))))</f>
        <v>0</v>
      </c>
      <c r="X1800" s="152"/>
      <c r="Y1800" s="152"/>
      <c r="Z1800" s="152"/>
      <c r="AA1800" s="152"/>
      <c r="AB1800" s="152"/>
    </row>
    <row r="1801" spans="1:28" hidden="1" outlineLevel="1">
      <c r="A1801" s="199">
        <f>A1800+1</f>
        <v>0</v>
      </c>
      <c r="B1801" s="190" t="s">
        <v>125</v>
      </c>
      <c r="C1801" s="1423">
        <f ca="1">C1796/C$10</f>
        <v>0</v>
      </c>
      <c r="D1801" s="1423">
        <f ca="1">IF(C1825="n/a",C1801,IFERROR(IF((OFFSET($C1801,0,$A1801))&lt;0,
MIN(0,C1801-(OFFSET($C1801,0,$A1801)/(OFFSET($C1796,-$A1800,$A1801)))),
MAX(0,C1801-(OFFSET($C1801,0,$A1801)/(OFFSET($C1796,-$A1800,$A1801))))),0))</f>
        <v>0</v>
      </c>
      <c r="E1801" s="1423">
        <f t="shared" ref="E1801" ca="1" si="2657">IF(D1825="n/a",D1801,IFERROR(IF((OFFSET($C1801,0,$A1801))&lt;0,
MIN(0,D1801-(OFFSET($C1801,0,$A1801)/(OFFSET($C1796,-$A1800,$A1801)))),
MAX(0,D1801-(OFFSET($C1801,0,$A1801)/(OFFSET($C1796,-$A1800,$A1801))))),0))</f>
        <v>0</v>
      </c>
      <c r="F1801" s="1423">
        <f t="shared" ref="F1801:F1802" ca="1" si="2658">IF(E1825="n/a",E1801,IFERROR(IF((OFFSET($C1801,0,$A1801))&lt;0,
MIN(0,E1801-(OFFSET($C1801,0,$A1801)/(OFFSET($C1796,-$A1800,$A1801)))),
MAX(0,E1801-(OFFSET($C1801,0,$A1801)/(OFFSET($C1796,-$A1800,$A1801))))),0))</f>
        <v>0</v>
      </c>
      <c r="G1801" s="1423">
        <f t="shared" ref="G1801:G1803" ca="1" si="2659">IF(F1825="n/a",F1801,IFERROR(IF((OFFSET($C1801,0,$A1801))&lt;0,
MIN(0,F1801-(OFFSET($C1801,0,$A1801)/(OFFSET($C1796,-$A1800,$A1801)))),
MAX(0,F1801-(OFFSET($C1801,0,$A1801)/(OFFSET($C1796,-$A1800,$A1801))))),0))</f>
        <v>0</v>
      </c>
      <c r="H1801" s="1423">
        <f t="shared" ref="H1801:H1804" ca="1" si="2660">IF(G1825="n/a",G1801,IFERROR(IF((OFFSET($C1801,0,$A1801))&lt;0,
MIN(0,G1801-(OFFSET($C1801,0,$A1801)/(OFFSET($C1796,-$A1800,$A1801)))),
MAX(0,G1801-(OFFSET($C1801,0,$A1801)/(OFFSET($C1796,-$A1800,$A1801))))),0))</f>
        <v>0</v>
      </c>
      <c r="I1801" s="1423">
        <f t="shared" ref="I1801:I1805" ca="1" si="2661">IF(H1825="n/a",H1801,IFERROR(IF((OFFSET($C1801,0,$A1801))&lt;0,
MIN(0,H1801-(OFFSET($C1801,0,$A1801)/(OFFSET($C1796,-$A1800,$A1801)))),
MAX(0,H1801-(OFFSET($C1801,0,$A1801)/(OFFSET($C1796,-$A1800,$A1801))))),0))</f>
        <v>0</v>
      </c>
      <c r="J1801" s="1423">
        <f t="shared" ref="J1801:J1806" ca="1" si="2662">IF(I1825="n/a",I1801,IFERROR(IF((OFFSET($C1801,0,$A1801))&lt;0,
MIN(0,I1801-(OFFSET($C1801,0,$A1801)/(OFFSET($C1796,-$A1800,$A1801)))),
MAX(0,I1801-(OFFSET($C1801,0,$A1801)/(OFFSET($C1796,-$A1800,$A1801))))),0))</f>
        <v>0</v>
      </c>
      <c r="K1801" s="1423">
        <f t="shared" ref="K1801:K1807" ca="1" si="2663">IF(J1825="n/a",J1801,IFERROR(IF((OFFSET($C1801,0,$A1801))&lt;0,
MIN(0,J1801-(OFFSET($C1801,0,$A1801)/(OFFSET($C1796,-$A1800,$A1801)))),
MAX(0,J1801-(OFFSET($C1801,0,$A1801)/(OFFSET($C1796,-$A1800,$A1801))))),0))</f>
        <v>0</v>
      </c>
      <c r="L1801" s="1423">
        <f t="shared" ref="L1801:L1808" ca="1" si="2664">IF(K1825="n/a",K1801,IFERROR(IF((OFFSET($C1801,0,$A1801))&lt;0,
MIN(0,K1801-(OFFSET($C1801,0,$A1801)/(OFFSET($C1796,-$A1800,$A1801)))),
MAX(0,K1801-(OFFSET($C1801,0,$A1801)/(OFFSET($C1796,-$A1800,$A1801))))),0))</f>
        <v>0</v>
      </c>
      <c r="M1801" s="1423">
        <f t="shared" ref="M1801:M1809" ca="1" si="2665">IF(L1825="n/a",L1801,IFERROR(IF((OFFSET($C1801,0,$A1801))&lt;0,
MIN(0,L1801-(OFFSET($C1801,0,$A1801)/(OFFSET($C1796,-$A1800,$A1801)))),
MAX(0,L1801-(OFFSET($C1801,0,$A1801)/(OFFSET($C1796,-$A1800,$A1801))))),0))</f>
        <v>0</v>
      </c>
      <c r="N1801" s="1423">
        <f t="shared" ref="N1801:N1810" ca="1" si="2666">IF(M1825="n/a",M1801,IFERROR(IF((OFFSET($C1801,0,$A1801))&lt;0,
MIN(0,M1801-(OFFSET($C1801,0,$A1801)/(OFFSET($C1796,-$A1800,$A1801)))),
MAX(0,M1801-(OFFSET($C1801,0,$A1801)/(OFFSET($C1796,-$A1800,$A1801))))),0))</f>
        <v>0</v>
      </c>
      <c r="O1801" s="1423">
        <f t="shared" ref="O1801:O1811" ca="1" si="2667">IF(N1825="n/a",N1801,IFERROR(IF((OFFSET($C1801,0,$A1801))&lt;0,
MIN(0,N1801-(OFFSET($C1801,0,$A1801)/(OFFSET($C1796,-$A1800,$A1801)))),
MAX(0,N1801-(OFFSET($C1801,0,$A1801)/(OFFSET($C1796,-$A1800,$A1801))))),0))</f>
        <v>0</v>
      </c>
      <c r="P1801" s="1423">
        <f t="shared" ref="P1801:P1812" ca="1" si="2668">IF(O1825="n/a",O1801,IFERROR(IF((OFFSET($C1801,0,$A1801))&lt;0,
MIN(0,O1801-(OFFSET($C1801,0,$A1801)/(OFFSET($C1796,-$A1800,$A1801)))),
MAX(0,O1801-(OFFSET($C1801,0,$A1801)/(OFFSET($C1796,-$A1800,$A1801))))),0))</f>
        <v>0</v>
      </c>
      <c r="Q1801" s="1423">
        <f t="shared" ref="Q1801:Q1813" ca="1" si="2669">IF(P1825="n/a",P1801,IFERROR(IF((OFFSET($C1801,0,$A1801))&lt;0,
MIN(0,P1801-(OFFSET($C1801,0,$A1801)/(OFFSET($C1796,-$A1800,$A1801)))),
MAX(0,P1801-(OFFSET($C1801,0,$A1801)/(OFFSET($C1796,-$A1800,$A1801))))),0))</f>
        <v>0</v>
      </c>
      <c r="R1801" s="1423">
        <f t="shared" ref="R1801:R1814" ca="1" si="2670">IF(Q1825="n/a",Q1801,IFERROR(IF((OFFSET($C1801,0,$A1801))&lt;0,
MIN(0,Q1801-(OFFSET($C1801,0,$A1801)/(OFFSET($C1796,-$A1800,$A1801)))),
MAX(0,Q1801-(OFFSET($C1801,0,$A1801)/(OFFSET($C1796,-$A1800,$A1801))))),0))</f>
        <v>0</v>
      </c>
      <c r="S1801" s="1423">
        <f t="shared" ref="S1801:S1815" ca="1" si="2671">IF(R1825="n/a",R1801,IFERROR(IF((OFFSET($C1801,0,$A1801))&lt;0,
MIN(0,R1801-(OFFSET($C1801,0,$A1801)/(OFFSET($C1796,-$A1800,$A1801)))),
MAX(0,R1801-(OFFSET($C1801,0,$A1801)/(OFFSET($C1796,-$A1800,$A1801))))),0))</f>
        <v>0</v>
      </c>
      <c r="T1801" s="1423">
        <f t="shared" ref="T1801:T1816" ca="1" si="2672">IF(S1825="n/a",S1801,IFERROR(IF((OFFSET($C1801,0,$A1801))&lt;0,
MIN(0,S1801-(OFFSET($C1801,0,$A1801)/(OFFSET($C1796,-$A1800,$A1801)))),
MAX(0,S1801-(OFFSET($C1801,0,$A1801)/(OFFSET($C1796,-$A1800,$A1801))))),0))</f>
        <v>0</v>
      </c>
      <c r="U1801" s="1423">
        <f t="shared" ref="U1801:U1817" ca="1" si="2673">IF(T1825="n/a",T1801,IFERROR(IF((OFFSET($C1801,0,$A1801))&lt;0,
MIN(0,T1801-(OFFSET($C1801,0,$A1801)/(OFFSET($C1796,-$A1800,$A1801)))),
MAX(0,T1801-(OFFSET($C1801,0,$A1801)/(OFFSET($C1796,-$A1800,$A1801))))),0))</f>
        <v>0</v>
      </c>
      <c r="V1801" s="1423">
        <f t="shared" ref="V1801:V1818" ca="1" si="2674">IF(U1825="n/a",U1801,IFERROR(IF((OFFSET($C1801,0,$A1801))&lt;0,
MIN(0,U1801-(OFFSET($C1801,0,$A1801)/(OFFSET($C1796,-$A1800,$A1801)))),
MAX(0,U1801-(OFFSET($C1801,0,$A1801)/(OFFSET($C1796,-$A1800,$A1801))))),0))</f>
        <v>0</v>
      </c>
      <c r="W1801" s="1423">
        <f t="shared" ref="W1801:W1819" ca="1" si="2675">IF(V1825="n/a",V1801,IFERROR(IF((OFFSET($C1801,0,$A1801))&lt;0,
MIN(0,V1801-(OFFSET($C1801,0,$A1801)/(OFFSET($C1796,-$A1800,$A1801)))),
MAX(0,V1801-(OFFSET($C1801,0,$A1801)/(OFFSET($C1796,-$A1800,$A1801))))),0))</f>
        <v>0</v>
      </c>
      <c r="X1801" s="152"/>
      <c r="Y1801" s="152"/>
      <c r="Z1801" s="152"/>
      <c r="AA1801" s="152"/>
      <c r="AB1801" s="152"/>
    </row>
    <row r="1802" spans="1:28" hidden="1" outlineLevel="1">
      <c r="A1802" s="199">
        <f t="shared" ref="A1802:A1821" si="2676">A1801+1</f>
        <v>1</v>
      </c>
      <c r="B1802" s="190" t="str">
        <f t="shared" ref="B1802:B1820" ca="1" si="2677">"Depreciated Net Capex "&amp;OFFSET($C$6,0,A1802)</f>
        <v>Depreciated Net Capex 2016-17</v>
      </c>
      <c r="C1802" s="1424"/>
      <c r="D1802" s="1425">
        <f>(D1796*((1+D$11)^0.5)/D$10)</f>
        <v>0</v>
      </c>
      <c r="E1802" s="1423">
        <f ca="1">IF(D1826="n/a",D1802,IFERROR(IF((OFFSET($C1802,0,$A1802))&lt;0,
MIN(0,D1802-(OFFSET($C1802,0,$A1802)/(OFFSET($C1797,-$A1801,$A1802)))),
MAX(0,D1802-(OFFSET($C1802,0,$A1802)/(OFFSET($C1797,-$A1801,$A1802))))),0))</f>
        <v>0</v>
      </c>
      <c r="F1802" s="1423">
        <f t="shared" ca="1" si="2658"/>
        <v>0</v>
      </c>
      <c r="G1802" s="1423">
        <f t="shared" ca="1" si="2659"/>
        <v>0</v>
      </c>
      <c r="H1802" s="1423">
        <f t="shared" ca="1" si="2660"/>
        <v>0</v>
      </c>
      <c r="I1802" s="1423">
        <f t="shared" ca="1" si="2661"/>
        <v>0</v>
      </c>
      <c r="J1802" s="1423">
        <f t="shared" ca="1" si="2662"/>
        <v>0</v>
      </c>
      <c r="K1802" s="1423">
        <f t="shared" ca="1" si="2663"/>
        <v>0</v>
      </c>
      <c r="L1802" s="1423">
        <f t="shared" ca="1" si="2664"/>
        <v>0</v>
      </c>
      <c r="M1802" s="1423">
        <f t="shared" ca="1" si="2665"/>
        <v>0</v>
      </c>
      <c r="N1802" s="1423">
        <f t="shared" ca="1" si="2666"/>
        <v>0</v>
      </c>
      <c r="O1802" s="1423">
        <f t="shared" ca="1" si="2667"/>
        <v>0</v>
      </c>
      <c r="P1802" s="1423">
        <f t="shared" ca="1" si="2668"/>
        <v>0</v>
      </c>
      <c r="Q1802" s="1423">
        <f t="shared" ca="1" si="2669"/>
        <v>0</v>
      </c>
      <c r="R1802" s="1423">
        <f t="shared" ca="1" si="2670"/>
        <v>0</v>
      </c>
      <c r="S1802" s="1423">
        <f t="shared" ca="1" si="2671"/>
        <v>0</v>
      </c>
      <c r="T1802" s="1423">
        <f t="shared" ca="1" si="2672"/>
        <v>0</v>
      </c>
      <c r="U1802" s="1423">
        <f t="shared" ca="1" si="2673"/>
        <v>0</v>
      </c>
      <c r="V1802" s="1423">
        <f t="shared" ca="1" si="2674"/>
        <v>0</v>
      </c>
      <c r="W1802" s="1423">
        <f t="shared" ca="1" si="2675"/>
        <v>0</v>
      </c>
      <c r="X1802" s="152"/>
      <c r="Y1802" s="152"/>
      <c r="Z1802" s="152"/>
      <c r="AA1802" s="152"/>
      <c r="AB1802" s="152"/>
    </row>
    <row r="1803" spans="1:28" hidden="1" outlineLevel="1">
      <c r="A1803" s="199">
        <f t="shared" si="2676"/>
        <v>2</v>
      </c>
      <c r="B1803" s="190" t="str">
        <f t="shared" ca="1" si="2677"/>
        <v>Depreciated Net Capex 2017-18</v>
      </c>
      <c r="C1803" s="1426"/>
      <c r="D1803" s="1427"/>
      <c r="E1803" s="1425">
        <f>(E1796*((1+E$11)^0.5)/E$10)</f>
        <v>0</v>
      </c>
      <c r="F1803" s="1423">
        <f ca="1">IF(E1827="n/a",E1803,IFERROR(IF((OFFSET($C1803,0,$A1803))&lt;0,
MIN(0,E1803-(OFFSET($C1803,0,$A1803)/(OFFSET($C1798,-$A1802,$A1803)))),
MAX(0,E1803-(OFFSET($C1803,0,$A1803)/(OFFSET($C1798,-$A1802,$A1803))))),0))</f>
        <v>0</v>
      </c>
      <c r="G1803" s="1423">
        <f t="shared" ca="1" si="2659"/>
        <v>0</v>
      </c>
      <c r="H1803" s="1423">
        <f t="shared" ca="1" si="2660"/>
        <v>0</v>
      </c>
      <c r="I1803" s="1423">
        <f t="shared" ca="1" si="2661"/>
        <v>0</v>
      </c>
      <c r="J1803" s="1423">
        <f t="shared" ca="1" si="2662"/>
        <v>0</v>
      </c>
      <c r="K1803" s="1423">
        <f t="shared" ca="1" si="2663"/>
        <v>0</v>
      </c>
      <c r="L1803" s="1423">
        <f t="shared" ca="1" si="2664"/>
        <v>0</v>
      </c>
      <c r="M1803" s="1423">
        <f t="shared" ca="1" si="2665"/>
        <v>0</v>
      </c>
      <c r="N1803" s="1423">
        <f t="shared" ca="1" si="2666"/>
        <v>0</v>
      </c>
      <c r="O1803" s="1423">
        <f t="shared" ca="1" si="2667"/>
        <v>0</v>
      </c>
      <c r="P1803" s="1423">
        <f t="shared" ca="1" si="2668"/>
        <v>0</v>
      </c>
      <c r="Q1803" s="1423">
        <f t="shared" ca="1" si="2669"/>
        <v>0</v>
      </c>
      <c r="R1803" s="1423">
        <f t="shared" ca="1" si="2670"/>
        <v>0</v>
      </c>
      <c r="S1803" s="1423">
        <f t="shared" ca="1" si="2671"/>
        <v>0</v>
      </c>
      <c r="T1803" s="1423">
        <f t="shared" ca="1" si="2672"/>
        <v>0</v>
      </c>
      <c r="U1803" s="1423">
        <f t="shared" ca="1" si="2673"/>
        <v>0</v>
      </c>
      <c r="V1803" s="1423">
        <f t="shared" ca="1" si="2674"/>
        <v>0</v>
      </c>
      <c r="W1803" s="1423">
        <f t="shared" ca="1" si="2675"/>
        <v>0</v>
      </c>
      <c r="X1803" s="202"/>
      <c r="Y1803" s="152"/>
      <c r="Z1803" s="152"/>
      <c r="AA1803" s="152"/>
      <c r="AB1803" s="152"/>
    </row>
    <row r="1804" spans="1:28" hidden="1" outlineLevel="1">
      <c r="A1804" s="199">
        <f t="shared" si="2676"/>
        <v>3</v>
      </c>
      <c r="B1804" s="190" t="str">
        <f t="shared" ca="1" si="2677"/>
        <v>Depreciated Net Capex 2018-19</v>
      </c>
      <c r="C1804" s="1426"/>
      <c r="D1804" s="1426"/>
      <c r="E1804" s="1427"/>
      <c r="F1804" s="1428">
        <f>($F1796*((1+F$11)^0.5)/F$10)</f>
        <v>0</v>
      </c>
      <c r="G1804" s="1423">
        <f ca="1">IF(F1828="n/a",F1804,IFERROR(IF((OFFSET($C1804,0,$A1804))&lt;0,
MIN(0,F1804-(OFFSET($C1804,0,$A1804)/(OFFSET($C1799,-$A1803,$A1804)))),
MAX(0,F1804-(OFFSET($C1804,0,$A1804)/(OFFSET($C1799,-$A1803,$A1804))))),0))</f>
        <v>0</v>
      </c>
      <c r="H1804" s="1423">
        <f t="shared" ca="1" si="2660"/>
        <v>0</v>
      </c>
      <c r="I1804" s="1423">
        <f t="shared" ca="1" si="2661"/>
        <v>0</v>
      </c>
      <c r="J1804" s="1423">
        <f t="shared" ca="1" si="2662"/>
        <v>0</v>
      </c>
      <c r="K1804" s="1423">
        <f t="shared" ca="1" si="2663"/>
        <v>0</v>
      </c>
      <c r="L1804" s="1423">
        <f t="shared" ca="1" si="2664"/>
        <v>0</v>
      </c>
      <c r="M1804" s="1423">
        <f t="shared" ca="1" si="2665"/>
        <v>0</v>
      </c>
      <c r="N1804" s="1423">
        <f t="shared" ca="1" si="2666"/>
        <v>0</v>
      </c>
      <c r="O1804" s="1423">
        <f t="shared" ca="1" si="2667"/>
        <v>0</v>
      </c>
      <c r="P1804" s="1423">
        <f t="shared" ca="1" si="2668"/>
        <v>0</v>
      </c>
      <c r="Q1804" s="1423">
        <f t="shared" ca="1" si="2669"/>
        <v>0</v>
      </c>
      <c r="R1804" s="1423">
        <f t="shared" ca="1" si="2670"/>
        <v>0</v>
      </c>
      <c r="S1804" s="1423">
        <f t="shared" ca="1" si="2671"/>
        <v>0</v>
      </c>
      <c r="T1804" s="1423">
        <f t="shared" ca="1" si="2672"/>
        <v>0</v>
      </c>
      <c r="U1804" s="1423">
        <f t="shared" ca="1" si="2673"/>
        <v>0</v>
      </c>
      <c r="V1804" s="1423">
        <f t="shared" ca="1" si="2674"/>
        <v>0</v>
      </c>
      <c r="W1804" s="1423">
        <f t="shared" ca="1" si="2675"/>
        <v>0</v>
      </c>
      <c r="X1804" s="202"/>
      <c r="Y1804" s="202"/>
      <c r="Z1804" s="152"/>
      <c r="AA1804" s="152"/>
      <c r="AB1804" s="152"/>
    </row>
    <row r="1805" spans="1:28" hidden="1" outlineLevel="1">
      <c r="A1805" s="199">
        <f t="shared" si="2676"/>
        <v>4</v>
      </c>
      <c r="B1805" s="190" t="str">
        <f t="shared" ca="1" si="2677"/>
        <v>Depreciated Net Capex 2019-20</v>
      </c>
      <c r="C1805" s="1426"/>
      <c r="D1805" s="1426"/>
      <c r="E1805" s="1426"/>
      <c r="F1805" s="1427"/>
      <c r="G1805" s="1428">
        <f>($G1796*((1+G$11)^0.5)/G$10)</f>
        <v>0</v>
      </c>
      <c r="H1805" s="1423">
        <f ca="1">IF(G1829="n/a",G1805,IFERROR(IF((OFFSET($C1805,0,$A1805))&lt;0,
MIN(0,G1805-(OFFSET($C1805,0,$A1805)/(OFFSET($C1800,-$A1804,$A1805)))),
MAX(0,G1805-(OFFSET($C1805,0,$A1805)/(OFFSET($C1800,-$A1804,$A1805))))),0))</f>
        <v>0</v>
      </c>
      <c r="I1805" s="1423">
        <f t="shared" ca="1" si="2661"/>
        <v>0</v>
      </c>
      <c r="J1805" s="1423">
        <f t="shared" ca="1" si="2662"/>
        <v>0</v>
      </c>
      <c r="K1805" s="1423">
        <f t="shared" ca="1" si="2663"/>
        <v>0</v>
      </c>
      <c r="L1805" s="1423">
        <f t="shared" ca="1" si="2664"/>
        <v>0</v>
      </c>
      <c r="M1805" s="1423">
        <f t="shared" ca="1" si="2665"/>
        <v>0</v>
      </c>
      <c r="N1805" s="1423">
        <f t="shared" ca="1" si="2666"/>
        <v>0</v>
      </c>
      <c r="O1805" s="1423">
        <f t="shared" ca="1" si="2667"/>
        <v>0</v>
      </c>
      <c r="P1805" s="1423">
        <f t="shared" ca="1" si="2668"/>
        <v>0</v>
      </c>
      <c r="Q1805" s="1423">
        <f t="shared" ca="1" si="2669"/>
        <v>0</v>
      </c>
      <c r="R1805" s="1423">
        <f t="shared" ca="1" si="2670"/>
        <v>0</v>
      </c>
      <c r="S1805" s="1423">
        <f t="shared" ca="1" si="2671"/>
        <v>0</v>
      </c>
      <c r="T1805" s="1423">
        <f t="shared" ca="1" si="2672"/>
        <v>0</v>
      </c>
      <c r="U1805" s="1423">
        <f t="shared" ca="1" si="2673"/>
        <v>0</v>
      </c>
      <c r="V1805" s="1423">
        <f t="shared" ca="1" si="2674"/>
        <v>0</v>
      </c>
      <c r="W1805" s="1423">
        <f t="shared" ca="1" si="2675"/>
        <v>0</v>
      </c>
      <c r="X1805" s="202"/>
      <c r="Y1805" s="202"/>
      <c r="Z1805" s="202"/>
      <c r="AA1805" s="152"/>
      <c r="AB1805" s="152"/>
    </row>
    <row r="1806" spans="1:28" hidden="1" outlineLevel="1">
      <c r="A1806" s="199">
        <f t="shared" si="2676"/>
        <v>5</v>
      </c>
      <c r="B1806" s="190" t="str">
        <f t="shared" ca="1" si="2677"/>
        <v>Depreciated Net Capex 2020-21</v>
      </c>
      <c r="C1806" s="1426"/>
      <c r="D1806" s="1426"/>
      <c r="E1806" s="1426"/>
      <c r="F1806" s="1426"/>
      <c r="G1806" s="1427"/>
      <c r="H1806" s="1428">
        <f>(H1796*((1+H$11)^0.5)/H$10)</f>
        <v>0</v>
      </c>
      <c r="I1806" s="1423">
        <f ca="1">IF(H1830="n/a",H1806,IFERROR(IF((OFFSET($C1806,0,$A1806))&lt;0,
MIN(0,H1806-(OFFSET($C1806,0,$A1806)/(OFFSET($C1801,-$A1805,$A1806)))),
MAX(0,H1806-(OFFSET($C1806,0,$A1806)/(OFFSET($C1801,-$A1805,$A1806))))),0))</f>
        <v>0</v>
      </c>
      <c r="J1806" s="1423">
        <f t="shared" ca="1" si="2662"/>
        <v>0</v>
      </c>
      <c r="K1806" s="1423">
        <f t="shared" ca="1" si="2663"/>
        <v>0</v>
      </c>
      <c r="L1806" s="1423">
        <f t="shared" ca="1" si="2664"/>
        <v>0</v>
      </c>
      <c r="M1806" s="1423">
        <f t="shared" ca="1" si="2665"/>
        <v>0</v>
      </c>
      <c r="N1806" s="1423">
        <f t="shared" ca="1" si="2666"/>
        <v>0</v>
      </c>
      <c r="O1806" s="1423">
        <f t="shared" ca="1" si="2667"/>
        <v>0</v>
      </c>
      <c r="P1806" s="1423">
        <f t="shared" ca="1" si="2668"/>
        <v>0</v>
      </c>
      <c r="Q1806" s="1423">
        <f t="shared" ca="1" si="2669"/>
        <v>0</v>
      </c>
      <c r="R1806" s="1423">
        <f t="shared" ca="1" si="2670"/>
        <v>0</v>
      </c>
      <c r="S1806" s="1423">
        <f t="shared" ca="1" si="2671"/>
        <v>0</v>
      </c>
      <c r="T1806" s="1423">
        <f t="shared" ca="1" si="2672"/>
        <v>0</v>
      </c>
      <c r="U1806" s="1423">
        <f t="shared" ca="1" si="2673"/>
        <v>0</v>
      </c>
      <c r="V1806" s="1423">
        <f t="shared" ca="1" si="2674"/>
        <v>0</v>
      </c>
      <c r="W1806" s="1423">
        <f t="shared" ca="1" si="2675"/>
        <v>0</v>
      </c>
      <c r="X1806" s="202"/>
      <c r="Y1806" s="202"/>
      <c r="Z1806" s="202"/>
      <c r="AA1806" s="152"/>
      <c r="AB1806" s="152"/>
    </row>
    <row r="1807" spans="1:28" hidden="1" outlineLevel="1">
      <c r="A1807" s="199">
        <f t="shared" si="2676"/>
        <v>6</v>
      </c>
      <c r="B1807" s="190" t="str">
        <f t="shared" ca="1" si="2677"/>
        <v>Depreciated Net Capex 2021-22</v>
      </c>
      <c r="C1807" s="1426"/>
      <c r="D1807" s="1426"/>
      <c r="E1807" s="1426"/>
      <c r="F1807" s="1426"/>
      <c r="G1807" s="1426"/>
      <c r="H1807" s="1427"/>
      <c r="I1807" s="1428">
        <f>(I1796*((1+I$11)^0.5)/I$10)</f>
        <v>0</v>
      </c>
      <c r="J1807" s="1423">
        <f ca="1">IF(I1831="n/a",I1807,IFERROR(IF((OFFSET($C1807,0,$A1807))&lt;0,
MIN(0,I1807-(OFFSET($C1807,0,$A1807)/(OFFSET($C1802,-$A1806,$A1807)))),
MAX(0,I1807-(OFFSET($C1807,0,$A1807)/(OFFSET($C1802,-$A1806,$A1807))))),0))</f>
        <v>0</v>
      </c>
      <c r="K1807" s="1423">
        <f t="shared" ca="1" si="2663"/>
        <v>0</v>
      </c>
      <c r="L1807" s="1423">
        <f t="shared" ca="1" si="2664"/>
        <v>0</v>
      </c>
      <c r="M1807" s="1423">
        <f t="shared" ca="1" si="2665"/>
        <v>0</v>
      </c>
      <c r="N1807" s="1423">
        <f t="shared" ca="1" si="2666"/>
        <v>0</v>
      </c>
      <c r="O1807" s="1423">
        <f t="shared" ca="1" si="2667"/>
        <v>0</v>
      </c>
      <c r="P1807" s="1423">
        <f t="shared" ca="1" si="2668"/>
        <v>0</v>
      </c>
      <c r="Q1807" s="1423">
        <f t="shared" ca="1" si="2669"/>
        <v>0</v>
      </c>
      <c r="R1807" s="1423">
        <f t="shared" ca="1" si="2670"/>
        <v>0</v>
      </c>
      <c r="S1807" s="1423">
        <f t="shared" ca="1" si="2671"/>
        <v>0</v>
      </c>
      <c r="T1807" s="1423">
        <f t="shared" ca="1" si="2672"/>
        <v>0</v>
      </c>
      <c r="U1807" s="1423">
        <f t="shared" ca="1" si="2673"/>
        <v>0</v>
      </c>
      <c r="V1807" s="1423">
        <f t="shared" ca="1" si="2674"/>
        <v>0</v>
      </c>
      <c r="W1807" s="1423">
        <f t="shared" ca="1" si="2675"/>
        <v>0</v>
      </c>
      <c r="X1807" s="202"/>
      <c r="Y1807" s="202"/>
      <c r="Z1807" s="202"/>
      <c r="AA1807" s="152"/>
      <c r="AB1807" s="152"/>
    </row>
    <row r="1808" spans="1:28" hidden="1" outlineLevel="1">
      <c r="A1808" s="199">
        <f t="shared" si="2676"/>
        <v>7</v>
      </c>
      <c r="B1808" s="190" t="str">
        <f t="shared" ca="1" si="2677"/>
        <v>Depreciated Net Capex 2022-23</v>
      </c>
      <c r="C1808" s="1426"/>
      <c r="D1808" s="1426"/>
      <c r="E1808" s="1426"/>
      <c r="F1808" s="1426"/>
      <c r="G1808" s="1426"/>
      <c r="H1808" s="1426"/>
      <c r="I1808" s="1427"/>
      <c r="J1808" s="1428">
        <f>(J1796*((1+J$11)^0.5)/J$10)</f>
        <v>0</v>
      </c>
      <c r="K1808" s="1423">
        <f ca="1">IF(J1832="n/a",J1808,IFERROR(IF((OFFSET($C1808,0,$A1808))&lt;0,
MIN(0,J1808-(OFFSET($C1808,0,$A1808)/(OFFSET($C1803,-$A1807,$A1808)))),
MAX(0,J1808-(OFFSET($C1808,0,$A1808)/(OFFSET($C1803,-$A1807,$A1808))))),0))</f>
        <v>0</v>
      </c>
      <c r="L1808" s="1423">
        <f t="shared" ca="1" si="2664"/>
        <v>0</v>
      </c>
      <c r="M1808" s="1423">
        <f t="shared" ca="1" si="2665"/>
        <v>0</v>
      </c>
      <c r="N1808" s="1423">
        <f t="shared" ca="1" si="2666"/>
        <v>0</v>
      </c>
      <c r="O1808" s="1423">
        <f t="shared" ca="1" si="2667"/>
        <v>0</v>
      </c>
      <c r="P1808" s="1423">
        <f t="shared" ca="1" si="2668"/>
        <v>0</v>
      </c>
      <c r="Q1808" s="1423">
        <f t="shared" ca="1" si="2669"/>
        <v>0</v>
      </c>
      <c r="R1808" s="1423">
        <f t="shared" ca="1" si="2670"/>
        <v>0</v>
      </c>
      <c r="S1808" s="1423">
        <f t="shared" ca="1" si="2671"/>
        <v>0</v>
      </c>
      <c r="T1808" s="1423">
        <f t="shared" ca="1" si="2672"/>
        <v>0</v>
      </c>
      <c r="U1808" s="1423">
        <f t="shared" ca="1" si="2673"/>
        <v>0</v>
      </c>
      <c r="V1808" s="1423">
        <f t="shared" ca="1" si="2674"/>
        <v>0</v>
      </c>
      <c r="W1808" s="1423">
        <f t="shared" ca="1" si="2675"/>
        <v>0</v>
      </c>
      <c r="X1808" s="202"/>
      <c r="Y1808" s="202"/>
      <c r="Z1808" s="202"/>
      <c r="AA1808" s="152"/>
      <c r="AB1808" s="152"/>
    </row>
    <row r="1809" spans="1:28" hidden="1" outlineLevel="1">
      <c r="A1809" s="199">
        <f t="shared" si="2676"/>
        <v>8</v>
      </c>
      <c r="B1809" s="190" t="str">
        <f t="shared" ca="1" si="2677"/>
        <v>Depreciated Net Capex 2023-24</v>
      </c>
      <c r="C1809" s="1426"/>
      <c r="D1809" s="1426"/>
      <c r="E1809" s="1426"/>
      <c r="F1809" s="1426"/>
      <c r="G1809" s="1426"/>
      <c r="H1809" s="1426"/>
      <c r="I1809" s="1426"/>
      <c r="J1809" s="1427"/>
      <c r="K1809" s="1428">
        <f>(K1796*((1+K$11)^0.5)/K$10)</f>
        <v>0</v>
      </c>
      <c r="L1809" s="1423">
        <f ca="1">IF(K1833="n/a",K1809,IFERROR(IF((OFFSET($C1809,0,$A1809))&lt;0,
MIN(0,K1809-(OFFSET($C1809,0,$A1809)/(OFFSET($C1804,-$A1808,$A1809)))),
MAX(0,K1809-(OFFSET($C1809,0,$A1809)/(OFFSET($C1804,-$A1808,$A1809))))),0))</f>
        <v>0</v>
      </c>
      <c r="M1809" s="1423">
        <f t="shared" ca="1" si="2665"/>
        <v>0</v>
      </c>
      <c r="N1809" s="1423">
        <f t="shared" ca="1" si="2666"/>
        <v>0</v>
      </c>
      <c r="O1809" s="1423">
        <f t="shared" ca="1" si="2667"/>
        <v>0</v>
      </c>
      <c r="P1809" s="1423">
        <f t="shared" ca="1" si="2668"/>
        <v>0</v>
      </c>
      <c r="Q1809" s="1423">
        <f t="shared" ca="1" si="2669"/>
        <v>0</v>
      </c>
      <c r="R1809" s="1423">
        <f t="shared" ca="1" si="2670"/>
        <v>0</v>
      </c>
      <c r="S1809" s="1423">
        <f t="shared" ca="1" si="2671"/>
        <v>0</v>
      </c>
      <c r="T1809" s="1423">
        <f t="shared" ca="1" si="2672"/>
        <v>0</v>
      </c>
      <c r="U1809" s="1423">
        <f t="shared" ca="1" si="2673"/>
        <v>0</v>
      </c>
      <c r="V1809" s="1423">
        <f t="shared" ca="1" si="2674"/>
        <v>0</v>
      </c>
      <c r="W1809" s="1423">
        <f t="shared" ca="1" si="2675"/>
        <v>0</v>
      </c>
      <c r="X1809" s="202"/>
      <c r="Y1809" s="202"/>
      <c r="Z1809" s="202"/>
      <c r="AA1809" s="152"/>
      <c r="AB1809" s="152"/>
    </row>
    <row r="1810" spans="1:28" hidden="1" outlineLevel="1">
      <c r="A1810" s="199">
        <f t="shared" si="2676"/>
        <v>9</v>
      </c>
      <c r="B1810" s="190" t="str">
        <f t="shared" ca="1" si="2677"/>
        <v>Depreciated Net Capex 2024-25</v>
      </c>
      <c r="C1810" s="1426"/>
      <c r="D1810" s="1426"/>
      <c r="E1810" s="1426"/>
      <c r="F1810" s="1426"/>
      <c r="G1810" s="1426"/>
      <c r="H1810" s="1426"/>
      <c r="I1810" s="1426"/>
      <c r="J1810" s="1426"/>
      <c r="K1810" s="1427"/>
      <c r="L1810" s="1428">
        <f>(L1796*((1+L$11)^0.5)/L$10)</f>
        <v>0</v>
      </c>
      <c r="M1810" s="1423">
        <f ca="1">IF(L1834="n/a",L1810,IFERROR(IF((OFFSET($C1810,0,$A1810))&lt;0,
MIN(0,L1810-(OFFSET($C1810,0,$A1810)/(OFFSET($C1805,-$A1809,$A1810)))),
MAX(0,L1810-(OFFSET($C1810,0,$A1810)/(OFFSET($C1805,-$A1809,$A1810))))),0))</f>
        <v>0</v>
      </c>
      <c r="N1810" s="1423">
        <f t="shared" ca="1" si="2666"/>
        <v>0</v>
      </c>
      <c r="O1810" s="1423">
        <f t="shared" ca="1" si="2667"/>
        <v>0</v>
      </c>
      <c r="P1810" s="1423">
        <f t="shared" ca="1" si="2668"/>
        <v>0</v>
      </c>
      <c r="Q1810" s="1423">
        <f t="shared" ca="1" si="2669"/>
        <v>0</v>
      </c>
      <c r="R1810" s="1423">
        <f t="shared" ca="1" si="2670"/>
        <v>0</v>
      </c>
      <c r="S1810" s="1423">
        <f t="shared" ca="1" si="2671"/>
        <v>0</v>
      </c>
      <c r="T1810" s="1423">
        <f t="shared" ca="1" si="2672"/>
        <v>0</v>
      </c>
      <c r="U1810" s="1423">
        <f t="shared" ca="1" si="2673"/>
        <v>0</v>
      </c>
      <c r="V1810" s="1423">
        <f t="shared" ca="1" si="2674"/>
        <v>0</v>
      </c>
      <c r="W1810" s="1423">
        <f t="shared" ca="1" si="2675"/>
        <v>0</v>
      </c>
      <c r="X1810" s="202"/>
      <c r="Y1810" s="202"/>
      <c r="Z1810" s="202"/>
      <c r="AA1810" s="152"/>
      <c r="AB1810" s="152"/>
    </row>
    <row r="1811" spans="1:28" hidden="1" outlineLevel="1">
      <c r="A1811" s="199">
        <f t="shared" si="2676"/>
        <v>10</v>
      </c>
      <c r="B1811" s="190" t="str">
        <f t="shared" ca="1" si="2677"/>
        <v>Depreciated Net Capex 2025-26</v>
      </c>
      <c r="C1811" s="1426"/>
      <c r="D1811" s="1426"/>
      <c r="E1811" s="1426"/>
      <c r="F1811" s="1426"/>
      <c r="G1811" s="1426"/>
      <c r="H1811" s="1426"/>
      <c r="I1811" s="1426"/>
      <c r="J1811" s="1426"/>
      <c r="K1811" s="1426"/>
      <c r="L1811" s="1427"/>
      <c r="M1811" s="1428">
        <f>(M1796*((1+M$11)^0.5)/M$10)</f>
        <v>0</v>
      </c>
      <c r="N1811" s="1423">
        <f ca="1">IF(M1835="n/a",M1811,IFERROR(IF((OFFSET($C1811,0,$A1811))&lt;0,
MIN(0,M1811-(OFFSET($C1811,0,$A1811)/(OFFSET($C1806,-$A1810,$A1811)))),
MAX(0,M1811-(OFFSET($C1811,0,$A1811)/(OFFSET($C1806,-$A1810,$A1811))))),0))</f>
        <v>0</v>
      </c>
      <c r="O1811" s="1423">
        <f t="shared" ca="1" si="2667"/>
        <v>0</v>
      </c>
      <c r="P1811" s="1423">
        <f t="shared" ca="1" si="2668"/>
        <v>0</v>
      </c>
      <c r="Q1811" s="1423">
        <f t="shared" ca="1" si="2669"/>
        <v>0</v>
      </c>
      <c r="R1811" s="1423">
        <f t="shared" ca="1" si="2670"/>
        <v>0</v>
      </c>
      <c r="S1811" s="1423">
        <f t="shared" ca="1" si="2671"/>
        <v>0</v>
      </c>
      <c r="T1811" s="1423">
        <f t="shared" ca="1" si="2672"/>
        <v>0</v>
      </c>
      <c r="U1811" s="1423">
        <f t="shared" ca="1" si="2673"/>
        <v>0</v>
      </c>
      <c r="V1811" s="1423">
        <f t="shared" ca="1" si="2674"/>
        <v>0</v>
      </c>
      <c r="W1811" s="1423">
        <f t="shared" ca="1" si="2675"/>
        <v>0</v>
      </c>
      <c r="X1811" s="202"/>
      <c r="Y1811" s="202"/>
      <c r="Z1811" s="202"/>
      <c r="AA1811" s="152"/>
      <c r="AB1811" s="152"/>
    </row>
    <row r="1812" spans="1:28" hidden="1" outlineLevel="1">
      <c r="A1812" s="199">
        <f t="shared" si="2676"/>
        <v>11</v>
      </c>
      <c r="B1812" s="190" t="str">
        <f t="shared" ca="1" si="2677"/>
        <v>Depreciated Net Capex 2026-27</v>
      </c>
      <c r="C1812" s="1426"/>
      <c r="D1812" s="1426"/>
      <c r="E1812" s="1426"/>
      <c r="F1812" s="1426"/>
      <c r="G1812" s="1426"/>
      <c r="H1812" s="1426"/>
      <c r="I1812" s="1426"/>
      <c r="J1812" s="1426"/>
      <c r="K1812" s="1426"/>
      <c r="L1812" s="1426"/>
      <c r="M1812" s="1427"/>
      <c r="N1812" s="1428">
        <f>(N1796*((1+N$11)^0.5)/N$10)</f>
        <v>0</v>
      </c>
      <c r="O1812" s="1423">
        <f ca="1">IF(N1836="n/a",N1812,IFERROR(IF((OFFSET($C1812,0,$A1812))&lt;0,
MIN(0,N1812-(OFFSET($C1812,0,$A1812)/(OFFSET($C1807,-$A1811,$A1812)))),
MAX(0,N1812-(OFFSET($C1812,0,$A1812)/(OFFSET($C1807,-$A1811,$A1812))))),0))</f>
        <v>0</v>
      </c>
      <c r="P1812" s="1423">
        <f t="shared" ca="1" si="2668"/>
        <v>0</v>
      </c>
      <c r="Q1812" s="1423">
        <f t="shared" ca="1" si="2669"/>
        <v>0</v>
      </c>
      <c r="R1812" s="1423">
        <f t="shared" ca="1" si="2670"/>
        <v>0</v>
      </c>
      <c r="S1812" s="1423">
        <f t="shared" ca="1" si="2671"/>
        <v>0</v>
      </c>
      <c r="T1812" s="1423">
        <f t="shared" ca="1" si="2672"/>
        <v>0</v>
      </c>
      <c r="U1812" s="1423">
        <f t="shared" ca="1" si="2673"/>
        <v>0</v>
      </c>
      <c r="V1812" s="1423">
        <f t="shared" ca="1" si="2674"/>
        <v>0</v>
      </c>
      <c r="W1812" s="1423">
        <f t="shared" ca="1" si="2675"/>
        <v>0</v>
      </c>
      <c r="X1812" s="202"/>
      <c r="Y1812" s="202"/>
      <c r="Z1812" s="202"/>
      <c r="AA1812" s="152"/>
      <c r="AB1812" s="152"/>
    </row>
    <row r="1813" spans="1:28" hidden="1" outlineLevel="1">
      <c r="A1813" s="199">
        <f t="shared" si="2676"/>
        <v>12</v>
      </c>
      <c r="B1813" s="190" t="str">
        <f t="shared" ca="1" si="2677"/>
        <v>Depreciated Net Capex 2027-28</v>
      </c>
      <c r="C1813" s="1426"/>
      <c r="D1813" s="1426"/>
      <c r="E1813" s="1426"/>
      <c r="F1813" s="1426"/>
      <c r="G1813" s="1426"/>
      <c r="H1813" s="1426"/>
      <c r="I1813" s="1426"/>
      <c r="J1813" s="1426"/>
      <c r="K1813" s="1426"/>
      <c r="L1813" s="1426"/>
      <c r="M1813" s="1426"/>
      <c r="N1813" s="1427"/>
      <c r="O1813" s="1428">
        <f>(O1796*((1+O$11)^0.5)/O$10)</f>
        <v>0</v>
      </c>
      <c r="P1813" s="1423">
        <f ca="1">IF(O1837="n/a",O1813,IFERROR(IF((OFFSET($C1813,0,$A1813))&lt;0,
MIN(0,O1813-(OFFSET($C1813,0,$A1813)/(OFFSET($C1808,-$A1812,$A1813)))),
MAX(0,O1813-(OFFSET($C1813,0,$A1813)/(OFFSET($C1808,-$A1812,$A1813))))),0))</f>
        <v>0</v>
      </c>
      <c r="Q1813" s="1423">
        <f t="shared" ca="1" si="2669"/>
        <v>0</v>
      </c>
      <c r="R1813" s="1423">
        <f t="shared" ca="1" si="2670"/>
        <v>0</v>
      </c>
      <c r="S1813" s="1423">
        <f t="shared" ca="1" si="2671"/>
        <v>0</v>
      </c>
      <c r="T1813" s="1423">
        <f t="shared" ca="1" si="2672"/>
        <v>0</v>
      </c>
      <c r="U1813" s="1423">
        <f t="shared" ca="1" si="2673"/>
        <v>0</v>
      </c>
      <c r="V1813" s="1423">
        <f t="shared" ca="1" si="2674"/>
        <v>0</v>
      </c>
      <c r="W1813" s="1423">
        <f t="shared" ca="1" si="2675"/>
        <v>0</v>
      </c>
      <c r="X1813" s="202"/>
      <c r="Y1813" s="202"/>
      <c r="Z1813" s="202"/>
      <c r="AA1813" s="152"/>
      <c r="AB1813" s="152"/>
    </row>
    <row r="1814" spans="1:28" hidden="1" outlineLevel="1">
      <c r="A1814" s="199">
        <f t="shared" si="2676"/>
        <v>13</v>
      </c>
      <c r="B1814" s="190" t="str">
        <f t="shared" ca="1" si="2677"/>
        <v>Depreciated Net Capex 2028-29</v>
      </c>
      <c r="C1814" s="1426"/>
      <c r="D1814" s="1426"/>
      <c r="E1814" s="1426"/>
      <c r="F1814" s="1426"/>
      <c r="G1814" s="1426"/>
      <c r="H1814" s="1426"/>
      <c r="I1814" s="1426"/>
      <c r="J1814" s="1426"/>
      <c r="K1814" s="1426"/>
      <c r="L1814" s="1426"/>
      <c r="M1814" s="1426"/>
      <c r="N1814" s="1426"/>
      <c r="O1814" s="1427"/>
      <c r="P1814" s="1428">
        <f>(P1796*((1+P$11)^0.5)/P$10)</f>
        <v>0</v>
      </c>
      <c r="Q1814" s="1423">
        <f ca="1">IF(P1838="n/a",P1814,IFERROR(IF((OFFSET($C1814,0,$A1814))&lt;0,
MIN(0,P1814-(OFFSET($C1814,0,$A1814)/(OFFSET($C1809,-$A1813,$A1814)))),
MAX(0,P1814-(OFFSET($C1814,0,$A1814)/(OFFSET($C1809,-$A1813,$A1814))))),0))</f>
        <v>0</v>
      </c>
      <c r="R1814" s="1423">
        <f t="shared" ca="1" si="2670"/>
        <v>0</v>
      </c>
      <c r="S1814" s="1423">
        <f t="shared" ca="1" si="2671"/>
        <v>0</v>
      </c>
      <c r="T1814" s="1423">
        <f t="shared" ca="1" si="2672"/>
        <v>0</v>
      </c>
      <c r="U1814" s="1423">
        <f t="shared" ca="1" si="2673"/>
        <v>0</v>
      </c>
      <c r="V1814" s="1423">
        <f t="shared" ca="1" si="2674"/>
        <v>0</v>
      </c>
      <c r="W1814" s="1423">
        <f t="shared" ca="1" si="2675"/>
        <v>0</v>
      </c>
      <c r="X1814" s="202"/>
      <c r="Y1814" s="202"/>
      <c r="Z1814" s="202"/>
      <c r="AA1814" s="152"/>
      <c r="AB1814" s="152"/>
    </row>
    <row r="1815" spans="1:28" hidden="1" outlineLevel="1">
      <c r="A1815" s="199">
        <f t="shared" si="2676"/>
        <v>14</v>
      </c>
      <c r="B1815" s="190" t="str">
        <f t="shared" ca="1" si="2677"/>
        <v>Depreciated Net Capex 2029-30</v>
      </c>
      <c r="C1815" s="1426"/>
      <c r="D1815" s="1426"/>
      <c r="E1815" s="1426"/>
      <c r="F1815" s="1426"/>
      <c r="G1815" s="1426"/>
      <c r="H1815" s="1426"/>
      <c r="I1815" s="1426"/>
      <c r="J1815" s="1426"/>
      <c r="K1815" s="1426"/>
      <c r="L1815" s="1426"/>
      <c r="M1815" s="1426"/>
      <c r="N1815" s="1426"/>
      <c r="O1815" s="1426"/>
      <c r="P1815" s="1427"/>
      <c r="Q1815" s="1428">
        <f>(Q1796*((1+Q$11)^0.5)/Q$10)</f>
        <v>0</v>
      </c>
      <c r="R1815" s="1423">
        <f ca="1">IF(Q1839="n/a",Q1815,IFERROR(IF((OFFSET($C1815,0,$A1815))&lt;0,
MIN(0,Q1815-(OFFSET($C1815,0,$A1815)/(OFFSET($C1810,-$A1814,$A1815)))),
MAX(0,Q1815-(OFFSET($C1815,0,$A1815)/(OFFSET($C1810,-$A1814,$A1815))))),0))</f>
        <v>0</v>
      </c>
      <c r="S1815" s="1423">
        <f t="shared" ca="1" si="2671"/>
        <v>0</v>
      </c>
      <c r="T1815" s="1423">
        <f t="shared" ca="1" si="2672"/>
        <v>0</v>
      </c>
      <c r="U1815" s="1423">
        <f t="shared" ca="1" si="2673"/>
        <v>0</v>
      </c>
      <c r="V1815" s="1423">
        <f t="shared" ca="1" si="2674"/>
        <v>0</v>
      </c>
      <c r="W1815" s="1423">
        <f t="shared" ca="1" si="2675"/>
        <v>0</v>
      </c>
      <c r="X1815" s="202"/>
      <c r="Y1815" s="202"/>
      <c r="Z1815" s="202"/>
      <c r="AA1815" s="152"/>
      <c r="AB1815" s="152"/>
    </row>
    <row r="1816" spans="1:28" hidden="1" outlineLevel="1">
      <c r="A1816" s="199">
        <f t="shared" si="2676"/>
        <v>15</v>
      </c>
      <c r="B1816" s="190" t="str">
        <f t="shared" ca="1" si="2677"/>
        <v>Depreciated Net Capex 2030-31</v>
      </c>
      <c r="C1816" s="1426"/>
      <c r="D1816" s="1426"/>
      <c r="E1816" s="1426"/>
      <c r="F1816" s="1426"/>
      <c r="G1816" s="1426"/>
      <c r="H1816" s="1426"/>
      <c r="I1816" s="1426"/>
      <c r="J1816" s="1426"/>
      <c r="K1816" s="1426"/>
      <c r="L1816" s="1426"/>
      <c r="M1816" s="1426"/>
      <c r="N1816" s="1426"/>
      <c r="O1816" s="1426"/>
      <c r="P1816" s="1426"/>
      <c r="Q1816" s="1427"/>
      <c r="R1816" s="1428">
        <f>(R1796*((1+R$11)^0.5)/R$10)</f>
        <v>0</v>
      </c>
      <c r="S1816" s="1423">
        <f ca="1">IF(R1840="n/a",R1816,IFERROR(IF((OFFSET($C1816,0,$A1816))&lt;0,
MIN(0,R1816-(OFFSET($C1816,0,$A1816)/(OFFSET($C1811,-$A1815,$A1816)))),
MAX(0,R1816-(OFFSET($C1816,0,$A1816)/(OFFSET($C1811,-$A1815,$A1816))))),0))</f>
        <v>0</v>
      </c>
      <c r="T1816" s="1423">
        <f t="shared" ca="1" si="2672"/>
        <v>0</v>
      </c>
      <c r="U1816" s="1423">
        <f t="shared" ca="1" si="2673"/>
        <v>0</v>
      </c>
      <c r="V1816" s="1423">
        <f t="shared" ca="1" si="2674"/>
        <v>0</v>
      </c>
      <c r="W1816" s="1423">
        <f t="shared" ca="1" si="2675"/>
        <v>0</v>
      </c>
      <c r="X1816" s="202"/>
      <c r="Y1816" s="202"/>
      <c r="Z1816" s="202"/>
      <c r="AA1816" s="152"/>
      <c r="AB1816" s="152"/>
    </row>
    <row r="1817" spans="1:28" hidden="1" outlineLevel="1">
      <c r="A1817" s="199">
        <f t="shared" si="2676"/>
        <v>16</v>
      </c>
      <c r="B1817" s="190" t="str">
        <f t="shared" ca="1" si="2677"/>
        <v>Depreciated Net Capex 2031-32</v>
      </c>
      <c r="C1817" s="1426"/>
      <c r="D1817" s="1426"/>
      <c r="E1817" s="1426"/>
      <c r="F1817" s="1426"/>
      <c r="G1817" s="1426"/>
      <c r="H1817" s="1426"/>
      <c r="I1817" s="1426"/>
      <c r="J1817" s="1426"/>
      <c r="K1817" s="1426"/>
      <c r="L1817" s="1426"/>
      <c r="M1817" s="1426"/>
      <c r="N1817" s="1426"/>
      <c r="O1817" s="1426"/>
      <c r="P1817" s="1426"/>
      <c r="Q1817" s="1426"/>
      <c r="R1817" s="1427"/>
      <c r="S1817" s="1428">
        <f>(S1796*((1+S$11)^0.5)/S$10)</f>
        <v>0</v>
      </c>
      <c r="T1817" s="1423">
        <f ca="1">IF(S1841="n/a",S1817,IFERROR(IF((OFFSET($C1817,0,$A1817))&lt;0,
MIN(0,S1817-(OFFSET($C1817,0,$A1817)/(OFFSET($C1812,-$A1816,$A1817)))),
MAX(0,S1817-(OFFSET($C1817,0,$A1817)/(OFFSET($C1812,-$A1816,$A1817))))),0))</f>
        <v>0</v>
      </c>
      <c r="U1817" s="1423">
        <f t="shared" ca="1" si="2673"/>
        <v>0</v>
      </c>
      <c r="V1817" s="1423">
        <f t="shared" ca="1" si="2674"/>
        <v>0</v>
      </c>
      <c r="W1817" s="1423">
        <f t="shared" ca="1" si="2675"/>
        <v>0</v>
      </c>
      <c r="X1817" s="202"/>
      <c r="Y1817" s="202"/>
      <c r="Z1817" s="202"/>
      <c r="AA1817" s="152"/>
      <c r="AB1817" s="152"/>
    </row>
    <row r="1818" spans="1:28" hidden="1" outlineLevel="1">
      <c r="A1818" s="199">
        <f t="shared" si="2676"/>
        <v>17</v>
      </c>
      <c r="B1818" s="190" t="str">
        <f t="shared" ca="1" si="2677"/>
        <v>Depreciated Net Capex 2032-33</v>
      </c>
      <c r="C1818" s="1426"/>
      <c r="D1818" s="1426"/>
      <c r="E1818" s="1426"/>
      <c r="F1818" s="1426"/>
      <c r="G1818" s="1426"/>
      <c r="H1818" s="1426"/>
      <c r="I1818" s="1426"/>
      <c r="J1818" s="1426"/>
      <c r="K1818" s="1426"/>
      <c r="L1818" s="1426"/>
      <c r="M1818" s="1426"/>
      <c r="N1818" s="1426"/>
      <c r="O1818" s="1426"/>
      <c r="P1818" s="1426"/>
      <c r="Q1818" s="1426"/>
      <c r="R1818" s="1426"/>
      <c r="S1818" s="1427"/>
      <c r="T1818" s="1428">
        <f>(T1796*((1+T$11)^0.5)/T$10)</f>
        <v>0</v>
      </c>
      <c r="U1818" s="1423">
        <f ca="1">IF(T1842="n/a",T1818,IFERROR(IF((OFFSET($C1818,0,$A1818))&lt;0,
MIN(0,T1818-(OFFSET($C1818,0,$A1818)/(OFFSET($C1813,-$A1817,$A1818)))),
MAX(0,T1818-(OFFSET($C1818,0,$A1818)/(OFFSET($C1813,-$A1817,$A1818))))),0))</f>
        <v>0</v>
      </c>
      <c r="V1818" s="1423">
        <f t="shared" ca="1" si="2674"/>
        <v>0</v>
      </c>
      <c r="W1818" s="1423">
        <f t="shared" ca="1" si="2675"/>
        <v>0</v>
      </c>
      <c r="X1818" s="202"/>
      <c r="Y1818" s="202"/>
      <c r="Z1818" s="202"/>
      <c r="AA1818" s="152"/>
      <c r="AB1818" s="152"/>
    </row>
    <row r="1819" spans="1:28" hidden="1" outlineLevel="1">
      <c r="A1819" s="199">
        <f t="shared" si="2676"/>
        <v>18</v>
      </c>
      <c r="B1819" s="190" t="str">
        <f t="shared" ca="1" si="2677"/>
        <v>Depreciated Net Capex 2033-34</v>
      </c>
      <c r="C1819" s="1426"/>
      <c r="D1819" s="1426"/>
      <c r="E1819" s="1426"/>
      <c r="F1819" s="1426"/>
      <c r="G1819" s="1426"/>
      <c r="H1819" s="1426"/>
      <c r="I1819" s="1426"/>
      <c r="J1819" s="1426"/>
      <c r="K1819" s="1426"/>
      <c r="L1819" s="1426"/>
      <c r="M1819" s="1426"/>
      <c r="N1819" s="1426"/>
      <c r="O1819" s="1426"/>
      <c r="P1819" s="1426"/>
      <c r="Q1819" s="1426"/>
      <c r="R1819" s="1426"/>
      <c r="S1819" s="1426"/>
      <c r="T1819" s="1427"/>
      <c r="U1819" s="1428">
        <f>(U1796*((1+U$11)^0.5)/U$10)</f>
        <v>0</v>
      </c>
      <c r="V1819" s="1423">
        <f ca="1">IF(U1843="n/a",U1819,IFERROR(IF((OFFSET($C1819,0,$A1819))&lt;0,
MIN(0,U1819-(OFFSET($C1819,0,$A1819)/(OFFSET($C1814,-$A1818,$A1819)))),
MAX(0,U1819-(OFFSET($C1819,0,$A1819)/(OFFSET($C1814,-$A1818,$A1819))))),0))</f>
        <v>0</v>
      </c>
      <c r="W1819" s="1423">
        <f t="shared" ca="1" si="2675"/>
        <v>0</v>
      </c>
      <c r="X1819" s="202"/>
      <c r="Y1819" s="202"/>
      <c r="Z1819" s="202"/>
      <c r="AA1819" s="152"/>
      <c r="AB1819" s="152"/>
    </row>
    <row r="1820" spans="1:28" hidden="1" outlineLevel="1">
      <c r="A1820" s="199">
        <f t="shared" si="2676"/>
        <v>19</v>
      </c>
      <c r="B1820" s="190" t="str">
        <f t="shared" ca="1" si="2677"/>
        <v>Depreciated Net Capex 2034-35</v>
      </c>
      <c r="C1820" s="1426"/>
      <c r="D1820" s="1426"/>
      <c r="E1820" s="1426"/>
      <c r="F1820" s="1426"/>
      <c r="G1820" s="1426"/>
      <c r="H1820" s="1426"/>
      <c r="I1820" s="1426"/>
      <c r="J1820" s="1426"/>
      <c r="K1820" s="1426"/>
      <c r="L1820" s="1426"/>
      <c r="M1820" s="1426"/>
      <c r="N1820" s="1426"/>
      <c r="O1820" s="1426"/>
      <c r="P1820" s="1426"/>
      <c r="Q1820" s="1426"/>
      <c r="R1820" s="1426"/>
      <c r="S1820" s="1426"/>
      <c r="T1820" s="1426"/>
      <c r="U1820" s="1427"/>
      <c r="V1820" s="1428">
        <f>(V1796*((1+V$11)^0.5)/V$10)</f>
        <v>0</v>
      </c>
      <c r="W1820" s="1423">
        <f ca="1">IF(V1844="n/a",V1820,IFERROR(IF((OFFSET($C1820,0,$A1820))&lt;0,
MIN(0,V1820-(OFFSET($C1820,0,$A1820)/(OFFSET($C1815,-$A1819,$A1820)))),
MAX(0,V1820-(OFFSET($C1820,0,$A1820)/(OFFSET($C1815,-$A1819,$A1820))))),0))</f>
        <v>0</v>
      </c>
      <c r="X1820" s="202"/>
      <c r="Y1820" s="202"/>
      <c r="Z1820" s="202"/>
      <c r="AA1820" s="152"/>
      <c r="AB1820" s="152"/>
    </row>
    <row r="1821" spans="1:28" hidden="1" outlineLevel="1">
      <c r="A1821" s="199">
        <f t="shared" si="2676"/>
        <v>20</v>
      </c>
      <c r="B1821" s="190" t="str">
        <f ca="1">"Depreciated Net Capex "&amp;OFFSET($C$6,0,A1821)</f>
        <v>Depreciated Net Capex 2035-36</v>
      </c>
      <c r="C1821" s="1426"/>
      <c r="D1821" s="1426"/>
      <c r="E1821" s="1426"/>
      <c r="F1821" s="1426"/>
      <c r="G1821" s="1426"/>
      <c r="H1821" s="1426"/>
      <c r="I1821" s="1426"/>
      <c r="J1821" s="1426"/>
      <c r="K1821" s="1426"/>
      <c r="L1821" s="1426"/>
      <c r="M1821" s="1426"/>
      <c r="N1821" s="1426"/>
      <c r="O1821" s="1426"/>
      <c r="P1821" s="1426"/>
      <c r="Q1821" s="1426"/>
      <c r="R1821" s="1426"/>
      <c r="S1821" s="1426"/>
      <c r="T1821" s="1426"/>
      <c r="U1821" s="1426"/>
      <c r="V1821" s="1427"/>
      <c r="W1821" s="1423">
        <f>(W1796*((1+W$11)^0.5)/W$10)</f>
        <v>0</v>
      </c>
      <c r="X1821" s="152"/>
      <c r="Y1821" s="152"/>
      <c r="Z1821" s="152"/>
      <c r="AA1821" s="152"/>
      <c r="AB1821" s="152"/>
    </row>
    <row r="1822" spans="1:28" hidden="1" outlineLevel="1">
      <c r="A1822" s="152"/>
      <c r="B1822" s="200"/>
      <c r="C1822" s="1423"/>
      <c r="D1822" s="1423"/>
      <c r="E1822" s="1423"/>
      <c r="F1822" s="1423"/>
      <c r="G1822" s="1423"/>
      <c r="H1822" s="1423"/>
      <c r="I1822" s="1423"/>
      <c r="J1822" s="1423"/>
      <c r="K1822" s="1423"/>
      <c r="L1822" s="1423"/>
      <c r="M1822" s="1423"/>
      <c r="N1822" s="1423"/>
      <c r="O1822" s="1423"/>
      <c r="P1822" s="1423"/>
      <c r="Q1822" s="1423"/>
      <c r="R1822" s="1423"/>
      <c r="S1822" s="1423"/>
      <c r="T1822" s="1423"/>
      <c r="U1822" s="1423"/>
      <c r="V1822" s="1423"/>
      <c r="W1822" s="1423"/>
      <c r="X1822" s="152"/>
      <c r="Y1822" s="152"/>
      <c r="Z1822" s="152"/>
      <c r="AA1822" s="152"/>
      <c r="AB1822" s="152"/>
    </row>
    <row r="1823" spans="1:28" hidden="1" outlineLevel="1">
      <c r="A1823" s="152"/>
      <c r="B1823" s="200"/>
      <c r="C1823" s="1423"/>
      <c r="D1823" s="1423"/>
      <c r="E1823" s="1423"/>
      <c r="F1823" s="1423"/>
      <c r="G1823" s="1423"/>
      <c r="H1823" s="1423"/>
      <c r="I1823" s="1423"/>
      <c r="J1823" s="1423"/>
      <c r="K1823" s="1423"/>
      <c r="L1823" s="1423"/>
      <c r="M1823" s="1423"/>
      <c r="N1823" s="1423"/>
      <c r="O1823" s="1423"/>
      <c r="P1823" s="1423"/>
      <c r="Q1823" s="1423"/>
      <c r="R1823" s="1423"/>
      <c r="S1823" s="1423"/>
      <c r="T1823" s="1423"/>
      <c r="U1823" s="1423"/>
      <c r="V1823" s="1423"/>
      <c r="W1823" s="1423"/>
      <c r="X1823" s="152"/>
      <c r="Y1823" s="152"/>
      <c r="Z1823" s="152"/>
      <c r="AA1823" s="152"/>
      <c r="AB1823" s="152"/>
    </row>
    <row r="1824" spans="1:28" hidden="1" outlineLevel="1">
      <c r="A1824" s="152"/>
      <c r="B1824" s="190" t="s">
        <v>190</v>
      </c>
      <c r="C1824" s="1423"/>
      <c r="D1824" s="1423">
        <f ca="1">IF(AND(C1824&lt;1,D1798=0),0,
IF(D1798=0,C1824-1,
IF(C1824&lt;1,D1799,
(((C1824-1)*(C1800-(C1800/(C1824))))+((D1798/D$10)*D1799))/(D1800))))</f>
        <v>0</v>
      </c>
      <c r="E1824" s="1423">
        <f t="shared" ref="E1824" ca="1" si="2678">IF(AND(D1824&lt;1,E1798=0),0,
IF(E1798=0,D1824-1,
IF(D1824&lt;1,E1799,
(((D1824-1)*(D1800-(D1800/(D1824))))+((E1798/E$10)*E1799))/(E1800))))</f>
        <v>0</v>
      </c>
      <c r="F1824" s="1423">
        <f t="shared" ref="F1824" ca="1" si="2679">IF(AND(E1824&lt;1,F1798=0),0,
IF(F1798=0,E1824-1,
IF(E1824&lt;1,F1799,
(((E1824-1)*(E1800-(E1800/(E1824))))+((F1798/F$10)*F1799))/(F1800))))</f>
        <v>0</v>
      </c>
      <c r="G1824" s="1423">
        <f t="shared" ref="G1824" ca="1" si="2680">IF(AND(F1824&lt;1,G1798=0),0,
IF(G1798=0,F1824-1,
IF(F1824&lt;1,G1799,
(((F1824-1)*(F1800-(F1800/(F1824))))+((G1798/G$10)*G1799))/(G1800))))</f>
        <v>0</v>
      </c>
      <c r="H1824" s="1423">
        <f t="shared" ref="H1824" ca="1" si="2681">IF(AND(G1824&lt;1,H1798=0),0,
IF(H1798=0,G1824-1,
IF(G1824&lt;1,H1799,
(((G1824-1)*(G1800-(G1800/(G1824))))+((H1798/H$10)*H1799))/(H1800))))</f>
        <v>0</v>
      </c>
      <c r="I1824" s="1423">
        <f t="shared" ref="I1824" ca="1" si="2682">IF(AND(H1824&lt;1,I1798=0),0,
IF(I1798=0,H1824-1,
IF(H1824&lt;1,I1799,
(((H1824-1)*(H1800-(H1800/(H1824))))+((I1798/I$10)*I1799))/(I1800))))</f>
        <v>0</v>
      </c>
      <c r="J1824" s="1423">
        <f t="shared" ref="J1824" ca="1" si="2683">IF(AND(I1824&lt;1,J1798=0),0,
IF(J1798=0,I1824-1,
IF(I1824&lt;1,J1799,
(((I1824-1)*(I1800-(I1800/(I1824))))+((J1798/J$10)*J1799))/(J1800))))</f>
        <v>0</v>
      </c>
      <c r="K1824" s="1423">
        <f t="shared" ref="K1824" ca="1" si="2684">IF(AND(J1824&lt;1,K1798=0),0,
IF(K1798=0,J1824-1,
IF(J1824&lt;1,K1799,
(((J1824-1)*(J1800-(J1800/(J1824))))+((K1798/K$10)*K1799))/(K1800))))</f>
        <v>0</v>
      </c>
      <c r="L1824" s="1423">
        <f t="shared" ref="L1824" ca="1" si="2685">IF(AND(K1824&lt;1,L1798=0),0,
IF(L1798=0,K1824-1,
IF(K1824&lt;1,L1799,
(((K1824-1)*(K1800-(K1800/(K1824))))+((L1798/L$10)*L1799))/(L1800))))</f>
        <v>0</v>
      </c>
      <c r="M1824" s="1423">
        <f t="shared" ref="M1824" ca="1" si="2686">IF(AND(L1824&lt;1,M1798=0),0,
IF(M1798=0,L1824-1,
IF(L1824&lt;1,M1799,
(((L1824-1)*(L1800-(L1800/(L1824))))+((M1798/M$10)*M1799))/(M1800))))</f>
        <v>0</v>
      </c>
      <c r="N1824" s="1423">
        <f t="shared" ref="N1824" ca="1" si="2687">IF(AND(M1824&lt;1,N1798=0),0,
IF(N1798=0,M1824-1,
IF(M1824&lt;1,N1799,
(((M1824-1)*(M1800-(M1800/(M1824))))+((N1798/N$10)*N1799))/(N1800))))</f>
        <v>0</v>
      </c>
      <c r="O1824" s="1423">
        <f t="shared" ref="O1824" ca="1" si="2688">IF(AND(N1824&lt;1,O1798=0),0,
IF(O1798=0,N1824-1,
IF(N1824&lt;1,O1799,
(((N1824-1)*(N1800-(N1800/(N1824))))+((O1798/O$10)*O1799))/(O1800))))</f>
        <v>0</v>
      </c>
      <c r="P1824" s="1423">
        <f t="shared" ref="P1824" ca="1" si="2689">IF(AND(O1824&lt;1,P1798=0),0,
IF(P1798=0,O1824-1,
IF(O1824&lt;1,P1799,
(((O1824-1)*(O1800-(O1800/(O1824))))+((P1798/P$10)*P1799))/(P1800))))</f>
        <v>0</v>
      </c>
      <c r="Q1824" s="1423">
        <f t="shared" ref="Q1824" ca="1" si="2690">IF(AND(P1824&lt;1,Q1798=0),0,
IF(Q1798=0,P1824-1,
IF(P1824&lt;1,Q1799,
(((P1824-1)*(P1800-(P1800/(P1824))))+((Q1798/Q$10)*Q1799))/(Q1800))))</f>
        <v>0</v>
      </c>
      <c r="R1824" s="1423">
        <f t="shared" ref="R1824" ca="1" si="2691">IF(AND(Q1824&lt;1,R1798=0),0,
IF(R1798=0,Q1824-1,
IF(Q1824&lt;1,R1799,
(((Q1824-1)*(Q1800-(Q1800/(Q1824))))+((R1798/R$10)*R1799))/(R1800))))</f>
        <v>0</v>
      </c>
      <c r="S1824" s="1423">
        <f t="shared" ref="S1824" ca="1" si="2692">IF(AND(R1824&lt;1,S1798=0),0,
IF(S1798=0,R1824-1,
IF(R1824&lt;1,S1799,
(((R1824-1)*(R1800-(R1800/(R1824))))+((S1798/S$10)*S1799))/(S1800))))</f>
        <v>0</v>
      </c>
      <c r="T1824" s="1423">
        <f t="shared" ref="T1824" ca="1" si="2693">IF(AND(S1824&lt;1,T1798=0),0,
IF(T1798=0,S1824-1,
IF(S1824&lt;1,T1799,
(((S1824-1)*(S1800-(S1800/(S1824))))+((T1798/T$10)*T1799))/(T1800))))</f>
        <v>0</v>
      </c>
      <c r="U1824" s="1423">
        <f t="shared" ref="U1824" ca="1" si="2694">IF(AND(T1824&lt;1,U1798=0),0,
IF(U1798=0,T1824-1,
IF(T1824&lt;1,U1799,
(((T1824-1)*(T1800-(T1800/(T1824))))+((U1798/U$10)*U1799))/(U1800))))</f>
        <v>0</v>
      </c>
      <c r="V1824" s="1423">
        <f t="shared" ref="V1824" ca="1" si="2695">IF(AND(U1824&lt;1,V1798=0),0,
IF(V1798=0,U1824-1,
IF(U1824&lt;1,V1799,
(((U1824-1)*(U1800-(U1800/(U1824))))+((V1798/V$10)*V1799))/(V1800))))</f>
        <v>0</v>
      </c>
      <c r="W1824" s="1423">
        <f t="shared" ref="W1824" ca="1" si="2696">IF(AND(V1824&lt;1,W1798=0),0,
IF(W1798=0,V1824-1,
IF(V1824&lt;1,W1799,
(((V1824-1)*(V1800-(V1800/(V1824))))+((W1798/W$10)*W1799))/(W1800))))</f>
        <v>0</v>
      </c>
      <c r="X1824" s="152"/>
      <c r="Y1824" s="152"/>
      <c r="Z1824" s="152"/>
      <c r="AA1824" s="152"/>
      <c r="AB1824" s="152"/>
    </row>
    <row r="1825" spans="1:28" hidden="1" outlineLevel="1">
      <c r="A1825" s="152"/>
      <c r="B1825" s="190" t="s">
        <v>122</v>
      </c>
      <c r="C1825" s="1423">
        <f ca="1">C1797</f>
        <v>0</v>
      </c>
      <c r="D1825" s="1423">
        <f t="shared" ref="D1825" ca="1" si="2697">IF(C1825="n/a","n/a",MAX(0,C1825-1))</f>
        <v>0</v>
      </c>
      <c r="E1825" s="1423">
        <f t="shared" ref="E1825:E1826" ca="1" si="2698">IF(D1825="n/a","n/a",MAX(0,D1825-1))</f>
        <v>0</v>
      </c>
      <c r="F1825" s="1423">
        <f t="shared" ref="F1825:F1827" ca="1" si="2699">IF(E1825="n/a","n/a",MAX(0,E1825-1))</f>
        <v>0</v>
      </c>
      <c r="G1825" s="1423">
        <f t="shared" ref="G1825:G1828" ca="1" si="2700">IF(F1825="n/a","n/a",MAX(0,F1825-1))</f>
        <v>0</v>
      </c>
      <c r="H1825" s="1423">
        <f t="shared" ref="H1825:H1829" ca="1" si="2701">IF(G1825="n/a","n/a",MAX(0,G1825-1))</f>
        <v>0</v>
      </c>
      <c r="I1825" s="1423">
        <f t="shared" ref="I1825:I1830" ca="1" si="2702">IF(H1825="n/a","n/a",MAX(0,H1825-1))</f>
        <v>0</v>
      </c>
      <c r="J1825" s="1423">
        <f t="shared" ref="J1825:J1831" ca="1" si="2703">IF(I1825="n/a","n/a",MAX(0,I1825-1))</f>
        <v>0</v>
      </c>
      <c r="K1825" s="1423">
        <f t="shared" ref="K1825:K1832" ca="1" si="2704">IF(J1825="n/a","n/a",MAX(0,J1825-1))</f>
        <v>0</v>
      </c>
      <c r="L1825" s="1423">
        <f t="shared" ref="L1825:L1833" ca="1" si="2705">IF(K1825="n/a","n/a",MAX(0,K1825-1))</f>
        <v>0</v>
      </c>
      <c r="M1825" s="1423">
        <f t="shared" ref="M1825:M1834" ca="1" si="2706">IF(L1825="n/a","n/a",MAX(0,L1825-1))</f>
        <v>0</v>
      </c>
      <c r="N1825" s="1423">
        <f t="shared" ref="N1825:N1835" ca="1" si="2707">IF(M1825="n/a","n/a",MAX(0,M1825-1))</f>
        <v>0</v>
      </c>
      <c r="O1825" s="1423">
        <f t="shared" ref="O1825:O1836" ca="1" si="2708">IF(N1825="n/a","n/a",MAX(0,N1825-1))</f>
        <v>0</v>
      </c>
      <c r="P1825" s="1423">
        <f t="shared" ref="P1825:P1837" ca="1" si="2709">IF(O1825="n/a","n/a",MAX(0,O1825-1))</f>
        <v>0</v>
      </c>
      <c r="Q1825" s="1423">
        <f t="shared" ref="Q1825:Q1838" ca="1" si="2710">IF(P1825="n/a","n/a",MAX(0,P1825-1))</f>
        <v>0</v>
      </c>
      <c r="R1825" s="1423">
        <f t="shared" ref="R1825:R1839" ca="1" si="2711">IF(Q1825="n/a","n/a",MAX(0,Q1825-1))</f>
        <v>0</v>
      </c>
      <c r="S1825" s="1423">
        <f t="shared" ref="S1825:S1840" ca="1" si="2712">IF(R1825="n/a","n/a",MAX(0,R1825-1))</f>
        <v>0</v>
      </c>
      <c r="T1825" s="1423">
        <f t="shared" ref="T1825:T1841" ca="1" si="2713">IF(S1825="n/a","n/a",MAX(0,S1825-1))</f>
        <v>0</v>
      </c>
      <c r="U1825" s="1423">
        <f t="shared" ref="U1825:U1842" ca="1" si="2714">IF(T1825="n/a","n/a",MAX(0,T1825-1))</f>
        <v>0</v>
      </c>
      <c r="V1825" s="1423">
        <f t="shared" ref="V1825:V1843" ca="1" si="2715">IF(U1825="n/a","n/a",MAX(0,U1825-1))</f>
        <v>0</v>
      </c>
      <c r="W1825" s="1423">
        <f t="shared" ref="W1825:W1843" ca="1" si="2716">IF(V1825="n/a","n/a",MAX(0,V1825-1))</f>
        <v>0</v>
      </c>
      <c r="X1825" s="152"/>
      <c r="Y1825" s="152"/>
      <c r="Z1825" s="152"/>
      <c r="AA1825" s="152"/>
      <c r="AB1825" s="152"/>
    </row>
    <row r="1826" spans="1:28" hidden="1" outlineLevel="1">
      <c r="A1826" s="152"/>
      <c r="B1826" s="190" t="str">
        <f t="shared" ref="B1826:B1845" ca="1" si="2717">"RL Capex "&amp;OFFSET($C$6,0,A1802)</f>
        <v>RL Capex 2016-17</v>
      </c>
      <c r="C1826" s="1424"/>
      <c r="D1826" s="1428">
        <f>D1797</f>
        <v>0</v>
      </c>
      <c r="E1826" s="1423">
        <f t="shared" si="2698"/>
        <v>0</v>
      </c>
      <c r="F1826" s="1423">
        <f t="shared" si="2699"/>
        <v>0</v>
      </c>
      <c r="G1826" s="1423">
        <f t="shared" si="2700"/>
        <v>0</v>
      </c>
      <c r="H1826" s="1423">
        <f t="shared" si="2701"/>
        <v>0</v>
      </c>
      <c r="I1826" s="1423">
        <f t="shared" si="2702"/>
        <v>0</v>
      </c>
      <c r="J1826" s="1423">
        <f t="shared" si="2703"/>
        <v>0</v>
      </c>
      <c r="K1826" s="1423">
        <f t="shared" si="2704"/>
        <v>0</v>
      </c>
      <c r="L1826" s="1423">
        <f t="shared" si="2705"/>
        <v>0</v>
      </c>
      <c r="M1826" s="1423">
        <f t="shared" si="2706"/>
        <v>0</v>
      </c>
      <c r="N1826" s="1423">
        <f t="shared" si="2707"/>
        <v>0</v>
      </c>
      <c r="O1826" s="1423">
        <f t="shared" si="2708"/>
        <v>0</v>
      </c>
      <c r="P1826" s="1423">
        <f t="shared" si="2709"/>
        <v>0</v>
      </c>
      <c r="Q1826" s="1423">
        <f t="shared" si="2710"/>
        <v>0</v>
      </c>
      <c r="R1826" s="1423">
        <f t="shared" si="2711"/>
        <v>0</v>
      </c>
      <c r="S1826" s="1423">
        <f t="shared" si="2712"/>
        <v>0</v>
      </c>
      <c r="T1826" s="1423">
        <f t="shared" si="2713"/>
        <v>0</v>
      </c>
      <c r="U1826" s="1423">
        <f t="shared" si="2714"/>
        <v>0</v>
      </c>
      <c r="V1826" s="1423">
        <f t="shared" si="2715"/>
        <v>0</v>
      </c>
      <c r="W1826" s="1423">
        <f t="shared" si="2716"/>
        <v>0</v>
      </c>
      <c r="X1826" s="152"/>
      <c r="Y1826" s="152"/>
      <c r="Z1826" s="152"/>
      <c r="AA1826" s="152"/>
      <c r="AB1826" s="152"/>
    </row>
    <row r="1827" spans="1:28" hidden="1" outlineLevel="1">
      <c r="A1827" s="152"/>
      <c r="B1827" s="190" t="str">
        <f t="shared" ca="1" si="2717"/>
        <v>RL Capex 2017-18</v>
      </c>
      <c r="C1827" s="1429"/>
      <c r="D1827" s="1424"/>
      <c r="E1827" s="1428">
        <f>E1797</f>
        <v>0</v>
      </c>
      <c r="F1827" s="1423">
        <f t="shared" si="2699"/>
        <v>0</v>
      </c>
      <c r="G1827" s="1423">
        <f t="shared" si="2700"/>
        <v>0</v>
      </c>
      <c r="H1827" s="1423">
        <f t="shared" si="2701"/>
        <v>0</v>
      </c>
      <c r="I1827" s="1423">
        <f t="shared" si="2702"/>
        <v>0</v>
      </c>
      <c r="J1827" s="1423">
        <f t="shared" si="2703"/>
        <v>0</v>
      </c>
      <c r="K1827" s="1423">
        <f t="shared" si="2704"/>
        <v>0</v>
      </c>
      <c r="L1827" s="1423">
        <f t="shared" si="2705"/>
        <v>0</v>
      </c>
      <c r="M1827" s="1423">
        <f t="shared" si="2706"/>
        <v>0</v>
      </c>
      <c r="N1827" s="1423">
        <f t="shared" si="2707"/>
        <v>0</v>
      </c>
      <c r="O1827" s="1423">
        <f t="shared" si="2708"/>
        <v>0</v>
      </c>
      <c r="P1827" s="1423">
        <f t="shared" si="2709"/>
        <v>0</v>
      </c>
      <c r="Q1827" s="1423">
        <f t="shared" si="2710"/>
        <v>0</v>
      </c>
      <c r="R1827" s="1423">
        <f t="shared" si="2711"/>
        <v>0</v>
      </c>
      <c r="S1827" s="1423">
        <f t="shared" si="2712"/>
        <v>0</v>
      </c>
      <c r="T1827" s="1423">
        <f t="shared" si="2713"/>
        <v>0</v>
      </c>
      <c r="U1827" s="1423">
        <f t="shared" si="2714"/>
        <v>0</v>
      </c>
      <c r="V1827" s="1423">
        <f t="shared" si="2715"/>
        <v>0</v>
      </c>
      <c r="W1827" s="1423">
        <f t="shared" si="2716"/>
        <v>0</v>
      </c>
      <c r="X1827" s="152"/>
      <c r="Y1827" s="152"/>
      <c r="Z1827" s="152"/>
      <c r="AA1827" s="152"/>
      <c r="AB1827" s="152"/>
    </row>
    <row r="1828" spans="1:28" hidden="1" outlineLevel="1">
      <c r="A1828" s="152"/>
      <c r="B1828" s="190" t="str">
        <f t="shared" ca="1" si="2717"/>
        <v>RL Capex 2018-19</v>
      </c>
      <c r="C1828" s="1429"/>
      <c r="D1828" s="1429"/>
      <c r="E1828" s="1424"/>
      <c r="F1828" s="1428">
        <f>F1797</f>
        <v>0</v>
      </c>
      <c r="G1828" s="1423">
        <f t="shared" si="2700"/>
        <v>0</v>
      </c>
      <c r="H1828" s="1423">
        <f t="shared" si="2701"/>
        <v>0</v>
      </c>
      <c r="I1828" s="1423">
        <f t="shared" si="2702"/>
        <v>0</v>
      </c>
      <c r="J1828" s="1423">
        <f t="shared" si="2703"/>
        <v>0</v>
      </c>
      <c r="K1828" s="1423">
        <f t="shared" si="2704"/>
        <v>0</v>
      </c>
      <c r="L1828" s="1423">
        <f t="shared" si="2705"/>
        <v>0</v>
      </c>
      <c r="M1828" s="1423">
        <f t="shared" si="2706"/>
        <v>0</v>
      </c>
      <c r="N1828" s="1423">
        <f t="shared" si="2707"/>
        <v>0</v>
      </c>
      <c r="O1828" s="1423">
        <f t="shared" si="2708"/>
        <v>0</v>
      </c>
      <c r="P1828" s="1423">
        <f t="shared" si="2709"/>
        <v>0</v>
      </c>
      <c r="Q1828" s="1423">
        <f t="shared" si="2710"/>
        <v>0</v>
      </c>
      <c r="R1828" s="1423">
        <f t="shared" si="2711"/>
        <v>0</v>
      </c>
      <c r="S1828" s="1423">
        <f t="shared" si="2712"/>
        <v>0</v>
      </c>
      <c r="T1828" s="1423">
        <f t="shared" si="2713"/>
        <v>0</v>
      </c>
      <c r="U1828" s="1423">
        <f t="shared" si="2714"/>
        <v>0</v>
      </c>
      <c r="V1828" s="1423">
        <f t="shared" si="2715"/>
        <v>0</v>
      </c>
      <c r="W1828" s="1423">
        <f t="shared" si="2716"/>
        <v>0</v>
      </c>
      <c r="X1828" s="152"/>
      <c r="Y1828" s="152"/>
      <c r="Z1828" s="152"/>
      <c r="AA1828" s="152"/>
      <c r="AB1828" s="152"/>
    </row>
    <row r="1829" spans="1:28" hidden="1" outlineLevel="1">
      <c r="A1829" s="152"/>
      <c r="B1829" s="190" t="str">
        <f t="shared" ca="1" si="2717"/>
        <v>RL Capex 2019-20</v>
      </c>
      <c r="C1829" s="1429"/>
      <c r="D1829" s="1429"/>
      <c r="E1829" s="1429"/>
      <c r="F1829" s="1424"/>
      <c r="G1829" s="1428">
        <f>G1797</f>
        <v>0</v>
      </c>
      <c r="H1829" s="1423">
        <f t="shared" si="2701"/>
        <v>0</v>
      </c>
      <c r="I1829" s="1423">
        <f t="shared" si="2702"/>
        <v>0</v>
      </c>
      <c r="J1829" s="1423">
        <f t="shared" si="2703"/>
        <v>0</v>
      </c>
      <c r="K1829" s="1423">
        <f t="shared" si="2704"/>
        <v>0</v>
      </c>
      <c r="L1829" s="1423">
        <f t="shared" si="2705"/>
        <v>0</v>
      </c>
      <c r="M1829" s="1423">
        <f t="shared" si="2706"/>
        <v>0</v>
      </c>
      <c r="N1829" s="1423">
        <f t="shared" si="2707"/>
        <v>0</v>
      </c>
      <c r="O1829" s="1423">
        <f t="shared" si="2708"/>
        <v>0</v>
      </c>
      <c r="P1829" s="1423">
        <f t="shared" si="2709"/>
        <v>0</v>
      </c>
      <c r="Q1829" s="1423">
        <f t="shared" si="2710"/>
        <v>0</v>
      </c>
      <c r="R1829" s="1423">
        <f t="shared" si="2711"/>
        <v>0</v>
      </c>
      <c r="S1829" s="1423">
        <f t="shared" si="2712"/>
        <v>0</v>
      </c>
      <c r="T1829" s="1423">
        <f t="shared" si="2713"/>
        <v>0</v>
      </c>
      <c r="U1829" s="1423">
        <f t="shared" si="2714"/>
        <v>0</v>
      </c>
      <c r="V1829" s="1423">
        <f t="shared" si="2715"/>
        <v>0</v>
      </c>
      <c r="W1829" s="1423">
        <f t="shared" si="2716"/>
        <v>0</v>
      </c>
      <c r="X1829" s="152"/>
      <c r="Y1829" s="152"/>
      <c r="Z1829" s="152"/>
      <c r="AA1829" s="152"/>
      <c r="AB1829" s="152"/>
    </row>
    <row r="1830" spans="1:28" hidden="1" outlineLevel="1">
      <c r="A1830" s="152"/>
      <c r="B1830" s="190" t="str">
        <f t="shared" ca="1" si="2717"/>
        <v>RL Capex 2020-21</v>
      </c>
      <c r="C1830" s="1429"/>
      <c r="D1830" s="1429"/>
      <c r="E1830" s="1429"/>
      <c r="F1830" s="1429"/>
      <c r="G1830" s="1424"/>
      <c r="H1830" s="1428">
        <f>H1797</f>
        <v>0</v>
      </c>
      <c r="I1830" s="1423">
        <f t="shared" si="2702"/>
        <v>0</v>
      </c>
      <c r="J1830" s="1423">
        <f t="shared" si="2703"/>
        <v>0</v>
      </c>
      <c r="K1830" s="1423">
        <f t="shared" si="2704"/>
        <v>0</v>
      </c>
      <c r="L1830" s="1423">
        <f t="shared" si="2705"/>
        <v>0</v>
      </c>
      <c r="M1830" s="1423">
        <f t="shared" si="2706"/>
        <v>0</v>
      </c>
      <c r="N1830" s="1423">
        <f t="shared" si="2707"/>
        <v>0</v>
      </c>
      <c r="O1830" s="1423">
        <f t="shared" si="2708"/>
        <v>0</v>
      </c>
      <c r="P1830" s="1423">
        <f t="shared" si="2709"/>
        <v>0</v>
      </c>
      <c r="Q1830" s="1423">
        <f t="shared" si="2710"/>
        <v>0</v>
      </c>
      <c r="R1830" s="1423">
        <f t="shared" si="2711"/>
        <v>0</v>
      </c>
      <c r="S1830" s="1423">
        <f t="shared" si="2712"/>
        <v>0</v>
      </c>
      <c r="T1830" s="1423">
        <f t="shared" si="2713"/>
        <v>0</v>
      </c>
      <c r="U1830" s="1423">
        <f t="shared" si="2714"/>
        <v>0</v>
      </c>
      <c r="V1830" s="1423">
        <f t="shared" si="2715"/>
        <v>0</v>
      </c>
      <c r="W1830" s="1423">
        <f t="shared" si="2716"/>
        <v>0</v>
      </c>
      <c r="X1830" s="152"/>
      <c r="Y1830" s="152"/>
      <c r="Z1830" s="152"/>
      <c r="AA1830" s="152"/>
      <c r="AB1830" s="152"/>
    </row>
    <row r="1831" spans="1:28" hidden="1" outlineLevel="1">
      <c r="A1831" s="152"/>
      <c r="B1831" s="190" t="str">
        <f t="shared" ca="1" si="2717"/>
        <v>RL Capex 2021-22</v>
      </c>
      <c r="C1831" s="1429"/>
      <c r="D1831" s="1429"/>
      <c r="E1831" s="1429"/>
      <c r="F1831" s="1429"/>
      <c r="G1831" s="1429"/>
      <c r="H1831" s="1424"/>
      <c r="I1831" s="1428">
        <f>I1797</f>
        <v>0</v>
      </c>
      <c r="J1831" s="1423">
        <f t="shared" si="2703"/>
        <v>0</v>
      </c>
      <c r="K1831" s="1423">
        <f t="shared" si="2704"/>
        <v>0</v>
      </c>
      <c r="L1831" s="1423">
        <f t="shared" si="2705"/>
        <v>0</v>
      </c>
      <c r="M1831" s="1423">
        <f t="shared" si="2706"/>
        <v>0</v>
      </c>
      <c r="N1831" s="1423">
        <f t="shared" si="2707"/>
        <v>0</v>
      </c>
      <c r="O1831" s="1423">
        <f t="shared" si="2708"/>
        <v>0</v>
      </c>
      <c r="P1831" s="1423">
        <f t="shared" si="2709"/>
        <v>0</v>
      </c>
      <c r="Q1831" s="1423">
        <f t="shared" si="2710"/>
        <v>0</v>
      </c>
      <c r="R1831" s="1423">
        <f t="shared" si="2711"/>
        <v>0</v>
      </c>
      <c r="S1831" s="1423">
        <f t="shared" si="2712"/>
        <v>0</v>
      </c>
      <c r="T1831" s="1423">
        <f t="shared" si="2713"/>
        <v>0</v>
      </c>
      <c r="U1831" s="1423">
        <f t="shared" si="2714"/>
        <v>0</v>
      </c>
      <c r="V1831" s="1423">
        <f t="shared" si="2715"/>
        <v>0</v>
      </c>
      <c r="W1831" s="1423">
        <f t="shared" si="2716"/>
        <v>0</v>
      </c>
      <c r="X1831" s="152"/>
      <c r="Y1831" s="152"/>
      <c r="Z1831" s="152"/>
      <c r="AA1831" s="152"/>
      <c r="AB1831" s="152"/>
    </row>
    <row r="1832" spans="1:28" hidden="1" outlineLevel="1">
      <c r="A1832" s="152"/>
      <c r="B1832" s="190" t="str">
        <f t="shared" ca="1" si="2717"/>
        <v>RL Capex 2022-23</v>
      </c>
      <c r="C1832" s="1429"/>
      <c r="D1832" s="1429"/>
      <c r="E1832" s="1429"/>
      <c r="F1832" s="1429"/>
      <c r="G1832" s="1429"/>
      <c r="H1832" s="1429"/>
      <c r="I1832" s="1424"/>
      <c r="J1832" s="1428">
        <f>J1797</f>
        <v>0</v>
      </c>
      <c r="K1832" s="1423">
        <f t="shared" si="2704"/>
        <v>0</v>
      </c>
      <c r="L1832" s="1423">
        <f t="shared" si="2705"/>
        <v>0</v>
      </c>
      <c r="M1832" s="1423">
        <f t="shared" si="2706"/>
        <v>0</v>
      </c>
      <c r="N1832" s="1423">
        <f t="shared" si="2707"/>
        <v>0</v>
      </c>
      <c r="O1832" s="1423">
        <f t="shared" si="2708"/>
        <v>0</v>
      </c>
      <c r="P1832" s="1423">
        <f t="shared" si="2709"/>
        <v>0</v>
      </c>
      <c r="Q1832" s="1423">
        <f t="shared" si="2710"/>
        <v>0</v>
      </c>
      <c r="R1832" s="1423">
        <f t="shared" si="2711"/>
        <v>0</v>
      </c>
      <c r="S1832" s="1423">
        <f t="shared" si="2712"/>
        <v>0</v>
      </c>
      <c r="T1832" s="1423">
        <f t="shared" si="2713"/>
        <v>0</v>
      </c>
      <c r="U1832" s="1423">
        <f t="shared" si="2714"/>
        <v>0</v>
      </c>
      <c r="V1832" s="1423">
        <f t="shared" si="2715"/>
        <v>0</v>
      </c>
      <c r="W1832" s="1423">
        <f t="shared" si="2716"/>
        <v>0</v>
      </c>
      <c r="X1832" s="152"/>
      <c r="Y1832" s="152"/>
      <c r="Z1832" s="152"/>
      <c r="AA1832" s="152"/>
      <c r="AB1832" s="152"/>
    </row>
    <row r="1833" spans="1:28" hidden="1" outlineLevel="1">
      <c r="A1833" s="152"/>
      <c r="B1833" s="190" t="str">
        <f t="shared" ca="1" si="2717"/>
        <v>RL Capex 2023-24</v>
      </c>
      <c r="C1833" s="1429"/>
      <c r="D1833" s="1429"/>
      <c r="E1833" s="1429"/>
      <c r="F1833" s="1429"/>
      <c r="G1833" s="1429"/>
      <c r="H1833" s="1429"/>
      <c r="I1833" s="1429"/>
      <c r="J1833" s="1424"/>
      <c r="K1833" s="1428">
        <f>K1797</f>
        <v>0</v>
      </c>
      <c r="L1833" s="1423">
        <f t="shared" si="2705"/>
        <v>0</v>
      </c>
      <c r="M1833" s="1423">
        <f t="shared" si="2706"/>
        <v>0</v>
      </c>
      <c r="N1833" s="1423">
        <f t="shared" si="2707"/>
        <v>0</v>
      </c>
      <c r="O1833" s="1423">
        <f t="shared" si="2708"/>
        <v>0</v>
      </c>
      <c r="P1833" s="1423">
        <f t="shared" si="2709"/>
        <v>0</v>
      </c>
      <c r="Q1833" s="1423">
        <f t="shared" si="2710"/>
        <v>0</v>
      </c>
      <c r="R1833" s="1423">
        <f t="shared" si="2711"/>
        <v>0</v>
      </c>
      <c r="S1833" s="1423">
        <f t="shared" si="2712"/>
        <v>0</v>
      </c>
      <c r="T1833" s="1423">
        <f t="shared" si="2713"/>
        <v>0</v>
      </c>
      <c r="U1833" s="1423">
        <f t="shared" si="2714"/>
        <v>0</v>
      </c>
      <c r="V1833" s="1423">
        <f t="shared" si="2715"/>
        <v>0</v>
      </c>
      <c r="W1833" s="1423">
        <f t="shared" si="2716"/>
        <v>0</v>
      </c>
      <c r="X1833" s="152"/>
      <c r="Y1833" s="152"/>
      <c r="Z1833" s="152"/>
      <c r="AA1833" s="152"/>
      <c r="AB1833" s="152"/>
    </row>
    <row r="1834" spans="1:28" hidden="1" outlineLevel="1">
      <c r="A1834" s="152"/>
      <c r="B1834" s="190" t="str">
        <f t="shared" ca="1" si="2717"/>
        <v>RL Capex 2024-25</v>
      </c>
      <c r="C1834" s="1429"/>
      <c r="D1834" s="1429"/>
      <c r="E1834" s="1429"/>
      <c r="F1834" s="1429"/>
      <c r="G1834" s="1429"/>
      <c r="H1834" s="1429"/>
      <c r="I1834" s="1429"/>
      <c r="J1834" s="1429"/>
      <c r="K1834" s="1424"/>
      <c r="L1834" s="1428">
        <f>L1797</f>
        <v>0</v>
      </c>
      <c r="M1834" s="1423">
        <f t="shared" si="2706"/>
        <v>0</v>
      </c>
      <c r="N1834" s="1423">
        <f t="shared" si="2707"/>
        <v>0</v>
      </c>
      <c r="O1834" s="1423">
        <f t="shared" si="2708"/>
        <v>0</v>
      </c>
      <c r="P1834" s="1423">
        <f t="shared" si="2709"/>
        <v>0</v>
      </c>
      <c r="Q1834" s="1423">
        <f t="shared" si="2710"/>
        <v>0</v>
      </c>
      <c r="R1834" s="1423">
        <f t="shared" si="2711"/>
        <v>0</v>
      </c>
      <c r="S1834" s="1423">
        <f t="shared" si="2712"/>
        <v>0</v>
      </c>
      <c r="T1834" s="1423">
        <f t="shared" si="2713"/>
        <v>0</v>
      </c>
      <c r="U1834" s="1423">
        <f t="shared" si="2714"/>
        <v>0</v>
      </c>
      <c r="V1834" s="1423">
        <f t="shared" si="2715"/>
        <v>0</v>
      </c>
      <c r="W1834" s="1423">
        <f t="shared" si="2716"/>
        <v>0</v>
      </c>
      <c r="X1834" s="152"/>
      <c r="Y1834" s="152"/>
      <c r="Z1834" s="152"/>
      <c r="AA1834" s="152"/>
      <c r="AB1834" s="152"/>
    </row>
    <row r="1835" spans="1:28" hidden="1" outlineLevel="1">
      <c r="A1835" s="152"/>
      <c r="B1835" s="190" t="str">
        <f t="shared" ca="1" si="2717"/>
        <v>RL Capex 2025-26</v>
      </c>
      <c r="C1835" s="1429"/>
      <c r="D1835" s="1429"/>
      <c r="E1835" s="1429"/>
      <c r="F1835" s="1429"/>
      <c r="G1835" s="1429"/>
      <c r="H1835" s="1429"/>
      <c r="I1835" s="1429"/>
      <c r="J1835" s="1429"/>
      <c r="K1835" s="1429"/>
      <c r="L1835" s="1424"/>
      <c r="M1835" s="1428">
        <f>M1797</f>
        <v>0</v>
      </c>
      <c r="N1835" s="1423">
        <f t="shared" si="2707"/>
        <v>0</v>
      </c>
      <c r="O1835" s="1423">
        <f t="shared" si="2708"/>
        <v>0</v>
      </c>
      <c r="P1835" s="1423">
        <f t="shared" si="2709"/>
        <v>0</v>
      </c>
      <c r="Q1835" s="1423">
        <f t="shared" si="2710"/>
        <v>0</v>
      </c>
      <c r="R1835" s="1423">
        <f t="shared" si="2711"/>
        <v>0</v>
      </c>
      <c r="S1835" s="1423">
        <f t="shared" si="2712"/>
        <v>0</v>
      </c>
      <c r="T1835" s="1423">
        <f t="shared" si="2713"/>
        <v>0</v>
      </c>
      <c r="U1835" s="1423">
        <f t="shared" si="2714"/>
        <v>0</v>
      </c>
      <c r="V1835" s="1423">
        <f t="shared" si="2715"/>
        <v>0</v>
      </c>
      <c r="W1835" s="1423">
        <f t="shared" si="2716"/>
        <v>0</v>
      </c>
      <c r="X1835" s="152"/>
      <c r="Y1835" s="152"/>
      <c r="Z1835" s="152"/>
      <c r="AA1835" s="152"/>
      <c r="AB1835" s="152"/>
    </row>
    <row r="1836" spans="1:28" hidden="1" outlineLevel="1">
      <c r="A1836" s="152"/>
      <c r="B1836" s="190" t="str">
        <f t="shared" ca="1" si="2717"/>
        <v>RL Capex 2026-27</v>
      </c>
      <c r="C1836" s="1429"/>
      <c r="D1836" s="1429"/>
      <c r="E1836" s="1429"/>
      <c r="F1836" s="1429"/>
      <c r="G1836" s="1429"/>
      <c r="H1836" s="1429"/>
      <c r="I1836" s="1429"/>
      <c r="J1836" s="1429"/>
      <c r="K1836" s="1429"/>
      <c r="L1836" s="1429"/>
      <c r="M1836" s="1424"/>
      <c r="N1836" s="1428">
        <f>N1797</f>
        <v>0</v>
      </c>
      <c r="O1836" s="1423">
        <f t="shared" si="2708"/>
        <v>0</v>
      </c>
      <c r="P1836" s="1423">
        <f t="shared" si="2709"/>
        <v>0</v>
      </c>
      <c r="Q1836" s="1423">
        <f t="shared" si="2710"/>
        <v>0</v>
      </c>
      <c r="R1836" s="1423">
        <f t="shared" si="2711"/>
        <v>0</v>
      </c>
      <c r="S1836" s="1423">
        <f t="shared" si="2712"/>
        <v>0</v>
      </c>
      <c r="T1836" s="1423">
        <f t="shared" si="2713"/>
        <v>0</v>
      </c>
      <c r="U1836" s="1423">
        <f t="shared" si="2714"/>
        <v>0</v>
      </c>
      <c r="V1836" s="1423">
        <f t="shared" si="2715"/>
        <v>0</v>
      </c>
      <c r="W1836" s="1423">
        <f t="shared" si="2716"/>
        <v>0</v>
      </c>
      <c r="X1836" s="152"/>
      <c r="Y1836" s="152"/>
      <c r="Z1836" s="152"/>
      <c r="AA1836" s="152"/>
      <c r="AB1836" s="152"/>
    </row>
    <row r="1837" spans="1:28" hidden="1" outlineLevel="1">
      <c r="A1837" s="152"/>
      <c r="B1837" s="190" t="str">
        <f t="shared" ca="1" si="2717"/>
        <v>RL Capex 2027-28</v>
      </c>
      <c r="C1837" s="1429"/>
      <c r="D1837" s="1429"/>
      <c r="E1837" s="1429"/>
      <c r="F1837" s="1429"/>
      <c r="G1837" s="1429"/>
      <c r="H1837" s="1429"/>
      <c r="I1837" s="1429"/>
      <c r="J1837" s="1429"/>
      <c r="K1837" s="1429"/>
      <c r="L1837" s="1429"/>
      <c r="M1837" s="1429"/>
      <c r="N1837" s="1424"/>
      <c r="O1837" s="1428">
        <f>O1797</f>
        <v>0</v>
      </c>
      <c r="P1837" s="1423">
        <f t="shared" si="2709"/>
        <v>0</v>
      </c>
      <c r="Q1837" s="1423">
        <f t="shared" si="2710"/>
        <v>0</v>
      </c>
      <c r="R1837" s="1423">
        <f t="shared" si="2711"/>
        <v>0</v>
      </c>
      <c r="S1837" s="1423">
        <f t="shared" si="2712"/>
        <v>0</v>
      </c>
      <c r="T1837" s="1423">
        <f t="shared" si="2713"/>
        <v>0</v>
      </c>
      <c r="U1837" s="1423">
        <f t="shared" si="2714"/>
        <v>0</v>
      </c>
      <c r="V1837" s="1423">
        <f t="shared" si="2715"/>
        <v>0</v>
      </c>
      <c r="W1837" s="1423">
        <f t="shared" si="2716"/>
        <v>0</v>
      </c>
      <c r="X1837" s="152"/>
      <c r="Y1837" s="152"/>
      <c r="Z1837" s="152"/>
      <c r="AA1837" s="152"/>
      <c r="AB1837" s="152"/>
    </row>
    <row r="1838" spans="1:28" hidden="1" outlineLevel="1">
      <c r="A1838" s="152"/>
      <c r="B1838" s="190" t="str">
        <f t="shared" ca="1" si="2717"/>
        <v>RL Capex 2028-29</v>
      </c>
      <c r="C1838" s="1429"/>
      <c r="D1838" s="1429"/>
      <c r="E1838" s="1429"/>
      <c r="F1838" s="1429"/>
      <c r="G1838" s="1429"/>
      <c r="H1838" s="1429"/>
      <c r="I1838" s="1429"/>
      <c r="J1838" s="1429"/>
      <c r="K1838" s="1429"/>
      <c r="L1838" s="1429"/>
      <c r="M1838" s="1429"/>
      <c r="N1838" s="1429"/>
      <c r="O1838" s="1424"/>
      <c r="P1838" s="1428">
        <f>P1797</f>
        <v>0</v>
      </c>
      <c r="Q1838" s="1423">
        <f t="shared" si="2710"/>
        <v>0</v>
      </c>
      <c r="R1838" s="1423">
        <f t="shared" si="2711"/>
        <v>0</v>
      </c>
      <c r="S1838" s="1423">
        <f t="shared" si="2712"/>
        <v>0</v>
      </c>
      <c r="T1838" s="1423">
        <f t="shared" si="2713"/>
        <v>0</v>
      </c>
      <c r="U1838" s="1423">
        <f t="shared" si="2714"/>
        <v>0</v>
      </c>
      <c r="V1838" s="1423">
        <f t="shared" si="2715"/>
        <v>0</v>
      </c>
      <c r="W1838" s="1423">
        <f t="shared" si="2716"/>
        <v>0</v>
      </c>
      <c r="X1838" s="152"/>
      <c r="Y1838" s="152"/>
      <c r="Z1838" s="152"/>
      <c r="AA1838" s="152"/>
      <c r="AB1838" s="152"/>
    </row>
    <row r="1839" spans="1:28" hidden="1" outlineLevel="1">
      <c r="A1839" s="152"/>
      <c r="B1839" s="190" t="str">
        <f t="shared" ca="1" si="2717"/>
        <v>RL Capex 2029-30</v>
      </c>
      <c r="C1839" s="1429"/>
      <c r="D1839" s="1429"/>
      <c r="E1839" s="1429"/>
      <c r="F1839" s="1429"/>
      <c r="G1839" s="1429"/>
      <c r="H1839" s="1429"/>
      <c r="I1839" s="1429"/>
      <c r="J1839" s="1429"/>
      <c r="K1839" s="1429"/>
      <c r="L1839" s="1429"/>
      <c r="M1839" s="1429"/>
      <c r="N1839" s="1429"/>
      <c r="O1839" s="1429"/>
      <c r="P1839" s="1424"/>
      <c r="Q1839" s="1428">
        <f>Q1797</f>
        <v>0</v>
      </c>
      <c r="R1839" s="1423">
        <f t="shared" si="2711"/>
        <v>0</v>
      </c>
      <c r="S1839" s="1423">
        <f t="shared" si="2712"/>
        <v>0</v>
      </c>
      <c r="T1839" s="1423">
        <f t="shared" si="2713"/>
        <v>0</v>
      </c>
      <c r="U1839" s="1423">
        <f t="shared" si="2714"/>
        <v>0</v>
      </c>
      <c r="V1839" s="1423">
        <f t="shared" si="2715"/>
        <v>0</v>
      </c>
      <c r="W1839" s="1423">
        <f t="shared" si="2716"/>
        <v>0</v>
      </c>
      <c r="X1839" s="152"/>
      <c r="Y1839" s="152"/>
      <c r="Z1839" s="152"/>
      <c r="AA1839" s="152"/>
      <c r="AB1839" s="152"/>
    </row>
    <row r="1840" spans="1:28" hidden="1" outlineLevel="1">
      <c r="A1840" s="152"/>
      <c r="B1840" s="190" t="str">
        <f t="shared" ca="1" si="2717"/>
        <v>RL Capex 2030-31</v>
      </c>
      <c r="C1840" s="1429"/>
      <c r="D1840" s="1429"/>
      <c r="E1840" s="1429"/>
      <c r="F1840" s="1429"/>
      <c r="G1840" s="1429"/>
      <c r="H1840" s="1429"/>
      <c r="I1840" s="1429"/>
      <c r="J1840" s="1429"/>
      <c r="K1840" s="1429"/>
      <c r="L1840" s="1429"/>
      <c r="M1840" s="1429"/>
      <c r="N1840" s="1429"/>
      <c r="O1840" s="1429"/>
      <c r="P1840" s="1429"/>
      <c r="Q1840" s="1424"/>
      <c r="R1840" s="1428">
        <f>R1797</f>
        <v>0</v>
      </c>
      <c r="S1840" s="1423">
        <f t="shared" si="2712"/>
        <v>0</v>
      </c>
      <c r="T1840" s="1423">
        <f t="shared" si="2713"/>
        <v>0</v>
      </c>
      <c r="U1840" s="1423">
        <f t="shared" si="2714"/>
        <v>0</v>
      </c>
      <c r="V1840" s="1423">
        <f t="shared" si="2715"/>
        <v>0</v>
      </c>
      <c r="W1840" s="1423">
        <f t="shared" si="2716"/>
        <v>0</v>
      </c>
      <c r="X1840" s="152"/>
      <c r="Y1840" s="152"/>
      <c r="Z1840" s="152"/>
      <c r="AA1840" s="152"/>
      <c r="AB1840" s="152"/>
    </row>
    <row r="1841" spans="1:28" hidden="1" outlineLevel="1">
      <c r="A1841" s="152"/>
      <c r="B1841" s="190" t="str">
        <f t="shared" ca="1" si="2717"/>
        <v>RL Capex 2031-32</v>
      </c>
      <c r="C1841" s="1429"/>
      <c r="D1841" s="1429"/>
      <c r="E1841" s="1429"/>
      <c r="F1841" s="1429"/>
      <c r="G1841" s="1429"/>
      <c r="H1841" s="1429"/>
      <c r="I1841" s="1429"/>
      <c r="J1841" s="1429"/>
      <c r="K1841" s="1429"/>
      <c r="L1841" s="1429"/>
      <c r="M1841" s="1429"/>
      <c r="N1841" s="1429"/>
      <c r="O1841" s="1429"/>
      <c r="P1841" s="1429"/>
      <c r="Q1841" s="1429"/>
      <c r="R1841" s="1424"/>
      <c r="S1841" s="1428">
        <f>S1797</f>
        <v>0</v>
      </c>
      <c r="T1841" s="1423">
        <f t="shared" si="2713"/>
        <v>0</v>
      </c>
      <c r="U1841" s="1423">
        <f t="shared" si="2714"/>
        <v>0</v>
      </c>
      <c r="V1841" s="1423">
        <f t="shared" si="2715"/>
        <v>0</v>
      </c>
      <c r="W1841" s="1423">
        <f t="shared" si="2716"/>
        <v>0</v>
      </c>
      <c r="X1841" s="152"/>
      <c r="Y1841" s="152"/>
      <c r="Z1841" s="152"/>
      <c r="AA1841" s="152"/>
      <c r="AB1841" s="152"/>
    </row>
    <row r="1842" spans="1:28" hidden="1" outlineLevel="1">
      <c r="A1842" s="152"/>
      <c r="B1842" s="190" t="str">
        <f t="shared" ca="1" si="2717"/>
        <v>RL Capex 2032-33</v>
      </c>
      <c r="C1842" s="1429"/>
      <c r="D1842" s="1429"/>
      <c r="E1842" s="1429"/>
      <c r="F1842" s="1429"/>
      <c r="G1842" s="1429"/>
      <c r="H1842" s="1429"/>
      <c r="I1842" s="1429"/>
      <c r="J1842" s="1429"/>
      <c r="K1842" s="1429"/>
      <c r="L1842" s="1429"/>
      <c r="M1842" s="1429"/>
      <c r="N1842" s="1429"/>
      <c r="O1842" s="1429"/>
      <c r="P1842" s="1429"/>
      <c r="Q1842" s="1429"/>
      <c r="R1842" s="1429"/>
      <c r="S1842" s="1424"/>
      <c r="T1842" s="1428">
        <f>T1797</f>
        <v>0</v>
      </c>
      <c r="U1842" s="1423">
        <f t="shared" si="2714"/>
        <v>0</v>
      </c>
      <c r="V1842" s="1423">
        <f t="shared" si="2715"/>
        <v>0</v>
      </c>
      <c r="W1842" s="1423">
        <f t="shared" si="2716"/>
        <v>0</v>
      </c>
      <c r="X1842" s="152"/>
      <c r="Y1842" s="152"/>
      <c r="Z1842" s="152"/>
      <c r="AA1842" s="152"/>
      <c r="AB1842" s="152"/>
    </row>
    <row r="1843" spans="1:28" hidden="1" outlineLevel="1">
      <c r="A1843" s="152"/>
      <c r="B1843" s="190" t="str">
        <f t="shared" ca="1" si="2717"/>
        <v>RL Capex 2033-34</v>
      </c>
      <c r="C1843" s="1429"/>
      <c r="D1843" s="1429"/>
      <c r="E1843" s="1429"/>
      <c r="F1843" s="1429"/>
      <c r="G1843" s="1429"/>
      <c r="H1843" s="1429"/>
      <c r="I1843" s="1429"/>
      <c r="J1843" s="1429"/>
      <c r="K1843" s="1429"/>
      <c r="L1843" s="1429"/>
      <c r="M1843" s="1429"/>
      <c r="N1843" s="1429"/>
      <c r="O1843" s="1429"/>
      <c r="P1843" s="1429"/>
      <c r="Q1843" s="1429"/>
      <c r="R1843" s="1429"/>
      <c r="S1843" s="1429"/>
      <c r="T1843" s="1424"/>
      <c r="U1843" s="1428">
        <f>U1797</f>
        <v>0</v>
      </c>
      <c r="V1843" s="1423">
        <f t="shared" si="2715"/>
        <v>0</v>
      </c>
      <c r="W1843" s="1423">
        <f t="shared" si="2716"/>
        <v>0</v>
      </c>
      <c r="X1843" s="152"/>
      <c r="Y1843" s="152"/>
      <c r="Z1843" s="152"/>
      <c r="AA1843" s="152"/>
      <c r="AB1843" s="152"/>
    </row>
    <row r="1844" spans="1:28" hidden="1" outlineLevel="1">
      <c r="A1844" s="152"/>
      <c r="B1844" s="190" t="str">
        <f t="shared" ca="1" si="2717"/>
        <v>RL Capex 2034-35</v>
      </c>
      <c r="C1844" s="1429"/>
      <c r="D1844" s="1429"/>
      <c r="E1844" s="1429"/>
      <c r="F1844" s="1429"/>
      <c r="G1844" s="1429"/>
      <c r="H1844" s="1429"/>
      <c r="I1844" s="1429"/>
      <c r="J1844" s="1429"/>
      <c r="K1844" s="1429"/>
      <c r="L1844" s="1429"/>
      <c r="M1844" s="1429"/>
      <c r="N1844" s="1429"/>
      <c r="O1844" s="1429"/>
      <c r="P1844" s="1429"/>
      <c r="Q1844" s="1429"/>
      <c r="R1844" s="1429"/>
      <c r="S1844" s="1429"/>
      <c r="T1844" s="1429"/>
      <c r="U1844" s="1424"/>
      <c r="V1844" s="1428">
        <f>V1797</f>
        <v>0</v>
      </c>
      <c r="W1844" s="1423">
        <f>IF(V1844="n/a","n/a",MAX(0,V1844-1))</f>
        <v>0</v>
      </c>
      <c r="X1844" s="152"/>
      <c r="Y1844" s="152"/>
      <c r="Z1844" s="152"/>
      <c r="AA1844" s="152"/>
      <c r="AB1844" s="152"/>
    </row>
    <row r="1845" spans="1:28" hidden="1" outlineLevel="1">
      <c r="A1845" s="152"/>
      <c r="B1845" s="190" t="str">
        <f t="shared" ca="1" si="2717"/>
        <v>RL Capex 2035-36</v>
      </c>
      <c r="C1845" s="1429"/>
      <c r="D1845" s="1429"/>
      <c r="E1845" s="1429"/>
      <c r="F1845" s="1429"/>
      <c r="G1845" s="1429"/>
      <c r="H1845" s="1429"/>
      <c r="I1845" s="1429"/>
      <c r="J1845" s="1429"/>
      <c r="K1845" s="1429"/>
      <c r="L1845" s="1429"/>
      <c r="M1845" s="1429"/>
      <c r="N1845" s="1429"/>
      <c r="O1845" s="1429"/>
      <c r="P1845" s="1429"/>
      <c r="Q1845" s="1429"/>
      <c r="R1845" s="1429"/>
      <c r="S1845" s="1429"/>
      <c r="T1845" s="1429"/>
      <c r="U1845" s="1429"/>
      <c r="V1845" s="1424"/>
      <c r="W1845" s="1423">
        <f>W1797</f>
        <v>0</v>
      </c>
      <c r="X1845" s="152"/>
      <c r="Y1845" s="152"/>
      <c r="Z1845" s="152"/>
      <c r="AA1845" s="152"/>
      <c r="AB1845" s="152"/>
    </row>
    <row r="1846" spans="1:28" hidden="1" outlineLevel="1">
      <c r="A1846" s="152"/>
      <c r="B1846" s="200"/>
      <c r="C1846" s="1423"/>
      <c r="D1846" s="1423"/>
      <c r="E1846" s="1423"/>
      <c r="F1846" s="1423"/>
      <c r="G1846" s="1423"/>
      <c r="H1846" s="1423"/>
      <c r="I1846" s="1423"/>
      <c r="J1846" s="1423"/>
      <c r="K1846" s="1423"/>
      <c r="L1846" s="1423"/>
      <c r="M1846" s="1423"/>
      <c r="N1846" s="1423"/>
      <c r="O1846" s="1423"/>
      <c r="P1846" s="1423"/>
      <c r="Q1846" s="1423"/>
      <c r="R1846" s="1423"/>
      <c r="S1846" s="1423"/>
      <c r="T1846" s="1423"/>
      <c r="U1846" s="1423"/>
      <c r="V1846" s="1423"/>
      <c r="W1846" s="1423"/>
      <c r="X1846" s="152"/>
      <c r="Y1846" s="152"/>
      <c r="Z1846" s="152"/>
      <c r="AA1846" s="152"/>
      <c r="AB1846" s="152"/>
    </row>
    <row r="1847" spans="1:28" collapsed="1">
      <c r="A1847" s="194"/>
      <c r="B1847" s="204" t="s">
        <v>123</v>
      </c>
      <c r="C1847" s="1430">
        <f ca="1">(IF(OR($C1797&lt;&gt;"n/a",C1797&lt;&gt;"n/a"),IF(SUM(C1800:C1822)=0,0,IF((SUMPRODUCT(C1800:C1822,C1824:C1846)/SUM(C1800:C1822))&lt;0,1,(SUMPRODUCT(C1800:C1822,C1824:C1846)/SUM(C1800:C1822)))),"n/a"))</f>
        <v>0</v>
      </c>
      <c r="D1847" s="1430">
        <f ca="1">(IF(OR($C1797&lt;&gt;"n/a",D1797&lt;&gt;"n/a"),IF(SUM(D1800:D1822)=0,0,IF((SUMPRODUCT(D1800:D1822,D1824:D1846)/SUM(D1800:D1822))&lt;0,1,(SUMPRODUCT(D1800:D1822,D1824:D1846)/SUM(D1800:D1822)))),"n/a"))</f>
        <v>0</v>
      </c>
      <c r="E1847" s="1430">
        <f t="shared" ref="E1847:W1847" ca="1" si="2718">(IF(OR($C1797&lt;&gt;"n/a",E1797&lt;&gt;"n/a"),IF(SUM(E1800:E1822)=0,0,IF((SUMPRODUCT(E1800:E1822,E1824:E1846)/SUM(E1800:E1822))&lt;0,1,(SUMPRODUCT(E1800:E1822,E1824:E1846)/SUM(E1800:E1822)))),"n/a"))</f>
        <v>0</v>
      </c>
      <c r="F1847" s="1430">
        <f t="shared" ca="1" si="2718"/>
        <v>0</v>
      </c>
      <c r="G1847" s="1430">
        <f t="shared" ca="1" si="2718"/>
        <v>0</v>
      </c>
      <c r="H1847" s="1430">
        <f t="shared" ca="1" si="2718"/>
        <v>0</v>
      </c>
      <c r="I1847" s="1430">
        <f t="shared" ca="1" si="2718"/>
        <v>0</v>
      </c>
      <c r="J1847" s="1430">
        <f t="shared" ca="1" si="2718"/>
        <v>0</v>
      </c>
      <c r="K1847" s="1430">
        <f t="shared" ca="1" si="2718"/>
        <v>0</v>
      </c>
      <c r="L1847" s="1430">
        <f t="shared" ca="1" si="2718"/>
        <v>0</v>
      </c>
      <c r="M1847" s="1430">
        <f t="shared" ca="1" si="2718"/>
        <v>0</v>
      </c>
      <c r="N1847" s="1430">
        <f t="shared" ca="1" si="2718"/>
        <v>0</v>
      </c>
      <c r="O1847" s="1430">
        <f t="shared" ca="1" si="2718"/>
        <v>0</v>
      </c>
      <c r="P1847" s="1430">
        <f t="shared" ca="1" si="2718"/>
        <v>0</v>
      </c>
      <c r="Q1847" s="1430">
        <f t="shared" ca="1" si="2718"/>
        <v>0</v>
      </c>
      <c r="R1847" s="1430">
        <f t="shared" ca="1" si="2718"/>
        <v>0</v>
      </c>
      <c r="S1847" s="1430">
        <f t="shared" ca="1" si="2718"/>
        <v>0</v>
      </c>
      <c r="T1847" s="1430">
        <f t="shared" ca="1" si="2718"/>
        <v>0</v>
      </c>
      <c r="U1847" s="1430">
        <f t="shared" ca="1" si="2718"/>
        <v>0</v>
      </c>
      <c r="V1847" s="1430">
        <f t="shared" ca="1" si="2718"/>
        <v>0</v>
      </c>
      <c r="W1847" s="1430">
        <f t="shared" ca="1" si="2718"/>
        <v>0</v>
      </c>
      <c r="X1847" s="152"/>
      <c r="Y1847" s="152"/>
      <c r="Z1847" s="152"/>
      <c r="AA1847" s="152"/>
      <c r="AB1847" s="152"/>
    </row>
    <row r="1848" spans="1:28">
      <c r="A1848" s="152"/>
      <c r="B1848" s="152"/>
      <c r="C1848" s="1423"/>
      <c r="D1848" s="1423"/>
      <c r="E1848" s="1423"/>
      <c r="F1848" s="1423"/>
      <c r="G1848" s="1423"/>
      <c r="H1848" s="1423"/>
      <c r="I1848" s="1423"/>
      <c r="J1848" s="1423"/>
      <c r="K1848" s="1423"/>
      <c r="L1848" s="1423"/>
      <c r="M1848" s="1423"/>
      <c r="N1848" s="1423"/>
      <c r="O1848" s="1423"/>
      <c r="P1848" s="1423"/>
      <c r="Q1848" s="1423"/>
      <c r="R1848" s="1423"/>
      <c r="S1848" s="1423"/>
      <c r="T1848" s="1423"/>
      <c r="U1848" s="1423"/>
      <c r="V1848" s="1423"/>
      <c r="W1848" s="1423"/>
      <c r="X1848" s="152"/>
      <c r="Y1848" s="152"/>
      <c r="Z1848" s="152"/>
      <c r="AA1848" s="152"/>
      <c r="AB1848" s="152"/>
    </row>
    <row r="1849" spans="1:28">
      <c r="A1849" s="269" t="s">
        <v>101</v>
      </c>
      <c r="B1849" s="270">
        <f>VLOOKUP($A1849,'RFM input'!$E$7:$F$56,2,FALSE)</f>
        <v>0</v>
      </c>
      <c r="C1849" s="1431"/>
      <c r="D1849" s="1431"/>
      <c r="E1849" s="1432"/>
      <c r="F1849" s="1432"/>
      <c r="G1849" s="1432"/>
      <c r="H1849" s="1432"/>
      <c r="I1849" s="1432"/>
      <c r="J1849" s="1432"/>
      <c r="K1849" s="1432"/>
      <c r="L1849" s="1432"/>
      <c r="M1849" s="1432"/>
      <c r="N1849" s="1432"/>
      <c r="O1849" s="1432"/>
      <c r="P1849" s="1432"/>
      <c r="Q1849" s="1432"/>
      <c r="R1849" s="1432"/>
      <c r="S1849" s="1432"/>
      <c r="T1849" s="1432"/>
      <c r="U1849" s="1432"/>
      <c r="V1849" s="1432"/>
      <c r="W1849" s="1432"/>
      <c r="X1849" s="152"/>
      <c r="Y1849" s="152"/>
      <c r="Z1849" s="152"/>
      <c r="AA1849" s="152"/>
      <c r="AB1849" s="152"/>
    </row>
    <row r="1850" spans="1:28">
      <c r="A1850" s="215">
        <f>VALUE(REPLACE(A1849,1,12,""))</f>
        <v>35</v>
      </c>
      <c r="B1850" s="193" t="s">
        <v>126</v>
      </c>
      <c r="C1850" s="1416">
        <f ca="1">IF($C$8='Capital Base roll forward'!$H$4,OFFSET('Capital Base roll forward'!$H$717,'RAB remaining lives'!A1850,0),"enter input")</f>
        <v>0</v>
      </c>
      <c r="D1850" s="1417">
        <f>IF(LEFT(D$6,4)&lt;LEFT('RFM input'!$G$60,4),"enter input",IF(LEFT(D$6,4)&gt;LEFT('RFM input'!$Q$60,4),0,INDEX('RFM input'!$G$61:$Q$110,$A1850,MATCH(D$6,'RFM input'!$G$60:$Q$60,0))
-INDEX('RFM input'!$G$115:$Q$164,$A1850,MATCH(D$6,'RFM input'!$G$60:$Q$60,0))
-INDEX('RFM input'!$G$169:$Q$218,$A1850,MATCH(D$6,'RFM input'!$G$60:$Q$60,0))))</f>
        <v>0</v>
      </c>
      <c r="E1850" s="1417">
        <f>IF(LEFT(E$6,4)&lt;LEFT('RFM input'!$G$60,4),"enter input",IF(LEFT(E$6,4)&gt;LEFT('RFM input'!$Q$60,4),0,INDEX('RFM input'!$G$61:$Q$110,$A1850,MATCH(E$6,'RFM input'!$G$60:$Q$60,0))
-INDEX('RFM input'!$G$115:$Q$164,$A1850,MATCH(E$6,'RFM input'!$G$60:$Q$60,0))
-INDEX('RFM input'!$G$169:$Q$218,$A1850,MATCH(E$6,'RFM input'!$G$60:$Q$60,0))))</f>
        <v>0</v>
      </c>
      <c r="F1850" s="1417">
        <f>IF(LEFT(F$6,4)&lt;LEFT('RFM input'!$G$60,4),"enter input",IF(LEFT(F$6,4)&gt;LEFT('RFM input'!$Q$60,4),0,INDEX('RFM input'!$G$61:$Q$110,$A1850,MATCH(F$6,'RFM input'!$G$60:$Q$60,0))
-INDEX('RFM input'!$G$115:$Q$164,$A1850,MATCH(F$6,'RFM input'!$G$60:$Q$60,0))
-INDEX('RFM input'!$G$169:$Q$218,$A1850,MATCH(F$6,'RFM input'!$G$60:$Q$60,0))))</f>
        <v>0</v>
      </c>
      <c r="G1850" s="1417">
        <f>IF(LEFT(G$6,4)&lt;LEFT('RFM input'!$G$60,4),"enter input",IF(LEFT(G$6,4)&gt;LEFT('RFM input'!$Q$60,4),0,INDEX('RFM input'!$G$61:$Q$110,$A1850,MATCH(G$6,'RFM input'!$G$60:$Q$60,0))
-INDEX('RFM input'!$G$115:$Q$164,$A1850,MATCH(G$6,'RFM input'!$G$60:$Q$60,0))
-INDEX('RFM input'!$G$169:$Q$218,$A1850,MATCH(G$6,'RFM input'!$G$60:$Q$60,0))))</f>
        <v>0</v>
      </c>
      <c r="H1850" s="1417">
        <f>IF(LEFT(H$6,4)&lt;LEFT('RFM input'!$G$60,4),"enter input",IF(LEFT(H$6,4)&gt;LEFT('RFM input'!$Q$60,4),0,INDEX('RFM input'!$G$61:$Q$110,$A1850,MATCH(H$6,'RFM input'!$G$60:$Q$60,0))
-INDEX('RFM input'!$G$115:$Q$164,$A1850,MATCH(H$6,'RFM input'!$G$60:$Q$60,0))
-INDEX('RFM input'!$G$169:$Q$218,$A1850,MATCH(H$6,'RFM input'!$G$60:$Q$60,0))))</f>
        <v>0</v>
      </c>
      <c r="I1850" s="1417">
        <f>IF(LEFT(I$6,4)&lt;LEFT('RFM input'!$G$60,4),"enter input",IF(LEFT(I$6,4)&gt;LEFT('RFM input'!$Q$60,4),0,INDEX('RFM input'!$G$61:$Q$110,$A1850,MATCH(I$6,'RFM input'!$G$60:$Q$60,0))
-INDEX('RFM input'!$G$115:$Q$164,$A1850,MATCH(I$6,'RFM input'!$G$60:$Q$60,0))
-INDEX('RFM input'!$G$169:$Q$218,$A1850,MATCH(I$6,'RFM input'!$G$60:$Q$60,0))))</f>
        <v>0</v>
      </c>
      <c r="J1850" s="1417">
        <f>IF(LEFT(J$6,4)&lt;LEFT('RFM input'!$G$60,4),"enter input",IF(LEFT(J$6,4)&gt;LEFT('RFM input'!$Q$60,4),0,INDEX('RFM input'!$G$61:$Q$110,$A1850,MATCH(J$6,'RFM input'!$G$60:$Q$60,0))
-INDEX('RFM input'!$G$115:$Q$164,$A1850,MATCH(J$6,'RFM input'!$G$60:$Q$60,0))
-INDEX('RFM input'!$G$169:$Q$218,$A1850,MATCH(J$6,'RFM input'!$G$60:$Q$60,0))))</f>
        <v>0</v>
      </c>
      <c r="K1850" s="1417">
        <f>IF(LEFT(K$6,4)&lt;LEFT('RFM input'!$G$60,4),"enter input",IF(LEFT(K$6,4)&gt;LEFT('RFM input'!$Q$60,4),0,INDEX('RFM input'!$G$61:$Q$110,$A1850,MATCH(K$6,'RFM input'!$G$60:$Q$60,0))
-INDEX('RFM input'!$G$115:$Q$164,$A1850,MATCH(K$6,'RFM input'!$G$60:$Q$60,0))
-INDEX('RFM input'!$G$169:$Q$218,$A1850,MATCH(K$6,'RFM input'!$G$60:$Q$60,0))))</f>
        <v>0</v>
      </c>
      <c r="L1850" s="1417">
        <f>IF(LEFT(L$6,4)&lt;LEFT('RFM input'!$G$60,4),"enter input",IF(LEFT(L$6,4)&gt;LEFT('RFM input'!$Q$60,4),0,INDEX('RFM input'!$G$61:$Q$110,$A1850,MATCH(L$6,'RFM input'!$G$60:$Q$60,0))
-INDEX('RFM input'!$G$115:$Q$164,$A1850,MATCH(L$6,'RFM input'!$G$60:$Q$60,0))
-INDEX('RFM input'!$G$169:$Q$218,$A1850,MATCH(L$6,'RFM input'!$G$60:$Q$60,0))))</f>
        <v>0</v>
      </c>
      <c r="M1850" s="1417">
        <f>IF(LEFT(M$6,4)&lt;LEFT('RFM input'!$G$60,4),"enter input",IF(LEFT(M$6,4)&gt;LEFT('RFM input'!$Q$60,4),0,INDEX('RFM input'!$G$61:$Q$110,$A1850,MATCH(M$6,'RFM input'!$G$60:$Q$60,0))
-INDEX('RFM input'!$G$115:$Q$164,$A1850,MATCH(M$6,'RFM input'!$G$60:$Q$60,0))
-INDEX('RFM input'!$G$169:$Q$218,$A1850,MATCH(M$6,'RFM input'!$G$60:$Q$60,0))))</f>
        <v>0</v>
      </c>
      <c r="N1850" s="1417">
        <f>IF(LEFT(N$6,4)&lt;LEFT('RFM input'!$G$60,4),"enter input",IF(LEFT(N$6,4)&gt;LEFT('RFM input'!$Q$60,4),0,INDEX('RFM input'!$G$61:$Q$110,$A1850,MATCH(N$6,'RFM input'!$G$60:$Q$60,0))
-INDEX('RFM input'!$G$115:$Q$164,$A1850,MATCH(N$6,'RFM input'!$G$60:$Q$60,0))
-INDEX('RFM input'!$G$169:$Q$218,$A1850,MATCH(N$6,'RFM input'!$G$60:$Q$60,0))))</f>
        <v>0</v>
      </c>
      <c r="O1850" s="1417">
        <f>IF(LEFT(O$6,4)&lt;LEFT('RFM input'!$G$60,4),"enter input",IF(LEFT(O$6,4)&gt;LEFT('RFM input'!$Q$60,4),0,INDEX('RFM input'!$G$61:$Q$110,$A1850,MATCH(O$6,'RFM input'!$G$60:$Q$60,0))
-INDEX('RFM input'!$G$115:$Q$164,$A1850,MATCH(O$6,'RFM input'!$G$60:$Q$60,0))
-INDEX('RFM input'!$G$169:$Q$218,$A1850,MATCH(O$6,'RFM input'!$G$60:$Q$60,0))))</f>
        <v>0</v>
      </c>
      <c r="P1850" s="1417">
        <f>IF(LEFT(P$6,4)&lt;LEFT('RFM input'!$G$60,4),"enter input",IF(LEFT(P$6,4)&gt;LEFT('RFM input'!$Q$60,4),0,INDEX('RFM input'!$G$61:$Q$110,$A1850,MATCH(P$6,'RFM input'!$G$60:$Q$60,0))
-INDEX('RFM input'!$G$115:$Q$164,$A1850,MATCH(P$6,'RFM input'!$G$60:$Q$60,0))
-INDEX('RFM input'!$G$169:$Q$218,$A1850,MATCH(P$6,'RFM input'!$G$60:$Q$60,0))))</f>
        <v>0</v>
      </c>
      <c r="Q1850" s="1417">
        <f>IF(LEFT(Q$6,4)&lt;LEFT('RFM input'!$G$60,4),"enter input",IF(LEFT(Q$6,4)&gt;LEFT('RFM input'!$Q$60,4),0,INDEX('RFM input'!$G$61:$Q$110,$A1850,MATCH(Q$6,'RFM input'!$G$60:$Q$60,0))
-INDEX('RFM input'!$G$115:$Q$164,$A1850,MATCH(Q$6,'RFM input'!$G$60:$Q$60,0))
-INDEX('RFM input'!$G$169:$Q$218,$A1850,MATCH(Q$6,'RFM input'!$G$60:$Q$60,0))))</f>
        <v>0</v>
      </c>
      <c r="R1850" s="1417">
        <f>IF(LEFT(R$6,4)&lt;LEFT('RFM input'!$G$60,4),"enter input",IF(LEFT(R$6,4)&gt;LEFT('RFM input'!$Q$60,4),0,INDEX('RFM input'!$G$61:$Q$110,$A1850,MATCH(R$6,'RFM input'!$G$60:$Q$60,0))
-INDEX('RFM input'!$G$115:$Q$164,$A1850,MATCH(R$6,'RFM input'!$G$60:$Q$60,0))
-INDEX('RFM input'!$G$169:$Q$218,$A1850,MATCH(R$6,'RFM input'!$G$60:$Q$60,0))))</f>
        <v>0</v>
      </c>
      <c r="S1850" s="1417">
        <f>IF(LEFT(S$6,4)&lt;LEFT('RFM input'!$G$60,4),"enter input",IF(LEFT(S$6,4)&gt;LEFT('RFM input'!$Q$60,4),0,INDEX('RFM input'!$G$61:$Q$110,$A1850,MATCH(S$6,'RFM input'!$G$60:$Q$60,0))
-INDEX('RFM input'!$G$115:$Q$164,$A1850,MATCH(S$6,'RFM input'!$G$60:$Q$60,0))
-INDEX('RFM input'!$G$169:$Q$218,$A1850,MATCH(S$6,'RFM input'!$G$60:$Q$60,0))))</f>
        <v>0</v>
      </c>
      <c r="T1850" s="1417">
        <f>IF(LEFT(T$6,4)&lt;LEFT('RFM input'!$G$60,4),"enter input",IF(LEFT(T$6,4)&gt;LEFT('RFM input'!$Q$60,4),0,INDEX('RFM input'!$G$61:$Q$110,$A1850,MATCH(T$6,'RFM input'!$G$60:$Q$60,0))
-INDEX('RFM input'!$G$115:$Q$164,$A1850,MATCH(T$6,'RFM input'!$G$60:$Q$60,0))
-INDEX('RFM input'!$G$169:$Q$218,$A1850,MATCH(T$6,'RFM input'!$G$60:$Q$60,0))))</f>
        <v>0</v>
      </c>
      <c r="U1850" s="1417">
        <f>IF(LEFT(U$6,4)&lt;LEFT('RFM input'!$G$60,4),"enter input",IF(LEFT(U$6,4)&gt;LEFT('RFM input'!$Q$60,4),0,INDEX('RFM input'!$G$61:$Q$110,$A1850,MATCH(U$6,'RFM input'!$G$60:$Q$60,0))
-INDEX('RFM input'!$G$115:$Q$164,$A1850,MATCH(U$6,'RFM input'!$G$60:$Q$60,0))
-INDEX('RFM input'!$G$169:$Q$218,$A1850,MATCH(U$6,'RFM input'!$G$60:$Q$60,0))))</f>
        <v>0</v>
      </c>
      <c r="V1850" s="1417">
        <f>IF(LEFT(V$6,4)&lt;LEFT('RFM input'!$G$60,4),"enter input",IF(LEFT(V$6,4)&gt;LEFT('RFM input'!$Q$60,4),0,INDEX('RFM input'!$G$61:$Q$110,$A1850,MATCH(V$6,'RFM input'!$G$60:$Q$60,0))
-INDEX('RFM input'!$G$115:$Q$164,$A1850,MATCH(V$6,'RFM input'!$G$60:$Q$60,0))
-INDEX('RFM input'!$G$169:$Q$218,$A1850,MATCH(V$6,'RFM input'!$G$60:$Q$60,0))))</f>
        <v>0</v>
      </c>
      <c r="W1850" s="1417">
        <f>IF(LEFT(W$6,4)&lt;LEFT('RFM input'!$G$60,4),"enter input",IF(LEFT(W$6,4)&gt;LEFT('RFM input'!$Q$60,4),0,INDEX('RFM input'!$G$61:$Q$110,$A1850,MATCH(W$6,'RFM input'!$G$60:$Q$60,0))
-INDEX('RFM input'!$G$115:$Q$164,$A1850,MATCH(W$6,'RFM input'!$G$60:$Q$60,0))
-INDEX('RFM input'!$G$169:$Q$218,$A1850,MATCH(W$6,'RFM input'!$G$60:$Q$60,0))))</f>
        <v>0</v>
      </c>
      <c r="X1850" s="152"/>
      <c r="Y1850" s="152"/>
      <c r="Z1850" s="152"/>
      <c r="AA1850" s="152"/>
      <c r="AB1850" s="152"/>
    </row>
    <row r="1851" spans="1:28">
      <c r="A1851" s="152"/>
      <c r="B1851" s="152" t="s">
        <v>204</v>
      </c>
      <c r="C1851" s="1418">
        <f ca="1">IF($C$8='Capital Base roll forward'!$H$4,OFFSET('RFM input'!$J$6,'RAB remaining lives'!A1850,0),"enter input")</f>
        <v>0</v>
      </c>
      <c r="D1851" s="1417">
        <f>IF(LEFT(D$6,4)&lt;=LEFT('RFM input'!$G$60,4),"enter input",IF(LEFT(D$6,4)&gt;LEFT('RFM input'!$Q$60,4),0,IF(MATCH(D$6,'RFM input'!$H$60:$Q$60,0),INDEX('RFM input'!$K$7:$K$56,$A1850,1))))</f>
        <v>0</v>
      </c>
      <c r="E1851" s="1417">
        <f>IF(LEFT(E$6,4)&lt;=LEFT('RFM input'!$G$60,4),"enter input",IF(LEFT(E$6,4)&gt;LEFT('RFM input'!$Q$60,4),0,IF(MATCH(E$6,'RFM input'!$H$60:$Q$60,0),INDEX('RFM input'!$K$7:$K$56,$A1850,1))))</f>
        <v>0</v>
      </c>
      <c r="F1851" s="1417">
        <f>IF(LEFT(F$6,4)&lt;=LEFT('RFM input'!$G$60,4),"enter input",IF(LEFT(F$6,4)&gt;LEFT('RFM input'!$Q$60,4),0,IF(MATCH(F$6,'RFM input'!$H$60:$Q$60,0),INDEX('RFM input'!$K$7:$K$56,$A1850,1))))</f>
        <v>0</v>
      </c>
      <c r="G1851" s="1417">
        <f>IF(LEFT(G$6,4)&lt;=LEFT('RFM input'!$G$60,4),"enter input",IF(LEFT(G$6,4)&gt;LEFT('RFM input'!$Q$60,4),0,IF(MATCH(G$6,'RFM input'!$H$60:$Q$60,0),INDEX('RFM input'!$K$7:$K$56,$A1850,1))))</f>
        <v>0</v>
      </c>
      <c r="H1851" s="1417">
        <f>IF(LEFT(H$6,4)&lt;=LEFT('RFM input'!$G$60,4),"enter input",IF(LEFT(H$6,4)&gt;LEFT('RFM input'!$Q$60,4),0,IF(MATCH(H$6,'RFM input'!$H$60:$Q$60,0),INDEX('RFM input'!$K$7:$K$56,$A1850,1))))</f>
        <v>0</v>
      </c>
      <c r="I1851" s="1417">
        <f>IF(LEFT(I$6,4)&lt;=LEFT('RFM input'!$G$60,4),"enter input",IF(LEFT(I$6,4)&gt;LEFT('RFM input'!$Q$60,4),0,IF(MATCH(I$6,'RFM input'!$H$60:$Q$60,0),INDEX('RFM input'!$K$7:$K$56,$A1850,1))))</f>
        <v>0</v>
      </c>
      <c r="J1851" s="1417">
        <f>IF(LEFT(J$6,4)&lt;=LEFT('RFM input'!$G$60,4),"enter input",IF(LEFT(J$6,4)&gt;LEFT('RFM input'!$Q$60,4),0,IF(MATCH(J$6,'RFM input'!$H$60:$Q$60,0),INDEX('RFM input'!$K$7:$K$56,$A1850,1))))</f>
        <v>0</v>
      </c>
      <c r="K1851" s="1417">
        <f>IF(LEFT(K$6,4)&lt;=LEFT('RFM input'!$G$60,4),"enter input",IF(LEFT(K$6,4)&gt;LEFT('RFM input'!$Q$60,4),0,IF(MATCH(K$6,'RFM input'!$H$60:$Q$60,0),INDEX('RFM input'!$K$7:$K$56,$A1850,1))))</f>
        <v>0</v>
      </c>
      <c r="L1851" s="1417">
        <f>IF(LEFT(L$6,4)&lt;=LEFT('RFM input'!$G$60,4),"enter input",IF(LEFT(L$6,4)&gt;LEFT('RFM input'!$Q$60,4),0,IF(MATCH(L$6,'RFM input'!$H$60:$Q$60,0),INDEX('RFM input'!$K$7:$K$56,$A1850,1))))</f>
        <v>0</v>
      </c>
      <c r="M1851" s="1417">
        <f>IF(LEFT(M$6,4)&lt;=LEFT('RFM input'!$G$60,4),"enter input",IF(LEFT(M$6,4)&gt;LEFT('RFM input'!$Q$60,4),0,IF(MATCH(M$6,'RFM input'!$H$60:$Q$60,0),INDEX('RFM input'!$K$7:$K$56,$A1850,1))))</f>
        <v>0</v>
      </c>
      <c r="N1851" s="1417">
        <f>IF(LEFT(N$6,4)&lt;=LEFT('RFM input'!$G$60,4),"enter input",IF(LEFT(N$6,4)&gt;LEFT('RFM input'!$Q$60,4),0,IF(MATCH(N$6,'RFM input'!$H$60:$Q$60,0),INDEX('RFM input'!$K$7:$K$56,$A1850,1))))</f>
        <v>0</v>
      </c>
      <c r="O1851" s="1417">
        <f>IF(LEFT(O$6,4)&lt;=LEFT('RFM input'!$G$60,4),"enter input",IF(LEFT(O$6,4)&gt;LEFT('RFM input'!$Q$60,4),0,IF(MATCH(O$6,'RFM input'!$H$60:$Q$60,0),INDEX('RFM input'!$K$7:$K$56,$A1850,1))))</f>
        <v>0</v>
      </c>
      <c r="P1851" s="1417">
        <f>IF(LEFT(P$6,4)&lt;=LEFT('RFM input'!$G$60,4),"enter input",IF(LEFT(P$6,4)&gt;LEFT('RFM input'!$Q$60,4),0,IF(MATCH(P$6,'RFM input'!$H$60:$Q$60,0),INDEX('RFM input'!$K$7:$K$56,$A1850,1))))</f>
        <v>0</v>
      </c>
      <c r="Q1851" s="1417">
        <f>IF(LEFT(Q$6,4)&lt;=LEFT('RFM input'!$G$60,4),"enter input",IF(LEFT(Q$6,4)&gt;LEFT('RFM input'!$Q$60,4),0,IF(MATCH(Q$6,'RFM input'!$H$60:$Q$60,0),INDEX('RFM input'!$K$7:$K$56,$A1850,1))))</f>
        <v>0</v>
      </c>
      <c r="R1851" s="1417">
        <f>IF(LEFT(R$6,4)&lt;=LEFT('RFM input'!$G$60,4),"enter input",IF(LEFT(R$6,4)&gt;LEFT('RFM input'!$Q$60,4),0,IF(MATCH(R$6,'RFM input'!$H$60:$Q$60,0),INDEX('RFM input'!$K$7:$K$56,$A1850,1))))</f>
        <v>0</v>
      </c>
      <c r="S1851" s="1417">
        <f>IF(LEFT(S$6,4)&lt;=LEFT('RFM input'!$G$60,4),"enter input",IF(LEFT(S$6,4)&gt;LEFT('RFM input'!$Q$60,4),0,IF(MATCH(S$6,'RFM input'!$H$60:$Q$60,0),INDEX('RFM input'!$K$7:$K$56,$A1850,1))))</f>
        <v>0</v>
      </c>
      <c r="T1851" s="1417">
        <f>IF(LEFT(T$6,4)&lt;=LEFT('RFM input'!$G$60,4),"enter input",IF(LEFT(T$6,4)&gt;LEFT('RFM input'!$Q$60,4),0,IF(MATCH(T$6,'RFM input'!$H$60:$Q$60,0),INDEX('RFM input'!$K$7:$K$56,$A1850,1))))</f>
        <v>0</v>
      </c>
      <c r="U1851" s="1417">
        <f>IF(LEFT(U$6,4)&lt;=LEFT('RFM input'!$G$60,4),"enter input",IF(LEFT(U$6,4)&gt;LEFT('RFM input'!$Q$60,4),0,IF(MATCH(U$6,'RFM input'!$H$60:$Q$60,0),INDEX('RFM input'!$K$7:$K$56,$A1850,1))))</f>
        <v>0</v>
      </c>
      <c r="V1851" s="1417">
        <f>IF(LEFT(V$6,4)&lt;=LEFT('RFM input'!$G$60,4),"enter input",IF(LEFT(V$6,4)&gt;LEFT('RFM input'!$Q$60,4),0,IF(MATCH(V$6,'RFM input'!$H$60:$Q$60,0),INDEX('RFM input'!$K$7:$K$56,$A1850,1))))</f>
        <v>0</v>
      </c>
      <c r="W1851" s="1417">
        <f>IF(LEFT(W$6,4)&lt;=LEFT('RFM input'!$G$60,4),"enter input",IF(LEFT(W$6,4)&gt;LEFT('RFM input'!$Q$60,4),0,IF(MATCH(W$6,'RFM input'!$H$60:$Q$60,0),INDEX('RFM input'!$K$7:$K$56,$A1850,1))))</f>
        <v>0</v>
      </c>
      <c r="X1851" s="152"/>
      <c r="Y1851" s="152"/>
      <c r="Z1851" s="152"/>
      <c r="AA1851" s="152"/>
      <c r="AB1851" s="152"/>
    </row>
    <row r="1852" spans="1:28">
      <c r="A1852" s="152"/>
      <c r="B1852" s="177" t="s">
        <v>191</v>
      </c>
      <c r="C1852" s="1419"/>
      <c r="D1852" s="1420">
        <f ca="1">IF(LEFT(D$6,4)&lt;=LEFT('RFM input'!$G$60,4),"enter input",IF(LEFT(D$6,4)&gt;LEFT('RFM input'!$Q$60,4),0,IF(D$6=(OFFSET('RFM input'!$G$60,0,'RFM input'!$V$7)),OFFSET('RFM input'!$G$411,$A1850,0),0)))</f>
        <v>0</v>
      </c>
      <c r="E1852" s="1417">
        <f ca="1">IF(LEFT(E$6,4)&lt;=LEFT('RFM input'!$G$60,4),"enter input",IF(LEFT(E$6,4)&gt;LEFT('RFM input'!$Q$60,4),0,IF(E$6=(OFFSET('RFM input'!$G$60,0,'RFM input'!$V$7)),OFFSET('RFM input'!$G$411,$A1850,0),0)))</f>
        <v>0</v>
      </c>
      <c r="F1852" s="1417">
        <f ca="1">IF(LEFT(F$6,4)&lt;=LEFT('RFM input'!$G$60,4),"enter input",IF(LEFT(F$6,4)&gt;LEFT('RFM input'!$Q$60,4),0,IF(F$6=(OFFSET('RFM input'!$G$60,0,'RFM input'!$V$7)),OFFSET('RFM input'!$G$411,$A1850,0),0)))</f>
        <v>0</v>
      </c>
      <c r="G1852" s="1417">
        <f ca="1">IF(LEFT(G$6,4)&lt;=LEFT('RFM input'!$G$60,4),"enter input",IF(LEFT(G$6,4)&gt;LEFT('RFM input'!$Q$60,4),0,IF(G$6=(OFFSET('RFM input'!$G$60,0,'RFM input'!$V$7)),OFFSET('RFM input'!$G$411,$A1850,0),0)))</f>
        <v>0</v>
      </c>
      <c r="H1852" s="1417">
        <f ca="1">IF(LEFT(H$6,4)&lt;=LEFT('RFM input'!$G$60,4),"enter input",IF(LEFT(H$6,4)&gt;LEFT('RFM input'!$Q$60,4),0,IF(H$6=(OFFSET('RFM input'!$G$60,0,'RFM input'!$V$7)),OFFSET('RFM input'!$G$411,$A1850,0),0)))</f>
        <v>0</v>
      </c>
      <c r="I1852" s="1417">
        <f ca="1">IF(LEFT(I$6,4)&lt;=LEFT('RFM input'!$G$60,4),"enter input",IF(LEFT(I$6,4)&gt;LEFT('RFM input'!$Q$60,4),0,IF(I$6=(OFFSET('RFM input'!$G$60,0,'RFM input'!$V$7)),OFFSET('RFM input'!$G$411,$A1850,0),0)))</f>
        <v>0</v>
      </c>
      <c r="J1852" s="1417">
        <f ca="1">IF(LEFT(J$6,4)&lt;=LEFT('RFM input'!$G$60,4),"enter input",IF(LEFT(J$6,4)&gt;LEFT('RFM input'!$Q$60,4),0,IF(J$6=(OFFSET('RFM input'!$G$60,0,'RFM input'!$V$7)),OFFSET('RFM input'!$G$411,$A1850,0),0)))</f>
        <v>0</v>
      </c>
      <c r="K1852" s="1417">
        <f ca="1">IF(LEFT(K$6,4)&lt;=LEFT('RFM input'!$G$60,4),"enter input",IF(LEFT(K$6,4)&gt;LEFT('RFM input'!$Q$60,4),0,IF(K$6=(OFFSET('RFM input'!$G$60,0,'RFM input'!$V$7)),OFFSET('RFM input'!$G$411,$A1850,0),0)))</f>
        <v>0</v>
      </c>
      <c r="L1852" s="1417">
        <f ca="1">IF(LEFT(L$6,4)&lt;=LEFT('RFM input'!$G$60,4),"enter input",IF(LEFT(L$6,4)&gt;LEFT('RFM input'!$Q$60,4),0,IF(L$6=(OFFSET('RFM input'!$G$60,0,'RFM input'!$V$7)),OFFSET('RFM input'!$G$411,$A1850,0),0)))</f>
        <v>0</v>
      </c>
      <c r="M1852" s="1417">
        <f ca="1">IF(LEFT(M$6,4)&lt;=LEFT('RFM input'!$G$60,4),"enter input",IF(LEFT(M$6,4)&gt;LEFT('RFM input'!$Q$60,4),0,IF(M$6=(OFFSET('RFM input'!$G$60,0,'RFM input'!$V$7)),OFFSET('RFM input'!$G$411,$A1850,0),0)))</f>
        <v>0</v>
      </c>
      <c r="N1852" s="1417">
        <f ca="1">IF(LEFT(N$6,4)&lt;=LEFT('RFM input'!$G$60,4),"enter input",IF(LEFT(N$6,4)&gt;LEFT('RFM input'!$Q$60,4),0,IF(N$6=(OFFSET('RFM input'!$G$60,0,'RFM input'!$V$7)),OFFSET('RFM input'!$G$411,$A1850,0),0)))</f>
        <v>0</v>
      </c>
      <c r="O1852" s="1417">
        <f ca="1">IF(LEFT(O$6,4)&lt;=LEFT('RFM input'!$G$60,4),"enter input",IF(LEFT(O$6,4)&gt;LEFT('RFM input'!$Q$60,4),0,IF(O$6=(OFFSET('RFM input'!$G$60,0,'RFM input'!$V$7)),OFFSET('RFM input'!$G$411,$A1850,0),0)))</f>
        <v>0</v>
      </c>
      <c r="P1852" s="1417">
        <f ca="1">IF(LEFT(P$6,4)&lt;=LEFT('RFM input'!$G$60,4),"enter input",IF(LEFT(P$6,4)&gt;LEFT('RFM input'!$Q$60,4),0,IF(P$6=(OFFSET('RFM input'!$G$60,0,'RFM input'!$V$7)),OFFSET('RFM input'!$G$411,$A1850,0),0)))</f>
        <v>0</v>
      </c>
      <c r="Q1852" s="1417">
        <f ca="1">IF(LEFT(Q$6,4)&lt;=LEFT('RFM input'!$G$60,4),"enter input",IF(LEFT(Q$6,4)&gt;LEFT('RFM input'!$Q$60,4),0,IF(Q$6=(OFFSET('RFM input'!$G$60,0,'RFM input'!$V$7)),OFFSET('RFM input'!$G$411,$A1850,0),0)))</f>
        <v>0</v>
      </c>
      <c r="R1852" s="1417">
        <f ca="1">IF(LEFT(R$6,4)&lt;=LEFT('RFM input'!$G$60,4),"enter input",IF(LEFT(R$6,4)&gt;LEFT('RFM input'!$Q$60,4),0,IF(R$6=(OFFSET('RFM input'!$G$60,0,'RFM input'!$V$7)),OFFSET('RFM input'!$G$411,$A1850,0),0)))</f>
        <v>0</v>
      </c>
      <c r="S1852" s="1417">
        <f ca="1">IF(LEFT(S$6,4)&lt;=LEFT('RFM input'!$G$60,4),"enter input",IF(LEFT(S$6,4)&gt;LEFT('RFM input'!$Q$60,4),0,IF(S$6=(OFFSET('RFM input'!$G$60,0,'RFM input'!$V$7)),OFFSET('RFM input'!$G$411,$A1850,0),0)))</f>
        <v>0</v>
      </c>
      <c r="T1852" s="1417">
        <f ca="1">IF(LEFT(T$6,4)&lt;=LEFT('RFM input'!$G$60,4),"enter input",IF(LEFT(T$6,4)&gt;LEFT('RFM input'!$Q$60,4),0,IF(T$6=(OFFSET('RFM input'!$G$60,0,'RFM input'!$V$7)),OFFSET('RFM input'!$G$411,$A1850,0),0)))</f>
        <v>0</v>
      </c>
      <c r="U1852" s="1417">
        <f ca="1">IF(LEFT(U$6,4)&lt;=LEFT('RFM input'!$G$60,4),"enter input",IF(LEFT(U$6,4)&gt;LEFT('RFM input'!$Q$60,4),0,IF(U$6=(OFFSET('RFM input'!$G$60,0,'RFM input'!$V$7)),OFFSET('RFM input'!$G$411,$A1850,0),0)))</f>
        <v>0</v>
      </c>
      <c r="V1852" s="1417">
        <f ca="1">IF(LEFT(V$6,4)&lt;=LEFT('RFM input'!$G$60,4),"enter input",IF(LEFT(V$6,4)&gt;LEFT('RFM input'!$Q$60,4),0,IF(V$6=(OFFSET('RFM input'!$G$60,0,'RFM input'!$V$7)),OFFSET('RFM input'!$G$411,$A1850,0),0)))</f>
        <v>0</v>
      </c>
      <c r="W1852" s="1417">
        <f ca="1">IF(LEFT(W$6,4)&lt;=LEFT('RFM input'!$G$60,4),"enter input",IF(LEFT(W$6,4)&gt;LEFT('RFM input'!$Q$60,4),0,IF(W$6=(OFFSET('RFM input'!$G$60,0,'RFM input'!$V$7)),OFFSET('RFM input'!$G$411,$A1850,0),0)))</f>
        <v>0</v>
      </c>
      <c r="X1852" s="152"/>
      <c r="Y1852" s="152"/>
      <c r="Z1852" s="152"/>
      <c r="AA1852" s="152"/>
      <c r="AB1852" s="152"/>
    </row>
    <row r="1853" spans="1:28">
      <c r="A1853" s="152"/>
      <c r="B1853" s="195" t="s">
        <v>197</v>
      </c>
      <c r="C1853" s="1419"/>
      <c r="D1853" s="1418">
        <f ca="1">IF(LEFT(D$6,4)&lt;=LEFT('RFM input'!$G$60,4),"enter input",IF(LEFT(D$6,4)&gt;LEFT('RFM input'!$Q$60,4),0,IF(D$6=(OFFSET('RFM input'!$G$60,0,'RFM input'!$V$7)),OFFSET('RFM input'!$I$411,$A1850,0),0)))</f>
        <v>0</v>
      </c>
      <c r="E1853" s="1422">
        <f ca="1">IF(LEFT(E$6,4)&lt;=LEFT('RFM input'!$G$60,4),"enter input",IF(LEFT(E$6,4)&gt;LEFT('RFM input'!$Q$60,4),0,IF(E$6=(OFFSET('RFM input'!$G$60,0,'RFM input'!$V$7)),OFFSET('RFM input'!$I$411,$A1850,0),0)))</f>
        <v>0</v>
      </c>
      <c r="F1853" s="1422">
        <f ca="1">IF(LEFT(F$6,4)&lt;=LEFT('RFM input'!$G$60,4),"enter input",IF(LEFT(F$6,4)&gt;LEFT('RFM input'!$Q$60,4),0,IF(F$6=(OFFSET('RFM input'!$G$60,0,'RFM input'!$V$7)),OFFSET('RFM input'!$I$411,$A1850,0),0)))</f>
        <v>0</v>
      </c>
      <c r="G1853" s="1422">
        <f ca="1">IF(LEFT(G$6,4)&lt;=LEFT('RFM input'!$G$60,4),"enter input",IF(LEFT(G$6,4)&gt;LEFT('RFM input'!$Q$60,4),0,IF(G$6=(OFFSET('RFM input'!$G$60,0,'RFM input'!$V$7)),OFFSET('RFM input'!$I$411,$A1850,0),0)))</f>
        <v>0</v>
      </c>
      <c r="H1853" s="1422">
        <f ca="1">IF(LEFT(H$6,4)&lt;=LEFT('RFM input'!$G$60,4),"enter input",IF(LEFT(H$6,4)&gt;LEFT('RFM input'!$Q$60,4),0,IF(H$6=(OFFSET('RFM input'!$G$60,0,'RFM input'!$V$7)),OFFSET('RFM input'!$I$411,$A1850,0),0)))</f>
        <v>0</v>
      </c>
      <c r="I1853" s="1422">
        <f ca="1">IF(LEFT(I$6,4)&lt;=LEFT('RFM input'!$G$60,4),"enter input",IF(LEFT(I$6,4)&gt;LEFT('RFM input'!$Q$60,4),0,IF(I$6=(OFFSET('RFM input'!$G$60,0,'RFM input'!$V$7)),OFFSET('RFM input'!$I$411,$A1850,0),0)))</f>
        <v>0</v>
      </c>
      <c r="J1853" s="1422">
        <f ca="1">IF(LEFT(J$6,4)&lt;=LEFT('RFM input'!$G$60,4),"enter input",IF(LEFT(J$6,4)&gt;LEFT('RFM input'!$Q$60,4),0,IF(J$6=(OFFSET('RFM input'!$G$60,0,'RFM input'!$V$7)),OFFSET('RFM input'!$I$411,$A1850,0),0)))</f>
        <v>0</v>
      </c>
      <c r="K1853" s="1422">
        <f ca="1">IF(LEFT(K$6,4)&lt;=LEFT('RFM input'!$G$60,4),"enter input",IF(LEFT(K$6,4)&gt;LEFT('RFM input'!$Q$60,4),0,IF(K$6=(OFFSET('RFM input'!$G$60,0,'RFM input'!$V$7)),OFFSET('RFM input'!$I$411,$A1850,0),0)))</f>
        <v>0</v>
      </c>
      <c r="L1853" s="1422">
        <f ca="1">IF(LEFT(L$6,4)&lt;=LEFT('RFM input'!$G$60,4),"enter input",IF(LEFT(L$6,4)&gt;LEFT('RFM input'!$Q$60,4),0,IF(L$6=(OFFSET('RFM input'!$G$60,0,'RFM input'!$V$7)),OFFSET('RFM input'!$I$411,$A1850,0),0)))</f>
        <v>0</v>
      </c>
      <c r="M1853" s="1422">
        <f ca="1">IF(LEFT(M$6,4)&lt;=LEFT('RFM input'!$G$60,4),"enter input",IF(LEFT(M$6,4)&gt;LEFT('RFM input'!$Q$60,4),0,IF(M$6=(OFFSET('RFM input'!$G$60,0,'RFM input'!$V$7)),OFFSET('RFM input'!$I$411,$A1850,0),0)))</f>
        <v>0</v>
      </c>
      <c r="N1853" s="1422">
        <f ca="1">IF(LEFT(N$6,4)&lt;=LEFT('RFM input'!$G$60,4),"enter input",IF(LEFT(N$6,4)&gt;LEFT('RFM input'!$Q$60,4),0,IF(N$6=(OFFSET('RFM input'!$G$60,0,'RFM input'!$V$7)),OFFSET('RFM input'!$I$411,$A1850,0),0)))</f>
        <v>0</v>
      </c>
      <c r="O1853" s="1422">
        <f ca="1">IF(LEFT(O$6,4)&lt;=LEFT('RFM input'!$G$60,4),"enter input",IF(LEFT(O$6,4)&gt;LEFT('RFM input'!$Q$60,4),0,IF(O$6=(OFFSET('RFM input'!$G$60,0,'RFM input'!$V$7)),OFFSET('RFM input'!$I$411,$A1850,0),0)))</f>
        <v>0</v>
      </c>
      <c r="P1853" s="1422">
        <f ca="1">IF(LEFT(P$6,4)&lt;=LEFT('RFM input'!$G$60,4),"enter input",IF(LEFT(P$6,4)&gt;LEFT('RFM input'!$Q$60,4),0,IF(P$6=(OFFSET('RFM input'!$G$60,0,'RFM input'!$V$7)),OFFSET('RFM input'!$I$411,$A1850,0),0)))</f>
        <v>0</v>
      </c>
      <c r="Q1853" s="1422">
        <f ca="1">IF(LEFT(Q$6,4)&lt;=LEFT('RFM input'!$G$60,4),"enter input",IF(LEFT(Q$6,4)&gt;LEFT('RFM input'!$Q$60,4),0,IF(Q$6=(OFFSET('RFM input'!$G$60,0,'RFM input'!$V$7)),OFFSET('RFM input'!$I$411,$A1850,0),0)))</f>
        <v>0</v>
      </c>
      <c r="R1853" s="1422">
        <f ca="1">IF(LEFT(R$6,4)&lt;=LEFT('RFM input'!$G$60,4),"enter input",IF(LEFT(R$6,4)&gt;LEFT('RFM input'!$Q$60,4),0,IF(R$6=(OFFSET('RFM input'!$G$60,0,'RFM input'!$V$7)),OFFSET('RFM input'!$I$411,$A1850,0),0)))</f>
        <v>0</v>
      </c>
      <c r="S1853" s="1422">
        <f ca="1">IF(LEFT(S$6,4)&lt;=LEFT('RFM input'!$G$60,4),"enter input",IF(LEFT(S$6,4)&gt;LEFT('RFM input'!$Q$60,4),0,IF(S$6=(OFFSET('RFM input'!$G$60,0,'RFM input'!$V$7)),OFFSET('RFM input'!$I$411,$A1850,0),0)))</f>
        <v>0</v>
      </c>
      <c r="T1853" s="1422">
        <f ca="1">IF(LEFT(T$6,4)&lt;=LEFT('RFM input'!$G$60,4),"enter input",IF(LEFT(T$6,4)&gt;LEFT('RFM input'!$Q$60,4),0,IF(T$6=(OFFSET('RFM input'!$G$60,0,'RFM input'!$V$7)),OFFSET('RFM input'!$I$411,$A1850,0),0)))</f>
        <v>0</v>
      </c>
      <c r="U1853" s="1422">
        <f ca="1">IF(LEFT(U$6,4)&lt;=LEFT('RFM input'!$G$60,4),"enter input",IF(LEFT(U$6,4)&gt;LEFT('RFM input'!$Q$60,4),0,IF(U$6=(OFFSET('RFM input'!$G$60,0,'RFM input'!$V$7)),OFFSET('RFM input'!$I$411,$A1850,0),0)))</f>
        <v>0</v>
      </c>
      <c r="V1853" s="1422">
        <f ca="1">IF(LEFT(V$6,4)&lt;=LEFT('RFM input'!$G$60,4),"enter input",IF(LEFT(V$6,4)&gt;LEFT('RFM input'!$Q$60,4),0,IF(V$6=(OFFSET('RFM input'!$G$60,0,'RFM input'!$V$7)),OFFSET('RFM input'!$I$411,$A1850,0),0)))</f>
        <v>0</v>
      </c>
      <c r="W1853" s="1422">
        <f ca="1">IF(LEFT(W$6,4)&lt;=LEFT('RFM input'!$G$60,4),"enter input",IF(LEFT(W$6,4)&gt;LEFT('RFM input'!$Q$60,4),0,IF(W$6=(OFFSET('RFM input'!$G$60,0,'RFM input'!$V$7)),OFFSET('RFM input'!$I$411,$A1850,0),0)))</f>
        <v>0</v>
      </c>
      <c r="X1853" s="152"/>
      <c r="Y1853" s="152"/>
      <c r="Z1853" s="152"/>
      <c r="AA1853" s="152"/>
      <c r="AB1853" s="152"/>
    </row>
    <row r="1854" spans="1:28" hidden="1" outlineLevel="1">
      <c r="A1854" s="235">
        <v>-1</v>
      </c>
      <c r="B1854" s="190" t="s">
        <v>189</v>
      </c>
      <c r="C1854" s="1423"/>
      <c r="D1854" s="1423">
        <f ca="1">IF(AND(D1852=0,C1854=0),0,
IF(AND(D1852&lt;&gt;0,C1854=0),(D1852/D$10),
IF(AND(D1853&lt;&gt;0,C1854&lt;&gt;0),(C1854-(C1854/C1878))+(D1852/D$10),
IF(C1878&lt;1,0,(C1854-(C1854/C1878))))))</f>
        <v>0</v>
      </c>
      <c r="E1854" s="1423">
        <f t="shared" ref="E1854" ca="1" si="2719">IF(AND(E1852=0,D1854=0),0,
IF(AND(E1852&lt;&gt;0,D1854=0),(E1852/E$10),
IF(AND(E1853&lt;&gt;0,D1854&lt;&gt;0),(D1854-(D1854/D1878))+(E1852/E$10),
IF(D1878&lt;1,0,(D1854-(D1854/D1878))))))</f>
        <v>0</v>
      </c>
      <c r="F1854" s="1423">
        <f t="shared" ref="F1854" ca="1" si="2720">IF(AND(F1852=0,E1854=0),0,
IF(AND(F1852&lt;&gt;0,E1854=0),(F1852/F$10),
IF(AND(F1853&lt;&gt;0,E1854&lt;&gt;0),(E1854-(E1854/E1878))+(F1852/F$10),
IF(E1878&lt;1,0,(E1854-(E1854/E1878))))))</f>
        <v>0</v>
      </c>
      <c r="G1854" s="1423">
        <f t="shared" ref="G1854" ca="1" si="2721">IF(AND(G1852=0,F1854=0),0,
IF(AND(G1852&lt;&gt;0,F1854=0),(G1852/G$10),
IF(AND(G1853&lt;&gt;0,F1854&lt;&gt;0),(F1854-(F1854/F1878))+(G1852/G$10),
IF(F1878&lt;1,0,(F1854-(F1854/F1878))))))</f>
        <v>0</v>
      </c>
      <c r="H1854" s="1423">
        <f t="shared" ref="H1854" ca="1" si="2722">IF(AND(H1852=0,G1854=0),0,
IF(AND(H1852&lt;&gt;0,G1854=0),(H1852/H$10),
IF(AND(H1853&lt;&gt;0,G1854&lt;&gt;0),(G1854-(G1854/G1878))+(H1852/H$10),
IF(G1878&lt;1,0,(G1854-(G1854/G1878))))))</f>
        <v>0</v>
      </c>
      <c r="I1854" s="1423">
        <f t="shared" ref="I1854" ca="1" si="2723">IF(AND(I1852=0,H1854=0),0,
IF(AND(I1852&lt;&gt;0,H1854=0),(I1852/I$10),
IF(AND(I1853&lt;&gt;0,H1854&lt;&gt;0),(H1854-(H1854/H1878))+(I1852/I$10),
IF(H1878&lt;1,0,(H1854-(H1854/H1878))))))</f>
        <v>0</v>
      </c>
      <c r="J1854" s="1423">
        <f t="shared" ref="J1854" ca="1" si="2724">IF(AND(J1852=0,I1854=0),0,
IF(AND(J1852&lt;&gt;0,I1854=0),(J1852/J$10),
IF(AND(J1853&lt;&gt;0,I1854&lt;&gt;0),(I1854-(I1854/I1878))+(J1852/J$10),
IF(I1878&lt;1,0,(I1854-(I1854/I1878))))))</f>
        <v>0</v>
      </c>
      <c r="K1854" s="1423">
        <f t="shared" ref="K1854" ca="1" si="2725">IF(AND(K1852=0,J1854=0),0,
IF(AND(K1852&lt;&gt;0,J1854=0),(K1852/K$10),
IF(AND(K1853&lt;&gt;0,J1854&lt;&gt;0),(J1854-(J1854/J1878))+(K1852/K$10),
IF(J1878&lt;1,0,(J1854-(J1854/J1878))))))</f>
        <v>0</v>
      </c>
      <c r="L1854" s="1423">
        <f t="shared" ref="L1854" ca="1" si="2726">IF(AND(L1852=0,K1854=0),0,
IF(AND(L1852&lt;&gt;0,K1854=0),(L1852/L$10),
IF(AND(L1853&lt;&gt;0,K1854&lt;&gt;0),(K1854-(K1854/K1878))+(L1852/L$10),
IF(K1878&lt;1,0,(K1854-(K1854/K1878))))))</f>
        <v>0</v>
      </c>
      <c r="M1854" s="1423">
        <f t="shared" ref="M1854" ca="1" si="2727">IF(AND(M1852=0,L1854=0),0,
IF(AND(M1852&lt;&gt;0,L1854=0),(M1852/M$10),
IF(AND(M1853&lt;&gt;0,L1854&lt;&gt;0),(L1854-(L1854/L1878))+(M1852/M$10),
IF(L1878&lt;1,0,(L1854-(L1854/L1878))))))</f>
        <v>0</v>
      </c>
      <c r="N1854" s="1423">
        <f t="shared" ref="N1854" ca="1" si="2728">IF(AND(N1852=0,M1854=0),0,
IF(AND(N1852&lt;&gt;0,M1854=0),(N1852/N$10),
IF(AND(N1853&lt;&gt;0,M1854&lt;&gt;0),(M1854-(M1854/M1878))+(N1852/N$10),
IF(M1878&lt;1,0,(M1854-(M1854/M1878))))))</f>
        <v>0</v>
      </c>
      <c r="O1854" s="1423">
        <f t="shared" ref="O1854" ca="1" si="2729">IF(AND(O1852=0,N1854=0),0,
IF(AND(O1852&lt;&gt;0,N1854=0),(O1852/O$10),
IF(AND(O1853&lt;&gt;0,N1854&lt;&gt;0),(N1854-(N1854/N1878))+(O1852/O$10),
IF(N1878&lt;1,0,(N1854-(N1854/N1878))))))</f>
        <v>0</v>
      </c>
      <c r="P1854" s="1423">
        <f t="shared" ref="P1854" ca="1" si="2730">IF(AND(P1852=0,O1854=0),0,
IF(AND(P1852&lt;&gt;0,O1854=0),(P1852/P$10),
IF(AND(P1853&lt;&gt;0,O1854&lt;&gt;0),(O1854-(O1854/O1878))+(P1852/P$10),
IF(O1878&lt;1,0,(O1854-(O1854/O1878))))))</f>
        <v>0</v>
      </c>
      <c r="Q1854" s="1423">
        <f t="shared" ref="Q1854" ca="1" si="2731">IF(AND(Q1852=0,P1854=0),0,
IF(AND(Q1852&lt;&gt;0,P1854=0),(Q1852/Q$10),
IF(AND(Q1853&lt;&gt;0,P1854&lt;&gt;0),(P1854-(P1854/P1878))+(Q1852/Q$10),
IF(P1878&lt;1,0,(P1854-(P1854/P1878))))))</f>
        <v>0</v>
      </c>
      <c r="R1854" s="1423">
        <f t="shared" ref="R1854" ca="1" si="2732">IF(AND(R1852=0,Q1854=0),0,
IF(AND(R1852&lt;&gt;0,Q1854=0),(R1852/R$10),
IF(AND(R1853&lt;&gt;0,Q1854&lt;&gt;0),(Q1854-(Q1854/Q1878))+(R1852/R$10),
IF(Q1878&lt;1,0,(Q1854-(Q1854/Q1878))))))</f>
        <v>0</v>
      </c>
      <c r="S1854" s="1423">
        <f t="shared" ref="S1854" ca="1" si="2733">IF(AND(S1852=0,R1854=0),0,
IF(AND(S1852&lt;&gt;0,R1854=0),(S1852/S$10),
IF(AND(S1853&lt;&gt;0,R1854&lt;&gt;0),(R1854-(R1854/R1878))+(S1852/S$10),
IF(R1878&lt;1,0,(R1854-(R1854/R1878))))))</f>
        <v>0</v>
      </c>
      <c r="T1854" s="1423">
        <f t="shared" ref="T1854" ca="1" si="2734">IF(AND(T1852=0,S1854=0),0,
IF(AND(T1852&lt;&gt;0,S1854=0),(T1852/T$10),
IF(AND(T1853&lt;&gt;0,S1854&lt;&gt;0),(S1854-(S1854/S1878))+(T1852/T$10),
IF(S1878&lt;1,0,(S1854-(S1854/S1878))))))</f>
        <v>0</v>
      </c>
      <c r="U1854" s="1423">
        <f t="shared" ref="U1854" ca="1" si="2735">IF(AND(U1852=0,T1854=0),0,
IF(AND(U1852&lt;&gt;0,T1854=0),(U1852/U$10),
IF(AND(U1853&lt;&gt;0,T1854&lt;&gt;0),(T1854-(T1854/T1878))+(U1852/U$10),
IF(T1878&lt;1,0,(T1854-(T1854/T1878))))))</f>
        <v>0</v>
      </c>
      <c r="V1854" s="1423">
        <f t="shared" ref="V1854" ca="1" si="2736">IF(AND(V1852=0,U1854=0),0,
IF(AND(V1852&lt;&gt;0,U1854=0),(V1852/V$10),
IF(AND(V1853&lt;&gt;0,U1854&lt;&gt;0),(U1854-(U1854/U1878))+(V1852/V$10),
IF(U1878&lt;1,0,(U1854-(U1854/U1878))))))</f>
        <v>0</v>
      </c>
      <c r="W1854" s="1423">
        <f t="shared" ref="W1854" ca="1" si="2737">IF(AND(W1852=0,V1854=0),0,
IF(AND(W1852&lt;&gt;0,V1854=0),(W1852/W$10),
IF(AND(W1853&lt;&gt;0,V1854&lt;&gt;0),(V1854-(V1854/V1878))+(W1852/W$10),
IF(V1878&lt;1,0,(V1854-(V1854/V1878))))))</f>
        <v>0</v>
      </c>
      <c r="X1854" s="152"/>
      <c r="Y1854" s="152"/>
      <c r="Z1854" s="152"/>
      <c r="AA1854" s="152"/>
      <c r="AB1854" s="152"/>
    </row>
    <row r="1855" spans="1:28" hidden="1" outlineLevel="1">
      <c r="A1855" s="199">
        <f>A1854+1</f>
        <v>0</v>
      </c>
      <c r="B1855" s="190" t="s">
        <v>125</v>
      </c>
      <c r="C1855" s="1423">
        <f ca="1">C1850/C$10</f>
        <v>0</v>
      </c>
      <c r="D1855" s="1423">
        <f ca="1">IF(C1879="n/a",C1855,IFERROR(IF((OFFSET($C1855,0,$A1855))&lt;0,
MIN(0,C1855-(OFFSET($C1855,0,$A1855)/(OFFSET($C1850,-$A1854,$A1855)))),
MAX(0,C1855-(OFFSET($C1855,0,$A1855)/(OFFSET($C1850,-$A1854,$A1855))))),0))</f>
        <v>0</v>
      </c>
      <c r="E1855" s="1423">
        <f t="shared" ref="E1855" ca="1" si="2738">IF(D1879="n/a",D1855,IFERROR(IF((OFFSET($C1855,0,$A1855))&lt;0,
MIN(0,D1855-(OFFSET($C1855,0,$A1855)/(OFFSET($C1850,-$A1854,$A1855)))),
MAX(0,D1855-(OFFSET($C1855,0,$A1855)/(OFFSET($C1850,-$A1854,$A1855))))),0))</f>
        <v>0</v>
      </c>
      <c r="F1855" s="1423">
        <f t="shared" ref="F1855:F1856" ca="1" si="2739">IF(E1879="n/a",E1855,IFERROR(IF((OFFSET($C1855,0,$A1855))&lt;0,
MIN(0,E1855-(OFFSET($C1855,0,$A1855)/(OFFSET($C1850,-$A1854,$A1855)))),
MAX(0,E1855-(OFFSET($C1855,0,$A1855)/(OFFSET($C1850,-$A1854,$A1855))))),0))</f>
        <v>0</v>
      </c>
      <c r="G1855" s="1423">
        <f t="shared" ref="G1855:G1857" ca="1" si="2740">IF(F1879="n/a",F1855,IFERROR(IF((OFFSET($C1855,0,$A1855))&lt;0,
MIN(0,F1855-(OFFSET($C1855,0,$A1855)/(OFFSET($C1850,-$A1854,$A1855)))),
MAX(0,F1855-(OFFSET($C1855,0,$A1855)/(OFFSET($C1850,-$A1854,$A1855))))),0))</f>
        <v>0</v>
      </c>
      <c r="H1855" s="1423">
        <f t="shared" ref="H1855:H1858" ca="1" si="2741">IF(G1879="n/a",G1855,IFERROR(IF((OFFSET($C1855,0,$A1855))&lt;0,
MIN(0,G1855-(OFFSET($C1855,0,$A1855)/(OFFSET($C1850,-$A1854,$A1855)))),
MAX(0,G1855-(OFFSET($C1855,0,$A1855)/(OFFSET($C1850,-$A1854,$A1855))))),0))</f>
        <v>0</v>
      </c>
      <c r="I1855" s="1423">
        <f t="shared" ref="I1855:I1859" ca="1" si="2742">IF(H1879="n/a",H1855,IFERROR(IF((OFFSET($C1855,0,$A1855))&lt;0,
MIN(0,H1855-(OFFSET($C1855,0,$A1855)/(OFFSET($C1850,-$A1854,$A1855)))),
MAX(0,H1855-(OFFSET($C1855,0,$A1855)/(OFFSET($C1850,-$A1854,$A1855))))),0))</f>
        <v>0</v>
      </c>
      <c r="J1855" s="1423">
        <f t="shared" ref="J1855:J1860" ca="1" si="2743">IF(I1879="n/a",I1855,IFERROR(IF((OFFSET($C1855,0,$A1855))&lt;0,
MIN(0,I1855-(OFFSET($C1855,0,$A1855)/(OFFSET($C1850,-$A1854,$A1855)))),
MAX(0,I1855-(OFFSET($C1855,0,$A1855)/(OFFSET($C1850,-$A1854,$A1855))))),0))</f>
        <v>0</v>
      </c>
      <c r="K1855" s="1423">
        <f t="shared" ref="K1855:K1861" ca="1" si="2744">IF(J1879="n/a",J1855,IFERROR(IF((OFFSET($C1855,0,$A1855))&lt;0,
MIN(0,J1855-(OFFSET($C1855,0,$A1855)/(OFFSET($C1850,-$A1854,$A1855)))),
MAX(0,J1855-(OFFSET($C1855,0,$A1855)/(OFFSET($C1850,-$A1854,$A1855))))),0))</f>
        <v>0</v>
      </c>
      <c r="L1855" s="1423">
        <f t="shared" ref="L1855:L1862" ca="1" si="2745">IF(K1879="n/a",K1855,IFERROR(IF((OFFSET($C1855,0,$A1855))&lt;0,
MIN(0,K1855-(OFFSET($C1855,0,$A1855)/(OFFSET($C1850,-$A1854,$A1855)))),
MAX(0,K1855-(OFFSET($C1855,0,$A1855)/(OFFSET($C1850,-$A1854,$A1855))))),0))</f>
        <v>0</v>
      </c>
      <c r="M1855" s="1423">
        <f t="shared" ref="M1855:M1863" ca="1" si="2746">IF(L1879="n/a",L1855,IFERROR(IF((OFFSET($C1855,0,$A1855))&lt;0,
MIN(0,L1855-(OFFSET($C1855,0,$A1855)/(OFFSET($C1850,-$A1854,$A1855)))),
MAX(0,L1855-(OFFSET($C1855,0,$A1855)/(OFFSET($C1850,-$A1854,$A1855))))),0))</f>
        <v>0</v>
      </c>
      <c r="N1855" s="1423">
        <f t="shared" ref="N1855:N1864" ca="1" si="2747">IF(M1879="n/a",M1855,IFERROR(IF((OFFSET($C1855,0,$A1855))&lt;0,
MIN(0,M1855-(OFFSET($C1855,0,$A1855)/(OFFSET($C1850,-$A1854,$A1855)))),
MAX(0,M1855-(OFFSET($C1855,0,$A1855)/(OFFSET($C1850,-$A1854,$A1855))))),0))</f>
        <v>0</v>
      </c>
      <c r="O1855" s="1423">
        <f t="shared" ref="O1855:O1865" ca="1" si="2748">IF(N1879="n/a",N1855,IFERROR(IF((OFFSET($C1855,0,$A1855))&lt;0,
MIN(0,N1855-(OFFSET($C1855,0,$A1855)/(OFFSET($C1850,-$A1854,$A1855)))),
MAX(0,N1855-(OFFSET($C1855,0,$A1855)/(OFFSET($C1850,-$A1854,$A1855))))),0))</f>
        <v>0</v>
      </c>
      <c r="P1855" s="1423">
        <f t="shared" ref="P1855:P1866" ca="1" si="2749">IF(O1879="n/a",O1855,IFERROR(IF((OFFSET($C1855,0,$A1855))&lt;0,
MIN(0,O1855-(OFFSET($C1855,0,$A1855)/(OFFSET($C1850,-$A1854,$A1855)))),
MAX(0,O1855-(OFFSET($C1855,0,$A1855)/(OFFSET($C1850,-$A1854,$A1855))))),0))</f>
        <v>0</v>
      </c>
      <c r="Q1855" s="1423">
        <f t="shared" ref="Q1855:Q1867" ca="1" si="2750">IF(P1879="n/a",P1855,IFERROR(IF((OFFSET($C1855,0,$A1855))&lt;0,
MIN(0,P1855-(OFFSET($C1855,0,$A1855)/(OFFSET($C1850,-$A1854,$A1855)))),
MAX(0,P1855-(OFFSET($C1855,0,$A1855)/(OFFSET($C1850,-$A1854,$A1855))))),0))</f>
        <v>0</v>
      </c>
      <c r="R1855" s="1423">
        <f t="shared" ref="R1855:R1868" ca="1" si="2751">IF(Q1879="n/a",Q1855,IFERROR(IF((OFFSET($C1855,0,$A1855))&lt;0,
MIN(0,Q1855-(OFFSET($C1855,0,$A1855)/(OFFSET($C1850,-$A1854,$A1855)))),
MAX(0,Q1855-(OFFSET($C1855,0,$A1855)/(OFFSET($C1850,-$A1854,$A1855))))),0))</f>
        <v>0</v>
      </c>
      <c r="S1855" s="1423">
        <f t="shared" ref="S1855:S1869" ca="1" si="2752">IF(R1879="n/a",R1855,IFERROR(IF((OFFSET($C1855,0,$A1855))&lt;0,
MIN(0,R1855-(OFFSET($C1855,0,$A1855)/(OFFSET($C1850,-$A1854,$A1855)))),
MAX(0,R1855-(OFFSET($C1855,0,$A1855)/(OFFSET($C1850,-$A1854,$A1855))))),0))</f>
        <v>0</v>
      </c>
      <c r="T1855" s="1423">
        <f t="shared" ref="T1855:T1870" ca="1" si="2753">IF(S1879="n/a",S1855,IFERROR(IF((OFFSET($C1855,0,$A1855))&lt;0,
MIN(0,S1855-(OFFSET($C1855,0,$A1855)/(OFFSET($C1850,-$A1854,$A1855)))),
MAX(0,S1855-(OFFSET($C1855,0,$A1855)/(OFFSET($C1850,-$A1854,$A1855))))),0))</f>
        <v>0</v>
      </c>
      <c r="U1855" s="1423">
        <f t="shared" ref="U1855:U1871" ca="1" si="2754">IF(T1879="n/a",T1855,IFERROR(IF((OFFSET($C1855,0,$A1855))&lt;0,
MIN(0,T1855-(OFFSET($C1855,0,$A1855)/(OFFSET($C1850,-$A1854,$A1855)))),
MAX(0,T1855-(OFFSET($C1855,0,$A1855)/(OFFSET($C1850,-$A1854,$A1855))))),0))</f>
        <v>0</v>
      </c>
      <c r="V1855" s="1423">
        <f t="shared" ref="V1855:V1872" ca="1" si="2755">IF(U1879="n/a",U1855,IFERROR(IF((OFFSET($C1855,0,$A1855))&lt;0,
MIN(0,U1855-(OFFSET($C1855,0,$A1855)/(OFFSET($C1850,-$A1854,$A1855)))),
MAX(0,U1855-(OFFSET($C1855,0,$A1855)/(OFFSET($C1850,-$A1854,$A1855))))),0))</f>
        <v>0</v>
      </c>
      <c r="W1855" s="1423">
        <f t="shared" ref="W1855:W1873" ca="1" si="2756">IF(V1879="n/a",V1855,IFERROR(IF((OFFSET($C1855,0,$A1855))&lt;0,
MIN(0,V1855-(OFFSET($C1855,0,$A1855)/(OFFSET($C1850,-$A1854,$A1855)))),
MAX(0,V1855-(OFFSET($C1855,0,$A1855)/(OFFSET($C1850,-$A1854,$A1855))))),0))</f>
        <v>0</v>
      </c>
      <c r="X1855" s="152"/>
      <c r="Y1855" s="152"/>
      <c r="Z1855" s="152"/>
      <c r="AA1855" s="152"/>
      <c r="AB1855" s="152"/>
    </row>
    <row r="1856" spans="1:28" hidden="1" outlineLevel="1">
      <c r="A1856" s="199">
        <f t="shared" ref="A1856:A1875" si="2757">A1855+1</f>
        <v>1</v>
      </c>
      <c r="B1856" s="190" t="str">
        <f t="shared" ref="B1856:B1874" ca="1" si="2758">"Depreciated Net Capex "&amp;OFFSET($C$6,0,A1856)</f>
        <v>Depreciated Net Capex 2016-17</v>
      </c>
      <c r="C1856" s="1424"/>
      <c r="D1856" s="1425">
        <f>(D1850*((1+D$11)^0.5)/D$10)</f>
        <v>0</v>
      </c>
      <c r="E1856" s="1423">
        <f ca="1">IF(D1880="n/a",D1856,IFERROR(IF((OFFSET($C1856,0,$A1856))&lt;0,
MIN(0,D1856-(OFFSET($C1856,0,$A1856)/(OFFSET($C1851,-$A1855,$A1856)))),
MAX(0,D1856-(OFFSET($C1856,0,$A1856)/(OFFSET($C1851,-$A1855,$A1856))))),0))</f>
        <v>0</v>
      </c>
      <c r="F1856" s="1423">
        <f t="shared" ca="1" si="2739"/>
        <v>0</v>
      </c>
      <c r="G1856" s="1423">
        <f t="shared" ca="1" si="2740"/>
        <v>0</v>
      </c>
      <c r="H1856" s="1423">
        <f t="shared" ca="1" si="2741"/>
        <v>0</v>
      </c>
      <c r="I1856" s="1423">
        <f t="shared" ca="1" si="2742"/>
        <v>0</v>
      </c>
      <c r="J1856" s="1423">
        <f t="shared" ca="1" si="2743"/>
        <v>0</v>
      </c>
      <c r="K1856" s="1423">
        <f t="shared" ca="1" si="2744"/>
        <v>0</v>
      </c>
      <c r="L1856" s="1423">
        <f t="shared" ca="1" si="2745"/>
        <v>0</v>
      </c>
      <c r="M1856" s="1423">
        <f t="shared" ca="1" si="2746"/>
        <v>0</v>
      </c>
      <c r="N1856" s="1423">
        <f t="shared" ca="1" si="2747"/>
        <v>0</v>
      </c>
      <c r="O1856" s="1423">
        <f t="shared" ca="1" si="2748"/>
        <v>0</v>
      </c>
      <c r="P1856" s="1423">
        <f t="shared" ca="1" si="2749"/>
        <v>0</v>
      </c>
      <c r="Q1856" s="1423">
        <f t="shared" ca="1" si="2750"/>
        <v>0</v>
      </c>
      <c r="R1856" s="1423">
        <f t="shared" ca="1" si="2751"/>
        <v>0</v>
      </c>
      <c r="S1856" s="1423">
        <f t="shared" ca="1" si="2752"/>
        <v>0</v>
      </c>
      <c r="T1856" s="1423">
        <f t="shared" ca="1" si="2753"/>
        <v>0</v>
      </c>
      <c r="U1856" s="1423">
        <f t="shared" ca="1" si="2754"/>
        <v>0</v>
      </c>
      <c r="V1856" s="1423">
        <f t="shared" ca="1" si="2755"/>
        <v>0</v>
      </c>
      <c r="W1856" s="1423">
        <f t="shared" ca="1" si="2756"/>
        <v>0</v>
      </c>
      <c r="X1856" s="152"/>
      <c r="Y1856" s="152"/>
      <c r="Z1856" s="152"/>
      <c r="AA1856" s="152"/>
      <c r="AB1856" s="152"/>
    </row>
    <row r="1857" spans="1:28" hidden="1" outlineLevel="1">
      <c r="A1857" s="199">
        <f t="shared" si="2757"/>
        <v>2</v>
      </c>
      <c r="B1857" s="190" t="str">
        <f t="shared" ca="1" si="2758"/>
        <v>Depreciated Net Capex 2017-18</v>
      </c>
      <c r="C1857" s="1426"/>
      <c r="D1857" s="1427"/>
      <c r="E1857" s="1425">
        <f>(E1850*((1+E$11)^0.5)/E$10)</f>
        <v>0</v>
      </c>
      <c r="F1857" s="1423">
        <f ca="1">IF(E1881="n/a",E1857,IFERROR(IF((OFFSET($C1857,0,$A1857))&lt;0,
MIN(0,E1857-(OFFSET($C1857,0,$A1857)/(OFFSET($C1852,-$A1856,$A1857)))),
MAX(0,E1857-(OFFSET($C1857,0,$A1857)/(OFFSET($C1852,-$A1856,$A1857))))),0))</f>
        <v>0</v>
      </c>
      <c r="G1857" s="1423">
        <f t="shared" ca="1" si="2740"/>
        <v>0</v>
      </c>
      <c r="H1857" s="1423">
        <f t="shared" ca="1" si="2741"/>
        <v>0</v>
      </c>
      <c r="I1857" s="1423">
        <f t="shared" ca="1" si="2742"/>
        <v>0</v>
      </c>
      <c r="J1857" s="1423">
        <f t="shared" ca="1" si="2743"/>
        <v>0</v>
      </c>
      <c r="K1857" s="1423">
        <f t="shared" ca="1" si="2744"/>
        <v>0</v>
      </c>
      <c r="L1857" s="1423">
        <f t="shared" ca="1" si="2745"/>
        <v>0</v>
      </c>
      <c r="M1857" s="1423">
        <f t="shared" ca="1" si="2746"/>
        <v>0</v>
      </c>
      <c r="N1857" s="1423">
        <f t="shared" ca="1" si="2747"/>
        <v>0</v>
      </c>
      <c r="O1857" s="1423">
        <f t="shared" ca="1" si="2748"/>
        <v>0</v>
      </c>
      <c r="P1857" s="1423">
        <f t="shared" ca="1" si="2749"/>
        <v>0</v>
      </c>
      <c r="Q1857" s="1423">
        <f t="shared" ca="1" si="2750"/>
        <v>0</v>
      </c>
      <c r="R1857" s="1423">
        <f t="shared" ca="1" si="2751"/>
        <v>0</v>
      </c>
      <c r="S1857" s="1423">
        <f t="shared" ca="1" si="2752"/>
        <v>0</v>
      </c>
      <c r="T1857" s="1423">
        <f t="shared" ca="1" si="2753"/>
        <v>0</v>
      </c>
      <c r="U1857" s="1423">
        <f t="shared" ca="1" si="2754"/>
        <v>0</v>
      </c>
      <c r="V1857" s="1423">
        <f t="shared" ca="1" si="2755"/>
        <v>0</v>
      </c>
      <c r="W1857" s="1423">
        <f t="shared" ca="1" si="2756"/>
        <v>0</v>
      </c>
      <c r="X1857" s="202"/>
      <c r="Y1857" s="152"/>
      <c r="Z1857" s="152"/>
      <c r="AA1857" s="152"/>
      <c r="AB1857" s="152"/>
    </row>
    <row r="1858" spans="1:28" hidden="1" outlineLevel="1">
      <c r="A1858" s="199">
        <f t="shared" si="2757"/>
        <v>3</v>
      </c>
      <c r="B1858" s="190" t="str">
        <f t="shared" ca="1" si="2758"/>
        <v>Depreciated Net Capex 2018-19</v>
      </c>
      <c r="C1858" s="1426"/>
      <c r="D1858" s="1426"/>
      <c r="E1858" s="1427"/>
      <c r="F1858" s="1428">
        <f>($F1850*((1+F$11)^0.5)/F$10)</f>
        <v>0</v>
      </c>
      <c r="G1858" s="1423">
        <f ca="1">IF(F1882="n/a",F1858,IFERROR(IF((OFFSET($C1858,0,$A1858))&lt;0,
MIN(0,F1858-(OFFSET($C1858,0,$A1858)/(OFFSET($C1853,-$A1857,$A1858)))),
MAX(0,F1858-(OFFSET($C1858,0,$A1858)/(OFFSET($C1853,-$A1857,$A1858))))),0))</f>
        <v>0</v>
      </c>
      <c r="H1858" s="1423">
        <f t="shared" ca="1" si="2741"/>
        <v>0</v>
      </c>
      <c r="I1858" s="1423">
        <f t="shared" ca="1" si="2742"/>
        <v>0</v>
      </c>
      <c r="J1858" s="1423">
        <f t="shared" ca="1" si="2743"/>
        <v>0</v>
      </c>
      <c r="K1858" s="1423">
        <f t="shared" ca="1" si="2744"/>
        <v>0</v>
      </c>
      <c r="L1858" s="1423">
        <f t="shared" ca="1" si="2745"/>
        <v>0</v>
      </c>
      <c r="M1858" s="1423">
        <f t="shared" ca="1" si="2746"/>
        <v>0</v>
      </c>
      <c r="N1858" s="1423">
        <f t="shared" ca="1" si="2747"/>
        <v>0</v>
      </c>
      <c r="O1858" s="1423">
        <f t="shared" ca="1" si="2748"/>
        <v>0</v>
      </c>
      <c r="P1858" s="1423">
        <f t="shared" ca="1" si="2749"/>
        <v>0</v>
      </c>
      <c r="Q1858" s="1423">
        <f t="shared" ca="1" si="2750"/>
        <v>0</v>
      </c>
      <c r="R1858" s="1423">
        <f t="shared" ca="1" si="2751"/>
        <v>0</v>
      </c>
      <c r="S1858" s="1423">
        <f t="shared" ca="1" si="2752"/>
        <v>0</v>
      </c>
      <c r="T1858" s="1423">
        <f t="shared" ca="1" si="2753"/>
        <v>0</v>
      </c>
      <c r="U1858" s="1423">
        <f t="shared" ca="1" si="2754"/>
        <v>0</v>
      </c>
      <c r="V1858" s="1423">
        <f t="shared" ca="1" si="2755"/>
        <v>0</v>
      </c>
      <c r="W1858" s="1423">
        <f t="shared" ca="1" si="2756"/>
        <v>0</v>
      </c>
      <c r="X1858" s="202"/>
      <c r="Y1858" s="202"/>
      <c r="Z1858" s="152"/>
      <c r="AA1858" s="152"/>
      <c r="AB1858" s="152"/>
    </row>
    <row r="1859" spans="1:28" hidden="1" outlineLevel="1">
      <c r="A1859" s="199">
        <f t="shared" si="2757"/>
        <v>4</v>
      </c>
      <c r="B1859" s="190" t="str">
        <f t="shared" ca="1" si="2758"/>
        <v>Depreciated Net Capex 2019-20</v>
      </c>
      <c r="C1859" s="1426"/>
      <c r="D1859" s="1426"/>
      <c r="E1859" s="1426"/>
      <c r="F1859" s="1427"/>
      <c r="G1859" s="1428">
        <f>($G1850*((1+G$11)^0.5)/G$10)</f>
        <v>0</v>
      </c>
      <c r="H1859" s="1423">
        <f ca="1">IF(G1883="n/a",G1859,IFERROR(IF((OFFSET($C1859,0,$A1859))&lt;0,
MIN(0,G1859-(OFFSET($C1859,0,$A1859)/(OFFSET($C1854,-$A1858,$A1859)))),
MAX(0,G1859-(OFFSET($C1859,0,$A1859)/(OFFSET($C1854,-$A1858,$A1859))))),0))</f>
        <v>0</v>
      </c>
      <c r="I1859" s="1423">
        <f t="shared" ca="1" si="2742"/>
        <v>0</v>
      </c>
      <c r="J1859" s="1423">
        <f t="shared" ca="1" si="2743"/>
        <v>0</v>
      </c>
      <c r="K1859" s="1423">
        <f t="shared" ca="1" si="2744"/>
        <v>0</v>
      </c>
      <c r="L1859" s="1423">
        <f t="shared" ca="1" si="2745"/>
        <v>0</v>
      </c>
      <c r="M1859" s="1423">
        <f t="shared" ca="1" si="2746"/>
        <v>0</v>
      </c>
      <c r="N1859" s="1423">
        <f t="shared" ca="1" si="2747"/>
        <v>0</v>
      </c>
      <c r="O1859" s="1423">
        <f t="shared" ca="1" si="2748"/>
        <v>0</v>
      </c>
      <c r="P1859" s="1423">
        <f t="shared" ca="1" si="2749"/>
        <v>0</v>
      </c>
      <c r="Q1859" s="1423">
        <f t="shared" ca="1" si="2750"/>
        <v>0</v>
      </c>
      <c r="R1859" s="1423">
        <f t="shared" ca="1" si="2751"/>
        <v>0</v>
      </c>
      <c r="S1859" s="1423">
        <f t="shared" ca="1" si="2752"/>
        <v>0</v>
      </c>
      <c r="T1859" s="1423">
        <f t="shared" ca="1" si="2753"/>
        <v>0</v>
      </c>
      <c r="U1859" s="1423">
        <f t="shared" ca="1" si="2754"/>
        <v>0</v>
      </c>
      <c r="V1859" s="1423">
        <f t="shared" ca="1" si="2755"/>
        <v>0</v>
      </c>
      <c r="W1859" s="1423">
        <f t="shared" ca="1" si="2756"/>
        <v>0</v>
      </c>
      <c r="X1859" s="202"/>
      <c r="Y1859" s="202"/>
      <c r="Z1859" s="202"/>
      <c r="AA1859" s="152"/>
      <c r="AB1859" s="152"/>
    </row>
    <row r="1860" spans="1:28" hidden="1" outlineLevel="1">
      <c r="A1860" s="199">
        <f t="shared" si="2757"/>
        <v>5</v>
      </c>
      <c r="B1860" s="190" t="str">
        <f t="shared" ca="1" si="2758"/>
        <v>Depreciated Net Capex 2020-21</v>
      </c>
      <c r="C1860" s="1426"/>
      <c r="D1860" s="1426"/>
      <c r="E1860" s="1426"/>
      <c r="F1860" s="1426"/>
      <c r="G1860" s="1427"/>
      <c r="H1860" s="1428">
        <f>(H1850*((1+H$11)^0.5)/H$10)</f>
        <v>0</v>
      </c>
      <c r="I1860" s="1423">
        <f ca="1">IF(H1884="n/a",H1860,IFERROR(IF((OFFSET($C1860,0,$A1860))&lt;0,
MIN(0,H1860-(OFFSET($C1860,0,$A1860)/(OFFSET($C1855,-$A1859,$A1860)))),
MAX(0,H1860-(OFFSET($C1860,0,$A1860)/(OFFSET($C1855,-$A1859,$A1860))))),0))</f>
        <v>0</v>
      </c>
      <c r="J1860" s="1423">
        <f t="shared" ca="1" si="2743"/>
        <v>0</v>
      </c>
      <c r="K1860" s="1423">
        <f t="shared" ca="1" si="2744"/>
        <v>0</v>
      </c>
      <c r="L1860" s="1423">
        <f t="shared" ca="1" si="2745"/>
        <v>0</v>
      </c>
      <c r="M1860" s="1423">
        <f t="shared" ca="1" si="2746"/>
        <v>0</v>
      </c>
      <c r="N1860" s="1423">
        <f t="shared" ca="1" si="2747"/>
        <v>0</v>
      </c>
      <c r="O1860" s="1423">
        <f t="shared" ca="1" si="2748"/>
        <v>0</v>
      </c>
      <c r="P1860" s="1423">
        <f t="shared" ca="1" si="2749"/>
        <v>0</v>
      </c>
      <c r="Q1860" s="1423">
        <f t="shared" ca="1" si="2750"/>
        <v>0</v>
      </c>
      <c r="R1860" s="1423">
        <f t="shared" ca="1" si="2751"/>
        <v>0</v>
      </c>
      <c r="S1860" s="1423">
        <f t="shared" ca="1" si="2752"/>
        <v>0</v>
      </c>
      <c r="T1860" s="1423">
        <f t="shared" ca="1" si="2753"/>
        <v>0</v>
      </c>
      <c r="U1860" s="1423">
        <f t="shared" ca="1" si="2754"/>
        <v>0</v>
      </c>
      <c r="V1860" s="1423">
        <f t="shared" ca="1" si="2755"/>
        <v>0</v>
      </c>
      <c r="W1860" s="1423">
        <f t="shared" ca="1" si="2756"/>
        <v>0</v>
      </c>
      <c r="X1860" s="202"/>
      <c r="Y1860" s="202"/>
      <c r="Z1860" s="202"/>
      <c r="AA1860" s="152"/>
      <c r="AB1860" s="152"/>
    </row>
    <row r="1861" spans="1:28" hidden="1" outlineLevel="1">
      <c r="A1861" s="199">
        <f t="shared" si="2757"/>
        <v>6</v>
      </c>
      <c r="B1861" s="190" t="str">
        <f t="shared" ca="1" si="2758"/>
        <v>Depreciated Net Capex 2021-22</v>
      </c>
      <c r="C1861" s="1426"/>
      <c r="D1861" s="1426"/>
      <c r="E1861" s="1426"/>
      <c r="F1861" s="1426"/>
      <c r="G1861" s="1426"/>
      <c r="H1861" s="1427"/>
      <c r="I1861" s="1428">
        <f>(I1850*((1+I$11)^0.5)/I$10)</f>
        <v>0</v>
      </c>
      <c r="J1861" s="1423">
        <f ca="1">IF(I1885="n/a",I1861,IFERROR(IF((OFFSET($C1861,0,$A1861))&lt;0,
MIN(0,I1861-(OFFSET($C1861,0,$A1861)/(OFFSET($C1856,-$A1860,$A1861)))),
MAX(0,I1861-(OFFSET($C1861,0,$A1861)/(OFFSET($C1856,-$A1860,$A1861))))),0))</f>
        <v>0</v>
      </c>
      <c r="K1861" s="1423">
        <f t="shared" ca="1" si="2744"/>
        <v>0</v>
      </c>
      <c r="L1861" s="1423">
        <f t="shared" ca="1" si="2745"/>
        <v>0</v>
      </c>
      <c r="M1861" s="1423">
        <f t="shared" ca="1" si="2746"/>
        <v>0</v>
      </c>
      <c r="N1861" s="1423">
        <f t="shared" ca="1" si="2747"/>
        <v>0</v>
      </c>
      <c r="O1861" s="1423">
        <f t="shared" ca="1" si="2748"/>
        <v>0</v>
      </c>
      <c r="P1861" s="1423">
        <f t="shared" ca="1" si="2749"/>
        <v>0</v>
      </c>
      <c r="Q1861" s="1423">
        <f t="shared" ca="1" si="2750"/>
        <v>0</v>
      </c>
      <c r="R1861" s="1423">
        <f t="shared" ca="1" si="2751"/>
        <v>0</v>
      </c>
      <c r="S1861" s="1423">
        <f t="shared" ca="1" si="2752"/>
        <v>0</v>
      </c>
      <c r="T1861" s="1423">
        <f t="shared" ca="1" si="2753"/>
        <v>0</v>
      </c>
      <c r="U1861" s="1423">
        <f t="shared" ca="1" si="2754"/>
        <v>0</v>
      </c>
      <c r="V1861" s="1423">
        <f t="shared" ca="1" si="2755"/>
        <v>0</v>
      </c>
      <c r="W1861" s="1423">
        <f t="shared" ca="1" si="2756"/>
        <v>0</v>
      </c>
      <c r="X1861" s="202"/>
      <c r="Y1861" s="202"/>
      <c r="Z1861" s="202"/>
      <c r="AA1861" s="152"/>
      <c r="AB1861" s="152"/>
    </row>
    <row r="1862" spans="1:28" hidden="1" outlineLevel="1">
      <c r="A1862" s="199">
        <f t="shared" si="2757"/>
        <v>7</v>
      </c>
      <c r="B1862" s="190" t="str">
        <f t="shared" ca="1" si="2758"/>
        <v>Depreciated Net Capex 2022-23</v>
      </c>
      <c r="C1862" s="1426"/>
      <c r="D1862" s="1426"/>
      <c r="E1862" s="1426"/>
      <c r="F1862" s="1426"/>
      <c r="G1862" s="1426"/>
      <c r="H1862" s="1426"/>
      <c r="I1862" s="1427"/>
      <c r="J1862" s="1428">
        <f>(J1850*((1+J$11)^0.5)/J$10)</f>
        <v>0</v>
      </c>
      <c r="K1862" s="1423">
        <f ca="1">IF(J1886="n/a",J1862,IFERROR(IF((OFFSET($C1862,0,$A1862))&lt;0,
MIN(0,J1862-(OFFSET($C1862,0,$A1862)/(OFFSET($C1857,-$A1861,$A1862)))),
MAX(0,J1862-(OFFSET($C1862,0,$A1862)/(OFFSET($C1857,-$A1861,$A1862))))),0))</f>
        <v>0</v>
      </c>
      <c r="L1862" s="1423">
        <f t="shared" ca="1" si="2745"/>
        <v>0</v>
      </c>
      <c r="M1862" s="1423">
        <f t="shared" ca="1" si="2746"/>
        <v>0</v>
      </c>
      <c r="N1862" s="1423">
        <f t="shared" ca="1" si="2747"/>
        <v>0</v>
      </c>
      <c r="O1862" s="1423">
        <f t="shared" ca="1" si="2748"/>
        <v>0</v>
      </c>
      <c r="P1862" s="1423">
        <f t="shared" ca="1" si="2749"/>
        <v>0</v>
      </c>
      <c r="Q1862" s="1423">
        <f t="shared" ca="1" si="2750"/>
        <v>0</v>
      </c>
      <c r="R1862" s="1423">
        <f t="shared" ca="1" si="2751"/>
        <v>0</v>
      </c>
      <c r="S1862" s="1423">
        <f t="shared" ca="1" si="2752"/>
        <v>0</v>
      </c>
      <c r="T1862" s="1423">
        <f t="shared" ca="1" si="2753"/>
        <v>0</v>
      </c>
      <c r="U1862" s="1423">
        <f t="shared" ca="1" si="2754"/>
        <v>0</v>
      </c>
      <c r="V1862" s="1423">
        <f t="shared" ca="1" si="2755"/>
        <v>0</v>
      </c>
      <c r="W1862" s="1423">
        <f t="shared" ca="1" si="2756"/>
        <v>0</v>
      </c>
      <c r="X1862" s="202"/>
      <c r="Y1862" s="202"/>
      <c r="Z1862" s="202"/>
      <c r="AA1862" s="152"/>
      <c r="AB1862" s="152"/>
    </row>
    <row r="1863" spans="1:28" hidden="1" outlineLevel="1">
      <c r="A1863" s="199">
        <f t="shared" si="2757"/>
        <v>8</v>
      </c>
      <c r="B1863" s="190" t="str">
        <f t="shared" ca="1" si="2758"/>
        <v>Depreciated Net Capex 2023-24</v>
      </c>
      <c r="C1863" s="1426"/>
      <c r="D1863" s="1426"/>
      <c r="E1863" s="1426"/>
      <c r="F1863" s="1426"/>
      <c r="G1863" s="1426"/>
      <c r="H1863" s="1426"/>
      <c r="I1863" s="1426"/>
      <c r="J1863" s="1427"/>
      <c r="K1863" s="1428">
        <f>(K1850*((1+K$11)^0.5)/K$10)</f>
        <v>0</v>
      </c>
      <c r="L1863" s="1423">
        <f ca="1">IF(K1887="n/a",K1863,IFERROR(IF((OFFSET($C1863,0,$A1863))&lt;0,
MIN(0,K1863-(OFFSET($C1863,0,$A1863)/(OFFSET($C1858,-$A1862,$A1863)))),
MAX(0,K1863-(OFFSET($C1863,0,$A1863)/(OFFSET($C1858,-$A1862,$A1863))))),0))</f>
        <v>0</v>
      </c>
      <c r="M1863" s="1423">
        <f t="shared" ca="1" si="2746"/>
        <v>0</v>
      </c>
      <c r="N1863" s="1423">
        <f t="shared" ca="1" si="2747"/>
        <v>0</v>
      </c>
      <c r="O1863" s="1423">
        <f t="shared" ca="1" si="2748"/>
        <v>0</v>
      </c>
      <c r="P1863" s="1423">
        <f t="shared" ca="1" si="2749"/>
        <v>0</v>
      </c>
      <c r="Q1863" s="1423">
        <f t="shared" ca="1" si="2750"/>
        <v>0</v>
      </c>
      <c r="R1863" s="1423">
        <f t="shared" ca="1" si="2751"/>
        <v>0</v>
      </c>
      <c r="S1863" s="1423">
        <f t="shared" ca="1" si="2752"/>
        <v>0</v>
      </c>
      <c r="T1863" s="1423">
        <f t="shared" ca="1" si="2753"/>
        <v>0</v>
      </c>
      <c r="U1863" s="1423">
        <f t="shared" ca="1" si="2754"/>
        <v>0</v>
      </c>
      <c r="V1863" s="1423">
        <f t="shared" ca="1" si="2755"/>
        <v>0</v>
      </c>
      <c r="W1863" s="1423">
        <f t="shared" ca="1" si="2756"/>
        <v>0</v>
      </c>
      <c r="X1863" s="202"/>
      <c r="Y1863" s="202"/>
      <c r="Z1863" s="202"/>
      <c r="AA1863" s="152"/>
      <c r="AB1863" s="152"/>
    </row>
    <row r="1864" spans="1:28" hidden="1" outlineLevel="1">
      <c r="A1864" s="199">
        <f t="shared" si="2757"/>
        <v>9</v>
      </c>
      <c r="B1864" s="190" t="str">
        <f t="shared" ca="1" si="2758"/>
        <v>Depreciated Net Capex 2024-25</v>
      </c>
      <c r="C1864" s="1426"/>
      <c r="D1864" s="1426"/>
      <c r="E1864" s="1426"/>
      <c r="F1864" s="1426"/>
      <c r="G1864" s="1426"/>
      <c r="H1864" s="1426"/>
      <c r="I1864" s="1426"/>
      <c r="J1864" s="1426"/>
      <c r="K1864" s="1427"/>
      <c r="L1864" s="1428">
        <f>(L1850*((1+L$11)^0.5)/L$10)</f>
        <v>0</v>
      </c>
      <c r="M1864" s="1423">
        <f ca="1">IF(L1888="n/a",L1864,IFERROR(IF((OFFSET($C1864,0,$A1864))&lt;0,
MIN(0,L1864-(OFFSET($C1864,0,$A1864)/(OFFSET($C1859,-$A1863,$A1864)))),
MAX(0,L1864-(OFFSET($C1864,0,$A1864)/(OFFSET($C1859,-$A1863,$A1864))))),0))</f>
        <v>0</v>
      </c>
      <c r="N1864" s="1423">
        <f t="shared" ca="1" si="2747"/>
        <v>0</v>
      </c>
      <c r="O1864" s="1423">
        <f t="shared" ca="1" si="2748"/>
        <v>0</v>
      </c>
      <c r="P1864" s="1423">
        <f t="shared" ca="1" si="2749"/>
        <v>0</v>
      </c>
      <c r="Q1864" s="1423">
        <f t="shared" ca="1" si="2750"/>
        <v>0</v>
      </c>
      <c r="R1864" s="1423">
        <f t="shared" ca="1" si="2751"/>
        <v>0</v>
      </c>
      <c r="S1864" s="1423">
        <f t="shared" ca="1" si="2752"/>
        <v>0</v>
      </c>
      <c r="T1864" s="1423">
        <f t="shared" ca="1" si="2753"/>
        <v>0</v>
      </c>
      <c r="U1864" s="1423">
        <f t="shared" ca="1" si="2754"/>
        <v>0</v>
      </c>
      <c r="V1864" s="1423">
        <f t="shared" ca="1" si="2755"/>
        <v>0</v>
      </c>
      <c r="W1864" s="1423">
        <f t="shared" ca="1" si="2756"/>
        <v>0</v>
      </c>
      <c r="X1864" s="202"/>
      <c r="Y1864" s="202"/>
      <c r="Z1864" s="202"/>
      <c r="AA1864" s="152"/>
      <c r="AB1864" s="152"/>
    </row>
    <row r="1865" spans="1:28" hidden="1" outlineLevel="1">
      <c r="A1865" s="199">
        <f t="shared" si="2757"/>
        <v>10</v>
      </c>
      <c r="B1865" s="190" t="str">
        <f t="shared" ca="1" si="2758"/>
        <v>Depreciated Net Capex 2025-26</v>
      </c>
      <c r="C1865" s="1426"/>
      <c r="D1865" s="1426"/>
      <c r="E1865" s="1426"/>
      <c r="F1865" s="1426"/>
      <c r="G1865" s="1426"/>
      <c r="H1865" s="1426"/>
      <c r="I1865" s="1426"/>
      <c r="J1865" s="1426"/>
      <c r="K1865" s="1426"/>
      <c r="L1865" s="1427"/>
      <c r="M1865" s="1428">
        <f>(M1850*((1+M$11)^0.5)/M$10)</f>
        <v>0</v>
      </c>
      <c r="N1865" s="1423">
        <f ca="1">IF(M1889="n/a",M1865,IFERROR(IF((OFFSET($C1865,0,$A1865))&lt;0,
MIN(0,M1865-(OFFSET($C1865,0,$A1865)/(OFFSET($C1860,-$A1864,$A1865)))),
MAX(0,M1865-(OFFSET($C1865,0,$A1865)/(OFFSET($C1860,-$A1864,$A1865))))),0))</f>
        <v>0</v>
      </c>
      <c r="O1865" s="1423">
        <f t="shared" ca="1" si="2748"/>
        <v>0</v>
      </c>
      <c r="P1865" s="1423">
        <f t="shared" ca="1" si="2749"/>
        <v>0</v>
      </c>
      <c r="Q1865" s="1423">
        <f t="shared" ca="1" si="2750"/>
        <v>0</v>
      </c>
      <c r="R1865" s="1423">
        <f t="shared" ca="1" si="2751"/>
        <v>0</v>
      </c>
      <c r="S1865" s="1423">
        <f t="shared" ca="1" si="2752"/>
        <v>0</v>
      </c>
      <c r="T1865" s="1423">
        <f t="shared" ca="1" si="2753"/>
        <v>0</v>
      </c>
      <c r="U1865" s="1423">
        <f t="shared" ca="1" si="2754"/>
        <v>0</v>
      </c>
      <c r="V1865" s="1423">
        <f t="shared" ca="1" si="2755"/>
        <v>0</v>
      </c>
      <c r="W1865" s="1423">
        <f t="shared" ca="1" si="2756"/>
        <v>0</v>
      </c>
      <c r="X1865" s="202"/>
      <c r="Y1865" s="202"/>
      <c r="Z1865" s="202"/>
      <c r="AA1865" s="152"/>
      <c r="AB1865" s="152"/>
    </row>
    <row r="1866" spans="1:28" hidden="1" outlineLevel="1">
      <c r="A1866" s="199">
        <f t="shared" si="2757"/>
        <v>11</v>
      </c>
      <c r="B1866" s="190" t="str">
        <f t="shared" ca="1" si="2758"/>
        <v>Depreciated Net Capex 2026-27</v>
      </c>
      <c r="C1866" s="1426"/>
      <c r="D1866" s="1426"/>
      <c r="E1866" s="1426"/>
      <c r="F1866" s="1426"/>
      <c r="G1866" s="1426"/>
      <c r="H1866" s="1426"/>
      <c r="I1866" s="1426"/>
      <c r="J1866" s="1426"/>
      <c r="K1866" s="1426"/>
      <c r="L1866" s="1426"/>
      <c r="M1866" s="1427"/>
      <c r="N1866" s="1428">
        <f>(N1850*((1+N$11)^0.5)/N$10)</f>
        <v>0</v>
      </c>
      <c r="O1866" s="1423">
        <f ca="1">IF(N1890="n/a",N1866,IFERROR(IF((OFFSET($C1866,0,$A1866))&lt;0,
MIN(0,N1866-(OFFSET($C1866,0,$A1866)/(OFFSET($C1861,-$A1865,$A1866)))),
MAX(0,N1866-(OFFSET($C1866,0,$A1866)/(OFFSET($C1861,-$A1865,$A1866))))),0))</f>
        <v>0</v>
      </c>
      <c r="P1866" s="1423">
        <f t="shared" ca="1" si="2749"/>
        <v>0</v>
      </c>
      <c r="Q1866" s="1423">
        <f t="shared" ca="1" si="2750"/>
        <v>0</v>
      </c>
      <c r="R1866" s="1423">
        <f t="shared" ca="1" si="2751"/>
        <v>0</v>
      </c>
      <c r="S1866" s="1423">
        <f t="shared" ca="1" si="2752"/>
        <v>0</v>
      </c>
      <c r="T1866" s="1423">
        <f t="shared" ca="1" si="2753"/>
        <v>0</v>
      </c>
      <c r="U1866" s="1423">
        <f t="shared" ca="1" si="2754"/>
        <v>0</v>
      </c>
      <c r="V1866" s="1423">
        <f t="shared" ca="1" si="2755"/>
        <v>0</v>
      </c>
      <c r="W1866" s="1423">
        <f t="shared" ca="1" si="2756"/>
        <v>0</v>
      </c>
      <c r="X1866" s="202"/>
      <c r="Y1866" s="202"/>
      <c r="Z1866" s="202"/>
      <c r="AA1866" s="152"/>
      <c r="AB1866" s="152"/>
    </row>
    <row r="1867" spans="1:28" hidden="1" outlineLevel="1">
      <c r="A1867" s="199">
        <f t="shared" si="2757"/>
        <v>12</v>
      </c>
      <c r="B1867" s="190" t="str">
        <f t="shared" ca="1" si="2758"/>
        <v>Depreciated Net Capex 2027-28</v>
      </c>
      <c r="C1867" s="1426"/>
      <c r="D1867" s="1426"/>
      <c r="E1867" s="1426"/>
      <c r="F1867" s="1426"/>
      <c r="G1867" s="1426"/>
      <c r="H1867" s="1426"/>
      <c r="I1867" s="1426"/>
      <c r="J1867" s="1426"/>
      <c r="K1867" s="1426"/>
      <c r="L1867" s="1426"/>
      <c r="M1867" s="1426"/>
      <c r="N1867" s="1427"/>
      <c r="O1867" s="1428">
        <f>(O1850*((1+O$11)^0.5)/O$10)</f>
        <v>0</v>
      </c>
      <c r="P1867" s="1423">
        <f ca="1">IF(O1891="n/a",O1867,IFERROR(IF((OFFSET($C1867,0,$A1867))&lt;0,
MIN(0,O1867-(OFFSET($C1867,0,$A1867)/(OFFSET($C1862,-$A1866,$A1867)))),
MAX(0,O1867-(OFFSET($C1867,0,$A1867)/(OFFSET($C1862,-$A1866,$A1867))))),0))</f>
        <v>0</v>
      </c>
      <c r="Q1867" s="1423">
        <f t="shared" ca="1" si="2750"/>
        <v>0</v>
      </c>
      <c r="R1867" s="1423">
        <f t="shared" ca="1" si="2751"/>
        <v>0</v>
      </c>
      <c r="S1867" s="1423">
        <f t="shared" ca="1" si="2752"/>
        <v>0</v>
      </c>
      <c r="T1867" s="1423">
        <f t="shared" ca="1" si="2753"/>
        <v>0</v>
      </c>
      <c r="U1867" s="1423">
        <f t="shared" ca="1" si="2754"/>
        <v>0</v>
      </c>
      <c r="V1867" s="1423">
        <f t="shared" ca="1" si="2755"/>
        <v>0</v>
      </c>
      <c r="W1867" s="1423">
        <f t="shared" ca="1" si="2756"/>
        <v>0</v>
      </c>
      <c r="X1867" s="202"/>
      <c r="Y1867" s="202"/>
      <c r="Z1867" s="202"/>
      <c r="AA1867" s="152"/>
      <c r="AB1867" s="152"/>
    </row>
    <row r="1868" spans="1:28" hidden="1" outlineLevel="1">
      <c r="A1868" s="199">
        <f t="shared" si="2757"/>
        <v>13</v>
      </c>
      <c r="B1868" s="190" t="str">
        <f t="shared" ca="1" si="2758"/>
        <v>Depreciated Net Capex 2028-29</v>
      </c>
      <c r="C1868" s="1426"/>
      <c r="D1868" s="1426"/>
      <c r="E1868" s="1426"/>
      <c r="F1868" s="1426"/>
      <c r="G1868" s="1426"/>
      <c r="H1868" s="1426"/>
      <c r="I1868" s="1426"/>
      <c r="J1868" s="1426"/>
      <c r="K1868" s="1426"/>
      <c r="L1868" s="1426"/>
      <c r="M1868" s="1426"/>
      <c r="N1868" s="1426"/>
      <c r="O1868" s="1427"/>
      <c r="P1868" s="1428">
        <f>(P1850*((1+P$11)^0.5)/P$10)</f>
        <v>0</v>
      </c>
      <c r="Q1868" s="1423">
        <f ca="1">IF(P1892="n/a",P1868,IFERROR(IF((OFFSET($C1868,0,$A1868))&lt;0,
MIN(0,P1868-(OFFSET($C1868,0,$A1868)/(OFFSET($C1863,-$A1867,$A1868)))),
MAX(0,P1868-(OFFSET($C1868,0,$A1868)/(OFFSET($C1863,-$A1867,$A1868))))),0))</f>
        <v>0</v>
      </c>
      <c r="R1868" s="1423">
        <f t="shared" ca="1" si="2751"/>
        <v>0</v>
      </c>
      <c r="S1868" s="1423">
        <f t="shared" ca="1" si="2752"/>
        <v>0</v>
      </c>
      <c r="T1868" s="1423">
        <f t="shared" ca="1" si="2753"/>
        <v>0</v>
      </c>
      <c r="U1868" s="1423">
        <f t="shared" ca="1" si="2754"/>
        <v>0</v>
      </c>
      <c r="V1868" s="1423">
        <f t="shared" ca="1" si="2755"/>
        <v>0</v>
      </c>
      <c r="W1868" s="1423">
        <f t="shared" ca="1" si="2756"/>
        <v>0</v>
      </c>
      <c r="X1868" s="202"/>
      <c r="Y1868" s="202"/>
      <c r="Z1868" s="202"/>
      <c r="AA1868" s="152"/>
      <c r="AB1868" s="152"/>
    </row>
    <row r="1869" spans="1:28" hidden="1" outlineLevel="1">
      <c r="A1869" s="199">
        <f t="shared" si="2757"/>
        <v>14</v>
      </c>
      <c r="B1869" s="190" t="str">
        <f t="shared" ca="1" si="2758"/>
        <v>Depreciated Net Capex 2029-30</v>
      </c>
      <c r="C1869" s="1426"/>
      <c r="D1869" s="1426"/>
      <c r="E1869" s="1426"/>
      <c r="F1869" s="1426"/>
      <c r="G1869" s="1426"/>
      <c r="H1869" s="1426"/>
      <c r="I1869" s="1426"/>
      <c r="J1869" s="1426"/>
      <c r="K1869" s="1426"/>
      <c r="L1869" s="1426"/>
      <c r="M1869" s="1426"/>
      <c r="N1869" s="1426"/>
      <c r="O1869" s="1426"/>
      <c r="P1869" s="1427"/>
      <c r="Q1869" s="1428">
        <f>(Q1850*((1+Q$11)^0.5)/Q$10)</f>
        <v>0</v>
      </c>
      <c r="R1869" s="1423">
        <f ca="1">IF(Q1893="n/a",Q1869,IFERROR(IF((OFFSET($C1869,0,$A1869))&lt;0,
MIN(0,Q1869-(OFFSET($C1869,0,$A1869)/(OFFSET($C1864,-$A1868,$A1869)))),
MAX(0,Q1869-(OFFSET($C1869,0,$A1869)/(OFFSET($C1864,-$A1868,$A1869))))),0))</f>
        <v>0</v>
      </c>
      <c r="S1869" s="1423">
        <f t="shared" ca="1" si="2752"/>
        <v>0</v>
      </c>
      <c r="T1869" s="1423">
        <f t="shared" ca="1" si="2753"/>
        <v>0</v>
      </c>
      <c r="U1869" s="1423">
        <f t="shared" ca="1" si="2754"/>
        <v>0</v>
      </c>
      <c r="V1869" s="1423">
        <f t="shared" ca="1" si="2755"/>
        <v>0</v>
      </c>
      <c r="W1869" s="1423">
        <f t="shared" ca="1" si="2756"/>
        <v>0</v>
      </c>
      <c r="X1869" s="202"/>
      <c r="Y1869" s="202"/>
      <c r="Z1869" s="202"/>
      <c r="AA1869" s="152"/>
      <c r="AB1869" s="152"/>
    </row>
    <row r="1870" spans="1:28" hidden="1" outlineLevel="1">
      <c r="A1870" s="199">
        <f t="shared" si="2757"/>
        <v>15</v>
      </c>
      <c r="B1870" s="190" t="str">
        <f t="shared" ca="1" si="2758"/>
        <v>Depreciated Net Capex 2030-31</v>
      </c>
      <c r="C1870" s="1426"/>
      <c r="D1870" s="1426"/>
      <c r="E1870" s="1426"/>
      <c r="F1870" s="1426"/>
      <c r="G1870" s="1426"/>
      <c r="H1870" s="1426"/>
      <c r="I1870" s="1426"/>
      <c r="J1870" s="1426"/>
      <c r="K1870" s="1426"/>
      <c r="L1870" s="1426"/>
      <c r="M1870" s="1426"/>
      <c r="N1870" s="1426"/>
      <c r="O1870" s="1426"/>
      <c r="P1870" s="1426"/>
      <c r="Q1870" s="1427"/>
      <c r="R1870" s="1428">
        <f>(R1850*((1+R$11)^0.5)/R$10)</f>
        <v>0</v>
      </c>
      <c r="S1870" s="1423">
        <f ca="1">IF(R1894="n/a",R1870,IFERROR(IF((OFFSET($C1870,0,$A1870))&lt;0,
MIN(0,R1870-(OFFSET($C1870,0,$A1870)/(OFFSET($C1865,-$A1869,$A1870)))),
MAX(0,R1870-(OFFSET($C1870,0,$A1870)/(OFFSET($C1865,-$A1869,$A1870))))),0))</f>
        <v>0</v>
      </c>
      <c r="T1870" s="1423">
        <f t="shared" ca="1" si="2753"/>
        <v>0</v>
      </c>
      <c r="U1870" s="1423">
        <f t="shared" ca="1" si="2754"/>
        <v>0</v>
      </c>
      <c r="V1870" s="1423">
        <f t="shared" ca="1" si="2755"/>
        <v>0</v>
      </c>
      <c r="W1870" s="1423">
        <f t="shared" ca="1" si="2756"/>
        <v>0</v>
      </c>
      <c r="X1870" s="202"/>
      <c r="Y1870" s="202"/>
      <c r="Z1870" s="202"/>
      <c r="AA1870" s="152"/>
      <c r="AB1870" s="152"/>
    </row>
    <row r="1871" spans="1:28" hidden="1" outlineLevel="1">
      <c r="A1871" s="199">
        <f t="shared" si="2757"/>
        <v>16</v>
      </c>
      <c r="B1871" s="190" t="str">
        <f t="shared" ca="1" si="2758"/>
        <v>Depreciated Net Capex 2031-32</v>
      </c>
      <c r="C1871" s="1426"/>
      <c r="D1871" s="1426"/>
      <c r="E1871" s="1426"/>
      <c r="F1871" s="1426"/>
      <c r="G1871" s="1426"/>
      <c r="H1871" s="1426"/>
      <c r="I1871" s="1426"/>
      <c r="J1871" s="1426"/>
      <c r="K1871" s="1426"/>
      <c r="L1871" s="1426"/>
      <c r="M1871" s="1426"/>
      <c r="N1871" s="1426"/>
      <c r="O1871" s="1426"/>
      <c r="P1871" s="1426"/>
      <c r="Q1871" s="1426"/>
      <c r="R1871" s="1427"/>
      <c r="S1871" s="1428">
        <f>(S1850*((1+S$11)^0.5)/S$10)</f>
        <v>0</v>
      </c>
      <c r="T1871" s="1423">
        <f ca="1">IF(S1895="n/a",S1871,IFERROR(IF((OFFSET($C1871,0,$A1871))&lt;0,
MIN(0,S1871-(OFFSET($C1871,0,$A1871)/(OFFSET($C1866,-$A1870,$A1871)))),
MAX(0,S1871-(OFFSET($C1871,0,$A1871)/(OFFSET($C1866,-$A1870,$A1871))))),0))</f>
        <v>0</v>
      </c>
      <c r="U1871" s="1423">
        <f t="shared" ca="1" si="2754"/>
        <v>0</v>
      </c>
      <c r="V1871" s="1423">
        <f t="shared" ca="1" si="2755"/>
        <v>0</v>
      </c>
      <c r="W1871" s="1423">
        <f t="shared" ca="1" si="2756"/>
        <v>0</v>
      </c>
      <c r="X1871" s="202"/>
      <c r="Y1871" s="202"/>
      <c r="Z1871" s="202"/>
      <c r="AA1871" s="152"/>
      <c r="AB1871" s="152"/>
    </row>
    <row r="1872" spans="1:28" hidden="1" outlineLevel="1">
      <c r="A1872" s="199">
        <f t="shared" si="2757"/>
        <v>17</v>
      </c>
      <c r="B1872" s="190" t="str">
        <f t="shared" ca="1" si="2758"/>
        <v>Depreciated Net Capex 2032-33</v>
      </c>
      <c r="C1872" s="1426"/>
      <c r="D1872" s="1426"/>
      <c r="E1872" s="1426"/>
      <c r="F1872" s="1426"/>
      <c r="G1872" s="1426"/>
      <c r="H1872" s="1426"/>
      <c r="I1872" s="1426"/>
      <c r="J1872" s="1426"/>
      <c r="K1872" s="1426"/>
      <c r="L1872" s="1426"/>
      <c r="M1872" s="1426"/>
      <c r="N1872" s="1426"/>
      <c r="O1872" s="1426"/>
      <c r="P1872" s="1426"/>
      <c r="Q1872" s="1426"/>
      <c r="R1872" s="1426"/>
      <c r="S1872" s="1427"/>
      <c r="T1872" s="1428">
        <f>(T1850*((1+T$11)^0.5)/T$10)</f>
        <v>0</v>
      </c>
      <c r="U1872" s="1423">
        <f ca="1">IF(T1896="n/a",T1872,IFERROR(IF((OFFSET($C1872,0,$A1872))&lt;0,
MIN(0,T1872-(OFFSET($C1872,0,$A1872)/(OFFSET($C1867,-$A1871,$A1872)))),
MAX(0,T1872-(OFFSET($C1872,0,$A1872)/(OFFSET($C1867,-$A1871,$A1872))))),0))</f>
        <v>0</v>
      </c>
      <c r="V1872" s="1423">
        <f t="shared" ca="1" si="2755"/>
        <v>0</v>
      </c>
      <c r="W1872" s="1423">
        <f t="shared" ca="1" si="2756"/>
        <v>0</v>
      </c>
      <c r="X1872" s="202"/>
      <c r="Y1872" s="202"/>
      <c r="Z1872" s="202"/>
      <c r="AA1872" s="152"/>
      <c r="AB1872" s="152"/>
    </row>
    <row r="1873" spans="1:28" hidden="1" outlineLevel="1">
      <c r="A1873" s="199">
        <f t="shared" si="2757"/>
        <v>18</v>
      </c>
      <c r="B1873" s="190" t="str">
        <f t="shared" ca="1" si="2758"/>
        <v>Depreciated Net Capex 2033-34</v>
      </c>
      <c r="C1873" s="1426"/>
      <c r="D1873" s="1426"/>
      <c r="E1873" s="1426"/>
      <c r="F1873" s="1426"/>
      <c r="G1873" s="1426"/>
      <c r="H1873" s="1426"/>
      <c r="I1873" s="1426"/>
      <c r="J1873" s="1426"/>
      <c r="K1873" s="1426"/>
      <c r="L1873" s="1426"/>
      <c r="M1873" s="1426"/>
      <c r="N1873" s="1426"/>
      <c r="O1873" s="1426"/>
      <c r="P1873" s="1426"/>
      <c r="Q1873" s="1426"/>
      <c r="R1873" s="1426"/>
      <c r="S1873" s="1426"/>
      <c r="T1873" s="1427"/>
      <c r="U1873" s="1428">
        <f>(U1850*((1+U$11)^0.5)/U$10)</f>
        <v>0</v>
      </c>
      <c r="V1873" s="1423">
        <f ca="1">IF(U1897="n/a",U1873,IFERROR(IF((OFFSET($C1873,0,$A1873))&lt;0,
MIN(0,U1873-(OFFSET($C1873,0,$A1873)/(OFFSET($C1868,-$A1872,$A1873)))),
MAX(0,U1873-(OFFSET($C1873,0,$A1873)/(OFFSET($C1868,-$A1872,$A1873))))),0))</f>
        <v>0</v>
      </c>
      <c r="W1873" s="1423">
        <f t="shared" ca="1" si="2756"/>
        <v>0</v>
      </c>
      <c r="X1873" s="202"/>
      <c r="Y1873" s="202"/>
      <c r="Z1873" s="202"/>
      <c r="AA1873" s="152"/>
      <c r="AB1873" s="152"/>
    </row>
    <row r="1874" spans="1:28" hidden="1" outlineLevel="1">
      <c r="A1874" s="199">
        <f t="shared" si="2757"/>
        <v>19</v>
      </c>
      <c r="B1874" s="190" t="str">
        <f t="shared" ca="1" si="2758"/>
        <v>Depreciated Net Capex 2034-35</v>
      </c>
      <c r="C1874" s="1426"/>
      <c r="D1874" s="1426"/>
      <c r="E1874" s="1426"/>
      <c r="F1874" s="1426"/>
      <c r="G1874" s="1426"/>
      <c r="H1874" s="1426"/>
      <c r="I1874" s="1426"/>
      <c r="J1874" s="1426"/>
      <c r="K1874" s="1426"/>
      <c r="L1874" s="1426"/>
      <c r="M1874" s="1426"/>
      <c r="N1874" s="1426"/>
      <c r="O1874" s="1426"/>
      <c r="P1874" s="1426"/>
      <c r="Q1874" s="1426"/>
      <c r="R1874" s="1426"/>
      <c r="S1874" s="1426"/>
      <c r="T1874" s="1426"/>
      <c r="U1874" s="1427"/>
      <c r="V1874" s="1428">
        <f>(V1850*((1+V$11)^0.5)/V$10)</f>
        <v>0</v>
      </c>
      <c r="W1874" s="1423">
        <f ca="1">IF(V1898="n/a",V1874,IFERROR(IF((OFFSET($C1874,0,$A1874))&lt;0,
MIN(0,V1874-(OFFSET($C1874,0,$A1874)/(OFFSET($C1869,-$A1873,$A1874)))),
MAX(0,V1874-(OFFSET($C1874,0,$A1874)/(OFFSET($C1869,-$A1873,$A1874))))),0))</f>
        <v>0</v>
      </c>
      <c r="X1874" s="202"/>
      <c r="Y1874" s="202"/>
      <c r="Z1874" s="202"/>
      <c r="AA1874" s="152"/>
      <c r="AB1874" s="152"/>
    </row>
    <row r="1875" spans="1:28" hidden="1" outlineLevel="1">
      <c r="A1875" s="199">
        <f t="shared" si="2757"/>
        <v>20</v>
      </c>
      <c r="B1875" s="190" t="str">
        <f ca="1">"Depreciated Net Capex "&amp;OFFSET($C$6,0,A1875)</f>
        <v>Depreciated Net Capex 2035-36</v>
      </c>
      <c r="C1875" s="1426"/>
      <c r="D1875" s="1426"/>
      <c r="E1875" s="1426"/>
      <c r="F1875" s="1426"/>
      <c r="G1875" s="1426"/>
      <c r="H1875" s="1426"/>
      <c r="I1875" s="1426"/>
      <c r="J1875" s="1426"/>
      <c r="K1875" s="1426"/>
      <c r="L1875" s="1426"/>
      <c r="M1875" s="1426"/>
      <c r="N1875" s="1426"/>
      <c r="O1875" s="1426"/>
      <c r="P1875" s="1426"/>
      <c r="Q1875" s="1426"/>
      <c r="R1875" s="1426"/>
      <c r="S1875" s="1426"/>
      <c r="T1875" s="1426"/>
      <c r="U1875" s="1426"/>
      <c r="V1875" s="1427"/>
      <c r="W1875" s="1423">
        <f>(W1850*((1+W$11)^0.5)/W$10)</f>
        <v>0</v>
      </c>
      <c r="X1875" s="152"/>
      <c r="Y1875" s="152"/>
      <c r="Z1875" s="152"/>
      <c r="AA1875" s="152"/>
      <c r="AB1875" s="152"/>
    </row>
    <row r="1876" spans="1:28" hidden="1" outlineLevel="1">
      <c r="A1876" s="152"/>
      <c r="B1876" s="200"/>
      <c r="C1876" s="1423"/>
      <c r="D1876" s="1423"/>
      <c r="E1876" s="1423"/>
      <c r="F1876" s="1423"/>
      <c r="G1876" s="1423"/>
      <c r="H1876" s="1423"/>
      <c r="I1876" s="1423"/>
      <c r="J1876" s="1423"/>
      <c r="K1876" s="1423"/>
      <c r="L1876" s="1423"/>
      <c r="M1876" s="1423"/>
      <c r="N1876" s="1423"/>
      <c r="O1876" s="1423"/>
      <c r="P1876" s="1423"/>
      <c r="Q1876" s="1423"/>
      <c r="R1876" s="1423"/>
      <c r="S1876" s="1423"/>
      <c r="T1876" s="1423"/>
      <c r="U1876" s="1423"/>
      <c r="V1876" s="1423"/>
      <c r="W1876" s="1423"/>
      <c r="X1876" s="152"/>
      <c r="Y1876" s="152"/>
      <c r="Z1876" s="152"/>
      <c r="AA1876" s="152"/>
      <c r="AB1876" s="152"/>
    </row>
    <row r="1877" spans="1:28" hidden="1" outlineLevel="1">
      <c r="A1877" s="152"/>
      <c r="B1877" s="200"/>
      <c r="C1877" s="1423"/>
      <c r="D1877" s="1423"/>
      <c r="E1877" s="1423"/>
      <c r="F1877" s="1423"/>
      <c r="G1877" s="1423"/>
      <c r="H1877" s="1423"/>
      <c r="I1877" s="1423"/>
      <c r="J1877" s="1423"/>
      <c r="K1877" s="1423"/>
      <c r="L1877" s="1423"/>
      <c r="M1877" s="1423"/>
      <c r="N1877" s="1423"/>
      <c r="O1877" s="1423"/>
      <c r="P1877" s="1423"/>
      <c r="Q1877" s="1423"/>
      <c r="R1877" s="1423"/>
      <c r="S1877" s="1423"/>
      <c r="T1877" s="1423"/>
      <c r="U1877" s="1423"/>
      <c r="V1877" s="1423"/>
      <c r="W1877" s="1423"/>
      <c r="X1877" s="152"/>
      <c r="Y1877" s="152"/>
      <c r="Z1877" s="152"/>
      <c r="AA1877" s="152"/>
      <c r="AB1877" s="152"/>
    </row>
    <row r="1878" spans="1:28" hidden="1" outlineLevel="1">
      <c r="A1878" s="152"/>
      <c r="B1878" s="190" t="s">
        <v>190</v>
      </c>
      <c r="C1878" s="1423"/>
      <c r="D1878" s="1423">
        <f ca="1">IF(AND(C1878&lt;1,D1852=0),0,
IF(D1852=0,C1878-1,
IF(C1878&lt;1,D1853,
(((C1878-1)*(C1854-(C1854/(C1878))))+((D1852/D$10)*D1853))/(D1854))))</f>
        <v>0</v>
      </c>
      <c r="E1878" s="1423">
        <f t="shared" ref="E1878" ca="1" si="2759">IF(AND(D1878&lt;1,E1852=0),0,
IF(E1852=0,D1878-1,
IF(D1878&lt;1,E1853,
(((D1878-1)*(D1854-(D1854/(D1878))))+((E1852/E$10)*E1853))/(E1854))))</f>
        <v>0</v>
      </c>
      <c r="F1878" s="1423">
        <f t="shared" ref="F1878" ca="1" si="2760">IF(AND(E1878&lt;1,F1852=0),0,
IF(F1852=0,E1878-1,
IF(E1878&lt;1,F1853,
(((E1878-1)*(E1854-(E1854/(E1878))))+((F1852/F$10)*F1853))/(F1854))))</f>
        <v>0</v>
      </c>
      <c r="G1878" s="1423">
        <f t="shared" ref="G1878" ca="1" si="2761">IF(AND(F1878&lt;1,G1852=0),0,
IF(G1852=0,F1878-1,
IF(F1878&lt;1,G1853,
(((F1878-1)*(F1854-(F1854/(F1878))))+((G1852/G$10)*G1853))/(G1854))))</f>
        <v>0</v>
      </c>
      <c r="H1878" s="1423">
        <f t="shared" ref="H1878" ca="1" si="2762">IF(AND(G1878&lt;1,H1852=0),0,
IF(H1852=0,G1878-1,
IF(G1878&lt;1,H1853,
(((G1878-1)*(G1854-(G1854/(G1878))))+((H1852/H$10)*H1853))/(H1854))))</f>
        <v>0</v>
      </c>
      <c r="I1878" s="1423">
        <f t="shared" ref="I1878" ca="1" si="2763">IF(AND(H1878&lt;1,I1852=0),0,
IF(I1852=0,H1878-1,
IF(H1878&lt;1,I1853,
(((H1878-1)*(H1854-(H1854/(H1878))))+((I1852/I$10)*I1853))/(I1854))))</f>
        <v>0</v>
      </c>
      <c r="J1878" s="1423">
        <f t="shared" ref="J1878" ca="1" si="2764">IF(AND(I1878&lt;1,J1852=0),0,
IF(J1852=0,I1878-1,
IF(I1878&lt;1,J1853,
(((I1878-1)*(I1854-(I1854/(I1878))))+((J1852/J$10)*J1853))/(J1854))))</f>
        <v>0</v>
      </c>
      <c r="K1878" s="1423">
        <f t="shared" ref="K1878" ca="1" si="2765">IF(AND(J1878&lt;1,K1852=0),0,
IF(K1852=0,J1878-1,
IF(J1878&lt;1,K1853,
(((J1878-1)*(J1854-(J1854/(J1878))))+((K1852/K$10)*K1853))/(K1854))))</f>
        <v>0</v>
      </c>
      <c r="L1878" s="1423">
        <f t="shared" ref="L1878" ca="1" si="2766">IF(AND(K1878&lt;1,L1852=0),0,
IF(L1852=0,K1878-1,
IF(K1878&lt;1,L1853,
(((K1878-1)*(K1854-(K1854/(K1878))))+((L1852/L$10)*L1853))/(L1854))))</f>
        <v>0</v>
      </c>
      <c r="M1878" s="1423">
        <f t="shared" ref="M1878" ca="1" si="2767">IF(AND(L1878&lt;1,M1852=0),0,
IF(M1852=0,L1878-1,
IF(L1878&lt;1,M1853,
(((L1878-1)*(L1854-(L1854/(L1878))))+((M1852/M$10)*M1853))/(M1854))))</f>
        <v>0</v>
      </c>
      <c r="N1878" s="1423">
        <f t="shared" ref="N1878" ca="1" si="2768">IF(AND(M1878&lt;1,N1852=0),0,
IF(N1852=0,M1878-1,
IF(M1878&lt;1,N1853,
(((M1878-1)*(M1854-(M1854/(M1878))))+((N1852/N$10)*N1853))/(N1854))))</f>
        <v>0</v>
      </c>
      <c r="O1878" s="1423">
        <f t="shared" ref="O1878" ca="1" si="2769">IF(AND(N1878&lt;1,O1852=0),0,
IF(O1852=0,N1878-1,
IF(N1878&lt;1,O1853,
(((N1878-1)*(N1854-(N1854/(N1878))))+((O1852/O$10)*O1853))/(O1854))))</f>
        <v>0</v>
      </c>
      <c r="P1878" s="1423">
        <f t="shared" ref="P1878" ca="1" si="2770">IF(AND(O1878&lt;1,P1852=0),0,
IF(P1852=0,O1878-1,
IF(O1878&lt;1,P1853,
(((O1878-1)*(O1854-(O1854/(O1878))))+((P1852/P$10)*P1853))/(P1854))))</f>
        <v>0</v>
      </c>
      <c r="Q1878" s="1423">
        <f t="shared" ref="Q1878" ca="1" si="2771">IF(AND(P1878&lt;1,Q1852=0),0,
IF(Q1852=0,P1878-1,
IF(P1878&lt;1,Q1853,
(((P1878-1)*(P1854-(P1854/(P1878))))+((Q1852/Q$10)*Q1853))/(Q1854))))</f>
        <v>0</v>
      </c>
      <c r="R1878" s="1423">
        <f t="shared" ref="R1878" ca="1" si="2772">IF(AND(Q1878&lt;1,R1852=0),0,
IF(R1852=0,Q1878-1,
IF(Q1878&lt;1,R1853,
(((Q1878-1)*(Q1854-(Q1854/(Q1878))))+((R1852/R$10)*R1853))/(R1854))))</f>
        <v>0</v>
      </c>
      <c r="S1878" s="1423">
        <f t="shared" ref="S1878" ca="1" si="2773">IF(AND(R1878&lt;1,S1852=0),0,
IF(S1852=0,R1878-1,
IF(R1878&lt;1,S1853,
(((R1878-1)*(R1854-(R1854/(R1878))))+((S1852/S$10)*S1853))/(S1854))))</f>
        <v>0</v>
      </c>
      <c r="T1878" s="1423">
        <f t="shared" ref="T1878" ca="1" si="2774">IF(AND(S1878&lt;1,T1852=0),0,
IF(T1852=0,S1878-1,
IF(S1878&lt;1,T1853,
(((S1878-1)*(S1854-(S1854/(S1878))))+((T1852/T$10)*T1853))/(T1854))))</f>
        <v>0</v>
      </c>
      <c r="U1878" s="1423">
        <f t="shared" ref="U1878" ca="1" si="2775">IF(AND(T1878&lt;1,U1852=0),0,
IF(U1852=0,T1878-1,
IF(T1878&lt;1,U1853,
(((T1878-1)*(T1854-(T1854/(T1878))))+((U1852/U$10)*U1853))/(U1854))))</f>
        <v>0</v>
      </c>
      <c r="V1878" s="1423">
        <f t="shared" ref="V1878" ca="1" si="2776">IF(AND(U1878&lt;1,V1852=0),0,
IF(V1852=0,U1878-1,
IF(U1878&lt;1,V1853,
(((U1878-1)*(U1854-(U1854/(U1878))))+((V1852/V$10)*V1853))/(V1854))))</f>
        <v>0</v>
      </c>
      <c r="W1878" s="1423">
        <f t="shared" ref="W1878" ca="1" si="2777">IF(AND(V1878&lt;1,W1852=0),0,
IF(W1852=0,V1878-1,
IF(V1878&lt;1,W1853,
(((V1878-1)*(V1854-(V1854/(V1878))))+((W1852/W$10)*W1853))/(W1854))))</f>
        <v>0</v>
      </c>
      <c r="X1878" s="152"/>
      <c r="Y1878" s="152"/>
      <c r="Z1878" s="152"/>
      <c r="AA1878" s="152"/>
      <c r="AB1878" s="152"/>
    </row>
    <row r="1879" spans="1:28" hidden="1" outlineLevel="1">
      <c r="A1879" s="152"/>
      <c r="B1879" s="190" t="s">
        <v>122</v>
      </c>
      <c r="C1879" s="1423">
        <f ca="1">C1851</f>
        <v>0</v>
      </c>
      <c r="D1879" s="1423">
        <f t="shared" ref="D1879" ca="1" si="2778">IF(C1879="n/a","n/a",MAX(0,C1879-1))</f>
        <v>0</v>
      </c>
      <c r="E1879" s="1423">
        <f t="shared" ref="E1879:E1880" ca="1" si="2779">IF(D1879="n/a","n/a",MAX(0,D1879-1))</f>
        <v>0</v>
      </c>
      <c r="F1879" s="1423">
        <f t="shared" ref="F1879:F1881" ca="1" si="2780">IF(E1879="n/a","n/a",MAX(0,E1879-1))</f>
        <v>0</v>
      </c>
      <c r="G1879" s="1423">
        <f t="shared" ref="G1879:G1882" ca="1" si="2781">IF(F1879="n/a","n/a",MAX(0,F1879-1))</f>
        <v>0</v>
      </c>
      <c r="H1879" s="1423">
        <f t="shared" ref="H1879:H1883" ca="1" si="2782">IF(G1879="n/a","n/a",MAX(0,G1879-1))</f>
        <v>0</v>
      </c>
      <c r="I1879" s="1423">
        <f t="shared" ref="I1879:I1884" ca="1" si="2783">IF(H1879="n/a","n/a",MAX(0,H1879-1))</f>
        <v>0</v>
      </c>
      <c r="J1879" s="1423">
        <f t="shared" ref="J1879:J1885" ca="1" si="2784">IF(I1879="n/a","n/a",MAX(0,I1879-1))</f>
        <v>0</v>
      </c>
      <c r="K1879" s="1423">
        <f t="shared" ref="K1879:K1886" ca="1" si="2785">IF(J1879="n/a","n/a",MAX(0,J1879-1))</f>
        <v>0</v>
      </c>
      <c r="L1879" s="1423">
        <f t="shared" ref="L1879:L1887" ca="1" si="2786">IF(K1879="n/a","n/a",MAX(0,K1879-1))</f>
        <v>0</v>
      </c>
      <c r="M1879" s="1423">
        <f t="shared" ref="M1879:M1888" ca="1" si="2787">IF(L1879="n/a","n/a",MAX(0,L1879-1))</f>
        <v>0</v>
      </c>
      <c r="N1879" s="1423">
        <f t="shared" ref="N1879:N1889" ca="1" si="2788">IF(M1879="n/a","n/a",MAX(0,M1879-1))</f>
        <v>0</v>
      </c>
      <c r="O1879" s="1423">
        <f t="shared" ref="O1879:O1890" ca="1" si="2789">IF(N1879="n/a","n/a",MAX(0,N1879-1))</f>
        <v>0</v>
      </c>
      <c r="P1879" s="1423">
        <f t="shared" ref="P1879:P1891" ca="1" si="2790">IF(O1879="n/a","n/a",MAX(0,O1879-1))</f>
        <v>0</v>
      </c>
      <c r="Q1879" s="1423">
        <f t="shared" ref="Q1879:Q1892" ca="1" si="2791">IF(P1879="n/a","n/a",MAX(0,P1879-1))</f>
        <v>0</v>
      </c>
      <c r="R1879" s="1423">
        <f t="shared" ref="R1879:R1893" ca="1" si="2792">IF(Q1879="n/a","n/a",MAX(0,Q1879-1))</f>
        <v>0</v>
      </c>
      <c r="S1879" s="1423">
        <f t="shared" ref="S1879:S1894" ca="1" si="2793">IF(R1879="n/a","n/a",MAX(0,R1879-1))</f>
        <v>0</v>
      </c>
      <c r="T1879" s="1423">
        <f t="shared" ref="T1879:T1895" ca="1" si="2794">IF(S1879="n/a","n/a",MAX(0,S1879-1))</f>
        <v>0</v>
      </c>
      <c r="U1879" s="1423">
        <f t="shared" ref="U1879:U1896" ca="1" si="2795">IF(T1879="n/a","n/a",MAX(0,T1879-1))</f>
        <v>0</v>
      </c>
      <c r="V1879" s="1423">
        <f t="shared" ref="V1879:V1897" ca="1" si="2796">IF(U1879="n/a","n/a",MAX(0,U1879-1))</f>
        <v>0</v>
      </c>
      <c r="W1879" s="1423">
        <f t="shared" ref="W1879:W1897" ca="1" si="2797">IF(V1879="n/a","n/a",MAX(0,V1879-1))</f>
        <v>0</v>
      </c>
      <c r="X1879" s="152"/>
      <c r="Y1879" s="152"/>
      <c r="Z1879" s="152"/>
      <c r="AA1879" s="152"/>
      <c r="AB1879" s="152"/>
    </row>
    <row r="1880" spans="1:28" hidden="1" outlineLevel="1">
      <c r="A1880" s="152"/>
      <c r="B1880" s="190" t="str">
        <f t="shared" ref="B1880:B1899" ca="1" si="2798">"RL Capex "&amp;OFFSET($C$6,0,A1856)</f>
        <v>RL Capex 2016-17</v>
      </c>
      <c r="C1880" s="1424"/>
      <c r="D1880" s="1428">
        <f>D1851</f>
        <v>0</v>
      </c>
      <c r="E1880" s="1423">
        <f t="shared" si="2779"/>
        <v>0</v>
      </c>
      <c r="F1880" s="1423">
        <f t="shared" si="2780"/>
        <v>0</v>
      </c>
      <c r="G1880" s="1423">
        <f t="shared" si="2781"/>
        <v>0</v>
      </c>
      <c r="H1880" s="1423">
        <f t="shared" si="2782"/>
        <v>0</v>
      </c>
      <c r="I1880" s="1423">
        <f t="shared" si="2783"/>
        <v>0</v>
      </c>
      <c r="J1880" s="1423">
        <f t="shared" si="2784"/>
        <v>0</v>
      </c>
      <c r="K1880" s="1423">
        <f t="shared" si="2785"/>
        <v>0</v>
      </c>
      <c r="L1880" s="1423">
        <f t="shared" si="2786"/>
        <v>0</v>
      </c>
      <c r="M1880" s="1423">
        <f t="shared" si="2787"/>
        <v>0</v>
      </c>
      <c r="N1880" s="1423">
        <f t="shared" si="2788"/>
        <v>0</v>
      </c>
      <c r="O1880" s="1423">
        <f t="shared" si="2789"/>
        <v>0</v>
      </c>
      <c r="P1880" s="1423">
        <f t="shared" si="2790"/>
        <v>0</v>
      </c>
      <c r="Q1880" s="1423">
        <f t="shared" si="2791"/>
        <v>0</v>
      </c>
      <c r="R1880" s="1423">
        <f t="shared" si="2792"/>
        <v>0</v>
      </c>
      <c r="S1880" s="1423">
        <f t="shared" si="2793"/>
        <v>0</v>
      </c>
      <c r="T1880" s="1423">
        <f t="shared" si="2794"/>
        <v>0</v>
      </c>
      <c r="U1880" s="1423">
        <f t="shared" si="2795"/>
        <v>0</v>
      </c>
      <c r="V1880" s="1423">
        <f t="shared" si="2796"/>
        <v>0</v>
      </c>
      <c r="W1880" s="1423">
        <f t="shared" si="2797"/>
        <v>0</v>
      </c>
      <c r="X1880" s="152"/>
      <c r="Y1880" s="152"/>
      <c r="Z1880" s="152"/>
      <c r="AA1880" s="152"/>
      <c r="AB1880" s="152"/>
    </row>
    <row r="1881" spans="1:28" hidden="1" outlineLevel="1">
      <c r="A1881" s="152"/>
      <c r="B1881" s="190" t="str">
        <f t="shared" ca="1" si="2798"/>
        <v>RL Capex 2017-18</v>
      </c>
      <c r="C1881" s="1429"/>
      <c r="D1881" s="1424"/>
      <c r="E1881" s="1428">
        <f>E1851</f>
        <v>0</v>
      </c>
      <c r="F1881" s="1423">
        <f t="shared" si="2780"/>
        <v>0</v>
      </c>
      <c r="G1881" s="1423">
        <f t="shared" si="2781"/>
        <v>0</v>
      </c>
      <c r="H1881" s="1423">
        <f t="shared" si="2782"/>
        <v>0</v>
      </c>
      <c r="I1881" s="1423">
        <f t="shared" si="2783"/>
        <v>0</v>
      </c>
      <c r="J1881" s="1423">
        <f t="shared" si="2784"/>
        <v>0</v>
      </c>
      <c r="K1881" s="1423">
        <f t="shared" si="2785"/>
        <v>0</v>
      </c>
      <c r="L1881" s="1423">
        <f t="shared" si="2786"/>
        <v>0</v>
      </c>
      <c r="M1881" s="1423">
        <f t="shared" si="2787"/>
        <v>0</v>
      </c>
      <c r="N1881" s="1423">
        <f t="shared" si="2788"/>
        <v>0</v>
      </c>
      <c r="O1881" s="1423">
        <f t="shared" si="2789"/>
        <v>0</v>
      </c>
      <c r="P1881" s="1423">
        <f t="shared" si="2790"/>
        <v>0</v>
      </c>
      <c r="Q1881" s="1423">
        <f t="shared" si="2791"/>
        <v>0</v>
      </c>
      <c r="R1881" s="1423">
        <f t="shared" si="2792"/>
        <v>0</v>
      </c>
      <c r="S1881" s="1423">
        <f t="shared" si="2793"/>
        <v>0</v>
      </c>
      <c r="T1881" s="1423">
        <f t="shared" si="2794"/>
        <v>0</v>
      </c>
      <c r="U1881" s="1423">
        <f t="shared" si="2795"/>
        <v>0</v>
      </c>
      <c r="V1881" s="1423">
        <f t="shared" si="2796"/>
        <v>0</v>
      </c>
      <c r="W1881" s="1423">
        <f t="shared" si="2797"/>
        <v>0</v>
      </c>
      <c r="X1881" s="152"/>
      <c r="Y1881" s="152"/>
      <c r="Z1881" s="152"/>
      <c r="AA1881" s="152"/>
      <c r="AB1881" s="152"/>
    </row>
    <row r="1882" spans="1:28" hidden="1" outlineLevel="1">
      <c r="A1882" s="152"/>
      <c r="B1882" s="190" t="str">
        <f t="shared" ca="1" si="2798"/>
        <v>RL Capex 2018-19</v>
      </c>
      <c r="C1882" s="1429"/>
      <c r="D1882" s="1429"/>
      <c r="E1882" s="1424"/>
      <c r="F1882" s="1428">
        <f>F1851</f>
        <v>0</v>
      </c>
      <c r="G1882" s="1423">
        <f t="shared" si="2781"/>
        <v>0</v>
      </c>
      <c r="H1882" s="1423">
        <f t="shared" si="2782"/>
        <v>0</v>
      </c>
      <c r="I1882" s="1423">
        <f t="shared" si="2783"/>
        <v>0</v>
      </c>
      <c r="J1882" s="1423">
        <f t="shared" si="2784"/>
        <v>0</v>
      </c>
      <c r="K1882" s="1423">
        <f t="shared" si="2785"/>
        <v>0</v>
      </c>
      <c r="L1882" s="1423">
        <f t="shared" si="2786"/>
        <v>0</v>
      </c>
      <c r="M1882" s="1423">
        <f t="shared" si="2787"/>
        <v>0</v>
      </c>
      <c r="N1882" s="1423">
        <f t="shared" si="2788"/>
        <v>0</v>
      </c>
      <c r="O1882" s="1423">
        <f t="shared" si="2789"/>
        <v>0</v>
      </c>
      <c r="P1882" s="1423">
        <f t="shared" si="2790"/>
        <v>0</v>
      </c>
      <c r="Q1882" s="1423">
        <f t="shared" si="2791"/>
        <v>0</v>
      </c>
      <c r="R1882" s="1423">
        <f t="shared" si="2792"/>
        <v>0</v>
      </c>
      <c r="S1882" s="1423">
        <f t="shared" si="2793"/>
        <v>0</v>
      </c>
      <c r="T1882" s="1423">
        <f t="shared" si="2794"/>
        <v>0</v>
      </c>
      <c r="U1882" s="1423">
        <f t="shared" si="2795"/>
        <v>0</v>
      </c>
      <c r="V1882" s="1423">
        <f t="shared" si="2796"/>
        <v>0</v>
      </c>
      <c r="W1882" s="1423">
        <f t="shared" si="2797"/>
        <v>0</v>
      </c>
      <c r="X1882" s="152"/>
      <c r="Y1882" s="152"/>
      <c r="Z1882" s="152"/>
      <c r="AA1882" s="152"/>
      <c r="AB1882" s="152"/>
    </row>
    <row r="1883" spans="1:28" hidden="1" outlineLevel="1">
      <c r="A1883" s="152"/>
      <c r="B1883" s="190" t="str">
        <f t="shared" ca="1" si="2798"/>
        <v>RL Capex 2019-20</v>
      </c>
      <c r="C1883" s="1429"/>
      <c r="D1883" s="1429"/>
      <c r="E1883" s="1429"/>
      <c r="F1883" s="1424"/>
      <c r="G1883" s="1428">
        <f>G1851</f>
        <v>0</v>
      </c>
      <c r="H1883" s="1423">
        <f t="shared" si="2782"/>
        <v>0</v>
      </c>
      <c r="I1883" s="1423">
        <f t="shared" si="2783"/>
        <v>0</v>
      </c>
      <c r="J1883" s="1423">
        <f t="shared" si="2784"/>
        <v>0</v>
      </c>
      <c r="K1883" s="1423">
        <f t="shared" si="2785"/>
        <v>0</v>
      </c>
      <c r="L1883" s="1423">
        <f t="shared" si="2786"/>
        <v>0</v>
      </c>
      <c r="M1883" s="1423">
        <f t="shared" si="2787"/>
        <v>0</v>
      </c>
      <c r="N1883" s="1423">
        <f t="shared" si="2788"/>
        <v>0</v>
      </c>
      <c r="O1883" s="1423">
        <f t="shared" si="2789"/>
        <v>0</v>
      </c>
      <c r="P1883" s="1423">
        <f t="shared" si="2790"/>
        <v>0</v>
      </c>
      <c r="Q1883" s="1423">
        <f t="shared" si="2791"/>
        <v>0</v>
      </c>
      <c r="R1883" s="1423">
        <f t="shared" si="2792"/>
        <v>0</v>
      </c>
      <c r="S1883" s="1423">
        <f t="shared" si="2793"/>
        <v>0</v>
      </c>
      <c r="T1883" s="1423">
        <f t="shared" si="2794"/>
        <v>0</v>
      </c>
      <c r="U1883" s="1423">
        <f t="shared" si="2795"/>
        <v>0</v>
      </c>
      <c r="V1883" s="1423">
        <f t="shared" si="2796"/>
        <v>0</v>
      </c>
      <c r="W1883" s="1423">
        <f t="shared" si="2797"/>
        <v>0</v>
      </c>
      <c r="X1883" s="152"/>
      <c r="Y1883" s="152"/>
      <c r="Z1883" s="152"/>
      <c r="AA1883" s="152"/>
      <c r="AB1883" s="152"/>
    </row>
    <row r="1884" spans="1:28" hidden="1" outlineLevel="1">
      <c r="A1884" s="152"/>
      <c r="B1884" s="190" t="str">
        <f t="shared" ca="1" si="2798"/>
        <v>RL Capex 2020-21</v>
      </c>
      <c r="C1884" s="1429"/>
      <c r="D1884" s="1429"/>
      <c r="E1884" s="1429"/>
      <c r="F1884" s="1429"/>
      <c r="G1884" s="1424"/>
      <c r="H1884" s="1428">
        <f>H1851</f>
        <v>0</v>
      </c>
      <c r="I1884" s="1423">
        <f t="shared" si="2783"/>
        <v>0</v>
      </c>
      <c r="J1884" s="1423">
        <f t="shared" si="2784"/>
        <v>0</v>
      </c>
      <c r="K1884" s="1423">
        <f t="shared" si="2785"/>
        <v>0</v>
      </c>
      <c r="L1884" s="1423">
        <f t="shared" si="2786"/>
        <v>0</v>
      </c>
      <c r="M1884" s="1423">
        <f t="shared" si="2787"/>
        <v>0</v>
      </c>
      <c r="N1884" s="1423">
        <f t="shared" si="2788"/>
        <v>0</v>
      </c>
      <c r="O1884" s="1423">
        <f t="shared" si="2789"/>
        <v>0</v>
      </c>
      <c r="P1884" s="1423">
        <f t="shared" si="2790"/>
        <v>0</v>
      </c>
      <c r="Q1884" s="1423">
        <f t="shared" si="2791"/>
        <v>0</v>
      </c>
      <c r="R1884" s="1423">
        <f t="shared" si="2792"/>
        <v>0</v>
      </c>
      <c r="S1884" s="1423">
        <f t="shared" si="2793"/>
        <v>0</v>
      </c>
      <c r="T1884" s="1423">
        <f t="shared" si="2794"/>
        <v>0</v>
      </c>
      <c r="U1884" s="1423">
        <f t="shared" si="2795"/>
        <v>0</v>
      </c>
      <c r="V1884" s="1423">
        <f t="shared" si="2796"/>
        <v>0</v>
      </c>
      <c r="W1884" s="1423">
        <f t="shared" si="2797"/>
        <v>0</v>
      </c>
      <c r="X1884" s="152"/>
      <c r="Y1884" s="152"/>
      <c r="Z1884" s="152"/>
      <c r="AA1884" s="152"/>
      <c r="AB1884" s="152"/>
    </row>
    <row r="1885" spans="1:28" hidden="1" outlineLevel="1">
      <c r="A1885" s="152"/>
      <c r="B1885" s="190" t="str">
        <f t="shared" ca="1" si="2798"/>
        <v>RL Capex 2021-22</v>
      </c>
      <c r="C1885" s="1429"/>
      <c r="D1885" s="1429"/>
      <c r="E1885" s="1429"/>
      <c r="F1885" s="1429"/>
      <c r="G1885" s="1429"/>
      <c r="H1885" s="1424"/>
      <c r="I1885" s="1428">
        <f>I1851</f>
        <v>0</v>
      </c>
      <c r="J1885" s="1423">
        <f t="shared" si="2784"/>
        <v>0</v>
      </c>
      <c r="K1885" s="1423">
        <f t="shared" si="2785"/>
        <v>0</v>
      </c>
      <c r="L1885" s="1423">
        <f t="shared" si="2786"/>
        <v>0</v>
      </c>
      <c r="M1885" s="1423">
        <f t="shared" si="2787"/>
        <v>0</v>
      </c>
      <c r="N1885" s="1423">
        <f t="shared" si="2788"/>
        <v>0</v>
      </c>
      <c r="O1885" s="1423">
        <f t="shared" si="2789"/>
        <v>0</v>
      </c>
      <c r="P1885" s="1423">
        <f t="shared" si="2790"/>
        <v>0</v>
      </c>
      <c r="Q1885" s="1423">
        <f t="shared" si="2791"/>
        <v>0</v>
      </c>
      <c r="R1885" s="1423">
        <f t="shared" si="2792"/>
        <v>0</v>
      </c>
      <c r="S1885" s="1423">
        <f t="shared" si="2793"/>
        <v>0</v>
      </c>
      <c r="T1885" s="1423">
        <f t="shared" si="2794"/>
        <v>0</v>
      </c>
      <c r="U1885" s="1423">
        <f t="shared" si="2795"/>
        <v>0</v>
      </c>
      <c r="V1885" s="1423">
        <f t="shared" si="2796"/>
        <v>0</v>
      </c>
      <c r="W1885" s="1423">
        <f t="shared" si="2797"/>
        <v>0</v>
      </c>
      <c r="X1885" s="152"/>
      <c r="Y1885" s="152"/>
      <c r="Z1885" s="152"/>
      <c r="AA1885" s="152"/>
      <c r="AB1885" s="152"/>
    </row>
    <row r="1886" spans="1:28" hidden="1" outlineLevel="1">
      <c r="A1886" s="152"/>
      <c r="B1886" s="190" t="str">
        <f t="shared" ca="1" si="2798"/>
        <v>RL Capex 2022-23</v>
      </c>
      <c r="C1886" s="1429"/>
      <c r="D1886" s="1429"/>
      <c r="E1886" s="1429"/>
      <c r="F1886" s="1429"/>
      <c r="G1886" s="1429"/>
      <c r="H1886" s="1429"/>
      <c r="I1886" s="1424"/>
      <c r="J1886" s="1428">
        <f>J1851</f>
        <v>0</v>
      </c>
      <c r="K1886" s="1423">
        <f t="shared" si="2785"/>
        <v>0</v>
      </c>
      <c r="L1886" s="1423">
        <f t="shared" si="2786"/>
        <v>0</v>
      </c>
      <c r="M1886" s="1423">
        <f t="shared" si="2787"/>
        <v>0</v>
      </c>
      <c r="N1886" s="1423">
        <f t="shared" si="2788"/>
        <v>0</v>
      </c>
      <c r="O1886" s="1423">
        <f t="shared" si="2789"/>
        <v>0</v>
      </c>
      <c r="P1886" s="1423">
        <f t="shared" si="2790"/>
        <v>0</v>
      </c>
      <c r="Q1886" s="1423">
        <f t="shared" si="2791"/>
        <v>0</v>
      </c>
      <c r="R1886" s="1423">
        <f t="shared" si="2792"/>
        <v>0</v>
      </c>
      <c r="S1886" s="1423">
        <f t="shared" si="2793"/>
        <v>0</v>
      </c>
      <c r="T1886" s="1423">
        <f t="shared" si="2794"/>
        <v>0</v>
      </c>
      <c r="U1886" s="1423">
        <f t="shared" si="2795"/>
        <v>0</v>
      </c>
      <c r="V1886" s="1423">
        <f t="shared" si="2796"/>
        <v>0</v>
      </c>
      <c r="W1886" s="1423">
        <f t="shared" si="2797"/>
        <v>0</v>
      </c>
      <c r="X1886" s="152"/>
      <c r="Y1886" s="152"/>
      <c r="Z1886" s="152"/>
      <c r="AA1886" s="152"/>
      <c r="AB1886" s="152"/>
    </row>
    <row r="1887" spans="1:28" hidden="1" outlineLevel="1">
      <c r="A1887" s="152"/>
      <c r="B1887" s="190" t="str">
        <f t="shared" ca="1" si="2798"/>
        <v>RL Capex 2023-24</v>
      </c>
      <c r="C1887" s="1429"/>
      <c r="D1887" s="1429"/>
      <c r="E1887" s="1429"/>
      <c r="F1887" s="1429"/>
      <c r="G1887" s="1429"/>
      <c r="H1887" s="1429"/>
      <c r="I1887" s="1429"/>
      <c r="J1887" s="1424"/>
      <c r="K1887" s="1428">
        <f>K1851</f>
        <v>0</v>
      </c>
      <c r="L1887" s="1423">
        <f t="shared" si="2786"/>
        <v>0</v>
      </c>
      <c r="M1887" s="1423">
        <f t="shared" si="2787"/>
        <v>0</v>
      </c>
      <c r="N1887" s="1423">
        <f t="shared" si="2788"/>
        <v>0</v>
      </c>
      <c r="O1887" s="1423">
        <f t="shared" si="2789"/>
        <v>0</v>
      </c>
      <c r="P1887" s="1423">
        <f t="shared" si="2790"/>
        <v>0</v>
      </c>
      <c r="Q1887" s="1423">
        <f t="shared" si="2791"/>
        <v>0</v>
      </c>
      <c r="R1887" s="1423">
        <f t="shared" si="2792"/>
        <v>0</v>
      </c>
      <c r="S1887" s="1423">
        <f t="shared" si="2793"/>
        <v>0</v>
      </c>
      <c r="T1887" s="1423">
        <f t="shared" si="2794"/>
        <v>0</v>
      </c>
      <c r="U1887" s="1423">
        <f t="shared" si="2795"/>
        <v>0</v>
      </c>
      <c r="V1887" s="1423">
        <f t="shared" si="2796"/>
        <v>0</v>
      </c>
      <c r="W1887" s="1423">
        <f t="shared" si="2797"/>
        <v>0</v>
      </c>
      <c r="X1887" s="152"/>
      <c r="Y1887" s="152"/>
      <c r="Z1887" s="152"/>
      <c r="AA1887" s="152"/>
      <c r="AB1887" s="152"/>
    </row>
    <row r="1888" spans="1:28" hidden="1" outlineLevel="1">
      <c r="A1888" s="152"/>
      <c r="B1888" s="190" t="str">
        <f t="shared" ca="1" si="2798"/>
        <v>RL Capex 2024-25</v>
      </c>
      <c r="C1888" s="1429"/>
      <c r="D1888" s="1429"/>
      <c r="E1888" s="1429"/>
      <c r="F1888" s="1429"/>
      <c r="G1888" s="1429"/>
      <c r="H1888" s="1429"/>
      <c r="I1888" s="1429"/>
      <c r="J1888" s="1429"/>
      <c r="K1888" s="1424"/>
      <c r="L1888" s="1428">
        <f>L1851</f>
        <v>0</v>
      </c>
      <c r="M1888" s="1423">
        <f t="shared" si="2787"/>
        <v>0</v>
      </c>
      <c r="N1888" s="1423">
        <f t="shared" si="2788"/>
        <v>0</v>
      </c>
      <c r="O1888" s="1423">
        <f t="shared" si="2789"/>
        <v>0</v>
      </c>
      <c r="P1888" s="1423">
        <f t="shared" si="2790"/>
        <v>0</v>
      </c>
      <c r="Q1888" s="1423">
        <f t="shared" si="2791"/>
        <v>0</v>
      </c>
      <c r="R1888" s="1423">
        <f t="shared" si="2792"/>
        <v>0</v>
      </c>
      <c r="S1888" s="1423">
        <f t="shared" si="2793"/>
        <v>0</v>
      </c>
      <c r="T1888" s="1423">
        <f t="shared" si="2794"/>
        <v>0</v>
      </c>
      <c r="U1888" s="1423">
        <f t="shared" si="2795"/>
        <v>0</v>
      </c>
      <c r="V1888" s="1423">
        <f t="shared" si="2796"/>
        <v>0</v>
      </c>
      <c r="W1888" s="1423">
        <f t="shared" si="2797"/>
        <v>0</v>
      </c>
      <c r="X1888" s="152"/>
      <c r="Y1888" s="152"/>
      <c r="Z1888" s="152"/>
      <c r="AA1888" s="152"/>
      <c r="AB1888" s="152"/>
    </row>
    <row r="1889" spans="1:28" hidden="1" outlineLevel="1">
      <c r="A1889" s="152"/>
      <c r="B1889" s="190" t="str">
        <f t="shared" ca="1" si="2798"/>
        <v>RL Capex 2025-26</v>
      </c>
      <c r="C1889" s="1429"/>
      <c r="D1889" s="1429"/>
      <c r="E1889" s="1429"/>
      <c r="F1889" s="1429"/>
      <c r="G1889" s="1429"/>
      <c r="H1889" s="1429"/>
      <c r="I1889" s="1429"/>
      <c r="J1889" s="1429"/>
      <c r="K1889" s="1429"/>
      <c r="L1889" s="1424"/>
      <c r="M1889" s="1428">
        <f>M1851</f>
        <v>0</v>
      </c>
      <c r="N1889" s="1423">
        <f t="shared" si="2788"/>
        <v>0</v>
      </c>
      <c r="O1889" s="1423">
        <f t="shared" si="2789"/>
        <v>0</v>
      </c>
      <c r="P1889" s="1423">
        <f t="shared" si="2790"/>
        <v>0</v>
      </c>
      <c r="Q1889" s="1423">
        <f t="shared" si="2791"/>
        <v>0</v>
      </c>
      <c r="R1889" s="1423">
        <f t="shared" si="2792"/>
        <v>0</v>
      </c>
      <c r="S1889" s="1423">
        <f t="shared" si="2793"/>
        <v>0</v>
      </c>
      <c r="T1889" s="1423">
        <f t="shared" si="2794"/>
        <v>0</v>
      </c>
      <c r="U1889" s="1423">
        <f t="shared" si="2795"/>
        <v>0</v>
      </c>
      <c r="V1889" s="1423">
        <f t="shared" si="2796"/>
        <v>0</v>
      </c>
      <c r="W1889" s="1423">
        <f t="shared" si="2797"/>
        <v>0</v>
      </c>
      <c r="X1889" s="152"/>
      <c r="Y1889" s="152"/>
      <c r="Z1889" s="152"/>
      <c r="AA1889" s="152"/>
      <c r="AB1889" s="152"/>
    </row>
    <row r="1890" spans="1:28" hidden="1" outlineLevel="1">
      <c r="A1890" s="152"/>
      <c r="B1890" s="190" t="str">
        <f t="shared" ca="1" si="2798"/>
        <v>RL Capex 2026-27</v>
      </c>
      <c r="C1890" s="1429"/>
      <c r="D1890" s="1429"/>
      <c r="E1890" s="1429"/>
      <c r="F1890" s="1429"/>
      <c r="G1890" s="1429"/>
      <c r="H1890" s="1429"/>
      <c r="I1890" s="1429"/>
      <c r="J1890" s="1429"/>
      <c r="K1890" s="1429"/>
      <c r="L1890" s="1429"/>
      <c r="M1890" s="1424"/>
      <c r="N1890" s="1428">
        <f>N1851</f>
        <v>0</v>
      </c>
      <c r="O1890" s="1423">
        <f t="shared" si="2789"/>
        <v>0</v>
      </c>
      <c r="P1890" s="1423">
        <f t="shared" si="2790"/>
        <v>0</v>
      </c>
      <c r="Q1890" s="1423">
        <f t="shared" si="2791"/>
        <v>0</v>
      </c>
      <c r="R1890" s="1423">
        <f t="shared" si="2792"/>
        <v>0</v>
      </c>
      <c r="S1890" s="1423">
        <f t="shared" si="2793"/>
        <v>0</v>
      </c>
      <c r="T1890" s="1423">
        <f t="shared" si="2794"/>
        <v>0</v>
      </c>
      <c r="U1890" s="1423">
        <f t="shared" si="2795"/>
        <v>0</v>
      </c>
      <c r="V1890" s="1423">
        <f t="shared" si="2796"/>
        <v>0</v>
      </c>
      <c r="W1890" s="1423">
        <f t="shared" si="2797"/>
        <v>0</v>
      </c>
      <c r="X1890" s="152"/>
      <c r="Y1890" s="152"/>
      <c r="Z1890" s="152"/>
      <c r="AA1890" s="152"/>
      <c r="AB1890" s="152"/>
    </row>
    <row r="1891" spans="1:28" hidden="1" outlineLevel="1">
      <c r="A1891" s="152"/>
      <c r="B1891" s="190" t="str">
        <f t="shared" ca="1" si="2798"/>
        <v>RL Capex 2027-28</v>
      </c>
      <c r="C1891" s="1429"/>
      <c r="D1891" s="1429"/>
      <c r="E1891" s="1429"/>
      <c r="F1891" s="1429"/>
      <c r="G1891" s="1429"/>
      <c r="H1891" s="1429"/>
      <c r="I1891" s="1429"/>
      <c r="J1891" s="1429"/>
      <c r="K1891" s="1429"/>
      <c r="L1891" s="1429"/>
      <c r="M1891" s="1429"/>
      <c r="N1891" s="1424"/>
      <c r="O1891" s="1428">
        <f>O1851</f>
        <v>0</v>
      </c>
      <c r="P1891" s="1423">
        <f t="shared" si="2790"/>
        <v>0</v>
      </c>
      <c r="Q1891" s="1423">
        <f t="shared" si="2791"/>
        <v>0</v>
      </c>
      <c r="R1891" s="1423">
        <f t="shared" si="2792"/>
        <v>0</v>
      </c>
      <c r="S1891" s="1423">
        <f t="shared" si="2793"/>
        <v>0</v>
      </c>
      <c r="T1891" s="1423">
        <f t="shared" si="2794"/>
        <v>0</v>
      </c>
      <c r="U1891" s="1423">
        <f t="shared" si="2795"/>
        <v>0</v>
      </c>
      <c r="V1891" s="1423">
        <f t="shared" si="2796"/>
        <v>0</v>
      </c>
      <c r="W1891" s="1423">
        <f t="shared" si="2797"/>
        <v>0</v>
      </c>
      <c r="X1891" s="152"/>
      <c r="Y1891" s="152"/>
      <c r="Z1891" s="152"/>
      <c r="AA1891" s="152"/>
      <c r="AB1891" s="152"/>
    </row>
    <row r="1892" spans="1:28" hidden="1" outlineLevel="1">
      <c r="A1892" s="152"/>
      <c r="B1892" s="190" t="str">
        <f t="shared" ca="1" si="2798"/>
        <v>RL Capex 2028-29</v>
      </c>
      <c r="C1892" s="1429"/>
      <c r="D1892" s="1429"/>
      <c r="E1892" s="1429"/>
      <c r="F1892" s="1429"/>
      <c r="G1892" s="1429"/>
      <c r="H1892" s="1429"/>
      <c r="I1892" s="1429"/>
      <c r="J1892" s="1429"/>
      <c r="K1892" s="1429"/>
      <c r="L1892" s="1429"/>
      <c r="M1892" s="1429"/>
      <c r="N1892" s="1429"/>
      <c r="O1892" s="1424"/>
      <c r="P1892" s="1428">
        <f>P1851</f>
        <v>0</v>
      </c>
      <c r="Q1892" s="1423">
        <f t="shared" si="2791"/>
        <v>0</v>
      </c>
      <c r="R1892" s="1423">
        <f t="shared" si="2792"/>
        <v>0</v>
      </c>
      <c r="S1892" s="1423">
        <f t="shared" si="2793"/>
        <v>0</v>
      </c>
      <c r="T1892" s="1423">
        <f t="shared" si="2794"/>
        <v>0</v>
      </c>
      <c r="U1892" s="1423">
        <f t="shared" si="2795"/>
        <v>0</v>
      </c>
      <c r="V1892" s="1423">
        <f t="shared" si="2796"/>
        <v>0</v>
      </c>
      <c r="W1892" s="1423">
        <f t="shared" si="2797"/>
        <v>0</v>
      </c>
      <c r="X1892" s="152"/>
      <c r="Y1892" s="152"/>
      <c r="Z1892" s="152"/>
      <c r="AA1892" s="152"/>
      <c r="AB1892" s="152"/>
    </row>
    <row r="1893" spans="1:28" hidden="1" outlineLevel="1">
      <c r="A1893" s="152"/>
      <c r="B1893" s="190" t="str">
        <f t="shared" ca="1" si="2798"/>
        <v>RL Capex 2029-30</v>
      </c>
      <c r="C1893" s="1429"/>
      <c r="D1893" s="1429"/>
      <c r="E1893" s="1429"/>
      <c r="F1893" s="1429"/>
      <c r="G1893" s="1429"/>
      <c r="H1893" s="1429"/>
      <c r="I1893" s="1429"/>
      <c r="J1893" s="1429"/>
      <c r="K1893" s="1429"/>
      <c r="L1893" s="1429"/>
      <c r="M1893" s="1429"/>
      <c r="N1893" s="1429"/>
      <c r="O1893" s="1429"/>
      <c r="P1893" s="1424"/>
      <c r="Q1893" s="1428">
        <f>Q1851</f>
        <v>0</v>
      </c>
      <c r="R1893" s="1423">
        <f t="shared" si="2792"/>
        <v>0</v>
      </c>
      <c r="S1893" s="1423">
        <f t="shared" si="2793"/>
        <v>0</v>
      </c>
      <c r="T1893" s="1423">
        <f t="shared" si="2794"/>
        <v>0</v>
      </c>
      <c r="U1893" s="1423">
        <f t="shared" si="2795"/>
        <v>0</v>
      </c>
      <c r="V1893" s="1423">
        <f t="shared" si="2796"/>
        <v>0</v>
      </c>
      <c r="W1893" s="1423">
        <f t="shared" si="2797"/>
        <v>0</v>
      </c>
      <c r="X1893" s="152"/>
      <c r="Y1893" s="152"/>
      <c r="Z1893" s="152"/>
      <c r="AA1893" s="152"/>
      <c r="AB1893" s="152"/>
    </row>
    <row r="1894" spans="1:28" hidden="1" outlineLevel="1">
      <c r="A1894" s="152"/>
      <c r="B1894" s="190" t="str">
        <f t="shared" ca="1" si="2798"/>
        <v>RL Capex 2030-31</v>
      </c>
      <c r="C1894" s="1429"/>
      <c r="D1894" s="1429"/>
      <c r="E1894" s="1429"/>
      <c r="F1894" s="1429"/>
      <c r="G1894" s="1429"/>
      <c r="H1894" s="1429"/>
      <c r="I1894" s="1429"/>
      <c r="J1894" s="1429"/>
      <c r="K1894" s="1429"/>
      <c r="L1894" s="1429"/>
      <c r="M1894" s="1429"/>
      <c r="N1894" s="1429"/>
      <c r="O1894" s="1429"/>
      <c r="P1894" s="1429"/>
      <c r="Q1894" s="1424"/>
      <c r="R1894" s="1428">
        <f>R1851</f>
        <v>0</v>
      </c>
      <c r="S1894" s="1423">
        <f t="shared" si="2793"/>
        <v>0</v>
      </c>
      <c r="T1894" s="1423">
        <f t="shared" si="2794"/>
        <v>0</v>
      </c>
      <c r="U1894" s="1423">
        <f t="shared" si="2795"/>
        <v>0</v>
      </c>
      <c r="V1894" s="1423">
        <f t="shared" si="2796"/>
        <v>0</v>
      </c>
      <c r="W1894" s="1423">
        <f t="shared" si="2797"/>
        <v>0</v>
      </c>
      <c r="X1894" s="152"/>
      <c r="Y1894" s="152"/>
      <c r="Z1894" s="152"/>
      <c r="AA1894" s="152"/>
      <c r="AB1894" s="152"/>
    </row>
    <row r="1895" spans="1:28" hidden="1" outlineLevel="1">
      <c r="A1895" s="152"/>
      <c r="B1895" s="190" t="str">
        <f t="shared" ca="1" si="2798"/>
        <v>RL Capex 2031-32</v>
      </c>
      <c r="C1895" s="1429"/>
      <c r="D1895" s="1429"/>
      <c r="E1895" s="1429"/>
      <c r="F1895" s="1429"/>
      <c r="G1895" s="1429"/>
      <c r="H1895" s="1429"/>
      <c r="I1895" s="1429"/>
      <c r="J1895" s="1429"/>
      <c r="K1895" s="1429"/>
      <c r="L1895" s="1429"/>
      <c r="M1895" s="1429"/>
      <c r="N1895" s="1429"/>
      <c r="O1895" s="1429"/>
      <c r="P1895" s="1429"/>
      <c r="Q1895" s="1429"/>
      <c r="R1895" s="1424"/>
      <c r="S1895" s="1428">
        <f>S1851</f>
        <v>0</v>
      </c>
      <c r="T1895" s="1423">
        <f t="shared" si="2794"/>
        <v>0</v>
      </c>
      <c r="U1895" s="1423">
        <f t="shared" si="2795"/>
        <v>0</v>
      </c>
      <c r="V1895" s="1423">
        <f t="shared" si="2796"/>
        <v>0</v>
      </c>
      <c r="W1895" s="1423">
        <f t="shared" si="2797"/>
        <v>0</v>
      </c>
      <c r="X1895" s="152"/>
      <c r="Y1895" s="152"/>
      <c r="Z1895" s="152"/>
      <c r="AA1895" s="152"/>
      <c r="AB1895" s="152"/>
    </row>
    <row r="1896" spans="1:28" hidden="1" outlineLevel="1">
      <c r="A1896" s="152"/>
      <c r="B1896" s="190" t="str">
        <f t="shared" ca="1" si="2798"/>
        <v>RL Capex 2032-33</v>
      </c>
      <c r="C1896" s="1429"/>
      <c r="D1896" s="1429"/>
      <c r="E1896" s="1429"/>
      <c r="F1896" s="1429"/>
      <c r="G1896" s="1429"/>
      <c r="H1896" s="1429"/>
      <c r="I1896" s="1429"/>
      <c r="J1896" s="1429"/>
      <c r="K1896" s="1429"/>
      <c r="L1896" s="1429"/>
      <c r="M1896" s="1429"/>
      <c r="N1896" s="1429"/>
      <c r="O1896" s="1429"/>
      <c r="P1896" s="1429"/>
      <c r="Q1896" s="1429"/>
      <c r="R1896" s="1429"/>
      <c r="S1896" s="1424"/>
      <c r="T1896" s="1428">
        <f>T1851</f>
        <v>0</v>
      </c>
      <c r="U1896" s="1423">
        <f t="shared" si="2795"/>
        <v>0</v>
      </c>
      <c r="V1896" s="1423">
        <f t="shared" si="2796"/>
        <v>0</v>
      </c>
      <c r="W1896" s="1423">
        <f t="shared" si="2797"/>
        <v>0</v>
      </c>
      <c r="X1896" s="152"/>
      <c r="Y1896" s="152"/>
      <c r="Z1896" s="152"/>
      <c r="AA1896" s="152"/>
      <c r="AB1896" s="152"/>
    </row>
    <row r="1897" spans="1:28" hidden="1" outlineLevel="1">
      <c r="A1897" s="152"/>
      <c r="B1897" s="190" t="str">
        <f t="shared" ca="1" si="2798"/>
        <v>RL Capex 2033-34</v>
      </c>
      <c r="C1897" s="1429"/>
      <c r="D1897" s="1429"/>
      <c r="E1897" s="1429"/>
      <c r="F1897" s="1429"/>
      <c r="G1897" s="1429"/>
      <c r="H1897" s="1429"/>
      <c r="I1897" s="1429"/>
      <c r="J1897" s="1429"/>
      <c r="K1897" s="1429"/>
      <c r="L1897" s="1429"/>
      <c r="M1897" s="1429"/>
      <c r="N1897" s="1429"/>
      <c r="O1897" s="1429"/>
      <c r="P1897" s="1429"/>
      <c r="Q1897" s="1429"/>
      <c r="R1897" s="1429"/>
      <c r="S1897" s="1429"/>
      <c r="T1897" s="1424"/>
      <c r="U1897" s="1428">
        <f>U1851</f>
        <v>0</v>
      </c>
      <c r="V1897" s="1423">
        <f t="shared" si="2796"/>
        <v>0</v>
      </c>
      <c r="W1897" s="1423">
        <f t="shared" si="2797"/>
        <v>0</v>
      </c>
      <c r="X1897" s="152"/>
      <c r="Y1897" s="152"/>
      <c r="Z1897" s="152"/>
      <c r="AA1897" s="152"/>
      <c r="AB1897" s="152"/>
    </row>
    <row r="1898" spans="1:28" hidden="1" outlineLevel="1">
      <c r="A1898" s="152"/>
      <c r="B1898" s="190" t="str">
        <f t="shared" ca="1" si="2798"/>
        <v>RL Capex 2034-35</v>
      </c>
      <c r="C1898" s="1429"/>
      <c r="D1898" s="1429"/>
      <c r="E1898" s="1429"/>
      <c r="F1898" s="1429"/>
      <c r="G1898" s="1429"/>
      <c r="H1898" s="1429"/>
      <c r="I1898" s="1429"/>
      <c r="J1898" s="1429"/>
      <c r="K1898" s="1429"/>
      <c r="L1898" s="1429"/>
      <c r="M1898" s="1429"/>
      <c r="N1898" s="1429"/>
      <c r="O1898" s="1429"/>
      <c r="P1898" s="1429"/>
      <c r="Q1898" s="1429"/>
      <c r="R1898" s="1429"/>
      <c r="S1898" s="1429"/>
      <c r="T1898" s="1429"/>
      <c r="U1898" s="1424"/>
      <c r="V1898" s="1428">
        <f>V1851</f>
        <v>0</v>
      </c>
      <c r="W1898" s="1423">
        <f>IF(V1898="n/a","n/a",MAX(0,V1898-1))</f>
        <v>0</v>
      </c>
      <c r="X1898" s="152"/>
      <c r="Y1898" s="152"/>
      <c r="Z1898" s="152"/>
      <c r="AA1898" s="152"/>
      <c r="AB1898" s="152"/>
    </row>
    <row r="1899" spans="1:28" hidden="1" outlineLevel="1">
      <c r="A1899" s="152"/>
      <c r="B1899" s="190" t="str">
        <f t="shared" ca="1" si="2798"/>
        <v>RL Capex 2035-36</v>
      </c>
      <c r="C1899" s="1429"/>
      <c r="D1899" s="1429"/>
      <c r="E1899" s="1429"/>
      <c r="F1899" s="1429"/>
      <c r="G1899" s="1429"/>
      <c r="H1899" s="1429"/>
      <c r="I1899" s="1429"/>
      <c r="J1899" s="1429"/>
      <c r="K1899" s="1429"/>
      <c r="L1899" s="1429"/>
      <c r="M1899" s="1429"/>
      <c r="N1899" s="1429"/>
      <c r="O1899" s="1429"/>
      <c r="P1899" s="1429"/>
      <c r="Q1899" s="1429"/>
      <c r="R1899" s="1429"/>
      <c r="S1899" s="1429"/>
      <c r="T1899" s="1429"/>
      <c r="U1899" s="1429"/>
      <c r="V1899" s="1424"/>
      <c r="W1899" s="1423">
        <f>W1851</f>
        <v>0</v>
      </c>
      <c r="X1899" s="152"/>
      <c r="Y1899" s="152"/>
      <c r="Z1899" s="152"/>
      <c r="AA1899" s="152"/>
      <c r="AB1899" s="152"/>
    </row>
    <row r="1900" spans="1:28" hidden="1" outlineLevel="1">
      <c r="A1900" s="152"/>
      <c r="B1900" s="200"/>
      <c r="C1900" s="1423"/>
      <c r="D1900" s="1423"/>
      <c r="E1900" s="1423"/>
      <c r="F1900" s="1423"/>
      <c r="G1900" s="1423"/>
      <c r="H1900" s="1423"/>
      <c r="I1900" s="1423"/>
      <c r="J1900" s="1423"/>
      <c r="K1900" s="1423"/>
      <c r="L1900" s="1423"/>
      <c r="M1900" s="1423"/>
      <c r="N1900" s="1423"/>
      <c r="O1900" s="1423"/>
      <c r="P1900" s="1423"/>
      <c r="Q1900" s="1423"/>
      <c r="R1900" s="1423"/>
      <c r="S1900" s="1423"/>
      <c r="T1900" s="1423"/>
      <c r="U1900" s="1423"/>
      <c r="V1900" s="1423"/>
      <c r="W1900" s="1423"/>
      <c r="X1900" s="152"/>
      <c r="Y1900" s="152"/>
      <c r="Z1900" s="152"/>
      <c r="AA1900" s="152"/>
      <c r="AB1900" s="152"/>
    </row>
    <row r="1901" spans="1:28" collapsed="1">
      <c r="A1901" s="194"/>
      <c r="B1901" s="204" t="s">
        <v>123</v>
      </c>
      <c r="C1901" s="1430">
        <f ca="1">(IF(OR($C1851&lt;&gt;"n/a",C1851&lt;&gt;"n/a"),IF(SUM(C1854:C1876)=0,0,IF((SUMPRODUCT(C1854:C1876,C1878:C1900)/SUM(C1854:C1876))&lt;0,1,(SUMPRODUCT(C1854:C1876,C1878:C1900)/SUM(C1854:C1876)))),"n/a"))</f>
        <v>0</v>
      </c>
      <c r="D1901" s="1430">
        <f ca="1">(IF(OR($C1851&lt;&gt;"n/a",D1851&lt;&gt;"n/a"),IF(SUM(D1854:D1876)=0,0,IF((SUMPRODUCT(D1854:D1876,D1878:D1900)/SUM(D1854:D1876))&lt;0,1,(SUMPRODUCT(D1854:D1876,D1878:D1900)/SUM(D1854:D1876)))),"n/a"))</f>
        <v>0</v>
      </c>
      <c r="E1901" s="1430">
        <f t="shared" ref="E1901:W1901" ca="1" si="2799">(IF(OR($C1851&lt;&gt;"n/a",E1851&lt;&gt;"n/a"),IF(SUM(E1854:E1876)=0,0,IF((SUMPRODUCT(E1854:E1876,E1878:E1900)/SUM(E1854:E1876))&lt;0,1,(SUMPRODUCT(E1854:E1876,E1878:E1900)/SUM(E1854:E1876)))),"n/a"))</f>
        <v>0</v>
      </c>
      <c r="F1901" s="1430">
        <f t="shared" ca="1" si="2799"/>
        <v>0</v>
      </c>
      <c r="G1901" s="1430">
        <f t="shared" ca="1" si="2799"/>
        <v>0</v>
      </c>
      <c r="H1901" s="1430">
        <f t="shared" ca="1" si="2799"/>
        <v>0</v>
      </c>
      <c r="I1901" s="1430">
        <f t="shared" ca="1" si="2799"/>
        <v>0</v>
      </c>
      <c r="J1901" s="1430">
        <f t="shared" ca="1" si="2799"/>
        <v>0</v>
      </c>
      <c r="K1901" s="1430">
        <f t="shared" ca="1" si="2799"/>
        <v>0</v>
      </c>
      <c r="L1901" s="1430">
        <f t="shared" ca="1" si="2799"/>
        <v>0</v>
      </c>
      <c r="M1901" s="1430">
        <f t="shared" ca="1" si="2799"/>
        <v>0</v>
      </c>
      <c r="N1901" s="1430">
        <f t="shared" ca="1" si="2799"/>
        <v>0</v>
      </c>
      <c r="O1901" s="1430">
        <f t="shared" ca="1" si="2799"/>
        <v>0</v>
      </c>
      <c r="P1901" s="1430">
        <f t="shared" ca="1" si="2799"/>
        <v>0</v>
      </c>
      <c r="Q1901" s="1430">
        <f t="shared" ca="1" si="2799"/>
        <v>0</v>
      </c>
      <c r="R1901" s="1430">
        <f t="shared" ca="1" si="2799"/>
        <v>0</v>
      </c>
      <c r="S1901" s="1430">
        <f t="shared" ca="1" si="2799"/>
        <v>0</v>
      </c>
      <c r="T1901" s="1430">
        <f t="shared" ca="1" si="2799"/>
        <v>0</v>
      </c>
      <c r="U1901" s="1430">
        <f t="shared" ca="1" si="2799"/>
        <v>0</v>
      </c>
      <c r="V1901" s="1430">
        <f t="shared" ca="1" si="2799"/>
        <v>0</v>
      </c>
      <c r="W1901" s="1430">
        <f t="shared" ca="1" si="2799"/>
        <v>0</v>
      </c>
      <c r="X1901" s="152"/>
      <c r="Y1901" s="152"/>
      <c r="Z1901" s="152"/>
      <c r="AA1901" s="152"/>
      <c r="AB1901" s="152"/>
    </row>
    <row r="1902" spans="1:28">
      <c r="A1902" s="152"/>
      <c r="B1902" s="152"/>
      <c r="C1902" s="1423"/>
      <c r="D1902" s="1423"/>
      <c r="E1902" s="1423"/>
      <c r="F1902" s="1423"/>
      <c r="G1902" s="1423"/>
      <c r="H1902" s="1423"/>
      <c r="I1902" s="1423"/>
      <c r="J1902" s="1423"/>
      <c r="K1902" s="1423"/>
      <c r="L1902" s="1423"/>
      <c r="M1902" s="1423"/>
      <c r="N1902" s="1423"/>
      <c r="O1902" s="1423"/>
      <c r="P1902" s="1423"/>
      <c r="Q1902" s="1423"/>
      <c r="R1902" s="1423"/>
      <c r="S1902" s="1423"/>
      <c r="T1902" s="1423"/>
      <c r="U1902" s="1423"/>
      <c r="V1902" s="1423"/>
      <c r="W1902" s="1423"/>
      <c r="X1902" s="152"/>
      <c r="Y1902" s="152"/>
      <c r="Z1902" s="152"/>
      <c r="AA1902" s="152"/>
      <c r="AB1902" s="152"/>
    </row>
    <row r="1903" spans="1:28">
      <c r="A1903" s="269" t="s">
        <v>102</v>
      </c>
      <c r="B1903" s="270">
        <f>VLOOKUP($A1903,'RFM input'!$E$7:$F$56,2,FALSE)</f>
        <v>0</v>
      </c>
      <c r="C1903" s="1431"/>
      <c r="D1903" s="1431"/>
      <c r="E1903" s="1432"/>
      <c r="F1903" s="1432"/>
      <c r="G1903" s="1432"/>
      <c r="H1903" s="1432"/>
      <c r="I1903" s="1432"/>
      <c r="J1903" s="1432"/>
      <c r="K1903" s="1432"/>
      <c r="L1903" s="1432"/>
      <c r="M1903" s="1432"/>
      <c r="N1903" s="1432"/>
      <c r="O1903" s="1432"/>
      <c r="P1903" s="1432"/>
      <c r="Q1903" s="1432"/>
      <c r="R1903" s="1432"/>
      <c r="S1903" s="1432"/>
      <c r="T1903" s="1432"/>
      <c r="U1903" s="1432"/>
      <c r="V1903" s="1432"/>
      <c r="W1903" s="1432"/>
      <c r="X1903" s="152"/>
      <c r="Y1903" s="152"/>
      <c r="Z1903" s="152"/>
      <c r="AA1903" s="152"/>
      <c r="AB1903" s="152"/>
    </row>
    <row r="1904" spans="1:28">
      <c r="A1904" s="215">
        <f>VALUE(REPLACE(A1903,1,12,""))</f>
        <v>36</v>
      </c>
      <c r="B1904" s="193" t="s">
        <v>126</v>
      </c>
      <c r="C1904" s="1416">
        <f ca="1">IF($C$8='Capital Base roll forward'!$H$4,OFFSET('Capital Base roll forward'!$H$717,'RAB remaining lives'!A1904,0),"enter input")</f>
        <v>0</v>
      </c>
      <c r="D1904" s="1417">
        <f>IF(LEFT(D$6,4)&lt;LEFT('RFM input'!$G$60,4),"enter input",IF(LEFT(D$6,4)&gt;LEFT('RFM input'!$Q$60,4),0,INDEX('RFM input'!$G$61:$Q$110,$A1904,MATCH(D$6,'RFM input'!$G$60:$Q$60,0))
-INDEX('RFM input'!$G$115:$Q$164,$A1904,MATCH(D$6,'RFM input'!$G$60:$Q$60,0))
-INDEX('RFM input'!$G$169:$Q$218,$A1904,MATCH(D$6,'RFM input'!$G$60:$Q$60,0))))</f>
        <v>0</v>
      </c>
      <c r="E1904" s="1417">
        <f>IF(LEFT(E$6,4)&lt;LEFT('RFM input'!$G$60,4),"enter input",IF(LEFT(E$6,4)&gt;LEFT('RFM input'!$Q$60,4),0,INDEX('RFM input'!$G$61:$Q$110,$A1904,MATCH(E$6,'RFM input'!$G$60:$Q$60,0))
-INDEX('RFM input'!$G$115:$Q$164,$A1904,MATCH(E$6,'RFM input'!$G$60:$Q$60,0))
-INDEX('RFM input'!$G$169:$Q$218,$A1904,MATCH(E$6,'RFM input'!$G$60:$Q$60,0))))</f>
        <v>0</v>
      </c>
      <c r="F1904" s="1417">
        <f>IF(LEFT(F$6,4)&lt;LEFT('RFM input'!$G$60,4),"enter input",IF(LEFT(F$6,4)&gt;LEFT('RFM input'!$Q$60,4),0,INDEX('RFM input'!$G$61:$Q$110,$A1904,MATCH(F$6,'RFM input'!$G$60:$Q$60,0))
-INDEX('RFM input'!$G$115:$Q$164,$A1904,MATCH(F$6,'RFM input'!$G$60:$Q$60,0))
-INDEX('RFM input'!$G$169:$Q$218,$A1904,MATCH(F$6,'RFM input'!$G$60:$Q$60,0))))</f>
        <v>0</v>
      </c>
      <c r="G1904" s="1417">
        <f>IF(LEFT(G$6,4)&lt;LEFT('RFM input'!$G$60,4),"enter input",IF(LEFT(G$6,4)&gt;LEFT('RFM input'!$Q$60,4),0,INDEX('RFM input'!$G$61:$Q$110,$A1904,MATCH(G$6,'RFM input'!$G$60:$Q$60,0))
-INDEX('RFM input'!$G$115:$Q$164,$A1904,MATCH(G$6,'RFM input'!$G$60:$Q$60,0))
-INDEX('RFM input'!$G$169:$Q$218,$A1904,MATCH(G$6,'RFM input'!$G$60:$Q$60,0))))</f>
        <v>0</v>
      </c>
      <c r="H1904" s="1417">
        <f>IF(LEFT(H$6,4)&lt;LEFT('RFM input'!$G$60,4),"enter input",IF(LEFT(H$6,4)&gt;LEFT('RFM input'!$Q$60,4),0,INDEX('RFM input'!$G$61:$Q$110,$A1904,MATCH(H$6,'RFM input'!$G$60:$Q$60,0))
-INDEX('RFM input'!$G$115:$Q$164,$A1904,MATCH(H$6,'RFM input'!$G$60:$Q$60,0))
-INDEX('RFM input'!$G$169:$Q$218,$A1904,MATCH(H$6,'RFM input'!$G$60:$Q$60,0))))</f>
        <v>0</v>
      </c>
      <c r="I1904" s="1417">
        <f>IF(LEFT(I$6,4)&lt;LEFT('RFM input'!$G$60,4),"enter input",IF(LEFT(I$6,4)&gt;LEFT('RFM input'!$Q$60,4),0,INDEX('RFM input'!$G$61:$Q$110,$A1904,MATCH(I$6,'RFM input'!$G$60:$Q$60,0))
-INDEX('RFM input'!$G$115:$Q$164,$A1904,MATCH(I$6,'RFM input'!$G$60:$Q$60,0))
-INDEX('RFM input'!$G$169:$Q$218,$A1904,MATCH(I$6,'RFM input'!$G$60:$Q$60,0))))</f>
        <v>0</v>
      </c>
      <c r="J1904" s="1417">
        <f>IF(LEFT(J$6,4)&lt;LEFT('RFM input'!$G$60,4),"enter input",IF(LEFT(J$6,4)&gt;LEFT('RFM input'!$Q$60,4),0,INDEX('RFM input'!$G$61:$Q$110,$A1904,MATCH(J$6,'RFM input'!$G$60:$Q$60,0))
-INDEX('RFM input'!$G$115:$Q$164,$A1904,MATCH(J$6,'RFM input'!$G$60:$Q$60,0))
-INDEX('RFM input'!$G$169:$Q$218,$A1904,MATCH(J$6,'RFM input'!$G$60:$Q$60,0))))</f>
        <v>0</v>
      </c>
      <c r="K1904" s="1417">
        <f>IF(LEFT(K$6,4)&lt;LEFT('RFM input'!$G$60,4),"enter input",IF(LEFT(K$6,4)&gt;LEFT('RFM input'!$Q$60,4),0,INDEX('RFM input'!$G$61:$Q$110,$A1904,MATCH(K$6,'RFM input'!$G$60:$Q$60,0))
-INDEX('RFM input'!$G$115:$Q$164,$A1904,MATCH(K$6,'RFM input'!$G$60:$Q$60,0))
-INDEX('RFM input'!$G$169:$Q$218,$A1904,MATCH(K$6,'RFM input'!$G$60:$Q$60,0))))</f>
        <v>0</v>
      </c>
      <c r="L1904" s="1417">
        <f>IF(LEFT(L$6,4)&lt;LEFT('RFM input'!$G$60,4),"enter input",IF(LEFT(L$6,4)&gt;LEFT('RFM input'!$Q$60,4),0,INDEX('RFM input'!$G$61:$Q$110,$A1904,MATCH(L$6,'RFM input'!$G$60:$Q$60,0))
-INDEX('RFM input'!$G$115:$Q$164,$A1904,MATCH(L$6,'RFM input'!$G$60:$Q$60,0))
-INDEX('RFM input'!$G$169:$Q$218,$A1904,MATCH(L$6,'RFM input'!$G$60:$Q$60,0))))</f>
        <v>0</v>
      </c>
      <c r="M1904" s="1417">
        <f>IF(LEFT(M$6,4)&lt;LEFT('RFM input'!$G$60,4),"enter input",IF(LEFT(M$6,4)&gt;LEFT('RFM input'!$Q$60,4),0,INDEX('RFM input'!$G$61:$Q$110,$A1904,MATCH(M$6,'RFM input'!$G$60:$Q$60,0))
-INDEX('RFM input'!$G$115:$Q$164,$A1904,MATCH(M$6,'RFM input'!$G$60:$Q$60,0))
-INDEX('RFM input'!$G$169:$Q$218,$A1904,MATCH(M$6,'RFM input'!$G$60:$Q$60,0))))</f>
        <v>0</v>
      </c>
      <c r="N1904" s="1417">
        <f>IF(LEFT(N$6,4)&lt;LEFT('RFM input'!$G$60,4),"enter input",IF(LEFT(N$6,4)&gt;LEFT('RFM input'!$Q$60,4),0,INDEX('RFM input'!$G$61:$Q$110,$A1904,MATCH(N$6,'RFM input'!$G$60:$Q$60,0))
-INDEX('RFM input'!$G$115:$Q$164,$A1904,MATCH(N$6,'RFM input'!$G$60:$Q$60,0))
-INDEX('RFM input'!$G$169:$Q$218,$A1904,MATCH(N$6,'RFM input'!$G$60:$Q$60,0))))</f>
        <v>0</v>
      </c>
      <c r="O1904" s="1417">
        <f>IF(LEFT(O$6,4)&lt;LEFT('RFM input'!$G$60,4),"enter input",IF(LEFT(O$6,4)&gt;LEFT('RFM input'!$Q$60,4),0,INDEX('RFM input'!$G$61:$Q$110,$A1904,MATCH(O$6,'RFM input'!$G$60:$Q$60,0))
-INDEX('RFM input'!$G$115:$Q$164,$A1904,MATCH(O$6,'RFM input'!$G$60:$Q$60,0))
-INDEX('RFM input'!$G$169:$Q$218,$A1904,MATCH(O$6,'RFM input'!$G$60:$Q$60,0))))</f>
        <v>0</v>
      </c>
      <c r="P1904" s="1417">
        <f>IF(LEFT(P$6,4)&lt;LEFT('RFM input'!$G$60,4),"enter input",IF(LEFT(P$6,4)&gt;LEFT('RFM input'!$Q$60,4),0,INDEX('RFM input'!$G$61:$Q$110,$A1904,MATCH(P$6,'RFM input'!$G$60:$Q$60,0))
-INDEX('RFM input'!$G$115:$Q$164,$A1904,MATCH(P$6,'RFM input'!$G$60:$Q$60,0))
-INDEX('RFM input'!$G$169:$Q$218,$A1904,MATCH(P$6,'RFM input'!$G$60:$Q$60,0))))</f>
        <v>0</v>
      </c>
      <c r="Q1904" s="1417">
        <f>IF(LEFT(Q$6,4)&lt;LEFT('RFM input'!$G$60,4),"enter input",IF(LEFT(Q$6,4)&gt;LEFT('RFM input'!$Q$60,4),0,INDEX('RFM input'!$G$61:$Q$110,$A1904,MATCH(Q$6,'RFM input'!$G$60:$Q$60,0))
-INDEX('RFM input'!$G$115:$Q$164,$A1904,MATCH(Q$6,'RFM input'!$G$60:$Q$60,0))
-INDEX('RFM input'!$G$169:$Q$218,$A1904,MATCH(Q$6,'RFM input'!$G$60:$Q$60,0))))</f>
        <v>0</v>
      </c>
      <c r="R1904" s="1417">
        <f>IF(LEFT(R$6,4)&lt;LEFT('RFM input'!$G$60,4),"enter input",IF(LEFT(R$6,4)&gt;LEFT('RFM input'!$Q$60,4),0,INDEX('RFM input'!$G$61:$Q$110,$A1904,MATCH(R$6,'RFM input'!$G$60:$Q$60,0))
-INDEX('RFM input'!$G$115:$Q$164,$A1904,MATCH(R$6,'RFM input'!$G$60:$Q$60,0))
-INDEX('RFM input'!$G$169:$Q$218,$A1904,MATCH(R$6,'RFM input'!$G$60:$Q$60,0))))</f>
        <v>0</v>
      </c>
      <c r="S1904" s="1417">
        <f>IF(LEFT(S$6,4)&lt;LEFT('RFM input'!$G$60,4),"enter input",IF(LEFT(S$6,4)&gt;LEFT('RFM input'!$Q$60,4),0,INDEX('RFM input'!$G$61:$Q$110,$A1904,MATCH(S$6,'RFM input'!$G$60:$Q$60,0))
-INDEX('RFM input'!$G$115:$Q$164,$A1904,MATCH(S$6,'RFM input'!$G$60:$Q$60,0))
-INDEX('RFM input'!$G$169:$Q$218,$A1904,MATCH(S$6,'RFM input'!$G$60:$Q$60,0))))</f>
        <v>0</v>
      </c>
      <c r="T1904" s="1417">
        <f>IF(LEFT(T$6,4)&lt;LEFT('RFM input'!$G$60,4),"enter input",IF(LEFT(T$6,4)&gt;LEFT('RFM input'!$Q$60,4),0,INDEX('RFM input'!$G$61:$Q$110,$A1904,MATCH(T$6,'RFM input'!$G$60:$Q$60,0))
-INDEX('RFM input'!$G$115:$Q$164,$A1904,MATCH(T$6,'RFM input'!$G$60:$Q$60,0))
-INDEX('RFM input'!$G$169:$Q$218,$A1904,MATCH(T$6,'RFM input'!$G$60:$Q$60,0))))</f>
        <v>0</v>
      </c>
      <c r="U1904" s="1417">
        <f>IF(LEFT(U$6,4)&lt;LEFT('RFM input'!$G$60,4),"enter input",IF(LEFT(U$6,4)&gt;LEFT('RFM input'!$Q$60,4),0,INDEX('RFM input'!$G$61:$Q$110,$A1904,MATCH(U$6,'RFM input'!$G$60:$Q$60,0))
-INDEX('RFM input'!$G$115:$Q$164,$A1904,MATCH(U$6,'RFM input'!$G$60:$Q$60,0))
-INDEX('RFM input'!$G$169:$Q$218,$A1904,MATCH(U$6,'RFM input'!$G$60:$Q$60,0))))</f>
        <v>0</v>
      </c>
      <c r="V1904" s="1417">
        <f>IF(LEFT(V$6,4)&lt;LEFT('RFM input'!$G$60,4),"enter input",IF(LEFT(V$6,4)&gt;LEFT('RFM input'!$Q$60,4),0,INDEX('RFM input'!$G$61:$Q$110,$A1904,MATCH(V$6,'RFM input'!$G$60:$Q$60,0))
-INDEX('RFM input'!$G$115:$Q$164,$A1904,MATCH(V$6,'RFM input'!$G$60:$Q$60,0))
-INDEX('RFM input'!$G$169:$Q$218,$A1904,MATCH(V$6,'RFM input'!$G$60:$Q$60,0))))</f>
        <v>0</v>
      </c>
      <c r="W1904" s="1417">
        <f>IF(LEFT(W$6,4)&lt;LEFT('RFM input'!$G$60,4),"enter input",IF(LEFT(W$6,4)&gt;LEFT('RFM input'!$Q$60,4),0,INDEX('RFM input'!$G$61:$Q$110,$A1904,MATCH(W$6,'RFM input'!$G$60:$Q$60,0))
-INDEX('RFM input'!$G$115:$Q$164,$A1904,MATCH(W$6,'RFM input'!$G$60:$Q$60,0))
-INDEX('RFM input'!$G$169:$Q$218,$A1904,MATCH(W$6,'RFM input'!$G$60:$Q$60,0))))</f>
        <v>0</v>
      </c>
      <c r="X1904" s="152"/>
      <c r="Y1904" s="152"/>
      <c r="Z1904" s="152"/>
      <c r="AA1904" s="152"/>
      <c r="AB1904" s="152"/>
    </row>
    <row r="1905" spans="1:28">
      <c r="A1905" s="152"/>
      <c r="B1905" s="152" t="s">
        <v>204</v>
      </c>
      <c r="C1905" s="1418">
        <f ca="1">IF($C$8='Capital Base roll forward'!$H$4,OFFSET('RFM input'!$J$6,'RAB remaining lives'!A1904,0),"enter input")</f>
        <v>0</v>
      </c>
      <c r="D1905" s="1417">
        <f>IF(LEFT(D$6,4)&lt;=LEFT('RFM input'!$G$60,4),"enter input",IF(LEFT(D$6,4)&gt;LEFT('RFM input'!$Q$60,4),0,IF(MATCH(D$6,'RFM input'!$H$60:$Q$60,0),INDEX('RFM input'!$K$7:$K$56,$A1904,1))))</f>
        <v>0</v>
      </c>
      <c r="E1905" s="1417">
        <f>IF(LEFT(E$6,4)&lt;=LEFT('RFM input'!$G$60,4),"enter input",IF(LEFT(E$6,4)&gt;LEFT('RFM input'!$Q$60,4),0,IF(MATCH(E$6,'RFM input'!$H$60:$Q$60,0),INDEX('RFM input'!$K$7:$K$56,$A1904,1))))</f>
        <v>0</v>
      </c>
      <c r="F1905" s="1417">
        <f>IF(LEFT(F$6,4)&lt;=LEFT('RFM input'!$G$60,4),"enter input",IF(LEFT(F$6,4)&gt;LEFT('RFM input'!$Q$60,4),0,IF(MATCH(F$6,'RFM input'!$H$60:$Q$60,0),INDEX('RFM input'!$K$7:$K$56,$A1904,1))))</f>
        <v>0</v>
      </c>
      <c r="G1905" s="1417">
        <f>IF(LEFT(G$6,4)&lt;=LEFT('RFM input'!$G$60,4),"enter input",IF(LEFT(G$6,4)&gt;LEFT('RFM input'!$Q$60,4),0,IF(MATCH(G$6,'RFM input'!$H$60:$Q$60,0),INDEX('RFM input'!$K$7:$K$56,$A1904,1))))</f>
        <v>0</v>
      </c>
      <c r="H1905" s="1417">
        <f>IF(LEFT(H$6,4)&lt;=LEFT('RFM input'!$G$60,4),"enter input",IF(LEFT(H$6,4)&gt;LEFT('RFM input'!$Q$60,4),0,IF(MATCH(H$6,'RFM input'!$H$60:$Q$60,0),INDEX('RFM input'!$K$7:$K$56,$A1904,1))))</f>
        <v>0</v>
      </c>
      <c r="I1905" s="1417">
        <f>IF(LEFT(I$6,4)&lt;=LEFT('RFM input'!$G$60,4),"enter input",IF(LEFT(I$6,4)&gt;LEFT('RFM input'!$Q$60,4),0,IF(MATCH(I$6,'RFM input'!$H$60:$Q$60,0),INDEX('RFM input'!$K$7:$K$56,$A1904,1))))</f>
        <v>0</v>
      </c>
      <c r="J1905" s="1417">
        <f>IF(LEFT(J$6,4)&lt;=LEFT('RFM input'!$G$60,4),"enter input",IF(LEFT(J$6,4)&gt;LEFT('RFM input'!$Q$60,4),0,IF(MATCH(J$6,'RFM input'!$H$60:$Q$60,0),INDEX('RFM input'!$K$7:$K$56,$A1904,1))))</f>
        <v>0</v>
      </c>
      <c r="K1905" s="1417">
        <f>IF(LEFT(K$6,4)&lt;=LEFT('RFM input'!$G$60,4),"enter input",IF(LEFT(K$6,4)&gt;LEFT('RFM input'!$Q$60,4),0,IF(MATCH(K$6,'RFM input'!$H$60:$Q$60,0),INDEX('RFM input'!$K$7:$K$56,$A1904,1))))</f>
        <v>0</v>
      </c>
      <c r="L1905" s="1417">
        <f>IF(LEFT(L$6,4)&lt;=LEFT('RFM input'!$G$60,4),"enter input",IF(LEFT(L$6,4)&gt;LEFT('RFM input'!$Q$60,4),0,IF(MATCH(L$6,'RFM input'!$H$60:$Q$60,0),INDEX('RFM input'!$K$7:$K$56,$A1904,1))))</f>
        <v>0</v>
      </c>
      <c r="M1905" s="1417">
        <f>IF(LEFT(M$6,4)&lt;=LEFT('RFM input'!$G$60,4),"enter input",IF(LEFT(M$6,4)&gt;LEFT('RFM input'!$Q$60,4),0,IF(MATCH(M$6,'RFM input'!$H$60:$Q$60,0),INDEX('RFM input'!$K$7:$K$56,$A1904,1))))</f>
        <v>0</v>
      </c>
      <c r="N1905" s="1417">
        <f>IF(LEFT(N$6,4)&lt;=LEFT('RFM input'!$G$60,4),"enter input",IF(LEFT(N$6,4)&gt;LEFT('RFM input'!$Q$60,4),0,IF(MATCH(N$6,'RFM input'!$H$60:$Q$60,0),INDEX('RFM input'!$K$7:$K$56,$A1904,1))))</f>
        <v>0</v>
      </c>
      <c r="O1905" s="1417">
        <f>IF(LEFT(O$6,4)&lt;=LEFT('RFM input'!$G$60,4),"enter input",IF(LEFT(O$6,4)&gt;LEFT('RFM input'!$Q$60,4),0,IF(MATCH(O$6,'RFM input'!$H$60:$Q$60,0),INDEX('RFM input'!$K$7:$K$56,$A1904,1))))</f>
        <v>0</v>
      </c>
      <c r="P1905" s="1417">
        <f>IF(LEFT(P$6,4)&lt;=LEFT('RFM input'!$G$60,4),"enter input",IF(LEFT(P$6,4)&gt;LEFT('RFM input'!$Q$60,4),0,IF(MATCH(P$6,'RFM input'!$H$60:$Q$60,0),INDEX('RFM input'!$K$7:$K$56,$A1904,1))))</f>
        <v>0</v>
      </c>
      <c r="Q1905" s="1417">
        <f>IF(LEFT(Q$6,4)&lt;=LEFT('RFM input'!$G$60,4),"enter input",IF(LEFT(Q$6,4)&gt;LEFT('RFM input'!$Q$60,4),0,IF(MATCH(Q$6,'RFM input'!$H$60:$Q$60,0),INDEX('RFM input'!$K$7:$K$56,$A1904,1))))</f>
        <v>0</v>
      </c>
      <c r="R1905" s="1417">
        <f>IF(LEFT(R$6,4)&lt;=LEFT('RFM input'!$G$60,4),"enter input",IF(LEFT(R$6,4)&gt;LEFT('RFM input'!$Q$60,4),0,IF(MATCH(R$6,'RFM input'!$H$60:$Q$60,0),INDEX('RFM input'!$K$7:$K$56,$A1904,1))))</f>
        <v>0</v>
      </c>
      <c r="S1905" s="1417">
        <f>IF(LEFT(S$6,4)&lt;=LEFT('RFM input'!$G$60,4),"enter input",IF(LEFT(S$6,4)&gt;LEFT('RFM input'!$Q$60,4),0,IF(MATCH(S$6,'RFM input'!$H$60:$Q$60,0),INDEX('RFM input'!$K$7:$K$56,$A1904,1))))</f>
        <v>0</v>
      </c>
      <c r="T1905" s="1417">
        <f>IF(LEFT(T$6,4)&lt;=LEFT('RFM input'!$G$60,4),"enter input",IF(LEFT(T$6,4)&gt;LEFT('RFM input'!$Q$60,4),0,IF(MATCH(T$6,'RFM input'!$H$60:$Q$60,0),INDEX('RFM input'!$K$7:$K$56,$A1904,1))))</f>
        <v>0</v>
      </c>
      <c r="U1905" s="1417">
        <f>IF(LEFT(U$6,4)&lt;=LEFT('RFM input'!$G$60,4),"enter input",IF(LEFT(U$6,4)&gt;LEFT('RFM input'!$Q$60,4),0,IF(MATCH(U$6,'RFM input'!$H$60:$Q$60,0),INDEX('RFM input'!$K$7:$K$56,$A1904,1))))</f>
        <v>0</v>
      </c>
      <c r="V1905" s="1417">
        <f>IF(LEFT(V$6,4)&lt;=LEFT('RFM input'!$G$60,4),"enter input",IF(LEFT(V$6,4)&gt;LEFT('RFM input'!$Q$60,4),0,IF(MATCH(V$6,'RFM input'!$H$60:$Q$60,0),INDEX('RFM input'!$K$7:$K$56,$A1904,1))))</f>
        <v>0</v>
      </c>
      <c r="W1905" s="1417">
        <f>IF(LEFT(W$6,4)&lt;=LEFT('RFM input'!$G$60,4),"enter input",IF(LEFT(W$6,4)&gt;LEFT('RFM input'!$Q$60,4),0,IF(MATCH(W$6,'RFM input'!$H$60:$Q$60,0),INDEX('RFM input'!$K$7:$K$56,$A1904,1))))</f>
        <v>0</v>
      </c>
      <c r="X1905" s="152"/>
      <c r="Y1905" s="152"/>
      <c r="Z1905" s="152"/>
      <c r="AA1905" s="152"/>
      <c r="AB1905" s="152"/>
    </row>
    <row r="1906" spans="1:28">
      <c r="A1906" s="152"/>
      <c r="B1906" s="177" t="s">
        <v>191</v>
      </c>
      <c r="C1906" s="1419"/>
      <c r="D1906" s="1420">
        <f ca="1">IF(LEFT(D$6,4)&lt;=LEFT('RFM input'!$G$60,4),"enter input",IF(LEFT(D$6,4)&gt;LEFT('RFM input'!$Q$60,4),0,IF(D$6=(OFFSET('RFM input'!$G$60,0,'RFM input'!$V$7)),OFFSET('RFM input'!$G$411,$A1904,0),0)))</f>
        <v>0</v>
      </c>
      <c r="E1906" s="1417">
        <f ca="1">IF(LEFT(E$6,4)&lt;=LEFT('RFM input'!$G$60,4),"enter input",IF(LEFT(E$6,4)&gt;LEFT('RFM input'!$Q$60,4),0,IF(E$6=(OFFSET('RFM input'!$G$60,0,'RFM input'!$V$7)),OFFSET('RFM input'!$G$411,$A1904,0),0)))</f>
        <v>0</v>
      </c>
      <c r="F1906" s="1417">
        <f ca="1">IF(LEFT(F$6,4)&lt;=LEFT('RFM input'!$G$60,4),"enter input",IF(LEFT(F$6,4)&gt;LEFT('RFM input'!$Q$60,4),0,IF(F$6=(OFFSET('RFM input'!$G$60,0,'RFM input'!$V$7)),OFFSET('RFM input'!$G$411,$A1904,0),0)))</f>
        <v>0</v>
      </c>
      <c r="G1906" s="1417">
        <f ca="1">IF(LEFT(G$6,4)&lt;=LEFT('RFM input'!$G$60,4),"enter input",IF(LEFT(G$6,4)&gt;LEFT('RFM input'!$Q$60,4),0,IF(G$6=(OFFSET('RFM input'!$G$60,0,'RFM input'!$V$7)),OFFSET('RFM input'!$G$411,$A1904,0),0)))</f>
        <v>0</v>
      </c>
      <c r="H1906" s="1417">
        <f ca="1">IF(LEFT(H$6,4)&lt;=LEFT('RFM input'!$G$60,4),"enter input",IF(LEFT(H$6,4)&gt;LEFT('RFM input'!$Q$60,4),0,IF(H$6=(OFFSET('RFM input'!$G$60,0,'RFM input'!$V$7)),OFFSET('RFM input'!$G$411,$A1904,0),0)))</f>
        <v>0</v>
      </c>
      <c r="I1906" s="1417">
        <f ca="1">IF(LEFT(I$6,4)&lt;=LEFT('RFM input'!$G$60,4),"enter input",IF(LEFT(I$6,4)&gt;LEFT('RFM input'!$Q$60,4),0,IF(I$6=(OFFSET('RFM input'!$G$60,0,'RFM input'!$V$7)),OFFSET('RFM input'!$G$411,$A1904,0),0)))</f>
        <v>0</v>
      </c>
      <c r="J1906" s="1417">
        <f ca="1">IF(LEFT(J$6,4)&lt;=LEFT('RFM input'!$G$60,4),"enter input",IF(LEFT(J$6,4)&gt;LEFT('RFM input'!$Q$60,4),0,IF(J$6=(OFFSET('RFM input'!$G$60,0,'RFM input'!$V$7)),OFFSET('RFM input'!$G$411,$A1904,0),0)))</f>
        <v>0</v>
      </c>
      <c r="K1906" s="1417">
        <f ca="1">IF(LEFT(K$6,4)&lt;=LEFT('RFM input'!$G$60,4),"enter input",IF(LEFT(K$6,4)&gt;LEFT('RFM input'!$Q$60,4),0,IF(K$6=(OFFSET('RFM input'!$G$60,0,'RFM input'!$V$7)),OFFSET('RFM input'!$G$411,$A1904,0),0)))</f>
        <v>0</v>
      </c>
      <c r="L1906" s="1417">
        <f ca="1">IF(LEFT(L$6,4)&lt;=LEFT('RFM input'!$G$60,4),"enter input",IF(LEFT(L$6,4)&gt;LEFT('RFM input'!$Q$60,4),0,IF(L$6=(OFFSET('RFM input'!$G$60,0,'RFM input'!$V$7)),OFFSET('RFM input'!$G$411,$A1904,0),0)))</f>
        <v>0</v>
      </c>
      <c r="M1906" s="1417">
        <f ca="1">IF(LEFT(M$6,4)&lt;=LEFT('RFM input'!$G$60,4),"enter input",IF(LEFT(M$6,4)&gt;LEFT('RFM input'!$Q$60,4),0,IF(M$6=(OFFSET('RFM input'!$G$60,0,'RFM input'!$V$7)),OFFSET('RFM input'!$G$411,$A1904,0),0)))</f>
        <v>0</v>
      </c>
      <c r="N1906" s="1417">
        <f ca="1">IF(LEFT(N$6,4)&lt;=LEFT('RFM input'!$G$60,4),"enter input",IF(LEFT(N$6,4)&gt;LEFT('RFM input'!$Q$60,4),0,IF(N$6=(OFFSET('RFM input'!$G$60,0,'RFM input'!$V$7)),OFFSET('RFM input'!$G$411,$A1904,0),0)))</f>
        <v>0</v>
      </c>
      <c r="O1906" s="1417">
        <f ca="1">IF(LEFT(O$6,4)&lt;=LEFT('RFM input'!$G$60,4),"enter input",IF(LEFT(O$6,4)&gt;LEFT('RFM input'!$Q$60,4),0,IF(O$6=(OFFSET('RFM input'!$G$60,0,'RFM input'!$V$7)),OFFSET('RFM input'!$G$411,$A1904,0),0)))</f>
        <v>0</v>
      </c>
      <c r="P1906" s="1417">
        <f ca="1">IF(LEFT(P$6,4)&lt;=LEFT('RFM input'!$G$60,4),"enter input",IF(LEFT(P$6,4)&gt;LEFT('RFM input'!$Q$60,4),0,IF(P$6=(OFFSET('RFM input'!$G$60,0,'RFM input'!$V$7)),OFFSET('RFM input'!$G$411,$A1904,0),0)))</f>
        <v>0</v>
      </c>
      <c r="Q1906" s="1417">
        <f ca="1">IF(LEFT(Q$6,4)&lt;=LEFT('RFM input'!$G$60,4),"enter input",IF(LEFT(Q$6,4)&gt;LEFT('RFM input'!$Q$60,4),0,IF(Q$6=(OFFSET('RFM input'!$G$60,0,'RFM input'!$V$7)),OFFSET('RFM input'!$G$411,$A1904,0),0)))</f>
        <v>0</v>
      </c>
      <c r="R1906" s="1417">
        <f ca="1">IF(LEFT(R$6,4)&lt;=LEFT('RFM input'!$G$60,4),"enter input",IF(LEFT(R$6,4)&gt;LEFT('RFM input'!$Q$60,4),0,IF(R$6=(OFFSET('RFM input'!$G$60,0,'RFM input'!$V$7)),OFFSET('RFM input'!$G$411,$A1904,0),0)))</f>
        <v>0</v>
      </c>
      <c r="S1906" s="1417">
        <f ca="1">IF(LEFT(S$6,4)&lt;=LEFT('RFM input'!$G$60,4),"enter input",IF(LEFT(S$6,4)&gt;LEFT('RFM input'!$Q$60,4),0,IF(S$6=(OFFSET('RFM input'!$G$60,0,'RFM input'!$V$7)),OFFSET('RFM input'!$G$411,$A1904,0),0)))</f>
        <v>0</v>
      </c>
      <c r="T1906" s="1417">
        <f ca="1">IF(LEFT(T$6,4)&lt;=LEFT('RFM input'!$G$60,4),"enter input",IF(LEFT(T$6,4)&gt;LEFT('RFM input'!$Q$60,4),0,IF(T$6=(OFFSET('RFM input'!$G$60,0,'RFM input'!$V$7)),OFFSET('RFM input'!$G$411,$A1904,0),0)))</f>
        <v>0</v>
      </c>
      <c r="U1906" s="1417">
        <f ca="1">IF(LEFT(U$6,4)&lt;=LEFT('RFM input'!$G$60,4),"enter input",IF(LEFT(U$6,4)&gt;LEFT('RFM input'!$Q$60,4),0,IF(U$6=(OFFSET('RFM input'!$G$60,0,'RFM input'!$V$7)),OFFSET('RFM input'!$G$411,$A1904,0),0)))</f>
        <v>0</v>
      </c>
      <c r="V1906" s="1417">
        <f ca="1">IF(LEFT(V$6,4)&lt;=LEFT('RFM input'!$G$60,4),"enter input",IF(LEFT(V$6,4)&gt;LEFT('RFM input'!$Q$60,4),0,IF(V$6=(OFFSET('RFM input'!$G$60,0,'RFM input'!$V$7)),OFFSET('RFM input'!$G$411,$A1904,0),0)))</f>
        <v>0</v>
      </c>
      <c r="W1906" s="1417">
        <f ca="1">IF(LEFT(W$6,4)&lt;=LEFT('RFM input'!$G$60,4),"enter input",IF(LEFT(W$6,4)&gt;LEFT('RFM input'!$Q$60,4),0,IF(W$6=(OFFSET('RFM input'!$G$60,0,'RFM input'!$V$7)),OFFSET('RFM input'!$G$411,$A1904,0),0)))</f>
        <v>0</v>
      </c>
      <c r="X1906" s="152"/>
      <c r="Y1906" s="152"/>
      <c r="Z1906" s="152"/>
      <c r="AA1906" s="152"/>
      <c r="AB1906" s="152"/>
    </row>
    <row r="1907" spans="1:28">
      <c r="A1907" s="152"/>
      <c r="B1907" s="195" t="s">
        <v>197</v>
      </c>
      <c r="C1907" s="1419"/>
      <c r="D1907" s="1418">
        <f ca="1">IF(LEFT(D$6,4)&lt;=LEFT('RFM input'!$G$60,4),"enter input",IF(LEFT(D$6,4)&gt;LEFT('RFM input'!$Q$60,4),0,IF(D$6=(OFFSET('RFM input'!$G$60,0,'RFM input'!$V$7)),OFFSET('RFM input'!$I$411,$A1904,0),0)))</f>
        <v>0</v>
      </c>
      <c r="E1907" s="1422">
        <f ca="1">IF(LEFT(E$6,4)&lt;=LEFT('RFM input'!$G$60,4),"enter input",IF(LEFT(E$6,4)&gt;LEFT('RFM input'!$Q$60,4),0,IF(E$6=(OFFSET('RFM input'!$G$60,0,'RFM input'!$V$7)),OFFSET('RFM input'!$I$411,$A1904,0),0)))</f>
        <v>0</v>
      </c>
      <c r="F1907" s="1422">
        <f ca="1">IF(LEFT(F$6,4)&lt;=LEFT('RFM input'!$G$60,4),"enter input",IF(LEFT(F$6,4)&gt;LEFT('RFM input'!$Q$60,4),0,IF(F$6=(OFFSET('RFM input'!$G$60,0,'RFM input'!$V$7)),OFFSET('RFM input'!$I$411,$A1904,0),0)))</f>
        <v>0</v>
      </c>
      <c r="G1907" s="1422">
        <f ca="1">IF(LEFT(G$6,4)&lt;=LEFT('RFM input'!$G$60,4),"enter input",IF(LEFT(G$6,4)&gt;LEFT('RFM input'!$Q$60,4),0,IF(G$6=(OFFSET('RFM input'!$G$60,0,'RFM input'!$V$7)),OFFSET('RFM input'!$I$411,$A1904,0),0)))</f>
        <v>0</v>
      </c>
      <c r="H1907" s="1422">
        <f ca="1">IF(LEFT(H$6,4)&lt;=LEFT('RFM input'!$G$60,4),"enter input",IF(LEFT(H$6,4)&gt;LEFT('RFM input'!$Q$60,4),0,IF(H$6=(OFFSET('RFM input'!$G$60,0,'RFM input'!$V$7)),OFFSET('RFM input'!$I$411,$A1904,0),0)))</f>
        <v>0</v>
      </c>
      <c r="I1907" s="1422">
        <f ca="1">IF(LEFT(I$6,4)&lt;=LEFT('RFM input'!$G$60,4),"enter input",IF(LEFT(I$6,4)&gt;LEFT('RFM input'!$Q$60,4),0,IF(I$6=(OFFSET('RFM input'!$G$60,0,'RFM input'!$V$7)),OFFSET('RFM input'!$I$411,$A1904,0),0)))</f>
        <v>0</v>
      </c>
      <c r="J1907" s="1422">
        <f ca="1">IF(LEFT(J$6,4)&lt;=LEFT('RFM input'!$G$60,4),"enter input",IF(LEFT(J$6,4)&gt;LEFT('RFM input'!$Q$60,4),0,IF(J$6=(OFFSET('RFM input'!$G$60,0,'RFM input'!$V$7)),OFFSET('RFM input'!$I$411,$A1904,0),0)))</f>
        <v>0</v>
      </c>
      <c r="K1907" s="1422">
        <f ca="1">IF(LEFT(K$6,4)&lt;=LEFT('RFM input'!$G$60,4),"enter input",IF(LEFT(K$6,4)&gt;LEFT('RFM input'!$Q$60,4),0,IF(K$6=(OFFSET('RFM input'!$G$60,0,'RFM input'!$V$7)),OFFSET('RFM input'!$I$411,$A1904,0),0)))</f>
        <v>0</v>
      </c>
      <c r="L1907" s="1422">
        <f ca="1">IF(LEFT(L$6,4)&lt;=LEFT('RFM input'!$G$60,4),"enter input",IF(LEFT(L$6,4)&gt;LEFT('RFM input'!$Q$60,4),0,IF(L$6=(OFFSET('RFM input'!$G$60,0,'RFM input'!$V$7)),OFFSET('RFM input'!$I$411,$A1904,0),0)))</f>
        <v>0</v>
      </c>
      <c r="M1907" s="1422">
        <f ca="1">IF(LEFT(M$6,4)&lt;=LEFT('RFM input'!$G$60,4),"enter input",IF(LEFT(M$6,4)&gt;LEFT('RFM input'!$Q$60,4),0,IF(M$6=(OFFSET('RFM input'!$G$60,0,'RFM input'!$V$7)),OFFSET('RFM input'!$I$411,$A1904,0),0)))</f>
        <v>0</v>
      </c>
      <c r="N1907" s="1422">
        <f ca="1">IF(LEFT(N$6,4)&lt;=LEFT('RFM input'!$G$60,4),"enter input",IF(LEFT(N$6,4)&gt;LEFT('RFM input'!$Q$60,4),0,IF(N$6=(OFFSET('RFM input'!$G$60,0,'RFM input'!$V$7)),OFFSET('RFM input'!$I$411,$A1904,0),0)))</f>
        <v>0</v>
      </c>
      <c r="O1907" s="1422">
        <f ca="1">IF(LEFT(O$6,4)&lt;=LEFT('RFM input'!$G$60,4),"enter input",IF(LEFT(O$6,4)&gt;LEFT('RFM input'!$Q$60,4),0,IF(O$6=(OFFSET('RFM input'!$G$60,0,'RFM input'!$V$7)),OFFSET('RFM input'!$I$411,$A1904,0),0)))</f>
        <v>0</v>
      </c>
      <c r="P1907" s="1422">
        <f ca="1">IF(LEFT(P$6,4)&lt;=LEFT('RFM input'!$G$60,4),"enter input",IF(LEFT(P$6,4)&gt;LEFT('RFM input'!$Q$60,4),0,IF(P$6=(OFFSET('RFM input'!$G$60,0,'RFM input'!$V$7)),OFFSET('RFM input'!$I$411,$A1904,0),0)))</f>
        <v>0</v>
      </c>
      <c r="Q1907" s="1422">
        <f ca="1">IF(LEFT(Q$6,4)&lt;=LEFT('RFM input'!$G$60,4),"enter input",IF(LEFT(Q$6,4)&gt;LEFT('RFM input'!$Q$60,4),0,IF(Q$6=(OFFSET('RFM input'!$G$60,0,'RFM input'!$V$7)),OFFSET('RFM input'!$I$411,$A1904,0),0)))</f>
        <v>0</v>
      </c>
      <c r="R1907" s="1422">
        <f ca="1">IF(LEFT(R$6,4)&lt;=LEFT('RFM input'!$G$60,4),"enter input",IF(LEFT(R$6,4)&gt;LEFT('RFM input'!$Q$60,4),0,IF(R$6=(OFFSET('RFM input'!$G$60,0,'RFM input'!$V$7)),OFFSET('RFM input'!$I$411,$A1904,0),0)))</f>
        <v>0</v>
      </c>
      <c r="S1907" s="1422">
        <f ca="1">IF(LEFT(S$6,4)&lt;=LEFT('RFM input'!$G$60,4),"enter input",IF(LEFT(S$6,4)&gt;LEFT('RFM input'!$Q$60,4),0,IF(S$6=(OFFSET('RFM input'!$G$60,0,'RFM input'!$V$7)),OFFSET('RFM input'!$I$411,$A1904,0),0)))</f>
        <v>0</v>
      </c>
      <c r="T1907" s="1422">
        <f ca="1">IF(LEFT(T$6,4)&lt;=LEFT('RFM input'!$G$60,4),"enter input",IF(LEFT(T$6,4)&gt;LEFT('RFM input'!$Q$60,4),0,IF(T$6=(OFFSET('RFM input'!$G$60,0,'RFM input'!$V$7)),OFFSET('RFM input'!$I$411,$A1904,0),0)))</f>
        <v>0</v>
      </c>
      <c r="U1907" s="1422">
        <f ca="1">IF(LEFT(U$6,4)&lt;=LEFT('RFM input'!$G$60,4),"enter input",IF(LEFT(U$6,4)&gt;LEFT('RFM input'!$Q$60,4),0,IF(U$6=(OFFSET('RFM input'!$G$60,0,'RFM input'!$V$7)),OFFSET('RFM input'!$I$411,$A1904,0),0)))</f>
        <v>0</v>
      </c>
      <c r="V1907" s="1422">
        <f ca="1">IF(LEFT(V$6,4)&lt;=LEFT('RFM input'!$G$60,4),"enter input",IF(LEFT(V$6,4)&gt;LEFT('RFM input'!$Q$60,4),0,IF(V$6=(OFFSET('RFM input'!$G$60,0,'RFM input'!$V$7)),OFFSET('RFM input'!$I$411,$A1904,0),0)))</f>
        <v>0</v>
      </c>
      <c r="W1907" s="1422">
        <f ca="1">IF(LEFT(W$6,4)&lt;=LEFT('RFM input'!$G$60,4),"enter input",IF(LEFT(W$6,4)&gt;LEFT('RFM input'!$Q$60,4),0,IF(W$6=(OFFSET('RFM input'!$G$60,0,'RFM input'!$V$7)),OFFSET('RFM input'!$I$411,$A1904,0),0)))</f>
        <v>0</v>
      </c>
      <c r="X1907" s="152"/>
      <c r="Y1907" s="152"/>
      <c r="Z1907" s="152"/>
      <c r="AA1907" s="152"/>
      <c r="AB1907" s="152"/>
    </row>
    <row r="1908" spans="1:28" hidden="1" outlineLevel="1">
      <c r="A1908" s="235">
        <v>-1</v>
      </c>
      <c r="B1908" s="190" t="s">
        <v>189</v>
      </c>
      <c r="C1908" s="1423"/>
      <c r="D1908" s="1423">
        <f ca="1">IF(AND(D1906=0,C1908=0),0,
IF(AND(D1906&lt;&gt;0,C1908=0),(D1906/D$10),
IF(AND(D1907&lt;&gt;0,C1908&lt;&gt;0),(C1908-(C1908/C1932))+(D1906/D$10),
IF(C1932&lt;1,0,(C1908-(C1908/C1932))))))</f>
        <v>0</v>
      </c>
      <c r="E1908" s="1423">
        <f t="shared" ref="E1908" ca="1" si="2800">IF(AND(E1906=0,D1908=0),0,
IF(AND(E1906&lt;&gt;0,D1908=0),(E1906/E$10),
IF(AND(E1907&lt;&gt;0,D1908&lt;&gt;0),(D1908-(D1908/D1932))+(E1906/E$10),
IF(D1932&lt;1,0,(D1908-(D1908/D1932))))))</f>
        <v>0</v>
      </c>
      <c r="F1908" s="1423">
        <f t="shared" ref="F1908" ca="1" si="2801">IF(AND(F1906=0,E1908=0),0,
IF(AND(F1906&lt;&gt;0,E1908=0),(F1906/F$10),
IF(AND(F1907&lt;&gt;0,E1908&lt;&gt;0),(E1908-(E1908/E1932))+(F1906/F$10),
IF(E1932&lt;1,0,(E1908-(E1908/E1932))))))</f>
        <v>0</v>
      </c>
      <c r="G1908" s="1423">
        <f t="shared" ref="G1908" ca="1" si="2802">IF(AND(G1906=0,F1908=0),0,
IF(AND(G1906&lt;&gt;0,F1908=0),(G1906/G$10),
IF(AND(G1907&lt;&gt;0,F1908&lt;&gt;0),(F1908-(F1908/F1932))+(G1906/G$10),
IF(F1932&lt;1,0,(F1908-(F1908/F1932))))))</f>
        <v>0</v>
      </c>
      <c r="H1908" s="1423">
        <f t="shared" ref="H1908" ca="1" si="2803">IF(AND(H1906=0,G1908=0),0,
IF(AND(H1906&lt;&gt;0,G1908=0),(H1906/H$10),
IF(AND(H1907&lt;&gt;0,G1908&lt;&gt;0),(G1908-(G1908/G1932))+(H1906/H$10),
IF(G1932&lt;1,0,(G1908-(G1908/G1932))))))</f>
        <v>0</v>
      </c>
      <c r="I1908" s="1423">
        <f t="shared" ref="I1908" ca="1" si="2804">IF(AND(I1906=0,H1908=0),0,
IF(AND(I1906&lt;&gt;0,H1908=0),(I1906/I$10),
IF(AND(I1907&lt;&gt;0,H1908&lt;&gt;0),(H1908-(H1908/H1932))+(I1906/I$10),
IF(H1932&lt;1,0,(H1908-(H1908/H1932))))))</f>
        <v>0</v>
      </c>
      <c r="J1908" s="1423">
        <f t="shared" ref="J1908" ca="1" si="2805">IF(AND(J1906=0,I1908=0),0,
IF(AND(J1906&lt;&gt;0,I1908=0),(J1906/J$10),
IF(AND(J1907&lt;&gt;0,I1908&lt;&gt;0),(I1908-(I1908/I1932))+(J1906/J$10),
IF(I1932&lt;1,0,(I1908-(I1908/I1932))))))</f>
        <v>0</v>
      </c>
      <c r="K1908" s="1423">
        <f t="shared" ref="K1908" ca="1" si="2806">IF(AND(K1906=0,J1908=0),0,
IF(AND(K1906&lt;&gt;0,J1908=0),(K1906/K$10),
IF(AND(K1907&lt;&gt;0,J1908&lt;&gt;0),(J1908-(J1908/J1932))+(K1906/K$10),
IF(J1932&lt;1,0,(J1908-(J1908/J1932))))))</f>
        <v>0</v>
      </c>
      <c r="L1908" s="1423">
        <f t="shared" ref="L1908" ca="1" si="2807">IF(AND(L1906=0,K1908=0),0,
IF(AND(L1906&lt;&gt;0,K1908=0),(L1906/L$10),
IF(AND(L1907&lt;&gt;0,K1908&lt;&gt;0),(K1908-(K1908/K1932))+(L1906/L$10),
IF(K1932&lt;1,0,(K1908-(K1908/K1932))))))</f>
        <v>0</v>
      </c>
      <c r="M1908" s="1423">
        <f t="shared" ref="M1908" ca="1" si="2808">IF(AND(M1906=0,L1908=0),0,
IF(AND(M1906&lt;&gt;0,L1908=0),(M1906/M$10),
IF(AND(M1907&lt;&gt;0,L1908&lt;&gt;0),(L1908-(L1908/L1932))+(M1906/M$10),
IF(L1932&lt;1,0,(L1908-(L1908/L1932))))))</f>
        <v>0</v>
      </c>
      <c r="N1908" s="1423">
        <f t="shared" ref="N1908" ca="1" si="2809">IF(AND(N1906=0,M1908=0),0,
IF(AND(N1906&lt;&gt;0,M1908=0),(N1906/N$10),
IF(AND(N1907&lt;&gt;0,M1908&lt;&gt;0),(M1908-(M1908/M1932))+(N1906/N$10),
IF(M1932&lt;1,0,(M1908-(M1908/M1932))))))</f>
        <v>0</v>
      </c>
      <c r="O1908" s="1423">
        <f t="shared" ref="O1908" ca="1" si="2810">IF(AND(O1906=0,N1908=0),0,
IF(AND(O1906&lt;&gt;0,N1908=0),(O1906/O$10),
IF(AND(O1907&lt;&gt;0,N1908&lt;&gt;0),(N1908-(N1908/N1932))+(O1906/O$10),
IF(N1932&lt;1,0,(N1908-(N1908/N1932))))))</f>
        <v>0</v>
      </c>
      <c r="P1908" s="1423">
        <f t="shared" ref="P1908" ca="1" si="2811">IF(AND(P1906=0,O1908=0),0,
IF(AND(P1906&lt;&gt;0,O1908=0),(P1906/P$10),
IF(AND(P1907&lt;&gt;0,O1908&lt;&gt;0),(O1908-(O1908/O1932))+(P1906/P$10),
IF(O1932&lt;1,0,(O1908-(O1908/O1932))))))</f>
        <v>0</v>
      </c>
      <c r="Q1908" s="1423">
        <f t="shared" ref="Q1908" ca="1" si="2812">IF(AND(Q1906=0,P1908=0),0,
IF(AND(Q1906&lt;&gt;0,P1908=0),(Q1906/Q$10),
IF(AND(Q1907&lt;&gt;0,P1908&lt;&gt;0),(P1908-(P1908/P1932))+(Q1906/Q$10),
IF(P1932&lt;1,0,(P1908-(P1908/P1932))))))</f>
        <v>0</v>
      </c>
      <c r="R1908" s="1423">
        <f t="shared" ref="R1908" ca="1" si="2813">IF(AND(R1906=0,Q1908=0),0,
IF(AND(R1906&lt;&gt;0,Q1908=0),(R1906/R$10),
IF(AND(R1907&lt;&gt;0,Q1908&lt;&gt;0),(Q1908-(Q1908/Q1932))+(R1906/R$10),
IF(Q1932&lt;1,0,(Q1908-(Q1908/Q1932))))))</f>
        <v>0</v>
      </c>
      <c r="S1908" s="1423">
        <f t="shared" ref="S1908" ca="1" si="2814">IF(AND(S1906=0,R1908=0),0,
IF(AND(S1906&lt;&gt;0,R1908=0),(S1906/S$10),
IF(AND(S1907&lt;&gt;0,R1908&lt;&gt;0),(R1908-(R1908/R1932))+(S1906/S$10),
IF(R1932&lt;1,0,(R1908-(R1908/R1932))))))</f>
        <v>0</v>
      </c>
      <c r="T1908" s="1423">
        <f t="shared" ref="T1908" ca="1" si="2815">IF(AND(T1906=0,S1908=0),0,
IF(AND(T1906&lt;&gt;0,S1908=0),(T1906/T$10),
IF(AND(T1907&lt;&gt;0,S1908&lt;&gt;0),(S1908-(S1908/S1932))+(T1906/T$10),
IF(S1932&lt;1,0,(S1908-(S1908/S1932))))))</f>
        <v>0</v>
      </c>
      <c r="U1908" s="1423">
        <f t="shared" ref="U1908" ca="1" si="2816">IF(AND(U1906=0,T1908=0),0,
IF(AND(U1906&lt;&gt;0,T1908=0),(U1906/U$10),
IF(AND(U1907&lt;&gt;0,T1908&lt;&gt;0),(T1908-(T1908/T1932))+(U1906/U$10),
IF(T1932&lt;1,0,(T1908-(T1908/T1932))))))</f>
        <v>0</v>
      </c>
      <c r="V1908" s="1423">
        <f t="shared" ref="V1908" ca="1" si="2817">IF(AND(V1906=0,U1908=0),0,
IF(AND(V1906&lt;&gt;0,U1908=0),(V1906/V$10),
IF(AND(V1907&lt;&gt;0,U1908&lt;&gt;0),(U1908-(U1908/U1932))+(V1906/V$10),
IF(U1932&lt;1,0,(U1908-(U1908/U1932))))))</f>
        <v>0</v>
      </c>
      <c r="W1908" s="1423">
        <f t="shared" ref="W1908" ca="1" si="2818">IF(AND(W1906=0,V1908=0),0,
IF(AND(W1906&lt;&gt;0,V1908=0),(W1906/W$10),
IF(AND(W1907&lt;&gt;0,V1908&lt;&gt;0),(V1908-(V1908/V1932))+(W1906/W$10),
IF(V1932&lt;1,0,(V1908-(V1908/V1932))))))</f>
        <v>0</v>
      </c>
      <c r="X1908" s="152"/>
      <c r="Y1908" s="152"/>
      <c r="Z1908" s="152"/>
      <c r="AA1908" s="152"/>
      <c r="AB1908" s="152"/>
    </row>
    <row r="1909" spans="1:28" hidden="1" outlineLevel="1">
      <c r="A1909" s="199">
        <f>A1908+1</f>
        <v>0</v>
      </c>
      <c r="B1909" s="190" t="s">
        <v>125</v>
      </c>
      <c r="C1909" s="1423">
        <f ca="1">C1904/C$10</f>
        <v>0</v>
      </c>
      <c r="D1909" s="1423">
        <f ca="1">IF(C1933="n/a",C1909,IFERROR(IF((OFFSET($C1909,0,$A1909))&lt;0,
MIN(0,C1909-(OFFSET($C1909,0,$A1909)/(OFFSET($C1904,-$A1908,$A1909)))),
MAX(0,C1909-(OFFSET($C1909,0,$A1909)/(OFFSET($C1904,-$A1908,$A1909))))),0))</f>
        <v>0</v>
      </c>
      <c r="E1909" s="1423">
        <f t="shared" ref="E1909" ca="1" si="2819">IF(D1933="n/a",D1909,IFERROR(IF((OFFSET($C1909,0,$A1909))&lt;0,
MIN(0,D1909-(OFFSET($C1909,0,$A1909)/(OFFSET($C1904,-$A1908,$A1909)))),
MAX(0,D1909-(OFFSET($C1909,0,$A1909)/(OFFSET($C1904,-$A1908,$A1909))))),0))</f>
        <v>0</v>
      </c>
      <c r="F1909" s="1423">
        <f t="shared" ref="F1909:F1910" ca="1" si="2820">IF(E1933="n/a",E1909,IFERROR(IF((OFFSET($C1909,0,$A1909))&lt;0,
MIN(0,E1909-(OFFSET($C1909,0,$A1909)/(OFFSET($C1904,-$A1908,$A1909)))),
MAX(0,E1909-(OFFSET($C1909,0,$A1909)/(OFFSET($C1904,-$A1908,$A1909))))),0))</f>
        <v>0</v>
      </c>
      <c r="G1909" s="1423">
        <f t="shared" ref="G1909:G1911" ca="1" si="2821">IF(F1933="n/a",F1909,IFERROR(IF((OFFSET($C1909,0,$A1909))&lt;0,
MIN(0,F1909-(OFFSET($C1909,0,$A1909)/(OFFSET($C1904,-$A1908,$A1909)))),
MAX(0,F1909-(OFFSET($C1909,0,$A1909)/(OFFSET($C1904,-$A1908,$A1909))))),0))</f>
        <v>0</v>
      </c>
      <c r="H1909" s="1423">
        <f t="shared" ref="H1909:H1912" ca="1" si="2822">IF(G1933="n/a",G1909,IFERROR(IF((OFFSET($C1909,0,$A1909))&lt;0,
MIN(0,G1909-(OFFSET($C1909,0,$A1909)/(OFFSET($C1904,-$A1908,$A1909)))),
MAX(0,G1909-(OFFSET($C1909,0,$A1909)/(OFFSET($C1904,-$A1908,$A1909))))),0))</f>
        <v>0</v>
      </c>
      <c r="I1909" s="1423">
        <f t="shared" ref="I1909:I1913" ca="1" si="2823">IF(H1933="n/a",H1909,IFERROR(IF((OFFSET($C1909,0,$A1909))&lt;0,
MIN(0,H1909-(OFFSET($C1909,0,$A1909)/(OFFSET($C1904,-$A1908,$A1909)))),
MAX(0,H1909-(OFFSET($C1909,0,$A1909)/(OFFSET($C1904,-$A1908,$A1909))))),0))</f>
        <v>0</v>
      </c>
      <c r="J1909" s="1423">
        <f t="shared" ref="J1909:J1914" ca="1" si="2824">IF(I1933="n/a",I1909,IFERROR(IF((OFFSET($C1909,0,$A1909))&lt;0,
MIN(0,I1909-(OFFSET($C1909,0,$A1909)/(OFFSET($C1904,-$A1908,$A1909)))),
MAX(0,I1909-(OFFSET($C1909,0,$A1909)/(OFFSET($C1904,-$A1908,$A1909))))),0))</f>
        <v>0</v>
      </c>
      <c r="K1909" s="1423">
        <f t="shared" ref="K1909:K1915" ca="1" si="2825">IF(J1933="n/a",J1909,IFERROR(IF((OFFSET($C1909,0,$A1909))&lt;0,
MIN(0,J1909-(OFFSET($C1909,0,$A1909)/(OFFSET($C1904,-$A1908,$A1909)))),
MAX(0,J1909-(OFFSET($C1909,0,$A1909)/(OFFSET($C1904,-$A1908,$A1909))))),0))</f>
        <v>0</v>
      </c>
      <c r="L1909" s="1423">
        <f t="shared" ref="L1909:L1916" ca="1" si="2826">IF(K1933="n/a",K1909,IFERROR(IF((OFFSET($C1909,0,$A1909))&lt;0,
MIN(0,K1909-(OFFSET($C1909,0,$A1909)/(OFFSET($C1904,-$A1908,$A1909)))),
MAX(0,K1909-(OFFSET($C1909,0,$A1909)/(OFFSET($C1904,-$A1908,$A1909))))),0))</f>
        <v>0</v>
      </c>
      <c r="M1909" s="1423">
        <f t="shared" ref="M1909:M1917" ca="1" si="2827">IF(L1933="n/a",L1909,IFERROR(IF((OFFSET($C1909,0,$A1909))&lt;0,
MIN(0,L1909-(OFFSET($C1909,0,$A1909)/(OFFSET($C1904,-$A1908,$A1909)))),
MAX(0,L1909-(OFFSET($C1909,0,$A1909)/(OFFSET($C1904,-$A1908,$A1909))))),0))</f>
        <v>0</v>
      </c>
      <c r="N1909" s="1423">
        <f t="shared" ref="N1909:N1918" ca="1" si="2828">IF(M1933="n/a",M1909,IFERROR(IF((OFFSET($C1909,0,$A1909))&lt;0,
MIN(0,M1909-(OFFSET($C1909,0,$A1909)/(OFFSET($C1904,-$A1908,$A1909)))),
MAX(0,M1909-(OFFSET($C1909,0,$A1909)/(OFFSET($C1904,-$A1908,$A1909))))),0))</f>
        <v>0</v>
      </c>
      <c r="O1909" s="1423">
        <f t="shared" ref="O1909:O1919" ca="1" si="2829">IF(N1933="n/a",N1909,IFERROR(IF((OFFSET($C1909,0,$A1909))&lt;0,
MIN(0,N1909-(OFFSET($C1909,0,$A1909)/(OFFSET($C1904,-$A1908,$A1909)))),
MAX(0,N1909-(OFFSET($C1909,0,$A1909)/(OFFSET($C1904,-$A1908,$A1909))))),0))</f>
        <v>0</v>
      </c>
      <c r="P1909" s="1423">
        <f t="shared" ref="P1909:P1920" ca="1" si="2830">IF(O1933="n/a",O1909,IFERROR(IF((OFFSET($C1909,0,$A1909))&lt;0,
MIN(0,O1909-(OFFSET($C1909,0,$A1909)/(OFFSET($C1904,-$A1908,$A1909)))),
MAX(0,O1909-(OFFSET($C1909,0,$A1909)/(OFFSET($C1904,-$A1908,$A1909))))),0))</f>
        <v>0</v>
      </c>
      <c r="Q1909" s="1423">
        <f t="shared" ref="Q1909:Q1921" ca="1" si="2831">IF(P1933="n/a",P1909,IFERROR(IF((OFFSET($C1909,0,$A1909))&lt;0,
MIN(0,P1909-(OFFSET($C1909,0,$A1909)/(OFFSET($C1904,-$A1908,$A1909)))),
MAX(0,P1909-(OFFSET($C1909,0,$A1909)/(OFFSET($C1904,-$A1908,$A1909))))),0))</f>
        <v>0</v>
      </c>
      <c r="R1909" s="1423">
        <f t="shared" ref="R1909:R1922" ca="1" si="2832">IF(Q1933="n/a",Q1909,IFERROR(IF((OFFSET($C1909,0,$A1909))&lt;0,
MIN(0,Q1909-(OFFSET($C1909,0,$A1909)/(OFFSET($C1904,-$A1908,$A1909)))),
MAX(0,Q1909-(OFFSET($C1909,0,$A1909)/(OFFSET($C1904,-$A1908,$A1909))))),0))</f>
        <v>0</v>
      </c>
      <c r="S1909" s="1423">
        <f t="shared" ref="S1909:S1923" ca="1" si="2833">IF(R1933="n/a",R1909,IFERROR(IF((OFFSET($C1909,0,$A1909))&lt;0,
MIN(0,R1909-(OFFSET($C1909,0,$A1909)/(OFFSET($C1904,-$A1908,$A1909)))),
MAX(0,R1909-(OFFSET($C1909,0,$A1909)/(OFFSET($C1904,-$A1908,$A1909))))),0))</f>
        <v>0</v>
      </c>
      <c r="T1909" s="1423">
        <f t="shared" ref="T1909:T1924" ca="1" si="2834">IF(S1933="n/a",S1909,IFERROR(IF((OFFSET($C1909,0,$A1909))&lt;0,
MIN(0,S1909-(OFFSET($C1909,0,$A1909)/(OFFSET($C1904,-$A1908,$A1909)))),
MAX(0,S1909-(OFFSET($C1909,0,$A1909)/(OFFSET($C1904,-$A1908,$A1909))))),0))</f>
        <v>0</v>
      </c>
      <c r="U1909" s="1423">
        <f t="shared" ref="U1909:U1925" ca="1" si="2835">IF(T1933="n/a",T1909,IFERROR(IF((OFFSET($C1909,0,$A1909))&lt;0,
MIN(0,T1909-(OFFSET($C1909,0,$A1909)/(OFFSET($C1904,-$A1908,$A1909)))),
MAX(0,T1909-(OFFSET($C1909,0,$A1909)/(OFFSET($C1904,-$A1908,$A1909))))),0))</f>
        <v>0</v>
      </c>
      <c r="V1909" s="1423">
        <f t="shared" ref="V1909:V1926" ca="1" si="2836">IF(U1933="n/a",U1909,IFERROR(IF((OFFSET($C1909,0,$A1909))&lt;0,
MIN(0,U1909-(OFFSET($C1909,0,$A1909)/(OFFSET($C1904,-$A1908,$A1909)))),
MAX(0,U1909-(OFFSET($C1909,0,$A1909)/(OFFSET($C1904,-$A1908,$A1909))))),0))</f>
        <v>0</v>
      </c>
      <c r="W1909" s="1423">
        <f t="shared" ref="W1909:W1927" ca="1" si="2837">IF(V1933="n/a",V1909,IFERROR(IF((OFFSET($C1909,0,$A1909))&lt;0,
MIN(0,V1909-(OFFSET($C1909,0,$A1909)/(OFFSET($C1904,-$A1908,$A1909)))),
MAX(0,V1909-(OFFSET($C1909,0,$A1909)/(OFFSET($C1904,-$A1908,$A1909))))),0))</f>
        <v>0</v>
      </c>
      <c r="X1909" s="152"/>
      <c r="Y1909" s="152"/>
      <c r="Z1909" s="152"/>
      <c r="AA1909" s="152"/>
      <c r="AB1909" s="152"/>
    </row>
    <row r="1910" spans="1:28" hidden="1" outlineLevel="1">
      <c r="A1910" s="199">
        <f t="shared" ref="A1910:A1929" si="2838">A1909+1</f>
        <v>1</v>
      </c>
      <c r="B1910" s="190" t="str">
        <f t="shared" ref="B1910:B1928" ca="1" si="2839">"Depreciated Net Capex "&amp;OFFSET($C$6,0,A1910)</f>
        <v>Depreciated Net Capex 2016-17</v>
      </c>
      <c r="C1910" s="1424"/>
      <c r="D1910" s="1425">
        <f>(D1904*((1+D$11)^0.5)/D$10)</f>
        <v>0</v>
      </c>
      <c r="E1910" s="1423">
        <f ca="1">IF(D1934="n/a",D1910,IFERROR(IF((OFFSET($C1910,0,$A1910))&lt;0,
MIN(0,D1910-(OFFSET($C1910,0,$A1910)/(OFFSET($C1905,-$A1909,$A1910)))),
MAX(0,D1910-(OFFSET($C1910,0,$A1910)/(OFFSET($C1905,-$A1909,$A1910))))),0))</f>
        <v>0</v>
      </c>
      <c r="F1910" s="1423">
        <f t="shared" ca="1" si="2820"/>
        <v>0</v>
      </c>
      <c r="G1910" s="1423">
        <f t="shared" ca="1" si="2821"/>
        <v>0</v>
      </c>
      <c r="H1910" s="1423">
        <f t="shared" ca="1" si="2822"/>
        <v>0</v>
      </c>
      <c r="I1910" s="1423">
        <f t="shared" ca="1" si="2823"/>
        <v>0</v>
      </c>
      <c r="J1910" s="1423">
        <f t="shared" ca="1" si="2824"/>
        <v>0</v>
      </c>
      <c r="K1910" s="1423">
        <f t="shared" ca="1" si="2825"/>
        <v>0</v>
      </c>
      <c r="L1910" s="1423">
        <f t="shared" ca="1" si="2826"/>
        <v>0</v>
      </c>
      <c r="M1910" s="1423">
        <f t="shared" ca="1" si="2827"/>
        <v>0</v>
      </c>
      <c r="N1910" s="1423">
        <f t="shared" ca="1" si="2828"/>
        <v>0</v>
      </c>
      <c r="O1910" s="1423">
        <f t="shared" ca="1" si="2829"/>
        <v>0</v>
      </c>
      <c r="P1910" s="1423">
        <f t="shared" ca="1" si="2830"/>
        <v>0</v>
      </c>
      <c r="Q1910" s="1423">
        <f t="shared" ca="1" si="2831"/>
        <v>0</v>
      </c>
      <c r="R1910" s="1423">
        <f t="shared" ca="1" si="2832"/>
        <v>0</v>
      </c>
      <c r="S1910" s="1423">
        <f t="shared" ca="1" si="2833"/>
        <v>0</v>
      </c>
      <c r="T1910" s="1423">
        <f t="shared" ca="1" si="2834"/>
        <v>0</v>
      </c>
      <c r="U1910" s="1423">
        <f t="shared" ca="1" si="2835"/>
        <v>0</v>
      </c>
      <c r="V1910" s="1423">
        <f t="shared" ca="1" si="2836"/>
        <v>0</v>
      </c>
      <c r="W1910" s="1423">
        <f t="shared" ca="1" si="2837"/>
        <v>0</v>
      </c>
      <c r="X1910" s="152"/>
      <c r="Y1910" s="152"/>
      <c r="Z1910" s="152"/>
      <c r="AA1910" s="152"/>
      <c r="AB1910" s="152"/>
    </row>
    <row r="1911" spans="1:28" hidden="1" outlineLevel="1">
      <c r="A1911" s="199">
        <f t="shared" si="2838"/>
        <v>2</v>
      </c>
      <c r="B1911" s="190" t="str">
        <f t="shared" ca="1" si="2839"/>
        <v>Depreciated Net Capex 2017-18</v>
      </c>
      <c r="C1911" s="1426"/>
      <c r="D1911" s="1427"/>
      <c r="E1911" s="1425">
        <f>(E1904*((1+E$11)^0.5)/E$10)</f>
        <v>0</v>
      </c>
      <c r="F1911" s="1423">
        <f ca="1">IF(E1935="n/a",E1911,IFERROR(IF((OFFSET($C1911,0,$A1911))&lt;0,
MIN(0,E1911-(OFFSET($C1911,0,$A1911)/(OFFSET($C1906,-$A1910,$A1911)))),
MAX(0,E1911-(OFFSET($C1911,0,$A1911)/(OFFSET($C1906,-$A1910,$A1911))))),0))</f>
        <v>0</v>
      </c>
      <c r="G1911" s="1423">
        <f t="shared" ca="1" si="2821"/>
        <v>0</v>
      </c>
      <c r="H1911" s="1423">
        <f t="shared" ca="1" si="2822"/>
        <v>0</v>
      </c>
      <c r="I1911" s="1423">
        <f t="shared" ca="1" si="2823"/>
        <v>0</v>
      </c>
      <c r="J1911" s="1423">
        <f t="shared" ca="1" si="2824"/>
        <v>0</v>
      </c>
      <c r="K1911" s="1423">
        <f t="shared" ca="1" si="2825"/>
        <v>0</v>
      </c>
      <c r="L1911" s="1423">
        <f t="shared" ca="1" si="2826"/>
        <v>0</v>
      </c>
      <c r="M1911" s="1423">
        <f t="shared" ca="1" si="2827"/>
        <v>0</v>
      </c>
      <c r="N1911" s="1423">
        <f t="shared" ca="1" si="2828"/>
        <v>0</v>
      </c>
      <c r="O1911" s="1423">
        <f t="shared" ca="1" si="2829"/>
        <v>0</v>
      </c>
      <c r="P1911" s="1423">
        <f t="shared" ca="1" si="2830"/>
        <v>0</v>
      </c>
      <c r="Q1911" s="1423">
        <f t="shared" ca="1" si="2831"/>
        <v>0</v>
      </c>
      <c r="R1911" s="1423">
        <f t="shared" ca="1" si="2832"/>
        <v>0</v>
      </c>
      <c r="S1911" s="1423">
        <f t="shared" ca="1" si="2833"/>
        <v>0</v>
      </c>
      <c r="T1911" s="1423">
        <f t="shared" ca="1" si="2834"/>
        <v>0</v>
      </c>
      <c r="U1911" s="1423">
        <f t="shared" ca="1" si="2835"/>
        <v>0</v>
      </c>
      <c r="V1911" s="1423">
        <f t="shared" ca="1" si="2836"/>
        <v>0</v>
      </c>
      <c r="W1911" s="1423">
        <f t="shared" ca="1" si="2837"/>
        <v>0</v>
      </c>
      <c r="X1911" s="202"/>
      <c r="Y1911" s="152"/>
      <c r="Z1911" s="152"/>
      <c r="AA1911" s="152"/>
      <c r="AB1911" s="152"/>
    </row>
    <row r="1912" spans="1:28" hidden="1" outlineLevel="1">
      <c r="A1912" s="199">
        <f t="shared" si="2838"/>
        <v>3</v>
      </c>
      <c r="B1912" s="190" t="str">
        <f t="shared" ca="1" si="2839"/>
        <v>Depreciated Net Capex 2018-19</v>
      </c>
      <c r="C1912" s="1426"/>
      <c r="D1912" s="1426"/>
      <c r="E1912" s="1427"/>
      <c r="F1912" s="1428">
        <f>($F1904*((1+F$11)^0.5)/F$10)</f>
        <v>0</v>
      </c>
      <c r="G1912" s="1423">
        <f ca="1">IF(F1936="n/a",F1912,IFERROR(IF((OFFSET($C1912,0,$A1912))&lt;0,
MIN(0,F1912-(OFFSET($C1912,0,$A1912)/(OFFSET($C1907,-$A1911,$A1912)))),
MAX(0,F1912-(OFFSET($C1912,0,$A1912)/(OFFSET($C1907,-$A1911,$A1912))))),0))</f>
        <v>0</v>
      </c>
      <c r="H1912" s="1423">
        <f t="shared" ca="1" si="2822"/>
        <v>0</v>
      </c>
      <c r="I1912" s="1423">
        <f t="shared" ca="1" si="2823"/>
        <v>0</v>
      </c>
      <c r="J1912" s="1423">
        <f t="shared" ca="1" si="2824"/>
        <v>0</v>
      </c>
      <c r="K1912" s="1423">
        <f t="shared" ca="1" si="2825"/>
        <v>0</v>
      </c>
      <c r="L1912" s="1423">
        <f t="shared" ca="1" si="2826"/>
        <v>0</v>
      </c>
      <c r="M1912" s="1423">
        <f t="shared" ca="1" si="2827"/>
        <v>0</v>
      </c>
      <c r="N1912" s="1423">
        <f t="shared" ca="1" si="2828"/>
        <v>0</v>
      </c>
      <c r="O1912" s="1423">
        <f t="shared" ca="1" si="2829"/>
        <v>0</v>
      </c>
      <c r="P1912" s="1423">
        <f t="shared" ca="1" si="2830"/>
        <v>0</v>
      </c>
      <c r="Q1912" s="1423">
        <f t="shared" ca="1" si="2831"/>
        <v>0</v>
      </c>
      <c r="R1912" s="1423">
        <f t="shared" ca="1" si="2832"/>
        <v>0</v>
      </c>
      <c r="S1912" s="1423">
        <f t="shared" ca="1" si="2833"/>
        <v>0</v>
      </c>
      <c r="T1912" s="1423">
        <f t="shared" ca="1" si="2834"/>
        <v>0</v>
      </c>
      <c r="U1912" s="1423">
        <f t="shared" ca="1" si="2835"/>
        <v>0</v>
      </c>
      <c r="V1912" s="1423">
        <f t="shared" ca="1" si="2836"/>
        <v>0</v>
      </c>
      <c r="W1912" s="1423">
        <f t="shared" ca="1" si="2837"/>
        <v>0</v>
      </c>
      <c r="X1912" s="202"/>
      <c r="Y1912" s="202"/>
      <c r="Z1912" s="152"/>
      <c r="AA1912" s="152"/>
      <c r="AB1912" s="152"/>
    </row>
    <row r="1913" spans="1:28" hidden="1" outlineLevel="1">
      <c r="A1913" s="199">
        <f t="shared" si="2838"/>
        <v>4</v>
      </c>
      <c r="B1913" s="190" t="str">
        <f t="shared" ca="1" si="2839"/>
        <v>Depreciated Net Capex 2019-20</v>
      </c>
      <c r="C1913" s="1426"/>
      <c r="D1913" s="1426"/>
      <c r="E1913" s="1426"/>
      <c r="F1913" s="1427"/>
      <c r="G1913" s="1428">
        <f>($G1904*((1+G$11)^0.5)/G$10)</f>
        <v>0</v>
      </c>
      <c r="H1913" s="1423">
        <f ca="1">IF(G1937="n/a",G1913,IFERROR(IF((OFFSET($C1913,0,$A1913))&lt;0,
MIN(0,G1913-(OFFSET($C1913,0,$A1913)/(OFFSET($C1908,-$A1912,$A1913)))),
MAX(0,G1913-(OFFSET($C1913,0,$A1913)/(OFFSET($C1908,-$A1912,$A1913))))),0))</f>
        <v>0</v>
      </c>
      <c r="I1913" s="1423">
        <f t="shared" ca="1" si="2823"/>
        <v>0</v>
      </c>
      <c r="J1913" s="1423">
        <f t="shared" ca="1" si="2824"/>
        <v>0</v>
      </c>
      <c r="K1913" s="1423">
        <f t="shared" ca="1" si="2825"/>
        <v>0</v>
      </c>
      <c r="L1913" s="1423">
        <f t="shared" ca="1" si="2826"/>
        <v>0</v>
      </c>
      <c r="M1913" s="1423">
        <f t="shared" ca="1" si="2827"/>
        <v>0</v>
      </c>
      <c r="N1913" s="1423">
        <f t="shared" ca="1" si="2828"/>
        <v>0</v>
      </c>
      <c r="O1913" s="1423">
        <f t="shared" ca="1" si="2829"/>
        <v>0</v>
      </c>
      <c r="P1913" s="1423">
        <f t="shared" ca="1" si="2830"/>
        <v>0</v>
      </c>
      <c r="Q1913" s="1423">
        <f t="shared" ca="1" si="2831"/>
        <v>0</v>
      </c>
      <c r="R1913" s="1423">
        <f t="shared" ca="1" si="2832"/>
        <v>0</v>
      </c>
      <c r="S1913" s="1423">
        <f t="shared" ca="1" si="2833"/>
        <v>0</v>
      </c>
      <c r="T1913" s="1423">
        <f t="shared" ca="1" si="2834"/>
        <v>0</v>
      </c>
      <c r="U1913" s="1423">
        <f t="shared" ca="1" si="2835"/>
        <v>0</v>
      </c>
      <c r="V1913" s="1423">
        <f t="shared" ca="1" si="2836"/>
        <v>0</v>
      </c>
      <c r="W1913" s="1423">
        <f t="shared" ca="1" si="2837"/>
        <v>0</v>
      </c>
      <c r="X1913" s="202"/>
      <c r="Y1913" s="202"/>
      <c r="Z1913" s="202"/>
      <c r="AA1913" s="152"/>
      <c r="AB1913" s="152"/>
    </row>
    <row r="1914" spans="1:28" hidden="1" outlineLevel="1">
      <c r="A1914" s="199">
        <f t="shared" si="2838"/>
        <v>5</v>
      </c>
      <c r="B1914" s="190" t="str">
        <f t="shared" ca="1" si="2839"/>
        <v>Depreciated Net Capex 2020-21</v>
      </c>
      <c r="C1914" s="1426"/>
      <c r="D1914" s="1426"/>
      <c r="E1914" s="1426"/>
      <c r="F1914" s="1426"/>
      <c r="G1914" s="1427"/>
      <c r="H1914" s="1428">
        <f>(H1904*((1+H$11)^0.5)/H$10)</f>
        <v>0</v>
      </c>
      <c r="I1914" s="1423">
        <f ca="1">IF(H1938="n/a",H1914,IFERROR(IF((OFFSET($C1914,0,$A1914))&lt;0,
MIN(0,H1914-(OFFSET($C1914,0,$A1914)/(OFFSET($C1909,-$A1913,$A1914)))),
MAX(0,H1914-(OFFSET($C1914,0,$A1914)/(OFFSET($C1909,-$A1913,$A1914))))),0))</f>
        <v>0</v>
      </c>
      <c r="J1914" s="1423">
        <f t="shared" ca="1" si="2824"/>
        <v>0</v>
      </c>
      <c r="K1914" s="1423">
        <f t="shared" ca="1" si="2825"/>
        <v>0</v>
      </c>
      <c r="L1914" s="1423">
        <f t="shared" ca="1" si="2826"/>
        <v>0</v>
      </c>
      <c r="M1914" s="1423">
        <f t="shared" ca="1" si="2827"/>
        <v>0</v>
      </c>
      <c r="N1914" s="1423">
        <f t="shared" ca="1" si="2828"/>
        <v>0</v>
      </c>
      <c r="O1914" s="1423">
        <f t="shared" ca="1" si="2829"/>
        <v>0</v>
      </c>
      <c r="P1914" s="1423">
        <f t="shared" ca="1" si="2830"/>
        <v>0</v>
      </c>
      <c r="Q1914" s="1423">
        <f t="shared" ca="1" si="2831"/>
        <v>0</v>
      </c>
      <c r="R1914" s="1423">
        <f t="shared" ca="1" si="2832"/>
        <v>0</v>
      </c>
      <c r="S1914" s="1423">
        <f t="shared" ca="1" si="2833"/>
        <v>0</v>
      </c>
      <c r="T1914" s="1423">
        <f t="shared" ca="1" si="2834"/>
        <v>0</v>
      </c>
      <c r="U1914" s="1423">
        <f t="shared" ca="1" si="2835"/>
        <v>0</v>
      </c>
      <c r="V1914" s="1423">
        <f t="shared" ca="1" si="2836"/>
        <v>0</v>
      </c>
      <c r="W1914" s="1423">
        <f t="shared" ca="1" si="2837"/>
        <v>0</v>
      </c>
      <c r="X1914" s="202"/>
      <c r="Y1914" s="202"/>
      <c r="Z1914" s="202"/>
      <c r="AA1914" s="152"/>
      <c r="AB1914" s="152"/>
    </row>
    <row r="1915" spans="1:28" hidden="1" outlineLevel="1">
      <c r="A1915" s="199">
        <f t="shared" si="2838"/>
        <v>6</v>
      </c>
      <c r="B1915" s="190" t="str">
        <f t="shared" ca="1" si="2839"/>
        <v>Depreciated Net Capex 2021-22</v>
      </c>
      <c r="C1915" s="1426"/>
      <c r="D1915" s="1426"/>
      <c r="E1915" s="1426"/>
      <c r="F1915" s="1426"/>
      <c r="G1915" s="1426"/>
      <c r="H1915" s="1427"/>
      <c r="I1915" s="1428">
        <f>(I1904*((1+I$11)^0.5)/I$10)</f>
        <v>0</v>
      </c>
      <c r="J1915" s="1423">
        <f ca="1">IF(I1939="n/a",I1915,IFERROR(IF((OFFSET($C1915,0,$A1915))&lt;0,
MIN(0,I1915-(OFFSET($C1915,0,$A1915)/(OFFSET($C1910,-$A1914,$A1915)))),
MAX(0,I1915-(OFFSET($C1915,0,$A1915)/(OFFSET($C1910,-$A1914,$A1915))))),0))</f>
        <v>0</v>
      </c>
      <c r="K1915" s="1423">
        <f t="shared" ca="1" si="2825"/>
        <v>0</v>
      </c>
      <c r="L1915" s="1423">
        <f t="shared" ca="1" si="2826"/>
        <v>0</v>
      </c>
      <c r="M1915" s="1423">
        <f t="shared" ca="1" si="2827"/>
        <v>0</v>
      </c>
      <c r="N1915" s="1423">
        <f t="shared" ca="1" si="2828"/>
        <v>0</v>
      </c>
      <c r="O1915" s="1423">
        <f t="shared" ca="1" si="2829"/>
        <v>0</v>
      </c>
      <c r="P1915" s="1423">
        <f t="shared" ca="1" si="2830"/>
        <v>0</v>
      </c>
      <c r="Q1915" s="1423">
        <f t="shared" ca="1" si="2831"/>
        <v>0</v>
      </c>
      <c r="R1915" s="1423">
        <f t="shared" ca="1" si="2832"/>
        <v>0</v>
      </c>
      <c r="S1915" s="1423">
        <f t="shared" ca="1" si="2833"/>
        <v>0</v>
      </c>
      <c r="T1915" s="1423">
        <f t="shared" ca="1" si="2834"/>
        <v>0</v>
      </c>
      <c r="U1915" s="1423">
        <f t="shared" ca="1" si="2835"/>
        <v>0</v>
      </c>
      <c r="V1915" s="1423">
        <f t="shared" ca="1" si="2836"/>
        <v>0</v>
      </c>
      <c r="W1915" s="1423">
        <f t="shared" ca="1" si="2837"/>
        <v>0</v>
      </c>
      <c r="X1915" s="202"/>
      <c r="Y1915" s="202"/>
      <c r="Z1915" s="202"/>
      <c r="AA1915" s="152"/>
      <c r="AB1915" s="152"/>
    </row>
    <row r="1916" spans="1:28" hidden="1" outlineLevel="1">
      <c r="A1916" s="199">
        <f t="shared" si="2838"/>
        <v>7</v>
      </c>
      <c r="B1916" s="190" t="str">
        <f t="shared" ca="1" si="2839"/>
        <v>Depreciated Net Capex 2022-23</v>
      </c>
      <c r="C1916" s="1426"/>
      <c r="D1916" s="1426"/>
      <c r="E1916" s="1426"/>
      <c r="F1916" s="1426"/>
      <c r="G1916" s="1426"/>
      <c r="H1916" s="1426"/>
      <c r="I1916" s="1427"/>
      <c r="J1916" s="1428">
        <f>(J1904*((1+J$11)^0.5)/J$10)</f>
        <v>0</v>
      </c>
      <c r="K1916" s="1423">
        <f ca="1">IF(J1940="n/a",J1916,IFERROR(IF((OFFSET($C1916,0,$A1916))&lt;0,
MIN(0,J1916-(OFFSET($C1916,0,$A1916)/(OFFSET($C1911,-$A1915,$A1916)))),
MAX(0,J1916-(OFFSET($C1916,0,$A1916)/(OFFSET($C1911,-$A1915,$A1916))))),0))</f>
        <v>0</v>
      </c>
      <c r="L1916" s="1423">
        <f t="shared" ca="1" si="2826"/>
        <v>0</v>
      </c>
      <c r="M1916" s="1423">
        <f t="shared" ca="1" si="2827"/>
        <v>0</v>
      </c>
      <c r="N1916" s="1423">
        <f t="shared" ca="1" si="2828"/>
        <v>0</v>
      </c>
      <c r="O1916" s="1423">
        <f t="shared" ca="1" si="2829"/>
        <v>0</v>
      </c>
      <c r="P1916" s="1423">
        <f t="shared" ca="1" si="2830"/>
        <v>0</v>
      </c>
      <c r="Q1916" s="1423">
        <f t="shared" ca="1" si="2831"/>
        <v>0</v>
      </c>
      <c r="R1916" s="1423">
        <f t="shared" ca="1" si="2832"/>
        <v>0</v>
      </c>
      <c r="S1916" s="1423">
        <f t="shared" ca="1" si="2833"/>
        <v>0</v>
      </c>
      <c r="T1916" s="1423">
        <f t="shared" ca="1" si="2834"/>
        <v>0</v>
      </c>
      <c r="U1916" s="1423">
        <f t="shared" ca="1" si="2835"/>
        <v>0</v>
      </c>
      <c r="V1916" s="1423">
        <f t="shared" ca="1" si="2836"/>
        <v>0</v>
      </c>
      <c r="W1916" s="1423">
        <f t="shared" ca="1" si="2837"/>
        <v>0</v>
      </c>
      <c r="X1916" s="202"/>
      <c r="Y1916" s="202"/>
      <c r="Z1916" s="202"/>
      <c r="AA1916" s="152"/>
      <c r="AB1916" s="152"/>
    </row>
    <row r="1917" spans="1:28" hidden="1" outlineLevel="1">
      <c r="A1917" s="199">
        <f t="shared" si="2838"/>
        <v>8</v>
      </c>
      <c r="B1917" s="190" t="str">
        <f t="shared" ca="1" si="2839"/>
        <v>Depreciated Net Capex 2023-24</v>
      </c>
      <c r="C1917" s="1426"/>
      <c r="D1917" s="1426"/>
      <c r="E1917" s="1426"/>
      <c r="F1917" s="1426"/>
      <c r="G1917" s="1426"/>
      <c r="H1917" s="1426"/>
      <c r="I1917" s="1426"/>
      <c r="J1917" s="1427"/>
      <c r="K1917" s="1428">
        <f>(K1904*((1+K$11)^0.5)/K$10)</f>
        <v>0</v>
      </c>
      <c r="L1917" s="1423">
        <f ca="1">IF(K1941="n/a",K1917,IFERROR(IF((OFFSET($C1917,0,$A1917))&lt;0,
MIN(0,K1917-(OFFSET($C1917,0,$A1917)/(OFFSET($C1912,-$A1916,$A1917)))),
MAX(0,K1917-(OFFSET($C1917,0,$A1917)/(OFFSET($C1912,-$A1916,$A1917))))),0))</f>
        <v>0</v>
      </c>
      <c r="M1917" s="1423">
        <f t="shared" ca="1" si="2827"/>
        <v>0</v>
      </c>
      <c r="N1917" s="1423">
        <f t="shared" ca="1" si="2828"/>
        <v>0</v>
      </c>
      <c r="O1917" s="1423">
        <f t="shared" ca="1" si="2829"/>
        <v>0</v>
      </c>
      <c r="P1917" s="1423">
        <f t="shared" ca="1" si="2830"/>
        <v>0</v>
      </c>
      <c r="Q1917" s="1423">
        <f t="shared" ca="1" si="2831"/>
        <v>0</v>
      </c>
      <c r="R1917" s="1423">
        <f t="shared" ca="1" si="2832"/>
        <v>0</v>
      </c>
      <c r="S1917" s="1423">
        <f t="shared" ca="1" si="2833"/>
        <v>0</v>
      </c>
      <c r="T1917" s="1423">
        <f t="shared" ca="1" si="2834"/>
        <v>0</v>
      </c>
      <c r="U1917" s="1423">
        <f t="shared" ca="1" si="2835"/>
        <v>0</v>
      </c>
      <c r="V1917" s="1423">
        <f t="shared" ca="1" si="2836"/>
        <v>0</v>
      </c>
      <c r="W1917" s="1423">
        <f t="shared" ca="1" si="2837"/>
        <v>0</v>
      </c>
      <c r="X1917" s="202"/>
      <c r="Y1917" s="202"/>
      <c r="Z1917" s="202"/>
      <c r="AA1917" s="152"/>
      <c r="AB1917" s="152"/>
    </row>
    <row r="1918" spans="1:28" hidden="1" outlineLevel="1">
      <c r="A1918" s="199">
        <f t="shared" si="2838"/>
        <v>9</v>
      </c>
      <c r="B1918" s="190" t="str">
        <f t="shared" ca="1" si="2839"/>
        <v>Depreciated Net Capex 2024-25</v>
      </c>
      <c r="C1918" s="1426"/>
      <c r="D1918" s="1426"/>
      <c r="E1918" s="1426"/>
      <c r="F1918" s="1426"/>
      <c r="G1918" s="1426"/>
      <c r="H1918" s="1426"/>
      <c r="I1918" s="1426"/>
      <c r="J1918" s="1426"/>
      <c r="K1918" s="1427"/>
      <c r="L1918" s="1428">
        <f>(L1904*((1+L$11)^0.5)/L$10)</f>
        <v>0</v>
      </c>
      <c r="M1918" s="1423">
        <f ca="1">IF(L1942="n/a",L1918,IFERROR(IF((OFFSET($C1918,0,$A1918))&lt;0,
MIN(0,L1918-(OFFSET($C1918,0,$A1918)/(OFFSET($C1913,-$A1917,$A1918)))),
MAX(0,L1918-(OFFSET($C1918,0,$A1918)/(OFFSET($C1913,-$A1917,$A1918))))),0))</f>
        <v>0</v>
      </c>
      <c r="N1918" s="1423">
        <f t="shared" ca="1" si="2828"/>
        <v>0</v>
      </c>
      <c r="O1918" s="1423">
        <f t="shared" ca="1" si="2829"/>
        <v>0</v>
      </c>
      <c r="P1918" s="1423">
        <f t="shared" ca="1" si="2830"/>
        <v>0</v>
      </c>
      <c r="Q1918" s="1423">
        <f t="shared" ca="1" si="2831"/>
        <v>0</v>
      </c>
      <c r="R1918" s="1423">
        <f t="shared" ca="1" si="2832"/>
        <v>0</v>
      </c>
      <c r="S1918" s="1423">
        <f t="shared" ca="1" si="2833"/>
        <v>0</v>
      </c>
      <c r="T1918" s="1423">
        <f t="shared" ca="1" si="2834"/>
        <v>0</v>
      </c>
      <c r="U1918" s="1423">
        <f t="shared" ca="1" si="2835"/>
        <v>0</v>
      </c>
      <c r="V1918" s="1423">
        <f t="shared" ca="1" si="2836"/>
        <v>0</v>
      </c>
      <c r="W1918" s="1423">
        <f t="shared" ca="1" si="2837"/>
        <v>0</v>
      </c>
      <c r="X1918" s="202"/>
      <c r="Y1918" s="202"/>
      <c r="Z1918" s="202"/>
      <c r="AA1918" s="152"/>
      <c r="AB1918" s="152"/>
    </row>
    <row r="1919" spans="1:28" hidden="1" outlineLevel="1">
      <c r="A1919" s="199">
        <f t="shared" si="2838"/>
        <v>10</v>
      </c>
      <c r="B1919" s="190" t="str">
        <f t="shared" ca="1" si="2839"/>
        <v>Depreciated Net Capex 2025-26</v>
      </c>
      <c r="C1919" s="1426"/>
      <c r="D1919" s="1426"/>
      <c r="E1919" s="1426"/>
      <c r="F1919" s="1426"/>
      <c r="G1919" s="1426"/>
      <c r="H1919" s="1426"/>
      <c r="I1919" s="1426"/>
      <c r="J1919" s="1426"/>
      <c r="K1919" s="1426"/>
      <c r="L1919" s="1427"/>
      <c r="M1919" s="1428">
        <f>(M1904*((1+M$11)^0.5)/M$10)</f>
        <v>0</v>
      </c>
      <c r="N1919" s="1423">
        <f ca="1">IF(M1943="n/a",M1919,IFERROR(IF((OFFSET($C1919,0,$A1919))&lt;0,
MIN(0,M1919-(OFFSET($C1919,0,$A1919)/(OFFSET($C1914,-$A1918,$A1919)))),
MAX(0,M1919-(OFFSET($C1919,0,$A1919)/(OFFSET($C1914,-$A1918,$A1919))))),0))</f>
        <v>0</v>
      </c>
      <c r="O1919" s="1423">
        <f t="shared" ca="1" si="2829"/>
        <v>0</v>
      </c>
      <c r="P1919" s="1423">
        <f t="shared" ca="1" si="2830"/>
        <v>0</v>
      </c>
      <c r="Q1919" s="1423">
        <f t="shared" ca="1" si="2831"/>
        <v>0</v>
      </c>
      <c r="R1919" s="1423">
        <f t="shared" ca="1" si="2832"/>
        <v>0</v>
      </c>
      <c r="S1919" s="1423">
        <f t="shared" ca="1" si="2833"/>
        <v>0</v>
      </c>
      <c r="T1919" s="1423">
        <f t="shared" ca="1" si="2834"/>
        <v>0</v>
      </c>
      <c r="U1919" s="1423">
        <f t="shared" ca="1" si="2835"/>
        <v>0</v>
      </c>
      <c r="V1919" s="1423">
        <f t="shared" ca="1" si="2836"/>
        <v>0</v>
      </c>
      <c r="W1919" s="1423">
        <f t="shared" ca="1" si="2837"/>
        <v>0</v>
      </c>
      <c r="X1919" s="202"/>
      <c r="Y1919" s="202"/>
      <c r="Z1919" s="202"/>
      <c r="AA1919" s="152"/>
      <c r="AB1919" s="152"/>
    </row>
    <row r="1920" spans="1:28" hidden="1" outlineLevel="1">
      <c r="A1920" s="199">
        <f t="shared" si="2838"/>
        <v>11</v>
      </c>
      <c r="B1920" s="190" t="str">
        <f t="shared" ca="1" si="2839"/>
        <v>Depreciated Net Capex 2026-27</v>
      </c>
      <c r="C1920" s="1426"/>
      <c r="D1920" s="1426"/>
      <c r="E1920" s="1426"/>
      <c r="F1920" s="1426"/>
      <c r="G1920" s="1426"/>
      <c r="H1920" s="1426"/>
      <c r="I1920" s="1426"/>
      <c r="J1920" s="1426"/>
      <c r="K1920" s="1426"/>
      <c r="L1920" s="1426"/>
      <c r="M1920" s="1427"/>
      <c r="N1920" s="1428">
        <f>(N1904*((1+N$11)^0.5)/N$10)</f>
        <v>0</v>
      </c>
      <c r="O1920" s="1423">
        <f ca="1">IF(N1944="n/a",N1920,IFERROR(IF((OFFSET($C1920,0,$A1920))&lt;0,
MIN(0,N1920-(OFFSET($C1920,0,$A1920)/(OFFSET($C1915,-$A1919,$A1920)))),
MAX(0,N1920-(OFFSET($C1920,0,$A1920)/(OFFSET($C1915,-$A1919,$A1920))))),0))</f>
        <v>0</v>
      </c>
      <c r="P1920" s="1423">
        <f t="shared" ca="1" si="2830"/>
        <v>0</v>
      </c>
      <c r="Q1920" s="1423">
        <f t="shared" ca="1" si="2831"/>
        <v>0</v>
      </c>
      <c r="R1920" s="1423">
        <f t="shared" ca="1" si="2832"/>
        <v>0</v>
      </c>
      <c r="S1920" s="1423">
        <f t="shared" ca="1" si="2833"/>
        <v>0</v>
      </c>
      <c r="T1920" s="1423">
        <f t="shared" ca="1" si="2834"/>
        <v>0</v>
      </c>
      <c r="U1920" s="1423">
        <f t="shared" ca="1" si="2835"/>
        <v>0</v>
      </c>
      <c r="V1920" s="1423">
        <f t="shared" ca="1" si="2836"/>
        <v>0</v>
      </c>
      <c r="W1920" s="1423">
        <f t="shared" ca="1" si="2837"/>
        <v>0</v>
      </c>
      <c r="X1920" s="202"/>
      <c r="Y1920" s="202"/>
      <c r="Z1920" s="202"/>
      <c r="AA1920" s="152"/>
      <c r="AB1920" s="152"/>
    </row>
    <row r="1921" spans="1:28" hidden="1" outlineLevel="1">
      <c r="A1921" s="199">
        <f t="shared" si="2838"/>
        <v>12</v>
      </c>
      <c r="B1921" s="190" t="str">
        <f t="shared" ca="1" si="2839"/>
        <v>Depreciated Net Capex 2027-28</v>
      </c>
      <c r="C1921" s="1426"/>
      <c r="D1921" s="1426"/>
      <c r="E1921" s="1426"/>
      <c r="F1921" s="1426"/>
      <c r="G1921" s="1426"/>
      <c r="H1921" s="1426"/>
      <c r="I1921" s="1426"/>
      <c r="J1921" s="1426"/>
      <c r="K1921" s="1426"/>
      <c r="L1921" s="1426"/>
      <c r="M1921" s="1426"/>
      <c r="N1921" s="1427"/>
      <c r="O1921" s="1428">
        <f>(O1904*((1+O$11)^0.5)/O$10)</f>
        <v>0</v>
      </c>
      <c r="P1921" s="1423">
        <f ca="1">IF(O1945="n/a",O1921,IFERROR(IF((OFFSET($C1921,0,$A1921))&lt;0,
MIN(0,O1921-(OFFSET($C1921,0,$A1921)/(OFFSET($C1916,-$A1920,$A1921)))),
MAX(0,O1921-(OFFSET($C1921,0,$A1921)/(OFFSET($C1916,-$A1920,$A1921))))),0))</f>
        <v>0</v>
      </c>
      <c r="Q1921" s="1423">
        <f t="shared" ca="1" si="2831"/>
        <v>0</v>
      </c>
      <c r="R1921" s="1423">
        <f t="shared" ca="1" si="2832"/>
        <v>0</v>
      </c>
      <c r="S1921" s="1423">
        <f t="shared" ca="1" si="2833"/>
        <v>0</v>
      </c>
      <c r="T1921" s="1423">
        <f t="shared" ca="1" si="2834"/>
        <v>0</v>
      </c>
      <c r="U1921" s="1423">
        <f t="shared" ca="1" si="2835"/>
        <v>0</v>
      </c>
      <c r="V1921" s="1423">
        <f t="shared" ca="1" si="2836"/>
        <v>0</v>
      </c>
      <c r="W1921" s="1423">
        <f t="shared" ca="1" si="2837"/>
        <v>0</v>
      </c>
      <c r="X1921" s="202"/>
      <c r="Y1921" s="202"/>
      <c r="Z1921" s="202"/>
      <c r="AA1921" s="152"/>
      <c r="AB1921" s="152"/>
    </row>
    <row r="1922" spans="1:28" hidden="1" outlineLevel="1">
      <c r="A1922" s="199">
        <f t="shared" si="2838"/>
        <v>13</v>
      </c>
      <c r="B1922" s="190" t="str">
        <f t="shared" ca="1" si="2839"/>
        <v>Depreciated Net Capex 2028-29</v>
      </c>
      <c r="C1922" s="1426"/>
      <c r="D1922" s="1426"/>
      <c r="E1922" s="1426"/>
      <c r="F1922" s="1426"/>
      <c r="G1922" s="1426"/>
      <c r="H1922" s="1426"/>
      <c r="I1922" s="1426"/>
      <c r="J1922" s="1426"/>
      <c r="K1922" s="1426"/>
      <c r="L1922" s="1426"/>
      <c r="M1922" s="1426"/>
      <c r="N1922" s="1426"/>
      <c r="O1922" s="1427"/>
      <c r="P1922" s="1428">
        <f>(P1904*((1+P$11)^0.5)/P$10)</f>
        <v>0</v>
      </c>
      <c r="Q1922" s="1423">
        <f ca="1">IF(P1946="n/a",P1922,IFERROR(IF((OFFSET($C1922,0,$A1922))&lt;0,
MIN(0,P1922-(OFFSET($C1922,0,$A1922)/(OFFSET($C1917,-$A1921,$A1922)))),
MAX(0,P1922-(OFFSET($C1922,0,$A1922)/(OFFSET($C1917,-$A1921,$A1922))))),0))</f>
        <v>0</v>
      </c>
      <c r="R1922" s="1423">
        <f t="shared" ca="1" si="2832"/>
        <v>0</v>
      </c>
      <c r="S1922" s="1423">
        <f t="shared" ca="1" si="2833"/>
        <v>0</v>
      </c>
      <c r="T1922" s="1423">
        <f t="shared" ca="1" si="2834"/>
        <v>0</v>
      </c>
      <c r="U1922" s="1423">
        <f t="shared" ca="1" si="2835"/>
        <v>0</v>
      </c>
      <c r="V1922" s="1423">
        <f t="shared" ca="1" si="2836"/>
        <v>0</v>
      </c>
      <c r="W1922" s="1423">
        <f t="shared" ca="1" si="2837"/>
        <v>0</v>
      </c>
      <c r="X1922" s="202"/>
      <c r="Y1922" s="202"/>
      <c r="Z1922" s="202"/>
      <c r="AA1922" s="152"/>
      <c r="AB1922" s="152"/>
    </row>
    <row r="1923" spans="1:28" hidden="1" outlineLevel="1">
      <c r="A1923" s="199">
        <f t="shared" si="2838"/>
        <v>14</v>
      </c>
      <c r="B1923" s="190" t="str">
        <f t="shared" ca="1" si="2839"/>
        <v>Depreciated Net Capex 2029-30</v>
      </c>
      <c r="C1923" s="1426"/>
      <c r="D1923" s="1426"/>
      <c r="E1923" s="1426"/>
      <c r="F1923" s="1426"/>
      <c r="G1923" s="1426"/>
      <c r="H1923" s="1426"/>
      <c r="I1923" s="1426"/>
      <c r="J1923" s="1426"/>
      <c r="K1923" s="1426"/>
      <c r="L1923" s="1426"/>
      <c r="M1923" s="1426"/>
      <c r="N1923" s="1426"/>
      <c r="O1923" s="1426"/>
      <c r="P1923" s="1427"/>
      <c r="Q1923" s="1428">
        <f>(Q1904*((1+Q$11)^0.5)/Q$10)</f>
        <v>0</v>
      </c>
      <c r="R1923" s="1423">
        <f ca="1">IF(Q1947="n/a",Q1923,IFERROR(IF((OFFSET($C1923,0,$A1923))&lt;0,
MIN(0,Q1923-(OFFSET($C1923,0,$A1923)/(OFFSET($C1918,-$A1922,$A1923)))),
MAX(0,Q1923-(OFFSET($C1923,0,$A1923)/(OFFSET($C1918,-$A1922,$A1923))))),0))</f>
        <v>0</v>
      </c>
      <c r="S1923" s="1423">
        <f t="shared" ca="1" si="2833"/>
        <v>0</v>
      </c>
      <c r="T1923" s="1423">
        <f t="shared" ca="1" si="2834"/>
        <v>0</v>
      </c>
      <c r="U1923" s="1423">
        <f t="shared" ca="1" si="2835"/>
        <v>0</v>
      </c>
      <c r="V1923" s="1423">
        <f t="shared" ca="1" si="2836"/>
        <v>0</v>
      </c>
      <c r="W1923" s="1423">
        <f t="shared" ca="1" si="2837"/>
        <v>0</v>
      </c>
      <c r="X1923" s="202"/>
      <c r="Y1923" s="202"/>
      <c r="Z1923" s="202"/>
      <c r="AA1923" s="152"/>
      <c r="AB1923" s="152"/>
    </row>
    <row r="1924" spans="1:28" hidden="1" outlineLevel="1">
      <c r="A1924" s="199">
        <f t="shared" si="2838"/>
        <v>15</v>
      </c>
      <c r="B1924" s="190" t="str">
        <f t="shared" ca="1" si="2839"/>
        <v>Depreciated Net Capex 2030-31</v>
      </c>
      <c r="C1924" s="1426"/>
      <c r="D1924" s="1426"/>
      <c r="E1924" s="1426"/>
      <c r="F1924" s="1426"/>
      <c r="G1924" s="1426"/>
      <c r="H1924" s="1426"/>
      <c r="I1924" s="1426"/>
      <c r="J1924" s="1426"/>
      <c r="K1924" s="1426"/>
      <c r="L1924" s="1426"/>
      <c r="M1924" s="1426"/>
      <c r="N1924" s="1426"/>
      <c r="O1924" s="1426"/>
      <c r="P1924" s="1426"/>
      <c r="Q1924" s="1427"/>
      <c r="R1924" s="1428">
        <f>(R1904*((1+R$11)^0.5)/R$10)</f>
        <v>0</v>
      </c>
      <c r="S1924" s="1423">
        <f ca="1">IF(R1948="n/a",R1924,IFERROR(IF((OFFSET($C1924,0,$A1924))&lt;0,
MIN(0,R1924-(OFFSET($C1924,0,$A1924)/(OFFSET($C1919,-$A1923,$A1924)))),
MAX(0,R1924-(OFFSET($C1924,0,$A1924)/(OFFSET($C1919,-$A1923,$A1924))))),0))</f>
        <v>0</v>
      </c>
      <c r="T1924" s="1423">
        <f t="shared" ca="1" si="2834"/>
        <v>0</v>
      </c>
      <c r="U1924" s="1423">
        <f t="shared" ca="1" si="2835"/>
        <v>0</v>
      </c>
      <c r="V1924" s="1423">
        <f t="shared" ca="1" si="2836"/>
        <v>0</v>
      </c>
      <c r="W1924" s="1423">
        <f t="shared" ca="1" si="2837"/>
        <v>0</v>
      </c>
      <c r="X1924" s="202"/>
      <c r="Y1924" s="202"/>
      <c r="Z1924" s="202"/>
      <c r="AA1924" s="152"/>
      <c r="AB1924" s="152"/>
    </row>
    <row r="1925" spans="1:28" hidden="1" outlineLevel="1">
      <c r="A1925" s="199">
        <f t="shared" si="2838"/>
        <v>16</v>
      </c>
      <c r="B1925" s="190" t="str">
        <f t="shared" ca="1" si="2839"/>
        <v>Depreciated Net Capex 2031-32</v>
      </c>
      <c r="C1925" s="1426"/>
      <c r="D1925" s="1426"/>
      <c r="E1925" s="1426"/>
      <c r="F1925" s="1426"/>
      <c r="G1925" s="1426"/>
      <c r="H1925" s="1426"/>
      <c r="I1925" s="1426"/>
      <c r="J1925" s="1426"/>
      <c r="K1925" s="1426"/>
      <c r="L1925" s="1426"/>
      <c r="M1925" s="1426"/>
      <c r="N1925" s="1426"/>
      <c r="O1925" s="1426"/>
      <c r="P1925" s="1426"/>
      <c r="Q1925" s="1426"/>
      <c r="R1925" s="1427"/>
      <c r="S1925" s="1428">
        <f>(S1904*((1+S$11)^0.5)/S$10)</f>
        <v>0</v>
      </c>
      <c r="T1925" s="1423">
        <f ca="1">IF(S1949="n/a",S1925,IFERROR(IF((OFFSET($C1925,0,$A1925))&lt;0,
MIN(0,S1925-(OFFSET($C1925,0,$A1925)/(OFFSET($C1920,-$A1924,$A1925)))),
MAX(0,S1925-(OFFSET($C1925,0,$A1925)/(OFFSET($C1920,-$A1924,$A1925))))),0))</f>
        <v>0</v>
      </c>
      <c r="U1925" s="1423">
        <f t="shared" ca="1" si="2835"/>
        <v>0</v>
      </c>
      <c r="V1925" s="1423">
        <f t="shared" ca="1" si="2836"/>
        <v>0</v>
      </c>
      <c r="W1925" s="1423">
        <f t="shared" ca="1" si="2837"/>
        <v>0</v>
      </c>
      <c r="X1925" s="202"/>
      <c r="Y1925" s="202"/>
      <c r="Z1925" s="202"/>
      <c r="AA1925" s="152"/>
      <c r="AB1925" s="152"/>
    </row>
    <row r="1926" spans="1:28" hidden="1" outlineLevel="1">
      <c r="A1926" s="199">
        <f t="shared" si="2838"/>
        <v>17</v>
      </c>
      <c r="B1926" s="190" t="str">
        <f t="shared" ca="1" si="2839"/>
        <v>Depreciated Net Capex 2032-33</v>
      </c>
      <c r="C1926" s="1426"/>
      <c r="D1926" s="1426"/>
      <c r="E1926" s="1426"/>
      <c r="F1926" s="1426"/>
      <c r="G1926" s="1426"/>
      <c r="H1926" s="1426"/>
      <c r="I1926" s="1426"/>
      <c r="J1926" s="1426"/>
      <c r="K1926" s="1426"/>
      <c r="L1926" s="1426"/>
      <c r="M1926" s="1426"/>
      <c r="N1926" s="1426"/>
      <c r="O1926" s="1426"/>
      <c r="P1926" s="1426"/>
      <c r="Q1926" s="1426"/>
      <c r="R1926" s="1426"/>
      <c r="S1926" s="1427"/>
      <c r="T1926" s="1428">
        <f>(T1904*((1+T$11)^0.5)/T$10)</f>
        <v>0</v>
      </c>
      <c r="U1926" s="1423">
        <f ca="1">IF(T1950="n/a",T1926,IFERROR(IF((OFFSET($C1926,0,$A1926))&lt;0,
MIN(0,T1926-(OFFSET($C1926,0,$A1926)/(OFFSET($C1921,-$A1925,$A1926)))),
MAX(0,T1926-(OFFSET($C1926,0,$A1926)/(OFFSET($C1921,-$A1925,$A1926))))),0))</f>
        <v>0</v>
      </c>
      <c r="V1926" s="1423">
        <f t="shared" ca="1" si="2836"/>
        <v>0</v>
      </c>
      <c r="W1926" s="1423">
        <f t="shared" ca="1" si="2837"/>
        <v>0</v>
      </c>
      <c r="X1926" s="202"/>
      <c r="Y1926" s="202"/>
      <c r="Z1926" s="202"/>
      <c r="AA1926" s="152"/>
      <c r="AB1926" s="152"/>
    </row>
    <row r="1927" spans="1:28" hidden="1" outlineLevel="1">
      <c r="A1927" s="199">
        <f t="shared" si="2838"/>
        <v>18</v>
      </c>
      <c r="B1927" s="190" t="str">
        <f t="shared" ca="1" si="2839"/>
        <v>Depreciated Net Capex 2033-34</v>
      </c>
      <c r="C1927" s="1426"/>
      <c r="D1927" s="1426"/>
      <c r="E1927" s="1426"/>
      <c r="F1927" s="1426"/>
      <c r="G1927" s="1426"/>
      <c r="H1927" s="1426"/>
      <c r="I1927" s="1426"/>
      <c r="J1927" s="1426"/>
      <c r="K1927" s="1426"/>
      <c r="L1927" s="1426"/>
      <c r="M1927" s="1426"/>
      <c r="N1927" s="1426"/>
      <c r="O1927" s="1426"/>
      <c r="P1927" s="1426"/>
      <c r="Q1927" s="1426"/>
      <c r="R1927" s="1426"/>
      <c r="S1927" s="1426"/>
      <c r="T1927" s="1427"/>
      <c r="U1927" s="1428">
        <f>(U1904*((1+U$11)^0.5)/U$10)</f>
        <v>0</v>
      </c>
      <c r="V1927" s="1423">
        <f ca="1">IF(U1951="n/a",U1927,IFERROR(IF((OFFSET($C1927,0,$A1927))&lt;0,
MIN(0,U1927-(OFFSET($C1927,0,$A1927)/(OFFSET($C1922,-$A1926,$A1927)))),
MAX(0,U1927-(OFFSET($C1927,0,$A1927)/(OFFSET($C1922,-$A1926,$A1927))))),0))</f>
        <v>0</v>
      </c>
      <c r="W1927" s="1423">
        <f t="shared" ca="1" si="2837"/>
        <v>0</v>
      </c>
      <c r="X1927" s="202"/>
      <c r="Y1927" s="202"/>
      <c r="Z1927" s="202"/>
      <c r="AA1927" s="152"/>
      <c r="AB1927" s="152"/>
    </row>
    <row r="1928" spans="1:28" hidden="1" outlineLevel="1">
      <c r="A1928" s="199">
        <f t="shared" si="2838"/>
        <v>19</v>
      </c>
      <c r="B1928" s="190" t="str">
        <f t="shared" ca="1" si="2839"/>
        <v>Depreciated Net Capex 2034-35</v>
      </c>
      <c r="C1928" s="1426"/>
      <c r="D1928" s="1426"/>
      <c r="E1928" s="1426"/>
      <c r="F1928" s="1426"/>
      <c r="G1928" s="1426"/>
      <c r="H1928" s="1426"/>
      <c r="I1928" s="1426"/>
      <c r="J1928" s="1426"/>
      <c r="K1928" s="1426"/>
      <c r="L1928" s="1426"/>
      <c r="M1928" s="1426"/>
      <c r="N1928" s="1426"/>
      <c r="O1928" s="1426"/>
      <c r="P1928" s="1426"/>
      <c r="Q1928" s="1426"/>
      <c r="R1928" s="1426"/>
      <c r="S1928" s="1426"/>
      <c r="T1928" s="1426"/>
      <c r="U1928" s="1427"/>
      <c r="V1928" s="1428">
        <f>(V1904*((1+V$11)^0.5)/V$10)</f>
        <v>0</v>
      </c>
      <c r="W1928" s="1423">
        <f ca="1">IF(V1952="n/a",V1928,IFERROR(IF((OFFSET($C1928,0,$A1928))&lt;0,
MIN(0,V1928-(OFFSET($C1928,0,$A1928)/(OFFSET($C1923,-$A1927,$A1928)))),
MAX(0,V1928-(OFFSET($C1928,0,$A1928)/(OFFSET($C1923,-$A1927,$A1928))))),0))</f>
        <v>0</v>
      </c>
      <c r="X1928" s="202"/>
      <c r="Y1928" s="202"/>
      <c r="Z1928" s="202"/>
      <c r="AA1928" s="152"/>
      <c r="AB1928" s="152"/>
    </row>
    <row r="1929" spans="1:28" hidden="1" outlineLevel="1">
      <c r="A1929" s="199">
        <f t="shared" si="2838"/>
        <v>20</v>
      </c>
      <c r="B1929" s="190" t="str">
        <f ca="1">"Depreciated Net Capex "&amp;OFFSET($C$6,0,A1929)</f>
        <v>Depreciated Net Capex 2035-36</v>
      </c>
      <c r="C1929" s="1426"/>
      <c r="D1929" s="1426"/>
      <c r="E1929" s="1426"/>
      <c r="F1929" s="1426"/>
      <c r="G1929" s="1426"/>
      <c r="H1929" s="1426"/>
      <c r="I1929" s="1426"/>
      <c r="J1929" s="1426"/>
      <c r="K1929" s="1426"/>
      <c r="L1929" s="1426"/>
      <c r="M1929" s="1426"/>
      <c r="N1929" s="1426"/>
      <c r="O1929" s="1426"/>
      <c r="P1929" s="1426"/>
      <c r="Q1929" s="1426"/>
      <c r="R1929" s="1426"/>
      <c r="S1929" s="1426"/>
      <c r="T1929" s="1426"/>
      <c r="U1929" s="1426"/>
      <c r="V1929" s="1427"/>
      <c r="W1929" s="1423">
        <f>(W1904*((1+W$11)^0.5)/W$10)</f>
        <v>0</v>
      </c>
      <c r="X1929" s="152"/>
      <c r="Y1929" s="152"/>
      <c r="Z1929" s="152"/>
      <c r="AA1929" s="152"/>
      <c r="AB1929" s="152"/>
    </row>
    <row r="1930" spans="1:28" hidden="1" outlineLevel="1">
      <c r="A1930" s="152"/>
      <c r="B1930" s="200"/>
      <c r="C1930" s="1423"/>
      <c r="D1930" s="1423"/>
      <c r="E1930" s="1423"/>
      <c r="F1930" s="1423"/>
      <c r="G1930" s="1423"/>
      <c r="H1930" s="1423"/>
      <c r="I1930" s="1423"/>
      <c r="J1930" s="1423"/>
      <c r="K1930" s="1423"/>
      <c r="L1930" s="1423"/>
      <c r="M1930" s="1423"/>
      <c r="N1930" s="1423"/>
      <c r="O1930" s="1423"/>
      <c r="P1930" s="1423"/>
      <c r="Q1930" s="1423"/>
      <c r="R1930" s="1423"/>
      <c r="S1930" s="1423"/>
      <c r="T1930" s="1423"/>
      <c r="U1930" s="1423"/>
      <c r="V1930" s="1423"/>
      <c r="W1930" s="1423"/>
      <c r="X1930" s="152"/>
      <c r="Y1930" s="152"/>
      <c r="Z1930" s="152"/>
      <c r="AA1930" s="152"/>
      <c r="AB1930" s="152"/>
    </row>
    <row r="1931" spans="1:28" hidden="1" outlineLevel="1">
      <c r="A1931" s="152"/>
      <c r="B1931" s="200"/>
      <c r="C1931" s="1423"/>
      <c r="D1931" s="1423"/>
      <c r="E1931" s="1423"/>
      <c r="F1931" s="1423"/>
      <c r="G1931" s="1423"/>
      <c r="H1931" s="1423"/>
      <c r="I1931" s="1423"/>
      <c r="J1931" s="1423"/>
      <c r="K1931" s="1423"/>
      <c r="L1931" s="1423"/>
      <c r="M1931" s="1423"/>
      <c r="N1931" s="1423"/>
      <c r="O1931" s="1423"/>
      <c r="P1931" s="1423"/>
      <c r="Q1931" s="1423"/>
      <c r="R1931" s="1423"/>
      <c r="S1931" s="1423"/>
      <c r="T1931" s="1423"/>
      <c r="U1931" s="1423"/>
      <c r="V1931" s="1423"/>
      <c r="W1931" s="1423"/>
      <c r="X1931" s="152"/>
      <c r="Y1931" s="152"/>
      <c r="Z1931" s="152"/>
      <c r="AA1931" s="152"/>
      <c r="AB1931" s="152"/>
    </row>
    <row r="1932" spans="1:28" hidden="1" outlineLevel="1">
      <c r="A1932" s="152"/>
      <c r="B1932" s="190" t="s">
        <v>190</v>
      </c>
      <c r="C1932" s="1423"/>
      <c r="D1932" s="1423">
        <f ca="1">IF(AND(C1932&lt;1,D1906=0),0,
IF(D1906=0,C1932-1,
IF(C1932&lt;1,D1907,
(((C1932-1)*(C1908-(C1908/(C1932))))+((D1906/D$10)*D1907))/(D1908))))</f>
        <v>0</v>
      </c>
      <c r="E1932" s="1423">
        <f t="shared" ref="E1932" ca="1" si="2840">IF(AND(D1932&lt;1,E1906=0),0,
IF(E1906=0,D1932-1,
IF(D1932&lt;1,E1907,
(((D1932-1)*(D1908-(D1908/(D1932))))+((E1906/E$10)*E1907))/(E1908))))</f>
        <v>0</v>
      </c>
      <c r="F1932" s="1423">
        <f t="shared" ref="F1932" ca="1" si="2841">IF(AND(E1932&lt;1,F1906=0),0,
IF(F1906=0,E1932-1,
IF(E1932&lt;1,F1907,
(((E1932-1)*(E1908-(E1908/(E1932))))+((F1906/F$10)*F1907))/(F1908))))</f>
        <v>0</v>
      </c>
      <c r="G1932" s="1423">
        <f t="shared" ref="G1932" ca="1" si="2842">IF(AND(F1932&lt;1,G1906=0),0,
IF(G1906=0,F1932-1,
IF(F1932&lt;1,G1907,
(((F1932-1)*(F1908-(F1908/(F1932))))+((G1906/G$10)*G1907))/(G1908))))</f>
        <v>0</v>
      </c>
      <c r="H1932" s="1423">
        <f t="shared" ref="H1932" ca="1" si="2843">IF(AND(G1932&lt;1,H1906=0),0,
IF(H1906=0,G1932-1,
IF(G1932&lt;1,H1907,
(((G1932-1)*(G1908-(G1908/(G1932))))+((H1906/H$10)*H1907))/(H1908))))</f>
        <v>0</v>
      </c>
      <c r="I1932" s="1423">
        <f t="shared" ref="I1932" ca="1" si="2844">IF(AND(H1932&lt;1,I1906=0),0,
IF(I1906=0,H1932-1,
IF(H1932&lt;1,I1907,
(((H1932-1)*(H1908-(H1908/(H1932))))+((I1906/I$10)*I1907))/(I1908))))</f>
        <v>0</v>
      </c>
      <c r="J1932" s="1423">
        <f t="shared" ref="J1932" ca="1" si="2845">IF(AND(I1932&lt;1,J1906=0),0,
IF(J1906=0,I1932-1,
IF(I1932&lt;1,J1907,
(((I1932-1)*(I1908-(I1908/(I1932))))+((J1906/J$10)*J1907))/(J1908))))</f>
        <v>0</v>
      </c>
      <c r="K1932" s="1423">
        <f t="shared" ref="K1932" ca="1" si="2846">IF(AND(J1932&lt;1,K1906=0),0,
IF(K1906=0,J1932-1,
IF(J1932&lt;1,K1907,
(((J1932-1)*(J1908-(J1908/(J1932))))+((K1906/K$10)*K1907))/(K1908))))</f>
        <v>0</v>
      </c>
      <c r="L1932" s="1423">
        <f t="shared" ref="L1932" ca="1" si="2847">IF(AND(K1932&lt;1,L1906=0),0,
IF(L1906=0,K1932-1,
IF(K1932&lt;1,L1907,
(((K1932-1)*(K1908-(K1908/(K1932))))+((L1906/L$10)*L1907))/(L1908))))</f>
        <v>0</v>
      </c>
      <c r="M1932" s="1423">
        <f t="shared" ref="M1932" ca="1" si="2848">IF(AND(L1932&lt;1,M1906=0),0,
IF(M1906=0,L1932-1,
IF(L1932&lt;1,M1907,
(((L1932-1)*(L1908-(L1908/(L1932))))+((M1906/M$10)*M1907))/(M1908))))</f>
        <v>0</v>
      </c>
      <c r="N1932" s="1423">
        <f t="shared" ref="N1932" ca="1" si="2849">IF(AND(M1932&lt;1,N1906=0),0,
IF(N1906=0,M1932-1,
IF(M1932&lt;1,N1907,
(((M1932-1)*(M1908-(M1908/(M1932))))+((N1906/N$10)*N1907))/(N1908))))</f>
        <v>0</v>
      </c>
      <c r="O1932" s="1423">
        <f t="shared" ref="O1932" ca="1" si="2850">IF(AND(N1932&lt;1,O1906=0),0,
IF(O1906=0,N1932-1,
IF(N1932&lt;1,O1907,
(((N1932-1)*(N1908-(N1908/(N1932))))+((O1906/O$10)*O1907))/(O1908))))</f>
        <v>0</v>
      </c>
      <c r="P1932" s="1423">
        <f t="shared" ref="P1932" ca="1" si="2851">IF(AND(O1932&lt;1,P1906=0),0,
IF(P1906=0,O1932-1,
IF(O1932&lt;1,P1907,
(((O1932-1)*(O1908-(O1908/(O1932))))+((P1906/P$10)*P1907))/(P1908))))</f>
        <v>0</v>
      </c>
      <c r="Q1932" s="1423">
        <f t="shared" ref="Q1932" ca="1" si="2852">IF(AND(P1932&lt;1,Q1906=0),0,
IF(Q1906=0,P1932-1,
IF(P1932&lt;1,Q1907,
(((P1932-1)*(P1908-(P1908/(P1932))))+((Q1906/Q$10)*Q1907))/(Q1908))))</f>
        <v>0</v>
      </c>
      <c r="R1932" s="1423">
        <f t="shared" ref="R1932" ca="1" si="2853">IF(AND(Q1932&lt;1,R1906=0),0,
IF(R1906=0,Q1932-1,
IF(Q1932&lt;1,R1907,
(((Q1932-1)*(Q1908-(Q1908/(Q1932))))+((R1906/R$10)*R1907))/(R1908))))</f>
        <v>0</v>
      </c>
      <c r="S1932" s="1423">
        <f t="shared" ref="S1932" ca="1" si="2854">IF(AND(R1932&lt;1,S1906=0),0,
IF(S1906=0,R1932-1,
IF(R1932&lt;1,S1907,
(((R1932-1)*(R1908-(R1908/(R1932))))+((S1906/S$10)*S1907))/(S1908))))</f>
        <v>0</v>
      </c>
      <c r="T1932" s="1423">
        <f t="shared" ref="T1932" ca="1" si="2855">IF(AND(S1932&lt;1,T1906=0),0,
IF(T1906=0,S1932-1,
IF(S1932&lt;1,T1907,
(((S1932-1)*(S1908-(S1908/(S1932))))+((T1906/T$10)*T1907))/(T1908))))</f>
        <v>0</v>
      </c>
      <c r="U1932" s="1423">
        <f t="shared" ref="U1932" ca="1" si="2856">IF(AND(T1932&lt;1,U1906=0),0,
IF(U1906=0,T1932-1,
IF(T1932&lt;1,U1907,
(((T1932-1)*(T1908-(T1908/(T1932))))+((U1906/U$10)*U1907))/(U1908))))</f>
        <v>0</v>
      </c>
      <c r="V1932" s="1423">
        <f t="shared" ref="V1932" ca="1" si="2857">IF(AND(U1932&lt;1,V1906=0),0,
IF(V1906=0,U1932-1,
IF(U1932&lt;1,V1907,
(((U1932-1)*(U1908-(U1908/(U1932))))+((V1906/V$10)*V1907))/(V1908))))</f>
        <v>0</v>
      </c>
      <c r="W1932" s="1423">
        <f t="shared" ref="W1932" ca="1" si="2858">IF(AND(V1932&lt;1,W1906=0),0,
IF(W1906=0,V1932-1,
IF(V1932&lt;1,W1907,
(((V1932-1)*(V1908-(V1908/(V1932))))+((W1906/W$10)*W1907))/(W1908))))</f>
        <v>0</v>
      </c>
      <c r="X1932" s="152"/>
      <c r="Y1932" s="152"/>
      <c r="Z1932" s="152"/>
      <c r="AA1932" s="152"/>
      <c r="AB1932" s="152"/>
    </row>
    <row r="1933" spans="1:28" hidden="1" outlineLevel="1">
      <c r="A1933" s="152"/>
      <c r="B1933" s="190" t="s">
        <v>122</v>
      </c>
      <c r="C1933" s="1423">
        <f ca="1">C1905</f>
        <v>0</v>
      </c>
      <c r="D1933" s="1423">
        <f t="shared" ref="D1933" ca="1" si="2859">IF(C1933="n/a","n/a",MAX(0,C1933-1))</f>
        <v>0</v>
      </c>
      <c r="E1933" s="1423">
        <f t="shared" ref="E1933:E1934" ca="1" si="2860">IF(D1933="n/a","n/a",MAX(0,D1933-1))</f>
        <v>0</v>
      </c>
      <c r="F1933" s="1423">
        <f t="shared" ref="F1933:F1935" ca="1" si="2861">IF(E1933="n/a","n/a",MAX(0,E1933-1))</f>
        <v>0</v>
      </c>
      <c r="G1933" s="1423">
        <f t="shared" ref="G1933:G1936" ca="1" si="2862">IF(F1933="n/a","n/a",MAX(0,F1933-1))</f>
        <v>0</v>
      </c>
      <c r="H1933" s="1423">
        <f t="shared" ref="H1933:H1937" ca="1" si="2863">IF(G1933="n/a","n/a",MAX(0,G1933-1))</f>
        <v>0</v>
      </c>
      <c r="I1933" s="1423">
        <f t="shared" ref="I1933:I1938" ca="1" si="2864">IF(H1933="n/a","n/a",MAX(0,H1933-1))</f>
        <v>0</v>
      </c>
      <c r="J1933" s="1423">
        <f t="shared" ref="J1933:J1939" ca="1" si="2865">IF(I1933="n/a","n/a",MAX(0,I1933-1))</f>
        <v>0</v>
      </c>
      <c r="K1933" s="1423">
        <f t="shared" ref="K1933:K1940" ca="1" si="2866">IF(J1933="n/a","n/a",MAX(0,J1933-1))</f>
        <v>0</v>
      </c>
      <c r="L1933" s="1423">
        <f t="shared" ref="L1933:L1941" ca="1" si="2867">IF(K1933="n/a","n/a",MAX(0,K1933-1))</f>
        <v>0</v>
      </c>
      <c r="M1933" s="1423">
        <f t="shared" ref="M1933:M1942" ca="1" si="2868">IF(L1933="n/a","n/a",MAX(0,L1933-1))</f>
        <v>0</v>
      </c>
      <c r="N1933" s="1423">
        <f t="shared" ref="N1933:N1943" ca="1" si="2869">IF(M1933="n/a","n/a",MAX(0,M1933-1))</f>
        <v>0</v>
      </c>
      <c r="O1933" s="1423">
        <f t="shared" ref="O1933:O1944" ca="1" si="2870">IF(N1933="n/a","n/a",MAX(0,N1933-1))</f>
        <v>0</v>
      </c>
      <c r="P1933" s="1423">
        <f t="shared" ref="P1933:P1945" ca="1" si="2871">IF(O1933="n/a","n/a",MAX(0,O1933-1))</f>
        <v>0</v>
      </c>
      <c r="Q1933" s="1423">
        <f t="shared" ref="Q1933:Q1946" ca="1" si="2872">IF(P1933="n/a","n/a",MAX(0,P1933-1))</f>
        <v>0</v>
      </c>
      <c r="R1933" s="1423">
        <f t="shared" ref="R1933:R1947" ca="1" si="2873">IF(Q1933="n/a","n/a",MAX(0,Q1933-1))</f>
        <v>0</v>
      </c>
      <c r="S1933" s="1423">
        <f t="shared" ref="S1933:S1948" ca="1" si="2874">IF(R1933="n/a","n/a",MAX(0,R1933-1))</f>
        <v>0</v>
      </c>
      <c r="T1933" s="1423">
        <f t="shared" ref="T1933:T1949" ca="1" si="2875">IF(S1933="n/a","n/a",MAX(0,S1933-1))</f>
        <v>0</v>
      </c>
      <c r="U1933" s="1423">
        <f t="shared" ref="U1933:U1950" ca="1" si="2876">IF(T1933="n/a","n/a",MAX(0,T1933-1))</f>
        <v>0</v>
      </c>
      <c r="V1933" s="1423">
        <f t="shared" ref="V1933:V1951" ca="1" si="2877">IF(U1933="n/a","n/a",MAX(0,U1933-1))</f>
        <v>0</v>
      </c>
      <c r="W1933" s="1423">
        <f t="shared" ref="W1933:W1951" ca="1" si="2878">IF(V1933="n/a","n/a",MAX(0,V1933-1))</f>
        <v>0</v>
      </c>
      <c r="X1933" s="152"/>
      <c r="Y1933" s="152"/>
      <c r="Z1933" s="152"/>
      <c r="AA1933" s="152"/>
      <c r="AB1933" s="152"/>
    </row>
    <row r="1934" spans="1:28" hidden="1" outlineLevel="1">
      <c r="A1934" s="152"/>
      <c r="B1934" s="190" t="str">
        <f t="shared" ref="B1934:B1953" ca="1" si="2879">"RL Capex "&amp;OFFSET($C$6,0,A1910)</f>
        <v>RL Capex 2016-17</v>
      </c>
      <c r="C1934" s="1424"/>
      <c r="D1934" s="1428">
        <f>D1905</f>
        <v>0</v>
      </c>
      <c r="E1934" s="1423">
        <f t="shared" si="2860"/>
        <v>0</v>
      </c>
      <c r="F1934" s="1423">
        <f t="shared" si="2861"/>
        <v>0</v>
      </c>
      <c r="G1934" s="1423">
        <f t="shared" si="2862"/>
        <v>0</v>
      </c>
      <c r="H1934" s="1423">
        <f t="shared" si="2863"/>
        <v>0</v>
      </c>
      <c r="I1934" s="1423">
        <f t="shared" si="2864"/>
        <v>0</v>
      </c>
      <c r="J1934" s="1423">
        <f t="shared" si="2865"/>
        <v>0</v>
      </c>
      <c r="K1934" s="1423">
        <f t="shared" si="2866"/>
        <v>0</v>
      </c>
      <c r="L1934" s="1423">
        <f t="shared" si="2867"/>
        <v>0</v>
      </c>
      <c r="M1934" s="1423">
        <f t="shared" si="2868"/>
        <v>0</v>
      </c>
      <c r="N1934" s="1423">
        <f t="shared" si="2869"/>
        <v>0</v>
      </c>
      <c r="O1934" s="1423">
        <f t="shared" si="2870"/>
        <v>0</v>
      </c>
      <c r="P1934" s="1423">
        <f t="shared" si="2871"/>
        <v>0</v>
      </c>
      <c r="Q1934" s="1423">
        <f t="shared" si="2872"/>
        <v>0</v>
      </c>
      <c r="R1934" s="1423">
        <f t="shared" si="2873"/>
        <v>0</v>
      </c>
      <c r="S1934" s="1423">
        <f t="shared" si="2874"/>
        <v>0</v>
      </c>
      <c r="T1934" s="1423">
        <f t="shared" si="2875"/>
        <v>0</v>
      </c>
      <c r="U1934" s="1423">
        <f t="shared" si="2876"/>
        <v>0</v>
      </c>
      <c r="V1934" s="1423">
        <f t="shared" si="2877"/>
        <v>0</v>
      </c>
      <c r="W1934" s="1423">
        <f t="shared" si="2878"/>
        <v>0</v>
      </c>
      <c r="X1934" s="152"/>
      <c r="Y1934" s="152"/>
      <c r="Z1934" s="152"/>
      <c r="AA1934" s="152"/>
      <c r="AB1934" s="152"/>
    </row>
    <row r="1935" spans="1:28" hidden="1" outlineLevel="1">
      <c r="A1935" s="152"/>
      <c r="B1935" s="190" t="str">
        <f t="shared" ca="1" si="2879"/>
        <v>RL Capex 2017-18</v>
      </c>
      <c r="C1935" s="1429"/>
      <c r="D1935" s="1424"/>
      <c r="E1935" s="1428">
        <f>E1905</f>
        <v>0</v>
      </c>
      <c r="F1935" s="1423">
        <f t="shared" si="2861"/>
        <v>0</v>
      </c>
      <c r="G1935" s="1423">
        <f t="shared" si="2862"/>
        <v>0</v>
      </c>
      <c r="H1935" s="1423">
        <f t="shared" si="2863"/>
        <v>0</v>
      </c>
      <c r="I1935" s="1423">
        <f t="shared" si="2864"/>
        <v>0</v>
      </c>
      <c r="J1935" s="1423">
        <f t="shared" si="2865"/>
        <v>0</v>
      </c>
      <c r="K1935" s="1423">
        <f t="shared" si="2866"/>
        <v>0</v>
      </c>
      <c r="L1935" s="1423">
        <f t="shared" si="2867"/>
        <v>0</v>
      </c>
      <c r="M1935" s="1423">
        <f t="shared" si="2868"/>
        <v>0</v>
      </c>
      <c r="N1935" s="1423">
        <f t="shared" si="2869"/>
        <v>0</v>
      </c>
      <c r="O1935" s="1423">
        <f t="shared" si="2870"/>
        <v>0</v>
      </c>
      <c r="P1935" s="1423">
        <f t="shared" si="2871"/>
        <v>0</v>
      </c>
      <c r="Q1935" s="1423">
        <f t="shared" si="2872"/>
        <v>0</v>
      </c>
      <c r="R1935" s="1423">
        <f t="shared" si="2873"/>
        <v>0</v>
      </c>
      <c r="S1935" s="1423">
        <f t="shared" si="2874"/>
        <v>0</v>
      </c>
      <c r="T1935" s="1423">
        <f t="shared" si="2875"/>
        <v>0</v>
      </c>
      <c r="U1935" s="1423">
        <f t="shared" si="2876"/>
        <v>0</v>
      </c>
      <c r="V1935" s="1423">
        <f t="shared" si="2877"/>
        <v>0</v>
      </c>
      <c r="W1935" s="1423">
        <f t="shared" si="2878"/>
        <v>0</v>
      </c>
      <c r="X1935" s="152"/>
      <c r="Y1935" s="152"/>
      <c r="Z1935" s="152"/>
      <c r="AA1935" s="152"/>
      <c r="AB1935" s="152"/>
    </row>
    <row r="1936" spans="1:28" hidden="1" outlineLevel="1">
      <c r="A1936" s="152"/>
      <c r="B1936" s="190" t="str">
        <f t="shared" ca="1" si="2879"/>
        <v>RL Capex 2018-19</v>
      </c>
      <c r="C1936" s="1429"/>
      <c r="D1936" s="1429"/>
      <c r="E1936" s="1424"/>
      <c r="F1936" s="1428">
        <f>F1905</f>
        <v>0</v>
      </c>
      <c r="G1936" s="1423">
        <f t="shared" si="2862"/>
        <v>0</v>
      </c>
      <c r="H1936" s="1423">
        <f t="shared" si="2863"/>
        <v>0</v>
      </c>
      <c r="I1936" s="1423">
        <f t="shared" si="2864"/>
        <v>0</v>
      </c>
      <c r="J1936" s="1423">
        <f t="shared" si="2865"/>
        <v>0</v>
      </c>
      <c r="K1936" s="1423">
        <f t="shared" si="2866"/>
        <v>0</v>
      </c>
      <c r="L1936" s="1423">
        <f t="shared" si="2867"/>
        <v>0</v>
      </c>
      <c r="M1936" s="1423">
        <f t="shared" si="2868"/>
        <v>0</v>
      </c>
      <c r="N1936" s="1423">
        <f t="shared" si="2869"/>
        <v>0</v>
      </c>
      <c r="O1936" s="1423">
        <f t="shared" si="2870"/>
        <v>0</v>
      </c>
      <c r="P1936" s="1423">
        <f t="shared" si="2871"/>
        <v>0</v>
      </c>
      <c r="Q1936" s="1423">
        <f t="shared" si="2872"/>
        <v>0</v>
      </c>
      <c r="R1936" s="1423">
        <f t="shared" si="2873"/>
        <v>0</v>
      </c>
      <c r="S1936" s="1423">
        <f t="shared" si="2874"/>
        <v>0</v>
      </c>
      <c r="T1936" s="1423">
        <f t="shared" si="2875"/>
        <v>0</v>
      </c>
      <c r="U1936" s="1423">
        <f t="shared" si="2876"/>
        <v>0</v>
      </c>
      <c r="V1936" s="1423">
        <f t="shared" si="2877"/>
        <v>0</v>
      </c>
      <c r="W1936" s="1423">
        <f t="shared" si="2878"/>
        <v>0</v>
      </c>
      <c r="X1936" s="152"/>
      <c r="Y1936" s="152"/>
      <c r="Z1936" s="152"/>
      <c r="AA1936" s="152"/>
      <c r="AB1936" s="152"/>
    </row>
    <row r="1937" spans="1:28" hidden="1" outlineLevel="1">
      <c r="A1937" s="152"/>
      <c r="B1937" s="190" t="str">
        <f t="shared" ca="1" si="2879"/>
        <v>RL Capex 2019-20</v>
      </c>
      <c r="C1937" s="1429"/>
      <c r="D1937" s="1429"/>
      <c r="E1937" s="1429"/>
      <c r="F1937" s="1424"/>
      <c r="G1937" s="1428">
        <f>G1905</f>
        <v>0</v>
      </c>
      <c r="H1937" s="1423">
        <f t="shared" si="2863"/>
        <v>0</v>
      </c>
      <c r="I1937" s="1423">
        <f t="shared" si="2864"/>
        <v>0</v>
      </c>
      <c r="J1937" s="1423">
        <f t="shared" si="2865"/>
        <v>0</v>
      </c>
      <c r="K1937" s="1423">
        <f t="shared" si="2866"/>
        <v>0</v>
      </c>
      <c r="L1937" s="1423">
        <f t="shared" si="2867"/>
        <v>0</v>
      </c>
      <c r="M1937" s="1423">
        <f t="shared" si="2868"/>
        <v>0</v>
      </c>
      <c r="N1937" s="1423">
        <f t="shared" si="2869"/>
        <v>0</v>
      </c>
      <c r="O1937" s="1423">
        <f t="shared" si="2870"/>
        <v>0</v>
      </c>
      <c r="P1937" s="1423">
        <f t="shared" si="2871"/>
        <v>0</v>
      </c>
      <c r="Q1937" s="1423">
        <f t="shared" si="2872"/>
        <v>0</v>
      </c>
      <c r="R1937" s="1423">
        <f t="shared" si="2873"/>
        <v>0</v>
      </c>
      <c r="S1937" s="1423">
        <f t="shared" si="2874"/>
        <v>0</v>
      </c>
      <c r="T1937" s="1423">
        <f t="shared" si="2875"/>
        <v>0</v>
      </c>
      <c r="U1937" s="1423">
        <f t="shared" si="2876"/>
        <v>0</v>
      </c>
      <c r="V1937" s="1423">
        <f t="shared" si="2877"/>
        <v>0</v>
      </c>
      <c r="W1937" s="1423">
        <f t="shared" si="2878"/>
        <v>0</v>
      </c>
      <c r="X1937" s="152"/>
      <c r="Y1937" s="152"/>
      <c r="Z1937" s="152"/>
      <c r="AA1937" s="152"/>
      <c r="AB1937" s="152"/>
    </row>
    <row r="1938" spans="1:28" hidden="1" outlineLevel="1">
      <c r="A1938" s="152"/>
      <c r="B1938" s="190" t="str">
        <f t="shared" ca="1" si="2879"/>
        <v>RL Capex 2020-21</v>
      </c>
      <c r="C1938" s="1429"/>
      <c r="D1938" s="1429"/>
      <c r="E1938" s="1429"/>
      <c r="F1938" s="1429"/>
      <c r="G1938" s="1424"/>
      <c r="H1938" s="1428">
        <f>H1905</f>
        <v>0</v>
      </c>
      <c r="I1938" s="1423">
        <f t="shared" si="2864"/>
        <v>0</v>
      </c>
      <c r="J1938" s="1423">
        <f t="shared" si="2865"/>
        <v>0</v>
      </c>
      <c r="K1938" s="1423">
        <f t="shared" si="2866"/>
        <v>0</v>
      </c>
      <c r="L1938" s="1423">
        <f t="shared" si="2867"/>
        <v>0</v>
      </c>
      <c r="M1938" s="1423">
        <f t="shared" si="2868"/>
        <v>0</v>
      </c>
      <c r="N1938" s="1423">
        <f t="shared" si="2869"/>
        <v>0</v>
      </c>
      <c r="O1938" s="1423">
        <f t="shared" si="2870"/>
        <v>0</v>
      </c>
      <c r="P1938" s="1423">
        <f t="shared" si="2871"/>
        <v>0</v>
      </c>
      <c r="Q1938" s="1423">
        <f t="shared" si="2872"/>
        <v>0</v>
      </c>
      <c r="R1938" s="1423">
        <f t="shared" si="2873"/>
        <v>0</v>
      </c>
      <c r="S1938" s="1423">
        <f t="shared" si="2874"/>
        <v>0</v>
      </c>
      <c r="T1938" s="1423">
        <f t="shared" si="2875"/>
        <v>0</v>
      </c>
      <c r="U1938" s="1423">
        <f t="shared" si="2876"/>
        <v>0</v>
      </c>
      <c r="V1938" s="1423">
        <f t="shared" si="2877"/>
        <v>0</v>
      </c>
      <c r="W1938" s="1423">
        <f t="shared" si="2878"/>
        <v>0</v>
      </c>
      <c r="X1938" s="152"/>
      <c r="Y1938" s="152"/>
      <c r="Z1938" s="152"/>
      <c r="AA1938" s="152"/>
      <c r="AB1938" s="152"/>
    </row>
    <row r="1939" spans="1:28" hidden="1" outlineLevel="1">
      <c r="A1939" s="152"/>
      <c r="B1939" s="190" t="str">
        <f t="shared" ca="1" si="2879"/>
        <v>RL Capex 2021-22</v>
      </c>
      <c r="C1939" s="1429"/>
      <c r="D1939" s="1429"/>
      <c r="E1939" s="1429"/>
      <c r="F1939" s="1429"/>
      <c r="G1939" s="1429"/>
      <c r="H1939" s="1424"/>
      <c r="I1939" s="1428">
        <f>I1905</f>
        <v>0</v>
      </c>
      <c r="J1939" s="1423">
        <f t="shared" si="2865"/>
        <v>0</v>
      </c>
      <c r="K1939" s="1423">
        <f t="shared" si="2866"/>
        <v>0</v>
      </c>
      <c r="L1939" s="1423">
        <f t="shared" si="2867"/>
        <v>0</v>
      </c>
      <c r="M1939" s="1423">
        <f t="shared" si="2868"/>
        <v>0</v>
      </c>
      <c r="N1939" s="1423">
        <f t="shared" si="2869"/>
        <v>0</v>
      </c>
      <c r="O1939" s="1423">
        <f t="shared" si="2870"/>
        <v>0</v>
      </c>
      <c r="P1939" s="1423">
        <f t="shared" si="2871"/>
        <v>0</v>
      </c>
      <c r="Q1939" s="1423">
        <f t="shared" si="2872"/>
        <v>0</v>
      </c>
      <c r="R1939" s="1423">
        <f t="shared" si="2873"/>
        <v>0</v>
      </c>
      <c r="S1939" s="1423">
        <f t="shared" si="2874"/>
        <v>0</v>
      </c>
      <c r="T1939" s="1423">
        <f t="shared" si="2875"/>
        <v>0</v>
      </c>
      <c r="U1939" s="1423">
        <f t="shared" si="2876"/>
        <v>0</v>
      </c>
      <c r="V1939" s="1423">
        <f t="shared" si="2877"/>
        <v>0</v>
      </c>
      <c r="W1939" s="1423">
        <f t="shared" si="2878"/>
        <v>0</v>
      </c>
      <c r="X1939" s="152"/>
      <c r="Y1939" s="152"/>
      <c r="Z1939" s="152"/>
      <c r="AA1939" s="152"/>
      <c r="AB1939" s="152"/>
    </row>
    <row r="1940" spans="1:28" hidden="1" outlineLevel="1">
      <c r="A1940" s="152"/>
      <c r="B1940" s="190" t="str">
        <f t="shared" ca="1" si="2879"/>
        <v>RL Capex 2022-23</v>
      </c>
      <c r="C1940" s="1429"/>
      <c r="D1940" s="1429"/>
      <c r="E1940" s="1429"/>
      <c r="F1940" s="1429"/>
      <c r="G1940" s="1429"/>
      <c r="H1940" s="1429"/>
      <c r="I1940" s="1424"/>
      <c r="J1940" s="1428">
        <f>J1905</f>
        <v>0</v>
      </c>
      <c r="K1940" s="1423">
        <f t="shared" si="2866"/>
        <v>0</v>
      </c>
      <c r="L1940" s="1423">
        <f t="shared" si="2867"/>
        <v>0</v>
      </c>
      <c r="M1940" s="1423">
        <f t="shared" si="2868"/>
        <v>0</v>
      </c>
      <c r="N1940" s="1423">
        <f t="shared" si="2869"/>
        <v>0</v>
      </c>
      <c r="O1940" s="1423">
        <f t="shared" si="2870"/>
        <v>0</v>
      </c>
      <c r="P1940" s="1423">
        <f t="shared" si="2871"/>
        <v>0</v>
      </c>
      <c r="Q1940" s="1423">
        <f t="shared" si="2872"/>
        <v>0</v>
      </c>
      <c r="R1940" s="1423">
        <f t="shared" si="2873"/>
        <v>0</v>
      </c>
      <c r="S1940" s="1423">
        <f t="shared" si="2874"/>
        <v>0</v>
      </c>
      <c r="T1940" s="1423">
        <f t="shared" si="2875"/>
        <v>0</v>
      </c>
      <c r="U1940" s="1423">
        <f t="shared" si="2876"/>
        <v>0</v>
      </c>
      <c r="V1940" s="1423">
        <f t="shared" si="2877"/>
        <v>0</v>
      </c>
      <c r="W1940" s="1423">
        <f t="shared" si="2878"/>
        <v>0</v>
      </c>
      <c r="X1940" s="152"/>
      <c r="Y1940" s="152"/>
      <c r="Z1940" s="152"/>
      <c r="AA1940" s="152"/>
      <c r="AB1940" s="152"/>
    </row>
    <row r="1941" spans="1:28" hidden="1" outlineLevel="1">
      <c r="A1941" s="152"/>
      <c r="B1941" s="190" t="str">
        <f t="shared" ca="1" si="2879"/>
        <v>RL Capex 2023-24</v>
      </c>
      <c r="C1941" s="1429"/>
      <c r="D1941" s="1429"/>
      <c r="E1941" s="1429"/>
      <c r="F1941" s="1429"/>
      <c r="G1941" s="1429"/>
      <c r="H1941" s="1429"/>
      <c r="I1941" s="1429"/>
      <c r="J1941" s="1424"/>
      <c r="K1941" s="1428">
        <f>K1905</f>
        <v>0</v>
      </c>
      <c r="L1941" s="1423">
        <f t="shared" si="2867"/>
        <v>0</v>
      </c>
      <c r="M1941" s="1423">
        <f t="shared" si="2868"/>
        <v>0</v>
      </c>
      <c r="N1941" s="1423">
        <f t="shared" si="2869"/>
        <v>0</v>
      </c>
      <c r="O1941" s="1423">
        <f t="shared" si="2870"/>
        <v>0</v>
      </c>
      <c r="P1941" s="1423">
        <f t="shared" si="2871"/>
        <v>0</v>
      </c>
      <c r="Q1941" s="1423">
        <f t="shared" si="2872"/>
        <v>0</v>
      </c>
      <c r="R1941" s="1423">
        <f t="shared" si="2873"/>
        <v>0</v>
      </c>
      <c r="S1941" s="1423">
        <f t="shared" si="2874"/>
        <v>0</v>
      </c>
      <c r="T1941" s="1423">
        <f t="shared" si="2875"/>
        <v>0</v>
      </c>
      <c r="U1941" s="1423">
        <f t="shared" si="2876"/>
        <v>0</v>
      </c>
      <c r="V1941" s="1423">
        <f t="shared" si="2877"/>
        <v>0</v>
      </c>
      <c r="W1941" s="1423">
        <f t="shared" si="2878"/>
        <v>0</v>
      </c>
      <c r="X1941" s="152"/>
      <c r="Y1941" s="152"/>
      <c r="Z1941" s="152"/>
      <c r="AA1941" s="152"/>
      <c r="AB1941" s="152"/>
    </row>
    <row r="1942" spans="1:28" hidden="1" outlineLevel="1">
      <c r="A1942" s="152"/>
      <c r="B1942" s="190" t="str">
        <f t="shared" ca="1" si="2879"/>
        <v>RL Capex 2024-25</v>
      </c>
      <c r="C1942" s="1429"/>
      <c r="D1942" s="1429"/>
      <c r="E1942" s="1429"/>
      <c r="F1942" s="1429"/>
      <c r="G1942" s="1429"/>
      <c r="H1942" s="1429"/>
      <c r="I1942" s="1429"/>
      <c r="J1942" s="1429"/>
      <c r="K1942" s="1424"/>
      <c r="L1942" s="1428">
        <f>L1905</f>
        <v>0</v>
      </c>
      <c r="M1942" s="1423">
        <f t="shared" si="2868"/>
        <v>0</v>
      </c>
      <c r="N1942" s="1423">
        <f t="shared" si="2869"/>
        <v>0</v>
      </c>
      <c r="O1942" s="1423">
        <f t="shared" si="2870"/>
        <v>0</v>
      </c>
      <c r="P1942" s="1423">
        <f t="shared" si="2871"/>
        <v>0</v>
      </c>
      <c r="Q1942" s="1423">
        <f t="shared" si="2872"/>
        <v>0</v>
      </c>
      <c r="R1942" s="1423">
        <f t="shared" si="2873"/>
        <v>0</v>
      </c>
      <c r="S1942" s="1423">
        <f t="shared" si="2874"/>
        <v>0</v>
      </c>
      <c r="T1942" s="1423">
        <f t="shared" si="2875"/>
        <v>0</v>
      </c>
      <c r="U1942" s="1423">
        <f t="shared" si="2876"/>
        <v>0</v>
      </c>
      <c r="V1942" s="1423">
        <f t="shared" si="2877"/>
        <v>0</v>
      </c>
      <c r="W1942" s="1423">
        <f t="shared" si="2878"/>
        <v>0</v>
      </c>
      <c r="X1942" s="152"/>
      <c r="Y1942" s="152"/>
      <c r="Z1942" s="152"/>
      <c r="AA1942" s="152"/>
      <c r="AB1942" s="152"/>
    </row>
    <row r="1943" spans="1:28" hidden="1" outlineLevel="1">
      <c r="A1943" s="152"/>
      <c r="B1943" s="190" t="str">
        <f t="shared" ca="1" si="2879"/>
        <v>RL Capex 2025-26</v>
      </c>
      <c r="C1943" s="1429"/>
      <c r="D1943" s="1429"/>
      <c r="E1943" s="1429"/>
      <c r="F1943" s="1429"/>
      <c r="G1943" s="1429"/>
      <c r="H1943" s="1429"/>
      <c r="I1943" s="1429"/>
      <c r="J1943" s="1429"/>
      <c r="K1943" s="1429"/>
      <c r="L1943" s="1424"/>
      <c r="M1943" s="1428">
        <f>M1905</f>
        <v>0</v>
      </c>
      <c r="N1943" s="1423">
        <f t="shared" si="2869"/>
        <v>0</v>
      </c>
      <c r="O1943" s="1423">
        <f t="shared" si="2870"/>
        <v>0</v>
      </c>
      <c r="P1943" s="1423">
        <f t="shared" si="2871"/>
        <v>0</v>
      </c>
      <c r="Q1943" s="1423">
        <f t="shared" si="2872"/>
        <v>0</v>
      </c>
      <c r="R1943" s="1423">
        <f t="shared" si="2873"/>
        <v>0</v>
      </c>
      <c r="S1943" s="1423">
        <f t="shared" si="2874"/>
        <v>0</v>
      </c>
      <c r="T1943" s="1423">
        <f t="shared" si="2875"/>
        <v>0</v>
      </c>
      <c r="U1943" s="1423">
        <f t="shared" si="2876"/>
        <v>0</v>
      </c>
      <c r="V1943" s="1423">
        <f t="shared" si="2877"/>
        <v>0</v>
      </c>
      <c r="W1943" s="1423">
        <f t="shared" si="2878"/>
        <v>0</v>
      </c>
      <c r="X1943" s="152"/>
      <c r="Y1943" s="152"/>
      <c r="Z1943" s="152"/>
      <c r="AA1943" s="152"/>
      <c r="AB1943" s="152"/>
    </row>
    <row r="1944" spans="1:28" hidden="1" outlineLevel="1">
      <c r="A1944" s="152"/>
      <c r="B1944" s="190" t="str">
        <f t="shared" ca="1" si="2879"/>
        <v>RL Capex 2026-27</v>
      </c>
      <c r="C1944" s="1429"/>
      <c r="D1944" s="1429"/>
      <c r="E1944" s="1429"/>
      <c r="F1944" s="1429"/>
      <c r="G1944" s="1429"/>
      <c r="H1944" s="1429"/>
      <c r="I1944" s="1429"/>
      <c r="J1944" s="1429"/>
      <c r="K1944" s="1429"/>
      <c r="L1944" s="1429"/>
      <c r="M1944" s="1424"/>
      <c r="N1944" s="1428">
        <f>N1905</f>
        <v>0</v>
      </c>
      <c r="O1944" s="1423">
        <f t="shared" si="2870"/>
        <v>0</v>
      </c>
      <c r="P1944" s="1423">
        <f t="shared" si="2871"/>
        <v>0</v>
      </c>
      <c r="Q1944" s="1423">
        <f t="shared" si="2872"/>
        <v>0</v>
      </c>
      <c r="R1944" s="1423">
        <f t="shared" si="2873"/>
        <v>0</v>
      </c>
      <c r="S1944" s="1423">
        <f t="shared" si="2874"/>
        <v>0</v>
      </c>
      <c r="T1944" s="1423">
        <f t="shared" si="2875"/>
        <v>0</v>
      </c>
      <c r="U1944" s="1423">
        <f t="shared" si="2876"/>
        <v>0</v>
      </c>
      <c r="V1944" s="1423">
        <f t="shared" si="2877"/>
        <v>0</v>
      </c>
      <c r="W1944" s="1423">
        <f t="shared" si="2878"/>
        <v>0</v>
      </c>
      <c r="X1944" s="152"/>
      <c r="Y1944" s="152"/>
      <c r="Z1944" s="152"/>
      <c r="AA1944" s="152"/>
      <c r="AB1944" s="152"/>
    </row>
    <row r="1945" spans="1:28" hidden="1" outlineLevel="1">
      <c r="A1945" s="152"/>
      <c r="B1945" s="190" t="str">
        <f t="shared" ca="1" si="2879"/>
        <v>RL Capex 2027-28</v>
      </c>
      <c r="C1945" s="1429"/>
      <c r="D1945" s="1429"/>
      <c r="E1945" s="1429"/>
      <c r="F1945" s="1429"/>
      <c r="G1945" s="1429"/>
      <c r="H1945" s="1429"/>
      <c r="I1945" s="1429"/>
      <c r="J1945" s="1429"/>
      <c r="K1945" s="1429"/>
      <c r="L1945" s="1429"/>
      <c r="M1945" s="1429"/>
      <c r="N1945" s="1424"/>
      <c r="O1945" s="1428">
        <f>O1905</f>
        <v>0</v>
      </c>
      <c r="P1945" s="1423">
        <f t="shared" si="2871"/>
        <v>0</v>
      </c>
      <c r="Q1945" s="1423">
        <f t="shared" si="2872"/>
        <v>0</v>
      </c>
      <c r="R1945" s="1423">
        <f t="shared" si="2873"/>
        <v>0</v>
      </c>
      <c r="S1945" s="1423">
        <f t="shared" si="2874"/>
        <v>0</v>
      </c>
      <c r="T1945" s="1423">
        <f t="shared" si="2875"/>
        <v>0</v>
      </c>
      <c r="U1945" s="1423">
        <f t="shared" si="2876"/>
        <v>0</v>
      </c>
      <c r="V1945" s="1423">
        <f t="shared" si="2877"/>
        <v>0</v>
      </c>
      <c r="W1945" s="1423">
        <f t="shared" si="2878"/>
        <v>0</v>
      </c>
      <c r="X1945" s="152"/>
      <c r="Y1945" s="152"/>
      <c r="Z1945" s="152"/>
      <c r="AA1945" s="152"/>
      <c r="AB1945" s="152"/>
    </row>
    <row r="1946" spans="1:28" hidden="1" outlineLevel="1">
      <c r="A1946" s="152"/>
      <c r="B1946" s="190" t="str">
        <f t="shared" ca="1" si="2879"/>
        <v>RL Capex 2028-29</v>
      </c>
      <c r="C1946" s="1429"/>
      <c r="D1946" s="1429"/>
      <c r="E1946" s="1429"/>
      <c r="F1946" s="1429"/>
      <c r="G1946" s="1429"/>
      <c r="H1946" s="1429"/>
      <c r="I1946" s="1429"/>
      <c r="J1946" s="1429"/>
      <c r="K1946" s="1429"/>
      <c r="L1946" s="1429"/>
      <c r="M1946" s="1429"/>
      <c r="N1946" s="1429"/>
      <c r="O1946" s="1424"/>
      <c r="P1946" s="1428">
        <f>P1905</f>
        <v>0</v>
      </c>
      <c r="Q1946" s="1423">
        <f t="shared" si="2872"/>
        <v>0</v>
      </c>
      <c r="R1946" s="1423">
        <f t="shared" si="2873"/>
        <v>0</v>
      </c>
      <c r="S1946" s="1423">
        <f t="shared" si="2874"/>
        <v>0</v>
      </c>
      <c r="T1946" s="1423">
        <f t="shared" si="2875"/>
        <v>0</v>
      </c>
      <c r="U1946" s="1423">
        <f t="shared" si="2876"/>
        <v>0</v>
      </c>
      <c r="V1946" s="1423">
        <f t="shared" si="2877"/>
        <v>0</v>
      </c>
      <c r="W1946" s="1423">
        <f t="shared" si="2878"/>
        <v>0</v>
      </c>
      <c r="X1946" s="152"/>
      <c r="Y1946" s="152"/>
      <c r="Z1946" s="152"/>
      <c r="AA1946" s="152"/>
      <c r="AB1946" s="152"/>
    </row>
    <row r="1947" spans="1:28" hidden="1" outlineLevel="1">
      <c r="A1947" s="152"/>
      <c r="B1947" s="190" t="str">
        <f t="shared" ca="1" si="2879"/>
        <v>RL Capex 2029-30</v>
      </c>
      <c r="C1947" s="1429"/>
      <c r="D1947" s="1429"/>
      <c r="E1947" s="1429"/>
      <c r="F1947" s="1429"/>
      <c r="G1947" s="1429"/>
      <c r="H1947" s="1429"/>
      <c r="I1947" s="1429"/>
      <c r="J1947" s="1429"/>
      <c r="K1947" s="1429"/>
      <c r="L1947" s="1429"/>
      <c r="M1947" s="1429"/>
      <c r="N1947" s="1429"/>
      <c r="O1947" s="1429"/>
      <c r="P1947" s="1424"/>
      <c r="Q1947" s="1428">
        <f>Q1905</f>
        <v>0</v>
      </c>
      <c r="R1947" s="1423">
        <f t="shared" si="2873"/>
        <v>0</v>
      </c>
      <c r="S1947" s="1423">
        <f t="shared" si="2874"/>
        <v>0</v>
      </c>
      <c r="T1947" s="1423">
        <f t="shared" si="2875"/>
        <v>0</v>
      </c>
      <c r="U1947" s="1423">
        <f t="shared" si="2876"/>
        <v>0</v>
      </c>
      <c r="V1947" s="1423">
        <f t="shared" si="2877"/>
        <v>0</v>
      </c>
      <c r="W1947" s="1423">
        <f t="shared" si="2878"/>
        <v>0</v>
      </c>
      <c r="X1947" s="152"/>
      <c r="Y1947" s="152"/>
      <c r="Z1947" s="152"/>
      <c r="AA1947" s="152"/>
      <c r="AB1947" s="152"/>
    </row>
    <row r="1948" spans="1:28" hidden="1" outlineLevel="1">
      <c r="A1948" s="152"/>
      <c r="B1948" s="190" t="str">
        <f t="shared" ca="1" si="2879"/>
        <v>RL Capex 2030-31</v>
      </c>
      <c r="C1948" s="1429"/>
      <c r="D1948" s="1429"/>
      <c r="E1948" s="1429"/>
      <c r="F1948" s="1429"/>
      <c r="G1948" s="1429"/>
      <c r="H1948" s="1429"/>
      <c r="I1948" s="1429"/>
      <c r="J1948" s="1429"/>
      <c r="K1948" s="1429"/>
      <c r="L1948" s="1429"/>
      <c r="M1948" s="1429"/>
      <c r="N1948" s="1429"/>
      <c r="O1948" s="1429"/>
      <c r="P1948" s="1429"/>
      <c r="Q1948" s="1424"/>
      <c r="R1948" s="1428">
        <f>R1905</f>
        <v>0</v>
      </c>
      <c r="S1948" s="1423">
        <f t="shared" si="2874"/>
        <v>0</v>
      </c>
      <c r="T1948" s="1423">
        <f t="shared" si="2875"/>
        <v>0</v>
      </c>
      <c r="U1948" s="1423">
        <f t="shared" si="2876"/>
        <v>0</v>
      </c>
      <c r="V1948" s="1423">
        <f t="shared" si="2877"/>
        <v>0</v>
      </c>
      <c r="W1948" s="1423">
        <f t="shared" si="2878"/>
        <v>0</v>
      </c>
      <c r="X1948" s="152"/>
      <c r="Y1948" s="152"/>
      <c r="Z1948" s="152"/>
      <c r="AA1948" s="152"/>
      <c r="AB1948" s="152"/>
    </row>
    <row r="1949" spans="1:28" hidden="1" outlineLevel="1">
      <c r="A1949" s="152"/>
      <c r="B1949" s="190" t="str">
        <f t="shared" ca="1" si="2879"/>
        <v>RL Capex 2031-32</v>
      </c>
      <c r="C1949" s="1429"/>
      <c r="D1949" s="1429"/>
      <c r="E1949" s="1429"/>
      <c r="F1949" s="1429"/>
      <c r="G1949" s="1429"/>
      <c r="H1949" s="1429"/>
      <c r="I1949" s="1429"/>
      <c r="J1949" s="1429"/>
      <c r="K1949" s="1429"/>
      <c r="L1949" s="1429"/>
      <c r="M1949" s="1429"/>
      <c r="N1949" s="1429"/>
      <c r="O1949" s="1429"/>
      <c r="P1949" s="1429"/>
      <c r="Q1949" s="1429"/>
      <c r="R1949" s="1424"/>
      <c r="S1949" s="1428">
        <f>S1905</f>
        <v>0</v>
      </c>
      <c r="T1949" s="1423">
        <f t="shared" si="2875"/>
        <v>0</v>
      </c>
      <c r="U1949" s="1423">
        <f t="shared" si="2876"/>
        <v>0</v>
      </c>
      <c r="V1949" s="1423">
        <f t="shared" si="2877"/>
        <v>0</v>
      </c>
      <c r="W1949" s="1423">
        <f t="shared" si="2878"/>
        <v>0</v>
      </c>
      <c r="X1949" s="152"/>
      <c r="Y1949" s="152"/>
      <c r="Z1949" s="152"/>
      <c r="AA1949" s="152"/>
      <c r="AB1949" s="152"/>
    </row>
    <row r="1950" spans="1:28" hidden="1" outlineLevel="1">
      <c r="A1950" s="152"/>
      <c r="B1950" s="190" t="str">
        <f t="shared" ca="1" si="2879"/>
        <v>RL Capex 2032-33</v>
      </c>
      <c r="C1950" s="1429"/>
      <c r="D1950" s="1429"/>
      <c r="E1950" s="1429"/>
      <c r="F1950" s="1429"/>
      <c r="G1950" s="1429"/>
      <c r="H1950" s="1429"/>
      <c r="I1950" s="1429"/>
      <c r="J1950" s="1429"/>
      <c r="K1950" s="1429"/>
      <c r="L1950" s="1429"/>
      <c r="M1950" s="1429"/>
      <c r="N1950" s="1429"/>
      <c r="O1950" s="1429"/>
      <c r="P1950" s="1429"/>
      <c r="Q1950" s="1429"/>
      <c r="R1950" s="1429"/>
      <c r="S1950" s="1424"/>
      <c r="T1950" s="1428">
        <f>T1905</f>
        <v>0</v>
      </c>
      <c r="U1950" s="1423">
        <f t="shared" si="2876"/>
        <v>0</v>
      </c>
      <c r="V1950" s="1423">
        <f t="shared" si="2877"/>
        <v>0</v>
      </c>
      <c r="W1950" s="1423">
        <f t="shared" si="2878"/>
        <v>0</v>
      </c>
      <c r="X1950" s="152"/>
      <c r="Y1950" s="152"/>
      <c r="Z1950" s="152"/>
      <c r="AA1950" s="152"/>
      <c r="AB1950" s="152"/>
    </row>
    <row r="1951" spans="1:28" hidden="1" outlineLevel="1">
      <c r="A1951" s="152"/>
      <c r="B1951" s="190" t="str">
        <f t="shared" ca="1" si="2879"/>
        <v>RL Capex 2033-34</v>
      </c>
      <c r="C1951" s="1429"/>
      <c r="D1951" s="1429"/>
      <c r="E1951" s="1429"/>
      <c r="F1951" s="1429"/>
      <c r="G1951" s="1429"/>
      <c r="H1951" s="1429"/>
      <c r="I1951" s="1429"/>
      <c r="J1951" s="1429"/>
      <c r="K1951" s="1429"/>
      <c r="L1951" s="1429"/>
      <c r="M1951" s="1429"/>
      <c r="N1951" s="1429"/>
      <c r="O1951" s="1429"/>
      <c r="P1951" s="1429"/>
      <c r="Q1951" s="1429"/>
      <c r="R1951" s="1429"/>
      <c r="S1951" s="1429"/>
      <c r="T1951" s="1424"/>
      <c r="U1951" s="1428">
        <f>U1905</f>
        <v>0</v>
      </c>
      <c r="V1951" s="1423">
        <f t="shared" si="2877"/>
        <v>0</v>
      </c>
      <c r="W1951" s="1423">
        <f t="shared" si="2878"/>
        <v>0</v>
      </c>
      <c r="X1951" s="152"/>
      <c r="Y1951" s="152"/>
      <c r="Z1951" s="152"/>
      <c r="AA1951" s="152"/>
      <c r="AB1951" s="152"/>
    </row>
    <row r="1952" spans="1:28" hidden="1" outlineLevel="1">
      <c r="A1952" s="152"/>
      <c r="B1952" s="190" t="str">
        <f t="shared" ca="1" si="2879"/>
        <v>RL Capex 2034-35</v>
      </c>
      <c r="C1952" s="1429"/>
      <c r="D1952" s="1429"/>
      <c r="E1952" s="1429"/>
      <c r="F1952" s="1429"/>
      <c r="G1952" s="1429"/>
      <c r="H1952" s="1429"/>
      <c r="I1952" s="1429"/>
      <c r="J1952" s="1429"/>
      <c r="K1952" s="1429"/>
      <c r="L1952" s="1429"/>
      <c r="M1952" s="1429"/>
      <c r="N1952" s="1429"/>
      <c r="O1952" s="1429"/>
      <c r="P1952" s="1429"/>
      <c r="Q1952" s="1429"/>
      <c r="R1952" s="1429"/>
      <c r="S1952" s="1429"/>
      <c r="T1952" s="1429"/>
      <c r="U1952" s="1424"/>
      <c r="V1952" s="1428">
        <f>V1905</f>
        <v>0</v>
      </c>
      <c r="W1952" s="1423">
        <f>IF(V1952="n/a","n/a",MAX(0,V1952-1))</f>
        <v>0</v>
      </c>
      <c r="X1952" s="152"/>
      <c r="Y1952" s="152"/>
      <c r="Z1952" s="152"/>
      <c r="AA1952" s="152"/>
      <c r="AB1952" s="152"/>
    </row>
    <row r="1953" spans="1:28" hidden="1" outlineLevel="1">
      <c r="A1953" s="152"/>
      <c r="B1953" s="190" t="str">
        <f t="shared" ca="1" si="2879"/>
        <v>RL Capex 2035-36</v>
      </c>
      <c r="C1953" s="1429"/>
      <c r="D1953" s="1429"/>
      <c r="E1953" s="1429"/>
      <c r="F1953" s="1429"/>
      <c r="G1953" s="1429"/>
      <c r="H1953" s="1429"/>
      <c r="I1953" s="1429"/>
      <c r="J1953" s="1429"/>
      <c r="K1953" s="1429"/>
      <c r="L1953" s="1429"/>
      <c r="M1953" s="1429"/>
      <c r="N1953" s="1429"/>
      <c r="O1953" s="1429"/>
      <c r="P1953" s="1429"/>
      <c r="Q1953" s="1429"/>
      <c r="R1953" s="1429"/>
      <c r="S1953" s="1429"/>
      <c r="T1953" s="1429"/>
      <c r="U1953" s="1429"/>
      <c r="V1953" s="1424"/>
      <c r="W1953" s="1423">
        <f>W1905</f>
        <v>0</v>
      </c>
      <c r="X1953" s="152"/>
      <c r="Y1953" s="152"/>
      <c r="Z1953" s="152"/>
      <c r="AA1953" s="152"/>
      <c r="AB1953" s="152"/>
    </row>
    <row r="1954" spans="1:28" hidden="1" outlineLevel="1">
      <c r="A1954" s="152"/>
      <c r="B1954" s="200"/>
      <c r="C1954" s="1423"/>
      <c r="D1954" s="1423"/>
      <c r="E1954" s="1423"/>
      <c r="F1954" s="1423"/>
      <c r="G1954" s="1423"/>
      <c r="H1954" s="1423"/>
      <c r="I1954" s="1423"/>
      <c r="J1954" s="1423"/>
      <c r="K1954" s="1423"/>
      <c r="L1954" s="1423"/>
      <c r="M1954" s="1423"/>
      <c r="N1954" s="1423"/>
      <c r="O1954" s="1423"/>
      <c r="P1954" s="1423"/>
      <c r="Q1954" s="1423"/>
      <c r="R1954" s="1423"/>
      <c r="S1954" s="1423"/>
      <c r="T1954" s="1423"/>
      <c r="U1954" s="1423"/>
      <c r="V1954" s="1423"/>
      <c r="W1954" s="1423"/>
      <c r="X1954" s="152"/>
      <c r="Y1954" s="152"/>
      <c r="Z1954" s="152"/>
      <c r="AA1954" s="152"/>
      <c r="AB1954" s="152"/>
    </row>
    <row r="1955" spans="1:28" collapsed="1">
      <c r="A1955" s="194"/>
      <c r="B1955" s="204" t="s">
        <v>123</v>
      </c>
      <c r="C1955" s="1430">
        <f ca="1">(IF(OR($C1905&lt;&gt;"n/a",C1905&lt;&gt;"n/a"),IF(SUM(C1908:C1930)=0,0,IF((SUMPRODUCT(C1908:C1930,C1932:C1954)/SUM(C1908:C1930))&lt;0,1,(SUMPRODUCT(C1908:C1930,C1932:C1954)/SUM(C1908:C1930)))),"n/a"))</f>
        <v>0</v>
      </c>
      <c r="D1955" s="1430">
        <f ca="1">(IF(OR($C1905&lt;&gt;"n/a",D1905&lt;&gt;"n/a"),IF(SUM(D1908:D1930)=0,0,IF((SUMPRODUCT(D1908:D1930,D1932:D1954)/SUM(D1908:D1930))&lt;0,1,(SUMPRODUCT(D1908:D1930,D1932:D1954)/SUM(D1908:D1930)))),"n/a"))</f>
        <v>0</v>
      </c>
      <c r="E1955" s="1430">
        <f t="shared" ref="E1955:W1955" ca="1" si="2880">(IF(OR($C1905&lt;&gt;"n/a",E1905&lt;&gt;"n/a"),IF(SUM(E1908:E1930)=0,0,IF((SUMPRODUCT(E1908:E1930,E1932:E1954)/SUM(E1908:E1930))&lt;0,1,(SUMPRODUCT(E1908:E1930,E1932:E1954)/SUM(E1908:E1930)))),"n/a"))</f>
        <v>0</v>
      </c>
      <c r="F1955" s="1430">
        <f t="shared" ca="1" si="2880"/>
        <v>0</v>
      </c>
      <c r="G1955" s="1430">
        <f t="shared" ca="1" si="2880"/>
        <v>0</v>
      </c>
      <c r="H1955" s="1430">
        <f t="shared" ca="1" si="2880"/>
        <v>0</v>
      </c>
      <c r="I1955" s="1430">
        <f t="shared" ca="1" si="2880"/>
        <v>0</v>
      </c>
      <c r="J1955" s="1430">
        <f t="shared" ca="1" si="2880"/>
        <v>0</v>
      </c>
      <c r="K1955" s="1430">
        <f t="shared" ca="1" si="2880"/>
        <v>0</v>
      </c>
      <c r="L1955" s="1430">
        <f t="shared" ca="1" si="2880"/>
        <v>0</v>
      </c>
      <c r="M1955" s="1430">
        <f t="shared" ca="1" si="2880"/>
        <v>0</v>
      </c>
      <c r="N1955" s="1430">
        <f t="shared" ca="1" si="2880"/>
        <v>0</v>
      </c>
      <c r="O1955" s="1430">
        <f t="shared" ca="1" si="2880"/>
        <v>0</v>
      </c>
      <c r="P1955" s="1430">
        <f t="shared" ca="1" si="2880"/>
        <v>0</v>
      </c>
      <c r="Q1955" s="1430">
        <f t="shared" ca="1" si="2880"/>
        <v>0</v>
      </c>
      <c r="R1955" s="1430">
        <f t="shared" ca="1" si="2880"/>
        <v>0</v>
      </c>
      <c r="S1955" s="1430">
        <f t="shared" ca="1" si="2880"/>
        <v>0</v>
      </c>
      <c r="T1955" s="1430">
        <f t="shared" ca="1" si="2880"/>
        <v>0</v>
      </c>
      <c r="U1955" s="1430">
        <f t="shared" ca="1" si="2880"/>
        <v>0</v>
      </c>
      <c r="V1955" s="1430">
        <f t="shared" ca="1" si="2880"/>
        <v>0</v>
      </c>
      <c r="W1955" s="1430">
        <f t="shared" ca="1" si="2880"/>
        <v>0</v>
      </c>
      <c r="X1955" s="152"/>
      <c r="Y1955" s="152"/>
      <c r="Z1955" s="152"/>
      <c r="AA1955" s="152"/>
      <c r="AB1955" s="152"/>
    </row>
    <row r="1956" spans="1:28">
      <c r="A1956" s="152"/>
      <c r="B1956" s="152"/>
      <c r="C1956" s="1423"/>
      <c r="D1956" s="1423"/>
      <c r="E1956" s="1423"/>
      <c r="F1956" s="1423"/>
      <c r="G1956" s="1423"/>
      <c r="H1956" s="1423"/>
      <c r="I1956" s="1423"/>
      <c r="J1956" s="1423"/>
      <c r="K1956" s="1423"/>
      <c r="L1956" s="1423"/>
      <c r="M1956" s="1423"/>
      <c r="N1956" s="1423"/>
      <c r="O1956" s="1423"/>
      <c r="P1956" s="1423"/>
      <c r="Q1956" s="1423"/>
      <c r="R1956" s="1423"/>
      <c r="S1956" s="1423"/>
      <c r="T1956" s="1423"/>
      <c r="U1956" s="1423"/>
      <c r="V1956" s="1423"/>
      <c r="W1956" s="1423"/>
      <c r="X1956" s="152"/>
      <c r="Y1956" s="152"/>
      <c r="Z1956" s="152"/>
      <c r="AA1956" s="152"/>
      <c r="AB1956" s="152"/>
    </row>
    <row r="1957" spans="1:28">
      <c r="A1957" s="269" t="s">
        <v>103</v>
      </c>
      <c r="B1957" s="270">
        <f>VLOOKUP($A1957,'RFM input'!$E$7:$F$56,2,FALSE)</f>
        <v>0</v>
      </c>
      <c r="C1957" s="1431"/>
      <c r="D1957" s="1431"/>
      <c r="E1957" s="1432"/>
      <c r="F1957" s="1432"/>
      <c r="G1957" s="1432"/>
      <c r="H1957" s="1432"/>
      <c r="I1957" s="1432"/>
      <c r="J1957" s="1432"/>
      <c r="K1957" s="1432"/>
      <c r="L1957" s="1432"/>
      <c r="M1957" s="1432"/>
      <c r="N1957" s="1432"/>
      <c r="O1957" s="1432"/>
      <c r="P1957" s="1432"/>
      <c r="Q1957" s="1432"/>
      <c r="R1957" s="1432"/>
      <c r="S1957" s="1432"/>
      <c r="T1957" s="1432"/>
      <c r="U1957" s="1432"/>
      <c r="V1957" s="1432"/>
      <c r="W1957" s="1432"/>
      <c r="X1957" s="152"/>
      <c r="Y1957" s="152"/>
      <c r="Z1957" s="152"/>
      <c r="AA1957" s="152"/>
      <c r="AB1957" s="152"/>
    </row>
    <row r="1958" spans="1:28">
      <c r="A1958" s="215">
        <f>VALUE(REPLACE(A1957,1,12,""))</f>
        <v>37</v>
      </c>
      <c r="B1958" s="193" t="s">
        <v>126</v>
      </c>
      <c r="C1958" s="1416">
        <f ca="1">IF($C$8='Capital Base roll forward'!$H$4,OFFSET('Capital Base roll forward'!$H$717,'RAB remaining lives'!A1958,0),"enter input")</f>
        <v>0</v>
      </c>
      <c r="D1958" s="1417">
        <f>IF(LEFT(D$6,4)&lt;LEFT('RFM input'!$G$60,4),"enter input",IF(LEFT(D$6,4)&gt;LEFT('RFM input'!$Q$60,4),0,INDEX('RFM input'!$G$61:$Q$110,$A1958,MATCH(D$6,'RFM input'!$G$60:$Q$60,0))
-INDEX('RFM input'!$G$115:$Q$164,$A1958,MATCH(D$6,'RFM input'!$G$60:$Q$60,0))
-INDEX('RFM input'!$G$169:$Q$218,$A1958,MATCH(D$6,'RFM input'!$G$60:$Q$60,0))))</f>
        <v>0</v>
      </c>
      <c r="E1958" s="1417">
        <f>IF(LEFT(E$6,4)&lt;LEFT('RFM input'!$G$60,4),"enter input",IF(LEFT(E$6,4)&gt;LEFT('RFM input'!$Q$60,4),0,INDEX('RFM input'!$G$61:$Q$110,$A1958,MATCH(E$6,'RFM input'!$G$60:$Q$60,0))
-INDEX('RFM input'!$G$115:$Q$164,$A1958,MATCH(E$6,'RFM input'!$G$60:$Q$60,0))
-INDEX('RFM input'!$G$169:$Q$218,$A1958,MATCH(E$6,'RFM input'!$G$60:$Q$60,0))))</f>
        <v>0</v>
      </c>
      <c r="F1958" s="1417">
        <f>IF(LEFT(F$6,4)&lt;LEFT('RFM input'!$G$60,4),"enter input",IF(LEFT(F$6,4)&gt;LEFT('RFM input'!$Q$60,4),0,INDEX('RFM input'!$G$61:$Q$110,$A1958,MATCH(F$6,'RFM input'!$G$60:$Q$60,0))
-INDEX('RFM input'!$G$115:$Q$164,$A1958,MATCH(F$6,'RFM input'!$G$60:$Q$60,0))
-INDEX('RFM input'!$G$169:$Q$218,$A1958,MATCH(F$6,'RFM input'!$G$60:$Q$60,0))))</f>
        <v>0</v>
      </c>
      <c r="G1958" s="1417">
        <f>IF(LEFT(G$6,4)&lt;LEFT('RFM input'!$G$60,4),"enter input",IF(LEFT(G$6,4)&gt;LEFT('RFM input'!$Q$60,4),0,INDEX('RFM input'!$G$61:$Q$110,$A1958,MATCH(G$6,'RFM input'!$G$60:$Q$60,0))
-INDEX('RFM input'!$G$115:$Q$164,$A1958,MATCH(G$6,'RFM input'!$G$60:$Q$60,0))
-INDEX('RFM input'!$G$169:$Q$218,$A1958,MATCH(G$6,'RFM input'!$G$60:$Q$60,0))))</f>
        <v>0</v>
      </c>
      <c r="H1958" s="1417">
        <f>IF(LEFT(H$6,4)&lt;LEFT('RFM input'!$G$60,4),"enter input",IF(LEFT(H$6,4)&gt;LEFT('RFM input'!$Q$60,4),0,INDEX('RFM input'!$G$61:$Q$110,$A1958,MATCH(H$6,'RFM input'!$G$60:$Q$60,0))
-INDEX('RFM input'!$G$115:$Q$164,$A1958,MATCH(H$6,'RFM input'!$G$60:$Q$60,0))
-INDEX('RFM input'!$G$169:$Q$218,$A1958,MATCH(H$6,'RFM input'!$G$60:$Q$60,0))))</f>
        <v>0</v>
      </c>
      <c r="I1958" s="1417">
        <f>IF(LEFT(I$6,4)&lt;LEFT('RFM input'!$G$60,4),"enter input",IF(LEFT(I$6,4)&gt;LEFT('RFM input'!$Q$60,4),0,INDEX('RFM input'!$G$61:$Q$110,$A1958,MATCH(I$6,'RFM input'!$G$60:$Q$60,0))
-INDEX('RFM input'!$G$115:$Q$164,$A1958,MATCH(I$6,'RFM input'!$G$60:$Q$60,0))
-INDEX('RFM input'!$G$169:$Q$218,$A1958,MATCH(I$6,'RFM input'!$G$60:$Q$60,0))))</f>
        <v>0</v>
      </c>
      <c r="J1958" s="1417">
        <f>IF(LEFT(J$6,4)&lt;LEFT('RFM input'!$G$60,4),"enter input",IF(LEFT(J$6,4)&gt;LEFT('RFM input'!$Q$60,4),0,INDEX('RFM input'!$G$61:$Q$110,$A1958,MATCH(J$6,'RFM input'!$G$60:$Q$60,0))
-INDEX('RFM input'!$G$115:$Q$164,$A1958,MATCH(J$6,'RFM input'!$G$60:$Q$60,0))
-INDEX('RFM input'!$G$169:$Q$218,$A1958,MATCH(J$6,'RFM input'!$G$60:$Q$60,0))))</f>
        <v>0</v>
      </c>
      <c r="K1958" s="1417">
        <f>IF(LEFT(K$6,4)&lt;LEFT('RFM input'!$G$60,4),"enter input",IF(LEFT(K$6,4)&gt;LEFT('RFM input'!$Q$60,4),0,INDEX('RFM input'!$G$61:$Q$110,$A1958,MATCH(K$6,'RFM input'!$G$60:$Q$60,0))
-INDEX('RFM input'!$G$115:$Q$164,$A1958,MATCH(K$6,'RFM input'!$G$60:$Q$60,0))
-INDEX('RFM input'!$G$169:$Q$218,$A1958,MATCH(K$6,'RFM input'!$G$60:$Q$60,0))))</f>
        <v>0</v>
      </c>
      <c r="L1958" s="1417">
        <f>IF(LEFT(L$6,4)&lt;LEFT('RFM input'!$G$60,4),"enter input",IF(LEFT(L$6,4)&gt;LEFT('RFM input'!$Q$60,4),0,INDEX('RFM input'!$G$61:$Q$110,$A1958,MATCH(L$6,'RFM input'!$G$60:$Q$60,0))
-INDEX('RFM input'!$G$115:$Q$164,$A1958,MATCH(L$6,'RFM input'!$G$60:$Q$60,0))
-INDEX('RFM input'!$G$169:$Q$218,$A1958,MATCH(L$6,'RFM input'!$G$60:$Q$60,0))))</f>
        <v>0</v>
      </c>
      <c r="M1958" s="1417">
        <f>IF(LEFT(M$6,4)&lt;LEFT('RFM input'!$G$60,4),"enter input",IF(LEFT(M$6,4)&gt;LEFT('RFM input'!$Q$60,4),0,INDEX('RFM input'!$G$61:$Q$110,$A1958,MATCH(M$6,'RFM input'!$G$60:$Q$60,0))
-INDEX('RFM input'!$G$115:$Q$164,$A1958,MATCH(M$6,'RFM input'!$G$60:$Q$60,0))
-INDEX('RFM input'!$G$169:$Q$218,$A1958,MATCH(M$6,'RFM input'!$G$60:$Q$60,0))))</f>
        <v>0</v>
      </c>
      <c r="N1958" s="1417">
        <f>IF(LEFT(N$6,4)&lt;LEFT('RFM input'!$G$60,4),"enter input",IF(LEFT(N$6,4)&gt;LEFT('RFM input'!$Q$60,4),0,INDEX('RFM input'!$G$61:$Q$110,$A1958,MATCH(N$6,'RFM input'!$G$60:$Q$60,0))
-INDEX('RFM input'!$G$115:$Q$164,$A1958,MATCH(N$6,'RFM input'!$G$60:$Q$60,0))
-INDEX('RFM input'!$G$169:$Q$218,$A1958,MATCH(N$6,'RFM input'!$G$60:$Q$60,0))))</f>
        <v>0</v>
      </c>
      <c r="O1958" s="1417">
        <f>IF(LEFT(O$6,4)&lt;LEFT('RFM input'!$G$60,4),"enter input",IF(LEFT(O$6,4)&gt;LEFT('RFM input'!$Q$60,4),0,INDEX('RFM input'!$G$61:$Q$110,$A1958,MATCH(O$6,'RFM input'!$G$60:$Q$60,0))
-INDEX('RFM input'!$G$115:$Q$164,$A1958,MATCH(O$6,'RFM input'!$G$60:$Q$60,0))
-INDEX('RFM input'!$G$169:$Q$218,$A1958,MATCH(O$6,'RFM input'!$G$60:$Q$60,0))))</f>
        <v>0</v>
      </c>
      <c r="P1958" s="1417">
        <f>IF(LEFT(P$6,4)&lt;LEFT('RFM input'!$G$60,4),"enter input",IF(LEFT(P$6,4)&gt;LEFT('RFM input'!$Q$60,4),0,INDEX('RFM input'!$G$61:$Q$110,$A1958,MATCH(P$6,'RFM input'!$G$60:$Q$60,0))
-INDEX('RFM input'!$G$115:$Q$164,$A1958,MATCH(P$6,'RFM input'!$G$60:$Q$60,0))
-INDEX('RFM input'!$G$169:$Q$218,$A1958,MATCH(P$6,'RFM input'!$G$60:$Q$60,0))))</f>
        <v>0</v>
      </c>
      <c r="Q1958" s="1417">
        <f>IF(LEFT(Q$6,4)&lt;LEFT('RFM input'!$G$60,4),"enter input",IF(LEFT(Q$6,4)&gt;LEFT('RFM input'!$Q$60,4),0,INDEX('RFM input'!$G$61:$Q$110,$A1958,MATCH(Q$6,'RFM input'!$G$60:$Q$60,0))
-INDEX('RFM input'!$G$115:$Q$164,$A1958,MATCH(Q$6,'RFM input'!$G$60:$Q$60,0))
-INDEX('RFM input'!$G$169:$Q$218,$A1958,MATCH(Q$6,'RFM input'!$G$60:$Q$60,0))))</f>
        <v>0</v>
      </c>
      <c r="R1958" s="1417">
        <f>IF(LEFT(R$6,4)&lt;LEFT('RFM input'!$G$60,4),"enter input",IF(LEFT(R$6,4)&gt;LEFT('RFM input'!$Q$60,4),0,INDEX('RFM input'!$G$61:$Q$110,$A1958,MATCH(R$6,'RFM input'!$G$60:$Q$60,0))
-INDEX('RFM input'!$G$115:$Q$164,$A1958,MATCH(R$6,'RFM input'!$G$60:$Q$60,0))
-INDEX('RFM input'!$G$169:$Q$218,$A1958,MATCH(R$6,'RFM input'!$G$60:$Q$60,0))))</f>
        <v>0</v>
      </c>
      <c r="S1958" s="1417">
        <f>IF(LEFT(S$6,4)&lt;LEFT('RFM input'!$G$60,4),"enter input",IF(LEFT(S$6,4)&gt;LEFT('RFM input'!$Q$60,4),0,INDEX('RFM input'!$G$61:$Q$110,$A1958,MATCH(S$6,'RFM input'!$G$60:$Q$60,0))
-INDEX('RFM input'!$G$115:$Q$164,$A1958,MATCH(S$6,'RFM input'!$G$60:$Q$60,0))
-INDEX('RFM input'!$G$169:$Q$218,$A1958,MATCH(S$6,'RFM input'!$G$60:$Q$60,0))))</f>
        <v>0</v>
      </c>
      <c r="T1958" s="1417">
        <f>IF(LEFT(T$6,4)&lt;LEFT('RFM input'!$G$60,4),"enter input",IF(LEFT(T$6,4)&gt;LEFT('RFM input'!$Q$60,4),0,INDEX('RFM input'!$G$61:$Q$110,$A1958,MATCH(T$6,'RFM input'!$G$60:$Q$60,0))
-INDEX('RFM input'!$G$115:$Q$164,$A1958,MATCH(T$6,'RFM input'!$G$60:$Q$60,0))
-INDEX('RFM input'!$G$169:$Q$218,$A1958,MATCH(T$6,'RFM input'!$G$60:$Q$60,0))))</f>
        <v>0</v>
      </c>
      <c r="U1958" s="1417">
        <f>IF(LEFT(U$6,4)&lt;LEFT('RFM input'!$G$60,4),"enter input",IF(LEFT(U$6,4)&gt;LEFT('RFM input'!$Q$60,4),0,INDEX('RFM input'!$G$61:$Q$110,$A1958,MATCH(U$6,'RFM input'!$G$60:$Q$60,0))
-INDEX('RFM input'!$G$115:$Q$164,$A1958,MATCH(U$6,'RFM input'!$G$60:$Q$60,0))
-INDEX('RFM input'!$G$169:$Q$218,$A1958,MATCH(U$6,'RFM input'!$G$60:$Q$60,0))))</f>
        <v>0</v>
      </c>
      <c r="V1958" s="1417">
        <f>IF(LEFT(V$6,4)&lt;LEFT('RFM input'!$G$60,4),"enter input",IF(LEFT(V$6,4)&gt;LEFT('RFM input'!$Q$60,4),0,INDEX('RFM input'!$G$61:$Q$110,$A1958,MATCH(V$6,'RFM input'!$G$60:$Q$60,0))
-INDEX('RFM input'!$G$115:$Q$164,$A1958,MATCH(V$6,'RFM input'!$G$60:$Q$60,0))
-INDEX('RFM input'!$G$169:$Q$218,$A1958,MATCH(V$6,'RFM input'!$G$60:$Q$60,0))))</f>
        <v>0</v>
      </c>
      <c r="W1958" s="1417">
        <f>IF(LEFT(W$6,4)&lt;LEFT('RFM input'!$G$60,4),"enter input",IF(LEFT(W$6,4)&gt;LEFT('RFM input'!$Q$60,4),0,INDEX('RFM input'!$G$61:$Q$110,$A1958,MATCH(W$6,'RFM input'!$G$60:$Q$60,0))
-INDEX('RFM input'!$G$115:$Q$164,$A1958,MATCH(W$6,'RFM input'!$G$60:$Q$60,0))
-INDEX('RFM input'!$G$169:$Q$218,$A1958,MATCH(W$6,'RFM input'!$G$60:$Q$60,0))))</f>
        <v>0</v>
      </c>
      <c r="X1958" s="152"/>
      <c r="Y1958" s="152"/>
      <c r="Z1958" s="152"/>
      <c r="AA1958" s="152"/>
      <c r="AB1958" s="152"/>
    </row>
    <row r="1959" spans="1:28">
      <c r="A1959" s="152"/>
      <c r="B1959" s="152" t="s">
        <v>204</v>
      </c>
      <c r="C1959" s="1418">
        <f ca="1">IF($C$8='Capital Base roll forward'!$H$4,OFFSET('RFM input'!$J$6,'RAB remaining lives'!A1958,0),"enter input")</f>
        <v>0</v>
      </c>
      <c r="D1959" s="1417">
        <f>IF(LEFT(D$6,4)&lt;=LEFT('RFM input'!$G$60,4),"enter input",IF(LEFT(D$6,4)&gt;LEFT('RFM input'!$Q$60,4),0,IF(MATCH(D$6,'RFM input'!$H$60:$Q$60,0),INDEX('RFM input'!$K$7:$K$56,$A1958,1))))</f>
        <v>0</v>
      </c>
      <c r="E1959" s="1417">
        <f>IF(LEFT(E$6,4)&lt;=LEFT('RFM input'!$G$60,4),"enter input",IF(LEFT(E$6,4)&gt;LEFT('RFM input'!$Q$60,4),0,IF(MATCH(E$6,'RFM input'!$H$60:$Q$60,0),INDEX('RFM input'!$K$7:$K$56,$A1958,1))))</f>
        <v>0</v>
      </c>
      <c r="F1959" s="1417">
        <f>IF(LEFT(F$6,4)&lt;=LEFT('RFM input'!$G$60,4),"enter input",IF(LEFT(F$6,4)&gt;LEFT('RFM input'!$Q$60,4),0,IF(MATCH(F$6,'RFM input'!$H$60:$Q$60,0),INDEX('RFM input'!$K$7:$K$56,$A1958,1))))</f>
        <v>0</v>
      </c>
      <c r="G1959" s="1417">
        <f>IF(LEFT(G$6,4)&lt;=LEFT('RFM input'!$G$60,4),"enter input",IF(LEFT(G$6,4)&gt;LEFT('RFM input'!$Q$60,4),0,IF(MATCH(G$6,'RFM input'!$H$60:$Q$60,0),INDEX('RFM input'!$K$7:$K$56,$A1958,1))))</f>
        <v>0</v>
      </c>
      <c r="H1959" s="1417">
        <f>IF(LEFT(H$6,4)&lt;=LEFT('RFM input'!$G$60,4),"enter input",IF(LEFT(H$6,4)&gt;LEFT('RFM input'!$Q$60,4),0,IF(MATCH(H$6,'RFM input'!$H$60:$Q$60,0),INDEX('RFM input'!$K$7:$K$56,$A1958,1))))</f>
        <v>0</v>
      </c>
      <c r="I1959" s="1417">
        <f>IF(LEFT(I$6,4)&lt;=LEFT('RFM input'!$G$60,4),"enter input",IF(LEFT(I$6,4)&gt;LEFT('RFM input'!$Q$60,4),0,IF(MATCH(I$6,'RFM input'!$H$60:$Q$60,0),INDEX('RFM input'!$K$7:$K$56,$A1958,1))))</f>
        <v>0</v>
      </c>
      <c r="J1959" s="1417">
        <f>IF(LEFT(J$6,4)&lt;=LEFT('RFM input'!$G$60,4),"enter input",IF(LEFT(J$6,4)&gt;LEFT('RFM input'!$Q$60,4),0,IF(MATCH(J$6,'RFM input'!$H$60:$Q$60,0),INDEX('RFM input'!$K$7:$K$56,$A1958,1))))</f>
        <v>0</v>
      </c>
      <c r="K1959" s="1417">
        <f>IF(LEFT(K$6,4)&lt;=LEFT('RFM input'!$G$60,4),"enter input",IF(LEFT(K$6,4)&gt;LEFT('RFM input'!$Q$60,4),0,IF(MATCH(K$6,'RFM input'!$H$60:$Q$60,0),INDEX('RFM input'!$K$7:$K$56,$A1958,1))))</f>
        <v>0</v>
      </c>
      <c r="L1959" s="1417">
        <f>IF(LEFT(L$6,4)&lt;=LEFT('RFM input'!$G$60,4),"enter input",IF(LEFT(L$6,4)&gt;LEFT('RFM input'!$Q$60,4),0,IF(MATCH(L$6,'RFM input'!$H$60:$Q$60,0),INDEX('RFM input'!$K$7:$K$56,$A1958,1))))</f>
        <v>0</v>
      </c>
      <c r="M1959" s="1417">
        <f>IF(LEFT(M$6,4)&lt;=LEFT('RFM input'!$G$60,4),"enter input",IF(LEFT(M$6,4)&gt;LEFT('RFM input'!$Q$60,4),0,IF(MATCH(M$6,'RFM input'!$H$60:$Q$60,0),INDEX('RFM input'!$K$7:$K$56,$A1958,1))))</f>
        <v>0</v>
      </c>
      <c r="N1959" s="1417">
        <f>IF(LEFT(N$6,4)&lt;=LEFT('RFM input'!$G$60,4),"enter input",IF(LEFT(N$6,4)&gt;LEFT('RFM input'!$Q$60,4),0,IF(MATCH(N$6,'RFM input'!$H$60:$Q$60,0),INDEX('RFM input'!$K$7:$K$56,$A1958,1))))</f>
        <v>0</v>
      </c>
      <c r="O1959" s="1417">
        <f>IF(LEFT(O$6,4)&lt;=LEFT('RFM input'!$G$60,4),"enter input",IF(LEFT(O$6,4)&gt;LEFT('RFM input'!$Q$60,4),0,IF(MATCH(O$6,'RFM input'!$H$60:$Q$60,0),INDEX('RFM input'!$K$7:$K$56,$A1958,1))))</f>
        <v>0</v>
      </c>
      <c r="P1959" s="1417">
        <f>IF(LEFT(P$6,4)&lt;=LEFT('RFM input'!$G$60,4),"enter input",IF(LEFT(P$6,4)&gt;LEFT('RFM input'!$Q$60,4),0,IF(MATCH(P$6,'RFM input'!$H$60:$Q$60,0),INDEX('RFM input'!$K$7:$K$56,$A1958,1))))</f>
        <v>0</v>
      </c>
      <c r="Q1959" s="1417">
        <f>IF(LEFT(Q$6,4)&lt;=LEFT('RFM input'!$G$60,4),"enter input",IF(LEFT(Q$6,4)&gt;LEFT('RFM input'!$Q$60,4),0,IF(MATCH(Q$6,'RFM input'!$H$60:$Q$60,0),INDEX('RFM input'!$K$7:$K$56,$A1958,1))))</f>
        <v>0</v>
      </c>
      <c r="R1959" s="1417">
        <f>IF(LEFT(R$6,4)&lt;=LEFT('RFM input'!$G$60,4),"enter input",IF(LEFT(R$6,4)&gt;LEFT('RFM input'!$Q$60,4),0,IF(MATCH(R$6,'RFM input'!$H$60:$Q$60,0),INDEX('RFM input'!$K$7:$K$56,$A1958,1))))</f>
        <v>0</v>
      </c>
      <c r="S1959" s="1417">
        <f>IF(LEFT(S$6,4)&lt;=LEFT('RFM input'!$G$60,4),"enter input",IF(LEFT(S$6,4)&gt;LEFT('RFM input'!$Q$60,4),0,IF(MATCH(S$6,'RFM input'!$H$60:$Q$60,0),INDEX('RFM input'!$K$7:$K$56,$A1958,1))))</f>
        <v>0</v>
      </c>
      <c r="T1959" s="1417">
        <f>IF(LEFT(T$6,4)&lt;=LEFT('RFM input'!$G$60,4),"enter input",IF(LEFT(T$6,4)&gt;LEFT('RFM input'!$Q$60,4),0,IF(MATCH(T$6,'RFM input'!$H$60:$Q$60,0),INDEX('RFM input'!$K$7:$K$56,$A1958,1))))</f>
        <v>0</v>
      </c>
      <c r="U1959" s="1417">
        <f>IF(LEFT(U$6,4)&lt;=LEFT('RFM input'!$G$60,4),"enter input",IF(LEFT(U$6,4)&gt;LEFT('RFM input'!$Q$60,4),0,IF(MATCH(U$6,'RFM input'!$H$60:$Q$60,0),INDEX('RFM input'!$K$7:$K$56,$A1958,1))))</f>
        <v>0</v>
      </c>
      <c r="V1959" s="1417">
        <f>IF(LEFT(V$6,4)&lt;=LEFT('RFM input'!$G$60,4),"enter input",IF(LEFT(V$6,4)&gt;LEFT('RFM input'!$Q$60,4),0,IF(MATCH(V$6,'RFM input'!$H$60:$Q$60,0),INDEX('RFM input'!$K$7:$K$56,$A1958,1))))</f>
        <v>0</v>
      </c>
      <c r="W1959" s="1417">
        <f>IF(LEFT(W$6,4)&lt;=LEFT('RFM input'!$G$60,4),"enter input",IF(LEFT(W$6,4)&gt;LEFT('RFM input'!$Q$60,4),0,IF(MATCH(W$6,'RFM input'!$H$60:$Q$60,0),INDEX('RFM input'!$K$7:$K$56,$A1958,1))))</f>
        <v>0</v>
      </c>
      <c r="X1959" s="152"/>
      <c r="Y1959" s="152"/>
      <c r="Z1959" s="152"/>
      <c r="AA1959" s="152"/>
      <c r="AB1959" s="152"/>
    </row>
    <row r="1960" spans="1:28">
      <c r="A1960" s="152"/>
      <c r="B1960" s="177" t="s">
        <v>191</v>
      </c>
      <c r="C1960" s="1419"/>
      <c r="D1960" s="1420">
        <f ca="1">IF(LEFT(D$6,4)&lt;=LEFT('RFM input'!$G$60,4),"enter input",IF(LEFT(D$6,4)&gt;LEFT('RFM input'!$Q$60,4),0,IF(D$6=(OFFSET('RFM input'!$G$60,0,'RFM input'!$V$7)),OFFSET('RFM input'!$G$411,$A1958,0),0)))</f>
        <v>0</v>
      </c>
      <c r="E1960" s="1417">
        <f ca="1">IF(LEFT(E$6,4)&lt;=LEFT('RFM input'!$G$60,4),"enter input",IF(LEFT(E$6,4)&gt;LEFT('RFM input'!$Q$60,4),0,IF(E$6=(OFFSET('RFM input'!$G$60,0,'RFM input'!$V$7)),OFFSET('RFM input'!$G$411,$A1958,0),0)))</f>
        <v>0</v>
      </c>
      <c r="F1960" s="1417">
        <f ca="1">IF(LEFT(F$6,4)&lt;=LEFT('RFM input'!$G$60,4),"enter input",IF(LEFT(F$6,4)&gt;LEFT('RFM input'!$Q$60,4),0,IF(F$6=(OFFSET('RFM input'!$G$60,0,'RFM input'!$V$7)),OFFSET('RFM input'!$G$411,$A1958,0),0)))</f>
        <v>0</v>
      </c>
      <c r="G1960" s="1417">
        <f ca="1">IF(LEFT(G$6,4)&lt;=LEFT('RFM input'!$G$60,4),"enter input",IF(LEFT(G$6,4)&gt;LEFT('RFM input'!$Q$60,4),0,IF(G$6=(OFFSET('RFM input'!$G$60,0,'RFM input'!$V$7)),OFFSET('RFM input'!$G$411,$A1958,0),0)))</f>
        <v>0</v>
      </c>
      <c r="H1960" s="1417">
        <f ca="1">IF(LEFT(H$6,4)&lt;=LEFT('RFM input'!$G$60,4),"enter input",IF(LEFT(H$6,4)&gt;LEFT('RFM input'!$Q$60,4),0,IF(H$6=(OFFSET('RFM input'!$G$60,0,'RFM input'!$V$7)),OFFSET('RFM input'!$G$411,$A1958,0),0)))</f>
        <v>0</v>
      </c>
      <c r="I1960" s="1417">
        <f ca="1">IF(LEFT(I$6,4)&lt;=LEFT('RFM input'!$G$60,4),"enter input",IF(LEFT(I$6,4)&gt;LEFT('RFM input'!$Q$60,4),0,IF(I$6=(OFFSET('RFM input'!$G$60,0,'RFM input'!$V$7)),OFFSET('RFM input'!$G$411,$A1958,0),0)))</f>
        <v>0</v>
      </c>
      <c r="J1960" s="1417">
        <f ca="1">IF(LEFT(J$6,4)&lt;=LEFT('RFM input'!$G$60,4),"enter input",IF(LEFT(J$6,4)&gt;LEFT('RFM input'!$Q$60,4),0,IF(J$6=(OFFSET('RFM input'!$G$60,0,'RFM input'!$V$7)),OFFSET('RFM input'!$G$411,$A1958,0),0)))</f>
        <v>0</v>
      </c>
      <c r="K1960" s="1417">
        <f ca="1">IF(LEFT(K$6,4)&lt;=LEFT('RFM input'!$G$60,4),"enter input",IF(LEFT(K$6,4)&gt;LEFT('RFM input'!$Q$60,4),0,IF(K$6=(OFFSET('RFM input'!$G$60,0,'RFM input'!$V$7)),OFFSET('RFM input'!$G$411,$A1958,0),0)))</f>
        <v>0</v>
      </c>
      <c r="L1960" s="1417">
        <f ca="1">IF(LEFT(L$6,4)&lt;=LEFT('RFM input'!$G$60,4),"enter input",IF(LEFT(L$6,4)&gt;LEFT('RFM input'!$Q$60,4),0,IF(L$6=(OFFSET('RFM input'!$G$60,0,'RFM input'!$V$7)),OFFSET('RFM input'!$G$411,$A1958,0),0)))</f>
        <v>0</v>
      </c>
      <c r="M1960" s="1417">
        <f ca="1">IF(LEFT(M$6,4)&lt;=LEFT('RFM input'!$G$60,4),"enter input",IF(LEFT(M$6,4)&gt;LEFT('RFM input'!$Q$60,4),0,IF(M$6=(OFFSET('RFM input'!$G$60,0,'RFM input'!$V$7)),OFFSET('RFM input'!$G$411,$A1958,0),0)))</f>
        <v>0</v>
      </c>
      <c r="N1960" s="1417">
        <f ca="1">IF(LEFT(N$6,4)&lt;=LEFT('RFM input'!$G$60,4),"enter input",IF(LEFT(N$6,4)&gt;LEFT('RFM input'!$Q$60,4),0,IF(N$6=(OFFSET('RFM input'!$G$60,0,'RFM input'!$V$7)),OFFSET('RFM input'!$G$411,$A1958,0),0)))</f>
        <v>0</v>
      </c>
      <c r="O1960" s="1417">
        <f ca="1">IF(LEFT(O$6,4)&lt;=LEFT('RFM input'!$G$60,4),"enter input",IF(LEFT(O$6,4)&gt;LEFT('RFM input'!$Q$60,4),0,IF(O$6=(OFFSET('RFM input'!$G$60,0,'RFM input'!$V$7)),OFFSET('RFM input'!$G$411,$A1958,0),0)))</f>
        <v>0</v>
      </c>
      <c r="P1960" s="1417">
        <f ca="1">IF(LEFT(P$6,4)&lt;=LEFT('RFM input'!$G$60,4),"enter input",IF(LEFT(P$6,4)&gt;LEFT('RFM input'!$Q$60,4),0,IF(P$6=(OFFSET('RFM input'!$G$60,0,'RFM input'!$V$7)),OFFSET('RFM input'!$G$411,$A1958,0),0)))</f>
        <v>0</v>
      </c>
      <c r="Q1960" s="1417">
        <f ca="1">IF(LEFT(Q$6,4)&lt;=LEFT('RFM input'!$G$60,4),"enter input",IF(LEFT(Q$6,4)&gt;LEFT('RFM input'!$Q$60,4),0,IF(Q$6=(OFFSET('RFM input'!$G$60,0,'RFM input'!$V$7)),OFFSET('RFM input'!$G$411,$A1958,0),0)))</f>
        <v>0</v>
      </c>
      <c r="R1960" s="1417">
        <f ca="1">IF(LEFT(R$6,4)&lt;=LEFT('RFM input'!$G$60,4),"enter input",IF(LEFT(R$6,4)&gt;LEFT('RFM input'!$Q$60,4),0,IF(R$6=(OFFSET('RFM input'!$G$60,0,'RFM input'!$V$7)),OFFSET('RFM input'!$G$411,$A1958,0),0)))</f>
        <v>0</v>
      </c>
      <c r="S1960" s="1417">
        <f ca="1">IF(LEFT(S$6,4)&lt;=LEFT('RFM input'!$G$60,4),"enter input",IF(LEFT(S$6,4)&gt;LEFT('RFM input'!$Q$60,4),0,IF(S$6=(OFFSET('RFM input'!$G$60,0,'RFM input'!$V$7)),OFFSET('RFM input'!$G$411,$A1958,0),0)))</f>
        <v>0</v>
      </c>
      <c r="T1960" s="1417">
        <f ca="1">IF(LEFT(T$6,4)&lt;=LEFT('RFM input'!$G$60,4),"enter input",IF(LEFT(T$6,4)&gt;LEFT('RFM input'!$Q$60,4),0,IF(T$6=(OFFSET('RFM input'!$G$60,0,'RFM input'!$V$7)),OFFSET('RFM input'!$G$411,$A1958,0),0)))</f>
        <v>0</v>
      </c>
      <c r="U1960" s="1417">
        <f ca="1">IF(LEFT(U$6,4)&lt;=LEFT('RFM input'!$G$60,4),"enter input",IF(LEFT(U$6,4)&gt;LEFT('RFM input'!$Q$60,4),0,IF(U$6=(OFFSET('RFM input'!$G$60,0,'RFM input'!$V$7)),OFFSET('RFM input'!$G$411,$A1958,0),0)))</f>
        <v>0</v>
      </c>
      <c r="V1960" s="1417">
        <f ca="1">IF(LEFT(V$6,4)&lt;=LEFT('RFM input'!$G$60,4),"enter input",IF(LEFT(V$6,4)&gt;LEFT('RFM input'!$Q$60,4),0,IF(V$6=(OFFSET('RFM input'!$G$60,0,'RFM input'!$V$7)),OFFSET('RFM input'!$G$411,$A1958,0),0)))</f>
        <v>0</v>
      </c>
      <c r="W1960" s="1417">
        <f ca="1">IF(LEFT(W$6,4)&lt;=LEFT('RFM input'!$G$60,4),"enter input",IF(LEFT(W$6,4)&gt;LEFT('RFM input'!$Q$60,4),0,IF(W$6=(OFFSET('RFM input'!$G$60,0,'RFM input'!$V$7)),OFFSET('RFM input'!$G$411,$A1958,0),0)))</f>
        <v>0</v>
      </c>
      <c r="X1960" s="152"/>
      <c r="Y1960" s="152"/>
      <c r="Z1960" s="152"/>
      <c r="AA1960" s="152"/>
      <c r="AB1960" s="152"/>
    </row>
    <row r="1961" spans="1:28">
      <c r="A1961" s="152"/>
      <c r="B1961" s="195" t="s">
        <v>197</v>
      </c>
      <c r="C1961" s="1419"/>
      <c r="D1961" s="1418">
        <f ca="1">IF(LEFT(D$6,4)&lt;=LEFT('RFM input'!$G$60,4),"enter input",IF(LEFT(D$6,4)&gt;LEFT('RFM input'!$Q$60,4),0,IF(D$6=(OFFSET('RFM input'!$G$60,0,'RFM input'!$V$7)),OFFSET('RFM input'!$I$411,$A1958,0),0)))</f>
        <v>0</v>
      </c>
      <c r="E1961" s="1422">
        <f ca="1">IF(LEFT(E$6,4)&lt;=LEFT('RFM input'!$G$60,4),"enter input",IF(LEFT(E$6,4)&gt;LEFT('RFM input'!$Q$60,4),0,IF(E$6=(OFFSET('RFM input'!$G$60,0,'RFM input'!$V$7)),OFFSET('RFM input'!$I$411,$A1958,0),0)))</f>
        <v>0</v>
      </c>
      <c r="F1961" s="1422">
        <f ca="1">IF(LEFT(F$6,4)&lt;=LEFT('RFM input'!$G$60,4),"enter input",IF(LEFT(F$6,4)&gt;LEFT('RFM input'!$Q$60,4),0,IF(F$6=(OFFSET('RFM input'!$G$60,0,'RFM input'!$V$7)),OFFSET('RFM input'!$I$411,$A1958,0),0)))</f>
        <v>0</v>
      </c>
      <c r="G1961" s="1422">
        <f ca="1">IF(LEFT(G$6,4)&lt;=LEFT('RFM input'!$G$60,4),"enter input",IF(LEFT(G$6,4)&gt;LEFT('RFM input'!$Q$60,4),0,IF(G$6=(OFFSET('RFM input'!$G$60,0,'RFM input'!$V$7)),OFFSET('RFM input'!$I$411,$A1958,0),0)))</f>
        <v>0</v>
      </c>
      <c r="H1961" s="1422">
        <f ca="1">IF(LEFT(H$6,4)&lt;=LEFT('RFM input'!$G$60,4),"enter input",IF(LEFT(H$6,4)&gt;LEFT('RFM input'!$Q$60,4),0,IF(H$6=(OFFSET('RFM input'!$G$60,0,'RFM input'!$V$7)),OFFSET('RFM input'!$I$411,$A1958,0),0)))</f>
        <v>0</v>
      </c>
      <c r="I1961" s="1422">
        <f ca="1">IF(LEFT(I$6,4)&lt;=LEFT('RFM input'!$G$60,4),"enter input",IF(LEFT(I$6,4)&gt;LEFT('RFM input'!$Q$60,4),0,IF(I$6=(OFFSET('RFM input'!$G$60,0,'RFM input'!$V$7)),OFFSET('RFM input'!$I$411,$A1958,0),0)))</f>
        <v>0</v>
      </c>
      <c r="J1961" s="1422">
        <f ca="1">IF(LEFT(J$6,4)&lt;=LEFT('RFM input'!$G$60,4),"enter input",IF(LEFT(J$6,4)&gt;LEFT('RFM input'!$Q$60,4),0,IF(J$6=(OFFSET('RFM input'!$G$60,0,'RFM input'!$V$7)),OFFSET('RFM input'!$I$411,$A1958,0),0)))</f>
        <v>0</v>
      </c>
      <c r="K1961" s="1422">
        <f ca="1">IF(LEFT(K$6,4)&lt;=LEFT('RFM input'!$G$60,4),"enter input",IF(LEFT(K$6,4)&gt;LEFT('RFM input'!$Q$60,4),0,IF(K$6=(OFFSET('RFM input'!$G$60,0,'RFM input'!$V$7)),OFFSET('RFM input'!$I$411,$A1958,0),0)))</f>
        <v>0</v>
      </c>
      <c r="L1961" s="1422">
        <f ca="1">IF(LEFT(L$6,4)&lt;=LEFT('RFM input'!$G$60,4),"enter input",IF(LEFT(L$6,4)&gt;LEFT('RFM input'!$Q$60,4),0,IF(L$6=(OFFSET('RFM input'!$G$60,0,'RFM input'!$V$7)),OFFSET('RFM input'!$I$411,$A1958,0),0)))</f>
        <v>0</v>
      </c>
      <c r="M1961" s="1422">
        <f ca="1">IF(LEFT(M$6,4)&lt;=LEFT('RFM input'!$G$60,4),"enter input",IF(LEFT(M$6,4)&gt;LEFT('RFM input'!$Q$60,4),0,IF(M$6=(OFFSET('RFM input'!$G$60,0,'RFM input'!$V$7)),OFFSET('RFM input'!$I$411,$A1958,0),0)))</f>
        <v>0</v>
      </c>
      <c r="N1961" s="1422">
        <f ca="1">IF(LEFT(N$6,4)&lt;=LEFT('RFM input'!$G$60,4),"enter input",IF(LEFT(N$6,4)&gt;LEFT('RFM input'!$Q$60,4),0,IF(N$6=(OFFSET('RFM input'!$G$60,0,'RFM input'!$V$7)),OFFSET('RFM input'!$I$411,$A1958,0),0)))</f>
        <v>0</v>
      </c>
      <c r="O1961" s="1422">
        <f ca="1">IF(LEFT(O$6,4)&lt;=LEFT('RFM input'!$G$60,4),"enter input",IF(LEFT(O$6,4)&gt;LEFT('RFM input'!$Q$60,4),0,IF(O$6=(OFFSET('RFM input'!$G$60,0,'RFM input'!$V$7)),OFFSET('RFM input'!$I$411,$A1958,0),0)))</f>
        <v>0</v>
      </c>
      <c r="P1961" s="1422">
        <f ca="1">IF(LEFT(P$6,4)&lt;=LEFT('RFM input'!$G$60,4),"enter input",IF(LEFT(P$6,4)&gt;LEFT('RFM input'!$Q$60,4),0,IF(P$6=(OFFSET('RFM input'!$G$60,0,'RFM input'!$V$7)),OFFSET('RFM input'!$I$411,$A1958,0),0)))</f>
        <v>0</v>
      </c>
      <c r="Q1961" s="1422">
        <f ca="1">IF(LEFT(Q$6,4)&lt;=LEFT('RFM input'!$G$60,4),"enter input",IF(LEFT(Q$6,4)&gt;LEFT('RFM input'!$Q$60,4),0,IF(Q$6=(OFFSET('RFM input'!$G$60,0,'RFM input'!$V$7)),OFFSET('RFM input'!$I$411,$A1958,0),0)))</f>
        <v>0</v>
      </c>
      <c r="R1961" s="1422">
        <f ca="1">IF(LEFT(R$6,4)&lt;=LEFT('RFM input'!$G$60,4),"enter input",IF(LEFT(R$6,4)&gt;LEFT('RFM input'!$Q$60,4),0,IF(R$6=(OFFSET('RFM input'!$G$60,0,'RFM input'!$V$7)),OFFSET('RFM input'!$I$411,$A1958,0),0)))</f>
        <v>0</v>
      </c>
      <c r="S1961" s="1422">
        <f ca="1">IF(LEFT(S$6,4)&lt;=LEFT('RFM input'!$G$60,4),"enter input",IF(LEFT(S$6,4)&gt;LEFT('RFM input'!$Q$60,4),0,IF(S$6=(OFFSET('RFM input'!$G$60,0,'RFM input'!$V$7)),OFFSET('RFM input'!$I$411,$A1958,0),0)))</f>
        <v>0</v>
      </c>
      <c r="T1961" s="1422">
        <f ca="1">IF(LEFT(T$6,4)&lt;=LEFT('RFM input'!$G$60,4),"enter input",IF(LEFT(T$6,4)&gt;LEFT('RFM input'!$Q$60,4),0,IF(T$6=(OFFSET('RFM input'!$G$60,0,'RFM input'!$V$7)),OFFSET('RFM input'!$I$411,$A1958,0),0)))</f>
        <v>0</v>
      </c>
      <c r="U1961" s="1422">
        <f ca="1">IF(LEFT(U$6,4)&lt;=LEFT('RFM input'!$G$60,4),"enter input",IF(LEFT(U$6,4)&gt;LEFT('RFM input'!$Q$60,4),0,IF(U$6=(OFFSET('RFM input'!$G$60,0,'RFM input'!$V$7)),OFFSET('RFM input'!$I$411,$A1958,0),0)))</f>
        <v>0</v>
      </c>
      <c r="V1961" s="1422">
        <f ca="1">IF(LEFT(V$6,4)&lt;=LEFT('RFM input'!$G$60,4),"enter input",IF(LEFT(V$6,4)&gt;LEFT('RFM input'!$Q$60,4),0,IF(V$6=(OFFSET('RFM input'!$G$60,0,'RFM input'!$V$7)),OFFSET('RFM input'!$I$411,$A1958,0),0)))</f>
        <v>0</v>
      </c>
      <c r="W1961" s="1422">
        <f ca="1">IF(LEFT(W$6,4)&lt;=LEFT('RFM input'!$G$60,4),"enter input",IF(LEFT(W$6,4)&gt;LEFT('RFM input'!$Q$60,4),0,IF(W$6=(OFFSET('RFM input'!$G$60,0,'RFM input'!$V$7)),OFFSET('RFM input'!$I$411,$A1958,0),0)))</f>
        <v>0</v>
      </c>
      <c r="X1961" s="152"/>
      <c r="Y1961" s="152"/>
      <c r="Z1961" s="152"/>
      <c r="AA1961" s="152"/>
      <c r="AB1961" s="152"/>
    </row>
    <row r="1962" spans="1:28" hidden="1" outlineLevel="1">
      <c r="A1962" s="235">
        <v>-1</v>
      </c>
      <c r="B1962" s="190" t="s">
        <v>189</v>
      </c>
      <c r="C1962" s="1423"/>
      <c r="D1962" s="1423">
        <f ca="1">IF(AND(D1960=0,C1962=0),0,
IF(AND(D1960&lt;&gt;0,C1962=0),(D1960/D$10),
IF(AND(D1961&lt;&gt;0,C1962&lt;&gt;0),(C1962-(C1962/C1986))+(D1960/D$10),
IF(C1986&lt;1,0,(C1962-(C1962/C1986))))))</f>
        <v>0</v>
      </c>
      <c r="E1962" s="1423">
        <f t="shared" ref="E1962" ca="1" si="2881">IF(AND(E1960=0,D1962=0),0,
IF(AND(E1960&lt;&gt;0,D1962=0),(E1960/E$10),
IF(AND(E1961&lt;&gt;0,D1962&lt;&gt;0),(D1962-(D1962/D1986))+(E1960/E$10),
IF(D1986&lt;1,0,(D1962-(D1962/D1986))))))</f>
        <v>0</v>
      </c>
      <c r="F1962" s="1423">
        <f t="shared" ref="F1962" ca="1" si="2882">IF(AND(F1960=0,E1962=0),0,
IF(AND(F1960&lt;&gt;0,E1962=0),(F1960/F$10),
IF(AND(F1961&lt;&gt;0,E1962&lt;&gt;0),(E1962-(E1962/E1986))+(F1960/F$10),
IF(E1986&lt;1,0,(E1962-(E1962/E1986))))))</f>
        <v>0</v>
      </c>
      <c r="G1962" s="1423">
        <f t="shared" ref="G1962" ca="1" si="2883">IF(AND(G1960=0,F1962=0),0,
IF(AND(G1960&lt;&gt;0,F1962=0),(G1960/G$10),
IF(AND(G1961&lt;&gt;0,F1962&lt;&gt;0),(F1962-(F1962/F1986))+(G1960/G$10),
IF(F1986&lt;1,0,(F1962-(F1962/F1986))))))</f>
        <v>0</v>
      </c>
      <c r="H1962" s="1423">
        <f t="shared" ref="H1962" ca="1" si="2884">IF(AND(H1960=0,G1962=0),0,
IF(AND(H1960&lt;&gt;0,G1962=0),(H1960/H$10),
IF(AND(H1961&lt;&gt;0,G1962&lt;&gt;0),(G1962-(G1962/G1986))+(H1960/H$10),
IF(G1986&lt;1,0,(G1962-(G1962/G1986))))))</f>
        <v>0</v>
      </c>
      <c r="I1962" s="1423">
        <f t="shared" ref="I1962" ca="1" si="2885">IF(AND(I1960=0,H1962=0),0,
IF(AND(I1960&lt;&gt;0,H1962=0),(I1960/I$10),
IF(AND(I1961&lt;&gt;0,H1962&lt;&gt;0),(H1962-(H1962/H1986))+(I1960/I$10),
IF(H1986&lt;1,0,(H1962-(H1962/H1986))))))</f>
        <v>0</v>
      </c>
      <c r="J1962" s="1423">
        <f t="shared" ref="J1962" ca="1" si="2886">IF(AND(J1960=0,I1962=0),0,
IF(AND(J1960&lt;&gt;0,I1962=0),(J1960/J$10),
IF(AND(J1961&lt;&gt;0,I1962&lt;&gt;0),(I1962-(I1962/I1986))+(J1960/J$10),
IF(I1986&lt;1,0,(I1962-(I1962/I1986))))))</f>
        <v>0</v>
      </c>
      <c r="K1962" s="1423">
        <f t="shared" ref="K1962" ca="1" si="2887">IF(AND(K1960=0,J1962=0),0,
IF(AND(K1960&lt;&gt;0,J1962=0),(K1960/K$10),
IF(AND(K1961&lt;&gt;0,J1962&lt;&gt;0),(J1962-(J1962/J1986))+(K1960/K$10),
IF(J1986&lt;1,0,(J1962-(J1962/J1986))))))</f>
        <v>0</v>
      </c>
      <c r="L1962" s="1423">
        <f t="shared" ref="L1962" ca="1" si="2888">IF(AND(L1960=0,K1962=0),0,
IF(AND(L1960&lt;&gt;0,K1962=0),(L1960/L$10),
IF(AND(L1961&lt;&gt;0,K1962&lt;&gt;0),(K1962-(K1962/K1986))+(L1960/L$10),
IF(K1986&lt;1,0,(K1962-(K1962/K1986))))))</f>
        <v>0</v>
      </c>
      <c r="M1962" s="1423">
        <f t="shared" ref="M1962" ca="1" si="2889">IF(AND(M1960=0,L1962=0),0,
IF(AND(M1960&lt;&gt;0,L1962=0),(M1960/M$10),
IF(AND(M1961&lt;&gt;0,L1962&lt;&gt;0),(L1962-(L1962/L1986))+(M1960/M$10),
IF(L1986&lt;1,0,(L1962-(L1962/L1986))))))</f>
        <v>0</v>
      </c>
      <c r="N1962" s="1423">
        <f t="shared" ref="N1962" ca="1" si="2890">IF(AND(N1960=0,M1962=0),0,
IF(AND(N1960&lt;&gt;0,M1962=0),(N1960/N$10),
IF(AND(N1961&lt;&gt;0,M1962&lt;&gt;0),(M1962-(M1962/M1986))+(N1960/N$10),
IF(M1986&lt;1,0,(M1962-(M1962/M1986))))))</f>
        <v>0</v>
      </c>
      <c r="O1962" s="1423">
        <f t="shared" ref="O1962" ca="1" si="2891">IF(AND(O1960=0,N1962=0),0,
IF(AND(O1960&lt;&gt;0,N1962=0),(O1960/O$10),
IF(AND(O1961&lt;&gt;0,N1962&lt;&gt;0),(N1962-(N1962/N1986))+(O1960/O$10),
IF(N1986&lt;1,0,(N1962-(N1962/N1986))))))</f>
        <v>0</v>
      </c>
      <c r="P1962" s="1423">
        <f t="shared" ref="P1962" ca="1" si="2892">IF(AND(P1960=0,O1962=0),0,
IF(AND(P1960&lt;&gt;0,O1962=0),(P1960/P$10),
IF(AND(P1961&lt;&gt;0,O1962&lt;&gt;0),(O1962-(O1962/O1986))+(P1960/P$10),
IF(O1986&lt;1,0,(O1962-(O1962/O1986))))))</f>
        <v>0</v>
      </c>
      <c r="Q1962" s="1423">
        <f t="shared" ref="Q1962" ca="1" si="2893">IF(AND(Q1960=0,P1962=0),0,
IF(AND(Q1960&lt;&gt;0,P1962=0),(Q1960/Q$10),
IF(AND(Q1961&lt;&gt;0,P1962&lt;&gt;0),(P1962-(P1962/P1986))+(Q1960/Q$10),
IF(P1986&lt;1,0,(P1962-(P1962/P1986))))))</f>
        <v>0</v>
      </c>
      <c r="R1962" s="1423">
        <f t="shared" ref="R1962" ca="1" si="2894">IF(AND(R1960=0,Q1962=0),0,
IF(AND(R1960&lt;&gt;0,Q1962=0),(R1960/R$10),
IF(AND(R1961&lt;&gt;0,Q1962&lt;&gt;0),(Q1962-(Q1962/Q1986))+(R1960/R$10),
IF(Q1986&lt;1,0,(Q1962-(Q1962/Q1986))))))</f>
        <v>0</v>
      </c>
      <c r="S1962" s="1423">
        <f t="shared" ref="S1962" ca="1" si="2895">IF(AND(S1960=0,R1962=0),0,
IF(AND(S1960&lt;&gt;0,R1962=0),(S1960/S$10),
IF(AND(S1961&lt;&gt;0,R1962&lt;&gt;0),(R1962-(R1962/R1986))+(S1960/S$10),
IF(R1986&lt;1,0,(R1962-(R1962/R1986))))))</f>
        <v>0</v>
      </c>
      <c r="T1962" s="1423">
        <f t="shared" ref="T1962" ca="1" si="2896">IF(AND(T1960=0,S1962=0),0,
IF(AND(T1960&lt;&gt;0,S1962=0),(T1960/T$10),
IF(AND(T1961&lt;&gt;0,S1962&lt;&gt;0),(S1962-(S1962/S1986))+(T1960/T$10),
IF(S1986&lt;1,0,(S1962-(S1962/S1986))))))</f>
        <v>0</v>
      </c>
      <c r="U1962" s="1423">
        <f t="shared" ref="U1962" ca="1" si="2897">IF(AND(U1960=0,T1962=0),0,
IF(AND(U1960&lt;&gt;0,T1962=0),(U1960/U$10),
IF(AND(U1961&lt;&gt;0,T1962&lt;&gt;0),(T1962-(T1962/T1986))+(U1960/U$10),
IF(T1986&lt;1,0,(T1962-(T1962/T1986))))))</f>
        <v>0</v>
      </c>
      <c r="V1962" s="1423">
        <f t="shared" ref="V1962" ca="1" si="2898">IF(AND(V1960=0,U1962=0),0,
IF(AND(V1960&lt;&gt;0,U1962=0),(V1960/V$10),
IF(AND(V1961&lt;&gt;0,U1962&lt;&gt;0),(U1962-(U1962/U1986))+(V1960/V$10),
IF(U1986&lt;1,0,(U1962-(U1962/U1986))))))</f>
        <v>0</v>
      </c>
      <c r="W1962" s="1423">
        <f t="shared" ref="W1962" ca="1" si="2899">IF(AND(W1960=0,V1962=0),0,
IF(AND(W1960&lt;&gt;0,V1962=0),(W1960/W$10),
IF(AND(W1961&lt;&gt;0,V1962&lt;&gt;0),(V1962-(V1962/V1986))+(W1960/W$10),
IF(V1986&lt;1,0,(V1962-(V1962/V1986))))))</f>
        <v>0</v>
      </c>
      <c r="X1962" s="152"/>
      <c r="Y1962" s="152"/>
      <c r="Z1962" s="152"/>
      <c r="AA1962" s="152"/>
      <c r="AB1962" s="152"/>
    </row>
    <row r="1963" spans="1:28" hidden="1" outlineLevel="1">
      <c r="A1963" s="199">
        <f>A1962+1</f>
        <v>0</v>
      </c>
      <c r="B1963" s="190" t="s">
        <v>125</v>
      </c>
      <c r="C1963" s="1423">
        <f ca="1">C1958/C$10</f>
        <v>0</v>
      </c>
      <c r="D1963" s="1423">
        <f ca="1">IF(C1987="n/a",C1963,IFERROR(IF((OFFSET($C1963,0,$A1963))&lt;0,
MIN(0,C1963-(OFFSET($C1963,0,$A1963)/(OFFSET($C1958,-$A1962,$A1963)))),
MAX(0,C1963-(OFFSET($C1963,0,$A1963)/(OFFSET($C1958,-$A1962,$A1963))))),0))</f>
        <v>0</v>
      </c>
      <c r="E1963" s="1423">
        <f t="shared" ref="E1963" ca="1" si="2900">IF(D1987="n/a",D1963,IFERROR(IF((OFFSET($C1963,0,$A1963))&lt;0,
MIN(0,D1963-(OFFSET($C1963,0,$A1963)/(OFFSET($C1958,-$A1962,$A1963)))),
MAX(0,D1963-(OFFSET($C1963,0,$A1963)/(OFFSET($C1958,-$A1962,$A1963))))),0))</f>
        <v>0</v>
      </c>
      <c r="F1963" s="1423">
        <f t="shared" ref="F1963:F1964" ca="1" si="2901">IF(E1987="n/a",E1963,IFERROR(IF((OFFSET($C1963,0,$A1963))&lt;0,
MIN(0,E1963-(OFFSET($C1963,0,$A1963)/(OFFSET($C1958,-$A1962,$A1963)))),
MAX(0,E1963-(OFFSET($C1963,0,$A1963)/(OFFSET($C1958,-$A1962,$A1963))))),0))</f>
        <v>0</v>
      </c>
      <c r="G1963" s="1423">
        <f t="shared" ref="G1963:G1965" ca="1" si="2902">IF(F1987="n/a",F1963,IFERROR(IF((OFFSET($C1963,0,$A1963))&lt;0,
MIN(0,F1963-(OFFSET($C1963,0,$A1963)/(OFFSET($C1958,-$A1962,$A1963)))),
MAX(0,F1963-(OFFSET($C1963,0,$A1963)/(OFFSET($C1958,-$A1962,$A1963))))),0))</f>
        <v>0</v>
      </c>
      <c r="H1963" s="1423">
        <f t="shared" ref="H1963:H1966" ca="1" si="2903">IF(G1987="n/a",G1963,IFERROR(IF((OFFSET($C1963,0,$A1963))&lt;0,
MIN(0,G1963-(OFFSET($C1963,0,$A1963)/(OFFSET($C1958,-$A1962,$A1963)))),
MAX(0,G1963-(OFFSET($C1963,0,$A1963)/(OFFSET($C1958,-$A1962,$A1963))))),0))</f>
        <v>0</v>
      </c>
      <c r="I1963" s="1423">
        <f t="shared" ref="I1963:I1967" ca="1" si="2904">IF(H1987="n/a",H1963,IFERROR(IF((OFFSET($C1963,0,$A1963))&lt;0,
MIN(0,H1963-(OFFSET($C1963,0,$A1963)/(OFFSET($C1958,-$A1962,$A1963)))),
MAX(0,H1963-(OFFSET($C1963,0,$A1963)/(OFFSET($C1958,-$A1962,$A1963))))),0))</f>
        <v>0</v>
      </c>
      <c r="J1963" s="1423">
        <f t="shared" ref="J1963:J1968" ca="1" si="2905">IF(I1987="n/a",I1963,IFERROR(IF((OFFSET($C1963,0,$A1963))&lt;0,
MIN(0,I1963-(OFFSET($C1963,0,$A1963)/(OFFSET($C1958,-$A1962,$A1963)))),
MAX(0,I1963-(OFFSET($C1963,0,$A1963)/(OFFSET($C1958,-$A1962,$A1963))))),0))</f>
        <v>0</v>
      </c>
      <c r="K1963" s="1423">
        <f t="shared" ref="K1963:K1969" ca="1" si="2906">IF(J1987="n/a",J1963,IFERROR(IF((OFFSET($C1963,0,$A1963))&lt;0,
MIN(0,J1963-(OFFSET($C1963,0,$A1963)/(OFFSET($C1958,-$A1962,$A1963)))),
MAX(0,J1963-(OFFSET($C1963,0,$A1963)/(OFFSET($C1958,-$A1962,$A1963))))),0))</f>
        <v>0</v>
      </c>
      <c r="L1963" s="1423">
        <f t="shared" ref="L1963:L1970" ca="1" si="2907">IF(K1987="n/a",K1963,IFERROR(IF((OFFSET($C1963,0,$A1963))&lt;0,
MIN(0,K1963-(OFFSET($C1963,0,$A1963)/(OFFSET($C1958,-$A1962,$A1963)))),
MAX(0,K1963-(OFFSET($C1963,0,$A1963)/(OFFSET($C1958,-$A1962,$A1963))))),0))</f>
        <v>0</v>
      </c>
      <c r="M1963" s="1423">
        <f t="shared" ref="M1963:M1971" ca="1" si="2908">IF(L1987="n/a",L1963,IFERROR(IF((OFFSET($C1963,0,$A1963))&lt;0,
MIN(0,L1963-(OFFSET($C1963,0,$A1963)/(OFFSET($C1958,-$A1962,$A1963)))),
MAX(0,L1963-(OFFSET($C1963,0,$A1963)/(OFFSET($C1958,-$A1962,$A1963))))),0))</f>
        <v>0</v>
      </c>
      <c r="N1963" s="1423">
        <f t="shared" ref="N1963:N1972" ca="1" si="2909">IF(M1987="n/a",M1963,IFERROR(IF((OFFSET($C1963,0,$A1963))&lt;0,
MIN(0,M1963-(OFFSET($C1963,0,$A1963)/(OFFSET($C1958,-$A1962,$A1963)))),
MAX(0,M1963-(OFFSET($C1963,0,$A1963)/(OFFSET($C1958,-$A1962,$A1963))))),0))</f>
        <v>0</v>
      </c>
      <c r="O1963" s="1423">
        <f t="shared" ref="O1963:O1973" ca="1" si="2910">IF(N1987="n/a",N1963,IFERROR(IF((OFFSET($C1963,0,$A1963))&lt;0,
MIN(0,N1963-(OFFSET($C1963,0,$A1963)/(OFFSET($C1958,-$A1962,$A1963)))),
MAX(0,N1963-(OFFSET($C1963,0,$A1963)/(OFFSET($C1958,-$A1962,$A1963))))),0))</f>
        <v>0</v>
      </c>
      <c r="P1963" s="1423">
        <f t="shared" ref="P1963:P1974" ca="1" si="2911">IF(O1987="n/a",O1963,IFERROR(IF((OFFSET($C1963,0,$A1963))&lt;0,
MIN(0,O1963-(OFFSET($C1963,0,$A1963)/(OFFSET($C1958,-$A1962,$A1963)))),
MAX(0,O1963-(OFFSET($C1963,0,$A1963)/(OFFSET($C1958,-$A1962,$A1963))))),0))</f>
        <v>0</v>
      </c>
      <c r="Q1963" s="1423">
        <f t="shared" ref="Q1963:Q1975" ca="1" si="2912">IF(P1987="n/a",P1963,IFERROR(IF((OFFSET($C1963,0,$A1963))&lt;0,
MIN(0,P1963-(OFFSET($C1963,0,$A1963)/(OFFSET($C1958,-$A1962,$A1963)))),
MAX(0,P1963-(OFFSET($C1963,0,$A1963)/(OFFSET($C1958,-$A1962,$A1963))))),0))</f>
        <v>0</v>
      </c>
      <c r="R1963" s="1423">
        <f t="shared" ref="R1963:R1976" ca="1" si="2913">IF(Q1987="n/a",Q1963,IFERROR(IF((OFFSET($C1963,0,$A1963))&lt;0,
MIN(0,Q1963-(OFFSET($C1963,0,$A1963)/(OFFSET($C1958,-$A1962,$A1963)))),
MAX(0,Q1963-(OFFSET($C1963,0,$A1963)/(OFFSET($C1958,-$A1962,$A1963))))),0))</f>
        <v>0</v>
      </c>
      <c r="S1963" s="1423">
        <f t="shared" ref="S1963:S1977" ca="1" si="2914">IF(R1987="n/a",R1963,IFERROR(IF((OFFSET($C1963,0,$A1963))&lt;0,
MIN(0,R1963-(OFFSET($C1963,0,$A1963)/(OFFSET($C1958,-$A1962,$A1963)))),
MAX(0,R1963-(OFFSET($C1963,0,$A1963)/(OFFSET($C1958,-$A1962,$A1963))))),0))</f>
        <v>0</v>
      </c>
      <c r="T1963" s="1423">
        <f t="shared" ref="T1963:T1978" ca="1" si="2915">IF(S1987="n/a",S1963,IFERROR(IF((OFFSET($C1963,0,$A1963))&lt;0,
MIN(0,S1963-(OFFSET($C1963,0,$A1963)/(OFFSET($C1958,-$A1962,$A1963)))),
MAX(0,S1963-(OFFSET($C1963,0,$A1963)/(OFFSET($C1958,-$A1962,$A1963))))),0))</f>
        <v>0</v>
      </c>
      <c r="U1963" s="1423">
        <f t="shared" ref="U1963:U1979" ca="1" si="2916">IF(T1987="n/a",T1963,IFERROR(IF((OFFSET($C1963,0,$A1963))&lt;0,
MIN(0,T1963-(OFFSET($C1963,0,$A1963)/(OFFSET($C1958,-$A1962,$A1963)))),
MAX(0,T1963-(OFFSET($C1963,0,$A1963)/(OFFSET($C1958,-$A1962,$A1963))))),0))</f>
        <v>0</v>
      </c>
      <c r="V1963" s="1423">
        <f t="shared" ref="V1963:V1980" ca="1" si="2917">IF(U1987="n/a",U1963,IFERROR(IF((OFFSET($C1963,0,$A1963))&lt;0,
MIN(0,U1963-(OFFSET($C1963,0,$A1963)/(OFFSET($C1958,-$A1962,$A1963)))),
MAX(0,U1963-(OFFSET($C1963,0,$A1963)/(OFFSET($C1958,-$A1962,$A1963))))),0))</f>
        <v>0</v>
      </c>
      <c r="W1963" s="1423">
        <f t="shared" ref="W1963:W1981" ca="1" si="2918">IF(V1987="n/a",V1963,IFERROR(IF((OFFSET($C1963,0,$A1963))&lt;0,
MIN(0,V1963-(OFFSET($C1963,0,$A1963)/(OFFSET($C1958,-$A1962,$A1963)))),
MAX(0,V1963-(OFFSET($C1963,0,$A1963)/(OFFSET($C1958,-$A1962,$A1963))))),0))</f>
        <v>0</v>
      </c>
      <c r="X1963" s="152"/>
      <c r="Y1963" s="152"/>
      <c r="Z1963" s="152"/>
      <c r="AA1963" s="152"/>
      <c r="AB1963" s="152"/>
    </row>
    <row r="1964" spans="1:28" hidden="1" outlineLevel="1">
      <c r="A1964" s="199">
        <f t="shared" ref="A1964:A1983" si="2919">A1963+1</f>
        <v>1</v>
      </c>
      <c r="B1964" s="190" t="str">
        <f t="shared" ref="B1964:B1982" ca="1" si="2920">"Depreciated Net Capex "&amp;OFFSET($C$6,0,A1964)</f>
        <v>Depreciated Net Capex 2016-17</v>
      </c>
      <c r="C1964" s="1424"/>
      <c r="D1964" s="1425">
        <f>(D1958*((1+D$11)^0.5)/D$10)</f>
        <v>0</v>
      </c>
      <c r="E1964" s="1423">
        <f ca="1">IF(D1988="n/a",D1964,IFERROR(IF((OFFSET($C1964,0,$A1964))&lt;0,
MIN(0,D1964-(OFFSET($C1964,0,$A1964)/(OFFSET($C1959,-$A1963,$A1964)))),
MAX(0,D1964-(OFFSET($C1964,0,$A1964)/(OFFSET($C1959,-$A1963,$A1964))))),0))</f>
        <v>0</v>
      </c>
      <c r="F1964" s="1423">
        <f t="shared" ca="1" si="2901"/>
        <v>0</v>
      </c>
      <c r="G1964" s="1423">
        <f t="shared" ca="1" si="2902"/>
        <v>0</v>
      </c>
      <c r="H1964" s="1423">
        <f t="shared" ca="1" si="2903"/>
        <v>0</v>
      </c>
      <c r="I1964" s="1423">
        <f t="shared" ca="1" si="2904"/>
        <v>0</v>
      </c>
      <c r="J1964" s="1423">
        <f t="shared" ca="1" si="2905"/>
        <v>0</v>
      </c>
      <c r="K1964" s="1423">
        <f t="shared" ca="1" si="2906"/>
        <v>0</v>
      </c>
      <c r="L1964" s="1423">
        <f t="shared" ca="1" si="2907"/>
        <v>0</v>
      </c>
      <c r="M1964" s="1423">
        <f t="shared" ca="1" si="2908"/>
        <v>0</v>
      </c>
      <c r="N1964" s="1423">
        <f t="shared" ca="1" si="2909"/>
        <v>0</v>
      </c>
      <c r="O1964" s="1423">
        <f t="shared" ca="1" si="2910"/>
        <v>0</v>
      </c>
      <c r="P1964" s="1423">
        <f t="shared" ca="1" si="2911"/>
        <v>0</v>
      </c>
      <c r="Q1964" s="1423">
        <f t="shared" ca="1" si="2912"/>
        <v>0</v>
      </c>
      <c r="R1964" s="1423">
        <f t="shared" ca="1" si="2913"/>
        <v>0</v>
      </c>
      <c r="S1964" s="1423">
        <f t="shared" ca="1" si="2914"/>
        <v>0</v>
      </c>
      <c r="T1964" s="1423">
        <f t="shared" ca="1" si="2915"/>
        <v>0</v>
      </c>
      <c r="U1964" s="1423">
        <f t="shared" ca="1" si="2916"/>
        <v>0</v>
      </c>
      <c r="V1964" s="1423">
        <f t="shared" ca="1" si="2917"/>
        <v>0</v>
      </c>
      <c r="W1964" s="1423">
        <f t="shared" ca="1" si="2918"/>
        <v>0</v>
      </c>
      <c r="X1964" s="152"/>
      <c r="Y1964" s="152"/>
      <c r="Z1964" s="152"/>
      <c r="AA1964" s="152"/>
      <c r="AB1964" s="152"/>
    </row>
    <row r="1965" spans="1:28" hidden="1" outlineLevel="1">
      <c r="A1965" s="199">
        <f t="shared" si="2919"/>
        <v>2</v>
      </c>
      <c r="B1965" s="190" t="str">
        <f t="shared" ca="1" si="2920"/>
        <v>Depreciated Net Capex 2017-18</v>
      </c>
      <c r="C1965" s="1426"/>
      <c r="D1965" s="1427"/>
      <c r="E1965" s="1425">
        <f>(E1958*((1+E$11)^0.5)/E$10)</f>
        <v>0</v>
      </c>
      <c r="F1965" s="1423">
        <f ca="1">IF(E1989="n/a",E1965,IFERROR(IF((OFFSET($C1965,0,$A1965))&lt;0,
MIN(0,E1965-(OFFSET($C1965,0,$A1965)/(OFFSET($C1960,-$A1964,$A1965)))),
MAX(0,E1965-(OFFSET($C1965,0,$A1965)/(OFFSET($C1960,-$A1964,$A1965))))),0))</f>
        <v>0</v>
      </c>
      <c r="G1965" s="1423">
        <f t="shared" ca="1" si="2902"/>
        <v>0</v>
      </c>
      <c r="H1965" s="1423">
        <f t="shared" ca="1" si="2903"/>
        <v>0</v>
      </c>
      <c r="I1965" s="1423">
        <f t="shared" ca="1" si="2904"/>
        <v>0</v>
      </c>
      <c r="J1965" s="1423">
        <f t="shared" ca="1" si="2905"/>
        <v>0</v>
      </c>
      <c r="K1965" s="1423">
        <f t="shared" ca="1" si="2906"/>
        <v>0</v>
      </c>
      <c r="L1965" s="1423">
        <f t="shared" ca="1" si="2907"/>
        <v>0</v>
      </c>
      <c r="M1965" s="1423">
        <f t="shared" ca="1" si="2908"/>
        <v>0</v>
      </c>
      <c r="N1965" s="1423">
        <f t="shared" ca="1" si="2909"/>
        <v>0</v>
      </c>
      <c r="O1965" s="1423">
        <f t="shared" ca="1" si="2910"/>
        <v>0</v>
      </c>
      <c r="P1965" s="1423">
        <f t="shared" ca="1" si="2911"/>
        <v>0</v>
      </c>
      <c r="Q1965" s="1423">
        <f t="shared" ca="1" si="2912"/>
        <v>0</v>
      </c>
      <c r="R1965" s="1423">
        <f t="shared" ca="1" si="2913"/>
        <v>0</v>
      </c>
      <c r="S1965" s="1423">
        <f t="shared" ca="1" si="2914"/>
        <v>0</v>
      </c>
      <c r="T1965" s="1423">
        <f t="shared" ca="1" si="2915"/>
        <v>0</v>
      </c>
      <c r="U1965" s="1423">
        <f t="shared" ca="1" si="2916"/>
        <v>0</v>
      </c>
      <c r="V1965" s="1423">
        <f t="shared" ca="1" si="2917"/>
        <v>0</v>
      </c>
      <c r="W1965" s="1423">
        <f t="shared" ca="1" si="2918"/>
        <v>0</v>
      </c>
      <c r="X1965" s="202"/>
      <c r="Y1965" s="152"/>
      <c r="Z1965" s="152"/>
      <c r="AA1965" s="152"/>
      <c r="AB1965" s="152"/>
    </row>
    <row r="1966" spans="1:28" hidden="1" outlineLevel="1">
      <c r="A1966" s="199">
        <f t="shared" si="2919"/>
        <v>3</v>
      </c>
      <c r="B1966" s="190" t="str">
        <f t="shared" ca="1" si="2920"/>
        <v>Depreciated Net Capex 2018-19</v>
      </c>
      <c r="C1966" s="1426"/>
      <c r="D1966" s="1426"/>
      <c r="E1966" s="1427"/>
      <c r="F1966" s="1428">
        <f>($F1958*((1+F$11)^0.5)/F$10)</f>
        <v>0</v>
      </c>
      <c r="G1966" s="1423">
        <f ca="1">IF(F1990="n/a",F1966,IFERROR(IF((OFFSET($C1966,0,$A1966))&lt;0,
MIN(0,F1966-(OFFSET($C1966,0,$A1966)/(OFFSET($C1961,-$A1965,$A1966)))),
MAX(0,F1966-(OFFSET($C1966,0,$A1966)/(OFFSET($C1961,-$A1965,$A1966))))),0))</f>
        <v>0</v>
      </c>
      <c r="H1966" s="1423">
        <f t="shared" ca="1" si="2903"/>
        <v>0</v>
      </c>
      <c r="I1966" s="1423">
        <f t="shared" ca="1" si="2904"/>
        <v>0</v>
      </c>
      <c r="J1966" s="1423">
        <f t="shared" ca="1" si="2905"/>
        <v>0</v>
      </c>
      <c r="K1966" s="1423">
        <f t="shared" ca="1" si="2906"/>
        <v>0</v>
      </c>
      <c r="L1966" s="1423">
        <f t="shared" ca="1" si="2907"/>
        <v>0</v>
      </c>
      <c r="M1966" s="1423">
        <f t="shared" ca="1" si="2908"/>
        <v>0</v>
      </c>
      <c r="N1966" s="1423">
        <f t="shared" ca="1" si="2909"/>
        <v>0</v>
      </c>
      <c r="O1966" s="1423">
        <f t="shared" ca="1" si="2910"/>
        <v>0</v>
      </c>
      <c r="P1966" s="1423">
        <f t="shared" ca="1" si="2911"/>
        <v>0</v>
      </c>
      <c r="Q1966" s="1423">
        <f t="shared" ca="1" si="2912"/>
        <v>0</v>
      </c>
      <c r="R1966" s="1423">
        <f t="shared" ca="1" si="2913"/>
        <v>0</v>
      </c>
      <c r="S1966" s="1423">
        <f t="shared" ca="1" si="2914"/>
        <v>0</v>
      </c>
      <c r="T1966" s="1423">
        <f t="shared" ca="1" si="2915"/>
        <v>0</v>
      </c>
      <c r="U1966" s="1423">
        <f t="shared" ca="1" si="2916"/>
        <v>0</v>
      </c>
      <c r="V1966" s="1423">
        <f t="shared" ca="1" si="2917"/>
        <v>0</v>
      </c>
      <c r="W1966" s="1423">
        <f t="shared" ca="1" si="2918"/>
        <v>0</v>
      </c>
      <c r="X1966" s="202"/>
      <c r="Y1966" s="202"/>
      <c r="Z1966" s="152"/>
      <c r="AA1966" s="152"/>
      <c r="AB1966" s="152"/>
    </row>
    <row r="1967" spans="1:28" hidden="1" outlineLevel="1">
      <c r="A1967" s="199">
        <f t="shared" si="2919"/>
        <v>4</v>
      </c>
      <c r="B1967" s="190" t="str">
        <f t="shared" ca="1" si="2920"/>
        <v>Depreciated Net Capex 2019-20</v>
      </c>
      <c r="C1967" s="1426"/>
      <c r="D1967" s="1426"/>
      <c r="E1967" s="1426"/>
      <c r="F1967" s="1427"/>
      <c r="G1967" s="1428">
        <f>($G1958*((1+G$11)^0.5)/G$10)</f>
        <v>0</v>
      </c>
      <c r="H1967" s="1423">
        <f ca="1">IF(G1991="n/a",G1967,IFERROR(IF((OFFSET($C1967,0,$A1967))&lt;0,
MIN(0,G1967-(OFFSET($C1967,0,$A1967)/(OFFSET($C1962,-$A1966,$A1967)))),
MAX(0,G1967-(OFFSET($C1967,0,$A1967)/(OFFSET($C1962,-$A1966,$A1967))))),0))</f>
        <v>0</v>
      </c>
      <c r="I1967" s="1423">
        <f t="shared" ca="1" si="2904"/>
        <v>0</v>
      </c>
      <c r="J1967" s="1423">
        <f t="shared" ca="1" si="2905"/>
        <v>0</v>
      </c>
      <c r="K1967" s="1423">
        <f t="shared" ca="1" si="2906"/>
        <v>0</v>
      </c>
      <c r="L1967" s="1423">
        <f t="shared" ca="1" si="2907"/>
        <v>0</v>
      </c>
      <c r="M1967" s="1423">
        <f t="shared" ca="1" si="2908"/>
        <v>0</v>
      </c>
      <c r="N1967" s="1423">
        <f t="shared" ca="1" si="2909"/>
        <v>0</v>
      </c>
      <c r="O1967" s="1423">
        <f t="shared" ca="1" si="2910"/>
        <v>0</v>
      </c>
      <c r="P1967" s="1423">
        <f t="shared" ca="1" si="2911"/>
        <v>0</v>
      </c>
      <c r="Q1967" s="1423">
        <f t="shared" ca="1" si="2912"/>
        <v>0</v>
      </c>
      <c r="R1967" s="1423">
        <f t="shared" ca="1" si="2913"/>
        <v>0</v>
      </c>
      <c r="S1967" s="1423">
        <f t="shared" ca="1" si="2914"/>
        <v>0</v>
      </c>
      <c r="T1967" s="1423">
        <f t="shared" ca="1" si="2915"/>
        <v>0</v>
      </c>
      <c r="U1967" s="1423">
        <f t="shared" ca="1" si="2916"/>
        <v>0</v>
      </c>
      <c r="V1967" s="1423">
        <f t="shared" ca="1" si="2917"/>
        <v>0</v>
      </c>
      <c r="W1967" s="1423">
        <f t="shared" ca="1" si="2918"/>
        <v>0</v>
      </c>
      <c r="X1967" s="202"/>
      <c r="Y1967" s="202"/>
      <c r="Z1967" s="202"/>
      <c r="AA1967" s="152"/>
      <c r="AB1967" s="152"/>
    </row>
    <row r="1968" spans="1:28" hidden="1" outlineLevel="1">
      <c r="A1968" s="199">
        <f t="shared" si="2919"/>
        <v>5</v>
      </c>
      <c r="B1968" s="190" t="str">
        <f t="shared" ca="1" si="2920"/>
        <v>Depreciated Net Capex 2020-21</v>
      </c>
      <c r="C1968" s="1426"/>
      <c r="D1968" s="1426"/>
      <c r="E1968" s="1426"/>
      <c r="F1968" s="1426"/>
      <c r="G1968" s="1427"/>
      <c r="H1968" s="1428">
        <f>(H1958*((1+H$11)^0.5)/H$10)</f>
        <v>0</v>
      </c>
      <c r="I1968" s="1423">
        <f ca="1">IF(H1992="n/a",H1968,IFERROR(IF((OFFSET($C1968,0,$A1968))&lt;0,
MIN(0,H1968-(OFFSET($C1968,0,$A1968)/(OFFSET($C1963,-$A1967,$A1968)))),
MAX(0,H1968-(OFFSET($C1968,0,$A1968)/(OFFSET($C1963,-$A1967,$A1968))))),0))</f>
        <v>0</v>
      </c>
      <c r="J1968" s="1423">
        <f t="shared" ca="1" si="2905"/>
        <v>0</v>
      </c>
      <c r="K1968" s="1423">
        <f t="shared" ca="1" si="2906"/>
        <v>0</v>
      </c>
      <c r="L1968" s="1423">
        <f t="shared" ca="1" si="2907"/>
        <v>0</v>
      </c>
      <c r="M1968" s="1423">
        <f t="shared" ca="1" si="2908"/>
        <v>0</v>
      </c>
      <c r="N1968" s="1423">
        <f t="shared" ca="1" si="2909"/>
        <v>0</v>
      </c>
      <c r="O1968" s="1423">
        <f t="shared" ca="1" si="2910"/>
        <v>0</v>
      </c>
      <c r="P1968" s="1423">
        <f t="shared" ca="1" si="2911"/>
        <v>0</v>
      </c>
      <c r="Q1968" s="1423">
        <f t="shared" ca="1" si="2912"/>
        <v>0</v>
      </c>
      <c r="R1968" s="1423">
        <f t="shared" ca="1" si="2913"/>
        <v>0</v>
      </c>
      <c r="S1968" s="1423">
        <f t="shared" ca="1" si="2914"/>
        <v>0</v>
      </c>
      <c r="T1968" s="1423">
        <f t="shared" ca="1" si="2915"/>
        <v>0</v>
      </c>
      <c r="U1968" s="1423">
        <f t="shared" ca="1" si="2916"/>
        <v>0</v>
      </c>
      <c r="V1968" s="1423">
        <f t="shared" ca="1" si="2917"/>
        <v>0</v>
      </c>
      <c r="W1968" s="1423">
        <f t="shared" ca="1" si="2918"/>
        <v>0</v>
      </c>
      <c r="X1968" s="202"/>
      <c r="Y1968" s="202"/>
      <c r="Z1968" s="202"/>
      <c r="AA1968" s="152"/>
      <c r="AB1968" s="152"/>
    </row>
    <row r="1969" spans="1:28" hidden="1" outlineLevel="1">
      <c r="A1969" s="199">
        <f t="shared" si="2919"/>
        <v>6</v>
      </c>
      <c r="B1969" s="190" t="str">
        <f t="shared" ca="1" si="2920"/>
        <v>Depreciated Net Capex 2021-22</v>
      </c>
      <c r="C1969" s="1426"/>
      <c r="D1969" s="1426"/>
      <c r="E1969" s="1426"/>
      <c r="F1969" s="1426"/>
      <c r="G1969" s="1426"/>
      <c r="H1969" s="1427"/>
      <c r="I1969" s="1428">
        <f>(I1958*((1+I$11)^0.5)/I$10)</f>
        <v>0</v>
      </c>
      <c r="J1969" s="1423">
        <f ca="1">IF(I1993="n/a",I1969,IFERROR(IF((OFFSET($C1969,0,$A1969))&lt;0,
MIN(0,I1969-(OFFSET($C1969,0,$A1969)/(OFFSET($C1964,-$A1968,$A1969)))),
MAX(0,I1969-(OFFSET($C1969,0,$A1969)/(OFFSET($C1964,-$A1968,$A1969))))),0))</f>
        <v>0</v>
      </c>
      <c r="K1969" s="1423">
        <f t="shared" ca="1" si="2906"/>
        <v>0</v>
      </c>
      <c r="L1969" s="1423">
        <f t="shared" ca="1" si="2907"/>
        <v>0</v>
      </c>
      <c r="M1969" s="1423">
        <f t="shared" ca="1" si="2908"/>
        <v>0</v>
      </c>
      <c r="N1969" s="1423">
        <f t="shared" ca="1" si="2909"/>
        <v>0</v>
      </c>
      <c r="O1969" s="1423">
        <f t="shared" ca="1" si="2910"/>
        <v>0</v>
      </c>
      <c r="P1969" s="1423">
        <f t="shared" ca="1" si="2911"/>
        <v>0</v>
      </c>
      <c r="Q1969" s="1423">
        <f t="shared" ca="1" si="2912"/>
        <v>0</v>
      </c>
      <c r="R1969" s="1423">
        <f t="shared" ca="1" si="2913"/>
        <v>0</v>
      </c>
      <c r="S1969" s="1423">
        <f t="shared" ca="1" si="2914"/>
        <v>0</v>
      </c>
      <c r="T1969" s="1423">
        <f t="shared" ca="1" si="2915"/>
        <v>0</v>
      </c>
      <c r="U1969" s="1423">
        <f t="shared" ca="1" si="2916"/>
        <v>0</v>
      </c>
      <c r="V1969" s="1423">
        <f t="shared" ca="1" si="2917"/>
        <v>0</v>
      </c>
      <c r="W1969" s="1423">
        <f t="shared" ca="1" si="2918"/>
        <v>0</v>
      </c>
      <c r="X1969" s="202"/>
      <c r="Y1969" s="202"/>
      <c r="Z1969" s="202"/>
      <c r="AA1969" s="152"/>
      <c r="AB1969" s="152"/>
    </row>
    <row r="1970" spans="1:28" hidden="1" outlineLevel="1">
      <c r="A1970" s="199">
        <f t="shared" si="2919"/>
        <v>7</v>
      </c>
      <c r="B1970" s="190" t="str">
        <f t="shared" ca="1" si="2920"/>
        <v>Depreciated Net Capex 2022-23</v>
      </c>
      <c r="C1970" s="1426"/>
      <c r="D1970" s="1426"/>
      <c r="E1970" s="1426"/>
      <c r="F1970" s="1426"/>
      <c r="G1970" s="1426"/>
      <c r="H1970" s="1426"/>
      <c r="I1970" s="1427"/>
      <c r="J1970" s="1428">
        <f>(J1958*((1+J$11)^0.5)/J$10)</f>
        <v>0</v>
      </c>
      <c r="K1970" s="1423">
        <f ca="1">IF(J1994="n/a",J1970,IFERROR(IF((OFFSET($C1970,0,$A1970))&lt;0,
MIN(0,J1970-(OFFSET($C1970,0,$A1970)/(OFFSET($C1965,-$A1969,$A1970)))),
MAX(0,J1970-(OFFSET($C1970,0,$A1970)/(OFFSET($C1965,-$A1969,$A1970))))),0))</f>
        <v>0</v>
      </c>
      <c r="L1970" s="1423">
        <f t="shared" ca="1" si="2907"/>
        <v>0</v>
      </c>
      <c r="M1970" s="1423">
        <f t="shared" ca="1" si="2908"/>
        <v>0</v>
      </c>
      <c r="N1970" s="1423">
        <f t="shared" ca="1" si="2909"/>
        <v>0</v>
      </c>
      <c r="O1970" s="1423">
        <f t="shared" ca="1" si="2910"/>
        <v>0</v>
      </c>
      <c r="P1970" s="1423">
        <f t="shared" ca="1" si="2911"/>
        <v>0</v>
      </c>
      <c r="Q1970" s="1423">
        <f t="shared" ca="1" si="2912"/>
        <v>0</v>
      </c>
      <c r="R1970" s="1423">
        <f t="shared" ca="1" si="2913"/>
        <v>0</v>
      </c>
      <c r="S1970" s="1423">
        <f t="shared" ca="1" si="2914"/>
        <v>0</v>
      </c>
      <c r="T1970" s="1423">
        <f t="shared" ca="1" si="2915"/>
        <v>0</v>
      </c>
      <c r="U1970" s="1423">
        <f t="shared" ca="1" si="2916"/>
        <v>0</v>
      </c>
      <c r="V1970" s="1423">
        <f t="shared" ca="1" si="2917"/>
        <v>0</v>
      </c>
      <c r="W1970" s="1423">
        <f t="shared" ca="1" si="2918"/>
        <v>0</v>
      </c>
      <c r="X1970" s="202"/>
      <c r="Y1970" s="202"/>
      <c r="Z1970" s="202"/>
      <c r="AA1970" s="152"/>
      <c r="AB1970" s="152"/>
    </row>
    <row r="1971" spans="1:28" hidden="1" outlineLevel="1">
      <c r="A1971" s="199">
        <f t="shared" si="2919"/>
        <v>8</v>
      </c>
      <c r="B1971" s="190" t="str">
        <f t="shared" ca="1" si="2920"/>
        <v>Depreciated Net Capex 2023-24</v>
      </c>
      <c r="C1971" s="1426"/>
      <c r="D1971" s="1426"/>
      <c r="E1971" s="1426"/>
      <c r="F1971" s="1426"/>
      <c r="G1971" s="1426"/>
      <c r="H1971" s="1426"/>
      <c r="I1971" s="1426"/>
      <c r="J1971" s="1427"/>
      <c r="K1971" s="1428">
        <f>(K1958*((1+K$11)^0.5)/K$10)</f>
        <v>0</v>
      </c>
      <c r="L1971" s="1423">
        <f ca="1">IF(K1995="n/a",K1971,IFERROR(IF((OFFSET($C1971,0,$A1971))&lt;0,
MIN(0,K1971-(OFFSET($C1971,0,$A1971)/(OFFSET($C1966,-$A1970,$A1971)))),
MAX(0,K1971-(OFFSET($C1971,0,$A1971)/(OFFSET($C1966,-$A1970,$A1971))))),0))</f>
        <v>0</v>
      </c>
      <c r="M1971" s="1423">
        <f t="shared" ca="1" si="2908"/>
        <v>0</v>
      </c>
      <c r="N1971" s="1423">
        <f t="shared" ca="1" si="2909"/>
        <v>0</v>
      </c>
      <c r="O1971" s="1423">
        <f t="shared" ca="1" si="2910"/>
        <v>0</v>
      </c>
      <c r="P1971" s="1423">
        <f t="shared" ca="1" si="2911"/>
        <v>0</v>
      </c>
      <c r="Q1971" s="1423">
        <f t="shared" ca="1" si="2912"/>
        <v>0</v>
      </c>
      <c r="R1971" s="1423">
        <f t="shared" ca="1" si="2913"/>
        <v>0</v>
      </c>
      <c r="S1971" s="1423">
        <f t="shared" ca="1" si="2914"/>
        <v>0</v>
      </c>
      <c r="T1971" s="1423">
        <f t="shared" ca="1" si="2915"/>
        <v>0</v>
      </c>
      <c r="U1971" s="1423">
        <f t="shared" ca="1" si="2916"/>
        <v>0</v>
      </c>
      <c r="V1971" s="1423">
        <f t="shared" ca="1" si="2917"/>
        <v>0</v>
      </c>
      <c r="W1971" s="1423">
        <f t="shared" ca="1" si="2918"/>
        <v>0</v>
      </c>
      <c r="X1971" s="202"/>
      <c r="Y1971" s="202"/>
      <c r="Z1971" s="202"/>
      <c r="AA1971" s="152"/>
      <c r="AB1971" s="152"/>
    </row>
    <row r="1972" spans="1:28" hidden="1" outlineLevel="1">
      <c r="A1972" s="199">
        <f t="shared" si="2919"/>
        <v>9</v>
      </c>
      <c r="B1972" s="190" t="str">
        <f t="shared" ca="1" si="2920"/>
        <v>Depreciated Net Capex 2024-25</v>
      </c>
      <c r="C1972" s="1426"/>
      <c r="D1972" s="1426"/>
      <c r="E1972" s="1426"/>
      <c r="F1972" s="1426"/>
      <c r="G1972" s="1426"/>
      <c r="H1972" s="1426"/>
      <c r="I1972" s="1426"/>
      <c r="J1972" s="1426"/>
      <c r="K1972" s="1427"/>
      <c r="L1972" s="1428">
        <f>(L1958*((1+L$11)^0.5)/L$10)</f>
        <v>0</v>
      </c>
      <c r="M1972" s="1423">
        <f ca="1">IF(L1996="n/a",L1972,IFERROR(IF((OFFSET($C1972,0,$A1972))&lt;0,
MIN(0,L1972-(OFFSET($C1972,0,$A1972)/(OFFSET($C1967,-$A1971,$A1972)))),
MAX(0,L1972-(OFFSET($C1972,0,$A1972)/(OFFSET($C1967,-$A1971,$A1972))))),0))</f>
        <v>0</v>
      </c>
      <c r="N1972" s="1423">
        <f t="shared" ca="1" si="2909"/>
        <v>0</v>
      </c>
      <c r="O1972" s="1423">
        <f t="shared" ca="1" si="2910"/>
        <v>0</v>
      </c>
      <c r="P1972" s="1423">
        <f t="shared" ca="1" si="2911"/>
        <v>0</v>
      </c>
      <c r="Q1972" s="1423">
        <f t="shared" ca="1" si="2912"/>
        <v>0</v>
      </c>
      <c r="R1972" s="1423">
        <f t="shared" ca="1" si="2913"/>
        <v>0</v>
      </c>
      <c r="S1972" s="1423">
        <f t="shared" ca="1" si="2914"/>
        <v>0</v>
      </c>
      <c r="T1972" s="1423">
        <f t="shared" ca="1" si="2915"/>
        <v>0</v>
      </c>
      <c r="U1972" s="1423">
        <f t="shared" ca="1" si="2916"/>
        <v>0</v>
      </c>
      <c r="V1972" s="1423">
        <f t="shared" ca="1" si="2917"/>
        <v>0</v>
      </c>
      <c r="W1972" s="1423">
        <f t="shared" ca="1" si="2918"/>
        <v>0</v>
      </c>
      <c r="X1972" s="202"/>
      <c r="Y1972" s="202"/>
      <c r="Z1972" s="202"/>
      <c r="AA1972" s="152"/>
      <c r="AB1972" s="152"/>
    </row>
    <row r="1973" spans="1:28" hidden="1" outlineLevel="1">
      <c r="A1973" s="199">
        <f t="shared" si="2919"/>
        <v>10</v>
      </c>
      <c r="B1973" s="190" t="str">
        <f t="shared" ca="1" si="2920"/>
        <v>Depreciated Net Capex 2025-26</v>
      </c>
      <c r="C1973" s="1426"/>
      <c r="D1973" s="1426"/>
      <c r="E1973" s="1426"/>
      <c r="F1973" s="1426"/>
      <c r="G1973" s="1426"/>
      <c r="H1973" s="1426"/>
      <c r="I1973" s="1426"/>
      <c r="J1973" s="1426"/>
      <c r="K1973" s="1426"/>
      <c r="L1973" s="1427"/>
      <c r="M1973" s="1428">
        <f>(M1958*((1+M$11)^0.5)/M$10)</f>
        <v>0</v>
      </c>
      <c r="N1973" s="1423">
        <f ca="1">IF(M1997="n/a",M1973,IFERROR(IF((OFFSET($C1973,0,$A1973))&lt;0,
MIN(0,M1973-(OFFSET($C1973,0,$A1973)/(OFFSET($C1968,-$A1972,$A1973)))),
MAX(0,M1973-(OFFSET($C1973,0,$A1973)/(OFFSET($C1968,-$A1972,$A1973))))),0))</f>
        <v>0</v>
      </c>
      <c r="O1973" s="1423">
        <f t="shared" ca="1" si="2910"/>
        <v>0</v>
      </c>
      <c r="P1973" s="1423">
        <f t="shared" ca="1" si="2911"/>
        <v>0</v>
      </c>
      <c r="Q1973" s="1423">
        <f t="shared" ca="1" si="2912"/>
        <v>0</v>
      </c>
      <c r="R1973" s="1423">
        <f t="shared" ca="1" si="2913"/>
        <v>0</v>
      </c>
      <c r="S1973" s="1423">
        <f t="shared" ca="1" si="2914"/>
        <v>0</v>
      </c>
      <c r="T1973" s="1423">
        <f t="shared" ca="1" si="2915"/>
        <v>0</v>
      </c>
      <c r="U1973" s="1423">
        <f t="shared" ca="1" si="2916"/>
        <v>0</v>
      </c>
      <c r="V1973" s="1423">
        <f t="shared" ca="1" si="2917"/>
        <v>0</v>
      </c>
      <c r="W1973" s="1423">
        <f t="shared" ca="1" si="2918"/>
        <v>0</v>
      </c>
      <c r="X1973" s="202"/>
      <c r="Y1973" s="202"/>
      <c r="Z1973" s="202"/>
      <c r="AA1973" s="152"/>
      <c r="AB1973" s="152"/>
    </row>
    <row r="1974" spans="1:28" hidden="1" outlineLevel="1">
      <c r="A1974" s="199">
        <f t="shared" si="2919"/>
        <v>11</v>
      </c>
      <c r="B1974" s="190" t="str">
        <f t="shared" ca="1" si="2920"/>
        <v>Depreciated Net Capex 2026-27</v>
      </c>
      <c r="C1974" s="1426"/>
      <c r="D1974" s="1426"/>
      <c r="E1974" s="1426"/>
      <c r="F1974" s="1426"/>
      <c r="G1974" s="1426"/>
      <c r="H1974" s="1426"/>
      <c r="I1974" s="1426"/>
      <c r="J1974" s="1426"/>
      <c r="K1974" s="1426"/>
      <c r="L1974" s="1426"/>
      <c r="M1974" s="1427"/>
      <c r="N1974" s="1428">
        <f>(N1958*((1+N$11)^0.5)/N$10)</f>
        <v>0</v>
      </c>
      <c r="O1974" s="1423">
        <f ca="1">IF(N1998="n/a",N1974,IFERROR(IF((OFFSET($C1974,0,$A1974))&lt;0,
MIN(0,N1974-(OFFSET($C1974,0,$A1974)/(OFFSET($C1969,-$A1973,$A1974)))),
MAX(0,N1974-(OFFSET($C1974,0,$A1974)/(OFFSET($C1969,-$A1973,$A1974))))),0))</f>
        <v>0</v>
      </c>
      <c r="P1974" s="1423">
        <f t="shared" ca="1" si="2911"/>
        <v>0</v>
      </c>
      <c r="Q1974" s="1423">
        <f t="shared" ca="1" si="2912"/>
        <v>0</v>
      </c>
      <c r="R1974" s="1423">
        <f t="shared" ca="1" si="2913"/>
        <v>0</v>
      </c>
      <c r="S1974" s="1423">
        <f t="shared" ca="1" si="2914"/>
        <v>0</v>
      </c>
      <c r="T1974" s="1423">
        <f t="shared" ca="1" si="2915"/>
        <v>0</v>
      </c>
      <c r="U1974" s="1423">
        <f t="shared" ca="1" si="2916"/>
        <v>0</v>
      </c>
      <c r="V1974" s="1423">
        <f t="shared" ca="1" si="2917"/>
        <v>0</v>
      </c>
      <c r="W1974" s="1423">
        <f t="shared" ca="1" si="2918"/>
        <v>0</v>
      </c>
      <c r="X1974" s="202"/>
      <c r="Y1974" s="202"/>
      <c r="Z1974" s="202"/>
      <c r="AA1974" s="152"/>
      <c r="AB1974" s="152"/>
    </row>
    <row r="1975" spans="1:28" hidden="1" outlineLevel="1">
      <c r="A1975" s="199">
        <f t="shared" si="2919"/>
        <v>12</v>
      </c>
      <c r="B1975" s="190" t="str">
        <f t="shared" ca="1" si="2920"/>
        <v>Depreciated Net Capex 2027-28</v>
      </c>
      <c r="C1975" s="1426"/>
      <c r="D1975" s="1426"/>
      <c r="E1975" s="1426"/>
      <c r="F1975" s="1426"/>
      <c r="G1975" s="1426"/>
      <c r="H1975" s="1426"/>
      <c r="I1975" s="1426"/>
      <c r="J1975" s="1426"/>
      <c r="K1975" s="1426"/>
      <c r="L1975" s="1426"/>
      <c r="M1975" s="1426"/>
      <c r="N1975" s="1427"/>
      <c r="O1975" s="1428">
        <f>(O1958*((1+O$11)^0.5)/O$10)</f>
        <v>0</v>
      </c>
      <c r="P1975" s="1423">
        <f ca="1">IF(O1999="n/a",O1975,IFERROR(IF((OFFSET($C1975,0,$A1975))&lt;0,
MIN(0,O1975-(OFFSET($C1975,0,$A1975)/(OFFSET($C1970,-$A1974,$A1975)))),
MAX(0,O1975-(OFFSET($C1975,0,$A1975)/(OFFSET($C1970,-$A1974,$A1975))))),0))</f>
        <v>0</v>
      </c>
      <c r="Q1975" s="1423">
        <f t="shared" ca="1" si="2912"/>
        <v>0</v>
      </c>
      <c r="R1975" s="1423">
        <f t="shared" ca="1" si="2913"/>
        <v>0</v>
      </c>
      <c r="S1975" s="1423">
        <f t="shared" ca="1" si="2914"/>
        <v>0</v>
      </c>
      <c r="T1975" s="1423">
        <f t="shared" ca="1" si="2915"/>
        <v>0</v>
      </c>
      <c r="U1975" s="1423">
        <f t="shared" ca="1" si="2916"/>
        <v>0</v>
      </c>
      <c r="V1975" s="1423">
        <f t="shared" ca="1" si="2917"/>
        <v>0</v>
      </c>
      <c r="W1975" s="1423">
        <f t="shared" ca="1" si="2918"/>
        <v>0</v>
      </c>
      <c r="X1975" s="202"/>
      <c r="Y1975" s="202"/>
      <c r="Z1975" s="202"/>
      <c r="AA1975" s="152"/>
      <c r="AB1975" s="152"/>
    </row>
    <row r="1976" spans="1:28" hidden="1" outlineLevel="1">
      <c r="A1976" s="199">
        <f t="shared" si="2919"/>
        <v>13</v>
      </c>
      <c r="B1976" s="190" t="str">
        <f t="shared" ca="1" si="2920"/>
        <v>Depreciated Net Capex 2028-29</v>
      </c>
      <c r="C1976" s="1426"/>
      <c r="D1976" s="1426"/>
      <c r="E1976" s="1426"/>
      <c r="F1976" s="1426"/>
      <c r="G1976" s="1426"/>
      <c r="H1976" s="1426"/>
      <c r="I1976" s="1426"/>
      <c r="J1976" s="1426"/>
      <c r="K1976" s="1426"/>
      <c r="L1976" s="1426"/>
      <c r="M1976" s="1426"/>
      <c r="N1976" s="1426"/>
      <c r="O1976" s="1427"/>
      <c r="P1976" s="1428">
        <f>(P1958*((1+P$11)^0.5)/P$10)</f>
        <v>0</v>
      </c>
      <c r="Q1976" s="1423">
        <f ca="1">IF(P2000="n/a",P1976,IFERROR(IF((OFFSET($C1976,0,$A1976))&lt;0,
MIN(0,P1976-(OFFSET($C1976,0,$A1976)/(OFFSET($C1971,-$A1975,$A1976)))),
MAX(0,P1976-(OFFSET($C1976,0,$A1976)/(OFFSET($C1971,-$A1975,$A1976))))),0))</f>
        <v>0</v>
      </c>
      <c r="R1976" s="1423">
        <f t="shared" ca="1" si="2913"/>
        <v>0</v>
      </c>
      <c r="S1976" s="1423">
        <f t="shared" ca="1" si="2914"/>
        <v>0</v>
      </c>
      <c r="T1976" s="1423">
        <f t="shared" ca="1" si="2915"/>
        <v>0</v>
      </c>
      <c r="U1976" s="1423">
        <f t="shared" ca="1" si="2916"/>
        <v>0</v>
      </c>
      <c r="V1976" s="1423">
        <f t="shared" ca="1" si="2917"/>
        <v>0</v>
      </c>
      <c r="W1976" s="1423">
        <f t="shared" ca="1" si="2918"/>
        <v>0</v>
      </c>
      <c r="X1976" s="202"/>
      <c r="Y1976" s="202"/>
      <c r="Z1976" s="202"/>
      <c r="AA1976" s="152"/>
      <c r="AB1976" s="152"/>
    </row>
    <row r="1977" spans="1:28" hidden="1" outlineLevel="1">
      <c r="A1977" s="199">
        <f t="shared" si="2919"/>
        <v>14</v>
      </c>
      <c r="B1977" s="190" t="str">
        <f t="shared" ca="1" si="2920"/>
        <v>Depreciated Net Capex 2029-30</v>
      </c>
      <c r="C1977" s="1426"/>
      <c r="D1977" s="1426"/>
      <c r="E1977" s="1426"/>
      <c r="F1977" s="1426"/>
      <c r="G1977" s="1426"/>
      <c r="H1977" s="1426"/>
      <c r="I1977" s="1426"/>
      <c r="J1977" s="1426"/>
      <c r="K1977" s="1426"/>
      <c r="L1977" s="1426"/>
      <c r="M1977" s="1426"/>
      <c r="N1977" s="1426"/>
      <c r="O1977" s="1426"/>
      <c r="P1977" s="1427"/>
      <c r="Q1977" s="1428">
        <f>(Q1958*((1+Q$11)^0.5)/Q$10)</f>
        <v>0</v>
      </c>
      <c r="R1977" s="1423">
        <f ca="1">IF(Q2001="n/a",Q1977,IFERROR(IF((OFFSET($C1977,0,$A1977))&lt;0,
MIN(0,Q1977-(OFFSET($C1977,0,$A1977)/(OFFSET($C1972,-$A1976,$A1977)))),
MAX(0,Q1977-(OFFSET($C1977,0,$A1977)/(OFFSET($C1972,-$A1976,$A1977))))),0))</f>
        <v>0</v>
      </c>
      <c r="S1977" s="1423">
        <f t="shared" ca="1" si="2914"/>
        <v>0</v>
      </c>
      <c r="T1977" s="1423">
        <f t="shared" ca="1" si="2915"/>
        <v>0</v>
      </c>
      <c r="U1977" s="1423">
        <f t="shared" ca="1" si="2916"/>
        <v>0</v>
      </c>
      <c r="V1977" s="1423">
        <f t="shared" ca="1" si="2917"/>
        <v>0</v>
      </c>
      <c r="W1977" s="1423">
        <f t="shared" ca="1" si="2918"/>
        <v>0</v>
      </c>
      <c r="X1977" s="202"/>
      <c r="Y1977" s="202"/>
      <c r="Z1977" s="202"/>
      <c r="AA1977" s="152"/>
      <c r="AB1977" s="152"/>
    </row>
    <row r="1978" spans="1:28" hidden="1" outlineLevel="1">
      <c r="A1978" s="199">
        <f t="shared" si="2919"/>
        <v>15</v>
      </c>
      <c r="B1978" s="190" t="str">
        <f t="shared" ca="1" si="2920"/>
        <v>Depreciated Net Capex 2030-31</v>
      </c>
      <c r="C1978" s="1426"/>
      <c r="D1978" s="1426"/>
      <c r="E1978" s="1426"/>
      <c r="F1978" s="1426"/>
      <c r="G1978" s="1426"/>
      <c r="H1978" s="1426"/>
      <c r="I1978" s="1426"/>
      <c r="J1978" s="1426"/>
      <c r="K1978" s="1426"/>
      <c r="L1978" s="1426"/>
      <c r="M1978" s="1426"/>
      <c r="N1978" s="1426"/>
      <c r="O1978" s="1426"/>
      <c r="P1978" s="1426"/>
      <c r="Q1978" s="1427"/>
      <c r="R1978" s="1428">
        <f>(R1958*((1+R$11)^0.5)/R$10)</f>
        <v>0</v>
      </c>
      <c r="S1978" s="1423">
        <f ca="1">IF(R2002="n/a",R1978,IFERROR(IF((OFFSET($C1978,0,$A1978))&lt;0,
MIN(0,R1978-(OFFSET($C1978,0,$A1978)/(OFFSET($C1973,-$A1977,$A1978)))),
MAX(0,R1978-(OFFSET($C1978,0,$A1978)/(OFFSET($C1973,-$A1977,$A1978))))),0))</f>
        <v>0</v>
      </c>
      <c r="T1978" s="1423">
        <f t="shared" ca="1" si="2915"/>
        <v>0</v>
      </c>
      <c r="U1978" s="1423">
        <f t="shared" ca="1" si="2916"/>
        <v>0</v>
      </c>
      <c r="V1978" s="1423">
        <f t="shared" ca="1" si="2917"/>
        <v>0</v>
      </c>
      <c r="W1978" s="1423">
        <f t="shared" ca="1" si="2918"/>
        <v>0</v>
      </c>
      <c r="X1978" s="202"/>
      <c r="Y1978" s="202"/>
      <c r="Z1978" s="202"/>
      <c r="AA1978" s="152"/>
      <c r="AB1978" s="152"/>
    </row>
    <row r="1979" spans="1:28" hidden="1" outlineLevel="1">
      <c r="A1979" s="199">
        <f t="shared" si="2919"/>
        <v>16</v>
      </c>
      <c r="B1979" s="190" t="str">
        <f t="shared" ca="1" si="2920"/>
        <v>Depreciated Net Capex 2031-32</v>
      </c>
      <c r="C1979" s="1426"/>
      <c r="D1979" s="1426"/>
      <c r="E1979" s="1426"/>
      <c r="F1979" s="1426"/>
      <c r="G1979" s="1426"/>
      <c r="H1979" s="1426"/>
      <c r="I1979" s="1426"/>
      <c r="J1979" s="1426"/>
      <c r="K1979" s="1426"/>
      <c r="L1979" s="1426"/>
      <c r="M1979" s="1426"/>
      <c r="N1979" s="1426"/>
      <c r="O1979" s="1426"/>
      <c r="P1979" s="1426"/>
      <c r="Q1979" s="1426"/>
      <c r="R1979" s="1427"/>
      <c r="S1979" s="1428">
        <f>(S1958*((1+S$11)^0.5)/S$10)</f>
        <v>0</v>
      </c>
      <c r="T1979" s="1423">
        <f ca="1">IF(S2003="n/a",S1979,IFERROR(IF((OFFSET($C1979,0,$A1979))&lt;0,
MIN(0,S1979-(OFFSET($C1979,0,$A1979)/(OFFSET($C1974,-$A1978,$A1979)))),
MAX(0,S1979-(OFFSET($C1979,0,$A1979)/(OFFSET($C1974,-$A1978,$A1979))))),0))</f>
        <v>0</v>
      </c>
      <c r="U1979" s="1423">
        <f t="shared" ca="1" si="2916"/>
        <v>0</v>
      </c>
      <c r="V1979" s="1423">
        <f t="shared" ca="1" si="2917"/>
        <v>0</v>
      </c>
      <c r="W1979" s="1423">
        <f t="shared" ca="1" si="2918"/>
        <v>0</v>
      </c>
      <c r="X1979" s="202"/>
      <c r="Y1979" s="202"/>
      <c r="Z1979" s="202"/>
      <c r="AA1979" s="152"/>
      <c r="AB1979" s="152"/>
    </row>
    <row r="1980" spans="1:28" hidden="1" outlineLevel="1">
      <c r="A1980" s="199">
        <f t="shared" si="2919"/>
        <v>17</v>
      </c>
      <c r="B1980" s="190" t="str">
        <f t="shared" ca="1" si="2920"/>
        <v>Depreciated Net Capex 2032-33</v>
      </c>
      <c r="C1980" s="1426"/>
      <c r="D1980" s="1426"/>
      <c r="E1980" s="1426"/>
      <c r="F1980" s="1426"/>
      <c r="G1980" s="1426"/>
      <c r="H1980" s="1426"/>
      <c r="I1980" s="1426"/>
      <c r="J1980" s="1426"/>
      <c r="K1980" s="1426"/>
      <c r="L1980" s="1426"/>
      <c r="M1980" s="1426"/>
      <c r="N1980" s="1426"/>
      <c r="O1980" s="1426"/>
      <c r="P1980" s="1426"/>
      <c r="Q1980" s="1426"/>
      <c r="R1980" s="1426"/>
      <c r="S1980" s="1427"/>
      <c r="T1980" s="1428">
        <f>(T1958*((1+T$11)^0.5)/T$10)</f>
        <v>0</v>
      </c>
      <c r="U1980" s="1423">
        <f ca="1">IF(T2004="n/a",T1980,IFERROR(IF((OFFSET($C1980,0,$A1980))&lt;0,
MIN(0,T1980-(OFFSET($C1980,0,$A1980)/(OFFSET($C1975,-$A1979,$A1980)))),
MAX(0,T1980-(OFFSET($C1980,0,$A1980)/(OFFSET($C1975,-$A1979,$A1980))))),0))</f>
        <v>0</v>
      </c>
      <c r="V1980" s="1423">
        <f t="shared" ca="1" si="2917"/>
        <v>0</v>
      </c>
      <c r="W1980" s="1423">
        <f t="shared" ca="1" si="2918"/>
        <v>0</v>
      </c>
      <c r="X1980" s="202"/>
      <c r="Y1980" s="202"/>
      <c r="Z1980" s="202"/>
      <c r="AA1980" s="152"/>
      <c r="AB1980" s="152"/>
    </row>
    <row r="1981" spans="1:28" hidden="1" outlineLevel="1">
      <c r="A1981" s="199">
        <f t="shared" si="2919"/>
        <v>18</v>
      </c>
      <c r="B1981" s="190" t="str">
        <f t="shared" ca="1" si="2920"/>
        <v>Depreciated Net Capex 2033-34</v>
      </c>
      <c r="C1981" s="1426"/>
      <c r="D1981" s="1426"/>
      <c r="E1981" s="1426"/>
      <c r="F1981" s="1426"/>
      <c r="G1981" s="1426"/>
      <c r="H1981" s="1426"/>
      <c r="I1981" s="1426"/>
      <c r="J1981" s="1426"/>
      <c r="K1981" s="1426"/>
      <c r="L1981" s="1426"/>
      <c r="M1981" s="1426"/>
      <c r="N1981" s="1426"/>
      <c r="O1981" s="1426"/>
      <c r="P1981" s="1426"/>
      <c r="Q1981" s="1426"/>
      <c r="R1981" s="1426"/>
      <c r="S1981" s="1426"/>
      <c r="T1981" s="1427"/>
      <c r="U1981" s="1428">
        <f>(U1958*((1+U$11)^0.5)/U$10)</f>
        <v>0</v>
      </c>
      <c r="V1981" s="1423">
        <f ca="1">IF(U2005="n/a",U1981,IFERROR(IF((OFFSET($C1981,0,$A1981))&lt;0,
MIN(0,U1981-(OFFSET($C1981,0,$A1981)/(OFFSET($C1976,-$A1980,$A1981)))),
MAX(0,U1981-(OFFSET($C1981,0,$A1981)/(OFFSET($C1976,-$A1980,$A1981))))),0))</f>
        <v>0</v>
      </c>
      <c r="W1981" s="1423">
        <f t="shared" ca="1" si="2918"/>
        <v>0</v>
      </c>
      <c r="X1981" s="202"/>
      <c r="Y1981" s="202"/>
      <c r="Z1981" s="202"/>
      <c r="AA1981" s="152"/>
      <c r="AB1981" s="152"/>
    </row>
    <row r="1982" spans="1:28" hidden="1" outlineLevel="1">
      <c r="A1982" s="199">
        <f t="shared" si="2919"/>
        <v>19</v>
      </c>
      <c r="B1982" s="190" t="str">
        <f t="shared" ca="1" si="2920"/>
        <v>Depreciated Net Capex 2034-35</v>
      </c>
      <c r="C1982" s="1426"/>
      <c r="D1982" s="1426"/>
      <c r="E1982" s="1426"/>
      <c r="F1982" s="1426"/>
      <c r="G1982" s="1426"/>
      <c r="H1982" s="1426"/>
      <c r="I1982" s="1426"/>
      <c r="J1982" s="1426"/>
      <c r="K1982" s="1426"/>
      <c r="L1982" s="1426"/>
      <c r="M1982" s="1426"/>
      <c r="N1982" s="1426"/>
      <c r="O1982" s="1426"/>
      <c r="P1982" s="1426"/>
      <c r="Q1982" s="1426"/>
      <c r="R1982" s="1426"/>
      <c r="S1982" s="1426"/>
      <c r="T1982" s="1426"/>
      <c r="U1982" s="1427"/>
      <c r="V1982" s="1428">
        <f>(V1958*((1+V$11)^0.5)/V$10)</f>
        <v>0</v>
      </c>
      <c r="W1982" s="1423">
        <f ca="1">IF(V2006="n/a",V1982,IFERROR(IF((OFFSET($C1982,0,$A1982))&lt;0,
MIN(0,V1982-(OFFSET($C1982,0,$A1982)/(OFFSET($C1977,-$A1981,$A1982)))),
MAX(0,V1982-(OFFSET($C1982,0,$A1982)/(OFFSET($C1977,-$A1981,$A1982))))),0))</f>
        <v>0</v>
      </c>
      <c r="X1982" s="202"/>
      <c r="Y1982" s="202"/>
      <c r="Z1982" s="202"/>
      <c r="AA1982" s="152"/>
      <c r="AB1982" s="152"/>
    </row>
    <row r="1983" spans="1:28" hidden="1" outlineLevel="1">
      <c r="A1983" s="199">
        <f t="shared" si="2919"/>
        <v>20</v>
      </c>
      <c r="B1983" s="190" t="str">
        <f ca="1">"Depreciated Net Capex "&amp;OFFSET($C$6,0,A1983)</f>
        <v>Depreciated Net Capex 2035-36</v>
      </c>
      <c r="C1983" s="1426"/>
      <c r="D1983" s="1426"/>
      <c r="E1983" s="1426"/>
      <c r="F1983" s="1426"/>
      <c r="G1983" s="1426"/>
      <c r="H1983" s="1426"/>
      <c r="I1983" s="1426"/>
      <c r="J1983" s="1426"/>
      <c r="K1983" s="1426"/>
      <c r="L1983" s="1426"/>
      <c r="M1983" s="1426"/>
      <c r="N1983" s="1426"/>
      <c r="O1983" s="1426"/>
      <c r="P1983" s="1426"/>
      <c r="Q1983" s="1426"/>
      <c r="R1983" s="1426"/>
      <c r="S1983" s="1426"/>
      <c r="T1983" s="1426"/>
      <c r="U1983" s="1426"/>
      <c r="V1983" s="1427"/>
      <c r="W1983" s="1423">
        <f>(W1958*((1+W$11)^0.5)/W$10)</f>
        <v>0</v>
      </c>
      <c r="X1983" s="152"/>
      <c r="Y1983" s="152"/>
      <c r="Z1983" s="152"/>
      <c r="AA1983" s="152"/>
      <c r="AB1983" s="152"/>
    </row>
    <row r="1984" spans="1:28" hidden="1" outlineLevel="1">
      <c r="A1984" s="152"/>
      <c r="B1984" s="200"/>
      <c r="C1984" s="1423"/>
      <c r="D1984" s="1423"/>
      <c r="E1984" s="1423"/>
      <c r="F1984" s="1423"/>
      <c r="G1984" s="1423"/>
      <c r="H1984" s="1423"/>
      <c r="I1984" s="1423"/>
      <c r="J1984" s="1423"/>
      <c r="K1984" s="1423"/>
      <c r="L1984" s="1423"/>
      <c r="M1984" s="1423"/>
      <c r="N1984" s="1423"/>
      <c r="O1984" s="1423"/>
      <c r="P1984" s="1423"/>
      <c r="Q1984" s="1423"/>
      <c r="R1984" s="1423"/>
      <c r="S1984" s="1423"/>
      <c r="T1984" s="1423"/>
      <c r="U1984" s="1423"/>
      <c r="V1984" s="1423"/>
      <c r="W1984" s="1423"/>
      <c r="X1984" s="152"/>
      <c r="Y1984" s="152"/>
      <c r="Z1984" s="152"/>
      <c r="AA1984" s="152"/>
      <c r="AB1984" s="152"/>
    </row>
    <row r="1985" spans="1:28" hidden="1" outlineLevel="1">
      <c r="A1985" s="152"/>
      <c r="B1985" s="200"/>
      <c r="C1985" s="1423"/>
      <c r="D1985" s="1423"/>
      <c r="E1985" s="1423"/>
      <c r="F1985" s="1423"/>
      <c r="G1985" s="1423"/>
      <c r="H1985" s="1423"/>
      <c r="I1985" s="1423"/>
      <c r="J1985" s="1423"/>
      <c r="K1985" s="1423"/>
      <c r="L1985" s="1423"/>
      <c r="M1985" s="1423"/>
      <c r="N1985" s="1423"/>
      <c r="O1985" s="1423"/>
      <c r="P1985" s="1423"/>
      <c r="Q1985" s="1423"/>
      <c r="R1985" s="1423"/>
      <c r="S1985" s="1423"/>
      <c r="T1985" s="1423"/>
      <c r="U1985" s="1423"/>
      <c r="V1985" s="1423"/>
      <c r="W1985" s="1423"/>
      <c r="X1985" s="152"/>
      <c r="Y1985" s="152"/>
      <c r="Z1985" s="152"/>
      <c r="AA1985" s="152"/>
      <c r="AB1985" s="152"/>
    </row>
    <row r="1986" spans="1:28" hidden="1" outlineLevel="1">
      <c r="A1986" s="152"/>
      <c r="B1986" s="190" t="s">
        <v>190</v>
      </c>
      <c r="C1986" s="1423"/>
      <c r="D1986" s="1423">
        <f ca="1">IF(AND(C1986&lt;1,D1960=0),0,
IF(D1960=0,C1986-1,
IF(C1986&lt;1,D1961,
(((C1986-1)*(C1962-(C1962/(C1986))))+((D1960/D$10)*D1961))/(D1962))))</f>
        <v>0</v>
      </c>
      <c r="E1986" s="1423">
        <f t="shared" ref="E1986" ca="1" si="2921">IF(AND(D1986&lt;1,E1960=0),0,
IF(E1960=0,D1986-1,
IF(D1986&lt;1,E1961,
(((D1986-1)*(D1962-(D1962/(D1986))))+((E1960/E$10)*E1961))/(E1962))))</f>
        <v>0</v>
      </c>
      <c r="F1986" s="1423">
        <f t="shared" ref="F1986" ca="1" si="2922">IF(AND(E1986&lt;1,F1960=0),0,
IF(F1960=0,E1986-1,
IF(E1986&lt;1,F1961,
(((E1986-1)*(E1962-(E1962/(E1986))))+((F1960/F$10)*F1961))/(F1962))))</f>
        <v>0</v>
      </c>
      <c r="G1986" s="1423">
        <f t="shared" ref="G1986" ca="1" si="2923">IF(AND(F1986&lt;1,G1960=0),0,
IF(G1960=0,F1986-1,
IF(F1986&lt;1,G1961,
(((F1986-1)*(F1962-(F1962/(F1986))))+((G1960/G$10)*G1961))/(G1962))))</f>
        <v>0</v>
      </c>
      <c r="H1986" s="1423">
        <f t="shared" ref="H1986" ca="1" si="2924">IF(AND(G1986&lt;1,H1960=0),0,
IF(H1960=0,G1986-1,
IF(G1986&lt;1,H1961,
(((G1986-1)*(G1962-(G1962/(G1986))))+((H1960/H$10)*H1961))/(H1962))))</f>
        <v>0</v>
      </c>
      <c r="I1986" s="1423">
        <f t="shared" ref="I1986" ca="1" si="2925">IF(AND(H1986&lt;1,I1960=0),0,
IF(I1960=0,H1986-1,
IF(H1986&lt;1,I1961,
(((H1986-1)*(H1962-(H1962/(H1986))))+((I1960/I$10)*I1961))/(I1962))))</f>
        <v>0</v>
      </c>
      <c r="J1986" s="1423">
        <f t="shared" ref="J1986" ca="1" si="2926">IF(AND(I1986&lt;1,J1960=0),0,
IF(J1960=0,I1986-1,
IF(I1986&lt;1,J1961,
(((I1986-1)*(I1962-(I1962/(I1986))))+((J1960/J$10)*J1961))/(J1962))))</f>
        <v>0</v>
      </c>
      <c r="K1986" s="1423">
        <f t="shared" ref="K1986" ca="1" si="2927">IF(AND(J1986&lt;1,K1960=0),0,
IF(K1960=0,J1986-1,
IF(J1986&lt;1,K1961,
(((J1986-1)*(J1962-(J1962/(J1986))))+((K1960/K$10)*K1961))/(K1962))))</f>
        <v>0</v>
      </c>
      <c r="L1986" s="1423">
        <f t="shared" ref="L1986" ca="1" si="2928">IF(AND(K1986&lt;1,L1960=0),0,
IF(L1960=0,K1986-1,
IF(K1986&lt;1,L1961,
(((K1986-1)*(K1962-(K1962/(K1986))))+((L1960/L$10)*L1961))/(L1962))))</f>
        <v>0</v>
      </c>
      <c r="M1986" s="1423">
        <f t="shared" ref="M1986" ca="1" si="2929">IF(AND(L1986&lt;1,M1960=0),0,
IF(M1960=0,L1986-1,
IF(L1986&lt;1,M1961,
(((L1986-1)*(L1962-(L1962/(L1986))))+((M1960/M$10)*M1961))/(M1962))))</f>
        <v>0</v>
      </c>
      <c r="N1986" s="1423">
        <f t="shared" ref="N1986" ca="1" si="2930">IF(AND(M1986&lt;1,N1960=0),0,
IF(N1960=0,M1986-1,
IF(M1986&lt;1,N1961,
(((M1986-1)*(M1962-(M1962/(M1986))))+((N1960/N$10)*N1961))/(N1962))))</f>
        <v>0</v>
      </c>
      <c r="O1986" s="1423">
        <f t="shared" ref="O1986" ca="1" si="2931">IF(AND(N1986&lt;1,O1960=0),0,
IF(O1960=0,N1986-1,
IF(N1986&lt;1,O1961,
(((N1986-1)*(N1962-(N1962/(N1986))))+((O1960/O$10)*O1961))/(O1962))))</f>
        <v>0</v>
      </c>
      <c r="P1986" s="1423">
        <f t="shared" ref="P1986" ca="1" si="2932">IF(AND(O1986&lt;1,P1960=0),0,
IF(P1960=0,O1986-1,
IF(O1986&lt;1,P1961,
(((O1986-1)*(O1962-(O1962/(O1986))))+((P1960/P$10)*P1961))/(P1962))))</f>
        <v>0</v>
      </c>
      <c r="Q1986" s="1423">
        <f t="shared" ref="Q1986" ca="1" si="2933">IF(AND(P1986&lt;1,Q1960=0),0,
IF(Q1960=0,P1986-1,
IF(P1986&lt;1,Q1961,
(((P1986-1)*(P1962-(P1962/(P1986))))+((Q1960/Q$10)*Q1961))/(Q1962))))</f>
        <v>0</v>
      </c>
      <c r="R1986" s="1423">
        <f t="shared" ref="R1986" ca="1" si="2934">IF(AND(Q1986&lt;1,R1960=0),0,
IF(R1960=0,Q1986-1,
IF(Q1986&lt;1,R1961,
(((Q1986-1)*(Q1962-(Q1962/(Q1986))))+((R1960/R$10)*R1961))/(R1962))))</f>
        <v>0</v>
      </c>
      <c r="S1986" s="1423">
        <f t="shared" ref="S1986" ca="1" si="2935">IF(AND(R1986&lt;1,S1960=0),0,
IF(S1960=0,R1986-1,
IF(R1986&lt;1,S1961,
(((R1986-1)*(R1962-(R1962/(R1986))))+((S1960/S$10)*S1961))/(S1962))))</f>
        <v>0</v>
      </c>
      <c r="T1986" s="1423">
        <f t="shared" ref="T1986" ca="1" si="2936">IF(AND(S1986&lt;1,T1960=0),0,
IF(T1960=0,S1986-1,
IF(S1986&lt;1,T1961,
(((S1986-1)*(S1962-(S1962/(S1986))))+((T1960/T$10)*T1961))/(T1962))))</f>
        <v>0</v>
      </c>
      <c r="U1986" s="1423">
        <f t="shared" ref="U1986" ca="1" si="2937">IF(AND(T1986&lt;1,U1960=0),0,
IF(U1960=0,T1986-1,
IF(T1986&lt;1,U1961,
(((T1986-1)*(T1962-(T1962/(T1986))))+((U1960/U$10)*U1961))/(U1962))))</f>
        <v>0</v>
      </c>
      <c r="V1986" s="1423">
        <f t="shared" ref="V1986" ca="1" si="2938">IF(AND(U1986&lt;1,V1960=0),0,
IF(V1960=0,U1986-1,
IF(U1986&lt;1,V1961,
(((U1986-1)*(U1962-(U1962/(U1986))))+((V1960/V$10)*V1961))/(V1962))))</f>
        <v>0</v>
      </c>
      <c r="W1986" s="1423">
        <f t="shared" ref="W1986" ca="1" si="2939">IF(AND(V1986&lt;1,W1960=0),0,
IF(W1960=0,V1986-1,
IF(V1986&lt;1,W1961,
(((V1986-1)*(V1962-(V1962/(V1986))))+((W1960/W$10)*W1961))/(W1962))))</f>
        <v>0</v>
      </c>
      <c r="X1986" s="152"/>
      <c r="Y1986" s="152"/>
      <c r="Z1986" s="152"/>
      <c r="AA1986" s="152"/>
      <c r="AB1986" s="152"/>
    </row>
    <row r="1987" spans="1:28" hidden="1" outlineLevel="1">
      <c r="A1987" s="152"/>
      <c r="B1987" s="190" t="s">
        <v>122</v>
      </c>
      <c r="C1987" s="1423">
        <f ca="1">C1959</f>
        <v>0</v>
      </c>
      <c r="D1987" s="1423">
        <f t="shared" ref="D1987" ca="1" si="2940">IF(C1987="n/a","n/a",MAX(0,C1987-1))</f>
        <v>0</v>
      </c>
      <c r="E1987" s="1423">
        <f t="shared" ref="E1987:E1988" ca="1" si="2941">IF(D1987="n/a","n/a",MAX(0,D1987-1))</f>
        <v>0</v>
      </c>
      <c r="F1987" s="1423">
        <f t="shared" ref="F1987:F1989" ca="1" si="2942">IF(E1987="n/a","n/a",MAX(0,E1987-1))</f>
        <v>0</v>
      </c>
      <c r="G1987" s="1423">
        <f t="shared" ref="G1987:G1990" ca="1" si="2943">IF(F1987="n/a","n/a",MAX(0,F1987-1))</f>
        <v>0</v>
      </c>
      <c r="H1987" s="1423">
        <f t="shared" ref="H1987:H1991" ca="1" si="2944">IF(G1987="n/a","n/a",MAX(0,G1987-1))</f>
        <v>0</v>
      </c>
      <c r="I1987" s="1423">
        <f t="shared" ref="I1987:I1992" ca="1" si="2945">IF(H1987="n/a","n/a",MAX(0,H1987-1))</f>
        <v>0</v>
      </c>
      <c r="J1987" s="1423">
        <f t="shared" ref="J1987:J1993" ca="1" si="2946">IF(I1987="n/a","n/a",MAX(0,I1987-1))</f>
        <v>0</v>
      </c>
      <c r="K1987" s="1423">
        <f t="shared" ref="K1987:K1994" ca="1" si="2947">IF(J1987="n/a","n/a",MAX(0,J1987-1))</f>
        <v>0</v>
      </c>
      <c r="L1987" s="1423">
        <f t="shared" ref="L1987:L1995" ca="1" si="2948">IF(K1987="n/a","n/a",MAX(0,K1987-1))</f>
        <v>0</v>
      </c>
      <c r="M1987" s="1423">
        <f t="shared" ref="M1987:M1996" ca="1" si="2949">IF(L1987="n/a","n/a",MAX(0,L1987-1))</f>
        <v>0</v>
      </c>
      <c r="N1987" s="1423">
        <f t="shared" ref="N1987:N1997" ca="1" si="2950">IF(M1987="n/a","n/a",MAX(0,M1987-1))</f>
        <v>0</v>
      </c>
      <c r="O1987" s="1423">
        <f t="shared" ref="O1987:O1998" ca="1" si="2951">IF(N1987="n/a","n/a",MAX(0,N1987-1))</f>
        <v>0</v>
      </c>
      <c r="P1987" s="1423">
        <f t="shared" ref="P1987:P1999" ca="1" si="2952">IF(O1987="n/a","n/a",MAX(0,O1987-1))</f>
        <v>0</v>
      </c>
      <c r="Q1987" s="1423">
        <f t="shared" ref="Q1987:Q2000" ca="1" si="2953">IF(P1987="n/a","n/a",MAX(0,P1987-1))</f>
        <v>0</v>
      </c>
      <c r="R1987" s="1423">
        <f t="shared" ref="R1987:R2001" ca="1" si="2954">IF(Q1987="n/a","n/a",MAX(0,Q1987-1))</f>
        <v>0</v>
      </c>
      <c r="S1987" s="1423">
        <f t="shared" ref="S1987:S2002" ca="1" si="2955">IF(R1987="n/a","n/a",MAX(0,R1987-1))</f>
        <v>0</v>
      </c>
      <c r="T1987" s="1423">
        <f t="shared" ref="T1987:T2003" ca="1" si="2956">IF(S1987="n/a","n/a",MAX(0,S1987-1))</f>
        <v>0</v>
      </c>
      <c r="U1987" s="1423">
        <f t="shared" ref="U1987:U2004" ca="1" si="2957">IF(T1987="n/a","n/a",MAX(0,T1987-1))</f>
        <v>0</v>
      </c>
      <c r="V1987" s="1423">
        <f t="shared" ref="V1987:V2005" ca="1" si="2958">IF(U1987="n/a","n/a",MAX(0,U1987-1))</f>
        <v>0</v>
      </c>
      <c r="W1987" s="1423">
        <f t="shared" ref="W1987:W2005" ca="1" si="2959">IF(V1987="n/a","n/a",MAX(0,V1987-1))</f>
        <v>0</v>
      </c>
      <c r="X1987" s="152"/>
      <c r="Y1987" s="152"/>
      <c r="Z1987" s="152"/>
      <c r="AA1987" s="152"/>
      <c r="AB1987" s="152"/>
    </row>
    <row r="1988" spans="1:28" hidden="1" outlineLevel="1">
      <c r="A1988" s="152"/>
      <c r="B1988" s="190" t="str">
        <f t="shared" ref="B1988:B2007" ca="1" si="2960">"RL Capex "&amp;OFFSET($C$6,0,A1964)</f>
        <v>RL Capex 2016-17</v>
      </c>
      <c r="C1988" s="1424"/>
      <c r="D1988" s="1428">
        <f>D1959</f>
        <v>0</v>
      </c>
      <c r="E1988" s="1423">
        <f t="shared" si="2941"/>
        <v>0</v>
      </c>
      <c r="F1988" s="1423">
        <f t="shared" si="2942"/>
        <v>0</v>
      </c>
      <c r="G1988" s="1423">
        <f t="shared" si="2943"/>
        <v>0</v>
      </c>
      <c r="H1988" s="1423">
        <f t="shared" si="2944"/>
        <v>0</v>
      </c>
      <c r="I1988" s="1423">
        <f t="shared" si="2945"/>
        <v>0</v>
      </c>
      <c r="J1988" s="1423">
        <f t="shared" si="2946"/>
        <v>0</v>
      </c>
      <c r="K1988" s="1423">
        <f t="shared" si="2947"/>
        <v>0</v>
      </c>
      <c r="L1988" s="1423">
        <f t="shared" si="2948"/>
        <v>0</v>
      </c>
      <c r="M1988" s="1423">
        <f t="shared" si="2949"/>
        <v>0</v>
      </c>
      <c r="N1988" s="1423">
        <f t="shared" si="2950"/>
        <v>0</v>
      </c>
      <c r="O1988" s="1423">
        <f t="shared" si="2951"/>
        <v>0</v>
      </c>
      <c r="P1988" s="1423">
        <f t="shared" si="2952"/>
        <v>0</v>
      </c>
      <c r="Q1988" s="1423">
        <f t="shared" si="2953"/>
        <v>0</v>
      </c>
      <c r="R1988" s="1423">
        <f t="shared" si="2954"/>
        <v>0</v>
      </c>
      <c r="S1988" s="1423">
        <f t="shared" si="2955"/>
        <v>0</v>
      </c>
      <c r="T1988" s="1423">
        <f t="shared" si="2956"/>
        <v>0</v>
      </c>
      <c r="U1988" s="1423">
        <f t="shared" si="2957"/>
        <v>0</v>
      </c>
      <c r="V1988" s="1423">
        <f t="shared" si="2958"/>
        <v>0</v>
      </c>
      <c r="W1988" s="1423">
        <f t="shared" si="2959"/>
        <v>0</v>
      </c>
      <c r="X1988" s="152"/>
      <c r="Y1988" s="152"/>
      <c r="Z1988" s="152"/>
      <c r="AA1988" s="152"/>
      <c r="AB1988" s="152"/>
    </row>
    <row r="1989" spans="1:28" hidden="1" outlineLevel="1">
      <c r="A1989" s="152"/>
      <c r="B1989" s="190" t="str">
        <f t="shared" ca="1" si="2960"/>
        <v>RL Capex 2017-18</v>
      </c>
      <c r="C1989" s="1429"/>
      <c r="D1989" s="1424"/>
      <c r="E1989" s="1428">
        <f>E1959</f>
        <v>0</v>
      </c>
      <c r="F1989" s="1423">
        <f t="shared" si="2942"/>
        <v>0</v>
      </c>
      <c r="G1989" s="1423">
        <f t="shared" si="2943"/>
        <v>0</v>
      </c>
      <c r="H1989" s="1423">
        <f t="shared" si="2944"/>
        <v>0</v>
      </c>
      <c r="I1989" s="1423">
        <f t="shared" si="2945"/>
        <v>0</v>
      </c>
      <c r="J1989" s="1423">
        <f t="shared" si="2946"/>
        <v>0</v>
      </c>
      <c r="K1989" s="1423">
        <f t="shared" si="2947"/>
        <v>0</v>
      </c>
      <c r="L1989" s="1423">
        <f t="shared" si="2948"/>
        <v>0</v>
      </c>
      <c r="M1989" s="1423">
        <f t="shared" si="2949"/>
        <v>0</v>
      </c>
      <c r="N1989" s="1423">
        <f t="shared" si="2950"/>
        <v>0</v>
      </c>
      <c r="O1989" s="1423">
        <f t="shared" si="2951"/>
        <v>0</v>
      </c>
      <c r="P1989" s="1423">
        <f t="shared" si="2952"/>
        <v>0</v>
      </c>
      <c r="Q1989" s="1423">
        <f t="shared" si="2953"/>
        <v>0</v>
      </c>
      <c r="R1989" s="1423">
        <f t="shared" si="2954"/>
        <v>0</v>
      </c>
      <c r="S1989" s="1423">
        <f t="shared" si="2955"/>
        <v>0</v>
      </c>
      <c r="T1989" s="1423">
        <f t="shared" si="2956"/>
        <v>0</v>
      </c>
      <c r="U1989" s="1423">
        <f t="shared" si="2957"/>
        <v>0</v>
      </c>
      <c r="V1989" s="1423">
        <f t="shared" si="2958"/>
        <v>0</v>
      </c>
      <c r="W1989" s="1423">
        <f t="shared" si="2959"/>
        <v>0</v>
      </c>
      <c r="X1989" s="152"/>
      <c r="Y1989" s="152"/>
      <c r="Z1989" s="152"/>
      <c r="AA1989" s="152"/>
      <c r="AB1989" s="152"/>
    </row>
    <row r="1990" spans="1:28" hidden="1" outlineLevel="1">
      <c r="A1990" s="152"/>
      <c r="B1990" s="190" t="str">
        <f t="shared" ca="1" si="2960"/>
        <v>RL Capex 2018-19</v>
      </c>
      <c r="C1990" s="1429"/>
      <c r="D1990" s="1429"/>
      <c r="E1990" s="1424"/>
      <c r="F1990" s="1428">
        <f>F1959</f>
        <v>0</v>
      </c>
      <c r="G1990" s="1423">
        <f t="shared" si="2943"/>
        <v>0</v>
      </c>
      <c r="H1990" s="1423">
        <f t="shared" si="2944"/>
        <v>0</v>
      </c>
      <c r="I1990" s="1423">
        <f t="shared" si="2945"/>
        <v>0</v>
      </c>
      <c r="J1990" s="1423">
        <f t="shared" si="2946"/>
        <v>0</v>
      </c>
      <c r="K1990" s="1423">
        <f t="shared" si="2947"/>
        <v>0</v>
      </c>
      <c r="L1990" s="1423">
        <f t="shared" si="2948"/>
        <v>0</v>
      </c>
      <c r="M1990" s="1423">
        <f t="shared" si="2949"/>
        <v>0</v>
      </c>
      <c r="N1990" s="1423">
        <f t="shared" si="2950"/>
        <v>0</v>
      </c>
      <c r="O1990" s="1423">
        <f t="shared" si="2951"/>
        <v>0</v>
      </c>
      <c r="P1990" s="1423">
        <f t="shared" si="2952"/>
        <v>0</v>
      </c>
      <c r="Q1990" s="1423">
        <f t="shared" si="2953"/>
        <v>0</v>
      </c>
      <c r="R1990" s="1423">
        <f t="shared" si="2954"/>
        <v>0</v>
      </c>
      <c r="S1990" s="1423">
        <f t="shared" si="2955"/>
        <v>0</v>
      </c>
      <c r="T1990" s="1423">
        <f t="shared" si="2956"/>
        <v>0</v>
      </c>
      <c r="U1990" s="1423">
        <f t="shared" si="2957"/>
        <v>0</v>
      </c>
      <c r="V1990" s="1423">
        <f t="shared" si="2958"/>
        <v>0</v>
      </c>
      <c r="W1990" s="1423">
        <f t="shared" si="2959"/>
        <v>0</v>
      </c>
      <c r="X1990" s="152"/>
      <c r="Y1990" s="152"/>
      <c r="Z1990" s="152"/>
      <c r="AA1990" s="152"/>
      <c r="AB1990" s="152"/>
    </row>
    <row r="1991" spans="1:28" hidden="1" outlineLevel="1">
      <c r="A1991" s="152"/>
      <c r="B1991" s="190" t="str">
        <f t="shared" ca="1" si="2960"/>
        <v>RL Capex 2019-20</v>
      </c>
      <c r="C1991" s="1429"/>
      <c r="D1991" s="1429"/>
      <c r="E1991" s="1429"/>
      <c r="F1991" s="1424"/>
      <c r="G1991" s="1428">
        <f>G1959</f>
        <v>0</v>
      </c>
      <c r="H1991" s="1423">
        <f t="shared" si="2944"/>
        <v>0</v>
      </c>
      <c r="I1991" s="1423">
        <f t="shared" si="2945"/>
        <v>0</v>
      </c>
      <c r="J1991" s="1423">
        <f t="shared" si="2946"/>
        <v>0</v>
      </c>
      <c r="K1991" s="1423">
        <f t="shared" si="2947"/>
        <v>0</v>
      </c>
      <c r="L1991" s="1423">
        <f t="shared" si="2948"/>
        <v>0</v>
      </c>
      <c r="M1991" s="1423">
        <f t="shared" si="2949"/>
        <v>0</v>
      </c>
      <c r="N1991" s="1423">
        <f t="shared" si="2950"/>
        <v>0</v>
      </c>
      <c r="O1991" s="1423">
        <f t="shared" si="2951"/>
        <v>0</v>
      </c>
      <c r="P1991" s="1423">
        <f t="shared" si="2952"/>
        <v>0</v>
      </c>
      <c r="Q1991" s="1423">
        <f t="shared" si="2953"/>
        <v>0</v>
      </c>
      <c r="R1991" s="1423">
        <f t="shared" si="2954"/>
        <v>0</v>
      </c>
      <c r="S1991" s="1423">
        <f t="shared" si="2955"/>
        <v>0</v>
      </c>
      <c r="T1991" s="1423">
        <f t="shared" si="2956"/>
        <v>0</v>
      </c>
      <c r="U1991" s="1423">
        <f t="shared" si="2957"/>
        <v>0</v>
      </c>
      <c r="V1991" s="1423">
        <f t="shared" si="2958"/>
        <v>0</v>
      </c>
      <c r="W1991" s="1423">
        <f t="shared" si="2959"/>
        <v>0</v>
      </c>
      <c r="X1991" s="152"/>
      <c r="Y1991" s="152"/>
      <c r="Z1991" s="152"/>
      <c r="AA1991" s="152"/>
      <c r="AB1991" s="152"/>
    </row>
    <row r="1992" spans="1:28" hidden="1" outlineLevel="1">
      <c r="A1992" s="152"/>
      <c r="B1992" s="190" t="str">
        <f t="shared" ca="1" si="2960"/>
        <v>RL Capex 2020-21</v>
      </c>
      <c r="C1992" s="1429"/>
      <c r="D1992" s="1429"/>
      <c r="E1992" s="1429"/>
      <c r="F1992" s="1429"/>
      <c r="G1992" s="1424"/>
      <c r="H1992" s="1428">
        <f>H1959</f>
        <v>0</v>
      </c>
      <c r="I1992" s="1423">
        <f t="shared" si="2945"/>
        <v>0</v>
      </c>
      <c r="J1992" s="1423">
        <f t="shared" si="2946"/>
        <v>0</v>
      </c>
      <c r="K1992" s="1423">
        <f t="shared" si="2947"/>
        <v>0</v>
      </c>
      <c r="L1992" s="1423">
        <f t="shared" si="2948"/>
        <v>0</v>
      </c>
      <c r="M1992" s="1423">
        <f t="shared" si="2949"/>
        <v>0</v>
      </c>
      <c r="N1992" s="1423">
        <f t="shared" si="2950"/>
        <v>0</v>
      </c>
      <c r="O1992" s="1423">
        <f t="shared" si="2951"/>
        <v>0</v>
      </c>
      <c r="P1992" s="1423">
        <f t="shared" si="2952"/>
        <v>0</v>
      </c>
      <c r="Q1992" s="1423">
        <f t="shared" si="2953"/>
        <v>0</v>
      </c>
      <c r="R1992" s="1423">
        <f t="shared" si="2954"/>
        <v>0</v>
      </c>
      <c r="S1992" s="1423">
        <f t="shared" si="2955"/>
        <v>0</v>
      </c>
      <c r="T1992" s="1423">
        <f t="shared" si="2956"/>
        <v>0</v>
      </c>
      <c r="U1992" s="1423">
        <f t="shared" si="2957"/>
        <v>0</v>
      </c>
      <c r="V1992" s="1423">
        <f t="shared" si="2958"/>
        <v>0</v>
      </c>
      <c r="W1992" s="1423">
        <f t="shared" si="2959"/>
        <v>0</v>
      </c>
      <c r="X1992" s="152"/>
      <c r="Y1992" s="152"/>
      <c r="Z1992" s="152"/>
      <c r="AA1992" s="152"/>
      <c r="AB1992" s="152"/>
    </row>
    <row r="1993" spans="1:28" hidden="1" outlineLevel="1">
      <c r="A1993" s="152"/>
      <c r="B1993" s="190" t="str">
        <f t="shared" ca="1" si="2960"/>
        <v>RL Capex 2021-22</v>
      </c>
      <c r="C1993" s="1429"/>
      <c r="D1993" s="1429"/>
      <c r="E1993" s="1429"/>
      <c r="F1993" s="1429"/>
      <c r="G1993" s="1429"/>
      <c r="H1993" s="1424"/>
      <c r="I1993" s="1428">
        <f>I1959</f>
        <v>0</v>
      </c>
      <c r="J1993" s="1423">
        <f t="shared" si="2946"/>
        <v>0</v>
      </c>
      <c r="K1993" s="1423">
        <f t="shared" si="2947"/>
        <v>0</v>
      </c>
      <c r="L1993" s="1423">
        <f t="shared" si="2948"/>
        <v>0</v>
      </c>
      <c r="M1993" s="1423">
        <f t="shared" si="2949"/>
        <v>0</v>
      </c>
      <c r="N1993" s="1423">
        <f t="shared" si="2950"/>
        <v>0</v>
      </c>
      <c r="O1993" s="1423">
        <f t="shared" si="2951"/>
        <v>0</v>
      </c>
      <c r="P1993" s="1423">
        <f t="shared" si="2952"/>
        <v>0</v>
      </c>
      <c r="Q1993" s="1423">
        <f t="shared" si="2953"/>
        <v>0</v>
      </c>
      <c r="R1993" s="1423">
        <f t="shared" si="2954"/>
        <v>0</v>
      </c>
      <c r="S1993" s="1423">
        <f t="shared" si="2955"/>
        <v>0</v>
      </c>
      <c r="T1993" s="1423">
        <f t="shared" si="2956"/>
        <v>0</v>
      </c>
      <c r="U1993" s="1423">
        <f t="shared" si="2957"/>
        <v>0</v>
      </c>
      <c r="V1993" s="1423">
        <f t="shared" si="2958"/>
        <v>0</v>
      </c>
      <c r="W1993" s="1423">
        <f t="shared" si="2959"/>
        <v>0</v>
      </c>
      <c r="X1993" s="152"/>
      <c r="Y1993" s="152"/>
      <c r="Z1993" s="152"/>
      <c r="AA1993" s="152"/>
      <c r="AB1993" s="152"/>
    </row>
    <row r="1994" spans="1:28" hidden="1" outlineLevel="1">
      <c r="A1994" s="152"/>
      <c r="B1994" s="190" t="str">
        <f t="shared" ca="1" si="2960"/>
        <v>RL Capex 2022-23</v>
      </c>
      <c r="C1994" s="1429"/>
      <c r="D1994" s="1429"/>
      <c r="E1994" s="1429"/>
      <c r="F1994" s="1429"/>
      <c r="G1994" s="1429"/>
      <c r="H1994" s="1429"/>
      <c r="I1994" s="1424"/>
      <c r="J1994" s="1428">
        <f>J1959</f>
        <v>0</v>
      </c>
      <c r="K1994" s="1423">
        <f t="shared" si="2947"/>
        <v>0</v>
      </c>
      <c r="L1994" s="1423">
        <f t="shared" si="2948"/>
        <v>0</v>
      </c>
      <c r="M1994" s="1423">
        <f t="shared" si="2949"/>
        <v>0</v>
      </c>
      <c r="N1994" s="1423">
        <f t="shared" si="2950"/>
        <v>0</v>
      </c>
      <c r="O1994" s="1423">
        <f t="shared" si="2951"/>
        <v>0</v>
      </c>
      <c r="P1994" s="1423">
        <f t="shared" si="2952"/>
        <v>0</v>
      </c>
      <c r="Q1994" s="1423">
        <f t="shared" si="2953"/>
        <v>0</v>
      </c>
      <c r="R1994" s="1423">
        <f t="shared" si="2954"/>
        <v>0</v>
      </c>
      <c r="S1994" s="1423">
        <f t="shared" si="2955"/>
        <v>0</v>
      </c>
      <c r="T1994" s="1423">
        <f t="shared" si="2956"/>
        <v>0</v>
      </c>
      <c r="U1994" s="1423">
        <f t="shared" si="2957"/>
        <v>0</v>
      </c>
      <c r="V1994" s="1423">
        <f t="shared" si="2958"/>
        <v>0</v>
      </c>
      <c r="W1994" s="1423">
        <f t="shared" si="2959"/>
        <v>0</v>
      </c>
      <c r="X1994" s="152"/>
      <c r="Y1994" s="152"/>
      <c r="Z1994" s="152"/>
      <c r="AA1994" s="152"/>
      <c r="AB1994" s="152"/>
    </row>
    <row r="1995" spans="1:28" hidden="1" outlineLevel="1">
      <c r="A1995" s="152"/>
      <c r="B1995" s="190" t="str">
        <f t="shared" ca="1" si="2960"/>
        <v>RL Capex 2023-24</v>
      </c>
      <c r="C1995" s="1429"/>
      <c r="D1995" s="1429"/>
      <c r="E1995" s="1429"/>
      <c r="F1995" s="1429"/>
      <c r="G1995" s="1429"/>
      <c r="H1995" s="1429"/>
      <c r="I1995" s="1429"/>
      <c r="J1995" s="1424"/>
      <c r="K1995" s="1428">
        <f>K1959</f>
        <v>0</v>
      </c>
      <c r="L1995" s="1423">
        <f t="shared" si="2948"/>
        <v>0</v>
      </c>
      <c r="M1995" s="1423">
        <f t="shared" si="2949"/>
        <v>0</v>
      </c>
      <c r="N1995" s="1423">
        <f t="shared" si="2950"/>
        <v>0</v>
      </c>
      <c r="O1995" s="1423">
        <f t="shared" si="2951"/>
        <v>0</v>
      </c>
      <c r="P1995" s="1423">
        <f t="shared" si="2952"/>
        <v>0</v>
      </c>
      <c r="Q1995" s="1423">
        <f t="shared" si="2953"/>
        <v>0</v>
      </c>
      <c r="R1995" s="1423">
        <f t="shared" si="2954"/>
        <v>0</v>
      </c>
      <c r="S1995" s="1423">
        <f t="shared" si="2955"/>
        <v>0</v>
      </c>
      <c r="T1995" s="1423">
        <f t="shared" si="2956"/>
        <v>0</v>
      </c>
      <c r="U1995" s="1423">
        <f t="shared" si="2957"/>
        <v>0</v>
      </c>
      <c r="V1995" s="1423">
        <f t="shared" si="2958"/>
        <v>0</v>
      </c>
      <c r="W1995" s="1423">
        <f t="shared" si="2959"/>
        <v>0</v>
      </c>
      <c r="X1995" s="152"/>
      <c r="Y1995" s="152"/>
      <c r="Z1995" s="152"/>
      <c r="AA1995" s="152"/>
      <c r="AB1995" s="152"/>
    </row>
    <row r="1996" spans="1:28" hidden="1" outlineLevel="1">
      <c r="A1996" s="152"/>
      <c r="B1996" s="190" t="str">
        <f t="shared" ca="1" si="2960"/>
        <v>RL Capex 2024-25</v>
      </c>
      <c r="C1996" s="1429"/>
      <c r="D1996" s="1429"/>
      <c r="E1996" s="1429"/>
      <c r="F1996" s="1429"/>
      <c r="G1996" s="1429"/>
      <c r="H1996" s="1429"/>
      <c r="I1996" s="1429"/>
      <c r="J1996" s="1429"/>
      <c r="K1996" s="1424"/>
      <c r="L1996" s="1428">
        <f>L1959</f>
        <v>0</v>
      </c>
      <c r="M1996" s="1423">
        <f t="shared" si="2949"/>
        <v>0</v>
      </c>
      <c r="N1996" s="1423">
        <f t="shared" si="2950"/>
        <v>0</v>
      </c>
      <c r="O1996" s="1423">
        <f t="shared" si="2951"/>
        <v>0</v>
      </c>
      <c r="P1996" s="1423">
        <f t="shared" si="2952"/>
        <v>0</v>
      </c>
      <c r="Q1996" s="1423">
        <f t="shared" si="2953"/>
        <v>0</v>
      </c>
      <c r="R1996" s="1423">
        <f t="shared" si="2954"/>
        <v>0</v>
      </c>
      <c r="S1996" s="1423">
        <f t="shared" si="2955"/>
        <v>0</v>
      </c>
      <c r="T1996" s="1423">
        <f t="shared" si="2956"/>
        <v>0</v>
      </c>
      <c r="U1996" s="1423">
        <f t="shared" si="2957"/>
        <v>0</v>
      </c>
      <c r="V1996" s="1423">
        <f t="shared" si="2958"/>
        <v>0</v>
      </c>
      <c r="W1996" s="1423">
        <f t="shared" si="2959"/>
        <v>0</v>
      </c>
      <c r="X1996" s="152"/>
      <c r="Y1996" s="152"/>
      <c r="Z1996" s="152"/>
      <c r="AA1996" s="152"/>
      <c r="AB1996" s="152"/>
    </row>
    <row r="1997" spans="1:28" hidden="1" outlineLevel="1">
      <c r="A1997" s="152"/>
      <c r="B1997" s="190" t="str">
        <f t="shared" ca="1" si="2960"/>
        <v>RL Capex 2025-26</v>
      </c>
      <c r="C1997" s="1429"/>
      <c r="D1997" s="1429"/>
      <c r="E1997" s="1429"/>
      <c r="F1997" s="1429"/>
      <c r="G1997" s="1429"/>
      <c r="H1997" s="1429"/>
      <c r="I1997" s="1429"/>
      <c r="J1997" s="1429"/>
      <c r="K1997" s="1429"/>
      <c r="L1997" s="1424"/>
      <c r="M1997" s="1428">
        <f>M1959</f>
        <v>0</v>
      </c>
      <c r="N1997" s="1423">
        <f t="shared" si="2950"/>
        <v>0</v>
      </c>
      <c r="O1997" s="1423">
        <f t="shared" si="2951"/>
        <v>0</v>
      </c>
      <c r="P1997" s="1423">
        <f t="shared" si="2952"/>
        <v>0</v>
      </c>
      <c r="Q1997" s="1423">
        <f t="shared" si="2953"/>
        <v>0</v>
      </c>
      <c r="R1997" s="1423">
        <f t="shared" si="2954"/>
        <v>0</v>
      </c>
      <c r="S1997" s="1423">
        <f t="shared" si="2955"/>
        <v>0</v>
      </c>
      <c r="T1997" s="1423">
        <f t="shared" si="2956"/>
        <v>0</v>
      </c>
      <c r="U1997" s="1423">
        <f t="shared" si="2957"/>
        <v>0</v>
      </c>
      <c r="V1997" s="1423">
        <f t="shared" si="2958"/>
        <v>0</v>
      </c>
      <c r="W1997" s="1423">
        <f t="shared" si="2959"/>
        <v>0</v>
      </c>
      <c r="X1997" s="152"/>
      <c r="Y1997" s="152"/>
      <c r="Z1997" s="152"/>
      <c r="AA1997" s="152"/>
      <c r="AB1997" s="152"/>
    </row>
    <row r="1998" spans="1:28" hidden="1" outlineLevel="1">
      <c r="A1998" s="152"/>
      <c r="B1998" s="190" t="str">
        <f t="shared" ca="1" si="2960"/>
        <v>RL Capex 2026-27</v>
      </c>
      <c r="C1998" s="1429"/>
      <c r="D1998" s="1429"/>
      <c r="E1998" s="1429"/>
      <c r="F1998" s="1429"/>
      <c r="G1998" s="1429"/>
      <c r="H1998" s="1429"/>
      <c r="I1998" s="1429"/>
      <c r="J1998" s="1429"/>
      <c r="K1998" s="1429"/>
      <c r="L1998" s="1429"/>
      <c r="M1998" s="1424"/>
      <c r="N1998" s="1428">
        <f>N1959</f>
        <v>0</v>
      </c>
      <c r="O1998" s="1423">
        <f t="shared" si="2951"/>
        <v>0</v>
      </c>
      <c r="P1998" s="1423">
        <f t="shared" si="2952"/>
        <v>0</v>
      </c>
      <c r="Q1998" s="1423">
        <f t="shared" si="2953"/>
        <v>0</v>
      </c>
      <c r="R1998" s="1423">
        <f t="shared" si="2954"/>
        <v>0</v>
      </c>
      <c r="S1998" s="1423">
        <f t="shared" si="2955"/>
        <v>0</v>
      </c>
      <c r="T1998" s="1423">
        <f t="shared" si="2956"/>
        <v>0</v>
      </c>
      <c r="U1998" s="1423">
        <f t="shared" si="2957"/>
        <v>0</v>
      </c>
      <c r="V1998" s="1423">
        <f t="shared" si="2958"/>
        <v>0</v>
      </c>
      <c r="W1998" s="1423">
        <f t="shared" si="2959"/>
        <v>0</v>
      </c>
      <c r="X1998" s="152"/>
      <c r="Y1998" s="152"/>
      <c r="Z1998" s="152"/>
      <c r="AA1998" s="152"/>
      <c r="AB1998" s="152"/>
    </row>
    <row r="1999" spans="1:28" hidden="1" outlineLevel="1">
      <c r="A1999" s="152"/>
      <c r="B1999" s="190" t="str">
        <f t="shared" ca="1" si="2960"/>
        <v>RL Capex 2027-28</v>
      </c>
      <c r="C1999" s="1429"/>
      <c r="D1999" s="1429"/>
      <c r="E1999" s="1429"/>
      <c r="F1999" s="1429"/>
      <c r="G1999" s="1429"/>
      <c r="H1999" s="1429"/>
      <c r="I1999" s="1429"/>
      <c r="J1999" s="1429"/>
      <c r="K1999" s="1429"/>
      <c r="L1999" s="1429"/>
      <c r="M1999" s="1429"/>
      <c r="N1999" s="1424"/>
      <c r="O1999" s="1428">
        <f>O1959</f>
        <v>0</v>
      </c>
      <c r="P1999" s="1423">
        <f t="shared" si="2952"/>
        <v>0</v>
      </c>
      <c r="Q1999" s="1423">
        <f t="shared" si="2953"/>
        <v>0</v>
      </c>
      <c r="R1999" s="1423">
        <f t="shared" si="2954"/>
        <v>0</v>
      </c>
      <c r="S1999" s="1423">
        <f t="shared" si="2955"/>
        <v>0</v>
      </c>
      <c r="T1999" s="1423">
        <f t="shared" si="2956"/>
        <v>0</v>
      </c>
      <c r="U1999" s="1423">
        <f t="shared" si="2957"/>
        <v>0</v>
      </c>
      <c r="V1999" s="1423">
        <f t="shared" si="2958"/>
        <v>0</v>
      </c>
      <c r="W1999" s="1423">
        <f t="shared" si="2959"/>
        <v>0</v>
      </c>
      <c r="X1999" s="152"/>
      <c r="Y1999" s="152"/>
      <c r="Z1999" s="152"/>
      <c r="AA1999" s="152"/>
      <c r="AB1999" s="152"/>
    </row>
    <row r="2000" spans="1:28" hidden="1" outlineLevel="1">
      <c r="A2000" s="152"/>
      <c r="B2000" s="190" t="str">
        <f t="shared" ca="1" si="2960"/>
        <v>RL Capex 2028-29</v>
      </c>
      <c r="C2000" s="1429"/>
      <c r="D2000" s="1429"/>
      <c r="E2000" s="1429"/>
      <c r="F2000" s="1429"/>
      <c r="G2000" s="1429"/>
      <c r="H2000" s="1429"/>
      <c r="I2000" s="1429"/>
      <c r="J2000" s="1429"/>
      <c r="K2000" s="1429"/>
      <c r="L2000" s="1429"/>
      <c r="M2000" s="1429"/>
      <c r="N2000" s="1429"/>
      <c r="O2000" s="1424"/>
      <c r="P2000" s="1428">
        <f>P1959</f>
        <v>0</v>
      </c>
      <c r="Q2000" s="1423">
        <f t="shared" si="2953"/>
        <v>0</v>
      </c>
      <c r="R2000" s="1423">
        <f t="shared" si="2954"/>
        <v>0</v>
      </c>
      <c r="S2000" s="1423">
        <f t="shared" si="2955"/>
        <v>0</v>
      </c>
      <c r="T2000" s="1423">
        <f t="shared" si="2956"/>
        <v>0</v>
      </c>
      <c r="U2000" s="1423">
        <f t="shared" si="2957"/>
        <v>0</v>
      </c>
      <c r="V2000" s="1423">
        <f t="shared" si="2958"/>
        <v>0</v>
      </c>
      <c r="W2000" s="1423">
        <f t="shared" si="2959"/>
        <v>0</v>
      </c>
      <c r="X2000" s="152"/>
      <c r="Y2000" s="152"/>
      <c r="Z2000" s="152"/>
      <c r="AA2000" s="152"/>
      <c r="AB2000" s="152"/>
    </row>
    <row r="2001" spans="1:28" hidden="1" outlineLevel="1">
      <c r="A2001" s="152"/>
      <c r="B2001" s="190" t="str">
        <f t="shared" ca="1" si="2960"/>
        <v>RL Capex 2029-30</v>
      </c>
      <c r="C2001" s="1429"/>
      <c r="D2001" s="1429"/>
      <c r="E2001" s="1429"/>
      <c r="F2001" s="1429"/>
      <c r="G2001" s="1429"/>
      <c r="H2001" s="1429"/>
      <c r="I2001" s="1429"/>
      <c r="J2001" s="1429"/>
      <c r="K2001" s="1429"/>
      <c r="L2001" s="1429"/>
      <c r="M2001" s="1429"/>
      <c r="N2001" s="1429"/>
      <c r="O2001" s="1429"/>
      <c r="P2001" s="1424"/>
      <c r="Q2001" s="1428">
        <f>Q1959</f>
        <v>0</v>
      </c>
      <c r="R2001" s="1423">
        <f t="shared" si="2954"/>
        <v>0</v>
      </c>
      <c r="S2001" s="1423">
        <f t="shared" si="2955"/>
        <v>0</v>
      </c>
      <c r="T2001" s="1423">
        <f t="shared" si="2956"/>
        <v>0</v>
      </c>
      <c r="U2001" s="1423">
        <f t="shared" si="2957"/>
        <v>0</v>
      </c>
      <c r="V2001" s="1423">
        <f t="shared" si="2958"/>
        <v>0</v>
      </c>
      <c r="W2001" s="1423">
        <f t="shared" si="2959"/>
        <v>0</v>
      </c>
      <c r="X2001" s="152"/>
      <c r="Y2001" s="152"/>
      <c r="Z2001" s="152"/>
      <c r="AA2001" s="152"/>
      <c r="AB2001" s="152"/>
    </row>
    <row r="2002" spans="1:28" hidden="1" outlineLevel="1">
      <c r="A2002" s="152"/>
      <c r="B2002" s="190" t="str">
        <f t="shared" ca="1" si="2960"/>
        <v>RL Capex 2030-31</v>
      </c>
      <c r="C2002" s="1429"/>
      <c r="D2002" s="1429"/>
      <c r="E2002" s="1429"/>
      <c r="F2002" s="1429"/>
      <c r="G2002" s="1429"/>
      <c r="H2002" s="1429"/>
      <c r="I2002" s="1429"/>
      <c r="J2002" s="1429"/>
      <c r="K2002" s="1429"/>
      <c r="L2002" s="1429"/>
      <c r="M2002" s="1429"/>
      <c r="N2002" s="1429"/>
      <c r="O2002" s="1429"/>
      <c r="P2002" s="1429"/>
      <c r="Q2002" s="1424"/>
      <c r="R2002" s="1428">
        <f>R1959</f>
        <v>0</v>
      </c>
      <c r="S2002" s="1423">
        <f t="shared" si="2955"/>
        <v>0</v>
      </c>
      <c r="T2002" s="1423">
        <f t="shared" si="2956"/>
        <v>0</v>
      </c>
      <c r="U2002" s="1423">
        <f t="shared" si="2957"/>
        <v>0</v>
      </c>
      <c r="V2002" s="1423">
        <f t="shared" si="2958"/>
        <v>0</v>
      </c>
      <c r="W2002" s="1423">
        <f t="shared" si="2959"/>
        <v>0</v>
      </c>
      <c r="X2002" s="152"/>
      <c r="Y2002" s="152"/>
      <c r="Z2002" s="152"/>
      <c r="AA2002" s="152"/>
      <c r="AB2002" s="152"/>
    </row>
    <row r="2003" spans="1:28" hidden="1" outlineLevel="1">
      <c r="A2003" s="152"/>
      <c r="B2003" s="190" t="str">
        <f t="shared" ca="1" si="2960"/>
        <v>RL Capex 2031-32</v>
      </c>
      <c r="C2003" s="1429"/>
      <c r="D2003" s="1429"/>
      <c r="E2003" s="1429"/>
      <c r="F2003" s="1429"/>
      <c r="G2003" s="1429"/>
      <c r="H2003" s="1429"/>
      <c r="I2003" s="1429"/>
      <c r="J2003" s="1429"/>
      <c r="K2003" s="1429"/>
      <c r="L2003" s="1429"/>
      <c r="M2003" s="1429"/>
      <c r="N2003" s="1429"/>
      <c r="O2003" s="1429"/>
      <c r="P2003" s="1429"/>
      <c r="Q2003" s="1429"/>
      <c r="R2003" s="1424"/>
      <c r="S2003" s="1428">
        <f>S1959</f>
        <v>0</v>
      </c>
      <c r="T2003" s="1423">
        <f t="shared" si="2956"/>
        <v>0</v>
      </c>
      <c r="U2003" s="1423">
        <f t="shared" si="2957"/>
        <v>0</v>
      </c>
      <c r="V2003" s="1423">
        <f t="shared" si="2958"/>
        <v>0</v>
      </c>
      <c r="W2003" s="1423">
        <f t="shared" si="2959"/>
        <v>0</v>
      </c>
      <c r="X2003" s="152"/>
      <c r="Y2003" s="152"/>
      <c r="Z2003" s="152"/>
      <c r="AA2003" s="152"/>
      <c r="AB2003" s="152"/>
    </row>
    <row r="2004" spans="1:28" hidden="1" outlineLevel="1">
      <c r="A2004" s="152"/>
      <c r="B2004" s="190" t="str">
        <f t="shared" ca="1" si="2960"/>
        <v>RL Capex 2032-33</v>
      </c>
      <c r="C2004" s="1429"/>
      <c r="D2004" s="1429"/>
      <c r="E2004" s="1429"/>
      <c r="F2004" s="1429"/>
      <c r="G2004" s="1429"/>
      <c r="H2004" s="1429"/>
      <c r="I2004" s="1429"/>
      <c r="J2004" s="1429"/>
      <c r="K2004" s="1429"/>
      <c r="L2004" s="1429"/>
      <c r="M2004" s="1429"/>
      <c r="N2004" s="1429"/>
      <c r="O2004" s="1429"/>
      <c r="P2004" s="1429"/>
      <c r="Q2004" s="1429"/>
      <c r="R2004" s="1429"/>
      <c r="S2004" s="1424"/>
      <c r="T2004" s="1428">
        <f>T1959</f>
        <v>0</v>
      </c>
      <c r="U2004" s="1423">
        <f t="shared" si="2957"/>
        <v>0</v>
      </c>
      <c r="V2004" s="1423">
        <f t="shared" si="2958"/>
        <v>0</v>
      </c>
      <c r="W2004" s="1423">
        <f t="shared" si="2959"/>
        <v>0</v>
      </c>
      <c r="X2004" s="152"/>
      <c r="Y2004" s="152"/>
      <c r="Z2004" s="152"/>
      <c r="AA2004" s="152"/>
      <c r="AB2004" s="152"/>
    </row>
    <row r="2005" spans="1:28" hidden="1" outlineLevel="1">
      <c r="A2005" s="152"/>
      <c r="B2005" s="190" t="str">
        <f t="shared" ca="1" si="2960"/>
        <v>RL Capex 2033-34</v>
      </c>
      <c r="C2005" s="1429"/>
      <c r="D2005" s="1429"/>
      <c r="E2005" s="1429"/>
      <c r="F2005" s="1429"/>
      <c r="G2005" s="1429"/>
      <c r="H2005" s="1429"/>
      <c r="I2005" s="1429"/>
      <c r="J2005" s="1429"/>
      <c r="K2005" s="1429"/>
      <c r="L2005" s="1429"/>
      <c r="M2005" s="1429"/>
      <c r="N2005" s="1429"/>
      <c r="O2005" s="1429"/>
      <c r="P2005" s="1429"/>
      <c r="Q2005" s="1429"/>
      <c r="R2005" s="1429"/>
      <c r="S2005" s="1429"/>
      <c r="T2005" s="1424"/>
      <c r="U2005" s="1428">
        <f>U1959</f>
        <v>0</v>
      </c>
      <c r="V2005" s="1423">
        <f t="shared" si="2958"/>
        <v>0</v>
      </c>
      <c r="W2005" s="1423">
        <f t="shared" si="2959"/>
        <v>0</v>
      </c>
      <c r="X2005" s="152"/>
      <c r="Y2005" s="152"/>
      <c r="Z2005" s="152"/>
      <c r="AA2005" s="152"/>
      <c r="AB2005" s="152"/>
    </row>
    <row r="2006" spans="1:28" hidden="1" outlineLevel="1">
      <c r="A2006" s="152"/>
      <c r="B2006" s="190" t="str">
        <f t="shared" ca="1" si="2960"/>
        <v>RL Capex 2034-35</v>
      </c>
      <c r="C2006" s="1429"/>
      <c r="D2006" s="1429"/>
      <c r="E2006" s="1429"/>
      <c r="F2006" s="1429"/>
      <c r="G2006" s="1429"/>
      <c r="H2006" s="1429"/>
      <c r="I2006" s="1429"/>
      <c r="J2006" s="1429"/>
      <c r="K2006" s="1429"/>
      <c r="L2006" s="1429"/>
      <c r="M2006" s="1429"/>
      <c r="N2006" s="1429"/>
      <c r="O2006" s="1429"/>
      <c r="P2006" s="1429"/>
      <c r="Q2006" s="1429"/>
      <c r="R2006" s="1429"/>
      <c r="S2006" s="1429"/>
      <c r="T2006" s="1429"/>
      <c r="U2006" s="1424"/>
      <c r="V2006" s="1428">
        <f>V1959</f>
        <v>0</v>
      </c>
      <c r="W2006" s="1423">
        <f>IF(V2006="n/a","n/a",MAX(0,V2006-1))</f>
        <v>0</v>
      </c>
      <c r="X2006" s="152"/>
      <c r="Y2006" s="152"/>
      <c r="Z2006" s="152"/>
      <c r="AA2006" s="152"/>
      <c r="AB2006" s="152"/>
    </row>
    <row r="2007" spans="1:28" hidden="1" outlineLevel="1">
      <c r="A2007" s="152"/>
      <c r="B2007" s="190" t="str">
        <f t="shared" ca="1" si="2960"/>
        <v>RL Capex 2035-36</v>
      </c>
      <c r="C2007" s="1429"/>
      <c r="D2007" s="1429"/>
      <c r="E2007" s="1429"/>
      <c r="F2007" s="1429"/>
      <c r="G2007" s="1429"/>
      <c r="H2007" s="1429"/>
      <c r="I2007" s="1429"/>
      <c r="J2007" s="1429"/>
      <c r="K2007" s="1429"/>
      <c r="L2007" s="1429"/>
      <c r="M2007" s="1429"/>
      <c r="N2007" s="1429"/>
      <c r="O2007" s="1429"/>
      <c r="P2007" s="1429"/>
      <c r="Q2007" s="1429"/>
      <c r="R2007" s="1429"/>
      <c r="S2007" s="1429"/>
      <c r="T2007" s="1429"/>
      <c r="U2007" s="1429"/>
      <c r="V2007" s="1424"/>
      <c r="W2007" s="1423">
        <f>W1959</f>
        <v>0</v>
      </c>
      <c r="X2007" s="152"/>
      <c r="Y2007" s="152"/>
      <c r="Z2007" s="152"/>
      <c r="AA2007" s="152"/>
      <c r="AB2007" s="152"/>
    </row>
    <row r="2008" spans="1:28" hidden="1" outlineLevel="1">
      <c r="A2008" s="152"/>
      <c r="B2008" s="200"/>
      <c r="C2008" s="1423"/>
      <c r="D2008" s="1423"/>
      <c r="E2008" s="1423"/>
      <c r="F2008" s="1423"/>
      <c r="G2008" s="1423"/>
      <c r="H2008" s="1423"/>
      <c r="I2008" s="1423"/>
      <c r="J2008" s="1423"/>
      <c r="K2008" s="1423"/>
      <c r="L2008" s="1423"/>
      <c r="M2008" s="1423"/>
      <c r="N2008" s="1423"/>
      <c r="O2008" s="1423"/>
      <c r="P2008" s="1423"/>
      <c r="Q2008" s="1423"/>
      <c r="R2008" s="1423"/>
      <c r="S2008" s="1423"/>
      <c r="T2008" s="1423"/>
      <c r="U2008" s="1423"/>
      <c r="V2008" s="1423"/>
      <c r="W2008" s="1423"/>
      <c r="X2008" s="152"/>
      <c r="Y2008" s="152"/>
      <c r="Z2008" s="152"/>
      <c r="AA2008" s="152"/>
      <c r="AB2008" s="152"/>
    </row>
    <row r="2009" spans="1:28" collapsed="1">
      <c r="A2009" s="194"/>
      <c r="B2009" s="204" t="s">
        <v>123</v>
      </c>
      <c r="C2009" s="1430">
        <f ca="1">(IF(OR($C1959&lt;&gt;"n/a",C1959&lt;&gt;"n/a"),IF(SUM(C1962:C1984)=0,0,IF((SUMPRODUCT(C1962:C1984,C1986:C2008)/SUM(C1962:C1984))&lt;0,1,(SUMPRODUCT(C1962:C1984,C1986:C2008)/SUM(C1962:C1984)))),"n/a"))</f>
        <v>0</v>
      </c>
      <c r="D2009" s="1430">
        <f ca="1">(IF(OR($C1959&lt;&gt;"n/a",D1959&lt;&gt;"n/a"),IF(SUM(D1962:D1984)=0,0,IF((SUMPRODUCT(D1962:D1984,D1986:D2008)/SUM(D1962:D1984))&lt;0,1,(SUMPRODUCT(D1962:D1984,D1986:D2008)/SUM(D1962:D1984)))),"n/a"))</f>
        <v>0</v>
      </c>
      <c r="E2009" s="1430">
        <f t="shared" ref="E2009:W2009" ca="1" si="2961">(IF(OR($C1959&lt;&gt;"n/a",E1959&lt;&gt;"n/a"),IF(SUM(E1962:E1984)=0,0,IF((SUMPRODUCT(E1962:E1984,E1986:E2008)/SUM(E1962:E1984))&lt;0,1,(SUMPRODUCT(E1962:E1984,E1986:E2008)/SUM(E1962:E1984)))),"n/a"))</f>
        <v>0</v>
      </c>
      <c r="F2009" s="1430">
        <f t="shared" ca="1" si="2961"/>
        <v>0</v>
      </c>
      <c r="G2009" s="1430">
        <f t="shared" ca="1" si="2961"/>
        <v>0</v>
      </c>
      <c r="H2009" s="1430">
        <f t="shared" ca="1" si="2961"/>
        <v>0</v>
      </c>
      <c r="I2009" s="1430">
        <f t="shared" ca="1" si="2961"/>
        <v>0</v>
      </c>
      <c r="J2009" s="1430">
        <f t="shared" ca="1" si="2961"/>
        <v>0</v>
      </c>
      <c r="K2009" s="1430">
        <f t="shared" ca="1" si="2961"/>
        <v>0</v>
      </c>
      <c r="L2009" s="1430">
        <f t="shared" ca="1" si="2961"/>
        <v>0</v>
      </c>
      <c r="M2009" s="1430">
        <f t="shared" ca="1" si="2961"/>
        <v>0</v>
      </c>
      <c r="N2009" s="1430">
        <f t="shared" ca="1" si="2961"/>
        <v>0</v>
      </c>
      <c r="O2009" s="1430">
        <f t="shared" ca="1" si="2961"/>
        <v>0</v>
      </c>
      <c r="P2009" s="1430">
        <f t="shared" ca="1" si="2961"/>
        <v>0</v>
      </c>
      <c r="Q2009" s="1430">
        <f t="shared" ca="1" si="2961"/>
        <v>0</v>
      </c>
      <c r="R2009" s="1430">
        <f t="shared" ca="1" si="2961"/>
        <v>0</v>
      </c>
      <c r="S2009" s="1430">
        <f t="shared" ca="1" si="2961"/>
        <v>0</v>
      </c>
      <c r="T2009" s="1430">
        <f t="shared" ca="1" si="2961"/>
        <v>0</v>
      </c>
      <c r="U2009" s="1430">
        <f t="shared" ca="1" si="2961"/>
        <v>0</v>
      </c>
      <c r="V2009" s="1430">
        <f t="shared" ca="1" si="2961"/>
        <v>0</v>
      </c>
      <c r="W2009" s="1430">
        <f t="shared" ca="1" si="2961"/>
        <v>0</v>
      </c>
      <c r="X2009" s="152"/>
      <c r="Y2009" s="152"/>
      <c r="Z2009" s="152"/>
      <c r="AA2009" s="152"/>
      <c r="AB2009" s="152"/>
    </row>
    <row r="2010" spans="1:28">
      <c r="A2010" s="152"/>
      <c r="B2010" s="152"/>
      <c r="C2010" s="1423"/>
      <c r="D2010" s="1423"/>
      <c r="E2010" s="1423"/>
      <c r="F2010" s="1423"/>
      <c r="G2010" s="1423"/>
      <c r="H2010" s="1423"/>
      <c r="I2010" s="1423"/>
      <c r="J2010" s="1423"/>
      <c r="K2010" s="1423"/>
      <c r="L2010" s="1423"/>
      <c r="M2010" s="1423"/>
      <c r="N2010" s="1423"/>
      <c r="O2010" s="1423"/>
      <c r="P2010" s="1423"/>
      <c r="Q2010" s="1423"/>
      <c r="R2010" s="1423"/>
      <c r="S2010" s="1423"/>
      <c r="T2010" s="1423"/>
      <c r="U2010" s="1423"/>
      <c r="V2010" s="1423"/>
      <c r="W2010" s="1423"/>
      <c r="X2010" s="152"/>
      <c r="Y2010" s="152"/>
      <c r="Z2010" s="152"/>
      <c r="AA2010" s="152"/>
      <c r="AB2010" s="152"/>
    </row>
    <row r="2011" spans="1:28">
      <c r="A2011" s="269" t="s">
        <v>104</v>
      </c>
      <c r="B2011" s="270">
        <f>VLOOKUP($A2011,'RFM input'!$E$7:$F$56,2,FALSE)</f>
        <v>0</v>
      </c>
      <c r="C2011" s="1431"/>
      <c r="D2011" s="1431"/>
      <c r="E2011" s="1432"/>
      <c r="F2011" s="1432"/>
      <c r="G2011" s="1432"/>
      <c r="H2011" s="1432"/>
      <c r="I2011" s="1432"/>
      <c r="J2011" s="1432"/>
      <c r="K2011" s="1432"/>
      <c r="L2011" s="1432"/>
      <c r="M2011" s="1432"/>
      <c r="N2011" s="1432"/>
      <c r="O2011" s="1432"/>
      <c r="P2011" s="1432"/>
      <c r="Q2011" s="1432"/>
      <c r="R2011" s="1432"/>
      <c r="S2011" s="1432"/>
      <c r="T2011" s="1432"/>
      <c r="U2011" s="1432"/>
      <c r="V2011" s="1432"/>
      <c r="W2011" s="1432"/>
      <c r="X2011" s="152"/>
      <c r="Y2011" s="152"/>
      <c r="Z2011" s="152"/>
      <c r="AA2011" s="152"/>
      <c r="AB2011" s="152"/>
    </row>
    <row r="2012" spans="1:28">
      <c r="A2012" s="215">
        <f>VALUE(REPLACE(A2011,1,12,""))</f>
        <v>38</v>
      </c>
      <c r="B2012" s="193" t="s">
        <v>126</v>
      </c>
      <c r="C2012" s="1416">
        <f ca="1">IF($C$8='Capital Base roll forward'!$H$4,OFFSET('Capital Base roll forward'!$H$717,'RAB remaining lives'!A2012,0),"enter input")</f>
        <v>0</v>
      </c>
      <c r="D2012" s="1417">
        <f>IF(LEFT(D$6,4)&lt;LEFT('RFM input'!$G$60,4),"enter input",IF(LEFT(D$6,4)&gt;LEFT('RFM input'!$Q$60,4),0,INDEX('RFM input'!$G$61:$Q$110,$A2012,MATCH(D$6,'RFM input'!$G$60:$Q$60,0))
-INDEX('RFM input'!$G$115:$Q$164,$A2012,MATCH(D$6,'RFM input'!$G$60:$Q$60,0))
-INDEX('RFM input'!$G$169:$Q$218,$A2012,MATCH(D$6,'RFM input'!$G$60:$Q$60,0))))</f>
        <v>0</v>
      </c>
      <c r="E2012" s="1417">
        <f>IF(LEFT(E$6,4)&lt;LEFT('RFM input'!$G$60,4),"enter input",IF(LEFT(E$6,4)&gt;LEFT('RFM input'!$Q$60,4),0,INDEX('RFM input'!$G$61:$Q$110,$A2012,MATCH(E$6,'RFM input'!$G$60:$Q$60,0))
-INDEX('RFM input'!$G$115:$Q$164,$A2012,MATCH(E$6,'RFM input'!$G$60:$Q$60,0))
-INDEX('RFM input'!$G$169:$Q$218,$A2012,MATCH(E$6,'RFM input'!$G$60:$Q$60,0))))</f>
        <v>0</v>
      </c>
      <c r="F2012" s="1417">
        <f>IF(LEFT(F$6,4)&lt;LEFT('RFM input'!$G$60,4),"enter input",IF(LEFT(F$6,4)&gt;LEFT('RFM input'!$Q$60,4),0,INDEX('RFM input'!$G$61:$Q$110,$A2012,MATCH(F$6,'RFM input'!$G$60:$Q$60,0))
-INDEX('RFM input'!$G$115:$Q$164,$A2012,MATCH(F$6,'RFM input'!$G$60:$Q$60,0))
-INDEX('RFM input'!$G$169:$Q$218,$A2012,MATCH(F$6,'RFM input'!$G$60:$Q$60,0))))</f>
        <v>0</v>
      </c>
      <c r="G2012" s="1417">
        <f>IF(LEFT(G$6,4)&lt;LEFT('RFM input'!$G$60,4),"enter input",IF(LEFT(G$6,4)&gt;LEFT('RFM input'!$Q$60,4),0,INDEX('RFM input'!$G$61:$Q$110,$A2012,MATCH(G$6,'RFM input'!$G$60:$Q$60,0))
-INDEX('RFM input'!$G$115:$Q$164,$A2012,MATCH(G$6,'RFM input'!$G$60:$Q$60,0))
-INDEX('RFM input'!$G$169:$Q$218,$A2012,MATCH(G$6,'RFM input'!$G$60:$Q$60,0))))</f>
        <v>0</v>
      </c>
      <c r="H2012" s="1417">
        <f>IF(LEFT(H$6,4)&lt;LEFT('RFM input'!$G$60,4),"enter input",IF(LEFT(H$6,4)&gt;LEFT('RFM input'!$Q$60,4),0,INDEX('RFM input'!$G$61:$Q$110,$A2012,MATCH(H$6,'RFM input'!$G$60:$Q$60,0))
-INDEX('RFM input'!$G$115:$Q$164,$A2012,MATCH(H$6,'RFM input'!$G$60:$Q$60,0))
-INDEX('RFM input'!$G$169:$Q$218,$A2012,MATCH(H$6,'RFM input'!$G$60:$Q$60,0))))</f>
        <v>0</v>
      </c>
      <c r="I2012" s="1417">
        <f>IF(LEFT(I$6,4)&lt;LEFT('RFM input'!$G$60,4),"enter input",IF(LEFT(I$6,4)&gt;LEFT('RFM input'!$Q$60,4),0,INDEX('RFM input'!$G$61:$Q$110,$A2012,MATCH(I$6,'RFM input'!$G$60:$Q$60,0))
-INDEX('RFM input'!$G$115:$Q$164,$A2012,MATCH(I$6,'RFM input'!$G$60:$Q$60,0))
-INDEX('RFM input'!$G$169:$Q$218,$A2012,MATCH(I$6,'RFM input'!$G$60:$Q$60,0))))</f>
        <v>0</v>
      </c>
      <c r="J2012" s="1417">
        <f>IF(LEFT(J$6,4)&lt;LEFT('RFM input'!$G$60,4),"enter input",IF(LEFT(J$6,4)&gt;LEFT('RFM input'!$Q$60,4),0,INDEX('RFM input'!$G$61:$Q$110,$A2012,MATCH(J$6,'RFM input'!$G$60:$Q$60,0))
-INDEX('RFM input'!$G$115:$Q$164,$A2012,MATCH(J$6,'RFM input'!$G$60:$Q$60,0))
-INDEX('RFM input'!$G$169:$Q$218,$A2012,MATCH(J$6,'RFM input'!$G$60:$Q$60,0))))</f>
        <v>0</v>
      </c>
      <c r="K2012" s="1417">
        <f>IF(LEFT(K$6,4)&lt;LEFT('RFM input'!$G$60,4),"enter input",IF(LEFT(K$6,4)&gt;LEFT('RFM input'!$Q$60,4),0,INDEX('RFM input'!$G$61:$Q$110,$A2012,MATCH(K$6,'RFM input'!$G$60:$Q$60,0))
-INDEX('RFM input'!$G$115:$Q$164,$A2012,MATCH(K$6,'RFM input'!$G$60:$Q$60,0))
-INDEX('RFM input'!$G$169:$Q$218,$A2012,MATCH(K$6,'RFM input'!$G$60:$Q$60,0))))</f>
        <v>0</v>
      </c>
      <c r="L2012" s="1417">
        <f>IF(LEFT(L$6,4)&lt;LEFT('RFM input'!$G$60,4),"enter input",IF(LEFT(L$6,4)&gt;LEFT('RFM input'!$Q$60,4),0,INDEX('RFM input'!$G$61:$Q$110,$A2012,MATCH(L$6,'RFM input'!$G$60:$Q$60,0))
-INDEX('RFM input'!$G$115:$Q$164,$A2012,MATCH(L$6,'RFM input'!$G$60:$Q$60,0))
-INDEX('RFM input'!$G$169:$Q$218,$A2012,MATCH(L$6,'RFM input'!$G$60:$Q$60,0))))</f>
        <v>0</v>
      </c>
      <c r="M2012" s="1417">
        <f>IF(LEFT(M$6,4)&lt;LEFT('RFM input'!$G$60,4),"enter input",IF(LEFT(M$6,4)&gt;LEFT('RFM input'!$Q$60,4),0,INDEX('RFM input'!$G$61:$Q$110,$A2012,MATCH(M$6,'RFM input'!$G$60:$Q$60,0))
-INDEX('RFM input'!$G$115:$Q$164,$A2012,MATCH(M$6,'RFM input'!$G$60:$Q$60,0))
-INDEX('RFM input'!$G$169:$Q$218,$A2012,MATCH(M$6,'RFM input'!$G$60:$Q$60,0))))</f>
        <v>0</v>
      </c>
      <c r="N2012" s="1417">
        <f>IF(LEFT(N$6,4)&lt;LEFT('RFM input'!$G$60,4),"enter input",IF(LEFT(N$6,4)&gt;LEFT('RFM input'!$Q$60,4),0,INDEX('RFM input'!$G$61:$Q$110,$A2012,MATCH(N$6,'RFM input'!$G$60:$Q$60,0))
-INDEX('RFM input'!$G$115:$Q$164,$A2012,MATCH(N$6,'RFM input'!$G$60:$Q$60,0))
-INDEX('RFM input'!$G$169:$Q$218,$A2012,MATCH(N$6,'RFM input'!$G$60:$Q$60,0))))</f>
        <v>0</v>
      </c>
      <c r="O2012" s="1417">
        <f>IF(LEFT(O$6,4)&lt;LEFT('RFM input'!$G$60,4),"enter input",IF(LEFT(O$6,4)&gt;LEFT('RFM input'!$Q$60,4),0,INDEX('RFM input'!$G$61:$Q$110,$A2012,MATCH(O$6,'RFM input'!$G$60:$Q$60,0))
-INDEX('RFM input'!$G$115:$Q$164,$A2012,MATCH(O$6,'RFM input'!$G$60:$Q$60,0))
-INDEX('RFM input'!$G$169:$Q$218,$A2012,MATCH(O$6,'RFM input'!$G$60:$Q$60,0))))</f>
        <v>0</v>
      </c>
      <c r="P2012" s="1417">
        <f>IF(LEFT(P$6,4)&lt;LEFT('RFM input'!$G$60,4),"enter input",IF(LEFT(P$6,4)&gt;LEFT('RFM input'!$Q$60,4),0,INDEX('RFM input'!$G$61:$Q$110,$A2012,MATCH(P$6,'RFM input'!$G$60:$Q$60,0))
-INDEX('RFM input'!$G$115:$Q$164,$A2012,MATCH(P$6,'RFM input'!$G$60:$Q$60,0))
-INDEX('RFM input'!$G$169:$Q$218,$A2012,MATCH(P$6,'RFM input'!$G$60:$Q$60,0))))</f>
        <v>0</v>
      </c>
      <c r="Q2012" s="1417">
        <f>IF(LEFT(Q$6,4)&lt;LEFT('RFM input'!$G$60,4),"enter input",IF(LEFT(Q$6,4)&gt;LEFT('RFM input'!$Q$60,4),0,INDEX('RFM input'!$G$61:$Q$110,$A2012,MATCH(Q$6,'RFM input'!$G$60:$Q$60,0))
-INDEX('RFM input'!$G$115:$Q$164,$A2012,MATCH(Q$6,'RFM input'!$G$60:$Q$60,0))
-INDEX('RFM input'!$G$169:$Q$218,$A2012,MATCH(Q$6,'RFM input'!$G$60:$Q$60,0))))</f>
        <v>0</v>
      </c>
      <c r="R2012" s="1417">
        <f>IF(LEFT(R$6,4)&lt;LEFT('RFM input'!$G$60,4),"enter input",IF(LEFT(R$6,4)&gt;LEFT('RFM input'!$Q$60,4),0,INDEX('RFM input'!$G$61:$Q$110,$A2012,MATCH(R$6,'RFM input'!$G$60:$Q$60,0))
-INDEX('RFM input'!$G$115:$Q$164,$A2012,MATCH(R$6,'RFM input'!$G$60:$Q$60,0))
-INDEX('RFM input'!$G$169:$Q$218,$A2012,MATCH(R$6,'RFM input'!$G$60:$Q$60,0))))</f>
        <v>0</v>
      </c>
      <c r="S2012" s="1417">
        <f>IF(LEFT(S$6,4)&lt;LEFT('RFM input'!$G$60,4),"enter input",IF(LEFT(S$6,4)&gt;LEFT('RFM input'!$Q$60,4),0,INDEX('RFM input'!$G$61:$Q$110,$A2012,MATCH(S$6,'RFM input'!$G$60:$Q$60,0))
-INDEX('RFM input'!$G$115:$Q$164,$A2012,MATCH(S$6,'RFM input'!$G$60:$Q$60,0))
-INDEX('RFM input'!$G$169:$Q$218,$A2012,MATCH(S$6,'RFM input'!$G$60:$Q$60,0))))</f>
        <v>0</v>
      </c>
      <c r="T2012" s="1417">
        <f>IF(LEFT(T$6,4)&lt;LEFT('RFM input'!$G$60,4),"enter input",IF(LEFT(T$6,4)&gt;LEFT('RFM input'!$Q$60,4),0,INDEX('RFM input'!$G$61:$Q$110,$A2012,MATCH(T$6,'RFM input'!$G$60:$Q$60,0))
-INDEX('RFM input'!$G$115:$Q$164,$A2012,MATCH(T$6,'RFM input'!$G$60:$Q$60,0))
-INDEX('RFM input'!$G$169:$Q$218,$A2012,MATCH(T$6,'RFM input'!$G$60:$Q$60,0))))</f>
        <v>0</v>
      </c>
      <c r="U2012" s="1417">
        <f>IF(LEFT(U$6,4)&lt;LEFT('RFM input'!$G$60,4),"enter input",IF(LEFT(U$6,4)&gt;LEFT('RFM input'!$Q$60,4),0,INDEX('RFM input'!$G$61:$Q$110,$A2012,MATCH(U$6,'RFM input'!$G$60:$Q$60,0))
-INDEX('RFM input'!$G$115:$Q$164,$A2012,MATCH(U$6,'RFM input'!$G$60:$Q$60,0))
-INDEX('RFM input'!$G$169:$Q$218,$A2012,MATCH(U$6,'RFM input'!$G$60:$Q$60,0))))</f>
        <v>0</v>
      </c>
      <c r="V2012" s="1417">
        <f>IF(LEFT(V$6,4)&lt;LEFT('RFM input'!$G$60,4),"enter input",IF(LEFT(V$6,4)&gt;LEFT('RFM input'!$Q$60,4),0,INDEX('RFM input'!$G$61:$Q$110,$A2012,MATCH(V$6,'RFM input'!$G$60:$Q$60,0))
-INDEX('RFM input'!$G$115:$Q$164,$A2012,MATCH(V$6,'RFM input'!$G$60:$Q$60,0))
-INDEX('RFM input'!$G$169:$Q$218,$A2012,MATCH(V$6,'RFM input'!$G$60:$Q$60,0))))</f>
        <v>0</v>
      </c>
      <c r="W2012" s="1417">
        <f>IF(LEFT(W$6,4)&lt;LEFT('RFM input'!$G$60,4),"enter input",IF(LEFT(W$6,4)&gt;LEFT('RFM input'!$Q$60,4),0,INDEX('RFM input'!$G$61:$Q$110,$A2012,MATCH(W$6,'RFM input'!$G$60:$Q$60,0))
-INDEX('RFM input'!$G$115:$Q$164,$A2012,MATCH(W$6,'RFM input'!$G$60:$Q$60,0))
-INDEX('RFM input'!$G$169:$Q$218,$A2012,MATCH(W$6,'RFM input'!$G$60:$Q$60,0))))</f>
        <v>0</v>
      </c>
      <c r="X2012" s="152"/>
      <c r="Y2012" s="152"/>
      <c r="Z2012" s="152"/>
      <c r="AA2012" s="152"/>
      <c r="AB2012" s="152"/>
    </row>
    <row r="2013" spans="1:28">
      <c r="A2013" s="152"/>
      <c r="B2013" s="152" t="s">
        <v>204</v>
      </c>
      <c r="C2013" s="1418">
        <f ca="1">IF($C$8='Capital Base roll forward'!$H$4,OFFSET('RFM input'!$J$6,'RAB remaining lives'!A2012,0),"enter input")</f>
        <v>0</v>
      </c>
      <c r="D2013" s="1417">
        <f>IF(LEFT(D$6,4)&lt;=LEFT('RFM input'!$G$60,4),"enter input",IF(LEFT(D$6,4)&gt;LEFT('RFM input'!$Q$60,4),0,IF(MATCH(D$6,'RFM input'!$H$60:$Q$60,0),INDEX('RFM input'!$K$7:$K$56,$A2012,1))))</f>
        <v>0</v>
      </c>
      <c r="E2013" s="1417">
        <f>IF(LEFT(E$6,4)&lt;=LEFT('RFM input'!$G$60,4),"enter input",IF(LEFT(E$6,4)&gt;LEFT('RFM input'!$Q$60,4),0,IF(MATCH(E$6,'RFM input'!$H$60:$Q$60,0),INDEX('RFM input'!$K$7:$K$56,$A2012,1))))</f>
        <v>0</v>
      </c>
      <c r="F2013" s="1417">
        <f>IF(LEFT(F$6,4)&lt;=LEFT('RFM input'!$G$60,4),"enter input",IF(LEFT(F$6,4)&gt;LEFT('RFM input'!$Q$60,4),0,IF(MATCH(F$6,'RFM input'!$H$60:$Q$60,0),INDEX('RFM input'!$K$7:$K$56,$A2012,1))))</f>
        <v>0</v>
      </c>
      <c r="G2013" s="1417">
        <f>IF(LEFT(G$6,4)&lt;=LEFT('RFM input'!$G$60,4),"enter input",IF(LEFT(G$6,4)&gt;LEFT('RFM input'!$Q$60,4),0,IF(MATCH(G$6,'RFM input'!$H$60:$Q$60,0),INDEX('RFM input'!$K$7:$K$56,$A2012,1))))</f>
        <v>0</v>
      </c>
      <c r="H2013" s="1417">
        <f>IF(LEFT(H$6,4)&lt;=LEFT('RFM input'!$G$60,4),"enter input",IF(LEFT(H$6,4)&gt;LEFT('RFM input'!$Q$60,4),0,IF(MATCH(H$6,'RFM input'!$H$60:$Q$60,0),INDEX('RFM input'!$K$7:$K$56,$A2012,1))))</f>
        <v>0</v>
      </c>
      <c r="I2013" s="1417">
        <f>IF(LEFT(I$6,4)&lt;=LEFT('RFM input'!$G$60,4),"enter input",IF(LEFT(I$6,4)&gt;LEFT('RFM input'!$Q$60,4),0,IF(MATCH(I$6,'RFM input'!$H$60:$Q$60,0),INDEX('RFM input'!$K$7:$K$56,$A2012,1))))</f>
        <v>0</v>
      </c>
      <c r="J2013" s="1417">
        <f>IF(LEFT(J$6,4)&lt;=LEFT('RFM input'!$G$60,4),"enter input",IF(LEFT(J$6,4)&gt;LEFT('RFM input'!$Q$60,4),0,IF(MATCH(J$6,'RFM input'!$H$60:$Q$60,0),INDEX('RFM input'!$K$7:$K$56,$A2012,1))))</f>
        <v>0</v>
      </c>
      <c r="K2013" s="1417">
        <f>IF(LEFT(K$6,4)&lt;=LEFT('RFM input'!$G$60,4),"enter input",IF(LEFT(K$6,4)&gt;LEFT('RFM input'!$Q$60,4),0,IF(MATCH(K$6,'RFM input'!$H$60:$Q$60,0),INDEX('RFM input'!$K$7:$K$56,$A2012,1))))</f>
        <v>0</v>
      </c>
      <c r="L2013" s="1417">
        <f>IF(LEFT(L$6,4)&lt;=LEFT('RFM input'!$G$60,4),"enter input",IF(LEFT(L$6,4)&gt;LEFT('RFM input'!$Q$60,4),0,IF(MATCH(L$6,'RFM input'!$H$60:$Q$60,0),INDEX('RFM input'!$K$7:$K$56,$A2012,1))))</f>
        <v>0</v>
      </c>
      <c r="M2013" s="1417">
        <f>IF(LEFT(M$6,4)&lt;=LEFT('RFM input'!$G$60,4),"enter input",IF(LEFT(M$6,4)&gt;LEFT('RFM input'!$Q$60,4),0,IF(MATCH(M$6,'RFM input'!$H$60:$Q$60,0),INDEX('RFM input'!$K$7:$K$56,$A2012,1))))</f>
        <v>0</v>
      </c>
      <c r="N2013" s="1417">
        <f>IF(LEFT(N$6,4)&lt;=LEFT('RFM input'!$G$60,4),"enter input",IF(LEFT(N$6,4)&gt;LEFT('RFM input'!$Q$60,4),0,IF(MATCH(N$6,'RFM input'!$H$60:$Q$60,0),INDEX('RFM input'!$K$7:$K$56,$A2012,1))))</f>
        <v>0</v>
      </c>
      <c r="O2013" s="1417">
        <f>IF(LEFT(O$6,4)&lt;=LEFT('RFM input'!$G$60,4),"enter input",IF(LEFT(O$6,4)&gt;LEFT('RFM input'!$Q$60,4),0,IF(MATCH(O$6,'RFM input'!$H$60:$Q$60,0),INDEX('RFM input'!$K$7:$K$56,$A2012,1))))</f>
        <v>0</v>
      </c>
      <c r="P2013" s="1417">
        <f>IF(LEFT(P$6,4)&lt;=LEFT('RFM input'!$G$60,4),"enter input",IF(LEFT(P$6,4)&gt;LEFT('RFM input'!$Q$60,4),0,IF(MATCH(P$6,'RFM input'!$H$60:$Q$60,0),INDEX('RFM input'!$K$7:$K$56,$A2012,1))))</f>
        <v>0</v>
      </c>
      <c r="Q2013" s="1417">
        <f>IF(LEFT(Q$6,4)&lt;=LEFT('RFM input'!$G$60,4),"enter input",IF(LEFT(Q$6,4)&gt;LEFT('RFM input'!$Q$60,4),0,IF(MATCH(Q$6,'RFM input'!$H$60:$Q$60,0),INDEX('RFM input'!$K$7:$K$56,$A2012,1))))</f>
        <v>0</v>
      </c>
      <c r="R2013" s="1417">
        <f>IF(LEFT(R$6,4)&lt;=LEFT('RFM input'!$G$60,4),"enter input",IF(LEFT(R$6,4)&gt;LEFT('RFM input'!$Q$60,4),0,IF(MATCH(R$6,'RFM input'!$H$60:$Q$60,0),INDEX('RFM input'!$K$7:$K$56,$A2012,1))))</f>
        <v>0</v>
      </c>
      <c r="S2013" s="1417">
        <f>IF(LEFT(S$6,4)&lt;=LEFT('RFM input'!$G$60,4),"enter input",IF(LEFT(S$6,4)&gt;LEFT('RFM input'!$Q$60,4),0,IF(MATCH(S$6,'RFM input'!$H$60:$Q$60,0),INDEX('RFM input'!$K$7:$K$56,$A2012,1))))</f>
        <v>0</v>
      </c>
      <c r="T2013" s="1417">
        <f>IF(LEFT(T$6,4)&lt;=LEFT('RFM input'!$G$60,4),"enter input",IF(LEFT(T$6,4)&gt;LEFT('RFM input'!$Q$60,4),0,IF(MATCH(T$6,'RFM input'!$H$60:$Q$60,0),INDEX('RFM input'!$K$7:$K$56,$A2012,1))))</f>
        <v>0</v>
      </c>
      <c r="U2013" s="1417">
        <f>IF(LEFT(U$6,4)&lt;=LEFT('RFM input'!$G$60,4),"enter input",IF(LEFT(U$6,4)&gt;LEFT('RFM input'!$Q$60,4),0,IF(MATCH(U$6,'RFM input'!$H$60:$Q$60,0),INDEX('RFM input'!$K$7:$K$56,$A2012,1))))</f>
        <v>0</v>
      </c>
      <c r="V2013" s="1417">
        <f>IF(LEFT(V$6,4)&lt;=LEFT('RFM input'!$G$60,4),"enter input",IF(LEFT(V$6,4)&gt;LEFT('RFM input'!$Q$60,4),0,IF(MATCH(V$6,'RFM input'!$H$60:$Q$60,0),INDEX('RFM input'!$K$7:$K$56,$A2012,1))))</f>
        <v>0</v>
      </c>
      <c r="W2013" s="1417">
        <f>IF(LEFT(W$6,4)&lt;=LEFT('RFM input'!$G$60,4),"enter input",IF(LEFT(W$6,4)&gt;LEFT('RFM input'!$Q$60,4),0,IF(MATCH(W$6,'RFM input'!$H$60:$Q$60,0),INDEX('RFM input'!$K$7:$K$56,$A2012,1))))</f>
        <v>0</v>
      </c>
      <c r="X2013" s="152"/>
      <c r="Y2013" s="152"/>
      <c r="Z2013" s="152"/>
      <c r="AA2013" s="152"/>
      <c r="AB2013" s="152"/>
    </row>
    <row r="2014" spans="1:28">
      <c r="A2014" s="152"/>
      <c r="B2014" s="177" t="s">
        <v>191</v>
      </c>
      <c r="C2014" s="1419"/>
      <c r="D2014" s="1420">
        <f ca="1">IF(LEFT(D$6,4)&lt;=LEFT('RFM input'!$G$60,4),"enter input",IF(LEFT(D$6,4)&gt;LEFT('RFM input'!$Q$60,4),0,IF(D$6=(OFFSET('RFM input'!$G$60,0,'RFM input'!$V$7)),OFFSET('RFM input'!$G$411,$A2012,0),0)))</f>
        <v>0</v>
      </c>
      <c r="E2014" s="1417">
        <f ca="1">IF(LEFT(E$6,4)&lt;=LEFT('RFM input'!$G$60,4),"enter input",IF(LEFT(E$6,4)&gt;LEFT('RFM input'!$Q$60,4),0,IF(E$6=(OFFSET('RFM input'!$G$60,0,'RFM input'!$V$7)),OFFSET('RFM input'!$G$411,$A2012,0),0)))</f>
        <v>0</v>
      </c>
      <c r="F2014" s="1417">
        <f ca="1">IF(LEFT(F$6,4)&lt;=LEFT('RFM input'!$G$60,4),"enter input",IF(LEFT(F$6,4)&gt;LEFT('RFM input'!$Q$60,4),0,IF(F$6=(OFFSET('RFM input'!$G$60,0,'RFM input'!$V$7)),OFFSET('RFM input'!$G$411,$A2012,0),0)))</f>
        <v>0</v>
      </c>
      <c r="G2014" s="1417">
        <f ca="1">IF(LEFT(G$6,4)&lt;=LEFT('RFM input'!$G$60,4),"enter input",IF(LEFT(G$6,4)&gt;LEFT('RFM input'!$Q$60,4),0,IF(G$6=(OFFSET('RFM input'!$G$60,0,'RFM input'!$V$7)),OFFSET('RFM input'!$G$411,$A2012,0),0)))</f>
        <v>0</v>
      </c>
      <c r="H2014" s="1417">
        <f ca="1">IF(LEFT(H$6,4)&lt;=LEFT('RFM input'!$G$60,4),"enter input",IF(LEFT(H$6,4)&gt;LEFT('RFM input'!$Q$60,4),0,IF(H$6=(OFFSET('RFM input'!$G$60,0,'RFM input'!$V$7)),OFFSET('RFM input'!$G$411,$A2012,0),0)))</f>
        <v>0</v>
      </c>
      <c r="I2014" s="1417">
        <f ca="1">IF(LEFT(I$6,4)&lt;=LEFT('RFM input'!$G$60,4),"enter input",IF(LEFT(I$6,4)&gt;LEFT('RFM input'!$Q$60,4),0,IF(I$6=(OFFSET('RFM input'!$G$60,0,'RFM input'!$V$7)),OFFSET('RFM input'!$G$411,$A2012,0),0)))</f>
        <v>0</v>
      </c>
      <c r="J2014" s="1417">
        <f ca="1">IF(LEFT(J$6,4)&lt;=LEFT('RFM input'!$G$60,4),"enter input",IF(LEFT(J$6,4)&gt;LEFT('RFM input'!$Q$60,4),0,IF(J$6=(OFFSET('RFM input'!$G$60,0,'RFM input'!$V$7)),OFFSET('RFM input'!$G$411,$A2012,0),0)))</f>
        <v>0</v>
      </c>
      <c r="K2014" s="1417">
        <f ca="1">IF(LEFT(K$6,4)&lt;=LEFT('RFM input'!$G$60,4),"enter input",IF(LEFT(K$6,4)&gt;LEFT('RFM input'!$Q$60,4),0,IF(K$6=(OFFSET('RFM input'!$G$60,0,'RFM input'!$V$7)),OFFSET('RFM input'!$G$411,$A2012,0),0)))</f>
        <v>0</v>
      </c>
      <c r="L2014" s="1417">
        <f ca="1">IF(LEFT(L$6,4)&lt;=LEFT('RFM input'!$G$60,4),"enter input",IF(LEFT(L$6,4)&gt;LEFT('RFM input'!$Q$60,4),0,IF(L$6=(OFFSET('RFM input'!$G$60,0,'RFM input'!$V$7)),OFFSET('RFM input'!$G$411,$A2012,0),0)))</f>
        <v>0</v>
      </c>
      <c r="M2014" s="1417">
        <f ca="1">IF(LEFT(M$6,4)&lt;=LEFT('RFM input'!$G$60,4),"enter input",IF(LEFT(M$6,4)&gt;LEFT('RFM input'!$Q$60,4),0,IF(M$6=(OFFSET('RFM input'!$G$60,0,'RFM input'!$V$7)),OFFSET('RFM input'!$G$411,$A2012,0),0)))</f>
        <v>0</v>
      </c>
      <c r="N2014" s="1417">
        <f ca="1">IF(LEFT(N$6,4)&lt;=LEFT('RFM input'!$G$60,4),"enter input",IF(LEFT(N$6,4)&gt;LEFT('RFM input'!$Q$60,4),0,IF(N$6=(OFFSET('RFM input'!$G$60,0,'RFM input'!$V$7)),OFFSET('RFM input'!$G$411,$A2012,0),0)))</f>
        <v>0</v>
      </c>
      <c r="O2014" s="1417">
        <f ca="1">IF(LEFT(O$6,4)&lt;=LEFT('RFM input'!$G$60,4),"enter input",IF(LEFT(O$6,4)&gt;LEFT('RFM input'!$Q$60,4),0,IF(O$6=(OFFSET('RFM input'!$G$60,0,'RFM input'!$V$7)),OFFSET('RFM input'!$G$411,$A2012,0),0)))</f>
        <v>0</v>
      </c>
      <c r="P2014" s="1417">
        <f ca="1">IF(LEFT(P$6,4)&lt;=LEFT('RFM input'!$G$60,4),"enter input",IF(LEFT(P$6,4)&gt;LEFT('RFM input'!$Q$60,4),0,IF(P$6=(OFFSET('RFM input'!$G$60,0,'RFM input'!$V$7)),OFFSET('RFM input'!$G$411,$A2012,0),0)))</f>
        <v>0</v>
      </c>
      <c r="Q2014" s="1417">
        <f ca="1">IF(LEFT(Q$6,4)&lt;=LEFT('RFM input'!$G$60,4),"enter input",IF(LEFT(Q$6,4)&gt;LEFT('RFM input'!$Q$60,4),0,IF(Q$6=(OFFSET('RFM input'!$G$60,0,'RFM input'!$V$7)),OFFSET('RFM input'!$G$411,$A2012,0),0)))</f>
        <v>0</v>
      </c>
      <c r="R2014" s="1417">
        <f ca="1">IF(LEFT(R$6,4)&lt;=LEFT('RFM input'!$G$60,4),"enter input",IF(LEFT(R$6,4)&gt;LEFT('RFM input'!$Q$60,4),0,IF(R$6=(OFFSET('RFM input'!$G$60,0,'RFM input'!$V$7)),OFFSET('RFM input'!$G$411,$A2012,0),0)))</f>
        <v>0</v>
      </c>
      <c r="S2014" s="1417">
        <f ca="1">IF(LEFT(S$6,4)&lt;=LEFT('RFM input'!$G$60,4),"enter input",IF(LEFT(S$6,4)&gt;LEFT('RFM input'!$Q$60,4),0,IF(S$6=(OFFSET('RFM input'!$G$60,0,'RFM input'!$V$7)),OFFSET('RFM input'!$G$411,$A2012,0),0)))</f>
        <v>0</v>
      </c>
      <c r="T2014" s="1417">
        <f ca="1">IF(LEFT(T$6,4)&lt;=LEFT('RFM input'!$G$60,4),"enter input",IF(LEFT(T$6,4)&gt;LEFT('RFM input'!$Q$60,4),0,IF(T$6=(OFFSET('RFM input'!$G$60,0,'RFM input'!$V$7)),OFFSET('RFM input'!$G$411,$A2012,0),0)))</f>
        <v>0</v>
      </c>
      <c r="U2014" s="1417">
        <f ca="1">IF(LEFT(U$6,4)&lt;=LEFT('RFM input'!$G$60,4),"enter input",IF(LEFT(U$6,4)&gt;LEFT('RFM input'!$Q$60,4),0,IF(U$6=(OFFSET('RFM input'!$G$60,0,'RFM input'!$V$7)),OFFSET('RFM input'!$G$411,$A2012,0),0)))</f>
        <v>0</v>
      </c>
      <c r="V2014" s="1417">
        <f ca="1">IF(LEFT(V$6,4)&lt;=LEFT('RFM input'!$G$60,4),"enter input",IF(LEFT(V$6,4)&gt;LEFT('RFM input'!$Q$60,4),0,IF(V$6=(OFFSET('RFM input'!$G$60,0,'RFM input'!$V$7)),OFFSET('RFM input'!$G$411,$A2012,0),0)))</f>
        <v>0</v>
      </c>
      <c r="W2014" s="1417">
        <f ca="1">IF(LEFT(W$6,4)&lt;=LEFT('RFM input'!$G$60,4),"enter input",IF(LEFT(W$6,4)&gt;LEFT('RFM input'!$Q$60,4),0,IF(W$6=(OFFSET('RFM input'!$G$60,0,'RFM input'!$V$7)),OFFSET('RFM input'!$G$411,$A2012,0),0)))</f>
        <v>0</v>
      </c>
      <c r="X2014" s="152"/>
      <c r="Y2014" s="152"/>
      <c r="Z2014" s="152"/>
      <c r="AA2014" s="152"/>
      <c r="AB2014" s="152"/>
    </row>
    <row r="2015" spans="1:28">
      <c r="A2015" s="152"/>
      <c r="B2015" s="195" t="s">
        <v>197</v>
      </c>
      <c r="C2015" s="1419"/>
      <c r="D2015" s="1418">
        <f ca="1">IF(LEFT(D$6,4)&lt;=LEFT('RFM input'!$G$60,4),"enter input",IF(LEFT(D$6,4)&gt;LEFT('RFM input'!$Q$60,4),0,IF(D$6=(OFFSET('RFM input'!$G$60,0,'RFM input'!$V$7)),OFFSET('RFM input'!$I$411,$A2012,0),0)))</f>
        <v>0</v>
      </c>
      <c r="E2015" s="1422">
        <f ca="1">IF(LEFT(E$6,4)&lt;=LEFT('RFM input'!$G$60,4),"enter input",IF(LEFT(E$6,4)&gt;LEFT('RFM input'!$Q$60,4),0,IF(E$6=(OFFSET('RFM input'!$G$60,0,'RFM input'!$V$7)),OFFSET('RFM input'!$I$411,$A2012,0),0)))</f>
        <v>0</v>
      </c>
      <c r="F2015" s="1422">
        <f ca="1">IF(LEFT(F$6,4)&lt;=LEFT('RFM input'!$G$60,4),"enter input",IF(LEFT(F$6,4)&gt;LEFT('RFM input'!$Q$60,4),0,IF(F$6=(OFFSET('RFM input'!$G$60,0,'RFM input'!$V$7)),OFFSET('RFM input'!$I$411,$A2012,0),0)))</f>
        <v>0</v>
      </c>
      <c r="G2015" s="1422">
        <f ca="1">IF(LEFT(G$6,4)&lt;=LEFT('RFM input'!$G$60,4),"enter input",IF(LEFT(G$6,4)&gt;LEFT('RFM input'!$Q$60,4),0,IF(G$6=(OFFSET('RFM input'!$G$60,0,'RFM input'!$V$7)),OFFSET('RFM input'!$I$411,$A2012,0),0)))</f>
        <v>0</v>
      </c>
      <c r="H2015" s="1422">
        <f ca="1">IF(LEFT(H$6,4)&lt;=LEFT('RFM input'!$G$60,4),"enter input",IF(LEFT(H$6,4)&gt;LEFT('RFM input'!$Q$60,4),0,IF(H$6=(OFFSET('RFM input'!$G$60,0,'RFM input'!$V$7)),OFFSET('RFM input'!$I$411,$A2012,0),0)))</f>
        <v>0</v>
      </c>
      <c r="I2015" s="1422">
        <f ca="1">IF(LEFT(I$6,4)&lt;=LEFT('RFM input'!$G$60,4),"enter input",IF(LEFT(I$6,4)&gt;LEFT('RFM input'!$Q$60,4),0,IF(I$6=(OFFSET('RFM input'!$G$60,0,'RFM input'!$V$7)),OFFSET('RFM input'!$I$411,$A2012,0),0)))</f>
        <v>0</v>
      </c>
      <c r="J2015" s="1422">
        <f ca="1">IF(LEFT(J$6,4)&lt;=LEFT('RFM input'!$G$60,4),"enter input",IF(LEFT(J$6,4)&gt;LEFT('RFM input'!$Q$60,4),0,IF(J$6=(OFFSET('RFM input'!$G$60,0,'RFM input'!$V$7)),OFFSET('RFM input'!$I$411,$A2012,0),0)))</f>
        <v>0</v>
      </c>
      <c r="K2015" s="1422">
        <f ca="1">IF(LEFT(K$6,4)&lt;=LEFT('RFM input'!$G$60,4),"enter input",IF(LEFT(K$6,4)&gt;LEFT('RFM input'!$Q$60,4),0,IF(K$6=(OFFSET('RFM input'!$G$60,0,'RFM input'!$V$7)),OFFSET('RFM input'!$I$411,$A2012,0),0)))</f>
        <v>0</v>
      </c>
      <c r="L2015" s="1422">
        <f ca="1">IF(LEFT(L$6,4)&lt;=LEFT('RFM input'!$G$60,4),"enter input",IF(LEFT(L$6,4)&gt;LEFT('RFM input'!$Q$60,4),0,IF(L$6=(OFFSET('RFM input'!$G$60,0,'RFM input'!$V$7)),OFFSET('RFM input'!$I$411,$A2012,0),0)))</f>
        <v>0</v>
      </c>
      <c r="M2015" s="1422">
        <f ca="1">IF(LEFT(M$6,4)&lt;=LEFT('RFM input'!$G$60,4),"enter input",IF(LEFT(M$6,4)&gt;LEFT('RFM input'!$Q$60,4),0,IF(M$6=(OFFSET('RFM input'!$G$60,0,'RFM input'!$V$7)),OFFSET('RFM input'!$I$411,$A2012,0),0)))</f>
        <v>0</v>
      </c>
      <c r="N2015" s="1422">
        <f ca="1">IF(LEFT(N$6,4)&lt;=LEFT('RFM input'!$G$60,4),"enter input",IF(LEFT(N$6,4)&gt;LEFT('RFM input'!$Q$60,4),0,IF(N$6=(OFFSET('RFM input'!$G$60,0,'RFM input'!$V$7)),OFFSET('RFM input'!$I$411,$A2012,0),0)))</f>
        <v>0</v>
      </c>
      <c r="O2015" s="1422">
        <f ca="1">IF(LEFT(O$6,4)&lt;=LEFT('RFM input'!$G$60,4),"enter input",IF(LEFT(O$6,4)&gt;LEFT('RFM input'!$Q$60,4),0,IF(O$6=(OFFSET('RFM input'!$G$60,0,'RFM input'!$V$7)),OFFSET('RFM input'!$I$411,$A2012,0),0)))</f>
        <v>0</v>
      </c>
      <c r="P2015" s="1422">
        <f ca="1">IF(LEFT(P$6,4)&lt;=LEFT('RFM input'!$G$60,4),"enter input",IF(LEFT(P$6,4)&gt;LEFT('RFM input'!$Q$60,4),0,IF(P$6=(OFFSET('RFM input'!$G$60,0,'RFM input'!$V$7)),OFFSET('RFM input'!$I$411,$A2012,0),0)))</f>
        <v>0</v>
      </c>
      <c r="Q2015" s="1422">
        <f ca="1">IF(LEFT(Q$6,4)&lt;=LEFT('RFM input'!$G$60,4),"enter input",IF(LEFT(Q$6,4)&gt;LEFT('RFM input'!$Q$60,4),0,IF(Q$6=(OFFSET('RFM input'!$G$60,0,'RFM input'!$V$7)),OFFSET('RFM input'!$I$411,$A2012,0),0)))</f>
        <v>0</v>
      </c>
      <c r="R2015" s="1422">
        <f ca="1">IF(LEFT(R$6,4)&lt;=LEFT('RFM input'!$G$60,4),"enter input",IF(LEFT(R$6,4)&gt;LEFT('RFM input'!$Q$60,4),0,IF(R$6=(OFFSET('RFM input'!$G$60,0,'RFM input'!$V$7)),OFFSET('RFM input'!$I$411,$A2012,0),0)))</f>
        <v>0</v>
      </c>
      <c r="S2015" s="1422">
        <f ca="1">IF(LEFT(S$6,4)&lt;=LEFT('RFM input'!$G$60,4),"enter input",IF(LEFT(S$6,4)&gt;LEFT('RFM input'!$Q$60,4),0,IF(S$6=(OFFSET('RFM input'!$G$60,0,'RFM input'!$V$7)),OFFSET('RFM input'!$I$411,$A2012,0),0)))</f>
        <v>0</v>
      </c>
      <c r="T2015" s="1422">
        <f ca="1">IF(LEFT(T$6,4)&lt;=LEFT('RFM input'!$G$60,4),"enter input",IF(LEFT(T$6,4)&gt;LEFT('RFM input'!$Q$60,4),0,IF(T$6=(OFFSET('RFM input'!$G$60,0,'RFM input'!$V$7)),OFFSET('RFM input'!$I$411,$A2012,0),0)))</f>
        <v>0</v>
      </c>
      <c r="U2015" s="1422">
        <f ca="1">IF(LEFT(U$6,4)&lt;=LEFT('RFM input'!$G$60,4),"enter input",IF(LEFT(U$6,4)&gt;LEFT('RFM input'!$Q$60,4),0,IF(U$6=(OFFSET('RFM input'!$G$60,0,'RFM input'!$V$7)),OFFSET('RFM input'!$I$411,$A2012,0),0)))</f>
        <v>0</v>
      </c>
      <c r="V2015" s="1422">
        <f ca="1">IF(LEFT(V$6,4)&lt;=LEFT('RFM input'!$G$60,4),"enter input",IF(LEFT(V$6,4)&gt;LEFT('RFM input'!$Q$60,4),0,IF(V$6=(OFFSET('RFM input'!$G$60,0,'RFM input'!$V$7)),OFFSET('RFM input'!$I$411,$A2012,0),0)))</f>
        <v>0</v>
      </c>
      <c r="W2015" s="1422">
        <f ca="1">IF(LEFT(W$6,4)&lt;=LEFT('RFM input'!$G$60,4),"enter input",IF(LEFT(W$6,4)&gt;LEFT('RFM input'!$Q$60,4),0,IF(W$6=(OFFSET('RFM input'!$G$60,0,'RFM input'!$V$7)),OFFSET('RFM input'!$I$411,$A2012,0),0)))</f>
        <v>0</v>
      </c>
      <c r="X2015" s="152"/>
      <c r="Y2015" s="152"/>
      <c r="Z2015" s="152"/>
      <c r="AA2015" s="152"/>
      <c r="AB2015" s="152"/>
    </row>
    <row r="2016" spans="1:28" hidden="1" outlineLevel="1">
      <c r="A2016" s="235">
        <v>-1</v>
      </c>
      <c r="B2016" s="190" t="s">
        <v>189</v>
      </c>
      <c r="C2016" s="1423"/>
      <c r="D2016" s="1423">
        <f ca="1">IF(AND(D2014=0,C2016=0),0,
IF(AND(D2014&lt;&gt;0,C2016=0),(D2014/D$10),
IF(AND(D2015&lt;&gt;0,C2016&lt;&gt;0),(C2016-(C2016/C2040))+(D2014/D$10),
IF(C2040&lt;1,0,(C2016-(C2016/C2040))))))</f>
        <v>0</v>
      </c>
      <c r="E2016" s="1423">
        <f t="shared" ref="E2016" ca="1" si="2962">IF(AND(E2014=0,D2016=0),0,
IF(AND(E2014&lt;&gt;0,D2016=0),(E2014/E$10),
IF(AND(E2015&lt;&gt;0,D2016&lt;&gt;0),(D2016-(D2016/D2040))+(E2014/E$10),
IF(D2040&lt;1,0,(D2016-(D2016/D2040))))))</f>
        <v>0</v>
      </c>
      <c r="F2016" s="1423">
        <f t="shared" ref="F2016" ca="1" si="2963">IF(AND(F2014=0,E2016=0),0,
IF(AND(F2014&lt;&gt;0,E2016=0),(F2014/F$10),
IF(AND(F2015&lt;&gt;0,E2016&lt;&gt;0),(E2016-(E2016/E2040))+(F2014/F$10),
IF(E2040&lt;1,0,(E2016-(E2016/E2040))))))</f>
        <v>0</v>
      </c>
      <c r="G2016" s="1423">
        <f t="shared" ref="G2016" ca="1" si="2964">IF(AND(G2014=0,F2016=0),0,
IF(AND(G2014&lt;&gt;0,F2016=0),(G2014/G$10),
IF(AND(G2015&lt;&gt;0,F2016&lt;&gt;0),(F2016-(F2016/F2040))+(G2014/G$10),
IF(F2040&lt;1,0,(F2016-(F2016/F2040))))))</f>
        <v>0</v>
      </c>
      <c r="H2016" s="1423">
        <f t="shared" ref="H2016" ca="1" si="2965">IF(AND(H2014=0,G2016=0),0,
IF(AND(H2014&lt;&gt;0,G2016=0),(H2014/H$10),
IF(AND(H2015&lt;&gt;0,G2016&lt;&gt;0),(G2016-(G2016/G2040))+(H2014/H$10),
IF(G2040&lt;1,0,(G2016-(G2016/G2040))))))</f>
        <v>0</v>
      </c>
      <c r="I2016" s="1423">
        <f t="shared" ref="I2016" ca="1" si="2966">IF(AND(I2014=0,H2016=0),0,
IF(AND(I2014&lt;&gt;0,H2016=0),(I2014/I$10),
IF(AND(I2015&lt;&gt;0,H2016&lt;&gt;0),(H2016-(H2016/H2040))+(I2014/I$10),
IF(H2040&lt;1,0,(H2016-(H2016/H2040))))))</f>
        <v>0</v>
      </c>
      <c r="J2016" s="1423">
        <f t="shared" ref="J2016" ca="1" si="2967">IF(AND(J2014=0,I2016=0),0,
IF(AND(J2014&lt;&gt;0,I2016=0),(J2014/J$10),
IF(AND(J2015&lt;&gt;0,I2016&lt;&gt;0),(I2016-(I2016/I2040))+(J2014/J$10),
IF(I2040&lt;1,0,(I2016-(I2016/I2040))))))</f>
        <v>0</v>
      </c>
      <c r="K2016" s="1423">
        <f t="shared" ref="K2016" ca="1" si="2968">IF(AND(K2014=0,J2016=0),0,
IF(AND(K2014&lt;&gt;0,J2016=0),(K2014/K$10),
IF(AND(K2015&lt;&gt;0,J2016&lt;&gt;0),(J2016-(J2016/J2040))+(K2014/K$10),
IF(J2040&lt;1,0,(J2016-(J2016/J2040))))))</f>
        <v>0</v>
      </c>
      <c r="L2016" s="1423">
        <f t="shared" ref="L2016" ca="1" si="2969">IF(AND(L2014=0,K2016=0),0,
IF(AND(L2014&lt;&gt;0,K2016=0),(L2014/L$10),
IF(AND(L2015&lt;&gt;0,K2016&lt;&gt;0),(K2016-(K2016/K2040))+(L2014/L$10),
IF(K2040&lt;1,0,(K2016-(K2016/K2040))))))</f>
        <v>0</v>
      </c>
      <c r="M2016" s="1423">
        <f t="shared" ref="M2016" ca="1" si="2970">IF(AND(M2014=0,L2016=0),0,
IF(AND(M2014&lt;&gt;0,L2016=0),(M2014/M$10),
IF(AND(M2015&lt;&gt;0,L2016&lt;&gt;0),(L2016-(L2016/L2040))+(M2014/M$10),
IF(L2040&lt;1,0,(L2016-(L2016/L2040))))))</f>
        <v>0</v>
      </c>
      <c r="N2016" s="1423">
        <f t="shared" ref="N2016" ca="1" si="2971">IF(AND(N2014=0,M2016=0),0,
IF(AND(N2014&lt;&gt;0,M2016=0),(N2014/N$10),
IF(AND(N2015&lt;&gt;0,M2016&lt;&gt;0),(M2016-(M2016/M2040))+(N2014/N$10),
IF(M2040&lt;1,0,(M2016-(M2016/M2040))))))</f>
        <v>0</v>
      </c>
      <c r="O2016" s="1423">
        <f t="shared" ref="O2016" ca="1" si="2972">IF(AND(O2014=0,N2016=0),0,
IF(AND(O2014&lt;&gt;0,N2016=0),(O2014/O$10),
IF(AND(O2015&lt;&gt;0,N2016&lt;&gt;0),(N2016-(N2016/N2040))+(O2014/O$10),
IF(N2040&lt;1,0,(N2016-(N2016/N2040))))))</f>
        <v>0</v>
      </c>
      <c r="P2016" s="1423">
        <f t="shared" ref="P2016" ca="1" si="2973">IF(AND(P2014=0,O2016=0),0,
IF(AND(P2014&lt;&gt;0,O2016=0),(P2014/P$10),
IF(AND(P2015&lt;&gt;0,O2016&lt;&gt;0),(O2016-(O2016/O2040))+(P2014/P$10),
IF(O2040&lt;1,0,(O2016-(O2016/O2040))))))</f>
        <v>0</v>
      </c>
      <c r="Q2016" s="1423">
        <f t="shared" ref="Q2016" ca="1" si="2974">IF(AND(Q2014=0,P2016=0),0,
IF(AND(Q2014&lt;&gt;0,P2016=0),(Q2014/Q$10),
IF(AND(Q2015&lt;&gt;0,P2016&lt;&gt;0),(P2016-(P2016/P2040))+(Q2014/Q$10),
IF(P2040&lt;1,0,(P2016-(P2016/P2040))))))</f>
        <v>0</v>
      </c>
      <c r="R2016" s="1423">
        <f t="shared" ref="R2016" ca="1" si="2975">IF(AND(R2014=0,Q2016=0),0,
IF(AND(R2014&lt;&gt;0,Q2016=0),(R2014/R$10),
IF(AND(R2015&lt;&gt;0,Q2016&lt;&gt;0),(Q2016-(Q2016/Q2040))+(R2014/R$10),
IF(Q2040&lt;1,0,(Q2016-(Q2016/Q2040))))))</f>
        <v>0</v>
      </c>
      <c r="S2016" s="1423">
        <f t="shared" ref="S2016" ca="1" si="2976">IF(AND(S2014=0,R2016=0),0,
IF(AND(S2014&lt;&gt;0,R2016=0),(S2014/S$10),
IF(AND(S2015&lt;&gt;0,R2016&lt;&gt;0),(R2016-(R2016/R2040))+(S2014/S$10),
IF(R2040&lt;1,0,(R2016-(R2016/R2040))))))</f>
        <v>0</v>
      </c>
      <c r="T2016" s="1423">
        <f t="shared" ref="T2016" ca="1" si="2977">IF(AND(T2014=0,S2016=0),0,
IF(AND(T2014&lt;&gt;0,S2016=0),(T2014/T$10),
IF(AND(T2015&lt;&gt;0,S2016&lt;&gt;0),(S2016-(S2016/S2040))+(T2014/T$10),
IF(S2040&lt;1,0,(S2016-(S2016/S2040))))))</f>
        <v>0</v>
      </c>
      <c r="U2016" s="1423">
        <f t="shared" ref="U2016" ca="1" si="2978">IF(AND(U2014=0,T2016=0),0,
IF(AND(U2014&lt;&gt;0,T2016=0),(U2014/U$10),
IF(AND(U2015&lt;&gt;0,T2016&lt;&gt;0),(T2016-(T2016/T2040))+(U2014/U$10),
IF(T2040&lt;1,0,(T2016-(T2016/T2040))))))</f>
        <v>0</v>
      </c>
      <c r="V2016" s="1423">
        <f t="shared" ref="V2016" ca="1" si="2979">IF(AND(V2014=0,U2016=0),0,
IF(AND(V2014&lt;&gt;0,U2016=0),(V2014/V$10),
IF(AND(V2015&lt;&gt;0,U2016&lt;&gt;0),(U2016-(U2016/U2040))+(V2014/V$10),
IF(U2040&lt;1,0,(U2016-(U2016/U2040))))))</f>
        <v>0</v>
      </c>
      <c r="W2016" s="1423">
        <f t="shared" ref="W2016" ca="1" si="2980">IF(AND(W2014=0,V2016=0),0,
IF(AND(W2014&lt;&gt;0,V2016=0),(W2014/W$10),
IF(AND(W2015&lt;&gt;0,V2016&lt;&gt;0),(V2016-(V2016/V2040))+(W2014/W$10),
IF(V2040&lt;1,0,(V2016-(V2016/V2040))))))</f>
        <v>0</v>
      </c>
      <c r="X2016" s="152"/>
      <c r="Y2016" s="152"/>
      <c r="Z2016" s="152"/>
      <c r="AA2016" s="152"/>
      <c r="AB2016" s="152"/>
    </row>
    <row r="2017" spans="1:28" hidden="1" outlineLevel="1">
      <c r="A2017" s="199">
        <f>A2016+1</f>
        <v>0</v>
      </c>
      <c r="B2017" s="190" t="s">
        <v>125</v>
      </c>
      <c r="C2017" s="1423">
        <f ca="1">C2012/C$10</f>
        <v>0</v>
      </c>
      <c r="D2017" s="1423">
        <f ca="1">IF(C2041="n/a",C2017,IFERROR(IF((OFFSET($C2017,0,$A2017))&lt;0,
MIN(0,C2017-(OFFSET($C2017,0,$A2017)/(OFFSET($C2012,-$A2016,$A2017)))),
MAX(0,C2017-(OFFSET($C2017,0,$A2017)/(OFFSET($C2012,-$A2016,$A2017))))),0))</f>
        <v>0</v>
      </c>
      <c r="E2017" s="1423">
        <f t="shared" ref="E2017" ca="1" si="2981">IF(D2041="n/a",D2017,IFERROR(IF((OFFSET($C2017,0,$A2017))&lt;0,
MIN(0,D2017-(OFFSET($C2017,0,$A2017)/(OFFSET($C2012,-$A2016,$A2017)))),
MAX(0,D2017-(OFFSET($C2017,0,$A2017)/(OFFSET($C2012,-$A2016,$A2017))))),0))</f>
        <v>0</v>
      </c>
      <c r="F2017" s="1423">
        <f t="shared" ref="F2017:F2018" ca="1" si="2982">IF(E2041="n/a",E2017,IFERROR(IF((OFFSET($C2017,0,$A2017))&lt;0,
MIN(0,E2017-(OFFSET($C2017,0,$A2017)/(OFFSET($C2012,-$A2016,$A2017)))),
MAX(0,E2017-(OFFSET($C2017,0,$A2017)/(OFFSET($C2012,-$A2016,$A2017))))),0))</f>
        <v>0</v>
      </c>
      <c r="G2017" s="1423">
        <f t="shared" ref="G2017:G2019" ca="1" si="2983">IF(F2041="n/a",F2017,IFERROR(IF((OFFSET($C2017,0,$A2017))&lt;0,
MIN(0,F2017-(OFFSET($C2017,0,$A2017)/(OFFSET($C2012,-$A2016,$A2017)))),
MAX(0,F2017-(OFFSET($C2017,0,$A2017)/(OFFSET($C2012,-$A2016,$A2017))))),0))</f>
        <v>0</v>
      </c>
      <c r="H2017" s="1423">
        <f t="shared" ref="H2017:H2020" ca="1" si="2984">IF(G2041="n/a",G2017,IFERROR(IF((OFFSET($C2017,0,$A2017))&lt;0,
MIN(0,G2017-(OFFSET($C2017,0,$A2017)/(OFFSET($C2012,-$A2016,$A2017)))),
MAX(0,G2017-(OFFSET($C2017,0,$A2017)/(OFFSET($C2012,-$A2016,$A2017))))),0))</f>
        <v>0</v>
      </c>
      <c r="I2017" s="1423">
        <f t="shared" ref="I2017:I2021" ca="1" si="2985">IF(H2041="n/a",H2017,IFERROR(IF((OFFSET($C2017,0,$A2017))&lt;0,
MIN(0,H2017-(OFFSET($C2017,0,$A2017)/(OFFSET($C2012,-$A2016,$A2017)))),
MAX(0,H2017-(OFFSET($C2017,0,$A2017)/(OFFSET($C2012,-$A2016,$A2017))))),0))</f>
        <v>0</v>
      </c>
      <c r="J2017" s="1423">
        <f t="shared" ref="J2017:J2022" ca="1" si="2986">IF(I2041="n/a",I2017,IFERROR(IF((OFFSET($C2017,0,$A2017))&lt;0,
MIN(0,I2017-(OFFSET($C2017,0,$A2017)/(OFFSET($C2012,-$A2016,$A2017)))),
MAX(0,I2017-(OFFSET($C2017,0,$A2017)/(OFFSET($C2012,-$A2016,$A2017))))),0))</f>
        <v>0</v>
      </c>
      <c r="K2017" s="1423">
        <f t="shared" ref="K2017:K2023" ca="1" si="2987">IF(J2041="n/a",J2017,IFERROR(IF((OFFSET($C2017,0,$A2017))&lt;0,
MIN(0,J2017-(OFFSET($C2017,0,$A2017)/(OFFSET($C2012,-$A2016,$A2017)))),
MAX(0,J2017-(OFFSET($C2017,0,$A2017)/(OFFSET($C2012,-$A2016,$A2017))))),0))</f>
        <v>0</v>
      </c>
      <c r="L2017" s="1423">
        <f t="shared" ref="L2017:L2024" ca="1" si="2988">IF(K2041="n/a",K2017,IFERROR(IF((OFFSET($C2017,0,$A2017))&lt;0,
MIN(0,K2017-(OFFSET($C2017,0,$A2017)/(OFFSET($C2012,-$A2016,$A2017)))),
MAX(0,K2017-(OFFSET($C2017,0,$A2017)/(OFFSET($C2012,-$A2016,$A2017))))),0))</f>
        <v>0</v>
      </c>
      <c r="M2017" s="1423">
        <f t="shared" ref="M2017:M2025" ca="1" si="2989">IF(L2041="n/a",L2017,IFERROR(IF((OFFSET($C2017,0,$A2017))&lt;0,
MIN(0,L2017-(OFFSET($C2017,0,$A2017)/(OFFSET($C2012,-$A2016,$A2017)))),
MAX(0,L2017-(OFFSET($C2017,0,$A2017)/(OFFSET($C2012,-$A2016,$A2017))))),0))</f>
        <v>0</v>
      </c>
      <c r="N2017" s="1423">
        <f t="shared" ref="N2017:N2026" ca="1" si="2990">IF(M2041="n/a",M2017,IFERROR(IF((OFFSET($C2017,0,$A2017))&lt;0,
MIN(0,M2017-(OFFSET($C2017,0,$A2017)/(OFFSET($C2012,-$A2016,$A2017)))),
MAX(0,M2017-(OFFSET($C2017,0,$A2017)/(OFFSET($C2012,-$A2016,$A2017))))),0))</f>
        <v>0</v>
      </c>
      <c r="O2017" s="1423">
        <f t="shared" ref="O2017:O2027" ca="1" si="2991">IF(N2041="n/a",N2017,IFERROR(IF((OFFSET($C2017,0,$A2017))&lt;0,
MIN(0,N2017-(OFFSET($C2017,0,$A2017)/(OFFSET($C2012,-$A2016,$A2017)))),
MAX(0,N2017-(OFFSET($C2017,0,$A2017)/(OFFSET($C2012,-$A2016,$A2017))))),0))</f>
        <v>0</v>
      </c>
      <c r="P2017" s="1423">
        <f t="shared" ref="P2017:P2028" ca="1" si="2992">IF(O2041="n/a",O2017,IFERROR(IF((OFFSET($C2017,0,$A2017))&lt;0,
MIN(0,O2017-(OFFSET($C2017,0,$A2017)/(OFFSET($C2012,-$A2016,$A2017)))),
MAX(0,O2017-(OFFSET($C2017,0,$A2017)/(OFFSET($C2012,-$A2016,$A2017))))),0))</f>
        <v>0</v>
      </c>
      <c r="Q2017" s="1423">
        <f t="shared" ref="Q2017:Q2029" ca="1" si="2993">IF(P2041="n/a",P2017,IFERROR(IF((OFFSET($C2017,0,$A2017))&lt;0,
MIN(0,P2017-(OFFSET($C2017,0,$A2017)/(OFFSET($C2012,-$A2016,$A2017)))),
MAX(0,P2017-(OFFSET($C2017,0,$A2017)/(OFFSET($C2012,-$A2016,$A2017))))),0))</f>
        <v>0</v>
      </c>
      <c r="R2017" s="1423">
        <f t="shared" ref="R2017:R2030" ca="1" si="2994">IF(Q2041="n/a",Q2017,IFERROR(IF((OFFSET($C2017,0,$A2017))&lt;0,
MIN(0,Q2017-(OFFSET($C2017,0,$A2017)/(OFFSET($C2012,-$A2016,$A2017)))),
MAX(0,Q2017-(OFFSET($C2017,0,$A2017)/(OFFSET($C2012,-$A2016,$A2017))))),0))</f>
        <v>0</v>
      </c>
      <c r="S2017" s="1423">
        <f t="shared" ref="S2017:S2031" ca="1" si="2995">IF(R2041="n/a",R2017,IFERROR(IF((OFFSET($C2017,0,$A2017))&lt;0,
MIN(0,R2017-(OFFSET($C2017,0,$A2017)/(OFFSET($C2012,-$A2016,$A2017)))),
MAX(0,R2017-(OFFSET($C2017,0,$A2017)/(OFFSET($C2012,-$A2016,$A2017))))),0))</f>
        <v>0</v>
      </c>
      <c r="T2017" s="1423">
        <f t="shared" ref="T2017:T2032" ca="1" si="2996">IF(S2041="n/a",S2017,IFERROR(IF((OFFSET($C2017,0,$A2017))&lt;0,
MIN(0,S2017-(OFFSET($C2017,0,$A2017)/(OFFSET($C2012,-$A2016,$A2017)))),
MAX(0,S2017-(OFFSET($C2017,0,$A2017)/(OFFSET($C2012,-$A2016,$A2017))))),0))</f>
        <v>0</v>
      </c>
      <c r="U2017" s="1423">
        <f t="shared" ref="U2017:U2033" ca="1" si="2997">IF(T2041="n/a",T2017,IFERROR(IF((OFFSET($C2017,0,$A2017))&lt;0,
MIN(0,T2017-(OFFSET($C2017,0,$A2017)/(OFFSET($C2012,-$A2016,$A2017)))),
MAX(0,T2017-(OFFSET($C2017,0,$A2017)/(OFFSET($C2012,-$A2016,$A2017))))),0))</f>
        <v>0</v>
      </c>
      <c r="V2017" s="1423">
        <f t="shared" ref="V2017:V2034" ca="1" si="2998">IF(U2041="n/a",U2017,IFERROR(IF((OFFSET($C2017,0,$A2017))&lt;0,
MIN(0,U2017-(OFFSET($C2017,0,$A2017)/(OFFSET($C2012,-$A2016,$A2017)))),
MAX(0,U2017-(OFFSET($C2017,0,$A2017)/(OFFSET($C2012,-$A2016,$A2017))))),0))</f>
        <v>0</v>
      </c>
      <c r="W2017" s="1423">
        <f t="shared" ref="W2017:W2035" ca="1" si="2999">IF(V2041="n/a",V2017,IFERROR(IF((OFFSET($C2017,0,$A2017))&lt;0,
MIN(0,V2017-(OFFSET($C2017,0,$A2017)/(OFFSET($C2012,-$A2016,$A2017)))),
MAX(0,V2017-(OFFSET($C2017,0,$A2017)/(OFFSET($C2012,-$A2016,$A2017))))),0))</f>
        <v>0</v>
      </c>
      <c r="X2017" s="152"/>
      <c r="Y2017" s="152"/>
      <c r="Z2017" s="152"/>
      <c r="AA2017" s="152"/>
      <c r="AB2017" s="152"/>
    </row>
    <row r="2018" spans="1:28" hidden="1" outlineLevel="1">
      <c r="A2018" s="199">
        <f t="shared" ref="A2018:A2037" si="3000">A2017+1</f>
        <v>1</v>
      </c>
      <c r="B2018" s="190" t="str">
        <f t="shared" ref="B2018:B2036" ca="1" si="3001">"Depreciated Net Capex "&amp;OFFSET($C$6,0,A2018)</f>
        <v>Depreciated Net Capex 2016-17</v>
      </c>
      <c r="C2018" s="1424"/>
      <c r="D2018" s="1425">
        <f>(D2012*((1+D$11)^0.5)/D$10)</f>
        <v>0</v>
      </c>
      <c r="E2018" s="1423">
        <f ca="1">IF(D2042="n/a",D2018,IFERROR(IF((OFFSET($C2018,0,$A2018))&lt;0,
MIN(0,D2018-(OFFSET($C2018,0,$A2018)/(OFFSET($C2013,-$A2017,$A2018)))),
MAX(0,D2018-(OFFSET($C2018,0,$A2018)/(OFFSET($C2013,-$A2017,$A2018))))),0))</f>
        <v>0</v>
      </c>
      <c r="F2018" s="1423">
        <f t="shared" ca="1" si="2982"/>
        <v>0</v>
      </c>
      <c r="G2018" s="1423">
        <f t="shared" ca="1" si="2983"/>
        <v>0</v>
      </c>
      <c r="H2018" s="1423">
        <f t="shared" ca="1" si="2984"/>
        <v>0</v>
      </c>
      <c r="I2018" s="1423">
        <f t="shared" ca="1" si="2985"/>
        <v>0</v>
      </c>
      <c r="J2018" s="1423">
        <f t="shared" ca="1" si="2986"/>
        <v>0</v>
      </c>
      <c r="K2018" s="1423">
        <f t="shared" ca="1" si="2987"/>
        <v>0</v>
      </c>
      <c r="L2018" s="1423">
        <f t="shared" ca="1" si="2988"/>
        <v>0</v>
      </c>
      <c r="M2018" s="1423">
        <f t="shared" ca="1" si="2989"/>
        <v>0</v>
      </c>
      <c r="N2018" s="1423">
        <f t="shared" ca="1" si="2990"/>
        <v>0</v>
      </c>
      <c r="O2018" s="1423">
        <f t="shared" ca="1" si="2991"/>
        <v>0</v>
      </c>
      <c r="P2018" s="1423">
        <f t="shared" ca="1" si="2992"/>
        <v>0</v>
      </c>
      <c r="Q2018" s="1423">
        <f t="shared" ca="1" si="2993"/>
        <v>0</v>
      </c>
      <c r="R2018" s="1423">
        <f t="shared" ca="1" si="2994"/>
        <v>0</v>
      </c>
      <c r="S2018" s="1423">
        <f t="shared" ca="1" si="2995"/>
        <v>0</v>
      </c>
      <c r="T2018" s="1423">
        <f t="shared" ca="1" si="2996"/>
        <v>0</v>
      </c>
      <c r="U2018" s="1423">
        <f t="shared" ca="1" si="2997"/>
        <v>0</v>
      </c>
      <c r="V2018" s="1423">
        <f t="shared" ca="1" si="2998"/>
        <v>0</v>
      </c>
      <c r="W2018" s="1423">
        <f t="shared" ca="1" si="2999"/>
        <v>0</v>
      </c>
      <c r="X2018" s="152"/>
      <c r="Y2018" s="152"/>
      <c r="Z2018" s="152"/>
      <c r="AA2018" s="152"/>
      <c r="AB2018" s="152"/>
    </row>
    <row r="2019" spans="1:28" hidden="1" outlineLevel="1">
      <c r="A2019" s="199">
        <f t="shared" si="3000"/>
        <v>2</v>
      </c>
      <c r="B2019" s="190" t="str">
        <f t="shared" ca="1" si="3001"/>
        <v>Depreciated Net Capex 2017-18</v>
      </c>
      <c r="C2019" s="1426"/>
      <c r="D2019" s="1427"/>
      <c r="E2019" s="1425">
        <f>(E2012*((1+E$11)^0.5)/E$10)</f>
        <v>0</v>
      </c>
      <c r="F2019" s="1423">
        <f ca="1">IF(E2043="n/a",E2019,IFERROR(IF((OFFSET($C2019,0,$A2019))&lt;0,
MIN(0,E2019-(OFFSET($C2019,0,$A2019)/(OFFSET($C2014,-$A2018,$A2019)))),
MAX(0,E2019-(OFFSET($C2019,0,$A2019)/(OFFSET($C2014,-$A2018,$A2019))))),0))</f>
        <v>0</v>
      </c>
      <c r="G2019" s="1423">
        <f t="shared" ca="1" si="2983"/>
        <v>0</v>
      </c>
      <c r="H2019" s="1423">
        <f t="shared" ca="1" si="2984"/>
        <v>0</v>
      </c>
      <c r="I2019" s="1423">
        <f t="shared" ca="1" si="2985"/>
        <v>0</v>
      </c>
      <c r="J2019" s="1423">
        <f t="shared" ca="1" si="2986"/>
        <v>0</v>
      </c>
      <c r="K2019" s="1423">
        <f t="shared" ca="1" si="2987"/>
        <v>0</v>
      </c>
      <c r="L2019" s="1423">
        <f t="shared" ca="1" si="2988"/>
        <v>0</v>
      </c>
      <c r="M2019" s="1423">
        <f t="shared" ca="1" si="2989"/>
        <v>0</v>
      </c>
      <c r="N2019" s="1423">
        <f t="shared" ca="1" si="2990"/>
        <v>0</v>
      </c>
      <c r="O2019" s="1423">
        <f t="shared" ca="1" si="2991"/>
        <v>0</v>
      </c>
      <c r="P2019" s="1423">
        <f t="shared" ca="1" si="2992"/>
        <v>0</v>
      </c>
      <c r="Q2019" s="1423">
        <f t="shared" ca="1" si="2993"/>
        <v>0</v>
      </c>
      <c r="R2019" s="1423">
        <f t="shared" ca="1" si="2994"/>
        <v>0</v>
      </c>
      <c r="S2019" s="1423">
        <f t="shared" ca="1" si="2995"/>
        <v>0</v>
      </c>
      <c r="T2019" s="1423">
        <f t="shared" ca="1" si="2996"/>
        <v>0</v>
      </c>
      <c r="U2019" s="1423">
        <f t="shared" ca="1" si="2997"/>
        <v>0</v>
      </c>
      <c r="V2019" s="1423">
        <f t="shared" ca="1" si="2998"/>
        <v>0</v>
      </c>
      <c r="W2019" s="1423">
        <f t="shared" ca="1" si="2999"/>
        <v>0</v>
      </c>
      <c r="X2019" s="202"/>
      <c r="Y2019" s="152"/>
      <c r="Z2019" s="152"/>
      <c r="AA2019" s="152"/>
      <c r="AB2019" s="152"/>
    </row>
    <row r="2020" spans="1:28" hidden="1" outlineLevel="1">
      <c r="A2020" s="199">
        <f t="shared" si="3000"/>
        <v>3</v>
      </c>
      <c r="B2020" s="190" t="str">
        <f t="shared" ca="1" si="3001"/>
        <v>Depreciated Net Capex 2018-19</v>
      </c>
      <c r="C2020" s="1426"/>
      <c r="D2020" s="1426"/>
      <c r="E2020" s="1427"/>
      <c r="F2020" s="1428">
        <f>($F2012*((1+F$11)^0.5)/F$10)</f>
        <v>0</v>
      </c>
      <c r="G2020" s="1423">
        <f ca="1">IF(F2044="n/a",F2020,IFERROR(IF((OFFSET($C2020,0,$A2020))&lt;0,
MIN(0,F2020-(OFFSET($C2020,0,$A2020)/(OFFSET($C2015,-$A2019,$A2020)))),
MAX(0,F2020-(OFFSET($C2020,0,$A2020)/(OFFSET($C2015,-$A2019,$A2020))))),0))</f>
        <v>0</v>
      </c>
      <c r="H2020" s="1423">
        <f t="shared" ca="1" si="2984"/>
        <v>0</v>
      </c>
      <c r="I2020" s="1423">
        <f t="shared" ca="1" si="2985"/>
        <v>0</v>
      </c>
      <c r="J2020" s="1423">
        <f t="shared" ca="1" si="2986"/>
        <v>0</v>
      </c>
      <c r="K2020" s="1423">
        <f t="shared" ca="1" si="2987"/>
        <v>0</v>
      </c>
      <c r="L2020" s="1423">
        <f t="shared" ca="1" si="2988"/>
        <v>0</v>
      </c>
      <c r="M2020" s="1423">
        <f t="shared" ca="1" si="2989"/>
        <v>0</v>
      </c>
      <c r="N2020" s="1423">
        <f t="shared" ca="1" si="2990"/>
        <v>0</v>
      </c>
      <c r="O2020" s="1423">
        <f t="shared" ca="1" si="2991"/>
        <v>0</v>
      </c>
      <c r="P2020" s="1423">
        <f t="shared" ca="1" si="2992"/>
        <v>0</v>
      </c>
      <c r="Q2020" s="1423">
        <f t="shared" ca="1" si="2993"/>
        <v>0</v>
      </c>
      <c r="R2020" s="1423">
        <f t="shared" ca="1" si="2994"/>
        <v>0</v>
      </c>
      <c r="S2020" s="1423">
        <f t="shared" ca="1" si="2995"/>
        <v>0</v>
      </c>
      <c r="T2020" s="1423">
        <f t="shared" ca="1" si="2996"/>
        <v>0</v>
      </c>
      <c r="U2020" s="1423">
        <f t="shared" ca="1" si="2997"/>
        <v>0</v>
      </c>
      <c r="V2020" s="1423">
        <f t="shared" ca="1" si="2998"/>
        <v>0</v>
      </c>
      <c r="W2020" s="1423">
        <f t="shared" ca="1" si="2999"/>
        <v>0</v>
      </c>
      <c r="X2020" s="202"/>
      <c r="Y2020" s="202"/>
      <c r="Z2020" s="152"/>
      <c r="AA2020" s="152"/>
      <c r="AB2020" s="152"/>
    </row>
    <row r="2021" spans="1:28" hidden="1" outlineLevel="1">
      <c r="A2021" s="199">
        <f t="shared" si="3000"/>
        <v>4</v>
      </c>
      <c r="B2021" s="190" t="str">
        <f t="shared" ca="1" si="3001"/>
        <v>Depreciated Net Capex 2019-20</v>
      </c>
      <c r="C2021" s="1426"/>
      <c r="D2021" s="1426"/>
      <c r="E2021" s="1426"/>
      <c r="F2021" s="1427"/>
      <c r="G2021" s="1428">
        <f>($G2012*((1+G$11)^0.5)/G$10)</f>
        <v>0</v>
      </c>
      <c r="H2021" s="1423">
        <f ca="1">IF(G2045="n/a",G2021,IFERROR(IF((OFFSET($C2021,0,$A2021))&lt;0,
MIN(0,G2021-(OFFSET($C2021,0,$A2021)/(OFFSET($C2016,-$A2020,$A2021)))),
MAX(0,G2021-(OFFSET($C2021,0,$A2021)/(OFFSET($C2016,-$A2020,$A2021))))),0))</f>
        <v>0</v>
      </c>
      <c r="I2021" s="1423">
        <f t="shared" ca="1" si="2985"/>
        <v>0</v>
      </c>
      <c r="J2021" s="1423">
        <f t="shared" ca="1" si="2986"/>
        <v>0</v>
      </c>
      <c r="K2021" s="1423">
        <f t="shared" ca="1" si="2987"/>
        <v>0</v>
      </c>
      <c r="L2021" s="1423">
        <f t="shared" ca="1" si="2988"/>
        <v>0</v>
      </c>
      <c r="M2021" s="1423">
        <f t="shared" ca="1" si="2989"/>
        <v>0</v>
      </c>
      <c r="N2021" s="1423">
        <f t="shared" ca="1" si="2990"/>
        <v>0</v>
      </c>
      <c r="O2021" s="1423">
        <f t="shared" ca="1" si="2991"/>
        <v>0</v>
      </c>
      <c r="P2021" s="1423">
        <f t="shared" ca="1" si="2992"/>
        <v>0</v>
      </c>
      <c r="Q2021" s="1423">
        <f t="shared" ca="1" si="2993"/>
        <v>0</v>
      </c>
      <c r="R2021" s="1423">
        <f t="shared" ca="1" si="2994"/>
        <v>0</v>
      </c>
      <c r="S2021" s="1423">
        <f t="shared" ca="1" si="2995"/>
        <v>0</v>
      </c>
      <c r="T2021" s="1423">
        <f t="shared" ca="1" si="2996"/>
        <v>0</v>
      </c>
      <c r="U2021" s="1423">
        <f t="shared" ca="1" si="2997"/>
        <v>0</v>
      </c>
      <c r="V2021" s="1423">
        <f t="shared" ca="1" si="2998"/>
        <v>0</v>
      </c>
      <c r="W2021" s="1423">
        <f t="shared" ca="1" si="2999"/>
        <v>0</v>
      </c>
      <c r="X2021" s="202"/>
      <c r="Y2021" s="202"/>
      <c r="Z2021" s="202"/>
      <c r="AA2021" s="152"/>
      <c r="AB2021" s="152"/>
    </row>
    <row r="2022" spans="1:28" hidden="1" outlineLevel="1">
      <c r="A2022" s="199">
        <f t="shared" si="3000"/>
        <v>5</v>
      </c>
      <c r="B2022" s="190" t="str">
        <f t="shared" ca="1" si="3001"/>
        <v>Depreciated Net Capex 2020-21</v>
      </c>
      <c r="C2022" s="1426"/>
      <c r="D2022" s="1426"/>
      <c r="E2022" s="1426"/>
      <c r="F2022" s="1426"/>
      <c r="G2022" s="1427"/>
      <c r="H2022" s="1428">
        <f>(H2012*((1+H$11)^0.5)/H$10)</f>
        <v>0</v>
      </c>
      <c r="I2022" s="1423">
        <f ca="1">IF(H2046="n/a",H2022,IFERROR(IF((OFFSET($C2022,0,$A2022))&lt;0,
MIN(0,H2022-(OFFSET($C2022,0,$A2022)/(OFFSET($C2017,-$A2021,$A2022)))),
MAX(0,H2022-(OFFSET($C2022,0,$A2022)/(OFFSET($C2017,-$A2021,$A2022))))),0))</f>
        <v>0</v>
      </c>
      <c r="J2022" s="1423">
        <f t="shared" ca="1" si="2986"/>
        <v>0</v>
      </c>
      <c r="K2022" s="1423">
        <f t="shared" ca="1" si="2987"/>
        <v>0</v>
      </c>
      <c r="L2022" s="1423">
        <f t="shared" ca="1" si="2988"/>
        <v>0</v>
      </c>
      <c r="M2022" s="1423">
        <f t="shared" ca="1" si="2989"/>
        <v>0</v>
      </c>
      <c r="N2022" s="1423">
        <f t="shared" ca="1" si="2990"/>
        <v>0</v>
      </c>
      <c r="O2022" s="1423">
        <f t="shared" ca="1" si="2991"/>
        <v>0</v>
      </c>
      <c r="P2022" s="1423">
        <f t="shared" ca="1" si="2992"/>
        <v>0</v>
      </c>
      <c r="Q2022" s="1423">
        <f t="shared" ca="1" si="2993"/>
        <v>0</v>
      </c>
      <c r="R2022" s="1423">
        <f t="shared" ca="1" si="2994"/>
        <v>0</v>
      </c>
      <c r="S2022" s="1423">
        <f t="shared" ca="1" si="2995"/>
        <v>0</v>
      </c>
      <c r="T2022" s="1423">
        <f t="shared" ca="1" si="2996"/>
        <v>0</v>
      </c>
      <c r="U2022" s="1423">
        <f t="shared" ca="1" si="2997"/>
        <v>0</v>
      </c>
      <c r="V2022" s="1423">
        <f t="shared" ca="1" si="2998"/>
        <v>0</v>
      </c>
      <c r="W2022" s="1423">
        <f t="shared" ca="1" si="2999"/>
        <v>0</v>
      </c>
      <c r="X2022" s="202"/>
      <c r="Y2022" s="202"/>
      <c r="Z2022" s="202"/>
      <c r="AA2022" s="152"/>
      <c r="AB2022" s="152"/>
    </row>
    <row r="2023" spans="1:28" hidden="1" outlineLevel="1">
      <c r="A2023" s="199">
        <f t="shared" si="3000"/>
        <v>6</v>
      </c>
      <c r="B2023" s="190" t="str">
        <f t="shared" ca="1" si="3001"/>
        <v>Depreciated Net Capex 2021-22</v>
      </c>
      <c r="C2023" s="1426"/>
      <c r="D2023" s="1426"/>
      <c r="E2023" s="1426"/>
      <c r="F2023" s="1426"/>
      <c r="G2023" s="1426"/>
      <c r="H2023" s="1427"/>
      <c r="I2023" s="1428">
        <f>(I2012*((1+I$11)^0.5)/I$10)</f>
        <v>0</v>
      </c>
      <c r="J2023" s="1423">
        <f ca="1">IF(I2047="n/a",I2023,IFERROR(IF((OFFSET($C2023,0,$A2023))&lt;0,
MIN(0,I2023-(OFFSET($C2023,0,$A2023)/(OFFSET($C2018,-$A2022,$A2023)))),
MAX(0,I2023-(OFFSET($C2023,0,$A2023)/(OFFSET($C2018,-$A2022,$A2023))))),0))</f>
        <v>0</v>
      </c>
      <c r="K2023" s="1423">
        <f t="shared" ca="1" si="2987"/>
        <v>0</v>
      </c>
      <c r="L2023" s="1423">
        <f t="shared" ca="1" si="2988"/>
        <v>0</v>
      </c>
      <c r="M2023" s="1423">
        <f t="shared" ca="1" si="2989"/>
        <v>0</v>
      </c>
      <c r="N2023" s="1423">
        <f t="shared" ca="1" si="2990"/>
        <v>0</v>
      </c>
      <c r="O2023" s="1423">
        <f t="shared" ca="1" si="2991"/>
        <v>0</v>
      </c>
      <c r="P2023" s="1423">
        <f t="shared" ca="1" si="2992"/>
        <v>0</v>
      </c>
      <c r="Q2023" s="1423">
        <f t="shared" ca="1" si="2993"/>
        <v>0</v>
      </c>
      <c r="R2023" s="1423">
        <f t="shared" ca="1" si="2994"/>
        <v>0</v>
      </c>
      <c r="S2023" s="1423">
        <f t="shared" ca="1" si="2995"/>
        <v>0</v>
      </c>
      <c r="T2023" s="1423">
        <f t="shared" ca="1" si="2996"/>
        <v>0</v>
      </c>
      <c r="U2023" s="1423">
        <f t="shared" ca="1" si="2997"/>
        <v>0</v>
      </c>
      <c r="V2023" s="1423">
        <f t="shared" ca="1" si="2998"/>
        <v>0</v>
      </c>
      <c r="W2023" s="1423">
        <f t="shared" ca="1" si="2999"/>
        <v>0</v>
      </c>
      <c r="X2023" s="202"/>
      <c r="Y2023" s="202"/>
      <c r="Z2023" s="202"/>
      <c r="AA2023" s="152"/>
      <c r="AB2023" s="152"/>
    </row>
    <row r="2024" spans="1:28" hidden="1" outlineLevel="1">
      <c r="A2024" s="199">
        <f t="shared" si="3000"/>
        <v>7</v>
      </c>
      <c r="B2024" s="190" t="str">
        <f t="shared" ca="1" si="3001"/>
        <v>Depreciated Net Capex 2022-23</v>
      </c>
      <c r="C2024" s="1426"/>
      <c r="D2024" s="1426"/>
      <c r="E2024" s="1426"/>
      <c r="F2024" s="1426"/>
      <c r="G2024" s="1426"/>
      <c r="H2024" s="1426"/>
      <c r="I2024" s="1427"/>
      <c r="J2024" s="1428">
        <f>(J2012*((1+J$11)^0.5)/J$10)</f>
        <v>0</v>
      </c>
      <c r="K2024" s="1423">
        <f ca="1">IF(J2048="n/a",J2024,IFERROR(IF((OFFSET($C2024,0,$A2024))&lt;0,
MIN(0,J2024-(OFFSET($C2024,0,$A2024)/(OFFSET($C2019,-$A2023,$A2024)))),
MAX(0,J2024-(OFFSET($C2024,0,$A2024)/(OFFSET($C2019,-$A2023,$A2024))))),0))</f>
        <v>0</v>
      </c>
      <c r="L2024" s="1423">
        <f t="shared" ca="1" si="2988"/>
        <v>0</v>
      </c>
      <c r="M2024" s="1423">
        <f t="shared" ca="1" si="2989"/>
        <v>0</v>
      </c>
      <c r="N2024" s="1423">
        <f t="shared" ca="1" si="2990"/>
        <v>0</v>
      </c>
      <c r="O2024" s="1423">
        <f t="shared" ca="1" si="2991"/>
        <v>0</v>
      </c>
      <c r="P2024" s="1423">
        <f t="shared" ca="1" si="2992"/>
        <v>0</v>
      </c>
      <c r="Q2024" s="1423">
        <f t="shared" ca="1" si="2993"/>
        <v>0</v>
      </c>
      <c r="R2024" s="1423">
        <f t="shared" ca="1" si="2994"/>
        <v>0</v>
      </c>
      <c r="S2024" s="1423">
        <f t="shared" ca="1" si="2995"/>
        <v>0</v>
      </c>
      <c r="T2024" s="1423">
        <f t="shared" ca="1" si="2996"/>
        <v>0</v>
      </c>
      <c r="U2024" s="1423">
        <f t="shared" ca="1" si="2997"/>
        <v>0</v>
      </c>
      <c r="V2024" s="1423">
        <f t="shared" ca="1" si="2998"/>
        <v>0</v>
      </c>
      <c r="W2024" s="1423">
        <f t="shared" ca="1" si="2999"/>
        <v>0</v>
      </c>
      <c r="X2024" s="202"/>
      <c r="Y2024" s="202"/>
      <c r="Z2024" s="202"/>
      <c r="AA2024" s="152"/>
      <c r="AB2024" s="152"/>
    </row>
    <row r="2025" spans="1:28" hidden="1" outlineLevel="1">
      <c r="A2025" s="199">
        <f t="shared" si="3000"/>
        <v>8</v>
      </c>
      <c r="B2025" s="190" t="str">
        <f t="shared" ca="1" si="3001"/>
        <v>Depreciated Net Capex 2023-24</v>
      </c>
      <c r="C2025" s="1426"/>
      <c r="D2025" s="1426"/>
      <c r="E2025" s="1426"/>
      <c r="F2025" s="1426"/>
      <c r="G2025" s="1426"/>
      <c r="H2025" s="1426"/>
      <c r="I2025" s="1426"/>
      <c r="J2025" s="1427"/>
      <c r="K2025" s="1428">
        <f>(K2012*((1+K$11)^0.5)/K$10)</f>
        <v>0</v>
      </c>
      <c r="L2025" s="1423">
        <f ca="1">IF(K2049="n/a",K2025,IFERROR(IF((OFFSET($C2025,0,$A2025))&lt;0,
MIN(0,K2025-(OFFSET($C2025,0,$A2025)/(OFFSET($C2020,-$A2024,$A2025)))),
MAX(0,K2025-(OFFSET($C2025,0,$A2025)/(OFFSET($C2020,-$A2024,$A2025))))),0))</f>
        <v>0</v>
      </c>
      <c r="M2025" s="1423">
        <f t="shared" ca="1" si="2989"/>
        <v>0</v>
      </c>
      <c r="N2025" s="1423">
        <f t="shared" ca="1" si="2990"/>
        <v>0</v>
      </c>
      <c r="O2025" s="1423">
        <f t="shared" ca="1" si="2991"/>
        <v>0</v>
      </c>
      <c r="P2025" s="1423">
        <f t="shared" ca="1" si="2992"/>
        <v>0</v>
      </c>
      <c r="Q2025" s="1423">
        <f t="shared" ca="1" si="2993"/>
        <v>0</v>
      </c>
      <c r="R2025" s="1423">
        <f t="shared" ca="1" si="2994"/>
        <v>0</v>
      </c>
      <c r="S2025" s="1423">
        <f t="shared" ca="1" si="2995"/>
        <v>0</v>
      </c>
      <c r="T2025" s="1423">
        <f t="shared" ca="1" si="2996"/>
        <v>0</v>
      </c>
      <c r="U2025" s="1423">
        <f t="shared" ca="1" si="2997"/>
        <v>0</v>
      </c>
      <c r="V2025" s="1423">
        <f t="shared" ca="1" si="2998"/>
        <v>0</v>
      </c>
      <c r="W2025" s="1423">
        <f t="shared" ca="1" si="2999"/>
        <v>0</v>
      </c>
      <c r="X2025" s="202"/>
      <c r="Y2025" s="202"/>
      <c r="Z2025" s="202"/>
      <c r="AA2025" s="152"/>
      <c r="AB2025" s="152"/>
    </row>
    <row r="2026" spans="1:28" hidden="1" outlineLevel="1">
      <c r="A2026" s="199">
        <f t="shared" si="3000"/>
        <v>9</v>
      </c>
      <c r="B2026" s="190" t="str">
        <f t="shared" ca="1" si="3001"/>
        <v>Depreciated Net Capex 2024-25</v>
      </c>
      <c r="C2026" s="1426"/>
      <c r="D2026" s="1426"/>
      <c r="E2026" s="1426"/>
      <c r="F2026" s="1426"/>
      <c r="G2026" s="1426"/>
      <c r="H2026" s="1426"/>
      <c r="I2026" s="1426"/>
      <c r="J2026" s="1426"/>
      <c r="K2026" s="1427"/>
      <c r="L2026" s="1428">
        <f>(L2012*((1+L$11)^0.5)/L$10)</f>
        <v>0</v>
      </c>
      <c r="M2026" s="1423">
        <f ca="1">IF(L2050="n/a",L2026,IFERROR(IF((OFFSET($C2026,0,$A2026))&lt;0,
MIN(0,L2026-(OFFSET($C2026,0,$A2026)/(OFFSET($C2021,-$A2025,$A2026)))),
MAX(0,L2026-(OFFSET($C2026,0,$A2026)/(OFFSET($C2021,-$A2025,$A2026))))),0))</f>
        <v>0</v>
      </c>
      <c r="N2026" s="1423">
        <f t="shared" ca="1" si="2990"/>
        <v>0</v>
      </c>
      <c r="O2026" s="1423">
        <f t="shared" ca="1" si="2991"/>
        <v>0</v>
      </c>
      <c r="P2026" s="1423">
        <f t="shared" ca="1" si="2992"/>
        <v>0</v>
      </c>
      <c r="Q2026" s="1423">
        <f t="shared" ca="1" si="2993"/>
        <v>0</v>
      </c>
      <c r="R2026" s="1423">
        <f t="shared" ca="1" si="2994"/>
        <v>0</v>
      </c>
      <c r="S2026" s="1423">
        <f t="shared" ca="1" si="2995"/>
        <v>0</v>
      </c>
      <c r="T2026" s="1423">
        <f t="shared" ca="1" si="2996"/>
        <v>0</v>
      </c>
      <c r="U2026" s="1423">
        <f t="shared" ca="1" si="2997"/>
        <v>0</v>
      </c>
      <c r="V2026" s="1423">
        <f t="shared" ca="1" si="2998"/>
        <v>0</v>
      </c>
      <c r="W2026" s="1423">
        <f t="shared" ca="1" si="2999"/>
        <v>0</v>
      </c>
      <c r="X2026" s="202"/>
      <c r="Y2026" s="202"/>
      <c r="Z2026" s="202"/>
      <c r="AA2026" s="152"/>
      <c r="AB2026" s="152"/>
    </row>
    <row r="2027" spans="1:28" hidden="1" outlineLevel="1">
      <c r="A2027" s="199">
        <f t="shared" si="3000"/>
        <v>10</v>
      </c>
      <c r="B2027" s="190" t="str">
        <f t="shared" ca="1" si="3001"/>
        <v>Depreciated Net Capex 2025-26</v>
      </c>
      <c r="C2027" s="1426"/>
      <c r="D2027" s="1426"/>
      <c r="E2027" s="1426"/>
      <c r="F2027" s="1426"/>
      <c r="G2027" s="1426"/>
      <c r="H2027" s="1426"/>
      <c r="I2027" s="1426"/>
      <c r="J2027" s="1426"/>
      <c r="K2027" s="1426"/>
      <c r="L2027" s="1427"/>
      <c r="M2027" s="1428">
        <f>(M2012*((1+M$11)^0.5)/M$10)</f>
        <v>0</v>
      </c>
      <c r="N2027" s="1423">
        <f ca="1">IF(M2051="n/a",M2027,IFERROR(IF((OFFSET($C2027,0,$A2027))&lt;0,
MIN(0,M2027-(OFFSET($C2027,0,$A2027)/(OFFSET($C2022,-$A2026,$A2027)))),
MAX(0,M2027-(OFFSET($C2027,0,$A2027)/(OFFSET($C2022,-$A2026,$A2027))))),0))</f>
        <v>0</v>
      </c>
      <c r="O2027" s="1423">
        <f t="shared" ca="1" si="2991"/>
        <v>0</v>
      </c>
      <c r="P2027" s="1423">
        <f t="shared" ca="1" si="2992"/>
        <v>0</v>
      </c>
      <c r="Q2027" s="1423">
        <f t="shared" ca="1" si="2993"/>
        <v>0</v>
      </c>
      <c r="R2027" s="1423">
        <f t="shared" ca="1" si="2994"/>
        <v>0</v>
      </c>
      <c r="S2027" s="1423">
        <f t="shared" ca="1" si="2995"/>
        <v>0</v>
      </c>
      <c r="T2027" s="1423">
        <f t="shared" ca="1" si="2996"/>
        <v>0</v>
      </c>
      <c r="U2027" s="1423">
        <f t="shared" ca="1" si="2997"/>
        <v>0</v>
      </c>
      <c r="V2027" s="1423">
        <f t="shared" ca="1" si="2998"/>
        <v>0</v>
      </c>
      <c r="W2027" s="1423">
        <f t="shared" ca="1" si="2999"/>
        <v>0</v>
      </c>
      <c r="X2027" s="202"/>
      <c r="Y2027" s="202"/>
      <c r="Z2027" s="202"/>
      <c r="AA2027" s="152"/>
      <c r="AB2027" s="152"/>
    </row>
    <row r="2028" spans="1:28" hidden="1" outlineLevel="1">
      <c r="A2028" s="199">
        <f t="shared" si="3000"/>
        <v>11</v>
      </c>
      <c r="B2028" s="190" t="str">
        <f t="shared" ca="1" si="3001"/>
        <v>Depreciated Net Capex 2026-27</v>
      </c>
      <c r="C2028" s="1426"/>
      <c r="D2028" s="1426"/>
      <c r="E2028" s="1426"/>
      <c r="F2028" s="1426"/>
      <c r="G2028" s="1426"/>
      <c r="H2028" s="1426"/>
      <c r="I2028" s="1426"/>
      <c r="J2028" s="1426"/>
      <c r="K2028" s="1426"/>
      <c r="L2028" s="1426"/>
      <c r="M2028" s="1427"/>
      <c r="N2028" s="1428">
        <f>(N2012*((1+N$11)^0.5)/N$10)</f>
        <v>0</v>
      </c>
      <c r="O2028" s="1423">
        <f ca="1">IF(N2052="n/a",N2028,IFERROR(IF((OFFSET($C2028,0,$A2028))&lt;0,
MIN(0,N2028-(OFFSET($C2028,0,$A2028)/(OFFSET($C2023,-$A2027,$A2028)))),
MAX(0,N2028-(OFFSET($C2028,0,$A2028)/(OFFSET($C2023,-$A2027,$A2028))))),0))</f>
        <v>0</v>
      </c>
      <c r="P2028" s="1423">
        <f t="shared" ca="1" si="2992"/>
        <v>0</v>
      </c>
      <c r="Q2028" s="1423">
        <f t="shared" ca="1" si="2993"/>
        <v>0</v>
      </c>
      <c r="R2028" s="1423">
        <f t="shared" ca="1" si="2994"/>
        <v>0</v>
      </c>
      <c r="S2028" s="1423">
        <f t="shared" ca="1" si="2995"/>
        <v>0</v>
      </c>
      <c r="T2028" s="1423">
        <f t="shared" ca="1" si="2996"/>
        <v>0</v>
      </c>
      <c r="U2028" s="1423">
        <f t="shared" ca="1" si="2997"/>
        <v>0</v>
      </c>
      <c r="V2028" s="1423">
        <f t="shared" ca="1" si="2998"/>
        <v>0</v>
      </c>
      <c r="W2028" s="1423">
        <f t="shared" ca="1" si="2999"/>
        <v>0</v>
      </c>
      <c r="X2028" s="202"/>
      <c r="Y2028" s="202"/>
      <c r="Z2028" s="202"/>
      <c r="AA2028" s="152"/>
      <c r="AB2028" s="152"/>
    </row>
    <row r="2029" spans="1:28" hidden="1" outlineLevel="1">
      <c r="A2029" s="199">
        <f t="shared" si="3000"/>
        <v>12</v>
      </c>
      <c r="B2029" s="190" t="str">
        <f t="shared" ca="1" si="3001"/>
        <v>Depreciated Net Capex 2027-28</v>
      </c>
      <c r="C2029" s="1426"/>
      <c r="D2029" s="1426"/>
      <c r="E2029" s="1426"/>
      <c r="F2029" s="1426"/>
      <c r="G2029" s="1426"/>
      <c r="H2029" s="1426"/>
      <c r="I2029" s="1426"/>
      <c r="J2029" s="1426"/>
      <c r="K2029" s="1426"/>
      <c r="L2029" s="1426"/>
      <c r="M2029" s="1426"/>
      <c r="N2029" s="1427"/>
      <c r="O2029" s="1428">
        <f>(O2012*((1+O$11)^0.5)/O$10)</f>
        <v>0</v>
      </c>
      <c r="P2029" s="1423">
        <f ca="1">IF(O2053="n/a",O2029,IFERROR(IF((OFFSET($C2029,0,$A2029))&lt;0,
MIN(0,O2029-(OFFSET($C2029,0,$A2029)/(OFFSET($C2024,-$A2028,$A2029)))),
MAX(0,O2029-(OFFSET($C2029,0,$A2029)/(OFFSET($C2024,-$A2028,$A2029))))),0))</f>
        <v>0</v>
      </c>
      <c r="Q2029" s="1423">
        <f t="shared" ca="1" si="2993"/>
        <v>0</v>
      </c>
      <c r="R2029" s="1423">
        <f t="shared" ca="1" si="2994"/>
        <v>0</v>
      </c>
      <c r="S2029" s="1423">
        <f t="shared" ca="1" si="2995"/>
        <v>0</v>
      </c>
      <c r="T2029" s="1423">
        <f t="shared" ca="1" si="2996"/>
        <v>0</v>
      </c>
      <c r="U2029" s="1423">
        <f t="shared" ca="1" si="2997"/>
        <v>0</v>
      </c>
      <c r="V2029" s="1423">
        <f t="shared" ca="1" si="2998"/>
        <v>0</v>
      </c>
      <c r="W2029" s="1423">
        <f t="shared" ca="1" si="2999"/>
        <v>0</v>
      </c>
      <c r="X2029" s="202"/>
      <c r="Y2029" s="202"/>
      <c r="Z2029" s="202"/>
      <c r="AA2029" s="152"/>
      <c r="AB2029" s="152"/>
    </row>
    <row r="2030" spans="1:28" hidden="1" outlineLevel="1">
      <c r="A2030" s="199">
        <f t="shared" si="3000"/>
        <v>13</v>
      </c>
      <c r="B2030" s="190" t="str">
        <f t="shared" ca="1" si="3001"/>
        <v>Depreciated Net Capex 2028-29</v>
      </c>
      <c r="C2030" s="1426"/>
      <c r="D2030" s="1426"/>
      <c r="E2030" s="1426"/>
      <c r="F2030" s="1426"/>
      <c r="G2030" s="1426"/>
      <c r="H2030" s="1426"/>
      <c r="I2030" s="1426"/>
      <c r="J2030" s="1426"/>
      <c r="K2030" s="1426"/>
      <c r="L2030" s="1426"/>
      <c r="M2030" s="1426"/>
      <c r="N2030" s="1426"/>
      <c r="O2030" s="1427"/>
      <c r="P2030" s="1428">
        <f>(P2012*((1+P$11)^0.5)/P$10)</f>
        <v>0</v>
      </c>
      <c r="Q2030" s="1423">
        <f ca="1">IF(P2054="n/a",P2030,IFERROR(IF((OFFSET($C2030,0,$A2030))&lt;0,
MIN(0,P2030-(OFFSET($C2030,0,$A2030)/(OFFSET($C2025,-$A2029,$A2030)))),
MAX(0,P2030-(OFFSET($C2030,0,$A2030)/(OFFSET($C2025,-$A2029,$A2030))))),0))</f>
        <v>0</v>
      </c>
      <c r="R2030" s="1423">
        <f t="shared" ca="1" si="2994"/>
        <v>0</v>
      </c>
      <c r="S2030" s="1423">
        <f t="shared" ca="1" si="2995"/>
        <v>0</v>
      </c>
      <c r="T2030" s="1423">
        <f t="shared" ca="1" si="2996"/>
        <v>0</v>
      </c>
      <c r="U2030" s="1423">
        <f t="shared" ca="1" si="2997"/>
        <v>0</v>
      </c>
      <c r="V2030" s="1423">
        <f t="shared" ca="1" si="2998"/>
        <v>0</v>
      </c>
      <c r="W2030" s="1423">
        <f t="shared" ca="1" si="2999"/>
        <v>0</v>
      </c>
      <c r="X2030" s="202"/>
      <c r="Y2030" s="202"/>
      <c r="Z2030" s="202"/>
      <c r="AA2030" s="152"/>
      <c r="AB2030" s="152"/>
    </row>
    <row r="2031" spans="1:28" hidden="1" outlineLevel="1">
      <c r="A2031" s="199">
        <f t="shared" si="3000"/>
        <v>14</v>
      </c>
      <c r="B2031" s="190" t="str">
        <f t="shared" ca="1" si="3001"/>
        <v>Depreciated Net Capex 2029-30</v>
      </c>
      <c r="C2031" s="1426"/>
      <c r="D2031" s="1426"/>
      <c r="E2031" s="1426"/>
      <c r="F2031" s="1426"/>
      <c r="G2031" s="1426"/>
      <c r="H2031" s="1426"/>
      <c r="I2031" s="1426"/>
      <c r="J2031" s="1426"/>
      <c r="K2031" s="1426"/>
      <c r="L2031" s="1426"/>
      <c r="M2031" s="1426"/>
      <c r="N2031" s="1426"/>
      <c r="O2031" s="1426"/>
      <c r="P2031" s="1427"/>
      <c r="Q2031" s="1428">
        <f>(Q2012*((1+Q$11)^0.5)/Q$10)</f>
        <v>0</v>
      </c>
      <c r="R2031" s="1423">
        <f ca="1">IF(Q2055="n/a",Q2031,IFERROR(IF((OFFSET($C2031,0,$A2031))&lt;0,
MIN(0,Q2031-(OFFSET($C2031,0,$A2031)/(OFFSET($C2026,-$A2030,$A2031)))),
MAX(0,Q2031-(OFFSET($C2031,0,$A2031)/(OFFSET($C2026,-$A2030,$A2031))))),0))</f>
        <v>0</v>
      </c>
      <c r="S2031" s="1423">
        <f t="shared" ca="1" si="2995"/>
        <v>0</v>
      </c>
      <c r="T2031" s="1423">
        <f t="shared" ca="1" si="2996"/>
        <v>0</v>
      </c>
      <c r="U2031" s="1423">
        <f t="shared" ca="1" si="2997"/>
        <v>0</v>
      </c>
      <c r="V2031" s="1423">
        <f t="shared" ca="1" si="2998"/>
        <v>0</v>
      </c>
      <c r="W2031" s="1423">
        <f t="shared" ca="1" si="2999"/>
        <v>0</v>
      </c>
      <c r="X2031" s="202"/>
      <c r="Y2031" s="202"/>
      <c r="Z2031" s="202"/>
      <c r="AA2031" s="152"/>
      <c r="AB2031" s="152"/>
    </row>
    <row r="2032" spans="1:28" hidden="1" outlineLevel="1">
      <c r="A2032" s="199">
        <f t="shared" si="3000"/>
        <v>15</v>
      </c>
      <c r="B2032" s="190" t="str">
        <f t="shared" ca="1" si="3001"/>
        <v>Depreciated Net Capex 2030-31</v>
      </c>
      <c r="C2032" s="1426"/>
      <c r="D2032" s="1426"/>
      <c r="E2032" s="1426"/>
      <c r="F2032" s="1426"/>
      <c r="G2032" s="1426"/>
      <c r="H2032" s="1426"/>
      <c r="I2032" s="1426"/>
      <c r="J2032" s="1426"/>
      <c r="K2032" s="1426"/>
      <c r="L2032" s="1426"/>
      <c r="M2032" s="1426"/>
      <c r="N2032" s="1426"/>
      <c r="O2032" s="1426"/>
      <c r="P2032" s="1426"/>
      <c r="Q2032" s="1427"/>
      <c r="R2032" s="1428">
        <f>(R2012*((1+R$11)^0.5)/R$10)</f>
        <v>0</v>
      </c>
      <c r="S2032" s="1423">
        <f ca="1">IF(R2056="n/a",R2032,IFERROR(IF((OFFSET($C2032,0,$A2032))&lt;0,
MIN(0,R2032-(OFFSET($C2032,0,$A2032)/(OFFSET($C2027,-$A2031,$A2032)))),
MAX(0,R2032-(OFFSET($C2032,0,$A2032)/(OFFSET($C2027,-$A2031,$A2032))))),0))</f>
        <v>0</v>
      </c>
      <c r="T2032" s="1423">
        <f t="shared" ca="1" si="2996"/>
        <v>0</v>
      </c>
      <c r="U2032" s="1423">
        <f t="shared" ca="1" si="2997"/>
        <v>0</v>
      </c>
      <c r="V2032" s="1423">
        <f t="shared" ca="1" si="2998"/>
        <v>0</v>
      </c>
      <c r="W2032" s="1423">
        <f t="shared" ca="1" si="2999"/>
        <v>0</v>
      </c>
      <c r="X2032" s="202"/>
      <c r="Y2032" s="202"/>
      <c r="Z2032" s="202"/>
      <c r="AA2032" s="152"/>
      <c r="AB2032" s="152"/>
    </row>
    <row r="2033" spans="1:28" hidden="1" outlineLevel="1">
      <c r="A2033" s="199">
        <f t="shared" si="3000"/>
        <v>16</v>
      </c>
      <c r="B2033" s="190" t="str">
        <f t="shared" ca="1" si="3001"/>
        <v>Depreciated Net Capex 2031-32</v>
      </c>
      <c r="C2033" s="1426"/>
      <c r="D2033" s="1426"/>
      <c r="E2033" s="1426"/>
      <c r="F2033" s="1426"/>
      <c r="G2033" s="1426"/>
      <c r="H2033" s="1426"/>
      <c r="I2033" s="1426"/>
      <c r="J2033" s="1426"/>
      <c r="K2033" s="1426"/>
      <c r="L2033" s="1426"/>
      <c r="M2033" s="1426"/>
      <c r="N2033" s="1426"/>
      <c r="O2033" s="1426"/>
      <c r="P2033" s="1426"/>
      <c r="Q2033" s="1426"/>
      <c r="R2033" s="1427"/>
      <c r="S2033" s="1428">
        <f>(S2012*((1+S$11)^0.5)/S$10)</f>
        <v>0</v>
      </c>
      <c r="T2033" s="1423">
        <f ca="1">IF(S2057="n/a",S2033,IFERROR(IF((OFFSET($C2033,0,$A2033))&lt;0,
MIN(0,S2033-(OFFSET($C2033,0,$A2033)/(OFFSET($C2028,-$A2032,$A2033)))),
MAX(0,S2033-(OFFSET($C2033,0,$A2033)/(OFFSET($C2028,-$A2032,$A2033))))),0))</f>
        <v>0</v>
      </c>
      <c r="U2033" s="1423">
        <f t="shared" ca="1" si="2997"/>
        <v>0</v>
      </c>
      <c r="V2033" s="1423">
        <f t="shared" ca="1" si="2998"/>
        <v>0</v>
      </c>
      <c r="W2033" s="1423">
        <f t="shared" ca="1" si="2999"/>
        <v>0</v>
      </c>
      <c r="X2033" s="202"/>
      <c r="Y2033" s="202"/>
      <c r="Z2033" s="202"/>
      <c r="AA2033" s="152"/>
      <c r="AB2033" s="152"/>
    </row>
    <row r="2034" spans="1:28" hidden="1" outlineLevel="1">
      <c r="A2034" s="199">
        <f t="shared" si="3000"/>
        <v>17</v>
      </c>
      <c r="B2034" s="190" t="str">
        <f t="shared" ca="1" si="3001"/>
        <v>Depreciated Net Capex 2032-33</v>
      </c>
      <c r="C2034" s="1426"/>
      <c r="D2034" s="1426"/>
      <c r="E2034" s="1426"/>
      <c r="F2034" s="1426"/>
      <c r="G2034" s="1426"/>
      <c r="H2034" s="1426"/>
      <c r="I2034" s="1426"/>
      <c r="J2034" s="1426"/>
      <c r="K2034" s="1426"/>
      <c r="L2034" s="1426"/>
      <c r="M2034" s="1426"/>
      <c r="N2034" s="1426"/>
      <c r="O2034" s="1426"/>
      <c r="P2034" s="1426"/>
      <c r="Q2034" s="1426"/>
      <c r="R2034" s="1426"/>
      <c r="S2034" s="1427"/>
      <c r="T2034" s="1428">
        <f>(T2012*((1+T$11)^0.5)/T$10)</f>
        <v>0</v>
      </c>
      <c r="U2034" s="1423">
        <f ca="1">IF(T2058="n/a",T2034,IFERROR(IF((OFFSET($C2034,0,$A2034))&lt;0,
MIN(0,T2034-(OFFSET($C2034,0,$A2034)/(OFFSET($C2029,-$A2033,$A2034)))),
MAX(0,T2034-(OFFSET($C2034,0,$A2034)/(OFFSET($C2029,-$A2033,$A2034))))),0))</f>
        <v>0</v>
      </c>
      <c r="V2034" s="1423">
        <f t="shared" ca="1" si="2998"/>
        <v>0</v>
      </c>
      <c r="W2034" s="1423">
        <f t="shared" ca="1" si="2999"/>
        <v>0</v>
      </c>
      <c r="X2034" s="202"/>
      <c r="Y2034" s="202"/>
      <c r="Z2034" s="202"/>
      <c r="AA2034" s="152"/>
      <c r="AB2034" s="152"/>
    </row>
    <row r="2035" spans="1:28" hidden="1" outlineLevel="1">
      <c r="A2035" s="199">
        <f t="shared" si="3000"/>
        <v>18</v>
      </c>
      <c r="B2035" s="190" t="str">
        <f t="shared" ca="1" si="3001"/>
        <v>Depreciated Net Capex 2033-34</v>
      </c>
      <c r="C2035" s="1426"/>
      <c r="D2035" s="1426"/>
      <c r="E2035" s="1426"/>
      <c r="F2035" s="1426"/>
      <c r="G2035" s="1426"/>
      <c r="H2035" s="1426"/>
      <c r="I2035" s="1426"/>
      <c r="J2035" s="1426"/>
      <c r="K2035" s="1426"/>
      <c r="L2035" s="1426"/>
      <c r="M2035" s="1426"/>
      <c r="N2035" s="1426"/>
      <c r="O2035" s="1426"/>
      <c r="P2035" s="1426"/>
      <c r="Q2035" s="1426"/>
      <c r="R2035" s="1426"/>
      <c r="S2035" s="1426"/>
      <c r="T2035" s="1427"/>
      <c r="U2035" s="1428">
        <f>(U2012*((1+U$11)^0.5)/U$10)</f>
        <v>0</v>
      </c>
      <c r="V2035" s="1423">
        <f ca="1">IF(U2059="n/a",U2035,IFERROR(IF((OFFSET($C2035,0,$A2035))&lt;0,
MIN(0,U2035-(OFFSET($C2035,0,$A2035)/(OFFSET($C2030,-$A2034,$A2035)))),
MAX(0,U2035-(OFFSET($C2035,0,$A2035)/(OFFSET($C2030,-$A2034,$A2035))))),0))</f>
        <v>0</v>
      </c>
      <c r="W2035" s="1423">
        <f t="shared" ca="1" si="2999"/>
        <v>0</v>
      </c>
      <c r="X2035" s="202"/>
      <c r="Y2035" s="202"/>
      <c r="Z2035" s="202"/>
      <c r="AA2035" s="152"/>
      <c r="AB2035" s="152"/>
    </row>
    <row r="2036" spans="1:28" hidden="1" outlineLevel="1">
      <c r="A2036" s="199">
        <f t="shared" si="3000"/>
        <v>19</v>
      </c>
      <c r="B2036" s="190" t="str">
        <f t="shared" ca="1" si="3001"/>
        <v>Depreciated Net Capex 2034-35</v>
      </c>
      <c r="C2036" s="1426"/>
      <c r="D2036" s="1426"/>
      <c r="E2036" s="1426"/>
      <c r="F2036" s="1426"/>
      <c r="G2036" s="1426"/>
      <c r="H2036" s="1426"/>
      <c r="I2036" s="1426"/>
      <c r="J2036" s="1426"/>
      <c r="K2036" s="1426"/>
      <c r="L2036" s="1426"/>
      <c r="M2036" s="1426"/>
      <c r="N2036" s="1426"/>
      <c r="O2036" s="1426"/>
      <c r="P2036" s="1426"/>
      <c r="Q2036" s="1426"/>
      <c r="R2036" s="1426"/>
      <c r="S2036" s="1426"/>
      <c r="T2036" s="1426"/>
      <c r="U2036" s="1427"/>
      <c r="V2036" s="1428">
        <f>(V2012*((1+V$11)^0.5)/V$10)</f>
        <v>0</v>
      </c>
      <c r="W2036" s="1423">
        <f ca="1">IF(V2060="n/a",V2036,IFERROR(IF((OFFSET($C2036,0,$A2036))&lt;0,
MIN(0,V2036-(OFFSET($C2036,0,$A2036)/(OFFSET($C2031,-$A2035,$A2036)))),
MAX(0,V2036-(OFFSET($C2036,0,$A2036)/(OFFSET($C2031,-$A2035,$A2036))))),0))</f>
        <v>0</v>
      </c>
      <c r="X2036" s="202"/>
      <c r="Y2036" s="202"/>
      <c r="Z2036" s="202"/>
      <c r="AA2036" s="152"/>
      <c r="AB2036" s="152"/>
    </row>
    <row r="2037" spans="1:28" hidden="1" outlineLevel="1">
      <c r="A2037" s="199">
        <f t="shared" si="3000"/>
        <v>20</v>
      </c>
      <c r="B2037" s="190" t="str">
        <f ca="1">"Depreciated Net Capex "&amp;OFFSET($C$6,0,A2037)</f>
        <v>Depreciated Net Capex 2035-36</v>
      </c>
      <c r="C2037" s="1426"/>
      <c r="D2037" s="1426"/>
      <c r="E2037" s="1426"/>
      <c r="F2037" s="1426"/>
      <c r="G2037" s="1426"/>
      <c r="H2037" s="1426"/>
      <c r="I2037" s="1426"/>
      <c r="J2037" s="1426"/>
      <c r="K2037" s="1426"/>
      <c r="L2037" s="1426"/>
      <c r="M2037" s="1426"/>
      <c r="N2037" s="1426"/>
      <c r="O2037" s="1426"/>
      <c r="P2037" s="1426"/>
      <c r="Q2037" s="1426"/>
      <c r="R2037" s="1426"/>
      <c r="S2037" s="1426"/>
      <c r="T2037" s="1426"/>
      <c r="U2037" s="1426"/>
      <c r="V2037" s="1427"/>
      <c r="W2037" s="1423">
        <f>(W2012*((1+W$11)^0.5)/W$10)</f>
        <v>0</v>
      </c>
      <c r="X2037" s="152"/>
      <c r="Y2037" s="152"/>
      <c r="Z2037" s="152"/>
      <c r="AA2037" s="152"/>
      <c r="AB2037" s="152"/>
    </row>
    <row r="2038" spans="1:28" hidden="1" outlineLevel="1">
      <c r="A2038" s="152"/>
      <c r="B2038" s="200"/>
      <c r="C2038" s="1423"/>
      <c r="D2038" s="1423"/>
      <c r="E2038" s="1423"/>
      <c r="F2038" s="1423"/>
      <c r="G2038" s="1423"/>
      <c r="H2038" s="1423"/>
      <c r="I2038" s="1423"/>
      <c r="J2038" s="1423"/>
      <c r="K2038" s="1423"/>
      <c r="L2038" s="1423"/>
      <c r="M2038" s="1423"/>
      <c r="N2038" s="1423"/>
      <c r="O2038" s="1423"/>
      <c r="P2038" s="1423"/>
      <c r="Q2038" s="1423"/>
      <c r="R2038" s="1423"/>
      <c r="S2038" s="1423"/>
      <c r="T2038" s="1423"/>
      <c r="U2038" s="1423"/>
      <c r="V2038" s="1423"/>
      <c r="W2038" s="1423"/>
      <c r="X2038" s="152"/>
      <c r="Y2038" s="152"/>
      <c r="Z2038" s="152"/>
      <c r="AA2038" s="152"/>
      <c r="AB2038" s="152"/>
    </row>
    <row r="2039" spans="1:28" hidden="1" outlineLevel="1">
      <c r="A2039" s="152"/>
      <c r="B2039" s="200"/>
      <c r="C2039" s="1423"/>
      <c r="D2039" s="1423"/>
      <c r="E2039" s="1423"/>
      <c r="F2039" s="1423"/>
      <c r="G2039" s="1423"/>
      <c r="H2039" s="1423"/>
      <c r="I2039" s="1423"/>
      <c r="J2039" s="1423"/>
      <c r="K2039" s="1423"/>
      <c r="L2039" s="1423"/>
      <c r="M2039" s="1423"/>
      <c r="N2039" s="1423"/>
      <c r="O2039" s="1423"/>
      <c r="P2039" s="1423"/>
      <c r="Q2039" s="1423"/>
      <c r="R2039" s="1423"/>
      <c r="S2039" s="1423"/>
      <c r="T2039" s="1423"/>
      <c r="U2039" s="1423"/>
      <c r="V2039" s="1423"/>
      <c r="W2039" s="1423"/>
      <c r="X2039" s="152"/>
      <c r="Y2039" s="152"/>
      <c r="Z2039" s="152"/>
      <c r="AA2039" s="152"/>
      <c r="AB2039" s="152"/>
    </row>
    <row r="2040" spans="1:28" hidden="1" outlineLevel="1">
      <c r="A2040" s="152"/>
      <c r="B2040" s="190" t="s">
        <v>190</v>
      </c>
      <c r="C2040" s="1423"/>
      <c r="D2040" s="1423">
        <f ca="1">IF(AND(C2040&lt;1,D2014=0),0,
IF(D2014=0,C2040-1,
IF(C2040&lt;1,D2015,
(((C2040-1)*(C2016-(C2016/(C2040))))+((D2014/D$10)*D2015))/(D2016))))</f>
        <v>0</v>
      </c>
      <c r="E2040" s="1423">
        <f t="shared" ref="E2040" ca="1" si="3002">IF(AND(D2040&lt;1,E2014=0),0,
IF(E2014=0,D2040-1,
IF(D2040&lt;1,E2015,
(((D2040-1)*(D2016-(D2016/(D2040))))+((E2014/E$10)*E2015))/(E2016))))</f>
        <v>0</v>
      </c>
      <c r="F2040" s="1423">
        <f t="shared" ref="F2040" ca="1" si="3003">IF(AND(E2040&lt;1,F2014=0),0,
IF(F2014=0,E2040-1,
IF(E2040&lt;1,F2015,
(((E2040-1)*(E2016-(E2016/(E2040))))+((F2014/F$10)*F2015))/(F2016))))</f>
        <v>0</v>
      </c>
      <c r="G2040" s="1423">
        <f t="shared" ref="G2040" ca="1" si="3004">IF(AND(F2040&lt;1,G2014=0),0,
IF(G2014=0,F2040-1,
IF(F2040&lt;1,G2015,
(((F2040-1)*(F2016-(F2016/(F2040))))+((G2014/G$10)*G2015))/(G2016))))</f>
        <v>0</v>
      </c>
      <c r="H2040" s="1423">
        <f t="shared" ref="H2040" ca="1" si="3005">IF(AND(G2040&lt;1,H2014=0),0,
IF(H2014=0,G2040-1,
IF(G2040&lt;1,H2015,
(((G2040-1)*(G2016-(G2016/(G2040))))+((H2014/H$10)*H2015))/(H2016))))</f>
        <v>0</v>
      </c>
      <c r="I2040" s="1423">
        <f t="shared" ref="I2040" ca="1" si="3006">IF(AND(H2040&lt;1,I2014=0),0,
IF(I2014=0,H2040-1,
IF(H2040&lt;1,I2015,
(((H2040-1)*(H2016-(H2016/(H2040))))+((I2014/I$10)*I2015))/(I2016))))</f>
        <v>0</v>
      </c>
      <c r="J2040" s="1423">
        <f t="shared" ref="J2040" ca="1" si="3007">IF(AND(I2040&lt;1,J2014=0),0,
IF(J2014=0,I2040-1,
IF(I2040&lt;1,J2015,
(((I2040-1)*(I2016-(I2016/(I2040))))+((J2014/J$10)*J2015))/(J2016))))</f>
        <v>0</v>
      </c>
      <c r="K2040" s="1423">
        <f t="shared" ref="K2040" ca="1" si="3008">IF(AND(J2040&lt;1,K2014=0),0,
IF(K2014=0,J2040-1,
IF(J2040&lt;1,K2015,
(((J2040-1)*(J2016-(J2016/(J2040))))+((K2014/K$10)*K2015))/(K2016))))</f>
        <v>0</v>
      </c>
      <c r="L2040" s="1423">
        <f t="shared" ref="L2040" ca="1" si="3009">IF(AND(K2040&lt;1,L2014=0),0,
IF(L2014=0,K2040-1,
IF(K2040&lt;1,L2015,
(((K2040-1)*(K2016-(K2016/(K2040))))+((L2014/L$10)*L2015))/(L2016))))</f>
        <v>0</v>
      </c>
      <c r="M2040" s="1423">
        <f t="shared" ref="M2040" ca="1" si="3010">IF(AND(L2040&lt;1,M2014=0),0,
IF(M2014=0,L2040-1,
IF(L2040&lt;1,M2015,
(((L2040-1)*(L2016-(L2016/(L2040))))+((M2014/M$10)*M2015))/(M2016))))</f>
        <v>0</v>
      </c>
      <c r="N2040" s="1423">
        <f t="shared" ref="N2040" ca="1" si="3011">IF(AND(M2040&lt;1,N2014=0),0,
IF(N2014=0,M2040-1,
IF(M2040&lt;1,N2015,
(((M2040-1)*(M2016-(M2016/(M2040))))+((N2014/N$10)*N2015))/(N2016))))</f>
        <v>0</v>
      </c>
      <c r="O2040" s="1423">
        <f t="shared" ref="O2040" ca="1" si="3012">IF(AND(N2040&lt;1,O2014=0),0,
IF(O2014=0,N2040-1,
IF(N2040&lt;1,O2015,
(((N2040-1)*(N2016-(N2016/(N2040))))+((O2014/O$10)*O2015))/(O2016))))</f>
        <v>0</v>
      </c>
      <c r="P2040" s="1423">
        <f t="shared" ref="P2040" ca="1" si="3013">IF(AND(O2040&lt;1,P2014=0),0,
IF(P2014=0,O2040-1,
IF(O2040&lt;1,P2015,
(((O2040-1)*(O2016-(O2016/(O2040))))+((P2014/P$10)*P2015))/(P2016))))</f>
        <v>0</v>
      </c>
      <c r="Q2040" s="1423">
        <f t="shared" ref="Q2040" ca="1" si="3014">IF(AND(P2040&lt;1,Q2014=0),0,
IF(Q2014=0,P2040-1,
IF(P2040&lt;1,Q2015,
(((P2040-1)*(P2016-(P2016/(P2040))))+((Q2014/Q$10)*Q2015))/(Q2016))))</f>
        <v>0</v>
      </c>
      <c r="R2040" s="1423">
        <f t="shared" ref="R2040" ca="1" si="3015">IF(AND(Q2040&lt;1,R2014=0),0,
IF(R2014=0,Q2040-1,
IF(Q2040&lt;1,R2015,
(((Q2040-1)*(Q2016-(Q2016/(Q2040))))+((R2014/R$10)*R2015))/(R2016))))</f>
        <v>0</v>
      </c>
      <c r="S2040" s="1423">
        <f t="shared" ref="S2040" ca="1" si="3016">IF(AND(R2040&lt;1,S2014=0),0,
IF(S2014=0,R2040-1,
IF(R2040&lt;1,S2015,
(((R2040-1)*(R2016-(R2016/(R2040))))+((S2014/S$10)*S2015))/(S2016))))</f>
        <v>0</v>
      </c>
      <c r="T2040" s="1423">
        <f t="shared" ref="T2040" ca="1" si="3017">IF(AND(S2040&lt;1,T2014=0),0,
IF(T2014=0,S2040-1,
IF(S2040&lt;1,T2015,
(((S2040-1)*(S2016-(S2016/(S2040))))+((T2014/T$10)*T2015))/(T2016))))</f>
        <v>0</v>
      </c>
      <c r="U2040" s="1423">
        <f t="shared" ref="U2040" ca="1" si="3018">IF(AND(T2040&lt;1,U2014=0),0,
IF(U2014=0,T2040-1,
IF(T2040&lt;1,U2015,
(((T2040-1)*(T2016-(T2016/(T2040))))+((U2014/U$10)*U2015))/(U2016))))</f>
        <v>0</v>
      </c>
      <c r="V2040" s="1423">
        <f t="shared" ref="V2040" ca="1" si="3019">IF(AND(U2040&lt;1,V2014=0),0,
IF(V2014=0,U2040-1,
IF(U2040&lt;1,V2015,
(((U2040-1)*(U2016-(U2016/(U2040))))+((V2014/V$10)*V2015))/(V2016))))</f>
        <v>0</v>
      </c>
      <c r="W2040" s="1423">
        <f t="shared" ref="W2040" ca="1" si="3020">IF(AND(V2040&lt;1,W2014=0),0,
IF(W2014=0,V2040-1,
IF(V2040&lt;1,W2015,
(((V2040-1)*(V2016-(V2016/(V2040))))+((W2014/W$10)*W2015))/(W2016))))</f>
        <v>0</v>
      </c>
      <c r="X2040" s="152"/>
      <c r="Y2040" s="152"/>
      <c r="Z2040" s="152"/>
      <c r="AA2040" s="152"/>
      <c r="AB2040" s="152"/>
    </row>
    <row r="2041" spans="1:28" hidden="1" outlineLevel="1">
      <c r="A2041" s="152"/>
      <c r="B2041" s="190" t="s">
        <v>122</v>
      </c>
      <c r="C2041" s="1423">
        <f ca="1">C2013</f>
        <v>0</v>
      </c>
      <c r="D2041" s="1423">
        <f t="shared" ref="D2041" ca="1" si="3021">IF(C2041="n/a","n/a",MAX(0,C2041-1))</f>
        <v>0</v>
      </c>
      <c r="E2041" s="1423">
        <f t="shared" ref="E2041:E2042" ca="1" si="3022">IF(D2041="n/a","n/a",MAX(0,D2041-1))</f>
        <v>0</v>
      </c>
      <c r="F2041" s="1423">
        <f t="shared" ref="F2041:F2043" ca="1" si="3023">IF(E2041="n/a","n/a",MAX(0,E2041-1))</f>
        <v>0</v>
      </c>
      <c r="G2041" s="1423">
        <f t="shared" ref="G2041:G2044" ca="1" si="3024">IF(F2041="n/a","n/a",MAX(0,F2041-1))</f>
        <v>0</v>
      </c>
      <c r="H2041" s="1423">
        <f t="shared" ref="H2041:H2045" ca="1" si="3025">IF(G2041="n/a","n/a",MAX(0,G2041-1))</f>
        <v>0</v>
      </c>
      <c r="I2041" s="1423">
        <f t="shared" ref="I2041:I2046" ca="1" si="3026">IF(H2041="n/a","n/a",MAX(0,H2041-1))</f>
        <v>0</v>
      </c>
      <c r="J2041" s="1423">
        <f t="shared" ref="J2041:J2047" ca="1" si="3027">IF(I2041="n/a","n/a",MAX(0,I2041-1))</f>
        <v>0</v>
      </c>
      <c r="K2041" s="1423">
        <f t="shared" ref="K2041:K2048" ca="1" si="3028">IF(J2041="n/a","n/a",MAX(0,J2041-1))</f>
        <v>0</v>
      </c>
      <c r="L2041" s="1423">
        <f t="shared" ref="L2041:L2049" ca="1" si="3029">IF(K2041="n/a","n/a",MAX(0,K2041-1))</f>
        <v>0</v>
      </c>
      <c r="M2041" s="1423">
        <f t="shared" ref="M2041:M2050" ca="1" si="3030">IF(L2041="n/a","n/a",MAX(0,L2041-1))</f>
        <v>0</v>
      </c>
      <c r="N2041" s="1423">
        <f t="shared" ref="N2041:N2051" ca="1" si="3031">IF(M2041="n/a","n/a",MAX(0,M2041-1))</f>
        <v>0</v>
      </c>
      <c r="O2041" s="1423">
        <f t="shared" ref="O2041:O2052" ca="1" si="3032">IF(N2041="n/a","n/a",MAX(0,N2041-1))</f>
        <v>0</v>
      </c>
      <c r="P2041" s="1423">
        <f t="shared" ref="P2041:P2053" ca="1" si="3033">IF(O2041="n/a","n/a",MAX(0,O2041-1))</f>
        <v>0</v>
      </c>
      <c r="Q2041" s="1423">
        <f t="shared" ref="Q2041:Q2054" ca="1" si="3034">IF(P2041="n/a","n/a",MAX(0,P2041-1))</f>
        <v>0</v>
      </c>
      <c r="R2041" s="1423">
        <f t="shared" ref="R2041:R2055" ca="1" si="3035">IF(Q2041="n/a","n/a",MAX(0,Q2041-1))</f>
        <v>0</v>
      </c>
      <c r="S2041" s="1423">
        <f t="shared" ref="S2041:S2056" ca="1" si="3036">IF(R2041="n/a","n/a",MAX(0,R2041-1))</f>
        <v>0</v>
      </c>
      <c r="T2041" s="1423">
        <f t="shared" ref="T2041:T2057" ca="1" si="3037">IF(S2041="n/a","n/a",MAX(0,S2041-1))</f>
        <v>0</v>
      </c>
      <c r="U2041" s="1423">
        <f t="shared" ref="U2041:U2058" ca="1" si="3038">IF(T2041="n/a","n/a",MAX(0,T2041-1))</f>
        <v>0</v>
      </c>
      <c r="V2041" s="1423">
        <f t="shared" ref="V2041:V2059" ca="1" si="3039">IF(U2041="n/a","n/a",MAX(0,U2041-1))</f>
        <v>0</v>
      </c>
      <c r="W2041" s="1423">
        <f t="shared" ref="W2041:W2059" ca="1" si="3040">IF(V2041="n/a","n/a",MAX(0,V2041-1))</f>
        <v>0</v>
      </c>
      <c r="X2041" s="152"/>
      <c r="Y2041" s="152"/>
      <c r="Z2041" s="152"/>
      <c r="AA2041" s="152"/>
      <c r="AB2041" s="152"/>
    </row>
    <row r="2042" spans="1:28" hidden="1" outlineLevel="1">
      <c r="A2042" s="152"/>
      <c r="B2042" s="190" t="str">
        <f t="shared" ref="B2042:B2061" ca="1" si="3041">"RL Capex "&amp;OFFSET($C$6,0,A2018)</f>
        <v>RL Capex 2016-17</v>
      </c>
      <c r="C2042" s="1424"/>
      <c r="D2042" s="1428">
        <f>D2013</f>
        <v>0</v>
      </c>
      <c r="E2042" s="1423">
        <f t="shared" si="3022"/>
        <v>0</v>
      </c>
      <c r="F2042" s="1423">
        <f t="shared" si="3023"/>
        <v>0</v>
      </c>
      <c r="G2042" s="1423">
        <f t="shared" si="3024"/>
        <v>0</v>
      </c>
      <c r="H2042" s="1423">
        <f t="shared" si="3025"/>
        <v>0</v>
      </c>
      <c r="I2042" s="1423">
        <f t="shared" si="3026"/>
        <v>0</v>
      </c>
      <c r="J2042" s="1423">
        <f t="shared" si="3027"/>
        <v>0</v>
      </c>
      <c r="K2042" s="1423">
        <f t="shared" si="3028"/>
        <v>0</v>
      </c>
      <c r="L2042" s="1423">
        <f t="shared" si="3029"/>
        <v>0</v>
      </c>
      <c r="M2042" s="1423">
        <f t="shared" si="3030"/>
        <v>0</v>
      </c>
      <c r="N2042" s="1423">
        <f t="shared" si="3031"/>
        <v>0</v>
      </c>
      <c r="O2042" s="1423">
        <f t="shared" si="3032"/>
        <v>0</v>
      </c>
      <c r="P2042" s="1423">
        <f t="shared" si="3033"/>
        <v>0</v>
      </c>
      <c r="Q2042" s="1423">
        <f t="shared" si="3034"/>
        <v>0</v>
      </c>
      <c r="R2042" s="1423">
        <f t="shared" si="3035"/>
        <v>0</v>
      </c>
      <c r="S2042" s="1423">
        <f t="shared" si="3036"/>
        <v>0</v>
      </c>
      <c r="T2042" s="1423">
        <f t="shared" si="3037"/>
        <v>0</v>
      </c>
      <c r="U2042" s="1423">
        <f t="shared" si="3038"/>
        <v>0</v>
      </c>
      <c r="V2042" s="1423">
        <f t="shared" si="3039"/>
        <v>0</v>
      </c>
      <c r="W2042" s="1423">
        <f t="shared" si="3040"/>
        <v>0</v>
      </c>
      <c r="X2042" s="152"/>
      <c r="Y2042" s="152"/>
      <c r="Z2042" s="152"/>
      <c r="AA2042" s="152"/>
      <c r="AB2042" s="152"/>
    </row>
    <row r="2043" spans="1:28" hidden="1" outlineLevel="1">
      <c r="A2043" s="152"/>
      <c r="B2043" s="190" t="str">
        <f t="shared" ca="1" si="3041"/>
        <v>RL Capex 2017-18</v>
      </c>
      <c r="C2043" s="1429"/>
      <c r="D2043" s="1424"/>
      <c r="E2043" s="1428">
        <f>E2013</f>
        <v>0</v>
      </c>
      <c r="F2043" s="1423">
        <f t="shared" si="3023"/>
        <v>0</v>
      </c>
      <c r="G2043" s="1423">
        <f t="shared" si="3024"/>
        <v>0</v>
      </c>
      <c r="H2043" s="1423">
        <f t="shared" si="3025"/>
        <v>0</v>
      </c>
      <c r="I2043" s="1423">
        <f t="shared" si="3026"/>
        <v>0</v>
      </c>
      <c r="J2043" s="1423">
        <f t="shared" si="3027"/>
        <v>0</v>
      </c>
      <c r="K2043" s="1423">
        <f t="shared" si="3028"/>
        <v>0</v>
      </c>
      <c r="L2043" s="1423">
        <f t="shared" si="3029"/>
        <v>0</v>
      </c>
      <c r="M2043" s="1423">
        <f t="shared" si="3030"/>
        <v>0</v>
      </c>
      <c r="N2043" s="1423">
        <f t="shared" si="3031"/>
        <v>0</v>
      </c>
      <c r="O2043" s="1423">
        <f t="shared" si="3032"/>
        <v>0</v>
      </c>
      <c r="P2043" s="1423">
        <f t="shared" si="3033"/>
        <v>0</v>
      </c>
      <c r="Q2043" s="1423">
        <f t="shared" si="3034"/>
        <v>0</v>
      </c>
      <c r="R2043" s="1423">
        <f t="shared" si="3035"/>
        <v>0</v>
      </c>
      <c r="S2043" s="1423">
        <f t="shared" si="3036"/>
        <v>0</v>
      </c>
      <c r="T2043" s="1423">
        <f t="shared" si="3037"/>
        <v>0</v>
      </c>
      <c r="U2043" s="1423">
        <f t="shared" si="3038"/>
        <v>0</v>
      </c>
      <c r="V2043" s="1423">
        <f t="shared" si="3039"/>
        <v>0</v>
      </c>
      <c r="W2043" s="1423">
        <f t="shared" si="3040"/>
        <v>0</v>
      </c>
      <c r="X2043" s="152"/>
      <c r="Y2043" s="152"/>
      <c r="Z2043" s="152"/>
      <c r="AA2043" s="152"/>
      <c r="AB2043" s="152"/>
    </row>
    <row r="2044" spans="1:28" hidden="1" outlineLevel="1">
      <c r="A2044" s="152"/>
      <c r="B2044" s="190" t="str">
        <f t="shared" ca="1" si="3041"/>
        <v>RL Capex 2018-19</v>
      </c>
      <c r="C2044" s="1429"/>
      <c r="D2044" s="1429"/>
      <c r="E2044" s="1424"/>
      <c r="F2044" s="1428">
        <f>F2013</f>
        <v>0</v>
      </c>
      <c r="G2044" s="1423">
        <f t="shared" si="3024"/>
        <v>0</v>
      </c>
      <c r="H2044" s="1423">
        <f t="shared" si="3025"/>
        <v>0</v>
      </c>
      <c r="I2044" s="1423">
        <f t="shared" si="3026"/>
        <v>0</v>
      </c>
      <c r="J2044" s="1423">
        <f t="shared" si="3027"/>
        <v>0</v>
      </c>
      <c r="K2044" s="1423">
        <f t="shared" si="3028"/>
        <v>0</v>
      </c>
      <c r="L2044" s="1423">
        <f t="shared" si="3029"/>
        <v>0</v>
      </c>
      <c r="M2044" s="1423">
        <f t="shared" si="3030"/>
        <v>0</v>
      </c>
      <c r="N2044" s="1423">
        <f t="shared" si="3031"/>
        <v>0</v>
      </c>
      <c r="O2044" s="1423">
        <f t="shared" si="3032"/>
        <v>0</v>
      </c>
      <c r="P2044" s="1423">
        <f t="shared" si="3033"/>
        <v>0</v>
      </c>
      <c r="Q2044" s="1423">
        <f t="shared" si="3034"/>
        <v>0</v>
      </c>
      <c r="R2044" s="1423">
        <f t="shared" si="3035"/>
        <v>0</v>
      </c>
      <c r="S2044" s="1423">
        <f t="shared" si="3036"/>
        <v>0</v>
      </c>
      <c r="T2044" s="1423">
        <f t="shared" si="3037"/>
        <v>0</v>
      </c>
      <c r="U2044" s="1423">
        <f t="shared" si="3038"/>
        <v>0</v>
      </c>
      <c r="V2044" s="1423">
        <f t="shared" si="3039"/>
        <v>0</v>
      </c>
      <c r="W2044" s="1423">
        <f t="shared" si="3040"/>
        <v>0</v>
      </c>
      <c r="X2044" s="152"/>
      <c r="Y2044" s="152"/>
      <c r="Z2044" s="152"/>
      <c r="AA2044" s="152"/>
      <c r="AB2044" s="152"/>
    </row>
    <row r="2045" spans="1:28" hidden="1" outlineLevel="1">
      <c r="A2045" s="152"/>
      <c r="B2045" s="190" t="str">
        <f t="shared" ca="1" si="3041"/>
        <v>RL Capex 2019-20</v>
      </c>
      <c r="C2045" s="1429"/>
      <c r="D2045" s="1429"/>
      <c r="E2045" s="1429"/>
      <c r="F2045" s="1424"/>
      <c r="G2045" s="1428">
        <f>G2013</f>
        <v>0</v>
      </c>
      <c r="H2045" s="1423">
        <f t="shared" si="3025"/>
        <v>0</v>
      </c>
      <c r="I2045" s="1423">
        <f t="shared" si="3026"/>
        <v>0</v>
      </c>
      <c r="J2045" s="1423">
        <f t="shared" si="3027"/>
        <v>0</v>
      </c>
      <c r="K2045" s="1423">
        <f t="shared" si="3028"/>
        <v>0</v>
      </c>
      <c r="L2045" s="1423">
        <f t="shared" si="3029"/>
        <v>0</v>
      </c>
      <c r="M2045" s="1423">
        <f t="shared" si="3030"/>
        <v>0</v>
      </c>
      <c r="N2045" s="1423">
        <f t="shared" si="3031"/>
        <v>0</v>
      </c>
      <c r="O2045" s="1423">
        <f t="shared" si="3032"/>
        <v>0</v>
      </c>
      <c r="P2045" s="1423">
        <f t="shared" si="3033"/>
        <v>0</v>
      </c>
      <c r="Q2045" s="1423">
        <f t="shared" si="3034"/>
        <v>0</v>
      </c>
      <c r="R2045" s="1423">
        <f t="shared" si="3035"/>
        <v>0</v>
      </c>
      <c r="S2045" s="1423">
        <f t="shared" si="3036"/>
        <v>0</v>
      </c>
      <c r="T2045" s="1423">
        <f t="shared" si="3037"/>
        <v>0</v>
      </c>
      <c r="U2045" s="1423">
        <f t="shared" si="3038"/>
        <v>0</v>
      </c>
      <c r="V2045" s="1423">
        <f t="shared" si="3039"/>
        <v>0</v>
      </c>
      <c r="W2045" s="1423">
        <f t="shared" si="3040"/>
        <v>0</v>
      </c>
      <c r="X2045" s="152"/>
      <c r="Y2045" s="152"/>
      <c r="Z2045" s="152"/>
      <c r="AA2045" s="152"/>
      <c r="AB2045" s="152"/>
    </row>
    <row r="2046" spans="1:28" hidden="1" outlineLevel="1">
      <c r="A2046" s="152"/>
      <c r="B2046" s="190" t="str">
        <f t="shared" ca="1" si="3041"/>
        <v>RL Capex 2020-21</v>
      </c>
      <c r="C2046" s="1429"/>
      <c r="D2046" s="1429"/>
      <c r="E2046" s="1429"/>
      <c r="F2046" s="1429"/>
      <c r="G2046" s="1424"/>
      <c r="H2046" s="1428">
        <f>H2013</f>
        <v>0</v>
      </c>
      <c r="I2046" s="1423">
        <f t="shared" si="3026"/>
        <v>0</v>
      </c>
      <c r="J2046" s="1423">
        <f t="shared" si="3027"/>
        <v>0</v>
      </c>
      <c r="K2046" s="1423">
        <f t="shared" si="3028"/>
        <v>0</v>
      </c>
      <c r="L2046" s="1423">
        <f t="shared" si="3029"/>
        <v>0</v>
      </c>
      <c r="M2046" s="1423">
        <f t="shared" si="3030"/>
        <v>0</v>
      </c>
      <c r="N2046" s="1423">
        <f t="shared" si="3031"/>
        <v>0</v>
      </c>
      <c r="O2046" s="1423">
        <f t="shared" si="3032"/>
        <v>0</v>
      </c>
      <c r="P2046" s="1423">
        <f t="shared" si="3033"/>
        <v>0</v>
      </c>
      <c r="Q2046" s="1423">
        <f t="shared" si="3034"/>
        <v>0</v>
      </c>
      <c r="R2046" s="1423">
        <f t="shared" si="3035"/>
        <v>0</v>
      </c>
      <c r="S2046" s="1423">
        <f t="shared" si="3036"/>
        <v>0</v>
      </c>
      <c r="T2046" s="1423">
        <f t="shared" si="3037"/>
        <v>0</v>
      </c>
      <c r="U2046" s="1423">
        <f t="shared" si="3038"/>
        <v>0</v>
      </c>
      <c r="V2046" s="1423">
        <f t="shared" si="3039"/>
        <v>0</v>
      </c>
      <c r="W2046" s="1423">
        <f t="shared" si="3040"/>
        <v>0</v>
      </c>
      <c r="X2046" s="152"/>
      <c r="Y2046" s="152"/>
      <c r="Z2046" s="152"/>
      <c r="AA2046" s="152"/>
      <c r="AB2046" s="152"/>
    </row>
    <row r="2047" spans="1:28" hidden="1" outlineLevel="1">
      <c r="A2047" s="152"/>
      <c r="B2047" s="190" t="str">
        <f t="shared" ca="1" si="3041"/>
        <v>RL Capex 2021-22</v>
      </c>
      <c r="C2047" s="1429"/>
      <c r="D2047" s="1429"/>
      <c r="E2047" s="1429"/>
      <c r="F2047" s="1429"/>
      <c r="G2047" s="1429"/>
      <c r="H2047" s="1424"/>
      <c r="I2047" s="1428">
        <f>I2013</f>
        <v>0</v>
      </c>
      <c r="J2047" s="1423">
        <f t="shared" si="3027"/>
        <v>0</v>
      </c>
      <c r="K2047" s="1423">
        <f t="shared" si="3028"/>
        <v>0</v>
      </c>
      <c r="L2047" s="1423">
        <f t="shared" si="3029"/>
        <v>0</v>
      </c>
      <c r="M2047" s="1423">
        <f t="shared" si="3030"/>
        <v>0</v>
      </c>
      <c r="N2047" s="1423">
        <f t="shared" si="3031"/>
        <v>0</v>
      </c>
      <c r="O2047" s="1423">
        <f t="shared" si="3032"/>
        <v>0</v>
      </c>
      <c r="P2047" s="1423">
        <f t="shared" si="3033"/>
        <v>0</v>
      </c>
      <c r="Q2047" s="1423">
        <f t="shared" si="3034"/>
        <v>0</v>
      </c>
      <c r="R2047" s="1423">
        <f t="shared" si="3035"/>
        <v>0</v>
      </c>
      <c r="S2047" s="1423">
        <f t="shared" si="3036"/>
        <v>0</v>
      </c>
      <c r="T2047" s="1423">
        <f t="shared" si="3037"/>
        <v>0</v>
      </c>
      <c r="U2047" s="1423">
        <f t="shared" si="3038"/>
        <v>0</v>
      </c>
      <c r="V2047" s="1423">
        <f t="shared" si="3039"/>
        <v>0</v>
      </c>
      <c r="W2047" s="1423">
        <f t="shared" si="3040"/>
        <v>0</v>
      </c>
      <c r="X2047" s="152"/>
      <c r="Y2047" s="152"/>
      <c r="Z2047" s="152"/>
      <c r="AA2047" s="152"/>
      <c r="AB2047" s="152"/>
    </row>
    <row r="2048" spans="1:28" hidden="1" outlineLevel="1">
      <c r="A2048" s="152"/>
      <c r="B2048" s="190" t="str">
        <f t="shared" ca="1" si="3041"/>
        <v>RL Capex 2022-23</v>
      </c>
      <c r="C2048" s="1429"/>
      <c r="D2048" s="1429"/>
      <c r="E2048" s="1429"/>
      <c r="F2048" s="1429"/>
      <c r="G2048" s="1429"/>
      <c r="H2048" s="1429"/>
      <c r="I2048" s="1424"/>
      <c r="J2048" s="1428">
        <f>J2013</f>
        <v>0</v>
      </c>
      <c r="K2048" s="1423">
        <f t="shared" si="3028"/>
        <v>0</v>
      </c>
      <c r="L2048" s="1423">
        <f t="shared" si="3029"/>
        <v>0</v>
      </c>
      <c r="M2048" s="1423">
        <f t="shared" si="3030"/>
        <v>0</v>
      </c>
      <c r="N2048" s="1423">
        <f t="shared" si="3031"/>
        <v>0</v>
      </c>
      <c r="O2048" s="1423">
        <f t="shared" si="3032"/>
        <v>0</v>
      </c>
      <c r="P2048" s="1423">
        <f t="shared" si="3033"/>
        <v>0</v>
      </c>
      <c r="Q2048" s="1423">
        <f t="shared" si="3034"/>
        <v>0</v>
      </c>
      <c r="R2048" s="1423">
        <f t="shared" si="3035"/>
        <v>0</v>
      </c>
      <c r="S2048" s="1423">
        <f t="shared" si="3036"/>
        <v>0</v>
      </c>
      <c r="T2048" s="1423">
        <f t="shared" si="3037"/>
        <v>0</v>
      </c>
      <c r="U2048" s="1423">
        <f t="shared" si="3038"/>
        <v>0</v>
      </c>
      <c r="V2048" s="1423">
        <f t="shared" si="3039"/>
        <v>0</v>
      </c>
      <c r="W2048" s="1423">
        <f t="shared" si="3040"/>
        <v>0</v>
      </c>
      <c r="X2048" s="152"/>
      <c r="Y2048" s="152"/>
      <c r="Z2048" s="152"/>
      <c r="AA2048" s="152"/>
      <c r="AB2048" s="152"/>
    </row>
    <row r="2049" spans="1:28" hidden="1" outlineLevel="1">
      <c r="A2049" s="152"/>
      <c r="B2049" s="190" t="str">
        <f t="shared" ca="1" si="3041"/>
        <v>RL Capex 2023-24</v>
      </c>
      <c r="C2049" s="1429"/>
      <c r="D2049" s="1429"/>
      <c r="E2049" s="1429"/>
      <c r="F2049" s="1429"/>
      <c r="G2049" s="1429"/>
      <c r="H2049" s="1429"/>
      <c r="I2049" s="1429"/>
      <c r="J2049" s="1424"/>
      <c r="K2049" s="1428">
        <f>K2013</f>
        <v>0</v>
      </c>
      <c r="L2049" s="1423">
        <f t="shared" si="3029"/>
        <v>0</v>
      </c>
      <c r="M2049" s="1423">
        <f t="shared" si="3030"/>
        <v>0</v>
      </c>
      <c r="N2049" s="1423">
        <f t="shared" si="3031"/>
        <v>0</v>
      </c>
      <c r="O2049" s="1423">
        <f t="shared" si="3032"/>
        <v>0</v>
      </c>
      <c r="P2049" s="1423">
        <f t="shared" si="3033"/>
        <v>0</v>
      </c>
      <c r="Q2049" s="1423">
        <f t="shared" si="3034"/>
        <v>0</v>
      </c>
      <c r="R2049" s="1423">
        <f t="shared" si="3035"/>
        <v>0</v>
      </c>
      <c r="S2049" s="1423">
        <f t="shared" si="3036"/>
        <v>0</v>
      </c>
      <c r="T2049" s="1423">
        <f t="shared" si="3037"/>
        <v>0</v>
      </c>
      <c r="U2049" s="1423">
        <f t="shared" si="3038"/>
        <v>0</v>
      </c>
      <c r="V2049" s="1423">
        <f t="shared" si="3039"/>
        <v>0</v>
      </c>
      <c r="W2049" s="1423">
        <f t="shared" si="3040"/>
        <v>0</v>
      </c>
      <c r="X2049" s="152"/>
      <c r="Y2049" s="152"/>
      <c r="Z2049" s="152"/>
      <c r="AA2049" s="152"/>
      <c r="AB2049" s="152"/>
    </row>
    <row r="2050" spans="1:28" hidden="1" outlineLevel="1">
      <c r="A2050" s="152"/>
      <c r="B2050" s="190" t="str">
        <f t="shared" ca="1" si="3041"/>
        <v>RL Capex 2024-25</v>
      </c>
      <c r="C2050" s="1429"/>
      <c r="D2050" s="1429"/>
      <c r="E2050" s="1429"/>
      <c r="F2050" s="1429"/>
      <c r="G2050" s="1429"/>
      <c r="H2050" s="1429"/>
      <c r="I2050" s="1429"/>
      <c r="J2050" s="1429"/>
      <c r="K2050" s="1424"/>
      <c r="L2050" s="1428">
        <f>L2013</f>
        <v>0</v>
      </c>
      <c r="M2050" s="1423">
        <f t="shared" si="3030"/>
        <v>0</v>
      </c>
      <c r="N2050" s="1423">
        <f t="shared" si="3031"/>
        <v>0</v>
      </c>
      <c r="O2050" s="1423">
        <f t="shared" si="3032"/>
        <v>0</v>
      </c>
      <c r="P2050" s="1423">
        <f t="shared" si="3033"/>
        <v>0</v>
      </c>
      <c r="Q2050" s="1423">
        <f t="shared" si="3034"/>
        <v>0</v>
      </c>
      <c r="R2050" s="1423">
        <f t="shared" si="3035"/>
        <v>0</v>
      </c>
      <c r="S2050" s="1423">
        <f t="shared" si="3036"/>
        <v>0</v>
      </c>
      <c r="T2050" s="1423">
        <f t="shared" si="3037"/>
        <v>0</v>
      </c>
      <c r="U2050" s="1423">
        <f t="shared" si="3038"/>
        <v>0</v>
      </c>
      <c r="V2050" s="1423">
        <f t="shared" si="3039"/>
        <v>0</v>
      </c>
      <c r="W2050" s="1423">
        <f t="shared" si="3040"/>
        <v>0</v>
      </c>
      <c r="X2050" s="152"/>
      <c r="Y2050" s="152"/>
      <c r="Z2050" s="152"/>
      <c r="AA2050" s="152"/>
      <c r="AB2050" s="152"/>
    </row>
    <row r="2051" spans="1:28" hidden="1" outlineLevel="1">
      <c r="A2051" s="152"/>
      <c r="B2051" s="190" t="str">
        <f t="shared" ca="1" si="3041"/>
        <v>RL Capex 2025-26</v>
      </c>
      <c r="C2051" s="1429"/>
      <c r="D2051" s="1429"/>
      <c r="E2051" s="1429"/>
      <c r="F2051" s="1429"/>
      <c r="G2051" s="1429"/>
      <c r="H2051" s="1429"/>
      <c r="I2051" s="1429"/>
      <c r="J2051" s="1429"/>
      <c r="K2051" s="1429"/>
      <c r="L2051" s="1424"/>
      <c r="M2051" s="1428">
        <f>M2013</f>
        <v>0</v>
      </c>
      <c r="N2051" s="1423">
        <f t="shared" si="3031"/>
        <v>0</v>
      </c>
      <c r="O2051" s="1423">
        <f t="shared" si="3032"/>
        <v>0</v>
      </c>
      <c r="P2051" s="1423">
        <f t="shared" si="3033"/>
        <v>0</v>
      </c>
      <c r="Q2051" s="1423">
        <f t="shared" si="3034"/>
        <v>0</v>
      </c>
      <c r="R2051" s="1423">
        <f t="shared" si="3035"/>
        <v>0</v>
      </c>
      <c r="S2051" s="1423">
        <f t="shared" si="3036"/>
        <v>0</v>
      </c>
      <c r="T2051" s="1423">
        <f t="shared" si="3037"/>
        <v>0</v>
      </c>
      <c r="U2051" s="1423">
        <f t="shared" si="3038"/>
        <v>0</v>
      </c>
      <c r="V2051" s="1423">
        <f t="shared" si="3039"/>
        <v>0</v>
      </c>
      <c r="W2051" s="1423">
        <f t="shared" si="3040"/>
        <v>0</v>
      </c>
      <c r="X2051" s="152"/>
      <c r="Y2051" s="152"/>
      <c r="Z2051" s="152"/>
      <c r="AA2051" s="152"/>
      <c r="AB2051" s="152"/>
    </row>
    <row r="2052" spans="1:28" hidden="1" outlineLevel="1">
      <c r="A2052" s="152"/>
      <c r="B2052" s="190" t="str">
        <f t="shared" ca="1" si="3041"/>
        <v>RL Capex 2026-27</v>
      </c>
      <c r="C2052" s="1429"/>
      <c r="D2052" s="1429"/>
      <c r="E2052" s="1429"/>
      <c r="F2052" s="1429"/>
      <c r="G2052" s="1429"/>
      <c r="H2052" s="1429"/>
      <c r="I2052" s="1429"/>
      <c r="J2052" s="1429"/>
      <c r="K2052" s="1429"/>
      <c r="L2052" s="1429"/>
      <c r="M2052" s="1424"/>
      <c r="N2052" s="1428">
        <f>N2013</f>
        <v>0</v>
      </c>
      <c r="O2052" s="1423">
        <f t="shared" si="3032"/>
        <v>0</v>
      </c>
      <c r="P2052" s="1423">
        <f t="shared" si="3033"/>
        <v>0</v>
      </c>
      <c r="Q2052" s="1423">
        <f t="shared" si="3034"/>
        <v>0</v>
      </c>
      <c r="R2052" s="1423">
        <f t="shared" si="3035"/>
        <v>0</v>
      </c>
      <c r="S2052" s="1423">
        <f t="shared" si="3036"/>
        <v>0</v>
      </c>
      <c r="T2052" s="1423">
        <f t="shared" si="3037"/>
        <v>0</v>
      </c>
      <c r="U2052" s="1423">
        <f t="shared" si="3038"/>
        <v>0</v>
      </c>
      <c r="V2052" s="1423">
        <f t="shared" si="3039"/>
        <v>0</v>
      </c>
      <c r="W2052" s="1423">
        <f t="shared" si="3040"/>
        <v>0</v>
      </c>
      <c r="X2052" s="152"/>
      <c r="Y2052" s="152"/>
      <c r="Z2052" s="152"/>
      <c r="AA2052" s="152"/>
      <c r="AB2052" s="152"/>
    </row>
    <row r="2053" spans="1:28" hidden="1" outlineLevel="1">
      <c r="A2053" s="152"/>
      <c r="B2053" s="190" t="str">
        <f t="shared" ca="1" si="3041"/>
        <v>RL Capex 2027-28</v>
      </c>
      <c r="C2053" s="1429"/>
      <c r="D2053" s="1429"/>
      <c r="E2053" s="1429"/>
      <c r="F2053" s="1429"/>
      <c r="G2053" s="1429"/>
      <c r="H2053" s="1429"/>
      <c r="I2053" s="1429"/>
      <c r="J2053" s="1429"/>
      <c r="K2053" s="1429"/>
      <c r="L2053" s="1429"/>
      <c r="M2053" s="1429"/>
      <c r="N2053" s="1424"/>
      <c r="O2053" s="1428">
        <f>O2013</f>
        <v>0</v>
      </c>
      <c r="P2053" s="1423">
        <f t="shared" si="3033"/>
        <v>0</v>
      </c>
      <c r="Q2053" s="1423">
        <f t="shared" si="3034"/>
        <v>0</v>
      </c>
      <c r="R2053" s="1423">
        <f t="shared" si="3035"/>
        <v>0</v>
      </c>
      <c r="S2053" s="1423">
        <f t="shared" si="3036"/>
        <v>0</v>
      </c>
      <c r="T2053" s="1423">
        <f t="shared" si="3037"/>
        <v>0</v>
      </c>
      <c r="U2053" s="1423">
        <f t="shared" si="3038"/>
        <v>0</v>
      </c>
      <c r="V2053" s="1423">
        <f t="shared" si="3039"/>
        <v>0</v>
      </c>
      <c r="W2053" s="1423">
        <f t="shared" si="3040"/>
        <v>0</v>
      </c>
      <c r="X2053" s="152"/>
      <c r="Y2053" s="152"/>
      <c r="Z2053" s="152"/>
      <c r="AA2053" s="152"/>
      <c r="AB2053" s="152"/>
    </row>
    <row r="2054" spans="1:28" hidden="1" outlineLevel="1">
      <c r="A2054" s="152"/>
      <c r="B2054" s="190" t="str">
        <f t="shared" ca="1" si="3041"/>
        <v>RL Capex 2028-29</v>
      </c>
      <c r="C2054" s="1429"/>
      <c r="D2054" s="1429"/>
      <c r="E2054" s="1429"/>
      <c r="F2054" s="1429"/>
      <c r="G2054" s="1429"/>
      <c r="H2054" s="1429"/>
      <c r="I2054" s="1429"/>
      <c r="J2054" s="1429"/>
      <c r="K2054" s="1429"/>
      <c r="L2054" s="1429"/>
      <c r="M2054" s="1429"/>
      <c r="N2054" s="1429"/>
      <c r="O2054" s="1424"/>
      <c r="P2054" s="1428">
        <f>P2013</f>
        <v>0</v>
      </c>
      <c r="Q2054" s="1423">
        <f t="shared" si="3034"/>
        <v>0</v>
      </c>
      <c r="R2054" s="1423">
        <f t="shared" si="3035"/>
        <v>0</v>
      </c>
      <c r="S2054" s="1423">
        <f t="shared" si="3036"/>
        <v>0</v>
      </c>
      <c r="T2054" s="1423">
        <f t="shared" si="3037"/>
        <v>0</v>
      </c>
      <c r="U2054" s="1423">
        <f t="shared" si="3038"/>
        <v>0</v>
      </c>
      <c r="V2054" s="1423">
        <f t="shared" si="3039"/>
        <v>0</v>
      </c>
      <c r="W2054" s="1423">
        <f t="shared" si="3040"/>
        <v>0</v>
      </c>
      <c r="X2054" s="152"/>
      <c r="Y2054" s="152"/>
      <c r="Z2054" s="152"/>
      <c r="AA2054" s="152"/>
      <c r="AB2054" s="152"/>
    </row>
    <row r="2055" spans="1:28" hidden="1" outlineLevel="1">
      <c r="A2055" s="152"/>
      <c r="B2055" s="190" t="str">
        <f t="shared" ca="1" si="3041"/>
        <v>RL Capex 2029-30</v>
      </c>
      <c r="C2055" s="1429"/>
      <c r="D2055" s="1429"/>
      <c r="E2055" s="1429"/>
      <c r="F2055" s="1429"/>
      <c r="G2055" s="1429"/>
      <c r="H2055" s="1429"/>
      <c r="I2055" s="1429"/>
      <c r="J2055" s="1429"/>
      <c r="K2055" s="1429"/>
      <c r="L2055" s="1429"/>
      <c r="M2055" s="1429"/>
      <c r="N2055" s="1429"/>
      <c r="O2055" s="1429"/>
      <c r="P2055" s="1424"/>
      <c r="Q2055" s="1428">
        <f>Q2013</f>
        <v>0</v>
      </c>
      <c r="R2055" s="1423">
        <f t="shared" si="3035"/>
        <v>0</v>
      </c>
      <c r="S2055" s="1423">
        <f t="shared" si="3036"/>
        <v>0</v>
      </c>
      <c r="T2055" s="1423">
        <f t="shared" si="3037"/>
        <v>0</v>
      </c>
      <c r="U2055" s="1423">
        <f t="shared" si="3038"/>
        <v>0</v>
      </c>
      <c r="V2055" s="1423">
        <f t="shared" si="3039"/>
        <v>0</v>
      </c>
      <c r="W2055" s="1423">
        <f t="shared" si="3040"/>
        <v>0</v>
      </c>
      <c r="X2055" s="152"/>
      <c r="Y2055" s="152"/>
      <c r="Z2055" s="152"/>
      <c r="AA2055" s="152"/>
      <c r="AB2055" s="152"/>
    </row>
    <row r="2056" spans="1:28" hidden="1" outlineLevel="1">
      <c r="A2056" s="152"/>
      <c r="B2056" s="190" t="str">
        <f t="shared" ca="1" si="3041"/>
        <v>RL Capex 2030-31</v>
      </c>
      <c r="C2056" s="1429"/>
      <c r="D2056" s="1429"/>
      <c r="E2056" s="1429"/>
      <c r="F2056" s="1429"/>
      <c r="G2056" s="1429"/>
      <c r="H2056" s="1429"/>
      <c r="I2056" s="1429"/>
      <c r="J2056" s="1429"/>
      <c r="K2056" s="1429"/>
      <c r="L2056" s="1429"/>
      <c r="M2056" s="1429"/>
      <c r="N2056" s="1429"/>
      <c r="O2056" s="1429"/>
      <c r="P2056" s="1429"/>
      <c r="Q2056" s="1424"/>
      <c r="R2056" s="1428">
        <f>R2013</f>
        <v>0</v>
      </c>
      <c r="S2056" s="1423">
        <f t="shared" si="3036"/>
        <v>0</v>
      </c>
      <c r="T2056" s="1423">
        <f t="shared" si="3037"/>
        <v>0</v>
      </c>
      <c r="U2056" s="1423">
        <f t="shared" si="3038"/>
        <v>0</v>
      </c>
      <c r="V2056" s="1423">
        <f t="shared" si="3039"/>
        <v>0</v>
      </c>
      <c r="W2056" s="1423">
        <f t="shared" si="3040"/>
        <v>0</v>
      </c>
      <c r="X2056" s="152"/>
      <c r="Y2056" s="152"/>
      <c r="Z2056" s="152"/>
      <c r="AA2056" s="152"/>
      <c r="AB2056" s="152"/>
    </row>
    <row r="2057" spans="1:28" hidden="1" outlineLevel="1">
      <c r="A2057" s="152"/>
      <c r="B2057" s="190" t="str">
        <f t="shared" ca="1" si="3041"/>
        <v>RL Capex 2031-32</v>
      </c>
      <c r="C2057" s="1429"/>
      <c r="D2057" s="1429"/>
      <c r="E2057" s="1429"/>
      <c r="F2057" s="1429"/>
      <c r="G2057" s="1429"/>
      <c r="H2057" s="1429"/>
      <c r="I2057" s="1429"/>
      <c r="J2057" s="1429"/>
      <c r="K2057" s="1429"/>
      <c r="L2057" s="1429"/>
      <c r="M2057" s="1429"/>
      <c r="N2057" s="1429"/>
      <c r="O2057" s="1429"/>
      <c r="P2057" s="1429"/>
      <c r="Q2057" s="1429"/>
      <c r="R2057" s="1424"/>
      <c r="S2057" s="1428">
        <f>S2013</f>
        <v>0</v>
      </c>
      <c r="T2057" s="1423">
        <f t="shared" si="3037"/>
        <v>0</v>
      </c>
      <c r="U2057" s="1423">
        <f t="shared" si="3038"/>
        <v>0</v>
      </c>
      <c r="V2057" s="1423">
        <f t="shared" si="3039"/>
        <v>0</v>
      </c>
      <c r="W2057" s="1423">
        <f t="shared" si="3040"/>
        <v>0</v>
      </c>
      <c r="X2057" s="152"/>
      <c r="Y2057" s="152"/>
      <c r="Z2057" s="152"/>
      <c r="AA2057" s="152"/>
      <c r="AB2057" s="152"/>
    </row>
    <row r="2058" spans="1:28" hidden="1" outlineLevel="1">
      <c r="A2058" s="152"/>
      <c r="B2058" s="190" t="str">
        <f t="shared" ca="1" si="3041"/>
        <v>RL Capex 2032-33</v>
      </c>
      <c r="C2058" s="1429"/>
      <c r="D2058" s="1429"/>
      <c r="E2058" s="1429"/>
      <c r="F2058" s="1429"/>
      <c r="G2058" s="1429"/>
      <c r="H2058" s="1429"/>
      <c r="I2058" s="1429"/>
      <c r="J2058" s="1429"/>
      <c r="K2058" s="1429"/>
      <c r="L2058" s="1429"/>
      <c r="M2058" s="1429"/>
      <c r="N2058" s="1429"/>
      <c r="O2058" s="1429"/>
      <c r="P2058" s="1429"/>
      <c r="Q2058" s="1429"/>
      <c r="R2058" s="1429"/>
      <c r="S2058" s="1424"/>
      <c r="T2058" s="1428">
        <f>T2013</f>
        <v>0</v>
      </c>
      <c r="U2058" s="1423">
        <f t="shared" si="3038"/>
        <v>0</v>
      </c>
      <c r="V2058" s="1423">
        <f t="shared" si="3039"/>
        <v>0</v>
      </c>
      <c r="W2058" s="1423">
        <f t="shared" si="3040"/>
        <v>0</v>
      </c>
      <c r="X2058" s="152"/>
      <c r="Y2058" s="152"/>
      <c r="Z2058" s="152"/>
      <c r="AA2058" s="152"/>
      <c r="AB2058" s="152"/>
    </row>
    <row r="2059" spans="1:28" hidden="1" outlineLevel="1">
      <c r="A2059" s="152"/>
      <c r="B2059" s="190" t="str">
        <f t="shared" ca="1" si="3041"/>
        <v>RL Capex 2033-34</v>
      </c>
      <c r="C2059" s="1429"/>
      <c r="D2059" s="1429"/>
      <c r="E2059" s="1429"/>
      <c r="F2059" s="1429"/>
      <c r="G2059" s="1429"/>
      <c r="H2059" s="1429"/>
      <c r="I2059" s="1429"/>
      <c r="J2059" s="1429"/>
      <c r="K2059" s="1429"/>
      <c r="L2059" s="1429"/>
      <c r="M2059" s="1429"/>
      <c r="N2059" s="1429"/>
      <c r="O2059" s="1429"/>
      <c r="P2059" s="1429"/>
      <c r="Q2059" s="1429"/>
      <c r="R2059" s="1429"/>
      <c r="S2059" s="1429"/>
      <c r="T2059" s="1424"/>
      <c r="U2059" s="1428">
        <f>U2013</f>
        <v>0</v>
      </c>
      <c r="V2059" s="1423">
        <f t="shared" si="3039"/>
        <v>0</v>
      </c>
      <c r="W2059" s="1423">
        <f t="shared" si="3040"/>
        <v>0</v>
      </c>
      <c r="X2059" s="152"/>
      <c r="Y2059" s="152"/>
      <c r="Z2059" s="152"/>
      <c r="AA2059" s="152"/>
      <c r="AB2059" s="152"/>
    </row>
    <row r="2060" spans="1:28" hidden="1" outlineLevel="1">
      <c r="A2060" s="152"/>
      <c r="B2060" s="190" t="str">
        <f t="shared" ca="1" si="3041"/>
        <v>RL Capex 2034-35</v>
      </c>
      <c r="C2060" s="1429"/>
      <c r="D2060" s="1429"/>
      <c r="E2060" s="1429"/>
      <c r="F2060" s="1429"/>
      <c r="G2060" s="1429"/>
      <c r="H2060" s="1429"/>
      <c r="I2060" s="1429"/>
      <c r="J2060" s="1429"/>
      <c r="K2060" s="1429"/>
      <c r="L2060" s="1429"/>
      <c r="M2060" s="1429"/>
      <c r="N2060" s="1429"/>
      <c r="O2060" s="1429"/>
      <c r="P2060" s="1429"/>
      <c r="Q2060" s="1429"/>
      <c r="R2060" s="1429"/>
      <c r="S2060" s="1429"/>
      <c r="T2060" s="1429"/>
      <c r="U2060" s="1424"/>
      <c r="V2060" s="1428">
        <f>V2013</f>
        <v>0</v>
      </c>
      <c r="W2060" s="1423">
        <f>IF(V2060="n/a","n/a",MAX(0,V2060-1))</f>
        <v>0</v>
      </c>
      <c r="X2060" s="152"/>
      <c r="Y2060" s="152"/>
      <c r="Z2060" s="152"/>
      <c r="AA2060" s="152"/>
      <c r="AB2060" s="152"/>
    </row>
    <row r="2061" spans="1:28" hidden="1" outlineLevel="1">
      <c r="A2061" s="152"/>
      <c r="B2061" s="190" t="str">
        <f t="shared" ca="1" si="3041"/>
        <v>RL Capex 2035-36</v>
      </c>
      <c r="C2061" s="1429"/>
      <c r="D2061" s="1429"/>
      <c r="E2061" s="1429"/>
      <c r="F2061" s="1429"/>
      <c r="G2061" s="1429"/>
      <c r="H2061" s="1429"/>
      <c r="I2061" s="1429"/>
      <c r="J2061" s="1429"/>
      <c r="K2061" s="1429"/>
      <c r="L2061" s="1429"/>
      <c r="M2061" s="1429"/>
      <c r="N2061" s="1429"/>
      <c r="O2061" s="1429"/>
      <c r="P2061" s="1429"/>
      <c r="Q2061" s="1429"/>
      <c r="R2061" s="1429"/>
      <c r="S2061" s="1429"/>
      <c r="T2061" s="1429"/>
      <c r="U2061" s="1429"/>
      <c r="V2061" s="1424"/>
      <c r="W2061" s="1423">
        <f>W2013</f>
        <v>0</v>
      </c>
      <c r="X2061" s="152"/>
      <c r="Y2061" s="152"/>
      <c r="Z2061" s="152"/>
      <c r="AA2061" s="152"/>
      <c r="AB2061" s="152"/>
    </row>
    <row r="2062" spans="1:28" hidden="1" outlineLevel="1">
      <c r="A2062" s="152"/>
      <c r="B2062" s="200"/>
      <c r="C2062" s="1423"/>
      <c r="D2062" s="1423"/>
      <c r="E2062" s="1423"/>
      <c r="F2062" s="1423"/>
      <c r="G2062" s="1423"/>
      <c r="H2062" s="1423"/>
      <c r="I2062" s="1423"/>
      <c r="J2062" s="1423"/>
      <c r="K2062" s="1423"/>
      <c r="L2062" s="1423"/>
      <c r="M2062" s="1423"/>
      <c r="N2062" s="1423"/>
      <c r="O2062" s="1423"/>
      <c r="P2062" s="1423"/>
      <c r="Q2062" s="1423"/>
      <c r="R2062" s="1423"/>
      <c r="S2062" s="1423"/>
      <c r="T2062" s="1423"/>
      <c r="U2062" s="1423"/>
      <c r="V2062" s="1423"/>
      <c r="W2062" s="1423"/>
      <c r="X2062" s="152"/>
      <c r="Y2062" s="152"/>
      <c r="Z2062" s="152"/>
      <c r="AA2062" s="152"/>
      <c r="AB2062" s="152"/>
    </row>
    <row r="2063" spans="1:28" collapsed="1">
      <c r="A2063" s="194"/>
      <c r="B2063" s="204" t="s">
        <v>123</v>
      </c>
      <c r="C2063" s="1430">
        <f ca="1">(IF(OR($C2013&lt;&gt;"n/a",C2013&lt;&gt;"n/a"),IF(SUM(C2016:C2038)=0,0,IF((SUMPRODUCT(C2016:C2038,C2040:C2062)/SUM(C2016:C2038))&lt;0,1,(SUMPRODUCT(C2016:C2038,C2040:C2062)/SUM(C2016:C2038)))),"n/a"))</f>
        <v>0</v>
      </c>
      <c r="D2063" s="1430">
        <f ca="1">(IF(OR($C2013&lt;&gt;"n/a",D2013&lt;&gt;"n/a"),IF(SUM(D2016:D2038)=0,0,IF((SUMPRODUCT(D2016:D2038,D2040:D2062)/SUM(D2016:D2038))&lt;0,1,(SUMPRODUCT(D2016:D2038,D2040:D2062)/SUM(D2016:D2038)))),"n/a"))</f>
        <v>0</v>
      </c>
      <c r="E2063" s="1430">
        <f t="shared" ref="E2063:W2063" ca="1" si="3042">(IF(OR($C2013&lt;&gt;"n/a",E2013&lt;&gt;"n/a"),IF(SUM(E2016:E2038)=0,0,IF((SUMPRODUCT(E2016:E2038,E2040:E2062)/SUM(E2016:E2038))&lt;0,1,(SUMPRODUCT(E2016:E2038,E2040:E2062)/SUM(E2016:E2038)))),"n/a"))</f>
        <v>0</v>
      </c>
      <c r="F2063" s="1430">
        <f t="shared" ca="1" si="3042"/>
        <v>0</v>
      </c>
      <c r="G2063" s="1430">
        <f t="shared" ca="1" si="3042"/>
        <v>0</v>
      </c>
      <c r="H2063" s="1430">
        <f t="shared" ca="1" si="3042"/>
        <v>0</v>
      </c>
      <c r="I2063" s="1430">
        <f t="shared" ca="1" si="3042"/>
        <v>0</v>
      </c>
      <c r="J2063" s="1430">
        <f t="shared" ca="1" si="3042"/>
        <v>0</v>
      </c>
      <c r="K2063" s="1430">
        <f t="shared" ca="1" si="3042"/>
        <v>0</v>
      </c>
      <c r="L2063" s="1430">
        <f t="shared" ca="1" si="3042"/>
        <v>0</v>
      </c>
      <c r="M2063" s="1430">
        <f t="shared" ca="1" si="3042"/>
        <v>0</v>
      </c>
      <c r="N2063" s="1430">
        <f t="shared" ca="1" si="3042"/>
        <v>0</v>
      </c>
      <c r="O2063" s="1430">
        <f t="shared" ca="1" si="3042"/>
        <v>0</v>
      </c>
      <c r="P2063" s="1430">
        <f t="shared" ca="1" si="3042"/>
        <v>0</v>
      </c>
      <c r="Q2063" s="1430">
        <f t="shared" ca="1" si="3042"/>
        <v>0</v>
      </c>
      <c r="R2063" s="1430">
        <f t="shared" ca="1" si="3042"/>
        <v>0</v>
      </c>
      <c r="S2063" s="1430">
        <f t="shared" ca="1" si="3042"/>
        <v>0</v>
      </c>
      <c r="T2063" s="1430">
        <f t="shared" ca="1" si="3042"/>
        <v>0</v>
      </c>
      <c r="U2063" s="1430">
        <f t="shared" ca="1" si="3042"/>
        <v>0</v>
      </c>
      <c r="V2063" s="1430">
        <f t="shared" ca="1" si="3042"/>
        <v>0</v>
      </c>
      <c r="W2063" s="1430">
        <f t="shared" ca="1" si="3042"/>
        <v>0</v>
      </c>
      <c r="X2063" s="152"/>
      <c r="Y2063" s="152"/>
      <c r="Z2063" s="152"/>
      <c r="AA2063" s="152"/>
      <c r="AB2063" s="152"/>
    </row>
    <row r="2064" spans="1:28">
      <c r="A2064" s="152"/>
      <c r="B2064" s="152"/>
      <c r="C2064" s="1423"/>
      <c r="D2064" s="1423"/>
      <c r="E2064" s="1423"/>
      <c r="F2064" s="1423"/>
      <c r="G2064" s="1423"/>
      <c r="H2064" s="1423"/>
      <c r="I2064" s="1423"/>
      <c r="J2064" s="1423"/>
      <c r="K2064" s="1423"/>
      <c r="L2064" s="1423"/>
      <c r="M2064" s="1423"/>
      <c r="N2064" s="1423"/>
      <c r="O2064" s="1423"/>
      <c r="P2064" s="1423"/>
      <c r="Q2064" s="1423"/>
      <c r="R2064" s="1423"/>
      <c r="S2064" s="1423"/>
      <c r="T2064" s="1423"/>
      <c r="U2064" s="1423"/>
      <c r="V2064" s="1423"/>
      <c r="W2064" s="1423"/>
      <c r="X2064" s="152"/>
      <c r="Y2064" s="152"/>
      <c r="Z2064" s="152"/>
      <c r="AA2064" s="152"/>
      <c r="AB2064" s="152"/>
    </row>
    <row r="2065" spans="1:28">
      <c r="A2065" s="269" t="s">
        <v>105</v>
      </c>
      <c r="B2065" s="270">
        <f>VLOOKUP($A2065,'RFM input'!$E$7:$F$56,2,FALSE)</f>
        <v>0</v>
      </c>
      <c r="C2065" s="1431"/>
      <c r="D2065" s="1431"/>
      <c r="E2065" s="1432"/>
      <c r="F2065" s="1432"/>
      <c r="G2065" s="1432"/>
      <c r="H2065" s="1432"/>
      <c r="I2065" s="1432"/>
      <c r="J2065" s="1432"/>
      <c r="K2065" s="1432"/>
      <c r="L2065" s="1432"/>
      <c r="M2065" s="1432"/>
      <c r="N2065" s="1432"/>
      <c r="O2065" s="1432"/>
      <c r="P2065" s="1432"/>
      <c r="Q2065" s="1432"/>
      <c r="R2065" s="1432"/>
      <c r="S2065" s="1432"/>
      <c r="T2065" s="1432"/>
      <c r="U2065" s="1432"/>
      <c r="V2065" s="1432"/>
      <c r="W2065" s="1432"/>
      <c r="X2065" s="152"/>
      <c r="Y2065" s="152"/>
      <c r="Z2065" s="152"/>
      <c r="AA2065" s="152"/>
      <c r="AB2065" s="152"/>
    </row>
    <row r="2066" spans="1:28">
      <c r="A2066" s="215">
        <f>VALUE(REPLACE(A2065,1,12,""))</f>
        <v>39</v>
      </c>
      <c r="B2066" s="193" t="s">
        <v>126</v>
      </c>
      <c r="C2066" s="1416">
        <f ca="1">IF($C$8='Capital Base roll forward'!$H$4,OFFSET('Capital Base roll forward'!$H$717,'RAB remaining lives'!A2066,0),"enter input")</f>
        <v>0</v>
      </c>
      <c r="D2066" s="1417">
        <f>IF(LEFT(D$6,4)&lt;LEFT('RFM input'!$G$60,4),"enter input",IF(LEFT(D$6,4)&gt;LEFT('RFM input'!$Q$60,4),0,INDEX('RFM input'!$G$61:$Q$110,$A2066,MATCH(D$6,'RFM input'!$G$60:$Q$60,0))
-INDEX('RFM input'!$G$115:$Q$164,$A2066,MATCH(D$6,'RFM input'!$G$60:$Q$60,0))
-INDEX('RFM input'!$G$169:$Q$218,$A2066,MATCH(D$6,'RFM input'!$G$60:$Q$60,0))))</f>
        <v>0</v>
      </c>
      <c r="E2066" s="1417">
        <f>IF(LEFT(E$6,4)&lt;LEFT('RFM input'!$G$60,4),"enter input",IF(LEFT(E$6,4)&gt;LEFT('RFM input'!$Q$60,4),0,INDEX('RFM input'!$G$61:$Q$110,$A2066,MATCH(E$6,'RFM input'!$G$60:$Q$60,0))
-INDEX('RFM input'!$G$115:$Q$164,$A2066,MATCH(E$6,'RFM input'!$G$60:$Q$60,0))
-INDEX('RFM input'!$G$169:$Q$218,$A2066,MATCH(E$6,'RFM input'!$G$60:$Q$60,0))))</f>
        <v>0</v>
      </c>
      <c r="F2066" s="1417">
        <f>IF(LEFT(F$6,4)&lt;LEFT('RFM input'!$G$60,4),"enter input",IF(LEFT(F$6,4)&gt;LEFT('RFM input'!$Q$60,4),0,INDEX('RFM input'!$G$61:$Q$110,$A2066,MATCH(F$6,'RFM input'!$G$60:$Q$60,0))
-INDEX('RFM input'!$G$115:$Q$164,$A2066,MATCH(F$6,'RFM input'!$G$60:$Q$60,0))
-INDEX('RFM input'!$G$169:$Q$218,$A2066,MATCH(F$6,'RFM input'!$G$60:$Q$60,0))))</f>
        <v>0</v>
      </c>
      <c r="G2066" s="1417">
        <f>IF(LEFT(G$6,4)&lt;LEFT('RFM input'!$G$60,4),"enter input",IF(LEFT(G$6,4)&gt;LEFT('RFM input'!$Q$60,4),0,INDEX('RFM input'!$G$61:$Q$110,$A2066,MATCH(G$6,'RFM input'!$G$60:$Q$60,0))
-INDEX('RFM input'!$G$115:$Q$164,$A2066,MATCH(G$6,'RFM input'!$G$60:$Q$60,0))
-INDEX('RFM input'!$G$169:$Q$218,$A2066,MATCH(G$6,'RFM input'!$G$60:$Q$60,0))))</f>
        <v>0</v>
      </c>
      <c r="H2066" s="1417">
        <f>IF(LEFT(H$6,4)&lt;LEFT('RFM input'!$G$60,4),"enter input",IF(LEFT(H$6,4)&gt;LEFT('RFM input'!$Q$60,4),0,INDEX('RFM input'!$G$61:$Q$110,$A2066,MATCH(H$6,'RFM input'!$G$60:$Q$60,0))
-INDEX('RFM input'!$G$115:$Q$164,$A2066,MATCH(H$6,'RFM input'!$G$60:$Q$60,0))
-INDEX('RFM input'!$G$169:$Q$218,$A2066,MATCH(H$6,'RFM input'!$G$60:$Q$60,0))))</f>
        <v>0</v>
      </c>
      <c r="I2066" s="1417">
        <f>IF(LEFT(I$6,4)&lt;LEFT('RFM input'!$G$60,4),"enter input",IF(LEFT(I$6,4)&gt;LEFT('RFM input'!$Q$60,4),0,INDEX('RFM input'!$G$61:$Q$110,$A2066,MATCH(I$6,'RFM input'!$G$60:$Q$60,0))
-INDEX('RFM input'!$G$115:$Q$164,$A2066,MATCH(I$6,'RFM input'!$G$60:$Q$60,0))
-INDEX('RFM input'!$G$169:$Q$218,$A2066,MATCH(I$6,'RFM input'!$G$60:$Q$60,0))))</f>
        <v>0</v>
      </c>
      <c r="J2066" s="1417">
        <f>IF(LEFT(J$6,4)&lt;LEFT('RFM input'!$G$60,4),"enter input",IF(LEFT(J$6,4)&gt;LEFT('RFM input'!$Q$60,4),0,INDEX('RFM input'!$G$61:$Q$110,$A2066,MATCH(J$6,'RFM input'!$G$60:$Q$60,0))
-INDEX('RFM input'!$G$115:$Q$164,$A2066,MATCH(J$6,'RFM input'!$G$60:$Q$60,0))
-INDEX('RFM input'!$G$169:$Q$218,$A2066,MATCH(J$6,'RFM input'!$G$60:$Q$60,0))))</f>
        <v>0</v>
      </c>
      <c r="K2066" s="1417">
        <f>IF(LEFT(K$6,4)&lt;LEFT('RFM input'!$G$60,4),"enter input",IF(LEFT(K$6,4)&gt;LEFT('RFM input'!$Q$60,4),0,INDEX('RFM input'!$G$61:$Q$110,$A2066,MATCH(K$6,'RFM input'!$G$60:$Q$60,0))
-INDEX('RFM input'!$G$115:$Q$164,$A2066,MATCH(K$6,'RFM input'!$G$60:$Q$60,0))
-INDEX('RFM input'!$G$169:$Q$218,$A2066,MATCH(K$6,'RFM input'!$G$60:$Q$60,0))))</f>
        <v>0</v>
      </c>
      <c r="L2066" s="1417">
        <f>IF(LEFT(L$6,4)&lt;LEFT('RFM input'!$G$60,4),"enter input",IF(LEFT(L$6,4)&gt;LEFT('RFM input'!$Q$60,4),0,INDEX('RFM input'!$G$61:$Q$110,$A2066,MATCH(L$6,'RFM input'!$G$60:$Q$60,0))
-INDEX('RFM input'!$G$115:$Q$164,$A2066,MATCH(L$6,'RFM input'!$G$60:$Q$60,0))
-INDEX('RFM input'!$G$169:$Q$218,$A2066,MATCH(L$6,'RFM input'!$G$60:$Q$60,0))))</f>
        <v>0</v>
      </c>
      <c r="M2066" s="1417">
        <f>IF(LEFT(M$6,4)&lt;LEFT('RFM input'!$G$60,4),"enter input",IF(LEFT(M$6,4)&gt;LEFT('RFM input'!$Q$60,4),0,INDEX('RFM input'!$G$61:$Q$110,$A2066,MATCH(M$6,'RFM input'!$G$60:$Q$60,0))
-INDEX('RFM input'!$G$115:$Q$164,$A2066,MATCH(M$6,'RFM input'!$G$60:$Q$60,0))
-INDEX('RFM input'!$G$169:$Q$218,$A2066,MATCH(M$6,'RFM input'!$G$60:$Q$60,0))))</f>
        <v>0</v>
      </c>
      <c r="N2066" s="1417">
        <f>IF(LEFT(N$6,4)&lt;LEFT('RFM input'!$G$60,4),"enter input",IF(LEFT(N$6,4)&gt;LEFT('RFM input'!$Q$60,4),0,INDEX('RFM input'!$G$61:$Q$110,$A2066,MATCH(N$6,'RFM input'!$G$60:$Q$60,0))
-INDEX('RFM input'!$G$115:$Q$164,$A2066,MATCH(N$6,'RFM input'!$G$60:$Q$60,0))
-INDEX('RFM input'!$G$169:$Q$218,$A2066,MATCH(N$6,'RFM input'!$G$60:$Q$60,0))))</f>
        <v>0</v>
      </c>
      <c r="O2066" s="1417">
        <f>IF(LEFT(O$6,4)&lt;LEFT('RFM input'!$G$60,4),"enter input",IF(LEFT(O$6,4)&gt;LEFT('RFM input'!$Q$60,4),0,INDEX('RFM input'!$G$61:$Q$110,$A2066,MATCH(O$6,'RFM input'!$G$60:$Q$60,0))
-INDEX('RFM input'!$G$115:$Q$164,$A2066,MATCH(O$6,'RFM input'!$G$60:$Q$60,0))
-INDEX('RFM input'!$G$169:$Q$218,$A2066,MATCH(O$6,'RFM input'!$G$60:$Q$60,0))))</f>
        <v>0</v>
      </c>
      <c r="P2066" s="1417">
        <f>IF(LEFT(P$6,4)&lt;LEFT('RFM input'!$G$60,4),"enter input",IF(LEFT(P$6,4)&gt;LEFT('RFM input'!$Q$60,4),0,INDEX('RFM input'!$G$61:$Q$110,$A2066,MATCH(P$6,'RFM input'!$G$60:$Q$60,0))
-INDEX('RFM input'!$G$115:$Q$164,$A2066,MATCH(P$6,'RFM input'!$G$60:$Q$60,0))
-INDEX('RFM input'!$G$169:$Q$218,$A2066,MATCH(P$6,'RFM input'!$G$60:$Q$60,0))))</f>
        <v>0</v>
      </c>
      <c r="Q2066" s="1417">
        <f>IF(LEFT(Q$6,4)&lt;LEFT('RFM input'!$G$60,4),"enter input",IF(LEFT(Q$6,4)&gt;LEFT('RFM input'!$Q$60,4),0,INDEX('RFM input'!$G$61:$Q$110,$A2066,MATCH(Q$6,'RFM input'!$G$60:$Q$60,0))
-INDEX('RFM input'!$G$115:$Q$164,$A2066,MATCH(Q$6,'RFM input'!$G$60:$Q$60,0))
-INDEX('RFM input'!$G$169:$Q$218,$A2066,MATCH(Q$6,'RFM input'!$G$60:$Q$60,0))))</f>
        <v>0</v>
      </c>
      <c r="R2066" s="1417">
        <f>IF(LEFT(R$6,4)&lt;LEFT('RFM input'!$G$60,4),"enter input",IF(LEFT(R$6,4)&gt;LEFT('RFM input'!$Q$60,4),0,INDEX('RFM input'!$G$61:$Q$110,$A2066,MATCH(R$6,'RFM input'!$G$60:$Q$60,0))
-INDEX('RFM input'!$G$115:$Q$164,$A2066,MATCH(R$6,'RFM input'!$G$60:$Q$60,0))
-INDEX('RFM input'!$G$169:$Q$218,$A2066,MATCH(R$6,'RFM input'!$G$60:$Q$60,0))))</f>
        <v>0</v>
      </c>
      <c r="S2066" s="1417">
        <f>IF(LEFT(S$6,4)&lt;LEFT('RFM input'!$G$60,4),"enter input",IF(LEFT(S$6,4)&gt;LEFT('RFM input'!$Q$60,4),0,INDEX('RFM input'!$G$61:$Q$110,$A2066,MATCH(S$6,'RFM input'!$G$60:$Q$60,0))
-INDEX('RFM input'!$G$115:$Q$164,$A2066,MATCH(S$6,'RFM input'!$G$60:$Q$60,0))
-INDEX('RFM input'!$G$169:$Q$218,$A2066,MATCH(S$6,'RFM input'!$G$60:$Q$60,0))))</f>
        <v>0</v>
      </c>
      <c r="T2066" s="1417">
        <f>IF(LEFT(T$6,4)&lt;LEFT('RFM input'!$G$60,4),"enter input",IF(LEFT(T$6,4)&gt;LEFT('RFM input'!$Q$60,4),0,INDEX('RFM input'!$G$61:$Q$110,$A2066,MATCH(T$6,'RFM input'!$G$60:$Q$60,0))
-INDEX('RFM input'!$G$115:$Q$164,$A2066,MATCH(T$6,'RFM input'!$G$60:$Q$60,0))
-INDEX('RFM input'!$G$169:$Q$218,$A2066,MATCH(T$6,'RFM input'!$G$60:$Q$60,0))))</f>
        <v>0</v>
      </c>
      <c r="U2066" s="1417">
        <f>IF(LEFT(U$6,4)&lt;LEFT('RFM input'!$G$60,4),"enter input",IF(LEFT(U$6,4)&gt;LEFT('RFM input'!$Q$60,4),0,INDEX('RFM input'!$G$61:$Q$110,$A2066,MATCH(U$6,'RFM input'!$G$60:$Q$60,0))
-INDEX('RFM input'!$G$115:$Q$164,$A2066,MATCH(U$6,'RFM input'!$G$60:$Q$60,0))
-INDEX('RFM input'!$G$169:$Q$218,$A2066,MATCH(U$6,'RFM input'!$G$60:$Q$60,0))))</f>
        <v>0</v>
      </c>
      <c r="V2066" s="1417">
        <f>IF(LEFT(V$6,4)&lt;LEFT('RFM input'!$G$60,4),"enter input",IF(LEFT(V$6,4)&gt;LEFT('RFM input'!$Q$60,4),0,INDEX('RFM input'!$G$61:$Q$110,$A2066,MATCH(V$6,'RFM input'!$G$60:$Q$60,0))
-INDEX('RFM input'!$G$115:$Q$164,$A2066,MATCH(V$6,'RFM input'!$G$60:$Q$60,0))
-INDEX('RFM input'!$G$169:$Q$218,$A2066,MATCH(V$6,'RFM input'!$G$60:$Q$60,0))))</f>
        <v>0</v>
      </c>
      <c r="W2066" s="1417">
        <f>IF(LEFT(W$6,4)&lt;LEFT('RFM input'!$G$60,4),"enter input",IF(LEFT(W$6,4)&gt;LEFT('RFM input'!$Q$60,4),0,INDEX('RFM input'!$G$61:$Q$110,$A2066,MATCH(W$6,'RFM input'!$G$60:$Q$60,0))
-INDEX('RFM input'!$G$115:$Q$164,$A2066,MATCH(W$6,'RFM input'!$G$60:$Q$60,0))
-INDEX('RFM input'!$G$169:$Q$218,$A2066,MATCH(W$6,'RFM input'!$G$60:$Q$60,0))))</f>
        <v>0</v>
      </c>
      <c r="X2066" s="152"/>
      <c r="Y2066" s="152"/>
      <c r="Z2066" s="152"/>
      <c r="AA2066" s="152"/>
      <c r="AB2066" s="152"/>
    </row>
    <row r="2067" spans="1:28">
      <c r="A2067" s="152"/>
      <c r="B2067" s="152" t="s">
        <v>204</v>
      </c>
      <c r="C2067" s="1418">
        <f ca="1">IF($C$8='Capital Base roll forward'!$H$4,OFFSET('RFM input'!$J$6,'RAB remaining lives'!A2066,0),"enter input")</f>
        <v>0</v>
      </c>
      <c r="D2067" s="1417">
        <f>IF(LEFT(D$6,4)&lt;=LEFT('RFM input'!$G$60,4),"enter input",IF(LEFT(D$6,4)&gt;LEFT('RFM input'!$Q$60,4),0,IF(MATCH(D$6,'RFM input'!$H$60:$Q$60,0),INDEX('RFM input'!$K$7:$K$56,$A2066,1))))</f>
        <v>0</v>
      </c>
      <c r="E2067" s="1417">
        <f>IF(LEFT(E$6,4)&lt;=LEFT('RFM input'!$G$60,4),"enter input",IF(LEFT(E$6,4)&gt;LEFT('RFM input'!$Q$60,4),0,IF(MATCH(E$6,'RFM input'!$H$60:$Q$60,0),INDEX('RFM input'!$K$7:$K$56,$A2066,1))))</f>
        <v>0</v>
      </c>
      <c r="F2067" s="1417">
        <f>IF(LEFT(F$6,4)&lt;=LEFT('RFM input'!$G$60,4),"enter input",IF(LEFT(F$6,4)&gt;LEFT('RFM input'!$Q$60,4),0,IF(MATCH(F$6,'RFM input'!$H$60:$Q$60,0),INDEX('RFM input'!$K$7:$K$56,$A2066,1))))</f>
        <v>0</v>
      </c>
      <c r="G2067" s="1417">
        <f>IF(LEFT(G$6,4)&lt;=LEFT('RFM input'!$G$60,4),"enter input",IF(LEFT(G$6,4)&gt;LEFT('RFM input'!$Q$60,4),0,IF(MATCH(G$6,'RFM input'!$H$60:$Q$60,0),INDEX('RFM input'!$K$7:$K$56,$A2066,1))))</f>
        <v>0</v>
      </c>
      <c r="H2067" s="1417">
        <f>IF(LEFT(H$6,4)&lt;=LEFT('RFM input'!$G$60,4),"enter input",IF(LEFT(H$6,4)&gt;LEFT('RFM input'!$Q$60,4),0,IF(MATCH(H$6,'RFM input'!$H$60:$Q$60,0),INDEX('RFM input'!$K$7:$K$56,$A2066,1))))</f>
        <v>0</v>
      </c>
      <c r="I2067" s="1417">
        <f>IF(LEFT(I$6,4)&lt;=LEFT('RFM input'!$G$60,4),"enter input",IF(LEFT(I$6,4)&gt;LEFT('RFM input'!$Q$60,4),0,IF(MATCH(I$6,'RFM input'!$H$60:$Q$60,0),INDEX('RFM input'!$K$7:$K$56,$A2066,1))))</f>
        <v>0</v>
      </c>
      <c r="J2067" s="1417">
        <f>IF(LEFT(J$6,4)&lt;=LEFT('RFM input'!$G$60,4),"enter input",IF(LEFT(J$6,4)&gt;LEFT('RFM input'!$Q$60,4),0,IF(MATCH(J$6,'RFM input'!$H$60:$Q$60,0),INDEX('RFM input'!$K$7:$K$56,$A2066,1))))</f>
        <v>0</v>
      </c>
      <c r="K2067" s="1417">
        <f>IF(LEFT(K$6,4)&lt;=LEFT('RFM input'!$G$60,4),"enter input",IF(LEFT(K$6,4)&gt;LEFT('RFM input'!$Q$60,4),0,IF(MATCH(K$6,'RFM input'!$H$60:$Q$60,0),INDEX('RFM input'!$K$7:$K$56,$A2066,1))))</f>
        <v>0</v>
      </c>
      <c r="L2067" s="1417">
        <f>IF(LEFT(L$6,4)&lt;=LEFT('RFM input'!$G$60,4),"enter input",IF(LEFT(L$6,4)&gt;LEFT('RFM input'!$Q$60,4),0,IF(MATCH(L$6,'RFM input'!$H$60:$Q$60,0),INDEX('RFM input'!$K$7:$K$56,$A2066,1))))</f>
        <v>0</v>
      </c>
      <c r="M2067" s="1417">
        <f>IF(LEFT(M$6,4)&lt;=LEFT('RFM input'!$G$60,4),"enter input",IF(LEFT(M$6,4)&gt;LEFT('RFM input'!$Q$60,4),0,IF(MATCH(M$6,'RFM input'!$H$60:$Q$60,0),INDEX('RFM input'!$K$7:$K$56,$A2066,1))))</f>
        <v>0</v>
      </c>
      <c r="N2067" s="1417">
        <f>IF(LEFT(N$6,4)&lt;=LEFT('RFM input'!$G$60,4),"enter input",IF(LEFT(N$6,4)&gt;LEFT('RFM input'!$Q$60,4),0,IF(MATCH(N$6,'RFM input'!$H$60:$Q$60,0),INDEX('RFM input'!$K$7:$K$56,$A2066,1))))</f>
        <v>0</v>
      </c>
      <c r="O2067" s="1417">
        <f>IF(LEFT(O$6,4)&lt;=LEFT('RFM input'!$G$60,4),"enter input",IF(LEFT(O$6,4)&gt;LEFT('RFM input'!$Q$60,4),0,IF(MATCH(O$6,'RFM input'!$H$60:$Q$60,0),INDEX('RFM input'!$K$7:$K$56,$A2066,1))))</f>
        <v>0</v>
      </c>
      <c r="P2067" s="1417">
        <f>IF(LEFT(P$6,4)&lt;=LEFT('RFM input'!$G$60,4),"enter input",IF(LEFT(P$6,4)&gt;LEFT('RFM input'!$Q$60,4),0,IF(MATCH(P$6,'RFM input'!$H$60:$Q$60,0),INDEX('RFM input'!$K$7:$K$56,$A2066,1))))</f>
        <v>0</v>
      </c>
      <c r="Q2067" s="1417">
        <f>IF(LEFT(Q$6,4)&lt;=LEFT('RFM input'!$G$60,4),"enter input",IF(LEFT(Q$6,4)&gt;LEFT('RFM input'!$Q$60,4),0,IF(MATCH(Q$6,'RFM input'!$H$60:$Q$60,0),INDEX('RFM input'!$K$7:$K$56,$A2066,1))))</f>
        <v>0</v>
      </c>
      <c r="R2067" s="1417">
        <f>IF(LEFT(R$6,4)&lt;=LEFT('RFM input'!$G$60,4),"enter input",IF(LEFT(R$6,4)&gt;LEFT('RFM input'!$Q$60,4),0,IF(MATCH(R$6,'RFM input'!$H$60:$Q$60,0),INDEX('RFM input'!$K$7:$K$56,$A2066,1))))</f>
        <v>0</v>
      </c>
      <c r="S2067" s="1417">
        <f>IF(LEFT(S$6,4)&lt;=LEFT('RFM input'!$G$60,4),"enter input",IF(LEFT(S$6,4)&gt;LEFT('RFM input'!$Q$60,4),0,IF(MATCH(S$6,'RFM input'!$H$60:$Q$60,0),INDEX('RFM input'!$K$7:$K$56,$A2066,1))))</f>
        <v>0</v>
      </c>
      <c r="T2067" s="1417">
        <f>IF(LEFT(T$6,4)&lt;=LEFT('RFM input'!$G$60,4),"enter input",IF(LEFT(T$6,4)&gt;LEFT('RFM input'!$Q$60,4),0,IF(MATCH(T$6,'RFM input'!$H$60:$Q$60,0),INDEX('RFM input'!$K$7:$K$56,$A2066,1))))</f>
        <v>0</v>
      </c>
      <c r="U2067" s="1417">
        <f>IF(LEFT(U$6,4)&lt;=LEFT('RFM input'!$G$60,4),"enter input",IF(LEFT(U$6,4)&gt;LEFT('RFM input'!$Q$60,4),0,IF(MATCH(U$6,'RFM input'!$H$60:$Q$60,0),INDEX('RFM input'!$K$7:$K$56,$A2066,1))))</f>
        <v>0</v>
      </c>
      <c r="V2067" s="1417">
        <f>IF(LEFT(V$6,4)&lt;=LEFT('RFM input'!$G$60,4),"enter input",IF(LEFT(V$6,4)&gt;LEFT('RFM input'!$Q$60,4),0,IF(MATCH(V$6,'RFM input'!$H$60:$Q$60,0),INDEX('RFM input'!$K$7:$K$56,$A2066,1))))</f>
        <v>0</v>
      </c>
      <c r="W2067" s="1417">
        <f>IF(LEFT(W$6,4)&lt;=LEFT('RFM input'!$G$60,4),"enter input",IF(LEFT(W$6,4)&gt;LEFT('RFM input'!$Q$60,4),0,IF(MATCH(W$6,'RFM input'!$H$60:$Q$60,0),INDEX('RFM input'!$K$7:$K$56,$A2066,1))))</f>
        <v>0</v>
      </c>
      <c r="X2067" s="152"/>
      <c r="Y2067" s="152"/>
      <c r="Z2067" s="152"/>
      <c r="AA2067" s="152"/>
      <c r="AB2067" s="152"/>
    </row>
    <row r="2068" spans="1:28">
      <c r="A2068" s="152"/>
      <c r="B2068" s="177" t="s">
        <v>191</v>
      </c>
      <c r="C2068" s="1419"/>
      <c r="D2068" s="1420">
        <f ca="1">IF(LEFT(D$6,4)&lt;=LEFT('RFM input'!$G$60,4),"enter input",IF(LEFT(D$6,4)&gt;LEFT('RFM input'!$Q$60,4),0,IF(D$6=(OFFSET('RFM input'!$G$60,0,'RFM input'!$V$7)),OFFSET('RFM input'!$G$411,$A2066,0),0)))</f>
        <v>0</v>
      </c>
      <c r="E2068" s="1417">
        <f ca="1">IF(LEFT(E$6,4)&lt;=LEFT('RFM input'!$G$60,4),"enter input",IF(LEFT(E$6,4)&gt;LEFT('RFM input'!$Q$60,4),0,IF(E$6=(OFFSET('RFM input'!$G$60,0,'RFM input'!$V$7)),OFFSET('RFM input'!$G$411,$A2066,0),0)))</f>
        <v>0</v>
      </c>
      <c r="F2068" s="1417">
        <f ca="1">IF(LEFT(F$6,4)&lt;=LEFT('RFM input'!$G$60,4),"enter input",IF(LEFT(F$6,4)&gt;LEFT('RFM input'!$Q$60,4),0,IF(F$6=(OFFSET('RFM input'!$G$60,0,'RFM input'!$V$7)),OFFSET('RFM input'!$G$411,$A2066,0),0)))</f>
        <v>0</v>
      </c>
      <c r="G2068" s="1417">
        <f ca="1">IF(LEFT(G$6,4)&lt;=LEFT('RFM input'!$G$60,4),"enter input",IF(LEFT(G$6,4)&gt;LEFT('RFM input'!$Q$60,4),0,IF(G$6=(OFFSET('RFM input'!$G$60,0,'RFM input'!$V$7)),OFFSET('RFM input'!$G$411,$A2066,0),0)))</f>
        <v>0</v>
      </c>
      <c r="H2068" s="1417">
        <f ca="1">IF(LEFT(H$6,4)&lt;=LEFT('RFM input'!$G$60,4),"enter input",IF(LEFT(H$6,4)&gt;LEFT('RFM input'!$Q$60,4),0,IF(H$6=(OFFSET('RFM input'!$G$60,0,'RFM input'!$V$7)),OFFSET('RFM input'!$G$411,$A2066,0),0)))</f>
        <v>0</v>
      </c>
      <c r="I2068" s="1417">
        <f ca="1">IF(LEFT(I$6,4)&lt;=LEFT('RFM input'!$G$60,4),"enter input",IF(LEFT(I$6,4)&gt;LEFT('RFM input'!$Q$60,4),0,IF(I$6=(OFFSET('RFM input'!$G$60,0,'RFM input'!$V$7)),OFFSET('RFM input'!$G$411,$A2066,0),0)))</f>
        <v>0</v>
      </c>
      <c r="J2068" s="1417">
        <f ca="1">IF(LEFT(J$6,4)&lt;=LEFT('RFM input'!$G$60,4),"enter input",IF(LEFT(J$6,4)&gt;LEFT('RFM input'!$Q$60,4),0,IF(J$6=(OFFSET('RFM input'!$G$60,0,'RFM input'!$V$7)),OFFSET('RFM input'!$G$411,$A2066,0),0)))</f>
        <v>0</v>
      </c>
      <c r="K2068" s="1417">
        <f ca="1">IF(LEFT(K$6,4)&lt;=LEFT('RFM input'!$G$60,4),"enter input",IF(LEFT(K$6,4)&gt;LEFT('RFM input'!$Q$60,4),0,IF(K$6=(OFFSET('RFM input'!$G$60,0,'RFM input'!$V$7)),OFFSET('RFM input'!$G$411,$A2066,0),0)))</f>
        <v>0</v>
      </c>
      <c r="L2068" s="1417">
        <f ca="1">IF(LEFT(L$6,4)&lt;=LEFT('RFM input'!$G$60,4),"enter input",IF(LEFT(L$6,4)&gt;LEFT('RFM input'!$Q$60,4),0,IF(L$6=(OFFSET('RFM input'!$G$60,0,'RFM input'!$V$7)),OFFSET('RFM input'!$G$411,$A2066,0),0)))</f>
        <v>0</v>
      </c>
      <c r="M2068" s="1417">
        <f ca="1">IF(LEFT(M$6,4)&lt;=LEFT('RFM input'!$G$60,4),"enter input",IF(LEFT(M$6,4)&gt;LEFT('RFM input'!$Q$60,4),0,IF(M$6=(OFFSET('RFM input'!$G$60,0,'RFM input'!$V$7)),OFFSET('RFM input'!$G$411,$A2066,0),0)))</f>
        <v>0</v>
      </c>
      <c r="N2068" s="1417">
        <f ca="1">IF(LEFT(N$6,4)&lt;=LEFT('RFM input'!$G$60,4),"enter input",IF(LEFT(N$6,4)&gt;LEFT('RFM input'!$Q$60,4),0,IF(N$6=(OFFSET('RFM input'!$G$60,0,'RFM input'!$V$7)),OFFSET('RFM input'!$G$411,$A2066,0),0)))</f>
        <v>0</v>
      </c>
      <c r="O2068" s="1417">
        <f ca="1">IF(LEFT(O$6,4)&lt;=LEFT('RFM input'!$G$60,4),"enter input",IF(LEFT(O$6,4)&gt;LEFT('RFM input'!$Q$60,4),0,IF(O$6=(OFFSET('RFM input'!$G$60,0,'RFM input'!$V$7)),OFFSET('RFM input'!$G$411,$A2066,0),0)))</f>
        <v>0</v>
      </c>
      <c r="P2068" s="1417">
        <f ca="1">IF(LEFT(P$6,4)&lt;=LEFT('RFM input'!$G$60,4),"enter input",IF(LEFT(P$6,4)&gt;LEFT('RFM input'!$Q$60,4),0,IF(P$6=(OFFSET('RFM input'!$G$60,0,'RFM input'!$V$7)),OFFSET('RFM input'!$G$411,$A2066,0),0)))</f>
        <v>0</v>
      </c>
      <c r="Q2068" s="1417">
        <f ca="1">IF(LEFT(Q$6,4)&lt;=LEFT('RFM input'!$G$60,4),"enter input",IF(LEFT(Q$6,4)&gt;LEFT('RFM input'!$Q$60,4),0,IF(Q$6=(OFFSET('RFM input'!$G$60,0,'RFM input'!$V$7)),OFFSET('RFM input'!$G$411,$A2066,0),0)))</f>
        <v>0</v>
      </c>
      <c r="R2068" s="1417">
        <f ca="1">IF(LEFT(R$6,4)&lt;=LEFT('RFM input'!$G$60,4),"enter input",IF(LEFT(R$6,4)&gt;LEFT('RFM input'!$Q$60,4),0,IF(R$6=(OFFSET('RFM input'!$G$60,0,'RFM input'!$V$7)),OFFSET('RFM input'!$G$411,$A2066,0),0)))</f>
        <v>0</v>
      </c>
      <c r="S2068" s="1417">
        <f ca="1">IF(LEFT(S$6,4)&lt;=LEFT('RFM input'!$G$60,4),"enter input",IF(LEFT(S$6,4)&gt;LEFT('RFM input'!$Q$60,4),0,IF(S$6=(OFFSET('RFM input'!$G$60,0,'RFM input'!$V$7)),OFFSET('RFM input'!$G$411,$A2066,0),0)))</f>
        <v>0</v>
      </c>
      <c r="T2068" s="1417">
        <f ca="1">IF(LEFT(T$6,4)&lt;=LEFT('RFM input'!$G$60,4),"enter input",IF(LEFT(T$6,4)&gt;LEFT('RFM input'!$Q$60,4),0,IF(T$6=(OFFSET('RFM input'!$G$60,0,'RFM input'!$V$7)),OFFSET('RFM input'!$G$411,$A2066,0),0)))</f>
        <v>0</v>
      </c>
      <c r="U2068" s="1417">
        <f ca="1">IF(LEFT(U$6,4)&lt;=LEFT('RFM input'!$G$60,4),"enter input",IF(LEFT(U$6,4)&gt;LEFT('RFM input'!$Q$60,4),0,IF(U$6=(OFFSET('RFM input'!$G$60,0,'RFM input'!$V$7)),OFFSET('RFM input'!$G$411,$A2066,0),0)))</f>
        <v>0</v>
      </c>
      <c r="V2068" s="1417">
        <f ca="1">IF(LEFT(V$6,4)&lt;=LEFT('RFM input'!$G$60,4),"enter input",IF(LEFT(V$6,4)&gt;LEFT('RFM input'!$Q$60,4),0,IF(V$6=(OFFSET('RFM input'!$G$60,0,'RFM input'!$V$7)),OFFSET('RFM input'!$G$411,$A2066,0),0)))</f>
        <v>0</v>
      </c>
      <c r="W2068" s="1417">
        <f ca="1">IF(LEFT(W$6,4)&lt;=LEFT('RFM input'!$G$60,4),"enter input",IF(LEFT(W$6,4)&gt;LEFT('RFM input'!$Q$60,4),0,IF(W$6=(OFFSET('RFM input'!$G$60,0,'RFM input'!$V$7)),OFFSET('RFM input'!$G$411,$A2066,0),0)))</f>
        <v>0</v>
      </c>
      <c r="X2068" s="152"/>
      <c r="Y2068" s="152"/>
      <c r="Z2068" s="152"/>
      <c r="AA2068" s="152"/>
      <c r="AB2068" s="152"/>
    </row>
    <row r="2069" spans="1:28">
      <c r="A2069" s="152"/>
      <c r="B2069" s="195" t="s">
        <v>197</v>
      </c>
      <c r="C2069" s="1419"/>
      <c r="D2069" s="1418">
        <f ca="1">IF(LEFT(D$6,4)&lt;=LEFT('RFM input'!$G$60,4),"enter input",IF(LEFT(D$6,4)&gt;LEFT('RFM input'!$Q$60,4),0,IF(D$6=(OFFSET('RFM input'!$G$60,0,'RFM input'!$V$7)),OFFSET('RFM input'!$I$411,$A2066,0),0)))</f>
        <v>0</v>
      </c>
      <c r="E2069" s="1422">
        <f ca="1">IF(LEFT(E$6,4)&lt;=LEFT('RFM input'!$G$60,4),"enter input",IF(LEFT(E$6,4)&gt;LEFT('RFM input'!$Q$60,4),0,IF(E$6=(OFFSET('RFM input'!$G$60,0,'RFM input'!$V$7)),OFFSET('RFM input'!$I$411,$A2066,0),0)))</f>
        <v>0</v>
      </c>
      <c r="F2069" s="1422">
        <f ca="1">IF(LEFT(F$6,4)&lt;=LEFT('RFM input'!$G$60,4),"enter input",IF(LEFT(F$6,4)&gt;LEFT('RFM input'!$Q$60,4),0,IF(F$6=(OFFSET('RFM input'!$G$60,0,'RFM input'!$V$7)),OFFSET('RFM input'!$I$411,$A2066,0),0)))</f>
        <v>0</v>
      </c>
      <c r="G2069" s="1422">
        <f ca="1">IF(LEFT(G$6,4)&lt;=LEFT('RFM input'!$G$60,4),"enter input",IF(LEFT(G$6,4)&gt;LEFT('RFM input'!$Q$60,4),0,IF(G$6=(OFFSET('RFM input'!$G$60,0,'RFM input'!$V$7)),OFFSET('RFM input'!$I$411,$A2066,0),0)))</f>
        <v>0</v>
      </c>
      <c r="H2069" s="1422">
        <f ca="1">IF(LEFT(H$6,4)&lt;=LEFT('RFM input'!$G$60,4),"enter input",IF(LEFT(H$6,4)&gt;LEFT('RFM input'!$Q$60,4),0,IF(H$6=(OFFSET('RFM input'!$G$60,0,'RFM input'!$V$7)),OFFSET('RFM input'!$I$411,$A2066,0),0)))</f>
        <v>0</v>
      </c>
      <c r="I2069" s="1422">
        <f ca="1">IF(LEFT(I$6,4)&lt;=LEFT('RFM input'!$G$60,4),"enter input",IF(LEFT(I$6,4)&gt;LEFT('RFM input'!$Q$60,4),0,IF(I$6=(OFFSET('RFM input'!$G$60,0,'RFM input'!$V$7)),OFFSET('RFM input'!$I$411,$A2066,0),0)))</f>
        <v>0</v>
      </c>
      <c r="J2069" s="1422">
        <f ca="1">IF(LEFT(J$6,4)&lt;=LEFT('RFM input'!$G$60,4),"enter input",IF(LEFT(J$6,4)&gt;LEFT('RFM input'!$Q$60,4),0,IF(J$6=(OFFSET('RFM input'!$G$60,0,'RFM input'!$V$7)),OFFSET('RFM input'!$I$411,$A2066,0),0)))</f>
        <v>0</v>
      </c>
      <c r="K2069" s="1422">
        <f ca="1">IF(LEFT(K$6,4)&lt;=LEFT('RFM input'!$G$60,4),"enter input",IF(LEFT(K$6,4)&gt;LEFT('RFM input'!$Q$60,4),0,IF(K$6=(OFFSET('RFM input'!$G$60,0,'RFM input'!$V$7)),OFFSET('RFM input'!$I$411,$A2066,0),0)))</f>
        <v>0</v>
      </c>
      <c r="L2069" s="1422">
        <f ca="1">IF(LEFT(L$6,4)&lt;=LEFT('RFM input'!$G$60,4),"enter input",IF(LEFT(L$6,4)&gt;LEFT('RFM input'!$Q$60,4),0,IF(L$6=(OFFSET('RFM input'!$G$60,0,'RFM input'!$V$7)),OFFSET('RFM input'!$I$411,$A2066,0),0)))</f>
        <v>0</v>
      </c>
      <c r="M2069" s="1422">
        <f ca="1">IF(LEFT(M$6,4)&lt;=LEFT('RFM input'!$G$60,4),"enter input",IF(LEFT(M$6,4)&gt;LEFT('RFM input'!$Q$60,4),0,IF(M$6=(OFFSET('RFM input'!$G$60,0,'RFM input'!$V$7)),OFFSET('RFM input'!$I$411,$A2066,0),0)))</f>
        <v>0</v>
      </c>
      <c r="N2069" s="1422">
        <f ca="1">IF(LEFT(N$6,4)&lt;=LEFT('RFM input'!$G$60,4),"enter input",IF(LEFT(N$6,4)&gt;LEFT('RFM input'!$Q$60,4),0,IF(N$6=(OFFSET('RFM input'!$G$60,0,'RFM input'!$V$7)),OFFSET('RFM input'!$I$411,$A2066,0),0)))</f>
        <v>0</v>
      </c>
      <c r="O2069" s="1422">
        <f ca="1">IF(LEFT(O$6,4)&lt;=LEFT('RFM input'!$G$60,4),"enter input",IF(LEFT(O$6,4)&gt;LEFT('RFM input'!$Q$60,4),0,IF(O$6=(OFFSET('RFM input'!$G$60,0,'RFM input'!$V$7)),OFFSET('RFM input'!$I$411,$A2066,0),0)))</f>
        <v>0</v>
      </c>
      <c r="P2069" s="1422">
        <f ca="1">IF(LEFT(P$6,4)&lt;=LEFT('RFM input'!$G$60,4),"enter input",IF(LEFT(P$6,4)&gt;LEFT('RFM input'!$Q$60,4),0,IF(P$6=(OFFSET('RFM input'!$G$60,0,'RFM input'!$V$7)),OFFSET('RFM input'!$I$411,$A2066,0),0)))</f>
        <v>0</v>
      </c>
      <c r="Q2069" s="1422">
        <f ca="1">IF(LEFT(Q$6,4)&lt;=LEFT('RFM input'!$G$60,4),"enter input",IF(LEFT(Q$6,4)&gt;LEFT('RFM input'!$Q$60,4),0,IF(Q$6=(OFFSET('RFM input'!$G$60,0,'RFM input'!$V$7)),OFFSET('RFM input'!$I$411,$A2066,0),0)))</f>
        <v>0</v>
      </c>
      <c r="R2069" s="1422">
        <f ca="1">IF(LEFT(R$6,4)&lt;=LEFT('RFM input'!$G$60,4),"enter input",IF(LEFT(R$6,4)&gt;LEFT('RFM input'!$Q$60,4),0,IF(R$6=(OFFSET('RFM input'!$G$60,0,'RFM input'!$V$7)),OFFSET('RFM input'!$I$411,$A2066,0),0)))</f>
        <v>0</v>
      </c>
      <c r="S2069" s="1422">
        <f ca="1">IF(LEFT(S$6,4)&lt;=LEFT('RFM input'!$G$60,4),"enter input",IF(LEFT(S$6,4)&gt;LEFT('RFM input'!$Q$60,4),0,IF(S$6=(OFFSET('RFM input'!$G$60,0,'RFM input'!$V$7)),OFFSET('RFM input'!$I$411,$A2066,0),0)))</f>
        <v>0</v>
      </c>
      <c r="T2069" s="1422">
        <f ca="1">IF(LEFT(T$6,4)&lt;=LEFT('RFM input'!$G$60,4),"enter input",IF(LEFT(T$6,4)&gt;LEFT('RFM input'!$Q$60,4),0,IF(T$6=(OFFSET('RFM input'!$G$60,0,'RFM input'!$V$7)),OFFSET('RFM input'!$I$411,$A2066,0),0)))</f>
        <v>0</v>
      </c>
      <c r="U2069" s="1422">
        <f ca="1">IF(LEFT(U$6,4)&lt;=LEFT('RFM input'!$G$60,4),"enter input",IF(LEFT(U$6,4)&gt;LEFT('RFM input'!$Q$60,4),0,IF(U$6=(OFFSET('RFM input'!$G$60,0,'RFM input'!$V$7)),OFFSET('RFM input'!$I$411,$A2066,0),0)))</f>
        <v>0</v>
      </c>
      <c r="V2069" s="1422">
        <f ca="1">IF(LEFT(V$6,4)&lt;=LEFT('RFM input'!$G$60,4),"enter input",IF(LEFT(V$6,4)&gt;LEFT('RFM input'!$Q$60,4),0,IF(V$6=(OFFSET('RFM input'!$G$60,0,'RFM input'!$V$7)),OFFSET('RFM input'!$I$411,$A2066,0),0)))</f>
        <v>0</v>
      </c>
      <c r="W2069" s="1422">
        <f ca="1">IF(LEFT(W$6,4)&lt;=LEFT('RFM input'!$G$60,4),"enter input",IF(LEFT(W$6,4)&gt;LEFT('RFM input'!$Q$60,4),0,IF(W$6=(OFFSET('RFM input'!$G$60,0,'RFM input'!$V$7)),OFFSET('RFM input'!$I$411,$A2066,0),0)))</f>
        <v>0</v>
      </c>
      <c r="X2069" s="152"/>
      <c r="Y2069" s="152"/>
      <c r="Z2069" s="152"/>
      <c r="AA2069" s="152"/>
      <c r="AB2069" s="152"/>
    </row>
    <row r="2070" spans="1:28" hidden="1" outlineLevel="1">
      <c r="A2070" s="235">
        <v>-1</v>
      </c>
      <c r="B2070" s="190" t="s">
        <v>189</v>
      </c>
      <c r="C2070" s="1423"/>
      <c r="D2070" s="1423">
        <f ca="1">IF(AND(D2068=0,C2070=0),0,
IF(AND(D2068&lt;&gt;0,C2070=0),(D2068/D$10),
IF(AND(D2069&lt;&gt;0,C2070&lt;&gt;0),(C2070-(C2070/C2094))+(D2068/D$10),
IF(C2094&lt;1,0,(C2070-(C2070/C2094))))))</f>
        <v>0</v>
      </c>
      <c r="E2070" s="1423">
        <f t="shared" ref="E2070" ca="1" si="3043">IF(AND(E2068=0,D2070=0),0,
IF(AND(E2068&lt;&gt;0,D2070=0),(E2068/E$10),
IF(AND(E2069&lt;&gt;0,D2070&lt;&gt;0),(D2070-(D2070/D2094))+(E2068/E$10),
IF(D2094&lt;1,0,(D2070-(D2070/D2094))))))</f>
        <v>0</v>
      </c>
      <c r="F2070" s="1423">
        <f t="shared" ref="F2070" ca="1" si="3044">IF(AND(F2068=0,E2070=0),0,
IF(AND(F2068&lt;&gt;0,E2070=0),(F2068/F$10),
IF(AND(F2069&lt;&gt;0,E2070&lt;&gt;0),(E2070-(E2070/E2094))+(F2068/F$10),
IF(E2094&lt;1,0,(E2070-(E2070/E2094))))))</f>
        <v>0</v>
      </c>
      <c r="G2070" s="1423">
        <f t="shared" ref="G2070" ca="1" si="3045">IF(AND(G2068=0,F2070=0),0,
IF(AND(G2068&lt;&gt;0,F2070=0),(G2068/G$10),
IF(AND(G2069&lt;&gt;0,F2070&lt;&gt;0),(F2070-(F2070/F2094))+(G2068/G$10),
IF(F2094&lt;1,0,(F2070-(F2070/F2094))))))</f>
        <v>0</v>
      </c>
      <c r="H2070" s="1423">
        <f t="shared" ref="H2070" ca="1" si="3046">IF(AND(H2068=0,G2070=0),0,
IF(AND(H2068&lt;&gt;0,G2070=0),(H2068/H$10),
IF(AND(H2069&lt;&gt;0,G2070&lt;&gt;0),(G2070-(G2070/G2094))+(H2068/H$10),
IF(G2094&lt;1,0,(G2070-(G2070/G2094))))))</f>
        <v>0</v>
      </c>
      <c r="I2070" s="1423">
        <f t="shared" ref="I2070" ca="1" si="3047">IF(AND(I2068=0,H2070=0),0,
IF(AND(I2068&lt;&gt;0,H2070=0),(I2068/I$10),
IF(AND(I2069&lt;&gt;0,H2070&lt;&gt;0),(H2070-(H2070/H2094))+(I2068/I$10),
IF(H2094&lt;1,0,(H2070-(H2070/H2094))))))</f>
        <v>0</v>
      </c>
      <c r="J2070" s="1423">
        <f t="shared" ref="J2070" ca="1" si="3048">IF(AND(J2068=0,I2070=0),0,
IF(AND(J2068&lt;&gt;0,I2070=0),(J2068/J$10),
IF(AND(J2069&lt;&gt;0,I2070&lt;&gt;0),(I2070-(I2070/I2094))+(J2068/J$10),
IF(I2094&lt;1,0,(I2070-(I2070/I2094))))))</f>
        <v>0</v>
      </c>
      <c r="K2070" s="1423">
        <f t="shared" ref="K2070" ca="1" si="3049">IF(AND(K2068=0,J2070=0),0,
IF(AND(K2068&lt;&gt;0,J2070=0),(K2068/K$10),
IF(AND(K2069&lt;&gt;0,J2070&lt;&gt;0),(J2070-(J2070/J2094))+(K2068/K$10),
IF(J2094&lt;1,0,(J2070-(J2070/J2094))))))</f>
        <v>0</v>
      </c>
      <c r="L2070" s="1423">
        <f t="shared" ref="L2070" ca="1" si="3050">IF(AND(L2068=0,K2070=0),0,
IF(AND(L2068&lt;&gt;0,K2070=0),(L2068/L$10),
IF(AND(L2069&lt;&gt;0,K2070&lt;&gt;0),(K2070-(K2070/K2094))+(L2068/L$10),
IF(K2094&lt;1,0,(K2070-(K2070/K2094))))))</f>
        <v>0</v>
      </c>
      <c r="M2070" s="1423">
        <f t="shared" ref="M2070" ca="1" si="3051">IF(AND(M2068=0,L2070=0),0,
IF(AND(M2068&lt;&gt;0,L2070=0),(M2068/M$10),
IF(AND(M2069&lt;&gt;0,L2070&lt;&gt;0),(L2070-(L2070/L2094))+(M2068/M$10),
IF(L2094&lt;1,0,(L2070-(L2070/L2094))))))</f>
        <v>0</v>
      </c>
      <c r="N2070" s="1423">
        <f t="shared" ref="N2070" ca="1" si="3052">IF(AND(N2068=0,M2070=0),0,
IF(AND(N2068&lt;&gt;0,M2070=0),(N2068/N$10),
IF(AND(N2069&lt;&gt;0,M2070&lt;&gt;0),(M2070-(M2070/M2094))+(N2068/N$10),
IF(M2094&lt;1,0,(M2070-(M2070/M2094))))))</f>
        <v>0</v>
      </c>
      <c r="O2070" s="1423">
        <f t="shared" ref="O2070" ca="1" si="3053">IF(AND(O2068=0,N2070=0),0,
IF(AND(O2068&lt;&gt;0,N2070=0),(O2068/O$10),
IF(AND(O2069&lt;&gt;0,N2070&lt;&gt;0),(N2070-(N2070/N2094))+(O2068/O$10),
IF(N2094&lt;1,0,(N2070-(N2070/N2094))))))</f>
        <v>0</v>
      </c>
      <c r="P2070" s="1423">
        <f t="shared" ref="P2070" ca="1" si="3054">IF(AND(P2068=0,O2070=0),0,
IF(AND(P2068&lt;&gt;0,O2070=0),(P2068/P$10),
IF(AND(P2069&lt;&gt;0,O2070&lt;&gt;0),(O2070-(O2070/O2094))+(P2068/P$10),
IF(O2094&lt;1,0,(O2070-(O2070/O2094))))))</f>
        <v>0</v>
      </c>
      <c r="Q2070" s="1423">
        <f t="shared" ref="Q2070" ca="1" si="3055">IF(AND(Q2068=0,P2070=0),0,
IF(AND(Q2068&lt;&gt;0,P2070=0),(Q2068/Q$10),
IF(AND(Q2069&lt;&gt;0,P2070&lt;&gt;0),(P2070-(P2070/P2094))+(Q2068/Q$10),
IF(P2094&lt;1,0,(P2070-(P2070/P2094))))))</f>
        <v>0</v>
      </c>
      <c r="R2070" s="1423">
        <f t="shared" ref="R2070" ca="1" si="3056">IF(AND(R2068=0,Q2070=0),0,
IF(AND(R2068&lt;&gt;0,Q2070=0),(R2068/R$10),
IF(AND(R2069&lt;&gt;0,Q2070&lt;&gt;0),(Q2070-(Q2070/Q2094))+(R2068/R$10),
IF(Q2094&lt;1,0,(Q2070-(Q2070/Q2094))))))</f>
        <v>0</v>
      </c>
      <c r="S2070" s="1423">
        <f t="shared" ref="S2070" ca="1" si="3057">IF(AND(S2068=0,R2070=0),0,
IF(AND(S2068&lt;&gt;0,R2070=0),(S2068/S$10),
IF(AND(S2069&lt;&gt;0,R2070&lt;&gt;0),(R2070-(R2070/R2094))+(S2068/S$10),
IF(R2094&lt;1,0,(R2070-(R2070/R2094))))))</f>
        <v>0</v>
      </c>
      <c r="T2070" s="1423">
        <f t="shared" ref="T2070" ca="1" si="3058">IF(AND(T2068=0,S2070=0),0,
IF(AND(T2068&lt;&gt;0,S2070=0),(T2068/T$10),
IF(AND(T2069&lt;&gt;0,S2070&lt;&gt;0),(S2070-(S2070/S2094))+(T2068/T$10),
IF(S2094&lt;1,0,(S2070-(S2070/S2094))))))</f>
        <v>0</v>
      </c>
      <c r="U2070" s="1423">
        <f t="shared" ref="U2070" ca="1" si="3059">IF(AND(U2068=0,T2070=0),0,
IF(AND(U2068&lt;&gt;0,T2070=0),(U2068/U$10),
IF(AND(U2069&lt;&gt;0,T2070&lt;&gt;0),(T2070-(T2070/T2094))+(U2068/U$10),
IF(T2094&lt;1,0,(T2070-(T2070/T2094))))))</f>
        <v>0</v>
      </c>
      <c r="V2070" s="1423">
        <f t="shared" ref="V2070" ca="1" si="3060">IF(AND(V2068=0,U2070=0),0,
IF(AND(V2068&lt;&gt;0,U2070=0),(V2068/V$10),
IF(AND(V2069&lt;&gt;0,U2070&lt;&gt;0),(U2070-(U2070/U2094))+(V2068/V$10),
IF(U2094&lt;1,0,(U2070-(U2070/U2094))))))</f>
        <v>0</v>
      </c>
      <c r="W2070" s="1423">
        <f t="shared" ref="W2070" ca="1" si="3061">IF(AND(W2068=0,V2070=0),0,
IF(AND(W2068&lt;&gt;0,V2070=0),(W2068/W$10),
IF(AND(W2069&lt;&gt;0,V2070&lt;&gt;0),(V2070-(V2070/V2094))+(W2068/W$10),
IF(V2094&lt;1,0,(V2070-(V2070/V2094))))))</f>
        <v>0</v>
      </c>
      <c r="X2070" s="152"/>
      <c r="Y2070" s="152"/>
      <c r="Z2070" s="152"/>
      <c r="AA2070" s="152"/>
      <c r="AB2070" s="152"/>
    </row>
    <row r="2071" spans="1:28" hidden="1" outlineLevel="1">
      <c r="A2071" s="199">
        <f>A2070+1</f>
        <v>0</v>
      </c>
      <c r="B2071" s="190" t="s">
        <v>125</v>
      </c>
      <c r="C2071" s="1423">
        <f ca="1">C2066/C$10</f>
        <v>0</v>
      </c>
      <c r="D2071" s="1423">
        <f ca="1">IF(C2095="n/a",C2071,IFERROR(IF((OFFSET($C2071,0,$A2071))&lt;0,
MIN(0,C2071-(OFFSET($C2071,0,$A2071)/(OFFSET($C2066,-$A2070,$A2071)))),
MAX(0,C2071-(OFFSET($C2071,0,$A2071)/(OFFSET($C2066,-$A2070,$A2071))))),0))</f>
        <v>0</v>
      </c>
      <c r="E2071" s="1423">
        <f t="shared" ref="E2071" ca="1" si="3062">IF(D2095="n/a",D2071,IFERROR(IF((OFFSET($C2071,0,$A2071))&lt;0,
MIN(0,D2071-(OFFSET($C2071,0,$A2071)/(OFFSET($C2066,-$A2070,$A2071)))),
MAX(0,D2071-(OFFSET($C2071,0,$A2071)/(OFFSET($C2066,-$A2070,$A2071))))),0))</f>
        <v>0</v>
      </c>
      <c r="F2071" s="1423">
        <f t="shared" ref="F2071:F2072" ca="1" si="3063">IF(E2095="n/a",E2071,IFERROR(IF((OFFSET($C2071,0,$A2071))&lt;0,
MIN(0,E2071-(OFFSET($C2071,0,$A2071)/(OFFSET($C2066,-$A2070,$A2071)))),
MAX(0,E2071-(OFFSET($C2071,0,$A2071)/(OFFSET($C2066,-$A2070,$A2071))))),0))</f>
        <v>0</v>
      </c>
      <c r="G2071" s="1423">
        <f t="shared" ref="G2071:G2073" ca="1" si="3064">IF(F2095="n/a",F2071,IFERROR(IF((OFFSET($C2071,0,$A2071))&lt;0,
MIN(0,F2071-(OFFSET($C2071,0,$A2071)/(OFFSET($C2066,-$A2070,$A2071)))),
MAX(0,F2071-(OFFSET($C2071,0,$A2071)/(OFFSET($C2066,-$A2070,$A2071))))),0))</f>
        <v>0</v>
      </c>
      <c r="H2071" s="1423">
        <f t="shared" ref="H2071:H2074" ca="1" si="3065">IF(G2095="n/a",G2071,IFERROR(IF((OFFSET($C2071,0,$A2071))&lt;0,
MIN(0,G2071-(OFFSET($C2071,0,$A2071)/(OFFSET($C2066,-$A2070,$A2071)))),
MAX(0,G2071-(OFFSET($C2071,0,$A2071)/(OFFSET($C2066,-$A2070,$A2071))))),0))</f>
        <v>0</v>
      </c>
      <c r="I2071" s="1423">
        <f t="shared" ref="I2071:I2075" ca="1" si="3066">IF(H2095="n/a",H2071,IFERROR(IF((OFFSET($C2071,0,$A2071))&lt;0,
MIN(0,H2071-(OFFSET($C2071,0,$A2071)/(OFFSET($C2066,-$A2070,$A2071)))),
MAX(0,H2071-(OFFSET($C2071,0,$A2071)/(OFFSET($C2066,-$A2070,$A2071))))),0))</f>
        <v>0</v>
      </c>
      <c r="J2071" s="1423">
        <f t="shared" ref="J2071:J2076" ca="1" si="3067">IF(I2095="n/a",I2071,IFERROR(IF((OFFSET($C2071,0,$A2071))&lt;0,
MIN(0,I2071-(OFFSET($C2071,0,$A2071)/(OFFSET($C2066,-$A2070,$A2071)))),
MAX(0,I2071-(OFFSET($C2071,0,$A2071)/(OFFSET($C2066,-$A2070,$A2071))))),0))</f>
        <v>0</v>
      </c>
      <c r="K2071" s="1423">
        <f t="shared" ref="K2071:K2077" ca="1" si="3068">IF(J2095="n/a",J2071,IFERROR(IF((OFFSET($C2071,0,$A2071))&lt;0,
MIN(0,J2071-(OFFSET($C2071,0,$A2071)/(OFFSET($C2066,-$A2070,$A2071)))),
MAX(0,J2071-(OFFSET($C2071,0,$A2071)/(OFFSET($C2066,-$A2070,$A2071))))),0))</f>
        <v>0</v>
      </c>
      <c r="L2071" s="1423">
        <f t="shared" ref="L2071:L2078" ca="1" si="3069">IF(K2095="n/a",K2071,IFERROR(IF((OFFSET($C2071,0,$A2071))&lt;0,
MIN(0,K2071-(OFFSET($C2071,0,$A2071)/(OFFSET($C2066,-$A2070,$A2071)))),
MAX(0,K2071-(OFFSET($C2071,0,$A2071)/(OFFSET($C2066,-$A2070,$A2071))))),0))</f>
        <v>0</v>
      </c>
      <c r="M2071" s="1423">
        <f t="shared" ref="M2071:M2079" ca="1" si="3070">IF(L2095="n/a",L2071,IFERROR(IF((OFFSET($C2071,0,$A2071))&lt;0,
MIN(0,L2071-(OFFSET($C2071,0,$A2071)/(OFFSET($C2066,-$A2070,$A2071)))),
MAX(0,L2071-(OFFSET($C2071,0,$A2071)/(OFFSET($C2066,-$A2070,$A2071))))),0))</f>
        <v>0</v>
      </c>
      <c r="N2071" s="1423">
        <f t="shared" ref="N2071:N2080" ca="1" si="3071">IF(M2095="n/a",M2071,IFERROR(IF((OFFSET($C2071,0,$A2071))&lt;0,
MIN(0,M2071-(OFFSET($C2071,0,$A2071)/(OFFSET($C2066,-$A2070,$A2071)))),
MAX(0,M2071-(OFFSET($C2071,0,$A2071)/(OFFSET($C2066,-$A2070,$A2071))))),0))</f>
        <v>0</v>
      </c>
      <c r="O2071" s="1423">
        <f t="shared" ref="O2071:O2081" ca="1" si="3072">IF(N2095="n/a",N2071,IFERROR(IF((OFFSET($C2071,0,$A2071))&lt;0,
MIN(0,N2071-(OFFSET($C2071,0,$A2071)/(OFFSET($C2066,-$A2070,$A2071)))),
MAX(0,N2071-(OFFSET($C2071,0,$A2071)/(OFFSET($C2066,-$A2070,$A2071))))),0))</f>
        <v>0</v>
      </c>
      <c r="P2071" s="1423">
        <f t="shared" ref="P2071:P2082" ca="1" si="3073">IF(O2095="n/a",O2071,IFERROR(IF((OFFSET($C2071,0,$A2071))&lt;0,
MIN(0,O2071-(OFFSET($C2071,0,$A2071)/(OFFSET($C2066,-$A2070,$A2071)))),
MAX(0,O2071-(OFFSET($C2071,0,$A2071)/(OFFSET($C2066,-$A2070,$A2071))))),0))</f>
        <v>0</v>
      </c>
      <c r="Q2071" s="1423">
        <f t="shared" ref="Q2071:Q2083" ca="1" si="3074">IF(P2095="n/a",P2071,IFERROR(IF((OFFSET($C2071,0,$A2071))&lt;0,
MIN(0,P2071-(OFFSET($C2071,0,$A2071)/(OFFSET($C2066,-$A2070,$A2071)))),
MAX(0,P2071-(OFFSET($C2071,0,$A2071)/(OFFSET($C2066,-$A2070,$A2071))))),0))</f>
        <v>0</v>
      </c>
      <c r="R2071" s="1423">
        <f t="shared" ref="R2071:R2084" ca="1" si="3075">IF(Q2095="n/a",Q2071,IFERROR(IF((OFFSET($C2071,0,$A2071))&lt;0,
MIN(0,Q2071-(OFFSET($C2071,0,$A2071)/(OFFSET($C2066,-$A2070,$A2071)))),
MAX(0,Q2071-(OFFSET($C2071,0,$A2071)/(OFFSET($C2066,-$A2070,$A2071))))),0))</f>
        <v>0</v>
      </c>
      <c r="S2071" s="1423">
        <f t="shared" ref="S2071:S2085" ca="1" si="3076">IF(R2095="n/a",R2071,IFERROR(IF((OFFSET($C2071,0,$A2071))&lt;0,
MIN(0,R2071-(OFFSET($C2071,0,$A2071)/(OFFSET($C2066,-$A2070,$A2071)))),
MAX(0,R2071-(OFFSET($C2071,0,$A2071)/(OFFSET($C2066,-$A2070,$A2071))))),0))</f>
        <v>0</v>
      </c>
      <c r="T2071" s="1423">
        <f t="shared" ref="T2071:T2086" ca="1" si="3077">IF(S2095="n/a",S2071,IFERROR(IF((OFFSET($C2071,0,$A2071))&lt;0,
MIN(0,S2071-(OFFSET($C2071,0,$A2071)/(OFFSET($C2066,-$A2070,$A2071)))),
MAX(0,S2071-(OFFSET($C2071,0,$A2071)/(OFFSET($C2066,-$A2070,$A2071))))),0))</f>
        <v>0</v>
      </c>
      <c r="U2071" s="1423">
        <f t="shared" ref="U2071:U2087" ca="1" si="3078">IF(T2095="n/a",T2071,IFERROR(IF((OFFSET($C2071,0,$A2071))&lt;0,
MIN(0,T2071-(OFFSET($C2071,0,$A2071)/(OFFSET($C2066,-$A2070,$A2071)))),
MAX(0,T2071-(OFFSET($C2071,0,$A2071)/(OFFSET($C2066,-$A2070,$A2071))))),0))</f>
        <v>0</v>
      </c>
      <c r="V2071" s="1423">
        <f t="shared" ref="V2071:V2088" ca="1" si="3079">IF(U2095="n/a",U2071,IFERROR(IF((OFFSET($C2071,0,$A2071))&lt;0,
MIN(0,U2071-(OFFSET($C2071,0,$A2071)/(OFFSET($C2066,-$A2070,$A2071)))),
MAX(0,U2071-(OFFSET($C2071,0,$A2071)/(OFFSET($C2066,-$A2070,$A2071))))),0))</f>
        <v>0</v>
      </c>
      <c r="W2071" s="1423">
        <f t="shared" ref="W2071:W2089" ca="1" si="3080">IF(V2095="n/a",V2071,IFERROR(IF((OFFSET($C2071,0,$A2071))&lt;0,
MIN(0,V2071-(OFFSET($C2071,0,$A2071)/(OFFSET($C2066,-$A2070,$A2071)))),
MAX(0,V2071-(OFFSET($C2071,0,$A2071)/(OFFSET($C2066,-$A2070,$A2071))))),0))</f>
        <v>0</v>
      </c>
      <c r="X2071" s="152"/>
      <c r="Y2071" s="152"/>
      <c r="Z2071" s="152"/>
      <c r="AA2071" s="152"/>
      <c r="AB2071" s="152"/>
    </row>
    <row r="2072" spans="1:28" hidden="1" outlineLevel="1">
      <c r="A2072" s="199">
        <f t="shared" ref="A2072:A2091" si="3081">A2071+1</f>
        <v>1</v>
      </c>
      <c r="B2072" s="190" t="str">
        <f t="shared" ref="B2072:B2090" ca="1" si="3082">"Depreciated Net Capex "&amp;OFFSET($C$6,0,A2072)</f>
        <v>Depreciated Net Capex 2016-17</v>
      </c>
      <c r="C2072" s="1424"/>
      <c r="D2072" s="1425">
        <f>(D2066*((1+D$11)^0.5)/D$10)</f>
        <v>0</v>
      </c>
      <c r="E2072" s="1423">
        <f ca="1">IF(D2096="n/a",D2072,IFERROR(IF((OFFSET($C2072,0,$A2072))&lt;0,
MIN(0,D2072-(OFFSET($C2072,0,$A2072)/(OFFSET($C2067,-$A2071,$A2072)))),
MAX(0,D2072-(OFFSET($C2072,0,$A2072)/(OFFSET($C2067,-$A2071,$A2072))))),0))</f>
        <v>0</v>
      </c>
      <c r="F2072" s="1423">
        <f t="shared" ca="1" si="3063"/>
        <v>0</v>
      </c>
      <c r="G2072" s="1423">
        <f t="shared" ca="1" si="3064"/>
        <v>0</v>
      </c>
      <c r="H2072" s="1423">
        <f t="shared" ca="1" si="3065"/>
        <v>0</v>
      </c>
      <c r="I2072" s="1423">
        <f t="shared" ca="1" si="3066"/>
        <v>0</v>
      </c>
      <c r="J2072" s="1423">
        <f t="shared" ca="1" si="3067"/>
        <v>0</v>
      </c>
      <c r="K2072" s="1423">
        <f t="shared" ca="1" si="3068"/>
        <v>0</v>
      </c>
      <c r="L2072" s="1423">
        <f t="shared" ca="1" si="3069"/>
        <v>0</v>
      </c>
      <c r="M2072" s="1423">
        <f t="shared" ca="1" si="3070"/>
        <v>0</v>
      </c>
      <c r="N2072" s="1423">
        <f t="shared" ca="1" si="3071"/>
        <v>0</v>
      </c>
      <c r="O2072" s="1423">
        <f t="shared" ca="1" si="3072"/>
        <v>0</v>
      </c>
      <c r="P2072" s="1423">
        <f t="shared" ca="1" si="3073"/>
        <v>0</v>
      </c>
      <c r="Q2072" s="1423">
        <f t="shared" ca="1" si="3074"/>
        <v>0</v>
      </c>
      <c r="R2072" s="1423">
        <f t="shared" ca="1" si="3075"/>
        <v>0</v>
      </c>
      <c r="S2072" s="1423">
        <f t="shared" ca="1" si="3076"/>
        <v>0</v>
      </c>
      <c r="T2072" s="1423">
        <f t="shared" ca="1" si="3077"/>
        <v>0</v>
      </c>
      <c r="U2072" s="1423">
        <f t="shared" ca="1" si="3078"/>
        <v>0</v>
      </c>
      <c r="V2072" s="1423">
        <f t="shared" ca="1" si="3079"/>
        <v>0</v>
      </c>
      <c r="W2072" s="1423">
        <f t="shared" ca="1" si="3080"/>
        <v>0</v>
      </c>
      <c r="X2072" s="152"/>
      <c r="Y2072" s="152"/>
      <c r="Z2072" s="152"/>
      <c r="AA2072" s="152"/>
      <c r="AB2072" s="152"/>
    </row>
    <row r="2073" spans="1:28" hidden="1" outlineLevel="1">
      <c r="A2073" s="199">
        <f t="shared" si="3081"/>
        <v>2</v>
      </c>
      <c r="B2073" s="190" t="str">
        <f t="shared" ca="1" si="3082"/>
        <v>Depreciated Net Capex 2017-18</v>
      </c>
      <c r="C2073" s="1426"/>
      <c r="D2073" s="1427"/>
      <c r="E2073" s="1425">
        <f>(E2066*((1+E$11)^0.5)/E$10)</f>
        <v>0</v>
      </c>
      <c r="F2073" s="1423">
        <f ca="1">IF(E2097="n/a",E2073,IFERROR(IF((OFFSET($C2073,0,$A2073))&lt;0,
MIN(0,E2073-(OFFSET($C2073,0,$A2073)/(OFFSET($C2068,-$A2072,$A2073)))),
MAX(0,E2073-(OFFSET($C2073,0,$A2073)/(OFFSET($C2068,-$A2072,$A2073))))),0))</f>
        <v>0</v>
      </c>
      <c r="G2073" s="1423">
        <f t="shared" ca="1" si="3064"/>
        <v>0</v>
      </c>
      <c r="H2073" s="1423">
        <f t="shared" ca="1" si="3065"/>
        <v>0</v>
      </c>
      <c r="I2073" s="1423">
        <f t="shared" ca="1" si="3066"/>
        <v>0</v>
      </c>
      <c r="J2073" s="1423">
        <f t="shared" ca="1" si="3067"/>
        <v>0</v>
      </c>
      <c r="K2073" s="1423">
        <f t="shared" ca="1" si="3068"/>
        <v>0</v>
      </c>
      <c r="L2073" s="1423">
        <f t="shared" ca="1" si="3069"/>
        <v>0</v>
      </c>
      <c r="M2073" s="1423">
        <f t="shared" ca="1" si="3070"/>
        <v>0</v>
      </c>
      <c r="N2073" s="1423">
        <f t="shared" ca="1" si="3071"/>
        <v>0</v>
      </c>
      <c r="O2073" s="1423">
        <f t="shared" ca="1" si="3072"/>
        <v>0</v>
      </c>
      <c r="P2073" s="1423">
        <f t="shared" ca="1" si="3073"/>
        <v>0</v>
      </c>
      <c r="Q2073" s="1423">
        <f t="shared" ca="1" si="3074"/>
        <v>0</v>
      </c>
      <c r="R2073" s="1423">
        <f t="shared" ca="1" si="3075"/>
        <v>0</v>
      </c>
      <c r="S2073" s="1423">
        <f t="shared" ca="1" si="3076"/>
        <v>0</v>
      </c>
      <c r="T2073" s="1423">
        <f t="shared" ca="1" si="3077"/>
        <v>0</v>
      </c>
      <c r="U2073" s="1423">
        <f t="shared" ca="1" si="3078"/>
        <v>0</v>
      </c>
      <c r="V2073" s="1423">
        <f t="shared" ca="1" si="3079"/>
        <v>0</v>
      </c>
      <c r="W2073" s="1423">
        <f t="shared" ca="1" si="3080"/>
        <v>0</v>
      </c>
      <c r="X2073" s="202"/>
      <c r="Y2073" s="152"/>
      <c r="Z2073" s="152"/>
      <c r="AA2073" s="152"/>
      <c r="AB2073" s="152"/>
    </row>
    <row r="2074" spans="1:28" hidden="1" outlineLevel="1">
      <c r="A2074" s="199">
        <f t="shared" si="3081"/>
        <v>3</v>
      </c>
      <c r="B2074" s="190" t="str">
        <f t="shared" ca="1" si="3082"/>
        <v>Depreciated Net Capex 2018-19</v>
      </c>
      <c r="C2074" s="1426"/>
      <c r="D2074" s="1426"/>
      <c r="E2074" s="1427"/>
      <c r="F2074" s="1428">
        <f>($F2066*((1+F$11)^0.5)/F$10)</f>
        <v>0</v>
      </c>
      <c r="G2074" s="1423">
        <f ca="1">IF(F2098="n/a",F2074,IFERROR(IF((OFFSET($C2074,0,$A2074))&lt;0,
MIN(0,F2074-(OFFSET($C2074,0,$A2074)/(OFFSET($C2069,-$A2073,$A2074)))),
MAX(0,F2074-(OFFSET($C2074,0,$A2074)/(OFFSET($C2069,-$A2073,$A2074))))),0))</f>
        <v>0</v>
      </c>
      <c r="H2074" s="1423">
        <f t="shared" ca="1" si="3065"/>
        <v>0</v>
      </c>
      <c r="I2074" s="1423">
        <f t="shared" ca="1" si="3066"/>
        <v>0</v>
      </c>
      <c r="J2074" s="1423">
        <f t="shared" ca="1" si="3067"/>
        <v>0</v>
      </c>
      <c r="K2074" s="1423">
        <f t="shared" ca="1" si="3068"/>
        <v>0</v>
      </c>
      <c r="L2074" s="1423">
        <f t="shared" ca="1" si="3069"/>
        <v>0</v>
      </c>
      <c r="M2074" s="1423">
        <f t="shared" ca="1" si="3070"/>
        <v>0</v>
      </c>
      <c r="N2074" s="1423">
        <f t="shared" ca="1" si="3071"/>
        <v>0</v>
      </c>
      <c r="O2074" s="1423">
        <f t="shared" ca="1" si="3072"/>
        <v>0</v>
      </c>
      <c r="P2074" s="1423">
        <f t="shared" ca="1" si="3073"/>
        <v>0</v>
      </c>
      <c r="Q2074" s="1423">
        <f t="shared" ca="1" si="3074"/>
        <v>0</v>
      </c>
      <c r="R2074" s="1423">
        <f t="shared" ca="1" si="3075"/>
        <v>0</v>
      </c>
      <c r="S2074" s="1423">
        <f t="shared" ca="1" si="3076"/>
        <v>0</v>
      </c>
      <c r="T2074" s="1423">
        <f t="shared" ca="1" si="3077"/>
        <v>0</v>
      </c>
      <c r="U2074" s="1423">
        <f t="shared" ca="1" si="3078"/>
        <v>0</v>
      </c>
      <c r="V2074" s="1423">
        <f t="shared" ca="1" si="3079"/>
        <v>0</v>
      </c>
      <c r="W2074" s="1423">
        <f t="shared" ca="1" si="3080"/>
        <v>0</v>
      </c>
      <c r="X2074" s="202"/>
      <c r="Y2074" s="202"/>
      <c r="Z2074" s="152"/>
      <c r="AA2074" s="152"/>
      <c r="AB2074" s="152"/>
    </row>
    <row r="2075" spans="1:28" hidden="1" outlineLevel="1">
      <c r="A2075" s="199">
        <f t="shared" si="3081"/>
        <v>4</v>
      </c>
      <c r="B2075" s="190" t="str">
        <f t="shared" ca="1" si="3082"/>
        <v>Depreciated Net Capex 2019-20</v>
      </c>
      <c r="C2075" s="1426"/>
      <c r="D2075" s="1426"/>
      <c r="E2075" s="1426"/>
      <c r="F2075" s="1427"/>
      <c r="G2075" s="1428">
        <f>($G2066*((1+G$11)^0.5)/G$10)</f>
        <v>0</v>
      </c>
      <c r="H2075" s="1423">
        <f ca="1">IF(G2099="n/a",G2075,IFERROR(IF((OFFSET($C2075,0,$A2075))&lt;0,
MIN(0,G2075-(OFFSET($C2075,0,$A2075)/(OFFSET($C2070,-$A2074,$A2075)))),
MAX(0,G2075-(OFFSET($C2075,0,$A2075)/(OFFSET($C2070,-$A2074,$A2075))))),0))</f>
        <v>0</v>
      </c>
      <c r="I2075" s="1423">
        <f t="shared" ca="1" si="3066"/>
        <v>0</v>
      </c>
      <c r="J2075" s="1423">
        <f t="shared" ca="1" si="3067"/>
        <v>0</v>
      </c>
      <c r="K2075" s="1423">
        <f t="shared" ca="1" si="3068"/>
        <v>0</v>
      </c>
      <c r="L2075" s="1423">
        <f t="shared" ca="1" si="3069"/>
        <v>0</v>
      </c>
      <c r="M2075" s="1423">
        <f t="shared" ca="1" si="3070"/>
        <v>0</v>
      </c>
      <c r="N2075" s="1423">
        <f t="shared" ca="1" si="3071"/>
        <v>0</v>
      </c>
      <c r="O2075" s="1423">
        <f t="shared" ca="1" si="3072"/>
        <v>0</v>
      </c>
      <c r="P2075" s="1423">
        <f t="shared" ca="1" si="3073"/>
        <v>0</v>
      </c>
      <c r="Q2075" s="1423">
        <f t="shared" ca="1" si="3074"/>
        <v>0</v>
      </c>
      <c r="R2075" s="1423">
        <f t="shared" ca="1" si="3075"/>
        <v>0</v>
      </c>
      <c r="S2075" s="1423">
        <f t="shared" ca="1" si="3076"/>
        <v>0</v>
      </c>
      <c r="T2075" s="1423">
        <f t="shared" ca="1" si="3077"/>
        <v>0</v>
      </c>
      <c r="U2075" s="1423">
        <f t="shared" ca="1" si="3078"/>
        <v>0</v>
      </c>
      <c r="V2075" s="1423">
        <f t="shared" ca="1" si="3079"/>
        <v>0</v>
      </c>
      <c r="W2075" s="1423">
        <f t="shared" ca="1" si="3080"/>
        <v>0</v>
      </c>
      <c r="X2075" s="202"/>
      <c r="Y2075" s="202"/>
      <c r="Z2075" s="202"/>
      <c r="AA2075" s="152"/>
      <c r="AB2075" s="152"/>
    </row>
    <row r="2076" spans="1:28" hidden="1" outlineLevel="1">
      <c r="A2076" s="199">
        <f t="shared" si="3081"/>
        <v>5</v>
      </c>
      <c r="B2076" s="190" t="str">
        <f t="shared" ca="1" si="3082"/>
        <v>Depreciated Net Capex 2020-21</v>
      </c>
      <c r="C2076" s="1426"/>
      <c r="D2076" s="1426"/>
      <c r="E2076" s="1426"/>
      <c r="F2076" s="1426"/>
      <c r="G2076" s="1427"/>
      <c r="H2076" s="1428">
        <f>(H2066*((1+H$11)^0.5)/H$10)</f>
        <v>0</v>
      </c>
      <c r="I2076" s="1423">
        <f ca="1">IF(H2100="n/a",H2076,IFERROR(IF((OFFSET($C2076,0,$A2076))&lt;0,
MIN(0,H2076-(OFFSET($C2076,0,$A2076)/(OFFSET($C2071,-$A2075,$A2076)))),
MAX(0,H2076-(OFFSET($C2076,0,$A2076)/(OFFSET($C2071,-$A2075,$A2076))))),0))</f>
        <v>0</v>
      </c>
      <c r="J2076" s="1423">
        <f t="shared" ca="1" si="3067"/>
        <v>0</v>
      </c>
      <c r="K2076" s="1423">
        <f t="shared" ca="1" si="3068"/>
        <v>0</v>
      </c>
      <c r="L2076" s="1423">
        <f t="shared" ca="1" si="3069"/>
        <v>0</v>
      </c>
      <c r="M2076" s="1423">
        <f t="shared" ca="1" si="3070"/>
        <v>0</v>
      </c>
      <c r="N2076" s="1423">
        <f t="shared" ca="1" si="3071"/>
        <v>0</v>
      </c>
      <c r="O2076" s="1423">
        <f t="shared" ca="1" si="3072"/>
        <v>0</v>
      </c>
      <c r="P2076" s="1423">
        <f t="shared" ca="1" si="3073"/>
        <v>0</v>
      </c>
      <c r="Q2076" s="1423">
        <f t="shared" ca="1" si="3074"/>
        <v>0</v>
      </c>
      <c r="R2076" s="1423">
        <f t="shared" ca="1" si="3075"/>
        <v>0</v>
      </c>
      <c r="S2076" s="1423">
        <f t="shared" ca="1" si="3076"/>
        <v>0</v>
      </c>
      <c r="T2076" s="1423">
        <f t="shared" ca="1" si="3077"/>
        <v>0</v>
      </c>
      <c r="U2076" s="1423">
        <f t="shared" ca="1" si="3078"/>
        <v>0</v>
      </c>
      <c r="V2076" s="1423">
        <f t="shared" ca="1" si="3079"/>
        <v>0</v>
      </c>
      <c r="W2076" s="1423">
        <f t="shared" ca="1" si="3080"/>
        <v>0</v>
      </c>
      <c r="X2076" s="202"/>
      <c r="Y2076" s="202"/>
      <c r="Z2076" s="202"/>
      <c r="AA2076" s="152"/>
      <c r="AB2076" s="152"/>
    </row>
    <row r="2077" spans="1:28" hidden="1" outlineLevel="1">
      <c r="A2077" s="199">
        <f t="shared" si="3081"/>
        <v>6</v>
      </c>
      <c r="B2077" s="190" t="str">
        <f t="shared" ca="1" si="3082"/>
        <v>Depreciated Net Capex 2021-22</v>
      </c>
      <c r="C2077" s="1426"/>
      <c r="D2077" s="1426"/>
      <c r="E2077" s="1426"/>
      <c r="F2077" s="1426"/>
      <c r="G2077" s="1426"/>
      <c r="H2077" s="1427"/>
      <c r="I2077" s="1428">
        <f>(I2066*((1+I$11)^0.5)/I$10)</f>
        <v>0</v>
      </c>
      <c r="J2077" s="1423">
        <f ca="1">IF(I2101="n/a",I2077,IFERROR(IF((OFFSET($C2077,0,$A2077))&lt;0,
MIN(0,I2077-(OFFSET($C2077,0,$A2077)/(OFFSET($C2072,-$A2076,$A2077)))),
MAX(0,I2077-(OFFSET($C2077,0,$A2077)/(OFFSET($C2072,-$A2076,$A2077))))),0))</f>
        <v>0</v>
      </c>
      <c r="K2077" s="1423">
        <f t="shared" ca="1" si="3068"/>
        <v>0</v>
      </c>
      <c r="L2077" s="1423">
        <f t="shared" ca="1" si="3069"/>
        <v>0</v>
      </c>
      <c r="M2077" s="1423">
        <f t="shared" ca="1" si="3070"/>
        <v>0</v>
      </c>
      <c r="N2077" s="1423">
        <f t="shared" ca="1" si="3071"/>
        <v>0</v>
      </c>
      <c r="O2077" s="1423">
        <f t="shared" ca="1" si="3072"/>
        <v>0</v>
      </c>
      <c r="P2077" s="1423">
        <f t="shared" ca="1" si="3073"/>
        <v>0</v>
      </c>
      <c r="Q2077" s="1423">
        <f t="shared" ca="1" si="3074"/>
        <v>0</v>
      </c>
      <c r="R2077" s="1423">
        <f t="shared" ca="1" si="3075"/>
        <v>0</v>
      </c>
      <c r="S2077" s="1423">
        <f t="shared" ca="1" si="3076"/>
        <v>0</v>
      </c>
      <c r="T2077" s="1423">
        <f t="shared" ca="1" si="3077"/>
        <v>0</v>
      </c>
      <c r="U2077" s="1423">
        <f t="shared" ca="1" si="3078"/>
        <v>0</v>
      </c>
      <c r="V2077" s="1423">
        <f t="shared" ca="1" si="3079"/>
        <v>0</v>
      </c>
      <c r="W2077" s="1423">
        <f t="shared" ca="1" si="3080"/>
        <v>0</v>
      </c>
      <c r="X2077" s="202"/>
      <c r="Y2077" s="202"/>
      <c r="Z2077" s="202"/>
      <c r="AA2077" s="152"/>
      <c r="AB2077" s="152"/>
    </row>
    <row r="2078" spans="1:28" hidden="1" outlineLevel="1">
      <c r="A2078" s="199">
        <f t="shared" si="3081"/>
        <v>7</v>
      </c>
      <c r="B2078" s="190" t="str">
        <f t="shared" ca="1" si="3082"/>
        <v>Depreciated Net Capex 2022-23</v>
      </c>
      <c r="C2078" s="1426"/>
      <c r="D2078" s="1426"/>
      <c r="E2078" s="1426"/>
      <c r="F2078" s="1426"/>
      <c r="G2078" s="1426"/>
      <c r="H2078" s="1426"/>
      <c r="I2078" s="1427"/>
      <c r="J2078" s="1428">
        <f>(J2066*((1+J$11)^0.5)/J$10)</f>
        <v>0</v>
      </c>
      <c r="K2078" s="1423">
        <f ca="1">IF(J2102="n/a",J2078,IFERROR(IF((OFFSET($C2078,0,$A2078))&lt;0,
MIN(0,J2078-(OFFSET($C2078,0,$A2078)/(OFFSET($C2073,-$A2077,$A2078)))),
MAX(0,J2078-(OFFSET($C2078,0,$A2078)/(OFFSET($C2073,-$A2077,$A2078))))),0))</f>
        <v>0</v>
      </c>
      <c r="L2078" s="1423">
        <f t="shared" ca="1" si="3069"/>
        <v>0</v>
      </c>
      <c r="M2078" s="1423">
        <f t="shared" ca="1" si="3070"/>
        <v>0</v>
      </c>
      <c r="N2078" s="1423">
        <f t="shared" ca="1" si="3071"/>
        <v>0</v>
      </c>
      <c r="O2078" s="1423">
        <f t="shared" ca="1" si="3072"/>
        <v>0</v>
      </c>
      <c r="P2078" s="1423">
        <f t="shared" ca="1" si="3073"/>
        <v>0</v>
      </c>
      <c r="Q2078" s="1423">
        <f t="shared" ca="1" si="3074"/>
        <v>0</v>
      </c>
      <c r="R2078" s="1423">
        <f t="shared" ca="1" si="3075"/>
        <v>0</v>
      </c>
      <c r="S2078" s="1423">
        <f t="shared" ca="1" si="3076"/>
        <v>0</v>
      </c>
      <c r="T2078" s="1423">
        <f t="shared" ca="1" si="3077"/>
        <v>0</v>
      </c>
      <c r="U2078" s="1423">
        <f t="shared" ca="1" si="3078"/>
        <v>0</v>
      </c>
      <c r="V2078" s="1423">
        <f t="shared" ca="1" si="3079"/>
        <v>0</v>
      </c>
      <c r="W2078" s="1423">
        <f t="shared" ca="1" si="3080"/>
        <v>0</v>
      </c>
      <c r="X2078" s="202"/>
      <c r="Y2078" s="202"/>
      <c r="Z2078" s="202"/>
      <c r="AA2078" s="152"/>
      <c r="AB2078" s="152"/>
    </row>
    <row r="2079" spans="1:28" hidden="1" outlineLevel="1">
      <c r="A2079" s="199">
        <f t="shared" si="3081"/>
        <v>8</v>
      </c>
      <c r="B2079" s="190" t="str">
        <f t="shared" ca="1" si="3082"/>
        <v>Depreciated Net Capex 2023-24</v>
      </c>
      <c r="C2079" s="1426"/>
      <c r="D2079" s="1426"/>
      <c r="E2079" s="1426"/>
      <c r="F2079" s="1426"/>
      <c r="G2079" s="1426"/>
      <c r="H2079" s="1426"/>
      <c r="I2079" s="1426"/>
      <c r="J2079" s="1427"/>
      <c r="K2079" s="1428">
        <f>(K2066*((1+K$11)^0.5)/K$10)</f>
        <v>0</v>
      </c>
      <c r="L2079" s="1423">
        <f ca="1">IF(K2103="n/a",K2079,IFERROR(IF((OFFSET($C2079,0,$A2079))&lt;0,
MIN(0,K2079-(OFFSET($C2079,0,$A2079)/(OFFSET($C2074,-$A2078,$A2079)))),
MAX(0,K2079-(OFFSET($C2079,0,$A2079)/(OFFSET($C2074,-$A2078,$A2079))))),0))</f>
        <v>0</v>
      </c>
      <c r="M2079" s="1423">
        <f t="shared" ca="1" si="3070"/>
        <v>0</v>
      </c>
      <c r="N2079" s="1423">
        <f t="shared" ca="1" si="3071"/>
        <v>0</v>
      </c>
      <c r="O2079" s="1423">
        <f t="shared" ca="1" si="3072"/>
        <v>0</v>
      </c>
      <c r="P2079" s="1423">
        <f t="shared" ca="1" si="3073"/>
        <v>0</v>
      </c>
      <c r="Q2079" s="1423">
        <f t="shared" ca="1" si="3074"/>
        <v>0</v>
      </c>
      <c r="R2079" s="1423">
        <f t="shared" ca="1" si="3075"/>
        <v>0</v>
      </c>
      <c r="S2079" s="1423">
        <f t="shared" ca="1" si="3076"/>
        <v>0</v>
      </c>
      <c r="T2079" s="1423">
        <f t="shared" ca="1" si="3077"/>
        <v>0</v>
      </c>
      <c r="U2079" s="1423">
        <f t="shared" ca="1" si="3078"/>
        <v>0</v>
      </c>
      <c r="V2079" s="1423">
        <f t="shared" ca="1" si="3079"/>
        <v>0</v>
      </c>
      <c r="W2079" s="1423">
        <f t="shared" ca="1" si="3080"/>
        <v>0</v>
      </c>
      <c r="X2079" s="202"/>
      <c r="Y2079" s="202"/>
      <c r="Z2079" s="202"/>
      <c r="AA2079" s="152"/>
      <c r="AB2079" s="152"/>
    </row>
    <row r="2080" spans="1:28" hidden="1" outlineLevel="1">
      <c r="A2080" s="199">
        <f t="shared" si="3081"/>
        <v>9</v>
      </c>
      <c r="B2080" s="190" t="str">
        <f t="shared" ca="1" si="3082"/>
        <v>Depreciated Net Capex 2024-25</v>
      </c>
      <c r="C2080" s="1426"/>
      <c r="D2080" s="1426"/>
      <c r="E2080" s="1426"/>
      <c r="F2080" s="1426"/>
      <c r="G2080" s="1426"/>
      <c r="H2080" s="1426"/>
      <c r="I2080" s="1426"/>
      <c r="J2080" s="1426"/>
      <c r="K2080" s="1427"/>
      <c r="L2080" s="1428">
        <f>(L2066*((1+L$11)^0.5)/L$10)</f>
        <v>0</v>
      </c>
      <c r="M2080" s="1423">
        <f ca="1">IF(L2104="n/a",L2080,IFERROR(IF((OFFSET($C2080,0,$A2080))&lt;0,
MIN(0,L2080-(OFFSET($C2080,0,$A2080)/(OFFSET($C2075,-$A2079,$A2080)))),
MAX(0,L2080-(OFFSET($C2080,0,$A2080)/(OFFSET($C2075,-$A2079,$A2080))))),0))</f>
        <v>0</v>
      </c>
      <c r="N2080" s="1423">
        <f t="shared" ca="1" si="3071"/>
        <v>0</v>
      </c>
      <c r="O2080" s="1423">
        <f t="shared" ca="1" si="3072"/>
        <v>0</v>
      </c>
      <c r="P2080" s="1423">
        <f t="shared" ca="1" si="3073"/>
        <v>0</v>
      </c>
      <c r="Q2080" s="1423">
        <f t="shared" ca="1" si="3074"/>
        <v>0</v>
      </c>
      <c r="R2080" s="1423">
        <f t="shared" ca="1" si="3075"/>
        <v>0</v>
      </c>
      <c r="S2080" s="1423">
        <f t="shared" ca="1" si="3076"/>
        <v>0</v>
      </c>
      <c r="T2080" s="1423">
        <f t="shared" ca="1" si="3077"/>
        <v>0</v>
      </c>
      <c r="U2080" s="1423">
        <f t="shared" ca="1" si="3078"/>
        <v>0</v>
      </c>
      <c r="V2080" s="1423">
        <f t="shared" ca="1" si="3079"/>
        <v>0</v>
      </c>
      <c r="W2080" s="1423">
        <f t="shared" ca="1" si="3080"/>
        <v>0</v>
      </c>
      <c r="X2080" s="202"/>
      <c r="Y2080" s="202"/>
      <c r="Z2080" s="202"/>
      <c r="AA2080" s="152"/>
      <c r="AB2080" s="152"/>
    </row>
    <row r="2081" spans="1:28" hidden="1" outlineLevel="1">
      <c r="A2081" s="199">
        <f t="shared" si="3081"/>
        <v>10</v>
      </c>
      <c r="B2081" s="190" t="str">
        <f t="shared" ca="1" si="3082"/>
        <v>Depreciated Net Capex 2025-26</v>
      </c>
      <c r="C2081" s="1426"/>
      <c r="D2081" s="1426"/>
      <c r="E2081" s="1426"/>
      <c r="F2081" s="1426"/>
      <c r="G2081" s="1426"/>
      <c r="H2081" s="1426"/>
      <c r="I2081" s="1426"/>
      <c r="J2081" s="1426"/>
      <c r="K2081" s="1426"/>
      <c r="L2081" s="1427"/>
      <c r="M2081" s="1428">
        <f>(M2066*((1+M$11)^0.5)/M$10)</f>
        <v>0</v>
      </c>
      <c r="N2081" s="1423">
        <f ca="1">IF(M2105="n/a",M2081,IFERROR(IF((OFFSET($C2081,0,$A2081))&lt;0,
MIN(0,M2081-(OFFSET($C2081,0,$A2081)/(OFFSET($C2076,-$A2080,$A2081)))),
MAX(0,M2081-(OFFSET($C2081,0,$A2081)/(OFFSET($C2076,-$A2080,$A2081))))),0))</f>
        <v>0</v>
      </c>
      <c r="O2081" s="1423">
        <f t="shared" ca="1" si="3072"/>
        <v>0</v>
      </c>
      <c r="P2081" s="1423">
        <f t="shared" ca="1" si="3073"/>
        <v>0</v>
      </c>
      <c r="Q2081" s="1423">
        <f t="shared" ca="1" si="3074"/>
        <v>0</v>
      </c>
      <c r="R2081" s="1423">
        <f t="shared" ca="1" si="3075"/>
        <v>0</v>
      </c>
      <c r="S2081" s="1423">
        <f t="shared" ca="1" si="3076"/>
        <v>0</v>
      </c>
      <c r="T2081" s="1423">
        <f t="shared" ca="1" si="3077"/>
        <v>0</v>
      </c>
      <c r="U2081" s="1423">
        <f t="shared" ca="1" si="3078"/>
        <v>0</v>
      </c>
      <c r="V2081" s="1423">
        <f t="shared" ca="1" si="3079"/>
        <v>0</v>
      </c>
      <c r="W2081" s="1423">
        <f t="shared" ca="1" si="3080"/>
        <v>0</v>
      </c>
      <c r="X2081" s="202"/>
      <c r="Y2081" s="202"/>
      <c r="Z2081" s="202"/>
      <c r="AA2081" s="152"/>
      <c r="AB2081" s="152"/>
    </row>
    <row r="2082" spans="1:28" hidden="1" outlineLevel="1">
      <c r="A2082" s="199">
        <f t="shared" si="3081"/>
        <v>11</v>
      </c>
      <c r="B2082" s="190" t="str">
        <f t="shared" ca="1" si="3082"/>
        <v>Depreciated Net Capex 2026-27</v>
      </c>
      <c r="C2082" s="1426"/>
      <c r="D2082" s="1426"/>
      <c r="E2082" s="1426"/>
      <c r="F2082" s="1426"/>
      <c r="G2082" s="1426"/>
      <c r="H2082" s="1426"/>
      <c r="I2082" s="1426"/>
      <c r="J2082" s="1426"/>
      <c r="K2082" s="1426"/>
      <c r="L2082" s="1426"/>
      <c r="M2082" s="1427"/>
      <c r="N2082" s="1428">
        <f>(N2066*((1+N$11)^0.5)/N$10)</f>
        <v>0</v>
      </c>
      <c r="O2082" s="1423">
        <f ca="1">IF(N2106="n/a",N2082,IFERROR(IF((OFFSET($C2082,0,$A2082))&lt;0,
MIN(0,N2082-(OFFSET($C2082,0,$A2082)/(OFFSET($C2077,-$A2081,$A2082)))),
MAX(0,N2082-(OFFSET($C2082,0,$A2082)/(OFFSET($C2077,-$A2081,$A2082))))),0))</f>
        <v>0</v>
      </c>
      <c r="P2082" s="1423">
        <f t="shared" ca="1" si="3073"/>
        <v>0</v>
      </c>
      <c r="Q2082" s="1423">
        <f t="shared" ca="1" si="3074"/>
        <v>0</v>
      </c>
      <c r="R2082" s="1423">
        <f t="shared" ca="1" si="3075"/>
        <v>0</v>
      </c>
      <c r="S2082" s="1423">
        <f t="shared" ca="1" si="3076"/>
        <v>0</v>
      </c>
      <c r="T2082" s="1423">
        <f t="shared" ca="1" si="3077"/>
        <v>0</v>
      </c>
      <c r="U2082" s="1423">
        <f t="shared" ca="1" si="3078"/>
        <v>0</v>
      </c>
      <c r="V2082" s="1423">
        <f t="shared" ca="1" si="3079"/>
        <v>0</v>
      </c>
      <c r="W2082" s="1423">
        <f t="shared" ca="1" si="3080"/>
        <v>0</v>
      </c>
      <c r="X2082" s="202"/>
      <c r="Y2082" s="202"/>
      <c r="Z2082" s="202"/>
      <c r="AA2082" s="152"/>
      <c r="AB2082" s="152"/>
    </row>
    <row r="2083" spans="1:28" hidden="1" outlineLevel="1">
      <c r="A2083" s="199">
        <f t="shared" si="3081"/>
        <v>12</v>
      </c>
      <c r="B2083" s="190" t="str">
        <f t="shared" ca="1" si="3082"/>
        <v>Depreciated Net Capex 2027-28</v>
      </c>
      <c r="C2083" s="1426"/>
      <c r="D2083" s="1426"/>
      <c r="E2083" s="1426"/>
      <c r="F2083" s="1426"/>
      <c r="G2083" s="1426"/>
      <c r="H2083" s="1426"/>
      <c r="I2083" s="1426"/>
      <c r="J2083" s="1426"/>
      <c r="K2083" s="1426"/>
      <c r="L2083" s="1426"/>
      <c r="M2083" s="1426"/>
      <c r="N2083" s="1427"/>
      <c r="O2083" s="1428">
        <f>(O2066*((1+O$11)^0.5)/O$10)</f>
        <v>0</v>
      </c>
      <c r="P2083" s="1423">
        <f ca="1">IF(O2107="n/a",O2083,IFERROR(IF((OFFSET($C2083,0,$A2083))&lt;0,
MIN(0,O2083-(OFFSET($C2083,0,$A2083)/(OFFSET($C2078,-$A2082,$A2083)))),
MAX(0,O2083-(OFFSET($C2083,0,$A2083)/(OFFSET($C2078,-$A2082,$A2083))))),0))</f>
        <v>0</v>
      </c>
      <c r="Q2083" s="1423">
        <f t="shared" ca="1" si="3074"/>
        <v>0</v>
      </c>
      <c r="R2083" s="1423">
        <f t="shared" ca="1" si="3075"/>
        <v>0</v>
      </c>
      <c r="S2083" s="1423">
        <f t="shared" ca="1" si="3076"/>
        <v>0</v>
      </c>
      <c r="T2083" s="1423">
        <f t="shared" ca="1" si="3077"/>
        <v>0</v>
      </c>
      <c r="U2083" s="1423">
        <f t="shared" ca="1" si="3078"/>
        <v>0</v>
      </c>
      <c r="V2083" s="1423">
        <f t="shared" ca="1" si="3079"/>
        <v>0</v>
      </c>
      <c r="W2083" s="1423">
        <f t="shared" ca="1" si="3080"/>
        <v>0</v>
      </c>
      <c r="X2083" s="202"/>
      <c r="Y2083" s="202"/>
      <c r="Z2083" s="202"/>
      <c r="AA2083" s="152"/>
      <c r="AB2083" s="152"/>
    </row>
    <row r="2084" spans="1:28" hidden="1" outlineLevel="1">
      <c r="A2084" s="199">
        <f t="shared" si="3081"/>
        <v>13</v>
      </c>
      <c r="B2084" s="190" t="str">
        <f t="shared" ca="1" si="3082"/>
        <v>Depreciated Net Capex 2028-29</v>
      </c>
      <c r="C2084" s="1426"/>
      <c r="D2084" s="1426"/>
      <c r="E2084" s="1426"/>
      <c r="F2084" s="1426"/>
      <c r="G2084" s="1426"/>
      <c r="H2084" s="1426"/>
      <c r="I2084" s="1426"/>
      <c r="J2084" s="1426"/>
      <c r="K2084" s="1426"/>
      <c r="L2084" s="1426"/>
      <c r="M2084" s="1426"/>
      <c r="N2084" s="1426"/>
      <c r="O2084" s="1427"/>
      <c r="P2084" s="1428">
        <f>(P2066*((1+P$11)^0.5)/P$10)</f>
        <v>0</v>
      </c>
      <c r="Q2084" s="1423">
        <f ca="1">IF(P2108="n/a",P2084,IFERROR(IF((OFFSET($C2084,0,$A2084))&lt;0,
MIN(0,P2084-(OFFSET($C2084,0,$A2084)/(OFFSET($C2079,-$A2083,$A2084)))),
MAX(0,P2084-(OFFSET($C2084,0,$A2084)/(OFFSET($C2079,-$A2083,$A2084))))),0))</f>
        <v>0</v>
      </c>
      <c r="R2084" s="1423">
        <f t="shared" ca="1" si="3075"/>
        <v>0</v>
      </c>
      <c r="S2084" s="1423">
        <f t="shared" ca="1" si="3076"/>
        <v>0</v>
      </c>
      <c r="T2084" s="1423">
        <f t="shared" ca="1" si="3077"/>
        <v>0</v>
      </c>
      <c r="U2084" s="1423">
        <f t="shared" ca="1" si="3078"/>
        <v>0</v>
      </c>
      <c r="V2084" s="1423">
        <f t="shared" ca="1" si="3079"/>
        <v>0</v>
      </c>
      <c r="W2084" s="1423">
        <f t="shared" ca="1" si="3080"/>
        <v>0</v>
      </c>
      <c r="X2084" s="202"/>
      <c r="Y2084" s="202"/>
      <c r="Z2084" s="202"/>
      <c r="AA2084" s="152"/>
      <c r="AB2084" s="152"/>
    </row>
    <row r="2085" spans="1:28" hidden="1" outlineLevel="1">
      <c r="A2085" s="199">
        <f t="shared" si="3081"/>
        <v>14</v>
      </c>
      <c r="B2085" s="190" t="str">
        <f t="shared" ca="1" si="3082"/>
        <v>Depreciated Net Capex 2029-30</v>
      </c>
      <c r="C2085" s="1426"/>
      <c r="D2085" s="1426"/>
      <c r="E2085" s="1426"/>
      <c r="F2085" s="1426"/>
      <c r="G2085" s="1426"/>
      <c r="H2085" s="1426"/>
      <c r="I2085" s="1426"/>
      <c r="J2085" s="1426"/>
      <c r="K2085" s="1426"/>
      <c r="L2085" s="1426"/>
      <c r="M2085" s="1426"/>
      <c r="N2085" s="1426"/>
      <c r="O2085" s="1426"/>
      <c r="P2085" s="1427"/>
      <c r="Q2085" s="1428">
        <f>(Q2066*((1+Q$11)^0.5)/Q$10)</f>
        <v>0</v>
      </c>
      <c r="R2085" s="1423">
        <f ca="1">IF(Q2109="n/a",Q2085,IFERROR(IF((OFFSET($C2085,0,$A2085))&lt;0,
MIN(0,Q2085-(OFFSET($C2085,0,$A2085)/(OFFSET($C2080,-$A2084,$A2085)))),
MAX(0,Q2085-(OFFSET($C2085,0,$A2085)/(OFFSET($C2080,-$A2084,$A2085))))),0))</f>
        <v>0</v>
      </c>
      <c r="S2085" s="1423">
        <f t="shared" ca="1" si="3076"/>
        <v>0</v>
      </c>
      <c r="T2085" s="1423">
        <f t="shared" ca="1" si="3077"/>
        <v>0</v>
      </c>
      <c r="U2085" s="1423">
        <f t="shared" ca="1" si="3078"/>
        <v>0</v>
      </c>
      <c r="V2085" s="1423">
        <f t="shared" ca="1" si="3079"/>
        <v>0</v>
      </c>
      <c r="W2085" s="1423">
        <f t="shared" ca="1" si="3080"/>
        <v>0</v>
      </c>
      <c r="X2085" s="202"/>
      <c r="Y2085" s="202"/>
      <c r="Z2085" s="202"/>
      <c r="AA2085" s="152"/>
      <c r="AB2085" s="152"/>
    </row>
    <row r="2086" spans="1:28" hidden="1" outlineLevel="1">
      <c r="A2086" s="199">
        <f t="shared" si="3081"/>
        <v>15</v>
      </c>
      <c r="B2086" s="190" t="str">
        <f t="shared" ca="1" si="3082"/>
        <v>Depreciated Net Capex 2030-31</v>
      </c>
      <c r="C2086" s="1426"/>
      <c r="D2086" s="1426"/>
      <c r="E2086" s="1426"/>
      <c r="F2086" s="1426"/>
      <c r="G2086" s="1426"/>
      <c r="H2086" s="1426"/>
      <c r="I2086" s="1426"/>
      <c r="J2086" s="1426"/>
      <c r="K2086" s="1426"/>
      <c r="L2086" s="1426"/>
      <c r="M2086" s="1426"/>
      <c r="N2086" s="1426"/>
      <c r="O2086" s="1426"/>
      <c r="P2086" s="1426"/>
      <c r="Q2086" s="1427"/>
      <c r="R2086" s="1428">
        <f>(R2066*((1+R$11)^0.5)/R$10)</f>
        <v>0</v>
      </c>
      <c r="S2086" s="1423">
        <f ca="1">IF(R2110="n/a",R2086,IFERROR(IF((OFFSET($C2086,0,$A2086))&lt;0,
MIN(0,R2086-(OFFSET($C2086,0,$A2086)/(OFFSET($C2081,-$A2085,$A2086)))),
MAX(0,R2086-(OFFSET($C2086,0,$A2086)/(OFFSET($C2081,-$A2085,$A2086))))),0))</f>
        <v>0</v>
      </c>
      <c r="T2086" s="1423">
        <f t="shared" ca="1" si="3077"/>
        <v>0</v>
      </c>
      <c r="U2086" s="1423">
        <f t="shared" ca="1" si="3078"/>
        <v>0</v>
      </c>
      <c r="V2086" s="1423">
        <f t="shared" ca="1" si="3079"/>
        <v>0</v>
      </c>
      <c r="W2086" s="1423">
        <f t="shared" ca="1" si="3080"/>
        <v>0</v>
      </c>
      <c r="X2086" s="202"/>
      <c r="Y2086" s="202"/>
      <c r="Z2086" s="202"/>
      <c r="AA2086" s="152"/>
      <c r="AB2086" s="152"/>
    </row>
    <row r="2087" spans="1:28" hidden="1" outlineLevel="1">
      <c r="A2087" s="199">
        <f t="shared" si="3081"/>
        <v>16</v>
      </c>
      <c r="B2087" s="190" t="str">
        <f t="shared" ca="1" si="3082"/>
        <v>Depreciated Net Capex 2031-32</v>
      </c>
      <c r="C2087" s="1426"/>
      <c r="D2087" s="1426"/>
      <c r="E2087" s="1426"/>
      <c r="F2087" s="1426"/>
      <c r="G2087" s="1426"/>
      <c r="H2087" s="1426"/>
      <c r="I2087" s="1426"/>
      <c r="J2087" s="1426"/>
      <c r="K2087" s="1426"/>
      <c r="L2087" s="1426"/>
      <c r="M2087" s="1426"/>
      <c r="N2087" s="1426"/>
      <c r="O2087" s="1426"/>
      <c r="P2087" s="1426"/>
      <c r="Q2087" s="1426"/>
      <c r="R2087" s="1427"/>
      <c r="S2087" s="1428">
        <f>(S2066*((1+S$11)^0.5)/S$10)</f>
        <v>0</v>
      </c>
      <c r="T2087" s="1423">
        <f ca="1">IF(S2111="n/a",S2087,IFERROR(IF((OFFSET($C2087,0,$A2087))&lt;0,
MIN(0,S2087-(OFFSET($C2087,0,$A2087)/(OFFSET($C2082,-$A2086,$A2087)))),
MAX(0,S2087-(OFFSET($C2087,0,$A2087)/(OFFSET($C2082,-$A2086,$A2087))))),0))</f>
        <v>0</v>
      </c>
      <c r="U2087" s="1423">
        <f t="shared" ca="1" si="3078"/>
        <v>0</v>
      </c>
      <c r="V2087" s="1423">
        <f t="shared" ca="1" si="3079"/>
        <v>0</v>
      </c>
      <c r="W2087" s="1423">
        <f t="shared" ca="1" si="3080"/>
        <v>0</v>
      </c>
      <c r="X2087" s="202"/>
      <c r="Y2087" s="202"/>
      <c r="Z2087" s="202"/>
      <c r="AA2087" s="152"/>
      <c r="AB2087" s="152"/>
    </row>
    <row r="2088" spans="1:28" hidden="1" outlineLevel="1">
      <c r="A2088" s="199">
        <f t="shared" si="3081"/>
        <v>17</v>
      </c>
      <c r="B2088" s="190" t="str">
        <f t="shared" ca="1" si="3082"/>
        <v>Depreciated Net Capex 2032-33</v>
      </c>
      <c r="C2088" s="1426"/>
      <c r="D2088" s="1426"/>
      <c r="E2088" s="1426"/>
      <c r="F2088" s="1426"/>
      <c r="G2088" s="1426"/>
      <c r="H2088" s="1426"/>
      <c r="I2088" s="1426"/>
      <c r="J2088" s="1426"/>
      <c r="K2088" s="1426"/>
      <c r="L2088" s="1426"/>
      <c r="M2088" s="1426"/>
      <c r="N2088" s="1426"/>
      <c r="O2088" s="1426"/>
      <c r="P2088" s="1426"/>
      <c r="Q2088" s="1426"/>
      <c r="R2088" s="1426"/>
      <c r="S2088" s="1427"/>
      <c r="T2088" s="1428">
        <f>(T2066*((1+T$11)^0.5)/T$10)</f>
        <v>0</v>
      </c>
      <c r="U2088" s="1423">
        <f ca="1">IF(T2112="n/a",T2088,IFERROR(IF((OFFSET($C2088,0,$A2088))&lt;0,
MIN(0,T2088-(OFFSET($C2088,0,$A2088)/(OFFSET($C2083,-$A2087,$A2088)))),
MAX(0,T2088-(OFFSET($C2088,0,$A2088)/(OFFSET($C2083,-$A2087,$A2088))))),0))</f>
        <v>0</v>
      </c>
      <c r="V2088" s="1423">
        <f t="shared" ca="1" si="3079"/>
        <v>0</v>
      </c>
      <c r="W2088" s="1423">
        <f t="shared" ca="1" si="3080"/>
        <v>0</v>
      </c>
      <c r="X2088" s="202"/>
      <c r="Y2088" s="202"/>
      <c r="Z2088" s="202"/>
      <c r="AA2088" s="152"/>
      <c r="AB2088" s="152"/>
    </row>
    <row r="2089" spans="1:28" hidden="1" outlineLevel="1">
      <c r="A2089" s="199">
        <f t="shared" si="3081"/>
        <v>18</v>
      </c>
      <c r="B2089" s="190" t="str">
        <f t="shared" ca="1" si="3082"/>
        <v>Depreciated Net Capex 2033-34</v>
      </c>
      <c r="C2089" s="1426"/>
      <c r="D2089" s="1426"/>
      <c r="E2089" s="1426"/>
      <c r="F2089" s="1426"/>
      <c r="G2089" s="1426"/>
      <c r="H2089" s="1426"/>
      <c r="I2089" s="1426"/>
      <c r="J2089" s="1426"/>
      <c r="K2089" s="1426"/>
      <c r="L2089" s="1426"/>
      <c r="M2089" s="1426"/>
      <c r="N2089" s="1426"/>
      <c r="O2089" s="1426"/>
      <c r="P2089" s="1426"/>
      <c r="Q2089" s="1426"/>
      <c r="R2089" s="1426"/>
      <c r="S2089" s="1426"/>
      <c r="T2089" s="1427"/>
      <c r="U2089" s="1428">
        <f>(U2066*((1+U$11)^0.5)/U$10)</f>
        <v>0</v>
      </c>
      <c r="V2089" s="1423">
        <f ca="1">IF(U2113="n/a",U2089,IFERROR(IF((OFFSET($C2089,0,$A2089))&lt;0,
MIN(0,U2089-(OFFSET($C2089,0,$A2089)/(OFFSET($C2084,-$A2088,$A2089)))),
MAX(0,U2089-(OFFSET($C2089,0,$A2089)/(OFFSET($C2084,-$A2088,$A2089))))),0))</f>
        <v>0</v>
      </c>
      <c r="W2089" s="1423">
        <f t="shared" ca="1" si="3080"/>
        <v>0</v>
      </c>
      <c r="X2089" s="202"/>
      <c r="Y2089" s="202"/>
      <c r="Z2089" s="202"/>
      <c r="AA2089" s="152"/>
      <c r="AB2089" s="152"/>
    </row>
    <row r="2090" spans="1:28" hidden="1" outlineLevel="1">
      <c r="A2090" s="199">
        <f t="shared" si="3081"/>
        <v>19</v>
      </c>
      <c r="B2090" s="190" t="str">
        <f t="shared" ca="1" si="3082"/>
        <v>Depreciated Net Capex 2034-35</v>
      </c>
      <c r="C2090" s="1426"/>
      <c r="D2090" s="1426"/>
      <c r="E2090" s="1426"/>
      <c r="F2090" s="1426"/>
      <c r="G2090" s="1426"/>
      <c r="H2090" s="1426"/>
      <c r="I2090" s="1426"/>
      <c r="J2090" s="1426"/>
      <c r="K2090" s="1426"/>
      <c r="L2090" s="1426"/>
      <c r="M2090" s="1426"/>
      <c r="N2090" s="1426"/>
      <c r="O2090" s="1426"/>
      <c r="P2090" s="1426"/>
      <c r="Q2090" s="1426"/>
      <c r="R2090" s="1426"/>
      <c r="S2090" s="1426"/>
      <c r="T2090" s="1426"/>
      <c r="U2090" s="1427"/>
      <c r="V2090" s="1428">
        <f>(V2066*((1+V$11)^0.5)/V$10)</f>
        <v>0</v>
      </c>
      <c r="W2090" s="1423">
        <f ca="1">IF(V2114="n/a",V2090,IFERROR(IF((OFFSET($C2090,0,$A2090))&lt;0,
MIN(0,V2090-(OFFSET($C2090,0,$A2090)/(OFFSET($C2085,-$A2089,$A2090)))),
MAX(0,V2090-(OFFSET($C2090,0,$A2090)/(OFFSET($C2085,-$A2089,$A2090))))),0))</f>
        <v>0</v>
      </c>
      <c r="X2090" s="202"/>
      <c r="Y2090" s="202"/>
      <c r="Z2090" s="202"/>
      <c r="AA2090" s="152"/>
      <c r="AB2090" s="152"/>
    </row>
    <row r="2091" spans="1:28" hidden="1" outlineLevel="1">
      <c r="A2091" s="199">
        <f t="shared" si="3081"/>
        <v>20</v>
      </c>
      <c r="B2091" s="190" t="str">
        <f ca="1">"Depreciated Net Capex "&amp;OFFSET($C$6,0,A2091)</f>
        <v>Depreciated Net Capex 2035-36</v>
      </c>
      <c r="C2091" s="1426"/>
      <c r="D2091" s="1426"/>
      <c r="E2091" s="1426"/>
      <c r="F2091" s="1426"/>
      <c r="G2091" s="1426"/>
      <c r="H2091" s="1426"/>
      <c r="I2091" s="1426"/>
      <c r="J2091" s="1426"/>
      <c r="K2091" s="1426"/>
      <c r="L2091" s="1426"/>
      <c r="M2091" s="1426"/>
      <c r="N2091" s="1426"/>
      <c r="O2091" s="1426"/>
      <c r="P2091" s="1426"/>
      <c r="Q2091" s="1426"/>
      <c r="R2091" s="1426"/>
      <c r="S2091" s="1426"/>
      <c r="T2091" s="1426"/>
      <c r="U2091" s="1426"/>
      <c r="V2091" s="1427"/>
      <c r="W2091" s="1423">
        <f>(W2066*((1+W$11)^0.5)/W$10)</f>
        <v>0</v>
      </c>
      <c r="X2091" s="152"/>
      <c r="Y2091" s="152"/>
      <c r="Z2091" s="152"/>
      <c r="AA2091" s="152"/>
      <c r="AB2091" s="152"/>
    </row>
    <row r="2092" spans="1:28" hidden="1" outlineLevel="1">
      <c r="A2092" s="152"/>
      <c r="B2092" s="200"/>
      <c r="C2092" s="1423"/>
      <c r="D2092" s="1423"/>
      <c r="E2092" s="1423"/>
      <c r="F2092" s="1423"/>
      <c r="G2092" s="1423"/>
      <c r="H2092" s="1423"/>
      <c r="I2092" s="1423"/>
      <c r="J2092" s="1423"/>
      <c r="K2092" s="1423"/>
      <c r="L2092" s="1423"/>
      <c r="M2092" s="1423"/>
      <c r="N2092" s="1423"/>
      <c r="O2092" s="1423"/>
      <c r="P2092" s="1423"/>
      <c r="Q2092" s="1423"/>
      <c r="R2092" s="1423"/>
      <c r="S2092" s="1423"/>
      <c r="T2092" s="1423"/>
      <c r="U2092" s="1423"/>
      <c r="V2092" s="1423"/>
      <c r="W2092" s="1423"/>
      <c r="X2092" s="152"/>
      <c r="Y2092" s="152"/>
      <c r="Z2092" s="152"/>
      <c r="AA2092" s="152"/>
      <c r="AB2092" s="152"/>
    </row>
    <row r="2093" spans="1:28" hidden="1" outlineLevel="1">
      <c r="A2093" s="152"/>
      <c r="B2093" s="200"/>
      <c r="C2093" s="1423"/>
      <c r="D2093" s="1423"/>
      <c r="E2093" s="1423"/>
      <c r="F2093" s="1423"/>
      <c r="G2093" s="1423"/>
      <c r="H2093" s="1423"/>
      <c r="I2093" s="1423"/>
      <c r="J2093" s="1423"/>
      <c r="K2093" s="1423"/>
      <c r="L2093" s="1423"/>
      <c r="M2093" s="1423"/>
      <c r="N2093" s="1423"/>
      <c r="O2093" s="1423"/>
      <c r="P2093" s="1423"/>
      <c r="Q2093" s="1423"/>
      <c r="R2093" s="1423"/>
      <c r="S2093" s="1423"/>
      <c r="T2093" s="1423"/>
      <c r="U2093" s="1423"/>
      <c r="V2093" s="1423"/>
      <c r="W2093" s="1423"/>
      <c r="X2093" s="152"/>
      <c r="Y2093" s="152"/>
      <c r="Z2093" s="152"/>
      <c r="AA2093" s="152"/>
      <c r="AB2093" s="152"/>
    </row>
    <row r="2094" spans="1:28" hidden="1" outlineLevel="1">
      <c r="A2094" s="152"/>
      <c r="B2094" s="190" t="s">
        <v>190</v>
      </c>
      <c r="C2094" s="1423"/>
      <c r="D2094" s="1423">
        <f ca="1">IF(AND(C2094&lt;1,D2068=0),0,
IF(D2068=0,C2094-1,
IF(C2094&lt;1,D2069,
(((C2094-1)*(C2070-(C2070/(C2094))))+((D2068/D$10)*D2069))/(D2070))))</f>
        <v>0</v>
      </c>
      <c r="E2094" s="1423">
        <f t="shared" ref="E2094" ca="1" si="3083">IF(AND(D2094&lt;1,E2068=0),0,
IF(E2068=0,D2094-1,
IF(D2094&lt;1,E2069,
(((D2094-1)*(D2070-(D2070/(D2094))))+((E2068/E$10)*E2069))/(E2070))))</f>
        <v>0</v>
      </c>
      <c r="F2094" s="1423">
        <f t="shared" ref="F2094" ca="1" si="3084">IF(AND(E2094&lt;1,F2068=0),0,
IF(F2068=0,E2094-1,
IF(E2094&lt;1,F2069,
(((E2094-1)*(E2070-(E2070/(E2094))))+((F2068/F$10)*F2069))/(F2070))))</f>
        <v>0</v>
      </c>
      <c r="G2094" s="1423">
        <f t="shared" ref="G2094" ca="1" si="3085">IF(AND(F2094&lt;1,G2068=0),0,
IF(G2068=0,F2094-1,
IF(F2094&lt;1,G2069,
(((F2094-1)*(F2070-(F2070/(F2094))))+((G2068/G$10)*G2069))/(G2070))))</f>
        <v>0</v>
      </c>
      <c r="H2094" s="1423">
        <f t="shared" ref="H2094" ca="1" si="3086">IF(AND(G2094&lt;1,H2068=0),0,
IF(H2068=0,G2094-1,
IF(G2094&lt;1,H2069,
(((G2094-1)*(G2070-(G2070/(G2094))))+((H2068/H$10)*H2069))/(H2070))))</f>
        <v>0</v>
      </c>
      <c r="I2094" s="1423">
        <f t="shared" ref="I2094" ca="1" si="3087">IF(AND(H2094&lt;1,I2068=0),0,
IF(I2068=0,H2094-1,
IF(H2094&lt;1,I2069,
(((H2094-1)*(H2070-(H2070/(H2094))))+((I2068/I$10)*I2069))/(I2070))))</f>
        <v>0</v>
      </c>
      <c r="J2094" s="1423">
        <f t="shared" ref="J2094" ca="1" si="3088">IF(AND(I2094&lt;1,J2068=0),0,
IF(J2068=0,I2094-1,
IF(I2094&lt;1,J2069,
(((I2094-1)*(I2070-(I2070/(I2094))))+((J2068/J$10)*J2069))/(J2070))))</f>
        <v>0</v>
      </c>
      <c r="K2094" s="1423">
        <f t="shared" ref="K2094" ca="1" si="3089">IF(AND(J2094&lt;1,K2068=0),0,
IF(K2068=0,J2094-1,
IF(J2094&lt;1,K2069,
(((J2094-1)*(J2070-(J2070/(J2094))))+((K2068/K$10)*K2069))/(K2070))))</f>
        <v>0</v>
      </c>
      <c r="L2094" s="1423">
        <f t="shared" ref="L2094" ca="1" si="3090">IF(AND(K2094&lt;1,L2068=0),0,
IF(L2068=0,K2094-1,
IF(K2094&lt;1,L2069,
(((K2094-1)*(K2070-(K2070/(K2094))))+((L2068/L$10)*L2069))/(L2070))))</f>
        <v>0</v>
      </c>
      <c r="M2094" s="1423">
        <f t="shared" ref="M2094" ca="1" si="3091">IF(AND(L2094&lt;1,M2068=0),0,
IF(M2068=0,L2094-1,
IF(L2094&lt;1,M2069,
(((L2094-1)*(L2070-(L2070/(L2094))))+((M2068/M$10)*M2069))/(M2070))))</f>
        <v>0</v>
      </c>
      <c r="N2094" s="1423">
        <f t="shared" ref="N2094" ca="1" si="3092">IF(AND(M2094&lt;1,N2068=0),0,
IF(N2068=0,M2094-1,
IF(M2094&lt;1,N2069,
(((M2094-1)*(M2070-(M2070/(M2094))))+((N2068/N$10)*N2069))/(N2070))))</f>
        <v>0</v>
      </c>
      <c r="O2094" s="1423">
        <f t="shared" ref="O2094" ca="1" si="3093">IF(AND(N2094&lt;1,O2068=0),0,
IF(O2068=0,N2094-1,
IF(N2094&lt;1,O2069,
(((N2094-1)*(N2070-(N2070/(N2094))))+((O2068/O$10)*O2069))/(O2070))))</f>
        <v>0</v>
      </c>
      <c r="P2094" s="1423">
        <f t="shared" ref="P2094" ca="1" si="3094">IF(AND(O2094&lt;1,P2068=0),0,
IF(P2068=0,O2094-1,
IF(O2094&lt;1,P2069,
(((O2094-1)*(O2070-(O2070/(O2094))))+((P2068/P$10)*P2069))/(P2070))))</f>
        <v>0</v>
      </c>
      <c r="Q2094" s="1423">
        <f t="shared" ref="Q2094" ca="1" si="3095">IF(AND(P2094&lt;1,Q2068=0),0,
IF(Q2068=0,P2094-1,
IF(P2094&lt;1,Q2069,
(((P2094-1)*(P2070-(P2070/(P2094))))+((Q2068/Q$10)*Q2069))/(Q2070))))</f>
        <v>0</v>
      </c>
      <c r="R2094" s="1423">
        <f t="shared" ref="R2094" ca="1" si="3096">IF(AND(Q2094&lt;1,R2068=0),0,
IF(R2068=0,Q2094-1,
IF(Q2094&lt;1,R2069,
(((Q2094-1)*(Q2070-(Q2070/(Q2094))))+((R2068/R$10)*R2069))/(R2070))))</f>
        <v>0</v>
      </c>
      <c r="S2094" s="1423">
        <f t="shared" ref="S2094" ca="1" si="3097">IF(AND(R2094&lt;1,S2068=0),0,
IF(S2068=0,R2094-1,
IF(R2094&lt;1,S2069,
(((R2094-1)*(R2070-(R2070/(R2094))))+((S2068/S$10)*S2069))/(S2070))))</f>
        <v>0</v>
      </c>
      <c r="T2094" s="1423">
        <f t="shared" ref="T2094" ca="1" si="3098">IF(AND(S2094&lt;1,T2068=0),0,
IF(T2068=0,S2094-1,
IF(S2094&lt;1,T2069,
(((S2094-1)*(S2070-(S2070/(S2094))))+((T2068/T$10)*T2069))/(T2070))))</f>
        <v>0</v>
      </c>
      <c r="U2094" s="1423">
        <f t="shared" ref="U2094" ca="1" si="3099">IF(AND(T2094&lt;1,U2068=0),0,
IF(U2068=0,T2094-1,
IF(T2094&lt;1,U2069,
(((T2094-1)*(T2070-(T2070/(T2094))))+((U2068/U$10)*U2069))/(U2070))))</f>
        <v>0</v>
      </c>
      <c r="V2094" s="1423">
        <f t="shared" ref="V2094" ca="1" si="3100">IF(AND(U2094&lt;1,V2068=0),0,
IF(V2068=0,U2094-1,
IF(U2094&lt;1,V2069,
(((U2094-1)*(U2070-(U2070/(U2094))))+((V2068/V$10)*V2069))/(V2070))))</f>
        <v>0</v>
      </c>
      <c r="W2094" s="1423">
        <f t="shared" ref="W2094" ca="1" si="3101">IF(AND(V2094&lt;1,W2068=0),0,
IF(W2068=0,V2094-1,
IF(V2094&lt;1,W2069,
(((V2094-1)*(V2070-(V2070/(V2094))))+((W2068/W$10)*W2069))/(W2070))))</f>
        <v>0</v>
      </c>
      <c r="X2094" s="152"/>
      <c r="Y2094" s="152"/>
      <c r="Z2094" s="152"/>
      <c r="AA2094" s="152"/>
      <c r="AB2094" s="152"/>
    </row>
    <row r="2095" spans="1:28" hidden="1" outlineLevel="1">
      <c r="A2095" s="152"/>
      <c r="B2095" s="190" t="s">
        <v>122</v>
      </c>
      <c r="C2095" s="1423">
        <f ca="1">C2067</f>
        <v>0</v>
      </c>
      <c r="D2095" s="1423">
        <f t="shared" ref="D2095" ca="1" si="3102">IF(C2095="n/a","n/a",MAX(0,C2095-1))</f>
        <v>0</v>
      </c>
      <c r="E2095" s="1423">
        <f t="shared" ref="E2095:E2096" ca="1" si="3103">IF(D2095="n/a","n/a",MAX(0,D2095-1))</f>
        <v>0</v>
      </c>
      <c r="F2095" s="1423">
        <f t="shared" ref="F2095:F2097" ca="1" si="3104">IF(E2095="n/a","n/a",MAX(0,E2095-1))</f>
        <v>0</v>
      </c>
      <c r="G2095" s="1423">
        <f t="shared" ref="G2095:G2098" ca="1" si="3105">IF(F2095="n/a","n/a",MAX(0,F2095-1))</f>
        <v>0</v>
      </c>
      <c r="H2095" s="1423">
        <f t="shared" ref="H2095:H2099" ca="1" si="3106">IF(G2095="n/a","n/a",MAX(0,G2095-1))</f>
        <v>0</v>
      </c>
      <c r="I2095" s="1423">
        <f t="shared" ref="I2095:I2100" ca="1" si="3107">IF(H2095="n/a","n/a",MAX(0,H2095-1))</f>
        <v>0</v>
      </c>
      <c r="J2095" s="1423">
        <f t="shared" ref="J2095:J2101" ca="1" si="3108">IF(I2095="n/a","n/a",MAX(0,I2095-1))</f>
        <v>0</v>
      </c>
      <c r="K2095" s="1423">
        <f t="shared" ref="K2095:K2102" ca="1" si="3109">IF(J2095="n/a","n/a",MAX(0,J2095-1))</f>
        <v>0</v>
      </c>
      <c r="L2095" s="1423">
        <f t="shared" ref="L2095:L2103" ca="1" si="3110">IF(K2095="n/a","n/a",MAX(0,K2095-1))</f>
        <v>0</v>
      </c>
      <c r="M2095" s="1423">
        <f t="shared" ref="M2095:M2104" ca="1" si="3111">IF(L2095="n/a","n/a",MAX(0,L2095-1))</f>
        <v>0</v>
      </c>
      <c r="N2095" s="1423">
        <f t="shared" ref="N2095:N2105" ca="1" si="3112">IF(M2095="n/a","n/a",MAX(0,M2095-1))</f>
        <v>0</v>
      </c>
      <c r="O2095" s="1423">
        <f t="shared" ref="O2095:O2106" ca="1" si="3113">IF(N2095="n/a","n/a",MAX(0,N2095-1))</f>
        <v>0</v>
      </c>
      <c r="P2095" s="1423">
        <f t="shared" ref="P2095:P2107" ca="1" si="3114">IF(O2095="n/a","n/a",MAX(0,O2095-1))</f>
        <v>0</v>
      </c>
      <c r="Q2095" s="1423">
        <f t="shared" ref="Q2095:Q2108" ca="1" si="3115">IF(P2095="n/a","n/a",MAX(0,P2095-1))</f>
        <v>0</v>
      </c>
      <c r="R2095" s="1423">
        <f t="shared" ref="R2095:R2109" ca="1" si="3116">IF(Q2095="n/a","n/a",MAX(0,Q2095-1))</f>
        <v>0</v>
      </c>
      <c r="S2095" s="1423">
        <f t="shared" ref="S2095:S2110" ca="1" si="3117">IF(R2095="n/a","n/a",MAX(0,R2095-1))</f>
        <v>0</v>
      </c>
      <c r="T2095" s="1423">
        <f t="shared" ref="T2095:T2111" ca="1" si="3118">IF(S2095="n/a","n/a",MAX(0,S2095-1))</f>
        <v>0</v>
      </c>
      <c r="U2095" s="1423">
        <f t="shared" ref="U2095:U2112" ca="1" si="3119">IF(T2095="n/a","n/a",MAX(0,T2095-1))</f>
        <v>0</v>
      </c>
      <c r="V2095" s="1423">
        <f t="shared" ref="V2095:V2113" ca="1" si="3120">IF(U2095="n/a","n/a",MAX(0,U2095-1))</f>
        <v>0</v>
      </c>
      <c r="W2095" s="1423">
        <f t="shared" ref="W2095:W2113" ca="1" si="3121">IF(V2095="n/a","n/a",MAX(0,V2095-1))</f>
        <v>0</v>
      </c>
      <c r="X2095" s="152"/>
      <c r="Y2095" s="152"/>
      <c r="Z2095" s="152"/>
      <c r="AA2095" s="152"/>
      <c r="AB2095" s="152"/>
    </row>
    <row r="2096" spans="1:28" hidden="1" outlineLevel="1">
      <c r="A2096" s="152"/>
      <c r="B2096" s="190" t="str">
        <f t="shared" ref="B2096:B2115" ca="1" si="3122">"RL Capex "&amp;OFFSET($C$6,0,A2072)</f>
        <v>RL Capex 2016-17</v>
      </c>
      <c r="C2096" s="1424"/>
      <c r="D2096" s="1428">
        <f>D2067</f>
        <v>0</v>
      </c>
      <c r="E2096" s="1423">
        <f t="shared" si="3103"/>
        <v>0</v>
      </c>
      <c r="F2096" s="1423">
        <f t="shared" si="3104"/>
        <v>0</v>
      </c>
      <c r="G2096" s="1423">
        <f t="shared" si="3105"/>
        <v>0</v>
      </c>
      <c r="H2096" s="1423">
        <f t="shared" si="3106"/>
        <v>0</v>
      </c>
      <c r="I2096" s="1423">
        <f t="shared" si="3107"/>
        <v>0</v>
      </c>
      <c r="J2096" s="1423">
        <f t="shared" si="3108"/>
        <v>0</v>
      </c>
      <c r="K2096" s="1423">
        <f t="shared" si="3109"/>
        <v>0</v>
      </c>
      <c r="L2096" s="1423">
        <f t="shared" si="3110"/>
        <v>0</v>
      </c>
      <c r="M2096" s="1423">
        <f t="shared" si="3111"/>
        <v>0</v>
      </c>
      <c r="N2096" s="1423">
        <f t="shared" si="3112"/>
        <v>0</v>
      </c>
      <c r="O2096" s="1423">
        <f t="shared" si="3113"/>
        <v>0</v>
      </c>
      <c r="P2096" s="1423">
        <f t="shared" si="3114"/>
        <v>0</v>
      </c>
      <c r="Q2096" s="1423">
        <f t="shared" si="3115"/>
        <v>0</v>
      </c>
      <c r="R2096" s="1423">
        <f t="shared" si="3116"/>
        <v>0</v>
      </c>
      <c r="S2096" s="1423">
        <f t="shared" si="3117"/>
        <v>0</v>
      </c>
      <c r="T2096" s="1423">
        <f t="shared" si="3118"/>
        <v>0</v>
      </c>
      <c r="U2096" s="1423">
        <f t="shared" si="3119"/>
        <v>0</v>
      </c>
      <c r="V2096" s="1423">
        <f t="shared" si="3120"/>
        <v>0</v>
      </c>
      <c r="W2096" s="1423">
        <f t="shared" si="3121"/>
        <v>0</v>
      </c>
      <c r="X2096" s="152"/>
      <c r="Y2096" s="152"/>
      <c r="Z2096" s="152"/>
      <c r="AA2096" s="152"/>
      <c r="AB2096" s="152"/>
    </row>
    <row r="2097" spans="1:28" hidden="1" outlineLevel="1">
      <c r="A2097" s="152"/>
      <c r="B2097" s="190" t="str">
        <f t="shared" ca="1" si="3122"/>
        <v>RL Capex 2017-18</v>
      </c>
      <c r="C2097" s="1429"/>
      <c r="D2097" s="1424"/>
      <c r="E2097" s="1428">
        <f>E2067</f>
        <v>0</v>
      </c>
      <c r="F2097" s="1423">
        <f t="shared" si="3104"/>
        <v>0</v>
      </c>
      <c r="G2097" s="1423">
        <f t="shared" si="3105"/>
        <v>0</v>
      </c>
      <c r="H2097" s="1423">
        <f t="shared" si="3106"/>
        <v>0</v>
      </c>
      <c r="I2097" s="1423">
        <f t="shared" si="3107"/>
        <v>0</v>
      </c>
      <c r="J2097" s="1423">
        <f t="shared" si="3108"/>
        <v>0</v>
      </c>
      <c r="K2097" s="1423">
        <f t="shared" si="3109"/>
        <v>0</v>
      </c>
      <c r="L2097" s="1423">
        <f t="shared" si="3110"/>
        <v>0</v>
      </c>
      <c r="M2097" s="1423">
        <f t="shared" si="3111"/>
        <v>0</v>
      </c>
      <c r="N2097" s="1423">
        <f t="shared" si="3112"/>
        <v>0</v>
      </c>
      <c r="O2097" s="1423">
        <f t="shared" si="3113"/>
        <v>0</v>
      </c>
      <c r="P2097" s="1423">
        <f t="shared" si="3114"/>
        <v>0</v>
      </c>
      <c r="Q2097" s="1423">
        <f t="shared" si="3115"/>
        <v>0</v>
      </c>
      <c r="R2097" s="1423">
        <f t="shared" si="3116"/>
        <v>0</v>
      </c>
      <c r="S2097" s="1423">
        <f t="shared" si="3117"/>
        <v>0</v>
      </c>
      <c r="T2097" s="1423">
        <f t="shared" si="3118"/>
        <v>0</v>
      </c>
      <c r="U2097" s="1423">
        <f t="shared" si="3119"/>
        <v>0</v>
      </c>
      <c r="V2097" s="1423">
        <f t="shared" si="3120"/>
        <v>0</v>
      </c>
      <c r="W2097" s="1423">
        <f t="shared" si="3121"/>
        <v>0</v>
      </c>
      <c r="X2097" s="152"/>
      <c r="Y2097" s="152"/>
      <c r="Z2097" s="152"/>
      <c r="AA2097" s="152"/>
      <c r="AB2097" s="152"/>
    </row>
    <row r="2098" spans="1:28" hidden="1" outlineLevel="1">
      <c r="A2098" s="152"/>
      <c r="B2098" s="190" t="str">
        <f t="shared" ca="1" si="3122"/>
        <v>RL Capex 2018-19</v>
      </c>
      <c r="C2098" s="1429"/>
      <c r="D2098" s="1429"/>
      <c r="E2098" s="1424"/>
      <c r="F2098" s="1428">
        <f>F2067</f>
        <v>0</v>
      </c>
      <c r="G2098" s="1423">
        <f t="shared" si="3105"/>
        <v>0</v>
      </c>
      <c r="H2098" s="1423">
        <f t="shared" si="3106"/>
        <v>0</v>
      </c>
      <c r="I2098" s="1423">
        <f t="shared" si="3107"/>
        <v>0</v>
      </c>
      <c r="J2098" s="1423">
        <f t="shared" si="3108"/>
        <v>0</v>
      </c>
      <c r="K2098" s="1423">
        <f t="shared" si="3109"/>
        <v>0</v>
      </c>
      <c r="L2098" s="1423">
        <f t="shared" si="3110"/>
        <v>0</v>
      </c>
      <c r="M2098" s="1423">
        <f t="shared" si="3111"/>
        <v>0</v>
      </c>
      <c r="N2098" s="1423">
        <f t="shared" si="3112"/>
        <v>0</v>
      </c>
      <c r="O2098" s="1423">
        <f t="shared" si="3113"/>
        <v>0</v>
      </c>
      <c r="P2098" s="1423">
        <f t="shared" si="3114"/>
        <v>0</v>
      </c>
      <c r="Q2098" s="1423">
        <f t="shared" si="3115"/>
        <v>0</v>
      </c>
      <c r="R2098" s="1423">
        <f t="shared" si="3116"/>
        <v>0</v>
      </c>
      <c r="S2098" s="1423">
        <f t="shared" si="3117"/>
        <v>0</v>
      </c>
      <c r="T2098" s="1423">
        <f t="shared" si="3118"/>
        <v>0</v>
      </c>
      <c r="U2098" s="1423">
        <f t="shared" si="3119"/>
        <v>0</v>
      </c>
      <c r="V2098" s="1423">
        <f t="shared" si="3120"/>
        <v>0</v>
      </c>
      <c r="W2098" s="1423">
        <f t="shared" si="3121"/>
        <v>0</v>
      </c>
      <c r="X2098" s="152"/>
      <c r="Y2098" s="152"/>
      <c r="Z2098" s="152"/>
      <c r="AA2098" s="152"/>
      <c r="AB2098" s="152"/>
    </row>
    <row r="2099" spans="1:28" hidden="1" outlineLevel="1">
      <c r="A2099" s="152"/>
      <c r="B2099" s="190" t="str">
        <f t="shared" ca="1" si="3122"/>
        <v>RL Capex 2019-20</v>
      </c>
      <c r="C2099" s="1429"/>
      <c r="D2099" s="1429"/>
      <c r="E2099" s="1429"/>
      <c r="F2099" s="1424"/>
      <c r="G2099" s="1428">
        <f>G2067</f>
        <v>0</v>
      </c>
      <c r="H2099" s="1423">
        <f t="shared" si="3106"/>
        <v>0</v>
      </c>
      <c r="I2099" s="1423">
        <f t="shared" si="3107"/>
        <v>0</v>
      </c>
      <c r="J2099" s="1423">
        <f t="shared" si="3108"/>
        <v>0</v>
      </c>
      <c r="K2099" s="1423">
        <f t="shared" si="3109"/>
        <v>0</v>
      </c>
      <c r="L2099" s="1423">
        <f t="shared" si="3110"/>
        <v>0</v>
      </c>
      <c r="M2099" s="1423">
        <f t="shared" si="3111"/>
        <v>0</v>
      </c>
      <c r="N2099" s="1423">
        <f t="shared" si="3112"/>
        <v>0</v>
      </c>
      <c r="O2099" s="1423">
        <f t="shared" si="3113"/>
        <v>0</v>
      </c>
      <c r="P2099" s="1423">
        <f t="shared" si="3114"/>
        <v>0</v>
      </c>
      <c r="Q2099" s="1423">
        <f t="shared" si="3115"/>
        <v>0</v>
      </c>
      <c r="R2099" s="1423">
        <f t="shared" si="3116"/>
        <v>0</v>
      </c>
      <c r="S2099" s="1423">
        <f t="shared" si="3117"/>
        <v>0</v>
      </c>
      <c r="T2099" s="1423">
        <f t="shared" si="3118"/>
        <v>0</v>
      </c>
      <c r="U2099" s="1423">
        <f t="shared" si="3119"/>
        <v>0</v>
      </c>
      <c r="V2099" s="1423">
        <f t="shared" si="3120"/>
        <v>0</v>
      </c>
      <c r="W2099" s="1423">
        <f t="shared" si="3121"/>
        <v>0</v>
      </c>
      <c r="X2099" s="152"/>
      <c r="Y2099" s="152"/>
      <c r="Z2099" s="152"/>
      <c r="AA2099" s="152"/>
      <c r="AB2099" s="152"/>
    </row>
    <row r="2100" spans="1:28" hidden="1" outlineLevel="1">
      <c r="A2100" s="152"/>
      <c r="B2100" s="190" t="str">
        <f t="shared" ca="1" si="3122"/>
        <v>RL Capex 2020-21</v>
      </c>
      <c r="C2100" s="1429"/>
      <c r="D2100" s="1429"/>
      <c r="E2100" s="1429"/>
      <c r="F2100" s="1429"/>
      <c r="G2100" s="1424"/>
      <c r="H2100" s="1428">
        <f>H2067</f>
        <v>0</v>
      </c>
      <c r="I2100" s="1423">
        <f t="shared" si="3107"/>
        <v>0</v>
      </c>
      <c r="J2100" s="1423">
        <f t="shared" si="3108"/>
        <v>0</v>
      </c>
      <c r="K2100" s="1423">
        <f t="shared" si="3109"/>
        <v>0</v>
      </c>
      <c r="L2100" s="1423">
        <f t="shared" si="3110"/>
        <v>0</v>
      </c>
      <c r="M2100" s="1423">
        <f t="shared" si="3111"/>
        <v>0</v>
      </c>
      <c r="N2100" s="1423">
        <f t="shared" si="3112"/>
        <v>0</v>
      </c>
      <c r="O2100" s="1423">
        <f t="shared" si="3113"/>
        <v>0</v>
      </c>
      <c r="P2100" s="1423">
        <f t="shared" si="3114"/>
        <v>0</v>
      </c>
      <c r="Q2100" s="1423">
        <f t="shared" si="3115"/>
        <v>0</v>
      </c>
      <c r="R2100" s="1423">
        <f t="shared" si="3116"/>
        <v>0</v>
      </c>
      <c r="S2100" s="1423">
        <f t="shared" si="3117"/>
        <v>0</v>
      </c>
      <c r="T2100" s="1423">
        <f t="shared" si="3118"/>
        <v>0</v>
      </c>
      <c r="U2100" s="1423">
        <f t="shared" si="3119"/>
        <v>0</v>
      </c>
      <c r="V2100" s="1423">
        <f t="shared" si="3120"/>
        <v>0</v>
      </c>
      <c r="W2100" s="1423">
        <f t="shared" si="3121"/>
        <v>0</v>
      </c>
      <c r="X2100" s="152"/>
      <c r="Y2100" s="152"/>
      <c r="Z2100" s="152"/>
      <c r="AA2100" s="152"/>
      <c r="AB2100" s="152"/>
    </row>
    <row r="2101" spans="1:28" hidden="1" outlineLevel="1">
      <c r="A2101" s="152"/>
      <c r="B2101" s="190" t="str">
        <f t="shared" ca="1" si="3122"/>
        <v>RL Capex 2021-22</v>
      </c>
      <c r="C2101" s="1429"/>
      <c r="D2101" s="1429"/>
      <c r="E2101" s="1429"/>
      <c r="F2101" s="1429"/>
      <c r="G2101" s="1429"/>
      <c r="H2101" s="1424"/>
      <c r="I2101" s="1428">
        <f>I2067</f>
        <v>0</v>
      </c>
      <c r="J2101" s="1423">
        <f t="shared" si="3108"/>
        <v>0</v>
      </c>
      <c r="K2101" s="1423">
        <f t="shared" si="3109"/>
        <v>0</v>
      </c>
      <c r="L2101" s="1423">
        <f t="shared" si="3110"/>
        <v>0</v>
      </c>
      <c r="M2101" s="1423">
        <f t="shared" si="3111"/>
        <v>0</v>
      </c>
      <c r="N2101" s="1423">
        <f t="shared" si="3112"/>
        <v>0</v>
      </c>
      <c r="O2101" s="1423">
        <f t="shared" si="3113"/>
        <v>0</v>
      </c>
      <c r="P2101" s="1423">
        <f t="shared" si="3114"/>
        <v>0</v>
      </c>
      <c r="Q2101" s="1423">
        <f t="shared" si="3115"/>
        <v>0</v>
      </c>
      <c r="R2101" s="1423">
        <f t="shared" si="3116"/>
        <v>0</v>
      </c>
      <c r="S2101" s="1423">
        <f t="shared" si="3117"/>
        <v>0</v>
      </c>
      <c r="T2101" s="1423">
        <f t="shared" si="3118"/>
        <v>0</v>
      </c>
      <c r="U2101" s="1423">
        <f t="shared" si="3119"/>
        <v>0</v>
      </c>
      <c r="V2101" s="1423">
        <f t="shared" si="3120"/>
        <v>0</v>
      </c>
      <c r="W2101" s="1423">
        <f t="shared" si="3121"/>
        <v>0</v>
      </c>
      <c r="X2101" s="152"/>
      <c r="Y2101" s="152"/>
      <c r="Z2101" s="152"/>
      <c r="AA2101" s="152"/>
      <c r="AB2101" s="152"/>
    </row>
    <row r="2102" spans="1:28" hidden="1" outlineLevel="1">
      <c r="A2102" s="152"/>
      <c r="B2102" s="190" t="str">
        <f t="shared" ca="1" si="3122"/>
        <v>RL Capex 2022-23</v>
      </c>
      <c r="C2102" s="1429"/>
      <c r="D2102" s="1429"/>
      <c r="E2102" s="1429"/>
      <c r="F2102" s="1429"/>
      <c r="G2102" s="1429"/>
      <c r="H2102" s="1429"/>
      <c r="I2102" s="1424"/>
      <c r="J2102" s="1428">
        <f>J2067</f>
        <v>0</v>
      </c>
      <c r="K2102" s="1423">
        <f t="shared" si="3109"/>
        <v>0</v>
      </c>
      <c r="L2102" s="1423">
        <f t="shared" si="3110"/>
        <v>0</v>
      </c>
      <c r="M2102" s="1423">
        <f t="shared" si="3111"/>
        <v>0</v>
      </c>
      <c r="N2102" s="1423">
        <f t="shared" si="3112"/>
        <v>0</v>
      </c>
      <c r="O2102" s="1423">
        <f t="shared" si="3113"/>
        <v>0</v>
      </c>
      <c r="P2102" s="1423">
        <f t="shared" si="3114"/>
        <v>0</v>
      </c>
      <c r="Q2102" s="1423">
        <f t="shared" si="3115"/>
        <v>0</v>
      </c>
      <c r="R2102" s="1423">
        <f t="shared" si="3116"/>
        <v>0</v>
      </c>
      <c r="S2102" s="1423">
        <f t="shared" si="3117"/>
        <v>0</v>
      </c>
      <c r="T2102" s="1423">
        <f t="shared" si="3118"/>
        <v>0</v>
      </c>
      <c r="U2102" s="1423">
        <f t="shared" si="3119"/>
        <v>0</v>
      </c>
      <c r="V2102" s="1423">
        <f t="shared" si="3120"/>
        <v>0</v>
      </c>
      <c r="W2102" s="1423">
        <f t="shared" si="3121"/>
        <v>0</v>
      </c>
      <c r="X2102" s="152"/>
      <c r="Y2102" s="152"/>
      <c r="Z2102" s="152"/>
      <c r="AA2102" s="152"/>
      <c r="AB2102" s="152"/>
    </row>
    <row r="2103" spans="1:28" hidden="1" outlineLevel="1">
      <c r="A2103" s="152"/>
      <c r="B2103" s="190" t="str">
        <f t="shared" ca="1" si="3122"/>
        <v>RL Capex 2023-24</v>
      </c>
      <c r="C2103" s="1429"/>
      <c r="D2103" s="1429"/>
      <c r="E2103" s="1429"/>
      <c r="F2103" s="1429"/>
      <c r="G2103" s="1429"/>
      <c r="H2103" s="1429"/>
      <c r="I2103" s="1429"/>
      <c r="J2103" s="1424"/>
      <c r="K2103" s="1428">
        <f>K2067</f>
        <v>0</v>
      </c>
      <c r="L2103" s="1423">
        <f t="shared" si="3110"/>
        <v>0</v>
      </c>
      <c r="M2103" s="1423">
        <f t="shared" si="3111"/>
        <v>0</v>
      </c>
      <c r="N2103" s="1423">
        <f t="shared" si="3112"/>
        <v>0</v>
      </c>
      <c r="O2103" s="1423">
        <f t="shared" si="3113"/>
        <v>0</v>
      </c>
      <c r="P2103" s="1423">
        <f t="shared" si="3114"/>
        <v>0</v>
      </c>
      <c r="Q2103" s="1423">
        <f t="shared" si="3115"/>
        <v>0</v>
      </c>
      <c r="R2103" s="1423">
        <f t="shared" si="3116"/>
        <v>0</v>
      </c>
      <c r="S2103" s="1423">
        <f t="shared" si="3117"/>
        <v>0</v>
      </c>
      <c r="T2103" s="1423">
        <f t="shared" si="3118"/>
        <v>0</v>
      </c>
      <c r="U2103" s="1423">
        <f t="shared" si="3119"/>
        <v>0</v>
      </c>
      <c r="V2103" s="1423">
        <f t="shared" si="3120"/>
        <v>0</v>
      </c>
      <c r="W2103" s="1423">
        <f t="shared" si="3121"/>
        <v>0</v>
      </c>
      <c r="X2103" s="152"/>
      <c r="Y2103" s="152"/>
      <c r="Z2103" s="152"/>
      <c r="AA2103" s="152"/>
      <c r="AB2103" s="152"/>
    </row>
    <row r="2104" spans="1:28" hidden="1" outlineLevel="1">
      <c r="A2104" s="152"/>
      <c r="B2104" s="190" t="str">
        <f t="shared" ca="1" si="3122"/>
        <v>RL Capex 2024-25</v>
      </c>
      <c r="C2104" s="1429"/>
      <c r="D2104" s="1429"/>
      <c r="E2104" s="1429"/>
      <c r="F2104" s="1429"/>
      <c r="G2104" s="1429"/>
      <c r="H2104" s="1429"/>
      <c r="I2104" s="1429"/>
      <c r="J2104" s="1429"/>
      <c r="K2104" s="1424"/>
      <c r="L2104" s="1428">
        <f>L2067</f>
        <v>0</v>
      </c>
      <c r="M2104" s="1423">
        <f t="shared" si="3111"/>
        <v>0</v>
      </c>
      <c r="N2104" s="1423">
        <f t="shared" si="3112"/>
        <v>0</v>
      </c>
      <c r="O2104" s="1423">
        <f t="shared" si="3113"/>
        <v>0</v>
      </c>
      <c r="P2104" s="1423">
        <f t="shared" si="3114"/>
        <v>0</v>
      </c>
      <c r="Q2104" s="1423">
        <f t="shared" si="3115"/>
        <v>0</v>
      </c>
      <c r="R2104" s="1423">
        <f t="shared" si="3116"/>
        <v>0</v>
      </c>
      <c r="S2104" s="1423">
        <f t="shared" si="3117"/>
        <v>0</v>
      </c>
      <c r="T2104" s="1423">
        <f t="shared" si="3118"/>
        <v>0</v>
      </c>
      <c r="U2104" s="1423">
        <f t="shared" si="3119"/>
        <v>0</v>
      </c>
      <c r="V2104" s="1423">
        <f t="shared" si="3120"/>
        <v>0</v>
      </c>
      <c r="W2104" s="1423">
        <f t="shared" si="3121"/>
        <v>0</v>
      </c>
      <c r="X2104" s="152"/>
      <c r="Y2104" s="152"/>
      <c r="Z2104" s="152"/>
      <c r="AA2104" s="152"/>
      <c r="AB2104" s="152"/>
    </row>
    <row r="2105" spans="1:28" hidden="1" outlineLevel="1">
      <c r="A2105" s="152"/>
      <c r="B2105" s="190" t="str">
        <f t="shared" ca="1" si="3122"/>
        <v>RL Capex 2025-26</v>
      </c>
      <c r="C2105" s="1429"/>
      <c r="D2105" s="1429"/>
      <c r="E2105" s="1429"/>
      <c r="F2105" s="1429"/>
      <c r="G2105" s="1429"/>
      <c r="H2105" s="1429"/>
      <c r="I2105" s="1429"/>
      <c r="J2105" s="1429"/>
      <c r="K2105" s="1429"/>
      <c r="L2105" s="1424"/>
      <c r="M2105" s="1428">
        <f>M2067</f>
        <v>0</v>
      </c>
      <c r="N2105" s="1423">
        <f t="shared" si="3112"/>
        <v>0</v>
      </c>
      <c r="O2105" s="1423">
        <f t="shared" si="3113"/>
        <v>0</v>
      </c>
      <c r="P2105" s="1423">
        <f t="shared" si="3114"/>
        <v>0</v>
      </c>
      <c r="Q2105" s="1423">
        <f t="shared" si="3115"/>
        <v>0</v>
      </c>
      <c r="R2105" s="1423">
        <f t="shared" si="3116"/>
        <v>0</v>
      </c>
      <c r="S2105" s="1423">
        <f t="shared" si="3117"/>
        <v>0</v>
      </c>
      <c r="T2105" s="1423">
        <f t="shared" si="3118"/>
        <v>0</v>
      </c>
      <c r="U2105" s="1423">
        <f t="shared" si="3119"/>
        <v>0</v>
      </c>
      <c r="V2105" s="1423">
        <f t="shared" si="3120"/>
        <v>0</v>
      </c>
      <c r="W2105" s="1423">
        <f t="shared" si="3121"/>
        <v>0</v>
      </c>
      <c r="X2105" s="152"/>
      <c r="Y2105" s="152"/>
      <c r="Z2105" s="152"/>
      <c r="AA2105" s="152"/>
      <c r="AB2105" s="152"/>
    </row>
    <row r="2106" spans="1:28" hidden="1" outlineLevel="1">
      <c r="A2106" s="152"/>
      <c r="B2106" s="190" t="str">
        <f t="shared" ca="1" si="3122"/>
        <v>RL Capex 2026-27</v>
      </c>
      <c r="C2106" s="1429"/>
      <c r="D2106" s="1429"/>
      <c r="E2106" s="1429"/>
      <c r="F2106" s="1429"/>
      <c r="G2106" s="1429"/>
      <c r="H2106" s="1429"/>
      <c r="I2106" s="1429"/>
      <c r="J2106" s="1429"/>
      <c r="K2106" s="1429"/>
      <c r="L2106" s="1429"/>
      <c r="M2106" s="1424"/>
      <c r="N2106" s="1428">
        <f>N2067</f>
        <v>0</v>
      </c>
      <c r="O2106" s="1423">
        <f t="shared" si="3113"/>
        <v>0</v>
      </c>
      <c r="P2106" s="1423">
        <f t="shared" si="3114"/>
        <v>0</v>
      </c>
      <c r="Q2106" s="1423">
        <f t="shared" si="3115"/>
        <v>0</v>
      </c>
      <c r="R2106" s="1423">
        <f t="shared" si="3116"/>
        <v>0</v>
      </c>
      <c r="S2106" s="1423">
        <f t="shared" si="3117"/>
        <v>0</v>
      </c>
      <c r="T2106" s="1423">
        <f t="shared" si="3118"/>
        <v>0</v>
      </c>
      <c r="U2106" s="1423">
        <f t="shared" si="3119"/>
        <v>0</v>
      </c>
      <c r="V2106" s="1423">
        <f t="shared" si="3120"/>
        <v>0</v>
      </c>
      <c r="W2106" s="1423">
        <f t="shared" si="3121"/>
        <v>0</v>
      </c>
      <c r="X2106" s="152"/>
      <c r="Y2106" s="152"/>
      <c r="Z2106" s="152"/>
      <c r="AA2106" s="152"/>
      <c r="AB2106" s="152"/>
    </row>
    <row r="2107" spans="1:28" hidden="1" outlineLevel="1">
      <c r="A2107" s="152"/>
      <c r="B2107" s="190" t="str">
        <f t="shared" ca="1" si="3122"/>
        <v>RL Capex 2027-28</v>
      </c>
      <c r="C2107" s="1429"/>
      <c r="D2107" s="1429"/>
      <c r="E2107" s="1429"/>
      <c r="F2107" s="1429"/>
      <c r="G2107" s="1429"/>
      <c r="H2107" s="1429"/>
      <c r="I2107" s="1429"/>
      <c r="J2107" s="1429"/>
      <c r="K2107" s="1429"/>
      <c r="L2107" s="1429"/>
      <c r="M2107" s="1429"/>
      <c r="N2107" s="1424"/>
      <c r="O2107" s="1428">
        <f>O2067</f>
        <v>0</v>
      </c>
      <c r="P2107" s="1423">
        <f t="shared" si="3114"/>
        <v>0</v>
      </c>
      <c r="Q2107" s="1423">
        <f t="shared" si="3115"/>
        <v>0</v>
      </c>
      <c r="R2107" s="1423">
        <f t="shared" si="3116"/>
        <v>0</v>
      </c>
      <c r="S2107" s="1423">
        <f t="shared" si="3117"/>
        <v>0</v>
      </c>
      <c r="T2107" s="1423">
        <f t="shared" si="3118"/>
        <v>0</v>
      </c>
      <c r="U2107" s="1423">
        <f t="shared" si="3119"/>
        <v>0</v>
      </c>
      <c r="V2107" s="1423">
        <f t="shared" si="3120"/>
        <v>0</v>
      </c>
      <c r="W2107" s="1423">
        <f t="shared" si="3121"/>
        <v>0</v>
      </c>
      <c r="X2107" s="152"/>
      <c r="Y2107" s="152"/>
      <c r="Z2107" s="152"/>
      <c r="AA2107" s="152"/>
      <c r="AB2107" s="152"/>
    </row>
    <row r="2108" spans="1:28" hidden="1" outlineLevel="1">
      <c r="A2108" s="152"/>
      <c r="B2108" s="190" t="str">
        <f t="shared" ca="1" si="3122"/>
        <v>RL Capex 2028-29</v>
      </c>
      <c r="C2108" s="1429"/>
      <c r="D2108" s="1429"/>
      <c r="E2108" s="1429"/>
      <c r="F2108" s="1429"/>
      <c r="G2108" s="1429"/>
      <c r="H2108" s="1429"/>
      <c r="I2108" s="1429"/>
      <c r="J2108" s="1429"/>
      <c r="K2108" s="1429"/>
      <c r="L2108" s="1429"/>
      <c r="M2108" s="1429"/>
      <c r="N2108" s="1429"/>
      <c r="O2108" s="1424"/>
      <c r="P2108" s="1428">
        <f>P2067</f>
        <v>0</v>
      </c>
      <c r="Q2108" s="1423">
        <f t="shared" si="3115"/>
        <v>0</v>
      </c>
      <c r="R2108" s="1423">
        <f t="shared" si="3116"/>
        <v>0</v>
      </c>
      <c r="S2108" s="1423">
        <f t="shared" si="3117"/>
        <v>0</v>
      </c>
      <c r="T2108" s="1423">
        <f t="shared" si="3118"/>
        <v>0</v>
      </c>
      <c r="U2108" s="1423">
        <f t="shared" si="3119"/>
        <v>0</v>
      </c>
      <c r="V2108" s="1423">
        <f t="shared" si="3120"/>
        <v>0</v>
      </c>
      <c r="W2108" s="1423">
        <f t="shared" si="3121"/>
        <v>0</v>
      </c>
      <c r="X2108" s="152"/>
      <c r="Y2108" s="152"/>
      <c r="Z2108" s="152"/>
      <c r="AA2108" s="152"/>
      <c r="AB2108" s="152"/>
    </row>
    <row r="2109" spans="1:28" hidden="1" outlineLevel="1">
      <c r="A2109" s="152"/>
      <c r="B2109" s="190" t="str">
        <f t="shared" ca="1" si="3122"/>
        <v>RL Capex 2029-30</v>
      </c>
      <c r="C2109" s="1429"/>
      <c r="D2109" s="1429"/>
      <c r="E2109" s="1429"/>
      <c r="F2109" s="1429"/>
      <c r="G2109" s="1429"/>
      <c r="H2109" s="1429"/>
      <c r="I2109" s="1429"/>
      <c r="J2109" s="1429"/>
      <c r="K2109" s="1429"/>
      <c r="L2109" s="1429"/>
      <c r="M2109" s="1429"/>
      <c r="N2109" s="1429"/>
      <c r="O2109" s="1429"/>
      <c r="P2109" s="1424"/>
      <c r="Q2109" s="1428">
        <f>Q2067</f>
        <v>0</v>
      </c>
      <c r="R2109" s="1423">
        <f t="shared" si="3116"/>
        <v>0</v>
      </c>
      <c r="S2109" s="1423">
        <f t="shared" si="3117"/>
        <v>0</v>
      </c>
      <c r="T2109" s="1423">
        <f t="shared" si="3118"/>
        <v>0</v>
      </c>
      <c r="U2109" s="1423">
        <f t="shared" si="3119"/>
        <v>0</v>
      </c>
      <c r="V2109" s="1423">
        <f t="shared" si="3120"/>
        <v>0</v>
      </c>
      <c r="W2109" s="1423">
        <f t="shared" si="3121"/>
        <v>0</v>
      </c>
      <c r="X2109" s="152"/>
      <c r="Y2109" s="152"/>
      <c r="Z2109" s="152"/>
      <c r="AA2109" s="152"/>
      <c r="AB2109" s="152"/>
    </row>
    <row r="2110" spans="1:28" hidden="1" outlineLevel="1">
      <c r="A2110" s="152"/>
      <c r="B2110" s="190" t="str">
        <f t="shared" ca="1" si="3122"/>
        <v>RL Capex 2030-31</v>
      </c>
      <c r="C2110" s="1429"/>
      <c r="D2110" s="1429"/>
      <c r="E2110" s="1429"/>
      <c r="F2110" s="1429"/>
      <c r="G2110" s="1429"/>
      <c r="H2110" s="1429"/>
      <c r="I2110" s="1429"/>
      <c r="J2110" s="1429"/>
      <c r="K2110" s="1429"/>
      <c r="L2110" s="1429"/>
      <c r="M2110" s="1429"/>
      <c r="N2110" s="1429"/>
      <c r="O2110" s="1429"/>
      <c r="P2110" s="1429"/>
      <c r="Q2110" s="1424"/>
      <c r="R2110" s="1428">
        <f>R2067</f>
        <v>0</v>
      </c>
      <c r="S2110" s="1423">
        <f t="shared" si="3117"/>
        <v>0</v>
      </c>
      <c r="T2110" s="1423">
        <f t="shared" si="3118"/>
        <v>0</v>
      </c>
      <c r="U2110" s="1423">
        <f t="shared" si="3119"/>
        <v>0</v>
      </c>
      <c r="V2110" s="1423">
        <f t="shared" si="3120"/>
        <v>0</v>
      </c>
      <c r="W2110" s="1423">
        <f t="shared" si="3121"/>
        <v>0</v>
      </c>
      <c r="X2110" s="152"/>
      <c r="Y2110" s="152"/>
      <c r="Z2110" s="152"/>
      <c r="AA2110" s="152"/>
      <c r="AB2110" s="152"/>
    </row>
    <row r="2111" spans="1:28" hidden="1" outlineLevel="1">
      <c r="A2111" s="152"/>
      <c r="B2111" s="190" t="str">
        <f t="shared" ca="1" si="3122"/>
        <v>RL Capex 2031-32</v>
      </c>
      <c r="C2111" s="1429"/>
      <c r="D2111" s="1429"/>
      <c r="E2111" s="1429"/>
      <c r="F2111" s="1429"/>
      <c r="G2111" s="1429"/>
      <c r="H2111" s="1429"/>
      <c r="I2111" s="1429"/>
      <c r="J2111" s="1429"/>
      <c r="K2111" s="1429"/>
      <c r="L2111" s="1429"/>
      <c r="M2111" s="1429"/>
      <c r="N2111" s="1429"/>
      <c r="O2111" s="1429"/>
      <c r="P2111" s="1429"/>
      <c r="Q2111" s="1429"/>
      <c r="R2111" s="1424"/>
      <c r="S2111" s="1428">
        <f>S2067</f>
        <v>0</v>
      </c>
      <c r="T2111" s="1423">
        <f t="shared" si="3118"/>
        <v>0</v>
      </c>
      <c r="U2111" s="1423">
        <f t="shared" si="3119"/>
        <v>0</v>
      </c>
      <c r="V2111" s="1423">
        <f t="shared" si="3120"/>
        <v>0</v>
      </c>
      <c r="W2111" s="1423">
        <f t="shared" si="3121"/>
        <v>0</v>
      </c>
      <c r="X2111" s="152"/>
      <c r="Y2111" s="152"/>
      <c r="Z2111" s="152"/>
      <c r="AA2111" s="152"/>
      <c r="AB2111" s="152"/>
    </row>
    <row r="2112" spans="1:28" hidden="1" outlineLevel="1">
      <c r="A2112" s="152"/>
      <c r="B2112" s="190" t="str">
        <f t="shared" ca="1" si="3122"/>
        <v>RL Capex 2032-33</v>
      </c>
      <c r="C2112" s="1429"/>
      <c r="D2112" s="1429"/>
      <c r="E2112" s="1429"/>
      <c r="F2112" s="1429"/>
      <c r="G2112" s="1429"/>
      <c r="H2112" s="1429"/>
      <c r="I2112" s="1429"/>
      <c r="J2112" s="1429"/>
      <c r="K2112" s="1429"/>
      <c r="L2112" s="1429"/>
      <c r="M2112" s="1429"/>
      <c r="N2112" s="1429"/>
      <c r="O2112" s="1429"/>
      <c r="P2112" s="1429"/>
      <c r="Q2112" s="1429"/>
      <c r="R2112" s="1429"/>
      <c r="S2112" s="1424"/>
      <c r="T2112" s="1428">
        <f>T2067</f>
        <v>0</v>
      </c>
      <c r="U2112" s="1423">
        <f t="shared" si="3119"/>
        <v>0</v>
      </c>
      <c r="V2112" s="1423">
        <f t="shared" si="3120"/>
        <v>0</v>
      </c>
      <c r="W2112" s="1423">
        <f t="shared" si="3121"/>
        <v>0</v>
      </c>
      <c r="X2112" s="152"/>
      <c r="Y2112" s="152"/>
      <c r="Z2112" s="152"/>
      <c r="AA2112" s="152"/>
      <c r="AB2112" s="152"/>
    </row>
    <row r="2113" spans="1:28" hidden="1" outlineLevel="1">
      <c r="A2113" s="152"/>
      <c r="B2113" s="190" t="str">
        <f t="shared" ca="1" si="3122"/>
        <v>RL Capex 2033-34</v>
      </c>
      <c r="C2113" s="1429"/>
      <c r="D2113" s="1429"/>
      <c r="E2113" s="1429"/>
      <c r="F2113" s="1429"/>
      <c r="G2113" s="1429"/>
      <c r="H2113" s="1429"/>
      <c r="I2113" s="1429"/>
      <c r="J2113" s="1429"/>
      <c r="K2113" s="1429"/>
      <c r="L2113" s="1429"/>
      <c r="M2113" s="1429"/>
      <c r="N2113" s="1429"/>
      <c r="O2113" s="1429"/>
      <c r="P2113" s="1429"/>
      <c r="Q2113" s="1429"/>
      <c r="R2113" s="1429"/>
      <c r="S2113" s="1429"/>
      <c r="T2113" s="1424"/>
      <c r="U2113" s="1428">
        <f>U2067</f>
        <v>0</v>
      </c>
      <c r="V2113" s="1423">
        <f t="shared" si="3120"/>
        <v>0</v>
      </c>
      <c r="W2113" s="1423">
        <f t="shared" si="3121"/>
        <v>0</v>
      </c>
      <c r="X2113" s="152"/>
      <c r="Y2113" s="152"/>
      <c r="Z2113" s="152"/>
      <c r="AA2113" s="152"/>
      <c r="AB2113" s="152"/>
    </row>
    <row r="2114" spans="1:28" hidden="1" outlineLevel="1">
      <c r="A2114" s="152"/>
      <c r="B2114" s="190" t="str">
        <f t="shared" ca="1" si="3122"/>
        <v>RL Capex 2034-35</v>
      </c>
      <c r="C2114" s="1429"/>
      <c r="D2114" s="1429"/>
      <c r="E2114" s="1429"/>
      <c r="F2114" s="1429"/>
      <c r="G2114" s="1429"/>
      <c r="H2114" s="1429"/>
      <c r="I2114" s="1429"/>
      <c r="J2114" s="1429"/>
      <c r="K2114" s="1429"/>
      <c r="L2114" s="1429"/>
      <c r="M2114" s="1429"/>
      <c r="N2114" s="1429"/>
      <c r="O2114" s="1429"/>
      <c r="P2114" s="1429"/>
      <c r="Q2114" s="1429"/>
      <c r="R2114" s="1429"/>
      <c r="S2114" s="1429"/>
      <c r="T2114" s="1429"/>
      <c r="U2114" s="1424"/>
      <c r="V2114" s="1428">
        <f>V2067</f>
        <v>0</v>
      </c>
      <c r="W2114" s="1423">
        <f>IF(V2114="n/a","n/a",MAX(0,V2114-1))</f>
        <v>0</v>
      </c>
      <c r="X2114" s="152"/>
      <c r="Y2114" s="152"/>
      <c r="Z2114" s="152"/>
      <c r="AA2114" s="152"/>
      <c r="AB2114" s="152"/>
    </row>
    <row r="2115" spans="1:28" hidden="1" outlineLevel="1">
      <c r="A2115" s="152"/>
      <c r="B2115" s="190" t="str">
        <f t="shared" ca="1" si="3122"/>
        <v>RL Capex 2035-36</v>
      </c>
      <c r="C2115" s="1429"/>
      <c r="D2115" s="1429"/>
      <c r="E2115" s="1429"/>
      <c r="F2115" s="1429"/>
      <c r="G2115" s="1429"/>
      <c r="H2115" s="1429"/>
      <c r="I2115" s="1429"/>
      <c r="J2115" s="1429"/>
      <c r="K2115" s="1429"/>
      <c r="L2115" s="1429"/>
      <c r="M2115" s="1429"/>
      <c r="N2115" s="1429"/>
      <c r="O2115" s="1429"/>
      <c r="P2115" s="1429"/>
      <c r="Q2115" s="1429"/>
      <c r="R2115" s="1429"/>
      <c r="S2115" s="1429"/>
      <c r="T2115" s="1429"/>
      <c r="U2115" s="1429"/>
      <c r="V2115" s="1424"/>
      <c r="W2115" s="1423">
        <f>W2067</f>
        <v>0</v>
      </c>
      <c r="X2115" s="152"/>
      <c r="Y2115" s="152"/>
      <c r="Z2115" s="152"/>
      <c r="AA2115" s="152"/>
      <c r="AB2115" s="152"/>
    </row>
    <row r="2116" spans="1:28" hidden="1" outlineLevel="1">
      <c r="A2116" s="152"/>
      <c r="B2116" s="200"/>
      <c r="C2116" s="1423"/>
      <c r="D2116" s="1423"/>
      <c r="E2116" s="1423"/>
      <c r="F2116" s="1423"/>
      <c r="G2116" s="1423"/>
      <c r="H2116" s="1423"/>
      <c r="I2116" s="1423"/>
      <c r="J2116" s="1423"/>
      <c r="K2116" s="1423"/>
      <c r="L2116" s="1423"/>
      <c r="M2116" s="1423"/>
      <c r="N2116" s="1423"/>
      <c r="O2116" s="1423"/>
      <c r="P2116" s="1423"/>
      <c r="Q2116" s="1423"/>
      <c r="R2116" s="1423"/>
      <c r="S2116" s="1423"/>
      <c r="T2116" s="1423"/>
      <c r="U2116" s="1423"/>
      <c r="V2116" s="1423"/>
      <c r="W2116" s="1423"/>
      <c r="X2116" s="152"/>
      <c r="Y2116" s="152"/>
      <c r="Z2116" s="152"/>
      <c r="AA2116" s="152"/>
      <c r="AB2116" s="152"/>
    </row>
    <row r="2117" spans="1:28" collapsed="1">
      <c r="A2117" s="194"/>
      <c r="B2117" s="204" t="s">
        <v>123</v>
      </c>
      <c r="C2117" s="1430">
        <f ca="1">(IF(OR($C2067&lt;&gt;"n/a",C2067&lt;&gt;"n/a"),IF(SUM(C2070:C2092)=0,0,IF((SUMPRODUCT(C2070:C2092,C2094:C2116)/SUM(C2070:C2092))&lt;0,1,(SUMPRODUCT(C2070:C2092,C2094:C2116)/SUM(C2070:C2092)))),"n/a"))</f>
        <v>0</v>
      </c>
      <c r="D2117" s="1430">
        <f ca="1">(IF(OR($C2067&lt;&gt;"n/a",D2067&lt;&gt;"n/a"),IF(SUM(D2070:D2092)=0,0,IF((SUMPRODUCT(D2070:D2092,D2094:D2116)/SUM(D2070:D2092))&lt;0,1,(SUMPRODUCT(D2070:D2092,D2094:D2116)/SUM(D2070:D2092)))),"n/a"))</f>
        <v>0</v>
      </c>
      <c r="E2117" s="1430">
        <f t="shared" ref="E2117:W2117" ca="1" si="3123">(IF(OR($C2067&lt;&gt;"n/a",E2067&lt;&gt;"n/a"),IF(SUM(E2070:E2092)=0,0,IF((SUMPRODUCT(E2070:E2092,E2094:E2116)/SUM(E2070:E2092))&lt;0,1,(SUMPRODUCT(E2070:E2092,E2094:E2116)/SUM(E2070:E2092)))),"n/a"))</f>
        <v>0</v>
      </c>
      <c r="F2117" s="1430">
        <f t="shared" ca="1" si="3123"/>
        <v>0</v>
      </c>
      <c r="G2117" s="1430">
        <f t="shared" ca="1" si="3123"/>
        <v>0</v>
      </c>
      <c r="H2117" s="1430">
        <f t="shared" ca="1" si="3123"/>
        <v>0</v>
      </c>
      <c r="I2117" s="1430">
        <f t="shared" ca="1" si="3123"/>
        <v>0</v>
      </c>
      <c r="J2117" s="1430">
        <f t="shared" ca="1" si="3123"/>
        <v>0</v>
      </c>
      <c r="K2117" s="1430">
        <f t="shared" ca="1" si="3123"/>
        <v>0</v>
      </c>
      <c r="L2117" s="1430">
        <f t="shared" ca="1" si="3123"/>
        <v>0</v>
      </c>
      <c r="M2117" s="1430">
        <f t="shared" ca="1" si="3123"/>
        <v>0</v>
      </c>
      <c r="N2117" s="1430">
        <f t="shared" ca="1" si="3123"/>
        <v>0</v>
      </c>
      <c r="O2117" s="1430">
        <f t="shared" ca="1" si="3123"/>
        <v>0</v>
      </c>
      <c r="P2117" s="1430">
        <f t="shared" ca="1" si="3123"/>
        <v>0</v>
      </c>
      <c r="Q2117" s="1430">
        <f t="shared" ca="1" si="3123"/>
        <v>0</v>
      </c>
      <c r="R2117" s="1430">
        <f t="shared" ca="1" si="3123"/>
        <v>0</v>
      </c>
      <c r="S2117" s="1430">
        <f t="shared" ca="1" si="3123"/>
        <v>0</v>
      </c>
      <c r="T2117" s="1430">
        <f t="shared" ca="1" si="3123"/>
        <v>0</v>
      </c>
      <c r="U2117" s="1430">
        <f t="shared" ca="1" si="3123"/>
        <v>0</v>
      </c>
      <c r="V2117" s="1430">
        <f t="shared" ca="1" si="3123"/>
        <v>0</v>
      </c>
      <c r="W2117" s="1430">
        <f t="shared" ca="1" si="3123"/>
        <v>0</v>
      </c>
      <c r="X2117" s="152"/>
      <c r="Y2117" s="152"/>
      <c r="Z2117" s="152"/>
      <c r="AA2117" s="152"/>
      <c r="AB2117" s="152"/>
    </row>
    <row r="2118" spans="1:28">
      <c r="A2118" s="152"/>
      <c r="B2118" s="152"/>
      <c r="C2118" s="1423"/>
      <c r="D2118" s="1423"/>
      <c r="E2118" s="1423"/>
      <c r="F2118" s="1423"/>
      <c r="G2118" s="1423"/>
      <c r="H2118" s="1423"/>
      <c r="I2118" s="1423"/>
      <c r="J2118" s="1423"/>
      <c r="K2118" s="1423"/>
      <c r="L2118" s="1423"/>
      <c r="M2118" s="1423"/>
      <c r="N2118" s="1423"/>
      <c r="O2118" s="1423"/>
      <c r="P2118" s="1423"/>
      <c r="Q2118" s="1423"/>
      <c r="R2118" s="1423"/>
      <c r="S2118" s="1423"/>
      <c r="T2118" s="1423"/>
      <c r="U2118" s="1423"/>
      <c r="V2118" s="1423"/>
      <c r="W2118" s="1423"/>
      <c r="X2118" s="152"/>
      <c r="Y2118" s="152"/>
      <c r="Z2118" s="152"/>
      <c r="AA2118" s="152"/>
      <c r="AB2118" s="152"/>
    </row>
    <row r="2119" spans="1:28">
      <c r="A2119" s="269" t="s">
        <v>106</v>
      </c>
      <c r="B2119" s="270">
        <f>VLOOKUP($A2119,'RFM input'!$E$7:$F$56,2,FALSE)</f>
        <v>0</v>
      </c>
      <c r="C2119" s="1431"/>
      <c r="D2119" s="1431"/>
      <c r="E2119" s="1432"/>
      <c r="F2119" s="1432"/>
      <c r="G2119" s="1432"/>
      <c r="H2119" s="1432"/>
      <c r="I2119" s="1432"/>
      <c r="J2119" s="1432"/>
      <c r="K2119" s="1432"/>
      <c r="L2119" s="1432"/>
      <c r="M2119" s="1432"/>
      <c r="N2119" s="1432"/>
      <c r="O2119" s="1432"/>
      <c r="P2119" s="1432"/>
      <c r="Q2119" s="1432"/>
      <c r="R2119" s="1432"/>
      <c r="S2119" s="1432"/>
      <c r="T2119" s="1432"/>
      <c r="U2119" s="1432"/>
      <c r="V2119" s="1432"/>
      <c r="W2119" s="1432"/>
      <c r="X2119" s="152"/>
      <c r="Y2119" s="152"/>
      <c r="Z2119" s="152"/>
      <c r="AA2119" s="152"/>
      <c r="AB2119" s="152"/>
    </row>
    <row r="2120" spans="1:28">
      <c r="A2120" s="215">
        <f>VALUE(REPLACE(A2119,1,12,""))</f>
        <v>40</v>
      </c>
      <c r="B2120" s="193" t="s">
        <v>126</v>
      </c>
      <c r="C2120" s="1416">
        <f ca="1">IF($C$8='Capital Base roll forward'!$H$4,OFFSET('Capital Base roll forward'!$H$717,'RAB remaining lives'!A2120,0),"enter input")</f>
        <v>0</v>
      </c>
      <c r="D2120" s="1417">
        <f>IF(LEFT(D$6,4)&lt;LEFT('RFM input'!$G$60,4),"enter input",IF(LEFT(D$6,4)&gt;LEFT('RFM input'!$Q$60,4),0,INDEX('RFM input'!$G$61:$Q$110,$A2120,MATCH(D$6,'RFM input'!$G$60:$Q$60,0))
-INDEX('RFM input'!$G$115:$Q$164,$A2120,MATCH(D$6,'RFM input'!$G$60:$Q$60,0))
-INDEX('RFM input'!$G$169:$Q$218,$A2120,MATCH(D$6,'RFM input'!$G$60:$Q$60,0))))</f>
        <v>0</v>
      </c>
      <c r="E2120" s="1417">
        <f>IF(LEFT(E$6,4)&lt;LEFT('RFM input'!$G$60,4),"enter input",IF(LEFT(E$6,4)&gt;LEFT('RFM input'!$Q$60,4),0,INDEX('RFM input'!$G$61:$Q$110,$A2120,MATCH(E$6,'RFM input'!$G$60:$Q$60,0))
-INDEX('RFM input'!$G$115:$Q$164,$A2120,MATCH(E$6,'RFM input'!$G$60:$Q$60,0))
-INDEX('RFM input'!$G$169:$Q$218,$A2120,MATCH(E$6,'RFM input'!$G$60:$Q$60,0))))</f>
        <v>0</v>
      </c>
      <c r="F2120" s="1417">
        <f>IF(LEFT(F$6,4)&lt;LEFT('RFM input'!$G$60,4),"enter input",IF(LEFT(F$6,4)&gt;LEFT('RFM input'!$Q$60,4),0,INDEX('RFM input'!$G$61:$Q$110,$A2120,MATCH(F$6,'RFM input'!$G$60:$Q$60,0))
-INDEX('RFM input'!$G$115:$Q$164,$A2120,MATCH(F$6,'RFM input'!$G$60:$Q$60,0))
-INDEX('RFM input'!$G$169:$Q$218,$A2120,MATCH(F$6,'RFM input'!$G$60:$Q$60,0))))</f>
        <v>0</v>
      </c>
      <c r="G2120" s="1417">
        <f>IF(LEFT(G$6,4)&lt;LEFT('RFM input'!$G$60,4),"enter input",IF(LEFT(G$6,4)&gt;LEFT('RFM input'!$Q$60,4),0,INDEX('RFM input'!$G$61:$Q$110,$A2120,MATCH(G$6,'RFM input'!$G$60:$Q$60,0))
-INDEX('RFM input'!$G$115:$Q$164,$A2120,MATCH(G$6,'RFM input'!$G$60:$Q$60,0))
-INDEX('RFM input'!$G$169:$Q$218,$A2120,MATCH(G$6,'RFM input'!$G$60:$Q$60,0))))</f>
        <v>0</v>
      </c>
      <c r="H2120" s="1417">
        <f>IF(LEFT(H$6,4)&lt;LEFT('RFM input'!$G$60,4),"enter input",IF(LEFT(H$6,4)&gt;LEFT('RFM input'!$Q$60,4),0,INDEX('RFM input'!$G$61:$Q$110,$A2120,MATCH(H$6,'RFM input'!$G$60:$Q$60,0))
-INDEX('RFM input'!$G$115:$Q$164,$A2120,MATCH(H$6,'RFM input'!$G$60:$Q$60,0))
-INDEX('RFM input'!$G$169:$Q$218,$A2120,MATCH(H$6,'RFM input'!$G$60:$Q$60,0))))</f>
        <v>0</v>
      </c>
      <c r="I2120" s="1417">
        <f>IF(LEFT(I$6,4)&lt;LEFT('RFM input'!$G$60,4),"enter input",IF(LEFT(I$6,4)&gt;LEFT('RFM input'!$Q$60,4),0,INDEX('RFM input'!$G$61:$Q$110,$A2120,MATCH(I$6,'RFM input'!$G$60:$Q$60,0))
-INDEX('RFM input'!$G$115:$Q$164,$A2120,MATCH(I$6,'RFM input'!$G$60:$Q$60,0))
-INDEX('RFM input'!$G$169:$Q$218,$A2120,MATCH(I$6,'RFM input'!$G$60:$Q$60,0))))</f>
        <v>0</v>
      </c>
      <c r="J2120" s="1417">
        <f>IF(LEFT(J$6,4)&lt;LEFT('RFM input'!$G$60,4),"enter input",IF(LEFT(J$6,4)&gt;LEFT('RFM input'!$Q$60,4),0,INDEX('RFM input'!$G$61:$Q$110,$A2120,MATCH(J$6,'RFM input'!$G$60:$Q$60,0))
-INDEX('RFM input'!$G$115:$Q$164,$A2120,MATCH(J$6,'RFM input'!$G$60:$Q$60,0))
-INDEX('RFM input'!$G$169:$Q$218,$A2120,MATCH(J$6,'RFM input'!$G$60:$Q$60,0))))</f>
        <v>0</v>
      </c>
      <c r="K2120" s="1417">
        <f>IF(LEFT(K$6,4)&lt;LEFT('RFM input'!$G$60,4),"enter input",IF(LEFT(K$6,4)&gt;LEFT('RFM input'!$Q$60,4),0,INDEX('RFM input'!$G$61:$Q$110,$A2120,MATCH(K$6,'RFM input'!$G$60:$Q$60,0))
-INDEX('RFM input'!$G$115:$Q$164,$A2120,MATCH(K$6,'RFM input'!$G$60:$Q$60,0))
-INDEX('RFM input'!$G$169:$Q$218,$A2120,MATCH(K$6,'RFM input'!$G$60:$Q$60,0))))</f>
        <v>0</v>
      </c>
      <c r="L2120" s="1417">
        <f>IF(LEFT(L$6,4)&lt;LEFT('RFM input'!$G$60,4),"enter input",IF(LEFT(L$6,4)&gt;LEFT('RFM input'!$Q$60,4),0,INDEX('RFM input'!$G$61:$Q$110,$A2120,MATCH(L$6,'RFM input'!$G$60:$Q$60,0))
-INDEX('RFM input'!$G$115:$Q$164,$A2120,MATCH(L$6,'RFM input'!$G$60:$Q$60,0))
-INDEX('RFM input'!$G$169:$Q$218,$A2120,MATCH(L$6,'RFM input'!$G$60:$Q$60,0))))</f>
        <v>0</v>
      </c>
      <c r="M2120" s="1417">
        <f>IF(LEFT(M$6,4)&lt;LEFT('RFM input'!$G$60,4),"enter input",IF(LEFT(M$6,4)&gt;LEFT('RFM input'!$Q$60,4),0,INDEX('RFM input'!$G$61:$Q$110,$A2120,MATCH(M$6,'RFM input'!$G$60:$Q$60,0))
-INDEX('RFM input'!$G$115:$Q$164,$A2120,MATCH(M$6,'RFM input'!$G$60:$Q$60,0))
-INDEX('RFM input'!$G$169:$Q$218,$A2120,MATCH(M$6,'RFM input'!$G$60:$Q$60,0))))</f>
        <v>0</v>
      </c>
      <c r="N2120" s="1417">
        <f>IF(LEFT(N$6,4)&lt;LEFT('RFM input'!$G$60,4),"enter input",IF(LEFT(N$6,4)&gt;LEFT('RFM input'!$Q$60,4),0,INDEX('RFM input'!$G$61:$Q$110,$A2120,MATCH(N$6,'RFM input'!$G$60:$Q$60,0))
-INDEX('RFM input'!$G$115:$Q$164,$A2120,MATCH(N$6,'RFM input'!$G$60:$Q$60,0))
-INDEX('RFM input'!$G$169:$Q$218,$A2120,MATCH(N$6,'RFM input'!$G$60:$Q$60,0))))</f>
        <v>0</v>
      </c>
      <c r="O2120" s="1417">
        <f>IF(LEFT(O$6,4)&lt;LEFT('RFM input'!$G$60,4),"enter input",IF(LEFT(O$6,4)&gt;LEFT('RFM input'!$Q$60,4),0,INDEX('RFM input'!$G$61:$Q$110,$A2120,MATCH(O$6,'RFM input'!$G$60:$Q$60,0))
-INDEX('RFM input'!$G$115:$Q$164,$A2120,MATCH(O$6,'RFM input'!$G$60:$Q$60,0))
-INDEX('RFM input'!$G$169:$Q$218,$A2120,MATCH(O$6,'RFM input'!$G$60:$Q$60,0))))</f>
        <v>0</v>
      </c>
      <c r="P2120" s="1417">
        <f>IF(LEFT(P$6,4)&lt;LEFT('RFM input'!$G$60,4),"enter input",IF(LEFT(P$6,4)&gt;LEFT('RFM input'!$Q$60,4),0,INDEX('RFM input'!$G$61:$Q$110,$A2120,MATCH(P$6,'RFM input'!$G$60:$Q$60,0))
-INDEX('RFM input'!$G$115:$Q$164,$A2120,MATCH(P$6,'RFM input'!$G$60:$Q$60,0))
-INDEX('RFM input'!$G$169:$Q$218,$A2120,MATCH(P$6,'RFM input'!$G$60:$Q$60,0))))</f>
        <v>0</v>
      </c>
      <c r="Q2120" s="1417">
        <f>IF(LEFT(Q$6,4)&lt;LEFT('RFM input'!$G$60,4),"enter input",IF(LEFT(Q$6,4)&gt;LEFT('RFM input'!$Q$60,4),0,INDEX('RFM input'!$G$61:$Q$110,$A2120,MATCH(Q$6,'RFM input'!$G$60:$Q$60,0))
-INDEX('RFM input'!$G$115:$Q$164,$A2120,MATCH(Q$6,'RFM input'!$G$60:$Q$60,0))
-INDEX('RFM input'!$G$169:$Q$218,$A2120,MATCH(Q$6,'RFM input'!$G$60:$Q$60,0))))</f>
        <v>0</v>
      </c>
      <c r="R2120" s="1417">
        <f>IF(LEFT(R$6,4)&lt;LEFT('RFM input'!$G$60,4),"enter input",IF(LEFT(R$6,4)&gt;LEFT('RFM input'!$Q$60,4),0,INDEX('RFM input'!$G$61:$Q$110,$A2120,MATCH(R$6,'RFM input'!$G$60:$Q$60,0))
-INDEX('RFM input'!$G$115:$Q$164,$A2120,MATCH(R$6,'RFM input'!$G$60:$Q$60,0))
-INDEX('RFM input'!$G$169:$Q$218,$A2120,MATCH(R$6,'RFM input'!$G$60:$Q$60,0))))</f>
        <v>0</v>
      </c>
      <c r="S2120" s="1417">
        <f>IF(LEFT(S$6,4)&lt;LEFT('RFM input'!$G$60,4),"enter input",IF(LEFT(S$6,4)&gt;LEFT('RFM input'!$Q$60,4),0,INDEX('RFM input'!$G$61:$Q$110,$A2120,MATCH(S$6,'RFM input'!$G$60:$Q$60,0))
-INDEX('RFM input'!$G$115:$Q$164,$A2120,MATCH(S$6,'RFM input'!$G$60:$Q$60,0))
-INDEX('RFM input'!$G$169:$Q$218,$A2120,MATCH(S$6,'RFM input'!$G$60:$Q$60,0))))</f>
        <v>0</v>
      </c>
      <c r="T2120" s="1417">
        <f>IF(LEFT(T$6,4)&lt;LEFT('RFM input'!$G$60,4),"enter input",IF(LEFT(T$6,4)&gt;LEFT('RFM input'!$Q$60,4),0,INDEX('RFM input'!$G$61:$Q$110,$A2120,MATCH(T$6,'RFM input'!$G$60:$Q$60,0))
-INDEX('RFM input'!$G$115:$Q$164,$A2120,MATCH(T$6,'RFM input'!$G$60:$Q$60,0))
-INDEX('RFM input'!$G$169:$Q$218,$A2120,MATCH(T$6,'RFM input'!$G$60:$Q$60,0))))</f>
        <v>0</v>
      </c>
      <c r="U2120" s="1417">
        <f>IF(LEFT(U$6,4)&lt;LEFT('RFM input'!$G$60,4),"enter input",IF(LEFT(U$6,4)&gt;LEFT('RFM input'!$Q$60,4),0,INDEX('RFM input'!$G$61:$Q$110,$A2120,MATCH(U$6,'RFM input'!$G$60:$Q$60,0))
-INDEX('RFM input'!$G$115:$Q$164,$A2120,MATCH(U$6,'RFM input'!$G$60:$Q$60,0))
-INDEX('RFM input'!$G$169:$Q$218,$A2120,MATCH(U$6,'RFM input'!$G$60:$Q$60,0))))</f>
        <v>0</v>
      </c>
      <c r="V2120" s="1417">
        <f>IF(LEFT(V$6,4)&lt;LEFT('RFM input'!$G$60,4),"enter input",IF(LEFT(V$6,4)&gt;LEFT('RFM input'!$Q$60,4),0,INDEX('RFM input'!$G$61:$Q$110,$A2120,MATCH(V$6,'RFM input'!$G$60:$Q$60,0))
-INDEX('RFM input'!$G$115:$Q$164,$A2120,MATCH(V$6,'RFM input'!$G$60:$Q$60,0))
-INDEX('RFM input'!$G$169:$Q$218,$A2120,MATCH(V$6,'RFM input'!$G$60:$Q$60,0))))</f>
        <v>0</v>
      </c>
      <c r="W2120" s="1417">
        <f>IF(LEFT(W$6,4)&lt;LEFT('RFM input'!$G$60,4),"enter input",IF(LEFT(W$6,4)&gt;LEFT('RFM input'!$Q$60,4),0,INDEX('RFM input'!$G$61:$Q$110,$A2120,MATCH(W$6,'RFM input'!$G$60:$Q$60,0))
-INDEX('RFM input'!$G$115:$Q$164,$A2120,MATCH(W$6,'RFM input'!$G$60:$Q$60,0))
-INDEX('RFM input'!$G$169:$Q$218,$A2120,MATCH(W$6,'RFM input'!$G$60:$Q$60,0))))</f>
        <v>0</v>
      </c>
      <c r="X2120" s="152"/>
      <c r="Y2120" s="152"/>
      <c r="Z2120" s="152"/>
      <c r="AA2120" s="152"/>
      <c r="AB2120" s="152"/>
    </row>
    <row r="2121" spans="1:28">
      <c r="A2121" s="152"/>
      <c r="B2121" s="152" t="s">
        <v>204</v>
      </c>
      <c r="C2121" s="1418">
        <f ca="1">IF($C$8='Capital Base roll forward'!$H$4,OFFSET('RFM input'!$J$6,'RAB remaining lives'!A2120,0),"enter input")</f>
        <v>0</v>
      </c>
      <c r="D2121" s="1417">
        <f>IF(LEFT(D$6,4)&lt;=LEFT('RFM input'!$G$60,4),"enter input",IF(LEFT(D$6,4)&gt;LEFT('RFM input'!$Q$60,4),0,IF(MATCH(D$6,'RFM input'!$H$60:$Q$60,0),INDEX('RFM input'!$K$7:$K$56,$A2120,1))))</f>
        <v>0</v>
      </c>
      <c r="E2121" s="1417">
        <f>IF(LEFT(E$6,4)&lt;=LEFT('RFM input'!$G$60,4),"enter input",IF(LEFT(E$6,4)&gt;LEFT('RFM input'!$Q$60,4),0,IF(MATCH(E$6,'RFM input'!$H$60:$Q$60,0),INDEX('RFM input'!$K$7:$K$56,$A2120,1))))</f>
        <v>0</v>
      </c>
      <c r="F2121" s="1417">
        <f>IF(LEFT(F$6,4)&lt;=LEFT('RFM input'!$G$60,4),"enter input",IF(LEFT(F$6,4)&gt;LEFT('RFM input'!$Q$60,4),0,IF(MATCH(F$6,'RFM input'!$H$60:$Q$60,0),INDEX('RFM input'!$K$7:$K$56,$A2120,1))))</f>
        <v>0</v>
      </c>
      <c r="G2121" s="1417">
        <f>IF(LEFT(G$6,4)&lt;=LEFT('RFM input'!$G$60,4),"enter input",IF(LEFT(G$6,4)&gt;LEFT('RFM input'!$Q$60,4),0,IF(MATCH(G$6,'RFM input'!$H$60:$Q$60,0),INDEX('RFM input'!$K$7:$K$56,$A2120,1))))</f>
        <v>0</v>
      </c>
      <c r="H2121" s="1417">
        <f>IF(LEFT(H$6,4)&lt;=LEFT('RFM input'!$G$60,4),"enter input",IF(LEFT(H$6,4)&gt;LEFT('RFM input'!$Q$60,4),0,IF(MATCH(H$6,'RFM input'!$H$60:$Q$60,0),INDEX('RFM input'!$K$7:$K$56,$A2120,1))))</f>
        <v>0</v>
      </c>
      <c r="I2121" s="1417">
        <f>IF(LEFT(I$6,4)&lt;=LEFT('RFM input'!$G$60,4),"enter input",IF(LEFT(I$6,4)&gt;LEFT('RFM input'!$Q$60,4),0,IF(MATCH(I$6,'RFM input'!$H$60:$Q$60,0),INDEX('RFM input'!$K$7:$K$56,$A2120,1))))</f>
        <v>0</v>
      </c>
      <c r="J2121" s="1417">
        <f>IF(LEFT(J$6,4)&lt;=LEFT('RFM input'!$G$60,4),"enter input",IF(LEFT(J$6,4)&gt;LEFT('RFM input'!$Q$60,4),0,IF(MATCH(J$6,'RFM input'!$H$60:$Q$60,0),INDEX('RFM input'!$K$7:$K$56,$A2120,1))))</f>
        <v>0</v>
      </c>
      <c r="K2121" s="1417">
        <f>IF(LEFT(K$6,4)&lt;=LEFT('RFM input'!$G$60,4),"enter input",IF(LEFT(K$6,4)&gt;LEFT('RFM input'!$Q$60,4),0,IF(MATCH(K$6,'RFM input'!$H$60:$Q$60,0),INDEX('RFM input'!$K$7:$K$56,$A2120,1))))</f>
        <v>0</v>
      </c>
      <c r="L2121" s="1417">
        <f>IF(LEFT(L$6,4)&lt;=LEFT('RFM input'!$G$60,4),"enter input",IF(LEFT(L$6,4)&gt;LEFT('RFM input'!$Q$60,4),0,IF(MATCH(L$6,'RFM input'!$H$60:$Q$60,0),INDEX('RFM input'!$K$7:$K$56,$A2120,1))))</f>
        <v>0</v>
      </c>
      <c r="M2121" s="1417">
        <f>IF(LEFT(M$6,4)&lt;=LEFT('RFM input'!$G$60,4),"enter input",IF(LEFT(M$6,4)&gt;LEFT('RFM input'!$Q$60,4),0,IF(MATCH(M$6,'RFM input'!$H$60:$Q$60,0),INDEX('RFM input'!$K$7:$K$56,$A2120,1))))</f>
        <v>0</v>
      </c>
      <c r="N2121" s="1417">
        <f>IF(LEFT(N$6,4)&lt;=LEFT('RFM input'!$G$60,4),"enter input",IF(LEFT(N$6,4)&gt;LEFT('RFM input'!$Q$60,4),0,IF(MATCH(N$6,'RFM input'!$H$60:$Q$60,0),INDEX('RFM input'!$K$7:$K$56,$A2120,1))))</f>
        <v>0</v>
      </c>
      <c r="O2121" s="1417">
        <f>IF(LEFT(O$6,4)&lt;=LEFT('RFM input'!$G$60,4),"enter input",IF(LEFT(O$6,4)&gt;LEFT('RFM input'!$Q$60,4),0,IF(MATCH(O$6,'RFM input'!$H$60:$Q$60,0),INDEX('RFM input'!$K$7:$K$56,$A2120,1))))</f>
        <v>0</v>
      </c>
      <c r="P2121" s="1417">
        <f>IF(LEFT(P$6,4)&lt;=LEFT('RFM input'!$G$60,4),"enter input",IF(LEFT(P$6,4)&gt;LEFT('RFM input'!$Q$60,4),0,IF(MATCH(P$6,'RFM input'!$H$60:$Q$60,0),INDEX('RFM input'!$K$7:$K$56,$A2120,1))))</f>
        <v>0</v>
      </c>
      <c r="Q2121" s="1417">
        <f>IF(LEFT(Q$6,4)&lt;=LEFT('RFM input'!$G$60,4),"enter input",IF(LEFT(Q$6,4)&gt;LEFT('RFM input'!$Q$60,4),0,IF(MATCH(Q$6,'RFM input'!$H$60:$Q$60,0),INDEX('RFM input'!$K$7:$K$56,$A2120,1))))</f>
        <v>0</v>
      </c>
      <c r="R2121" s="1417">
        <f>IF(LEFT(R$6,4)&lt;=LEFT('RFM input'!$G$60,4),"enter input",IF(LEFT(R$6,4)&gt;LEFT('RFM input'!$Q$60,4),0,IF(MATCH(R$6,'RFM input'!$H$60:$Q$60,0),INDEX('RFM input'!$K$7:$K$56,$A2120,1))))</f>
        <v>0</v>
      </c>
      <c r="S2121" s="1417">
        <f>IF(LEFT(S$6,4)&lt;=LEFT('RFM input'!$G$60,4),"enter input",IF(LEFT(S$6,4)&gt;LEFT('RFM input'!$Q$60,4),0,IF(MATCH(S$6,'RFM input'!$H$60:$Q$60,0),INDEX('RFM input'!$K$7:$K$56,$A2120,1))))</f>
        <v>0</v>
      </c>
      <c r="T2121" s="1417">
        <f>IF(LEFT(T$6,4)&lt;=LEFT('RFM input'!$G$60,4),"enter input",IF(LEFT(T$6,4)&gt;LEFT('RFM input'!$Q$60,4),0,IF(MATCH(T$6,'RFM input'!$H$60:$Q$60,0),INDEX('RFM input'!$K$7:$K$56,$A2120,1))))</f>
        <v>0</v>
      </c>
      <c r="U2121" s="1417">
        <f>IF(LEFT(U$6,4)&lt;=LEFT('RFM input'!$G$60,4),"enter input",IF(LEFT(U$6,4)&gt;LEFT('RFM input'!$Q$60,4),0,IF(MATCH(U$6,'RFM input'!$H$60:$Q$60,0),INDEX('RFM input'!$K$7:$K$56,$A2120,1))))</f>
        <v>0</v>
      </c>
      <c r="V2121" s="1417">
        <f>IF(LEFT(V$6,4)&lt;=LEFT('RFM input'!$G$60,4),"enter input",IF(LEFT(V$6,4)&gt;LEFT('RFM input'!$Q$60,4),0,IF(MATCH(V$6,'RFM input'!$H$60:$Q$60,0),INDEX('RFM input'!$K$7:$K$56,$A2120,1))))</f>
        <v>0</v>
      </c>
      <c r="W2121" s="1417">
        <f>IF(LEFT(W$6,4)&lt;=LEFT('RFM input'!$G$60,4),"enter input",IF(LEFT(W$6,4)&gt;LEFT('RFM input'!$Q$60,4),0,IF(MATCH(W$6,'RFM input'!$H$60:$Q$60,0),INDEX('RFM input'!$K$7:$K$56,$A2120,1))))</f>
        <v>0</v>
      </c>
      <c r="X2121" s="152"/>
      <c r="Y2121" s="152"/>
      <c r="Z2121" s="152"/>
      <c r="AA2121" s="152"/>
      <c r="AB2121" s="152"/>
    </row>
    <row r="2122" spans="1:28">
      <c r="A2122" s="152"/>
      <c r="B2122" s="177" t="s">
        <v>191</v>
      </c>
      <c r="C2122" s="1419"/>
      <c r="D2122" s="1420">
        <f ca="1">IF(LEFT(D$6,4)&lt;=LEFT('RFM input'!$G$60,4),"enter input",IF(LEFT(D$6,4)&gt;LEFT('RFM input'!$Q$60,4),0,IF(D$6=(OFFSET('RFM input'!$G$60,0,'RFM input'!$V$7)),OFFSET('RFM input'!$G$411,$A2120,0),0)))</f>
        <v>0</v>
      </c>
      <c r="E2122" s="1417">
        <f ca="1">IF(LEFT(E$6,4)&lt;=LEFT('RFM input'!$G$60,4),"enter input",IF(LEFT(E$6,4)&gt;LEFT('RFM input'!$Q$60,4),0,IF(E$6=(OFFSET('RFM input'!$G$60,0,'RFM input'!$V$7)),OFFSET('RFM input'!$G$411,$A2120,0),0)))</f>
        <v>0</v>
      </c>
      <c r="F2122" s="1417">
        <f ca="1">IF(LEFT(F$6,4)&lt;=LEFT('RFM input'!$G$60,4),"enter input",IF(LEFT(F$6,4)&gt;LEFT('RFM input'!$Q$60,4),0,IF(F$6=(OFFSET('RFM input'!$G$60,0,'RFM input'!$V$7)),OFFSET('RFM input'!$G$411,$A2120,0),0)))</f>
        <v>0</v>
      </c>
      <c r="G2122" s="1417">
        <f ca="1">IF(LEFT(G$6,4)&lt;=LEFT('RFM input'!$G$60,4),"enter input",IF(LEFT(G$6,4)&gt;LEFT('RFM input'!$Q$60,4),0,IF(G$6=(OFFSET('RFM input'!$G$60,0,'RFM input'!$V$7)),OFFSET('RFM input'!$G$411,$A2120,0),0)))</f>
        <v>0</v>
      </c>
      <c r="H2122" s="1417">
        <f ca="1">IF(LEFT(H$6,4)&lt;=LEFT('RFM input'!$G$60,4),"enter input",IF(LEFT(H$6,4)&gt;LEFT('RFM input'!$Q$60,4),0,IF(H$6=(OFFSET('RFM input'!$G$60,0,'RFM input'!$V$7)),OFFSET('RFM input'!$G$411,$A2120,0),0)))</f>
        <v>0</v>
      </c>
      <c r="I2122" s="1417">
        <f ca="1">IF(LEFT(I$6,4)&lt;=LEFT('RFM input'!$G$60,4),"enter input",IF(LEFT(I$6,4)&gt;LEFT('RFM input'!$Q$60,4),0,IF(I$6=(OFFSET('RFM input'!$G$60,0,'RFM input'!$V$7)),OFFSET('RFM input'!$G$411,$A2120,0),0)))</f>
        <v>0</v>
      </c>
      <c r="J2122" s="1417">
        <f ca="1">IF(LEFT(J$6,4)&lt;=LEFT('RFM input'!$G$60,4),"enter input",IF(LEFT(J$6,4)&gt;LEFT('RFM input'!$Q$60,4),0,IF(J$6=(OFFSET('RFM input'!$G$60,0,'RFM input'!$V$7)),OFFSET('RFM input'!$G$411,$A2120,0),0)))</f>
        <v>0</v>
      </c>
      <c r="K2122" s="1417">
        <f ca="1">IF(LEFT(K$6,4)&lt;=LEFT('RFM input'!$G$60,4),"enter input",IF(LEFT(K$6,4)&gt;LEFT('RFM input'!$Q$60,4),0,IF(K$6=(OFFSET('RFM input'!$G$60,0,'RFM input'!$V$7)),OFFSET('RFM input'!$G$411,$A2120,0),0)))</f>
        <v>0</v>
      </c>
      <c r="L2122" s="1417">
        <f ca="1">IF(LEFT(L$6,4)&lt;=LEFT('RFM input'!$G$60,4),"enter input",IF(LEFT(L$6,4)&gt;LEFT('RFM input'!$Q$60,4),0,IF(L$6=(OFFSET('RFM input'!$G$60,0,'RFM input'!$V$7)),OFFSET('RFM input'!$G$411,$A2120,0),0)))</f>
        <v>0</v>
      </c>
      <c r="M2122" s="1417">
        <f ca="1">IF(LEFT(M$6,4)&lt;=LEFT('RFM input'!$G$60,4),"enter input",IF(LEFT(M$6,4)&gt;LEFT('RFM input'!$Q$60,4),0,IF(M$6=(OFFSET('RFM input'!$G$60,0,'RFM input'!$V$7)),OFFSET('RFM input'!$G$411,$A2120,0),0)))</f>
        <v>0</v>
      </c>
      <c r="N2122" s="1417">
        <f ca="1">IF(LEFT(N$6,4)&lt;=LEFT('RFM input'!$G$60,4),"enter input",IF(LEFT(N$6,4)&gt;LEFT('RFM input'!$Q$60,4),0,IF(N$6=(OFFSET('RFM input'!$G$60,0,'RFM input'!$V$7)),OFFSET('RFM input'!$G$411,$A2120,0),0)))</f>
        <v>0</v>
      </c>
      <c r="O2122" s="1417">
        <f ca="1">IF(LEFT(O$6,4)&lt;=LEFT('RFM input'!$G$60,4),"enter input",IF(LEFT(O$6,4)&gt;LEFT('RFM input'!$Q$60,4),0,IF(O$6=(OFFSET('RFM input'!$G$60,0,'RFM input'!$V$7)),OFFSET('RFM input'!$G$411,$A2120,0),0)))</f>
        <v>0</v>
      </c>
      <c r="P2122" s="1417">
        <f ca="1">IF(LEFT(P$6,4)&lt;=LEFT('RFM input'!$G$60,4),"enter input",IF(LEFT(P$6,4)&gt;LEFT('RFM input'!$Q$60,4),0,IF(P$6=(OFFSET('RFM input'!$G$60,0,'RFM input'!$V$7)),OFFSET('RFM input'!$G$411,$A2120,0),0)))</f>
        <v>0</v>
      </c>
      <c r="Q2122" s="1417">
        <f ca="1">IF(LEFT(Q$6,4)&lt;=LEFT('RFM input'!$G$60,4),"enter input",IF(LEFT(Q$6,4)&gt;LEFT('RFM input'!$Q$60,4),0,IF(Q$6=(OFFSET('RFM input'!$G$60,0,'RFM input'!$V$7)),OFFSET('RFM input'!$G$411,$A2120,0),0)))</f>
        <v>0</v>
      </c>
      <c r="R2122" s="1417">
        <f ca="1">IF(LEFT(R$6,4)&lt;=LEFT('RFM input'!$G$60,4),"enter input",IF(LEFT(R$6,4)&gt;LEFT('RFM input'!$Q$60,4),0,IF(R$6=(OFFSET('RFM input'!$G$60,0,'RFM input'!$V$7)),OFFSET('RFM input'!$G$411,$A2120,0),0)))</f>
        <v>0</v>
      </c>
      <c r="S2122" s="1417">
        <f ca="1">IF(LEFT(S$6,4)&lt;=LEFT('RFM input'!$G$60,4),"enter input",IF(LEFT(S$6,4)&gt;LEFT('RFM input'!$Q$60,4),0,IF(S$6=(OFFSET('RFM input'!$G$60,0,'RFM input'!$V$7)),OFFSET('RFM input'!$G$411,$A2120,0),0)))</f>
        <v>0</v>
      </c>
      <c r="T2122" s="1417">
        <f ca="1">IF(LEFT(T$6,4)&lt;=LEFT('RFM input'!$G$60,4),"enter input",IF(LEFT(T$6,4)&gt;LEFT('RFM input'!$Q$60,4),0,IF(T$6=(OFFSET('RFM input'!$G$60,0,'RFM input'!$V$7)),OFFSET('RFM input'!$G$411,$A2120,0),0)))</f>
        <v>0</v>
      </c>
      <c r="U2122" s="1417">
        <f ca="1">IF(LEFT(U$6,4)&lt;=LEFT('RFM input'!$G$60,4),"enter input",IF(LEFT(U$6,4)&gt;LEFT('RFM input'!$Q$60,4),0,IF(U$6=(OFFSET('RFM input'!$G$60,0,'RFM input'!$V$7)),OFFSET('RFM input'!$G$411,$A2120,0),0)))</f>
        <v>0</v>
      </c>
      <c r="V2122" s="1417">
        <f ca="1">IF(LEFT(V$6,4)&lt;=LEFT('RFM input'!$G$60,4),"enter input",IF(LEFT(V$6,4)&gt;LEFT('RFM input'!$Q$60,4),0,IF(V$6=(OFFSET('RFM input'!$G$60,0,'RFM input'!$V$7)),OFFSET('RFM input'!$G$411,$A2120,0),0)))</f>
        <v>0</v>
      </c>
      <c r="W2122" s="1417">
        <f ca="1">IF(LEFT(W$6,4)&lt;=LEFT('RFM input'!$G$60,4),"enter input",IF(LEFT(W$6,4)&gt;LEFT('RFM input'!$Q$60,4),0,IF(W$6=(OFFSET('RFM input'!$G$60,0,'RFM input'!$V$7)),OFFSET('RFM input'!$G$411,$A2120,0),0)))</f>
        <v>0</v>
      </c>
      <c r="X2122" s="152"/>
      <c r="Y2122" s="152"/>
      <c r="Z2122" s="152"/>
      <c r="AA2122" s="152"/>
      <c r="AB2122" s="152"/>
    </row>
    <row r="2123" spans="1:28">
      <c r="A2123" s="152"/>
      <c r="B2123" s="195" t="s">
        <v>197</v>
      </c>
      <c r="C2123" s="1419"/>
      <c r="D2123" s="1418">
        <f ca="1">IF(LEFT(D$6,4)&lt;=LEFT('RFM input'!$G$60,4),"enter input",IF(LEFT(D$6,4)&gt;LEFT('RFM input'!$Q$60,4),0,IF(D$6=(OFFSET('RFM input'!$G$60,0,'RFM input'!$V$7)),OFFSET('RFM input'!$I$411,$A2120,0),0)))</f>
        <v>0</v>
      </c>
      <c r="E2123" s="1422">
        <f ca="1">IF(LEFT(E$6,4)&lt;=LEFT('RFM input'!$G$60,4),"enter input",IF(LEFT(E$6,4)&gt;LEFT('RFM input'!$Q$60,4),0,IF(E$6=(OFFSET('RFM input'!$G$60,0,'RFM input'!$V$7)),OFFSET('RFM input'!$I$411,$A2120,0),0)))</f>
        <v>0</v>
      </c>
      <c r="F2123" s="1422">
        <f ca="1">IF(LEFT(F$6,4)&lt;=LEFT('RFM input'!$G$60,4),"enter input",IF(LEFT(F$6,4)&gt;LEFT('RFM input'!$Q$60,4),0,IF(F$6=(OFFSET('RFM input'!$G$60,0,'RFM input'!$V$7)),OFFSET('RFM input'!$I$411,$A2120,0),0)))</f>
        <v>0</v>
      </c>
      <c r="G2123" s="1422">
        <f ca="1">IF(LEFT(G$6,4)&lt;=LEFT('RFM input'!$G$60,4),"enter input",IF(LEFT(G$6,4)&gt;LEFT('RFM input'!$Q$60,4),0,IF(G$6=(OFFSET('RFM input'!$G$60,0,'RFM input'!$V$7)),OFFSET('RFM input'!$I$411,$A2120,0),0)))</f>
        <v>0</v>
      </c>
      <c r="H2123" s="1422">
        <f ca="1">IF(LEFT(H$6,4)&lt;=LEFT('RFM input'!$G$60,4),"enter input",IF(LEFT(H$6,4)&gt;LEFT('RFM input'!$Q$60,4),0,IF(H$6=(OFFSET('RFM input'!$G$60,0,'RFM input'!$V$7)),OFFSET('RFM input'!$I$411,$A2120,0),0)))</f>
        <v>0</v>
      </c>
      <c r="I2123" s="1422">
        <f ca="1">IF(LEFT(I$6,4)&lt;=LEFT('RFM input'!$G$60,4),"enter input",IF(LEFT(I$6,4)&gt;LEFT('RFM input'!$Q$60,4),0,IF(I$6=(OFFSET('RFM input'!$G$60,0,'RFM input'!$V$7)),OFFSET('RFM input'!$I$411,$A2120,0),0)))</f>
        <v>0</v>
      </c>
      <c r="J2123" s="1422">
        <f ca="1">IF(LEFT(J$6,4)&lt;=LEFT('RFM input'!$G$60,4),"enter input",IF(LEFT(J$6,4)&gt;LEFT('RFM input'!$Q$60,4),0,IF(J$6=(OFFSET('RFM input'!$G$60,0,'RFM input'!$V$7)),OFFSET('RFM input'!$I$411,$A2120,0),0)))</f>
        <v>0</v>
      </c>
      <c r="K2123" s="1422">
        <f ca="1">IF(LEFT(K$6,4)&lt;=LEFT('RFM input'!$G$60,4),"enter input",IF(LEFT(K$6,4)&gt;LEFT('RFM input'!$Q$60,4),0,IF(K$6=(OFFSET('RFM input'!$G$60,0,'RFM input'!$V$7)),OFFSET('RFM input'!$I$411,$A2120,0),0)))</f>
        <v>0</v>
      </c>
      <c r="L2123" s="1422">
        <f ca="1">IF(LEFT(L$6,4)&lt;=LEFT('RFM input'!$G$60,4),"enter input",IF(LEFT(L$6,4)&gt;LEFT('RFM input'!$Q$60,4),0,IF(L$6=(OFFSET('RFM input'!$G$60,0,'RFM input'!$V$7)),OFFSET('RFM input'!$I$411,$A2120,0),0)))</f>
        <v>0</v>
      </c>
      <c r="M2123" s="1422">
        <f ca="1">IF(LEFT(M$6,4)&lt;=LEFT('RFM input'!$G$60,4),"enter input",IF(LEFT(M$6,4)&gt;LEFT('RFM input'!$Q$60,4),0,IF(M$6=(OFFSET('RFM input'!$G$60,0,'RFM input'!$V$7)),OFFSET('RFM input'!$I$411,$A2120,0),0)))</f>
        <v>0</v>
      </c>
      <c r="N2123" s="1422">
        <f ca="1">IF(LEFT(N$6,4)&lt;=LEFT('RFM input'!$G$60,4),"enter input",IF(LEFT(N$6,4)&gt;LEFT('RFM input'!$Q$60,4),0,IF(N$6=(OFFSET('RFM input'!$G$60,0,'RFM input'!$V$7)),OFFSET('RFM input'!$I$411,$A2120,0),0)))</f>
        <v>0</v>
      </c>
      <c r="O2123" s="1422">
        <f ca="1">IF(LEFT(O$6,4)&lt;=LEFT('RFM input'!$G$60,4),"enter input",IF(LEFT(O$6,4)&gt;LEFT('RFM input'!$Q$60,4),0,IF(O$6=(OFFSET('RFM input'!$G$60,0,'RFM input'!$V$7)),OFFSET('RFM input'!$I$411,$A2120,0),0)))</f>
        <v>0</v>
      </c>
      <c r="P2123" s="1422">
        <f ca="1">IF(LEFT(P$6,4)&lt;=LEFT('RFM input'!$G$60,4),"enter input",IF(LEFT(P$6,4)&gt;LEFT('RFM input'!$Q$60,4),0,IF(P$6=(OFFSET('RFM input'!$G$60,0,'RFM input'!$V$7)),OFFSET('RFM input'!$I$411,$A2120,0),0)))</f>
        <v>0</v>
      </c>
      <c r="Q2123" s="1422">
        <f ca="1">IF(LEFT(Q$6,4)&lt;=LEFT('RFM input'!$G$60,4),"enter input",IF(LEFT(Q$6,4)&gt;LEFT('RFM input'!$Q$60,4),0,IF(Q$6=(OFFSET('RFM input'!$G$60,0,'RFM input'!$V$7)),OFFSET('RFM input'!$I$411,$A2120,0),0)))</f>
        <v>0</v>
      </c>
      <c r="R2123" s="1422">
        <f ca="1">IF(LEFT(R$6,4)&lt;=LEFT('RFM input'!$G$60,4),"enter input",IF(LEFT(R$6,4)&gt;LEFT('RFM input'!$Q$60,4),0,IF(R$6=(OFFSET('RFM input'!$G$60,0,'RFM input'!$V$7)),OFFSET('RFM input'!$I$411,$A2120,0),0)))</f>
        <v>0</v>
      </c>
      <c r="S2123" s="1422">
        <f ca="1">IF(LEFT(S$6,4)&lt;=LEFT('RFM input'!$G$60,4),"enter input",IF(LEFT(S$6,4)&gt;LEFT('RFM input'!$Q$60,4),0,IF(S$6=(OFFSET('RFM input'!$G$60,0,'RFM input'!$V$7)),OFFSET('RFM input'!$I$411,$A2120,0),0)))</f>
        <v>0</v>
      </c>
      <c r="T2123" s="1422">
        <f ca="1">IF(LEFT(T$6,4)&lt;=LEFT('RFM input'!$G$60,4),"enter input",IF(LEFT(T$6,4)&gt;LEFT('RFM input'!$Q$60,4),0,IF(T$6=(OFFSET('RFM input'!$G$60,0,'RFM input'!$V$7)),OFFSET('RFM input'!$I$411,$A2120,0),0)))</f>
        <v>0</v>
      </c>
      <c r="U2123" s="1422">
        <f ca="1">IF(LEFT(U$6,4)&lt;=LEFT('RFM input'!$G$60,4),"enter input",IF(LEFT(U$6,4)&gt;LEFT('RFM input'!$Q$60,4),0,IF(U$6=(OFFSET('RFM input'!$G$60,0,'RFM input'!$V$7)),OFFSET('RFM input'!$I$411,$A2120,0),0)))</f>
        <v>0</v>
      </c>
      <c r="V2123" s="1422">
        <f ca="1">IF(LEFT(V$6,4)&lt;=LEFT('RFM input'!$G$60,4),"enter input",IF(LEFT(V$6,4)&gt;LEFT('RFM input'!$Q$60,4),0,IF(V$6=(OFFSET('RFM input'!$G$60,0,'RFM input'!$V$7)),OFFSET('RFM input'!$I$411,$A2120,0),0)))</f>
        <v>0</v>
      </c>
      <c r="W2123" s="1422">
        <f ca="1">IF(LEFT(W$6,4)&lt;=LEFT('RFM input'!$G$60,4),"enter input",IF(LEFT(W$6,4)&gt;LEFT('RFM input'!$Q$60,4),0,IF(W$6=(OFFSET('RFM input'!$G$60,0,'RFM input'!$V$7)),OFFSET('RFM input'!$I$411,$A2120,0),0)))</f>
        <v>0</v>
      </c>
      <c r="X2123" s="152"/>
      <c r="Y2123" s="152"/>
      <c r="Z2123" s="152"/>
      <c r="AA2123" s="152"/>
      <c r="AB2123" s="152"/>
    </row>
    <row r="2124" spans="1:28" hidden="1" outlineLevel="1">
      <c r="A2124" s="235">
        <v>-1</v>
      </c>
      <c r="B2124" s="190" t="s">
        <v>189</v>
      </c>
      <c r="C2124" s="1423"/>
      <c r="D2124" s="1423">
        <f ca="1">IF(AND(D2122=0,C2124=0),0,
IF(AND(D2122&lt;&gt;0,C2124=0),(D2122/D$10),
IF(AND(D2123&lt;&gt;0,C2124&lt;&gt;0),(C2124-(C2124/C2148))+(D2122/D$10),
IF(C2148&lt;1,0,(C2124-(C2124/C2148))))))</f>
        <v>0</v>
      </c>
      <c r="E2124" s="1423">
        <f t="shared" ref="E2124" ca="1" si="3124">IF(AND(E2122=0,D2124=0),0,
IF(AND(E2122&lt;&gt;0,D2124=0),(E2122/E$10),
IF(AND(E2123&lt;&gt;0,D2124&lt;&gt;0),(D2124-(D2124/D2148))+(E2122/E$10),
IF(D2148&lt;1,0,(D2124-(D2124/D2148))))))</f>
        <v>0</v>
      </c>
      <c r="F2124" s="1423">
        <f t="shared" ref="F2124" ca="1" si="3125">IF(AND(F2122=0,E2124=0),0,
IF(AND(F2122&lt;&gt;0,E2124=0),(F2122/F$10),
IF(AND(F2123&lt;&gt;0,E2124&lt;&gt;0),(E2124-(E2124/E2148))+(F2122/F$10),
IF(E2148&lt;1,0,(E2124-(E2124/E2148))))))</f>
        <v>0</v>
      </c>
      <c r="G2124" s="1423">
        <f t="shared" ref="G2124" ca="1" si="3126">IF(AND(G2122=0,F2124=0),0,
IF(AND(G2122&lt;&gt;0,F2124=0),(G2122/G$10),
IF(AND(G2123&lt;&gt;0,F2124&lt;&gt;0),(F2124-(F2124/F2148))+(G2122/G$10),
IF(F2148&lt;1,0,(F2124-(F2124/F2148))))))</f>
        <v>0</v>
      </c>
      <c r="H2124" s="1423">
        <f t="shared" ref="H2124" ca="1" si="3127">IF(AND(H2122=0,G2124=0),0,
IF(AND(H2122&lt;&gt;0,G2124=0),(H2122/H$10),
IF(AND(H2123&lt;&gt;0,G2124&lt;&gt;0),(G2124-(G2124/G2148))+(H2122/H$10),
IF(G2148&lt;1,0,(G2124-(G2124/G2148))))))</f>
        <v>0</v>
      </c>
      <c r="I2124" s="1423">
        <f t="shared" ref="I2124" ca="1" si="3128">IF(AND(I2122=0,H2124=0),0,
IF(AND(I2122&lt;&gt;0,H2124=0),(I2122/I$10),
IF(AND(I2123&lt;&gt;0,H2124&lt;&gt;0),(H2124-(H2124/H2148))+(I2122/I$10),
IF(H2148&lt;1,0,(H2124-(H2124/H2148))))))</f>
        <v>0</v>
      </c>
      <c r="J2124" s="1423">
        <f t="shared" ref="J2124" ca="1" si="3129">IF(AND(J2122=0,I2124=0),0,
IF(AND(J2122&lt;&gt;0,I2124=0),(J2122/J$10),
IF(AND(J2123&lt;&gt;0,I2124&lt;&gt;0),(I2124-(I2124/I2148))+(J2122/J$10),
IF(I2148&lt;1,0,(I2124-(I2124/I2148))))))</f>
        <v>0</v>
      </c>
      <c r="K2124" s="1423">
        <f t="shared" ref="K2124" ca="1" si="3130">IF(AND(K2122=0,J2124=0),0,
IF(AND(K2122&lt;&gt;0,J2124=0),(K2122/K$10),
IF(AND(K2123&lt;&gt;0,J2124&lt;&gt;0),(J2124-(J2124/J2148))+(K2122/K$10),
IF(J2148&lt;1,0,(J2124-(J2124/J2148))))))</f>
        <v>0</v>
      </c>
      <c r="L2124" s="1423">
        <f t="shared" ref="L2124" ca="1" si="3131">IF(AND(L2122=0,K2124=0),0,
IF(AND(L2122&lt;&gt;0,K2124=0),(L2122/L$10),
IF(AND(L2123&lt;&gt;0,K2124&lt;&gt;0),(K2124-(K2124/K2148))+(L2122/L$10),
IF(K2148&lt;1,0,(K2124-(K2124/K2148))))))</f>
        <v>0</v>
      </c>
      <c r="M2124" s="1423">
        <f t="shared" ref="M2124" ca="1" si="3132">IF(AND(M2122=0,L2124=0),0,
IF(AND(M2122&lt;&gt;0,L2124=0),(M2122/M$10),
IF(AND(M2123&lt;&gt;0,L2124&lt;&gt;0),(L2124-(L2124/L2148))+(M2122/M$10),
IF(L2148&lt;1,0,(L2124-(L2124/L2148))))))</f>
        <v>0</v>
      </c>
      <c r="N2124" s="1423">
        <f t="shared" ref="N2124" ca="1" si="3133">IF(AND(N2122=0,M2124=0),0,
IF(AND(N2122&lt;&gt;0,M2124=0),(N2122/N$10),
IF(AND(N2123&lt;&gt;0,M2124&lt;&gt;0),(M2124-(M2124/M2148))+(N2122/N$10),
IF(M2148&lt;1,0,(M2124-(M2124/M2148))))))</f>
        <v>0</v>
      </c>
      <c r="O2124" s="1423">
        <f t="shared" ref="O2124" ca="1" si="3134">IF(AND(O2122=0,N2124=0),0,
IF(AND(O2122&lt;&gt;0,N2124=0),(O2122/O$10),
IF(AND(O2123&lt;&gt;0,N2124&lt;&gt;0),(N2124-(N2124/N2148))+(O2122/O$10),
IF(N2148&lt;1,0,(N2124-(N2124/N2148))))))</f>
        <v>0</v>
      </c>
      <c r="P2124" s="1423">
        <f t="shared" ref="P2124" ca="1" si="3135">IF(AND(P2122=0,O2124=0),0,
IF(AND(P2122&lt;&gt;0,O2124=0),(P2122/P$10),
IF(AND(P2123&lt;&gt;0,O2124&lt;&gt;0),(O2124-(O2124/O2148))+(P2122/P$10),
IF(O2148&lt;1,0,(O2124-(O2124/O2148))))))</f>
        <v>0</v>
      </c>
      <c r="Q2124" s="1423">
        <f t="shared" ref="Q2124" ca="1" si="3136">IF(AND(Q2122=0,P2124=0),0,
IF(AND(Q2122&lt;&gt;0,P2124=0),(Q2122/Q$10),
IF(AND(Q2123&lt;&gt;0,P2124&lt;&gt;0),(P2124-(P2124/P2148))+(Q2122/Q$10),
IF(P2148&lt;1,0,(P2124-(P2124/P2148))))))</f>
        <v>0</v>
      </c>
      <c r="R2124" s="1423">
        <f t="shared" ref="R2124" ca="1" si="3137">IF(AND(R2122=0,Q2124=0),0,
IF(AND(R2122&lt;&gt;0,Q2124=0),(R2122/R$10),
IF(AND(R2123&lt;&gt;0,Q2124&lt;&gt;0),(Q2124-(Q2124/Q2148))+(R2122/R$10),
IF(Q2148&lt;1,0,(Q2124-(Q2124/Q2148))))))</f>
        <v>0</v>
      </c>
      <c r="S2124" s="1423">
        <f t="shared" ref="S2124" ca="1" si="3138">IF(AND(S2122=0,R2124=0),0,
IF(AND(S2122&lt;&gt;0,R2124=0),(S2122/S$10),
IF(AND(S2123&lt;&gt;0,R2124&lt;&gt;0),(R2124-(R2124/R2148))+(S2122/S$10),
IF(R2148&lt;1,0,(R2124-(R2124/R2148))))))</f>
        <v>0</v>
      </c>
      <c r="T2124" s="1423">
        <f t="shared" ref="T2124" ca="1" si="3139">IF(AND(T2122=0,S2124=0),0,
IF(AND(T2122&lt;&gt;0,S2124=0),(T2122/T$10),
IF(AND(T2123&lt;&gt;0,S2124&lt;&gt;0),(S2124-(S2124/S2148))+(T2122/T$10),
IF(S2148&lt;1,0,(S2124-(S2124/S2148))))))</f>
        <v>0</v>
      </c>
      <c r="U2124" s="1423">
        <f t="shared" ref="U2124" ca="1" si="3140">IF(AND(U2122=0,T2124=0),0,
IF(AND(U2122&lt;&gt;0,T2124=0),(U2122/U$10),
IF(AND(U2123&lt;&gt;0,T2124&lt;&gt;0),(T2124-(T2124/T2148))+(U2122/U$10),
IF(T2148&lt;1,0,(T2124-(T2124/T2148))))))</f>
        <v>0</v>
      </c>
      <c r="V2124" s="1423">
        <f t="shared" ref="V2124" ca="1" si="3141">IF(AND(V2122=0,U2124=0),0,
IF(AND(V2122&lt;&gt;0,U2124=0),(V2122/V$10),
IF(AND(V2123&lt;&gt;0,U2124&lt;&gt;0),(U2124-(U2124/U2148))+(V2122/V$10),
IF(U2148&lt;1,0,(U2124-(U2124/U2148))))))</f>
        <v>0</v>
      </c>
      <c r="W2124" s="1423">
        <f t="shared" ref="W2124" ca="1" si="3142">IF(AND(W2122=0,V2124=0),0,
IF(AND(W2122&lt;&gt;0,V2124=0),(W2122/W$10),
IF(AND(W2123&lt;&gt;0,V2124&lt;&gt;0),(V2124-(V2124/V2148))+(W2122/W$10),
IF(V2148&lt;1,0,(V2124-(V2124/V2148))))))</f>
        <v>0</v>
      </c>
      <c r="X2124" s="152"/>
      <c r="Y2124" s="152"/>
      <c r="Z2124" s="152"/>
      <c r="AA2124" s="152"/>
      <c r="AB2124" s="152"/>
    </row>
    <row r="2125" spans="1:28" hidden="1" outlineLevel="1">
      <c r="A2125" s="199">
        <f>A2124+1</f>
        <v>0</v>
      </c>
      <c r="B2125" s="190" t="s">
        <v>125</v>
      </c>
      <c r="C2125" s="1423">
        <f ca="1">C2120/C$10</f>
        <v>0</v>
      </c>
      <c r="D2125" s="1423">
        <f ca="1">IF(C2149="n/a",C2125,IFERROR(IF((OFFSET($C2125,0,$A2125))&lt;0,
MIN(0,C2125-(OFFSET($C2125,0,$A2125)/(OFFSET($C2120,-$A2124,$A2125)))),
MAX(0,C2125-(OFFSET($C2125,0,$A2125)/(OFFSET($C2120,-$A2124,$A2125))))),0))</f>
        <v>0</v>
      </c>
      <c r="E2125" s="1423">
        <f t="shared" ref="E2125" ca="1" si="3143">IF(D2149="n/a",D2125,IFERROR(IF((OFFSET($C2125,0,$A2125))&lt;0,
MIN(0,D2125-(OFFSET($C2125,0,$A2125)/(OFFSET($C2120,-$A2124,$A2125)))),
MAX(0,D2125-(OFFSET($C2125,0,$A2125)/(OFFSET($C2120,-$A2124,$A2125))))),0))</f>
        <v>0</v>
      </c>
      <c r="F2125" s="1423">
        <f t="shared" ref="F2125:F2126" ca="1" si="3144">IF(E2149="n/a",E2125,IFERROR(IF((OFFSET($C2125,0,$A2125))&lt;0,
MIN(0,E2125-(OFFSET($C2125,0,$A2125)/(OFFSET($C2120,-$A2124,$A2125)))),
MAX(0,E2125-(OFFSET($C2125,0,$A2125)/(OFFSET($C2120,-$A2124,$A2125))))),0))</f>
        <v>0</v>
      </c>
      <c r="G2125" s="1423">
        <f t="shared" ref="G2125:G2127" ca="1" si="3145">IF(F2149="n/a",F2125,IFERROR(IF((OFFSET($C2125,0,$A2125))&lt;0,
MIN(0,F2125-(OFFSET($C2125,0,$A2125)/(OFFSET($C2120,-$A2124,$A2125)))),
MAX(0,F2125-(OFFSET($C2125,0,$A2125)/(OFFSET($C2120,-$A2124,$A2125))))),0))</f>
        <v>0</v>
      </c>
      <c r="H2125" s="1423">
        <f t="shared" ref="H2125:H2128" ca="1" si="3146">IF(G2149="n/a",G2125,IFERROR(IF((OFFSET($C2125,0,$A2125))&lt;0,
MIN(0,G2125-(OFFSET($C2125,0,$A2125)/(OFFSET($C2120,-$A2124,$A2125)))),
MAX(0,G2125-(OFFSET($C2125,0,$A2125)/(OFFSET($C2120,-$A2124,$A2125))))),0))</f>
        <v>0</v>
      </c>
      <c r="I2125" s="1423">
        <f t="shared" ref="I2125:I2129" ca="1" si="3147">IF(H2149="n/a",H2125,IFERROR(IF((OFFSET($C2125,0,$A2125))&lt;0,
MIN(0,H2125-(OFFSET($C2125,0,$A2125)/(OFFSET($C2120,-$A2124,$A2125)))),
MAX(0,H2125-(OFFSET($C2125,0,$A2125)/(OFFSET($C2120,-$A2124,$A2125))))),0))</f>
        <v>0</v>
      </c>
      <c r="J2125" s="1423">
        <f t="shared" ref="J2125:J2130" ca="1" si="3148">IF(I2149="n/a",I2125,IFERROR(IF((OFFSET($C2125,0,$A2125))&lt;0,
MIN(0,I2125-(OFFSET($C2125,0,$A2125)/(OFFSET($C2120,-$A2124,$A2125)))),
MAX(0,I2125-(OFFSET($C2125,0,$A2125)/(OFFSET($C2120,-$A2124,$A2125))))),0))</f>
        <v>0</v>
      </c>
      <c r="K2125" s="1423">
        <f t="shared" ref="K2125:K2131" ca="1" si="3149">IF(J2149="n/a",J2125,IFERROR(IF((OFFSET($C2125,0,$A2125))&lt;0,
MIN(0,J2125-(OFFSET($C2125,0,$A2125)/(OFFSET($C2120,-$A2124,$A2125)))),
MAX(0,J2125-(OFFSET($C2125,0,$A2125)/(OFFSET($C2120,-$A2124,$A2125))))),0))</f>
        <v>0</v>
      </c>
      <c r="L2125" s="1423">
        <f t="shared" ref="L2125:L2132" ca="1" si="3150">IF(K2149="n/a",K2125,IFERROR(IF((OFFSET($C2125,0,$A2125))&lt;0,
MIN(0,K2125-(OFFSET($C2125,0,$A2125)/(OFFSET($C2120,-$A2124,$A2125)))),
MAX(0,K2125-(OFFSET($C2125,0,$A2125)/(OFFSET($C2120,-$A2124,$A2125))))),0))</f>
        <v>0</v>
      </c>
      <c r="M2125" s="1423">
        <f t="shared" ref="M2125:M2133" ca="1" si="3151">IF(L2149="n/a",L2125,IFERROR(IF((OFFSET($C2125,0,$A2125))&lt;0,
MIN(0,L2125-(OFFSET($C2125,0,$A2125)/(OFFSET($C2120,-$A2124,$A2125)))),
MAX(0,L2125-(OFFSET($C2125,0,$A2125)/(OFFSET($C2120,-$A2124,$A2125))))),0))</f>
        <v>0</v>
      </c>
      <c r="N2125" s="1423">
        <f t="shared" ref="N2125:N2134" ca="1" si="3152">IF(M2149="n/a",M2125,IFERROR(IF((OFFSET($C2125,0,$A2125))&lt;0,
MIN(0,M2125-(OFFSET($C2125,0,$A2125)/(OFFSET($C2120,-$A2124,$A2125)))),
MAX(0,M2125-(OFFSET($C2125,0,$A2125)/(OFFSET($C2120,-$A2124,$A2125))))),0))</f>
        <v>0</v>
      </c>
      <c r="O2125" s="1423">
        <f t="shared" ref="O2125:O2135" ca="1" si="3153">IF(N2149="n/a",N2125,IFERROR(IF((OFFSET($C2125,0,$A2125))&lt;0,
MIN(0,N2125-(OFFSET($C2125,0,$A2125)/(OFFSET($C2120,-$A2124,$A2125)))),
MAX(0,N2125-(OFFSET($C2125,0,$A2125)/(OFFSET($C2120,-$A2124,$A2125))))),0))</f>
        <v>0</v>
      </c>
      <c r="P2125" s="1423">
        <f t="shared" ref="P2125:P2136" ca="1" si="3154">IF(O2149="n/a",O2125,IFERROR(IF((OFFSET($C2125,0,$A2125))&lt;0,
MIN(0,O2125-(OFFSET($C2125,0,$A2125)/(OFFSET($C2120,-$A2124,$A2125)))),
MAX(0,O2125-(OFFSET($C2125,0,$A2125)/(OFFSET($C2120,-$A2124,$A2125))))),0))</f>
        <v>0</v>
      </c>
      <c r="Q2125" s="1423">
        <f t="shared" ref="Q2125:Q2137" ca="1" si="3155">IF(P2149="n/a",P2125,IFERROR(IF((OFFSET($C2125,0,$A2125))&lt;0,
MIN(0,P2125-(OFFSET($C2125,0,$A2125)/(OFFSET($C2120,-$A2124,$A2125)))),
MAX(0,P2125-(OFFSET($C2125,0,$A2125)/(OFFSET($C2120,-$A2124,$A2125))))),0))</f>
        <v>0</v>
      </c>
      <c r="R2125" s="1423">
        <f t="shared" ref="R2125:R2138" ca="1" si="3156">IF(Q2149="n/a",Q2125,IFERROR(IF((OFFSET($C2125,0,$A2125))&lt;0,
MIN(0,Q2125-(OFFSET($C2125,0,$A2125)/(OFFSET($C2120,-$A2124,$A2125)))),
MAX(0,Q2125-(OFFSET($C2125,0,$A2125)/(OFFSET($C2120,-$A2124,$A2125))))),0))</f>
        <v>0</v>
      </c>
      <c r="S2125" s="1423">
        <f t="shared" ref="S2125:S2139" ca="1" si="3157">IF(R2149="n/a",R2125,IFERROR(IF((OFFSET($C2125,0,$A2125))&lt;0,
MIN(0,R2125-(OFFSET($C2125,0,$A2125)/(OFFSET($C2120,-$A2124,$A2125)))),
MAX(0,R2125-(OFFSET($C2125,0,$A2125)/(OFFSET($C2120,-$A2124,$A2125))))),0))</f>
        <v>0</v>
      </c>
      <c r="T2125" s="1423">
        <f t="shared" ref="T2125:T2140" ca="1" si="3158">IF(S2149="n/a",S2125,IFERROR(IF((OFFSET($C2125,0,$A2125))&lt;0,
MIN(0,S2125-(OFFSET($C2125,0,$A2125)/(OFFSET($C2120,-$A2124,$A2125)))),
MAX(0,S2125-(OFFSET($C2125,0,$A2125)/(OFFSET($C2120,-$A2124,$A2125))))),0))</f>
        <v>0</v>
      </c>
      <c r="U2125" s="1423">
        <f t="shared" ref="U2125:U2141" ca="1" si="3159">IF(T2149="n/a",T2125,IFERROR(IF((OFFSET($C2125,0,$A2125))&lt;0,
MIN(0,T2125-(OFFSET($C2125,0,$A2125)/(OFFSET($C2120,-$A2124,$A2125)))),
MAX(0,T2125-(OFFSET($C2125,0,$A2125)/(OFFSET($C2120,-$A2124,$A2125))))),0))</f>
        <v>0</v>
      </c>
      <c r="V2125" s="1423">
        <f t="shared" ref="V2125:V2142" ca="1" si="3160">IF(U2149="n/a",U2125,IFERROR(IF((OFFSET($C2125,0,$A2125))&lt;0,
MIN(0,U2125-(OFFSET($C2125,0,$A2125)/(OFFSET($C2120,-$A2124,$A2125)))),
MAX(0,U2125-(OFFSET($C2125,0,$A2125)/(OFFSET($C2120,-$A2124,$A2125))))),0))</f>
        <v>0</v>
      </c>
      <c r="W2125" s="1423">
        <f t="shared" ref="W2125:W2143" ca="1" si="3161">IF(V2149="n/a",V2125,IFERROR(IF((OFFSET($C2125,0,$A2125))&lt;0,
MIN(0,V2125-(OFFSET($C2125,0,$A2125)/(OFFSET($C2120,-$A2124,$A2125)))),
MAX(0,V2125-(OFFSET($C2125,0,$A2125)/(OFFSET($C2120,-$A2124,$A2125))))),0))</f>
        <v>0</v>
      </c>
      <c r="X2125" s="152"/>
      <c r="Y2125" s="152"/>
      <c r="Z2125" s="152"/>
      <c r="AA2125" s="152"/>
      <c r="AB2125" s="152"/>
    </row>
    <row r="2126" spans="1:28" hidden="1" outlineLevel="1">
      <c r="A2126" s="199">
        <f t="shared" ref="A2126:A2145" si="3162">A2125+1</f>
        <v>1</v>
      </c>
      <c r="B2126" s="190" t="str">
        <f t="shared" ref="B2126:B2144" ca="1" si="3163">"Depreciated Net Capex "&amp;OFFSET($C$6,0,A2126)</f>
        <v>Depreciated Net Capex 2016-17</v>
      </c>
      <c r="C2126" s="1424"/>
      <c r="D2126" s="1425">
        <f>(D2120*((1+D$11)^0.5)/D$10)</f>
        <v>0</v>
      </c>
      <c r="E2126" s="1423">
        <f ca="1">IF(D2150="n/a",D2126,IFERROR(IF((OFFSET($C2126,0,$A2126))&lt;0,
MIN(0,D2126-(OFFSET($C2126,0,$A2126)/(OFFSET($C2121,-$A2125,$A2126)))),
MAX(0,D2126-(OFFSET($C2126,0,$A2126)/(OFFSET($C2121,-$A2125,$A2126))))),0))</f>
        <v>0</v>
      </c>
      <c r="F2126" s="1423">
        <f t="shared" ca="1" si="3144"/>
        <v>0</v>
      </c>
      <c r="G2126" s="1423">
        <f t="shared" ca="1" si="3145"/>
        <v>0</v>
      </c>
      <c r="H2126" s="1423">
        <f t="shared" ca="1" si="3146"/>
        <v>0</v>
      </c>
      <c r="I2126" s="1423">
        <f t="shared" ca="1" si="3147"/>
        <v>0</v>
      </c>
      <c r="J2126" s="1423">
        <f t="shared" ca="1" si="3148"/>
        <v>0</v>
      </c>
      <c r="K2126" s="1423">
        <f t="shared" ca="1" si="3149"/>
        <v>0</v>
      </c>
      <c r="L2126" s="1423">
        <f t="shared" ca="1" si="3150"/>
        <v>0</v>
      </c>
      <c r="M2126" s="1423">
        <f t="shared" ca="1" si="3151"/>
        <v>0</v>
      </c>
      <c r="N2126" s="1423">
        <f t="shared" ca="1" si="3152"/>
        <v>0</v>
      </c>
      <c r="O2126" s="1423">
        <f t="shared" ca="1" si="3153"/>
        <v>0</v>
      </c>
      <c r="P2126" s="1423">
        <f t="shared" ca="1" si="3154"/>
        <v>0</v>
      </c>
      <c r="Q2126" s="1423">
        <f t="shared" ca="1" si="3155"/>
        <v>0</v>
      </c>
      <c r="R2126" s="1423">
        <f t="shared" ca="1" si="3156"/>
        <v>0</v>
      </c>
      <c r="S2126" s="1423">
        <f t="shared" ca="1" si="3157"/>
        <v>0</v>
      </c>
      <c r="T2126" s="1423">
        <f t="shared" ca="1" si="3158"/>
        <v>0</v>
      </c>
      <c r="U2126" s="1423">
        <f t="shared" ca="1" si="3159"/>
        <v>0</v>
      </c>
      <c r="V2126" s="1423">
        <f t="shared" ca="1" si="3160"/>
        <v>0</v>
      </c>
      <c r="W2126" s="1423">
        <f t="shared" ca="1" si="3161"/>
        <v>0</v>
      </c>
      <c r="X2126" s="152"/>
      <c r="Y2126" s="152"/>
      <c r="Z2126" s="152"/>
      <c r="AA2126" s="152"/>
      <c r="AB2126" s="152"/>
    </row>
    <row r="2127" spans="1:28" hidden="1" outlineLevel="1">
      <c r="A2127" s="199">
        <f t="shared" si="3162"/>
        <v>2</v>
      </c>
      <c r="B2127" s="190" t="str">
        <f t="shared" ca="1" si="3163"/>
        <v>Depreciated Net Capex 2017-18</v>
      </c>
      <c r="C2127" s="1426"/>
      <c r="D2127" s="1427"/>
      <c r="E2127" s="1425">
        <f>(E2120*((1+E$11)^0.5)/E$10)</f>
        <v>0</v>
      </c>
      <c r="F2127" s="1423">
        <f ca="1">IF(E2151="n/a",E2127,IFERROR(IF((OFFSET($C2127,0,$A2127))&lt;0,
MIN(0,E2127-(OFFSET($C2127,0,$A2127)/(OFFSET($C2122,-$A2126,$A2127)))),
MAX(0,E2127-(OFFSET($C2127,0,$A2127)/(OFFSET($C2122,-$A2126,$A2127))))),0))</f>
        <v>0</v>
      </c>
      <c r="G2127" s="1423">
        <f t="shared" ca="1" si="3145"/>
        <v>0</v>
      </c>
      <c r="H2127" s="1423">
        <f t="shared" ca="1" si="3146"/>
        <v>0</v>
      </c>
      <c r="I2127" s="1423">
        <f t="shared" ca="1" si="3147"/>
        <v>0</v>
      </c>
      <c r="J2127" s="1423">
        <f t="shared" ca="1" si="3148"/>
        <v>0</v>
      </c>
      <c r="K2127" s="1423">
        <f t="shared" ca="1" si="3149"/>
        <v>0</v>
      </c>
      <c r="L2127" s="1423">
        <f t="shared" ca="1" si="3150"/>
        <v>0</v>
      </c>
      <c r="M2127" s="1423">
        <f t="shared" ca="1" si="3151"/>
        <v>0</v>
      </c>
      <c r="N2127" s="1423">
        <f t="shared" ca="1" si="3152"/>
        <v>0</v>
      </c>
      <c r="O2127" s="1423">
        <f t="shared" ca="1" si="3153"/>
        <v>0</v>
      </c>
      <c r="P2127" s="1423">
        <f t="shared" ca="1" si="3154"/>
        <v>0</v>
      </c>
      <c r="Q2127" s="1423">
        <f t="shared" ca="1" si="3155"/>
        <v>0</v>
      </c>
      <c r="R2127" s="1423">
        <f t="shared" ca="1" si="3156"/>
        <v>0</v>
      </c>
      <c r="S2127" s="1423">
        <f t="shared" ca="1" si="3157"/>
        <v>0</v>
      </c>
      <c r="T2127" s="1423">
        <f t="shared" ca="1" si="3158"/>
        <v>0</v>
      </c>
      <c r="U2127" s="1423">
        <f t="shared" ca="1" si="3159"/>
        <v>0</v>
      </c>
      <c r="V2127" s="1423">
        <f t="shared" ca="1" si="3160"/>
        <v>0</v>
      </c>
      <c r="W2127" s="1423">
        <f t="shared" ca="1" si="3161"/>
        <v>0</v>
      </c>
      <c r="X2127" s="202"/>
      <c r="Y2127" s="152"/>
      <c r="Z2127" s="152"/>
      <c r="AA2127" s="152"/>
      <c r="AB2127" s="152"/>
    </row>
    <row r="2128" spans="1:28" hidden="1" outlineLevel="1">
      <c r="A2128" s="199">
        <f t="shared" si="3162"/>
        <v>3</v>
      </c>
      <c r="B2128" s="190" t="str">
        <f t="shared" ca="1" si="3163"/>
        <v>Depreciated Net Capex 2018-19</v>
      </c>
      <c r="C2128" s="1426"/>
      <c r="D2128" s="1426"/>
      <c r="E2128" s="1427"/>
      <c r="F2128" s="1428">
        <f>($F2120*((1+F$11)^0.5)/F$10)</f>
        <v>0</v>
      </c>
      <c r="G2128" s="1423">
        <f ca="1">IF(F2152="n/a",F2128,IFERROR(IF((OFFSET($C2128,0,$A2128))&lt;0,
MIN(0,F2128-(OFFSET($C2128,0,$A2128)/(OFFSET($C2123,-$A2127,$A2128)))),
MAX(0,F2128-(OFFSET($C2128,0,$A2128)/(OFFSET($C2123,-$A2127,$A2128))))),0))</f>
        <v>0</v>
      </c>
      <c r="H2128" s="1423">
        <f t="shared" ca="1" si="3146"/>
        <v>0</v>
      </c>
      <c r="I2128" s="1423">
        <f t="shared" ca="1" si="3147"/>
        <v>0</v>
      </c>
      <c r="J2128" s="1423">
        <f t="shared" ca="1" si="3148"/>
        <v>0</v>
      </c>
      <c r="K2128" s="1423">
        <f t="shared" ca="1" si="3149"/>
        <v>0</v>
      </c>
      <c r="L2128" s="1423">
        <f t="shared" ca="1" si="3150"/>
        <v>0</v>
      </c>
      <c r="M2128" s="1423">
        <f t="shared" ca="1" si="3151"/>
        <v>0</v>
      </c>
      <c r="N2128" s="1423">
        <f t="shared" ca="1" si="3152"/>
        <v>0</v>
      </c>
      <c r="O2128" s="1423">
        <f t="shared" ca="1" si="3153"/>
        <v>0</v>
      </c>
      <c r="P2128" s="1423">
        <f t="shared" ca="1" si="3154"/>
        <v>0</v>
      </c>
      <c r="Q2128" s="1423">
        <f t="shared" ca="1" si="3155"/>
        <v>0</v>
      </c>
      <c r="R2128" s="1423">
        <f t="shared" ca="1" si="3156"/>
        <v>0</v>
      </c>
      <c r="S2128" s="1423">
        <f t="shared" ca="1" si="3157"/>
        <v>0</v>
      </c>
      <c r="T2128" s="1423">
        <f t="shared" ca="1" si="3158"/>
        <v>0</v>
      </c>
      <c r="U2128" s="1423">
        <f t="shared" ca="1" si="3159"/>
        <v>0</v>
      </c>
      <c r="V2128" s="1423">
        <f t="shared" ca="1" si="3160"/>
        <v>0</v>
      </c>
      <c r="W2128" s="1423">
        <f t="shared" ca="1" si="3161"/>
        <v>0</v>
      </c>
      <c r="X2128" s="202"/>
      <c r="Y2128" s="202"/>
      <c r="Z2128" s="152"/>
      <c r="AA2128" s="152"/>
      <c r="AB2128" s="152"/>
    </row>
    <row r="2129" spans="1:28" hidden="1" outlineLevel="1">
      <c r="A2129" s="199">
        <f t="shared" si="3162"/>
        <v>4</v>
      </c>
      <c r="B2129" s="190" t="str">
        <f t="shared" ca="1" si="3163"/>
        <v>Depreciated Net Capex 2019-20</v>
      </c>
      <c r="C2129" s="1426"/>
      <c r="D2129" s="1426"/>
      <c r="E2129" s="1426"/>
      <c r="F2129" s="1427"/>
      <c r="G2129" s="1428">
        <f>($G2120*((1+G$11)^0.5)/G$10)</f>
        <v>0</v>
      </c>
      <c r="H2129" s="1423">
        <f ca="1">IF(G2153="n/a",G2129,IFERROR(IF((OFFSET($C2129,0,$A2129))&lt;0,
MIN(0,G2129-(OFFSET($C2129,0,$A2129)/(OFFSET($C2124,-$A2128,$A2129)))),
MAX(0,G2129-(OFFSET($C2129,0,$A2129)/(OFFSET($C2124,-$A2128,$A2129))))),0))</f>
        <v>0</v>
      </c>
      <c r="I2129" s="1423">
        <f t="shared" ca="1" si="3147"/>
        <v>0</v>
      </c>
      <c r="J2129" s="1423">
        <f t="shared" ca="1" si="3148"/>
        <v>0</v>
      </c>
      <c r="K2129" s="1423">
        <f t="shared" ca="1" si="3149"/>
        <v>0</v>
      </c>
      <c r="L2129" s="1423">
        <f t="shared" ca="1" si="3150"/>
        <v>0</v>
      </c>
      <c r="M2129" s="1423">
        <f t="shared" ca="1" si="3151"/>
        <v>0</v>
      </c>
      <c r="N2129" s="1423">
        <f t="shared" ca="1" si="3152"/>
        <v>0</v>
      </c>
      <c r="O2129" s="1423">
        <f t="shared" ca="1" si="3153"/>
        <v>0</v>
      </c>
      <c r="P2129" s="1423">
        <f t="shared" ca="1" si="3154"/>
        <v>0</v>
      </c>
      <c r="Q2129" s="1423">
        <f t="shared" ca="1" si="3155"/>
        <v>0</v>
      </c>
      <c r="R2129" s="1423">
        <f t="shared" ca="1" si="3156"/>
        <v>0</v>
      </c>
      <c r="S2129" s="1423">
        <f t="shared" ca="1" si="3157"/>
        <v>0</v>
      </c>
      <c r="T2129" s="1423">
        <f t="shared" ca="1" si="3158"/>
        <v>0</v>
      </c>
      <c r="U2129" s="1423">
        <f t="shared" ca="1" si="3159"/>
        <v>0</v>
      </c>
      <c r="V2129" s="1423">
        <f t="shared" ca="1" si="3160"/>
        <v>0</v>
      </c>
      <c r="W2129" s="1423">
        <f t="shared" ca="1" si="3161"/>
        <v>0</v>
      </c>
      <c r="X2129" s="202"/>
      <c r="Y2129" s="202"/>
      <c r="Z2129" s="202"/>
      <c r="AA2129" s="152"/>
      <c r="AB2129" s="152"/>
    </row>
    <row r="2130" spans="1:28" hidden="1" outlineLevel="1">
      <c r="A2130" s="199">
        <f t="shared" si="3162"/>
        <v>5</v>
      </c>
      <c r="B2130" s="190" t="str">
        <f t="shared" ca="1" si="3163"/>
        <v>Depreciated Net Capex 2020-21</v>
      </c>
      <c r="C2130" s="1426"/>
      <c r="D2130" s="1426"/>
      <c r="E2130" s="1426"/>
      <c r="F2130" s="1426"/>
      <c r="G2130" s="1427"/>
      <c r="H2130" s="1428">
        <f>(H2120*((1+H$11)^0.5)/H$10)</f>
        <v>0</v>
      </c>
      <c r="I2130" s="1423">
        <f ca="1">IF(H2154="n/a",H2130,IFERROR(IF((OFFSET($C2130,0,$A2130))&lt;0,
MIN(0,H2130-(OFFSET($C2130,0,$A2130)/(OFFSET($C2125,-$A2129,$A2130)))),
MAX(0,H2130-(OFFSET($C2130,0,$A2130)/(OFFSET($C2125,-$A2129,$A2130))))),0))</f>
        <v>0</v>
      </c>
      <c r="J2130" s="1423">
        <f t="shared" ca="1" si="3148"/>
        <v>0</v>
      </c>
      <c r="K2130" s="1423">
        <f t="shared" ca="1" si="3149"/>
        <v>0</v>
      </c>
      <c r="L2130" s="1423">
        <f t="shared" ca="1" si="3150"/>
        <v>0</v>
      </c>
      <c r="M2130" s="1423">
        <f t="shared" ca="1" si="3151"/>
        <v>0</v>
      </c>
      <c r="N2130" s="1423">
        <f t="shared" ca="1" si="3152"/>
        <v>0</v>
      </c>
      <c r="O2130" s="1423">
        <f t="shared" ca="1" si="3153"/>
        <v>0</v>
      </c>
      <c r="P2130" s="1423">
        <f t="shared" ca="1" si="3154"/>
        <v>0</v>
      </c>
      <c r="Q2130" s="1423">
        <f t="shared" ca="1" si="3155"/>
        <v>0</v>
      </c>
      <c r="R2130" s="1423">
        <f t="shared" ca="1" si="3156"/>
        <v>0</v>
      </c>
      <c r="S2130" s="1423">
        <f t="shared" ca="1" si="3157"/>
        <v>0</v>
      </c>
      <c r="T2130" s="1423">
        <f t="shared" ca="1" si="3158"/>
        <v>0</v>
      </c>
      <c r="U2130" s="1423">
        <f t="shared" ca="1" si="3159"/>
        <v>0</v>
      </c>
      <c r="V2130" s="1423">
        <f t="shared" ca="1" si="3160"/>
        <v>0</v>
      </c>
      <c r="W2130" s="1423">
        <f t="shared" ca="1" si="3161"/>
        <v>0</v>
      </c>
      <c r="X2130" s="202"/>
      <c r="Y2130" s="202"/>
      <c r="Z2130" s="202"/>
      <c r="AA2130" s="152"/>
      <c r="AB2130" s="152"/>
    </row>
    <row r="2131" spans="1:28" hidden="1" outlineLevel="1">
      <c r="A2131" s="199">
        <f t="shared" si="3162"/>
        <v>6</v>
      </c>
      <c r="B2131" s="190" t="str">
        <f t="shared" ca="1" si="3163"/>
        <v>Depreciated Net Capex 2021-22</v>
      </c>
      <c r="C2131" s="1426"/>
      <c r="D2131" s="1426"/>
      <c r="E2131" s="1426"/>
      <c r="F2131" s="1426"/>
      <c r="G2131" s="1426"/>
      <c r="H2131" s="1427"/>
      <c r="I2131" s="1428">
        <f>(I2120*((1+I$11)^0.5)/I$10)</f>
        <v>0</v>
      </c>
      <c r="J2131" s="1423">
        <f ca="1">IF(I2155="n/a",I2131,IFERROR(IF((OFFSET($C2131,0,$A2131))&lt;0,
MIN(0,I2131-(OFFSET($C2131,0,$A2131)/(OFFSET($C2126,-$A2130,$A2131)))),
MAX(0,I2131-(OFFSET($C2131,0,$A2131)/(OFFSET($C2126,-$A2130,$A2131))))),0))</f>
        <v>0</v>
      </c>
      <c r="K2131" s="1423">
        <f t="shared" ca="1" si="3149"/>
        <v>0</v>
      </c>
      <c r="L2131" s="1423">
        <f t="shared" ca="1" si="3150"/>
        <v>0</v>
      </c>
      <c r="M2131" s="1423">
        <f t="shared" ca="1" si="3151"/>
        <v>0</v>
      </c>
      <c r="N2131" s="1423">
        <f t="shared" ca="1" si="3152"/>
        <v>0</v>
      </c>
      <c r="O2131" s="1423">
        <f t="shared" ca="1" si="3153"/>
        <v>0</v>
      </c>
      <c r="P2131" s="1423">
        <f t="shared" ca="1" si="3154"/>
        <v>0</v>
      </c>
      <c r="Q2131" s="1423">
        <f t="shared" ca="1" si="3155"/>
        <v>0</v>
      </c>
      <c r="R2131" s="1423">
        <f t="shared" ca="1" si="3156"/>
        <v>0</v>
      </c>
      <c r="S2131" s="1423">
        <f t="shared" ca="1" si="3157"/>
        <v>0</v>
      </c>
      <c r="T2131" s="1423">
        <f t="shared" ca="1" si="3158"/>
        <v>0</v>
      </c>
      <c r="U2131" s="1423">
        <f t="shared" ca="1" si="3159"/>
        <v>0</v>
      </c>
      <c r="V2131" s="1423">
        <f t="shared" ca="1" si="3160"/>
        <v>0</v>
      </c>
      <c r="W2131" s="1423">
        <f t="shared" ca="1" si="3161"/>
        <v>0</v>
      </c>
      <c r="X2131" s="202"/>
      <c r="Y2131" s="202"/>
      <c r="Z2131" s="202"/>
      <c r="AA2131" s="152"/>
      <c r="AB2131" s="152"/>
    </row>
    <row r="2132" spans="1:28" hidden="1" outlineLevel="1">
      <c r="A2132" s="199">
        <f t="shared" si="3162"/>
        <v>7</v>
      </c>
      <c r="B2132" s="190" t="str">
        <f t="shared" ca="1" si="3163"/>
        <v>Depreciated Net Capex 2022-23</v>
      </c>
      <c r="C2132" s="1426"/>
      <c r="D2132" s="1426"/>
      <c r="E2132" s="1426"/>
      <c r="F2132" s="1426"/>
      <c r="G2132" s="1426"/>
      <c r="H2132" s="1426"/>
      <c r="I2132" s="1427"/>
      <c r="J2132" s="1428">
        <f>(J2120*((1+J$11)^0.5)/J$10)</f>
        <v>0</v>
      </c>
      <c r="K2132" s="1423">
        <f ca="1">IF(J2156="n/a",J2132,IFERROR(IF((OFFSET($C2132,0,$A2132))&lt;0,
MIN(0,J2132-(OFFSET($C2132,0,$A2132)/(OFFSET($C2127,-$A2131,$A2132)))),
MAX(0,J2132-(OFFSET($C2132,0,$A2132)/(OFFSET($C2127,-$A2131,$A2132))))),0))</f>
        <v>0</v>
      </c>
      <c r="L2132" s="1423">
        <f t="shared" ca="1" si="3150"/>
        <v>0</v>
      </c>
      <c r="M2132" s="1423">
        <f t="shared" ca="1" si="3151"/>
        <v>0</v>
      </c>
      <c r="N2132" s="1423">
        <f t="shared" ca="1" si="3152"/>
        <v>0</v>
      </c>
      <c r="O2132" s="1423">
        <f t="shared" ca="1" si="3153"/>
        <v>0</v>
      </c>
      <c r="P2132" s="1423">
        <f t="shared" ca="1" si="3154"/>
        <v>0</v>
      </c>
      <c r="Q2132" s="1423">
        <f t="shared" ca="1" si="3155"/>
        <v>0</v>
      </c>
      <c r="R2132" s="1423">
        <f t="shared" ca="1" si="3156"/>
        <v>0</v>
      </c>
      <c r="S2132" s="1423">
        <f t="shared" ca="1" si="3157"/>
        <v>0</v>
      </c>
      <c r="T2132" s="1423">
        <f t="shared" ca="1" si="3158"/>
        <v>0</v>
      </c>
      <c r="U2132" s="1423">
        <f t="shared" ca="1" si="3159"/>
        <v>0</v>
      </c>
      <c r="V2132" s="1423">
        <f t="shared" ca="1" si="3160"/>
        <v>0</v>
      </c>
      <c r="W2132" s="1423">
        <f t="shared" ca="1" si="3161"/>
        <v>0</v>
      </c>
      <c r="X2132" s="202"/>
      <c r="Y2132" s="202"/>
      <c r="Z2132" s="202"/>
      <c r="AA2132" s="152"/>
      <c r="AB2132" s="152"/>
    </row>
    <row r="2133" spans="1:28" hidden="1" outlineLevel="1">
      <c r="A2133" s="199">
        <f t="shared" si="3162"/>
        <v>8</v>
      </c>
      <c r="B2133" s="190" t="str">
        <f t="shared" ca="1" si="3163"/>
        <v>Depreciated Net Capex 2023-24</v>
      </c>
      <c r="C2133" s="1426"/>
      <c r="D2133" s="1426"/>
      <c r="E2133" s="1426"/>
      <c r="F2133" s="1426"/>
      <c r="G2133" s="1426"/>
      <c r="H2133" s="1426"/>
      <c r="I2133" s="1426"/>
      <c r="J2133" s="1427"/>
      <c r="K2133" s="1428">
        <f>(K2120*((1+K$11)^0.5)/K$10)</f>
        <v>0</v>
      </c>
      <c r="L2133" s="1423">
        <f ca="1">IF(K2157="n/a",K2133,IFERROR(IF((OFFSET($C2133,0,$A2133))&lt;0,
MIN(0,K2133-(OFFSET($C2133,0,$A2133)/(OFFSET($C2128,-$A2132,$A2133)))),
MAX(0,K2133-(OFFSET($C2133,0,$A2133)/(OFFSET($C2128,-$A2132,$A2133))))),0))</f>
        <v>0</v>
      </c>
      <c r="M2133" s="1423">
        <f t="shared" ca="1" si="3151"/>
        <v>0</v>
      </c>
      <c r="N2133" s="1423">
        <f t="shared" ca="1" si="3152"/>
        <v>0</v>
      </c>
      <c r="O2133" s="1423">
        <f t="shared" ca="1" si="3153"/>
        <v>0</v>
      </c>
      <c r="P2133" s="1423">
        <f t="shared" ca="1" si="3154"/>
        <v>0</v>
      </c>
      <c r="Q2133" s="1423">
        <f t="shared" ca="1" si="3155"/>
        <v>0</v>
      </c>
      <c r="R2133" s="1423">
        <f t="shared" ca="1" si="3156"/>
        <v>0</v>
      </c>
      <c r="S2133" s="1423">
        <f t="shared" ca="1" si="3157"/>
        <v>0</v>
      </c>
      <c r="T2133" s="1423">
        <f t="shared" ca="1" si="3158"/>
        <v>0</v>
      </c>
      <c r="U2133" s="1423">
        <f t="shared" ca="1" si="3159"/>
        <v>0</v>
      </c>
      <c r="V2133" s="1423">
        <f t="shared" ca="1" si="3160"/>
        <v>0</v>
      </c>
      <c r="W2133" s="1423">
        <f t="shared" ca="1" si="3161"/>
        <v>0</v>
      </c>
      <c r="X2133" s="202"/>
      <c r="Y2133" s="202"/>
      <c r="Z2133" s="202"/>
      <c r="AA2133" s="152"/>
      <c r="AB2133" s="152"/>
    </row>
    <row r="2134" spans="1:28" hidden="1" outlineLevel="1">
      <c r="A2134" s="199">
        <f t="shared" si="3162"/>
        <v>9</v>
      </c>
      <c r="B2134" s="190" t="str">
        <f t="shared" ca="1" si="3163"/>
        <v>Depreciated Net Capex 2024-25</v>
      </c>
      <c r="C2134" s="1426"/>
      <c r="D2134" s="1426"/>
      <c r="E2134" s="1426"/>
      <c r="F2134" s="1426"/>
      <c r="G2134" s="1426"/>
      <c r="H2134" s="1426"/>
      <c r="I2134" s="1426"/>
      <c r="J2134" s="1426"/>
      <c r="K2134" s="1427"/>
      <c r="L2134" s="1428">
        <f>(L2120*((1+L$11)^0.5)/L$10)</f>
        <v>0</v>
      </c>
      <c r="M2134" s="1423">
        <f ca="1">IF(L2158="n/a",L2134,IFERROR(IF((OFFSET($C2134,0,$A2134))&lt;0,
MIN(0,L2134-(OFFSET($C2134,0,$A2134)/(OFFSET($C2129,-$A2133,$A2134)))),
MAX(0,L2134-(OFFSET($C2134,0,$A2134)/(OFFSET($C2129,-$A2133,$A2134))))),0))</f>
        <v>0</v>
      </c>
      <c r="N2134" s="1423">
        <f t="shared" ca="1" si="3152"/>
        <v>0</v>
      </c>
      <c r="O2134" s="1423">
        <f t="shared" ca="1" si="3153"/>
        <v>0</v>
      </c>
      <c r="P2134" s="1423">
        <f t="shared" ca="1" si="3154"/>
        <v>0</v>
      </c>
      <c r="Q2134" s="1423">
        <f t="shared" ca="1" si="3155"/>
        <v>0</v>
      </c>
      <c r="R2134" s="1423">
        <f t="shared" ca="1" si="3156"/>
        <v>0</v>
      </c>
      <c r="S2134" s="1423">
        <f t="shared" ca="1" si="3157"/>
        <v>0</v>
      </c>
      <c r="T2134" s="1423">
        <f t="shared" ca="1" si="3158"/>
        <v>0</v>
      </c>
      <c r="U2134" s="1423">
        <f t="shared" ca="1" si="3159"/>
        <v>0</v>
      </c>
      <c r="V2134" s="1423">
        <f t="shared" ca="1" si="3160"/>
        <v>0</v>
      </c>
      <c r="W2134" s="1423">
        <f t="shared" ca="1" si="3161"/>
        <v>0</v>
      </c>
      <c r="X2134" s="202"/>
      <c r="Y2134" s="202"/>
      <c r="Z2134" s="202"/>
      <c r="AA2134" s="152"/>
      <c r="AB2134" s="152"/>
    </row>
    <row r="2135" spans="1:28" hidden="1" outlineLevel="1">
      <c r="A2135" s="199">
        <f t="shared" si="3162"/>
        <v>10</v>
      </c>
      <c r="B2135" s="190" t="str">
        <f t="shared" ca="1" si="3163"/>
        <v>Depreciated Net Capex 2025-26</v>
      </c>
      <c r="C2135" s="1426"/>
      <c r="D2135" s="1426"/>
      <c r="E2135" s="1426"/>
      <c r="F2135" s="1426"/>
      <c r="G2135" s="1426"/>
      <c r="H2135" s="1426"/>
      <c r="I2135" s="1426"/>
      <c r="J2135" s="1426"/>
      <c r="K2135" s="1426"/>
      <c r="L2135" s="1427"/>
      <c r="M2135" s="1428">
        <f>(M2120*((1+M$11)^0.5)/M$10)</f>
        <v>0</v>
      </c>
      <c r="N2135" s="1423">
        <f ca="1">IF(M2159="n/a",M2135,IFERROR(IF((OFFSET($C2135,0,$A2135))&lt;0,
MIN(0,M2135-(OFFSET($C2135,0,$A2135)/(OFFSET($C2130,-$A2134,$A2135)))),
MAX(0,M2135-(OFFSET($C2135,0,$A2135)/(OFFSET($C2130,-$A2134,$A2135))))),0))</f>
        <v>0</v>
      </c>
      <c r="O2135" s="1423">
        <f t="shared" ca="1" si="3153"/>
        <v>0</v>
      </c>
      <c r="P2135" s="1423">
        <f t="shared" ca="1" si="3154"/>
        <v>0</v>
      </c>
      <c r="Q2135" s="1423">
        <f t="shared" ca="1" si="3155"/>
        <v>0</v>
      </c>
      <c r="R2135" s="1423">
        <f t="shared" ca="1" si="3156"/>
        <v>0</v>
      </c>
      <c r="S2135" s="1423">
        <f t="shared" ca="1" si="3157"/>
        <v>0</v>
      </c>
      <c r="T2135" s="1423">
        <f t="shared" ca="1" si="3158"/>
        <v>0</v>
      </c>
      <c r="U2135" s="1423">
        <f t="shared" ca="1" si="3159"/>
        <v>0</v>
      </c>
      <c r="V2135" s="1423">
        <f t="shared" ca="1" si="3160"/>
        <v>0</v>
      </c>
      <c r="W2135" s="1423">
        <f t="shared" ca="1" si="3161"/>
        <v>0</v>
      </c>
      <c r="X2135" s="202"/>
      <c r="Y2135" s="202"/>
      <c r="Z2135" s="202"/>
      <c r="AA2135" s="152"/>
      <c r="AB2135" s="152"/>
    </row>
    <row r="2136" spans="1:28" hidden="1" outlineLevel="1">
      <c r="A2136" s="199">
        <f t="shared" si="3162"/>
        <v>11</v>
      </c>
      <c r="B2136" s="190" t="str">
        <f t="shared" ca="1" si="3163"/>
        <v>Depreciated Net Capex 2026-27</v>
      </c>
      <c r="C2136" s="1426"/>
      <c r="D2136" s="1426"/>
      <c r="E2136" s="1426"/>
      <c r="F2136" s="1426"/>
      <c r="G2136" s="1426"/>
      <c r="H2136" s="1426"/>
      <c r="I2136" s="1426"/>
      <c r="J2136" s="1426"/>
      <c r="K2136" s="1426"/>
      <c r="L2136" s="1426"/>
      <c r="M2136" s="1427"/>
      <c r="N2136" s="1428">
        <f>(N2120*((1+N$11)^0.5)/N$10)</f>
        <v>0</v>
      </c>
      <c r="O2136" s="1423">
        <f ca="1">IF(N2160="n/a",N2136,IFERROR(IF((OFFSET($C2136,0,$A2136))&lt;0,
MIN(0,N2136-(OFFSET($C2136,0,$A2136)/(OFFSET($C2131,-$A2135,$A2136)))),
MAX(0,N2136-(OFFSET($C2136,0,$A2136)/(OFFSET($C2131,-$A2135,$A2136))))),0))</f>
        <v>0</v>
      </c>
      <c r="P2136" s="1423">
        <f t="shared" ca="1" si="3154"/>
        <v>0</v>
      </c>
      <c r="Q2136" s="1423">
        <f t="shared" ca="1" si="3155"/>
        <v>0</v>
      </c>
      <c r="R2136" s="1423">
        <f t="shared" ca="1" si="3156"/>
        <v>0</v>
      </c>
      <c r="S2136" s="1423">
        <f t="shared" ca="1" si="3157"/>
        <v>0</v>
      </c>
      <c r="T2136" s="1423">
        <f t="shared" ca="1" si="3158"/>
        <v>0</v>
      </c>
      <c r="U2136" s="1423">
        <f t="shared" ca="1" si="3159"/>
        <v>0</v>
      </c>
      <c r="V2136" s="1423">
        <f t="shared" ca="1" si="3160"/>
        <v>0</v>
      </c>
      <c r="W2136" s="1423">
        <f t="shared" ca="1" si="3161"/>
        <v>0</v>
      </c>
      <c r="X2136" s="202"/>
      <c r="Y2136" s="202"/>
      <c r="Z2136" s="202"/>
      <c r="AA2136" s="152"/>
      <c r="AB2136" s="152"/>
    </row>
    <row r="2137" spans="1:28" hidden="1" outlineLevel="1">
      <c r="A2137" s="199">
        <f t="shared" si="3162"/>
        <v>12</v>
      </c>
      <c r="B2137" s="190" t="str">
        <f t="shared" ca="1" si="3163"/>
        <v>Depreciated Net Capex 2027-28</v>
      </c>
      <c r="C2137" s="1426"/>
      <c r="D2137" s="1426"/>
      <c r="E2137" s="1426"/>
      <c r="F2137" s="1426"/>
      <c r="G2137" s="1426"/>
      <c r="H2137" s="1426"/>
      <c r="I2137" s="1426"/>
      <c r="J2137" s="1426"/>
      <c r="K2137" s="1426"/>
      <c r="L2137" s="1426"/>
      <c r="M2137" s="1426"/>
      <c r="N2137" s="1427"/>
      <c r="O2137" s="1428">
        <f>(O2120*((1+O$11)^0.5)/O$10)</f>
        <v>0</v>
      </c>
      <c r="P2137" s="1423">
        <f ca="1">IF(O2161="n/a",O2137,IFERROR(IF((OFFSET($C2137,0,$A2137))&lt;0,
MIN(0,O2137-(OFFSET($C2137,0,$A2137)/(OFFSET($C2132,-$A2136,$A2137)))),
MAX(0,O2137-(OFFSET($C2137,0,$A2137)/(OFFSET($C2132,-$A2136,$A2137))))),0))</f>
        <v>0</v>
      </c>
      <c r="Q2137" s="1423">
        <f t="shared" ca="1" si="3155"/>
        <v>0</v>
      </c>
      <c r="R2137" s="1423">
        <f t="shared" ca="1" si="3156"/>
        <v>0</v>
      </c>
      <c r="S2137" s="1423">
        <f t="shared" ca="1" si="3157"/>
        <v>0</v>
      </c>
      <c r="T2137" s="1423">
        <f t="shared" ca="1" si="3158"/>
        <v>0</v>
      </c>
      <c r="U2137" s="1423">
        <f t="shared" ca="1" si="3159"/>
        <v>0</v>
      </c>
      <c r="V2137" s="1423">
        <f t="shared" ca="1" si="3160"/>
        <v>0</v>
      </c>
      <c r="W2137" s="1423">
        <f t="shared" ca="1" si="3161"/>
        <v>0</v>
      </c>
      <c r="X2137" s="202"/>
      <c r="Y2137" s="202"/>
      <c r="Z2137" s="202"/>
      <c r="AA2137" s="152"/>
      <c r="AB2137" s="152"/>
    </row>
    <row r="2138" spans="1:28" hidden="1" outlineLevel="1">
      <c r="A2138" s="199">
        <f t="shared" si="3162"/>
        <v>13</v>
      </c>
      <c r="B2138" s="190" t="str">
        <f t="shared" ca="1" si="3163"/>
        <v>Depreciated Net Capex 2028-29</v>
      </c>
      <c r="C2138" s="1426"/>
      <c r="D2138" s="1426"/>
      <c r="E2138" s="1426"/>
      <c r="F2138" s="1426"/>
      <c r="G2138" s="1426"/>
      <c r="H2138" s="1426"/>
      <c r="I2138" s="1426"/>
      <c r="J2138" s="1426"/>
      <c r="K2138" s="1426"/>
      <c r="L2138" s="1426"/>
      <c r="M2138" s="1426"/>
      <c r="N2138" s="1426"/>
      <c r="O2138" s="1427"/>
      <c r="P2138" s="1428">
        <f>(P2120*((1+P$11)^0.5)/P$10)</f>
        <v>0</v>
      </c>
      <c r="Q2138" s="1423">
        <f ca="1">IF(P2162="n/a",P2138,IFERROR(IF((OFFSET($C2138,0,$A2138))&lt;0,
MIN(0,P2138-(OFFSET($C2138,0,$A2138)/(OFFSET($C2133,-$A2137,$A2138)))),
MAX(0,P2138-(OFFSET($C2138,0,$A2138)/(OFFSET($C2133,-$A2137,$A2138))))),0))</f>
        <v>0</v>
      </c>
      <c r="R2138" s="1423">
        <f t="shared" ca="1" si="3156"/>
        <v>0</v>
      </c>
      <c r="S2138" s="1423">
        <f t="shared" ca="1" si="3157"/>
        <v>0</v>
      </c>
      <c r="T2138" s="1423">
        <f t="shared" ca="1" si="3158"/>
        <v>0</v>
      </c>
      <c r="U2138" s="1423">
        <f t="shared" ca="1" si="3159"/>
        <v>0</v>
      </c>
      <c r="V2138" s="1423">
        <f t="shared" ca="1" si="3160"/>
        <v>0</v>
      </c>
      <c r="W2138" s="1423">
        <f t="shared" ca="1" si="3161"/>
        <v>0</v>
      </c>
      <c r="X2138" s="202"/>
      <c r="Y2138" s="202"/>
      <c r="Z2138" s="202"/>
      <c r="AA2138" s="152"/>
      <c r="AB2138" s="152"/>
    </row>
    <row r="2139" spans="1:28" hidden="1" outlineLevel="1">
      <c r="A2139" s="199">
        <f t="shared" si="3162"/>
        <v>14</v>
      </c>
      <c r="B2139" s="190" t="str">
        <f t="shared" ca="1" si="3163"/>
        <v>Depreciated Net Capex 2029-30</v>
      </c>
      <c r="C2139" s="1426"/>
      <c r="D2139" s="1426"/>
      <c r="E2139" s="1426"/>
      <c r="F2139" s="1426"/>
      <c r="G2139" s="1426"/>
      <c r="H2139" s="1426"/>
      <c r="I2139" s="1426"/>
      <c r="J2139" s="1426"/>
      <c r="K2139" s="1426"/>
      <c r="L2139" s="1426"/>
      <c r="M2139" s="1426"/>
      <c r="N2139" s="1426"/>
      <c r="O2139" s="1426"/>
      <c r="P2139" s="1427"/>
      <c r="Q2139" s="1428">
        <f>(Q2120*((1+Q$11)^0.5)/Q$10)</f>
        <v>0</v>
      </c>
      <c r="R2139" s="1423">
        <f ca="1">IF(Q2163="n/a",Q2139,IFERROR(IF((OFFSET($C2139,0,$A2139))&lt;0,
MIN(0,Q2139-(OFFSET($C2139,0,$A2139)/(OFFSET($C2134,-$A2138,$A2139)))),
MAX(0,Q2139-(OFFSET($C2139,0,$A2139)/(OFFSET($C2134,-$A2138,$A2139))))),0))</f>
        <v>0</v>
      </c>
      <c r="S2139" s="1423">
        <f t="shared" ca="1" si="3157"/>
        <v>0</v>
      </c>
      <c r="T2139" s="1423">
        <f t="shared" ca="1" si="3158"/>
        <v>0</v>
      </c>
      <c r="U2139" s="1423">
        <f t="shared" ca="1" si="3159"/>
        <v>0</v>
      </c>
      <c r="V2139" s="1423">
        <f t="shared" ca="1" si="3160"/>
        <v>0</v>
      </c>
      <c r="W2139" s="1423">
        <f t="shared" ca="1" si="3161"/>
        <v>0</v>
      </c>
      <c r="X2139" s="202"/>
      <c r="Y2139" s="202"/>
      <c r="Z2139" s="202"/>
      <c r="AA2139" s="152"/>
      <c r="AB2139" s="152"/>
    </row>
    <row r="2140" spans="1:28" hidden="1" outlineLevel="1">
      <c r="A2140" s="199">
        <f t="shared" si="3162"/>
        <v>15</v>
      </c>
      <c r="B2140" s="190" t="str">
        <f t="shared" ca="1" si="3163"/>
        <v>Depreciated Net Capex 2030-31</v>
      </c>
      <c r="C2140" s="1426"/>
      <c r="D2140" s="1426"/>
      <c r="E2140" s="1426"/>
      <c r="F2140" s="1426"/>
      <c r="G2140" s="1426"/>
      <c r="H2140" s="1426"/>
      <c r="I2140" s="1426"/>
      <c r="J2140" s="1426"/>
      <c r="K2140" s="1426"/>
      <c r="L2140" s="1426"/>
      <c r="M2140" s="1426"/>
      <c r="N2140" s="1426"/>
      <c r="O2140" s="1426"/>
      <c r="P2140" s="1426"/>
      <c r="Q2140" s="1427"/>
      <c r="R2140" s="1428">
        <f>(R2120*((1+R$11)^0.5)/R$10)</f>
        <v>0</v>
      </c>
      <c r="S2140" s="1423">
        <f ca="1">IF(R2164="n/a",R2140,IFERROR(IF((OFFSET($C2140,0,$A2140))&lt;0,
MIN(0,R2140-(OFFSET($C2140,0,$A2140)/(OFFSET($C2135,-$A2139,$A2140)))),
MAX(0,R2140-(OFFSET($C2140,0,$A2140)/(OFFSET($C2135,-$A2139,$A2140))))),0))</f>
        <v>0</v>
      </c>
      <c r="T2140" s="1423">
        <f t="shared" ca="1" si="3158"/>
        <v>0</v>
      </c>
      <c r="U2140" s="1423">
        <f t="shared" ca="1" si="3159"/>
        <v>0</v>
      </c>
      <c r="V2140" s="1423">
        <f t="shared" ca="1" si="3160"/>
        <v>0</v>
      </c>
      <c r="W2140" s="1423">
        <f t="shared" ca="1" si="3161"/>
        <v>0</v>
      </c>
      <c r="X2140" s="202"/>
      <c r="Y2140" s="202"/>
      <c r="Z2140" s="202"/>
      <c r="AA2140" s="152"/>
      <c r="AB2140" s="152"/>
    </row>
    <row r="2141" spans="1:28" hidden="1" outlineLevel="1">
      <c r="A2141" s="199">
        <f t="shared" si="3162"/>
        <v>16</v>
      </c>
      <c r="B2141" s="190" t="str">
        <f t="shared" ca="1" si="3163"/>
        <v>Depreciated Net Capex 2031-32</v>
      </c>
      <c r="C2141" s="1426"/>
      <c r="D2141" s="1426"/>
      <c r="E2141" s="1426"/>
      <c r="F2141" s="1426"/>
      <c r="G2141" s="1426"/>
      <c r="H2141" s="1426"/>
      <c r="I2141" s="1426"/>
      <c r="J2141" s="1426"/>
      <c r="K2141" s="1426"/>
      <c r="L2141" s="1426"/>
      <c r="M2141" s="1426"/>
      <c r="N2141" s="1426"/>
      <c r="O2141" s="1426"/>
      <c r="P2141" s="1426"/>
      <c r="Q2141" s="1426"/>
      <c r="R2141" s="1427"/>
      <c r="S2141" s="1428">
        <f>(S2120*((1+S$11)^0.5)/S$10)</f>
        <v>0</v>
      </c>
      <c r="T2141" s="1423">
        <f ca="1">IF(S2165="n/a",S2141,IFERROR(IF((OFFSET($C2141,0,$A2141))&lt;0,
MIN(0,S2141-(OFFSET($C2141,0,$A2141)/(OFFSET($C2136,-$A2140,$A2141)))),
MAX(0,S2141-(OFFSET($C2141,0,$A2141)/(OFFSET($C2136,-$A2140,$A2141))))),0))</f>
        <v>0</v>
      </c>
      <c r="U2141" s="1423">
        <f t="shared" ca="1" si="3159"/>
        <v>0</v>
      </c>
      <c r="V2141" s="1423">
        <f t="shared" ca="1" si="3160"/>
        <v>0</v>
      </c>
      <c r="W2141" s="1423">
        <f t="shared" ca="1" si="3161"/>
        <v>0</v>
      </c>
      <c r="X2141" s="202"/>
      <c r="Y2141" s="202"/>
      <c r="Z2141" s="202"/>
      <c r="AA2141" s="152"/>
      <c r="AB2141" s="152"/>
    </row>
    <row r="2142" spans="1:28" hidden="1" outlineLevel="1">
      <c r="A2142" s="199">
        <f t="shared" si="3162"/>
        <v>17</v>
      </c>
      <c r="B2142" s="190" t="str">
        <f t="shared" ca="1" si="3163"/>
        <v>Depreciated Net Capex 2032-33</v>
      </c>
      <c r="C2142" s="1426"/>
      <c r="D2142" s="1426"/>
      <c r="E2142" s="1426"/>
      <c r="F2142" s="1426"/>
      <c r="G2142" s="1426"/>
      <c r="H2142" s="1426"/>
      <c r="I2142" s="1426"/>
      <c r="J2142" s="1426"/>
      <c r="K2142" s="1426"/>
      <c r="L2142" s="1426"/>
      <c r="M2142" s="1426"/>
      <c r="N2142" s="1426"/>
      <c r="O2142" s="1426"/>
      <c r="P2142" s="1426"/>
      <c r="Q2142" s="1426"/>
      <c r="R2142" s="1426"/>
      <c r="S2142" s="1427"/>
      <c r="T2142" s="1428">
        <f>(T2120*((1+T$11)^0.5)/T$10)</f>
        <v>0</v>
      </c>
      <c r="U2142" s="1423">
        <f ca="1">IF(T2166="n/a",T2142,IFERROR(IF((OFFSET($C2142,0,$A2142))&lt;0,
MIN(0,T2142-(OFFSET($C2142,0,$A2142)/(OFFSET($C2137,-$A2141,$A2142)))),
MAX(0,T2142-(OFFSET($C2142,0,$A2142)/(OFFSET($C2137,-$A2141,$A2142))))),0))</f>
        <v>0</v>
      </c>
      <c r="V2142" s="1423">
        <f t="shared" ca="1" si="3160"/>
        <v>0</v>
      </c>
      <c r="W2142" s="1423">
        <f t="shared" ca="1" si="3161"/>
        <v>0</v>
      </c>
      <c r="X2142" s="202"/>
      <c r="Y2142" s="202"/>
      <c r="Z2142" s="202"/>
      <c r="AA2142" s="152"/>
      <c r="AB2142" s="152"/>
    </row>
    <row r="2143" spans="1:28" hidden="1" outlineLevel="1">
      <c r="A2143" s="199">
        <f t="shared" si="3162"/>
        <v>18</v>
      </c>
      <c r="B2143" s="190" t="str">
        <f t="shared" ca="1" si="3163"/>
        <v>Depreciated Net Capex 2033-34</v>
      </c>
      <c r="C2143" s="1426"/>
      <c r="D2143" s="1426"/>
      <c r="E2143" s="1426"/>
      <c r="F2143" s="1426"/>
      <c r="G2143" s="1426"/>
      <c r="H2143" s="1426"/>
      <c r="I2143" s="1426"/>
      <c r="J2143" s="1426"/>
      <c r="K2143" s="1426"/>
      <c r="L2143" s="1426"/>
      <c r="M2143" s="1426"/>
      <c r="N2143" s="1426"/>
      <c r="O2143" s="1426"/>
      <c r="P2143" s="1426"/>
      <c r="Q2143" s="1426"/>
      <c r="R2143" s="1426"/>
      <c r="S2143" s="1426"/>
      <c r="T2143" s="1427"/>
      <c r="U2143" s="1428">
        <f>(U2120*((1+U$11)^0.5)/U$10)</f>
        <v>0</v>
      </c>
      <c r="V2143" s="1423">
        <f ca="1">IF(U2167="n/a",U2143,IFERROR(IF((OFFSET($C2143,0,$A2143))&lt;0,
MIN(0,U2143-(OFFSET($C2143,0,$A2143)/(OFFSET($C2138,-$A2142,$A2143)))),
MAX(0,U2143-(OFFSET($C2143,0,$A2143)/(OFFSET($C2138,-$A2142,$A2143))))),0))</f>
        <v>0</v>
      </c>
      <c r="W2143" s="1423">
        <f t="shared" ca="1" si="3161"/>
        <v>0</v>
      </c>
      <c r="X2143" s="202"/>
      <c r="Y2143" s="202"/>
      <c r="Z2143" s="202"/>
      <c r="AA2143" s="152"/>
      <c r="AB2143" s="152"/>
    </row>
    <row r="2144" spans="1:28" hidden="1" outlineLevel="1">
      <c r="A2144" s="199">
        <f t="shared" si="3162"/>
        <v>19</v>
      </c>
      <c r="B2144" s="190" t="str">
        <f t="shared" ca="1" si="3163"/>
        <v>Depreciated Net Capex 2034-35</v>
      </c>
      <c r="C2144" s="1426"/>
      <c r="D2144" s="1426"/>
      <c r="E2144" s="1426"/>
      <c r="F2144" s="1426"/>
      <c r="G2144" s="1426"/>
      <c r="H2144" s="1426"/>
      <c r="I2144" s="1426"/>
      <c r="J2144" s="1426"/>
      <c r="K2144" s="1426"/>
      <c r="L2144" s="1426"/>
      <c r="M2144" s="1426"/>
      <c r="N2144" s="1426"/>
      <c r="O2144" s="1426"/>
      <c r="P2144" s="1426"/>
      <c r="Q2144" s="1426"/>
      <c r="R2144" s="1426"/>
      <c r="S2144" s="1426"/>
      <c r="T2144" s="1426"/>
      <c r="U2144" s="1427"/>
      <c r="V2144" s="1428">
        <f>(V2120*((1+V$11)^0.5)/V$10)</f>
        <v>0</v>
      </c>
      <c r="W2144" s="1423">
        <f ca="1">IF(V2168="n/a",V2144,IFERROR(IF((OFFSET($C2144,0,$A2144))&lt;0,
MIN(0,V2144-(OFFSET($C2144,0,$A2144)/(OFFSET($C2139,-$A2143,$A2144)))),
MAX(0,V2144-(OFFSET($C2144,0,$A2144)/(OFFSET($C2139,-$A2143,$A2144))))),0))</f>
        <v>0</v>
      </c>
      <c r="X2144" s="202"/>
      <c r="Y2144" s="202"/>
      <c r="Z2144" s="202"/>
      <c r="AA2144" s="152"/>
      <c r="AB2144" s="152"/>
    </row>
    <row r="2145" spans="1:28" hidden="1" outlineLevel="1">
      <c r="A2145" s="199">
        <f t="shared" si="3162"/>
        <v>20</v>
      </c>
      <c r="B2145" s="190" t="str">
        <f ca="1">"Depreciated Net Capex "&amp;OFFSET($C$6,0,A2145)</f>
        <v>Depreciated Net Capex 2035-36</v>
      </c>
      <c r="C2145" s="1426"/>
      <c r="D2145" s="1426"/>
      <c r="E2145" s="1426"/>
      <c r="F2145" s="1426"/>
      <c r="G2145" s="1426"/>
      <c r="H2145" s="1426"/>
      <c r="I2145" s="1426"/>
      <c r="J2145" s="1426"/>
      <c r="K2145" s="1426"/>
      <c r="L2145" s="1426"/>
      <c r="M2145" s="1426"/>
      <c r="N2145" s="1426"/>
      <c r="O2145" s="1426"/>
      <c r="P2145" s="1426"/>
      <c r="Q2145" s="1426"/>
      <c r="R2145" s="1426"/>
      <c r="S2145" s="1426"/>
      <c r="T2145" s="1426"/>
      <c r="U2145" s="1426"/>
      <c r="V2145" s="1427"/>
      <c r="W2145" s="1423">
        <f>(W2120*((1+W$11)^0.5)/W$10)</f>
        <v>0</v>
      </c>
      <c r="X2145" s="152"/>
      <c r="Y2145" s="152"/>
      <c r="Z2145" s="152"/>
      <c r="AA2145" s="152"/>
      <c r="AB2145" s="152"/>
    </row>
    <row r="2146" spans="1:28" hidden="1" outlineLevel="1">
      <c r="A2146" s="152"/>
      <c r="B2146" s="200"/>
      <c r="C2146" s="1423"/>
      <c r="D2146" s="1423"/>
      <c r="E2146" s="1423"/>
      <c r="F2146" s="1423"/>
      <c r="G2146" s="1423"/>
      <c r="H2146" s="1423"/>
      <c r="I2146" s="1423"/>
      <c r="J2146" s="1423"/>
      <c r="K2146" s="1423"/>
      <c r="L2146" s="1423"/>
      <c r="M2146" s="1423"/>
      <c r="N2146" s="1423"/>
      <c r="O2146" s="1423"/>
      <c r="P2146" s="1423"/>
      <c r="Q2146" s="1423"/>
      <c r="R2146" s="1423"/>
      <c r="S2146" s="1423"/>
      <c r="T2146" s="1423"/>
      <c r="U2146" s="1423"/>
      <c r="V2146" s="1423"/>
      <c r="W2146" s="1423"/>
      <c r="X2146" s="152"/>
      <c r="Y2146" s="152"/>
      <c r="Z2146" s="152"/>
      <c r="AA2146" s="152"/>
      <c r="AB2146" s="152"/>
    </row>
    <row r="2147" spans="1:28" hidden="1" outlineLevel="1">
      <c r="A2147" s="152"/>
      <c r="B2147" s="200"/>
      <c r="C2147" s="1423"/>
      <c r="D2147" s="1423"/>
      <c r="E2147" s="1423"/>
      <c r="F2147" s="1423"/>
      <c r="G2147" s="1423"/>
      <c r="H2147" s="1423"/>
      <c r="I2147" s="1423"/>
      <c r="J2147" s="1423"/>
      <c r="K2147" s="1423"/>
      <c r="L2147" s="1423"/>
      <c r="M2147" s="1423"/>
      <c r="N2147" s="1423"/>
      <c r="O2147" s="1423"/>
      <c r="P2147" s="1423"/>
      <c r="Q2147" s="1423"/>
      <c r="R2147" s="1423"/>
      <c r="S2147" s="1423"/>
      <c r="T2147" s="1423"/>
      <c r="U2147" s="1423"/>
      <c r="V2147" s="1423"/>
      <c r="W2147" s="1423"/>
      <c r="X2147" s="152"/>
      <c r="Y2147" s="152"/>
      <c r="Z2147" s="152"/>
      <c r="AA2147" s="152"/>
      <c r="AB2147" s="152"/>
    </row>
    <row r="2148" spans="1:28" hidden="1" outlineLevel="1">
      <c r="A2148" s="152"/>
      <c r="B2148" s="190" t="s">
        <v>190</v>
      </c>
      <c r="C2148" s="1423"/>
      <c r="D2148" s="1423">
        <f ca="1">IF(AND(C2148&lt;1,D2122=0),0,
IF(D2122=0,C2148-1,
IF(C2148&lt;1,D2123,
(((C2148-1)*(C2124-(C2124/(C2148))))+((D2122/D$10)*D2123))/(D2124))))</f>
        <v>0</v>
      </c>
      <c r="E2148" s="1423">
        <f t="shared" ref="E2148" ca="1" si="3164">IF(AND(D2148&lt;1,E2122=0),0,
IF(E2122=0,D2148-1,
IF(D2148&lt;1,E2123,
(((D2148-1)*(D2124-(D2124/(D2148))))+((E2122/E$10)*E2123))/(E2124))))</f>
        <v>0</v>
      </c>
      <c r="F2148" s="1423">
        <f t="shared" ref="F2148" ca="1" si="3165">IF(AND(E2148&lt;1,F2122=0),0,
IF(F2122=0,E2148-1,
IF(E2148&lt;1,F2123,
(((E2148-1)*(E2124-(E2124/(E2148))))+((F2122/F$10)*F2123))/(F2124))))</f>
        <v>0</v>
      </c>
      <c r="G2148" s="1423">
        <f t="shared" ref="G2148" ca="1" si="3166">IF(AND(F2148&lt;1,G2122=0),0,
IF(G2122=0,F2148-1,
IF(F2148&lt;1,G2123,
(((F2148-1)*(F2124-(F2124/(F2148))))+((G2122/G$10)*G2123))/(G2124))))</f>
        <v>0</v>
      </c>
      <c r="H2148" s="1423">
        <f t="shared" ref="H2148" ca="1" si="3167">IF(AND(G2148&lt;1,H2122=0),0,
IF(H2122=0,G2148-1,
IF(G2148&lt;1,H2123,
(((G2148-1)*(G2124-(G2124/(G2148))))+((H2122/H$10)*H2123))/(H2124))))</f>
        <v>0</v>
      </c>
      <c r="I2148" s="1423">
        <f t="shared" ref="I2148" ca="1" si="3168">IF(AND(H2148&lt;1,I2122=0),0,
IF(I2122=0,H2148-1,
IF(H2148&lt;1,I2123,
(((H2148-1)*(H2124-(H2124/(H2148))))+((I2122/I$10)*I2123))/(I2124))))</f>
        <v>0</v>
      </c>
      <c r="J2148" s="1423">
        <f t="shared" ref="J2148" ca="1" si="3169">IF(AND(I2148&lt;1,J2122=0),0,
IF(J2122=0,I2148-1,
IF(I2148&lt;1,J2123,
(((I2148-1)*(I2124-(I2124/(I2148))))+((J2122/J$10)*J2123))/(J2124))))</f>
        <v>0</v>
      </c>
      <c r="K2148" s="1423">
        <f t="shared" ref="K2148" ca="1" si="3170">IF(AND(J2148&lt;1,K2122=0),0,
IF(K2122=0,J2148-1,
IF(J2148&lt;1,K2123,
(((J2148-1)*(J2124-(J2124/(J2148))))+((K2122/K$10)*K2123))/(K2124))))</f>
        <v>0</v>
      </c>
      <c r="L2148" s="1423">
        <f t="shared" ref="L2148" ca="1" si="3171">IF(AND(K2148&lt;1,L2122=0),0,
IF(L2122=0,K2148-1,
IF(K2148&lt;1,L2123,
(((K2148-1)*(K2124-(K2124/(K2148))))+((L2122/L$10)*L2123))/(L2124))))</f>
        <v>0</v>
      </c>
      <c r="M2148" s="1423">
        <f t="shared" ref="M2148" ca="1" si="3172">IF(AND(L2148&lt;1,M2122=0),0,
IF(M2122=0,L2148-1,
IF(L2148&lt;1,M2123,
(((L2148-1)*(L2124-(L2124/(L2148))))+((M2122/M$10)*M2123))/(M2124))))</f>
        <v>0</v>
      </c>
      <c r="N2148" s="1423">
        <f t="shared" ref="N2148" ca="1" si="3173">IF(AND(M2148&lt;1,N2122=0),0,
IF(N2122=0,M2148-1,
IF(M2148&lt;1,N2123,
(((M2148-1)*(M2124-(M2124/(M2148))))+((N2122/N$10)*N2123))/(N2124))))</f>
        <v>0</v>
      </c>
      <c r="O2148" s="1423">
        <f t="shared" ref="O2148" ca="1" si="3174">IF(AND(N2148&lt;1,O2122=0),0,
IF(O2122=0,N2148-1,
IF(N2148&lt;1,O2123,
(((N2148-1)*(N2124-(N2124/(N2148))))+((O2122/O$10)*O2123))/(O2124))))</f>
        <v>0</v>
      </c>
      <c r="P2148" s="1423">
        <f t="shared" ref="P2148" ca="1" si="3175">IF(AND(O2148&lt;1,P2122=0),0,
IF(P2122=0,O2148-1,
IF(O2148&lt;1,P2123,
(((O2148-1)*(O2124-(O2124/(O2148))))+((P2122/P$10)*P2123))/(P2124))))</f>
        <v>0</v>
      </c>
      <c r="Q2148" s="1423">
        <f t="shared" ref="Q2148" ca="1" si="3176">IF(AND(P2148&lt;1,Q2122=0),0,
IF(Q2122=0,P2148-1,
IF(P2148&lt;1,Q2123,
(((P2148-1)*(P2124-(P2124/(P2148))))+((Q2122/Q$10)*Q2123))/(Q2124))))</f>
        <v>0</v>
      </c>
      <c r="R2148" s="1423">
        <f t="shared" ref="R2148" ca="1" si="3177">IF(AND(Q2148&lt;1,R2122=0),0,
IF(R2122=0,Q2148-1,
IF(Q2148&lt;1,R2123,
(((Q2148-1)*(Q2124-(Q2124/(Q2148))))+((R2122/R$10)*R2123))/(R2124))))</f>
        <v>0</v>
      </c>
      <c r="S2148" s="1423">
        <f t="shared" ref="S2148" ca="1" si="3178">IF(AND(R2148&lt;1,S2122=0),0,
IF(S2122=0,R2148-1,
IF(R2148&lt;1,S2123,
(((R2148-1)*(R2124-(R2124/(R2148))))+((S2122/S$10)*S2123))/(S2124))))</f>
        <v>0</v>
      </c>
      <c r="T2148" s="1423">
        <f t="shared" ref="T2148" ca="1" si="3179">IF(AND(S2148&lt;1,T2122=0),0,
IF(T2122=0,S2148-1,
IF(S2148&lt;1,T2123,
(((S2148-1)*(S2124-(S2124/(S2148))))+((T2122/T$10)*T2123))/(T2124))))</f>
        <v>0</v>
      </c>
      <c r="U2148" s="1423">
        <f t="shared" ref="U2148" ca="1" si="3180">IF(AND(T2148&lt;1,U2122=0),0,
IF(U2122=0,T2148-1,
IF(T2148&lt;1,U2123,
(((T2148-1)*(T2124-(T2124/(T2148))))+((U2122/U$10)*U2123))/(U2124))))</f>
        <v>0</v>
      </c>
      <c r="V2148" s="1423">
        <f t="shared" ref="V2148" ca="1" si="3181">IF(AND(U2148&lt;1,V2122=0),0,
IF(V2122=0,U2148-1,
IF(U2148&lt;1,V2123,
(((U2148-1)*(U2124-(U2124/(U2148))))+((V2122/V$10)*V2123))/(V2124))))</f>
        <v>0</v>
      </c>
      <c r="W2148" s="1423">
        <f t="shared" ref="W2148" ca="1" si="3182">IF(AND(V2148&lt;1,W2122=0),0,
IF(W2122=0,V2148-1,
IF(V2148&lt;1,W2123,
(((V2148-1)*(V2124-(V2124/(V2148))))+((W2122/W$10)*W2123))/(W2124))))</f>
        <v>0</v>
      </c>
      <c r="X2148" s="152"/>
      <c r="Y2148" s="152"/>
      <c r="Z2148" s="152"/>
      <c r="AA2148" s="152"/>
      <c r="AB2148" s="152"/>
    </row>
    <row r="2149" spans="1:28" hidden="1" outlineLevel="1">
      <c r="A2149" s="152"/>
      <c r="B2149" s="190" t="s">
        <v>122</v>
      </c>
      <c r="C2149" s="1423">
        <f ca="1">C2121</f>
        <v>0</v>
      </c>
      <c r="D2149" s="1423">
        <f t="shared" ref="D2149" ca="1" si="3183">IF(C2149="n/a","n/a",MAX(0,C2149-1))</f>
        <v>0</v>
      </c>
      <c r="E2149" s="1423">
        <f t="shared" ref="E2149:E2150" ca="1" si="3184">IF(D2149="n/a","n/a",MAX(0,D2149-1))</f>
        <v>0</v>
      </c>
      <c r="F2149" s="1423">
        <f t="shared" ref="F2149:F2151" ca="1" si="3185">IF(E2149="n/a","n/a",MAX(0,E2149-1))</f>
        <v>0</v>
      </c>
      <c r="G2149" s="1423">
        <f t="shared" ref="G2149:G2152" ca="1" si="3186">IF(F2149="n/a","n/a",MAX(0,F2149-1))</f>
        <v>0</v>
      </c>
      <c r="H2149" s="1423">
        <f t="shared" ref="H2149:H2153" ca="1" si="3187">IF(G2149="n/a","n/a",MAX(0,G2149-1))</f>
        <v>0</v>
      </c>
      <c r="I2149" s="1423">
        <f t="shared" ref="I2149:I2154" ca="1" si="3188">IF(H2149="n/a","n/a",MAX(0,H2149-1))</f>
        <v>0</v>
      </c>
      <c r="J2149" s="1423">
        <f t="shared" ref="J2149:J2155" ca="1" si="3189">IF(I2149="n/a","n/a",MAX(0,I2149-1))</f>
        <v>0</v>
      </c>
      <c r="K2149" s="1423">
        <f t="shared" ref="K2149:K2156" ca="1" si="3190">IF(J2149="n/a","n/a",MAX(0,J2149-1))</f>
        <v>0</v>
      </c>
      <c r="L2149" s="1423">
        <f t="shared" ref="L2149:L2157" ca="1" si="3191">IF(K2149="n/a","n/a",MAX(0,K2149-1))</f>
        <v>0</v>
      </c>
      <c r="M2149" s="1423">
        <f t="shared" ref="M2149:M2158" ca="1" si="3192">IF(L2149="n/a","n/a",MAX(0,L2149-1))</f>
        <v>0</v>
      </c>
      <c r="N2149" s="1423">
        <f t="shared" ref="N2149:N2159" ca="1" si="3193">IF(M2149="n/a","n/a",MAX(0,M2149-1))</f>
        <v>0</v>
      </c>
      <c r="O2149" s="1423">
        <f t="shared" ref="O2149:O2160" ca="1" si="3194">IF(N2149="n/a","n/a",MAX(0,N2149-1))</f>
        <v>0</v>
      </c>
      <c r="P2149" s="1423">
        <f t="shared" ref="P2149:P2161" ca="1" si="3195">IF(O2149="n/a","n/a",MAX(0,O2149-1))</f>
        <v>0</v>
      </c>
      <c r="Q2149" s="1423">
        <f t="shared" ref="Q2149:Q2162" ca="1" si="3196">IF(P2149="n/a","n/a",MAX(0,P2149-1))</f>
        <v>0</v>
      </c>
      <c r="R2149" s="1423">
        <f t="shared" ref="R2149:R2163" ca="1" si="3197">IF(Q2149="n/a","n/a",MAX(0,Q2149-1))</f>
        <v>0</v>
      </c>
      <c r="S2149" s="1423">
        <f t="shared" ref="S2149:S2164" ca="1" si="3198">IF(R2149="n/a","n/a",MAX(0,R2149-1))</f>
        <v>0</v>
      </c>
      <c r="T2149" s="1423">
        <f t="shared" ref="T2149:T2165" ca="1" si="3199">IF(S2149="n/a","n/a",MAX(0,S2149-1))</f>
        <v>0</v>
      </c>
      <c r="U2149" s="1423">
        <f t="shared" ref="U2149:U2166" ca="1" si="3200">IF(T2149="n/a","n/a",MAX(0,T2149-1))</f>
        <v>0</v>
      </c>
      <c r="V2149" s="1423">
        <f t="shared" ref="V2149:V2167" ca="1" si="3201">IF(U2149="n/a","n/a",MAX(0,U2149-1))</f>
        <v>0</v>
      </c>
      <c r="W2149" s="1423">
        <f t="shared" ref="W2149:W2167" ca="1" si="3202">IF(V2149="n/a","n/a",MAX(0,V2149-1))</f>
        <v>0</v>
      </c>
      <c r="X2149" s="152"/>
      <c r="Y2149" s="152"/>
      <c r="Z2149" s="152"/>
      <c r="AA2149" s="152"/>
      <c r="AB2149" s="152"/>
    </row>
    <row r="2150" spans="1:28" hidden="1" outlineLevel="1">
      <c r="A2150" s="152"/>
      <c r="B2150" s="190" t="str">
        <f t="shared" ref="B2150:B2169" ca="1" si="3203">"RL Capex "&amp;OFFSET($C$6,0,A2126)</f>
        <v>RL Capex 2016-17</v>
      </c>
      <c r="C2150" s="1424"/>
      <c r="D2150" s="1428">
        <f>D2121</f>
        <v>0</v>
      </c>
      <c r="E2150" s="1423">
        <f t="shared" si="3184"/>
        <v>0</v>
      </c>
      <c r="F2150" s="1423">
        <f t="shared" si="3185"/>
        <v>0</v>
      </c>
      <c r="G2150" s="1423">
        <f t="shared" si="3186"/>
        <v>0</v>
      </c>
      <c r="H2150" s="1423">
        <f t="shared" si="3187"/>
        <v>0</v>
      </c>
      <c r="I2150" s="1423">
        <f t="shared" si="3188"/>
        <v>0</v>
      </c>
      <c r="J2150" s="1423">
        <f t="shared" si="3189"/>
        <v>0</v>
      </c>
      <c r="K2150" s="1423">
        <f t="shared" si="3190"/>
        <v>0</v>
      </c>
      <c r="L2150" s="1423">
        <f t="shared" si="3191"/>
        <v>0</v>
      </c>
      <c r="M2150" s="1423">
        <f t="shared" si="3192"/>
        <v>0</v>
      </c>
      <c r="N2150" s="1423">
        <f t="shared" si="3193"/>
        <v>0</v>
      </c>
      <c r="O2150" s="1423">
        <f t="shared" si="3194"/>
        <v>0</v>
      </c>
      <c r="P2150" s="1423">
        <f t="shared" si="3195"/>
        <v>0</v>
      </c>
      <c r="Q2150" s="1423">
        <f t="shared" si="3196"/>
        <v>0</v>
      </c>
      <c r="R2150" s="1423">
        <f t="shared" si="3197"/>
        <v>0</v>
      </c>
      <c r="S2150" s="1423">
        <f t="shared" si="3198"/>
        <v>0</v>
      </c>
      <c r="T2150" s="1423">
        <f t="shared" si="3199"/>
        <v>0</v>
      </c>
      <c r="U2150" s="1423">
        <f t="shared" si="3200"/>
        <v>0</v>
      </c>
      <c r="V2150" s="1423">
        <f t="shared" si="3201"/>
        <v>0</v>
      </c>
      <c r="W2150" s="1423">
        <f t="shared" si="3202"/>
        <v>0</v>
      </c>
      <c r="X2150" s="152"/>
      <c r="Y2150" s="152"/>
      <c r="Z2150" s="152"/>
      <c r="AA2150" s="152"/>
      <c r="AB2150" s="152"/>
    </row>
    <row r="2151" spans="1:28" hidden="1" outlineLevel="1">
      <c r="A2151" s="152"/>
      <c r="B2151" s="190" t="str">
        <f t="shared" ca="1" si="3203"/>
        <v>RL Capex 2017-18</v>
      </c>
      <c r="C2151" s="1429"/>
      <c r="D2151" s="1424"/>
      <c r="E2151" s="1428">
        <f>E2121</f>
        <v>0</v>
      </c>
      <c r="F2151" s="1423">
        <f t="shared" si="3185"/>
        <v>0</v>
      </c>
      <c r="G2151" s="1423">
        <f t="shared" si="3186"/>
        <v>0</v>
      </c>
      <c r="H2151" s="1423">
        <f t="shared" si="3187"/>
        <v>0</v>
      </c>
      <c r="I2151" s="1423">
        <f t="shared" si="3188"/>
        <v>0</v>
      </c>
      <c r="J2151" s="1423">
        <f t="shared" si="3189"/>
        <v>0</v>
      </c>
      <c r="K2151" s="1423">
        <f t="shared" si="3190"/>
        <v>0</v>
      </c>
      <c r="L2151" s="1423">
        <f t="shared" si="3191"/>
        <v>0</v>
      </c>
      <c r="M2151" s="1423">
        <f t="shared" si="3192"/>
        <v>0</v>
      </c>
      <c r="N2151" s="1423">
        <f t="shared" si="3193"/>
        <v>0</v>
      </c>
      <c r="O2151" s="1423">
        <f t="shared" si="3194"/>
        <v>0</v>
      </c>
      <c r="P2151" s="1423">
        <f t="shared" si="3195"/>
        <v>0</v>
      </c>
      <c r="Q2151" s="1423">
        <f t="shared" si="3196"/>
        <v>0</v>
      </c>
      <c r="R2151" s="1423">
        <f t="shared" si="3197"/>
        <v>0</v>
      </c>
      <c r="S2151" s="1423">
        <f t="shared" si="3198"/>
        <v>0</v>
      </c>
      <c r="T2151" s="1423">
        <f t="shared" si="3199"/>
        <v>0</v>
      </c>
      <c r="U2151" s="1423">
        <f t="shared" si="3200"/>
        <v>0</v>
      </c>
      <c r="V2151" s="1423">
        <f t="shared" si="3201"/>
        <v>0</v>
      </c>
      <c r="W2151" s="1423">
        <f t="shared" si="3202"/>
        <v>0</v>
      </c>
      <c r="X2151" s="152"/>
      <c r="Y2151" s="152"/>
      <c r="Z2151" s="152"/>
      <c r="AA2151" s="152"/>
      <c r="AB2151" s="152"/>
    </row>
    <row r="2152" spans="1:28" hidden="1" outlineLevel="1">
      <c r="A2152" s="152"/>
      <c r="B2152" s="190" t="str">
        <f t="shared" ca="1" si="3203"/>
        <v>RL Capex 2018-19</v>
      </c>
      <c r="C2152" s="1429"/>
      <c r="D2152" s="1429"/>
      <c r="E2152" s="1424"/>
      <c r="F2152" s="1428">
        <f>F2121</f>
        <v>0</v>
      </c>
      <c r="G2152" s="1423">
        <f t="shared" si="3186"/>
        <v>0</v>
      </c>
      <c r="H2152" s="1423">
        <f t="shared" si="3187"/>
        <v>0</v>
      </c>
      <c r="I2152" s="1423">
        <f t="shared" si="3188"/>
        <v>0</v>
      </c>
      <c r="J2152" s="1423">
        <f t="shared" si="3189"/>
        <v>0</v>
      </c>
      <c r="K2152" s="1423">
        <f t="shared" si="3190"/>
        <v>0</v>
      </c>
      <c r="L2152" s="1423">
        <f t="shared" si="3191"/>
        <v>0</v>
      </c>
      <c r="M2152" s="1423">
        <f t="shared" si="3192"/>
        <v>0</v>
      </c>
      <c r="N2152" s="1423">
        <f t="shared" si="3193"/>
        <v>0</v>
      </c>
      <c r="O2152" s="1423">
        <f t="shared" si="3194"/>
        <v>0</v>
      </c>
      <c r="P2152" s="1423">
        <f t="shared" si="3195"/>
        <v>0</v>
      </c>
      <c r="Q2152" s="1423">
        <f t="shared" si="3196"/>
        <v>0</v>
      </c>
      <c r="R2152" s="1423">
        <f t="shared" si="3197"/>
        <v>0</v>
      </c>
      <c r="S2152" s="1423">
        <f t="shared" si="3198"/>
        <v>0</v>
      </c>
      <c r="T2152" s="1423">
        <f t="shared" si="3199"/>
        <v>0</v>
      </c>
      <c r="U2152" s="1423">
        <f t="shared" si="3200"/>
        <v>0</v>
      </c>
      <c r="V2152" s="1423">
        <f t="shared" si="3201"/>
        <v>0</v>
      </c>
      <c r="W2152" s="1423">
        <f t="shared" si="3202"/>
        <v>0</v>
      </c>
      <c r="X2152" s="152"/>
      <c r="Y2152" s="152"/>
      <c r="Z2152" s="152"/>
      <c r="AA2152" s="152"/>
      <c r="AB2152" s="152"/>
    </row>
    <row r="2153" spans="1:28" hidden="1" outlineLevel="1">
      <c r="A2153" s="152"/>
      <c r="B2153" s="190" t="str">
        <f t="shared" ca="1" si="3203"/>
        <v>RL Capex 2019-20</v>
      </c>
      <c r="C2153" s="1429"/>
      <c r="D2153" s="1429"/>
      <c r="E2153" s="1429"/>
      <c r="F2153" s="1424"/>
      <c r="G2153" s="1428">
        <f>G2121</f>
        <v>0</v>
      </c>
      <c r="H2153" s="1423">
        <f t="shared" si="3187"/>
        <v>0</v>
      </c>
      <c r="I2153" s="1423">
        <f t="shared" si="3188"/>
        <v>0</v>
      </c>
      <c r="J2153" s="1423">
        <f t="shared" si="3189"/>
        <v>0</v>
      </c>
      <c r="K2153" s="1423">
        <f t="shared" si="3190"/>
        <v>0</v>
      </c>
      <c r="L2153" s="1423">
        <f t="shared" si="3191"/>
        <v>0</v>
      </c>
      <c r="M2153" s="1423">
        <f t="shared" si="3192"/>
        <v>0</v>
      </c>
      <c r="N2153" s="1423">
        <f t="shared" si="3193"/>
        <v>0</v>
      </c>
      <c r="O2153" s="1423">
        <f t="shared" si="3194"/>
        <v>0</v>
      </c>
      <c r="P2153" s="1423">
        <f t="shared" si="3195"/>
        <v>0</v>
      </c>
      <c r="Q2153" s="1423">
        <f t="shared" si="3196"/>
        <v>0</v>
      </c>
      <c r="R2153" s="1423">
        <f t="shared" si="3197"/>
        <v>0</v>
      </c>
      <c r="S2153" s="1423">
        <f t="shared" si="3198"/>
        <v>0</v>
      </c>
      <c r="T2153" s="1423">
        <f t="shared" si="3199"/>
        <v>0</v>
      </c>
      <c r="U2153" s="1423">
        <f t="shared" si="3200"/>
        <v>0</v>
      </c>
      <c r="V2153" s="1423">
        <f t="shared" si="3201"/>
        <v>0</v>
      </c>
      <c r="W2153" s="1423">
        <f t="shared" si="3202"/>
        <v>0</v>
      </c>
      <c r="X2153" s="152"/>
      <c r="Y2153" s="152"/>
      <c r="Z2153" s="152"/>
      <c r="AA2153" s="152"/>
      <c r="AB2153" s="152"/>
    </row>
    <row r="2154" spans="1:28" hidden="1" outlineLevel="1">
      <c r="A2154" s="152"/>
      <c r="B2154" s="190" t="str">
        <f t="shared" ca="1" si="3203"/>
        <v>RL Capex 2020-21</v>
      </c>
      <c r="C2154" s="1429"/>
      <c r="D2154" s="1429"/>
      <c r="E2154" s="1429"/>
      <c r="F2154" s="1429"/>
      <c r="G2154" s="1424"/>
      <c r="H2154" s="1428">
        <f>H2121</f>
        <v>0</v>
      </c>
      <c r="I2154" s="1423">
        <f t="shared" si="3188"/>
        <v>0</v>
      </c>
      <c r="J2154" s="1423">
        <f t="shared" si="3189"/>
        <v>0</v>
      </c>
      <c r="K2154" s="1423">
        <f t="shared" si="3190"/>
        <v>0</v>
      </c>
      <c r="L2154" s="1423">
        <f t="shared" si="3191"/>
        <v>0</v>
      </c>
      <c r="M2154" s="1423">
        <f t="shared" si="3192"/>
        <v>0</v>
      </c>
      <c r="N2154" s="1423">
        <f t="shared" si="3193"/>
        <v>0</v>
      </c>
      <c r="O2154" s="1423">
        <f t="shared" si="3194"/>
        <v>0</v>
      </c>
      <c r="P2154" s="1423">
        <f t="shared" si="3195"/>
        <v>0</v>
      </c>
      <c r="Q2154" s="1423">
        <f t="shared" si="3196"/>
        <v>0</v>
      </c>
      <c r="R2154" s="1423">
        <f t="shared" si="3197"/>
        <v>0</v>
      </c>
      <c r="S2154" s="1423">
        <f t="shared" si="3198"/>
        <v>0</v>
      </c>
      <c r="T2154" s="1423">
        <f t="shared" si="3199"/>
        <v>0</v>
      </c>
      <c r="U2154" s="1423">
        <f t="shared" si="3200"/>
        <v>0</v>
      </c>
      <c r="V2154" s="1423">
        <f t="shared" si="3201"/>
        <v>0</v>
      </c>
      <c r="W2154" s="1423">
        <f t="shared" si="3202"/>
        <v>0</v>
      </c>
      <c r="X2154" s="152"/>
      <c r="Y2154" s="152"/>
      <c r="Z2154" s="152"/>
      <c r="AA2154" s="152"/>
      <c r="AB2154" s="152"/>
    </row>
    <row r="2155" spans="1:28" hidden="1" outlineLevel="1">
      <c r="A2155" s="152"/>
      <c r="B2155" s="190" t="str">
        <f t="shared" ca="1" si="3203"/>
        <v>RL Capex 2021-22</v>
      </c>
      <c r="C2155" s="1429"/>
      <c r="D2155" s="1429"/>
      <c r="E2155" s="1429"/>
      <c r="F2155" s="1429"/>
      <c r="G2155" s="1429"/>
      <c r="H2155" s="1424"/>
      <c r="I2155" s="1428">
        <f>I2121</f>
        <v>0</v>
      </c>
      <c r="J2155" s="1423">
        <f t="shared" si="3189"/>
        <v>0</v>
      </c>
      <c r="K2155" s="1423">
        <f t="shared" si="3190"/>
        <v>0</v>
      </c>
      <c r="L2155" s="1423">
        <f t="shared" si="3191"/>
        <v>0</v>
      </c>
      <c r="M2155" s="1423">
        <f t="shared" si="3192"/>
        <v>0</v>
      </c>
      <c r="N2155" s="1423">
        <f t="shared" si="3193"/>
        <v>0</v>
      </c>
      <c r="O2155" s="1423">
        <f t="shared" si="3194"/>
        <v>0</v>
      </c>
      <c r="P2155" s="1423">
        <f t="shared" si="3195"/>
        <v>0</v>
      </c>
      <c r="Q2155" s="1423">
        <f t="shared" si="3196"/>
        <v>0</v>
      </c>
      <c r="R2155" s="1423">
        <f t="shared" si="3197"/>
        <v>0</v>
      </c>
      <c r="S2155" s="1423">
        <f t="shared" si="3198"/>
        <v>0</v>
      </c>
      <c r="T2155" s="1423">
        <f t="shared" si="3199"/>
        <v>0</v>
      </c>
      <c r="U2155" s="1423">
        <f t="shared" si="3200"/>
        <v>0</v>
      </c>
      <c r="V2155" s="1423">
        <f t="shared" si="3201"/>
        <v>0</v>
      </c>
      <c r="W2155" s="1423">
        <f t="shared" si="3202"/>
        <v>0</v>
      </c>
      <c r="X2155" s="152"/>
      <c r="Y2155" s="152"/>
      <c r="Z2155" s="152"/>
      <c r="AA2155" s="152"/>
      <c r="AB2155" s="152"/>
    </row>
    <row r="2156" spans="1:28" hidden="1" outlineLevel="1">
      <c r="A2156" s="152"/>
      <c r="B2156" s="190" t="str">
        <f t="shared" ca="1" si="3203"/>
        <v>RL Capex 2022-23</v>
      </c>
      <c r="C2156" s="1429"/>
      <c r="D2156" s="1429"/>
      <c r="E2156" s="1429"/>
      <c r="F2156" s="1429"/>
      <c r="G2156" s="1429"/>
      <c r="H2156" s="1429"/>
      <c r="I2156" s="1424"/>
      <c r="J2156" s="1428">
        <f>J2121</f>
        <v>0</v>
      </c>
      <c r="K2156" s="1423">
        <f t="shared" si="3190"/>
        <v>0</v>
      </c>
      <c r="L2156" s="1423">
        <f t="shared" si="3191"/>
        <v>0</v>
      </c>
      <c r="M2156" s="1423">
        <f t="shared" si="3192"/>
        <v>0</v>
      </c>
      <c r="N2156" s="1423">
        <f t="shared" si="3193"/>
        <v>0</v>
      </c>
      <c r="O2156" s="1423">
        <f t="shared" si="3194"/>
        <v>0</v>
      </c>
      <c r="P2156" s="1423">
        <f t="shared" si="3195"/>
        <v>0</v>
      </c>
      <c r="Q2156" s="1423">
        <f t="shared" si="3196"/>
        <v>0</v>
      </c>
      <c r="R2156" s="1423">
        <f t="shared" si="3197"/>
        <v>0</v>
      </c>
      <c r="S2156" s="1423">
        <f t="shared" si="3198"/>
        <v>0</v>
      </c>
      <c r="T2156" s="1423">
        <f t="shared" si="3199"/>
        <v>0</v>
      </c>
      <c r="U2156" s="1423">
        <f t="shared" si="3200"/>
        <v>0</v>
      </c>
      <c r="V2156" s="1423">
        <f t="shared" si="3201"/>
        <v>0</v>
      </c>
      <c r="W2156" s="1423">
        <f t="shared" si="3202"/>
        <v>0</v>
      </c>
      <c r="X2156" s="152"/>
      <c r="Y2156" s="152"/>
      <c r="Z2156" s="152"/>
      <c r="AA2156" s="152"/>
      <c r="AB2156" s="152"/>
    </row>
    <row r="2157" spans="1:28" hidden="1" outlineLevel="1">
      <c r="A2157" s="152"/>
      <c r="B2157" s="190" t="str">
        <f t="shared" ca="1" si="3203"/>
        <v>RL Capex 2023-24</v>
      </c>
      <c r="C2157" s="1429"/>
      <c r="D2157" s="1429"/>
      <c r="E2157" s="1429"/>
      <c r="F2157" s="1429"/>
      <c r="G2157" s="1429"/>
      <c r="H2157" s="1429"/>
      <c r="I2157" s="1429"/>
      <c r="J2157" s="1424"/>
      <c r="K2157" s="1428">
        <f>K2121</f>
        <v>0</v>
      </c>
      <c r="L2157" s="1423">
        <f t="shared" si="3191"/>
        <v>0</v>
      </c>
      <c r="M2157" s="1423">
        <f t="shared" si="3192"/>
        <v>0</v>
      </c>
      <c r="N2157" s="1423">
        <f t="shared" si="3193"/>
        <v>0</v>
      </c>
      <c r="O2157" s="1423">
        <f t="shared" si="3194"/>
        <v>0</v>
      </c>
      <c r="P2157" s="1423">
        <f t="shared" si="3195"/>
        <v>0</v>
      </c>
      <c r="Q2157" s="1423">
        <f t="shared" si="3196"/>
        <v>0</v>
      </c>
      <c r="R2157" s="1423">
        <f t="shared" si="3197"/>
        <v>0</v>
      </c>
      <c r="S2157" s="1423">
        <f t="shared" si="3198"/>
        <v>0</v>
      </c>
      <c r="T2157" s="1423">
        <f t="shared" si="3199"/>
        <v>0</v>
      </c>
      <c r="U2157" s="1423">
        <f t="shared" si="3200"/>
        <v>0</v>
      </c>
      <c r="V2157" s="1423">
        <f t="shared" si="3201"/>
        <v>0</v>
      </c>
      <c r="W2157" s="1423">
        <f t="shared" si="3202"/>
        <v>0</v>
      </c>
      <c r="X2157" s="152"/>
      <c r="Y2157" s="152"/>
      <c r="Z2157" s="152"/>
      <c r="AA2157" s="152"/>
      <c r="AB2157" s="152"/>
    </row>
    <row r="2158" spans="1:28" hidden="1" outlineLevel="1">
      <c r="A2158" s="152"/>
      <c r="B2158" s="190" t="str">
        <f t="shared" ca="1" si="3203"/>
        <v>RL Capex 2024-25</v>
      </c>
      <c r="C2158" s="1429"/>
      <c r="D2158" s="1429"/>
      <c r="E2158" s="1429"/>
      <c r="F2158" s="1429"/>
      <c r="G2158" s="1429"/>
      <c r="H2158" s="1429"/>
      <c r="I2158" s="1429"/>
      <c r="J2158" s="1429"/>
      <c r="K2158" s="1424"/>
      <c r="L2158" s="1428">
        <f>L2121</f>
        <v>0</v>
      </c>
      <c r="M2158" s="1423">
        <f t="shared" si="3192"/>
        <v>0</v>
      </c>
      <c r="N2158" s="1423">
        <f t="shared" si="3193"/>
        <v>0</v>
      </c>
      <c r="O2158" s="1423">
        <f t="shared" si="3194"/>
        <v>0</v>
      </c>
      <c r="P2158" s="1423">
        <f t="shared" si="3195"/>
        <v>0</v>
      </c>
      <c r="Q2158" s="1423">
        <f t="shared" si="3196"/>
        <v>0</v>
      </c>
      <c r="R2158" s="1423">
        <f t="shared" si="3197"/>
        <v>0</v>
      </c>
      <c r="S2158" s="1423">
        <f t="shared" si="3198"/>
        <v>0</v>
      </c>
      <c r="T2158" s="1423">
        <f t="shared" si="3199"/>
        <v>0</v>
      </c>
      <c r="U2158" s="1423">
        <f t="shared" si="3200"/>
        <v>0</v>
      </c>
      <c r="V2158" s="1423">
        <f t="shared" si="3201"/>
        <v>0</v>
      </c>
      <c r="W2158" s="1423">
        <f t="shared" si="3202"/>
        <v>0</v>
      </c>
      <c r="X2158" s="152"/>
      <c r="Y2158" s="152"/>
      <c r="Z2158" s="152"/>
      <c r="AA2158" s="152"/>
      <c r="AB2158" s="152"/>
    </row>
    <row r="2159" spans="1:28" hidden="1" outlineLevel="1">
      <c r="A2159" s="152"/>
      <c r="B2159" s="190" t="str">
        <f t="shared" ca="1" si="3203"/>
        <v>RL Capex 2025-26</v>
      </c>
      <c r="C2159" s="1429"/>
      <c r="D2159" s="1429"/>
      <c r="E2159" s="1429"/>
      <c r="F2159" s="1429"/>
      <c r="G2159" s="1429"/>
      <c r="H2159" s="1429"/>
      <c r="I2159" s="1429"/>
      <c r="J2159" s="1429"/>
      <c r="K2159" s="1429"/>
      <c r="L2159" s="1424"/>
      <c r="M2159" s="1428">
        <f>M2121</f>
        <v>0</v>
      </c>
      <c r="N2159" s="1423">
        <f t="shared" si="3193"/>
        <v>0</v>
      </c>
      <c r="O2159" s="1423">
        <f t="shared" si="3194"/>
        <v>0</v>
      </c>
      <c r="P2159" s="1423">
        <f t="shared" si="3195"/>
        <v>0</v>
      </c>
      <c r="Q2159" s="1423">
        <f t="shared" si="3196"/>
        <v>0</v>
      </c>
      <c r="R2159" s="1423">
        <f t="shared" si="3197"/>
        <v>0</v>
      </c>
      <c r="S2159" s="1423">
        <f t="shared" si="3198"/>
        <v>0</v>
      </c>
      <c r="T2159" s="1423">
        <f t="shared" si="3199"/>
        <v>0</v>
      </c>
      <c r="U2159" s="1423">
        <f t="shared" si="3200"/>
        <v>0</v>
      </c>
      <c r="V2159" s="1423">
        <f t="shared" si="3201"/>
        <v>0</v>
      </c>
      <c r="W2159" s="1423">
        <f t="shared" si="3202"/>
        <v>0</v>
      </c>
      <c r="X2159" s="152"/>
      <c r="Y2159" s="152"/>
      <c r="Z2159" s="152"/>
      <c r="AA2159" s="152"/>
      <c r="AB2159" s="152"/>
    </row>
    <row r="2160" spans="1:28" hidden="1" outlineLevel="1">
      <c r="A2160" s="152"/>
      <c r="B2160" s="190" t="str">
        <f t="shared" ca="1" si="3203"/>
        <v>RL Capex 2026-27</v>
      </c>
      <c r="C2160" s="1429"/>
      <c r="D2160" s="1429"/>
      <c r="E2160" s="1429"/>
      <c r="F2160" s="1429"/>
      <c r="G2160" s="1429"/>
      <c r="H2160" s="1429"/>
      <c r="I2160" s="1429"/>
      <c r="J2160" s="1429"/>
      <c r="K2160" s="1429"/>
      <c r="L2160" s="1429"/>
      <c r="M2160" s="1424"/>
      <c r="N2160" s="1428">
        <f>N2121</f>
        <v>0</v>
      </c>
      <c r="O2160" s="1423">
        <f t="shared" si="3194"/>
        <v>0</v>
      </c>
      <c r="P2160" s="1423">
        <f t="shared" si="3195"/>
        <v>0</v>
      </c>
      <c r="Q2160" s="1423">
        <f t="shared" si="3196"/>
        <v>0</v>
      </c>
      <c r="R2160" s="1423">
        <f t="shared" si="3197"/>
        <v>0</v>
      </c>
      <c r="S2160" s="1423">
        <f t="shared" si="3198"/>
        <v>0</v>
      </c>
      <c r="T2160" s="1423">
        <f t="shared" si="3199"/>
        <v>0</v>
      </c>
      <c r="U2160" s="1423">
        <f t="shared" si="3200"/>
        <v>0</v>
      </c>
      <c r="V2160" s="1423">
        <f t="shared" si="3201"/>
        <v>0</v>
      </c>
      <c r="W2160" s="1423">
        <f t="shared" si="3202"/>
        <v>0</v>
      </c>
      <c r="X2160" s="152"/>
      <c r="Y2160" s="152"/>
      <c r="Z2160" s="152"/>
      <c r="AA2160" s="152"/>
      <c r="AB2160" s="152"/>
    </row>
    <row r="2161" spans="1:28" hidden="1" outlineLevel="1">
      <c r="A2161" s="152"/>
      <c r="B2161" s="190" t="str">
        <f t="shared" ca="1" si="3203"/>
        <v>RL Capex 2027-28</v>
      </c>
      <c r="C2161" s="1429"/>
      <c r="D2161" s="1429"/>
      <c r="E2161" s="1429"/>
      <c r="F2161" s="1429"/>
      <c r="G2161" s="1429"/>
      <c r="H2161" s="1429"/>
      <c r="I2161" s="1429"/>
      <c r="J2161" s="1429"/>
      <c r="K2161" s="1429"/>
      <c r="L2161" s="1429"/>
      <c r="M2161" s="1429"/>
      <c r="N2161" s="1424"/>
      <c r="O2161" s="1428">
        <f>O2121</f>
        <v>0</v>
      </c>
      <c r="P2161" s="1423">
        <f t="shared" si="3195"/>
        <v>0</v>
      </c>
      <c r="Q2161" s="1423">
        <f t="shared" si="3196"/>
        <v>0</v>
      </c>
      <c r="R2161" s="1423">
        <f t="shared" si="3197"/>
        <v>0</v>
      </c>
      <c r="S2161" s="1423">
        <f t="shared" si="3198"/>
        <v>0</v>
      </c>
      <c r="T2161" s="1423">
        <f t="shared" si="3199"/>
        <v>0</v>
      </c>
      <c r="U2161" s="1423">
        <f t="shared" si="3200"/>
        <v>0</v>
      </c>
      <c r="V2161" s="1423">
        <f t="shared" si="3201"/>
        <v>0</v>
      </c>
      <c r="W2161" s="1423">
        <f t="shared" si="3202"/>
        <v>0</v>
      </c>
      <c r="X2161" s="152"/>
      <c r="Y2161" s="152"/>
      <c r="Z2161" s="152"/>
      <c r="AA2161" s="152"/>
      <c r="AB2161" s="152"/>
    </row>
    <row r="2162" spans="1:28" hidden="1" outlineLevel="1">
      <c r="A2162" s="152"/>
      <c r="B2162" s="190" t="str">
        <f t="shared" ca="1" si="3203"/>
        <v>RL Capex 2028-29</v>
      </c>
      <c r="C2162" s="1429"/>
      <c r="D2162" s="1429"/>
      <c r="E2162" s="1429"/>
      <c r="F2162" s="1429"/>
      <c r="G2162" s="1429"/>
      <c r="H2162" s="1429"/>
      <c r="I2162" s="1429"/>
      <c r="J2162" s="1429"/>
      <c r="K2162" s="1429"/>
      <c r="L2162" s="1429"/>
      <c r="M2162" s="1429"/>
      <c r="N2162" s="1429"/>
      <c r="O2162" s="1424"/>
      <c r="P2162" s="1428">
        <f>P2121</f>
        <v>0</v>
      </c>
      <c r="Q2162" s="1423">
        <f t="shared" si="3196"/>
        <v>0</v>
      </c>
      <c r="R2162" s="1423">
        <f t="shared" si="3197"/>
        <v>0</v>
      </c>
      <c r="S2162" s="1423">
        <f t="shared" si="3198"/>
        <v>0</v>
      </c>
      <c r="T2162" s="1423">
        <f t="shared" si="3199"/>
        <v>0</v>
      </c>
      <c r="U2162" s="1423">
        <f t="shared" si="3200"/>
        <v>0</v>
      </c>
      <c r="V2162" s="1423">
        <f t="shared" si="3201"/>
        <v>0</v>
      </c>
      <c r="W2162" s="1423">
        <f t="shared" si="3202"/>
        <v>0</v>
      </c>
      <c r="X2162" s="152"/>
      <c r="Y2162" s="152"/>
      <c r="Z2162" s="152"/>
      <c r="AA2162" s="152"/>
      <c r="AB2162" s="152"/>
    </row>
    <row r="2163" spans="1:28" hidden="1" outlineLevel="1">
      <c r="A2163" s="152"/>
      <c r="B2163" s="190" t="str">
        <f t="shared" ca="1" si="3203"/>
        <v>RL Capex 2029-30</v>
      </c>
      <c r="C2163" s="1429"/>
      <c r="D2163" s="1429"/>
      <c r="E2163" s="1429"/>
      <c r="F2163" s="1429"/>
      <c r="G2163" s="1429"/>
      <c r="H2163" s="1429"/>
      <c r="I2163" s="1429"/>
      <c r="J2163" s="1429"/>
      <c r="K2163" s="1429"/>
      <c r="L2163" s="1429"/>
      <c r="M2163" s="1429"/>
      <c r="N2163" s="1429"/>
      <c r="O2163" s="1429"/>
      <c r="P2163" s="1424"/>
      <c r="Q2163" s="1428">
        <f>Q2121</f>
        <v>0</v>
      </c>
      <c r="R2163" s="1423">
        <f t="shared" si="3197"/>
        <v>0</v>
      </c>
      <c r="S2163" s="1423">
        <f t="shared" si="3198"/>
        <v>0</v>
      </c>
      <c r="T2163" s="1423">
        <f t="shared" si="3199"/>
        <v>0</v>
      </c>
      <c r="U2163" s="1423">
        <f t="shared" si="3200"/>
        <v>0</v>
      </c>
      <c r="V2163" s="1423">
        <f t="shared" si="3201"/>
        <v>0</v>
      </c>
      <c r="W2163" s="1423">
        <f t="shared" si="3202"/>
        <v>0</v>
      </c>
      <c r="X2163" s="152"/>
      <c r="Y2163" s="152"/>
      <c r="Z2163" s="152"/>
      <c r="AA2163" s="152"/>
      <c r="AB2163" s="152"/>
    </row>
    <row r="2164" spans="1:28" hidden="1" outlineLevel="1">
      <c r="A2164" s="152"/>
      <c r="B2164" s="190" t="str">
        <f t="shared" ca="1" si="3203"/>
        <v>RL Capex 2030-31</v>
      </c>
      <c r="C2164" s="1429"/>
      <c r="D2164" s="1429"/>
      <c r="E2164" s="1429"/>
      <c r="F2164" s="1429"/>
      <c r="G2164" s="1429"/>
      <c r="H2164" s="1429"/>
      <c r="I2164" s="1429"/>
      <c r="J2164" s="1429"/>
      <c r="K2164" s="1429"/>
      <c r="L2164" s="1429"/>
      <c r="M2164" s="1429"/>
      <c r="N2164" s="1429"/>
      <c r="O2164" s="1429"/>
      <c r="P2164" s="1429"/>
      <c r="Q2164" s="1424"/>
      <c r="R2164" s="1428">
        <f>R2121</f>
        <v>0</v>
      </c>
      <c r="S2164" s="1423">
        <f t="shared" si="3198"/>
        <v>0</v>
      </c>
      <c r="T2164" s="1423">
        <f t="shared" si="3199"/>
        <v>0</v>
      </c>
      <c r="U2164" s="1423">
        <f t="shared" si="3200"/>
        <v>0</v>
      </c>
      <c r="V2164" s="1423">
        <f t="shared" si="3201"/>
        <v>0</v>
      </c>
      <c r="W2164" s="1423">
        <f t="shared" si="3202"/>
        <v>0</v>
      </c>
      <c r="X2164" s="152"/>
      <c r="Y2164" s="152"/>
      <c r="Z2164" s="152"/>
      <c r="AA2164" s="152"/>
      <c r="AB2164" s="152"/>
    </row>
    <row r="2165" spans="1:28" hidden="1" outlineLevel="1">
      <c r="A2165" s="152"/>
      <c r="B2165" s="190" t="str">
        <f t="shared" ca="1" si="3203"/>
        <v>RL Capex 2031-32</v>
      </c>
      <c r="C2165" s="1429"/>
      <c r="D2165" s="1429"/>
      <c r="E2165" s="1429"/>
      <c r="F2165" s="1429"/>
      <c r="G2165" s="1429"/>
      <c r="H2165" s="1429"/>
      <c r="I2165" s="1429"/>
      <c r="J2165" s="1429"/>
      <c r="K2165" s="1429"/>
      <c r="L2165" s="1429"/>
      <c r="M2165" s="1429"/>
      <c r="N2165" s="1429"/>
      <c r="O2165" s="1429"/>
      <c r="P2165" s="1429"/>
      <c r="Q2165" s="1429"/>
      <c r="R2165" s="1424"/>
      <c r="S2165" s="1428">
        <f>S2121</f>
        <v>0</v>
      </c>
      <c r="T2165" s="1423">
        <f t="shared" si="3199"/>
        <v>0</v>
      </c>
      <c r="U2165" s="1423">
        <f t="shared" si="3200"/>
        <v>0</v>
      </c>
      <c r="V2165" s="1423">
        <f t="shared" si="3201"/>
        <v>0</v>
      </c>
      <c r="W2165" s="1423">
        <f t="shared" si="3202"/>
        <v>0</v>
      </c>
      <c r="X2165" s="152"/>
      <c r="Y2165" s="152"/>
      <c r="Z2165" s="152"/>
      <c r="AA2165" s="152"/>
      <c r="AB2165" s="152"/>
    </row>
    <row r="2166" spans="1:28" hidden="1" outlineLevel="1">
      <c r="A2166" s="152"/>
      <c r="B2166" s="190" t="str">
        <f t="shared" ca="1" si="3203"/>
        <v>RL Capex 2032-33</v>
      </c>
      <c r="C2166" s="1429"/>
      <c r="D2166" s="1429"/>
      <c r="E2166" s="1429"/>
      <c r="F2166" s="1429"/>
      <c r="G2166" s="1429"/>
      <c r="H2166" s="1429"/>
      <c r="I2166" s="1429"/>
      <c r="J2166" s="1429"/>
      <c r="K2166" s="1429"/>
      <c r="L2166" s="1429"/>
      <c r="M2166" s="1429"/>
      <c r="N2166" s="1429"/>
      <c r="O2166" s="1429"/>
      <c r="P2166" s="1429"/>
      <c r="Q2166" s="1429"/>
      <c r="R2166" s="1429"/>
      <c r="S2166" s="1424"/>
      <c r="T2166" s="1428">
        <f>T2121</f>
        <v>0</v>
      </c>
      <c r="U2166" s="1423">
        <f t="shared" si="3200"/>
        <v>0</v>
      </c>
      <c r="V2166" s="1423">
        <f t="shared" si="3201"/>
        <v>0</v>
      </c>
      <c r="W2166" s="1423">
        <f t="shared" si="3202"/>
        <v>0</v>
      </c>
      <c r="X2166" s="152"/>
      <c r="Y2166" s="152"/>
      <c r="Z2166" s="152"/>
      <c r="AA2166" s="152"/>
      <c r="AB2166" s="152"/>
    </row>
    <row r="2167" spans="1:28" hidden="1" outlineLevel="1">
      <c r="A2167" s="152"/>
      <c r="B2167" s="190" t="str">
        <f t="shared" ca="1" si="3203"/>
        <v>RL Capex 2033-34</v>
      </c>
      <c r="C2167" s="1429"/>
      <c r="D2167" s="1429"/>
      <c r="E2167" s="1429"/>
      <c r="F2167" s="1429"/>
      <c r="G2167" s="1429"/>
      <c r="H2167" s="1429"/>
      <c r="I2167" s="1429"/>
      <c r="J2167" s="1429"/>
      <c r="K2167" s="1429"/>
      <c r="L2167" s="1429"/>
      <c r="M2167" s="1429"/>
      <c r="N2167" s="1429"/>
      <c r="O2167" s="1429"/>
      <c r="P2167" s="1429"/>
      <c r="Q2167" s="1429"/>
      <c r="R2167" s="1429"/>
      <c r="S2167" s="1429"/>
      <c r="T2167" s="1424"/>
      <c r="U2167" s="1428">
        <f>U2121</f>
        <v>0</v>
      </c>
      <c r="V2167" s="1423">
        <f t="shared" si="3201"/>
        <v>0</v>
      </c>
      <c r="W2167" s="1423">
        <f t="shared" si="3202"/>
        <v>0</v>
      </c>
      <c r="X2167" s="152"/>
      <c r="Y2167" s="152"/>
      <c r="Z2167" s="152"/>
      <c r="AA2167" s="152"/>
      <c r="AB2167" s="152"/>
    </row>
    <row r="2168" spans="1:28" hidden="1" outlineLevel="1">
      <c r="A2168" s="152"/>
      <c r="B2168" s="190" t="str">
        <f t="shared" ca="1" si="3203"/>
        <v>RL Capex 2034-35</v>
      </c>
      <c r="C2168" s="1429"/>
      <c r="D2168" s="1429"/>
      <c r="E2168" s="1429"/>
      <c r="F2168" s="1429"/>
      <c r="G2168" s="1429"/>
      <c r="H2168" s="1429"/>
      <c r="I2168" s="1429"/>
      <c r="J2168" s="1429"/>
      <c r="K2168" s="1429"/>
      <c r="L2168" s="1429"/>
      <c r="M2168" s="1429"/>
      <c r="N2168" s="1429"/>
      <c r="O2168" s="1429"/>
      <c r="P2168" s="1429"/>
      <c r="Q2168" s="1429"/>
      <c r="R2168" s="1429"/>
      <c r="S2168" s="1429"/>
      <c r="T2168" s="1429"/>
      <c r="U2168" s="1424"/>
      <c r="V2168" s="1428">
        <f>V2121</f>
        <v>0</v>
      </c>
      <c r="W2168" s="1423">
        <f>IF(V2168="n/a","n/a",MAX(0,V2168-1))</f>
        <v>0</v>
      </c>
      <c r="X2168" s="152"/>
      <c r="Y2168" s="152"/>
      <c r="Z2168" s="152"/>
      <c r="AA2168" s="152"/>
      <c r="AB2168" s="152"/>
    </row>
    <row r="2169" spans="1:28" hidden="1" outlineLevel="1">
      <c r="A2169" s="152"/>
      <c r="B2169" s="190" t="str">
        <f t="shared" ca="1" si="3203"/>
        <v>RL Capex 2035-36</v>
      </c>
      <c r="C2169" s="1429"/>
      <c r="D2169" s="1429"/>
      <c r="E2169" s="1429"/>
      <c r="F2169" s="1429"/>
      <c r="G2169" s="1429"/>
      <c r="H2169" s="1429"/>
      <c r="I2169" s="1429"/>
      <c r="J2169" s="1429"/>
      <c r="K2169" s="1429"/>
      <c r="L2169" s="1429"/>
      <c r="M2169" s="1429"/>
      <c r="N2169" s="1429"/>
      <c r="O2169" s="1429"/>
      <c r="P2169" s="1429"/>
      <c r="Q2169" s="1429"/>
      <c r="R2169" s="1429"/>
      <c r="S2169" s="1429"/>
      <c r="T2169" s="1429"/>
      <c r="U2169" s="1429"/>
      <c r="V2169" s="1424"/>
      <c r="W2169" s="1423">
        <f>W2121</f>
        <v>0</v>
      </c>
      <c r="X2169" s="152"/>
      <c r="Y2169" s="152"/>
      <c r="Z2169" s="152"/>
      <c r="AA2169" s="152"/>
      <c r="AB2169" s="152"/>
    </row>
    <row r="2170" spans="1:28" hidden="1" outlineLevel="1">
      <c r="A2170" s="152"/>
      <c r="B2170" s="200"/>
      <c r="C2170" s="1423"/>
      <c r="D2170" s="1423"/>
      <c r="E2170" s="1423"/>
      <c r="F2170" s="1423"/>
      <c r="G2170" s="1423"/>
      <c r="H2170" s="1423"/>
      <c r="I2170" s="1423"/>
      <c r="J2170" s="1423"/>
      <c r="K2170" s="1423"/>
      <c r="L2170" s="1423"/>
      <c r="M2170" s="1423"/>
      <c r="N2170" s="1423"/>
      <c r="O2170" s="1423"/>
      <c r="P2170" s="1423"/>
      <c r="Q2170" s="1423"/>
      <c r="R2170" s="1423"/>
      <c r="S2170" s="1423"/>
      <c r="T2170" s="1423"/>
      <c r="U2170" s="1423"/>
      <c r="V2170" s="1423"/>
      <c r="W2170" s="1423"/>
      <c r="X2170" s="152"/>
      <c r="Y2170" s="152"/>
      <c r="Z2170" s="152"/>
      <c r="AA2170" s="152"/>
      <c r="AB2170" s="152"/>
    </row>
    <row r="2171" spans="1:28" collapsed="1">
      <c r="A2171" s="194"/>
      <c r="B2171" s="204" t="s">
        <v>123</v>
      </c>
      <c r="C2171" s="1430">
        <f ca="1">(IF(OR($C2121&lt;&gt;"n/a",C2121&lt;&gt;"n/a"),IF(SUM(C2124:C2146)=0,0,IF((SUMPRODUCT(C2124:C2146,C2148:C2170)/SUM(C2124:C2146))&lt;0,1,(SUMPRODUCT(C2124:C2146,C2148:C2170)/SUM(C2124:C2146)))),"n/a"))</f>
        <v>0</v>
      </c>
      <c r="D2171" s="1430">
        <f ca="1">(IF(OR($C2121&lt;&gt;"n/a",D2121&lt;&gt;"n/a"),IF(SUM(D2124:D2146)=0,0,IF((SUMPRODUCT(D2124:D2146,D2148:D2170)/SUM(D2124:D2146))&lt;0,1,(SUMPRODUCT(D2124:D2146,D2148:D2170)/SUM(D2124:D2146)))),"n/a"))</f>
        <v>0</v>
      </c>
      <c r="E2171" s="1430">
        <f t="shared" ref="E2171:W2171" ca="1" si="3204">(IF(OR($C2121&lt;&gt;"n/a",E2121&lt;&gt;"n/a"),IF(SUM(E2124:E2146)=0,0,IF((SUMPRODUCT(E2124:E2146,E2148:E2170)/SUM(E2124:E2146))&lt;0,1,(SUMPRODUCT(E2124:E2146,E2148:E2170)/SUM(E2124:E2146)))),"n/a"))</f>
        <v>0</v>
      </c>
      <c r="F2171" s="1430">
        <f t="shared" ca="1" si="3204"/>
        <v>0</v>
      </c>
      <c r="G2171" s="1430">
        <f t="shared" ca="1" si="3204"/>
        <v>0</v>
      </c>
      <c r="H2171" s="1430">
        <f t="shared" ca="1" si="3204"/>
        <v>0</v>
      </c>
      <c r="I2171" s="1430">
        <f t="shared" ca="1" si="3204"/>
        <v>0</v>
      </c>
      <c r="J2171" s="1430">
        <f t="shared" ca="1" si="3204"/>
        <v>0</v>
      </c>
      <c r="K2171" s="1430">
        <f t="shared" ca="1" si="3204"/>
        <v>0</v>
      </c>
      <c r="L2171" s="1430">
        <f t="shared" ca="1" si="3204"/>
        <v>0</v>
      </c>
      <c r="M2171" s="1430">
        <f t="shared" ca="1" si="3204"/>
        <v>0</v>
      </c>
      <c r="N2171" s="1430">
        <f t="shared" ca="1" si="3204"/>
        <v>0</v>
      </c>
      <c r="O2171" s="1430">
        <f t="shared" ca="1" si="3204"/>
        <v>0</v>
      </c>
      <c r="P2171" s="1430">
        <f t="shared" ca="1" si="3204"/>
        <v>0</v>
      </c>
      <c r="Q2171" s="1430">
        <f t="shared" ca="1" si="3204"/>
        <v>0</v>
      </c>
      <c r="R2171" s="1430">
        <f t="shared" ca="1" si="3204"/>
        <v>0</v>
      </c>
      <c r="S2171" s="1430">
        <f t="shared" ca="1" si="3204"/>
        <v>0</v>
      </c>
      <c r="T2171" s="1430">
        <f t="shared" ca="1" si="3204"/>
        <v>0</v>
      </c>
      <c r="U2171" s="1430">
        <f t="shared" ca="1" si="3204"/>
        <v>0</v>
      </c>
      <c r="V2171" s="1430">
        <f t="shared" ca="1" si="3204"/>
        <v>0</v>
      </c>
      <c r="W2171" s="1430">
        <f t="shared" ca="1" si="3204"/>
        <v>0</v>
      </c>
      <c r="X2171" s="152"/>
      <c r="Y2171" s="152"/>
      <c r="Z2171" s="152"/>
      <c r="AA2171" s="152"/>
      <c r="AB2171" s="152"/>
    </row>
    <row r="2172" spans="1:28">
      <c r="A2172" s="152"/>
      <c r="B2172" s="152"/>
      <c r="C2172" s="1423"/>
      <c r="D2172" s="1423"/>
      <c r="E2172" s="1423"/>
      <c r="F2172" s="1423"/>
      <c r="G2172" s="1423"/>
      <c r="H2172" s="1423"/>
      <c r="I2172" s="1423"/>
      <c r="J2172" s="1423"/>
      <c r="K2172" s="1423"/>
      <c r="L2172" s="1423"/>
      <c r="M2172" s="1423"/>
      <c r="N2172" s="1423"/>
      <c r="O2172" s="1423"/>
      <c r="P2172" s="1423"/>
      <c r="Q2172" s="1423"/>
      <c r="R2172" s="1423"/>
      <c r="S2172" s="1423"/>
      <c r="T2172" s="1423"/>
      <c r="U2172" s="1423"/>
      <c r="V2172" s="1423"/>
      <c r="W2172" s="1423"/>
      <c r="X2172" s="152"/>
      <c r="Y2172" s="152"/>
      <c r="Z2172" s="152"/>
      <c r="AA2172" s="152"/>
      <c r="AB2172" s="152"/>
    </row>
    <row r="2173" spans="1:28">
      <c r="A2173" s="269" t="s">
        <v>107</v>
      </c>
      <c r="B2173" s="270">
        <f>VLOOKUP($A2173,'RFM input'!$E$7:$F$56,2,FALSE)</f>
        <v>0</v>
      </c>
      <c r="C2173" s="1431"/>
      <c r="D2173" s="1431"/>
      <c r="E2173" s="1432"/>
      <c r="F2173" s="1432"/>
      <c r="G2173" s="1432"/>
      <c r="H2173" s="1432"/>
      <c r="I2173" s="1432"/>
      <c r="J2173" s="1432"/>
      <c r="K2173" s="1432"/>
      <c r="L2173" s="1432"/>
      <c r="M2173" s="1432"/>
      <c r="N2173" s="1432"/>
      <c r="O2173" s="1432"/>
      <c r="P2173" s="1432"/>
      <c r="Q2173" s="1432"/>
      <c r="R2173" s="1432"/>
      <c r="S2173" s="1432"/>
      <c r="T2173" s="1432"/>
      <c r="U2173" s="1432"/>
      <c r="V2173" s="1432"/>
      <c r="W2173" s="1432"/>
      <c r="X2173" s="152"/>
      <c r="Y2173" s="152"/>
      <c r="Z2173" s="152"/>
      <c r="AA2173" s="152"/>
      <c r="AB2173" s="152"/>
    </row>
    <row r="2174" spans="1:28">
      <c r="A2174" s="215">
        <f>VALUE(REPLACE(A2173,1,12,""))</f>
        <v>41</v>
      </c>
      <c r="B2174" s="193" t="s">
        <v>126</v>
      </c>
      <c r="C2174" s="1416">
        <f ca="1">IF($C$8='Capital Base roll forward'!$H$4,OFFSET('Capital Base roll forward'!$H$717,'RAB remaining lives'!A2174,0),"enter input")</f>
        <v>0</v>
      </c>
      <c r="D2174" s="1417">
        <f>IF(LEFT(D$6,4)&lt;LEFT('RFM input'!$G$60,4),"enter input",IF(LEFT(D$6,4)&gt;LEFT('RFM input'!$Q$60,4),0,INDEX('RFM input'!$G$61:$Q$110,$A2174,MATCH(D$6,'RFM input'!$G$60:$Q$60,0))
-INDEX('RFM input'!$G$115:$Q$164,$A2174,MATCH(D$6,'RFM input'!$G$60:$Q$60,0))
-INDEX('RFM input'!$G$169:$Q$218,$A2174,MATCH(D$6,'RFM input'!$G$60:$Q$60,0))))</f>
        <v>0</v>
      </c>
      <c r="E2174" s="1417">
        <f>IF(LEFT(E$6,4)&lt;LEFT('RFM input'!$G$60,4),"enter input",IF(LEFT(E$6,4)&gt;LEFT('RFM input'!$Q$60,4),0,INDEX('RFM input'!$G$61:$Q$110,$A2174,MATCH(E$6,'RFM input'!$G$60:$Q$60,0))
-INDEX('RFM input'!$G$115:$Q$164,$A2174,MATCH(E$6,'RFM input'!$G$60:$Q$60,0))
-INDEX('RFM input'!$G$169:$Q$218,$A2174,MATCH(E$6,'RFM input'!$G$60:$Q$60,0))))</f>
        <v>0</v>
      </c>
      <c r="F2174" s="1417">
        <f>IF(LEFT(F$6,4)&lt;LEFT('RFM input'!$G$60,4),"enter input",IF(LEFT(F$6,4)&gt;LEFT('RFM input'!$Q$60,4),0,INDEX('RFM input'!$G$61:$Q$110,$A2174,MATCH(F$6,'RFM input'!$G$60:$Q$60,0))
-INDEX('RFM input'!$G$115:$Q$164,$A2174,MATCH(F$6,'RFM input'!$G$60:$Q$60,0))
-INDEX('RFM input'!$G$169:$Q$218,$A2174,MATCH(F$6,'RFM input'!$G$60:$Q$60,0))))</f>
        <v>0</v>
      </c>
      <c r="G2174" s="1417">
        <f>IF(LEFT(G$6,4)&lt;LEFT('RFM input'!$G$60,4),"enter input",IF(LEFT(G$6,4)&gt;LEFT('RFM input'!$Q$60,4),0,INDEX('RFM input'!$G$61:$Q$110,$A2174,MATCH(G$6,'RFM input'!$G$60:$Q$60,0))
-INDEX('RFM input'!$G$115:$Q$164,$A2174,MATCH(G$6,'RFM input'!$G$60:$Q$60,0))
-INDEX('RFM input'!$G$169:$Q$218,$A2174,MATCH(G$6,'RFM input'!$G$60:$Q$60,0))))</f>
        <v>0</v>
      </c>
      <c r="H2174" s="1417">
        <f>IF(LEFT(H$6,4)&lt;LEFT('RFM input'!$G$60,4),"enter input",IF(LEFT(H$6,4)&gt;LEFT('RFM input'!$Q$60,4),0,INDEX('RFM input'!$G$61:$Q$110,$A2174,MATCH(H$6,'RFM input'!$G$60:$Q$60,0))
-INDEX('RFM input'!$G$115:$Q$164,$A2174,MATCH(H$6,'RFM input'!$G$60:$Q$60,0))
-INDEX('RFM input'!$G$169:$Q$218,$A2174,MATCH(H$6,'RFM input'!$G$60:$Q$60,0))))</f>
        <v>0</v>
      </c>
      <c r="I2174" s="1417">
        <f>IF(LEFT(I$6,4)&lt;LEFT('RFM input'!$G$60,4),"enter input",IF(LEFT(I$6,4)&gt;LEFT('RFM input'!$Q$60,4),0,INDEX('RFM input'!$G$61:$Q$110,$A2174,MATCH(I$6,'RFM input'!$G$60:$Q$60,0))
-INDEX('RFM input'!$G$115:$Q$164,$A2174,MATCH(I$6,'RFM input'!$G$60:$Q$60,0))
-INDEX('RFM input'!$G$169:$Q$218,$A2174,MATCH(I$6,'RFM input'!$G$60:$Q$60,0))))</f>
        <v>0</v>
      </c>
      <c r="J2174" s="1417">
        <f>IF(LEFT(J$6,4)&lt;LEFT('RFM input'!$G$60,4),"enter input",IF(LEFT(J$6,4)&gt;LEFT('RFM input'!$Q$60,4),0,INDEX('RFM input'!$G$61:$Q$110,$A2174,MATCH(J$6,'RFM input'!$G$60:$Q$60,0))
-INDEX('RFM input'!$G$115:$Q$164,$A2174,MATCH(J$6,'RFM input'!$G$60:$Q$60,0))
-INDEX('RFM input'!$G$169:$Q$218,$A2174,MATCH(J$6,'RFM input'!$G$60:$Q$60,0))))</f>
        <v>0</v>
      </c>
      <c r="K2174" s="1417">
        <f>IF(LEFT(K$6,4)&lt;LEFT('RFM input'!$G$60,4),"enter input",IF(LEFT(K$6,4)&gt;LEFT('RFM input'!$Q$60,4),0,INDEX('RFM input'!$G$61:$Q$110,$A2174,MATCH(K$6,'RFM input'!$G$60:$Q$60,0))
-INDEX('RFM input'!$G$115:$Q$164,$A2174,MATCH(K$6,'RFM input'!$G$60:$Q$60,0))
-INDEX('RFM input'!$G$169:$Q$218,$A2174,MATCH(K$6,'RFM input'!$G$60:$Q$60,0))))</f>
        <v>0</v>
      </c>
      <c r="L2174" s="1417">
        <f>IF(LEFT(L$6,4)&lt;LEFT('RFM input'!$G$60,4),"enter input",IF(LEFT(L$6,4)&gt;LEFT('RFM input'!$Q$60,4),0,INDEX('RFM input'!$G$61:$Q$110,$A2174,MATCH(L$6,'RFM input'!$G$60:$Q$60,0))
-INDEX('RFM input'!$G$115:$Q$164,$A2174,MATCH(L$6,'RFM input'!$G$60:$Q$60,0))
-INDEX('RFM input'!$G$169:$Q$218,$A2174,MATCH(L$6,'RFM input'!$G$60:$Q$60,0))))</f>
        <v>0</v>
      </c>
      <c r="M2174" s="1417">
        <f>IF(LEFT(M$6,4)&lt;LEFT('RFM input'!$G$60,4),"enter input",IF(LEFT(M$6,4)&gt;LEFT('RFM input'!$Q$60,4),0,INDEX('RFM input'!$G$61:$Q$110,$A2174,MATCH(M$6,'RFM input'!$G$60:$Q$60,0))
-INDEX('RFM input'!$G$115:$Q$164,$A2174,MATCH(M$6,'RFM input'!$G$60:$Q$60,0))
-INDEX('RFM input'!$G$169:$Q$218,$A2174,MATCH(M$6,'RFM input'!$G$60:$Q$60,0))))</f>
        <v>0</v>
      </c>
      <c r="N2174" s="1417">
        <f>IF(LEFT(N$6,4)&lt;LEFT('RFM input'!$G$60,4),"enter input",IF(LEFT(N$6,4)&gt;LEFT('RFM input'!$Q$60,4),0,INDEX('RFM input'!$G$61:$Q$110,$A2174,MATCH(N$6,'RFM input'!$G$60:$Q$60,0))
-INDEX('RFM input'!$G$115:$Q$164,$A2174,MATCH(N$6,'RFM input'!$G$60:$Q$60,0))
-INDEX('RFM input'!$G$169:$Q$218,$A2174,MATCH(N$6,'RFM input'!$G$60:$Q$60,0))))</f>
        <v>0</v>
      </c>
      <c r="O2174" s="1417">
        <f>IF(LEFT(O$6,4)&lt;LEFT('RFM input'!$G$60,4),"enter input",IF(LEFT(O$6,4)&gt;LEFT('RFM input'!$Q$60,4),0,INDEX('RFM input'!$G$61:$Q$110,$A2174,MATCH(O$6,'RFM input'!$G$60:$Q$60,0))
-INDEX('RFM input'!$G$115:$Q$164,$A2174,MATCH(O$6,'RFM input'!$G$60:$Q$60,0))
-INDEX('RFM input'!$G$169:$Q$218,$A2174,MATCH(O$6,'RFM input'!$G$60:$Q$60,0))))</f>
        <v>0</v>
      </c>
      <c r="P2174" s="1417">
        <f>IF(LEFT(P$6,4)&lt;LEFT('RFM input'!$G$60,4),"enter input",IF(LEFT(P$6,4)&gt;LEFT('RFM input'!$Q$60,4),0,INDEX('RFM input'!$G$61:$Q$110,$A2174,MATCH(P$6,'RFM input'!$G$60:$Q$60,0))
-INDEX('RFM input'!$G$115:$Q$164,$A2174,MATCH(P$6,'RFM input'!$G$60:$Q$60,0))
-INDEX('RFM input'!$G$169:$Q$218,$A2174,MATCH(P$6,'RFM input'!$G$60:$Q$60,0))))</f>
        <v>0</v>
      </c>
      <c r="Q2174" s="1417">
        <f>IF(LEFT(Q$6,4)&lt;LEFT('RFM input'!$G$60,4),"enter input",IF(LEFT(Q$6,4)&gt;LEFT('RFM input'!$Q$60,4),0,INDEX('RFM input'!$G$61:$Q$110,$A2174,MATCH(Q$6,'RFM input'!$G$60:$Q$60,0))
-INDEX('RFM input'!$G$115:$Q$164,$A2174,MATCH(Q$6,'RFM input'!$G$60:$Q$60,0))
-INDEX('RFM input'!$G$169:$Q$218,$A2174,MATCH(Q$6,'RFM input'!$G$60:$Q$60,0))))</f>
        <v>0</v>
      </c>
      <c r="R2174" s="1417">
        <f>IF(LEFT(R$6,4)&lt;LEFT('RFM input'!$G$60,4),"enter input",IF(LEFT(R$6,4)&gt;LEFT('RFM input'!$Q$60,4),0,INDEX('RFM input'!$G$61:$Q$110,$A2174,MATCH(R$6,'RFM input'!$G$60:$Q$60,0))
-INDEX('RFM input'!$G$115:$Q$164,$A2174,MATCH(R$6,'RFM input'!$G$60:$Q$60,0))
-INDEX('RFM input'!$G$169:$Q$218,$A2174,MATCH(R$6,'RFM input'!$G$60:$Q$60,0))))</f>
        <v>0</v>
      </c>
      <c r="S2174" s="1417">
        <f>IF(LEFT(S$6,4)&lt;LEFT('RFM input'!$G$60,4),"enter input",IF(LEFT(S$6,4)&gt;LEFT('RFM input'!$Q$60,4),0,INDEX('RFM input'!$G$61:$Q$110,$A2174,MATCH(S$6,'RFM input'!$G$60:$Q$60,0))
-INDEX('RFM input'!$G$115:$Q$164,$A2174,MATCH(S$6,'RFM input'!$G$60:$Q$60,0))
-INDEX('RFM input'!$G$169:$Q$218,$A2174,MATCH(S$6,'RFM input'!$G$60:$Q$60,0))))</f>
        <v>0</v>
      </c>
      <c r="T2174" s="1417">
        <f>IF(LEFT(T$6,4)&lt;LEFT('RFM input'!$G$60,4),"enter input",IF(LEFT(T$6,4)&gt;LEFT('RFM input'!$Q$60,4),0,INDEX('RFM input'!$G$61:$Q$110,$A2174,MATCH(T$6,'RFM input'!$G$60:$Q$60,0))
-INDEX('RFM input'!$G$115:$Q$164,$A2174,MATCH(T$6,'RFM input'!$G$60:$Q$60,0))
-INDEX('RFM input'!$G$169:$Q$218,$A2174,MATCH(T$6,'RFM input'!$G$60:$Q$60,0))))</f>
        <v>0</v>
      </c>
      <c r="U2174" s="1417">
        <f>IF(LEFT(U$6,4)&lt;LEFT('RFM input'!$G$60,4),"enter input",IF(LEFT(U$6,4)&gt;LEFT('RFM input'!$Q$60,4),0,INDEX('RFM input'!$G$61:$Q$110,$A2174,MATCH(U$6,'RFM input'!$G$60:$Q$60,0))
-INDEX('RFM input'!$G$115:$Q$164,$A2174,MATCH(U$6,'RFM input'!$G$60:$Q$60,0))
-INDEX('RFM input'!$G$169:$Q$218,$A2174,MATCH(U$6,'RFM input'!$G$60:$Q$60,0))))</f>
        <v>0</v>
      </c>
      <c r="V2174" s="1417">
        <f>IF(LEFT(V$6,4)&lt;LEFT('RFM input'!$G$60,4),"enter input",IF(LEFT(V$6,4)&gt;LEFT('RFM input'!$Q$60,4),0,INDEX('RFM input'!$G$61:$Q$110,$A2174,MATCH(V$6,'RFM input'!$G$60:$Q$60,0))
-INDEX('RFM input'!$G$115:$Q$164,$A2174,MATCH(V$6,'RFM input'!$G$60:$Q$60,0))
-INDEX('RFM input'!$G$169:$Q$218,$A2174,MATCH(V$6,'RFM input'!$G$60:$Q$60,0))))</f>
        <v>0</v>
      </c>
      <c r="W2174" s="1417">
        <f>IF(LEFT(W$6,4)&lt;LEFT('RFM input'!$G$60,4),"enter input",IF(LEFT(W$6,4)&gt;LEFT('RFM input'!$Q$60,4),0,INDEX('RFM input'!$G$61:$Q$110,$A2174,MATCH(W$6,'RFM input'!$G$60:$Q$60,0))
-INDEX('RFM input'!$G$115:$Q$164,$A2174,MATCH(W$6,'RFM input'!$G$60:$Q$60,0))
-INDEX('RFM input'!$G$169:$Q$218,$A2174,MATCH(W$6,'RFM input'!$G$60:$Q$60,0))))</f>
        <v>0</v>
      </c>
      <c r="X2174" s="152"/>
      <c r="Y2174" s="152"/>
      <c r="Z2174" s="152"/>
      <c r="AA2174" s="152"/>
      <c r="AB2174" s="152"/>
    </row>
    <row r="2175" spans="1:28">
      <c r="A2175" s="152"/>
      <c r="B2175" s="152" t="s">
        <v>204</v>
      </c>
      <c r="C2175" s="1418">
        <f ca="1">IF($C$8='Capital Base roll forward'!$H$4,OFFSET('RFM input'!$J$6,'RAB remaining lives'!A2174,0),"enter input")</f>
        <v>0</v>
      </c>
      <c r="D2175" s="1417">
        <f>IF(LEFT(D$6,4)&lt;=LEFT('RFM input'!$G$60,4),"enter input",IF(LEFT(D$6,4)&gt;LEFT('RFM input'!$Q$60,4),0,IF(MATCH(D$6,'RFM input'!$H$60:$Q$60,0),INDEX('RFM input'!$K$7:$K$56,$A2174,1))))</f>
        <v>0</v>
      </c>
      <c r="E2175" s="1417">
        <f>IF(LEFT(E$6,4)&lt;=LEFT('RFM input'!$G$60,4),"enter input",IF(LEFT(E$6,4)&gt;LEFT('RFM input'!$Q$60,4),0,IF(MATCH(E$6,'RFM input'!$H$60:$Q$60,0),INDEX('RFM input'!$K$7:$K$56,$A2174,1))))</f>
        <v>0</v>
      </c>
      <c r="F2175" s="1417">
        <f>IF(LEFT(F$6,4)&lt;=LEFT('RFM input'!$G$60,4),"enter input",IF(LEFT(F$6,4)&gt;LEFT('RFM input'!$Q$60,4),0,IF(MATCH(F$6,'RFM input'!$H$60:$Q$60,0),INDEX('RFM input'!$K$7:$K$56,$A2174,1))))</f>
        <v>0</v>
      </c>
      <c r="G2175" s="1417">
        <f>IF(LEFT(G$6,4)&lt;=LEFT('RFM input'!$G$60,4),"enter input",IF(LEFT(G$6,4)&gt;LEFT('RFM input'!$Q$60,4),0,IF(MATCH(G$6,'RFM input'!$H$60:$Q$60,0),INDEX('RFM input'!$K$7:$K$56,$A2174,1))))</f>
        <v>0</v>
      </c>
      <c r="H2175" s="1417">
        <f>IF(LEFT(H$6,4)&lt;=LEFT('RFM input'!$G$60,4),"enter input",IF(LEFT(H$6,4)&gt;LEFT('RFM input'!$Q$60,4),0,IF(MATCH(H$6,'RFM input'!$H$60:$Q$60,0),INDEX('RFM input'!$K$7:$K$56,$A2174,1))))</f>
        <v>0</v>
      </c>
      <c r="I2175" s="1417">
        <f>IF(LEFT(I$6,4)&lt;=LEFT('RFM input'!$G$60,4),"enter input",IF(LEFT(I$6,4)&gt;LEFT('RFM input'!$Q$60,4),0,IF(MATCH(I$6,'RFM input'!$H$60:$Q$60,0),INDEX('RFM input'!$K$7:$K$56,$A2174,1))))</f>
        <v>0</v>
      </c>
      <c r="J2175" s="1417">
        <f>IF(LEFT(J$6,4)&lt;=LEFT('RFM input'!$G$60,4),"enter input",IF(LEFT(J$6,4)&gt;LEFT('RFM input'!$Q$60,4),0,IF(MATCH(J$6,'RFM input'!$H$60:$Q$60,0),INDEX('RFM input'!$K$7:$K$56,$A2174,1))))</f>
        <v>0</v>
      </c>
      <c r="K2175" s="1417">
        <f>IF(LEFT(K$6,4)&lt;=LEFT('RFM input'!$G$60,4),"enter input",IF(LEFT(K$6,4)&gt;LEFT('RFM input'!$Q$60,4),0,IF(MATCH(K$6,'RFM input'!$H$60:$Q$60,0),INDEX('RFM input'!$K$7:$K$56,$A2174,1))))</f>
        <v>0</v>
      </c>
      <c r="L2175" s="1417">
        <f>IF(LEFT(L$6,4)&lt;=LEFT('RFM input'!$G$60,4),"enter input",IF(LEFT(L$6,4)&gt;LEFT('RFM input'!$Q$60,4),0,IF(MATCH(L$6,'RFM input'!$H$60:$Q$60,0),INDEX('RFM input'!$K$7:$K$56,$A2174,1))))</f>
        <v>0</v>
      </c>
      <c r="M2175" s="1417">
        <f>IF(LEFT(M$6,4)&lt;=LEFT('RFM input'!$G$60,4),"enter input",IF(LEFT(M$6,4)&gt;LEFT('RFM input'!$Q$60,4),0,IF(MATCH(M$6,'RFM input'!$H$60:$Q$60,0),INDEX('RFM input'!$K$7:$K$56,$A2174,1))))</f>
        <v>0</v>
      </c>
      <c r="N2175" s="1417">
        <f>IF(LEFT(N$6,4)&lt;=LEFT('RFM input'!$G$60,4),"enter input",IF(LEFT(N$6,4)&gt;LEFT('RFM input'!$Q$60,4),0,IF(MATCH(N$6,'RFM input'!$H$60:$Q$60,0),INDEX('RFM input'!$K$7:$K$56,$A2174,1))))</f>
        <v>0</v>
      </c>
      <c r="O2175" s="1417">
        <f>IF(LEFT(O$6,4)&lt;=LEFT('RFM input'!$G$60,4),"enter input",IF(LEFT(O$6,4)&gt;LEFT('RFM input'!$Q$60,4),0,IF(MATCH(O$6,'RFM input'!$H$60:$Q$60,0),INDEX('RFM input'!$K$7:$K$56,$A2174,1))))</f>
        <v>0</v>
      </c>
      <c r="P2175" s="1417">
        <f>IF(LEFT(P$6,4)&lt;=LEFT('RFM input'!$G$60,4),"enter input",IF(LEFT(P$6,4)&gt;LEFT('RFM input'!$Q$60,4),0,IF(MATCH(P$6,'RFM input'!$H$60:$Q$60,0),INDEX('RFM input'!$K$7:$K$56,$A2174,1))))</f>
        <v>0</v>
      </c>
      <c r="Q2175" s="1417">
        <f>IF(LEFT(Q$6,4)&lt;=LEFT('RFM input'!$G$60,4),"enter input",IF(LEFT(Q$6,4)&gt;LEFT('RFM input'!$Q$60,4),0,IF(MATCH(Q$6,'RFM input'!$H$60:$Q$60,0),INDEX('RFM input'!$K$7:$K$56,$A2174,1))))</f>
        <v>0</v>
      </c>
      <c r="R2175" s="1417">
        <f>IF(LEFT(R$6,4)&lt;=LEFT('RFM input'!$G$60,4),"enter input",IF(LEFT(R$6,4)&gt;LEFT('RFM input'!$Q$60,4),0,IF(MATCH(R$6,'RFM input'!$H$60:$Q$60,0),INDEX('RFM input'!$K$7:$K$56,$A2174,1))))</f>
        <v>0</v>
      </c>
      <c r="S2175" s="1417">
        <f>IF(LEFT(S$6,4)&lt;=LEFT('RFM input'!$G$60,4),"enter input",IF(LEFT(S$6,4)&gt;LEFT('RFM input'!$Q$60,4),0,IF(MATCH(S$6,'RFM input'!$H$60:$Q$60,0),INDEX('RFM input'!$K$7:$K$56,$A2174,1))))</f>
        <v>0</v>
      </c>
      <c r="T2175" s="1417">
        <f>IF(LEFT(T$6,4)&lt;=LEFT('RFM input'!$G$60,4),"enter input",IF(LEFT(T$6,4)&gt;LEFT('RFM input'!$Q$60,4),0,IF(MATCH(T$6,'RFM input'!$H$60:$Q$60,0),INDEX('RFM input'!$K$7:$K$56,$A2174,1))))</f>
        <v>0</v>
      </c>
      <c r="U2175" s="1417">
        <f>IF(LEFT(U$6,4)&lt;=LEFT('RFM input'!$G$60,4),"enter input",IF(LEFT(U$6,4)&gt;LEFT('RFM input'!$Q$60,4),0,IF(MATCH(U$6,'RFM input'!$H$60:$Q$60,0),INDEX('RFM input'!$K$7:$K$56,$A2174,1))))</f>
        <v>0</v>
      </c>
      <c r="V2175" s="1417">
        <f>IF(LEFT(V$6,4)&lt;=LEFT('RFM input'!$G$60,4),"enter input",IF(LEFT(V$6,4)&gt;LEFT('RFM input'!$Q$60,4),0,IF(MATCH(V$6,'RFM input'!$H$60:$Q$60,0),INDEX('RFM input'!$K$7:$K$56,$A2174,1))))</f>
        <v>0</v>
      </c>
      <c r="W2175" s="1417">
        <f>IF(LEFT(W$6,4)&lt;=LEFT('RFM input'!$G$60,4),"enter input",IF(LEFT(W$6,4)&gt;LEFT('RFM input'!$Q$60,4),0,IF(MATCH(W$6,'RFM input'!$H$60:$Q$60,0),INDEX('RFM input'!$K$7:$K$56,$A2174,1))))</f>
        <v>0</v>
      </c>
      <c r="X2175" s="152"/>
      <c r="Y2175" s="152"/>
      <c r="Z2175" s="152"/>
      <c r="AA2175" s="152"/>
      <c r="AB2175" s="152"/>
    </row>
    <row r="2176" spans="1:28">
      <c r="A2176" s="152"/>
      <c r="B2176" s="177" t="s">
        <v>191</v>
      </c>
      <c r="C2176" s="1419"/>
      <c r="D2176" s="1420">
        <f ca="1">IF(LEFT(D$6,4)&lt;=LEFT('RFM input'!$G$60,4),"enter input",IF(LEFT(D$6,4)&gt;LEFT('RFM input'!$Q$60,4),0,IF(D$6=(OFFSET('RFM input'!$G$60,0,'RFM input'!$V$7)),OFFSET('RFM input'!$G$411,$A2174,0),0)))</f>
        <v>0</v>
      </c>
      <c r="E2176" s="1417">
        <f ca="1">IF(LEFT(E$6,4)&lt;=LEFT('RFM input'!$G$60,4),"enter input",IF(LEFT(E$6,4)&gt;LEFT('RFM input'!$Q$60,4),0,IF(E$6=(OFFSET('RFM input'!$G$60,0,'RFM input'!$V$7)),OFFSET('RFM input'!$G$411,$A2174,0),0)))</f>
        <v>0</v>
      </c>
      <c r="F2176" s="1417">
        <f ca="1">IF(LEFT(F$6,4)&lt;=LEFT('RFM input'!$G$60,4),"enter input",IF(LEFT(F$6,4)&gt;LEFT('RFM input'!$Q$60,4),0,IF(F$6=(OFFSET('RFM input'!$G$60,0,'RFM input'!$V$7)),OFFSET('RFM input'!$G$411,$A2174,0),0)))</f>
        <v>0</v>
      </c>
      <c r="G2176" s="1417">
        <f ca="1">IF(LEFT(G$6,4)&lt;=LEFT('RFM input'!$G$60,4),"enter input",IF(LEFT(G$6,4)&gt;LEFT('RFM input'!$Q$60,4),0,IF(G$6=(OFFSET('RFM input'!$G$60,0,'RFM input'!$V$7)),OFFSET('RFM input'!$G$411,$A2174,0),0)))</f>
        <v>0</v>
      </c>
      <c r="H2176" s="1417">
        <f ca="1">IF(LEFT(H$6,4)&lt;=LEFT('RFM input'!$G$60,4),"enter input",IF(LEFT(H$6,4)&gt;LEFT('RFM input'!$Q$60,4),0,IF(H$6=(OFFSET('RFM input'!$G$60,0,'RFM input'!$V$7)),OFFSET('RFM input'!$G$411,$A2174,0),0)))</f>
        <v>0</v>
      </c>
      <c r="I2176" s="1417">
        <f ca="1">IF(LEFT(I$6,4)&lt;=LEFT('RFM input'!$G$60,4),"enter input",IF(LEFT(I$6,4)&gt;LEFT('RFM input'!$Q$60,4),0,IF(I$6=(OFFSET('RFM input'!$G$60,0,'RFM input'!$V$7)),OFFSET('RFM input'!$G$411,$A2174,0),0)))</f>
        <v>0</v>
      </c>
      <c r="J2176" s="1417">
        <f ca="1">IF(LEFT(J$6,4)&lt;=LEFT('RFM input'!$G$60,4),"enter input",IF(LEFT(J$6,4)&gt;LEFT('RFM input'!$Q$60,4),0,IF(J$6=(OFFSET('RFM input'!$G$60,0,'RFM input'!$V$7)),OFFSET('RFM input'!$G$411,$A2174,0),0)))</f>
        <v>0</v>
      </c>
      <c r="K2176" s="1417">
        <f ca="1">IF(LEFT(K$6,4)&lt;=LEFT('RFM input'!$G$60,4),"enter input",IF(LEFT(K$6,4)&gt;LEFT('RFM input'!$Q$60,4),0,IF(K$6=(OFFSET('RFM input'!$G$60,0,'RFM input'!$V$7)),OFFSET('RFM input'!$G$411,$A2174,0),0)))</f>
        <v>0</v>
      </c>
      <c r="L2176" s="1417">
        <f ca="1">IF(LEFT(L$6,4)&lt;=LEFT('RFM input'!$G$60,4),"enter input",IF(LEFT(L$6,4)&gt;LEFT('RFM input'!$Q$60,4),0,IF(L$6=(OFFSET('RFM input'!$G$60,0,'RFM input'!$V$7)),OFFSET('RFM input'!$G$411,$A2174,0),0)))</f>
        <v>0</v>
      </c>
      <c r="M2176" s="1417">
        <f ca="1">IF(LEFT(M$6,4)&lt;=LEFT('RFM input'!$G$60,4),"enter input",IF(LEFT(M$6,4)&gt;LEFT('RFM input'!$Q$60,4),0,IF(M$6=(OFFSET('RFM input'!$G$60,0,'RFM input'!$V$7)),OFFSET('RFM input'!$G$411,$A2174,0),0)))</f>
        <v>0</v>
      </c>
      <c r="N2176" s="1417">
        <f ca="1">IF(LEFT(N$6,4)&lt;=LEFT('RFM input'!$G$60,4),"enter input",IF(LEFT(N$6,4)&gt;LEFT('RFM input'!$Q$60,4),0,IF(N$6=(OFFSET('RFM input'!$G$60,0,'RFM input'!$V$7)),OFFSET('RFM input'!$G$411,$A2174,0),0)))</f>
        <v>0</v>
      </c>
      <c r="O2176" s="1417">
        <f ca="1">IF(LEFT(O$6,4)&lt;=LEFT('RFM input'!$G$60,4),"enter input",IF(LEFT(O$6,4)&gt;LEFT('RFM input'!$Q$60,4),0,IF(O$6=(OFFSET('RFM input'!$G$60,0,'RFM input'!$V$7)),OFFSET('RFM input'!$G$411,$A2174,0),0)))</f>
        <v>0</v>
      </c>
      <c r="P2176" s="1417">
        <f ca="1">IF(LEFT(P$6,4)&lt;=LEFT('RFM input'!$G$60,4),"enter input",IF(LEFT(P$6,4)&gt;LEFT('RFM input'!$Q$60,4),0,IF(P$6=(OFFSET('RFM input'!$G$60,0,'RFM input'!$V$7)),OFFSET('RFM input'!$G$411,$A2174,0),0)))</f>
        <v>0</v>
      </c>
      <c r="Q2176" s="1417">
        <f ca="1">IF(LEFT(Q$6,4)&lt;=LEFT('RFM input'!$G$60,4),"enter input",IF(LEFT(Q$6,4)&gt;LEFT('RFM input'!$Q$60,4),0,IF(Q$6=(OFFSET('RFM input'!$G$60,0,'RFM input'!$V$7)),OFFSET('RFM input'!$G$411,$A2174,0),0)))</f>
        <v>0</v>
      </c>
      <c r="R2176" s="1417">
        <f ca="1">IF(LEFT(R$6,4)&lt;=LEFT('RFM input'!$G$60,4),"enter input",IF(LEFT(R$6,4)&gt;LEFT('RFM input'!$Q$60,4),0,IF(R$6=(OFFSET('RFM input'!$G$60,0,'RFM input'!$V$7)),OFFSET('RFM input'!$G$411,$A2174,0),0)))</f>
        <v>0</v>
      </c>
      <c r="S2176" s="1417">
        <f ca="1">IF(LEFT(S$6,4)&lt;=LEFT('RFM input'!$G$60,4),"enter input",IF(LEFT(S$6,4)&gt;LEFT('RFM input'!$Q$60,4),0,IF(S$6=(OFFSET('RFM input'!$G$60,0,'RFM input'!$V$7)),OFFSET('RFM input'!$G$411,$A2174,0),0)))</f>
        <v>0</v>
      </c>
      <c r="T2176" s="1417">
        <f ca="1">IF(LEFT(T$6,4)&lt;=LEFT('RFM input'!$G$60,4),"enter input",IF(LEFT(T$6,4)&gt;LEFT('RFM input'!$Q$60,4),0,IF(T$6=(OFFSET('RFM input'!$G$60,0,'RFM input'!$V$7)),OFFSET('RFM input'!$G$411,$A2174,0),0)))</f>
        <v>0</v>
      </c>
      <c r="U2176" s="1417">
        <f ca="1">IF(LEFT(U$6,4)&lt;=LEFT('RFM input'!$G$60,4),"enter input",IF(LEFT(U$6,4)&gt;LEFT('RFM input'!$Q$60,4),0,IF(U$6=(OFFSET('RFM input'!$G$60,0,'RFM input'!$V$7)),OFFSET('RFM input'!$G$411,$A2174,0),0)))</f>
        <v>0</v>
      </c>
      <c r="V2176" s="1417">
        <f ca="1">IF(LEFT(V$6,4)&lt;=LEFT('RFM input'!$G$60,4),"enter input",IF(LEFT(V$6,4)&gt;LEFT('RFM input'!$Q$60,4),0,IF(V$6=(OFFSET('RFM input'!$G$60,0,'RFM input'!$V$7)),OFFSET('RFM input'!$G$411,$A2174,0),0)))</f>
        <v>0</v>
      </c>
      <c r="W2176" s="1417">
        <f ca="1">IF(LEFT(W$6,4)&lt;=LEFT('RFM input'!$G$60,4),"enter input",IF(LEFT(W$6,4)&gt;LEFT('RFM input'!$Q$60,4),0,IF(W$6=(OFFSET('RFM input'!$G$60,0,'RFM input'!$V$7)),OFFSET('RFM input'!$G$411,$A2174,0),0)))</f>
        <v>0</v>
      </c>
      <c r="X2176" s="152"/>
      <c r="Y2176" s="152"/>
      <c r="Z2176" s="152"/>
      <c r="AA2176" s="152"/>
      <c r="AB2176" s="152"/>
    </row>
    <row r="2177" spans="1:28">
      <c r="A2177" s="152"/>
      <c r="B2177" s="195" t="s">
        <v>197</v>
      </c>
      <c r="C2177" s="1419"/>
      <c r="D2177" s="1418">
        <f ca="1">IF(LEFT(D$6,4)&lt;=LEFT('RFM input'!$G$60,4),"enter input",IF(LEFT(D$6,4)&gt;LEFT('RFM input'!$Q$60,4),0,IF(D$6=(OFFSET('RFM input'!$G$60,0,'RFM input'!$V$7)),OFFSET('RFM input'!$I$411,$A2174,0),0)))</f>
        <v>0</v>
      </c>
      <c r="E2177" s="1422">
        <f ca="1">IF(LEFT(E$6,4)&lt;=LEFT('RFM input'!$G$60,4),"enter input",IF(LEFT(E$6,4)&gt;LEFT('RFM input'!$Q$60,4),0,IF(E$6=(OFFSET('RFM input'!$G$60,0,'RFM input'!$V$7)),OFFSET('RFM input'!$I$411,$A2174,0),0)))</f>
        <v>0</v>
      </c>
      <c r="F2177" s="1422">
        <f ca="1">IF(LEFT(F$6,4)&lt;=LEFT('RFM input'!$G$60,4),"enter input",IF(LEFT(F$6,4)&gt;LEFT('RFM input'!$Q$60,4),0,IF(F$6=(OFFSET('RFM input'!$G$60,0,'RFM input'!$V$7)),OFFSET('RFM input'!$I$411,$A2174,0),0)))</f>
        <v>0</v>
      </c>
      <c r="G2177" s="1422">
        <f ca="1">IF(LEFT(G$6,4)&lt;=LEFT('RFM input'!$G$60,4),"enter input",IF(LEFT(G$6,4)&gt;LEFT('RFM input'!$Q$60,4),0,IF(G$6=(OFFSET('RFM input'!$G$60,0,'RFM input'!$V$7)),OFFSET('RFM input'!$I$411,$A2174,0),0)))</f>
        <v>0</v>
      </c>
      <c r="H2177" s="1422">
        <f ca="1">IF(LEFT(H$6,4)&lt;=LEFT('RFM input'!$G$60,4),"enter input",IF(LEFT(H$6,4)&gt;LEFT('RFM input'!$Q$60,4),0,IF(H$6=(OFFSET('RFM input'!$G$60,0,'RFM input'!$V$7)),OFFSET('RFM input'!$I$411,$A2174,0),0)))</f>
        <v>0</v>
      </c>
      <c r="I2177" s="1422">
        <f ca="1">IF(LEFT(I$6,4)&lt;=LEFT('RFM input'!$G$60,4),"enter input",IF(LEFT(I$6,4)&gt;LEFT('RFM input'!$Q$60,4),0,IF(I$6=(OFFSET('RFM input'!$G$60,0,'RFM input'!$V$7)),OFFSET('RFM input'!$I$411,$A2174,0),0)))</f>
        <v>0</v>
      </c>
      <c r="J2177" s="1422">
        <f ca="1">IF(LEFT(J$6,4)&lt;=LEFT('RFM input'!$G$60,4),"enter input",IF(LEFT(J$6,4)&gt;LEFT('RFM input'!$Q$60,4),0,IF(J$6=(OFFSET('RFM input'!$G$60,0,'RFM input'!$V$7)),OFFSET('RFM input'!$I$411,$A2174,0),0)))</f>
        <v>0</v>
      </c>
      <c r="K2177" s="1422">
        <f ca="1">IF(LEFT(K$6,4)&lt;=LEFT('RFM input'!$G$60,4),"enter input",IF(LEFT(K$6,4)&gt;LEFT('RFM input'!$Q$60,4),0,IF(K$6=(OFFSET('RFM input'!$G$60,0,'RFM input'!$V$7)),OFFSET('RFM input'!$I$411,$A2174,0),0)))</f>
        <v>0</v>
      </c>
      <c r="L2177" s="1422">
        <f ca="1">IF(LEFT(L$6,4)&lt;=LEFT('RFM input'!$G$60,4),"enter input",IF(LEFT(L$6,4)&gt;LEFT('RFM input'!$Q$60,4),0,IF(L$6=(OFFSET('RFM input'!$G$60,0,'RFM input'!$V$7)),OFFSET('RFM input'!$I$411,$A2174,0),0)))</f>
        <v>0</v>
      </c>
      <c r="M2177" s="1422">
        <f ca="1">IF(LEFT(M$6,4)&lt;=LEFT('RFM input'!$G$60,4),"enter input",IF(LEFT(M$6,4)&gt;LEFT('RFM input'!$Q$60,4),0,IF(M$6=(OFFSET('RFM input'!$G$60,0,'RFM input'!$V$7)),OFFSET('RFM input'!$I$411,$A2174,0),0)))</f>
        <v>0</v>
      </c>
      <c r="N2177" s="1422">
        <f ca="1">IF(LEFT(N$6,4)&lt;=LEFT('RFM input'!$G$60,4),"enter input",IF(LEFT(N$6,4)&gt;LEFT('RFM input'!$Q$60,4),0,IF(N$6=(OFFSET('RFM input'!$G$60,0,'RFM input'!$V$7)),OFFSET('RFM input'!$I$411,$A2174,0),0)))</f>
        <v>0</v>
      </c>
      <c r="O2177" s="1422">
        <f ca="1">IF(LEFT(O$6,4)&lt;=LEFT('RFM input'!$G$60,4),"enter input",IF(LEFT(O$6,4)&gt;LEFT('RFM input'!$Q$60,4),0,IF(O$6=(OFFSET('RFM input'!$G$60,0,'RFM input'!$V$7)),OFFSET('RFM input'!$I$411,$A2174,0),0)))</f>
        <v>0</v>
      </c>
      <c r="P2177" s="1422">
        <f ca="1">IF(LEFT(P$6,4)&lt;=LEFT('RFM input'!$G$60,4),"enter input",IF(LEFT(P$6,4)&gt;LEFT('RFM input'!$Q$60,4),0,IF(P$6=(OFFSET('RFM input'!$G$60,0,'RFM input'!$V$7)),OFFSET('RFM input'!$I$411,$A2174,0),0)))</f>
        <v>0</v>
      </c>
      <c r="Q2177" s="1422">
        <f ca="1">IF(LEFT(Q$6,4)&lt;=LEFT('RFM input'!$G$60,4),"enter input",IF(LEFT(Q$6,4)&gt;LEFT('RFM input'!$Q$60,4),0,IF(Q$6=(OFFSET('RFM input'!$G$60,0,'RFM input'!$V$7)),OFFSET('RFM input'!$I$411,$A2174,0),0)))</f>
        <v>0</v>
      </c>
      <c r="R2177" s="1422">
        <f ca="1">IF(LEFT(R$6,4)&lt;=LEFT('RFM input'!$G$60,4),"enter input",IF(LEFT(R$6,4)&gt;LEFT('RFM input'!$Q$60,4),0,IF(R$6=(OFFSET('RFM input'!$G$60,0,'RFM input'!$V$7)),OFFSET('RFM input'!$I$411,$A2174,0),0)))</f>
        <v>0</v>
      </c>
      <c r="S2177" s="1422">
        <f ca="1">IF(LEFT(S$6,4)&lt;=LEFT('RFM input'!$G$60,4),"enter input",IF(LEFT(S$6,4)&gt;LEFT('RFM input'!$Q$60,4),0,IF(S$6=(OFFSET('RFM input'!$G$60,0,'RFM input'!$V$7)),OFFSET('RFM input'!$I$411,$A2174,0),0)))</f>
        <v>0</v>
      </c>
      <c r="T2177" s="1422">
        <f ca="1">IF(LEFT(T$6,4)&lt;=LEFT('RFM input'!$G$60,4),"enter input",IF(LEFT(T$6,4)&gt;LEFT('RFM input'!$Q$60,4),0,IF(T$6=(OFFSET('RFM input'!$G$60,0,'RFM input'!$V$7)),OFFSET('RFM input'!$I$411,$A2174,0),0)))</f>
        <v>0</v>
      </c>
      <c r="U2177" s="1422">
        <f ca="1">IF(LEFT(U$6,4)&lt;=LEFT('RFM input'!$G$60,4),"enter input",IF(LEFT(U$6,4)&gt;LEFT('RFM input'!$Q$60,4),0,IF(U$6=(OFFSET('RFM input'!$G$60,0,'RFM input'!$V$7)),OFFSET('RFM input'!$I$411,$A2174,0),0)))</f>
        <v>0</v>
      </c>
      <c r="V2177" s="1422">
        <f ca="1">IF(LEFT(V$6,4)&lt;=LEFT('RFM input'!$G$60,4),"enter input",IF(LEFT(V$6,4)&gt;LEFT('RFM input'!$Q$60,4),0,IF(V$6=(OFFSET('RFM input'!$G$60,0,'RFM input'!$V$7)),OFFSET('RFM input'!$I$411,$A2174,0),0)))</f>
        <v>0</v>
      </c>
      <c r="W2177" s="1422">
        <f ca="1">IF(LEFT(W$6,4)&lt;=LEFT('RFM input'!$G$60,4),"enter input",IF(LEFT(W$6,4)&gt;LEFT('RFM input'!$Q$60,4),0,IF(W$6=(OFFSET('RFM input'!$G$60,0,'RFM input'!$V$7)),OFFSET('RFM input'!$I$411,$A2174,0),0)))</f>
        <v>0</v>
      </c>
      <c r="X2177" s="152"/>
      <c r="Y2177" s="152"/>
      <c r="Z2177" s="152"/>
      <c r="AA2177" s="152"/>
      <c r="AB2177" s="152"/>
    </row>
    <row r="2178" spans="1:28" hidden="1" outlineLevel="1">
      <c r="A2178" s="235">
        <v>-1</v>
      </c>
      <c r="B2178" s="190" t="s">
        <v>189</v>
      </c>
      <c r="C2178" s="1423"/>
      <c r="D2178" s="1423">
        <f ca="1">IF(AND(D2176=0,C2178=0),0,
IF(AND(D2176&lt;&gt;0,C2178=0),(D2176/D$10),
IF(AND(D2177&lt;&gt;0,C2178&lt;&gt;0),(C2178-(C2178/C2202))+(D2176/D$10),
IF(C2202&lt;1,0,(C2178-(C2178/C2202))))))</f>
        <v>0</v>
      </c>
      <c r="E2178" s="1423">
        <f t="shared" ref="E2178" ca="1" si="3205">IF(AND(E2176=0,D2178=0),0,
IF(AND(E2176&lt;&gt;0,D2178=0),(E2176/E$10),
IF(AND(E2177&lt;&gt;0,D2178&lt;&gt;0),(D2178-(D2178/D2202))+(E2176/E$10),
IF(D2202&lt;1,0,(D2178-(D2178/D2202))))))</f>
        <v>0</v>
      </c>
      <c r="F2178" s="1423">
        <f t="shared" ref="F2178" ca="1" si="3206">IF(AND(F2176=0,E2178=0),0,
IF(AND(F2176&lt;&gt;0,E2178=0),(F2176/F$10),
IF(AND(F2177&lt;&gt;0,E2178&lt;&gt;0),(E2178-(E2178/E2202))+(F2176/F$10),
IF(E2202&lt;1,0,(E2178-(E2178/E2202))))))</f>
        <v>0</v>
      </c>
      <c r="G2178" s="1423">
        <f t="shared" ref="G2178" ca="1" si="3207">IF(AND(G2176=0,F2178=0),0,
IF(AND(G2176&lt;&gt;0,F2178=0),(G2176/G$10),
IF(AND(G2177&lt;&gt;0,F2178&lt;&gt;0),(F2178-(F2178/F2202))+(G2176/G$10),
IF(F2202&lt;1,0,(F2178-(F2178/F2202))))))</f>
        <v>0</v>
      </c>
      <c r="H2178" s="1423">
        <f t="shared" ref="H2178" ca="1" si="3208">IF(AND(H2176=0,G2178=0),0,
IF(AND(H2176&lt;&gt;0,G2178=0),(H2176/H$10),
IF(AND(H2177&lt;&gt;0,G2178&lt;&gt;0),(G2178-(G2178/G2202))+(H2176/H$10),
IF(G2202&lt;1,0,(G2178-(G2178/G2202))))))</f>
        <v>0</v>
      </c>
      <c r="I2178" s="1423">
        <f t="shared" ref="I2178" ca="1" si="3209">IF(AND(I2176=0,H2178=0),0,
IF(AND(I2176&lt;&gt;0,H2178=0),(I2176/I$10),
IF(AND(I2177&lt;&gt;0,H2178&lt;&gt;0),(H2178-(H2178/H2202))+(I2176/I$10),
IF(H2202&lt;1,0,(H2178-(H2178/H2202))))))</f>
        <v>0</v>
      </c>
      <c r="J2178" s="1423">
        <f t="shared" ref="J2178" ca="1" si="3210">IF(AND(J2176=0,I2178=0),0,
IF(AND(J2176&lt;&gt;0,I2178=0),(J2176/J$10),
IF(AND(J2177&lt;&gt;0,I2178&lt;&gt;0),(I2178-(I2178/I2202))+(J2176/J$10),
IF(I2202&lt;1,0,(I2178-(I2178/I2202))))))</f>
        <v>0</v>
      </c>
      <c r="K2178" s="1423">
        <f t="shared" ref="K2178" ca="1" si="3211">IF(AND(K2176=0,J2178=0),0,
IF(AND(K2176&lt;&gt;0,J2178=0),(K2176/K$10),
IF(AND(K2177&lt;&gt;0,J2178&lt;&gt;0),(J2178-(J2178/J2202))+(K2176/K$10),
IF(J2202&lt;1,0,(J2178-(J2178/J2202))))))</f>
        <v>0</v>
      </c>
      <c r="L2178" s="1423">
        <f t="shared" ref="L2178" ca="1" si="3212">IF(AND(L2176=0,K2178=0),0,
IF(AND(L2176&lt;&gt;0,K2178=0),(L2176/L$10),
IF(AND(L2177&lt;&gt;0,K2178&lt;&gt;0),(K2178-(K2178/K2202))+(L2176/L$10),
IF(K2202&lt;1,0,(K2178-(K2178/K2202))))))</f>
        <v>0</v>
      </c>
      <c r="M2178" s="1423">
        <f t="shared" ref="M2178" ca="1" si="3213">IF(AND(M2176=0,L2178=0),0,
IF(AND(M2176&lt;&gt;0,L2178=0),(M2176/M$10),
IF(AND(M2177&lt;&gt;0,L2178&lt;&gt;0),(L2178-(L2178/L2202))+(M2176/M$10),
IF(L2202&lt;1,0,(L2178-(L2178/L2202))))))</f>
        <v>0</v>
      </c>
      <c r="N2178" s="1423">
        <f t="shared" ref="N2178" ca="1" si="3214">IF(AND(N2176=0,M2178=0),0,
IF(AND(N2176&lt;&gt;0,M2178=0),(N2176/N$10),
IF(AND(N2177&lt;&gt;0,M2178&lt;&gt;0),(M2178-(M2178/M2202))+(N2176/N$10),
IF(M2202&lt;1,0,(M2178-(M2178/M2202))))))</f>
        <v>0</v>
      </c>
      <c r="O2178" s="1423">
        <f t="shared" ref="O2178" ca="1" si="3215">IF(AND(O2176=0,N2178=0),0,
IF(AND(O2176&lt;&gt;0,N2178=0),(O2176/O$10),
IF(AND(O2177&lt;&gt;0,N2178&lt;&gt;0),(N2178-(N2178/N2202))+(O2176/O$10),
IF(N2202&lt;1,0,(N2178-(N2178/N2202))))))</f>
        <v>0</v>
      </c>
      <c r="P2178" s="1423">
        <f t="shared" ref="P2178" ca="1" si="3216">IF(AND(P2176=0,O2178=0),0,
IF(AND(P2176&lt;&gt;0,O2178=0),(P2176/P$10),
IF(AND(P2177&lt;&gt;0,O2178&lt;&gt;0),(O2178-(O2178/O2202))+(P2176/P$10),
IF(O2202&lt;1,0,(O2178-(O2178/O2202))))))</f>
        <v>0</v>
      </c>
      <c r="Q2178" s="1423">
        <f t="shared" ref="Q2178" ca="1" si="3217">IF(AND(Q2176=0,P2178=0),0,
IF(AND(Q2176&lt;&gt;0,P2178=0),(Q2176/Q$10),
IF(AND(Q2177&lt;&gt;0,P2178&lt;&gt;0),(P2178-(P2178/P2202))+(Q2176/Q$10),
IF(P2202&lt;1,0,(P2178-(P2178/P2202))))))</f>
        <v>0</v>
      </c>
      <c r="R2178" s="1423">
        <f t="shared" ref="R2178" ca="1" si="3218">IF(AND(R2176=0,Q2178=0),0,
IF(AND(R2176&lt;&gt;0,Q2178=0),(R2176/R$10),
IF(AND(R2177&lt;&gt;0,Q2178&lt;&gt;0),(Q2178-(Q2178/Q2202))+(R2176/R$10),
IF(Q2202&lt;1,0,(Q2178-(Q2178/Q2202))))))</f>
        <v>0</v>
      </c>
      <c r="S2178" s="1423">
        <f t="shared" ref="S2178" ca="1" si="3219">IF(AND(S2176=0,R2178=0),0,
IF(AND(S2176&lt;&gt;0,R2178=0),(S2176/S$10),
IF(AND(S2177&lt;&gt;0,R2178&lt;&gt;0),(R2178-(R2178/R2202))+(S2176/S$10),
IF(R2202&lt;1,0,(R2178-(R2178/R2202))))))</f>
        <v>0</v>
      </c>
      <c r="T2178" s="1423">
        <f t="shared" ref="T2178" ca="1" si="3220">IF(AND(T2176=0,S2178=0),0,
IF(AND(T2176&lt;&gt;0,S2178=0),(T2176/T$10),
IF(AND(T2177&lt;&gt;0,S2178&lt;&gt;0),(S2178-(S2178/S2202))+(T2176/T$10),
IF(S2202&lt;1,0,(S2178-(S2178/S2202))))))</f>
        <v>0</v>
      </c>
      <c r="U2178" s="1423">
        <f t="shared" ref="U2178" ca="1" si="3221">IF(AND(U2176=0,T2178=0),0,
IF(AND(U2176&lt;&gt;0,T2178=0),(U2176/U$10),
IF(AND(U2177&lt;&gt;0,T2178&lt;&gt;0),(T2178-(T2178/T2202))+(U2176/U$10),
IF(T2202&lt;1,0,(T2178-(T2178/T2202))))))</f>
        <v>0</v>
      </c>
      <c r="V2178" s="1423">
        <f t="shared" ref="V2178" ca="1" si="3222">IF(AND(V2176=0,U2178=0),0,
IF(AND(V2176&lt;&gt;0,U2178=0),(V2176/V$10),
IF(AND(V2177&lt;&gt;0,U2178&lt;&gt;0),(U2178-(U2178/U2202))+(V2176/V$10),
IF(U2202&lt;1,0,(U2178-(U2178/U2202))))))</f>
        <v>0</v>
      </c>
      <c r="W2178" s="1423">
        <f t="shared" ref="W2178" ca="1" si="3223">IF(AND(W2176=0,V2178=0),0,
IF(AND(W2176&lt;&gt;0,V2178=0),(W2176/W$10),
IF(AND(W2177&lt;&gt;0,V2178&lt;&gt;0),(V2178-(V2178/V2202))+(W2176/W$10),
IF(V2202&lt;1,0,(V2178-(V2178/V2202))))))</f>
        <v>0</v>
      </c>
      <c r="X2178" s="152"/>
      <c r="Y2178" s="152"/>
      <c r="Z2178" s="152"/>
      <c r="AA2178" s="152"/>
      <c r="AB2178" s="152"/>
    </row>
    <row r="2179" spans="1:28" hidden="1" outlineLevel="1">
      <c r="A2179" s="199">
        <f>A2178+1</f>
        <v>0</v>
      </c>
      <c r="B2179" s="190" t="s">
        <v>125</v>
      </c>
      <c r="C2179" s="1423">
        <f ca="1">C2174/C$10</f>
        <v>0</v>
      </c>
      <c r="D2179" s="1423">
        <f ca="1">IF(C2203="n/a",C2179,IFERROR(IF((OFFSET($C2179,0,$A2179))&lt;0,
MIN(0,C2179-(OFFSET($C2179,0,$A2179)/(OFFSET($C2174,-$A2178,$A2179)))),
MAX(0,C2179-(OFFSET($C2179,0,$A2179)/(OFFSET($C2174,-$A2178,$A2179))))),0))</f>
        <v>0</v>
      </c>
      <c r="E2179" s="1423">
        <f t="shared" ref="E2179" ca="1" si="3224">IF(D2203="n/a",D2179,IFERROR(IF((OFFSET($C2179,0,$A2179))&lt;0,
MIN(0,D2179-(OFFSET($C2179,0,$A2179)/(OFFSET($C2174,-$A2178,$A2179)))),
MAX(0,D2179-(OFFSET($C2179,0,$A2179)/(OFFSET($C2174,-$A2178,$A2179))))),0))</f>
        <v>0</v>
      </c>
      <c r="F2179" s="1423">
        <f t="shared" ref="F2179:F2180" ca="1" si="3225">IF(E2203="n/a",E2179,IFERROR(IF((OFFSET($C2179,0,$A2179))&lt;0,
MIN(0,E2179-(OFFSET($C2179,0,$A2179)/(OFFSET($C2174,-$A2178,$A2179)))),
MAX(0,E2179-(OFFSET($C2179,0,$A2179)/(OFFSET($C2174,-$A2178,$A2179))))),0))</f>
        <v>0</v>
      </c>
      <c r="G2179" s="1423">
        <f t="shared" ref="G2179:G2181" ca="1" si="3226">IF(F2203="n/a",F2179,IFERROR(IF((OFFSET($C2179,0,$A2179))&lt;0,
MIN(0,F2179-(OFFSET($C2179,0,$A2179)/(OFFSET($C2174,-$A2178,$A2179)))),
MAX(0,F2179-(OFFSET($C2179,0,$A2179)/(OFFSET($C2174,-$A2178,$A2179))))),0))</f>
        <v>0</v>
      </c>
      <c r="H2179" s="1423">
        <f t="shared" ref="H2179:H2182" ca="1" si="3227">IF(G2203="n/a",G2179,IFERROR(IF((OFFSET($C2179,0,$A2179))&lt;0,
MIN(0,G2179-(OFFSET($C2179,0,$A2179)/(OFFSET($C2174,-$A2178,$A2179)))),
MAX(0,G2179-(OFFSET($C2179,0,$A2179)/(OFFSET($C2174,-$A2178,$A2179))))),0))</f>
        <v>0</v>
      </c>
      <c r="I2179" s="1423">
        <f t="shared" ref="I2179:I2183" ca="1" si="3228">IF(H2203="n/a",H2179,IFERROR(IF((OFFSET($C2179,0,$A2179))&lt;0,
MIN(0,H2179-(OFFSET($C2179,0,$A2179)/(OFFSET($C2174,-$A2178,$A2179)))),
MAX(0,H2179-(OFFSET($C2179,0,$A2179)/(OFFSET($C2174,-$A2178,$A2179))))),0))</f>
        <v>0</v>
      </c>
      <c r="J2179" s="1423">
        <f t="shared" ref="J2179:J2184" ca="1" si="3229">IF(I2203="n/a",I2179,IFERROR(IF((OFFSET($C2179,0,$A2179))&lt;0,
MIN(0,I2179-(OFFSET($C2179,0,$A2179)/(OFFSET($C2174,-$A2178,$A2179)))),
MAX(0,I2179-(OFFSET($C2179,0,$A2179)/(OFFSET($C2174,-$A2178,$A2179))))),0))</f>
        <v>0</v>
      </c>
      <c r="K2179" s="1423">
        <f t="shared" ref="K2179:K2185" ca="1" si="3230">IF(J2203="n/a",J2179,IFERROR(IF((OFFSET($C2179,0,$A2179))&lt;0,
MIN(0,J2179-(OFFSET($C2179,0,$A2179)/(OFFSET($C2174,-$A2178,$A2179)))),
MAX(0,J2179-(OFFSET($C2179,0,$A2179)/(OFFSET($C2174,-$A2178,$A2179))))),0))</f>
        <v>0</v>
      </c>
      <c r="L2179" s="1423">
        <f t="shared" ref="L2179:L2186" ca="1" si="3231">IF(K2203="n/a",K2179,IFERROR(IF((OFFSET($C2179,0,$A2179))&lt;0,
MIN(0,K2179-(OFFSET($C2179,0,$A2179)/(OFFSET($C2174,-$A2178,$A2179)))),
MAX(0,K2179-(OFFSET($C2179,0,$A2179)/(OFFSET($C2174,-$A2178,$A2179))))),0))</f>
        <v>0</v>
      </c>
      <c r="M2179" s="1423">
        <f t="shared" ref="M2179:M2187" ca="1" si="3232">IF(L2203="n/a",L2179,IFERROR(IF((OFFSET($C2179,0,$A2179))&lt;0,
MIN(0,L2179-(OFFSET($C2179,0,$A2179)/(OFFSET($C2174,-$A2178,$A2179)))),
MAX(0,L2179-(OFFSET($C2179,0,$A2179)/(OFFSET($C2174,-$A2178,$A2179))))),0))</f>
        <v>0</v>
      </c>
      <c r="N2179" s="1423">
        <f t="shared" ref="N2179:N2188" ca="1" si="3233">IF(M2203="n/a",M2179,IFERROR(IF((OFFSET($C2179,0,$A2179))&lt;0,
MIN(0,M2179-(OFFSET($C2179,0,$A2179)/(OFFSET($C2174,-$A2178,$A2179)))),
MAX(0,M2179-(OFFSET($C2179,0,$A2179)/(OFFSET($C2174,-$A2178,$A2179))))),0))</f>
        <v>0</v>
      </c>
      <c r="O2179" s="1423">
        <f t="shared" ref="O2179:O2189" ca="1" si="3234">IF(N2203="n/a",N2179,IFERROR(IF((OFFSET($C2179,0,$A2179))&lt;0,
MIN(0,N2179-(OFFSET($C2179,0,$A2179)/(OFFSET($C2174,-$A2178,$A2179)))),
MAX(0,N2179-(OFFSET($C2179,0,$A2179)/(OFFSET($C2174,-$A2178,$A2179))))),0))</f>
        <v>0</v>
      </c>
      <c r="P2179" s="1423">
        <f t="shared" ref="P2179:P2190" ca="1" si="3235">IF(O2203="n/a",O2179,IFERROR(IF((OFFSET($C2179,0,$A2179))&lt;0,
MIN(0,O2179-(OFFSET($C2179,0,$A2179)/(OFFSET($C2174,-$A2178,$A2179)))),
MAX(0,O2179-(OFFSET($C2179,0,$A2179)/(OFFSET($C2174,-$A2178,$A2179))))),0))</f>
        <v>0</v>
      </c>
      <c r="Q2179" s="1423">
        <f t="shared" ref="Q2179:Q2191" ca="1" si="3236">IF(P2203="n/a",P2179,IFERROR(IF((OFFSET($C2179,0,$A2179))&lt;0,
MIN(0,P2179-(OFFSET($C2179,0,$A2179)/(OFFSET($C2174,-$A2178,$A2179)))),
MAX(0,P2179-(OFFSET($C2179,0,$A2179)/(OFFSET($C2174,-$A2178,$A2179))))),0))</f>
        <v>0</v>
      </c>
      <c r="R2179" s="1423">
        <f t="shared" ref="R2179:R2192" ca="1" si="3237">IF(Q2203="n/a",Q2179,IFERROR(IF((OFFSET($C2179,0,$A2179))&lt;0,
MIN(0,Q2179-(OFFSET($C2179,0,$A2179)/(OFFSET($C2174,-$A2178,$A2179)))),
MAX(0,Q2179-(OFFSET($C2179,0,$A2179)/(OFFSET($C2174,-$A2178,$A2179))))),0))</f>
        <v>0</v>
      </c>
      <c r="S2179" s="1423">
        <f t="shared" ref="S2179:S2193" ca="1" si="3238">IF(R2203="n/a",R2179,IFERROR(IF((OFFSET($C2179,0,$A2179))&lt;0,
MIN(0,R2179-(OFFSET($C2179,0,$A2179)/(OFFSET($C2174,-$A2178,$A2179)))),
MAX(0,R2179-(OFFSET($C2179,0,$A2179)/(OFFSET($C2174,-$A2178,$A2179))))),0))</f>
        <v>0</v>
      </c>
      <c r="T2179" s="1423">
        <f t="shared" ref="T2179:T2194" ca="1" si="3239">IF(S2203="n/a",S2179,IFERROR(IF((OFFSET($C2179,0,$A2179))&lt;0,
MIN(0,S2179-(OFFSET($C2179,0,$A2179)/(OFFSET($C2174,-$A2178,$A2179)))),
MAX(0,S2179-(OFFSET($C2179,0,$A2179)/(OFFSET($C2174,-$A2178,$A2179))))),0))</f>
        <v>0</v>
      </c>
      <c r="U2179" s="1423">
        <f t="shared" ref="U2179:U2195" ca="1" si="3240">IF(T2203="n/a",T2179,IFERROR(IF((OFFSET($C2179,0,$A2179))&lt;0,
MIN(0,T2179-(OFFSET($C2179,0,$A2179)/(OFFSET($C2174,-$A2178,$A2179)))),
MAX(0,T2179-(OFFSET($C2179,0,$A2179)/(OFFSET($C2174,-$A2178,$A2179))))),0))</f>
        <v>0</v>
      </c>
      <c r="V2179" s="1423">
        <f t="shared" ref="V2179:V2196" ca="1" si="3241">IF(U2203="n/a",U2179,IFERROR(IF((OFFSET($C2179,0,$A2179))&lt;0,
MIN(0,U2179-(OFFSET($C2179,0,$A2179)/(OFFSET($C2174,-$A2178,$A2179)))),
MAX(0,U2179-(OFFSET($C2179,0,$A2179)/(OFFSET($C2174,-$A2178,$A2179))))),0))</f>
        <v>0</v>
      </c>
      <c r="W2179" s="1423">
        <f t="shared" ref="W2179:W2197" ca="1" si="3242">IF(V2203="n/a",V2179,IFERROR(IF((OFFSET($C2179,0,$A2179))&lt;0,
MIN(0,V2179-(OFFSET($C2179,0,$A2179)/(OFFSET($C2174,-$A2178,$A2179)))),
MAX(0,V2179-(OFFSET($C2179,0,$A2179)/(OFFSET($C2174,-$A2178,$A2179))))),0))</f>
        <v>0</v>
      </c>
      <c r="X2179" s="152"/>
      <c r="Y2179" s="152"/>
      <c r="Z2179" s="152"/>
      <c r="AA2179" s="152"/>
      <c r="AB2179" s="152"/>
    </row>
    <row r="2180" spans="1:28" hidden="1" outlineLevel="1">
      <c r="A2180" s="199">
        <f t="shared" ref="A2180:A2199" si="3243">A2179+1</f>
        <v>1</v>
      </c>
      <c r="B2180" s="190" t="str">
        <f t="shared" ref="B2180:B2198" ca="1" si="3244">"Depreciated Net Capex "&amp;OFFSET($C$6,0,A2180)</f>
        <v>Depreciated Net Capex 2016-17</v>
      </c>
      <c r="C2180" s="1424"/>
      <c r="D2180" s="1425">
        <f>(D2174*((1+D$11)^0.5)/D$10)</f>
        <v>0</v>
      </c>
      <c r="E2180" s="1423">
        <f ca="1">IF(D2204="n/a",D2180,IFERROR(IF((OFFSET($C2180,0,$A2180))&lt;0,
MIN(0,D2180-(OFFSET($C2180,0,$A2180)/(OFFSET($C2175,-$A2179,$A2180)))),
MAX(0,D2180-(OFFSET($C2180,0,$A2180)/(OFFSET($C2175,-$A2179,$A2180))))),0))</f>
        <v>0</v>
      </c>
      <c r="F2180" s="1423">
        <f t="shared" ca="1" si="3225"/>
        <v>0</v>
      </c>
      <c r="G2180" s="1423">
        <f t="shared" ca="1" si="3226"/>
        <v>0</v>
      </c>
      <c r="H2180" s="1423">
        <f t="shared" ca="1" si="3227"/>
        <v>0</v>
      </c>
      <c r="I2180" s="1423">
        <f t="shared" ca="1" si="3228"/>
        <v>0</v>
      </c>
      <c r="J2180" s="1423">
        <f t="shared" ca="1" si="3229"/>
        <v>0</v>
      </c>
      <c r="K2180" s="1423">
        <f t="shared" ca="1" si="3230"/>
        <v>0</v>
      </c>
      <c r="L2180" s="1423">
        <f t="shared" ca="1" si="3231"/>
        <v>0</v>
      </c>
      <c r="M2180" s="1423">
        <f t="shared" ca="1" si="3232"/>
        <v>0</v>
      </c>
      <c r="N2180" s="1423">
        <f t="shared" ca="1" si="3233"/>
        <v>0</v>
      </c>
      <c r="O2180" s="1423">
        <f t="shared" ca="1" si="3234"/>
        <v>0</v>
      </c>
      <c r="P2180" s="1423">
        <f t="shared" ca="1" si="3235"/>
        <v>0</v>
      </c>
      <c r="Q2180" s="1423">
        <f t="shared" ca="1" si="3236"/>
        <v>0</v>
      </c>
      <c r="R2180" s="1423">
        <f t="shared" ca="1" si="3237"/>
        <v>0</v>
      </c>
      <c r="S2180" s="1423">
        <f t="shared" ca="1" si="3238"/>
        <v>0</v>
      </c>
      <c r="T2180" s="1423">
        <f t="shared" ca="1" si="3239"/>
        <v>0</v>
      </c>
      <c r="U2180" s="1423">
        <f t="shared" ca="1" si="3240"/>
        <v>0</v>
      </c>
      <c r="V2180" s="1423">
        <f t="shared" ca="1" si="3241"/>
        <v>0</v>
      </c>
      <c r="W2180" s="1423">
        <f t="shared" ca="1" si="3242"/>
        <v>0</v>
      </c>
      <c r="X2180" s="152"/>
      <c r="Y2180" s="152"/>
      <c r="Z2180" s="152"/>
      <c r="AA2180" s="152"/>
      <c r="AB2180" s="152"/>
    </row>
    <row r="2181" spans="1:28" hidden="1" outlineLevel="1">
      <c r="A2181" s="199">
        <f t="shared" si="3243"/>
        <v>2</v>
      </c>
      <c r="B2181" s="190" t="str">
        <f t="shared" ca="1" si="3244"/>
        <v>Depreciated Net Capex 2017-18</v>
      </c>
      <c r="C2181" s="1426"/>
      <c r="D2181" s="1427"/>
      <c r="E2181" s="1425">
        <f>(E2174*((1+E$11)^0.5)/E$10)</f>
        <v>0</v>
      </c>
      <c r="F2181" s="1423">
        <f ca="1">IF(E2205="n/a",E2181,IFERROR(IF((OFFSET($C2181,0,$A2181))&lt;0,
MIN(0,E2181-(OFFSET($C2181,0,$A2181)/(OFFSET($C2176,-$A2180,$A2181)))),
MAX(0,E2181-(OFFSET($C2181,0,$A2181)/(OFFSET($C2176,-$A2180,$A2181))))),0))</f>
        <v>0</v>
      </c>
      <c r="G2181" s="1423">
        <f t="shared" ca="1" si="3226"/>
        <v>0</v>
      </c>
      <c r="H2181" s="1423">
        <f t="shared" ca="1" si="3227"/>
        <v>0</v>
      </c>
      <c r="I2181" s="1423">
        <f t="shared" ca="1" si="3228"/>
        <v>0</v>
      </c>
      <c r="J2181" s="1423">
        <f t="shared" ca="1" si="3229"/>
        <v>0</v>
      </c>
      <c r="K2181" s="1423">
        <f t="shared" ca="1" si="3230"/>
        <v>0</v>
      </c>
      <c r="L2181" s="1423">
        <f t="shared" ca="1" si="3231"/>
        <v>0</v>
      </c>
      <c r="M2181" s="1423">
        <f t="shared" ca="1" si="3232"/>
        <v>0</v>
      </c>
      <c r="N2181" s="1423">
        <f t="shared" ca="1" si="3233"/>
        <v>0</v>
      </c>
      <c r="O2181" s="1423">
        <f t="shared" ca="1" si="3234"/>
        <v>0</v>
      </c>
      <c r="P2181" s="1423">
        <f t="shared" ca="1" si="3235"/>
        <v>0</v>
      </c>
      <c r="Q2181" s="1423">
        <f t="shared" ca="1" si="3236"/>
        <v>0</v>
      </c>
      <c r="R2181" s="1423">
        <f t="shared" ca="1" si="3237"/>
        <v>0</v>
      </c>
      <c r="S2181" s="1423">
        <f t="shared" ca="1" si="3238"/>
        <v>0</v>
      </c>
      <c r="T2181" s="1423">
        <f t="shared" ca="1" si="3239"/>
        <v>0</v>
      </c>
      <c r="U2181" s="1423">
        <f t="shared" ca="1" si="3240"/>
        <v>0</v>
      </c>
      <c r="V2181" s="1423">
        <f t="shared" ca="1" si="3241"/>
        <v>0</v>
      </c>
      <c r="W2181" s="1423">
        <f t="shared" ca="1" si="3242"/>
        <v>0</v>
      </c>
      <c r="X2181" s="202"/>
      <c r="Y2181" s="152"/>
      <c r="Z2181" s="152"/>
      <c r="AA2181" s="152"/>
      <c r="AB2181" s="152"/>
    </row>
    <row r="2182" spans="1:28" hidden="1" outlineLevel="1">
      <c r="A2182" s="199">
        <f t="shared" si="3243"/>
        <v>3</v>
      </c>
      <c r="B2182" s="190" t="str">
        <f t="shared" ca="1" si="3244"/>
        <v>Depreciated Net Capex 2018-19</v>
      </c>
      <c r="C2182" s="1426"/>
      <c r="D2182" s="1426"/>
      <c r="E2182" s="1427"/>
      <c r="F2182" s="1428">
        <f>($F2174*((1+F$11)^0.5)/F$10)</f>
        <v>0</v>
      </c>
      <c r="G2182" s="1423">
        <f ca="1">IF(F2206="n/a",F2182,IFERROR(IF((OFFSET($C2182,0,$A2182))&lt;0,
MIN(0,F2182-(OFFSET($C2182,0,$A2182)/(OFFSET($C2177,-$A2181,$A2182)))),
MAX(0,F2182-(OFFSET($C2182,0,$A2182)/(OFFSET($C2177,-$A2181,$A2182))))),0))</f>
        <v>0</v>
      </c>
      <c r="H2182" s="1423">
        <f t="shared" ca="1" si="3227"/>
        <v>0</v>
      </c>
      <c r="I2182" s="1423">
        <f t="shared" ca="1" si="3228"/>
        <v>0</v>
      </c>
      <c r="J2182" s="1423">
        <f t="shared" ca="1" si="3229"/>
        <v>0</v>
      </c>
      <c r="K2182" s="1423">
        <f t="shared" ca="1" si="3230"/>
        <v>0</v>
      </c>
      <c r="L2182" s="1423">
        <f t="shared" ca="1" si="3231"/>
        <v>0</v>
      </c>
      <c r="M2182" s="1423">
        <f t="shared" ca="1" si="3232"/>
        <v>0</v>
      </c>
      <c r="N2182" s="1423">
        <f t="shared" ca="1" si="3233"/>
        <v>0</v>
      </c>
      <c r="O2182" s="1423">
        <f t="shared" ca="1" si="3234"/>
        <v>0</v>
      </c>
      <c r="P2182" s="1423">
        <f t="shared" ca="1" si="3235"/>
        <v>0</v>
      </c>
      <c r="Q2182" s="1423">
        <f t="shared" ca="1" si="3236"/>
        <v>0</v>
      </c>
      <c r="R2182" s="1423">
        <f t="shared" ca="1" si="3237"/>
        <v>0</v>
      </c>
      <c r="S2182" s="1423">
        <f t="shared" ca="1" si="3238"/>
        <v>0</v>
      </c>
      <c r="T2182" s="1423">
        <f t="shared" ca="1" si="3239"/>
        <v>0</v>
      </c>
      <c r="U2182" s="1423">
        <f t="shared" ca="1" si="3240"/>
        <v>0</v>
      </c>
      <c r="V2182" s="1423">
        <f t="shared" ca="1" si="3241"/>
        <v>0</v>
      </c>
      <c r="W2182" s="1423">
        <f t="shared" ca="1" si="3242"/>
        <v>0</v>
      </c>
      <c r="X2182" s="202"/>
      <c r="Y2182" s="202"/>
      <c r="Z2182" s="152"/>
      <c r="AA2182" s="152"/>
      <c r="AB2182" s="152"/>
    </row>
    <row r="2183" spans="1:28" hidden="1" outlineLevel="1">
      <c r="A2183" s="199">
        <f t="shared" si="3243"/>
        <v>4</v>
      </c>
      <c r="B2183" s="190" t="str">
        <f t="shared" ca="1" si="3244"/>
        <v>Depreciated Net Capex 2019-20</v>
      </c>
      <c r="C2183" s="1426"/>
      <c r="D2183" s="1426"/>
      <c r="E2183" s="1426"/>
      <c r="F2183" s="1427"/>
      <c r="G2183" s="1428">
        <f>($G2174*((1+G$11)^0.5)/G$10)</f>
        <v>0</v>
      </c>
      <c r="H2183" s="1423">
        <f ca="1">IF(G2207="n/a",G2183,IFERROR(IF((OFFSET($C2183,0,$A2183))&lt;0,
MIN(0,G2183-(OFFSET($C2183,0,$A2183)/(OFFSET($C2178,-$A2182,$A2183)))),
MAX(0,G2183-(OFFSET($C2183,0,$A2183)/(OFFSET($C2178,-$A2182,$A2183))))),0))</f>
        <v>0</v>
      </c>
      <c r="I2183" s="1423">
        <f t="shared" ca="1" si="3228"/>
        <v>0</v>
      </c>
      <c r="J2183" s="1423">
        <f t="shared" ca="1" si="3229"/>
        <v>0</v>
      </c>
      <c r="K2183" s="1423">
        <f t="shared" ca="1" si="3230"/>
        <v>0</v>
      </c>
      <c r="L2183" s="1423">
        <f t="shared" ca="1" si="3231"/>
        <v>0</v>
      </c>
      <c r="M2183" s="1423">
        <f t="shared" ca="1" si="3232"/>
        <v>0</v>
      </c>
      <c r="N2183" s="1423">
        <f t="shared" ca="1" si="3233"/>
        <v>0</v>
      </c>
      <c r="O2183" s="1423">
        <f t="shared" ca="1" si="3234"/>
        <v>0</v>
      </c>
      <c r="P2183" s="1423">
        <f t="shared" ca="1" si="3235"/>
        <v>0</v>
      </c>
      <c r="Q2183" s="1423">
        <f t="shared" ca="1" si="3236"/>
        <v>0</v>
      </c>
      <c r="R2183" s="1423">
        <f t="shared" ca="1" si="3237"/>
        <v>0</v>
      </c>
      <c r="S2183" s="1423">
        <f t="shared" ca="1" si="3238"/>
        <v>0</v>
      </c>
      <c r="T2183" s="1423">
        <f t="shared" ca="1" si="3239"/>
        <v>0</v>
      </c>
      <c r="U2183" s="1423">
        <f t="shared" ca="1" si="3240"/>
        <v>0</v>
      </c>
      <c r="V2183" s="1423">
        <f t="shared" ca="1" si="3241"/>
        <v>0</v>
      </c>
      <c r="W2183" s="1423">
        <f t="shared" ca="1" si="3242"/>
        <v>0</v>
      </c>
      <c r="X2183" s="202"/>
      <c r="Y2183" s="202"/>
      <c r="Z2183" s="202"/>
      <c r="AA2183" s="152"/>
      <c r="AB2183" s="152"/>
    </row>
    <row r="2184" spans="1:28" hidden="1" outlineLevel="1">
      <c r="A2184" s="199">
        <f t="shared" si="3243"/>
        <v>5</v>
      </c>
      <c r="B2184" s="190" t="str">
        <f t="shared" ca="1" si="3244"/>
        <v>Depreciated Net Capex 2020-21</v>
      </c>
      <c r="C2184" s="1426"/>
      <c r="D2184" s="1426"/>
      <c r="E2184" s="1426"/>
      <c r="F2184" s="1426"/>
      <c r="G2184" s="1427"/>
      <c r="H2184" s="1428">
        <f>(H2174*((1+H$11)^0.5)/H$10)</f>
        <v>0</v>
      </c>
      <c r="I2184" s="1423">
        <f ca="1">IF(H2208="n/a",H2184,IFERROR(IF((OFFSET($C2184,0,$A2184))&lt;0,
MIN(0,H2184-(OFFSET($C2184,0,$A2184)/(OFFSET($C2179,-$A2183,$A2184)))),
MAX(0,H2184-(OFFSET($C2184,0,$A2184)/(OFFSET($C2179,-$A2183,$A2184))))),0))</f>
        <v>0</v>
      </c>
      <c r="J2184" s="1423">
        <f t="shared" ca="1" si="3229"/>
        <v>0</v>
      </c>
      <c r="K2184" s="1423">
        <f t="shared" ca="1" si="3230"/>
        <v>0</v>
      </c>
      <c r="L2184" s="1423">
        <f t="shared" ca="1" si="3231"/>
        <v>0</v>
      </c>
      <c r="M2184" s="1423">
        <f t="shared" ca="1" si="3232"/>
        <v>0</v>
      </c>
      <c r="N2184" s="1423">
        <f t="shared" ca="1" si="3233"/>
        <v>0</v>
      </c>
      <c r="O2184" s="1423">
        <f t="shared" ca="1" si="3234"/>
        <v>0</v>
      </c>
      <c r="P2184" s="1423">
        <f t="shared" ca="1" si="3235"/>
        <v>0</v>
      </c>
      <c r="Q2184" s="1423">
        <f t="shared" ca="1" si="3236"/>
        <v>0</v>
      </c>
      <c r="R2184" s="1423">
        <f t="shared" ca="1" si="3237"/>
        <v>0</v>
      </c>
      <c r="S2184" s="1423">
        <f t="shared" ca="1" si="3238"/>
        <v>0</v>
      </c>
      <c r="T2184" s="1423">
        <f t="shared" ca="1" si="3239"/>
        <v>0</v>
      </c>
      <c r="U2184" s="1423">
        <f t="shared" ca="1" si="3240"/>
        <v>0</v>
      </c>
      <c r="V2184" s="1423">
        <f t="shared" ca="1" si="3241"/>
        <v>0</v>
      </c>
      <c r="W2184" s="1423">
        <f t="shared" ca="1" si="3242"/>
        <v>0</v>
      </c>
      <c r="X2184" s="202"/>
      <c r="Y2184" s="202"/>
      <c r="Z2184" s="202"/>
      <c r="AA2184" s="152"/>
      <c r="AB2184" s="152"/>
    </row>
    <row r="2185" spans="1:28" hidden="1" outlineLevel="1">
      <c r="A2185" s="199">
        <f t="shared" si="3243"/>
        <v>6</v>
      </c>
      <c r="B2185" s="190" t="str">
        <f t="shared" ca="1" si="3244"/>
        <v>Depreciated Net Capex 2021-22</v>
      </c>
      <c r="C2185" s="1426"/>
      <c r="D2185" s="1426"/>
      <c r="E2185" s="1426"/>
      <c r="F2185" s="1426"/>
      <c r="G2185" s="1426"/>
      <c r="H2185" s="1427"/>
      <c r="I2185" s="1428">
        <f>(I2174*((1+I$11)^0.5)/I$10)</f>
        <v>0</v>
      </c>
      <c r="J2185" s="1423">
        <f ca="1">IF(I2209="n/a",I2185,IFERROR(IF((OFFSET($C2185,0,$A2185))&lt;0,
MIN(0,I2185-(OFFSET($C2185,0,$A2185)/(OFFSET($C2180,-$A2184,$A2185)))),
MAX(0,I2185-(OFFSET($C2185,0,$A2185)/(OFFSET($C2180,-$A2184,$A2185))))),0))</f>
        <v>0</v>
      </c>
      <c r="K2185" s="1423">
        <f t="shared" ca="1" si="3230"/>
        <v>0</v>
      </c>
      <c r="L2185" s="1423">
        <f t="shared" ca="1" si="3231"/>
        <v>0</v>
      </c>
      <c r="M2185" s="1423">
        <f t="shared" ca="1" si="3232"/>
        <v>0</v>
      </c>
      <c r="N2185" s="1423">
        <f t="shared" ca="1" si="3233"/>
        <v>0</v>
      </c>
      <c r="O2185" s="1423">
        <f t="shared" ca="1" si="3234"/>
        <v>0</v>
      </c>
      <c r="P2185" s="1423">
        <f t="shared" ca="1" si="3235"/>
        <v>0</v>
      </c>
      <c r="Q2185" s="1423">
        <f t="shared" ca="1" si="3236"/>
        <v>0</v>
      </c>
      <c r="R2185" s="1423">
        <f t="shared" ca="1" si="3237"/>
        <v>0</v>
      </c>
      <c r="S2185" s="1423">
        <f t="shared" ca="1" si="3238"/>
        <v>0</v>
      </c>
      <c r="T2185" s="1423">
        <f t="shared" ca="1" si="3239"/>
        <v>0</v>
      </c>
      <c r="U2185" s="1423">
        <f t="shared" ca="1" si="3240"/>
        <v>0</v>
      </c>
      <c r="V2185" s="1423">
        <f t="shared" ca="1" si="3241"/>
        <v>0</v>
      </c>
      <c r="W2185" s="1423">
        <f t="shared" ca="1" si="3242"/>
        <v>0</v>
      </c>
      <c r="X2185" s="202"/>
      <c r="Y2185" s="202"/>
      <c r="Z2185" s="202"/>
      <c r="AA2185" s="152"/>
      <c r="AB2185" s="152"/>
    </row>
    <row r="2186" spans="1:28" hidden="1" outlineLevel="1">
      <c r="A2186" s="199">
        <f t="shared" si="3243"/>
        <v>7</v>
      </c>
      <c r="B2186" s="190" t="str">
        <f t="shared" ca="1" si="3244"/>
        <v>Depreciated Net Capex 2022-23</v>
      </c>
      <c r="C2186" s="1426"/>
      <c r="D2186" s="1426"/>
      <c r="E2186" s="1426"/>
      <c r="F2186" s="1426"/>
      <c r="G2186" s="1426"/>
      <c r="H2186" s="1426"/>
      <c r="I2186" s="1427"/>
      <c r="J2186" s="1428">
        <f>(J2174*((1+J$11)^0.5)/J$10)</f>
        <v>0</v>
      </c>
      <c r="K2186" s="1423">
        <f ca="1">IF(J2210="n/a",J2186,IFERROR(IF((OFFSET($C2186,0,$A2186))&lt;0,
MIN(0,J2186-(OFFSET($C2186,0,$A2186)/(OFFSET($C2181,-$A2185,$A2186)))),
MAX(0,J2186-(OFFSET($C2186,0,$A2186)/(OFFSET($C2181,-$A2185,$A2186))))),0))</f>
        <v>0</v>
      </c>
      <c r="L2186" s="1423">
        <f t="shared" ca="1" si="3231"/>
        <v>0</v>
      </c>
      <c r="M2186" s="1423">
        <f t="shared" ca="1" si="3232"/>
        <v>0</v>
      </c>
      <c r="N2186" s="1423">
        <f t="shared" ca="1" si="3233"/>
        <v>0</v>
      </c>
      <c r="O2186" s="1423">
        <f t="shared" ca="1" si="3234"/>
        <v>0</v>
      </c>
      <c r="P2186" s="1423">
        <f t="shared" ca="1" si="3235"/>
        <v>0</v>
      </c>
      <c r="Q2186" s="1423">
        <f t="shared" ca="1" si="3236"/>
        <v>0</v>
      </c>
      <c r="R2186" s="1423">
        <f t="shared" ca="1" si="3237"/>
        <v>0</v>
      </c>
      <c r="S2186" s="1423">
        <f t="shared" ca="1" si="3238"/>
        <v>0</v>
      </c>
      <c r="T2186" s="1423">
        <f t="shared" ca="1" si="3239"/>
        <v>0</v>
      </c>
      <c r="U2186" s="1423">
        <f t="shared" ca="1" si="3240"/>
        <v>0</v>
      </c>
      <c r="V2186" s="1423">
        <f t="shared" ca="1" si="3241"/>
        <v>0</v>
      </c>
      <c r="W2186" s="1423">
        <f t="shared" ca="1" si="3242"/>
        <v>0</v>
      </c>
      <c r="X2186" s="202"/>
      <c r="Y2186" s="202"/>
      <c r="Z2186" s="202"/>
      <c r="AA2186" s="152"/>
      <c r="AB2186" s="152"/>
    </row>
    <row r="2187" spans="1:28" hidden="1" outlineLevel="1">
      <c r="A2187" s="199">
        <f t="shared" si="3243"/>
        <v>8</v>
      </c>
      <c r="B2187" s="190" t="str">
        <f t="shared" ca="1" si="3244"/>
        <v>Depreciated Net Capex 2023-24</v>
      </c>
      <c r="C2187" s="1426"/>
      <c r="D2187" s="1426"/>
      <c r="E2187" s="1426"/>
      <c r="F2187" s="1426"/>
      <c r="G2187" s="1426"/>
      <c r="H2187" s="1426"/>
      <c r="I2187" s="1426"/>
      <c r="J2187" s="1427"/>
      <c r="K2187" s="1428">
        <f>(K2174*((1+K$11)^0.5)/K$10)</f>
        <v>0</v>
      </c>
      <c r="L2187" s="1423">
        <f ca="1">IF(K2211="n/a",K2187,IFERROR(IF((OFFSET($C2187,0,$A2187))&lt;0,
MIN(0,K2187-(OFFSET($C2187,0,$A2187)/(OFFSET($C2182,-$A2186,$A2187)))),
MAX(0,K2187-(OFFSET($C2187,0,$A2187)/(OFFSET($C2182,-$A2186,$A2187))))),0))</f>
        <v>0</v>
      </c>
      <c r="M2187" s="1423">
        <f t="shared" ca="1" si="3232"/>
        <v>0</v>
      </c>
      <c r="N2187" s="1423">
        <f t="shared" ca="1" si="3233"/>
        <v>0</v>
      </c>
      <c r="O2187" s="1423">
        <f t="shared" ca="1" si="3234"/>
        <v>0</v>
      </c>
      <c r="P2187" s="1423">
        <f t="shared" ca="1" si="3235"/>
        <v>0</v>
      </c>
      <c r="Q2187" s="1423">
        <f t="shared" ca="1" si="3236"/>
        <v>0</v>
      </c>
      <c r="R2187" s="1423">
        <f t="shared" ca="1" si="3237"/>
        <v>0</v>
      </c>
      <c r="S2187" s="1423">
        <f t="shared" ca="1" si="3238"/>
        <v>0</v>
      </c>
      <c r="T2187" s="1423">
        <f t="shared" ca="1" si="3239"/>
        <v>0</v>
      </c>
      <c r="U2187" s="1423">
        <f t="shared" ca="1" si="3240"/>
        <v>0</v>
      </c>
      <c r="V2187" s="1423">
        <f t="shared" ca="1" si="3241"/>
        <v>0</v>
      </c>
      <c r="W2187" s="1423">
        <f t="shared" ca="1" si="3242"/>
        <v>0</v>
      </c>
      <c r="X2187" s="202"/>
      <c r="Y2187" s="202"/>
      <c r="Z2187" s="202"/>
      <c r="AA2187" s="152"/>
      <c r="AB2187" s="152"/>
    </row>
    <row r="2188" spans="1:28" hidden="1" outlineLevel="1">
      <c r="A2188" s="199">
        <f t="shared" si="3243"/>
        <v>9</v>
      </c>
      <c r="B2188" s="190" t="str">
        <f t="shared" ca="1" si="3244"/>
        <v>Depreciated Net Capex 2024-25</v>
      </c>
      <c r="C2188" s="1426"/>
      <c r="D2188" s="1426"/>
      <c r="E2188" s="1426"/>
      <c r="F2188" s="1426"/>
      <c r="G2188" s="1426"/>
      <c r="H2188" s="1426"/>
      <c r="I2188" s="1426"/>
      <c r="J2188" s="1426"/>
      <c r="K2188" s="1427"/>
      <c r="L2188" s="1428">
        <f>(L2174*((1+L$11)^0.5)/L$10)</f>
        <v>0</v>
      </c>
      <c r="M2188" s="1423">
        <f ca="1">IF(L2212="n/a",L2188,IFERROR(IF((OFFSET($C2188,0,$A2188))&lt;0,
MIN(0,L2188-(OFFSET($C2188,0,$A2188)/(OFFSET($C2183,-$A2187,$A2188)))),
MAX(0,L2188-(OFFSET($C2188,0,$A2188)/(OFFSET($C2183,-$A2187,$A2188))))),0))</f>
        <v>0</v>
      </c>
      <c r="N2188" s="1423">
        <f t="shared" ca="1" si="3233"/>
        <v>0</v>
      </c>
      <c r="O2188" s="1423">
        <f t="shared" ca="1" si="3234"/>
        <v>0</v>
      </c>
      <c r="P2188" s="1423">
        <f t="shared" ca="1" si="3235"/>
        <v>0</v>
      </c>
      <c r="Q2188" s="1423">
        <f t="shared" ca="1" si="3236"/>
        <v>0</v>
      </c>
      <c r="R2188" s="1423">
        <f t="shared" ca="1" si="3237"/>
        <v>0</v>
      </c>
      <c r="S2188" s="1423">
        <f t="shared" ca="1" si="3238"/>
        <v>0</v>
      </c>
      <c r="T2188" s="1423">
        <f t="shared" ca="1" si="3239"/>
        <v>0</v>
      </c>
      <c r="U2188" s="1423">
        <f t="shared" ca="1" si="3240"/>
        <v>0</v>
      </c>
      <c r="V2188" s="1423">
        <f t="shared" ca="1" si="3241"/>
        <v>0</v>
      </c>
      <c r="W2188" s="1423">
        <f t="shared" ca="1" si="3242"/>
        <v>0</v>
      </c>
      <c r="X2188" s="202"/>
      <c r="Y2188" s="202"/>
      <c r="Z2188" s="202"/>
      <c r="AA2188" s="152"/>
      <c r="AB2188" s="152"/>
    </row>
    <row r="2189" spans="1:28" hidden="1" outlineLevel="1">
      <c r="A2189" s="199">
        <f t="shared" si="3243"/>
        <v>10</v>
      </c>
      <c r="B2189" s="190" t="str">
        <f t="shared" ca="1" si="3244"/>
        <v>Depreciated Net Capex 2025-26</v>
      </c>
      <c r="C2189" s="1426"/>
      <c r="D2189" s="1426"/>
      <c r="E2189" s="1426"/>
      <c r="F2189" s="1426"/>
      <c r="G2189" s="1426"/>
      <c r="H2189" s="1426"/>
      <c r="I2189" s="1426"/>
      <c r="J2189" s="1426"/>
      <c r="K2189" s="1426"/>
      <c r="L2189" s="1427"/>
      <c r="M2189" s="1428">
        <f>(M2174*((1+M$11)^0.5)/M$10)</f>
        <v>0</v>
      </c>
      <c r="N2189" s="1423">
        <f ca="1">IF(M2213="n/a",M2189,IFERROR(IF((OFFSET($C2189,0,$A2189))&lt;0,
MIN(0,M2189-(OFFSET($C2189,0,$A2189)/(OFFSET($C2184,-$A2188,$A2189)))),
MAX(0,M2189-(OFFSET($C2189,0,$A2189)/(OFFSET($C2184,-$A2188,$A2189))))),0))</f>
        <v>0</v>
      </c>
      <c r="O2189" s="1423">
        <f t="shared" ca="1" si="3234"/>
        <v>0</v>
      </c>
      <c r="P2189" s="1423">
        <f t="shared" ca="1" si="3235"/>
        <v>0</v>
      </c>
      <c r="Q2189" s="1423">
        <f t="shared" ca="1" si="3236"/>
        <v>0</v>
      </c>
      <c r="R2189" s="1423">
        <f t="shared" ca="1" si="3237"/>
        <v>0</v>
      </c>
      <c r="S2189" s="1423">
        <f t="shared" ca="1" si="3238"/>
        <v>0</v>
      </c>
      <c r="T2189" s="1423">
        <f t="shared" ca="1" si="3239"/>
        <v>0</v>
      </c>
      <c r="U2189" s="1423">
        <f t="shared" ca="1" si="3240"/>
        <v>0</v>
      </c>
      <c r="V2189" s="1423">
        <f t="shared" ca="1" si="3241"/>
        <v>0</v>
      </c>
      <c r="W2189" s="1423">
        <f t="shared" ca="1" si="3242"/>
        <v>0</v>
      </c>
      <c r="X2189" s="202"/>
      <c r="Y2189" s="202"/>
      <c r="Z2189" s="202"/>
      <c r="AA2189" s="152"/>
      <c r="AB2189" s="152"/>
    </row>
    <row r="2190" spans="1:28" hidden="1" outlineLevel="1">
      <c r="A2190" s="199">
        <f t="shared" si="3243"/>
        <v>11</v>
      </c>
      <c r="B2190" s="190" t="str">
        <f t="shared" ca="1" si="3244"/>
        <v>Depreciated Net Capex 2026-27</v>
      </c>
      <c r="C2190" s="1426"/>
      <c r="D2190" s="1426"/>
      <c r="E2190" s="1426"/>
      <c r="F2190" s="1426"/>
      <c r="G2190" s="1426"/>
      <c r="H2190" s="1426"/>
      <c r="I2190" s="1426"/>
      <c r="J2190" s="1426"/>
      <c r="K2190" s="1426"/>
      <c r="L2190" s="1426"/>
      <c r="M2190" s="1427"/>
      <c r="N2190" s="1428">
        <f>(N2174*((1+N$11)^0.5)/N$10)</f>
        <v>0</v>
      </c>
      <c r="O2190" s="1423">
        <f ca="1">IF(N2214="n/a",N2190,IFERROR(IF((OFFSET($C2190,0,$A2190))&lt;0,
MIN(0,N2190-(OFFSET($C2190,0,$A2190)/(OFFSET($C2185,-$A2189,$A2190)))),
MAX(0,N2190-(OFFSET($C2190,0,$A2190)/(OFFSET($C2185,-$A2189,$A2190))))),0))</f>
        <v>0</v>
      </c>
      <c r="P2190" s="1423">
        <f t="shared" ca="1" si="3235"/>
        <v>0</v>
      </c>
      <c r="Q2190" s="1423">
        <f t="shared" ca="1" si="3236"/>
        <v>0</v>
      </c>
      <c r="R2190" s="1423">
        <f t="shared" ca="1" si="3237"/>
        <v>0</v>
      </c>
      <c r="S2190" s="1423">
        <f t="shared" ca="1" si="3238"/>
        <v>0</v>
      </c>
      <c r="T2190" s="1423">
        <f t="shared" ca="1" si="3239"/>
        <v>0</v>
      </c>
      <c r="U2190" s="1423">
        <f t="shared" ca="1" si="3240"/>
        <v>0</v>
      </c>
      <c r="V2190" s="1423">
        <f t="shared" ca="1" si="3241"/>
        <v>0</v>
      </c>
      <c r="W2190" s="1423">
        <f t="shared" ca="1" si="3242"/>
        <v>0</v>
      </c>
      <c r="X2190" s="202"/>
      <c r="Y2190" s="202"/>
      <c r="Z2190" s="202"/>
      <c r="AA2190" s="152"/>
      <c r="AB2190" s="152"/>
    </row>
    <row r="2191" spans="1:28" hidden="1" outlineLevel="1">
      <c r="A2191" s="199">
        <f t="shared" si="3243"/>
        <v>12</v>
      </c>
      <c r="B2191" s="190" t="str">
        <f t="shared" ca="1" si="3244"/>
        <v>Depreciated Net Capex 2027-28</v>
      </c>
      <c r="C2191" s="1426"/>
      <c r="D2191" s="1426"/>
      <c r="E2191" s="1426"/>
      <c r="F2191" s="1426"/>
      <c r="G2191" s="1426"/>
      <c r="H2191" s="1426"/>
      <c r="I2191" s="1426"/>
      <c r="J2191" s="1426"/>
      <c r="K2191" s="1426"/>
      <c r="L2191" s="1426"/>
      <c r="M2191" s="1426"/>
      <c r="N2191" s="1427"/>
      <c r="O2191" s="1428">
        <f>(O2174*((1+O$11)^0.5)/O$10)</f>
        <v>0</v>
      </c>
      <c r="P2191" s="1423">
        <f ca="1">IF(O2215="n/a",O2191,IFERROR(IF((OFFSET($C2191,0,$A2191))&lt;0,
MIN(0,O2191-(OFFSET($C2191,0,$A2191)/(OFFSET($C2186,-$A2190,$A2191)))),
MAX(0,O2191-(OFFSET($C2191,0,$A2191)/(OFFSET($C2186,-$A2190,$A2191))))),0))</f>
        <v>0</v>
      </c>
      <c r="Q2191" s="1423">
        <f t="shared" ca="1" si="3236"/>
        <v>0</v>
      </c>
      <c r="R2191" s="1423">
        <f t="shared" ca="1" si="3237"/>
        <v>0</v>
      </c>
      <c r="S2191" s="1423">
        <f t="shared" ca="1" si="3238"/>
        <v>0</v>
      </c>
      <c r="T2191" s="1423">
        <f t="shared" ca="1" si="3239"/>
        <v>0</v>
      </c>
      <c r="U2191" s="1423">
        <f t="shared" ca="1" si="3240"/>
        <v>0</v>
      </c>
      <c r="V2191" s="1423">
        <f t="shared" ca="1" si="3241"/>
        <v>0</v>
      </c>
      <c r="W2191" s="1423">
        <f t="shared" ca="1" si="3242"/>
        <v>0</v>
      </c>
      <c r="X2191" s="202"/>
      <c r="Y2191" s="202"/>
      <c r="Z2191" s="202"/>
      <c r="AA2191" s="152"/>
      <c r="AB2191" s="152"/>
    </row>
    <row r="2192" spans="1:28" hidden="1" outlineLevel="1">
      <c r="A2192" s="199">
        <f t="shared" si="3243"/>
        <v>13</v>
      </c>
      <c r="B2192" s="190" t="str">
        <f t="shared" ca="1" si="3244"/>
        <v>Depreciated Net Capex 2028-29</v>
      </c>
      <c r="C2192" s="1426"/>
      <c r="D2192" s="1426"/>
      <c r="E2192" s="1426"/>
      <c r="F2192" s="1426"/>
      <c r="G2192" s="1426"/>
      <c r="H2192" s="1426"/>
      <c r="I2192" s="1426"/>
      <c r="J2192" s="1426"/>
      <c r="K2192" s="1426"/>
      <c r="L2192" s="1426"/>
      <c r="M2192" s="1426"/>
      <c r="N2192" s="1426"/>
      <c r="O2192" s="1427"/>
      <c r="P2192" s="1428">
        <f>(P2174*((1+P$11)^0.5)/P$10)</f>
        <v>0</v>
      </c>
      <c r="Q2192" s="1423">
        <f ca="1">IF(P2216="n/a",P2192,IFERROR(IF((OFFSET($C2192,0,$A2192))&lt;0,
MIN(0,P2192-(OFFSET($C2192,0,$A2192)/(OFFSET($C2187,-$A2191,$A2192)))),
MAX(0,P2192-(OFFSET($C2192,0,$A2192)/(OFFSET($C2187,-$A2191,$A2192))))),0))</f>
        <v>0</v>
      </c>
      <c r="R2192" s="1423">
        <f t="shared" ca="1" si="3237"/>
        <v>0</v>
      </c>
      <c r="S2192" s="1423">
        <f t="shared" ca="1" si="3238"/>
        <v>0</v>
      </c>
      <c r="T2192" s="1423">
        <f t="shared" ca="1" si="3239"/>
        <v>0</v>
      </c>
      <c r="U2192" s="1423">
        <f t="shared" ca="1" si="3240"/>
        <v>0</v>
      </c>
      <c r="V2192" s="1423">
        <f t="shared" ca="1" si="3241"/>
        <v>0</v>
      </c>
      <c r="W2192" s="1423">
        <f t="shared" ca="1" si="3242"/>
        <v>0</v>
      </c>
      <c r="X2192" s="202"/>
      <c r="Y2192" s="202"/>
      <c r="Z2192" s="202"/>
      <c r="AA2192" s="152"/>
      <c r="AB2192" s="152"/>
    </row>
    <row r="2193" spans="1:28" hidden="1" outlineLevel="1">
      <c r="A2193" s="199">
        <f t="shared" si="3243"/>
        <v>14</v>
      </c>
      <c r="B2193" s="190" t="str">
        <f t="shared" ca="1" si="3244"/>
        <v>Depreciated Net Capex 2029-30</v>
      </c>
      <c r="C2193" s="1426"/>
      <c r="D2193" s="1426"/>
      <c r="E2193" s="1426"/>
      <c r="F2193" s="1426"/>
      <c r="G2193" s="1426"/>
      <c r="H2193" s="1426"/>
      <c r="I2193" s="1426"/>
      <c r="J2193" s="1426"/>
      <c r="K2193" s="1426"/>
      <c r="L2193" s="1426"/>
      <c r="M2193" s="1426"/>
      <c r="N2193" s="1426"/>
      <c r="O2193" s="1426"/>
      <c r="P2193" s="1427"/>
      <c r="Q2193" s="1428">
        <f>(Q2174*((1+Q$11)^0.5)/Q$10)</f>
        <v>0</v>
      </c>
      <c r="R2193" s="1423">
        <f ca="1">IF(Q2217="n/a",Q2193,IFERROR(IF((OFFSET($C2193,0,$A2193))&lt;0,
MIN(0,Q2193-(OFFSET($C2193,0,$A2193)/(OFFSET($C2188,-$A2192,$A2193)))),
MAX(0,Q2193-(OFFSET($C2193,0,$A2193)/(OFFSET($C2188,-$A2192,$A2193))))),0))</f>
        <v>0</v>
      </c>
      <c r="S2193" s="1423">
        <f t="shared" ca="1" si="3238"/>
        <v>0</v>
      </c>
      <c r="T2193" s="1423">
        <f t="shared" ca="1" si="3239"/>
        <v>0</v>
      </c>
      <c r="U2193" s="1423">
        <f t="shared" ca="1" si="3240"/>
        <v>0</v>
      </c>
      <c r="V2193" s="1423">
        <f t="shared" ca="1" si="3241"/>
        <v>0</v>
      </c>
      <c r="W2193" s="1423">
        <f t="shared" ca="1" si="3242"/>
        <v>0</v>
      </c>
      <c r="X2193" s="202"/>
      <c r="Y2193" s="202"/>
      <c r="Z2193" s="202"/>
      <c r="AA2193" s="152"/>
      <c r="AB2193" s="152"/>
    </row>
    <row r="2194" spans="1:28" hidden="1" outlineLevel="1">
      <c r="A2194" s="199">
        <f t="shared" si="3243"/>
        <v>15</v>
      </c>
      <c r="B2194" s="190" t="str">
        <f t="shared" ca="1" si="3244"/>
        <v>Depreciated Net Capex 2030-31</v>
      </c>
      <c r="C2194" s="1426"/>
      <c r="D2194" s="1426"/>
      <c r="E2194" s="1426"/>
      <c r="F2194" s="1426"/>
      <c r="G2194" s="1426"/>
      <c r="H2194" s="1426"/>
      <c r="I2194" s="1426"/>
      <c r="J2194" s="1426"/>
      <c r="K2194" s="1426"/>
      <c r="L2194" s="1426"/>
      <c r="M2194" s="1426"/>
      <c r="N2194" s="1426"/>
      <c r="O2194" s="1426"/>
      <c r="P2194" s="1426"/>
      <c r="Q2194" s="1427"/>
      <c r="R2194" s="1428">
        <f>(R2174*((1+R$11)^0.5)/R$10)</f>
        <v>0</v>
      </c>
      <c r="S2194" s="1423">
        <f ca="1">IF(R2218="n/a",R2194,IFERROR(IF((OFFSET($C2194,0,$A2194))&lt;0,
MIN(0,R2194-(OFFSET($C2194,0,$A2194)/(OFFSET($C2189,-$A2193,$A2194)))),
MAX(0,R2194-(OFFSET($C2194,0,$A2194)/(OFFSET($C2189,-$A2193,$A2194))))),0))</f>
        <v>0</v>
      </c>
      <c r="T2194" s="1423">
        <f t="shared" ca="1" si="3239"/>
        <v>0</v>
      </c>
      <c r="U2194" s="1423">
        <f t="shared" ca="1" si="3240"/>
        <v>0</v>
      </c>
      <c r="V2194" s="1423">
        <f t="shared" ca="1" si="3241"/>
        <v>0</v>
      </c>
      <c r="W2194" s="1423">
        <f t="shared" ca="1" si="3242"/>
        <v>0</v>
      </c>
      <c r="X2194" s="202"/>
      <c r="Y2194" s="202"/>
      <c r="Z2194" s="202"/>
      <c r="AA2194" s="152"/>
      <c r="AB2194" s="152"/>
    </row>
    <row r="2195" spans="1:28" hidden="1" outlineLevel="1">
      <c r="A2195" s="199">
        <f t="shared" si="3243"/>
        <v>16</v>
      </c>
      <c r="B2195" s="190" t="str">
        <f t="shared" ca="1" si="3244"/>
        <v>Depreciated Net Capex 2031-32</v>
      </c>
      <c r="C2195" s="1426"/>
      <c r="D2195" s="1426"/>
      <c r="E2195" s="1426"/>
      <c r="F2195" s="1426"/>
      <c r="G2195" s="1426"/>
      <c r="H2195" s="1426"/>
      <c r="I2195" s="1426"/>
      <c r="J2195" s="1426"/>
      <c r="K2195" s="1426"/>
      <c r="L2195" s="1426"/>
      <c r="M2195" s="1426"/>
      <c r="N2195" s="1426"/>
      <c r="O2195" s="1426"/>
      <c r="P2195" s="1426"/>
      <c r="Q2195" s="1426"/>
      <c r="R2195" s="1427"/>
      <c r="S2195" s="1428">
        <f>(S2174*((1+S$11)^0.5)/S$10)</f>
        <v>0</v>
      </c>
      <c r="T2195" s="1423">
        <f ca="1">IF(S2219="n/a",S2195,IFERROR(IF((OFFSET($C2195,0,$A2195))&lt;0,
MIN(0,S2195-(OFFSET($C2195,0,$A2195)/(OFFSET($C2190,-$A2194,$A2195)))),
MAX(0,S2195-(OFFSET($C2195,0,$A2195)/(OFFSET($C2190,-$A2194,$A2195))))),0))</f>
        <v>0</v>
      </c>
      <c r="U2195" s="1423">
        <f t="shared" ca="1" si="3240"/>
        <v>0</v>
      </c>
      <c r="V2195" s="1423">
        <f t="shared" ca="1" si="3241"/>
        <v>0</v>
      </c>
      <c r="W2195" s="1423">
        <f t="shared" ca="1" si="3242"/>
        <v>0</v>
      </c>
      <c r="X2195" s="202"/>
      <c r="Y2195" s="202"/>
      <c r="Z2195" s="202"/>
      <c r="AA2195" s="152"/>
      <c r="AB2195" s="152"/>
    </row>
    <row r="2196" spans="1:28" hidden="1" outlineLevel="1">
      <c r="A2196" s="199">
        <f t="shared" si="3243"/>
        <v>17</v>
      </c>
      <c r="B2196" s="190" t="str">
        <f t="shared" ca="1" si="3244"/>
        <v>Depreciated Net Capex 2032-33</v>
      </c>
      <c r="C2196" s="1426"/>
      <c r="D2196" s="1426"/>
      <c r="E2196" s="1426"/>
      <c r="F2196" s="1426"/>
      <c r="G2196" s="1426"/>
      <c r="H2196" s="1426"/>
      <c r="I2196" s="1426"/>
      <c r="J2196" s="1426"/>
      <c r="K2196" s="1426"/>
      <c r="L2196" s="1426"/>
      <c r="M2196" s="1426"/>
      <c r="N2196" s="1426"/>
      <c r="O2196" s="1426"/>
      <c r="P2196" s="1426"/>
      <c r="Q2196" s="1426"/>
      <c r="R2196" s="1426"/>
      <c r="S2196" s="1427"/>
      <c r="T2196" s="1428">
        <f>(T2174*((1+T$11)^0.5)/T$10)</f>
        <v>0</v>
      </c>
      <c r="U2196" s="1423">
        <f ca="1">IF(T2220="n/a",T2196,IFERROR(IF((OFFSET($C2196,0,$A2196))&lt;0,
MIN(0,T2196-(OFFSET($C2196,0,$A2196)/(OFFSET($C2191,-$A2195,$A2196)))),
MAX(0,T2196-(OFFSET($C2196,0,$A2196)/(OFFSET($C2191,-$A2195,$A2196))))),0))</f>
        <v>0</v>
      </c>
      <c r="V2196" s="1423">
        <f t="shared" ca="1" si="3241"/>
        <v>0</v>
      </c>
      <c r="W2196" s="1423">
        <f t="shared" ca="1" si="3242"/>
        <v>0</v>
      </c>
      <c r="X2196" s="202"/>
      <c r="Y2196" s="202"/>
      <c r="Z2196" s="202"/>
      <c r="AA2196" s="152"/>
      <c r="AB2196" s="152"/>
    </row>
    <row r="2197" spans="1:28" hidden="1" outlineLevel="1">
      <c r="A2197" s="199">
        <f t="shared" si="3243"/>
        <v>18</v>
      </c>
      <c r="B2197" s="190" t="str">
        <f t="shared" ca="1" si="3244"/>
        <v>Depreciated Net Capex 2033-34</v>
      </c>
      <c r="C2197" s="1426"/>
      <c r="D2197" s="1426"/>
      <c r="E2197" s="1426"/>
      <c r="F2197" s="1426"/>
      <c r="G2197" s="1426"/>
      <c r="H2197" s="1426"/>
      <c r="I2197" s="1426"/>
      <c r="J2197" s="1426"/>
      <c r="K2197" s="1426"/>
      <c r="L2197" s="1426"/>
      <c r="M2197" s="1426"/>
      <c r="N2197" s="1426"/>
      <c r="O2197" s="1426"/>
      <c r="P2197" s="1426"/>
      <c r="Q2197" s="1426"/>
      <c r="R2197" s="1426"/>
      <c r="S2197" s="1426"/>
      <c r="T2197" s="1427"/>
      <c r="U2197" s="1428">
        <f>(U2174*((1+U$11)^0.5)/U$10)</f>
        <v>0</v>
      </c>
      <c r="V2197" s="1423">
        <f ca="1">IF(U2221="n/a",U2197,IFERROR(IF((OFFSET($C2197,0,$A2197))&lt;0,
MIN(0,U2197-(OFFSET($C2197,0,$A2197)/(OFFSET($C2192,-$A2196,$A2197)))),
MAX(0,U2197-(OFFSET($C2197,0,$A2197)/(OFFSET($C2192,-$A2196,$A2197))))),0))</f>
        <v>0</v>
      </c>
      <c r="W2197" s="1423">
        <f t="shared" ca="1" si="3242"/>
        <v>0</v>
      </c>
      <c r="X2197" s="202"/>
      <c r="Y2197" s="202"/>
      <c r="Z2197" s="202"/>
      <c r="AA2197" s="152"/>
      <c r="AB2197" s="152"/>
    </row>
    <row r="2198" spans="1:28" hidden="1" outlineLevel="1">
      <c r="A2198" s="199">
        <f t="shared" si="3243"/>
        <v>19</v>
      </c>
      <c r="B2198" s="190" t="str">
        <f t="shared" ca="1" si="3244"/>
        <v>Depreciated Net Capex 2034-35</v>
      </c>
      <c r="C2198" s="1426"/>
      <c r="D2198" s="1426"/>
      <c r="E2198" s="1426"/>
      <c r="F2198" s="1426"/>
      <c r="G2198" s="1426"/>
      <c r="H2198" s="1426"/>
      <c r="I2198" s="1426"/>
      <c r="J2198" s="1426"/>
      <c r="K2198" s="1426"/>
      <c r="L2198" s="1426"/>
      <c r="M2198" s="1426"/>
      <c r="N2198" s="1426"/>
      <c r="O2198" s="1426"/>
      <c r="P2198" s="1426"/>
      <c r="Q2198" s="1426"/>
      <c r="R2198" s="1426"/>
      <c r="S2198" s="1426"/>
      <c r="T2198" s="1426"/>
      <c r="U2198" s="1427"/>
      <c r="V2198" s="1428">
        <f>(V2174*((1+V$11)^0.5)/V$10)</f>
        <v>0</v>
      </c>
      <c r="W2198" s="1423">
        <f ca="1">IF(V2222="n/a",V2198,IFERROR(IF((OFFSET($C2198,0,$A2198))&lt;0,
MIN(0,V2198-(OFFSET($C2198,0,$A2198)/(OFFSET($C2193,-$A2197,$A2198)))),
MAX(0,V2198-(OFFSET($C2198,0,$A2198)/(OFFSET($C2193,-$A2197,$A2198))))),0))</f>
        <v>0</v>
      </c>
      <c r="X2198" s="202"/>
      <c r="Y2198" s="202"/>
      <c r="Z2198" s="202"/>
      <c r="AA2198" s="152"/>
      <c r="AB2198" s="152"/>
    </row>
    <row r="2199" spans="1:28" hidden="1" outlineLevel="1">
      <c r="A2199" s="199">
        <f t="shared" si="3243"/>
        <v>20</v>
      </c>
      <c r="B2199" s="190" t="str">
        <f ca="1">"Depreciated Net Capex "&amp;OFFSET($C$6,0,A2199)</f>
        <v>Depreciated Net Capex 2035-36</v>
      </c>
      <c r="C2199" s="1426"/>
      <c r="D2199" s="1426"/>
      <c r="E2199" s="1426"/>
      <c r="F2199" s="1426"/>
      <c r="G2199" s="1426"/>
      <c r="H2199" s="1426"/>
      <c r="I2199" s="1426"/>
      <c r="J2199" s="1426"/>
      <c r="K2199" s="1426"/>
      <c r="L2199" s="1426"/>
      <c r="M2199" s="1426"/>
      <c r="N2199" s="1426"/>
      <c r="O2199" s="1426"/>
      <c r="P2199" s="1426"/>
      <c r="Q2199" s="1426"/>
      <c r="R2199" s="1426"/>
      <c r="S2199" s="1426"/>
      <c r="T2199" s="1426"/>
      <c r="U2199" s="1426"/>
      <c r="V2199" s="1427"/>
      <c r="W2199" s="1423">
        <f>(W2174*((1+W$11)^0.5)/W$10)</f>
        <v>0</v>
      </c>
      <c r="X2199" s="152"/>
      <c r="Y2199" s="152"/>
      <c r="Z2199" s="152"/>
      <c r="AA2199" s="152"/>
      <c r="AB2199" s="152"/>
    </row>
    <row r="2200" spans="1:28" hidden="1" outlineLevel="1">
      <c r="A2200" s="152"/>
      <c r="B2200" s="200"/>
      <c r="C2200" s="1423"/>
      <c r="D2200" s="1423"/>
      <c r="E2200" s="1423"/>
      <c r="F2200" s="1423"/>
      <c r="G2200" s="1423"/>
      <c r="H2200" s="1423"/>
      <c r="I2200" s="1423"/>
      <c r="J2200" s="1423"/>
      <c r="K2200" s="1423"/>
      <c r="L2200" s="1423"/>
      <c r="M2200" s="1423"/>
      <c r="N2200" s="1423"/>
      <c r="O2200" s="1423"/>
      <c r="P2200" s="1423"/>
      <c r="Q2200" s="1423"/>
      <c r="R2200" s="1423"/>
      <c r="S2200" s="1423"/>
      <c r="T2200" s="1423"/>
      <c r="U2200" s="1423"/>
      <c r="V2200" s="1423"/>
      <c r="W2200" s="1423"/>
      <c r="X2200" s="152"/>
      <c r="Y2200" s="152"/>
      <c r="Z2200" s="152"/>
      <c r="AA2200" s="152"/>
      <c r="AB2200" s="152"/>
    </row>
    <row r="2201" spans="1:28" hidden="1" outlineLevel="1">
      <c r="A2201" s="152"/>
      <c r="B2201" s="200"/>
      <c r="C2201" s="1423"/>
      <c r="D2201" s="1423"/>
      <c r="E2201" s="1423"/>
      <c r="F2201" s="1423"/>
      <c r="G2201" s="1423"/>
      <c r="H2201" s="1423"/>
      <c r="I2201" s="1423"/>
      <c r="J2201" s="1423"/>
      <c r="K2201" s="1423"/>
      <c r="L2201" s="1423"/>
      <c r="M2201" s="1423"/>
      <c r="N2201" s="1423"/>
      <c r="O2201" s="1423"/>
      <c r="P2201" s="1423"/>
      <c r="Q2201" s="1423"/>
      <c r="R2201" s="1423"/>
      <c r="S2201" s="1423"/>
      <c r="T2201" s="1423"/>
      <c r="U2201" s="1423"/>
      <c r="V2201" s="1423"/>
      <c r="W2201" s="1423"/>
      <c r="X2201" s="152"/>
      <c r="Y2201" s="152"/>
      <c r="Z2201" s="152"/>
      <c r="AA2201" s="152"/>
      <c r="AB2201" s="152"/>
    </row>
    <row r="2202" spans="1:28" hidden="1" outlineLevel="1">
      <c r="A2202" s="152"/>
      <c r="B2202" s="190" t="s">
        <v>190</v>
      </c>
      <c r="C2202" s="1423"/>
      <c r="D2202" s="1423">
        <f ca="1">IF(AND(C2202&lt;1,D2176=0),0,
IF(D2176=0,C2202-1,
IF(C2202&lt;1,D2177,
(((C2202-1)*(C2178-(C2178/(C2202))))+((D2176/D$10)*D2177))/(D2178))))</f>
        <v>0</v>
      </c>
      <c r="E2202" s="1423">
        <f t="shared" ref="E2202" ca="1" si="3245">IF(AND(D2202&lt;1,E2176=0),0,
IF(E2176=0,D2202-1,
IF(D2202&lt;1,E2177,
(((D2202-1)*(D2178-(D2178/(D2202))))+((E2176/E$10)*E2177))/(E2178))))</f>
        <v>0</v>
      </c>
      <c r="F2202" s="1423">
        <f t="shared" ref="F2202" ca="1" si="3246">IF(AND(E2202&lt;1,F2176=0),0,
IF(F2176=0,E2202-1,
IF(E2202&lt;1,F2177,
(((E2202-1)*(E2178-(E2178/(E2202))))+((F2176/F$10)*F2177))/(F2178))))</f>
        <v>0</v>
      </c>
      <c r="G2202" s="1423">
        <f t="shared" ref="G2202" ca="1" si="3247">IF(AND(F2202&lt;1,G2176=0),0,
IF(G2176=0,F2202-1,
IF(F2202&lt;1,G2177,
(((F2202-1)*(F2178-(F2178/(F2202))))+((G2176/G$10)*G2177))/(G2178))))</f>
        <v>0</v>
      </c>
      <c r="H2202" s="1423">
        <f t="shared" ref="H2202" ca="1" si="3248">IF(AND(G2202&lt;1,H2176=0),0,
IF(H2176=0,G2202-1,
IF(G2202&lt;1,H2177,
(((G2202-1)*(G2178-(G2178/(G2202))))+((H2176/H$10)*H2177))/(H2178))))</f>
        <v>0</v>
      </c>
      <c r="I2202" s="1423">
        <f t="shared" ref="I2202" ca="1" si="3249">IF(AND(H2202&lt;1,I2176=0),0,
IF(I2176=0,H2202-1,
IF(H2202&lt;1,I2177,
(((H2202-1)*(H2178-(H2178/(H2202))))+((I2176/I$10)*I2177))/(I2178))))</f>
        <v>0</v>
      </c>
      <c r="J2202" s="1423">
        <f t="shared" ref="J2202" ca="1" si="3250">IF(AND(I2202&lt;1,J2176=0),0,
IF(J2176=0,I2202-1,
IF(I2202&lt;1,J2177,
(((I2202-1)*(I2178-(I2178/(I2202))))+((J2176/J$10)*J2177))/(J2178))))</f>
        <v>0</v>
      </c>
      <c r="K2202" s="1423">
        <f t="shared" ref="K2202" ca="1" si="3251">IF(AND(J2202&lt;1,K2176=0),0,
IF(K2176=0,J2202-1,
IF(J2202&lt;1,K2177,
(((J2202-1)*(J2178-(J2178/(J2202))))+((K2176/K$10)*K2177))/(K2178))))</f>
        <v>0</v>
      </c>
      <c r="L2202" s="1423">
        <f t="shared" ref="L2202" ca="1" si="3252">IF(AND(K2202&lt;1,L2176=0),0,
IF(L2176=0,K2202-1,
IF(K2202&lt;1,L2177,
(((K2202-1)*(K2178-(K2178/(K2202))))+((L2176/L$10)*L2177))/(L2178))))</f>
        <v>0</v>
      </c>
      <c r="M2202" s="1423">
        <f t="shared" ref="M2202" ca="1" si="3253">IF(AND(L2202&lt;1,M2176=0),0,
IF(M2176=0,L2202-1,
IF(L2202&lt;1,M2177,
(((L2202-1)*(L2178-(L2178/(L2202))))+((M2176/M$10)*M2177))/(M2178))))</f>
        <v>0</v>
      </c>
      <c r="N2202" s="1423">
        <f t="shared" ref="N2202" ca="1" si="3254">IF(AND(M2202&lt;1,N2176=0),0,
IF(N2176=0,M2202-1,
IF(M2202&lt;1,N2177,
(((M2202-1)*(M2178-(M2178/(M2202))))+((N2176/N$10)*N2177))/(N2178))))</f>
        <v>0</v>
      </c>
      <c r="O2202" s="1423">
        <f t="shared" ref="O2202" ca="1" si="3255">IF(AND(N2202&lt;1,O2176=0),0,
IF(O2176=0,N2202-1,
IF(N2202&lt;1,O2177,
(((N2202-1)*(N2178-(N2178/(N2202))))+((O2176/O$10)*O2177))/(O2178))))</f>
        <v>0</v>
      </c>
      <c r="P2202" s="1423">
        <f t="shared" ref="P2202" ca="1" si="3256">IF(AND(O2202&lt;1,P2176=0),0,
IF(P2176=0,O2202-1,
IF(O2202&lt;1,P2177,
(((O2202-1)*(O2178-(O2178/(O2202))))+((P2176/P$10)*P2177))/(P2178))))</f>
        <v>0</v>
      </c>
      <c r="Q2202" s="1423">
        <f t="shared" ref="Q2202" ca="1" si="3257">IF(AND(P2202&lt;1,Q2176=0),0,
IF(Q2176=0,P2202-1,
IF(P2202&lt;1,Q2177,
(((P2202-1)*(P2178-(P2178/(P2202))))+((Q2176/Q$10)*Q2177))/(Q2178))))</f>
        <v>0</v>
      </c>
      <c r="R2202" s="1423">
        <f t="shared" ref="R2202" ca="1" si="3258">IF(AND(Q2202&lt;1,R2176=0),0,
IF(R2176=0,Q2202-1,
IF(Q2202&lt;1,R2177,
(((Q2202-1)*(Q2178-(Q2178/(Q2202))))+((R2176/R$10)*R2177))/(R2178))))</f>
        <v>0</v>
      </c>
      <c r="S2202" s="1423">
        <f t="shared" ref="S2202" ca="1" si="3259">IF(AND(R2202&lt;1,S2176=0),0,
IF(S2176=0,R2202-1,
IF(R2202&lt;1,S2177,
(((R2202-1)*(R2178-(R2178/(R2202))))+((S2176/S$10)*S2177))/(S2178))))</f>
        <v>0</v>
      </c>
      <c r="T2202" s="1423">
        <f t="shared" ref="T2202" ca="1" si="3260">IF(AND(S2202&lt;1,T2176=0),0,
IF(T2176=0,S2202-1,
IF(S2202&lt;1,T2177,
(((S2202-1)*(S2178-(S2178/(S2202))))+((T2176/T$10)*T2177))/(T2178))))</f>
        <v>0</v>
      </c>
      <c r="U2202" s="1423">
        <f t="shared" ref="U2202" ca="1" si="3261">IF(AND(T2202&lt;1,U2176=0),0,
IF(U2176=0,T2202-1,
IF(T2202&lt;1,U2177,
(((T2202-1)*(T2178-(T2178/(T2202))))+((U2176/U$10)*U2177))/(U2178))))</f>
        <v>0</v>
      </c>
      <c r="V2202" s="1423">
        <f t="shared" ref="V2202" ca="1" si="3262">IF(AND(U2202&lt;1,V2176=0),0,
IF(V2176=0,U2202-1,
IF(U2202&lt;1,V2177,
(((U2202-1)*(U2178-(U2178/(U2202))))+((V2176/V$10)*V2177))/(V2178))))</f>
        <v>0</v>
      </c>
      <c r="W2202" s="1423">
        <f t="shared" ref="W2202" ca="1" si="3263">IF(AND(V2202&lt;1,W2176=0),0,
IF(W2176=0,V2202-1,
IF(V2202&lt;1,W2177,
(((V2202-1)*(V2178-(V2178/(V2202))))+((W2176/W$10)*W2177))/(W2178))))</f>
        <v>0</v>
      </c>
      <c r="X2202" s="152"/>
      <c r="Y2202" s="152"/>
      <c r="Z2202" s="152"/>
      <c r="AA2202" s="152"/>
      <c r="AB2202" s="152"/>
    </row>
    <row r="2203" spans="1:28" hidden="1" outlineLevel="1">
      <c r="A2203" s="152"/>
      <c r="B2203" s="190" t="s">
        <v>122</v>
      </c>
      <c r="C2203" s="1423">
        <f ca="1">C2175</f>
        <v>0</v>
      </c>
      <c r="D2203" s="1423">
        <f t="shared" ref="D2203" ca="1" si="3264">IF(C2203="n/a","n/a",MAX(0,C2203-1))</f>
        <v>0</v>
      </c>
      <c r="E2203" s="1423">
        <f t="shared" ref="E2203:E2204" ca="1" si="3265">IF(D2203="n/a","n/a",MAX(0,D2203-1))</f>
        <v>0</v>
      </c>
      <c r="F2203" s="1423">
        <f t="shared" ref="F2203:F2205" ca="1" si="3266">IF(E2203="n/a","n/a",MAX(0,E2203-1))</f>
        <v>0</v>
      </c>
      <c r="G2203" s="1423">
        <f t="shared" ref="G2203:G2206" ca="1" si="3267">IF(F2203="n/a","n/a",MAX(0,F2203-1))</f>
        <v>0</v>
      </c>
      <c r="H2203" s="1423">
        <f t="shared" ref="H2203:H2207" ca="1" si="3268">IF(G2203="n/a","n/a",MAX(0,G2203-1))</f>
        <v>0</v>
      </c>
      <c r="I2203" s="1423">
        <f t="shared" ref="I2203:I2208" ca="1" si="3269">IF(H2203="n/a","n/a",MAX(0,H2203-1))</f>
        <v>0</v>
      </c>
      <c r="J2203" s="1423">
        <f t="shared" ref="J2203:J2209" ca="1" si="3270">IF(I2203="n/a","n/a",MAX(0,I2203-1))</f>
        <v>0</v>
      </c>
      <c r="K2203" s="1423">
        <f t="shared" ref="K2203:K2210" ca="1" si="3271">IF(J2203="n/a","n/a",MAX(0,J2203-1))</f>
        <v>0</v>
      </c>
      <c r="L2203" s="1423">
        <f t="shared" ref="L2203:L2211" ca="1" si="3272">IF(K2203="n/a","n/a",MAX(0,K2203-1))</f>
        <v>0</v>
      </c>
      <c r="M2203" s="1423">
        <f t="shared" ref="M2203:M2212" ca="1" si="3273">IF(L2203="n/a","n/a",MAX(0,L2203-1))</f>
        <v>0</v>
      </c>
      <c r="N2203" s="1423">
        <f t="shared" ref="N2203:N2213" ca="1" si="3274">IF(M2203="n/a","n/a",MAX(0,M2203-1))</f>
        <v>0</v>
      </c>
      <c r="O2203" s="1423">
        <f t="shared" ref="O2203:O2214" ca="1" si="3275">IF(N2203="n/a","n/a",MAX(0,N2203-1))</f>
        <v>0</v>
      </c>
      <c r="P2203" s="1423">
        <f t="shared" ref="P2203:P2215" ca="1" si="3276">IF(O2203="n/a","n/a",MAX(0,O2203-1))</f>
        <v>0</v>
      </c>
      <c r="Q2203" s="1423">
        <f t="shared" ref="Q2203:Q2216" ca="1" si="3277">IF(P2203="n/a","n/a",MAX(0,P2203-1))</f>
        <v>0</v>
      </c>
      <c r="R2203" s="1423">
        <f t="shared" ref="R2203:R2217" ca="1" si="3278">IF(Q2203="n/a","n/a",MAX(0,Q2203-1))</f>
        <v>0</v>
      </c>
      <c r="S2203" s="1423">
        <f t="shared" ref="S2203:S2218" ca="1" si="3279">IF(R2203="n/a","n/a",MAX(0,R2203-1))</f>
        <v>0</v>
      </c>
      <c r="T2203" s="1423">
        <f t="shared" ref="T2203:T2219" ca="1" si="3280">IF(S2203="n/a","n/a",MAX(0,S2203-1))</f>
        <v>0</v>
      </c>
      <c r="U2203" s="1423">
        <f t="shared" ref="U2203:U2220" ca="1" si="3281">IF(T2203="n/a","n/a",MAX(0,T2203-1))</f>
        <v>0</v>
      </c>
      <c r="V2203" s="1423">
        <f t="shared" ref="V2203:V2221" ca="1" si="3282">IF(U2203="n/a","n/a",MAX(0,U2203-1))</f>
        <v>0</v>
      </c>
      <c r="W2203" s="1423">
        <f t="shared" ref="W2203:W2221" ca="1" si="3283">IF(V2203="n/a","n/a",MAX(0,V2203-1))</f>
        <v>0</v>
      </c>
      <c r="X2203" s="152"/>
      <c r="Y2203" s="152"/>
      <c r="Z2203" s="152"/>
      <c r="AA2203" s="152"/>
      <c r="AB2203" s="152"/>
    </row>
    <row r="2204" spans="1:28" hidden="1" outlineLevel="1">
      <c r="A2204" s="152"/>
      <c r="B2204" s="190" t="str">
        <f t="shared" ref="B2204:B2223" ca="1" si="3284">"RL Capex "&amp;OFFSET($C$6,0,A2180)</f>
        <v>RL Capex 2016-17</v>
      </c>
      <c r="C2204" s="1424"/>
      <c r="D2204" s="1428">
        <f>D2175</f>
        <v>0</v>
      </c>
      <c r="E2204" s="1423">
        <f t="shared" si="3265"/>
        <v>0</v>
      </c>
      <c r="F2204" s="1423">
        <f t="shared" si="3266"/>
        <v>0</v>
      </c>
      <c r="G2204" s="1423">
        <f t="shared" si="3267"/>
        <v>0</v>
      </c>
      <c r="H2204" s="1423">
        <f t="shared" si="3268"/>
        <v>0</v>
      </c>
      <c r="I2204" s="1423">
        <f t="shared" si="3269"/>
        <v>0</v>
      </c>
      <c r="J2204" s="1423">
        <f t="shared" si="3270"/>
        <v>0</v>
      </c>
      <c r="K2204" s="1423">
        <f t="shared" si="3271"/>
        <v>0</v>
      </c>
      <c r="L2204" s="1423">
        <f t="shared" si="3272"/>
        <v>0</v>
      </c>
      <c r="M2204" s="1423">
        <f t="shared" si="3273"/>
        <v>0</v>
      </c>
      <c r="N2204" s="1423">
        <f t="shared" si="3274"/>
        <v>0</v>
      </c>
      <c r="O2204" s="1423">
        <f t="shared" si="3275"/>
        <v>0</v>
      </c>
      <c r="P2204" s="1423">
        <f t="shared" si="3276"/>
        <v>0</v>
      </c>
      <c r="Q2204" s="1423">
        <f t="shared" si="3277"/>
        <v>0</v>
      </c>
      <c r="R2204" s="1423">
        <f t="shared" si="3278"/>
        <v>0</v>
      </c>
      <c r="S2204" s="1423">
        <f t="shared" si="3279"/>
        <v>0</v>
      </c>
      <c r="T2204" s="1423">
        <f t="shared" si="3280"/>
        <v>0</v>
      </c>
      <c r="U2204" s="1423">
        <f t="shared" si="3281"/>
        <v>0</v>
      </c>
      <c r="V2204" s="1423">
        <f t="shared" si="3282"/>
        <v>0</v>
      </c>
      <c r="W2204" s="1423">
        <f t="shared" si="3283"/>
        <v>0</v>
      </c>
      <c r="X2204" s="152"/>
      <c r="Y2204" s="152"/>
      <c r="Z2204" s="152"/>
      <c r="AA2204" s="152"/>
      <c r="AB2204" s="152"/>
    </row>
    <row r="2205" spans="1:28" hidden="1" outlineLevel="1">
      <c r="A2205" s="152"/>
      <c r="B2205" s="190" t="str">
        <f t="shared" ca="1" si="3284"/>
        <v>RL Capex 2017-18</v>
      </c>
      <c r="C2205" s="1429"/>
      <c r="D2205" s="1424"/>
      <c r="E2205" s="1428">
        <f>E2175</f>
        <v>0</v>
      </c>
      <c r="F2205" s="1423">
        <f t="shared" si="3266"/>
        <v>0</v>
      </c>
      <c r="G2205" s="1423">
        <f t="shared" si="3267"/>
        <v>0</v>
      </c>
      <c r="H2205" s="1423">
        <f t="shared" si="3268"/>
        <v>0</v>
      </c>
      <c r="I2205" s="1423">
        <f t="shared" si="3269"/>
        <v>0</v>
      </c>
      <c r="J2205" s="1423">
        <f t="shared" si="3270"/>
        <v>0</v>
      </c>
      <c r="K2205" s="1423">
        <f t="shared" si="3271"/>
        <v>0</v>
      </c>
      <c r="L2205" s="1423">
        <f t="shared" si="3272"/>
        <v>0</v>
      </c>
      <c r="M2205" s="1423">
        <f t="shared" si="3273"/>
        <v>0</v>
      </c>
      <c r="N2205" s="1423">
        <f t="shared" si="3274"/>
        <v>0</v>
      </c>
      <c r="O2205" s="1423">
        <f t="shared" si="3275"/>
        <v>0</v>
      </c>
      <c r="P2205" s="1423">
        <f t="shared" si="3276"/>
        <v>0</v>
      </c>
      <c r="Q2205" s="1423">
        <f t="shared" si="3277"/>
        <v>0</v>
      </c>
      <c r="R2205" s="1423">
        <f t="shared" si="3278"/>
        <v>0</v>
      </c>
      <c r="S2205" s="1423">
        <f t="shared" si="3279"/>
        <v>0</v>
      </c>
      <c r="T2205" s="1423">
        <f t="shared" si="3280"/>
        <v>0</v>
      </c>
      <c r="U2205" s="1423">
        <f t="shared" si="3281"/>
        <v>0</v>
      </c>
      <c r="V2205" s="1423">
        <f t="shared" si="3282"/>
        <v>0</v>
      </c>
      <c r="W2205" s="1423">
        <f t="shared" si="3283"/>
        <v>0</v>
      </c>
      <c r="X2205" s="152"/>
      <c r="Y2205" s="152"/>
      <c r="Z2205" s="152"/>
      <c r="AA2205" s="152"/>
      <c r="AB2205" s="152"/>
    </row>
    <row r="2206" spans="1:28" hidden="1" outlineLevel="1">
      <c r="A2206" s="152"/>
      <c r="B2206" s="190" t="str">
        <f t="shared" ca="1" si="3284"/>
        <v>RL Capex 2018-19</v>
      </c>
      <c r="C2206" s="1429"/>
      <c r="D2206" s="1429"/>
      <c r="E2206" s="1424"/>
      <c r="F2206" s="1428">
        <f>F2175</f>
        <v>0</v>
      </c>
      <c r="G2206" s="1423">
        <f t="shared" si="3267"/>
        <v>0</v>
      </c>
      <c r="H2206" s="1423">
        <f t="shared" si="3268"/>
        <v>0</v>
      </c>
      <c r="I2206" s="1423">
        <f t="shared" si="3269"/>
        <v>0</v>
      </c>
      <c r="J2206" s="1423">
        <f t="shared" si="3270"/>
        <v>0</v>
      </c>
      <c r="K2206" s="1423">
        <f t="shared" si="3271"/>
        <v>0</v>
      </c>
      <c r="L2206" s="1423">
        <f t="shared" si="3272"/>
        <v>0</v>
      </c>
      <c r="M2206" s="1423">
        <f t="shared" si="3273"/>
        <v>0</v>
      </c>
      <c r="N2206" s="1423">
        <f t="shared" si="3274"/>
        <v>0</v>
      </c>
      <c r="O2206" s="1423">
        <f t="shared" si="3275"/>
        <v>0</v>
      </c>
      <c r="P2206" s="1423">
        <f t="shared" si="3276"/>
        <v>0</v>
      </c>
      <c r="Q2206" s="1423">
        <f t="shared" si="3277"/>
        <v>0</v>
      </c>
      <c r="R2206" s="1423">
        <f t="shared" si="3278"/>
        <v>0</v>
      </c>
      <c r="S2206" s="1423">
        <f t="shared" si="3279"/>
        <v>0</v>
      </c>
      <c r="T2206" s="1423">
        <f t="shared" si="3280"/>
        <v>0</v>
      </c>
      <c r="U2206" s="1423">
        <f t="shared" si="3281"/>
        <v>0</v>
      </c>
      <c r="V2206" s="1423">
        <f t="shared" si="3282"/>
        <v>0</v>
      </c>
      <c r="W2206" s="1423">
        <f t="shared" si="3283"/>
        <v>0</v>
      </c>
      <c r="X2206" s="152"/>
      <c r="Y2206" s="152"/>
      <c r="Z2206" s="152"/>
      <c r="AA2206" s="152"/>
      <c r="AB2206" s="152"/>
    </row>
    <row r="2207" spans="1:28" hidden="1" outlineLevel="1">
      <c r="A2207" s="152"/>
      <c r="B2207" s="190" t="str">
        <f t="shared" ca="1" si="3284"/>
        <v>RL Capex 2019-20</v>
      </c>
      <c r="C2207" s="1429"/>
      <c r="D2207" s="1429"/>
      <c r="E2207" s="1429"/>
      <c r="F2207" s="1424"/>
      <c r="G2207" s="1428">
        <f>G2175</f>
        <v>0</v>
      </c>
      <c r="H2207" s="1423">
        <f t="shared" si="3268"/>
        <v>0</v>
      </c>
      <c r="I2207" s="1423">
        <f t="shared" si="3269"/>
        <v>0</v>
      </c>
      <c r="J2207" s="1423">
        <f t="shared" si="3270"/>
        <v>0</v>
      </c>
      <c r="K2207" s="1423">
        <f t="shared" si="3271"/>
        <v>0</v>
      </c>
      <c r="L2207" s="1423">
        <f t="shared" si="3272"/>
        <v>0</v>
      </c>
      <c r="M2207" s="1423">
        <f t="shared" si="3273"/>
        <v>0</v>
      </c>
      <c r="N2207" s="1423">
        <f t="shared" si="3274"/>
        <v>0</v>
      </c>
      <c r="O2207" s="1423">
        <f t="shared" si="3275"/>
        <v>0</v>
      </c>
      <c r="P2207" s="1423">
        <f t="shared" si="3276"/>
        <v>0</v>
      </c>
      <c r="Q2207" s="1423">
        <f t="shared" si="3277"/>
        <v>0</v>
      </c>
      <c r="R2207" s="1423">
        <f t="shared" si="3278"/>
        <v>0</v>
      </c>
      <c r="S2207" s="1423">
        <f t="shared" si="3279"/>
        <v>0</v>
      </c>
      <c r="T2207" s="1423">
        <f t="shared" si="3280"/>
        <v>0</v>
      </c>
      <c r="U2207" s="1423">
        <f t="shared" si="3281"/>
        <v>0</v>
      </c>
      <c r="V2207" s="1423">
        <f t="shared" si="3282"/>
        <v>0</v>
      </c>
      <c r="W2207" s="1423">
        <f t="shared" si="3283"/>
        <v>0</v>
      </c>
      <c r="X2207" s="152"/>
      <c r="Y2207" s="152"/>
      <c r="Z2207" s="152"/>
      <c r="AA2207" s="152"/>
      <c r="AB2207" s="152"/>
    </row>
    <row r="2208" spans="1:28" hidden="1" outlineLevel="1">
      <c r="A2208" s="152"/>
      <c r="B2208" s="190" t="str">
        <f t="shared" ca="1" si="3284"/>
        <v>RL Capex 2020-21</v>
      </c>
      <c r="C2208" s="1429"/>
      <c r="D2208" s="1429"/>
      <c r="E2208" s="1429"/>
      <c r="F2208" s="1429"/>
      <c r="G2208" s="1424"/>
      <c r="H2208" s="1428">
        <f>H2175</f>
        <v>0</v>
      </c>
      <c r="I2208" s="1423">
        <f t="shared" si="3269"/>
        <v>0</v>
      </c>
      <c r="J2208" s="1423">
        <f t="shared" si="3270"/>
        <v>0</v>
      </c>
      <c r="K2208" s="1423">
        <f t="shared" si="3271"/>
        <v>0</v>
      </c>
      <c r="L2208" s="1423">
        <f t="shared" si="3272"/>
        <v>0</v>
      </c>
      <c r="M2208" s="1423">
        <f t="shared" si="3273"/>
        <v>0</v>
      </c>
      <c r="N2208" s="1423">
        <f t="shared" si="3274"/>
        <v>0</v>
      </c>
      <c r="O2208" s="1423">
        <f t="shared" si="3275"/>
        <v>0</v>
      </c>
      <c r="P2208" s="1423">
        <f t="shared" si="3276"/>
        <v>0</v>
      </c>
      <c r="Q2208" s="1423">
        <f t="shared" si="3277"/>
        <v>0</v>
      </c>
      <c r="R2208" s="1423">
        <f t="shared" si="3278"/>
        <v>0</v>
      </c>
      <c r="S2208" s="1423">
        <f t="shared" si="3279"/>
        <v>0</v>
      </c>
      <c r="T2208" s="1423">
        <f t="shared" si="3280"/>
        <v>0</v>
      </c>
      <c r="U2208" s="1423">
        <f t="shared" si="3281"/>
        <v>0</v>
      </c>
      <c r="V2208" s="1423">
        <f t="shared" si="3282"/>
        <v>0</v>
      </c>
      <c r="W2208" s="1423">
        <f t="shared" si="3283"/>
        <v>0</v>
      </c>
      <c r="X2208" s="152"/>
      <c r="Y2208" s="152"/>
      <c r="Z2208" s="152"/>
      <c r="AA2208" s="152"/>
      <c r="AB2208" s="152"/>
    </row>
    <row r="2209" spans="1:28" hidden="1" outlineLevel="1">
      <c r="A2209" s="152"/>
      <c r="B2209" s="190" t="str">
        <f t="shared" ca="1" si="3284"/>
        <v>RL Capex 2021-22</v>
      </c>
      <c r="C2209" s="1429"/>
      <c r="D2209" s="1429"/>
      <c r="E2209" s="1429"/>
      <c r="F2209" s="1429"/>
      <c r="G2209" s="1429"/>
      <c r="H2209" s="1424"/>
      <c r="I2209" s="1428">
        <f>I2175</f>
        <v>0</v>
      </c>
      <c r="J2209" s="1423">
        <f t="shared" si="3270"/>
        <v>0</v>
      </c>
      <c r="K2209" s="1423">
        <f t="shared" si="3271"/>
        <v>0</v>
      </c>
      <c r="L2209" s="1423">
        <f t="shared" si="3272"/>
        <v>0</v>
      </c>
      <c r="M2209" s="1423">
        <f t="shared" si="3273"/>
        <v>0</v>
      </c>
      <c r="N2209" s="1423">
        <f t="shared" si="3274"/>
        <v>0</v>
      </c>
      <c r="O2209" s="1423">
        <f t="shared" si="3275"/>
        <v>0</v>
      </c>
      <c r="P2209" s="1423">
        <f t="shared" si="3276"/>
        <v>0</v>
      </c>
      <c r="Q2209" s="1423">
        <f t="shared" si="3277"/>
        <v>0</v>
      </c>
      <c r="R2209" s="1423">
        <f t="shared" si="3278"/>
        <v>0</v>
      </c>
      <c r="S2209" s="1423">
        <f t="shared" si="3279"/>
        <v>0</v>
      </c>
      <c r="T2209" s="1423">
        <f t="shared" si="3280"/>
        <v>0</v>
      </c>
      <c r="U2209" s="1423">
        <f t="shared" si="3281"/>
        <v>0</v>
      </c>
      <c r="V2209" s="1423">
        <f t="shared" si="3282"/>
        <v>0</v>
      </c>
      <c r="W2209" s="1423">
        <f t="shared" si="3283"/>
        <v>0</v>
      </c>
      <c r="X2209" s="152"/>
      <c r="Y2209" s="152"/>
      <c r="Z2209" s="152"/>
      <c r="AA2209" s="152"/>
      <c r="AB2209" s="152"/>
    </row>
    <row r="2210" spans="1:28" hidden="1" outlineLevel="1">
      <c r="A2210" s="152"/>
      <c r="B2210" s="190" t="str">
        <f t="shared" ca="1" si="3284"/>
        <v>RL Capex 2022-23</v>
      </c>
      <c r="C2210" s="1429"/>
      <c r="D2210" s="1429"/>
      <c r="E2210" s="1429"/>
      <c r="F2210" s="1429"/>
      <c r="G2210" s="1429"/>
      <c r="H2210" s="1429"/>
      <c r="I2210" s="1424"/>
      <c r="J2210" s="1428">
        <f>J2175</f>
        <v>0</v>
      </c>
      <c r="K2210" s="1423">
        <f t="shared" si="3271"/>
        <v>0</v>
      </c>
      <c r="L2210" s="1423">
        <f t="shared" si="3272"/>
        <v>0</v>
      </c>
      <c r="M2210" s="1423">
        <f t="shared" si="3273"/>
        <v>0</v>
      </c>
      <c r="N2210" s="1423">
        <f t="shared" si="3274"/>
        <v>0</v>
      </c>
      <c r="O2210" s="1423">
        <f t="shared" si="3275"/>
        <v>0</v>
      </c>
      <c r="P2210" s="1423">
        <f t="shared" si="3276"/>
        <v>0</v>
      </c>
      <c r="Q2210" s="1423">
        <f t="shared" si="3277"/>
        <v>0</v>
      </c>
      <c r="R2210" s="1423">
        <f t="shared" si="3278"/>
        <v>0</v>
      </c>
      <c r="S2210" s="1423">
        <f t="shared" si="3279"/>
        <v>0</v>
      </c>
      <c r="T2210" s="1423">
        <f t="shared" si="3280"/>
        <v>0</v>
      </c>
      <c r="U2210" s="1423">
        <f t="shared" si="3281"/>
        <v>0</v>
      </c>
      <c r="V2210" s="1423">
        <f t="shared" si="3282"/>
        <v>0</v>
      </c>
      <c r="W2210" s="1423">
        <f t="shared" si="3283"/>
        <v>0</v>
      </c>
      <c r="X2210" s="152"/>
      <c r="Y2210" s="152"/>
      <c r="Z2210" s="152"/>
      <c r="AA2210" s="152"/>
      <c r="AB2210" s="152"/>
    </row>
    <row r="2211" spans="1:28" hidden="1" outlineLevel="1">
      <c r="A2211" s="152"/>
      <c r="B2211" s="190" t="str">
        <f t="shared" ca="1" si="3284"/>
        <v>RL Capex 2023-24</v>
      </c>
      <c r="C2211" s="1429"/>
      <c r="D2211" s="1429"/>
      <c r="E2211" s="1429"/>
      <c r="F2211" s="1429"/>
      <c r="G2211" s="1429"/>
      <c r="H2211" s="1429"/>
      <c r="I2211" s="1429"/>
      <c r="J2211" s="1424"/>
      <c r="K2211" s="1428">
        <f>K2175</f>
        <v>0</v>
      </c>
      <c r="L2211" s="1423">
        <f t="shared" si="3272"/>
        <v>0</v>
      </c>
      <c r="M2211" s="1423">
        <f t="shared" si="3273"/>
        <v>0</v>
      </c>
      <c r="N2211" s="1423">
        <f t="shared" si="3274"/>
        <v>0</v>
      </c>
      <c r="O2211" s="1423">
        <f t="shared" si="3275"/>
        <v>0</v>
      </c>
      <c r="P2211" s="1423">
        <f t="shared" si="3276"/>
        <v>0</v>
      </c>
      <c r="Q2211" s="1423">
        <f t="shared" si="3277"/>
        <v>0</v>
      </c>
      <c r="R2211" s="1423">
        <f t="shared" si="3278"/>
        <v>0</v>
      </c>
      <c r="S2211" s="1423">
        <f t="shared" si="3279"/>
        <v>0</v>
      </c>
      <c r="T2211" s="1423">
        <f t="shared" si="3280"/>
        <v>0</v>
      </c>
      <c r="U2211" s="1423">
        <f t="shared" si="3281"/>
        <v>0</v>
      </c>
      <c r="V2211" s="1423">
        <f t="shared" si="3282"/>
        <v>0</v>
      </c>
      <c r="W2211" s="1423">
        <f t="shared" si="3283"/>
        <v>0</v>
      </c>
      <c r="X2211" s="152"/>
      <c r="Y2211" s="152"/>
      <c r="Z2211" s="152"/>
      <c r="AA2211" s="152"/>
      <c r="AB2211" s="152"/>
    </row>
    <row r="2212" spans="1:28" hidden="1" outlineLevel="1">
      <c r="A2212" s="152"/>
      <c r="B2212" s="190" t="str">
        <f t="shared" ca="1" si="3284"/>
        <v>RL Capex 2024-25</v>
      </c>
      <c r="C2212" s="1429"/>
      <c r="D2212" s="1429"/>
      <c r="E2212" s="1429"/>
      <c r="F2212" s="1429"/>
      <c r="G2212" s="1429"/>
      <c r="H2212" s="1429"/>
      <c r="I2212" s="1429"/>
      <c r="J2212" s="1429"/>
      <c r="K2212" s="1424"/>
      <c r="L2212" s="1428">
        <f>L2175</f>
        <v>0</v>
      </c>
      <c r="M2212" s="1423">
        <f t="shared" si="3273"/>
        <v>0</v>
      </c>
      <c r="N2212" s="1423">
        <f t="shared" si="3274"/>
        <v>0</v>
      </c>
      <c r="O2212" s="1423">
        <f t="shared" si="3275"/>
        <v>0</v>
      </c>
      <c r="P2212" s="1423">
        <f t="shared" si="3276"/>
        <v>0</v>
      </c>
      <c r="Q2212" s="1423">
        <f t="shared" si="3277"/>
        <v>0</v>
      </c>
      <c r="R2212" s="1423">
        <f t="shared" si="3278"/>
        <v>0</v>
      </c>
      <c r="S2212" s="1423">
        <f t="shared" si="3279"/>
        <v>0</v>
      </c>
      <c r="T2212" s="1423">
        <f t="shared" si="3280"/>
        <v>0</v>
      </c>
      <c r="U2212" s="1423">
        <f t="shared" si="3281"/>
        <v>0</v>
      </c>
      <c r="V2212" s="1423">
        <f t="shared" si="3282"/>
        <v>0</v>
      </c>
      <c r="W2212" s="1423">
        <f t="shared" si="3283"/>
        <v>0</v>
      </c>
      <c r="X2212" s="152"/>
      <c r="Y2212" s="152"/>
      <c r="Z2212" s="152"/>
      <c r="AA2212" s="152"/>
      <c r="AB2212" s="152"/>
    </row>
    <row r="2213" spans="1:28" hidden="1" outlineLevel="1">
      <c r="A2213" s="152"/>
      <c r="B2213" s="190" t="str">
        <f t="shared" ca="1" si="3284"/>
        <v>RL Capex 2025-26</v>
      </c>
      <c r="C2213" s="1429"/>
      <c r="D2213" s="1429"/>
      <c r="E2213" s="1429"/>
      <c r="F2213" s="1429"/>
      <c r="G2213" s="1429"/>
      <c r="H2213" s="1429"/>
      <c r="I2213" s="1429"/>
      <c r="J2213" s="1429"/>
      <c r="K2213" s="1429"/>
      <c r="L2213" s="1424"/>
      <c r="M2213" s="1428">
        <f>M2175</f>
        <v>0</v>
      </c>
      <c r="N2213" s="1423">
        <f t="shared" si="3274"/>
        <v>0</v>
      </c>
      <c r="O2213" s="1423">
        <f t="shared" si="3275"/>
        <v>0</v>
      </c>
      <c r="P2213" s="1423">
        <f t="shared" si="3276"/>
        <v>0</v>
      </c>
      <c r="Q2213" s="1423">
        <f t="shared" si="3277"/>
        <v>0</v>
      </c>
      <c r="R2213" s="1423">
        <f t="shared" si="3278"/>
        <v>0</v>
      </c>
      <c r="S2213" s="1423">
        <f t="shared" si="3279"/>
        <v>0</v>
      </c>
      <c r="T2213" s="1423">
        <f t="shared" si="3280"/>
        <v>0</v>
      </c>
      <c r="U2213" s="1423">
        <f t="shared" si="3281"/>
        <v>0</v>
      </c>
      <c r="V2213" s="1423">
        <f t="shared" si="3282"/>
        <v>0</v>
      </c>
      <c r="W2213" s="1423">
        <f t="shared" si="3283"/>
        <v>0</v>
      </c>
      <c r="X2213" s="152"/>
      <c r="Y2213" s="152"/>
      <c r="Z2213" s="152"/>
      <c r="AA2213" s="152"/>
      <c r="AB2213" s="152"/>
    </row>
    <row r="2214" spans="1:28" hidden="1" outlineLevel="1">
      <c r="A2214" s="152"/>
      <c r="B2214" s="190" t="str">
        <f t="shared" ca="1" si="3284"/>
        <v>RL Capex 2026-27</v>
      </c>
      <c r="C2214" s="1429"/>
      <c r="D2214" s="1429"/>
      <c r="E2214" s="1429"/>
      <c r="F2214" s="1429"/>
      <c r="G2214" s="1429"/>
      <c r="H2214" s="1429"/>
      <c r="I2214" s="1429"/>
      <c r="J2214" s="1429"/>
      <c r="K2214" s="1429"/>
      <c r="L2214" s="1429"/>
      <c r="M2214" s="1424"/>
      <c r="N2214" s="1428">
        <f>N2175</f>
        <v>0</v>
      </c>
      <c r="O2214" s="1423">
        <f t="shared" si="3275"/>
        <v>0</v>
      </c>
      <c r="P2214" s="1423">
        <f t="shared" si="3276"/>
        <v>0</v>
      </c>
      <c r="Q2214" s="1423">
        <f t="shared" si="3277"/>
        <v>0</v>
      </c>
      <c r="R2214" s="1423">
        <f t="shared" si="3278"/>
        <v>0</v>
      </c>
      <c r="S2214" s="1423">
        <f t="shared" si="3279"/>
        <v>0</v>
      </c>
      <c r="T2214" s="1423">
        <f t="shared" si="3280"/>
        <v>0</v>
      </c>
      <c r="U2214" s="1423">
        <f t="shared" si="3281"/>
        <v>0</v>
      </c>
      <c r="V2214" s="1423">
        <f t="shared" si="3282"/>
        <v>0</v>
      </c>
      <c r="W2214" s="1423">
        <f t="shared" si="3283"/>
        <v>0</v>
      </c>
      <c r="X2214" s="152"/>
      <c r="Y2214" s="152"/>
      <c r="Z2214" s="152"/>
      <c r="AA2214" s="152"/>
      <c r="AB2214" s="152"/>
    </row>
    <row r="2215" spans="1:28" hidden="1" outlineLevel="1">
      <c r="A2215" s="152"/>
      <c r="B2215" s="190" t="str">
        <f t="shared" ca="1" si="3284"/>
        <v>RL Capex 2027-28</v>
      </c>
      <c r="C2215" s="1429"/>
      <c r="D2215" s="1429"/>
      <c r="E2215" s="1429"/>
      <c r="F2215" s="1429"/>
      <c r="G2215" s="1429"/>
      <c r="H2215" s="1429"/>
      <c r="I2215" s="1429"/>
      <c r="J2215" s="1429"/>
      <c r="K2215" s="1429"/>
      <c r="L2215" s="1429"/>
      <c r="M2215" s="1429"/>
      <c r="N2215" s="1424"/>
      <c r="O2215" s="1428">
        <f>O2175</f>
        <v>0</v>
      </c>
      <c r="P2215" s="1423">
        <f t="shared" si="3276"/>
        <v>0</v>
      </c>
      <c r="Q2215" s="1423">
        <f t="shared" si="3277"/>
        <v>0</v>
      </c>
      <c r="R2215" s="1423">
        <f t="shared" si="3278"/>
        <v>0</v>
      </c>
      <c r="S2215" s="1423">
        <f t="shared" si="3279"/>
        <v>0</v>
      </c>
      <c r="T2215" s="1423">
        <f t="shared" si="3280"/>
        <v>0</v>
      </c>
      <c r="U2215" s="1423">
        <f t="shared" si="3281"/>
        <v>0</v>
      </c>
      <c r="V2215" s="1423">
        <f t="shared" si="3282"/>
        <v>0</v>
      </c>
      <c r="W2215" s="1423">
        <f t="shared" si="3283"/>
        <v>0</v>
      </c>
      <c r="X2215" s="152"/>
      <c r="Y2215" s="152"/>
      <c r="Z2215" s="152"/>
      <c r="AA2215" s="152"/>
      <c r="AB2215" s="152"/>
    </row>
    <row r="2216" spans="1:28" hidden="1" outlineLevel="1">
      <c r="A2216" s="152"/>
      <c r="B2216" s="190" t="str">
        <f t="shared" ca="1" si="3284"/>
        <v>RL Capex 2028-29</v>
      </c>
      <c r="C2216" s="1429"/>
      <c r="D2216" s="1429"/>
      <c r="E2216" s="1429"/>
      <c r="F2216" s="1429"/>
      <c r="G2216" s="1429"/>
      <c r="H2216" s="1429"/>
      <c r="I2216" s="1429"/>
      <c r="J2216" s="1429"/>
      <c r="K2216" s="1429"/>
      <c r="L2216" s="1429"/>
      <c r="M2216" s="1429"/>
      <c r="N2216" s="1429"/>
      <c r="O2216" s="1424"/>
      <c r="P2216" s="1428">
        <f>P2175</f>
        <v>0</v>
      </c>
      <c r="Q2216" s="1423">
        <f t="shared" si="3277"/>
        <v>0</v>
      </c>
      <c r="R2216" s="1423">
        <f t="shared" si="3278"/>
        <v>0</v>
      </c>
      <c r="S2216" s="1423">
        <f t="shared" si="3279"/>
        <v>0</v>
      </c>
      <c r="T2216" s="1423">
        <f t="shared" si="3280"/>
        <v>0</v>
      </c>
      <c r="U2216" s="1423">
        <f t="shared" si="3281"/>
        <v>0</v>
      </c>
      <c r="V2216" s="1423">
        <f t="shared" si="3282"/>
        <v>0</v>
      </c>
      <c r="W2216" s="1423">
        <f t="shared" si="3283"/>
        <v>0</v>
      </c>
      <c r="X2216" s="152"/>
      <c r="Y2216" s="152"/>
      <c r="Z2216" s="152"/>
      <c r="AA2216" s="152"/>
      <c r="AB2216" s="152"/>
    </row>
    <row r="2217" spans="1:28" hidden="1" outlineLevel="1">
      <c r="A2217" s="152"/>
      <c r="B2217" s="190" t="str">
        <f t="shared" ca="1" si="3284"/>
        <v>RL Capex 2029-30</v>
      </c>
      <c r="C2217" s="1429"/>
      <c r="D2217" s="1429"/>
      <c r="E2217" s="1429"/>
      <c r="F2217" s="1429"/>
      <c r="G2217" s="1429"/>
      <c r="H2217" s="1429"/>
      <c r="I2217" s="1429"/>
      <c r="J2217" s="1429"/>
      <c r="K2217" s="1429"/>
      <c r="L2217" s="1429"/>
      <c r="M2217" s="1429"/>
      <c r="N2217" s="1429"/>
      <c r="O2217" s="1429"/>
      <c r="P2217" s="1424"/>
      <c r="Q2217" s="1428">
        <f>Q2175</f>
        <v>0</v>
      </c>
      <c r="R2217" s="1423">
        <f t="shared" si="3278"/>
        <v>0</v>
      </c>
      <c r="S2217" s="1423">
        <f t="shared" si="3279"/>
        <v>0</v>
      </c>
      <c r="T2217" s="1423">
        <f t="shared" si="3280"/>
        <v>0</v>
      </c>
      <c r="U2217" s="1423">
        <f t="shared" si="3281"/>
        <v>0</v>
      </c>
      <c r="V2217" s="1423">
        <f t="shared" si="3282"/>
        <v>0</v>
      </c>
      <c r="W2217" s="1423">
        <f t="shared" si="3283"/>
        <v>0</v>
      </c>
      <c r="X2217" s="152"/>
      <c r="Y2217" s="152"/>
      <c r="Z2217" s="152"/>
      <c r="AA2217" s="152"/>
      <c r="AB2217" s="152"/>
    </row>
    <row r="2218" spans="1:28" hidden="1" outlineLevel="1">
      <c r="A2218" s="152"/>
      <c r="B2218" s="190" t="str">
        <f t="shared" ca="1" si="3284"/>
        <v>RL Capex 2030-31</v>
      </c>
      <c r="C2218" s="1429"/>
      <c r="D2218" s="1429"/>
      <c r="E2218" s="1429"/>
      <c r="F2218" s="1429"/>
      <c r="G2218" s="1429"/>
      <c r="H2218" s="1429"/>
      <c r="I2218" s="1429"/>
      <c r="J2218" s="1429"/>
      <c r="K2218" s="1429"/>
      <c r="L2218" s="1429"/>
      <c r="M2218" s="1429"/>
      <c r="N2218" s="1429"/>
      <c r="O2218" s="1429"/>
      <c r="P2218" s="1429"/>
      <c r="Q2218" s="1424"/>
      <c r="R2218" s="1428">
        <f>R2175</f>
        <v>0</v>
      </c>
      <c r="S2218" s="1423">
        <f t="shared" si="3279"/>
        <v>0</v>
      </c>
      <c r="T2218" s="1423">
        <f t="shared" si="3280"/>
        <v>0</v>
      </c>
      <c r="U2218" s="1423">
        <f t="shared" si="3281"/>
        <v>0</v>
      </c>
      <c r="V2218" s="1423">
        <f t="shared" si="3282"/>
        <v>0</v>
      </c>
      <c r="W2218" s="1423">
        <f t="shared" si="3283"/>
        <v>0</v>
      </c>
      <c r="X2218" s="152"/>
      <c r="Y2218" s="152"/>
      <c r="Z2218" s="152"/>
      <c r="AA2218" s="152"/>
      <c r="AB2218" s="152"/>
    </row>
    <row r="2219" spans="1:28" hidden="1" outlineLevel="1">
      <c r="A2219" s="152"/>
      <c r="B2219" s="190" t="str">
        <f t="shared" ca="1" si="3284"/>
        <v>RL Capex 2031-32</v>
      </c>
      <c r="C2219" s="1429"/>
      <c r="D2219" s="1429"/>
      <c r="E2219" s="1429"/>
      <c r="F2219" s="1429"/>
      <c r="G2219" s="1429"/>
      <c r="H2219" s="1429"/>
      <c r="I2219" s="1429"/>
      <c r="J2219" s="1429"/>
      <c r="K2219" s="1429"/>
      <c r="L2219" s="1429"/>
      <c r="M2219" s="1429"/>
      <c r="N2219" s="1429"/>
      <c r="O2219" s="1429"/>
      <c r="P2219" s="1429"/>
      <c r="Q2219" s="1429"/>
      <c r="R2219" s="1424"/>
      <c r="S2219" s="1428">
        <f>S2175</f>
        <v>0</v>
      </c>
      <c r="T2219" s="1423">
        <f t="shared" si="3280"/>
        <v>0</v>
      </c>
      <c r="U2219" s="1423">
        <f t="shared" si="3281"/>
        <v>0</v>
      </c>
      <c r="V2219" s="1423">
        <f t="shared" si="3282"/>
        <v>0</v>
      </c>
      <c r="W2219" s="1423">
        <f t="shared" si="3283"/>
        <v>0</v>
      </c>
      <c r="X2219" s="152"/>
      <c r="Y2219" s="152"/>
      <c r="Z2219" s="152"/>
      <c r="AA2219" s="152"/>
      <c r="AB2219" s="152"/>
    </row>
    <row r="2220" spans="1:28" hidden="1" outlineLevel="1">
      <c r="A2220" s="152"/>
      <c r="B2220" s="190" t="str">
        <f t="shared" ca="1" si="3284"/>
        <v>RL Capex 2032-33</v>
      </c>
      <c r="C2220" s="1429"/>
      <c r="D2220" s="1429"/>
      <c r="E2220" s="1429"/>
      <c r="F2220" s="1429"/>
      <c r="G2220" s="1429"/>
      <c r="H2220" s="1429"/>
      <c r="I2220" s="1429"/>
      <c r="J2220" s="1429"/>
      <c r="K2220" s="1429"/>
      <c r="L2220" s="1429"/>
      <c r="M2220" s="1429"/>
      <c r="N2220" s="1429"/>
      <c r="O2220" s="1429"/>
      <c r="P2220" s="1429"/>
      <c r="Q2220" s="1429"/>
      <c r="R2220" s="1429"/>
      <c r="S2220" s="1424"/>
      <c r="T2220" s="1428">
        <f>T2175</f>
        <v>0</v>
      </c>
      <c r="U2220" s="1423">
        <f t="shared" si="3281"/>
        <v>0</v>
      </c>
      <c r="V2220" s="1423">
        <f t="shared" si="3282"/>
        <v>0</v>
      </c>
      <c r="W2220" s="1423">
        <f t="shared" si="3283"/>
        <v>0</v>
      </c>
      <c r="X2220" s="152"/>
      <c r="Y2220" s="152"/>
      <c r="Z2220" s="152"/>
      <c r="AA2220" s="152"/>
      <c r="AB2220" s="152"/>
    </row>
    <row r="2221" spans="1:28" hidden="1" outlineLevel="1">
      <c r="A2221" s="152"/>
      <c r="B2221" s="190" t="str">
        <f t="shared" ca="1" si="3284"/>
        <v>RL Capex 2033-34</v>
      </c>
      <c r="C2221" s="1429"/>
      <c r="D2221" s="1429"/>
      <c r="E2221" s="1429"/>
      <c r="F2221" s="1429"/>
      <c r="G2221" s="1429"/>
      <c r="H2221" s="1429"/>
      <c r="I2221" s="1429"/>
      <c r="J2221" s="1429"/>
      <c r="K2221" s="1429"/>
      <c r="L2221" s="1429"/>
      <c r="M2221" s="1429"/>
      <c r="N2221" s="1429"/>
      <c r="O2221" s="1429"/>
      <c r="P2221" s="1429"/>
      <c r="Q2221" s="1429"/>
      <c r="R2221" s="1429"/>
      <c r="S2221" s="1429"/>
      <c r="T2221" s="1424"/>
      <c r="U2221" s="1428">
        <f>U2175</f>
        <v>0</v>
      </c>
      <c r="V2221" s="1423">
        <f t="shared" si="3282"/>
        <v>0</v>
      </c>
      <c r="W2221" s="1423">
        <f t="shared" si="3283"/>
        <v>0</v>
      </c>
      <c r="X2221" s="152"/>
      <c r="Y2221" s="152"/>
      <c r="Z2221" s="152"/>
      <c r="AA2221" s="152"/>
      <c r="AB2221" s="152"/>
    </row>
    <row r="2222" spans="1:28" hidden="1" outlineLevel="1">
      <c r="A2222" s="152"/>
      <c r="B2222" s="190" t="str">
        <f t="shared" ca="1" si="3284"/>
        <v>RL Capex 2034-35</v>
      </c>
      <c r="C2222" s="1429"/>
      <c r="D2222" s="1429"/>
      <c r="E2222" s="1429"/>
      <c r="F2222" s="1429"/>
      <c r="G2222" s="1429"/>
      <c r="H2222" s="1429"/>
      <c r="I2222" s="1429"/>
      <c r="J2222" s="1429"/>
      <c r="K2222" s="1429"/>
      <c r="L2222" s="1429"/>
      <c r="M2222" s="1429"/>
      <c r="N2222" s="1429"/>
      <c r="O2222" s="1429"/>
      <c r="P2222" s="1429"/>
      <c r="Q2222" s="1429"/>
      <c r="R2222" s="1429"/>
      <c r="S2222" s="1429"/>
      <c r="T2222" s="1429"/>
      <c r="U2222" s="1424"/>
      <c r="V2222" s="1428">
        <f>V2175</f>
        <v>0</v>
      </c>
      <c r="W2222" s="1423">
        <f>IF(V2222="n/a","n/a",MAX(0,V2222-1))</f>
        <v>0</v>
      </c>
      <c r="X2222" s="152"/>
      <c r="Y2222" s="152"/>
      <c r="Z2222" s="152"/>
      <c r="AA2222" s="152"/>
      <c r="AB2222" s="152"/>
    </row>
    <row r="2223" spans="1:28" hidden="1" outlineLevel="1">
      <c r="A2223" s="152"/>
      <c r="B2223" s="190" t="str">
        <f t="shared" ca="1" si="3284"/>
        <v>RL Capex 2035-36</v>
      </c>
      <c r="C2223" s="1429"/>
      <c r="D2223" s="1429"/>
      <c r="E2223" s="1429"/>
      <c r="F2223" s="1429"/>
      <c r="G2223" s="1429"/>
      <c r="H2223" s="1429"/>
      <c r="I2223" s="1429"/>
      <c r="J2223" s="1429"/>
      <c r="K2223" s="1429"/>
      <c r="L2223" s="1429"/>
      <c r="M2223" s="1429"/>
      <c r="N2223" s="1429"/>
      <c r="O2223" s="1429"/>
      <c r="P2223" s="1429"/>
      <c r="Q2223" s="1429"/>
      <c r="R2223" s="1429"/>
      <c r="S2223" s="1429"/>
      <c r="T2223" s="1429"/>
      <c r="U2223" s="1429"/>
      <c r="V2223" s="1424"/>
      <c r="W2223" s="1423">
        <f>W2175</f>
        <v>0</v>
      </c>
      <c r="X2223" s="152"/>
      <c r="Y2223" s="152"/>
      <c r="Z2223" s="152"/>
      <c r="AA2223" s="152"/>
      <c r="AB2223" s="152"/>
    </row>
    <row r="2224" spans="1:28" hidden="1" outlineLevel="1">
      <c r="A2224" s="152"/>
      <c r="B2224" s="200"/>
      <c r="C2224" s="1423"/>
      <c r="D2224" s="1423"/>
      <c r="E2224" s="1423"/>
      <c r="F2224" s="1423"/>
      <c r="G2224" s="1423"/>
      <c r="H2224" s="1423"/>
      <c r="I2224" s="1423"/>
      <c r="J2224" s="1423"/>
      <c r="K2224" s="1423"/>
      <c r="L2224" s="1423"/>
      <c r="M2224" s="1423"/>
      <c r="N2224" s="1423"/>
      <c r="O2224" s="1423"/>
      <c r="P2224" s="1423"/>
      <c r="Q2224" s="1423"/>
      <c r="R2224" s="1423"/>
      <c r="S2224" s="1423"/>
      <c r="T2224" s="1423"/>
      <c r="U2224" s="1423"/>
      <c r="V2224" s="1423"/>
      <c r="W2224" s="1423"/>
      <c r="X2224" s="152"/>
      <c r="Y2224" s="152"/>
      <c r="Z2224" s="152"/>
      <c r="AA2224" s="152"/>
      <c r="AB2224" s="152"/>
    </row>
    <row r="2225" spans="1:28" collapsed="1">
      <c r="A2225" s="194"/>
      <c r="B2225" s="204" t="s">
        <v>123</v>
      </c>
      <c r="C2225" s="1430">
        <f ca="1">(IF(OR($C2175&lt;&gt;"n/a",C2175&lt;&gt;"n/a"),IF(SUM(C2178:C2200)=0,0,IF((SUMPRODUCT(C2178:C2200,C2202:C2224)/SUM(C2178:C2200))&lt;0,1,(SUMPRODUCT(C2178:C2200,C2202:C2224)/SUM(C2178:C2200)))),"n/a"))</f>
        <v>0</v>
      </c>
      <c r="D2225" s="1430">
        <f ca="1">(IF(OR($C2175&lt;&gt;"n/a",D2175&lt;&gt;"n/a"),IF(SUM(D2178:D2200)=0,0,IF((SUMPRODUCT(D2178:D2200,D2202:D2224)/SUM(D2178:D2200))&lt;0,1,(SUMPRODUCT(D2178:D2200,D2202:D2224)/SUM(D2178:D2200)))),"n/a"))</f>
        <v>0</v>
      </c>
      <c r="E2225" s="1430">
        <f t="shared" ref="E2225:W2225" ca="1" si="3285">(IF(OR($C2175&lt;&gt;"n/a",E2175&lt;&gt;"n/a"),IF(SUM(E2178:E2200)=0,0,IF((SUMPRODUCT(E2178:E2200,E2202:E2224)/SUM(E2178:E2200))&lt;0,1,(SUMPRODUCT(E2178:E2200,E2202:E2224)/SUM(E2178:E2200)))),"n/a"))</f>
        <v>0</v>
      </c>
      <c r="F2225" s="1430">
        <f t="shared" ca="1" si="3285"/>
        <v>0</v>
      </c>
      <c r="G2225" s="1430">
        <f t="shared" ca="1" si="3285"/>
        <v>0</v>
      </c>
      <c r="H2225" s="1430">
        <f t="shared" ca="1" si="3285"/>
        <v>0</v>
      </c>
      <c r="I2225" s="1430">
        <f t="shared" ca="1" si="3285"/>
        <v>0</v>
      </c>
      <c r="J2225" s="1430">
        <f t="shared" ca="1" si="3285"/>
        <v>0</v>
      </c>
      <c r="K2225" s="1430">
        <f t="shared" ca="1" si="3285"/>
        <v>0</v>
      </c>
      <c r="L2225" s="1430">
        <f t="shared" ca="1" si="3285"/>
        <v>0</v>
      </c>
      <c r="M2225" s="1430">
        <f t="shared" ca="1" si="3285"/>
        <v>0</v>
      </c>
      <c r="N2225" s="1430">
        <f t="shared" ca="1" si="3285"/>
        <v>0</v>
      </c>
      <c r="O2225" s="1430">
        <f t="shared" ca="1" si="3285"/>
        <v>0</v>
      </c>
      <c r="P2225" s="1430">
        <f t="shared" ca="1" si="3285"/>
        <v>0</v>
      </c>
      <c r="Q2225" s="1430">
        <f t="shared" ca="1" si="3285"/>
        <v>0</v>
      </c>
      <c r="R2225" s="1430">
        <f t="shared" ca="1" si="3285"/>
        <v>0</v>
      </c>
      <c r="S2225" s="1430">
        <f t="shared" ca="1" si="3285"/>
        <v>0</v>
      </c>
      <c r="T2225" s="1430">
        <f t="shared" ca="1" si="3285"/>
        <v>0</v>
      </c>
      <c r="U2225" s="1430">
        <f t="shared" ca="1" si="3285"/>
        <v>0</v>
      </c>
      <c r="V2225" s="1430">
        <f t="shared" ca="1" si="3285"/>
        <v>0</v>
      </c>
      <c r="W2225" s="1430">
        <f t="shared" ca="1" si="3285"/>
        <v>0</v>
      </c>
      <c r="X2225" s="152"/>
      <c r="Y2225" s="152"/>
      <c r="Z2225" s="152"/>
      <c r="AA2225" s="152"/>
      <c r="AB2225" s="152"/>
    </row>
    <row r="2226" spans="1:28">
      <c r="A2226" s="152"/>
      <c r="B2226" s="152"/>
      <c r="C2226" s="1423"/>
      <c r="D2226" s="1423"/>
      <c r="E2226" s="1423"/>
      <c r="F2226" s="1423"/>
      <c r="G2226" s="1423"/>
      <c r="H2226" s="1423"/>
      <c r="I2226" s="1423"/>
      <c r="J2226" s="1423"/>
      <c r="K2226" s="1423"/>
      <c r="L2226" s="1423"/>
      <c r="M2226" s="1423"/>
      <c r="N2226" s="1423"/>
      <c r="O2226" s="1423"/>
      <c r="P2226" s="1423"/>
      <c r="Q2226" s="1423"/>
      <c r="R2226" s="1423"/>
      <c r="S2226" s="1423"/>
      <c r="T2226" s="1423"/>
      <c r="U2226" s="1423"/>
      <c r="V2226" s="1423"/>
      <c r="W2226" s="1423"/>
      <c r="X2226" s="152"/>
      <c r="Y2226" s="152"/>
      <c r="Z2226" s="152"/>
      <c r="AA2226" s="152"/>
      <c r="AB2226" s="152"/>
    </row>
    <row r="2227" spans="1:28">
      <c r="A2227" s="269" t="s">
        <v>108</v>
      </c>
      <c r="B2227" s="270">
        <f>VLOOKUP($A2227,'RFM input'!$E$7:$F$56,2,FALSE)</f>
        <v>0</v>
      </c>
      <c r="C2227" s="1431"/>
      <c r="D2227" s="1431"/>
      <c r="E2227" s="1432"/>
      <c r="F2227" s="1432"/>
      <c r="G2227" s="1432"/>
      <c r="H2227" s="1432"/>
      <c r="I2227" s="1432"/>
      <c r="J2227" s="1432"/>
      <c r="K2227" s="1432"/>
      <c r="L2227" s="1432"/>
      <c r="M2227" s="1432"/>
      <c r="N2227" s="1432"/>
      <c r="O2227" s="1432"/>
      <c r="P2227" s="1432"/>
      <c r="Q2227" s="1432"/>
      <c r="R2227" s="1432"/>
      <c r="S2227" s="1432"/>
      <c r="T2227" s="1432"/>
      <c r="U2227" s="1432"/>
      <c r="V2227" s="1432"/>
      <c r="W2227" s="1432"/>
      <c r="X2227" s="152"/>
      <c r="Y2227" s="152"/>
      <c r="Z2227" s="152"/>
      <c r="AA2227" s="152"/>
      <c r="AB2227" s="152"/>
    </row>
    <row r="2228" spans="1:28">
      <c r="A2228" s="215">
        <f>VALUE(REPLACE(A2227,1,12,""))</f>
        <v>42</v>
      </c>
      <c r="B2228" s="193" t="s">
        <v>126</v>
      </c>
      <c r="C2228" s="1416">
        <f ca="1">IF($C$8='Capital Base roll forward'!$H$4,OFFSET('Capital Base roll forward'!$H$717,'RAB remaining lives'!A2228,0),"enter input")</f>
        <v>0</v>
      </c>
      <c r="D2228" s="1417">
        <f>IF(LEFT(D$6,4)&lt;LEFT('RFM input'!$G$60,4),"enter input",IF(LEFT(D$6,4)&gt;LEFT('RFM input'!$Q$60,4),0,INDEX('RFM input'!$G$61:$Q$110,$A2228,MATCH(D$6,'RFM input'!$G$60:$Q$60,0))
-INDEX('RFM input'!$G$115:$Q$164,$A2228,MATCH(D$6,'RFM input'!$G$60:$Q$60,0))
-INDEX('RFM input'!$G$169:$Q$218,$A2228,MATCH(D$6,'RFM input'!$G$60:$Q$60,0))))</f>
        <v>0</v>
      </c>
      <c r="E2228" s="1417">
        <f>IF(LEFT(E$6,4)&lt;LEFT('RFM input'!$G$60,4),"enter input",IF(LEFT(E$6,4)&gt;LEFT('RFM input'!$Q$60,4),0,INDEX('RFM input'!$G$61:$Q$110,$A2228,MATCH(E$6,'RFM input'!$G$60:$Q$60,0))
-INDEX('RFM input'!$G$115:$Q$164,$A2228,MATCH(E$6,'RFM input'!$G$60:$Q$60,0))
-INDEX('RFM input'!$G$169:$Q$218,$A2228,MATCH(E$6,'RFM input'!$G$60:$Q$60,0))))</f>
        <v>0</v>
      </c>
      <c r="F2228" s="1417">
        <f>IF(LEFT(F$6,4)&lt;LEFT('RFM input'!$G$60,4),"enter input",IF(LEFT(F$6,4)&gt;LEFT('RFM input'!$Q$60,4),0,INDEX('RFM input'!$G$61:$Q$110,$A2228,MATCH(F$6,'RFM input'!$G$60:$Q$60,0))
-INDEX('RFM input'!$G$115:$Q$164,$A2228,MATCH(F$6,'RFM input'!$G$60:$Q$60,0))
-INDEX('RFM input'!$G$169:$Q$218,$A2228,MATCH(F$6,'RFM input'!$G$60:$Q$60,0))))</f>
        <v>0</v>
      </c>
      <c r="G2228" s="1417">
        <f>IF(LEFT(G$6,4)&lt;LEFT('RFM input'!$G$60,4),"enter input",IF(LEFT(G$6,4)&gt;LEFT('RFM input'!$Q$60,4),0,INDEX('RFM input'!$G$61:$Q$110,$A2228,MATCH(G$6,'RFM input'!$G$60:$Q$60,0))
-INDEX('RFM input'!$G$115:$Q$164,$A2228,MATCH(G$6,'RFM input'!$G$60:$Q$60,0))
-INDEX('RFM input'!$G$169:$Q$218,$A2228,MATCH(G$6,'RFM input'!$G$60:$Q$60,0))))</f>
        <v>0</v>
      </c>
      <c r="H2228" s="1417">
        <f>IF(LEFT(H$6,4)&lt;LEFT('RFM input'!$G$60,4),"enter input",IF(LEFT(H$6,4)&gt;LEFT('RFM input'!$Q$60,4),0,INDEX('RFM input'!$G$61:$Q$110,$A2228,MATCH(H$6,'RFM input'!$G$60:$Q$60,0))
-INDEX('RFM input'!$G$115:$Q$164,$A2228,MATCH(H$6,'RFM input'!$G$60:$Q$60,0))
-INDEX('RFM input'!$G$169:$Q$218,$A2228,MATCH(H$6,'RFM input'!$G$60:$Q$60,0))))</f>
        <v>0</v>
      </c>
      <c r="I2228" s="1417">
        <f>IF(LEFT(I$6,4)&lt;LEFT('RFM input'!$G$60,4),"enter input",IF(LEFT(I$6,4)&gt;LEFT('RFM input'!$Q$60,4),0,INDEX('RFM input'!$G$61:$Q$110,$A2228,MATCH(I$6,'RFM input'!$G$60:$Q$60,0))
-INDEX('RFM input'!$G$115:$Q$164,$A2228,MATCH(I$6,'RFM input'!$G$60:$Q$60,0))
-INDEX('RFM input'!$G$169:$Q$218,$A2228,MATCH(I$6,'RFM input'!$G$60:$Q$60,0))))</f>
        <v>0</v>
      </c>
      <c r="J2228" s="1417">
        <f>IF(LEFT(J$6,4)&lt;LEFT('RFM input'!$G$60,4),"enter input",IF(LEFT(J$6,4)&gt;LEFT('RFM input'!$Q$60,4),0,INDEX('RFM input'!$G$61:$Q$110,$A2228,MATCH(J$6,'RFM input'!$G$60:$Q$60,0))
-INDEX('RFM input'!$G$115:$Q$164,$A2228,MATCH(J$6,'RFM input'!$G$60:$Q$60,0))
-INDEX('RFM input'!$G$169:$Q$218,$A2228,MATCH(J$6,'RFM input'!$G$60:$Q$60,0))))</f>
        <v>0</v>
      </c>
      <c r="K2228" s="1417">
        <f>IF(LEFT(K$6,4)&lt;LEFT('RFM input'!$G$60,4),"enter input",IF(LEFT(K$6,4)&gt;LEFT('RFM input'!$Q$60,4),0,INDEX('RFM input'!$G$61:$Q$110,$A2228,MATCH(K$6,'RFM input'!$G$60:$Q$60,0))
-INDEX('RFM input'!$G$115:$Q$164,$A2228,MATCH(K$6,'RFM input'!$G$60:$Q$60,0))
-INDEX('RFM input'!$G$169:$Q$218,$A2228,MATCH(K$6,'RFM input'!$G$60:$Q$60,0))))</f>
        <v>0</v>
      </c>
      <c r="L2228" s="1417">
        <f>IF(LEFT(L$6,4)&lt;LEFT('RFM input'!$G$60,4),"enter input",IF(LEFT(L$6,4)&gt;LEFT('RFM input'!$Q$60,4),0,INDEX('RFM input'!$G$61:$Q$110,$A2228,MATCH(L$6,'RFM input'!$G$60:$Q$60,0))
-INDEX('RFM input'!$G$115:$Q$164,$A2228,MATCH(L$6,'RFM input'!$G$60:$Q$60,0))
-INDEX('RFM input'!$G$169:$Q$218,$A2228,MATCH(L$6,'RFM input'!$G$60:$Q$60,0))))</f>
        <v>0</v>
      </c>
      <c r="M2228" s="1417">
        <f>IF(LEFT(M$6,4)&lt;LEFT('RFM input'!$G$60,4),"enter input",IF(LEFT(M$6,4)&gt;LEFT('RFM input'!$Q$60,4),0,INDEX('RFM input'!$G$61:$Q$110,$A2228,MATCH(M$6,'RFM input'!$G$60:$Q$60,0))
-INDEX('RFM input'!$G$115:$Q$164,$A2228,MATCH(M$6,'RFM input'!$G$60:$Q$60,0))
-INDEX('RFM input'!$G$169:$Q$218,$A2228,MATCH(M$6,'RFM input'!$G$60:$Q$60,0))))</f>
        <v>0</v>
      </c>
      <c r="N2228" s="1417">
        <f>IF(LEFT(N$6,4)&lt;LEFT('RFM input'!$G$60,4),"enter input",IF(LEFT(N$6,4)&gt;LEFT('RFM input'!$Q$60,4),0,INDEX('RFM input'!$G$61:$Q$110,$A2228,MATCH(N$6,'RFM input'!$G$60:$Q$60,0))
-INDEX('RFM input'!$G$115:$Q$164,$A2228,MATCH(N$6,'RFM input'!$G$60:$Q$60,0))
-INDEX('RFM input'!$G$169:$Q$218,$A2228,MATCH(N$6,'RFM input'!$G$60:$Q$60,0))))</f>
        <v>0</v>
      </c>
      <c r="O2228" s="1417">
        <f>IF(LEFT(O$6,4)&lt;LEFT('RFM input'!$G$60,4),"enter input",IF(LEFT(O$6,4)&gt;LEFT('RFM input'!$Q$60,4),0,INDEX('RFM input'!$G$61:$Q$110,$A2228,MATCH(O$6,'RFM input'!$G$60:$Q$60,0))
-INDEX('RFM input'!$G$115:$Q$164,$A2228,MATCH(O$6,'RFM input'!$G$60:$Q$60,0))
-INDEX('RFM input'!$G$169:$Q$218,$A2228,MATCH(O$6,'RFM input'!$G$60:$Q$60,0))))</f>
        <v>0</v>
      </c>
      <c r="P2228" s="1417">
        <f>IF(LEFT(P$6,4)&lt;LEFT('RFM input'!$G$60,4),"enter input",IF(LEFT(P$6,4)&gt;LEFT('RFM input'!$Q$60,4),0,INDEX('RFM input'!$G$61:$Q$110,$A2228,MATCH(P$6,'RFM input'!$G$60:$Q$60,0))
-INDEX('RFM input'!$G$115:$Q$164,$A2228,MATCH(P$6,'RFM input'!$G$60:$Q$60,0))
-INDEX('RFM input'!$G$169:$Q$218,$A2228,MATCH(P$6,'RFM input'!$G$60:$Q$60,0))))</f>
        <v>0</v>
      </c>
      <c r="Q2228" s="1417">
        <f>IF(LEFT(Q$6,4)&lt;LEFT('RFM input'!$G$60,4),"enter input",IF(LEFT(Q$6,4)&gt;LEFT('RFM input'!$Q$60,4),0,INDEX('RFM input'!$G$61:$Q$110,$A2228,MATCH(Q$6,'RFM input'!$G$60:$Q$60,0))
-INDEX('RFM input'!$G$115:$Q$164,$A2228,MATCH(Q$6,'RFM input'!$G$60:$Q$60,0))
-INDEX('RFM input'!$G$169:$Q$218,$A2228,MATCH(Q$6,'RFM input'!$G$60:$Q$60,0))))</f>
        <v>0</v>
      </c>
      <c r="R2228" s="1417">
        <f>IF(LEFT(R$6,4)&lt;LEFT('RFM input'!$G$60,4),"enter input",IF(LEFT(R$6,4)&gt;LEFT('RFM input'!$Q$60,4),0,INDEX('RFM input'!$G$61:$Q$110,$A2228,MATCH(R$6,'RFM input'!$G$60:$Q$60,0))
-INDEX('RFM input'!$G$115:$Q$164,$A2228,MATCH(R$6,'RFM input'!$G$60:$Q$60,0))
-INDEX('RFM input'!$G$169:$Q$218,$A2228,MATCH(R$6,'RFM input'!$G$60:$Q$60,0))))</f>
        <v>0</v>
      </c>
      <c r="S2228" s="1417">
        <f>IF(LEFT(S$6,4)&lt;LEFT('RFM input'!$G$60,4),"enter input",IF(LEFT(S$6,4)&gt;LEFT('RFM input'!$Q$60,4),0,INDEX('RFM input'!$G$61:$Q$110,$A2228,MATCH(S$6,'RFM input'!$G$60:$Q$60,0))
-INDEX('RFM input'!$G$115:$Q$164,$A2228,MATCH(S$6,'RFM input'!$G$60:$Q$60,0))
-INDEX('RFM input'!$G$169:$Q$218,$A2228,MATCH(S$6,'RFM input'!$G$60:$Q$60,0))))</f>
        <v>0</v>
      </c>
      <c r="T2228" s="1417">
        <f>IF(LEFT(T$6,4)&lt;LEFT('RFM input'!$G$60,4),"enter input",IF(LEFT(T$6,4)&gt;LEFT('RFM input'!$Q$60,4),0,INDEX('RFM input'!$G$61:$Q$110,$A2228,MATCH(T$6,'RFM input'!$G$60:$Q$60,0))
-INDEX('RFM input'!$G$115:$Q$164,$A2228,MATCH(T$6,'RFM input'!$G$60:$Q$60,0))
-INDEX('RFM input'!$G$169:$Q$218,$A2228,MATCH(T$6,'RFM input'!$G$60:$Q$60,0))))</f>
        <v>0</v>
      </c>
      <c r="U2228" s="1417">
        <f>IF(LEFT(U$6,4)&lt;LEFT('RFM input'!$G$60,4),"enter input",IF(LEFT(U$6,4)&gt;LEFT('RFM input'!$Q$60,4),0,INDEX('RFM input'!$G$61:$Q$110,$A2228,MATCH(U$6,'RFM input'!$G$60:$Q$60,0))
-INDEX('RFM input'!$G$115:$Q$164,$A2228,MATCH(U$6,'RFM input'!$G$60:$Q$60,0))
-INDEX('RFM input'!$G$169:$Q$218,$A2228,MATCH(U$6,'RFM input'!$G$60:$Q$60,0))))</f>
        <v>0</v>
      </c>
      <c r="V2228" s="1417">
        <f>IF(LEFT(V$6,4)&lt;LEFT('RFM input'!$G$60,4),"enter input",IF(LEFT(V$6,4)&gt;LEFT('RFM input'!$Q$60,4),0,INDEX('RFM input'!$G$61:$Q$110,$A2228,MATCH(V$6,'RFM input'!$G$60:$Q$60,0))
-INDEX('RFM input'!$G$115:$Q$164,$A2228,MATCH(V$6,'RFM input'!$G$60:$Q$60,0))
-INDEX('RFM input'!$G$169:$Q$218,$A2228,MATCH(V$6,'RFM input'!$G$60:$Q$60,0))))</f>
        <v>0</v>
      </c>
      <c r="W2228" s="1417">
        <f>IF(LEFT(W$6,4)&lt;LEFT('RFM input'!$G$60,4),"enter input",IF(LEFT(W$6,4)&gt;LEFT('RFM input'!$Q$60,4),0,INDEX('RFM input'!$G$61:$Q$110,$A2228,MATCH(W$6,'RFM input'!$G$60:$Q$60,0))
-INDEX('RFM input'!$G$115:$Q$164,$A2228,MATCH(W$6,'RFM input'!$G$60:$Q$60,0))
-INDEX('RFM input'!$G$169:$Q$218,$A2228,MATCH(W$6,'RFM input'!$G$60:$Q$60,0))))</f>
        <v>0</v>
      </c>
      <c r="X2228" s="152"/>
      <c r="Y2228" s="152"/>
      <c r="Z2228" s="152"/>
      <c r="AA2228" s="152"/>
      <c r="AB2228" s="152"/>
    </row>
    <row r="2229" spans="1:28">
      <c r="A2229" s="152"/>
      <c r="B2229" s="152" t="s">
        <v>204</v>
      </c>
      <c r="C2229" s="1418">
        <f ca="1">IF($C$8='Capital Base roll forward'!$H$4,OFFSET('RFM input'!$J$6,'RAB remaining lives'!A2228,0),"enter input")</f>
        <v>0</v>
      </c>
      <c r="D2229" s="1417">
        <f>IF(LEFT(D$6,4)&lt;=LEFT('RFM input'!$G$60,4),"enter input",IF(LEFT(D$6,4)&gt;LEFT('RFM input'!$Q$60,4),0,IF(MATCH(D$6,'RFM input'!$H$60:$Q$60,0),INDEX('RFM input'!$K$7:$K$56,$A2228,1))))</f>
        <v>0</v>
      </c>
      <c r="E2229" s="1417">
        <f>IF(LEFT(E$6,4)&lt;=LEFT('RFM input'!$G$60,4),"enter input",IF(LEFT(E$6,4)&gt;LEFT('RFM input'!$Q$60,4),0,IF(MATCH(E$6,'RFM input'!$H$60:$Q$60,0),INDEX('RFM input'!$K$7:$K$56,$A2228,1))))</f>
        <v>0</v>
      </c>
      <c r="F2229" s="1417">
        <f>IF(LEFT(F$6,4)&lt;=LEFT('RFM input'!$G$60,4),"enter input",IF(LEFT(F$6,4)&gt;LEFT('RFM input'!$Q$60,4),0,IF(MATCH(F$6,'RFM input'!$H$60:$Q$60,0),INDEX('RFM input'!$K$7:$K$56,$A2228,1))))</f>
        <v>0</v>
      </c>
      <c r="G2229" s="1417">
        <f>IF(LEFT(G$6,4)&lt;=LEFT('RFM input'!$G$60,4),"enter input",IF(LEFT(G$6,4)&gt;LEFT('RFM input'!$Q$60,4),0,IF(MATCH(G$6,'RFM input'!$H$60:$Q$60,0),INDEX('RFM input'!$K$7:$K$56,$A2228,1))))</f>
        <v>0</v>
      </c>
      <c r="H2229" s="1417">
        <f>IF(LEFT(H$6,4)&lt;=LEFT('RFM input'!$G$60,4),"enter input",IF(LEFT(H$6,4)&gt;LEFT('RFM input'!$Q$60,4),0,IF(MATCH(H$6,'RFM input'!$H$60:$Q$60,0),INDEX('RFM input'!$K$7:$K$56,$A2228,1))))</f>
        <v>0</v>
      </c>
      <c r="I2229" s="1417">
        <f>IF(LEFT(I$6,4)&lt;=LEFT('RFM input'!$G$60,4),"enter input",IF(LEFT(I$6,4)&gt;LEFT('RFM input'!$Q$60,4),0,IF(MATCH(I$6,'RFM input'!$H$60:$Q$60,0),INDEX('RFM input'!$K$7:$K$56,$A2228,1))))</f>
        <v>0</v>
      </c>
      <c r="J2229" s="1417">
        <f>IF(LEFT(J$6,4)&lt;=LEFT('RFM input'!$G$60,4),"enter input",IF(LEFT(J$6,4)&gt;LEFT('RFM input'!$Q$60,4),0,IF(MATCH(J$6,'RFM input'!$H$60:$Q$60,0),INDEX('RFM input'!$K$7:$K$56,$A2228,1))))</f>
        <v>0</v>
      </c>
      <c r="K2229" s="1417">
        <f>IF(LEFT(K$6,4)&lt;=LEFT('RFM input'!$G$60,4),"enter input",IF(LEFT(K$6,4)&gt;LEFT('RFM input'!$Q$60,4),0,IF(MATCH(K$6,'RFM input'!$H$60:$Q$60,0),INDEX('RFM input'!$K$7:$K$56,$A2228,1))))</f>
        <v>0</v>
      </c>
      <c r="L2229" s="1417">
        <f>IF(LEFT(L$6,4)&lt;=LEFT('RFM input'!$G$60,4),"enter input",IF(LEFT(L$6,4)&gt;LEFT('RFM input'!$Q$60,4),0,IF(MATCH(L$6,'RFM input'!$H$60:$Q$60,0),INDEX('RFM input'!$K$7:$K$56,$A2228,1))))</f>
        <v>0</v>
      </c>
      <c r="M2229" s="1417">
        <f>IF(LEFT(M$6,4)&lt;=LEFT('RFM input'!$G$60,4),"enter input",IF(LEFT(M$6,4)&gt;LEFT('RFM input'!$Q$60,4),0,IF(MATCH(M$6,'RFM input'!$H$60:$Q$60,0),INDEX('RFM input'!$K$7:$K$56,$A2228,1))))</f>
        <v>0</v>
      </c>
      <c r="N2229" s="1417">
        <f>IF(LEFT(N$6,4)&lt;=LEFT('RFM input'!$G$60,4),"enter input",IF(LEFT(N$6,4)&gt;LEFT('RFM input'!$Q$60,4),0,IF(MATCH(N$6,'RFM input'!$H$60:$Q$60,0),INDEX('RFM input'!$K$7:$K$56,$A2228,1))))</f>
        <v>0</v>
      </c>
      <c r="O2229" s="1417">
        <f>IF(LEFT(O$6,4)&lt;=LEFT('RFM input'!$G$60,4),"enter input",IF(LEFT(O$6,4)&gt;LEFT('RFM input'!$Q$60,4),0,IF(MATCH(O$6,'RFM input'!$H$60:$Q$60,0),INDEX('RFM input'!$K$7:$K$56,$A2228,1))))</f>
        <v>0</v>
      </c>
      <c r="P2229" s="1417">
        <f>IF(LEFT(P$6,4)&lt;=LEFT('RFM input'!$G$60,4),"enter input",IF(LEFT(P$6,4)&gt;LEFT('RFM input'!$Q$60,4),0,IF(MATCH(P$6,'RFM input'!$H$60:$Q$60,0),INDEX('RFM input'!$K$7:$K$56,$A2228,1))))</f>
        <v>0</v>
      </c>
      <c r="Q2229" s="1417">
        <f>IF(LEFT(Q$6,4)&lt;=LEFT('RFM input'!$G$60,4),"enter input",IF(LEFT(Q$6,4)&gt;LEFT('RFM input'!$Q$60,4),0,IF(MATCH(Q$6,'RFM input'!$H$60:$Q$60,0),INDEX('RFM input'!$K$7:$K$56,$A2228,1))))</f>
        <v>0</v>
      </c>
      <c r="R2229" s="1417">
        <f>IF(LEFT(R$6,4)&lt;=LEFT('RFM input'!$G$60,4),"enter input",IF(LEFT(R$6,4)&gt;LEFT('RFM input'!$Q$60,4),0,IF(MATCH(R$6,'RFM input'!$H$60:$Q$60,0),INDEX('RFM input'!$K$7:$K$56,$A2228,1))))</f>
        <v>0</v>
      </c>
      <c r="S2229" s="1417">
        <f>IF(LEFT(S$6,4)&lt;=LEFT('RFM input'!$G$60,4),"enter input",IF(LEFT(S$6,4)&gt;LEFT('RFM input'!$Q$60,4),0,IF(MATCH(S$6,'RFM input'!$H$60:$Q$60,0),INDEX('RFM input'!$K$7:$K$56,$A2228,1))))</f>
        <v>0</v>
      </c>
      <c r="T2229" s="1417">
        <f>IF(LEFT(T$6,4)&lt;=LEFT('RFM input'!$G$60,4),"enter input",IF(LEFT(T$6,4)&gt;LEFT('RFM input'!$Q$60,4),0,IF(MATCH(T$6,'RFM input'!$H$60:$Q$60,0),INDEX('RFM input'!$K$7:$K$56,$A2228,1))))</f>
        <v>0</v>
      </c>
      <c r="U2229" s="1417">
        <f>IF(LEFT(U$6,4)&lt;=LEFT('RFM input'!$G$60,4),"enter input",IF(LEFT(U$6,4)&gt;LEFT('RFM input'!$Q$60,4),0,IF(MATCH(U$6,'RFM input'!$H$60:$Q$60,0),INDEX('RFM input'!$K$7:$K$56,$A2228,1))))</f>
        <v>0</v>
      </c>
      <c r="V2229" s="1417">
        <f>IF(LEFT(V$6,4)&lt;=LEFT('RFM input'!$G$60,4),"enter input",IF(LEFT(V$6,4)&gt;LEFT('RFM input'!$Q$60,4),0,IF(MATCH(V$6,'RFM input'!$H$60:$Q$60,0),INDEX('RFM input'!$K$7:$K$56,$A2228,1))))</f>
        <v>0</v>
      </c>
      <c r="W2229" s="1417">
        <f>IF(LEFT(W$6,4)&lt;=LEFT('RFM input'!$G$60,4),"enter input",IF(LEFT(W$6,4)&gt;LEFT('RFM input'!$Q$60,4),0,IF(MATCH(W$6,'RFM input'!$H$60:$Q$60,0),INDEX('RFM input'!$K$7:$K$56,$A2228,1))))</f>
        <v>0</v>
      </c>
      <c r="X2229" s="152"/>
      <c r="Y2229" s="152"/>
      <c r="Z2229" s="152"/>
      <c r="AA2229" s="152"/>
      <c r="AB2229" s="152"/>
    </row>
    <row r="2230" spans="1:28">
      <c r="A2230" s="152"/>
      <c r="B2230" s="177" t="s">
        <v>191</v>
      </c>
      <c r="C2230" s="1419"/>
      <c r="D2230" s="1420">
        <f ca="1">IF(LEFT(D$6,4)&lt;=LEFT('RFM input'!$G$60,4),"enter input",IF(LEFT(D$6,4)&gt;LEFT('RFM input'!$Q$60,4),0,IF(D$6=(OFFSET('RFM input'!$G$60,0,'RFM input'!$V$7)),OFFSET('RFM input'!$G$411,$A2228,0),0)))</f>
        <v>0</v>
      </c>
      <c r="E2230" s="1417">
        <f ca="1">IF(LEFT(E$6,4)&lt;=LEFT('RFM input'!$G$60,4),"enter input",IF(LEFT(E$6,4)&gt;LEFT('RFM input'!$Q$60,4),0,IF(E$6=(OFFSET('RFM input'!$G$60,0,'RFM input'!$V$7)),OFFSET('RFM input'!$G$411,$A2228,0),0)))</f>
        <v>0</v>
      </c>
      <c r="F2230" s="1417">
        <f ca="1">IF(LEFT(F$6,4)&lt;=LEFT('RFM input'!$G$60,4),"enter input",IF(LEFT(F$6,4)&gt;LEFT('RFM input'!$Q$60,4),0,IF(F$6=(OFFSET('RFM input'!$G$60,0,'RFM input'!$V$7)),OFFSET('RFM input'!$G$411,$A2228,0),0)))</f>
        <v>0</v>
      </c>
      <c r="G2230" s="1417">
        <f ca="1">IF(LEFT(G$6,4)&lt;=LEFT('RFM input'!$G$60,4),"enter input",IF(LEFT(G$6,4)&gt;LEFT('RFM input'!$Q$60,4),0,IF(G$6=(OFFSET('RFM input'!$G$60,0,'RFM input'!$V$7)),OFFSET('RFM input'!$G$411,$A2228,0),0)))</f>
        <v>0</v>
      </c>
      <c r="H2230" s="1417">
        <f ca="1">IF(LEFT(H$6,4)&lt;=LEFT('RFM input'!$G$60,4),"enter input",IF(LEFT(H$6,4)&gt;LEFT('RFM input'!$Q$60,4),0,IF(H$6=(OFFSET('RFM input'!$G$60,0,'RFM input'!$V$7)),OFFSET('RFM input'!$G$411,$A2228,0),0)))</f>
        <v>0</v>
      </c>
      <c r="I2230" s="1417">
        <f ca="1">IF(LEFT(I$6,4)&lt;=LEFT('RFM input'!$G$60,4),"enter input",IF(LEFT(I$6,4)&gt;LEFT('RFM input'!$Q$60,4),0,IF(I$6=(OFFSET('RFM input'!$G$60,0,'RFM input'!$V$7)),OFFSET('RFM input'!$G$411,$A2228,0),0)))</f>
        <v>0</v>
      </c>
      <c r="J2230" s="1417">
        <f ca="1">IF(LEFT(J$6,4)&lt;=LEFT('RFM input'!$G$60,4),"enter input",IF(LEFT(J$6,4)&gt;LEFT('RFM input'!$Q$60,4),0,IF(J$6=(OFFSET('RFM input'!$G$60,0,'RFM input'!$V$7)),OFFSET('RFM input'!$G$411,$A2228,0),0)))</f>
        <v>0</v>
      </c>
      <c r="K2230" s="1417">
        <f ca="1">IF(LEFT(K$6,4)&lt;=LEFT('RFM input'!$G$60,4),"enter input",IF(LEFT(K$6,4)&gt;LEFT('RFM input'!$Q$60,4),0,IF(K$6=(OFFSET('RFM input'!$G$60,0,'RFM input'!$V$7)),OFFSET('RFM input'!$G$411,$A2228,0),0)))</f>
        <v>0</v>
      </c>
      <c r="L2230" s="1417">
        <f ca="1">IF(LEFT(L$6,4)&lt;=LEFT('RFM input'!$G$60,4),"enter input",IF(LEFT(L$6,4)&gt;LEFT('RFM input'!$Q$60,4),0,IF(L$6=(OFFSET('RFM input'!$G$60,0,'RFM input'!$V$7)),OFFSET('RFM input'!$G$411,$A2228,0),0)))</f>
        <v>0</v>
      </c>
      <c r="M2230" s="1417">
        <f ca="1">IF(LEFT(M$6,4)&lt;=LEFT('RFM input'!$G$60,4),"enter input",IF(LEFT(M$6,4)&gt;LEFT('RFM input'!$Q$60,4),0,IF(M$6=(OFFSET('RFM input'!$G$60,0,'RFM input'!$V$7)),OFFSET('RFM input'!$G$411,$A2228,0),0)))</f>
        <v>0</v>
      </c>
      <c r="N2230" s="1417">
        <f ca="1">IF(LEFT(N$6,4)&lt;=LEFT('RFM input'!$G$60,4),"enter input",IF(LEFT(N$6,4)&gt;LEFT('RFM input'!$Q$60,4),0,IF(N$6=(OFFSET('RFM input'!$G$60,0,'RFM input'!$V$7)),OFFSET('RFM input'!$G$411,$A2228,0),0)))</f>
        <v>0</v>
      </c>
      <c r="O2230" s="1417">
        <f ca="1">IF(LEFT(O$6,4)&lt;=LEFT('RFM input'!$G$60,4),"enter input",IF(LEFT(O$6,4)&gt;LEFT('RFM input'!$Q$60,4),0,IF(O$6=(OFFSET('RFM input'!$G$60,0,'RFM input'!$V$7)),OFFSET('RFM input'!$G$411,$A2228,0),0)))</f>
        <v>0</v>
      </c>
      <c r="P2230" s="1417">
        <f ca="1">IF(LEFT(P$6,4)&lt;=LEFT('RFM input'!$G$60,4),"enter input",IF(LEFT(P$6,4)&gt;LEFT('RFM input'!$Q$60,4),0,IF(P$6=(OFFSET('RFM input'!$G$60,0,'RFM input'!$V$7)),OFFSET('RFM input'!$G$411,$A2228,0),0)))</f>
        <v>0</v>
      </c>
      <c r="Q2230" s="1417">
        <f ca="1">IF(LEFT(Q$6,4)&lt;=LEFT('RFM input'!$G$60,4),"enter input",IF(LEFT(Q$6,4)&gt;LEFT('RFM input'!$Q$60,4),0,IF(Q$6=(OFFSET('RFM input'!$G$60,0,'RFM input'!$V$7)),OFFSET('RFM input'!$G$411,$A2228,0),0)))</f>
        <v>0</v>
      </c>
      <c r="R2230" s="1417">
        <f ca="1">IF(LEFT(R$6,4)&lt;=LEFT('RFM input'!$G$60,4),"enter input",IF(LEFT(R$6,4)&gt;LEFT('RFM input'!$Q$60,4),0,IF(R$6=(OFFSET('RFM input'!$G$60,0,'RFM input'!$V$7)),OFFSET('RFM input'!$G$411,$A2228,0),0)))</f>
        <v>0</v>
      </c>
      <c r="S2230" s="1417">
        <f ca="1">IF(LEFT(S$6,4)&lt;=LEFT('RFM input'!$G$60,4),"enter input",IF(LEFT(S$6,4)&gt;LEFT('RFM input'!$Q$60,4),0,IF(S$6=(OFFSET('RFM input'!$G$60,0,'RFM input'!$V$7)),OFFSET('RFM input'!$G$411,$A2228,0),0)))</f>
        <v>0</v>
      </c>
      <c r="T2230" s="1417">
        <f ca="1">IF(LEFT(T$6,4)&lt;=LEFT('RFM input'!$G$60,4),"enter input",IF(LEFT(T$6,4)&gt;LEFT('RFM input'!$Q$60,4),0,IF(T$6=(OFFSET('RFM input'!$G$60,0,'RFM input'!$V$7)),OFFSET('RFM input'!$G$411,$A2228,0),0)))</f>
        <v>0</v>
      </c>
      <c r="U2230" s="1417">
        <f ca="1">IF(LEFT(U$6,4)&lt;=LEFT('RFM input'!$G$60,4),"enter input",IF(LEFT(U$6,4)&gt;LEFT('RFM input'!$Q$60,4),0,IF(U$6=(OFFSET('RFM input'!$G$60,0,'RFM input'!$V$7)),OFFSET('RFM input'!$G$411,$A2228,0),0)))</f>
        <v>0</v>
      </c>
      <c r="V2230" s="1417">
        <f ca="1">IF(LEFT(V$6,4)&lt;=LEFT('RFM input'!$G$60,4),"enter input",IF(LEFT(V$6,4)&gt;LEFT('RFM input'!$Q$60,4),0,IF(V$6=(OFFSET('RFM input'!$G$60,0,'RFM input'!$V$7)),OFFSET('RFM input'!$G$411,$A2228,0),0)))</f>
        <v>0</v>
      </c>
      <c r="W2230" s="1417">
        <f ca="1">IF(LEFT(W$6,4)&lt;=LEFT('RFM input'!$G$60,4),"enter input",IF(LEFT(W$6,4)&gt;LEFT('RFM input'!$Q$60,4),0,IF(W$6=(OFFSET('RFM input'!$G$60,0,'RFM input'!$V$7)),OFFSET('RFM input'!$G$411,$A2228,0),0)))</f>
        <v>0</v>
      </c>
      <c r="X2230" s="152"/>
      <c r="Y2230" s="152"/>
      <c r="Z2230" s="152"/>
      <c r="AA2230" s="152"/>
      <c r="AB2230" s="152"/>
    </row>
    <row r="2231" spans="1:28">
      <c r="A2231" s="152"/>
      <c r="B2231" s="195" t="s">
        <v>197</v>
      </c>
      <c r="C2231" s="1419"/>
      <c r="D2231" s="1418">
        <f ca="1">IF(LEFT(D$6,4)&lt;=LEFT('RFM input'!$G$60,4),"enter input",IF(LEFT(D$6,4)&gt;LEFT('RFM input'!$Q$60,4),0,IF(D$6=(OFFSET('RFM input'!$G$60,0,'RFM input'!$V$7)),OFFSET('RFM input'!$I$411,$A2228,0),0)))</f>
        <v>0</v>
      </c>
      <c r="E2231" s="1422">
        <f ca="1">IF(LEFT(E$6,4)&lt;=LEFT('RFM input'!$G$60,4),"enter input",IF(LEFT(E$6,4)&gt;LEFT('RFM input'!$Q$60,4),0,IF(E$6=(OFFSET('RFM input'!$G$60,0,'RFM input'!$V$7)),OFFSET('RFM input'!$I$411,$A2228,0),0)))</f>
        <v>0</v>
      </c>
      <c r="F2231" s="1422">
        <f ca="1">IF(LEFT(F$6,4)&lt;=LEFT('RFM input'!$G$60,4),"enter input",IF(LEFT(F$6,4)&gt;LEFT('RFM input'!$Q$60,4),0,IF(F$6=(OFFSET('RFM input'!$G$60,0,'RFM input'!$V$7)),OFFSET('RFM input'!$I$411,$A2228,0),0)))</f>
        <v>0</v>
      </c>
      <c r="G2231" s="1422">
        <f ca="1">IF(LEFT(G$6,4)&lt;=LEFT('RFM input'!$G$60,4),"enter input",IF(LEFT(G$6,4)&gt;LEFT('RFM input'!$Q$60,4),0,IF(G$6=(OFFSET('RFM input'!$G$60,0,'RFM input'!$V$7)),OFFSET('RFM input'!$I$411,$A2228,0),0)))</f>
        <v>0</v>
      </c>
      <c r="H2231" s="1422">
        <f ca="1">IF(LEFT(H$6,4)&lt;=LEFT('RFM input'!$G$60,4),"enter input",IF(LEFT(H$6,4)&gt;LEFT('RFM input'!$Q$60,4),0,IF(H$6=(OFFSET('RFM input'!$G$60,0,'RFM input'!$V$7)),OFFSET('RFM input'!$I$411,$A2228,0),0)))</f>
        <v>0</v>
      </c>
      <c r="I2231" s="1422">
        <f ca="1">IF(LEFT(I$6,4)&lt;=LEFT('RFM input'!$G$60,4),"enter input",IF(LEFT(I$6,4)&gt;LEFT('RFM input'!$Q$60,4),0,IF(I$6=(OFFSET('RFM input'!$G$60,0,'RFM input'!$V$7)),OFFSET('RFM input'!$I$411,$A2228,0),0)))</f>
        <v>0</v>
      </c>
      <c r="J2231" s="1422">
        <f ca="1">IF(LEFT(J$6,4)&lt;=LEFT('RFM input'!$G$60,4),"enter input",IF(LEFT(J$6,4)&gt;LEFT('RFM input'!$Q$60,4),0,IF(J$6=(OFFSET('RFM input'!$G$60,0,'RFM input'!$V$7)),OFFSET('RFM input'!$I$411,$A2228,0),0)))</f>
        <v>0</v>
      </c>
      <c r="K2231" s="1422">
        <f ca="1">IF(LEFT(K$6,4)&lt;=LEFT('RFM input'!$G$60,4),"enter input",IF(LEFT(K$6,4)&gt;LEFT('RFM input'!$Q$60,4),0,IF(K$6=(OFFSET('RFM input'!$G$60,0,'RFM input'!$V$7)),OFFSET('RFM input'!$I$411,$A2228,0),0)))</f>
        <v>0</v>
      </c>
      <c r="L2231" s="1422">
        <f ca="1">IF(LEFT(L$6,4)&lt;=LEFT('RFM input'!$G$60,4),"enter input",IF(LEFT(L$6,4)&gt;LEFT('RFM input'!$Q$60,4),0,IF(L$6=(OFFSET('RFM input'!$G$60,0,'RFM input'!$V$7)),OFFSET('RFM input'!$I$411,$A2228,0),0)))</f>
        <v>0</v>
      </c>
      <c r="M2231" s="1422">
        <f ca="1">IF(LEFT(M$6,4)&lt;=LEFT('RFM input'!$G$60,4),"enter input",IF(LEFT(M$6,4)&gt;LEFT('RFM input'!$Q$60,4),0,IF(M$6=(OFFSET('RFM input'!$G$60,0,'RFM input'!$V$7)),OFFSET('RFM input'!$I$411,$A2228,0),0)))</f>
        <v>0</v>
      </c>
      <c r="N2231" s="1422">
        <f ca="1">IF(LEFT(N$6,4)&lt;=LEFT('RFM input'!$G$60,4),"enter input",IF(LEFT(N$6,4)&gt;LEFT('RFM input'!$Q$60,4),0,IF(N$6=(OFFSET('RFM input'!$G$60,0,'RFM input'!$V$7)),OFFSET('RFM input'!$I$411,$A2228,0),0)))</f>
        <v>0</v>
      </c>
      <c r="O2231" s="1422">
        <f ca="1">IF(LEFT(O$6,4)&lt;=LEFT('RFM input'!$G$60,4),"enter input",IF(LEFT(O$6,4)&gt;LEFT('RFM input'!$Q$60,4),0,IF(O$6=(OFFSET('RFM input'!$G$60,0,'RFM input'!$V$7)),OFFSET('RFM input'!$I$411,$A2228,0),0)))</f>
        <v>0</v>
      </c>
      <c r="P2231" s="1422">
        <f ca="1">IF(LEFT(P$6,4)&lt;=LEFT('RFM input'!$G$60,4),"enter input",IF(LEFT(P$6,4)&gt;LEFT('RFM input'!$Q$60,4),0,IF(P$6=(OFFSET('RFM input'!$G$60,0,'RFM input'!$V$7)),OFFSET('RFM input'!$I$411,$A2228,0),0)))</f>
        <v>0</v>
      </c>
      <c r="Q2231" s="1422">
        <f ca="1">IF(LEFT(Q$6,4)&lt;=LEFT('RFM input'!$G$60,4),"enter input",IF(LEFT(Q$6,4)&gt;LEFT('RFM input'!$Q$60,4),0,IF(Q$6=(OFFSET('RFM input'!$G$60,0,'RFM input'!$V$7)),OFFSET('RFM input'!$I$411,$A2228,0),0)))</f>
        <v>0</v>
      </c>
      <c r="R2231" s="1422">
        <f ca="1">IF(LEFT(R$6,4)&lt;=LEFT('RFM input'!$G$60,4),"enter input",IF(LEFT(R$6,4)&gt;LEFT('RFM input'!$Q$60,4),0,IF(R$6=(OFFSET('RFM input'!$G$60,0,'RFM input'!$V$7)),OFFSET('RFM input'!$I$411,$A2228,0),0)))</f>
        <v>0</v>
      </c>
      <c r="S2231" s="1422">
        <f ca="1">IF(LEFT(S$6,4)&lt;=LEFT('RFM input'!$G$60,4),"enter input",IF(LEFT(S$6,4)&gt;LEFT('RFM input'!$Q$60,4),0,IF(S$6=(OFFSET('RFM input'!$G$60,0,'RFM input'!$V$7)),OFFSET('RFM input'!$I$411,$A2228,0),0)))</f>
        <v>0</v>
      </c>
      <c r="T2231" s="1422">
        <f ca="1">IF(LEFT(T$6,4)&lt;=LEFT('RFM input'!$G$60,4),"enter input",IF(LEFT(T$6,4)&gt;LEFT('RFM input'!$Q$60,4),0,IF(T$6=(OFFSET('RFM input'!$G$60,0,'RFM input'!$V$7)),OFFSET('RFM input'!$I$411,$A2228,0),0)))</f>
        <v>0</v>
      </c>
      <c r="U2231" s="1422">
        <f ca="1">IF(LEFT(U$6,4)&lt;=LEFT('RFM input'!$G$60,4),"enter input",IF(LEFT(U$6,4)&gt;LEFT('RFM input'!$Q$60,4),0,IF(U$6=(OFFSET('RFM input'!$G$60,0,'RFM input'!$V$7)),OFFSET('RFM input'!$I$411,$A2228,0),0)))</f>
        <v>0</v>
      </c>
      <c r="V2231" s="1422">
        <f ca="1">IF(LEFT(V$6,4)&lt;=LEFT('RFM input'!$G$60,4),"enter input",IF(LEFT(V$6,4)&gt;LEFT('RFM input'!$Q$60,4),0,IF(V$6=(OFFSET('RFM input'!$G$60,0,'RFM input'!$V$7)),OFFSET('RFM input'!$I$411,$A2228,0),0)))</f>
        <v>0</v>
      </c>
      <c r="W2231" s="1422">
        <f ca="1">IF(LEFT(W$6,4)&lt;=LEFT('RFM input'!$G$60,4),"enter input",IF(LEFT(W$6,4)&gt;LEFT('RFM input'!$Q$60,4),0,IF(W$6=(OFFSET('RFM input'!$G$60,0,'RFM input'!$V$7)),OFFSET('RFM input'!$I$411,$A2228,0),0)))</f>
        <v>0</v>
      </c>
      <c r="X2231" s="152"/>
      <c r="Y2231" s="152"/>
      <c r="Z2231" s="152"/>
      <c r="AA2231" s="152"/>
      <c r="AB2231" s="152"/>
    </row>
    <row r="2232" spans="1:28" hidden="1" outlineLevel="1">
      <c r="A2232" s="235">
        <v>-1</v>
      </c>
      <c r="B2232" s="190" t="s">
        <v>189</v>
      </c>
      <c r="C2232" s="1423"/>
      <c r="D2232" s="1423">
        <f ca="1">IF(AND(D2230=0,C2232=0),0,
IF(AND(D2230&lt;&gt;0,C2232=0),(D2230/D$10),
IF(AND(D2231&lt;&gt;0,C2232&lt;&gt;0),(C2232-(C2232/C2256))+(D2230/D$10),
IF(C2256&lt;1,0,(C2232-(C2232/C2256))))))</f>
        <v>0</v>
      </c>
      <c r="E2232" s="1423">
        <f t="shared" ref="E2232" ca="1" si="3286">IF(AND(E2230=0,D2232=0),0,
IF(AND(E2230&lt;&gt;0,D2232=0),(E2230/E$10),
IF(AND(E2231&lt;&gt;0,D2232&lt;&gt;0),(D2232-(D2232/D2256))+(E2230/E$10),
IF(D2256&lt;1,0,(D2232-(D2232/D2256))))))</f>
        <v>0</v>
      </c>
      <c r="F2232" s="1423">
        <f t="shared" ref="F2232" ca="1" si="3287">IF(AND(F2230=0,E2232=0),0,
IF(AND(F2230&lt;&gt;0,E2232=0),(F2230/F$10),
IF(AND(F2231&lt;&gt;0,E2232&lt;&gt;0),(E2232-(E2232/E2256))+(F2230/F$10),
IF(E2256&lt;1,0,(E2232-(E2232/E2256))))))</f>
        <v>0</v>
      </c>
      <c r="G2232" s="1423">
        <f t="shared" ref="G2232" ca="1" si="3288">IF(AND(G2230=0,F2232=0),0,
IF(AND(G2230&lt;&gt;0,F2232=0),(G2230/G$10),
IF(AND(G2231&lt;&gt;0,F2232&lt;&gt;0),(F2232-(F2232/F2256))+(G2230/G$10),
IF(F2256&lt;1,0,(F2232-(F2232/F2256))))))</f>
        <v>0</v>
      </c>
      <c r="H2232" s="1423">
        <f t="shared" ref="H2232" ca="1" si="3289">IF(AND(H2230=0,G2232=0),0,
IF(AND(H2230&lt;&gt;0,G2232=0),(H2230/H$10),
IF(AND(H2231&lt;&gt;0,G2232&lt;&gt;0),(G2232-(G2232/G2256))+(H2230/H$10),
IF(G2256&lt;1,0,(G2232-(G2232/G2256))))))</f>
        <v>0</v>
      </c>
      <c r="I2232" s="1423">
        <f t="shared" ref="I2232" ca="1" si="3290">IF(AND(I2230=0,H2232=0),0,
IF(AND(I2230&lt;&gt;0,H2232=0),(I2230/I$10),
IF(AND(I2231&lt;&gt;0,H2232&lt;&gt;0),(H2232-(H2232/H2256))+(I2230/I$10),
IF(H2256&lt;1,0,(H2232-(H2232/H2256))))))</f>
        <v>0</v>
      </c>
      <c r="J2232" s="1423">
        <f t="shared" ref="J2232" ca="1" si="3291">IF(AND(J2230=0,I2232=0),0,
IF(AND(J2230&lt;&gt;0,I2232=0),(J2230/J$10),
IF(AND(J2231&lt;&gt;0,I2232&lt;&gt;0),(I2232-(I2232/I2256))+(J2230/J$10),
IF(I2256&lt;1,0,(I2232-(I2232/I2256))))))</f>
        <v>0</v>
      </c>
      <c r="K2232" s="1423">
        <f t="shared" ref="K2232" ca="1" si="3292">IF(AND(K2230=0,J2232=0),0,
IF(AND(K2230&lt;&gt;0,J2232=0),(K2230/K$10),
IF(AND(K2231&lt;&gt;0,J2232&lt;&gt;0),(J2232-(J2232/J2256))+(K2230/K$10),
IF(J2256&lt;1,0,(J2232-(J2232/J2256))))))</f>
        <v>0</v>
      </c>
      <c r="L2232" s="1423">
        <f t="shared" ref="L2232" ca="1" si="3293">IF(AND(L2230=0,K2232=0),0,
IF(AND(L2230&lt;&gt;0,K2232=0),(L2230/L$10),
IF(AND(L2231&lt;&gt;0,K2232&lt;&gt;0),(K2232-(K2232/K2256))+(L2230/L$10),
IF(K2256&lt;1,0,(K2232-(K2232/K2256))))))</f>
        <v>0</v>
      </c>
      <c r="M2232" s="1423">
        <f t="shared" ref="M2232" ca="1" si="3294">IF(AND(M2230=0,L2232=0),0,
IF(AND(M2230&lt;&gt;0,L2232=0),(M2230/M$10),
IF(AND(M2231&lt;&gt;0,L2232&lt;&gt;0),(L2232-(L2232/L2256))+(M2230/M$10),
IF(L2256&lt;1,0,(L2232-(L2232/L2256))))))</f>
        <v>0</v>
      </c>
      <c r="N2232" s="1423">
        <f t="shared" ref="N2232" ca="1" si="3295">IF(AND(N2230=0,M2232=0),0,
IF(AND(N2230&lt;&gt;0,M2232=0),(N2230/N$10),
IF(AND(N2231&lt;&gt;0,M2232&lt;&gt;0),(M2232-(M2232/M2256))+(N2230/N$10),
IF(M2256&lt;1,0,(M2232-(M2232/M2256))))))</f>
        <v>0</v>
      </c>
      <c r="O2232" s="1423">
        <f t="shared" ref="O2232" ca="1" si="3296">IF(AND(O2230=0,N2232=0),0,
IF(AND(O2230&lt;&gt;0,N2232=0),(O2230/O$10),
IF(AND(O2231&lt;&gt;0,N2232&lt;&gt;0),(N2232-(N2232/N2256))+(O2230/O$10),
IF(N2256&lt;1,0,(N2232-(N2232/N2256))))))</f>
        <v>0</v>
      </c>
      <c r="P2232" s="1423">
        <f t="shared" ref="P2232" ca="1" si="3297">IF(AND(P2230=0,O2232=0),0,
IF(AND(P2230&lt;&gt;0,O2232=0),(P2230/P$10),
IF(AND(P2231&lt;&gt;0,O2232&lt;&gt;0),(O2232-(O2232/O2256))+(P2230/P$10),
IF(O2256&lt;1,0,(O2232-(O2232/O2256))))))</f>
        <v>0</v>
      </c>
      <c r="Q2232" s="1423">
        <f t="shared" ref="Q2232" ca="1" si="3298">IF(AND(Q2230=0,P2232=0),0,
IF(AND(Q2230&lt;&gt;0,P2232=0),(Q2230/Q$10),
IF(AND(Q2231&lt;&gt;0,P2232&lt;&gt;0),(P2232-(P2232/P2256))+(Q2230/Q$10),
IF(P2256&lt;1,0,(P2232-(P2232/P2256))))))</f>
        <v>0</v>
      </c>
      <c r="R2232" s="1423">
        <f t="shared" ref="R2232" ca="1" si="3299">IF(AND(R2230=0,Q2232=0),0,
IF(AND(R2230&lt;&gt;0,Q2232=0),(R2230/R$10),
IF(AND(R2231&lt;&gt;0,Q2232&lt;&gt;0),(Q2232-(Q2232/Q2256))+(R2230/R$10),
IF(Q2256&lt;1,0,(Q2232-(Q2232/Q2256))))))</f>
        <v>0</v>
      </c>
      <c r="S2232" s="1423">
        <f t="shared" ref="S2232" ca="1" si="3300">IF(AND(S2230=0,R2232=0),0,
IF(AND(S2230&lt;&gt;0,R2232=0),(S2230/S$10),
IF(AND(S2231&lt;&gt;0,R2232&lt;&gt;0),(R2232-(R2232/R2256))+(S2230/S$10),
IF(R2256&lt;1,0,(R2232-(R2232/R2256))))))</f>
        <v>0</v>
      </c>
      <c r="T2232" s="1423">
        <f t="shared" ref="T2232" ca="1" si="3301">IF(AND(T2230=0,S2232=0),0,
IF(AND(T2230&lt;&gt;0,S2232=0),(T2230/T$10),
IF(AND(T2231&lt;&gt;0,S2232&lt;&gt;0),(S2232-(S2232/S2256))+(T2230/T$10),
IF(S2256&lt;1,0,(S2232-(S2232/S2256))))))</f>
        <v>0</v>
      </c>
      <c r="U2232" s="1423">
        <f t="shared" ref="U2232" ca="1" si="3302">IF(AND(U2230=0,T2232=0),0,
IF(AND(U2230&lt;&gt;0,T2232=0),(U2230/U$10),
IF(AND(U2231&lt;&gt;0,T2232&lt;&gt;0),(T2232-(T2232/T2256))+(U2230/U$10),
IF(T2256&lt;1,0,(T2232-(T2232/T2256))))))</f>
        <v>0</v>
      </c>
      <c r="V2232" s="1423">
        <f t="shared" ref="V2232" ca="1" si="3303">IF(AND(V2230=0,U2232=0),0,
IF(AND(V2230&lt;&gt;0,U2232=0),(V2230/V$10),
IF(AND(V2231&lt;&gt;0,U2232&lt;&gt;0),(U2232-(U2232/U2256))+(V2230/V$10),
IF(U2256&lt;1,0,(U2232-(U2232/U2256))))))</f>
        <v>0</v>
      </c>
      <c r="W2232" s="1423">
        <f t="shared" ref="W2232" ca="1" si="3304">IF(AND(W2230=0,V2232=0),0,
IF(AND(W2230&lt;&gt;0,V2232=0),(W2230/W$10),
IF(AND(W2231&lt;&gt;0,V2232&lt;&gt;0),(V2232-(V2232/V2256))+(W2230/W$10),
IF(V2256&lt;1,0,(V2232-(V2232/V2256))))))</f>
        <v>0</v>
      </c>
      <c r="X2232" s="152"/>
      <c r="Y2232" s="152"/>
      <c r="Z2232" s="152"/>
      <c r="AA2232" s="152"/>
      <c r="AB2232" s="152"/>
    </row>
    <row r="2233" spans="1:28" hidden="1" outlineLevel="1">
      <c r="A2233" s="199">
        <f>A2232+1</f>
        <v>0</v>
      </c>
      <c r="B2233" s="190" t="s">
        <v>125</v>
      </c>
      <c r="C2233" s="1423">
        <f ca="1">C2228/C$10</f>
        <v>0</v>
      </c>
      <c r="D2233" s="1423">
        <f ca="1">IF(C2257="n/a",C2233,IFERROR(IF((OFFSET($C2233,0,$A2233))&lt;0,
MIN(0,C2233-(OFFSET($C2233,0,$A2233)/(OFFSET($C2228,-$A2232,$A2233)))),
MAX(0,C2233-(OFFSET($C2233,0,$A2233)/(OFFSET($C2228,-$A2232,$A2233))))),0))</f>
        <v>0</v>
      </c>
      <c r="E2233" s="1423">
        <f t="shared" ref="E2233" ca="1" si="3305">IF(D2257="n/a",D2233,IFERROR(IF((OFFSET($C2233,0,$A2233))&lt;0,
MIN(0,D2233-(OFFSET($C2233,0,$A2233)/(OFFSET($C2228,-$A2232,$A2233)))),
MAX(0,D2233-(OFFSET($C2233,0,$A2233)/(OFFSET($C2228,-$A2232,$A2233))))),0))</f>
        <v>0</v>
      </c>
      <c r="F2233" s="1423">
        <f t="shared" ref="F2233:F2234" ca="1" si="3306">IF(E2257="n/a",E2233,IFERROR(IF((OFFSET($C2233,0,$A2233))&lt;0,
MIN(0,E2233-(OFFSET($C2233,0,$A2233)/(OFFSET($C2228,-$A2232,$A2233)))),
MAX(0,E2233-(OFFSET($C2233,0,$A2233)/(OFFSET($C2228,-$A2232,$A2233))))),0))</f>
        <v>0</v>
      </c>
      <c r="G2233" s="1423">
        <f t="shared" ref="G2233:G2235" ca="1" si="3307">IF(F2257="n/a",F2233,IFERROR(IF((OFFSET($C2233,0,$A2233))&lt;0,
MIN(0,F2233-(OFFSET($C2233,0,$A2233)/(OFFSET($C2228,-$A2232,$A2233)))),
MAX(0,F2233-(OFFSET($C2233,0,$A2233)/(OFFSET($C2228,-$A2232,$A2233))))),0))</f>
        <v>0</v>
      </c>
      <c r="H2233" s="1423">
        <f t="shared" ref="H2233:H2236" ca="1" si="3308">IF(G2257="n/a",G2233,IFERROR(IF((OFFSET($C2233,0,$A2233))&lt;0,
MIN(0,G2233-(OFFSET($C2233,0,$A2233)/(OFFSET($C2228,-$A2232,$A2233)))),
MAX(0,G2233-(OFFSET($C2233,0,$A2233)/(OFFSET($C2228,-$A2232,$A2233))))),0))</f>
        <v>0</v>
      </c>
      <c r="I2233" s="1423">
        <f t="shared" ref="I2233:I2237" ca="1" si="3309">IF(H2257="n/a",H2233,IFERROR(IF((OFFSET($C2233,0,$A2233))&lt;0,
MIN(0,H2233-(OFFSET($C2233,0,$A2233)/(OFFSET($C2228,-$A2232,$A2233)))),
MAX(0,H2233-(OFFSET($C2233,0,$A2233)/(OFFSET($C2228,-$A2232,$A2233))))),0))</f>
        <v>0</v>
      </c>
      <c r="J2233" s="1423">
        <f t="shared" ref="J2233:J2238" ca="1" si="3310">IF(I2257="n/a",I2233,IFERROR(IF((OFFSET($C2233,0,$A2233))&lt;0,
MIN(0,I2233-(OFFSET($C2233,0,$A2233)/(OFFSET($C2228,-$A2232,$A2233)))),
MAX(0,I2233-(OFFSET($C2233,0,$A2233)/(OFFSET($C2228,-$A2232,$A2233))))),0))</f>
        <v>0</v>
      </c>
      <c r="K2233" s="1423">
        <f t="shared" ref="K2233:K2239" ca="1" si="3311">IF(J2257="n/a",J2233,IFERROR(IF((OFFSET($C2233,0,$A2233))&lt;0,
MIN(0,J2233-(OFFSET($C2233,0,$A2233)/(OFFSET($C2228,-$A2232,$A2233)))),
MAX(0,J2233-(OFFSET($C2233,0,$A2233)/(OFFSET($C2228,-$A2232,$A2233))))),0))</f>
        <v>0</v>
      </c>
      <c r="L2233" s="1423">
        <f t="shared" ref="L2233:L2240" ca="1" si="3312">IF(K2257="n/a",K2233,IFERROR(IF((OFFSET($C2233,0,$A2233))&lt;0,
MIN(0,K2233-(OFFSET($C2233,0,$A2233)/(OFFSET($C2228,-$A2232,$A2233)))),
MAX(0,K2233-(OFFSET($C2233,0,$A2233)/(OFFSET($C2228,-$A2232,$A2233))))),0))</f>
        <v>0</v>
      </c>
      <c r="M2233" s="1423">
        <f t="shared" ref="M2233:M2241" ca="1" si="3313">IF(L2257="n/a",L2233,IFERROR(IF((OFFSET($C2233,0,$A2233))&lt;0,
MIN(0,L2233-(OFFSET($C2233,0,$A2233)/(OFFSET($C2228,-$A2232,$A2233)))),
MAX(0,L2233-(OFFSET($C2233,0,$A2233)/(OFFSET($C2228,-$A2232,$A2233))))),0))</f>
        <v>0</v>
      </c>
      <c r="N2233" s="1423">
        <f t="shared" ref="N2233:N2242" ca="1" si="3314">IF(M2257="n/a",M2233,IFERROR(IF((OFFSET($C2233,0,$A2233))&lt;0,
MIN(0,M2233-(OFFSET($C2233,0,$A2233)/(OFFSET($C2228,-$A2232,$A2233)))),
MAX(0,M2233-(OFFSET($C2233,0,$A2233)/(OFFSET($C2228,-$A2232,$A2233))))),0))</f>
        <v>0</v>
      </c>
      <c r="O2233" s="1423">
        <f t="shared" ref="O2233:O2243" ca="1" si="3315">IF(N2257="n/a",N2233,IFERROR(IF((OFFSET($C2233,0,$A2233))&lt;0,
MIN(0,N2233-(OFFSET($C2233,0,$A2233)/(OFFSET($C2228,-$A2232,$A2233)))),
MAX(0,N2233-(OFFSET($C2233,0,$A2233)/(OFFSET($C2228,-$A2232,$A2233))))),0))</f>
        <v>0</v>
      </c>
      <c r="P2233" s="1423">
        <f t="shared" ref="P2233:P2244" ca="1" si="3316">IF(O2257="n/a",O2233,IFERROR(IF((OFFSET($C2233,0,$A2233))&lt;0,
MIN(0,O2233-(OFFSET($C2233,0,$A2233)/(OFFSET($C2228,-$A2232,$A2233)))),
MAX(0,O2233-(OFFSET($C2233,0,$A2233)/(OFFSET($C2228,-$A2232,$A2233))))),0))</f>
        <v>0</v>
      </c>
      <c r="Q2233" s="1423">
        <f t="shared" ref="Q2233:Q2245" ca="1" si="3317">IF(P2257="n/a",P2233,IFERROR(IF((OFFSET($C2233,0,$A2233))&lt;0,
MIN(0,P2233-(OFFSET($C2233,0,$A2233)/(OFFSET($C2228,-$A2232,$A2233)))),
MAX(0,P2233-(OFFSET($C2233,0,$A2233)/(OFFSET($C2228,-$A2232,$A2233))))),0))</f>
        <v>0</v>
      </c>
      <c r="R2233" s="1423">
        <f t="shared" ref="R2233:R2246" ca="1" si="3318">IF(Q2257="n/a",Q2233,IFERROR(IF((OFFSET($C2233,0,$A2233))&lt;0,
MIN(0,Q2233-(OFFSET($C2233,0,$A2233)/(OFFSET($C2228,-$A2232,$A2233)))),
MAX(0,Q2233-(OFFSET($C2233,0,$A2233)/(OFFSET($C2228,-$A2232,$A2233))))),0))</f>
        <v>0</v>
      </c>
      <c r="S2233" s="1423">
        <f t="shared" ref="S2233:S2247" ca="1" si="3319">IF(R2257="n/a",R2233,IFERROR(IF((OFFSET($C2233,0,$A2233))&lt;0,
MIN(0,R2233-(OFFSET($C2233,0,$A2233)/(OFFSET($C2228,-$A2232,$A2233)))),
MAX(0,R2233-(OFFSET($C2233,0,$A2233)/(OFFSET($C2228,-$A2232,$A2233))))),0))</f>
        <v>0</v>
      </c>
      <c r="T2233" s="1423">
        <f t="shared" ref="T2233:T2248" ca="1" si="3320">IF(S2257="n/a",S2233,IFERROR(IF((OFFSET($C2233,0,$A2233))&lt;0,
MIN(0,S2233-(OFFSET($C2233,0,$A2233)/(OFFSET($C2228,-$A2232,$A2233)))),
MAX(0,S2233-(OFFSET($C2233,0,$A2233)/(OFFSET($C2228,-$A2232,$A2233))))),0))</f>
        <v>0</v>
      </c>
      <c r="U2233" s="1423">
        <f t="shared" ref="U2233:U2249" ca="1" si="3321">IF(T2257="n/a",T2233,IFERROR(IF((OFFSET($C2233,0,$A2233))&lt;0,
MIN(0,T2233-(OFFSET($C2233,0,$A2233)/(OFFSET($C2228,-$A2232,$A2233)))),
MAX(0,T2233-(OFFSET($C2233,0,$A2233)/(OFFSET($C2228,-$A2232,$A2233))))),0))</f>
        <v>0</v>
      </c>
      <c r="V2233" s="1423">
        <f t="shared" ref="V2233:V2250" ca="1" si="3322">IF(U2257="n/a",U2233,IFERROR(IF((OFFSET($C2233,0,$A2233))&lt;0,
MIN(0,U2233-(OFFSET($C2233,0,$A2233)/(OFFSET($C2228,-$A2232,$A2233)))),
MAX(0,U2233-(OFFSET($C2233,0,$A2233)/(OFFSET($C2228,-$A2232,$A2233))))),0))</f>
        <v>0</v>
      </c>
      <c r="W2233" s="1423">
        <f t="shared" ref="W2233:W2251" ca="1" si="3323">IF(V2257="n/a",V2233,IFERROR(IF((OFFSET($C2233,0,$A2233))&lt;0,
MIN(0,V2233-(OFFSET($C2233,0,$A2233)/(OFFSET($C2228,-$A2232,$A2233)))),
MAX(0,V2233-(OFFSET($C2233,0,$A2233)/(OFFSET($C2228,-$A2232,$A2233))))),0))</f>
        <v>0</v>
      </c>
      <c r="X2233" s="152"/>
      <c r="Y2233" s="152"/>
      <c r="Z2233" s="152"/>
      <c r="AA2233" s="152"/>
      <c r="AB2233" s="152"/>
    </row>
    <row r="2234" spans="1:28" hidden="1" outlineLevel="1">
      <c r="A2234" s="199">
        <f t="shared" ref="A2234:A2253" si="3324">A2233+1</f>
        <v>1</v>
      </c>
      <c r="B2234" s="190" t="str">
        <f t="shared" ref="B2234:B2252" ca="1" si="3325">"Depreciated Net Capex "&amp;OFFSET($C$6,0,A2234)</f>
        <v>Depreciated Net Capex 2016-17</v>
      </c>
      <c r="C2234" s="1424"/>
      <c r="D2234" s="1425">
        <f>(D2228*((1+D$11)^0.5)/D$10)</f>
        <v>0</v>
      </c>
      <c r="E2234" s="1423">
        <f ca="1">IF(D2258="n/a",D2234,IFERROR(IF((OFFSET($C2234,0,$A2234))&lt;0,
MIN(0,D2234-(OFFSET($C2234,0,$A2234)/(OFFSET($C2229,-$A2233,$A2234)))),
MAX(0,D2234-(OFFSET($C2234,0,$A2234)/(OFFSET($C2229,-$A2233,$A2234))))),0))</f>
        <v>0</v>
      </c>
      <c r="F2234" s="1423">
        <f t="shared" ca="1" si="3306"/>
        <v>0</v>
      </c>
      <c r="G2234" s="1423">
        <f t="shared" ca="1" si="3307"/>
        <v>0</v>
      </c>
      <c r="H2234" s="1423">
        <f t="shared" ca="1" si="3308"/>
        <v>0</v>
      </c>
      <c r="I2234" s="1423">
        <f t="shared" ca="1" si="3309"/>
        <v>0</v>
      </c>
      <c r="J2234" s="1423">
        <f t="shared" ca="1" si="3310"/>
        <v>0</v>
      </c>
      <c r="K2234" s="1423">
        <f t="shared" ca="1" si="3311"/>
        <v>0</v>
      </c>
      <c r="L2234" s="1423">
        <f t="shared" ca="1" si="3312"/>
        <v>0</v>
      </c>
      <c r="M2234" s="1423">
        <f t="shared" ca="1" si="3313"/>
        <v>0</v>
      </c>
      <c r="N2234" s="1423">
        <f t="shared" ca="1" si="3314"/>
        <v>0</v>
      </c>
      <c r="O2234" s="1423">
        <f t="shared" ca="1" si="3315"/>
        <v>0</v>
      </c>
      <c r="P2234" s="1423">
        <f t="shared" ca="1" si="3316"/>
        <v>0</v>
      </c>
      <c r="Q2234" s="1423">
        <f t="shared" ca="1" si="3317"/>
        <v>0</v>
      </c>
      <c r="R2234" s="1423">
        <f t="shared" ca="1" si="3318"/>
        <v>0</v>
      </c>
      <c r="S2234" s="1423">
        <f t="shared" ca="1" si="3319"/>
        <v>0</v>
      </c>
      <c r="T2234" s="1423">
        <f t="shared" ca="1" si="3320"/>
        <v>0</v>
      </c>
      <c r="U2234" s="1423">
        <f t="shared" ca="1" si="3321"/>
        <v>0</v>
      </c>
      <c r="V2234" s="1423">
        <f t="shared" ca="1" si="3322"/>
        <v>0</v>
      </c>
      <c r="W2234" s="1423">
        <f t="shared" ca="1" si="3323"/>
        <v>0</v>
      </c>
      <c r="X2234" s="152"/>
      <c r="Y2234" s="152"/>
      <c r="Z2234" s="152"/>
      <c r="AA2234" s="152"/>
      <c r="AB2234" s="152"/>
    </row>
    <row r="2235" spans="1:28" hidden="1" outlineLevel="1">
      <c r="A2235" s="199">
        <f t="shared" si="3324"/>
        <v>2</v>
      </c>
      <c r="B2235" s="190" t="str">
        <f t="shared" ca="1" si="3325"/>
        <v>Depreciated Net Capex 2017-18</v>
      </c>
      <c r="C2235" s="1426"/>
      <c r="D2235" s="1427"/>
      <c r="E2235" s="1425">
        <f>(E2228*((1+E$11)^0.5)/E$10)</f>
        <v>0</v>
      </c>
      <c r="F2235" s="1423">
        <f ca="1">IF(E2259="n/a",E2235,IFERROR(IF((OFFSET($C2235,0,$A2235))&lt;0,
MIN(0,E2235-(OFFSET($C2235,0,$A2235)/(OFFSET($C2230,-$A2234,$A2235)))),
MAX(0,E2235-(OFFSET($C2235,0,$A2235)/(OFFSET($C2230,-$A2234,$A2235))))),0))</f>
        <v>0</v>
      </c>
      <c r="G2235" s="1423">
        <f t="shared" ca="1" si="3307"/>
        <v>0</v>
      </c>
      <c r="H2235" s="1423">
        <f t="shared" ca="1" si="3308"/>
        <v>0</v>
      </c>
      <c r="I2235" s="1423">
        <f t="shared" ca="1" si="3309"/>
        <v>0</v>
      </c>
      <c r="J2235" s="1423">
        <f t="shared" ca="1" si="3310"/>
        <v>0</v>
      </c>
      <c r="K2235" s="1423">
        <f t="shared" ca="1" si="3311"/>
        <v>0</v>
      </c>
      <c r="L2235" s="1423">
        <f t="shared" ca="1" si="3312"/>
        <v>0</v>
      </c>
      <c r="M2235" s="1423">
        <f t="shared" ca="1" si="3313"/>
        <v>0</v>
      </c>
      <c r="N2235" s="1423">
        <f t="shared" ca="1" si="3314"/>
        <v>0</v>
      </c>
      <c r="O2235" s="1423">
        <f t="shared" ca="1" si="3315"/>
        <v>0</v>
      </c>
      <c r="P2235" s="1423">
        <f t="shared" ca="1" si="3316"/>
        <v>0</v>
      </c>
      <c r="Q2235" s="1423">
        <f t="shared" ca="1" si="3317"/>
        <v>0</v>
      </c>
      <c r="R2235" s="1423">
        <f t="shared" ca="1" si="3318"/>
        <v>0</v>
      </c>
      <c r="S2235" s="1423">
        <f t="shared" ca="1" si="3319"/>
        <v>0</v>
      </c>
      <c r="T2235" s="1423">
        <f t="shared" ca="1" si="3320"/>
        <v>0</v>
      </c>
      <c r="U2235" s="1423">
        <f t="shared" ca="1" si="3321"/>
        <v>0</v>
      </c>
      <c r="V2235" s="1423">
        <f t="shared" ca="1" si="3322"/>
        <v>0</v>
      </c>
      <c r="W2235" s="1423">
        <f t="shared" ca="1" si="3323"/>
        <v>0</v>
      </c>
      <c r="X2235" s="202"/>
      <c r="Y2235" s="152"/>
      <c r="Z2235" s="152"/>
      <c r="AA2235" s="152"/>
      <c r="AB2235" s="152"/>
    </row>
    <row r="2236" spans="1:28" hidden="1" outlineLevel="1">
      <c r="A2236" s="199">
        <f t="shared" si="3324"/>
        <v>3</v>
      </c>
      <c r="B2236" s="190" t="str">
        <f t="shared" ca="1" si="3325"/>
        <v>Depreciated Net Capex 2018-19</v>
      </c>
      <c r="C2236" s="1426"/>
      <c r="D2236" s="1426"/>
      <c r="E2236" s="1427"/>
      <c r="F2236" s="1428">
        <f>($F2228*((1+F$11)^0.5)/F$10)</f>
        <v>0</v>
      </c>
      <c r="G2236" s="1423">
        <f ca="1">IF(F2260="n/a",F2236,IFERROR(IF((OFFSET($C2236,0,$A2236))&lt;0,
MIN(0,F2236-(OFFSET($C2236,0,$A2236)/(OFFSET($C2231,-$A2235,$A2236)))),
MAX(0,F2236-(OFFSET($C2236,0,$A2236)/(OFFSET($C2231,-$A2235,$A2236))))),0))</f>
        <v>0</v>
      </c>
      <c r="H2236" s="1423">
        <f t="shared" ca="1" si="3308"/>
        <v>0</v>
      </c>
      <c r="I2236" s="1423">
        <f t="shared" ca="1" si="3309"/>
        <v>0</v>
      </c>
      <c r="J2236" s="1423">
        <f t="shared" ca="1" si="3310"/>
        <v>0</v>
      </c>
      <c r="K2236" s="1423">
        <f t="shared" ca="1" si="3311"/>
        <v>0</v>
      </c>
      <c r="L2236" s="1423">
        <f t="shared" ca="1" si="3312"/>
        <v>0</v>
      </c>
      <c r="M2236" s="1423">
        <f t="shared" ca="1" si="3313"/>
        <v>0</v>
      </c>
      <c r="N2236" s="1423">
        <f t="shared" ca="1" si="3314"/>
        <v>0</v>
      </c>
      <c r="O2236" s="1423">
        <f t="shared" ca="1" si="3315"/>
        <v>0</v>
      </c>
      <c r="P2236" s="1423">
        <f t="shared" ca="1" si="3316"/>
        <v>0</v>
      </c>
      <c r="Q2236" s="1423">
        <f t="shared" ca="1" si="3317"/>
        <v>0</v>
      </c>
      <c r="R2236" s="1423">
        <f t="shared" ca="1" si="3318"/>
        <v>0</v>
      </c>
      <c r="S2236" s="1423">
        <f t="shared" ca="1" si="3319"/>
        <v>0</v>
      </c>
      <c r="T2236" s="1423">
        <f t="shared" ca="1" si="3320"/>
        <v>0</v>
      </c>
      <c r="U2236" s="1423">
        <f t="shared" ca="1" si="3321"/>
        <v>0</v>
      </c>
      <c r="V2236" s="1423">
        <f t="shared" ca="1" si="3322"/>
        <v>0</v>
      </c>
      <c r="W2236" s="1423">
        <f t="shared" ca="1" si="3323"/>
        <v>0</v>
      </c>
      <c r="X2236" s="202"/>
      <c r="Y2236" s="202"/>
      <c r="Z2236" s="152"/>
      <c r="AA2236" s="152"/>
      <c r="AB2236" s="152"/>
    </row>
    <row r="2237" spans="1:28" hidden="1" outlineLevel="1">
      <c r="A2237" s="199">
        <f t="shared" si="3324"/>
        <v>4</v>
      </c>
      <c r="B2237" s="190" t="str">
        <f t="shared" ca="1" si="3325"/>
        <v>Depreciated Net Capex 2019-20</v>
      </c>
      <c r="C2237" s="1426"/>
      <c r="D2237" s="1426"/>
      <c r="E2237" s="1426"/>
      <c r="F2237" s="1427"/>
      <c r="G2237" s="1428">
        <f>($G2228*((1+G$11)^0.5)/G$10)</f>
        <v>0</v>
      </c>
      <c r="H2237" s="1423">
        <f ca="1">IF(G2261="n/a",G2237,IFERROR(IF((OFFSET($C2237,0,$A2237))&lt;0,
MIN(0,G2237-(OFFSET($C2237,0,$A2237)/(OFFSET($C2232,-$A2236,$A2237)))),
MAX(0,G2237-(OFFSET($C2237,0,$A2237)/(OFFSET($C2232,-$A2236,$A2237))))),0))</f>
        <v>0</v>
      </c>
      <c r="I2237" s="1423">
        <f t="shared" ca="1" si="3309"/>
        <v>0</v>
      </c>
      <c r="J2237" s="1423">
        <f t="shared" ca="1" si="3310"/>
        <v>0</v>
      </c>
      <c r="K2237" s="1423">
        <f t="shared" ca="1" si="3311"/>
        <v>0</v>
      </c>
      <c r="L2237" s="1423">
        <f t="shared" ca="1" si="3312"/>
        <v>0</v>
      </c>
      <c r="M2237" s="1423">
        <f t="shared" ca="1" si="3313"/>
        <v>0</v>
      </c>
      <c r="N2237" s="1423">
        <f t="shared" ca="1" si="3314"/>
        <v>0</v>
      </c>
      <c r="O2237" s="1423">
        <f t="shared" ca="1" si="3315"/>
        <v>0</v>
      </c>
      <c r="P2237" s="1423">
        <f t="shared" ca="1" si="3316"/>
        <v>0</v>
      </c>
      <c r="Q2237" s="1423">
        <f t="shared" ca="1" si="3317"/>
        <v>0</v>
      </c>
      <c r="R2237" s="1423">
        <f t="shared" ca="1" si="3318"/>
        <v>0</v>
      </c>
      <c r="S2237" s="1423">
        <f t="shared" ca="1" si="3319"/>
        <v>0</v>
      </c>
      <c r="T2237" s="1423">
        <f t="shared" ca="1" si="3320"/>
        <v>0</v>
      </c>
      <c r="U2237" s="1423">
        <f t="shared" ca="1" si="3321"/>
        <v>0</v>
      </c>
      <c r="V2237" s="1423">
        <f t="shared" ca="1" si="3322"/>
        <v>0</v>
      </c>
      <c r="W2237" s="1423">
        <f t="shared" ca="1" si="3323"/>
        <v>0</v>
      </c>
      <c r="X2237" s="202"/>
      <c r="Y2237" s="202"/>
      <c r="Z2237" s="202"/>
      <c r="AA2237" s="152"/>
      <c r="AB2237" s="152"/>
    </row>
    <row r="2238" spans="1:28" hidden="1" outlineLevel="1">
      <c r="A2238" s="199">
        <f t="shared" si="3324"/>
        <v>5</v>
      </c>
      <c r="B2238" s="190" t="str">
        <f t="shared" ca="1" si="3325"/>
        <v>Depreciated Net Capex 2020-21</v>
      </c>
      <c r="C2238" s="1426"/>
      <c r="D2238" s="1426"/>
      <c r="E2238" s="1426"/>
      <c r="F2238" s="1426"/>
      <c r="G2238" s="1427"/>
      <c r="H2238" s="1428">
        <f>(H2228*((1+H$11)^0.5)/H$10)</f>
        <v>0</v>
      </c>
      <c r="I2238" s="1423">
        <f ca="1">IF(H2262="n/a",H2238,IFERROR(IF((OFFSET($C2238,0,$A2238))&lt;0,
MIN(0,H2238-(OFFSET($C2238,0,$A2238)/(OFFSET($C2233,-$A2237,$A2238)))),
MAX(0,H2238-(OFFSET($C2238,0,$A2238)/(OFFSET($C2233,-$A2237,$A2238))))),0))</f>
        <v>0</v>
      </c>
      <c r="J2238" s="1423">
        <f t="shared" ca="1" si="3310"/>
        <v>0</v>
      </c>
      <c r="K2238" s="1423">
        <f t="shared" ca="1" si="3311"/>
        <v>0</v>
      </c>
      <c r="L2238" s="1423">
        <f t="shared" ca="1" si="3312"/>
        <v>0</v>
      </c>
      <c r="M2238" s="1423">
        <f t="shared" ca="1" si="3313"/>
        <v>0</v>
      </c>
      <c r="N2238" s="1423">
        <f t="shared" ca="1" si="3314"/>
        <v>0</v>
      </c>
      <c r="O2238" s="1423">
        <f t="shared" ca="1" si="3315"/>
        <v>0</v>
      </c>
      <c r="P2238" s="1423">
        <f t="shared" ca="1" si="3316"/>
        <v>0</v>
      </c>
      <c r="Q2238" s="1423">
        <f t="shared" ca="1" si="3317"/>
        <v>0</v>
      </c>
      <c r="R2238" s="1423">
        <f t="shared" ca="1" si="3318"/>
        <v>0</v>
      </c>
      <c r="S2238" s="1423">
        <f t="shared" ca="1" si="3319"/>
        <v>0</v>
      </c>
      <c r="T2238" s="1423">
        <f t="shared" ca="1" si="3320"/>
        <v>0</v>
      </c>
      <c r="U2238" s="1423">
        <f t="shared" ca="1" si="3321"/>
        <v>0</v>
      </c>
      <c r="V2238" s="1423">
        <f t="shared" ca="1" si="3322"/>
        <v>0</v>
      </c>
      <c r="W2238" s="1423">
        <f t="shared" ca="1" si="3323"/>
        <v>0</v>
      </c>
      <c r="X2238" s="202"/>
      <c r="Y2238" s="202"/>
      <c r="Z2238" s="202"/>
      <c r="AA2238" s="152"/>
      <c r="AB2238" s="152"/>
    </row>
    <row r="2239" spans="1:28" hidden="1" outlineLevel="1">
      <c r="A2239" s="199">
        <f t="shared" si="3324"/>
        <v>6</v>
      </c>
      <c r="B2239" s="190" t="str">
        <f t="shared" ca="1" si="3325"/>
        <v>Depreciated Net Capex 2021-22</v>
      </c>
      <c r="C2239" s="1426"/>
      <c r="D2239" s="1426"/>
      <c r="E2239" s="1426"/>
      <c r="F2239" s="1426"/>
      <c r="G2239" s="1426"/>
      <c r="H2239" s="1427"/>
      <c r="I2239" s="1428">
        <f>(I2228*((1+I$11)^0.5)/I$10)</f>
        <v>0</v>
      </c>
      <c r="J2239" s="1423">
        <f ca="1">IF(I2263="n/a",I2239,IFERROR(IF((OFFSET($C2239,0,$A2239))&lt;0,
MIN(0,I2239-(OFFSET($C2239,0,$A2239)/(OFFSET($C2234,-$A2238,$A2239)))),
MAX(0,I2239-(OFFSET($C2239,0,$A2239)/(OFFSET($C2234,-$A2238,$A2239))))),0))</f>
        <v>0</v>
      </c>
      <c r="K2239" s="1423">
        <f t="shared" ca="1" si="3311"/>
        <v>0</v>
      </c>
      <c r="L2239" s="1423">
        <f t="shared" ca="1" si="3312"/>
        <v>0</v>
      </c>
      <c r="M2239" s="1423">
        <f t="shared" ca="1" si="3313"/>
        <v>0</v>
      </c>
      <c r="N2239" s="1423">
        <f t="shared" ca="1" si="3314"/>
        <v>0</v>
      </c>
      <c r="O2239" s="1423">
        <f t="shared" ca="1" si="3315"/>
        <v>0</v>
      </c>
      <c r="P2239" s="1423">
        <f t="shared" ca="1" si="3316"/>
        <v>0</v>
      </c>
      <c r="Q2239" s="1423">
        <f t="shared" ca="1" si="3317"/>
        <v>0</v>
      </c>
      <c r="R2239" s="1423">
        <f t="shared" ca="1" si="3318"/>
        <v>0</v>
      </c>
      <c r="S2239" s="1423">
        <f t="shared" ca="1" si="3319"/>
        <v>0</v>
      </c>
      <c r="T2239" s="1423">
        <f t="shared" ca="1" si="3320"/>
        <v>0</v>
      </c>
      <c r="U2239" s="1423">
        <f t="shared" ca="1" si="3321"/>
        <v>0</v>
      </c>
      <c r="V2239" s="1423">
        <f t="shared" ca="1" si="3322"/>
        <v>0</v>
      </c>
      <c r="W2239" s="1423">
        <f t="shared" ca="1" si="3323"/>
        <v>0</v>
      </c>
      <c r="X2239" s="202"/>
      <c r="Y2239" s="202"/>
      <c r="Z2239" s="202"/>
      <c r="AA2239" s="152"/>
      <c r="AB2239" s="152"/>
    </row>
    <row r="2240" spans="1:28" hidden="1" outlineLevel="1">
      <c r="A2240" s="199">
        <f t="shared" si="3324"/>
        <v>7</v>
      </c>
      <c r="B2240" s="190" t="str">
        <f t="shared" ca="1" si="3325"/>
        <v>Depreciated Net Capex 2022-23</v>
      </c>
      <c r="C2240" s="1426"/>
      <c r="D2240" s="1426"/>
      <c r="E2240" s="1426"/>
      <c r="F2240" s="1426"/>
      <c r="G2240" s="1426"/>
      <c r="H2240" s="1426"/>
      <c r="I2240" s="1427"/>
      <c r="J2240" s="1428">
        <f>(J2228*((1+J$11)^0.5)/J$10)</f>
        <v>0</v>
      </c>
      <c r="K2240" s="1423">
        <f ca="1">IF(J2264="n/a",J2240,IFERROR(IF((OFFSET($C2240,0,$A2240))&lt;0,
MIN(0,J2240-(OFFSET($C2240,0,$A2240)/(OFFSET($C2235,-$A2239,$A2240)))),
MAX(0,J2240-(OFFSET($C2240,0,$A2240)/(OFFSET($C2235,-$A2239,$A2240))))),0))</f>
        <v>0</v>
      </c>
      <c r="L2240" s="1423">
        <f t="shared" ca="1" si="3312"/>
        <v>0</v>
      </c>
      <c r="M2240" s="1423">
        <f t="shared" ca="1" si="3313"/>
        <v>0</v>
      </c>
      <c r="N2240" s="1423">
        <f t="shared" ca="1" si="3314"/>
        <v>0</v>
      </c>
      <c r="O2240" s="1423">
        <f t="shared" ca="1" si="3315"/>
        <v>0</v>
      </c>
      <c r="P2240" s="1423">
        <f t="shared" ca="1" si="3316"/>
        <v>0</v>
      </c>
      <c r="Q2240" s="1423">
        <f t="shared" ca="1" si="3317"/>
        <v>0</v>
      </c>
      <c r="R2240" s="1423">
        <f t="shared" ca="1" si="3318"/>
        <v>0</v>
      </c>
      <c r="S2240" s="1423">
        <f t="shared" ca="1" si="3319"/>
        <v>0</v>
      </c>
      <c r="T2240" s="1423">
        <f t="shared" ca="1" si="3320"/>
        <v>0</v>
      </c>
      <c r="U2240" s="1423">
        <f t="shared" ca="1" si="3321"/>
        <v>0</v>
      </c>
      <c r="V2240" s="1423">
        <f t="shared" ca="1" si="3322"/>
        <v>0</v>
      </c>
      <c r="W2240" s="1423">
        <f t="shared" ca="1" si="3323"/>
        <v>0</v>
      </c>
      <c r="X2240" s="202"/>
      <c r="Y2240" s="202"/>
      <c r="Z2240" s="202"/>
      <c r="AA2240" s="152"/>
      <c r="AB2240" s="152"/>
    </row>
    <row r="2241" spans="1:28" hidden="1" outlineLevel="1">
      <c r="A2241" s="199">
        <f t="shared" si="3324"/>
        <v>8</v>
      </c>
      <c r="B2241" s="190" t="str">
        <f t="shared" ca="1" si="3325"/>
        <v>Depreciated Net Capex 2023-24</v>
      </c>
      <c r="C2241" s="1426"/>
      <c r="D2241" s="1426"/>
      <c r="E2241" s="1426"/>
      <c r="F2241" s="1426"/>
      <c r="G2241" s="1426"/>
      <c r="H2241" s="1426"/>
      <c r="I2241" s="1426"/>
      <c r="J2241" s="1427"/>
      <c r="K2241" s="1428">
        <f>(K2228*((1+K$11)^0.5)/K$10)</f>
        <v>0</v>
      </c>
      <c r="L2241" s="1423">
        <f ca="1">IF(K2265="n/a",K2241,IFERROR(IF((OFFSET($C2241,0,$A2241))&lt;0,
MIN(0,K2241-(OFFSET($C2241,0,$A2241)/(OFFSET($C2236,-$A2240,$A2241)))),
MAX(0,K2241-(OFFSET($C2241,0,$A2241)/(OFFSET($C2236,-$A2240,$A2241))))),0))</f>
        <v>0</v>
      </c>
      <c r="M2241" s="1423">
        <f t="shared" ca="1" si="3313"/>
        <v>0</v>
      </c>
      <c r="N2241" s="1423">
        <f t="shared" ca="1" si="3314"/>
        <v>0</v>
      </c>
      <c r="O2241" s="1423">
        <f t="shared" ca="1" si="3315"/>
        <v>0</v>
      </c>
      <c r="P2241" s="1423">
        <f t="shared" ca="1" si="3316"/>
        <v>0</v>
      </c>
      <c r="Q2241" s="1423">
        <f t="shared" ca="1" si="3317"/>
        <v>0</v>
      </c>
      <c r="R2241" s="1423">
        <f t="shared" ca="1" si="3318"/>
        <v>0</v>
      </c>
      <c r="S2241" s="1423">
        <f t="shared" ca="1" si="3319"/>
        <v>0</v>
      </c>
      <c r="T2241" s="1423">
        <f t="shared" ca="1" si="3320"/>
        <v>0</v>
      </c>
      <c r="U2241" s="1423">
        <f t="shared" ca="1" si="3321"/>
        <v>0</v>
      </c>
      <c r="V2241" s="1423">
        <f t="shared" ca="1" si="3322"/>
        <v>0</v>
      </c>
      <c r="W2241" s="1423">
        <f t="shared" ca="1" si="3323"/>
        <v>0</v>
      </c>
      <c r="X2241" s="202"/>
      <c r="Y2241" s="202"/>
      <c r="Z2241" s="202"/>
      <c r="AA2241" s="152"/>
      <c r="AB2241" s="152"/>
    </row>
    <row r="2242" spans="1:28" hidden="1" outlineLevel="1">
      <c r="A2242" s="199">
        <f t="shared" si="3324"/>
        <v>9</v>
      </c>
      <c r="B2242" s="190" t="str">
        <f t="shared" ca="1" si="3325"/>
        <v>Depreciated Net Capex 2024-25</v>
      </c>
      <c r="C2242" s="1426"/>
      <c r="D2242" s="1426"/>
      <c r="E2242" s="1426"/>
      <c r="F2242" s="1426"/>
      <c r="G2242" s="1426"/>
      <c r="H2242" s="1426"/>
      <c r="I2242" s="1426"/>
      <c r="J2242" s="1426"/>
      <c r="K2242" s="1427"/>
      <c r="L2242" s="1428">
        <f>(L2228*((1+L$11)^0.5)/L$10)</f>
        <v>0</v>
      </c>
      <c r="M2242" s="1423">
        <f ca="1">IF(L2266="n/a",L2242,IFERROR(IF((OFFSET($C2242,0,$A2242))&lt;0,
MIN(0,L2242-(OFFSET($C2242,0,$A2242)/(OFFSET($C2237,-$A2241,$A2242)))),
MAX(0,L2242-(OFFSET($C2242,0,$A2242)/(OFFSET($C2237,-$A2241,$A2242))))),0))</f>
        <v>0</v>
      </c>
      <c r="N2242" s="1423">
        <f t="shared" ca="1" si="3314"/>
        <v>0</v>
      </c>
      <c r="O2242" s="1423">
        <f t="shared" ca="1" si="3315"/>
        <v>0</v>
      </c>
      <c r="P2242" s="1423">
        <f t="shared" ca="1" si="3316"/>
        <v>0</v>
      </c>
      <c r="Q2242" s="1423">
        <f t="shared" ca="1" si="3317"/>
        <v>0</v>
      </c>
      <c r="R2242" s="1423">
        <f t="shared" ca="1" si="3318"/>
        <v>0</v>
      </c>
      <c r="S2242" s="1423">
        <f t="shared" ca="1" si="3319"/>
        <v>0</v>
      </c>
      <c r="T2242" s="1423">
        <f t="shared" ca="1" si="3320"/>
        <v>0</v>
      </c>
      <c r="U2242" s="1423">
        <f t="shared" ca="1" si="3321"/>
        <v>0</v>
      </c>
      <c r="V2242" s="1423">
        <f t="shared" ca="1" si="3322"/>
        <v>0</v>
      </c>
      <c r="W2242" s="1423">
        <f t="shared" ca="1" si="3323"/>
        <v>0</v>
      </c>
      <c r="X2242" s="202"/>
      <c r="Y2242" s="202"/>
      <c r="Z2242" s="202"/>
      <c r="AA2242" s="152"/>
      <c r="AB2242" s="152"/>
    </row>
    <row r="2243" spans="1:28" hidden="1" outlineLevel="1">
      <c r="A2243" s="199">
        <f t="shared" si="3324"/>
        <v>10</v>
      </c>
      <c r="B2243" s="190" t="str">
        <f t="shared" ca="1" si="3325"/>
        <v>Depreciated Net Capex 2025-26</v>
      </c>
      <c r="C2243" s="1426"/>
      <c r="D2243" s="1426"/>
      <c r="E2243" s="1426"/>
      <c r="F2243" s="1426"/>
      <c r="G2243" s="1426"/>
      <c r="H2243" s="1426"/>
      <c r="I2243" s="1426"/>
      <c r="J2243" s="1426"/>
      <c r="K2243" s="1426"/>
      <c r="L2243" s="1427"/>
      <c r="M2243" s="1428">
        <f>(M2228*((1+M$11)^0.5)/M$10)</f>
        <v>0</v>
      </c>
      <c r="N2243" s="1423">
        <f ca="1">IF(M2267="n/a",M2243,IFERROR(IF((OFFSET($C2243,0,$A2243))&lt;0,
MIN(0,M2243-(OFFSET($C2243,0,$A2243)/(OFFSET($C2238,-$A2242,$A2243)))),
MAX(0,M2243-(OFFSET($C2243,0,$A2243)/(OFFSET($C2238,-$A2242,$A2243))))),0))</f>
        <v>0</v>
      </c>
      <c r="O2243" s="1423">
        <f t="shared" ca="1" si="3315"/>
        <v>0</v>
      </c>
      <c r="P2243" s="1423">
        <f t="shared" ca="1" si="3316"/>
        <v>0</v>
      </c>
      <c r="Q2243" s="1423">
        <f t="shared" ca="1" si="3317"/>
        <v>0</v>
      </c>
      <c r="R2243" s="1423">
        <f t="shared" ca="1" si="3318"/>
        <v>0</v>
      </c>
      <c r="S2243" s="1423">
        <f t="shared" ca="1" si="3319"/>
        <v>0</v>
      </c>
      <c r="T2243" s="1423">
        <f t="shared" ca="1" si="3320"/>
        <v>0</v>
      </c>
      <c r="U2243" s="1423">
        <f t="shared" ca="1" si="3321"/>
        <v>0</v>
      </c>
      <c r="V2243" s="1423">
        <f t="shared" ca="1" si="3322"/>
        <v>0</v>
      </c>
      <c r="W2243" s="1423">
        <f t="shared" ca="1" si="3323"/>
        <v>0</v>
      </c>
      <c r="X2243" s="202"/>
      <c r="Y2243" s="202"/>
      <c r="Z2243" s="202"/>
      <c r="AA2243" s="152"/>
      <c r="AB2243" s="152"/>
    </row>
    <row r="2244" spans="1:28" hidden="1" outlineLevel="1">
      <c r="A2244" s="199">
        <f t="shared" si="3324"/>
        <v>11</v>
      </c>
      <c r="B2244" s="190" t="str">
        <f t="shared" ca="1" si="3325"/>
        <v>Depreciated Net Capex 2026-27</v>
      </c>
      <c r="C2244" s="1426"/>
      <c r="D2244" s="1426"/>
      <c r="E2244" s="1426"/>
      <c r="F2244" s="1426"/>
      <c r="G2244" s="1426"/>
      <c r="H2244" s="1426"/>
      <c r="I2244" s="1426"/>
      <c r="J2244" s="1426"/>
      <c r="K2244" s="1426"/>
      <c r="L2244" s="1426"/>
      <c r="M2244" s="1427"/>
      <c r="N2244" s="1428">
        <f>(N2228*((1+N$11)^0.5)/N$10)</f>
        <v>0</v>
      </c>
      <c r="O2244" s="1423">
        <f ca="1">IF(N2268="n/a",N2244,IFERROR(IF((OFFSET($C2244,0,$A2244))&lt;0,
MIN(0,N2244-(OFFSET($C2244,0,$A2244)/(OFFSET($C2239,-$A2243,$A2244)))),
MAX(0,N2244-(OFFSET($C2244,0,$A2244)/(OFFSET($C2239,-$A2243,$A2244))))),0))</f>
        <v>0</v>
      </c>
      <c r="P2244" s="1423">
        <f t="shared" ca="1" si="3316"/>
        <v>0</v>
      </c>
      <c r="Q2244" s="1423">
        <f t="shared" ca="1" si="3317"/>
        <v>0</v>
      </c>
      <c r="R2244" s="1423">
        <f t="shared" ca="1" si="3318"/>
        <v>0</v>
      </c>
      <c r="S2244" s="1423">
        <f t="shared" ca="1" si="3319"/>
        <v>0</v>
      </c>
      <c r="T2244" s="1423">
        <f t="shared" ca="1" si="3320"/>
        <v>0</v>
      </c>
      <c r="U2244" s="1423">
        <f t="shared" ca="1" si="3321"/>
        <v>0</v>
      </c>
      <c r="V2244" s="1423">
        <f t="shared" ca="1" si="3322"/>
        <v>0</v>
      </c>
      <c r="W2244" s="1423">
        <f t="shared" ca="1" si="3323"/>
        <v>0</v>
      </c>
      <c r="X2244" s="202"/>
      <c r="Y2244" s="202"/>
      <c r="Z2244" s="202"/>
      <c r="AA2244" s="152"/>
      <c r="AB2244" s="152"/>
    </row>
    <row r="2245" spans="1:28" hidden="1" outlineLevel="1">
      <c r="A2245" s="199">
        <f t="shared" si="3324"/>
        <v>12</v>
      </c>
      <c r="B2245" s="190" t="str">
        <f t="shared" ca="1" si="3325"/>
        <v>Depreciated Net Capex 2027-28</v>
      </c>
      <c r="C2245" s="1426"/>
      <c r="D2245" s="1426"/>
      <c r="E2245" s="1426"/>
      <c r="F2245" s="1426"/>
      <c r="G2245" s="1426"/>
      <c r="H2245" s="1426"/>
      <c r="I2245" s="1426"/>
      <c r="J2245" s="1426"/>
      <c r="K2245" s="1426"/>
      <c r="L2245" s="1426"/>
      <c r="M2245" s="1426"/>
      <c r="N2245" s="1427"/>
      <c r="O2245" s="1428">
        <f>(O2228*((1+O$11)^0.5)/O$10)</f>
        <v>0</v>
      </c>
      <c r="P2245" s="1423">
        <f ca="1">IF(O2269="n/a",O2245,IFERROR(IF((OFFSET($C2245,0,$A2245))&lt;0,
MIN(0,O2245-(OFFSET($C2245,0,$A2245)/(OFFSET($C2240,-$A2244,$A2245)))),
MAX(0,O2245-(OFFSET($C2245,0,$A2245)/(OFFSET($C2240,-$A2244,$A2245))))),0))</f>
        <v>0</v>
      </c>
      <c r="Q2245" s="1423">
        <f t="shared" ca="1" si="3317"/>
        <v>0</v>
      </c>
      <c r="R2245" s="1423">
        <f t="shared" ca="1" si="3318"/>
        <v>0</v>
      </c>
      <c r="S2245" s="1423">
        <f t="shared" ca="1" si="3319"/>
        <v>0</v>
      </c>
      <c r="T2245" s="1423">
        <f t="shared" ca="1" si="3320"/>
        <v>0</v>
      </c>
      <c r="U2245" s="1423">
        <f t="shared" ca="1" si="3321"/>
        <v>0</v>
      </c>
      <c r="V2245" s="1423">
        <f t="shared" ca="1" si="3322"/>
        <v>0</v>
      </c>
      <c r="W2245" s="1423">
        <f t="shared" ca="1" si="3323"/>
        <v>0</v>
      </c>
      <c r="X2245" s="202"/>
      <c r="Y2245" s="202"/>
      <c r="Z2245" s="202"/>
      <c r="AA2245" s="152"/>
      <c r="AB2245" s="152"/>
    </row>
    <row r="2246" spans="1:28" hidden="1" outlineLevel="1">
      <c r="A2246" s="199">
        <f t="shared" si="3324"/>
        <v>13</v>
      </c>
      <c r="B2246" s="190" t="str">
        <f t="shared" ca="1" si="3325"/>
        <v>Depreciated Net Capex 2028-29</v>
      </c>
      <c r="C2246" s="1426"/>
      <c r="D2246" s="1426"/>
      <c r="E2246" s="1426"/>
      <c r="F2246" s="1426"/>
      <c r="G2246" s="1426"/>
      <c r="H2246" s="1426"/>
      <c r="I2246" s="1426"/>
      <c r="J2246" s="1426"/>
      <c r="K2246" s="1426"/>
      <c r="L2246" s="1426"/>
      <c r="M2246" s="1426"/>
      <c r="N2246" s="1426"/>
      <c r="O2246" s="1427"/>
      <c r="P2246" s="1428">
        <f>(P2228*((1+P$11)^0.5)/P$10)</f>
        <v>0</v>
      </c>
      <c r="Q2246" s="1423">
        <f ca="1">IF(P2270="n/a",P2246,IFERROR(IF((OFFSET($C2246,0,$A2246))&lt;0,
MIN(0,P2246-(OFFSET($C2246,0,$A2246)/(OFFSET($C2241,-$A2245,$A2246)))),
MAX(0,P2246-(OFFSET($C2246,0,$A2246)/(OFFSET($C2241,-$A2245,$A2246))))),0))</f>
        <v>0</v>
      </c>
      <c r="R2246" s="1423">
        <f t="shared" ca="1" si="3318"/>
        <v>0</v>
      </c>
      <c r="S2246" s="1423">
        <f t="shared" ca="1" si="3319"/>
        <v>0</v>
      </c>
      <c r="T2246" s="1423">
        <f t="shared" ca="1" si="3320"/>
        <v>0</v>
      </c>
      <c r="U2246" s="1423">
        <f t="shared" ca="1" si="3321"/>
        <v>0</v>
      </c>
      <c r="V2246" s="1423">
        <f t="shared" ca="1" si="3322"/>
        <v>0</v>
      </c>
      <c r="W2246" s="1423">
        <f t="shared" ca="1" si="3323"/>
        <v>0</v>
      </c>
      <c r="X2246" s="202"/>
      <c r="Y2246" s="202"/>
      <c r="Z2246" s="202"/>
      <c r="AA2246" s="152"/>
      <c r="AB2246" s="152"/>
    </row>
    <row r="2247" spans="1:28" hidden="1" outlineLevel="1">
      <c r="A2247" s="199">
        <f t="shared" si="3324"/>
        <v>14</v>
      </c>
      <c r="B2247" s="190" t="str">
        <f t="shared" ca="1" si="3325"/>
        <v>Depreciated Net Capex 2029-30</v>
      </c>
      <c r="C2247" s="1426"/>
      <c r="D2247" s="1426"/>
      <c r="E2247" s="1426"/>
      <c r="F2247" s="1426"/>
      <c r="G2247" s="1426"/>
      <c r="H2247" s="1426"/>
      <c r="I2247" s="1426"/>
      <c r="J2247" s="1426"/>
      <c r="K2247" s="1426"/>
      <c r="L2247" s="1426"/>
      <c r="M2247" s="1426"/>
      <c r="N2247" s="1426"/>
      <c r="O2247" s="1426"/>
      <c r="P2247" s="1427"/>
      <c r="Q2247" s="1428">
        <f>(Q2228*((1+Q$11)^0.5)/Q$10)</f>
        <v>0</v>
      </c>
      <c r="R2247" s="1423">
        <f ca="1">IF(Q2271="n/a",Q2247,IFERROR(IF((OFFSET($C2247,0,$A2247))&lt;0,
MIN(0,Q2247-(OFFSET($C2247,0,$A2247)/(OFFSET($C2242,-$A2246,$A2247)))),
MAX(0,Q2247-(OFFSET($C2247,0,$A2247)/(OFFSET($C2242,-$A2246,$A2247))))),0))</f>
        <v>0</v>
      </c>
      <c r="S2247" s="1423">
        <f t="shared" ca="1" si="3319"/>
        <v>0</v>
      </c>
      <c r="T2247" s="1423">
        <f t="shared" ca="1" si="3320"/>
        <v>0</v>
      </c>
      <c r="U2247" s="1423">
        <f t="shared" ca="1" si="3321"/>
        <v>0</v>
      </c>
      <c r="V2247" s="1423">
        <f t="shared" ca="1" si="3322"/>
        <v>0</v>
      </c>
      <c r="W2247" s="1423">
        <f t="shared" ca="1" si="3323"/>
        <v>0</v>
      </c>
      <c r="X2247" s="202"/>
      <c r="Y2247" s="202"/>
      <c r="Z2247" s="202"/>
      <c r="AA2247" s="152"/>
      <c r="AB2247" s="152"/>
    </row>
    <row r="2248" spans="1:28" hidden="1" outlineLevel="1">
      <c r="A2248" s="199">
        <f t="shared" si="3324"/>
        <v>15</v>
      </c>
      <c r="B2248" s="190" t="str">
        <f t="shared" ca="1" si="3325"/>
        <v>Depreciated Net Capex 2030-31</v>
      </c>
      <c r="C2248" s="1426"/>
      <c r="D2248" s="1426"/>
      <c r="E2248" s="1426"/>
      <c r="F2248" s="1426"/>
      <c r="G2248" s="1426"/>
      <c r="H2248" s="1426"/>
      <c r="I2248" s="1426"/>
      <c r="J2248" s="1426"/>
      <c r="K2248" s="1426"/>
      <c r="L2248" s="1426"/>
      <c r="M2248" s="1426"/>
      <c r="N2248" s="1426"/>
      <c r="O2248" s="1426"/>
      <c r="P2248" s="1426"/>
      <c r="Q2248" s="1427"/>
      <c r="R2248" s="1428">
        <f>(R2228*((1+R$11)^0.5)/R$10)</f>
        <v>0</v>
      </c>
      <c r="S2248" s="1423">
        <f ca="1">IF(R2272="n/a",R2248,IFERROR(IF((OFFSET($C2248,0,$A2248))&lt;0,
MIN(0,R2248-(OFFSET($C2248,0,$A2248)/(OFFSET($C2243,-$A2247,$A2248)))),
MAX(0,R2248-(OFFSET($C2248,0,$A2248)/(OFFSET($C2243,-$A2247,$A2248))))),0))</f>
        <v>0</v>
      </c>
      <c r="T2248" s="1423">
        <f t="shared" ca="1" si="3320"/>
        <v>0</v>
      </c>
      <c r="U2248" s="1423">
        <f t="shared" ca="1" si="3321"/>
        <v>0</v>
      </c>
      <c r="V2248" s="1423">
        <f t="shared" ca="1" si="3322"/>
        <v>0</v>
      </c>
      <c r="W2248" s="1423">
        <f t="shared" ca="1" si="3323"/>
        <v>0</v>
      </c>
      <c r="X2248" s="202"/>
      <c r="Y2248" s="202"/>
      <c r="Z2248" s="202"/>
      <c r="AA2248" s="152"/>
      <c r="AB2248" s="152"/>
    </row>
    <row r="2249" spans="1:28" hidden="1" outlineLevel="1">
      <c r="A2249" s="199">
        <f t="shared" si="3324"/>
        <v>16</v>
      </c>
      <c r="B2249" s="190" t="str">
        <f t="shared" ca="1" si="3325"/>
        <v>Depreciated Net Capex 2031-32</v>
      </c>
      <c r="C2249" s="1426"/>
      <c r="D2249" s="1426"/>
      <c r="E2249" s="1426"/>
      <c r="F2249" s="1426"/>
      <c r="G2249" s="1426"/>
      <c r="H2249" s="1426"/>
      <c r="I2249" s="1426"/>
      <c r="J2249" s="1426"/>
      <c r="K2249" s="1426"/>
      <c r="L2249" s="1426"/>
      <c r="M2249" s="1426"/>
      <c r="N2249" s="1426"/>
      <c r="O2249" s="1426"/>
      <c r="P2249" s="1426"/>
      <c r="Q2249" s="1426"/>
      <c r="R2249" s="1427"/>
      <c r="S2249" s="1428">
        <f>(S2228*((1+S$11)^0.5)/S$10)</f>
        <v>0</v>
      </c>
      <c r="T2249" s="1423">
        <f ca="1">IF(S2273="n/a",S2249,IFERROR(IF((OFFSET($C2249,0,$A2249))&lt;0,
MIN(0,S2249-(OFFSET($C2249,0,$A2249)/(OFFSET($C2244,-$A2248,$A2249)))),
MAX(0,S2249-(OFFSET($C2249,0,$A2249)/(OFFSET($C2244,-$A2248,$A2249))))),0))</f>
        <v>0</v>
      </c>
      <c r="U2249" s="1423">
        <f t="shared" ca="1" si="3321"/>
        <v>0</v>
      </c>
      <c r="V2249" s="1423">
        <f t="shared" ca="1" si="3322"/>
        <v>0</v>
      </c>
      <c r="W2249" s="1423">
        <f t="shared" ca="1" si="3323"/>
        <v>0</v>
      </c>
      <c r="X2249" s="202"/>
      <c r="Y2249" s="202"/>
      <c r="Z2249" s="202"/>
      <c r="AA2249" s="152"/>
      <c r="AB2249" s="152"/>
    </row>
    <row r="2250" spans="1:28" hidden="1" outlineLevel="1">
      <c r="A2250" s="199">
        <f t="shared" si="3324"/>
        <v>17</v>
      </c>
      <c r="B2250" s="190" t="str">
        <f t="shared" ca="1" si="3325"/>
        <v>Depreciated Net Capex 2032-33</v>
      </c>
      <c r="C2250" s="1426"/>
      <c r="D2250" s="1426"/>
      <c r="E2250" s="1426"/>
      <c r="F2250" s="1426"/>
      <c r="G2250" s="1426"/>
      <c r="H2250" s="1426"/>
      <c r="I2250" s="1426"/>
      <c r="J2250" s="1426"/>
      <c r="K2250" s="1426"/>
      <c r="L2250" s="1426"/>
      <c r="M2250" s="1426"/>
      <c r="N2250" s="1426"/>
      <c r="O2250" s="1426"/>
      <c r="P2250" s="1426"/>
      <c r="Q2250" s="1426"/>
      <c r="R2250" s="1426"/>
      <c r="S2250" s="1427"/>
      <c r="T2250" s="1428">
        <f>(T2228*((1+T$11)^0.5)/T$10)</f>
        <v>0</v>
      </c>
      <c r="U2250" s="1423">
        <f ca="1">IF(T2274="n/a",T2250,IFERROR(IF((OFFSET($C2250,0,$A2250))&lt;0,
MIN(0,T2250-(OFFSET($C2250,0,$A2250)/(OFFSET($C2245,-$A2249,$A2250)))),
MAX(0,T2250-(OFFSET($C2250,0,$A2250)/(OFFSET($C2245,-$A2249,$A2250))))),0))</f>
        <v>0</v>
      </c>
      <c r="V2250" s="1423">
        <f t="shared" ca="1" si="3322"/>
        <v>0</v>
      </c>
      <c r="W2250" s="1423">
        <f t="shared" ca="1" si="3323"/>
        <v>0</v>
      </c>
      <c r="X2250" s="202"/>
      <c r="Y2250" s="202"/>
      <c r="Z2250" s="202"/>
      <c r="AA2250" s="152"/>
      <c r="AB2250" s="152"/>
    </row>
    <row r="2251" spans="1:28" hidden="1" outlineLevel="1">
      <c r="A2251" s="199">
        <f t="shared" si="3324"/>
        <v>18</v>
      </c>
      <c r="B2251" s="190" t="str">
        <f t="shared" ca="1" si="3325"/>
        <v>Depreciated Net Capex 2033-34</v>
      </c>
      <c r="C2251" s="1426"/>
      <c r="D2251" s="1426"/>
      <c r="E2251" s="1426"/>
      <c r="F2251" s="1426"/>
      <c r="G2251" s="1426"/>
      <c r="H2251" s="1426"/>
      <c r="I2251" s="1426"/>
      <c r="J2251" s="1426"/>
      <c r="K2251" s="1426"/>
      <c r="L2251" s="1426"/>
      <c r="M2251" s="1426"/>
      <c r="N2251" s="1426"/>
      <c r="O2251" s="1426"/>
      <c r="P2251" s="1426"/>
      <c r="Q2251" s="1426"/>
      <c r="R2251" s="1426"/>
      <c r="S2251" s="1426"/>
      <c r="T2251" s="1427"/>
      <c r="U2251" s="1428">
        <f>(U2228*((1+U$11)^0.5)/U$10)</f>
        <v>0</v>
      </c>
      <c r="V2251" s="1423">
        <f ca="1">IF(U2275="n/a",U2251,IFERROR(IF((OFFSET($C2251,0,$A2251))&lt;0,
MIN(0,U2251-(OFFSET($C2251,0,$A2251)/(OFFSET($C2246,-$A2250,$A2251)))),
MAX(0,U2251-(OFFSET($C2251,0,$A2251)/(OFFSET($C2246,-$A2250,$A2251))))),0))</f>
        <v>0</v>
      </c>
      <c r="W2251" s="1423">
        <f t="shared" ca="1" si="3323"/>
        <v>0</v>
      </c>
      <c r="X2251" s="202"/>
      <c r="Y2251" s="202"/>
      <c r="Z2251" s="202"/>
      <c r="AA2251" s="152"/>
      <c r="AB2251" s="152"/>
    </row>
    <row r="2252" spans="1:28" hidden="1" outlineLevel="1">
      <c r="A2252" s="199">
        <f t="shared" si="3324"/>
        <v>19</v>
      </c>
      <c r="B2252" s="190" t="str">
        <f t="shared" ca="1" si="3325"/>
        <v>Depreciated Net Capex 2034-35</v>
      </c>
      <c r="C2252" s="1426"/>
      <c r="D2252" s="1426"/>
      <c r="E2252" s="1426"/>
      <c r="F2252" s="1426"/>
      <c r="G2252" s="1426"/>
      <c r="H2252" s="1426"/>
      <c r="I2252" s="1426"/>
      <c r="J2252" s="1426"/>
      <c r="K2252" s="1426"/>
      <c r="L2252" s="1426"/>
      <c r="M2252" s="1426"/>
      <c r="N2252" s="1426"/>
      <c r="O2252" s="1426"/>
      <c r="P2252" s="1426"/>
      <c r="Q2252" s="1426"/>
      <c r="R2252" s="1426"/>
      <c r="S2252" s="1426"/>
      <c r="T2252" s="1426"/>
      <c r="U2252" s="1427"/>
      <c r="V2252" s="1428">
        <f>(V2228*((1+V$11)^0.5)/V$10)</f>
        <v>0</v>
      </c>
      <c r="W2252" s="1423">
        <f ca="1">IF(V2276="n/a",V2252,IFERROR(IF((OFFSET($C2252,0,$A2252))&lt;0,
MIN(0,V2252-(OFFSET($C2252,0,$A2252)/(OFFSET($C2247,-$A2251,$A2252)))),
MAX(0,V2252-(OFFSET($C2252,0,$A2252)/(OFFSET($C2247,-$A2251,$A2252))))),0))</f>
        <v>0</v>
      </c>
      <c r="X2252" s="202"/>
      <c r="Y2252" s="202"/>
      <c r="Z2252" s="202"/>
      <c r="AA2252" s="152"/>
      <c r="AB2252" s="152"/>
    </row>
    <row r="2253" spans="1:28" hidden="1" outlineLevel="1">
      <c r="A2253" s="199">
        <f t="shared" si="3324"/>
        <v>20</v>
      </c>
      <c r="B2253" s="190" t="str">
        <f ca="1">"Depreciated Net Capex "&amp;OFFSET($C$6,0,A2253)</f>
        <v>Depreciated Net Capex 2035-36</v>
      </c>
      <c r="C2253" s="1426"/>
      <c r="D2253" s="1426"/>
      <c r="E2253" s="1426"/>
      <c r="F2253" s="1426"/>
      <c r="G2253" s="1426"/>
      <c r="H2253" s="1426"/>
      <c r="I2253" s="1426"/>
      <c r="J2253" s="1426"/>
      <c r="K2253" s="1426"/>
      <c r="L2253" s="1426"/>
      <c r="M2253" s="1426"/>
      <c r="N2253" s="1426"/>
      <c r="O2253" s="1426"/>
      <c r="P2253" s="1426"/>
      <c r="Q2253" s="1426"/>
      <c r="R2253" s="1426"/>
      <c r="S2253" s="1426"/>
      <c r="T2253" s="1426"/>
      <c r="U2253" s="1426"/>
      <c r="V2253" s="1427"/>
      <c r="W2253" s="1423">
        <f>(W2228*((1+W$11)^0.5)/W$10)</f>
        <v>0</v>
      </c>
      <c r="X2253" s="152"/>
      <c r="Y2253" s="152"/>
      <c r="Z2253" s="152"/>
      <c r="AA2253" s="152"/>
      <c r="AB2253" s="152"/>
    </row>
    <row r="2254" spans="1:28" hidden="1" outlineLevel="1">
      <c r="A2254" s="152"/>
      <c r="B2254" s="200"/>
      <c r="C2254" s="1423"/>
      <c r="D2254" s="1423"/>
      <c r="E2254" s="1423"/>
      <c r="F2254" s="1423"/>
      <c r="G2254" s="1423"/>
      <c r="H2254" s="1423"/>
      <c r="I2254" s="1423"/>
      <c r="J2254" s="1423"/>
      <c r="K2254" s="1423"/>
      <c r="L2254" s="1423"/>
      <c r="M2254" s="1423"/>
      <c r="N2254" s="1423"/>
      <c r="O2254" s="1423"/>
      <c r="P2254" s="1423"/>
      <c r="Q2254" s="1423"/>
      <c r="R2254" s="1423"/>
      <c r="S2254" s="1423"/>
      <c r="T2254" s="1423"/>
      <c r="U2254" s="1423"/>
      <c r="V2254" s="1423"/>
      <c r="W2254" s="1423"/>
      <c r="X2254" s="152"/>
      <c r="Y2254" s="152"/>
      <c r="Z2254" s="152"/>
      <c r="AA2254" s="152"/>
      <c r="AB2254" s="152"/>
    </row>
    <row r="2255" spans="1:28" hidden="1" outlineLevel="1">
      <c r="A2255" s="152"/>
      <c r="B2255" s="200"/>
      <c r="C2255" s="1423"/>
      <c r="D2255" s="1423"/>
      <c r="E2255" s="1423"/>
      <c r="F2255" s="1423"/>
      <c r="G2255" s="1423"/>
      <c r="H2255" s="1423"/>
      <c r="I2255" s="1423"/>
      <c r="J2255" s="1423"/>
      <c r="K2255" s="1423"/>
      <c r="L2255" s="1423"/>
      <c r="M2255" s="1423"/>
      <c r="N2255" s="1423"/>
      <c r="O2255" s="1423"/>
      <c r="P2255" s="1423"/>
      <c r="Q2255" s="1423"/>
      <c r="R2255" s="1423"/>
      <c r="S2255" s="1423"/>
      <c r="T2255" s="1423"/>
      <c r="U2255" s="1423"/>
      <c r="V2255" s="1423"/>
      <c r="W2255" s="1423"/>
      <c r="X2255" s="152"/>
      <c r="Y2255" s="152"/>
      <c r="Z2255" s="152"/>
      <c r="AA2255" s="152"/>
      <c r="AB2255" s="152"/>
    </row>
    <row r="2256" spans="1:28" hidden="1" outlineLevel="1">
      <c r="A2256" s="152"/>
      <c r="B2256" s="190" t="s">
        <v>190</v>
      </c>
      <c r="C2256" s="1423"/>
      <c r="D2256" s="1423">
        <f ca="1">IF(AND(C2256&lt;1,D2230=0),0,
IF(D2230=0,C2256-1,
IF(C2256&lt;1,D2231,
(((C2256-1)*(C2232-(C2232/(C2256))))+((D2230/D$10)*D2231))/(D2232))))</f>
        <v>0</v>
      </c>
      <c r="E2256" s="1423">
        <f t="shared" ref="E2256" ca="1" si="3326">IF(AND(D2256&lt;1,E2230=0),0,
IF(E2230=0,D2256-1,
IF(D2256&lt;1,E2231,
(((D2256-1)*(D2232-(D2232/(D2256))))+((E2230/E$10)*E2231))/(E2232))))</f>
        <v>0</v>
      </c>
      <c r="F2256" s="1423">
        <f t="shared" ref="F2256" ca="1" si="3327">IF(AND(E2256&lt;1,F2230=0),0,
IF(F2230=0,E2256-1,
IF(E2256&lt;1,F2231,
(((E2256-1)*(E2232-(E2232/(E2256))))+((F2230/F$10)*F2231))/(F2232))))</f>
        <v>0</v>
      </c>
      <c r="G2256" s="1423">
        <f t="shared" ref="G2256" ca="1" si="3328">IF(AND(F2256&lt;1,G2230=0),0,
IF(G2230=0,F2256-1,
IF(F2256&lt;1,G2231,
(((F2256-1)*(F2232-(F2232/(F2256))))+((G2230/G$10)*G2231))/(G2232))))</f>
        <v>0</v>
      </c>
      <c r="H2256" s="1423">
        <f t="shared" ref="H2256" ca="1" si="3329">IF(AND(G2256&lt;1,H2230=0),0,
IF(H2230=0,G2256-1,
IF(G2256&lt;1,H2231,
(((G2256-1)*(G2232-(G2232/(G2256))))+((H2230/H$10)*H2231))/(H2232))))</f>
        <v>0</v>
      </c>
      <c r="I2256" s="1423">
        <f t="shared" ref="I2256" ca="1" si="3330">IF(AND(H2256&lt;1,I2230=0),0,
IF(I2230=0,H2256-1,
IF(H2256&lt;1,I2231,
(((H2256-1)*(H2232-(H2232/(H2256))))+((I2230/I$10)*I2231))/(I2232))))</f>
        <v>0</v>
      </c>
      <c r="J2256" s="1423">
        <f t="shared" ref="J2256" ca="1" si="3331">IF(AND(I2256&lt;1,J2230=0),0,
IF(J2230=0,I2256-1,
IF(I2256&lt;1,J2231,
(((I2256-1)*(I2232-(I2232/(I2256))))+((J2230/J$10)*J2231))/(J2232))))</f>
        <v>0</v>
      </c>
      <c r="K2256" s="1423">
        <f t="shared" ref="K2256" ca="1" si="3332">IF(AND(J2256&lt;1,K2230=0),0,
IF(K2230=0,J2256-1,
IF(J2256&lt;1,K2231,
(((J2256-1)*(J2232-(J2232/(J2256))))+((K2230/K$10)*K2231))/(K2232))))</f>
        <v>0</v>
      </c>
      <c r="L2256" s="1423">
        <f t="shared" ref="L2256" ca="1" si="3333">IF(AND(K2256&lt;1,L2230=0),0,
IF(L2230=0,K2256-1,
IF(K2256&lt;1,L2231,
(((K2256-1)*(K2232-(K2232/(K2256))))+((L2230/L$10)*L2231))/(L2232))))</f>
        <v>0</v>
      </c>
      <c r="M2256" s="1423">
        <f t="shared" ref="M2256" ca="1" si="3334">IF(AND(L2256&lt;1,M2230=0),0,
IF(M2230=0,L2256-1,
IF(L2256&lt;1,M2231,
(((L2256-1)*(L2232-(L2232/(L2256))))+((M2230/M$10)*M2231))/(M2232))))</f>
        <v>0</v>
      </c>
      <c r="N2256" s="1423">
        <f t="shared" ref="N2256" ca="1" si="3335">IF(AND(M2256&lt;1,N2230=0),0,
IF(N2230=0,M2256-1,
IF(M2256&lt;1,N2231,
(((M2256-1)*(M2232-(M2232/(M2256))))+((N2230/N$10)*N2231))/(N2232))))</f>
        <v>0</v>
      </c>
      <c r="O2256" s="1423">
        <f t="shared" ref="O2256" ca="1" si="3336">IF(AND(N2256&lt;1,O2230=0),0,
IF(O2230=0,N2256-1,
IF(N2256&lt;1,O2231,
(((N2256-1)*(N2232-(N2232/(N2256))))+((O2230/O$10)*O2231))/(O2232))))</f>
        <v>0</v>
      </c>
      <c r="P2256" s="1423">
        <f t="shared" ref="P2256" ca="1" si="3337">IF(AND(O2256&lt;1,P2230=0),0,
IF(P2230=0,O2256-1,
IF(O2256&lt;1,P2231,
(((O2256-1)*(O2232-(O2232/(O2256))))+((P2230/P$10)*P2231))/(P2232))))</f>
        <v>0</v>
      </c>
      <c r="Q2256" s="1423">
        <f t="shared" ref="Q2256" ca="1" si="3338">IF(AND(P2256&lt;1,Q2230=0),0,
IF(Q2230=0,P2256-1,
IF(P2256&lt;1,Q2231,
(((P2256-1)*(P2232-(P2232/(P2256))))+((Q2230/Q$10)*Q2231))/(Q2232))))</f>
        <v>0</v>
      </c>
      <c r="R2256" s="1423">
        <f t="shared" ref="R2256" ca="1" si="3339">IF(AND(Q2256&lt;1,R2230=0),0,
IF(R2230=0,Q2256-1,
IF(Q2256&lt;1,R2231,
(((Q2256-1)*(Q2232-(Q2232/(Q2256))))+((R2230/R$10)*R2231))/(R2232))))</f>
        <v>0</v>
      </c>
      <c r="S2256" s="1423">
        <f t="shared" ref="S2256" ca="1" si="3340">IF(AND(R2256&lt;1,S2230=0),0,
IF(S2230=0,R2256-1,
IF(R2256&lt;1,S2231,
(((R2256-1)*(R2232-(R2232/(R2256))))+((S2230/S$10)*S2231))/(S2232))))</f>
        <v>0</v>
      </c>
      <c r="T2256" s="1423">
        <f t="shared" ref="T2256" ca="1" si="3341">IF(AND(S2256&lt;1,T2230=0),0,
IF(T2230=0,S2256-1,
IF(S2256&lt;1,T2231,
(((S2256-1)*(S2232-(S2232/(S2256))))+((T2230/T$10)*T2231))/(T2232))))</f>
        <v>0</v>
      </c>
      <c r="U2256" s="1423">
        <f t="shared" ref="U2256" ca="1" si="3342">IF(AND(T2256&lt;1,U2230=0),0,
IF(U2230=0,T2256-1,
IF(T2256&lt;1,U2231,
(((T2256-1)*(T2232-(T2232/(T2256))))+((U2230/U$10)*U2231))/(U2232))))</f>
        <v>0</v>
      </c>
      <c r="V2256" s="1423">
        <f t="shared" ref="V2256" ca="1" si="3343">IF(AND(U2256&lt;1,V2230=0),0,
IF(V2230=0,U2256-1,
IF(U2256&lt;1,V2231,
(((U2256-1)*(U2232-(U2232/(U2256))))+((V2230/V$10)*V2231))/(V2232))))</f>
        <v>0</v>
      </c>
      <c r="W2256" s="1423">
        <f t="shared" ref="W2256" ca="1" si="3344">IF(AND(V2256&lt;1,W2230=0),0,
IF(W2230=0,V2256-1,
IF(V2256&lt;1,W2231,
(((V2256-1)*(V2232-(V2232/(V2256))))+((W2230/W$10)*W2231))/(W2232))))</f>
        <v>0</v>
      </c>
      <c r="X2256" s="152"/>
      <c r="Y2256" s="152"/>
      <c r="Z2256" s="152"/>
      <c r="AA2256" s="152"/>
      <c r="AB2256" s="152"/>
    </row>
    <row r="2257" spans="1:28" hidden="1" outlineLevel="1">
      <c r="A2257" s="152"/>
      <c r="B2257" s="190" t="s">
        <v>122</v>
      </c>
      <c r="C2257" s="1423">
        <f ca="1">C2229</f>
        <v>0</v>
      </c>
      <c r="D2257" s="1423">
        <f t="shared" ref="D2257" ca="1" si="3345">IF(C2257="n/a","n/a",MAX(0,C2257-1))</f>
        <v>0</v>
      </c>
      <c r="E2257" s="1423">
        <f t="shared" ref="E2257:E2258" ca="1" si="3346">IF(D2257="n/a","n/a",MAX(0,D2257-1))</f>
        <v>0</v>
      </c>
      <c r="F2257" s="1423">
        <f t="shared" ref="F2257:F2259" ca="1" si="3347">IF(E2257="n/a","n/a",MAX(0,E2257-1))</f>
        <v>0</v>
      </c>
      <c r="G2257" s="1423">
        <f t="shared" ref="G2257:G2260" ca="1" si="3348">IF(F2257="n/a","n/a",MAX(0,F2257-1))</f>
        <v>0</v>
      </c>
      <c r="H2257" s="1423">
        <f t="shared" ref="H2257:H2261" ca="1" si="3349">IF(G2257="n/a","n/a",MAX(0,G2257-1))</f>
        <v>0</v>
      </c>
      <c r="I2257" s="1423">
        <f t="shared" ref="I2257:I2262" ca="1" si="3350">IF(H2257="n/a","n/a",MAX(0,H2257-1))</f>
        <v>0</v>
      </c>
      <c r="J2257" s="1423">
        <f t="shared" ref="J2257:J2263" ca="1" si="3351">IF(I2257="n/a","n/a",MAX(0,I2257-1))</f>
        <v>0</v>
      </c>
      <c r="K2257" s="1423">
        <f t="shared" ref="K2257:K2264" ca="1" si="3352">IF(J2257="n/a","n/a",MAX(0,J2257-1))</f>
        <v>0</v>
      </c>
      <c r="L2257" s="1423">
        <f t="shared" ref="L2257:L2265" ca="1" si="3353">IF(K2257="n/a","n/a",MAX(0,K2257-1))</f>
        <v>0</v>
      </c>
      <c r="M2257" s="1423">
        <f t="shared" ref="M2257:M2266" ca="1" si="3354">IF(L2257="n/a","n/a",MAX(0,L2257-1))</f>
        <v>0</v>
      </c>
      <c r="N2257" s="1423">
        <f t="shared" ref="N2257:N2267" ca="1" si="3355">IF(M2257="n/a","n/a",MAX(0,M2257-1))</f>
        <v>0</v>
      </c>
      <c r="O2257" s="1423">
        <f t="shared" ref="O2257:O2268" ca="1" si="3356">IF(N2257="n/a","n/a",MAX(0,N2257-1))</f>
        <v>0</v>
      </c>
      <c r="P2257" s="1423">
        <f t="shared" ref="P2257:P2269" ca="1" si="3357">IF(O2257="n/a","n/a",MAX(0,O2257-1))</f>
        <v>0</v>
      </c>
      <c r="Q2257" s="1423">
        <f t="shared" ref="Q2257:Q2270" ca="1" si="3358">IF(P2257="n/a","n/a",MAX(0,P2257-1))</f>
        <v>0</v>
      </c>
      <c r="R2257" s="1423">
        <f t="shared" ref="R2257:R2271" ca="1" si="3359">IF(Q2257="n/a","n/a",MAX(0,Q2257-1))</f>
        <v>0</v>
      </c>
      <c r="S2257" s="1423">
        <f t="shared" ref="S2257:S2272" ca="1" si="3360">IF(R2257="n/a","n/a",MAX(0,R2257-1))</f>
        <v>0</v>
      </c>
      <c r="T2257" s="1423">
        <f t="shared" ref="T2257:T2273" ca="1" si="3361">IF(S2257="n/a","n/a",MAX(0,S2257-1))</f>
        <v>0</v>
      </c>
      <c r="U2257" s="1423">
        <f t="shared" ref="U2257:U2274" ca="1" si="3362">IF(T2257="n/a","n/a",MAX(0,T2257-1))</f>
        <v>0</v>
      </c>
      <c r="V2257" s="1423">
        <f t="shared" ref="V2257:V2275" ca="1" si="3363">IF(U2257="n/a","n/a",MAX(0,U2257-1))</f>
        <v>0</v>
      </c>
      <c r="W2257" s="1423">
        <f t="shared" ref="W2257:W2275" ca="1" si="3364">IF(V2257="n/a","n/a",MAX(0,V2257-1))</f>
        <v>0</v>
      </c>
      <c r="X2257" s="152"/>
      <c r="Y2257" s="152"/>
      <c r="Z2257" s="152"/>
      <c r="AA2257" s="152"/>
      <c r="AB2257" s="152"/>
    </row>
    <row r="2258" spans="1:28" hidden="1" outlineLevel="1">
      <c r="A2258" s="152"/>
      <c r="B2258" s="190" t="str">
        <f t="shared" ref="B2258:B2277" ca="1" si="3365">"RL Capex "&amp;OFFSET($C$6,0,A2234)</f>
        <v>RL Capex 2016-17</v>
      </c>
      <c r="C2258" s="1424"/>
      <c r="D2258" s="1428">
        <f>D2229</f>
        <v>0</v>
      </c>
      <c r="E2258" s="1423">
        <f t="shared" si="3346"/>
        <v>0</v>
      </c>
      <c r="F2258" s="1423">
        <f t="shared" si="3347"/>
        <v>0</v>
      </c>
      <c r="G2258" s="1423">
        <f t="shared" si="3348"/>
        <v>0</v>
      </c>
      <c r="H2258" s="1423">
        <f t="shared" si="3349"/>
        <v>0</v>
      </c>
      <c r="I2258" s="1423">
        <f t="shared" si="3350"/>
        <v>0</v>
      </c>
      <c r="J2258" s="1423">
        <f t="shared" si="3351"/>
        <v>0</v>
      </c>
      <c r="K2258" s="1423">
        <f t="shared" si="3352"/>
        <v>0</v>
      </c>
      <c r="L2258" s="1423">
        <f t="shared" si="3353"/>
        <v>0</v>
      </c>
      <c r="M2258" s="1423">
        <f t="shared" si="3354"/>
        <v>0</v>
      </c>
      <c r="N2258" s="1423">
        <f t="shared" si="3355"/>
        <v>0</v>
      </c>
      <c r="O2258" s="1423">
        <f t="shared" si="3356"/>
        <v>0</v>
      </c>
      <c r="P2258" s="1423">
        <f t="shared" si="3357"/>
        <v>0</v>
      </c>
      <c r="Q2258" s="1423">
        <f t="shared" si="3358"/>
        <v>0</v>
      </c>
      <c r="R2258" s="1423">
        <f t="shared" si="3359"/>
        <v>0</v>
      </c>
      <c r="S2258" s="1423">
        <f t="shared" si="3360"/>
        <v>0</v>
      </c>
      <c r="T2258" s="1423">
        <f t="shared" si="3361"/>
        <v>0</v>
      </c>
      <c r="U2258" s="1423">
        <f t="shared" si="3362"/>
        <v>0</v>
      </c>
      <c r="V2258" s="1423">
        <f t="shared" si="3363"/>
        <v>0</v>
      </c>
      <c r="W2258" s="1423">
        <f t="shared" si="3364"/>
        <v>0</v>
      </c>
      <c r="X2258" s="152"/>
      <c r="Y2258" s="152"/>
      <c r="Z2258" s="152"/>
      <c r="AA2258" s="152"/>
      <c r="AB2258" s="152"/>
    </row>
    <row r="2259" spans="1:28" hidden="1" outlineLevel="1">
      <c r="A2259" s="152"/>
      <c r="B2259" s="190" t="str">
        <f t="shared" ca="1" si="3365"/>
        <v>RL Capex 2017-18</v>
      </c>
      <c r="C2259" s="1429"/>
      <c r="D2259" s="1424"/>
      <c r="E2259" s="1428">
        <f>E2229</f>
        <v>0</v>
      </c>
      <c r="F2259" s="1423">
        <f t="shared" si="3347"/>
        <v>0</v>
      </c>
      <c r="G2259" s="1423">
        <f t="shared" si="3348"/>
        <v>0</v>
      </c>
      <c r="H2259" s="1423">
        <f t="shared" si="3349"/>
        <v>0</v>
      </c>
      <c r="I2259" s="1423">
        <f t="shared" si="3350"/>
        <v>0</v>
      </c>
      <c r="J2259" s="1423">
        <f t="shared" si="3351"/>
        <v>0</v>
      </c>
      <c r="K2259" s="1423">
        <f t="shared" si="3352"/>
        <v>0</v>
      </c>
      <c r="L2259" s="1423">
        <f t="shared" si="3353"/>
        <v>0</v>
      </c>
      <c r="M2259" s="1423">
        <f t="shared" si="3354"/>
        <v>0</v>
      </c>
      <c r="N2259" s="1423">
        <f t="shared" si="3355"/>
        <v>0</v>
      </c>
      <c r="O2259" s="1423">
        <f t="shared" si="3356"/>
        <v>0</v>
      </c>
      <c r="P2259" s="1423">
        <f t="shared" si="3357"/>
        <v>0</v>
      </c>
      <c r="Q2259" s="1423">
        <f t="shared" si="3358"/>
        <v>0</v>
      </c>
      <c r="R2259" s="1423">
        <f t="shared" si="3359"/>
        <v>0</v>
      </c>
      <c r="S2259" s="1423">
        <f t="shared" si="3360"/>
        <v>0</v>
      </c>
      <c r="T2259" s="1423">
        <f t="shared" si="3361"/>
        <v>0</v>
      </c>
      <c r="U2259" s="1423">
        <f t="shared" si="3362"/>
        <v>0</v>
      </c>
      <c r="V2259" s="1423">
        <f t="shared" si="3363"/>
        <v>0</v>
      </c>
      <c r="W2259" s="1423">
        <f t="shared" si="3364"/>
        <v>0</v>
      </c>
      <c r="X2259" s="152"/>
      <c r="Y2259" s="152"/>
      <c r="Z2259" s="152"/>
      <c r="AA2259" s="152"/>
      <c r="AB2259" s="152"/>
    </row>
    <row r="2260" spans="1:28" hidden="1" outlineLevel="1">
      <c r="A2260" s="152"/>
      <c r="B2260" s="190" t="str">
        <f t="shared" ca="1" si="3365"/>
        <v>RL Capex 2018-19</v>
      </c>
      <c r="C2260" s="1429"/>
      <c r="D2260" s="1429"/>
      <c r="E2260" s="1424"/>
      <c r="F2260" s="1428">
        <f>F2229</f>
        <v>0</v>
      </c>
      <c r="G2260" s="1423">
        <f t="shared" si="3348"/>
        <v>0</v>
      </c>
      <c r="H2260" s="1423">
        <f t="shared" si="3349"/>
        <v>0</v>
      </c>
      <c r="I2260" s="1423">
        <f t="shared" si="3350"/>
        <v>0</v>
      </c>
      <c r="J2260" s="1423">
        <f t="shared" si="3351"/>
        <v>0</v>
      </c>
      <c r="K2260" s="1423">
        <f t="shared" si="3352"/>
        <v>0</v>
      </c>
      <c r="L2260" s="1423">
        <f t="shared" si="3353"/>
        <v>0</v>
      </c>
      <c r="M2260" s="1423">
        <f t="shared" si="3354"/>
        <v>0</v>
      </c>
      <c r="N2260" s="1423">
        <f t="shared" si="3355"/>
        <v>0</v>
      </c>
      <c r="O2260" s="1423">
        <f t="shared" si="3356"/>
        <v>0</v>
      </c>
      <c r="P2260" s="1423">
        <f t="shared" si="3357"/>
        <v>0</v>
      </c>
      <c r="Q2260" s="1423">
        <f t="shared" si="3358"/>
        <v>0</v>
      </c>
      <c r="R2260" s="1423">
        <f t="shared" si="3359"/>
        <v>0</v>
      </c>
      <c r="S2260" s="1423">
        <f t="shared" si="3360"/>
        <v>0</v>
      </c>
      <c r="T2260" s="1423">
        <f t="shared" si="3361"/>
        <v>0</v>
      </c>
      <c r="U2260" s="1423">
        <f t="shared" si="3362"/>
        <v>0</v>
      </c>
      <c r="V2260" s="1423">
        <f t="shared" si="3363"/>
        <v>0</v>
      </c>
      <c r="W2260" s="1423">
        <f t="shared" si="3364"/>
        <v>0</v>
      </c>
      <c r="X2260" s="152"/>
      <c r="Y2260" s="152"/>
      <c r="Z2260" s="152"/>
      <c r="AA2260" s="152"/>
      <c r="AB2260" s="152"/>
    </row>
    <row r="2261" spans="1:28" hidden="1" outlineLevel="1">
      <c r="A2261" s="152"/>
      <c r="B2261" s="190" t="str">
        <f t="shared" ca="1" si="3365"/>
        <v>RL Capex 2019-20</v>
      </c>
      <c r="C2261" s="1429"/>
      <c r="D2261" s="1429"/>
      <c r="E2261" s="1429"/>
      <c r="F2261" s="1424"/>
      <c r="G2261" s="1428">
        <f>G2229</f>
        <v>0</v>
      </c>
      <c r="H2261" s="1423">
        <f t="shared" si="3349"/>
        <v>0</v>
      </c>
      <c r="I2261" s="1423">
        <f t="shared" si="3350"/>
        <v>0</v>
      </c>
      <c r="J2261" s="1423">
        <f t="shared" si="3351"/>
        <v>0</v>
      </c>
      <c r="K2261" s="1423">
        <f t="shared" si="3352"/>
        <v>0</v>
      </c>
      <c r="L2261" s="1423">
        <f t="shared" si="3353"/>
        <v>0</v>
      </c>
      <c r="M2261" s="1423">
        <f t="shared" si="3354"/>
        <v>0</v>
      </c>
      <c r="N2261" s="1423">
        <f t="shared" si="3355"/>
        <v>0</v>
      </c>
      <c r="O2261" s="1423">
        <f t="shared" si="3356"/>
        <v>0</v>
      </c>
      <c r="P2261" s="1423">
        <f t="shared" si="3357"/>
        <v>0</v>
      </c>
      <c r="Q2261" s="1423">
        <f t="shared" si="3358"/>
        <v>0</v>
      </c>
      <c r="R2261" s="1423">
        <f t="shared" si="3359"/>
        <v>0</v>
      </c>
      <c r="S2261" s="1423">
        <f t="shared" si="3360"/>
        <v>0</v>
      </c>
      <c r="T2261" s="1423">
        <f t="shared" si="3361"/>
        <v>0</v>
      </c>
      <c r="U2261" s="1423">
        <f t="shared" si="3362"/>
        <v>0</v>
      </c>
      <c r="V2261" s="1423">
        <f t="shared" si="3363"/>
        <v>0</v>
      </c>
      <c r="W2261" s="1423">
        <f t="shared" si="3364"/>
        <v>0</v>
      </c>
      <c r="X2261" s="152"/>
      <c r="Y2261" s="152"/>
      <c r="Z2261" s="152"/>
      <c r="AA2261" s="152"/>
      <c r="AB2261" s="152"/>
    </row>
    <row r="2262" spans="1:28" hidden="1" outlineLevel="1">
      <c r="A2262" s="152"/>
      <c r="B2262" s="190" t="str">
        <f t="shared" ca="1" si="3365"/>
        <v>RL Capex 2020-21</v>
      </c>
      <c r="C2262" s="1429"/>
      <c r="D2262" s="1429"/>
      <c r="E2262" s="1429"/>
      <c r="F2262" s="1429"/>
      <c r="G2262" s="1424"/>
      <c r="H2262" s="1428">
        <f>H2229</f>
        <v>0</v>
      </c>
      <c r="I2262" s="1423">
        <f t="shared" si="3350"/>
        <v>0</v>
      </c>
      <c r="J2262" s="1423">
        <f t="shared" si="3351"/>
        <v>0</v>
      </c>
      <c r="K2262" s="1423">
        <f t="shared" si="3352"/>
        <v>0</v>
      </c>
      <c r="L2262" s="1423">
        <f t="shared" si="3353"/>
        <v>0</v>
      </c>
      <c r="M2262" s="1423">
        <f t="shared" si="3354"/>
        <v>0</v>
      </c>
      <c r="N2262" s="1423">
        <f t="shared" si="3355"/>
        <v>0</v>
      </c>
      <c r="O2262" s="1423">
        <f t="shared" si="3356"/>
        <v>0</v>
      </c>
      <c r="P2262" s="1423">
        <f t="shared" si="3357"/>
        <v>0</v>
      </c>
      <c r="Q2262" s="1423">
        <f t="shared" si="3358"/>
        <v>0</v>
      </c>
      <c r="R2262" s="1423">
        <f t="shared" si="3359"/>
        <v>0</v>
      </c>
      <c r="S2262" s="1423">
        <f t="shared" si="3360"/>
        <v>0</v>
      </c>
      <c r="T2262" s="1423">
        <f t="shared" si="3361"/>
        <v>0</v>
      </c>
      <c r="U2262" s="1423">
        <f t="shared" si="3362"/>
        <v>0</v>
      </c>
      <c r="V2262" s="1423">
        <f t="shared" si="3363"/>
        <v>0</v>
      </c>
      <c r="W2262" s="1423">
        <f t="shared" si="3364"/>
        <v>0</v>
      </c>
      <c r="X2262" s="152"/>
      <c r="Y2262" s="152"/>
      <c r="Z2262" s="152"/>
      <c r="AA2262" s="152"/>
      <c r="AB2262" s="152"/>
    </row>
    <row r="2263" spans="1:28" hidden="1" outlineLevel="1">
      <c r="A2263" s="152"/>
      <c r="B2263" s="190" t="str">
        <f t="shared" ca="1" si="3365"/>
        <v>RL Capex 2021-22</v>
      </c>
      <c r="C2263" s="1429"/>
      <c r="D2263" s="1429"/>
      <c r="E2263" s="1429"/>
      <c r="F2263" s="1429"/>
      <c r="G2263" s="1429"/>
      <c r="H2263" s="1424"/>
      <c r="I2263" s="1428">
        <f>I2229</f>
        <v>0</v>
      </c>
      <c r="J2263" s="1423">
        <f t="shared" si="3351"/>
        <v>0</v>
      </c>
      <c r="K2263" s="1423">
        <f t="shared" si="3352"/>
        <v>0</v>
      </c>
      <c r="L2263" s="1423">
        <f t="shared" si="3353"/>
        <v>0</v>
      </c>
      <c r="M2263" s="1423">
        <f t="shared" si="3354"/>
        <v>0</v>
      </c>
      <c r="N2263" s="1423">
        <f t="shared" si="3355"/>
        <v>0</v>
      </c>
      <c r="O2263" s="1423">
        <f t="shared" si="3356"/>
        <v>0</v>
      </c>
      <c r="P2263" s="1423">
        <f t="shared" si="3357"/>
        <v>0</v>
      </c>
      <c r="Q2263" s="1423">
        <f t="shared" si="3358"/>
        <v>0</v>
      </c>
      <c r="R2263" s="1423">
        <f t="shared" si="3359"/>
        <v>0</v>
      </c>
      <c r="S2263" s="1423">
        <f t="shared" si="3360"/>
        <v>0</v>
      </c>
      <c r="T2263" s="1423">
        <f t="shared" si="3361"/>
        <v>0</v>
      </c>
      <c r="U2263" s="1423">
        <f t="shared" si="3362"/>
        <v>0</v>
      </c>
      <c r="V2263" s="1423">
        <f t="shared" si="3363"/>
        <v>0</v>
      </c>
      <c r="W2263" s="1423">
        <f t="shared" si="3364"/>
        <v>0</v>
      </c>
      <c r="X2263" s="152"/>
      <c r="Y2263" s="152"/>
      <c r="Z2263" s="152"/>
      <c r="AA2263" s="152"/>
      <c r="AB2263" s="152"/>
    </row>
    <row r="2264" spans="1:28" hidden="1" outlineLevel="1">
      <c r="A2264" s="152"/>
      <c r="B2264" s="190" t="str">
        <f t="shared" ca="1" si="3365"/>
        <v>RL Capex 2022-23</v>
      </c>
      <c r="C2264" s="1429"/>
      <c r="D2264" s="1429"/>
      <c r="E2264" s="1429"/>
      <c r="F2264" s="1429"/>
      <c r="G2264" s="1429"/>
      <c r="H2264" s="1429"/>
      <c r="I2264" s="1424"/>
      <c r="J2264" s="1428">
        <f>J2229</f>
        <v>0</v>
      </c>
      <c r="K2264" s="1423">
        <f t="shared" si="3352"/>
        <v>0</v>
      </c>
      <c r="L2264" s="1423">
        <f t="shared" si="3353"/>
        <v>0</v>
      </c>
      <c r="M2264" s="1423">
        <f t="shared" si="3354"/>
        <v>0</v>
      </c>
      <c r="N2264" s="1423">
        <f t="shared" si="3355"/>
        <v>0</v>
      </c>
      <c r="O2264" s="1423">
        <f t="shared" si="3356"/>
        <v>0</v>
      </c>
      <c r="P2264" s="1423">
        <f t="shared" si="3357"/>
        <v>0</v>
      </c>
      <c r="Q2264" s="1423">
        <f t="shared" si="3358"/>
        <v>0</v>
      </c>
      <c r="R2264" s="1423">
        <f t="shared" si="3359"/>
        <v>0</v>
      </c>
      <c r="S2264" s="1423">
        <f t="shared" si="3360"/>
        <v>0</v>
      </c>
      <c r="T2264" s="1423">
        <f t="shared" si="3361"/>
        <v>0</v>
      </c>
      <c r="U2264" s="1423">
        <f t="shared" si="3362"/>
        <v>0</v>
      </c>
      <c r="V2264" s="1423">
        <f t="shared" si="3363"/>
        <v>0</v>
      </c>
      <c r="W2264" s="1423">
        <f t="shared" si="3364"/>
        <v>0</v>
      </c>
      <c r="X2264" s="152"/>
      <c r="Y2264" s="152"/>
      <c r="Z2264" s="152"/>
      <c r="AA2264" s="152"/>
      <c r="AB2264" s="152"/>
    </row>
    <row r="2265" spans="1:28" hidden="1" outlineLevel="1">
      <c r="A2265" s="152"/>
      <c r="B2265" s="190" t="str">
        <f t="shared" ca="1" si="3365"/>
        <v>RL Capex 2023-24</v>
      </c>
      <c r="C2265" s="1429"/>
      <c r="D2265" s="1429"/>
      <c r="E2265" s="1429"/>
      <c r="F2265" s="1429"/>
      <c r="G2265" s="1429"/>
      <c r="H2265" s="1429"/>
      <c r="I2265" s="1429"/>
      <c r="J2265" s="1424"/>
      <c r="K2265" s="1428">
        <f>K2229</f>
        <v>0</v>
      </c>
      <c r="L2265" s="1423">
        <f t="shared" si="3353"/>
        <v>0</v>
      </c>
      <c r="M2265" s="1423">
        <f t="shared" si="3354"/>
        <v>0</v>
      </c>
      <c r="N2265" s="1423">
        <f t="shared" si="3355"/>
        <v>0</v>
      </c>
      <c r="O2265" s="1423">
        <f t="shared" si="3356"/>
        <v>0</v>
      </c>
      <c r="P2265" s="1423">
        <f t="shared" si="3357"/>
        <v>0</v>
      </c>
      <c r="Q2265" s="1423">
        <f t="shared" si="3358"/>
        <v>0</v>
      </c>
      <c r="R2265" s="1423">
        <f t="shared" si="3359"/>
        <v>0</v>
      </c>
      <c r="S2265" s="1423">
        <f t="shared" si="3360"/>
        <v>0</v>
      </c>
      <c r="T2265" s="1423">
        <f t="shared" si="3361"/>
        <v>0</v>
      </c>
      <c r="U2265" s="1423">
        <f t="shared" si="3362"/>
        <v>0</v>
      </c>
      <c r="V2265" s="1423">
        <f t="shared" si="3363"/>
        <v>0</v>
      </c>
      <c r="W2265" s="1423">
        <f t="shared" si="3364"/>
        <v>0</v>
      </c>
      <c r="X2265" s="152"/>
      <c r="Y2265" s="152"/>
      <c r="Z2265" s="152"/>
      <c r="AA2265" s="152"/>
      <c r="AB2265" s="152"/>
    </row>
    <row r="2266" spans="1:28" hidden="1" outlineLevel="1">
      <c r="A2266" s="152"/>
      <c r="B2266" s="190" t="str">
        <f t="shared" ca="1" si="3365"/>
        <v>RL Capex 2024-25</v>
      </c>
      <c r="C2266" s="1429"/>
      <c r="D2266" s="1429"/>
      <c r="E2266" s="1429"/>
      <c r="F2266" s="1429"/>
      <c r="G2266" s="1429"/>
      <c r="H2266" s="1429"/>
      <c r="I2266" s="1429"/>
      <c r="J2266" s="1429"/>
      <c r="K2266" s="1424"/>
      <c r="L2266" s="1428">
        <f>L2229</f>
        <v>0</v>
      </c>
      <c r="M2266" s="1423">
        <f t="shared" si="3354"/>
        <v>0</v>
      </c>
      <c r="N2266" s="1423">
        <f t="shared" si="3355"/>
        <v>0</v>
      </c>
      <c r="O2266" s="1423">
        <f t="shared" si="3356"/>
        <v>0</v>
      </c>
      <c r="P2266" s="1423">
        <f t="shared" si="3357"/>
        <v>0</v>
      </c>
      <c r="Q2266" s="1423">
        <f t="shared" si="3358"/>
        <v>0</v>
      </c>
      <c r="R2266" s="1423">
        <f t="shared" si="3359"/>
        <v>0</v>
      </c>
      <c r="S2266" s="1423">
        <f t="shared" si="3360"/>
        <v>0</v>
      </c>
      <c r="T2266" s="1423">
        <f t="shared" si="3361"/>
        <v>0</v>
      </c>
      <c r="U2266" s="1423">
        <f t="shared" si="3362"/>
        <v>0</v>
      </c>
      <c r="V2266" s="1423">
        <f t="shared" si="3363"/>
        <v>0</v>
      </c>
      <c r="W2266" s="1423">
        <f t="shared" si="3364"/>
        <v>0</v>
      </c>
      <c r="X2266" s="152"/>
      <c r="Y2266" s="152"/>
      <c r="Z2266" s="152"/>
      <c r="AA2266" s="152"/>
      <c r="AB2266" s="152"/>
    </row>
    <row r="2267" spans="1:28" hidden="1" outlineLevel="1">
      <c r="A2267" s="152"/>
      <c r="B2267" s="190" t="str">
        <f t="shared" ca="1" si="3365"/>
        <v>RL Capex 2025-26</v>
      </c>
      <c r="C2267" s="1429"/>
      <c r="D2267" s="1429"/>
      <c r="E2267" s="1429"/>
      <c r="F2267" s="1429"/>
      <c r="G2267" s="1429"/>
      <c r="H2267" s="1429"/>
      <c r="I2267" s="1429"/>
      <c r="J2267" s="1429"/>
      <c r="K2267" s="1429"/>
      <c r="L2267" s="1424"/>
      <c r="M2267" s="1428">
        <f>M2229</f>
        <v>0</v>
      </c>
      <c r="N2267" s="1423">
        <f t="shared" si="3355"/>
        <v>0</v>
      </c>
      <c r="O2267" s="1423">
        <f t="shared" si="3356"/>
        <v>0</v>
      </c>
      <c r="P2267" s="1423">
        <f t="shared" si="3357"/>
        <v>0</v>
      </c>
      <c r="Q2267" s="1423">
        <f t="shared" si="3358"/>
        <v>0</v>
      </c>
      <c r="R2267" s="1423">
        <f t="shared" si="3359"/>
        <v>0</v>
      </c>
      <c r="S2267" s="1423">
        <f t="shared" si="3360"/>
        <v>0</v>
      </c>
      <c r="T2267" s="1423">
        <f t="shared" si="3361"/>
        <v>0</v>
      </c>
      <c r="U2267" s="1423">
        <f t="shared" si="3362"/>
        <v>0</v>
      </c>
      <c r="V2267" s="1423">
        <f t="shared" si="3363"/>
        <v>0</v>
      </c>
      <c r="W2267" s="1423">
        <f t="shared" si="3364"/>
        <v>0</v>
      </c>
      <c r="X2267" s="152"/>
      <c r="Y2267" s="152"/>
      <c r="Z2267" s="152"/>
      <c r="AA2267" s="152"/>
      <c r="AB2267" s="152"/>
    </row>
    <row r="2268" spans="1:28" hidden="1" outlineLevel="1">
      <c r="A2268" s="152"/>
      <c r="B2268" s="190" t="str">
        <f t="shared" ca="1" si="3365"/>
        <v>RL Capex 2026-27</v>
      </c>
      <c r="C2268" s="1429"/>
      <c r="D2268" s="1429"/>
      <c r="E2268" s="1429"/>
      <c r="F2268" s="1429"/>
      <c r="G2268" s="1429"/>
      <c r="H2268" s="1429"/>
      <c r="I2268" s="1429"/>
      <c r="J2268" s="1429"/>
      <c r="K2268" s="1429"/>
      <c r="L2268" s="1429"/>
      <c r="M2268" s="1424"/>
      <c r="N2268" s="1428">
        <f>N2229</f>
        <v>0</v>
      </c>
      <c r="O2268" s="1423">
        <f t="shared" si="3356"/>
        <v>0</v>
      </c>
      <c r="P2268" s="1423">
        <f t="shared" si="3357"/>
        <v>0</v>
      </c>
      <c r="Q2268" s="1423">
        <f t="shared" si="3358"/>
        <v>0</v>
      </c>
      <c r="R2268" s="1423">
        <f t="shared" si="3359"/>
        <v>0</v>
      </c>
      <c r="S2268" s="1423">
        <f t="shared" si="3360"/>
        <v>0</v>
      </c>
      <c r="T2268" s="1423">
        <f t="shared" si="3361"/>
        <v>0</v>
      </c>
      <c r="U2268" s="1423">
        <f t="shared" si="3362"/>
        <v>0</v>
      </c>
      <c r="V2268" s="1423">
        <f t="shared" si="3363"/>
        <v>0</v>
      </c>
      <c r="W2268" s="1423">
        <f t="shared" si="3364"/>
        <v>0</v>
      </c>
      <c r="X2268" s="152"/>
      <c r="Y2268" s="152"/>
      <c r="Z2268" s="152"/>
      <c r="AA2268" s="152"/>
      <c r="AB2268" s="152"/>
    </row>
    <row r="2269" spans="1:28" hidden="1" outlineLevel="1">
      <c r="A2269" s="152"/>
      <c r="B2269" s="190" t="str">
        <f t="shared" ca="1" si="3365"/>
        <v>RL Capex 2027-28</v>
      </c>
      <c r="C2269" s="1429"/>
      <c r="D2269" s="1429"/>
      <c r="E2269" s="1429"/>
      <c r="F2269" s="1429"/>
      <c r="G2269" s="1429"/>
      <c r="H2269" s="1429"/>
      <c r="I2269" s="1429"/>
      <c r="J2269" s="1429"/>
      <c r="K2269" s="1429"/>
      <c r="L2269" s="1429"/>
      <c r="M2269" s="1429"/>
      <c r="N2269" s="1424"/>
      <c r="O2269" s="1428">
        <f>O2229</f>
        <v>0</v>
      </c>
      <c r="P2269" s="1423">
        <f t="shared" si="3357"/>
        <v>0</v>
      </c>
      <c r="Q2269" s="1423">
        <f t="shared" si="3358"/>
        <v>0</v>
      </c>
      <c r="R2269" s="1423">
        <f t="shared" si="3359"/>
        <v>0</v>
      </c>
      <c r="S2269" s="1423">
        <f t="shared" si="3360"/>
        <v>0</v>
      </c>
      <c r="T2269" s="1423">
        <f t="shared" si="3361"/>
        <v>0</v>
      </c>
      <c r="U2269" s="1423">
        <f t="shared" si="3362"/>
        <v>0</v>
      </c>
      <c r="V2269" s="1423">
        <f t="shared" si="3363"/>
        <v>0</v>
      </c>
      <c r="W2269" s="1423">
        <f t="shared" si="3364"/>
        <v>0</v>
      </c>
      <c r="X2269" s="152"/>
      <c r="Y2269" s="152"/>
      <c r="Z2269" s="152"/>
      <c r="AA2269" s="152"/>
      <c r="AB2269" s="152"/>
    </row>
    <row r="2270" spans="1:28" hidden="1" outlineLevel="1">
      <c r="A2270" s="152"/>
      <c r="B2270" s="190" t="str">
        <f t="shared" ca="1" si="3365"/>
        <v>RL Capex 2028-29</v>
      </c>
      <c r="C2270" s="1429"/>
      <c r="D2270" s="1429"/>
      <c r="E2270" s="1429"/>
      <c r="F2270" s="1429"/>
      <c r="G2270" s="1429"/>
      <c r="H2270" s="1429"/>
      <c r="I2270" s="1429"/>
      <c r="J2270" s="1429"/>
      <c r="K2270" s="1429"/>
      <c r="L2270" s="1429"/>
      <c r="M2270" s="1429"/>
      <c r="N2270" s="1429"/>
      <c r="O2270" s="1424"/>
      <c r="P2270" s="1428">
        <f>P2229</f>
        <v>0</v>
      </c>
      <c r="Q2270" s="1423">
        <f t="shared" si="3358"/>
        <v>0</v>
      </c>
      <c r="R2270" s="1423">
        <f t="shared" si="3359"/>
        <v>0</v>
      </c>
      <c r="S2270" s="1423">
        <f t="shared" si="3360"/>
        <v>0</v>
      </c>
      <c r="T2270" s="1423">
        <f t="shared" si="3361"/>
        <v>0</v>
      </c>
      <c r="U2270" s="1423">
        <f t="shared" si="3362"/>
        <v>0</v>
      </c>
      <c r="V2270" s="1423">
        <f t="shared" si="3363"/>
        <v>0</v>
      </c>
      <c r="W2270" s="1423">
        <f t="shared" si="3364"/>
        <v>0</v>
      </c>
      <c r="X2270" s="152"/>
      <c r="Y2270" s="152"/>
      <c r="Z2270" s="152"/>
      <c r="AA2270" s="152"/>
      <c r="AB2270" s="152"/>
    </row>
    <row r="2271" spans="1:28" hidden="1" outlineLevel="1">
      <c r="A2271" s="152"/>
      <c r="B2271" s="190" t="str">
        <f t="shared" ca="1" si="3365"/>
        <v>RL Capex 2029-30</v>
      </c>
      <c r="C2271" s="1429"/>
      <c r="D2271" s="1429"/>
      <c r="E2271" s="1429"/>
      <c r="F2271" s="1429"/>
      <c r="G2271" s="1429"/>
      <c r="H2271" s="1429"/>
      <c r="I2271" s="1429"/>
      <c r="J2271" s="1429"/>
      <c r="K2271" s="1429"/>
      <c r="L2271" s="1429"/>
      <c r="M2271" s="1429"/>
      <c r="N2271" s="1429"/>
      <c r="O2271" s="1429"/>
      <c r="P2271" s="1424"/>
      <c r="Q2271" s="1428">
        <f>Q2229</f>
        <v>0</v>
      </c>
      <c r="R2271" s="1423">
        <f t="shared" si="3359"/>
        <v>0</v>
      </c>
      <c r="S2271" s="1423">
        <f t="shared" si="3360"/>
        <v>0</v>
      </c>
      <c r="T2271" s="1423">
        <f t="shared" si="3361"/>
        <v>0</v>
      </c>
      <c r="U2271" s="1423">
        <f t="shared" si="3362"/>
        <v>0</v>
      </c>
      <c r="V2271" s="1423">
        <f t="shared" si="3363"/>
        <v>0</v>
      </c>
      <c r="W2271" s="1423">
        <f t="shared" si="3364"/>
        <v>0</v>
      </c>
      <c r="X2271" s="152"/>
      <c r="Y2271" s="152"/>
      <c r="Z2271" s="152"/>
      <c r="AA2271" s="152"/>
      <c r="AB2271" s="152"/>
    </row>
    <row r="2272" spans="1:28" hidden="1" outlineLevel="1">
      <c r="A2272" s="152"/>
      <c r="B2272" s="190" t="str">
        <f t="shared" ca="1" si="3365"/>
        <v>RL Capex 2030-31</v>
      </c>
      <c r="C2272" s="1429"/>
      <c r="D2272" s="1429"/>
      <c r="E2272" s="1429"/>
      <c r="F2272" s="1429"/>
      <c r="G2272" s="1429"/>
      <c r="H2272" s="1429"/>
      <c r="I2272" s="1429"/>
      <c r="J2272" s="1429"/>
      <c r="K2272" s="1429"/>
      <c r="L2272" s="1429"/>
      <c r="M2272" s="1429"/>
      <c r="N2272" s="1429"/>
      <c r="O2272" s="1429"/>
      <c r="P2272" s="1429"/>
      <c r="Q2272" s="1424"/>
      <c r="R2272" s="1428">
        <f>R2229</f>
        <v>0</v>
      </c>
      <c r="S2272" s="1423">
        <f t="shared" si="3360"/>
        <v>0</v>
      </c>
      <c r="T2272" s="1423">
        <f t="shared" si="3361"/>
        <v>0</v>
      </c>
      <c r="U2272" s="1423">
        <f t="shared" si="3362"/>
        <v>0</v>
      </c>
      <c r="V2272" s="1423">
        <f t="shared" si="3363"/>
        <v>0</v>
      </c>
      <c r="W2272" s="1423">
        <f t="shared" si="3364"/>
        <v>0</v>
      </c>
      <c r="X2272" s="152"/>
      <c r="Y2272" s="152"/>
      <c r="Z2272" s="152"/>
      <c r="AA2272" s="152"/>
      <c r="AB2272" s="152"/>
    </row>
    <row r="2273" spans="1:28" hidden="1" outlineLevel="1">
      <c r="A2273" s="152"/>
      <c r="B2273" s="190" t="str">
        <f t="shared" ca="1" si="3365"/>
        <v>RL Capex 2031-32</v>
      </c>
      <c r="C2273" s="1429"/>
      <c r="D2273" s="1429"/>
      <c r="E2273" s="1429"/>
      <c r="F2273" s="1429"/>
      <c r="G2273" s="1429"/>
      <c r="H2273" s="1429"/>
      <c r="I2273" s="1429"/>
      <c r="J2273" s="1429"/>
      <c r="K2273" s="1429"/>
      <c r="L2273" s="1429"/>
      <c r="M2273" s="1429"/>
      <c r="N2273" s="1429"/>
      <c r="O2273" s="1429"/>
      <c r="P2273" s="1429"/>
      <c r="Q2273" s="1429"/>
      <c r="R2273" s="1424"/>
      <c r="S2273" s="1428">
        <f>S2229</f>
        <v>0</v>
      </c>
      <c r="T2273" s="1423">
        <f t="shared" si="3361"/>
        <v>0</v>
      </c>
      <c r="U2273" s="1423">
        <f t="shared" si="3362"/>
        <v>0</v>
      </c>
      <c r="V2273" s="1423">
        <f t="shared" si="3363"/>
        <v>0</v>
      </c>
      <c r="W2273" s="1423">
        <f t="shared" si="3364"/>
        <v>0</v>
      </c>
      <c r="X2273" s="152"/>
      <c r="Y2273" s="152"/>
      <c r="Z2273" s="152"/>
      <c r="AA2273" s="152"/>
      <c r="AB2273" s="152"/>
    </row>
    <row r="2274" spans="1:28" hidden="1" outlineLevel="1">
      <c r="A2274" s="152"/>
      <c r="B2274" s="190" t="str">
        <f t="shared" ca="1" si="3365"/>
        <v>RL Capex 2032-33</v>
      </c>
      <c r="C2274" s="1429"/>
      <c r="D2274" s="1429"/>
      <c r="E2274" s="1429"/>
      <c r="F2274" s="1429"/>
      <c r="G2274" s="1429"/>
      <c r="H2274" s="1429"/>
      <c r="I2274" s="1429"/>
      <c r="J2274" s="1429"/>
      <c r="K2274" s="1429"/>
      <c r="L2274" s="1429"/>
      <c r="M2274" s="1429"/>
      <c r="N2274" s="1429"/>
      <c r="O2274" s="1429"/>
      <c r="P2274" s="1429"/>
      <c r="Q2274" s="1429"/>
      <c r="R2274" s="1429"/>
      <c r="S2274" s="1424"/>
      <c r="T2274" s="1428">
        <f>T2229</f>
        <v>0</v>
      </c>
      <c r="U2274" s="1423">
        <f t="shared" si="3362"/>
        <v>0</v>
      </c>
      <c r="V2274" s="1423">
        <f t="shared" si="3363"/>
        <v>0</v>
      </c>
      <c r="W2274" s="1423">
        <f t="shared" si="3364"/>
        <v>0</v>
      </c>
      <c r="X2274" s="152"/>
      <c r="Y2274" s="152"/>
      <c r="Z2274" s="152"/>
      <c r="AA2274" s="152"/>
      <c r="AB2274" s="152"/>
    </row>
    <row r="2275" spans="1:28" hidden="1" outlineLevel="1">
      <c r="A2275" s="152"/>
      <c r="B2275" s="190" t="str">
        <f t="shared" ca="1" si="3365"/>
        <v>RL Capex 2033-34</v>
      </c>
      <c r="C2275" s="1429"/>
      <c r="D2275" s="1429"/>
      <c r="E2275" s="1429"/>
      <c r="F2275" s="1429"/>
      <c r="G2275" s="1429"/>
      <c r="H2275" s="1429"/>
      <c r="I2275" s="1429"/>
      <c r="J2275" s="1429"/>
      <c r="K2275" s="1429"/>
      <c r="L2275" s="1429"/>
      <c r="M2275" s="1429"/>
      <c r="N2275" s="1429"/>
      <c r="O2275" s="1429"/>
      <c r="P2275" s="1429"/>
      <c r="Q2275" s="1429"/>
      <c r="R2275" s="1429"/>
      <c r="S2275" s="1429"/>
      <c r="T2275" s="1424"/>
      <c r="U2275" s="1428">
        <f>U2229</f>
        <v>0</v>
      </c>
      <c r="V2275" s="1423">
        <f t="shared" si="3363"/>
        <v>0</v>
      </c>
      <c r="W2275" s="1423">
        <f t="shared" si="3364"/>
        <v>0</v>
      </c>
      <c r="X2275" s="152"/>
      <c r="Y2275" s="152"/>
      <c r="Z2275" s="152"/>
      <c r="AA2275" s="152"/>
      <c r="AB2275" s="152"/>
    </row>
    <row r="2276" spans="1:28" hidden="1" outlineLevel="1">
      <c r="A2276" s="152"/>
      <c r="B2276" s="190" t="str">
        <f t="shared" ca="1" si="3365"/>
        <v>RL Capex 2034-35</v>
      </c>
      <c r="C2276" s="1429"/>
      <c r="D2276" s="1429"/>
      <c r="E2276" s="1429"/>
      <c r="F2276" s="1429"/>
      <c r="G2276" s="1429"/>
      <c r="H2276" s="1429"/>
      <c r="I2276" s="1429"/>
      <c r="J2276" s="1429"/>
      <c r="K2276" s="1429"/>
      <c r="L2276" s="1429"/>
      <c r="M2276" s="1429"/>
      <c r="N2276" s="1429"/>
      <c r="O2276" s="1429"/>
      <c r="P2276" s="1429"/>
      <c r="Q2276" s="1429"/>
      <c r="R2276" s="1429"/>
      <c r="S2276" s="1429"/>
      <c r="T2276" s="1429"/>
      <c r="U2276" s="1424"/>
      <c r="V2276" s="1428">
        <f>V2229</f>
        <v>0</v>
      </c>
      <c r="W2276" s="1423">
        <f>IF(V2276="n/a","n/a",MAX(0,V2276-1))</f>
        <v>0</v>
      </c>
      <c r="X2276" s="152"/>
      <c r="Y2276" s="152"/>
      <c r="Z2276" s="152"/>
      <c r="AA2276" s="152"/>
      <c r="AB2276" s="152"/>
    </row>
    <row r="2277" spans="1:28" hidden="1" outlineLevel="1">
      <c r="A2277" s="152"/>
      <c r="B2277" s="190" t="str">
        <f t="shared" ca="1" si="3365"/>
        <v>RL Capex 2035-36</v>
      </c>
      <c r="C2277" s="1429"/>
      <c r="D2277" s="1429"/>
      <c r="E2277" s="1429"/>
      <c r="F2277" s="1429"/>
      <c r="G2277" s="1429"/>
      <c r="H2277" s="1429"/>
      <c r="I2277" s="1429"/>
      <c r="J2277" s="1429"/>
      <c r="K2277" s="1429"/>
      <c r="L2277" s="1429"/>
      <c r="M2277" s="1429"/>
      <c r="N2277" s="1429"/>
      <c r="O2277" s="1429"/>
      <c r="P2277" s="1429"/>
      <c r="Q2277" s="1429"/>
      <c r="R2277" s="1429"/>
      <c r="S2277" s="1429"/>
      <c r="T2277" s="1429"/>
      <c r="U2277" s="1429"/>
      <c r="V2277" s="1424"/>
      <c r="W2277" s="1423">
        <f>W2229</f>
        <v>0</v>
      </c>
      <c r="X2277" s="152"/>
      <c r="Y2277" s="152"/>
      <c r="Z2277" s="152"/>
      <c r="AA2277" s="152"/>
      <c r="AB2277" s="152"/>
    </row>
    <row r="2278" spans="1:28" hidden="1" outlineLevel="1">
      <c r="A2278" s="152"/>
      <c r="B2278" s="200"/>
      <c r="C2278" s="1423"/>
      <c r="D2278" s="1423"/>
      <c r="E2278" s="1423"/>
      <c r="F2278" s="1423"/>
      <c r="G2278" s="1423"/>
      <c r="H2278" s="1423"/>
      <c r="I2278" s="1423"/>
      <c r="J2278" s="1423"/>
      <c r="K2278" s="1423"/>
      <c r="L2278" s="1423"/>
      <c r="M2278" s="1423"/>
      <c r="N2278" s="1423"/>
      <c r="O2278" s="1423"/>
      <c r="P2278" s="1423"/>
      <c r="Q2278" s="1423"/>
      <c r="R2278" s="1423"/>
      <c r="S2278" s="1423"/>
      <c r="T2278" s="1423"/>
      <c r="U2278" s="1423"/>
      <c r="V2278" s="1423"/>
      <c r="W2278" s="1423"/>
      <c r="X2278" s="152"/>
      <c r="Y2278" s="152"/>
      <c r="Z2278" s="152"/>
      <c r="AA2278" s="152"/>
      <c r="AB2278" s="152"/>
    </row>
    <row r="2279" spans="1:28" collapsed="1">
      <c r="A2279" s="194"/>
      <c r="B2279" s="204" t="s">
        <v>123</v>
      </c>
      <c r="C2279" s="1430">
        <f ca="1">(IF(OR($C2229&lt;&gt;"n/a",C2229&lt;&gt;"n/a"),IF(SUM(C2232:C2254)=0,0,IF((SUMPRODUCT(C2232:C2254,C2256:C2278)/SUM(C2232:C2254))&lt;0,1,(SUMPRODUCT(C2232:C2254,C2256:C2278)/SUM(C2232:C2254)))),"n/a"))</f>
        <v>0</v>
      </c>
      <c r="D2279" s="1430">
        <f ca="1">(IF(OR($C2229&lt;&gt;"n/a",D2229&lt;&gt;"n/a"),IF(SUM(D2232:D2254)=0,0,IF((SUMPRODUCT(D2232:D2254,D2256:D2278)/SUM(D2232:D2254))&lt;0,1,(SUMPRODUCT(D2232:D2254,D2256:D2278)/SUM(D2232:D2254)))),"n/a"))</f>
        <v>0</v>
      </c>
      <c r="E2279" s="1430">
        <f t="shared" ref="E2279:W2279" ca="1" si="3366">(IF(OR($C2229&lt;&gt;"n/a",E2229&lt;&gt;"n/a"),IF(SUM(E2232:E2254)=0,0,IF((SUMPRODUCT(E2232:E2254,E2256:E2278)/SUM(E2232:E2254))&lt;0,1,(SUMPRODUCT(E2232:E2254,E2256:E2278)/SUM(E2232:E2254)))),"n/a"))</f>
        <v>0</v>
      </c>
      <c r="F2279" s="1430">
        <f t="shared" ca="1" si="3366"/>
        <v>0</v>
      </c>
      <c r="G2279" s="1430">
        <f t="shared" ca="1" si="3366"/>
        <v>0</v>
      </c>
      <c r="H2279" s="1430">
        <f t="shared" ca="1" si="3366"/>
        <v>0</v>
      </c>
      <c r="I2279" s="1430">
        <f t="shared" ca="1" si="3366"/>
        <v>0</v>
      </c>
      <c r="J2279" s="1430">
        <f t="shared" ca="1" si="3366"/>
        <v>0</v>
      </c>
      <c r="K2279" s="1430">
        <f t="shared" ca="1" si="3366"/>
        <v>0</v>
      </c>
      <c r="L2279" s="1430">
        <f t="shared" ca="1" si="3366"/>
        <v>0</v>
      </c>
      <c r="M2279" s="1430">
        <f t="shared" ca="1" si="3366"/>
        <v>0</v>
      </c>
      <c r="N2279" s="1430">
        <f t="shared" ca="1" si="3366"/>
        <v>0</v>
      </c>
      <c r="O2279" s="1430">
        <f t="shared" ca="1" si="3366"/>
        <v>0</v>
      </c>
      <c r="P2279" s="1430">
        <f t="shared" ca="1" si="3366"/>
        <v>0</v>
      </c>
      <c r="Q2279" s="1430">
        <f t="shared" ca="1" si="3366"/>
        <v>0</v>
      </c>
      <c r="R2279" s="1430">
        <f t="shared" ca="1" si="3366"/>
        <v>0</v>
      </c>
      <c r="S2279" s="1430">
        <f t="shared" ca="1" si="3366"/>
        <v>0</v>
      </c>
      <c r="T2279" s="1430">
        <f t="shared" ca="1" si="3366"/>
        <v>0</v>
      </c>
      <c r="U2279" s="1430">
        <f t="shared" ca="1" si="3366"/>
        <v>0</v>
      </c>
      <c r="V2279" s="1430">
        <f t="shared" ca="1" si="3366"/>
        <v>0</v>
      </c>
      <c r="W2279" s="1430">
        <f t="shared" ca="1" si="3366"/>
        <v>0</v>
      </c>
      <c r="X2279" s="152"/>
      <c r="Y2279" s="152"/>
      <c r="Z2279" s="152"/>
      <c r="AA2279" s="152"/>
      <c r="AB2279" s="152"/>
    </row>
    <row r="2280" spans="1:28">
      <c r="A2280" s="152"/>
      <c r="B2280" s="152"/>
      <c r="C2280" s="1423"/>
      <c r="D2280" s="1423"/>
      <c r="E2280" s="1423"/>
      <c r="F2280" s="1423"/>
      <c r="G2280" s="1423"/>
      <c r="H2280" s="1423"/>
      <c r="I2280" s="1423"/>
      <c r="J2280" s="1423"/>
      <c r="K2280" s="1423"/>
      <c r="L2280" s="1423"/>
      <c r="M2280" s="1423"/>
      <c r="N2280" s="1423"/>
      <c r="O2280" s="1423"/>
      <c r="P2280" s="1423"/>
      <c r="Q2280" s="1423"/>
      <c r="R2280" s="1423"/>
      <c r="S2280" s="1423"/>
      <c r="T2280" s="1423"/>
      <c r="U2280" s="1423"/>
      <c r="V2280" s="1423"/>
      <c r="W2280" s="1423"/>
      <c r="X2280" s="152"/>
      <c r="Y2280" s="152"/>
      <c r="Z2280" s="152"/>
      <c r="AA2280" s="152"/>
      <c r="AB2280" s="152"/>
    </row>
    <row r="2281" spans="1:28">
      <c r="A2281" s="269" t="s">
        <v>109</v>
      </c>
      <c r="B2281" s="270">
        <f>VLOOKUP($A2281,'RFM input'!$E$7:$F$56,2,FALSE)</f>
        <v>0</v>
      </c>
      <c r="C2281" s="1431"/>
      <c r="D2281" s="1431"/>
      <c r="E2281" s="1432"/>
      <c r="F2281" s="1432"/>
      <c r="G2281" s="1432"/>
      <c r="H2281" s="1432"/>
      <c r="I2281" s="1432"/>
      <c r="J2281" s="1432"/>
      <c r="K2281" s="1432"/>
      <c r="L2281" s="1432"/>
      <c r="M2281" s="1432"/>
      <c r="N2281" s="1432"/>
      <c r="O2281" s="1432"/>
      <c r="P2281" s="1432"/>
      <c r="Q2281" s="1432"/>
      <c r="R2281" s="1432"/>
      <c r="S2281" s="1432"/>
      <c r="T2281" s="1432"/>
      <c r="U2281" s="1432"/>
      <c r="V2281" s="1432"/>
      <c r="W2281" s="1432"/>
      <c r="X2281" s="152"/>
      <c r="Y2281" s="152"/>
      <c r="Z2281" s="152"/>
      <c r="AA2281" s="152"/>
      <c r="AB2281" s="152"/>
    </row>
    <row r="2282" spans="1:28">
      <c r="A2282" s="215">
        <f>VALUE(REPLACE(A2281,1,12,""))</f>
        <v>43</v>
      </c>
      <c r="B2282" s="193" t="s">
        <v>126</v>
      </c>
      <c r="C2282" s="1416">
        <f ca="1">IF($C$8='Capital Base roll forward'!$H$4,OFFSET('Capital Base roll forward'!$H$717,'RAB remaining lives'!A2282,0),"enter input")</f>
        <v>0</v>
      </c>
      <c r="D2282" s="1417">
        <f>IF(LEFT(D$6,4)&lt;LEFT('RFM input'!$G$60,4),"enter input",IF(LEFT(D$6,4)&gt;LEFT('RFM input'!$Q$60,4),0,INDEX('RFM input'!$G$61:$Q$110,$A2282,MATCH(D$6,'RFM input'!$G$60:$Q$60,0))
-INDEX('RFM input'!$G$115:$Q$164,$A2282,MATCH(D$6,'RFM input'!$G$60:$Q$60,0))
-INDEX('RFM input'!$G$169:$Q$218,$A2282,MATCH(D$6,'RFM input'!$G$60:$Q$60,0))))</f>
        <v>0</v>
      </c>
      <c r="E2282" s="1417">
        <f>IF(LEFT(E$6,4)&lt;LEFT('RFM input'!$G$60,4),"enter input",IF(LEFT(E$6,4)&gt;LEFT('RFM input'!$Q$60,4),0,INDEX('RFM input'!$G$61:$Q$110,$A2282,MATCH(E$6,'RFM input'!$G$60:$Q$60,0))
-INDEX('RFM input'!$G$115:$Q$164,$A2282,MATCH(E$6,'RFM input'!$G$60:$Q$60,0))
-INDEX('RFM input'!$G$169:$Q$218,$A2282,MATCH(E$6,'RFM input'!$G$60:$Q$60,0))))</f>
        <v>0</v>
      </c>
      <c r="F2282" s="1417">
        <f>IF(LEFT(F$6,4)&lt;LEFT('RFM input'!$G$60,4),"enter input",IF(LEFT(F$6,4)&gt;LEFT('RFM input'!$Q$60,4),0,INDEX('RFM input'!$G$61:$Q$110,$A2282,MATCH(F$6,'RFM input'!$G$60:$Q$60,0))
-INDEX('RFM input'!$G$115:$Q$164,$A2282,MATCH(F$6,'RFM input'!$G$60:$Q$60,0))
-INDEX('RFM input'!$G$169:$Q$218,$A2282,MATCH(F$6,'RFM input'!$G$60:$Q$60,0))))</f>
        <v>0</v>
      </c>
      <c r="G2282" s="1417">
        <f>IF(LEFT(G$6,4)&lt;LEFT('RFM input'!$G$60,4),"enter input",IF(LEFT(G$6,4)&gt;LEFT('RFM input'!$Q$60,4),0,INDEX('RFM input'!$G$61:$Q$110,$A2282,MATCH(G$6,'RFM input'!$G$60:$Q$60,0))
-INDEX('RFM input'!$G$115:$Q$164,$A2282,MATCH(G$6,'RFM input'!$G$60:$Q$60,0))
-INDEX('RFM input'!$G$169:$Q$218,$A2282,MATCH(G$6,'RFM input'!$G$60:$Q$60,0))))</f>
        <v>0</v>
      </c>
      <c r="H2282" s="1417">
        <f>IF(LEFT(H$6,4)&lt;LEFT('RFM input'!$G$60,4),"enter input",IF(LEFT(H$6,4)&gt;LEFT('RFM input'!$Q$60,4),0,INDEX('RFM input'!$G$61:$Q$110,$A2282,MATCH(H$6,'RFM input'!$G$60:$Q$60,0))
-INDEX('RFM input'!$G$115:$Q$164,$A2282,MATCH(H$6,'RFM input'!$G$60:$Q$60,0))
-INDEX('RFM input'!$G$169:$Q$218,$A2282,MATCH(H$6,'RFM input'!$G$60:$Q$60,0))))</f>
        <v>0</v>
      </c>
      <c r="I2282" s="1417">
        <f>IF(LEFT(I$6,4)&lt;LEFT('RFM input'!$G$60,4),"enter input",IF(LEFT(I$6,4)&gt;LEFT('RFM input'!$Q$60,4),0,INDEX('RFM input'!$G$61:$Q$110,$A2282,MATCH(I$6,'RFM input'!$G$60:$Q$60,0))
-INDEX('RFM input'!$G$115:$Q$164,$A2282,MATCH(I$6,'RFM input'!$G$60:$Q$60,0))
-INDEX('RFM input'!$G$169:$Q$218,$A2282,MATCH(I$6,'RFM input'!$G$60:$Q$60,0))))</f>
        <v>0</v>
      </c>
      <c r="J2282" s="1417">
        <f>IF(LEFT(J$6,4)&lt;LEFT('RFM input'!$G$60,4),"enter input",IF(LEFT(J$6,4)&gt;LEFT('RFM input'!$Q$60,4),0,INDEX('RFM input'!$G$61:$Q$110,$A2282,MATCH(J$6,'RFM input'!$G$60:$Q$60,0))
-INDEX('RFM input'!$G$115:$Q$164,$A2282,MATCH(J$6,'RFM input'!$G$60:$Q$60,0))
-INDEX('RFM input'!$G$169:$Q$218,$A2282,MATCH(J$6,'RFM input'!$G$60:$Q$60,0))))</f>
        <v>0</v>
      </c>
      <c r="K2282" s="1417">
        <f>IF(LEFT(K$6,4)&lt;LEFT('RFM input'!$G$60,4),"enter input",IF(LEFT(K$6,4)&gt;LEFT('RFM input'!$Q$60,4),0,INDEX('RFM input'!$G$61:$Q$110,$A2282,MATCH(K$6,'RFM input'!$G$60:$Q$60,0))
-INDEX('RFM input'!$G$115:$Q$164,$A2282,MATCH(K$6,'RFM input'!$G$60:$Q$60,0))
-INDEX('RFM input'!$G$169:$Q$218,$A2282,MATCH(K$6,'RFM input'!$G$60:$Q$60,0))))</f>
        <v>0</v>
      </c>
      <c r="L2282" s="1417">
        <f>IF(LEFT(L$6,4)&lt;LEFT('RFM input'!$G$60,4),"enter input",IF(LEFT(L$6,4)&gt;LEFT('RFM input'!$Q$60,4),0,INDEX('RFM input'!$G$61:$Q$110,$A2282,MATCH(L$6,'RFM input'!$G$60:$Q$60,0))
-INDEX('RFM input'!$G$115:$Q$164,$A2282,MATCH(L$6,'RFM input'!$G$60:$Q$60,0))
-INDEX('RFM input'!$G$169:$Q$218,$A2282,MATCH(L$6,'RFM input'!$G$60:$Q$60,0))))</f>
        <v>0</v>
      </c>
      <c r="M2282" s="1417">
        <f>IF(LEFT(M$6,4)&lt;LEFT('RFM input'!$G$60,4),"enter input",IF(LEFT(M$6,4)&gt;LEFT('RFM input'!$Q$60,4),0,INDEX('RFM input'!$G$61:$Q$110,$A2282,MATCH(M$6,'RFM input'!$G$60:$Q$60,0))
-INDEX('RFM input'!$G$115:$Q$164,$A2282,MATCH(M$6,'RFM input'!$G$60:$Q$60,0))
-INDEX('RFM input'!$G$169:$Q$218,$A2282,MATCH(M$6,'RFM input'!$G$60:$Q$60,0))))</f>
        <v>0</v>
      </c>
      <c r="N2282" s="1417">
        <f>IF(LEFT(N$6,4)&lt;LEFT('RFM input'!$G$60,4),"enter input",IF(LEFT(N$6,4)&gt;LEFT('RFM input'!$Q$60,4),0,INDEX('RFM input'!$G$61:$Q$110,$A2282,MATCH(N$6,'RFM input'!$G$60:$Q$60,0))
-INDEX('RFM input'!$G$115:$Q$164,$A2282,MATCH(N$6,'RFM input'!$G$60:$Q$60,0))
-INDEX('RFM input'!$G$169:$Q$218,$A2282,MATCH(N$6,'RFM input'!$G$60:$Q$60,0))))</f>
        <v>0</v>
      </c>
      <c r="O2282" s="1417">
        <f>IF(LEFT(O$6,4)&lt;LEFT('RFM input'!$G$60,4),"enter input",IF(LEFT(O$6,4)&gt;LEFT('RFM input'!$Q$60,4),0,INDEX('RFM input'!$G$61:$Q$110,$A2282,MATCH(O$6,'RFM input'!$G$60:$Q$60,0))
-INDEX('RFM input'!$G$115:$Q$164,$A2282,MATCH(O$6,'RFM input'!$G$60:$Q$60,0))
-INDEX('RFM input'!$G$169:$Q$218,$A2282,MATCH(O$6,'RFM input'!$G$60:$Q$60,0))))</f>
        <v>0</v>
      </c>
      <c r="P2282" s="1417">
        <f>IF(LEFT(P$6,4)&lt;LEFT('RFM input'!$G$60,4),"enter input",IF(LEFT(P$6,4)&gt;LEFT('RFM input'!$Q$60,4),0,INDEX('RFM input'!$G$61:$Q$110,$A2282,MATCH(P$6,'RFM input'!$G$60:$Q$60,0))
-INDEX('RFM input'!$G$115:$Q$164,$A2282,MATCH(P$6,'RFM input'!$G$60:$Q$60,0))
-INDEX('RFM input'!$G$169:$Q$218,$A2282,MATCH(P$6,'RFM input'!$G$60:$Q$60,0))))</f>
        <v>0</v>
      </c>
      <c r="Q2282" s="1417">
        <f>IF(LEFT(Q$6,4)&lt;LEFT('RFM input'!$G$60,4),"enter input",IF(LEFT(Q$6,4)&gt;LEFT('RFM input'!$Q$60,4),0,INDEX('RFM input'!$G$61:$Q$110,$A2282,MATCH(Q$6,'RFM input'!$G$60:$Q$60,0))
-INDEX('RFM input'!$G$115:$Q$164,$A2282,MATCH(Q$6,'RFM input'!$G$60:$Q$60,0))
-INDEX('RFM input'!$G$169:$Q$218,$A2282,MATCH(Q$6,'RFM input'!$G$60:$Q$60,0))))</f>
        <v>0</v>
      </c>
      <c r="R2282" s="1417">
        <f>IF(LEFT(R$6,4)&lt;LEFT('RFM input'!$G$60,4),"enter input",IF(LEFT(R$6,4)&gt;LEFT('RFM input'!$Q$60,4),0,INDEX('RFM input'!$G$61:$Q$110,$A2282,MATCH(R$6,'RFM input'!$G$60:$Q$60,0))
-INDEX('RFM input'!$G$115:$Q$164,$A2282,MATCH(R$6,'RFM input'!$G$60:$Q$60,0))
-INDEX('RFM input'!$G$169:$Q$218,$A2282,MATCH(R$6,'RFM input'!$G$60:$Q$60,0))))</f>
        <v>0</v>
      </c>
      <c r="S2282" s="1417">
        <f>IF(LEFT(S$6,4)&lt;LEFT('RFM input'!$G$60,4),"enter input",IF(LEFT(S$6,4)&gt;LEFT('RFM input'!$Q$60,4),0,INDEX('RFM input'!$G$61:$Q$110,$A2282,MATCH(S$6,'RFM input'!$G$60:$Q$60,0))
-INDEX('RFM input'!$G$115:$Q$164,$A2282,MATCH(S$6,'RFM input'!$G$60:$Q$60,0))
-INDEX('RFM input'!$G$169:$Q$218,$A2282,MATCH(S$6,'RFM input'!$G$60:$Q$60,0))))</f>
        <v>0</v>
      </c>
      <c r="T2282" s="1417">
        <f>IF(LEFT(T$6,4)&lt;LEFT('RFM input'!$G$60,4),"enter input",IF(LEFT(T$6,4)&gt;LEFT('RFM input'!$Q$60,4),0,INDEX('RFM input'!$G$61:$Q$110,$A2282,MATCH(T$6,'RFM input'!$G$60:$Q$60,0))
-INDEX('RFM input'!$G$115:$Q$164,$A2282,MATCH(T$6,'RFM input'!$G$60:$Q$60,0))
-INDEX('RFM input'!$G$169:$Q$218,$A2282,MATCH(T$6,'RFM input'!$G$60:$Q$60,0))))</f>
        <v>0</v>
      </c>
      <c r="U2282" s="1417">
        <f>IF(LEFT(U$6,4)&lt;LEFT('RFM input'!$G$60,4),"enter input",IF(LEFT(U$6,4)&gt;LEFT('RFM input'!$Q$60,4),0,INDEX('RFM input'!$G$61:$Q$110,$A2282,MATCH(U$6,'RFM input'!$G$60:$Q$60,0))
-INDEX('RFM input'!$G$115:$Q$164,$A2282,MATCH(U$6,'RFM input'!$G$60:$Q$60,0))
-INDEX('RFM input'!$G$169:$Q$218,$A2282,MATCH(U$6,'RFM input'!$G$60:$Q$60,0))))</f>
        <v>0</v>
      </c>
      <c r="V2282" s="1417">
        <f>IF(LEFT(V$6,4)&lt;LEFT('RFM input'!$G$60,4),"enter input",IF(LEFT(V$6,4)&gt;LEFT('RFM input'!$Q$60,4),0,INDEX('RFM input'!$G$61:$Q$110,$A2282,MATCH(V$6,'RFM input'!$G$60:$Q$60,0))
-INDEX('RFM input'!$G$115:$Q$164,$A2282,MATCH(V$6,'RFM input'!$G$60:$Q$60,0))
-INDEX('RFM input'!$G$169:$Q$218,$A2282,MATCH(V$6,'RFM input'!$G$60:$Q$60,0))))</f>
        <v>0</v>
      </c>
      <c r="W2282" s="1417">
        <f>IF(LEFT(W$6,4)&lt;LEFT('RFM input'!$G$60,4),"enter input",IF(LEFT(W$6,4)&gt;LEFT('RFM input'!$Q$60,4),0,INDEX('RFM input'!$G$61:$Q$110,$A2282,MATCH(W$6,'RFM input'!$G$60:$Q$60,0))
-INDEX('RFM input'!$G$115:$Q$164,$A2282,MATCH(W$6,'RFM input'!$G$60:$Q$60,0))
-INDEX('RFM input'!$G$169:$Q$218,$A2282,MATCH(W$6,'RFM input'!$G$60:$Q$60,0))))</f>
        <v>0</v>
      </c>
      <c r="X2282" s="152"/>
      <c r="Y2282" s="152"/>
      <c r="Z2282" s="152"/>
      <c r="AA2282" s="152"/>
      <c r="AB2282" s="152"/>
    </row>
    <row r="2283" spans="1:28">
      <c r="A2283" s="152"/>
      <c r="B2283" s="152" t="s">
        <v>204</v>
      </c>
      <c r="C2283" s="1418">
        <f ca="1">IF($C$8='Capital Base roll forward'!$H$4,OFFSET('RFM input'!$J$6,'RAB remaining lives'!A2282,0),"enter input")</f>
        <v>0</v>
      </c>
      <c r="D2283" s="1417">
        <f>IF(LEFT(D$6,4)&lt;=LEFT('RFM input'!$G$60,4),"enter input",IF(LEFT(D$6,4)&gt;LEFT('RFM input'!$Q$60,4),0,IF(MATCH(D$6,'RFM input'!$H$60:$Q$60,0),INDEX('RFM input'!$K$7:$K$56,$A2282,1))))</f>
        <v>0</v>
      </c>
      <c r="E2283" s="1417">
        <f>IF(LEFT(E$6,4)&lt;=LEFT('RFM input'!$G$60,4),"enter input",IF(LEFT(E$6,4)&gt;LEFT('RFM input'!$Q$60,4),0,IF(MATCH(E$6,'RFM input'!$H$60:$Q$60,0),INDEX('RFM input'!$K$7:$K$56,$A2282,1))))</f>
        <v>0</v>
      </c>
      <c r="F2283" s="1417">
        <f>IF(LEFT(F$6,4)&lt;=LEFT('RFM input'!$G$60,4),"enter input",IF(LEFT(F$6,4)&gt;LEFT('RFM input'!$Q$60,4),0,IF(MATCH(F$6,'RFM input'!$H$60:$Q$60,0),INDEX('RFM input'!$K$7:$K$56,$A2282,1))))</f>
        <v>0</v>
      </c>
      <c r="G2283" s="1417">
        <f>IF(LEFT(G$6,4)&lt;=LEFT('RFM input'!$G$60,4),"enter input",IF(LEFT(G$6,4)&gt;LEFT('RFM input'!$Q$60,4),0,IF(MATCH(G$6,'RFM input'!$H$60:$Q$60,0),INDEX('RFM input'!$K$7:$K$56,$A2282,1))))</f>
        <v>0</v>
      </c>
      <c r="H2283" s="1417">
        <f>IF(LEFT(H$6,4)&lt;=LEFT('RFM input'!$G$60,4),"enter input",IF(LEFT(H$6,4)&gt;LEFT('RFM input'!$Q$60,4),0,IF(MATCH(H$6,'RFM input'!$H$60:$Q$60,0),INDEX('RFM input'!$K$7:$K$56,$A2282,1))))</f>
        <v>0</v>
      </c>
      <c r="I2283" s="1417">
        <f>IF(LEFT(I$6,4)&lt;=LEFT('RFM input'!$G$60,4),"enter input",IF(LEFT(I$6,4)&gt;LEFT('RFM input'!$Q$60,4),0,IF(MATCH(I$6,'RFM input'!$H$60:$Q$60,0),INDEX('RFM input'!$K$7:$K$56,$A2282,1))))</f>
        <v>0</v>
      </c>
      <c r="J2283" s="1417">
        <f>IF(LEFT(J$6,4)&lt;=LEFT('RFM input'!$G$60,4),"enter input",IF(LEFT(J$6,4)&gt;LEFT('RFM input'!$Q$60,4),0,IF(MATCH(J$6,'RFM input'!$H$60:$Q$60,0),INDEX('RFM input'!$K$7:$K$56,$A2282,1))))</f>
        <v>0</v>
      </c>
      <c r="K2283" s="1417">
        <f>IF(LEFT(K$6,4)&lt;=LEFT('RFM input'!$G$60,4),"enter input",IF(LEFT(K$6,4)&gt;LEFT('RFM input'!$Q$60,4),0,IF(MATCH(K$6,'RFM input'!$H$60:$Q$60,0),INDEX('RFM input'!$K$7:$K$56,$A2282,1))))</f>
        <v>0</v>
      </c>
      <c r="L2283" s="1417">
        <f>IF(LEFT(L$6,4)&lt;=LEFT('RFM input'!$G$60,4),"enter input",IF(LEFT(L$6,4)&gt;LEFT('RFM input'!$Q$60,4),0,IF(MATCH(L$6,'RFM input'!$H$60:$Q$60,0),INDEX('RFM input'!$K$7:$K$56,$A2282,1))))</f>
        <v>0</v>
      </c>
      <c r="M2283" s="1417">
        <f>IF(LEFT(M$6,4)&lt;=LEFT('RFM input'!$G$60,4),"enter input",IF(LEFT(M$6,4)&gt;LEFT('RFM input'!$Q$60,4),0,IF(MATCH(M$6,'RFM input'!$H$60:$Q$60,0),INDEX('RFM input'!$K$7:$K$56,$A2282,1))))</f>
        <v>0</v>
      </c>
      <c r="N2283" s="1417">
        <f>IF(LEFT(N$6,4)&lt;=LEFT('RFM input'!$G$60,4),"enter input",IF(LEFT(N$6,4)&gt;LEFT('RFM input'!$Q$60,4),0,IF(MATCH(N$6,'RFM input'!$H$60:$Q$60,0),INDEX('RFM input'!$K$7:$K$56,$A2282,1))))</f>
        <v>0</v>
      </c>
      <c r="O2283" s="1417">
        <f>IF(LEFT(O$6,4)&lt;=LEFT('RFM input'!$G$60,4),"enter input",IF(LEFT(O$6,4)&gt;LEFT('RFM input'!$Q$60,4),0,IF(MATCH(O$6,'RFM input'!$H$60:$Q$60,0),INDEX('RFM input'!$K$7:$K$56,$A2282,1))))</f>
        <v>0</v>
      </c>
      <c r="P2283" s="1417">
        <f>IF(LEFT(P$6,4)&lt;=LEFT('RFM input'!$G$60,4),"enter input",IF(LEFT(P$6,4)&gt;LEFT('RFM input'!$Q$60,4),0,IF(MATCH(P$6,'RFM input'!$H$60:$Q$60,0),INDEX('RFM input'!$K$7:$K$56,$A2282,1))))</f>
        <v>0</v>
      </c>
      <c r="Q2283" s="1417">
        <f>IF(LEFT(Q$6,4)&lt;=LEFT('RFM input'!$G$60,4),"enter input",IF(LEFT(Q$6,4)&gt;LEFT('RFM input'!$Q$60,4),0,IF(MATCH(Q$6,'RFM input'!$H$60:$Q$60,0),INDEX('RFM input'!$K$7:$K$56,$A2282,1))))</f>
        <v>0</v>
      </c>
      <c r="R2283" s="1417">
        <f>IF(LEFT(R$6,4)&lt;=LEFT('RFM input'!$G$60,4),"enter input",IF(LEFT(R$6,4)&gt;LEFT('RFM input'!$Q$60,4),0,IF(MATCH(R$6,'RFM input'!$H$60:$Q$60,0),INDEX('RFM input'!$K$7:$K$56,$A2282,1))))</f>
        <v>0</v>
      </c>
      <c r="S2283" s="1417">
        <f>IF(LEFT(S$6,4)&lt;=LEFT('RFM input'!$G$60,4),"enter input",IF(LEFT(S$6,4)&gt;LEFT('RFM input'!$Q$60,4),0,IF(MATCH(S$6,'RFM input'!$H$60:$Q$60,0),INDEX('RFM input'!$K$7:$K$56,$A2282,1))))</f>
        <v>0</v>
      </c>
      <c r="T2283" s="1417">
        <f>IF(LEFT(T$6,4)&lt;=LEFT('RFM input'!$G$60,4),"enter input",IF(LEFT(T$6,4)&gt;LEFT('RFM input'!$Q$60,4),0,IF(MATCH(T$6,'RFM input'!$H$60:$Q$60,0),INDEX('RFM input'!$K$7:$K$56,$A2282,1))))</f>
        <v>0</v>
      </c>
      <c r="U2283" s="1417">
        <f>IF(LEFT(U$6,4)&lt;=LEFT('RFM input'!$G$60,4),"enter input",IF(LEFT(U$6,4)&gt;LEFT('RFM input'!$Q$60,4),0,IF(MATCH(U$6,'RFM input'!$H$60:$Q$60,0),INDEX('RFM input'!$K$7:$K$56,$A2282,1))))</f>
        <v>0</v>
      </c>
      <c r="V2283" s="1417">
        <f>IF(LEFT(V$6,4)&lt;=LEFT('RFM input'!$G$60,4),"enter input",IF(LEFT(V$6,4)&gt;LEFT('RFM input'!$Q$60,4),0,IF(MATCH(V$6,'RFM input'!$H$60:$Q$60,0),INDEX('RFM input'!$K$7:$K$56,$A2282,1))))</f>
        <v>0</v>
      </c>
      <c r="W2283" s="1417">
        <f>IF(LEFT(W$6,4)&lt;=LEFT('RFM input'!$G$60,4),"enter input",IF(LEFT(W$6,4)&gt;LEFT('RFM input'!$Q$60,4),0,IF(MATCH(W$6,'RFM input'!$H$60:$Q$60,0),INDEX('RFM input'!$K$7:$K$56,$A2282,1))))</f>
        <v>0</v>
      </c>
      <c r="X2283" s="152"/>
      <c r="Y2283" s="152"/>
      <c r="Z2283" s="152"/>
      <c r="AA2283" s="152"/>
      <c r="AB2283" s="152"/>
    </row>
    <row r="2284" spans="1:28">
      <c r="A2284" s="152"/>
      <c r="B2284" s="177" t="s">
        <v>191</v>
      </c>
      <c r="C2284" s="1419"/>
      <c r="D2284" s="1420">
        <f ca="1">IF(LEFT(D$6,4)&lt;=LEFT('RFM input'!$G$60,4),"enter input",IF(LEFT(D$6,4)&gt;LEFT('RFM input'!$Q$60,4),0,IF(D$6=(OFFSET('RFM input'!$G$60,0,'RFM input'!$V$7)),OFFSET('RFM input'!$G$411,$A2282,0),0)))</f>
        <v>0</v>
      </c>
      <c r="E2284" s="1417">
        <f ca="1">IF(LEFT(E$6,4)&lt;=LEFT('RFM input'!$G$60,4),"enter input",IF(LEFT(E$6,4)&gt;LEFT('RFM input'!$Q$60,4),0,IF(E$6=(OFFSET('RFM input'!$G$60,0,'RFM input'!$V$7)),OFFSET('RFM input'!$G$411,$A2282,0),0)))</f>
        <v>0</v>
      </c>
      <c r="F2284" s="1417">
        <f ca="1">IF(LEFT(F$6,4)&lt;=LEFT('RFM input'!$G$60,4),"enter input",IF(LEFT(F$6,4)&gt;LEFT('RFM input'!$Q$60,4),0,IF(F$6=(OFFSET('RFM input'!$G$60,0,'RFM input'!$V$7)),OFFSET('RFM input'!$G$411,$A2282,0),0)))</f>
        <v>0</v>
      </c>
      <c r="G2284" s="1417">
        <f ca="1">IF(LEFT(G$6,4)&lt;=LEFT('RFM input'!$G$60,4),"enter input",IF(LEFT(G$6,4)&gt;LEFT('RFM input'!$Q$60,4),0,IF(G$6=(OFFSET('RFM input'!$G$60,0,'RFM input'!$V$7)),OFFSET('RFM input'!$G$411,$A2282,0),0)))</f>
        <v>0</v>
      </c>
      <c r="H2284" s="1417">
        <f ca="1">IF(LEFT(H$6,4)&lt;=LEFT('RFM input'!$G$60,4),"enter input",IF(LEFT(H$6,4)&gt;LEFT('RFM input'!$Q$60,4),0,IF(H$6=(OFFSET('RFM input'!$G$60,0,'RFM input'!$V$7)),OFFSET('RFM input'!$G$411,$A2282,0),0)))</f>
        <v>0</v>
      </c>
      <c r="I2284" s="1417">
        <f ca="1">IF(LEFT(I$6,4)&lt;=LEFT('RFM input'!$G$60,4),"enter input",IF(LEFT(I$6,4)&gt;LEFT('RFM input'!$Q$60,4),0,IF(I$6=(OFFSET('RFM input'!$G$60,0,'RFM input'!$V$7)),OFFSET('RFM input'!$G$411,$A2282,0),0)))</f>
        <v>0</v>
      </c>
      <c r="J2284" s="1417">
        <f ca="1">IF(LEFT(J$6,4)&lt;=LEFT('RFM input'!$G$60,4),"enter input",IF(LEFT(J$6,4)&gt;LEFT('RFM input'!$Q$60,4),0,IF(J$6=(OFFSET('RFM input'!$G$60,0,'RFM input'!$V$7)),OFFSET('RFM input'!$G$411,$A2282,0),0)))</f>
        <v>0</v>
      </c>
      <c r="K2284" s="1417">
        <f ca="1">IF(LEFT(K$6,4)&lt;=LEFT('RFM input'!$G$60,4),"enter input",IF(LEFT(K$6,4)&gt;LEFT('RFM input'!$Q$60,4),0,IF(K$6=(OFFSET('RFM input'!$G$60,0,'RFM input'!$V$7)),OFFSET('RFM input'!$G$411,$A2282,0),0)))</f>
        <v>0</v>
      </c>
      <c r="L2284" s="1417">
        <f ca="1">IF(LEFT(L$6,4)&lt;=LEFT('RFM input'!$G$60,4),"enter input",IF(LEFT(L$6,4)&gt;LEFT('RFM input'!$Q$60,4),0,IF(L$6=(OFFSET('RFM input'!$G$60,0,'RFM input'!$V$7)),OFFSET('RFM input'!$G$411,$A2282,0),0)))</f>
        <v>0</v>
      </c>
      <c r="M2284" s="1417">
        <f ca="1">IF(LEFT(M$6,4)&lt;=LEFT('RFM input'!$G$60,4),"enter input",IF(LEFT(M$6,4)&gt;LEFT('RFM input'!$Q$60,4),0,IF(M$6=(OFFSET('RFM input'!$G$60,0,'RFM input'!$V$7)),OFFSET('RFM input'!$G$411,$A2282,0),0)))</f>
        <v>0</v>
      </c>
      <c r="N2284" s="1417">
        <f ca="1">IF(LEFT(N$6,4)&lt;=LEFT('RFM input'!$G$60,4),"enter input",IF(LEFT(N$6,4)&gt;LEFT('RFM input'!$Q$60,4),0,IF(N$6=(OFFSET('RFM input'!$G$60,0,'RFM input'!$V$7)),OFFSET('RFM input'!$G$411,$A2282,0),0)))</f>
        <v>0</v>
      </c>
      <c r="O2284" s="1417">
        <f ca="1">IF(LEFT(O$6,4)&lt;=LEFT('RFM input'!$G$60,4),"enter input",IF(LEFT(O$6,4)&gt;LEFT('RFM input'!$Q$60,4),0,IF(O$6=(OFFSET('RFM input'!$G$60,0,'RFM input'!$V$7)),OFFSET('RFM input'!$G$411,$A2282,0),0)))</f>
        <v>0</v>
      </c>
      <c r="P2284" s="1417">
        <f ca="1">IF(LEFT(P$6,4)&lt;=LEFT('RFM input'!$G$60,4),"enter input",IF(LEFT(P$6,4)&gt;LEFT('RFM input'!$Q$60,4),0,IF(P$6=(OFFSET('RFM input'!$G$60,0,'RFM input'!$V$7)),OFFSET('RFM input'!$G$411,$A2282,0),0)))</f>
        <v>0</v>
      </c>
      <c r="Q2284" s="1417">
        <f ca="1">IF(LEFT(Q$6,4)&lt;=LEFT('RFM input'!$G$60,4),"enter input",IF(LEFT(Q$6,4)&gt;LEFT('RFM input'!$Q$60,4),0,IF(Q$6=(OFFSET('RFM input'!$G$60,0,'RFM input'!$V$7)),OFFSET('RFM input'!$G$411,$A2282,0),0)))</f>
        <v>0</v>
      </c>
      <c r="R2284" s="1417">
        <f ca="1">IF(LEFT(R$6,4)&lt;=LEFT('RFM input'!$G$60,4),"enter input",IF(LEFT(R$6,4)&gt;LEFT('RFM input'!$Q$60,4),0,IF(R$6=(OFFSET('RFM input'!$G$60,0,'RFM input'!$V$7)),OFFSET('RFM input'!$G$411,$A2282,0),0)))</f>
        <v>0</v>
      </c>
      <c r="S2284" s="1417">
        <f ca="1">IF(LEFT(S$6,4)&lt;=LEFT('RFM input'!$G$60,4),"enter input",IF(LEFT(S$6,4)&gt;LEFT('RFM input'!$Q$60,4),0,IF(S$6=(OFFSET('RFM input'!$G$60,0,'RFM input'!$V$7)),OFFSET('RFM input'!$G$411,$A2282,0),0)))</f>
        <v>0</v>
      </c>
      <c r="T2284" s="1417">
        <f ca="1">IF(LEFT(T$6,4)&lt;=LEFT('RFM input'!$G$60,4),"enter input",IF(LEFT(T$6,4)&gt;LEFT('RFM input'!$Q$60,4),0,IF(T$6=(OFFSET('RFM input'!$G$60,0,'RFM input'!$V$7)),OFFSET('RFM input'!$G$411,$A2282,0),0)))</f>
        <v>0</v>
      </c>
      <c r="U2284" s="1417">
        <f ca="1">IF(LEFT(U$6,4)&lt;=LEFT('RFM input'!$G$60,4),"enter input",IF(LEFT(U$6,4)&gt;LEFT('RFM input'!$Q$60,4),0,IF(U$6=(OFFSET('RFM input'!$G$60,0,'RFM input'!$V$7)),OFFSET('RFM input'!$G$411,$A2282,0),0)))</f>
        <v>0</v>
      </c>
      <c r="V2284" s="1417">
        <f ca="1">IF(LEFT(V$6,4)&lt;=LEFT('RFM input'!$G$60,4),"enter input",IF(LEFT(V$6,4)&gt;LEFT('RFM input'!$Q$60,4),0,IF(V$6=(OFFSET('RFM input'!$G$60,0,'RFM input'!$V$7)),OFFSET('RFM input'!$G$411,$A2282,0),0)))</f>
        <v>0</v>
      </c>
      <c r="W2284" s="1417">
        <f ca="1">IF(LEFT(W$6,4)&lt;=LEFT('RFM input'!$G$60,4),"enter input",IF(LEFT(W$6,4)&gt;LEFT('RFM input'!$Q$60,4),0,IF(W$6=(OFFSET('RFM input'!$G$60,0,'RFM input'!$V$7)),OFFSET('RFM input'!$G$411,$A2282,0),0)))</f>
        <v>0</v>
      </c>
      <c r="X2284" s="152"/>
      <c r="Y2284" s="152"/>
      <c r="Z2284" s="152"/>
      <c r="AA2284" s="152"/>
      <c r="AB2284" s="152"/>
    </row>
    <row r="2285" spans="1:28">
      <c r="A2285" s="152"/>
      <c r="B2285" s="195" t="s">
        <v>197</v>
      </c>
      <c r="C2285" s="1419"/>
      <c r="D2285" s="1418">
        <f ca="1">IF(LEFT(D$6,4)&lt;=LEFT('RFM input'!$G$60,4),"enter input",IF(LEFT(D$6,4)&gt;LEFT('RFM input'!$Q$60,4),0,IF(D$6=(OFFSET('RFM input'!$G$60,0,'RFM input'!$V$7)),OFFSET('RFM input'!$I$411,$A2282,0),0)))</f>
        <v>0</v>
      </c>
      <c r="E2285" s="1422">
        <f ca="1">IF(LEFT(E$6,4)&lt;=LEFT('RFM input'!$G$60,4),"enter input",IF(LEFT(E$6,4)&gt;LEFT('RFM input'!$Q$60,4),0,IF(E$6=(OFFSET('RFM input'!$G$60,0,'RFM input'!$V$7)),OFFSET('RFM input'!$I$411,$A2282,0),0)))</f>
        <v>0</v>
      </c>
      <c r="F2285" s="1422">
        <f ca="1">IF(LEFT(F$6,4)&lt;=LEFT('RFM input'!$G$60,4),"enter input",IF(LEFT(F$6,4)&gt;LEFT('RFM input'!$Q$60,4),0,IF(F$6=(OFFSET('RFM input'!$G$60,0,'RFM input'!$V$7)),OFFSET('RFM input'!$I$411,$A2282,0),0)))</f>
        <v>0</v>
      </c>
      <c r="G2285" s="1422">
        <f ca="1">IF(LEFT(G$6,4)&lt;=LEFT('RFM input'!$G$60,4),"enter input",IF(LEFT(G$6,4)&gt;LEFT('RFM input'!$Q$60,4),0,IF(G$6=(OFFSET('RFM input'!$G$60,0,'RFM input'!$V$7)),OFFSET('RFM input'!$I$411,$A2282,0),0)))</f>
        <v>0</v>
      </c>
      <c r="H2285" s="1422">
        <f ca="1">IF(LEFT(H$6,4)&lt;=LEFT('RFM input'!$G$60,4),"enter input",IF(LEFT(H$6,4)&gt;LEFT('RFM input'!$Q$60,4),0,IF(H$6=(OFFSET('RFM input'!$G$60,0,'RFM input'!$V$7)),OFFSET('RFM input'!$I$411,$A2282,0),0)))</f>
        <v>0</v>
      </c>
      <c r="I2285" s="1422">
        <f ca="1">IF(LEFT(I$6,4)&lt;=LEFT('RFM input'!$G$60,4),"enter input",IF(LEFT(I$6,4)&gt;LEFT('RFM input'!$Q$60,4),0,IF(I$6=(OFFSET('RFM input'!$G$60,0,'RFM input'!$V$7)),OFFSET('RFM input'!$I$411,$A2282,0),0)))</f>
        <v>0</v>
      </c>
      <c r="J2285" s="1422">
        <f ca="1">IF(LEFT(J$6,4)&lt;=LEFT('RFM input'!$G$60,4),"enter input",IF(LEFT(J$6,4)&gt;LEFT('RFM input'!$Q$60,4),0,IF(J$6=(OFFSET('RFM input'!$G$60,0,'RFM input'!$V$7)),OFFSET('RFM input'!$I$411,$A2282,0),0)))</f>
        <v>0</v>
      </c>
      <c r="K2285" s="1422">
        <f ca="1">IF(LEFT(K$6,4)&lt;=LEFT('RFM input'!$G$60,4),"enter input",IF(LEFT(K$6,4)&gt;LEFT('RFM input'!$Q$60,4),0,IF(K$6=(OFFSET('RFM input'!$G$60,0,'RFM input'!$V$7)),OFFSET('RFM input'!$I$411,$A2282,0),0)))</f>
        <v>0</v>
      </c>
      <c r="L2285" s="1422">
        <f ca="1">IF(LEFT(L$6,4)&lt;=LEFT('RFM input'!$G$60,4),"enter input",IF(LEFT(L$6,4)&gt;LEFT('RFM input'!$Q$60,4),0,IF(L$6=(OFFSET('RFM input'!$G$60,0,'RFM input'!$V$7)),OFFSET('RFM input'!$I$411,$A2282,0),0)))</f>
        <v>0</v>
      </c>
      <c r="M2285" s="1422">
        <f ca="1">IF(LEFT(M$6,4)&lt;=LEFT('RFM input'!$G$60,4),"enter input",IF(LEFT(M$6,4)&gt;LEFT('RFM input'!$Q$60,4),0,IF(M$6=(OFFSET('RFM input'!$G$60,0,'RFM input'!$V$7)),OFFSET('RFM input'!$I$411,$A2282,0),0)))</f>
        <v>0</v>
      </c>
      <c r="N2285" s="1422">
        <f ca="1">IF(LEFT(N$6,4)&lt;=LEFT('RFM input'!$G$60,4),"enter input",IF(LEFT(N$6,4)&gt;LEFT('RFM input'!$Q$60,4),0,IF(N$6=(OFFSET('RFM input'!$G$60,0,'RFM input'!$V$7)),OFFSET('RFM input'!$I$411,$A2282,0),0)))</f>
        <v>0</v>
      </c>
      <c r="O2285" s="1422">
        <f ca="1">IF(LEFT(O$6,4)&lt;=LEFT('RFM input'!$G$60,4),"enter input",IF(LEFT(O$6,4)&gt;LEFT('RFM input'!$Q$60,4),0,IF(O$6=(OFFSET('RFM input'!$G$60,0,'RFM input'!$V$7)),OFFSET('RFM input'!$I$411,$A2282,0),0)))</f>
        <v>0</v>
      </c>
      <c r="P2285" s="1422">
        <f ca="1">IF(LEFT(P$6,4)&lt;=LEFT('RFM input'!$G$60,4),"enter input",IF(LEFT(P$6,4)&gt;LEFT('RFM input'!$Q$60,4),0,IF(P$6=(OFFSET('RFM input'!$G$60,0,'RFM input'!$V$7)),OFFSET('RFM input'!$I$411,$A2282,0),0)))</f>
        <v>0</v>
      </c>
      <c r="Q2285" s="1422">
        <f ca="1">IF(LEFT(Q$6,4)&lt;=LEFT('RFM input'!$G$60,4),"enter input",IF(LEFT(Q$6,4)&gt;LEFT('RFM input'!$Q$60,4),0,IF(Q$6=(OFFSET('RFM input'!$G$60,0,'RFM input'!$V$7)),OFFSET('RFM input'!$I$411,$A2282,0),0)))</f>
        <v>0</v>
      </c>
      <c r="R2285" s="1422">
        <f ca="1">IF(LEFT(R$6,4)&lt;=LEFT('RFM input'!$G$60,4),"enter input",IF(LEFT(R$6,4)&gt;LEFT('RFM input'!$Q$60,4),0,IF(R$6=(OFFSET('RFM input'!$G$60,0,'RFM input'!$V$7)),OFFSET('RFM input'!$I$411,$A2282,0),0)))</f>
        <v>0</v>
      </c>
      <c r="S2285" s="1422">
        <f ca="1">IF(LEFT(S$6,4)&lt;=LEFT('RFM input'!$G$60,4),"enter input",IF(LEFT(S$6,4)&gt;LEFT('RFM input'!$Q$60,4),0,IF(S$6=(OFFSET('RFM input'!$G$60,0,'RFM input'!$V$7)),OFFSET('RFM input'!$I$411,$A2282,0),0)))</f>
        <v>0</v>
      </c>
      <c r="T2285" s="1422">
        <f ca="1">IF(LEFT(T$6,4)&lt;=LEFT('RFM input'!$G$60,4),"enter input",IF(LEFT(T$6,4)&gt;LEFT('RFM input'!$Q$60,4),0,IF(T$6=(OFFSET('RFM input'!$G$60,0,'RFM input'!$V$7)),OFFSET('RFM input'!$I$411,$A2282,0),0)))</f>
        <v>0</v>
      </c>
      <c r="U2285" s="1422">
        <f ca="1">IF(LEFT(U$6,4)&lt;=LEFT('RFM input'!$G$60,4),"enter input",IF(LEFT(U$6,4)&gt;LEFT('RFM input'!$Q$60,4),0,IF(U$6=(OFFSET('RFM input'!$G$60,0,'RFM input'!$V$7)),OFFSET('RFM input'!$I$411,$A2282,0),0)))</f>
        <v>0</v>
      </c>
      <c r="V2285" s="1422">
        <f ca="1">IF(LEFT(V$6,4)&lt;=LEFT('RFM input'!$G$60,4),"enter input",IF(LEFT(V$6,4)&gt;LEFT('RFM input'!$Q$60,4),0,IF(V$6=(OFFSET('RFM input'!$G$60,0,'RFM input'!$V$7)),OFFSET('RFM input'!$I$411,$A2282,0),0)))</f>
        <v>0</v>
      </c>
      <c r="W2285" s="1422">
        <f ca="1">IF(LEFT(W$6,4)&lt;=LEFT('RFM input'!$G$60,4),"enter input",IF(LEFT(W$6,4)&gt;LEFT('RFM input'!$Q$60,4),0,IF(W$6=(OFFSET('RFM input'!$G$60,0,'RFM input'!$V$7)),OFFSET('RFM input'!$I$411,$A2282,0),0)))</f>
        <v>0</v>
      </c>
      <c r="X2285" s="152"/>
      <c r="Y2285" s="152"/>
      <c r="Z2285" s="152"/>
      <c r="AA2285" s="152"/>
      <c r="AB2285" s="152"/>
    </row>
    <row r="2286" spans="1:28" hidden="1" outlineLevel="1">
      <c r="A2286" s="235">
        <v>-1</v>
      </c>
      <c r="B2286" s="190" t="s">
        <v>189</v>
      </c>
      <c r="C2286" s="1423"/>
      <c r="D2286" s="1423">
        <f ca="1">IF(AND(D2284=0,C2286=0),0,
IF(AND(D2284&lt;&gt;0,C2286=0),(D2284/D$10),
IF(AND(D2285&lt;&gt;0,C2286&lt;&gt;0),(C2286-(C2286/C2310))+(D2284/D$10),
IF(C2310&lt;1,0,(C2286-(C2286/C2310))))))</f>
        <v>0</v>
      </c>
      <c r="E2286" s="1423">
        <f t="shared" ref="E2286" ca="1" si="3367">IF(AND(E2284=0,D2286=0),0,
IF(AND(E2284&lt;&gt;0,D2286=0),(E2284/E$10),
IF(AND(E2285&lt;&gt;0,D2286&lt;&gt;0),(D2286-(D2286/D2310))+(E2284/E$10),
IF(D2310&lt;1,0,(D2286-(D2286/D2310))))))</f>
        <v>0</v>
      </c>
      <c r="F2286" s="1423">
        <f t="shared" ref="F2286" ca="1" si="3368">IF(AND(F2284=0,E2286=0),0,
IF(AND(F2284&lt;&gt;0,E2286=0),(F2284/F$10),
IF(AND(F2285&lt;&gt;0,E2286&lt;&gt;0),(E2286-(E2286/E2310))+(F2284/F$10),
IF(E2310&lt;1,0,(E2286-(E2286/E2310))))))</f>
        <v>0</v>
      </c>
      <c r="G2286" s="1423">
        <f t="shared" ref="G2286" ca="1" si="3369">IF(AND(G2284=0,F2286=0),0,
IF(AND(G2284&lt;&gt;0,F2286=0),(G2284/G$10),
IF(AND(G2285&lt;&gt;0,F2286&lt;&gt;0),(F2286-(F2286/F2310))+(G2284/G$10),
IF(F2310&lt;1,0,(F2286-(F2286/F2310))))))</f>
        <v>0</v>
      </c>
      <c r="H2286" s="1423">
        <f t="shared" ref="H2286" ca="1" si="3370">IF(AND(H2284=0,G2286=0),0,
IF(AND(H2284&lt;&gt;0,G2286=0),(H2284/H$10),
IF(AND(H2285&lt;&gt;0,G2286&lt;&gt;0),(G2286-(G2286/G2310))+(H2284/H$10),
IF(G2310&lt;1,0,(G2286-(G2286/G2310))))))</f>
        <v>0</v>
      </c>
      <c r="I2286" s="1423">
        <f t="shared" ref="I2286" ca="1" si="3371">IF(AND(I2284=0,H2286=0),0,
IF(AND(I2284&lt;&gt;0,H2286=0),(I2284/I$10),
IF(AND(I2285&lt;&gt;0,H2286&lt;&gt;0),(H2286-(H2286/H2310))+(I2284/I$10),
IF(H2310&lt;1,0,(H2286-(H2286/H2310))))))</f>
        <v>0</v>
      </c>
      <c r="J2286" s="1423">
        <f t="shared" ref="J2286" ca="1" si="3372">IF(AND(J2284=0,I2286=0),0,
IF(AND(J2284&lt;&gt;0,I2286=0),(J2284/J$10),
IF(AND(J2285&lt;&gt;0,I2286&lt;&gt;0),(I2286-(I2286/I2310))+(J2284/J$10),
IF(I2310&lt;1,0,(I2286-(I2286/I2310))))))</f>
        <v>0</v>
      </c>
      <c r="K2286" s="1423">
        <f t="shared" ref="K2286" ca="1" si="3373">IF(AND(K2284=0,J2286=0),0,
IF(AND(K2284&lt;&gt;0,J2286=0),(K2284/K$10),
IF(AND(K2285&lt;&gt;0,J2286&lt;&gt;0),(J2286-(J2286/J2310))+(K2284/K$10),
IF(J2310&lt;1,0,(J2286-(J2286/J2310))))))</f>
        <v>0</v>
      </c>
      <c r="L2286" s="1423">
        <f t="shared" ref="L2286" ca="1" si="3374">IF(AND(L2284=0,K2286=0),0,
IF(AND(L2284&lt;&gt;0,K2286=0),(L2284/L$10),
IF(AND(L2285&lt;&gt;0,K2286&lt;&gt;0),(K2286-(K2286/K2310))+(L2284/L$10),
IF(K2310&lt;1,0,(K2286-(K2286/K2310))))))</f>
        <v>0</v>
      </c>
      <c r="M2286" s="1423">
        <f t="shared" ref="M2286" ca="1" si="3375">IF(AND(M2284=0,L2286=0),0,
IF(AND(M2284&lt;&gt;0,L2286=0),(M2284/M$10),
IF(AND(M2285&lt;&gt;0,L2286&lt;&gt;0),(L2286-(L2286/L2310))+(M2284/M$10),
IF(L2310&lt;1,0,(L2286-(L2286/L2310))))))</f>
        <v>0</v>
      </c>
      <c r="N2286" s="1423">
        <f t="shared" ref="N2286" ca="1" si="3376">IF(AND(N2284=0,M2286=0),0,
IF(AND(N2284&lt;&gt;0,M2286=0),(N2284/N$10),
IF(AND(N2285&lt;&gt;0,M2286&lt;&gt;0),(M2286-(M2286/M2310))+(N2284/N$10),
IF(M2310&lt;1,0,(M2286-(M2286/M2310))))))</f>
        <v>0</v>
      </c>
      <c r="O2286" s="1423">
        <f t="shared" ref="O2286" ca="1" si="3377">IF(AND(O2284=0,N2286=0),0,
IF(AND(O2284&lt;&gt;0,N2286=0),(O2284/O$10),
IF(AND(O2285&lt;&gt;0,N2286&lt;&gt;0),(N2286-(N2286/N2310))+(O2284/O$10),
IF(N2310&lt;1,0,(N2286-(N2286/N2310))))))</f>
        <v>0</v>
      </c>
      <c r="P2286" s="1423">
        <f t="shared" ref="P2286" ca="1" si="3378">IF(AND(P2284=0,O2286=0),0,
IF(AND(P2284&lt;&gt;0,O2286=0),(P2284/P$10),
IF(AND(P2285&lt;&gt;0,O2286&lt;&gt;0),(O2286-(O2286/O2310))+(P2284/P$10),
IF(O2310&lt;1,0,(O2286-(O2286/O2310))))))</f>
        <v>0</v>
      </c>
      <c r="Q2286" s="1423">
        <f t="shared" ref="Q2286" ca="1" si="3379">IF(AND(Q2284=0,P2286=0),0,
IF(AND(Q2284&lt;&gt;0,P2286=0),(Q2284/Q$10),
IF(AND(Q2285&lt;&gt;0,P2286&lt;&gt;0),(P2286-(P2286/P2310))+(Q2284/Q$10),
IF(P2310&lt;1,0,(P2286-(P2286/P2310))))))</f>
        <v>0</v>
      </c>
      <c r="R2286" s="1423">
        <f t="shared" ref="R2286" ca="1" si="3380">IF(AND(R2284=0,Q2286=0),0,
IF(AND(R2284&lt;&gt;0,Q2286=0),(R2284/R$10),
IF(AND(R2285&lt;&gt;0,Q2286&lt;&gt;0),(Q2286-(Q2286/Q2310))+(R2284/R$10),
IF(Q2310&lt;1,0,(Q2286-(Q2286/Q2310))))))</f>
        <v>0</v>
      </c>
      <c r="S2286" s="1423">
        <f t="shared" ref="S2286" ca="1" si="3381">IF(AND(S2284=0,R2286=0),0,
IF(AND(S2284&lt;&gt;0,R2286=0),(S2284/S$10),
IF(AND(S2285&lt;&gt;0,R2286&lt;&gt;0),(R2286-(R2286/R2310))+(S2284/S$10),
IF(R2310&lt;1,0,(R2286-(R2286/R2310))))))</f>
        <v>0</v>
      </c>
      <c r="T2286" s="1423">
        <f t="shared" ref="T2286" ca="1" si="3382">IF(AND(T2284=0,S2286=0),0,
IF(AND(T2284&lt;&gt;0,S2286=0),(T2284/T$10),
IF(AND(T2285&lt;&gt;0,S2286&lt;&gt;0),(S2286-(S2286/S2310))+(T2284/T$10),
IF(S2310&lt;1,0,(S2286-(S2286/S2310))))))</f>
        <v>0</v>
      </c>
      <c r="U2286" s="1423">
        <f t="shared" ref="U2286" ca="1" si="3383">IF(AND(U2284=0,T2286=0),0,
IF(AND(U2284&lt;&gt;0,T2286=0),(U2284/U$10),
IF(AND(U2285&lt;&gt;0,T2286&lt;&gt;0),(T2286-(T2286/T2310))+(U2284/U$10),
IF(T2310&lt;1,0,(T2286-(T2286/T2310))))))</f>
        <v>0</v>
      </c>
      <c r="V2286" s="1423">
        <f t="shared" ref="V2286" ca="1" si="3384">IF(AND(V2284=0,U2286=0),0,
IF(AND(V2284&lt;&gt;0,U2286=0),(V2284/V$10),
IF(AND(V2285&lt;&gt;0,U2286&lt;&gt;0),(U2286-(U2286/U2310))+(V2284/V$10),
IF(U2310&lt;1,0,(U2286-(U2286/U2310))))))</f>
        <v>0</v>
      </c>
      <c r="W2286" s="1423">
        <f t="shared" ref="W2286" ca="1" si="3385">IF(AND(W2284=0,V2286=0),0,
IF(AND(W2284&lt;&gt;0,V2286=0),(W2284/W$10),
IF(AND(W2285&lt;&gt;0,V2286&lt;&gt;0),(V2286-(V2286/V2310))+(W2284/W$10),
IF(V2310&lt;1,0,(V2286-(V2286/V2310))))))</f>
        <v>0</v>
      </c>
      <c r="X2286" s="152"/>
      <c r="Y2286" s="152"/>
      <c r="Z2286" s="152"/>
      <c r="AA2286" s="152"/>
      <c r="AB2286" s="152"/>
    </row>
    <row r="2287" spans="1:28" hidden="1" outlineLevel="1">
      <c r="A2287" s="199">
        <f>A2286+1</f>
        <v>0</v>
      </c>
      <c r="B2287" s="190" t="s">
        <v>125</v>
      </c>
      <c r="C2287" s="1423">
        <f ca="1">C2282/C$10</f>
        <v>0</v>
      </c>
      <c r="D2287" s="1423">
        <f ca="1">IF(C2311="n/a",C2287,IFERROR(IF((OFFSET($C2287,0,$A2287))&lt;0,
MIN(0,C2287-(OFFSET($C2287,0,$A2287)/(OFFSET($C2282,-$A2286,$A2287)))),
MAX(0,C2287-(OFFSET($C2287,0,$A2287)/(OFFSET($C2282,-$A2286,$A2287))))),0))</f>
        <v>0</v>
      </c>
      <c r="E2287" s="1423">
        <f t="shared" ref="E2287" ca="1" si="3386">IF(D2311="n/a",D2287,IFERROR(IF((OFFSET($C2287,0,$A2287))&lt;0,
MIN(0,D2287-(OFFSET($C2287,0,$A2287)/(OFFSET($C2282,-$A2286,$A2287)))),
MAX(0,D2287-(OFFSET($C2287,0,$A2287)/(OFFSET($C2282,-$A2286,$A2287))))),0))</f>
        <v>0</v>
      </c>
      <c r="F2287" s="1423">
        <f t="shared" ref="F2287:F2288" ca="1" si="3387">IF(E2311="n/a",E2287,IFERROR(IF((OFFSET($C2287,0,$A2287))&lt;0,
MIN(0,E2287-(OFFSET($C2287,0,$A2287)/(OFFSET($C2282,-$A2286,$A2287)))),
MAX(0,E2287-(OFFSET($C2287,0,$A2287)/(OFFSET($C2282,-$A2286,$A2287))))),0))</f>
        <v>0</v>
      </c>
      <c r="G2287" s="1423">
        <f t="shared" ref="G2287:G2289" ca="1" si="3388">IF(F2311="n/a",F2287,IFERROR(IF((OFFSET($C2287,0,$A2287))&lt;0,
MIN(0,F2287-(OFFSET($C2287,0,$A2287)/(OFFSET($C2282,-$A2286,$A2287)))),
MAX(0,F2287-(OFFSET($C2287,0,$A2287)/(OFFSET($C2282,-$A2286,$A2287))))),0))</f>
        <v>0</v>
      </c>
      <c r="H2287" s="1423">
        <f t="shared" ref="H2287:H2290" ca="1" si="3389">IF(G2311="n/a",G2287,IFERROR(IF((OFFSET($C2287,0,$A2287))&lt;0,
MIN(0,G2287-(OFFSET($C2287,0,$A2287)/(OFFSET($C2282,-$A2286,$A2287)))),
MAX(0,G2287-(OFFSET($C2287,0,$A2287)/(OFFSET($C2282,-$A2286,$A2287))))),0))</f>
        <v>0</v>
      </c>
      <c r="I2287" s="1423">
        <f t="shared" ref="I2287:I2291" ca="1" si="3390">IF(H2311="n/a",H2287,IFERROR(IF((OFFSET($C2287,0,$A2287))&lt;0,
MIN(0,H2287-(OFFSET($C2287,0,$A2287)/(OFFSET($C2282,-$A2286,$A2287)))),
MAX(0,H2287-(OFFSET($C2287,0,$A2287)/(OFFSET($C2282,-$A2286,$A2287))))),0))</f>
        <v>0</v>
      </c>
      <c r="J2287" s="1423">
        <f t="shared" ref="J2287:J2292" ca="1" si="3391">IF(I2311="n/a",I2287,IFERROR(IF((OFFSET($C2287,0,$A2287))&lt;0,
MIN(0,I2287-(OFFSET($C2287,0,$A2287)/(OFFSET($C2282,-$A2286,$A2287)))),
MAX(0,I2287-(OFFSET($C2287,0,$A2287)/(OFFSET($C2282,-$A2286,$A2287))))),0))</f>
        <v>0</v>
      </c>
      <c r="K2287" s="1423">
        <f t="shared" ref="K2287:K2293" ca="1" si="3392">IF(J2311="n/a",J2287,IFERROR(IF((OFFSET($C2287,0,$A2287))&lt;0,
MIN(0,J2287-(OFFSET($C2287,0,$A2287)/(OFFSET($C2282,-$A2286,$A2287)))),
MAX(0,J2287-(OFFSET($C2287,0,$A2287)/(OFFSET($C2282,-$A2286,$A2287))))),0))</f>
        <v>0</v>
      </c>
      <c r="L2287" s="1423">
        <f t="shared" ref="L2287:L2294" ca="1" si="3393">IF(K2311="n/a",K2287,IFERROR(IF((OFFSET($C2287,0,$A2287))&lt;0,
MIN(0,K2287-(OFFSET($C2287,0,$A2287)/(OFFSET($C2282,-$A2286,$A2287)))),
MAX(0,K2287-(OFFSET($C2287,0,$A2287)/(OFFSET($C2282,-$A2286,$A2287))))),0))</f>
        <v>0</v>
      </c>
      <c r="M2287" s="1423">
        <f t="shared" ref="M2287:M2295" ca="1" si="3394">IF(L2311="n/a",L2287,IFERROR(IF((OFFSET($C2287,0,$A2287))&lt;0,
MIN(0,L2287-(OFFSET($C2287,0,$A2287)/(OFFSET($C2282,-$A2286,$A2287)))),
MAX(0,L2287-(OFFSET($C2287,0,$A2287)/(OFFSET($C2282,-$A2286,$A2287))))),0))</f>
        <v>0</v>
      </c>
      <c r="N2287" s="1423">
        <f t="shared" ref="N2287:N2296" ca="1" si="3395">IF(M2311="n/a",M2287,IFERROR(IF((OFFSET($C2287,0,$A2287))&lt;0,
MIN(0,M2287-(OFFSET($C2287,0,$A2287)/(OFFSET($C2282,-$A2286,$A2287)))),
MAX(0,M2287-(OFFSET($C2287,0,$A2287)/(OFFSET($C2282,-$A2286,$A2287))))),0))</f>
        <v>0</v>
      </c>
      <c r="O2287" s="1423">
        <f t="shared" ref="O2287:O2297" ca="1" si="3396">IF(N2311="n/a",N2287,IFERROR(IF((OFFSET($C2287,0,$A2287))&lt;0,
MIN(0,N2287-(OFFSET($C2287,0,$A2287)/(OFFSET($C2282,-$A2286,$A2287)))),
MAX(0,N2287-(OFFSET($C2287,0,$A2287)/(OFFSET($C2282,-$A2286,$A2287))))),0))</f>
        <v>0</v>
      </c>
      <c r="P2287" s="1423">
        <f t="shared" ref="P2287:P2298" ca="1" si="3397">IF(O2311="n/a",O2287,IFERROR(IF((OFFSET($C2287,0,$A2287))&lt;0,
MIN(0,O2287-(OFFSET($C2287,0,$A2287)/(OFFSET($C2282,-$A2286,$A2287)))),
MAX(0,O2287-(OFFSET($C2287,0,$A2287)/(OFFSET($C2282,-$A2286,$A2287))))),0))</f>
        <v>0</v>
      </c>
      <c r="Q2287" s="1423">
        <f t="shared" ref="Q2287:Q2299" ca="1" si="3398">IF(P2311="n/a",P2287,IFERROR(IF((OFFSET($C2287,0,$A2287))&lt;0,
MIN(0,P2287-(OFFSET($C2287,0,$A2287)/(OFFSET($C2282,-$A2286,$A2287)))),
MAX(0,P2287-(OFFSET($C2287,0,$A2287)/(OFFSET($C2282,-$A2286,$A2287))))),0))</f>
        <v>0</v>
      </c>
      <c r="R2287" s="1423">
        <f t="shared" ref="R2287:R2300" ca="1" si="3399">IF(Q2311="n/a",Q2287,IFERROR(IF((OFFSET($C2287,0,$A2287))&lt;0,
MIN(0,Q2287-(OFFSET($C2287,0,$A2287)/(OFFSET($C2282,-$A2286,$A2287)))),
MAX(0,Q2287-(OFFSET($C2287,0,$A2287)/(OFFSET($C2282,-$A2286,$A2287))))),0))</f>
        <v>0</v>
      </c>
      <c r="S2287" s="1423">
        <f t="shared" ref="S2287:S2301" ca="1" si="3400">IF(R2311="n/a",R2287,IFERROR(IF((OFFSET($C2287,0,$A2287))&lt;0,
MIN(0,R2287-(OFFSET($C2287,0,$A2287)/(OFFSET($C2282,-$A2286,$A2287)))),
MAX(0,R2287-(OFFSET($C2287,0,$A2287)/(OFFSET($C2282,-$A2286,$A2287))))),0))</f>
        <v>0</v>
      </c>
      <c r="T2287" s="1423">
        <f t="shared" ref="T2287:T2302" ca="1" si="3401">IF(S2311="n/a",S2287,IFERROR(IF((OFFSET($C2287,0,$A2287))&lt;0,
MIN(0,S2287-(OFFSET($C2287,0,$A2287)/(OFFSET($C2282,-$A2286,$A2287)))),
MAX(0,S2287-(OFFSET($C2287,0,$A2287)/(OFFSET($C2282,-$A2286,$A2287))))),0))</f>
        <v>0</v>
      </c>
      <c r="U2287" s="1423">
        <f t="shared" ref="U2287:U2303" ca="1" si="3402">IF(T2311="n/a",T2287,IFERROR(IF((OFFSET($C2287,0,$A2287))&lt;0,
MIN(0,T2287-(OFFSET($C2287,0,$A2287)/(OFFSET($C2282,-$A2286,$A2287)))),
MAX(0,T2287-(OFFSET($C2287,0,$A2287)/(OFFSET($C2282,-$A2286,$A2287))))),0))</f>
        <v>0</v>
      </c>
      <c r="V2287" s="1423">
        <f t="shared" ref="V2287:V2304" ca="1" si="3403">IF(U2311="n/a",U2287,IFERROR(IF((OFFSET($C2287,0,$A2287))&lt;0,
MIN(0,U2287-(OFFSET($C2287,0,$A2287)/(OFFSET($C2282,-$A2286,$A2287)))),
MAX(0,U2287-(OFFSET($C2287,0,$A2287)/(OFFSET($C2282,-$A2286,$A2287))))),0))</f>
        <v>0</v>
      </c>
      <c r="W2287" s="1423">
        <f t="shared" ref="W2287:W2305" ca="1" si="3404">IF(V2311="n/a",V2287,IFERROR(IF((OFFSET($C2287,0,$A2287))&lt;0,
MIN(0,V2287-(OFFSET($C2287,0,$A2287)/(OFFSET($C2282,-$A2286,$A2287)))),
MAX(0,V2287-(OFFSET($C2287,0,$A2287)/(OFFSET($C2282,-$A2286,$A2287))))),0))</f>
        <v>0</v>
      </c>
      <c r="X2287" s="152"/>
      <c r="Y2287" s="152"/>
      <c r="Z2287" s="152"/>
      <c r="AA2287" s="152"/>
      <c r="AB2287" s="152"/>
    </row>
    <row r="2288" spans="1:28" hidden="1" outlineLevel="1">
      <c r="A2288" s="199">
        <f t="shared" ref="A2288:A2307" si="3405">A2287+1</f>
        <v>1</v>
      </c>
      <c r="B2288" s="190" t="str">
        <f t="shared" ref="B2288:B2306" ca="1" si="3406">"Depreciated Net Capex "&amp;OFFSET($C$6,0,A2288)</f>
        <v>Depreciated Net Capex 2016-17</v>
      </c>
      <c r="C2288" s="1424"/>
      <c r="D2288" s="1425">
        <f>(D2282*((1+D$11)^0.5)/D$10)</f>
        <v>0</v>
      </c>
      <c r="E2288" s="1423">
        <f ca="1">IF(D2312="n/a",D2288,IFERROR(IF((OFFSET($C2288,0,$A2288))&lt;0,
MIN(0,D2288-(OFFSET($C2288,0,$A2288)/(OFFSET($C2283,-$A2287,$A2288)))),
MAX(0,D2288-(OFFSET($C2288,0,$A2288)/(OFFSET($C2283,-$A2287,$A2288))))),0))</f>
        <v>0</v>
      </c>
      <c r="F2288" s="1423">
        <f t="shared" ca="1" si="3387"/>
        <v>0</v>
      </c>
      <c r="G2288" s="1423">
        <f t="shared" ca="1" si="3388"/>
        <v>0</v>
      </c>
      <c r="H2288" s="1423">
        <f t="shared" ca="1" si="3389"/>
        <v>0</v>
      </c>
      <c r="I2288" s="1423">
        <f t="shared" ca="1" si="3390"/>
        <v>0</v>
      </c>
      <c r="J2288" s="1423">
        <f t="shared" ca="1" si="3391"/>
        <v>0</v>
      </c>
      <c r="K2288" s="1423">
        <f t="shared" ca="1" si="3392"/>
        <v>0</v>
      </c>
      <c r="L2288" s="1423">
        <f t="shared" ca="1" si="3393"/>
        <v>0</v>
      </c>
      <c r="M2288" s="1423">
        <f t="shared" ca="1" si="3394"/>
        <v>0</v>
      </c>
      <c r="N2288" s="1423">
        <f t="shared" ca="1" si="3395"/>
        <v>0</v>
      </c>
      <c r="O2288" s="1423">
        <f t="shared" ca="1" si="3396"/>
        <v>0</v>
      </c>
      <c r="P2288" s="1423">
        <f t="shared" ca="1" si="3397"/>
        <v>0</v>
      </c>
      <c r="Q2288" s="1423">
        <f t="shared" ca="1" si="3398"/>
        <v>0</v>
      </c>
      <c r="R2288" s="1423">
        <f t="shared" ca="1" si="3399"/>
        <v>0</v>
      </c>
      <c r="S2288" s="1423">
        <f t="shared" ca="1" si="3400"/>
        <v>0</v>
      </c>
      <c r="T2288" s="1423">
        <f t="shared" ca="1" si="3401"/>
        <v>0</v>
      </c>
      <c r="U2288" s="1423">
        <f t="shared" ca="1" si="3402"/>
        <v>0</v>
      </c>
      <c r="V2288" s="1423">
        <f t="shared" ca="1" si="3403"/>
        <v>0</v>
      </c>
      <c r="W2288" s="1423">
        <f t="shared" ca="1" si="3404"/>
        <v>0</v>
      </c>
      <c r="X2288" s="152"/>
      <c r="Y2288" s="152"/>
      <c r="Z2288" s="152"/>
      <c r="AA2288" s="152"/>
      <c r="AB2288" s="152"/>
    </row>
    <row r="2289" spans="1:28" hidden="1" outlineLevel="1">
      <c r="A2289" s="199">
        <f t="shared" si="3405"/>
        <v>2</v>
      </c>
      <c r="B2289" s="190" t="str">
        <f t="shared" ca="1" si="3406"/>
        <v>Depreciated Net Capex 2017-18</v>
      </c>
      <c r="C2289" s="1426"/>
      <c r="D2289" s="1427"/>
      <c r="E2289" s="1425">
        <f>(E2282*((1+E$11)^0.5)/E$10)</f>
        <v>0</v>
      </c>
      <c r="F2289" s="1423">
        <f ca="1">IF(E2313="n/a",E2289,IFERROR(IF((OFFSET($C2289,0,$A2289))&lt;0,
MIN(0,E2289-(OFFSET($C2289,0,$A2289)/(OFFSET($C2284,-$A2288,$A2289)))),
MAX(0,E2289-(OFFSET($C2289,0,$A2289)/(OFFSET($C2284,-$A2288,$A2289))))),0))</f>
        <v>0</v>
      </c>
      <c r="G2289" s="1423">
        <f t="shared" ca="1" si="3388"/>
        <v>0</v>
      </c>
      <c r="H2289" s="1423">
        <f t="shared" ca="1" si="3389"/>
        <v>0</v>
      </c>
      <c r="I2289" s="1423">
        <f t="shared" ca="1" si="3390"/>
        <v>0</v>
      </c>
      <c r="J2289" s="1423">
        <f t="shared" ca="1" si="3391"/>
        <v>0</v>
      </c>
      <c r="K2289" s="1423">
        <f t="shared" ca="1" si="3392"/>
        <v>0</v>
      </c>
      <c r="L2289" s="1423">
        <f t="shared" ca="1" si="3393"/>
        <v>0</v>
      </c>
      <c r="M2289" s="1423">
        <f t="shared" ca="1" si="3394"/>
        <v>0</v>
      </c>
      <c r="N2289" s="1423">
        <f t="shared" ca="1" si="3395"/>
        <v>0</v>
      </c>
      <c r="O2289" s="1423">
        <f t="shared" ca="1" si="3396"/>
        <v>0</v>
      </c>
      <c r="P2289" s="1423">
        <f t="shared" ca="1" si="3397"/>
        <v>0</v>
      </c>
      <c r="Q2289" s="1423">
        <f t="shared" ca="1" si="3398"/>
        <v>0</v>
      </c>
      <c r="R2289" s="1423">
        <f t="shared" ca="1" si="3399"/>
        <v>0</v>
      </c>
      <c r="S2289" s="1423">
        <f t="shared" ca="1" si="3400"/>
        <v>0</v>
      </c>
      <c r="T2289" s="1423">
        <f t="shared" ca="1" si="3401"/>
        <v>0</v>
      </c>
      <c r="U2289" s="1423">
        <f t="shared" ca="1" si="3402"/>
        <v>0</v>
      </c>
      <c r="V2289" s="1423">
        <f t="shared" ca="1" si="3403"/>
        <v>0</v>
      </c>
      <c r="W2289" s="1423">
        <f t="shared" ca="1" si="3404"/>
        <v>0</v>
      </c>
      <c r="X2289" s="202"/>
      <c r="Y2289" s="152"/>
      <c r="Z2289" s="152"/>
      <c r="AA2289" s="152"/>
      <c r="AB2289" s="152"/>
    </row>
    <row r="2290" spans="1:28" hidden="1" outlineLevel="1">
      <c r="A2290" s="199">
        <f t="shared" si="3405"/>
        <v>3</v>
      </c>
      <c r="B2290" s="190" t="str">
        <f t="shared" ca="1" si="3406"/>
        <v>Depreciated Net Capex 2018-19</v>
      </c>
      <c r="C2290" s="1426"/>
      <c r="D2290" s="1426"/>
      <c r="E2290" s="1427"/>
      <c r="F2290" s="1428">
        <f>($F2282*((1+F$11)^0.5)/F$10)</f>
        <v>0</v>
      </c>
      <c r="G2290" s="1423">
        <f ca="1">IF(F2314="n/a",F2290,IFERROR(IF((OFFSET($C2290,0,$A2290))&lt;0,
MIN(0,F2290-(OFFSET($C2290,0,$A2290)/(OFFSET($C2285,-$A2289,$A2290)))),
MAX(0,F2290-(OFFSET($C2290,0,$A2290)/(OFFSET($C2285,-$A2289,$A2290))))),0))</f>
        <v>0</v>
      </c>
      <c r="H2290" s="1423">
        <f t="shared" ca="1" si="3389"/>
        <v>0</v>
      </c>
      <c r="I2290" s="1423">
        <f t="shared" ca="1" si="3390"/>
        <v>0</v>
      </c>
      <c r="J2290" s="1423">
        <f t="shared" ca="1" si="3391"/>
        <v>0</v>
      </c>
      <c r="K2290" s="1423">
        <f t="shared" ca="1" si="3392"/>
        <v>0</v>
      </c>
      <c r="L2290" s="1423">
        <f t="shared" ca="1" si="3393"/>
        <v>0</v>
      </c>
      <c r="M2290" s="1423">
        <f t="shared" ca="1" si="3394"/>
        <v>0</v>
      </c>
      <c r="N2290" s="1423">
        <f t="shared" ca="1" si="3395"/>
        <v>0</v>
      </c>
      <c r="O2290" s="1423">
        <f t="shared" ca="1" si="3396"/>
        <v>0</v>
      </c>
      <c r="P2290" s="1423">
        <f t="shared" ca="1" si="3397"/>
        <v>0</v>
      </c>
      <c r="Q2290" s="1423">
        <f t="shared" ca="1" si="3398"/>
        <v>0</v>
      </c>
      <c r="R2290" s="1423">
        <f t="shared" ca="1" si="3399"/>
        <v>0</v>
      </c>
      <c r="S2290" s="1423">
        <f t="shared" ca="1" si="3400"/>
        <v>0</v>
      </c>
      <c r="T2290" s="1423">
        <f t="shared" ca="1" si="3401"/>
        <v>0</v>
      </c>
      <c r="U2290" s="1423">
        <f t="shared" ca="1" si="3402"/>
        <v>0</v>
      </c>
      <c r="V2290" s="1423">
        <f t="shared" ca="1" si="3403"/>
        <v>0</v>
      </c>
      <c r="W2290" s="1423">
        <f t="shared" ca="1" si="3404"/>
        <v>0</v>
      </c>
      <c r="X2290" s="202"/>
      <c r="Y2290" s="202"/>
      <c r="Z2290" s="152"/>
      <c r="AA2290" s="152"/>
      <c r="AB2290" s="152"/>
    </row>
    <row r="2291" spans="1:28" hidden="1" outlineLevel="1">
      <c r="A2291" s="199">
        <f t="shared" si="3405"/>
        <v>4</v>
      </c>
      <c r="B2291" s="190" t="str">
        <f t="shared" ca="1" si="3406"/>
        <v>Depreciated Net Capex 2019-20</v>
      </c>
      <c r="C2291" s="1426"/>
      <c r="D2291" s="1426"/>
      <c r="E2291" s="1426"/>
      <c r="F2291" s="1427"/>
      <c r="G2291" s="1428">
        <f>($G2282*((1+G$11)^0.5)/G$10)</f>
        <v>0</v>
      </c>
      <c r="H2291" s="1423">
        <f ca="1">IF(G2315="n/a",G2291,IFERROR(IF((OFFSET($C2291,0,$A2291))&lt;0,
MIN(0,G2291-(OFFSET($C2291,0,$A2291)/(OFFSET($C2286,-$A2290,$A2291)))),
MAX(0,G2291-(OFFSET($C2291,0,$A2291)/(OFFSET($C2286,-$A2290,$A2291))))),0))</f>
        <v>0</v>
      </c>
      <c r="I2291" s="1423">
        <f t="shared" ca="1" si="3390"/>
        <v>0</v>
      </c>
      <c r="J2291" s="1423">
        <f t="shared" ca="1" si="3391"/>
        <v>0</v>
      </c>
      <c r="K2291" s="1423">
        <f t="shared" ca="1" si="3392"/>
        <v>0</v>
      </c>
      <c r="L2291" s="1423">
        <f t="shared" ca="1" si="3393"/>
        <v>0</v>
      </c>
      <c r="M2291" s="1423">
        <f t="shared" ca="1" si="3394"/>
        <v>0</v>
      </c>
      <c r="N2291" s="1423">
        <f t="shared" ca="1" si="3395"/>
        <v>0</v>
      </c>
      <c r="O2291" s="1423">
        <f t="shared" ca="1" si="3396"/>
        <v>0</v>
      </c>
      <c r="P2291" s="1423">
        <f t="shared" ca="1" si="3397"/>
        <v>0</v>
      </c>
      <c r="Q2291" s="1423">
        <f t="shared" ca="1" si="3398"/>
        <v>0</v>
      </c>
      <c r="R2291" s="1423">
        <f t="shared" ca="1" si="3399"/>
        <v>0</v>
      </c>
      <c r="S2291" s="1423">
        <f t="shared" ca="1" si="3400"/>
        <v>0</v>
      </c>
      <c r="T2291" s="1423">
        <f t="shared" ca="1" si="3401"/>
        <v>0</v>
      </c>
      <c r="U2291" s="1423">
        <f t="shared" ca="1" si="3402"/>
        <v>0</v>
      </c>
      <c r="V2291" s="1423">
        <f t="shared" ca="1" si="3403"/>
        <v>0</v>
      </c>
      <c r="W2291" s="1423">
        <f t="shared" ca="1" si="3404"/>
        <v>0</v>
      </c>
      <c r="X2291" s="202"/>
      <c r="Y2291" s="202"/>
      <c r="Z2291" s="202"/>
      <c r="AA2291" s="152"/>
      <c r="AB2291" s="152"/>
    </row>
    <row r="2292" spans="1:28" hidden="1" outlineLevel="1">
      <c r="A2292" s="199">
        <f t="shared" si="3405"/>
        <v>5</v>
      </c>
      <c r="B2292" s="190" t="str">
        <f t="shared" ca="1" si="3406"/>
        <v>Depreciated Net Capex 2020-21</v>
      </c>
      <c r="C2292" s="1426"/>
      <c r="D2292" s="1426"/>
      <c r="E2292" s="1426"/>
      <c r="F2292" s="1426"/>
      <c r="G2292" s="1427"/>
      <c r="H2292" s="1428">
        <f>(H2282*((1+H$11)^0.5)/H$10)</f>
        <v>0</v>
      </c>
      <c r="I2292" s="1423">
        <f ca="1">IF(H2316="n/a",H2292,IFERROR(IF((OFFSET($C2292,0,$A2292))&lt;0,
MIN(0,H2292-(OFFSET($C2292,0,$A2292)/(OFFSET($C2287,-$A2291,$A2292)))),
MAX(0,H2292-(OFFSET($C2292,0,$A2292)/(OFFSET($C2287,-$A2291,$A2292))))),0))</f>
        <v>0</v>
      </c>
      <c r="J2292" s="1423">
        <f t="shared" ca="1" si="3391"/>
        <v>0</v>
      </c>
      <c r="K2292" s="1423">
        <f t="shared" ca="1" si="3392"/>
        <v>0</v>
      </c>
      <c r="L2292" s="1423">
        <f t="shared" ca="1" si="3393"/>
        <v>0</v>
      </c>
      <c r="M2292" s="1423">
        <f t="shared" ca="1" si="3394"/>
        <v>0</v>
      </c>
      <c r="N2292" s="1423">
        <f t="shared" ca="1" si="3395"/>
        <v>0</v>
      </c>
      <c r="O2292" s="1423">
        <f t="shared" ca="1" si="3396"/>
        <v>0</v>
      </c>
      <c r="P2292" s="1423">
        <f t="shared" ca="1" si="3397"/>
        <v>0</v>
      </c>
      <c r="Q2292" s="1423">
        <f t="shared" ca="1" si="3398"/>
        <v>0</v>
      </c>
      <c r="R2292" s="1423">
        <f t="shared" ca="1" si="3399"/>
        <v>0</v>
      </c>
      <c r="S2292" s="1423">
        <f t="shared" ca="1" si="3400"/>
        <v>0</v>
      </c>
      <c r="T2292" s="1423">
        <f t="shared" ca="1" si="3401"/>
        <v>0</v>
      </c>
      <c r="U2292" s="1423">
        <f t="shared" ca="1" si="3402"/>
        <v>0</v>
      </c>
      <c r="V2292" s="1423">
        <f t="shared" ca="1" si="3403"/>
        <v>0</v>
      </c>
      <c r="W2292" s="1423">
        <f t="shared" ca="1" si="3404"/>
        <v>0</v>
      </c>
      <c r="X2292" s="202"/>
      <c r="Y2292" s="202"/>
      <c r="Z2292" s="202"/>
      <c r="AA2292" s="152"/>
      <c r="AB2292" s="152"/>
    </row>
    <row r="2293" spans="1:28" hidden="1" outlineLevel="1">
      <c r="A2293" s="199">
        <f t="shared" si="3405"/>
        <v>6</v>
      </c>
      <c r="B2293" s="190" t="str">
        <f t="shared" ca="1" si="3406"/>
        <v>Depreciated Net Capex 2021-22</v>
      </c>
      <c r="C2293" s="1426"/>
      <c r="D2293" s="1426"/>
      <c r="E2293" s="1426"/>
      <c r="F2293" s="1426"/>
      <c r="G2293" s="1426"/>
      <c r="H2293" s="1427"/>
      <c r="I2293" s="1428">
        <f>(I2282*((1+I$11)^0.5)/I$10)</f>
        <v>0</v>
      </c>
      <c r="J2293" s="1423">
        <f ca="1">IF(I2317="n/a",I2293,IFERROR(IF((OFFSET($C2293,0,$A2293))&lt;0,
MIN(0,I2293-(OFFSET($C2293,0,$A2293)/(OFFSET($C2288,-$A2292,$A2293)))),
MAX(0,I2293-(OFFSET($C2293,0,$A2293)/(OFFSET($C2288,-$A2292,$A2293))))),0))</f>
        <v>0</v>
      </c>
      <c r="K2293" s="1423">
        <f t="shared" ca="1" si="3392"/>
        <v>0</v>
      </c>
      <c r="L2293" s="1423">
        <f t="shared" ca="1" si="3393"/>
        <v>0</v>
      </c>
      <c r="M2293" s="1423">
        <f t="shared" ca="1" si="3394"/>
        <v>0</v>
      </c>
      <c r="N2293" s="1423">
        <f t="shared" ca="1" si="3395"/>
        <v>0</v>
      </c>
      <c r="O2293" s="1423">
        <f t="shared" ca="1" si="3396"/>
        <v>0</v>
      </c>
      <c r="P2293" s="1423">
        <f t="shared" ca="1" si="3397"/>
        <v>0</v>
      </c>
      <c r="Q2293" s="1423">
        <f t="shared" ca="1" si="3398"/>
        <v>0</v>
      </c>
      <c r="R2293" s="1423">
        <f t="shared" ca="1" si="3399"/>
        <v>0</v>
      </c>
      <c r="S2293" s="1423">
        <f t="shared" ca="1" si="3400"/>
        <v>0</v>
      </c>
      <c r="T2293" s="1423">
        <f t="shared" ca="1" si="3401"/>
        <v>0</v>
      </c>
      <c r="U2293" s="1423">
        <f t="shared" ca="1" si="3402"/>
        <v>0</v>
      </c>
      <c r="V2293" s="1423">
        <f t="shared" ca="1" si="3403"/>
        <v>0</v>
      </c>
      <c r="W2293" s="1423">
        <f t="shared" ca="1" si="3404"/>
        <v>0</v>
      </c>
      <c r="X2293" s="202"/>
      <c r="Y2293" s="202"/>
      <c r="Z2293" s="202"/>
      <c r="AA2293" s="152"/>
      <c r="AB2293" s="152"/>
    </row>
    <row r="2294" spans="1:28" hidden="1" outlineLevel="1">
      <c r="A2294" s="199">
        <f t="shared" si="3405"/>
        <v>7</v>
      </c>
      <c r="B2294" s="190" t="str">
        <f t="shared" ca="1" si="3406"/>
        <v>Depreciated Net Capex 2022-23</v>
      </c>
      <c r="C2294" s="1426"/>
      <c r="D2294" s="1426"/>
      <c r="E2294" s="1426"/>
      <c r="F2294" s="1426"/>
      <c r="G2294" s="1426"/>
      <c r="H2294" s="1426"/>
      <c r="I2294" s="1427"/>
      <c r="J2294" s="1428">
        <f>(J2282*((1+J$11)^0.5)/J$10)</f>
        <v>0</v>
      </c>
      <c r="K2294" s="1423">
        <f ca="1">IF(J2318="n/a",J2294,IFERROR(IF((OFFSET($C2294,0,$A2294))&lt;0,
MIN(0,J2294-(OFFSET($C2294,0,$A2294)/(OFFSET($C2289,-$A2293,$A2294)))),
MAX(0,J2294-(OFFSET($C2294,0,$A2294)/(OFFSET($C2289,-$A2293,$A2294))))),0))</f>
        <v>0</v>
      </c>
      <c r="L2294" s="1423">
        <f t="shared" ca="1" si="3393"/>
        <v>0</v>
      </c>
      <c r="M2294" s="1423">
        <f t="shared" ca="1" si="3394"/>
        <v>0</v>
      </c>
      <c r="N2294" s="1423">
        <f t="shared" ca="1" si="3395"/>
        <v>0</v>
      </c>
      <c r="O2294" s="1423">
        <f t="shared" ca="1" si="3396"/>
        <v>0</v>
      </c>
      <c r="P2294" s="1423">
        <f t="shared" ca="1" si="3397"/>
        <v>0</v>
      </c>
      <c r="Q2294" s="1423">
        <f t="shared" ca="1" si="3398"/>
        <v>0</v>
      </c>
      <c r="R2294" s="1423">
        <f t="shared" ca="1" si="3399"/>
        <v>0</v>
      </c>
      <c r="S2294" s="1423">
        <f t="shared" ca="1" si="3400"/>
        <v>0</v>
      </c>
      <c r="T2294" s="1423">
        <f t="shared" ca="1" si="3401"/>
        <v>0</v>
      </c>
      <c r="U2294" s="1423">
        <f t="shared" ca="1" si="3402"/>
        <v>0</v>
      </c>
      <c r="V2294" s="1423">
        <f t="shared" ca="1" si="3403"/>
        <v>0</v>
      </c>
      <c r="W2294" s="1423">
        <f t="shared" ca="1" si="3404"/>
        <v>0</v>
      </c>
      <c r="X2294" s="202"/>
      <c r="Y2294" s="202"/>
      <c r="Z2294" s="202"/>
      <c r="AA2294" s="152"/>
      <c r="AB2294" s="152"/>
    </row>
    <row r="2295" spans="1:28" hidden="1" outlineLevel="1">
      <c r="A2295" s="199">
        <f t="shared" si="3405"/>
        <v>8</v>
      </c>
      <c r="B2295" s="190" t="str">
        <f t="shared" ca="1" si="3406"/>
        <v>Depreciated Net Capex 2023-24</v>
      </c>
      <c r="C2295" s="1426"/>
      <c r="D2295" s="1426"/>
      <c r="E2295" s="1426"/>
      <c r="F2295" s="1426"/>
      <c r="G2295" s="1426"/>
      <c r="H2295" s="1426"/>
      <c r="I2295" s="1426"/>
      <c r="J2295" s="1427"/>
      <c r="K2295" s="1428">
        <f>(K2282*((1+K$11)^0.5)/K$10)</f>
        <v>0</v>
      </c>
      <c r="L2295" s="1423">
        <f ca="1">IF(K2319="n/a",K2295,IFERROR(IF((OFFSET($C2295,0,$A2295))&lt;0,
MIN(0,K2295-(OFFSET($C2295,0,$A2295)/(OFFSET($C2290,-$A2294,$A2295)))),
MAX(0,K2295-(OFFSET($C2295,0,$A2295)/(OFFSET($C2290,-$A2294,$A2295))))),0))</f>
        <v>0</v>
      </c>
      <c r="M2295" s="1423">
        <f t="shared" ca="1" si="3394"/>
        <v>0</v>
      </c>
      <c r="N2295" s="1423">
        <f t="shared" ca="1" si="3395"/>
        <v>0</v>
      </c>
      <c r="O2295" s="1423">
        <f t="shared" ca="1" si="3396"/>
        <v>0</v>
      </c>
      <c r="P2295" s="1423">
        <f t="shared" ca="1" si="3397"/>
        <v>0</v>
      </c>
      <c r="Q2295" s="1423">
        <f t="shared" ca="1" si="3398"/>
        <v>0</v>
      </c>
      <c r="R2295" s="1423">
        <f t="shared" ca="1" si="3399"/>
        <v>0</v>
      </c>
      <c r="S2295" s="1423">
        <f t="shared" ca="1" si="3400"/>
        <v>0</v>
      </c>
      <c r="T2295" s="1423">
        <f t="shared" ca="1" si="3401"/>
        <v>0</v>
      </c>
      <c r="U2295" s="1423">
        <f t="shared" ca="1" si="3402"/>
        <v>0</v>
      </c>
      <c r="V2295" s="1423">
        <f t="shared" ca="1" si="3403"/>
        <v>0</v>
      </c>
      <c r="W2295" s="1423">
        <f t="shared" ca="1" si="3404"/>
        <v>0</v>
      </c>
      <c r="X2295" s="202"/>
      <c r="Y2295" s="202"/>
      <c r="Z2295" s="202"/>
      <c r="AA2295" s="152"/>
      <c r="AB2295" s="152"/>
    </row>
    <row r="2296" spans="1:28" hidden="1" outlineLevel="1">
      <c r="A2296" s="199">
        <f t="shared" si="3405"/>
        <v>9</v>
      </c>
      <c r="B2296" s="190" t="str">
        <f t="shared" ca="1" si="3406"/>
        <v>Depreciated Net Capex 2024-25</v>
      </c>
      <c r="C2296" s="1426"/>
      <c r="D2296" s="1426"/>
      <c r="E2296" s="1426"/>
      <c r="F2296" s="1426"/>
      <c r="G2296" s="1426"/>
      <c r="H2296" s="1426"/>
      <c r="I2296" s="1426"/>
      <c r="J2296" s="1426"/>
      <c r="K2296" s="1427"/>
      <c r="L2296" s="1428">
        <f>(L2282*((1+L$11)^0.5)/L$10)</f>
        <v>0</v>
      </c>
      <c r="M2296" s="1423">
        <f ca="1">IF(L2320="n/a",L2296,IFERROR(IF((OFFSET($C2296,0,$A2296))&lt;0,
MIN(0,L2296-(OFFSET($C2296,0,$A2296)/(OFFSET($C2291,-$A2295,$A2296)))),
MAX(0,L2296-(OFFSET($C2296,0,$A2296)/(OFFSET($C2291,-$A2295,$A2296))))),0))</f>
        <v>0</v>
      </c>
      <c r="N2296" s="1423">
        <f t="shared" ca="1" si="3395"/>
        <v>0</v>
      </c>
      <c r="O2296" s="1423">
        <f t="shared" ca="1" si="3396"/>
        <v>0</v>
      </c>
      <c r="P2296" s="1423">
        <f t="shared" ca="1" si="3397"/>
        <v>0</v>
      </c>
      <c r="Q2296" s="1423">
        <f t="shared" ca="1" si="3398"/>
        <v>0</v>
      </c>
      <c r="R2296" s="1423">
        <f t="shared" ca="1" si="3399"/>
        <v>0</v>
      </c>
      <c r="S2296" s="1423">
        <f t="shared" ca="1" si="3400"/>
        <v>0</v>
      </c>
      <c r="T2296" s="1423">
        <f t="shared" ca="1" si="3401"/>
        <v>0</v>
      </c>
      <c r="U2296" s="1423">
        <f t="shared" ca="1" si="3402"/>
        <v>0</v>
      </c>
      <c r="V2296" s="1423">
        <f t="shared" ca="1" si="3403"/>
        <v>0</v>
      </c>
      <c r="W2296" s="1423">
        <f t="shared" ca="1" si="3404"/>
        <v>0</v>
      </c>
      <c r="X2296" s="202"/>
      <c r="Y2296" s="202"/>
      <c r="Z2296" s="202"/>
      <c r="AA2296" s="152"/>
      <c r="AB2296" s="152"/>
    </row>
    <row r="2297" spans="1:28" hidden="1" outlineLevel="1">
      <c r="A2297" s="199">
        <f t="shared" si="3405"/>
        <v>10</v>
      </c>
      <c r="B2297" s="190" t="str">
        <f t="shared" ca="1" si="3406"/>
        <v>Depreciated Net Capex 2025-26</v>
      </c>
      <c r="C2297" s="1426"/>
      <c r="D2297" s="1426"/>
      <c r="E2297" s="1426"/>
      <c r="F2297" s="1426"/>
      <c r="G2297" s="1426"/>
      <c r="H2297" s="1426"/>
      <c r="I2297" s="1426"/>
      <c r="J2297" s="1426"/>
      <c r="K2297" s="1426"/>
      <c r="L2297" s="1427"/>
      <c r="M2297" s="1428">
        <f>(M2282*((1+M$11)^0.5)/M$10)</f>
        <v>0</v>
      </c>
      <c r="N2297" s="1423">
        <f ca="1">IF(M2321="n/a",M2297,IFERROR(IF((OFFSET($C2297,0,$A2297))&lt;0,
MIN(0,M2297-(OFFSET($C2297,0,$A2297)/(OFFSET($C2292,-$A2296,$A2297)))),
MAX(0,M2297-(OFFSET($C2297,0,$A2297)/(OFFSET($C2292,-$A2296,$A2297))))),0))</f>
        <v>0</v>
      </c>
      <c r="O2297" s="1423">
        <f t="shared" ca="1" si="3396"/>
        <v>0</v>
      </c>
      <c r="P2297" s="1423">
        <f t="shared" ca="1" si="3397"/>
        <v>0</v>
      </c>
      <c r="Q2297" s="1423">
        <f t="shared" ca="1" si="3398"/>
        <v>0</v>
      </c>
      <c r="R2297" s="1423">
        <f t="shared" ca="1" si="3399"/>
        <v>0</v>
      </c>
      <c r="S2297" s="1423">
        <f t="shared" ca="1" si="3400"/>
        <v>0</v>
      </c>
      <c r="T2297" s="1423">
        <f t="shared" ca="1" si="3401"/>
        <v>0</v>
      </c>
      <c r="U2297" s="1423">
        <f t="shared" ca="1" si="3402"/>
        <v>0</v>
      </c>
      <c r="V2297" s="1423">
        <f t="shared" ca="1" si="3403"/>
        <v>0</v>
      </c>
      <c r="W2297" s="1423">
        <f t="shared" ca="1" si="3404"/>
        <v>0</v>
      </c>
      <c r="X2297" s="202"/>
      <c r="Y2297" s="202"/>
      <c r="Z2297" s="202"/>
      <c r="AA2297" s="152"/>
      <c r="AB2297" s="152"/>
    </row>
    <row r="2298" spans="1:28" hidden="1" outlineLevel="1">
      <c r="A2298" s="199">
        <f t="shared" si="3405"/>
        <v>11</v>
      </c>
      <c r="B2298" s="190" t="str">
        <f t="shared" ca="1" si="3406"/>
        <v>Depreciated Net Capex 2026-27</v>
      </c>
      <c r="C2298" s="1426"/>
      <c r="D2298" s="1426"/>
      <c r="E2298" s="1426"/>
      <c r="F2298" s="1426"/>
      <c r="G2298" s="1426"/>
      <c r="H2298" s="1426"/>
      <c r="I2298" s="1426"/>
      <c r="J2298" s="1426"/>
      <c r="K2298" s="1426"/>
      <c r="L2298" s="1426"/>
      <c r="M2298" s="1427"/>
      <c r="N2298" s="1428">
        <f>(N2282*((1+N$11)^0.5)/N$10)</f>
        <v>0</v>
      </c>
      <c r="O2298" s="1423">
        <f ca="1">IF(N2322="n/a",N2298,IFERROR(IF((OFFSET($C2298,0,$A2298))&lt;0,
MIN(0,N2298-(OFFSET($C2298,0,$A2298)/(OFFSET($C2293,-$A2297,$A2298)))),
MAX(0,N2298-(OFFSET($C2298,0,$A2298)/(OFFSET($C2293,-$A2297,$A2298))))),0))</f>
        <v>0</v>
      </c>
      <c r="P2298" s="1423">
        <f t="shared" ca="1" si="3397"/>
        <v>0</v>
      </c>
      <c r="Q2298" s="1423">
        <f t="shared" ca="1" si="3398"/>
        <v>0</v>
      </c>
      <c r="R2298" s="1423">
        <f t="shared" ca="1" si="3399"/>
        <v>0</v>
      </c>
      <c r="S2298" s="1423">
        <f t="shared" ca="1" si="3400"/>
        <v>0</v>
      </c>
      <c r="T2298" s="1423">
        <f t="shared" ca="1" si="3401"/>
        <v>0</v>
      </c>
      <c r="U2298" s="1423">
        <f t="shared" ca="1" si="3402"/>
        <v>0</v>
      </c>
      <c r="V2298" s="1423">
        <f t="shared" ca="1" si="3403"/>
        <v>0</v>
      </c>
      <c r="W2298" s="1423">
        <f t="shared" ca="1" si="3404"/>
        <v>0</v>
      </c>
      <c r="X2298" s="202"/>
      <c r="Y2298" s="202"/>
      <c r="Z2298" s="202"/>
      <c r="AA2298" s="152"/>
      <c r="AB2298" s="152"/>
    </row>
    <row r="2299" spans="1:28" hidden="1" outlineLevel="1">
      <c r="A2299" s="199">
        <f t="shared" si="3405"/>
        <v>12</v>
      </c>
      <c r="B2299" s="190" t="str">
        <f t="shared" ca="1" si="3406"/>
        <v>Depreciated Net Capex 2027-28</v>
      </c>
      <c r="C2299" s="1426"/>
      <c r="D2299" s="1426"/>
      <c r="E2299" s="1426"/>
      <c r="F2299" s="1426"/>
      <c r="G2299" s="1426"/>
      <c r="H2299" s="1426"/>
      <c r="I2299" s="1426"/>
      <c r="J2299" s="1426"/>
      <c r="K2299" s="1426"/>
      <c r="L2299" s="1426"/>
      <c r="M2299" s="1426"/>
      <c r="N2299" s="1427"/>
      <c r="O2299" s="1428">
        <f>(O2282*((1+O$11)^0.5)/O$10)</f>
        <v>0</v>
      </c>
      <c r="P2299" s="1423">
        <f ca="1">IF(O2323="n/a",O2299,IFERROR(IF((OFFSET($C2299,0,$A2299))&lt;0,
MIN(0,O2299-(OFFSET($C2299,0,$A2299)/(OFFSET($C2294,-$A2298,$A2299)))),
MAX(0,O2299-(OFFSET($C2299,0,$A2299)/(OFFSET($C2294,-$A2298,$A2299))))),0))</f>
        <v>0</v>
      </c>
      <c r="Q2299" s="1423">
        <f t="shared" ca="1" si="3398"/>
        <v>0</v>
      </c>
      <c r="R2299" s="1423">
        <f t="shared" ca="1" si="3399"/>
        <v>0</v>
      </c>
      <c r="S2299" s="1423">
        <f t="shared" ca="1" si="3400"/>
        <v>0</v>
      </c>
      <c r="T2299" s="1423">
        <f t="shared" ca="1" si="3401"/>
        <v>0</v>
      </c>
      <c r="U2299" s="1423">
        <f t="shared" ca="1" si="3402"/>
        <v>0</v>
      </c>
      <c r="V2299" s="1423">
        <f t="shared" ca="1" si="3403"/>
        <v>0</v>
      </c>
      <c r="W2299" s="1423">
        <f t="shared" ca="1" si="3404"/>
        <v>0</v>
      </c>
      <c r="X2299" s="202"/>
      <c r="Y2299" s="202"/>
      <c r="Z2299" s="202"/>
      <c r="AA2299" s="152"/>
      <c r="AB2299" s="152"/>
    </row>
    <row r="2300" spans="1:28" hidden="1" outlineLevel="1">
      <c r="A2300" s="199">
        <f t="shared" si="3405"/>
        <v>13</v>
      </c>
      <c r="B2300" s="190" t="str">
        <f t="shared" ca="1" si="3406"/>
        <v>Depreciated Net Capex 2028-29</v>
      </c>
      <c r="C2300" s="1426"/>
      <c r="D2300" s="1426"/>
      <c r="E2300" s="1426"/>
      <c r="F2300" s="1426"/>
      <c r="G2300" s="1426"/>
      <c r="H2300" s="1426"/>
      <c r="I2300" s="1426"/>
      <c r="J2300" s="1426"/>
      <c r="K2300" s="1426"/>
      <c r="L2300" s="1426"/>
      <c r="M2300" s="1426"/>
      <c r="N2300" s="1426"/>
      <c r="O2300" s="1427"/>
      <c r="P2300" s="1428">
        <f>(P2282*((1+P$11)^0.5)/P$10)</f>
        <v>0</v>
      </c>
      <c r="Q2300" s="1423">
        <f ca="1">IF(P2324="n/a",P2300,IFERROR(IF((OFFSET($C2300,0,$A2300))&lt;0,
MIN(0,P2300-(OFFSET($C2300,0,$A2300)/(OFFSET($C2295,-$A2299,$A2300)))),
MAX(0,P2300-(OFFSET($C2300,0,$A2300)/(OFFSET($C2295,-$A2299,$A2300))))),0))</f>
        <v>0</v>
      </c>
      <c r="R2300" s="1423">
        <f t="shared" ca="1" si="3399"/>
        <v>0</v>
      </c>
      <c r="S2300" s="1423">
        <f t="shared" ca="1" si="3400"/>
        <v>0</v>
      </c>
      <c r="T2300" s="1423">
        <f t="shared" ca="1" si="3401"/>
        <v>0</v>
      </c>
      <c r="U2300" s="1423">
        <f t="shared" ca="1" si="3402"/>
        <v>0</v>
      </c>
      <c r="V2300" s="1423">
        <f t="shared" ca="1" si="3403"/>
        <v>0</v>
      </c>
      <c r="W2300" s="1423">
        <f t="shared" ca="1" si="3404"/>
        <v>0</v>
      </c>
      <c r="X2300" s="202"/>
      <c r="Y2300" s="202"/>
      <c r="Z2300" s="202"/>
      <c r="AA2300" s="152"/>
      <c r="AB2300" s="152"/>
    </row>
    <row r="2301" spans="1:28" hidden="1" outlineLevel="1">
      <c r="A2301" s="199">
        <f t="shared" si="3405"/>
        <v>14</v>
      </c>
      <c r="B2301" s="190" t="str">
        <f t="shared" ca="1" si="3406"/>
        <v>Depreciated Net Capex 2029-30</v>
      </c>
      <c r="C2301" s="1426"/>
      <c r="D2301" s="1426"/>
      <c r="E2301" s="1426"/>
      <c r="F2301" s="1426"/>
      <c r="G2301" s="1426"/>
      <c r="H2301" s="1426"/>
      <c r="I2301" s="1426"/>
      <c r="J2301" s="1426"/>
      <c r="K2301" s="1426"/>
      <c r="L2301" s="1426"/>
      <c r="M2301" s="1426"/>
      <c r="N2301" s="1426"/>
      <c r="O2301" s="1426"/>
      <c r="P2301" s="1427"/>
      <c r="Q2301" s="1428">
        <f>(Q2282*((1+Q$11)^0.5)/Q$10)</f>
        <v>0</v>
      </c>
      <c r="R2301" s="1423">
        <f ca="1">IF(Q2325="n/a",Q2301,IFERROR(IF((OFFSET($C2301,0,$A2301))&lt;0,
MIN(0,Q2301-(OFFSET($C2301,0,$A2301)/(OFFSET($C2296,-$A2300,$A2301)))),
MAX(0,Q2301-(OFFSET($C2301,0,$A2301)/(OFFSET($C2296,-$A2300,$A2301))))),0))</f>
        <v>0</v>
      </c>
      <c r="S2301" s="1423">
        <f t="shared" ca="1" si="3400"/>
        <v>0</v>
      </c>
      <c r="T2301" s="1423">
        <f t="shared" ca="1" si="3401"/>
        <v>0</v>
      </c>
      <c r="U2301" s="1423">
        <f t="shared" ca="1" si="3402"/>
        <v>0</v>
      </c>
      <c r="V2301" s="1423">
        <f t="shared" ca="1" si="3403"/>
        <v>0</v>
      </c>
      <c r="W2301" s="1423">
        <f t="shared" ca="1" si="3404"/>
        <v>0</v>
      </c>
      <c r="X2301" s="202"/>
      <c r="Y2301" s="202"/>
      <c r="Z2301" s="202"/>
      <c r="AA2301" s="152"/>
      <c r="AB2301" s="152"/>
    </row>
    <row r="2302" spans="1:28" hidden="1" outlineLevel="1">
      <c r="A2302" s="199">
        <f t="shared" si="3405"/>
        <v>15</v>
      </c>
      <c r="B2302" s="190" t="str">
        <f t="shared" ca="1" si="3406"/>
        <v>Depreciated Net Capex 2030-31</v>
      </c>
      <c r="C2302" s="1426"/>
      <c r="D2302" s="1426"/>
      <c r="E2302" s="1426"/>
      <c r="F2302" s="1426"/>
      <c r="G2302" s="1426"/>
      <c r="H2302" s="1426"/>
      <c r="I2302" s="1426"/>
      <c r="J2302" s="1426"/>
      <c r="K2302" s="1426"/>
      <c r="L2302" s="1426"/>
      <c r="M2302" s="1426"/>
      <c r="N2302" s="1426"/>
      <c r="O2302" s="1426"/>
      <c r="P2302" s="1426"/>
      <c r="Q2302" s="1427"/>
      <c r="R2302" s="1428">
        <f>(R2282*((1+R$11)^0.5)/R$10)</f>
        <v>0</v>
      </c>
      <c r="S2302" s="1423">
        <f ca="1">IF(R2326="n/a",R2302,IFERROR(IF((OFFSET($C2302,0,$A2302))&lt;0,
MIN(0,R2302-(OFFSET($C2302,0,$A2302)/(OFFSET($C2297,-$A2301,$A2302)))),
MAX(0,R2302-(OFFSET($C2302,0,$A2302)/(OFFSET($C2297,-$A2301,$A2302))))),0))</f>
        <v>0</v>
      </c>
      <c r="T2302" s="1423">
        <f t="shared" ca="1" si="3401"/>
        <v>0</v>
      </c>
      <c r="U2302" s="1423">
        <f t="shared" ca="1" si="3402"/>
        <v>0</v>
      </c>
      <c r="V2302" s="1423">
        <f t="shared" ca="1" si="3403"/>
        <v>0</v>
      </c>
      <c r="W2302" s="1423">
        <f t="shared" ca="1" si="3404"/>
        <v>0</v>
      </c>
      <c r="X2302" s="202"/>
      <c r="Y2302" s="202"/>
      <c r="Z2302" s="202"/>
      <c r="AA2302" s="152"/>
      <c r="AB2302" s="152"/>
    </row>
    <row r="2303" spans="1:28" hidden="1" outlineLevel="1">
      <c r="A2303" s="199">
        <f t="shared" si="3405"/>
        <v>16</v>
      </c>
      <c r="B2303" s="190" t="str">
        <f t="shared" ca="1" si="3406"/>
        <v>Depreciated Net Capex 2031-32</v>
      </c>
      <c r="C2303" s="1426"/>
      <c r="D2303" s="1426"/>
      <c r="E2303" s="1426"/>
      <c r="F2303" s="1426"/>
      <c r="G2303" s="1426"/>
      <c r="H2303" s="1426"/>
      <c r="I2303" s="1426"/>
      <c r="J2303" s="1426"/>
      <c r="K2303" s="1426"/>
      <c r="L2303" s="1426"/>
      <c r="M2303" s="1426"/>
      <c r="N2303" s="1426"/>
      <c r="O2303" s="1426"/>
      <c r="P2303" s="1426"/>
      <c r="Q2303" s="1426"/>
      <c r="R2303" s="1427"/>
      <c r="S2303" s="1428">
        <f>(S2282*((1+S$11)^0.5)/S$10)</f>
        <v>0</v>
      </c>
      <c r="T2303" s="1423">
        <f ca="1">IF(S2327="n/a",S2303,IFERROR(IF((OFFSET($C2303,0,$A2303))&lt;0,
MIN(0,S2303-(OFFSET($C2303,0,$A2303)/(OFFSET($C2298,-$A2302,$A2303)))),
MAX(0,S2303-(OFFSET($C2303,0,$A2303)/(OFFSET($C2298,-$A2302,$A2303))))),0))</f>
        <v>0</v>
      </c>
      <c r="U2303" s="1423">
        <f t="shared" ca="1" si="3402"/>
        <v>0</v>
      </c>
      <c r="V2303" s="1423">
        <f t="shared" ca="1" si="3403"/>
        <v>0</v>
      </c>
      <c r="W2303" s="1423">
        <f t="shared" ca="1" si="3404"/>
        <v>0</v>
      </c>
      <c r="X2303" s="202"/>
      <c r="Y2303" s="202"/>
      <c r="Z2303" s="202"/>
      <c r="AA2303" s="152"/>
      <c r="AB2303" s="152"/>
    </row>
    <row r="2304" spans="1:28" hidden="1" outlineLevel="1">
      <c r="A2304" s="199">
        <f t="shared" si="3405"/>
        <v>17</v>
      </c>
      <c r="B2304" s="190" t="str">
        <f t="shared" ca="1" si="3406"/>
        <v>Depreciated Net Capex 2032-33</v>
      </c>
      <c r="C2304" s="1426"/>
      <c r="D2304" s="1426"/>
      <c r="E2304" s="1426"/>
      <c r="F2304" s="1426"/>
      <c r="G2304" s="1426"/>
      <c r="H2304" s="1426"/>
      <c r="I2304" s="1426"/>
      <c r="J2304" s="1426"/>
      <c r="K2304" s="1426"/>
      <c r="L2304" s="1426"/>
      <c r="M2304" s="1426"/>
      <c r="N2304" s="1426"/>
      <c r="O2304" s="1426"/>
      <c r="P2304" s="1426"/>
      <c r="Q2304" s="1426"/>
      <c r="R2304" s="1426"/>
      <c r="S2304" s="1427"/>
      <c r="T2304" s="1428">
        <f>(T2282*((1+T$11)^0.5)/T$10)</f>
        <v>0</v>
      </c>
      <c r="U2304" s="1423">
        <f ca="1">IF(T2328="n/a",T2304,IFERROR(IF((OFFSET($C2304,0,$A2304))&lt;0,
MIN(0,T2304-(OFFSET($C2304,0,$A2304)/(OFFSET($C2299,-$A2303,$A2304)))),
MAX(0,T2304-(OFFSET($C2304,0,$A2304)/(OFFSET($C2299,-$A2303,$A2304))))),0))</f>
        <v>0</v>
      </c>
      <c r="V2304" s="1423">
        <f t="shared" ca="1" si="3403"/>
        <v>0</v>
      </c>
      <c r="W2304" s="1423">
        <f t="shared" ca="1" si="3404"/>
        <v>0</v>
      </c>
      <c r="X2304" s="202"/>
      <c r="Y2304" s="202"/>
      <c r="Z2304" s="202"/>
      <c r="AA2304" s="152"/>
      <c r="AB2304" s="152"/>
    </row>
    <row r="2305" spans="1:28" hidden="1" outlineLevel="1">
      <c r="A2305" s="199">
        <f t="shared" si="3405"/>
        <v>18</v>
      </c>
      <c r="B2305" s="190" t="str">
        <f t="shared" ca="1" si="3406"/>
        <v>Depreciated Net Capex 2033-34</v>
      </c>
      <c r="C2305" s="1426"/>
      <c r="D2305" s="1426"/>
      <c r="E2305" s="1426"/>
      <c r="F2305" s="1426"/>
      <c r="G2305" s="1426"/>
      <c r="H2305" s="1426"/>
      <c r="I2305" s="1426"/>
      <c r="J2305" s="1426"/>
      <c r="K2305" s="1426"/>
      <c r="L2305" s="1426"/>
      <c r="M2305" s="1426"/>
      <c r="N2305" s="1426"/>
      <c r="O2305" s="1426"/>
      <c r="P2305" s="1426"/>
      <c r="Q2305" s="1426"/>
      <c r="R2305" s="1426"/>
      <c r="S2305" s="1426"/>
      <c r="T2305" s="1427"/>
      <c r="U2305" s="1428">
        <f>(U2282*((1+U$11)^0.5)/U$10)</f>
        <v>0</v>
      </c>
      <c r="V2305" s="1423">
        <f ca="1">IF(U2329="n/a",U2305,IFERROR(IF((OFFSET($C2305,0,$A2305))&lt;0,
MIN(0,U2305-(OFFSET($C2305,0,$A2305)/(OFFSET($C2300,-$A2304,$A2305)))),
MAX(0,U2305-(OFFSET($C2305,0,$A2305)/(OFFSET($C2300,-$A2304,$A2305))))),0))</f>
        <v>0</v>
      </c>
      <c r="W2305" s="1423">
        <f t="shared" ca="1" si="3404"/>
        <v>0</v>
      </c>
      <c r="X2305" s="202"/>
      <c r="Y2305" s="202"/>
      <c r="Z2305" s="202"/>
      <c r="AA2305" s="152"/>
      <c r="AB2305" s="152"/>
    </row>
    <row r="2306" spans="1:28" hidden="1" outlineLevel="1">
      <c r="A2306" s="199">
        <f t="shared" si="3405"/>
        <v>19</v>
      </c>
      <c r="B2306" s="190" t="str">
        <f t="shared" ca="1" si="3406"/>
        <v>Depreciated Net Capex 2034-35</v>
      </c>
      <c r="C2306" s="1426"/>
      <c r="D2306" s="1426"/>
      <c r="E2306" s="1426"/>
      <c r="F2306" s="1426"/>
      <c r="G2306" s="1426"/>
      <c r="H2306" s="1426"/>
      <c r="I2306" s="1426"/>
      <c r="J2306" s="1426"/>
      <c r="K2306" s="1426"/>
      <c r="L2306" s="1426"/>
      <c r="M2306" s="1426"/>
      <c r="N2306" s="1426"/>
      <c r="O2306" s="1426"/>
      <c r="P2306" s="1426"/>
      <c r="Q2306" s="1426"/>
      <c r="R2306" s="1426"/>
      <c r="S2306" s="1426"/>
      <c r="T2306" s="1426"/>
      <c r="U2306" s="1427"/>
      <c r="V2306" s="1428">
        <f>(V2282*((1+V$11)^0.5)/V$10)</f>
        <v>0</v>
      </c>
      <c r="W2306" s="1423">
        <f ca="1">IF(V2330="n/a",V2306,IFERROR(IF((OFFSET($C2306,0,$A2306))&lt;0,
MIN(0,V2306-(OFFSET($C2306,0,$A2306)/(OFFSET($C2301,-$A2305,$A2306)))),
MAX(0,V2306-(OFFSET($C2306,0,$A2306)/(OFFSET($C2301,-$A2305,$A2306))))),0))</f>
        <v>0</v>
      </c>
      <c r="X2306" s="202"/>
      <c r="Y2306" s="202"/>
      <c r="Z2306" s="202"/>
      <c r="AA2306" s="152"/>
      <c r="AB2306" s="152"/>
    </row>
    <row r="2307" spans="1:28" hidden="1" outlineLevel="1">
      <c r="A2307" s="199">
        <f t="shared" si="3405"/>
        <v>20</v>
      </c>
      <c r="B2307" s="190" t="str">
        <f ca="1">"Depreciated Net Capex "&amp;OFFSET($C$6,0,A2307)</f>
        <v>Depreciated Net Capex 2035-36</v>
      </c>
      <c r="C2307" s="1426"/>
      <c r="D2307" s="1426"/>
      <c r="E2307" s="1426"/>
      <c r="F2307" s="1426"/>
      <c r="G2307" s="1426"/>
      <c r="H2307" s="1426"/>
      <c r="I2307" s="1426"/>
      <c r="J2307" s="1426"/>
      <c r="K2307" s="1426"/>
      <c r="L2307" s="1426"/>
      <c r="M2307" s="1426"/>
      <c r="N2307" s="1426"/>
      <c r="O2307" s="1426"/>
      <c r="P2307" s="1426"/>
      <c r="Q2307" s="1426"/>
      <c r="R2307" s="1426"/>
      <c r="S2307" s="1426"/>
      <c r="T2307" s="1426"/>
      <c r="U2307" s="1426"/>
      <c r="V2307" s="1427"/>
      <c r="W2307" s="1423">
        <f>(W2282*((1+W$11)^0.5)/W$10)</f>
        <v>0</v>
      </c>
      <c r="X2307" s="152"/>
      <c r="Y2307" s="152"/>
      <c r="Z2307" s="152"/>
      <c r="AA2307" s="152"/>
      <c r="AB2307" s="152"/>
    </row>
    <row r="2308" spans="1:28" hidden="1" outlineLevel="1">
      <c r="A2308" s="152"/>
      <c r="B2308" s="200"/>
      <c r="C2308" s="1423"/>
      <c r="D2308" s="1423"/>
      <c r="E2308" s="1423"/>
      <c r="F2308" s="1423"/>
      <c r="G2308" s="1423"/>
      <c r="H2308" s="1423"/>
      <c r="I2308" s="1423"/>
      <c r="J2308" s="1423"/>
      <c r="K2308" s="1423"/>
      <c r="L2308" s="1423"/>
      <c r="M2308" s="1423"/>
      <c r="N2308" s="1423"/>
      <c r="O2308" s="1423"/>
      <c r="P2308" s="1423"/>
      <c r="Q2308" s="1423"/>
      <c r="R2308" s="1423"/>
      <c r="S2308" s="1423"/>
      <c r="T2308" s="1423"/>
      <c r="U2308" s="1423"/>
      <c r="V2308" s="1423"/>
      <c r="W2308" s="1423"/>
      <c r="X2308" s="152"/>
      <c r="Y2308" s="152"/>
      <c r="Z2308" s="152"/>
      <c r="AA2308" s="152"/>
      <c r="AB2308" s="152"/>
    </row>
    <row r="2309" spans="1:28" hidden="1" outlineLevel="1">
      <c r="A2309" s="152"/>
      <c r="B2309" s="200"/>
      <c r="C2309" s="1423"/>
      <c r="D2309" s="1423"/>
      <c r="E2309" s="1423"/>
      <c r="F2309" s="1423"/>
      <c r="G2309" s="1423"/>
      <c r="H2309" s="1423"/>
      <c r="I2309" s="1423"/>
      <c r="J2309" s="1423"/>
      <c r="K2309" s="1423"/>
      <c r="L2309" s="1423"/>
      <c r="M2309" s="1423"/>
      <c r="N2309" s="1423"/>
      <c r="O2309" s="1423"/>
      <c r="P2309" s="1423"/>
      <c r="Q2309" s="1423"/>
      <c r="R2309" s="1423"/>
      <c r="S2309" s="1423"/>
      <c r="T2309" s="1423"/>
      <c r="U2309" s="1423"/>
      <c r="V2309" s="1423"/>
      <c r="W2309" s="1423"/>
      <c r="X2309" s="152"/>
      <c r="Y2309" s="152"/>
      <c r="Z2309" s="152"/>
      <c r="AA2309" s="152"/>
      <c r="AB2309" s="152"/>
    </row>
    <row r="2310" spans="1:28" hidden="1" outlineLevel="1">
      <c r="A2310" s="152"/>
      <c r="B2310" s="190" t="s">
        <v>190</v>
      </c>
      <c r="C2310" s="1423"/>
      <c r="D2310" s="1423">
        <f ca="1">IF(AND(C2310&lt;1,D2284=0),0,
IF(D2284=0,C2310-1,
IF(C2310&lt;1,D2285,
(((C2310-1)*(C2286-(C2286/(C2310))))+((D2284/D$10)*D2285))/(D2286))))</f>
        <v>0</v>
      </c>
      <c r="E2310" s="1423">
        <f t="shared" ref="E2310" ca="1" si="3407">IF(AND(D2310&lt;1,E2284=0),0,
IF(E2284=0,D2310-1,
IF(D2310&lt;1,E2285,
(((D2310-1)*(D2286-(D2286/(D2310))))+((E2284/E$10)*E2285))/(E2286))))</f>
        <v>0</v>
      </c>
      <c r="F2310" s="1423">
        <f t="shared" ref="F2310" ca="1" si="3408">IF(AND(E2310&lt;1,F2284=0),0,
IF(F2284=0,E2310-1,
IF(E2310&lt;1,F2285,
(((E2310-1)*(E2286-(E2286/(E2310))))+((F2284/F$10)*F2285))/(F2286))))</f>
        <v>0</v>
      </c>
      <c r="G2310" s="1423">
        <f t="shared" ref="G2310" ca="1" si="3409">IF(AND(F2310&lt;1,G2284=0),0,
IF(G2284=0,F2310-1,
IF(F2310&lt;1,G2285,
(((F2310-1)*(F2286-(F2286/(F2310))))+((G2284/G$10)*G2285))/(G2286))))</f>
        <v>0</v>
      </c>
      <c r="H2310" s="1423">
        <f t="shared" ref="H2310" ca="1" si="3410">IF(AND(G2310&lt;1,H2284=0),0,
IF(H2284=0,G2310-1,
IF(G2310&lt;1,H2285,
(((G2310-1)*(G2286-(G2286/(G2310))))+((H2284/H$10)*H2285))/(H2286))))</f>
        <v>0</v>
      </c>
      <c r="I2310" s="1423">
        <f t="shared" ref="I2310" ca="1" si="3411">IF(AND(H2310&lt;1,I2284=0),0,
IF(I2284=0,H2310-1,
IF(H2310&lt;1,I2285,
(((H2310-1)*(H2286-(H2286/(H2310))))+((I2284/I$10)*I2285))/(I2286))))</f>
        <v>0</v>
      </c>
      <c r="J2310" s="1423">
        <f t="shared" ref="J2310" ca="1" si="3412">IF(AND(I2310&lt;1,J2284=0),0,
IF(J2284=0,I2310-1,
IF(I2310&lt;1,J2285,
(((I2310-1)*(I2286-(I2286/(I2310))))+((J2284/J$10)*J2285))/(J2286))))</f>
        <v>0</v>
      </c>
      <c r="K2310" s="1423">
        <f t="shared" ref="K2310" ca="1" si="3413">IF(AND(J2310&lt;1,K2284=0),0,
IF(K2284=0,J2310-1,
IF(J2310&lt;1,K2285,
(((J2310-1)*(J2286-(J2286/(J2310))))+((K2284/K$10)*K2285))/(K2286))))</f>
        <v>0</v>
      </c>
      <c r="L2310" s="1423">
        <f t="shared" ref="L2310" ca="1" si="3414">IF(AND(K2310&lt;1,L2284=0),0,
IF(L2284=0,K2310-1,
IF(K2310&lt;1,L2285,
(((K2310-1)*(K2286-(K2286/(K2310))))+((L2284/L$10)*L2285))/(L2286))))</f>
        <v>0</v>
      </c>
      <c r="M2310" s="1423">
        <f t="shared" ref="M2310" ca="1" si="3415">IF(AND(L2310&lt;1,M2284=0),0,
IF(M2284=0,L2310-1,
IF(L2310&lt;1,M2285,
(((L2310-1)*(L2286-(L2286/(L2310))))+((M2284/M$10)*M2285))/(M2286))))</f>
        <v>0</v>
      </c>
      <c r="N2310" s="1423">
        <f t="shared" ref="N2310" ca="1" si="3416">IF(AND(M2310&lt;1,N2284=0),0,
IF(N2284=0,M2310-1,
IF(M2310&lt;1,N2285,
(((M2310-1)*(M2286-(M2286/(M2310))))+((N2284/N$10)*N2285))/(N2286))))</f>
        <v>0</v>
      </c>
      <c r="O2310" s="1423">
        <f t="shared" ref="O2310" ca="1" si="3417">IF(AND(N2310&lt;1,O2284=0),0,
IF(O2284=0,N2310-1,
IF(N2310&lt;1,O2285,
(((N2310-1)*(N2286-(N2286/(N2310))))+((O2284/O$10)*O2285))/(O2286))))</f>
        <v>0</v>
      </c>
      <c r="P2310" s="1423">
        <f t="shared" ref="P2310" ca="1" si="3418">IF(AND(O2310&lt;1,P2284=0),0,
IF(P2284=0,O2310-1,
IF(O2310&lt;1,P2285,
(((O2310-1)*(O2286-(O2286/(O2310))))+((P2284/P$10)*P2285))/(P2286))))</f>
        <v>0</v>
      </c>
      <c r="Q2310" s="1423">
        <f t="shared" ref="Q2310" ca="1" si="3419">IF(AND(P2310&lt;1,Q2284=0),0,
IF(Q2284=0,P2310-1,
IF(P2310&lt;1,Q2285,
(((P2310-1)*(P2286-(P2286/(P2310))))+((Q2284/Q$10)*Q2285))/(Q2286))))</f>
        <v>0</v>
      </c>
      <c r="R2310" s="1423">
        <f t="shared" ref="R2310" ca="1" si="3420">IF(AND(Q2310&lt;1,R2284=0),0,
IF(R2284=0,Q2310-1,
IF(Q2310&lt;1,R2285,
(((Q2310-1)*(Q2286-(Q2286/(Q2310))))+((R2284/R$10)*R2285))/(R2286))))</f>
        <v>0</v>
      </c>
      <c r="S2310" s="1423">
        <f t="shared" ref="S2310" ca="1" si="3421">IF(AND(R2310&lt;1,S2284=0),0,
IF(S2284=0,R2310-1,
IF(R2310&lt;1,S2285,
(((R2310-1)*(R2286-(R2286/(R2310))))+((S2284/S$10)*S2285))/(S2286))))</f>
        <v>0</v>
      </c>
      <c r="T2310" s="1423">
        <f t="shared" ref="T2310" ca="1" si="3422">IF(AND(S2310&lt;1,T2284=0),0,
IF(T2284=0,S2310-1,
IF(S2310&lt;1,T2285,
(((S2310-1)*(S2286-(S2286/(S2310))))+((T2284/T$10)*T2285))/(T2286))))</f>
        <v>0</v>
      </c>
      <c r="U2310" s="1423">
        <f t="shared" ref="U2310" ca="1" si="3423">IF(AND(T2310&lt;1,U2284=0),0,
IF(U2284=0,T2310-1,
IF(T2310&lt;1,U2285,
(((T2310-1)*(T2286-(T2286/(T2310))))+((U2284/U$10)*U2285))/(U2286))))</f>
        <v>0</v>
      </c>
      <c r="V2310" s="1423">
        <f t="shared" ref="V2310" ca="1" si="3424">IF(AND(U2310&lt;1,V2284=0),0,
IF(V2284=0,U2310-1,
IF(U2310&lt;1,V2285,
(((U2310-1)*(U2286-(U2286/(U2310))))+((V2284/V$10)*V2285))/(V2286))))</f>
        <v>0</v>
      </c>
      <c r="W2310" s="1423">
        <f t="shared" ref="W2310" ca="1" si="3425">IF(AND(V2310&lt;1,W2284=0),0,
IF(W2284=0,V2310-1,
IF(V2310&lt;1,W2285,
(((V2310-1)*(V2286-(V2286/(V2310))))+((W2284/W$10)*W2285))/(W2286))))</f>
        <v>0</v>
      </c>
      <c r="X2310" s="152"/>
      <c r="Y2310" s="152"/>
      <c r="Z2310" s="152"/>
      <c r="AA2310" s="152"/>
      <c r="AB2310" s="152"/>
    </row>
    <row r="2311" spans="1:28" hidden="1" outlineLevel="1">
      <c r="A2311" s="152"/>
      <c r="B2311" s="190" t="s">
        <v>122</v>
      </c>
      <c r="C2311" s="1423">
        <f ca="1">C2283</f>
        <v>0</v>
      </c>
      <c r="D2311" s="1423">
        <f t="shared" ref="D2311" ca="1" si="3426">IF(C2311="n/a","n/a",MAX(0,C2311-1))</f>
        <v>0</v>
      </c>
      <c r="E2311" s="1423">
        <f t="shared" ref="E2311:E2312" ca="1" si="3427">IF(D2311="n/a","n/a",MAX(0,D2311-1))</f>
        <v>0</v>
      </c>
      <c r="F2311" s="1423">
        <f t="shared" ref="F2311:F2313" ca="1" si="3428">IF(E2311="n/a","n/a",MAX(0,E2311-1))</f>
        <v>0</v>
      </c>
      <c r="G2311" s="1423">
        <f t="shared" ref="G2311:G2314" ca="1" si="3429">IF(F2311="n/a","n/a",MAX(0,F2311-1))</f>
        <v>0</v>
      </c>
      <c r="H2311" s="1423">
        <f t="shared" ref="H2311:H2315" ca="1" si="3430">IF(G2311="n/a","n/a",MAX(0,G2311-1))</f>
        <v>0</v>
      </c>
      <c r="I2311" s="1423">
        <f t="shared" ref="I2311:I2316" ca="1" si="3431">IF(H2311="n/a","n/a",MAX(0,H2311-1))</f>
        <v>0</v>
      </c>
      <c r="J2311" s="1423">
        <f t="shared" ref="J2311:J2317" ca="1" si="3432">IF(I2311="n/a","n/a",MAX(0,I2311-1))</f>
        <v>0</v>
      </c>
      <c r="K2311" s="1423">
        <f t="shared" ref="K2311:K2318" ca="1" si="3433">IF(J2311="n/a","n/a",MAX(0,J2311-1))</f>
        <v>0</v>
      </c>
      <c r="L2311" s="1423">
        <f t="shared" ref="L2311:L2319" ca="1" si="3434">IF(K2311="n/a","n/a",MAX(0,K2311-1))</f>
        <v>0</v>
      </c>
      <c r="M2311" s="1423">
        <f t="shared" ref="M2311:M2320" ca="1" si="3435">IF(L2311="n/a","n/a",MAX(0,L2311-1))</f>
        <v>0</v>
      </c>
      <c r="N2311" s="1423">
        <f t="shared" ref="N2311:N2321" ca="1" si="3436">IF(M2311="n/a","n/a",MAX(0,M2311-1))</f>
        <v>0</v>
      </c>
      <c r="O2311" s="1423">
        <f t="shared" ref="O2311:O2322" ca="1" si="3437">IF(N2311="n/a","n/a",MAX(0,N2311-1))</f>
        <v>0</v>
      </c>
      <c r="P2311" s="1423">
        <f t="shared" ref="P2311:P2323" ca="1" si="3438">IF(O2311="n/a","n/a",MAX(0,O2311-1))</f>
        <v>0</v>
      </c>
      <c r="Q2311" s="1423">
        <f t="shared" ref="Q2311:Q2324" ca="1" si="3439">IF(P2311="n/a","n/a",MAX(0,P2311-1))</f>
        <v>0</v>
      </c>
      <c r="R2311" s="1423">
        <f t="shared" ref="R2311:R2325" ca="1" si="3440">IF(Q2311="n/a","n/a",MAX(0,Q2311-1))</f>
        <v>0</v>
      </c>
      <c r="S2311" s="1423">
        <f t="shared" ref="S2311:S2326" ca="1" si="3441">IF(R2311="n/a","n/a",MAX(0,R2311-1))</f>
        <v>0</v>
      </c>
      <c r="T2311" s="1423">
        <f t="shared" ref="T2311:T2327" ca="1" si="3442">IF(S2311="n/a","n/a",MAX(0,S2311-1))</f>
        <v>0</v>
      </c>
      <c r="U2311" s="1423">
        <f t="shared" ref="U2311:U2328" ca="1" si="3443">IF(T2311="n/a","n/a",MAX(0,T2311-1))</f>
        <v>0</v>
      </c>
      <c r="V2311" s="1423">
        <f t="shared" ref="V2311:V2329" ca="1" si="3444">IF(U2311="n/a","n/a",MAX(0,U2311-1))</f>
        <v>0</v>
      </c>
      <c r="W2311" s="1423">
        <f t="shared" ref="W2311:W2329" ca="1" si="3445">IF(V2311="n/a","n/a",MAX(0,V2311-1))</f>
        <v>0</v>
      </c>
      <c r="X2311" s="152"/>
      <c r="Y2311" s="152"/>
      <c r="Z2311" s="152"/>
      <c r="AA2311" s="152"/>
      <c r="AB2311" s="152"/>
    </row>
    <row r="2312" spans="1:28" hidden="1" outlineLevel="1">
      <c r="A2312" s="152"/>
      <c r="B2312" s="190" t="str">
        <f t="shared" ref="B2312:B2331" ca="1" si="3446">"RL Capex "&amp;OFFSET($C$6,0,A2288)</f>
        <v>RL Capex 2016-17</v>
      </c>
      <c r="C2312" s="1424"/>
      <c r="D2312" s="1428">
        <f>D2283</f>
        <v>0</v>
      </c>
      <c r="E2312" s="1423">
        <f t="shared" si="3427"/>
        <v>0</v>
      </c>
      <c r="F2312" s="1423">
        <f t="shared" si="3428"/>
        <v>0</v>
      </c>
      <c r="G2312" s="1423">
        <f t="shared" si="3429"/>
        <v>0</v>
      </c>
      <c r="H2312" s="1423">
        <f t="shared" si="3430"/>
        <v>0</v>
      </c>
      <c r="I2312" s="1423">
        <f t="shared" si="3431"/>
        <v>0</v>
      </c>
      <c r="J2312" s="1423">
        <f t="shared" si="3432"/>
        <v>0</v>
      </c>
      <c r="K2312" s="1423">
        <f t="shared" si="3433"/>
        <v>0</v>
      </c>
      <c r="L2312" s="1423">
        <f t="shared" si="3434"/>
        <v>0</v>
      </c>
      <c r="M2312" s="1423">
        <f t="shared" si="3435"/>
        <v>0</v>
      </c>
      <c r="N2312" s="1423">
        <f t="shared" si="3436"/>
        <v>0</v>
      </c>
      <c r="O2312" s="1423">
        <f t="shared" si="3437"/>
        <v>0</v>
      </c>
      <c r="P2312" s="1423">
        <f t="shared" si="3438"/>
        <v>0</v>
      </c>
      <c r="Q2312" s="1423">
        <f t="shared" si="3439"/>
        <v>0</v>
      </c>
      <c r="R2312" s="1423">
        <f t="shared" si="3440"/>
        <v>0</v>
      </c>
      <c r="S2312" s="1423">
        <f t="shared" si="3441"/>
        <v>0</v>
      </c>
      <c r="T2312" s="1423">
        <f t="shared" si="3442"/>
        <v>0</v>
      </c>
      <c r="U2312" s="1423">
        <f t="shared" si="3443"/>
        <v>0</v>
      </c>
      <c r="V2312" s="1423">
        <f t="shared" si="3444"/>
        <v>0</v>
      </c>
      <c r="W2312" s="1423">
        <f t="shared" si="3445"/>
        <v>0</v>
      </c>
      <c r="X2312" s="152"/>
      <c r="Y2312" s="152"/>
      <c r="Z2312" s="152"/>
      <c r="AA2312" s="152"/>
      <c r="AB2312" s="152"/>
    </row>
    <row r="2313" spans="1:28" hidden="1" outlineLevel="1">
      <c r="A2313" s="152"/>
      <c r="B2313" s="190" t="str">
        <f t="shared" ca="1" si="3446"/>
        <v>RL Capex 2017-18</v>
      </c>
      <c r="C2313" s="1429"/>
      <c r="D2313" s="1424"/>
      <c r="E2313" s="1428">
        <f>E2283</f>
        <v>0</v>
      </c>
      <c r="F2313" s="1423">
        <f t="shared" si="3428"/>
        <v>0</v>
      </c>
      <c r="G2313" s="1423">
        <f t="shared" si="3429"/>
        <v>0</v>
      </c>
      <c r="H2313" s="1423">
        <f t="shared" si="3430"/>
        <v>0</v>
      </c>
      <c r="I2313" s="1423">
        <f t="shared" si="3431"/>
        <v>0</v>
      </c>
      <c r="J2313" s="1423">
        <f t="shared" si="3432"/>
        <v>0</v>
      </c>
      <c r="K2313" s="1423">
        <f t="shared" si="3433"/>
        <v>0</v>
      </c>
      <c r="L2313" s="1423">
        <f t="shared" si="3434"/>
        <v>0</v>
      </c>
      <c r="M2313" s="1423">
        <f t="shared" si="3435"/>
        <v>0</v>
      </c>
      <c r="N2313" s="1423">
        <f t="shared" si="3436"/>
        <v>0</v>
      </c>
      <c r="O2313" s="1423">
        <f t="shared" si="3437"/>
        <v>0</v>
      </c>
      <c r="P2313" s="1423">
        <f t="shared" si="3438"/>
        <v>0</v>
      </c>
      <c r="Q2313" s="1423">
        <f t="shared" si="3439"/>
        <v>0</v>
      </c>
      <c r="R2313" s="1423">
        <f t="shared" si="3440"/>
        <v>0</v>
      </c>
      <c r="S2313" s="1423">
        <f t="shared" si="3441"/>
        <v>0</v>
      </c>
      <c r="T2313" s="1423">
        <f t="shared" si="3442"/>
        <v>0</v>
      </c>
      <c r="U2313" s="1423">
        <f t="shared" si="3443"/>
        <v>0</v>
      </c>
      <c r="V2313" s="1423">
        <f t="shared" si="3444"/>
        <v>0</v>
      </c>
      <c r="W2313" s="1423">
        <f t="shared" si="3445"/>
        <v>0</v>
      </c>
      <c r="X2313" s="152"/>
      <c r="Y2313" s="152"/>
      <c r="Z2313" s="152"/>
      <c r="AA2313" s="152"/>
      <c r="AB2313" s="152"/>
    </row>
    <row r="2314" spans="1:28" hidden="1" outlineLevel="1">
      <c r="A2314" s="152"/>
      <c r="B2314" s="190" t="str">
        <f t="shared" ca="1" si="3446"/>
        <v>RL Capex 2018-19</v>
      </c>
      <c r="C2314" s="1429"/>
      <c r="D2314" s="1429"/>
      <c r="E2314" s="1424"/>
      <c r="F2314" s="1428">
        <f>F2283</f>
        <v>0</v>
      </c>
      <c r="G2314" s="1423">
        <f t="shared" si="3429"/>
        <v>0</v>
      </c>
      <c r="H2314" s="1423">
        <f t="shared" si="3430"/>
        <v>0</v>
      </c>
      <c r="I2314" s="1423">
        <f t="shared" si="3431"/>
        <v>0</v>
      </c>
      <c r="J2314" s="1423">
        <f t="shared" si="3432"/>
        <v>0</v>
      </c>
      <c r="K2314" s="1423">
        <f t="shared" si="3433"/>
        <v>0</v>
      </c>
      <c r="L2314" s="1423">
        <f t="shared" si="3434"/>
        <v>0</v>
      </c>
      <c r="M2314" s="1423">
        <f t="shared" si="3435"/>
        <v>0</v>
      </c>
      <c r="N2314" s="1423">
        <f t="shared" si="3436"/>
        <v>0</v>
      </c>
      <c r="O2314" s="1423">
        <f t="shared" si="3437"/>
        <v>0</v>
      </c>
      <c r="P2314" s="1423">
        <f t="shared" si="3438"/>
        <v>0</v>
      </c>
      <c r="Q2314" s="1423">
        <f t="shared" si="3439"/>
        <v>0</v>
      </c>
      <c r="R2314" s="1423">
        <f t="shared" si="3440"/>
        <v>0</v>
      </c>
      <c r="S2314" s="1423">
        <f t="shared" si="3441"/>
        <v>0</v>
      </c>
      <c r="T2314" s="1423">
        <f t="shared" si="3442"/>
        <v>0</v>
      </c>
      <c r="U2314" s="1423">
        <f t="shared" si="3443"/>
        <v>0</v>
      </c>
      <c r="V2314" s="1423">
        <f t="shared" si="3444"/>
        <v>0</v>
      </c>
      <c r="W2314" s="1423">
        <f t="shared" si="3445"/>
        <v>0</v>
      </c>
      <c r="X2314" s="152"/>
      <c r="Y2314" s="152"/>
      <c r="Z2314" s="152"/>
      <c r="AA2314" s="152"/>
      <c r="AB2314" s="152"/>
    </row>
    <row r="2315" spans="1:28" hidden="1" outlineLevel="1">
      <c r="A2315" s="152"/>
      <c r="B2315" s="190" t="str">
        <f t="shared" ca="1" si="3446"/>
        <v>RL Capex 2019-20</v>
      </c>
      <c r="C2315" s="1429"/>
      <c r="D2315" s="1429"/>
      <c r="E2315" s="1429"/>
      <c r="F2315" s="1424"/>
      <c r="G2315" s="1428">
        <f>G2283</f>
        <v>0</v>
      </c>
      <c r="H2315" s="1423">
        <f t="shared" si="3430"/>
        <v>0</v>
      </c>
      <c r="I2315" s="1423">
        <f t="shared" si="3431"/>
        <v>0</v>
      </c>
      <c r="J2315" s="1423">
        <f t="shared" si="3432"/>
        <v>0</v>
      </c>
      <c r="K2315" s="1423">
        <f t="shared" si="3433"/>
        <v>0</v>
      </c>
      <c r="L2315" s="1423">
        <f t="shared" si="3434"/>
        <v>0</v>
      </c>
      <c r="M2315" s="1423">
        <f t="shared" si="3435"/>
        <v>0</v>
      </c>
      <c r="N2315" s="1423">
        <f t="shared" si="3436"/>
        <v>0</v>
      </c>
      <c r="O2315" s="1423">
        <f t="shared" si="3437"/>
        <v>0</v>
      </c>
      <c r="P2315" s="1423">
        <f t="shared" si="3438"/>
        <v>0</v>
      </c>
      <c r="Q2315" s="1423">
        <f t="shared" si="3439"/>
        <v>0</v>
      </c>
      <c r="R2315" s="1423">
        <f t="shared" si="3440"/>
        <v>0</v>
      </c>
      <c r="S2315" s="1423">
        <f t="shared" si="3441"/>
        <v>0</v>
      </c>
      <c r="T2315" s="1423">
        <f t="shared" si="3442"/>
        <v>0</v>
      </c>
      <c r="U2315" s="1423">
        <f t="shared" si="3443"/>
        <v>0</v>
      </c>
      <c r="V2315" s="1423">
        <f t="shared" si="3444"/>
        <v>0</v>
      </c>
      <c r="W2315" s="1423">
        <f t="shared" si="3445"/>
        <v>0</v>
      </c>
      <c r="X2315" s="152"/>
      <c r="Y2315" s="152"/>
      <c r="Z2315" s="152"/>
      <c r="AA2315" s="152"/>
      <c r="AB2315" s="152"/>
    </row>
    <row r="2316" spans="1:28" hidden="1" outlineLevel="1">
      <c r="A2316" s="152"/>
      <c r="B2316" s="190" t="str">
        <f t="shared" ca="1" si="3446"/>
        <v>RL Capex 2020-21</v>
      </c>
      <c r="C2316" s="1429"/>
      <c r="D2316" s="1429"/>
      <c r="E2316" s="1429"/>
      <c r="F2316" s="1429"/>
      <c r="G2316" s="1424"/>
      <c r="H2316" s="1428">
        <f>H2283</f>
        <v>0</v>
      </c>
      <c r="I2316" s="1423">
        <f t="shared" si="3431"/>
        <v>0</v>
      </c>
      <c r="J2316" s="1423">
        <f t="shared" si="3432"/>
        <v>0</v>
      </c>
      <c r="K2316" s="1423">
        <f t="shared" si="3433"/>
        <v>0</v>
      </c>
      <c r="L2316" s="1423">
        <f t="shared" si="3434"/>
        <v>0</v>
      </c>
      <c r="M2316" s="1423">
        <f t="shared" si="3435"/>
        <v>0</v>
      </c>
      <c r="N2316" s="1423">
        <f t="shared" si="3436"/>
        <v>0</v>
      </c>
      <c r="O2316" s="1423">
        <f t="shared" si="3437"/>
        <v>0</v>
      </c>
      <c r="P2316" s="1423">
        <f t="shared" si="3438"/>
        <v>0</v>
      </c>
      <c r="Q2316" s="1423">
        <f t="shared" si="3439"/>
        <v>0</v>
      </c>
      <c r="R2316" s="1423">
        <f t="shared" si="3440"/>
        <v>0</v>
      </c>
      <c r="S2316" s="1423">
        <f t="shared" si="3441"/>
        <v>0</v>
      </c>
      <c r="T2316" s="1423">
        <f t="shared" si="3442"/>
        <v>0</v>
      </c>
      <c r="U2316" s="1423">
        <f t="shared" si="3443"/>
        <v>0</v>
      </c>
      <c r="V2316" s="1423">
        <f t="shared" si="3444"/>
        <v>0</v>
      </c>
      <c r="W2316" s="1423">
        <f t="shared" si="3445"/>
        <v>0</v>
      </c>
      <c r="X2316" s="152"/>
      <c r="Y2316" s="152"/>
      <c r="Z2316" s="152"/>
      <c r="AA2316" s="152"/>
      <c r="AB2316" s="152"/>
    </row>
    <row r="2317" spans="1:28" hidden="1" outlineLevel="1">
      <c r="A2317" s="152"/>
      <c r="B2317" s="190" t="str">
        <f t="shared" ca="1" si="3446"/>
        <v>RL Capex 2021-22</v>
      </c>
      <c r="C2317" s="1429"/>
      <c r="D2317" s="1429"/>
      <c r="E2317" s="1429"/>
      <c r="F2317" s="1429"/>
      <c r="G2317" s="1429"/>
      <c r="H2317" s="1424"/>
      <c r="I2317" s="1428">
        <f>I2283</f>
        <v>0</v>
      </c>
      <c r="J2317" s="1423">
        <f t="shared" si="3432"/>
        <v>0</v>
      </c>
      <c r="K2317" s="1423">
        <f t="shared" si="3433"/>
        <v>0</v>
      </c>
      <c r="L2317" s="1423">
        <f t="shared" si="3434"/>
        <v>0</v>
      </c>
      <c r="M2317" s="1423">
        <f t="shared" si="3435"/>
        <v>0</v>
      </c>
      <c r="N2317" s="1423">
        <f t="shared" si="3436"/>
        <v>0</v>
      </c>
      <c r="O2317" s="1423">
        <f t="shared" si="3437"/>
        <v>0</v>
      </c>
      <c r="P2317" s="1423">
        <f t="shared" si="3438"/>
        <v>0</v>
      </c>
      <c r="Q2317" s="1423">
        <f t="shared" si="3439"/>
        <v>0</v>
      </c>
      <c r="R2317" s="1423">
        <f t="shared" si="3440"/>
        <v>0</v>
      </c>
      <c r="S2317" s="1423">
        <f t="shared" si="3441"/>
        <v>0</v>
      </c>
      <c r="T2317" s="1423">
        <f t="shared" si="3442"/>
        <v>0</v>
      </c>
      <c r="U2317" s="1423">
        <f t="shared" si="3443"/>
        <v>0</v>
      </c>
      <c r="V2317" s="1423">
        <f t="shared" si="3444"/>
        <v>0</v>
      </c>
      <c r="W2317" s="1423">
        <f t="shared" si="3445"/>
        <v>0</v>
      </c>
      <c r="X2317" s="152"/>
      <c r="Y2317" s="152"/>
      <c r="Z2317" s="152"/>
      <c r="AA2317" s="152"/>
      <c r="AB2317" s="152"/>
    </row>
    <row r="2318" spans="1:28" hidden="1" outlineLevel="1">
      <c r="A2318" s="152"/>
      <c r="B2318" s="190" t="str">
        <f t="shared" ca="1" si="3446"/>
        <v>RL Capex 2022-23</v>
      </c>
      <c r="C2318" s="1429"/>
      <c r="D2318" s="1429"/>
      <c r="E2318" s="1429"/>
      <c r="F2318" s="1429"/>
      <c r="G2318" s="1429"/>
      <c r="H2318" s="1429"/>
      <c r="I2318" s="1424"/>
      <c r="J2318" s="1428">
        <f>J2283</f>
        <v>0</v>
      </c>
      <c r="K2318" s="1423">
        <f t="shared" si="3433"/>
        <v>0</v>
      </c>
      <c r="L2318" s="1423">
        <f t="shared" si="3434"/>
        <v>0</v>
      </c>
      <c r="M2318" s="1423">
        <f t="shared" si="3435"/>
        <v>0</v>
      </c>
      <c r="N2318" s="1423">
        <f t="shared" si="3436"/>
        <v>0</v>
      </c>
      <c r="O2318" s="1423">
        <f t="shared" si="3437"/>
        <v>0</v>
      </c>
      <c r="P2318" s="1423">
        <f t="shared" si="3438"/>
        <v>0</v>
      </c>
      <c r="Q2318" s="1423">
        <f t="shared" si="3439"/>
        <v>0</v>
      </c>
      <c r="R2318" s="1423">
        <f t="shared" si="3440"/>
        <v>0</v>
      </c>
      <c r="S2318" s="1423">
        <f t="shared" si="3441"/>
        <v>0</v>
      </c>
      <c r="T2318" s="1423">
        <f t="shared" si="3442"/>
        <v>0</v>
      </c>
      <c r="U2318" s="1423">
        <f t="shared" si="3443"/>
        <v>0</v>
      </c>
      <c r="V2318" s="1423">
        <f t="shared" si="3444"/>
        <v>0</v>
      </c>
      <c r="W2318" s="1423">
        <f t="shared" si="3445"/>
        <v>0</v>
      </c>
      <c r="X2318" s="152"/>
      <c r="Y2318" s="152"/>
      <c r="Z2318" s="152"/>
      <c r="AA2318" s="152"/>
      <c r="AB2318" s="152"/>
    </row>
    <row r="2319" spans="1:28" hidden="1" outlineLevel="1">
      <c r="A2319" s="152"/>
      <c r="B2319" s="190" t="str">
        <f t="shared" ca="1" si="3446"/>
        <v>RL Capex 2023-24</v>
      </c>
      <c r="C2319" s="1429"/>
      <c r="D2319" s="1429"/>
      <c r="E2319" s="1429"/>
      <c r="F2319" s="1429"/>
      <c r="G2319" s="1429"/>
      <c r="H2319" s="1429"/>
      <c r="I2319" s="1429"/>
      <c r="J2319" s="1424"/>
      <c r="K2319" s="1428">
        <f>K2283</f>
        <v>0</v>
      </c>
      <c r="L2319" s="1423">
        <f t="shared" si="3434"/>
        <v>0</v>
      </c>
      <c r="M2319" s="1423">
        <f t="shared" si="3435"/>
        <v>0</v>
      </c>
      <c r="N2319" s="1423">
        <f t="shared" si="3436"/>
        <v>0</v>
      </c>
      <c r="O2319" s="1423">
        <f t="shared" si="3437"/>
        <v>0</v>
      </c>
      <c r="P2319" s="1423">
        <f t="shared" si="3438"/>
        <v>0</v>
      </c>
      <c r="Q2319" s="1423">
        <f t="shared" si="3439"/>
        <v>0</v>
      </c>
      <c r="R2319" s="1423">
        <f t="shared" si="3440"/>
        <v>0</v>
      </c>
      <c r="S2319" s="1423">
        <f t="shared" si="3441"/>
        <v>0</v>
      </c>
      <c r="T2319" s="1423">
        <f t="shared" si="3442"/>
        <v>0</v>
      </c>
      <c r="U2319" s="1423">
        <f t="shared" si="3443"/>
        <v>0</v>
      </c>
      <c r="V2319" s="1423">
        <f t="shared" si="3444"/>
        <v>0</v>
      </c>
      <c r="W2319" s="1423">
        <f t="shared" si="3445"/>
        <v>0</v>
      </c>
      <c r="X2319" s="152"/>
      <c r="Y2319" s="152"/>
      <c r="Z2319" s="152"/>
      <c r="AA2319" s="152"/>
      <c r="AB2319" s="152"/>
    </row>
    <row r="2320" spans="1:28" hidden="1" outlineLevel="1">
      <c r="A2320" s="152"/>
      <c r="B2320" s="190" t="str">
        <f t="shared" ca="1" si="3446"/>
        <v>RL Capex 2024-25</v>
      </c>
      <c r="C2320" s="1429"/>
      <c r="D2320" s="1429"/>
      <c r="E2320" s="1429"/>
      <c r="F2320" s="1429"/>
      <c r="G2320" s="1429"/>
      <c r="H2320" s="1429"/>
      <c r="I2320" s="1429"/>
      <c r="J2320" s="1429"/>
      <c r="K2320" s="1424"/>
      <c r="L2320" s="1428">
        <f>L2283</f>
        <v>0</v>
      </c>
      <c r="M2320" s="1423">
        <f t="shared" si="3435"/>
        <v>0</v>
      </c>
      <c r="N2320" s="1423">
        <f t="shared" si="3436"/>
        <v>0</v>
      </c>
      <c r="O2320" s="1423">
        <f t="shared" si="3437"/>
        <v>0</v>
      </c>
      <c r="P2320" s="1423">
        <f t="shared" si="3438"/>
        <v>0</v>
      </c>
      <c r="Q2320" s="1423">
        <f t="shared" si="3439"/>
        <v>0</v>
      </c>
      <c r="R2320" s="1423">
        <f t="shared" si="3440"/>
        <v>0</v>
      </c>
      <c r="S2320" s="1423">
        <f t="shared" si="3441"/>
        <v>0</v>
      </c>
      <c r="T2320" s="1423">
        <f t="shared" si="3442"/>
        <v>0</v>
      </c>
      <c r="U2320" s="1423">
        <f t="shared" si="3443"/>
        <v>0</v>
      </c>
      <c r="V2320" s="1423">
        <f t="shared" si="3444"/>
        <v>0</v>
      </c>
      <c r="W2320" s="1423">
        <f t="shared" si="3445"/>
        <v>0</v>
      </c>
      <c r="X2320" s="152"/>
      <c r="Y2320" s="152"/>
      <c r="Z2320" s="152"/>
      <c r="AA2320" s="152"/>
      <c r="AB2320" s="152"/>
    </row>
    <row r="2321" spans="1:28" hidden="1" outlineLevel="1">
      <c r="A2321" s="152"/>
      <c r="B2321" s="190" t="str">
        <f t="shared" ca="1" si="3446"/>
        <v>RL Capex 2025-26</v>
      </c>
      <c r="C2321" s="1429"/>
      <c r="D2321" s="1429"/>
      <c r="E2321" s="1429"/>
      <c r="F2321" s="1429"/>
      <c r="G2321" s="1429"/>
      <c r="H2321" s="1429"/>
      <c r="I2321" s="1429"/>
      <c r="J2321" s="1429"/>
      <c r="K2321" s="1429"/>
      <c r="L2321" s="1424"/>
      <c r="M2321" s="1428">
        <f>M2283</f>
        <v>0</v>
      </c>
      <c r="N2321" s="1423">
        <f t="shared" si="3436"/>
        <v>0</v>
      </c>
      <c r="O2321" s="1423">
        <f t="shared" si="3437"/>
        <v>0</v>
      </c>
      <c r="P2321" s="1423">
        <f t="shared" si="3438"/>
        <v>0</v>
      </c>
      <c r="Q2321" s="1423">
        <f t="shared" si="3439"/>
        <v>0</v>
      </c>
      <c r="R2321" s="1423">
        <f t="shared" si="3440"/>
        <v>0</v>
      </c>
      <c r="S2321" s="1423">
        <f t="shared" si="3441"/>
        <v>0</v>
      </c>
      <c r="T2321" s="1423">
        <f t="shared" si="3442"/>
        <v>0</v>
      </c>
      <c r="U2321" s="1423">
        <f t="shared" si="3443"/>
        <v>0</v>
      </c>
      <c r="V2321" s="1423">
        <f t="shared" si="3444"/>
        <v>0</v>
      </c>
      <c r="W2321" s="1423">
        <f t="shared" si="3445"/>
        <v>0</v>
      </c>
      <c r="X2321" s="152"/>
      <c r="Y2321" s="152"/>
      <c r="Z2321" s="152"/>
      <c r="AA2321" s="152"/>
      <c r="AB2321" s="152"/>
    </row>
    <row r="2322" spans="1:28" hidden="1" outlineLevel="1">
      <c r="A2322" s="152"/>
      <c r="B2322" s="190" t="str">
        <f t="shared" ca="1" si="3446"/>
        <v>RL Capex 2026-27</v>
      </c>
      <c r="C2322" s="1429"/>
      <c r="D2322" s="1429"/>
      <c r="E2322" s="1429"/>
      <c r="F2322" s="1429"/>
      <c r="G2322" s="1429"/>
      <c r="H2322" s="1429"/>
      <c r="I2322" s="1429"/>
      <c r="J2322" s="1429"/>
      <c r="K2322" s="1429"/>
      <c r="L2322" s="1429"/>
      <c r="M2322" s="1424"/>
      <c r="N2322" s="1428">
        <f>N2283</f>
        <v>0</v>
      </c>
      <c r="O2322" s="1423">
        <f t="shared" si="3437"/>
        <v>0</v>
      </c>
      <c r="P2322" s="1423">
        <f t="shared" si="3438"/>
        <v>0</v>
      </c>
      <c r="Q2322" s="1423">
        <f t="shared" si="3439"/>
        <v>0</v>
      </c>
      <c r="R2322" s="1423">
        <f t="shared" si="3440"/>
        <v>0</v>
      </c>
      <c r="S2322" s="1423">
        <f t="shared" si="3441"/>
        <v>0</v>
      </c>
      <c r="T2322" s="1423">
        <f t="shared" si="3442"/>
        <v>0</v>
      </c>
      <c r="U2322" s="1423">
        <f t="shared" si="3443"/>
        <v>0</v>
      </c>
      <c r="V2322" s="1423">
        <f t="shared" si="3444"/>
        <v>0</v>
      </c>
      <c r="W2322" s="1423">
        <f t="shared" si="3445"/>
        <v>0</v>
      </c>
      <c r="X2322" s="152"/>
      <c r="Y2322" s="152"/>
      <c r="Z2322" s="152"/>
      <c r="AA2322" s="152"/>
      <c r="AB2322" s="152"/>
    </row>
    <row r="2323" spans="1:28" hidden="1" outlineLevel="1">
      <c r="A2323" s="152"/>
      <c r="B2323" s="190" t="str">
        <f t="shared" ca="1" si="3446"/>
        <v>RL Capex 2027-28</v>
      </c>
      <c r="C2323" s="1429"/>
      <c r="D2323" s="1429"/>
      <c r="E2323" s="1429"/>
      <c r="F2323" s="1429"/>
      <c r="G2323" s="1429"/>
      <c r="H2323" s="1429"/>
      <c r="I2323" s="1429"/>
      <c r="J2323" s="1429"/>
      <c r="K2323" s="1429"/>
      <c r="L2323" s="1429"/>
      <c r="M2323" s="1429"/>
      <c r="N2323" s="1424"/>
      <c r="O2323" s="1428">
        <f>O2283</f>
        <v>0</v>
      </c>
      <c r="P2323" s="1423">
        <f t="shared" si="3438"/>
        <v>0</v>
      </c>
      <c r="Q2323" s="1423">
        <f t="shared" si="3439"/>
        <v>0</v>
      </c>
      <c r="R2323" s="1423">
        <f t="shared" si="3440"/>
        <v>0</v>
      </c>
      <c r="S2323" s="1423">
        <f t="shared" si="3441"/>
        <v>0</v>
      </c>
      <c r="T2323" s="1423">
        <f t="shared" si="3442"/>
        <v>0</v>
      </c>
      <c r="U2323" s="1423">
        <f t="shared" si="3443"/>
        <v>0</v>
      </c>
      <c r="V2323" s="1423">
        <f t="shared" si="3444"/>
        <v>0</v>
      </c>
      <c r="W2323" s="1423">
        <f t="shared" si="3445"/>
        <v>0</v>
      </c>
      <c r="X2323" s="152"/>
      <c r="Y2323" s="152"/>
      <c r="Z2323" s="152"/>
      <c r="AA2323" s="152"/>
      <c r="AB2323" s="152"/>
    </row>
    <row r="2324" spans="1:28" hidden="1" outlineLevel="1">
      <c r="A2324" s="152"/>
      <c r="B2324" s="190" t="str">
        <f t="shared" ca="1" si="3446"/>
        <v>RL Capex 2028-29</v>
      </c>
      <c r="C2324" s="1429"/>
      <c r="D2324" s="1429"/>
      <c r="E2324" s="1429"/>
      <c r="F2324" s="1429"/>
      <c r="G2324" s="1429"/>
      <c r="H2324" s="1429"/>
      <c r="I2324" s="1429"/>
      <c r="J2324" s="1429"/>
      <c r="K2324" s="1429"/>
      <c r="L2324" s="1429"/>
      <c r="M2324" s="1429"/>
      <c r="N2324" s="1429"/>
      <c r="O2324" s="1424"/>
      <c r="P2324" s="1428">
        <f>P2283</f>
        <v>0</v>
      </c>
      <c r="Q2324" s="1423">
        <f t="shared" si="3439"/>
        <v>0</v>
      </c>
      <c r="R2324" s="1423">
        <f t="shared" si="3440"/>
        <v>0</v>
      </c>
      <c r="S2324" s="1423">
        <f t="shared" si="3441"/>
        <v>0</v>
      </c>
      <c r="T2324" s="1423">
        <f t="shared" si="3442"/>
        <v>0</v>
      </c>
      <c r="U2324" s="1423">
        <f t="shared" si="3443"/>
        <v>0</v>
      </c>
      <c r="V2324" s="1423">
        <f t="shared" si="3444"/>
        <v>0</v>
      </c>
      <c r="W2324" s="1423">
        <f t="shared" si="3445"/>
        <v>0</v>
      </c>
      <c r="X2324" s="152"/>
      <c r="Y2324" s="152"/>
      <c r="Z2324" s="152"/>
      <c r="AA2324" s="152"/>
      <c r="AB2324" s="152"/>
    </row>
    <row r="2325" spans="1:28" hidden="1" outlineLevel="1">
      <c r="A2325" s="152"/>
      <c r="B2325" s="190" t="str">
        <f t="shared" ca="1" si="3446"/>
        <v>RL Capex 2029-30</v>
      </c>
      <c r="C2325" s="1429"/>
      <c r="D2325" s="1429"/>
      <c r="E2325" s="1429"/>
      <c r="F2325" s="1429"/>
      <c r="G2325" s="1429"/>
      <c r="H2325" s="1429"/>
      <c r="I2325" s="1429"/>
      <c r="J2325" s="1429"/>
      <c r="K2325" s="1429"/>
      <c r="L2325" s="1429"/>
      <c r="M2325" s="1429"/>
      <c r="N2325" s="1429"/>
      <c r="O2325" s="1429"/>
      <c r="P2325" s="1424"/>
      <c r="Q2325" s="1428">
        <f>Q2283</f>
        <v>0</v>
      </c>
      <c r="R2325" s="1423">
        <f t="shared" si="3440"/>
        <v>0</v>
      </c>
      <c r="S2325" s="1423">
        <f t="shared" si="3441"/>
        <v>0</v>
      </c>
      <c r="T2325" s="1423">
        <f t="shared" si="3442"/>
        <v>0</v>
      </c>
      <c r="U2325" s="1423">
        <f t="shared" si="3443"/>
        <v>0</v>
      </c>
      <c r="V2325" s="1423">
        <f t="shared" si="3444"/>
        <v>0</v>
      </c>
      <c r="W2325" s="1423">
        <f t="shared" si="3445"/>
        <v>0</v>
      </c>
      <c r="X2325" s="152"/>
      <c r="Y2325" s="152"/>
      <c r="Z2325" s="152"/>
      <c r="AA2325" s="152"/>
      <c r="AB2325" s="152"/>
    </row>
    <row r="2326" spans="1:28" hidden="1" outlineLevel="1">
      <c r="A2326" s="152"/>
      <c r="B2326" s="190" t="str">
        <f t="shared" ca="1" si="3446"/>
        <v>RL Capex 2030-31</v>
      </c>
      <c r="C2326" s="1429"/>
      <c r="D2326" s="1429"/>
      <c r="E2326" s="1429"/>
      <c r="F2326" s="1429"/>
      <c r="G2326" s="1429"/>
      <c r="H2326" s="1429"/>
      <c r="I2326" s="1429"/>
      <c r="J2326" s="1429"/>
      <c r="K2326" s="1429"/>
      <c r="L2326" s="1429"/>
      <c r="M2326" s="1429"/>
      <c r="N2326" s="1429"/>
      <c r="O2326" s="1429"/>
      <c r="P2326" s="1429"/>
      <c r="Q2326" s="1424"/>
      <c r="R2326" s="1428">
        <f>R2283</f>
        <v>0</v>
      </c>
      <c r="S2326" s="1423">
        <f t="shared" si="3441"/>
        <v>0</v>
      </c>
      <c r="T2326" s="1423">
        <f t="shared" si="3442"/>
        <v>0</v>
      </c>
      <c r="U2326" s="1423">
        <f t="shared" si="3443"/>
        <v>0</v>
      </c>
      <c r="V2326" s="1423">
        <f t="shared" si="3444"/>
        <v>0</v>
      </c>
      <c r="W2326" s="1423">
        <f t="shared" si="3445"/>
        <v>0</v>
      </c>
      <c r="X2326" s="152"/>
      <c r="Y2326" s="152"/>
      <c r="Z2326" s="152"/>
      <c r="AA2326" s="152"/>
      <c r="AB2326" s="152"/>
    </row>
    <row r="2327" spans="1:28" hidden="1" outlineLevel="1">
      <c r="A2327" s="152"/>
      <c r="B2327" s="190" t="str">
        <f t="shared" ca="1" si="3446"/>
        <v>RL Capex 2031-32</v>
      </c>
      <c r="C2327" s="1429"/>
      <c r="D2327" s="1429"/>
      <c r="E2327" s="1429"/>
      <c r="F2327" s="1429"/>
      <c r="G2327" s="1429"/>
      <c r="H2327" s="1429"/>
      <c r="I2327" s="1429"/>
      <c r="J2327" s="1429"/>
      <c r="K2327" s="1429"/>
      <c r="L2327" s="1429"/>
      <c r="M2327" s="1429"/>
      <c r="N2327" s="1429"/>
      <c r="O2327" s="1429"/>
      <c r="P2327" s="1429"/>
      <c r="Q2327" s="1429"/>
      <c r="R2327" s="1424"/>
      <c r="S2327" s="1428">
        <f>S2283</f>
        <v>0</v>
      </c>
      <c r="T2327" s="1423">
        <f t="shared" si="3442"/>
        <v>0</v>
      </c>
      <c r="U2327" s="1423">
        <f t="shared" si="3443"/>
        <v>0</v>
      </c>
      <c r="V2327" s="1423">
        <f t="shared" si="3444"/>
        <v>0</v>
      </c>
      <c r="W2327" s="1423">
        <f t="shared" si="3445"/>
        <v>0</v>
      </c>
      <c r="X2327" s="152"/>
      <c r="Y2327" s="152"/>
      <c r="Z2327" s="152"/>
      <c r="AA2327" s="152"/>
      <c r="AB2327" s="152"/>
    </row>
    <row r="2328" spans="1:28" hidden="1" outlineLevel="1">
      <c r="A2328" s="152"/>
      <c r="B2328" s="190" t="str">
        <f t="shared" ca="1" si="3446"/>
        <v>RL Capex 2032-33</v>
      </c>
      <c r="C2328" s="1429"/>
      <c r="D2328" s="1429"/>
      <c r="E2328" s="1429"/>
      <c r="F2328" s="1429"/>
      <c r="G2328" s="1429"/>
      <c r="H2328" s="1429"/>
      <c r="I2328" s="1429"/>
      <c r="J2328" s="1429"/>
      <c r="K2328" s="1429"/>
      <c r="L2328" s="1429"/>
      <c r="M2328" s="1429"/>
      <c r="N2328" s="1429"/>
      <c r="O2328" s="1429"/>
      <c r="P2328" s="1429"/>
      <c r="Q2328" s="1429"/>
      <c r="R2328" s="1429"/>
      <c r="S2328" s="1424"/>
      <c r="T2328" s="1428">
        <f>T2283</f>
        <v>0</v>
      </c>
      <c r="U2328" s="1423">
        <f t="shared" si="3443"/>
        <v>0</v>
      </c>
      <c r="V2328" s="1423">
        <f t="shared" si="3444"/>
        <v>0</v>
      </c>
      <c r="W2328" s="1423">
        <f t="shared" si="3445"/>
        <v>0</v>
      </c>
      <c r="X2328" s="152"/>
      <c r="Y2328" s="152"/>
      <c r="Z2328" s="152"/>
      <c r="AA2328" s="152"/>
      <c r="AB2328" s="152"/>
    </row>
    <row r="2329" spans="1:28" hidden="1" outlineLevel="1">
      <c r="A2329" s="152"/>
      <c r="B2329" s="190" t="str">
        <f t="shared" ca="1" si="3446"/>
        <v>RL Capex 2033-34</v>
      </c>
      <c r="C2329" s="1429"/>
      <c r="D2329" s="1429"/>
      <c r="E2329" s="1429"/>
      <c r="F2329" s="1429"/>
      <c r="G2329" s="1429"/>
      <c r="H2329" s="1429"/>
      <c r="I2329" s="1429"/>
      <c r="J2329" s="1429"/>
      <c r="K2329" s="1429"/>
      <c r="L2329" s="1429"/>
      <c r="M2329" s="1429"/>
      <c r="N2329" s="1429"/>
      <c r="O2329" s="1429"/>
      <c r="P2329" s="1429"/>
      <c r="Q2329" s="1429"/>
      <c r="R2329" s="1429"/>
      <c r="S2329" s="1429"/>
      <c r="T2329" s="1424"/>
      <c r="U2329" s="1428">
        <f>U2283</f>
        <v>0</v>
      </c>
      <c r="V2329" s="1423">
        <f t="shared" si="3444"/>
        <v>0</v>
      </c>
      <c r="W2329" s="1423">
        <f t="shared" si="3445"/>
        <v>0</v>
      </c>
      <c r="X2329" s="152"/>
      <c r="Y2329" s="152"/>
      <c r="Z2329" s="152"/>
      <c r="AA2329" s="152"/>
      <c r="AB2329" s="152"/>
    </row>
    <row r="2330" spans="1:28" hidden="1" outlineLevel="1">
      <c r="A2330" s="152"/>
      <c r="B2330" s="190" t="str">
        <f t="shared" ca="1" si="3446"/>
        <v>RL Capex 2034-35</v>
      </c>
      <c r="C2330" s="1429"/>
      <c r="D2330" s="1429"/>
      <c r="E2330" s="1429"/>
      <c r="F2330" s="1429"/>
      <c r="G2330" s="1429"/>
      <c r="H2330" s="1429"/>
      <c r="I2330" s="1429"/>
      <c r="J2330" s="1429"/>
      <c r="K2330" s="1429"/>
      <c r="L2330" s="1429"/>
      <c r="M2330" s="1429"/>
      <c r="N2330" s="1429"/>
      <c r="O2330" s="1429"/>
      <c r="P2330" s="1429"/>
      <c r="Q2330" s="1429"/>
      <c r="R2330" s="1429"/>
      <c r="S2330" s="1429"/>
      <c r="T2330" s="1429"/>
      <c r="U2330" s="1424"/>
      <c r="V2330" s="1428">
        <f>V2283</f>
        <v>0</v>
      </c>
      <c r="W2330" s="1423">
        <f>IF(V2330="n/a","n/a",MAX(0,V2330-1))</f>
        <v>0</v>
      </c>
      <c r="X2330" s="152"/>
      <c r="Y2330" s="152"/>
      <c r="Z2330" s="152"/>
      <c r="AA2330" s="152"/>
      <c r="AB2330" s="152"/>
    </row>
    <row r="2331" spans="1:28" hidden="1" outlineLevel="1">
      <c r="A2331" s="152"/>
      <c r="B2331" s="190" t="str">
        <f t="shared" ca="1" si="3446"/>
        <v>RL Capex 2035-36</v>
      </c>
      <c r="C2331" s="1429"/>
      <c r="D2331" s="1429"/>
      <c r="E2331" s="1429"/>
      <c r="F2331" s="1429"/>
      <c r="G2331" s="1429"/>
      <c r="H2331" s="1429"/>
      <c r="I2331" s="1429"/>
      <c r="J2331" s="1429"/>
      <c r="K2331" s="1429"/>
      <c r="L2331" s="1429"/>
      <c r="M2331" s="1429"/>
      <c r="N2331" s="1429"/>
      <c r="O2331" s="1429"/>
      <c r="P2331" s="1429"/>
      <c r="Q2331" s="1429"/>
      <c r="R2331" s="1429"/>
      <c r="S2331" s="1429"/>
      <c r="T2331" s="1429"/>
      <c r="U2331" s="1429"/>
      <c r="V2331" s="1424"/>
      <c r="W2331" s="1423">
        <f>W2283</f>
        <v>0</v>
      </c>
      <c r="X2331" s="152"/>
      <c r="Y2331" s="152"/>
      <c r="Z2331" s="152"/>
      <c r="AA2331" s="152"/>
      <c r="AB2331" s="152"/>
    </row>
    <row r="2332" spans="1:28" hidden="1" outlineLevel="1">
      <c r="A2332" s="152"/>
      <c r="B2332" s="200"/>
      <c r="C2332" s="1423"/>
      <c r="D2332" s="1423"/>
      <c r="E2332" s="1423"/>
      <c r="F2332" s="1423"/>
      <c r="G2332" s="1423"/>
      <c r="H2332" s="1423"/>
      <c r="I2332" s="1423"/>
      <c r="J2332" s="1423"/>
      <c r="K2332" s="1423"/>
      <c r="L2332" s="1423"/>
      <c r="M2332" s="1423"/>
      <c r="N2332" s="1423"/>
      <c r="O2332" s="1423"/>
      <c r="P2332" s="1423"/>
      <c r="Q2332" s="1423"/>
      <c r="R2332" s="1423"/>
      <c r="S2332" s="1423"/>
      <c r="T2332" s="1423"/>
      <c r="U2332" s="1423"/>
      <c r="V2332" s="1423"/>
      <c r="W2332" s="1423"/>
      <c r="X2332" s="152"/>
      <c r="Y2332" s="152"/>
      <c r="Z2332" s="152"/>
      <c r="AA2332" s="152"/>
      <c r="AB2332" s="152"/>
    </row>
    <row r="2333" spans="1:28" collapsed="1">
      <c r="A2333" s="194"/>
      <c r="B2333" s="204" t="s">
        <v>123</v>
      </c>
      <c r="C2333" s="1430">
        <f ca="1">(IF(OR($C2283&lt;&gt;"n/a",C2283&lt;&gt;"n/a"),IF(SUM(C2286:C2308)=0,0,IF((SUMPRODUCT(C2286:C2308,C2310:C2332)/SUM(C2286:C2308))&lt;0,1,(SUMPRODUCT(C2286:C2308,C2310:C2332)/SUM(C2286:C2308)))),"n/a"))</f>
        <v>0</v>
      </c>
      <c r="D2333" s="1430">
        <f ca="1">(IF(OR($C2283&lt;&gt;"n/a",D2283&lt;&gt;"n/a"),IF(SUM(D2286:D2308)=0,0,IF((SUMPRODUCT(D2286:D2308,D2310:D2332)/SUM(D2286:D2308))&lt;0,1,(SUMPRODUCT(D2286:D2308,D2310:D2332)/SUM(D2286:D2308)))),"n/a"))</f>
        <v>0</v>
      </c>
      <c r="E2333" s="1430">
        <f t="shared" ref="E2333:W2333" ca="1" si="3447">(IF(OR($C2283&lt;&gt;"n/a",E2283&lt;&gt;"n/a"),IF(SUM(E2286:E2308)=0,0,IF((SUMPRODUCT(E2286:E2308,E2310:E2332)/SUM(E2286:E2308))&lt;0,1,(SUMPRODUCT(E2286:E2308,E2310:E2332)/SUM(E2286:E2308)))),"n/a"))</f>
        <v>0</v>
      </c>
      <c r="F2333" s="1430">
        <f t="shared" ca="1" si="3447"/>
        <v>0</v>
      </c>
      <c r="G2333" s="1430">
        <f t="shared" ca="1" si="3447"/>
        <v>0</v>
      </c>
      <c r="H2333" s="1430">
        <f t="shared" ca="1" si="3447"/>
        <v>0</v>
      </c>
      <c r="I2333" s="1430">
        <f t="shared" ca="1" si="3447"/>
        <v>0</v>
      </c>
      <c r="J2333" s="1430">
        <f t="shared" ca="1" si="3447"/>
        <v>0</v>
      </c>
      <c r="K2333" s="1430">
        <f t="shared" ca="1" si="3447"/>
        <v>0</v>
      </c>
      <c r="L2333" s="1430">
        <f t="shared" ca="1" si="3447"/>
        <v>0</v>
      </c>
      <c r="M2333" s="1430">
        <f t="shared" ca="1" si="3447"/>
        <v>0</v>
      </c>
      <c r="N2333" s="1430">
        <f t="shared" ca="1" si="3447"/>
        <v>0</v>
      </c>
      <c r="O2333" s="1430">
        <f t="shared" ca="1" si="3447"/>
        <v>0</v>
      </c>
      <c r="P2333" s="1430">
        <f t="shared" ca="1" si="3447"/>
        <v>0</v>
      </c>
      <c r="Q2333" s="1430">
        <f t="shared" ca="1" si="3447"/>
        <v>0</v>
      </c>
      <c r="R2333" s="1430">
        <f t="shared" ca="1" si="3447"/>
        <v>0</v>
      </c>
      <c r="S2333" s="1430">
        <f t="shared" ca="1" si="3447"/>
        <v>0</v>
      </c>
      <c r="T2333" s="1430">
        <f t="shared" ca="1" si="3447"/>
        <v>0</v>
      </c>
      <c r="U2333" s="1430">
        <f t="shared" ca="1" si="3447"/>
        <v>0</v>
      </c>
      <c r="V2333" s="1430">
        <f t="shared" ca="1" si="3447"/>
        <v>0</v>
      </c>
      <c r="W2333" s="1430">
        <f t="shared" ca="1" si="3447"/>
        <v>0</v>
      </c>
      <c r="X2333" s="152"/>
      <c r="Y2333" s="152"/>
      <c r="Z2333" s="152"/>
      <c r="AA2333" s="152"/>
      <c r="AB2333" s="152"/>
    </row>
    <row r="2334" spans="1:28">
      <c r="A2334" s="152"/>
      <c r="B2334" s="152"/>
      <c r="C2334" s="1423"/>
      <c r="D2334" s="1423"/>
      <c r="E2334" s="1423"/>
      <c r="F2334" s="1423"/>
      <c r="G2334" s="1423"/>
      <c r="H2334" s="1423"/>
      <c r="I2334" s="1423"/>
      <c r="J2334" s="1423"/>
      <c r="K2334" s="1423"/>
      <c r="L2334" s="1423"/>
      <c r="M2334" s="1423"/>
      <c r="N2334" s="1423"/>
      <c r="O2334" s="1423"/>
      <c r="P2334" s="1423"/>
      <c r="Q2334" s="1423"/>
      <c r="R2334" s="1423"/>
      <c r="S2334" s="1423"/>
      <c r="T2334" s="1423"/>
      <c r="U2334" s="1423"/>
      <c r="V2334" s="1423"/>
      <c r="W2334" s="1423"/>
      <c r="X2334" s="152"/>
      <c r="Y2334" s="152"/>
      <c r="Z2334" s="152"/>
      <c r="AA2334" s="152"/>
      <c r="AB2334" s="152"/>
    </row>
    <row r="2335" spans="1:28">
      <c r="A2335" s="269" t="s">
        <v>110</v>
      </c>
      <c r="B2335" s="270">
        <f>VLOOKUP($A2335,'RFM input'!$E$7:$F$56,2,FALSE)</f>
        <v>0</v>
      </c>
      <c r="C2335" s="1431"/>
      <c r="D2335" s="1431"/>
      <c r="E2335" s="1432"/>
      <c r="F2335" s="1432"/>
      <c r="G2335" s="1432"/>
      <c r="H2335" s="1432"/>
      <c r="I2335" s="1432"/>
      <c r="J2335" s="1432"/>
      <c r="K2335" s="1432"/>
      <c r="L2335" s="1432"/>
      <c r="M2335" s="1432"/>
      <c r="N2335" s="1432"/>
      <c r="O2335" s="1432"/>
      <c r="P2335" s="1432"/>
      <c r="Q2335" s="1432"/>
      <c r="R2335" s="1432"/>
      <c r="S2335" s="1432"/>
      <c r="T2335" s="1432"/>
      <c r="U2335" s="1432"/>
      <c r="V2335" s="1432"/>
      <c r="W2335" s="1432"/>
      <c r="X2335" s="152"/>
      <c r="Y2335" s="152"/>
      <c r="Z2335" s="152"/>
      <c r="AA2335" s="152"/>
      <c r="AB2335" s="152"/>
    </row>
    <row r="2336" spans="1:28">
      <c r="A2336" s="215">
        <f>VALUE(REPLACE(A2335,1,12,""))</f>
        <v>44</v>
      </c>
      <c r="B2336" s="193" t="s">
        <v>126</v>
      </c>
      <c r="C2336" s="1416">
        <f ca="1">IF($C$8='Capital Base roll forward'!$H$4,OFFSET('Capital Base roll forward'!$H$717,'RAB remaining lives'!A2336,0),"enter input")</f>
        <v>0</v>
      </c>
      <c r="D2336" s="1417">
        <f>IF(LEFT(D$6,4)&lt;LEFT('RFM input'!$G$60,4),"enter input",IF(LEFT(D$6,4)&gt;LEFT('RFM input'!$Q$60,4),0,INDEX('RFM input'!$G$61:$Q$110,$A2336,MATCH(D$6,'RFM input'!$G$60:$Q$60,0))
-INDEX('RFM input'!$G$115:$Q$164,$A2336,MATCH(D$6,'RFM input'!$G$60:$Q$60,0))
-INDEX('RFM input'!$G$169:$Q$218,$A2336,MATCH(D$6,'RFM input'!$G$60:$Q$60,0))))</f>
        <v>0</v>
      </c>
      <c r="E2336" s="1417">
        <f>IF(LEFT(E$6,4)&lt;LEFT('RFM input'!$G$60,4),"enter input",IF(LEFT(E$6,4)&gt;LEFT('RFM input'!$Q$60,4),0,INDEX('RFM input'!$G$61:$Q$110,$A2336,MATCH(E$6,'RFM input'!$G$60:$Q$60,0))
-INDEX('RFM input'!$G$115:$Q$164,$A2336,MATCH(E$6,'RFM input'!$G$60:$Q$60,0))
-INDEX('RFM input'!$G$169:$Q$218,$A2336,MATCH(E$6,'RFM input'!$G$60:$Q$60,0))))</f>
        <v>0</v>
      </c>
      <c r="F2336" s="1417">
        <f>IF(LEFT(F$6,4)&lt;LEFT('RFM input'!$G$60,4),"enter input",IF(LEFT(F$6,4)&gt;LEFT('RFM input'!$Q$60,4),0,INDEX('RFM input'!$G$61:$Q$110,$A2336,MATCH(F$6,'RFM input'!$G$60:$Q$60,0))
-INDEX('RFM input'!$G$115:$Q$164,$A2336,MATCH(F$6,'RFM input'!$G$60:$Q$60,0))
-INDEX('RFM input'!$G$169:$Q$218,$A2336,MATCH(F$6,'RFM input'!$G$60:$Q$60,0))))</f>
        <v>0</v>
      </c>
      <c r="G2336" s="1417">
        <f>IF(LEFT(G$6,4)&lt;LEFT('RFM input'!$G$60,4),"enter input",IF(LEFT(G$6,4)&gt;LEFT('RFM input'!$Q$60,4),0,INDEX('RFM input'!$G$61:$Q$110,$A2336,MATCH(G$6,'RFM input'!$G$60:$Q$60,0))
-INDEX('RFM input'!$G$115:$Q$164,$A2336,MATCH(G$6,'RFM input'!$G$60:$Q$60,0))
-INDEX('RFM input'!$G$169:$Q$218,$A2336,MATCH(G$6,'RFM input'!$G$60:$Q$60,0))))</f>
        <v>0</v>
      </c>
      <c r="H2336" s="1417">
        <f>IF(LEFT(H$6,4)&lt;LEFT('RFM input'!$G$60,4),"enter input",IF(LEFT(H$6,4)&gt;LEFT('RFM input'!$Q$60,4),0,INDEX('RFM input'!$G$61:$Q$110,$A2336,MATCH(H$6,'RFM input'!$G$60:$Q$60,0))
-INDEX('RFM input'!$G$115:$Q$164,$A2336,MATCH(H$6,'RFM input'!$G$60:$Q$60,0))
-INDEX('RFM input'!$G$169:$Q$218,$A2336,MATCH(H$6,'RFM input'!$G$60:$Q$60,0))))</f>
        <v>0</v>
      </c>
      <c r="I2336" s="1417">
        <f>IF(LEFT(I$6,4)&lt;LEFT('RFM input'!$G$60,4),"enter input",IF(LEFT(I$6,4)&gt;LEFT('RFM input'!$Q$60,4),0,INDEX('RFM input'!$G$61:$Q$110,$A2336,MATCH(I$6,'RFM input'!$G$60:$Q$60,0))
-INDEX('RFM input'!$G$115:$Q$164,$A2336,MATCH(I$6,'RFM input'!$G$60:$Q$60,0))
-INDEX('RFM input'!$G$169:$Q$218,$A2336,MATCH(I$6,'RFM input'!$G$60:$Q$60,0))))</f>
        <v>0</v>
      </c>
      <c r="J2336" s="1417">
        <f>IF(LEFT(J$6,4)&lt;LEFT('RFM input'!$G$60,4),"enter input",IF(LEFT(J$6,4)&gt;LEFT('RFM input'!$Q$60,4),0,INDEX('RFM input'!$G$61:$Q$110,$A2336,MATCH(J$6,'RFM input'!$G$60:$Q$60,0))
-INDEX('RFM input'!$G$115:$Q$164,$A2336,MATCH(J$6,'RFM input'!$G$60:$Q$60,0))
-INDEX('RFM input'!$G$169:$Q$218,$A2336,MATCH(J$6,'RFM input'!$G$60:$Q$60,0))))</f>
        <v>0</v>
      </c>
      <c r="K2336" s="1417">
        <f>IF(LEFT(K$6,4)&lt;LEFT('RFM input'!$G$60,4),"enter input",IF(LEFT(K$6,4)&gt;LEFT('RFM input'!$Q$60,4),0,INDEX('RFM input'!$G$61:$Q$110,$A2336,MATCH(K$6,'RFM input'!$G$60:$Q$60,0))
-INDEX('RFM input'!$G$115:$Q$164,$A2336,MATCH(K$6,'RFM input'!$G$60:$Q$60,0))
-INDEX('RFM input'!$G$169:$Q$218,$A2336,MATCH(K$6,'RFM input'!$G$60:$Q$60,0))))</f>
        <v>0</v>
      </c>
      <c r="L2336" s="1417">
        <f>IF(LEFT(L$6,4)&lt;LEFT('RFM input'!$G$60,4),"enter input",IF(LEFT(L$6,4)&gt;LEFT('RFM input'!$Q$60,4),0,INDEX('RFM input'!$G$61:$Q$110,$A2336,MATCH(L$6,'RFM input'!$G$60:$Q$60,0))
-INDEX('RFM input'!$G$115:$Q$164,$A2336,MATCH(L$6,'RFM input'!$G$60:$Q$60,0))
-INDEX('RFM input'!$G$169:$Q$218,$A2336,MATCH(L$6,'RFM input'!$G$60:$Q$60,0))))</f>
        <v>0</v>
      </c>
      <c r="M2336" s="1417">
        <f>IF(LEFT(M$6,4)&lt;LEFT('RFM input'!$G$60,4),"enter input",IF(LEFT(M$6,4)&gt;LEFT('RFM input'!$Q$60,4),0,INDEX('RFM input'!$G$61:$Q$110,$A2336,MATCH(M$6,'RFM input'!$G$60:$Q$60,0))
-INDEX('RFM input'!$G$115:$Q$164,$A2336,MATCH(M$6,'RFM input'!$G$60:$Q$60,0))
-INDEX('RFM input'!$G$169:$Q$218,$A2336,MATCH(M$6,'RFM input'!$G$60:$Q$60,0))))</f>
        <v>0</v>
      </c>
      <c r="N2336" s="1417">
        <f>IF(LEFT(N$6,4)&lt;LEFT('RFM input'!$G$60,4),"enter input",IF(LEFT(N$6,4)&gt;LEFT('RFM input'!$Q$60,4),0,INDEX('RFM input'!$G$61:$Q$110,$A2336,MATCH(N$6,'RFM input'!$G$60:$Q$60,0))
-INDEX('RFM input'!$G$115:$Q$164,$A2336,MATCH(N$6,'RFM input'!$G$60:$Q$60,0))
-INDEX('RFM input'!$G$169:$Q$218,$A2336,MATCH(N$6,'RFM input'!$G$60:$Q$60,0))))</f>
        <v>0</v>
      </c>
      <c r="O2336" s="1417">
        <f>IF(LEFT(O$6,4)&lt;LEFT('RFM input'!$G$60,4),"enter input",IF(LEFT(O$6,4)&gt;LEFT('RFM input'!$Q$60,4),0,INDEX('RFM input'!$G$61:$Q$110,$A2336,MATCH(O$6,'RFM input'!$G$60:$Q$60,0))
-INDEX('RFM input'!$G$115:$Q$164,$A2336,MATCH(O$6,'RFM input'!$G$60:$Q$60,0))
-INDEX('RFM input'!$G$169:$Q$218,$A2336,MATCH(O$6,'RFM input'!$G$60:$Q$60,0))))</f>
        <v>0</v>
      </c>
      <c r="P2336" s="1417">
        <f>IF(LEFT(P$6,4)&lt;LEFT('RFM input'!$G$60,4),"enter input",IF(LEFT(P$6,4)&gt;LEFT('RFM input'!$Q$60,4),0,INDEX('RFM input'!$G$61:$Q$110,$A2336,MATCH(P$6,'RFM input'!$G$60:$Q$60,0))
-INDEX('RFM input'!$G$115:$Q$164,$A2336,MATCH(P$6,'RFM input'!$G$60:$Q$60,0))
-INDEX('RFM input'!$G$169:$Q$218,$A2336,MATCH(P$6,'RFM input'!$G$60:$Q$60,0))))</f>
        <v>0</v>
      </c>
      <c r="Q2336" s="1417">
        <f>IF(LEFT(Q$6,4)&lt;LEFT('RFM input'!$G$60,4),"enter input",IF(LEFT(Q$6,4)&gt;LEFT('RFM input'!$Q$60,4),0,INDEX('RFM input'!$G$61:$Q$110,$A2336,MATCH(Q$6,'RFM input'!$G$60:$Q$60,0))
-INDEX('RFM input'!$G$115:$Q$164,$A2336,MATCH(Q$6,'RFM input'!$G$60:$Q$60,0))
-INDEX('RFM input'!$G$169:$Q$218,$A2336,MATCH(Q$6,'RFM input'!$G$60:$Q$60,0))))</f>
        <v>0</v>
      </c>
      <c r="R2336" s="1417">
        <f>IF(LEFT(R$6,4)&lt;LEFT('RFM input'!$G$60,4),"enter input",IF(LEFT(R$6,4)&gt;LEFT('RFM input'!$Q$60,4),0,INDEX('RFM input'!$G$61:$Q$110,$A2336,MATCH(R$6,'RFM input'!$G$60:$Q$60,0))
-INDEX('RFM input'!$G$115:$Q$164,$A2336,MATCH(R$6,'RFM input'!$G$60:$Q$60,0))
-INDEX('RFM input'!$G$169:$Q$218,$A2336,MATCH(R$6,'RFM input'!$G$60:$Q$60,0))))</f>
        <v>0</v>
      </c>
      <c r="S2336" s="1417">
        <f>IF(LEFT(S$6,4)&lt;LEFT('RFM input'!$G$60,4),"enter input",IF(LEFT(S$6,4)&gt;LEFT('RFM input'!$Q$60,4),0,INDEX('RFM input'!$G$61:$Q$110,$A2336,MATCH(S$6,'RFM input'!$G$60:$Q$60,0))
-INDEX('RFM input'!$G$115:$Q$164,$A2336,MATCH(S$6,'RFM input'!$G$60:$Q$60,0))
-INDEX('RFM input'!$G$169:$Q$218,$A2336,MATCH(S$6,'RFM input'!$G$60:$Q$60,0))))</f>
        <v>0</v>
      </c>
      <c r="T2336" s="1417">
        <f>IF(LEFT(T$6,4)&lt;LEFT('RFM input'!$G$60,4),"enter input",IF(LEFT(T$6,4)&gt;LEFT('RFM input'!$Q$60,4),0,INDEX('RFM input'!$G$61:$Q$110,$A2336,MATCH(T$6,'RFM input'!$G$60:$Q$60,0))
-INDEX('RFM input'!$G$115:$Q$164,$A2336,MATCH(T$6,'RFM input'!$G$60:$Q$60,0))
-INDEX('RFM input'!$G$169:$Q$218,$A2336,MATCH(T$6,'RFM input'!$G$60:$Q$60,0))))</f>
        <v>0</v>
      </c>
      <c r="U2336" s="1417">
        <f>IF(LEFT(U$6,4)&lt;LEFT('RFM input'!$G$60,4),"enter input",IF(LEFT(U$6,4)&gt;LEFT('RFM input'!$Q$60,4),0,INDEX('RFM input'!$G$61:$Q$110,$A2336,MATCH(U$6,'RFM input'!$G$60:$Q$60,0))
-INDEX('RFM input'!$G$115:$Q$164,$A2336,MATCH(U$6,'RFM input'!$G$60:$Q$60,0))
-INDEX('RFM input'!$G$169:$Q$218,$A2336,MATCH(U$6,'RFM input'!$G$60:$Q$60,0))))</f>
        <v>0</v>
      </c>
      <c r="V2336" s="1417">
        <f>IF(LEFT(V$6,4)&lt;LEFT('RFM input'!$G$60,4),"enter input",IF(LEFT(V$6,4)&gt;LEFT('RFM input'!$Q$60,4),0,INDEX('RFM input'!$G$61:$Q$110,$A2336,MATCH(V$6,'RFM input'!$G$60:$Q$60,0))
-INDEX('RFM input'!$G$115:$Q$164,$A2336,MATCH(V$6,'RFM input'!$G$60:$Q$60,0))
-INDEX('RFM input'!$G$169:$Q$218,$A2336,MATCH(V$6,'RFM input'!$G$60:$Q$60,0))))</f>
        <v>0</v>
      </c>
      <c r="W2336" s="1417">
        <f>IF(LEFT(W$6,4)&lt;LEFT('RFM input'!$G$60,4),"enter input",IF(LEFT(W$6,4)&gt;LEFT('RFM input'!$Q$60,4),0,INDEX('RFM input'!$G$61:$Q$110,$A2336,MATCH(W$6,'RFM input'!$G$60:$Q$60,0))
-INDEX('RFM input'!$G$115:$Q$164,$A2336,MATCH(W$6,'RFM input'!$G$60:$Q$60,0))
-INDEX('RFM input'!$G$169:$Q$218,$A2336,MATCH(W$6,'RFM input'!$G$60:$Q$60,0))))</f>
        <v>0</v>
      </c>
      <c r="X2336" s="152"/>
      <c r="Y2336" s="152"/>
      <c r="Z2336" s="152"/>
      <c r="AA2336" s="152"/>
      <c r="AB2336" s="152"/>
    </row>
    <row r="2337" spans="1:28">
      <c r="A2337" s="152"/>
      <c r="B2337" s="152" t="s">
        <v>204</v>
      </c>
      <c r="C2337" s="1418">
        <f ca="1">IF($C$8='Capital Base roll forward'!$H$4,OFFSET('RFM input'!$J$6,'RAB remaining lives'!A2336,0),"enter input")</f>
        <v>0</v>
      </c>
      <c r="D2337" s="1417">
        <f>IF(LEFT(D$6,4)&lt;=LEFT('RFM input'!$G$60,4),"enter input",IF(LEFT(D$6,4)&gt;LEFT('RFM input'!$Q$60,4),0,IF(MATCH(D$6,'RFM input'!$H$60:$Q$60,0),INDEX('RFM input'!$K$7:$K$56,$A2336,1))))</f>
        <v>0</v>
      </c>
      <c r="E2337" s="1417">
        <f>IF(LEFT(E$6,4)&lt;=LEFT('RFM input'!$G$60,4),"enter input",IF(LEFT(E$6,4)&gt;LEFT('RFM input'!$Q$60,4),0,IF(MATCH(E$6,'RFM input'!$H$60:$Q$60,0),INDEX('RFM input'!$K$7:$K$56,$A2336,1))))</f>
        <v>0</v>
      </c>
      <c r="F2337" s="1417">
        <f>IF(LEFT(F$6,4)&lt;=LEFT('RFM input'!$G$60,4),"enter input",IF(LEFT(F$6,4)&gt;LEFT('RFM input'!$Q$60,4),0,IF(MATCH(F$6,'RFM input'!$H$60:$Q$60,0),INDEX('RFM input'!$K$7:$K$56,$A2336,1))))</f>
        <v>0</v>
      </c>
      <c r="G2337" s="1417">
        <f>IF(LEFT(G$6,4)&lt;=LEFT('RFM input'!$G$60,4),"enter input",IF(LEFT(G$6,4)&gt;LEFT('RFM input'!$Q$60,4),0,IF(MATCH(G$6,'RFM input'!$H$60:$Q$60,0),INDEX('RFM input'!$K$7:$K$56,$A2336,1))))</f>
        <v>0</v>
      </c>
      <c r="H2337" s="1417">
        <f>IF(LEFT(H$6,4)&lt;=LEFT('RFM input'!$G$60,4),"enter input",IF(LEFT(H$6,4)&gt;LEFT('RFM input'!$Q$60,4),0,IF(MATCH(H$6,'RFM input'!$H$60:$Q$60,0),INDEX('RFM input'!$K$7:$K$56,$A2336,1))))</f>
        <v>0</v>
      </c>
      <c r="I2337" s="1417">
        <f>IF(LEFT(I$6,4)&lt;=LEFT('RFM input'!$G$60,4),"enter input",IF(LEFT(I$6,4)&gt;LEFT('RFM input'!$Q$60,4),0,IF(MATCH(I$6,'RFM input'!$H$60:$Q$60,0),INDEX('RFM input'!$K$7:$K$56,$A2336,1))))</f>
        <v>0</v>
      </c>
      <c r="J2337" s="1417">
        <f>IF(LEFT(J$6,4)&lt;=LEFT('RFM input'!$G$60,4),"enter input",IF(LEFT(J$6,4)&gt;LEFT('RFM input'!$Q$60,4),0,IF(MATCH(J$6,'RFM input'!$H$60:$Q$60,0),INDEX('RFM input'!$K$7:$K$56,$A2336,1))))</f>
        <v>0</v>
      </c>
      <c r="K2337" s="1417">
        <f>IF(LEFT(K$6,4)&lt;=LEFT('RFM input'!$G$60,4),"enter input",IF(LEFT(K$6,4)&gt;LEFT('RFM input'!$Q$60,4),0,IF(MATCH(K$6,'RFM input'!$H$60:$Q$60,0),INDEX('RFM input'!$K$7:$K$56,$A2336,1))))</f>
        <v>0</v>
      </c>
      <c r="L2337" s="1417">
        <f>IF(LEFT(L$6,4)&lt;=LEFT('RFM input'!$G$60,4),"enter input",IF(LEFT(L$6,4)&gt;LEFT('RFM input'!$Q$60,4),0,IF(MATCH(L$6,'RFM input'!$H$60:$Q$60,0),INDEX('RFM input'!$K$7:$K$56,$A2336,1))))</f>
        <v>0</v>
      </c>
      <c r="M2337" s="1417">
        <f>IF(LEFT(M$6,4)&lt;=LEFT('RFM input'!$G$60,4),"enter input",IF(LEFT(M$6,4)&gt;LEFT('RFM input'!$Q$60,4),0,IF(MATCH(M$6,'RFM input'!$H$60:$Q$60,0),INDEX('RFM input'!$K$7:$K$56,$A2336,1))))</f>
        <v>0</v>
      </c>
      <c r="N2337" s="1417">
        <f>IF(LEFT(N$6,4)&lt;=LEFT('RFM input'!$G$60,4),"enter input",IF(LEFT(N$6,4)&gt;LEFT('RFM input'!$Q$60,4),0,IF(MATCH(N$6,'RFM input'!$H$60:$Q$60,0),INDEX('RFM input'!$K$7:$K$56,$A2336,1))))</f>
        <v>0</v>
      </c>
      <c r="O2337" s="1417">
        <f>IF(LEFT(O$6,4)&lt;=LEFT('RFM input'!$G$60,4),"enter input",IF(LEFT(O$6,4)&gt;LEFT('RFM input'!$Q$60,4),0,IF(MATCH(O$6,'RFM input'!$H$60:$Q$60,0),INDEX('RFM input'!$K$7:$K$56,$A2336,1))))</f>
        <v>0</v>
      </c>
      <c r="P2337" s="1417">
        <f>IF(LEFT(P$6,4)&lt;=LEFT('RFM input'!$G$60,4),"enter input",IF(LEFT(P$6,4)&gt;LEFT('RFM input'!$Q$60,4),0,IF(MATCH(P$6,'RFM input'!$H$60:$Q$60,0),INDEX('RFM input'!$K$7:$K$56,$A2336,1))))</f>
        <v>0</v>
      </c>
      <c r="Q2337" s="1417">
        <f>IF(LEFT(Q$6,4)&lt;=LEFT('RFM input'!$G$60,4),"enter input",IF(LEFT(Q$6,4)&gt;LEFT('RFM input'!$Q$60,4),0,IF(MATCH(Q$6,'RFM input'!$H$60:$Q$60,0),INDEX('RFM input'!$K$7:$K$56,$A2336,1))))</f>
        <v>0</v>
      </c>
      <c r="R2337" s="1417">
        <f>IF(LEFT(R$6,4)&lt;=LEFT('RFM input'!$G$60,4),"enter input",IF(LEFT(R$6,4)&gt;LEFT('RFM input'!$Q$60,4),0,IF(MATCH(R$6,'RFM input'!$H$60:$Q$60,0),INDEX('RFM input'!$K$7:$K$56,$A2336,1))))</f>
        <v>0</v>
      </c>
      <c r="S2337" s="1417">
        <f>IF(LEFT(S$6,4)&lt;=LEFT('RFM input'!$G$60,4),"enter input",IF(LEFT(S$6,4)&gt;LEFT('RFM input'!$Q$60,4),0,IF(MATCH(S$6,'RFM input'!$H$60:$Q$60,0),INDEX('RFM input'!$K$7:$K$56,$A2336,1))))</f>
        <v>0</v>
      </c>
      <c r="T2337" s="1417">
        <f>IF(LEFT(T$6,4)&lt;=LEFT('RFM input'!$G$60,4),"enter input",IF(LEFT(T$6,4)&gt;LEFT('RFM input'!$Q$60,4),0,IF(MATCH(T$6,'RFM input'!$H$60:$Q$60,0),INDEX('RFM input'!$K$7:$K$56,$A2336,1))))</f>
        <v>0</v>
      </c>
      <c r="U2337" s="1417">
        <f>IF(LEFT(U$6,4)&lt;=LEFT('RFM input'!$G$60,4),"enter input",IF(LEFT(U$6,4)&gt;LEFT('RFM input'!$Q$60,4),0,IF(MATCH(U$6,'RFM input'!$H$60:$Q$60,0),INDEX('RFM input'!$K$7:$K$56,$A2336,1))))</f>
        <v>0</v>
      </c>
      <c r="V2337" s="1417">
        <f>IF(LEFT(V$6,4)&lt;=LEFT('RFM input'!$G$60,4),"enter input",IF(LEFT(V$6,4)&gt;LEFT('RFM input'!$Q$60,4),0,IF(MATCH(V$6,'RFM input'!$H$60:$Q$60,0),INDEX('RFM input'!$K$7:$K$56,$A2336,1))))</f>
        <v>0</v>
      </c>
      <c r="W2337" s="1417">
        <f>IF(LEFT(W$6,4)&lt;=LEFT('RFM input'!$G$60,4),"enter input",IF(LEFT(W$6,4)&gt;LEFT('RFM input'!$Q$60,4),0,IF(MATCH(W$6,'RFM input'!$H$60:$Q$60,0),INDEX('RFM input'!$K$7:$K$56,$A2336,1))))</f>
        <v>0</v>
      </c>
      <c r="X2337" s="152"/>
      <c r="Y2337" s="152"/>
      <c r="Z2337" s="152"/>
      <c r="AA2337" s="152"/>
      <c r="AB2337" s="152"/>
    </row>
    <row r="2338" spans="1:28">
      <c r="A2338" s="152"/>
      <c r="B2338" s="177" t="s">
        <v>191</v>
      </c>
      <c r="C2338" s="1419"/>
      <c r="D2338" s="1420">
        <f ca="1">IF(LEFT(D$6,4)&lt;=LEFT('RFM input'!$G$60,4),"enter input",IF(LEFT(D$6,4)&gt;LEFT('RFM input'!$Q$60,4),0,IF(D$6=(OFFSET('RFM input'!$G$60,0,'RFM input'!$V$7)),OFFSET('RFM input'!$G$411,$A2336,0),0)))</f>
        <v>0</v>
      </c>
      <c r="E2338" s="1417">
        <f ca="1">IF(LEFT(E$6,4)&lt;=LEFT('RFM input'!$G$60,4),"enter input",IF(LEFT(E$6,4)&gt;LEFT('RFM input'!$Q$60,4),0,IF(E$6=(OFFSET('RFM input'!$G$60,0,'RFM input'!$V$7)),OFFSET('RFM input'!$G$411,$A2336,0),0)))</f>
        <v>0</v>
      </c>
      <c r="F2338" s="1417">
        <f ca="1">IF(LEFT(F$6,4)&lt;=LEFT('RFM input'!$G$60,4),"enter input",IF(LEFT(F$6,4)&gt;LEFT('RFM input'!$Q$60,4),0,IF(F$6=(OFFSET('RFM input'!$G$60,0,'RFM input'!$V$7)),OFFSET('RFM input'!$G$411,$A2336,0),0)))</f>
        <v>0</v>
      </c>
      <c r="G2338" s="1417">
        <f ca="1">IF(LEFT(G$6,4)&lt;=LEFT('RFM input'!$G$60,4),"enter input",IF(LEFT(G$6,4)&gt;LEFT('RFM input'!$Q$60,4),0,IF(G$6=(OFFSET('RFM input'!$G$60,0,'RFM input'!$V$7)),OFFSET('RFM input'!$G$411,$A2336,0),0)))</f>
        <v>0</v>
      </c>
      <c r="H2338" s="1417">
        <f ca="1">IF(LEFT(H$6,4)&lt;=LEFT('RFM input'!$G$60,4),"enter input",IF(LEFT(H$6,4)&gt;LEFT('RFM input'!$Q$60,4),0,IF(H$6=(OFFSET('RFM input'!$G$60,0,'RFM input'!$V$7)),OFFSET('RFM input'!$G$411,$A2336,0),0)))</f>
        <v>0</v>
      </c>
      <c r="I2338" s="1417">
        <f ca="1">IF(LEFT(I$6,4)&lt;=LEFT('RFM input'!$G$60,4),"enter input",IF(LEFT(I$6,4)&gt;LEFT('RFM input'!$Q$60,4),0,IF(I$6=(OFFSET('RFM input'!$G$60,0,'RFM input'!$V$7)),OFFSET('RFM input'!$G$411,$A2336,0),0)))</f>
        <v>0</v>
      </c>
      <c r="J2338" s="1417">
        <f ca="1">IF(LEFT(J$6,4)&lt;=LEFT('RFM input'!$G$60,4),"enter input",IF(LEFT(J$6,4)&gt;LEFT('RFM input'!$Q$60,4),0,IF(J$6=(OFFSET('RFM input'!$G$60,0,'RFM input'!$V$7)),OFFSET('RFM input'!$G$411,$A2336,0),0)))</f>
        <v>0</v>
      </c>
      <c r="K2338" s="1417">
        <f ca="1">IF(LEFT(K$6,4)&lt;=LEFT('RFM input'!$G$60,4),"enter input",IF(LEFT(K$6,4)&gt;LEFT('RFM input'!$Q$60,4),0,IF(K$6=(OFFSET('RFM input'!$G$60,0,'RFM input'!$V$7)),OFFSET('RFM input'!$G$411,$A2336,0),0)))</f>
        <v>0</v>
      </c>
      <c r="L2338" s="1417">
        <f ca="1">IF(LEFT(L$6,4)&lt;=LEFT('RFM input'!$G$60,4),"enter input",IF(LEFT(L$6,4)&gt;LEFT('RFM input'!$Q$60,4),0,IF(L$6=(OFFSET('RFM input'!$G$60,0,'RFM input'!$V$7)),OFFSET('RFM input'!$G$411,$A2336,0),0)))</f>
        <v>0</v>
      </c>
      <c r="M2338" s="1417">
        <f ca="1">IF(LEFT(M$6,4)&lt;=LEFT('RFM input'!$G$60,4),"enter input",IF(LEFT(M$6,4)&gt;LEFT('RFM input'!$Q$60,4),0,IF(M$6=(OFFSET('RFM input'!$G$60,0,'RFM input'!$V$7)),OFFSET('RFM input'!$G$411,$A2336,0),0)))</f>
        <v>0</v>
      </c>
      <c r="N2338" s="1417">
        <f ca="1">IF(LEFT(N$6,4)&lt;=LEFT('RFM input'!$G$60,4),"enter input",IF(LEFT(N$6,4)&gt;LEFT('RFM input'!$Q$60,4),0,IF(N$6=(OFFSET('RFM input'!$G$60,0,'RFM input'!$V$7)),OFFSET('RFM input'!$G$411,$A2336,0),0)))</f>
        <v>0</v>
      </c>
      <c r="O2338" s="1417">
        <f ca="1">IF(LEFT(O$6,4)&lt;=LEFT('RFM input'!$G$60,4),"enter input",IF(LEFT(O$6,4)&gt;LEFT('RFM input'!$Q$60,4),0,IF(O$6=(OFFSET('RFM input'!$G$60,0,'RFM input'!$V$7)),OFFSET('RFM input'!$G$411,$A2336,0),0)))</f>
        <v>0</v>
      </c>
      <c r="P2338" s="1417">
        <f ca="1">IF(LEFT(P$6,4)&lt;=LEFT('RFM input'!$G$60,4),"enter input",IF(LEFT(P$6,4)&gt;LEFT('RFM input'!$Q$60,4),0,IF(P$6=(OFFSET('RFM input'!$G$60,0,'RFM input'!$V$7)),OFFSET('RFM input'!$G$411,$A2336,0),0)))</f>
        <v>0</v>
      </c>
      <c r="Q2338" s="1417">
        <f ca="1">IF(LEFT(Q$6,4)&lt;=LEFT('RFM input'!$G$60,4),"enter input",IF(LEFT(Q$6,4)&gt;LEFT('RFM input'!$Q$60,4),0,IF(Q$6=(OFFSET('RFM input'!$G$60,0,'RFM input'!$V$7)),OFFSET('RFM input'!$G$411,$A2336,0),0)))</f>
        <v>0</v>
      </c>
      <c r="R2338" s="1417">
        <f ca="1">IF(LEFT(R$6,4)&lt;=LEFT('RFM input'!$G$60,4),"enter input",IF(LEFT(R$6,4)&gt;LEFT('RFM input'!$Q$60,4),0,IF(R$6=(OFFSET('RFM input'!$G$60,0,'RFM input'!$V$7)),OFFSET('RFM input'!$G$411,$A2336,0),0)))</f>
        <v>0</v>
      </c>
      <c r="S2338" s="1417">
        <f ca="1">IF(LEFT(S$6,4)&lt;=LEFT('RFM input'!$G$60,4),"enter input",IF(LEFT(S$6,4)&gt;LEFT('RFM input'!$Q$60,4),0,IF(S$6=(OFFSET('RFM input'!$G$60,0,'RFM input'!$V$7)),OFFSET('RFM input'!$G$411,$A2336,0),0)))</f>
        <v>0</v>
      </c>
      <c r="T2338" s="1417">
        <f ca="1">IF(LEFT(T$6,4)&lt;=LEFT('RFM input'!$G$60,4),"enter input",IF(LEFT(T$6,4)&gt;LEFT('RFM input'!$Q$60,4),0,IF(T$6=(OFFSET('RFM input'!$G$60,0,'RFM input'!$V$7)),OFFSET('RFM input'!$G$411,$A2336,0),0)))</f>
        <v>0</v>
      </c>
      <c r="U2338" s="1417">
        <f ca="1">IF(LEFT(U$6,4)&lt;=LEFT('RFM input'!$G$60,4),"enter input",IF(LEFT(U$6,4)&gt;LEFT('RFM input'!$Q$60,4),0,IF(U$6=(OFFSET('RFM input'!$G$60,0,'RFM input'!$V$7)),OFFSET('RFM input'!$G$411,$A2336,0),0)))</f>
        <v>0</v>
      </c>
      <c r="V2338" s="1417">
        <f ca="1">IF(LEFT(V$6,4)&lt;=LEFT('RFM input'!$G$60,4),"enter input",IF(LEFT(V$6,4)&gt;LEFT('RFM input'!$Q$60,4),0,IF(V$6=(OFFSET('RFM input'!$G$60,0,'RFM input'!$V$7)),OFFSET('RFM input'!$G$411,$A2336,0),0)))</f>
        <v>0</v>
      </c>
      <c r="W2338" s="1417">
        <f ca="1">IF(LEFT(W$6,4)&lt;=LEFT('RFM input'!$G$60,4),"enter input",IF(LEFT(W$6,4)&gt;LEFT('RFM input'!$Q$60,4),0,IF(W$6=(OFFSET('RFM input'!$G$60,0,'RFM input'!$V$7)),OFFSET('RFM input'!$G$411,$A2336,0),0)))</f>
        <v>0</v>
      </c>
      <c r="X2338" s="152"/>
      <c r="Y2338" s="152"/>
      <c r="Z2338" s="152"/>
      <c r="AA2338" s="152"/>
      <c r="AB2338" s="152"/>
    </row>
    <row r="2339" spans="1:28">
      <c r="A2339" s="152"/>
      <c r="B2339" s="195" t="s">
        <v>197</v>
      </c>
      <c r="C2339" s="1419"/>
      <c r="D2339" s="1418">
        <f ca="1">IF(LEFT(D$6,4)&lt;=LEFT('RFM input'!$G$60,4),"enter input",IF(LEFT(D$6,4)&gt;LEFT('RFM input'!$Q$60,4),0,IF(D$6=(OFFSET('RFM input'!$G$60,0,'RFM input'!$V$7)),OFFSET('RFM input'!$I$411,$A2336,0),0)))</f>
        <v>0</v>
      </c>
      <c r="E2339" s="1422">
        <f ca="1">IF(LEFT(E$6,4)&lt;=LEFT('RFM input'!$G$60,4),"enter input",IF(LEFT(E$6,4)&gt;LEFT('RFM input'!$Q$60,4),0,IF(E$6=(OFFSET('RFM input'!$G$60,0,'RFM input'!$V$7)),OFFSET('RFM input'!$I$411,$A2336,0),0)))</f>
        <v>0</v>
      </c>
      <c r="F2339" s="1422">
        <f ca="1">IF(LEFT(F$6,4)&lt;=LEFT('RFM input'!$G$60,4),"enter input",IF(LEFT(F$6,4)&gt;LEFT('RFM input'!$Q$60,4),0,IF(F$6=(OFFSET('RFM input'!$G$60,0,'RFM input'!$V$7)),OFFSET('RFM input'!$I$411,$A2336,0),0)))</f>
        <v>0</v>
      </c>
      <c r="G2339" s="1422">
        <f ca="1">IF(LEFT(G$6,4)&lt;=LEFT('RFM input'!$G$60,4),"enter input",IF(LEFT(G$6,4)&gt;LEFT('RFM input'!$Q$60,4),0,IF(G$6=(OFFSET('RFM input'!$G$60,0,'RFM input'!$V$7)),OFFSET('RFM input'!$I$411,$A2336,0),0)))</f>
        <v>0</v>
      </c>
      <c r="H2339" s="1422">
        <f ca="1">IF(LEFT(H$6,4)&lt;=LEFT('RFM input'!$G$60,4),"enter input",IF(LEFT(H$6,4)&gt;LEFT('RFM input'!$Q$60,4),0,IF(H$6=(OFFSET('RFM input'!$G$60,0,'RFM input'!$V$7)),OFFSET('RFM input'!$I$411,$A2336,0),0)))</f>
        <v>0</v>
      </c>
      <c r="I2339" s="1422">
        <f ca="1">IF(LEFT(I$6,4)&lt;=LEFT('RFM input'!$G$60,4),"enter input",IF(LEFT(I$6,4)&gt;LEFT('RFM input'!$Q$60,4),0,IF(I$6=(OFFSET('RFM input'!$G$60,0,'RFM input'!$V$7)),OFFSET('RFM input'!$I$411,$A2336,0),0)))</f>
        <v>0</v>
      </c>
      <c r="J2339" s="1422">
        <f ca="1">IF(LEFT(J$6,4)&lt;=LEFT('RFM input'!$G$60,4),"enter input",IF(LEFT(J$6,4)&gt;LEFT('RFM input'!$Q$60,4),0,IF(J$6=(OFFSET('RFM input'!$G$60,0,'RFM input'!$V$7)),OFFSET('RFM input'!$I$411,$A2336,0),0)))</f>
        <v>0</v>
      </c>
      <c r="K2339" s="1422">
        <f ca="1">IF(LEFT(K$6,4)&lt;=LEFT('RFM input'!$G$60,4),"enter input",IF(LEFT(K$6,4)&gt;LEFT('RFM input'!$Q$60,4),0,IF(K$6=(OFFSET('RFM input'!$G$60,0,'RFM input'!$V$7)),OFFSET('RFM input'!$I$411,$A2336,0),0)))</f>
        <v>0</v>
      </c>
      <c r="L2339" s="1422">
        <f ca="1">IF(LEFT(L$6,4)&lt;=LEFT('RFM input'!$G$60,4),"enter input",IF(LEFT(L$6,4)&gt;LEFT('RFM input'!$Q$60,4),0,IF(L$6=(OFFSET('RFM input'!$G$60,0,'RFM input'!$V$7)),OFFSET('RFM input'!$I$411,$A2336,0),0)))</f>
        <v>0</v>
      </c>
      <c r="M2339" s="1422">
        <f ca="1">IF(LEFT(M$6,4)&lt;=LEFT('RFM input'!$G$60,4),"enter input",IF(LEFT(M$6,4)&gt;LEFT('RFM input'!$Q$60,4),0,IF(M$6=(OFFSET('RFM input'!$G$60,0,'RFM input'!$V$7)),OFFSET('RFM input'!$I$411,$A2336,0),0)))</f>
        <v>0</v>
      </c>
      <c r="N2339" s="1422">
        <f ca="1">IF(LEFT(N$6,4)&lt;=LEFT('RFM input'!$G$60,4),"enter input",IF(LEFT(N$6,4)&gt;LEFT('RFM input'!$Q$60,4),0,IF(N$6=(OFFSET('RFM input'!$G$60,0,'RFM input'!$V$7)),OFFSET('RFM input'!$I$411,$A2336,0),0)))</f>
        <v>0</v>
      </c>
      <c r="O2339" s="1422">
        <f ca="1">IF(LEFT(O$6,4)&lt;=LEFT('RFM input'!$G$60,4),"enter input",IF(LEFT(O$6,4)&gt;LEFT('RFM input'!$Q$60,4),0,IF(O$6=(OFFSET('RFM input'!$G$60,0,'RFM input'!$V$7)),OFFSET('RFM input'!$I$411,$A2336,0),0)))</f>
        <v>0</v>
      </c>
      <c r="P2339" s="1422">
        <f ca="1">IF(LEFT(P$6,4)&lt;=LEFT('RFM input'!$G$60,4),"enter input",IF(LEFT(P$6,4)&gt;LEFT('RFM input'!$Q$60,4),0,IF(P$6=(OFFSET('RFM input'!$G$60,0,'RFM input'!$V$7)),OFFSET('RFM input'!$I$411,$A2336,0),0)))</f>
        <v>0</v>
      </c>
      <c r="Q2339" s="1422">
        <f ca="1">IF(LEFT(Q$6,4)&lt;=LEFT('RFM input'!$G$60,4),"enter input",IF(LEFT(Q$6,4)&gt;LEFT('RFM input'!$Q$60,4),0,IF(Q$6=(OFFSET('RFM input'!$G$60,0,'RFM input'!$V$7)),OFFSET('RFM input'!$I$411,$A2336,0),0)))</f>
        <v>0</v>
      </c>
      <c r="R2339" s="1422">
        <f ca="1">IF(LEFT(R$6,4)&lt;=LEFT('RFM input'!$G$60,4),"enter input",IF(LEFT(R$6,4)&gt;LEFT('RFM input'!$Q$60,4),0,IF(R$6=(OFFSET('RFM input'!$G$60,0,'RFM input'!$V$7)),OFFSET('RFM input'!$I$411,$A2336,0),0)))</f>
        <v>0</v>
      </c>
      <c r="S2339" s="1422">
        <f ca="1">IF(LEFT(S$6,4)&lt;=LEFT('RFM input'!$G$60,4),"enter input",IF(LEFT(S$6,4)&gt;LEFT('RFM input'!$Q$60,4),0,IF(S$6=(OFFSET('RFM input'!$G$60,0,'RFM input'!$V$7)),OFFSET('RFM input'!$I$411,$A2336,0),0)))</f>
        <v>0</v>
      </c>
      <c r="T2339" s="1422">
        <f ca="1">IF(LEFT(T$6,4)&lt;=LEFT('RFM input'!$G$60,4),"enter input",IF(LEFT(T$6,4)&gt;LEFT('RFM input'!$Q$60,4),0,IF(T$6=(OFFSET('RFM input'!$G$60,0,'RFM input'!$V$7)),OFFSET('RFM input'!$I$411,$A2336,0),0)))</f>
        <v>0</v>
      </c>
      <c r="U2339" s="1422">
        <f ca="1">IF(LEFT(U$6,4)&lt;=LEFT('RFM input'!$G$60,4),"enter input",IF(LEFT(U$6,4)&gt;LEFT('RFM input'!$Q$60,4),0,IF(U$6=(OFFSET('RFM input'!$G$60,0,'RFM input'!$V$7)),OFFSET('RFM input'!$I$411,$A2336,0),0)))</f>
        <v>0</v>
      </c>
      <c r="V2339" s="1422">
        <f ca="1">IF(LEFT(V$6,4)&lt;=LEFT('RFM input'!$G$60,4),"enter input",IF(LEFT(V$6,4)&gt;LEFT('RFM input'!$Q$60,4),0,IF(V$6=(OFFSET('RFM input'!$G$60,0,'RFM input'!$V$7)),OFFSET('RFM input'!$I$411,$A2336,0),0)))</f>
        <v>0</v>
      </c>
      <c r="W2339" s="1422">
        <f ca="1">IF(LEFT(W$6,4)&lt;=LEFT('RFM input'!$G$60,4),"enter input",IF(LEFT(W$6,4)&gt;LEFT('RFM input'!$Q$60,4),0,IF(W$6=(OFFSET('RFM input'!$G$60,0,'RFM input'!$V$7)),OFFSET('RFM input'!$I$411,$A2336,0),0)))</f>
        <v>0</v>
      </c>
      <c r="X2339" s="152"/>
      <c r="Y2339" s="152"/>
      <c r="Z2339" s="152"/>
      <c r="AA2339" s="152"/>
      <c r="AB2339" s="152"/>
    </row>
    <row r="2340" spans="1:28" hidden="1" outlineLevel="1">
      <c r="A2340" s="235">
        <v>-1</v>
      </c>
      <c r="B2340" s="190" t="s">
        <v>189</v>
      </c>
      <c r="C2340" s="1423"/>
      <c r="D2340" s="1423">
        <f ca="1">IF(AND(D2338=0,C2340=0),0,
IF(AND(D2338&lt;&gt;0,C2340=0),(D2338/D$10),
IF(AND(D2339&lt;&gt;0,C2340&lt;&gt;0),(C2340-(C2340/C2364))+(D2338/D$10),
IF(C2364&lt;1,0,(C2340-(C2340/C2364))))))</f>
        <v>0</v>
      </c>
      <c r="E2340" s="1423">
        <f t="shared" ref="E2340" ca="1" si="3448">IF(AND(E2338=0,D2340=0),0,
IF(AND(E2338&lt;&gt;0,D2340=0),(E2338/E$10),
IF(AND(E2339&lt;&gt;0,D2340&lt;&gt;0),(D2340-(D2340/D2364))+(E2338/E$10),
IF(D2364&lt;1,0,(D2340-(D2340/D2364))))))</f>
        <v>0</v>
      </c>
      <c r="F2340" s="1423">
        <f t="shared" ref="F2340" ca="1" si="3449">IF(AND(F2338=0,E2340=0),0,
IF(AND(F2338&lt;&gt;0,E2340=0),(F2338/F$10),
IF(AND(F2339&lt;&gt;0,E2340&lt;&gt;0),(E2340-(E2340/E2364))+(F2338/F$10),
IF(E2364&lt;1,0,(E2340-(E2340/E2364))))))</f>
        <v>0</v>
      </c>
      <c r="G2340" s="1423">
        <f t="shared" ref="G2340" ca="1" si="3450">IF(AND(G2338=0,F2340=0),0,
IF(AND(G2338&lt;&gt;0,F2340=0),(G2338/G$10),
IF(AND(G2339&lt;&gt;0,F2340&lt;&gt;0),(F2340-(F2340/F2364))+(G2338/G$10),
IF(F2364&lt;1,0,(F2340-(F2340/F2364))))))</f>
        <v>0</v>
      </c>
      <c r="H2340" s="1423">
        <f t="shared" ref="H2340" ca="1" si="3451">IF(AND(H2338=0,G2340=0),0,
IF(AND(H2338&lt;&gt;0,G2340=0),(H2338/H$10),
IF(AND(H2339&lt;&gt;0,G2340&lt;&gt;0),(G2340-(G2340/G2364))+(H2338/H$10),
IF(G2364&lt;1,0,(G2340-(G2340/G2364))))))</f>
        <v>0</v>
      </c>
      <c r="I2340" s="1423">
        <f t="shared" ref="I2340" ca="1" si="3452">IF(AND(I2338=0,H2340=0),0,
IF(AND(I2338&lt;&gt;0,H2340=0),(I2338/I$10),
IF(AND(I2339&lt;&gt;0,H2340&lt;&gt;0),(H2340-(H2340/H2364))+(I2338/I$10),
IF(H2364&lt;1,0,(H2340-(H2340/H2364))))))</f>
        <v>0</v>
      </c>
      <c r="J2340" s="1423">
        <f t="shared" ref="J2340" ca="1" si="3453">IF(AND(J2338=0,I2340=0),0,
IF(AND(J2338&lt;&gt;0,I2340=0),(J2338/J$10),
IF(AND(J2339&lt;&gt;0,I2340&lt;&gt;0),(I2340-(I2340/I2364))+(J2338/J$10),
IF(I2364&lt;1,0,(I2340-(I2340/I2364))))))</f>
        <v>0</v>
      </c>
      <c r="K2340" s="1423">
        <f t="shared" ref="K2340" ca="1" si="3454">IF(AND(K2338=0,J2340=0),0,
IF(AND(K2338&lt;&gt;0,J2340=0),(K2338/K$10),
IF(AND(K2339&lt;&gt;0,J2340&lt;&gt;0),(J2340-(J2340/J2364))+(K2338/K$10),
IF(J2364&lt;1,0,(J2340-(J2340/J2364))))))</f>
        <v>0</v>
      </c>
      <c r="L2340" s="1423">
        <f t="shared" ref="L2340" ca="1" si="3455">IF(AND(L2338=0,K2340=0),0,
IF(AND(L2338&lt;&gt;0,K2340=0),(L2338/L$10),
IF(AND(L2339&lt;&gt;0,K2340&lt;&gt;0),(K2340-(K2340/K2364))+(L2338/L$10),
IF(K2364&lt;1,0,(K2340-(K2340/K2364))))))</f>
        <v>0</v>
      </c>
      <c r="M2340" s="1423">
        <f t="shared" ref="M2340" ca="1" si="3456">IF(AND(M2338=0,L2340=0),0,
IF(AND(M2338&lt;&gt;0,L2340=0),(M2338/M$10),
IF(AND(M2339&lt;&gt;0,L2340&lt;&gt;0),(L2340-(L2340/L2364))+(M2338/M$10),
IF(L2364&lt;1,0,(L2340-(L2340/L2364))))))</f>
        <v>0</v>
      </c>
      <c r="N2340" s="1423">
        <f t="shared" ref="N2340" ca="1" si="3457">IF(AND(N2338=0,M2340=0),0,
IF(AND(N2338&lt;&gt;0,M2340=0),(N2338/N$10),
IF(AND(N2339&lt;&gt;0,M2340&lt;&gt;0),(M2340-(M2340/M2364))+(N2338/N$10),
IF(M2364&lt;1,0,(M2340-(M2340/M2364))))))</f>
        <v>0</v>
      </c>
      <c r="O2340" s="1423">
        <f t="shared" ref="O2340" ca="1" si="3458">IF(AND(O2338=0,N2340=0),0,
IF(AND(O2338&lt;&gt;0,N2340=0),(O2338/O$10),
IF(AND(O2339&lt;&gt;0,N2340&lt;&gt;0),(N2340-(N2340/N2364))+(O2338/O$10),
IF(N2364&lt;1,0,(N2340-(N2340/N2364))))))</f>
        <v>0</v>
      </c>
      <c r="P2340" s="1423">
        <f t="shared" ref="P2340" ca="1" si="3459">IF(AND(P2338=0,O2340=0),0,
IF(AND(P2338&lt;&gt;0,O2340=0),(P2338/P$10),
IF(AND(P2339&lt;&gt;0,O2340&lt;&gt;0),(O2340-(O2340/O2364))+(P2338/P$10),
IF(O2364&lt;1,0,(O2340-(O2340/O2364))))))</f>
        <v>0</v>
      </c>
      <c r="Q2340" s="1423">
        <f t="shared" ref="Q2340" ca="1" si="3460">IF(AND(Q2338=0,P2340=0),0,
IF(AND(Q2338&lt;&gt;0,P2340=0),(Q2338/Q$10),
IF(AND(Q2339&lt;&gt;0,P2340&lt;&gt;0),(P2340-(P2340/P2364))+(Q2338/Q$10),
IF(P2364&lt;1,0,(P2340-(P2340/P2364))))))</f>
        <v>0</v>
      </c>
      <c r="R2340" s="1423">
        <f t="shared" ref="R2340" ca="1" si="3461">IF(AND(R2338=0,Q2340=0),0,
IF(AND(R2338&lt;&gt;0,Q2340=0),(R2338/R$10),
IF(AND(R2339&lt;&gt;0,Q2340&lt;&gt;0),(Q2340-(Q2340/Q2364))+(R2338/R$10),
IF(Q2364&lt;1,0,(Q2340-(Q2340/Q2364))))))</f>
        <v>0</v>
      </c>
      <c r="S2340" s="1423">
        <f t="shared" ref="S2340" ca="1" si="3462">IF(AND(S2338=0,R2340=0),0,
IF(AND(S2338&lt;&gt;0,R2340=0),(S2338/S$10),
IF(AND(S2339&lt;&gt;0,R2340&lt;&gt;0),(R2340-(R2340/R2364))+(S2338/S$10),
IF(R2364&lt;1,0,(R2340-(R2340/R2364))))))</f>
        <v>0</v>
      </c>
      <c r="T2340" s="1423">
        <f t="shared" ref="T2340" ca="1" si="3463">IF(AND(T2338=0,S2340=0),0,
IF(AND(T2338&lt;&gt;0,S2340=0),(T2338/T$10),
IF(AND(T2339&lt;&gt;0,S2340&lt;&gt;0),(S2340-(S2340/S2364))+(T2338/T$10),
IF(S2364&lt;1,0,(S2340-(S2340/S2364))))))</f>
        <v>0</v>
      </c>
      <c r="U2340" s="1423">
        <f t="shared" ref="U2340" ca="1" si="3464">IF(AND(U2338=0,T2340=0),0,
IF(AND(U2338&lt;&gt;0,T2340=0),(U2338/U$10),
IF(AND(U2339&lt;&gt;0,T2340&lt;&gt;0),(T2340-(T2340/T2364))+(U2338/U$10),
IF(T2364&lt;1,0,(T2340-(T2340/T2364))))))</f>
        <v>0</v>
      </c>
      <c r="V2340" s="1423">
        <f t="shared" ref="V2340" ca="1" si="3465">IF(AND(V2338=0,U2340=0),0,
IF(AND(V2338&lt;&gt;0,U2340=0),(V2338/V$10),
IF(AND(V2339&lt;&gt;0,U2340&lt;&gt;0),(U2340-(U2340/U2364))+(V2338/V$10),
IF(U2364&lt;1,0,(U2340-(U2340/U2364))))))</f>
        <v>0</v>
      </c>
      <c r="W2340" s="1423">
        <f t="shared" ref="W2340" ca="1" si="3466">IF(AND(W2338=0,V2340=0),0,
IF(AND(W2338&lt;&gt;0,V2340=0),(W2338/W$10),
IF(AND(W2339&lt;&gt;0,V2340&lt;&gt;0),(V2340-(V2340/V2364))+(W2338/W$10),
IF(V2364&lt;1,0,(V2340-(V2340/V2364))))))</f>
        <v>0</v>
      </c>
      <c r="X2340" s="152"/>
      <c r="Y2340" s="152"/>
      <c r="Z2340" s="152"/>
      <c r="AA2340" s="152"/>
      <c r="AB2340" s="152"/>
    </row>
    <row r="2341" spans="1:28" hidden="1" outlineLevel="1">
      <c r="A2341" s="199">
        <f>A2340+1</f>
        <v>0</v>
      </c>
      <c r="B2341" s="190" t="s">
        <v>125</v>
      </c>
      <c r="C2341" s="1423">
        <f ca="1">C2336/C$10</f>
        <v>0</v>
      </c>
      <c r="D2341" s="1423">
        <f ca="1">IF(C2365="n/a",C2341,IFERROR(IF((OFFSET($C2341,0,$A2341))&lt;0,
MIN(0,C2341-(OFFSET($C2341,0,$A2341)/(OFFSET($C2336,-$A2340,$A2341)))),
MAX(0,C2341-(OFFSET($C2341,0,$A2341)/(OFFSET($C2336,-$A2340,$A2341))))),0))</f>
        <v>0</v>
      </c>
      <c r="E2341" s="1423">
        <f t="shared" ref="E2341" ca="1" si="3467">IF(D2365="n/a",D2341,IFERROR(IF((OFFSET($C2341,0,$A2341))&lt;0,
MIN(0,D2341-(OFFSET($C2341,0,$A2341)/(OFFSET($C2336,-$A2340,$A2341)))),
MAX(0,D2341-(OFFSET($C2341,0,$A2341)/(OFFSET($C2336,-$A2340,$A2341))))),0))</f>
        <v>0</v>
      </c>
      <c r="F2341" s="1423">
        <f t="shared" ref="F2341:F2342" ca="1" si="3468">IF(E2365="n/a",E2341,IFERROR(IF((OFFSET($C2341,0,$A2341))&lt;0,
MIN(0,E2341-(OFFSET($C2341,0,$A2341)/(OFFSET($C2336,-$A2340,$A2341)))),
MAX(0,E2341-(OFFSET($C2341,0,$A2341)/(OFFSET($C2336,-$A2340,$A2341))))),0))</f>
        <v>0</v>
      </c>
      <c r="G2341" s="1423">
        <f t="shared" ref="G2341:G2343" ca="1" si="3469">IF(F2365="n/a",F2341,IFERROR(IF((OFFSET($C2341,0,$A2341))&lt;0,
MIN(0,F2341-(OFFSET($C2341,0,$A2341)/(OFFSET($C2336,-$A2340,$A2341)))),
MAX(0,F2341-(OFFSET($C2341,0,$A2341)/(OFFSET($C2336,-$A2340,$A2341))))),0))</f>
        <v>0</v>
      </c>
      <c r="H2341" s="1423">
        <f t="shared" ref="H2341:H2344" ca="1" si="3470">IF(G2365="n/a",G2341,IFERROR(IF((OFFSET($C2341,0,$A2341))&lt;0,
MIN(0,G2341-(OFFSET($C2341,0,$A2341)/(OFFSET($C2336,-$A2340,$A2341)))),
MAX(0,G2341-(OFFSET($C2341,0,$A2341)/(OFFSET($C2336,-$A2340,$A2341))))),0))</f>
        <v>0</v>
      </c>
      <c r="I2341" s="1423">
        <f t="shared" ref="I2341:I2345" ca="1" si="3471">IF(H2365="n/a",H2341,IFERROR(IF((OFFSET($C2341,0,$A2341))&lt;0,
MIN(0,H2341-(OFFSET($C2341,0,$A2341)/(OFFSET($C2336,-$A2340,$A2341)))),
MAX(0,H2341-(OFFSET($C2341,0,$A2341)/(OFFSET($C2336,-$A2340,$A2341))))),0))</f>
        <v>0</v>
      </c>
      <c r="J2341" s="1423">
        <f t="shared" ref="J2341:J2346" ca="1" si="3472">IF(I2365="n/a",I2341,IFERROR(IF((OFFSET($C2341,0,$A2341))&lt;0,
MIN(0,I2341-(OFFSET($C2341,0,$A2341)/(OFFSET($C2336,-$A2340,$A2341)))),
MAX(0,I2341-(OFFSET($C2341,0,$A2341)/(OFFSET($C2336,-$A2340,$A2341))))),0))</f>
        <v>0</v>
      </c>
      <c r="K2341" s="1423">
        <f t="shared" ref="K2341:K2347" ca="1" si="3473">IF(J2365="n/a",J2341,IFERROR(IF((OFFSET($C2341,0,$A2341))&lt;0,
MIN(0,J2341-(OFFSET($C2341,0,$A2341)/(OFFSET($C2336,-$A2340,$A2341)))),
MAX(0,J2341-(OFFSET($C2341,0,$A2341)/(OFFSET($C2336,-$A2340,$A2341))))),0))</f>
        <v>0</v>
      </c>
      <c r="L2341" s="1423">
        <f t="shared" ref="L2341:L2348" ca="1" si="3474">IF(K2365="n/a",K2341,IFERROR(IF((OFFSET($C2341,0,$A2341))&lt;0,
MIN(0,K2341-(OFFSET($C2341,0,$A2341)/(OFFSET($C2336,-$A2340,$A2341)))),
MAX(0,K2341-(OFFSET($C2341,0,$A2341)/(OFFSET($C2336,-$A2340,$A2341))))),0))</f>
        <v>0</v>
      </c>
      <c r="M2341" s="1423">
        <f t="shared" ref="M2341:M2349" ca="1" si="3475">IF(L2365="n/a",L2341,IFERROR(IF((OFFSET($C2341,0,$A2341))&lt;0,
MIN(0,L2341-(OFFSET($C2341,0,$A2341)/(OFFSET($C2336,-$A2340,$A2341)))),
MAX(0,L2341-(OFFSET($C2341,0,$A2341)/(OFFSET($C2336,-$A2340,$A2341))))),0))</f>
        <v>0</v>
      </c>
      <c r="N2341" s="1423">
        <f t="shared" ref="N2341:N2350" ca="1" si="3476">IF(M2365="n/a",M2341,IFERROR(IF((OFFSET($C2341,0,$A2341))&lt;0,
MIN(0,M2341-(OFFSET($C2341,0,$A2341)/(OFFSET($C2336,-$A2340,$A2341)))),
MAX(0,M2341-(OFFSET($C2341,0,$A2341)/(OFFSET($C2336,-$A2340,$A2341))))),0))</f>
        <v>0</v>
      </c>
      <c r="O2341" s="1423">
        <f t="shared" ref="O2341:O2351" ca="1" si="3477">IF(N2365="n/a",N2341,IFERROR(IF((OFFSET($C2341,0,$A2341))&lt;0,
MIN(0,N2341-(OFFSET($C2341,0,$A2341)/(OFFSET($C2336,-$A2340,$A2341)))),
MAX(0,N2341-(OFFSET($C2341,0,$A2341)/(OFFSET($C2336,-$A2340,$A2341))))),0))</f>
        <v>0</v>
      </c>
      <c r="P2341" s="1423">
        <f t="shared" ref="P2341:P2352" ca="1" si="3478">IF(O2365="n/a",O2341,IFERROR(IF((OFFSET($C2341,0,$A2341))&lt;0,
MIN(0,O2341-(OFFSET($C2341,0,$A2341)/(OFFSET($C2336,-$A2340,$A2341)))),
MAX(0,O2341-(OFFSET($C2341,0,$A2341)/(OFFSET($C2336,-$A2340,$A2341))))),0))</f>
        <v>0</v>
      </c>
      <c r="Q2341" s="1423">
        <f t="shared" ref="Q2341:Q2353" ca="1" si="3479">IF(P2365="n/a",P2341,IFERROR(IF((OFFSET($C2341,0,$A2341))&lt;0,
MIN(0,P2341-(OFFSET($C2341,0,$A2341)/(OFFSET($C2336,-$A2340,$A2341)))),
MAX(0,P2341-(OFFSET($C2341,0,$A2341)/(OFFSET($C2336,-$A2340,$A2341))))),0))</f>
        <v>0</v>
      </c>
      <c r="R2341" s="1423">
        <f t="shared" ref="R2341:R2354" ca="1" si="3480">IF(Q2365="n/a",Q2341,IFERROR(IF((OFFSET($C2341,0,$A2341))&lt;0,
MIN(0,Q2341-(OFFSET($C2341,0,$A2341)/(OFFSET($C2336,-$A2340,$A2341)))),
MAX(0,Q2341-(OFFSET($C2341,0,$A2341)/(OFFSET($C2336,-$A2340,$A2341))))),0))</f>
        <v>0</v>
      </c>
      <c r="S2341" s="1423">
        <f t="shared" ref="S2341:S2355" ca="1" si="3481">IF(R2365="n/a",R2341,IFERROR(IF((OFFSET($C2341,0,$A2341))&lt;0,
MIN(0,R2341-(OFFSET($C2341,0,$A2341)/(OFFSET($C2336,-$A2340,$A2341)))),
MAX(0,R2341-(OFFSET($C2341,0,$A2341)/(OFFSET($C2336,-$A2340,$A2341))))),0))</f>
        <v>0</v>
      </c>
      <c r="T2341" s="1423">
        <f t="shared" ref="T2341:T2356" ca="1" si="3482">IF(S2365="n/a",S2341,IFERROR(IF((OFFSET($C2341,0,$A2341))&lt;0,
MIN(0,S2341-(OFFSET($C2341,0,$A2341)/(OFFSET($C2336,-$A2340,$A2341)))),
MAX(0,S2341-(OFFSET($C2341,0,$A2341)/(OFFSET($C2336,-$A2340,$A2341))))),0))</f>
        <v>0</v>
      </c>
      <c r="U2341" s="1423">
        <f t="shared" ref="U2341:U2357" ca="1" si="3483">IF(T2365="n/a",T2341,IFERROR(IF((OFFSET($C2341,0,$A2341))&lt;0,
MIN(0,T2341-(OFFSET($C2341,0,$A2341)/(OFFSET($C2336,-$A2340,$A2341)))),
MAX(0,T2341-(OFFSET($C2341,0,$A2341)/(OFFSET($C2336,-$A2340,$A2341))))),0))</f>
        <v>0</v>
      </c>
      <c r="V2341" s="1423">
        <f t="shared" ref="V2341:V2358" ca="1" si="3484">IF(U2365="n/a",U2341,IFERROR(IF((OFFSET($C2341,0,$A2341))&lt;0,
MIN(0,U2341-(OFFSET($C2341,0,$A2341)/(OFFSET($C2336,-$A2340,$A2341)))),
MAX(0,U2341-(OFFSET($C2341,0,$A2341)/(OFFSET($C2336,-$A2340,$A2341))))),0))</f>
        <v>0</v>
      </c>
      <c r="W2341" s="1423">
        <f t="shared" ref="W2341:W2359" ca="1" si="3485">IF(V2365="n/a",V2341,IFERROR(IF((OFFSET($C2341,0,$A2341))&lt;0,
MIN(0,V2341-(OFFSET($C2341,0,$A2341)/(OFFSET($C2336,-$A2340,$A2341)))),
MAX(0,V2341-(OFFSET($C2341,0,$A2341)/(OFFSET($C2336,-$A2340,$A2341))))),0))</f>
        <v>0</v>
      </c>
      <c r="X2341" s="152"/>
      <c r="Y2341" s="152"/>
      <c r="Z2341" s="152"/>
      <c r="AA2341" s="152"/>
      <c r="AB2341" s="152"/>
    </row>
    <row r="2342" spans="1:28" hidden="1" outlineLevel="1">
      <c r="A2342" s="199">
        <f t="shared" ref="A2342:A2361" si="3486">A2341+1</f>
        <v>1</v>
      </c>
      <c r="B2342" s="190" t="str">
        <f t="shared" ref="B2342:B2360" ca="1" si="3487">"Depreciated Net Capex "&amp;OFFSET($C$6,0,A2342)</f>
        <v>Depreciated Net Capex 2016-17</v>
      </c>
      <c r="C2342" s="1424"/>
      <c r="D2342" s="1425">
        <f>(D2336*((1+D$11)^0.5)/D$10)</f>
        <v>0</v>
      </c>
      <c r="E2342" s="1423">
        <f ca="1">IF(D2366="n/a",D2342,IFERROR(IF((OFFSET($C2342,0,$A2342))&lt;0,
MIN(0,D2342-(OFFSET($C2342,0,$A2342)/(OFFSET($C2337,-$A2341,$A2342)))),
MAX(0,D2342-(OFFSET($C2342,0,$A2342)/(OFFSET($C2337,-$A2341,$A2342))))),0))</f>
        <v>0</v>
      </c>
      <c r="F2342" s="1423">
        <f t="shared" ca="1" si="3468"/>
        <v>0</v>
      </c>
      <c r="G2342" s="1423">
        <f t="shared" ca="1" si="3469"/>
        <v>0</v>
      </c>
      <c r="H2342" s="1423">
        <f t="shared" ca="1" si="3470"/>
        <v>0</v>
      </c>
      <c r="I2342" s="1423">
        <f t="shared" ca="1" si="3471"/>
        <v>0</v>
      </c>
      <c r="J2342" s="1423">
        <f t="shared" ca="1" si="3472"/>
        <v>0</v>
      </c>
      <c r="K2342" s="1423">
        <f t="shared" ca="1" si="3473"/>
        <v>0</v>
      </c>
      <c r="L2342" s="1423">
        <f t="shared" ca="1" si="3474"/>
        <v>0</v>
      </c>
      <c r="M2342" s="1423">
        <f t="shared" ca="1" si="3475"/>
        <v>0</v>
      </c>
      <c r="N2342" s="1423">
        <f t="shared" ca="1" si="3476"/>
        <v>0</v>
      </c>
      <c r="O2342" s="1423">
        <f t="shared" ca="1" si="3477"/>
        <v>0</v>
      </c>
      <c r="P2342" s="1423">
        <f t="shared" ca="1" si="3478"/>
        <v>0</v>
      </c>
      <c r="Q2342" s="1423">
        <f t="shared" ca="1" si="3479"/>
        <v>0</v>
      </c>
      <c r="R2342" s="1423">
        <f t="shared" ca="1" si="3480"/>
        <v>0</v>
      </c>
      <c r="S2342" s="1423">
        <f t="shared" ca="1" si="3481"/>
        <v>0</v>
      </c>
      <c r="T2342" s="1423">
        <f t="shared" ca="1" si="3482"/>
        <v>0</v>
      </c>
      <c r="U2342" s="1423">
        <f t="shared" ca="1" si="3483"/>
        <v>0</v>
      </c>
      <c r="V2342" s="1423">
        <f t="shared" ca="1" si="3484"/>
        <v>0</v>
      </c>
      <c r="W2342" s="1423">
        <f t="shared" ca="1" si="3485"/>
        <v>0</v>
      </c>
      <c r="X2342" s="152"/>
      <c r="Y2342" s="152"/>
      <c r="Z2342" s="152"/>
      <c r="AA2342" s="152"/>
      <c r="AB2342" s="152"/>
    </row>
    <row r="2343" spans="1:28" hidden="1" outlineLevel="1">
      <c r="A2343" s="199">
        <f t="shared" si="3486"/>
        <v>2</v>
      </c>
      <c r="B2343" s="190" t="str">
        <f t="shared" ca="1" si="3487"/>
        <v>Depreciated Net Capex 2017-18</v>
      </c>
      <c r="C2343" s="1426"/>
      <c r="D2343" s="1427"/>
      <c r="E2343" s="1425">
        <f>(E2336*((1+E$11)^0.5)/E$10)</f>
        <v>0</v>
      </c>
      <c r="F2343" s="1423">
        <f ca="1">IF(E2367="n/a",E2343,IFERROR(IF((OFFSET($C2343,0,$A2343))&lt;0,
MIN(0,E2343-(OFFSET($C2343,0,$A2343)/(OFFSET($C2338,-$A2342,$A2343)))),
MAX(0,E2343-(OFFSET($C2343,0,$A2343)/(OFFSET($C2338,-$A2342,$A2343))))),0))</f>
        <v>0</v>
      </c>
      <c r="G2343" s="1423">
        <f t="shared" ca="1" si="3469"/>
        <v>0</v>
      </c>
      <c r="H2343" s="1423">
        <f t="shared" ca="1" si="3470"/>
        <v>0</v>
      </c>
      <c r="I2343" s="1423">
        <f t="shared" ca="1" si="3471"/>
        <v>0</v>
      </c>
      <c r="J2343" s="1423">
        <f t="shared" ca="1" si="3472"/>
        <v>0</v>
      </c>
      <c r="K2343" s="1423">
        <f t="shared" ca="1" si="3473"/>
        <v>0</v>
      </c>
      <c r="L2343" s="1423">
        <f t="shared" ca="1" si="3474"/>
        <v>0</v>
      </c>
      <c r="M2343" s="1423">
        <f t="shared" ca="1" si="3475"/>
        <v>0</v>
      </c>
      <c r="N2343" s="1423">
        <f t="shared" ca="1" si="3476"/>
        <v>0</v>
      </c>
      <c r="O2343" s="1423">
        <f t="shared" ca="1" si="3477"/>
        <v>0</v>
      </c>
      <c r="P2343" s="1423">
        <f t="shared" ca="1" si="3478"/>
        <v>0</v>
      </c>
      <c r="Q2343" s="1423">
        <f t="shared" ca="1" si="3479"/>
        <v>0</v>
      </c>
      <c r="R2343" s="1423">
        <f t="shared" ca="1" si="3480"/>
        <v>0</v>
      </c>
      <c r="S2343" s="1423">
        <f t="shared" ca="1" si="3481"/>
        <v>0</v>
      </c>
      <c r="T2343" s="1423">
        <f t="shared" ca="1" si="3482"/>
        <v>0</v>
      </c>
      <c r="U2343" s="1423">
        <f t="shared" ca="1" si="3483"/>
        <v>0</v>
      </c>
      <c r="V2343" s="1423">
        <f t="shared" ca="1" si="3484"/>
        <v>0</v>
      </c>
      <c r="W2343" s="1423">
        <f t="shared" ca="1" si="3485"/>
        <v>0</v>
      </c>
      <c r="X2343" s="202"/>
      <c r="Y2343" s="152"/>
      <c r="Z2343" s="152"/>
      <c r="AA2343" s="152"/>
      <c r="AB2343" s="152"/>
    </row>
    <row r="2344" spans="1:28" hidden="1" outlineLevel="1">
      <c r="A2344" s="199">
        <f t="shared" si="3486"/>
        <v>3</v>
      </c>
      <c r="B2344" s="190" t="str">
        <f t="shared" ca="1" si="3487"/>
        <v>Depreciated Net Capex 2018-19</v>
      </c>
      <c r="C2344" s="1426"/>
      <c r="D2344" s="1426"/>
      <c r="E2344" s="1427"/>
      <c r="F2344" s="1428">
        <f>($F2336*((1+F$11)^0.5)/F$10)</f>
        <v>0</v>
      </c>
      <c r="G2344" s="1423">
        <f ca="1">IF(F2368="n/a",F2344,IFERROR(IF((OFFSET($C2344,0,$A2344))&lt;0,
MIN(0,F2344-(OFFSET($C2344,0,$A2344)/(OFFSET($C2339,-$A2343,$A2344)))),
MAX(0,F2344-(OFFSET($C2344,0,$A2344)/(OFFSET($C2339,-$A2343,$A2344))))),0))</f>
        <v>0</v>
      </c>
      <c r="H2344" s="1423">
        <f t="shared" ca="1" si="3470"/>
        <v>0</v>
      </c>
      <c r="I2344" s="1423">
        <f t="shared" ca="1" si="3471"/>
        <v>0</v>
      </c>
      <c r="J2344" s="1423">
        <f t="shared" ca="1" si="3472"/>
        <v>0</v>
      </c>
      <c r="K2344" s="1423">
        <f t="shared" ca="1" si="3473"/>
        <v>0</v>
      </c>
      <c r="L2344" s="1423">
        <f t="shared" ca="1" si="3474"/>
        <v>0</v>
      </c>
      <c r="M2344" s="1423">
        <f t="shared" ca="1" si="3475"/>
        <v>0</v>
      </c>
      <c r="N2344" s="1423">
        <f t="shared" ca="1" si="3476"/>
        <v>0</v>
      </c>
      <c r="O2344" s="1423">
        <f t="shared" ca="1" si="3477"/>
        <v>0</v>
      </c>
      <c r="P2344" s="1423">
        <f t="shared" ca="1" si="3478"/>
        <v>0</v>
      </c>
      <c r="Q2344" s="1423">
        <f t="shared" ca="1" si="3479"/>
        <v>0</v>
      </c>
      <c r="R2344" s="1423">
        <f t="shared" ca="1" si="3480"/>
        <v>0</v>
      </c>
      <c r="S2344" s="1423">
        <f t="shared" ca="1" si="3481"/>
        <v>0</v>
      </c>
      <c r="T2344" s="1423">
        <f t="shared" ca="1" si="3482"/>
        <v>0</v>
      </c>
      <c r="U2344" s="1423">
        <f t="shared" ca="1" si="3483"/>
        <v>0</v>
      </c>
      <c r="V2344" s="1423">
        <f t="shared" ca="1" si="3484"/>
        <v>0</v>
      </c>
      <c r="W2344" s="1423">
        <f t="shared" ca="1" si="3485"/>
        <v>0</v>
      </c>
      <c r="X2344" s="202"/>
      <c r="Y2344" s="202"/>
      <c r="Z2344" s="152"/>
      <c r="AA2344" s="152"/>
      <c r="AB2344" s="152"/>
    </row>
    <row r="2345" spans="1:28" hidden="1" outlineLevel="1">
      <c r="A2345" s="199">
        <f t="shared" si="3486"/>
        <v>4</v>
      </c>
      <c r="B2345" s="190" t="str">
        <f t="shared" ca="1" si="3487"/>
        <v>Depreciated Net Capex 2019-20</v>
      </c>
      <c r="C2345" s="1426"/>
      <c r="D2345" s="1426"/>
      <c r="E2345" s="1426"/>
      <c r="F2345" s="1427"/>
      <c r="G2345" s="1428">
        <f>($G2336*((1+G$11)^0.5)/G$10)</f>
        <v>0</v>
      </c>
      <c r="H2345" s="1423">
        <f ca="1">IF(G2369="n/a",G2345,IFERROR(IF((OFFSET($C2345,0,$A2345))&lt;0,
MIN(0,G2345-(OFFSET($C2345,0,$A2345)/(OFFSET($C2340,-$A2344,$A2345)))),
MAX(0,G2345-(OFFSET($C2345,0,$A2345)/(OFFSET($C2340,-$A2344,$A2345))))),0))</f>
        <v>0</v>
      </c>
      <c r="I2345" s="1423">
        <f t="shared" ca="1" si="3471"/>
        <v>0</v>
      </c>
      <c r="J2345" s="1423">
        <f t="shared" ca="1" si="3472"/>
        <v>0</v>
      </c>
      <c r="K2345" s="1423">
        <f t="shared" ca="1" si="3473"/>
        <v>0</v>
      </c>
      <c r="L2345" s="1423">
        <f t="shared" ca="1" si="3474"/>
        <v>0</v>
      </c>
      <c r="M2345" s="1423">
        <f t="shared" ca="1" si="3475"/>
        <v>0</v>
      </c>
      <c r="N2345" s="1423">
        <f t="shared" ca="1" si="3476"/>
        <v>0</v>
      </c>
      <c r="O2345" s="1423">
        <f t="shared" ca="1" si="3477"/>
        <v>0</v>
      </c>
      <c r="P2345" s="1423">
        <f t="shared" ca="1" si="3478"/>
        <v>0</v>
      </c>
      <c r="Q2345" s="1423">
        <f t="shared" ca="1" si="3479"/>
        <v>0</v>
      </c>
      <c r="R2345" s="1423">
        <f t="shared" ca="1" si="3480"/>
        <v>0</v>
      </c>
      <c r="S2345" s="1423">
        <f t="shared" ca="1" si="3481"/>
        <v>0</v>
      </c>
      <c r="T2345" s="1423">
        <f t="shared" ca="1" si="3482"/>
        <v>0</v>
      </c>
      <c r="U2345" s="1423">
        <f t="shared" ca="1" si="3483"/>
        <v>0</v>
      </c>
      <c r="V2345" s="1423">
        <f t="shared" ca="1" si="3484"/>
        <v>0</v>
      </c>
      <c r="W2345" s="1423">
        <f t="shared" ca="1" si="3485"/>
        <v>0</v>
      </c>
      <c r="X2345" s="202"/>
      <c r="Y2345" s="202"/>
      <c r="Z2345" s="202"/>
      <c r="AA2345" s="152"/>
      <c r="AB2345" s="152"/>
    </row>
    <row r="2346" spans="1:28" hidden="1" outlineLevel="1">
      <c r="A2346" s="199">
        <f t="shared" si="3486"/>
        <v>5</v>
      </c>
      <c r="B2346" s="190" t="str">
        <f t="shared" ca="1" si="3487"/>
        <v>Depreciated Net Capex 2020-21</v>
      </c>
      <c r="C2346" s="1426"/>
      <c r="D2346" s="1426"/>
      <c r="E2346" s="1426"/>
      <c r="F2346" s="1426"/>
      <c r="G2346" s="1427"/>
      <c r="H2346" s="1428">
        <f>(H2336*((1+H$11)^0.5)/H$10)</f>
        <v>0</v>
      </c>
      <c r="I2346" s="1423">
        <f ca="1">IF(H2370="n/a",H2346,IFERROR(IF((OFFSET($C2346,0,$A2346))&lt;0,
MIN(0,H2346-(OFFSET($C2346,0,$A2346)/(OFFSET($C2341,-$A2345,$A2346)))),
MAX(0,H2346-(OFFSET($C2346,0,$A2346)/(OFFSET($C2341,-$A2345,$A2346))))),0))</f>
        <v>0</v>
      </c>
      <c r="J2346" s="1423">
        <f t="shared" ca="1" si="3472"/>
        <v>0</v>
      </c>
      <c r="K2346" s="1423">
        <f t="shared" ca="1" si="3473"/>
        <v>0</v>
      </c>
      <c r="L2346" s="1423">
        <f t="shared" ca="1" si="3474"/>
        <v>0</v>
      </c>
      <c r="M2346" s="1423">
        <f t="shared" ca="1" si="3475"/>
        <v>0</v>
      </c>
      <c r="N2346" s="1423">
        <f t="shared" ca="1" si="3476"/>
        <v>0</v>
      </c>
      <c r="O2346" s="1423">
        <f t="shared" ca="1" si="3477"/>
        <v>0</v>
      </c>
      <c r="P2346" s="1423">
        <f t="shared" ca="1" si="3478"/>
        <v>0</v>
      </c>
      <c r="Q2346" s="1423">
        <f t="shared" ca="1" si="3479"/>
        <v>0</v>
      </c>
      <c r="R2346" s="1423">
        <f t="shared" ca="1" si="3480"/>
        <v>0</v>
      </c>
      <c r="S2346" s="1423">
        <f t="shared" ca="1" si="3481"/>
        <v>0</v>
      </c>
      <c r="T2346" s="1423">
        <f t="shared" ca="1" si="3482"/>
        <v>0</v>
      </c>
      <c r="U2346" s="1423">
        <f t="shared" ca="1" si="3483"/>
        <v>0</v>
      </c>
      <c r="V2346" s="1423">
        <f t="shared" ca="1" si="3484"/>
        <v>0</v>
      </c>
      <c r="W2346" s="1423">
        <f t="shared" ca="1" si="3485"/>
        <v>0</v>
      </c>
      <c r="X2346" s="202"/>
      <c r="Y2346" s="202"/>
      <c r="Z2346" s="202"/>
      <c r="AA2346" s="152"/>
      <c r="AB2346" s="152"/>
    </row>
    <row r="2347" spans="1:28" hidden="1" outlineLevel="1">
      <c r="A2347" s="199">
        <f t="shared" si="3486"/>
        <v>6</v>
      </c>
      <c r="B2347" s="190" t="str">
        <f t="shared" ca="1" si="3487"/>
        <v>Depreciated Net Capex 2021-22</v>
      </c>
      <c r="C2347" s="1426"/>
      <c r="D2347" s="1426"/>
      <c r="E2347" s="1426"/>
      <c r="F2347" s="1426"/>
      <c r="G2347" s="1426"/>
      <c r="H2347" s="1427"/>
      <c r="I2347" s="1428">
        <f>(I2336*((1+I$11)^0.5)/I$10)</f>
        <v>0</v>
      </c>
      <c r="J2347" s="1423">
        <f ca="1">IF(I2371="n/a",I2347,IFERROR(IF((OFFSET($C2347,0,$A2347))&lt;0,
MIN(0,I2347-(OFFSET($C2347,0,$A2347)/(OFFSET($C2342,-$A2346,$A2347)))),
MAX(0,I2347-(OFFSET($C2347,0,$A2347)/(OFFSET($C2342,-$A2346,$A2347))))),0))</f>
        <v>0</v>
      </c>
      <c r="K2347" s="1423">
        <f t="shared" ca="1" si="3473"/>
        <v>0</v>
      </c>
      <c r="L2347" s="1423">
        <f t="shared" ca="1" si="3474"/>
        <v>0</v>
      </c>
      <c r="M2347" s="1423">
        <f t="shared" ca="1" si="3475"/>
        <v>0</v>
      </c>
      <c r="N2347" s="1423">
        <f t="shared" ca="1" si="3476"/>
        <v>0</v>
      </c>
      <c r="O2347" s="1423">
        <f t="shared" ca="1" si="3477"/>
        <v>0</v>
      </c>
      <c r="P2347" s="1423">
        <f t="shared" ca="1" si="3478"/>
        <v>0</v>
      </c>
      <c r="Q2347" s="1423">
        <f t="shared" ca="1" si="3479"/>
        <v>0</v>
      </c>
      <c r="R2347" s="1423">
        <f t="shared" ca="1" si="3480"/>
        <v>0</v>
      </c>
      <c r="S2347" s="1423">
        <f t="shared" ca="1" si="3481"/>
        <v>0</v>
      </c>
      <c r="T2347" s="1423">
        <f t="shared" ca="1" si="3482"/>
        <v>0</v>
      </c>
      <c r="U2347" s="1423">
        <f t="shared" ca="1" si="3483"/>
        <v>0</v>
      </c>
      <c r="V2347" s="1423">
        <f t="shared" ca="1" si="3484"/>
        <v>0</v>
      </c>
      <c r="W2347" s="1423">
        <f t="shared" ca="1" si="3485"/>
        <v>0</v>
      </c>
      <c r="X2347" s="202"/>
      <c r="Y2347" s="202"/>
      <c r="Z2347" s="202"/>
      <c r="AA2347" s="152"/>
      <c r="AB2347" s="152"/>
    </row>
    <row r="2348" spans="1:28" hidden="1" outlineLevel="1">
      <c r="A2348" s="199">
        <f t="shared" si="3486"/>
        <v>7</v>
      </c>
      <c r="B2348" s="190" t="str">
        <f t="shared" ca="1" si="3487"/>
        <v>Depreciated Net Capex 2022-23</v>
      </c>
      <c r="C2348" s="1426"/>
      <c r="D2348" s="1426"/>
      <c r="E2348" s="1426"/>
      <c r="F2348" s="1426"/>
      <c r="G2348" s="1426"/>
      <c r="H2348" s="1426"/>
      <c r="I2348" s="1427"/>
      <c r="J2348" s="1428">
        <f>(J2336*((1+J$11)^0.5)/J$10)</f>
        <v>0</v>
      </c>
      <c r="K2348" s="1423">
        <f ca="1">IF(J2372="n/a",J2348,IFERROR(IF((OFFSET($C2348,0,$A2348))&lt;0,
MIN(0,J2348-(OFFSET($C2348,0,$A2348)/(OFFSET($C2343,-$A2347,$A2348)))),
MAX(0,J2348-(OFFSET($C2348,0,$A2348)/(OFFSET($C2343,-$A2347,$A2348))))),0))</f>
        <v>0</v>
      </c>
      <c r="L2348" s="1423">
        <f t="shared" ca="1" si="3474"/>
        <v>0</v>
      </c>
      <c r="M2348" s="1423">
        <f t="shared" ca="1" si="3475"/>
        <v>0</v>
      </c>
      <c r="N2348" s="1423">
        <f t="shared" ca="1" si="3476"/>
        <v>0</v>
      </c>
      <c r="O2348" s="1423">
        <f t="shared" ca="1" si="3477"/>
        <v>0</v>
      </c>
      <c r="P2348" s="1423">
        <f t="shared" ca="1" si="3478"/>
        <v>0</v>
      </c>
      <c r="Q2348" s="1423">
        <f t="shared" ca="1" si="3479"/>
        <v>0</v>
      </c>
      <c r="R2348" s="1423">
        <f t="shared" ca="1" si="3480"/>
        <v>0</v>
      </c>
      <c r="S2348" s="1423">
        <f t="shared" ca="1" si="3481"/>
        <v>0</v>
      </c>
      <c r="T2348" s="1423">
        <f t="shared" ca="1" si="3482"/>
        <v>0</v>
      </c>
      <c r="U2348" s="1423">
        <f t="shared" ca="1" si="3483"/>
        <v>0</v>
      </c>
      <c r="V2348" s="1423">
        <f t="shared" ca="1" si="3484"/>
        <v>0</v>
      </c>
      <c r="W2348" s="1423">
        <f t="shared" ca="1" si="3485"/>
        <v>0</v>
      </c>
      <c r="X2348" s="202"/>
      <c r="Y2348" s="202"/>
      <c r="Z2348" s="202"/>
      <c r="AA2348" s="152"/>
      <c r="AB2348" s="152"/>
    </row>
    <row r="2349" spans="1:28" hidden="1" outlineLevel="1">
      <c r="A2349" s="199">
        <f t="shared" si="3486"/>
        <v>8</v>
      </c>
      <c r="B2349" s="190" t="str">
        <f t="shared" ca="1" si="3487"/>
        <v>Depreciated Net Capex 2023-24</v>
      </c>
      <c r="C2349" s="1426"/>
      <c r="D2349" s="1426"/>
      <c r="E2349" s="1426"/>
      <c r="F2349" s="1426"/>
      <c r="G2349" s="1426"/>
      <c r="H2349" s="1426"/>
      <c r="I2349" s="1426"/>
      <c r="J2349" s="1427"/>
      <c r="K2349" s="1428">
        <f>(K2336*((1+K$11)^0.5)/K$10)</f>
        <v>0</v>
      </c>
      <c r="L2349" s="1423">
        <f ca="1">IF(K2373="n/a",K2349,IFERROR(IF((OFFSET($C2349,0,$A2349))&lt;0,
MIN(0,K2349-(OFFSET($C2349,0,$A2349)/(OFFSET($C2344,-$A2348,$A2349)))),
MAX(0,K2349-(OFFSET($C2349,0,$A2349)/(OFFSET($C2344,-$A2348,$A2349))))),0))</f>
        <v>0</v>
      </c>
      <c r="M2349" s="1423">
        <f t="shared" ca="1" si="3475"/>
        <v>0</v>
      </c>
      <c r="N2349" s="1423">
        <f t="shared" ca="1" si="3476"/>
        <v>0</v>
      </c>
      <c r="O2349" s="1423">
        <f t="shared" ca="1" si="3477"/>
        <v>0</v>
      </c>
      <c r="P2349" s="1423">
        <f t="shared" ca="1" si="3478"/>
        <v>0</v>
      </c>
      <c r="Q2349" s="1423">
        <f t="shared" ca="1" si="3479"/>
        <v>0</v>
      </c>
      <c r="R2349" s="1423">
        <f t="shared" ca="1" si="3480"/>
        <v>0</v>
      </c>
      <c r="S2349" s="1423">
        <f t="shared" ca="1" si="3481"/>
        <v>0</v>
      </c>
      <c r="T2349" s="1423">
        <f t="shared" ca="1" si="3482"/>
        <v>0</v>
      </c>
      <c r="U2349" s="1423">
        <f t="shared" ca="1" si="3483"/>
        <v>0</v>
      </c>
      <c r="V2349" s="1423">
        <f t="shared" ca="1" si="3484"/>
        <v>0</v>
      </c>
      <c r="W2349" s="1423">
        <f t="shared" ca="1" si="3485"/>
        <v>0</v>
      </c>
      <c r="X2349" s="202"/>
      <c r="Y2349" s="202"/>
      <c r="Z2349" s="202"/>
      <c r="AA2349" s="152"/>
      <c r="AB2349" s="152"/>
    </row>
    <row r="2350" spans="1:28" hidden="1" outlineLevel="1">
      <c r="A2350" s="199">
        <f t="shared" si="3486"/>
        <v>9</v>
      </c>
      <c r="B2350" s="190" t="str">
        <f t="shared" ca="1" si="3487"/>
        <v>Depreciated Net Capex 2024-25</v>
      </c>
      <c r="C2350" s="1426"/>
      <c r="D2350" s="1426"/>
      <c r="E2350" s="1426"/>
      <c r="F2350" s="1426"/>
      <c r="G2350" s="1426"/>
      <c r="H2350" s="1426"/>
      <c r="I2350" s="1426"/>
      <c r="J2350" s="1426"/>
      <c r="K2350" s="1427"/>
      <c r="L2350" s="1428">
        <f>(L2336*((1+L$11)^0.5)/L$10)</f>
        <v>0</v>
      </c>
      <c r="M2350" s="1423">
        <f ca="1">IF(L2374="n/a",L2350,IFERROR(IF((OFFSET($C2350,0,$A2350))&lt;0,
MIN(0,L2350-(OFFSET($C2350,0,$A2350)/(OFFSET($C2345,-$A2349,$A2350)))),
MAX(0,L2350-(OFFSET($C2350,0,$A2350)/(OFFSET($C2345,-$A2349,$A2350))))),0))</f>
        <v>0</v>
      </c>
      <c r="N2350" s="1423">
        <f t="shared" ca="1" si="3476"/>
        <v>0</v>
      </c>
      <c r="O2350" s="1423">
        <f t="shared" ca="1" si="3477"/>
        <v>0</v>
      </c>
      <c r="P2350" s="1423">
        <f t="shared" ca="1" si="3478"/>
        <v>0</v>
      </c>
      <c r="Q2350" s="1423">
        <f t="shared" ca="1" si="3479"/>
        <v>0</v>
      </c>
      <c r="R2350" s="1423">
        <f t="shared" ca="1" si="3480"/>
        <v>0</v>
      </c>
      <c r="S2350" s="1423">
        <f t="shared" ca="1" si="3481"/>
        <v>0</v>
      </c>
      <c r="T2350" s="1423">
        <f t="shared" ca="1" si="3482"/>
        <v>0</v>
      </c>
      <c r="U2350" s="1423">
        <f t="shared" ca="1" si="3483"/>
        <v>0</v>
      </c>
      <c r="V2350" s="1423">
        <f t="shared" ca="1" si="3484"/>
        <v>0</v>
      </c>
      <c r="W2350" s="1423">
        <f t="shared" ca="1" si="3485"/>
        <v>0</v>
      </c>
      <c r="X2350" s="202"/>
      <c r="Y2350" s="202"/>
      <c r="Z2350" s="202"/>
      <c r="AA2350" s="152"/>
      <c r="AB2350" s="152"/>
    </row>
    <row r="2351" spans="1:28" hidden="1" outlineLevel="1">
      <c r="A2351" s="199">
        <f t="shared" si="3486"/>
        <v>10</v>
      </c>
      <c r="B2351" s="190" t="str">
        <f t="shared" ca="1" si="3487"/>
        <v>Depreciated Net Capex 2025-26</v>
      </c>
      <c r="C2351" s="1426"/>
      <c r="D2351" s="1426"/>
      <c r="E2351" s="1426"/>
      <c r="F2351" s="1426"/>
      <c r="G2351" s="1426"/>
      <c r="H2351" s="1426"/>
      <c r="I2351" s="1426"/>
      <c r="J2351" s="1426"/>
      <c r="K2351" s="1426"/>
      <c r="L2351" s="1427"/>
      <c r="M2351" s="1428">
        <f>(M2336*((1+M$11)^0.5)/M$10)</f>
        <v>0</v>
      </c>
      <c r="N2351" s="1423">
        <f ca="1">IF(M2375="n/a",M2351,IFERROR(IF((OFFSET($C2351,0,$A2351))&lt;0,
MIN(0,M2351-(OFFSET($C2351,0,$A2351)/(OFFSET($C2346,-$A2350,$A2351)))),
MAX(0,M2351-(OFFSET($C2351,0,$A2351)/(OFFSET($C2346,-$A2350,$A2351))))),0))</f>
        <v>0</v>
      </c>
      <c r="O2351" s="1423">
        <f t="shared" ca="1" si="3477"/>
        <v>0</v>
      </c>
      <c r="P2351" s="1423">
        <f t="shared" ca="1" si="3478"/>
        <v>0</v>
      </c>
      <c r="Q2351" s="1423">
        <f t="shared" ca="1" si="3479"/>
        <v>0</v>
      </c>
      <c r="R2351" s="1423">
        <f t="shared" ca="1" si="3480"/>
        <v>0</v>
      </c>
      <c r="S2351" s="1423">
        <f t="shared" ca="1" si="3481"/>
        <v>0</v>
      </c>
      <c r="T2351" s="1423">
        <f t="shared" ca="1" si="3482"/>
        <v>0</v>
      </c>
      <c r="U2351" s="1423">
        <f t="shared" ca="1" si="3483"/>
        <v>0</v>
      </c>
      <c r="V2351" s="1423">
        <f t="shared" ca="1" si="3484"/>
        <v>0</v>
      </c>
      <c r="W2351" s="1423">
        <f t="shared" ca="1" si="3485"/>
        <v>0</v>
      </c>
      <c r="X2351" s="202"/>
      <c r="Y2351" s="202"/>
      <c r="Z2351" s="202"/>
      <c r="AA2351" s="152"/>
      <c r="AB2351" s="152"/>
    </row>
    <row r="2352" spans="1:28" hidden="1" outlineLevel="1">
      <c r="A2352" s="199">
        <f t="shared" si="3486"/>
        <v>11</v>
      </c>
      <c r="B2352" s="190" t="str">
        <f t="shared" ca="1" si="3487"/>
        <v>Depreciated Net Capex 2026-27</v>
      </c>
      <c r="C2352" s="1426"/>
      <c r="D2352" s="1426"/>
      <c r="E2352" s="1426"/>
      <c r="F2352" s="1426"/>
      <c r="G2352" s="1426"/>
      <c r="H2352" s="1426"/>
      <c r="I2352" s="1426"/>
      <c r="J2352" s="1426"/>
      <c r="K2352" s="1426"/>
      <c r="L2352" s="1426"/>
      <c r="M2352" s="1427"/>
      <c r="N2352" s="1428">
        <f>(N2336*((1+N$11)^0.5)/N$10)</f>
        <v>0</v>
      </c>
      <c r="O2352" s="1423">
        <f ca="1">IF(N2376="n/a",N2352,IFERROR(IF((OFFSET($C2352,0,$A2352))&lt;0,
MIN(0,N2352-(OFFSET($C2352,0,$A2352)/(OFFSET($C2347,-$A2351,$A2352)))),
MAX(0,N2352-(OFFSET($C2352,0,$A2352)/(OFFSET($C2347,-$A2351,$A2352))))),0))</f>
        <v>0</v>
      </c>
      <c r="P2352" s="1423">
        <f t="shared" ca="1" si="3478"/>
        <v>0</v>
      </c>
      <c r="Q2352" s="1423">
        <f t="shared" ca="1" si="3479"/>
        <v>0</v>
      </c>
      <c r="R2352" s="1423">
        <f t="shared" ca="1" si="3480"/>
        <v>0</v>
      </c>
      <c r="S2352" s="1423">
        <f t="shared" ca="1" si="3481"/>
        <v>0</v>
      </c>
      <c r="T2352" s="1423">
        <f t="shared" ca="1" si="3482"/>
        <v>0</v>
      </c>
      <c r="U2352" s="1423">
        <f t="shared" ca="1" si="3483"/>
        <v>0</v>
      </c>
      <c r="V2352" s="1423">
        <f t="shared" ca="1" si="3484"/>
        <v>0</v>
      </c>
      <c r="W2352" s="1423">
        <f t="shared" ca="1" si="3485"/>
        <v>0</v>
      </c>
      <c r="X2352" s="202"/>
      <c r="Y2352" s="202"/>
      <c r="Z2352" s="202"/>
      <c r="AA2352" s="152"/>
      <c r="AB2352" s="152"/>
    </row>
    <row r="2353" spans="1:28" hidden="1" outlineLevel="1">
      <c r="A2353" s="199">
        <f t="shared" si="3486"/>
        <v>12</v>
      </c>
      <c r="B2353" s="190" t="str">
        <f t="shared" ca="1" si="3487"/>
        <v>Depreciated Net Capex 2027-28</v>
      </c>
      <c r="C2353" s="1426"/>
      <c r="D2353" s="1426"/>
      <c r="E2353" s="1426"/>
      <c r="F2353" s="1426"/>
      <c r="G2353" s="1426"/>
      <c r="H2353" s="1426"/>
      <c r="I2353" s="1426"/>
      <c r="J2353" s="1426"/>
      <c r="K2353" s="1426"/>
      <c r="L2353" s="1426"/>
      <c r="M2353" s="1426"/>
      <c r="N2353" s="1427"/>
      <c r="O2353" s="1428">
        <f>(O2336*((1+O$11)^0.5)/O$10)</f>
        <v>0</v>
      </c>
      <c r="P2353" s="1423">
        <f ca="1">IF(O2377="n/a",O2353,IFERROR(IF((OFFSET($C2353,0,$A2353))&lt;0,
MIN(0,O2353-(OFFSET($C2353,0,$A2353)/(OFFSET($C2348,-$A2352,$A2353)))),
MAX(0,O2353-(OFFSET($C2353,0,$A2353)/(OFFSET($C2348,-$A2352,$A2353))))),0))</f>
        <v>0</v>
      </c>
      <c r="Q2353" s="1423">
        <f t="shared" ca="1" si="3479"/>
        <v>0</v>
      </c>
      <c r="R2353" s="1423">
        <f t="shared" ca="1" si="3480"/>
        <v>0</v>
      </c>
      <c r="S2353" s="1423">
        <f t="shared" ca="1" si="3481"/>
        <v>0</v>
      </c>
      <c r="T2353" s="1423">
        <f t="shared" ca="1" si="3482"/>
        <v>0</v>
      </c>
      <c r="U2353" s="1423">
        <f t="shared" ca="1" si="3483"/>
        <v>0</v>
      </c>
      <c r="V2353" s="1423">
        <f t="shared" ca="1" si="3484"/>
        <v>0</v>
      </c>
      <c r="W2353" s="1423">
        <f t="shared" ca="1" si="3485"/>
        <v>0</v>
      </c>
      <c r="X2353" s="202"/>
      <c r="Y2353" s="202"/>
      <c r="Z2353" s="202"/>
      <c r="AA2353" s="152"/>
      <c r="AB2353" s="152"/>
    </row>
    <row r="2354" spans="1:28" hidden="1" outlineLevel="1">
      <c r="A2354" s="199">
        <f t="shared" si="3486"/>
        <v>13</v>
      </c>
      <c r="B2354" s="190" t="str">
        <f t="shared" ca="1" si="3487"/>
        <v>Depreciated Net Capex 2028-29</v>
      </c>
      <c r="C2354" s="1426"/>
      <c r="D2354" s="1426"/>
      <c r="E2354" s="1426"/>
      <c r="F2354" s="1426"/>
      <c r="G2354" s="1426"/>
      <c r="H2354" s="1426"/>
      <c r="I2354" s="1426"/>
      <c r="J2354" s="1426"/>
      <c r="K2354" s="1426"/>
      <c r="L2354" s="1426"/>
      <c r="M2354" s="1426"/>
      <c r="N2354" s="1426"/>
      <c r="O2354" s="1427"/>
      <c r="P2354" s="1428">
        <f>(P2336*((1+P$11)^0.5)/P$10)</f>
        <v>0</v>
      </c>
      <c r="Q2354" s="1423">
        <f ca="1">IF(P2378="n/a",P2354,IFERROR(IF((OFFSET($C2354,0,$A2354))&lt;0,
MIN(0,P2354-(OFFSET($C2354,0,$A2354)/(OFFSET($C2349,-$A2353,$A2354)))),
MAX(0,P2354-(OFFSET($C2354,0,$A2354)/(OFFSET($C2349,-$A2353,$A2354))))),0))</f>
        <v>0</v>
      </c>
      <c r="R2354" s="1423">
        <f t="shared" ca="1" si="3480"/>
        <v>0</v>
      </c>
      <c r="S2354" s="1423">
        <f t="shared" ca="1" si="3481"/>
        <v>0</v>
      </c>
      <c r="T2354" s="1423">
        <f t="shared" ca="1" si="3482"/>
        <v>0</v>
      </c>
      <c r="U2354" s="1423">
        <f t="shared" ca="1" si="3483"/>
        <v>0</v>
      </c>
      <c r="V2354" s="1423">
        <f t="shared" ca="1" si="3484"/>
        <v>0</v>
      </c>
      <c r="W2354" s="1423">
        <f t="shared" ca="1" si="3485"/>
        <v>0</v>
      </c>
      <c r="X2354" s="202"/>
      <c r="Y2354" s="202"/>
      <c r="Z2354" s="202"/>
      <c r="AA2354" s="152"/>
      <c r="AB2354" s="152"/>
    </row>
    <row r="2355" spans="1:28" hidden="1" outlineLevel="1">
      <c r="A2355" s="199">
        <f t="shared" si="3486"/>
        <v>14</v>
      </c>
      <c r="B2355" s="190" t="str">
        <f t="shared" ca="1" si="3487"/>
        <v>Depreciated Net Capex 2029-30</v>
      </c>
      <c r="C2355" s="1426"/>
      <c r="D2355" s="1426"/>
      <c r="E2355" s="1426"/>
      <c r="F2355" s="1426"/>
      <c r="G2355" s="1426"/>
      <c r="H2355" s="1426"/>
      <c r="I2355" s="1426"/>
      <c r="J2355" s="1426"/>
      <c r="K2355" s="1426"/>
      <c r="L2355" s="1426"/>
      <c r="M2355" s="1426"/>
      <c r="N2355" s="1426"/>
      <c r="O2355" s="1426"/>
      <c r="P2355" s="1427"/>
      <c r="Q2355" s="1428">
        <f>(Q2336*((1+Q$11)^0.5)/Q$10)</f>
        <v>0</v>
      </c>
      <c r="R2355" s="1423">
        <f ca="1">IF(Q2379="n/a",Q2355,IFERROR(IF((OFFSET($C2355,0,$A2355))&lt;0,
MIN(0,Q2355-(OFFSET($C2355,0,$A2355)/(OFFSET($C2350,-$A2354,$A2355)))),
MAX(0,Q2355-(OFFSET($C2355,0,$A2355)/(OFFSET($C2350,-$A2354,$A2355))))),0))</f>
        <v>0</v>
      </c>
      <c r="S2355" s="1423">
        <f t="shared" ca="1" si="3481"/>
        <v>0</v>
      </c>
      <c r="T2355" s="1423">
        <f t="shared" ca="1" si="3482"/>
        <v>0</v>
      </c>
      <c r="U2355" s="1423">
        <f t="shared" ca="1" si="3483"/>
        <v>0</v>
      </c>
      <c r="V2355" s="1423">
        <f t="shared" ca="1" si="3484"/>
        <v>0</v>
      </c>
      <c r="W2355" s="1423">
        <f t="shared" ca="1" si="3485"/>
        <v>0</v>
      </c>
      <c r="X2355" s="202"/>
      <c r="Y2355" s="202"/>
      <c r="Z2355" s="202"/>
      <c r="AA2355" s="152"/>
      <c r="AB2355" s="152"/>
    </row>
    <row r="2356" spans="1:28" hidden="1" outlineLevel="1">
      <c r="A2356" s="199">
        <f t="shared" si="3486"/>
        <v>15</v>
      </c>
      <c r="B2356" s="190" t="str">
        <f t="shared" ca="1" si="3487"/>
        <v>Depreciated Net Capex 2030-31</v>
      </c>
      <c r="C2356" s="1426"/>
      <c r="D2356" s="1426"/>
      <c r="E2356" s="1426"/>
      <c r="F2356" s="1426"/>
      <c r="G2356" s="1426"/>
      <c r="H2356" s="1426"/>
      <c r="I2356" s="1426"/>
      <c r="J2356" s="1426"/>
      <c r="K2356" s="1426"/>
      <c r="L2356" s="1426"/>
      <c r="M2356" s="1426"/>
      <c r="N2356" s="1426"/>
      <c r="O2356" s="1426"/>
      <c r="P2356" s="1426"/>
      <c r="Q2356" s="1427"/>
      <c r="R2356" s="1428">
        <f>(R2336*((1+R$11)^0.5)/R$10)</f>
        <v>0</v>
      </c>
      <c r="S2356" s="1423">
        <f ca="1">IF(R2380="n/a",R2356,IFERROR(IF((OFFSET($C2356,0,$A2356))&lt;0,
MIN(0,R2356-(OFFSET($C2356,0,$A2356)/(OFFSET($C2351,-$A2355,$A2356)))),
MAX(0,R2356-(OFFSET($C2356,0,$A2356)/(OFFSET($C2351,-$A2355,$A2356))))),0))</f>
        <v>0</v>
      </c>
      <c r="T2356" s="1423">
        <f t="shared" ca="1" si="3482"/>
        <v>0</v>
      </c>
      <c r="U2356" s="1423">
        <f t="shared" ca="1" si="3483"/>
        <v>0</v>
      </c>
      <c r="V2356" s="1423">
        <f t="shared" ca="1" si="3484"/>
        <v>0</v>
      </c>
      <c r="W2356" s="1423">
        <f t="shared" ca="1" si="3485"/>
        <v>0</v>
      </c>
      <c r="X2356" s="202"/>
      <c r="Y2356" s="202"/>
      <c r="Z2356" s="202"/>
      <c r="AA2356" s="152"/>
      <c r="AB2356" s="152"/>
    </row>
    <row r="2357" spans="1:28" hidden="1" outlineLevel="1">
      <c r="A2357" s="199">
        <f t="shared" si="3486"/>
        <v>16</v>
      </c>
      <c r="B2357" s="190" t="str">
        <f t="shared" ca="1" si="3487"/>
        <v>Depreciated Net Capex 2031-32</v>
      </c>
      <c r="C2357" s="1426"/>
      <c r="D2357" s="1426"/>
      <c r="E2357" s="1426"/>
      <c r="F2357" s="1426"/>
      <c r="G2357" s="1426"/>
      <c r="H2357" s="1426"/>
      <c r="I2357" s="1426"/>
      <c r="J2357" s="1426"/>
      <c r="K2357" s="1426"/>
      <c r="L2357" s="1426"/>
      <c r="M2357" s="1426"/>
      <c r="N2357" s="1426"/>
      <c r="O2357" s="1426"/>
      <c r="P2357" s="1426"/>
      <c r="Q2357" s="1426"/>
      <c r="R2357" s="1427"/>
      <c r="S2357" s="1428">
        <f>(S2336*((1+S$11)^0.5)/S$10)</f>
        <v>0</v>
      </c>
      <c r="T2357" s="1423">
        <f ca="1">IF(S2381="n/a",S2357,IFERROR(IF((OFFSET($C2357,0,$A2357))&lt;0,
MIN(0,S2357-(OFFSET($C2357,0,$A2357)/(OFFSET($C2352,-$A2356,$A2357)))),
MAX(0,S2357-(OFFSET($C2357,0,$A2357)/(OFFSET($C2352,-$A2356,$A2357))))),0))</f>
        <v>0</v>
      </c>
      <c r="U2357" s="1423">
        <f t="shared" ca="1" si="3483"/>
        <v>0</v>
      </c>
      <c r="V2357" s="1423">
        <f t="shared" ca="1" si="3484"/>
        <v>0</v>
      </c>
      <c r="W2357" s="1423">
        <f t="shared" ca="1" si="3485"/>
        <v>0</v>
      </c>
      <c r="X2357" s="202"/>
      <c r="Y2357" s="202"/>
      <c r="Z2357" s="202"/>
      <c r="AA2357" s="152"/>
      <c r="AB2357" s="152"/>
    </row>
    <row r="2358" spans="1:28" hidden="1" outlineLevel="1">
      <c r="A2358" s="199">
        <f t="shared" si="3486"/>
        <v>17</v>
      </c>
      <c r="B2358" s="190" t="str">
        <f t="shared" ca="1" si="3487"/>
        <v>Depreciated Net Capex 2032-33</v>
      </c>
      <c r="C2358" s="1426"/>
      <c r="D2358" s="1426"/>
      <c r="E2358" s="1426"/>
      <c r="F2358" s="1426"/>
      <c r="G2358" s="1426"/>
      <c r="H2358" s="1426"/>
      <c r="I2358" s="1426"/>
      <c r="J2358" s="1426"/>
      <c r="K2358" s="1426"/>
      <c r="L2358" s="1426"/>
      <c r="M2358" s="1426"/>
      <c r="N2358" s="1426"/>
      <c r="O2358" s="1426"/>
      <c r="P2358" s="1426"/>
      <c r="Q2358" s="1426"/>
      <c r="R2358" s="1426"/>
      <c r="S2358" s="1427"/>
      <c r="T2358" s="1428">
        <f>(T2336*((1+T$11)^0.5)/T$10)</f>
        <v>0</v>
      </c>
      <c r="U2358" s="1423">
        <f ca="1">IF(T2382="n/a",T2358,IFERROR(IF((OFFSET($C2358,0,$A2358))&lt;0,
MIN(0,T2358-(OFFSET($C2358,0,$A2358)/(OFFSET($C2353,-$A2357,$A2358)))),
MAX(0,T2358-(OFFSET($C2358,0,$A2358)/(OFFSET($C2353,-$A2357,$A2358))))),0))</f>
        <v>0</v>
      </c>
      <c r="V2358" s="1423">
        <f t="shared" ca="1" si="3484"/>
        <v>0</v>
      </c>
      <c r="W2358" s="1423">
        <f t="shared" ca="1" si="3485"/>
        <v>0</v>
      </c>
      <c r="X2358" s="202"/>
      <c r="Y2358" s="202"/>
      <c r="Z2358" s="202"/>
      <c r="AA2358" s="152"/>
      <c r="AB2358" s="152"/>
    </row>
    <row r="2359" spans="1:28" hidden="1" outlineLevel="1">
      <c r="A2359" s="199">
        <f t="shared" si="3486"/>
        <v>18</v>
      </c>
      <c r="B2359" s="190" t="str">
        <f t="shared" ca="1" si="3487"/>
        <v>Depreciated Net Capex 2033-34</v>
      </c>
      <c r="C2359" s="1426"/>
      <c r="D2359" s="1426"/>
      <c r="E2359" s="1426"/>
      <c r="F2359" s="1426"/>
      <c r="G2359" s="1426"/>
      <c r="H2359" s="1426"/>
      <c r="I2359" s="1426"/>
      <c r="J2359" s="1426"/>
      <c r="K2359" s="1426"/>
      <c r="L2359" s="1426"/>
      <c r="M2359" s="1426"/>
      <c r="N2359" s="1426"/>
      <c r="O2359" s="1426"/>
      <c r="P2359" s="1426"/>
      <c r="Q2359" s="1426"/>
      <c r="R2359" s="1426"/>
      <c r="S2359" s="1426"/>
      <c r="T2359" s="1427"/>
      <c r="U2359" s="1428">
        <f>(U2336*((1+U$11)^0.5)/U$10)</f>
        <v>0</v>
      </c>
      <c r="V2359" s="1423">
        <f ca="1">IF(U2383="n/a",U2359,IFERROR(IF((OFFSET($C2359,0,$A2359))&lt;0,
MIN(0,U2359-(OFFSET($C2359,0,$A2359)/(OFFSET($C2354,-$A2358,$A2359)))),
MAX(0,U2359-(OFFSET($C2359,0,$A2359)/(OFFSET($C2354,-$A2358,$A2359))))),0))</f>
        <v>0</v>
      </c>
      <c r="W2359" s="1423">
        <f t="shared" ca="1" si="3485"/>
        <v>0</v>
      </c>
      <c r="X2359" s="202"/>
      <c r="Y2359" s="202"/>
      <c r="Z2359" s="202"/>
      <c r="AA2359" s="152"/>
      <c r="AB2359" s="152"/>
    </row>
    <row r="2360" spans="1:28" hidden="1" outlineLevel="1">
      <c r="A2360" s="199">
        <f t="shared" si="3486"/>
        <v>19</v>
      </c>
      <c r="B2360" s="190" t="str">
        <f t="shared" ca="1" si="3487"/>
        <v>Depreciated Net Capex 2034-35</v>
      </c>
      <c r="C2360" s="1426"/>
      <c r="D2360" s="1426"/>
      <c r="E2360" s="1426"/>
      <c r="F2360" s="1426"/>
      <c r="G2360" s="1426"/>
      <c r="H2360" s="1426"/>
      <c r="I2360" s="1426"/>
      <c r="J2360" s="1426"/>
      <c r="K2360" s="1426"/>
      <c r="L2360" s="1426"/>
      <c r="M2360" s="1426"/>
      <c r="N2360" s="1426"/>
      <c r="O2360" s="1426"/>
      <c r="P2360" s="1426"/>
      <c r="Q2360" s="1426"/>
      <c r="R2360" s="1426"/>
      <c r="S2360" s="1426"/>
      <c r="T2360" s="1426"/>
      <c r="U2360" s="1427"/>
      <c r="V2360" s="1428">
        <f>(V2336*((1+V$11)^0.5)/V$10)</f>
        <v>0</v>
      </c>
      <c r="W2360" s="1423">
        <f ca="1">IF(V2384="n/a",V2360,IFERROR(IF((OFFSET($C2360,0,$A2360))&lt;0,
MIN(0,V2360-(OFFSET($C2360,0,$A2360)/(OFFSET($C2355,-$A2359,$A2360)))),
MAX(0,V2360-(OFFSET($C2360,0,$A2360)/(OFFSET($C2355,-$A2359,$A2360))))),0))</f>
        <v>0</v>
      </c>
      <c r="X2360" s="202"/>
      <c r="Y2360" s="202"/>
      <c r="Z2360" s="202"/>
      <c r="AA2360" s="152"/>
      <c r="AB2360" s="152"/>
    </row>
    <row r="2361" spans="1:28" hidden="1" outlineLevel="1">
      <c r="A2361" s="199">
        <f t="shared" si="3486"/>
        <v>20</v>
      </c>
      <c r="B2361" s="190" t="str">
        <f ca="1">"Depreciated Net Capex "&amp;OFFSET($C$6,0,A2361)</f>
        <v>Depreciated Net Capex 2035-36</v>
      </c>
      <c r="C2361" s="1426"/>
      <c r="D2361" s="1426"/>
      <c r="E2361" s="1426"/>
      <c r="F2361" s="1426"/>
      <c r="G2361" s="1426"/>
      <c r="H2361" s="1426"/>
      <c r="I2361" s="1426"/>
      <c r="J2361" s="1426"/>
      <c r="K2361" s="1426"/>
      <c r="L2361" s="1426"/>
      <c r="M2361" s="1426"/>
      <c r="N2361" s="1426"/>
      <c r="O2361" s="1426"/>
      <c r="P2361" s="1426"/>
      <c r="Q2361" s="1426"/>
      <c r="R2361" s="1426"/>
      <c r="S2361" s="1426"/>
      <c r="T2361" s="1426"/>
      <c r="U2361" s="1426"/>
      <c r="V2361" s="1427"/>
      <c r="W2361" s="1423">
        <f>(W2336*((1+W$11)^0.5)/W$10)</f>
        <v>0</v>
      </c>
      <c r="X2361" s="152"/>
      <c r="Y2361" s="152"/>
      <c r="Z2361" s="152"/>
      <c r="AA2361" s="152"/>
      <c r="AB2361" s="152"/>
    </row>
    <row r="2362" spans="1:28" hidden="1" outlineLevel="1">
      <c r="A2362" s="152"/>
      <c r="B2362" s="200"/>
      <c r="C2362" s="1423"/>
      <c r="D2362" s="1423"/>
      <c r="E2362" s="1423"/>
      <c r="F2362" s="1423"/>
      <c r="G2362" s="1423"/>
      <c r="H2362" s="1423"/>
      <c r="I2362" s="1423"/>
      <c r="J2362" s="1423"/>
      <c r="K2362" s="1423"/>
      <c r="L2362" s="1423"/>
      <c r="M2362" s="1423"/>
      <c r="N2362" s="1423"/>
      <c r="O2362" s="1423"/>
      <c r="P2362" s="1423"/>
      <c r="Q2362" s="1423"/>
      <c r="R2362" s="1423"/>
      <c r="S2362" s="1423"/>
      <c r="T2362" s="1423"/>
      <c r="U2362" s="1423"/>
      <c r="V2362" s="1423"/>
      <c r="W2362" s="1423"/>
      <c r="X2362" s="152"/>
      <c r="Y2362" s="152"/>
      <c r="Z2362" s="152"/>
      <c r="AA2362" s="152"/>
      <c r="AB2362" s="152"/>
    </row>
    <row r="2363" spans="1:28" hidden="1" outlineLevel="1">
      <c r="A2363" s="152"/>
      <c r="B2363" s="200"/>
      <c r="C2363" s="1423"/>
      <c r="D2363" s="1423"/>
      <c r="E2363" s="1423"/>
      <c r="F2363" s="1423"/>
      <c r="G2363" s="1423"/>
      <c r="H2363" s="1423"/>
      <c r="I2363" s="1423"/>
      <c r="J2363" s="1423"/>
      <c r="K2363" s="1423"/>
      <c r="L2363" s="1423"/>
      <c r="M2363" s="1423"/>
      <c r="N2363" s="1423"/>
      <c r="O2363" s="1423"/>
      <c r="P2363" s="1423"/>
      <c r="Q2363" s="1423"/>
      <c r="R2363" s="1423"/>
      <c r="S2363" s="1423"/>
      <c r="T2363" s="1423"/>
      <c r="U2363" s="1423"/>
      <c r="V2363" s="1423"/>
      <c r="W2363" s="1423"/>
      <c r="X2363" s="152"/>
      <c r="Y2363" s="152"/>
      <c r="Z2363" s="152"/>
      <c r="AA2363" s="152"/>
      <c r="AB2363" s="152"/>
    </row>
    <row r="2364" spans="1:28" hidden="1" outlineLevel="1">
      <c r="A2364" s="152"/>
      <c r="B2364" s="190" t="s">
        <v>190</v>
      </c>
      <c r="C2364" s="1423"/>
      <c r="D2364" s="1423">
        <f ca="1">IF(AND(C2364&lt;1,D2338=0),0,
IF(D2338=0,C2364-1,
IF(C2364&lt;1,D2339,
(((C2364-1)*(C2340-(C2340/(C2364))))+((D2338/D$10)*D2339))/(D2340))))</f>
        <v>0</v>
      </c>
      <c r="E2364" s="1423">
        <f t="shared" ref="E2364" ca="1" si="3488">IF(AND(D2364&lt;1,E2338=0),0,
IF(E2338=0,D2364-1,
IF(D2364&lt;1,E2339,
(((D2364-1)*(D2340-(D2340/(D2364))))+((E2338/E$10)*E2339))/(E2340))))</f>
        <v>0</v>
      </c>
      <c r="F2364" s="1423">
        <f t="shared" ref="F2364" ca="1" si="3489">IF(AND(E2364&lt;1,F2338=0),0,
IF(F2338=0,E2364-1,
IF(E2364&lt;1,F2339,
(((E2364-1)*(E2340-(E2340/(E2364))))+((F2338/F$10)*F2339))/(F2340))))</f>
        <v>0</v>
      </c>
      <c r="G2364" s="1423">
        <f t="shared" ref="G2364" ca="1" si="3490">IF(AND(F2364&lt;1,G2338=0),0,
IF(G2338=0,F2364-1,
IF(F2364&lt;1,G2339,
(((F2364-1)*(F2340-(F2340/(F2364))))+((G2338/G$10)*G2339))/(G2340))))</f>
        <v>0</v>
      </c>
      <c r="H2364" s="1423">
        <f t="shared" ref="H2364" ca="1" si="3491">IF(AND(G2364&lt;1,H2338=0),0,
IF(H2338=0,G2364-1,
IF(G2364&lt;1,H2339,
(((G2364-1)*(G2340-(G2340/(G2364))))+((H2338/H$10)*H2339))/(H2340))))</f>
        <v>0</v>
      </c>
      <c r="I2364" s="1423">
        <f t="shared" ref="I2364" ca="1" si="3492">IF(AND(H2364&lt;1,I2338=0),0,
IF(I2338=0,H2364-1,
IF(H2364&lt;1,I2339,
(((H2364-1)*(H2340-(H2340/(H2364))))+((I2338/I$10)*I2339))/(I2340))))</f>
        <v>0</v>
      </c>
      <c r="J2364" s="1423">
        <f t="shared" ref="J2364" ca="1" si="3493">IF(AND(I2364&lt;1,J2338=0),0,
IF(J2338=0,I2364-1,
IF(I2364&lt;1,J2339,
(((I2364-1)*(I2340-(I2340/(I2364))))+((J2338/J$10)*J2339))/(J2340))))</f>
        <v>0</v>
      </c>
      <c r="K2364" s="1423">
        <f t="shared" ref="K2364" ca="1" si="3494">IF(AND(J2364&lt;1,K2338=0),0,
IF(K2338=0,J2364-1,
IF(J2364&lt;1,K2339,
(((J2364-1)*(J2340-(J2340/(J2364))))+((K2338/K$10)*K2339))/(K2340))))</f>
        <v>0</v>
      </c>
      <c r="L2364" s="1423">
        <f t="shared" ref="L2364" ca="1" si="3495">IF(AND(K2364&lt;1,L2338=0),0,
IF(L2338=0,K2364-1,
IF(K2364&lt;1,L2339,
(((K2364-1)*(K2340-(K2340/(K2364))))+((L2338/L$10)*L2339))/(L2340))))</f>
        <v>0</v>
      </c>
      <c r="M2364" s="1423">
        <f t="shared" ref="M2364" ca="1" si="3496">IF(AND(L2364&lt;1,M2338=0),0,
IF(M2338=0,L2364-1,
IF(L2364&lt;1,M2339,
(((L2364-1)*(L2340-(L2340/(L2364))))+((M2338/M$10)*M2339))/(M2340))))</f>
        <v>0</v>
      </c>
      <c r="N2364" s="1423">
        <f t="shared" ref="N2364" ca="1" si="3497">IF(AND(M2364&lt;1,N2338=0),0,
IF(N2338=0,M2364-1,
IF(M2364&lt;1,N2339,
(((M2364-1)*(M2340-(M2340/(M2364))))+((N2338/N$10)*N2339))/(N2340))))</f>
        <v>0</v>
      </c>
      <c r="O2364" s="1423">
        <f t="shared" ref="O2364" ca="1" si="3498">IF(AND(N2364&lt;1,O2338=0),0,
IF(O2338=0,N2364-1,
IF(N2364&lt;1,O2339,
(((N2364-1)*(N2340-(N2340/(N2364))))+((O2338/O$10)*O2339))/(O2340))))</f>
        <v>0</v>
      </c>
      <c r="P2364" s="1423">
        <f t="shared" ref="P2364" ca="1" si="3499">IF(AND(O2364&lt;1,P2338=0),0,
IF(P2338=0,O2364-1,
IF(O2364&lt;1,P2339,
(((O2364-1)*(O2340-(O2340/(O2364))))+((P2338/P$10)*P2339))/(P2340))))</f>
        <v>0</v>
      </c>
      <c r="Q2364" s="1423">
        <f t="shared" ref="Q2364" ca="1" si="3500">IF(AND(P2364&lt;1,Q2338=0),0,
IF(Q2338=0,P2364-1,
IF(P2364&lt;1,Q2339,
(((P2364-1)*(P2340-(P2340/(P2364))))+((Q2338/Q$10)*Q2339))/(Q2340))))</f>
        <v>0</v>
      </c>
      <c r="R2364" s="1423">
        <f t="shared" ref="R2364" ca="1" si="3501">IF(AND(Q2364&lt;1,R2338=0),0,
IF(R2338=0,Q2364-1,
IF(Q2364&lt;1,R2339,
(((Q2364-1)*(Q2340-(Q2340/(Q2364))))+((R2338/R$10)*R2339))/(R2340))))</f>
        <v>0</v>
      </c>
      <c r="S2364" s="1423">
        <f t="shared" ref="S2364" ca="1" si="3502">IF(AND(R2364&lt;1,S2338=0),0,
IF(S2338=0,R2364-1,
IF(R2364&lt;1,S2339,
(((R2364-1)*(R2340-(R2340/(R2364))))+((S2338/S$10)*S2339))/(S2340))))</f>
        <v>0</v>
      </c>
      <c r="T2364" s="1423">
        <f t="shared" ref="T2364" ca="1" si="3503">IF(AND(S2364&lt;1,T2338=0),0,
IF(T2338=0,S2364-1,
IF(S2364&lt;1,T2339,
(((S2364-1)*(S2340-(S2340/(S2364))))+((T2338/T$10)*T2339))/(T2340))))</f>
        <v>0</v>
      </c>
      <c r="U2364" s="1423">
        <f t="shared" ref="U2364" ca="1" si="3504">IF(AND(T2364&lt;1,U2338=0),0,
IF(U2338=0,T2364-1,
IF(T2364&lt;1,U2339,
(((T2364-1)*(T2340-(T2340/(T2364))))+((U2338/U$10)*U2339))/(U2340))))</f>
        <v>0</v>
      </c>
      <c r="V2364" s="1423">
        <f t="shared" ref="V2364" ca="1" si="3505">IF(AND(U2364&lt;1,V2338=0),0,
IF(V2338=0,U2364-1,
IF(U2364&lt;1,V2339,
(((U2364-1)*(U2340-(U2340/(U2364))))+((V2338/V$10)*V2339))/(V2340))))</f>
        <v>0</v>
      </c>
      <c r="W2364" s="1423">
        <f t="shared" ref="W2364" ca="1" si="3506">IF(AND(V2364&lt;1,W2338=0),0,
IF(W2338=0,V2364-1,
IF(V2364&lt;1,W2339,
(((V2364-1)*(V2340-(V2340/(V2364))))+((W2338/W$10)*W2339))/(W2340))))</f>
        <v>0</v>
      </c>
      <c r="X2364" s="152"/>
      <c r="Y2364" s="152"/>
      <c r="Z2364" s="152"/>
      <c r="AA2364" s="152"/>
      <c r="AB2364" s="152"/>
    </row>
    <row r="2365" spans="1:28" hidden="1" outlineLevel="1">
      <c r="A2365" s="152"/>
      <c r="B2365" s="190" t="s">
        <v>122</v>
      </c>
      <c r="C2365" s="1423">
        <f ca="1">C2337</f>
        <v>0</v>
      </c>
      <c r="D2365" s="1423">
        <f t="shared" ref="D2365" ca="1" si="3507">IF(C2365="n/a","n/a",MAX(0,C2365-1))</f>
        <v>0</v>
      </c>
      <c r="E2365" s="1423">
        <f t="shared" ref="E2365:E2366" ca="1" si="3508">IF(D2365="n/a","n/a",MAX(0,D2365-1))</f>
        <v>0</v>
      </c>
      <c r="F2365" s="1423">
        <f t="shared" ref="F2365:F2367" ca="1" si="3509">IF(E2365="n/a","n/a",MAX(0,E2365-1))</f>
        <v>0</v>
      </c>
      <c r="G2365" s="1423">
        <f t="shared" ref="G2365:G2368" ca="1" si="3510">IF(F2365="n/a","n/a",MAX(0,F2365-1))</f>
        <v>0</v>
      </c>
      <c r="H2365" s="1423">
        <f t="shared" ref="H2365:H2369" ca="1" si="3511">IF(G2365="n/a","n/a",MAX(0,G2365-1))</f>
        <v>0</v>
      </c>
      <c r="I2365" s="1423">
        <f t="shared" ref="I2365:I2370" ca="1" si="3512">IF(H2365="n/a","n/a",MAX(0,H2365-1))</f>
        <v>0</v>
      </c>
      <c r="J2365" s="1423">
        <f t="shared" ref="J2365:J2371" ca="1" si="3513">IF(I2365="n/a","n/a",MAX(0,I2365-1))</f>
        <v>0</v>
      </c>
      <c r="K2365" s="1423">
        <f t="shared" ref="K2365:K2372" ca="1" si="3514">IF(J2365="n/a","n/a",MAX(0,J2365-1))</f>
        <v>0</v>
      </c>
      <c r="L2365" s="1423">
        <f t="shared" ref="L2365:L2373" ca="1" si="3515">IF(K2365="n/a","n/a",MAX(0,K2365-1))</f>
        <v>0</v>
      </c>
      <c r="M2365" s="1423">
        <f t="shared" ref="M2365:M2374" ca="1" si="3516">IF(L2365="n/a","n/a",MAX(0,L2365-1))</f>
        <v>0</v>
      </c>
      <c r="N2365" s="1423">
        <f t="shared" ref="N2365:N2375" ca="1" si="3517">IF(M2365="n/a","n/a",MAX(0,M2365-1))</f>
        <v>0</v>
      </c>
      <c r="O2365" s="1423">
        <f t="shared" ref="O2365:O2376" ca="1" si="3518">IF(N2365="n/a","n/a",MAX(0,N2365-1))</f>
        <v>0</v>
      </c>
      <c r="P2365" s="1423">
        <f t="shared" ref="P2365:P2377" ca="1" si="3519">IF(O2365="n/a","n/a",MAX(0,O2365-1))</f>
        <v>0</v>
      </c>
      <c r="Q2365" s="1423">
        <f t="shared" ref="Q2365:Q2378" ca="1" si="3520">IF(P2365="n/a","n/a",MAX(0,P2365-1))</f>
        <v>0</v>
      </c>
      <c r="R2365" s="1423">
        <f t="shared" ref="R2365:R2379" ca="1" si="3521">IF(Q2365="n/a","n/a",MAX(0,Q2365-1))</f>
        <v>0</v>
      </c>
      <c r="S2365" s="1423">
        <f t="shared" ref="S2365:S2380" ca="1" si="3522">IF(R2365="n/a","n/a",MAX(0,R2365-1))</f>
        <v>0</v>
      </c>
      <c r="T2365" s="1423">
        <f t="shared" ref="T2365:T2381" ca="1" si="3523">IF(S2365="n/a","n/a",MAX(0,S2365-1))</f>
        <v>0</v>
      </c>
      <c r="U2365" s="1423">
        <f t="shared" ref="U2365:U2382" ca="1" si="3524">IF(T2365="n/a","n/a",MAX(0,T2365-1))</f>
        <v>0</v>
      </c>
      <c r="V2365" s="1423">
        <f t="shared" ref="V2365:V2383" ca="1" si="3525">IF(U2365="n/a","n/a",MAX(0,U2365-1))</f>
        <v>0</v>
      </c>
      <c r="W2365" s="1423">
        <f t="shared" ref="W2365:W2383" ca="1" si="3526">IF(V2365="n/a","n/a",MAX(0,V2365-1))</f>
        <v>0</v>
      </c>
      <c r="X2365" s="152"/>
      <c r="Y2365" s="152"/>
      <c r="Z2365" s="152"/>
      <c r="AA2365" s="152"/>
      <c r="AB2365" s="152"/>
    </row>
    <row r="2366" spans="1:28" hidden="1" outlineLevel="1">
      <c r="A2366" s="152"/>
      <c r="B2366" s="190" t="str">
        <f t="shared" ref="B2366:B2385" ca="1" si="3527">"RL Capex "&amp;OFFSET($C$6,0,A2342)</f>
        <v>RL Capex 2016-17</v>
      </c>
      <c r="C2366" s="1424"/>
      <c r="D2366" s="1428">
        <f>D2337</f>
        <v>0</v>
      </c>
      <c r="E2366" s="1423">
        <f t="shared" si="3508"/>
        <v>0</v>
      </c>
      <c r="F2366" s="1423">
        <f t="shared" si="3509"/>
        <v>0</v>
      </c>
      <c r="G2366" s="1423">
        <f t="shared" si="3510"/>
        <v>0</v>
      </c>
      <c r="H2366" s="1423">
        <f t="shared" si="3511"/>
        <v>0</v>
      </c>
      <c r="I2366" s="1423">
        <f t="shared" si="3512"/>
        <v>0</v>
      </c>
      <c r="J2366" s="1423">
        <f t="shared" si="3513"/>
        <v>0</v>
      </c>
      <c r="K2366" s="1423">
        <f t="shared" si="3514"/>
        <v>0</v>
      </c>
      <c r="L2366" s="1423">
        <f t="shared" si="3515"/>
        <v>0</v>
      </c>
      <c r="M2366" s="1423">
        <f t="shared" si="3516"/>
        <v>0</v>
      </c>
      <c r="N2366" s="1423">
        <f t="shared" si="3517"/>
        <v>0</v>
      </c>
      <c r="O2366" s="1423">
        <f t="shared" si="3518"/>
        <v>0</v>
      </c>
      <c r="P2366" s="1423">
        <f t="shared" si="3519"/>
        <v>0</v>
      </c>
      <c r="Q2366" s="1423">
        <f t="shared" si="3520"/>
        <v>0</v>
      </c>
      <c r="R2366" s="1423">
        <f t="shared" si="3521"/>
        <v>0</v>
      </c>
      <c r="S2366" s="1423">
        <f t="shared" si="3522"/>
        <v>0</v>
      </c>
      <c r="T2366" s="1423">
        <f t="shared" si="3523"/>
        <v>0</v>
      </c>
      <c r="U2366" s="1423">
        <f t="shared" si="3524"/>
        <v>0</v>
      </c>
      <c r="V2366" s="1423">
        <f t="shared" si="3525"/>
        <v>0</v>
      </c>
      <c r="W2366" s="1423">
        <f t="shared" si="3526"/>
        <v>0</v>
      </c>
      <c r="X2366" s="152"/>
      <c r="Y2366" s="152"/>
      <c r="Z2366" s="152"/>
      <c r="AA2366" s="152"/>
      <c r="AB2366" s="152"/>
    </row>
    <row r="2367" spans="1:28" hidden="1" outlineLevel="1">
      <c r="A2367" s="152"/>
      <c r="B2367" s="190" t="str">
        <f t="shared" ca="1" si="3527"/>
        <v>RL Capex 2017-18</v>
      </c>
      <c r="C2367" s="1429"/>
      <c r="D2367" s="1424"/>
      <c r="E2367" s="1428">
        <f>E2337</f>
        <v>0</v>
      </c>
      <c r="F2367" s="1423">
        <f t="shared" si="3509"/>
        <v>0</v>
      </c>
      <c r="G2367" s="1423">
        <f t="shared" si="3510"/>
        <v>0</v>
      </c>
      <c r="H2367" s="1423">
        <f t="shared" si="3511"/>
        <v>0</v>
      </c>
      <c r="I2367" s="1423">
        <f t="shared" si="3512"/>
        <v>0</v>
      </c>
      <c r="J2367" s="1423">
        <f t="shared" si="3513"/>
        <v>0</v>
      </c>
      <c r="K2367" s="1423">
        <f t="shared" si="3514"/>
        <v>0</v>
      </c>
      <c r="L2367" s="1423">
        <f t="shared" si="3515"/>
        <v>0</v>
      </c>
      <c r="M2367" s="1423">
        <f t="shared" si="3516"/>
        <v>0</v>
      </c>
      <c r="N2367" s="1423">
        <f t="shared" si="3517"/>
        <v>0</v>
      </c>
      <c r="O2367" s="1423">
        <f t="shared" si="3518"/>
        <v>0</v>
      </c>
      <c r="P2367" s="1423">
        <f t="shared" si="3519"/>
        <v>0</v>
      </c>
      <c r="Q2367" s="1423">
        <f t="shared" si="3520"/>
        <v>0</v>
      </c>
      <c r="R2367" s="1423">
        <f t="shared" si="3521"/>
        <v>0</v>
      </c>
      <c r="S2367" s="1423">
        <f t="shared" si="3522"/>
        <v>0</v>
      </c>
      <c r="T2367" s="1423">
        <f t="shared" si="3523"/>
        <v>0</v>
      </c>
      <c r="U2367" s="1423">
        <f t="shared" si="3524"/>
        <v>0</v>
      </c>
      <c r="V2367" s="1423">
        <f t="shared" si="3525"/>
        <v>0</v>
      </c>
      <c r="W2367" s="1423">
        <f t="shared" si="3526"/>
        <v>0</v>
      </c>
      <c r="X2367" s="152"/>
      <c r="Y2367" s="152"/>
      <c r="Z2367" s="152"/>
      <c r="AA2367" s="152"/>
      <c r="AB2367" s="152"/>
    </row>
    <row r="2368" spans="1:28" hidden="1" outlineLevel="1">
      <c r="A2368" s="152"/>
      <c r="B2368" s="190" t="str">
        <f t="shared" ca="1" si="3527"/>
        <v>RL Capex 2018-19</v>
      </c>
      <c r="C2368" s="1429"/>
      <c r="D2368" s="1429"/>
      <c r="E2368" s="1424"/>
      <c r="F2368" s="1428">
        <f>F2337</f>
        <v>0</v>
      </c>
      <c r="G2368" s="1423">
        <f t="shared" si="3510"/>
        <v>0</v>
      </c>
      <c r="H2368" s="1423">
        <f t="shared" si="3511"/>
        <v>0</v>
      </c>
      <c r="I2368" s="1423">
        <f t="shared" si="3512"/>
        <v>0</v>
      </c>
      <c r="J2368" s="1423">
        <f t="shared" si="3513"/>
        <v>0</v>
      </c>
      <c r="K2368" s="1423">
        <f t="shared" si="3514"/>
        <v>0</v>
      </c>
      <c r="L2368" s="1423">
        <f t="shared" si="3515"/>
        <v>0</v>
      </c>
      <c r="M2368" s="1423">
        <f t="shared" si="3516"/>
        <v>0</v>
      </c>
      <c r="N2368" s="1423">
        <f t="shared" si="3517"/>
        <v>0</v>
      </c>
      <c r="O2368" s="1423">
        <f t="shared" si="3518"/>
        <v>0</v>
      </c>
      <c r="P2368" s="1423">
        <f t="shared" si="3519"/>
        <v>0</v>
      </c>
      <c r="Q2368" s="1423">
        <f t="shared" si="3520"/>
        <v>0</v>
      </c>
      <c r="R2368" s="1423">
        <f t="shared" si="3521"/>
        <v>0</v>
      </c>
      <c r="S2368" s="1423">
        <f t="shared" si="3522"/>
        <v>0</v>
      </c>
      <c r="T2368" s="1423">
        <f t="shared" si="3523"/>
        <v>0</v>
      </c>
      <c r="U2368" s="1423">
        <f t="shared" si="3524"/>
        <v>0</v>
      </c>
      <c r="V2368" s="1423">
        <f t="shared" si="3525"/>
        <v>0</v>
      </c>
      <c r="W2368" s="1423">
        <f t="shared" si="3526"/>
        <v>0</v>
      </c>
      <c r="X2368" s="152"/>
      <c r="Y2368" s="152"/>
      <c r="Z2368" s="152"/>
      <c r="AA2368" s="152"/>
      <c r="AB2368" s="152"/>
    </row>
    <row r="2369" spans="1:28" hidden="1" outlineLevel="1">
      <c r="A2369" s="152"/>
      <c r="B2369" s="190" t="str">
        <f t="shared" ca="1" si="3527"/>
        <v>RL Capex 2019-20</v>
      </c>
      <c r="C2369" s="1429"/>
      <c r="D2369" s="1429"/>
      <c r="E2369" s="1429"/>
      <c r="F2369" s="1424"/>
      <c r="G2369" s="1428">
        <f>G2337</f>
        <v>0</v>
      </c>
      <c r="H2369" s="1423">
        <f t="shared" si="3511"/>
        <v>0</v>
      </c>
      <c r="I2369" s="1423">
        <f t="shared" si="3512"/>
        <v>0</v>
      </c>
      <c r="J2369" s="1423">
        <f t="shared" si="3513"/>
        <v>0</v>
      </c>
      <c r="K2369" s="1423">
        <f t="shared" si="3514"/>
        <v>0</v>
      </c>
      <c r="L2369" s="1423">
        <f t="shared" si="3515"/>
        <v>0</v>
      </c>
      <c r="M2369" s="1423">
        <f t="shared" si="3516"/>
        <v>0</v>
      </c>
      <c r="N2369" s="1423">
        <f t="shared" si="3517"/>
        <v>0</v>
      </c>
      <c r="O2369" s="1423">
        <f t="shared" si="3518"/>
        <v>0</v>
      </c>
      <c r="P2369" s="1423">
        <f t="shared" si="3519"/>
        <v>0</v>
      </c>
      <c r="Q2369" s="1423">
        <f t="shared" si="3520"/>
        <v>0</v>
      </c>
      <c r="R2369" s="1423">
        <f t="shared" si="3521"/>
        <v>0</v>
      </c>
      <c r="S2369" s="1423">
        <f t="shared" si="3522"/>
        <v>0</v>
      </c>
      <c r="T2369" s="1423">
        <f t="shared" si="3523"/>
        <v>0</v>
      </c>
      <c r="U2369" s="1423">
        <f t="shared" si="3524"/>
        <v>0</v>
      </c>
      <c r="V2369" s="1423">
        <f t="shared" si="3525"/>
        <v>0</v>
      </c>
      <c r="W2369" s="1423">
        <f t="shared" si="3526"/>
        <v>0</v>
      </c>
      <c r="X2369" s="152"/>
      <c r="Y2369" s="152"/>
      <c r="Z2369" s="152"/>
      <c r="AA2369" s="152"/>
      <c r="AB2369" s="152"/>
    </row>
    <row r="2370" spans="1:28" hidden="1" outlineLevel="1">
      <c r="A2370" s="152"/>
      <c r="B2370" s="190" t="str">
        <f t="shared" ca="1" si="3527"/>
        <v>RL Capex 2020-21</v>
      </c>
      <c r="C2370" s="1429"/>
      <c r="D2370" s="1429"/>
      <c r="E2370" s="1429"/>
      <c r="F2370" s="1429"/>
      <c r="G2370" s="1424"/>
      <c r="H2370" s="1428">
        <f>H2337</f>
        <v>0</v>
      </c>
      <c r="I2370" s="1423">
        <f t="shared" si="3512"/>
        <v>0</v>
      </c>
      <c r="J2370" s="1423">
        <f t="shared" si="3513"/>
        <v>0</v>
      </c>
      <c r="K2370" s="1423">
        <f t="shared" si="3514"/>
        <v>0</v>
      </c>
      <c r="L2370" s="1423">
        <f t="shared" si="3515"/>
        <v>0</v>
      </c>
      <c r="M2370" s="1423">
        <f t="shared" si="3516"/>
        <v>0</v>
      </c>
      <c r="N2370" s="1423">
        <f t="shared" si="3517"/>
        <v>0</v>
      </c>
      <c r="O2370" s="1423">
        <f t="shared" si="3518"/>
        <v>0</v>
      </c>
      <c r="P2370" s="1423">
        <f t="shared" si="3519"/>
        <v>0</v>
      </c>
      <c r="Q2370" s="1423">
        <f t="shared" si="3520"/>
        <v>0</v>
      </c>
      <c r="R2370" s="1423">
        <f t="shared" si="3521"/>
        <v>0</v>
      </c>
      <c r="S2370" s="1423">
        <f t="shared" si="3522"/>
        <v>0</v>
      </c>
      <c r="T2370" s="1423">
        <f t="shared" si="3523"/>
        <v>0</v>
      </c>
      <c r="U2370" s="1423">
        <f t="shared" si="3524"/>
        <v>0</v>
      </c>
      <c r="V2370" s="1423">
        <f t="shared" si="3525"/>
        <v>0</v>
      </c>
      <c r="W2370" s="1423">
        <f t="shared" si="3526"/>
        <v>0</v>
      </c>
      <c r="X2370" s="152"/>
      <c r="Y2370" s="152"/>
      <c r="Z2370" s="152"/>
      <c r="AA2370" s="152"/>
      <c r="AB2370" s="152"/>
    </row>
    <row r="2371" spans="1:28" hidden="1" outlineLevel="1">
      <c r="A2371" s="152"/>
      <c r="B2371" s="190" t="str">
        <f t="shared" ca="1" si="3527"/>
        <v>RL Capex 2021-22</v>
      </c>
      <c r="C2371" s="1429"/>
      <c r="D2371" s="1429"/>
      <c r="E2371" s="1429"/>
      <c r="F2371" s="1429"/>
      <c r="G2371" s="1429"/>
      <c r="H2371" s="1424"/>
      <c r="I2371" s="1428">
        <f>I2337</f>
        <v>0</v>
      </c>
      <c r="J2371" s="1423">
        <f t="shared" si="3513"/>
        <v>0</v>
      </c>
      <c r="K2371" s="1423">
        <f t="shared" si="3514"/>
        <v>0</v>
      </c>
      <c r="L2371" s="1423">
        <f t="shared" si="3515"/>
        <v>0</v>
      </c>
      <c r="M2371" s="1423">
        <f t="shared" si="3516"/>
        <v>0</v>
      </c>
      <c r="N2371" s="1423">
        <f t="shared" si="3517"/>
        <v>0</v>
      </c>
      <c r="O2371" s="1423">
        <f t="shared" si="3518"/>
        <v>0</v>
      </c>
      <c r="P2371" s="1423">
        <f t="shared" si="3519"/>
        <v>0</v>
      </c>
      <c r="Q2371" s="1423">
        <f t="shared" si="3520"/>
        <v>0</v>
      </c>
      <c r="R2371" s="1423">
        <f t="shared" si="3521"/>
        <v>0</v>
      </c>
      <c r="S2371" s="1423">
        <f t="shared" si="3522"/>
        <v>0</v>
      </c>
      <c r="T2371" s="1423">
        <f t="shared" si="3523"/>
        <v>0</v>
      </c>
      <c r="U2371" s="1423">
        <f t="shared" si="3524"/>
        <v>0</v>
      </c>
      <c r="V2371" s="1423">
        <f t="shared" si="3525"/>
        <v>0</v>
      </c>
      <c r="W2371" s="1423">
        <f t="shared" si="3526"/>
        <v>0</v>
      </c>
      <c r="X2371" s="152"/>
      <c r="Y2371" s="152"/>
      <c r="Z2371" s="152"/>
      <c r="AA2371" s="152"/>
      <c r="AB2371" s="152"/>
    </row>
    <row r="2372" spans="1:28" hidden="1" outlineLevel="1">
      <c r="A2372" s="152"/>
      <c r="B2372" s="190" t="str">
        <f t="shared" ca="1" si="3527"/>
        <v>RL Capex 2022-23</v>
      </c>
      <c r="C2372" s="1429"/>
      <c r="D2372" s="1429"/>
      <c r="E2372" s="1429"/>
      <c r="F2372" s="1429"/>
      <c r="G2372" s="1429"/>
      <c r="H2372" s="1429"/>
      <c r="I2372" s="1424"/>
      <c r="J2372" s="1428">
        <f>J2337</f>
        <v>0</v>
      </c>
      <c r="K2372" s="1423">
        <f t="shared" si="3514"/>
        <v>0</v>
      </c>
      <c r="L2372" s="1423">
        <f t="shared" si="3515"/>
        <v>0</v>
      </c>
      <c r="M2372" s="1423">
        <f t="shared" si="3516"/>
        <v>0</v>
      </c>
      <c r="N2372" s="1423">
        <f t="shared" si="3517"/>
        <v>0</v>
      </c>
      <c r="O2372" s="1423">
        <f t="shared" si="3518"/>
        <v>0</v>
      </c>
      <c r="P2372" s="1423">
        <f t="shared" si="3519"/>
        <v>0</v>
      </c>
      <c r="Q2372" s="1423">
        <f t="shared" si="3520"/>
        <v>0</v>
      </c>
      <c r="R2372" s="1423">
        <f t="shared" si="3521"/>
        <v>0</v>
      </c>
      <c r="S2372" s="1423">
        <f t="shared" si="3522"/>
        <v>0</v>
      </c>
      <c r="T2372" s="1423">
        <f t="shared" si="3523"/>
        <v>0</v>
      </c>
      <c r="U2372" s="1423">
        <f t="shared" si="3524"/>
        <v>0</v>
      </c>
      <c r="V2372" s="1423">
        <f t="shared" si="3525"/>
        <v>0</v>
      </c>
      <c r="W2372" s="1423">
        <f t="shared" si="3526"/>
        <v>0</v>
      </c>
      <c r="X2372" s="152"/>
      <c r="Y2372" s="152"/>
      <c r="Z2372" s="152"/>
      <c r="AA2372" s="152"/>
      <c r="AB2372" s="152"/>
    </row>
    <row r="2373" spans="1:28" hidden="1" outlineLevel="1">
      <c r="A2373" s="152"/>
      <c r="B2373" s="190" t="str">
        <f t="shared" ca="1" si="3527"/>
        <v>RL Capex 2023-24</v>
      </c>
      <c r="C2373" s="1429"/>
      <c r="D2373" s="1429"/>
      <c r="E2373" s="1429"/>
      <c r="F2373" s="1429"/>
      <c r="G2373" s="1429"/>
      <c r="H2373" s="1429"/>
      <c r="I2373" s="1429"/>
      <c r="J2373" s="1424"/>
      <c r="K2373" s="1428">
        <f>K2337</f>
        <v>0</v>
      </c>
      <c r="L2373" s="1423">
        <f t="shared" si="3515"/>
        <v>0</v>
      </c>
      <c r="M2373" s="1423">
        <f t="shared" si="3516"/>
        <v>0</v>
      </c>
      <c r="N2373" s="1423">
        <f t="shared" si="3517"/>
        <v>0</v>
      </c>
      <c r="O2373" s="1423">
        <f t="shared" si="3518"/>
        <v>0</v>
      </c>
      <c r="P2373" s="1423">
        <f t="shared" si="3519"/>
        <v>0</v>
      </c>
      <c r="Q2373" s="1423">
        <f t="shared" si="3520"/>
        <v>0</v>
      </c>
      <c r="R2373" s="1423">
        <f t="shared" si="3521"/>
        <v>0</v>
      </c>
      <c r="S2373" s="1423">
        <f t="shared" si="3522"/>
        <v>0</v>
      </c>
      <c r="T2373" s="1423">
        <f t="shared" si="3523"/>
        <v>0</v>
      </c>
      <c r="U2373" s="1423">
        <f t="shared" si="3524"/>
        <v>0</v>
      </c>
      <c r="V2373" s="1423">
        <f t="shared" si="3525"/>
        <v>0</v>
      </c>
      <c r="W2373" s="1423">
        <f t="shared" si="3526"/>
        <v>0</v>
      </c>
      <c r="X2373" s="152"/>
      <c r="Y2373" s="152"/>
      <c r="Z2373" s="152"/>
      <c r="AA2373" s="152"/>
      <c r="AB2373" s="152"/>
    </row>
    <row r="2374" spans="1:28" hidden="1" outlineLevel="1">
      <c r="A2374" s="152"/>
      <c r="B2374" s="190" t="str">
        <f t="shared" ca="1" si="3527"/>
        <v>RL Capex 2024-25</v>
      </c>
      <c r="C2374" s="1429"/>
      <c r="D2374" s="1429"/>
      <c r="E2374" s="1429"/>
      <c r="F2374" s="1429"/>
      <c r="G2374" s="1429"/>
      <c r="H2374" s="1429"/>
      <c r="I2374" s="1429"/>
      <c r="J2374" s="1429"/>
      <c r="K2374" s="1424"/>
      <c r="L2374" s="1428">
        <f>L2337</f>
        <v>0</v>
      </c>
      <c r="M2374" s="1423">
        <f t="shared" si="3516"/>
        <v>0</v>
      </c>
      <c r="N2374" s="1423">
        <f t="shared" si="3517"/>
        <v>0</v>
      </c>
      <c r="O2374" s="1423">
        <f t="shared" si="3518"/>
        <v>0</v>
      </c>
      <c r="P2374" s="1423">
        <f t="shared" si="3519"/>
        <v>0</v>
      </c>
      <c r="Q2374" s="1423">
        <f t="shared" si="3520"/>
        <v>0</v>
      </c>
      <c r="R2374" s="1423">
        <f t="shared" si="3521"/>
        <v>0</v>
      </c>
      <c r="S2374" s="1423">
        <f t="shared" si="3522"/>
        <v>0</v>
      </c>
      <c r="T2374" s="1423">
        <f t="shared" si="3523"/>
        <v>0</v>
      </c>
      <c r="U2374" s="1423">
        <f t="shared" si="3524"/>
        <v>0</v>
      </c>
      <c r="V2374" s="1423">
        <f t="shared" si="3525"/>
        <v>0</v>
      </c>
      <c r="W2374" s="1423">
        <f t="shared" si="3526"/>
        <v>0</v>
      </c>
      <c r="X2374" s="152"/>
      <c r="Y2374" s="152"/>
      <c r="Z2374" s="152"/>
      <c r="AA2374" s="152"/>
      <c r="AB2374" s="152"/>
    </row>
    <row r="2375" spans="1:28" hidden="1" outlineLevel="1">
      <c r="A2375" s="152"/>
      <c r="B2375" s="190" t="str">
        <f t="shared" ca="1" si="3527"/>
        <v>RL Capex 2025-26</v>
      </c>
      <c r="C2375" s="1429"/>
      <c r="D2375" s="1429"/>
      <c r="E2375" s="1429"/>
      <c r="F2375" s="1429"/>
      <c r="G2375" s="1429"/>
      <c r="H2375" s="1429"/>
      <c r="I2375" s="1429"/>
      <c r="J2375" s="1429"/>
      <c r="K2375" s="1429"/>
      <c r="L2375" s="1424"/>
      <c r="M2375" s="1428">
        <f>M2337</f>
        <v>0</v>
      </c>
      <c r="N2375" s="1423">
        <f t="shared" si="3517"/>
        <v>0</v>
      </c>
      <c r="O2375" s="1423">
        <f t="shared" si="3518"/>
        <v>0</v>
      </c>
      <c r="P2375" s="1423">
        <f t="shared" si="3519"/>
        <v>0</v>
      </c>
      <c r="Q2375" s="1423">
        <f t="shared" si="3520"/>
        <v>0</v>
      </c>
      <c r="R2375" s="1423">
        <f t="shared" si="3521"/>
        <v>0</v>
      </c>
      <c r="S2375" s="1423">
        <f t="shared" si="3522"/>
        <v>0</v>
      </c>
      <c r="T2375" s="1423">
        <f t="shared" si="3523"/>
        <v>0</v>
      </c>
      <c r="U2375" s="1423">
        <f t="shared" si="3524"/>
        <v>0</v>
      </c>
      <c r="V2375" s="1423">
        <f t="shared" si="3525"/>
        <v>0</v>
      </c>
      <c r="W2375" s="1423">
        <f t="shared" si="3526"/>
        <v>0</v>
      </c>
      <c r="X2375" s="152"/>
      <c r="Y2375" s="152"/>
      <c r="Z2375" s="152"/>
      <c r="AA2375" s="152"/>
      <c r="AB2375" s="152"/>
    </row>
    <row r="2376" spans="1:28" hidden="1" outlineLevel="1">
      <c r="A2376" s="152"/>
      <c r="B2376" s="190" t="str">
        <f t="shared" ca="1" si="3527"/>
        <v>RL Capex 2026-27</v>
      </c>
      <c r="C2376" s="1429"/>
      <c r="D2376" s="1429"/>
      <c r="E2376" s="1429"/>
      <c r="F2376" s="1429"/>
      <c r="G2376" s="1429"/>
      <c r="H2376" s="1429"/>
      <c r="I2376" s="1429"/>
      <c r="J2376" s="1429"/>
      <c r="K2376" s="1429"/>
      <c r="L2376" s="1429"/>
      <c r="M2376" s="1424"/>
      <c r="N2376" s="1428">
        <f>N2337</f>
        <v>0</v>
      </c>
      <c r="O2376" s="1423">
        <f t="shared" si="3518"/>
        <v>0</v>
      </c>
      <c r="P2376" s="1423">
        <f t="shared" si="3519"/>
        <v>0</v>
      </c>
      <c r="Q2376" s="1423">
        <f t="shared" si="3520"/>
        <v>0</v>
      </c>
      <c r="R2376" s="1423">
        <f t="shared" si="3521"/>
        <v>0</v>
      </c>
      <c r="S2376" s="1423">
        <f t="shared" si="3522"/>
        <v>0</v>
      </c>
      <c r="T2376" s="1423">
        <f t="shared" si="3523"/>
        <v>0</v>
      </c>
      <c r="U2376" s="1423">
        <f t="shared" si="3524"/>
        <v>0</v>
      </c>
      <c r="V2376" s="1423">
        <f t="shared" si="3525"/>
        <v>0</v>
      </c>
      <c r="W2376" s="1423">
        <f t="shared" si="3526"/>
        <v>0</v>
      </c>
      <c r="X2376" s="152"/>
      <c r="Y2376" s="152"/>
      <c r="Z2376" s="152"/>
      <c r="AA2376" s="152"/>
      <c r="AB2376" s="152"/>
    </row>
    <row r="2377" spans="1:28" hidden="1" outlineLevel="1">
      <c r="A2377" s="152"/>
      <c r="B2377" s="190" t="str">
        <f t="shared" ca="1" si="3527"/>
        <v>RL Capex 2027-28</v>
      </c>
      <c r="C2377" s="1429"/>
      <c r="D2377" s="1429"/>
      <c r="E2377" s="1429"/>
      <c r="F2377" s="1429"/>
      <c r="G2377" s="1429"/>
      <c r="H2377" s="1429"/>
      <c r="I2377" s="1429"/>
      <c r="J2377" s="1429"/>
      <c r="K2377" s="1429"/>
      <c r="L2377" s="1429"/>
      <c r="M2377" s="1429"/>
      <c r="N2377" s="1424"/>
      <c r="O2377" s="1428">
        <f>O2337</f>
        <v>0</v>
      </c>
      <c r="P2377" s="1423">
        <f t="shared" si="3519"/>
        <v>0</v>
      </c>
      <c r="Q2377" s="1423">
        <f t="shared" si="3520"/>
        <v>0</v>
      </c>
      <c r="R2377" s="1423">
        <f t="shared" si="3521"/>
        <v>0</v>
      </c>
      <c r="S2377" s="1423">
        <f t="shared" si="3522"/>
        <v>0</v>
      </c>
      <c r="T2377" s="1423">
        <f t="shared" si="3523"/>
        <v>0</v>
      </c>
      <c r="U2377" s="1423">
        <f t="shared" si="3524"/>
        <v>0</v>
      </c>
      <c r="V2377" s="1423">
        <f t="shared" si="3525"/>
        <v>0</v>
      </c>
      <c r="W2377" s="1423">
        <f t="shared" si="3526"/>
        <v>0</v>
      </c>
      <c r="X2377" s="152"/>
      <c r="Y2377" s="152"/>
      <c r="Z2377" s="152"/>
      <c r="AA2377" s="152"/>
      <c r="AB2377" s="152"/>
    </row>
    <row r="2378" spans="1:28" hidden="1" outlineLevel="1">
      <c r="A2378" s="152"/>
      <c r="B2378" s="190" t="str">
        <f t="shared" ca="1" si="3527"/>
        <v>RL Capex 2028-29</v>
      </c>
      <c r="C2378" s="1429"/>
      <c r="D2378" s="1429"/>
      <c r="E2378" s="1429"/>
      <c r="F2378" s="1429"/>
      <c r="G2378" s="1429"/>
      <c r="H2378" s="1429"/>
      <c r="I2378" s="1429"/>
      <c r="J2378" s="1429"/>
      <c r="K2378" s="1429"/>
      <c r="L2378" s="1429"/>
      <c r="M2378" s="1429"/>
      <c r="N2378" s="1429"/>
      <c r="O2378" s="1424"/>
      <c r="P2378" s="1428">
        <f>P2337</f>
        <v>0</v>
      </c>
      <c r="Q2378" s="1423">
        <f t="shared" si="3520"/>
        <v>0</v>
      </c>
      <c r="R2378" s="1423">
        <f t="shared" si="3521"/>
        <v>0</v>
      </c>
      <c r="S2378" s="1423">
        <f t="shared" si="3522"/>
        <v>0</v>
      </c>
      <c r="T2378" s="1423">
        <f t="shared" si="3523"/>
        <v>0</v>
      </c>
      <c r="U2378" s="1423">
        <f t="shared" si="3524"/>
        <v>0</v>
      </c>
      <c r="V2378" s="1423">
        <f t="shared" si="3525"/>
        <v>0</v>
      </c>
      <c r="W2378" s="1423">
        <f t="shared" si="3526"/>
        <v>0</v>
      </c>
      <c r="X2378" s="152"/>
      <c r="Y2378" s="152"/>
      <c r="Z2378" s="152"/>
      <c r="AA2378" s="152"/>
      <c r="AB2378" s="152"/>
    </row>
    <row r="2379" spans="1:28" hidden="1" outlineLevel="1">
      <c r="A2379" s="152"/>
      <c r="B2379" s="190" t="str">
        <f t="shared" ca="1" si="3527"/>
        <v>RL Capex 2029-30</v>
      </c>
      <c r="C2379" s="1429"/>
      <c r="D2379" s="1429"/>
      <c r="E2379" s="1429"/>
      <c r="F2379" s="1429"/>
      <c r="G2379" s="1429"/>
      <c r="H2379" s="1429"/>
      <c r="I2379" s="1429"/>
      <c r="J2379" s="1429"/>
      <c r="K2379" s="1429"/>
      <c r="L2379" s="1429"/>
      <c r="M2379" s="1429"/>
      <c r="N2379" s="1429"/>
      <c r="O2379" s="1429"/>
      <c r="P2379" s="1424"/>
      <c r="Q2379" s="1428">
        <f>Q2337</f>
        <v>0</v>
      </c>
      <c r="R2379" s="1423">
        <f t="shared" si="3521"/>
        <v>0</v>
      </c>
      <c r="S2379" s="1423">
        <f t="shared" si="3522"/>
        <v>0</v>
      </c>
      <c r="T2379" s="1423">
        <f t="shared" si="3523"/>
        <v>0</v>
      </c>
      <c r="U2379" s="1423">
        <f t="shared" si="3524"/>
        <v>0</v>
      </c>
      <c r="V2379" s="1423">
        <f t="shared" si="3525"/>
        <v>0</v>
      </c>
      <c r="W2379" s="1423">
        <f t="shared" si="3526"/>
        <v>0</v>
      </c>
      <c r="X2379" s="152"/>
      <c r="Y2379" s="152"/>
      <c r="Z2379" s="152"/>
      <c r="AA2379" s="152"/>
      <c r="AB2379" s="152"/>
    </row>
    <row r="2380" spans="1:28" hidden="1" outlineLevel="1">
      <c r="A2380" s="152"/>
      <c r="B2380" s="190" t="str">
        <f t="shared" ca="1" si="3527"/>
        <v>RL Capex 2030-31</v>
      </c>
      <c r="C2380" s="1429"/>
      <c r="D2380" s="1429"/>
      <c r="E2380" s="1429"/>
      <c r="F2380" s="1429"/>
      <c r="G2380" s="1429"/>
      <c r="H2380" s="1429"/>
      <c r="I2380" s="1429"/>
      <c r="J2380" s="1429"/>
      <c r="K2380" s="1429"/>
      <c r="L2380" s="1429"/>
      <c r="M2380" s="1429"/>
      <c r="N2380" s="1429"/>
      <c r="O2380" s="1429"/>
      <c r="P2380" s="1429"/>
      <c r="Q2380" s="1424"/>
      <c r="R2380" s="1428">
        <f>R2337</f>
        <v>0</v>
      </c>
      <c r="S2380" s="1423">
        <f t="shared" si="3522"/>
        <v>0</v>
      </c>
      <c r="T2380" s="1423">
        <f t="shared" si="3523"/>
        <v>0</v>
      </c>
      <c r="U2380" s="1423">
        <f t="shared" si="3524"/>
        <v>0</v>
      </c>
      <c r="V2380" s="1423">
        <f t="shared" si="3525"/>
        <v>0</v>
      </c>
      <c r="W2380" s="1423">
        <f t="shared" si="3526"/>
        <v>0</v>
      </c>
      <c r="X2380" s="152"/>
      <c r="Y2380" s="152"/>
      <c r="Z2380" s="152"/>
      <c r="AA2380" s="152"/>
      <c r="AB2380" s="152"/>
    </row>
    <row r="2381" spans="1:28" hidden="1" outlineLevel="1">
      <c r="A2381" s="152"/>
      <c r="B2381" s="190" t="str">
        <f t="shared" ca="1" si="3527"/>
        <v>RL Capex 2031-32</v>
      </c>
      <c r="C2381" s="1429"/>
      <c r="D2381" s="1429"/>
      <c r="E2381" s="1429"/>
      <c r="F2381" s="1429"/>
      <c r="G2381" s="1429"/>
      <c r="H2381" s="1429"/>
      <c r="I2381" s="1429"/>
      <c r="J2381" s="1429"/>
      <c r="K2381" s="1429"/>
      <c r="L2381" s="1429"/>
      <c r="M2381" s="1429"/>
      <c r="N2381" s="1429"/>
      <c r="O2381" s="1429"/>
      <c r="P2381" s="1429"/>
      <c r="Q2381" s="1429"/>
      <c r="R2381" s="1424"/>
      <c r="S2381" s="1428">
        <f>S2337</f>
        <v>0</v>
      </c>
      <c r="T2381" s="1423">
        <f t="shared" si="3523"/>
        <v>0</v>
      </c>
      <c r="U2381" s="1423">
        <f t="shared" si="3524"/>
        <v>0</v>
      </c>
      <c r="V2381" s="1423">
        <f t="shared" si="3525"/>
        <v>0</v>
      </c>
      <c r="W2381" s="1423">
        <f t="shared" si="3526"/>
        <v>0</v>
      </c>
      <c r="X2381" s="152"/>
      <c r="Y2381" s="152"/>
      <c r="Z2381" s="152"/>
      <c r="AA2381" s="152"/>
      <c r="AB2381" s="152"/>
    </row>
    <row r="2382" spans="1:28" hidden="1" outlineLevel="1">
      <c r="A2382" s="152"/>
      <c r="B2382" s="190" t="str">
        <f t="shared" ca="1" si="3527"/>
        <v>RL Capex 2032-33</v>
      </c>
      <c r="C2382" s="1429"/>
      <c r="D2382" s="1429"/>
      <c r="E2382" s="1429"/>
      <c r="F2382" s="1429"/>
      <c r="G2382" s="1429"/>
      <c r="H2382" s="1429"/>
      <c r="I2382" s="1429"/>
      <c r="J2382" s="1429"/>
      <c r="K2382" s="1429"/>
      <c r="L2382" s="1429"/>
      <c r="M2382" s="1429"/>
      <c r="N2382" s="1429"/>
      <c r="O2382" s="1429"/>
      <c r="P2382" s="1429"/>
      <c r="Q2382" s="1429"/>
      <c r="R2382" s="1429"/>
      <c r="S2382" s="1424"/>
      <c r="T2382" s="1428">
        <f>T2337</f>
        <v>0</v>
      </c>
      <c r="U2382" s="1423">
        <f t="shared" si="3524"/>
        <v>0</v>
      </c>
      <c r="V2382" s="1423">
        <f t="shared" si="3525"/>
        <v>0</v>
      </c>
      <c r="W2382" s="1423">
        <f t="shared" si="3526"/>
        <v>0</v>
      </c>
      <c r="X2382" s="152"/>
      <c r="Y2382" s="152"/>
      <c r="Z2382" s="152"/>
      <c r="AA2382" s="152"/>
      <c r="AB2382" s="152"/>
    </row>
    <row r="2383" spans="1:28" hidden="1" outlineLevel="1">
      <c r="A2383" s="152"/>
      <c r="B2383" s="190" t="str">
        <f t="shared" ca="1" si="3527"/>
        <v>RL Capex 2033-34</v>
      </c>
      <c r="C2383" s="1429"/>
      <c r="D2383" s="1429"/>
      <c r="E2383" s="1429"/>
      <c r="F2383" s="1429"/>
      <c r="G2383" s="1429"/>
      <c r="H2383" s="1429"/>
      <c r="I2383" s="1429"/>
      <c r="J2383" s="1429"/>
      <c r="K2383" s="1429"/>
      <c r="L2383" s="1429"/>
      <c r="M2383" s="1429"/>
      <c r="N2383" s="1429"/>
      <c r="O2383" s="1429"/>
      <c r="P2383" s="1429"/>
      <c r="Q2383" s="1429"/>
      <c r="R2383" s="1429"/>
      <c r="S2383" s="1429"/>
      <c r="T2383" s="1424"/>
      <c r="U2383" s="1428">
        <f>U2337</f>
        <v>0</v>
      </c>
      <c r="V2383" s="1423">
        <f t="shared" si="3525"/>
        <v>0</v>
      </c>
      <c r="W2383" s="1423">
        <f t="shared" si="3526"/>
        <v>0</v>
      </c>
      <c r="X2383" s="152"/>
      <c r="Y2383" s="152"/>
      <c r="Z2383" s="152"/>
      <c r="AA2383" s="152"/>
      <c r="AB2383" s="152"/>
    </row>
    <row r="2384" spans="1:28" hidden="1" outlineLevel="1">
      <c r="A2384" s="152"/>
      <c r="B2384" s="190" t="str">
        <f t="shared" ca="1" si="3527"/>
        <v>RL Capex 2034-35</v>
      </c>
      <c r="C2384" s="1429"/>
      <c r="D2384" s="1429"/>
      <c r="E2384" s="1429"/>
      <c r="F2384" s="1429"/>
      <c r="G2384" s="1429"/>
      <c r="H2384" s="1429"/>
      <c r="I2384" s="1429"/>
      <c r="J2384" s="1429"/>
      <c r="K2384" s="1429"/>
      <c r="L2384" s="1429"/>
      <c r="M2384" s="1429"/>
      <c r="N2384" s="1429"/>
      <c r="O2384" s="1429"/>
      <c r="P2384" s="1429"/>
      <c r="Q2384" s="1429"/>
      <c r="R2384" s="1429"/>
      <c r="S2384" s="1429"/>
      <c r="T2384" s="1429"/>
      <c r="U2384" s="1424"/>
      <c r="V2384" s="1428">
        <f>V2337</f>
        <v>0</v>
      </c>
      <c r="W2384" s="1423">
        <f>IF(V2384="n/a","n/a",MAX(0,V2384-1))</f>
        <v>0</v>
      </c>
      <c r="X2384" s="152"/>
      <c r="Y2384" s="152"/>
      <c r="Z2384" s="152"/>
      <c r="AA2384" s="152"/>
      <c r="AB2384" s="152"/>
    </row>
    <row r="2385" spans="1:28" hidden="1" outlineLevel="1">
      <c r="A2385" s="152"/>
      <c r="B2385" s="190" t="str">
        <f t="shared" ca="1" si="3527"/>
        <v>RL Capex 2035-36</v>
      </c>
      <c r="C2385" s="1429"/>
      <c r="D2385" s="1429"/>
      <c r="E2385" s="1429"/>
      <c r="F2385" s="1429"/>
      <c r="G2385" s="1429"/>
      <c r="H2385" s="1429"/>
      <c r="I2385" s="1429"/>
      <c r="J2385" s="1429"/>
      <c r="K2385" s="1429"/>
      <c r="L2385" s="1429"/>
      <c r="M2385" s="1429"/>
      <c r="N2385" s="1429"/>
      <c r="O2385" s="1429"/>
      <c r="P2385" s="1429"/>
      <c r="Q2385" s="1429"/>
      <c r="R2385" s="1429"/>
      <c r="S2385" s="1429"/>
      <c r="T2385" s="1429"/>
      <c r="U2385" s="1429"/>
      <c r="V2385" s="1424"/>
      <c r="W2385" s="1423">
        <f>W2337</f>
        <v>0</v>
      </c>
      <c r="X2385" s="152"/>
      <c r="Y2385" s="152"/>
      <c r="Z2385" s="152"/>
      <c r="AA2385" s="152"/>
      <c r="AB2385" s="152"/>
    </row>
    <row r="2386" spans="1:28" hidden="1" outlineLevel="1">
      <c r="A2386" s="152"/>
      <c r="B2386" s="200"/>
      <c r="C2386" s="1423"/>
      <c r="D2386" s="1423"/>
      <c r="E2386" s="1423"/>
      <c r="F2386" s="1423"/>
      <c r="G2386" s="1423"/>
      <c r="H2386" s="1423"/>
      <c r="I2386" s="1423"/>
      <c r="J2386" s="1423"/>
      <c r="K2386" s="1423"/>
      <c r="L2386" s="1423"/>
      <c r="M2386" s="1423"/>
      <c r="N2386" s="1423"/>
      <c r="O2386" s="1423"/>
      <c r="P2386" s="1423"/>
      <c r="Q2386" s="1423"/>
      <c r="R2386" s="1423"/>
      <c r="S2386" s="1423"/>
      <c r="T2386" s="1423"/>
      <c r="U2386" s="1423"/>
      <c r="V2386" s="1423"/>
      <c r="W2386" s="1423"/>
      <c r="X2386" s="152"/>
      <c r="Y2386" s="152"/>
      <c r="Z2386" s="152"/>
      <c r="AA2386" s="152"/>
      <c r="AB2386" s="152"/>
    </row>
    <row r="2387" spans="1:28" collapsed="1">
      <c r="A2387" s="194"/>
      <c r="B2387" s="204" t="s">
        <v>123</v>
      </c>
      <c r="C2387" s="1430">
        <f ca="1">(IF(OR($C2337&lt;&gt;"n/a",C2337&lt;&gt;"n/a"),IF(SUM(C2340:C2362)=0,0,IF((SUMPRODUCT(C2340:C2362,C2364:C2386)/SUM(C2340:C2362))&lt;0,1,(SUMPRODUCT(C2340:C2362,C2364:C2386)/SUM(C2340:C2362)))),"n/a"))</f>
        <v>0</v>
      </c>
      <c r="D2387" s="1430">
        <f ca="1">(IF(OR($C2337&lt;&gt;"n/a",D2337&lt;&gt;"n/a"),IF(SUM(D2340:D2362)=0,0,IF((SUMPRODUCT(D2340:D2362,D2364:D2386)/SUM(D2340:D2362))&lt;0,1,(SUMPRODUCT(D2340:D2362,D2364:D2386)/SUM(D2340:D2362)))),"n/a"))</f>
        <v>0</v>
      </c>
      <c r="E2387" s="1430">
        <f t="shared" ref="E2387:W2387" ca="1" si="3528">(IF(OR($C2337&lt;&gt;"n/a",E2337&lt;&gt;"n/a"),IF(SUM(E2340:E2362)=0,0,IF((SUMPRODUCT(E2340:E2362,E2364:E2386)/SUM(E2340:E2362))&lt;0,1,(SUMPRODUCT(E2340:E2362,E2364:E2386)/SUM(E2340:E2362)))),"n/a"))</f>
        <v>0</v>
      </c>
      <c r="F2387" s="1430">
        <f t="shared" ca="1" si="3528"/>
        <v>0</v>
      </c>
      <c r="G2387" s="1430">
        <f t="shared" ca="1" si="3528"/>
        <v>0</v>
      </c>
      <c r="H2387" s="1430">
        <f t="shared" ca="1" si="3528"/>
        <v>0</v>
      </c>
      <c r="I2387" s="1430">
        <f t="shared" ca="1" si="3528"/>
        <v>0</v>
      </c>
      <c r="J2387" s="1430">
        <f t="shared" ca="1" si="3528"/>
        <v>0</v>
      </c>
      <c r="K2387" s="1430">
        <f t="shared" ca="1" si="3528"/>
        <v>0</v>
      </c>
      <c r="L2387" s="1430">
        <f t="shared" ca="1" si="3528"/>
        <v>0</v>
      </c>
      <c r="M2387" s="1430">
        <f t="shared" ca="1" si="3528"/>
        <v>0</v>
      </c>
      <c r="N2387" s="1430">
        <f t="shared" ca="1" si="3528"/>
        <v>0</v>
      </c>
      <c r="O2387" s="1430">
        <f t="shared" ca="1" si="3528"/>
        <v>0</v>
      </c>
      <c r="P2387" s="1430">
        <f t="shared" ca="1" si="3528"/>
        <v>0</v>
      </c>
      <c r="Q2387" s="1430">
        <f t="shared" ca="1" si="3528"/>
        <v>0</v>
      </c>
      <c r="R2387" s="1430">
        <f t="shared" ca="1" si="3528"/>
        <v>0</v>
      </c>
      <c r="S2387" s="1430">
        <f t="shared" ca="1" si="3528"/>
        <v>0</v>
      </c>
      <c r="T2387" s="1430">
        <f t="shared" ca="1" si="3528"/>
        <v>0</v>
      </c>
      <c r="U2387" s="1430">
        <f t="shared" ca="1" si="3528"/>
        <v>0</v>
      </c>
      <c r="V2387" s="1430">
        <f t="shared" ca="1" si="3528"/>
        <v>0</v>
      </c>
      <c r="W2387" s="1430">
        <f t="shared" ca="1" si="3528"/>
        <v>0</v>
      </c>
      <c r="X2387" s="152"/>
      <c r="Y2387" s="152"/>
      <c r="Z2387" s="152"/>
      <c r="AA2387" s="152"/>
      <c r="AB2387" s="152"/>
    </row>
    <row r="2388" spans="1:28">
      <c r="A2388" s="152"/>
      <c r="B2388" s="152"/>
      <c r="C2388" s="1423"/>
      <c r="D2388" s="1423"/>
      <c r="E2388" s="1423"/>
      <c r="F2388" s="1423"/>
      <c r="G2388" s="1423"/>
      <c r="H2388" s="1423"/>
      <c r="I2388" s="1423"/>
      <c r="J2388" s="1423"/>
      <c r="K2388" s="1423"/>
      <c r="L2388" s="1423"/>
      <c r="M2388" s="1423"/>
      <c r="N2388" s="1423"/>
      <c r="O2388" s="1423"/>
      <c r="P2388" s="1423"/>
      <c r="Q2388" s="1423"/>
      <c r="R2388" s="1423"/>
      <c r="S2388" s="1423"/>
      <c r="T2388" s="1423"/>
      <c r="U2388" s="1423"/>
      <c r="V2388" s="1423"/>
      <c r="W2388" s="1423"/>
      <c r="X2388" s="152"/>
      <c r="Y2388" s="152"/>
      <c r="Z2388" s="152"/>
      <c r="AA2388" s="152"/>
      <c r="AB2388" s="152"/>
    </row>
    <row r="2389" spans="1:28">
      <c r="A2389" s="269" t="s">
        <v>111</v>
      </c>
      <c r="B2389" s="270">
        <f>VLOOKUP($A2389,'RFM input'!$E$7:$F$56,2,FALSE)</f>
        <v>0</v>
      </c>
      <c r="C2389" s="1431"/>
      <c r="D2389" s="1431"/>
      <c r="E2389" s="1432"/>
      <c r="F2389" s="1432"/>
      <c r="G2389" s="1432"/>
      <c r="H2389" s="1432"/>
      <c r="I2389" s="1432"/>
      <c r="J2389" s="1432"/>
      <c r="K2389" s="1432"/>
      <c r="L2389" s="1432"/>
      <c r="M2389" s="1432"/>
      <c r="N2389" s="1432"/>
      <c r="O2389" s="1432"/>
      <c r="P2389" s="1432"/>
      <c r="Q2389" s="1432"/>
      <c r="R2389" s="1432"/>
      <c r="S2389" s="1432"/>
      <c r="T2389" s="1432"/>
      <c r="U2389" s="1432"/>
      <c r="V2389" s="1432"/>
      <c r="W2389" s="1432"/>
      <c r="X2389" s="152"/>
      <c r="Y2389" s="152"/>
      <c r="Z2389" s="152"/>
      <c r="AA2389" s="152"/>
      <c r="AB2389" s="152"/>
    </row>
    <row r="2390" spans="1:28">
      <c r="A2390" s="215">
        <f>VALUE(REPLACE(A2389,1,12,""))</f>
        <v>45</v>
      </c>
      <c r="B2390" s="193" t="s">
        <v>126</v>
      </c>
      <c r="C2390" s="1416">
        <f ca="1">IF($C$8='Capital Base roll forward'!$H$4,OFFSET('Capital Base roll forward'!$H$717,'RAB remaining lives'!A2390,0),"enter input")</f>
        <v>0</v>
      </c>
      <c r="D2390" s="1417">
        <f>IF(LEFT(D$6,4)&lt;LEFT('RFM input'!$G$60,4),"enter input",IF(LEFT(D$6,4)&gt;LEFT('RFM input'!$Q$60,4),0,INDEX('RFM input'!$G$61:$Q$110,$A2390,MATCH(D$6,'RFM input'!$G$60:$Q$60,0))
-INDEX('RFM input'!$G$115:$Q$164,$A2390,MATCH(D$6,'RFM input'!$G$60:$Q$60,0))
-INDEX('RFM input'!$G$169:$Q$218,$A2390,MATCH(D$6,'RFM input'!$G$60:$Q$60,0))))</f>
        <v>0</v>
      </c>
      <c r="E2390" s="1417">
        <f>IF(LEFT(E$6,4)&lt;LEFT('RFM input'!$G$60,4),"enter input",IF(LEFT(E$6,4)&gt;LEFT('RFM input'!$Q$60,4),0,INDEX('RFM input'!$G$61:$Q$110,$A2390,MATCH(E$6,'RFM input'!$G$60:$Q$60,0))
-INDEX('RFM input'!$G$115:$Q$164,$A2390,MATCH(E$6,'RFM input'!$G$60:$Q$60,0))
-INDEX('RFM input'!$G$169:$Q$218,$A2390,MATCH(E$6,'RFM input'!$G$60:$Q$60,0))))</f>
        <v>0</v>
      </c>
      <c r="F2390" s="1417">
        <f>IF(LEFT(F$6,4)&lt;LEFT('RFM input'!$G$60,4),"enter input",IF(LEFT(F$6,4)&gt;LEFT('RFM input'!$Q$60,4),0,INDEX('RFM input'!$G$61:$Q$110,$A2390,MATCH(F$6,'RFM input'!$G$60:$Q$60,0))
-INDEX('RFM input'!$G$115:$Q$164,$A2390,MATCH(F$6,'RFM input'!$G$60:$Q$60,0))
-INDEX('RFM input'!$G$169:$Q$218,$A2390,MATCH(F$6,'RFM input'!$G$60:$Q$60,0))))</f>
        <v>0</v>
      </c>
      <c r="G2390" s="1417">
        <f>IF(LEFT(G$6,4)&lt;LEFT('RFM input'!$G$60,4),"enter input",IF(LEFT(G$6,4)&gt;LEFT('RFM input'!$Q$60,4),0,INDEX('RFM input'!$G$61:$Q$110,$A2390,MATCH(G$6,'RFM input'!$G$60:$Q$60,0))
-INDEX('RFM input'!$G$115:$Q$164,$A2390,MATCH(G$6,'RFM input'!$G$60:$Q$60,0))
-INDEX('RFM input'!$G$169:$Q$218,$A2390,MATCH(G$6,'RFM input'!$G$60:$Q$60,0))))</f>
        <v>0</v>
      </c>
      <c r="H2390" s="1417">
        <f>IF(LEFT(H$6,4)&lt;LEFT('RFM input'!$G$60,4),"enter input",IF(LEFT(H$6,4)&gt;LEFT('RFM input'!$Q$60,4),0,INDEX('RFM input'!$G$61:$Q$110,$A2390,MATCH(H$6,'RFM input'!$G$60:$Q$60,0))
-INDEX('RFM input'!$G$115:$Q$164,$A2390,MATCH(H$6,'RFM input'!$G$60:$Q$60,0))
-INDEX('RFM input'!$G$169:$Q$218,$A2390,MATCH(H$6,'RFM input'!$G$60:$Q$60,0))))</f>
        <v>0</v>
      </c>
      <c r="I2390" s="1417">
        <f>IF(LEFT(I$6,4)&lt;LEFT('RFM input'!$G$60,4),"enter input",IF(LEFT(I$6,4)&gt;LEFT('RFM input'!$Q$60,4),0,INDEX('RFM input'!$G$61:$Q$110,$A2390,MATCH(I$6,'RFM input'!$G$60:$Q$60,0))
-INDEX('RFM input'!$G$115:$Q$164,$A2390,MATCH(I$6,'RFM input'!$G$60:$Q$60,0))
-INDEX('RFM input'!$G$169:$Q$218,$A2390,MATCH(I$6,'RFM input'!$G$60:$Q$60,0))))</f>
        <v>0</v>
      </c>
      <c r="J2390" s="1417">
        <f>IF(LEFT(J$6,4)&lt;LEFT('RFM input'!$G$60,4),"enter input",IF(LEFT(J$6,4)&gt;LEFT('RFM input'!$Q$60,4),0,INDEX('RFM input'!$G$61:$Q$110,$A2390,MATCH(J$6,'RFM input'!$G$60:$Q$60,0))
-INDEX('RFM input'!$G$115:$Q$164,$A2390,MATCH(J$6,'RFM input'!$G$60:$Q$60,0))
-INDEX('RFM input'!$G$169:$Q$218,$A2390,MATCH(J$6,'RFM input'!$G$60:$Q$60,0))))</f>
        <v>0</v>
      </c>
      <c r="K2390" s="1417">
        <f>IF(LEFT(K$6,4)&lt;LEFT('RFM input'!$G$60,4),"enter input",IF(LEFT(K$6,4)&gt;LEFT('RFM input'!$Q$60,4),0,INDEX('RFM input'!$G$61:$Q$110,$A2390,MATCH(K$6,'RFM input'!$G$60:$Q$60,0))
-INDEX('RFM input'!$G$115:$Q$164,$A2390,MATCH(K$6,'RFM input'!$G$60:$Q$60,0))
-INDEX('RFM input'!$G$169:$Q$218,$A2390,MATCH(K$6,'RFM input'!$G$60:$Q$60,0))))</f>
        <v>0</v>
      </c>
      <c r="L2390" s="1417">
        <f>IF(LEFT(L$6,4)&lt;LEFT('RFM input'!$G$60,4),"enter input",IF(LEFT(L$6,4)&gt;LEFT('RFM input'!$Q$60,4),0,INDEX('RFM input'!$G$61:$Q$110,$A2390,MATCH(L$6,'RFM input'!$G$60:$Q$60,0))
-INDEX('RFM input'!$G$115:$Q$164,$A2390,MATCH(L$6,'RFM input'!$G$60:$Q$60,0))
-INDEX('RFM input'!$G$169:$Q$218,$A2390,MATCH(L$6,'RFM input'!$G$60:$Q$60,0))))</f>
        <v>0</v>
      </c>
      <c r="M2390" s="1417">
        <f>IF(LEFT(M$6,4)&lt;LEFT('RFM input'!$G$60,4),"enter input",IF(LEFT(M$6,4)&gt;LEFT('RFM input'!$Q$60,4),0,INDEX('RFM input'!$G$61:$Q$110,$A2390,MATCH(M$6,'RFM input'!$G$60:$Q$60,0))
-INDEX('RFM input'!$G$115:$Q$164,$A2390,MATCH(M$6,'RFM input'!$G$60:$Q$60,0))
-INDEX('RFM input'!$G$169:$Q$218,$A2390,MATCH(M$6,'RFM input'!$G$60:$Q$60,0))))</f>
        <v>0</v>
      </c>
      <c r="N2390" s="1417">
        <f>IF(LEFT(N$6,4)&lt;LEFT('RFM input'!$G$60,4),"enter input",IF(LEFT(N$6,4)&gt;LEFT('RFM input'!$Q$60,4),0,INDEX('RFM input'!$G$61:$Q$110,$A2390,MATCH(N$6,'RFM input'!$G$60:$Q$60,0))
-INDEX('RFM input'!$G$115:$Q$164,$A2390,MATCH(N$6,'RFM input'!$G$60:$Q$60,0))
-INDEX('RFM input'!$G$169:$Q$218,$A2390,MATCH(N$6,'RFM input'!$G$60:$Q$60,0))))</f>
        <v>0</v>
      </c>
      <c r="O2390" s="1417">
        <f>IF(LEFT(O$6,4)&lt;LEFT('RFM input'!$G$60,4),"enter input",IF(LEFT(O$6,4)&gt;LEFT('RFM input'!$Q$60,4),0,INDEX('RFM input'!$G$61:$Q$110,$A2390,MATCH(O$6,'RFM input'!$G$60:$Q$60,0))
-INDEX('RFM input'!$G$115:$Q$164,$A2390,MATCH(O$6,'RFM input'!$G$60:$Q$60,0))
-INDEX('RFM input'!$G$169:$Q$218,$A2390,MATCH(O$6,'RFM input'!$G$60:$Q$60,0))))</f>
        <v>0</v>
      </c>
      <c r="P2390" s="1417">
        <f>IF(LEFT(P$6,4)&lt;LEFT('RFM input'!$G$60,4),"enter input",IF(LEFT(P$6,4)&gt;LEFT('RFM input'!$Q$60,4),0,INDEX('RFM input'!$G$61:$Q$110,$A2390,MATCH(P$6,'RFM input'!$G$60:$Q$60,0))
-INDEX('RFM input'!$G$115:$Q$164,$A2390,MATCH(P$6,'RFM input'!$G$60:$Q$60,0))
-INDEX('RFM input'!$G$169:$Q$218,$A2390,MATCH(P$6,'RFM input'!$G$60:$Q$60,0))))</f>
        <v>0</v>
      </c>
      <c r="Q2390" s="1417">
        <f>IF(LEFT(Q$6,4)&lt;LEFT('RFM input'!$G$60,4),"enter input",IF(LEFT(Q$6,4)&gt;LEFT('RFM input'!$Q$60,4),0,INDEX('RFM input'!$G$61:$Q$110,$A2390,MATCH(Q$6,'RFM input'!$G$60:$Q$60,0))
-INDEX('RFM input'!$G$115:$Q$164,$A2390,MATCH(Q$6,'RFM input'!$G$60:$Q$60,0))
-INDEX('RFM input'!$G$169:$Q$218,$A2390,MATCH(Q$6,'RFM input'!$G$60:$Q$60,0))))</f>
        <v>0</v>
      </c>
      <c r="R2390" s="1417">
        <f>IF(LEFT(R$6,4)&lt;LEFT('RFM input'!$G$60,4),"enter input",IF(LEFT(R$6,4)&gt;LEFT('RFM input'!$Q$60,4),0,INDEX('RFM input'!$G$61:$Q$110,$A2390,MATCH(R$6,'RFM input'!$G$60:$Q$60,0))
-INDEX('RFM input'!$G$115:$Q$164,$A2390,MATCH(R$6,'RFM input'!$G$60:$Q$60,0))
-INDEX('RFM input'!$G$169:$Q$218,$A2390,MATCH(R$6,'RFM input'!$G$60:$Q$60,0))))</f>
        <v>0</v>
      </c>
      <c r="S2390" s="1417">
        <f>IF(LEFT(S$6,4)&lt;LEFT('RFM input'!$G$60,4),"enter input",IF(LEFT(S$6,4)&gt;LEFT('RFM input'!$Q$60,4),0,INDEX('RFM input'!$G$61:$Q$110,$A2390,MATCH(S$6,'RFM input'!$G$60:$Q$60,0))
-INDEX('RFM input'!$G$115:$Q$164,$A2390,MATCH(S$6,'RFM input'!$G$60:$Q$60,0))
-INDEX('RFM input'!$G$169:$Q$218,$A2390,MATCH(S$6,'RFM input'!$G$60:$Q$60,0))))</f>
        <v>0</v>
      </c>
      <c r="T2390" s="1417">
        <f>IF(LEFT(T$6,4)&lt;LEFT('RFM input'!$G$60,4),"enter input",IF(LEFT(T$6,4)&gt;LEFT('RFM input'!$Q$60,4),0,INDEX('RFM input'!$G$61:$Q$110,$A2390,MATCH(T$6,'RFM input'!$G$60:$Q$60,0))
-INDEX('RFM input'!$G$115:$Q$164,$A2390,MATCH(T$6,'RFM input'!$G$60:$Q$60,0))
-INDEX('RFM input'!$G$169:$Q$218,$A2390,MATCH(T$6,'RFM input'!$G$60:$Q$60,0))))</f>
        <v>0</v>
      </c>
      <c r="U2390" s="1417">
        <f>IF(LEFT(U$6,4)&lt;LEFT('RFM input'!$G$60,4),"enter input",IF(LEFT(U$6,4)&gt;LEFT('RFM input'!$Q$60,4),0,INDEX('RFM input'!$G$61:$Q$110,$A2390,MATCH(U$6,'RFM input'!$G$60:$Q$60,0))
-INDEX('RFM input'!$G$115:$Q$164,$A2390,MATCH(U$6,'RFM input'!$G$60:$Q$60,0))
-INDEX('RFM input'!$G$169:$Q$218,$A2390,MATCH(U$6,'RFM input'!$G$60:$Q$60,0))))</f>
        <v>0</v>
      </c>
      <c r="V2390" s="1417">
        <f>IF(LEFT(V$6,4)&lt;LEFT('RFM input'!$G$60,4),"enter input",IF(LEFT(V$6,4)&gt;LEFT('RFM input'!$Q$60,4),0,INDEX('RFM input'!$G$61:$Q$110,$A2390,MATCH(V$6,'RFM input'!$G$60:$Q$60,0))
-INDEX('RFM input'!$G$115:$Q$164,$A2390,MATCH(V$6,'RFM input'!$G$60:$Q$60,0))
-INDEX('RFM input'!$G$169:$Q$218,$A2390,MATCH(V$6,'RFM input'!$G$60:$Q$60,0))))</f>
        <v>0</v>
      </c>
      <c r="W2390" s="1417">
        <f>IF(LEFT(W$6,4)&lt;LEFT('RFM input'!$G$60,4),"enter input",IF(LEFT(W$6,4)&gt;LEFT('RFM input'!$Q$60,4),0,INDEX('RFM input'!$G$61:$Q$110,$A2390,MATCH(W$6,'RFM input'!$G$60:$Q$60,0))
-INDEX('RFM input'!$G$115:$Q$164,$A2390,MATCH(W$6,'RFM input'!$G$60:$Q$60,0))
-INDEX('RFM input'!$G$169:$Q$218,$A2390,MATCH(W$6,'RFM input'!$G$60:$Q$60,0))))</f>
        <v>0</v>
      </c>
      <c r="X2390" s="152"/>
      <c r="Y2390" s="152"/>
      <c r="Z2390" s="152"/>
      <c r="AA2390" s="152"/>
      <c r="AB2390" s="152"/>
    </row>
    <row r="2391" spans="1:28">
      <c r="A2391" s="152"/>
      <c r="B2391" s="152" t="s">
        <v>204</v>
      </c>
      <c r="C2391" s="1418">
        <f ca="1">IF($C$8='Capital Base roll forward'!$H$4,OFFSET('RFM input'!$J$6,'RAB remaining lives'!A2390,0),"enter input")</f>
        <v>0</v>
      </c>
      <c r="D2391" s="1417">
        <f>IF(LEFT(D$6,4)&lt;=LEFT('RFM input'!$G$60,4),"enter input",IF(LEFT(D$6,4)&gt;LEFT('RFM input'!$Q$60,4),0,IF(MATCH(D$6,'RFM input'!$H$60:$Q$60,0),INDEX('RFM input'!$K$7:$K$56,$A2390,1))))</f>
        <v>0</v>
      </c>
      <c r="E2391" s="1417">
        <f>IF(LEFT(E$6,4)&lt;=LEFT('RFM input'!$G$60,4),"enter input",IF(LEFT(E$6,4)&gt;LEFT('RFM input'!$Q$60,4),0,IF(MATCH(E$6,'RFM input'!$H$60:$Q$60,0),INDEX('RFM input'!$K$7:$K$56,$A2390,1))))</f>
        <v>0</v>
      </c>
      <c r="F2391" s="1417">
        <f>IF(LEFT(F$6,4)&lt;=LEFT('RFM input'!$G$60,4),"enter input",IF(LEFT(F$6,4)&gt;LEFT('RFM input'!$Q$60,4),0,IF(MATCH(F$6,'RFM input'!$H$60:$Q$60,0),INDEX('RFM input'!$K$7:$K$56,$A2390,1))))</f>
        <v>0</v>
      </c>
      <c r="G2391" s="1417">
        <f>IF(LEFT(G$6,4)&lt;=LEFT('RFM input'!$G$60,4),"enter input",IF(LEFT(G$6,4)&gt;LEFT('RFM input'!$Q$60,4),0,IF(MATCH(G$6,'RFM input'!$H$60:$Q$60,0),INDEX('RFM input'!$K$7:$K$56,$A2390,1))))</f>
        <v>0</v>
      </c>
      <c r="H2391" s="1417">
        <f>IF(LEFT(H$6,4)&lt;=LEFT('RFM input'!$G$60,4),"enter input",IF(LEFT(H$6,4)&gt;LEFT('RFM input'!$Q$60,4),0,IF(MATCH(H$6,'RFM input'!$H$60:$Q$60,0),INDEX('RFM input'!$K$7:$K$56,$A2390,1))))</f>
        <v>0</v>
      </c>
      <c r="I2391" s="1417">
        <f>IF(LEFT(I$6,4)&lt;=LEFT('RFM input'!$G$60,4),"enter input",IF(LEFT(I$6,4)&gt;LEFT('RFM input'!$Q$60,4),0,IF(MATCH(I$6,'RFM input'!$H$60:$Q$60,0),INDEX('RFM input'!$K$7:$K$56,$A2390,1))))</f>
        <v>0</v>
      </c>
      <c r="J2391" s="1417">
        <f>IF(LEFT(J$6,4)&lt;=LEFT('RFM input'!$G$60,4),"enter input",IF(LEFT(J$6,4)&gt;LEFT('RFM input'!$Q$60,4),0,IF(MATCH(J$6,'RFM input'!$H$60:$Q$60,0),INDEX('RFM input'!$K$7:$K$56,$A2390,1))))</f>
        <v>0</v>
      </c>
      <c r="K2391" s="1417">
        <f>IF(LEFT(K$6,4)&lt;=LEFT('RFM input'!$G$60,4),"enter input",IF(LEFT(K$6,4)&gt;LEFT('RFM input'!$Q$60,4),0,IF(MATCH(K$6,'RFM input'!$H$60:$Q$60,0),INDEX('RFM input'!$K$7:$K$56,$A2390,1))))</f>
        <v>0</v>
      </c>
      <c r="L2391" s="1417">
        <f>IF(LEFT(L$6,4)&lt;=LEFT('RFM input'!$G$60,4),"enter input",IF(LEFT(L$6,4)&gt;LEFT('RFM input'!$Q$60,4),0,IF(MATCH(L$6,'RFM input'!$H$60:$Q$60,0),INDEX('RFM input'!$K$7:$K$56,$A2390,1))))</f>
        <v>0</v>
      </c>
      <c r="M2391" s="1417">
        <f>IF(LEFT(M$6,4)&lt;=LEFT('RFM input'!$G$60,4),"enter input",IF(LEFT(M$6,4)&gt;LEFT('RFM input'!$Q$60,4),0,IF(MATCH(M$6,'RFM input'!$H$60:$Q$60,0),INDEX('RFM input'!$K$7:$K$56,$A2390,1))))</f>
        <v>0</v>
      </c>
      <c r="N2391" s="1417">
        <f>IF(LEFT(N$6,4)&lt;=LEFT('RFM input'!$G$60,4),"enter input",IF(LEFT(N$6,4)&gt;LEFT('RFM input'!$Q$60,4),0,IF(MATCH(N$6,'RFM input'!$H$60:$Q$60,0),INDEX('RFM input'!$K$7:$K$56,$A2390,1))))</f>
        <v>0</v>
      </c>
      <c r="O2391" s="1417">
        <f>IF(LEFT(O$6,4)&lt;=LEFT('RFM input'!$G$60,4),"enter input",IF(LEFT(O$6,4)&gt;LEFT('RFM input'!$Q$60,4),0,IF(MATCH(O$6,'RFM input'!$H$60:$Q$60,0),INDEX('RFM input'!$K$7:$K$56,$A2390,1))))</f>
        <v>0</v>
      </c>
      <c r="P2391" s="1417">
        <f>IF(LEFT(P$6,4)&lt;=LEFT('RFM input'!$G$60,4),"enter input",IF(LEFT(P$6,4)&gt;LEFT('RFM input'!$Q$60,4),0,IF(MATCH(P$6,'RFM input'!$H$60:$Q$60,0),INDEX('RFM input'!$K$7:$K$56,$A2390,1))))</f>
        <v>0</v>
      </c>
      <c r="Q2391" s="1417">
        <f>IF(LEFT(Q$6,4)&lt;=LEFT('RFM input'!$G$60,4),"enter input",IF(LEFT(Q$6,4)&gt;LEFT('RFM input'!$Q$60,4),0,IF(MATCH(Q$6,'RFM input'!$H$60:$Q$60,0),INDEX('RFM input'!$K$7:$K$56,$A2390,1))))</f>
        <v>0</v>
      </c>
      <c r="R2391" s="1417">
        <f>IF(LEFT(R$6,4)&lt;=LEFT('RFM input'!$G$60,4),"enter input",IF(LEFT(R$6,4)&gt;LEFT('RFM input'!$Q$60,4),0,IF(MATCH(R$6,'RFM input'!$H$60:$Q$60,0),INDEX('RFM input'!$K$7:$K$56,$A2390,1))))</f>
        <v>0</v>
      </c>
      <c r="S2391" s="1417">
        <f>IF(LEFT(S$6,4)&lt;=LEFT('RFM input'!$G$60,4),"enter input",IF(LEFT(S$6,4)&gt;LEFT('RFM input'!$Q$60,4),0,IF(MATCH(S$6,'RFM input'!$H$60:$Q$60,0),INDEX('RFM input'!$K$7:$K$56,$A2390,1))))</f>
        <v>0</v>
      </c>
      <c r="T2391" s="1417">
        <f>IF(LEFT(T$6,4)&lt;=LEFT('RFM input'!$G$60,4),"enter input",IF(LEFT(T$6,4)&gt;LEFT('RFM input'!$Q$60,4),0,IF(MATCH(T$6,'RFM input'!$H$60:$Q$60,0),INDEX('RFM input'!$K$7:$K$56,$A2390,1))))</f>
        <v>0</v>
      </c>
      <c r="U2391" s="1417">
        <f>IF(LEFT(U$6,4)&lt;=LEFT('RFM input'!$G$60,4),"enter input",IF(LEFT(U$6,4)&gt;LEFT('RFM input'!$Q$60,4),0,IF(MATCH(U$6,'RFM input'!$H$60:$Q$60,0),INDEX('RFM input'!$K$7:$K$56,$A2390,1))))</f>
        <v>0</v>
      </c>
      <c r="V2391" s="1417">
        <f>IF(LEFT(V$6,4)&lt;=LEFT('RFM input'!$G$60,4),"enter input",IF(LEFT(V$6,4)&gt;LEFT('RFM input'!$Q$60,4),0,IF(MATCH(V$6,'RFM input'!$H$60:$Q$60,0),INDEX('RFM input'!$K$7:$K$56,$A2390,1))))</f>
        <v>0</v>
      </c>
      <c r="W2391" s="1417">
        <f>IF(LEFT(W$6,4)&lt;=LEFT('RFM input'!$G$60,4),"enter input",IF(LEFT(W$6,4)&gt;LEFT('RFM input'!$Q$60,4),0,IF(MATCH(W$6,'RFM input'!$H$60:$Q$60,0),INDEX('RFM input'!$K$7:$K$56,$A2390,1))))</f>
        <v>0</v>
      </c>
      <c r="X2391" s="152"/>
      <c r="Y2391" s="152"/>
      <c r="Z2391" s="152"/>
      <c r="AA2391" s="152"/>
      <c r="AB2391" s="152"/>
    </row>
    <row r="2392" spans="1:28">
      <c r="A2392" s="152"/>
      <c r="B2392" s="177" t="s">
        <v>191</v>
      </c>
      <c r="C2392" s="1419"/>
      <c r="D2392" s="1420">
        <f ca="1">IF(LEFT(D$6,4)&lt;=LEFT('RFM input'!$G$60,4),"enter input",IF(LEFT(D$6,4)&gt;LEFT('RFM input'!$Q$60,4),0,IF(D$6=(OFFSET('RFM input'!$G$60,0,'RFM input'!$V$7)),OFFSET('RFM input'!$G$411,$A2390,0),0)))</f>
        <v>0</v>
      </c>
      <c r="E2392" s="1417">
        <f ca="1">IF(LEFT(E$6,4)&lt;=LEFT('RFM input'!$G$60,4),"enter input",IF(LEFT(E$6,4)&gt;LEFT('RFM input'!$Q$60,4),0,IF(E$6=(OFFSET('RFM input'!$G$60,0,'RFM input'!$V$7)),OFFSET('RFM input'!$G$411,$A2390,0),0)))</f>
        <v>0</v>
      </c>
      <c r="F2392" s="1417">
        <f ca="1">IF(LEFT(F$6,4)&lt;=LEFT('RFM input'!$G$60,4),"enter input",IF(LEFT(F$6,4)&gt;LEFT('RFM input'!$Q$60,4),0,IF(F$6=(OFFSET('RFM input'!$G$60,0,'RFM input'!$V$7)),OFFSET('RFM input'!$G$411,$A2390,0),0)))</f>
        <v>0</v>
      </c>
      <c r="G2392" s="1417">
        <f ca="1">IF(LEFT(G$6,4)&lt;=LEFT('RFM input'!$G$60,4),"enter input",IF(LEFT(G$6,4)&gt;LEFT('RFM input'!$Q$60,4),0,IF(G$6=(OFFSET('RFM input'!$G$60,0,'RFM input'!$V$7)),OFFSET('RFM input'!$G$411,$A2390,0),0)))</f>
        <v>0</v>
      </c>
      <c r="H2392" s="1417">
        <f ca="1">IF(LEFT(H$6,4)&lt;=LEFT('RFM input'!$G$60,4),"enter input",IF(LEFT(H$6,4)&gt;LEFT('RFM input'!$Q$60,4),0,IF(H$6=(OFFSET('RFM input'!$G$60,0,'RFM input'!$V$7)),OFFSET('RFM input'!$G$411,$A2390,0),0)))</f>
        <v>0</v>
      </c>
      <c r="I2392" s="1417">
        <f ca="1">IF(LEFT(I$6,4)&lt;=LEFT('RFM input'!$G$60,4),"enter input",IF(LEFT(I$6,4)&gt;LEFT('RFM input'!$Q$60,4),0,IF(I$6=(OFFSET('RFM input'!$G$60,0,'RFM input'!$V$7)),OFFSET('RFM input'!$G$411,$A2390,0),0)))</f>
        <v>0</v>
      </c>
      <c r="J2392" s="1417">
        <f ca="1">IF(LEFT(J$6,4)&lt;=LEFT('RFM input'!$G$60,4),"enter input",IF(LEFT(J$6,4)&gt;LEFT('RFM input'!$Q$60,4),0,IF(J$6=(OFFSET('RFM input'!$G$60,0,'RFM input'!$V$7)),OFFSET('RFM input'!$G$411,$A2390,0),0)))</f>
        <v>0</v>
      </c>
      <c r="K2392" s="1417">
        <f ca="1">IF(LEFT(K$6,4)&lt;=LEFT('RFM input'!$G$60,4),"enter input",IF(LEFT(K$6,4)&gt;LEFT('RFM input'!$Q$60,4),0,IF(K$6=(OFFSET('RFM input'!$G$60,0,'RFM input'!$V$7)),OFFSET('RFM input'!$G$411,$A2390,0),0)))</f>
        <v>0</v>
      </c>
      <c r="L2392" s="1417">
        <f ca="1">IF(LEFT(L$6,4)&lt;=LEFT('RFM input'!$G$60,4),"enter input",IF(LEFT(L$6,4)&gt;LEFT('RFM input'!$Q$60,4),0,IF(L$6=(OFFSET('RFM input'!$G$60,0,'RFM input'!$V$7)),OFFSET('RFM input'!$G$411,$A2390,0),0)))</f>
        <v>0</v>
      </c>
      <c r="M2392" s="1417">
        <f ca="1">IF(LEFT(M$6,4)&lt;=LEFT('RFM input'!$G$60,4),"enter input",IF(LEFT(M$6,4)&gt;LEFT('RFM input'!$Q$60,4),0,IF(M$6=(OFFSET('RFM input'!$G$60,0,'RFM input'!$V$7)),OFFSET('RFM input'!$G$411,$A2390,0),0)))</f>
        <v>0</v>
      </c>
      <c r="N2392" s="1417">
        <f ca="1">IF(LEFT(N$6,4)&lt;=LEFT('RFM input'!$G$60,4),"enter input",IF(LEFT(N$6,4)&gt;LEFT('RFM input'!$Q$60,4),0,IF(N$6=(OFFSET('RFM input'!$G$60,0,'RFM input'!$V$7)),OFFSET('RFM input'!$G$411,$A2390,0),0)))</f>
        <v>0</v>
      </c>
      <c r="O2392" s="1417">
        <f ca="1">IF(LEFT(O$6,4)&lt;=LEFT('RFM input'!$G$60,4),"enter input",IF(LEFT(O$6,4)&gt;LEFT('RFM input'!$Q$60,4),0,IF(O$6=(OFFSET('RFM input'!$G$60,0,'RFM input'!$V$7)),OFFSET('RFM input'!$G$411,$A2390,0),0)))</f>
        <v>0</v>
      </c>
      <c r="P2392" s="1417">
        <f ca="1">IF(LEFT(P$6,4)&lt;=LEFT('RFM input'!$G$60,4),"enter input",IF(LEFT(P$6,4)&gt;LEFT('RFM input'!$Q$60,4),0,IF(P$6=(OFFSET('RFM input'!$G$60,0,'RFM input'!$V$7)),OFFSET('RFM input'!$G$411,$A2390,0),0)))</f>
        <v>0</v>
      </c>
      <c r="Q2392" s="1417">
        <f ca="1">IF(LEFT(Q$6,4)&lt;=LEFT('RFM input'!$G$60,4),"enter input",IF(LEFT(Q$6,4)&gt;LEFT('RFM input'!$Q$60,4),0,IF(Q$6=(OFFSET('RFM input'!$G$60,0,'RFM input'!$V$7)),OFFSET('RFM input'!$G$411,$A2390,0),0)))</f>
        <v>0</v>
      </c>
      <c r="R2392" s="1417">
        <f ca="1">IF(LEFT(R$6,4)&lt;=LEFT('RFM input'!$G$60,4),"enter input",IF(LEFT(R$6,4)&gt;LEFT('RFM input'!$Q$60,4),0,IF(R$6=(OFFSET('RFM input'!$G$60,0,'RFM input'!$V$7)),OFFSET('RFM input'!$G$411,$A2390,0),0)))</f>
        <v>0</v>
      </c>
      <c r="S2392" s="1417">
        <f ca="1">IF(LEFT(S$6,4)&lt;=LEFT('RFM input'!$G$60,4),"enter input",IF(LEFT(S$6,4)&gt;LEFT('RFM input'!$Q$60,4),0,IF(S$6=(OFFSET('RFM input'!$G$60,0,'RFM input'!$V$7)),OFFSET('RFM input'!$G$411,$A2390,0),0)))</f>
        <v>0</v>
      </c>
      <c r="T2392" s="1417">
        <f ca="1">IF(LEFT(T$6,4)&lt;=LEFT('RFM input'!$G$60,4),"enter input",IF(LEFT(T$6,4)&gt;LEFT('RFM input'!$Q$60,4),0,IF(T$6=(OFFSET('RFM input'!$G$60,0,'RFM input'!$V$7)),OFFSET('RFM input'!$G$411,$A2390,0),0)))</f>
        <v>0</v>
      </c>
      <c r="U2392" s="1417">
        <f ca="1">IF(LEFT(U$6,4)&lt;=LEFT('RFM input'!$G$60,4),"enter input",IF(LEFT(U$6,4)&gt;LEFT('RFM input'!$Q$60,4),0,IF(U$6=(OFFSET('RFM input'!$G$60,0,'RFM input'!$V$7)),OFFSET('RFM input'!$G$411,$A2390,0),0)))</f>
        <v>0</v>
      </c>
      <c r="V2392" s="1417">
        <f ca="1">IF(LEFT(V$6,4)&lt;=LEFT('RFM input'!$G$60,4),"enter input",IF(LEFT(V$6,4)&gt;LEFT('RFM input'!$Q$60,4),0,IF(V$6=(OFFSET('RFM input'!$G$60,0,'RFM input'!$V$7)),OFFSET('RFM input'!$G$411,$A2390,0),0)))</f>
        <v>0</v>
      </c>
      <c r="W2392" s="1417">
        <f ca="1">IF(LEFT(W$6,4)&lt;=LEFT('RFM input'!$G$60,4),"enter input",IF(LEFT(W$6,4)&gt;LEFT('RFM input'!$Q$60,4),0,IF(W$6=(OFFSET('RFM input'!$G$60,0,'RFM input'!$V$7)),OFFSET('RFM input'!$G$411,$A2390,0),0)))</f>
        <v>0</v>
      </c>
      <c r="X2392" s="152"/>
      <c r="Y2392" s="152"/>
      <c r="Z2392" s="152"/>
      <c r="AA2392" s="152"/>
      <c r="AB2392" s="152"/>
    </row>
    <row r="2393" spans="1:28">
      <c r="A2393" s="152"/>
      <c r="B2393" s="195" t="s">
        <v>197</v>
      </c>
      <c r="C2393" s="1419"/>
      <c r="D2393" s="1418">
        <f ca="1">IF(LEFT(D$6,4)&lt;=LEFT('RFM input'!$G$60,4),"enter input",IF(LEFT(D$6,4)&gt;LEFT('RFM input'!$Q$60,4),0,IF(D$6=(OFFSET('RFM input'!$G$60,0,'RFM input'!$V$7)),OFFSET('RFM input'!$I$411,$A2390,0),0)))</f>
        <v>0</v>
      </c>
      <c r="E2393" s="1422">
        <f ca="1">IF(LEFT(E$6,4)&lt;=LEFT('RFM input'!$G$60,4),"enter input",IF(LEFT(E$6,4)&gt;LEFT('RFM input'!$Q$60,4),0,IF(E$6=(OFFSET('RFM input'!$G$60,0,'RFM input'!$V$7)),OFFSET('RFM input'!$I$411,$A2390,0),0)))</f>
        <v>0</v>
      </c>
      <c r="F2393" s="1422">
        <f ca="1">IF(LEFT(F$6,4)&lt;=LEFT('RFM input'!$G$60,4),"enter input",IF(LEFT(F$6,4)&gt;LEFT('RFM input'!$Q$60,4),0,IF(F$6=(OFFSET('RFM input'!$G$60,0,'RFM input'!$V$7)),OFFSET('RFM input'!$I$411,$A2390,0),0)))</f>
        <v>0</v>
      </c>
      <c r="G2393" s="1422">
        <f ca="1">IF(LEFT(G$6,4)&lt;=LEFT('RFM input'!$G$60,4),"enter input",IF(LEFT(G$6,4)&gt;LEFT('RFM input'!$Q$60,4),0,IF(G$6=(OFFSET('RFM input'!$G$60,0,'RFM input'!$V$7)),OFFSET('RFM input'!$I$411,$A2390,0),0)))</f>
        <v>0</v>
      </c>
      <c r="H2393" s="1422">
        <f ca="1">IF(LEFT(H$6,4)&lt;=LEFT('RFM input'!$G$60,4),"enter input",IF(LEFT(H$6,4)&gt;LEFT('RFM input'!$Q$60,4),0,IF(H$6=(OFFSET('RFM input'!$G$60,0,'RFM input'!$V$7)),OFFSET('RFM input'!$I$411,$A2390,0),0)))</f>
        <v>0</v>
      </c>
      <c r="I2393" s="1422">
        <f ca="1">IF(LEFT(I$6,4)&lt;=LEFT('RFM input'!$G$60,4),"enter input",IF(LEFT(I$6,4)&gt;LEFT('RFM input'!$Q$60,4),0,IF(I$6=(OFFSET('RFM input'!$G$60,0,'RFM input'!$V$7)),OFFSET('RFM input'!$I$411,$A2390,0),0)))</f>
        <v>0</v>
      </c>
      <c r="J2393" s="1422">
        <f ca="1">IF(LEFT(J$6,4)&lt;=LEFT('RFM input'!$G$60,4),"enter input",IF(LEFT(J$6,4)&gt;LEFT('RFM input'!$Q$60,4),0,IF(J$6=(OFFSET('RFM input'!$G$60,0,'RFM input'!$V$7)),OFFSET('RFM input'!$I$411,$A2390,0),0)))</f>
        <v>0</v>
      </c>
      <c r="K2393" s="1422">
        <f ca="1">IF(LEFT(K$6,4)&lt;=LEFT('RFM input'!$G$60,4),"enter input",IF(LEFT(K$6,4)&gt;LEFT('RFM input'!$Q$60,4),0,IF(K$6=(OFFSET('RFM input'!$G$60,0,'RFM input'!$V$7)),OFFSET('RFM input'!$I$411,$A2390,0),0)))</f>
        <v>0</v>
      </c>
      <c r="L2393" s="1422">
        <f ca="1">IF(LEFT(L$6,4)&lt;=LEFT('RFM input'!$G$60,4),"enter input",IF(LEFT(L$6,4)&gt;LEFT('RFM input'!$Q$60,4),0,IF(L$6=(OFFSET('RFM input'!$G$60,0,'RFM input'!$V$7)),OFFSET('RFM input'!$I$411,$A2390,0),0)))</f>
        <v>0</v>
      </c>
      <c r="M2393" s="1422">
        <f ca="1">IF(LEFT(M$6,4)&lt;=LEFT('RFM input'!$G$60,4),"enter input",IF(LEFT(M$6,4)&gt;LEFT('RFM input'!$Q$60,4),0,IF(M$6=(OFFSET('RFM input'!$G$60,0,'RFM input'!$V$7)),OFFSET('RFM input'!$I$411,$A2390,0),0)))</f>
        <v>0</v>
      </c>
      <c r="N2393" s="1422">
        <f ca="1">IF(LEFT(N$6,4)&lt;=LEFT('RFM input'!$G$60,4),"enter input",IF(LEFT(N$6,4)&gt;LEFT('RFM input'!$Q$60,4),0,IF(N$6=(OFFSET('RFM input'!$G$60,0,'RFM input'!$V$7)),OFFSET('RFM input'!$I$411,$A2390,0),0)))</f>
        <v>0</v>
      </c>
      <c r="O2393" s="1422">
        <f ca="1">IF(LEFT(O$6,4)&lt;=LEFT('RFM input'!$G$60,4),"enter input",IF(LEFT(O$6,4)&gt;LEFT('RFM input'!$Q$60,4),0,IF(O$6=(OFFSET('RFM input'!$G$60,0,'RFM input'!$V$7)),OFFSET('RFM input'!$I$411,$A2390,0),0)))</f>
        <v>0</v>
      </c>
      <c r="P2393" s="1422">
        <f ca="1">IF(LEFT(P$6,4)&lt;=LEFT('RFM input'!$G$60,4),"enter input",IF(LEFT(P$6,4)&gt;LEFT('RFM input'!$Q$60,4),0,IF(P$6=(OFFSET('RFM input'!$G$60,0,'RFM input'!$V$7)),OFFSET('RFM input'!$I$411,$A2390,0),0)))</f>
        <v>0</v>
      </c>
      <c r="Q2393" s="1422">
        <f ca="1">IF(LEFT(Q$6,4)&lt;=LEFT('RFM input'!$G$60,4),"enter input",IF(LEFT(Q$6,4)&gt;LEFT('RFM input'!$Q$60,4),0,IF(Q$6=(OFFSET('RFM input'!$G$60,0,'RFM input'!$V$7)),OFFSET('RFM input'!$I$411,$A2390,0),0)))</f>
        <v>0</v>
      </c>
      <c r="R2393" s="1422">
        <f ca="1">IF(LEFT(R$6,4)&lt;=LEFT('RFM input'!$G$60,4),"enter input",IF(LEFT(R$6,4)&gt;LEFT('RFM input'!$Q$60,4),0,IF(R$6=(OFFSET('RFM input'!$G$60,0,'RFM input'!$V$7)),OFFSET('RFM input'!$I$411,$A2390,0),0)))</f>
        <v>0</v>
      </c>
      <c r="S2393" s="1422">
        <f ca="1">IF(LEFT(S$6,4)&lt;=LEFT('RFM input'!$G$60,4),"enter input",IF(LEFT(S$6,4)&gt;LEFT('RFM input'!$Q$60,4),0,IF(S$6=(OFFSET('RFM input'!$G$60,0,'RFM input'!$V$7)),OFFSET('RFM input'!$I$411,$A2390,0),0)))</f>
        <v>0</v>
      </c>
      <c r="T2393" s="1422">
        <f ca="1">IF(LEFT(T$6,4)&lt;=LEFT('RFM input'!$G$60,4),"enter input",IF(LEFT(T$6,4)&gt;LEFT('RFM input'!$Q$60,4),0,IF(T$6=(OFFSET('RFM input'!$G$60,0,'RFM input'!$V$7)),OFFSET('RFM input'!$I$411,$A2390,0),0)))</f>
        <v>0</v>
      </c>
      <c r="U2393" s="1422">
        <f ca="1">IF(LEFT(U$6,4)&lt;=LEFT('RFM input'!$G$60,4),"enter input",IF(LEFT(U$6,4)&gt;LEFT('RFM input'!$Q$60,4),0,IF(U$6=(OFFSET('RFM input'!$G$60,0,'RFM input'!$V$7)),OFFSET('RFM input'!$I$411,$A2390,0),0)))</f>
        <v>0</v>
      </c>
      <c r="V2393" s="1422">
        <f ca="1">IF(LEFT(V$6,4)&lt;=LEFT('RFM input'!$G$60,4),"enter input",IF(LEFT(V$6,4)&gt;LEFT('RFM input'!$Q$60,4),0,IF(V$6=(OFFSET('RFM input'!$G$60,0,'RFM input'!$V$7)),OFFSET('RFM input'!$I$411,$A2390,0),0)))</f>
        <v>0</v>
      </c>
      <c r="W2393" s="1422">
        <f ca="1">IF(LEFT(W$6,4)&lt;=LEFT('RFM input'!$G$60,4),"enter input",IF(LEFT(W$6,4)&gt;LEFT('RFM input'!$Q$60,4),0,IF(W$6=(OFFSET('RFM input'!$G$60,0,'RFM input'!$V$7)),OFFSET('RFM input'!$I$411,$A2390,0),0)))</f>
        <v>0</v>
      </c>
      <c r="X2393" s="152"/>
      <c r="Y2393" s="152"/>
      <c r="Z2393" s="152"/>
      <c r="AA2393" s="152"/>
      <c r="AB2393" s="152"/>
    </row>
    <row r="2394" spans="1:28" hidden="1" outlineLevel="1">
      <c r="A2394" s="235">
        <v>-1</v>
      </c>
      <c r="B2394" s="190" t="s">
        <v>189</v>
      </c>
      <c r="C2394" s="1423"/>
      <c r="D2394" s="1423">
        <f ca="1">IF(AND(D2392=0,C2394=0),0,
IF(AND(D2392&lt;&gt;0,C2394=0),(D2392/D$10),
IF(AND(D2393&lt;&gt;0,C2394&lt;&gt;0),(C2394-(C2394/C2418))+(D2392/D$10),
IF(C2418&lt;1,0,(C2394-(C2394/C2418))))))</f>
        <v>0</v>
      </c>
      <c r="E2394" s="1423">
        <f t="shared" ref="E2394" ca="1" si="3529">IF(AND(E2392=0,D2394=0),0,
IF(AND(E2392&lt;&gt;0,D2394=0),(E2392/E$10),
IF(AND(E2393&lt;&gt;0,D2394&lt;&gt;0),(D2394-(D2394/D2418))+(E2392/E$10),
IF(D2418&lt;1,0,(D2394-(D2394/D2418))))))</f>
        <v>0</v>
      </c>
      <c r="F2394" s="1423">
        <f t="shared" ref="F2394" ca="1" si="3530">IF(AND(F2392=0,E2394=0),0,
IF(AND(F2392&lt;&gt;0,E2394=0),(F2392/F$10),
IF(AND(F2393&lt;&gt;0,E2394&lt;&gt;0),(E2394-(E2394/E2418))+(F2392/F$10),
IF(E2418&lt;1,0,(E2394-(E2394/E2418))))))</f>
        <v>0</v>
      </c>
      <c r="G2394" s="1423">
        <f t="shared" ref="G2394" ca="1" si="3531">IF(AND(G2392=0,F2394=0),0,
IF(AND(G2392&lt;&gt;0,F2394=0),(G2392/G$10),
IF(AND(G2393&lt;&gt;0,F2394&lt;&gt;0),(F2394-(F2394/F2418))+(G2392/G$10),
IF(F2418&lt;1,0,(F2394-(F2394/F2418))))))</f>
        <v>0</v>
      </c>
      <c r="H2394" s="1423">
        <f t="shared" ref="H2394" ca="1" si="3532">IF(AND(H2392=0,G2394=0),0,
IF(AND(H2392&lt;&gt;0,G2394=0),(H2392/H$10),
IF(AND(H2393&lt;&gt;0,G2394&lt;&gt;0),(G2394-(G2394/G2418))+(H2392/H$10),
IF(G2418&lt;1,0,(G2394-(G2394/G2418))))))</f>
        <v>0</v>
      </c>
      <c r="I2394" s="1423">
        <f t="shared" ref="I2394" ca="1" si="3533">IF(AND(I2392=0,H2394=0),0,
IF(AND(I2392&lt;&gt;0,H2394=0),(I2392/I$10),
IF(AND(I2393&lt;&gt;0,H2394&lt;&gt;0),(H2394-(H2394/H2418))+(I2392/I$10),
IF(H2418&lt;1,0,(H2394-(H2394/H2418))))))</f>
        <v>0</v>
      </c>
      <c r="J2394" s="1423">
        <f t="shared" ref="J2394" ca="1" si="3534">IF(AND(J2392=0,I2394=0),0,
IF(AND(J2392&lt;&gt;0,I2394=0),(J2392/J$10),
IF(AND(J2393&lt;&gt;0,I2394&lt;&gt;0),(I2394-(I2394/I2418))+(J2392/J$10),
IF(I2418&lt;1,0,(I2394-(I2394/I2418))))))</f>
        <v>0</v>
      </c>
      <c r="K2394" s="1423">
        <f t="shared" ref="K2394" ca="1" si="3535">IF(AND(K2392=0,J2394=0),0,
IF(AND(K2392&lt;&gt;0,J2394=0),(K2392/K$10),
IF(AND(K2393&lt;&gt;0,J2394&lt;&gt;0),(J2394-(J2394/J2418))+(K2392/K$10),
IF(J2418&lt;1,0,(J2394-(J2394/J2418))))))</f>
        <v>0</v>
      </c>
      <c r="L2394" s="1423">
        <f t="shared" ref="L2394" ca="1" si="3536">IF(AND(L2392=0,K2394=0),0,
IF(AND(L2392&lt;&gt;0,K2394=0),(L2392/L$10),
IF(AND(L2393&lt;&gt;0,K2394&lt;&gt;0),(K2394-(K2394/K2418))+(L2392/L$10),
IF(K2418&lt;1,0,(K2394-(K2394/K2418))))))</f>
        <v>0</v>
      </c>
      <c r="M2394" s="1423">
        <f t="shared" ref="M2394" ca="1" si="3537">IF(AND(M2392=0,L2394=0),0,
IF(AND(M2392&lt;&gt;0,L2394=0),(M2392/M$10),
IF(AND(M2393&lt;&gt;0,L2394&lt;&gt;0),(L2394-(L2394/L2418))+(M2392/M$10),
IF(L2418&lt;1,0,(L2394-(L2394/L2418))))))</f>
        <v>0</v>
      </c>
      <c r="N2394" s="1423">
        <f t="shared" ref="N2394" ca="1" si="3538">IF(AND(N2392=0,M2394=0),0,
IF(AND(N2392&lt;&gt;0,M2394=0),(N2392/N$10),
IF(AND(N2393&lt;&gt;0,M2394&lt;&gt;0),(M2394-(M2394/M2418))+(N2392/N$10),
IF(M2418&lt;1,0,(M2394-(M2394/M2418))))))</f>
        <v>0</v>
      </c>
      <c r="O2394" s="1423">
        <f t="shared" ref="O2394" ca="1" si="3539">IF(AND(O2392=0,N2394=0),0,
IF(AND(O2392&lt;&gt;0,N2394=0),(O2392/O$10),
IF(AND(O2393&lt;&gt;0,N2394&lt;&gt;0),(N2394-(N2394/N2418))+(O2392/O$10),
IF(N2418&lt;1,0,(N2394-(N2394/N2418))))))</f>
        <v>0</v>
      </c>
      <c r="P2394" s="1423">
        <f t="shared" ref="P2394" ca="1" si="3540">IF(AND(P2392=0,O2394=0),0,
IF(AND(P2392&lt;&gt;0,O2394=0),(P2392/P$10),
IF(AND(P2393&lt;&gt;0,O2394&lt;&gt;0),(O2394-(O2394/O2418))+(P2392/P$10),
IF(O2418&lt;1,0,(O2394-(O2394/O2418))))))</f>
        <v>0</v>
      </c>
      <c r="Q2394" s="1423">
        <f t="shared" ref="Q2394" ca="1" si="3541">IF(AND(Q2392=0,P2394=0),0,
IF(AND(Q2392&lt;&gt;0,P2394=0),(Q2392/Q$10),
IF(AND(Q2393&lt;&gt;0,P2394&lt;&gt;0),(P2394-(P2394/P2418))+(Q2392/Q$10),
IF(P2418&lt;1,0,(P2394-(P2394/P2418))))))</f>
        <v>0</v>
      </c>
      <c r="R2394" s="1423">
        <f t="shared" ref="R2394" ca="1" si="3542">IF(AND(R2392=0,Q2394=0),0,
IF(AND(R2392&lt;&gt;0,Q2394=0),(R2392/R$10),
IF(AND(R2393&lt;&gt;0,Q2394&lt;&gt;0),(Q2394-(Q2394/Q2418))+(R2392/R$10),
IF(Q2418&lt;1,0,(Q2394-(Q2394/Q2418))))))</f>
        <v>0</v>
      </c>
      <c r="S2394" s="1423">
        <f t="shared" ref="S2394" ca="1" si="3543">IF(AND(S2392=0,R2394=0),0,
IF(AND(S2392&lt;&gt;0,R2394=0),(S2392/S$10),
IF(AND(S2393&lt;&gt;0,R2394&lt;&gt;0),(R2394-(R2394/R2418))+(S2392/S$10),
IF(R2418&lt;1,0,(R2394-(R2394/R2418))))))</f>
        <v>0</v>
      </c>
      <c r="T2394" s="1423">
        <f t="shared" ref="T2394" ca="1" si="3544">IF(AND(T2392=0,S2394=0),0,
IF(AND(T2392&lt;&gt;0,S2394=0),(T2392/T$10),
IF(AND(T2393&lt;&gt;0,S2394&lt;&gt;0),(S2394-(S2394/S2418))+(T2392/T$10),
IF(S2418&lt;1,0,(S2394-(S2394/S2418))))))</f>
        <v>0</v>
      </c>
      <c r="U2394" s="1423">
        <f t="shared" ref="U2394" ca="1" si="3545">IF(AND(U2392=0,T2394=0),0,
IF(AND(U2392&lt;&gt;0,T2394=0),(U2392/U$10),
IF(AND(U2393&lt;&gt;0,T2394&lt;&gt;0),(T2394-(T2394/T2418))+(U2392/U$10),
IF(T2418&lt;1,0,(T2394-(T2394/T2418))))))</f>
        <v>0</v>
      </c>
      <c r="V2394" s="1423">
        <f t="shared" ref="V2394" ca="1" si="3546">IF(AND(V2392=0,U2394=0),0,
IF(AND(V2392&lt;&gt;0,U2394=0),(V2392/V$10),
IF(AND(V2393&lt;&gt;0,U2394&lt;&gt;0),(U2394-(U2394/U2418))+(V2392/V$10),
IF(U2418&lt;1,0,(U2394-(U2394/U2418))))))</f>
        <v>0</v>
      </c>
      <c r="W2394" s="1423">
        <f t="shared" ref="W2394" ca="1" si="3547">IF(AND(W2392=0,V2394=0),0,
IF(AND(W2392&lt;&gt;0,V2394=0),(W2392/W$10),
IF(AND(W2393&lt;&gt;0,V2394&lt;&gt;0),(V2394-(V2394/V2418))+(W2392/W$10),
IF(V2418&lt;1,0,(V2394-(V2394/V2418))))))</f>
        <v>0</v>
      </c>
      <c r="X2394" s="152"/>
      <c r="Y2394" s="152"/>
      <c r="Z2394" s="152"/>
      <c r="AA2394" s="152"/>
      <c r="AB2394" s="152"/>
    </row>
    <row r="2395" spans="1:28" hidden="1" outlineLevel="1">
      <c r="A2395" s="199">
        <f>A2394+1</f>
        <v>0</v>
      </c>
      <c r="B2395" s="190" t="s">
        <v>125</v>
      </c>
      <c r="C2395" s="1423">
        <f ca="1">C2390/C$10</f>
        <v>0</v>
      </c>
      <c r="D2395" s="1423">
        <f ca="1">IF(C2419="n/a",C2395,IFERROR(IF((OFFSET($C2395,0,$A2395))&lt;0,
MIN(0,C2395-(OFFSET($C2395,0,$A2395)/(OFFSET($C2390,-$A2394,$A2395)))),
MAX(0,C2395-(OFFSET($C2395,0,$A2395)/(OFFSET($C2390,-$A2394,$A2395))))),0))</f>
        <v>0</v>
      </c>
      <c r="E2395" s="1423">
        <f t="shared" ref="E2395" ca="1" si="3548">IF(D2419="n/a",D2395,IFERROR(IF((OFFSET($C2395,0,$A2395))&lt;0,
MIN(0,D2395-(OFFSET($C2395,0,$A2395)/(OFFSET($C2390,-$A2394,$A2395)))),
MAX(0,D2395-(OFFSET($C2395,0,$A2395)/(OFFSET($C2390,-$A2394,$A2395))))),0))</f>
        <v>0</v>
      </c>
      <c r="F2395" s="1423">
        <f t="shared" ref="F2395:F2396" ca="1" si="3549">IF(E2419="n/a",E2395,IFERROR(IF((OFFSET($C2395,0,$A2395))&lt;0,
MIN(0,E2395-(OFFSET($C2395,0,$A2395)/(OFFSET($C2390,-$A2394,$A2395)))),
MAX(0,E2395-(OFFSET($C2395,0,$A2395)/(OFFSET($C2390,-$A2394,$A2395))))),0))</f>
        <v>0</v>
      </c>
      <c r="G2395" s="1423">
        <f t="shared" ref="G2395:G2397" ca="1" si="3550">IF(F2419="n/a",F2395,IFERROR(IF((OFFSET($C2395,0,$A2395))&lt;0,
MIN(0,F2395-(OFFSET($C2395,0,$A2395)/(OFFSET($C2390,-$A2394,$A2395)))),
MAX(0,F2395-(OFFSET($C2395,0,$A2395)/(OFFSET($C2390,-$A2394,$A2395))))),0))</f>
        <v>0</v>
      </c>
      <c r="H2395" s="1423">
        <f t="shared" ref="H2395:H2398" ca="1" si="3551">IF(G2419="n/a",G2395,IFERROR(IF((OFFSET($C2395,0,$A2395))&lt;0,
MIN(0,G2395-(OFFSET($C2395,0,$A2395)/(OFFSET($C2390,-$A2394,$A2395)))),
MAX(0,G2395-(OFFSET($C2395,0,$A2395)/(OFFSET($C2390,-$A2394,$A2395))))),0))</f>
        <v>0</v>
      </c>
      <c r="I2395" s="1423">
        <f t="shared" ref="I2395:I2399" ca="1" si="3552">IF(H2419="n/a",H2395,IFERROR(IF((OFFSET($C2395,0,$A2395))&lt;0,
MIN(0,H2395-(OFFSET($C2395,0,$A2395)/(OFFSET($C2390,-$A2394,$A2395)))),
MAX(0,H2395-(OFFSET($C2395,0,$A2395)/(OFFSET($C2390,-$A2394,$A2395))))),0))</f>
        <v>0</v>
      </c>
      <c r="J2395" s="1423">
        <f t="shared" ref="J2395:J2400" ca="1" si="3553">IF(I2419="n/a",I2395,IFERROR(IF((OFFSET($C2395,0,$A2395))&lt;0,
MIN(0,I2395-(OFFSET($C2395,0,$A2395)/(OFFSET($C2390,-$A2394,$A2395)))),
MAX(0,I2395-(OFFSET($C2395,0,$A2395)/(OFFSET($C2390,-$A2394,$A2395))))),0))</f>
        <v>0</v>
      </c>
      <c r="K2395" s="1423">
        <f t="shared" ref="K2395:K2401" ca="1" si="3554">IF(J2419="n/a",J2395,IFERROR(IF((OFFSET($C2395,0,$A2395))&lt;0,
MIN(0,J2395-(OFFSET($C2395,0,$A2395)/(OFFSET($C2390,-$A2394,$A2395)))),
MAX(0,J2395-(OFFSET($C2395,0,$A2395)/(OFFSET($C2390,-$A2394,$A2395))))),0))</f>
        <v>0</v>
      </c>
      <c r="L2395" s="1423">
        <f t="shared" ref="L2395:L2402" ca="1" si="3555">IF(K2419="n/a",K2395,IFERROR(IF((OFFSET($C2395,0,$A2395))&lt;0,
MIN(0,K2395-(OFFSET($C2395,0,$A2395)/(OFFSET($C2390,-$A2394,$A2395)))),
MAX(0,K2395-(OFFSET($C2395,0,$A2395)/(OFFSET($C2390,-$A2394,$A2395))))),0))</f>
        <v>0</v>
      </c>
      <c r="M2395" s="1423">
        <f t="shared" ref="M2395:M2403" ca="1" si="3556">IF(L2419="n/a",L2395,IFERROR(IF((OFFSET($C2395,0,$A2395))&lt;0,
MIN(0,L2395-(OFFSET($C2395,0,$A2395)/(OFFSET($C2390,-$A2394,$A2395)))),
MAX(0,L2395-(OFFSET($C2395,0,$A2395)/(OFFSET($C2390,-$A2394,$A2395))))),0))</f>
        <v>0</v>
      </c>
      <c r="N2395" s="1423">
        <f t="shared" ref="N2395:N2404" ca="1" si="3557">IF(M2419="n/a",M2395,IFERROR(IF((OFFSET($C2395,0,$A2395))&lt;0,
MIN(0,M2395-(OFFSET($C2395,0,$A2395)/(OFFSET($C2390,-$A2394,$A2395)))),
MAX(0,M2395-(OFFSET($C2395,0,$A2395)/(OFFSET($C2390,-$A2394,$A2395))))),0))</f>
        <v>0</v>
      </c>
      <c r="O2395" s="1423">
        <f t="shared" ref="O2395:O2405" ca="1" si="3558">IF(N2419="n/a",N2395,IFERROR(IF((OFFSET($C2395,0,$A2395))&lt;0,
MIN(0,N2395-(OFFSET($C2395,0,$A2395)/(OFFSET($C2390,-$A2394,$A2395)))),
MAX(0,N2395-(OFFSET($C2395,0,$A2395)/(OFFSET($C2390,-$A2394,$A2395))))),0))</f>
        <v>0</v>
      </c>
      <c r="P2395" s="1423">
        <f t="shared" ref="P2395:P2406" ca="1" si="3559">IF(O2419="n/a",O2395,IFERROR(IF((OFFSET($C2395,0,$A2395))&lt;0,
MIN(0,O2395-(OFFSET($C2395,0,$A2395)/(OFFSET($C2390,-$A2394,$A2395)))),
MAX(0,O2395-(OFFSET($C2395,0,$A2395)/(OFFSET($C2390,-$A2394,$A2395))))),0))</f>
        <v>0</v>
      </c>
      <c r="Q2395" s="1423">
        <f t="shared" ref="Q2395:Q2407" ca="1" si="3560">IF(P2419="n/a",P2395,IFERROR(IF((OFFSET($C2395,0,$A2395))&lt;0,
MIN(0,P2395-(OFFSET($C2395,0,$A2395)/(OFFSET($C2390,-$A2394,$A2395)))),
MAX(0,P2395-(OFFSET($C2395,0,$A2395)/(OFFSET($C2390,-$A2394,$A2395))))),0))</f>
        <v>0</v>
      </c>
      <c r="R2395" s="1423">
        <f t="shared" ref="R2395:R2408" ca="1" si="3561">IF(Q2419="n/a",Q2395,IFERROR(IF((OFFSET($C2395,0,$A2395))&lt;0,
MIN(0,Q2395-(OFFSET($C2395,0,$A2395)/(OFFSET($C2390,-$A2394,$A2395)))),
MAX(0,Q2395-(OFFSET($C2395,0,$A2395)/(OFFSET($C2390,-$A2394,$A2395))))),0))</f>
        <v>0</v>
      </c>
      <c r="S2395" s="1423">
        <f t="shared" ref="S2395:S2409" ca="1" si="3562">IF(R2419="n/a",R2395,IFERROR(IF((OFFSET($C2395,0,$A2395))&lt;0,
MIN(0,R2395-(OFFSET($C2395,0,$A2395)/(OFFSET($C2390,-$A2394,$A2395)))),
MAX(0,R2395-(OFFSET($C2395,0,$A2395)/(OFFSET($C2390,-$A2394,$A2395))))),0))</f>
        <v>0</v>
      </c>
      <c r="T2395" s="1423">
        <f t="shared" ref="T2395:T2410" ca="1" si="3563">IF(S2419="n/a",S2395,IFERROR(IF((OFFSET($C2395,0,$A2395))&lt;0,
MIN(0,S2395-(OFFSET($C2395,0,$A2395)/(OFFSET($C2390,-$A2394,$A2395)))),
MAX(0,S2395-(OFFSET($C2395,0,$A2395)/(OFFSET($C2390,-$A2394,$A2395))))),0))</f>
        <v>0</v>
      </c>
      <c r="U2395" s="1423">
        <f t="shared" ref="U2395:U2411" ca="1" si="3564">IF(T2419="n/a",T2395,IFERROR(IF((OFFSET($C2395,0,$A2395))&lt;0,
MIN(0,T2395-(OFFSET($C2395,0,$A2395)/(OFFSET($C2390,-$A2394,$A2395)))),
MAX(0,T2395-(OFFSET($C2395,0,$A2395)/(OFFSET($C2390,-$A2394,$A2395))))),0))</f>
        <v>0</v>
      </c>
      <c r="V2395" s="1423">
        <f t="shared" ref="V2395:V2412" ca="1" si="3565">IF(U2419="n/a",U2395,IFERROR(IF((OFFSET($C2395,0,$A2395))&lt;0,
MIN(0,U2395-(OFFSET($C2395,0,$A2395)/(OFFSET($C2390,-$A2394,$A2395)))),
MAX(0,U2395-(OFFSET($C2395,0,$A2395)/(OFFSET($C2390,-$A2394,$A2395))))),0))</f>
        <v>0</v>
      </c>
      <c r="W2395" s="1423">
        <f t="shared" ref="W2395:W2413" ca="1" si="3566">IF(V2419="n/a",V2395,IFERROR(IF((OFFSET($C2395,0,$A2395))&lt;0,
MIN(0,V2395-(OFFSET($C2395,0,$A2395)/(OFFSET($C2390,-$A2394,$A2395)))),
MAX(0,V2395-(OFFSET($C2395,0,$A2395)/(OFFSET($C2390,-$A2394,$A2395))))),0))</f>
        <v>0</v>
      </c>
      <c r="X2395" s="152"/>
      <c r="Y2395" s="152"/>
      <c r="Z2395" s="152"/>
      <c r="AA2395" s="152"/>
      <c r="AB2395" s="152"/>
    </row>
    <row r="2396" spans="1:28" hidden="1" outlineLevel="1">
      <c r="A2396" s="199">
        <f t="shared" ref="A2396:A2415" si="3567">A2395+1</f>
        <v>1</v>
      </c>
      <c r="B2396" s="190" t="str">
        <f t="shared" ref="B2396:B2414" ca="1" si="3568">"Depreciated Net Capex "&amp;OFFSET($C$6,0,A2396)</f>
        <v>Depreciated Net Capex 2016-17</v>
      </c>
      <c r="C2396" s="1424"/>
      <c r="D2396" s="1425">
        <f>(D2390*((1+D$11)^0.5)/D$10)</f>
        <v>0</v>
      </c>
      <c r="E2396" s="1423">
        <f ca="1">IF(D2420="n/a",D2396,IFERROR(IF((OFFSET($C2396,0,$A2396))&lt;0,
MIN(0,D2396-(OFFSET($C2396,0,$A2396)/(OFFSET($C2391,-$A2395,$A2396)))),
MAX(0,D2396-(OFFSET($C2396,0,$A2396)/(OFFSET($C2391,-$A2395,$A2396))))),0))</f>
        <v>0</v>
      </c>
      <c r="F2396" s="1423">
        <f t="shared" ca="1" si="3549"/>
        <v>0</v>
      </c>
      <c r="G2396" s="1423">
        <f t="shared" ca="1" si="3550"/>
        <v>0</v>
      </c>
      <c r="H2396" s="1423">
        <f t="shared" ca="1" si="3551"/>
        <v>0</v>
      </c>
      <c r="I2396" s="1423">
        <f t="shared" ca="1" si="3552"/>
        <v>0</v>
      </c>
      <c r="J2396" s="1423">
        <f t="shared" ca="1" si="3553"/>
        <v>0</v>
      </c>
      <c r="K2396" s="1423">
        <f t="shared" ca="1" si="3554"/>
        <v>0</v>
      </c>
      <c r="L2396" s="1423">
        <f t="shared" ca="1" si="3555"/>
        <v>0</v>
      </c>
      <c r="M2396" s="1423">
        <f t="shared" ca="1" si="3556"/>
        <v>0</v>
      </c>
      <c r="N2396" s="1423">
        <f t="shared" ca="1" si="3557"/>
        <v>0</v>
      </c>
      <c r="O2396" s="1423">
        <f t="shared" ca="1" si="3558"/>
        <v>0</v>
      </c>
      <c r="P2396" s="1423">
        <f t="shared" ca="1" si="3559"/>
        <v>0</v>
      </c>
      <c r="Q2396" s="1423">
        <f t="shared" ca="1" si="3560"/>
        <v>0</v>
      </c>
      <c r="R2396" s="1423">
        <f t="shared" ca="1" si="3561"/>
        <v>0</v>
      </c>
      <c r="S2396" s="1423">
        <f t="shared" ca="1" si="3562"/>
        <v>0</v>
      </c>
      <c r="T2396" s="1423">
        <f t="shared" ca="1" si="3563"/>
        <v>0</v>
      </c>
      <c r="U2396" s="1423">
        <f t="shared" ca="1" si="3564"/>
        <v>0</v>
      </c>
      <c r="V2396" s="1423">
        <f t="shared" ca="1" si="3565"/>
        <v>0</v>
      </c>
      <c r="W2396" s="1423">
        <f t="shared" ca="1" si="3566"/>
        <v>0</v>
      </c>
      <c r="X2396" s="152"/>
      <c r="Y2396" s="152"/>
      <c r="Z2396" s="152"/>
      <c r="AA2396" s="152"/>
      <c r="AB2396" s="152"/>
    </row>
    <row r="2397" spans="1:28" hidden="1" outlineLevel="1">
      <c r="A2397" s="199">
        <f t="shared" si="3567"/>
        <v>2</v>
      </c>
      <c r="B2397" s="190" t="str">
        <f t="shared" ca="1" si="3568"/>
        <v>Depreciated Net Capex 2017-18</v>
      </c>
      <c r="C2397" s="1426"/>
      <c r="D2397" s="1427"/>
      <c r="E2397" s="1425">
        <f>(E2390*((1+E$11)^0.5)/E$10)</f>
        <v>0</v>
      </c>
      <c r="F2397" s="1423">
        <f ca="1">IF(E2421="n/a",E2397,IFERROR(IF((OFFSET($C2397,0,$A2397))&lt;0,
MIN(0,E2397-(OFFSET($C2397,0,$A2397)/(OFFSET($C2392,-$A2396,$A2397)))),
MAX(0,E2397-(OFFSET($C2397,0,$A2397)/(OFFSET($C2392,-$A2396,$A2397))))),0))</f>
        <v>0</v>
      </c>
      <c r="G2397" s="1423">
        <f t="shared" ca="1" si="3550"/>
        <v>0</v>
      </c>
      <c r="H2397" s="1423">
        <f t="shared" ca="1" si="3551"/>
        <v>0</v>
      </c>
      <c r="I2397" s="1423">
        <f t="shared" ca="1" si="3552"/>
        <v>0</v>
      </c>
      <c r="J2397" s="1423">
        <f t="shared" ca="1" si="3553"/>
        <v>0</v>
      </c>
      <c r="K2397" s="1423">
        <f t="shared" ca="1" si="3554"/>
        <v>0</v>
      </c>
      <c r="L2397" s="1423">
        <f t="shared" ca="1" si="3555"/>
        <v>0</v>
      </c>
      <c r="M2397" s="1423">
        <f t="shared" ca="1" si="3556"/>
        <v>0</v>
      </c>
      <c r="N2397" s="1423">
        <f t="shared" ca="1" si="3557"/>
        <v>0</v>
      </c>
      <c r="O2397" s="1423">
        <f t="shared" ca="1" si="3558"/>
        <v>0</v>
      </c>
      <c r="P2397" s="1423">
        <f t="shared" ca="1" si="3559"/>
        <v>0</v>
      </c>
      <c r="Q2397" s="1423">
        <f t="shared" ca="1" si="3560"/>
        <v>0</v>
      </c>
      <c r="R2397" s="1423">
        <f t="shared" ca="1" si="3561"/>
        <v>0</v>
      </c>
      <c r="S2397" s="1423">
        <f t="shared" ca="1" si="3562"/>
        <v>0</v>
      </c>
      <c r="T2397" s="1423">
        <f t="shared" ca="1" si="3563"/>
        <v>0</v>
      </c>
      <c r="U2397" s="1423">
        <f t="shared" ca="1" si="3564"/>
        <v>0</v>
      </c>
      <c r="V2397" s="1423">
        <f t="shared" ca="1" si="3565"/>
        <v>0</v>
      </c>
      <c r="W2397" s="1423">
        <f t="shared" ca="1" si="3566"/>
        <v>0</v>
      </c>
      <c r="X2397" s="202"/>
      <c r="Y2397" s="152"/>
      <c r="Z2397" s="152"/>
      <c r="AA2397" s="152"/>
      <c r="AB2397" s="152"/>
    </row>
    <row r="2398" spans="1:28" hidden="1" outlineLevel="1">
      <c r="A2398" s="199">
        <f t="shared" si="3567"/>
        <v>3</v>
      </c>
      <c r="B2398" s="190" t="str">
        <f t="shared" ca="1" si="3568"/>
        <v>Depreciated Net Capex 2018-19</v>
      </c>
      <c r="C2398" s="1426"/>
      <c r="D2398" s="1426"/>
      <c r="E2398" s="1427"/>
      <c r="F2398" s="1428">
        <f>($F2390*((1+F$11)^0.5)/F$10)</f>
        <v>0</v>
      </c>
      <c r="G2398" s="1423">
        <f ca="1">IF(F2422="n/a",F2398,IFERROR(IF((OFFSET($C2398,0,$A2398))&lt;0,
MIN(0,F2398-(OFFSET($C2398,0,$A2398)/(OFFSET($C2393,-$A2397,$A2398)))),
MAX(0,F2398-(OFFSET($C2398,0,$A2398)/(OFFSET($C2393,-$A2397,$A2398))))),0))</f>
        <v>0</v>
      </c>
      <c r="H2398" s="1423">
        <f t="shared" ca="1" si="3551"/>
        <v>0</v>
      </c>
      <c r="I2398" s="1423">
        <f t="shared" ca="1" si="3552"/>
        <v>0</v>
      </c>
      <c r="J2398" s="1423">
        <f t="shared" ca="1" si="3553"/>
        <v>0</v>
      </c>
      <c r="K2398" s="1423">
        <f t="shared" ca="1" si="3554"/>
        <v>0</v>
      </c>
      <c r="L2398" s="1423">
        <f t="shared" ca="1" si="3555"/>
        <v>0</v>
      </c>
      <c r="M2398" s="1423">
        <f t="shared" ca="1" si="3556"/>
        <v>0</v>
      </c>
      <c r="N2398" s="1423">
        <f t="shared" ca="1" si="3557"/>
        <v>0</v>
      </c>
      <c r="O2398" s="1423">
        <f t="shared" ca="1" si="3558"/>
        <v>0</v>
      </c>
      <c r="P2398" s="1423">
        <f t="shared" ca="1" si="3559"/>
        <v>0</v>
      </c>
      <c r="Q2398" s="1423">
        <f t="shared" ca="1" si="3560"/>
        <v>0</v>
      </c>
      <c r="R2398" s="1423">
        <f t="shared" ca="1" si="3561"/>
        <v>0</v>
      </c>
      <c r="S2398" s="1423">
        <f t="shared" ca="1" si="3562"/>
        <v>0</v>
      </c>
      <c r="T2398" s="1423">
        <f t="shared" ca="1" si="3563"/>
        <v>0</v>
      </c>
      <c r="U2398" s="1423">
        <f t="shared" ca="1" si="3564"/>
        <v>0</v>
      </c>
      <c r="V2398" s="1423">
        <f t="shared" ca="1" si="3565"/>
        <v>0</v>
      </c>
      <c r="W2398" s="1423">
        <f t="shared" ca="1" si="3566"/>
        <v>0</v>
      </c>
      <c r="X2398" s="202"/>
      <c r="Y2398" s="202"/>
      <c r="Z2398" s="152"/>
      <c r="AA2398" s="152"/>
      <c r="AB2398" s="152"/>
    </row>
    <row r="2399" spans="1:28" hidden="1" outlineLevel="1">
      <c r="A2399" s="199">
        <f t="shared" si="3567"/>
        <v>4</v>
      </c>
      <c r="B2399" s="190" t="str">
        <f t="shared" ca="1" si="3568"/>
        <v>Depreciated Net Capex 2019-20</v>
      </c>
      <c r="C2399" s="1426"/>
      <c r="D2399" s="1426"/>
      <c r="E2399" s="1426"/>
      <c r="F2399" s="1427"/>
      <c r="G2399" s="1428">
        <f>($G2390*((1+G$11)^0.5)/G$10)</f>
        <v>0</v>
      </c>
      <c r="H2399" s="1423">
        <f ca="1">IF(G2423="n/a",G2399,IFERROR(IF((OFFSET($C2399,0,$A2399))&lt;0,
MIN(0,G2399-(OFFSET($C2399,0,$A2399)/(OFFSET($C2394,-$A2398,$A2399)))),
MAX(0,G2399-(OFFSET($C2399,0,$A2399)/(OFFSET($C2394,-$A2398,$A2399))))),0))</f>
        <v>0</v>
      </c>
      <c r="I2399" s="1423">
        <f t="shared" ca="1" si="3552"/>
        <v>0</v>
      </c>
      <c r="J2399" s="1423">
        <f t="shared" ca="1" si="3553"/>
        <v>0</v>
      </c>
      <c r="K2399" s="1423">
        <f t="shared" ca="1" si="3554"/>
        <v>0</v>
      </c>
      <c r="L2399" s="1423">
        <f t="shared" ca="1" si="3555"/>
        <v>0</v>
      </c>
      <c r="M2399" s="1423">
        <f t="shared" ca="1" si="3556"/>
        <v>0</v>
      </c>
      <c r="N2399" s="1423">
        <f t="shared" ca="1" si="3557"/>
        <v>0</v>
      </c>
      <c r="O2399" s="1423">
        <f t="shared" ca="1" si="3558"/>
        <v>0</v>
      </c>
      <c r="P2399" s="1423">
        <f t="shared" ca="1" si="3559"/>
        <v>0</v>
      </c>
      <c r="Q2399" s="1423">
        <f t="shared" ca="1" si="3560"/>
        <v>0</v>
      </c>
      <c r="R2399" s="1423">
        <f t="shared" ca="1" si="3561"/>
        <v>0</v>
      </c>
      <c r="S2399" s="1423">
        <f t="shared" ca="1" si="3562"/>
        <v>0</v>
      </c>
      <c r="T2399" s="1423">
        <f t="shared" ca="1" si="3563"/>
        <v>0</v>
      </c>
      <c r="U2399" s="1423">
        <f t="shared" ca="1" si="3564"/>
        <v>0</v>
      </c>
      <c r="V2399" s="1423">
        <f t="shared" ca="1" si="3565"/>
        <v>0</v>
      </c>
      <c r="W2399" s="1423">
        <f t="shared" ca="1" si="3566"/>
        <v>0</v>
      </c>
      <c r="X2399" s="202"/>
      <c r="Y2399" s="202"/>
      <c r="Z2399" s="202"/>
      <c r="AA2399" s="152"/>
      <c r="AB2399" s="152"/>
    </row>
    <row r="2400" spans="1:28" hidden="1" outlineLevel="1">
      <c r="A2400" s="199">
        <f t="shared" si="3567"/>
        <v>5</v>
      </c>
      <c r="B2400" s="190" t="str">
        <f t="shared" ca="1" si="3568"/>
        <v>Depreciated Net Capex 2020-21</v>
      </c>
      <c r="C2400" s="1426"/>
      <c r="D2400" s="1426"/>
      <c r="E2400" s="1426"/>
      <c r="F2400" s="1426"/>
      <c r="G2400" s="1427"/>
      <c r="H2400" s="1428">
        <f>(H2390*((1+H$11)^0.5)/H$10)</f>
        <v>0</v>
      </c>
      <c r="I2400" s="1423">
        <f ca="1">IF(H2424="n/a",H2400,IFERROR(IF((OFFSET($C2400,0,$A2400))&lt;0,
MIN(0,H2400-(OFFSET($C2400,0,$A2400)/(OFFSET($C2395,-$A2399,$A2400)))),
MAX(0,H2400-(OFFSET($C2400,0,$A2400)/(OFFSET($C2395,-$A2399,$A2400))))),0))</f>
        <v>0</v>
      </c>
      <c r="J2400" s="1423">
        <f t="shared" ca="1" si="3553"/>
        <v>0</v>
      </c>
      <c r="K2400" s="1423">
        <f t="shared" ca="1" si="3554"/>
        <v>0</v>
      </c>
      <c r="L2400" s="1423">
        <f t="shared" ca="1" si="3555"/>
        <v>0</v>
      </c>
      <c r="M2400" s="1423">
        <f t="shared" ca="1" si="3556"/>
        <v>0</v>
      </c>
      <c r="N2400" s="1423">
        <f t="shared" ca="1" si="3557"/>
        <v>0</v>
      </c>
      <c r="O2400" s="1423">
        <f t="shared" ca="1" si="3558"/>
        <v>0</v>
      </c>
      <c r="P2400" s="1423">
        <f t="shared" ca="1" si="3559"/>
        <v>0</v>
      </c>
      <c r="Q2400" s="1423">
        <f t="shared" ca="1" si="3560"/>
        <v>0</v>
      </c>
      <c r="R2400" s="1423">
        <f t="shared" ca="1" si="3561"/>
        <v>0</v>
      </c>
      <c r="S2400" s="1423">
        <f t="shared" ca="1" si="3562"/>
        <v>0</v>
      </c>
      <c r="T2400" s="1423">
        <f t="shared" ca="1" si="3563"/>
        <v>0</v>
      </c>
      <c r="U2400" s="1423">
        <f t="shared" ca="1" si="3564"/>
        <v>0</v>
      </c>
      <c r="V2400" s="1423">
        <f t="shared" ca="1" si="3565"/>
        <v>0</v>
      </c>
      <c r="W2400" s="1423">
        <f t="shared" ca="1" si="3566"/>
        <v>0</v>
      </c>
      <c r="X2400" s="202"/>
      <c r="Y2400" s="202"/>
      <c r="Z2400" s="202"/>
      <c r="AA2400" s="152"/>
      <c r="AB2400" s="152"/>
    </row>
    <row r="2401" spans="1:28" hidden="1" outlineLevel="1">
      <c r="A2401" s="199">
        <f t="shared" si="3567"/>
        <v>6</v>
      </c>
      <c r="B2401" s="190" t="str">
        <f t="shared" ca="1" si="3568"/>
        <v>Depreciated Net Capex 2021-22</v>
      </c>
      <c r="C2401" s="1426"/>
      <c r="D2401" s="1426"/>
      <c r="E2401" s="1426"/>
      <c r="F2401" s="1426"/>
      <c r="G2401" s="1426"/>
      <c r="H2401" s="1427"/>
      <c r="I2401" s="1428">
        <f>(I2390*((1+I$11)^0.5)/I$10)</f>
        <v>0</v>
      </c>
      <c r="J2401" s="1423">
        <f ca="1">IF(I2425="n/a",I2401,IFERROR(IF((OFFSET($C2401,0,$A2401))&lt;0,
MIN(0,I2401-(OFFSET($C2401,0,$A2401)/(OFFSET($C2396,-$A2400,$A2401)))),
MAX(0,I2401-(OFFSET($C2401,0,$A2401)/(OFFSET($C2396,-$A2400,$A2401))))),0))</f>
        <v>0</v>
      </c>
      <c r="K2401" s="1423">
        <f t="shared" ca="1" si="3554"/>
        <v>0</v>
      </c>
      <c r="L2401" s="1423">
        <f t="shared" ca="1" si="3555"/>
        <v>0</v>
      </c>
      <c r="M2401" s="1423">
        <f t="shared" ca="1" si="3556"/>
        <v>0</v>
      </c>
      <c r="N2401" s="1423">
        <f t="shared" ca="1" si="3557"/>
        <v>0</v>
      </c>
      <c r="O2401" s="1423">
        <f t="shared" ca="1" si="3558"/>
        <v>0</v>
      </c>
      <c r="P2401" s="1423">
        <f t="shared" ca="1" si="3559"/>
        <v>0</v>
      </c>
      <c r="Q2401" s="1423">
        <f t="shared" ca="1" si="3560"/>
        <v>0</v>
      </c>
      <c r="R2401" s="1423">
        <f t="shared" ca="1" si="3561"/>
        <v>0</v>
      </c>
      <c r="S2401" s="1423">
        <f t="shared" ca="1" si="3562"/>
        <v>0</v>
      </c>
      <c r="T2401" s="1423">
        <f t="shared" ca="1" si="3563"/>
        <v>0</v>
      </c>
      <c r="U2401" s="1423">
        <f t="shared" ca="1" si="3564"/>
        <v>0</v>
      </c>
      <c r="V2401" s="1423">
        <f t="shared" ca="1" si="3565"/>
        <v>0</v>
      </c>
      <c r="W2401" s="1423">
        <f t="shared" ca="1" si="3566"/>
        <v>0</v>
      </c>
      <c r="X2401" s="202"/>
      <c r="Y2401" s="202"/>
      <c r="Z2401" s="202"/>
      <c r="AA2401" s="152"/>
      <c r="AB2401" s="152"/>
    </row>
    <row r="2402" spans="1:28" hidden="1" outlineLevel="1">
      <c r="A2402" s="199">
        <f t="shared" si="3567"/>
        <v>7</v>
      </c>
      <c r="B2402" s="190" t="str">
        <f t="shared" ca="1" si="3568"/>
        <v>Depreciated Net Capex 2022-23</v>
      </c>
      <c r="C2402" s="1426"/>
      <c r="D2402" s="1426"/>
      <c r="E2402" s="1426"/>
      <c r="F2402" s="1426"/>
      <c r="G2402" s="1426"/>
      <c r="H2402" s="1426"/>
      <c r="I2402" s="1427"/>
      <c r="J2402" s="1428">
        <f>(J2390*((1+J$11)^0.5)/J$10)</f>
        <v>0</v>
      </c>
      <c r="K2402" s="1423">
        <f ca="1">IF(J2426="n/a",J2402,IFERROR(IF((OFFSET($C2402,0,$A2402))&lt;0,
MIN(0,J2402-(OFFSET($C2402,0,$A2402)/(OFFSET($C2397,-$A2401,$A2402)))),
MAX(0,J2402-(OFFSET($C2402,0,$A2402)/(OFFSET($C2397,-$A2401,$A2402))))),0))</f>
        <v>0</v>
      </c>
      <c r="L2402" s="1423">
        <f t="shared" ca="1" si="3555"/>
        <v>0</v>
      </c>
      <c r="M2402" s="1423">
        <f t="shared" ca="1" si="3556"/>
        <v>0</v>
      </c>
      <c r="N2402" s="1423">
        <f t="shared" ca="1" si="3557"/>
        <v>0</v>
      </c>
      <c r="O2402" s="1423">
        <f t="shared" ca="1" si="3558"/>
        <v>0</v>
      </c>
      <c r="P2402" s="1423">
        <f t="shared" ca="1" si="3559"/>
        <v>0</v>
      </c>
      <c r="Q2402" s="1423">
        <f t="shared" ca="1" si="3560"/>
        <v>0</v>
      </c>
      <c r="R2402" s="1423">
        <f t="shared" ca="1" si="3561"/>
        <v>0</v>
      </c>
      <c r="S2402" s="1423">
        <f t="shared" ca="1" si="3562"/>
        <v>0</v>
      </c>
      <c r="T2402" s="1423">
        <f t="shared" ca="1" si="3563"/>
        <v>0</v>
      </c>
      <c r="U2402" s="1423">
        <f t="shared" ca="1" si="3564"/>
        <v>0</v>
      </c>
      <c r="V2402" s="1423">
        <f t="shared" ca="1" si="3565"/>
        <v>0</v>
      </c>
      <c r="W2402" s="1423">
        <f t="shared" ca="1" si="3566"/>
        <v>0</v>
      </c>
      <c r="X2402" s="202"/>
      <c r="Y2402" s="202"/>
      <c r="Z2402" s="202"/>
      <c r="AA2402" s="152"/>
      <c r="AB2402" s="152"/>
    </row>
    <row r="2403" spans="1:28" hidden="1" outlineLevel="1">
      <c r="A2403" s="199">
        <f t="shared" si="3567"/>
        <v>8</v>
      </c>
      <c r="B2403" s="190" t="str">
        <f t="shared" ca="1" si="3568"/>
        <v>Depreciated Net Capex 2023-24</v>
      </c>
      <c r="C2403" s="1426"/>
      <c r="D2403" s="1426"/>
      <c r="E2403" s="1426"/>
      <c r="F2403" s="1426"/>
      <c r="G2403" s="1426"/>
      <c r="H2403" s="1426"/>
      <c r="I2403" s="1426"/>
      <c r="J2403" s="1427"/>
      <c r="K2403" s="1428">
        <f>(K2390*((1+K$11)^0.5)/K$10)</f>
        <v>0</v>
      </c>
      <c r="L2403" s="1423">
        <f ca="1">IF(K2427="n/a",K2403,IFERROR(IF((OFFSET($C2403,0,$A2403))&lt;0,
MIN(0,K2403-(OFFSET($C2403,0,$A2403)/(OFFSET($C2398,-$A2402,$A2403)))),
MAX(0,K2403-(OFFSET($C2403,0,$A2403)/(OFFSET($C2398,-$A2402,$A2403))))),0))</f>
        <v>0</v>
      </c>
      <c r="M2403" s="1423">
        <f t="shared" ca="1" si="3556"/>
        <v>0</v>
      </c>
      <c r="N2403" s="1423">
        <f t="shared" ca="1" si="3557"/>
        <v>0</v>
      </c>
      <c r="O2403" s="1423">
        <f t="shared" ca="1" si="3558"/>
        <v>0</v>
      </c>
      <c r="P2403" s="1423">
        <f t="shared" ca="1" si="3559"/>
        <v>0</v>
      </c>
      <c r="Q2403" s="1423">
        <f t="shared" ca="1" si="3560"/>
        <v>0</v>
      </c>
      <c r="R2403" s="1423">
        <f t="shared" ca="1" si="3561"/>
        <v>0</v>
      </c>
      <c r="S2403" s="1423">
        <f t="shared" ca="1" si="3562"/>
        <v>0</v>
      </c>
      <c r="T2403" s="1423">
        <f t="shared" ca="1" si="3563"/>
        <v>0</v>
      </c>
      <c r="U2403" s="1423">
        <f t="shared" ca="1" si="3564"/>
        <v>0</v>
      </c>
      <c r="V2403" s="1423">
        <f t="shared" ca="1" si="3565"/>
        <v>0</v>
      </c>
      <c r="W2403" s="1423">
        <f t="shared" ca="1" si="3566"/>
        <v>0</v>
      </c>
      <c r="X2403" s="202"/>
      <c r="Y2403" s="202"/>
      <c r="Z2403" s="202"/>
      <c r="AA2403" s="152"/>
      <c r="AB2403" s="152"/>
    </row>
    <row r="2404" spans="1:28" hidden="1" outlineLevel="1">
      <c r="A2404" s="199">
        <f t="shared" si="3567"/>
        <v>9</v>
      </c>
      <c r="B2404" s="190" t="str">
        <f t="shared" ca="1" si="3568"/>
        <v>Depreciated Net Capex 2024-25</v>
      </c>
      <c r="C2404" s="1426"/>
      <c r="D2404" s="1426"/>
      <c r="E2404" s="1426"/>
      <c r="F2404" s="1426"/>
      <c r="G2404" s="1426"/>
      <c r="H2404" s="1426"/>
      <c r="I2404" s="1426"/>
      <c r="J2404" s="1426"/>
      <c r="K2404" s="1427"/>
      <c r="L2404" s="1428">
        <f>(L2390*((1+L$11)^0.5)/L$10)</f>
        <v>0</v>
      </c>
      <c r="M2404" s="1423">
        <f ca="1">IF(L2428="n/a",L2404,IFERROR(IF((OFFSET($C2404,0,$A2404))&lt;0,
MIN(0,L2404-(OFFSET($C2404,0,$A2404)/(OFFSET($C2399,-$A2403,$A2404)))),
MAX(0,L2404-(OFFSET($C2404,0,$A2404)/(OFFSET($C2399,-$A2403,$A2404))))),0))</f>
        <v>0</v>
      </c>
      <c r="N2404" s="1423">
        <f t="shared" ca="1" si="3557"/>
        <v>0</v>
      </c>
      <c r="O2404" s="1423">
        <f t="shared" ca="1" si="3558"/>
        <v>0</v>
      </c>
      <c r="P2404" s="1423">
        <f t="shared" ca="1" si="3559"/>
        <v>0</v>
      </c>
      <c r="Q2404" s="1423">
        <f t="shared" ca="1" si="3560"/>
        <v>0</v>
      </c>
      <c r="R2404" s="1423">
        <f t="shared" ca="1" si="3561"/>
        <v>0</v>
      </c>
      <c r="S2404" s="1423">
        <f t="shared" ca="1" si="3562"/>
        <v>0</v>
      </c>
      <c r="T2404" s="1423">
        <f t="shared" ca="1" si="3563"/>
        <v>0</v>
      </c>
      <c r="U2404" s="1423">
        <f t="shared" ca="1" si="3564"/>
        <v>0</v>
      </c>
      <c r="V2404" s="1423">
        <f t="shared" ca="1" si="3565"/>
        <v>0</v>
      </c>
      <c r="W2404" s="1423">
        <f t="shared" ca="1" si="3566"/>
        <v>0</v>
      </c>
      <c r="X2404" s="202"/>
      <c r="Y2404" s="202"/>
      <c r="Z2404" s="202"/>
      <c r="AA2404" s="152"/>
      <c r="AB2404" s="152"/>
    </row>
    <row r="2405" spans="1:28" hidden="1" outlineLevel="1">
      <c r="A2405" s="199">
        <f t="shared" si="3567"/>
        <v>10</v>
      </c>
      <c r="B2405" s="190" t="str">
        <f t="shared" ca="1" si="3568"/>
        <v>Depreciated Net Capex 2025-26</v>
      </c>
      <c r="C2405" s="1426"/>
      <c r="D2405" s="1426"/>
      <c r="E2405" s="1426"/>
      <c r="F2405" s="1426"/>
      <c r="G2405" s="1426"/>
      <c r="H2405" s="1426"/>
      <c r="I2405" s="1426"/>
      <c r="J2405" s="1426"/>
      <c r="K2405" s="1426"/>
      <c r="L2405" s="1427"/>
      <c r="M2405" s="1428">
        <f>(M2390*((1+M$11)^0.5)/M$10)</f>
        <v>0</v>
      </c>
      <c r="N2405" s="1423">
        <f ca="1">IF(M2429="n/a",M2405,IFERROR(IF((OFFSET($C2405,0,$A2405))&lt;0,
MIN(0,M2405-(OFFSET($C2405,0,$A2405)/(OFFSET($C2400,-$A2404,$A2405)))),
MAX(0,M2405-(OFFSET($C2405,0,$A2405)/(OFFSET($C2400,-$A2404,$A2405))))),0))</f>
        <v>0</v>
      </c>
      <c r="O2405" s="1423">
        <f t="shared" ca="1" si="3558"/>
        <v>0</v>
      </c>
      <c r="P2405" s="1423">
        <f t="shared" ca="1" si="3559"/>
        <v>0</v>
      </c>
      <c r="Q2405" s="1423">
        <f t="shared" ca="1" si="3560"/>
        <v>0</v>
      </c>
      <c r="R2405" s="1423">
        <f t="shared" ca="1" si="3561"/>
        <v>0</v>
      </c>
      <c r="S2405" s="1423">
        <f t="shared" ca="1" si="3562"/>
        <v>0</v>
      </c>
      <c r="T2405" s="1423">
        <f t="shared" ca="1" si="3563"/>
        <v>0</v>
      </c>
      <c r="U2405" s="1423">
        <f t="shared" ca="1" si="3564"/>
        <v>0</v>
      </c>
      <c r="V2405" s="1423">
        <f t="shared" ca="1" si="3565"/>
        <v>0</v>
      </c>
      <c r="W2405" s="1423">
        <f t="shared" ca="1" si="3566"/>
        <v>0</v>
      </c>
      <c r="X2405" s="202"/>
      <c r="Y2405" s="202"/>
      <c r="Z2405" s="202"/>
      <c r="AA2405" s="152"/>
      <c r="AB2405" s="152"/>
    </row>
    <row r="2406" spans="1:28" hidden="1" outlineLevel="1">
      <c r="A2406" s="199">
        <f t="shared" si="3567"/>
        <v>11</v>
      </c>
      <c r="B2406" s="190" t="str">
        <f t="shared" ca="1" si="3568"/>
        <v>Depreciated Net Capex 2026-27</v>
      </c>
      <c r="C2406" s="1426"/>
      <c r="D2406" s="1426"/>
      <c r="E2406" s="1426"/>
      <c r="F2406" s="1426"/>
      <c r="G2406" s="1426"/>
      <c r="H2406" s="1426"/>
      <c r="I2406" s="1426"/>
      <c r="J2406" s="1426"/>
      <c r="K2406" s="1426"/>
      <c r="L2406" s="1426"/>
      <c r="M2406" s="1427"/>
      <c r="N2406" s="1428">
        <f>(N2390*((1+N$11)^0.5)/N$10)</f>
        <v>0</v>
      </c>
      <c r="O2406" s="1423">
        <f ca="1">IF(N2430="n/a",N2406,IFERROR(IF((OFFSET($C2406,0,$A2406))&lt;0,
MIN(0,N2406-(OFFSET($C2406,0,$A2406)/(OFFSET($C2401,-$A2405,$A2406)))),
MAX(0,N2406-(OFFSET($C2406,0,$A2406)/(OFFSET($C2401,-$A2405,$A2406))))),0))</f>
        <v>0</v>
      </c>
      <c r="P2406" s="1423">
        <f t="shared" ca="1" si="3559"/>
        <v>0</v>
      </c>
      <c r="Q2406" s="1423">
        <f t="shared" ca="1" si="3560"/>
        <v>0</v>
      </c>
      <c r="R2406" s="1423">
        <f t="shared" ca="1" si="3561"/>
        <v>0</v>
      </c>
      <c r="S2406" s="1423">
        <f t="shared" ca="1" si="3562"/>
        <v>0</v>
      </c>
      <c r="T2406" s="1423">
        <f t="shared" ca="1" si="3563"/>
        <v>0</v>
      </c>
      <c r="U2406" s="1423">
        <f t="shared" ca="1" si="3564"/>
        <v>0</v>
      </c>
      <c r="V2406" s="1423">
        <f t="shared" ca="1" si="3565"/>
        <v>0</v>
      </c>
      <c r="W2406" s="1423">
        <f t="shared" ca="1" si="3566"/>
        <v>0</v>
      </c>
      <c r="X2406" s="202"/>
      <c r="Y2406" s="202"/>
      <c r="Z2406" s="202"/>
      <c r="AA2406" s="152"/>
      <c r="AB2406" s="152"/>
    </row>
    <row r="2407" spans="1:28" hidden="1" outlineLevel="1">
      <c r="A2407" s="199">
        <f t="shared" si="3567"/>
        <v>12</v>
      </c>
      <c r="B2407" s="190" t="str">
        <f t="shared" ca="1" si="3568"/>
        <v>Depreciated Net Capex 2027-28</v>
      </c>
      <c r="C2407" s="1426"/>
      <c r="D2407" s="1426"/>
      <c r="E2407" s="1426"/>
      <c r="F2407" s="1426"/>
      <c r="G2407" s="1426"/>
      <c r="H2407" s="1426"/>
      <c r="I2407" s="1426"/>
      <c r="J2407" s="1426"/>
      <c r="K2407" s="1426"/>
      <c r="L2407" s="1426"/>
      <c r="M2407" s="1426"/>
      <c r="N2407" s="1427"/>
      <c r="O2407" s="1428">
        <f>(O2390*((1+O$11)^0.5)/O$10)</f>
        <v>0</v>
      </c>
      <c r="P2407" s="1423">
        <f ca="1">IF(O2431="n/a",O2407,IFERROR(IF((OFFSET($C2407,0,$A2407))&lt;0,
MIN(0,O2407-(OFFSET($C2407,0,$A2407)/(OFFSET($C2402,-$A2406,$A2407)))),
MAX(0,O2407-(OFFSET($C2407,0,$A2407)/(OFFSET($C2402,-$A2406,$A2407))))),0))</f>
        <v>0</v>
      </c>
      <c r="Q2407" s="1423">
        <f t="shared" ca="1" si="3560"/>
        <v>0</v>
      </c>
      <c r="R2407" s="1423">
        <f t="shared" ca="1" si="3561"/>
        <v>0</v>
      </c>
      <c r="S2407" s="1423">
        <f t="shared" ca="1" si="3562"/>
        <v>0</v>
      </c>
      <c r="T2407" s="1423">
        <f t="shared" ca="1" si="3563"/>
        <v>0</v>
      </c>
      <c r="U2407" s="1423">
        <f t="shared" ca="1" si="3564"/>
        <v>0</v>
      </c>
      <c r="V2407" s="1423">
        <f t="shared" ca="1" si="3565"/>
        <v>0</v>
      </c>
      <c r="W2407" s="1423">
        <f t="shared" ca="1" si="3566"/>
        <v>0</v>
      </c>
      <c r="X2407" s="202"/>
      <c r="Y2407" s="202"/>
      <c r="Z2407" s="202"/>
      <c r="AA2407" s="152"/>
      <c r="AB2407" s="152"/>
    </row>
    <row r="2408" spans="1:28" hidden="1" outlineLevel="1">
      <c r="A2408" s="199">
        <f t="shared" si="3567"/>
        <v>13</v>
      </c>
      <c r="B2408" s="190" t="str">
        <f t="shared" ca="1" si="3568"/>
        <v>Depreciated Net Capex 2028-29</v>
      </c>
      <c r="C2408" s="1426"/>
      <c r="D2408" s="1426"/>
      <c r="E2408" s="1426"/>
      <c r="F2408" s="1426"/>
      <c r="G2408" s="1426"/>
      <c r="H2408" s="1426"/>
      <c r="I2408" s="1426"/>
      <c r="J2408" s="1426"/>
      <c r="K2408" s="1426"/>
      <c r="L2408" s="1426"/>
      <c r="M2408" s="1426"/>
      <c r="N2408" s="1426"/>
      <c r="O2408" s="1427"/>
      <c r="P2408" s="1428">
        <f>(P2390*((1+P$11)^0.5)/P$10)</f>
        <v>0</v>
      </c>
      <c r="Q2408" s="1423">
        <f ca="1">IF(P2432="n/a",P2408,IFERROR(IF((OFFSET($C2408,0,$A2408))&lt;0,
MIN(0,P2408-(OFFSET($C2408,0,$A2408)/(OFFSET($C2403,-$A2407,$A2408)))),
MAX(0,P2408-(OFFSET($C2408,0,$A2408)/(OFFSET($C2403,-$A2407,$A2408))))),0))</f>
        <v>0</v>
      </c>
      <c r="R2408" s="1423">
        <f t="shared" ca="1" si="3561"/>
        <v>0</v>
      </c>
      <c r="S2408" s="1423">
        <f t="shared" ca="1" si="3562"/>
        <v>0</v>
      </c>
      <c r="T2408" s="1423">
        <f t="shared" ca="1" si="3563"/>
        <v>0</v>
      </c>
      <c r="U2408" s="1423">
        <f t="shared" ca="1" si="3564"/>
        <v>0</v>
      </c>
      <c r="V2408" s="1423">
        <f t="shared" ca="1" si="3565"/>
        <v>0</v>
      </c>
      <c r="W2408" s="1423">
        <f t="shared" ca="1" si="3566"/>
        <v>0</v>
      </c>
      <c r="X2408" s="202"/>
      <c r="Y2408" s="202"/>
      <c r="Z2408" s="202"/>
      <c r="AA2408" s="152"/>
      <c r="AB2408" s="152"/>
    </row>
    <row r="2409" spans="1:28" hidden="1" outlineLevel="1">
      <c r="A2409" s="199">
        <f t="shared" si="3567"/>
        <v>14</v>
      </c>
      <c r="B2409" s="190" t="str">
        <f t="shared" ca="1" si="3568"/>
        <v>Depreciated Net Capex 2029-30</v>
      </c>
      <c r="C2409" s="1426"/>
      <c r="D2409" s="1426"/>
      <c r="E2409" s="1426"/>
      <c r="F2409" s="1426"/>
      <c r="G2409" s="1426"/>
      <c r="H2409" s="1426"/>
      <c r="I2409" s="1426"/>
      <c r="J2409" s="1426"/>
      <c r="K2409" s="1426"/>
      <c r="L2409" s="1426"/>
      <c r="M2409" s="1426"/>
      <c r="N2409" s="1426"/>
      <c r="O2409" s="1426"/>
      <c r="P2409" s="1427"/>
      <c r="Q2409" s="1428">
        <f>(Q2390*((1+Q$11)^0.5)/Q$10)</f>
        <v>0</v>
      </c>
      <c r="R2409" s="1423">
        <f ca="1">IF(Q2433="n/a",Q2409,IFERROR(IF((OFFSET($C2409,0,$A2409))&lt;0,
MIN(0,Q2409-(OFFSET($C2409,0,$A2409)/(OFFSET($C2404,-$A2408,$A2409)))),
MAX(0,Q2409-(OFFSET($C2409,0,$A2409)/(OFFSET($C2404,-$A2408,$A2409))))),0))</f>
        <v>0</v>
      </c>
      <c r="S2409" s="1423">
        <f t="shared" ca="1" si="3562"/>
        <v>0</v>
      </c>
      <c r="T2409" s="1423">
        <f t="shared" ca="1" si="3563"/>
        <v>0</v>
      </c>
      <c r="U2409" s="1423">
        <f t="shared" ca="1" si="3564"/>
        <v>0</v>
      </c>
      <c r="V2409" s="1423">
        <f t="shared" ca="1" si="3565"/>
        <v>0</v>
      </c>
      <c r="W2409" s="1423">
        <f t="shared" ca="1" si="3566"/>
        <v>0</v>
      </c>
      <c r="X2409" s="202"/>
      <c r="Y2409" s="202"/>
      <c r="Z2409" s="202"/>
      <c r="AA2409" s="152"/>
      <c r="AB2409" s="152"/>
    </row>
    <row r="2410" spans="1:28" hidden="1" outlineLevel="1">
      <c r="A2410" s="199">
        <f t="shared" si="3567"/>
        <v>15</v>
      </c>
      <c r="B2410" s="190" t="str">
        <f t="shared" ca="1" si="3568"/>
        <v>Depreciated Net Capex 2030-31</v>
      </c>
      <c r="C2410" s="1426"/>
      <c r="D2410" s="1426"/>
      <c r="E2410" s="1426"/>
      <c r="F2410" s="1426"/>
      <c r="G2410" s="1426"/>
      <c r="H2410" s="1426"/>
      <c r="I2410" s="1426"/>
      <c r="J2410" s="1426"/>
      <c r="K2410" s="1426"/>
      <c r="L2410" s="1426"/>
      <c r="M2410" s="1426"/>
      <c r="N2410" s="1426"/>
      <c r="O2410" s="1426"/>
      <c r="P2410" s="1426"/>
      <c r="Q2410" s="1427"/>
      <c r="R2410" s="1428">
        <f>(R2390*((1+R$11)^0.5)/R$10)</f>
        <v>0</v>
      </c>
      <c r="S2410" s="1423">
        <f ca="1">IF(R2434="n/a",R2410,IFERROR(IF((OFFSET($C2410,0,$A2410))&lt;0,
MIN(0,R2410-(OFFSET($C2410,0,$A2410)/(OFFSET($C2405,-$A2409,$A2410)))),
MAX(0,R2410-(OFFSET($C2410,0,$A2410)/(OFFSET($C2405,-$A2409,$A2410))))),0))</f>
        <v>0</v>
      </c>
      <c r="T2410" s="1423">
        <f t="shared" ca="1" si="3563"/>
        <v>0</v>
      </c>
      <c r="U2410" s="1423">
        <f t="shared" ca="1" si="3564"/>
        <v>0</v>
      </c>
      <c r="V2410" s="1423">
        <f t="shared" ca="1" si="3565"/>
        <v>0</v>
      </c>
      <c r="W2410" s="1423">
        <f t="shared" ca="1" si="3566"/>
        <v>0</v>
      </c>
      <c r="X2410" s="202"/>
      <c r="Y2410" s="202"/>
      <c r="Z2410" s="202"/>
      <c r="AA2410" s="152"/>
      <c r="AB2410" s="152"/>
    </row>
    <row r="2411" spans="1:28" hidden="1" outlineLevel="1">
      <c r="A2411" s="199">
        <f t="shared" si="3567"/>
        <v>16</v>
      </c>
      <c r="B2411" s="190" t="str">
        <f t="shared" ca="1" si="3568"/>
        <v>Depreciated Net Capex 2031-32</v>
      </c>
      <c r="C2411" s="1426"/>
      <c r="D2411" s="1426"/>
      <c r="E2411" s="1426"/>
      <c r="F2411" s="1426"/>
      <c r="G2411" s="1426"/>
      <c r="H2411" s="1426"/>
      <c r="I2411" s="1426"/>
      <c r="J2411" s="1426"/>
      <c r="K2411" s="1426"/>
      <c r="L2411" s="1426"/>
      <c r="M2411" s="1426"/>
      <c r="N2411" s="1426"/>
      <c r="O2411" s="1426"/>
      <c r="P2411" s="1426"/>
      <c r="Q2411" s="1426"/>
      <c r="R2411" s="1427"/>
      <c r="S2411" s="1428">
        <f>(S2390*((1+S$11)^0.5)/S$10)</f>
        <v>0</v>
      </c>
      <c r="T2411" s="1423">
        <f ca="1">IF(S2435="n/a",S2411,IFERROR(IF((OFFSET($C2411,0,$A2411))&lt;0,
MIN(0,S2411-(OFFSET($C2411,0,$A2411)/(OFFSET($C2406,-$A2410,$A2411)))),
MAX(0,S2411-(OFFSET($C2411,0,$A2411)/(OFFSET($C2406,-$A2410,$A2411))))),0))</f>
        <v>0</v>
      </c>
      <c r="U2411" s="1423">
        <f t="shared" ca="1" si="3564"/>
        <v>0</v>
      </c>
      <c r="V2411" s="1423">
        <f t="shared" ca="1" si="3565"/>
        <v>0</v>
      </c>
      <c r="W2411" s="1423">
        <f t="shared" ca="1" si="3566"/>
        <v>0</v>
      </c>
      <c r="X2411" s="202"/>
      <c r="Y2411" s="202"/>
      <c r="Z2411" s="202"/>
      <c r="AA2411" s="152"/>
      <c r="AB2411" s="152"/>
    </row>
    <row r="2412" spans="1:28" hidden="1" outlineLevel="1">
      <c r="A2412" s="199">
        <f t="shared" si="3567"/>
        <v>17</v>
      </c>
      <c r="B2412" s="190" t="str">
        <f t="shared" ca="1" si="3568"/>
        <v>Depreciated Net Capex 2032-33</v>
      </c>
      <c r="C2412" s="1426"/>
      <c r="D2412" s="1426"/>
      <c r="E2412" s="1426"/>
      <c r="F2412" s="1426"/>
      <c r="G2412" s="1426"/>
      <c r="H2412" s="1426"/>
      <c r="I2412" s="1426"/>
      <c r="J2412" s="1426"/>
      <c r="K2412" s="1426"/>
      <c r="L2412" s="1426"/>
      <c r="M2412" s="1426"/>
      <c r="N2412" s="1426"/>
      <c r="O2412" s="1426"/>
      <c r="P2412" s="1426"/>
      <c r="Q2412" s="1426"/>
      <c r="R2412" s="1426"/>
      <c r="S2412" s="1427"/>
      <c r="T2412" s="1428">
        <f>(T2390*((1+T$11)^0.5)/T$10)</f>
        <v>0</v>
      </c>
      <c r="U2412" s="1423">
        <f ca="1">IF(T2436="n/a",T2412,IFERROR(IF((OFFSET($C2412,0,$A2412))&lt;0,
MIN(0,T2412-(OFFSET($C2412,0,$A2412)/(OFFSET($C2407,-$A2411,$A2412)))),
MAX(0,T2412-(OFFSET($C2412,0,$A2412)/(OFFSET($C2407,-$A2411,$A2412))))),0))</f>
        <v>0</v>
      </c>
      <c r="V2412" s="1423">
        <f t="shared" ca="1" si="3565"/>
        <v>0</v>
      </c>
      <c r="W2412" s="1423">
        <f t="shared" ca="1" si="3566"/>
        <v>0</v>
      </c>
      <c r="X2412" s="202"/>
      <c r="Y2412" s="202"/>
      <c r="Z2412" s="202"/>
      <c r="AA2412" s="152"/>
      <c r="AB2412" s="152"/>
    </row>
    <row r="2413" spans="1:28" hidden="1" outlineLevel="1">
      <c r="A2413" s="199">
        <f t="shared" si="3567"/>
        <v>18</v>
      </c>
      <c r="B2413" s="190" t="str">
        <f t="shared" ca="1" si="3568"/>
        <v>Depreciated Net Capex 2033-34</v>
      </c>
      <c r="C2413" s="1426"/>
      <c r="D2413" s="1426"/>
      <c r="E2413" s="1426"/>
      <c r="F2413" s="1426"/>
      <c r="G2413" s="1426"/>
      <c r="H2413" s="1426"/>
      <c r="I2413" s="1426"/>
      <c r="J2413" s="1426"/>
      <c r="K2413" s="1426"/>
      <c r="L2413" s="1426"/>
      <c r="M2413" s="1426"/>
      <c r="N2413" s="1426"/>
      <c r="O2413" s="1426"/>
      <c r="P2413" s="1426"/>
      <c r="Q2413" s="1426"/>
      <c r="R2413" s="1426"/>
      <c r="S2413" s="1426"/>
      <c r="T2413" s="1427"/>
      <c r="U2413" s="1428">
        <f>(U2390*((1+U$11)^0.5)/U$10)</f>
        <v>0</v>
      </c>
      <c r="V2413" s="1423">
        <f ca="1">IF(U2437="n/a",U2413,IFERROR(IF((OFFSET($C2413,0,$A2413))&lt;0,
MIN(0,U2413-(OFFSET($C2413,0,$A2413)/(OFFSET($C2408,-$A2412,$A2413)))),
MAX(0,U2413-(OFFSET($C2413,0,$A2413)/(OFFSET($C2408,-$A2412,$A2413))))),0))</f>
        <v>0</v>
      </c>
      <c r="W2413" s="1423">
        <f t="shared" ca="1" si="3566"/>
        <v>0</v>
      </c>
      <c r="X2413" s="202"/>
      <c r="Y2413" s="202"/>
      <c r="Z2413" s="202"/>
      <c r="AA2413" s="152"/>
      <c r="AB2413" s="152"/>
    </row>
    <row r="2414" spans="1:28" hidden="1" outlineLevel="1">
      <c r="A2414" s="199">
        <f t="shared" si="3567"/>
        <v>19</v>
      </c>
      <c r="B2414" s="190" t="str">
        <f t="shared" ca="1" si="3568"/>
        <v>Depreciated Net Capex 2034-35</v>
      </c>
      <c r="C2414" s="1426"/>
      <c r="D2414" s="1426"/>
      <c r="E2414" s="1426"/>
      <c r="F2414" s="1426"/>
      <c r="G2414" s="1426"/>
      <c r="H2414" s="1426"/>
      <c r="I2414" s="1426"/>
      <c r="J2414" s="1426"/>
      <c r="K2414" s="1426"/>
      <c r="L2414" s="1426"/>
      <c r="M2414" s="1426"/>
      <c r="N2414" s="1426"/>
      <c r="O2414" s="1426"/>
      <c r="P2414" s="1426"/>
      <c r="Q2414" s="1426"/>
      <c r="R2414" s="1426"/>
      <c r="S2414" s="1426"/>
      <c r="T2414" s="1426"/>
      <c r="U2414" s="1427"/>
      <c r="V2414" s="1428">
        <f>(V2390*((1+V$11)^0.5)/V$10)</f>
        <v>0</v>
      </c>
      <c r="W2414" s="1423">
        <f ca="1">IF(V2438="n/a",V2414,IFERROR(IF((OFFSET($C2414,0,$A2414))&lt;0,
MIN(0,V2414-(OFFSET($C2414,0,$A2414)/(OFFSET($C2409,-$A2413,$A2414)))),
MAX(0,V2414-(OFFSET($C2414,0,$A2414)/(OFFSET($C2409,-$A2413,$A2414))))),0))</f>
        <v>0</v>
      </c>
      <c r="X2414" s="202"/>
      <c r="Y2414" s="202"/>
      <c r="Z2414" s="202"/>
      <c r="AA2414" s="152"/>
      <c r="AB2414" s="152"/>
    </row>
    <row r="2415" spans="1:28" hidden="1" outlineLevel="1">
      <c r="A2415" s="199">
        <f t="shared" si="3567"/>
        <v>20</v>
      </c>
      <c r="B2415" s="190" t="str">
        <f ca="1">"Depreciated Net Capex "&amp;OFFSET($C$6,0,A2415)</f>
        <v>Depreciated Net Capex 2035-36</v>
      </c>
      <c r="C2415" s="1426"/>
      <c r="D2415" s="1426"/>
      <c r="E2415" s="1426"/>
      <c r="F2415" s="1426"/>
      <c r="G2415" s="1426"/>
      <c r="H2415" s="1426"/>
      <c r="I2415" s="1426"/>
      <c r="J2415" s="1426"/>
      <c r="K2415" s="1426"/>
      <c r="L2415" s="1426"/>
      <c r="M2415" s="1426"/>
      <c r="N2415" s="1426"/>
      <c r="O2415" s="1426"/>
      <c r="P2415" s="1426"/>
      <c r="Q2415" s="1426"/>
      <c r="R2415" s="1426"/>
      <c r="S2415" s="1426"/>
      <c r="T2415" s="1426"/>
      <c r="U2415" s="1426"/>
      <c r="V2415" s="1427"/>
      <c r="W2415" s="1423">
        <f>(W2390*((1+W$11)^0.5)/W$10)</f>
        <v>0</v>
      </c>
      <c r="X2415" s="152"/>
      <c r="Y2415" s="152"/>
      <c r="Z2415" s="152"/>
      <c r="AA2415" s="152"/>
      <c r="AB2415" s="152"/>
    </row>
    <row r="2416" spans="1:28" hidden="1" outlineLevel="1">
      <c r="A2416" s="152"/>
      <c r="B2416" s="200"/>
      <c r="C2416" s="1423"/>
      <c r="D2416" s="1423"/>
      <c r="E2416" s="1423"/>
      <c r="F2416" s="1423"/>
      <c r="G2416" s="1423"/>
      <c r="H2416" s="1423"/>
      <c r="I2416" s="1423"/>
      <c r="J2416" s="1423"/>
      <c r="K2416" s="1423"/>
      <c r="L2416" s="1423"/>
      <c r="M2416" s="1423"/>
      <c r="N2416" s="1423"/>
      <c r="O2416" s="1423"/>
      <c r="P2416" s="1423"/>
      <c r="Q2416" s="1423"/>
      <c r="R2416" s="1423"/>
      <c r="S2416" s="1423"/>
      <c r="T2416" s="1423"/>
      <c r="U2416" s="1423"/>
      <c r="V2416" s="1423"/>
      <c r="W2416" s="1423"/>
      <c r="X2416" s="152"/>
      <c r="Y2416" s="152"/>
      <c r="Z2416" s="152"/>
      <c r="AA2416" s="152"/>
      <c r="AB2416" s="152"/>
    </row>
    <row r="2417" spans="1:28" hidden="1" outlineLevel="1">
      <c r="A2417" s="152"/>
      <c r="B2417" s="200"/>
      <c r="C2417" s="1423"/>
      <c r="D2417" s="1423"/>
      <c r="E2417" s="1423"/>
      <c r="F2417" s="1423"/>
      <c r="G2417" s="1423"/>
      <c r="H2417" s="1423"/>
      <c r="I2417" s="1423"/>
      <c r="J2417" s="1423"/>
      <c r="K2417" s="1423"/>
      <c r="L2417" s="1423"/>
      <c r="M2417" s="1423"/>
      <c r="N2417" s="1423"/>
      <c r="O2417" s="1423"/>
      <c r="P2417" s="1423"/>
      <c r="Q2417" s="1423"/>
      <c r="R2417" s="1423"/>
      <c r="S2417" s="1423"/>
      <c r="T2417" s="1423"/>
      <c r="U2417" s="1423"/>
      <c r="V2417" s="1423"/>
      <c r="W2417" s="1423"/>
      <c r="X2417" s="152"/>
      <c r="Y2417" s="152"/>
      <c r="Z2417" s="152"/>
      <c r="AA2417" s="152"/>
      <c r="AB2417" s="152"/>
    </row>
    <row r="2418" spans="1:28" hidden="1" outlineLevel="1">
      <c r="A2418" s="152"/>
      <c r="B2418" s="190" t="s">
        <v>190</v>
      </c>
      <c r="C2418" s="1423"/>
      <c r="D2418" s="1423">
        <f ca="1">IF(AND(C2418&lt;1,D2392=0),0,
IF(D2392=0,C2418-1,
IF(C2418&lt;1,D2393,
(((C2418-1)*(C2394-(C2394/(C2418))))+((D2392/D$10)*D2393))/(D2394))))</f>
        <v>0</v>
      </c>
      <c r="E2418" s="1423">
        <f t="shared" ref="E2418" ca="1" si="3569">IF(AND(D2418&lt;1,E2392=0),0,
IF(E2392=0,D2418-1,
IF(D2418&lt;1,E2393,
(((D2418-1)*(D2394-(D2394/(D2418))))+((E2392/E$10)*E2393))/(E2394))))</f>
        <v>0</v>
      </c>
      <c r="F2418" s="1423">
        <f t="shared" ref="F2418" ca="1" si="3570">IF(AND(E2418&lt;1,F2392=0),0,
IF(F2392=0,E2418-1,
IF(E2418&lt;1,F2393,
(((E2418-1)*(E2394-(E2394/(E2418))))+((F2392/F$10)*F2393))/(F2394))))</f>
        <v>0</v>
      </c>
      <c r="G2418" s="1423">
        <f t="shared" ref="G2418" ca="1" si="3571">IF(AND(F2418&lt;1,G2392=0),0,
IF(G2392=0,F2418-1,
IF(F2418&lt;1,G2393,
(((F2418-1)*(F2394-(F2394/(F2418))))+((G2392/G$10)*G2393))/(G2394))))</f>
        <v>0</v>
      </c>
      <c r="H2418" s="1423">
        <f t="shared" ref="H2418" ca="1" si="3572">IF(AND(G2418&lt;1,H2392=0),0,
IF(H2392=0,G2418-1,
IF(G2418&lt;1,H2393,
(((G2418-1)*(G2394-(G2394/(G2418))))+((H2392/H$10)*H2393))/(H2394))))</f>
        <v>0</v>
      </c>
      <c r="I2418" s="1423">
        <f t="shared" ref="I2418" ca="1" si="3573">IF(AND(H2418&lt;1,I2392=0),0,
IF(I2392=0,H2418-1,
IF(H2418&lt;1,I2393,
(((H2418-1)*(H2394-(H2394/(H2418))))+((I2392/I$10)*I2393))/(I2394))))</f>
        <v>0</v>
      </c>
      <c r="J2418" s="1423">
        <f t="shared" ref="J2418" ca="1" si="3574">IF(AND(I2418&lt;1,J2392=0),0,
IF(J2392=0,I2418-1,
IF(I2418&lt;1,J2393,
(((I2418-1)*(I2394-(I2394/(I2418))))+((J2392/J$10)*J2393))/(J2394))))</f>
        <v>0</v>
      </c>
      <c r="K2418" s="1423">
        <f t="shared" ref="K2418" ca="1" si="3575">IF(AND(J2418&lt;1,K2392=0),0,
IF(K2392=0,J2418-1,
IF(J2418&lt;1,K2393,
(((J2418-1)*(J2394-(J2394/(J2418))))+((K2392/K$10)*K2393))/(K2394))))</f>
        <v>0</v>
      </c>
      <c r="L2418" s="1423">
        <f t="shared" ref="L2418" ca="1" si="3576">IF(AND(K2418&lt;1,L2392=0),0,
IF(L2392=0,K2418-1,
IF(K2418&lt;1,L2393,
(((K2418-1)*(K2394-(K2394/(K2418))))+((L2392/L$10)*L2393))/(L2394))))</f>
        <v>0</v>
      </c>
      <c r="M2418" s="1423">
        <f t="shared" ref="M2418" ca="1" si="3577">IF(AND(L2418&lt;1,M2392=0),0,
IF(M2392=0,L2418-1,
IF(L2418&lt;1,M2393,
(((L2418-1)*(L2394-(L2394/(L2418))))+((M2392/M$10)*M2393))/(M2394))))</f>
        <v>0</v>
      </c>
      <c r="N2418" s="1423">
        <f t="shared" ref="N2418" ca="1" si="3578">IF(AND(M2418&lt;1,N2392=0),0,
IF(N2392=0,M2418-1,
IF(M2418&lt;1,N2393,
(((M2418-1)*(M2394-(M2394/(M2418))))+((N2392/N$10)*N2393))/(N2394))))</f>
        <v>0</v>
      </c>
      <c r="O2418" s="1423">
        <f t="shared" ref="O2418" ca="1" si="3579">IF(AND(N2418&lt;1,O2392=0),0,
IF(O2392=0,N2418-1,
IF(N2418&lt;1,O2393,
(((N2418-1)*(N2394-(N2394/(N2418))))+((O2392/O$10)*O2393))/(O2394))))</f>
        <v>0</v>
      </c>
      <c r="P2418" s="1423">
        <f t="shared" ref="P2418" ca="1" si="3580">IF(AND(O2418&lt;1,P2392=0),0,
IF(P2392=0,O2418-1,
IF(O2418&lt;1,P2393,
(((O2418-1)*(O2394-(O2394/(O2418))))+((P2392/P$10)*P2393))/(P2394))))</f>
        <v>0</v>
      </c>
      <c r="Q2418" s="1423">
        <f t="shared" ref="Q2418" ca="1" si="3581">IF(AND(P2418&lt;1,Q2392=0),0,
IF(Q2392=0,P2418-1,
IF(P2418&lt;1,Q2393,
(((P2418-1)*(P2394-(P2394/(P2418))))+((Q2392/Q$10)*Q2393))/(Q2394))))</f>
        <v>0</v>
      </c>
      <c r="R2418" s="1423">
        <f t="shared" ref="R2418" ca="1" si="3582">IF(AND(Q2418&lt;1,R2392=0),0,
IF(R2392=0,Q2418-1,
IF(Q2418&lt;1,R2393,
(((Q2418-1)*(Q2394-(Q2394/(Q2418))))+((R2392/R$10)*R2393))/(R2394))))</f>
        <v>0</v>
      </c>
      <c r="S2418" s="1423">
        <f t="shared" ref="S2418" ca="1" si="3583">IF(AND(R2418&lt;1,S2392=0),0,
IF(S2392=0,R2418-1,
IF(R2418&lt;1,S2393,
(((R2418-1)*(R2394-(R2394/(R2418))))+((S2392/S$10)*S2393))/(S2394))))</f>
        <v>0</v>
      </c>
      <c r="T2418" s="1423">
        <f t="shared" ref="T2418" ca="1" si="3584">IF(AND(S2418&lt;1,T2392=0),0,
IF(T2392=0,S2418-1,
IF(S2418&lt;1,T2393,
(((S2418-1)*(S2394-(S2394/(S2418))))+((T2392/T$10)*T2393))/(T2394))))</f>
        <v>0</v>
      </c>
      <c r="U2418" s="1423">
        <f t="shared" ref="U2418" ca="1" si="3585">IF(AND(T2418&lt;1,U2392=0),0,
IF(U2392=0,T2418-1,
IF(T2418&lt;1,U2393,
(((T2418-1)*(T2394-(T2394/(T2418))))+((U2392/U$10)*U2393))/(U2394))))</f>
        <v>0</v>
      </c>
      <c r="V2418" s="1423">
        <f t="shared" ref="V2418" ca="1" si="3586">IF(AND(U2418&lt;1,V2392=0),0,
IF(V2392=0,U2418-1,
IF(U2418&lt;1,V2393,
(((U2418-1)*(U2394-(U2394/(U2418))))+((V2392/V$10)*V2393))/(V2394))))</f>
        <v>0</v>
      </c>
      <c r="W2418" s="1423">
        <f t="shared" ref="W2418" ca="1" si="3587">IF(AND(V2418&lt;1,W2392=0),0,
IF(W2392=0,V2418-1,
IF(V2418&lt;1,W2393,
(((V2418-1)*(V2394-(V2394/(V2418))))+((W2392/W$10)*W2393))/(W2394))))</f>
        <v>0</v>
      </c>
      <c r="X2418" s="152"/>
      <c r="Y2418" s="152"/>
      <c r="Z2418" s="152"/>
      <c r="AA2418" s="152"/>
      <c r="AB2418" s="152"/>
    </row>
    <row r="2419" spans="1:28" hidden="1" outlineLevel="1">
      <c r="A2419" s="152"/>
      <c r="B2419" s="190" t="s">
        <v>122</v>
      </c>
      <c r="C2419" s="1423">
        <f ca="1">C2391</f>
        <v>0</v>
      </c>
      <c r="D2419" s="1423">
        <f t="shared" ref="D2419" ca="1" si="3588">IF(C2419="n/a","n/a",MAX(0,C2419-1))</f>
        <v>0</v>
      </c>
      <c r="E2419" s="1423">
        <f t="shared" ref="E2419:E2420" ca="1" si="3589">IF(D2419="n/a","n/a",MAX(0,D2419-1))</f>
        <v>0</v>
      </c>
      <c r="F2419" s="1423">
        <f t="shared" ref="F2419:F2421" ca="1" si="3590">IF(E2419="n/a","n/a",MAX(0,E2419-1))</f>
        <v>0</v>
      </c>
      <c r="G2419" s="1423">
        <f t="shared" ref="G2419:G2422" ca="1" si="3591">IF(F2419="n/a","n/a",MAX(0,F2419-1))</f>
        <v>0</v>
      </c>
      <c r="H2419" s="1423">
        <f t="shared" ref="H2419:H2423" ca="1" si="3592">IF(G2419="n/a","n/a",MAX(0,G2419-1))</f>
        <v>0</v>
      </c>
      <c r="I2419" s="1423">
        <f t="shared" ref="I2419:I2424" ca="1" si="3593">IF(H2419="n/a","n/a",MAX(0,H2419-1))</f>
        <v>0</v>
      </c>
      <c r="J2419" s="1423">
        <f t="shared" ref="J2419:J2425" ca="1" si="3594">IF(I2419="n/a","n/a",MAX(0,I2419-1))</f>
        <v>0</v>
      </c>
      <c r="K2419" s="1423">
        <f t="shared" ref="K2419:K2426" ca="1" si="3595">IF(J2419="n/a","n/a",MAX(0,J2419-1))</f>
        <v>0</v>
      </c>
      <c r="L2419" s="1423">
        <f t="shared" ref="L2419:L2427" ca="1" si="3596">IF(K2419="n/a","n/a",MAX(0,K2419-1))</f>
        <v>0</v>
      </c>
      <c r="M2419" s="1423">
        <f t="shared" ref="M2419:M2428" ca="1" si="3597">IF(L2419="n/a","n/a",MAX(0,L2419-1))</f>
        <v>0</v>
      </c>
      <c r="N2419" s="1423">
        <f t="shared" ref="N2419:N2429" ca="1" si="3598">IF(M2419="n/a","n/a",MAX(0,M2419-1))</f>
        <v>0</v>
      </c>
      <c r="O2419" s="1423">
        <f t="shared" ref="O2419:O2430" ca="1" si="3599">IF(N2419="n/a","n/a",MAX(0,N2419-1))</f>
        <v>0</v>
      </c>
      <c r="P2419" s="1423">
        <f t="shared" ref="P2419:P2431" ca="1" si="3600">IF(O2419="n/a","n/a",MAX(0,O2419-1))</f>
        <v>0</v>
      </c>
      <c r="Q2419" s="1423">
        <f t="shared" ref="Q2419:Q2432" ca="1" si="3601">IF(P2419="n/a","n/a",MAX(0,P2419-1))</f>
        <v>0</v>
      </c>
      <c r="R2419" s="1423">
        <f t="shared" ref="R2419:R2433" ca="1" si="3602">IF(Q2419="n/a","n/a",MAX(0,Q2419-1))</f>
        <v>0</v>
      </c>
      <c r="S2419" s="1423">
        <f t="shared" ref="S2419:S2434" ca="1" si="3603">IF(R2419="n/a","n/a",MAX(0,R2419-1))</f>
        <v>0</v>
      </c>
      <c r="T2419" s="1423">
        <f t="shared" ref="T2419:T2435" ca="1" si="3604">IF(S2419="n/a","n/a",MAX(0,S2419-1))</f>
        <v>0</v>
      </c>
      <c r="U2419" s="1423">
        <f t="shared" ref="U2419:U2436" ca="1" si="3605">IF(T2419="n/a","n/a",MAX(0,T2419-1))</f>
        <v>0</v>
      </c>
      <c r="V2419" s="1423">
        <f t="shared" ref="V2419:V2437" ca="1" si="3606">IF(U2419="n/a","n/a",MAX(0,U2419-1))</f>
        <v>0</v>
      </c>
      <c r="W2419" s="1423">
        <f t="shared" ref="W2419:W2437" ca="1" si="3607">IF(V2419="n/a","n/a",MAX(0,V2419-1))</f>
        <v>0</v>
      </c>
      <c r="X2419" s="152"/>
      <c r="Y2419" s="152"/>
      <c r="Z2419" s="152"/>
      <c r="AA2419" s="152"/>
      <c r="AB2419" s="152"/>
    </row>
    <row r="2420" spans="1:28" hidden="1" outlineLevel="1">
      <c r="A2420" s="152"/>
      <c r="B2420" s="190" t="str">
        <f t="shared" ref="B2420:B2439" ca="1" si="3608">"RL Capex "&amp;OFFSET($C$6,0,A2396)</f>
        <v>RL Capex 2016-17</v>
      </c>
      <c r="C2420" s="1424"/>
      <c r="D2420" s="1428">
        <f>D2391</f>
        <v>0</v>
      </c>
      <c r="E2420" s="1423">
        <f t="shared" si="3589"/>
        <v>0</v>
      </c>
      <c r="F2420" s="1423">
        <f t="shared" si="3590"/>
        <v>0</v>
      </c>
      <c r="G2420" s="1423">
        <f t="shared" si="3591"/>
        <v>0</v>
      </c>
      <c r="H2420" s="1423">
        <f t="shared" si="3592"/>
        <v>0</v>
      </c>
      <c r="I2420" s="1423">
        <f t="shared" si="3593"/>
        <v>0</v>
      </c>
      <c r="J2420" s="1423">
        <f t="shared" si="3594"/>
        <v>0</v>
      </c>
      <c r="K2420" s="1423">
        <f t="shared" si="3595"/>
        <v>0</v>
      </c>
      <c r="L2420" s="1423">
        <f t="shared" si="3596"/>
        <v>0</v>
      </c>
      <c r="M2420" s="1423">
        <f t="shared" si="3597"/>
        <v>0</v>
      </c>
      <c r="N2420" s="1423">
        <f t="shared" si="3598"/>
        <v>0</v>
      </c>
      <c r="O2420" s="1423">
        <f t="shared" si="3599"/>
        <v>0</v>
      </c>
      <c r="P2420" s="1423">
        <f t="shared" si="3600"/>
        <v>0</v>
      </c>
      <c r="Q2420" s="1423">
        <f t="shared" si="3601"/>
        <v>0</v>
      </c>
      <c r="R2420" s="1423">
        <f t="shared" si="3602"/>
        <v>0</v>
      </c>
      <c r="S2420" s="1423">
        <f t="shared" si="3603"/>
        <v>0</v>
      </c>
      <c r="T2420" s="1423">
        <f t="shared" si="3604"/>
        <v>0</v>
      </c>
      <c r="U2420" s="1423">
        <f t="shared" si="3605"/>
        <v>0</v>
      </c>
      <c r="V2420" s="1423">
        <f t="shared" si="3606"/>
        <v>0</v>
      </c>
      <c r="W2420" s="1423">
        <f t="shared" si="3607"/>
        <v>0</v>
      </c>
      <c r="X2420" s="152"/>
      <c r="Y2420" s="152"/>
      <c r="Z2420" s="152"/>
      <c r="AA2420" s="152"/>
      <c r="AB2420" s="152"/>
    </row>
    <row r="2421" spans="1:28" hidden="1" outlineLevel="1">
      <c r="A2421" s="152"/>
      <c r="B2421" s="190" t="str">
        <f t="shared" ca="1" si="3608"/>
        <v>RL Capex 2017-18</v>
      </c>
      <c r="C2421" s="1429"/>
      <c r="D2421" s="1424"/>
      <c r="E2421" s="1428">
        <f>E2391</f>
        <v>0</v>
      </c>
      <c r="F2421" s="1423">
        <f t="shared" si="3590"/>
        <v>0</v>
      </c>
      <c r="G2421" s="1423">
        <f t="shared" si="3591"/>
        <v>0</v>
      </c>
      <c r="H2421" s="1423">
        <f t="shared" si="3592"/>
        <v>0</v>
      </c>
      <c r="I2421" s="1423">
        <f t="shared" si="3593"/>
        <v>0</v>
      </c>
      <c r="J2421" s="1423">
        <f t="shared" si="3594"/>
        <v>0</v>
      </c>
      <c r="K2421" s="1423">
        <f t="shared" si="3595"/>
        <v>0</v>
      </c>
      <c r="L2421" s="1423">
        <f t="shared" si="3596"/>
        <v>0</v>
      </c>
      <c r="M2421" s="1423">
        <f t="shared" si="3597"/>
        <v>0</v>
      </c>
      <c r="N2421" s="1423">
        <f t="shared" si="3598"/>
        <v>0</v>
      </c>
      <c r="O2421" s="1423">
        <f t="shared" si="3599"/>
        <v>0</v>
      </c>
      <c r="P2421" s="1423">
        <f t="shared" si="3600"/>
        <v>0</v>
      </c>
      <c r="Q2421" s="1423">
        <f t="shared" si="3601"/>
        <v>0</v>
      </c>
      <c r="R2421" s="1423">
        <f t="shared" si="3602"/>
        <v>0</v>
      </c>
      <c r="S2421" s="1423">
        <f t="shared" si="3603"/>
        <v>0</v>
      </c>
      <c r="T2421" s="1423">
        <f t="shared" si="3604"/>
        <v>0</v>
      </c>
      <c r="U2421" s="1423">
        <f t="shared" si="3605"/>
        <v>0</v>
      </c>
      <c r="V2421" s="1423">
        <f t="shared" si="3606"/>
        <v>0</v>
      </c>
      <c r="W2421" s="1423">
        <f t="shared" si="3607"/>
        <v>0</v>
      </c>
      <c r="X2421" s="152"/>
      <c r="Y2421" s="152"/>
      <c r="Z2421" s="152"/>
      <c r="AA2421" s="152"/>
      <c r="AB2421" s="152"/>
    </row>
    <row r="2422" spans="1:28" hidden="1" outlineLevel="1">
      <c r="A2422" s="152"/>
      <c r="B2422" s="190" t="str">
        <f t="shared" ca="1" si="3608"/>
        <v>RL Capex 2018-19</v>
      </c>
      <c r="C2422" s="1429"/>
      <c r="D2422" s="1429"/>
      <c r="E2422" s="1424"/>
      <c r="F2422" s="1428">
        <f>F2391</f>
        <v>0</v>
      </c>
      <c r="G2422" s="1423">
        <f t="shared" si="3591"/>
        <v>0</v>
      </c>
      <c r="H2422" s="1423">
        <f t="shared" si="3592"/>
        <v>0</v>
      </c>
      <c r="I2422" s="1423">
        <f t="shared" si="3593"/>
        <v>0</v>
      </c>
      <c r="J2422" s="1423">
        <f t="shared" si="3594"/>
        <v>0</v>
      </c>
      <c r="K2422" s="1423">
        <f t="shared" si="3595"/>
        <v>0</v>
      </c>
      <c r="L2422" s="1423">
        <f t="shared" si="3596"/>
        <v>0</v>
      </c>
      <c r="M2422" s="1423">
        <f t="shared" si="3597"/>
        <v>0</v>
      </c>
      <c r="N2422" s="1423">
        <f t="shared" si="3598"/>
        <v>0</v>
      </c>
      <c r="O2422" s="1423">
        <f t="shared" si="3599"/>
        <v>0</v>
      </c>
      <c r="P2422" s="1423">
        <f t="shared" si="3600"/>
        <v>0</v>
      </c>
      <c r="Q2422" s="1423">
        <f t="shared" si="3601"/>
        <v>0</v>
      </c>
      <c r="R2422" s="1423">
        <f t="shared" si="3602"/>
        <v>0</v>
      </c>
      <c r="S2422" s="1423">
        <f t="shared" si="3603"/>
        <v>0</v>
      </c>
      <c r="T2422" s="1423">
        <f t="shared" si="3604"/>
        <v>0</v>
      </c>
      <c r="U2422" s="1423">
        <f t="shared" si="3605"/>
        <v>0</v>
      </c>
      <c r="V2422" s="1423">
        <f t="shared" si="3606"/>
        <v>0</v>
      </c>
      <c r="W2422" s="1423">
        <f t="shared" si="3607"/>
        <v>0</v>
      </c>
      <c r="X2422" s="152"/>
      <c r="Y2422" s="152"/>
      <c r="Z2422" s="152"/>
      <c r="AA2422" s="152"/>
      <c r="AB2422" s="152"/>
    </row>
    <row r="2423" spans="1:28" hidden="1" outlineLevel="1">
      <c r="A2423" s="152"/>
      <c r="B2423" s="190" t="str">
        <f t="shared" ca="1" si="3608"/>
        <v>RL Capex 2019-20</v>
      </c>
      <c r="C2423" s="1429"/>
      <c r="D2423" s="1429"/>
      <c r="E2423" s="1429"/>
      <c r="F2423" s="1424"/>
      <c r="G2423" s="1428">
        <f>G2391</f>
        <v>0</v>
      </c>
      <c r="H2423" s="1423">
        <f t="shared" si="3592"/>
        <v>0</v>
      </c>
      <c r="I2423" s="1423">
        <f t="shared" si="3593"/>
        <v>0</v>
      </c>
      <c r="J2423" s="1423">
        <f t="shared" si="3594"/>
        <v>0</v>
      </c>
      <c r="K2423" s="1423">
        <f t="shared" si="3595"/>
        <v>0</v>
      </c>
      <c r="L2423" s="1423">
        <f t="shared" si="3596"/>
        <v>0</v>
      </c>
      <c r="M2423" s="1423">
        <f t="shared" si="3597"/>
        <v>0</v>
      </c>
      <c r="N2423" s="1423">
        <f t="shared" si="3598"/>
        <v>0</v>
      </c>
      <c r="O2423" s="1423">
        <f t="shared" si="3599"/>
        <v>0</v>
      </c>
      <c r="P2423" s="1423">
        <f t="shared" si="3600"/>
        <v>0</v>
      </c>
      <c r="Q2423" s="1423">
        <f t="shared" si="3601"/>
        <v>0</v>
      </c>
      <c r="R2423" s="1423">
        <f t="shared" si="3602"/>
        <v>0</v>
      </c>
      <c r="S2423" s="1423">
        <f t="shared" si="3603"/>
        <v>0</v>
      </c>
      <c r="T2423" s="1423">
        <f t="shared" si="3604"/>
        <v>0</v>
      </c>
      <c r="U2423" s="1423">
        <f t="shared" si="3605"/>
        <v>0</v>
      </c>
      <c r="V2423" s="1423">
        <f t="shared" si="3606"/>
        <v>0</v>
      </c>
      <c r="W2423" s="1423">
        <f t="shared" si="3607"/>
        <v>0</v>
      </c>
      <c r="X2423" s="152"/>
      <c r="Y2423" s="152"/>
      <c r="Z2423" s="152"/>
      <c r="AA2423" s="152"/>
      <c r="AB2423" s="152"/>
    </row>
    <row r="2424" spans="1:28" hidden="1" outlineLevel="1">
      <c r="A2424" s="152"/>
      <c r="B2424" s="190" t="str">
        <f t="shared" ca="1" si="3608"/>
        <v>RL Capex 2020-21</v>
      </c>
      <c r="C2424" s="1429"/>
      <c r="D2424" s="1429"/>
      <c r="E2424" s="1429"/>
      <c r="F2424" s="1429"/>
      <c r="G2424" s="1424"/>
      <c r="H2424" s="1428">
        <f>H2391</f>
        <v>0</v>
      </c>
      <c r="I2424" s="1423">
        <f t="shared" si="3593"/>
        <v>0</v>
      </c>
      <c r="J2424" s="1423">
        <f t="shared" si="3594"/>
        <v>0</v>
      </c>
      <c r="K2424" s="1423">
        <f t="shared" si="3595"/>
        <v>0</v>
      </c>
      <c r="L2424" s="1423">
        <f t="shared" si="3596"/>
        <v>0</v>
      </c>
      <c r="M2424" s="1423">
        <f t="shared" si="3597"/>
        <v>0</v>
      </c>
      <c r="N2424" s="1423">
        <f t="shared" si="3598"/>
        <v>0</v>
      </c>
      <c r="O2424" s="1423">
        <f t="shared" si="3599"/>
        <v>0</v>
      </c>
      <c r="P2424" s="1423">
        <f t="shared" si="3600"/>
        <v>0</v>
      </c>
      <c r="Q2424" s="1423">
        <f t="shared" si="3601"/>
        <v>0</v>
      </c>
      <c r="R2424" s="1423">
        <f t="shared" si="3602"/>
        <v>0</v>
      </c>
      <c r="S2424" s="1423">
        <f t="shared" si="3603"/>
        <v>0</v>
      </c>
      <c r="T2424" s="1423">
        <f t="shared" si="3604"/>
        <v>0</v>
      </c>
      <c r="U2424" s="1423">
        <f t="shared" si="3605"/>
        <v>0</v>
      </c>
      <c r="V2424" s="1423">
        <f t="shared" si="3606"/>
        <v>0</v>
      </c>
      <c r="W2424" s="1423">
        <f t="shared" si="3607"/>
        <v>0</v>
      </c>
      <c r="X2424" s="152"/>
      <c r="Y2424" s="152"/>
      <c r="Z2424" s="152"/>
      <c r="AA2424" s="152"/>
      <c r="AB2424" s="152"/>
    </row>
    <row r="2425" spans="1:28" hidden="1" outlineLevel="1">
      <c r="A2425" s="152"/>
      <c r="B2425" s="190" t="str">
        <f t="shared" ca="1" si="3608"/>
        <v>RL Capex 2021-22</v>
      </c>
      <c r="C2425" s="1429"/>
      <c r="D2425" s="1429"/>
      <c r="E2425" s="1429"/>
      <c r="F2425" s="1429"/>
      <c r="G2425" s="1429"/>
      <c r="H2425" s="1424"/>
      <c r="I2425" s="1428">
        <f>I2391</f>
        <v>0</v>
      </c>
      <c r="J2425" s="1423">
        <f t="shared" si="3594"/>
        <v>0</v>
      </c>
      <c r="K2425" s="1423">
        <f t="shared" si="3595"/>
        <v>0</v>
      </c>
      <c r="L2425" s="1423">
        <f t="shared" si="3596"/>
        <v>0</v>
      </c>
      <c r="M2425" s="1423">
        <f t="shared" si="3597"/>
        <v>0</v>
      </c>
      <c r="N2425" s="1423">
        <f t="shared" si="3598"/>
        <v>0</v>
      </c>
      <c r="O2425" s="1423">
        <f t="shared" si="3599"/>
        <v>0</v>
      </c>
      <c r="P2425" s="1423">
        <f t="shared" si="3600"/>
        <v>0</v>
      </c>
      <c r="Q2425" s="1423">
        <f t="shared" si="3601"/>
        <v>0</v>
      </c>
      <c r="R2425" s="1423">
        <f t="shared" si="3602"/>
        <v>0</v>
      </c>
      <c r="S2425" s="1423">
        <f t="shared" si="3603"/>
        <v>0</v>
      </c>
      <c r="T2425" s="1423">
        <f t="shared" si="3604"/>
        <v>0</v>
      </c>
      <c r="U2425" s="1423">
        <f t="shared" si="3605"/>
        <v>0</v>
      </c>
      <c r="V2425" s="1423">
        <f t="shared" si="3606"/>
        <v>0</v>
      </c>
      <c r="W2425" s="1423">
        <f t="shared" si="3607"/>
        <v>0</v>
      </c>
      <c r="X2425" s="152"/>
      <c r="Y2425" s="152"/>
      <c r="Z2425" s="152"/>
      <c r="AA2425" s="152"/>
      <c r="AB2425" s="152"/>
    </row>
    <row r="2426" spans="1:28" hidden="1" outlineLevel="1">
      <c r="A2426" s="152"/>
      <c r="B2426" s="190" t="str">
        <f t="shared" ca="1" si="3608"/>
        <v>RL Capex 2022-23</v>
      </c>
      <c r="C2426" s="1429"/>
      <c r="D2426" s="1429"/>
      <c r="E2426" s="1429"/>
      <c r="F2426" s="1429"/>
      <c r="G2426" s="1429"/>
      <c r="H2426" s="1429"/>
      <c r="I2426" s="1424"/>
      <c r="J2426" s="1428">
        <f>J2391</f>
        <v>0</v>
      </c>
      <c r="K2426" s="1423">
        <f t="shared" si="3595"/>
        <v>0</v>
      </c>
      <c r="L2426" s="1423">
        <f t="shared" si="3596"/>
        <v>0</v>
      </c>
      <c r="M2426" s="1423">
        <f t="shared" si="3597"/>
        <v>0</v>
      </c>
      <c r="N2426" s="1423">
        <f t="shared" si="3598"/>
        <v>0</v>
      </c>
      <c r="O2426" s="1423">
        <f t="shared" si="3599"/>
        <v>0</v>
      </c>
      <c r="P2426" s="1423">
        <f t="shared" si="3600"/>
        <v>0</v>
      </c>
      <c r="Q2426" s="1423">
        <f t="shared" si="3601"/>
        <v>0</v>
      </c>
      <c r="R2426" s="1423">
        <f t="shared" si="3602"/>
        <v>0</v>
      </c>
      <c r="S2426" s="1423">
        <f t="shared" si="3603"/>
        <v>0</v>
      </c>
      <c r="T2426" s="1423">
        <f t="shared" si="3604"/>
        <v>0</v>
      </c>
      <c r="U2426" s="1423">
        <f t="shared" si="3605"/>
        <v>0</v>
      </c>
      <c r="V2426" s="1423">
        <f t="shared" si="3606"/>
        <v>0</v>
      </c>
      <c r="W2426" s="1423">
        <f t="shared" si="3607"/>
        <v>0</v>
      </c>
      <c r="X2426" s="152"/>
      <c r="Y2426" s="152"/>
      <c r="Z2426" s="152"/>
      <c r="AA2426" s="152"/>
      <c r="AB2426" s="152"/>
    </row>
    <row r="2427" spans="1:28" hidden="1" outlineLevel="1">
      <c r="A2427" s="152"/>
      <c r="B2427" s="190" t="str">
        <f t="shared" ca="1" si="3608"/>
        <v>RL Capex 2023-24</v>
      </c>
      <c r="C2427" s="1429"/>
      <c r="D2427" s="1429"/>
      <c r="E2427" s="1429"/>
      <c r="F2427" s="1429"/>
      <c r="G2427" s="1429"/>
      <c r="H2427" s="1429"/>
      <c r="I2427" s="1429"/>
      <c r="J2427" s="1424"/>
      <c r="K2427" s="1428">
        <f>K2391</f>
        <v>0</v>
      </c>
      <c r="L2427" s="1423">
        <f t="shared" si="3596"/>
        <v>0</v>
      </c>
      <c r="M2427" s="1423">
        <f t="shared" si="3597"/>
        <v>0</v>
      </c>
      <c r="N2427" s="1423">
        <f t="shared" si="3598"/>
        <v>0</v>
      </c>
      <c r="O2427" s="1423">
        <f t="shared" si="3599"/>
        <v>0</v>
      </c>
      <c r="P2427" s="1423">
        <f t="shared" si="3600"/>
        <v>0</v>
      </c>
      <c r="Q2427" s="1423">
        <f t="shared" si="3601"/>
        <v>0</v>
      </c>
      <c r="R2427" s="1423">
        <f t="shared" si="3602"/>
        <v>0</v>
      </c>
      <c r="S2427" s="1423">
        <f t="shared" si="3603"/>
        <v>0</v>
      </c>
      <c r="T2427" s="1423">
        <f t="shared" si="3604"/>
        <v>0</v>
      </c>
      <c r="U2427" s="1423">
        <f t="shared" si="3605"/>
        <v>0</v>
      </c>
      <c r="V2427" s="1423">
        <f t="shared" si="3606"/>
        <v>0</v>
      </c>
      <c r="W2427" s="1423">
        <f t="shared" si="3607"/>
        <v>0</v>
      </c>
      <c r="X2427" s="152"/>
      <c r="Y2427" s="152"/>
      <c r="Z2427" s="152"/>
      <c r="AA2427" s="152"/>
      <c r="AB2427" s="152"/>
    </row>
    <row r="2428" spans="1:28" hidden="1" outlineLevel="1">
      <c r="A2428" s="152"/>
      <c r="B2428" s="190" t="str">
        <f t="shared" ca="1" si="3608"/>
        <v>RL Capex 2024-25</v>
      </c>
      <c r="C2428" s="1429"/>
      <c r="D2428" s="1429"/>
      <c r="E2428" s="1429"/>
      <c r="F2428" s="1429"/>
      <c r="G2428" s="1429"/>
      <c r="H2428" s="1429"/>
      <c r="I2428" s="1429"/>
      <c r="J2428" s="1429"/>
      <c r="K2428" s="1424"/>
      <c r="L2428" s="1428">
        <f>L2391</f>
        <v>0</v>
      </c>
      <c r="M2428" s="1423">
        <f t="shared" si="3597"/>
        <v>0</v>
      </c>
      <c r="N2428" s="1423">
        <f t="shared" si="3598"/>
        <v>0</v>
      </c>
      <c r="O2428" s="1423">
        <f t="shared" si="3599"/>
        <v>0</v>
      </c>
      <c r="P2428" s="1423">
        <f t="shared" si="3600"/>
        <v>0</v>
      </c>
      <c r="Q2428" s="1423">
        <f t="shared" si="3601"/>
        <v>0</v>
      </c>
      <c r="R2428" s="1423">
        <f t="shared" si="3602"/>
        <v>0</v>
      </c>
      <c r="S2428" s="1423">
        <f t="shared" si="3603"/>
        <v>0</v>
      </c>
      <c r="T2428" s="1423">
        <f t="shared" si="3604"/>
        <v>0</v>
      </c>
      <c r="U2428" s="1423">
        <f t="shared" si="3605"/>
        <v>0</v>
      </c>
      <c r="V2428" s="1423">
        <f t="shared" si="3606"/>
        <v>0</v>
      </c>
      <c r="W2428" s="1423">
        <f t="shared" si="3607"/>
        <v>0</v>
      </c>
      <c r="X2428" s="152"/>
      <c r="Y2428" s="152"/>
      <c r="Z2428" s="152"/>
      <c r="AA2428" s="152"/>
      <c r="AB2428" s="152"/>
    </row>
    <row r="2429" spans="1:28" hidden="1" outlineLevel="1">
      <c r="A2429" s="152"/>
      <c r="B2429" s="190" t="str">
        <f t="shared" ca="1" si="3608"/>
        <v>RL Capex 2025-26</v>
      </c>
      <c r="C2429" s="1429"/>
      <c r="D2429" s="1429"/>
      <c r="E2429" s="1429"/>
      <c r="F2429" s="1429"/>
      <c r="G2429" s="1429"/>
      <c r="H2429" s="1429"/>
      <c r="I2429" s="1429"/>
      <c r="J2429" s="1429"/>
      <c r="K2429" s="1429"/>
      <c r="L2429" s="1424"/>
      <c r="M2429" s="1428">
        <f>M2391</f>
        <v>0</v>
      </c>
      <c r="N2429" s="1423">
        <f t="shared" si="3598"/>
        <v>0</v>
      </c>
      <c r="O2429" s="1423">
        <f t="shared" si="3599"/>
        <v>0</v>
      </c>
      <c r="P2429" s="1423">
        <f t="shared" si="3600"/>
        <v>0</v>
      </c>
      <c r="Q2429" s="1423">
        <f t="shared" si="3601"/>
        <v>0</v>
      </c>
      <c r="R2429" s="1423">
        <f t="shared" si="3602"/>
        <v>0</v>
      </c>
      <c r="S2429" s="1423">
        <f t="shared" si="3603"/>
        <v>0</v>
      </c>
      <c r="T2429" s="1423">
        <f t="shared" si="3604"/>
        <v>0</v>
      </c>
      <c r="U2429" s="1423">
        <f t="shared" si="3605"/>
        <v>0</v>
      </c>
      <c r="V2429" s="1423">
        <f t="shared" si="3606"/>
        <v>0</v>
      </c>
      <c r="W2429" s="1423">
        <f t="shared" si="3607"/>
        <v>0</v>
      </c>
      <c r="X2429" s="152"/>
      <c r="Y2429" s="152"/>
      <c r="Z2429" s="152"/>
      <c r="AA2429" s="152"/>
      <c r="AB2429" s="152"/>
    </row>
    <row r="2430" spans="1:28" hidden="1" outlineLevel="1">
      <c r="A2430" s="152"/>
      <c r="B2430" s="190" t="str">
        <f t="shared" ca="1" si="3608"/>
        <v>RL Capex 2026-27</v>
      </c>
      <c r="C2430" s="1429"/>
      <c r="D2430" s="1429"/>
      <c r="E2430" s="1429"/>
      <c r="F2430" s="1429"/>
      <c r="G2430" s="1429"/>
      <c r="H2430" s="1429"/>
      <c r="I2430" s="1429"/>
      <c r="J2430" s="1429"/>
      <c r="K2430" s="1429"/>
      <c r="L2430" s="1429"/>
      <c r="M2430" s="1424"/>
      <c r="N2430" s="1428">
        <f>N2391</f>
        <v>0</v>
      </c>
      <c r="O2430" s="1423">
        <f t="shared" si="3599"/>
        <v>0</v>
      </c>
      <c r="P2430" s="1423">
        <f t="shared" si="3600"/>
        <v>0</v>
      </c>
      <c r="Q2430" s="1423">
        <f t="shared" si="3601"/>
        <v>0</v>
      </c>
      <c r="R2430" s="1423">
        <f t="shared" si="3602"/>
        <v>0</v>
      </c>
      <c r="S2430" s="1423">
        <f t="shared" si="3603"/>
        <v>0</v>
      </c>
      <c r="T2430" s="1423">
        <f t="shared" si="3604"/>
        <v>0</v>
      </c>
      <c r="U2430" s="1423">
        <f t="shared" si="3605"/>
        <v>0</v>
      </c>
      <c r="V2430" s="1423">
        <f t="shared" si="3606"/>
        <v>0</v>
      </c>
      <c r="W2430" s="1423">
        <f t="shared" si="3607"/>
        <v>0</v>
      </c>
      <c r="X2430" s="152"/>
      <c r="Y2430" s="152"/>
      <c r="Z2430" s="152"/>
      <c r="AA2430" s="152"/>
      <c r="AB2430" s="152"/>
    </row>
    <row r="2431" spans="1:28" hidden="1" outlineLevel="1">
      <c r="A2431" s="152"/>
      <c r="B2431" s="190" t="str">
        <f t="shared" ca="1" si="3608"/>
        <v>RL Capex 2027-28</v>
      </c>
      <c r="C2431" s="1429"/>
      <c r="D2431" s="1429"/>
      <c r="E2431" s="1429"/>
      <c r="F2431" s="1429"/>
      <c r="G2431" s="1429"/>
      <c r="H2431" s="1429"/>
      <c r="I2431" s="1429"/>
      <c r="J2431" s="1429"/>
      <c r="K2431" s="1429"/>
      <c r="L2431" s="1429"/>
      <c r="M2431" s="1429"/>
      <c r="N2431" s="1424"/>
      <c r="O2431" s="1428">
        <f>O2391</f>
        <v>0</v>
      </c>
      <c r="P2431" s="1423">
        <f t="shared" si="3600"/>
        <v>0</v>
      </c>
      <c r="Q2431" s="1423">
        <f t="shared" si="3601"/>
        <v>0</v>
      </c>
      <c r="R2431" s="1423">
        <f t="shared" si="3602"/>
        <v>0</v>
      </c>
      <c r="S2431" s="1423">
        <f t="shared" si="3603"/>
        <v>0</v>
      </c>
      <c r="T2431" s="1423">
        <f t="shared" si="3604"/>
        <v>0</v>
      </c>
      <c r="U2431" s="1423">
        <f t="shared" si="3605"/>
        <v>0</v>
      </c>
      <c r="V2431" s="1423">
        <f t="shared" si="3606"/>
        <v>0</v>
      </c>
      <c r="W2431" s="1423">
        <f t="shared" si="3607"/>
        <v>0</v>
      </c>
      <c r="X2431" s="152"/>
      <c r="Y2431" s="152"/>
      <c r="Z2431" s="152"/>
      <c r="AA2431" s="152"/>
      <c r="AB2431" s="152"/>
    </row>
    <row r="2432" spans="1:28" hidden="1" outlineLevel="1">
      <c r="A2432" s="152"/>
      <c r="B2432" s="190" t="str">
        <f t="shared" ca="1" si="3608"/>
        <v>RL Capex 2028-29</v>
      </c>
      <c r="C2432" s="1429"/>
      <c r="D2432" s="1429"/>
      <c r="E2432" s="1429"/>
      <c r="F2432" s="1429"/>
      <c r="G2432" s="1429"/>
      <c r="H2432" s="1429"/>
      <c r="I2432" s="1429"/>
      <c r="J2432" s="1429"/>
      <c r="K2432" s="1429"/>
      <c r="L2432" s="1429"/>
      <c r="M2432" s="1429"/>
      <c r="N2432" s="1429"/>
      <c r="O2432" s="1424"/>
      <c r="P2432" s="1428">
        <f>P2391</f>
        <v>0</v>
      </c>
      <c r="Q2432" s="1423">
        <f t="shared" si="3601"/>
        <v>0</v>
      </c>
      <c r="R2432" s="1423">
        <f t="shared" si="3602"/>
        <v>0</v>
      </c>
      <c r="S2432" s="1423">
        <f t="shared" si="3603"/>
        <v>0</v>
      </c>
      <c r="T2432" s="1423">
        <f t="shared" si="3604"/>
        <v>0</v>
      </c>
      <c r="U2432" s="1423">
        <f t="shared" si="3605"/>
        <v>0</v>
      </c>
      <c r="V2432" s="1423">
        <f t="shared" si="3606"/>
        <v>0</v>
      </c>
      <c r="W2432" s="1423">
        <f t="shared" si="3607"/>
        <v>0</v>
      </c>
      <c r="X2432" s="152"/>
      <c r="Y2432" s="152"/>
      <c r="Z2432" s="152"/>
      <c r="AA2432" s="152"/>
      <c r="AB2432" s="152"/>
    </row>
    <row r="2433" spans="1:28" hidden="1" outlineLevel="1">
      <c r="A2433" s="152"/>
      <c r="B2433" s="190" t="str">
        <f t="shared" ca="1" si="3608"/>
        <v>RL Capex 2029-30</v>
      </c>
      <c r="C2433" s="1429"/>
      <c r="D2433" s="1429"/>
      <c r="E2433" s="1429"/>
      <c r="F2433" s="1429"/>
      <c r="G2433" s="1429"/>
      <c r="H2433" s="1429"/>
      <c r="I2433" s="1429"/>
      <c r="J2433" s="1429"/>
      <c r="K2433" s="1429"/>
      <c r="L2433" s="1429"/>
      <c r="M2433" s="1429"/>
      <c r="N2433" s="1429"/>
      <c r="O2433" s="1429"/>
      <c r="P2433" s="1424"/>
      <c r="Q2433" s="1428">
        <f>Q2391</f>
        <v>0</v>
      </c>
      <c r="R2433" s="1423">
        <f t="shared" si="3602"/>
        <v>0</v>
      </c>
      <c r="S2433" s="1423">
        <f t="shared" si="3603"/>
        <v>0</v>
      </c>
      <c r="T2433" s="1423">
        <f t="shared" si="3604"/>
        <v>0</v>
      </c>
      <c r="U2433" s="1423">
        <f t="shared" si="3605"/>
        <v>0</v>
      </c>
      <c r="V2433" s="1423">
        <f t="shared" si="3606"/>
        <v>0</v>
      </c>
      <c r="W2433" s="1423">
        <f t="shared" si="3607"/>
        <v>0</v>
      </c>
      <c r="X2433" s="152"/>
      <c r="Y2433" s="152"/>
      <c r="Z2433" s="152"/>
      <c r="AA2433" s="152"/>
      <c r="AB2433" s="152"/>
    </row>
    <row r="2434" spans="1:28" hidden="1" outlineLevel="1">
      <c r="A2434" s="152"/>
      <c r="B2434" s="190" t="str">
        <f t="shared" ca="1" si="3608"/>
        <v>RL Capex 2030-31</v>
      </c>
      <c r="C2434" s="1429"/>
      <c r="D2434" s="1429"/>
      <c r="E2434" s="1429"/>
      <c r="F2434" s="1429"/>
      <c r="G2434" s="1429"/>
      <c r="H2434" s="1429"/>
      <c r="I2434" s="1429"/>
      <c r="J2434" s="1429"/>
      <c r="K2434" s="1429"/>
      <c r="L2434" s="1429"/>
      <c r="M2434" s="1429"/>
      <c r="N2434" s="1429"/>
      <c r="O2434" s="1429"/>
      <c r="P2434" s="1429"/>
      <c r="Q2434" s="1424"/>
      <c r="R2434" s="1428">
        <f>R2391</f>
        <v>0</v>
      </c>
      <c r="S2434" s="1423">
        <f t="shared" si="3603"/>
        <v>0</v>
      </c>
      <c r="T2434" s="1423">
        <f t="shared" si="3604"/>
        <v>0</v>
      </c>
      <c r="U2434" s="1423">
        <f t="shared" si="3605"/>
        <v>0</v>
      </c>
      <c r="V2434" s="1423">
        <f t="shared" si="3606"/>
        <v>0</v>
      </c>
      <c r="W2434" s="1423">
        <f t="shared" si="3607"/>
        <v>0</v>
      </c>
      <c r="X2434" s="152"/>
      <c r="Y2434" s="152"/>
      <c r="Z2434" s="152"/>
      <c r="AA2434" s="152"/>
      <c r="AB2434" s="152"/>
    </row>
    <row r="2435" spans="1:28" hidden="1" outlineLevel="1">
      <c r="A2435" s="152"/>
      <c r="B2435" s="190" t="str">
        <f t="shared" ca="1" si="3608"/>
        <v>RL Capex 2031-32</v>
      </c>
      <c r="C2435" s="1429"/>
      <c r="D2435" s="1429"/>
      <c r="E2435" s="1429"/>
      <c r="F2435" s="1429"/>
      <c r="G2435" s="1429"/>
      <c r="H2435" s="1429"/>
      <c r="I2435" s="1429"/>
      <c r="J2435" s="1429"/>
      <c r="K2435" s="1429"/>
      <c r="L2435" s="1429"/>
      <c r="M2435" s="1429"/>
      <c r="N2435" s="1429"/>
      <c r="O2435" s="1429"/>
      <c r="P2435" s="1429"/>
      <c r="Q2435" s="1429"/>
      <c r="R2435" s="1424"/>
      <c r="S2435" s="1428">
        <f>S2391</f>
        <v>0</v>
      </c>
      <c r="T2435" s="1423">
        <f t="shared" si="3604"/>
        <v>0</v>
      </c>
      <c r="U2435" s="1423">
        <f t="shared" si="3605"/>
        <v>0</v>
      </c>
      <c r="V2435" s="1423">
        <f t="shared" si="3606"/>
        <v>0</v>
      </c>
      <c r="W2435" s="1423">
        <f t="shared" si="3607"/>
        <v>0</v>
      </c>
      <c r="X2435" s="152"/>
      <c r="Y2435" s="152"/>
      <c r="Z2435" s="152"/>
      <c r="AA2435" s="152"/>
      <c r="AB2435" s="152"/>
    </row>
    <row r="2436" spans="1:28" hidden="1" outlineLevel="1">
      <c r="A2436" s="152"/>
      <c r="B2436" s="190" t="str">
        <f t="shared" ca="1" si="3608"/>
        <v>RL Capex 2032-33</v>
      </c>
      <c r="C2436" s="1429"/>
      <c r="D2436" s="1429"/>
      <c r="E2436" s="1429"/>
      <c r="F2436" s="1429"/>
      <c r="G2436" s="1429"/>
      <c r="H2436" s="1429"/>
      <c r="I2436" s="1429"/>
      <c r="J2436" s="1429"/>
      <c r="K2436" s="1429"/>
      <c r="L2436" s="1429"/>
      <c r="M2436" s="1429"/>
      <c r="N2436" s="1429"/>
      <c r="O2436" s="1429"/>
      <c r="P2436" s="1429"/>
      <c r="Q2436" s="1429"/>
      <c r="R2436" s="1429"/>
      <c r="S2436" s="1424"/>
      <c r="T2436" s="1428">
        <f>T2391</f>
        <v>0</v>
      </c>
      <c r="U2436" s="1423">
        <f t="shared" si="3605"/>
        <v>0</v>
      </c>
      <c r="V2436" s="1423">
        <f t="shared" si="3606"/>
        <v>0</v>
      </c>
      <c r="W2436" s="1423">
        <f t="shared" si="3607"/>
        <v>0</v>
      </c>
      <c r="X2436" s="152"/>
      <c r="Y2436" s="152"/>
      <c r="Z2436" s="152"/>
      <c r="AA2436" s="152"/>
      <c r="AB2436" s="152"/>
    </row>
    <row r="2437" spans="1:28" hidden="1" outlineLevel="1">
      <c r="A2437" s="152"/>
      <c r="B2437" s="190" t="str">
        <f t="shared" ca="1" si="3608"/>
        <v>RL Capex 2033-34</v>
      </c>
      <c r="C2437" s="1429"/>
      <c r="D2437" s="1429"/>
      <c r="E2437" s="1429"/>
      <c r="F2437" s="1429"/>
      <c r="G2437" s="1429"/>
      <c r="H2437" s="1429"/>
      <c r="I2437" s="1429"/>
      <c r="J2437" s="1429"/>
      <c r="K2437" s="1429"/>
      <c r="L2437" s="1429"/>
      <c r="M2437" s="1429"/>
      <c r="N2437" s="1429"/>
      <c r="O2437" s="1429"/>
      <c r="P2437" s="1429"/>
      <c r="Q2437" s="1429"/>
      <c r="R2437" s="1429"/>
      <c r="S2437" s="1429"/>
      <c r="T2437" s="1424"/>
      <c r="U2437" s="1428">
        <f>U2391</f>
        <v>0</v>
      </c>
      <c r="V2437" s="1423">
        <f t="shared" si="3606"/>
        <v>0</v>
      </c>
      <c r="W2437" s="1423">
        <f t="shared" si="3607"/>
        <v>0</v>
      </c>
      <c r="X2437" s="152"/>
      <c r="Y2437" s="152"/>
      <c r="Z2437" s="152"/>
      <c r="AA2437" s="152"/>
      <c r="AB2437" s="152"/>
    </row>
    <row r="2438" spans="1:28" hidden="1" outlineLevel="1">
      <c r="A2438" s="152"/>
      <c r="B2438" s="190" t="str">
        <f t="shared" ca="1" si="3608"/>
        <v>RL Capex 2034-35</v>
      </c>
      <c r="C2438" s="1429"/>
      <c r="D2438" s="1429"/>
      <c r="E2438" s="1429"/>
      <c r="F2438" s="1429"/>
      <c r="G2438" s="1429"/>
      <c r="H2438" s="1429"/>
      <c r="I2438" s="1429"/>
      <c r="J2438" s="1429"/>
      <c r="K2438" s="1429"/>
      <c r="L2438" s="1429"/>
      <c r="M2438" s="1429"/>
      <c r="N2438" s="1429"/>
      <c r="O2438" s="1429"/>
      <c r="P2438" s="1429"/>
      <c r="Q2438" s="1429"/>
      <c r="R2438" s="1429"/>
      <c r="S2438" s="1429"/>
      <c r="T2438" s="1429"/>
      <c r="U2438" s="1424"/>
      <c r="V2438" s="1428">
        <f>V2391</f>
        <v>0</v>
      </c>
      <c r="W2438" s="1423">
        <f>IF(V2438="n/a","n/a",MAX(0,V2438-1))</f>
        <v>0</v>
      </c>
      <c r="X2438" s="152"/>
      <c r="Y2438" s="152"/>
      <c r="Z2438" s="152"/>
      <c r="AA2438" s="152"/>
      <c r="AB2438" s="152"/>
    </row>
    <row r="2439" spans="1:28" hidden="1" outlineLevel="1">
      <c r="A2439" s="152"/>
      <c r="B2439" s="190" t="str">
        <f t="shared" ca="1" si="3608"/>
        <v>RL Capex 2035-36</v>
      </c>
      <c r="C2439" s="1429"/>
      <c r="D2439" s="1429"/>
      <c r="E2439" s="1429"/>
      <c r="F2439" s="1429"/>
      <c r="G2439" s="1429"/>
      <c r="H2439" s="1429"/>
      <c r="I2439" s="1429"/>
      <c r="J2439" s="1429"/>
      <c r="K2439" s="1429"/>
      <c r="L2439" s="1429"/>
      <c r="M2439" s="1429"/>
      <c r="N2439" s="1429"/>
      <c r="O2439" s="1429"/>
      <c r="P2439" s="1429"/>
      <c r="Q2439" s="1429"/>
      <c r="R2439" s="1429"/>
      <c r="S2439" s="1429"/>
      <c r="T2439" s="1429"/>
      <c r="U2439" s="1429"/>
      <c r="V2439" s="1424"/>
      <c r="W2439" s="1423">
        <f>W2391</f>
        <v>0</v>
      </c>
      <c r="X2439" s="152"/>
      <c r="Y2439" s="152"/>
      <c r="Z2439" s="152"/>
      <c r="AA2439" s="152"/>
      <c r="AB2439" s="152"/>
    </row>
    <row r="2440" spans="1:28" hidden="1" outlineLevel="1">
      <c r="A2440" s="152"/>
      <c r="B2440" s="200"/>
      <c r="C2440" s="1423"/>
      <c r="D2440" s="1423"/>
      <c r="E2440" s="1423"/>
      <c r="F2440" s="1423"/>
      <c r="G2440" s="1423"/>
      <c r="H2440" s="1423"/>
      <c r="I2440" s="1423"/>
      <c r="J2440" s="1423"/>
      <c r="K2440" s="1423"/>
      <c r="L2440" s="1423"/>
      <c r="M2440" s="1423"/>
      <c r="N2440" s="1423"/>
      <c r="O2440" s="1423"/>
      <c r="P2440" s="1423"/>
      <c r="Q2440" s="1423"/>
      <c r="R2440" s="1423"/>
      <c r="S2440" s="1423"/>
      <c r="T2440" s="1423"/>
      <c r="U2440" s="1423"/>
      <c r="V2440" s="1423"/>
      <c r="W2440" s="1423"/>
      <c r="X2440" s="152"/>
      <c r="Y2440" s="152"/>
      <c r="Z2440" s="152"/>
      <c r="AA2440" s="152"/>
      <c r="AB2440" s="152"/>
    </row>
    <row r="2441" spans="1:28" collapsed="1">
      <c r="A2441" s="194"/>
      <c r="B2441" s="204" t="s">
        <v>123</v>
      </c>
      <c r="C2441" s="1430">
        <f ca="1">(IF(OR($C2391&lt;&gt;"n/a",C2391&lt;&gt;"n/a"),IF(SUM(C2394:C2416)=0,0,IF((SUMPRODUCT(C2394:C2416,C2418:C2440)/SUM(C2394:C2416))&lt;0,1,(SUMPRODUCT(C2394:C2416,C2418:C2440)/SUM(C2394:C2416)))),"n/a"))</f>
        <v>0</v>
      </c>
      <c r="D2441" s="1430">
        <f ca="1">(IF(OR($C2391&lt;&gt;"n/a",D2391&lt;&gt;"n/a"),IF(SUM(D2394:D2416)=0,0,IF((SUMPRODUCT(D2394:D2416,D2418:D2440)/SUM(D2394:D2416))&lt;0,1,(SUMPRODUCT(D2394:D2416,D2418:D2440)/SUM(D2394:D2416)))),"n/a"))</f>
        <v>0</v>
      </c>
      <c r="E2441" s="1430">
        <f t="shared" ref="E2441:W2441" ca="1" si="3609">(IF(OR($C2391&lt;&gt;"n/a",E2391&lt;&gt;"n/a"),IF(SUM(E2394:E2416)=0,0,IF((SUMPRODUCT(E2394:E2416,E2418:E2440)/SUM(E2394:E2416))&lt;0,1,(SUMPRODUCT(E2394:E2416,E2418:E2440)/SUM(E2394:E2416)))),"n/a"))</f>
        <v>0</v>
      </c>
      <c r="F2441" s="1430">
        <f t="shared" ca="1" si="3609"/>
        <v>0</v>
      </c>
      <c r="G2441" s="1430">
        <f t="shared" ca="1" si="3609"/>
        <v>0</v>
      </c>
      <c r="H2441" s="1430">
        <f t="shared" ca="1" si="3609"/>
        <v>0</v>
      </c>
      <c r="I2441" s="1430">
        <f t="shared" ca="1" si="3609"/>
        <v>0</v>
      </c>
      <c r="J2441" s="1430">
        <f t="shared" ca="1" si="3609"/>
        <v>0</v>
      </c>
      <c r="K2441" s="1430">
        <f t="shared" ca="1" si="3609"/>
        <v>0</v>
      </c>
      <c r="L2441" s="1430">
        <f t="shared" ca="1" si="3609"/>
        <v>0</v>
      </c>
      <c r="M2441" s="1430">
        <f t="shared" ca="1" si="3609"/>
        <v>0</v>
      </c>
      <c r="N2441" s="1430">
        <f t="shared" ca="1" si="3609"/>
        <v>0</v>
      </c>
      <c r="O2441" s="1430">
        <f t="shared" ca="1" si="3609"/>
        <v>0</v>
      </c>
      <c r="P2441" s="1430">
        <f t="shared" ca="1" si="3609"/>
        <v>0</v>
      </c>
      <c r="Q2441" s="1430">
        <f t="shared" ca="1" si="3609"/>
        <v>0</v>
      </c>
      <c r="R2441" s="1430">
        <f t="shared" ca="1" si="3609"/>
        <v>0</v>
      </c>
      <c r="S2441" s="1430">
        <f t="shared" ca="1" si="3609"/>
        <v>0</v>
      </c>
      <c r="T2441" s="1430">
        <f t="shared" ca="1" si="3609"/>
        <v>0</v>
      </c>
      <c r="U2441" s="1430">
        <f t="shared" ca="1" si="3609"/>
        <v>0</v>
      </c>
      <c r="V2441" s="1430">
        <f t="shared" ca="1" si="3609"/>
        <v>0</v>
      </c>
      <c r="W2441" s="1430">
        <f t="shared" ca="1" si="3609"/>
        <v>0</v>
      </c>
      <c r="X2441" s="152"/>
      <c r="Y2441" s="152"/>
      <c r="Z2441" s="152"/>
      <c r="AA2441" s="152"/>
      <c r="AB2441" s="152"/>
    </row>
    <row r="2442" spans="1:28">
      <c r="A2442" s="152"/>
      <c r="B2442" s="152"/>
      <c r="C2442" s="1423"/>
      <c r="D2442" s="1423"/>
      <c r="E2442" s="1423"/>
      <c r="F2442" s="1423"/>
      <c r="G2442" s="1423"/>
      <c r="H2442" s="1423"/>
      <c r="I2442" s="1423"/>
      <c r="J2442" s="1423"/>
      <c r="K2442" s="1423"/>
      <c r="L2442" s="1423"/>
      <c r="M2442" s="1423"/>
      <c r="N2442" s="1423"/>
      <c r="O2442" s="1423"/>
      <c r="P2442" s="1423"/>
      <c r="Q2442" s="1423"/>
      <c r="R2442" s="1423"/>
      <c r="S2442" s="1423"/>
      <c r="T2442" s="1423"/>
      <c r="U2442" s="1423"/>
      <c r="V2442" s="1423"/>
      <c r="W2442" s="1423"/>
      <c r="X2442" s="152"/>
      <c r="Y2442" s="152"/>
      <c r="Z2442" s="152"/>
      <c r="AA2442" s="152"/>
      <c r="AB2442" s="152"/>
    </row>
    <row r="2443" spans="1:28">
      <c r="A2443" s="269" t="s">
        <v>112</v>
      </c>
      <c r="B2443" s="270">
        <f>VLOOKUP($A2443,'RFM input'!$E$7:$F$56,2,FALSE)</f>
        <v>0</v>
      </c>
      <c r="C2443" s="1431"/>
      <c r="D2443" s="1431"/>
      <c r="E2443" s="1432"/>
      <c r="F2443" s="1432"/>
      <c r="G2443" s="1432"/>
      <c r="H2443" s="1432"/>
      <c r="I2443" s="1432"/>
      <c r="J2443" s="1432"/>
      <c r="K2443" s="1432"/>
      <c r="L2443" s="1432"/>
      <c r="M2443" s="1432"/>
      <c r="N2443" s="1432"/>
      <c r="O2443" s="1432"/>
      <c r="P2443" s="1432"/>
      <c r="Q2443" s="1432"/>
      <c r="R2443" s="1432"/>
      <c r="S2443" s="1432"/>
      <c r="T2443" s="1432"/>
      <c r="U2443" s="1432"/>
      <c r="V2443" s="1432"/>
      <c r="W2443" s="1432"/>
      <c r="X2443" s="152"/>
      <c r="Y2443" s="152"/>
      <c r="Z2443" s="152"/>
      <c r="AA2443" s="152"/>
      <c r="AB2443" s="152"/>
    </row>
    <row r="2444" spans="1:28">
      <c r="A2444" s="215">
        <f>VALUE(REPLACE(A2443,1,12,""))</f>
        <v>46</v>
      </c>
      <c r="B2444" s="193" t="s">
        <v>126</v>
      </c>
      <c r="C2444" s="1416">
        <f ca="1">IF($C$8='Capital Base roll forward'!$H$4,OFFSET('Capital Base roll forward'!$H$717,'RAB remaining lives'!A2444,0),"enter input")</f>
        <v>0</v>
      </c>
      <c r="D2444" s="1417">
        <f>IF(LEFT(D$6,4)&lt;LEFT('RFM input'!$G$60,4),"enter input",IF(LEFT(D$6,4)&gt;LEFT('RFM input'!$Q$60,4),0,INDEX('RFM input'!$G$61:$Q$110,$A2444,MATCH(D$6,'RFM input'!$G$60:$Q$60,0))
-INDEX('RFM input'!$G$115:$Q$164,$A2444,MATCH(D$6,'RFM input'!$G$60:$Q$60,0))
-INDEX('RFM input'!$G$169:$Q$218,$A2444,MATCH(D$6,'RFM input'!$G$60:$Q$60,0))))</f>
        <v>0</v>
      </c>
      <c r="E2444" s="1417">
        <f>IF(LEFT(E$6,4)&lt;LEFT('RFM input'!$G$60,4),"enter input",IF(LEFT(E$6,4)&gt;LEFT('RFM input'!$Q$60,4),0,INDEX('RFM input'!$G$61:$Q$110,$A2444,MATCH(E$6,'RFM input'!$G$60:$Q$60,0))
-INDEX('RFM input'!$G$115:$Q$164,$A2444,MATCH(E$6,'RFM input'!$G$60:$Q$60,0))
-INDEX('RFM input'!$G$169:$Q$218,$A2444,MATCH(E$6,'RFM input'!$G$60:$Q$60,0))))</f>
        <v>0</v>
      </c>
      <c r="F2444" s="1417">
        <f>IF(LEFT(F$6,4)&lt;LEFT('RFM input'!$G$60,4),"enter input",IF(LEFT(F$6,4)&gt;LEFT('RFM input'!$Q$60,4),0,INDEX('RFM input'!$G$61:$Q$110,$A2444,MATCH(F$6,'RFM input'!$G$60:$Q$60,0))
-INDEX('RFM input'!$G$115:$Q$164,$A2444,MATCH(F$6,'RFM input'!$G$60:$Q$60,0))
-INDEX('RFM input'!$G$169:$Q$218,$A2444,MATCH(F$6,'RFM input'!$G$60:$Q$60,0))))</f>
        <v>0</v>
      </c>
      <c r="G2444" s="1417">
        <f>IF(LEFT(G$6,4)&lt;LEFT('RFM input'!$G$60,4),"enter input",IF(LEFT(G$6,4)&gt;LEFT('RFM input'!$Q$60,4),0,INDEX('RFM input'!$G$61:$Q$110,$A2444,MATCH(G$6,'RFM input'!$G$60:$Q$60,0))
-INDEX('RFM input'!$G$115:$Q$164,$A2444,MATCH(G$6,'RFM input'!$G$60:$Q$60,0))
-INDEX('RFM input'!$G$169:$Q$218,$A2444,MATCH(G$6,'RFM input'!$G$60:$Q$60,0))))</f>
        <v>0</v>
      </c>
      <c r="H2444" s="1417">
        <f>IF(LEFT(H$6,4)&lt;LEFT('RFM input'!$G$60,4),"enter input",IF(LEFT(H$6,4)&gt;LEFT('RFM input'!$Q$60,4),0,INDEX('RFM input'!$G$61:$Q$110,$A2444,MATCH(H$6,'RFM input'!$G$60:$Q$60,0))
-INDEX('RFM input'!$G$115:$Q$164,$A2444,MATCH(H$6,'RFM input'!$G$60:$Q$60,0))
-INDEX('RFM input'!$G$169:$Q$218,$A2444,MATCH(H$6,'RFM input'!$G$60:$Q$60,0))))</f>
        <v>0</v>
      </c>
      <c r="I2444" s="1417">
        <f>IF(LEFT(I$6,4)&lt;LEFT('RFM input'!$G$60,4),"enter input",IF(LEFT(I$6,4)&gt;LEFT('RFM input'!$Q$60,4),0,INDEX('RFM input'!$G$61:$Q$110,$A2444,MATCH(I$6,'RFM input'!$G$60:$Q$60,0))
-INDEX('RFM input'!$G$115:$Q$164,$A2444,MATCH(I$6,'RFM input'!$G$60:$Q$60,0))
-INDEX('RFM input'!$G$169:$Q$218,$A2444,MATCH(I$6,'RFM input'!$G$60:$Q$60,0))))</f>
        <v>0</v>
      </c>
      <c r="J2444" s="1417">
        <f>IF(LEFT(J$6,4)&lt;LEFT('RFM input'!$G$60,4),"enter input",IF(LEFT(J$6,4)&gt;LEFT('RFM input'!$Q$60,4),0,INDEX('RFM input'!$G$61:$Q$110,$A2444,MATCH(J$6,'RFM input'!$G$60:$Q$60,0))
-INDEX('RFM input'!$G$115:$Q$164,$A2444,MATCH(J$6,'RFM input'!$G$60:$Q$60,0))
-INDEX('RFM input'!$G$169:$Q$218,$A2444,MATCH(J$6,'RFM input'!$G$60:$Q$60,0))))</f>
        <v>0</v>
      </c>
      <c r="K2444" s="1417">
        <f>IF(LEFT(K$6,4)&lt;LEFT('RFM input'!$G$60,4),"enter input",IF(LEFT(K$6,4)&gt;LEFT('RFM input'!$Q$60,4),0,INDEX('RFM input'!$G$61:$Q$110,$A2444,MATCH(K$6,'RFM input'!$G$60:$Q$60,0))
-INDEX('RFM input'!$G$115:$Q$164,$A2444,MATCH(K$6,'RFM input'!$G$60:$Q$60,0))
-INDEX('RFM input'!$G$169:$Q$218,$A2444,MATCH(K$6,'RFM input'!$G$60:$Q$60,0))))</f>
        <v>0</v>
      </c>
      <c r="L2444" s="1417">
        <f>IF(LEFT(L$6,4)&lt;LEFT('RFM input'!$G$60,4),"enter input",IF(LEFT(L$6,4)&gt;LEFT('RFM input'!$Q$60,4),0,INDEX('RFM input'!$G$61:$Q$110,$A2444,MATCH(L$6,'RFM input'!$G$60:$Q$60,0))
-INDEX('RFM input'!$G$115:$Q$164,$A2444,MATCH(L$6,'RFM input'!$G$60:$Q$60,0))
-INDEX('RFM input'!$G$169:$Q$218,$A2444,MATCH(L$6,'RFM input'!$G$60:$Q$60,0))))</f>
        <v>0</v>
      </c>
      <c r="M2444" s="1417">
        <f>IF(LEFT(M$6,4)&lt;LEFT('RFM input'!$G$60,4),"enter input",IF(LEFT(M$6,4)&gt;LEFT('RFM input'!$Q$60,4),0,INDEX('RFM input'!$G$61:$Q$110,$A2444,MATCH(M$6,'RFM input'!$G$60:$Q$60,0))
-INDEX('RFM input'!$G$115:$Q$164,$A2444,MATCH(M$6,'RFM input'!$G$60:$Q$60,0))
-INDEX('RFM input'!$G$169:$Q$218,$A2444,MATCH(M$6,'RFM input'!$G$60:$Q$60,0))))</f>
        <v>0</v>
      </c>
      <c r="N2444" s="1417">
        <f>IF(LEFT(N$6,4)&lt;LEFT('RFM input'!$G$60,4),"enter input",IF(LEFT(N$6,4)&gt;LEFT('RFM input'!$Q$60,4),0,INDEX('RFM input'!$G$61:$Q$110,$A2444,MATCH(N$6,'RFM input'!$G$60:$Q$60,0))
-INDEX('RFM input'!$G$115:$Q$164,$A2444,MATCH(N$6,'RFM input'!$G$60:$Q$60,0))
-INDEX('RFM input'!$G$169:$Q$218,$A2444,MATCH(N$6,'RFM input'!$G$60:$Q$60,0))))</f>
        <v>0</v>
      </c>
      <c r="O2444" s="1417">
        <f>IF(LEFT(O$6,4)&lt;LEFT('RFM input'!$G$60,4),"enter input",IF(LEFT(O$6,4)&gt;LEFT('RFM input'!$Q$60,4),0,INDEX('RFM input'!$G$61:$Q$110,$A2444,MATCH(O$6,'RFM input'!$G$60:$Q$60,0))
-INDEX('RFM input'!$G$115:$Q$164,$A2444,MATCH(O$6,'RFM input'!$G$60:$Q$60,0))
-INDEX('RFM input'!$G$169:$Q$218,$A2444,MATCH(O$6,'RFM input'!$G$60:$Q$60,0))))</f>
        <v>0</v>
      </c>
      <c r="P2444" s="1417">
        <f>IF(LEFT(P$6,4)&lt;LEFT('RFM input'!$G$60,4),"enter input",IF(LEFT(P$6,4)&gt;LEFT('RFM input'!$Q$60,4),0,INDEX('RFM input'!$G$61:$Q$110,$A2444,MATCH(P$6,'RFM input'!$G$60:$Q$60,0))
-INDEX('RFM input'!$G$115:$Q$164,$A2444,MATCH(P$6,'RFM input'!$G$60:$Q$60,0))
-INDEX('RFM input'!$G$169:$Q$218,$A2444,MATCH(P$6,'RFM input'!$G$60:$Q$60,0))))</f>
        <v>0</v>
      </c>
      <c r="Q2444" s="1417">
        <f>IF(LEFT(Q$6,4)&lt;LEFT('RFM input'!$G$60,4),"enter input",IF(LEFT(Q$6,4)&gt;LEFT('RFM input'!$Q$60,4),0,INDEX('RFM input'!$G$61:$Q$110,$A2444,MATCH(Q$6,'RFM input'!$G$60:$Q$60,0))
-INDEX('RFM input'!$G$115:$Q$164,$A2444,MATCH(Q$6,'RFM input'!$G$60:$Q$60,0))
-INDEX('RFM input'!$G$169:$Q$218,$A2444,MATCH(Q$6,'RFM input'!$G$60:$Q$60,0))))</f>
        <v>0</v>
      </c>
      <c r="R2444" s="1417">
        <f>IF(LEFT(R$6,4)&lt;LEFT('RFM input'!$G$60,4),"enter input",IF(LEFT(R$6,4)&gt;LEFT('RFM input'!$Q$60,4),0,INDEX('RFM input'!$G$61:$Q$110,$A2444,MATCH(R$6,'RFM input'!$G$60:$Q$60,0))
-INDEX('RFM input'!$G$115:$Q$164,$A2444,MATCH(R$6,'RFM input'!$G$60:$Q$60,0))
-INDEX('RFM input'!$G$169:$Q$218,$A2444,MATCH(R$6,'RFM input'!$G$60:$Q$60,0))))</f>
        <v>0</v>
      </c>
      <c r="S2444" s="1417">
        <f>IF(LEFT(S$6,4)&lt;LEFT('RFM input'!$G$60,4),"enter input",IF(LEFT(S$6,4)&gt;LEFT('RFM input'!$Q$60,4),0,INDEX('RFM input'!$G$61:$Q$110,$A2444,MATCH(S$6,'RFM input'!$G$60:$Q$60,0))
-INDEX('RFM input'!$G$115:$Q$164,$A2444,MATCH(S$6,'RFM input'!$G$60:$Q$60,0))
-INDEX('RFM input'!$G$169:$Q$218,$A2444,MATCH(S$6,'RFM input'!$G$60:$Q$60,0))))</f>
        <v>0</v>
      </c>
      <c r="T2444" s="1417">
        <f>IF(LEFT(T$6,4)&lt;LEFT('RFM input'!$G$60,4),"enter input",IF(LEFT(T$6,4)&gt;LEFT('RFM input'!$Q$60,4),0,INDEX('RFM input'!$G$61:$Q$110,$A2444,MATCH(T$6,'RFM input'!$G$60:$Q$60,0))
-INDEX('RFM input'!$G$115:$Q$164,$A2444,MATCH(T$6,'RFM input'!$G$60:$Q$60,0))
-INDEX('RFM input'!$G$169:$Q$218,$A2444,MATCH(T$6,'RFM input'!$G$60:$Q$60,0))))</f>
        <v>0</v>
      </c>
      <c r="U2444" s="1417">
        <f>IF(LEFT(U$6,4)&lt;LEFT('RFM input'!$G$60,4),"enter input",IF(LEFT(U$6,4)&gt;LEFT('RFM input'!$Q$60,4),0,INDEX('RFM input'!$G$61:$Q$110,$A2444,MATCH(U$6,'RFM input'!$G$60:$Q$60,0))
-INDEX('RFM input'!$G$115:$Q$164,$A2444,MATCH(U$6,'RFM input'!$G$60:$Q$60,0))
-INDEX('RFM input'!$G$169:$Q$218,$A2444,MATCH(U$6,'RFM input'!$G$60:$Q$60,0))))</f>
        <v>0</v>
      </c>
      <c r="V2444" s="1417">
        <f>IF(LEFT(V$6,4)&lt;LEFT('RFM input'!$G$60,4),"enter input",IF(LEFT(V$6,4)&gt;LEFT('RFM input'!$Q$60,4),0,INDEX('RFM input'!$G$61:$Q$110,$A2444,MATCH(V$6,'RFM input'!$G$60:$Q$60,0))
-INDEX('RFM input'!$G$115:$Q$164,$A2444,MATCH(V$6,'RFM input'!$G$60:$Q$60,0))
-INDEX('RFM input'!$G$169:$Q$218,$A2444,MATCH(V$6,'RFM input'!$G$60:$Q$60,0))))</f>
        <v>0</v>
      </c>
      <c r="W2444" s="1417">
        <f>IF(LEFT(W$6,4)&lt;LEFT('RFM input'!$G$60,4),"enter input",IF(LEFT(W$6,4)&gt;LEFT('RFM input'!$Q$60,4),0,INDEX('RFM input'!$G$61:$Q$110,$A2444,MATCH(W$6,'RFM input'!$G$60:$Q$60,0))
-INDEX('RFM input'!$G$115:$Q$164,$A2444,MATCH(W$6,'RFM input'!$G$60:$Q$60,0))
-INDEX('RFM input'!$G$169:$Q$218,$A2444,MATCH(W$6,'RFM input'!$G$60:$Q$60,0))))</f>
        <v>0</v>
      </c>
      <c r="X2444" s="152"/>
      <c r="Y2444" s="152"/>
      <c r="Z2444" s="152"/>
      <c r="AA2444" s="152"/>
      <c r="AB2444" s="152"/>
    </row>
    <row r="2445" spans="1:28">
      <c r="A2445" s="152"/>
      <c r="B2445" s="152" t="s">
        <v>204</v>
      </c>
      <c r="C2445" s="1418">
        <f ca="1">IF($C$8='Capital Base roll forward'!$H$4,OFFSET('RFM input'!$J$6,'RAB remaining lives'!A2444,0),"enter input")</f>
        <v>0</v>
      </c>
      <c r="D2445" s="1417">
        <f>IF(LEFT(D$6,4)&lt;=LEFT('RFM input'!$G$60,4),"enter input",IF(LEFT(D$6,4)&gt;LEFT('RFM input'!$Q$60,4),0,IF(MATCH(D$6,'RFM input'!$H$60:$Q$60,0),INDEX('RFM input'!$K$7:$K$56,$A2444,1))))</f>
        <v>0</v>
      </c>
      <c r="E2445" s="1417">
        <f>IF(LEFT(E$6,4)&lt;=LEFT('RFM input'!$G$60,4),"enter input",IF(LEFT(E$6,4)&gt;LEFT('RFM input'!$Q$60,4),0,IF(MATCH(E$6,'RFM input'!$H$60:$Q$60,0),INDEX('RFM input'!$K$7:$K$56,$A2444,1))))</f>
        <v>0</v>
      </c>
      <c r="F2445" s="1417">
        <f>IF(LEFT(F$6,4)&lt;=LEFT('RFM input'!$G$60,4),"enter input",IF(LEFT(F$6,4)&gt;LEFT('RFM input'!$Q$60,4),0,IF(MATCH(F$6,'RFM input'!$H$60:$Q$60,0),INDEX('RFM input'!$K$7:$K$56,$A2444,1))))</f>
        <v>0</v>
      </c>
      <c r="G2445" s="1417">
        <f>IF(LEFT(G$6,4)&lt;=LEFT('RFM input'!$G$60,4),"enter input",IF(LEFT(G$6,4)&gt;LEFT('RFM input'!$Q$60,4),0,IF(MATCH(G$6,'RFM input'!$H$60:$Q$60,0),INDEX('RFM input'!$K$7:$K$56,$A2444,1))))</f>
        <v>0</v>
      </c>
      <c r="H2445" s="1417">
        <f>IF(LEFT(H$6,4)&lt;=LEFT('RFM input'!$G$60,4),"enter input",IF(LEFT(H$6,4)&gt;LEFT('RFM input'!$Q$60,4),0,IF(MATCH(H$6,'RFM input'!$H$60:$Q$60,0),INDEX('RFM input'!$K$7:$K$56,$A2444,1))))</f>
        <v>0</v>
      </c>
      <c r="I2445" s="1417">
        <f>IF(LEFT(I$6,4)&lt;=LEFT('RFM input'!$G$60,4),"enter input",IF(LEFT(I$6,4)&gt;LEFT('RFM input'!$Q$60,4),0,IF(MATCH(I$6,'RFM input'!$H$60:$Q$60,0),INDEX('RFM input'!$K$7:$K$56,$A2444,1))))</f>
        <v>0</v>
      </c>
      <c r="J2445" s="1417">
        <f>IF(LEFT(J$6,4)&lt;=LEFT('RFM input'!$G$60,4),"enter input",IF(LEFT(J$6,4)&gt;LEFT('RFM input'!$Q$60,4),0,IF(MATCH(J$6,'RFM input'!$H$60:$Q$60,0),INDEX('RFM input'!$K$7:$K$56,$A2444,1))))</f>
        <v>0</v>
      </c>
      <c r="K2445" s="1417">
        <f>IF(LEFT(K$6,4)&lt;=LEFT('RFM input'!$G$60,4),"enter input",IF(LEFT(K$6,4)&gt;LEFT('RFM input'!$Q$60,4),0,IF(MATCH(K$6,'RFM input'!$H$60:$Q$60,0),INDEX('RFM input'!$K$7:$K$56,$A2444,1))))</f>
        <v>0</v>
      </c>
      <c r="L2445" s="1417">
        <f>IF(LEFT(L$6,4)&lt;=LEFT('RFM input'!$G$60,4),"enter input",IF(LEFT(L$6,4)&gt;LEFT('RFM input'!$Q$60,4),0,IF(MATCH(L$6,'RFM input'!$H$60:$Q$60,0),INDEX('RFM input'!$K$7:$K$56,$A2444,1))))</f>
        <v>0</v>
      </c>
      <c r="M2445" s="1417">
        <f>IF(LEFT(M$6,4)&lt;=LEFT('RFM input'!$G$60,4),"enter input",IF(LEFT(M$6,4)&gt;LEFT('RFM input'!$Q$60,4),0,IF(MATCH(M$6,'RFM input'!$H$60:$Q$60,0),INDEX('RFM input'!$K$7:$K$56,$A2444,1))))</f>
        <v>0</v>
      </c>
      <c r="N2445" s="1417">
        <f>IF(LEFT(N$6,4)&lt;=LEFT('RFM input'!$G$60,4),"enter input",IF(LEFT(N$6,4)&gt;LEFT('RFM input'!$Q$60,4),0,IF(MATCH(N$6,'RFM input'!$H$60:$Q$60,0),INDEX('RFM input'!$K$7:$K$56,$A2444,1))))</f>
        <v>0</v>
      </c>
      <c r="O2445" s="1417">
        <f>IF(LEFT(O$6,4)&lt;=LEFT('RFM input'!$G$60,4),"enter input",IF(LEFT(O$6,4)&gt;LEFT('RFM input'!$Q$60,4),0,IF(MATCH(O$6,'RFM input'!$H$60:$Q$60,0),INDEX('RFM input'!$K$7:$K$56,$A2444,1))))</f>
        <v>0</v>
      </c>
      <c r="P2445" s="1417">
        <f>IF(LEFT(P$6,4)&lt;=LEFT('RFM input'!$G$60,4),"enter input",IF(LEFT(P$6,4)&gt;LEFT('RFM input'!$Q$60,4),0,IF(MATCH(P$6,'RFM input'!$H$60:$Q$60,0),INDEX('RFM input'!$K$7:$K$56,$A2444,1))))</f>
        <v>0</v>
      </c>
      <c r="Q2445" s="1417">
        <f>IF(LEFT(Q$6,4)&lt;=LEFT('RFM input'!$G$60,4),"enter input",IF(LEFT(Q$6,4)&gt;LEFT('RFM input'!$Q$60,4),0,IF(MATCH(Q$6,'RFM input'!$H$60:$Q$60,0),INDEX('RFM input'!$K$7:$K$56,$A2444,1))))</f>
        <v>0</v>
      </c>
      <c r="R2445" s="1417">
        <f>IF(LEFT(R$6,4)&lt;=LEFT('RFM input'!$G$60,4),"enter input",IF(LEFT(R$6,4)&gt;LEFT('RFM input'!$Q$60,4),0,IF(MATCH(R$6,'RFM input'!$H$60:$Q$60,0),INDEX('RFM input'!$K$7:$K$56,$A2444,1))))</f>
        <v>0</v>
      </c>
      <c r="S2445" s="1417">
        <f>IF(LEFT(S$6,4)&lt;=LEFT('RFM input'!$G$60,4),"enter input",IF(LEFT(S$6,4)&gt;LEFT('RFM input'!$Q$60,4),0,IF(MATCH(S$6,'RFM input'!$H$60:$Q$60,0),INDEX('RFM input'!$K$7:$K$56,$A2444,1))))</f>
        <v>0</v>
      </c>
      <c r="T2445" s="1417">
        <f>IF(LEFT(T$6,4)&lt;=LEFT('RFM input'!$G$60,4),"enter input",IF(LEFT(T$6,4)&gt;LEFT('RFM input'!$Q$60,4),0,IF(MATCH(T$6,'RFM input'!$H$60:$Q$60,0),INDEX('RFM input'!$K$7:$K$56,$A2444,1))))</f>
        <v>0</v>
      </c>
      <c r="U2445" s="1417">
        <f>IF(LEFT(U$6,4)&lt;=LEFT('RFM input'!$G$60,4),"enter input",IF(LEFT(U$6,4)&gt;LEFT('RFM input'!$Q$60,4),0,IF(MATCH(U$6,'RFM input'!$H$60:$Q$60,0),INDEX('RFM input'!$K$7:$K$56,$A2444,1))))</f>
        <v>0</v>
      </c>
      <c r="V2445" s="1417">
        <f>IF(LEFT(V$6,4)&lt;=LEFT('RFM input'!$G$60,4),"enter input",IF(LEFT(V$6,4)&gt;LEFT('RFM input'!$Q$60,4),0,IF(MATCH(V$6,'RFM input'!$H$60:$Q$60,0),INDEX('RFM input'!$K$7:$K$56,$A2444,1))))</f>
        <v>0</v>
      </c>
      <c r="W2445" s="1417">
        <f>IF(LEFT(W$6,4)&lt;=LEFT('RFM input'!$G$60,4),"enter input",IF(LEFT(W$6,4)&gt;LEFT('RFM input'!$Q$60,4),0,IF(MATCH(W$6,'RFM input'!$H$60:$Q$60,0),INDEX('RFM input'!$K$7:$K$56,$A2444,1))))</f>
        <v>0</v>
      </c>
      <c r="X2445" s="152"/>
      <c r="Y2445" s="152"/>
      <c r="Z2445" s="152"/>
      <c r="AA2445" s="152"/>
      <c r="AB2445" s="152"/>
    </row>
    <row r="2446" spans="1:28">
      <c r="A2446" s="152"/>
      <c r="B2446" s="177" t="s">
        <v>191</v>
      </c>
      <c r="C2446" s="1419"/>
      <c r="D2446" s="1420">
        <f ca="1">IF(LEFT(D$6,4)&lt;=LEFT('RFM input'!$G$60,4),"enter input",IF(LEFT(D$6,4)&gt;LEFT('RFM input'!$Q$60,4),0,IF(D$6=(OFFSET('RFM input'!$G$60,0,'RFM input'!$V$7)),OFFSET('RFM input'!$G$411,$A2444,0),0)))</f>
        <v>0</v>
      </c>
      <c r="E2446" s="1417">
        <f ca="1">IF(LEFT(E$6,4)&lt;=LEFT('RFM input'!$G$60,4),"enter input",IF(LEFT(E$6,4)&gt;LEFT('RFM input'!$Q$60,4),0,IF(E$6=(OFFSET('RFM input'!$G$60,0,'RFM input'!$V$7)),OFFSET('RFM input'!$G$411,$A2444,0),0)))</f>
        <v>0</v>
      </c>
      <c r="F2446" s="1417">
        <f ca="1">IF(LEFT(F$6,4)&lt;=LEFT('RFM input'!$G$60,4),"enter input",IF(LEFT(F$6,4)&gt;LEFT('RFM input'!$Q$60,4),0,IF(F$6=(OFFSET('RFM input'!$G$60,0,'RFM input'!$V$7)),OFFSET('RFM input'!$G$411,$A2444,0),0)))</f>
        <v>0</v>
      </c>
      <c r="G2446" s="1417">
        <f ca="1">IF(LEFT(G$6,4)&lt;=LEFT('RFM input'!$G$60,4),"enter input",IF(LEFT(G$6,4)&gt;LEFT('RFM input'!$Q$60,4),0,IF(G$6=(OFFSET('RFM input'!$G$60,0,'RFM input'!$V$7)),OFFSET('RFM input'!$G$411,$A2444,0),0)))</f>
        <v>0</v>
      </c>
      <c r="H2446" s="1417">
        <f ca="1">IF(LEFT(H$6,4)&lt;=LEFT('RFM input'!$G$60,4),"enter input",IF(LEFT(H$6,4)&gt;LEFT('RFM input'!$Q$60,4),0,IF(H$6=(OFFSET('RFM input'!$G$60,0,'RFM input'!$V$7)),OFFSET('RFM input'!$G$411,$A2444,0),0)))</f>
        <v>0</v>
      </c>
      <c r="I2446" s="1417">
        <f ca="1">IF(LEFT(I$6,4)&lt;=LEFT('RFM input'!$G$60,4),"enter input",IF(LEFT(I$6,4)&gt;LEFT('RFM input'!$Q$60,4),0,IF(I$6=(OFFSET('RFM input'!$G$60,0,'RFM input'!$V$7)),OFFSET('RFM input'!$G$411,$A2444,0),0)))</f>
        <v>0</v>
      </c>
      <c r="J2446" s="1417">
        <f ca="1">IF(LEFT(J$6,4)&lt;=LEFT('RFM input'!$G$60,4),"enter input",IF(LEFT(J$6,4)&gt;LEFT('RFM input'!$Q$60,4),0,IF(J$6=(OFFSET('RFM input'!$G$60,0,'RFM input'!$V$7)),OFFSET('RFM input'!$G$411,$A2444,0),0)))</f>
        <v>0</v>
      </c>
      <c r="K2446" s="1417">
        <f ca="1">IF(LEFT(K$6,4)&lt;=LEFT('RFM input'!$G$60,4),"enter input",IF(LEFT(K$6,4)&gt;LEFT('RFM input'!$Q$60,4),0,IF(K$6=(OFFSET('RFM input'!$G$60,0,'RFM input'!$V$7)),OFFSET('RFM input'!$G$411,$A2444,0),0)))</f>
        <v>0</v>
      </c>
      <c r="L2446" s="1417">
        <f ca="1">IF(LEFT(L$6,4)&lt;=LEFT('RFM input'!$G$60,4),"enter input",IF(LEFT(L$6,4)&gt;LEFT('RFM input'!$Q$60,4),0,IF(L$6=(OFFSET('RFM input'!$G$60,0,'RFM input'!$V$7)),OFFSET('RFM input'!$G$411,$A2444,0),0)))</f>
        <v>0</v>
      </c>
      <c r="M2446" s="1417">
        <f ca="1">IF(LEFT(M$6,4)&lt;=LEFT('RFM input'!$G$60,4),"enter input",IF(LEFT(M$6,4)&gt;LEFT('RFM input'!$Q$60,4),0,IF(M$6=(OFFSET('RFM input'!$G$60,0,'RFM input'!$V$7)),OFFSET('RFM input'!$G$411,$A2444,0),0)))</f>
        <v>0</v>
      </c>
      <c r="N2446" s="1417">
        <f ca="1">IF(LEFT(N$6,4)&lt;=LEFT('RFM input'!$G$60,4),"enter input",IF(LEFT(N$6,4)&gt;LEFT('RFM input'!$Q$60,4),0,IF(N$6=(OFFSET('RFM input'!$G$60,0,'RFM input'!$V$7)),OFFSET('RFM input'!$G$411,$A2444,0),0)))</f>
        <v>0</v>
      </c>
      <c r="O2446" s="1417">
        <f ca="1">IF(LEFT(O$6,4)&lt;=LEFT('RFM input'!$G$60,4),"enter input",IF(LEFT(O$6,4)&gt;LEFT('RFM input'!$Q$60,4),0,IF(O$6=(OFFSET('RFM input'!$G$60,0,'RFM input'!$V$7)),OFFSET('RFM input'!$G$411,$A2444,0),0)))</f>
        <v>0</v>
      </c>
      <c r="P2446" s="1417">
        <f ca="1">IF(LEFT(P$6,4)&lt;=LEFT('RFM input'!$G$60,4),"enter input",IF(LEFT(P$6,4)&gt;LEFT('RFM input'!$Q$60,4),0,IF(P$6=(OFFSET('RFM input'!$G$60,0,'RFM input'!$V$7)),OFFSET('RFM input'!$G$411,$A2444,0),0)))</f>
        <v>0</v>
      </c>
      <c r="Q2446" s="1417">
        <f ca="1">IF(LEFT(Q$6,4)&lt;=LEFT('RFM input'!$G$60,4),"enter input",IF(LEFT(Q$6,4)&gt;LEFT('RFM input'!$Q$60,4),0,IF(Q$6=(OFFSET('RFM input'!$G$60,0,'RFM input'!$V$7)),OFFSET('RFM input'!$G$411,$A2444,0),0)))</f>
        <v>0</v>
      </c>
      <c r="R2446" s="1417">
        <f ca="1">IF(LEFT(R$6,4)&lt;=LEFT('RFM input'!$G$60,4),"enter input",IF(LEFT(R$6,4)&gt;LEFT('RFM input'!$Q$60,4),0,IF(R$6=(OFFSET('RFM input'!$G$60,0,'RFM input'!$V$7)),OFFSET('RFM input'!$G$411,$A2444,0),0)))</f>
        <v>0</v>
      </c>
      <c r="S2446" s="1417">
        <f ca="1">IF(LEFT(S$6,4)&lt;=LEFT('RFM input'!$G$60,4),"enter input",IF(LEFT(S$6,4)&gt;LEFT('RFM input'!$Q$60,4),0,IF(S$6=(OFFSET('RFM input'!$G$60,0,'RFM input'!$V$7)),OFFSET('RFM input'!$G$411,$A2444,0),0)))</f>
        <v>0</v>
      </c>
      <c r="T2446" s="1417">
        <f ca="1">IF(LEFT(T$6,4)&lt;=LEFT('RFM input'!$G$60,4),"enter input",IF(LEFT(T$6,4)&gt;LEFT('RFM input'!$Q$60,4),0,IF(T$6=(OFFSET('RFM input'!$G$60,0,'RFM input'!$V$7)),OFFSET('RFM input'!$G$411,$A2444,0),0)))</f>
        <v>0</v>
      </c>
      <c r="U2446" s="1417">
        <f ca="1">IF(LEFT(U$6,4)&lt;=LEFT('RFM input'!$G$60,4),"enter input",IF(LEFT(U$6,4)&gt;LEFT('RFM input'!$Q$60,4),0,IF(U$6=(OFFSET('RFM input'!$G$60,0,'RFM input'!$V$7)),OFFSET('RFM input'!$G$411,$A2444,0),0)))</f>
        <v>0</v>
      </c>
      <c r="V2446" s="1417">
        <f ca="1">IF(LEFT(V$6,4)&lt;=LEFT('RFM input'!$G$60,4),"enter input",IF(LEFT(V$6,4)&gt;LEFT('RFM input'!$Q$60,4),0,IF(V$6=(OFFSET('RFM input'!$G$60,0,'RFM input'!$V$7)),OFFSET('RFM input'!$G$411,$A2444,0),0)))</f>
        <v>0</v>
      </c>
      <c r="W2446" s="1417">
        <f ca="1">IF(LEFT(W$6,4)&lt;=LEFT('RFM input'!$G$60,4),"enter input",IF(LEFT(W$6,4)&gt;LEFT('RFM input'!$Q$60,4),0,IF(W$6=(OFFSET('RFM input'!$G$60,0,'RFM input'!$V$7)),OFFSET('RFM input'!$G$411,$A2444,0),0)))</f>
        <v>0</v>
      </c>
      <c r="X2446" s="152"/>
      <c r="Y2446" s="152"/>
      <c r="Z2446" s="152"/>
      <c r="AA2446" s="152"/>
      <c r="AB2446" s="152"/>
    </row>
    <row r="2447" spans="1:28">
      <c r="A2447" s="152"/>
      <c r="B2447" s="195" t="s">
        <v>197</v>
      </c>
      <c r="C2447" s="1419"/>
      <c r="D2447" s="1418">
        <f ca="1">IF(LEFT(D$6,4)&lt;=LEFT('RFM input'!$G$60,4),"enter input",IF(LEFT(D$6,4)&gt;LEFT('RFM input'!$Q$60,4),0,IF(D$6=(OFFSET('RFM input'!$G$60,0,'RFM input'!$V$7)),OFFSET('RFM input'!$I$411,$A2444,0),0)))</f>
        <v>0</v>
      </c>
      <c r="E2447" s="1422">
        <f ca="1">IF(LEFT(E$6,4)&lt;=LEFT('RFM input'!$G$60,4),"enter input",IF(LEFT(E$6,4)&gt;LEFT('RFM input'!$Q$60,4),0,IF(E$6=(OFFSET('RFM input'!$G$60,0,'RFM input'!$V$7)),OFFSET('RFM input'!$I$411,$A2444,0),0)))</f>
        <v>0</v>
      </c>
      <c r="F2447" s="1422">
        <f ca="1">IF(LEFT(F$6,4)&lt;=LEFT('RFM input'!$G$60,4),"enter input",IF(LEFT(F$6,4)&gt;LEFT('RFM input'!$Q$60,4),0,IF(F$6=(OFFSET('RFM input'!$G$60,0,'RFM input'!$V$7)),OFFSET('RFM input'!$I$411,$A2444,0),0)))</f>
        <v>0</v>
      </c>
      <c r="G2447" s="1422">
        <f ca="1">IF(LEFT(G$6,4)&lt;=LEFT('RFM input'!$G$60,4),"enter input",IF(LEFT(G$6,4)&gt;LEFT('RFM input'!$Q$60,4),0,IF(G$6=(OFFSET('RFM input'!$G$60,0,'RFM input'!$V$7)),OFFSET('RFM input'!$I$411,$A2444,0),0)))</f>
        <v>0</v>
      </c>
      <c r="H2447" s="1422">
        <f ca="1">IF(LEFT(H$6,4)&lt;=LEFT('RFM input'!$G$60,4),"enter input",IF(LEFT(H$6,4)&gt;LEFT('RFM input'!$Q$60,4),0,IF(H$6=(OFFSET('RFM input'!$G$60,0,'RFM input'!$V$7)),OFFSET('RFM input'!$I$411,$A2444,0),0)))</f>
        <v>0</v>
      </c>
      <c r="I2447" s="1422">
        <f ca="1">IF(LEFT(I$6,4)&lt;=LEFT('RFM input'!$G$60,4),"enter input",IF(LEFT(I$6,4)&gt;LEFT('RFM input'!$Q$60,4),0,IF(I$6=(OFFSET('RFM input'!$G$60,0,'RFM input'!$V$7)),OFFSET('RFM input'!$I$411,$A2444,0),0)))</f>
        <v>0</v>
      </c>
      <c r="J2447" s="1422">
        <f ca="1">IF(LEFT(J$6,4)&lt;=LEFT('RFM input'!$G$60,4),"enter input",IF(LEFT(J$6,4)&gt;LEFT('RFM input'!$Q$60,4),0,IF(J$6=(OFFSET('RFM input'!$G$60,0,'RFM input'!$V$7)),OFFSET('RFM input'!$I$411,$A2444,0),0)))</f>
        <v>0</v>
      </c>
      <c r="K2447" s="1422">
        <f ca="1">IF(LEFT(K$6,4)&lt;=LEFT('RFM input'!$G$60,4),"enter input",IF(LEFT(K$6,4)&gt;LEFT('RFM input'!$Q$60,4),0,IF(K$6=(OFFSET('RFM input'!$G$60,0,'RFM input'!$V$7)),OFFSET('RFM input'!$I$411,$A2444,0),0)))</f>
        <v>0</v>
      </c>
      <c r="L2447" s="1422">
        <f ca="1">IF(LEFT(L$6,4)&lt;=LEFT('RFM input'!$G$60,4),"enter input",IF(LEFT(L$6,4)&gt;LEFT('RFM input'!$Q$60,4),0,IF(L$6=(OFFSET('RFM input'!$G$60,0,'RFM input'!$V$7)),OFFSET('RFM input'!$I$411,$A2444,0),0)))</f>
        <v>0</v>
      </c>
      <c r="M2447" s="1422">
        <f ca="1">IF(LEFT(M$6,4)&lt;=LEFT('RFM input'!$G$60,4),"enter input",IF(LEFT(M$6,4)&gt;LEFT('RFM input'!$Q$60,4),0,IF(M$6=(OFFSET('RFM input'!$G$60,0,'RFM input'!$V$7)),OFFSET('RFM input'!$I$411,$A2444,0),0)))</f>
        <v>0</v>
      </c>
      <c r="N2447" s="1422">
        <f ca="1">IF(LEFT(N$6,4)&lt;=LEFT('RFM input'!$G$60,4),"enter input",IF(LEFT(N$6,4)&gt;LEFT('RFM input'!$Q$60,4),0,IF(N$6=(OFFSET('RFM input'!$G$60,0,'RFM input'!$V$7)),OFFSET('RFM input'!$I$411,$A2444,0),0)))</f>
        <v>0</v>
      </c>
      <c r="O2447" s="1422">
        <f ca="1">IF(LEFT(O$6,4)&lt;=LEFT('RFM input'!$G$60,4),"enter input",IF(LEFT(O$6,4)&gt;LEFT('RFM input'!$Q$60,4),0,IF(O$6=(OFFSET('RFM input'!$G$60,0,'RFM input'!$V$7)),OFFSET('RFM input'!$I$411,$A2444,0),0)))</f>
        <v>0</v>
      </c>
      <c r="P2447" s="1422">
        <f ca="1">IF(LEFT(P$6,4)&lt;=LEFT('RFM input'!$G$60,4),"enter input",IF(LEFT(P$6,4)&gt;LEFT('RFM input'!$Q$60,4),0,IF(P$6=(OFFSET('RFM input'!$G$60,0,'RFM input'!$V$7)),OFFSET('RFM input'!$I$411,$A2444,0),0)))</f>
        <v>0</v>
      </c>
      <c r="Q2447" s="1422">
        <f ca="1">IF(LEFT(Q$6,4)&lt;=LEFT('RFM input'!$G$60,4),"enter input",IF(LEFT(Q$6,4)&gt;LEFT('RFM input'!$Q$60,4),0,IF(Q$6=(OFFSET('RFM input'!$G$60,0,'RFM input'!$V$7)),OFFSET('RFM input'!$I$411,$A2444,0),0)))</f>
        <v>0</v>
      </c>
      <c r="R2447" s="1422">
        <f ca="1">IF(LEFT(R$6,4)&lt;=LEFT('RFM input'!$G$60,4),"enter input",IF(LEFT(R$6,4)&gt;LEFT('RFM input'!$Q$60,4),0,IF(R$6=(OFFSET('RFM input'!$G$60,0,'RFM input'!$V$7)),OFFSET('RFM input'!$I$411,$A2444,0),0)))</f>
        <v>0</v>
      </c>
      <c r="S2447" s="1422">
        <f ca="1">IF(LEFT(S$6,4)&lt;=LEFT('RFM input'!$G$60,4),"enter input",IF(LEFT(S$6,4)&gt;LEFT('RFM input'!$Q$60,4),0,IF(S$6=(OFFSET('RFM input'!$G$60,0,'RFM input'!$V$7)),OFFSET('RFM input'!$I$411,$A2444,0),0)))</f>
        <v>0</v>
      </c>
      <c r="T2447" s="1422">
        <f ca="1">IF(LEFT(T$6,4)&lt;=LEFT('RFM input'!$G$60,4),"enter input",IF(LEFT(T$6,4)&gt;LEFT('RFM input'!$Q$60,4),0,IF(T$6=(OFFSET('RFM input'!$G$60,0,'RFM input'!$V$7)),OFFSET('RFM input'!$I$411,$A2444,0),0)))</f>
        <v>0</v>
      </c>
      <c r="U2447" s="1422">
        <f ca="1">IF(LEFT(U$6,4)&lt;=LEFT('RFM input'!$G$60,4),"enter input",IF(LEFT(U$6,4)&gt;LEFT('RFM input'!$Q$60,4),0,IF(U$6=(OFFSET('RFM input'!$G$60,0,'RFM input'!$V$7)),OFFSET('RFM input'!$I$411,$A2444,0),0)))</f>
        <v>0</v>
      </c>
      <c r="V2447" s="1422">
        <f ca="1">IF(LEFT(V$6,4)&lt;=LEFT('RFM input'!$G$60,4),"enter input",IF(LEFT(V$6,4)&gt;LEFT('RFM input'!$Q$60,4),0,IF(V$6=(OFFSET('RFM input'!$G$60,0,'RFM input'!$V$7)),OFFSET('RFM input'!$I$411,$A2444,0),0)))</f>
        <v>0</v>
      </c>
      <c r="W2447" s="1422">
        <f ca="1">IF(LEFT(W$6,4)&lt;=LEFT('RFM input'!$G$60,4),"enter input",IF(LEFT(W$6,4)&gt;LEFT('RFM input'!$Q$60,4),0,IF(W$6=(OFFSET('RFM input'!$G$60,0,'RFM input'!$V$7)),OFFSET('RFM input'!$I$411,$A2444,0),0)))</f>
        <v>0</v>
      </c>
      <c r="X2447" s="152"/>
      <c r="Y2447" s="152"/>
      <c r="Z2447" s="152"/>
      <c r="AA2447" s="152"/>
      <c r="AB2447" s="152"/>
    </row>
    <row r="2448" spans="1:28" hidden="1" outlineLevel="1">
      <c r="A2448" s="235">
        <v>-1</v>
      </c>
      <c r="B2448" s="190" t="s">
        <v>189</v>
      </c>
      <c r="C2448" s="1423"/>
      <c r="D2448" s="1423">
        <f ca="1">IF(AND(D2446=0,C2448=0),0,
IF(AND(D2446&lt;&gt;0,C2448=0),(D2446/D$10),
IF(AND(D2447&lt;&gt;0,C2448&lt;&gt;0),(C2448-(C2448/C2472))+(D2446/D$10),
IF(C2472&lt;1,0,(C2448-(C2448/C2472))))))</f>
        <v>0</v>
      </c>
      <c r="E2448" s="1423">
        <f t="shared" ref="E2448" ca="1" si="3610">IF(AND(E2446=0,D2448=0),0,
IF(AND(E2446&lt;&gt;0,D2448=0),(E2446/E$10),
IF(AND(E2447&lt;&gt;0,D2448&lt;&gt;0),(D2448-(D2448/D2472))+(E2446/E$10),
IF(D2472&lt;1,0,(D2448-(D2448/D2472))))))</f>
        <v>0</v>
      </c>
      <c r="F2448" s="1423">
        <f t="shared" ref="F2448" ca="1" si="3611">IF(AND(F2446=0,E2448=0),0,
IF(AND(F2446&lt;&gt;0,E2448=0),(F2446/F$10),
IF(AND(F2447&lt;&gt;0,E2448&lt;&gt;0),(E2448-(E2448/E2472))+(F2446/F$10),
IF(E2472&lt;1,0,(E2448-(E2448/E2472))))))</f>
        <v>0</v>
      </c>
      <c r="G2448" s="1423">
        <f t="shared" ref="G2448" ca="1" si="3612">IF(AND(G2446=0,F2448=0),0,
IF(AND(G2446&lt;&gt;0,F2448=0),(G2446/G$10),
IF(AND(G2447&lt;&gt;0,F2448&lt;&gt;0),(F2448-(F2448/F2472))+(G2446/G$10),
IF(F2472&lt;1,0,(F2448-(F2448/F2472))))))</f>
        <v>0</v>
      </c>
      <c r="H2448" s="1423">
        <f t="shared" ref="H2448" ca="1" si="3613">IF(AND(H2446=0,G2448=0),0,
IF(AND(H2446&lt;&gt;0,G2448=0),(H2446/H$10),
IF(AND(H2447&lt;&gt;0,G2448&lt;&gt;0),(G2448-(G2448/G2472))+(H2446/H$10),
IF(G2472&lt;1,0,(G2448-(G2448/G2472))))))</f>
        <v>0</v>
      </c>
      <c r="I2448" s="1423">
        <f t="shared" ref="I2448" ca="1" si="3614">IF(AND(I2446=0,H2448=0),0,
IF(AND(I2446&lt;&gt;0,H2448=0),(I2446/I$10),
IF(AND(I2447&lt;&gt;0,H2448&lt;&gt;0),(H2448-(H2448/H2472))+(I2446/I$10),
IF(H2472&lt;1,0,(H2448-(H2448/H2472))))))</f>
        <v>0</v>
      </c>
      <c r="J2448" s="1423">
        <f t="shared" ref="J2448" ca="1" si="3615">IF(AND(J2446=0,I2448=0),0,
IF(AND(J2446&lt;&gt;0,I2448=0),(J2446/J$10),
IF(AND(J2447&lt;&gt;0,I2448&lt;&gt;0),(I2448-(I2448/I2472))+(J2446/J$10),
IF(I2472&lt;1,0,(I2448-(I2448/I2472))))))</f>
        <v>0</v>
      </c>
      <c r="K2448" s="1423">
        <f t="shared" ref="K2448" ca="1" si="3616">IF(AND(K2446=0,J2448=0),0,
IF(AND(K2446&lt;&gt;0,J2448=0),(K2446/K$10),
IF(AND(K2447&lt;&gt;0,J2448&lt;&gt;0),(J2448-(J2448/J2472))+(K2446/K$10),
IF(J2472&lt;1,0,(J2448-(J2448/J2472))))))</f>
        <v>0</v>
      </c>
      <c r="L2448" s="1423">
        <f t="shared" ref="L2448" ca="1" si="3617">IF(AND(L2446=0,K2448=0),0,
IF(AND(L2446&lt;&gt;0,K2448=0),(L2446/L$10),
IF(AND(L2447&lt;&gt;0,K2448&lt;&gt;0),(K2448-(K2448/K2472))+(L2446/L$10),
IF(K2472&lt;1,0,(K2448-(K2448/K2472))))))</f>
        <v>0</v>
      </c>
      <c r="M2448" s="1423">
        <f t="shared" ref="M2448" ca="1" si="3618">IF(AND(M2446=0,L2448=0),0,
IF(AND(M2446&lt;&gt;0,L2448=0),(M2446/M$10),
IF(AND(M2447&lt;&gt;0,L2448&lt;&gt;0),(L2448-(L2448/L2472))+(M2446/M$10),
IF(L2472&lt;1,0,(L2448-(L2448/L2472))))))</f>
        <v>0</v>
      </c>
      <c r="N2448" s="1423">
        <f t="shared" ref="N2448" ca="1" si="3619">IF(AND(N2446=0,M2448=0),0,
IF(AND(N2446&lt;&gt;0,M2448=0),(N2446/N$10),
IF(AND(N2447&lt;&gt;0,M2448&lt;&gt;0),(M2448-(M2448/M2472))+(N2446/N$10),
IF(M2472&lt;1,0,(M2448-(M2448/M2472))))))</f>
        <v>0</v>
      </c>
      <c r="O2448" s="1423">
        <f t="shared" ref="O2448" ca="1" si="3620">IF(AND(O2446=0,N2448=0),0,
IF(AND(O2446&lt;&gt;0,N2448=0),(O2446/O$10),
IF(AND(O2447&lt;&gt;0,N2448&lt;&gt;0),(N2448-(N2448/N2472))+(O2446/O$10),
IF(N2472&lt;1,0,(N2448-(N2448/N2472))))))</f>
        <v>0</v>
      </c>
      <c r="P2448" s="1423">
        <f t="shared" ref="P2448" ca="1" si="3621">IF(AND(P2446=0,O2448=0),0,
IF(AND(P2446&lt;&gt;0,O2448=0),(P2446/P$10),
IF(AND(P2447&lt;&gt;0,O2448&lt;&gt;0),(O2448-(O2448/O2472))+(P2446/P$10),
IF(O2472&lt;1,0,(O2448-(O2448/O2472))))))</f>
        <v>0</v>
      </c>
      <c r="Q2448" s="1423">
        <f t="shared" ref="Q2448" ca="1" si="3622">IF(AND(Q2446=0,P2448=0),0,
IF(AND(Q2446&lt;&gt;0,P2448=0),(Q2446/Q$10),
IF(AND(Q2447&lt;&gt;0,P2448&lt;&gt;0),(P2448-(P2448/P2472))+(Q2446/Q$10),
IF(P2472&lt;1,0,(P2448-(P2448/P2472))))))</f>
        <v>0</v>
      </c>
      <c r="R2448" s="1423">
        <f t="shared" ref="R2448" ca="1" si="3623">IF(AND(R2446=0,Q2448=0),0,
IF(AND(R2446&lt;&gt;0,Q2448=0),(R2446/R$10),
IF(AND(R2447&lt;&gt;0,Q2448&lt;&gt;0),(Q2448-(Q2448/Q2472))+(R2446/R$10),
IF(Q2472&lt;1,0,(Q2448-(Q2448/Q2472))))))</f>
        <v>0</v>
      </c>
      <c r="S2448" s="1423">
        <f t="shared" ref="S2448" ca="1" si="3624">IF(AND(S2446=0,R2448=0),0,
IF(AND(S2446&lt;&gt;0,R2448=0),(S2446/S$10),
IF(AND(S2447&lt;&gt;0,R2448&lt;&gt;0),(R2448-(R2448/R2472))+(S2446/S$10),
IF(R2472&lt;1,0,(R2448-(R2448/R2472))))))</f>
        <v>0</v>
      </c>
      <c r="T2448" s="1423">
        <f t="shared" ref="T2448" ca="1" si="3625">IF(AND(T2446=0,S2448=0),0,
IF(AND(T2446&lt;&gt;0,S2448=0),(T2446/T$10),
IF(AND(T2447&lt;&gt;0,S2448&lt;&gt;0),(S2448-(S2448/S2472))+(T2446/T$10),
IF(S2472&lt;1,0,(S2448-(S2448/S2472))))))</f>
        <v>0</v>
      </c>
      <c r="U2448" s="1423">
        <f t="shared" ref="U2448" ca="1" si="3626">IF(AND(U2446=0,T2448=0),0,
IF(AND(U2446&lt;&gt;0,T2448=0),(U2446/U$10),
IF(AND(U2447&lt;&gt;0,T2448&lt;&gt;0),(T2448-(T2448/T2472))+(U2446/U$10),
IF(T2472&lt;1,0,(T2448-(T2448/T2472))))))</f>
        <v>0</v>
      </c>
      <c r="V2448" s="1423">
        <f t="shared" ref="V2448" ca="1" si="3627">IF(AND(V2446=0,U2448=0),0,
IF(AND(V2446&lt;&gt;0,U2448=0),(V2446/V$10),
IF(AND(V2447&lt;&gt;0,U2448&lt;&gt;0),(U2448-(U2448/U2472))+(V2446/V$10),
IF(U2472&lt;1,0,(U2448-(U2448/U2472))))))</f>
        <v>0</v>
      </c>
      <c r="W2448" s="1423">
        <f t="shared" ref="W2448" ca="1" si="3628">IF(AND(W2446=0,V2448=0),0,
IF(AND(W2446&lt;&gt;0,V2448=0),(W2446/W$10),
IF(AND(W2447&lt;&gt;0,V2448&lt;&gt;0),(V2448-(V2448/V2472))+(W2446/W$10),
IF(V2472&lt;1,0,(V2448-(V2448/V2472))))))</f>
        <v>0</v>
      </c>
      <c r="X2448" s="152"/>
      <c r="Y2448" s="152"/>
      <c r="Z2448" s="152"/>
      <c r="AA2448" s="152"/>
      <c r="AB2448" s="152"/>
    </row>
    <row r="2449" spans="1:28" hidden="1" outlineLevel="1">
      <c r="A2449" s="199">
        <f>A2448+1</f>
        <v>0</v>
      </c>
      <c r="B2449" s="190" t="s">
        <v>125</v>
      </c>
      <c r="C2449" s="1423">
        <f ca="1">C2444/C$10</f>
        <v>0</v>
      </c>
      <c r="D2449" s="1423">
        <f ca="1">IF(C2473="n/a",C2449,IFERROR(IF((OFFSET($C2449,0,$A2449))&lt;0,
MIN(0,C2449-(OFFSET($C2449,0,$A2449)/(OFFSET($C2444,-$A2448,$A2449)))),
MAX(0,C2449-(OFFSET($C2449,0,$A2449)/(OFFSET($C2444,-$A2448,$A2449))))),0))</f>
        <v>0</v>
      </c>
      <c r="E2449" s="1423">
        <f t="shared" ref="E2449" ca="1" si="3629">IF(D2473="n/a",D2449,IFERROR(IF((OFFSET($C2449,0,$A2449))&lt;0,
MIN(0,D2449-(OFFSET($C2449,0,$A2449)/(OFFSET($C2444,-$A2448,$A2449)))),
MAX(0,D2449-(OFFSET($C2449,0,$A2449)/(OFFSET($C2444,-$A2448,$A2449))))),0))</f>
        <v>0</v>
      </c>
      <c r="F2449" s="1423">
        <f t="shared" ref="F2449:F2450" ca="1" si="3630">IF(E2473="n/a",E2449,IFERROR(IF((OFFSET($C2449,0,$A2449))&lt;0,
MIN(0,E2449-(OFFSET($C2449,0,$A2449)/(OFFSET($C2444,-$A2448,$A2449)))),
MAX(0,E2449-(OFFSET($C2449,0,$A2449)/(OFFSET($C2444,-$A2448,$A2449))))),0))</f>
        <v>0</v>
      </c>
      <c r="G2449" s="1423">
        <f t="shared" ref="G2449:G2451" ca="1" si="3631">IF(F2473="n/a",F2449,IFERROR(IF((OFFSET($C2449,0,$A2449))&lt;0,
MIN(0,F2449-(OFFSET($C2449,0,$A2449)/(OFFSET($C2444,-$A2448,$A2449)))),
MAX(0,F2449-(OFFSET($C2449,0,$A2449)/(OFFSET($C2444,-$A2448,$A2449))))),0))</f>
        <v>0</v>
      </c>
      <c r="H2449" s="1423">
        <f t="shared" ref="H2449:H2452" ca="1" si="3632">IF(G2473="n/a",G2449,IFERROR(IF((OFFSET($C2449,0,$A2449))&lt;0,
MIN(0,G2449-(OFFSET($C2449,0,$A2449)/(OFFSET($C2444,-$A2448,$A2449)))),
MAX(0,G2449-(OFFSET($C2449,0,$A2449)/(OFFSET($C2444,-$A2448,$A2449))))),0))</f>
        <v>0</v>
      </c>
      <c r="I2449" s="1423">
        <f t="shared" ref="I2449:I2453" ca="1" si="3633">IF(H2473="n/a",H2449,IFERROR(IF((OFFSET($C2449,0,$A2449))&lt;0,
MIN(0,H2449-(OFFSET($C2449,0,$A2449)/(OFFSET($C2444,-$A2448,$A2449)))),
MAX(0,H2449-(OFFSET($C2449,0,$A2449)/(OFFSET($C2444,-$A2448,$A2449))))),0))</f>
        <v>0</v>
      </c>
      <c r="J2449" s="1423">
        <f t="shared" ref="J2449:J2454" ca="1" si="3634">IF(I2473="n/a",I2449,IFERROR(IF((OFFSET($C2449,0,$A2449))&lt;0,
MIN(0,I2449-(OFFSET($C2449,0,$A2449)/(OFFSET($C2444,-$A2448,$A2449)))),
MAX(0,I2449-(OFFSET($C2449,0,$A2449)/(OFFSET($C2444,-$A2448,$A2449))))),0))</f>
        <v>0</v>
      </c>
      <c r="K2449" s="1423">
        <f t="shared" ref="K2449:K2455" ca="1" si="3635">IF(J2473="n/a",J2449,IFERROR(IF((OFFSET($C2449,0,$A2449))&lt;0,
MIN(0,J2449-(OFFSET($C2449,0,$A2449)/(OFFSET($C2444,-$A2448,$A2449)))),
MAX(0,J2449-(OFFSET($C2449,0,$A2449)/(OFFSET($C2444,-$A2448,$A2449))))),0))</f>
        <v>0</v>
      </c>
      <c r="L2449" s="1423">
        <f t="shared" ref="L2449:L2456" ca="1" si="3636">IF(K2473="n/a",K2449,IFERROR(IF((OFFSET($C2449,0,$A2449))&lt;0,
MIN(0,K2449-(OFFSET($C2449,0,$A2449)/(OFFSET($C2444,-$A2448,$A2449)))),
MAX(0,K2449-(OFFSET($C2449,0,$A2449)/(OFFSET($C2444,-$A2448,$A2449))))),0))</f>
        <v>0</v>
      </c>
      <c r="M2449" s="1423">
        <f t="shared" ref="M2449:M2457" ca="1" si="3637">IF(L2473="n/a",L2449,IFERROR(IF((OFFSET($C2449,0,$A2449))&lt;0,
MIN(0,L2449-(OFFSET($C2449,0,$A2449)/(OFFSET($C2444,-$A2448,$A2449)))),
MAX(0,L2449-(OFFSET($C2449,0,$A2449)/(OFFSET($C2444,-$A2448,$A2449))))),0))</f>
        <v>0</v>
      </c>
      <c r="N2449" s="1423">
        <f t="shared" ref="N2449:N2458" ca="1" si="3638">IF(M2473="n/a",M2449,IFERROR(IF((OFFSET($C2449,0,$A2449))&lt;0,
MIN(0,M2449-(OFFSET($C2449,0,$A2449)/(OFFSET($C2444,-$A2448,$A2449)))),
MAX(0,M2449-(OFFSET($C2449,0,$A2449)/(OFFSET($C2444,-$A2448,$A2449))))),0))</f>
        <v>0</v>
      </c>
      <c r="O2449" s="1423">
        <f t="shared" ref="O2449:O2459" ca="1" si="3639">IF(N2473="n/a",N2449,IFERROR(IF((OFFSET($C2449,0,$A2449))&lt;0,
MIN(0,N2449-(OFFSET($C2449,0,$A2449)/(OFFSET($C2444,-$A2448,$A2449)))),
MAX(0,N2449-(OFFSET($C2449,0,$A2449)/(OFFSET($C2444,-$A2448,$A2449))))),0))</f>
        <v>0</v>
      </c>
      <c r="P2449" s="1423">
        <f t="shared" ref="P2449:P2460" ca="1" si="3640">IF(O2473="n/a",O2449,IFERROR(IF((OFFSET($C2449,0,$A2449))&lt;0,
MIN(0,O2449-(OFFSET($C2449,0,$A2449)/(OFFSET($C2444,-$A2448,$A2449)))),
MAX(0,O2449-(OFFSET($C2449,0,$A2449)/(OFFSET($C2444,-$A2448,$A2449))))),0))</f>
        <v>0</v>
      </c>
      <c r="Q2449" s="1423">
        <f t="shared" ref="Q2449:Q2461" ca="1" si="3641">IF(P2473="n/a",P2449,IFERROR(IF((OFFSET($C2449,0,$A2449))&lt;0,
MIN(0,P2449-(OFFSET($C2449,0,$A2449)/(OFFSET($C2444,-$A2448,$A2449)))),
MAX(0,P2449-(OFFSET($C2449,0,$A2449)/(OFFSET($C2444,-$A2448,$A2449))))),0))</f>
        <v>0</v>
      </c>
      <c r="R2449" s="1423">
        <f t="shared" ref="R2449:R2462" ca="1" si="3642">IF(Q2473="n/a",Q2449,IFERROR(IF((OFFSET($C2449,0,$A2449))&lt;0,
MIN(0,Q2449-(OFFSET($C2449,0,$A2449)/(OFFSET($C2444,-$A2448,$A2449)))),
MAX(0,Q2449-(OFFSET($C2449,0,$A2449)/(OFFSET($C2444,-$A2448,$A2449))))),0))</f>
        <v>0</v>
      </c>
      <c r="S2449" s="1423">
        <f t="shared" ref="S2449:S2463" ca="1" si="3643">IF(R2473="n/a",R2449,IFERROR(IF((OFFSET($C2449,0,$A2449))&lt;0,
MIN(0,R2449-(OFFSET($C2449,0,$A2449)/(OFFSET($C2444,-$A2448,$A2449)))),
MAX(0,R2449-(OFFSET($C2449,0,$A2449)/(OFFSET($C2444,-$A2448,$A2449))))),0))</f>
        <v>0</v>
      </c>
      <c r="T2449" s="1423">
        <f t="shared" ref="T2449:T2464" ca="1" si="3644">IF(S2473="n/a",S2449,IFERROR(IF((OFFSET($C2449,0,$A2449))&lt;0,
MIN(0,S2449-(OFFSET($C2449,0,$A2449)/(OFFSET($C2444,-$A2448,$A2449)))),
MAX(0,S2449-(OFFSET($C2449,0,$A2449)/(OFFSET($C2444,-$A2448,$A2449))))),0))</f>
        <v>0</v>
      </c>
      <c r="U2449" s="1423">
        <f t="shared" ref="U2449:U2465" ca="1" si="3645">IF(T2473="n/a",T2449,IFERROR(IF((OFFSET($C2449,0,$A2449))&lt;0,
MIN(0,T2449-(OFFSET($C2449,0,$A2449)/(OFFSET($C2444,-$A2448,$A2449)))),
MAX(0,T2449-(OFFSET($C2449,0,$A2449)/(OFFSET($C2444,-$A2448,$A2449))))),0))</f>
        <v>0</v>
      </c>
      <c r="V2449" s="1423">
        <f t="shared" ref="V2449:V2466" ca="1" si="3646">IF(U2473="n/a",U2449,IFERROR(IF((OFFSET($C2449,0,$A2449))&lt;0,
MIN(0,U2449-(OFFSET($C2449,0,$A2449)/(OFFSET($C2444,-$A2448,$A2449)))),
MAX(0,U2449-(OFFSET($C2449,0,$A2449)/(OFFSET($C2444,-$A2448,$A2449))))),0))</f>
        <v>0</v>
      </c>
      <c r="W2449" s="1423">
        <f t="shared" ref="W2449:W2467" ca="1" si="3647">IF(V2473="n/a",V2449,IFERROR(IF((OFFSET($C2449,0,$A2449))&lt;0,
MIN(0,V2449-(OFFSET($C2449,0,$A2449)/(OFFSET($C2444,-$A2448,$A2449)))),
MAX(0,V2449-(OFFSET($C2449,0,$A2449)/(OFFSET($C2444,-$A2448,$A2449))))),0))</f>
        <v>0</v>
      </c>
      <c r="X2449" s="152"/>
      <c r="Y2449" s="152"/>
      <c r="Z2449" s="152"/>
      <c r="AA2449" s="152"/>
      <c r="AB2449" s="152"/>
    </row>
    <row r="2450" spans="1:28" hidden="1" outlineLevel="1">
      <c r="A2450" s="199">
        <f t="shared" ref="A2450:A2469" si="3648">A2449+1</f>
        <v>1</v>
      </c>
      <c r="B2450" s="190" t="str">
        <f t="shared" ref="B2450:B2468" ca="1" si="3649">"Depreciated Net Capex "&amp;OFFSET($C$6,0,A2450)</f>
        <v>Depreciated Net Capex 2016-17</v>
      </c>
      <c r="C2450" s="1424"/>
      <c r="D2450" s="1425">
        <f>(D2444*((1+D$11)^0.5)/D$10)</f>
        <v>0</v>
      </c>
      <c r="E2450" s="1423">
        <f ca="1">IF(D2474="n/a",D2450,IFERROR(IF((OFFSET($C2450,0,$A2450))&lt;0,
MIN(0,D2450-(OFFSET($C2450,0,$A2450)/(OFFSET($C2445,-$A2449,$A2450)))),
MAX(0,D2450-(OFFSET($C2450,0,$A2450)/(OFFSET($C2445,-$A2449,$A2450))))),0))</f>
        <v>0</v>
      </c>
      <c r="F2450" s="1423">
        <f t="shared" ca="1" si="3630"/>
        <v>0</v>
      </c>
      <c r="G2450" s="1423">
        <f t="shared" ca="1" si="3631"/>
        <v>0</v>
      </c>
      <c r="H2450" s="1423">
        <f t="shared" ca="1" si="3632"/>
        <v>0</v>
      </c>
      <c r="I2450" s="1423">
        <f t="shared" ca="1" si="3633"/>
        <v>0</v>
      </c>
      <c r="J2450" s="1423">
        <f t="shared" ca="1" si="3634"/>
        <v>0</v>
      </c>
      <c r="K2450" s="1423">
        <f t="shared" ca="1" si="3635"/>
        <v>0</v>
      </c>
      <c r="L2450" s="1423">
        <f t="shared" ca="1" si="3636"/>
        <v>0</v>
      </c>
      <c r="M2450" s="1423">
        <f t="shared" ca="1" si="3637"/>
        <v>0</v>
      </c>
      <c r="N2450" s="1423">
        <f t="shared" ca="1" si="3638"/>
        <v>0</v>
      </c>
      <c r="O2450" s="1423">
        <f t="shared" ca="1" si="3639"/>
        <v>0</v>
      </c>
      <c r="P2450" s="1423">
        <f t="shared" ca="1" si="3640"/>
        <v>0</v>
      </c>
      <c r="Q2450" s="1423">
        <f t="shared" ca="1" si="3641"/>
        <v>0</v>
      </c>
      <c r="R2450" s="1423">
        <f t="shared" ca="1" si="3642"/>
        <v>0</v>
      </c>
      <c r="S2450" s="1423">
        <f t="shared" ca="1" si="3643"/>
        <v>0</v>
      </c>
      <c r="T2450" s="1423">
        <f t="shared" ca="1" si="3644"/>
        <v>0</v>
      </c>
      <c r="U2450" s="1423">
        <f t="shared" ca="1" si="3645"/>
        <v>0</v>
      </c>
      <c r="V2450" s="1423">
        <f t="shared" ca="1" si="3646"/>
        <v>0</v>
      </c>
      <c r="W2450" s="1423">
        <f t="shared" ca="1" si="3647"/>
        <v>0</v>
      </c>
      <c r="X2450" s="152"/>
      <c r="Y2450" s="152"/>
      <c r="Z2450" s="152"/>
      <c r="AA2450" s="152"/>
      <c r="AB2450" s="152"/>
    </row>
    <row r="2451" spans="1:28" hidden="1" outlineLevel="1">
      <c r="A2451" s="199">
        <f t="shared" si="3648"/>
        <v>2</v>
      </c>
      <c r="B2451" s="190" t="str">
        <f t="shared" ca="1" si="3649"/>
        <v>Depreciated Net Capex 2017-18</v>
      </c>
      <c r="C2451" s="1426"/>
      <c r="D2451" s="1427"/>
      <c r="E2451" s="1425">
        <f>(E2444*((1+E$11)^0.5)/E$10)</f>
        <v>0</v>
      </c>
      <c r="F2451" s="1423">
        <f ca="1">IF(E2475="n/a",E2451,IFERROR(IF((OFFSET($C2451,0,$A2451))&lt;0,
MIN(0,E2451-(OFFSET($C2451,0,$A2451)/(OFFSET($C2446,-$A2450,$A2451)))),
MAX(0,E2451-(OFFSET($C2451,0,$A2451)/(OFFSET($C2446,-$A2450,$A2451))))),0))</f>
        <v>0</v>
      </c>
      <c r="G2451" s="1423">
        <f t="shared" ca="1" si="3631"/>
        <v>0</v>
      </c>
      <c r="H2451" s="1423">
        <f t="shared" ca="1" si="3632"/>
        <v>0</v>
      </c>
      <c r="I2451" s="1423">
        <f t="shared" ca="1" si="3633"/>
        <v>0</v>
      </c>
      <c r="J2451" s="1423">
        <f t="shared" ca="1" si="3634"/>
        <v>0</v>
      </c>
      <c r="K2451" s="1423">
        <f t="shared" ca="1" si="3635"/>
        <v>0</v>
      </c>
      <c r="L2451" s="1423">
        <f t="shared" ca="1" si="3636"/>
        <v>0</v>
      </c>
      <c r="M2451" s="1423">
        <f t="shared" ca="1" si="3637"/>
        <v>0</v>
      </c>
      <c r="N2451" s="1423">
        <f t="shared" ca="1" si="3638"/>
        <v>0</v>
      </c>
      <c r="O2451" s="1423">
        <f t="shared" ca="1" si="3639"/>
        <v>0</v>
      </c>
      <c r="P2451" s="1423">
        <f t="shared" ca="1" si="3640"/>
        <v>0</v>
      </c>
      <c r="Q2451" s="1423">
        <f t="shared" ca="1" si="3641"/>
        <v>0</v>
      </c>
      <c r="R2451" s="1423">
        <f t="shared" ca="1" si="3642"/>
        <v>0</v>
      </c>
      <c r="S2451" s="1423">
        <f t="shared" ca="1" si="3643"/>
        <v>0</v>
      </c>
      <c r="T2451" s="1423">
        <f t="shared" ca="1" si="3644"/>
        <v>0</v>
      </c>
      <c r="U2451" s="1423">
        <f t="shared" ca="1" si="3645"/>
        <v>0</v>
      </c>
      <c r="V2451" s="1423">
        <f t="shared" ca="1" si="3646"/>
        <v>0</v>
      </c>
      <c r="W2451" s="1423">
        <f t="shared" ca="1" si="3647"/>
        <v>0</v>
      </c>
      <c r="X2451" s="202"/>
      <c r="Y2451" s="152"/>
      <c r="Z2451" s="152"/>
      <c r="AA2451" s="152"/>
      <c r="AB2451" s="152"/>
    </row>
    <row r="2452" spans="1:28" hidden="1" outlineLevel="1">
      <c r="A2452" s="199">
        <f t="shared" si="3648"/>
        <v>3</v>
      </c>
      <c r="B2452" s="190" t="str">
        <f t="shared" ca="1" si="3649"/>
        <v>Depreciated Net Capex 2018-19</v>
      </c>
      <c r="C2452" s="1426"/>
      <c r="D2452" s="1426"/>
      <c r="E2452" s="1427"/>
      <c r="F2452" s="1428">
        <f>($F2444*((1+F$11)^0.5)/F$10)</f>
        <v>0</v>
      </c>
      <c r="G2452" s="1423">
        <f ca="1">IF(F2476="n/a",F2452,IFERROR(IF((OFFSET($C2452,0,$A2452))&lt;0,
MIN(0,F2452-(OFFSET($C2452,0,$A2452)/(OFFSET($C2447,-$A2451,$A2452)))),
MAX(0,F2452-(OFFSET($C2452,0,$A2452)/(OFFSET($C2447,-$A2451,$A2452))))),0))</f>
        <v>0</v>
      </c>
      <c r="H2452" s="1423">
        <f t="shared" ca="1" si="3632"/>
        <v>0</v>
      </c>
      <c r="I2452" s="1423">
        <f t="shared" ca="1" si="3633"/>
        <v>0</v>
      </c>
      <c r="J2452" s="1423">
        <f t="shared" ca="1" si="3634"/>
        <v>0</v>
      </c>
      <c r="K2452" s="1423">
        <f t="shared" ca="1" si="3635"/>
        <v>0</v>
      </c>
      <c r="L2452" s="1423">
        <f t="shared" ca="1" si="3636"/>
        <v>0</v>
      </c>
      <c r="M2452" s="1423">
        <f t="shared" ca="1" si="3637"/>
        <v>0</v>
      </c>
      <c r="N2452" s="1423">
        <f t="shared" ca="1" si="3638"/>
        <v>0</v>
      </c>
      <c r="O2452" s="1423">
        <f t="shared" ca="1" si="3639"/>
        <v>0</v>
      </c>
      <c r="P2452" s="1423">
        <f t="shared" ca="1" si="3640"/>
        <v>0</v>
      </c>
      <c r="Q2452" s="1423">
        <f t="shared" ca="1" si="3641"/>
        <v>0</v>
      </c>
      <c r="R2452" s="1423">
        <f t="shared" ca="1" si="3642"/>
        <v>0</v>
      </c>
      <c r="S2452" s="1423">
        <f t="shared" ca="1" si="3643"/>
        <v>0</v>
      </c>
      <c r="T2452" s="1423">
        <f t="shared" ca="1" si="3644"/>
        <v>0</v>
      </c>
      <c r="U2452" s="1423">
        <f t="shared" ca="1" si="3645"/>
        <v>0</v>
      </c>
      <c r="V2452" s="1423">
        <f t="shared" ca="1" si="3646"/>
        <v>0</v>
      </c>
      <c r="W2452" s="1423">
        <f t="shared" ca="1" si="3647"/>
        <v>0</v>
      </c>
      <c r="X2452" s="202"/>
      <c r="Y2452" s="202"/>
      <c r="Z2452" s="152"/>
      <c r="AA2452" s="152"/>
      <c r="AB2452" s="152"/>
    </row>
    <row r="2453" spans="1:28" hidden="1" outlineLevel="1">
      <c r="A2453" s="199">
        <f t="shared" si="3648"/>
        <v>4</v>
      </c>
      <c r="B2453" s="190" t="str">
        <f t="shared" ca="1" si="3649"/>
        <v>Depreciated Net Capex 2019-20</v>
      </c>
      <c r="C2453" s="1426"/>
      <c r="D2453" s="1426"/>
      <c r="E2453" s="1426"/>
      <c r="F2453" s="1427"/>
      <c r="G2453" s="1428">
        <f>($G2444*((1+G$11)^0.5)/G$10)</f>
        <v>0</v>
      </c>
      <c r="H2453" s="1423">
        <f ca="1">IF(G2477="n/a",G2453,IFERROR(IF((OFFSET($C2453,0,$A2453))&lt;0,
MIN(0,G2453-(OFFSET($C2453,0,$A2453)/(OFFSET($C2448,-$A2452,$A2453)))),
MAX(0,G2453-(OFFSET($C2453,0,$A2453)/(OFFSET($C2448,-$A2452,$A2453))))),0))</f>
        <v>0</v>
      </c>
      <c r="I2453" s="1423">
        <f t="shared" ca="1" si="3633"/>
        <v>0</v>
      </c>
      <c r="J2453" s="1423">
        <f t="shared" ca="1" si="3634"/>
        <v>0</v>
      </c>
      <c r="K2453" s="1423">
        <f t="shared" ca="1" si="3635"/>
        <v>0</v>
      </c>
      <c r="L2453" s="1423">
        <f t="shared" ca="1" si="3636"/>
        <v>0</v>
      </c>
      <c r="M2453" s="1423">
        <f t="shared" ca="1" si="3637"/>
        <v>0</v>
      </c>
      <c r="N2453" s="1423">
        <f t="shared" ca="1" si="3638"/>
        <v>0</v>
      </c>
      <c r="O2453" s="1423">
        <f t="shared" ca="1" si="3639"/>
        <v>0</v>
      </c>
      <c r="P2453" s="1423">
        <f t="shared" ca="1" si="3640"/>
        <v>0</v>
      </c>
      <c r="Q2453" s="1423">
        <f t="shared" ca="1" si="3641"/>
        <v>0</v>
      </c>
      <c r="R2453" s="1423">
        <f t="shared" ca="1" si="3642"/>
        <v>0</v>
      </c>
      <c r="S2453" s="1423">
        <f t="shared" ca="1" si="3643"/>
        <v>0</v>
      </c>
      <c r="T2453" s="1423">
        <f t="shared" ca="1" si="3644"/>
        <v>0</v>
      </c>
      <c r="U2453" s="1423">
        <f t="shared" ca="1" si="3645"/>
        <v>0</v>
      </c>
      <c r="V2453" s="1423">
        <f t="shared" ca="1" si="3646"/>
        <v>0</v>
      </c>
      <c r="W2453" s="1423">
        <f t="shared" ca="1" si="3647"/>
        <v>0</v>
      </c>
      <c r="X2453" s="202"/>
      <c r="Y2453" s="202"/>
      <c r="Z2453" s="202"/>
      <c r="AA2453" s="152"/>
      <c r="AB2453" s="152"/>
    </row>
    <row r="2454" spans="1:28" hidden="1" outlineLevel="1">
      <c r="A2454" s="199">
        <f t="shared" si="3648"/>
        <v>5</v>
      </c>
      <c r="B2454" s="190" t="str">
        <f t="shared" ca="1" si="3649"/>
        <v>Depreciated Net Capex 2020-21</v>
      </c>
      <c r="C2454" s="1426"/>
      <c r="D2454" s="1426"/>
      <c r="E2454" s="1426"/>
      <c r="F2454" s="1426"/>
      <c r="G2454" s="1427"/>
      <c r="H2454" s="1428">
        <f>(H2444*((1+H$11)^0.5)/H$10)</f>
        <v>0</v>
      </c>
      <c r="I2454" s="1423">
        <f ca="1">IF(H2478="n/a",H2454,IFERROR(IF((OFFSET($C2454,0,$A2454))&lt;0,
MIN(0,H2454-(OFFSET($C2454,0,$A2454)/(OFFSET($C2449,-$A2453,$A2454)))),
MAX(0,H2454-(OFFSET($C2454,0,$A2454)/(OFFSET($C2449,-$A2453,$A2454))))),0))</f>
        <v>0</v>
      </c>
      <c r="J2454" s="1423">
        <f t="shared" ca="1" si="3634"/>
        <v>0</v>
      </c>
      <c r="K2454" s="1423">
        <f t="shared" ca="1" si="3635"/>
        <v>0</v>
      </c>
      <c r="L2454" s="1423">
        <f t="shared" ca="1" si="3636"/>
        <v>0</v>
      </c>
      <c r="M2454" s="1423">
        <f t="shared" ca="1" si="3637"/>
        <v>0</v>
      </c>
      <c r="N2454" s="1423">
        <f t="shared" ca="1" si="3638"/>
        <v>0</v>
      </c>
      <c r="O2454" s="1423">
        <f t="shared" ca="1" si="3639"/>
        <v>0</v>
      </c>
      <c r="P2454" s="1423">
        <f t="shared" ca="1" si="3640"/>
        <v>0</v>
      </c>
      <c r="Q2454" s="1423">
        <f t="shared" ca="1" si="3641"/>
        <v>0</v>
      </c>
      <c r="R2454" s="1423">
        <f t="shared" ca="1" si="3642"/>
        <v>0</v>
      </c>
      <c r="S2454" s="1423">
        <f t="shared" ca="1" si="3643"/>
        <v>0</v>
      </c>
      <c r="T2454" s="1423">
        <f t="shared" ca="1" si="3644"/>
        <v>0</v>
      </c>
      <c r="U2454" s="1423">
        <f t="shared" ca="1" si="3645"/>
        <v>0</v>
      </c>
      <c r="V2454" s="1423">
        <f t="shared" ca="1" si="3646"/>
        <v>0</v>
      </c>
      <c r="W2454" s="1423">
        <f t="shared" ca="1" si="3647"/>
        <v>0</v>
      </c>
      <c r="X2454" s="202"/>
      <c r="Y2454" s="202"/>
      <c r="Z2454" s="202"/>
      <c r="AA2454" s="152"/>
      <c r="AB2454" s="152"/>
    </row>
    <row r="2455" spans="1:28" hidden="1" outlineLevel="1">
      <c r="A2455" s="199">
        <f t="shared" si="3648"/>
        <v>6</v>
      </c>
      <c r="B2455" s="190" t="str">
        <f t="shared" ca="1" si="3649"/>
        <v>Depreciated Net Capex 2021-22</v>
      </c>
      <c r="C2455" s="1426"/>
      <c r="D2455" s="1426"/>
      <c r="E2455" s="1426"/>
      <c r="F2455" s="1426"/>
      <c r="G2455" s="1426"/>
      <c r="H2455" s="1427"/>
      <c r="I2455" s="1428">
        <f>(I2444*((1+I$11)^0.5)/I$10)</f>
        <v>0</v>
      </c>
      <c r="J2455" s="1423">
        <f ca="1">IF(I2479="n/a",I2455,IFERROR(IF((OFFSET($C2455,0,$A2455))&lt;0,
MIN(0,I2455-(OFFSET($C2455,0,$A2455)/(OFFSET($C2450,-$A2454,$A2455)))),
MAX(0,I2455-(OFFSET($C2455,0,$A2455)/(OFFSET($C2450,-$A2454,$A2455))))),0))</f>
        <v>0</v>
      </c>
      <c r="K2455" s="1423">
        <f t="shared" ca="1" si="3635"/>
        <v>0</v>
      </c>
      <c r="L2455" s="1423">
        <f t="shared" ca="1" si="3636"/>
        <v>0</v>
      </c>
      <c r="M2455" s="1423">
        <f t="shared" ca="1" si="3637"/>
        <v>0</v>
      </c>
      <c r="N2455" s="1423">
        <f t="shared" ca="1" si="3638"/>
        <v>0</v>
      </c>
      <c r="O2455" s="1423">
        <f t="shared" ca="1" si="3639"/>
        <v>0</v>
      </c>
      <c r="P2455" s="1423">
        <f t="shared" ca="1" si="3640"/>
        <v>0</v>
      </c>
      <c r="Q2455" s="1423">
        <f t="shared" ca="1" si="3641"/>
        <v>0</v>
      </c>
      <c r="R2455" s="1423">
        <f t="shared" ca="1" si="3642"/>
        <v>0</v>
      </c>
      <c r="S2455" s="1423">
        <f t="shared" ca="1" si="3643"/>
        <v>0</v>
      </c>
      <c r="T2455" s="1423">
        <f t="shared" ca="1" si="3644"/>
        <v>0</v>
      </c>
      <c r="U2455" s="1423">
        <f t="shared" ca="1" si="3645"/>
        <v>0</v>
      </c>
      <c r="V2455" s="1423">
        <f t="shared" ca="1" si="3646"/>
        <v>0</v>
      </c>
      <c r="W2455" s="1423">
        <f t="shared" ca="1" si="3647"/>
        <v>0</v>
      </c>
      <c r="X2455" s="202"/>
      <c r="Y2455" s="202"/>
      <c r="Z2455" s="202"/>
      <c r="AA2455" s="152"/>
      <c r="AB2455" s="152"/>
    </row>
    <row r="2456" spans="1:28" hidden="1" outlineLevel="1">
      <c r="A2456" s="199">
        <f t="shared" si="3648"/>
        <v>7</v>
      </c>
      <c r="B2456" s="190" t="str">
        <f t="shared" ca="1" si="3649"/>
        <v>Depreciated Net Capex 2022-23</v>
      </c>
      <c r="C2456" s="1426"/>
      <c r="D2456" s="1426"/>
      <c r="E2456" s="1426"/>
      <c r="F2456" s="1426"/>
      <c r="G2456" s="1426"/>
      <c r="H2456" s="1426"/>
      <c r="I2456" s="1427"/>
      <c r="J2456" s="1428">
        <f>(J2444*((1+J$11)^0.5)/J$10)</f>
        <v>0</v>
      </c>
      <c r="K2456" s="1423">
        <f ca="1">IF(J2480="n/a",J2456,IFERROR(IF((OFFSET($C2456,0,$A2456))&lt;0,
MIN(0,J2456-(OFFSET($C2456,0,$A2456)/(OFFSET($C2451,-$A2455,$A2456)))),
MAX(0,J2456-(OFFSET($C2456,0,$A2456)/(OFFSET($C2451,-$A2455,$A2456))))),0))</f>
        <v>0</v>
      </c>
      <c r="L2456" s="1423">
        <f t="shared" ca="1" si="3636"/>
        <v>0</v>
      </c>
      <c r="M2456" s="1423">
        <f t="shared" ca="1" si="3637"/>
        <v>0</v>
      </c>
      <c r="N2456" s="1423">
        <f t="shared" ca="1" si="3638"/>
        <v>0</v>
      </c>
      <c r="O2456" s="1423">
        <f t="shared" ca="1" si="3639"/>
        <v>0</v>
      </c>
      <c r="P2456" s="1423">
        <f t="shared" ca="1" si="3640"/>
        <v>0</v>
      </c>
      <c r="Q2456" s="1423">
        <f t="shared" ca="1" si="3641"/>
        <v>0</v>
      </c>
      <c r="R2456" s="1423">
        <f t="shared" ca="1" si="3642"/>
        <v>0</v>
      </c>
      <c r="S2456" s="1423">
        <f t="shared" ca="1" si="3643"/>
        <v>0</v>
      </c>
      <c r="T2456" s="1423">
        <f t="shared" ca="1" si="3644"/>
        <v>0</v>
      </c>
      <c r="U2456" s="1423">
        <f t="shared" ca="1" si="3645"/>
        <v>0</v>
      </c>
      <c r="V2456" s="1423">
        <f t="shared" ca="1" si="3646"/>
        <v>0</v>
      </c>
      <c r="W2456" s="1423">
        <f t="shared" ca="1" si="3647"/>
        <v>0</v>
      </c>
      <c r="X2456" s="202"/>
      <c r="Y2456" s="202"/>
      <c r="Z2456" s="202"/>
      <c r="AA2456" s="152"/>
      <c r="AB2456" s="152"/>
    </row>
    <row r="2457" spans="1:28" hidden="1" outlineLevel="1">
      <c r="A2457" s="199">
        <f t="shared" si="3648"/>
        <v>8</v>
      </c>
      <c r="B2457" s="190" t="str">
        <f t="shared" ca="1" si="3649"/>
        <v>Depreciated Net Capex 2023-24</v>
      </c>
      <c r="C2457" s="1426"/>
      <c r="D2457" s="1426"/>
      <c r="E2457" s="1426"/>
      <c r="F2457" s="1426"/>
      <c r="G2457" s="1426"/>
      <c r="H2457" s="1426"/>
      <c r="I2457" s="1426"/>
      <c r="J2457" s="1427"/>
      <c r="K2457" s="1428">
        <f>(K2444*((1+K$11)^0.5)/K$10)</f>
        <v>0</v>
      </c>
      <c r="L2457" s="1423">
        <f ca="1">IF(K2481="n/a",K2457,IFERROR(IF((OFFSET($C2457,0,$A2457))&lt;0,
MIN(0,K2457-(OFFSET($C2457,0,$A2457)/(OFFSET($C2452,-$A2456,$A2457)))),
MAX(0,K2457-(OFFSET($C2457,0,$A2457)/(OFFSET($C2452,-$A2456,$A2457))))),0))</f>
        <v>0</v>
      </c>
      <c r="M2457" s="1423">
        <f t="shared" ca="1" si="3637"/>
        <v>0</v>
      </c>
      <c r="N2457" s="1423">
        <f t="shared" ca="1" si="3638"/>
        <v>0</v>
      </c>
      <c r="O2457" s="1423">
        <f t="shared" ca="1" si="3639"/>
        <v>0</v>
      </c>
      <c r="P2457" s="1423">
        <f t="shared" ca="1" si="3640"/>
        <v>0</v>
      </c>
      <c r="Q2457" s="1423">
        <f t="shared" ca="1" si="3641"/>
        <v>0</v>
      </c>
      <c r="R2457" s="1423">
        <f t="shared" ca="1" si="3642"/>
        <v>0</v>
      </c>
      <c r="S2457" s="1423">
        <f t="shared" ca="1" si="3643"/>
        <v>0</v>
      </c>
      <c r="T2457" s="1423">
        <f t="shared" ca="1" si="3644"/>
        <v>0</v>
      </c>
      <c r="U2457" s="1423">
        <f t="shared" ca="1" si="3645"/>
        <v>0</v>
      </c>
      <c r="V2457" s="1423">
        <f t="shared" ca="1" si="3646"/>
        <v>0</v>
      </c>
      <c r="W2457" s="1423">
        <f t="shared" ca="1" si="3647"/>
        <v>0</v>
      </c>
      <c r="X2457" s="202"/>
      <c r="Y2457" s="202"/>
      <c r="Z2457" s="202"/>
      <c r="AA2457" s="152"/>
      <c r="AB2457" s="152"/>
    </row>
    <row r="2458" spans="1:28" hidden="1" outlineLevel="1">
      <c r="A2458" s="199">
        <f t="shared" si="3648"/>
        <v>9</v>
      </c>
      <c r="B2458" s="190" t="str">
        <f t="shared" ca="1" si="3649"/>
        <v>Depreciated Net Capex 2024-25</v>
      </c>
      <c r="C2458" s="1426"/>
      <c r="D2458" s="1426"/>
      <c r="E2458" s="1426"/>
      <c r="F2458" s="1426"/>
      <c r="G2458" s="1426"/>
      <c r="H2458" s="1426"/>
      <c r="I2458" s="1426"/>
      <c r="J2458" s="1426"/>
      <c r="K2458" s="1427"/>
      <c r="L2458" s="1428">
        <f>(L2444*((1+L$11)^0.5)/L$10)</f>
        <v>0</v>
      </c>
      <c r="M2458" s="1423">
        <f ca="1">IF(L2482="n/a",L2458,IFERROR(IF((OFFSET($C2458,0,$A2458))&lt;0,
MIN(0,L2458-(OFFSET($C2458,0,$A2458)/(OFFSET($C2453,-$A2457,$A2458)))),
MAX(0,L2458-(OFFSET($C2458,0,$A2458)/(OFFSET($C2453,-$A2457,$A2458))))),0))</f>
        <v>0</v>
      </c>
      <c r="N2458" s="1423">
        <f t="shared" ca="1" si="3638"/>
        <v>0</v>
      </c>
      <c r="O2458" s="1423">
        <f t="shared" ca="1" si="3639"/>
        <v>0</v>
      </c>
      <c r="P2458" s="1423">
        <f t="shared" ca="1" si="3640"/>
        <v>0</v>
      </c>
      <c r="Q2458" s="1423">
        <f t="shared" ca="1" si="3641"/>
        <v>0</v>
      </c>
      <c r="R2458" s="1423">
        <f t="shared" ca="1" si="3642"/>
        <v>0</v>
      </c>
      <c r="S2458" s="1423">
        <f t="shared" ca="1" si="3643"/>
        <v>0</v>
      </c>
      <c r="T2458" s="1423">
        <f t="shared" ca="1" si="3644"/>
        <v>0</v>
      </c>
      <c r="U2458" s="1423">
        <f t="shared" ca="1" si="3645"/>
        <v>0</v>
      </c>
      <c r="V2458" s="1423">
        <f t="shared" ca="1" si="3646"/>
        <v>0</v>
      </c>
      <c r="W2458" s="1423">
        <f t="shared" ca="1" si="3647"/>
        <v>0</v>
      </c>
      <c r="X2458" s="202"/>
      <c r="Y2458" s="202"/>
      <c r="Z2458" s="202"/>
      <c r="AA2458" s="152"/>
      <c r="AB2458" s="152"/>
    </row>
    <row r="2459" spans="1:28" hidden="1" outlineLevel="1">
      <c r="A2459" s="199">
        <f t="shared" si="3648"/>
        <v>10</v>
      </c>
      <c r="B2459" s="190" t="str">
        <f t="shared" ca="1" si="3649"/>
        <v>Depreciated Net Capex 2025-26</v>
      </c>
      <c r="C2459" s="1426"/>
      <c r="D2459" s="1426"/>
      <c r="E2459" s="1426"/>
      <c r="F2459" s="1426"/>
      <c r="G2459" s="1426"/>
      <c r="H2459" s="1426"/>
      <c r="I2459" s="1426"/>
      <c r="J2459" s="1426"/>
      <c r="K2459" s="1426"/>
      <c r="L2459" s="1427"/>
      <c r="M2459" s="1428">
        <f>(M2444*((1+M$11)^0.5)/M$10)</f>
        <v>0</v>
      </c>
      <c r="N2459" s="1423">
        <f ca="1">IF(M2483="n/a",M2459,IFERROR(IF((OFFSET($C2459,0,$A2459))&lt;0,
MIN(0,M2459-(OFFSET($C2459,0,$A2459)/(OFFSET($C2454,-$A2458,$A2459)))),
MAX(0,M2459-(OFFSET($C2459,0,$A2459)/(OFFSET($C2454,-$A2458,$A2459))))),0))</f>
        <v>0</v>
      </c>
      <c r="O2459" s="1423">
        <f t="shared" ca="1" si="3639"/>
        <v>0</v>
      </c>
      <c r="P2459" s="1423">
        <f t="shared" ca="1" si="3640"/>
        <v>0</v>
      </c>
      <c r="Q2459" s="1423">
        <f t="shared" ca="1" si="3641"/>
        <v>0</v>
      </c>
      <c r="R2459" s="1423">
        <f t="shared" ca="1" si="3642"/>
        <v>0</v>
      </c>
      <c r="S2459" s="1423">
        <f t="shared" ca="1" si="3643"/>
        <v>0</v>
      </c>
      <c r="T2459" s="1423">
        <f t="shared" ca="1" si="3644"/>
        <v>0</v>
      </c>
      <c r="U2459" s="1423">
        <f t="shared" ca="1" si="3645"/>
        <v>0</v>
      </c>
      <c r="V2459" s="1423">
        <f t="shared" ca="1" si="3646"/>
        <v>0</v>
      </c>
      <c r="W2459" s="1423">
        <f t="shared" ca="1" si="3647"/>
        <v>0</v>
      </c>
      <c r="X2459" s="202"/>
      <c r="Y2459" s="202"/>
      <c r="Z2459" s="202"/>
      <c r="AA2459" s="152"/>
      <c r="AB2459" s="152"/>
    </row>
    <row r="2460" spans="1:28" hidden="1" outlineLevel="1">
      <c r="A2460" s="199">
        <f t="shared" si="3648"/>
        <v>11</v>
      </c>
      <c r="B2460" s="190" t="str">
        <f t="shared" ca="1" si="3649"/>
        <v>Depreciated Net Capex 2026-27</v>
      </c>
      <c r="C2460" s="1426"/>
      <c r="D2460" s="1426"/>
      <c r="E2460" s="1426"/>
      <c r="F2460" s="1426"/>
      <c r="G2460" s="1426"/>
      <c r="H2460" s="1426"/>
      <c r="I2460" s="1426"/>
      <c r="J2460" s="1426"/>
      <c r="K2460" s="1426"/>
      <c r="L2460" s="1426"/>
      <c r="M2460" s="1427"/>
      <c r="N2460" s="1428">
        <f>(N2444*((1+N$11)^0.5)/N$10)</f>
        <v>0</v>
      </c>
      <c r="O2460" s="1423">
        <f ca="1">IF(N2484="n/a",N2460,IFERROR(IF((OFFSET($C2460,0,$A2460))&lt;0,
MIN(0,N2460-(OFFSET($C2460,0,$A2460)/(OFFSET($C2455,-$A2459,$A2460)))),
MAX(0,N2460-(OFFSET($C2460,0,$A2460)/(OFFSET($C2455,-$A2459,$A2460))))),0))</f>
        <v>0</v>
      </c>
      <c r="P2460" s="1423">
        <f t="shared" ca="1" si="3640"/>
        <v>0</v>
      </c>
      <c r="Q2460" s="1423">
        <f t="shared" ca="1" si="3641"/>
        <v>0</v>
      </c>
      <c r="R2460" s="1423">
        <f t="shared" ca="1" si="3642"/>
        <v>0</v>
      </c>
      <c r="S2460" s="1423">
        <f t="shared" ca="1" si="3643"/>
        <v>0</v>
      </c>
      <c r="T2460" s="1423">
        <f t="shared" ca="1" si="3644"/>
        <v>0</v>
      </c>
      <c r="U2460" s="1423">
        <f t="shared" ca="1" si="3645"/>
        <v>0</v>
      </c>
      <c r="V2460" s="1423">
        <f t="shared" ca="1" si="3646"/>
        <v>0</v>
      </c>
      <c r="W2460" s="1423">
        <f t="shared" ca="1" si="3647"/>
        <v>0</v>
      </c>
      <c r="X2460" s="202"/>
      <c r="Y2460" s="202"/>
      <c r="Z2460" s="202"/>
      <c r="AA2460" s="152"/>
      <c r="AB2460" s="152"/>
    </row>
    <row r="2461" spans="1:28" hidden="1" outlineLevel="1">
      <c r="A2461" s="199">
        <f t="shared" si="3648"/>
        <v>12</v>
      </c>
      <c r="B2461" s="190" t="str">
        <f t="shared" ca="1" si="3649"/>
        <v>Depreciated Net Capex 2027-28</v>
      </c>
      <c r="C2461" s="1426"/>
      <c r="D2461" s="1426"/>
      <c r="E2461" s="1426"/>
      <c r="F2461" s="1426"/>
      <c r="G2461" s="1426"/>
      <c r="H2461" s="1426"/>
      <c r="I2461" s="1426"/>
      <c r="J2461" s="1426"/>
      <c r="K2461" s="1426"/>
      <c r="L2461" s="1426"/>
      <c r="M2461" s="1426"/>
      <c r="N2461" s="1427"/>
      <c r="O2461" s="1428">
        <f>(O2444*((1+O$11)^0.5)/O$10)</f>
        <v>0</v>
      </c>
      <c r="P2461" s="1423">
        <f ca="1">IF(O2485="n/a",O2461,IFERROR(IF((OFFSET($C2461,0,$A2461))&lt;0,
MIN(0,O2461-(OFFSET($C2461,0,$A2461)/(OFFSET($C2456,-$A2460,$A2461)))),
MAX(0,O2461-(OFFSET($C2461,0,$A2461)/(OFFSET($C2456,-$A2460,$A2461))))),0))</f>
        <v>0</v>
      </c>
      <c r="Q2461" s="1423">
        <f t="shared" ca="1" si="3641"/>
        <v>0</v>
      </c>
      <c r="R2461" s="1423">
        <f t="shared" ca="1" si="3642"/>
        <v>0</v>
      </c>
      <c r="S2461" s="1423">
        <f t="shared" ca="1" si="3643"/>
        <v>0</v>
      </c>
      <c r="T2461" s="1423">
        <f t="shared" ca="1" si="3644"/>
        <v>0</v>
      </c>
      <c r="U2461" s="1423">
        <f t="shared" ca="1" si="3645"/>
        <v>0</v>
      </c>
      <c r="V2461" s="1423">
        <f t="shared" ca="1" si="3646"/>
        <v>0</v>
      </c>
      <c r="W2461" s="1423">
        <f t="shared" ca="1" si="3647"/>
        <v>0</v>
      </c>
      <c r="X2461" s="202"/>
      <c r="Y2461" s="202"/>
      <c r="Z2461" s="202"/>
      <c r="AA2461" s="152"/>
      <c r="AB2461" s="152"/>
    </row>
    <row r="2462" spans="1:28" hidden="1" outlineLevel="1">
      <c r="A2462" s="199">
        <f t="shared" si="3648"/>
        <v>13</v>
      </c>
      <c r="B2462" s="190" t="str">
        <f t="shared" ca="1" si="3649"/>
        <v>Depreciated Net Capex 2028-29</v>
      </c>
      <c r="C2462" s="1426"/>
      <c r="D2462" s="1426"/>
      <c r="E2462" s="1426"/>
      <c r="F2462" s="1426"/>
      <c r="G2462" s="1426"/>
      <c r="H2462" s="1426"/>
      <c r="I2462" s="1426"/>
      <c r="J2462" s="1426"/>
      <c r="K2462" s="1426"/>
      <c r="L2462" s="1426"/>
      <c r="M2462" s="1426"/>
      <c r="N2462" s="1426"/>
      <c r="O2462" s="1427"/>
      <c r="P2462" s="1428">
        <f>(P2444*((1+P$11)^0.5)/P$10)</f>
        <v>0</v>
      </c>
      <c r="Q2462" s="1423">
        <f ca="1">IF(P2486="n/a",P2462,IFERROR(IF((OFFSET($C2462,0,$A2462))&lt;0,
MIN(0,P2462-(OFFSET($C2462,0,$A2462)/(OFFSET($C2457,-$A2461,$A2462)))),
MAX(0,P2462-(OFFSET($C2462,0,$A2462)/(OFFSET($C2457,-$A2461,$A2462))))),0))</f>
        <v>0</v>
      </c>
      <c r="R2462" s="1423">
        <f t="shared" ca="1" si="3642"/>
        <v>0</v>
      </c>
      <c r="S2462" s="1423">
        <f t="shared" ca="1" si="3643"/>
        <v>0</v>
      </c>
      <c r="T2462" s="1423">
        <f t="shared" ca="1" si="3644"/>
        <v>0</v>
      </c>
      <c r="U2462" s="1423">
        <f t="shared" ca="1" si="3645"/>
        <v>0</v>
      </c>
      <c r="V2462" s="1423">
        <f t="shared" ca="1" si="3646"/>
        <v>0</v>
      </c>
      <c r="W2462" s="1423">
        <f t="shared" ca="1" si="3647"/>
        <v>0</v>
      </c>
      <c r="X2462" s="202"/>
      <c r="Y2462" s="202"/>
      <c r="Z2462" s="202"/>
      <c r="AA2462" s="152"/>
      <c r="AB2462" s="152"/>
    </row>
    <row r="2463" spans="1:28" hidden="1" outlineLevel="1">
      <c r="A2463" s="199">
        <f t="shared" si="3648"/>
        <v>14</v>
      </c>
      <c r="B2463" s="190" t="str">
        <f t="shared" ca="1" si="3649"/>
        <v>Depreciated Net Capex 2029-30</v>
      </c>
      <c r="C2463" s="1426"/>
      <c r="D2463" s="1426"/>
      <c r="E2463" s="1426"/>
      <c r="F2463" s="1426"/>
      <c r="G2463" s="1426"/>
      <c r="H2463" s="1426"/>
      <c r="I2463" s="1426"/>
      <c r="J2463" s="1426"/>
      <c r="K2463" s="1426"/>
      <c r="L2463" s="1426"/>
      <c r="M2463" s="1426"/>
      <c r="N2463" s="1426"/>
      <c r="O2463" s="1426"/>
      <c r="P2463" s="1427"/>
      <c r="Q2463" s="1428">
        <f>(Q2444*((1+Q$11)^0.5)/Q$10)</f>
        <v>0</v>
      </c>
      <c r="R2463" s="1423">
        <f ca="1">IF(Q2487="n/a",Q2463,IFERROR(IF((OFFSET($C2463,0,$A2463))&lt;0,
MIN(0,Q2463-(OFFSET($C2463,0,$A2463)/(OFFSET($C2458,-$A2462,$A2463)))),
MAX(0,Q2463-(OFFSET($C2463,0,$A2463)/(OFFSET($C2458,-$A2462,$A2463))))),0))</f>
        <v>0</v>
      </c>
      <c r="S2463" s="1423">
        <f t="shared" ca="1" si="3643"/>
        <v>0</v>
      </c>
      <c r="T2463" s="1423">
        <f t="shared" ca="1" si="3644"/>
        <v>0</v>
      </c>
      <c r="U2463" s="1423">
        <f t="shared" ca="1" si="3645"/>
        <v>0</v>
      </c>
      <c r="V2463" s="1423">
        <f t="shared" ca="1" si="3646"/>
        <v>0</v>
      </c>
      <c r="W2463" s="1423">
        <f t="shared" ca="1" si="3647"/>
        <v>0</v>
      </c>
      <c r="X2463" s="202"/>
      <c r="Y2463" s="202"/>
      <c r="Z2463" s="202"/>
      <c r="AA2463" s="152"/>
      <c r="AB2463" s="152"/>
    </row>
    <row r="2464" spans="1:28" hidden="1" outlineLevel="1">
      <c r="A2464" s="199">
        <f t="shared" si="3648"/>
        <v>15</v>
      </c>
      <c r="B2464" s="190" t="str">
        <f t="shared" ca="1" si="3649"/>
        <v>Depreciated Net Capex 2030-31</v>
      </c>
      <c r="C2464" s="1426"/>
      <c r="D2464" s="1426"/>
      <c r="E2464" s="1426"/>
      <c r="F2464" s="1426"/>
      <c r="G2464" s="1426"/>
      <c r="H2464" s="1426"/>
      <c r="I2464" s="1426"/>
      <c r="J2464" s="1426"/>
      <c r="K2464" s="1426"/>
      <c r="L2464" s="1426"/>
      <c r="M2464" s="1426"/>
      <c r="N2464" s="1426"/>
      <c r="O2464" s="1426"/>
      <c r="P2464" s="1426"/>
      <c r="Q2464" s="1427"/>
      <c r="R2464" s="1428">
        <f>(R2444*((1+R$11)^0.5)/R$10)</f>
        <v>0</v>
      </c>
      <c r="S2464" s="1423">
        <f ca="1">IF(R2488="n/a",R2464,IFERROR(IF((OFFSET($C2464,0,$A2464))&lt;0,
MIN(0,R2464-(OFFSET($C2464,0,$A2464)/(OFFSET($C2459,-$A2463,$A2464)))),
MAX(0,R2464-(OFFSET($C2464,0,$A2464)/(OFFSET($C2459,-$A2463,$A2464))))),0))</f>
        <v>0</v>
      </c>
      <c r="T2464" s="1423">
        <f t="shared" ca="1" si="3644"/>
        <v>0</v>
      </c>
      <c r="U2464" s="1423">
        <f t="shared" ca="1" si="3645"/>
        <v>0</v>
      </c>
      <c r="V2464" s="1423">
        <f t="shared" ca="1" si="3646"/>
        <v>0</v>
      </c>
      <c r="W2464" s="1423">
        <f t="shared" ca="1" si="3647"/>
        <v>0</v>
      </c>
      <c r="X2464" s="202"/>
      <c r="Y2464" s="202"/>
      <c r="Z2464" s="202"/>
      <c r="AA2464" s="152"/>
      <c r="AB2464" s="152"/>
    </row>
    <row r="2465" spans="1:28" hidden="1" outlineLevel="1">
      <c r="A2465" s="199">
        <f t="shared" si="3648"/>
        <v>16</v>
      </c>
      <c r="B2465" s="190" t="str">
        <f t="shared" ca="1" si="3649"/>
        <v>Depreciated Net Capex 2031-32</v>
      </c>
      <c r="C2465" s="1426"/>
      <c r="D2465" s="1426"/>
      <c r="E2465" s="1426"/>
      <c r="F2465" s="1426"/>
      <c r="G2465" s="1426"/>
      <c r="H2465" s="1426"/>
      <c r="I2465" s="1426"/>
      <c r="J2465" s="1426"/>
      <c r="K2465" s="1426"/>
      <c r="L2465" s="1426"/>
      <c r="M2465" s="1426"/>
      <c r="N2465" s="1426"/>
      <c r="O2465" s="1426"/>
      <c r="P2465" s="1426"/>
      <c r="Q2465" s="1426"/>
      <c r="R2465" s="1427"/>
      <c r="S2465" s="1428">
        <f>(S2444*((1+S$11)^0.5)/S$10)</f>
        <v>0</v>
      </c>
      <c r="T2465" s="1423">
        <f ca="1">IF(S2489="n/a",S2465,IFERROR(IF((OFFSET($C2465,0,$A2465))&lt;0,
MIN(0,S2465-(OFFSET($C2465,0,$A2465)/(OFFSET($C2460,-$A2464,$A2465)))),
MAX(0,S2465-(OFFSET($C2465,0,$A2465)/(OFFSET($C2460,-$A2464,$A2465))))),0))</f>
        <v>0</v>
      </c>
      <c r="U2465" s="1423">
        <f t="shared" ca="1" si="3645"/>
        <v>0</v>
      </c>
      <c r="V2465" s="1423">
        <f t="shared" ca="1" si="3646"/>
        <v>0</v>
      </c>
      <c r="W2465" s="1423">
        <f t="shared" ca="1" si="3647"/>
        <v>0</v>
      </c>
      <c r="X2465" s="202"/>
      <c r="Y2465" s="202"/>
      <c r="Z2465" s="202"/>
      <c r="AA2465" s="152"/>
      <c r="AB2465" s="152"/>
    </row>
    <row r="2466" spans="1:28" hidden="1" outlineLevel="1">
      <c r="A2466" s="199">
        <f t="shared" si="3648"/>
        <v>17</v>
      </c>
      <c r="B2466" s="190" t="str">
        <f t="shared" ca="1" si="3649"/>
        <v>Depreciated Net Capex 2032-33</v>
      </c>
      <c r="C2466" s="1426"/>
      <c r="D2466" s="1426"/>
      <c r="E2466" s="1426"/>
      <c r="F2466" s="1426"/>
      <c r="G2466" s="1426"/>
      <c r="H2466" s="1426"/>
      <c r="I2466" s="1426"/>
      <c r="J2466" s="1426"/>
      <c r="K2466" s="1426"/>
      <c r="L2466" s="1426"/>
      <c r="M2466" s="1426"/>
      <c r="N2466" s="1426"/>
      <c r="O2466" s="1426"/>
      <c r="P2466" s="1426"/>
      <c r="Q2466" s="1426"/>
      <c r="R2466" s="1426"/>
      <c r="S2466" s="1427"/>
      <c r="T2466" s="1428">
        <f>(T2444*((1+T$11)^0.5)/T$10)</f>
        <v>0</v>
      </c>
      <c r="U2466" s="1423">
        <f ca="1">IF(T2490="n/a",T2466,IFERROR(IF((OFFSET($C2466,0,$A2466))&lt;0,
MIN(0,T2466-(OFFSET($C2466,0,$A2466)/(OFFSET($C2461,-$A2465,$A2466)))),
MAX(0,T2466-(OFFSET($C2466,0,$A2466)/(OFFSET($C2461,-$A2465,$A2466))))),0))</f>
        <v>0</v>
      </c>
      <c r="V2466" s="1423">
        <f t="shared" ca="1" si="3646"/>
        <v>0</v>
      </c>
      <c r="W2466" s="1423">
        <f t="shared" ca="1" si="3647"/>
        <v>0</v>
      </c>
      <c r="X2466" s="202"/>
      <c r="Y2466" s="202"/>
      <c r="Z2466" s="202"/>
      <c r="AA2466" s="152"/>
      <c r="AB2466" s="152"/>
    </row>
    <row r="2467" spans="1:28" hidden="1" outlineLevel="1">
      <c r="A2467" s="199">
        <f t="shared" si="3648"/>
        <v>18</v>
      </c>
      <c r="B2467" s="190" t="str">
        <f t="shared" ca="1" si="3649"/>
        <v>Depreciated Net Capex 2033-34</v>
      </c>
      <c r="C2467" s="1426"/>
      <c r="D2467" s="1426"/>
      <c r="E2467" s="1426"/>
      <c r="F2467" s="1426"/>
      <c r="G2467" s="1426"/>
      <c r="H2467" s="1426"/>
      <c r="I2467" s="1426"/>
      <c r="J2467" s="1426"/>
      <c r="K2467" s="1426"/>
      <c r="L2467" s="1426"/>
      <c r="M2467" s="1426"/>
      <c r="N2467" s="1426"/>
      <c r="O2467" s="1426"/>
      <c r="P2467" s="1426"/>
      <c r="Q2467" s="1426"/>
      <c r="R2467" s="1426"/>
      <c r="S2467" s="1426"/>
      <c r="T2467" s="1427"/>
      <c r="U2467" s="1428">
        <f>(U2444*((1+U$11)^0.5)/U$10)</f>
        <v>0</v>
      </c>
      <c r="V2467" s="1423">
        <f ca="1">IF(U2491="n/a",U2467,IFERROR(IF((OFFSET($C2467,0,$A2467))&lt;0,
MIN(0,U2467-(OFFSET($C2467,0,$A2467)/(OFFSET($C2462,-$A2466,$A2467)))),
MAX(0,U2467-(OFFSET($C2467,0,$A2467)/(OFFSET($C2462,-$A2466,$A2467))))),0))</f>
        <v>0</v>
      </c>
      <c r="W2467" s="1423">
        <f t="shared" ca="1" si="3647"/>
        <v>0</v>
      </c>
      <c r="X2467" s="202"/>
      <c r="Y2467" s="202"/>
      <c r="Z2467" s="202"/>
      <c r="AA2467" s="152"/>
      <c r="AB2467" s="152"/>
    </row>
    <row r="2468" spans="1:28" hidden="1" outlineLevel="1">
      <c r="A2468" s="199">
        <f t="shared" si="3648"/>
        <v>19</v>
      </c>
      <c r="B2468" s="190" t="str">
        <f t="shared" ca="1" si="3649"/>
        <v>Depreciated Net Capex 2034-35</v>
      </c>
      <c r="C2468" s="1426"/>
      <c r="D2468" s="1426"/>
      <c r="E2468" s="1426"/>
      <c r="F2468" s="1426"/>
      <c r="G2468" s="1426"/>
      <c r="H2468" s="1426"/>
      <c r="I2468" s="1426"/>
      <c r="J2468" s="1426"/>
      <c r="K2468" s="1426"/>
      <c r="L2468" s="1426"/>
      <c r="M2468" s="1426"/>
      <c r="N2468" s="1426"/>
      <c r="O2468" s="1426"/>
      <c r="P2468" s="1426"/>
      <c r="Q2468" s="1426"/>
      <c r="R2468" s="1426"/>
      <c r="S2468" s="1426"/>
      <c r="T2468" s="1426"/>
      <c r="U2468" s="1427"/>
      <c r="V2468" s="1428">
        <f>(V2444*((1+V$11)^0.5)/V$10)</f>
        <v>0</v>
      </c>
      <c r="W2468" s="1423">
        <f ca="1">IF(V2492="n/a",V2468,IFERROR(IF((OFFSET($C2468,0,$A2468))&lt;0,
MIN(0,V2468-(OFFSET($C2468,0,$A2468)/(OFFSET($C2463,-$A2467,$A2468)))),
MAX(0,V2468-(OFFSET($C2468,0,$A2468)/(OFFSET($C2463,-$A2467,$A2468))))),0))</f>
        <v>0</v>
      </c>
      <c r="X2468" s="202"/>
      <c r="Y2468" s="202"/>
      <c r="Z2468" s="202"/>
      <c r="AA2468" s="152"/>
      <c r="AB2468" s="152"/>
    </row>
    <row r="2469" spans="1:28" hidden="1" outlineLevel="1">
      <c r="A2469" s="199">
        <f t="shared" si="3648"/>
        <v>20</v>
      </c>
      <c r="B2469" s="190" t="str">
        <f ca="1">"Depreciated Net Capex "&amp;OFFSET($C$6,0,A2469)</f>
        <v>Depreciated Net Capex 2035-36</v>
      </c>
      <c r="C2469" s="1426"/>
      <c r="D2469" s="1426"/>
      <c r="E2469" s="1426"/>
      <c r="F2469" s="1426"/>
      <c r="G2469" s="1426"/>
      <c r="H2469" s="1426"/>
      <c r="I2469" s="1426"/>
      <c r="J2469" s="1426"/>
      <c r="K2469" s="1426"/>
      <c r="L2469" s="1426"/>
      <c r="M2469" s="1426"/>
      <c r="N2469" s="1426"/>
      <c r="O2469" s="1426"/>
      <c r="P2469" s="1426"/>
      <c r="Q2469" s="1426"/>
      <c r="R2469" s="1426"/>
      <c r="S2469" s="1426"/>
      <c r="T2469" s="1426"/>
      <c r="U2469" s="1426"/>
      <c r="V2469" s="1427"/>
      <c r="W2469" s="1423">
        <f>(W2444*((1+W$11)^0.5)/W$10)</f>
        <v>0</v>
      </c>
      <c r="X2469" s="152"/>
      <c r="Y2469" s="152"/>
      <c r="Z2469" s="152"/>
      <c r="AA2469" s="152"/>
      <c r="AB2469" s="152"/>
    </row>
    <row r="2470" spans="1:28" hidden="1" outlineLevel="1">
      <c r="A2470" s="152"/>
      <c r="B2470" s="200"/>
      <c r="C2470" s="1423"/>
      <c r="D2470" s="1423"/>
      <c r="E2470" s="1423"/>
      <c r="F2470" s="1423"/>
      <c r="G2470" s="1423"/>
      <c r="H2470" s="1423"/>
      <c r="I2470" s="1423"/>
      <c r="J2470" s="1423"/>
      <c r="K2470" s="1423"/>
      <c r="L2470" s="1423"/>
      <c r="M2470" s="1423"/>
      <c r="N2470" s="1423"/>
      <c r="O2470" s="1423"/>
      <c r="P2470" s="1423"/>
      <c r="Q2470" s="1423"/>
      <c r="R2470" s="1423"/>
      <c r="S2470" s="1423"/>
      <c r="T2470" s="1423"/>
      <c r="U2470" s="1423"/>
      <c r="V2470" s="1423"/>
      <c r="W2470" s="1423"/>
      <c r="X2470" s="152"/>
      <c r="Y2470" s="152"/>
      <c r="Z2470" s="152"/>
      <c r="AA2470" s="152"/>
      <c r="AB2470" s="152"/>
    </row>
    <row r="2471" spans="1:28" hidden="1" outlineLevel="1">
      <c r="A2471" s="152"/>
      <c r="B2471" s="200"/>
      <c r="C2471" s="1423"/>
      <c r="D2471" s="1423"/>
      <c r="E2471" s="1423"/>
      <c r="F2471" s="1423"/>
      <c r="G2471" s="1423"/>
      <c r="H2471" s="1423"/>
      <c r="I2471" s="1423"/>
      <c r="J2471" s="1423"/>
      <c r="K2471" s="1423"/>
      <c r="L2471" s="1423"/>
      <c r="M2471" s="1423"/>
      <c r="N2471" s="1423"/>
      <c r="O2471" s="1423"/>
      <c r="P2471" s="1423"/>
      <c r="Q2471" s="1423"/>
      <c r="R2471" s="1423"/>
      <c r="S2471" s="1423"/>
      <c r="T2471" s="1423"/>
      <c r="U2471" s="1423"/>
      <c r="V2471" s="1423"/>
      <c r="W2471" s="1423"/>
      <c r="X2471" s="152"/>
      <c r="Y2471" s="152"/>
      <c r="Z2471" s="152"/>
      <c r="AA2471" s="152"/>
      <c r="AB2471" s="152"/>
    </row>
    <row r="2472" spans="1:28" hidden="1" outlineLevel="1">
      <c r="A2472" s="152"/>
      <c r="B2472" s="190" t="s">
        <v>190</v>
      </c>
      <c r="C2472" s="1423"/>
      <c r="D2472" s="1423">
        <f ca="1">IF(AND(C2472&lt;1,D2446=0),0,
IF(D2446=0,C2472-1,
IF(C2472&lt;1,D2447,
(((C2472-1)*(C2448-(C2448/(C2472))))+((D2446/D$10)*D2447))/(D2448))))</f>
        <v>0</v>
      </c>
      <c r="E2472" s="1423">
        <f t="shared" ref="E2472" ca="1" si="3650">IF(AND(D2472&lt;1,E2446=0),0,
IF(E2446=0,D2472-1,
IF(D2472&lt;1,E2447,
(((D2472-1)*(D2448-(D2448/(D2472))))+((E2446/E$10)*E2447))/(E2448))))</f>
        <v>0</v>
      </c>
      <c r="F2472" s="1423">
        <f t="shared" ref="F2472" ca="1" si="3651">IF(AND(E2472&lt;1,F2446=0),0,
IF(F2446=0,E2472-1,
IF(E2472&lt;1,F2447,
(((E2472-1)*(E2448-(E2448/(E2472))))+((F2446/F$10)*F2447))/(F2448))))</f>
        <v>0</v>
      </c>
      <c r="G2472" s="1423">
        <f t="shared" ref="G2472" ca="1" si="3652">IF(AND(F2472&lt;1,G2446=0),0,
IF(G2446=0,F2472-1,
IF(F2472&lt;1,G2447,
(((F2472-1)*(F2448-(F2448/(F2472))))+((G2446/G$10)*G2447))/(G2448))))</f>
        <v>0</v>
      </c>
      <c r="H2472" s="1423">
        <f t="shared" ref="H2472" ca="1" si="3653">IF(AND(G2472&lt;1,H2446=0),0,
IF(H2446=0,G2472-1,
IF(G2472&lt;1,H2447,
(((G2472-1)*(G2448-(G2448/(G2472))))+((H2446/H$10)*H2447))/(H2448))))</f>
        <v>0</v>
      </c>
      <c r="I2472" s="1423">
        <f t="shared" ref="I2472" ca="1" si="3654">IF(AND(H2472&lt;1,I2446=0),0,
IF(I2446=0,H2472-1,
IF(H2472&lt;1,I2447,
(((H2472-1)*(H2448-(H2448/(H2472))))+((I2446/I$10)*I2447))/(I2448))))</f>
        <v>0</v>
      </c>
      <c r="J2472" s="1423">
        <f t="shared" ref="J2472" ca="1" si="3655">IF(AND(I2472&lt;1,J2446=0),0,
IF(J2446=0,I2472-1,
IF(I2472&lt;1,J2447,
(((I2472-1)*(I2448-(I2448/(I2472))))+((J2446/J$10)*J2447))/(J2448))))</f>
        <v>0</v>
      </c>
      <c r="K2472" s="1423">
        <f t="shared" ref="K2472" ca="1" si="3656">IF(AND(J2472&lt;1,K2446=0),0,
IF(K2446=0,J2472-1,
IF(J2472&lt;1,K2447,
(((J2472-1)*(J2448-(J2448/(J2472))))+((K2446/K$10)*K2447))/(K2448))))</f>
        <v>0</v>
      </c>
      <c r="L2472" s="1423">
        <f t="shared" ref="L2472" ca="1" si="3657">IF(AND(K2472&lt;1,L2446=0),0,
IF(L2446=0,K2472-1,
IF(K2472&lt;1,L2447,
(((K2472-1)*(K2448-(K2448/(K2472))))+((L2446/L$10)*L2447))/(L2448))))</f>
        <v>0</v>
      </c>
      <c r="M2472" s="1423">
        <f t="shared" ref="M2472" ca="1" si="3658">IF(AND(L2472&lt;1,M2446=0),0,
IF(M2446=0,L2472-1,
IF(L2472&lt;1,M2447,
(((L2472-1)*(L2448-(L2448/(L2472))))+((M2446/M$10)*M2447))/(M2448))))</f>
        <v>0</v>
      </c>
      <c r="N2472" s="1423">
        <f t="shared" ref="N2472" ca="1" si="3659">IF(AND(M2472&lt;1,N2446=0),0,
IF(N2446=0,M2472-1,
IF(M2472&lt;1,N2447,
(((M2472-1)*(M2448-(M2448/(M2472))))+((N2446/N$10)*N2447))/(N2448))))</f>
        <v>0</v>
      </c>
      <c r="O2472" s="1423">
        <f t="shared" ref="O2472" ca="1" si="3660">IF(AND(N2472&lt;1,O2446=0),0,
IF(O2446=0,N2472-1,
IF(N2472&lt;1,O2447,
(((N2472-1)*(N2448-(N2448/(N2472))))+((O2446/O$10)*O2447))/(O2448))))</f>
        <v>0</v>
      </c>
      <c r="P2472" s="1423">
        <f t="shared" ref="P2472" ca="1" si="3661">IF(AND(O2472&lt;1,P2446=0),0,
IF(P2446=0,O2472-1,
IF(O2472&lt;1,P2447,
(((O2472-1)*(O2448-(O2448/(O2472))))+((P2446/P$10)*P2447))/(P2448))))</f>
        <v>0</v>
      </c>
      <c r="Q2472" s="1423">
        <f t="shared" ref="Q2472" ca="1" si="3662">IF(AND(P2472&lt;1,Q2446=0),0,
IF(Q2446=0,P2472-1,
IF(P2472&lt;1,Q2447,
(((P2472-1)*(P2448-(P2448/(P2472))))+((Q2446/Q$10)*Q2447))/(Q2448))))</f>
        <v>0</v>
      </c>
      <c r="R2472" s="1423">
        <f t="shared" ref="R2472" ca="1" si="3663">IF(AND(Q2472&lt;1,R2446=0),0,
IF(R2446=0,Q2472-1,
IF(Q2472&lt;1,R2447,
(((Q2472-1)*(Q2448-(Q2448/(Q2472))))+((R2446/R$10)*R2447))/(R2448))))</f>
        <v>0</v>
      </c>
      <c r="S2472" s="1423">
        <f t="shared" ref="S2472" ca="1" si="3664">IF(AND(R2472&lt;1,S2446=0),0,
IF(S2446=0,R2472-1,
IF(R2472&lt;1,S2447,
(((R2472-1)*(R2448-(R2448/(R2472))))+((S2446/S$10)*S2447))/(S2448))))</f>
        <v>0</v>
      </c>
      <c r="T2472" s="1423">
        <f t="shared" ref="T2472" ca="1" si="3665">IF(AND(S2472&lt;1,T2446=0),0,
IF(T2446=0,S2472-1,
IF(S2472&lt;1,T2447,
(((S2472-1)*(S2448-(S2448/(S2472))))+((T2446/T$10)*T2447))/(T2448))))</f>
        <v>0</v>
      </c>
      <c r="U2472" s="1423">
        <f t="shared" ref="U2472" ca="1" si="3666">IF(AND(T2472&lt;1,U2446=0),0,
IF(U2446=0,T2472-1,
IF(T2472&lt;1,U2447,
(((T2472-1)*(T2448-(T2448/(T2472))))+((U2446/U$10)*U2447))/(U2448))))</f>
        <v>0</v>
      </c>
      <c r="V2472" s="1423">
        <f t="shared" ref="V2472" ca="1" si="3667">IF(AND(U2472&lt;1,V2446=0),0,
IF(V2446=0,U2472-1,
IF(U2472&lt;1,V2447,
(((U2472-1)*(U2448-(U2448/(U2472))))+((V2446/V$10)*V2447))/(V2448))))</f>
        <v>0</v>
      </c>
      <c r="W2472" s="1423">
        <f t="shared" ref="W2472" ca="1" si="3668">IF(AND(V2472&lt;1,W2446=0),0,
IF(W2446=0,V2472-1,
IF(V2472&lt;1,W2447,
(((V2472-1)*(V2448-(V2448/(V2472))))+((W2446/W$10)*W2447))/(W2448))))</f>
        <v>0</v>
      </c>
      <c r="X2472" s="152"/>
      <c r="Y2472" s="152"/>
      <c r="Z2472" s="152"/>
      <c r="AA2472" s="152"/>
      <c r="AB2472" s="152"/>
    </row>
    <row r="2473" spans="1:28" hidden="1" outlineLevel="1">
      <c r="A2473" s="152"/>
      <c r="B2473" s="190" t="s">
        <v>122</v>
      </c>
      <c r="C2473" s="1423">
        <f ca="1">C2445</f>
        <v>0</v>
      </c>
      <c r="D2473" s="1423">
        <f t="shared" ref="D2473" ca="1" si="3669">IF(C2473="n/a","n/a",MAX(0,C2473-1))</f>
        <v>0</v>
      </c>
      <c r="E2473" s="1423">
        <f t="shared" ref="E2473:E2474" ca="1" si="3670">IF(D2473="n/a","n/a",MAX(0,D2473-1))</f>
        <v>0</v>
      </c>
      <c r="F2473" s="1423">
        <f t="shared" ref="F2473:F2475" ca="1" si="3671">IF(E2473="n/a","n/a",MAX(0,E2473-1))</f>
        <v>0</v>
      </c>
      <c r="G2473" s="1423">
        <f t="shared" ref="G2473:G2476" ca="1" si="3672">IF(F2473="n/a","n/a",MAX(0,F2473-1))</f>
        <v>0</v>
      </c>
      <c r="H2473" s="1423">
        <f t="shared" ref="H2473:H2477" ca="1" si="3673">IF(G2473="n/a","n/a",MAX(0,G2473-1))</f>
        <v>0</v>
      </c>
      <c r="I2473" s="1423">
        <f t="shared" ref="I2473:I2478" ca="1" si="3674">IF(H2473="n/a","n/a",MAX(0,H2473-1))</f>
        <v>0</v>
      </c>
      <c r="J2473" s="1423">
        <f t="shared" ref="J2473:J2479" ca="1" si="3675">IF(I2473="n/a","n/a",MAX(0,I2473-1))</f>
        <v>0</v>
      </c>
      <c r="K2473" s="1423">
        <f t="shared" ref="K2473:K2480" ca="1" si="3676">IF(J2473="n/a","n/a",MAX(0,J2473-1))</f>
        <v>0</v>
      </c>
      <c r="L2473" s="1423">
        <f t="shared" ref="L2473:L2481" ca="1" si="3677">IF(K2473="n/a","n/a",MAX(0,K2473-1))</f>
        <v>0</v>
      </c>
      <c r="M2473" s="1423">
        <f t="shared" ref="M2473:M2482" ca="1" si="3678">IF(L2473="n/a","n/a",MAX(0,L2473-1))</f>
        <v>0</v>
      </c>
      <c r="N2473" s="1423">
        <f t="shared" ref="N2473:N2483" ca="1" si="3679">IF(M2473="n/a","n/a",MAX(0,M2473-1))</f>
        <v>0</v>
      </c>
      <c r="O2473" s="1423">
        <f t="shared" ref="O2473:O2484" ca="1" si="3680">IF(N2473="n/a","n/a",MAX(0,N2473-1))</f>
        <v>0</v>
      </c>
      <c r="P2473" s="1423">
        <f t="shared" ref="P2473:P2485" ca="1" si="3681">IF(O2473="n/a","n/a",MAX(0,O2473-1))</f>
        <v>0</v>
      </c>
      <c r="Q2473" s="1423">
        <f t="shared" ref="Q2473:Q2486" ca="1" si="3682">IF(P2473="n/a","n/a",MAX(0,P2473-1))</f>
        <v>0</v>
      </c>
      <c r="R2473" s="1423">
        <f t="shared" ref="R2473:R2487" ca="1" si="3683">IF(Q2473="n/a","n/a",MAX(0,Q2473-1))</f>
        <v>0</v>
      </c>
      <c r="S2473" s="1423">
        <f t="shared" ref="S2473:S2488" ca="1" si="3684">IF(R2473="n/a","n/a",MAX(0,R2473-1))</f>
        <v>0</v>
      </c>
      <c r="T2473" s="1423">
        <f t="shared" ref="T2473:T2489" ca="1" si="3685">IF(S2473="n/a","n/a",MAX(0,S2473-1))</f>
        <v>0</v>
      </c>
      <c r="U2473" s="1423">
        <f t="shared" ref="U2473:U2490" ca="1" si="3686">IF(T2473="n/a","n/a",MAX(0,T2473-1))</f>
        <v>0</v>
      </c>
      <c r="V2473" s="1423">
        <f t="shared" ref="V2473:V2491" ca="1" si="3687">IF(U2473="n/a","n/a",MAX(0,U2473-1))</f>
        <v>0</v>
      </c>
      <c r="W2473" s="1423">
        <f t="shared" ref="W2473:W2491" ca="1" si="3688">IF(V2473="n/a","n/a",MAX(0,V2473-1))</f>
        <v>0</v>
      </c>
      <c r="X2473" s="152"/>
      <c r="Y2473" s="152"/>
      <c r="Z2473" s="152"/>
      <c r="AA2473" s="152"/>
      <c r="AB2473" s="152"/>
    </row>
    <row r="2474" spans="1:28" hidden="1" outlineLevel="1">
      <c r="A2474" s="152"/>
      <c r="B2474" s="190" t="str">
        <f t="shared" ref="B2474:B2493" ca="1" si="3689">"RL Capex "&amp;OFFSET($C$6,0,A2450)</f>
        <v>RL Capex 2016-17</v>
      </c>
      <c r="C2474" s="1424"/>
      <c r="D2474" s="1428">
        <f>D2445</f>
        <v>0</v>
      </c>
      <c r="E2474" s="1423">
        <f t="shared" si="3670"/>
        <v>0</v>
      </c>
      <c r="F2474" s="1423">
        <f t="shared" si="3671"/>
        <v>0</v>
      </c>
      <c r="G2474" s="1423">
        <f t="shared" si="3672"/>
        <v>0</v>
      </c>
      <c r="H2474" s="1423">
        <f t="shared" si="3673"/>
        <v>0</v>
      </c>
      <c r="I2474" s="1423">
        <f t="shared" si="3674"/>
        <v>0</v>
      </c>
      <c r="J2474" s="1423">
        <f t="shared" si="3675"/>
        <v>0</v>
      </c>
      <c r="K2474" s="1423">
        <f t="shared" si="3676"/>
        <v>0</v>
      </c>
      <c r="L2474" s="1423">
        <f t="shared" si="3677"/>
        <v>0</v>
      </c>
      <c r="M2474" s="1423">
        <f t="shared" si="3678"/>
        <v>0</v>
      </c>
      <c r="N2474" s="1423">
        <f t="shared" si="3679"/>
        <v>0</v>
      </c>
      <c r="O2474" s="1423">
        <f t="shared" si="3680"/>
        <v>0</v>
      </c>
      <c r="P2474" s="1423">
        <f t="shared" si="3681"/>
        <v>0</v>
      </c>
      <c r="Q2474" s="1423">
        <f t="shared" si="3682"/>
        <v>0</v>
      </c>
      <c r="R2474" s="1423">
        <f t="shared" si="3683"/>
        <v>0</v>
      </c>
      <c r="S2474" s="1423">
        <f t="shared" si="3684"/>
        <v>0</v>
      </c>
      <c r="T2474" s="1423">
        <f t="shared" si="3685"/>
        <v>0</v>
      </c>
      <c r="U2474" s="1423">
        <f t="shared" si="3686"/>
        <v>0</v>
      </c>
      <c r="V2474" s="1423">
        <f t="shared" si="3687"/>
        <v>0</v>
      </c>
      <c r="W2474" s="1423">
        <f t="shared" si="3688"/>
        <v>0</v>
      </c>
      <c r="X2474" s="152"/>
      <c r="Y2474" s="152"/>
      <c r="Z2474" s="152"/>
      <c r="AA2474" s="152"/>
      <c r="AB2474" s="152"/>
    </row>
    <row r="2475" spans="1:28" hidden="1" outlineLevel="1">
      <c r="A2475" s="152"/>
      <c r="B2475" s="190" t="str">
        <f t="shared" ca="1" si="3689"/>
        <v>RL Capex 2017-18</v>
      </c>
      <c r="C2475" s="1429"/>
      <c r="D2475" s="1424"/>
      <c r="E2475" s="1428">
        <f>E2445</f>
        <v>0</v>
      </c>
      <c r="F2475" s="1423">
        <f t="shared" si="3671"/>
        <v>0</v>
      </c>
      <c r="G2475" s="1423">
        <f t="shared" si="3672"/>
        <v>0</v>
      </c>
      <c r="H2475" s="1423">
        <f t="shared" si="3673"/>
        <v>0</v>
      </c>
      <c r="I2475" s="1423">
        <f t="shared" si="3674"/>
        <v>0</v>
      </c>
      <c r="J2475" s="1423">
        <f t="shared" si="3675"/>
        <v>0</v>
      </c>
      <c r="K2475" s="1423">
        <f t="shared" si="3676"/>
        <v>0</v>
      </c>
      <c r="L2475" s="1423">
        <f t="shared" si="3677"/>
        <v>0</v>
      </c>
      <c r="M2475" s="1423">
        <f t="shared" si="3678"/>
        <v>0</v>
      </c>
      <c r="N2475" s="1423">
        <f t="shared" si="3679"/>
        <v>0</v>
      </c>
      <c r="O2475" s="1423">
        <f t="shared" si="3680"/>
        <v>0</v>
      </c>
      <c r="P2475" s="1423">
        <f t="shared" si="3681"/>
        <v>0</v>
      </c>
      <c r="Q2475" s="1423">
        <f t="shared" si="3682"/>
        <v>0</v>
      </c>
      <c r="R2475" s="1423">
        <f t="shared" si="3683"/>
        <v>0</v>
      </c>
      <c r="S2475" s="1423">
        <f t="shared" si="3684"/>
        <v>0</v>
      </c>
      <c r="T2475" s="1423">
        <f t="shared" si="3685"/>
        <v>0</v>
      </c>
      <c r="U2475" s="1423">
        <f t="shared" si="3686"/>
        <v>0</v>
      </c>
      <c r="V2475" s="1423">
        <f t="shared" si="3687"/>
        <v>0</v>
      </c>
      <c r="W2475" s="1423">
        <f t="shared" si="3688"/>
        <v>0</v>
      </c>
      <c r="X2475" s="152"/>
      <c r="Y2475" s="152"/>
      <c r="Z2475" s="152"/>
      <c r="AA2475" s="152"/>
      <c r="AB2475" s="152"/>
    </row>
    <row r="2476" spans="1:28" hidden="1" outlineLevel="1">
      <c r="A2476" s="152"/>
      <c r="B2476" s="190" t="str">
        <f t="shared" ca="1" si="3689"/>
        <v>RL Capex 2018-19</v>
      </c>
      <c r="C2476" s="1429"/>
      <c r="D2476" s="1429"/>
      <c r="E2476" s="1424"/>
      <c r="F2476" s="1428">
        <f>F2445</f>
        <v>0</v>
      </c>
      <c r="G2476" s="1423">
        <f t="shared" si="3672"/>
        <v>0</v>
      </c>
      <c r="H2476" s="1423">
        <f t="shared" si="3673"/>
        <v>0</v>
      </c>
      <c r="I2476" s="1423">
        <f t="shared" si="3674"/>
        <v>0</v>
      </c>
      <c r="J2476" s="1423">
        <f t="shared" si="3675"/>
        <v>0</v>
      </c>
      <c r="K2476" s="1423">
        <f t="shared" si="3676"/>
        <v>0</v>
      </c>
      <c r="L2476" s="1423">
        <f t="shared" si="3677"/>
        <v>0</v>
      </c>
      <c r="M2476" s="1423">
        <f t="shared" si="3678"/>
        <v>0</v>
      </c>
      <c r="N2476" s="1423">
        <f t="shared" si="3679"/>
        <v>0</v>
      </c>
      <c r="O2476" s="1423">
        <f t="shared" si="3680"/>
        <v>0</v>
      </c>
      <c r="P2476" s="1423">
        <f t="shared" si="3681"/>
        <v>0</v>
      </c>
      <c r="Q2476" s="1423">
        <f t="shared" si="3682"/>
        <v>0</v>
      </c>
      <c r="R2476" s="1423">
        <f t="shared" si="3683"/>
        <v>0</v>
      </c>
      <c r="S2476" s="1423">
        <f t="shared" si="3684"/>
        <v>0</v>
      </c>
      <c r="T2476" s="1423">
        <f t="shared" si="3685"/>
        <v>0</v>
      </c>
      <c r="U2476" s="1423">
        <f t="shared" si="3686"/>
        <v>0</v>
      </c>
      <c r="V2476" s="1423">
        <f t="shared" si="3687"/>
        <v>0</v>
      </c>
      <c r="W2476" s="1423">
        <f t="shared" si="3688"/>
        <v>0</v>
      </c>
      <c r="X2476" s="152"/>
      <c r="Y2476" s="152"/>
      <c r="Z2476" s="152"/>
      <c r="AA2476" s="152"/>
      <c r="AB2476" s="152"/>
    </row>
    <row r="2477" spans="1:28" hidden="1" outlineLevel="1">
      <c r="A2477" s="152"/>
      <c r="B2477" s="190" t="str">
        <f t="shared" ca="1" si="3689"/>
        <v>RL Capex 2019-20</v>
      </c>
      <c r="C2477" s="1429"/>
      <c r="D2477" s="1429"/>
      <c r="E2477" s="1429"/>
      <c r="F2477" s="1424"/>
      <c r="G2477" s="1428">
        <f>G2445</f>
        <v>0</v>
      </c>
      <c r="H2477" s="1423">
        <f t="shared" si="3673"/>
        <v>0</v>
      </c>
      <c r="I2477" s="1423">
        <f t="shared" si="3674"/>
        <v>0</v>
      </c>
      <c r="J2477" s="1423">
        <f t="shared" si="3675"/>
        <v>0</v>
      </c>
      <c r="K2477" s="1423">
        <f t="shared" si="3676"/>
        <v>0</v>
      </c>
      <c r="L2477" s="1423">
        <f t="shared" si="3677"/>
        <v>0</v>
      </c>
      <c r="M2477" s="1423">
        <f t="shared" si="3678"/>
        <v>0</v>
      </c>
      <c r="N2477" s="1423">
        <f t="shared" si="3679"/>
        <v>0</v>
      </c>
      <c r="O2477" s="1423">
        <f t="shared" si="3680"/>
        <v>0</v>
      </c>
      <c r="P2477" s="1423">
        <f t="shared" si="3681"/>
        <v>0</v>
      </c>
      <c r="Q2477" s="1423">
        <f t="shared" si="3682"/>
        <v>0</v>
      </c>
      <c r="R2477" s="1423">
        <f t="shared" si="3683"/>
        <v>0</v>
      </c>
      <c r="S2477" s="1423">
        <f t="shared" si="3684"/>
        <v>0</v>
      </c>
      <c r="T2477" s="1423">
        <f t="shared" si="3685"/>
        <v>0</v>
      </c>
      <c r="U2477" s="1423">
        <f t="shared" si="3686"/>
        <v>0</v>
      </c>
      <c r="V2477" s="1423">
        <f t="shared" si="3687"/>
        <v>0</v>
      </c>
      <c r="W2477" s="1423">
        <f t="shared" si="3688"/>
        <v>0</v>
      </c>
      <c r="X2477" s="152"/>
      <c r="Y2477" s="152"/>
      <c r="Z2477" s="152"/>
      <c r="AA2477" s="152"/>
      <c r="AB2477" s="152"/>
    </row>
    <row r="2478" spans="1:28" hidden="1" outlineLevel="1">
      <c r="A2478" s="152"/>
      <c r="B2478" s="190" t="str">
        <f t="shared" ca="1" si="3689"/>
        <v>RL Capex 2020-21</v>
      </c>
      <c r="C2478" s="1429"/>
      <c r="D2478" s="1429"/>
      <c r="E2478" s="1429"/>
      <c r="F2478" s="1429"/>
      <c r="G2478" s="1424"/>
      <c r="H2478" s="1428">
        <f>H2445</f>
        <v>0</v>
      </c>
      <c r="I2478" s="1423">
        <f t="shared" si="3674"/>
        <v>0</v>
      </c>
      <c r="J2478" s="1423">
        <f t="shared" si="3675"/>
        <v>0</v>
      </c>
      <c r="K2478" s="1423">
        <f t="shared" si="3676"/>
        <v>0</v>
      </c>
      <c r="L2478" s="1423">
        <f t="shared" si="3677"/>
        <v>0</v>
      </c>
      <c r="M2478" s="1423">
        <f t="shared" si="3678"/>
        <v>0</v>
      </c>
      <c r="N2478" s="1423">
        <f t="shared" si="3679"/>
        <v>0</v>
      </c>
      <c r="O2478" s="1423">
        <f t="shared" si="3680"/>
        <v>0</v>
      </c>
      <c r="P2478" s="1423">
        <f t="shared" si="3681"/>
        <v>0</v>
      </c>
      <c r="Q2478" s="1423">
        <f t="shared" si="3682"/>
        <v>0</v>
      </c>
      <c r="R2478" s="1423">
        <f t="shared" si="3683"/>
        <v>0</v>
      </c>
      <c r="S2478" s="1423">
        <f t="shared" si="3684"/>
        <v>0</v>
      </c>
      <c r="T2478" s="1423">
        <f t="shared" si="3685"/>
        <v>0</v>
      </c>
      <c r="U2478" s="1423">
        <f t="shared" si="3686"/>
        <v>0</v>
      </c>
      <c r="V2478" s="1423">
        <f t="shared" si="3687"/>
        <v>0</v>
      </c>
      <c r="W2478" s="1423">
        <f t="shared" si="3688"/>
        <v>0</v>
      </c>
      <c r="X2478" s="152"/>
      <c r="Y2478" s="152"/>
      <c r="Z2478" s="152"/>
      <c r="AA2478" s="152"/>
      <c r="AB2478" s="152"/>
    </row>
    <row r="2479" spans="1:28" hidden="1" outlineLevel="1">
      <c r="A2479" s="152"/>
      <c r="B2479" s="190" t="str">
        <f t="shared" ca="1" si="3689"/>
        <v>RL Capex 2021-22</v>
      </c>
      <c r="C2479" s="1429"/>
      <c r="D2479" s="1429"/>
      <c r="E2479" s="1429"/>
      <c r="F2479" s="1429"/>
      <c r="G2479" s="1429"/>
      <c r="H2479" s="1424"/>
      <c r="I2479" s="1428">
        <f>I2445</f>
        <v>0</v>
      </c>
      <c r="J2479" s="1423">
        <f t="shared" si="3675"/>
        <v>0</v>
      </c>
      <c r="K2479" s="1423">
        <f t="shared" si="3676"/>
        <v>0</v>
      </c>
      <c r="L2479" s="1423">
        <f t="shared" si="3677"/>
        <v>0</v>
      </c>
      <c r="M2479" s="1423">
        <f t="shared" si="3678"/>
        <v>0</v>
      </c>
      <c r="N2479" s="1423">
        <f t="shared" si="3679"/>
        <v>0</v>
      </c>
      <c r="O2479" s="1423">
        <f t="shared" si="3680"/>
        <v>0</v>
      </c>
      <c r="P2479" s="1423">
        <f t="shared" si="3681"/>
        <v>0</v>
      </c>
      <c r="Q2479" s="1423">
        <f t="shared" si="3682"/>
        <v>0</v>
      </c>
      <c r="R2479" s="1423">
        <f t="shared" si="3683"/>
        <v>0</v>
      </c>
      <c r="S2479" s="1423">
        <f t="shared" si="3684"/>
        <v>0</v>
      </c>
      <c r="T2479" s="1423">
        <f t="shared" si="3685"/>
        <v>0</v>
      </c>
      <c r="U2479" s="1423">
        <f t="shared" si="3686"/>
        <v>0</v>
      </c>
      <c r="V2479" s="1423">
        <f t="shared" si="3687"/>
        <v>0</v>
      </c>
      <c r="W2479" s="1423">
        <f t="shared" si="3688"/>
        <v>0</v>
      </c>
      <c r="X2479" s="152"/>
      <c r="Y2479" s="152"/>
      <c r="Z2479" s="152"/>
      <c r="AA2479" s="152"/>
      <c r="AB2479" s="152"/>
    </row>
    <row r="2480" spans="1:28" hidden="1" outlineLevel="1">
      <c r="A2480" s="152"/>
      <c r="B2480" s="190" t="str">
        <f t="shared" ca="1" si="3689"/>
        <v>RL Capex 2022-23</v>
      </c>
      <c r="C2480" s="1429"/>
      <c r="D2480" s="1429"/>
      <c r="E2480" s="1429"/>
      <c r="F2480" s="1429"/>
      <c r="G2480" s="1429"/>
      <c r="H2480" s="1429"/>
      <c r="I2480" s="1424"/>
      <c r="J2480" s="1428">
        <f>J2445</f>
        <v>0</v>
      </c>
      <c r="K2480" s="1423">
        <f t="shared" si="3676"/>
        <v>0</v>
      </c>
      <c r="L2480" s="1423">
        <f t="shared" si="3677"/>
        <v>0</v>
      </c>
      <c r="M2480" s="1423">
        <f t="shared" si="3678"/>
        <v>0</v>
      </c>
      <c r="N2480" s="1423">
        <f t="shared" si="3679"/>
        <v>0</v>
      </c>
      <c r="O2480" s="1423">
        <f t="shared" si="3680"/>
        <v>0</v>
      </c>
      <c r="P2480" s="1423">
        <f t="shared" si="3681"/>
        <v>0</v>
      </c>
      <c r="Q2480" s="1423">
        <f t="shared" si="3682"/>
        <v>0</v>
      </c>
      <c r="R2480" s="1423">
        <f t="shared" si="3683"/>
        <v>0</v>
      </c>
      <c r="S2480" s="1423">
        <f t="shared" si="3684"/>
        <v>0</v>
      </c>
      <c r="T2480" s="1423">
        <f t="shared" si="3685"/>
        <v>0</v>
      </c>
      <c r="U2480" s="1423">
        <f t="shared" si="3686"/>
        <v>0</v>
      </c>
      <c r="V2480" s="1423">
        <f t="shared" si="3687"/>
        <v>0</v>
      </c>
      <c r="W2480" s="1423">
        <f t="shared" si="3688"/>
        <v>0</v>
      </c>
      <c r="X2480" s="152"/>
      <c r="Y2480" s="152"/>
      <c r="Z2480" s="152"/>
      <c r="AA2480" s="152"/>
      <c r="AB2480" s="152"/>
    </row>
    <row r="2481" spans="1:28" hidden="1" outlineLevel="1">
      <c r="A2481" s="152"/>
      <c r="B2481" s="190" t="str">
        <f t="shared" ca="1" si="3689"/>
        <v>RL Capex 2023-24</v>
      </c>
      <c r="C2481" s="1429"/>
      <c r="D2481" s="1429"/>
      <c r="E2481" s="1429"/>
      <c r="F2481" s="1429"/>
      <c r="G2481" s="1429"/>
      <c r="H2481" s="1429"/>
      <c r="I2481" s="1429"/>
      <c r="J2481" s="1424"/>
      <c r="K2481" s="1428">
        <f>K2445</f>
        <v>0</v>
      </c>
      <c r="L2481" s="1423">
        <f t="shared" si="3677"/>
        <v>0</v>
      </c>
      <c r="M2481" s="1423">
        <f t="shared" si="3678"/>
        <v>0</v>
      </c>
      <c r="N2481" s="1423">
        <f t="shared" si="3679"/>
        <v>0</v>
      </c>
      <c r="O2481" s="1423">
        <f t="shared" si="3680"/>
        <v>0</v>
      </c>
      <c r="P2481" s="1423">
        <f t="shared" si="3681"/>
        <v>0</v>
      </c>
      <c r="Q2481" s="1423">
        <f t="shared" si="3682"/>
        <v>0</v>
      </c>
      <c r="R2481" s="1423">
        <f t="shared" si="3683"/>
        <v>0</v>
      </c>
      <c r="S2481" s="1423">
        <f t="shared" si="3684"/>
        <v>0</v>
      </c>
      <c r="T2481" s="1423">
        <f t="shared" si="3685"/>
        <v>0</v>
      </c>
      <c r="U2481" s="1423">
        <f t="shared" si="3686"/>
        <v>0</v>
      </c>
      <c r="V2481" s="1423">
        <f t="shared" si="3687"/>
        <v>0</v>
      </c>
      <c r="W2481" s="1423">
        <f t="shared" si="3688"/>
        <v>0</v>
      </c>
      <c r="X2481" s="152"/>
      <c r="Y2481" s="152"/>
      <c r="Z2481" s="152"/>
      <c r="AA2481" s="152"/>
      <c r="AB2481" s="152"/>
    </row>
    <row r="2482" spans="1:28" hidden="1" outlineLevel="1">
      <c r="A2482" s="152"/>
      <c r="B2482" s="190" t="str">
        <f t="shared" ca="1" si="3689"/>
        <v>RL Capex 2024-25</v>
      </c>
      <c r="C2482" s="1429"/>
      <c r="D2482" s="1429"/>
      <c r="E2482" s="1429"/>
      <c r="F2482" s="1429"/>
      <c r="G2482" s="1429"/>
      <c r="H2482" s="1429"/>
      <c r="I2482" s="1429"/>
      <c r="J2482" s="1429"/>
      <c r="K2482" s="1424"/>
      <c r="L2482" s="1428">
        <f>L2445</f>
        <v>0</v>
      </c>
      <c r="M2482" s="1423">
        <f t="shared" si="3678"/>
        <v>0</v>
      </c>
      <c r="N2482" s="1423">
        <f t="shared" si="3679"/>
        <v>0</v>
      </c>
      <c r="O2482" s="1423">
        <f t="shared" si="3680"/>
        <v>0</v>
      </c>
      <c r="P2482" s="1423">
        <f t="shared" si="3681"/>
        <v>0</v>
      </c>
      <c r="Q2482" s="1423">
        <f t="shared" si="3682"/>
        <v>0</v>
      </c>
      <c r="R2482" s="1423">
        <f t="shared" si="3683"/>
        <v>0</v>
      </c>
      <c r="S2482" s="1423">
        <f t="shared" si="3684"/>
        <v>0</v>
      </c>
      <c r="T2482" s="1423">
        <f t="shared" si="3685"/>
        <v>0</v>
      </c>
      <c r="U2482" s="1423">
        <f t="shared" si="3686"/>
        <v>0</v>
      </c>
      <c r="V2482" s="1423">
        <f t="shared" si="3687"/>
        <v>0</v>
      </c>
      <c r="W2482" s="1423">
        <f t="shared" si="3688"/>
        <v>0</v>
      </c>
      <c r="X2482" s="152"/>
      <c r="Y2482" s="152"/>
      <c r="Z2482" s="152"/>
      <c r="AA2482" s="152"/>
      <c r="AB2482" s="152"/>
    </row>
    <row r="2483" spans="1:28" hidden="1" outlineLevel="1">
      <c r="A2483" s="152"/>
      <c r="B2483" s="190" t="str">
        <f t="shared" ca="1" si="3689"/>
        <v>RL Capex 2025-26</v>
      </c>
      <c r="C2483" s="1429"/>
      <c r="D2483" s="1429"/>
      <c r="E2483" s="1429"/>
      <c r="F2483" s="1429"/>
      <c r="G2483" s="1429"/>
      <c r="H2483" s="1429"/>
      <c r="I2483" s="1429"/>
      <c r="J2483" s="1429"/>
      <c r="K2483" s="1429"/>
      <c r="L2483" s="1424"/>
      <c r="M2483" s="1428">
        <f>M2445</f>
        <v>0</v>
      </c>
      <c r="N2483" s="1423">
        <f t="shared" si="3679"/>
        <v>0</v>
      </c>
      <c r="O2483" s="1423">
        <f t="shared" si="3680"/>
        <v>0</v>
      </c>
      <c r="P2483" s="1423">
        <f t="shared" si="3681"/>
        <v>0</v>
      </c>
      <c r="Q2483" s="1423">
        <f t="shared" si="3682"/>
        <v>0</v>
      </c>
      <c r="R2483" s="1423">
        <f t="shared" si="3683"/>
        <v>0</v>
      </c>
      <c r="S2483" s="1423">
        <f t="shared" si="3684"/>
        <v>0</v>
      </c>
      <c r="T2483" s="1423">
        <f t="shared" si="3685"/>
        <v>0</v>
      </c>
      <c r="U2483" s="1423">
        <f t="shared" si="3686"/>
        <v>0</v>
      </c>
      <c r="V2483" s="1423">
        <f t="shared" si="3687"/>
        <v>0</v>
      </c>
      <c r="W2483" s="1423">
        <f t="shared" si="3688"/>
        <v>0</v>
      </c>
      <c r="X2483" s="152"/>
      <c r="Y2483" s="152"/>
      <c r="Z2483" s="152"/>
      <c r="AA2483" s="152"/>
      <c r="AB2483" s="152"/>
    </row>
    <row r="2484" spans="1:28" hidden="1" outlineLevel="1">
      <c r="A2484" s="152"/>
      <c r="B2484" s="190" t="str">
        <f t="shared" ca="1" si="3689"/>
        <v>RL Capex 2026-27</v>
      </c>
      <c r="C2484" s="1429"/>
      <c r="D2484" s="1429"/>
      <c r="E2484" s="1429"/>
      <c r="F2484" s="1429"/>
      <c r="G2484" s="1429"/>
      <c r="H2484" s="1429"/>
      <c r="I2484" s="1429"/>
      <c r="J2484" s="1429"/>
      <c r="K2484" s="1429"/>
      <c r="L2484" s="1429"/>
      <c r="M2484" s="1424"/>
      <c r="N2484" s="1428">
        <f>N2445</f>
        <v>0</v>
      </c>
      <c r="O2484" s="1423">
        <f t="shared" si="3680"/>
        <v>0</v>
      </c>
      <c r="P2484" s="1423">
        <f t="shared" si="3681"/>
        <v>0</v>
      </c>
      <c r="Q2484" s="1423">
        <f t="shared" si="3682"/>
        <v>0</v>
      </c>
      <c r="R2484" s="1423">
        <f t="shared" si="3683"/>
        <v>0</v>
      </c>
      <c r="S2484" s="1423">
        <f t="shared" si="3684"/>
        <v>0</v>
      </c>
      <c r="T2484" s="1423">
        <f t="shared" si="3685"/>
        <v>0</v>
      </c>
      <c r="U2484" s="1423">
        <f t="shared" si="3686"/>
        <v>0</v>
      </c>
      <c r="V2484" s="1423">
        <f t="shared" si="3687"/>
        <v>0</v>
      </c>
      <c r="W2484" s="1423">
        <f t="shared" si="3688"/>
        <v>0</v>
      </c>
      <c r="X2484" s="152"/>
      <c r="Y2484" s="152"/>
      <c r="Z2484" s="152"/>
      <c r="AA2484" s="152"/>
      <c r="AB2484" s="152"/>
    </row>
    <row r="2485" spans="1:28" hidden="1" outlineLevel="1">
      <c r="A2485" s="152"/>
      <c r="B2485" s="190" t="str">
        <f t="shared" ca="1" si="3689"/>
        <v>RL Capex 2027-28</v>
      </c>
      <c r="C2485" s="1429"/>
      <c r="D2485" s="1429"/>
      <c r="E2485" s="1429"/>
      <c r="F2485" s="1429"/>
      <c r="G2485" s="1429"/>
      <c r="H2485" s="1429"/>
      <c r="I2485" s="1429"/>
      <c r="J2485" s="1429"/>
      <c r="K2485" s="1429"/>
      <c r="L2485" s="1429"/>
      <c r="M2485" s="1429"/>
      <c r="N2485" s="1424"/>
      <c r="O2485" s="1428">
        <f>O2445</f>
        <v>0</v>
      </c>
      <c r="P2485" s="1423">
        <f t="shared" si="3681"/>
        <v>0</v>
      </c>
      <c r="Q2485" s="1423">
        <f t="shared" si="3682"/>
        <v>0</v>
      </c>
      <c r="R2485" s="1423">
        <f t="shared" si="3683"/>
        <v>0</v>
      </c>
      <c r="S2485" s="1423">
        <f t="shared" si="3684"/>
        <v>0</v>
      </c>
      <c r="T2485" s="1423">
        <f t="shared" si="3685"/>
        <v>0</v>
      </c>
      <c r="U2485" s="1423">
        <f t="shared" si="3686"/>
        <v>0</v>
      </c>
      <c r="V2485" s="1423">
        <f t="shared" si="3687"/>
        <v>0</v>
      </c>
      <c r="W2485" s="1423">
        <f t="shared" si="3688"/>
        <v>0</v>
      </c>
      <c r="X2485" s="152"/>
      <c r="Y2485" s="152"/>
      <c r="Z2485" s="152"/>
      <c r="AA2485" s="152"/>
      <c r="AB2485" s="152"/>
    </row>
    <row r="2486" spans="1:28" hidden="1" outlineLevel="1">
      <c r="A2486" s="152"/>
      <c r="B2486" s="190" t="str">
        <f t="shared" ca="1" si="3689"/>
        <v>RL Capex 2028-29</v>
      </c>
      <c r="C2486" s="1429"/>
      <c r="D2486" s="1429"/>
      <c r="E2486" s="1429"/>
      <c r="F2486" s="1429"/>
      <c r="G2486" s="1429"/>
      <c r="H2486" s="1429"/>
      <c r="I2486" s="1429"/>
      <c r="J2486" s="1429"/>
      <c r="K2486" s="1429"/>
      <c r="L2486" s="1429"/>
      <c r="M2486" s="1429"/>
      <c r="N2486" s="1429"/>
      <c r="O2486" s="1424"/>
      <c r="P2486" s="1428">
        <f>P2445</f>
        <v>0</v>
      </c>
      <c r="Q2486" s="1423">
        <f t="shared" si="3682"/>
        <v>0</v>
      </c>
      <c r="R2486" s="1423">
        <f t="shared" si="3683"/>
        <v>0</v>
      </c>
      <c r="S2486" s="1423">
        <f t="shared" si="3684"/>
        <v>0</v>
      </c>
      <c r="T2486" s="1423">
        <f t="shared" si="3685"/>
        <v>0</v>
      </c>
      <c r="U2486" s="1423">
        <f t="shared" si="3686"/>
        <v>0</v>
      </c>
      <c r="V2486" s="1423">
        <f t="shared" si="3687"/>
        <v>0</v>
      </c>
      <c r="W2486" s="1423">
        <f t="shared" si="3688"/>
        <v>0</v>
      </c>
      <c r="X2486" s="152"/>
      <c r="Y2486" s="152"/>
      <c r="Z2486" s="152"/>
      <c r="AA2486" s="152"/>
      <c r="AB2486" s="152"/>
    </row>
    <row r="2487" spans="1:28" hidden="1" outlineLevel="1">
      <c r="A2487" s="152"/>
      <c r="B2487" s="190" t="str">
        <f t="shared" ca="1" si="3689"/>
        <v>RL Capex 2029-30</v>
      </c>
      <c r="C2487" s="1429"/>
      <c r="D2487" s="1429"/>
      <c r="E2487" s="1429"/>
      <c r="F2487" s="1429"/>
      <c r="G2487" s="1429"/>
      <c r="H2487" s="1429"/>
      <c r="I2487" s="1429"/>
      <c r="J2487" s="1429"/>
      <c r="K2487" s="1429"/>
      <c r="L2487" s="1429"/>
      <c r="M2487" s="1429"/>
      <c r="N2487" s="1429"/>
      <c r="O2487" s="1429"/>
      <c r="P2487" s="1424"/>
      <c r="Q2487" s="1428">
        <f>Q2445</f>
        <v>0</v>
      </c>
      <c r="R2487" s="1423">
        <f t="shared" si="3683"/>
        <v>0</v>
      </c>
      <c r="S2487" s="1423">
        <f t="shared" si="3684"/>
        <v>0</v>
      </c>
      <c r="T2487" s="1423">
        <f t="shared" si="3685"/>
        <v>0</v>
      </c>
      <c r="U2487" s="1423">
        <f t="shared" si="3686"/>
        <v>0</v>
      </c>
      <c r="V2487" s="1423">
        <f t="shared" si="3687"/>
        <v>0</v>
      </c>
      <c r="W2487" s="1423">
        <f t="shared" si="3688"/>
        <v>0</v>
      </c>
      <c r="X2487" s="152"/>
      <c r="Y2487" s="152"/>
      <c r="Z2487" s="152"/>
      <c r="AA2487" s="152"/>
      <c r="AB2487" s="152"/>
    </row>
    <row r="2488" spans="1:28" hidden="1" outlineLevel="1">
      <c r="A2488" s="152"/>
      <c r="B2488" s="190" t="str">
        <f t="shared" ca="1" si="3689"/>
        <v>RL Capex 2030-31</v>
      </c>
      <c r="C2488" s="1429"/>
      <c r="D2488" s="1429"/>
      <c r="E2488" s="1429"/>
      <c r="F2488" s="1429"/>
      <c r="G2488" s="1429"/>
      <c r="H2488" s="1429"/>
      <c r="I2488" s="1429"/>
      <c r="J2488" s="1429"/>
      <c r="K2488" s="1429"/>
      <c r="L2488" s="1429"/>
      <c r="M2488" s="1429"/>
      <c r="N2488" s="1429"/>
      <c r="O2488" s="1429"/>
      <c r="P2488" s="1429"/>
      <c r="Q2488" s="1424"/>
      <c r="R2488" s="1428">
        <f>R2445</f>
        <v>0</v>
      </c>
      <c r="S2488" s="1423">
        <f t="shared" si="3684"/>
        <v>0</v>
      </c>
      <c r="T2488" s="1423">
        <f t="shared" si="3685"/>
        <v>0</v>
      </c>
      <c r="U2488" s="1423">
        <f t="shared" si="3686"/>
        <v>0</v>
      </c>
      <c r="V2488" s="1423">
        <f t="shared" si="3687"/>
        <v>0</v>
      </c>
      <c r="W2488" s="1423">
        <f t="shared" si="3688"/>
        <v>0</v>
      </c>
      <c r="X2488" s="152"/>
      <c r="Y2488" s="152"/>
      <c r="Z2488" s="152"/>
      <c r="AA2488" s="152"/>
      <c r="AB2488" s="152"/>
    </row>
    <row r="2489" spans="1:28" hidden="1" outlineLevel="1">
      <c r="A2489" s="152"/>
      <c r="B2489" s="190" t="str">
        <f t="shared" ca="1" si="3689"/>
        <v>RL Capex 2031-32</v>
      </c>
      <c r="C2489" s="1429"/>
      <c r="D2489" s="1429"/>
      <c r="E2489" s="1429"/>
      <c r="F2489" s="1429"/>
      <c r="G2489" s="1429"/>
      <c r="H2489" s="1429"/>
      <c r="I2489" s="1429"/>
      <c r="J2489" s="1429"/>
      <c r="K2489" s="1429"/>
      <c r="L2489" s="1429"/>
      <c r="M2489" s="1429"/>
      <c r="N2489" s="1429"/>
      <c r="O2489" s="1429"/>
      <c r="P2489" s="1429"/>
      <c r="Q2489" s="1429"/>
      <c r="R2489" s="1424"/>
      <c r="S2489" s="1428">
        <f>S2445</f>
        <v>0</v>
      </c>
      <c r="T2489" s="1423">
        <f t="shared" si="3685"/>
        <v>0</v>
      </c>
      <c r="U2489" s="1423">
        <f t="shared" si="3686"/>
        <v>0</v>
      </c>
      <c r="V2489" s="1423">
        <f t="shared" si="3687"/>
        <v>0</v>
      </c>
      <c r="W2489" s="1423">
        <f t="shared" si="3688"/>
        <v>0</v>
      </c>
      <c r="X2489" s="152"/>
      <c r="Y2489" s="152"/>
      <c r="Z2489" s="152"/>
      <c r="AA2489" s="152"/>
      <c r="AB2489" s="152"/>
    </row>
    <row r="2490" spans="1:28" hidden="1" outlineLevel="1">
      <c r="A2490" s="152"/>
      <c r="B2490" s="190" t="str">
        <f t="shared" ca="1" si="3689"/>
        <v>RL Capex 2032-33</v>
      </c>
      <c r="C2490" s="1429"/>
      <c r="D2490" s="1429"/>
      <c r="E2490" s="1429"/>
      <c r="F2490" s="1429"/>
      <c r="G2490" s="1429"/>
      <c r="H2490" s="1429"/>
      <c r="I2490" s="1429"/>
      <c r="J2490" s="1429"/>
      <c r="K2490" s="1429"/>
      <c r="L2490" s="1429"/>
      <c r="M2490" s="1429"/>
      <c r="N2490" s="1429"/>
      <c r="O2490" s="1429"/>
      <c r="P2490" s="1429"/>
      <c r="Q2490" s="1429"/>
      <c r="R2490" s="1429"/>
      <c r="S2490" s="1424"/>
      <c r="T2490" s="1428">
        <f>T2445</f>
        <v>0</v>
      </c>
      <c r="U2490" s="1423">
        <f t="shared" si="3686"/>
        <v>0</v>
      </c>
      <c r="V2490" s="1423">
        <f t="shared" si="3687"/>
        <v>0</v>
      </c>
      <c r="W2490" s="1423">
        <f t="shared" si="3688"/>
        <v>0</v>
      </c>
      <c r="X2490" s="152"/>
      <c r="Y2490" s="152"/>
      <c r="Z2490" s="152"/>
      <c r="AA2490" s="152"/>
      <c r="AB2490" s="152"/>
    </row>
    <row r="2491" spans="1:28" hidden="1" outlineLevel="1">
      <c r="A2491" s="152"/>
      <c r="B2491" s="190" t="str">
        <f t="shared" ca="1" si="3689"/>
        <v>RL Capex 2033-34</v>
      </c>
      <c r="C2491" s="1429"/>
      <c r="D2491" s="1429"/>
      <c r="E2491" s="1429"/>
      <c r="F2491" s="1429"/>
      <c r="G2491" s="1429"/>
      <c r="H2491" s="1429"/>
      <c r="I2491" s="1429"/>
      <c r="J2491" s="1429"/>
      <c r="K2491" s="1429"/>
      <c r="L2491" s="1429"/>
      <c r="M2491" s="1429"/>
      <c r="N2491" s="1429"/>
      <c r="O2491" s="1429"/>
      <c r="P2491" s="1429"/>
      <c r="Q2491" s="1429"/>
      <c r="R2491" s="1429"/>
      <c r="S2491" s="1429"/>
      <c r="T2491" s="1424"/>
      <c r="U2491" s="1428">
        <f>U2445</f>
        <v>0</v>
      </c>
      <c r="V2491" s="1423">
        <f t="shared" si="3687"/>
        <v>0</v>
      </c>
      <c r="W2491" s="1423">
        <f t="shared" si="3688"/>
        <v>0</v>
      </c>
      <c r="X2491" s="152"/>
      <c r="Y2491" s="152"/>
      <c r="Z2491" s="152"/>
      <c r="AA2491" s="152"/>
      <c r="AB2491" s="152"/>
    </row>
    <row r="2492" spans="1:28" hidden="1" outlineLevel="1">
      <c r="A2492" s="152"/>
      <c r="B2492" s="190" t="str">
        <f t="shared" ca="1" si="3689"/>
        <v>RL Capex 2034-35</v>
      </c>
      <c r="C2492" s="1429"/>
      <c r="D2492" s="1429"/>
      <c r="E2492" s="1429"/>
      <c r="F2492" s="1429"/>
      <c r="G2492" s="1429"/>
      <c r="H2492" s="1429"/>
      <c r="I2492" s="1429"/>
      <c r="J2492" s="1429"/>
      <c r="K2492" s="1429"/>
      <c r="L2492" s="1429"/>
      <c r="M2492" s="1429"/>
      <c r="N2492" s="1429"/>
      <c r="O2492" s="1429"/>
      <c r="P2492" s="1429"/>
      <c r="Q2492" s="1429"/>
      <c r="R2492" s="1429"/>
      <c r="S2492" s="1429"/>
      <c r="T2492" s="1429"/>
      <c r="U2492" s="1424"/>
      <c r="V2492" s="1428">
        <f>V2445</f>
        <v>0</v>
      </c>
      <c r="W2492" s="1423">
        <f>IF(V2492="n/a","n/a",MAX(0,V2492-1))</f>
        <v>0</v>
      </c>
      <c r="X2492" s="152"/>
      <c r="Y2492" s="152"/>
      <c r="Z2492" s="152"/>
      <c r="AA2492" s="152"/>
      <c r="AB2492" s="152"/>
    </row>
    <row r="2493" spans="1:28" hidden="1" outlineLevel="1">
      <c r="A2493" s="152"/>
      <c r="B2493" s="190" t="str">
        <f t="shared" ca="1" si="3689"/>
        <v>RL Capex 2035-36</v>
      </c>
      <c r="C2493" s="1429"/>
      <c r="D2493" s="1429"/>
      <c r="E2493" s="1429"/>
      <c r="F2493" s="1429"/>
      <c r="G2493" s="1429"/>
      <c r="H2493" s="1429"/>
      <c r="I2493" s="1429"/>
      <c r="J2493" s="1429"/>
      <c r="K2493" s="1429"/>
      <c r="L2493" s="1429"/>
      <c r="M2493" s="1429"/>
      <c r="N2493" s="1429"/>
      <c r="O2493" s="1429"/>
      <c r="P2493" s="1429"/>
      <c r="Q2493" s="1429"/>
      <c r="R2493" s="1429"/>
      <c r="S2493" s="1429"/>
      <c r="T2493" s="1429"/>
      <c r="U2493" s="1429"/>
      <c r="V2493" s="1424"/>
      <c r="W2493" s="1423">
        <f>W2445</f>
        <v>0</v>
      </c>
      <c r="X2493" s="152"/>
      <c r="Y2493" s="152"/>
      <c r="Z2493" s="152"/>
      <c r="AA2493" s="152"/>
      <c r="AB2493" s="152"/>
    </row>
    <row r="2494" spans="1:28" hidden="1" outlineLevel="1">
      <c r="A2494" s="152"/>
      <c r="B2494" s="200"/>
      <c r="C2494" s="1423"/>
      <c r="D2494" s="1423"/>
      <c r="E2494" s="1423"/>
      <c r="F2494" s="1423"/>
      <c r="G2494" s="1423"/>
      <c r="H2494" s="1423"/>
      <c r="I2494" s="1423"/>
      <c r="J2494" s="1423"/>
      <c r="K2494" s="1423"/>
      <c r="L2494" s="1423"/>
      <c r="M2494" s="1423"/>
      <c r="N2494" s="1423"/>
      <c r="O2494" s="1423"/>
      <c r="P2494" s="1423"/>
      <c r="Q2494" s="1423"/>
      <c r="R2494" s="1423"/>
      <c r="S2494" s="1423"/>
      <c r="T2494" s="1423"/>
      <c r="U2494" s="1423"/>
      <c r="V2494" s="1423"/>
      <c r="W2494" s="1423"/>
      <c r="X2494" s="152"/>
      <c r="Y2494" s="152"/>
      <c r="Z2494" s="152"/>
      <c r="AA2494" s="152"/>
      <c r="AB2494" s="152"/>
    </row>
    <row r="2495" spans="1:28" collapsed="1">
      <c r="A2495" s="194"/>
      <c r="B2495" s="204" t="s">
        <v>123</v>
      </c>
      <c r="C2495" s="1430">
        <f ca="1">(IF(OR($C2445&lt;&gt;"n/a",C2445&lt;&gt;"n/a"),IF(SUM(C2448:C2470)=0,0,IF((SUMPRODUCT(C2448:C2470,C2472:C2494)/SUM(C2448:C2470))&lt;0,1,(SUMPRODUCT(C2448:C2470,C2472:C2494)/SUM(C2448:C2470)))),"n/a"))</f>
        <v>0</v>
      </c>
      <c r="D2495" s="1430">
        <f ca="1">(IF(OR($C2445&lt;&gt;"n/a",D2445&lt;&gt;"n/a"),IF(SUM(D2448:D2470)=0,0,IF((SUMPRODUCT(D2448:D2470,D2472:D2494)/SUM(D2448:D2470))&lt;0,1,(SUMPRODUCT(D2448:D2470,D2472:D2494)/SUM(D2448:D2470)))),"n/a"))</f>
        <v>0</v>
      </c>
      <c r="E2495" s="1430">
        <f t="shared" ref="E2495:W2495" ca="1" si="3690">(IF(OR($C2445&lt;&gt;"n/a",E2445&lt;&gt;"n/a"),IF(SUM(E2448:E2470)=0,0,IF((SUMPRODUCT(E2448:E2470,E2472:E2494)/SUM(E2448:E2470))&lt;0,1,(SUMPRODUCT(E2448:E2470,E2472:E2494)/SUM(E2448:E2470)))),"n/a"))</f>
        <v>0</v>
      </c>
      <c r="F2495" s="1430">
        <f t="shared" ca="1" si="3690"/>
        <v>0</v>
      </c>
      <c r="G2495" s="1430">
        <f t="shared" ca="1" si="3690"/>
        <v>0</v>
      </c>
      <c r="H2495" s="1430">
        <f t="shared" ca="1" si="3690"/>
        <v>0</v>
      </c>
      <c r="I2495" s="1430">
        <f t="shared" ca="1" si="3690"/>
        <v>0</v>
      </c>
      <c r="J2495" s="1430">
        <f t="shared" ca="1" si="3690"/>
        <v>0</v>
      </c>
      <c r="K2495" s="1430">
        <f t="shared" ca="1" si="3690"/>
        <v>0</v>
      </c>
      <c r="L2495" s="1430">
        <f t="shared" ca="1" si="3690"/>
        <v>0</v>
      </c>
      <c r="M2495" s="1430">
        <f t="shared" ca="1" si="3690"/>
        <v>0</v>
      </c>
      <c r="N2495" s="1430">
        <f t="shared" ca="1" si="3690"/>
        <v>0</v>
      </c>
      <c r="O2495" s="1430">
        <f t="shared" ca="1" si="3690"/>
        <v>0</v>
      </c>
      <c r="P2495" s="1430">
        <f t="shared" ca="1" si="3690"/>
        <v>0</v>
      </c>
      <c r="Q2495" s="1430">
        <f t="shared" ca="1" si="3690"/>
        <v>0</v>
      </c>
      <c r="R2495" s="1430">
        <f t="shared" ca="1" si="3690"/>
        <v>0</v>
      </c>
      <c r="S2495" s="1430">
        <f t="shared" ca="1" si="3690"/>
        <v>0</v>
      </c>
      <c r="T2495" s="1430">
        <f t="shared" ca="1" si="3690"/>
        <v>0</v>
      </c>
      <c r="U2495" s="1430">
        <f t="shared" ca="1" si="3690"/>
        <v>0</v>
      </c>
      <c r="V2495" s="1430">
        <f t="shared" ca="1" si="3690"/>
        <v>0</v>
      </c>
      <c r="W2495" s="1430">
        <f t="shared" ca="1" si="3690"/>
        <v>0</v>
      </c>
      <c r="X2495" s="152"/>
      <c r="Y2495" s="152"/>
      <c r="Z2495" s="152"/>
      <c r="AA2495" s="152"/>
      <c r="AB2495" s="152"/>
    </row>
    <row r="2496" spans="1:28">
      <c r="A2496" s="152"/>
      <c r="B2496" s="152"/>
      <c r="C2496" s="1423"/>
      <c r="D2496" s="1423"/>
      <c r="E2496" s="1423"/>
      <c r="F2496" s="1423"/>
      <c r="G2496" s="1423"/>
      <c r="H2496" s="1423"/>
      <c r="I2496" s="1423"/>
      <c r="J2496" s="1423"/>
      <c r="K2496" s="1423"/>
      <c r="L2496" s="1423"/>
      <c r="M2496" s="1423"/>
      <c r="N2496" s="1423"/>
      <c r="O2496" s="1423"/>
      <c r="P2496" s="1423"/>
      <c r="Q2496" s="1423"/>
      <c r="R2496" s="1423"/>
      <c r="S2496" s="1423"/>
      <c r="T2496" s="1423"/>
      <c r="U2496" s="1423"/>
      <c r="V2496" s="1423"/>
      <c r="W2496" s="1423"/>
      <c r="X2496" s="152"/>
      <c r="Y2496" s="152"/>
      <c r="Z2496" s="152"/>
      <c r="AA2496" s="152"/>
      <c r="AB2496" s="152"/>
    </row>
    <row r="2497" spans="1:28">
      <c r="A2497" s="269" t="s">
        <v>113</v>
      </c>
      <c r="B2497" s="270">
        <f>VLOOKUP($A2497,'RFM input'!$E$7:$F$56,2,FALSE)</f>
        <v>0</v>
      </c>
      <c r="C2497" s="1431"/>
      <c r="D2497" s="1431"/>
      <c r="E2497" s="1432"/>
      <c r="F2497" s="1432"/>
      <c r="G2497" s="1432"/>
      <c r="H2497" s="1432"/>
      <c r="I2497" s="1432"/>
      <c r="J2497" s="1432"/>
      <c r="K2497" s="1432"/>
      <c r="L2497" s="1432"/>
      <c r="M2497" s="1432"/>
      <c r="N2497" s="1432"/>
      <c r="O2497" s="1432"/>
      <c r="P2497" s="1432"/>
      <c r="Q2497" s="1432"/>
      <c r="R2497" s="1432"/>
      <c r="S2497" s="1432"/>
      <c r="T2497" s="1432"/>
      <c r="U2497" s="1432"/>
      <c r="V2497" s="1432"/>
      <c r="W2497" s="1432"/>
      <c r="X2497" s="152"/>
      <c r="Y2497" s="152"/>
      <c r="Z2497" s="152"/>
      <c r="AA2497" s="152"/>
      <c r="AB2497" s="152"/>
    </row>
    <row r="2498" spans="1:28">
      <c r="A2498" s="215">
        <f>VALUE(REPLACE(A2497,1,12,""))</f>
        <v>47</v>
      </c>
      <c r="B2498" s="193" t="s">
        <v>126</v>
      </c>
      <c r="C2498" s="1416">
        <f ca="1">IF($C$8='Capital Base roll forward'!$H$4,OFFSET('Capital Base roll forward'!$H$717,'RAB remaining lives'!A2498,0),"enter input")</f>
        <v>0</v>
      </c>
      <c r="D2498" s="1417">
        <f>IF(LEFT(D$6,4)&lt;LEFT('RFM input'!$G$60,4),"enter input",IF(LEFT(D$6,4)&gt;LEFT('RFM input'!$Q$60,4),0,INDEX('RFM input'!$G$61:$Q$110,$A2498,MATCH(D$6,'RFM input'!$G$60:$Q$60,0))
-INDEX('RFM input'!$G$115:$Q$164,$A2498,MATCH(D$6,'RFM input'!$G$60:$Q$60,0))
-INDEX('RFM input'!$G$169:$Q$218,$A2498,MATCH(D$6,'RFM input'!$G$60:$Q$60,0))))</f>
        <v>0</v>
      </c>
      <c r="E2498" s="1417">
        <f>IF(LEFT(E$6,4)&lt;LEFT('RFM input'!$G$60,4),"enter input",IF(LEFT(E$6,4)&gt;LEFT('RFM input'!$Q$60,4),0,INDEX('RFM input'!$G$61:$Q$110,$A2498,MATCH(E$6,'RFM input'!$G$60:$Q$60,0))
-INDEX('RFM input'!$G$115:$Q$164,$A2498,MATCH(E$6,'RFM input'!$G$60:$Q$60,0))
-INDEX('RFM input'!$G$169:$Q$218,$A2498,MATCH(E$6,'RFM input'!$G$60:$Q$60,0))))</f>
        <v>0</v>
      </c>
      <c r="F2498" s="1417">
        <f>IF(LEFT(F$6,4)&lt;LEFT('RFM input'!$G$60,4),"enter input",IF(LEFT(F$6,4)&gt;LEFT('RFM input'!$Q$60,4),0,INDEX('RFM input'!$G$61:$Q$110,$A2498,MATCH(F$6,'RFM input'!$G$60:$Q$60,0))
-INDEX('RFM input'!$G$115:$Q$164,$A2498,MATCH(F$6,'RFM input'!$G$60:$Q$60,0))
-INDEX('RFM input'!$G$169:$Q$218,$A2498,MATCH(F$6,'RFM input'!$G$60:$Q$60,0))))</f>
        <v>0</v>
      </c>
      <c r="G2498" s="1417">
        <f>IF(LEFT(G$6,4)&lt;LEFT('RFM input'!$G$60,4),"enter input",IF(LEFT(G$6,4)&gt;LEFT('RFM input'!$Q$60,4),0,INDEX('RFM input'!$G$61:$Q$110,$A2498,MATCH(G$6,'RFM input'!$G$60:$Q$60,0))
-INDEX('RFM input'!$G$115:$Q$164,$A2498,MATCH(G$6,'RFM input'!$G$60:$Q$60,0))
-INDEX('RFM input'!$G$169:$Q$218,$A2498,MATCH(G$6,'RFM input'!$G$60:$Q$60,0))))</f>
        <v>0</v>
      </c>
      <c r="H2498" s="1417">
        <f>IF(LEFT(H$6,4)&lt;LEFT('RFM input'!$G$60,4),"enter input",IF(LEFT(H$6,4)&gt;LEFT('RFM input'!$Q$60,4),0,INDEX('RFM input'!$G$61:$Q$110,$A2498,MATCH(H$6,'RFM input'!$G$60:$Q$60,0))
-INDEX('RFM input'!$G$115:$Q$164,$A2498,MATCH(H$6,'RFM input'!$G$60:$Q$60,0))
-INDEX('RFM input'!$G$169:$Q$218,$A2498,MATCH(H$6,'RFM input'!$G$60:$Q$60,0))))</f>
        <v>0</v>
      </c>
      <c r="I2498" s="1417">
        <f>IF(LEFT(I$6,4)&lt;LEFT('RFM input'!$G$60,4),"enter input",IF(LEFT(I$6,4)&gt;LEFT('RFM input'!$Q$60,4),0,INDEX('RFM input'!$G$61:$Q$110,$A2498,MATCH(I$6,'RFM input'!$G$60:$Q$60,0))
-INDEX('RFM input'!$G$115:$Q$164,$A2498,MATCH(I$6,'RFM input'!$G$60:$Q$60,0))
-INDEX('RFM input'!$G$169:$Q$218,$A2498,MATCH(I$6,'RFM input'!$G$60:$Q$60,0))))</f>
        <v>0</v>
      </c>
      <c r="J2498" s="1417">
        <f>IF(LEFT(J$6,4)&lt;LEFT('RFM input'!$G$60,4),"enter input",IF(LEFT(J$6,4)&gt;LEFT('RFM input'!$Q$60,4),0,INDEX('RFM input'!$G$61:$Q$110,$A2498,MATCH(J$6,'RFM input'!$G$60:$Q$60,0))
-INDEX('RFM input'!$G$115:$Q$164,$A2498,MATCH(J$6,'RFM input'!$G$60:$Q$60,0))
-INDEX('RFM input'!$G$169:$Q$218,$A2498,MATCH(J$6,'RFM input'!$G$60:$Q$60,0))))</f>
        <v>0</v>
      </c>
      <c r="K2498" s="1417">
        <f>IF(LEFT(K$6,4)&lt;LEFT('RFM input'!$G$60,4),"enter input",IF(LEFT(K$6,4)&gt;LEFT('RFM input'!$Q$60,4),0,INDEX('RFM input'!$G$61:$Q$110,$A2498,MATCH(K$6,'RFM input'!$G$60:$Q$60,0))
-INDEX('RFM input'!$G$115:$Q$164,$A2498,MATCH(K$6,'RFM input'!$G$60:$Q$60,0))
-INDEX('RFM input'!$G$169:$Q$218,$A2498,MATCH(K$6,'RFM input'!$G$60:$Q$60,0))))</f>
        <v>0</v>
      </c>
      <c r="L2498" s="1417">
        <f>IF(LEFT(L$6,4)&lt;LEFT('RFM input'!$G$60,4),"enter input",IF(LEFT(L$6,4)&gt;LEFT('RFM input'!$Q$60,4),0,INDEX('RFM input'!$G$61:$Q$110,$A2498,MATCH(L$6,'RFM input'!$G$60:$Q$60,0))
-INDEX('RFM input'!$G$115:$Q$164,$A2498,MATCH(L$6,'RFM input'!$G$60:$Q$60,0))
-INDEX('RFM input'!$G$169:$Q$218,$A2498,MATCH(L$6,'RFM input'!$G$60:$Q$60,0))))</f>
        <v>0</v>
      </c>
      <c r="M2498" s="1417">
        <f>IF(LEFT(M$6,4)&lt;LEFT('RFM input'!$G$60,4),"enter input",IF(LEFT(M$6,4)&gt;LEFT('RFM input'!$Q$60,4),0,INDEX('RFM input'!$G$61:$Q$110,$A2498,MATCH(M$6,'RFM input'!$G$60:$Q$60,0))
-INDEX('RFM input'!$G$115:$Q$164,$A2498,MATCH(M$6,'RFM input'!$G$60:$Q$60,0))
-INDEX('RFM input'!$G$169:$Q$218,$A2498,MATCH(M$6,'RFM input'!$G$60:$Q$60,0))))</f>
        <v>0</v>
      </c>
      <c r="N2498" s="1417">
        <f>IF(LEFT(N$6,4)&lt;LEFT('RFM input'!$G$60,4),"enter input",IF(LEFT(N$6,4)&gt;LEFT('RFM input'!$Q$60,4),0,INDEX('RFM input'!$G$61:$Q$110,$A2498,MATCH(N$6,'RFM input'!$G$60:$Q$60,0))
-INDEX('RFM input'!$G$115:$Q$164,$A2498,MATCH(N$6,'RFM input'!$G$60:$Q$60,0))
-INDEX('RFM input'!$G$169:$Q$218,$A2498,MATCH(N$6,'RFM input'!$G$60:$Q$60,0))))</f>
        <v>0</v>
      </c>
      <c r="O2498" s="1417">
        <f>IF(LEFT(O$6,4)&lt;LEFT('RFM input'!$G$60,4),"enter input",IF(LEFT(O$6,4)&gt;LEFT('RFM input'!$Q$60,4),0,INDEX('RFM input'!$G$61:$Q$110,$A2498,MATCH(O$6,'RFM input'!$G$60:$Q$60,0))
-INDEX('RFM input'!$G$115:$Q$164,$A2498,MATCH(O$6,'RFM input'!$G$60:$Q$60,0))
-INDEX('RFM input'!$G$169:$Q$218,$A2498,MATCH(O$6,'RFM input'!$G$60:$Q$60,0))))</f>
        <v>0</v>
      </c>
      <c r="P2498" s="1417">
        <f>IF(LEFT(P$6,4)&lt;LEFT('RFM input'!$G$60,4),"enter input",IF(LEFT(P$6,4)&gt;LEFT('RFM input'!$Q$60,4),0,INDEX('RFM input'!$G$61:$Q$110,$A2498,MATCH(P$6,'RFM input'!$G$60:$Q$60,0))
-INDEX('RFM input'!$G$115:$Q$164,$A2498,MATCH(P$6,'RFM input'!$G$60:$Q$60,0))
-INDEX('RFM input'!$G$169:$Q$218,$A2498,MATCH(P$6,'RFM input'!$G$60:$Q$60,0))))</f>
        <v>0</v>
      </c>
      <c r="Q2498" s="1417">
        <f>IF(LEFT(Q$6,4)&lt;LEFT('RFM input'!$G$60,4),"enter input",IF(LEFT(Q$6,4)&gt;LEFT('RFM input'!$Q$60,4),0,INDEX('RFM input'!$G$61:$Q$110,$A2498,MATCH(Q$6,'RFM input'!$G$60:$Q$60,0))
-INDEX('RFM input'!$G$115:$Q$164,$A2498,MATCH(Q$6,'RFM input'!$G$60:$Q$60,0))
-INDEX('RFM input'!$G$169:$Q$218,$A2498,MATCH(Q$6,'RFM input'!$G$60:$Q$60,0))))</f>
        <v>0</v>
      </c>
      <c r="R2498" s="1417">
        <f>IF(LEFT(R$6,4)&lt;LEFT('RFM input'!$G$60,4),"enter input",IF(LEFT(R$6,4)&gt;LEFT('RFM input'!$Q$60,4),0,INDEX('RFM input'!$G$61:$Q$110,$A2498,MATCH(R$6,'RFM input'!$G$60:$Q$60,0))
-INDEX('RFM input'!$G$115:$Q$164,$A2498,MATCH(R$6,'RFM input'!$G$60:$Q$60,0))
-INDEX('RFM input'!$G$169:$Q$218,$A2498,MATCH(R$6,'RFM input'!$G$60:$Q$60,0))))</f>
        <v>0</v>
      </c>
      <c r="S2498" s="1417">
        <f>IF(LEFT(S$6,4)&lt;LEFT('RFM input'!$G$60,4),"enter input",IF(LEFT(S$6,4)&gt;LEFT('RFM input'!$Q$60,4),0,INDEX('RFM input'!$G$61:$Q$110,$A2498,MATCH(S$6,'RFM input'!$G$60:$Q$60,0))
-INDEX('RFM input'!$G$115:$Q$164,$A2498,MATCH(S$6,'RFM input'!$G$60:$Q$60,0))
-INDEX('RFM input'!$G$169:$Q$218,$A2498,MATCH(S$6,'RFM input'!$G$60:$Q$60,0))))</f>
        <v>0</v>
      </c>
      <c r="T2498" s="1417">
        <f>IF(LEFT(T$6,4)&lt;LEFT('RFM input'!$G$60,4),"enter input",IF(LEFT(T$6,4)&gt;LEFT('RFM input'!$Q$60,4),0,INDEX('RFM input'!$G$61:$Q$110,$A2498,MATCH(T$6,'RFM input'!$G$60:$Q$60,0))
-INDEX('RFM input'!$G$115:$Q$164,$A2498,MATCH(T$6,'RFM input'!$G$60:$Q$60,0))
-INDEX('RFM input'!$G$169:$Q$218,$A2498,MATCH(T$6,'RFM input'!$G$60:$Q$60,0))))</f>
        <v>0</v>
      </c>
      <c r="U2498" s="1417">
        <f>IF(LEFT(U$6,4)&lt;LEFT('RFM input'!$G$60,4),"enter input",IF(LEFT(U$6,4)&gt;LEFT('RFM input'!$Q$60,4),0,INDEX('RFM input'!$G$61:$Q$110,$A2498,MATCH(U$6,'RFM input'!$G$60:$Q$60,0))
-INDEX('RFM input'!$G$115:$Q$164,$A2498,MATCH(U$6,'RFM input'!$G$60:$Q$60,0))
-INDEX('RFM input'!$G$169:$Q$218,$A2498,MATCH(U$6,'RFM input'!$G$60:$Q$60,0))))</f>
        <v>0</v>
      </c>
      <c r="V2498" s="1417">
        <f>IF(LEFT(V$6,4)&lt;LEFT('RFM input'!$G$60,4),"enter input",IF(LEFT(V$6,4)&gt;LEFT('RFM input'!$Q$60,4),0,INDEX('RFM input'!$G$61:$Q$110,$A2498,MATCH(V$6,'RFM input'!$G$60:$Q$60,0))
-INDEX('RFM input'!$G$115:$Q$164,$A2498,MATCH(V$6,'RFM input'!$G$60:$Q$60,0))
-INDEX('RFM input'!$G$169:$Q$218,$A2498,MATCH(V$6,'RFM input'!$G$60:$Q$60,0))))</f>
        <v>0</v>
      </c>
      <c r="W2498" s="1417">
        <f>IF(LEFT(W$6,4)&lt;LEFT('RFM input'!$G$60,4),"enter input",IF(LEFT(W$6,4)&gt;LEFT('RFM input'!$Q$60,4),0,INDEX('RFM input'!$G$61:$Q$110,$A2498,MATCH(W$6,'RFM input'!$G$60:$Q$60,0))
-INDEX('RFM input'!$G$115:$Q$164,$A2498,MATCH(W$6,'RFM input'!$G$60:$Q$60,0))
-INDEX('RFM input'!$G$169:$Q$218,$A2498,MATCH(W$6,'RFM input'!$G$60:$Q$60,0))))</f>
        <v>0</v>
      </c>
      <c r="X2498" s="152"/>
      <c r="Y2498" s="152"/>
      <c r="Z2498" s="152"/>
      <c r="AA2498" s="152"/>
      <c r="AB2498" s="152"/>
    </row>
    <row r="2499" spans="1:28">
      <c r="A2499" s="152"/>
      <c r="B2499" s="152" t="s">
        <v>204</v>
      </c>
      <c r="C2499" s="1418">
        <f ca="1">IF($C$8='Capital Base roll forward'!$H$4,OFFSET('RFM input'!$J$6,'RAB remaining lives'!A2498,0),"enter input")</f>
        <v>0</v>
      </c>
      <c r="D2499" s="1417">
        <f>IF(LEFT(D$6,4)&lt;=LEFT('RFM input'!$G$60,4),"enter input",IF(LEFT(D$6,4)&gt;LEFT('RFM input'!$Q$60,4),0,IF(MATCH(D$6,'RFM input'!$H$60:$Q$60,0),INDEX('RFM input'!$K$7:$K$56,$A2498,1))))</f>
        <v>0</v>
      </c>
      <c r="E2499" s="1417">
        <f>IF(LEFT(E$6,4)&lt;=LEFT('RFM input'!$G$60,4),"enter input",IF(LEFT(E$6,4)&gt;LEFT('RFM input'!$Q$60,4),0,IF(MATCH(E$6,'RFM input'!$H$60:$Q$60,0),INDEX('RFM input'!$K$7:$K$56,$A2498,1))))</f>
        <v>0</v>
      </c>
      <c r="F2499" s="1417">
        <f>IF(LEFT(F$6,4)&lt;=LEFT('RFM input'!$G$60,4),"enter input",IF(LEFT(F$6,4)&gt;LEFT('RFM input'!$Q$60,4),0,IF(MATCH(F$6,'RFM input'!$H$60:$Q$60,0),INDEX('RFM input'!$K$7:$K$56,$A2498,1))))</f>
        <v>0</v>
      </c>
      <c r="G2499" s="1417">
        <f>IF(LEFT(G$6,4)&lt;=LEFT('RFM input'!$G$60,4),"enter input",IF(LEFT(G$6,4)&gt;LEFT('RFM input'!$Q$60,4),0,IF(MATCH(G$6,'RFM input'!$H$60:$Q$60,0),INDEX('RFM input'!$K$7:$K$56,$A2498,1))))</f>
        <v>0</v>
      </c>
      <c r="H2499" s="1417">
        <f>IF(LEFT(H$6,4)&lt;=LEFT('RFM input'!$G$60,4),"enter input",IF(LEFT(H$6,4)&gt;LEFT('RFM input'!$Q$60,4),0,IF(MATCH(H$6,'RFM input'!$H$60:$Q$60,0),INDEX('RFM input'!$K$7:$K$56,$A2498,1))))</f>
        <v>0</v>
      </c>
      <c r="I2499" s="1417">
        <f>IF(LEFT(I$6,4)&lt;=LEFT('RFM input'!$G$60,4),"enter input",IF(LEFT(I$6,4)&gt;LEFT('RFM input'!$Q$60,4),0,IF(MATCH(I$6,'RFM input'!$H$60:$Q$60,0),INDEX('RFM input'!$K$7:$K$56,$A2498,1))))</f>
        <v>0</v>
      </c>
      <c r="J2499" s="1417">
        <f>IF(LEFT(J$6,4)&lt;=LEFT('RFM input'!$G$60,4),"enter input",IF(LEFT(J$6,4)&gt;LEFT('RFM input'!$Q$60,4),0,IF(MATCH(J$6,'RFM input'!$H$60:$Q$60,0),INDEX('RFM input'!$K$7:$K$56,$A2498,1))))</f>
        <v>0</v>
      </c>
      <c r="K2499" s="1417">
        <f>IF(LEFT(K$6,4)&lt;=LEFT('RFM input'!$G$60,4),"enter input",IF(LEFT(K$6,4)&gt;LEFT('RFM input'!$Q$60,4),0,IF(MATCH(K$6,'RFM input'!$H$60:$Q$60,0),INDEX('RFM input'!$K$7:$K$56,$A2498,1))))</f>
        <v>0</v>
      </c>
      <c r="L2499" s="1417">
        <f>IF(LEFT(L$6,4)&lt;=LEFT('RFM input'!$G$60,4),"enter input",IF(LEFT(L$6,4)&gt;LEFT('RFM input'!$Q$60,4),0,IF(MATCH(L$6,'RFM input'!$H$60:$Q$60,0),INDEX('RFM input'!$K$7:$K$56,$A2498,1))))</f>
        <v>0</v>
      </c>
      <c r="M2499" s="1417">
        <f>IF(LEFT(M$6,4)&lt;=LEFT('RFM input'!$G$60,4),"enter input",IF(LEFT(M$6,4)&gt;LEFT('RFM input'!$Q$60,4),0,IF(MATCH(M$6,'RFM input'!$H$60:$Q$60,0),INDEX('RFM input'!$K$7:$K$56,$A2498,1))))</f>
        <v>0</v>
      </c>
      <c r="N2499" s="1417">
        <f>IF(LEFT(N$6,4)&lt;=LEFT('RFM input'!$G$60,4),"enter input",IF(LEFT(N$6,4)&gt;LEFT('RFM input'!$Q$60,4),0,IF(MATCH(N$6,'RFM input'!$H$60:$Q$60,0),INDEX('RFM input'!$K$7:$K$56,$A2498,1))))</f>
        <v>0</v>
      </c>
      <c r="O2499" s="1417">
        <f>IF(LEFT(O$6,4)&lt;=LEFT('RFM input'!$G$60,4),"enter input",IF(LEFT(O$6,4)&gt;LEFT('RFM input'!$Q$60,4),0,IF(MATCH(O$6,'RFM input'!$H$60:$Q$60,0),INDEX('RFM input'!$K$7:$K$56,$A2498,1))))</f>
        <v>0</v>
      </c>
      <c r="P2499" s="1417">
        <f>IF(LEFT(P$6,4)&lt;=LEFT('RFM input'!$G$60,4),"enter input",IF(LEFT(P$6,4)&gt;LEFT('RFM input'!$Q$60,4),0,IF(MATCH(P$6,'RFM input'!$H$60:$Q$60,0),INDEX('RFM input'!$K$7:$K$56,$A2498,1))))</f>
        <v>0</v>
      </c>
      <c r="Q2499" s="1417">
        <f>IF(LEFT(Q$6,4)&lt;=LEFT('RFM input'!$G$60,4),"enter input",IF(LEFT(Q$6,4)&gt;LEFT('RFM input'!$Q$60,4),0,IF(MATCH(Q$6,'RFM input'!$H$60:$Q$60,0),INDEX('RFM input'!$K$7:$K$56,$A2498,1))))</f>
        <v>0</v>
      </c>
      <c r="R2499" s="1417">
        <f>IF(LEFT(R$6,4)&lt;=LEFT('RFM input'!$G$60,4),"enter input",IF(LEFT(R$6,4)&gt;LEFT('RFM input'!$Q$60,4),0,IF(MATCH(R$6,'RFM input'!$H$60:$Q$60,0),INDEX('RFM input'!$K$7:$K$56,$A2498,1))))</f>
        <v>0</v>
      </c>
      <c r="S2499" s="1417">
        <f>IF(LEFT(S$6,4)&lt;=LEFT('RFM input'!$G$60,4),"enter input",IF(LEFT(S$6,4)&gt;LEFT('RFM input'!$Q$60,4),0,IF(MATCH(S$6,'RFM input'!$H$60:$Q$60,0),INDEX('RFM input'!$K$7:$K$56,$A2498,1))))</f>
        <v>0</v>
      </c>
      <c r="T2499" s="1417">
        <f>IF(LEFT(T$6,4)&lt;=LEFT('RFM input'!$G$60,4),"enter input",IF(LEFT(T$6,4)&gt;LEFT('RFM input'!$Q$60,4),0,IF(MATCH(T$6,'RFM input'!$H$60:$Q$60,0),INDEX('RFM input'!$K$7:$K$56,$A2498,1))))</f>
        <v>0</v>
      </c>
      <c r="U2499" s="1417">
        <f>IF(LEFT(U$6,4)&lt;=LEFT('RFM input'!$G$60,4),"enter input",IF(LEFT(U$6,4)&gt;LEFT('RFM input'!$Q$60,4),0,IF(MATCH(U$6,'RFM input'!$H$60:$Q$60,0),INDEX('RFM input'!$K$7:$K$56,$A2498,1))))</f>
        <v>0</v>
      </c>
      <c r="V2499" s="1417">
        <f>IF(LEFT(V$6,4)&lt;=LEFT('RFM input'!$G$60,4),"enter input",IF(LEFT(V$6,4)&gt;LEFT('RFM input'!$Q$60,4),0,IF(MATCH(V$6,'RFM input'!$H$60:$Q$60,0),INDEX('RFM input'!$K$7:$K$56,$A2498,1))))</f>
        <v>0</v>
      </c>
      <c r="W2499" s="1417">
        <f>IF(LEFT(W$6,4)&lt;=LEFT('RFM input'!$G$60,4),"enter input",IF(LEFT(W$6,4)&gt;LEFT('RFM input'!$Q$60,4),0,IF(MATCH(W$6,'RFM input'!$H$60:$Q$60,0),INDEX('RFM input'!$K$7:$K$56,$A2498,1))))</f>
        <v>0</v>
      </c>
      <c r="X2499" s="152"/>
      <c r="Y2499" s="152"/>
      <c r="Z2499" s="152"/>
      <c r="AA2499" s="152"/>
      <c r="AB2499" s="152"/>
    </row>
    <row r="2500" spans="1:28">
      <c r="A2500" s="152"/>
      <c r="B2500" s="177" t="s">
        <v>191</v>
      </c>
      <c r="C2500" s="1419"/>
      <c r="D2500" s="1420">
        <f ca="1">IF(LEFT(D$6,4)&lt;=LEFT('RFM input'!$G$60,4),"enter input",IF(LEFT(D$6,4)&gt;LEFT('RFM input'!$Q$60,4),0,IF(D$6=(OFFSET('RFM input'!$G$60,0,'RFM input'!$V$7)),OFFSET('RFM input'!$G$411,$A2498,0),0)))</f>
        <v>0</v>
      </c>
      <c r="E2500" s="1417">
        <f ca="1">IF(LEFT(E$6,4)&lt;=LEFT('RFM input'!$G$60,4),"enter input",IF(LEFT(E$6,4)&gt;LEFT('RFM input'!$Q$60,4),0,IF(E$6=(OFFSET('RFM input'!$G$60,0,'RFM input'!$V$7)),OFFSET('RFM input'!$G$411,$A2498,0),0)))</f>
        <v>0</v>
      </c>
      <c r="F2500" s="1417">
        <f ca="1">IF(LEFT(F$6,4)&lt;=LEFT('RFM input'!$G$60,4),"enter input",IF(LEFT(F$6,4)&gt;LEFT('RFM input'!$Q$60,4),0,IF(F$6=(OFFSET('RFM input'!$G$60,0,'RFM input'!$V$7)),OFFSET('RFM input'!$G$411,$A2498,0),0)))</f>
        <v>0</v>
      </c>
      <c r="G2500" s="1417">
        <f ca="1">IF(LEFT(G$6,4)&lt;=LEFT('RFM input'!$G$60,4),"enter input",IF(LEFT(G$6,4)&gt;LEFT('RFM input'!$Q$60,4),0,IF(G$6=(OFFSET('RFM input'!$G$60,0,'RFM input'!$V$7)),OFFSET('RFM input'!$G$411,$A2498,0),0)))</f>
        <v>0</v>
      </c>
      <c r="H2500" s="1417">
        <f ca="1">IF(LEFT(H$6,4)&lt;=LEFT('RFM input'!$G$60,4),"enter input",IF(LEFT(H$6,4)&gt;LEFT('RFM input'!$Q$60,4),0,IF(H$6=(OFFSET('RFM input'!$G$60,0,'RFM input'!$V$7)),OFFSET('RFM input'!$G$411,$A2498,0),0)))</f>
        <v>0</v>
      </c>
      <c r="I2500" s="1417">
        <f ca="1">IF(LEFT(I$6,4)&lt;=LEFT('RFM input'!$G$60,4),"enter input",IF(LEFT(I$6,4)&gt;LEFT('RFM input'!$Q$60,4),0,IF(I$6=(OFFSET('RFM input'!$G$60,0,'RFM input'!$V$7)),OFFSET('RFM input'!$G$411,$A2498,0),0)))</f>
        <v>0</v>
      </c>
      <c r="J2500" s="1417">
        <f ca="1">IF(LEFT(J$6,4)&lt;=LEFT('RFM input'!$G$60,4),"enter input",IF(LEFT(J$6,4)&gt;LEFT('RFM input'!$Q$60,4),0,IF(J$6=(OFFSET('RFM input'!$G$60,0,'RFM input'!$V$7)),OFFSET('RFM input'!$G$411,$A2498,0),0)))</f>
        <v>0</v>
      </c>
      <c r="K2500" s="1417">
        <f ca="1">IF(LEFT(K$6,4)&lt;=LEFT('RFM input'!$G$60,4),"enter input",IF(LEFT(K$6,4)&gt;LEFT('RFM input'!$Q$60,4),0,IF(K$6=(OFFSET('RFM input'!$G$60,0,'RFM input'!$V$7)),OFFSET('RFM input'!$G$411,$A2498,0),0)))</f>
        <v>0</v>
      </c>
      <c r="L2500" s="1417">
        <f ca="1">IF(LEFT(L$6,4)&lt;=LEFT('RFM input'!$G$60,4),"enter input",IF(LEFT(L$6,4)&gt;LEFT('RFM input'!$Q$60,4),0,IF(L$6=(OFFSET('RFM input'!$G$60,0,'RFM input'!$V$7)),OFFSET('RFM input'!$G$411,$A2498,0),0)))</f>
        <v>0</v>
      </c>
      <c r="M2500" s="1417">
        <f ca="1">IF(LEFT(M$6,4)&lt;=LEFT('RFM input'!$G$60,4),"enter input",IF(LEFT(M$6,4)&gt;LEFT('RFM input'!$Q$60,4),0,IF(M$6=(OFFSET('RFM input'!$G$60,0,'RFM input'!$V$7)),OFFSET('RFM input'!$G$411,$A2498,0),0)))</f>
        <v>0</v>
      </c>
      <c r="N2500" s="1417">
        <f ca="1">IF(LEFT(N$6,4)&lt;=LEFT('RFM input'!$G$60,4),"enter input",IF(LEFT(N$6,4)&gt;LEFT('RFM input'!$Q$60,4),0,IF(N$6=(OFFSET('RFM input'!$G$60,0,'RFM input'!$V$7)),OFFSET('RFM input'!$G$411,$A2498,0),0)))</f>
        <v>0</v>
      </c>
      <c r="O2500" s="1417">
        <f ca="1">IF(LEFT(O$6,4)&lt;=LEFT('RFM input'!$G$60,4),"enter input",IF(LEFT(O$6,4)&gt;LEFT('RFM input'!$Q$60,4),0,IF(O$6=(OFFSET('RFM input'!$G$60,0,'RFM input'!$V$7)),OFFSET('RFM input'!$G$411,$A2498,0),0)))</f>
        <v>0</v>
      </c>
      <c r="P2500" s="1417">
        <f ca="1">IF(LEFT(P$6,4)&lt;=LEFT('RFM input'!$G$60,4),"enter input",IF(LEFT(P$6,4)&gt;LEFT('RFM input'!$Q$60,4),0,IF(P$6=(OFFSET('RFM input'!$G$60,0,'RFM input'!$V$7)),OFFSET('RFM input'!$G$411,$A2498,0),0)))</f>
        <v>0</v>
      </c>
      <c r="Q2500" s="1417">
        <f ca="1">IF(LEFT(Q$6,4)&lt;=LEFT('RFM input'!$G$60,4),"enter input",IF(LEFT(Q$6,4)&gt;LEFT('RFM input'!$Q$60,4),0,IF(Q$6=(OFFSET('RFM input'!$G$60,0,'RFM input'!$V$7)),OFFSET('RFM input'!$G$411,$A2498,0),0)))</f>
        <v>0</v>
      </c>
      <c r="R2500" s="1417">
        <f ca="1">IF(LEFT(R$6,4)&lt;=LEFT('RFM input'!$G$60,4),"enter input",IF(LEFT(R$6,4)&gt;LEFT('RFM input'!$Q$60,4),0,IF(R$6=(OFFSET('RFM input'!$G$60,0,'RFM input'!$V$7)),OFFSET('RFM input'!$G$411,$A2498,0),0)))</f>
        <v>0</v>
      </c>
      <c r="S2500" s="1417">
        <f ca="1">IF(LEFT(S$6,4)&lt;=LEFT('RFM input'!$G$60,4),"enter input",IF(LEFT(S$6,4)&gt;LEFT('RFM input'!$Q$60,4),0,IF(S$6=(OFFSET('RFM input'!$G$60,0,'RFM input'!$V$7)),OFFSET('RFM input'!$G$411,$A2498,0),0)))</f>
        <v>0</v>
      </c>
      <c r="T2500" s="1417">
        <f ca="1">IF(LEFT(T$6,4)&lt;=LEFT('RFM input'!$G$60,4),"enter input",IF(LEFT(T$6,4)&gt;LEFT('RFM input'!$Q$60,4),0,IF(T$6=(OFFSET('RFM input'!$G$60,0,'RFM input'!$V$7)),OFFSET('RFM input'!$G$411,$A2498,0),0)))</f>
        <v>0</v>
      </c>
      <c r="U2500" s="1417">
        <f ca="1">IF(LEFT(U$6,4)&lt;=LEFT('RFM input'!$G$60,4),"enter input",IF(LEFT(U$6,4)&gt;LEFT('RFM input'!$Q$60,4),0,IF(U$6=(OFFSET('RFM input'!$G$60,0,'RFM input'!$V$7)),OFFSET('RFM input'!$G$411,$A2498,0),0)))</f>
        <v>0</v>
      </c>
      <c r="V2500" s="1417">
        <f ca="1">IF(LEFT(V$6,4)&lt;=LEFT('RFM input'!$G$60,4),"enter input",IF(LEFT(V$6,4)&gt;LEFT('RFM input'!$Q$60,4),0,IF(V$6=(OFFSET('RFM input'!$G$60,0,'RFM input'!$V$7)),OFFSET('RFM input'!$G$411,$A2498,0),0)))</f>
        <v>0</v>
      </c>
      <c r="W2500" s="1417">
        <f ca="1">IF(LEFT(W$6,4)&lt;=LEFT('RFM input'!$G$60,4),"enter input",IF(LEFT(W$6,4)&gt;LEFT('RFM input'!$Q$60,4),0,IF(W$6=(OFFSET('RFM input'!$G$60,0,'RFM input'!$V$7)),OFFSET('RFM input'!$G$411,$A2498,0),0)))</f>
        <v>0</v>
      </c>
      <c r="X2500" s="152"/>
      <c r="Y2500" s="152"/>
      <c r="Z2500" s="152"/>
      <c r="AA2500" s="152"/>
      <c r="AB2500" s="152"/>
    </row>
    <row r="2501" spans="1:28">
      <c r="A2501" s="152"/>
      <c r="B2501" s="195" t="s">
        <v>197</v>
      </c>
      <c r="C2501" s="1419"/>
      <c r="D2501" s="1418">
        <f ca="1">IF(LEFT(D$6,4)&lt;=LEFT('RFM input'!$G$60,4),"enter input",IF(LEFT(D$6,4)&gt;LEFT('RFM input'!$Q$60,4),0,IF(D$6=(OFFSET('RFM input'!$G$60,0,'RFM input'!$V$7)),OFFSET('RFM input'!$I$411,$A2498,0),0)))</f>
        <v>0</v>
      </c>
      <c r="E2501" s="1422">
        <f ca="1">IF(LEFT(E$6,4)&lt;=LEFT('RFM input'!$G$60,4),"enter input",IF(LEFT(E$6,4)&gt;LEFT('RFM input'!$Q$60,4),0,IF(E$6=(OFFSET('RFM input'!$G$60,0,'RFM input'!$V$7)),OFFSET('RFM input'!$I$411,$A2498,0),0)))</f>
        <v>0</v>
      </c>
      <c r="F2501" s="1422">
        <f ca="1">IF(LEFT(F$6,4)&lt;=LEFT('RFM input'!$G$60,4),"enter input",IF(LEFT(F$6,4)&gt;LEFT('RFM input'!$Q$60,4),0,IF(F$6=(OFFSET('RFM input'!$G$60,0,'RFM input'!$V$7)),OFFSET('RFM input'!$I$411,$A2498,0),0)))</f>
        <v>0</v>
      </c>
      <c r="G2501" s="1422">
        <f ca="1">IF(LEFT(G$6,4)&lt;=LEFT('RFM input'!$G$60,4),"enter input",IF(LEFT(G$6,4)&gt;LEFT('RFM input'!$Q$60,4),0,IF(G$6=(OFFSET('RFM input'!$G$60,0,'RFM input'!$V$7)),OFFSET('RFM input'!$I$411,$A2498,0),0)))</f>
        <v>0</v>
      </c>
      <c r="H2501" s="1422">
        <f ca="1">IF(LEFT(H$6,4)&lt;=LEFT('RFM input'!$G$60,4),"enter input",IF(LEFT(H$6,4)&gt;LEFT('RFM input'!$Q$60,4),0,IF(H$6=(OFFSET('RFM input'!$G$60,0,'RFM input'!$V$7)),OFFSET('RFM input'!$I$411,$A2498,0),0)))</f>
        <v>0</v>
      </c>
      <c r="I2501" s="1422">
        <f ca="1">IF(LEFT(I$6,4)&lt;=LEFT('RFM input'!$G$60,4),"enter input",IF(LEFT(I$6,4)&gt;LEFT('RFM input'!$Q$60,4),0,IF(I$6=(OFFSET('RFM input'!$G$60,0,'RFM input'!$V$7)),OFFSET('RFM input'!$I$411,$A2498,0),0)))</f>
        <v>0</v>
      </c>
      <c r="J2501" s="1422">
        <f ca="1">IF(LEFT(J$6,4)&lt;=LEFT('RFM input'!$G$60,4),"enter input",IF(LEFT(J$6,4)&gt;LEFT('RFM input'!$Q$60,4),0,IF(J$6=(OFFSET('RFM input'!$G$60,0,'RFM input'!$V$7)),OFFSET('RFM input'!$I$411,$A2498,0),0)))</f>
        <v>0</v>
      </c>
      <c r="K2501" s="1422">
        <f ca="1">IF(LEFT(K$6,4)&lt;=LEFT('RFM input'!$G$60,4),"enter input",IF(LEFT(K$6,4)&gt;LEFT('RFM input'!$Q$60,4),0,IF(K$6=(OFFSET('RFM input'!$G$60,0,'RFM input'!$V$7)),OFFSET('RFM input'!$I$411,$A2498,0),0)))</f>
        <v>0</v>
      </c>
      <c r="L2501" s="1422">
        <f ca="1">IF(LEFT(L$6,4)&lt;=LEFT('RFM input'!$G$60,4),"enter input",IF(LEFT(L$6,4)&gt;LEFT('RFM input'!$Q$60,4),0,IF(L$6=(OFFSET('RFM input'!$G$60,0,'RFM input'!$V$7)),OFFSET('RFM input'!$I$411,$A2498,0),0)))</f>
        <v>0</v>
      </c>
      <c r="M2501" s="1422">
        <f ca="1">IF(LEFT(M$6,4)&lt;=LEFT('RFM input'!$G$60,4),"enter input",IF(LEFT(M$6,4)&gt;LEFT('RFM input'!$Q$60,4),0,IF(M$6=(OFFSET('RFM input'!$G$60,0,'RFM input'!$V$7)),OFFSET('RFM input'!$I$411,$A2498,0),0)))</f>
        <v>0</v>
      </c>
      <c r="N2501" s="1422">
        <f ca="1">IF(LEFT(N$6,4)&lt;=LEFT('RFM input'!$G$60,4),"enter input",IF(LEFT(N$6,4)&gt;LEFT('RFM input'!$Q$60,4),0,IF(N$6=(OFFSET('RFM input'!$G$60,0,'RFM input'!$V$7)),OFFSET('RFM input'!$I$411,$A2498,0),0)))</f>
        <v>0</v>
      </c>
      <c r="O2501" s="1422">
        <f ca="1">IF(LEFT(O$6,4)&lt;=LEFT('RFM input'!$G$60,4),"enter input",IF(LEFT(O$6,4)&gt;LEFT('RFM input'!$Q$60,4),0,IF(O$6=(OFFSET('RFM input'!$G$60,0,'RFM input'!$V$7)),OFFSET('RFM input'!$I$411,$A2498,0),0)))</f>
        <v>0</v>
      </c>
      <c r="P2501" s="1422">
        <f ca="1">IF(LEFT(P$6,4)&lt;=LEFT('RFM input'!$G$60,4),"enter input",IF(LEFT(P$6,4)&gt;LEFT('RFM input'!$Q$60,4),0,IF(P$6=(OFFSET('RFM input'!$G$60,0,'RFM input'!$V$7)),OFFSET('RFM input'!$I$411,$A2498,0),0)))</f>
        <v>0</v>
      </c>
      <c r="Q2501" s="1422">
        <f ca="1">IF(LEFT(Q$6,4)&lt;=LEFT('RFM input'!$G$60,4),"enter input",IF(LEFT(Q$6,4)&gt;LEFT('RFM input'!$Q$60,4),0,IF(Q$6=(OFFSET('RFM input'!$G$60,0,'RFM input'!$V$7)),OFFSET('RFM input'!$I$411,$A2498,0),0)))</f>
        <v>0</v>
      </c>
      <c r="R2501" s="1422">
        <f ca="1">IF(LEFT(R$6,4)&lt;=LEFT('RFM input'!$G$60,4),"enter input",IF(LEFT(R$6,4)&gt;LEFT('RFM input'!$Q$60,4),0,IF(R$6=(OFFSET('RFM input'!$G$60,0,'RFM input'!$V$7)),OFFSET('RFM input'!$I$411,$A2498,0),0)))</f>
        <v>0</v>
      </c>
      <c r="S2501" s="1422">
        <f ca="1">IF(LEFT(S$6,4)&lt;=LEFT('RFM input'!$G$60,4),"enter input",IF(LEFT(S$6,4)&gt;LEFT('RFM input'!$Q$60,4),0,IF(S$6=(OFFSET('RFM input'!$G$60,0,'RFM input'!$V$7)),OFFSET('RFM input'!$I$411,$A2498,0),0)))</f>
        <v>0</v>
      </c>
      <c r="T2501" s="1422">
        <f ca="1">IF(LEFT(T$6,4)&lt;=LEFT('RFM input'!$G$60,4),"enter input",IF(LEFT(T$6,4)&gt;LEFT('RFM input'!$Q$60,4),0,IF(T$6=(OFFSET('RFM input'!$G$60,0,'RFM input'!$V$7)),OFFSET('RFM input'!$I$411,$A2498,0),0)))</f>
        <v>0</v>
      </c>
      <c r="U2501" s="1422">
        <f ca="1">IF(LEFT(U$6,4)&lt;=LEFT('RFM input'!$G$60,4),"enter input",IF(LEFT(U$6,4)&gt;LEFT('RFM input'!$Q$60,4),0,IF(U$6=(OFFSET('RFM input'!$G$60,0,'RFM input'!$V$7)),OFFSET('RFM input'!$I$411,$A2498,0),0)))</f>
        <v>0</v>
      </c>
      <c r="V2501" s="1422">
        <f ca="1">IF(LEFT(V$6,4)&lt;=LEFT('RFM input'!$G$60,4),"enter input",IF(LEFT(V$6,4)&gt;LEFT('RFM input'!$Q$60,4),0,IF(V$6=(OFFSET('RFM input'!$G$60,0,'RFM input'!$V$7)),OFFSET('RFM input'!$I$411,$A2498,0),0)))</f>
        <v>0</v>
      </c>
      <c r="W2501" s="1422">
        <f ca="1">IF(LEFT(W$6,4)&lt;=LEFT('RFM input'!$G$60,4),"enter input",IF(LEFT(W$6,4)&gt;LEFT('RFM input'!$Q$60,4),0,IF(W$6=(OFFSET('RFM input'!$G$60,0,'RFM input'!$V$7)),OFFSET('RFM input'!$I$411,$A2498,0),0)))</f>
        <v>0</v>
      </c>
      <c r="X2501" s="152"/>
      <c r="Y2501" s="152"/>
      <c r="Z2501" s="152"/>
      <c r="AA2501" s="152"/>
      <c r="AB2501" s="152"/>
    </row>
    <row r="2502" spans="1:28" hidden="1" outlineLevel="1">
      <c r="A2502" s="235">
        <v>-1</v>
      </c>
      <c r="B2502" s="190" t="s">
        <v>189</v>
      </c>
      <c r="C2502" s="1423"/>
      <c r="D2502" s="1423">
        <f ca="1">IF(AND(D2500=0,C2502=0),0,
IF(AND(D2500&lt;&gt;0,C2502=0),(D2500/D$10),
IF(AND(D2501&lt;&gt;0,C2502&lt;&gt;0),(C2502-(C2502/C2526))+(D2500/D$10),
IF(C2526&lt;1,0,(C2502-(C2502/C2526))))))</f>
        <v>0</v>
      </c>
      <c r="E2502" s="1423">
        <f t="shared" ref="E2502" ca="1" si="3691">IF(AND(E2500=0,D2502=0),0,
IF(AND(E2500&lt;&gt;0,D2502=0),(E2500/E$10),
IF(AND(E2501&lt;&gt;0,D2502&lt;&gt;0),(D2502-(D2502/D2526))+(E2500/E$10),
IF(D2526&lt;1,0,(D2502-(D2502/D2526))))))</f>
        <v>0</v>
      </c>
      <c r="F2502" s="1423">
        <f t="shared" ref="F2502" ca="1" si="3692">IF(AND(F2500=0,E2502=0),0,
IF(AND(F2500&lt;&gt;0,E2502=0),(F2500/F$10),
IF(AND(F2501&lt;&gt;0,E2502&lt;&gt;0),(E2502-(E2502/E2526))+(F2500/F$10),
IF(E2526&lt;1,0,(E2502-(E2502/E2526))))))</f>
        <v>0</v>
      </c>
      <c r="G2502" s="1423">
        <f t="shared" ref="G2502" ca="1" si="3693">IF(AND(G2500=0,F2502=0),0,
IF(AND(G2500&lt;&gt;0,F2502=0),(G2500/G$10),
IF(AND(G2501&lt;&gt;0,F2502&lt;&gt;0),(F2502-(F2502/F2526))+(G2500/G$10),
IF(F2526&lt;1,0,(F2502-(F2502/F2526))))))</f>
        <v>0</v>
      </c>
      <c r="H2502" s="1423">
        <f t="shared" ref="H2502" ca="1" si="3694">IF(AND(H2500=0,G2502=0),0,
IF(AND(H2500&lt;&gt;0,G2502=0),(H2500/H$10),
IF(AND(H2501&lt;&gt;0,G2502&lt;&gt;0),(G2502-(G2502/G2526))+(H2500/H$10),
IF(G2526&lt;1,0,(G2502-(G2502/G2526))))))</f>
        <v>0</v>
      </c>
      <c r="I2502" s="1423">
        <f t="shared" ref="I2502" ca="1" si="3695">IF(AND(I2500=0,H2502=0),0,
IF(AND(I2500&lt;&gt;0,H2502=0),(I2500/I$10),
IF(AND(I2501&lt;&gt;0,H2502&lt;&gt;0),(H2502-(H2502/H2526))+(I2500/I$10),
IF(H2526&lt;1,0,(H2502-(H2502/H2526))))))</f>
        <v>0</v>
      </c>
      <c r="J2502" s="1423">
        <f t="shared" ref="J2502" ca="1" si="3696">IF(AND(J2500=0,I2502=0),0,
IF(AND(J2500&lt;&gt;0,I2502=0),(J2500/J$10),
IF(AND(J2501&lt;&gt;0,I2502&lt;&gt;0),(I2502-(I2502/I2526))+(J2500/J$10),
IF(I2526&lt;1,0,(I2502-(I2502/I2526))))))</f>
        <v>0</v>
      </c>
      <c r="K2502" s="1423">
        <f t="shared" ref="K2502" ca="1" si="3697">IF(AND(K2500=0,J2502=0),0,
IF(AND(K2500&lt;&gt;0,J2502=0),(K2500/K$10),
IF(AND(K2501&lt;&gt;0,J2502&lt;&gt;0),(J2502-(J2502/J2526))+(K2500/K$10),
IF(J2526&lt;1,0,(J2502-(J2502/J2526))))))</f>
        <v>0</v>
      </c>
      <c r="L2502" s="1423">
        <f t="shared" ref="L2502" ca="1" si="3698">IF(AND(L2500=0,K2502=0),0,
IF(AND(L2500&lt;&gt;0,K2502=0),(L2500/L$10),
IF(AND(L2501&lt;&gt;0,K2502&lt;&gt;0),(K2502-(K2502/K2526))+(L2500/L$10),
IF(K2526&lt;1,0,(K2502-(K2502/K2526))))))</f>
        <v>0</v>
      </c>
      <c r="M2502" s="1423">
        <f t="shared" ref="M2502" ca="1" si="3699">IF(AND(M2500=0,L2502=0),0,
IF(AND(M2500&lt;&gt;0,L2502=0),(M2500/M$10),
IF(AND(M2501&lt;&gt;0,L2502&lt;&gt;0),(L2502-(L2502/L2526))+(M2500/M$10),
IF(L2526&lt;1,0,(L2502-(L2502/L2526))))))</f>
        <v>0</v>
      </c>
      <c r="N2502" s="1423">
        <f t="shared" ref="N2502" ca="1" si="3700">IF(AND(N2500=0,M2502=0),0,
IF(AND(N2500&lt;&gt;0,M2502=0),(N2500/N$10),
IF(AND(N2501&lt;&gt;0,M2502&lt;&gt;0),(M2502-(M2502/M2526))+(N2500/N$10),
IF(M2526&lt;1,0,(M2502-(M2502/M2526))))))</f>
        <v>0</v>
      </c>
      <c r="O2502" s="1423">
        <f t="shared" ref="O2502" ca="1" si="3701">IF(AND(O2500=0,N2502=0),0,
IF(AND(O2500&lt;&gt;0,N2502=0),(O2500/O$10),
IF(AND(O2501&lt;&gt;0,N2502&lt;&gt;0),(N2502-(N2502/N2526))+(O2500/O$10),
IF(N2526&lt;1,0,(N2502-(N2502/N2526))))))</f>
        <v>0</v>
      </c>
      <c r="P2502" s="1423">
        <f t="shared" ref="P2502" ca="1" si="3702">IF(AND(P2500=0,O2502=0),0,
IF(AND(P2500&lt;&gt;0,O2502=0),(P2500/P$10),
IF(AND(P2501&lt;&gt;0,O2502&lt;&gt;0),(O2502-(O2502/O2526))+(P2500/P$10),
IF(O2526&lt;1,0,(O2502-(O2502/O2526))))))</f>
        <v>0</v>
      </c>
      <c r="Q2502" s="1423">
        <f t="shared" ref="Q2502" ca="1" si="3703">IF(AND(Q2500=0,P2502=0),0,
IF(AND(Q2500&lt;&gt;0,P2502=0),(Q2500/Q$10),
IF(AND(Q2501&lt;&gt;0,P2502&lt;&gt;0),(P2502-(P2502/P2526))+(Q2500/Q$10),
IF(P2526&lt;1,0,(P2502-(P2502/P2526))))))</f>
        <v>0</v>
      </c>
      <c r="R2502" s="1423">
        <f t="shared" ref="R2502" ca="1" si="3704">IF(AND(R2500=0,Q2502=0),0,
IF(AND(R2500&lt;&gt;0,Q2502=0),(R2500/R$10),
IF(AND(R2501&lt;&gt;0,Q2502&lt;&gt;0),(Q2502-(Q2502/Q2526))+(R2500/R$10),
IF(Q2526&lt;1,0,(Q2502-(Q2502/Q2526))))))</f>
        <v>0</v>
      </c>
      <c r="S2502" s="1423">
        <f t="shared" ref="S2502" ca="1" si="3705">IF(AND(S2500=0,R2502=0),0,
IF(AND(S2500&lt;&gt;0,R2502=0),(S2500/S$10),
IF(AND(S2501&lt;&gt;0,R2502&lt;&gt;0),(R2502-(R2502/R2526))+(S2500/S$10),
IF(R2526&lt;1,0,(R2502-(R2502/R2526))))))</f>
        <v>0</v>
      </c>
      <c r="T2502" s="1423">
        <f t="shared" ref="T2502" ca="1" si="3706">IF(AND(T2500=0,S2502=0),0,
IF(AND(T2500&lt;&gt;0,S2502=0),(T2500/T$10),
IF(AND(T2501&lt;&gt;0,S2502&lt;&gt;0),(S2502-(S2502/S2526))+(T2500/T$10),
IF(S2526&lt;1,0,(S2502-(S2502/S2526))))))</f>
        <v>0</v>
      </c>
      <c r="U2502" s="1423">
        <f t="shared" ref="U2502" ca="1" si="3707">IF(AND(U2500=0,T2502=0),0,
IF(AND(U2500&lt;&gt;0,T2502=0),(U2500/U$10),
IF(AND(U2501&lt;&gt;0,T2502&lt;&gt;0),(T2502-(T2502/T2526))+(U2500/U$10),
IF(T2526&lt;1,0,(T2502-(T2502/T2526))))))</f>
        <v>0</v>
      </c>
      <c r="V2502" s="1423">
        <f t="shared" ref="V2502" ca="1" si="3708">IF(AND(V2500=0,U2502=0),0,
IF(AND(V2500&lt;&gt;0,U2502=0),(V2500/V$10),
IF(AND(V2501&lt;&gt;0,U2502&lt;&gt;0),(U2502-(U2502/U2526))+(V2500/V$10),
IF(U2526&lt;1,0,(U2502-(U2502/U2526))))))</f>
        <v>0</v>
      </c>
      <c r="W2502" s="1423">
        <f t="shared" ref="W2502" ca="1" si="3709">IF(AND(W2500=0,V2502=0),0,
IF(AND(W2500&lt;&gt;0,V2502=0),(W2500/W$10),
IF(AND(W2501&lt;&gt;0,V2502&lt;&gt;0),(V2502-(V2502/V2526))+(W2500/W$10),
IF(V2526&lt;1,0,(V2502-(V2502/V2526))))))</f>
        <v>0</v>
      </c>
      <c r="X2502" s="152"/>
      <c r="Y2502" s="152"/>
      <c r="Z2502" s="152"/>
      <c r="AA2502" s="152"/>
      <c r="AB2502" s="152"/>
    </row>
    <row r="2503" spans="1:28" hidden="1" outlineLevel="1">
      <c r="A2503" s="199">
        <f>A2502+1</f>
        <v>0</v>
      </c>
      <c r="B2503" s="190" t="s">
        <v>125</v>
      </c>
      <c r="C2503" s="1423">
        <f ca="1">C2498/C$10</f>
        <v>0</v>
      </c>
      <c r="D2503" s="1423">
        <f ca="1">IF(C2527="n/a",C2503,IFERROR(IF((OFFSET($C2503,0,$A2503))&lt;0,
MIN(0,C2503-(OFFSET($C2503,0,$A2503)/(OFFSET($C2498,-$A2502,$A2503)))),
MAX(0,C2503-(OFFSET($C2503,0,$A2503)/(OFFSET($C2498,-$A2502,$A2503))))),0))</f>
        <v>0</v>
      </c>
      <c r="E2503" s="1423">
        <f t="shared" ref="E2503" ca="1" si="3710">IF(D2527="n/a",D2503,IFERROR(IF((OFFSET($C2503,0,$A2503))&lt;0,
MIN(0,D2503-(OFFSET($C2503,0,$A2503)/(OFFSET($C2498,-$A2502,$A2503)))),
MAX(0,D2503-(OFFSET($C2503,0,$A2503)/(OFFSET($C2498,-$A2502,$A2503))))),0))</f>
        <v>0</v>
      </c>
      <c r="F2503" s="1423">
        <f t="shared" ref="F2503:F2504" ca="1" si="3711">IF(E2527="n/a",E2503,IFERROR(IF((OFFSET($C2503,0,$A2503))&lt;0,
MIN(0,E2503-(OFFSET($C2503,0,$A2503)/(OFFSET($C2498,-$A2502,$A2503)))),
MAX(0,E2503-(OFFSET($C2503,0,$A2503)/(OFFSET($C2498,-$A2502,$A2503))))),0))</f>
        <v>0</v>
      </c>
      <c r="G2503" s="1423">
        <f t="shared" ref="G2503:G2505" ca="1" si="3712">IF(F2527="n/a",F2503,IFERROR(IF((OFFSET($C2503,0,$A2503))&lt;0,
MIN(0,F2503-(OFFSET($C2503,0,$A2503)/(OFFSET($C2498,-$A2502,$A2503)))),
MAX(0,F2503-(OFFSET($C2503,0,$A2503)/(OFFSET($C2498,-$A2502,$A2503))))),0))</f>
        <v>0</v>
      </c>
      <c r="H2503" s="1423">
        <f t="shared" ref="H2503:H2506" ca="1" si="3713">IF(G2527="n/a",G2503,IFERROR(IF((OFFSET($C2503,0,$A2503))&lt;0,
MIN(0,G2503-(OFFSET($C2503,0,$A2503)/(OFFSET($C2498,-$A2502,$A2503)))),
MAX(0,G2503-(OFFSET($C2503,0,$A2503)/(OFFSET($C2498,-$A2502,$A2503))))),0))</f>
        <v>0</v>
      </c>
      <c r="I2503" s="1423">
        <f t="shared" ref="I2503:I2507" ca="1" si="3714">IF(H2527="n/a",H2503,IFERROR(IF((OFFSET($C2503,0,$A2503))&lt;0,
MIN(0,H2503-(OFFSET($C2503,0,$A2503)/(OFFSET($C2498,-$A2502,$A2503)))),
MAX(0,H2503-(OFFSET($C2503,0,$A2503)/(OFFSET($C2498,-$A2502,$A2503))))),0))</f>
        <v>0</v>
      </c>
      <c r="J2503" s="1423">
        <f t="shared" ref="J2503:J2508" ca="1" si="3715">IF(I2527="n/a",I2503,IFERROR(IF((OFFSET($C2503,0,$A2503))&lt;0,
MIN(0,I2503-(OFFSET($C2503,0,$A2503)/(OFFSET($C2498,-$A2502,$A2503)))),
MAX(0,I2503-(OFFSET($C2503,0,$A2503)/(OFFSET($C2498,-$A2502,$A2503))))),0))</f>
        <v>0</v>
      </c>
      <c r="K2503" s="1423">
        <f t="shared" ref="K2503:K2509" ca="1" si="3716">IF(J2527="n/a",J2503,IFERROR(IF((OFFSET($C2503,0,$A2503))&lt;0,
MIN(0,J2503-(OFFSET($C2503,0,$A2503)/(OFFSET($C2498,-$A2502,$A2503)))),
MAX(0,J2503-(OFFSET($C2503,0,$A2503)/(OFFSET($C2498,-$A2502,$A2503))))),0))</f>
        <v>0</v>
      </c>
      <c r="L2503" s="1423">
        <f t="shared" ref="L2503:L2510" ca="1" si="3717">IF(K2527="n/a",K2503,IFERROR(IF((OFFSET($C2503,0,$A2503))&lt;0,
MIN(0,K2503-(OFFSET($C2503,0,$A2503)/(OFFSET($C2498,-$A2502,$A2503)))),
MAX(0,K2503-(OFFSET($C2503,0,$A2503)/(OFFSET($C2498,-$A2502,$A2503))))),0))</f>
        <v>0</v>
      </c>
      <c r="M2503" s="1423">
        <f t="shared" ref="M2503:M2511" ca="1" si="3718">IF(L2527="n/a",L2503,IFERROR(IF((OFFSET($C2503,0,$A2503))&lt;0,
MIN(0,L2503-(OFFSET($C2503,0,$A2503)/(OFFSET($C2498,-$A2502,$A2503)))),
MAX(0,L2503-(OFFSET($C2503,0,$A2503)/(OFFSET($C2498,-$A2502,$A2503))))),0))</f>
        <v>0</v>
      </c>
      <c r="N2503" s="1423">
        <f t="shared" ref="N2503:N2512" ca="1" si="3719">IF(M2527="n/a",M2503,IFERROR(IF((OFFSET($C2503,0,$A2503))&lt;0,
MIN(0,M2503-(OFFSET($C2503,0,$A2503)/(OFFSET($C2498,-$A2502,$A2503)))),
MAX(0,M2503-(OFFSET($C2503,0,$A2503)/(OFFSET($C2498,-$A2502,$A2503))))),0))</f>
        <v>0</v>
      </c>
      <c r="O2503" s="1423">
        <f t="shared" ref="O2503:O2513" ca="1" si="3720">IF(N2527="n/a",N2503,IFERROR(IF((OFFSET($C2503,0,$A2503))&lt;0,
MIN(0,N2503-(OFFSET($C2503,0,$A2503)/(OFFSET($C2498,-$A2502,$A2503)))),
MAX(0,N2503-(OFFSET($C2503,0,$A2503)/(OFFSET($C2498,-$A2502,$A2503))))),0))</f>
        <v>0</v>
      </c>
      <c r="P2503" s="1423">
        <f t="shared" ref="P2503:P2514" ca="1" si="3721">IF(O2527="n/a",O2503,IFERROR(IF((OFFSET($C2503,0,$A2503))&lt;0,
MIN(0,O2503-(OFFSET($C2503,0,$A2503)/(OFFSET($C2498,-$A2502,$A2503)))),
MAX(0,O2503-(OFFSET($C2503,0,$A2503)/(OFFSET($C2498,-$A2502,$A2503))))),0))</f>
        <v>0</v>
      </c>
      <c r="Q2503" s="1423">
        <f t="shared" ref="Q2503:Q2515" ca="1" si="3722">IF(P2527="n/a",P2503,IFERROR(IF((OFFSET($C2503,0,$A2503))&lt;0,
MIN(0,P2503-(OFFSET($C2503,0,$A2503)/(OFFSET($C2498,-$A2502,$A2503)))),
MAX(0,P2503-(OFFSET($C2503,0,$A2503)/(OFFSET($C2498,-$A2502,$A2503))))),0))</f>
        <v>0</v>
      </c>
      <c r="R2503" s="1423">
        <f t="shared" ref="R2503:R2516" ca="1" si="3723">IF(Q2527="n/a",Q2503,IFERROR(IF((OFFSET($C2503,0,$A2503))&lt;0,
MIN(0,Q2503-(OFFSET($C2503,0,$A2503)/(OFFSET($C2498,-$A2502,$A2503)))),
MAX(0,Q2503-(OFFSET($C2503,0,$A2503)/(OFFSET($C2498,-$A2502,$A2503))))),0))</f>
        <v>0</v>
      </c>
      <c r="S2503" s="1423">
        <f t="shared" ref="S2503:S2517" ca="1" si="3724">IF(R2527="n/a",R2503,IFERROR(IF((OFFSET($C2503,0,$A2503))&lt;0,
MIN(0,R2503-(OFFSET($C2503,0,$A2503)/(OFFSET($C2498,-$A2502,$A2503)))),
MAX(0,R2503-(OFFSET($C2503,0,$A2503)/(OFFSET($C2498,-$A2502,$A2503))))),0))</f>
        <v>0</v>
      </c>
      <c r="T2503" s="1423">
        <f t="shared" ref="T2503:T2518" ca="1" si="3725">IF(S2527="n/a",S2503,IFERROR(IF((OFFSET($C2503,0,$A2503))&lt;0,
MIN(0,S2503-(OFFSET($C2503,0,$A2503)/(OFFSET($C2498,-$A2502,$A2503)))),
MAX(0,S2503-(OFFSET($C2503,0,$A2503)/(OFFSET($C2498,-$A2502,$A2503))))),0))</f>
        <v>0</v>
      </c>
      <c r="U2503" s="1423">
        <f t="shared" ref="U2503:U2519" ca="1" si="3726">IF(T2527="n/a",T2503,IFERROR(IF((OFFSET($C2503,0,$A2503))&lt;0,
MIN(0,T2503-(OFFSET($C2503,0,$A2503)/(OFFSET($C2498,-$A2502,$A2503)))),
MAX(0,T2503-(OFFSET($C2503,0,$A2503)/(OFFSET($C2498,-$A2502,$A2503))))),0))</f>
        <v>0</v>
      </c>
      <c r="V2503" s="1423">
        <f t="shared" ref="V2503:V2520" ca="1" si="3727">IF(U2527="n/a",U2503,IFERROR(IF((OFFSET($C2503,0,$A2503))&lt;0,
MIN(0,U2503-(OFFSET($C2503,0,$A2503)/(OFFSET($C2498,-$A2502,$A2503)))),
MAX(0,U2503-(OFFSET($C2503,0,$A2503)/(OFFSET($C2498,-$A2502,$A2503))))),0))</f>
        <v>0</v>
      </c>
      <c r="W2503" s="1423">
        <f t="shared" ref="W2503:W2521" ca="1" si="3728">IF(V2527="n/a",V2503,IFERROR(IF((OFFSET($C2503,0,$A2503))&lt;0,
MIN(0,V2503-(OFFSET($C2503,0,$A2503)/(OFFSET($C2498,-$A2502,$A2503)))),
MAX(0,V2503-(OFFSET($C2503,0,$A2503)/(OFFSET($C2498,-$A2502,$A2503))))),0))</f>
        <v>0</v>
      </c>
      <c r="X2503" s="152"/>
      <c r="Y2503" s="152"/>
      <c r="Z2503" s="152"/>
      <c r="AA2503" s="152"/>
      <c r="AB2503" s="152"/>
    </row>
    <row r="2504" spans="1:28" hidden="1" outlineLevel="1">
      <c r="A2504" s="199">
        <f t="shared" ref="A2504:A2523" si="3729">A2503+1</f>
        <v>1</v>
      </c>
      <c r="B2504" s="190" t="str">
        <f t="shared" ref="B2504:B2522" ca="1" si="3730">"Depreciated Net Capex "&amp;OFFSET($C$6,0,A2504)</f>
        <v>Depreciated Net Capex 2016-17</v>
      </c>
      <c r="C2504" s="1424"/>
      <c r="D2504" s="1425">
        <f>(D2498*((1+D$11)^0.5)/D$10)</f>
        <v>0</v>
      </c>
      <c r="E2504" s="1423">
        <f ca="1">IF(D2528="n/a",D2504,IFERROR(IF((OFFSET($C2504,0,$A2504))&lt;0,
MIN(0,D2504-(OFFSET($C2504,0,$A2504)/(OFFSET($C2499,-$A2503,$A2504)))),
MAX(0,D2504-(OFFSET($C2504,0,$A2504)/(OFFSET($C2499,-$A2503,$A2504))))),0))</f>
        <v>0</v>
      </c>
      <c r="F2504" s="1423">
        <f t="shared" ca="1" si="3711"/>
        <v>0</v>
      </c>
      <c r="G2504" s="1423">
        <f t="shared" ca="1" si="3712"/>
        <v>0</v>
      </c>
      <c r="H2504" s="1423">
        <f t="shared" ca="1" si="3713"/>
        <v>0</v>
      </c>
      <c r="I2504" s="1423">
        <f t="shared" ca="1" si="3714"/>
        <v>0</v>
      </c>
      <c r="J2504" s="1423">
        <f t="shared" ca="1" si="3715"/>
        <v>0</v>
      </c>
      <c r="K2504" s="1423">
        <f t="shared" ca="1" si="3716"/>
        <v>0</v>
      </c>
      <c r="L2504" s="1423">
        <f t="shared" ca="1" si="3717"/>
        <v>0</v>
      </c>
      <c r="M2504" s="1423">
        <f t="shared" ca="1" si="3718"/>
        <v>0</v>
      </c>
      <c r="N2504" s="1423">
        <f t="shared" ca="1" si="3719"/>
        <v>0</v>
      </c>
      <c r="O2504" s="1423">
        <f t="shared" ca="1" si="3720"/>
        <v>0</v>
      </c>
      <c r="P2504" s="1423">
        <f t="shared" ca="1" si="3721"/>
        <v>0</v>
      </c>
      <c r="Q2504" s="1423">
        <f t="shared" ca="1" si="3722"/>
        <v>0</v>
      </c>
      <c r="R2504" s="1423">
        <f t="shared" ca="1" si="3723"/>
        <v>0</v>
      </c>
      <c r="S2504" s="1423">
        <f t="shared" ca="1" si="3724"/>
        <v>0</v>
      </c>
      <c r="T2504" s="1423">
        <f t="shared" ca="1" si="3725"/>
        <v>0</v>
      </c>
      <c r="U2504" s="1423">
        <f t="shared" ca="1" si="3726"/>
        <v>0</v>
      </c>
      <c r="V2504" s="1423">
        <f t="shared" ca="1" si="3727"/>
        <v>0</v>
      </c>
      <c r="W2504" s="1423">
        <f t="shared" ca="1" si="3728"/>
        <v>0</v>
      </c>
      <c r="X2504" s="152"/>
      <c r="Y2504" s="152"/>
      <c r="Z2504" s="152"/>
      <c r="AA2504" s="152"/>
      <c r="AB2504" s="152"/>
    </row>
    <row r="2505" spans="1:28" hidden="1" outlineLevel="1">
      <c r="A2505" s="199">
        <f t="shared" si="3729"/>
        <v>2</v>
      </c>
      <c r="B2505" s="190" t="str">
        <f t="shared" ca="1" si="3730"/>
        <v>Depreciated Net Capex 2017-18</v>
      </c>
      <c r="C2505" s="1426"/>
      <c r="D2505" s="1427"/>
      <c r="E2505" s="1425">
        <f>(E2498*((1+E$11)^0.5)/E$10)</f>
        <v>0</v>
      </c>
      <c r="F2505" s="1423">
        <f ca="1">IF(E2529="n/a",E2505,IFERROR(IF((OFFSET($C2505,0,$A2505))&lt;0,
MIN(0,E2505-(OFFSET($C2505,0,$A2505)/(OFFSET($C2500,-$A2504,$A2505)))),
MAX(0,E2505-(OFFSET($C2505,0,$A2505)/(OFFSET($C2500,-$A2504,$A2505))))),0))</f>
        <v>0</v>
      </c>
      <c r="G2505" s="1423">
        <f t="shared" ca="1" si="3712"/>
        <v>0</v>
      </c>
      <c r="H2505" s="1423">
        <f t="shared" ca="1" si="3713"/>
        <v>0</v>
      </c>
      <c r="I2505" s="1423">
        <f t="shared" ca="1" si="3714"/>
        <v>0</v>
      </c>
      <c r="J2505" s="1423">
        <f t="shared" ca="1" si="3715"/>
        <v>0</v>
      </c>
      <c r="K2505" s="1423">
        <f t="shared" ca="1" si="3716"/>
        <v>0</v>
      </c>
      <c r="L2505" s="1423">
        <f t="shared" ca="1" si="3717"/>
        <v>0</v>
      </c>
      <c r="M2505" s="1423">
        <f t="shared" ca="1" si="3718"/>
        <v>0</v>
      </c>
      <c r="N2505" s="1423">
        <f t="shared" ca="1" si="3719"/>
        <v>0</v>
      </c>
      <c r="O2505" s="1423">
        <f t="shared" ca="1" si="3720"/>
        <v>0</v>
      </c>
      <c r="P2505" s="1423">
        <f t="shared" ca="1" si="3721"/>
        <v>0</v>
      </c>
      <c r="Q2505" s="1423">
        <f t="shared" ca="1" si="3722"/>
        <v>0</v>
      </c>
      <c r="R2505" s="1423">
        <f t="shared" ca="1" si="3723"/>
        <v>0</v>
      </c>
      <c r="S2505" s="1423">
        <f t="shared" ca="1" si="3724"/>
        <v>0</v>
      </c>
      <c r="T2505" s="1423">
        <f t="shared" ca="1" si="3725"/>
        <v>0</v>
      </c>
      <c r="U2505" s="1423">
        <f t="shared" ca="1" si="3726"/>
        <v>0</v>
      </c>
      <c r="V2505" s="1423">
        <f t="shared" ca="1" si="3727"/>
        <v>0</v>
      </c>
      <c r="W2505" s="1423">
        <f t="shared" ca="1" si="3728"/>
        <v>0</v>
      </c>
      <c r="X2505" s="202"/>
      <c r="Y2505" s="152"/>
      <c r="Z2505" s="152"/>
      <c r="AA2505" s="152"/>
      <c r="AB2505" s="152"/>
    </row>
    <row r="2506" spans="1:28" hidden="1" outlineLevel="1">
      <c r="A2506" s="199">
        <f t="shared" si="3729"/>
        <v>3</v>
      </c>
      <c r="B2506" s="190" t="str">
        <f t="shared" ca="1" si="3730"/>
        <v>Depreciated Net Capex 2018-19</v>
      </c>
      <c r="C2506" s="1426"/>
      <c r="D2506" s="1426"/>
      <c r="E2506" s="1427"/>
      <c r="F2506" s="1428">
        <f>($F2498*((1+F$11)^0.5)/F$10)</f>
        <v>0</v>
      </c>
      <c r="G2506" s="1423">
        <f ca="1">IF(F2530="n/a",F2506,IFERROR(IF((OFFSET($C2506,0,$A2506))&lt;0,
MIN(0,F2506-(OFFSET($C2506,0,$A2506)/(OFFSET($C2501,-$A2505,$A2506)))),
MAX(0,F2506-(OFFSET($C2506,0,$A2506)/(OFFSET($C2501,-$A2505,$A2506))))),0))</f>
        <v>0</v>
      </c>
      <c r="H2506" s="1423">
        <f t="shared" ca="1" si="3713"/>
        <v>0</v>
      </c>
      <c r="I2506" s="1423">
        <f t="shared" ca="1" si="3714"/>
        <v>0</v>
      </c>
      <c r="J2506" s="1423">
        <f t="shared" ca="1" si="3715"/>
        <v>0</v>
      </c>
      <c r="K2506" s="1423">
        <f t="shared" ca="1" si="3716"/>
        <v>0</v>
      </c>
      <c r="L2506" s="1423">
        <f t="shared" ca="1" si="3717"/>
        <v>0</v>
      </c>
      <c r="M2506" s="1423">
        <f t="shared" ca="1" si="3718"/>
        <v>0</v>
      </c>
      <c r="N2506" s="1423">
        <f t="shared" ca="1" si="3719"/>
        <v>0</v>
      </c>
      <c r="O2506" s="1423">
        <f t="shared" ca="1" si="3720"/>
        <v>0</v>
      </c>
      <c r="P2506" s="1423">
        <f t="shared" ca="1" si="3721"/>
        <v>0</v>
      </c>
      <c r="Q2506" s="1423">
        <f t="shared" ca="1" si="3722"/>
        <v>0</v>
      </c>
      <c r="R2506" s="1423">
        <f t="shared" ca="1" si="3723"/>
        <v>0</v>
      </c>
      <c r="S2506" s="1423">
        <f t="shared" ca="1" si="3724"/>
        <v>0</v>
      </c>
      <c r="T2506" s="1423">
        <f t="shared" ca="1" si="3725"/>
        <v>0</v>
      </c>
      <c r="U2506" s="1423">
        <f t="shared" ca="1" si="3726"/>
        <v>0</v>
      </c>
      <c r="V2506" s="1423">
        <f t="shared" ca="1" si="3727"/>
        <v>0</v>
      </c>
      <c r="W2506" s="1423">
        <f t="shared" ca="1" si="3728"/>
        <v>0</v>
      </c>
      <c r="X2506" s="202"/>
      <c r="Y2506" s="202"/>
      <c r="Z2506" s="152"/>
      <c r="AA2506" s="152"/>
      <c r="AB2506" s="152"/>
    </row>
    <row r="2507" spans="1:28" hidden="1" outlineLevel="1">
      <c r="A2507" s="199">
        <f t="shared" si="3729"/>
        <v>4</v>
      </c>
      <c r="B2507" s="190" t="str">
        <f t="shared" ca="1" si="3730"/>
        <v>Depreciated Net Capex 2019-20</v>
      </c>
      <c r="C2507" s="1426"/>
      <c r="D2507" s="1426"/>
      <c r="E2507" s="1426"/>
      <c r="F2507" s="1427"/>
      <c r="G2507" s="1428">
        <f>($G2498*((1+G$11)^0.5)/G$10)</f>
        <v>0</v>
      </c>
      <c r="H2507" s="1423">
        <f ca="1">IF(G2531="n/a",G2507,IFERROR(IF((OFFSET($C2507,0,$A2507))&lt;0,
MIN(0,G2507-(OFFSET($C2507,0,$A2507)/(OFFSET($C2502,-$A2506,$A2507)))),
MAX(0,G2507-(OFFSET($C2507,0,$A2507)/(OFFSET($C2502,-$A2506,$A2507))))),0))</f>
        <v>0</v>
      </c>
      <c r="I2507" s="1423">
        <f t="shared" ca="1" si="3714"/>
        <v>0</v>
      </c>
      <c r="J2507" s="1423">
        <f t="shared" ca="1" si="3715"/>
        <v>0</v>
      </c>
      <c r="K2507" s="1423">
        <f t="shared" ca="1" si="3716"/>
        <v>0</v>
      </c>
      <c r="L2507" s="1423">
        <f t="shared" ca="1" si="3717"/>
        <v>0</v>
      </c>
      <c r="M2507" s="1423">
        <f t="shared" ca="1" si="3718"/>
        <v>0</v>
      </c>
      <c r="N2507" s="1423">
        <f t="shared" ca="1" si="3719"/>
        <v>0</v>
      </c>
      <c r="O2507" s="1423">
        <f t="shared" ca="1" si="3720"/>
        <v>0</v>
      </c>
      <c r="P2507" s="1423">
        <f t="shared" ca="1" si="3721"/>
        <v>0</v>
      </c>
      <c r="Q2507" s="1423">
        <f t="shared" ca="1" si="3722"/>
        <v>0</v>
      </c>
      <c r="R2507" s="1423">
        <f t="shared" ca="1" si="3723"/>
        <v>0</v>
      </c>
      <c r="S2507" s="1423">
        <f t="shared" ca="1" si="3724"/>
        <v>0</v>
      </c>
      <c r="T2507" s="1423">
        <f t="shared" ca="1" si="3725"/>
        <v>0</v>
      </c>
      <c r="U2507" s="1423">
        <f t="shared" ca="1" si="3726"/>
        <v>0</v>
      </c>
      <c r="V2507" s="1423">
        <f t="shared" ca="1" si="3727"/>
        <v>0</v>
      </c>
      <c r="W2507" s="1423">
        <f t="shared" ca="1" si="3728"/>
        <v>0</v>
      </c>
      <c r="X2507" s="202"/>
      <c r="Y2507" s="202"/>
      <c r="Z2507" s="202"/>
      <c r="AA2507" s="152"/>
      <c r="AB2507" s="152"/>
    </row>
    <row r="2508" spans="1:28" hidden="1" outlineLevel="1">
      <c r="A2508" s="199">
        <f t="shared" si="3729"/>
        <v>5</v>
      </c>
      <c r="B2508" s="190" t="str">
        <f t="shared" ca="1" si="3730"/>
        <v>Depreciated Net Capex 2020-21</v>
      </c>
      <c r="C2508" s="1426"/>
      <c r="D2508" s="1426"/>
      <c r="E2508" s="1426"/>
      <c r="F2508" s="1426"/>
      <c r="G2508" s="1427"/>
      <c r="H2508" s="1428">
        <f>(H2498*((1+H$11)^0.5)/H$10)</f>
        <v>0</v>
      </c>
      <c r="I2508" s="1423">
        <f ca="1">IF(H2532="n/a",H2508,IFERROR(IF((OFFSET($C2508,0,$A2508))&lt;0,
MIN(0,H2508-(OFFSET($C2508,0,$A2508)/(OFFSET($C2503,-$A2507,$A2508)))),
MAX(0,H2508-(OFFSET($C2508,0,$A2508)/(OFFSET($C2503,-$A2507,$A2508))))),0))</f>
        <v>0</v>
      </c>
      <c r="J2508" s="1423">
        <f t="shared" ca="1" si="3715"/>
        <v>0</v>
      </c>
      <c r="K2508" s="1423">
        <f t="shared" ca="1" si="3716"/>
        <v>0</v>
      </c>
      <c r="L2508" s="1423">
        <f t="shared" ca="1" si="3717"/>
        <v>0</v>
      </c>
      <c r="M2508" s="1423">
        <f t="shared" ca="1" si="3718"/>
        <v>0</v>
      </c>
      <c r="N2508" s="1423">
        <f t="shared" ca="1" si="3719"/>
        <v>0</v>
      </c>
      <c r="O2508" s="1423">
        <f t="shared" ca="1" si="3720"/>
        <v>0</v>
      </c>
      <c r="P2508" s="1423">
        <f t="shared" ca="1" si="3721"/>
        <v>0</v>
      </c>
      <c r="Q2508" s="1423">
        <f t="shared" ca="1" si="3722"/>
        <v>0</v>
      </c>
      <c r="R2508" s="1423">
        <f t="shared" ca="1" si="3723"/>
        <v>0</v>
      </c>
      <c r="S2508" s="1423">
        <f t="shared" ca="1" si="3724"/>
        <v>0</v>
      </c>
      <c r="T2508" s="1423">
        <f t="shared" ca="1" si="3725"/>
        <v>0</v>
      </c>
      <c r="U2508" s="1423">
        <f t="shared" ca="1" si="3726"/>
        <v>0</v>
      </c>
      <c r="V2508" s="1423">
        <f t="shared" ca="1" si="3727"/>
        <v>0</v>
      </c>
      <c r="W2508" s="1423">
        <f t="shared" ca="1" si="3728"/>
        <v>0</v>
      </c>
      <c r="X2508" s="202"/>
      <c r="Y2508" s="202"/>
      <c r="Z2508" s="202"/>
      <c r="AA2508" s="152"/>
      <c r="AB2508" s="152"/>
    </row>
    <row r="2509" spans="1:28" hidden="1" outlineLevel="1">
      <c r="A2509" s="199">
        <f t="shared" si="3729"/>
        <v>6</v>
      </c>
      <c r="B2509" s="190" t="str">
        <f t="shared" ca="1" si="3730"/>
        <v>Depreciated Net Capex 2021-22</v>
      </c>
      <c r="C2509" s="1426"/>
      <c r="D2509" s="1426"/>
      <c r="E2509" s="1426"/>
      <c r="F2509" s="1426"/>
      <c r="G2509" s="1426"/>
      <c r="H2509" s="1427"/>
      <c r="I2509" s="1428">
        <f>(I2498*((1+I$11)^0.5)/I$10)</f>
        <v>0</v>
      </c>
      <c r="J2509" s="1423">
        <f ca="1">IF(I2533="n/a",I2509,IFERROR(IF((OFFSET($C2509,0,$A2509))&lt;0,
MIN(0,I2509-(OFFSET($C2509,0,$A2509)/(OFFSET($C2504,-$A2508,$A2509)))),
MAX(0,I2509-(OFFSET($C2509,0,$A2509)/(OFFSET($C2504,-$A2508,$A2509))))),0))</f>
        <v>0</v>
      </c>
      <c r="K2509" s="1423">
        <f t="shared" ca="1" si="3716"/>
        <v>0</v>
      </c>
      <c r="L2509" s="1423">
        <f t="shared" ca="1" si="3717"/>
        <v>0</v>
      </c>
      <c r="M2509" s="1423">
        <f t="shared" ca="1" si="3718"/>
        <v>0</v>
      </c>
      <c r="N2509" s="1423">
        <f t="shared" ca="1" si="3719"/>
        <v>0</v>
      </c>
      <c r="O2509" s="1423">
        <f t="shared" ca="1" si="3720"/>
        <v>0</v>
      </c>
      <c r="P2509" s="1423">
        <f t="shared" ca="1" si="3721"/>
        <v>0</v>
      </c>
      <c r="Q2509" s="1423">
        <f t="shared" ca="1" si="3722"/>
        <v>0</v>
      </c>
      <c r="R2509" s="1423">
        <f t="shared" ca="1" si="3723"/>
        <v>0</v>
      </c>
      <c r="S2509" s="1423">
        <f t="shared" ca="1" si="3724"/>
        <v>0</v>
      </c>
      <c r="T2509" s="1423">
        <f t="shared" ca="1" si="3725"/>
        <v>0</v>
      </c>
      <c r="U2509" s="1423">
        <f t="shared" ca="1" si="3726"/>
        <v>0</v>
      </c>
      <c r="V2509" s="1423">
        <f t="shared" ca="1" si="3727"/>
        <v>0</v>
      </c>
      <c r="W2509" s="1423">
        <f t="shared" ca="1" si="3728"/>
        <v>0</v>
      </c>
      <c r="X2509" s="202"/>
      <c r="Y2509" s="202"/>
      <c r="Z2509" s="202"/>
      <c r="AA2509" s="152"/>
      <c r="AB2509" s="152"/>
    </row>
    <row r="2510" spans="1:28" hidden="1" outlineLevel="1">
      <c r="A2510" s="199">
        <f t="shared" si="3729"/>
        <v>7</v>
      </c>
      <c r="B2510" s="190" t="str">
        <f t="shared" ca="1" si="3730"/>
        <v>Depreciated Net Capex 2022-23</v>
      </c>
      <c r="C2510" s="1426"/>
      <c r="D2510" s="1426"/>
      <c r="E2510" s="1426"/>
      <c r="F2510" s="1426"/>
      <c r="G2510" s="1426"/>
      <c r="H2510" s="1426"/>
      <c r="I2510" s="1427"/>
      <c r="J2510" s="1428">
        <f>(J2498*((1+J$11)^0.5)/J$10)</f>
        <v>0</v>
      </c>
      <c r="K2510" s="1423">
        <f ca="1">IF(J2534="n/a",J2510,IFERROR(IF((OFFSET($C2510,0,$A2510))&lt;0,
MIN(0,J2510-(OFFSET($C2510,0,$A2510)/(OFFSET($C2505,-$A2509,$A2510)))),
MAX(0,J2510-(OFFSET($C2510,0,$A2510)/(OFFSET($C2505,-$A2509,$A2510))))),0))</f>
        <v>0</v>
      </c>
      <c r="L2510" s="1423">
        <f t="shared" ca="1" si="3717"/>
        <v>0</v>
      </c>
      <c r="M2510" s="1423">
        <f t="shared" ca="1" si="3718"/>
        <v>0</v>
      </c>
      <c r="N2510" s="1423">
        <f t="shared" ca="1" si="3719"/>
        <v>0</v>
      </c>
      <c r="O2510" s="1423">
        <f t="shared" ca="1" si="3720"/>
        <v>0</v>
      </c>
      <c r="P2510" s="1423">
        <f t="shared" ca="1" si="3721"/>
        <v>0</v>
      </c>
      <c r="Q2510" s="1423">
        <f t="shared" ca="1" si="3722"/>
        <v>0</v>
      </c>
      <c r="R2510" s="1423">
        <f t="shared" ca="1" si="3723"/>
        <v>0</v>
      </c>
      <c r="S2510" s="1423">
        <f t="shared" ca="1" si="3724"/>
        <v>0</v>
      </c>
      <c r="T2510" s="1423">
        <f t="shared" ca="1" si="3725"/>
        <v>0</v>
      </c>
      <c r="U2510" s="1423">
        <f t="shared" ca="1" si="3726"/>
        <v>0</v>
      </c>
      <c r="V2510" s="1423">
        <f t="shared" ca="1" si="3727"/>
        <v>0</v>
      </c>
      <c r="W2510" s="1423">
        <f t="shared" ca="1" si="3728"/>
        <v>0</v>
      </c>
      <c r="X2510" s="202"/>
      <c r="Y2510" s="202"/>
      <c r="Z2510" s="202"/>
      <c r="AA2510" s="152"/>
      <c r="AB2510" s="152"/>
    </row>
    <row r="2511" spans="1:28" hidden="1" outlineLevel="1">
      <c r="A2511" s="199">
        <f t="shared" si="3729"/>
        <v>8</v>
      </c>
      <c r="B2511" s="190" t="str">
        <f t="shared" ca="1" si="3730"/>
        <v>Depreciated Net Capex 2023-24</v>
      </c>
      <c r="C2511" s="1426"/>
      <c r="D2511" s="1426"/>
      <c r="E2511" s="1426"/>
      <c r="F2511" s="1426"/>
      <c r="G2511" s="1426"/>
      <c r="H2511" s="1426"/>
      <c r="I2511" s="1426"/>
      <c r="J2511" s="1427"/>
      <c r="K2511" s="1428">
        <f>(K2498*((1+K$11)^0.5)/K$10)</f>
        <v>0</v>
      </c>
      <c r="L2511" s="1423">
        <f ca="1">IF(K2535="n/a",K2511,IFERROR(IF((OFFSET($C2511,0,$A2511))&lt;0,
MIN(0,K2511-(OFFSET($C2511,0,$A2511)/(OFFSET($C2506,-$A2510,$A2511)))),
MAX(0,K2511-(OFFSET($C2511,0,$A2511)/(OFFSET($C2506,-$A2510,$A2511))))),0))</f>
        <v>0</v>
      </c>
      <c r="M2511" s="1423">
        <f t="shared" ca="1" si="3718"/>
        <v>0</v>
      </c>
      <c r="N2511" s="1423">
        <f t="shared" ca="1" si="3719"/>
        <v>0</v>
      </c>
      <c r="O2511" s="1423">
        <f t="shared" ca="1" si="3720"/>
        <v>0</v>
      </c>
      <c r="P2511" s="1423">
        <f t="shared" ca="1" si="3721"/>
        <v>0</v>
      </c>
      <c r="Q2511" s="1423">
        <f t="shared" ca="1" si="3722"/>
        <v>0</v>
      </c>
      <c r="R2511" s="1423">
        <f t="shared" ca="1" si="3723"/>
        <v>0</v>
      </c>
      <c r="S2511" s="1423">
        <f t="shared" ca="1" si="3724"/>
        <v>0</v>
      </c>
      <c r="T2511" s="1423">
        <f t="shared" ca="1" si="3725"/>
        <v>0</v>
      </c>
      <c r="U2511" s="1423">
        <f t="shared" ca="1" si="3726"/>
        <v>0</v>
      </c>
      <c r="V2511" s="1423">
        <f t="shared" ca="1" si="3727"/>
        <v>0</v>
      </c>
      <c r="W2511" s="1423">
        <f t="shared" ca="1" si="3728"/>
        <v>0</v>
      </c>
      <c r="X2511" s="202"/>
      <c r="Y2511" s="202"/>
      <c r="Z2511" s="202"/>
      <c r="AA2511" s="152"/>
      <c r="AB2511" s="152"/>
    </row>
    <row r="2512" spans="1:28" hidden="1" outlineLevel="1">
      <c r="A2512" s="199">
        <f t="shared" si="3729"/>
        <v>9</v>
      </c>
      <c r="B2512" s="190" t="str">
        <f t="shared" ca="1" si="3730"/>
        <v>Depreciated Net Capex 2024-25</v>
      </c>
      <c r="C2512" s="1426"/>
      <c r="D2512" s="1426"/>
      <c r="E2512" s="1426"/>
      <c r="F2512" s="1426"/>
      <c r="G2512" s="1426"/>
      <c r="H2512" s="1426"/>
      <c r="I2512" s="1426"/>
      <c r="J2512" s="1426"/>
      <c r="K2512" s="1427"/>
      <c r="L2512" s="1428">
        <f>(L2498*((1+L$11)^0.5)/L$10)</f>
        <v>0</v>
      </c>
      <c r="M2512" s="1423">
        <f ca="1">IF(L2536="n/a",L2512,IFERROR(IF((OFFSET($C2512,0,$A2512))&lt;0,
MIN(0,L2512-(OFFSET($C2512,0,$A2512)/(OFFSET($C2507,-$A2511,$A2512)))),
MAX(0,L2512-(OFFSET($C2512,0,$A2512)/(OFFSET($C2507,-$A2511,$A2512))))),0))</f>
        <v>0</v>
      </c>
      <c r="N2512" s="1423">
        <f t="shared" ca="1" si="3719"/>
        <v>0</v>
      </c>
      <c r="O2512" s="1423">
        <f t="shared" ca="1" si="3720"/>
        <v>0</v>
      </c>
      <c r="P2512" s="1423">
        <f t="shared" ca="1" si="3721"/>
        <v>0</v>
      </c>
      <c r="Q2512" s="1423">
        <f t="shared" ca="1" si="3722"/>
        <v>0</v>
      </c>
      <c r="R2512" s="1423">
        <f t="shared" ca="1" si="3723"/>
        <v>0</v>
      </c>
      <c r="S2512" s="1423">
        <f t="shared" ca="1" si="3724"/>
        <v>0</v>
      </c>
      <c r="T2512" s="1423">
        <f t="shared" ca="1" si="3725"/>
        <v>0</v>
      </c>
      <c r="U2512" s="1423">
        <f t="shared" ca="1" si="3726"/>
        <v>0</v>
      </c>
      <c r="V2512" s="1423">
        <f t="shared" ca="1" si="3727"/>
        <v>0</v>
      </c>
      <c r="W2512" s="1423">
        <f t="shared" ca="1" si="3728"/>
        <v>0</v>
      </c>
      <c r="X2512" s="202"/>
      <c r="Y2512" s="202"/>
      <c r="Z2512" s="202"/>
      <c r="AA2512" s="152"/>
      <c r="AB2512" s="152"/>
    </row>
    <row r="2513" spans="1:28" hidden="1" outlineLevel="1">
      <c r="A2513" s="199">
        <f t="shared" si="3729"/>
        <v>10</v>
      </c>
      <c r="B2513" s="190" t="str">
        <f t="shared" ca="1" si="3730"/>
        <v>Depreciated Net Capex 2025-26</v>
      </c>
      <c r="C2513" s="1426"/>
      <c r="D2513" s="1426"/>
      <c r="E2513" s="1426"/>
      <c r="F2513" s="1426"/>
      <c r="G2513" s="1426"/>
      <c r="H2513" s="1426"/>
      <c r="I2513" s="1426"/>
      <c r="J2513" s="1426"/>
      <c r="K2513" s="1426"/>
      <c r="L2513" s="1427"/>
      <c r="M2513" s="1428">
        <f>(M2498*((1+M$11)^0.5)/M$10)</f>
        <v>0</v>
      </c>
      <c r="N2513" s="1423">
        <f ca="1">IF(M2537="n/a",M2513,IFERROR(IF((OFFSET($C2513,0,$A2513))&lt;0,
MIN(0,M2513-(OFFSET($C2513,0,$A2513)/(OFFSET($C2508,-$A2512,$A2513)))),
MAX(0,M2513-(OFFSET($C2513,0,$A2513)/(OFFSET($C2508,-$A2512,$A2513))))),0))</f>
        <v>0</v>
      </c>
      <c r="O2513" s="1423">
        <f t="shared" ca="1" si="3720"/>
        <v>0</v>
      </c>
      <c r="P2513" s="1423">
        <f t="shared" ca="1" si="3721"/>
        <v>0</v>
      </c>
      <c r="Q2513" s="1423">
        <f t="shared" ca="1" si="3722"/>
        <v>0</v>
      </c>
      <c r="R2513" s="1423">
        <f t="shared" ca="1" si="3723"/>
        <v>0</v>
      </c>
      <c r="S2513" s="1423">
        <f t="shared" ca="1" si="3724"/>
        <v>0</v>
      </c>
      <c r="T2513" s="1423">
        <f t="shared" ca="1" si="3725"/>
        <v>0</v>
      </c>
      <c r="U2513" s="1423">
        <f t="shared" ca="1" si="3726"/>
        <v>0</v>
      </c>
      <c r="V2513" s="1423">
        <f t="shared" ca="1" si="3727"/>
        <v>0</v>
      </c>
      <c r="W2513" s="1423">
        <f t="shared" ca="1" si="3728"/>
        <v>0</v>
      </c>
      <c r="X2513" s="202"/>
      <c r="Y2513" s="202"/>
      <c r="Z2513" s="202"/>
      <c r="AA2513" s="152"/>
      <c r="AB2513" s="152"/>
    </row>
    <row r="2514" spans="1:28" hidden="1" outlineLevel="1">
      <c r="A2514" s="199">
        <f t="shared" si="3729"/>
        <v>11</v>
      </c>
      <c r="B2514" s="190" t="str">
        <f t="shared" ca="1" si="3730"/>
        <v>Depreciated Net Capex 2026-27</v>
      </c>
      <c r="C2514" s="1426"/>
      <c r="D2514" s="1426"/>
      <c r="E2514" s="1426"/>
      <c r="F2514" s="1426"/>
      <c r="G2514" s="1426"/>
      <c r="H2514" s="1426"/>
      <c r="I2514" s="1426"/>
      <c r="J2514" s="1426"/>
      <c r="K2514" s="1426"/>
      <c r="L2514" s="1426"/>
      <c r="M2514" s="1427"/>
      <c r="N2514" s="1428">
        <f>(N2498*((1+N$11)^0.5)/N$10)</f>
        <v>0</v>
      </c>
      <c r="O2514" s="1423">
        <f ca="1">IF(N2538="n/a",N2514,IFERROR(IF((OFFSET($C2514,0,$A2514))&lt;0,
MIN(0,N2514-(OFFSET($C2514,0,$A2514)/(OFFSET($C2509,-$A2513,$A2514)))),
MAX(0,N2514-(OFFSET($C2514,0,$A2514)/(OFFSET($C2509,-$A2513,$A2514))))),0))</f>
        <v>0</v>
      </c>
      <c r="P2514" s="1423">
        <f t="shared" ca="1" si="3721"/>
        <v>0</v>
      </c>
      <c r="Q2514" s="1423">
        <f t="shared" ca="1" si="3722"/>
        <v>0</v>
      </c>
      <c r="R2514" s="1423">
        <f t="shared" ca="1" si="3723"/>
        <v>0</v>
      </c>
      <c r="S2514" s="1423">
        <f t="shared" ca="1" si="3724"/>
        <v>0</v>
      </c>
      <c r="T2514" s="1423">
        <f t="shared" ca="1" si="3725"/>
        <v>0</v>
      </c>
      <c r="U2514" s="1423">
        <f t="shared" ca="1" si="3726"/>
        <v>0</v>
      </c>
      <c r="V2514" s="1423">
        <f t="shared" ca="1" si="3727"/>
        <v>0</v>
      </c>
      <c r="W2514" s="1423">
        <f t="shared" ca="1" si="3728"/>
        <v>0</v>
      </c>
      <c r="X2514" s="202"/>
      <c r="Y2514" s="202"/>
      <c r="Z2514" s="202"/>
      <c r="AA2514" s="152"/>
      <c r="AB2514" s="152"/>
    </row>
    <row r="2515" spans="1:28" hidden="1" outlineLevel="1">
      <c r="A2515" s="199">
        <f t="shared" si="3729"/>
        <v>12</v>
      </c>
      <c r="B2515" s="190" t="str">
        <f t="shared" ca="1" si="3730"/>
        <v>Depreciated Net Capex 2027-28</v>
      </c>
      <c r="C2515" s="1426"/>
      <c r="D2515" s="1426"/>
      <c r="E2515" s="1426"/>
      <c r="F2515" s="1426"/>
      <c r="G2515" s="1426"/>
      <c r="H2515" s="1426"/>
      <c r="I2515" s="1426"/>
      <c r="J2515" s="1426"/>
      <c r="K2515" s="1426"/>
      <c r="L2515" s="1426"/>
      <c r="M2515" s="1426"/>
      <c r="N2515" s="1427"/>
      <c r="O2515" s="1428">
        <f>(O2498*((1+O$11)^0.5)/O$10)</f>
        <v>0</v>
      </c>
      <c r="P2515" s="1423">
        <f ca="1">IF(O2539="n/a",O2515,IFERROR(IF((OFFSET($C2515,0,$A2515))&lt;0,
MIN(0,O2515-(OFFSET($C2515,0,$A2515)/(OFFSET($C2510,-$A2514,$A2515)))),
MAX(0,O2515-(OFFSET($C2515,0,$A2515)/(OFFSET($C2510,-$A2514,$A2515))))),0))</f>
        <v>0</v>
      </c>
      <c r="Q2515" s="1423">
        <f t="shared" ca="1" si="3722"/>
        <v>0</v>
      </c>
      <c r="R2515" s="1423">
        <f t="shared" ca="1" si="3723"/>
        <v>0</v>
      </c>
      <c r="S2515" s="1423">
        <f t="shared" ca="1" si="3724"/>
        <v>0</v>
      </c>
      <c r="T2515" s="1423">
        <f t="shared" ca="1" si="3725"/>
        <v>0</v>
      </c>
      <c r="U2515" s="1423">
        <f t="shared" ca="1" si="3726"/>
        <v>0</v>
      </c>
      <c r="V2515" s="1423">
        <f t="shared" ca="1" si="3727"/>
        <v>0</v>
      </c>
      <c r="W2515" s="1423">
        <f t="shared" ca="1" si="3728"/>
        <v>0</v>
      </c>
      <c r="X2515" s="202"/>
      <c r="Y2515" s="202"/>
      <c r="Z2515" s="202"/>
      <c r="AA2515" s="152"/>
      <c r="AB2515" s="152"/>
    </row>
    <row r="2516" spans="1:28" hidden="1" outlineLevel="1">
      <c r="A2516" s="199">
        <f t="shared" si="3729"/>
        <v>13</v>
      </c>
      <c r="B2516" s="190" t="str">
        <f t="shared" ca="1" si="3730"/>
        <v>Depreciated Net Capex 2028-29</v>
      </c>
      <c r="C2516" s="1426"/>
      <c r="D2516" s="1426"/>
      <c r="E2516" s="1426"/>
      <c r="F2516" s="1426"/>
      <c r="G2516" s="1426"/>
      <c r="H2516" s="1426"/>
      <c r="I2516" s="1426"/>
      <c r="J2516" s="1426"/>
      <c r="K2516" s="1426"/>
      <c r="L2516" s="1426"/>
      <c r="M2516" s="1426"/>
      <c r="N2516" s="1426"/>
      <c r="O2516" s="1427"/>
      <c r="P2516" s="1428">
        <f>(P2498*((1+P$11)^0.5)/P$10)</f>
        <v>0</v>
      </c>
      <c r="Q2516" s="1423">
        <f ca="1">IF(P2540="n/a",P2516,IFERROR(IF((OFFSET($C2516,0,$A2516))&lt;0,
MIN(0,P2516-(OFFSET($C2516,0,$A2516)/(OFFSET($C2511,-$A2515,$A2516)))),
MAX(0,P2516-(OFFSET($C2516,0,$A2516)/(OFFSET($C2511,-$A2515,$A2516))))),0))</f>
        <v>0</v>
      </c>
      <c r="R2516" s="1423">
        <f t="shared" ca="1" si="3723"/>
        <v>0</v>
      </c>
      <c r="S2516" s="1423">
        <f t="shared" ca="1" si="3724"/>
        <v>0</v>
      </c>
      <c r="T2516" s="1423">
        <f t="shared" ca="1" si="3725"/>
        <v>0</v>
      </c>
      <c r="U2516" s="1423">
        <f t="shared" ca="1" si="3726"/>
        <v>0</v>
      </c>
      <c r="V2516" s="1423">
        <f t="shared" ca="1" si="3727"/>
        <v>0</v>
      </c>
      <c r="W2516" s="1423">
        <f t="shared" ca="1" si="3728"/>
        <v>0</v>
      </c>
      <c r="X2516" s="202"/>
      <c r="Y2516" s="202"/>
      <c r="Z2516" s="202"/>
      <c r="AA2516" s="152"/>
      <c r="AB2516" s="152"/>
    </row>
    <row r="2517" spans="1:28" hidden="1" outlineLevel="1">
      <c r="A2517" s="199">
        <f t="shared" si="3729"/>
        <v>14</v>
      </c>
      <c r="B2517" s="190" t="str">
        <f t="shared" ca="1" si="3730"/>
        <v>Depreciated Net Capex 2029-30</v>
      </c>
      <c r="C2517" s="1426"/>
      <c r="D2517" s="1426"/>
      <c r="E2517" s="1426"/>
      <c r="F2517" s="1426"/>
      <c r="G2517" s="1426"/>
      <c r="H2517" s="1426"/>
      <c r="I2517" s="1426"/>
      <c r="J2517" s="1426"/>
      <c r="K2517" s="1426"/>
      <c r="L2517" s="1426"/>
      <c r="M2517" s="1426"/>
      <c r="N2517" s="1426"/>
      <c r="O2517" s="1426"/>
      <c r="P2517" s="1427"/>
      <c r="Q2517" s="1428">
        <f>(Q2498*((1+Q$11)^0.5)/Q$10)</f>
        <v>0</v>
      </c>
      <c r="R2517" s="1423">
        <f ca="1">IF(Q2541="n/a",Q2517,IFERROR(IF((OFFSET($C2517,0,$A2517))&lt;0,
MIN(0,Q2517-(OFFSET($C2517,0,$A2517)/(OFFSET($C2512,-$A2516,$A2517)))),
MAX(0,Q2517-(OFFSET($C2517,0,$A2517)/(OFFSET($C2512,-$A2516,$A2517))))),0))</f>
        <v>0</v>
      </c>
      <c r="S2517" s="1423">
        <f t="shared" ca="1" si="3724"/>
        <v>0</v>
      </c>
      <c r="T2517" s="1423">
        <f t="shared" ca="1" si="3725"/>
        <v>0</v>
      </c>
      <c r="U2517" s="1423">
        <f t="shared" ca="1" si="3726"/>
        <v>0</v>
      </c>
      <c r="V2517" s="1423">
        <f t="shared" ca="1" si="3727"/>
        <v>0</v>
      </c>
      <c r="W2517" s="1423">
        <f t="shared" ca="1" si="3728"/>
        <v>0</v>
      </c>
      <c r="X2517" s="202"/>
      <c r="Y2517" s="202"/>
      <c r="Z2517" s="202"/>
      <c r="AA2517" s="152"/>
      <c r="AB2517" s="152"/>
    </row>
    <row r="2518" spans="1:28" hidden="1" outlineLevel="1">
      <c r="A2518" s="199">
        <f t="shared" si="3729"/>
        <v>15</v>
      </c>
      <c r="B2518" s="190" t="str">
        <f t="shared" ca="1" si="3730"/>
        <v>Depreciated Net Capex 2030-31</v>
      </c>
      <c r="C2518" s="1426"/>
      <c r="D2518" s="1426"/>
      <c r="E2518" s="1426"/>
      <c r="F2518" s="1426"/>
      <c r="G2518" s="1426"/>
      <c r="H2518" s="1426"/>
      <c r="I2518" s="1426"/>
      <c r="J2518" s="1426"/>
      <c r="K2518" s="1426"/>
      <c r="L2518" s="1426"/>
      <c r="M2518" s="1426"/>
      <c r="N2518" s="1426"/>
      <c r="O2518" s="1426"/>
      <c r="P2518" s="1426"/>
      <c r="Q2518" s="1427"/>
      <c r="R2518" s="1428">
        <f>(R2498*((1+R$11)^0.5)/R$10)</f>
        <v>0</v>
      </c>
      <c r="S2518" s="1423">
        <f ca="1">IF(R2542="n/a",R2518,IFERROR(IF((OFFSET($C2518,0,$A2518))&lt;0,
MIN(0,R2518-(OFFSET($C2518,0,$A2518)/(OFFSET($C2513,-$A2517,$A2518)))),
MAX(0,R2518-(OFFSET($C2518,0,$A2518)/(OFFSET($C2513,-$A2517,$A2518))))),0))</f>
        <v>0</v>
      </c>
      <c r="T2518" s="1423">
        <f t="shared" ca="1" si="3725"/>
        <v>0</v>
      </c>
      <c r="U2518" s="1423">
        <f t="shared" ca="1" si="3726"/>
        <v>0</v>
      </c>
      <c r="V2518" s="1423">
        <f t="shared" ca="1" si="3727"/>
        <v>0</v>
      </c>
      <c r="W2518" s="1423">
        <f t="shared" ca="1" si="3728"/>
        <v>0</v>
      </c>
      <c r="X2518" s="202"/>
      <c r="Y2518" s="202"/>
      <c r="Z2518" s="202"/>
      <c r="AA2518" s="152"/>
      <c r="AB2518" s="152"/>
    </row>
    <row r="2519" spans="1:28" hidden="1" outlineLevel="1">
      <c r="A2519" s="199">
        <f t="shared" si="3729"/>
        <v>16</v>
      </c>
      <c r="B2519" s="190" t="str">
        <f t="shared" ca="1" si="3730"/>
        <v>Depreciated Net Capex 2031-32</v>
      </c>
      <c r="C2519" s="1426"/>
      <c r="D2519" s="1426"/>
      <c r="E2519" s="1426"/>
      <c r="F2519" s="1426"/>
      <c r="G2519" s="1426"/>
      <c r="H2519" s="1426"/>
      <c r="I2519" s="1426"/>
      <c r="J2519" s="1426"/>
      <c r="K2519" s="1426"/>
      <c r="L2519" s="1426"/>
      <c r="M2519" s="1426"/>
      <c r="N2519" s="1426"/>
      <c r="O2519" s="1426"/>
      <c r="P2519" s="1426"/>
      <c r="Q2519" s="1426"/>
      <c r="R2519" s="1427"/>
      <c r="S2519" s="1428">
        <f>(S2498*((1+S$11)^0.5)/S$10)</f>
        <v>0</v>
      </c>
      <c r="T2519" s="1423">
        <f ca="1">IF(S2543="n/a",S2519,IFERROR(IF((OFFSET($C2519,0,$A2519))&lt;0,
MIN(0,S2519-(OFFSET($C2519,0,$A2519)/(OFFSET($C2514,-$A2518,$A2519)))),
MAX(0,S2519-(OFFSET($C2519,0,$A2519)/(OFFSET($C2514,-$A2518,$A2519))))),0))</f>
        <v>0</v>
      </c>
      <c r="U2519" s="1423">
        <f t="shared" ca="1" si="3726"/>
        <v>0</v>
      </c>
      <c r="V2519" s="1423">
        <f t="shared" ca="1" si="3727"/>
        <v>0</v>
      </c>
      <c r="W2519" s="1423">
        <f t="shared" ca="1" si="3728"/>
        <v>0</v>
      </c>
      <c r="X2519" s="202"/>
      <c r="Y2519" s="202"/>
      <c r="Z2519" s="202"/>
      <c r="AA2519" s="152"/>
      <c r="AB2519" s="152"/>
    </row>
    <row r="2520" spans="1:28" hidden="1" outlineLevel="1">
      <c r="A2520" s="199">
        <f t="shared" si="3729"/>
        <v>17</v>
      </c>
      <c r="B2520" s="190" t="str">
        <f t="shared" ca="1" si="3730"/>
        <v>Depreciated Net Capex 2032-33</v>
      </c>
      <c r="C2520" s="1426"/>
      <c r="D2520" s="1426"/>
      <c r="E2520" s="1426"/>
      <c r="F2520" s="1426"/>
      <c r="G2520" s="1426"/>
      <c r="H2520" s="1426"/>
      <c r="I2520" s="1426"/>
      <c r="J2520" s="1426"/>
      <c r="K2520" s="1426"/>
      <c r="L2520" s="1426"/>
      <c r="M2520" s="1426"/>
      <c r="N2520" s="1426"/>
      <c r="O2520" s="1426"/>
      <c r="P2520" s="1426"/>
      <c r="Q2520" s="1426"/>
      <c r="R2520" s="1426"/>
      <c r="S2520" s="1427"/>
      <c r="T2520" s="1428">
        <f>(T2498*((1+T$11)^0.5)/T$10)</f>
        <v>0</v>
      </c>
      <c r="U2520" s="1423">
        <f ca="1">IF(T2544="n/a",T2520,IFERROR(IF((OFFSET($C2520,0,$A2520))&lt;0,
MIN(0,T2520-(OFFSET($C2520,0,$A2520)/(OFFSET($C2515,-$A2519,$A2520)))),
MAX(0,T2520-(OFFSET($C2520,0,$A2520)/(OFFSET($C2515,-$A2519,$A2520))))),0))</f>
        <v>0</v>
      </c>
      <c r="V2520" s="1423">
        <f t="shared" ca="1" si="3727"/>
        <v>0</v>
      </c>
      <c r="W2520" s="1423">
        <f t="shared" ca="1" si="3728"/>
        <v>0</v>
      </c>
      <c r="X2520" s="202"/>
      <c r="Y2520" s="202"/>
      <c r="Z2520" s="202"/>
      <c r="AA2520" s="152"/>
      <c r="AB2520" s="152"/>
    </row>
    <row r="2521" spans="1:28" hidden="1" outlineLevel="1">
      <c r="A2521" s="199">
        <f t="shared" si="3729"/>
        <v>18</v>
      </c>
      <c r="B2521" s="190" t="str">
        <f t="shared" ca="1" si="3730"/>
        <v>Depreciated Net Capex 2033-34</v>
      </c>
      <c r="C2521" s="1426"/>
      <c r="D2521" s="1426"/>
      <c r="E2521" s="1426"/>
      <c r="F2521" s="1426"/>
      <c r="G2521" s="1426"/>
      <c r="H2521" s="1426"/>
      <c r="I2521" s="1426"/>
      <c r="J2521" s="1426"/>
      <c r="K2521" s="1426"/>
      <c r="L2521" s="1426"/>
      <c r="M2521" s="1426"/>
      <c r="N2521" s="1426"/>
      <c r="O2521" s="1426"/>
      <c r="P2521" s="1426"/>
      <c r="Q2521" s="1426"/>
      <c r="R2521" s="1426"/>
      <c r="S2521" s="1426"/>
      <c r="T2521" s="1427"/>
      <c r="U2521" s="1428">
        <f>(U2498*((1+U$11)^0.5)/U$10)</f>
        <v>0</v>
      </c>
      <c r="V2521" s="1423">
        <f ca="1">IF(U2545="n/a",U2521,IFERROR(IF((OFFSET($C2521,0,$A2521))&lt;0,
MIN(0,U2521-(OFFSET($C2521,0,$A2521)/(OFFSET($C2516,-$A2520,$A2521)))),
MAX(0,U2521-(OFFSET($C2521,0,$A2521)/(OFFSET($C2516,-$A2520,$A2521))))),0))</f>
        <v>0</v>
      </c>
      <c r="W2521" s="1423">
        <f t="shared" ca="1" si="3728"/>
        <v>0</v>
      </c>
      <c r="X2521" s="202"/>
      <c r="Y2521" s="202"/>
      <c r="Z2521" s="202"/>
      <c r="AA2521" s="152"/>
      <c r="AB2521" s="152"/>
    </row>
    <row r="2522" spans="1:28" hidden="1" outlineLevel="1">
      <c r="A2522" s="199">
        <f t="shared" si="3729"/>
        <v>19</v>
      </c>
      <c r="B2522" s="190" t="str">
        <f t="shared" ca="1" si="3730"/>
        <v>Depreciated Net Capex 2034-35</v>
      </c>
      <c r="C2522" s="1426"/>
      <c r="D2522" s="1426"/>
      <c r="E2522" s="1426"/>
      <c r="F2522" s="1426"/>
      <c r="G2522" s="1426"/>
      <c r="H2522" s="1426"/>
      <c r="I2522" s="1426"/>
      <c r="J2522" s="1426"/>
      <c r="K2522" s="1426"/>
      <c r="L2522" s="1426"/>
      <c r="M2522" s="1426"/>
      <c r="N2522" s="1426"/>
      <c r="O2522" s="1426"/>
      <c r="P2522" s="1426"/>
      <c r="Q2522" s="1426"/>
      <c r="R2522" s="1426"/>
      <c r="S2522" s="1426"/>
      <c r="T2522" s="1426"/>
      <c r="U2522" s="1427"/>
      <c r="V2522" s="1428">
        <f>(V2498*((1+V$11)^0.5)/V$10)</f>
        <v>0</v>
      </c>
      <c r="W2522" s="1423">
        <f ca="1">IF(V2546="n/a",V2522,IFERROR(IF((OFFSET($C2522,0,$A2522))&lt;0,
MIN(0,V2522-(OFFSET($C2522,0,$A2522)/(OFFSET($C2517,-$A2521,$A2522)))),
MAX(0,V2522-(OFFSET($C2522,0,$A2522)/(OFFSET($C2517,-$A2521,$A2522))))),0))</f>
        <v>0</v>
      </c>
      <c r="X2522" s="202"/>
      <c r="Y2522" s="202"/>
      <c r="Z2522" s="202"/>
      <c r="AA2522" s="152"/>
      <c r="AB2522" s="152"/>
    </row>
    <row r="2523" spans="1:28" hidden="1" outlineLevel="1">
      <c r="A2523" s="199">
        <f t="shared" si="3729"/>
        <v>20</v>
      </c>
      <c r="B2523" s="190" t="str">
        <f ca="1">"Depreciated Net Capex "&amp;OFFSET($C$6,0,A2523)</f>
        <v>Depreciated Net Capex 2035-36</v>
      </c>
      <c r="C2523" s="1426"/>
      <c r="D2523" s="1426"/>
      <c r="E2523" s="1426"/>
      <c r="F2523" s="1426"/>
      <c r="G2523" s="1426"/>
      <c r="H2523" s="1426"/>
      <c r="I2523" s="1426"/>
      <c r="J2523" s="1426"/>
      <c r="K2523" s="1426"/>
      <c r="L2523" s="1426"/>
      <c r="M2523" s="1426"/>
      <c r="N2523" s="1426"/>
      <c r="O2523" s="1426"/>
      <c r="P2523" s="1426"/>
      <c r="Q2523" s="1426"/>
      <c r="R2523" s="1426"/>
      <c r="S2523" s="1426"/>
      <c r="T2523" s="1426"/>
      <c r="U2523" s="1426"/>
      <c r="V2523" s="1427"/>
      <c r="W2523" s="1423">
        <f>(W2498*((1+W$11)^0.5)/W$10)</f>
        <v>0</v>
      </c>
      <c r="X2523" s="152"/>
      <c r="Y2523" s="152"/>
      <c r="Z2523" s="152"/>
      <c r="AA2523" s="152"/>
      <c r="AB2523" s="152"/>
    </row>
    <row r="2524" spans="1:28" hidden="1" outlineLevel="1">
      <c r="A2524" s="152"/>
      <c r="B2524" s="200"/>
      <c r="C2524" s="1423"/>
      <c r="D2524" s="1423"/>
      <c r="E2524" s="1423"/>
      <c r="F2524" s="1423"/>
      <c r="G2524" s="1423"/>
      <c r="H2524" s="1423"/>
      <c r="I2524" s="1423"/>
      <c r="J2524" s="1423"/>
      <c r="K2524" s="1423"/>
      <c r="L2524" s="1423"/>
      <c r="M2524" s="1423"/>
      <c r="N2524" s="1423"/>
      <c r="O2524" s="1423"/>
      <c r="P2524" s="1423"/>
      <c r="Q2524" s="1423"/>
      <c r="R2524" s="1423"/>
      <c r="S2524" s="1423"/>
      <c r="T2524" s="1423"/>
      <c r="U2524" s="1423"/>
      <c r="V2524" s="1423"/>
      <c r="W2524" s="1423"/>
      <c r="X2524" s="152"/>
      <c r="Y2524" s="152"/>
      <c r="Z2524" s="152"/>
      <c r="AA2524" s="152"/>
      <c r="AB2524" s="152"/>
    </row>
    <row r="2525" spans="1:28" hidden="1" outlineLevel="1">
      <c r="A2525" s="152"/>
      <c r="B2525" s="200"/>
      <c r="C2525" s="1423"/>
      <c r="D2525" s="1423"/>
      <c r="E2525" s="1423"/>
      <c r="F2525" s="1423"/>
      <c r="G2525" s="1423"/>
      <c r="H2525" s="1423"/>
      <c r="I2525" s="1423"/>
      <c r="J2525" s="1423"/>
      <c r="K2525" s="1423"/>
      <c r="L2525" s="1423"/>
      <c r="M2525" s="1423"/>
      <c r="N2525" s="1423"/>
      <c r="O2525" s="1423"/>
      <c r="P2525" s="1423"/>
      <c r="Q2525" s="1423"/>
      <c r="R2525" s="1423"/>
      <c r="S2525" s="1423"/>
      <c r="T2525" s="1423"/>
      <c r="U2525" s="1423"/>
      <c r="V2525" s="1423"/>
      <c r="W2525" s="1423"/>
      <c r="X2525" s="152"/>
      <c r="Y2525" s="152"/>
      <c r="Z2525" s="152"/>
      <c r="AA2525" s="152"/>
      <c r="AB2525" s="152"/>
    </row>
    <row r="2526" spans="1:28" hidden="1" outlineLevel="1">
      <c r="A2526" s="152"/>
      <c r="B2526" s="190" t="s">
        <v>190</v>
      </c>
      <c r="C2526" s="1423"/>
      <c r="D2526" s="1423">
        <f ca="1">IF(AND(C2526&lt;1,D2500=0),0,
IF(D2500=0,C2526-1,
IF(C2526&lt;1,D2501,
(((C2526-1)*(C2502-(C2502/(C2526))))+((D2500/D$10)*D2501))/(D2502))))</f>
        <v>0</v>
      </c>
      <c r="E2526" s="1423">
        <f t="shared" ref="E2526" ca="1" si="3731">IF(AND(D2526&lt;1,E2500=0),0,
IF(E2500=0,D2526-1,
IF(D2526&lt;1,E2501,
(((D2526-1)*(D2502-(D2502/(D2526))))+((E2500/E$10)*E2501))/(E2502))))</f>
        <v>0</v>
      </c>
      <c r="F2526" s="1423">
        <f t="shared" ref="F2526" ca="1" si="3732">IF(AND(E2526&lt;1,F2500=0),0,
IF(F2500=0,E2526-1,
IF(E2526&lt;1,F2501,
(((E2526-1)*(E2502-(E2502/(E2526))))+((F2500/F$10)*F2501))/(F2502))))</f>
        <v>0</v>
      </c>
      <c r="G2526" s="1423">
        <f t="shared" ref="G2526" ca="1" si="3733">IF(AND(F2526&lt;1,G2500=0),0,
IF(G2500=0,F2526-1,
IF(F2526&lt;1,G2501,
(((F2526-1)*(F2502-(F2502/(F2526))))+((G2500/G$10)*G2501))/(G2502))))</f>
        <v>0</v>
      </c>
      <c r="H2526" s="1423">
        <f t="shared" ref="H2526" ca="1" si="3734">IF(AND(G2526&lt;1,H2500=0),0,
IF(H2500=0,G2526-1,
IF(G2526&lt;1,H2501,
(((G2526-1)*(G2502-(G2502/(G2526))))+((H2500/H$10)*H2501))/(H2502))))</f>
        <v>0</v>
      </c>
      <c r="I2526" s="1423">
        <f t="shared" ref="I2526" ca="1" si="3735">IF(AND(H2526&lt;1,I2500=0),0,
IF(I2500=0,H2526-1,
IF(H2526&lt;1,I2501,
(((H2526-1)*(H2502-(H2502/(H2526))))+((I2500/I$10)*I2501))/(I2502))))</f>
        <v>0</v>
      </c>
      <c r="J2526" s="1423">
        <f t="shared" ref="J2526" ca="1" si="3736">IF(AND(I2526&lt;1,J2500=0),0,
IF(J2500=0,I2526-1,
IF(I2526&lt;1,J2501,
(((I2526-1)*(I2502-(I2502/(I2526))))+((J2500/J$10)*J2501))/(J2502))))</f>
        <v>0</v>
      </c>
      <c r="K2526" s="1423">
        <f t="shared" ref="K2526" ca="1" si="3737">IF(AND(J2526&lt;1,K2500=0),0,
IF(K2500=0,J2526-1,
IF(J2526&lt;1,K2501,
(((J2526-1)*(J2502-(J2502/(J2526))))+((K2500/K$10)*K2501))/(K2502))))</f>
        <v>0</v>
      </c>
      <c r="L2526" s="1423">
        <f t="shared" ref="L2526" ca="1" si="3738">IF(AND(K2526&lt;1,L2500=0),0,
IF(L2500=0,K2526-1,
IF(K2526&lt;1,L2501,
(((K2526-1)*(K2502-(K2502/(K2526))))+((L2500/L$10)*L2501))/(L2502))))</f>
        <v>0</v>
      </c>
      <c r="M2526" s="1423">
        <f t="shared" ref="M2526" ca="1" si="3739">IF(AND(L2526&lt;1,M2500=0),0,
IF(M2500=0,L2526-1,
IF(L2526&lt;1,M2501,
(((L2526-1)*(L2502-(L2502/(L2526))))+((M2500/M$10)*M2501))/(M2502))))</f>
        <v>0</v>
      </c>
      <c r="N2526" s="1423">
        <f t="shared" ref="N2526" ca="1" si="3740">IF(AND(M2526&lt;1,N2500=0),0,
IF(N2500=0,M2526-1,
IF(M2526&lt;1,N2501,
(((M2526-1)*(M2502-(M2502/(M2526))))+((N2500/N$10)*N2501))/(N2502))))</f>
        <v>0</v>
      </c>
      <c r="O2526" s="1423">
        <f t="shared" ref="O2526" ca="1" si="3741">IF(AND(N2526&lt;1,O2500=0),0,
IF(O2500=0,N2526-1,
IF(N2526&lt;1,O2501,
(((N2526-1)*(N2502-(N2502/(N2526))))+((O2500/O$10)*O2501))/(O2502))))</f>
        <v>0</v>
      </c>
      <c r="P2526" s="1423">
        <f t="shared" ref="P2526" ca="1" si="3742">IF(AND(O2526&lt;1,P2500=0),0,
IF(P2500=0,O2526-1,
IF(O2526&lt;1,P2501,
(((O2526-1)*(O2502-(O2502/(O2526))))+((P2500/P$10)*P2501))/(P2502))))</f>
        <v>0</v>
      </c>
      <c r="Q2526" s="1423">
        <f t="shared" ref="Q2526" ca="1" si="3743">IF(AND(P2526&lt;1,Q2500=0),0,
IF(Q2500=0,P2526-1,
IF(P2526&lt;1,Q2501,
(((P2526-1)*(P2502-(P2502/(P2526))))+((Q2500/Q$10)*Q2501))/(Q2502))))</f>
        <v>0</v>
      </c>
      <c r="R2526" s="1423">
        <f t="shared" ref="R2526" ca="1" si="3744">IF(AND(Q2526&lt;1,R2500=0),0,
IF(R2500=0,Q2526-1,
IF(Q2526&lt;1,R2501,
(((Q2526-1)*(Q2502-(Q2502/(Q2526))))+((R2500/R$10)*R2501))/(R2502))))</f>
        <v>0</v>
      </c>
      <c r="S2526" s="1423">
        <f t="shared" ref="S2526" ca="1" si="3745">IF(AND(R2526&lt;1,S2500=0),0,
IF(S2500=0,R2526-1,
IF(R2526&lt;1,S2501,
(((R2526-1)*(R2502-(R2502/(R2526))))+((S2500/S$10)*S2501))/(S2502))))</f>
        <v>0</v>
      </c>
      <c r="T2526" s="1423">
        <f t="shared" ref="T2526" ca="1" si="3746">IF(AND(S2526&lt;1,T2500=0),0,
IF(T2500=0,S2526-1,
IF(S2526&lt;1,T2501,
(((S2526-1)*(S2502-(S2502/(S2526))))+((T2500/T$10)*T2501))/(T2502))))</f>
        <v>0</v>
      </c>
      <c r="U2526" s="1423">
        <f t="shared" ref="U2526" ca="1" si="3747">IF(AND(T2526&lt;1,U2500=0),0,
IF(U2500=0,T2526-1,
IF(T2526&lt;1,U2501,
(((T2526-1)*(T2502-(T2502/(T2526))))+((U2500/U$10)*U2501))/(U2502))))</f>
        <v>0</v>
      </c>
      <c r="V2526" s="1423">
        <f t="shared" ref="V2526" ca="1" si="3748">IF(AND(U2526&lt;1,V2500=0),0,
IF(V2500=0,U2526-1,
IF(U2526&lt;1,V2501,
(((U2526-1)*(U2502-(U2502/(U2526))))+((V2500/V$10)*V2501))/(V2502))))</f>
        <v>0</v>
      </c>
      <c r="W2526" s="1423">
        <f t="shared" ref="W2526" ca="1" si="3749">IF(AND(V2526&lt;1,W2500=0),0,
IF(W2500=0,V2526-1,
IF(V2526&lt;1,W2501,
(((V2526-1)*(V2502-(V2502/(V2526))))+((W2500/W$10)*W2501))/(W2502))))</f>
        <v>0</v>
      </c>
      <c r="X2526" s="152"/>
      <c r="Y2526" s="152"/>
      <c r="Z2526" s="152"/>
      <c r="AA2526" s="152"/>
      <c r="AB2526" s="152"/>
    </row>
    <row r="2527" spans="1:28" hidden="1" outlineLevel="1">
      <c r="A2527" s="152"/>
      <c r="B2527" s="190" t="s">
        <v>122</v>
      </c>
      <c r="C2527" s="1423">
        <f ca="1">C2499</f>
        <v>0</v>
      </c>
      <c r="D2527" s="1423">
        <f t="shared" ref="D2527" ca="1" si="3750">IF(C2527="n/a","n/a",MAX(0,C2527-1))</f>
        <v>0</v>
      </c>
      <c r="E2527" s="1423">
        <f t="shared" ref="E2527:E2528" ca="1" si="3751">IF(D2527="n/a","n/a",MAX(0,D2527-1))</f>
        <v>0</v>
      </c>
      <c r="F2527" s="1423">
        <f t="shared" ref="F2527:F2529" ca="1" si="3752">IF(E2527="n/a","n/a",MAX(0,E2527-1))</f>
        <v>0</v>
      </c>
      <c r="G2527" s="1423">
        <f t="shared" ref="G2527:G2530" ca="1" si="3753">IF(F2527="n/a","n/a",MAX(0,F2527-1))</f>
        <v>0</v>
      </c>
      <c r="H2527" s="1423">
        <f t="shared" ref="H2527:H2531" ca="1" si="3754">IF(G2527="n/a","n/a",MAX(0,G2527-1))</f>
        <v>0</v>
      </c>
      <c r="I2527" s="1423">
        <f t="shared" ref="I2527:I2532" ca="1" si="3755">IF(H2527="n/a","n/a",MAX(0,H2527-1))</f>
        <v>0</v>
      </c>
      <c r="J2527" s="1423">
        <f t="shared" ref="J2527:J2533" ca="1" si="3756">IF(I2527="n/a","n/a",MAX(0,I2527-1))</f>
        <v>0</v>
      </c>
      <c r="K2527" s="1423">
        <f t="shared" ref="K2527:K2534" ca="1" si="3757">IF(J2527="n/a","n/a",MAX(0,J2527-1))</f>
        <v>0</v>
      </c>
      <c r="L2527" s="1423">
        <f t="shared" ref="L2527:L2535" ca="1" si="3758">IF(K2527="n/a","n/a",MAX(0,K2527-1))</f>
        <v>0</v>
      </c>
      <c r="M2527" s="1423">
        <f t="shared" ref="M2527:M2536" ca="1" si="3759">IF(L2527="n/a","n/a",MAX(0,L2527-1))</f>
        <v>0</v>
      </c>
      <c r="N2527" s="1423">
        <f t="shared" ref="N2527:N2537" ca="1" si="3760">IF(M2527="n/a","n/a",MAX(0,M2527-1))</f>
        <v>0</v>
      </c>
      <c r="O2527" s="1423">
        <f t="shared" ref="O2527:O2538" ca="1" si="3761">IF(N2527="n/a","n/a",MAX(0,N2527-1))</f>
        <v>0</v>
      </c>
      <c r="P2527" s="1423">
        <f t="shared" ref="P2527:P2539" ca="1" si="3762">IF(O2527="n/a","n/a",MAX(0,O2527-1))</f>
        <v>0</v>
      </c>
      <c r="Q2527" s="1423">
        <f t="shared" ref="Q2527:Q2540" ca="1" si="3763">IF(P2527="n/a","n/a",MAX(0,P2527-1))</f>
        <v>0</v>
      </c>
      <c r="R2527" s="1423">
        <f t="shared" ref="R2527:R2541" ca="1" si="3764">IF(Q2527="n/a","n/a",MAX(0,Q2527-1))</f>
        <v>0</v>
      </c>
      <c r="S2527" s="1423">
        <f t="shared" ref="S2527:S2542" ca="1" si="3765">IF(R2527="n/a","n/a",MAX(0,R2527-1))</f>
        <v>0</v>
      </c>
      <c r="T2527" s="1423">
        <f t="shared" ref="T2527:T2543" ca="1" si="3766">IF(S2527="n/a","n/a",MAX(0,S2527-1))</f>
        <v>0</v>
      </c>
      <c r="U2527" s="1423">
        <f t="shared" ref="U2527:U2544" ca="1" si="3767">IF(T2527="n/a","n/a",MAX(0,T2527-1))</f>
        <v>0</v>
      </c>
      <c r="V2527" s="1423">
        <f t="shared" ref="V2527:V2545" ca="1" si="3768">IF(U2527="n/a","n/a",MAX(0,U2527-1))</f>
        <v>0</v>
      </c>
      <c r="W2527" s="1423">
        <f t="shared" ref="W2527:W2545" ca="1" si="3769">IF(V2527="n/a","n/a",MAX(0,V2527-1))</f>
        <v>0</v>
      </c>
      <c r="X2527" s="152"/>
      <c r="Y2527" s="152"/>
      <c r="Z2527" s="152"/>
      <c r="AA2527" s="152"/>
      <c r="AB2527" s="152"/>
    </row>
    <row r="2528" spans="1:28" hidden="1" outlineLevel="1">
      <c r="A2528" s="152"/>
      <c r="B2528" s="190" t="str">
        <f t="shared" ref="B2528:B2547" ca="1" si="3770">"RL Capex "&amp;OFFSET($C$6,0,A2504)</f>
        <v>RL Capex 2016-17</v>
      </c>
      <c r="C2528" s="1424"/>
      <c r="D2528" s="1428">
        <f>D2499</f>
        <v>0</v>
      </c>
      <c r="E2528" s="1423">
        <f t="shared" si="3751"/>
        <v>0</v>
      </c>
      <c r="F2528" s="1423">
        <f t="shared" si="3752"/>
        <v>0</v>
      </c>
      <c r="G2528" s="1423">
        <f t="shared" si="3753"/>
        <v>0</v>
      </c>
      <c r="H2528" s="1423">
        <f t="shared" si="3754"/>
        <v>0</v>
      </c>
      <c r="I2528" s="1423">
        <f t="shared" si="3755"/>
        <v>0</v>
      </c>
      <c r="J2528" s="1423">
        <f t="shared" si="3756"/>
        <v>0</v>
      </c>
      <c r="K2528" s="1423">
        <f t="shared" si="3757"/>
        <v>0</v>
      </c>
      <c r="L2528" s="1423">
        <f t="shared" si="3758"/>
        <v>0</v>
      </c>
      <c r="M2528" s="1423">
        <f t="shared" si="3759"/>
        <v>0</v>
      </c>
      <c r="N2528" s="1423">
        <f t="shared" si="3760"/>
        <v>0</v>
      </c>
      <c r="O2528" s="1423">
        <f t="shared" si="3761"/>
        <v>0</v>
      </c>
      <c r="P2528" s="1423">
        <f t="shared" si="3762"/>
        <v>0</v>
      </c>
      <c r="Q2528" s="1423">
        <f t="shared" si="3763"/>
        <v>0</v>
      </c>
      <c r="R2528" s="1423">
        <f t="shared" si="3764"/>
        <v>0</v>
      </c>
      <c r="S2528" s="1423">
        <f t="shared" si="3765"/>
        <v>0</v>
      </c>
      <c r="T2528" s="1423">
        <f t="shared" si="3766"/>
        <v>0</v>
      </c>
      <c r="U2528" s="1423">
        <f t="shared" si="3767"/>
        <v>0</v>
      </c>
      <c r="V2528" s="1423">
        <f t="shared" si="3768"/>
        <v>0</v>
      </c>
      <c r="W2528" s="1423">
        <f t="shared" si="3769"/>
        <v>0</v>
      </c>
      <c r="X2528" s="152"/>
      <c r="Y2528" s="152"/>
      <c r="Z2528" s="152"/>
      <c r="AA2528" s="152"/>
      <c r="AB2528" s="152"/>
    </row>
    <row r="2529" spans="1:28" hidden="1" outlineLevel="1">
      <c r="A2529" s="152"/>
      <c r="B2529" s="190" t="str">
        <f t="shared" ca="1" si="3770"/>
        <v>RL Capex 2017-18</v>
      </c>
      <c r="C2529" s="1429"/>
      <c r="D2529" s="1424"/>
      <c r="E2529" s="1428">
        <f>E2499</f>
        <v>0</v>
      </c>
      <c r="F2529" s="1423">
        <f t="shared" si="3752"/>
        <v>0</v>
      </c>
      <c r="G2529" s="1423">
        <f t="shared" si="3753"/>
        <v>0</v>
      </c>
      <c r="H2529" s="1423">
        <f t="shared" si="3754"/>
        <v>0</v>
      </c>
      <c r="I2529" s="1423">
        <f t="shared" si="3755"/>
        <v>0</v>
      </c>
      <c r="J2529" s="1423">
        <f t="shared" si="3756"/>
        <v>0</v>
      </c>
      <c r="K2529" s="1423">
        <f t="shared" si="3757"/>
        <v>0</v>
      </c>
      <c r="L2529" s="1423">
        <f t="shared" si="3758"/>
        <v>0</v>
      </c>
      <c r="M2529" s="1423">
        <f t="shared" si="3759"/>
        <v>0</v>
      </c>
      <c r="N2529" s="1423">
        <f t="shared" si="3760"/>
        <v>0</v>
      </c>
      <c r="O2529" s="1423">
        <f t="shared" si="3761"/>
        <v>0</v>
      </c>
      <c r="P2529" s="1423">
        <f t="shared" si="3762"/>
        <v>0</v>
      </c>
      <c r="Q2529" s="1423">
        <f t="shared" si="3763"/>
        <v>0</v>
      </c>
      <c r="R2529" s="1423">
        <f t="shared" si="3764"/>
        <v>0</v>
      </c>
      <c r="S2529" s="1423">
        <f t="shared" si="3765"/>
        <v>0</v>
      </c>
      <c r="T2529" s="1423">
        <f t="shared" si="3766"/>
        <v>0</v>
      </c>
      <c r="U2529" s="1423">
        <f t="shared" si="3767"/>
        <v>0</v>
      </c>
      <c r="V2529" s="1423">
        <f t="shared" si="3768"/>
        <v>0</v>
      </c>
      <c r="W2529" s="1423">
        <f t="shared" si="3769"/>
        <v>0</v>
      </c>
      <c r="X2529" s="152"/>
      <c r="Y2529" s="152"/>
      <c r="Z2529" s="152"/>
      <c r="AA2529" s="152"/>
      <c r="AB2529" s="152"/>
    </row>
    <row r="2530" spans="1:28" hidden="1" outlineLevel="1">
      <c r="A2530" s="152"/>
      <c r="B2530" s="190" t="str">
        <f t="shared" ca="1" si="3770"/>
        <v>RL Capex 2018-19</v>
      </c>
      <c r="C2530" s="1429"/>
      <c r="D2530" s="1429"/>
      <c r="E2530" s="1424"/>
      <c r="F2530" s="1428">
        <f>F2499</f>
        <v>0</v>
      </c>
      <c r="G2530" s="1423">
        <f t="shared" si="3753"/>
        <v>0</v>
      </c>
      <c r="H2530" s="1423">
        <f t="shared" si="3754"/>
        <v>0</v>
      </c>
      <c r="I2530" s="1423">
        <f t="shared" si="3755"/>
        <v>0</v>
      </c>
      <c r="J2530" s="1423">
        <f t="shared" si="3756"/>
        <v>0</v>
      </c>
      <c r="K2530" s="1423">
        <f t="shared" si="3757"/>
        <v>0</v>
      </c>
      <c r="L2530" s="1423">
        <f t="shared" si="3758"/>
        <v>0</v>
      </c>
      <c r="M2530" s="1423">
        <f t="shared" si="3759"/>
        <v>0</v>
      </c>
      <c r="N2530" s="1423">
        <f t="shared" si="3760"/>
        <v>0</v>
      </c>
      <c r="O2530" s="1423">
        <f t="shared" si="3761"/>
        <v>0</v>
      </c>
      <c r="P2530" s="1423">
        <f t="shared" si="3762"/>
        <v>0</v>
      </c>
      <c r="Q2530" s="1423">
        <f t="shared" si="3763"/>
        <v>0</v>
      </c>
      <c r="R2530" s="1423">
        <f t="shared" si="3764"/>
        <v>0</v>
      </c>
      <c r="S2530" s="1423">
        <f t="shared" si="3765"/>
        <v>0</v>
      </c>
      <c r="T2530" s="1423">
        <f t="shared" si="3766"/>
        <v>0</v>
      </c>
      <c r="U2530" s="1423">
        <f t="shared" si="3767"/>
        <v>0</v>
      </c>
      <c r="V2530" s="1423">
        <f t="shared" si="3768"/>
        <v>0</v>
      </c>
      <c r="W2530" s="1423">
        <f t="shared" si="3769"/>
        <v>0</v>
      </c>
      <c r="X2530" s="152"/>
      <c r="Y2530" s="152"/>
      <c r="Z2530" s="152"/>
      <c r="AA2530" s="152"/>
      <c r="AB2530" s="152"/>
    </row>
    <row r="2531" spans="1:28" hidden="1" outlineLevel="1">
      <c r="A2531" s="152"/>
      <c r="B2531" s="190" t="str">
        <f t="shared" ca="1" si="3770"/>
        <v>RL Capex 2019-20</v>
      </c>
      <c r="C2531" s="1429"/>
      <c r="D2531" s="1429"/>
      <c r="E2531" s="1429"/>
      <c r="F2531" s="1424"/>
      <c r="G2531" s="1428">
        <f>G2499</f>
        <v>0</v>
      </c>
      <c r="H2531" s="1423">
        <f t="shared" si="3754"/>
        <v>0</v>
      </c>
      <c r="I2531" s="1423">
        <f t="shared" si="3755"/>
        <v>0</v>
      </c>
      <c r="J2531" s="1423">
        <f t="shared" si="3756"/>
        <v>0</v>
      </c>
      <c r="K2531" s="1423">
        <f t="shared" si="3757"/>
        <v>0</v>
      </c>
      <c r="L2531" s="1423">
        <f t="shared" si="3758"/>
        <v>0</v>
      </c>
      <c r="M2531" s="1423">
        <f t="shared" si="3759"/>
        <v>0</v>
      </c>
      <c r="N2531" s="1423">
        <f t="shared" si="3760"/>
        <v>0</v>
      </c>
      <c r="O2531" s="1423">
        <f t="shared" si="3761"/>
        <v>0</v>
      </c>
      <c r="P2531" s="1423">
        <f t="shared" si="3762"/>
        <v>0</v>
      </c>
      <c r="Q2531" s="1423">
        <f t="shared" si="3763"/>
        <v>0</v>
      </c>
      <c r="R2531" s="1423">
        <f t="shared" si="3764"/>
        <v>0</v>
      </c>
      <c r="S2531" s="1423">
        <f t="shared" si="3765"/>
        <v>0</v>
      </c>
      <c r="T2531" s="1423">
        <f t="shared" si="3766"/>
        <v>0</v>
      </c>
      <c r="U2531" s="1423">
        <f t="shared" si="3767"/>
        <v>0</v>
      </c>
      <c r="V2531" s="1423">
        <f t="shared" si="3768"/>
        <v>0</v>
      </c>
      <c r="W2531" s="1423">
        <f t="shared" si="3769"/>
        <v>0</v>
      </c>
      <c r="X2531" s="152"/>
      <c r="Y2531" s="152"/>
      <c r="Z2531" s="152"/>
      <c r="AA2531" s="152"/>
      <c r="AB2531" s="152"/>
    </row>
    <row r="2532" spans="1:28" hidden="1" outlineLevel="1">
      <c r="A2532" s="152"/>
      <c r="B2532" s="190" t="str">
        <f t="shared" ca="1" si="3770"/>
        <v>RL Capex 2020-21</v>
      </c>
      <c r="C2532" s="1429"/>
      <c r="D2532" s="1429"/>
      <c r="E2532" s="1429"/>
      <c r="F2532" s="1429"/>
      <c r="G2532" s="1424"/>
      <c r="H2532" s="1428">
        <f>H2499</f>
        <v>0</v>
      </c>
      <c r="I2532" s="1423">
        <f t="shared" si="3755"/>
        <v>0</v>
      </c>
      <c r="J2532" s="1423">
        <f t="shared" si="3756"/>
        <v>0</v>
      </c>
      <c r="K2532" s="1423">
        <f t="shared" si="3757"/>
        <v>0</v>
      </c>
      <c r="L2532" s="1423">
        <f t="shared" si="3758"/>
        <v>0</v>
      </c>
      <c r="M2532" s="1423">
        <f t="shared" si="3759"/>
        <v>0</v>
      </c>
      <c r="N2532" s="1423">
        <f t="shared" si="3760"/>
        <v>0</v>
      </c>
      <c r="O2532" s="1423">
        <f t="shared" si="3761"/>
        <v>0</v>
      </c>
      <c r="P2532" s="1423">
        <f t="shared" si="3762"/>
        <v>0</v>
      </c>
      <c r="Q2532" s="1423">
        <f t="shared" si="3763"/>
        <v>0</v>
      </c>
      <c r="R2532" s="1423">
        <f t="shared" si="3764"/>
        <v>0</v>
      </c>
      <c r="S2532" s="1423">
        <f t="shared" si="3765"/>
        <v>0</v>
      </c>
      <c r="T2532" s="1423">
        <f t="shared" si="3766"/>
        <v>0</v>
      </c>
      <c r="U2532" s="1423">
        <f t="shared" si="3767"/>
        <v>0</v>
      </c>
      <c r="V2532" s="1423">
        <f t="shared" si="3768"/>
        <v>0</v>
      </c>
      <c r="W2532" s="1423">
        <f t="shared" si="3769"/>
        <v>0</v>
      </c>
      <c r="X2532" s="152"/>
      <c r="Y2532" s="152"/>
      <c r="Z2532" s="152"/>
      <c r="AA2532" s="152"/>
      <c r="AB2532" s="152"/>
    </row>
    <row r="2533" spans="1:28" hidden="1" outlineLevel="1">
      <c r="A2533" s="152"/>
      <c r="B2533" s="190" t="str">
        <f t="shared" ca="1" si="3770"/>
        <v>RL Capex 2021-22</v>
      </c>
      <c r="C2533" s="1429"/>
      <c r="D2533" s="1429"/>
      <c r="E2533" s="1429"/>
      <c r="F2533" s="1429"/>
      <c r="G2533" s="1429"/>
      <c r="H2533" s="1424"/>
      <c r="I2533" s="1428">
        <f>I2499</f>
        <v>0</v>
      </c>
      <c r="J2533" s="1423">
        <f t="shared" si="3756"/>
        <v>0</v>
      </c>
      <c r="K2533" s="1423">
        <f t="shared" si="3757"/>
        <v>0</v>
      </c>
      <c r="L2533" s="1423">
        <f t="shared" si="3758"/>
        <v>0</v>
      </c>
      <c r="M2533" s="1423">
        <f t="shared" si="3759"/>
        <v>0</v>
      </c>
      <c r="N2533" s="1423">
        <f t="shared" si="3760"/>
        <v>0</v>
      </c>
      <c r="O2533" s="1423">
        <f t="shared" si="3761"/>
        <v>0</v>
      </c>
      <c r="P2533" s="1423">
        <f t="shared" si="3762"/>
        <v>0</v>
      </c>
      <c r="Q2533" s="1423">
        <f t="shared" si="3763"/>
        <v>0</v>
      </c>
      <c r="R2533" s="1423">
        <f t="shared" si="3764"/>
        <v>0</v>
      </c>
      <c r="S2533" s="1423">
        <f t="shared" si="3765"/>
        <v>0</v>
      </c>
      <c r="T2533" s="1423">
        <f t="shared" si="3766"/>
        <v>0</v>
      </c>
      <c r="U2533" s="1423">
        <f t="shared" si="3767"/>
        <v>0</v>
      </c>
      <c r="V2533" s="1423">
        <f t="shared" si="3768"/>
        <v>0</v>
      </c>
      <c r="W2533" s="1423">
        <f t="shared" si="3769"/>
        <v>0</v>
      </c>
      <c r="X2533" s="152"/>
      <c r="Y2533" s="152"/>
      <c r="Z2533" s="152"/>
      <c r="AA2533" s="152"/>
      <c r="AB2533" s="152"/>
    </row>
    <row r="2534" spans="1:28" hidden="1" outlineLevel="1">
      <c r="A2534" s="152"/>
      <c r="B2534" s="190" t="str">
        <f t="shared" ca="1" si="3770"/>
        <v>RL Capex 2022-23</v>
      </c>
      <c r="C2534" s="1429"/>
      <c r="D2534" s="1429"/>
      <c r="E2534" s="1429"/>
      <c r="F2534" s="1429"/>
      <c r="G2534" s="1429"/>
      <c r="H2534" s="1429"/>
      <c r="I2534" s="1424"/>
      <c r="J2534" s="1428">
        <f>J2499</f>
        <v>0</v>
      </c>
      <c r="K2534" s="1423">
        <f t="shared" si="3757"/>
        <v>0</v>
      </c>
      <c r="L2534" s="1423">
        <f t="shared" si="3758"/>
        <v>0</v>
      </c>
      <c r="M2534" s="1423">
        <f t="shared" si="3759"/>
        <v>0</v>
      </c>
      <c r="N2534" s="1423">
        <f t="shared" si="3760"/>
        <v>0</v>
      </c>
      <c r="O2534" s="1423">
        <f t="shared" si="3761"/>
        <v>0</v>
      </c>
      <c r="P2534" s="1423">
        <f t="shared" si="3762"/>
        <v>0</v>
      </c>
      <c r="Q2534" s="1423">
        <f t="shared" si="3763"/>
        <v>0</v>
      </c>
      <c r="R2534" s="1423">
        <f t="shared" si="3764"/>
        <v>0</v>
      </c>
      <c r="S2534" s="1423">
        <f t="shared" si="3765"/>
        <v>0</v>
      </c>
      <c r="T2534" s="1423">
        <f t="shared" si="3766"/>
        <v>0</v>
      </c>
      <c r="U2534" s="1423">
        <f t="shared" si="3767"/>
        <v>0</v>
      </c>
      <c r="V2534" s="1423">
        <f t="shared" si="3768"/>
        <v>0</v>
      </c>
      <c r="W2534" s="1423">
        <f t="shared" si="3769"/>
        <v>0</v>
      </c>
      <c r="X2534" s="152"/>
      <c r="Y2534" s="152"/>
      <c r="Z2534" s="152"/>
      <c r="AA2534" s="152"/>
      <c r="AB2534" s="152"/>
    </row>
    <row r="2535" spans="1:28" hidden="1" outlineLevel="1">
      <c r="A2535" s="152"/>
      <c r="B2535" s="190" t="str">
        <f t="shared" ca="1" si="3770"/>
        <v>RL Capex 2023-24</v>
      </c>
      <c r="C2535" s="1429"/>
      <c r="D2535" s="1429"/>
      <c r="E2535" s="1429"/>
      <c r="F2535" s="1429"/>
      <c r="G2535" s="1429"/>
      <c r="H2535" s="1429"/>
      <c r="I2535" s="1429"/>
      <c r="J2535" s="1424"/>
      <c r="K2535" s="1428">
        <f>K2499</f>
        <v>0</v>
      </c>
      <c r="L2535" s="1423">
        <f t="shared" si="3758"/>
        <v>0</v>
      </c>
      <c r="M2535" s="1423">
        <f t="shared" si="3759"/>
        <v>0</v>
      </c>
      <c r="N2535" s="1423">
        <f t="shared" si="3760"/>
        <v>0</v>
      </c>
      <c r="O2535" s="1423">
        <f t="shared" si="3761"/>
        <v>0</v>
      </c>
      <c r="P2535" s="1423">
        <f t="shared" si="3762"/>
        <v>0</v>
      </c>
      <c r="Q2535" s="1423">
        <f t="shared" si="3763"/>
        <v>0</v>
      </c>
      <c r="R2535" s="1423">
        <f t="shared" si="3764"/>
        <v>0</v>
      </c>
      <c r="S2535" s="1423">
        <f t="shared" si="3765"/>
        <v>0</v>
      </c>
      <c r="T2535" s="1423">
        <f t="shared" si="3766"/>
        <v>0</v>
      </c>
      <c r="U2535" s="1423">
        <f t="shared" si="3767"/>
        <v>0</v>
      </c>
      <c r="V2535" s="1423">
        <f t="shared" si="3768"/>
        <v>0</v>
      </c>
      <c r="W2535" s="1423">
        <f t="shared" si="3769"/>
        <v>0</v>
      </c>
      <c r="X2535" s="152"/>
      <c r="Y2535" s="152"/>
      <c r="Z2535" s="152"/>
      <c r="AA2535" s="152"/>
      <c r="AB2535" s="152"/>
    </row>
    <row r="2536" spans="1:28" hidden="1" outlineLevel="1">
      <c r="A2536" s="152"/>
      <c r="B2536" s="190" t="str">
        <f t="shared" ca="1" si="3770"/>
        <v>RL Capex 2024-25</v>
      </c>
      <c r="C2536" s="1429"/>
      <c r="D2536" s="1429"/>
      <c r="E2536" s="1429"/>
      <c r="F2536" s="1429"/>
      <c r="G2536" s="1429"/>
      <c r="H2536" s="1429"/>
      <c r="I2536" s="1429"/>
      <c r="J2536" s="1429"/>
      <c r="K2536" s="1424"/>
      <c r="L2536" s="1428">
        <f>L2499</f>
        <v>0</v>
      </c>
      <c r="M2536" s="1423">
        <f t="shared" si="3759"/>
        <v>0</v>
      </c>
      <c r="N2536" s="1423">
        <f t="shared" si="3760"/>
        <v>0</v>
      </c>
      <c r="O2536" s="1423">
        <f t="shared" si="3761"/>
        <v>0</v>
      </c>
      <c r="P2536" s="1423">
        <f t="shared" si="3762"/>
        <v>0</v>
      </c>
      <c r="Q2536" s="1423">
        <f t="shared" si="3763"/>
        <v>0</v>
      </c>
      <c r="R2536" s="1423">
        <f t="shared" si="3764"/>
        <v>0</v>
      </c>
      <c r="S2536" s="1423">
        <f t="shared" si="3765"/>
        <v>0</v>
      </c>
      <c r="T2536" s="1423">
        <f t="shared" si="3766"/>
        <v>0</v>
      </c>
      <c r="U2536" s="1423">
        <f t="shared" si="3767"/>
        <v>0</v>
      </c>
      <c r="V2536" s="1423">
        <f t="shared" si="3768"/>
        <v>0</v>
      </c>
      <c r="W2536" s="1423">
        <f t="shared" si="3769"/>
        <v>0</v>
      </c>
      <c r="X2536" s="152"/>
      <c r="Y2536" s="152"/>
      <c r="Z2536" s="152"/>
      <c r="AA2536" s="152"/>
      <c r="AB2536" s="152"/>
    </row>
    <row r="2537" spans="1:28" hidden="1" outlineLevel="1">
      <c r="A2537" s="152"/>
      <c r="B2537" s="190" t="str">
        <f t="shared" ca="1" si="3770"/>
        <v>RL Capex 2025-26</v>
      </c>
      <c r="C2537" s="1429"/>
      <c r="D2537" s="1429"/>
      <c r="E2537" s="1429"/>
      <c r="F2537" s="1429"/>
      <c r="G2537" s="1429"/>
      <c r="H2537" s="1429"/>
      <c r="I2537" s="1429"/>
      <c r="J2537" s="1429"/>
      <c r="K2537" s="1429"/>
      <c r="L2537" s="1424"/>
      <c r="M2537" s="1428">
        <f>M2499</f>
        <v>0</v>
      </c>
      <c r="N2537" s="1423">
        <f t="shared" si="3760"/>
        <v>0</v>
      </c>
      <c r="O2537" s="1423">
        <f t="shared" si="3761"/>
        <v>0</v>
      </c>
      <c r="P2537" s="1423">
        <f t="shared" si="3762"/>
        <v>0</v>
      </c>
      <c r="Q2537" s="1423">
        <f t="shared" si="3763"/>
        <v>0</v>
      </c>
      <c r="R2537" s="1423">
        <f t="shared" si="3764"/>
        <v>0</v>
      </c>
      <c r="S2537" s="1423">
        <f t="shared" si="3765"/>
        <v>0</v>
      </c>
      <c r="T2537" s="1423">
        <f t="shared" si="3766"/>
        <v>0</v>
      </c>
      <c r="U2537" s="1423">
        <f t="shared" si="3767"/>
        <v>0</v>
      </c>
      <c r="V2537" s="1423">
        <f t="shared" si="3768"/>
        <v>0</v>
      </c>
      <c r="W2537" s="1423">
        <f t="shared" si="3769"/>
        <v>0</v>
      </c>
      <c r="X2537" s="152"/>
      <c r="Y2537" s="152"/>
      <c r="Z2537" s="152"/>
      <c r="AA2537" s="152"/>
      <c r="AB2537" s="152"/>
    </row>
    <row r="2538" spans="1:28" hidden="1" outlineLevel="1">
      <c r="A2538" s="152"/>
      <c r="B2538" s="190" t="str">
        <f t="shared" ca="1" si="3770"/>
        <v>RL Capex 2026-27</v>
      </c>
      <c r="C2538" s="1429"/>
      <c r="D2538" s="1429"/>
      <c r="E2538" s="1429"/>
      <c r="F2538" s="1429"/>
      <c r="G2538" s="1429"/>
      <c r="H2538" s="1429"/>
      <c r="I2538" s="1429"/>
      <c r="J2538" s="1429"/>
      <c r="K2538" s="1429"/>
      <c r="L2538" s="1429"/>
      <c r="M2538" s="1424"/>
      <c r="N2538" s="1428">
        <f>N2499</f>
        <v>0</v>
      </c>
      <c r="O2538" s="1423">
        <f t="shared" si="3761"/>
        <v>0</v>
      </c>
      <c r="P2538" s="1423">
        <f t="shared" si="3762"/>
        <v>0</v>
      </c>
      <c r="Q2538" s="1423">
        <f t="shared" si="3763"/>
        <v>0</v>
      </c>
      <c r="R2538" s="1423">
        <f t="shared" si="3764"/>
        <v>0</v>
      </c>
      <c r="S2538" s="1423">
        <f t="shared" si="3765"/>
        <v>0</v>
      </c>
      <c r="T2538" s="1423">
        <f t="shared" si="3766"/>
        <v>0</v>
      </c>
      <c r="U2538" s="1423">
        <f t="shared" si="3767"/>
        <v>0</v>
      </c>
      <c r="V2538" s="1423">
        <f t="shared" si="3768"/>
        <v>0</v>
      </c>
      <c r="W2538" s="1423">
        <f t="shared" si="3769"/>
        <v>0</v>
      </c>
      <c r="X2538" s="152"/>
      <c r="Y2538" s="152"/>
      <c r="Z2538" s="152"/>
      <c r="AA2538" s="152"/>
      <c r="AB2538" s="152"/>
    </row>
    <row r="2539" spans="1:28" hidden="1" outlineLevel="1">
      <c r="A2539" s="152"/>
      <c r="B2539" s="190" t="str">
        <f t="shared" ca="1" si="3770"/>
        <v>RL Capex 2027-28</v>
      </c>
      <c r="C2539" s="1429"/>
      <c r="D2539" s="1429"/>
      <c r="E2539" s="1429"/>
      <c r="F2539" s="1429"/>
      <c r="G2539" s="1429"/>
      <c r="H2539" s="1429"/>
      <c r="I2539" s="1429"/>
      <c r="J2539" s="1429"/>
      <c r="K2539" s="1429"/>
      <c r="L2539" s="1429"/>
      <c r="M2539" s="1429"/>
      <c r="N2539" s="1424"/>
      <c r="O2539" s="1428">
        <f>O2499</f>
        <v>0</v>
      </c>
      <c r="P2539" s="1423">
        <f t="shared" si="3762"/>
        <v>0</v>
      </c>
      <c r="Q2539" s="1423">
        <f t="shared" si="3763"/>
        <v>0</v>
      </c>
      <c r="R2539" s="1423">
        <f t="shared" si="3764"/>
        <v>0</v>
      </c>
      <c r="S2539" s="1423">
        <f t="shared" si="3765"/>
        <v>0</v>
      </c>
      <c r="T2539" s="1423">
        <f t="shared" si="3766"/>
        <v>0</v>
      </c>
      <c r="U2539" s="1423">
        <f t="shared" si="3767"/>
        <v>0</v>
      </c>
      <c r="V2539" s="1423">
        <f t="shared" si="3768"/>
        <v>0</v>
      </c>
      <c r="W2539" s="1423">
        <f t="shared" si="3769"/>
        <v>0</v>
      </c>
      <c r="X2539" s="152"/>
      <c r="Y2539" s="152"/>
      <c r="Z2539" s="152"/>
      <c r="AA2539" s="152"/>
      <c r="AB2539" s="152"/>
    </row>
    <row r="2540" spans="1:28" hidden="1" outlineLevel="1">
      <c r="A2540" s="152"/>
      <c r="B2540" s="190" t="str">
        <f t="shared" ca="1" si="3770"/>
        <v>RL Capex 2028-29</v>
      </c>
      <c r="C2540" s="1429"/>
      <c r="D2540" s="1429"/>
      <c r="E2540" s="1429"/>
      <c r="F2540" s="1429"/>
      <c r="G2540" s="1429"/>
      <c r="H2540" s="1429"/>
      <c r="I2540" s="1429"/>
      <c r="J2540" s="1429"/>
      <c r="K2540" s="1429"/>
      <c r="L2540" s="1429"/>
      <c r="M2540" s="1429"/>
      <c r="N2540" s="1429"/>
      <c r="O2540" s="1424"/>
      <c r="P2540" s="1428">
        <f>P2499</f>
        <v>0</v>
      </c>
      <c r="Q2540" s="1423">
        <f t="shared" si="3763"/>
        <v>0</v>
      </c>
      <c r="R2540" s="1423">
        <f t="shared" si="3764"/>
        <v>0</v>
      </c>
      <c r="S2540" s="1423">
        <f t="shared" si="3765"/>
        <v>0</v>
      </c>
      <c r="T2540" s="1423">
        <f t="shared" si="3766"/>
        <v>0</v>
      </c>
      <c r="U2540" s="1423">
        <f t="shared" si="3767"/>
        <v>0</v>
      </c>
      <c r="V2540" s="1423">
        <f t="shared" si="3768"/>
        <v>0</v>
      </c>
      <c r="W2540" s="1423">
        <f t="shared" si="3769"/>
        <v>0</v>
      </c>
      <c r="X2540" s="152"/>
      <c r="Y2540" s="152"/>
      <c r="Z2540" s="152"/>
      <c r="AA2540" s="152"/>
      <c r="AB2540" s="152"/>
    </row>
    <row r="2541" spans="1:28" hidden="1" outlineLevel="1">
      <c r="A2541" s="152"/>
      <c r="B2541" s="190" t="str">
        <f t="shared" ca="1" si="3770"/>
        <v>RL Capex 2029-30</v>
      </c>
      <c r="C2541" s="1429"/>
      <c r="D2541" s="1429"/>
      <c r="E2541" s="1429"/>
      <c r="F2541" s="1429"/>
      <c r="G2541" s="1429"/>
      <c r="H2541" s="1429"/>
      <c r="I2541" s="1429"/>
      <c r="J2541" s="1429"/>
      <c r="K2541" s="1429"/>
      <c r="L2541" s="1429"/>
      <c r="M2541" s="1429"/>
      <c r="N2541" s="1429"/>
      <c r="O2541" s="1429"/>
      <c r="P2541" s="1424"/>
      <c r="Q2541" s="1428">
        <f>Q2499</f>
        <v>0</v>
      </c>
      <c r="R2541" s="1423">
        <f t="shared" si="3764"/>
        <v>0</v>
      </c>
      <c r="S2541" s="1423">
        <f t="shared" si="3765"/>
        <v>0</v>
      </c>
      <c r="T2541" s="1423">
        <f t="shared" si="3766"/>
        <v>0</v>
      </c>
      <c r="U2541" s="1423">
        <f t="shared" si="3767"/>
        <v>0</v>
      </c>
      <c r="V2541" s="1423">
        <f t="shared" si="3768"/>
        <v>0</v>
      </c>
      <c r="W2541" s="1423">
        <f t="shared" si="3769"/>
        <v>0</v>
      </c>
      <c r="X2541" s="152"/>
      <c r="Y2541" s="152"/>
      <c r="Z2541" s="152"/>
      <c r="AA2541" s="152"/>
      <c r="AB2541" s="152"/>
    </row>
    <row r="2542" spans="1:28" hidden="1" outlineLevel="1">
      <c r="A2542" s="152"/>
      <c r="B2542" s="190" t="str">
        <f t="shared" ca="1" si="3770"/>
        <v>RL Capex 2030-31</v>
      </c>
      <c r="C2542" s="1429"/>
      <c r="D2542" s="1429"/>
      <c r="E2542" s="1429"/>
      <c r="F2542" s="1429"/>
      <c r="G2542" s="1429"/>
      <c r="H2542" s="1429"/>
      <c r="I2542" s="1429"/>
      <c r="J2542" s="1429"/>
      <c r="K2542" s="1429"/>
      <c r="L2542" s="1429"/>
      <c r="M2542" s="1429"/>
      <c r="N2542" s="1429"/>
      <c r="O2542" s="1429"/>
      <c r="P2542" s="1429"/>
      <c r="Q2542" s="1424"/>
      <c r="R2542" s="1428">
        <f>R2499</f>
        <v>0</v>
      </c>
      <c r="S2542" s="1423">
        <f t="shared" si="3765"/>
        <v>0</v>
      </c>
      <c r="T2542" s="1423">
        <f t="shared" si="3766"/>
        <v>0</v>
      </c>
      <c r="U2542" s="1423">
        <f t="shared" si="3767"/>
        <v>0</v>
      </c>
      <c r="V2542" s="1423">
        <f t="shared" si="3768"/>
        <v>0</v>
      </c>
      <c r="W2542" s="1423">
        <f t="shared" si="3769"/>
        <v>0</v>
      </c>
      <c r="X2542" s="152"/>
      <c r="Y2542" s="152"/>
      <c r="Z2542" s="152"/>
      <c r="AA2542" s="152"/>
      <c r="AB2542" s="152"/>
    </row>
    <row r="2543" spans="1:28" hidden="1" outlineLevel="1">
      <c r="A2543" s="152"/>
      <c r="B2543" s="190" t="str">
        <f t="shared" ca="1" si="3770"/>
        <v>RL Capex 2031-32</v>
      </c>
      <c r="C2543" s="1429"/>
      <c r="D2543" s="1429"/>
      <c r="E2543" s="1429"/>
      <c r="F2543" s="1429"/>
      <c r="G2543" s="1429"/>
      <c r="H2543" s="1429"/>
      <c r="I2543" s="1429"/>
      <c r="J2543" s="1429"/>
      <c r="K2543" s="1429"/>
      <c r="L2543" s="1429"/>
      <c r="M2543" s="1429"/>
      <c r="N2543" s="1429"/>
      <c r="O2543" s="1429"/>
      <c r="P2543" s="1429"/>
      <c r="Q2543" s="1429"/>
      <c r="R2543" s="1424"/>
      <c r="S2543" s="1428">
        <f>S2499</f>
        <v>0</v>
      </c>
      <c r="T2543" s="1423">
        <f t="shared" si="3766"/>
        <v>0</v>
      </c>
      <c r="U2543" s="1423">
        <f t="shared" si="3767"/>
        <v>0</v>
      </c>
      <c r="V2543" s="1423">
        <f t="shared" si="3768"/>
        <v>0</v>
      </c>
      <c r="W2543" s="1423">
        <f t="shared" si="3769"/>
        <v>0</v>
      </c>
      <c r="X2543" s="152"/>
      <c r="Y2543" s="152"/>
      <c r="Z2543" s="152"/>
      <c r="AA2543" s="152"/>
      <c r="AB2543" s="152"/>
    </row>
    <row r="2544" spans="1:28" hidden="1" outlineLevel="1">
      <c r="A2544" s="152"/>
      <c r="B2544" s="190" t="str">
        <f t="shared" ca="1" si="3770"/>
        <v>RL Capex 2032-33</v>
      </c>
      <c r="C2544" s="1429"/>
      <c r="D2544" s="1429"/>
      <c r="E2544" s="1429"/>
      <c r="F2544" s="1429"/>
      <c r="G2544" s="1429"/>
      <c r="H2544" s="1429"/>
      <c r="I2544" s="1429"/>
      <c r="J2544" s="1429"/>
      <c r="K2544" s="1429"/>
      <c r="L2544" s="1429"/>
      <c r="M2544" s="1429"/>
      <c r="N2544" s="1429"/>
      <c r="O2544" s="1429"/>
      <c r="P2544" s="1429"/>
      <c r="Q2544" s="1429"/>
      <c r="R2544" s="1429"/>
      <c r="S2544" s="1424"/>
      <c r="T2544" s="1428">
        <f>T2499</f>
        <v>0</v>
      </c>
      <c r="U2544" s="1423">
        <f t="shared" si="3767"/>
        <v>0</v>
      </c>
      <c r="V2544" s="1423">
        <f t="shared" si="3768"/>
        <v>0</v>
      </c>
      <c r="W2544" s="1423">
        <f t="shared" si="3769"/>
        <v>0</v>
      </c>
      <c r="X2544" s="152"/>
      <c r="Y2544" s="152"/>
      <c r="Z2544" s="152"/>
      <c r="AA2544" s="152"/>
      <c r="AB2544" s="152"/>
    </row>
    <row r="2545" spans="1:28" hidden="1" outlineLevel="1">
      <c r="A2545" s="152"/>
      <c r="B2545" s="190" t="str">
        <f t="shared" ca="1" si="3770"/>
        <v>RL Capex 2033-34</v>
      </c>
      <c r="C2545" s="1429"/>
      <c r="D2545" s="1429"/>
      <c r="E2545" s="1429"/>
      <c r="F2545" s="1429"/>
      <c r="G2545" s="1429"/>
      <c r="H2545" s="1429"/>
      <c r="I2545" s="1429"/>
      <c r="J2545" s="1429"/>
      <c r="K2545" s="1429"/>
      <c r="L2545" s="1429"/>
      <c r="M2545" s="1429"/>
      <c r="N2545" s="1429"/>
      <c r="O2545" s="1429"/>
      <c r="P2545" s="1429"/>
      <c r="Q2545" s="1429"/>
      <c r="R2545" s="1429"/>
      <c r="S2545" s="1429"/>
      <c r="T2545" s="1424"/>
      <c r="U2545" s="1428">
        <f>U2499</f>
        <v>0</v>
      </c>
      <c r="V2545" s="1423">
        <f t="shared" si="3768"/>
        <v>0</v>
      </c>
      <c r="W2545" s="1423">
        <f t="shared" si="3769"/>
        <v>0</v>
      </c>
      <c r="X2545" s="152"/>
      <c r="Y2545" s="152"/>
      <c r="Z2545" s="152"/>
      <c r="AA2545" s="152"/>
      <c r="AB2545" s="152"/>
    </row>
    <row r="2546" spans="1:28" hidden="1" outlineLevel="1">
      <c r="A2546" s="152"/>
      <c r="B2546" s="190" t="str">
        <f t="shared" ca="1" si="3770"/>
        <v>RL Capex 2034-35</v>
      </c>
      <c r="C2546" s="1429"/>
      <c r="D2546" s="1429"/>
      <c r="E2546" s="1429"/>
      <c r="F2546" s="1429"/>
      <c r="G2546" s="1429"/>
      <c r="H2546" s="1429"/>
      <c r="I2546" s="1429"/>
      <c r="J2546" s="1429"/>
      <c r="K2546" s="1429"/>
      <c r="L2546" s="1429"/>
      <c r="M2546" s="1429"/>
      <c r="N2546" s="1429"/>
      <c r="O2546" s="1429"/>
      <c r="P2546" s="1429"/>
      <c r="Q2546" s="1429"/>
      <c r="R2546" s="1429"/>
      <c r="S2546" s="1429"/>
      <c r="T2546" s="1429"/>
      <c r="U2546" s="1424"/>
      <c r="V2546" s="1428">
        <f>V2499</f>
        <v>0</v>
      </c>
      <c r="W2546" s="1423">
        <f>IF(V2546="n/a","n/a",MAX(0,V2546-1))</f>
        <v>0</v>
      </c>
      <c r="X2546" s="152"/>
      <c r="Y2546" s="152"/>
      <c r="Z2546" s="152"/>
      <c r="AA2546" s="152"/>
      <c r="AB2546" s="152"/>
    </row>
    <row r="2547" spans="1:28" hidden="1" outlineLevel="1">
      <c r="A2547" s="152"/>
      <c r="B2547" s="190" t="str">
        <f t="shared" ca="1" si="3770"/>
        <v>RL Capex 2035-36</v>
      </c>
      <c r="C2547" s="1429"/>
      <c r="D2547" s="1429"/>
      <c r="E2547" s="1429"/>
      <c r="F2547" s="1429"/>
      <c r="G2547" s="1429"/>
      <c r="H2547" s="1429"/>
      <c r="I2547" s="1429"/>
      <c r="J2547" s="1429"/>
      <c r="K2547" s="1429"/>
      <c r="L2547" s="1429"/>
      <c r="M2547" s="1429"/>
      <c r="N2547" s="1429"/>
      <c r="O2547" s="1429"/>
      <c r="P2547" s="1429"/>
      <c r="Q2547" s="1429"/>
      <c r="R2547" s="1429"/>
      <c r="S2547" s="1429"/>
      <c r="T2547" s="1429"/>
      <c r="U2547" s="1429"/>
      <c r="V2547" s="1424"/>
      <c r="W2547" s="1423">
        <f>W2499</f>
        <v>0</v>
      </c>
      <c r="X2547" s="152"/>
      <c r="Y2547" s="152"/>
      <c r="Z2547" s="152"/>
      <c r="AA2547" s="152"/>
      <c r="AB2547" s="152"/>
    </row>
    <row r="2548" spans="1:28" hidden="1" outlineLevel="1">
      <c r="A2548" s="152"/>
      <c r="B2548" s="200"/>
      <c r="C2548" s="1423"/>
      <c r="D2548" s="1423"/>
      <c r="E2548" s="1423"/>
      <c r="F2548" s="1423"/>
      <c r="G2548" s="1423"/>
      <c r="H2548" s="1423"/>
      <c r="I2548" s="1423"/>
      <c r="J2548" s="1423"/>
      <c r="K2548" s="1423"/>
      <c r="L2548" s="1423"/>
      <c r="M2548" s="1423"/>
      <c r="N2548" s="1423"/>
      <c r="O2548" s="1423"/>
      <c r="P2548" s="1423"/>
      <c r="Q2548" s="1423"/>
      <c r="R2548" s="1423"/>
      <c r="S2548" s="1423"/>
      <c r="T2548" s="1423"/>
      <c r="U2548" s="1423"/>
      <c r="V2548" s="1423"/>
      <c r="W2548" s="1423"/>
      <c r="X2548" s="152"/>
      <c r="Y2548" s="152"/>
      <c r="Z2548" s="152"/>
      <c r="AA2548" s="152"/>
      <c r="AB2548" s="152"/>
    </row>
    <row r="2549" spans="1:28" collapsed="1">
      <c r="A2549" s="194"/>
      <c r="B2549" s="204" t="s">
        <v>123</v>
      </c>
      <c r="C2549" s="1430">
        <f ca="1">(IF(OR($C2499&lt;&gt;"n/a",C2499&lt;&gt;"n/a"),IF(SUM(C2502:C2524)=0,0,IF((SUMPRODUCT(C2502:C2524,C2526:C2548)/SUM(C2502:C2524))&lt;0,1,(SUMPRODUCT(C2502:C2524,C2526:C2548)/SUM(C2502:C2524)))),"n/a"))</f>
        <v>0</v>
      </c>
      <c r="D2549" s="1430">
        <f ca="1">(IF(OR($C2499&lt;&gt;"n/a",D2499&lt;&gt;"n/a"),IF(SUM(D2502:D2524)=0,0,IF((SUMPRODUCT(D2502:D2524,D2526:D2548)/SUM(D2502:D2524))&lt;0,1,(SUMPRODUCT(D2502:D2524,D2526:D2548)/SUM(D2502:D2524)))),"n/a"))</f>
        <v>0</v>
      </c>
      <c r="E2549" s="1430">
        <f t="shared" ref="E2549:W2549" ca="1" si="3771">(IF(OR($C2499&lt;&gt;"n/a",E2499&lt;&gt;"n/a"),IF(SUM(E2502:E2524)=0,0,IF((SUMPRODUCT(E2502:E2524,E2526:E2548)/SUM(E2502:E2524))&lt;0,1,(SUMPRODUCT(E2502:E2524,E2526:E2548)/SUM(E2502:E2524)))),"n/a"))</f>
        <v>0</v>
      </c>
      <c r="F2549" s="1430">
        <f t="shared" ca="1" si="3771"/>
        <v>0</v>
      </c>
      <c r="G2549" s="1430">
        <f t="shared" ca="1" si="3771"/>
        <v>0</v>
      </c>
      <c r="H2549" s="1430">
        <f t="shared" ca="1" si="3771"/>
        <v>0</v>
      </c>
      <c r="I2549" s="1430">
        <f t="shared" ca="1" si="3771"/>
        <v>0</v>
      </c>
      <c r="J2549" s="1430">
        <f t="shared" ca="1" si="3771"/>
        <v>0</v>
      </c>
      <c r="K2549" s="1430">
        <f t="shared" ca="1" si="3771"/>
        <v>0</v>
      </c>
      <c r="L2549" s="1430">
        <f t="shared" ca="1" si="3771"/>
        <v>0</v>
      </c>
      <c r="M2549" s="1430">
        <f t="shared" ca="1" si="3771"/>
        <v>0</v>
      </c>
      <c r="N2549" s="1430">
        <f t="shared" ca="1" si="3771"/>
        <v>0</v>
      </c>
      <c r="O2549" s="1430">
        <f t="shared" ca="1" si="3771"/>
        <v>0</v>
      </c>
      <c r="P2549" s="1430">
        <f t="shared" ca="1" si="3771"/>
        <v>0</v>
      </c>
      <c r="Q2549" s="1430">
        <f t="shared" ca="1" si="3771"/>
        <v>0</v>
      </c>
      <c r="R2549" s="1430">
        <f t="shared" ca="1" si="3771"/>
        <v>0</v>
      </c>
      <c r="S2549" s="1430">
        <f t="shared" ca="1" si="3771"/>
        <v>0</v>
      </c>
      <c r="T2549" s="1430">
        <f t="shared" ca="1" si="3771"/>
        <v>0</v>
      </c>
      <c r="U2549" s="1430">
        <f t="shared" ca="1" si="3771"/>
        <v>0</v>
      </c>
      <c r="V2549" s="1430">
        <f t="shared" ca="1" si="3771"/>
        <v>0</v>
      </c>
      <c r="W2549" s="1430">
        <f t="shared" ca="1" si="3771"/>
        <v>0</v>
      </c>
      <c r="X2549" s="152"/>
      <c r="Y2549" s="152"/>
      <c r="Z2549" s="152"/>
      <c r="AA2549" s="152"/>
      <c r="AB2549" s="152"/>
    </row>
    <row r="2550" spans="1:28">
      <c r="A2550" s="152"/>
      <c r="B2550" s="152"/>
      <c r="C2550" s="1423"/>
      <c r="D2550" s="1423"/>
      <c r="E2550" s="1423"/>
      <c r="F2550" s="1423"/>
      <c r="G2550" s="1423"/>
      <c r="H2550" s="1423"/>
      <c r="I2550" s="1423"/>
      <c r="J2550" s="1423"/>
      <c r="K2550" s="1423"/>
      <c r="L2550" s="1423"/>
      <c r="M2550" s="1423"/>
      <c r="N2550" s="1423"/>
      <c r="O2550" s="1423"/>
      <c r="P2550" s="1423"/>
      <c r="Q2550" s="1423"/>
      <c r="R2550" s="1423"/>
      <c r="S2550" s="1423"/>
      <c r="T2550" s="1423"/>
      <c r="U2550" s="1423"/>
      <c r="V2550" s="1423"/>
      <c r="W2550" s="1423"/>
      <c r="X2550" s="152"/>
      <c r="Y2550" s="152"/>
      <c r="Z2550" s="152"/>
      <c r="AA2550" s="152"/>
      <c r="AB2550" s="152"/>
    </row>
    <row r="2551" spans="1:28">
      <c r="A2551" s="269" t="s">
        <v>114</v>
      </c>
      <c r="B2551" s="270">
        <f>VLOOKUP($A2551,'RFM input'!$E$7:$F$56,2,FALSE)</f>
        <v>0</v>
      </c>
      <c r="C2551" s="1431"/>
      <c r="D2551" s="1431"/>
      <c r="E2551" s="1432"/>
      <c r="F2551" s="1432"/>
      <c r="G2551" s="1432"/>
      <c r="H2551" s="1432"/>
      <c r="I2551" s="1432"/>
      <c r="J2551" s="1432"/>
      <c r="K2551" s="1432"/>
      <c r="L2551" s="1432"/>
      <c r="M2551" s="1432"/>
      <c r="N2551" s="1432"/>
      <c r="O2551" s="1432"/>
      <c r="P2551" s="1432"/>
      <c r="Q2551" s="1432"/>
      <c r="R2551" s="1432"/>
      <c r="S2551" s="1432"/>
      <c r="T2551" s="1432"/>
      <c r="U2551" s="1432"/>
      <c r="V2551" s="1432"/>
      <c r="W2551" s="1432"/>
      <c r="X2551" s="152"/>
      <c r="Y2551" s="152"/>
      <c r="Z2551" s="152"/>
      <c r="AA2551" s="152"/>
      <c r="AB2551" s="152"/>
    </row>
    <row r="2552" spans="1:28">
      <c r="A2552" s="215">
        <f>VALUE(REPLACE(A2551,1,12,""))</f>
        <v>48</v>
      </c>
      <c r="B2552" s="193" t="s">
        <v>126</v>
      </c>
      <c r="C2552" s="1416">
        <f ca="1">IF($C$8='Capital Base roll forward'!$H$4,OFFSET('Capital Base roll forward'!$H$717,'RAB remaining lives'!A2552,0),"enter input")</f>
        <v>0</v>
      </c>
      <c r="D2552" s="1417">
        <f>IF(LEFT(D$6,4)&lt;LEFT('RFM input'!$G$60,4),"enter input",IF(LEFT(D$6,4)&gt;LEFT('RFM input'!$Q$60,4),0,INDEX('RFM input'!$G$61:$Q$110,$A2552,MATCH(D$6,'RFM input'!$G$60:$Q$60,0))
-INDEX('RFM input'!$G$115:$Q$164,$A2552,MATCH(D$6,'RFM input'!$G$60:$Q$60,0))
-INDEX('RFM input'!$G$169:$Q$218,$A2552,MATCH(D$6,'RFM input'!$G$60:$Q$60,0))))</f>
        <v>0</v>
      </c>
      <c r="E2552" s="1417">
        <f>IF(LEFT(E$6,4)&lt;LEFT('RFM input'!$G$60,4),"enter input",IF(LEFT(E$6,4)&gt;LEFT('RFM input'!$Q$60,4),0,INDEX('RFM input'!$G$61:$Q$110,$A2552,MATCH(E$6,'RFM input'!$G$60:$Q$60,0))
-INDEX('RFM input'!$G$115:$Q$164,$A2552,MATCH(E$6,'RFM input'!$G$60:$Q$60,0))
-INDEX('RFM input'!$G$169:$Q$218,$A2552,MATCH(E$6,'RFM input'!$G$60:$Q$60,0))))</f>
        <v>0</v>
      </c>
      <c r="F2552" s="1417">
        <f>IF(LEFT(F$6,4)&lt;LEFT('RFM input'!$G$60,4),"enter input",IF(LEFT(F$6,4)&gt;LEFT('RFM input'!$Q$60,4),0,INDEX('RFM input'!$G$61:$Q$110,$A2552,MATCH(F$6,'RFM input'!$G$60:$Q$60,0))
-INDEX('RFM input'!$G$115:$Q$164,$A2552,MATCH(F$6,'RFM input'!$G$60:$Q$60,0))
-INDEX('RFM input'!$G$169:$Q$218,$A2552,MATCH(F$6,'RFM input'!$G$60:$Q$60,0))))</f>
        <v>0</v>
      </c>
      <c r="G2552" s="1417">
        <f>IF(LEFT(G$6,4)&lt;LEFT('RFM input'!$G$60,4),"enter input",IF(LEFT(G$6,4)&gt;LEFT('RFM input'!$Q$60,4),0,INDEX('RFM input'!$G$61:$Q$110,$A2552,MATCH(G$6,'RFM input'!$G$60:$Q$60,0))
-INDEX('RFM input'!$G$115:$Q$164,$A2552,MATCH(G$6,'RFM input'!$G$60:$Q$60,0))
-INDEX('RFM input'!$G$169:$Q$218,$A2552,MATCH(G$6,'RFM input'!$G$60:$Q$60,0))))</f>
        <v>0</v>
      </c>
      <c r="H2552" s="1417">
        <f>IF(LEFT(H$6,4)&lt;LEFT('RFM input'!$G$60,4),"enter input",IF(LEFT(H$6,4)&gt;LEFT('RFM input'!$Q$60,4),0,INDEX('RFM input'!$G$61:$Q$110,$A2552,MATCH(H$6,'RFM input'!$G$60:$Q$60,0))
-INDEX('RFM input'!$G$115:$Q$164,$A2552,MATCH(H$6,'RFM input'!$G$60:$Q$60,0))
-INDEX('RFM input'!$G$169:$Q$218,$A2552,MATCH(H$6,'RFM input'!$G$60:$Q$60,0))))</f>
        <v>0</v>
      </c>
      <c r="I2552" s="1417">
        <f>IF(LEFT(I$6,4)&lt;LEFT('RFM input'!$G$60,4),"enter input",IF(LEFT(I$6,4)&gt;LEFT('RFM input'!$Q$60,4),0,INDEX('RFM input'!$G$61:$Q$110,$A2552,MATCH(I$6,'RFM input'!$G$60:$Q$60,0))
-INDEX('RFM input'!$G$115:$Q$164,$A2552,MATCH(I$6,'RFM input'!$G$60:$Q$60,0))
-INDEX('RFM input'!$G$169:$Q$218,$A2552,MATCH(I$6,'RFM input'!$G$60:$Q$60,0))))</f>
        <v>0</v>
      </c>
      <c r="J2552" s="1417">
        <f>IF(LEFT(J$6,4)&lt;LEFT('RFM input'!$G$60,4),"enter input",IF(LEFT(J$6,4)&gt;LEFT('RFM input'!$Q$60,4),0,INDEX('RFM input'!$G$61:$Q$110,$A2552,MATCH(J$6,'RFM input'!$G$60:$Q$60,0))
-INDEX('RFM input'!$G$115:$Q$164,$A2552,MATCH(J$6,'RFM input'!$G$60:$Q$60,0))
-INDEX('RFM input'!$G$169:$Q$218,$A2552,MATCH(J$6,'RFM input'!$G$60:$Q$60,0))))</f>
        <v>0</v>
      </c>
      <c r="K2552" s="1417">
        <f>IF(LEFT(K$6,4)&lt;LEFT('RFM input'!$G$60,4),"enter input",IF(LEFT(K$6,4)&gt;LEFT('RFM input'!$Q$60,4),0,INDEX('RFM input'!$G$61:$Q$110,$A2552,MATCH(K$6,'RFM input'!$G$60:$Q$60,0))
-INDEX('RFM input'!$G$115:$Q$164,$A2552,MATCH(K$6,'RFM input'!$G$60:$Q$60,0))
-INDEX('RFM input'!$G$169:$Q$218,$A2552,MATCH(K$6,'RFM input'!$G$60:$Q$60,0))))</f>
        <v>0</v>
      </c>
      <c r="L2552" s="1417">
        <f>IF(LEFT(L$6,4)&lt;LEFT('RFM input'!$G$60,4),"enter input",IF(LEFT(L$6,4)&gt;LEFT('RFM input'!$Q$60,4),0,INDEX('RFM input'!$G$61:$Q$110,$A2552,MATCH(L$6,'RFM input'!$G$60:$Q$60,0))
-INDEX('RFM input'!$G$115:$Q$164,$A2552,MATCH(L$6,'RFM input'!$G$60:$Q$60,0))
-INDEX('RFM input'!$G$169:$Q$218,$A2552,MATCH(L$6,'RFM input'!$G$60:$Q$60,0))))</f>
        <v>0</v>
      </c>
      <c r="M2552" s="1417">
        <f>IF(LEFT(M$6,4)&lt;LEFT('RFM input'!$G$60,4),"enter input",IF(LEFT(M$6,4)&gt;LEFT('RFM input'!$Q$60,4),0,INDEX('RFM input'!$G$61:$Q$110,$A2552,MATCH(M$6,'RFM input'!$G$60:$Q$60,0))
-INDEX('RFM input'!$G$115:$Q$164,$A2552,MATCH(M$6,'RFM input'!$G$60:$Q$60,0))
-INDEX('RFM input'!$G$169:$Q$218,$A2552,MATCH(M$6,'RFM input'!$G$60:$Q$60,0))))</f>
        <v>0</v>
      </c>
      <c r="N2552" s="1417">
        <f>IF(LEFT(N$6,4)&lt;LEFT('RFM input'!$G$60,4),"enter input",IF(LEFT(N$6,4)&gt;LEFT('RFM input'!$Q$60,4),0,INDEX('RFM input'!$G$61:$Q$110,$A2552,MATCH(N$6,'RFM input'!$G$60:$Q$60,0))
-INDEX('RFM input'!$G$115:$Q$164,$A2552,MATCH(N$6,'RFM input'!$G$60:$Q$60,0))
-INDEX('RFM input'!$G$169:$Q$218,$A2552,MATCH(N$6,'RFM input'!$G$60:$Q$60,0))))</f>
        <v>0</v>
      </c>
      <c r="O2552" s="1417">
        <f>IF(LEFT(O$6,4)&lt;LEFT('RFM input'!$G$60,4),"enter input",IF(LEFT(O$6,4)&gt;LEFT('RFM input'!$Q$60,4),0,INDEX('RFM input'!$G$61:$Q$110,$A2552,MATCH(O$6,'RFM input'!$G$60:$Q$60,0))
-INDEX('RFM input'!$G$115:$Q$164,$A2552,MATCH(O$6,'RFM input'!$G$60:$Q$60,0))
-INDEX('RFM input'!$G$169:$Q$218,$A2552,MATCH(O$6,'RFM input'!$G$60:$Q$60,0))))</f>
        <v>0</v>
      </c>
      <c r="P2552" s="1417">
        <f>IF(LEFT(P$6,4)&lt;LEFT('RFM input'!$G$60,4),"enter input",IF(LEFT(P$6,4)&gt;LEFT('RFM input'!$Q$60,4),0,INDEX('RFM input'!$G$61:$Q$110,$A2552,MATCH(P$6,'RFM input'!$G$60:$Q$60,0))
-INDEX('RFM input'!$G$115:$Q$164,$A2552,MATCH(P$6,'RFM input'!$G$60:$Q$60,0))
-INDEX('RFM input'!$G$169:$Q$218,$A2552,MATCH(P$6,'RFM input'!$G$60:$Q$60,0))))</f>
        <v>0</v>
      </c>
      <c r="Q2552" s="1417">
        <f>IF(LEFT(Q$6,4)&lt;LEFT('RFM input'!$G$60,4),"enter input",IF(LEFT(Q$6,4)&gt;LEFT('RFM input'!$Q$60,4),0,INDEX('RFM input'!$G$61:$Q$110,$A2552,MATCH(Q$6,'RFM input'!$G$60:$Q$60,0))
-INDEX('RFM input'!$G$115:$Q$164,$A2552,MATCH(Q$6,'RFM input'!$G$60:$Q$60,0))
-INDEX('RFM input'!$G$169:$Q$218,$A2552,MATCH(Q$6,'RFM input'!$G$60:$Q$60,0))))</f>
        <v>0</v>
      </c>
      <c r="R2552" s="1417">
        <f>IF(LEFT(R$6,4)&lt;LEFT('RFM input'!$G$60,4),"enter input",IF(LEFT(R$6,4)&gt;LEFT('RFM input'!$Q$60,4),0,INDEX('RFM input'!$G$61:$Q$110,$A2552,MATCH(R$6,'RFM input'!$G$60:$Q$60,0))
-INDEX('RFM input'!$G$115:$Q$164,$A2552,MATCH(R$6,'RFM input'!$G$60:$Q$60,0))
-INDEX('RFM input'!$G$169:$Q$218,$A2552,MATCH(R$6,'RFM input'!$G$60:$Q$60,0))))</f>
        <v>0</v>
      </c>
      <c r="S2552" s="1417">
        <f>IF(LEFT(S$6,4)&lt;LEFT('RFM input'!$G$60,4),"enter input",IF(LEFT(S$6,4)&gt;LEFT('RFM input'!$Q$60,4),0,INDEX('RFM input'!$G$61:$Q$110,$A2552,MATCH(S$6,'RFM input'!$G$60:$Q$60,0))
-INDEX('RFM input'!$G$115:$Q$164,$A2552,MATCH(S$6,'RFM input'!$G$60:$Q$60,0))
-INDEX('RFM input'!$G$169:$Q$218,$A2552,MATCH(S$6,'RFM input'!$G$60:$Q$60,0))))</f>
        <v>0</v>
      </c>
      <c r="T2552" s="1417">
        <f>IF(LEFT(T$6,4)&lt;LEFT('RFM input'!$G$60,4),"enter input",IF(LEFT(T$6,4)&gt;LEFT('RFM input'!$Q$60,4),0,INDEX('RFM input'!$G$61:$Q$110,$A2552,MATCH(T$6,'RFM input'!$G$60:$Q$60,0))
-INDEX('RFM input'!$G$115:$Q$164,$A2552,MATCH(T$6,'RFM input'!$G$60:$Q$60,0))
-INDEX('RFM input'!$G$169:$Q$218,$A2552,MATCH(T$6,'RFM input'!$G$60:$Q$60,0))))</f>
        <v>0</v>
      </c>
      <c r="U2552" s="1417">
        <f>IF(LEFT(U$6,4)&lt;LEFT('RFM input'!$G$60,4),"enter input",IF(LEFT(U$6,4)&gt;LEFT('RFM input'!$Q$60,4),0,INDEX('RFM input'!$G$61:$Q$110,$A2552,MATCH(U$6,'RFM input'!$G$60:$Q$60,0))
-INDEX('RFM input'!$G$115:$Q$164,$A2552,MATCH(U$6,'RFM input'!$G$60:$Q$60,0))
-INDEX('RFM input'!$G$169:$Q$218,$A2552,MATCH(U$6,'RFM input'!$G$60:$Q$60,0))))</f>
        <v>0</v>
      </c>
      <c r="V2552" s="1417">
        <f>IF(LEFT(V$6,4)&lt;LEFT('RFM input'!$G$60,4),"enter input",IF(LEFT(V$6,4)&gt;LEFT('RFM input'!$Q$60,4),0,INDEX('RFM input'!$G$61:$Q$110,$A2552,MATCH(V$6,'RFM input'!$G$60:$Q$60,0))
-INDEX('RFM input'!$G$115:$Q$164,$A2552,MATCH(V$6,'RFM input'!$G$60:$Q$60,0))
-INDEX('RFM input'!$G$169:$Q$218,$A2552,MATCH(V$6,'RFM input'!$G$60:$Q$60,0))))</f>
        <v>0</v>
      </c>
      <c r="W2552" s="1417">
        <f>IF(LEFT(W$6,4)&lt;LEFT('RFM input'!$G$60,4),"enter input",IF(LEFT(W$6,4)&gt;LEFT('RFM input'!$Q$60,4),0,INDEX('RFM input'!$G$61:$Q$110,$A2552,MATCH(W$6,'RFM input'!$G$60:$Q$60,0))
-INDEX('RFM input'!$G$115:$Q$164,$A2552,MATCH(W$6,'RFM input'!$G$60:$Q$60,0))
-INDEX('RFM input'!$G$169:$Q$218,$A2552,MATCH(W$6,'RFM input'!$G$60:$Q$60,0))))</f>
        <v>0</v>
      </c>
      <c r="X2552" s="152"/>
      <c r="Y2552" s="152"/>
      <c r="Z2552" s="152"/>
      <c r="AA2552" s="152"/>
      <c r="AB2552" s="152"/>
    </row>
    <row r="2553" spans="1:28">
      <c r="A2553" s="152"/>
      <c r="B2553" s="152" t="s">
        <v>204</v>
      </c>
      <c r="C2553" s="1418">
        <f ca="1">IF($C$8='Capital Base roll forward'!$H$4,OFFSET('RFM input'!$J$6,'RAB remaining lives'!A2552,0),"enter input")</f>
        <v>0</v>
      </c>
      <c r="D2553" s="1417">
        <f>IF(LEFT(D$6,4)&lt;=LEFT('RFM input'!$G$60,4),"enter input",IF(LEFT(D$6,4)&gt;LEFT('RFM input'!$Q$60,4),0,IF(MATCH(D$6,'RFM input'!$H$60:$Q$60,0),INDEX('RFM input'!$K$7:$K$56,$A2552,1))))</f>
        <v>0</v>
      </c>
      <c r="E2553" s="1417">
        <f>IF(LEFT(E$6,4)&lt;=LEFT('RFM input'!$G$60,4),"enter input",IF(LEFT(E$6,4)&gt;LEFT('RFM input'!$Q$60,4),0,IF(MATCH(E$6,'RFM input'!$H$60:$Q$60,0),INDEX('RFM input'!$K$7:$K$56,$A2552,1))))</f>
        <v>0</v>
      </c>
      <c r="F2553" s="1417">
        <f>IF(LEFT(F$6,4)&lt;=LEFT('RFM input'!$G$60,4),"enter input",IF(LEFT(F$6,4)&gt;LEFT('RFM input'!$Q$60,4),0,IF(MATCH(F$6,'RFM input'!$H$60:$Q$60,0),INDEX('RFM input'!$K$7:$K$56,$A2552,1))))</f>
        <v>0</v>
      </c>
      <c r="G2553" s="1417">
        <f>IF(LEFT(G$6,4)&lt;=LEFT('RFM input'!$G$60,4),"enter input",IF(LEFT(G$6,4)&gt;LEFT('RFM input'!$Q$60,4),0,IF(MATCH(G$6,'RFM input'!$H$60:$Q$60,0),INDEX('RFM input'!$K$7:$K$56,$A2552,1))))</f>
        <v>0</v>
      </c>
      <c r="H2553" s="1417">
        <f>IF(LEFT(H$6,4)&lt;=LEFT('RFM input'!$G$60,4),"enter input",IF(LEFT(H$6,4)&gt;LEFT('RFM input'!$Q$60,4),0,IF(MATCH(H$6,'RFM input'!$H$60:$Q$60,0),INDEX('RFM input'!$K$7:$K$56,$A2552,1))))</f>
        <v>0</v>
      </c>
      <c r="I2553" s="1417">
        <f>IF(LEFT(I$6,4)&lt;=LEFT('RFM input'!$G$60,4),"enter input",IF(LEFT(I$6,4)&gt;LEFT('RFM input'!$Q$60,4),0,IF(MATCH(I$6,'RFM input'!$H$60:$Q$60,0),INDEX('RFM input'!$K$7:$K$56,$A2552,1))))</f>
        <v>0</v>
      </c>
      <c r="J2553" s="1417">
        <f>IF(LEFT(J$6,4)&lt;=LEFT('RFM input'!$G$60,4),"enter input",IF(LEFT(J$6,4)&gt;LEFT('RFM input'!$Q$60,4),0,IF(MATCH(J$6,'RFM input'!$H$60:$Q$60,0),INDEX('RFM input'!$K$7:$K$56,$A2552,1))))</f>
        <v>0</v>
      </c>
      <c r="K2553" s="1417">
        <f>IF(LEFT(K$6,4)&lt;=LEFT('RFM input'!$G$60,4),"enter input",IF(LEFT(K$6,4)&gt;LEFT('RFM input'!$Q$60,4),0,IF(MATCH(K$6,'RFM input'!$H$60:$Q$60,0),INDEX('RFM input'!$K$7:$K$56,$A2552,1))))</f>
        <v>0</v>
      </c>
      <c r="L2553" s="1417">
        <f>IF(LEFT(L$6,4)&lt;=LEFT('RFM input'!$G$60,4),"enter input",IF(LEFT(L$6,4)&gt;LEFT('RFM input'!$Q$60,4),0,IF(MATCH(L$6,'RFM input'!$H$60:$Q$60,0),INDEX('RFM input'!$K$7:$K$56,$A2552,1))))</f>
        <v>0</v>
      </c>
      <c r="M2553" s="1417">
        <f>IF(LEFT(M$6,4)&lt;=LEFT('RFM input'!$G$60,4),"enter input",IF(LEFT(M$6,4)&gt;LEFT('RFM input'!$Q$60,4),0,IF(MATCH(M$6,'RFM input'!$H$60:$Q$60,0),INDEX('RFM input'!$K$7:$K$56,$A2552,1))))</f>
        <v>0</v>
      </c>
      <c r="N2553" s="1417">
        <f>IF(LEFT(N$6,4)&lt;=LEFT('RFM input'!$G$60,4),"enter input",IF(LEFT(N$6,4)&gt;LEFT('RFM input'!$Q$60,4),0,IF(MATCH(N$6,'RFM input'!$H$60:$Q$60,0),INDEX('RFM input'!$K$7:$K$56,$A2552,1))))</f>
        <v>0</v>
      </c>
      <c r="O2553" s="1417">
        <f>IF(LEFT(O$6,4)&lt;=LEFT('RFM input'!$G$60,4),"enter input",IF(LEFT(O$6,4)&gt;LEFT('RFM input'!$Q$60,4),0,IF(MATCH(O$6,'RFM input'!$H$60:$Q$60,0),INDEX('RFM input'!$K$7:$K$56,$A2552,1))))</f>
        <v>0</v>
      </c>
      <c r="P2553" s="1417">
        <f>IF(LEFT(P$6,4)&lt;=LEFT('RFM input'!$G$60,4),"enter input",IF(LEFT(P$6,4)&gt;LEFT('RFM input'!$Q$60,4),0,IF(MATCH(P$6,'RFM input'!$H$60:$Q$60,0),INDEX('RFM input'!$K$7:$K$56,$A2552,1))))</f>
        <v>0</v>
      </c>
      <c r="Q2553" s="1417">
        <f>IF(LEFT(Q$6,4)&lt;=LEFT('RFM input'!$G$60,4),"enter input",IF(LEFT(Q$6,4)&gt;LEFT('RFM input'!$Q$60,4),0,IF(MATCH(Q$6,'RFM input'!$H$60:$Q$60,0),INDEX('RFM input'!$K$7:$K$56,$A2552,1))))</f>
        <v>0</v>
      </c>
      <c r="R2553" s="1417">
        <f>IF(LEFT(R$6,4)&lt;=LEFT('RFM input'!$G$60,4),"enter input",IF(LEFT(R$6,4)&gt;LEFT('RFM input'!$Q$60,4),0,IF(MATCH(R$6,'RFM input'!$H$60:$Q$60,0),INDEX('RFM input'!$K$7:$K$56,$A2552,1))))</f>
        <v>0</v>
      </c>
      <c r="S2553" s="1417">
        <f>IF(LEFT(S$6,4)&lt;=LEFT('RFM input'!$G$60,4),"enter input",IF(LEFT(S$6,4)&gt;LEFT('RFM input'!$Q$60,4),0,IF(MATCH(S$6,'RFM input'!$H$60:$Q$60,0),INDEX('RFM input'!$K$7:$K$56,$A2552,1))))</f>
        <v>0</v>
      </c>
      <c r="T2553" s="1417">
        <f>IF(LEFT(T$6,4)&lt;=LEFT('RFM input'!$G$60,4),"enter input",IF(LEFT(T$6,4)&gt;LEFT('RFM input'!$Q$60,4),0,IF(MATCH(T$6,'RFM input'!$H$60:$Q$60,0),INDEX('RFM input'!$K$7:$K$56,$A2552,1))))</f>
        <v>0</v>
      </c>
      <c r="U2553" s="1417">
        <f>IF(LEFT(U$6,4)&lt;=LEFT('RFM input'!$G$60,4),"enter input",IF(LEFT(U$6,4)&gt;LEFT('RFM input'!$Q$60,4),0,IF(MATCH(U$6,'RFM input'!$H$60:$Q$60,0),INDEX('RFM input'!$K$7:$K$56,$A2552,1))))</f>
        <v>0</v>
      </c>
      <c r="V2553" s="1417">
        <f>IF(LEFT(V$6,4)&lt;=LEFT('RFM input'!$G$60,4),"enter input",IF(LEFT(V$6,4)&gt;LEFT('RFM input'!$Q$60,4),0,IF(MATCH(V$6,'RFM input'!$H$60:$Q$60,0),INDEX('RFM input'!$K$7:$K$56,$A2552,1))))</f>
        <v>0</v>
      </c>
      <c r="W2553" s="1417">
        <f>IF(LEFT(W$6,4)&lt;=LEFT('RFM input'!$G$60,4),"enter input",IF(LEFT(W$6,4)&gt;LEFT('RFM input'!$Q$60,4),0,IF(MATCH(W$6,'RFM input'!$H$60:$Q$60,0),INDEX('RFM input'!$K$7:$K$56,$A2552,1))))</f>
        <v>0</v>
      </c>
      <c r="X2553" s="152"/>
      <c r="Y2553" s="152"/>
      <c r="Z2553" s="152"/>
      <c r="AA2553" s="152"/>
      <c r="AB2553" s="152"/>
    </row>
    <row r="2554" spans="1:28">
      <c r="A2554" s="152"/>
      <c r="B2554" s="177" t="s">
        <v>191</v>
      </c>
      <c r="C2554" s="1419"/>
      <c r="D2554" s="1420">
        <f ca="1">IF(LEFT(D$6,4)&lt;=LEFT('RFM input'!$G$60,4),"enter input",IF(LEFT(D$6,4)&gt;LEFT('RFM input'!$Q$60,4),0,IF(D$6=(OFFSET('RFM input'!$G$60,0,'RFM input'!$V$7)),OFFSET('RFM input'!$G$411,$A2552,0),0)))</f>
        <v>0</v>
      </c>
      <c r="E2554" s="1417">
        <f ca="1">IF(LEFT(E$6,4)&lt;=LEFT('RFM input'!$G$60,4),"enter input",IF(LEFT(E$6,4)&gt;LEFT('RFM input'!$Q$60,4),0,IF(E$6=(OFFSET('RFM input'!$G$60,0,'RFM input'!$V$7)),OFFSET('RFM input'!$G$411,$A2552,0),0)))</f>
        <v>0</v>
      </c>
      <c r="F2554" s="1417">
        <f ca="1">IF(LEFT(F$6,4)&lt;=LEFT('RFM input'!$G$60,4),"enter input",IF(LEFT(F$6,4)&gt;LEFT('RFM input'!$Q$60,4),0,IF(F$6=(OFFSET('RFM input'!$G$60,0,'RFM input'!$V$7)),OFFSET('RFM input'!$G$411,$A2552,0),0)))</f>
        <v>0</v>
      </c>
      <c r="G2554" s="1417">
        <f ca="1">IF(LEFT(G$6,4)&lt;=LEFT('RFM input'!$G$60,4),"enter input",IF(LEFT(G$6,4)&gt;LEFT('RFM input'!$Q$60,4),0,IF(G$6=(OFFSET('RFM input'!$G$60,0,'RFM input'!$V$7)),OFFSET('RFM input'!$G$411,$A2552,0),0)))</f>
        <v>0</v>
      </c>
      <c r="H2554" s="1417">
        <f ca="1">IF(LEFT(H$6,4)&lt;=LEFT('RFM input'!$G$60,4),"enter input",IF(LEFT(H$6,4)&gt;LEFT('RFM input'!$Q$60,4),0,IF(H$6=(OFFSET('RFM input'!$G$60,0,'RFM input'!$V$7)),OFFSET('RFM input'!$G$411,$A2552,0),0)))</f>
        <v>0</v>
      </c>
      <c r="I2554" s="1417">
        <f ca="1">IF(LEFT(I$6,4)&lt;=LEFT('RFM input'!$G$60,4),"enter input",IF(LEFT(I$6,4)&gt;LEFT('RFM input'!$Q$60,4),0,IF(I$6=(OFFSET('RFM input'!$G$60,0,'RFM input'!$V$7)),OFFSET('RFM input'!$G$411,$A2552,0),0)))</f>
        <v>0</v>
      </c>
      <c r="J2554" s="1417">
        <f ca="1">IF(LEFT(J$6,4)&lt;=LEFT('RFM input'!$G$60,4),"enter input",IF(LEFT(J$6,4)&gt;LEFT('RFM input'!$Q$60,4),0,IF(J$6=(OFFSET('RFM input'!$G$60,0,'RFM input'!$V$7)),OFFSET('RFM input'!$G$411,$A2552,0),0)))</f>
        <v>0</v>
      </c>
      <c r="K2554" s="1417">
        <f ca="1">IF(LEFT(K$6,4)&lt;=LEFT('RFM input'!$G$60,4),"enter input",IF(LEFT(K$6,4)&gt;LEFT('RFM input'!$Q$60,4),0,IF(K$6=(OFFSET('RFM input'!$G$60,0,'RFM input'!$V$7)),OFFSET('RFM input'!$G$411,$A2552,0),0)))</f>
        <v>0</v>
      </c>
      <c r="L2554" s="1417">
        <f ca="1">IF(LEFT(L$6,4)&lt;=LEFT('RFM input'!$G$60,4),"enter input",IF(LEFT(L$6,4)&gt;LEFT('RFM input'!$Q$60,4),0,IF(L$6=(OFFSET('RFM input'!$G$60,0,'RFM input'!$V$7)),OFFSET('RFM input'!$G$411,$A2552,0),0)))</f>
        <v>0</v>
      </c>
      <c r="M2554" s="1417">
        <f ca="1">IF(LEFT(M$6,4)&lt;=LEFT('RFM input'!$G$60,4),"enter input",IF(LEFT(M$6,4)&gt;LEFT('RFM input'!$Q$60,4),0,IF(M$6=(OFFSET('RFM input'!$G$60,0,'RFM input'!$V$7)),OFFSET('RFM input'!$G$411,$A2552,0),0)))</f>
        <v>0</v>
      </c>
      <c r="N2554" s="1417">
        <f ca="1">IF(LEFT(N$6,4)&lt;=LEFT('RFM input'!$G$60,4),"enter input",IF(LEFT(N$6,4)&gt;LEFT('RFM input'!$Q$60,4),0,IF(N$6=(OFFSET('RFM input'!$G$60,0,'RFM input'!$V$7)),OFFSET('RFM input'!$G$411,$A2552,0),0)))</f>
        <v>0</v>
      </c>
      <c r="O2554" s="1417">
        <f ca="1">IF(LEFT(O$6,4)&lt;=LEFT('RFM input'!$G$60,4),"enter input",IF(LEFT(O$6,4)&gt;LEFT('RFM input'!$Q$60,4),0,IF(O$6=(OFFSET('RFM input'!$G$60,0,'RFM input'!$V$7)),OFFSET('RFM input'!$G$411,$A2552,0),0)))</f>
        <v>0</v>
      </c>
      <c r="P2554" s="1417">
        <f ca="1">IF(LEFT(P$6,4)&lt;=LEFT('RFM input'!$G$60,4),"enter input",IF(LEFT(P$6,4)&gt;LEFT('RFM input'!$Q$60,4),0,IF(P$6=(OFFSET('RFM input'!$G$60,0,'RFM input'!$V$7)),OFFSET('RFM input'!$G$411,$A2552,0),0)))</f>
        <v>0</v>
      </c>
      <c r="Q2554" s="1417">
        <f ca="1">IF(LEFT(Q$6,4)&lt;=LEFT('RFM input'!$G$60,4),"enter input",IF(LEFT(Q$6,4)&gt;LEFT('RFM input'!$Q$60,4),0,IF(Q$6=(OFFSET('RFM input'!$G$60,0,'RFM input'!$V$7)),OFFSET('RFM input'!$G$411,$A2552,0),0)))</f>
        <v>0</v>
      </c>
      <c r="R2554" s="1417">
        <f ca="1">IF(LEFT(R$6,4)&lt;=LEFT('RFM input'!$G$60,4),"enter input",IF(LEFT(R$6,4)&gt;LEFT('RFM input'!$Q$60,4),0,IF(R$6=(OFFSET('RFM input'!$G$60,0,'RFM input'!$V$7)),OFFSET('RFM input'!$G$411,$A2552,0),0)))</f>
        <v>0</v>
      </c>
      <c r="S2554" s="1417">
        <f ca="1">IF(LEFT(S$6,4)&lt;=LEFT('RFM input'!$G$60,4),"enter input",IF(LEFT(S$6,4)&gt;LEFT('RFM input'!$Q$60,4),0,IF(S$6=(OFFSET('RFM input'!$G$60,0,'RFM input'!$V$7)),OFFSET('RFM input'!$G$411,$A2552,0),0)))</f>
        <v>0</v>
      </c>
      <c r="T2554" s="1417">
        <f ca="1">IF(LEFT(T$6,4)&lt;=LEFT('RFM input'!$G$60,4),"enter input",IF(LEFT(T$6,4)&gt;LEFT('RFM input'!$Q$60,4),0,IF(T$6=(OFFSET('RFM input'!$G$60,0,'RFM input'!$V$7)),OFFSET('RFM input'!$G$411,$A2552,0),0)))</f>
        <v>0</v>
      </c>
      <c r="U2554" s="1417">
        <f ca="1">IF(LEFT(U$6,4)&lt;=LEFT('RFM input'!$G$60,4),"enter input",IF(LEFT(U$6,4)&gt;LEFT('RFM input'!$Q$60,4),0,IF(U$6=(OFFSET('RFM input'!$G$60,0,'RFM input'!$V$7)),OFFSET('RFM input'!$G$411,$A2552,0),0)))</f>
        <v>0</v>
      </c>
      <c r="V2554" s="1417">
        <f ca="1">IF(LEFT(V$6,4)&lt;=LEFT('RFM input'!$G$60,4),"enter input",IF(LEFT(V$6,4)&gt;LEFT('RFM input'!$Q$60,4),0,IF(V$6=(OFFSET('RFM input'!$G$60,0,'RFM input'!$V$7)),OFFSET('RFM input'!$G$411,$A2552,0),0)))</f>
        <v>0</v>
      </c>
      <c r="W2554" s="1417">
        <f ca="1">IF(LEFT(W$6,4)&lt;=LEFT('RFM input'!$G$60,4),"enter input",IF(LEFT(W$6,4)&gt;LEFT('RFM input'!$Q$60,4),0,IF(W$6=(OFFSET('RFM input'!$G$60,0,'RFM input'!$V$7)),OFFSET('RFM input'!$G$411,$A2552,0),0)))</f>
        <v>0</v>
      </c>
      <c r="X2554" s="152"/>
      <c r="Y2554" s="152"/>
      <c r="Z2554" s="152"/>
      <c r="AA2554" s="152"/>
      <c r="AB2554" s="152"/>
    </row>
    <row r="2555" spans="1:28">
      <c r="A2555" s="152"/>
      <c r="B2555" s="195" t="s">
        <v>197</v>
      </c>
      <c r="C2555" s="1419"/>
      <c r="D2555" s="1418">
        <f ca="1">IF(LEFT(D$6,4)&lt;=LEFT('RFM input'!$G$60,4),"enter input",IF(LEFT(D$6,4)&gt;LEFT('RFM input'!$Q$60,4),0,IF(D$6=(OFFSET('RFM input'!$G$60,0,'RFM input'!$V$7)),OFFSET('RFM input'!$I$411,$A2552,0),0)))</f>
        <v>0</v>
      </c>
      <c r="E2555" s="1422">
        <f ca="1">IF(LEFT(E$6,4)&lt;=LEFT('RFM input'!$G$60,4),"enter input",IF(LEFT(E$6,4)&gt;LEFT('RFM input'!$Q$60,4),0,IF(E$6=(OFFSET('RFM input'!$G$60,0,'RFM input'!$V$7)),OFFSET('RFM input'!$I$411,$A2552,0),0)))</f>
        <v>0</v>
      </c>
      <c r="F2555" s="1422">
        <f ca="1">IF(LEFT(F$6,4)&lt;=LEFT('RFM input'!$G$60,4),"enter input",IF(LEFT(F$6,4)&gt;LEFT('RFM input'!$Q$60,4),0,IF(F$6=(OFFSET('RFM input'!$G$60,0,'RFM input'!$V$7)),OFFSET('RFM input'!$I$411,$A2552,0),0)))</f>
        <v>0</v>
      </c>
      <c r="G2555" s="1422">
        <f ca="1">IF(LEFT(G$6,4)&lt;=LEFT('RFM input'!$G$60,4),"enter input",IF(LEFT(G$6,4)&gt;LEFT('RFM input'!$Q$60,4),0,IF(G$6=(OFFSET('RFM input'!$G$60,0,'RFM input'!$V$7)),OFFSET('RFM input'!$I$411,$A2552,0),0)))</f>
        <v>0</v>
      </c>
      <c r="H2555" s="1422">
        <f ca="1">IF(LEFT(H$6,4)&lt;=LEFT('RFM input'!$G$60,4),"enter input",IF(LEFT(H$6,4)&gt;LEFT('RFM input'!$Q$60,4),0,IF(H$6=(OFFSET('RFM input'!$G$60,0,'RFM input'!$V$7)),OFFSET('RFM input'!$I$411,$A2552,0),0)))</f>
        <v>0</v>
      </c>
      <c r="I2555" s="1422">
        <f ca="1">IF(LEFT(I$6,4)&lt;=LEFT('RFM input'!$G$60,4),"enter input",IF(LEFT(I$6,4)&gt;LEFT('RFM input'!$Q$60,4),0,IF(I$6=(OFFSET('RFM input'!$G$60,0,'RFM input'!$V$7)),OFFSET('RFM input'!$I$411,$A2552,0),0)))</f>
        <v>0</v>
      </c>
      <c r="J2555" s="1422">
        <f ca="1">IF(LEFT(J$6,4)&lt;=LEFT('RFM input'!$G$60,4),"enter input",IF(LEFT(J$6,4)&gt;LEFT('RFM input'!$Q$60,4),0,IF(J$6=(OFFSET('RFM input'!$G$60,0,'RFM input'!$V$7)),OFFSET('RFM input'!$I$411,$A2552,0),0)))</f>
        <v>0</v>
      </c>
      <c r="K2555" s="1422">
        <f ca="1">IF(LEFT(K$6,4)&lt;=LEFT('RFM input'!$G$60,4),"enter input",IF(LEFT(K$6,4)&gt;LEFT('RFM input'!$Q$60,4),0,IF(K$6=(OFFSET('RFM input'!$G$60,0,'RFM input'!$V$7)),OFFSET('RFM input'!$I$411,$A2552,0),0)))</f>
        <v>0</v>
      </c>
      <c r="L2555" s="1422">
        <f ca="1">IF(LEFT(L$6,4)&lt;=LEFT('RFM input'!$G$60,4),"enter input",IF(LEFT(L$6,4)&gt;LEFT('RFM input'!$Q$60,4),0,IF(L$6=(OFFSET('RFM input'!$G$60,0,'RFM input'!$V$7)),OFFSET('RFM input'!$I$411,$A2552,0),0)))</f>
        <v>0</v>
      </c>
      <c r="M2555" s="1422">
        <f ca="1">IF(LEFT(M$6,4)&lt;=LEFT('RFM input'!$G$60,4),"enter input",IF(LEFT(M$6,4)&gt;LEFT('RFM input'!$Q$60,4),0,IF(M$6=(OFFSET('RFM input'!$G$60,0,'RFM input'!$V$7)),OFFSET('RFM input'!$I$411,$A2552,0),0)))</f>
        <v>0</v>
      </c>
      <c r="N2555" s="1422">
        <f ca="1">IF(LEFT(N$6,4)&lt;=LEFT('RFM input'!$G$60,4),"enter input",IF(LEFT(N$6,4)&gt;LEFT('RFM input'!$Q$60,4),0,IF(N$6=(OFFSET('RFM input'!$G$60,0,'RFM input'!$V$7)),OFFSET('RFM input'!$I$411,$A2552,0),0)))</f>
        <v>0</v>
      </c>
      <c r="O2555" s="1422">
        <f ca="1">IF(LEFT(O$6,4)&lt;=LEFT('RFM input'!$G$60,4),"enter input",IF(LEFT(O$6,4)&gt;LEFT('RFM input'!$Q$60,4),0,IF(O$6=(OFFSET('RFM input'!$G$60,0,'RFM input'!$V$7)),OFFSET('RFM input'!$I$411,$A2552,0),0)))</f>
        <v>0</v>
      </c>
      <c r="P2555" s="1422">
        <f ca="1">IF(LEFT(P$6,4)&lt;=LEFT('RFM input'!$G$60,4),"enter input",IF(LEFT(P$6,4)&gt;LEFT('RFM input'!$Q$60,4),0,IF(P$6=(OFFSET('RFM input'!$G$60,0,'RFM input'!$V$7)),OFFSET('RFM input'!$I$411,$A2552,0),0)))</f>
        <v>0</v>
      </c>
      <c r="Q2555" s="1422">
        <f ca="1">IF(LEFT(Q$6,4)&lt;=LEFT('RFM input'!$G$60,4),"enter input",IF(LEFT(Q$6,4)&gt;LEFT('RFM input'!$Q$60,4),0,IF(Q$6=(OFFSET('RFM input'!$G$60,0,'RFM input'!$V$7)),OFFSET('RFM input'!$I$411,$A2552,0),0)))</f>
        <v>0</v>
      </c>
      <c r="R2555" s="1422">
        <f ca="1">IF(LEFT(R$6,4)&lt;=LEFT('RFM input'!$G$60,4),"enter input",IF(LEFT(R$6,4)&gt;LEFT('RFM input'!$Q$60,4),0,IF(R$6=(OFFSET('RFM input'!$G$60,0,'RFM input'!$V$7)),OFFSET('RFM input'!$I$411,$A2552,0),0)))</f>
        <v>0</v>
      </c>
      <c r="S2555" s="1422">
        <f ca="1">IF(LEFT(S$6,4)&lt;=LEFT('RFM input'!$G$60,4),"enter input",IF(LEFT(S$6,4)&gt;LEFT('RFM input'!$Q$60,4),0,IF(S$6=(OFFSET('RFM input'!$G$60,0,'RFM input'!$V$7)),OFFSET('RFM input'!$I$411,$A2552,0),0)))</f>
        <v>0</v>
      </c>
      <c r="T2555" s="1422">
        <f ca="1">IF(LEFT(T$6,4)&lt;=LEFT('RFM input'!$G$60,4),"enter input",IF(LEFT(T$6,4)&gt;LEFT('RFM input'!$Q$60,4),0,IF(T$6=(OFFSET('RFM input'!$G$60,0,'RFM input'!$V$7)),OFFSET('RFM input'!$I$411,$A2552,0),0)))</f>
        <v>0</v>
      </c>
      <c r="U2555" s="1422">
        <f ca="1">IF(LEFT(U$6,4)&lt;=LEFT('RFM input'!$G$60,4),"enter input",IF(LEFT(U$6,4)&gt;LEFT('RFM input'!$Q$60,4),0,IF(U$6=(OFFSET('RFM input'!$G$60,0,'RFM input'!$V$7)),OFFSET('RFM input'!$I$411,$A2552,0),0)))</f>
        <v>0</v>
      </c>
      <c r="V2555" s="1422">
        <f ca="1">IF(LEFT(V$6,4)&lt;=LEFT('RFM input'!$G$60,4),"enter input",IF(LEFT(V$6,4)&gt;LEFT('RFM input'!$Q$60,4),0,IF(V$6=(OFFSET('RFM input'!$G$60,0,'RFM input'!$V$7)),OFFSET('RFM input'!$I$411,$A2552,0),0)))</f>
        <v>0</v>
      </c>
      <c r="W2555" s="1422">
        <f ca="1">IF(LEFT(W$6,4)&lt;=LEFT('RFM input'!$G$60,4),"enter input",IF(LEFT(W$6,4)&gt;LEFT('RFM input'!$Q$60,4),0,IF(W$6=(OFFSET('RFM input'!$G$60,0,'RFM input'!$V$7)),OFFSET('RFM input'!$I$411,$A2552,0),0)))</f>
        <v>0</v>
      </c>
      <c r="X2555" s="152"/>
      <c r="Y2555" s="152"/>
      <c r="Z2555" s="152"/>
      <c r="AA2555" s="152"/>
      <c r="AB2555" s="152"/>
    </row>
    <row r="2556" spans="1:28" hidden="1" outlineLevel="1">
      <c r="A2556" s="235">
        <v>-1</v>
      </c>
      <c r="B2556" s="190" t="s">
        <v>189</v>
      </c>
      <c r="C2556" s="1423"/>
      <c r="D2556" s="1423">
        <f ca="1">IF(AND(D2554=0,C2556=0),0,
IF(AND(D2554&lt;&gt;0,C2556=0),(D2554/D$10),
IF(AND(D2555&lt;&gt;0,C2556&lt;&gt;0),(C2556-(C2556/C2580))+(D2554/D$10),
IF(C2580&lt;1,0,(C2556-(C2556/C2580))))))</f>
        <v>0</v>
      </c>
      <c r="E2556" s="1423">
        <f t="shared" ref="E2556" ca="1" si="3772">IF(AND(E2554=0,D2556=0),0,
IF(AND(E2554&lt;&gt;0,D2556=0),(E2554/E$10),
IF(AND(E2555&lt;&gt;0,D2556&lt;&gt;0),(D2556-(D2556/D2580))+(E2554/E$10),
IF(D2580&lt;1,0,(D2556-(D2556/D2580))))))</f>
        <v>0</v>
      </c>
      <c r="F2556" s="1423">
        <f t="shared" ref="F2556" ca="1" si="3773">IF(AND(F2554=0,E2556=0),0,
IF(AND(F2554&lt;&gt;0,E2556=0),(F2554/F$10),
IF(AND(F2555&lt;&gt;0,E2556&lt;&gt;0),(E2556-(E2556/E2580))+(F2554/F$10),
IF(E2580&lt;1,0,(E2556-(E2556/E2580))))))</f>
        <v>0</v>
      </c>
      <c r="G2556" s="1423">
        <f t="shared" ref="G2556" ca="1" si="3774">IF(AND(G2554=0,F2556=0),0,
IF(AND(G2554&lt;&gt;0,F2556=0),(G2554/G$10),
IF(AND(G2555&lt;&gt;0,F2556&lt;&gt;0),(F2556-(F2556/F2580))+(G2554/G$10),
IF(F2580&lt;1,0,(F2556-(F2556/F2580))))))</f>
        <v>0</v>
      </c>
      <c r="H2556" s="1423">
        <f t="shared" ref="H2556" ca="1" si="3775">IF(AND(H2554=0,G2556=0),0,
IF(AND(H2554&lt;&gt;0,G2556=0),(H2554/H$10),
IF(AND(H2555&lt;&gt;0,G2556&lt;&gt;0),(G2556-(G2556/G2580))+(H2554/H$10),
IF(G2580&lt;1,0,(G2556-(G2556/G2580))))))</f>
        <v>0</v>
      </c>
      <c r="I2556" s="1423">
        <f t="shared" ref="I2556" ca="1" si="3776">IF(AND(I2554=0,H2556=0),0,
IF(AND(I2554&lt;&gt;0,H2556=0),(I2554/I$10),
IF(AND(I2555&lt;&gt;0,H2556&lt;&gt;0),(H2556-(H2556/H2580))+(I2554/I$10),
IF(H2580&lt;1,0,(H2556-(H2556/H2580))))))</f>
        <v>0</v>
      </c>
      <c r="J2556" s="1423">
        <f t="shared" ref="J2556" ca="1" si="3777">IF(AND(J2554=0,I2556=0),0,
IF(AND(J2554&lt;&gt;0,I2556=0),(J2554/J$10),
IF(AND(J2555&lt;&gt;0,I2556&lt;&gt;0),(I2556-(I2556/I2580))+(J2554/J$10),
IF(I2580&lt;1,0,(I2556-(I2556/I2580))))))</f>
        <v>0</v>
      </c>
      <c r="K2556" s="1423">
        <f t="shared" ref="K2556" ca="1" si="3778">IF(AND(K2554=0,J2556=0),0,
IF(AND(K2554&lt;&gt;0,J2556=0),(K2554/K$10),
IF(AND(K2555&lt;&gt;0,J2556&lt;&gt;0),(J2556-(J2556/J2580))+(K2554/K$10),
IF(J2580&lt;1,0,(J2556-(J2556/J2580))))))</f>
        <v>0</v>
      </c>
      <c r="L2556" s="1423">
        <f t="shared" ref="L2556" ca="1" si="3779">IF(AND(L2554=0,K2556=0),0,
IF(AND(L2554&lt;&gt;0,K2556=0),(L2554/L$10),
IF(AND(L2555&lt;&gt;0,K2556&lt;&gt;0),(K2556-(K2556/K2580))+(L2554/L$10),
IF(K2580&lt;1,0,(K2556-(K2556/K2580))))))</f>
        <v>0</v>
      </c>
      <c r="M2556" s="1423">
        <f t="shared" ref="M2556" ca="1" si="3780">IF(AND(M2554=0,L2556=0),0,
IF(AND(M2554&lt;&gt;0,L2556=0),(M2554/M$10),
IF(AND(M2555&lt;&gt;0,L2556&lt;&gt;0),(L2556-(L2556/L2580))+(M2554/M$10),
IF(L2580&lt;1,0,(L2556-(L2556/L2580))))))</f>
        <v>0</v>
      </c>
      <c r="N2556" s="1423">
        <f t="shared" ref="N2556" ca="1" si="3781">IF(AND(N2554=0,M2556=0),0,
IF(AND(N2554&lt;&gt;0,M2556=0),(N2554/N$10),
IF(AND(N2555&lt;&gt;0,M2556&lt;&gt;0),(M2556-(M2556/M2580))+(N2554/N$10),
IF(M2580&lt;1,0,(M2556-(M2556/M2580))))))</f>
        <v>0</v>
      </c>
      <c r="O2556" s="1423">
        <f t="shared" ref="O2556" ca="1" si="3782">IF(AND(O2554=0,N2556=0),0,
IF(AND(O2554&lt;&gt;0,N2556=0),(O2554/O$10),
IF(AND(O2555&lt;&gt;0,N2556&lt;&gt;0),(N2556-(N2556/N2580))+(O2554/O$10),
IF(N2580&lt;1,0,(N2556-(N2556/N2580))))))</f>
        <v>0</v>
      </c>
      <c r="P2556" s="1423">
        <f t="shared" ref="P2556" ca="1" si="3783">IF(AND(P2554=0,O2556=0),0,
IF(AND(P2554&lt;&gt;0,O2556=0),(P2554/P$10),
IF(AND(P2555&lt;&gt;0,O2556&lt;&gt;0),(O2556-(O2556/O2580))+(P2554/P$10),
IF(O2580&lt;1,0,(O2556-(O2556/O2580))))))</f>
        <v>0</v>
      </c>
      <c r="Q2556" s="1423">
        <f t="shared" ref="Q2556" ca="1" si="3784">IF(AND(Q2554=0,P2556=0),0,
IF(AND(Q2554&lt;&gt;0,P2556=0),(Q2554/Q$10),
IF(AND(Q2555&lt;&gt;0,P2556&lt;&gt;0),(P2556-(P2556/P2580))+(Q2554/Q$10),
IF(P2580&lt;1,0,(P2556-(P2556/P2580))))))</f>
        <v>0</v>
      </c>
      <c r="R2556" s="1423">
        <f t="shared" ref="R2556" ca="1" si="3785">IF(AND(R2554=0,Q2556=0),0,
IF(AND(R2554&lt;&gt;0,Q2556=0),(R2554/R$10),
IF(AND(R2555&lt;&gt;0,Q2556&lt;&gt;0),(Q2556-(Q2556/Q2580))+(R2554/R$10),
IF(Q2580&lt;1,0,(Q2556-(Q2556/Q2580))))))</f>
        <v>0</v>
      </c>
      <c r="S2556" s="1423">
        <f t="shared" ref="S2556" ca="1" si="3786">IF(AND(S2554=0,R2556=0),0,
IF(AND(S2554&lt;&gt;0,R2556=0),(S2554/S$10),
IF(AND(S2555&lt;&gt;0,R2556&lt;&gt;0),(R2556-(R2556/R2580))+(S2554/S$10),
IF(R2580&lt;1,0,(R2556-(R2556/R2580))))))</f>
        <v>0</v>
      </c>
      <c r="T2556" s="1423">
        <f t="shared" ref="T2556" ca="1" si="3787">IF(AND(T2554=0,S2556=0),0,
IF(AND(T2554&lt;&gt;0,S2556=0),(T2554/T$10),
IF(AND(T2555&lt;&gt;0,S2556&lt;&gt;0),(S2556-(S2556/S2580))+(T2554/T$10),
IF(S2580&lt;1,0,(S2556-(S2556/S2580))))))</f>
        <v>0</v>
      </c>
      <c r="U2556" s="1423">
        <f t="shared" ref="U2556" ca="1" si="3788">IF(AND(U2554=0,T2556=0),0,
IF(AND(U2554&lt;&gt;0,T2556=0),(U2554/U$10),
IF(AND(U2555&lt;&gt;0,T2556&lt;&gt;0),(T2556-(T2556/T2580))+(U2554/U$10),
IF(T2580&lt;1,0,(T2556-(T2556/T2580))))))</f>
        <v>0</v>
      </c>
      <c r="V2556" s="1423">
        <f t="shared" ref="V2556" ca="1" si="3789">IF(AND(V2554=0,U2556=0),0,
IF(AND(V2554&lt;&gt;0,U2556=0),(V2554/V$10),
IF(AND(V2555&lt;&gt;0,U2556&lt;&gt;0),(U2556-(U2556/U2580))+(V2554/V$10),
IF(U2580&lt;1,0,(U2556-(U2556/U2580))))))</f>
        <v>0</v>
      </c>
      <c r="W2556" s="1423">
        <f t="shared" ref="W2556" ca="1" si="3790">IF(AND(W2554=0,V2556=0),0,
IF(AND(W2554&lt;&gt;0,V2556=0),(W2554/W$10),
IF(AND(W2555&lt;&gt;0,V2556&lt;&gt;0),(V2556-(V2556/V2580))+(W2554/W$10),
IF(V2580&lt;1,0,(V2556-(V2556/V2580))))))</f>
        <v>0</v>
      </c>
      <c r="X2556" s="152"/>
      <c r="Y2556" s="152"/>
      <c r="Z2556" s="152"/>
      <c r="AA2556" s="152"/>
      <c r="AB2556" s="152"/>
    </row>
    <row r="2557" spans="1:28" hidden="1" outlineLevel="1">
      <c r="A2557" s="199">
        <f>A2556+1</f>
        <v>0</v>
      </c>
      <c r="B2557" s="190" t="s">
        <v>125</v>
      </c>
      <c r="C2557" s="1423">
        <f ca="1">C2552/C$10</f>
        <v>0</v>
      </c>
      <c r="D2557" s="1423">
        <f ca="1">IF(C2581="n/a",C2557,IFERROR(IF((OFFSET($C2557,0,$A2557))&lt;0,
MIN(0,C2557-(OFFSET($C2557,0,$A2557)/(OFFSET($C2552,-$A2556,$A2557)))),
MAX(0,C2557-(OFFSET($C2557,0,$A2557)/(OFFSET($C2552,-$A2556,$A2557))))),0))</f>
        <v>0</v>
      </c>
      <c r="E2557" s="1423">
        <f t="shared" ref="E2557" ca="1" si="3791">IF(D2581="n/a",D2557,IFERROR(IF((OFFSET($C2557,0,$A2557))&lt;0,
MIN(0,D2557-(OFFSET($C2557,0,$A2557)/(OFFSET($C2552,-$A2556,$A2557)))),
MAX(0,D2557-(OFFSET($C2557,0,$A2557)/(OFFSET($C2552,-$A2556,$A2557))))),0))</f>
        <v>0</v>
      </c>
      <c r="F2557" s="1423">
        <f t="shared" ref="F2557:F2558" ca="1" si="3792">IF(E2581="n/a",E2557,IFERROR(IF((OFFSET($C2557,0,$A2557))&lt;0,
MIN(0,E2557-(OFFSET($C2557,0,$A2557)/(OFFSET($C2552,-$A2556,$A2557)))),
MAX(0,E2557-(OFFSET($C2557,0,$A2557)/(OFFSET($C2552,-$A2556,$A2557))))),0))</f>
        <v>0</v>
      </c>
      <c r="G2557" s="1423">
        <f t="shared" ref="G2557:G2559" ca="1" si="3793">IF(F2581="n/a",F2557,IFERROR(IF((OFFSET($C2557,0,$A2557))&lt;0,
MIN(0,F2557-(OFFSET($C2557,0,$A2557)/(OFFSET($C2552,-$A2556,$A2557)))),
MAX(0,F2557-(OFFSET($C2557,0,$A2557)/(OFFSET($C2552,-$A2556,$A2557))))),0))</f>
        <v>0</v>
      </c>
      <c r="H2557" s="1423">
        <f t="shared" ref="H2557:H2560" ca="1" si="3794">IF(G2581="n/a",G2557,IFERROR(IF((OFFSET($C2557,0,$A2557))&lt;0,
MIN(0,G2557-(OFFSET($C2557,0,$A2557)/(OFFSET($C2552,-$A2556,$A2557)))),
MAX(0,G2557-(OFFSET($C2557,0,$A2557)/(OFFSET($C2552,-$A2556,$A2557))))),0))</f>
        <v>0</v>
      </c>
      <c r="I2557" s="1423">
        <f t="shared" ref="I2557:I2561" ca="1" si="3795">IF(H2581="n/a",H2557,IFERROR(IF((OFFSET($C2557,0,$A2557))&lt;0,
MIN(0,H2557-(OFFSET($C2557,0,$A2557)/(OFFSET($C2552,-$A2556,$A2557)))),
MAX(0,H2557-(OFFSET($C2557,0,$A2557)/(OFFSET($C2552,-$A2556,$A2557))))),0))</f>
        <v>0</v>
      </c>
      <c r="J2557" s="1423">
        <f t="shared" ref="J2557:J2562" ca="1" si="3796">IF(I2581="n/a",I2557,IFERROR(IF((OFFSET($C2557,0,$A2557))&lt;0,
MIN(0,I2557-(OFFSET($C2557,0,$A2557)/(OFFSET($C2552,-$A2556,$A2557)))),
MAX(0,I2557-(OFFSET($C2557,0,$A2557)/(OFFSET($C2552,-$A2556,$A2557))))),0))</f>
        <v>0</v>
      </c>
      <c r="K2557" s="1423">
        <f t="shared" ref="K2557:K2563" ca="1" si="3797">IF(J2581="n/a",J2557,IFERROR(IF((OFFSET($C2557,0,$A2557))&lt;0,
MIN(0,J2557-(OFFSET($C2557,0,$A2557)/(OFFSET($C2552,-$A2556,$A2557)))),
MAX(0,J2557-(OFFSET($C2557,0,$A2557)/(OFFSET($C2552,-$A2556,$A2557))))),0))</f>
        <v>0</v>
      </c>
      <c r="L2557" s="1423">
        <f t="shared" ref="L2557:L2564" ca="1" si="3798">IF(K2581="n/a",K2557,IFERROR(IF((OFFSET($C2557,0,$A2557))&lt;0,
MIN(0,K2557-(OFFSET($C2557,0,$A2557)/(OFFSET($C2552,-$A2556,$A2557)))),
MAX(0,K2557-(OFFSET($C2557,0,$A2557)/(OFFSET($C2552,-$A2556,$A2557))))),0))</f>
        <v>0</v>
      </c>
      <c r="M2557" s="1423">
        <f t="shared" ref="M2557:M2565" ca="1" si="3799">IF(L2581="n/a",L2557,IFERROR(IF((OFFSET($C2557,0,$A2557))&lt;0,
MIN(0,L2557-(OFFSET($C2557,0,$A2557)/(OFFSET($C2552,-$A2556,$A2557)))),
MAX(0,L2557-(OFFSET($C2557,0,$A2557)/(OFFSET($C2552,-$A2556,$A2557))))),0))</f>
        <v>0</v>
      </c>
      <c r="N2557" s="1423">
        <f t="shared" ref="N2557:N2566" ca="1" si="3800">IF(M2581="n/a",M2557,IFERROR(IF((OFFSET($C2557,0,$A2557))&lt;0,
MIN(0,M2557-(OFFSET($C2557,0,$A2557)/(OFFSET($C2552,-$A2556,$A2557)))),
MAX(0,M2557-(OFFSET($C2557,0,$A2557)/(OFFSET($C2552,-$A2556,$A2557))))),0))</f>
        <v>0</v>
      </c>
      <c r="O2557" s="1423">
        <f t="shared" ref="O2557:O2567" ca="1" si="3801">IF(N2581="n/a",N2557,IFERROR(IF((OFFSET($C2557,0,$A2557))&lt;0,
MIN(0,N2557-(OFFSET($C2557,0,$A2557)/(OFFSET($C2552,-$A2556,$A2557)))),
MAX(0,N2557-(OFFSET($C2557,0,$A2557)/(OFFSET($C2552,-$A2556,$A2557))))),0))</f>
        <v>0</v>
      </c>
      <c r="P2557" s="1423">
        <f t="shared" ref="P2557:P2568" ca="1" si="3802">IF(O2581="n/a",O2557,IFERROR(IF((OFFSET($C2557,0,$A2557))&lt;0,
MIN(0,O2557-(OFFSET($C2557,0,$A2557)/(OFFSET($C2552,-$A2556,$A2557)))),
MAX(0,O2557-(OFFSET($C2557,0,$A2557)/(OFFSET($C2552,-$A2556,$A2557))))),0))</f>
        <v>0</v>
      </c>
      <c r="Q2557" s="1423">
        <f t="shared" ref="Q2557:Q2569" ca="1" si="3803">IF(P2581="n/a",P2557,IFERROR(IF((OFFSET($C2557,0,$A2557))&lt;0,
MIN(0,P2557-(OFFSET($C2557,0,$A2557)/(OFFSET($C2552,-$A2556,$A2557)))),
MAX(0,P2557-(OFFSET($C2557,0,$A2557)/(OFFSET($C2552,-$A2556,$A2557))))),0))</f>
        <v>0</v>
      </c>
      <c r="R2557" s="1423">
        <f t="shared" ref="R2557:R2570" ca="1" si="3804">IF(Q2581="n/a",Q2557,IFERROR(IF((OFFSET($C2557,0,$A2557))&lt;0,
MIN(0,Q2557-(OFFSET($C2557,0,$A2557)/(OFFSET($C2552,-$A2556,$A2557)))),
MAX(0,Q2557-(OFFSET($C2557,0,$A2557)/(OFFSET($C2552,-$A2556,$A2557))))),0))</f>
        <v>0</v>
      </c>
      <c r="S2557" s="1423">
        <f t="shared" ref="S2557:S2571" ca="1" si="3805">IF(R2581="n/a",R2557,IFERROR(IF((OFFSET($C2557,0,$A2557))&lt;0,
MIN(0,R2557-(OFFSET($C2557,0,$A2557)/(OFFSET($C2552,-$A2556,$A2557)))),
MAX(0,R2557-(OFFSET($C2557,0,$A2557)/(OFFSET($C2552,-$A2556,$A2557))))),0))</f>
        <v>0</v>
      </c>
      <c r="T2557" s="1423">
        <f t="shared" ref="T2557:T2572" ca="1" si="3806">IF(S2581="n/a",S2557,IFERROR(IF((OFFSET($C2557,0,$A2557))&lt;0,
MIN(0,S2557-(OFFSET($C2557,0,$A2557)/(OFFSET($C2552,-$A2556,$A2557)))),
MAX(0,S2557-(OFFSET($C2557,0,$A2557)/(OFFSET($C2552,-$A2556,$A2557))))),0))</f>
        <v>0</v>
      </c>
      <c r="U2557" s="1423">
        <f t="shared" ref="U2557:U2573" ca="1" si="3807">IF(T2581="n/a",T2557,IFERROR(IF((OFFSET($C2557,0,$A2557))&lt;0,
MIN(0,T2557-(OFFSET($C2557,0,$A2557)/(OFFSET($C2552,-$A2556,$A2557)))),
MAX(0,T2557-(OFFSET($C2557,0,$A2557)/(OFFSET($C2552,-$A2556,$A2557))))),0))</f>
        <v>0</v>
      </c>
      <c r="V2557" s="1423">
        <f t="shared" ref="V2557:V2574" ca="1" si="3808">IF(U2581="n/a",U2557,IFERROR(IF((OFFSET($C2557,0,$A2557))&lt;0,
MIN(0,U2557-(OFFSET($C2557,0,$A2557)/(OFFSET($C2552,-$A2556,$A2557)))),
MAX(0,U2557-(OFFSET($C2557,0,$A2557)/(OFFSET($C2552,-$A2556,$A2557))))),0))</f>
        <v>0</v>
      </c>
      <c r="W2557" s="1423">
        <f t="shared" ref="W2557:W2575" ca="1" si="3809">IF(V2581="n/a",V2557,IFERROR(IF((OFFSET($C2557,0,$A2557))&lt;0,
MIN(0,V2557-(OFFSET($C2557,0,$A2557)/(OFFSET($C2552,-$A2556,$A2557)))),
MAX(0,V2557-(OFFSET($C2557,0,$A2557)/(OFFSET($C2552,-$A2556,$A2557))))),0))</f>
        <v>0</v>
      </c>
      <c r="X2557" s="152"/>
      <c r="Y2557" s="152"/>
      <c r="Z2557" s="152"/>
      <c r="AA2557" s="152"/>
      <c r="AB2557" s="152"/>
    </row>
    <row r="2558" spans="1:28" hidden="1" outlineLevel="1">
      <c r="A2558" s="199">
        <f t="shared" ref="A2558:A2577" si="3810">A2557+1</f>
        <v>1</v>
      </c>
      <c r="B2558" s="190" t="str">
        <f t="shared" ref="B2558:B2576" ca="1" si="3811">"Depreciated Net Capex "&amp;OFFSET($C$6,0,A2558)</f>
        <v>Depreciated Net Capex 2016-17</v>
      </c>
      <c r="C2558" s="1424"/>
      <c r="D2558" s="1425">
        <f>(D2552*((1+D$11)^0.5)/D$10)</f>
        <v>0</v>
      </c>
      <c r="E2558" s="1423">
        <f ca="1">IF(D2582="n/a",D2558,IFERROR(IF((OFFSET($C2558,0,$A2558))&lt;0,
MIN(0,D2558-(OFFSET($C2558,0,$A2558)/(OFFSET($C2553,-$A2557,$A2558)))),
MAX(0,D2558-(OFFSET($C2558,0,$A2558)/(OFFSET($C2553,-$A2557,$A2558))))),0))</f>
        <v>0</v>
      </c>
      <c r="F2558" s="1423">
        <f t="shared" ca="1" si="3792"/>
        <v>0</v>
      </c>
      <c r="G2558" s="1423">
        <f t="shared" ca="1" si="3793"/>
        <v>0</v>
      </c>
      <c r="H2558" s="1423">
        <f t="shared" ca="1" si="3794"/>
        <v>0</v>
      </c>
      <c r="I2558" s="1423">
        <f t="shared" ca="1" si="3795"/>
        <v>0</v>
      </c>
      <c r="J2558" s="1423">
        <f t="shared" ca="1" si="3796"/>
        <v>0</v>
      </c>
      <c r="K2558" s="1423">
        <f t="shared" ca="1" si="3797"/>
        <v>0</v>
      </c>
      <c r="L2558" s="1423">
        <f t="shared" ca="1" si="3798"/>
        <v>0</v>
      </c>
      <c r="M2558" s="1423">
        <f t="shared" ca="1" si="3799"/>
        <v>0</v>
      </c>
      <c r="N2558" s="1423">
        <f t="shared" ca="1" si="3800"/>
        <v>0</v>
      </c>
      <c r="O2558" s="1423">
        <f t="shared" ca="1" si="3801"/>
        <v>0</v>
      </c>
      <c r="P2558" s="1423">
        <f t="shared" ca="1" si="3802"/>
        <v>0</v>
      </c>
      <c r="Q2558" s="1423">
        <f t="shared" ca="1" si="3803"/>
        <v>0</v>
      </c>
      <c r="R2558" s="1423">
        <f t="shared" ca="1" si="3804"/>
        <v>0</v>
      </c>
      <c r="S2558" s="1423">
        <f t="shared" ca="1" si="3805"/>
        <v>0</v>
      </c>
      <c r="T2558" s="1423">
        <f t="shared" ca="1" si="3806"/>
        <v>0</v>
      </c>
      <c r="U2558" s="1423">
        <f t="shared" ca="1" si="3807"/>
        <v>0</v>
      </c>
      <c r="V2558" s="1423">
        <f t="shared" ca="1" si="3808"/>
        <v>0</v>
      </c>
      <c r="W2558" s="1423">
        <f t="shared" ca="1" si="3809"/>
        <v>0</v>
      </c>
      <c r="X2558" s="152"/>
      <c r="Y2558" s="152"/>
      <c r="Z2558" s="152"/>
      <c r="AA2558" s="152"/>
      <c r="AB2558" s="152"/>
    </row>
    <row r="2559" spans="1:28" hidden="1" outlineLevel="1">
      <c r="A2559" s="199">
        <f t="shared" si="3810"/>
        <v>2</v>
      </c>
      <c r="B2559" s="190" t="str">
        <f t="shared" ca="1" si="3811"/>
        <v>Depreciated Net Capex 2017-18</v>
      </c>
      <c r="C2559" s="1426"/>
      <c r="D2559" s="1427"/>
      <c r="E2559" s="1425">
        <f>(E2552*((1+E$11)^0.5)/E$10)</f>
        <v>0</v>
      </c>
      <c r="F2559" s="1423">
        <f ca="1">IF(E2583="n/a",E2559,IFERROR(IF((OFFSET($C2559,0,$A2559))&lt;0,
MIN(0,E2559-(OFFSET($C2559,0,$A2559)/(OFFSET($C2554,-$A2558,$A2559)))),
MAX(0,E2559-(OFFSET($C2559,0,$A2559)/(OFFSET($C2554,-$A2558,$A2559))))),0))</f>
        <v>0</v>
      </c>
      <c r="G2559" s="1423">
        <f t="shared" ca="1" si="3793"/>
        <v>0</v>
      </c>
      <c r="H2559" s="1423">
        <f t="shared" ca="1" si="3794"/>
        <v>0</v>
      </c>
      <c r="I2559" s="1423">
        <f t="shared" ca="1" si="3795"/>
        <v>0</v>
      </c>
      <c r="J2559" s="1423">
        <f t="shared" ca="1" si="3796"/>
        <v>0</v>
      </c>
      <c r="K2559" s="1423">
        <f t="shared" ca="1" si="3797"/>
        <v>0</v>
      </c>
      <c r="L2559" s="1423">
        <f t="shared" ca="1" si="3798"/>
        <v>0</v>
      </c>
      <c r="M2559" s="1423">
        <f t="shared" ca="1" si="3799"/>
        <v>0</v>
      </c>
      <c r="N2559" s="1423">
        <f t="shared" ca="1" si="3800"/>
        <v>0</v>
      </c>
      <c r="O2559" s="1423">
        <f t="shared" ca="1" si="3801"/>
        <v>0</v>
      </c>
      <c r="P2559" s="1423">
        <f t="shared" ca="1" si="3802"/>
        <v>0</v>
      </c>
      <c r="Q2559" s="1423">
        <f t="shared" ca="1" si="3803"/>
        <v>0</v>
      </c>
      <c r="R2559" s="1423">
        <f t="shared" ca="1" si="3804"/>
        <v>0</v>
      </c>
      <c r="S2559" s="1423">
        <f t="shared" ca="1" si="3805"/>
        <v>0</v>
      </c>
      <c r="T2559" s="1423">
        <f t="shared" ca="1" si="3806"/>
        <v>0</v>
      </c>
      <c r="U2559" s="1423">
        <f t="shared" ca="1" si="3807"/>
        <v>0</v>
      </c>
      <c r="V2559" s="1423">
        <f t="shared" ca="1" si="3808"/>
        <v>0</v>
      </c>
      <c r="W2559" s="1423">
        <f t="shared" ca="1" si="3809"/>
        <v>0</v>
      </c>
      <c r="X2559" s="202"/>
      <c r="Y2559" s="152"/>
      <c r="Z2559" s="152"/>
      <c r="AA2559" s="152"/>
      <c r="AB2559" s="152"/>
    </row>
    <row r="2560" spans="1:28" hidden="1" outlineLevel="1">
      <c r="A2560" s="199">
        <f t="shared" si="3810"/>
        <v>3</v>
      </c>
      <c r="B2560" s="190" t="str">
        <f t="shared" ca="1" si="3811"/>
        <v>Depreciated Net Capex 2018-19</v>
      </c>
      <c r="C2560" s="1426"/>
      <c r="D2560" s="1426"/>
      <c r="E2560" s="1427"/>
      <c r="F2560" s="1428">
        <f>($F2552*((1+F$11)^0.5)/F$10)</f>
        <v>0</v>
      </c>
      <c r="G2560" s="1423">
        <f ca="1">IF(F2584="n/a",F2560,IFERROR(IF((OFFSET($C2560,0,$A2560))&lt;0,
MIN(0,F2560-(OFFSET($C2560,0,$A2560)/(OFFSET($C2555,-$A2559,$A2560)))),
MAX(0,F2560-(OFFSET($C2560,0,$A2560)/(OFFSET($C2555,-$A2559,$A2560))))),0))</f>
        <v>0</v>
      </c>
      <c r="H2560" s="1423">
        <f t="shared" ca="1" si="3794"/>
        <v>0</v>
      </c>
      <c r="I2560" s="1423">
        <f t="shared" ca="1" si="3795"/>
        <v>0</v>
      </c>
      <c r="J2560" s="1423">
        <f t="shared" ca="1" si="3796"/>
        <v>0</v>
      </c>
      <c r="K2560" s="1423">
        <f t="shared" ca="1" si="3797"/>
        <v>0</v>
      </c>
      <c r="L2560" s="1423">
        <f t="shared" ca="1" si="3798"/>
        <v>0</v>
      </c>
      <c r="M2560" s="1423">
        <f t="shared" ca="1" si="3799"/>
        <v>0</v>
      </c>
      <c r="N2560" s="1423">
        <f t="shared" ca="1" si="3800"/>
        <v>0</v>
      </c>
      <c r="O2560" s="1423">
        <f t="shared" ca="1" si="3801"/>
        <v>0</v>
      </c>
      <c r="P2560" s="1423">
        <f t="shared" ca="1" si="3802"/>
        <v>0</v>
      </c>
      <c r="Q2560" s="1423">
        <f t="shared" ca="1" si="3803"/>
        <v>0</v>
      </c>
      <c r="R2560" s="1423">
        <f t="shared" ca="1" si="3804"/>
        <v>0</v>
      </c>
      <c r="S2560" s="1423">
        <f t="shared" ca="1" si="3805"/>
        <v>0</v>
      </c>
      <c r="T2560" s="1423">
        <f t="shared" ca="1" si="3806"/>
        <v>0</v>
      </c>
      <c r="U2560" s="1423">
        <f t="shared" ca="1" si="3807"/>
        <v>0</v>
      </c>
      <c r="V2560" s="1423">
        <f t="shared" ca="1" si="3808"/>
        <v>0</v>
      </c>
      <c r="W2560" s="1423">
        <f t="shared" ca="1" si="3809"/>
        <v>0</v>
      </c>
      <c r="X2560" s="202"/>
      <c r="Y2560" s="202"/>
      <c r="Z2560" s="152"/>
      <c r="AA2560" s="152"/>
      <c r="AB2560" s="152"/>
    </row>
    <row r="2561" spans="1:28" hidden="1" outlineLevel="1">
      <c r="A2561" s="199">
        <f t="shared" si="3810"/>
        <v>4</v>
      </c>
      <c r="B2561" s="190" t="str">
        <f t="shared" ca="1" si="3811"/>
        <v>Depreciated Net Capex 2019-20</v>
      </c>
      <c r="C2561" s="1426"/>
      <c r="D2561" s="1426"/>
      <c r="E2561" s="1426"/>
      <c r="F2561" s="1427"/>
      <c r="G2561" s="1428">
        <f>($G2552*((1+G$11)^0.5)/G$10)</f>
        <v>0</v>
      </c>
      <c r="H2561" s="1423">
        <f ca="1">IF(G2585="n/a",G2561,IFERROR(IF((OFFSET($C2561,0,$A2561))&lt;0,
MIN(0,G2561-(OFFSET($C2561,0,$A2561)/(OFFSET($C2556,-$A2560,$A2561)))),
MAX(0,G2561-(OFFSET($C2561,0,$A2561)/(OFFSET($C2556,-$A2560,$A2561))))),0))</f>
        <v>0</v>
      </c>
      <c r="I2561" s="1423">
        <f t="shared" ca="1" si="3795"/>
        <v>0</v>
      </c>
      <c r="J2561" s="1423">
        <f t="shared" ca="1" si="3796"/>
        <v>0</v>
      </c>
      <c r="K2561" s="1423">
        <f t="shared" ca="1" si="3797"/>
        <v>0</v>
      </c>
      <c r="L2561" s="1423">
        <f t="shared" ca="1" si="3798"/>
        <v>0</v>
      </c>
      <c r="M2561" s="1423">
        <f t="shared" ca="1" si="3799"/>
        <v>0</v>
      </c>
      <c r="N2561" s="1423">
        <f t="shared" ca="1" si="3800"/>
        <v>0</v>
      </c>
      <c r="O2561" s="1423">
        <f t="shared" ca="1" si="3801"/>
        <v>0</v>
      </c>
      <c r="P2561" s="1423">
        <f t="shared" ca="1" si="3802"/>
        <v>0</v>
      </c>
      <c r="Q2561" s="1423">
        <f t="shared" ca="1" si="3803"/>
        <v>0</v>
      </c>
      <c r="R2561" s="1423">
        <f t="shared" ca="1" si="3804"/>
        <v>0</v>
      </c>
      <c r="S2561" s="1423">
        <f t="shared" ca="1" si="3805"/>
        <v>0</v>
      </c>
      <c r="T2561" s="1423">
        <f t="shared" ca="1" si="3806"/>
        <v>0</v>
      </c>
      <c r="U2561" s="1423">
        <f t="shared" ca="1" si="3807"/>
        <v>0</v>
      </c>
      <c r="V2561" s="1423">
        <f t="shared" ca="1" si="3808"/>
        <v>0</v>
      </c>
      <c r="W2561" s="1423">
        <f t="shared" ca="1" si="3809"/>
        <v>0</v>
      </c>
      <c r="X2561" s="202"/>
      <c r="Y2561" s="202"/>
      <c r="Z2561" s="202"/>
      <c r="AA2561" s="152"/>
      <c r="AB2561" s="152"/>
    </row>
    <row r="2562" spans="1:28" hidden="1" outlineLevel="1">
      <c r="A2562" s="199">
        <f t="shared" si="3810"/>
        <v>5</v>
      </c>
      <c r="B2562" s="190" t="str">
        <f t="shared" ca="1" si="3811"/>
        <v>Depreciated Net Capex 2020-21</v>
      </c>
      <c r="C2562" s="1426"/>
      <c r="D2562" s="1426"/>
      <c r="E2562" s="1426"/>
      <c r="F2562" s="1426"/>
      <c r="G2562" s="1427"/>
      <c r="H2562" s="1428">
        <f>(H2552*((1+H$11)^0.5)/H$10)</f>
        <v>0</v>
      </c>
      <c r="I2562" s="1423">
        <f ca="1">IF(H2586="n/a",H2562,IFERROR(IF((OFFSET($C2562,0,$A2562))&lt;0,
MIN(0,H2562-(OFFSET($C2562,0,$A2562)/(OFFSET($C2557,-$A2561,$A2562)))),
MAX(0,H2562-(OFFSET($C2562,0,$A2562)/(OFFSET($C2557,-$A2561,$A2562))))),0))</f>
        <v>0</v>
      </c>
      <c r="J2562" s="1423">
        <f t="shared" ca="1" si="3796"/>
        <v>0</v>
      </c>
      <c r="K2562" s="1423">
        <f t="shared" ca="1" si="3797"/>
        <v>0</v>
      </c>
      <c r="L2562" s="1423">
        <f t="shared" ca="1" si="3798"/>
        <v>0</v>
      </c>
      <c r="M2562" s="1423">
        <f t="shared" ca="1" si="3799"/>
        <v>0</v>
      </c>
      <c r="N2562" s="1423">
        <f t="shared" ca="1" si="3800"/>
        <v>0</v>
      </c>
      <c r="O2562" s="1423">
        <f t="shared" ca="1" si="3801"/>
        <v>0</v>
      </c>
      <c r="P2562" s="1423">
        <f t="shared" ca="1" si="3802"/>
        <v>0</v>
      </c>
      <c r="Q2562" s="1423">
        <f t="shared" ca="1" si="3803"/>
        <v>0</v>
      </c>
      <c r="R2562" s="1423">
        <f t="shared" ca="1" si="3804"/>
        <v>0</v>
      </c>
      <c r="S2562" s="1423">
        <f t="shared" ca="1" si="3805"/>
        <v>0</v>
      </c>
      <c r="T2562" s="1423">
        <f t="shared" ca="1" si="3806"/>
        <v>0</v>
      </c>
      <c r="U2562" s="1423">
        <f t="shared" ca="1" si="3807"/>
        <v>0</v>
      </c>
      <c r="V2562" s="1423">
        <f t="shared" ca="1" si="3808"/>
        <v>0</v>
      </c>
      <c r="W2562" s="1423">
        <f t="shared" ca="1" si="3809"/>
        <v>0</v>
      </c>
      <c r="X2562" s="202"/>
      <c r="Y2562" s="202"/>
      <c r="Z2562" s="202"/>
      <c r="AA2562" s="152"/>
      <c r="AB2562" s="152"/>
    </row>
    <row r="2563" spans="1:28" hidden="1" outlineLevel="1">
      <c r="A2563" s="199">
        <f t="shared" si="3810"/>
        <v>6</v>
      </c>
      <c r="B2563" s="190" t="str">
        <f t="shared" ca="1" si="3811"/>
        <v>Depreciated Net Capex 2021-22</v>
      </c>
      <c r="C2563" s="1426"/>
      <c r="D2563" s="1426"/>
      <c r="E2563" s="1426"/>
      <c r="F2563" s="1426"/>
      <c r="G2563" s="1426"/>
      <c r="H2563" s="1427"/>
      <c r="I2563" s="1428">
        <f>(I2552*((1+I$11)^0.5)/I$10)</f>
        <v>0</v>
      </c>
      <c r="J2563" s="1423">
        <f ca="1">IF(I2587="n/a",I2563,IFERROR(IF((OFFSET($C2563,0,$A2563))&lt;0,
MIN(0,I2563-(OFFSET($C2563,0,$A2563)/(OFFSET($C2558,-$A2562,$A2563)))),
MAX(0,I2563-(OFFSET($C2563,0,$A2563)/(OFFSET($C2558,-$A2562,$A2563))))),0))</f>
        <v>0</v>
      </c>
      <c r="K2563" s="1423">
        <f t="shared" ca="1" si="3797"/>
        <v>0</v>
      </c>
      <c r="L2563" s="1423">
        <f t="shared" ca="1" si="3798"/>
        <v>0</v>
      </c>
      <c r="M2563" s="1423">
        <f t="shared" ca="1" si="3799"/>
        <v>0</v>
      </c>
      <c r="N2563" s="1423">
        <f t="shared" ca="1" si="3800"/>
        <v>0</v>
      </c>
      <c r="O2563" s="1423">
        <f t="shared" ca="1" si="3801"/>
        <v>0</v>
      </c>
      <c r="P2563" s="1423">
        <f t="shared" ca="1" si="3802"/>
        <v>0</v>
      </c>
      <c r="Q2563" s="1423">
        <f t="shared" ca="1" si="3803"/>
        <v>0</v>
      </c>
      <c r="R2563" s="1423">
        <f t="shared" ca="1" si="3804"/>
        <v>0</v>
      </c>
      <c r="S2563" s="1423">
        <f t="shared" ca="1" si="3805"/>
        <v>0</v>
      </c>
      <c r="T2563" s="1423">
        <f t="shared" ca="1" si="3806"/>
        <v>0</v>
      </c>
      <c r="U2563" s="1423">
        <f t="shared" ca="1" si="3807"/>
        <v>0</v>
      </c>
      <c r="V2563" s="1423">
        <f t="shared" ca="1" si="3808"/>
        <v>0</v>
      </c>
      <c r="W2563" s="1423">
        <f t="shared" ca="1" si="3809"/>
        <v>0</v>
      </c>
      <c r="X2563" s="202"/>
      <c r="Y2563" s="202"/>
      <c r="Z2563" s="202"/>
      <c r="AA2563" s="152"/>
      <c r="AB2563" s="152"/>
    </row>
    <row r="2564" spans="1:28" hidden="1" outlineLevel="1">
      <c r="A2564" s="199">
        <f t="shared" si="3810"/>
        <v>7</v>
      </c>
      <c r="B2564" s="190" t="str">
        <f t="shared" ca="1" si="3811"/>
        <v>Depreciated Net Capex 2022-23</v>
      </c>
      <c r="C2564" s="1426"/>
      <c r="D2564" s="1426"/>
      <c r="E2564" s="1426"/>
      <c r="F2564" s="1426"/>
      <c r="G2564" s="1426"/>
      <c r="H2564" s="1426"/>
      <c r="I2564" s="1427"/>
      <c r="J2564" s="1428">
        <f>(J2552*((1+J$11)^0.5)/J$10)</f>
        <v>0</v>
      </c>
      <c r="K2564" s="1423">
        <f ca="1">IF(J2588="n/a",J2564,IFERROR(IF((OFFSET($C2564,0,$A2564))&lt;0,
MIN(0,J2564-(OFFSET($C2564,0,$A2564)/(OFFSET($C2559,-$A2563,$A2564)))),
MAX(0,J2564-(OFFSET($C2564,0,$A2564)/(OFFSET($C2559,-$A2563,$A2564))))),0))</f>
        <v>0</v>
      </c>
      <c r="L2564" s="1423">
        <f t="shared" ca="1" si="3798"/>
        <v>0</v>
      </c>
      <c r="M2564" s="1423">
        <f t="shared" ca="1" si="3799"/>
        <v>0</v>
      </c>
      <c r="N2564" s="1423">
        <f t="shared" ca="1" si="3800"/>
        <v>0</v>
      </c>
      <c r="O2564" s="1423">
        <f t="shared" ca="1" si="3801"/>
        <v>0</v>
      </c>
      <c r="P2564" s="1423">
        <f t="shared" ca="1" si="3802"/>
        <v>0</v>
      </c>
      <c r="Q2564" s="1423">
        <f t="shared" ca="1" si="3803"/>
        <v>0</v>
      </c>
      <c r="R2564" s="1423">
        <f t="shared" ca="1" si="3804"/>
        <v>0</v>
      </c>
      <c r="S2564" s="1423">
        <f t="shared" ca="1" si="3805"/>
        <v>0</v>
      </c>
      <c r="T2564" s="1423">
        <f t="shared" ca="1" si="3806"/>
        <v>0</v>
      </c>
      <c r="U2564" s="1423">
        <f t="shared" ca="1" si="3807"/>
        <v>0</v>
      </c>
      <c r="V2564" s="1423">
        <f t="shared" ca="1" si="3808"/>
        <v>0</v>
      </c>
      <c r="W2564" s="1423">
        <f t="shared" ca="1" si="3809"/>
        <v>0</v>
      </c>
      <c r="X2564" s="202"/>
      <c r="Y2564" s="202"/>
      <c r="Z2564" s="202"/>
      <c r="AA2564" s="152"/>
      <c r="AB2564" s="152"/>
    </row>
    <row r="2565" spans="1:28" hidden="1" outlineLevel="1">
      <c r="A2565" s="199">
        <f t="shared" si="3810"/>
        <v>8</v>
      </c>
      <c r="B2565" s="190" t="str">
        <f t="shared" ca="1" si="3811"/>
        <v>Depreciated Net Capex 2023-24</v>
      </c>
      <c r="C2565" s="1426"/>
      <c r="D2565" s="1426"/>
      <c r="E2565" s="1426"/>
      <c r="F2565" s="1426"/>
      <c r="G2565" s="1426"/>
      <c r="H2565" s="1426"/>
      <c r="I2565" s="1426"/>
      <c r="J2565" s="1427"/>
      <c r="K2565" s="1428">
        <f>(K2552*((1+K$11)^0.5)/K$10)</f>
        <v>0</v>
      </c>
      <c r="L2565" s="1423">
        <f ca="1">IF(K2589="n/a",K2565,IFERROR(IF((OFFSET($C2565,0,$A2565))&lt;0,
MIN(0,K2565-(OFFSET($C2565,0,$A2565)/(OFFSET($C2560,-$A2564,$A2565)))),
MAX(0,K2565-(OFFSET($C2565,0,$A2565)/(OFFSET($C2560,-$A2564,$A2565))))),0))</f>
        <v>0</v>
      </c>
      <c r="M2565" s="1423">
        <f t="shared" ca="1" si="3799"/>
        <v>0</v>
      </c>
      <c r="N2565" s="1423">
        <f t="shared" ca="1" si="3800"/>
        <v>0</v>
      </c>
      <c r="O2565" s="1423">
        <f t="shared" ca="1" si="3801"/>
        <v>0</v>
      </c>
      <c r="P2565" s="1423">
        <f t="shared" ca="1" si="3802"/>
        <v>0</v>
      </c>
      <c r="Q2565" s="1423">
        <f t="shared" ca="1" si="3803"/>
        <v>0</v>
      </c>
      <c r="R2565" s="1423">
        <f t="shared" ca="1" si="3804"/>
        <v>0</v>
      </c>
      <c r="S2565" s="1423">
        <f t="shared" ca="1" si="3805"/>
        <v>0</v>
      </c>
      <c r="T2565" s="1423">
        <f t="shared" ca="1" si="3806"/>
        <v>0</v>
      </c>
      <c r="U2565" s="1423">
        <f t="shared" ca="1" si="3807"/>
        <v>0</v>
      </c>
      <c r="V2565" s="1423">
        <f t="shared" ca="1" si="3808"/>
        <v>0</v>
      </c>
      <c r="W2565" s="1423">
        <f t="shared" ca="1" si="3809"/>
        <v>0</v>
      </c>
      <c r="X2565" s="202"/>
      <c r="Y2565" s="202"/>
      <c r="Z2565" s="202"/>
      <c r="AA2565" s="152"/>
      <c r="AB2565" s="152"/>
    </row>
    <row r="2566" spans="1:28" hidden="1" outlineLevel="1">
      <c r="A2566" s="199">
        <f t="shared" si="3810"/>
        <v>9</v>
      </c>
      <c r="B2566" s="190" t="str">
        <f t="shared" ca="1" si="3811"/>
        <v>Depreciated Net Capex 2024-25</v>
      </c>
      <c r="C2566" s="1426"/>
      <c r="D2566" s="1426"/>
      <c r="E2566" s="1426"/>
      <c r="F2566" s="1426"/>
      <c r="G2566" s="1426"/>
      <c r="H2566" s="1426"/>
      <c r="I2566" s="1426"/>
      <c r="J2566" s="1426"/>
      <c r="K2566" s="1427"/>
      <c r="L2566" s="1428">
        <f>(L2552*((1+L$11)^0.5)/L$10)</f>
        <v>0</v>
      </c>
      <c r="M2566" s="1423">
        <f ca="1">IF(L2590="n/a",L2566,IFERROR(IF((OFFSET($C2566,0,$A2566))&lt;0,
MIN(0,L2566-(OFFSET($C2566,0,$A2566)/(OFFSET($C2561,-$A2565,$A2566)))),
MAX(0,L2566-(OFFSET($C2566,0,$A2566)/(OFFSET($C2561,-$A2565,$A2566))))),0))</f>
        <v>0</v>
      </c>
      <c r="N2566" s="1423">
        <f t="shared" ca="1" si="3800"/>
        <v>0</v>
      </c>
      <c r="O2566" s="1423">
        <f t="shared" ca="1" si="3801"/>
        <v>0</v>
      </c>
      <c r="P2566" s="1423">
        <f t="shared" ca="1" si="3802"/>
        <v>0</v>
      </c>
      <c r="Q2566" s="1423">
        <f t="shared" ca="1" si="3803"/>
        <v>0</v>
      </c>
      <c r="R2566" s="1423">
        <f t="shared" ca="1" si="3804"/>
        <v>0</v>
      </c>
      <c r="S2566" s="1423">
        <f t="shared" ca="1" si="3805"/>
        <v>0</v>
      </c>
      <c r="T2566" s="1423">
        <f t="shared" ca="1" si="3806"/>
        <v>0</v>
      </c>
      <c r="U2566" s="1423">
        <f t="shared" ca="1" si="3807"/>
        <v>0</v>
      </c>
      <c r="V2566" s="1423">
        <f t="shared" ca="1" si="3808"/>
        <v>0</v>
      </c>
      <c r="W2566" s="1423">
        <f t="shared" ca="1" si="3809"/>
        <v>0</v>
      </c>
      <c r="X2566" s="202"/>
      <c r="Y2566" s="202"/>
      <c r="Z2566" s="202"/>
      <c r="AA2566" s="152"/>
      <c r="AB2566" s="152"/>
    </row>
    <row r="2567" spans="1:28" hidden="1" outlineLevel="1">
      <c r="A2567" s="199">
        <f t="shared" si="3810"/>
        <v>10</v>
      </c>
      <c r="B2567" s="190" t="str">
        <f t="shared" ca="1" si="3811"/>
        <v>Depreciated Net Capex 2025-26</v>
      </c>
      <c r="C2567" s="1426"/>
      <c r="D2567" s="1426"/>
      <c r="E2567" s="1426"/>
      <c r="F2567" s="1426"/>
      <c r="G2567" s="1426"/>
      <c r="H2567" s="1426"/>
      <c r="I2567" s="1426"/>
      <c r="J2567" s="1426"/>
      <c r="K2567" s="1426"/>
      <c r="L2567" s="1427"/>
      <c r="M2567" s="1428">
        <f>(M2552*((1+M$11)^0.5)/M$10)</f>
        <v>0</v>
      </c>
      <c r="N2567" s="1423">
        <f ca="1">IF(M2591="n/a",M2567,IFERROR(IF((OFFSET($C2567,0,$A2567))&lt;0,
MIN(0,M2567-(OFFSET($C2567,0,$A2567)/(OFFSET($C2562,-$A2566,$A2567)))),
MAX(0,M2567-(OFFSET($C2567,0,$A2567)/(OFFSET($C2562,-$A2566,$A2567))))),0))</f>
        <v>0</v>
      </c>
      <c r="O2567" s="1423">
        <f t="shared" ca="1" si="3801"/>
        <v>0</v>
      </c>
      <c r="P2567" s="1423">
        <f t="shared" ca="1" si="3802"/>
        <v>0</v>
      </c>
      <c r="Q2567" s="1423">
        <f t="shared" ca="1" si="3803"/>
        <v>0</v>
      </c>
      <c r="R2567" s="1423">
        <f t="shared" ca="1" si="3804"/>
        <v>0</v>
      </c>
      <c r="S2567" s="1423">
        <f t="shared" ca="1" si="3805"/>
        <v>0</v>
      </c>
      <c r="T2567" s="1423">
        <f t="shared" ca="1" si="3806"/>
        <v>0</v>
      </c>
      <c r="U2567" s="1423">
        <f t="shared" ca="1" si="3807"/>
        <v>0</v>
      </c>
      <c r="V2567" s="1423">
        <f t="shared" ca="1" si="3808"/>
        <v>0</v>
      </c>
      <c r="W2567" s="1423">
        <f t="shared" ca="1" si="3809"/>
        <v>0</v>
      </c>
      <c r="X2567" s="202"/>
      <c r="Y2567" s="202"/>
      <c r="Z2567" s="202"/>
      <c r="AA2567" s="152"/>
      <c r="AB2567" s="152"/>
    </row>
    <row r="2568" spans="1:28" hidden="1" outlineLevel="1">
      <c r="A2568" s="199">
        <f t="shared" si="3810"/>
        <v>11</v>
      </c>
      <c r="B2568" s="190" t="str">
        <f t="shared" ca="1" si="3811"/>
        <v>Depreciated Net Capex 2026-27</v>
      </c>
      <c r="C2568" s="1426"/>
      <c r="D2568" s="1426"/>
      <c r="E2568" s="1426"/>
      <c r="F2568" s="1426"/>
      <c r="G2568" s="1426"/>
      <c r="H2568" s="1426"/>
      <c r="I2568" s="1426"/>
      <c r="J2568" s="1426"/>
      <c r="K2568" s="1426"/>
      <c r="L2568" s="1426"/>
      <c r="M2568" s="1427"/>
      <c r="N2568" s="1428">
        <f>(N2552*((1+N$11)^0.5)/N$10)</f>
        <v>0</v>
      </c>
      <c r="O2568" s="1423">
        <f ca="1">IF(N2592="n/a",N2568,IFERROR(IF((OFFSET($C2568,0,$A2568))&lt;0,
MIN(0,N2568-(OFFSET($C2568,0,$A2568)/(OFFSET($C2563,-$A2567,$A2568)))),
MAX(0,N2568-(OFFSET($C2568,0,$A2568)/(OFFSET($C2563,-$A2567,$A2568))))),0))</f>
        <v>0</v>
      </c>
      <c r="P2568" s="1423">
        <f t="shared" ca="1" si="3802"/>
        <v>0</v>
      </c>
      <c r="Q2568" s="1423">
        <f t="shared" ca="1" si="3803"/>
        <v>0</v>
      </c>
      <c r="R2568" s="1423">
        <f t="shared" ca="1" si="3804"/>
        <v>0</v>
      </c>
      <c r="S2568" s="1423">
        <f t="shared" ca="1" si="3805"/>
        <v>0</v>
      </c>
      <c r="T2568" s="1423">
        <f t="shared" ca="1" si="3806"/>
        <v>0</v>
      </c>
      <c r="U2568" s="1423">
        <f t="shared" ca="1" si="3807"/>
        <v>0</v>
      </c>
      <c r="V2568" s="1423">
        <f t="shared" ca="1" si="3808"/>
        <v>0</v>
      </c>
      <c r="W2568" s="1423">
        <f t="shared" ca="1" si="3809"/>
        <v>0</v>
      </c>
      <c r="X2568" s="202"/>
      <c r="Y2568" s="202"/>
      <c r="Z2568" s="202"/>
      <c r="AA2568" s="152"/>
      <c r="AB2568" s="152"/>
    </row>
    <row r="2569" spans="1:28" hidden="1" outlineLevel="1">
      <c r="A2569" s="199">
        <f t="shared" si="3810"/>
        <v>12</v>
      </c>
      <c r="B2569" s="190" t="str">
        <f t="shared" ca="1" si="3811"/>
        <v>Depreciated Net Capex 2027-28</v>
      </c>
      <c r="C2569" s="1426"/>
      <c r="D2569" s="1426"/>
      <c r="E2569" s="1426"/>
      <c r="F2569" s="1426"/>
      <c r="G2569" s="1426"/>
      <c r="H2569" s="1426"/>
      <c r="I2569" s="1426"/>
      <c r="J2569" s="1426"/>
      <c r="K2569" s="1426"/>
      <c r="L2569" s="1426"/>
      <c r="M2569" s="1426"/>
      <c r="N2569" s="1427"/>
      <c r="O2569" s="1428">
        <f>(O2552*((1+O$11)^0.5)/O$10)</f>
        <v>0</v>
      </c>
      <c r="P2569" s="1423">
        <f ca="1">IF(O2593="n/a",O2569,IFERROR(IF((OFFSET($C2569,0,$A2569))&lt;0,
MIN(0,O2569-(OFFSET($C2569,0,$A2569)/(OFFSET($C2564,-$A2568,$A2569)))),
MAX(0,O2569-(OFFSET($C2569,0,$A2569)/(OFFSET($C2564,-$A2568,$A2569))))),0))</f>
        <v>0</v>
      </c>
      <c r="Q2569" s="1423">
        <f t="shared" ca="1" si="3803"/>
        <v>0</v>
      </c>
      <c r="R2569" s="1423">
        <f t="shared" ca="1" si="3804"/>
        <v>0</v>
      </c>
      <c r="S2569" s="1423">
        <f t="shared" ca="1" si="3805"/>
        <v>0</v>
      </c>
      <c r="T2569" s="1423">
        <f t="shared" ca="1" si="3806"/>
        <v>0</v>
      </c>
      <c r="U2569" s="1423">
        <f t="shared" ca="1" si="3807"/>
        <v>0</v>
      </c>
      <c r="V2569" s="1423">
        <f t="shared" ca="1" si="3808"/>
        <v>0</v>
      </c>
      <c r="W2569" s="1423">
        <f t="shared" ca="1" si="3809"/>
        <v>0</v>
      </c>
      <c r="X2569" s="202"/>
      <c r="Y2569" s="202"/>
      <c r="Z2569" s="202"/>
      <c r="AA2569" s="152"/>
      <c r="AB2569" s="152"/>
    </row>
    <row r="2570" spans="1:28" hidden="1" outlineLevel="1">
      <c r="A2570" s="199">
        <f t="shared" si="3810"/>
        <v>13</v>
      </c>
      <c r="B2570" s="190" t="str">
        <f t="shared" ca="1" si="3811"/>
        <v>Depreciated Net Capex 2028-29</v>
      </c>
      <c r="C2570" s="1426"/>
      <c r="D2570" s="1426"/>
      <c r="E2570" s="1426"/>
      <c r="F2570" s="1426"/>
      <c r="G2570" s="1426"/>
      <c r="H2570" s="1426"/>
      <c r="I2570" s="1426"/>
      <c r="J2570" s="1426"/>
      <c r="K2570" s="1426"/>
      <c r="L2570" s="1426"/>
      <c r="M2570" s="1426"/>
      <c r="N2570" s="1426"/>
      <c r="O2570" s="1427"/>
      <c r="P2570" s="1428">
        <f>(P2552*((1+P$11)^0.5)/P$10)</f>
        <v>0</v>
      </c>
      <c r="Q2570" s="1423">
        <f ca="1">IF(P2594="n/a",P2570,IFERROR(IF((OFFSET($C2570,0,$A2570))&lt;0,
MIN(0,P2570-(OFFSET($C2570,0,$A2570)/(OFFSET($C2565,-$A2569,$A2570)))),
MAX(0,P2570-(OFFSET($C2570,0,$A2570)/(OFFSET($C2565,-$A2569,$A2570))))),0))</f>
        <v>0</v>
      </c>
      <c r="R2570" s="1423">
        <f t="shared" ca="1" si="3804"/>
        <v>0</v>
      </c>
      <c r="S2570" s="1423">
        <f t="shared" ca="1" si="3805"/>
        <v>0</v>
      </c>
      <c r="T2570" s="1423">
        <f t="shared" ca="1" si="3806"/>
        <v>0</v>
      </c>
      <c r="U2570" s="1423">
        <f t="shared" ca="1" si="3807"/>
        <v>0</v>
      </c>
      <c r="V2570" s="1423">
        <f t="shared" ca="1" si="3808"/>
        <v>0</v>
      </c>
      <c r="W2570" s="1423">
        <f t="shared" ca="1" si="3809"/>
        <v>0</v>
      </c>
      <c r="X2570" s="202"/>
      <c r="Y2570" s="202"/>
      <c r="Z2570" s="202"/>
      <c r="AA2570" s="152"/>
      <c r="AB2570" s="152"/>
    </row>
    <row r="2571" spans="1:28" hidden="1" outlineLevel="1">
      <c r="A2571" s="199">
        <f t="shared" si="3810"/>
        <v>14</v>
      </c>
      <c r="B2571" s="190" t="str">
        <f t="shared" ca="1" si="3811"/>
        <v>Depreciated Net Capex 2029-30</v>
      </c>
      <c r="C2571" s="1426"/>
      <c r="D2571" s="1426"/>
      <c r="E2571" s="1426"/>
      <c r="F2571" s="1426"/>
      <c r="G2571" s="1426"/>
      <c r="H2571" s="1426"/>
      <c r="I2571" s="1426"/>
      <c r="J2571" s="1426"/>
      <c r="K2571" s="1426"/>
      <c r="L2571" s="1426"/>
      <c r="M2571" s="1426"/>
      <c r="N2571" s="1426"/>
      <c r="O2571" s="1426"/>
      <c r="P2571" s="1427"/>
      <c r="Q2571" s="1428">
        <f>(Q2552*((1+Q$11)^0.5)/Q$10)</f>
        <v>0</v>
      </c>
      <c r="R2571" s="1423">
        <f ca="1">IF(Q2595="n/a",Q2571,IFERROR(IF((OFFSET($C2571,0,$A2571))&lt;0,
MIN(0,Q2571-(OFFSET($C2571,0,$A2571)/(OFFSET($C2566,-$A2570,$A2571)))),
MAX(0,Q2571-(OFFSET($C2571,0,$A2571)/(OFFSET($C2566,-$A2570,$A2571))))),0))</f>
        <v>0</v>
      </c>
      <c r="S2571" s="1423">
        <f t="shared" ca="1" si="3805"/>
        <v>0</v>
      </c>
      <c r="T2571" s="1423">
        <f t="shared" ca="1" si="3806"/>
        <v>0</v>
      </c>
      <c r="U2571" s="1423">
        <f t="shared" ca="1" si="3807"/>
        <v>0</v>
      </c>
      <c r="V2571" s="1423">
        <f t="shared" ca="1" si="3808"/>
        <v>0</v>
      </c>
      <c r="W2571" s="1423">
        <f t="shared" ca="1" si="3809"/>
        <v>0</v>
      </c>
      <c r="X2571" s="202"/>
      <c r="Y2571" s="202"/>
      <c r="Z2571" s="202"/>
      <c r="AA2571" s="152"/>
      <c r="AB2571" s="152"/>
    </row>
    <row r="2572" spans="1:28" hidden="1" outlineLevel="1">
      <c r="A2572" s="199">
        <f t="shared" si="3810"/>
        <v>15</v>
      </c>
      <c r="B2572" s="190" t="str">
        <f t="shared" ca="1" si="3811"/>
        <v>Depreciated Net Capex 2030-31</v>
      </c>
      <c r="C2572" s="1426"/>
      <c r="D2572" s="1426"/>
      <c r="E2572" s="1426"/>
      <c r="F2572" s="1426"/>
      <c r="G2572" s="1426"/>
      <c r="H2572" s="1426"/>
      <c r="I2572" s="1426"/>
      <c r="J2572" s="1426"/>
      <c r="K2572" s="1426"/>
      <c r="L2572" s="1426"/>
      <c r="M2572" s="1426"/>
      <c r="N2572" s="1426"/>
      <c r="O2572" s="1426"/>
      <c r="P2572" s="1426"/>
      <c r="Q2572" s="1427"/>
      <c r="R2572" s="1428">
        <f>(R2552*((1+R$11)^0.5)/R$10)</f>
        <v>0</v>
      </c>
      <c r="S2572" s="1423">
        <f ca="1">IF(R2596="n/a",R2572,IFERROR(IF((OFFSET($C2572,0,$A2572))&lt;0,
MIN(0,R2572-(OFFSET($C2572,0,$A2572)/(OFFSET($C2567,-$A2571,$A2572)))),
MAX(0,R2572-(OFFSET($C2572,0,$A2572)/(OFFSET($C2567,-$A2571,$A2572))))),0))</f>
        <v>0</v>
      </c>
      <c r="T2572" s="1423">
        <f t="shared" ca="1" si="3806"/>
        <v>0</v>
      </c>
      <c r="U2572" s="1423">
        <f t="shared" ca="1" si="3807"/>
        <v>0</v>
      </c>
      <c r="V2572" s="1423">
        <f t="shared" ca="1" si="3808"/>
        <v>0</v>
      </c>
      <c r="W2572" s="1423">
        <f t="shared" ca="1" si="3809"/>
        <v>0</v>
      </c>
      <c r="X2572" s="202"/>
      <c r="Y2572" s="202"/>
      <c r="Z2572" s="202"/>
      <c r="AA2572" s="152"/>
      <c r="AB2572" s="152"/>
    </row>
    <row r="2573" spans="1:28" hidden="1" outlineLevel="1">
      <c r="A2573" s="199">
        <f t="shared" si="3810"/>
        <v>16</v>
      </c>
      <c r="B2573" s="190" t="str">
        <f t="shared" ca="1" si="3811"/>
        <v>Depreciated Net Capex 2031-32</v>
      </c>
      <c r="C2573" s="1426"/>
      <c r="D2573" s="1426"/>
      <c r="E2573" s="1426"/>
      <c r="F2573" s="1426"/>
      <c r="G2573" s="1426"/>
      <c r="H2573" s="1426"/>
      <c r="I2573" s="1426"/>
      <c r="J2573" s="1426"/>
      <c r="K2573" s="1426"/>
      <c r="L2573" s="1426"/>
      <c r="M2573" s="1426"/>
      <c r="N2573" s="1426"/>
      <c r="O2573" s="1426"/>
      <c r="P2573" s="1426"/>
      <c r="Q2573" s="1426"/>
      <c r="R2573" s="1427"/>
      <c r="S2573" s="1428">
        <f>(S2552*((1+S$11)^0.5)/S$10)</f>
        <v>0</v>
      </c>
      <c r="T2573" s="1423">
        <f ca="1">IF(S2597="n/a",S2573,IFERROR(IF((OFFSET($C2573,0,$A2573))&lt;0,
MIN(0,S2573-(OFFSET($C2573,0,$A2573)/(OFFSET($C2568,-$A2572,$A2573)))),
MAX(0,S2573-(OFFSET($C2573,0,$A2573)/(OFFSET($C2568,-$A2572,$A2573))))),0))</f>
        <v>0</v>
      </c>
      <c r="U2573" s="1423">
        <f t="shared" ca="1" si="3807"/>
        <v>0</v>
      </c>
      <c r="V2573" s="1423">
        <f t="shared" ca="1" si="3808"/>
        <v>0</v>
      </c>
      <c r="W2573" s="1423">
        <f t="shared" ca="1" si="3809"/>
        <v>0</v>
      </c>
      <c r="X2573" s="202"/>
      <c r="Y2573" s="202"/>
      <c r="Z2573" s="202"/>
      <c r="AA2573" s="152"/>
      <c r="AB2573" s="152"/>
    </row>
    <row r="2574" spans="1:28" hidden="1" outlineLevel="1">
      <c r="A2574" s="199">
        <f t="shared" si="3810"/>
        <v>17</v>
      </c>
      <c r="B2574" s="190" t="str">
        <f t="shared" ca="1" si="3811"/>
        <v>Depreciated Net Capex 2032-33</v>
      </c>
      <c r="C2574" s="1426"/>
      <c r="D2574" s="1426"/>
      <c r="E2574" s="1426"/>
      <c r="F2574" s="1426"/>
      <c r="G2574" s="1426"/>
      <c r="H2574" s="1426"/>
      <c r="I2574" s="1426"/>
      <c r="J2574" s="1426"/>
      <c r="K2574" s="1426"/>
      <c r="L2574" s="1426"/>
      <c r="M2574" s="1426"/>
      <c r="N2574" s="1426"/>
      <c r="O2574" s="1426"/>
      <c r="P2574" s="1426"/>
      <c r="Q2574" s="1426"/>
      <c r="R2574" s="1426"/>
      <c r="S2574" s="1427"/>
      <c r="T2574" s="1428">
        <f>(T2552*((1+T$11)^0.5)/T$10)</f>
        <v>0</v>
      </c>
      <c r="U2574" s="1423">
        <f ca="1">IF(T2598="n/a",T2574,IFERROR(IF((OFFSET($C2574,0,$A2574))&lt;0,
MIN(0,T2574-(OFFSET($C2574,0,$A2574)/(OFFSET($C2569,-$A2573,$A2574)))),
MAX(0,T2574-(OFFSET($C2574,0,$A2574)/(OFFSET($C2569,-$A2573,$A2574))))),0))</f>
        <v>0</v>
      </c>
      <c r="V2574" s="1423">
        <f t="shared" ca="1" si="3808"/>
        <v>0</v>
      </c>
      <c r="W2574" s="1423">
        <f t="shared" ca="1" si="3809"/>
        <v>0</v>
      </c>
      <c r="X2574" s="202"/>
      <c r="Y2574" s="202"/>
      <c r="Z2574" s="202"/>
      <c r="AA2574" s="152"/>
      <c r="AB2574" s="152"/>
    </row>
    <row r="2575" spans="1:28" hidden="1" outlineLevel="1">
      <c r="A2575" s="199">
        <f t="shared" si="3810"/>
        <v>18</v>
      </c>
      <c r="B2575" s="190" t="str">
        <f t="shared" ca="1" si="3811"/>
        <v>Depreciated Net Capex 2033-34</v>
      </c>
      <c r="C2575" s="1426"/>
      <c r="D2575" s="1426"/>
      <c r="E2575" s="1426"/>
      <c r="F2575" s="1426"/>
      <c r="G2575" s="1426"/>
      <c r="H2575" s="1426"/>
      <c r="I2575" s="1426"/>
      <c r="J2575" s="1426"/>
      <c r="K2575" s="1426"/>
      <c r="L2575" s="1426"/>
      <c r="M2575" s="1426"/>
      <c r="N2575" s="1426"/>
      <c r="O2575" s="1426"/>
      <c r="P2575" s="1426"/>
      <c r="Q2575" s="1426"/>
      <c r="R2575" s="1426"/>
      <c r="S2575" s="1426"/>
      <c r="T2575" s="1427"/>
      <c r="U2575" s="1428">
        <f>(U2552*((1+U$11)^0.5)/U$10)</f>
        <v>0</v>
      </c>
      <c r="V2575" s="1423">
        <f ca="1">IF(U2599="n/a",U2575,IFERROR(IF((OFFSET($C2575,0,$A2575))&lt;0,
MIN(0,U2575-(OFFSET($C2575,0,$A2575)/(OFFSET($C2570,-$A2574,$A2575)))),
MAX(0,U2575-(OFFSET($C2575,0,$A2575)/(OFFSET($C2570,-$A2574,$A2575))))),0))</f>
        <v>0</v>
      </c>
      <c r="W2575" s="1423">
        <f t="shared" ca="1" si="3809"/>
        <v>0</v>
      </c>
      <c r="X2575" s="202"/>
      <c r="Y2575" s="202"/>
      <c r="Z2575" s="202"/>
      <c r="AA2575" s="152"/>
      <c r="AB2575" s="152"/>
    </row>
    <row r="2576" spans="1:28" hidden="1" outlineLevel="1">
      <c r="A2576" s="199">
        <f t="shared" si="3810"/>
        <v>19</v>
      </c>
      <c r="B2576" s="190" t="str">
        <f t="shared" ca="1" si="3811"/>
        <v>Depreciated Net Capex 2034-35</v>
      </c>
      <c r="C2576" s="1426"/>
      <c r="D2576" s="1426"/>
      <c r="E2576" s="1426"/>
      <c r="F2576" s="1426"/>
      <c r="G2576" s="1426"/>
      <c r="H2576" s="1426"/>
      <c r="I2576" s="1426"/>
      <c r="J2576" s="1426"/>
      <c r="K2576" s="1426"/>
      <c r="L2576" s="1426"/>
      <c r="M2576" s="1426"/>
      <c r="N2576" s="1426"/>
      <c r="O2576" s="1426"/>
      <c r="P2576" s="1426"/>
      <c r="Q2576" s="1426"/>
      <c r="R2576" s="1426"/>
      <c r="S2576" s="1426"/>
      <c r="T2576" s="1426"/>
      <c r="U2576" s="1427"/>
      <c r="V2576" s="1428">
        <f>(V2552*((1+V$11)^0.5)/V$10)</f>
        <v>0</v>
      </c>
      <c r="W2576" s="1423">
        <f ca="1">IF(V2600="n/a",V2576,IFERROR(IF((OFFSET($C2576,0,$A2576))&lt;0,
MIN(0,V2576-(OFFSET($C2576,0,$A2576)/(OFFSET($C2571,-$A2575,$A2576)))),
MAX(0,V2576-(OFFSET($C2576,0,$A2576)/(OFFSET($C2571,-$A2575,$A2576))))),0))</f>
        <v>0</v>
      </c>
      <c r="X2576" s="202"/>
      <c r="Y2576" s="202"/>
      <c r="Z2576" s="202"/>
      <c r="AA2576" s="152"/>
      <c r="AB2576" s="152"/>
    </row>
    <row r="2577" spans="1:28" hidden="1" outlineLevel="1">
      <c r="A2577" s="199">
        <f t="shared" si="3810"/>
        <v>20</v>
      </c>
      <c r="B2577" s="190" t="str">
        <f ca="1">"Depreciated Net Capex "&amp;OFFSET($C$6,0,A2577)</f>
        <v>Depreciated Net Capex 2035-36</v>
      </c>
      <c r="C2577" s="1426"/>
      <c r="D2577" s="1426"/>
      <c r="E2577" s="1426"/>
      <c r="F2577" s="1426"/>
      <c r="G2577" s="1426"/>
      <c r="H2577" s="1426"/>
      <c r="I2577" s="1426"/>
      <c r="J2577" s="1426"/>
      <c r="K2577" s="1426"/>
      <c r="L2577" s="1426"/>
      <c r="M2577" s="1426"/>
      <c r="N2577" s="1426"/>
      <c r="O2577" s="1426"/>
      <c r="P2577" s="1426"/>
      <c r="Q2577" s="1426"/>
      <c r="R2577" s="1426"/>
      <c r="S2577" s="1426"/>
      <c r="T2577" s="1426"/>
      <c r="U2577" s="1426"/>
      <c r="V2577" s="1427"/>
      <c r="W2577" s="1423">
        <f>(W2552*((1+W$11)^0.5)/W$10)</f>
        <v>0</v>
      </c>
      <c r="X2577" s="152"/>
      <c r="Y2577" s="152"/>
      <c r="Z2577" s="152"/>
      <c r="AA2577" s="152"/>
      <c r="AB2577" s="152"/>
    </row>
    <row r="2578" spans="1:28" hidden="1" outlineLevel="1">
      <c r="A2578" s="152"/>
      <c r="B2578" s="200"/>
      <c r="C2578" s="1423"/>
      <c r="D2578" s="1423"/>
      <c r="E2578" s="1423"/>
      <c r="F2578" s="1423"/>
      <c r="G2578" s="1423"/>
      <c r="H2578" s="1423"/>
      <c r="I2578" s="1423"/>
      <c r="J2578" s="1423"/>
      <c r="K2578" s="1423"/>
      <c r="L2578" s="1423"/>
      <c r="M2578" s="1423"/>
      <c r="N2578" s="1423"/>
      <c r="O2578" s="1423"/>
      <c r="P2578" s="1423"/>
      <c r="Q2578" s="1423"/>
      <c r="R2578" s="1423"/>
      <c r="S2578" s="1423"/>
      <c r="T2578" s="1423"/>
      <c r="U2578" s="1423"/>
      <c r="V2578" s="1423"/>
      <c r="W2578" s="1423"/>
      <c r="X2578" s="152"/>
      <c r="Y2578" s="152"/>
      <c r="Z2578" s="152"/>
      <c r="AA2578" s="152"/>
      <c r="AB2578" s="152"/>
    </row>
    <row r="2579" spans="1:28" hidden="1" outlineLevel="1">
      <c r="A2579" s="152"/>
      <c r="B2579" s="200"/>
      <c r="C2579" s="1423"/>
      <c r="D2579" s="1423"/>
      <c r="E2579" s="1423"/>
      <c r="F2579" s="1423"/>
      <c r="G2579" s="1423"/>
      <c r="H2579" s="1423"/>
      <c r="I2579" s="1423"/>
      <c r="J2579" s="1423"/>
      <c r="K2579" s="1423"/>
      <c r="L2579" s="1423"/>
      <c r="M2579" s="1423"/>
      <c r="N2579" s="1423"/>
      <c r="O2579" s="1423"/>
      <c r="P2579" s="1423"/>
      <c r="Q2579" s="1423"/>
      <c r="R2579" s="1423"/>
      <c r="S2579" s="1423"/>
      <c r="T2579" s="1423"/>
      <c r="U2579" s="1423"/>
      <c r="V2579" s="1423"/>
      <c r="W2579" s="1423"/>
      <c r="X2579" s="152"/>
      <c r="Y2579" s="152"/>
      <c r="Z2579" s="152"/>
      <c r="AA2579" s="152"/>
      <c r="AB2579" s="152"/>
    </row>
    <row r="2580" spans="1:28" hidden="1" outlineLevel="1">
      <c r="A2580" s="152"/>
      <c r="B2580" s="190" t="s">
        <v>190</v>
      </c>
      <c r="C2580" s="1423"/>
      <c r="D2580" s="1423">
        <f ca="1">IF(AND(C2580&lt;1,D2554=0),0,
IF(D2554=0,C2580-1,
IF(C2580&lt;1,D2555,
(((C2580-1)*(C2556-(C2556/(C2580))))+((D2554/D$10)*D2555))/(D2556))))</f>
        <v>0</v>
      </c>
      <c r="E2580" s="1423">
        <f t="shared" ref="E2580" ca="1" si="3812">IF(AND(D2580&lt;1,E2554=0),0,
IF(E2554=0,D2580-1,
IF(D2580&lt;1,E2555,
(((D2580-1)*(D2556-(D2556/(D2580))))+((E2554/E$10)*E2555))/(E2556))))</f>
        <v>0</v>
      </c>
      <c r="F2580" s="1423">
        <f t="shared" ref="F2580" ca="1" si="3813">IF(AND(E2580&lt;1,F2554=0),0,
IF(F2554=0,E2580-1,
IF(E2580&lt;1,F2555,
(((E2580-1)*(E2556-(E2556/(E2580))))+((F2554/F$10)*F2555))/(F2556))))</f>
        <v>0</v>
      </c>
      <c r="G2580" s="1423">
        <f t="shared" ref="G2580" ca="1" si="3814">IF(AND(F2580&lt;1,G2554=0),0,
IF(G2554=0,F2580-1,
IF(F2580&lt;1,G2555,
(((F2580-1)*(F2556-(F2556/(F2580))))+((G2554/G$10)*G2555))/(G2556))))</f>
        <v>0</v>
      </c>
      <c r="H2580" s="1423">
        <f t="shared" ref="H2580" ca="1" si="3815">IF(AND(G2580&lt;1,H2554=0),0,
IF(H2554=0,G2580-1,
IF(G2580&lt;1,H2555,
(((G2580-1)*(G2556-(G2556/(G2580))))+((H2554/H$10)*H2555))/(H2556))))</f>
        <v>0</v>
      </c>
      <c r="I2580" s="1423">
        <f t="shared" ref="I2580" ca="1" si="3816">IF(AND(H2580&lt;1,I2554=0),0,
IF(I2554=0,H2580-1,
IF(H2580&lt;1,I2555,
(((H2580-1)*(H2556-(H2556/(H2580))))+((I2554/I$10)*I2555))/(I2556))))</f>
        <v>0</v>
      </c>
      <c r="J2580" s="1423">
        <f t="shared" ref="J2580" ca="1" si="3817">IF(AND(I2580&lt;1,J2554=0),0,
IF(J2554=0,I2580-1,
IF(I2580&lt;1,J2555,
(((I2580-1)*(I2556-(I2556/(I2580))))+((J2554/J$10)*J2555))/(J2556))))</f>
        <v>0</v>
      </c>
      <c r="K2580" s="1423">
        <f t="shared" ref="K2580" ca="1" si="3818">IF(AND(J2580&lt;1,K2554=0),0,
IF(K2554=0,J2580-1,
IF(J2580&lt;1,K2555,
(((J2580-1)*(J2556-(J2556/(J2580))))+((K2554/K$10)*K2555))/(K2556))))</f>
        <v>0</v>
      </c>
      <c r="L2580" s="1423">
        <f t="shared" ref="L2580" ca="1" si="3819">IF(AND(K2580&lt;1,L2554=0),0,
IF(L2554=0,K2580-1,
IF(K2580&lt;1,L2555,
(((K2580-1)*(K2556-(K2556/(K2580))))+((L2554/L$10)*L2555))/(L2556))))</f>
        <v>0</v>
      </c>
      <c r="M2580" s="1423">
        <f t="shared" ref="M2580" ca="1" si="3820">IF(AND(L2580&lt;1,M2554=0),0,
IF(M2554=0,L2580-1,
IF(L2580&lt;1,M2555,
(((L2580-1)*(L2556-(L2556/(L2580))))+((M2554/M$10)*M2555))/(M2556))))</f>
        <v>0</v>
      </c>
      <c r="N2580" s="1423">
        <f t="shared" ref="N2580" ca="1" si="3821">IF(AND(M2580&lt;1,N2554=0),0,
IF(N2554=0,M2580-1,
IF(M2580&lt;1,N2555,
(((M2580-1)*(M2556-(M2556/(M2580))))+((N2554/N$10)*N2555))/(N2556))))</f>
        <v>0</v>
      </c>
      <c r="O2580" s="1423">
        <f t="shared" ref="O2580" ca="1" si="3822">IF(AND(N2580&lt;1,O2554=0),0,
IF(O2554=0,N2580-1,
IF(N2580&lt;1,O2555,
(((N2580-1)*(N2556-(N2556/(N2580))))+((O2554/O$10)*O2555))/(O2556))))</f>
        <v>0</v>
      </c>
      <c r="P2580" s="1423">
        <f t="shared" ref="P2580" ca="1" si="3823">IF(AND(O2580&lt;1,P2554=0),0,
IF(P2554=0,O2580-1,
IF(O2580&lt;1,P2555,
(((O2580-1)*(O2556-(O2556/(O2580))))+((P2554/P$10)*P2555))/(P2556))))</f>
        <v>0</v>
      </c>
      <c r="Q2580" s="1423">
        <f t="shared" ref="Q2580" ca="1" si="3824">IF(AND(P2580&lt;1,Q2554=0),0,
IF(Q2554=0,P2580-1,
IF(P2580&lt;1,Q2555,
(((P2580-1)*(P2556-(P2556/(P2580))))+((Q2554/Q$10)*Q2555))/(Q2556))))</f>
        <v>0</v>
      </c>
      <c r="R2580" s="1423">
        <f t="shared" ref="R2580" ca="1" si="3825">IF(AND(Q2580&lt;1,R2554=0),0,
IF(R2554=0,Q2580-1,
IF(Q2580&lt;1,R2555,
(((Q2580-1)*(Q2556-(Q2556/(Q2580))))+((R2554/R$10)*R2555))/(R2556))))</f>
        <v>0</v>
      </c>
      <c r="S2580" s="1423">
        <f t="shared" ref="S2580" ca="1" si="3826">IF(AND(R2580&lt;1,S2554=0),0,
IF(S2554=0,R2580-1,
IF(R2580&lt;1,S2555,
(((R2580-1)*(R2556-(R2556/(R2580))))+((S2554/S$10)*S2555))/(S2556))))</f>
        <v>0</v>
      </c>
      <c r="T2580" s="1423">
        <f t="shared" ref="T2580" ca="1" si="3827">IF(AND(S2580&lt;1,T2554=0),0,
IF(T2554=0,S2580-1,
IF(S2580&lt;1,T2555,
(((S2580-1)*(S2556-(S2556/(S2580))))+((T2554/T$10)*T2555))/(T2556))))</f>
        <v>0</v>
      </c>
      <c r="U2580" s="1423">
        <f t="shared" ref="U2580" ca="1" si="3828">IF(AND(T2580&lt;1,U2554=0),0,
IF(U2554=0,T2580-1,
IF(T2580&lt;1,U2555,
(((T2580-1)*(T2556-(T2556/(T2580))))+((U2554/U$10)*U2555))/(U2556))))</f>
        <v>0</v>
      </c>
      <c r="V2580" s="1423">
        <f t="shared" ref="V2580" ca="1" si="3829">IF(AND(U2580&lt;1,V2554=0),0,
IF(V2554=0,U2580-1,
IF(U2580&lt;1,V2555,
(((U2580-1)*(U2556-(U2556/(U2580))))+((V2554/V$10)*V2555))/(V2556))))</f>
        <v>0</v>
      </c>
      <c r="W2580" s="1423">
        <f t="shared" ref="W2580" ca="1" si="3830">IF(AND(V2580&lt;1,W2554=0),0,
IF(W2554=0,V2580-1,
IF(V2580&lt;1,W2555,
(((V2580-1)*(V2556-(V2556/(V2580))))+((W2554/W$10)*W2555))/(W2556))))</f>
        <v>0</v>
      </c>
      <c r="X2580" s="152"/>
      <c r="Y2580" s="152"/>
      <c r="Z2580" s="152"/>
      <c r="AA2580" s="152"/>
      <c r="AB2580" s="152"/>
    </row>
    <row r="2581" spans="1:28" hidden="1" outlineLevel="1">
      <c r="A2581" s="152"/>
      <c r="B2581" s="190" t="s">
        <v>122</v>
      </c>
      <c r="C2581" s="1423">
        <f ca="1">C2553</f>
        <v>0</v>
      </c>
      <c r="D2581" s="1423">
        <f t="shared" ref="D2581" ca="1" si="3831">IF(C2581="n/a","n/a",MAX(0,C2581-1))</f>
        <v>0</v>
      </c>
      <c r="E2581" s="1423">
        <f t="shared" ref="E2581:E2582" ca="1" si="3832">IF(D2581="n/a","n/a",MAX(0,D2581-1))</f>
        <v>0</v>
      </c>
      <c r="F2581" s="1423">
        <f t="shared" ref="F2581:F2583" ca="1" si="3833">IF(E2581="n/a","n/a",MAX(0,E2581-1))</f>
        <v>0</v>
      </c>
      <c r="G2581" s="1423">
        <f t="shared" ref="G2581:G2584" ca="1" si="3834">IF(F2581="n/a","n/a",MAX(0,F2581-1))</f>
        <v>0</v>
      </c>
      <c r="H2581" s="1423">
        <f t="shared" ref="H2581:H2585" ca="1" si="3835">IF(G2581="n/a","n/a",MAX(0,G2581-1))</f>
        <v>0</v>
      </c>
      <c r="I2581" s="1423">
        <f t="shared" ref="I2581:I2586" ca="1" si="3836">IF(H2581="n/a","n/a",MAX(0,H2581-1))</f>
        <v>0</v>
      </c>
      <c r="J2581" s="1423">
        <f t="shared" ref="J2581:J2587" ca="1" si="3837">IF(I2581="n/a","n/a",MAX(0,I2581-1))</f>
        <v>0</v>
      </c>
      <c r="K2581" s="1423">
        <f t="shared" ref="K2581:K2588" ca="1" si="3838">IF(J2581="n/a","n/a",MAX(0,J2581-1))</f>
        <v>0</v>
      </c>
      <c r="L2581" s="1423">
        <f t="shared" ref="L2581:L2589" ca="1" si="3839">IF(K2581="n/a","n/a",MAX(0,K2581-1))</f>
        <v>0</v>
      </c>
      <c r="M2581" s="1423">
        <f t="shared" ref="M2581:M2590" ca="1" si="3840">IF(L2581="n/a","n/a",MAX(0,L2581-1))</f>
        <v>0</v>
      </c>
      <c r="N2581" s="1423">
        <f t="shared" ref="N2581:N2591" ca="1" si="3841">IF(M2581="n/a","n/a",MAX(0,M2581-1))</f>
        <v>0</v>
      </c>
      <c r="O2581" s="1423">
        <f t="shared" ref="O2581:O2592" ca="1" si="3842">IF(N2581="n/a","n/a",MAX(0,N2581-1))</f>
        <v>0</v>
      </c>
      <c r="P2581" s="1423">
        <f t="shared" ref="P2581:P2593" ca="1" si="3843">IF(O2581="n/a","n/a",MAX(0,O2581-1))</f>
        <v>0</v>
      </c>
      <c r="Q2581" s="1423">
        <f t="shared" ref="Q2581:Q2594" ca="1" si="3844">IF(P2581="n/a","n/a",MAX(0,P2581-1))</f>
        <v>0</v>
      </c>
      <c r="R2581" s="1423">
        <f t="shared" ref="R2581:R2595" ca="1" si="3845">IF(Q2581="n/a","n/a",MAX(0,Q2581-1))</f>
        <v>0</v>
      </c>
      <c r="S2581" s="1423">
        <f t="shared" ref="S2581:S2596" ca="1" si="3846">IF(R2581="n/a","n/a",MAX(0,R2581-1))</f>
        <v>0</v>
      </c>
      <c r="T2581" s="1423">
        <f t="shared" ref="T2581:T2597" ca="1" si="3847">IF(S2581="n/a","n/a",MAX(0,S2581-1))</f>
        <v>0</v>
      </c>
      <c r="U2581" s="1423">
        <f t="shared" ref="U2581:U2598" ca="1" si="3848">IF(T2581="n/a","n/a",MAX(0,T2581-1))</f>
        <v>0</v>
      </c>
      <c r="V2581" s="1423">
        <f t="shared" ref="V2581:V2599" ca="1" si="3849">IF(U2581="n/a","n/a",MAX(0,U2581-1))</f>
        <v>0</v>
      </c>
      <c r="W2581" s="1423">
        <f t="shared" ref="W2581:W2599" ca="1" si="3850">IF(V2581="n/a","n/a",MAX(0,V2581-1))</f>
        <v>0</v>
      </c>
      <c r="X2581" s="152"/>
      <c r="Y2581" s="152"/>
      <c r="Z2581" s="152"/>
      <c r="AA2581" s="152"/>
      <c r="AB2581" s="152"/>
    </row>
    <row r="2582" spans="1:28" hidden="1" outlineLevel="1">
      <c r="A2582" s="152"/>
      <c r="B2582" s="190" t="str">
        <f t="shared" ref="B2582:B2601" ca="1" si="3851">"RL Capex "&amp;OFFSET($C$6,0,A2558)</f>
        <v>RL Capex 2016-17</v>
      </c>
      <c r="C2582" s="1424"/>
      <c r="D2582" s="1428">
        <f>D2553</f>
        <v>0</v>
      </c>
      <c r="E2582" s="1423">
        <f t="shared" si="3832"/>
        <v>0</v>
      </c>
      <c r="F2582" s="1423">
        <f t="shared" si="3833"/>
        <v>0</v>
      </c>
      <c r="G2582" s="1423">
        <f t="shared" si="3834"/>
        <v>0</v>
      </c>
      <c r="H2582" s="1423">
        <f t="shared" si="3835"/>
        <v>0</v>
      </c>
      <c r="I2582" s="1423">
        <f t="shared" si="3836"/>
        <v>0</v>
      </c>
      <c r="J2582" s="1423">
        <f t="shared" si="3837"/>
        <v>0</v>
      </c>
      <c r="K2582" s="1423">
        <f t="shared" si="3838"/>
        <v>0</v>
      </c>
      <c r="L2582" s="1423">
        <f t="shared" si="3839"/>
        <v>0</v>
      </c>
      <c r="M2582" s="1423">
        <f t="shared" si="3840"/>
        <v>0</v>
      </c>
      <c r="N2582" s="1423">
        <f t="shared" si="3841"/>
        <v>0</v>
      </c>
      <c r="O2582" s="1423">
        <f t="shared" si="3842"/>
        <v>0</v>
      </c>
      <c r="P2582" s="1423">
        <f t="shared" si="3843"/>
        <v>0</v>
      </c>
      <c r="Q2582" s="1423">
        <f t="shared" si="3844"/>
        <v>0</v>
      </c>
      <c r="R2582" s="1423">
        <f t="shared" si="3845"/>
        <v>0</v>
      </c>
      <c r="S2582" s="1423">
        <f t="shared" si="3846"/>
        <v>0</v>
      </c>
      <c r="T2582" s="1423">
        <f t="shared" si="3847"/>
        <v>0</v>
      </c>
      <c r="U2582" s="1423">
        <f t="shared" si="3848"/>
        <v>0</v>
      </c>
      <c r="V2582" s="1423">
        <f t="shared" si="3849"/>
        <v>0</v>
      </c>
      <c r="W2582" s="1423">
        <f t="shared" si="3850"/>
        <v>0</v>
      </c>
      <c r="X2582" s="152"/>
      <c r="Y2582" s="152"/>
      <c r="Z2582" s="152"/>
      <c r="AA2582" s="152"/>
      <c r="AB2582" s="152"/>
    </row>
    <row r="2583" spans="1:28" hidden="1" outlineLevel="1">
      <c r="A2583" s="152"/>
      <c r="B2583" s="190" t="str">
        <f t="shared" ca="1" si="3851"/>
        <v>RL Capex 2017-18</v>
      </c>
      <c r="C2583" s="1429"/>
      <c r="D2583" s="1424"/>
      <c r="E2583" s="1428">
        <f>E2553</f>
        <v>0</v>
      </c>
      <c r="F2583" s="1423">
        <f t="shared" si="3833"/>
        <v>0</v>
      </c>
      <c r="G2583" s="1423">
        <f t="shared" si="3834"/>
        <v>0</v>
      </c>
      <c r="H2583" s="1423">
        <f t="shared" si="3835"/>
        <v>0</v>
      </c>
      <c r="I2583" s="1423">
        <f t="shared" si="3836"/>
        <v>0</v>
      </c>
      <c r="J2583" s="1423">
        <f t="shared" si="3837"/>
        <v>0</v>
      </c>
      <c r="K2583" s="1423">
        <f t="shared" si="3838"/>
        <v>0</v>
      </c>
      <c r="L2583" s="1423">
        <f t="shared" si="3839"/>
        <v>0</v>
      </c>
      <c r="M2583" s="1423">
        <f t="shared" si="3840"/>
        <v>0</v>
      </c>
      <c r="N2583" s="1423">
        <f t="shared" si="3841"/>
        <v>0</v>
      </c>
      <c r="O2583" s="1423">
        <f t="shared" si="3842"/>
        <v>0</v>
      </c>
      <c r="P2583" s="1423">
        <f t="shared" si="3843"/>
        <v>0</v>
      </c>
      <c r="Q2583" s="1423">
        <f t="shared" si="3844"/>
        <v>0</v>
      </c>
      <c r="R2583" s="1423">
        <f t="shared" si="3845"/>
        <v>0</v>
      </c>
      <c r="S2583" s="1423">
        <f t="shared" si="3846"/>
        <v>0</v>
      </c>
      <c r="T2583" s="1423">
        <f t="shared" si="3847"/>
        <v>0</v>
      </c>
      <c r="U2583" s="1423">
        <f t="shared" si="3848"/>
        <v>0</v>
      </c>
      <c r="V2583" s="1423">
        <f t="shared" si="3849"/>
        <v>0</v>
      </c>
      <c r="W2583" s="1423">
        <f t="shared" si="3850"/>
        <v>0</v>
      </c>
      <c r="X2583" s="152"/>
      <c r="Y2583" s="152"/>
      <c r="Z2583" s="152"/>
      <c r="AA2583" s="152"/>
      <c r="AB2583" s="152"/>
    </row>
    <row r="2584" spans="1:28" hidden="1" outlineLevel="1">
      <c r="A2584" s="152"/>
      <c r="B2584" s="190" t="str">
        <f t="shared" ca="1" si="3851"/>
        <v>RL Capex 2018-19</v>
      </c>
      <c r="C2584" s="1429"/>
      <c r="D2584" s="1429"/>
      <c r="E2584" s="1424"/>
      <c r="F2584" s="1428">
        <f>F2553</f>
        <v>0</v>
      </c>
      <c r="G2584" s="1423">
        <f t="shared" si="3834"/>
        <v>0</v>
      </c>
      <c r="H2584" s="1423">
        <f t="shared" si="3835"/>
        <v>0</v>
      </c>
      <c r="I2584" s="1423">
        <f t="shared" si="3836"/>
        <v>0</v>
      </c>
      <c r="J2584" s="1423">
        <f t="shared" si="3837"/>
        <v>0</v>
      </c>
      <c r="K2584" s="1423">
        <f t="shared" si="3838"/>
        <v>0</v>
      </c>
      <c r="L2584" s="1423">
        <f t="shared" si="3839"/>
        <v>0</v>
      </c>
      <c r="M2584" s="1423">
        <f t="shared" si="3840"/>
        <v>0</v>
      </c>
      <c r="N2584" s="1423">
        <f t="shared" si="3841"/>
        <v>0</v>
      </c>
      <c r="O2584" s="1423">
        <f t="shared" si="3842"/>
        <v>0</v>
      </c>
      <c r="P2584" s="1423">
        <f t="shared" si="3843"/>
        <v>0</v>
      </c>
      <c r="Q2584" s="1423">
        <f t="shared" si="3844"/>
        <v>0</v>
      </c>
      <c r="R2584" s="1423">
        <f t="shared" si="3845"/>
        <v>0</v>
      </c>
      <c r="S2584" s="1423">
        <f t="shared" si="3846"/>
        <v>0</v>
      </c>
      <c r="T2584" s="1423">
        <f t="shared" si="3847"/>
        <v>0</v>
      </c>
      <c r="U2584" s="1423">
        <f t="shared" si="3848"/>
        <v>0</v>
      </c>
      <c r="V2584" s="1423">
        <f t="shared" si="3849"/>
        <v>0</v>
      </c>
      <c r="W2584" s="1423">
        <f t="shared" si="3850"/>
        <v>0</v>
      </c>
      <c r="X2584" s="152"/>
      <c r="Y2584" s="152"/>
      <c r="Z2584" s="152"/>
      <c r="AA2584" s="152"/>
      <c r="AB2584" s="152"/>
    </row>
    <row r="2585" spans="1:28" hidden="1" outlineLevel="1">
      <c r="A2585" s="152"/>
      <c r="B2585" s="190" t="str">
        <f t="shared" ca="1" si="3851"/>
        <v>RL Capex 2019-20</v>
      </c>
      <c r="C2585" s="1429"/>
      <c r="D2585" s="1429"/>
      <c r="E2585" s="1429"/>
      <c r="F2585" s="1424"/>
      <c r="G2585" s="1428">
        <f>G2553</f>
        <v>0</v>
      </c>
      <c r="H2585" s="1423">
        <f t="shared" si="3835"/>
        <v>0</v>
      </c>
      <c r="I2585" s="1423">
        <f t="shared" si="3836"/>
        <v>0</v>
      </c>
      <c r="J2585" s="1423">
        <f t="shared" si="3837"/>
        <v>0</v>
      </c>
      <c r="K2585" s="1423">
        <f t="shared" si="3838"/>
        <v>0</v>
      </c>
      <c r="L2585" s="1423">
        <f t="shared" si="3839"/>
        <v>0</v>
      </c>
      <c r="M2585" s="1423">
        <f t="shared" si="3840"/>
        <v>0</v>
      </c>
      <c r="N2585" s="1423">
        <f t="shared" si="3841"/>
        <v>0</v>
      </c>
      <c r="O2585" s="1423">
        <f t="shared" si="3842"/>
        <v>0</v>
      </c>
      <c r="P2585" s="1423">
        <f t="shared" si="3843"/>
        <v>0</v>
      </c>
      <c r="Q2585" s="1423">
        <f t="shared" si="3844"/>
        <v>0</v>
      </c>
      <c r="R2585" s="1423">
        <f t="shared" si="3845"/>
        <v>0</v>
      </c>
      <c r="S2585" s="1423">
        <f t="shared" si="3846"/>
        <v>0</v>
      </c>
      <c r="T2585" s="1423">
        <f t="shared" si="3847"/>
        <v>0</v>
      </c>
      <c r="U2585" s="1423">
        <f t="shared" si="3848"/>
        <v>0</v>
      </c>
      <c r="V2585" s="1423">
        <f t="shared" si="3849"/>
        <v>0</v>
      </c>
      <c r="W2585" s="1423">
        <f t="shared" si="3850"/>
        <v>0</v>
      </c>
      <c r="X2585" s="152"/>
      <c r="Y2585" s="152"/>
      <c r="Z2585" s="152"/>
      <c r="AA2585" s="152"/>
      <c r="AB2585" s="152"/>
    </row>
    <row r="2586" spans="1:28" hidden="1" outlineLevel="1">
      <c r="A2586" s="152"/>
      <c r="B2586" s="190" t="str">
        <f t="shared" ca="1" si="3851"/>
        <v>RL Capex 2020-21</v>
      </c>
      <c r="C2586" s="1429"/>
      <c r="D2586" s="1429"/>
      <c r="E2586" s="1429"/>
      <c r="F2586" s="1429"/>
      <c r="G2586" s="1424"/>
      <c r="H2586" s="1428">
        <f>H2553</f>
        <v>0</v>
      </c>
      <c r="I2586" s="1423">
        <f t="shared" si="3836"/>
        <v>0</v>
      </c>
      <c r="J2586" s="1423">
        <f t="shared" si="3837"/>
        <v>0</v>
      </c>
      <c r="K2586" s="1423">
        <f t="shared" si="3838"/>
        <v>0</v>
      </c>
      <c r="L2586" s="1423">
        <f t="shared" si="3839"/>
        <v>0</v>
      </c>
      <c r="M2586" s="1423">
        <f t="shared" si="3840"/>
        <v>0</v>
      </c>
      <c r="N2586" s="1423">
        <f t="shared" si="3841"/>
        <v>0</v>
      </c>
      <c r="O2586" s="1423">
        <f t="shared" si="3842"/>
        <v>0</v>
      </c>
      <c r="P2586" s="1423">
        <f t="shared" si="3843"/>
        <v>0</v>
      </c>
      <c r="Q2586" s="1423">
        <f t="shared" si="3844"/>
        <v>0</v>
      </c>
      <c r="R2586" s="1423">
        <f t="shared" si="3845"/>
        <v>0</v>
      </c>
      <c r="S2586" s="1423">
        <f t="shared" si="3846"/>
        <v>0</v>
      </c>
      <c r="T2586" s="1423">
        <f t="shared" si="3847"/>
        <v>0</v>
      </c>
      <c r="U2586" s="1423">
        <f t="shared" si="3848"/>
        <v>0</v>
      </c>
      <c r="V2586" s="1423">
        <f t="shared" si="3849"/>
        <v>0</v>
      </c>
      <c r="W2586" s="1423">
        <f t="shared" si="3850"/>
        <v>0</v>
      </c>
      <c r="X2586" s="152"/>
      <c r="Y2586" s="152"/>
      <c r="Z2586" s="152"/>
      <c r="AA2586" s="152"/>
      <c r="AB2586" s="152"/>
    </row>
    <row r="2587" spans="1:28" hidden="1" outlineLevel="1">
      <c r="A2587" s="152"/>
      <c r="B2587" s="190" t="str">
        <f t="shared" ca="1" si="3851"/>
        <v>RL Capex 2021-22</v>
      </c>
      <c r="C2587" s="1429"/>
      <c r="D2587" s="1429"/>
      <c r="E2587" s="1429"/>
      <c r="F2587" s="1429"/>
      <c r="G2587" s="1429"/>
      <c r="H2587" s="1424"/>
      <c r="I2587" s="1428">
        <f>I2553</f>
        <v>0</v>
      </c>
      <c r="J2587" s="1423">
        <f t="shared" si="3837"/>
        <v>0</v>
      </c>
      <c r="K2587" s="1423">
        <f t="shared" si="3838"/>
        <v>0</v>
      </c>
      <c r="L2587" s="1423">
        <f t="shared" si="3839"/>
        <v>0</v>
      </c>
      <c r="M2587" s="1423">
        <f t="shared" si="3840"/>
        <v>0</v>
      </c>
      <c r="N2587" s="1423">
        <f t="shared" si="3841"/>
        <v>0</v>
      </c>
      <c r="O2587" s="1423">
        <f t="shared" si="3842"/>
        <v>0</v>
      </c>
      <c r="P2587" s="1423">
        <f t="shared" si="3843"/>
        <v>0</v>
      </c>
      <c r="Q2587" s="1423">
        <f t="shared" si="3844"/>
        <v>0</v>
      </c>
      <c r="R2587" s="1423">
        <f t="shared" si="3845"/>
        <v>0</v>
      </c>
      <c r="S2587" s="1423">
        <f t="shared" si="3846"/>
        <v>0</v>
      </c>
      <c r="T2587" s="1423">
        <f t="shared" si="3847"/>
        <v>0</v>
      </c>
      <c r="U2587" s="1423">
        <f t="shared" si="3848"/>
        <v>0</v>
      </c>
      <c r="V2587" s="1423">
        <f t="shared" si="3849"/>
        <v>0</v>
      </c>
      <c r="W2587" s="1423">
        <f t="shared" si="3850"/>
        <v>0</v>
      </c>
      <c r="X2587" s="152"/>
      <c r="Y2587" s="152"/>
      <c r="Z2587" s="152"/>
      <c r="AA2587" s="152"/>
      <c r="AB2587" s="152"/>
    </row>
    <row r="2588" spans="1:28" hidden="1" outlineLevel="1">
      <c r="A2588" s="152"/>
      <c r="B2588" s="190" t="str">
        <f t="shared" ca="1" si="3851"/>
        <v>RL Capex 2022-23</v>
      </c>
      <c r="C2588" s="1429"/>
      <c r="D2588" s="1429"/>
      <c r="E2588" s="1429"/>
      <c r="F2588" s="1429"/>
      <c r="G2588" s="1429"/>
      <c r="H2588" s="1429"/>
      <c r="I2588" s="1424"/>
      <c r="J2588" s="1428">
        <f>J2553</f>
        <v>0</v>
      </c>
      <c r="K2588" s="1423">
        <f t="shared" si="3838"/>
        <v>0</v>
      </c>
      <c r="L2588" s="1423">
        <f t="shared" si="3839"/>
        <v>0</v>
      </c>
      <c r="M2588" s="1423">
        <f t="shared" si="3840"/>
        <v>0</v>
      </c>
      <c r="N2588" s="1423">
        <f t="shared" si="3841"/>
        <v>0</v>
      </c>
      <c r="O2588" s="1423">
        <f t="shared" si="3842"/>
        <v>0</v>
      </c>
      <c r="P2588" s="1423">
        <f t="shared" si="3843"/>
        <v>0</v>
      </c>
      <c r="Q2588" s="1423">
        <f t="shared" si="3844"/>
        <v>0</v>
      </c>
      <c r="R2588" s="1423">
        <f t="shared" si="3845"/>
        <v>0</v>
      </c>
      <c r="S2588" s="1423">
        <f t="shared" si="3846"/>
        <v>0</v>
      </c>
      <c r="T2588" s="1423">
        <f t="shared" si="3847"/>
        <v>0</v>
      </c>
      <c r="U2588" s="1423">
        <f t="shared" si="3848"/>
        <v>0</v>
      </c>
      <c r="V2588" s="1423">
        <f t="shared" si="3849"/>
        <v>0</v>
      </c>
      <c r="W2588" s="1423">
        <f t="shared" si="3850"/>
        <v>0</v>
      </c>
      <c r="X2588" s="152"/>
      <c r="Y2588" s="152"/>
      <c r="Z2588" s="152"/>
      <c r="AA2588" s="152"/>
      <c r="AB2588" s="152"/>
    </row>
    <row r="2589" spans="1:28" hidden="1" outlineLevel="1">
      <c r="A2589" s="152"/>
      <c r="B2589" s="190" t="str">
        <f t="shared" ca="1" si="3851"/>
        <v>RL Capex 2023-24</v>
      </c>
      <c r="C2589" s="1429"/>
      <c r="D2589" s="1429"/>
      <c r="E2589" s="1429"/>
      <c r="F2589" s="1429"/>
      <c r="G2589" s="1429"/>
      <c r="H2589" s="1429"/>
      <c r="I2589" s="1429"/>
      <c r="J2589" s="1424"/>
      <c r="K2589" s="1428">
        <f>K2553</f>
        <v>0</v>
      </c>
      <c r="L2589" s="1423">
        <f t="shared" si="3839"/>
        <v>0</v>
      </c>
      <c r="M2589" s="1423">
        <f t="shared" si="3840"/>
        <v>0</v>
      </c>
      <c r="N2589" s="1423">
        <f t="shared" si="3841"/>
        <v>0</v>
      </c>
      <c r="O2589" s="1423">
        <f t="shared" si="3842"/>
        <v>0</v>
      </c>
      <c r="P2589" s="1423">
        <f t="shared" si="3843"/>
        <v>0</v>
      </c>
      <c r="Q2589" s="1423">
        <f t="shared" si="3844"/>
        <v>0</v>
      </c>
      <c r="R2589" s="1423">
        <f t="shared" si="3845"/>
        <v>0</v>
      </c>
      <c r="S2589" s="1423">
        <f t="shared" si="3846"/>
        <v>0</v>
      </c>
      <c r="T2589" s="1423">
        <f t="shared" si="3847"/>
        <v>0</v>
      </c>
      <c r="U2589" s="1423">
        <f t="shared" si="3848"/>
        <v>0</v>
      </c>
      <c r="V2589" s="1423">
        <f t="shared" si="3849"/>
        <v>0</v>
      </c>
      <c r="W2589" s="1423">
        <f t="shared" si="3850"/>
        <v>0</v>
      </c>
      <c r="X2589" s="152"/>
      <c r="Y2589" s="152"/>
      <c r="Z2589" s="152"/>
      <c r="AA2589" s="152"/>
      <c r="AB2589" s="152"/>
    </row>
    <row r="2590" spans="1:28" hidden="1" outlineLevel="1">
      <c r="A2590" s="152"/>
      <c r="B2590" s="190" t="str">
        <f t="shared" ca="1" si="3851"/>
        <v>RL Capex 2024-25</v>
      </c>
      <c r="C2590" s="1429"/>
      <c r="D2590" s="1429"/>
      <c r="E2590" s="1429"/>
      <c r="F2590" s="1429"/>
      <c r="G2590" s="1429"/>
      <c r="H2590" s="1429"/>
      <c r="I2590" s="1429"/>
      <c r="J2590" s="1429"/>
      <c r="K2590" s="1424"/>
      <c r="L2590" s="1428">
        <f>L2553</f>
        <v>0</v>
      </c>
      <c r="M2590" s="1423">
        <f t="shared" si="3840"/>
        <v>0</v>
      </c>
      <c r="N2590" s="1423">
        <f t="shared" si="3841"/>
        <v>0</v>
      </c>
      <c r="O2590" s="1423">
        <f t="shared" si="3842"/>
        <v>0</v>
      </c>
      <c r="P2590" s="1423">
        <f t="shared" si="3843"/>
        <v>0</v>
      </c>
      <c r="Q2590" s="1423">
        <f t="shared" si="3844"/>
        <v>0</v>
      </c>
      <c r="R2590" s="1423">
        <f t="shared" si="3845"/>
        <v>0</v>
      </c>
      <c r="S2590" s="1423">
        <f t="shared" si="3846"/>
        <v>0</v>
      </c>
      <c r="T2590" s="1423">
        <f t="shared" si="3847"/>
        <v>0</v>
      </c>
      <c r="U2590" s="1423">
        <f t="shared" si="3848"/>
        <v>0</v>
      </c>
      <c r="V2590" s="1423">
        <f t="shared" si="3849"/>
        <v>0</v>
      </c>
      <c r="W2590" s="1423">
        <f t="shared" si="3850"/>
        <v>0</v>
      </c>
      <c r="X2590" s="152"/>
      <c r="Y2590" s="152"/>
      <c r="Z2590" s="152"/>
      <c r="AA2590" s="152"/>
      <c r="AB2590" s="152"/>
    </row>
    <row r="2591" spans="1:28" hidden="1" outlineLevel="1">
      <c r="A2591" s="152"/>
      <c r="B2591" s="190" t="str">
        <f t="shared" ca="1" si="3851"/>
        <v>RL Capex 2025-26</v>
      </c>
      <c r="C2591" s="1429"/>
      <c r="D2591" s="1429"/>
      <c r="E2591" s="1429"/>
      <c r="F2591" s="1429"/>
      <c r="G2591" s="1429"/>
      <c r="H2591" s="1429"/>
      <c r="I2591" s="1429"/>
      <c r="J2591" s="1429"/>
      <c r="K2591" s="1429"/>
      <c r="L2591" s="1424"/>
      <c r="M2591" s="1428">
        <f>M2553</f>
        <v>0</v>
      </c>
      <c r="N2591" s="1423">
        <f t="shared" si="3841"/>
        <v>0</v>
      </c>
      <c r="O2591" s="1423">
        <f t="shared" si="3842"/>
        <v>0</v>
      </c>
      <c r="P2591" s="1423">
        <f t="shared" si="3843"/>
        <v>0</v>
      </c>
      <c r="Q2591" s="1423">
        <f t="shared" si="3844"/>
        <v>0</v>
      </c>
      <c r="R2591" s="1423">
        <f t="shared" si="3845"/>
        <v>0</v>
      </c>
      <c r="S2591" s="1423">
        <f t="shared" si="3846"/>
        <v>0</v>
      </c>
      <c r="T2591" s="1423">
        <f t="shared" si="3847"/>
        <v>0</v>
      </c>
      <c r="U2591" s="1423">
        <f t="shared" si="3848"/>
        <v>0</v>
      </c>
      <c r="V2591" s="1423">
        <f t="shared" si="3849"/>
        <v>0</v>
      </c>
      <c r="W2591" s="1423">
        <f t="shared" si="3850"/>
        <v>0</v>
      </c>
      <c r="X2591" s="152"/>
      <c r="Y2591" s="152"/>
      <c r="Z2591" s="152"/>
      <c r="AA2591" s="152"/>
      <c r="AB2591" s="152"/>
    </row>
    <row r="2592" spans="1:28" hidden="1" outlineLevel="1">
      <c r="A2592" s="152"/>
      <c r="B2592" s="190" t="str">
        <f t="shared" ca="1" si="3851"/>
        <v>RL Capex 2026-27</v>
      </c>
      <c r="C2592" s="1429"/>
      <c r="D2592" s="1429"/>
      <c r="E2592" s="1429"/>
      <c r="F2592" s="1429"/>
      <c r="G2592" s="1429"/>
      <c r="H2592" s="1429"/>
      <c r="I2592" s="1429"/>
      <c r="J2592" s="1429"/>
      <c r="K2592" s="1429"/>
      <c r="L2592" s="1429"/>
      <c r="M2592" s="1424"/>
      <c r="N2592" s="1428">
        <f>N2553</f>
        <v>0</v>
      </c>
      <c r="O2592" s="1423">
        <f t="shared" si="3842"/>
        <v>0</v>
      </c>
      <c r="P2592" s="1423">
        <f t="shared" si="3843"/>
        <v>0</v>
      </c>
      <c r="Q2592" s="1423">
        <f t="shared" si="3844"/>
        <v>0</v>
      </c>
      <c r="R2592" s="1423">
        <f t="shared" si="3845"/>
        <v>0</v>
      </c>
      <c r="S2592" s="1423">
        <f t="shared" si="3846"/>
        <v>0</v>
      </c>
      <c r="T2592" s="1423">
        <f t="shared" si="3847"/>
        <v>0</v>
      </c>
      <c r="U2592" s="1423">
        <f t="shared" si="3848"/>
        <v>0</v>
      </c>
      <c r="V2592" s="1423">
        <f t="shared" si="3849"/>
        <v>0</v>
      </c>
      <c r="W2592" s="1423">
        <f t="shared" si="3850"/>
        <v>0</v>
      </c>
      <c r="X2592" s="152"/>
      <c r="Y2592" s="152"/>
      <c r="Z2592" s="152"/>
      <c r="AA2592" s="152"/>
      <c r="AB2592" s="152"/>
    </row>
    <row r="2593" spans="1:28" hidden="1" outlineLevel="1">
      <c r="A2593" s="152"/>
      <c r="B2593" s="190" t="str">
        <f t="shared" ca="1" si="3851"/>
        <v>RL Capex 2027-28</v>
      </c>
      <c r="C2593" s="1429"/>
      <c r="D2593" s="1429"/>
      <c r="E2593" s="1429"/>
      <c r="F2593" s="1429"/>
      <c r="G2593" s="1429"/>
      <c r="H2593" s="1429"/>
      <c r="I2593" s="1429"/>
      <c r="J2593" s="1429"/>
      <c r="K2593" s="1429"/>
      <c r="L2593" s="1429"/>
      <c r="M2593" s="1429"/>
      <c r="N2593" s="1424"/>
      <c r="O2593" s="1428">
        <f>O2553</f>
        <v>0</v>
      </c>
      <c r="P2593" s="1423">
        <f t="shared" si="3843"/>
        <v>0</v>
      </c>
      <c r="Q2593" s="1423">
        <f t="shared" si="3844"/>
        <v>0</v>
      </c>
      <c r="R2593" s="1423">
        <f t="shared" si="3845"/>
        <v>0</v>
      </c>
      <c r="S2593" s="1423">
        <f t="shared" si="3846"/>
        <v>0</v>
      </c>
      <c r="T2593" s="1423">
        <f t="shared" si="3847"/>
        <v>0</v>
      </c>
      <c r="U2593" s="1423">
        <f t="shared" si="3848"/>
        <v>0</v>
      </c>
      <c r="V2593" s="1423">
        <f t="shared" si="3849"/>
        <v>0</v>
      </c>
      <c r="W2593" s="1423">
        <f t="shared" si="3850"/>
        <v>0</v>
      </c>
      <c r="X2593" s="152"/>
      <c r="Y2593" s="152"/>
      <c r="Z2593" s="152"/>
      <c r="AA2593" s="152"/>
      <c r="AB2593" s="152"/>
    </row>
    <row r="2594" spans="1:28" hidden="1" outlineLevel="1">
      <c r="A2594" s="152"/>
      <c r="B2594" s="190" t="str">
        <f t="shared" ca="1" si="3851"/>
        <v>RL Capex 2028-29</v>
      </c>
      <c r="C2594" s="1429"/>
      <c r="D2594" s="1429"/>
      <c r="E2594" s="1429"/>
      <c r="F2594" s="1429"/>
      <c r="G2594" s="1429"/>
      <c r="H2594" s="1429"/>
      <c r="I2594" s="1429"/>
      <c r="J2594" s="1429"/>
      <c r="K2594" s="1429"/>
      <c r="L2594" s="1429"/>
      <c r="M2594" s="1429"/>
      <c r="N2594" s="1429"/>
      <c r="O2594" s="1424"/>
      <c r="P2594" s="1428">
        <f>P2553</f>
        <v>0</v>
      </c>
      <c r="Q2594" s="1423">
        <f t="shared" si="3844"/>
        <v>0</v>
      </c>
      <c r="R2594" s="1423">
        <f t="shared" si="3845"/>
        <v>0</v>
      </c>
      <c r="S2594" s="1423">
        <f t="shared" si="3846"/>
        <v>0</v>
      </c>
      <c r="T2594" s="1423">
        <f t="shared" si="3847"/>
        <v>0</v>
      </c>
      <c r="U2594" s="1423">
        <f t="shared" si="3848"/>
        <v>0</v>
      </c>
      <c r="V2594" s="1423">
        <f t="shared" si="3849"/>
        <v>0</v>
      </c>
      <c r="W2594" s="1423">
        <f t="shared" si="3850"/>
        <v>0</v>
      </c>
      <c r="X2594" s="152"/>
      <c r="Y2594" s="152"/>
      <c r="Z2594" s="152"/>
      <c r="AA2594" s="152"/>
      <c r="AB2594" s="152"/>
    </row>
    <row r="2595" spans="1:28" hidden="1" outlineLevel="1">
      <c r="A2595" s="152"/>
      <c r="B2595" s="190" t="str">
        <f t="shared" ca="1" si="3851"/>
        <v>RL Capex 2029-30</v>
      </c>
      <c r="C2595" s="1429"/>
      <c r="D2595" s="1429"/>
      <c r="E2595" s="1429"/>
      <c r="F2595" s="1429"/>
      <c r="G2595" s="1429"/>
      <c r="H2595" s="1429"/>
      <c r="I2595" s="1429"/>
      <c r="J2595" s="1429"/>
      <c r="K2595" s="1429"/>
      <c r="L2595" s="1429"/>
      <c r="M2595" s="1429"/>
      <c r="N2595" s="1429"/>
      <c r="O2595" s="1429"/>
      <c r="P2595" s="1424"/>
      <c r="Q2595" s="1428">
        <f>Q2553</f>
        <v>0</v>
      </c>
      <c r="R2595" s="1423">
        <f t="shared" si="3845"/>
        <v>0</v>
      </c>
      <c r="S2595" s="1423">
        <f t="shared" si="3846"/>
        <v>0</v>
      </c>
      <c r="T2595" s="1423">
        <f t="shared" si="3847"/>
        <v>0</v>
      </c>
      <c r="U2595" s="1423">
        <f t="shared" si="3848"/>
        <v>0</v>
      </c>
      <c r="V2595" s="1423">
        <f t="shared" si="3849"/>
        <v>0</v>
      </c>
      <c r="W2595" s="1423">
        <f t="shared" si="3850"/>
        <v>0</v>
      </c>
      <c r="X2595" s="152"/>
      <c r="Y2595" s="152"/>
      <c r="Z2595" s="152"/>
      <c r="AA2595" s="152"/>
      <c r="AB2595" s="152"/>
    </row>
    <row r="2596" spans="1:28" hidden="1" outlineLevel="1">
      <c r="A2596" s="152"/>
      <c r="B2596" s="190" t="str">
        <f t="shared" ca="1" si="3851"/>
        <v>RL Capex 2030-31</v>
      </c>
      <c r="C2596" s="1429"/>
      <c r="D2596" s="1429"/>
      <c r="E2596" s="1429"/>
      <c r="F2596" s="1429"/>
      <c r="G2596" s="1429"/>
      <c r="H2596" s="1429"/>
      <c r="I2596" s="1429"/>
      <c r="J2596" s="1429"/>
      <c r="K2596" s="1429"/>
      <c r="L2596" s="1429"/>
      <c r="M2596" s="1429"/>
      <c r="N2596" s="1429"/>
      <c r="O2596" s="1429"/>
      <c r="P2596" s="1429"/>
      <c r="Q2596" s="1424"/>
      <c r="R2596" s="1428">
        <f>R2553</f>
        <v>0</v>
      </c>
      <c r="S2596" s="1423">
        <f t="shared" si="3846"/>
        <v>0</v>
      </c>
      <c r="T2596" s="1423">
        <f t="shared" si="3847"/>
        <v>0</v>
      </c>
      <c r="U2596" s="1423">
        <f t="shared" si="3848"/>
        <v>0</v>
      </c>
      <c r="V2596" s="1423">
        <f t="shared" si="3849"/>
        <v>0</v>
      </c>
      <c r="W2596" s="1423">
        <f t="shared" si="3850"/>
        <v>0</v>
      </c>
      <c r="X2596" s="152"/>
      <c r="Y2596" s="152"/>
      <c r="Z2596" s="152"/>
      <c r="AA2596" s="152"/>
      <c r="AB2596" s="152"/>
    </row>
    <row r="2597" spans="1:28" hidden="1" outlineLevel="1">
      <c r="A2597" s="152"/>
      <c r="B2597" s="190" t="str">
        <f t="shared" ca="1" si="3851"/>
        <v>RL Capex 2031-32</v>
      </c>
      <c r="C2597" s="1429"/>
      <c r="D2597" s="1429"/>
      <c r="E2597" s="1429"/>
      <c r="F2597" s="1429"/>
      <c r="G2597" s="1429"/>
      <c r="H2597" s="1429"/>
      <c r="I2597" s="1429"/>
      <c r="J2597" s="1429"/>
      <c r="K2597" s="1429"/>
      <c r="L2597" s="1429"/>
      <c r="M2597" s="1429"/>
      <c r="N2597" s="1429"/>
      <c r="O2597" s="1429"/>
      <c r="P2597" s="1429"/>
      <c r="Q2597" s="1429"/>
      <c r="R2597" s="1424"/>
      <c r="S2597" s="1428">
        <f>S2553</f>
        <v>0</v>
      </c>
      <c r="T2597" s="1423">
        <f t="shared" si="3847"/>
        <v>0</v>
      </c>
      <c r="U2597" s="1423">
        <f t="shared" si="3848"/>
        <v>0</v>
      </c>
      <c r="V2597" s="1423">
        <f t="shared" si="3849"/>
        <v>0</v>
      </c>
      <c r="W2597" s="1423">
        <f t="shared" si="3850"/>
        <v>0</v>
      </c>
      <c r="X2597" s="152"/>
      <c r="Y2597" s="152"/>
      <c r="Z2597" s="152"/>
      <c r="AA2597" s="152"/>
      <c r="AB2597" s="152"/>
    </row>
    <row r="2598" spans="1:28" hidden="1" outlineLevel="1">
      <c r="A2598" s="152"/>
      <c r="B2598" s="190" t="str">
        <f t="shared" ca="1" si="3851"/>
        <v>RL Capex 2032-33</v>
      </c>
      <c r="C2598" s="1429"/>
      <c r="D2598" s="1429"/>
      <c r="E2598" s="1429"/>
      <c r="F2598" s="1429"/>
      <c r="G2598" s="1429"/>
      <c r="H2598" s="1429"/>
      <c r="I2598" s="1429"/>
      <c r="J2598" s="1429"/>
      <c r="K2598" s="1429"/>
      <c r="L2598" s="1429"/>
      <c r="M2598" s="1429"/>
      <c r="N2598" s="1429"/>
      <c r="O2598" s="1429"/>
      <c r="P2598" s="1429"/>
      <c r="Q2598" s="1429"/>
      <c r="R2598" s="1429"/>
      <c r="S2598" s="1424"/>
      <c r="T2598" s="1428">
        <f>T2553</f>
        <v>0</v>
      </c>
      <c r="U2598" s="1423">
        <f t="shared" si="3848"/>
        <v>0</v>
      </c>
      <c r="V2598" s="1423">
        <f t="shared" si="3849"/>
        <v>0</v>
      </c>
      <c r="W2598" s="1423">
        <f t="shared" si="3850"/>
        <v>0</v>
      </c>
      <c r="X2598" s="152"/>
      <c r="Y2598" s="152"/>
      <c r="Z2598" s="152"/>
      <c r="AA2598" s="152"/>
      <c r="AB2598" s="152"/>
    </row>
    <row r="2599" spans="1:28" hidden="1" outlineLevel="1">
      <c r="A2599" s="152"/>
      <c r="B2599" s="190" t="str">
        <f t="shared" ca="1" si="3851"/>
        <v>RL Capex 2033-34</v>
      </c>
      <c r="C2599" s="1429"/>
      <c r="D2599" s="1429"/>
      <c r="E2599" s="1429"/>
      <c r="F2599" s="1429"/>
      <c r="G2599" s="1429"/>
      <c r="H2599" s="1429"/>
      <c r="I2599" s="1429"/>
      <c r="J2599" s="1429"/>
      <c r="K2599" s="1429"/>
      <c r="L2599" s="1429"/>
      <c r="M2599" s="1429"/>
      <c r="N2599" s="1429"/>
      <c r="O2599" s="1429"/>
      <c r="P2599" s="1429"/>
      <c r="Q2599" s="1429"/>
      <c r="R2599" s="1429"/>
      <c r="S2599" s="1429"/>
      <c r="T2599" s="1424"/>
      <c r="U2599" s="1428">
        <f>U2553</f>
        <v>0</v>
      </c>
      <c r="V2599" s="1423">
        <f t="shared" si="3849"/>
        <v>0</v>
      </c>
      <c r="W2599" s="1423">
        <f t="shared" si="3850"/>
        <v>0</v>
      </c>
      <c r="X2599" s="152"/>
      <c r="Y2599" s="152"/>
      <c r="Z2599" s="152"/>
      <c r="AA2599" s="152"/>
      <c r="AB2599" s="152"/>
    </row>
    <row r="2600" spans="1:28" hidden="1" outlineLevel="1">
      <c r="A2600" s="152"/>
      <c r="B2600" s="190" t="str">
        <f t="shared" ca="1" si="3851"/>
        <v>RL Capex 2034-35</v>
      </c>
      <c r="C2600" s="1429"/>
      <c r="D2600" s="1429"/>
      <c r="E2600" s="1429"/>
      <c r="F2600" s="1429"/>
      <c r="G2600" s="1429"/>
      <c r="H2600" s="1429"/>
      <c r="I2600" s="1429"/>
      <c r="J2600" s="1429"/>
      <c r="K2600" s="1429"/>
      <c r="L2600" s="1429"/>
      <c r="M2600" s="1429"/>
      <c r="N2600" s="1429"/>
      <c r="O2600" s="1429"/>
      <c r="P2600" s="1429"/>
      <c r="Q2600" s="1429"/>
      <c r="R2600" s="1429"/>
      <c r="S2600" s="1429"/>
      <c r="T2600" s="1429"/>
      <c r="U2600" s="1424"/>
      <c r="V2600" s="1428">
        <f>V2553</f>
        <v>0</v>
      </c>
      <c r="W2600" s="1423">
        <f>IF(V2600="n/a","n/a",MAX(0,V2600-1))</f>
        <v>0</v>
      </c>
      <c r="X2600" s="152"/>
      <c r="Y2600" s="152"/>
      <c r="Z2600" s="152"/>
      <c r="AA2600" s="152"/>
      <c r="AB2600" s="152"/>
    </row>
    <row r="2601" spans="1:28" hidden="1" outlineLevel="1">
      <c r="A2601" s="152"/>
      <c r="B2601" s="190" t="str">
        <f t="shared" ca="1" si="3851"/>
        <v>RL Capex 2035-36</v>
      </c>
      <c r="C2601" s="1429"/>
      <c r="D2601" s="1429"/>
      <c r="E2601" s="1429"/>
      <c r="F2601" s="1429"/>
      <c r="G2601" s="1429"/>
      <c r="H2601" s="1429"/>
      <c r="I2601" s="1429"/>
      <c r="J2601" s="1429"/>
      <c r="K2601" s="1429"/>
      <c r="L2601" s="1429"/>
      <c r="M2601" s="1429"/>
      <c r="N2601" s="1429"/>
      <c r="O2601" s="1429"/>
      <c r="P2601" s="1429"/>
      <c r="Q2601" s="1429"/>
      <c r="R2601" s="1429"/>
      <c r="S2601" s="1429"/>
      <c r="T2601" s="1429"/>
      <c r="U2601" s="1429"/>
      <c r="V2601" s="1424"/>
      <c r="W2601" s="1423">
        <f>W2553</f>
        <v>0</v>
      </c>
      <c r="X2601" s="152"/>
      <c r="Y2601" s="152"/>
      <c r="Z2601" s="152"/>
      <c r="AA2601" s="152"/>
      <c r="AB2601" s="152"/>
    </row>
    <row r="2602" spans="1:28" hidden="1" outlineLevel="1">
      <c r="A2602" s="152"/>
      <c r="B2602" s="200"/>
      <c r="C2602" s="1423"/>
      <c r="D2602" s="1423"/>
      <c r="E2602" s="1423"/>
      <c r="F2602" s="1423"/>
      <c r="G2602" s="1423"/>
      <c r="H2602" s="1423"/>
      <c r="I2602" s="1423"/>
      <c r="J2602" s="1423"/>
      <c r="K2602" s="1423"/>
      <c r="L2602" s="1423"/>
      <c r="M2602" s="1423"/>
      <c r="N2602" s="1423"/>
      <c r="O2602" s="1423"/>
      <c r="P2602" s="1423"/>
      <c r="Q2602" s="1423"/>
      <c r="R2602" s="1423"/>
      <c r="S2602" s="1423"/>
      <c r="T2602" s="1423"/>
      <c r="U2602" s="1423"/>
      <c r="V2602" s="1423"/>
      <c r="W2602" s="1423"/>
      <c r="X2602" s="152"/>
      <c r="Y2602" s="152"/>
      <c r="Z2602" s="152"/>
      <c r="AA2602" s="152"/>
      <c r="AB2602" s="152"/>
    </row>
    <row r="2603" spans="1:28" collapsed="1">
      <c r="A2603" s="194"/>
      <c r="B2603" s="204" t="s">
        <v>123</v>
      </c>
      <c r="C2603" s="1430">
        <f ca="1">(IF(OR($C2553&lt;&gt;"n/a",C2553&lt;&gt;"n/a"),IF(SUM(C2556:C2578)=0,0,IF((SUMPRODUCT(C2556:C2578,C2580:C2602)/SUM(C2556:C2578))&lt;0,1,(SUMPRODUCT(C2556:C2578,C2580:C2602)/SUM(C2556:C2578)))),"n/a"))</f>
        <v>0</v>
      </c>
      <c r="D2603" s="1430">
        <f ca="1">(IF(OR($C2553&lt;&gt;"n/a",D2553&lt;&gt;"n/a"),IF(SUM(D2556:D2578)=0,0,IF((SUMPRODUCT(D2556:D2578,D2580:D2602)/SUM(D2556:D2578))&lt;0,1,(SUMPRODUCT(D2556:D2578,D2580:D2602)/SUM(D2556:D2578)))),"n/a"))</f>
        <v>0</v>
      </c>
      <c r="E2603" s="1430">
        <f t="shared" ref="E2603:W2603" ca="1" si="3852">(IF(OR($C2553&lt;&gt;"n/a",E2553&lt;&gt;"n/a"),IF(SUM(E2556:E2578)=0,0,IF((SUMPRODUCT(E2556:E2578,E2580:E2602)/SUM(E2556:E2578))&lt;0,1,(SUMPRODUCT(E2556:E2578,E2580:E2602)/SUM(E2556:E2578)))),"n/a"))</f>
        <v>0</v>
      </c>
      <c r="F2603" s="1430">
        <f t="shared" ca="1" si="3852"/>
        <v>0</v>
      </c>
      <c r="G2603" s="1430">
        <f t="shared" ca="1" si="3852"/>
        <v>0</v>
      </c>
      <c r="H2603" s="1430">
        <f t="shared" ca="1" si="3852"/>
        <v>0</v>
      </c>
      <c r="I2603" s="1430">
        <f t="shared" ca="1" si="3852"/>
        <v>0</v>
      </c>
      <c r="J2603" s="1430">
        <f t="shared" ca="1" si="3852"/>
        <v>0</v>
      </c>
      <c r="K2603" s="1430">
        <f t="shared" ca="1" si="3852"/>
        <v>0</v>
      </c>
      <c r="L2603" s="1430">
        <f t="shared" ca="1" si="3852"/>
        <v>0</v>
      </c>
      <c r="M2603" s="1430">
        <f t="shared" ca="1" si="3852"/>
        <v>0</v>
      </c>
      <c r="N2603" s="1430">
        <f t="shared" ca="1" si="3852"/>
        <v>0</v>
      </c>
      <c r="O2603" s="1430">
        <f t="shared" ca="1" si="3852"/>
        <v>0</v>
      </c>
      <c r="P2603" s="1430">
        <f t="shared" ca="1" si="3852"/>
        <v>0</v>
      </c>
      <c r="Q2603" s="1430">
        <f t="shared" ca="1" si="3852"/>
        <v>0</v>
      </c>
      <c r="R2603" s="1430">
        <f t="shared" ca="1" si="3852"/>
        <v>0</v>
      </c>
      <c r="S2603" s="1430">
        <f t="shared" ca="1" si="3852"/>
        <v>0</v>
      </c>
      <c r="T2603" s="1430">
        <f t="shared" ca="1" si="3852"/>
        <v>0</v>
      </c>
      <c r="U2603" s="1430">
        <f t="shared" ca="1" si="3852"/>
        <v>0</v>
      </c>
      <c r="V2603" s="1430">
        <f t="shared" ca="1" si="3852"/>
        <v>0</v>
      </c>
      <c r="W2603" s="1430">
        <f t="shared" ca="1" si="3852"/>
        <v>0</v>
      </c>
      <c r="X2603" s="152"/>
      <c r="Y2603" s="152"/>
      <c r="Z2603" s="152"/>
      <c r="AA2603" s="152"/>
      <c r="AB2603" s="152"/>
    </row>
    <row r="2604" spans="1:28">
      <c r="A2604" s="152"/>
      <c r="B2604" s="152"/>
      <c r="C2604" s="1423"/>
      <c r="D2604" s="1423"/>
      <c r="E2604" s="1423"/>
      <c r="F2604" s="1423"/>
      <c r="G2604" s="1423"/>
      <c r="H2604" s="1423"/>
      <c r="I2604" s="1423"/>
      <c r="J2604" s="1423"/>
      <c r="K2604" s="1423"/>
      <c r="L2604" s="1423"/>
      <c r="M2604" s="1423"/>
      <c r="N2604" s="1423"/>
      <c r="O2604" s="1423"/>
      <c r="P2604" s="1423"/>
      <c r="Q2604" s="1423"/>
      <c r="R2604" s="1423"/>
      <c r="S2604" s="1423"/>
      <c r="T2604" s="1423"/>
      <c r="U2604" s="1423"/>
      <c r="V2604" s="1423"/>
      <c r="W2604" s="1423"/>
      <c r="X2604" s="152"/>
      <c r="Y2604" s="152"/>
      <c r="Z2604" s="152"/>
      <c r="AA2604" s="152"/>
      <c r="AB2604" s="152"/>
    </row>
    <row r="2605" spans="1:28">
      <c r="A2605" s="269" t="s">
        <v>115</v>
      </c>
      <c r="B2605" s="270">
        <f>VLOOKUP($A2605,'RFM input'!$E$7:$F$56,2,FALSE)</f>
        <v>0</v>
      </c>
      <c r="C2605" s="1431"/>
      <c r="D2605" s="1431"/>
      <c r="E2605" s="1432"/>
      <c r="F2605" s="1432"/>
      <c r="G2605" s="1432"/>
      <c r="H2605" s="1432"/>
      <c r="I2605" s="1432"/>
      <c r="J2605" s="1432"/>
      <c r="K2605" s="1432"/>
      <c r="L2605" s="1432"/>
      <c r="M2605" s="1432"/>
      <c r="N2605" s="1432"/>
      <c r="O2605" s="1432"/>
      <c r="P2605" s="1432"/>
      <c r="Q2605" s="1432"/>
      <c r="R2605" s="1432"/>
      <c r="S2605" s="1432"/>
      <c r="T2605" s="1432"/>
      <c r="U2605" s="1432"/>
      <c r="V2605" s="1432"/>
      <c r="W2605" s="1432"/>
      <c r="X2605" s="152"/>
      <c r="Y2605" s="152"/>
      <c r="Z2605" s="152"/>
      <c r="AA2605" s="152"/>
      <c r="AB2605" s="152"/>
    </row>
    <row r="2606" spans="1:28">
      <c r="A2606" s="215">
        <f>VALUE(REPLACE(A2605,1,12,""))</f>
        <v>49</v>
      </c>
      <c r="B2606" s="193" t="s">
        <v>126</v>
      </c>
      <c r="C2606" s="1416">
        <f ca="1">IF($C$8='Capital Base roll forward'!$H$4,OFFSET('Capital Base roll forward'!$H$717,'RAB remaining lives'!A2606,0),"enter input")</f>
        <v>0</v>
      </c>
      <c r="D2606" s="1417">
        <f>IF(LEFT(D$6,4)&lt;LEFT('RFM input'!$G$60,4),"enter input",IF(LEFT(D$6,4)&gt;LEFT('RFM input'!$Q$60,4),0,INDEX('RFM input'!$G$61:$Q$110,$A2606,MATCH(D$6,'RFM input'!$G$60:$Q$60,0))
-INDEX('RFM input'!$G$115:$Q$164,$A2606,MATCH(D$6,'RFM input'!$G$60:$Q$60,0))
-INDEX('RFM input'!$G$169:$Q$218,$A2606,MATCH(D$6,'RFM input'!$G$60:$Q$60,0))))</f>
        <v>0</v>
      </c>
      <c r="E2606" s="1417">
        <f>IF(LEFT(E$6,4)&lt;LEFT('RFM input'!$G$60,4),"enter input",IF(LEFT(E$6,4)&gt;LEFT('RFM input'!$Q$60,4),0,INDEX('RFM input'!$G$61:$Q$110,$A2606,MATCH(E$6,'RFM input'!$G$60:$Q$60,0))
-INDEX('RFM input'!$G$115:$Q$164,$A2606,MATCH(E$6,'RFM input'!$G$60:$Q$60,0))
-INDEX('RFM input'!$G$169:$Q$218,$A2606,MATCH(E$6,'RFM input'!$G$60:$Q$60,0))))</f>
        <v>0</v>
      </c>
      <c r="F2606" s="1417">
        <f>IF(LEFT(F$6,4)&lt;LEFT('RFM input'!$G$60,4),"enter input",IF(LEFT(F$6,4)&gt;LEFT('RFM input'!$Q$60,4),0,INDEX('RFM input'!$G$61:$Q$110,$A2606,MATCH(F$6,'RFM input'!$G$60:$Q$60,0))
-INDEX('RFM input'!$G$115:$Q$164,$A2606,MATCH(F$6,'RFM input'!$G$60:$Q$60,0))
-INDEX('RFM input'!$G$169:$Q$218,$A2606,MATCH(F$6,'RFM input'!$G$60:$Q$60,0))))</f>
        <v>0</v>
      </c>
      <c r="G2606" s="1417">
        <f>IF(LEFT(G$6,4)&lt;LEFT('RFM input'!$G$60,4),"enter input",IF(LEFT(G$6,4)&gt;LEFT('RFM input'!$Q$60,4),0,INDEX('RFM input'!$G$61:$Q$110,$A2606,MATCH(G$6,'RFM input'!$G$60:$Q$60,0))
-INDEX('RFM input'!$G$115:$Q$164,$A2606,MATCH(G$6,'RFM input'!$G$60:$Q$60,0))
-INDEX('RFM input'!$G$169:$Q$218,$A2606,MATCH(G$6,'RFM input'!$G$60:$Q$60,0))))</f>
        <v>0</v>
      </c>
      <c r="H2606" s="1417">
        <f>IF(LEFT(H$6,4)&lt;LEFT('RFM input'!$G$60,4),"enter input",IF(LEFT(H$6,4)&gt;LEFT('RFM input'!$Q$60,4),0,INDEX('RFM input'!$G$61:$Q$110,$A2606,MATCH(H$6,'RFM input'!$G$60:$Q$60,0))
-INDEX('RFM input'!$G$115:$Q$164,$A2606,MATCH(H$6,'RFM input'!$G$60:$Q$60,0))
-INDEX('RFM input'!$G$169:$Q$218,$A2606,MATCH(H$6,'RFM input'!$G$60:$Q$60,0))))</f>
        <v>0</v>
      </c>
      <c r="I2606" s="1417">
        <f>IF(LEFT(I$6,4)&lt;LEFT('RFM input'!$G$60,4),"enter input",IF(LEFT(I$6,4)&gt;LEFT('RFM input'!$Q$60,4),0,INDEX('RFM input'!$G$61:$Q$110,$A2606,MATCH(I$6,'RFM input'!$G$60:$Q$60,0))
-INDEX('RFM input'!$G$115:$Q$164,$A2606,MATCH(I$6,'RFM input'!$G$60:$Q$60,0))
-INDEX('RFM input'!$G$169:$Q$218,$A2606,MATCH(I$6,'RFM input'!$G$60:$Q$60,0))))</f>
        <v>0</v>
      </c>
      <c r="J2606" s="1417">
        <f>IF(LEFT(J$6,4)&lt;LEFT('RFM input'!$G$60,4),"enter input",IF(LEFT(J$6,4)&gt;LEFT('RFM input'!$Q$60,4),0,INDEX('RFM input'!$G$61:$Q$110,$A2606,MATCH(J$6,'RFM input'!$G$60:$Q$60,0))
-INDEX('RFM input'!$G$115:$Q$164,$A2606,MATCH(J$6,'RFM input'!$G$60:$Q$60,0))
-INDEX('RFM input'!$G$169:$Q$218,$A2606,MATCH(J$6,'RFM input'!$G$60:$Q$60,0))))</f>
        <v>0</v>
      </c>
      <c r="K2606" s="1417">
        <f>IF(LEFT(K$6,4)&lt;LEFT('RFM input'!$G$60,4),"enter input",IF(LEFT(K$6,4)&gt;LEFT('RFM input'!$Q$60,4),0,INDEX('RFM input'!$G$61:$Q$110,$A2606,MATCH(K$6,'RFM input'!$G$60:$Q$60,0))
-INDEX('RFM input'!$G$115:$Q$164,$A2606,MATCH(K$6,'RFM input'!$G$60:$Q$60,0))
-INDEX('RFM input'!$G$169:$Q$218,$A2606,MATCH(K$6,'RFM input'!$G$60:$Q$60,0))))</f>
        <v>0</v>
      </c>
      <c r="L2606" s="1417">
        <f>IF(LEFT(L$6,4)&lt;LEFT('RFM input'!$G$60,4),"enter input",IF(LEFT(L$6,4)&gt;LEFT('RFM input'!$Q$60,4),0,INDEX('RFM input'!$G$61:$Q$110,$A2606,MATCH(L$6,'RFM input'!$G$60:$Q$60,0))
-INDEX('RFM input'!$G$115:$Q$164,$A2606,MATCH(L$6,'RFM input'!$G$60:$Q$60,0))
-INDEX('RFM input'!$G$169:$Q$218,$A2606,MATCH(L$6,'RFM input'!$G$60:$Q$60,0))))</f>
        <v>0</v>
      </c>
      <c r="M2606" s="1417">
        <f>IF(LEFT(M$6,4)&lt;LEFT('RFM input'!$G$60,4),"enter input",IF(LEFT(M$6,4)&gt;LEFT('RFM input'!$Q$60,4),0,INDEX('RFM input'!$G$61:$Q$110,$A2606,MATCH(M$6,'RFM input'!$G$60:$Q$60,0))
-INDEX('RFM input'!$G$115:$Q$164,$A2606,MATCH(M$6,'RFM input'!$G$60:$Q$60,0))
-INDEX('RFM input'!$G$169:$Q$218,$A2606,MATCH(M$6,'RFM input'!$G$60:$Q$60,0))))</f>
        <v>0</v>
      </c>
      <c r="N2606" s="1417">
        <f>IF(LEFT(N$6,4)&lt;LEFT('RFM input'!$G$60,4),"enter input",IF(LEFT(N$6,4)&gt;LEFT('RFM input'!$Q$60,4),0,INDEX('RFM input'!$G$61:$Q$110,$A2606,MATCH(N$6,'RFM input'!$G$60:$Q$60,0))
-INDEX('RFM input'!$G$115:$Q$164,$A2606,MATCH(N$6,'RFM input'!$G$60:$Q$60,0))
-INDEX('RFM input'!$G$169:$Q$218,$A2606,MATCH(N$6,'RFM input'!$G$60:$Q$60,0))))</f>
        <v>0</v>
      </c>
      <c r="O2606" s="1417">
        <f>IF(LEFT(O$6,4)&lt;LEFT('RFM input'!$G$60,4),"enter input",IF(LEFT(O$6,4)&gt;LEFT('RFM input'!$Q$60,4),0,INDEX('RFM input'!$G$61:$Q$110,$A2606,MATCH(O$6,'RFM input'!$G$60:$Q$60,0))
-INDEX('RFM input'!$G$115:$Q$164,$A2606,MATCH(O$6,'RFM input'!$G$60:$Q$60,0))
-INDEX('RFM input'!$G$169:$Q$218,$A2606,MATCH(O$6,'RFM input'!$G$60:$Q$60,0))))</f>
        <v>0</v>
      </c>
      <c r="P2606" s="1417">
        <f>IF(LEFT(P$6,4)&lt;LEFT('RFM input'!$G$60,4),"enter input",IF(LEFT(P$6,4)&gt;LEFT('RFM input'!$Q$60,4),0,INDEX('RFM input'!$G$61:$Q$110,$A2606,MATCH(P$6,'RFM input'!$G$60:$Q$60,0))
-INDEX('RFM input'!$G$115:$Q$164,$A2606,MATCH(P$6,'RFM input'!$G$60:$Q$60,0))
-INDEX('RFM input'!$G$169:$Q$218,$A2606,MATCH(P$6,'RFM input'!$G$60:$Q$60,0))))</f>
        <v>0</v>
      </c>
      <c r="Q2606" s="1417">
        <f>IF(LEFT(Q$6,4)&lt;LEFT('RFM input'!$G$60,4),"enter input",IF(LEFT(Q$6,4)&gt;LEFT('RFM input'!$Q$60,4),0,INDEX('RFM input'!$G$61:$Q$110,$A2606,MATCH(Q$6,'RFM input'!$G$60:$Q$60,0))
-INDEX('RFM input'!$G$115:$Q$164,$A2606,MATCH(Q$6,'RFM input'!$G$60:$Q$60,0))
-INDEX('RFM input'!$G$169:$Q$218,$A2606,MATCH(Q$6,'RFM input'!$G$60:$Q$60,0))))</f>
        <v>0</v>
      </c>
      <c r="R2606" s="1417">
        <f>IF(LEFT(R$6,4)&lt;LEFT('RFM input'!$G$60,4),"enter input",IF(LEFT(R$6,4)&gt;LEFT('RFM input'!$Q$60,4),0,INDEX('RFM input'!$G$61:$Q$110,$A2606,MATCH(R$6,'RFM input'!$G$60:$Q$60,0))
-INDEX('RFM input'!$G$115:$Q$164,$A2606,MATCH(R$6,'RFM input'!$G$60:$Q$60,0))
-INDEX('RFM input'!$G$169:$Q$218,$A2606,MATCH(R$6,'RFM input'!$G$60:$Q$60,0))))</f>
        <v>0</v>
      </c>
      <c r="S2606" s="1417">
        <f>IF(LEFT(S$6,4)&lt;LEFT('RFM input'!$G$60,4),"enter input",IF(LEFT(S$6,4)&gt;LEFT('RFM input'!$Q$60,4),0,INDEX('RFM input'!$G$61:$Q$110,$A2606,MATCH(S$6,'RFM input'!$G$60:$Q$60,0))
-INDEX('RFM input'!$G$115:$Q$164,$A2606,MATCH(S$6,'RFM input'!$G$60:$Q$60,0))
-INDEX('RFM input'!$G$169:$Q$218,$A2606,MATCH(S$6,'RFM input'!$G$60:$Q$60,0))))</f>
        <v>0</v>
      </c>
      <c r="T2606" s="1417">
        <f>IF(LEFT(T$6,4)&lt;LEFT('RFM input'!$G$60,4),"enter input",IF(LEFT(T$6,4)&gt;LEFT('RFM input'!$Q$60,4),0,INDEX('RFM input'!$G$61:$Q$110,$A2606,MATCH(T$6,'RFM input'!$G$60:$Q$60,0))
-INDEX('RFM input'!$G$115:$Q$164,$A2606,MATCH(T$6,'RFM input'!$G$60:$Q$60,0))
-INDEX('RFM input'!$G$169:$Q$218,$A2606,MATCH(T$6,'RFM input'!$G$60:$Q$60,0))))</f>
        <v>0</v>
      </c>
      <c r="U2606" s="1417">
        <f>IF(LEFT(U$6,4)&lt;LEFT('RFM input'!$G$60,4),"enter input",IF(LEFT(U$6,4)&gt;LEFT('RFM input'!$Q$60,4),0,INDEX('RFM input'!$G$61:$Q$110,$A2606,MATCH(U$6,'RFM input'!$G$60:$Q$60,0))
-INDEX('RFM input'!$G$115:$Q$164,$A2606,MATCH(U$6,'RFM input'!$G$60:$Q$60,0))
-INDEX('RFM input'!$G$169:$Q$218,$A2606,MATCH(U$6,'RFM input'!$G$60:$Q$60,0))))</f>
        <v>0</v>
      </c>
      <c r="V2606" s="1417">
        <f>IF(LEFT(V$6,4)&lt;LEFT('RFM input'!$G$60,4),"enter input",IF(LEFT(V$6,4)&gt;LEFT('RFM input'!$Q$60,4),0,INDEX('RFM input'!$G$61:$Q$110,$A2606,MATCH(V$6,'RFM input'!$G$60:$Q$60,0))
-INDEX('RFM input'!$G$115:$Q$164,$A2606,MATCH(V$6,'RFM input'!$G$60:$Q$60,0))
-INDEX('RFM input'!$G$169:$Q$218,$A2606,MATCH(V$6,'RFM input'!$G$60:$Q$60,0))))</f>
        <v>0</v>
      </c>
      <c r="W2606" s="1417">
        <f>IF(LEFT(W$6,4)&lt;LEFT('RFM input'!$G$60,4),"enter input",IF(LEFT(W$6,4)&gt;LEFT('RFM input'!$Q$60,4),0,INDEX('RFM input'!$G$61:$Q$110,$A2606,MATCH(W$6,'RFM input'!$G$60:$Q$60,0))
-INDEX('RFM input'!$G$115:$Q$164,$A2606,MATCH(W$6,'RFM input'!$G$60:$Q$60,0))
-INDEX('RFM input'!$G$169:$Q$218,$A2606,MATCH(W$6,'RFM input'!$G$60:$Q$60,0))))</f>
        <v>0</v>
      </c>
      <c r="X2606" s="152"/>
      <c r="Y2606" s="152"/>
      <c r="Z2606" s="152"/>
      <c r="AA2606" s="152"/>
      <c r="AB2606" s="152"/>
    </row>
    <row r="2607" spans="1:28">
      <c r="A2607" s="152"/>
      <c r="B2607" s="152" t="s">
        <v>204</v>
      </c>
      <c r="C2607" s="1418">
        <f ca="1">IF($C$8='Capital Base roll forward'!$H$4,OFFSET('RFM input'!$J$6,'RAB remaining lives'!A2606,0),"enter input")</f>
        <v>0</v>
      </c>
      <c r="D2607" s="1417">
        <f>IF(LEFT(D$6,4)&lt;=LEFT('RFM input'!$G$60,4),"enter input",IF(LEFT(D$6,4)&gt;LEFT('RFM input'!$Q$60,4),0,IF(MATCH(D$6,'RFM input'!$H$60:$Q$60,0),INDEX('RFM input'!$K$7:$K$56,$A2606,1))))</f>
        <v>0</v>
      </c>
      <c r="E2607" s="1417">
        <f>IF(LEFT(E$6,4)&lt;=LEFT('RFM input'!$G$60,4),"enter input",IF(LEFT(E$6,4)&gt;LEFT('RFM input'!$Q$60,4),0,IF(MATCH(E$6,'RFM input'!$H$60:$Q$60,0),INDEX('RFM input'!$K$7:$K$56,$A2606,1))))</f>
        <v>0</v>
      </c>
      <c r="F2607" s="1417">
        <f>IF(LEFT(F$6,4)&lt;=LEFT('RFM input'!$G$60,4),"enter input",IF(LEFT(F$6,4)&gt;LEFT('RFM input'!$Q$60,4),0,IF(MATCH(F$6,'RFM input'!$H$60:$Q$60,0),INDEX('RFM input'!$K$7:$K$56,$A2606,1))))</f>
        <v>0</v>
      </c>
      <c r="G2607" s="1417">
        <f>IF(LEFT(G$6,4)&lt;=LEFT('RFM input'!$G$60,4),"enter input",IF(LEFT(G$6,4)&gt;LEFT('RFM input'!$Q$60,4),0,IF(MATCH(G$6,'RFM input'!$H$60:$Q$60,0),INDEX('RFM input'!$K$7:$K$56,$A2606,1))))</f>
        <v>0</v>
      </c>
      <c r="H2607" s="1417">
        <f>IF(LEFT(H$6,4)&lt;=LEFT('RFM input'!$G$60,4),"enter input",IF(LEFT(H$6,4)&gt;LEFT('RFM input'!$Q$60,4),0,IF(MATCH(H$6,'RFM input'!$H$60:$Q$60,0),INDEX('RFM input'!$K$7:$K$56,$A2606,1))))</f>
        <v>0</v>
      </c>
      <c r="I2607" s="1417">
        <f>IF(LEFT(I$6,4)&lt;=LEFT('RFM input'!$G$60,4),"enter input",IF(LEFT(I$6,4)&gt;LEFT('RFM input'!$Q$60,4),0,IF(MATCH(I$6,'RFM input'!$H$60:$Q$60,0),INDEX('RFM input'!$K$7:$K$56,$A2606,1))))</f>
        <v>0</v>
      </c>
      <c r="J2607" s="1417">
        <f>IF(LEFT(J$6,4)&lt;=LEFT('RFM input'!$G$60,4),"enter input",IF(LEFT(J$6,4)&gt;LEFT('RFM input'!$Q$60,4),0,IF(MATCH(J$6,'RFM input'!$H$60:$Q$60,0),INDEX('RFM input'!$K$7:$K$56,$A2606,1))))</f>
        <v>0</v>
      </c>
      <c r="K2607" s="1417">
        <f>IF(LEFT(K$6,4)&lt;=LEFT('RFM input'!$G$60,4),"enter input",IF(LEFT(K$6,4)&gt;LEFT('RFM input'!$Q$60,4),0,IF(MATCH(K$6,'RFM input'!$H$60:$Q$60,0),INDEX('RFM input'!$K$7:$K$56,$A2606,1))))</f>
        <v>0</v>
      </c>
      <c r="L2607" s="1417">
        <f>IF(LEFT(L$6,4)&lt;=LEFT('RFM input'!$G$60,4),"enter input",IF(LEFT(L$6,4)&gt;LEFT('RFM input'!$Q$60,4),0,IF(MATCH(L$6,'RFM input'!$H$60:$Q$60,0),INDEX('RFM input'!$K$7:$K$56,$A2606,1))))</f>
        <v>0</v>
      </c>
      <c r="M2607" s="1417">
        <f>IF(LEFT(M$6,4)&lt;=LEFT('RFM input'!$G$60,4),"enter input",IF(LEFT(M$6,4)&gt;LEFT('RFM input'!$Q$60,4),0,IF(MATCH(M$6,'RFM input'!$H$60:$Q$60,0),INDEX('RFM input'!$K$7:$K$56,$A2606,1))))</f>
        <v>0</v>
      </c>
      <c r="N2607" s="1417">
        <f>IF(LEFT(N$6,4)&lt;=LEFT('RFM input'!$G$60,4),"enter input",IF(LEFT(N$6,4)&gt;LEFT('RFM input'!$Q$60,4),0,IF(MATCH(N$6,'RFM input'!$H$60:$Q$60,0),INDEX('RFM input'!$K$7:$K$56,$A2606,1))))</f>
        <v>0</v>
      </c>
      <c r="O2607" s="1417">
        <f>IF(LEFT(O$6,4)&lt;=LEFT('RFM input'!$G$60,4),"enter input",IF(LEFT(O$6,4)&gt;LEFT('RFM input'!$Q$60,4),0,IF(MATCH(O$6,'RFM input'!$H$60:$Q$60,0),INDEX('RFM input'!$K$7:$K$56,$A2606,1))))</f>
        <v>0</v>
      </c>
      <c r="P2607" s="1417">
        <f>IF(LEFT(P$6,4)&lt;=LEFT('RFM input'!$G$60,4),"enter input",IF(LEFT(P$6,4)&gt;LEFT('RFM input'!$Q$60,4),0,IF(MATCH(P$6,'RFM input'!$H$60:$Q$60,0),INDEX('RFM input'!$K$7:$K$56,$A2606,1))))</f>
        <v>0</v>
      </c>
      <c r="Q2607" s="1417">
        <f>IF(LEFT(Q$6,4)&lt;=LEFT('RFM input'!$G$60,4),"enter input",IF(LEFT(Q$6,4)&gt;LEFT('RFM input'!$Q$60,4),0,IF(MATCH(Q$6,'RFM input'!$H$60:$Q$60,0),INDEX('RFM input'!$K$7:$K$56,$A2606,1))))</f>
        <v>0</v>
      </c>
      <c r="R2607" s="1417">
        <f>IF(LEFT(R$6,4)&lt;=LEFT('RFM input'!$G$60,4),"enter input",IF(LEFT(R$6,4)&gt;LEFT('RFM input'!$Q$60,4),0,IF(MATCH(R$6,'RFM input'!$H$60:$Q$60,0),INDEX('RFM input'!$K$7:$K$56,$A2606,1))))</f>
        <v>0</v>
      </c>
      <c r="S2607" s="1417">
        <f>IF(LEFT(S$6,4)&lt;=LEFT('RFM input'!$G$60,4),"enter input",IF(LEFT(S$6,4)&gt;LEFT('RFM input'!$Q$60,4),0,IF(MATCH(S$6,'RFM input'!$H$60:$Q$60,0),INDEX('RFM input'!$K$7:$K$56,$A2606,1))))</f>
        <v>0</v>
      </c>
      <c r="T2607" s="1417">
        <f>IF(LEFT(T$6,4)&lt;=LEFT('RFM input'!$G$60,4),"enter input",IF(LEFT(T$6,4)&gt;LEFT('RFM input'!$Q$60,4),0,IF(MATCH(T$6,'RFM input'!$H$60:$Q$60,0),INDEX('RFM input'!$K$7:$K$56,$A2606,1))))</f>
        <v>0</v>
      </c>
      <c r="U2607" s="1417">
        <f>IF(LEFT(U$6,4)&lt;=LEFT('RFM input'!$G$60,4),"enter input",IF(LEFT(U$6,4)&gt;LEFT('RFM input'!$Q$60,4),0,IF(MATCH(U$6,'RFM input'!$H$60:$Q$60,0),INDEX('RFM input'!$K$7:$K$56,$A2606,1))))</f>
        <v>0</v>
      </c>
      <c r="V2607" s="1417">
        <f>IF(LEFT(V$6,4)&lt;=LEFT('RFM input'!$G$60,4),"enter input",IF(LEFT(V$6,4)&gt;LEFT('RFM input'!$Q$60,4),0,IF(MATCH(V$6,'RFM input'!$H$60:$Q$60,0),INDEX('RFM input'!$K$7:$K$56,$A2606,1))))</f>
        <v>0</v>
      </c>
      <c r="W2607" s="1417">
        <f>IF(LEFT(W$6,4)&lt;=LEFT('RFM input'!$G$60,4),"enter input",IF(LEFT(W$6,4)&gt;LEFT('RFM input'!$Q$60,4),0,IF(MATCH(W$6,'RFM input'!$H$60:$Q$60,0),INDEX('RFM input'!$K$7:$K$56,$A2606,1))))</f>
        <v>0</v>
      </c>
      <c r="X2607" s="152"/>
      <c r="Y2607" s="152"/>
      <c r="Z2607" s="152"/>
      <c r="AA2607" s="152"/>
      <c r="AB2607" s="152"/>
    </row>
    <row r="2608" spans="1:28">
      <c r="A2608" s="152"/>
      <c r="B2608" s="177" t="s">
        <v>191</v>
      </c>
      <c r="C2608" s="1419"/>
      <c r="D2608" s="1420">
        <f ca="1">IF(LEFT(D$6,4)&lt;=LEFT('RFM input'!$G$60,4),"enter input",IF(LEFT(D$6,4)&gt;LEFT('RFM input'!$Q$60,4),0,IF(D$6=(OFFSET('RFM input'!$G$60,0,'RFM input'!$V$7)),OFFSET('RFM input'!$G$411,$A2606,0),0)))</f>
        <v>0</v>
      </c>
      <c r="E2608" s="1417">
        <f ca="1">IF(LEFT(E$6,4)&lt;=LEFT('RFM input'!$G$60,4),"enter input",IF(LEFT(E$6,4)&gt;LEFT('RFM input'!$Q$60,4),0,IF(E$6=(OFFSET('RFM input'!$G$60,0,'RFM input'!$V$7)),OFFSET('RFM input'!$G$411,$A2606,0),0)))</f>
        <v>0</v>
      </c>
      <c r="F2608" s="1417">
        <f ca="1">IF(LEFT(F$6,4)&lt;=LEFT('RFM input'!$G$60,4),"enter input",IF(LEFT(F$6,4)&gt;LEFT('RFM input'!$Q$60,4),0,IF(F$6=(OFFSET('RFM input'!$G$60,0,'RFM input'!$V$7)),OFFSET('RFM input'!$G$411,$A2606,0),0)))</f>
        <v>0</v>
      </c>
      <c r="G2608" s="1417">
        <f ca="1">IF(LEFT(G$6,4)&lt;=LEFT('RFM input'!$G$60,4),"enter input",IF(LEFT(G$6,4)&gt;LEFT('RFM input'!$Q$60,4),0,IF(G$6=(OFFSET('RFM input'!$G$60,0,'RFM input'!$V$7)),OFFSET('RFM input'!$G$411,$A2606,0),0)))</f>
        <v>0</v>
      </c>
      <c r="H2608" s="1417">
        <f ca="1">IF(LEFT(H$6,4)&lt;=LEFT('RFM input'!$G$60,4),"enter input",IF(LEFT(H$6,4)&gt;LEFT('RFM input'!$Q$60,4),0,IF(H$6=(OFFSET('RFM input'!$G$60,0,'RFM input'!$V$7)),OFFSET('RFM input'!$G$411,$A2606,0),0)))</f>
        <v>0</v>
      </c>
      <c r="I2608" s="1417">
        <f ca="1">IF(LEFT(I$6,4)&lt;=LEFT('RFM input'!$G$60,4),"enter input",IF(LEFT(I$6,4)&gt;LEFT('RFM input'!$Q$60,4),0,IF(I$6=(OFFSET('RFM input'!$G$60,0,'RFM input'!$V$7)),OFFSET('RFM input'!$G$411,$A2606,0),0)))</f>
        <v>0</v>
      </c>
      <c r="J2608" s="1417">
        <f ca="1">IF(LEFT(J$6,4)&lt;=LEFT('RFM input'!$G$60,4),"enter input",IF(LEFT(J$6,4)&gt;LEFT('RFM input'!$Q$60,4),0,IF(J$6=(OFFSET('RFM input'!$G$60,0,'RFM input'!$V$7)),OFFSET('RFM input'!$G$411,$A2606,0),0)))</f>
        <v>0</v>
      </c>
      <c r="K2608" s="1417">
        <f ca="1">IF(LEFT(K$6,4)&lt;=LEFT('RFM input'!$G$60,4),"enter input",IF(LEFT(K$6,4)&gt;LEFT('RFM input'!$Q$60,4),0,IF(K$6=(OFFSET('RFM input'!$G$60,0,'RFM input'!$V$7)),OFFSET('RFM input'!$G$411,$A2606,0),0)))</f>
        <v>0</v>
      </c>
      <c r="L2608" s="1417">
        <f ca="1">IF(LEFT(L$6,4)&lt;=LEFT('RFM input'!$G$60,4),"enter input",IF(LEFT(L$6,4)&gt;LEFT('RFM input'!$Q$60,4),0,IF(L$6=(OFFSET('RFM input'!$G$60,0,'RFM input'!$V$7)),OFFSET('RFM input'!$G$411,$A2606,0),0)))</f>
        <v>0</v>
      </c>
      <c r="M2608" s="1417">
        <f ca="1">IF(LEFT(M$6,4)&lt;=LEFT('RFM input'!$G$60,4),"enter input",IF(LEFT(M$6,4)&gt;LEFT('RFM input'!$Q$60,4),0,IF(M$6=(OFFSET('RFM input'!$G$60,0,'RFM input'!$V$7)),OFFSET('RFM input'!$G$411,$A2606,0),0)))</f>
        <v>0</v>
      </c>
      <c r="N2608" s="1417">
        <f ca="1">IF(LEFT(N$6,4)&lt;=LEFT('RFM input'!$G$60,4),"enter input",IF(LEFT(N$6,4)&gt;LEFT('RFM input'!$Q$60,4),0,IF(N$6=(OFFSET('RFM input'!$G$60,0,'RFM input'!$V$7)),OFFSET('RFM input'!$G$411,$A2606,0),0)))</f>
        <v>0</v>
      </c>
      <c r="O2608" s="1417">
        <f ca="1">IF(LEFT(O$6,4)&lt;=LEFT('RFM input'!$G$60,4),"enter input",IF(LEFT(O$6,4)&gt;LEFT('RFM input'!$Q$60,4),0,IF(O$6=(OFFSET('RFM input'!$G$60,0,'RFM input'!$V$7)),OFFSET('RFM input'!$G$411,$A2606,0),0)))</f>
        <v>0</v>
      </c>
      <c r="P2608" s="1417">
        <f ca="1">IF(LEFT(P$6,4)&lt;=LEFT('RFM input'!$G$60,4),"enter input",IF(LEFT(P$6,4)&gt;LEFT('RFM input'!$Q$60,4),0,IF(P$6=(OFFSET('RFM input'!$G$60,0,'RFM input'!$V$7)),OFFSET('RFM input'!$G$411,$A2606,0),0)))</f>
        <v>0</v>
      </c>
      <c r="Q2608" s="1417">
        <f ca="1">IF(LEFT(Q$6,4)&lt;=LEFT('RFM input'!$G$60,4),"enter input",IF(LEFT(Q$6,4)&gt;LEFT('RFM input'!$Q$60,4),0,IF(Q$6=(OFFSET('RFM input'!$G$60,0,'RFM input'!$V$7)),OFFSET('RFM input'!$G$411,$A2606,0),0)))</f>
        <v>0</v>
      </c>
      <c r="R2608" s="1417">
        <f ca="1">IF(LEFT(R$6,4)&lt;=LEFT('RFM input'!$G$60,4),"enter input",IF(LEFT(R$6,4)&gt;LEFT('RFM input'!$Q$60,4),0,IF(R$6=(OFFSET('RFM input'!$G$60,0,'RFM input'!$V$7)),OFFSET('RFM input'!$G$411,$A2606,0),0)))</f>
        <v>0</v>
      </c>
      <c r="S2608" s="1417">
        <f ca="1">IF(LEFT(S$6,4)&lt;=LEFT('RFM input'!$G$60,4),"enter input",IF(LEFT(S$6,4)&gt;LEFT('RFM input'!$Q$60,4),0,IF(S$6=(OFFSET('RFM input'!$G$60,0,'RFM input'!$V$7)),OFFSET('RFM input'!$G$411,$A2606,0),0)))</f>
        <v>0</v>
      </c>
      <c r="T2608" s="1417">
        <f ca="1">IF(LEFT(T$6,4)&lt;=LEFT('RFM input'!$G$60,4),"enter input",IF(LEFT(T$6,4)&gt;LEFT('RFM input'!$Q$60,4),0,IF(T$6=(OFFSET('RFM input'!$G$60,0,'RFM input'!$V$7)),OFFSET('RFM input'!$G$411,$A2606,0),0)))</f>
        <v>0</v>
      </c>
      <c r="U2608" s="1417">
        <f ca="1">IF(LEFT(U$6,4)&lt;=LEFT('RFM input'!$G$60,4),"enter input",IF(LEFT(U$6,4)&gt;LEFT('RFM input'!$Q$60,4),0,IF(U$6=(OFFSET('RFM input'!$G$60,0,'RFM input'!$V$7)),OFFSET('RFM input'!$G$411,$A2606,0),0)))</f>
        <v>0</v>
      </c>
      <c r="V2608" s="1417">
        <f ca="1">IF(LEFT(V$6,4)&lt;=LEFT('RFM input'!$G$60,4),"enter input",IF(LEFT(V$6,4)&gt;LEFT('RFM input'!$Q$60,4),0,IF(V$6=(OFFSET('RFM input'!$G$60,0,'RFM input'!$V$7)),OFFSET('RFM input'!$G$411,$A2606,0),0)))</f>
        <v>0</v>
      </c>
      <c r="W2608" s="1417">
        <f ca="1">IF(LEFT(W$6,4)&lt;=LEFT('RFM input'!$G$60,4),"enter input",IF(LEFT(W$6,4)&gt;LEFT('RFM input'!$Q$60,4),0,IF(W$6=(OFFSET('RFM input'!$G$60,0,'RFM input'!$V$7)),OFFSET('RFM input'!$G$411,$A2606,0),0)))</f>
        <v>0</v>
      </c>
      <c r="X2608" s="152"/>
      <c r="Y2608" s="152"/>
      <c r="Z2608" s="152"/>
      <c r="AA2608" s="152"/>
      <c r="AB2608" s="152"/>
    </row>
    <row r="2609" spans="1:28">
      <c r="A2609" s="152"/>
      <c r="B2609" s="195" t="s">
        <v>197</v>
      </c>
      <c r="C2609" s="1419"/>
      <c r="D2609" s="1418">
        <f ca="1">IF(LEFT(D$6,4)&lt;=LEFT('RFM input'!$G$60,4),"enter input",IF(LEFT(D$6,4)&gt;LEFT('RFM input'!$Q$60,4),0,IF(D$6=(OFFSET('RFM input'!$G$60,0,'RFM input'!$V$7)),OFFSET('RFM input'!$I$411,$A2606,0),0)))</f>
        <v>0</v>
      </c>
      <c r="E2609" s="1422">
        <f ca="1">IF(LEFT(E$6,4)&lt;=LEFT('RFM input'!$G$60,4),"enter input",IF(LEFT(E$6,4)&gt;LEFT('RFM input'!$Q$60,4),0,IF(E$6=(OFFSET('RFM input'!$G$60,0,'RFM input'!$V$7)),OFFSET('RFM input'!$I$411,$A2606,0),0)))</f>
        <v>0</v>
      </c>
      <c r="F2609" s="1422">
        <f ca="1">IF(LEFT(F$6,4)&lt;=LEFT('RFM input'!$G$60,4),"enter input",IF(LEFT(F$6,4)&gt;LEFT('RFM input'!$Q$60,4),0,IF(F$6=(OFFSET('RFM input'!$G$60,0,'RFM input'!$V$7)),OFFSET('RFM input'!$I$411,$A2606,0),0)))</f>
        <v>0</v>
      </c>
      <c r="G2609" s="1422">
        <f ca="1">IF(LEFT(G$6,4)&lt;=LEFT('RFM input'!$G$60,4),"enter input",IF(LEFT(G$6,4)&gt;LEFT('RFM input'!$Q$60,4),0,IF(G$6=(OFFSET('RFM input'!$G$60,0,'RFM input'!$V$7)),OFFSET('RFM input'!$I$411,$A2606,0),0)))</f>
        <v>0</v>
      </c>
      <c r="H2609" s="1422">
        <f ca="1">IF(LEFT(H$6,4)&lt;=LEFT('RFM input'!$G$60,4),"enter input",IF(LEFT(H$6,4)&gt;LEFT('RFM input'!$Q$60,4),0,IF(H$6=(OFFSET('RFM input'!$G$60,0,'RFM input'!$V$7)),OFFSET('RFM input'!$I$411,$A2606,0),0)))</f>
        <v>0</v>
      </c>
      <c r="I2609" s="1422">
        <f ca="1">IF(LEFT(I$6,4)&lt;=LEFT('RFM input'!$G$60,4),"enter input",IF(LEFT(I$6,4)&gt;LEFT('RFM input'!$Q$60,4),0,IF(I$6=(OFFSET('RFM input'!$G$60,0,'RFM input'!$V$7)),OFFSET('RFM input'!$I$411,$A2606,0),0)))</f>
        <v>0</v>
      </c>
      <c r="J2609" s="1422">
        <f ca="1">IF(LEFT(J$6,4)&lt;=LEFT('RFM input'!$G$60,4),"enter input",IF(LEFT(J$6,4)&gt;LEFT('RFM input'!$Q$60,4),0,IF(J$6=(OFFSET('RFM input'!$G$60,0,'RFM input'!$V$7)),OFFSET('RFM input'!$I$411,$A2606,0),0)))</f>
        <v>0</v>
      </c>
      <c r="K2609" s="1422">
        <f ca="1">IF(LEFT(K$6,4)&lt;=LEFT('RFM input'!$G$60,4),"enter input",IF(LEFT(K$6,4)&gt;LEFT('RFM input'!$Q$60,4),0,IF(K$6=(OFFSET('RFM input'!$G$60,0,'RFM input'!$V$7)),OFFSET('RFM input'!$I$411,$A2606,0),0)))</f>
        <v>0</v>
      </c>
      <c r="L2609" s="1422">
        <f ca="1">IF(LEFT(L$6,4)&lt;=LEFT('RFM input'!$G$60,4),"enter input",IF(LEFT(L$6,4)&gt;LEFT('RFM input'!$Q$60,4),0,IF(L$6=(OFFSET('RFM input'!$G$60,0,'RFM input'!$V$7)),OFFSET('RFM input'!$I$411,$A2606,0),0)))</f>
        <v>0</v>
      </c>
      <c r="M2609" s="1422">
        <f ca="1">IF(LEFT(M$6,4)&lt;=LEFT('RFM input'!$G$60,4),"enter input",IF(LEFT(M$6,4)&gt;LEFT('RFM input'!$Q$60,4),0,IF(M$6=(OFFSET('RFM input'!$G$60,0,'RFM input'!$V$7)),OFFSET('RFM input'!$I$411,$A2606,0),0)))</f>
        <v>0</v>
      </c>
      <c r="N2609" s="1422">
        <f ca="1">IF(LEFT(N$6,4)&lt;=LEFT('RFM input'!$G$60,4),"enter input",IF(LEFT(N$6,4)&gt;LEFT('RFM input'!$Q$60,4),0,IF(N$6=(OFFSET('RFM input'!$G$60,0,'RFM input'!$V$7)),OFFSET('RFM input'!$I$411,$A2606,0),0)))</f>
        <v>0</v>
      </c>
      <c r="O2609" s="1422">
        <f ca="1">IF(LEFT(O$6,4)&lt;=LEFT('RFM input'!$G$60,4),"enter input",IF(LEFT(O$6,4)&gt;LEFT('RFM input'!$Q$60,4),0,IF(O$6=(OFFSET('RFM input'!$G$60,0,'RFM input'!$V$7)),OFFSET('RFM input'!$I$411,$A2606,0),0)))</f>
        <v>0</v>
      </c>
      <c r="P2609" s="1422">
        <f ca="1">IF(LEFT(P$6,4)&lt;=LEFT('RFM input'!$G$60,4),"enter input",IF(LEFT(P$6,4)&gt;LEFT('RFM input'!$Q$60,4),0,IF(P$6=(OFFSET('RFM input'!$G$60,0,'RFM input'!$V$7)),OFFSET('RFM input'!$I$411,$A2606,0),0)))</f>
        <v>0</v>
      </c>
      <c r="Q2609" s="1422">
        <f ca="1">IF(LEFT(Q$6,4)&lt;=LEFT('RFM input'!$G$60,4),"enter input",IF(LEFT(Q$6,4)&gt;LEFT('RFM input'!$Q$60,4),0,IF(Q$6=(OFFSET('RFM input'!$G$60,0,'RFM input'!$V$7)),OFFSET('RFM input'!$I$411,$A2606,0),0)))</f>
        <v>0</v>
      </c>
      <c r="R2609" s="1422">
        <f ca="1">IF(LEFT(R$6,4)&lt;=LEFT('RFM input'!$G$60,4),"enter input",IF(LEFT(R$6,4)&gt;LEFT('RFM input'!$Q$60,4),0,IF(R$6=(OFFSET('RFM input'!$G$60,0,'RFM input'!$V$7)),OFFSET('RFM input'!$I$411,$A2606,0),0)))</f>
        <v>0</v>
      </c>
      <c r="S2609" s="1422">
        <f ca="1">IF(LEFT(S$6,4)&lt;=LEFT('RFM input'!$G$60,4),"enter input",IF(LEFT(S$6,4)&gt;LEFT('RFM input'!$Q$60,4),0,IF(S$6=(OFFSET('RFM input'!$G$60,0,'RFM input'!$V$7)),OFFSET('RFM input'!$I$411,$A2606,0),0)))</f>
        <v>0</v>
      </c>
      <c r="T2609" s="1422">
        <f ca="1">IF(LEFT(T$6,4)&lt;=LEFT('RFM input'!$G$60,4),"enter input",IF(LEFT(T$6,4)&gt;LEFT('RFM input'!$Q$60,4),0,IF(T$6=(OFFSET('RFM input'!$G$60,0,'RFM input'!$V$7)),OFFSET('RFM input'!$I$411,$A2606,0),0)))</f>
        <v>0</v>
      </c>
      <c r="U2609" s="1422">
        <f ca="1">IF(LEFT(U$6,4)&lt;=LEFT('RFM input'!$G$60,4),"enter input",IF(LEFT(U$6,4)&gt;LEFT('RFM input'!$Q$60,4),0,IF(U$6=(OFFSET('RFM input'!$G$60,0,'RFM input'!$V$7)),OFFSET('RFM input'!$I$411,$A2606,0),0)))</f>
        <v>0</v>
      </c>
      <c r="V2609" s="1422">
        <f ca="1">IF(LEFT(V$6,4)&lt;=LEFT('RFM input'!$G$60,4),"enter input",IF(LEFT(V$6,4)&gt;LEFT('RFM input'!$Q$60,4),0,IF(V$6=(OFFSET('RFM input'!$G$60,0,'RFM input'!$V$7)),OFFSET('RFM input'!$I$411,$A2606,0),0)))</f>
        <v>0</v>
      </c>
      <c r="W2609" s="1422">
        <f ca="1">IF(LEFT(W$6,4)&lt;=LEFT('RFM input'!$G$60,4),"enter input",IF(LEFT(W$6,4)&gt;LEFT('RFM input'!$Q$60,4),0,IF(W$6=(OFFSET('RFM input'!$G$60,0,'RFM input'!$V$7)),OFFSET('RFM input'!$I$411,$A2606,0),0)))</f>
        <v>0</v>
      </c>
      <c r="X2609" s="152"/>
      <c r="Y2609" s="152"/>
      <c r="Z2609" s="152"/>
      <c r="AA2609" s="152"/>
      <c r="AB2609" s="152"/>
    </row>
    <row r="2610" spans="1:28" hidden="1" outlineLevel="1">
      <c r="A2610" s="235">
        <v>-1</v>
      </c>
      <c r="B2610" s="190" t="s">
        <v>189</v>
      </c>
      <c r="C2610" s="1423"/>
      <c r="D2610" s="1423">
        <f ca="1">IF(AND(D2608=0,C2610=0),0,
IF(AND(D2608&lt;&gt;0,C2610=0),(D2608/D$10),
IF(AND(D2609&lt;&gt;0,C2610&lt;&gt;0),(C2610-(C2610/C2634))+(D2608/D$10),
IF(C2634&lt;1,0,(C2610-(C2610/C2634))))))</f>
        <v>0</v>
      </c>
      <c r="E2610" s="1423">
        <f t="shared" ref="E2610" ca="1" si="3853">IF(AND(E2608=0,D2610=0),0,
IF(AND(E2608&lt;&gt;0,D2610=0),(E2608/E$10),
IF(AND(E2609&lt;&gt;0,D2610&lt;&gt;0),(D2610-(D2610/D2634))+(E2608/E$10),
IF(D2634&lt;1,0,(D2610-(D2610/D2634))))))</f>
        <v>0</v>
      </c>
      <c r="F2610" s="1423">
        <f t="shared" ref="F2610" ca="1" si="3854">IF(AND(F2608=0,E2610=0),0,
IF(AND(F2608&lt;&gt;0,E2610=0),(F2608/F$10),
IF(AND(F2609&lt;&gt;0,E2610&lt;&gt;0),(E2610-(E2610/E2634))+(F2608/F$10),
IF(E2634&lt;1,0,(E2610-(E2610/E2634))))))</f>
        <v>0</v>
      </c>
      <c r="G2610" s="1423">
        <f t="shared" ref="G2610" ca="1" si="3855">IF(AND(G2608=0,F2610=0),0,
IF(AND(G2608&lt;&gt;0,F2610=0),(G2608/G$10),
IF(AND(G2609&lt;&gt;0,F2610&lt;&gt;0),(F2610-(F2610/F2634))+(G2608/G$10),
IF(F2634&lt;1,0,(F2610-(F2610/F2634))))))</f>
        <v>0</v>
      </c>
      <c r="H2610" s="1423">
        <f t="shared" ref="H2610" ca="1" si="3856">IF(AND(H2608=0,G2610=0),0,
IF(AND(H2608&lt;&gt;0,G2610=0),(H2608/H$10),
IF(AND(H2609&lt;&gt;0,G2610&lt;&gt;0),(G2610-(G2610/G2634))+(H2608/H$10),
IF(G2634&lt;1,0,(G2610-(G2610/G2634))))))</f>
        <v>0</v>
      </c>
      <c r="I2610" s="1423">
        <f t="shared" ref="I2610" ca="1" si="3857">IF(AND(I2608=0,H2610=0),0,
IF(AND(I2608&lt;&gt;0,H2610=0),(I2608/I$10),
IF(AND(I2609&lt;&gt;0,H2610&lt;&gt;0),(H2610-(H2610/H2634))+(I2608/I$10),
IF(H2634&lt;1,0,(H2610-(H2610/H2634))))))</f>
        <v>0</v>
      </c>
      <c r="J2610" s="1423">
        <f t="shared" ref="J2610" ca="1" si="3858">IF(AND(J2608=0,I2610=0),0,
IF(AND(J2608&lt;&gt;0,I2610=0),(J2608/J$10),
IF(AND(J2609&lt;&gt;0,I2610&lt;&gt;0),(I2610-(I2610/I2634))+(J2608/J$10),
IF(I2634&lt;1,0,(I2610-(I2610/I2634))))))</f>
        <v>0</v>
      </c>
      <c r="K2610" s="1423">
        <f t="shared" ref="K2610" ca="1" si="3859">IF(AND(K2608=0,J2610=0),0,
IF(AND(K2608&lt;&gt;0,J2610=0),(K2608/K$10),
IF(AND(K2609&lt;&gt;0,J2610&lt;&gt;0),(J2610-(J2610/J2634))+(K2608/K$10),
IF(J2634&lt;1,0,(J2610-(J2610/J2634))))))</f>
        <v>0</v>
      </c>
      <c r="L2610" s="1423">
        <f t="shared" ref="L2610" ca="1" si="3860">IF(AND(L2608=0,K2610=0),0,
IF(AND(L2608&lt;&gt;0,K2610=0),(L2608/L$10),
IF(AND(L2609&lt;&gt;0,K2610&lt;&gt;0),(K2610-(K2610/K2634))+(L2608/L$10),
IF(K2634&lt;1,0,(K2610-(K2610/K2634))))))</f>
        <v>0</v>
      </c>
      <c r="M2610" s="1423">
        <f t="shared" ref="M2610" ca="1" si="3861">IF(AND(M2608=0,L2610=0),0,
IF(AND(M2608&lt;&gt;0,L2610=0),(M2608/M$10),
IF(AND(M2609&lt;&gt;0,L2610&lt;&gt;0),(L2610-(L2610/L2634))+(M2608/M$10),
IF(L2634&lt;1,0,(L2610-(L2610/L2634))))))</f>
        <v>0</v>
      </c>
      <c r="N2610" s="1423">
        <f t="shared" ref="N2610" ca="1" si="3862">IF(AND(N2608=0,M2610=0),0,
IF(AND(N2608&lt;&gt;0,M2610=0),(N2608/N$10),
IF(AND(N2609&lt;&gt;0,M2610&lt;&gt;0),(M2610-(M2610/M2634))+(N2608/N$10),
IF(M2634&lt;1,0,(M2610-(M2610/M2634))))))</f>
        <v>0</v>
      </c>
      <c r="O2610" s="1423">
        <f t="shared" ref="O2610" ca="1" si="3863">IF(AND(O2608=0,N2610=0),0,
IF(AND(O2608&lt;&gt;0,N2610=0),(O2608/O$10),
IF(AND(O2609&lt;&gt;0,N2610&lt;&gt;0),(N2610-(N2610/N2634))+(O2608/O$10),
IF(N2634&lt;1,0,(N2610-(N2610/N2634))))))</f>
        <v>0</v>
      </c>
      <c r="P2610" s="1423">
        <f t="shared" ref="P2610" ca="1" si="3864">IF(AND(P2608=0,O2610=0),0,
IF(AND(P2608&lt;&gt;0,O2610=0),(P2608/P$10),
IF(AND(P2609&lt;&gt;0,O2610&lt;&gt;0),(O2610-(O2610/O2634))+(P2608/P$10),
IF(O2634&lt;1,0,(O2610-(O2610/O2634))))))</f>
        <v>0</v>
      </c>
      <c r="Q2610" s="1423">
        <f t="shared" ref="Q2610" ca="1" si="3865">IF(AND(Q2608=0,P2610=0),0,
IF(AND(Q2608&lt;&gt;0,P2610=0),(Q2608/Q$10),
IF(AND(Q2609&lt;&gt;0,P2610&lt;&gt;0),(P2610-(P2610/P2634))+(Q2608/Q$10),
IF(P2634&lt;1,0,(P2610-(P2610/P2634))))))</f>
        <v>0</v>
      </c>
      <c r="R2610" s="1423">
        <f t="shared" ref="R2610" ca="1" si="3866">IF(AND(R2608=0,Q2610=0),0,
IF(AND(R2608&lt;&gt;0,Q2610=0),(R2608/R$10),
IF(AND(R2609&lt;&gt;0,Q2610&lt;&gt;0),(Q2610-(Q2610/Q2634))+(R2608/R$10),
IF(Q2634&lt;1,0,(Q2610-(Q2610/Q2634))))))</f>
        <v>0</v>
      </c>
      <c r="S2610" s="1423">
        <f t="shared" ref="S2610" ca="1" si="3867">IF(AND(S2608=0,R2610=0),0,
IF(AND(S2608&lt;&gt;0,R2610=0),(S2608/S$10),
IF(AND(S2609&lt;&gt;0,R2610&lt;&gt;0),(R2610-(R2610/R2634))+(S2608/S$10),
IF(R2634&lt;1,0,(R2610-(R2610/R2634))))))</f>
        <v>0</v>
      </c>
      <c r="T2610" s="1423">
        <f t="shared" ref="T2610" ca="1" si="3868">IF(AND(T2608=0,S2610=0),0,
IF(AND(T2608&lt;&gt;0,S2610=0),(T2608/T$10),
IF(AND(T2609&lt;&gt;0,S2610&lt;&gt;0),(S2610-(S2610/S2634))+(T2608/T$10),
IF(S2634&lt;1,0,(S2610-(S2610/S2634))))))</f>
        <v>0</v>
      </c>
      <c r="U2610" s="1423">
        <f t="shared" ref="U2610" ca="1" si="3869">IF(AND(U2608=0,T2610=0),0,
IF(AND(U2608&lt;&gt;0,T2610=0),(U2608/U$10),
IF(AND(U2609&lt;&gt;0,T2610&lt;&gt;0),(T2610-(T2610/T2634))+(U2608/U$10),
IF(T2634&lt;1,0,(T2610-(T2610/T2634))))))</f>
        <v>0</v>
      </c>
      <c r="V2610" s="1423">
        <f t="shared" ref="V2610" ca="1" si="3870">IF(AND(V2608=0,U2610=0),0,
IF(AND(V2608&lt;&gt;0,U2610=0),(V2608/V$10),
IF(AND(V2609&lt;&gt;0,U2610&lt;&gt;0),(U2610-(U2610/U2634))+(V2608/V$10),
IF(U2634&lt;1,0,(U2610-(U2610/U2634))))))</f>
        <v>0</v>
      </c>
      <c r="W2610" s="1423">
        <f t="shared" ref="W2610" ca="1" si="3871">IF(AND(W2608=0,V2610=0),0,
IF(AND(W2608&lt;&gt;0,V2610=0),(W2608/W$10),
IF(AND(W2609&lt;&gt;0,V2610&lt;&gt;0),(V2610-(V2610/V2634))+(W2608/W$10),
IF(V2634&lt;1,0,(V2610-(V2610/V2634))))))</f>
        <v>0</v>
      </c>
      <c r="X2610" s="152"/>
      <c r="Y2610" s="152"/>
      <c r="Z2610" s="152"/>
      <c r="AA2610" s="152"/>
      <c r="AB2610" s="152"/>
    </row>
    <row r="2611" spans="1:28" hidden="1" outlineLevel="1">
      <c r="A2611" s="199">
        <f>A2610+1</f>
        <v>0</v>
      </c>
      <c r="B2611" s="190" t="s">
        <v>125</v>
      </c>
      <c r="C2611" s="1423">
        <f ca="1">C2606/C$10</f>
        <v>0</v>
      </c>
      <c r="D2611" s="1423">
        <f ca="1">IF(C2635="n/a",C2611,IFERROR(IF((OFFSET($C2611,0,$A2611))&lt;0,
MIN(0,C2611-(OFFSET($C2611,0,$A2611)/(OFFSET($C2606,-$A2610,$A2611)))),
MAX(0,C2611-(OFFSET($C2611,0,$A2611)/(OFFSET($C2606,-$A2610,$A2611))))),0))</f>
        <v>0</v>
      </c>
      <c r="E2611" s="1423">
        <f t="shared" ref="E2611" ca="1" si="3872">IF(D2635="n/a",D2611,IFERROR(IF((OFFSET($C2611,0,$A2611))&lt;0,
MIN(0,D2611-(OFFSET($C2611,0,$A2611)/(OFFSET($C2606,-$A2610,$A2611)))),
MAX(0,D2611-(OFFSET($C2611,0,$A2611)/(OFFSET($C2606,-$A2610,$A2611))))),0))</f>
        <v>0</v>
      </c>
      <c r="F2611" s="1423">
        <f t="shared" ref="F2611:F2612" ca="1" si="3873">IF(E2635="n/a",E2611,IFERROR(IF((OFFSET($C2611,0,$A2611))&lt;0,
MIN(0,E2611-(OFFSET($C2611,0,$A2611)/(OFFSET($C2606,-$A2610,$A2611)))),
MAX(0,E2611-(OFFSET($C2611,0,$A2611)/(OFFSET($C2606,-$A2610,$A2611))))),0))</f>
        <v>0</v>
      </c>
      <c r="G2611" s="1423">
        <f t="shared" ref="G2611:G2613" ca="1" si="3874">IF(F2635="n/a",F2611,IFERROR(IF((OFFSET($C2611,0,$A2611))&lt;0,
MIN(0,F2611-(OFFSET($C2611,0,$A2611)/(OFFSET($C2606,-$A2610,$A2611)))),
MAX(0,F2611-(OFFSET($C2611,0,$A2611)/(OFFSET($C2606,-$A2610,$A2611))))),0))</f>
        <v>0</v>
      </c>
      <c r="H2611" s="1423">
        <f t="shared" ref="H2611:H2614" ca="1" si="3875">IF(G2635="n/a",G2611,IFERROR(IF((OFFSET($C2611,0,$A2611))&lt;0,
MIN(0,G2611-(OFFSET($C2611,0,$A2611)/(OFFSET($C2606,-$A2610,$A2611)))),
MAX(0,G2611-(OFFSET($C2611,0,$A2611)/(OFFSET($C2606,-$A2610,$A2611))))),0))</f>
        <v>0</v>
      </c>
      <c r="I2611" s="1423">
        <f t="shared" ref="I2611:I2615" ca="1" si="3876">IF(H2635="n/a",H2611,IFERROR(IF((OFFSET($C2611,0,$A2611))&lt;0,
MIN(0,H2611-(OFFSET($C2611,0,$A2611)/(OFFSET($C2606,-$A2610,$A2611)))),
MAX(0,H2611-(OFFSET($C2611,0,$A2611)/(OFFSET($C2606,-$A2610,$A2611))))),0))</f>
        <v>0</v>
      </c>
      <c r="J2611" s="1423">
        <f t="shared" ref="J2611:J2616" ca="1" si="3877">IF(I2635="n/a",I2611,IFERROR(IF((OFFSET($C2611,0,$A2611))&lt;0,
MIN(0,I2611-(OFFSET($C2611,0,$A2611)/(OFFSET($C2606,-$A2610,$A2611)))),
MAX(0,I2611-(OFFSET($C2611,0,$A2611)/(OFFSET($C2606,-$A2610,$A2611))))),0))</f>
        <v>0</v>
      </c>
      <c r="K2611" s="1423">
        <f t="shared" ref="K2611:K2617" ca="1" si="3878">IF(J2635="n/a",J2611,IFERROR(IF((OFFSET($C2611,0,$A2611))&lt;0,
MIN(0,J2611-(OFFSET($C2611,0,$A2611)/(OFFSET($C2606,-$A2610,$A2611)))),
MAX(0,J2611-(OFFSET($C2611,0,$A2611)/(OFFSET($C2606,-$A2610,$A2611))))),0))</f>
        <v>0</v>
      </c>
      <c r="L2611" s="1423">
        <f t="shared" ref="L2611:L2618" ca="1" si="3879">IF(K2635="n/a",K2611,IFERROR(IF((OFFSET($C2611,0,$A2611))&lt;0,
MIN(0,K2611-(OFFSET($C2611,0,$A2611)/(OFFSET($C2606,-$A2610,$A2611)))),
MAX(0,K2611-(OFFSET($C2611,0,$A2611)/(OFFSET($C2606,-$A2610,$A2611))))),0))</f>
        <v>0</v>
      </c>
      <c r="M2611" s="1423">
        <f t="shared" ref="M2611:M2619" ca="1" si="3880">IF(L2635="n/a",L2611,IFERROR(IF((OFFSET($C2611,0,$A2611))&lt;0,
MIN(0,L2611-(OFFSET($C2611,0,$A2611)/(OFFSET($C2606,-$A2610,$A2611)))),
MAX(0,L2611-(OFFSET($C2611,0,$A2611)/(OFFSET($C2606,-$A2610,$A2611))))),0))</f>
        <v>0</v>
      </c>
      <c r="N2611" s="1423">
        <f t="shared" ref="N2611:N2620" ca="1" si="3881">IF(M2635="n/a",M2611,IFERROR(IF((OFFSET($C2611,0,$A2611))&lt;0,
MIN(0,M2611-(OFFSET($C2611,0,$A2611)/(OFFSET($C2606,-$A2610,$A2611)))),
MAX(0,M2611-(OFFSET($C2611,0,$A2611)/(OFFSET($C2606,-$A2610,$A2611))))),0))</f>
        <v>0</v>
      </c>
      <c r="O2611" s="1423">
        <f t="shared" ref="O2611:O2621" ca="1" si="3882">IF(N2635="n/a",N2611,IFERROR(IF((OFFSET($C2611,0,$A2611))&lt;0,
MIN(0,N2611-(OFFSET($C2611,0,$A2611)/(OFFSET($C2606,-$A2610,$A2611)))),
MAX(0,N2611-(OFFSET($C2611,0,$A2611)/(OFFSET($C2606,-$A2610,$A2611))))),0))</f>
        <v>0</v>
      </c>
      <c r="P2611" s="1423">
        <f t="shared" ref="P2611:P2622" ca="1" si="3883">IF(O2635="n/a",O2611,IFERROR(IF((OFFSET($C2611,0,$A2611))&lt;0,
MIN(0,O2611-(OFFSET($C2611,0,$A2611)/(OFFSET($C2606,-$A2610,$A2611)))),
MAX(0,O2611-(OFFSET($C2611,0,$A2611)/(OFFSET($C2606,-$A2610,$A2611))))),0))</f>
        <v>0</v>
      </c>
      <c r="Q2611" s="1423">
        <f t="shared" ref="Q2611:Q2623" ca="1" si="3884">IF(P2635="n/a",P2611,IFERROR(IF((OFFSET($C2611,0,$A2611))&lt;0,
MIN(0,P2611-(OFFSET($C2611,0,$A2611)/(OFFSET($C2606,-$A2610,$A2611)))),
MAX(0,P2611-(OFFSET($C2611,0,$A2611)/(OFFSET($C2606,-$A2610,$A2611))))),0))</f>
        <v>0</v>
      </c>
      <c r="R2611" s="1423">
        <f t="shared" ref="R2611:R2624" ca="1" si="3885">IF(Q2635="n/a",Q2611,IFERROR(IF((OFFSET($C2611,0,$A2611))&lt;0,
MIN(0,Q2611-(OFFSET($C2611,0,$A2611)/(OFFSET($C2606,-$A2610,$A2611)))),
MAX(0,Q2611-(OFFSET($C2611,0,$A2611)/(OFFSET($C2606,-$A2610,$A2611))))),0))</f>
        <v>0</v>
      </c>
      <c r="S2611" s="1423">
        <f t="shared" ref="S2611:S2625" ca="1" si="3886">IF(R2635="n/a",R2611,IFERROR(IF((OFFSET($C2611,0,$A2611))&lt;0,
MIN(0,R2611-(OFFSET($C2611,0,$A2611)/(OFFSET($C2606,-$A2610,$A2611)))),
MAX(0,R2611-(OFFSET($C2611,0,$A2611)/(OFFSET($C2606,-$A2610,$A2611))))),0))</f>
        <v>0</v>
      </c>
      <c r="T2611" s="1423">
        <f t="shared" ref="T2611:T2626" ca="1" si="3887">IF(S2635="n/a",S2611,IFERROR(IF((OFFSET($C2611,0,$A2611))&lt;0,
MIN(0,S2611-(OFFSET($C2611,0,$A2611)/(OFFSET($C2606,-$A2610,$A2611)))),
MAX(0,S2611-(OFFSET($C2611,0,$A2611)/(OFFSET($C2606,-$A2610,$A2611))))),0))</f>
        <v>0</v>
      </c>
      <c r="U2611" s="1423">
        <f t="shared" ref="U2611:U2627" ca="1" si="3888">IF(T2635="n/a",T2611,IFERROR(IF((OFFSET($C2611,0,$A2611))&lt;0,
MIN(0,T2611-(OFFSET($C2611,0,$A2611)/(OFFSET($C2606,-$A2610,$A2611)))),
MAX(0,T2611-(OFFSET($C2611,0,$A2611)/(OFFSET($C2606,-$A2610,$A2611))))),0))</f>
        <v>0</v>
      </c>
      <c r="V2611" s="1423">
        <f t="shared" ref="V2611:V2628" ca="1" si="3889">IF(U2635="n/a",U2611,IFERROR(IF((OFFSET($C2611,0,$A2611))&lt;0,
MIN(0,U2611-(OFFSET($C2611,0,$A2611)/(OFFSET($C2606,-$A2610,$A2611)))),
MAX(0,U2611-(OFFSET($C2611,0,$A2611)/(OFFSET($C2606,-$A2610,$A2611))))),0))</f>
        <v>0</v>
      </c>
      <c r="W2611" s="1423">
        <f t="shared" ref="W2611:W2629" ca="1" si="3890">IF(V2635="n/a",V2611,IFERROR(IF((OFFSET($C2611,0,$A2611))&lt;0,
MIN(0,V2611-(OFFSET($C2611,0,$A2611)/(OFFSET($C2606,-$A2610,$A2611)))),
MAX(0,V2611-(OFFSET($C2611,0,$A2611)/(OFFSET($C2606,-$A2610,$A2611))))),0))</f>
        <v>0</v>
      </c>
      <c r="X2611" s="152"/>
      <c r="Y2611" s="152"/>
      <c r="Z2611" s="152"/>
      <c r="AA2611" s="152"/>
      <c r="AB2611" s="152"/>
    </row>
    <row r="2612" spans="1:28" hidden="1" outlineLevel="1">
      <c r="A2612" s="199">
        <f t="shared" ref="A2612:A2631" si="3891">A2611+1</f>
        <v>1</v>
      </c>
      <c r="B2612" s="190" t="str">
        <f t="shared" ref="B2612:B2630" ca="1" si="3892">"Depreciated Net Capex "&amp;OFFSET($C$6,0,A2612)</f>
        <v>Depreciated Net Capex 2016-17</v>
      </c>
      <c r="C2612" s="1424"/>
      <c r="D2612" s="1425">
        <f>(D2606*((1+D$11)^0.5)/D$10)</f>
        <v>0</v>
      </c>
      <c r="E2612" s="1423">
        <f ca="1">IF(D2636="n/a",D2612,IFERROR(IF((OFFSET($C2612,0,$A2612))&lt;0,
MIN(0,D2612-(OFFSET($C2612,0,$A2612)/(OFFSET($C2607,-$A2611,$A2612)))),
MAX(0,D2612-(OFFSET($C2612,0,$A2612)/(OFFSET($C2607,-$A2611,$A2612))))),0))</f>
        <v>0</v>
      </c>
      <c r="F2612" s="1423">
        <f t="shared" ca="1" si="3873"/>
        <v>0</v>
      </c>
      <c r="G2612" s="1423">
        <f t="shared" ca="1" si="3874"/>
        <v>0</v>
      </c>
      <c r="H2612" s="1423">
        <f t="shared" ca="1" si="3875"/>
        <v>0</v>
      </c>
      <c r="I2612" s="1423">
        <f t="shared" ca="1" si="3876"/>
        <v>0</v>
      </c>
      <c r="J2612" s="1423">
        <f t="shared" ca="1" si="3877"/>
        <v>0</v>
      </c>
      <c r="K2612" s="1423">
        <f t="shared" ca="1" si="3878"/>
        <v>0</v>
      </c>
      <c r="L2612" s="1423">
        <f t="shared" ca="1" si="3879"/>
        <v>0</v>
      </c>
      <c r="M2612" s="1423">
        <f t="shared" ca="1" si="3880"/>
        <v>0</v>
      </c>
      <c r="N2612" s="1423">
        <f t="shared" ca="1" si="3881"/>
        <v>0</v>
      </c>
      <c r="O2612" s="1423">
        <f t="shared" ca="1" si="3882"/>
        <v>0</v>
      </c>
      <c r="P2612" s="1423">
        <f t="shared" ca="1" si="3883"/>
        <v>0</v>
      </c>
      <c r="Q2612" s="1423">
        <f t="shared" ca="1" si="3884"/>
        <v>0</v>
      </c>
      <c r="R2612" s="1423">
        <f t="shared" ca="1" si="3885"/>
        <v>0</v>
      </c>
      <c r="S2612" s="1423">
        <f t="shared" ca="1" si="3886"/>
        <v>0</v>
      </c>
      <c r="T2612" s="1423">
        <f t="shared" ca="1" si="3887"/>
        <v>0</v>
      </c>
      <c r="U2612" s="1423">
        <f t="shared" ca="1" si="3888"/>
        <v>0</v>
      </c>
      <c r="V2612" s="1423">
        <f t="shared" ca="1" si="3889"/>
        <v>0</v>
      </c>
      <c r="W2612" s="1423">
        <f t="shared" ca="1" si="3890"/>
        <v>0</v>
      </c>
      <c r="X2612" s="152"/>
      <c r="Y2612" s="152"/>
      <c r="Z2612" s="152"/>
      <c r="AA2612" s="152"/>
      <c r="AB2612" s="152"/>
    </row>
    <row r="2613" spans="1:28" hidden="1" outlineLevel="1">
      <c r="A2613" s="199">
        <f t="shared" si="3891"/>
        <v>2</v>
      </c>
      <c r="B2613" s="190" t="str">
        <f t="shared" ca="1" si="3892"/>
        <v>Depreciated Net Capex 2017-18</v>
      </c>
      <c r="C2613" s="1426"/>
      <c r="D2613" s="1427"/>
      <c r="E2613" s="1425">
        <f>(E2606*((1+E$11)^0.5)/E$10)</f>
        <v>0</v>
      </c>
      <c r="F2613" s="1423">
        <f ca="1">IF(E2637="n/a",E2613,IFERROR(IF((OFFSET($C2613,0,$A2613))&lt;0,
MIN(0,E2613-(OFFSET($C2613,0,$A2613)/(OFFSET($C2608,-$A2612,$A2613)))),
MAX(0,E2613-(OFFSET($C2613,0,$A2613)/(OFFSET($C2608,-$A2612,$A2613))))),0))</f>
        <v>0</v>
      </c>
      <c r="G2613" s="1423">
        <f t="shared" ca="1" si="3874"/>
        <v>0</v>
      </c>
      <c r="H2613" s="1423">
        <f t="shared" ca="1" si="3875"/>
        <v>0</v>
      </c>
      <c r="I2613" s="1423">
        <f t="shared" ca="1" si="3876"/>
        <v>0</v>
      </c>
      <c r="J2613" s="1423">
        <f t="shared" ca="1" si="3877"/>
        <v>0</v>
      </c>
      <c r="K2613" s="1423">
        <f t="shared" ca="1" si="3878"/>
        <v>0</v>
      </c>
      <c r="L2613" s="1423">
        <f t="shared" ca="1" si="3879"/>
        <v>0</v>
      </c>
      <c r="M2613" s="1423">
        <f t="shared" ca="1" si="3880"/>
        <v>0</v>
      </c>
      <c r="N2613" s="1423">
        <f t="shared" ca="1" si="3881"/>
        <v>0</v>
      </c>
      <c r="O2613" s="1423">
        <f t="shared" ca="1" si="3882"/>
        <v>0</v>
      </c>
      <c r="P2613" s="1423">
        <f t="shared" ca="1" si="3883"/>
        <v>0</v>
      </c>
      <c r="Q2613" s="1423">
        <f t="shared" ca="1" si="3884"/>
        <v>0</v>
      </c>
      <c r="R2613" s="1423">
        <f t="shared" ca="1" si="3885"/>
        <v>0</v>
      </c>
      <c r="S2613" s="1423">
        <f t="shared" ca="1" si="3886"/>
        <v>0</v>
      </c>
      <c r="T2613" s="1423">
        <f t="shared" ca="1" si="3887"/>
        <v>0</v>
      </c>
      <c r="U2613" s="1423">
        <f t="shared" ca="1" si="3888"/>
        <v>0</v>
      </c>
      <c r="V2613" s="1423">
        <f t="shared" ca="1" si="3889"/>
        <v>0</v>
      </c>
      <c r="W2613" s="1423">
        <f t="shared" ca="1" si="3890"/>
        <v>0</v>
      </c>
      <c r="X2613" s="202"/>
      <c r="Y2613" s="152"/>
      <c r="Z2613" s="152"/>
      <c r="AA2613" s="152"/>
      <c r="AB2613" s="152"/>
    </row>
    <row r="2614" spans="1:28" hidden="1" outlineLevel="1">
      <c r="A2614" s="199">
        <f t="shared" si="3891"/>
        <v>3</v>
      </c>
      <c r="B2614" s="190" t="str">
        <f t="shared" ca="1" si="3892"/>
        <v>Depreciated Net Capex 2018-19</v>
      </c>
      <c r="C2614" s="1426"/>
      <c r="D2614" s="1426"/>
      <c r="E2614" s="1427"/>
      <c r="F2614" s="1428">
        <f>($F2606*((1+F$11)^0.5)/F$10)</f>
        <v>0</v>
      </c>
      <c r="G2614" s="1423">
        <f ca="1">IF(F2638="n/a",F2614,IFERROR(IF((OFFSET($C2614,0,$A2614))&lt;0,
MIN(0,F2614-(OFFSET($C2614,0,$A2614)/(OFFSET($C2609,-$A2613,$A2614)))),
MAX(0,F2614-(OFFSET($C2614,0,$A2614)/(OFFSET($C2609,-$A2613,$A2614))))),0))</f>
        <v>0</v>
      </c>
      <c r="H2614" s="1423">
        <f t="shared" ca="1" si="3875"/>
        <v>0</v>
      </c>
      <c r="I2614" s="1423">
        <f t="shared" ca="1" si="3876"/>
        <v>0</v>
      </c>
      <c r="J2614" s="1423">
        <f t="shared" ca="1" si="3877"/>
        <v>0</v>
      </c>
      <c r="K2614" s="1423">
        <f t="shared" ca="1" si="3878"/>
        <v>0</v>
      </c>
      <c r="L2614" s="1423">
        <f t="shared" ca="1" si="3879"/>
        <v>0</v>
      </c>
      <c r="M2614" s="1423">
        <f t="shared" ca="1" si="3880"/>
        <v>0</v>
      </c>
      <c r="N2614" s="1423">
        <f t="shared" ca="1" si="3881"/>
        <v>0</v>
      </c>
      <c r="O2614" s="1423">
        <f t="shared" ca="1" si="3882"/>
        <v>0</v>
      </c>
      <c r="P2614" s="1423">
        <f t="shared" ca="1" si="3883"/>
        <v>0</v>
      </c>
      <c r="Q2614" s="1423">
        <f t="shared" ca="1" si="3884"/>
        <v>0</v>
      </c>
      <c r="R2614" s="1423">
        <f t="shared" ca="1" si="3885"/>
        <v>0</v>
      </c>
      <c r="S2614" s="1423">
        <f t="shared" ca="1" si="3886"/>
        <v>0</v>
      </c>
      <c r="T2614" s="1423">
        <f t="shared" ca="1" si="3887"/>
        <v>0</v>
      </c>
      <c r="U2614" s="1423">
        <f t="shared" ca="1" si="3888"/>
        <v>0</v>
      </c>
      <c r="V2614" s="1423">
        <f t="shared" ca="1" si="3889"/>
        <v>0</v>
      </c>
      <c r="W2614" s="1423">
        <f t="shared" ca="1" si="3890"/>
        <v>0</v>
      </c>
      <c r="X2614" s="202"/>
      <c r="Y2614" s="202"/>
      <c r="Z2614" s="152"/>
      <c r="AA2614" s="152"/>
      <c r="AB2614" s="152"/>
    </row>
    <row r="2615" spans="1:28" hidden="1" outlineLevel="1">
      <c r="A2615" s="199">
        <f t="shared" si="3891"/>
        <v>4</v>
      </c>
      <c r="B2615" s="190" t="str">
        <f t="shared" ca="1" si="3892"/>
        <v>Depreciated Net Capex 2019-20</v>
      </c>
      <c r="C2615" s="1426"/>
      <c r="D2615" s="1426"/>
      <c r="E2615" s="1426"/>
      <c r="F2615" s="1427"/>
      <c r="G2615" s="1428">
        <f>($G2606*((1+G$11)^0.5)/G$10)</f>
        <v>0</v>
      </c>
      <c r="H2615" s="1423">
        <f ca="1">IF(G2639="n/a",G2615,IFERROR(IF((OFFSET($C2615,0,$A2615))&lt;0,
MIN(0,G2615-(OFFSET($C2615,0,$A2615)/(OFFSET($C2610,-$A2614,$A2615)))),
MAX(0,G2615-(OFFSET($C2615,0,$A2615)/(OFFSET($C2610,-$A2614,$A2615))))),0))</f>
        <v>0</v>
      </c>
      <c r="I2615" s="1423">
        <f t="shared" ca="1" si="3876"/>
        <v>0</v>
      </c>
      <c r="J2615" s="1423">
        <f t="shared" ca="1" si="3877"/>
        <v>0</v>
      </c>
      <c r="K2615" s="1423">
        <f t="shared" ca="1" si="3878"/>
        <v>0</v>
      </c>
      <c r="L2615" s="1423">
        <f t="shared" ca="1" si="3879"/>
        <v>0</v>
      </c>
      <c r="M2615" s="1423">
        <f t="shared" ca="1" si="3880"/>
        <v>0</v>
      </c>
      <c r="N2615" s="1423">
        <f t="shared" ca="1" si="3881"/>
        <v>0</v>
      </c>
      <c r="O2615" s="1423">
        <f t="shared" ca="1" si="3882"/>
        <v>0</v>
      </c>
      <c r="P2615" s="1423">
        <f t="shared" ca="1" si="3883"/>
        <v>0</v>
      </c>
      <c r="Q2615" s="1423">
        <f t="shared" ca="1" si="3884"/>
        <v>0</v>
      </c>
      <c r="R2615" s="1423">
        <f t="shared" ca="1" si="3885"/>
        <v>0</v>
      </c>
      <c r="S2615" s="1423">
        <f t="shared" ca="1" si="3886"/>
        <v>0</v>
      </c>
      <c r="T2615" s="1423">
        <f t="shared" ca="1" si="3887"/>
        <v>0</v>
      </c>
      <c r="U2615" s="1423">
        <f t="shared" ca="1" si="3888"/>
        <v>0</v>
      </c>
      <c r="V2615" s="1423">
        <f t="shared" ca="1" si="3889"/>
        <v>0</v>
      </c>
      <c r="W2615" s="1423">
        <f t="shared" ca="1" si="3890"/>
        <v>0</v>
      </c>
      <c r="X2615" s="202"/>
      <c r="Y2615" s="202"/>
      <c r="Z2615" s="202"/>
      <c r="AA2615" s="152"/>
      <c r="AB2615" s="152"/>
    </row>
    <row r="2616" spans="1:28" hidden="1" outlineLevel="1">
      <c r="A2616" s="199">
        <f t="shared" si="3891"/>
        <v>5</v>
      </c>
      <c r="B2616" s="190" t="str">
        <f t="shared" ca="1" si="3892"/>
        <v>Depreciated Net Capex 2020-21</v>
      </c>
      <c r="C2616" s="1426"/>
      <c r="D2616" s="1426"/>
      <c r="E2616" s="1426"/>
      <c r="F2616" s="1426"/>
      <c r="G2616" s="1427"/>
      <c r="H2616" s="1428">
        <f>(H2606*((1+H$11)^0.5)/H$10)</f>
        <v>0</v>
      </c>
      <c r="I2616" s="1423">
        <f ca="1">IF(H2640="n/a",H2616,IFERROR(IF((OFFSET($C2616,0,$A2616))&lt;0,
MIN(0,H2616-(OFFSET($C2616,0,$A2616)/(OFFSET($C2611,-$A2615,$A2616)))),
MAX(0,H2616-(OFFSET($C2616,0,$A2616)/(OFFSET($C2611,-$A2615,$A2616))))),0))</f>
        <v>0</v>
      </c>
      <c r="J2616" s="1423">
        <f t="shared" ca="1" si="3877"/>
        <v>0</v>
      </c>
      <c r="K2616" s="1423">
        <f t="shared" ca="1" si="3878"/>
        <v>0</v>
      </c>
      <c r="L2616" s="1423">
        <f t="shared" ca="1" si="3879"/>
        <v>0</v>
      </c>
      <c r="M2616" s="1423">
        <f t="shared" ca="1" si="3880"/>
        <v>0</v>
      </c>
      <c r="N2616" s="1423">
        <f t="shared" ca="1" si="3881"/>
        <v>0</v>
      </c>
      <c r="O2616" s="1423">
        <f t="shared" ca="1" si="3882"/>
        <v>0</v>
      </c>
      <c r="P2616" s="1423">
        <f t="shared" ca="1" si="3883"/>
        <v>0</v>
      </c>
      <c r="Q2616" s="1423">
        <f t="shared" ca="1" si="3884"/>
        <v>0</v>
      </c>
      <c r="R2616" s="1423">
        <f t="shared" ca="1" si="3885"/>
        <v>0</v>
      </c>
      <c r="S2616" s="1423">
        <f t="shared" ca="1" si="3886"/>
        <v>0</v>
      </c>
      <c r="T2616" s="1423">
        <f t="shared" ca="1" si="3887"/>
        <v>0</v>
      </c>
      <c r="U2616" s="1423">
        <f t="shared" ca="1" si="3888"/>
        <v>0</v>
      </c>
      <c r="V2616" s="1423">
        <f t="shared" ca="1" si="3889"/>
        <v>0</v>
      </c>
      <c r="W2616" s="1423">
        <f t="shared" ca="1" si="3890"/>
        <v>0</v>
      </c>
      <c r="X2616" s="202"/>
      <c r="Y2616" s="202"/>
      <c r="Z2616" s="202"/>
      <c r="AA2616" s="152"/>
      <c r="AB2616" s="152"/>
    </row>
    <row r="2617" spans="1:28" hidden="1" outlineLevel="1">
      <c r="A2617" s="199">
        <f t="shared" si="3891"/>
        <v>6</v>
      </c>
      <c r="B2617" s="190" t="str">
        <f t="shared" ca="1" si="3892"/>
        <v>Depreciated Net Capex 2021-22</v>
      </c>
      <c r="C2617" s="1426"/>
      <c r="D2617" s="1426"/>
      <c r="E2617" s="1426"/>
      <c r="F2617" s="1426"/>
      <c r="G2617" s="1426"/>
      <c r="H2617" s="1427"/>
      <c r="I2617" s="1428">
        <f>(I2606*((1+I$11)^0.5)/I$10)</f>
        <v>0</v>
      </c>
      <c r="J2617" s="1423">
        <f ca="1">IF(I2641="n/a",I2617,IFERROR(IF((OFFSET($C2617,0,$A2617))&lt;0,
MIN(0,I2617-(OFFSET($C2617,0,$A2617)/(OFFSET($C2612,-$A2616,$A2617)))),
MAX(0,I2617-(OFFSET($C2617,0,$A2617)/(OFFSET($C2612,-$A2616,$A2617))))),0))</f>
        <v>0</v>
      </c>
      <c r="K2617" s="1423">
        <f t="shared" ca="1" si="3878"/>
        <v>0</v>
      </c>
      <c r="L2617" s="1423">
        <f t="shared" ca="1" si="3879"/>
        <v>0</v>
      </c>
      <c r="M2617" s="1423">
        <f t="shared" ca="1" si="3880"/>
        <v>0</v>
      </c>
      <c r="N2617" s="1423">
        <f t="shared" ca="1" si="3881"/>
        <v>0</v>
      </c>
      <c r="O2617" s="1423">
        <f t="shared" ca="1" si="3882"/>
        <v>0</v>
      </c>
      <c r="P2617" s="1423">
        <f t="shared" ca="1" si="3883"/>
        <v>0</v>
      </c>
      <c r="Q2617" s="1423">
        <f t="shared" ca="1" si="3884"/>
        <v>0</v>
      </c>
      <c r="R2617" s="1423">
        <f t="shared" ca="1" si="3885"/>
        <v>0</v>
      </c>
      <c r="S2617" s="1423">
        <f t="shared" ca="1" si="3886"/>
        <v>0</v>
      </c>
      <c r="T2617" s="1423">
        <f t="shared" ca="1" si="3887"/>
        <v>0</v>
      </c>
      <c r="U2617" s="1423">
        <f t="shared" ca="1" si="3888"/>
        <v>0</v>
      </c>
      <c r="V2617" s="1423">
        <f t="shared" ca="1" si="3889"/>
        <v>0</v>
      </c>
      <c r="W2617" s="1423">
        <f t="shared" ca="1" si="3890"/>
        <v>0</v>
      </c>
      <c r="X2617" s="202"/>
      <c r="Y2617" s="202"/>
      <c r="Z2617" s="202"/>
      <c r="AA2617" s="152"/>
      <c r="AB2617" s="152"/>
    </row>
    <row r="2618" spans="1:28" hidden="1" outlineLevel="1">
      <c r="A2618" s="199">
        <f t="shared" si="3891"/>
        <v>7</v>
      </c>
      <c r="B2618" s="190" t="str">
        <f t="shared" ca="1" si="3892"/>
        <v>Depreciated Net Capex 2022-23</v>
      </c>
      <c r="C2618" s="1426"/>
      <c r="D2618" s="1426"/>
      <c r="E2618" s="1426"/>
      <c r="F2618" s="1426"/>
      <c r="G2618" s="1426"/>
      <c r="H2618" s="1426"/>
      <c r="I2618" s="1427"/>
      <c r="J2618" s="1428">
        <f>(J2606*((1+J$11)^0.5)/J$10)</f>
        <v>0</v>
      </c>
      <c r="K2618" s="1423">
        <f ca="1">IF(J2642="n/a",J2618,IFERROR(IF((OFFSET($C2618,0,$A2618))&lt;0,
MIN(0,J2618-(OFFSET($C2618,0,$A2618)/(OFFSET($C2613,-$A2617,$A2618)))),
MAX(0,J2618-(OFFSET($C2618,0,$A2618)/(OFFSET($C2613,-$A2617,$A2618))))),0))</f>
        <v>0</v>
      </c>
      <c r="L2618" s="1423">
        <f t="shared" ca="1" si="3879"/>
        <v>0</v>
      </c>
      <c r="M2618" s="1423">
        <f t="shared" ca="1" si="3880"/>
        <v>0</v>
      </c>
      <c r="N2618" s="1423">
        <f t="shared" ca="1" si="3881"/>
        <v>0</v>
      </c>
      <c r="O2618" s="1423">
        <f t="shared" ca="1" si="3882"/>
        <v>0</v>
      </c>
      <c r="P2618" s="1423">
        <f t="shared" ca="1" si="3883"/>
        <v>0</v>
      </c>
      <c r="Q2618" s="1423">
        <f t="shared" ca="1" si="3884"/>
        <v>0</v>
      </c>
      <c r="R2618" s="1423">
        <f t="shared" ca="1" si="3885"/>
        <v>0</v>
      </c>
      <c r="S2618" s="1423">
        <f t="shared" ca="1" si="3886"/>
        <v>0</v>
      </c>
      <c r="T2618" s="1423">
        <f t="shared" ca="1" si="3887"/>
        <v>0</v>
      </c>
      <c r="U2618" s="1423">
        <f t="shared" ca="1" si="3888"/>
        <v>0</v>
      </c>
      <c r="V2618" s="1423">
        <f t="shared" ca="1" si="3889"/>
        <v>0</v>
      </c>
      <c r="W2618" s="1423">
        <f t="shared" ca="1" si="3890"/>
        <v>0</v>
      </c>
      <c r="X2618" s="202"/>
      <c r="Y2618" s="202"/>
      <c r="Z2618" s="202"/>
      <c r="AA2618" s="152"/>
      <c r="AB2618" s="152"/>
    </row>
    <row r="2619" spans="1:28" hidden="1" outlineLevel="1">
      <c r="A2619" s="199">
        <f t="shared" si="3891"/>
        <v>8</v>
      </c>
      <c r="B2619" s="190" t="str">
        <f t="shared" ca="1" si="3892"/>
        <v>Depreciated Net Capex 2023-24</v>
      </c>
      <c r="C2619" s="1426"/>
      <c r="D2619" s="1426"/>
      <c r="E2619" s="1426"/>
      <c r="F2619" s="1426"/>
      <c r="G2619" s="1426"/>
      <c r="H2619" s="1426"/>
      <c r="I2619" s="1426"/>
      <c r="J2619" s="1427"/>
      <c r="K2619" s="1428">
        <f>(K2606*((1+K$11)^0.5)/K$10)</f>
        <v>0</v>
      </c>
      <c r="L2619" s="1423">
        <f ca="1">IF(K2643="n/a",K2619,IFERROR(IF((OFFSET($C2619,0,$A2619))&lt;0,
MIN(0,K2619-(OFFSET($C2619,0,$A2619)/(OFFSET($C2614,-$A2618,$A2619)))),
MAX(0,K2619-(OFFSET($C2619,0,$A2619)/(OFFSET($C2614,-$A2618,$A2619))))),0))</f>
        <v>0</v>
      </c>
      <c r="M2619" s="1423">
        <f t="shared" ca="1" si="3880"/>
        <v>0</v>
      </c>
      <c r="N2619" s="1423">
        <f t="shared" ca="1" si="3881"/>
        <v>0</v>
      </c>
      <c r="O2619" s="1423">
        <f t="shared" ca="1" si="3882"/>
        <v>0</v>
      </c>
      <c r="P2619" s="1423">
        <f t="shared" ca="1" si="3883"/>
        <v>0</v>
      </c>
      <c r="Q2619" s="1423">
        <f t="shared" ca="1" si="3884"/>
        <v>0</v>
      </c>
      <c r="R2619" s="1423">
        <f t="shared" ca="1" si="3885"/>
        <v>0</v>
      </c>
      <c r="S2619" s="1423">
        <f t="shared" ca="1" si="3886"/>
        <v>0</v>
      </c>
      <c r="T2619" s="1423">
        <f t="shared" ca="1" si="3887"/>
        <v>0</v>
      </c>
      <c r="U2619" s="1423">
        <f t="shared" ca="1" si="3888"/>
        <v>0</v>
      </c>
      <c r="V2619" s="1423">
        <f t="shared" ca="1" si="3889"/>
        <v>0</v>
      </c>
      <c r="W2619" s="1423">
        <f t="shared" ca="1" si="3890"/>
        <v>0</v>
      </c>
      <c r="X2619" s="202"/>
      <c r="Y2619" s="202"/>
      <c r="Z2619" s="202"/>
      <c r="AA2619" s="152"/>
      <c r="AB2619" s="152"/>
    </row>
    <row r="2620" spans="1:28" hidden="1" outlineLevel="1">
      <c r="A2620" s="199">
        <f t="shared" si="3891"/>
        <v>9</v>
      </c>
      <c r="B2620" s="190" t="str">
        <f t="shared" ca="1" si="3892"/>
        <v>Depreciated Net Capex 2024-25</v>
      </c>
      <c r="C2620" s="1426"/>
      <c r="D2620" s="1426"/>
      <c r="E2620" s="1426"/>
      <c r="F2620" s="1426"/>
      <c r="G2620" s="1426"/>
      <c r="H2620" s="1426"/>
      <c r="I2620" s="1426"/>
      <c r="J2620" s="1426"/>
      <c r="K2620" s="1427"/>
      <c r="L2620" s="1428">
        <f>(L2606*((1+L$11)^0.5)/L$10)</f>
        <v>0</v>
      </c>
      <c r="M2620" s="1423">
        <f ca="1">IF(L2644="n/a",L2620,IFERROR(IF((OFFSET($C2620,0,$A2620))&lt;0,
MIN(0,L2620-(OFFSET($C2620,0,$A2620)/(OFFSET($C2615,-$A2619,$A2620)))),
MAX(0,L2620-(OFFSET($C2620,0,$A2620)/(OFFSET($C2615,-$A2619,$A2620))))),0))</f>
        <v>0</v>
      </c>
      <c r="N2620" s="1423">
        <f t="shared" ca="1" si="3881"/>
        <v>0</v>
      </c>
      <c r="O2620" s="1423">
        <f t="shared" ca="1" si="3882"/>
        <v>0</v>
      </c>
      <c r="P2620" s="1423">
        <f t="shared" ca="1" si="3883"/>
        <v>0</v>
      </c>
      <c r="Q2620" s="1423">
        <f t="shared" ca="1" si="3884"/>
        <v>0</v>
      </c>
      <c r="R2620" s="1423">
        <f t="shared" ca="1" si="3885"/>
        <v>0</v>
      </c>
      <c r="S2620" s="1423">
        <f t="shared" ca="1" si="3886"/>
        <v>0</v>
      </c>
      <c r="T2620" s="1423">
        <f t="shared" ca="1" si="3887"/>
        <v>0</v>
      </c>
      <c r="U2620" s="1423">
        <f t="shared" ca="1" si="3888"/>
        <v>0</v>
      </c>
      <c r="V2620" s="1423">
        <f t="shared" ca="1" si="3889"/>
        <v>0</v>
      </c>
      <c r="W2620" s="1423">
        <f t="shared" ca="1" si="3890"/>
        <v>0</v>
      </c>
      <c r="X2620" s="202"/>
      <c r="Y2620" s="202"/>
      <c r="Z2620" s="202"/>
      <c r="AA2620" s="152"/>
      <c r="AB2620" s="152"/>
    </row>
    <row r="2621" spans="1:28" hidden="1" outlineLevel="1">
      <c r="A2621" s="199">
        <f t="shared" si="3891"/>
        <v>10</v>
      </c>
      <c r="B2621" s="190" t="str">
        <f t="shared" ca="1" si="3892"/>
        <v>Depreciated Net Capex 2025-26</v>
      </c>
      <c r="C2621" s="1426"/>
      <c r="D2621" s="1426"/>
      <c r="E2621" s="1426"/>
      <c r="F2621" s="1426"/>
      <c r="G2621" s="1426"/>
      <c r="H2621" s="1426"/>
      <c r="I2621" s="1426"/>
      <c r="J2621" s="1426"/>
      <c r="K2621" s="1426"/>
      <c r="L2621" s="1427"/>
      <c r="M2621" s="1428">
        <f>(M2606*((1+M$11)^0.5)/M$10)</f>
        <v>0</v>
      </c>
      <c r="N2621" s="1423">
        <f ca="1">IF(M2645="n/a",M2621,IFERROR(IF((OFFSET($C2621,0,$A2621))&lt;0,
MIN(0,M2621-(OFFSET($C2621,0,$A2621)/(OFFSET($C2616,-$A2620,$A2621)))),
MAX(0,M2621-(OFFSET($C2621,0,$A2621)/(OFFSET($C2616,-$A2620,$A2621))))),0))</f>
        <v>0</v>
      </c>
      <c r="O2621" s="1423">
        <f t="shared" ca="1" si="3882"/>
        <v>0</v>
      </c>
      <c r="P2621" s="1423">
        <f t="shared" ca="1" si="3883"/>
        <v>0</v>
      </c>
      <c r="Q2621" s="1423">
        <f t="shared" ca="1" si="3884"/>
        <v>0</v>
      </c>
      <c r="R2621" s="1423">
        <f t="shared" ca="1" si="3885"/>
        <v>0</v>
      </c>
      <c r="S2621" s="1423">
        <f t="shared" ca="1" si="3886"/>
        <v>0</v>
      </c>
      <c r="T2621" s="1423">
        <f t="shared" ca="1" si="3887"/>
        <v>0</v>
      </c>
      <c r="U2621" s="1423">
        <f t="shared" ca="1" si="3888"/>
        <v>0</v>
      </c>
      <c r="V2621" s="1423">
        <f t="shared" ca="1" si="3889"/>
        <v>0</v>
      </c>
      <c r="W2621" s="1423">
        <f t="shared" ca="1" si="3890"/>
        <v>0</v>
      </c>
      <c r="X2621" s="202"/>
      <c r="Y2621" s="202"/>
      <c r="Z2621" s="202"/>
      <c r="AA2621" s="152"/>
      <c r="AB2621" s="152"/>
    </row>
    <row r="2622" spans="1:28" hidden="1" outlineLevel="1">
      <c r="A2622" s="199">
        <f t="shared" si="3891"/>
        <v>11</v>
      </c>
      <c r="B2622" s="190" t="str">
        <f t="shared" ca="1" si="3892"/>
        <v>Depreciated Net Capex 2026-27</v>
      </c>
      <c r="C2622" s="1426"/>
      <c r="D2622" s="1426"/>
      <c r="E2622" s="1426"/>
      <c r="F2622" s="1426"/>
      <c r="G2622" s="1426"/>
      <c r="H2622" s="1426"/>
      <c r="I2622" s="1426"/>
      <c r="J2622" s="1426"/>
      <c r="K2622" s="1426"/>
      <c r="L2622" s="1426"/>
      <c r="M2622" s="1427"/>
      <c r="N2622" s="1428">
        <f>(N2606*((1+N$11)^0.5)/N$10)</f>
        <v>0</v>
      </c>
      <c r="O2622" s="1423">
        <f ca="1">IF(N2646="n/a",N2622,IFERROR(IF((OFFSET($C2622,0,$A2622))&lt;0,
MIN(0,N2622-(OFFSET($C2622,0,$A2622)/(OFFSET($C2617,-$A2621,$A2622)))),
MAX(0,N2622-(OFFSET($C2622,0,$A2622)/(OFFSET($C2617,-$A2621,$A2622))))),0))</f>
        <v>0</v>
      </c>
      <c r="P2622" s="1423">
        <f t="shared" ca="1" si="3883"/>
        <v>0</v>
      </c>
      <c r="Q2622" s="1423">
        <f t="shared" ca="1" si="3884"/>
        <v>0</v>
      </c>
      <c r="R2622" s="1423">
        <f t="shared" ca="1" si="3885"/>
        <v>0</v>
      </c>
      <c r="S2622" s="1423">
        <f t="shared" ca="1" si="3886"/>
        <v>0</v>
      </c>
      <c r="T2622" s="1423">
        <f t="shared" ca="1" si="3887"/>
        <v>0</v>
      </c>
      <c r="U2622" s="1423">
        <f t="shared" ca="1" si="3888"/>
        <v>0</v>
      </c>
      <c r="V2622" s="1423">
        <f t="shared" ca="1" si="3889"/>
        <v>0</v>
      </c>
      <c r="W2622" s="1423">
        <f t="shared" ca="1" si="3890"/>
        <v>0</v>
      </c>
      <c r="X2622" s="202"/>
      <c r="Y2622" s="202"/>
      <c r="Z2622" s="202"/>
      <c r="AA2622" s="152"/>
      <c r="AB2622" s="152"/>
    </row>
    <row r="2623" spans="1:28" hidden="1" outlineLevel="1">
      <c r="A2623" s="199">
        <f t="shared" si="3891"/>
        <v>12</v>
      </c>
      <c r="B2623" s="190" t="str">
        <f t="shared" ca="1" si="3892"/>
        <v>Depreciated Net Capex 2027-28</v>
      </c>
      <c r="C2623" s="1426"/>
      <c r="D2623" s="1426"/>
      <c r="E2623" s="1426"/>
      <c r="F2623" s="1426"/>
      <c r="G2623" s="1426"/>
      <c r="H2623" s="1426"/>
      <c r="I2623" s="1426"/>
      <c r="J2623" s="1426"/>
      <c r="K2623" s="1426"/>
      <c r="L2623" s="1426"/>
      <c r="M2623" s="1426"/>
      <c r="N2623" s="1427"/>
      <c r="O2623" s="1428">
        <f>(O2606*((1+O$11)^0.5)/O$10)</f>
        <v>0</v>
      </c>
      <c r="P2623" s="1423">
        <f ca="1">IF(O2647="n/a",O2623,IFERROR(IF((OFFSET($C2623,0,$A2623))&lt;0,
MIN(0,O2623-(OFFSET($C2623,0,$A2623)/(OFFSET($C2618,-$A2622,$A2623)))),
MAX(0,O2623-(OFFSET($C2623,0,$A2623)/(OFFSET($C2618,-$A2622,$A2623))))),0))</f>
        <v>0</v>
      </c>
      <c r="Q2623" s="1423">
        <f t="shared" ca="1" si="3884"/>
        <v>0</v>
      </c>
      <c r="R2623" s="1423">
        <f t="shared" ca="1" si="3885"/>
        <v>0</v>
      </c>
      <c r="S2623" s="1423">
        <f t="shared" ca="1" si="3886"/>
        <v>0</v>
      </c>
      <c r="T2623" s="1423">
        <f t="shared" ca="1" si="3887"/>
        <v>0</v>
      </c>
      <c r="U2623" s="1423">
        <f t="shared" ca="1" si="3888"/>
        <v>0</v>
      </c>
      <c r="V2623" s="1423">
        <f t="shared" ca="1" si="3889"/>
        <v>0</v>
      </c>
      <c r="W2623" s="1423">
        <f t="shared" ca="1" si="3890"/>
        <v>0</v>
      </c>
      <c r="X2623" s="202"/>
      <c r="Y2623" s="202"/>
      <c r="Z2623" s="202"/>
      <c r="AA2623" s="152"/>
      <c r="AB2623" s="152"/>
    </row>
    <row r="2624" spans="1:28" hidden="1" outlineLevel="1">
      <c r="A2624" s="199">
        <f t="shared" si="3891"/>
        <v>13</v>
      </c>
      <c r="B2624" s="190" t="str">
        <f t="shared" ca="1" si="3892"/>
        <v>Depreciated Net Capex 2028-29</v>
      </c>
      <c r="C2624" s="1426"/>
      <c r="D2624" s="1426"/>
      <c r="E2624" s="1426"/>
      <c r="F2624" s="1426"/>
      <c r="G2624" s="1426"/>
      <c r="H2624" s="1426"/>
      <c r="I2624" s="1426"/>
      <c r="J2624" s="1426"/>
      <c r="K2624" s="1426"/>
      <c r="L2624" s="1426"/>
      <c r="M2624" s="1426"/>
      <c r="N2624" s="1426"/>
      <c r="O2624" s="1427"/>
      <c r="P2624" s="1428">
        <f>(P2606*((1+P$11)^0.5)/P$10)</f>
        <v>0</v>
      </c>
      <c r="Q2624" s="1423">
        <f ca="1">IF(P2648="n/a",P2624,IFERROR(IF((OFFSET($C2624,0,$A2624))&lt;0,
MIN(0,P2624-(OFFSET($C2624,0,$A2624)/(OFFSET($C2619,-$A2623,$A2624)))),
MAX(0,P2624-(OFFSET($C2624,0,$A2624)/(OFFSET($C2619,-$A2623,$A2624))))),0))</f>
        <v>0</v>
      </c>
      <c r="R2624" s="1423">
        <f t="shared" ca="1" si="3885"/>
        <v>0</v>
      </c>
      <c r="S2624" s="1423">
        <f t="shared" ca="1" si="3886"/>
        <v>0</v>
      </c>
      <c r="T2624" s="1423">
        <f t="shared" ca="1" si="3887"/>
        <v>0</v>
      </c>
      <c r="U2624" s="1423">
        <f t="shared" ca="1" si="3888"/>
        <v>0</v>
      </c>
      <c r="V2624" s="1423">
        <f t="shared" ca="1" si="3889"/>
        <v>0</v>
      </c>
      <c r="W2624" s="1423">
        <f t="shared" ca="1" si="3890"/>
        <v>0</v>
      </c>
      <c r="X2624" s="202"/>
      <c r="Y2624" s="202"/>
      <c r="Z2624" s="202"/>
      <c r="AA2624" s="152"/>
      <c r="AB2624" s="152"/>
    </row>
    <row r="2625" spans="1:28" hidden="1" outlineLevel="1">
      <c r="A2625" s="199">
        <f t="shared" si="3891"/>
        <v>14</v>
      </c>
      <c r="B2625" s="190" t="str">
        <f t="shared" ca="1" si="3892"/>
        <v>Depreciated Net Capex 2029-30</v>
      </c>
      <c r="C2625" s="1426"/>
      <c r="D2625" s="1426"/>
      <c r="E2625" s="1426"/>
      <c r="F2625" s="1426"/>
      <c r="G2625" s="1426"/>
      <c r="H2625" s="1426"/>
      <c r="I2625" s="1426"/>
      <c r="J2625" s="1426"/>
      <c r="K2625" s="1426"/>
      <c r="L2625" s="1426"/>
      <c r="M2625" s="1426"/>
      <c r="N2625" s="1426"/>
      <c r="O2625" s="1426"/>
      <c r="P2625" s="1427"/>
      <c r="Q2625" s="1428">
        <f>(Q2606*((1+Q$11)^0.5)/Q$10)</f>
        <v>0</v>
      </c>
      <c r="R2625" s="1423">
        <f ca="1">IF(Q2649="n/a",Q2625,IFERROR(IF((OFFSET($C2625,0,$A2625))&lt;0,
MIN(0,Q2625-(OFFSET($C2625,0,$A2625)/(OFFSET($C2620,-$A2624,$A2625)))),
MAX(0,Q2625-(OFFSET($C2625,0,$A2625)/(OFFSET($C2620,-$A2624,$A2625))))),0))</f>
        <v>0</v>
      </c>
      <c r="S2625" s="1423">
        <f t="shared" ca="1" si="3886"/>
        <v>0</v>
      </c>
      <c r="T2625" s="1423">
        <f t="shared" ca="1" si="3887"/>
        <v>0</v>
      </c>
      <c r="U2625" s="1423">
        <f t="shared" ca="1" si="3888"/>
        <v>0</v>
      </c>
      <c r="V2625" s="1423">
        <f t="shared" ca="1" si="3889"/>
        <v>0</v>
      </c>
      <c r="W2625" s="1423">
        <f t="shared" ca="1" si="3890"/>
        <v>0</v>
      </c>
      <c r="X2625" s="202"/>
      <c r="Y2625" s="202"/>
      <c r="Z2625" s="202"/>
      <c r="AA2625" s="152"/>
      <c r="AB2625" s="152"/>
    </row>
    <row r="2626" spans="1:28" hidden="1" outlineLevel="1">
      <c r="A2626" s="199">
        <f t="shared" si="3891"/>
        <v>15</v>
      </c>
      <c r="B2626" s="190" t="str">
        <f t="shared" ca="1" si="3892"/>
        <v>Depreciated Net Capex 2030-31</v>
      </c>
      <c r="C2626" s="1426"/>
      <c r="D2626" s="1426"/>
      <c r="E2626" s="1426"/>
      <c r="F2626" s="1426"/>
      <c r="G2626" s="1426"/>
      <c r="H2626" s="1426"/>
      <c r="I2626" s="1426"/>
      <c r="J2626" s="1426"/>
      <c r="K2626" s="1426"/>
      <c r="L2626" s="1426"/>
      <c r="M2626" s="1426"/>
      <c r="N2626" s="1426"/>
      <c r="O2626" s="1426"/>
      <c r="P2626" s="1426"/>
      <c r="Q2626" s="1427"/>
      <c r="R2626" s="1428">
        <f>(R2606*((1+R$11)^0.5)/R$10)</f>
        <v>0</v>
      </c>
      <c r="S2626" s="1423">
        <f ca="1">IF(R2650="n/a",R2626,IFERROR(IF((OFFSET($C2626,0,$A2626))&lt;0,
MIN(0,R2626-(OFFSET($C2626,0,$A2626)/(OFFSET($C2621,-$A2625,$A2626)))),
MAX(0,R2626-(OFFSET($C2626,0,$A2626)/(OFFSET($C2621,-$A2625,$A2626))))),0))</f>
        <v>0</v>
      </c>
      <c r="T2626" s="1423">
        <f t="shared" ca="1" si="3887"/>
        <v>0</v>
      </c>
      <c r="U2626" s="1423">
        <f t="shared" ca="1" si="3888"/>
        <v>0</v>
      </c>
      <c r="V2626" s="1423">
        <f t="shared" ca="1" si="3889"/>
        <v>0</v>
      </c>
      <c r="W2626" s="1423">
        <f t="shared" ca="1" si="3890"/>
        <v>0</v>
      </c>
      <c r="X2626" s="202"/>
      <c r="Y2626" s="202"/>
      <c r="Z2626" s="202"/>
      <c r="AA2626" s="152"/>
      <c r="AB2626" s="152"/>
    </row>
    <row r="2627" spans="1:28" hidden="1" outlineLevel="1">
      <c r="A2627" s="199">
        <f t="shared" si="3891"/>
        <v>16</v>
      </c>
      <c r="B2627" s="190" t="str">
        <f t="shared" ca="1" si="3892"/>
        <v>Depreciated Net Capex 2031-32</v>
      </c>
      <c r="C2627" s="1426"/>
      <c r="D2627" s="1426"/>
      <c r="E2627" s="1426"/>
      <c r="F2627" s="1426"/>
      <c r="G2627" s="1426"/>
      <c r="H2627" s="1426"/>
      <c r="I2627" s="1426"/>
      <c r="J2627" s="1426"/>
      <c r="K2627" s="1426"/>
      <c r="L2627" s="1426"/>
      <c r="M2627" s="1426"/>
      <c r="N2627" s="1426"/>
      <c r="O2627" s="1426"/>
      <c r="P2627" s="1426"/>
      <c r="Q2627" s="1426"/>
      <c r="R2627" s="1427"/>
      <c r="S2627" s="1428">
        <f>(S2606*((1+S$11)^0.5)/S$10)</f>
        <v>0</v>
      </c>
      <c r="T2627" s="1423">
        <f ca="1">IF(S2651="n/a",S2627,IFERROR(IF((OFFSET($C2627,0,$A2627))&lt;0,
MIN(0,S2627-(OFFSET($C2627,0,$A2627)/(OFFSET($C2622,-$A2626,$A2627)))),
MAX(0,S2627-(OFFSET($C2627,0,$A2627)/(OFFSET($C2622,-$A2626,$A2627))))),0))</f>
        <v>0</v>
      </c>
      <c r="U2627" s="1423">
        <f t="shared" ca="1" si="3888"/>
        <v>0</v>
      </c>
      <c r="V2627" s="1423">
        <f t="shared" ca="1" si="3889"/>
        <v>0</v>
      </c>
      <c r="W2627" s="1423">
        <f t="shared" ca="1" si="3890"/>
        <v>0</v>
      </c>
      <c r="X2627" s="202"/>
      <c r="Y2627" s="202"/>
      <c r="Z2627" s="202"/>
      <c r="AA2627" s="152"/>
      <c r="AB2627" s="152"/>
    </row>
    <row r="2628" spans="1:28" hidden="1" outlineLevel="1">
      <c r="A2628" s="199">
        <f t="shared" si="3891"/>
        <v>17</v>
      </c>
      <c r="B2628" s="190" t="str">
        <f t="shared" ca="1" si="3892"/>
        <v>Depreciated Net Capex 2032-33</v>
      </c>
      <c r="C2628" s="1426"/>
      <c r="D2628" s="1426"/>
      <c r="E2628" s="1426"/>
      <c r="F2628" s="1426"/>
      <c r="G2628" s="1426"/>
      <c r="H2628" s="1426"/>
      <c r="I2628" s="1426"/>
      <c r="J2628" s="1426"/>
      <c r="K2628" s="1426"/>
      <c r="L2628" s="1426"/>
      <c r="M2628" s="1426"/>
      <c r="N2628" s="1426"/>
      <c r="O2628" s="1426"/>
      <c r="P2628" s="1426"/>
      <c r="Q2628" s="1426"/>
      <c r="R2628" s="1426"/>
      <c r="S2628" s="1427"/>
      <c r="T2628" s="1428">
        <f>(T2606*((1+T$11)^0.5)/T$10)</f>
        <v>0</v>
      </c>
      <c r="U2628" s="1423">
        <f ca="1">IF(T2652="n/a",T2628,IFERROR(IF((OFFSET($C2628,0,$A2628))&lt;0,
MIN(0,T2628-(OFFSET($C2628,0,$A2628)/(OFFSET($C2623,-$A2627,$A2628)))),
MAX(0,T2628-(OFFSET($C2628,0,$A2628)/(OFFSET($C2623,-$A2627,$A2628))))),0))</f>
        <v>0</v>
      </c>
      <c r="V2628" s="1423">
        <f t="shared" ca="1" si="3889"/>
        <v>0</v>
      </c>
      <c r="W2628" s="1423">
        <f t="shared" ca="1" si="3890"/>
        <v>0</v>
      </c>
      <c r="X2628" s="202"/>
      <c r="Y2628" s="202"/>
      <c r="Z2628" s="202"/>
      <c r="AA2628" s="152"/>
      <c r="AB2628" s="152"/>
    </row>
    <row r="2629" spans="1:28" hidden="1" outlineLevel="1">
      <c r="A2629" s="199">
        <f t="shared" si="3891"/>
        <v>18</v>
      </c>
      <c r="B2629" s="190" t="str">
        <f t="shared" ca="1" si="3892"/>
        <v>Depreciated Net Capex 2033-34</v>
      </c>
      <c r="C2629" s="1426"/>
      <c r="D2629" s="1426"/>
      <c r="E2629" s="1426"/>
      <c r="F2629" s="1426"/>
      <c r="G2629" s="1426"/>
      <c r="H2629" s="1426"/>
      <c r="I2629" s="1426"/>
      <c r="J2629" s="1426"/>
      <c r="K2629" s="1426"/>
      <c r="L2629" s="1426"/>
      <c r="M2629" s="1426"/>
      <c r="N2629" s="1426"/>
      <c r="O2629" s="1426"/>
      <c r="P2629" s="1426"/>
      <c r="Q2629" s="1426"/>
      <c r="R2629" s="1426"/>
      <c r="S2629" s="1426"/>
      <c r="T2629" s="1427"/>
      <c r="U2629" s="1428">
        <f>(U2606*((1+U$11)^0.5)/U$10)</f>
        <v>0</v>
      </c>
      <c r="V2629" s="1423">
        <f ca="1">IF(U2653="n/a",U2629,IFERROR(IF((OFFSET($C2629,0,$A2629))&lt;0,
MIN(0,U2629-(OFFSET($C2629,0,$A2629)/(OFFSET($C2624,-$A2628,$A2629)))),
MAX(0,U2629-(OFFSET($C2629,0,$A2629)/(OFFSET($C2624,-$A2628,$A2629))))),0))</f>
        <v>0</v>
      </c>
      <c r="W2629" s="1423">
        <f t="shared" ca="1" si="3890"/>
        <v>0</v>
      </c>
      <c r="X2629" s="202"/>
      <c r="Y2629" s="202"/>
      <c r="Z2629" s="202"/>
      <c r="AA2629" s="152"/>
      <c r="AB2629" s="152"/>
    </row>
    <row r="2630" spans="1:28" hidden="1" outlineLevel="1">
      <c r="A2630" s="199">
        <f t="shared" si="3891"/>
        <v>19</v>
      </c>
      <c r="B2630" s="190" t="str">
        <f t="shared" ca="1" si="3892"/>
        <v>Depreciated Net Capex 2034-35</v>
      </c>
      <c r="C2630" s="1426"/>
      <c r="D2630" s="1426"/>
      <c r="E2630" s="1426"/>
      <c r="F2630" s="1426"/>
      <c r="G2630" s="1426"/>
      <c r="H2630" s="1426"/>
      <c r="I2630" s="1426"/>
      <c r="J2630" s="1426"/>
      <c r="K2630" s="1426"/>
      <c r="L2630" s="1426"/>
      <c r="M2630" s="1426"/>
      <c r="N2630" s="1426"/>
      <c r="O2630" s="1426"/>
      <c r="P2630" s="1426"/>
      <c r="Q2630" s="1426"/>
      <c r="R2630" s="1426"/>
      <c r="S2630" s="1426"/>
      <c r="T2630" s="1426"/>
      <c r="U2630" s="1427"/>
      <c r="V2630" s="1428">
        <f>(V2606*((1+V$11)^0.5)/V$10)</f>
        <v>0</v>
      </c>
      <c r="W2630" s="1423">
        <f ca="1">IF(V2654="n/a",V2630,IFERROR(IF((OFFSET($C2630,0,$A2630))&lt;0,
MIN(0,V2630-(OFFSET($C2630,0,$A2630)/(OFFSET($C2625,-$A2629,$A2630)))),
MAX(0,V2630-(OFFSET($C2630,0,$A2630)/(OFFSET($C2625,-$A2629,$A2630))))),0))</f>
        <v>0</v>
      </c>
      <c r="X2630" s="202"/>
      <c r="Y2630" s="202"/>
      <c r="Z2630" s="202"/>
      <c r="AA2630" s="152"/>
      <c r="AB2630" s="152"/>
    </row>
    <row r="2631" spans="1:28" hidden="1" outlineLevel="1">
      <c r="A2631" s="199">
        <f t="shared" si="3891"/>
        <v>20</v>
      </c>
      <c r="B2631" s="190" t="str">
        <f ca="1">"Depreciated Net Capex "&amp;OFFSET($C$6,0,A2631)</f>
        <v>Depreciated Net Capex 2035-36</v>
      </c>
      <c r="C2631" s="1426"/>
      <c r="D2631" s="1426"/>
      <c r="E2631" s="1426"/>
      <c r="F2631" s="1426"/>
      <c r="G2631" s="1426"/>
      <c r="H2631" s="1426"/>
      <c r="I2631" s="1426"/>
      <c r="J2631" s="1426"/>
      <c r="K2631" s="1426"/>
      <c r="L2631" s="1426"/>
      <c r="M2631" s="1426"/>
      <c r="N2631" s="1426"/>
      <c r="O2631" s="1426"/>
      <c r="P2631" s="1426"/>
      <c r="Q2631" s="1426"/>
      <c r="R2631" s="1426"/>
      <c r="S2631" s="1426"/>
      <c r="T2631" s="1426"/>
      <c r="U2631" s="1426"/>
      <c r="V2631" s="1427"/>
      <c r="W2631" s="1423">
        <f>(W2606*((1+W$11)^0.5)/W$10)</f>
        <v>0</v>
      </c>
      <c r="X2631" s="152"/>
      <c r="Y2631" s="152"/>
      <c r="Z2631" s="152"/>
      <c r="AA2631" s="152"/>
      <c r="AB2631" s="152"/>
    </row>
    <row r="2632" spans="1:28" hidden="1" outlineLevel="1">
      <c r="A2632" s="152"/>
      <c r="B2632" s="200"/>
      <c r="C2632" s="1423"/>
      <c r="D2632" s="1423"/>
      <c r="E2632" s="1423"/>
      <c r="F2632" s="1423"/>
      <c r="G2632" s="1423"/>
      <c r="H2632" s="1423"/>
      <c r="I2632" s="1423"/>
      <c r="J2632" s="1423"/>
      <c r="K2632" s="1423"/>
      <c r="L2632" s="1423"/>
      <c r="M2632" s="1423"/>
      <c r="N2632" s="1423"/>
      <c r="O2632" s="1423"/>
      <c r="P2632" s="1423"/>
      <c r="Q2632" s="1423"/>
      <c r="R2632" s="1423"/>
      <c r="S2632" s="1423"/>
      <c r="T2632" s="1423"/>
      <c r="U2632" s="1423"/>
      <c r="V2632" s="1423"/>
      <c r="W2632" s="1423"/>
      <c r="X2632" s="152"/>
      <c r="Y2632" s="152"/>
      <c r="Z2632" s="152"/>
      <c r="AA2632" s="152"/>
      <c r="AB2632" s="152"/>
    </row>
    <row r="2633" spans="1:28" hidden="1" outlineLevel="1">
      <c r="A2633" s="152"/>
      <c r="B2633" s="200"/>
      <c r="C2633" s="1423"/>
      <c r="D2633" s="1423"/>
      <c r="E2633" s="1423"/>
      <c r="F2633" s="1423"/>
      <c r="G2633" s="1423"/>
      <c r="H2633" s="1423"/>
      <c r="I2633" s="1423"/>
      <c r="J2633" s="1423"/>
      <c r="K2633" s="1423"/>
      <c r="L2633" s="1423"/>
      <c r="M2633" s="1423"/>
      <c r="N2633" s="1423"/>
      <c r="O2633" s="1423"/>
      <c r="P2633" s="1423"/>
      <c r="Q2633" s="1423"/>
      <c r="R2633" s="1423"/>
      <c r="S2633" s="1423"/>
      <c r="T2633" s="1423"/>
      <c r="U2633" s="1423"/>
      <c r="V2633" s="1423"/>
      <c r="W2633" s="1423"/>
      <c r="X2633" s="152"/>
      <c r="Y2633" s="152"/>
      <c r="Z2633" s="152"/>
      <c r="AA2633" s="152"/>
      <c r="AB2633" s="152"/>
    </row>
    <row r="2634" spans="1:28" hidden="1" outlineLevel="1">
      <c r="A2634" s="152"/>
      <c r="B2634" s="190" t="s">
        <v>190</v>
      </c>
      <c r="C2634" s="1423"/>
      <c r="D2634" s="1423">
        <f ca="1">IF(AND(C2634&lt;1,D2608=0),0,
IF(D2608=0,C2634-1,
IF(C2634&lt;1,D2609,
(((C2634-1)*(C2610-(C2610/(C2634))))+((D2608/D$10)*D2609))/(D2610))))</f>
        <v>0</v>
      </c>
      <c r="E2634" s="1423">
        <f t="shared" ref="E2634" ca="1" si="3893">IF(AND(D2634&lt;1,E2608=0),0,
IF(E2608=0,D2634-1,
IF(D2634&lt;1,E2609,
(((D2634-1)*(D2610-(D2610/(D2634))))+((E2608/E$10)*E2609))/(E2610))))</f>
        <v>0</v>
      </c>
      <c r="F2634" s="1423">
        <f t="shared" ref="F2634" ca="1" si="3894">IF(AND(E2634&lt;1,F2608=0),0,
IF(F2608=0,E2634-1,
IF(E2634&lt;1,F2609,
(((E2634-1)*(E2610-(E2610/(E2634))))+((F2608/F$10)*F2609))/(F2610))))</f>
        <v>0</v>
      </c>
      <c r="G2634" s="1423">
        <f t="shared" ref="G2634" ca="1" si="3895">IF(AND(F2634&lt;1,G2608=0),0,
IF(G2608=0,F2634-1,
IF(F2634&lt;1,G2609,
(((F2634-1)*(F2610-(F2610/(F2634))))+((G2608/G$10)*G2609))/(G2610))))</f>
        <v>0</v>
      </c>
      <c r="H2634" s="1423">
        <f t="shared" ref="H2634" ca="1" si="3896">IF(AND(G2634&lt;1,H2608=0),0,
IF(H2608=0,G2634-1,
IF(G2634&lt;1,H2609,
(((G2634-1)*(G2610-(G2610/(G2634))))+((H2608/H$10)*H2609))/(H2610))))</f>
        <v>0</v>
      </c>
      <c r="I2634" s="1423">
        <f t="shared" ref="I2634" ca="1" si="3897">IF(AND(H2634&lt;1,I2608=0),0,
IF(I2608=0,H2634-1,
IF(H2634&lt;1,I2609,
(((H2634-1)*(H2610-(H2610/(H2634))))+((I2608/I$10)*I2609))/(I2610))))</f>
        <v>0</v>
      </c>
      <c r="J2634" s="1423">
        <f t="shared" ref="J2634" ca="1" si="3898">IF(AND(I2634&lt;1,J2608=0),0,
IF(J2608=0,I2634-1,
IF(I2634&lt;1,J2609,
(((I2634-1)*(I2610-(I2610/(I2634))))+((J2608/J$10)*J2609))/(J2610))))</f>
        <v>0</v>
      </c>
      <c r="K2634" s="1423">
        <f t="shared" ref="K2634" ca="1" si="3899">IF(AND(J2634&lt;1,K2608=0),0,
IF(K2608=0,J2634-1,
IF(J2634&lt;1,K2609,
(((J2634-1)*(J2610-(J2610/(J2634))))+((K2608/K$10)*K2609))/(K2610))))</f>
        <v>0</v>
      </c>
      <c r="L2634" s="1423">
        <f t="shared" ref="L2634" ca="1" si="3900">IF(AND(K2634&lt;1,L2608=0),0,
IF(L2608=0,K2634-1,
IF(K2634&lt;1,L2609,
(((K2634-1)*(K2610-(K2610/(K2634))))+((L2608/L$10)*L2609))/(L2610))))</f>
        <v>0</v>
      </c>
      <c r="M2634" s="1423">
        <f t="shared" ref="M2634" ca="1" si="3901">IF(AND(L2634&lt;1,M2608=0),0,
IF(M2608=0,L2634-1,
IF(L2634&lt;1,M2609,
(((L2634-1)*(L2610-(L2610/(L2634))))+((M2608/M$10)*M2609))/(M2610))))</f>
        <v>0</v>
      </c>
      <c r="N2634" s="1423">
        <f t="shared" ref="N2634" ca="1" si="3902">IF(AND(M2634&lt;1,N2608=0),0,
IF(N2608=0,M2634-1,
IF(M2634&lt;1,N2609,
(((M2634-1)*(M2610-(M2610/(M2634))))+((N2608/N$10)*N2609))/(N2610))))</f>
        <v>0</v>
      </c>
      <c r="O2634" s="1423">
        <f t="shared" ref="O2634" ca="1" si="3903">IF(AND(N2634&lt;1,O2608=0),0,
IF(O2608=0,N2634-1,
IF(N2634&lt;1,O2609,
(((N2634-1)*(N2610-(N2610/(N2634))))+((O2608/O$10)*O2609))/(O2610))))</f>
        <v>0</v>
      </c>
      <c r="P2634" s="1423">
        <f t="shared" ref="P2634" ca="1" si="3904">IF(AND(O2634&lt;1,P2608=0),0,
IF(P2608=0,O2634-1,
IF(O2634&lt;1,P2609,
(((O2634-1)*(O2610-(O2610/(O2634))))+((P2608/P$10)*P2609))/(P2610))))</f>
        <v>0</v>
      </c>
      <c r="Q2634" s="1423">
        <f t="shared" ref="Q2634" ca="1" si="3905">IF(AND(P2634&lt;1,Q2608=0),0,
IF(Q2608=0,P2634-1,
IF(P2634&lt;1,Q2609,
(((P2634-1)*(P2610-(P2610/(P2634))))+((Q2608/Q$10)*Q2609))/(Q2610))))</f>
        <v>0</v>
      </c>
      <c r="R2634" s="1423">
        <f t="shared" ref="R2634" ca="1" si="3906">IF(AND(Q2634&lt;1,R2608=0),0,
IF(R2608=0,Q2634-1,
IF(Q2634&lt;1,R2609,
(((Q2634-1)*(Q2610-(Q2610/(Q2634))))+((R2608/R$10)*R2609))/(R2610))))</f>
        <v>0</v>
      </c>
      <c r="S2634" s="1423">
        <f t="shared" ref="S2634" ca="1" si="3907">IF(AND(R2634&lt;1,S2608=0),0,
IF(S2608=0,R2634-1,
IF(R2634&lt;1,S2609,
(((R2634-1)*(R2610-(R2610/(R2634))))+((S2608/S$10)*S2609))/(S2610))))</f>
        <v>0</v>
      </c>
      <c r="T2634" s="1423">
        <f t="shared" ref="T2634" ca="1" si="3908">IF(AND(S2634&lt;1,T2608=0),0,
IF(T2608=0,S2634-1,
IF(S2634&lt;1,T2609,
(((S2634-1)*(S2610-(S2610/(S2634))))+((T2608/T$10)*T2609))/(T2610))))</f>
        <v>0</v>
      </c>
      <c r="U2634" s="1423">
        <f t="shared" ref="U2634" ca="1" si="3909">IF(AND(T2634&lt;1,U2608=0),0,
IF(U2608=0,T2634-1,
IF(T2634&lt;1,U2609,
(((T2634-1)*(T2610-(T2610/(T2634))))+((U2608/U$10)*U2609))/(U2610))))</f>
        <v>0</v>
      </c>
      <c r="V2634" s="1423">
        <f t="shared" ref="V2634" ca="1" si="3910">IF(AND(U2634&lt;1,V2608=0),0,
IF(V2608=0,U2634-1,
IF(U2634&lt;1,V2609,
(((U2634-1)*(U2610-(U2610/(U2634))))+((V2608/V$10)*V2609))/(V2610))))</f>
        <v>0</v>
      </c>
      <c r="W2634" s="1423">
        <f t="shared" ref="W2634" ca="1" si="3911">IF(AND(V2634&lt;1,W2608=0),0,
IF(W2608=0,V2634-1,
IF(V2634&lt;1,W2609,
(((V2634-1)*(V2610-(V2610/(V2634))))+((W2608/W$10)*W2609))/(W2610))))</f>
        <v>0</v>
      </c>
      <c r="X2634" s="152"/>
      <c r="Y2634" s="152"/>
      <c r="Z2634" s="152"/>
      <c r="AA2634" s="152"/>
      <c r="AB2634" s="152"/>
    </row>
    <row r="2635" spans="1:28" hidden="1" outlineLevel="1">
      <c r="A2635" s="152"/>
      <c r="B2635" s="190" t="s">
        <v>122</v>
      </c>
      <c r="C2635" s="1423">
        <f ca="1">C2607</f>
        <v>0</v>
      </c>
      <c r="D2635" s="1423">
        <f t="shared" ref="D2635" ca="1" si="3912">IF(C2635="n/a","n/a",MAX(0,C2635-1))</f>
        <v>0</v>
      </c>
      <c r="E2635" s="1423">
        <f t="shared" ref="E2635:E2636" ca="1" si="3913">IF(D2635="n/a","n/a",MAX(0,D2635-1))</f>
        <v>0</v>
      </c>
      <c r="F2635" s="1423">
        <f t="shared" ref="F2635:F2637" ca="1" si="3914">IF(E2635="n/a","n/a",MAX(0,E2635-1))</f>
        <v>0</v>
      </c>
      <c r="G2635" s="1423">
        <f t="shared" ref="G2635:G2638" ca="1" si="3915">IF(F2635="n/a","n/a",MAX(0,F2635-1))</f>
        <v>0</v>
      </c>
      <c r="H2635" s="1423">
        <f t="shared" ref="H2635:H2639" ca="1" si="3916">IF(G2635="n/a","n/a",MAX(0,G2635-1))</f>
        <v>0</v>
      </c>
      <c r="I2635" s="1423">
        <f t="shared" ref="I2635:I2640" ca="1" si="3917">IF(H2635="n/a","n/a",MAX(0,H2635-1))</f>
        <v>0</v>
      </c>
      <c r="J2635" s="1423">
        <f t="shared" ref="J2635:J2641" ca="1" si="3918">IF(I2635="n/a","n/a",MAX(0,I2635-1))</f>
        <v>0</v>
      </c>
      <c r="K2635" s="1423">
        <f t="shared" ref="K2635:K2642" ca="1" si="3919">IF(J2635="n/a","n/a",MAX(0,J2635-1))</f>
        <v>0</v>
      </c>
      <c r="L2635" s="1423">
        <f t="shared" ref="L2635:L2643" ca="1" si="3920">IF(K2635="n/a","n/a",MAX(0,K2635-1))</f>
        <v>0</v>
      </c>
      <c r="M2635" s="1423">
        <f t="shared" ref="M2635:M2644" ca="1" si="3921">IF(L2635="n/a","n/a",MAX(0,L2635-1))</f>
        <v>0</v>
      </c>
      <c r="N2635" s="1423">
        <f t="shared" ref="N2635:N2645" ca="1" si="3922">IF(M2635="n/a","n/a",MAX(0,M2635-1))</f>
        <v>0</v>
      </c>
      <c r="O2635" s="1423">
        <f t="shared" ref="O2635:O2646" ca="1" si="3923">IF(N2635="n/a","n/a",MAX(0,N2635-1))</f>
        <v>0</v>
      </c>
      <c r="P2635" s="1423">
        <f t="shared" ref="P2635:P2647" ca="1" si="3924">IF(O2635="n/a","n/a",MAX(0,O2635-1))</f>
        <v>0</v>
      </c>
      <c r="Q2635" s="1423">
        <f t="shared" ref="Q2635:Q2648" ca="1" si="3925">IF(P2635="n/a","n/a",MAX(0,P2635-1))</f>
        <v>0</v>
      </c>
      <c r="R2635" s="1423">
        <f t="shared" ref="R2635:R2649" ca="1" si="3926">IF(Q2635="n/a","n/a",MAX(0,Q2635-1))</f>
        <v>0</v>
      </c>
      <c r="S2635" s="1423">
        <f t="shared" ref="S2635:S2650" ca="1" si="3927">IF(R2635="n/a","n/a",MAX(0,R2635-1))</f>
        <v>0</v>
      </c>
      <c r="T2635" s="1423">
        <f t="shared" ref="T2635:T2651" ca="1" si="3928">IF(S2635="n/a","n/a",MAX(0,S2635-1))</f>
        <v>0</v>
      </c>
      <c r="U2635" s="1423">
        <f t="shared" ref="U2635:U2652" ca="1" si="3929">IF(T2635="n/a","n/a",MAX(0,T2635-1))</f>
        <v>0</v>
      </c>
      <c r="V2635" s="1423">
        <f t="shared" ref="V2635:V2653" ca="1" si="3930">IF(U2635="n/a","n/a",MAX(0,U2635-1))</f>
        <v>0</v>
      </c>
      <c r="W2635" s="1423">
        <f t="shared" ref="W2635:W2653" ca="1" si="3931">IF(V2635="n/a","n/a",MAX(0,V2635-1))</f>
        <v>0</v>
      </c>
      <c r="X2635" s="152"/>
      <c r="Y2635" s="152"/>
      <c r="Z2635" s="152"/>
      <c r="AA2635" s="152"/>
      <c r="AB2635" s="152"/>
    </row>
    <row r="2636" spans="1:28" hidden="1" outlineLevel="1">
      <c r="A2636" s="152"/>
      <c r="B2636" s="190" t="str">
        <f t="shared" ref="B2636:B2655" ca="1" si="3932">"RL Capex "&amp;OFFSET($C$6,0,A2612)</f>
        <v>RL Capex 2016-17</v>
      </c>
      <c r="C2636" s="1424"/>
      <c r="D2636" s="1428">
        <f>D2607</f>
        <v>0</v>
      </c>
      <c r="E2636" s="1423">
        <f t="shared" si="3913"/>
        <v>0</v>
      </c>
      <c r="F2636" s="1423">
        <f t="shared" si="3914"/>
        <v>0</v>
      </c>
      <c r="G2636" s="1423">
        <f t="shared" si="3915"/>
        <v>0</v>
      </c>
      <c r="H2636" s="1423">
        <f t="shared" si="3916"/>
        <v>0</v>
      </c>
      <c r="I2636" s="1423">
        <f t="shared" si="3917"/>
        <v>0</v>
      </c>
      <c r="J2636" s="1423">
        <f t="shared" si="3918"/>
        <v>0</v>
      </c>
      <c r="K2636" s="1423">
        <f t="shared" si="3919"/>
        <v>0</v>
      </c>
      <c r="L2636" s="1423">
        <f t="shared" si="3920"/>
        <v>0</v>
      </c>
      <c r="M2636" s="1423">
        <f t="shared" si="3921"/>
        <v>0</v>
      </c>
      <c r="N2636" s="1423">
        <f t="shared" si="3922"/>
        <v>0</v>
      </c>
      <c r="O2636" s="1423">
        <f t="shared" si="3923"/>
        <v>0</v>
      </c>
      <c r="P2636" s="1423">
        <f t="shared" si="3924"/>
        <v>0</v>
      </c>
      <c r="Q2636" s="1423">
        <f t="shared" si="3925"/>
        <v>0</v>
      </c>
      <c r="R2636" s="1423">
        <f t="shared" si="3926"/>
        <v>0</v>
      </c>
      <c r="S2636" s="1423">
        <f t="shared" si="3927"/>
        <v>0</v>
      </c>
      <c r="T2636" s="1423">
        <f t="shared" si="3928"/>
        <v>0</v>
      </c>
      <c r="U2636" s="1423">
        <f t="shared" si="3929"/>
        <v>0</v>
      </c>
      <c r="V2636" s="1423">
        <f t="shared" si="3930"/>
        <v>0</v>
      </c>
      <c r="W2636" s="1423">
        <f t="shared" si="3931"/>
        <v>0</v>
      </c>
      <c r="X2636" s="152"/>
      <c r="Y2636" s="152"/>
      <c r="Z2636" s="152"/>
      <c r="AA2636" s="152"/>
      <c r="AB2636" s="152"/>
    </row>
    <row r="2637" spans="1:28" hidden="1" outlineLevel="1">
      <c r="A2637" s="152"/>
      <c r="B2637" s="190" t="str">
        <f t="shared" ca="1" si="3932"/>
        <v>RL Capex 2017-18</v>
      </c>
      <c r="C2637" s="1429"/>
      <c r="D2637" s="1424"/>
      <c r="E2637" s="1428">
        <f>E2607</f>
        <v>0</v>
      </c>
      <c r="F2637" s="1423">
        <f t="shared" si="3914"/>
        <v>0</v>
      </c>
      <c r="G2637" s="1423">
        <f t="shared" si="3915"/>
        <v>0</v>
      </c>
      <c r="H2637" s="1423">
        <f t="shared" si="3916"/>
        <v>0</v>
      </c>
      <c r="I2637" s="1423">
        <f t="shared" si="3917"/>
        <v>0</v>
      </c>
      <c r="J2637" s="1423">
        <f t="shared" si="3918"/>
        <v>0</v>
      </c>
      <c r="K2637" s="1423">
        <f t="shared" si="3919"/>
        <v>0</v>
      </c>
      <c r="L2637" s="1423">
        <f t="shared" si="3920"/>
        <v>0</v>
      </c>
      <c r="M2637" s="1423">
        <f t="shared" si="3921"/>
        <v>0</v>
      </c>
      <c r="N2637" s="1423">
        <f t="shared" si="3922"/>
        <v>0</v>
      </c>
      <c r="O2637" s="1423">
        <f t="shared" si="3923"/>
        <v>0</v>
      </c>
      <c r="P2637" s="1423">
        <f t="shared" si="3924"/>
        <v>0</v>
      </c>
      <c r="Q2637" s="1423">
        <f t="shared" si="3925"/>
        <v>0</v>
      </c>
      <c r="R2637" s="1423">
        <f t="shared" si="3926"/>
        <v>0</v>
      </c>
      <c r="S2637" s="1423">
        <f t="shared" si="3927"/>
        <v>0</v>
      </c>
      <c r="T2637" s="1423">
        <f t="shared" si="3928"/>
        <v>0</v>
      </c>
      <c r="U2637" s="1423">
        <f t="shared" si="3929"/>
        <v>0</v>
      </c>
      <c r="V2637" s="1423">
        <f t="shared" si="3930"/>
        <v>0</v>
      </c>
      <c r="W2637" s="1423">
        <f t="shared" si="3931"/>
        <v>0</v>
      </c>
      <c r="X2637" s="152"/>
      <c r="Y2637" s="152"/>
      <c r="Z2637" s="152"/>
      <c r="AA2637" s="152"/>
      <c r="AB2637" s="152"/>
    </row>
    <row r="2638" spans="1:28" hidden="1" outlineLevel="1">
      <c r="A2638" s="152"/>
      <c r="B2638" s="190" t="str">
        <f t="shared" ca="1" si="3932"/>
        <v>RL Capex 2018-19</v>
      </c>
      <c r="C2638" s="1429"/>
      <c r="D2638" s="1429"/>
      <c r="E2638" s="1424"/>
      <c r="F2638" s="1428">
        <f>F2607</f>
        <v>0</v>
      </c>
      <c r="G2638" s="1423">
        <f t="shared" si="3915"/>
        <v>0</v>
      </c>
      <c r="H2638" s="1423">
        <f t="shared" si="3916"/>
        <v>0</v>
      </c>
      <c r="I2638" s="1423">
        <f t="shared" si="3917"/>
        <v>0</v>
      </c>
      <c r="J2638" s="1423">
        <f t="shared" si="3918"/>
        <v>0</v>
      </c>
      <c r="K2638" s="1423">
        <f t="shared" si="3919"/>
        <v>0</v>
      </c>
      <c r="L2638" s="1423">
        <f t="shared" si="3920"/>
        <v>0</v>
      </c>
      <c r="M2638" s="1423">
        <f t="shared" si="3921"/>
        <v>0</v>
      </c>
      <c r="N2638" s="1423">
        <f t="shared" si="3922"/>
        <v>0</v>
      </c>
      <c r="O2638" s="1423">
        <f t="shared" si="3923"/>
        <v>0</v>
      </c>
      <c r="P2638" s="1423">
        <f t="shared" si="3924"/>
        <v>0</v>
      </c>
      <c r="Q2638" s="1423">
        <f t="shared" si="3925"/>
        <v>0</v>
      </c>
      <c r="R2638" s="1423">
        <f t="shared" si="3926"/>
        <v>0</v>
      </c>
      <c r="S2638" s="1423">
        <f t="shared" si="3927"/>
        <v>0</v>
      </c>
      <c r="T2638" s="1423">
        <f t="shared" si="3928"/>
        <v>0</v>
      </c>
      <c r="U2638" s="1423">
        <f t="shared" si="3929"/>
        <v>0</v>
      </c>
      <c r="V2638" s="1423">
        <f t="shared" si="3930"/>
        <v>0</v>
      </c>
      <c r="W2638" s="1423">
        <f t="shared" si="3931"/>
        <v>0</v>
      </c>
      <c r="X2638" s="152"/>
      <c r="Y2638" s="152"/>
      <c r="Z2638" s="152"/>
      <c r="AA2638" s="152"/>
      <c r="AB2638" s="152"/>
    </row>
    <row r="2639" spans="1:28" hidden="1" outlineLevel="1">
      <c r="A2639" s="152"/>
      <c r="B2639" s="190" t="str">
        <f t="shared" ca="1" si="3932"/>
        <v>RL Capex 2019-20</v>
      </c>
      <c r="C2639" s="1429"/>
      <c r="D2639" s="1429"/>
      <c r="E2639" s="1429"/>
      <c r="F2639" s="1424"/>
      <c r="G2639" s="1428">
        <f>G2607</f>
        <v>0</v>
      </c>
      <c r="H2639" s="1423">
        <f t="shared" si="3916"/>
        <v>0</v>
      </c>
      <c r="I2639" s="1423">
        <f t="shared" si="3917"/>
        <v>0</v>
      </c>
      <c r="J2639" s="1423">
        <f t="shared" si="3918"/>
        <v>0</v>
      </c>
      <c r="K2639" s="1423">
        <f t="shared" si="3919"/>
        <v>0</v>
      </c>
      <c r="L2639" s="1423">
        <f t="shared" si="3920"/>
        <v>0</v>
      </c>
      <c r="M2639" s="1423">
        <f t="shared" si="3921"/>
        <v>0</v>
      </c>
      <c r="N2639" s="1423">
        <f t="shared" si="3922"/>
        <v>0</v>
      </c>
      <c r="O2639" s="1423">
        <f t="shared" si="3923"/>
        <v>0</v>
      </c>
      <c r="P2639" s="1423">
        <f t="shared" si="3924"/>
        <v>0</v>
      </c>
      <c r="Q2639" s="1423">
        <f t="shared" si="3925"/>
        <v>0</v>
      </c>
      <c r="R2639" s="1423">
        <f t="shared" si="3926"/>
        <v>0</v>
      </c>
      <c r="S2639" s="1423">
        <f t="shared" si="3927"/>
        <v>0</v>
      </c>
      <c r="T2639" s="1423">
        <f t="shared" si="3928"/>
        <v>0</v>
      </c>
      <c r="U2639" s="1423">
        <f t="shared" si="3929"/>
        <v>0</v>
      </c>
      <c r="V2639" s="1423">
        <f t="shared" si="3930"/>
        <v>0</v>
      </c>
      <c r="W2639" s="1423">
        <f t="shared" si="3931"/>
        <v>0</v>
      </c>
      <c r="X2639" s="152"/>
      <c r="Y2639" s="152"/>
      <c r="Z2639" s="152"/>
      <c r="AA2639" s="152"/>
      <c r="AB2639" s="152"/>
    </row>
    <row r="2640" spans="1:28" hidden="1" outlineLevel="1">
      <c r="A2640" s="152"/>
      <c r="B2640" s="190" t="str">
        <f t="shared" ca="1" si="3932"/>
        <v>RL Capex 2020-21</v>
      </c>
      <c r="C2640" s="1429"/>
      <c r="D2640" s="1429"/>
      <c r="E2640" s="1429"/>
      <c r="F2640" s="1429"/>
      <c r="G2640" s="1424"/>
      <c r="H2640" s="1428">
        <f>H2607</f>
        <v>0</v>
      </c>
      <c r="I2640" s="1423">
        <f t="shared" si="3917"/>
        <v>0</v>
      </c>
      <c r="J2640" s="1423">
        <f t="shared" si="3918"/>
        <v>0</v>
      </c>
      <c r="K2640" s="1423">
        <f t="shared" si="3919"/>
        <v>0</v>
      </c>
      <c r="L2640" s="1423">
        <f t="shared" si="3920"/>
        <v>0</v>
      </c>
      <c r="M2640" s="1423">
        <f t="shared" si="3921"/>
        <v>0</v>
      </c>
      <c r="N2640" s="1423">
        <f t="shared" si="3922"/>
        <v>0</v>
      </c>
      <c r="O2640" s="1423">
        <f t="shared" si="3923"/>
        <v>0</v>
      </c>
      <c r="P2640" s="1423">
        <f t="shared" si="3924"/>
        <v>0</v>
      </c>
      <c r="Q2640" s="1423">
        <f t="shared" si="3925"/>
        <v>0</v>
      </c>
      <c r="R2640" s="1423">
        <f t="shared" si="3926"/>
        <v>0</v>
      </c>
      <c r="S2640" s="1423">
        <f t="shared" si="3927"/>
        <v>0</v>
      </c>
      <c r="T2640" s="1423">
        <f t="shared" si="3928"/>
        <v>0</v>
      </c>
      <c r="U2640" s="1423">
        <f t="shared" si="3929"/>
        <v>0</v>
      </c>
      <c r="V2640" s="1423">
        <f t="shared" si="3930"/>
        <v>0</v>
      </c>
      <c r="W2640" s="1423">
        <f t="shared" si="3931"/>
        <v>0</v>
      </c>
      <c r="X2640" s="152"/>
      <c r="Y2640" s="152"/>
      <c r="Z2640" s="152"/>
      <c r="AA2640" s="152"/>
      <c r="AB2640" s="152"/>
    </row>
    <row r="2641" spans="1:28" hidden="1" outlineLevel="1">
      <c r="A2641" s="152"/>
      <c r="B2641" s="190" t="str">
        <f t="shared" ca="1" si="3932"/>
        <v>RL Capex 2021-22</v>
      </c>
      <c r="C2641" s="1429"/>
      <c r="D2641" s="1429"/>
      <c r="E2641" s="1429"/>
      <c r="F2641" s="1429"/>
      <c r="G2641" s="1429"/>
      <c r="H2641" s="1424"/>
      <c r="I2641" s="1428">
        <f>I2607</f>
        <v>0</v>
      </c>
      <c r="J2641" s="1423">
        <f t="shared" si="3918"/>
        <v>0</v>
      </c>
      <c r="K2641" s="1423">
        <f t="shared" si="3919"/>
        <v>0</v>
      </c>
      <c r="L2641" s="1423">
        <f t="shared" si="3920"/>
        <v>0</v>
      </c>
      <c r="M2641" s="1423">
        <f t="shared" si="3921"/>
        <v>0</v>
      </c>
      <c r="N2641" s="1423">
        <f t="shared" si="3922"/>
        <v>0</v>
      </c>
      <c r="O2641" s="1423">
        <f t="shared" si="3923"/>
        <v>0</v>
      </c>
      <c r="P2641" s="1423">
        <f t="shared" si="3924"/>
        <v>0</v>
      </c>
      <c r="Q2641" s="1423">
        <f t="shared" si="3925"/>
        <v>0</v>
      </c>
      <c r="R2641" s="1423">
        <f t="shared" si="3926"/>
        <v>0</v>
      </c>
      <c r="S2641" s="1423">
        <f t="shared" si="3927"/>
        <v>0</v>
      </c>
      <c r="T2641" s="1423">
        <f t="shared" si="3928"/>
        <v>0</v>
      </c>
      <c r="U2641" s="1423">
        <f t="shared" si="3929"/>
        <v>0</v>
      </c>
      <c r="V2641" s="1423">
        <f t="shared" si="3930"/>
        <v>0</v>
      </c>
      <c r="W2641" s="1423">
        <f t="shared" si="3931"/>
        <v>0</v>
      </c>
      <c r="X2641" s="152"/>
      <c r="Y2641" s="152"/>
      <c r="Z2641" s="152"/>
      <c r="AA2641" s="152"/>
      <c r="AB2641" s="152"/>
    </row>
    <row r="2642" spans="1:28" hidden="1" outlineLevel="1">
      <c r="A2642" s="152"/>
      <c r="B2642" s="190" t="str">
        <f t="shared" ca="1" si="3932"/>
        <v>RL Capex 2022-23</v>
      </c>
      <c r="C2642" s="1429"/>
      <c r="D2642" s="1429"/>
      <c r="E2642" s="1429"/>
      <c r="F2642" s="1429"/>
      <c r="G2642" s="1429"/>
      <c r="H2642" s="1429"/>
      <c r="I2642" s="1424"/>
      <c r="J2642" s="1428">
        <f>J2607</f>
        <v>0</v>
      </c>
      <c r="K2642" s="1423">
        <f t="shared" si="3919"/>
        <v>0</v>
      </c>
      <c r="L2642" s="1423">
        <f t="shared" si="3920"/>
        <v>0</v>
      </c>
      <c r="M2642" s="1423">
        <f t="shared" si="3921"/>
        <v>0</v>
      </c>
      <c r="N2642" s="1423">
        <f t="shared" si="3922"/>
        <v>0</v>
      </c>
      <c r="O2642" s="1423">
        <f t="shared" si="3923"/>
        <v>0</v>
      </c>
      <c r="P2642" s="1423">
        <f t="shared" si="3924"/>
        <v>0</v>
      </c>
      <c r="Q2642" s="1423">
        <f t="shared" si="3925"/>
        <v>0</v>
      </c>
      <c r="R2642" s="1423">
        <f t="shared" si="3926"/>
        <v>0</v>
      </c>
      <c r="S2642" s="1423">
        <f t="shared" si="3927"/>
        <v>0</v>
      </c>
      <c r="T2642" s="1423">
        <f t="shared" si="3928"/>
        <v>0</v>
      </c>
      <c r="U2642" s="1423">
        <f t="shared" si="3929"/>
        <v>0</v>
      </c>
      <c r="V2642" s="1423">
        <f t="shared" si="3930"/>
        <v>0</v>
      </c>
      <c r="W2642" s="1423">
        <f t="shared" si="3931"/>
        <v>0</v>
      </c>
      <c r="X2642" s="152"/>
      <c r="Y2642" s="152"/>
      <c r="Z2642" s="152"/>
      <c r="AA2642" s="152"/>
      <c r="AB2642" s="152"/>
    </row>
    <row r="2643" spans="1:28" hidden="1" outlineLevel="1">
      <c r="A2643" s="152"/>
      <c r="B2643" s="190" t="str">
        <f t="shared" ca="1" si="3932"/>
        <v>RL Capex 2023-24</v>
      </c>
      <c r="C2643" s="1429"/>
      <c r="D2643" s="1429"/>
      <c r="E2643" s="1429"/>
      <c r="F2643" s="1429"/>
      <c r="G2643" s="1429"/>
      <c r="H2643" s="1429"/>
      <c r="I2643" s="1429"/>
      <c r="J2643" s="1424"/>
      <c r="K2643" s="1428">
        <f>K2607</f>
        <v>0</v>
      </c>
      <c r="L2643" s="1423">
        <f t="shared" si="3920"/>
        <v>0</v>
      </c>
      <c r="M2643" s="1423">
        <f t="shared" si="3921"/>
        <v>0</v>
      </c>
      <c r="N2643" s="1423">
        <f t="shared" si="3922"/>
        <v>0</v>
      </c>
      <c r="O2643" s="1423">
        <f t="shared" si="3923"/>
        <v>0</v>
      </c>
      <c r="P2643" s="1423">
        <f t="shared" si="3924"/>
        <v>0</v>
      </c>
      <c r="Q2643" s="1423">
        <f t="shared" si="3925"/>
        <v>0</v>
      </c>
      <c r="R2643" s="1423">
        <f t="shared" si="3926"/>
        <v>0</v>
      </c>
      <c r="S2643" s="1423">
        <f t="shared" si="3927"/>
        <v>0</v>
      </c>
      <c r="T2643" s="1423">
        <f t="shared" si="3928"/>
        <v>0</v>
      </c>
      <c r="U2643" s="1423">
        <f t="shared" si="3929"/>
        <v>0</v>
      </c>
      <c r="V2643" s="1423">
        <f t="shared" si="3930"/>
        <v>0</v>
      </c>
      <c r="W2643" s="1423">
        <f t="shared" si="3931"/>
        <v>0</v>
      </c>
      <c r="X2643" s="152"/>
      <c r="Y2643" s="152"/>
      <c r="Z2643" s="152"/>
      <c r="AA2643" s="152"/>
      <c r="AB2643" s="152"/>
    </row>
    <row r="2644" spans="1:28" hidden="1" outlineLevel="1">
      <c r="A2644" s="152"/>
      <c r="B2644" s="190" t="str">
        <f t="shared" ca="1" si="3932"/>
        <v>RL Capex 2024-25</v>
      </c>
      <c r="C2644" s="1429"/>
      <c r="D2644" s="1429"/>
      <c r="E2644" s="1429"/>
      <c r="F2644" s="1429"/>
      <c r="G2644" s="1429"/>
      <c r="H2644" s="1429"/>
      <c r="I2644" s="1429"/>
      <c r="J2644" s="1429"/>
      <c r="K2644" s="1424"/>
      <c r="L2644" s="1428">
        <f>L2607</f>
        <v>0</v>
      </c>
      <c r="M2644" s="1423">
        <f t="shared" si="3921"/>
        <v>0</v>
      </c>
      <c r="N2644" s="1423">
        <f t="shared" si="3922"/>
        <v>0</v>
      </c>
      <c r="O2644" s="1423">
        <f t="shared" si="3923"/>
        <v>0</v>
      </c>
      <c r="P2644" s="1423">
        <f t="shared" si="3924"/>
        <v>0</v>
      </c>
      <c r="Q2644" s="1423">
        <f t="shared" si="3925"/>
        <v>0</v>
      </c>
      <c r="R2644" s="1423">
        <f t="shared" si="3926"/>
        <v>0</v>
      </c>
      <c r="S2644" s="1423">
        <f t="shared" si="3927"/>
        <v>0</v>
      </c>
      <c r="T2644" s="1423">
        <f t="shared" si="3928"/>
        <v>0</v>
      </c>
      <c r="U2644" s="1423">
        <f t="shared" si="3929"/>
        <v>0</v>
      </c>
      <c r="V2644" s="1423">
        <f t="shared" si="3930"/>
        <v>0</v>
      </c>
      <c r="W2644" s="1423">
        <f t="shared" si="3931"/>
        <v>0</v>
      </c>
      <c r="X2644" s="152"/>
      <c r="Y2644" s="152"/>
      <c r="Z2644" s="152"/>
      <c r="AA2644" s="152"/>
      <c r="AB2644" s="152"/>
    </row>
    <row r="2645" spans="1:28" hidden="1" outlineLevel="1">
      <c r="A2645" s="152"/>
      <c r="B2645" s="190" t="str">
        <f t="shared" ca="1" si="3932"/>
        <v>RL Capex 2025-26</v>
      </c>
      <c r="C2645" s="1429"/>
      <c r="D2645" s="1429"/>
      <c r="E2645" s="1429"/>
      <c r="F2645" s="1429"/>
      <c r="G2645" s="1429"/>
      <c r="H2645" s="1429"/>
      <c r="I2645" s="1429"/>
      <c r="J2645" s="1429"/>
      <c r="K2645" s="1429"/>
      <c r="L2645" s="1424"/>
      <c r="M2645" s="1428">
        <f>M2607</f>
        <v>0</v>
      </c>
      <c r="N2645" s="1423">
        <f t="shared" si="3922"/>
        <v>0</v>
      </c>
      <c r="O2645" s="1423">
        <f t="shared" si="3923"/>
        <v>0</v>
      </c>
      <c r="P2645" s="1423">
        <f t="shared" si="3924"/>
        <v>0</v>
      </c>
      <c r="Q2645" s="1423">
        <f t="shared" si="3925"/>
        <v>0</v>
      </c>
      <c r="R2645" s="1423">
        <f t="shared" si="3926"/>
        <v>0</v>
      </c>
      <c r="S2645" s="1423">
        <f t="shared" si="3927"/>
        <v>0</v>
      </c>
      <c r="T2645" s="1423">
        <f t="shared" si="3928"/>
        <v>0</v>
      </c>
      <c r="U2645" s="1423">
        <f t="shared" si="3929"/>
        <v>0</v>
      </c>
      <c r="V2645" s="1423">
        <f t="shared" si="3930"/>
        <v>0</v>
      </c>
      <c r="W2645" s="1423">
        <f t="shared" si="3931"/>
        <v>0</v>
      </c>
      <c r="X2645" s="152"/>
      <c r="Y2645" s="152"/>
      <c r="Z2645" s="152"/>
      <c r="AA2645" s="152"/>
      <c r="AB2645" s="152"/>
    </row>
    <row r="2646" spans="1:28" hidden="1" outlineLevel="1">
      <c r="A2646" s="152"/>
      <c r="B2646" s="190" t="str">
        <f t="shared" ca="1" si="3932"/>
        <v>RL Capex 2026-27</v>
      </c>
      <c r="C2646" s="1429"/>
      <c r="D2646" s="1429"/>
      <c r="E2646" s="1429"/>
      <c r="F2646" s="1429"/>
      <c r="G2646" s="1429"/>
      <c r="H2646" s="1429"/>
      <c r="I2646" s="1429"/>
      <c r="J2646" s="1429"/>
      <c r="K2646" s="1429"/>
      <c r="L2646" s="1429"/>
      <c r="M2646" s="1424"/>
      <c r="N2646" s="1428">
        <f>N2607</f>
        <v>0</v>
      </c>
      <c r="O2646" s="1423">
        <f t="shared" si="3923"/>
        <v>0</v>
      </c>
      <c r="P2646" s="1423">
        <f t="shared" si="3924"/>
        <v>0</v>
      </c>
      <c r="Q2646" s="1423">
        <f t="shared" si="3925"/>
        <v>0</v>
      </c>
      <c r="R2646" s="1423">
        <f t="shared" si="3926"/>
        <v>0</v>
      </c>
      <c r="S2646" s="1423">
        <f t="shared" si="3927"/>
        <v>0</v>
      </c>
      <c r="T2646" s="1423">
        <f t="shared" si="3928"/>
        <v>0</v>
      </c>
      <c r="U2646" s="1423">
        <f t="shared" si="3929"/>
        <v>0</v>
      </c>
      <c r="V2646" s="1423">
        <f t="shared" si="3930"/>
        <v>0</v>
      </c>
      <c r="W2646" s="1423">
        <f t="shared" si="3931"/>
        <v>0</v>
      </c>
      <c r="X2646" s="152"/>
      <c r="Y2646" s="152"/>
      <c r="Z2646" s="152"/>
      <c r="AA2646" s="152"/>
      <c r="AB2646" s="152"/>
    </row>
    <row r="2647" spans="1:28" hidden="1" outlineLevel="1">
      <c r="A2647" s="152"/>
      <c r="B2647" s="190" t="str">
        <f t="shared" ca="1" si="3932"/>
        <v>RL Capex 2027-28</v>
      </c>
      <c r="C2647" s="1429"/>
      <c r="D2647" s="1429"/>
      <c r="E2647" s="1429"/>
      <c r="F2647" s="1429"/>
      <c r="G2647" s="1429"/>
      <c r="H2647" s="1429"/>
      <c r="I2647" s="1429"/>
      <c r="J2647" s="1429"/>
      <c r="K2647" s="1429"/>
      <c r="L2647" s="1429"/>
      <c r="M2647" s="1429"/>
      <c r="N2647" s="1424"/>
      <c r="O2647" s="1428">
        <f>O2607</f>
        <v>0</v>
      </c>
      <c r="P2647" s="1423">
        <f t="shared" si="3924"/>
        <v>0</v>
      </c>
      <c r="Q2647" s="1423">
        <f t="shared" si="3925"/>
        <v>0</v>
      </c>
      <c r="R2647" s="1423">
        <f t="shared" si="3926"/>
        <v>0</v>
      </c>
      <c r="S2647" s="1423">
        <f t="shared" si="3927"/>
        <v>0</v>
      </c>
      <c r="T2647" s="1423">
        <f t="shared" si="3928"/>
        <v>0</v>
      </c>
      <c r="U2647" s="1423">
        <f t="shared" si="3929"/>
        <v>0</v>
      </c>
      <c r="V2647" s="1423">
        <f t="shared" si="3930"/>
        <v>0</v>
      </c>
      <c r="W2647" s="1423">
        <f t="shared" si="3931"/>
        <v>0</v>
      </c>
      <c r="X2647" s="152"/>
      <c r="Y2647" s="152"/>
      <c r="Z2647" s="152"/>
      <c r="AA2647" s="152"/>
      <c r="AB2647" s="152"/>
    </row>
    <row r="2648" spans="1:28" hidden="1" outlineLevel="1">
      <c r="A2648" s="152"/>
      <c r="B2648" s="190" t="str">
        <f t="shared" ca="1" si="3932"/>
        <v>RL Capex 2028-29</v>
      </c>
      <c r="C2648" s="1429"/>
      <c r="D2648" s="1429"/>
      <c r="E2648" s="1429"/>
      <c r="F2648" s="1429"/>
      <c r="G2648" s="1429"/>
      <c r="H2648" s="1429"/>
      <c r="I2648" s="1429"/>
      <c r="J2648" s="1429"/>
      <c r="K2648" s="1429"/>
      <c r="L2648" s="1429"/>
      <c r="M2648" s="1429"/>
      <c r="N2648" s="1429"/>
      <c r="O2648" s="1424"/>
      <c r="P2648" s="1428">
        <f>P2607</f>
        <v>0</v>
      </c>
      <c r="Q2648" s="1423">
        <f t="shared" si="3925"/>
        <v>0</v>
      </c>
      <c r="R2648" s="1423">
        <f t="shared" si="3926"/>
        <v>0</v>
      </c>
      <c r="S2648" s="1423">
        <f t="shared" si="3927"/>
        <v>0</v>
      </c>
      <c r="T2648" s="1423">
        <f t="shared" si="3928"/>
        <v>0</v>
      </c>
      <c r="U2648" s="1423">
        <f t="shared" si="3929"/>
        <v>0</v>
      </c>
      <c r="V2648" s="1423">
        <f t="shared" si="3930"/>
        <v>0</v>
      </c>
      <c r="W2648" s="1423">
        <f t="shared" si="3931"/>
        <v>0</v>
      </c>
      <c r="X2648" s="152"/>
      <c r="Y2648" s="152"/>
      <c r="Z2648" s="152"/>
      <c r="AA2648" s="152"/>
      <c r="AB2648" s="152"/>
    </row>
    <row r="2649" spans="1:28" hidden="1" outlineLevel="1">
      <c r="A2649" s="152"/>
      <c r="B2649" s="190" t="str">
        <f t="shared" ca="1" si="3932"/>
        <v>RL Capex 2029-30</v>
      </c>
      <c r="C2649" s="1429"/>
      <c r="D2649" s="1429"/>
      <c r="E2649" s="1429"/>
      <c r="F2649" s="1429"/>
      <c r="G2649" s="1429"/>
      <c r="H2649" s="1429"/>
      <c r="I2649" s="1429"/>
      <c r="J2649" s="1429"/>
      <c r="K2649" s="1429"/>
      <c r="L2649" s="1429"/>
      <c r="M2649" s="1429"/>
      <c r="N2649" s="1429"/>
      <c r="O2649" s="1429"/>
      <c r="P2649" s="1424"/>
      <c r="Q2649" s="1428">
        <f>Q2607</f>
        <v>0</v>
      </c>
      <c r="R2649" s="1423">
        <f t="shared" si="3926"/>
        <v>0</v>
      </c>
      <c r="S2649" s="1423">
        <f t="shared" si="3927"/>
        <v>0</v>
      </c>
      <c r="T2649" s="1423">
        <f t="shared" si="3928"/>
        <v>0</v>
      </c>
      <c r="U2649" s="1423">
        <f t="shared" si="3929"/>
        <v>0</v>
      </c>
      <c r="V2649" s="1423">
        <f t="shared" si="3930"/>
        <v>0</v>
      </c>
      <c r="W2649" s="1423">
        <f t="shared" si="3931"/>
        <v>0</v>
      </c>
      <c r="X2649" s="152"/>
      <c r="Y2649" s="152"/>
      <c r="Z2649" s="152"/>
      <c r="AA2649" s="152"/>
      <c r="AB2649" s="152"/>
    </row>
    <row r="2650" spans="1:28" hidden="1" outlineLevel="1">
      <c r="A2650" s="152"/>
      <c r="B2650" s="190" t="str">
        <f t="shared" ca="1" si="3932"/>
        <v>RL Capex 2030-31</v>
      </c>
      <c r="C2650" s="1429"/>
      <c r="D2650" s="1429"/>
      <c r="E2650" s="1429"/>
      <c r="F2650" s="1429"/>
      <c r="G2650" s="1429"/>
      <c r="H2650" s="1429"/>
      <c r="I2650" s="1429"/>
      <c r="J2650" s="1429"/>
      <c r="K2650" s="1429"/>
      <c r="L2650" s="1429"/>
      <c r="M2650" s="1429"/>
      <c r="N2650" s="1429"/>
      <c r="O2650" s="1429"/>
      <c r="P2650" s="1429"/>
      <c r="Q2650" s="1424"/>
      <c r="R2650" s="1428">
        <f>R2607</f>
        <v>0</v>
      </c>
      <c r="S2650" s="1423">
        <f t="shared" si="3927"/>
        <v>0</v>
      </c>
      <c r="T2650" s="1423">
        <f t="shared" si="3928"/>
        <v>0</v>
      </c>
      <c r="U2650" s="1423">
        <f t="shared" si="3929"/>
        <v>0</v>
      </c>
      <c r="V2650" s="1423">
        <f t="shared" si="3930"/>
        <v>0</v>
      </c>
      <c r="W2650" s="1423">
        <f t="shared" si="3931"/>
        <v>0</v>
      </c>
      <c r="X2650" s="152"/>
      <c r="Y2650" s="152"/>
      <c r="Z2650" s="152"/>
      <c r="AA2650" s="152"/>
      <c r="AB2650" s="152"/>
    </row>
    <row r="2651" spans="1:28" hidden="1" outlineLevel="1">
      <c r="A2651" s="152"/>
      <c r="B2651" s="190" t="str">
        <f t="shared" ca="1" si="3932"/>
        <v>RL Capex 2031-32</v>
      </c>
      <c r="C2651" s="1429"/>
      <c r="D2651" s="1429"/>
      <c r="E2651" s="1429"/>
      <c r="F2651" s="1429"/>
      <c r="G2651" s="1429"/>
      <c r="H2651" s="1429"/>
      <c r="I2651" s="1429"/>
      <c r="J2651" s="1429"/>
      <c r="K2651" s="1429"/>
      <c r="L2651" s="1429"/>
      <c r="M2651" s="1429"/>
      <c r="N2651" s="1429"/>
      <c r="O2651" s="1429"/>
      <c r="P2651" s="1429"/>
      <c r="Q2651" s="1429"/>
      <c r="R2651" s="1424"/>
      <c r="S2651" s="1428">
        <f>S2607</f>
        <v>0</v>
      </c>
      <c r="T2651" s="1423">
        <f t="shared" si="3928"/>
        <v>0</v>
      </c>
      <c r="U2651" s="1423">
        <f t="shared" si="3929"/>
        <v>0</v>
      </c>
      <c r="V2651" s="1423">
        <f t="shared" si="3930"/>
        <v>0</v>
      </c>
      <c r="W2651" s="1423">
        <f t="shared" si="3931"/>
        <v>0</v>
      </c>
      <c r="X2651" s="152"/>
      <c r="Y2651" s="152"/>
      <c r="Z2651" s="152"/>
      <c r="AA2651" s="152"/>
      <c r="AB2651" s="152"/>
    </row>
    <row r="2652" spans="1:28" hidden="1" outlineLevel="1">
      <c r="A2652" s="152"/>
      <c r="B2652" s="190" t="str">
        <f t="shared" ca="1" si="3932"/>
        <v>RL Capex 2032-33</v>
      </c>
      <c r="C2652" s="1429"/>
      <c r="D2652" s="1429"/>
      <c r="E2652" s="1429"/>
      <c r="F2652" s="1429"/>
      <c r="G2652" s="1429"/>
      <c r="H2652" s="1429"/>
      <c r="I2652" s="1429"/>
      <c r="J2652" s="1429"/>
      <c r="K2652" s="1429"/>
      <c r="L2652" s="1429"/>
      <c r="M2652" s="1429"/>
      <c r="N2652" s="1429"/>
      <c r="O2652" s="1429"/>
      <c r="P2652" s="1429"/>
      <c r="Q2652" s="1429"/>
      <c r="R2652" s="1429"/>
      <c r="S2652" s="1424"/>
      <c r="T2652" s="1428">
        <f>T2607</f>
        <v>0</v>
      </c>
      <c r="U2652" s="1423">
        <f t="shared" si="3929"/>
        <v>0</v>
      </c>
      <c r="V2652" s="1423">
        <f t="shared" si="3930"/>
        <v>0</v>
      </c>
      <c r="W2652" s="1423">
        <f t="shared" si="3931"/>
        <v>0</v>
      </c>
      <c r="X2652" s="152"/>
      <c r="Y2652" s="152"/>
      <c r="Z2652" s="152"/>
      <c r="AA2652" s="152"/>
      <c r="AB2652" s="152"/>
    </row>
    <row r="2653" spans="1:28" hidden="1" outlineLevel="1">
      <c r="A2653" s="152"/>
      <c r="B2653" s="190" t="str">
        <f t="shared" ca="1" si="3932"/>
        <v>RL Capex 2033-34</v>
      </c>
      <c r="C2653" s="1429"/>
      <c r="D2653" s="1429"/>
      <c r="E2653" s="1429"/>
      <c r="F2653" s="1429"/>
      <c r="G2653" s="1429"/>
      <c r="H2653" s="1429"/>
      <c r="I2653" s="1429"/>
      <c r="J2653" s="1429"/>
      <c r="K2653" s="1429"/>
      <c r="L2653" s="1429"/>
      <c r="M2653" s="1429"/>
      <c r="N2653" s="1429"/>
      <c r="O2653" s="1429"/>
      <c r="P2653" s="1429"/>
      <c r="Q2653" s="1429"/>
      <c r="R2653" s="1429"/>
      <c r="S2653" s="1429"/>
      <c r="T2653" s="1424"/>
      <c r="U2653" s="1428">
        <f>U2607</f>
        <v>0</v>
      </c>
      <c r="V2653" s="1423">
        <f t="shared" si="3930"/>
        <v>0</v>
      </c>
      <c r="W2653" s="1423">
        <f t="shared" si="3931"/>
        <v>0</v>
      </c>
      <c r="X2653" s="152"/>
      <c r="Y2653" s="152"/>
      <c r="Z2653" s="152"/>
      <c r="AA2653" s="152"/>
      <c r="AB2653" s="152"/>
    </row>
    <row r="2654" spans="1:28" hidden="1" outlineLevel="1">
      <c r="A2654" s="152"/>
      <c r="B2654" s="190" t="str">
        <f t="shared" ca="1" si="3932"/>
        <v>RL Capex 2034-35</v>
      </c>
      <c r="C2654" s="1429"/>
      <c r="D2654" s="1429"/>
      <c r="E2654" s="1429"/>
      <c r="F2654" s="1429"/>
      <c r="G2654" s="1429"/>
      <c r="H2654" s="1429"/>
      <c r="I2654" s="1429"/>
      <c r="J2654" s="1429"/>
      <c r="K2654" s="1429"/>
      <c r="L2654" s="1429"/>
      <c r="M2654" s="1429"/>
      <c r="N2654" s="1429"/>
      <c r="O2654" s="1429"/>
      <c r="P2654" s="1429"/>
      <c r="Q2654" s="1429"/>
      <c r="R2654" s="1429"/>
      <c r="S2654" s="1429"/>
      <c r="T2654" s="1429"/>
      <c r="U2654" s="1424"/>
      <c r="V2654" s="1428">
        <f>V2607</f>
        <v>0</v>
      </c>
      <c r="W2654" s="1423">
        <f>IF(V2654="n/a","n/a",MAX(0,V2654-1))</f>
        <v>0</v>
      </c>
      <c r="X2654" s="152"/>
      <c r="Y2654" s="152"/>
      <c r="Z2654" s="152"/>
      <c r="AA2654" s="152"/>
      <c r="AB2654" s="152"/>
    </row>
    <row r="2655" spans="1:28" hidden="1" outlineLevel="1">
      <c r="A2655" s="152"/>
      <c r="B2655" s="190" t="str">
        <f t="shared" ca="1" si="3932"/>
        <v>RL Capex 2035-36</v>
      </c>
      <c r="C2655" s="1429"/>
      <c r="D2655" s="1429"/>
      <c r="E2655" s="1429"/>
      <c r="F2655" s="1429"/>
      <c r="G2655" s="1429"/>
      <c r="H2655" s="1429"/>
      <c r="I2655" s="1429"/>
      <c r="J2655" s="1429"/>
      <c r="K2655" s="1429"/>
      <c r="L2655" s="1429"/>
      <c r="M2655" s="1429"/>
      <c r="N2655" s="1429"/>
      <c r="O2655" s="1429"/>
      <c r="P2655" s="1429"/>
      <c r="Q2655" s="1429"/>
      <c r="R2655" s="1429"/>
      <c r="S2655" s="1429"/>
      <c r="T2655" s="1429"/>
      <c r="U2655" s="1429"/>
      <c r="V2655" s="1424"/>
      <c r="W2655" s="1423">
        <f>W2607</f>
        <v>0</v>
      </c>
      <c r="X2655" s="152"/>
      <c r="Y2655" s="152"/>
      <c r="Z2655" s="152"/>
      <c r="AA2655" s="152"/>
      <c r="AB2655" s="152"/>
    </row>
    <row r="2656" spans="1:28" hidden="1" outlineLevel="1">
      <c r="A2656" s="152"/>
      <c r="B2656" s="200"/>
      <c r="C2656" s="1423"/>
      <c r="D2656" s="1423"/>
      <c r="E2656" s="1423"/>
      <c r="F2656" s="1423"/>
      <c r="G2656" s="1423"/>
      <c r="H2656" s="1423"/>
      <c r="I2656" s="1423"/>
      <c r="J2656" s="1423"/>
      <c r="K2656" s="1423"/>
      <c r="L2656" s="1423"/>
      <c r="M2656" s="1423"/>
      <c r="N2656" s="1423"/>
      <c r="O2656" s="1423"/>
      <c r="P2656" s="1423"/>
      <c r="Q2656" s="1423"/>
      <c r="R2656" s="1423"/>
      <c r="S2656" s="1423"/>
      <c r="T2656" s="1423"/>
      <c r="U2656" s="1423"/>
      <c r="V2656" s="1423"/>
      <c r="W2656" s="1423"/>
      <c r="X2656" s="152"/>
      <c r="Y2656" s="152"/>
      <c r="Z2656" s="152"/>
      <c r="AA2656" s="152"/>
      <c r="AB2656" s="152"/>
    </row>
    <row r="2657" spans="1:28" collapsed="1">
      <c r="A2657" s="194"/>
      <c r="B2657" s="204" t="s">
        <v>123</v>
      </c>
      <c r="C2657" s="1430">
        <f ca="1">(IF(OR($C2607&lt;&gt;"n/a",C2607&lt;&gt;"n/a"),IF(SUM(C2610:C2632)=0,0,IF((SUMPRODUCT(C2610:C2632,C2634:C2656)/SUM(C2610:C2632))&lt;0,1,(SUMPRODUCT(C2610:C2632,C2634:C2656)/SUM(C2610:C2632)))),"n/a"))</f>
        <v>0</v>
      </c>
      <c r="D2657" s="1430">
        <f ca="1">(IF(OR($C2607&lt;&gt;"n/a",D2607&lt;&gt;"n/a"),IF(SUM(D2610:D2632)=0,0,IF((SUMPRODUCT(D2610:D2632,D2634:D2656)/SUM(D2610:D2632))&lt;0,1,(SUMPRODUCT(D2610:D2632,D2634:D2656)/SUM(D2610:D2632)))),"n/a"))</f>
        <v>0</v>
      </c>
      <c r="E2657" s="1430">
        <f t="shared" ref="E2657:W2657" ca="1" si="3933">(IF(OR($C2607&lt;&gt;"n/a",E2607&lt;&gt;"n/a"),IF(SUM(E2610:E2632)=0,0,IF((SUMPRODUCT(E2610:E2632,E2634:E2656)/SUM(E2610:E2632))&lt;0,1,(SUMPRODUCT(E2610:E2632,E2634:E2656)/SUM(E2610:E2632)))),"n/a"))</f>
        <v>0</v>
      </c>
      <c r="F2657" s="1430">
        <f t="shared" ca="1" si="3933"/>
        <v>0</v>
      </c>
      <c r="G2657" s="1430">
        <f t="shared" ca="1" si="3933"/>
        <v>0</v>
      </c>
      <c r="H2657" s="1430">
        <f t="shared" ca="1" si="3933"/>
        <v>0</v>
      </c>
      <c r="I2657" s="1430">
        <f t="shared" ca="1" si="3933"/>
        <v>0</v>
      </c>
      <c r="J2657" s="1430">
        <f t="shared" ca="1" si="3933"/>
        <v>0</v>
      </c>
      <c r="K2657" s="1430">
        <f t="shared" ca="1" si="3933"/>
        <v>0</v>
      </c>
      <c r="L2657" s="1430">
        <f t="shared" ca="1" si="3933"/>
        <v>0</v>
      </c>
      <c r="M2657" s="1430">
        <f t="shared" ca="1" si="3933"/>
        <v>0</v>
      </c>
      <c r="N2657" s="1430">
        <f t="shared" ca="1" si="3933"/>
        <v>0</v>
      </c>
      <c r="O2657" s="1430">
        <f t="shared" ca="1" si="3933"/>
        <v>0</v>
      </c>
      <c r="P2657" s="1430">
        <f t="shared" ca="1" si="3933"/>
        <v>0</v>
      </c>
      <c r="Q2657" s="1430">
        <f t="shared" ca="1" si="3933"/>
        <v>0</v>
      </c>
      <c r="R2657" s="1430">
        <f t="shared" ca="1" si="3933"/>
        <v>0</v>
      </c>
      <c r="S2657" s="1430">
        <f t="shared" ca="1" si="3933"/>
        <v>0</v>
      </c>
      <c r="T2657" s="1430">
        <f t="shared" ca="1" si="3933"/>
        <v>0</v>
      </c>
      <c r="U2657" s="1430">
        <f t="shared" ca="1" si="3933"/>
        <v>0</v>
      </c>
      <c r="V2657" s="1430">
        <f t="shared" ca="1" si="3933"/>
        <v>0</v>
      </c>
      <c r="W2657" s="1430">
        <f t="shared" ca="1" si="3933"/>
        <v>0</v>
      </c>
      <c r="X2657" s="152"/>
      <c r="Y2657" s="152"/>
      <c r="Z2657" s="152"/>
      <c r="AA2657" s="152"/>
      <c r="AB2657" s="152"/>
    </row>
    <row r="2658" spans="1:28">
      <c r="A2658" s="152"/>
      <c r="B2658" s="152"/>
      <c r="C2658" s="1423"/>
      <c r="D2658" s="1423"/>
      <c r="E2658" s="1423"/>
      <c r="F2658" s="1423"/>
      <c r="G2658" s="1423"/>
      <c r="H2658" s="1423"/>
      <c r="I2658" s="1423"/>
      <c r="J2658" s="1423"/>
      <c r="K2658" s="1423"/>
      <c r="L2658" s="1423"/>
      <c r="M2658" s="1423"/>
      <c r="N2658" s="1423"/>
      <c r="O2658" s="1423"/>
      <c r="P2658" s="1423"/>
      <c r="Q2658" s="1423"/>
      <c r="R2658" s="1423"/>
      <c r="S2658" s="1423"/>
      <c r="T2658" s="1423"/>
      <c r="U2658" s="1423"/>
      <c r="V2658" s="1423"/>
      <c r="W2658" s="1423"/>
      <c r="X2658" s="152"/>
      <c r="Y2658" s="152"/>
      <c r="Z2658" s="152"/>
      <c r="AA2658" s="152"/>
      <c r="AB2658" s="152"/>
    </row>
    <row r="2659" spans="1:28">
      <c r="A2659" s="269" t="s">
        <v>116</v>
      </c>
      <c r="B2659" s="270">
        <f>VLOOKUP($A2659,'RFM input'!$E$7:$F$56,2,FALSE)</f>
        <v>0</v>
      </c>
      <c r="C2659" s="1431"/>
      <c r="D2659" s="1431"/>
      <c r="E2659" s="1432"/>
      <c r="F2659" s="1432"/>
      <c r="G2659" s="1432"/>
      <c r="H2659" s="1432"/>
      <c r="I2659" s="1432"/>
      <c r="J2659" s="1432"/>
      <c r="K2659" s="1432"/>
      <c r="L2659" s="1432"/>
      <c r="M2659" s="1432"/>
      <c r="N2659" s="1432"/>
      <c r="O2659" s="1432"/>
      <c r="P2659" s="1432"/>
      <c r="Q2659" s="1432"/>
      <c r="R2659" s="1432"/>
      <c r="S2659" s="1432"/>
      <c r="T2659" s="1432"/>
      <c r="U2659" s="1432"/>
      <c r="V2659" s="1432"/>
      <c r="W2659" s="1432"/>
      <c r="X2659" s="152"/>
      <c r="Y2659" s="152"/>
      <c r="Z2659" s="152"/>
      <c r="AA2659" s="152"/>
      <c r="AB2659" s="152"/>
    </row>
    <row r="2660" spans="1:28">
      <c r="A2660" s="215">
        <f>VALUE(REPLACE(A2659,1,12,""))</f>
        <v>50</v>
      </c>
      <c r="B2660" s="193" t="s">
        <v>126</v>
      </c>
      <c r="C2660" s="1416">
        <f ca="1">IF($C$8='Capital Base roll forward'!$H$4,OFFSET('Capital Base roll forward'!$H$717,'RAB remaining lives'!A2660,0),"enter input")</f>
        <v>0</v>
      </c>
      <c r="D2660" s="1417">
        <f>IF(LEFT(D$6,4)&lt;LEFT('RFM input'!$G$60,4),"enter input",IF(LEFT(D$6,4)&gt;LEFT('RFM input'!$Q$60,4),0,INDEX('RFM input'!$G$61:$Q$110,$A2660,MATCH(D$6,'RFM input'!$G$60:$Q$60,0))
-INDEX('RFM input'!$G$115:$Q$164,$A2660,MATCH(D$6,'RFM input'!$G$60:$Q$60,0))
-INDEX('RFM input'!$G$169:$Q$218,$A2660,MATCH(D$6,'RFM input'!$G$60:$Q$60,0))))</f>
        <v>0</v>
      </c>
      <c r="E2660" s="1417">
        <f>IF(LEFT(E$6,4)&lt;LEFT('RFM input'!$G$60,4),"enter input",IF(LEFT(E$6,4)&gt;LEFT('RFM input'!$Q$60,4),0,INDEX('RFM input'!$G$61:$Q$110,$A2660,MATCH(E$6,'RFM input'!$G$60:$Q$60,0))
-INDEX('RFM input'!$G$115:$Q$164,$A2660,MATCH(E$6,'RFM input'!$G$60:$Q$60,0))
-INDEX('RFM input'!$G$169:$Q$218,$A2660,MATCH(E$6,'RFM input'!$G$60:$Q$60,0))))</f>
        <v>0</v>
      </c>
      <c r="F2660" s="1417">
        <f>IF(LEFT(F$6,4)&lt;LEFT('RFM input'!$G$60,4),"enter input",IF(LEFT(F$6,4)&gt;LEFT('RFM input'!$Q$60,4),0,INDEX('RFM input'!$G$61:$Q$110,$A2660,MATCH(F$6,'RFM input'!$G$60:$Q$60,0))
-INDEX('RFM input'!$G$115:$Q$164,$A2660,MATCH(F$6,'RFM input'!$G$60:$Q$60,0))
-INDEX('RFM input'!$G$169:$Q$218,$A2660,MATCH(F$6,'RFM input'!$G$60:$Q$60,0))))</f>
        <v>0</v>
      </c>
      <c r="G2660" s="1417">
        <f>IF(LEFT(G$6,4)&lt;LEFT('RFM input'!$G$60,4),"enter input",IF(LEFT(G$6,4)&gt;LEFT('RFM input'!$Q$60,4),0,INDEX('RFM input'!$G$61:$Q$110,$A2660,MATCH(G$6,'RFM input'!$G$60:$Q$60,0))
-INDEX('RFM input'!$G$115:$Q$164,$A2660,MATCH(G$6,'RFM input'!$G$60:$Q$60,0))
-INDEX('RFM input'!$G$169:$Q$218,$A2660,MATCH(G$6,'RFM input'!$G$60:$Q$60,0))))</f>
        <v>0</v>
      </c>
      <c r="H2660" s="1417">
        <f>IF(LEFT(H$6,4)&lt;LEFT('RFM input'!$G$60,4),"enter input",IF(LEFT(H$6,4)&gt;LEFT('RFM input'!$Q$60,4),0,INDEX('RFM input'!$G$61:$Q$110,$A2660,MATCH(H$6,'RFM input'!$G$60:$Q$60,0))
-INDEX('RFM input'!$G$115:$Q$164,$A2660,MATCH(H$6,'RFM input'!$G$60:$Q$60,0))
-INDEX('RFM input'!$G$169:$Q$218,$A2660,MATCH(H$6,'RFM input'!$G$60:$Q$60,0))))</f>
        <v>0</v>
      </c>
      <c r="I2660" s="1417">
        <f>IF(LEFT(I$6,4)&lt;LEFT('RFM input'!$G$60,4),"enter input",IF(LEFT(I$6,4)&gt;LEFT('RFM input'!$Q$60,4),0,INDEX('RFM input'!$G$61:$Q$110,$A2660,MATCH(I$6,'RFM input'!$G$60:$Q$60,0))
-INDEX('RFM input'!$G$115:$Q$164,$A2660,MATCH(I$6,'RFM input'!$G$60:$Q$60,0))
-INDEX('RFM input'!$G$169:$Q$218,$A2660,MATCH(I$6,'RFM input'!$G$60:$Q$60,0))))</f>
        <v>0</v>
      </c>
      <c r="J2660" s="1417">
        <f>IF(LEFT(J$6,4)&lt;LEFT('RFM input'!$G$60,4),"enter input",IF(LEFT(J$6,4)&gt;LEFT('RFM input'!$Q$60,4),0,INDEX('RFM input'!$G$61:$Q$110,$A2660,MATCH(J$6,'RFM input'!$G$60:$Q$60,0))
-INDEX('RFM input'!$G$115:$Q$164,$A2660,MATCH(J$6,'RFM input'!$G$60:$Q$60,0))
-INDEX('RFM input'!$G$169:$Q$218,$A2660,MATCH(J$6,'RFM input'!$G$60:$Q$60,0))))</f>
        <v>0</v>
      </c>
      <c r="K2660" s="1417">
        <f>IF(LEFT(K$6,4)&lt;LEFT('RFM input'!$G$60,4),"enter input",IF(LEFT(K$6,4)&gt;LEFT('RFM input'!$Q$60,4),0,INDEX('RFM input'!$G$61:$Q$110,$A2660,MATCH(K$6,'RFM input'!$G$60:$Q$60,0))
-INDEX('RFM input'!$G$115:$Q$164,$A2660,MATCH(K$6,'RFM input'!$G$60:$Q$60,0))
-INDEX('RFM input'!$G$169:$Q$218,$A2660,MATCH(K$6,'RFM input'!$G$60:$Q$60,0))))</f>
        <v>0</v>
      </c>
      <c r="L2660" s="1417">
        <f>IF(LEFT(L$6,4)&lt;LEFT('RFM input'!$G$60,4),"enter input",IF(LEFT(L$6,4)&gt;LEFT('RFM input'!$Q$60,4),0,INDEX('RFM input'!$G$61:$Q$110,$A2660,MATCH(L$6,'RFM input'!$G$60:$Q$60,0))
-INDEX('RFM input'!$G$115:$Q$164,$A2660,MATCH(L$6,'RFM input'!$G$60:$Q$60,0))
-INDEX('RFM input'!$G$169:$Q$218,$A2660,MATCH(L$6,'RFM input'!$G$60:$Q$60,0))))</f>
        <v>0</v>
      </c>
      <c r="M2660" s="1417">
        <f>IF(LEFT(M$6,4)&lt;LEFT('RFM input'!$G$60,4),"enter input",IF(LEFT(M$6,4)&gt;LEFT('RFM input'!$Q$60,4),0,INDEX('RFM input'!$G$61:$Q$110,$A2660,MATCH(M$6,'RFM input'!$G$60:$Q$60,0))
-INDEX('RFM input'!$G$115:$Q$164,$A2660,MATCH(M$6,'RFM input'!$G$60:$Q$60,0))
-INDEX('RFM input'!$G$169:$Q$218,$A2660,MATCH(M$6,'RFM input'!$G$60:$Q$60,0))))</f>
        <v>0</v>
      </c>
      <c r="N2660" s="1417">
        <f>IF(LEFT(N$6,4)&lt;LEFT('RFM input'!$G$60,4),"enter input",IF(LEFT(N$6,4)&gt;LEFT('RFM input'!$Q$60,4),0,INDEX('RFM input'!$G$61:$Q$110,$A2660,MATCH(N$6,'RFM input'!$G$60:$Q$60,0))
-INDEX('RFM input'!$G$115:$Q$164,$A2660,MATCH(N$6,'RFM input'!$G$60:$Q$60,0))
-INDEX('RFM input'!$G$169:$Q$218,$A2660,MATCH(N$6,'RFM input'!$G$60:$Q$60,0))))</f>
        <v>0</v>
      </c>
      <c r="O2660" s="1417">
        <f>IF(LEFT(O$6,4)&lt;LEFT('RFM input'!$G$60,4),"enter input",IF(LEFT(O$6,4)&gt;LEFT('RFM input'!$Q$60,4),0,INDEX('RFM input'!$G$61:$Q$110,$A2660,MATCH(O$6,'RFM input'!$G$60:$Q$60,0))
-INDEX('RFM input'!$G$115:$Q$164,$A2660,MATCH(O$6,'RFM input'!$G$60:$Q$60,0))
-INDEX('RFM input'!$G$169:$Q$218,$A2660,MATCH(O$6,'RFM input'!$G$60:$Q$60,0))))</f>
        <v>0</v>
      </c>
      <c r="P2660" s="1417">
        <f>IF(LEFT(P$6,4)&lt;LEFT('RFM input'!$G$60,4),"enter input",IF(LEFT(P$6,4)&gt;LEFT('RFM input'!$Q$60,4),0,INDEX('RFM input'!$G$61:$Q$110,$A2660,MATCH(P$6,'RFM input'!$G$60:$Q$60,0))
-INDEX('RFM input'!$G$115:$Q$164,$A2660,MATCH(P$6,'RFM input'!$G$60:$Q$60,0))
-INDEX('RFM input'!$G$169:$Q$218,$A2660,MATCH(P$6,'RFM input'!$G$60:$Q$60,0))))</f>
        <v>0</v>
      </c>
      <c r="Q2660" s="1417">
        <f>IF(LEFT(Q$6,4)&lt;LEFT('RFM input'!$G$60,4),"enter input",IF(LEFT(Q$6,4)&gt;LEFT('RFM input'!$Q$60,4),0,INDEX('RFM input'!$G$61:$Q$110,$A2660,MATCH(Q$6,'RFM input'!$G$60:$Q$60,0))
-INDEX('RFM input'!$G$115:$Q$164,$A2660,MATCH(Q$6,'RFM input'!$G$60:$Q$60,0))
-INDEX('RFM input'!$G$169:$Q$218,$A2660,MATCH(Q$6,'RFM input'!$G$60:$Q$60,0))))</f>
        <v>0</v>
      </c>
      <c r="R2660" s="1417">
        <f>IF(LEFT(R$6,4)&lt;LEFT('RFM input'!$G$60,4),"enter input",IF(LEFT(R$6,4)&gt;LEFT('RFM input'!$Q$60,4),0,INDEX('RFM input'!$G$61:$Q$110,$A2660,MATCH(R$6,'RFM input'!$G$60:$Q$60,0))
-INDEX('RFM input'!$G$115:$Q$164,$A2660,MATCH(R$6,'RFM input'!$G$60:$Q$60,0))
-INDEX('RFM input'!$G$169:$Q$218,$A2660,MATCH(R$6,'RFM input'!$G$60:$Q$60,0))))</f>
        <v>0</v>
      </c>
      <c r="S2660" s="1417">
        <f>IF(LEFT(S$6,4)&lt;LEFT('RFM input'!$G$60,4),"enter input",IF(LEFT(S$6,4)&gt;LEFT('RFM input'!$Q$60,4),0,INDEX('RFM input'!$G$61:$Q$110,$A2660,MATCH(S$6,'RFM input'!$G$60:$Q$60,0))
-INDEX('RFM input'!$G$115:$Q$164,$A2660,MATCH(S$6,'RFM input'!$G$60:$Q$60,0))
-INDEX('RFM input'!$G$169:$Q$218,$A2660,MATCH(S$6,'RFM input'!$G$60:$Q$60,0))))</f>
        <v>0</v>
      </c>
      <c r="T2660" s="1417">
        <f>IF(LEFT(T$6,4)&lt;LEFT('RFM input'!$G$60,4),"enter input",IF(LEFT(T$6,4)&gt;LEFT('RFM input'!$Q$60,4),0,INDEX('RFM input'!$G$61:$Q$110,$A2660,MATCH(T$6,'RFM input'!$G$60:$Q$60,0))
-INDEX('RFM input'!$G$115:$Q$164,$A2660,MATCH(T$6,'RFM input'!$G$60:$Q$60,0))
-INDEX('RFM input'!$G$169:$Q$218,$A2660,MATCH(T$6,'RFM input'!$G$60:$Q$60,0))))</f>
        <v>0</v>
      </c>
      <c r="U2660" s="1417">
        <f>IF(LEFT(U$6,4)&lt;LEFT('RFM input'!$G$60,4),"enter input",IF(LEFT(U$6,4)&gt;LEFT('RFM input'!$Q$60,4),0,INDEX('RFM input'!$G$61:$Q$110,$A2660,MATCH(U$6,'RFM input'!$G$60:$Q$60,0))
-INDEX('RFM input'!$G$115:$Q$164,$A2660,MATCH(U$6,'RFM input'!$G$60:$Q$60,0))
-INDEX('RFM input'!$G$169:$Q$218,$A2660,MATCH(U$6,'RFM input'!$G$60:$Q$60,0))))</f>
        <v>0</v>
      </c>
      <c r="V2660" s="1417">
        <f>IF(LEFT(V$6,4)&lt;LEFT('RFM input'!$G$60,4),"enter input",IF(LEFT(V$6,4)&gt;LEFT('RFM input'!$Q$60,4),0,INDEX('RFM input'!$G$61:$Q$110,$A2660,MATCH(V$6,'RFM input'!$G$60:$Q$60,0))
-INDEX('RFM input'!$G$115:$Q$164,$A2660,MATCH(V$6,'RFM input'!$G$60:$Q$60,0))
-INDEX('RFM input'!$G$169:$Q$218,$A2660,MATCH(V$6,'RFM input'!$G$60:$Q$60,0))))</f>
        <v>0</v>
      </c>
      <c r="W2660" s="1417">
        <f>IF(LEFT(W$6,4)&lt;LEFT('RFM input'!$G$60,4),"enter input",IF(LEFT(W$6,4)&gt;LEFT('RFM input'!$Q$60,4),0,INDEX('RFM input'!$G$61:$Q$110,$A2660,MATCH(W$6,'RFM input'!$G$60:$Q$60,0))
-INDEX('RFM input'!$G$115:$Q$164,$A2660,MATCH(W$6,'RFM input'!$G$60:$Q$60,0))
-INDEX('RFM input'!$G$169:$Q$218,$A2660,MATCH(W$6,'RFM input'!$G$60:$Q$60,0))))</f>
        <v>0</v>
      </c>
      <c r="X2660" s="152"/>
      <c r="Y2660" s="152"/>
      <c r="Z2660" s="152"/>
      <c r="AA2660" s="152"/>
      <c r="AB2660" s="152"/>
    </row>
    <row r="2661" spans="1:28">
      <c r="A2661" s="152"/>
      <c r="B2661" s="152" t="s">
        <v>204</v>
      </c>
      <c r="C2661" s="1418">
        <f ca="1">IF($C$8='Capital Base roll forward'!$H$4,OFFSET('RFM input'!$J$6,'RAB remaining lives'!A2660,0),"enter input")</f>
        <v>0</v>
      </c>
      <c r="D2661" s="1417">
        <f>IF(LEFT(D$6,4)&lt;=LEFT('RFM input'!$G$60,4),"enter input",IF(LEFT(D$6,4)&gt;LEFT('RFM input'!$Q$60,4),0,IF(MATCH(D$6,'RFM input'!$H$60:$Q$60,0),INDEX('RFM input'!$K$7:$K$56,$A2660,1))))</f>
        <v>0</v>
      </c>
      <c r="E2661" s="1417">
        <f>IF(LEFT(E$6,4)&lt;=LEFT('RFM input'!$G$60,4),"enter input",IF(LEFT(E$6,4)&gt;LEFT('RFM input'!$Q$60,4),0,IF(MATCH(E$6,'RFM input'!$H$60:$Q$60,0),INDEX('RFM input'!$K$7:$K$56,$A2660,1))))</f>
        <v>0</v>
      </c>
      <c r="F2661" s="1417">
        <f>IF(LEFT(F$6,4)&lt;=LEFT('RFM input'!$G$60,4),"enter input",IF(LEFT(F$6,4)&gt;LEFT('RFM input'!$Q$60,4),0,IF(MATCH(F$6,'RFM input'!$H$60:$Q$60,0),INDEX('RFM input'!$K$7:$K$56,$A2660,1))))</f>
        <v>0</v>
      </c>
      <c r="G2661" s="1417">
        <f>IF(LEFT(G$6,4)&lt;=LEFT('RFM input'!$G$60,4),"enter input",IF(LEFT(G$6,4)&gt;LEFT('RFM input'!$Q$60,4),0,IF(MATCH(G$6,'RFM input'!$H$60:$Q$60,0),INDEX('RFM input'!$K$7:$K$56,$A2660,1))))</f>
        <v>0</v>
      </c>
      <c r="H2661" s="1417">
        <f>IF(LEFT(H$6,4)&lt;=LEFT('RFM input'!$G$60,4),"enter input",IF(LEFT(H$6,4)&gt;LEFT('RFM input'!$Q$60,4),0,IF(MATCH(H$6,'RFM input'!$H$60:$Q$60,0),INDEX('RFM input'!$K$7:$K$56,$A2660,1))))</f>
        <v>0</v>
      </c>
      <c r="I2661" s="1417">
        <f>IF(LEFT(I$6,4)&lt;=LEFT('RFM input'!$G$60,4),"enter input",IF(LEFT(I$6,4)&gt;LEFT('RFM input'!$Q$60,4),0,IF(MATCH(I$6,'RFM input'!$H$60:$Q$60,0),INDEX('RFM input'!$K$7:$K$56,$A2660,1))))</f>
        <v>0</v>
      </c>
      <c r="J2661" s="1417">
        <f>IF(LEFT(J$6,4)&lt;=LEFT('RFM input'!$G$60,4),"enter input",IF(LEFT(J$6,4)&gt;LEFT('RFM input'!$Q$60,4),0,IF(MATCH(J$6,'RFM input'!$H$60:$Q$60,0),INDEX('RFM input'!$K$7:$K$56,$A2660,1))))</f>
        <v>0</v>
      </c>
      <c r="K2661" s="1417">
        <f>IF(LEFT(K$6,4)&lt;=LEFT('RFM input'!$G$60,4),"enter input",IF(LEFT(K$6,4)&gt;LEFT('RFM input'!$Q$60,4),0,IF(MATCH(K$6,'RFM input'!$H$60:$Q$60,0),INDEX('RFM input'!$K$7:$K$56,$A2660,1))))</f>
        <v>0</v>
      </c>
      <c r="L2661" s="1417">
        <f>IF(LEFT(L$6,4)&lt;=LEFT('RFM input'!$G$60,4),"enter input",IF(LEFT(L$6,4)&gt;LEFT('RFM input'!$Q$60,4),0,IF(MATCH(L$6,'RFM input'!$H$60:$Q$60,0),INDEX('RFM input'!$K$7:$K$56,$A2660,1))))</f>
        <v>0</v>
      </c>
      <c r="M2661" s="1417">
        <f>IF(LEFT(M$6,4)&lt;=LEFT('RFM input'!$G$60,4),"enter input",IF(LEFT(M$6,4)&gt;LEFT('RFM input'!$Q$60,4),0,IF(MATCH(M$6,'RFM input'!$H$60:$Q$60,0),INDEX('RFM input'!$K$7:$K$56,$A2660,1))))</f>
        <v>0</v>
      </c>
      <c r="N2661" s="1417">
        <f>IF(LEFT(N$6,4)&lt;=LEFT('RFM input'!$G$60,4),"enter input",IF(LEFT(N$6,4)&gt;LEFT('RFM input'!$Q$60,4),0,IF(MATCH(N$6,'RFM input'!$H$60:$Q$60,0),INDEX('RFM input'!$K$7:$K$56,$A2660,1))))</f>
        <v>0</v>
      </c>
      <c r="O2661" s="1417">
        <f>IF(LEFT(O$6,4)&lt;=LEFT('RFM input'!$G$60,4),"enter input",IF(LEFT(O$6,4)&gt;LEFT('RFM input'!$Q$60,4),0,IF(MATCH(O$6,'RFM input'!$H$60:$Q$60,0),INDEX('RFM input'!$K$7:$K$56,$A2660,1))))</f>
        <v>0</v>
      </c>
      <c r="P2661" s="1417">
        <f>IF(LEFT(P$6,4)&lt;=LEFT('RFM input'!$G$60,4),"enter input",IF(LEFT(P$6,4)&gt;LEFT('RFM input'!$Q$60,4),0,IF(MATCH(P$6,'RFM input'!$H$60:$Q$60,0),INDEX('RFM input'!$K$7:$K$56,$A2660,1))))</f>
        <v>0</v>
      </c>
      <c r="Q2661" s="1417">
        <f>IF(LEFT(Q$6,4)&lt;=LEFT('RFM input'!$G$60,4),"enter input",IF(LEFT(Q$6,4)&gt;LEFT('RFM input'!$Q$60,4),0,IF(MATCH(Q$6,'RFM input'!$H$60:$Q$60,0),INDEX('RFM input'!$K$7:$K$56,$A2660,1))))</f>
        <v>0</v>
      </c>
      <c r="R2661" s="1417">
        <f>IF(LEFT(R$6,4)&lt;=LEFT('RFM input'!$G$60,4),"enter input",IF(LEFT(R$6,4)&gt;LEFT('RFM input'!$Q$60,4),0,IF(MATCH(R$6,'RFM input'!$H$60:$Q$60,0),INDEX('RFM input'!$K$7:$K$56,$A2660,1))))</f>
        <v>0</v>
      </c>
      <c r="S2661" s="1417">
        <f>IF(LEFT(S$6,4)&lt;=LEFT('RFM input'!$G$60,4),"enter input",IF(LEFT(S$6,4)&gt;LEFT('RFM input'!$Q$60,4),0,IF(MATCH(S$6,'RFM input'!$H$60:$Q$60,0),INDEX('RFM input'!$K$7:$K$56,$A2660,1))))</f>
        <v>0</v>
      </c>
      <c r="T2661" s="1417">
        <f>IF(LEFT(T$6,4)&lt;=LEFT('RFM input'!$G$60,4),"enter input",IF(LEFT(T$6,4)&gt;LEFT('RFM input'!$Q$60,4),0,IF(MATCH(T$6,'RFM input'!$H$60:$Q$60,0),INDEX('RFM input'!$K$7:$K$56,$A2660,1))))</f>
        <v>0</v>
      </c>
      <c r="U2661" s="1417">
        <f>IF(LEFT(U$6,4)&lt;=LEFT('RFM input'!$G$60,4),"enter input",IF(LEFT(U$6,4)&gt;LEFT('RFM input'!$Q$60,4),0,IF(MATCH(U$6,'RFM input'!$H$60:$Q$60,0),INDEX('RFM input'!$K$7:$K$56,$A2660,1))))</f>
        <v>0</v>
      </c>
      <c r="V2661" s="1417">
        <f>IF(LEFT(V$6,4)&lt;=LEFT('RFM input'!$G$60,4),"enter input",IF(LEFT(V$6,4)&gt;LEFT('RFM input'!$Q$60,4),0,IF(MATCH(V$6,'RFM input'!$H$60:$Q$60,0),INDEX('RFM input'!$K$7:$K$56,$A2660,1))))</f>
        <v>0</v>
      </c>
      <c r="W2661" s="1417">
        <f>IF(LEFT(W$6,4)&lt;=LEFT('RFM input'!$G$60,4),"enter input",IF(LEFT(W$6,4)&gt;LEFT('RFM input'!$Q$60,4),0,IF(MATCH(W$6,'RFM input'!$H$60:$Q$60,0),INDEX('RFM input'!$K$7:$K$56,$A2660,1))))</f>
        <v>0</v>
      </c>
      <c r="X2661" s="152"/>
      <c r="Y2661" s="152"/>
      <c r="Z2661" s="152"/>
      <c r="AA2661" s="152"/>
      <c r="AB2661" s="152"/>
    </row>
    <row r="2662" spans="1:28">
      <c r="A2662" s="152"/>
      <c r="B2662" s="177" t="s">
        <v>191</v>
      </c>
      <c r="C2662" s="1419"/>
      <c r="D2662" s="1420">
        <f ca="1">IF(LEFT(D$6,4)&lt;=LEFT('RFM input'!$G$60,4),"enter input",IF(LEFT(D$6,4)&gt;LEFT('RFM input'!$Q$60,4),0,IF(D$6=(OFFSET('RFM input'!$G$60,0,'RFM input'!$V$7)),OFFSET('RFM input'!$G$411,$A2660,0),0)))</f>
        <v>0</v>
      </c>
      <c r="E2662" s="1417">
        <f ca="1">IF(LEFT(E$6,4)&lt;=LEFT('RFM input'!$G$60,4),"enter input",IF(LEFT(E$6,4)&gt;LEFT('RFM input'!$Q$60,4),0,IF(E$6=(OFFSET('RFM input'!$G$60,0,'RFM input'!$V$7)),OFFSET('RFM input'!$G$411,$A2660,0),0)))</f>
        <v>0</v>
      </c>
      <c r="F2662" s="1417">
        <f ca="1">IF(LEFT(F$6,4)&lt;=LEFT('RFM input'!$G$60,4),"enter input",IF(LEFT(F$6,4)&gt;LEFT('RFM input'!$Q$60,4),0,IF(F$6=(OFFSET('RFM input'!$G$60,0,'RFM input'!$V$7)),OFFSET('RFM input'!$G$411,$A2660,0),0)))</f>
        <v>0</v>
      </c>
      <c r="G2662" s="1417">
        <f ca="1">IF(LEFT(G$6,4)&lt;=LEFT('RFM input'!$G$60,4),"enter input",IF(LEFT(G$6,4)&gt;LEFT('RFM input'!$Q$60,4),0,IF(G$6=(OFFSET('RFM input'!$G$60,0,'RFM input'!$V$7)),OFFSET('RFM input'!$G$411,$A2660,0),0)))</f>
        <v>0</v>
      </c>
      <c r="H2662" s="1417">
        <f ca="1">IF(LEFT(H$6,4)&lt;=LEFT('RFM input'!$G$60,4),"enter input",IF(LEFT(H$6,4)&gt;LEFT('RFM input'!$Q$60,4),0,IF(H$6=(OFFSET('RFM input'!$G$60,0,'RFM input'!$V$7)),OFFSET('RFM input'!$G$411,$A2660,0),0)))</f>
        <v>0</v>
      </c>
      <c r="I2662" s="1417">
        <f ca="1">IF(LEFT(I$6,4)&lt;=LEFT('RFM input'!$G$60,4),"enter input",IF(LEFT(I$6,4)&gt;LEFT('RFM input'!$Q$60,4),0,IF(I$6=(OFFSET('RFM input'!$G$60,0,'RFM input'!$V$7)),OFFSET('RFM input'!$G$411,$A2660,0),0)))</f>
        <v>0</v>
      </c>
      <c r="J2662" s="1417">
        <f ca="1">IF(LEFT(J$6,4)&lt;=LEFT('RFM input'!$G$60,4),"enter input",IF(LEFT(J$6,4)&gt;LEFT('RFM input'!$Q$60,4),0,IF(J$6=(OFFSET('RFM input'!$G$60,0,'RFM input'!$V$7)),OFFSET('RFM input'!$G$411,$A2660,0),0)))</f>
        <v>0</v>
      </c>
      <c r="K2662" s="1417">
        <f ca="1">IF(LEFT(K$6,4)&lt;=LEFT('RFM input'!$G$60,4),"enter input",IF(LEFT(K$6,4)&gt;LEFT('RFM input'!$Q$60,4),0,IF(K$6=(OFFSET('RFM input'!$G$60,0,'RFM input'!$V$7)),OFFSET('RFM input'!$G$411,$A2660,0),0)))</f>
        <v>0</v>
      </c>
      <c r="L2662" s="1417">
        <f ca="1">IF(LEFT(L$6,4)&lt;=LEFT('RFM input'!$G$60,4),"enter input",IF(LEFT(L$6,4)&gt;LEFT('RFM input'!$Q$60,4),0,IF(L$6=(OFFSET('RFM input'!$G$60,0,'RFM input'!$V$7)),OFFSET('RFM input'!$G$411,$A2660,0),0)))</f>
        <v>0</v>
      </c>
      <c r="M2662" s="1417">
        <f ca="1">IF(LEFT(M$6,4)&lt;=LEFT('RFM input'!$G$60,4),"enter input",IF(LEFT(M$6,4)&gt;LEFT('RFM input'!$Q$60,4),0,IF(M$6=(OFFSET('RFM input'!$G$60,0,'RFM input'!$V$7)),OFFSET('RFM input'!$G$411,$A2660,0),0)))</f>
        <v>0</v>
      </c>
      <c r="N2662" s="1417">
        <f ca="1">IF(LEFT(N$6,4)&lt;=LEFT('RFM input'!$G$60,4),"enter input",IF(LEFT(N$6,4)&gt;LEFT('RFM input'!$Q$60,4),0,IF(N$6=(OFFSET('RFM input'!$G$60,0,'RFM input'!$V$7)),OFFSET('RFM input'!$G$411,$A2660,0),0)))</f>
        <v>0</v>
      </c>
      <c r="O2662" s="1417">
        <f ca="1">IF(LEFT(O$6,4)&lt;=LEFT('RFM input'!$G$60,4),"enter input",IF(LEFT(O$6,4)&gt;LEFT('RFM input'!$Q$60,4),0,IF(O$6=(OFFSET('RFM input'!$G$60,0,'RFM input'!$V$7)),OFFSET('RFM input'!$G$411,$A2660,0),0)))</f>
        <v>0</v>
      </c>
      <c r="P2662" s="1417">
        <f ca="1">IF(LEFT(P$6,4)&lt;=LEFT('RFM input'!$G$60,4),"enter input",IF(LEFT(P$6,4)&gt;LEFT('RFM input'!$Q$60,4),0,IF(P$6=(OFFSET('RFM input'!$G$60,0,'RFM input'!$V$7)),OFFSET('RFM input'!$G$411,$A2660,0),0)))</f>
        <v>0</v>
      </c>
      <c r="Q2662" s="1417">
        <f ca="1">IF(LEFT(Q$6,4)&lt;=LEFT('RFM input'!$G$60,4),"enter input",IF(LEFT(Q$6,4)&gt;LEFT('RFM input'!$Q$60,4),0,IF(Q$6=(OFFSET('RFM input'!$G$60,0,'RFM input'!$V$7)),OFFSET('RFM input'!$G$411,$A2660,0),0)))</f>
        <v>0</v>
      </c>
      <c r="R2662" s="1417">
        <f ca="1">IF(LEFT(R$6,4)&lt;=LEFT('RFM input'!$G$60,4),"enter input",IF(LEFT(R$6,4)&gt;LEFT('RFM input'!$Q$60,4),0,IF(R$6=(OFFSET('RFM input'!$G$60,0,'RFM input'!$V$7)),OFFSET('RFM input'!$G$411,$A2660,0),0)))</f>
        <v>0</v>
      </c>
      <c r="S2662" s="1417">
        <f ca="1">IF(LEFT(S$6,4)&lt;=LEFT('RFM input'!$G$60,4),"enter input",IF(LEFT(S$6,4)&gt;LEFT('RFM input'!$Q$60,4),0,IF(S$6=(OFFSET('RFM input'!$G$60,0,'RFM input'!$V$7)),OFFSET('RFM input'!$G$411,$A2660,0),0)))</f>
        <v>0</v>
      </c>
      <c r="T2662" s="1417">
        <f ca="1">IF(LEFT(T$6,4)&lt;=LEFT('RFM input'!$G$60,4),"enter input",IF(LEFT(T$6,4)&gt;LEFT('RFM input'!$Q$60,4),0,IF(T$6=(OFFSET('RFM input'!$G$60,0,'RFM input'!$V$7)),OFFSET('RFM input'!$G$411,$A2660,0),0)))</f>
        <v>0</v>
      </c>
      <c r="U2662" s="1417">
        <f ca="1">IF(LEFT(U$6,4)&lt;=LEFT('RFM input'!$G$60,4),"enter input",IF(LEFT(U$6,4)&gt;LEFT('RFM input'!$Q$60,4),0,IF(U$6=(OFFSET('RFM input'!$G$60,0,'RFM input'!$V$7)),OFFSET('RFM input'!$G$411,$A2660,0),0)))</f>
        <v>0</v>
      </c>
      <c r="V2662" s="1417">
        <f ca="1">IF(LEFT(V$6,4)&lt;=LEFT('RFM input'!$G$60,4),"enter input",IF(LEFT(V$6,4)&gt;LEFT('RFM input'!$Q$60,4),0,IF(V$6=(OFFSET('RFM input'!$G$60,0,'RFM input'!$V$7)),OFFSET('RFM input'!$G$411,$A2660,0),0)))</f>
        <v>0</v>
      </c>
      <c r="W2662" s="1417">
        <f ca="1">IF(LEFT(W$6,4)&lt;=LEFT('RFM input'!$G$60,4),"enter input",IF(LEFT(W$6,4)&gt;LEFT('RFM input'!$Q$60,4),0,IF(W$6=(OFFSET('RFM input'!$G$60,0,'RFM input'!$V$7)),OFFSET('RFM input'!$G$411,$A2660,0),0)))</f>
        <v>0</v>
      </c>
      <c r="X2662" s="152"/>
      <c r="Y2662" s="152"/>
      <c r="Z2662" s="152"/>
      <c r="AA2662" s="152"/>
      <c r="AB2662" s="152"/>
    </row>
    <row r="2663" spans="1:28">
      <c r="A2663" s="152"/>
      <c r="B2663" s="195" t="s">
        <v>197</v>
      </c>
      <c r="C2663" s="1419"/>
      <c r="D2663" s="1418">
        <f ca="1">IF(LEFT(D$6,4)&lt;=LEFT('RFM input'!$G$60,4),"enter input",IF(LEFT(D$6,4)&gt;LEFT('RFM input'!$Q$60,4),0,IF(D$6=(OFFSET('RFM input'!$G$60,0,'RFM input'!$V$7)),OFFSET('RFM input'!$I$411,$A2660,0),0)))</f>
        <v>0</v>
      </c>
      <c r="E2663" s="1422">
        <f ca="1">IF(LEFT(E$6,4)&lt;=LEFT('RFM input'!$G$60,4),"enter input",IF(LEFT(E$6,4)&gt;LEFT('RFM input'!$Q$60,4),0,IF(E$6=(OFFSET('RFM input'!$G$60,0,'RFM input'!$V$7)),OFFSET('RFM input'!$I$411,$A2660,0),0)))</f>
        <v>0</v>
      </c>
      <c r="F2663" s="1422">
        <f ca="1">IF(LEFT(F$6,4)&lt;=LEFT('RFM input'!$G$60,4),"enter input",IF(LEFT(F$6,4)&gt;LEFT('RFM input'!$Q$60,4),0,IF(F$6=(OFFSET('RFM input'!$G$60,0,'RFM input'!$V$7)),OFFSET('RFM input'!$I$411,$A2660,0),0)))</f>
        <v>0</v>
      </c>
      <c r="G2663" s="1422">
        <f ca="1">IF(LEFT(G$6,4)&lt;=LEFT('RFM input'!$G$60,4),"enter input",IF(LEFT(G$6,4)&gt;LEFT('RFM input'!$Q$60,4),0,IF(G$6=(OFFSET('RFM input'!$G$60,0,'RFM input'!$V$7)),OFFSET('RFM input'!$I$411,$A2660,0),0)))</f>
        <v>0</v>
      </c>
      <c r="H2663" s="1422">
        <f ca="1">IF(LEFT(H$6,4)&lt;=LEFT('RFM input'!$G$60,4),"enter input",IF(LEFT(H$6,4)&gt;LEFT('RFM input'!$Q$60,4),0,IF(H$6=(OFFSET('RFM input'!$G$60,0,'RFM input'!$V$7)),OFFSET('RFM input'!$I$411,$A2660,0),0)))</f>
        <v>0</v>
      </c>
      <c r="I2663" s="1422">
        <f ca="1">IF(LEFT(I$6,4)&lt;=LEFT('RFM input'!$G$60,4),"enter input",IF(LEFT(I$6,4)&gt;LEFT('RFM input'!$Q$60,4),0,IF(I$6=(OFFSET('RFM input'!$G$60,0,'RFM input'!$V$7)),OFFSET('RFM input'!$I$411,$A2660,0),0)))</f>
        <v>0</v>
      </c>
      <c r="J2663" s="1422">
        <f ca="1">IF(LEFT(J$6,4)&lt;=LEFT('RFM input'!$G$60,4),"enter input",IF(LEFT(J$6,4)&gt;LEFT('RFM input'!$Q$60,4),0,IF(J$6=(OFFSET('RFM input'!$G$60,0,'RFM input'!$V$7)),OFFSET('RFM input'!$I$411,$A2660,0),0)))</f>
        <v>0</v>
      </c>
      <c r="K2663" s="1422">
        <f ca="1">IF(LEFT(K$6,4)&lt;=LEFT('RFM input'!$G$60,4),"enter input",IF(LEFT(K$6,4)&gt;LEFT('RFM input'!$Q$60,4),0,IF(K$6=(OFFSET('RFM input'!$G$60,0,'RFM input'!$V$7)),OFFSET('RFM input'!$I$411,$A2660,0),0)))</f>
        <v>0</v>
      </c>
      <c r="L2663" s="1422">
        <f ca="1">IF(LEFT(L$6,4)&lt;=LEFT('RFM input'!$G$60,4),"enter input",IF(LEFT(L$6,4)&gt;LEFT('RFM input'!$Q$60,4),0,IF(L$6=(OFFSET('RFM input'!$G$60,0,'RFM input'!$V$7)),OFFSET('RFM input'!$I$411,$A2660,0),0)))</f>
        <v>0</v>
      </c>
      <c r="M2663" s="1422">
        <f ca="1">IF(LEFT(M$6,4)&lt;=LEFT('RFM input'!$G$60,4),"enter input",IF(LEFT(M$6,4)&gt;LEFT('RFM input'!$Q$60,4),0,IF(M$6=(OFFSET('RFM input'!$G$60,0,'RFM input'!$V$7)),OFFSET('RFM input'!$I$411,$A2660,0),0)))</f>
        <v>0</v>
      </c>
      <c r="N2663" s="1422">
        <f ca="1">IF(LEFT(N$6,4)&lt;=LEFT('RFM input'!$G$60,4),"enter input",IF(LEFT(N$6,4)&gt;LEFT('RFM input'!$Q$60,4),0,IF(N$6=(OFFSET('RFM input'!$G$60,0,'RFM input'!$V$7)),OFFSET('RFM input'!$I$411,$A2660,0),0)))</f>
        <v>0</v>
      </c>
      <c r="O2663" s="1422">
        <f ca="1">IF(LEFT(O$6,4)&lt;=LEFT('RFM input'!$G$60,4),"enter input",IF(LEFT(O$6,4)&gt;LEFT('RFM input'!$Q$60,4),0,IF(O$6=(OFFSET('RFM input'!$G$60,0,'RFM input'!$V$7)),OFFSET('RFM input'!$I$411,$A2660,0),0)))</f>
        <v>0</v>
      </c>
      <c r="P2663" s="1422">
        <f ca="1">IF(LEFT(P$6,4)&lt;=LEFT('RFM input'!$G$60,4),"enter input",IF(LEFT(P$6,4)&gt;LEFT('RFM input'!$Q$60,4),0,IF(P$6=(OFFSET('RFM input'!$G$60,0,'RFM input'!$V$7)),OFFSET('RFM input'!$I$411,$A2660,0),0)))</f>
        <v>0</v>
      </c>
      <c r="Q2663" s="1422">
        <f ca="1">IF(LEFT(Q$6,4)&lt;=LEFT('RFM input'!$G$60,4),"enter input",IF(LEFT(Q$6,4)&gt;LEFT('RFM input'!$Q$60,4),0,IF(Q$6=(OFFSET('RFM input'!$G$60,0,'RFM input'!$V$7)),OFFSET('RFM input'!$I$411,$A2660,0),0)))</f>
        <v>0</v>
      </c>
      <c r="R2663" s="1422">
        <f ca="1">IF(LEFT(R$6,4)&lt;=LEFT('RFM input'!$G$60,4),"enter input",IF(LEFT(R$6,4)&gt;LEFT('RFM input'!$Q$60,4),0,IF(R$6=(OFFSET('RFM input'!$G$60,0,'RFM input'!$V$7)),OFFSET('RFM input'!$I$411,$A2660,0),0)))</f>
        <v>0</v>
      </c>
      <c r="S2663" s="1422">
        <f ca="1">IF(LEFT(S$6,4)&lt;=LEFT('RFM input'!$G$60,4),"enter input",IF(LEFT(S$6,4)&gt;LEFT('RFM input'!$Q$60,4),0,IF(S$6=(OFFSET('RFM input'!$G$60,0,'RFM input'!$V$7)),OFFSET('RFM input'!$I$411,$A2660,0),0)))</f>
        <v>0</v>
      </c>
      <c r="T2663" s="1422">
        <f ca="1">IF(LEFT(T$6,4)&lt;=LEFT('RFM input'!$G$60,4),"enter input",IF(LEFT(T$6,4)&gt;LEFT('RFM input'!$Q$60,4),0,IF(T$6=(OFFSET('RFM input'!$G$60,0,'RFM input'!$V$7)),OFFSET('RFM input'!$I$411,$A2660,0),0)))</f>
        <v>0</v>
      </c>
      <c r="U2663" s="1422">
        <f ca="1">IF(LEFT(U$6,4)&lt;=LEFT('RFM input'!$G$60,4),"enter input",IF(LEFT(U$6,4)&gt;LEFT('RFM input'!$Q$60,4),0,IF(U$6=(OFFSET('RFM input'!$G$60,0,'RFM input'!$V$7)),OFFSET('RFM input'!$I$411,$A2660,0),0)))</f>
        <v>0</v>
      </c>
      <c r="V2663" s="1422">
        <f ca="1">IF(LEFT(V$6,4)&lt;=LEFT('RFM input'!$G$60,4),"enter input",IF(LEFT(V$6,4)&gt;LEFT('RFM input'!$Q$60,4),0,IF(V$6=(OFFSET('RFM input'!$G$60,0,'RFM input'!$V$7)),OFFSET('RFM input'!$I$411,$A2660,0),0)))</f>
        <v>0</v>
      </c>
      <c r="W2663" s="1422">
        <f ca="1">IF(LEFT(W$6,4)&lt;=LEFT('RFM input'!$G$60,4),"enter input",IF(LEFT(W$6,4)&gt;LEFT('RFM input'!$Q$60,4),0,IF(W$6=(OFFSET('RFM input'!$G$60,0,'RFM input'!$V$7)),OFFSET('RFM input'!$I$411,$A2660,0),0)))</f>
        <v>0</v>
      </c>
      <c r="X2663" s="152"/>
      <c r="Y2663" s="152"/>
      <c r="Z2663" s="152"/>
      <c r="AA2663" s="152"/>
      <c r="AB2663" s="152"/>
    </row>
    <row r="2664" spans="1:28" hidden="1" outlineLevel="1">
      <c r="A2664" s="235">
        <v>-1</v>
      </c>
      <c r="B2664" s="190" t="s">
        <v>189</v>
      </c>
      <c r="C2664" s="1423"/>
      <c r="D2664" s="1423">
        <f ca="1">IF(AND(D2662=0,C2664=0),0,
IF(AND(D2662&lt;&gt;0,C2664=0),(D2662/D$10),
IF(AND(D2663&lt;&gt;0,C2664&lt;&gt;0),(C2664-(C2664/C2688))+(D2662/D$10),
IF(C2688&lt;1,0,(C2664-(C2664/C2688))))))</f>
        <v>0</v>
      </c>
      <c r="E2664" s="1423">
        <f t="shared" ref="E2664" ca="1" si="3934">IF(AND(E2662=0,D2664=0),0,
IF(AND(E2662&lt;&gt;0,D2664=0),(E2662/E$10),
IF(AND(E2663&lt;&gt;0,D2664&lt;&gt;0),(D2664-(D2664/D2688))+(E2662/E$10),
IF(D2688&lt;1,0,(D2664-(D2664/D2688))))))</f>
        <v>0</v>
      </c>
      <c r="F2664" s="1423">
        <f t="shared" ref="F2664" ca="1" si="3935">IF(AND(F2662=0,E2664=0),0,
IF(AND(F2662&lt;&gt;0,E2664=0),(F2662/F$10),
IF(AND(F2663&lt;&gt;0,E2664&lt;&gt;0),(E2664-(E2664/E2688))+(F2662/F$10),
IF(E2688&lt;1,0,(E2664-(E2664/E2688))))))</f>
        <v>0</v>
      </c>
      <c r="G2664" s="1423">
        <f t="shared" ref="G2664" ca="1" si="3936">IF(AND(G2662=0,F2664=0),0,
IF(AND(G2662&lt;&gt;0,F2664=0),(G2662/G$10),
IF(AND(G2663&lt;&gt;0,F2664&lt;&gt;0),(F2664-(F2664/F2688))+(G2662/G$10),
IF(F2688&lt;1,0,(F2664-(F2664/F2688))))))</f>
        <v>0</v>
      </c>
      <c r="H2664" s="1423">
        <f t="shared" ref="H2664" ca="1" si="3937">IF(AND(H2662=0,G2664=0),0,
IF(AND(H2662&lt;&gt;0,G2664=0),(H2662/H$10),
IF(AND(H2663&lt;&gt;0,G2664&lt;&gt;0),(G2664-(G2664/G2688))+(H2662/H$10),
IF(G2688&lt;1,0,(G2664-(G2664/G2688))))))</f>
        <v>0</v>
      </c>
      <c r="I2664" s="1423">
        <f t="shared" ref="I2664" ca="1" si="3938">IF(AND(I2662=0,H2664=0),0,
IF(AND(I2662&lt;&gt;0,H2664=0),(I2662/I$10),
IF(AND(I2663&lt;&gt;0,H2664&lt;&gt;0),(H2664-(H2664/H2688))+(I2662/I$10),
IF(H2688&lt;1,0,(H2664-(H2664/H2688))))))</f>
        <v>0</v>
      </c>
      <c r="J2664" s="1423">
        <f t="shared" ref="J2664" ca="1" si="3939">IF(AND(J2662=0,I2664=0),0,
IF(AND(J2662&lt;&gt;0,I2664=0),(J2662/J$10),
IF(AND(J2663&lt;&gt;0,I2664&lt;&gt;0),(I2664-(I2664/I2688))+(J2662/J$10),
IF(I2688&lt;1,0,(I2664-(I2664/I2688))))))</f>
        <v>0</v>
      </c>
      <c r="K2664" s="1423">
        <f t="shared" ref="K2664" ca="1" si="3940">IF(AND(K2662=0,J2664=0),0,
IF(AND(K2662&lt;&gt;0,J2664=0),(K2662/K$10),
IF(AND(K2663&lt;&gt;0,J2664&lt;&gt;0),(J2664-(J2664/J2688))+(K2662/K$10),
IF(J2688&lt;1,0,(J2664-(J2664/J2688))))))</f>
        <v>0</v>
      </c>
      <c r="L2664" s="1423">
        <f t="shared" ref="L2664" ca="1" si="3941">IF(AND(L2662=0,K2664=0),0,
IF(AND(L2662&lt;&gt;0,K2664=0),(L2662/L$10),
IF(AND(L2663&lt;&gt;0,K2664&lt;&gt;0),(K2664-(K2664/K2688))+(L2662/L$10),
IF(K2688&lt;1,0,(K2664-(K2664/K2688))))))</f>
        <v>0</v>
      </c>
      <c r="M2664" s="1423">
        <f t="shared" ref="M2664" ca="1" si="3942">IF(AND(M2662=0,L2664=0),0,
IF(AND(M2662&lt;&gt;0,L2664=0),(M2662/M$10),
IF(AND(M2663&lt;&gt;0,L2664&lt;&gt;0),(L2664-(L2664/L2688))+(M2662/M$10),
IF(L2688&lt;1,0,(L2664-(L2664/L2688))))))</f>
        <v>0</v>
      </c>
      <c r="N2664" s="1423">
        <f t="shared" ref="N2664" ca="1" si="3943">IF(AND(N2662=0,M2664=0),0,
IF(AND(N2662&lt;&gt;0,M2664=0),(N2662/N$10),
IF(AND(N2663&lt;&gt;0,M2664&lt;&gt;0),(M2664-(M2664/M2688))+(N2662/N$10),
IF(M2688&lt;1,0,(M2664-(M2664/M2688))))))</f>
        <v>0</v>
      </c>
      <c r="O2664" s="1423">
        <f t="shared" ref="O2664" ca="1" si="3944">IF(AND(O2662=0,N2664=0),0,
IF(AND(O2662&lt;&gt;0,N2664=0),(O2662/O$10),
IF(AND(O2663&lt;&gt;0,N2664&lt;&gt;0),(N2664-(N2664/N2688))+(O2662/O$10),
IF(N2688&lt;1,0,(N2664-(N2664/N2688))))))</f>
        <v>0</v>
      </c>
      <c r="P2664" s="1423">
        <f t="shared" ref="P2664" ca="1" si="3945">IF(AND(P2662=0,O2664=0),0,
IF(AND(P2662&lt;&gt;0,O2664=0),(P2662/P$10),
IF(AND(P2663&lt;&gt;0,O2664&lt;&gt;0),(O2664-(O2664/O2688))+(P2662/P$10),
IF(O2688&lt;1,0,(O2664-(O2664/O2688))))))</f>
        <v>0</v>
      </c>
      <c r="Q2664" s="1423">
        <f t="shared" ref="Q2664" ca="1" si="3946">IF(AND(Q2662=0,P2664=0),0,
IF(AND(Q2662&lt;&gt;0,P2664=0),(Q2662/Q$10),
IF(AND(Q2663&lt;&gt;0,P2664&lt;&gt;0),(P2664-(P2664/P2688))+(Q2662/Q$10),
IF(P2688&lt;1,0,(P2664-(P2664/P2688))))))</f>
        <v>0</v>
      </c>
      <c r="R2664" s="1423">
        <f t="shared" ref="R2664" ca="1" si="3947">IF(AND(R2662=0,Q2664=0),0,
IF(AND(R2662&lt;&gt;0,Q2664=0),(R2662/R$10),
IF(AND(R2663&lt;&gt;0,Q2664&lt;&gt;0),(Q2664-(Q2664/Q2688))+(R2662/R$10),
IF(Q2688&lt;1,0,(Q2664-(Q2664/Q2688))))))</f>
        <v>0</v>
      </c>
      <c r="S2664" s="1423">
        <f t="shared" ref="S2664" ca="1" si="3948">IF(AND(S2662=0,R2664=0),0,
IF(AND(S2662&lt;&gt;0,R2664=0),(S2662/S$10),
IF(AND(S2663&lt;&gt;0,R2664&lt;&gt;0),(R2664-(R2664/R2688))+(S2662/S$10),
IF(R2688&lt;1,0,(R2664-(R2664/R2688))))))</f>
        <v>0</v>
      </c>
      <c r="T2664" s="1423">
        <f t="shared" ref="T2664" ca="1" si="3949">IF(AND(T2662=0,S2664=0),0,
IF(AND(T2662&lt;&gt;0,S2664=0),(T2662/T$10),
IF(AND(T2663&lt;&gt;0,S2664&lt;&gt;0),(S2664-(S2664/S2688))+(T2662/T$10),
IF(S2688&lt;1,0,(S2664-(S2664/S2688))))))</f>
        <v>0</v>
      </c>
      <c r="U2664" s="1423">
        <f t="shared" ref="U2664" ca="1" si="3950">IF(AND(U2662=0,T2664=0),0,
IF(AND(U2662&lt;&gt;0,T2664=0),(U2662/U$10),
IF(AND(U2663&lt;&gt;0,T2664&lt;&gt;0),(T2664-(T2664/T2688))+(U2662/U$10),
IF(T2688&lt;1,0,(T2664-(T2664/T2688))))))</f>
        <v>0</v>
      </c>
      <c r="V2664" s="1423">
        <f t="shared" ref="V2664" ca="1" si="3951">IF(AND(V2662=0,U2664=0),0,
IF(AND(V2662&lt;&gt;0,U2664=0),(V2662/V$10),
IF(AND(V2663&lt;&gt;0,U2664&lt;&gt;0),(U2664-(U2664/U2688))+(V2662/V$10),
IF(U2688&lt;1,0,(U2664-(U2664/U2688))))))</f>
        <v>0</v>
      </c>
      <c r="W2664" s="1423">
        <f t="shared" ref="W2664" ca="1" si="3952">IF(AND(W2662=0,V2664=0),0,
IF(AND(W2662&lt;&gt;0,V2664=0),(W2662/W$10),
IF(AND(W2663&lt;&gt;0,V2664&lt;&gt;0),(V2664-(V2664/V2688))+(W2662/W$10),
IF(V2688&lt;1,0,(V2664-(V2664/V2688))))))</f>
        <v>0</v>
      </c>
      <c r="X2664" s="152"/>
      <c r="Y2664" s="152"/>
      <c r="Z2664" s="152"/>
      <c r="AA2664" s="152"/>
      <c r="AB2664" s="152"/>
    </row>
    <row r="2665" spans="1:28" hidden="1" outlineLevel="1">
      <c r="A2665" s="199">
        <f>A2664+1</f>
        <v>0</v>
      </c>
      <c r="B2665" s="190" t="s">
        <v>125</v>
      </c>
      <c r="C2665" s="1423">
        <f ca="1">C2660/C$10</f>
        <v>0</v>
      </c>
      <c r="D2665" s="1423">
        <f ca="1">IF(C2689="n/a",C2665,IFERROR(IF((OFFSET($C2665,0,$A2665))&lt;0,
MIN(0,C2665-(OFFSET($C2665,0,$A2665)/(OFFSET($C2660,-$A2664,$A2665)))),
MAX(0,C2665-(OFFSET($C2665,0,$A2665)/(OFFSET($C2660,-$A2664,$A2665))))),0))</f>
        <v>0</v>
      </c>
      <c r="E2665" s="1423">
        <f t="shared" ref="E2665" ca="1" si="3953">IF(D2689="n/a",D2665,IFERROR(IF((OFFSET($C2665,0,$A2665))&lt;0,
MIN(0,D2665-(OFFSET($C2665,0,$A2665)/(OFFSET($C2660,-$A2664,$A2665)))),
MAX(0,D2665-(OFFSET($C2665,0,$A2665)/(OFFSET($C2660,-$A2664,$A2665))))),0))</f>
        <v>0</v>
      </c>
      <c r="F2665" s="1423">
        <f t="shared" ref="F2665:F2666" ca="1" si="3954">IF(E2689="n/a",E2665,IFERROR(IF((OFFSET($C2665,0,$A2665))&lt;0,
MIN(0,E2665-(OFFSET($C2665,0,$A2665)/(OFFSET($C2660,-$A2664,$A2665)))),
MAX(0,E2665-(OFFSET($C2665,0,$A2665)/(OFFSET($C2660,-$A2664,$A2665))))),0))</f>
        <v>0</v>
      </c>
      <c r="G2665" s="1423">
        <f t="shared" ref="G2665:G2667" ca="1" si="3955">IF(F2689="n/a",F2665,IFERROR(IF((OFFSET($C2665,0,$A2665))&lt;0,
MIN(0,F2665-(OFFSET($C2665,0,$A2665)/(OFFSET($C2660,-$A2664,$A2665)))),
MAX(0,F2665-(OFFSET($C2665,0,$A2665)/(OFFSET($C2660,-$A2664,$A2665))))),0))</f>
        <v>0</v>
      </c>
      <c r="H2665" s="1423">
        <f t="shared" ref="H2665:H2668" ca="1" si="3956">IF(G2689="n/a",G2665,IFERROR(IF((OFFSET($C2665,0,$A2665))&lt;0,
MIN(0,G2665-(OFFSET($C2665,0,$A2665)/(OFFSET($C2660,-$A2664,$A2665)))),
MAX(0,G2665-(OFFSET($C2665,0,$A2665)/(OFFSET($C2660,-$A2664,$A2665))))),0))</f>
        <v>0</v>
      </c>
      <c r="I2665" s="1423">
        <f t="shared" ref="I2665:I2669" ca="1" si="3957">IF(H2689="n/a",H2665,IFERROR(IF((OFFSET($C2665,0,$A2665))&lt;0,
MIN(0,H2665-(OFFSET($C2665,0,$A2665)/(OFFSET($C2660,-$A2664,$A2665)))),
MAX(0,H2665-(OFFSET($C2665,0,$A2665)/(OFFSET($C2660,-$A2664,$A2665))))),0))</f>
        <v>0</v>
      </c>
      <c r="J2665" s="1423">
        <f t="shared" ref="J2665:J2670" ca="1" si="3958">IF(I2689="n/a",I2665,IFERROR(IF((OFFSET($C2665,0,$A2665))&lt;0,
MIN(0,I2665-(OFFSET($C2665,0,$A2665)/(OFFSET($C2660,-$A2664,$A2665)))),
MAX(0,I2665-(OFFSET($C2665,0,$A2665)/(OFFSET($C2660,-$A2664,$A2665))))),0))</f>
        <v>0</v>
      </c>
      <c r="K2665" s="1423">
        <f t="shared" ref="K2665:K2671" ca="1" si="3959">IF(J2689="n/a",J2665,IFERROR(IF((OFFSET($C2665,0,$A2665))&lt;0,
MIN(0,J2665-(OFFSET($C2665,0,$A2665)/(OFFSET($C2660,-$A2664,$A2665)))),
MAX(0,J2665-(OFFSET($C2665,0,$A2665)/(OFFSET($C2660,-$A2664,$A2665))))),0))</f>
        <v>0</v>
      </c>
      <c r="L2665" s="1423">
        <f t="shared" ref="L2665:L2672" ca="1" si="3960">IF(K2689="n/a",K2665,IFERROR(IF((OFFSET($C2665,0,$A2665))&lt;0,
MIN(0,K2665-(OFFSET($C2665,0,$A2665)/(OFFSET($C2660,-$A2664,$A2665)))),
MAX(0,K2665-(OFFSET($C2665,0,$A2665)/(OFFSET($C2660,-$A2664,$A2665))))),0))</f>
        <v>0</v>
      </c>
      <c r="M2665" s="1423">
        <f t="shared" ref="M2665:M2673" ca="1" si="3961">IF(L2689="n/a",L2665,IFERROR(IF((OFFSET($C2665,0,$A2665))&lt;0,
MIN(0,L2665-(OFFSET($C2665,0,$A2665)/(OFFSET($C2660,-$A2664,$A2665)))),
MAX(0,L2665-(OFFSET($C2665,0,$A2665)/(OFFSET($C2660,-$A2664,$A2665))))),0))</f>
        <v>0</v>
      </c>
      <c r="N2665" s="1423">
        <f t="shared" ref="N2665:N2674" ca="1" si="3962">IF(M2689="n/a",M2665,IFERROR(IF((OFFSET($C2665,0,$A2665))&lt;0,
MIN(0,M2665-(OFFSET($C2665,0,$A2665)/(OFFSET($C2660,-$A2664,$A2665)))),
MAX(0,M2665-(OFFSET($C2665,0,$A2665)/(OFFSET($C2660,-$A2664,$A2665))))),0))</f>
        <v>0</v>
      </c>
      <c r="O2665" s="1423">
        <f t="shared" ref="O2665:O2675" ca="1" si="3963">IF(N2689="n/a",N2665,IFERROR(IF((OFFSET($C2665,0,$A2665))&lt;0,
MIN(0,N2665-(OFFSET($C2665,0,$A2665)/(OFFSET($C2660,-$A2664,$A2665)))),
MAX(0,N2665-(OFFSET($C2665,0,$A2665)/(OFFSET($C2660,-$A2664,$A2665))))),0))</f>
        <v>0</v>
      </c>
      <c r="P2665" s="1423">
        <f t="shared" ref="P2665:P2676" ca="1" si="3964">IF(O2689="n/a",O2665,IFERROR(IF((OFFSET($C2665,0,$A2665))&lt;0,
MIN(0,O2665-(OFFSET($C2665,0,$A2665)/(OFFSET($C2660,-$A2664,$A2665)))),
MAX(0,O2665-(OFFSET($C2665,0,$A2665)/(OFFSET($C2660,-$A2664,$A2665))))),0))</f>
        <v>0</v>
      </c>
      <c r="Q2665" s="1423">
        <f t="shared" ref="Q2665:Q2677" ca="1" si="3965">IF(P2689="n/a",P2665,IFERROR(IF((OFFSET($C2665,0,$A2665))&lt;0,
MIN(0,P2665-(OFFSET($C2665,0,$A2665)/(OFFSET($C2660,-$A2664,$A2665)))),
MAX(0,P2665-(OFFSET($C2665,0,$A2665)/(OFFSET($C2660,-$A2664,$A2665))))),0))</f>
        <v>0</v>
      </c>
      <c r="R2665" s="1423">
        <f t="shared" ref="R2665:R2678" ca="1" si="3966">IF(Q2689="n/a",Q2665,IFERROR(IF((OFFSET($C2665,0,$A2665))&lt;0,
MIN(0,Q2665-(OFFSET($C2665,0,$A2665)/(OFFSET($C2660,-$A2664,$A2665)))),
MAX(0,Q2665-(OFFSET($C2665,0,$A2665)/(OFFSET($C2660,-$A2664,$A2665))))),0))</f>
        <v>0</v>
      </c>
      <c r="S2665" s="1423">
        <f t="shared" ref="S2665:S2679" ca="1" si="3967">IF(R2689="n/a",R2665,IFERROR(IF((OFFSET($C2665,0,$A2665))&lt;0,
MIN(0,R2665-(OFFSET($C2665,0,$A2665)/(OFFSET($C2660,-$A2664,$A2665)))),
MAX(0,R2665-(OFFSET($C2665,0,$A2665)/(OFFSET($C2660,-$A2664,$A2665))))),0))</f>
        <v>0</v>
      </c>
      <c r="T2665" s="1423">
        <f t="shared" ref="T2665:T2680" ca="1" si="3968">IF(S2689="n/a",S2665,IFERROR(IF((OFFSET($C2665,0,$A2665))&lt;0,
MIN(0,S2665-(OFFSET($C2665,0,$A2665)/(OFFSET($C2660,-$A2664,$A2665)))),
MAX(0,S2665-(OFFSET($C2665,0,$A2665)/(OFFSET($C2660,-$A2664,$A2665))))),0))</f>
        <v>0</v>
      </c>
      <c r="U2665" s="1423">
        <f t="shared" ref="U2665:U2681" ca="1" si="3969">IF(T2689="n/a",T2665,IFERROR(IF((OFFSET($C2665,0,$A2665))&lt;0,
MIN(0,T2665-(OFFSET($C2665,0,$A2665)/(OFFSET($C2660,-$A2664,$A2665)))),
MAX(0,T2665-(OFFSET($C2665,0,$A2665)/(OFFSET($C2660,-$A2664,$A2665))))),0))</f>
        <v>0</v>
      </c>
      <c r="V2665" s="1423">
        <f t="shared" ref="V2665:V2682" ca="1" si="3970">IF(U2689="n/a",U2665,IFERROR(IF((OFFSET($C2665,0,$A2665))&lt;0,
MIN(0,U2665-(OFFSET($C2665,0,$A2665)/(OFFSET($C2660,-$A2664,$A2665)))),
MAX(0,U2665-(OFFSET($C2665,0,$A2665)/(OFFSET($C2660,-$A2664,$A2665))))),0))</f>
        <v>0</v>
      </c>
      <c r="W2665" s="1423">
        <f t="shared" ref="W2665:W2683" ca="1" si="3971">IF(V2689="n/a",V2665,IFERROR(IF((OFFSET($C2665,0,$A2665))&lt;0,
MIN(0,V2665-(OFFSET($C2665,0,$A2665)/(OFFSET($C2660,-$A2664,$A2665)))),
MAX(0,V2665-(OFFSET($C2665,0,$A2665)/(OFFSET($C2660,-$A2664,$A2665))))),0))</f>
        <v>0</v>
      </c>
      <c r="X2665" s="152"/>
      <c r="Y2665" s="152"/>
      <c r="Z2665" s="152"/>
      <c r="AA2665" s="152"/>
      <c r="AB2665" s="152"/>
    </row>
    <row r="2666" spans="1:28" hidden="1" outlineLevel="1">
      <c r="A2666" s="199">
        <f t="shared" ref="A2666:A2685" si="3972">A2665+1</f>
        <v>1</v>
      </c>
      <c r="B2666" s="190" t="str">
        <f t="shared" ref="B2666:B2684" ca="1" si="3973">"Depreciated Net Capex "&amp;OFFSET($C$6,0,A2666)</f>
        <v>Depreciated Net Capex 2016-17</v>
      </c>
      <c r="C2666" s="1424"/>
      <c r="D2666" s="1425">
        <f>(D2660*((1+D$11)^0.5)/D$10)</f>
        <v>0</v>
      </c>
      <c r="E2666" s="1423">
        <f ca="1">IF(D2690="n/a",D2666,IFERROR(IF((OFFSET($C2666,0,$A2666))&lt;0,
MIN(0,D2666-(OFFSET($C2666,0,$A2666)/(OFFSET($C2661,-$A2665,$A2666)))),
MAX(0,D2666-(OFFSET($C2666,0,$A2666)/(OFFSET($C2661,-$A2665,$A2666))))),0))</f>
        <v>0</v>
      </c>
      <c r="F2666" s="1423">
        <f t="shared" ca="1" si="3954"/>
        <v>0</v>
      </c>
      <c r="G2666" s="1423">
        <f t="shared" ca="1" si="3955"/>
        <v>0</v>
      </c>
      <c r="H2666" s="1423">
        <f t="shared" ca="1" si="3956"/>
        <v>0</v>
      </c>
      <c r="I2666" s="1423">
        <f t="shared" ca="1" si="3957"/>
        <v>0</v>
      </c>
      <c r="J2666" s="1423">
        <f t="shared" ca="1" si="3958"/>
        <v>0</v>
      </c>
      <c r="K2666" s="1423">
        <f t="shared" ca="1" si="3959"/>
        <v>0</v>
      </c>
      <c r="L2666" s="1423">
        <f t="shared" ca="1" si="3960"/>
        <v>0</v>
      </c>
      <c r="M2666" s="1423">
        <f t="shared" ca="1" si="3961"/>
        <v>0</v>
      </c>
      <c r="N2666" s="1423">
        <f t="shared" ca="1" si="3962"/>
        <v>0</v>
      </c>
      <c r="O2666" s="1423">
        <f t="shared" ca="1" si="3963"/>
        <v>0</v>
      </c>
      <c r="P2666" s="1423">
        <f t="shared" ca="1" si="3964"/>
        <v>0</v>
      </c>
      <c r="Q2666" s="1423">
        <f t="shared" ca="1" si="3965"/>
        <v>0</v>
      </c>
      <c r="R2666" s="1423">
        <f t="shared" ca="1" si="3966"/>
        <v>0</v>
      </c>
      <c r="S2666" s="1423">
        <f t="shared" ca="1" si="3967"/>
        <v>0</v>
      </c>
      <c r="T2666" s="1423">
        <f t="shared" ca="1" si="3968"/>
        <v>0</v>
      </c>
      <c r="U2666" s="1423">
        <f t="shared" ca="1" si="3969"/>
        <v>0</v>
      </c>
      <c r="V2666" s="1423">
        <f t="shared" ca="1" si="3970"/>
        <v>0</v>
      </c>
      <c r="W2666" s="1423">
        <f t="shared" ca="1" si="3971"/>
        <v>0</v>
      </c>
      <c r="X2666" s="152"/>
      <c r="Y2666" s="152"/>
      <c r="Z2666" s="152"/>
      <c r="AA2666" s="152"/>
      <c r="AB2666" s="152"/>
    </row>
    <row r="2667" spans="1:28" hidden="1" outlineLevel="1">
      <c r="A2667" s="199">
        <f t="shared" si="3972"/>
        <v>2</v>
      </c>
      <c r="B2667" s="190" t="str">
        <f t="shared" ca="1" si="3973"/>
        <v>Depreciated Net Capex 2017-18</v>
      </c>
      <c r="C2667" s="1426"/>
      <c r="D2667" s="1427"/>
      <c r="E2667" s="1425">
        <f>(E2660*((1+E$11)^0.5)/E$10)</f>
        <v>0</v>
      </c>
      <c r="F2667" s="1423">
        <f ca="1">IF(E2691="n/a",E2667,IFERROR(IF((OFFSET($C2667,0,$A2667))&lt;0,
MIN(0,E2667-(OFFSET($C2667,0,$A2667)/(OFFSET($C2662,-$A2666,$A2667)))),
MAX(0,E2667-(OFFSET($C2667,0,$A2667)/(OFFSET($C2662,-$A2666,$A2667))))),0))</f>
        <v>0</v>
      </c>
      <c r="G2667" s="1423">
        <f t="shared" ca="1" si="3955"/>
        <v>0</v>
      </c>
      <c r="H2667" s="1423">
        <f t="shared" ca="1" si="3956"/>
        <v>0</v>
      </c>
      <c r="I2667" s="1423">
        <f t="shared" ca="1" si="3957"/>
        <v>0</v>
      </c>
      <c r="J2667" s="1423">
        <f t="shared" ca="1" si="3958"/>
        <v>0</v>
      </c>
      <c r="K2667" s="1423">
        <f t="shared" ca="1" si="3959"/>
        <v>0</v>
      </c>
      <c r="L2667" s="1423">
        <f t="shared" ca="1" si="3960"/>
        <v>0</v>
      </c>
      <c r="M2667" s="1423">
        <f t="shared" ca="1" si="3961"/>
        <v>0</v>
      </c>
      <c r="N2667" s="1423">
        <f t="shared" ca="1" si="3962"/>
        <v>0</v>
      </c>
      <c r="O2667" s="1423">
        <f t="shared" ca="1" si="3963"/>
        <v>0</v>
      </c>
      <c r="P2667" s="1423">
        <f t="shared" ca="1" si="3964"/>
        <v>0</v>
      </c>
      <c r="Q2667" s="1423">
        <f t="shared" ca="1" si="3965"/>
        <v>0</v>
      </c>
      <c r="R2667" s="1423">
        <f t="shared" ca="1" si="3966"/>
        <v>0</v>
      </c>
      <c r="S2667" s="1423">
        <f t="shared" ca="1" si="3967"/>
        <v>0</v>
      </c>
      <c r="T2667" s="1423">
        <f t="shared" ca="1" si="3968"/>
        <v>0</v>
      </c>
      <c r="U2667" s="1423">
        <f t="shared" ca="1" si="3969"/>
        <v>0</v>
      </c>
      <c r="V2667" s="1423">
        <f t="shared" ca="1" si="3970"/>
        <v>0</v>
      </c>
      <c r="W2667" s="1423">
        <f t="shared" ca="1" si="3971"/>
        <v>0</v>
      </c>
      <c r="X2667" s="202"/>
      <c r="Y2667" s="152"/>
      <c r="Z2667" s="152"/>
      <c r="AA2667" s="152"/>
      <c r="AB2667" s="152"/>
    </row>
    <row r="2668" spans="1:28" hidden="1" outlineLevel="1">
      <c r="A2668" s="199">
        <f t="shared" si="3972"/>
        <v>3</v>
      </c>
      <c r="B2668" s="190" t="str">
        <f t="shared" ca="1" si="3973"/>
        <v>Depreciated Net Capex 2018-19</v>
      </c>
      <c r="C2668" s="1426"/>
      <c r="D2668" s="1426"/>
      <c r="E2668" s="1427"/>
      <c r="F2668" s="1428">
        <f>($F2660*((1+F$11)^0.5)/F$10)</f>
        <v>0</v>
      </c>
      <c r="G2668" s="1423">
        <f ca="1">IF(F2692="n/a",F2668,IFERROR(IF((OFFSET($C2668,0,$A2668))&lt;0,
MIN(0,F2668-(OFFSET($C2668,0,$A2668)/(OFFSET($C2663,-$A2667,$A2668)))),
MAX(0,F2668-(OFFSET($C2668,0,$A2668)/(OFFSET($C2663,-$A2667,$A2668))))),0))</f>
        <v>0</v>
      </c>
      <c r="H2668" s="1423">
        <f t="shared" ca="1" si="3956"/>
        <v>0</v>
      </c>
      <c r="I2668" s="1423">
        <f t="shared" ca="1" si="3957"/>
        <v>0</v>
      </c>
      <c r="J2668" s="1423">
        <f t="shared" ca="1" si="3958"/>
        <v>0</v>
      </c>
      <c r="K2668" s="1423">
        <f t="shared" ca="1" si="3959"/>
        <v>0</v>
      </c>
      <c r="L2668" s="1423">
        <f t="shared" ca="1" si="3960"/>
        <v>0</v>
      </c>
      <c r="M2668" s="1423">
        <f t="shared" ca="1" si="3961"/>
        <v>0</v>
      </c>
      <c r="N2668" s="1423">
        <f t="shared" ca="1" si="3962"/>
        <v>0</v>
      </c>
      <c r="O2668" s="1423">
        <f t="shared" ca="1" si="3963"/>
        <v>0</v>
      </c>
      <c r="P2668" s="1423">
        <f t="shared" ca="1" si="3964"/>
        <v>0</v>
      </c>
      <c r="Q2668" s="1423">
        <f t="shared" ca="1" si="3965"/>
        <v>0</v>
      </c>
      <c r="R2668" s="1423">
        <f t="shared" ca="1" si="3966"/>
        <v>0</v>
      </c>
      <c r="S2668" s="1423">
        <f t="shared" ca="1" si="3967"/>
        <v>0</v>
      </c>
      <c r="T2668" s="1423">
        <f t="shared" ca="1" si="3968"/>
        <v>0</v>
      </c>
      <c r="U2668" s="1423">
        <f t="shared" ca="1" si="3969"/>
        <v>0</v>
      </c>
      <c r="V2668" s="1423">
        <f t="shared" ca="1" si="3970"/>
        <v>0</v>
      </c>
      <c r="W2668" s="1423">
        <f t="shared" ca="1" si="3971"/>
        <v>0</v>
      </c>
      <c r="X2668" s="202"/>
      <c r="Y2668" s="202"/>
      <c r="Z2668" s="152"/>
      <c r="AA2668" s="152"/>
      <c r="AB2668" s="152"/>
    </row>
    <row r="2669" spans="1:28" hidden="1" outlineLevel="1">
      <c r="A2669" s="199">
        <f t="shared" si="3972"/>
        <v>4</v>
      </c>
      <c r="B2669" s="190" t="str">
        <f t="shared" ca="1" si="3973"/>
        <v>Depreciated Net Capex 2019-20</v>
      </c>
      <c r="C2669" s="1426"/>
      <c r="D2669" s="1426"/>
      <c r="E2669" s="1426"/>
      <c r="F2669" s="1427"/>
      <c r="G2669" s="1428">
        <f>($G2660*((1+G$11)^0.5)/G$10)</f>
        <v>0</v>
      </c>
      <c r="H2669" s="1423">
        <f ca="1">IF(G2693="n/a",G2669,IFERROR(IF((OFFSET($C2669,0,$A2669))&lt;0,
MIN(0,G2669-(OFFSET($C2669,0,$A2669)/(OFFSET($C2664,-$A2668,$A2669)))),
MAX(0,G2669-(OFFSET($C2669,0,$A2669)/(OFFSET($C2664,-$A2668,$A2669))))),0))</f>
        <v>0</v>
      </c>
      <c r="I2669" s="1423">
        <f t="shared" ca="1" si="3957"/>
        <v>0</v>
      </c>
      <c r="J2669" s="1423">
        <f t="shared" ca="1" si="3958"/>
        <v>0</v>
      </c>
      <c r="K2669" s="1423">
        <f t="shared" ca="1" si="3959"/>
        <v>0</v>
      </c>
      <c r="L2669" s="1423">
        <f t="shared" ca="1" si="3960"/>
        <v>0</v>
      </c>
      <c r="M2669" s="1423">
        <f t="shared" ca="1" si="3961"/>
        <v>0</v>
      </c>
      <c r="N2669" s="1423">
        <f t="shared" ca="1" si="3962"/>
        <v>0</v>
      </c>
      <c r="O2669" s="1423">
        <f t="shared" ca="1" si="3963"/>
        <v>0</v>
      </c>
      <c r="P2669" s="1423">
        <f t="shared" ca="1" si="3964"/>
        <v>0</v>
      </c>
      <c r="Q2669" s="1423">
        <f t="shared" ca="1" si="3965"/>
        <v>0</v>
      </c>
      <c r="R2669" s="1423">
        <f t="shared" ca="1" si="3966"/>
        <v>0</v>
      </c>
      <c r="S2669" s="1423">
        <f t="shared" ca="1" si="3967"/>
        <v>0</v>
      </c>
      <c r="T2669" s="1423">
        <f t="shared" ca="1" si="3968"/>
        <v>0</v>
      </c>
      <c r="U2669" s="1423">
        <f t="shared" ca="1" si="3969"/>
        <v>0</v>
      </c>
      <c r="V2669" s="1423">
        <f t="shared" ca="1" si="3970"/>
        <v>0</v>
      </c>
      <c r="W2669" s="1423">
        <f t="shared" ca="1" si="3971"/>
        <v>0</v>
      </c>
      <c r="X2669" s="202"/>
      <c r="Y2669" s="202"/>
      <c r="Z2669" s="202"/>
      <c r="AA2669" s="152"/>
      <c r="AB2669" s="152"/>
    </row>
    <row r="2670" spans="1:28" hidden="1" outlineLevel="1">
      <c r="A2670" s="199">
        <f t="shared" si="3972"/>
        <v>5</v>
      </c>
      <c r="B2670" s="190" t="str">
        <f t="shared" ca="1" si="3973"/>
        <v>Depreciated Net Capex 2020-21</v>
      </c>
      <c r="C2670" s="1426"/>
      <c r="D2670" s="1426"/>
      <c r="E2670" s="1426"/>
      <c r="F2670" s="1426"/>
      <c r="G2670" s="1427"/>
      <c r="H2670" s="1428">
        <f>(H2660*((1+H$11)^0.5)/H$10)</f>
        <v>0</v>
      </c>
      <c r="I2670" s="1423">
        <f ca="1">IF(H2694="n/a",H2670,IFERROR(IF((OFFSET($C2670,0,$A2670))&lt;0,
MIN(0,H2670-(OFFSET($C2670,0,$A2670)/(OFFSET($C2665,-$A2669,$A2670)))),
MAX(0,H2670-(OFFSET($C2670,0,$A2670)/(OFFSET($C2665,-$A2669,$A2670))))),0))</f>
        <v>0</v>
      </c>
      <c r="J2670" s="1423">
        <f t="shared" ca="1" si="3958"/>
        <v>0</v>
      </c>
      <c r="K2670" s="1423">
        <f t="shared" ca="1" si="3959"/>
        <v>0</v>
      </c>
      <c r="L2670" s="1423">
        <f t="shared" ca="1" si="3960"/>
        <v>0</v>
      </c>
      <c r="M2670" s="1423">
        <f t="shared" ca="1" si="3961"/>
        <v>0</v>
      </c>
      <c r="N2670" s="1423">
        <f t="shared" ca="1" si="3962"/>
        <v>0</v>
      </c>
      <c r="O2670" s="1423">
        <f t="shared" ca="1" si="3963"/>
        <v>0</v>
      </c>
      <c r="P2670" s="1423">
        <f t="shared" ca="1" si="3964"/>
        <v>0</v>
      </c>
      <c r="Q2670" s="1423">
        <f t="shared" ca="1" si="3965"/>
        <v>0</v>
      </c>
      <c r="R2670" s="1423">
        <f t="shared" ca="1" si="3966"/>
        <v>0</v>
      </c>
      <c r="S2670" s="1423">
        <f t="shared" ca="1" si="3967"/>
        <v>0</v>
      </c>
      <c r="T2670" s="1423">
        <f t="shared" ca="1" si="3968"/>
        <v>0</v>
      </c>
      <c r="U2670" s="1423">
        <f t="shared" ca="1" si="3969"/>
        <v>0</v>
      </c>
      <c r="V2670" s="1423">
        <f t="shared" ca="1" si="3970"/>
        <v>0</v>
      </c>
      <c r="W2670" s="1423">
        <f t="shared" ca="1" si="3971"/>
        <v>0</v>
      </c>
      <c r="X2670" s="202"/>
      <c r="Y2670" s="202"/>
      <c r="Z2670" s="202"/>
      <c r="AA2670" s="152"/>
      <c r="AB2670" s="152"/>
    </row>
    <row r="2671" spans="1:28" hidden="1" outlineLevel="1">
      <c r="A2671" s="199">
        <f t="shared" si="3972"/>
        <v>6</v>
      </c>
      <c r="B2671" s="190" t="str">
        <f t="shared" ca="1" si="3973"/>
        <v>Depreciated Net Capex 2021-22</v>
      </c>
      <c r="C2671" s="1426"/>
      <c r="D2671" s="1426"/>
      <c r="E2671" s="1426"/>
      <c r="F2671" s="1426"/>
      <c r="G2671" s="1426"/>
      <c r="H2671" s="1427"/>
      <c r="I2671" s="1428">
        <f>(I2660*((1+I$11)^0.5)/I$10)</f>
        <v>0</v>
      </c>
      <c r="J2671" s="1423">
        <f ca="1">IF(I2695="n/a",I2671,IFERROR(IF((OFFSET($C2671,0,$A2671))&lt;0,
MIN(0,I2671-(OFFSET($C2671,0,$A2671)/(OFFSET($C2666,-$A2670,$A2671)))),
MAX(0,I2671-(OFFSET($C2671,0,$A2671)/(OFFSET($C2666,-$A2670,$A2671))))),0))</f>
        <v>0</v>
      </c>
      <c r="K2671" s="1423">
        <f t="shared" ca="1" si="3959"/>
        <v>0</v>
      </c>
      <c r="L2671" s="1423">
        <f t="shared" ca="1" si="3960"/>
        <v>0</v>
      </c>
      <c r="M2671" s="1423">
        <f t="shared" ca="1" si="3961"/>
        <v>0</v>
      </c>
      <c r="N2671" s="1423">
        <f t="shared" ca="1" si="3962"/>
        <v>0</v>
      </c>
      <c r="O2671" s="1423">
        <f t="shared" ca="1" si="3963"/>
        <v>0</v>
      </c>
      <c r="P2671" s="1423">
        <f t="shared" ca="1" si="3964"/>
        <v>0</v>
      </c>
      <c r="Q2671" s="1423">
        <f t="shared" ca="1" si="3965"/>
        <v>0</v>
      </c>
      <c r="R2671" s="1423">
        <f t="shared" ca="1" si="3966"/>
        <v>0</v>
      </c>
      <c r="S2671" s="1423">
        <f t="shared" ca="1" si="3967"/>
        <v>0</v>
      </c>
      <c r="T2671" s="1423">
        <f t="shared" ca="1" si="3968"/>
        <v>0</v>
      </c>
      <c r="U2671" s="1423">
        <f t="shared" ca="1" si="3969"/>
        <v>0</v>
      </c>
      <c r="V2671" s="1423">
        <f t="shared" ca="1" si="3970"/>
        <v>0</v>
      </c>
      <c r="W2671" s="1423">
        <f t="shared" ca="1" si="3971"/>
        <v>0</v>
      </c>
      <c r="X2671" s="202"/>
      <c r="Y2671" s="202"/>
      <c r="Z2671" s="202"/>
      <c r="AA2671" s="152"/>
      <c r="AB2671" s="152"/>
    </row>
    <row r="2672" spans="1:28" hidden="1" outlineLevel="1">
      <c r="A2672" s="199">
        <f t="shared" si="3972"/>
        <v>7</v>
      </c>
      <c r="B2672" s="190" t="str">
        <f t="shared" ca="1" si="3973"/>
        <v>Depreciated Net Capex 2022-23</v>
      </c>
      <c r="C2672" s="1426"/>
      <c r="D2672" s="1426"/>
      <c r="E2672" s="1426"/>
      <c r="F2672" s="1426"/>
      <c r="G2672" s="1426"/>
      <c r="H2672" s="1426"/>
      <c r="I2672" s="1427"/>
      <c r="J2672" s="1428">
        <f>(J2660*((1+J$11)^0.5)/J$10)</f>
        <v>0</v>
      </c>
      <c r="K2672" s="1423">
        <f ca="1">IF(J2696="n/a",J2672,IFERROR(IF((OFFSET($C2672,0,$A2672))&lt;0,
MIN(0,J2672-(OFFSET($C2672,0,$A2672)/(OFFSET($C2667,-$A2671,$A2672)))),
MAX(0,J2672-(OFFSET($C2672,0,$A2672)/(OFFSET($C2667,-$A2671,$A2672))))),0))</f>
        <v>0</v>
      </c>
      <c r="L2672" s="1423">
        <f t="shared" ca="1" si="3960"/>
        <v>0</v>
      </c>
      <c r="M2672" s="1423">
        <f t="shared" ca="1" si="3961"/>
        <v>0</v>
      </c>
      <c r="N2672" s="1423">
        <f t="shared" ca="1" si="3962"/>
        <v>0</v>
      </c>
      <c r="O2672" s="1423">
        <f t="shared" ca="1" si="3963"/>
        <v>0</v>
      </c>
      <c r="P2672" s="1423">
        <f t="shared" ca="1" si="3964"/>
        <v>0</v>
      </c>
      <c r="Q2672" s="1423">
        <f t="shared" ca="1" si="3965"/>
        <v>0</v>
      </c>
      <c r="R2672" s="1423">
        <f t="shared" ca="1" si="3966"/>
        <v>0</v>
      </c>
      <c r="S2672" s="1423">
        <f t="shared" ca="1" si="3967"/>
        <v>0</v>
      </c>
      <c r="T2672" s="1423">
        <f t="shared" ca="1" si="3968"/>
        <v>0</v>
      </c>
      <c r="U2672" s="1423">
        <f t="shared" ca="1" si="3969"/>
        <v>0</v>
      </c>
      <c r="V2672" s="1423">
        <f t="shared" ca="1" si="3970"/>
        <v>0</v>
      </c>
      <c r="W2672" s="1423">
        <f t="shared" ca="1" si="3971"/>
        <v>0</v>
      </c>
      <c r="X2672" s="202"/>
      <c r="Y2672" s="202"/>
      <c r="Z2672" s="202"/>
      <c r="AA2672" s="152"/>
      <c r="AB2672" s="152"/>
    </row>
    <row r="2673" spans="1:28" hidden="1" outlineLevel="1">
      <c r="A2673" s="199">
        <f t="shared" si="3972"/>
        <v>8</v>
      </c>
      <c r="B2673" s="190" t="str">
        <f t="shared" ca="1" si="3973"/>
        <v>Depreciated Net Capex 2023-24</v>
      </c>
      <c r="C2673" s="1426"/>
      <c r="D2673" s="1426"/>
      <c r="E2673" s="1426"/>
      <c r="F2673" s="1426"/>
      <c r="G2673" s="1426"/>
      <c r="H2673" s="1426"/>
      <c r="I2673" s="1426"/>
      <c r="J2673" s="1427"/>
      <c r="K2673" s="1428">
        <f>(K2660*((1+K$11)^0.5)/K$10)</f>
        <v>0</v>
      </c>
      <c r="L2673" s="1423">
        <f ca="1">IF(K2697="n/a",K2673,IFERROR(IF((OFFSET($C2673,0,$A2673))&lt;0,
MIN(0,K2673-(OFFSET($C2673,0,$A2673)/(OFFSET($C2668,-$A2672,$A2673)))),
MAX(0,K2673-(OFFSET($C2673,0,$A2673)/(OFFSET($C2668,-$A2672,$A2673))))),0))</f>
        <v>0</v>
      </c>
      <c r="M2673" s="1423">
        <f t="shared" ca="1" si="3961"/>
        <v>0</v>
      </c>
      <c r="N2673" s="1423">
        <f t="shared" ca="1" si="3962"/>
        <v>0</v>
      </c>
      <c r="O2673" s="1423">
        <f t="shared" ca="1" si="3963"/>
        <v>0</v>
      </c>
      <c r="P2673" s="1423">
        <f t="shared" ca="1" si="3964"/>
        <v>0</v>
      </c>
      <c r="Q2673" s="1423">
        <f t="shared" ca="1" si="3965"/>
        <v>0</v>
      </c>
      <c r="R2673" s="1423">
        <f t="shared" ca="1" si="3966"/>
        <v>0</v>
      </c>
      <c r="S2673" s="1423">
        <f t="shared" ca="1" si="3967"/>
        <v>0</v>
      </c>
      <c r="T2673" s="1423">
        <f t="shared" ca="1" si="3968"/>
        <v>0</v>
      </c>
      <c r="U2673" s="1423">
        <f t="shared" ca="1" si="3969"/>
        <v>0</v>
      </c>
      <c r="V2673" s="1423">
        <f t="shared" ca="1" si="3970"/>
        <v>0</v>
      </c>
      <c r="W2673" s="1423">
        <f t="shared" ca="1" si="3971"/>
        <v>0</v>
      </c>
      <c r="X2673" s="202"/>
      <c r="Y2673" s="202"/>
      <c r="Z2673" s="202"/>
      <c r="AA2673" s="152"/>
      <c r="AB2673" s="152"/>
    </row>
    <row r="2674" spans="1:28" hidden="1" outlineLevel="1">
      <c r="A2674" s="199">
        <f t="shared" si="3972"/>
        <v>9</v>
      </c>
      <c r="B2674" s="190" t="str">
        <f t="shared" ca="1" si="3973"/>
        <v>Depreciated Net Capex 2024-25</v>
      </c>
      <c r="C2674" s="1426"/>
      <c r="D2674" s="1426"/>
      <c r="E2674" s="1426"/>
      <c r="F2674" s="1426"/>
      <c r="G2674" s="1426"/>
      <c r="H2674" s="1426"/>
      <c r="I2674" s="1426"/>
      <c r="J2674" s="1426"/>
      <c r="K2674" s="1427"/>
      <c r="L2674" s="1428">
        <f>(L2660*((1+L$11)^0.5)/L$10)</f>
        <v>0</v>
      </c>
      <c r="M2674" s="1423">
        <f ca="1">IF(L2698="n/a",L2674,IFERROR(IF((OFFSET($C2674,0,$A2674))&lt;0,
MIN(0,L2674-(OFFSET($C2674,0,$A2674)/(OFFSET($C2669,-$A2673,$A2674)))),
MAX(0,L2674-(OFFSET($C2674,0,$A2674)/(OFFSET($C2669,-$A2673,$A2674))))),0))</f>
        <v>0</v>
      </c>
      <c r="N2674" s="1423">
        <f t="shared" ca="1" si="3962"/>
        <v>0</v>
      </c>
      <c r="O2674" s="1423">
        <f t="shared" ca="1" si="3963"/>
        <v>0</v>
      </c>
      <c r="P2674" s="1423">
        <f t="shared" ca="1" si="3964"/>
        <v>0</v>
      </c>
      <c r="Q2674" s="1423">
        <f t="shared" ca="1" si="3965"/>
        <v>0</v>
      </c>
      <c r="R2674" s="1423">
        <f t="shared" ca="1" si="3966"/>
        <v>0</v>
      </c>
      <c r="S2674" s="1423">
        <f t="shared" ca="1" si="3967"/>
        <v>0</v>
      </c>
      <c r="T2674" s="1423">
        <f t="shared" ca="1" si="3968"/>
        <v>0</v>
      </c>
      <c r="U2674" s="1423">
        <f t="shared" ca="1" si="3969"/>
        <v>0</v>
      </c>
      <c r="V2674" s="1423">
        <f t="shared" ca="1" si="3970"/>
        <v>0</v>
      </c>
      <c r="W2674" s="1423">
        <f t="shared" ca="1" si="3971"/>
        <v>0</v>
      </c>
      <c r="X2674" s="202"/>
      <c r="Y2674" s="202"/>
      <c r="Z2674" s="202"/>
      <c r="AA2674" s="152"/>
      <c r="AB2674" s="152"/>
    </row>
    <row r="2675" spans="1:28" hidden="1" outlineLevel="1">
      <c r="A2675" s="199">
        <f t="shared" si="3972"/>
        <v>10</v>
      </c>
      <c r="B2675" s="190" t="str">
        <f t="shared" ca="1" si="3973"/>
        <v>Depreciated Net Capex 2025-26</v>
      </c>
      <c r="C2675" s="1426"/>
      <c r="D2675" s="1426"/>
      <c r="E2675" s="1426"/>
      <c r="F2675" s="1426"/>
      <c r="G2675" s="1426"/>
      <c r="H2675" s="1426"/>
      <c r="I2675" s="1426"/>
      <c r="J2675" s="1426"/>
      <c r="K2675" s="1426"/>
      <c r="L2675" s="1427"/>
      <c r="M2675" s="1428">
        <f>(M2660*((1+M$11)^0.5)/M$10)</f>
        <v>0</v>
      </c>
      <c r="N2675" s="1423">
        <f ca="1">IF(M2699="n/a",M2675,IFERROR(IF((OFFSET($C2675,0,$A2675))&lt;0,
MIN(0,M2675-(OFFSET($C2675,0,$A2675)/(OFFSET($C2670,-$A2674,$A2675)))),
MAX(0,M2675-(OFFSET($C2675,0,$A2675)/(OFFSET($C2670,-$A2674,$A2675))))),0))</f>
        <v>0</v>
      </c>
      <c r="O2675" s="1423">
        <f t="shared" ca="1" si="3963"/>
        <v>0</v>
      </c>
      <c r="P2675" s="1423">
        <f t="shared" ca="1" si="3964"/>
        <v>0</v>
      </c>
      <c r="Q2675" s="1423">
        <f t="shared" ca="1" si="3965"/>
        <v>0</v>
      </c>
      <c r="R2675" s="1423">
        <f t="shared" ca="1" si="3966"/>
        <v>0</v>
      </c>
      <c r="S2675" s="1423">
        <f t="shared" ca="1" si="3967"/>
        <v>0</v>
      </c>
      <c r="T2675" s="1423">
        <f t="shared" ca="1" si="3968"/>
        <v>0</v>
      </c>
      <c r="U2675" s="1423">
        <f t="shared" ca="1" si="3969"/>
        <v>0</v>
      </c>
      <c r="V2675" s="1423">
        <f t="shared" ca="1" si="3970"/>
        <v>0</v>
      </c>
      <c r="W2675" s="1423">
        <f t="shared" ca="1" si="3971"/>
        <v>0</v>
      </c>
      <c r="X2675" s="202"/>
      <c r="Y2675" s="202"/>
      <c r="Z2675" s="202"/>
      <c r="AA2675" s="152"/>
      <c r="AB2675" s="152"/>
    </row>
    <row r="2676" spans="1:28" hidden="1" outlineLevel="1">
      <c r="A2676" s="199">
        <f t="shared" si="3972"/>
        <v>11</v>
      </c>
      <c r="B2676" s="190" t="str">
        <f t="shared" ca="1" si="3973"/>
        <v>Depreciated Net Capex 2026-27</v>
      </c>
      <c r="C2676" s="1426"/>
      <c r="D2676" s="1426"/>
      <c r="E2676" s="1426"/>
      <c r="F2676" s="1426"/>
      <c r="G2676" s="1426"/>
      <c r="H2676" s="1426"/>
      <c r="I2676" s="1426"/>
      <c r="J2676" s="1426"/>
      <c r="K2676" s="1426"/>
      <c r="L2676" s="1426"/>
      <c r="M2676" s="1427"/>
      <c r="N2676" s="1428">
        <f>(N2660*((1+N$11)^0.5)/N$10)</f>
        <v>0</v>
      </c>
      <c r="O2676" s="1423">
        <f ca="1">IF(N2700="n/a",N2676,IFERROR(IF((OFFSET($C2676,0,$A2676))&lt;0,
MIN(0,N2676-(OFFSET($C2676,0,$A2676)/(OFFSET($C2671,-$A2675,$A2676)))),
MAX(0,N2676-(OFFSET($C2676,0,$A2676)/(OFFSET($C2671,-$A2675,$A2676))))),0))</f>
        <v>0</v>
      </c>
      <c r="P2676" s="1423">
        <f t="shared" ca="1" si="3964"/>
        <v>0</v>
      </c>
      <c r="Q2676" s="1423">
        <f t="shared" ca="1" si="3965"/>
        <v>0</v>
      </c>
      <c r="R2676" s="1423">
        <f t="shared" ca="1" si="3966"/>
        <v>0</v>
      </c>
      <c r="S2676" s="1423">
        <f t="shared" ca="1" si="3967"/>
        <v>0</v>
      </c>
      <c r="T2676" s="1423">
        <f t="shared" ca="1" si="3968"/>
        <v>0</v>
      </c>
      <c r="U2676" s="1423">
        <f t="shared" ca="1" si="3969"/>
        <v>0</v>
      </c>
      <c r="V2676" s="1423">
        <f t="shared" ca="1" si="3970"/>
        <v>0</v>
      </c>
      <c r="W2676" s="1423">
        <f t="shared" ca="1" si="3971"/>
        <v>0</v>
      </c>
      <c r="X2676" s="202"/>
      <c r="Y2676" s="202"/>
      <c r="Z2676" s="202"/>
      <c r="AA2676" s="152"/>
      <c r="AB2676" s="152"/>
    </row>
    <row r="2677" spans="1:28" hidden="1" outlineLevel="1">
      <c r="A2677" s="199">
        <f t="shared" si="3972"/>
        <v>12</v>
      </c>
      <c r="B2677" s="190" t="str">
        <f t="shared" ca="1" si="3973"/>
        <v>Depreciated Net Capex 2027-28</v>
      </c>
      <c r="C2677" s="1426"/>
      <c r="D2677" s="1426"/>
      <c r="E2677" s="1426"/>
      <c r="F2677" s="1426"/>
      <c r="G2677" s="1426"/>
      <c r="H2677" s="1426"/>
      <c r="I2677" s="1426"/>
      <c r="J2677" s="1426"/>
      <c r="K2677" s="1426"/>
      <c r="L2677" s="1426"/>
      <c r="M2677" s="1426"/>
      <c r="N2677" s="1427"/>
      <c r="O2677" s="1428">
        <f>(O2660*((1+O$11)^0.5)/O$10)</f>
        <v>0</v>
      </c>
      <c r="P2677" s="1423">
        <f ca="1">IF(O2701="n/a",O2677,IFERROR(IF((OFFSET($C2677,0,$A2677))&lt;0,
MIN(0,O2677-(OFFSET($C2677,0,$A2677)/(OFFSET($C2672,-$A2676,$A2677)))),
MAX(0,O2677-(OFFSET($C2677,0,$A2677)/(OFFSET($C2672,-$A2676,$A2677))))),0))</f>
        <v>0</v>
      </c>
      <c r="Q2677" s="1423">
        <f t="shared" ca="1" si="3965"/>
        <v>0</v>
      </c>
      <c r="R2677" s="1423">
        <f t="shared" ca="1" si="3966"/>
        <v>0</v>
      </c>
      <c r="S2677" s="1423">
        <f t="shared" ca="1" si="3967"/>
        <v>0</v>
      </c>
      <c r="T2677" s="1423">
        <f t="shared" ca="1" si="3968"/>
        <v>0</v>
      </c>
      <c r="U2677" s="1423">
        <f t="shared" ca="1" si="3969"/>
        <v>0</v>
      </c>
      <c r="V2677" s="1423">
        <f t="shared" ca="1" si="3970"/>
        <v>0</v>
      </c>
      <c r="W2677" s="1423">
        <f t="shared" ca="1" si="3971"/>
        <v>0</v>
      </c>
      <c r="X2677" s="202"/>
      <c r="Y2677" s="202"/>
      <c r="Z2677" s="202"/>
      <c r="AA2677" s="152"/>
      <c r="AB2677" s="152"/>
    </row>
    <row r="2678" spans="1:28" hidden="1" outlineLevel="1">
      <c r="A2678" s="199">
        <f t="shared" si="3972"/>
        <v>13</v>
      </c>
      <c r="B2678" s="190" t="str">
        <f t="shared" ca="1" si="3973"/>
        <v>Depreciated Net Capex 2028-29</v>
      </c>
      <c r="C2678" s="1426"/>
      <c r="D2678" s="1426"/>
      <c r="E2678" s="1426"/>
      <c r="F2678" s="1426"/>
      <c r="G2678" s="1426"/>
      <c r="H2678" s="1426"/>
      <c r="I2678" s="1426"/>
      <c r="J2678" s="1426"/>
      <c r="K2678" s="1426"/>
      <c r="L2678" s="1426"/>
      <c r="M2678" s="1426"/>
      <c r="N2678" s="1426"/>
      <c r="O2678" s="1427"/>
      <c r="P2678" s="1428">
        <f>(P2660*((1+P$11)^0.5)/P$10)</f>
        <v>0</v>
      </c>
      <c r="Q2678" s="1423">
        <f ca="1">IF(P2702="n/a",P2678,IFERROR(IF((OFFSET($C2678,0,$A2678))&lt;0,
MIN(0,P2678-(OFFSET($C2678,0,$A2678)/(OFFSET($C2673,-$A2677,$A2678)))),
MAX(0,P2678-(OFFSET($C2678,0,$A2678)/(OFFSET($C2673,-$A2677,$A2678))))),0))</f>
        <v>0</v>
      </c>
      <c r="R2678" s="1423">
        <f t="shared" ca="1" si="3966"/>
        <v>0</v>
      </c>
      <c r="S2678" s="1423">
        <f t="shared" ca="1" si="3967"/>
        <v>0</v>
      </c>
      <c r="T2678" s="1423">
        <f t="shared" ca="1" si="3968"/>
        <v>0</v>
      </c>
      <c r="U2678" s="1423">
        <f t="shared" ca="1" si="3969"/>
        <v>0</v>
      </c>
      <c r="V2678" s="1423">
        <f t="shared" ca="1" si="3970"/>
        <v>0</v>
      </c>
      <c r="W2678" s="1423">
        <f t="shared" ca="1" si="3971"/>
        <v>0</v>
      </c>
      <c r="X2678" s="202"/>
      <c r="Y2678" s="202"/>
      <c r="Z2678" s="202"/>
      <c r="AA2678" s="152"/>
      <c r="AB2678" s="152"/>
    </row>
    <row r="2679" spans="1:28" hidden="1" outlineLevel="1">
      <c r="A2679" s="199">
        <f t="shared" si="3972"/>
        <v>14</v>
      </c>
      <c r="B2679" s="190" t="str">
        <f t="shared" ca="1" si="3973"/>
        <v>Depreciated Net Capex 2029-30</v>
      </c>
      <c r="C2679" s="1426"/>
      <c r="D2679" s="1426"/>
      <c r="E2679" s="1426"/>
      <c r="F2679" s="1426"/>
      <c r="G2679" s="1426"/>
      <c r="H2679" s="1426"/>
      <c r="I2679" s="1426"/>
      <c r="J2679" s="1426"/>
      <c r="K2679" s="1426"/>
      <c r="L2679" s="1426"/>
      <c r="M2679" s="1426"/>
      <c r="N2679" s="1426"/>
      <c r="O2679" s="1426"/>
      <c r="P2679" s="1427"/>
      <c r="Q2679" s="1428">
        <f>(Q2660*((1+Q$11)^0.5)/Q$10)</f>
        <v>0</v>
      </c>
      <c r="R2679" s="1423">
        <f ca="1">IF(Q2703="n/a",Q2679,IFERROR(IF((OFFSET($C2679,0,$A2679))&lt;0,
MIN(0,Q2679-(OFFSET($C2679,0,$A2679)/(OFFSET($C2674,-$A2678,$A2679)))),
MAX(0,Q2679-(OFFSET($C2679,0,$A2679)/(OFFSET($C2674,-$A2678,$A2679))))),0))</f>
        <v>0</v>
      </c>
      <c r="S2679" s="1423">
        <f t="shared" ca="1" si="3967"/>
        <v>0</v>
      </c>
      <c r="T2679" s="1423">
        <f t="shared" ca="1" si="3968"/>
        <v>0</v>
      </c>
      <c r="U2679" s="1423">
        <f t="shared" ca="1" si="3969"/>
        <v>0</v>
      </c>
      <c r="V2679" s="1423">
        <f t="shared" ca="1" si="3970"/>
        <v>0</v>
      </c>
      <c r="W2679" s="1423">
        <f t="shared" ca="1" si="3971"/>
        <v>0</v>
      </c>
      <c r="X2679" s="202"/>
      <c r="Y2679" s="202"/>
      <c r="Z2679" s="202"/>
      <c r="AA2679" s="152"/>
      <c r="AB2679" s="152"/>
    </row>
    <row r="2680" spans="1:28" hidden="1" outlineLevel="1">
      <c r="A2680" s="199">
        <f t="shared" si="3972"/>
        <v>15</v>
      </c>
      <c r="B2680" s="190" t="str">
        <f t="shared" ca="1" si="3973"/>
        <v>Depreciated Net Capex 2030-31</v>
      </c>
      <c r="C2680" s="1426"/>
      <c r="D2680" s="1426"/>
      <c r="E2680" s="1426"/>
      <c r="F2680" s="1426"/>
      <c r="G2680" s="1426"/>
      <c r="H2680" s="1426"/>
      <c r="I2680" s="1426"/>
      <c r="J2680" s="1426"/>
      <c r="K2680" s="1426"/>
      <c r="L2680" s="1426"/>
      <c r="M2680" s="1426"/>
      <c r="N2680" s="1426"/>
      <c r="O2680" s="1426"/>
      <c r="P2680" s="1426"/>
      <c r="Q2680" s="1427"/>
      <c r="R2680" s="1428">
        <f>(R2660*((1+R$11)^0.5)/R$10)</f>
        <v>0</v>
      </c>
      <c r="S2680" s="1423">
        <f ca="1">IF(R2704="n/a",R2680,IFERROR(IF((OFFSET($C2680,0,$A2680))&lt;0,
MIN(0,R2680-(OFFSET($C2680,0,$A2680)/(OFFSET($C2675,-$A2679,$A2680)))),
MAX(0,R2680-(OFFSET($C2680,0,$A2680)/(OFFSET($C2675,-$A2679,$A2680))))),0))</f>
        <v>0</v>
      </c>
      <c r="T2680" s="1423">
        <f t="shared" ca="1" si="3968"/>
        <v>0</v>
      </c>
      <c r="U2680" s="1423">
        <f t="shared" ca="1" si="3969"/>
        <v>0</v>
      </c>
      <c r="V2680" s="1423">
        <f t="shared" ca="1" si="3970"/>
        <v>0</v>
      </c>
      <c r="W2680" s="1423">
        <f t="shared" ca="1" si="3971"/>
        <v>0</v>
      </c>
      <c r="X2680" s="202"/>
      <c r="Y2680" s="202"/>
      <c r="Z2680" s="202"/>
      <c r="AA2680" s="152"/>
      <c r="AB2680" s="152"/>
    </row>
    <row r="2681" spans="1:28" hidden="1" outlineLevel="1">
      <c r="A2681" s="199">
        <f t="shared" si="3972"/>
        <v>16</v>
      </c>
      <c r="B2681" s="190" t="str">
        <f t="shared" ca="1" si="3973"/>
        <v>Depreciated Net Capex 2031-32</v>
      </c>
      <c r="C2681" s="1426"/>
      <c r="D2681" s="1426"/>
      <c r="E2681" s="1426"/>
      <c r="F2681" s="1426"/>
      <c r="G2681" s="1426"/>
      <c r="H2681" s="1426"/>
      <c r="I2681" s="1426"/>
      <c r="J2681" s="1426"/>
      <c r="K2681" s="1426"/>
      <c r="L2681" s="1426"/>
      <c r="M2681" s="1426"/>
      <c r="N2681" s="1426"/>
      <c r="O2681" s="1426"/>
      <c r="P2681" s="1426"/>
      <c r="Q2681" s="1426"/>
      <c r="R2681" s="1427"/>
      <c r="S2681" s="1428">
        <f>(S2660*((1+S$11)^0.5)/S$10)</f>
        <v>0</v>
      </c>
      <c r="T2681" s="1423">
        <f ca="1">IF(S2705="n/a",S2681,IFERROR(IF((OFFSET($C2681,0,$A2681))&lt;0,
MIN(0,S2681-(OFFSET($C2681,0,$A2681)/(OFFSET($C2676,-$A2680,$A2681)))),
MAX(0,S2681-(OFFSET($C2681,0,$A2681)/(OFFSET($C2676,-$A2680,$A2681))))),0))</f>
        <v>0</v>
      </c>
      <c r="U2681" s="1423">
        <f t="shared" ca="1" si="3969"/>
        <v>0</v>
      </c>
      <c r="V2681" s="1423">
        <f t="shared" ca="1" si="3970"/>
        <v>0</v>
      </c>
      <c r="W2681" s="1423">
        <f t="shared" ca="1" si="3971"/>
        <v>0</v>
      </c>
      <c r="X2681" s="202"/>
      <c r="Y2681" s="202"/>
      <c r="Z2681" s="202"/>
      <c r="AA2681" s="152"/>
      <c r="AB2681" s="152"/>
    </row>
    <row r="2682" spans="1:28" hidden="1" outlineLevel="1">
      <c r="A2682" s="199">
        <f t="shared" si="3972"/>
        <v>17</v>
      </c>
      <c r="B2682" s="190" t="str">
        <f t="shared" ca="1" si="3973"/>
        <v>Depreciated Net Capex 2032-33</v>
      </c>
      <c r="C2682" s="1426"/>
      <c r="D2682" s="1426"/>
      <c r="E2682" s="1426"/>
      <c r="F2682" s="1426"/>
      <c r="G2682" s="1426"/>
      <c r="H2682" s="1426"/>
      <c r="I2682" s="1426"/>
      <c r="J2682" s="1426"/>
      <c r="K2682" s="1426"/>
      <c r="L2682" s="1426"/>
      <c r="M2682" s="1426"/>
      <c r="N2682" s="1426"/>
      <c r="O2682" s="1426"/>
      <c r="P2682" s="1426"/>
      <c r="Q2682" s="1426"/>
      <c r="R2682" s="1426"/>
      <c r="S2682" s="1427"/>
      <c r="T2682" s="1428">
        <f>(T2660*((1+T$11)^0.5)/T$10)</f>
        <v>0</v>
      </c>
      <c r="U2682" s="1423">
        <f ca="1">IF(T2706="n/a",T2682,IFERROR(IF((OFFSET($C2682,0,$A2682))&lt;0,
MIN(0,T2682-(OFFSET($C2682,0,$A2682)/(OFFSET($C2677,-$A2681,$A2682)))),
MAX(0,T2682-(OFFSET($C2682,0,$A2682)/(OFFSET($C2677,-$A2681,$A2682))))),0))</f>
        <v>0</v>
      </c>
      <c r="V2682" s="1423">
        <f t="shared" ca="1" si="3970"/>
        <v>0</v>
      </c>
      <c r="W2682" s="1423">
        <f t="shared" ca="1" si="3971"/>
        <v>0</v>
      </c>
      <c r="X2682" s="202"/>
      <c r="Y2682" s="202"/>
      <c r="Z2682" s="202"/>
      <c r="AA2682" s="152"/>
      <c r="AB2682" s="152"/>
    </row>
    <row r="2683" spans="1:28" hidden="1" outlineLevel="1">
      <c r="A2683" s="199">
        <f t="shared" si="3972"/>
        <v>18</v>
      </c>
      <c r="B2683" s="190" t="str">
        <f t="shared" ca="1" si="3973"/>
        <v>Depreciated Net Capex 2033-34</v>
      </c>
      <c r="C2683" s="1426"/>
      <c r="D2683" s="1426"/>
      <c r="E2683" s="1426"/>
      <c r="F2683" s="1426"/>
      <c r="G2683" s="1426"/>
      <c r="H2683" s="1426"/>
      <c r="I2683" s="1426"/>
      <c r="J2683" s="1426"/>
      <c r="K2683" s="1426"/>
      <c r="L2683" s="1426"/>
      <c r="M2683" s="1426"/>
      <c r="N2683" s="1426"/>
      <c r="O2683" s="1426"/>
      <c r="P2683" s="1426"/>
      <c r="Q2683" s="1426"/>
      <c r="R2683" s="1426"/>
      <c r="S2683" s="1426"/>
      <c r="T2683" s="1427"/>
      <c r="U2683" s="1428">
        <f>(U2660*((1+U$11)^0.5)/U$10)</f>
        <v>0</v>
      </c>
      <c r="V2683" s="1423">
        <f ca="1">IF(U2707="n/a",U2683,IFERROR(IF((OFFSET($C2683,0,$A2683))&lt;0,
MIN(0,U2683-(OFFSET($C2683,0,$A2683)/(OFFSET($C2678,-$A2682,$A2683)))),
MAX(0,U2683-(OFFSET($C2683,0,$A2683)/(OFFSET($C2678,-$A2682,$A2683))))),0))</f>
        <v>0</v>
      </c>
      <c r="W2683" s="1423">
        <f t="shared" ca="1" si="3971"/>
        <v>0</v>
      </c>
      <c r="X2683" s="202"/>
      <c r="Y2683" s="202"/>
      <c r="Z2683" s="202"/>
      <c r="AA2683" s="152"/>
      <c r="AB2683" s="152"/>
    </row>
    <row r="2684" spans="1:28" hidden="1" outlineLevel="1">
      <c r="A2684" s="199">
        <f t="shared" si="3972"/>
        <v>19</v>
      </c>
      <c r="B2684" s="190" t="str">
        <f t="shared" ca="1" si="3973"/>
        <v>Depreciated Net Capex 2034-35</v>
      </c>
      <c r="C2684" s="1426"/>
      <c r="D2684" s="1426"/>
      <c r="E2684" s="1426"/>
      <c r="F2684" s="1426"/>
      <c r="G2684" s="1426"/>
      <c r="H2684" s="1426"/>
      <c r="I2684" s="1426"/>
      <c r="J2684" s="1426"/>
      <c r="K2684" s="1426"/>
      <c r="L2684" s="1426"/>
      <c r="M2684" s="1426"/>
      <c r="N2684" s="1426"/>
      <c r="O2684" s="1426"/>
      <c r="P2684" s="1426"/>
      <c r="Q2684" s="1426"/>
      <c r="R2684" s="1426"/>
      <c r="S2684" s="1426"/>
      <c r="T2684" s="1426"/>
      <c r="U2684" s="1427"/>
      <c r="V2684" s="1428">
        <f>(V2660*((1+V$11)^0.5)/V$10)</f>
        <v>0</v>
      </c>
      <c r="W2684" s="1423">
        <f ca="1">IF(V2708="n/a",V2684,IFERROR(IF((OFFSET($C2684,0,$A2684))&lt;0,
MIN(0,V2684-(OFFSET($C2684,0,$A2684)/(OFFSET($C2679,-$A2683,$A2684)))),
MAX(0,V2684-(OFFSET($C2684,0,$A2684)/(OFFSET($C2679,-$A2683,$A2684))))),0))</f>
        <v>0</v>
      </c>
      <c r="X2684" s="202"/>
      <c r="Y2684" s="202"/>
      <c r="Z2684" s="202"/>
      <c r="AA2684" s="152"/>
      <c r="AB2684" s="152"/>
    </row>
    <row r="2685" spans="1:28" hidden="1" outlineLevel="1">
      <c r="A2685" s="199">
        <f t="shared" si="3972"/>
        <v>20</v>
      </c>
      <c r="B2685" s="190" t="str">
        <f ca="1">"Depreciated Net Capex "&amp;OFFSET($C$6,0,A2685)</f>
        <v>Depreciated Net Capex 2035-36</v>
      </c>
      <c r="C2685" s="1426"/>
      <c r="D2685" s="1426"/>
      <c r="E2685" s="1426"/>
      <c r="F2685" s="1426"/>
      <c r="G2685" s="1426"/>
      <c r="H2685" s="1426"/>
      <c r="I2685" s="1426"/>
      <c r="J2685" s="1426"/>
      <c r="K2685" s="1426"/>
      <c r="L2685" s="1426"/>
      <c r="M2685" s="1426"/>
      <c r="N2685" s="1426"/>
      <c r="O2685" s="1426"/>
      <c r="P2685" s="1426"/>
      <c r="Q2685" s="1426"/>
      <c r="R2685" s="1426"/>
      <c r="S2685" s="1426"/>
      <c r="T2685" s="1426"/>
      <c r="U2685" s="1426"/>
      <c r="V2685" s="1427"/>
      <c r="W2685" s="1423">
        <f>(W2660*((1+W$11)^0.5)/W$10)</f>
        <v>0</v>
      </c>
      <c r="X2685" s="152"/>
      <c r="Y2685" s="152"/>
      <c r="Z2685" s="152"/>
      <c r="AA2685" s="152"/>
      <c r="AB2685" s="152"/>
    </row>
    <row r="2686" spans="1:28" hidden="1" outlineLevel="1">
      <c r="A2686" s="152"/>
      <c r="B2686" s="200"/>
      <c r="C2686" s="1423"/>
      <c r="D2686" s="1423"/>
      <c r="E2686" s="1423"/>
      <c r="F2686" s="1423"/>
      <c r="G2686" s="1423"/>
      <c r="H2686" s="1423"/>
      <c r="I2686" s="1423"/>
      <c r="J2686" s="1423"/>
      <c r="K2686" s="1423"/>
      <c r="L2686" s="1423"/>
      <c r="M2686" s="1423"/>
      <c r="N2686" s="1423"/>
      <c r="O2686" s="1423"/>
      <c r="P2686" s="1423"/>
      <c r="Q2686" s="1423"/>
      <c r="R2686" s="1423"/>
      <c r="S2686" s="1423"/>
      <c r="T2686" s="1423"/>
      <c r="U2686" s="1423"/>
      <c r="V2686" s="1423"/>
      <c r="W2686" s="1423"/>
      <c r="X2686" s="152"/>
      <c r="Y2686" s="152"/>
      <c r="Z2686" s="152"/>
      <c r="AA2686" s="152"/>
      <c r="AB2686" s="152"/>
    </row>
    <row r="2687" spans="1:28" hidden="1" outlineLevel="1">
      <c r="A2687" s="152"/>
      <c r="B2687" s="200"/>
      <c r="C2687" s="1423"/>
      <c r="D2687" s="1423"/>
      <c r="E2687" s="1423"/>
      <c r="F2687" s="1423"/>
      <c r="G2687" s="1423"/>
      <c r="H2687" s="1423"/>
      <c r="I2687" s="1423"/>
      <c r="J2687" s="1423"/>
      <c r="K2687" s="1423"/>
      <c r="L2687" s="1423"/>
      <c r="M2687" s="1423"/>
      <c r="N2687" s="1423"/>
      <c r="O2687" s="1423"/>
      <c r="P2687" s="1423"/>
      <c r="Q2687" s="1423"/>
      <c r="R2687" s="1423"/>
      <c r="S2687" s="1423"/>
      <c r="T2687" s="1423"/>
      <c r="U2687" s="1423"/>
      <c r="V2687" s="1423"/>
      <c r="W2687" s="1423"/>
      <c r="X2687" s="152"/>
      <c r="Y2687" s="152"/>
      <c r="Z2687" s="152"/>
      <c r="AA2687" s="152"/>
      <c r="AB2687" s="152"/>
    </row>
    <row r="2688" spans="1:28" hidden="1" outlineLevel="1">
      <c r="A2688" s="152"/>
      <c r="B2688" s="190" t="s">
        <v>190</v>
      </c>
      <c r="C2688" s="1423"/>
      <c r="D2688" s="1423">
        <f ca="1">IF(AND(C2688&lt;1,D2662=0),0,
IF(D2662=0,C2688-1,
IF(C2688&lt;1,D2663,
(((C2688-1)*(C2664-(C2664/(C2688))))+((D2662/D$10)*D2663))/(D2664))))</f>
        <v>0</v>
      </c>
      <c r="E2688" s="1423">
        <f t="shared" ref="E2688" ca="1" si="3974">IF(AND(D2688&lt;1,E2662=0),0,
IF(E2662=0,D2688-1,
IF(D2688&lt;1,E2663,
(((D2688-1)*(D2664-(D2664/(D2688))))+((E2662/E$10)*E2663))/(E2664))))</f>
        <v>0</v>
      </c>
      <c r="F2688" s="1423">
        <f t="shared" ref="F2688" ca="1" si="3975">IF(AND(E2688&lt;1,F2662=0),0,
IF(F2662=0,E2688-1,
IF(E2688&lt;1,F2663,
(((E2688-1)*(E2664-(E2664/(E2688))))+((F2662/F$10)*F2663))/(F2664))))</f>
        <v>0</v>
      </c>
      <c r="G2688" s="1423">
        <f t="shared" ref="G2688" ca="1" si="3976">IF(AND(F2688&lt;1,G2662=0),0,
IF(G2662=0,F2688-1,
IF(F2688&lt;1,G2663,
(((F2688-1)*(F2664-(F2664/(F2688))))+((G2662/G$10)*G2663))/(G2664))))</f>
        <v>0</v>
      </c>
      <c r="H2688" s="1423">
        <f t="shared" ref="H2688" ca="1" si="3977">IF(AND(G2688&lt;1,H2662=0),0,
IF(H2662=0,G2688-1,
IF(G2688&lt;1,H2663,
(((G2688-1)*(G2664-(G2664/(G2688))))+((H2662/H$10)*H2663))/(H2664))))</f>
        <v>0</v>
      </c>
      <c r="I2688" s="1423">
        <f t="shared" ref="I2688" ca="1" si="3978">IF(AND(H2688&lt;1,I2662=0),0,
IF(I2662=0,H2688-1,
IF(H2688&lt;1,I2663,
(((H2688-1)*(H2664-(H2664/(H2688))))+((I2662/I$10)*I2663))/(I2664))))</f>
        <v>0</v>
      </c>
      <c r="J2688" s="1423">
        <f t="shared" ref="J2688" ca="1" si="3979">IF(AND(I2688&lt;1,J2662=0),0,
IF(J2662=0,I2688-1,
IF(I2688&lt;1,J2663,
(((I2688-1)*(I2664-(I2664/(I2688))))+((J2662/J$10)*J2663))/(J2664))))</f>
        <v>0</v>
      </c>
      <c r="K2688" s="1423">
        <f t="shared" ref="K2688" ca="1" si="3980">IF(AND(J2688&lt;1,K2662=0),0,
IF(K2662=0,J2688-1,
IF(J2688&lt;1,K2663,
(((J2688-1)*(J2664-(J2664/(J2688))))+((K2662/K$10)*K2663))/(K2664))))</f>
        <v>0</v>
      </c>
      <c r="L2688" s="1423">
        <f t="shared" ref="L2688" ca="1" si="3981">IF(AND(K2688&lt;1,L2662=0),0,
IF(L2662=0,K2688-1,
IF(K2688&lt;1,L2663,
(((K2688-1)*(K2664-(K2664/(K2688))))+((L2662/L$10)*L2663))/(L2664))))</f>
        <v>0</v>
      </c>
      <c r="M2688" s="1423">
        <f t="shared" ref="M2688" ca="1" si="3982">IF(AND(L2688&lt;1,M2662=0),0,
IF(M2662=0,L2688-1,
IF(L2688&lt;1,M2663,
(((L2688-1)*(L2664-(L2664/(L2688))))+((M2662/M$10)*M2663))/(M2664))))</f>
        <v>0</v>
      </c>
      <c r="N2688" s="1423">
        <f t="shared" ref="N2688" ca="1" si="3983">IF(AND(M2688&lt;1,N2662=0),0,
IF(N2662=0,M2688-1,
IF(M2688&lt;1,N2663,
(((M2688-1)*(M2664-(M2664/(M2688))))+((N2662/N$10)*N2663))/(N2664))))</f>
        <v>0</v>
      </c>
      <c r="O2688" s="1423">
        <f t="shared" ref="O2688" ca="1" si="3984">IF(AND(N2688&lt;1,O2662=0),0,
IF(O2662=0,N2688-1,
IF(N2688&lt;1,O2663,
(((N2688-1)*(N2664-(N2664/(N2688))))+((O2662/O$10)*O2663))/(O2664))))</f>
        <v>0</v>
      </c>
      <c r="P2688" s="1423">
        <f t="shared" ref="P2688" ca="1" si="3985">IF(AND(O2688&lt;1,P2662=0),0,
IF(P2662=0,O2688-1,
IF(O2688&lt;1,P2663,
(((O2688-1)*(O2664-(O2664/(O2688))))+((P2662/P$10)*P2663))/(P2664))))</f>
        <v>0</v>
      </c>
      <c r="Q2688" s="1423">
        <f t="shared" ref="Q2688" ca="1" si="3986">IF(AND(P2688&lt;1,Q2662=0),0,
IF(Q2662=0,P2688-1,
IF(P2688&lt;1,Q2663,
(((P2688-1)*(P2664-(P2664/(P2688))))+((Q2662/Q$10)*Q2663))/(Q2664))))</f>
        <v>0</v>
      </c>
      <c r="R2688" s="1423">
        <f t="shared" ref="R2688" ca="1" si="3987">IF(AND(Q2688&lt;1,R2662=0),0,
IF(R2662=0,Q2688-1,
IF(Q2688&lt;1,R2663,
(((Q2688-1)*(Q2664-(Q2664/(Q2688))))+((R2662/R$10)*R2663))/(R2664))))</f>
        <v>0</v>
      </c>
      <c r="S2688" s="1423">
        <f t="shared" ref="S2688" ca="1" si="3988">IF(AND(R2688&lt;1,S2662=0),0,
IF(S2662=0,R2688-1,
IF(R2688&lt;1,S2663,
(((R2688-1)*(R2664-(R2664/(R2688))))+((S2662/S$10)*S2663))/(S2664))))</f>
        <v>0</v>
      </c>
      <c r="T2688" s="1423">
        <f t="shared" ref="T2688" ca="1" si="3989">IF(AND(S2688&lt;1,T2662=0),0,
IF(T2662=0,S2688-1,
IF(S2688&lt;1,T2663,
(((S2688-1)*(S2664-(S2664/(S2688))))+((T2662/T$10)*T2663))/(T2664))))</f>
        <v>0</v>
      </c>
      <c r="U2688" s="1423">
        <f t="shared" ref="U2688" ca="1" si="3990">IF(AND(T2688&lt;1,U2662=0),0,
IF(U2662=0,T2688-1,
IF(T2688&lt;1,U2663,
(((T2688-1)*(T2664-(T2664/(T2688))))+((U2662/U$10)*U2663))/(U2664))))</f>
        <v>0</v>
      </c>
      <c r="V2688" s="1423">
        <f t="shared" ref="V2688" ca="1" si="3991">IF(AND(U2688&lt;1,V2662=0),0,
IF(V2662=0,U2688-1,
IF(U2688&lt;1,V2663,
(((U2688-1)*(U2664-(U2664/(U2688))))+((V2662/V$10)*V2663))/(V2664))))</f>
        <v>0</v>
      </c>
      <c r="W2688" s="1423">
        <f t="shared" ref="W2688" ca="1" si="3992">IF(AND(V2688&lt;1,W2662=0),0,
IF(W2662=0,V2688-1,
IF(V2688&lt;1,W2663,
(((V2688-1)*(V2664-(V2664/(V2688))))+((W2662/W$10)*W2663))/(W2664))))</f>
        <v>0</v>
      </c>
      <c r="X2688" s="152"/>
      <c r="Y2688" s="152"/>
      <c r="Z2688" s="152"/>
      <c r="AA2688" s="152"/>
      <c r="AB2688" s="152"/>
    </row>
    <row r="2689" spans="1:28" hidden="1" outlineLevel="1">
      <c r="A2689" s="152"/>
      <c r="B2689" s="190" t="s">
        <v>122</v>
      </c>
      <c r="C2689" s="1423">
        <f ca="1">C2661</f>
        <v>0</v>
      </c>
      <c r="D2689" s="1423">
        <f t="shared" ref="D2689" ca="1" si="3993">IF(C2689="n/a","n/a",MAX(0,C2689-1))</f>
        <v>0</v>
      </c>
      <c r="E2689" s="1423">
        <f t="shared" ref="E2689:E2690" ca="1" si="3994">IF(D2689="n/a","n/a",MAX(0,D2689-1))</f>
        <v>0</v>
      </c>
      <c r="F2689" s="1423">
        <f t="shared" ref="F2689:F2691" ca="1" si="3995">IF(E2689="n/a","n/a",MAX(0,E2689-1))</f>
        <v>0</v>
      </c>
      <c r="G2689" s="1423">
        <f t="shared" ref="G2689:G2692" ca="1" si="3996">IF(F2689="n/a","n/a",MAX(0,F2689-1))</f>
        <v>0</v>
      </c>
      <c r="H2689" s="1423">
        <f t="shared" ref="H2689:H2693" ca="1" si="3997">IF(G2689="n/a","n/a",MAX(0,G2689-1))</f>
        <v>0</v>
      </c>
      <c r="I2689" s="1423">
        <f t="shared" ref="I2689:I2694" ca="1" si="3998">IF(H2689="n/a","n/a",MAX(0,H2689-1))</f>
        <v>0</v>
      </c>
      <c r="J2689" s="1423">
        <f t="shared" ref="J2689:J2695" ca="1" si="3999">IF(I2689="n/a","n/a",MAX(0,I2689-1))</f>
        <v>0</v>
      </c>
      <c r="K2689" s="1423">
        <f t="shared" ref="K2689:K2696" ca="1" si="4000">IF(J2689="n/a","n/a",MAX(0,J2689-1))</f>
        <v>0</v>
      </c>
      <c r="L2689" s="1423">
        <f t="shared" ref="L2689:L2697" ca="1" si="4001">IF(K2689="n/a","n/a",MAX(0,K2689-1))</f>
        <v>0</v>
      </c>
      <c r="M2689" s="1423">
        <f t="shared" ref="M2689:M2698" ca="1" si="4002">IF(L2689="n/a","n/a",MAX(0,L2689-1))</f>
        <v>0</v>
      </c>
      <c r="N2689" s="1423">
        <f t="shared" ref="N2689:N2699" ca="1" si="4003">IF(M2689="n/a","n/a",MAX(0,M2689-1))</f>
        <v>0</v>
      </c>
      <c r="O2689" s="1423">
        <f t="shared" ref="O2689:O2700" ca="1" si="4004">IF(N2689="n/a","n/a",MAX(0,N2689-1))</f>
        <v>0</v>
      </c>
      <c r="P2689" s="1423">
        <f t="shared" ref="P2689:P2701" ca="1" si="4005">IF(O2689="n/a","n/a",MAX(0,O2689-1))</f>
        <v>0</v>
      </c>
      <c r="Q2689" s="1423">
        <f t="shared" ref="Q2689:Q2702" ca="1" si="4006">IF(P2689="n/a","n/a",MAX(0,P2689-1))</f>
        <v>0</v>
      </c>
      <c r="R2689" s="1423">
        <f t="shared" ref="R2689:R2703" ca="1" si="4007">IF(Q2689="n/a","n/a",MAX(0,Q2689-1))</f>
        <v>0</v>
      </c>
      <c r="S2689" s="1423">
        <f t="shared" ref="S2689:S2704" ca="1" si="4008">IF(R2689="n/a","n/a",MAX(0,R2689-1))</f>
        <v>0</v>
      </c>
      <c r="T2689" s="1423">
        <f t="shared" ref="T2689:T2705" ca="1" si="4009">IF(S2689="n/a","n/a",MAX(0,S2689-1))</f>
        <v>0</v>
      </c>
      <c r="U2689" s="1423">
        <f t="shared" ref="U2689:U2706" ca="1" si="4010">IF(T2689="n/a","n/a",MAX(0,T2689-1))</f>
        <v>0</v>
      </c>
      <c r="V2689" s="1423">
        <f t="shared" ref="V2689:V2707" ca="1" si="4011">IF(U2689="n/a","n/a",MAX(0,U2689-1))</f>
        <v>0</v>
      </c>
      <c r="W2689" s="1423">
        <f t="shared" ref="W2689:W2707" ca="1" si="4012">IF(V2689="n/a","n/a",MAX(0,V2689-1))</f>
        <v>0</v>
      </c>
      <c r="X2689" s="152"/>
      <c r="Y2689" s="152"/>
      <c r="Z2689" s="152"/>
      <c r="AA2689" s="152"/>
      <c r="AB2689" s="152"/>
    </row>
    <row r="2690" spans="1:28" hidden="1" outlineLevel="1">
      <c r="A2690" s="152"/>
      <c r="B2690" s="190" t="str">
        <f t="shared" ref="B2690:B2709" ca="1" si="4013">"RL Capex "&amp;OFFSET($C$6,0,A2666)</f>
        <v>RL Capex 2016-17</v>
      </c>
      <c r="C2690" s="1424"/>
      <c r="D2690" s="1428">
        <f>D2661</f>
        <v>0</v>
      </c>
      <c r="E2690" s="1423">
        <f t="shared" si="3994"/>
        <v>0</v>
      </c>
      <c r="F2690" s="1423">
        <f t="shared" si="3995"/>
        <v>0</v>
      </c>
      <c r="G2690" s="1423">
        <f t="shared" si="3996"/>
        <v>0</v>
      </c>
      <c r="H2690" s="1423">
        <f t="shared" si="3997"/>
        <v>0</v>
      </c>
      <c r="I2690" s="1423">
        <f t="shared" si="3998"/>
        <v>0</v>
      </c>
      <c r="J2690" s="1423">
        <f t="shared" si="3999"/>
        <v>0</v>
      </c>
      <c r="K2690" s="1423">
        <f t="shared" si="4000"/>
        <v>0</v>
      </c>
      <c r="L2690" s="1423">
        <f t="shared" si="4001"/>
        <v>0</v>
      </c>
      <c r="M2690" s="1423">
        <f t="shared" si="4002"/>
        <v>0</v>
      </c>
      <c r="N2690" s="1423">
        <f t="shared" si="4003"/>
        <v>0</v>
      </c>
      <c r="O2690" s="1423">
        <f t="shared" si="4004"/>
        <v>0</v>
      </c>
      <c r="P2690" s="1423">
        <f t="shared" si="4005"/>
        <v>0</v>
      </c>
      <c r="Q2690" s="1423">
        <f t="shared" si="4006"/>
        <v>0</v>
      </c>
      <c r="R2690" s="1423">
        <f t="shared" si="4007"/>
        <v>0</v>
      </c>
      <c r="S2690" s="1423">
        <f t="shared" si="4008"/>
        <v>0</v>
      </c>
      <c r="T2690" s="1423">
        <f t="shared" si="4009"/>
        <v>0</v>
      </c>
      <c r="U2690" s="1423">
        <f t="shared" si="4010"/>
        <v>0</v>
      </c>
      <c r="V2690" s="1423">
        <f t="shared" si="4011"/>
        <v>0</v>
      </c>
      <c r="W2690" s="1423">
        <f t="shared" si="4012"/>
        <v>0</v>
      </c>
      <c r="X2690" s="152"/>
      <c r="Y2690" s="152"/>
      <c r="Z2690" s="152"/>
      <c r="AA2690" s="152"/>
      <c r="AB2690" s="152"/>
    </row>
    <row r="2691" spans="1:28" hidden="1" outlineLevel="1">
      <c r="A2691" s="152"/>
      <c r="B2691" s="190" t="str">
        <f t="shared" ca="1" si="4013"/>
        <v>RL Capex 2017-18</v>
      </c>
      <c r="C2691" s="1429"/>
      <c r="D2691" s="1424"/>
      <c r="E2691" s="1428">
        <f>E2661</f>
        <v>0</v>
      </c>
      <c r="F2691" s="1423">
        <f t="shared" si="3995"/>
        <v>0</v>
      </c>
      <c r="G2691" s="1423">
        <f t="shared" si="3996"/>
        <v>0</v>
      </c>
      <c r="H2691" s="1423">
        <f t="shared" si="3997"/>
        <v>0</v>
      </c>
      <c r="I2691" s="1423">
        <f t="shared" si="3998"/>
        <v>0</v>
      </c>
      <c r="J2691" s="1423">
        <f t="shared" si="3999"/>
        <v>0</v>
      </c>
      <c r="K2691" s="1423">
        <f t="shared" si="4000"/>
        <v>0</v>
      </c>
      <c r="L2691" s="1423">
        <f t="shared" si="4001"/>
        <v>0</v>
      </c>
      <c r="M2691" s="1423">
        <f t="shared" si="4002"/>
        <v>0</v>
      </c>
      <c r="N2691" s="1423">
        <f t="shared" si="4003"/>
        <v>0</v>
      </c>
      <c r="O2691" s="1423">
        <f t="shared" si="4004"/>
        <v>0</v>
      </c>
      <c r="P2691" s="1423">
        <f t="shared" si="4005"/>
        <v>0</v>
      </c>
      <c r="Q2691" s="1423">
        <f t="shared" si="4006"/>
        <v>0</v>
      </c>
      <c r="R2691" s="1423">
        <f t="shared" si="4007"/>
        <v>0</v>
      </c>
      <c r="S2691" s="1423">
        <f t="shared" si="4008"/>
        <v>0</v>
      </c>
      <c r="T2691" s="1423">
        <f t="shared" si="4009"/>
        <v>0</v>
      </c>
      <c r="U2691" s="1423">
        <f t="shared" si="4010"/>
        <v>0</v>
      </c>
      <c r="V2691" s="1423">
        <f t="shared" si="4011"/>
        <v>0</v>
      </c>
      <c r="W2691" s="1423">
        <f t="shared" si="4012"/>
        <v>0</v>
      </c>
      <c r="X2691" s="152"/>
      <c r="Y2691" s="152"/>
      <c r="Z2691" s="152"/>
      <c r="AA2691" s="152"/>
      <c r="AB2691" s="152"/>
    </row>
    <row r="2692" spans="1:28" hidden="1" outlineLevel="1">
      <c r="A2692" s="152"/>
      <c r="B2692" s="190" t="str">
        <f t="shared" ca="1" si="4013"/>
        <v>RL Capex 2018-19</v>
      </c>
      <c r="C2692" s="1429"/>
      <c r="D2692" s="1429"/>
      <c r="E2692" s="1424"/>
      <c r="F2692" s="1428">
        <f>F2661</f>
        <v>0</v>
      </c>
      <c r="G2692" s="1423">
        <f t="shared" si="3996"/>
        <v>0</v>
      </c>
      <c r="H2692" s="1423">
        <f t="shared" si="3997"/>
        <v>0</v>
      </c>
      <c r="I2692" s="1423">
        <f t="shared" si="3998"/>
        <v>0</v>
      </c>
      <c r="J2692" s="1423">
        <f t="shared" si="3999"/>
        <v>0</v>
      </c>
      <c r="K2692" s="1423">
        <f t="shared" si="4000"/>
        <v>0</v>
      </c>
      <c r="L2692" s="1423">
        <f t="shared" si="4001"/>
        <v>0</v>
      </c>
      <c r="M2692" s="1423">
        <f t="shared" si="4002"/>
        <v>0</v>
      </c>
      <c r="N2692" s="1423">
        <f t="shared" si="4003"/>
        <v>0</v>
      </c>
      <c r="O2692" s="1423">
        <f t="shared" si="4004"/>
        <v>0</v>
      </c>
      <c r="P2692" s="1423">
        <f t="shared" si="4005"/>
        <v>0</v>
      </c>
      <c r="Q2692" s="1423">
        <f t="shared" si="4006"/>
        <v>0</v>
      </c>
      <c r="R2692" s="1423">
        <f t="shared" si="4007"/>
        <v>0</v>
      </c>
      <c r="S2692" s="1423">
        <f t="shared" si="4008"/>
        <v>0</v>
      </c>
      <c r="T2692" s="1423">
        <f t="shared" si="4009"/>
        <v>0</v>
      </c>
      <c r="U2692" s="1423">
        <f t="shared" si="4010"/>
        <v>0</v>
      </c>
      <c r="V2692" s="1423">
        <f t="shared" si="4011"/>
        <v>0</v>
      </c>
      <c r="W2692" s="1423">
        <f t="shared" si="4012"/>
        <v>0</v>
      </c>
      <c r="X2692" s="152"/>
      <c r="Y2692" s="152"/>
      <c r="Z2692" s="152"/>
      <c r="AA2692" s="152"/>
      <c r="AB2692" s="152"/>
    </row>
    <row r="2693" spans="1:28" hidden="1" outlineLevel="1">
      <c r="A2693" s="152"/>
      <c r="B2693" s="190" t="str">
        <f t="shared" ca="1" si="4013"/>
        <v>RL Capex 2019-20</v>
      </c>
      <c r="C2693" s="1429"/>
      <c r="D2693" s="1429"/>
      <c r="E2693" s="1429"/>
      <c r="F2693" s="1424"/>
      <c r="G2693" s="1428">
        <f>G2661</f>
        <v>0</v>
      </c>
      <c r="H2693" s="1423">
        <f t="shared" si="3997"/>
        <v>0</v>
      </c>
      <c r="I2693" s="1423">
        <f t="shared" si="3998"/>
        <v>0</v>
      </c>
      <c r="J2693" s="1423">
        <f t="shared" si="3999"/>
        <v>0</v>
      </c>
      <c r="K2693" s="1423">
        <f t="shared" si="4000"/>
        <v>0</v>
      </c>
      <c r="L2693" s="1423">
        <f t="shared" si="4001"/>
        <v>0</v>
      </c>
      <c r="M2693" s="1423">
        <f t="shared" si="4002"/>
        <v>0</v>
      </c>
      <c r="N2693" s="1423">
        <f t="shared" si="4003"/>
        <v>0</v>
      </c>
      <c r="O2693" s="1423">
        <f t="shared" si="4004"/>
        <v>0</v>
      </c>
      <c r="P2693" s="1423">
        <f t="shared" si="4005"/>
        <v>0</v>
      </c>
      <c r="Q2693" s="1423">
        <f t="shared" si="4006"/>
        <v>0</v>
      </c>
      <c r="R2693" s="1423">
        <f t="shared" si="4007"/>
        <v>0</v>
      </c>
      <c r="S2693" s="1423">
        <f t="shared" si="4008"/>
        <v>0</v>
      </c>
      <c r="T2693" s="1423">
        <f t="shared" si="4009"/>
        <v>0</v>
      </c>
      <c r="U2693" s="1423">
        <f t="shared" si="4010"/>
        <v>0</v>
      </c>
      <c r="V2693" s="1423">
        <f t="shared" si="4011"/>
        <v>0</v>
      </c>
      <c r="W2693" s="1423">
        <f t="shared" si="4012"/>
        <v>0</v>
      </c>
      <c r="X2693" s="152"/>
      <c r="Y2693" s="152"/>
      <c r="Z2693" s="152"/>
      <c r="AA2693" s="152"/>
      <c r="AB2693" s="152"/>
    </row>
    <row r="2694" spans="1:28" hidden="1" outlineLevel="1">
      <c r="A2694" s="152"/>
      <c r="B2694" s="190" t="str">
        <f t="shared" ca="1" si="4013"/>
        <v>RL Capex 2020-21</v>
      </c>
      <c r="C2694" s="1429"/>
      <c r="D2694" s="1429"/>
      <c r="E2694" s="1429"/>
      <c r="F2694" s="1429"/>
      <c r="G2694" s="1424"/>
      <c r="H2694" s="1428">
        <f>H2661</f>
        <v>0</v>
      </c>
      <c r="I2694" s="1423">
        <f t="shared" si="3998"/>
        <v>0</v>
      </c>
      <c r="J2694" s="1423">
        <f t="shared" si="3999"/>
        <v>0</v>
      </c>
      <c r="K2694" s="1423">
        <f t="shared" si="4000"/>
        <v>0</v>
      </c>
      <c r="L2694" s="1423">
        <f t="shared" si="4001"/>
        <v>0</v>
      </c>
      <c r="M2694" s="1423">
        <f t="shared" si="4002"/>
        <v>0</v>
      </c>
      <c r="N2694" s="1423">
        <f t="shared" si="4003"/>
        <v>0</v>
      </c>
      <c r="O2694" s="1423">
        <f t="shared" si="4004"/>
        <v>0</v>
      </c>
      <c r="P2694" s="1423">
        <f t="shared" si="4005"/>
        <v>0</v>
      </c>
      <c r="Q2694" s="1423">
        <f t="shared" si="4006"/>
        <v>0</v>
      </c>
      <c r="R2694" s="1423">
        <f t="shared" si="4007"/>
        <v>0</v>
      </c>
      <c r="S2694" s="1423">
        <f t="shared" si="4008"/>
        <v>0</v>
      </c>
      <c r="T2694" s="1423">
        <f t="shared" si="4009"/>
        <v>0</v>
      </c>
      <c r="U2694" s="1423">
        <f t="shared" si="4010"/>
        <v>0</v>
      </c>
      <c r="V2694" s="1423">
        <f t="shared" si="4011"/>
        <v>0</v>
      </c>
      <c r="W2694" s="1423">
        <f t="shared" si="4012"/>
        <v>0</v>
      </c>
      <c r="X2694" s="152"/>
      <c r="Y2694" s="152"/>
      <c r="Z2694" s="152"/>
      <c r="AA2694" s="152"/>
      <c r="AB2694" s="152"/>
    </row>
    <row r="2695" spans="1:28" hidden="1" outlineLevel="1">
      <c r="A2695" s="152"/>
      <c r="B2695" s="190" t="str">
        <f t="shared" ca="1" si="4013"/>
        <v>RL Capex 2021-22</v>
      </c>
      <c r="C2695" s="1429"/>
      <c r="D2695" s="1429"/>
      <c r="E2695" s="1429"/>
      <c r="F2695" s="1429"/>
      <c r="G2695" s="1429"/>
      <c r="H2695" s="1424"/>
      <c r="I2695" s="1428">
        <f>I2661</f>
        <v>0</v>
      </c>
      <c r="J2695" s="1423">
        <f t="shared" si="3999"/>
        <v>0</v>
      </c>
      <c r="K2695" s="1423">
        <f t="shared" si="4000"/>
        <v>0</v>
      </c>
      <c r="L2695" s="1423">
        <f t="shared" si="4001"/>
        <v>0</v>
      </c>
      <c r="M2695" s="1423">
        <f t="shared" si="4002"/>
        <v>0</v>
      </c>
      <c r="N2695" s="1423">
        <f t="shared" si="4003"/>
        <v>0</v>
      </c>
      <c r="O2695" s="1423">
        <f t="shared" si="4004"/>
        <v>0</v>
      </c>
      <c r="P2695" s="1423">
        <f t="shared" si="4005"/>
        <v>0</v>
      </c>
      <c r="Q2695" s="1423">
        <f t="shared" si="4006"/>
        <v>0</v>
      </c>
      <c r="R2695" s="1423">
        <f t="shared" si="4007"/>
        <v>0</v>
      </c>
      <c r="S2695" s="1423">
        <f t="shared" si="4008"/>
        <v>0</v>
      </c>
      <c r="T2695" s="1423">
        <f t="shared" si="4009"/>
        <v>0</v>
      </c>
      <c r="U2695" s="1423">
        <f t="shared" si="4010"/>
        <v>0</v>
      </c>
      <c r="V2695" s="1423">
        <f t="shared" si="4011"/>
        <v>0</v>
      </c>
      <c r="W2695" s="1423">
        <f t="shared" si="4012"/>
        <v>0</v>
      </c>
      <c r="X2695" s="152"/>
      <c r="Y2695" s="152"/>
      <c r="Z2695" s="152"/>
      <c r="AA2695" s="152"/>
      <c r="AB2695" s="152"/>
    </row>
    <row r="2696" spans="1:28" hidden="1" outlineLevel="1">
      <c r="A2696" s="152"/>
      <c r="B2696" s="190" t="str">
        <f t="shared" ca="1" si="4013"/>
        <v>RL Capex 2022-23</v>
      </c>
      <c r="C2696" s="1429"/>
      <c r="D2696" s="1429"/>
      <c r="E2696" s="1429"/>
      <c r="F2696" s="1429"/>
      <c r="G2696" s="1429"/>
      <c r="H2696" s="1429"/>
      <c r="I2696" s="1424"/>
      <c r="J2696" s="1428">
        <f>J2661</f>
        <v>0</v>
      </c>
      <c r="K2696" s="1423">
        <f t="shared" si="4000"/>
        <v>0</v>
      </c>
      <c r="L2696" s="1423">
        <f t="shared" si="4001"/>
        <v>0</v>
      </c>
      <c r="M2696" s="1423">
        <f t="shared" si="4002"/>
        <v>0</v>
      </c>
      <c r="N2696" s="1423">
        <f t="shared" si="4003"/>
        <v>0</v>
      </c>
      <c r="O2696" s="1423">
        <f t="shared" si="4004"/>
        <v>0</v>
      </c>
      <c r="P2696" s="1423">
        <f t="shared" si="4005"/>
        <v>0</v>
      </c>
      <c r="Q2696" s="1423">
        <f t="shared" si="4006"/>
        <v>0</v>
      </c>
      <c r="R2696" s="1423">
        <f t="shared" si="4007"/>
        <v>0</v>
      </c>
      <c r="S2696" s="1423">
        <f t="shared" si="4008"/>
        <v>0</v>
      </c>
      <c r="T2696" s="1423">
        <f t="shared" si="4009"/>
        <v>0</v>
      </c>
      <c r="U2696" s="1423">
        <f t="shared" si="4010"/>
        <v>0</v>
      </c>
      <c r="V2696" s="1423">
        <f t="shared" si="4011"/>
        <v>0</v>
      </c>
      <c r="W2696" s="1423">
        <f t="shared" si="4012"/>
        <v>0</v>
      </c>
      <c r="X2696" s="152"/>
      <c r="Y2696" s="152"/>
      <c r="Z2696" s="152"/>
      <c r="AA2696" s="152"/>
      <c r="AB2696" s="152"/>
    </row>
    <row r="2697" spans="1:28" hidden="1" outlineLevel="1">
      <c r="A2697" s="152"/>
      <c r="B2697" s="190" t="str">
        <f t="shared" ca="1" si="4013"/>
        <v>RL Capex 2023-24</v>
      </c>
      <c r="C2697" s="1429"/>
      <c r="D2697" s="1429"/>
      <c r="E2697" s="1429"/>
      <c r="F2697" s="1429"/>
      <c r="G2697" s="1429"/>
      <c r="H2697" s="1429"/>
      <c r="I2697" s="1429"/>
      <c r="J2697" s="1424"/>
      <c r="K2697" s="1428">
        <f>K2661</f>
        <v>0</v>
      </c>
      <c r="L2697" s="1423">
        <f t="shared" si="4001"/>
        <v>0</v>
      </c>
      <c r="M2697" s="1423">
        <f t="shared" si="4002"/>
        <v>0</v>
      </c>
      <c r="N2697" s="1423">
        <f t="shared" si="4003"/>
        <v>0</v>
      </c>
      <c r="O2697" s="1423">
        <f t="shared" si="4004"/>
        <v>0</v>
      </c>
      <c r="P2697" s="1423">
        <f t="shared" si="4005"/>
        <v>0</v>
      </c>
      <c r="Q2697" s="1423">
        <f t="shared" si="4006"/>
        <v>0</v>
      </c>
      <c r="R2697" s="1423">
        <f t="shared" si="4007"/>
        <v>0</v>
      </c>
      <c r="S2697" s="1423">
        <f t="shared" si="4008"/>
        <v>0</v>
      </c>
      <c r="T2697" s="1423">
        <f t="shared" si="4009"/>
        <v>0</v>
      </c>
      <c r="U2697" s="1423">
        <f t="shared" si="4010"/>
        <v>0</v>
      </c>
      <c r="V2697" s="1423">
        <f t="shared" si="4011"/>
        <v>0</v>
      </c>
      <c r="W2697" s="1423">
        <f t="shared" si="4012"/>
        <v>0</v>
      </c>
      <c r="X2697" s="152"/>
      <c r="Y2697" s="152"/>
      <c r="Z2697" s="152"/>
      <c r="AA2697" s="152"/>
      <c r="AB2697" s="152"/>
    </row>
    <row r="2698" spans="1:28" hidden="1" outlineLevel="1">
      <c r="A2698" s="152"/>
      <c r="B2698" s="190" t="str">
        <f t="shared" ca="1" si="4013"/>
        <v>RL Capex 2024-25</v>
      </c>
      <c r="C2698" s="1429"/>
      <c r="D2698" s="1429"/>
      <c r="E2698" s="1429"/>
      <c r="F2698" s="1429"/>
      <c r="G2698" s="1429"/>
      <c r="H2698" s="1429"/>
      <c r="I2698" s="1429"/>
      <c r="J2698" s="1429"/>
      <c r="K2698" s="1424"/>
      <c r="L2698" s="1428">
        <f>L2661</f>
        <v>0</v>
      </c>
      <c r="M2698" s="1423">
        <f t="shared" si="4002"/>
        <v>0</v>
      </c>
      <c r="N2698" s="1423">
        <f t="shared" si="4003"/>
        <v>0</v>
      </c>
      <c r="O2698" s="1423">
        <f t="shared" si="4004"/>
        <v>0</v>
      </c>
      <c r="P2698" s="1423">
        <f t="shared" si="4005"/>
        <v>0</v>
      </c>
      <c r="Q2698" s="1423">
        <f t="shared" si="4006"/>
        <v>0</v>
      </c>
      <c r="R2698" s="1423">
        <f t="shared" si="4007"/>
        <v>0</v>
      </c>
      <c r="S2698" s="1423">
        <f t="shared" si="4008"/>
        <v>0</v>
      </c>
      <c r="T2698" s="1423">
        <f t="shared" si="4009"/>
        <v>0</v>
      </c>
      <c r="U2698" s="1423">
        <f t="shared" si="4010"/>
        <v>0</v>
      </c>
      <c r="V2698" s="1423">
        <f t="shared" si="4011"/>
        <v>0</v>
      </c>
      <c r="W2698" s="1423">
        <f t="shared" si="4012"/>
        <v>0</v>
      </c>
      <c r="X2698" s="152"/>
      <c r="Y2698" s="152"/>
      <c r="Z2698" s="152"/>
      <c r="AA2698" s="152"/>
      <c r="AB2698" s="152"/>
    </row>
    <row r="2699" spans="1:28" hidden="1" outlineLevel="1">
      <c r="A2699" s="152"/>
      <c r="B2699" s="190" t="str">
        <f t="shared" ca="1" si="4013"/>
        <v>RL Capex 2025-26</v>
      </c>
      <c r="C2699" s="1429"/>
      <c r="D2699" s="1429"/>
      <c r="E2699" s="1429"/>
      <c r="F2699" s="1429"/>
      <c r="G2699" s="1429"/>
      <c r="H2699" s="1429"/>
      <c r="I2699" s="1429"/>
      <c r="J2699" s="1429"/>
      <c r="K2699" s="1429"/>
      <c r="L2699" s="1424"/>
      <c r="M2699" s="1428">
        <f>M2661</f>
        <v>0</v>
      </c>
      <c r="N2699" s="1423">
        <f t="shared" si="4003"/>
        <v>0</v>
      </c>
      <c r="O2699" s="1423">
        <f t="shared" si="4004"/>
        <v>0</v>
      </c>
      <c r="P2699" s="1423">
        <f t="shared" si="4005"/>
        <v>0</v>
      </c>
      <c r="Q2699" s="1423">
        <f t="shared" si="4006"/>
        <v>0</v>
      </c>
      <c r="R2699" s="1423">
        <f t="shared" si="4007"/>
        <v>0</v>
      </c>
      <c r="S2699" s="1423">
        <f t="shared" si="4008"/>
        <v>0</v>
      </c>
      <c r="T2699" s="1423">
        <f t="shared" si="4009"/>
        <v>0</v>
      </c>
      <c r="U2699" s="1423">
        <f t="shared" si="4010"/>
        <v>0</v>
      </c>
      <c r="V2699" s="1423">
        <f t="shared" si="4011"/>
        <v>0</v>
      </c>
      <c r="W2699" s="1423">
        <f t="shared" si="4012"/>
        <v>0</v>
      </c>
      <c r="X2699" s="152"/>
      <c r="Y2699" s="152"/>
      <c r="Z2699" s="152"/>
      <c r="AA2699" s="152"/>
      <c r="AB2699" s="152"/>
    </row>
    <row r="2700" spans="1:28" hidden="1" outlineLevel="1">
      <c r="A2700" s="152"/>
      <c r="B2700" s="190" t="str">
        <f t="shared" ca="1" si="4013"/>
        <v>RL Capex 2026-27</v>
      </c>
      <c r="C2700" s="1429"/>
      <c r="D2700" s="1429"/>
      <c r="E2700" s="1429"/>
      <c r="F2700" s="1429"/>
      <c r="G2700" s="1429"/>
      <c r="H2700" s="1429"/>
      <c r="I2700" s="1429"/>
      <c r="J2700" s="1429"/>
      <c r="K2700" s="1429"/>
      <c r="L2700" s="1429"/>
      <c r="M2700" s="1424"/>
      <c r="N2700" s="1428">
        <f>N2661</f>
        <v>0</v>
      </c>
      <c r="O2700" s="1423">
        <f t="shared" si="4004"/>
        <v>0</v>
      </c>
      <c r="P2700" s="1423">
        <f t="shared" si="4005"/>
        <v>0</v>
      </c>
      <c r="Q2700" s="1423">
        <f t="shared" si="4006"/>
        <v>0</v>
      </c>
      <c r="R2700" s="1423">
        <f t="shared" si="4007"/>
        <v>0</v>
      </c>
      <c r="S2700" s="1423">
        <f t="shared" si="4008"/>
        <v>0</v>
      </c>
      <c r="T2700" s="1423">
        <f t="shared" si="4009"/>
        <v>0</v>
      </c>
      <c r="U2700" s="1423">
        <f t="shared" si="4010"/>
        <v>0</v>
      </c>
      <c r="V2700" s="1423">
        <f t="shared" si="4011"/>
        <v>0</v>
      </c>
      <c r="W2700" s="1423">
        <f t="shared" si="4012"/>
        <v>0</v>
      </c>
      <c r="X2700" s="152"/>
      <c r="Y2700" s="152"/>
      <c r="Z2700" s="152"/>
      <c r="AA2700" s="152"/>
      <c r="AB2700" s="152"/>
    </row>
    <row r="2701" spans="1:28" hidden="1" outlineLevel="1">
      <c r="A2701" s="152"/>
      <c r="B2701" s="190" t="str">
        <f t="shared" ca="1" si="4013"/>
        <v>RL Capex 2027-28</v>
      </c>
      <c r="C2701" s="1429"/>
      <c r="D2701" s="1429"/>
      <c r="E2701" s="1429"/>
      <c r="F2701" s="1429"/>
      <c r="G2701" s="1429"/>
      <c r="H2701" s="1429"/>
      <c r="I2701" s="1429"/>
      <c r="J2701" s="1429"/>
      <c r="K2701" s="1429"/>
      <c r="L2701" s="1429"/>
      <c r="M2701" s="1429"/>
      <c r="N2701" s="1424"/>
      <c r="O2701" s="1428">
        <f>O2661</f>
        <v>0</v>
      </c>
      <c r="P2701" s="1423">
        <f t="shared" si="4005"/>
        <v>0</v>
      </c>
      <c r="Q2701" s="1423">
        <f t="shared" si="4006"/>
        <v>0</v>
      </c>
      <c r="R2701" s="1423">
        <f t="shared" si="4007"/>
        <v>0</v>
      </c>
      <c r="S2701" s="1423">
        <f t="shared" si="4008"/>
        <v>0</v>
      </c>
      <c r="T2701" s="1423">
        <f t="shared" si="4009"/>
        <v>0</v>
      </c>
      <c r="U2701" s="1423">
        <f t="shared" si="4010"/>
        <v>0</v>
      </c>
      <c r="V2701" s="1423">
        <f t="shared" si="4011"/>
        <v>0</v>
      </c>
      <c r="W2701" s="1423">
        <f t="shared" si="4012"/>
        <v>0</v>
      </c>
      <c r="X2701" s="152"/>
      <c r="Y2701" s="152"/>
      <c r="Z2701" s="152"/>
      <c r="AA2701" s="152"/>
      <c r="AB2701" s="152"/>
    </row>
    <row r="2702" spans="1:28" hidden="1" outlineLevel="1">
      <c r="A2702" s="152"/>
      <c r="B2702" s="190" t="str">
        <f t="shared" ca="1" si="4013"/>
        <v>RL Capex 2028-29</v>
      </c>
      <c r="C2702" s="1429"/>
      <c r="D2702" s="1429"/>
      <c r="E2702" s="1429"/>
      <c r="F2702" s="1429"/>
      <c r="G2702" s="1429"/>
      <c r="H2702" s="1429"/>
      <c r="I2702" s="1429"/>
      <c r="J2702" s="1429"/>
      <c r="K2702" s="1429"/>
      <c r="L2702" s="1429"/>
      <c r="M2702" s="1429"/>
      <c r="N2702" s="1429"/>
      <c r="O2702" s="1424"/>
      <c r="P2702" s="1428">
        <f>P2661</f>
        <v>0</v>
      </c>
      <c r="Q2702" s="1423">
        <f t="shared" si="4006"/>
        <v>0</v>
      </c>
      <c r="R2702" s="1423">
        <f t="shared" si="4007"/>
        <v>0</v>
      </c>
      <c r="S2702" s="1423">
        <f t="shared" si="4008"/>
        <v>0</v>
      </c>
      <c r="T2702" s="1423">
        <f t="shared" si="4009"/>
        <v>0</v>
      </c>
      <c r="U2702" s="1423">
        <f t="shared" si="4010"/>
        <v>0</v>
      </c>
      <c r="V2702" s="1423">
        <f t="shared" si="4011"/>
        <v>0</v>
      </c>
      <c r="W2702" s="1423">
        <f t="shared" si="4012"/>
        <v>0</v>
      </c>
      <c r="X2702" s="152"/>
      <c r="Y2702" s="152"/>
      <c r="Z2702" s="152"/>
      <c r="AA2702" s="152"/>
      <c r="AB2702" s="152"/>
    </row>
    <row r="2703" spans="1:28" hidden="1" outlineLevel="1">
      <c r="A2703" s="152"/>
      <c r="B2703" s="190" t="str">
        <f t="shared" ca="1" si="4013"/>
        <v>RL Capex 2029-30</v>
      </c>
      <c r="C2703" s="1429"/>
      <c r="D2703" s="1429"/>
      <c r="E2703" s="1429"/>
      <c r="F2703" s="1429"/>
      <c r="G2703" s="1429"/>
      <c r="H2703" s="1429"/>
      <c r="I2703" s="1429"/>
      <c r="J2703" s="1429"/>
      <c r="K2703" s="1429"/>
      <c r="L2703" s="1429"/>
      <c r="M2703" s="1429"/>
      <c r="N2703" s="1429"/>
      <c r="O2703" s="1429"/>
      <c r="P2703" s="1424"/>
      <c r="Q2703" s="1428">
        <f>Q2661</f>
        <v>0</v>
      </c>
      <c r="R2703" s="1423">
        <f t="shared" si="4007"/>
        <v>0</v>
      </c>
      <c r="S2703" s="1423">
        <f t="shared" si="4008"/>
        <v>0</v>
      </c>
      <c r="T2703" s="1423">
        <f t="shared" si="4009"/>
        <v>0</v>
      </c>
      <c r="U2703" s="1423">
        <f t="shared" si="4010"/>
        <v>0</v>
      </c>
      <c r="V2703" s="1423">
        <f t="shared" si="4011"/>
        <v>0</v>
      </c>
      <c r="W2703" s="1423">
        <f t="shared" si="4012"/>
        <v>0</v>
      </c>
      <c r="X2703" s="152"/>
      <c r="Y2703" s="152"/>
      <c r="Z2703" s="152"/>
      <c r="AA2703" s="152"/>
      <c r="AB2703" s="152"/>
    </row>
    <row r="2704" spans="1:28" hidden="1" outlineLevel="1">
      <c r="A2704" s="152"/>
      <c r="B2704" s="190" t="str">
        <f t="shared" ca="1" si="4013"/>
        <v>RL Capex 2030-31</v>
      </c>
      <c r="C2704" s="1429"/>
      <c r="D2704" s="1429"/>
      <c r="E2704" s="1429"/>
      <c r="F2704" s="1429"/>
      <c r="G2704" s="1429"/>
      <c r="H2704" s="1429"/>
      <c r="I2704" s="1429"/>
      <c r="J2704" s="1429"/>
      <c r="K2704" s="1429"/>
      <c r="L2704" s="1429"/>
      <c r="M2704" s="1429"/>
      <c r="N2704" s="1429"/>
      <c r="O2704" s="1429"/>
      <c r="P2704" s="1429"/>
      <c r="Q2704" s="1424"/>
      <c r="R2704" s="1428">
        <f>R2661</f>
        <v>0</v>
      </c>
      <c r="S2704" s="1423">
        <f t="shared" si="4008"/>
        <v>0</v>
      </c>
      <c r="T2704" s="1423">
        <f t="shared" si="4009"/>
        <v>0</v>
      </c>
      <c r="U2704" s="1423">
        <f t="shared" si="4010"/>
        <v>0</v>
      </c>
      <c r="V2704" s="1423">
        <f t="shared" si="4011"/>
        <v>0</v>
      </c>
      <c r="W2704" s="1423">
        <f t="shared" si="4012"/>
        <v>0</v>
      </c>
      <c r="X2704" s="152"/>
      <c r="Y2704" s="152"/>
      <c r="Z2704" s="152"/>
      <c r="AA2704" s="152"/>
      <c r="AB2704" s="152"/>
    </row>
    <row r="2705" spans="1:28" hidden="1" outlineLevel="1">
      <c r="A2705" s="152"/>
      <c r="B2705" s="190" t="str">
        <f t="shared" ca="1" si="4013"/>
        <v>RL Capex 2031-32</v>
      </c>
      <c r="C2705" s="1429"/>
      <c r="D2705" s="1429"/>
      <c r="E2705" s="1429"/>
      <c r="F2705" s="1429"/>
      <c r="G2705" s="1429"/>
      <c r="H2705" s="1429"/>
      <c r="I2705" s="1429"/>
      <c r="J2705" s="1429"/>
      <c r="K2705" s="1429"/>
      <c r="L2705" s="1429"/>
      <c r="M2705" s="1429"/>
      <c r="N2705" s="1429"/>
      <c r="O2705" s="1429"/>
      <c r="P2705" s="1429"/>
      <c r="Q2705" s="1429"/>
      <c r="R2705" s="1424"/>
      <c r="S2705" s="1428">
        <f>S2661</f>
        <v>0</v>
      </c>
      <c r="T2705" s="1423">
        <f t="shared" si="4009"/>
        <v>0</v>
      </c>
      <c r="U2705" s="1423">
        <f t="shared" si="4010"/>
        <v>0</v>
      </c>
      <c r="V2705" s="1423">
        <f t="shared" si="4011"/>
        <v>0</v>
      </c>
      <c r="W2705" s="1423">
        <f t="shared" si="4012"/>
        <v>0</v>
      </c>
      <c r="X2705" s="152"/>
      <c r="Y2705" s="152"/>
      <c r="Z2705" s="152"/>
      <c r="AA2705" s="152"/>
      <c r="AB2705" s="152"/>
    </row>
    <row r="2706" spans="1:28" hidden="1" outlineLevel="1">
      <c r="A2706" s="152"/>
      <c r="B2706" s="190" t="str">
        <f t="shared" ca="1" si="4013"/>
        <v>RL Capex 2032-33</v>
      </c>
      <c r="C2706" s="1429"/>
      <c r="D2706" s="1429"/>
      <c r="E2706" s="1429"/>
      <c r="F2706" s="1429"/>
      <c r="G2706" s="1429"/>
      <c r="H2706" s="1429"/>
      <c r="I2706" s="1429"/>
      <c r="J2706" s="1429"/>
      <c r="K2706" s="1429"/>
      <c r="L2706" s="1429"/>
      <c r="M2706" s="1429"/>
      <c r="N2706" s="1429"/>
      <c r="O2706" s="1429"/>
      <c r="P2706" s="1429"/>
      <c r="Q2706" s="1429"/>
      <c r="R2706" s="1429"/>
      <c r="S2706" s="1424"/>
      <c r="T2706" s="1428">
        <f>T2661</f>
        <v>0</v>
      </c>
      <c r="U2706" s="1423">
        <f t="shared" si="4010"/>
        <v>0</v>
      </c>
      <c r="V2706" s="1423">
        <f t="shared" si="4011"/>
        <v>0</v>
      </c>
      <c r="W2706" s="1423">
        <f t="shared" si="4012"/>
        <v>0</v>
      </c>
      <c r="X2706" s="152"/>
      <c r="Y2706" s="152"/>
      <c r="Z2706" s="152"/>
      <c r="AA2706" s="152"/>
      <c r="AB2706" s="152"/>
    </row>
    <row r="2707" spans="1:28" hidden="1" outlineLevel="1">
      <c r="A2707" s="152"/>
      <c r="B2707" s="190" t="str">
        <f t="shared" ca="1" si="4013"/>
        <v>RL Capex 2033-34</v>
      </c>
      <c r="C2707" s="1429"/>
      <c r="D2707" s="1429"/>
      <c r="E2707" s="1429"/>
      <c r="F2707" s="1429"/>
      <c r="G2707" s="1429"/>
      <c r="H2707" s="1429"/>
      <c r="I2707" s="1429"/>
      <c r="J2707" s="1429"/>
      <c r="K2707" s="1429"/>
      <c r="L2707" s="1429"/>
      <c r="M2707" s="1429"/>
      <c r="N2707" s="1429"/>
      <c r="O2707" s="1429"/>
      <c r="P2707" s="1429"/>
      <c r="Q2707" s="1429"/>
      <c r="R2707" s="1429"/>
      <c r="S2707" s="1429"/>
      <c r="T2707" s="1424"/>
      <c r="U2707" s="1428">
        <f>U2661</f>
        <v>0</v>
      </c>
      <c r="V2707" s="1423">
        <f t="shared" si="4011"/>
        <v>0</v>
      </c>
      <c r="W2707" s="1423">
        <f t="shared" si="4012"/>
        <v>0</v>
      </c>
      <c r="X2707" s="152"/>
      <c r="Y2707" s="152"/>
      <c r="Z2707" s="152"/>
      <c r="AA2707" s="152"/>
      <c r="AB2707" s="152"/>
    </row>
    <row r="2708" spans="1:28" hidden="1" outlineLevel="1">
      <c r="A2708" s="152"/>
      <c r="B2708" s="190" t="str">
        <f t="shared" ca="1" si="4013"/>
        <v>RL Capex 2034-35</v>
      </c>
      <c r="C2708" s="1429"/>
      <c r="D2708" s="1429"/>
      <c r="E2708" s="1429"/>
      <c r="F2708" s="1429"/>
      <c r="G2708" s="1429"/>
      <c r="H2708" s="1429"/>
      <c r="I2708" s="1429"/>
      <c r="J2708" s="1429"/>
      <c r="K2708" s="1429"/>
      <c r="L2708" s="1429"/>
      <c r="M2708" s="1429"/>
      <c r="N2708" s="1429"/>
      <c r="O2708" s="1429"/>
      <c r="P2708" s="1429"/>
      <c r="Q2708" s="1429"/>
      <c r="R2708" s="1429"/>
      <c r="S2708" s="1429"/>
      <c r="T2708" s="1429"/>
      <c r="U2708" s="1424"/>
      <c r="V2708" s="1428">
        <f>V2661</f>
        <v>0</v>
      </c>
      <c r="W2708" s="1423">
        <f>IF(V2708="n/a","n/a",MAX(0,V2708-1))</f>
        <v>0</v>
      </c>
      <c r="X2708" s="152"/>
      <c r="Y2708" s="152"/>
      <c r="Z2708" s="152"/>
      <c r="AA2708" s="152"/>
      <c r="AB2708" s="152"/>
    </row>
    <row r="2709" spans="1:28" hidden="1" outlineLevel="1">
      <c r="A2709" s="152"/>
      <c r="B2709" s="190" t="str">
        <f t="shared" ca="1" si="4013"/>
        <v>RL Capex 2035-36</v>
      </c>
      <c r="C2709" s="1429"/>
      <c r="D2709" s="1429"/>
      <c r="E2709" s="1429"/>
      <c r="F2709" s="1429"/>
      <c r="G2709" s="1429"/>
      <c r="H2709" s="1429"/>
      <c r="I2709" s="1429"/>
      <c r="J2709" s="1429"/>
      <c r="K2709" s="1429"/>
      <c r="L2709" s="1429"/>
      <c r="M2709" s="1429"/>
      <c r="N2709" s="1429"/>
      <c r="O2709" s="1429"/>
      <c r="P2709" s="1429"/>
      <c r="Q2709" s="1429"/>
      <c r="R2709" s="1429"/>
      <c r="S2709" s="1429"/>
      <c r="T2709" s="1429"/>
      <c r="U2709" s="1429"/>
      <c r="V2709" s="1424"/>
      <c r="W2709" s="1423">
        <f>W2661</f>
        <v>0</v>
      </c>
      <c r="X2709" s="152"/>
      <c r="Y2709" s="152"/>
      <c r="Z2709" s="152"/>
      <c r="AA2709" s="152"/>
      <c r="AB2709" s="152"/>
    </row>
    <row r="2710" spans="1:28" hidden="1" outlineLevel="1">
      <c r="A2710" s="152"/>
      <c r="B2710" s="200"/>
      <c r="C2710" s="1423"/>
      <c r="D2710" s="1423"/>
      <c r="E2710" s="1423"/>
      <c r="F2710" s="1423"/>
      <c r="G2710" s="1423"/>
      <c r="H2710" s="1423"/>
      <c r="I2710" s="1423"/>
      <c r="J2710" s="1423"/>
      <c r="K2710" s="1423"/>
      <c r="L2710" s="1423"/>
      <c r="M2710" s="1423"/>
      <c r="N2710" s="1423"/>
      <c r="O2710" s="1423"/>
      <c r="P2710" s="1423"/>
      <c r="Q2710" s="1423"/>
      <c r="R2710" s="1423"/>
      <c r="S2710" s="1423"/>
      <c r="T2710" s="1423"/>
      <c r="U2710" s="1423"/>
      <c r="V2710" s="1423"/>
      <c r="W2710" s="1423"/>
      <c r="X2710" s="152"/>
      <c r="Y2710" s="152"/>
      <c r="Z2710" s="152"/>
      <c r="AA2710" s="152"/>
      <c r="AB2710" s="152"/>
    </row>
    <row r="2711" spans="1:28" collapsed="1">
      <c r="A2711" s="194"/>
      <c r="B2711" s="204" t="s">
        <v>123</v>
      </c>
      <c r="C2711" s="1430">
        <f ca="1">(IF(OR($C2661&lt;&gt;"n/a",C2661&lt;&gt;"n/a"),IF(SUM(C2664:C2686)=0,0,IF((SUMPRODUCT(C2664:C2686,C2688:C2710)/SUM(C2664:C2686))&lt;0,1,(SUMPRODUCT(C2664:C2686,C2688:C2710)/SUM(C2664:C2686)))),"n/a"))</f>
        <v>0</v>
      </c>
      <c r="D2711" s="1430">
        <f ca="1">(IF(OR($C2661&lt;&gt;"n/a",D2661&lt;&gt;"n/a"),IF(SUM(D2664:D2686)=0,0,IF((SUMPRODUCT(D2664:D2686,D2688:D2710)/SUM(D2664:D2686))&lt;0,1,(SUMPRODUCT(D2664:D2686,D2688:D2710)/SUM(D2664:D2686)))),"n/a"))</f>
        <v>0</v>
      </c>
      <c r="E2711" s="1430">
        <f t="shared" ref="E2711:W2711" ca="1" si="4014">(IF(OR($C2661&lt;&gt;"n/a",E2661&lt;&gt;"n/a"),IF(SUM(E2664:E2686)=0,0,IF((SUMPRODUCT(E2664:E2686,E2688:E2710)/SUM(E2664:E2686))&lt;0,1,(SUMPRODUCT(E2664:E2686,E2688:E2710)/SUM(E2664:E2686)))),"n/a"))</f>
        <v>0</v>
      </c>
      <c r="F2711" s="1430">
        <f t="shared" ca="1" si="4014"/>
        <v>0</v>
      </c>
      <c r="G2711" s="1430">
        <f t="shared" ca="1" si="4014"/>
        <v>0</v>
      </c>
      <c r="H2711" s="1430">
        <f t="shared" ca="1" si="4014"/>
        <v>0</v>
      </c>
      <c r="I2711" s="1430">
        <f t="shared" ca="1" si="4014"/>
        <v>0</v>
      </c>
      <c r="J2711" s="1430">
        <f t="shared" ca="1" si="4014"/>
        <v>0</v>
      </c>
      <c r="K2711" s="1430">
        <f t="shared" ca="1" si="4014"/>
        <v>0</v>
      </c>
      <c r="L2711" s="1430">
        <f t="shared" ca="1" si="4014"/>
        <v>0</v>
      </c>
      <c r="M2711" s="1430">
        <f t="shared" ca="1" si="4014"/>
        <v>0</v>
      </c>
      <c r="N2711" s="1430">
        <f t="shared" ca="1" si="4014"/>
        <v>0</v>
      </c>
      <c r="O2711" s="1430">
        <f t="shared" ca="1" si="4014"/>
        <v>0</v>
      </c>
      <c r="P2711" s="1430">
        <f t="shared" ca="1" si="4014"/>
        <v>0</v>
      </c>
      <c r="Q2711" s="1430">
        <f t="shared" ca="1" si="4014"/>
        <v>0</v>
      </c>
      <c r="R2711" s="1430">
        <f t="shared" ca="1" si="4014"/>
        <v>0</v>
      </c>
      <c r="S2711" s="1430">
        <f t="shared" ca="1" si="4014"/>
        <v>0</v>
      </c>
      <c r="T2711" s="1430">
        <f t="shared" ca="1" si="4014"/>
        <v>0</v>
      </c>
      <c r="U2711" s="1430">
        <f t="shared" ca="1" si="4014"/>
        <v>0</v>
      </c>
      <c r="V2711" s="1430">
        <f t="shared" ca="1" si="4014"/>
        <v>0</v>
      </c>
      <c r="W2711" s="1430">
        <f t="shared" ca="1" si="4014"/>
        <v>0</v>
      </c>
      <c r="X2711" s="152"/>
      <c r="Y2711" s="152"/>
      <c r="Z2711" s="152"/>
      <c r="AA2711" s="152"/>
      <c r="AB2711" s="152"/>
    </row>
    <row r="2712" spans="1:28">
      <c r="A2712" s="152"/>
      <c r="B2712" s="152"/>
      <c r="C2712" s="197"/>
      <c r="D2712" s="197"/>
      <c r="E2712" s="197"/>
      <c r="F2712" s="197"/>
      <c r="G2712" s="197"/>
      <c r="H2712" s="197"/>
      <c r="I2712" s="197"/>
      <c r="J2712" s="197"/>
      <c r="K2712" s="197"/>
      <c r="L2712" s="197"/>
      <c r="M2712" s="197"/>
      <c r="N2712" s="197"/>
      <c r="O2712" s="197"/>
      <c r="P2712" s="197"/>
      <c r="Q2712" s="197"/>
      <c r="R2712" s="197"/>
      <c r="S2712" s="197"/>
      <c r="T2712" s="197"/>
      <c r="U2712" s="197"/>
      <c r="V2712" s="197"/>
      <c r="W2712" s="197"/>
      <c r="X2712" s="152"/>
      <c r="Y2712" s="152"/>
      <c r="Z2712" s="152"/>
      <c r="AA2712" s="152"/>
      <c r="AB2712" s="152"/>
    </row>
    <row r="2713" spans="1:28">
      <c r="A2713" s="152"/>
      <c r="B2713" s="152"/>
      <c r="C2713" s="197"/>
      <c r="D2713" s="197"/>
      <c r="E2713" s="197"/>
      <c r="F2713" s="197"/>
      <c r="G2713" s="197"/>
      <c r="H2713" s="197"/>
      <c r="I2713" s="197"/>
      <c r="J2713" s="197"/>
      <c r="K2713" s="197"/>
      <c r="L2713" s="197"/>
      <c r="M2713" s="197"/>
      <c r="N2713" s="197"/>
      <c r="O2713" s="197"/>
      <c r="P2713" s="197"/>
      <c r="Q2713" s="197"/>
      <c r="R2713" s="197"/>
      <c r="S2713" s="197"/>
      <c r="T2713" s="197"/>
      <c r="U2713" s="197"/>
      <c r="V2713" s="197"/>
      <c r="W2713" s="197"/>
      <c r="X2713" s="152"/>
      <c r="Y2713" s="152"/>
      <c r="Z2713" s="152"/>
      <c r="AA2713" s="152"/>
      <c r="AB2713" s="152"/>
    </row>
    <row r="2714" spans="1:28">
      <c r="A2714" s="152"/>
      <c r="B2714" s="152"/>
      <c r="C2714" s="197"/>
      <c r="D2714" s="197"/>
      <c r="E2714" s="197"/>
      <c r="F2714" s="197"/>
      <c r="G2714" s="197"/>
      <c r="H2714" s="197"/>
      <c r="I2714" s="197"/>
      <c r="J2714" s="197"/>
      <c r="K2714" s="197"/>
      <c r="L2714" s="197"/>
      <c r="M2714" s="197"/>
      <c r="N2714" s="197"/>
      <c r="O2714" s="197"/>
      <c r="P2714" s="197"/>
      <c r="Q2714" s="197"/>
      <c r="R2714" s="197"/>
      <c r="S2714" s="197"/>
      <c r="T2714" s="197"/>
      <c r="U2714" s="197"/>
      <c r="V2714" s="197"/>
      <c r="W2714" s="197"/>
      <c r="X2714" s="152"/>
      <c r="Y2714" s="152"/>
      <c r="Z2714" s="152"/>
      <c r="AA2714" s="152"/>
      <c r="AB2714" s="152"/>
    </row>
    <row r="2715" spans="1:28">
      <c r="A2715" s="152"/>
      <c r="B2715" s="152"/>
      <c r="C2715" s="197"/>
      <c r="D2715" s="197"/>
      <c r="E2715" s="197"/>
      <c r="F2715" s="197"/>
      <c r="G2715" s="197"/>
      <c r="H2715" s="197"/>
      <c r="I2715" s="197"/>
      <c r="J2715" s="197"/>
      <c r="K2715" s="197"/>
      <c r="L2715" s="197"/>
      <c r="M2715" s="197"/>
      <c r="N2715" s="197"/>
      <c r="O2715" s="197"/>
      <c r="P2715" s="197"/>
      <c r="Q2715" s="197"/>
      <c r="R2715" s="197"/>
      <c r="S2715" s="197"/>
      <c r="T2715" s="197"/>
      <c r="U2715" s="197"/>
      <c r="V2715" s="197"/>
      <c r="W2715" s="197"/>
      <c r="X2715" s="152"/>
      <c r="Y2715" s="152"/>
      <c r="Z2715" s="152"/>
      <c r="AA2715" s="152"/>
      <c r="AB2715" s="152"/>
    </row>
    <row r="2716" spans="1:28">
      <c r="A2716" s="152"/>
      <c r="B2716" s="152"/>
      <c r="C2716" s="152"/>
      <c r="D2716" s="152"/>
      <c r="E2716" s="152"/>
      <c r="F2716" s="152"/>
      <c r="G2716" s="152"/>
      <c r="H2716" s="152"/>
      <c r="I2716" s="152"/>
      <c r="J2716" s="152"/>
      <c r="K2716" s="152"/>
      <c r="L2716" s="152"/>
      <c r="M2716" s="152"/>
      <c r="N2716" s="152"/>
      <c r="O2716" s="152"/>
      <c r="P2716" s="152"/>
      <c r="Q2716" s="152"/>
      <c r="R2716" s="152"/>
      <c r="S2716" s="152"/>
      <c r="T2716" s="152"/>
      <c r="U2716" s="152"/>
      <c r="V2716" s="152"/>
      <c r="W2716" s="152"/>
      <c r="X2716" s="152"/>
      <c r="Y2716" s="152"/>
      <c r="Z2716" s="152"/>
      <c r="AA2716" s="152"/>
      <c r="AB2716" s="152"/>
    </row>
    <row r="2717" spans="1:28">
      <c r="A2717" s="152"/>
      <c r="B2717" s="152"/>
      <c r="C2717" s="152"/>
      <c r="D2717" s="152"/>
      <c r="E2717" s="152"/>
      <c r="F2717" s="152"/>
      <c r="G2717" s="152"/>
      <c r="H2717" s="152"/>
      <c r="I2717" s="152"/>
      <c r="J2717" s="152"/>
      <c r="K2717" s="152"/>
      <c r="L2717" s="152"/>
      <c r="M2717" s="152"/>
      <c r="N2717" s="152"/>
      <c r="O2717" s="152"/>
      <c r="P2717" s="152"/>
      <c r="Q2717" s="152"/>
      <c r="R2717" s="152"/>
      <c r="S2717" s="152"/>
      <c r="T2717" s="152"/>
      <c r="U2717" s="152"/>
      <c r="V2717" s="152"/>
      <c r="W2717" s="152"/>
      <c r="X2717" s="152"/>
      <c r="Y2717" s="152"/>
      <c r="Z2717" s="152"/>
      <c r="AA2717" s="152"/>
      <c r="AB2717" s="152"/>
    </row>
    <row r="2718" spans="1:28">
      <c r="A2718" s="152"/>
      <c r="B2718" s="152"/>
      <c r="C2718" s="152"/>
      <c r="D2718" s="152"/>
      <c r="E2718" s="152"/>
      <c r="F2718" s="152"/>
      <c r="G2718" s="152"/>
      <c r="H2718" s="152"/>
      <c r="I2718" s="152"/>
      <c r="J2718" s="152"/>
      <c r="K2718" s="152"/>
      <c r="L2718" s="152"/>
      <c r="M2718" s="152"/>
      <c r="N2718" s="152"/>
      <c r="O2718" s="152"/>
      <c r="P2718" s="152"/>
      <c r="Q2718" s="152"/>
      <c r="R2718" s="152"/>
      <c r="S2718" s="152"/>
      <c r="T2718" s="152"/>
      <c r="U2718" s="152"/>
      <c r="V2718" s="152"/>
      <c r="W2718" s="152"/>
      <c r="X2718" s="152"/>
      <c r="Y2718" s="152"/>
      <c r="Z2718" s="152"/>
      <c r="AA2718" s="152"/>
      <c r="AB2718" s="152"/>
    </row>
    <row r="2719" spans="1:28">
      <c r="A2719" s="152"/>
      <c r="B2719" s="152"/>
      <c r="C2719" s="152"/>
      <c r="D2719" s="152"/>
      <c r="E2719" s="152"/>
      <c r="F2719" s="152"/>
      <c r="G2719" s="152"/>
      <c r="H2719" s="152"/>
      <c r="I2719" s="152"/>
      <c r="J2719" s="152"/>
      <c r="K2719" s="152"/>
      <c r="L2719" s="152"/>
      <c r="M2719" s="152"/>
      <c r="N2719" s="152"/>
      <c r="O2719" s="152"/>
      <c r="P2719" s="152"/>
      <c r="Q2719" s="152"/>
      <c r="R2719" s="152"/>
      <c r="S2719" s="152"/>
      <c r="T2719" s="152"/>
      <c r="U2719" s="152"/>
      <c r="V2719" s="152"/>
      <c r="W2719" s="152"/>
      <c r="X2719" s="152"/>
      <c r="Y2719" s="152"/>
      <c r="Z2719" s="152"/>
      <c r="AA2719" s="152"/>
      <c r="AB2719" s="152"/>
    </row>
    <row r="2720" spans="1:28">
      <c r="A2720" s="152"/>
      <c r="B2720" s="152"/>
      <c r="C2720" s="152"/>
      <c r="D2720" s="152"/>
      <c r="E2720" s="152"/>
      <c r="F2720" s="152"/>
      <c r="G2720" s="152"/>
      <c r="H2720" s="152"/>
      <c r="I2720" s="152"/>
      <c r="J2720" s="152"/>
      <c r="K2720" s="152"/>
      <c r="L2720" s="152"/>
      <c r="M2720" s="152"/>
      <c r="N2720" s="152"/>
      <c r="O2720" s="152"/>
      <c r="P2720" s="152"/>
      <c r="Q2720" s="152"/>
      <c r="R2720" s="152"/>
      <c r="S2720" s="152"/>
      <c r="T2720" s="152"/>
      <c r="U2720" s="152"/>
      <c r="V2720" s="152"/>
      <c r="W2720" s="152"/>
      <c r="X2720" s="152"/>
      <c r="Y2720" s="152"/>
      <c r="Z2720" s="152"/>
      <c r="AA2720" s="152"/>
      <c r="AB2720" s="152"/>
    </row>
    <row r="2721" spans="1:28">
      <c r="A2721" s="152"/>
      <c r="B2721" s="152"/>
      <c r="C2721" s="152"/>
      <c r="D2721" s="152"/>
      <c r="E2721" s="152"/>
      <c r="F2721" s="152"/>
      <c r="G2721" s="152"/>
      <c r="H2721" s="152"/>
      <c r="I2721" s="152"/>
      <c r="J2721" s="152"/>
      <c r="K2721" s="152"/>
      <c r="L2721" s="152"/>
      <c r="M2721" s="152"/>
      <c r="N2721" s="152"/>
      <c r="O2721" s="152"/>
      <c r="P2721" s="152"/>
      <c r="Q2721" s="152"/>
      <c r="R2721" s="152"/>
      <c r="S2721" s="152"/>
      <c r="T2721" s="152"/>
      <c r="U2721" s="152"/>
      <c r="V2721" s="152"/>
      <c r="W2721" s="152"/>
      <c r="X2721" s="152"/>
      <c r="Y2721" s="152"/>
      <c r="Z2721" s="152"/>
      <c r="AA2721" s="152"/>
      <c r="AB2721" s="152"/>
    </row>
    <row r="2722" spans="1:28">
      <c r="A2722" s="152"/>
      <c r="B2722" s="152"/>
      <c r="C2722" s="152"/>
      <c r="D2722" s="152"/>
      <c r="E2722" s="152"/>
      <c r="F2722" s="152"/>
      <c r="G2722" s="152"/>
      <c r="H2722" s="152"/>
      <c r="I2722" s="152"/>
      <c r="J2722" s="152"/>
      <c r="K2722" s="152"/>
      <c r="L2722" s="152"/>
      <c r="M2722" s="152"/>
      <c r="N2722" s="152"/>
      <c r="O2722" s="152"/>
      <c r="P2722" s="152"/>
      <c r="Q2722" s="152"/>
      <c r="R2722" s="152"/>
      <c r="S2722" s="152"/>
      <c r="T2722" s="152"/>
      <c r="U2722" s="152"/>
      <c r="V2722" s="152"/>
      <c r="W2722" s="152"/>
      <c r="X2722" s="152"/>
      <c r="Y2722" s="152"/>
      <c r="Z2722" s="152"/>
      <c r="AA2722" s="152"/>
      <c r="AB2722" s="152"/>
    </row>
    <row r="2723" spans="1:28">
      <c r="A2723" s="152"/>
      <c r="B2723" s="152"/>
      <c r="C2723" s="152"/>
      <c r="D2723" s="152"/>
      <c r="E2723" s="152"/>
      <c r="F2723" s="152"/>
      <c r="G2723" s="152"/>
      <c r="H2723" s="152"/>
      <c r="I2723" s="152"/>
      <c r="J2723" s="152"/>
      <c r="K2723" s="152"/>
      <c r="L2723" s="152"/>
      <c r="M2723" s="152"/>
      <c r="N2723" s="152"/>
      <c r="O2723" s="152"/>
      <c r="P2723" s="152"/>
      <c r="Q2723" s="152"/>
      <c r="R2723" s="152"/>
      <c r="S2723" s="152"/>
      <c r="T2723" s="152"/>
      <c r="U2723" s="152"/>
      <c r="V2723" s="152"/>
      <c r="W2723" s="152"/>
      <c r="X2723" s="152"/>
      <c r="Y2723" s="152"/>
      <c r="Z2723" s="152"/>
      <c r="AA2723" s="152"/>
      <c r="AB2723" s="152"/>
    </row>
    <row r="2724" spans="1:28">
      <c r="A2724" s="152"/>
      <c r="B2724" s="152"/>
      <c r="C2724" s="152"/>
      <c r="D2724" s="152"/>
      <c r="E2724" s="152"/>
      <c r="F2724" s="152"/>
      <c r="G2724" s="152"/>
      <c r="H2724" s="152"/>
      <c r="I2724" s="152"/>
      <c r="J2724" s="152"/>
      <c r="K2724" s="152"/>
      <c r="L2724" s="152"/>
      <c r="M2724" s="152"/>
      <c r="N2724" s="152"/>
      <c r="O2724" s="152"/>
      <c r="P2724" s="152"/>
      <c r="Q2724" s="152"/>
      <c r="R2724" s="152"/>
      <c r="S2724" s="152"/>
      <c r="T2724" s="152"/>
      <c r="U2724" s="152"/>
      <c r="V2724" s="152"/>
      <c r="W2724" s="152"/>
      <c r="X2724" s="152"/>
      <c r="Y2724" s="152"/>
      <c r="Z2724" s="152"/>
      <c r="AA2724" s="152"/>
      <c r="AB2724" s="152"/>
    </row>
    <row r="2725" spans="1:28">
      <c r="A2725" s="152"/>
      <c r="B2725" s="152"/>
      <c r="C2725" s="152"/>
      <c r="D2725" s="152"/>
      <c r="E2725" s="152"/>
      <c r="F2725" s="152"/>
      <c r="G2725" s="152"/>
      <c r="H2725" s="152"/>
      <c r="I2725" s="152"/>
      <c r="J2725" s="152"/>
      <c r="K2725" s="152"/>
      <c r="L2725" s="152"/>
      <c r="M2725" s="152"/>
      <c r="N2725" s="152"/>
      <c r="O2725" s="152"/>
      <c r="P2725" s="152"/>
      <c r="Q2725" s="152"/>
      <c r="R2725" s="152"/>
      <c r="S2725" s="152"/>
      <c r="T2725" s="152"/>
      <c r="U2725" s="152"/>
      <c r="V2725" s="152"/>
      <c r="W2725" s="152"/>
      <c r="X2725" s="152"/>
      <c r="Y2725" s="152"/>
      <c r="Z2725" s="152"/>
      <c r="AA2725" s="152"/>
      <c r="AB2725" s="152"/>
    </row>
    <row r="2726" spans="1:28">
      <c r="A2726" s="152"/>
      <c r="B2726" s="152"/>
      <c r="C2726" s="152"/>
      <c r="D2726" s="152"/>
      <c r="E2726" s="152"/>
      <c r="F2726" s="152"/>
      <c r="G2726" s="152"/>
      <c r="H2726" s="152"/>
      <c r="I2726" s="152"/>
      <c r="J2726" s="152"/>
      <c r="K2726" s="152"/>
      <c r="L2726" s="152"/>
      <c r="M2726" s="152"/>
      <c r="N2726" s="152"/>
      <c r="O2726" s="152"/>
      <c r="P2726" s="152"/>
      <c r="Q2726" s="152"/>
      <c r="R2726" s="152"/>
      <c r="S2726" s="152"/>
      <c r="T2726" s="152"/>
      <c r="U2726" s="152"/>
      <c r="V2726" s="152"/>
      <c r="W2726" s="152"/>
      <c r="X2726" s="152"/>
      <c r="Y2726" s="152"/>
      <c r="Z2726" s="152"/>
      <c r="AA2726" s="152"/>
      <c r="AB2726" s="152"/>
    </row>
    <row r="2727" spans="1:28">
      <c r="A2727" s="152"/>
      <c r="B2727" s="152"/>
      <c r="C2727" s="152"/>
      <c r="D2727" s="152"/>
      <c r="E2727" s="152"/>
      <c r="F2727" s="152"/>
      <c r="G2727" s="152"/>
      <c r="H2727" s="152"/>
      <c r="I2727" s="152"/>
      <c r="J2727" s="152"/>
      <c r="K2727" s="152"/>
      <c r="L2727" s="152"/>
      <c r="M2727" s="152"/>
      <c r="N2727" s="152"/>
      <c r="O2727" s="152"/>
      <c r="P2727" s="152"/>
      <c r="Q2727" s="152"/>
      <c r="R2727" s="152"/>
      <c r="S2727" s="152"/>
      <c r="T2727" s="152"/>
      <c r="U2727" s="152"/>
      <c r="V2727" s="152"/>
      <c r="W2727" s="152"/>
      <c r="X2727" s="152"/>
      <c r="Y2727" s="152"/>
      <c r="Z2727" s="152"/>
      <c r="AA2727" s="152"/>
      <c r="AB2727" s="152"/>
    </row>
    <row r="2728" spans="1:28">
      <c r="A2728" s="152"/>
      <c r="B2728" s="152"/>
      <c r="C2728" s="152"/>
      <c r="D2728" s="152"/>
      <c r="E2728" s="152"/>
      <c r="F2728" s="152"/>
      <c r="G2728" s="152"/>
      <c r="H2728" s="152"/>
      <c r="I2728" s="152"/>
      <c r="J2728" s="152"/>
      <c r="K2728" s="152"/>
      <c r="L2728" s="152"/>
      <c r="M2728" s="152"/>
      <c r="N2728" s="152"/>
      <c r="O2728" s="152"/>
      <c r="P2728" s="152"/>
      <c r="Q2728" s="152"/>
      <c r="R2728" s="152"/>
      <c r="S2728" s="152"/>
      <c r="T2728" s="152"/>
      <c r="U2728" s="152"/>
      <c r="V2728" s="152"/>
      <c r="W2728" s="152"/>
      <c r="X2728" s="152"/>
      <c r="Y2728" s="152"/>
      <c r="Z2728" s="152"/>
      <c r="AA2728" s="152"/>
      <c r="AB2728" s="152"/>
    </row>
    <row r="2729" spans="1:28">
      <c r="A2729" s="152"/>
      <c r="B2729" s="152"/>
      <c r="C2729" s="152"/>
      <c r="D2729" s="152"/>
      <c r="E2729" s="152"/>
      <c r="F2729" s="152"/>
      <c r="G2729" s="152"/>
      <c r="H2729" s="152"/>
      <c r="I2729" s="152"/>
      <c r="J2729" s="152"/>
      <c r="K2729" s="152"/>
      <c r="L2729" s="152"/>
      <c r="M2729" s="152"/>
      <c r="N2729" s="152"/>
      <c r="O2729" s="152"/>
      <c r="P2729" s="152"/>
      <c r="Q2729" s="152"/>
      <c r="R2729" s="152"/>
      <c r="S2729" s="152"/>
      <c r="T2729" s="152"/>
      <c r="U2729" s="152"/>
      <c r="V2729" s="152"/>
      <c r="W2729" s="152"/>
      <c r="X2729" s="152"/>
      <c r="Y2729" s="152"/>
      <c r="Z2729" s="152"/>
      <c r="AA2729" s="152"/>
      <c r="AB2729" s="152"/>
    </row>
    <row r="2730" spans="1:28">
      <c r="A2730" s="152"/>
      <c r="B2730" s="152"/>
      <c r="C2730" s="152"/>
      <c r="D2730" s="152"/>
      <c r="E2730" s="152"/>
      <c r="F2730" s="152"/>
      <c r="G2730" s="152"/>
      <c r="H2730" s="152"/>
      <c r="I2730" s="152"/>
      <c r="J2730" s="152"/>
      <c r="K2730" s="152"/>
      <c r="L2730" s="152"/>
      <c r="M2730" s="152"/>
      <c r="N2730" s="152"/>
      <c r="O2730" s="152"/>
      <c r="P2730" s="152"/>
      <c r="Q2730" s="152"/>
      <c r="R2730" s="152"/>
      <c r="S2730" s="152"/>
      <c r="T2730" s="152"/>
      <c r="U2730" s="152"/>
      <c r="V2730" s="152"/>
      <c r="W2730" s="152"/>
      <c r="X2730" s="152"/>
      <c r="Y2730" s="152"/>
      <c r="Z2730" s="152"/>
      <c r="AA2730" s="152"/>
      <c r="AB2730" s="152"/>
    </row>
    <row r="2731" spans="1:28">
      <c r="A2731" s="152"/>
      <c r="B2731" s="152"/>
      <c r="C2731" s="152"/>
      <c r="D2731" s="152"/>
      <c r="E2731" s="152"/>
      <c r="F2731" s="152"/>
      <c r="G2731" s="152"/>
      <c r="H2731" s="152"/>
      <c r="I2731" s="152"/>
      <c r="J2731" s="152"/>
      <c r="K2731" s="152"/>
      <c r="L2731" s="152"/>
      <c r="M2731" s="152"/>
      <c r="N2731" s="152"/>
      <c r="O2731" s="152"/>
      <c r="P2731" s="152"/>
      <c r="Q2731" s="152"/>
      <c r="R2731" s="152"/>
      <c r="S2731" s="152"/>
      <c r="T2731" s="152"/>
      <c r="U2731" s="152"/>
      <c r="V2731" s="152"/>
      <c r="W2731" s="152"/>
      <c r="X2731" s="152"/>
      <c r="Y2731" s="152"/>
      <c r="Z2731" s="152"/>
      <c r="AA2731" s="152"/>
      <c r="AB2731" s="152"/>
    </row>
    <row r="2732" spans="1:28">
      <c r="A2732" s="152"/>
      <c r="B2732" s="152"/>
      <c r="C2732" s="152"/>
      <c r="D2732" s="152"/>
      <c r="E2732" s="152"/>
      <c r="F2732" s="152"/>
      <c r="G2732" s="152"/>
      <c r="H2732" s="152"/>
      <c r="I2732" s="152"/>
      <c r="J2732" s="152"/>
      <c r="K2732" s="152"/>
      <c r="L2732" s="152"/>
      <c r="M2732" s="152"/>
      <c r="N2732" s="152"/>
      <c r="O2732" s="152"/>
      <c r="P2732" s="152"/>
      <c r="Q2732" s="152"/>
      <c r="R2732" s="152"/>
      <c r="S2732" s="152"/>
      <c r="T2732" s="152"/>
      <c r="U2732" s="152"/>
      <c r="V2732" s="152"/>
      <c r="W2732" s="152"/>
      <c r="X2732" s="152"/>
      <c r="Y2732" s="152"/>
      <c r="Z2732" s="152"/>
      <c r="AA2732" s="152"/>
      <c r="AB2732" s="152"/>
    </row>
    <row r="2733" spans="1:28">
      <c r="A2733" s="152"/>
      <c r="B2733" s="152"/>
      <c r="C2733" s="152"/>
      <c r="D2733" s="152"/>
      <c r="E2733" s="152"/>
      <c r="F2733" s="152"/>
      <c r="G2733" s="152"/>
      <c r="H2733" s="152"/>
      <c r="I2733" s="152"/>
      <c r="J2733" s="152"/>
      <c r="K2733" s="152"/>
      <c r="L2733" s="152"/>
      <c r="M2733" s="152"/>
      <c r="N2733" s="152"/>
      <c r="O2733" s="152"/>
      <c r="P2733" s="152"/>
      <c r="Q2733" s="152"/>
      <c r="R2733" s="152"/>
      <c r="S2733" s="152"/>
      <c r="T2733" s="152"/>
      <c r="U2733" s="152"/>
      <c r="V2733" s="152"/>
      <c r="W2733" s="152"/>
      <c r="X2733" s="152"/>
      <c r="Y2733" s="152"/>
      <c r="Z2733" s="152"/>
      <c r="AA2733" s="152"/>
      <c r="AB2733" s="152"/>
    </row>
    <row r="2734" spans="1:28">
      <c r="A2734" s="152"/>
      <c r="B2734" s="152"/>
      <c r="C2734" s="152"/>
      <c r="D2734" s="152"/>
      <c r="E2734" s="152"/>
      <c r="F2734" s="152"/>
      <c r="G2734" s="152"/>
      <c r="H2734" s="152"/>
      <c r="I2734" s="152"/>
      <c r="J2734" s="152"/>
      <c r="K2734" s="152"/>
      <c r="L2734" s="152"/>
      <c r="M2734" s="152"/>
      <c r="N2734" s="152"/>
      <c r="O2734" s="152"/>
      <c r="P2734" s="152"/>
      <c r="Q2734" s="152"/>
      <c r="R2734" s="152"/>
      <c r="S2734" s="152"/>
      <c r="T2734" s="152"/>
      <c r="U2734" s="152"/>
      <c r="V2734" s="152"/>
      <c r="W2734" s="152"/>
      <c r="X2734" s="152"/>
      <c r="Y2734" s="152"/>
      <c r="Z2734" s="152"/>
      <c r="AA2734" s="152"/>
      <c r="AB2734" s="152"/>
    </row>
    <row r="2735" spans="1:28">
      <c r="A2735" s="152"/>
      <c r="B2735" s="152"/>
      <c r="C2735" s="152"/>
      <c r="D2735" s="152"/>
      <c r="E2735" s="152"/>
      <c r="F2735" s="152"/>
      <c r="G2735" s="152"/>
      <c r="H2735" s="152"/>
      <c r="I2735" s="152"/>
      <c r="J2735" s="152"/>
      <c r="K2735" s="152"/>
      <c r="L2735" s="152"/>
      <c r="M2735" s="152"/>
      <c r="N2735" s="152"/>
      <c r="O2735" s="152"/>
      <c r="P2735" s="152"/>
      <c r="Q2735" s="152"/>
      <c r="R2735" s="152"/>
      <c r="S2735" s="152"/>
      <c r="T2735" s="152"/>
      <c r="U2735" s="152"/>
      <c r="V2735" s="152"/>
      <c r="W2735" s="152"/>
      <c r="X2735" s="152"/>
      <c r="Y2735" s="152"/>
      <c r="Z2735" s="152"/>
      <c r="AA2735" s="152"/>
      <c r="AB2735" s="152"/>
    </row>
    <row r="2736" spans="1:28">
      <c r="A2736" s="152"/>
      <c r="B2736" s="152"/>
      <c r="C2736" s="152"/>
      <c r="D2736" s="152"/>
      <c r="E2736" s="152"/>
      <c r="F2736" s="152"/>
      <c r="G2736" s="152"/>
      <c r="H2736" s="152"/>
      <c r="I2736" s="152"/>
      <c r="J2736" s="152"/>
      <c r="K2736" s="152"/>
      <c r="L2736" s="152"/>
      <c r="M2736" s="152"/>
      <c r="N2736" s="152"/>
      <c r="O2736" s="152"/>
      <c r="P2736" s="152"/>
      <c r="Q2736" s="152"/>
      <c r="R2736" s="152"/>
      <c r="S2736" s="152"/>
      <c r="T2736" s="152"/>
      <c r="U2736" s="152"/>
      <c r="V2736" s="152"/>
      <c r="W2736" s="152"/>
      <c r="X2736" s="152"/>
      <c r="Y2736" s="152"/>
      <c r="Z2736" s="152"/>
      <c r="AA2736" s="152"/>
      <c r="AB2736" s="152"/>
    </row>
    <row r="2737" spans="1:28">
      <c r="A2737" s="152"/>
      <c r="B2737" s="152"/>
      <c r="C2737" s="152"/>
      <c r="D2737" s="152"/>
      <c r="E2737" s="152"/>
      <c r="F2737" s="152"/>
      <c r="G2737" s="152"/>
      <c r="H2737" s="152"/>
      <c r="I2737" s="152"/>
      <c r="J2737" s="152"/>
      <c r="K2737" s="152"/>
      <c r="L2737" s="152"/>
      <c r="M2737" s="152"/>
      <c r="N2737" s="152"/>
      <c r="O2737" s="152"/>
      <c r="P2737" s="152"/>
      <c r="Q2737" s="152"/>
      <c r="R2737" s="152"/>
      <c r="S2737" s="152"/>
      <c r="T2737" s="152"/>
      <c r="U2737" s="152"/>
      <c r="V2737" s="152"/>
      <c r="W2737" s="152"/>
      <c r="X2737" s="152"/>
      <c r="Y2737" s="152"/>
      <c r="Z2737" s="152"/>
      <c r="AA2737" s="152"/>
      <c r="AB2737" s="152"/>
    </row>
    <row r="2738" spans="1:28">
      <c r="A2738" s="152"/>
      <c r="B2738" s="152"/>
      <c r="C2738" s="152"/>
      <c r="D2738" s="152"/>
      <c r="E2738" s="152"/>
      <c r="F2738" s="152"/>
      <c r="G2738" s="152"/>
      <c r="H2738" s="152"/>
      <c r="I2738" s="152"/>
      <c r="J2738" s="152"/>
      <c r="K2738" s="152"/>
      <c r="L2738" s="152"/>
      <c r="M2738" s="152"/>
      <c r="N2738" s="152"/>
      <c r="O2738" s="152"/>
      <c r="P2738" s="152"/>
      <c r="Q2738" s="152"/>
      <c r="R2738" s="152"/>
      <c r="S2738" s="152"/>
      <c r="T2738" s="152"/>
      <c r="U2738" s="152"/>
      <c r="V2738" s="152"/>
      <c r="W2738" s="152"/>
      <c r="X2738" s="152"/>
      <c r="Y2738" s="152"/>
      <c r="Z2738" s="152"/>
      <c r="AA2738" s="152"/>
      <c r="AB2738" s="152"/>
    </row>
    <row r="2739" spans="1:28">
      <c r="A2739" s="152"/>
      <c r="B2739" s="152"/>
      <c r="C2739" s="152"/>
      <c r="D2739" s="152"/>
      <c r="E2739" s="152"/>
      <c r="F2739" s="152"/>
      <c r="G2739" s="152"/>
      <c r="H2739" s="152"/>
      <c r="I2739" s="152"/>
      <c r="J2739" s="152"/>
      <c r="K2739" s="152"/>
      <c r="L2739" s="152"/>
      <c r="M2739" s="152"/>
      <c r="N2739" s="152"/>
      <c r="O2739" s="152"/>
      <c r="P2739" s="152"/>
      <c r="Q2739" s="152"/>
      <c r="R2739" s="152"/>
      <c r="S2739" s="152"/>
      <c r="T2739" s="152"/>
      <c r="U2739" s="152"/>
      <c r="V2739" s="152"/>
      <c r="W2739" s="152"/>
      <c r="X2739" s="152"/>
      <c r="Y2739" s="152"/>
      <c r="Z2739" s="152"/>
      <c r="AA2739" s="152"/>
      <c r="AB2739" s="152"/>
    </row>
    <row r="2740" spans="1:28">
      <c r="A2740" s="152"/>
      <c r="B2740" s="152"/>
      <c r="C2740" s="152"/>
      <c r="D2740" s="152"/>
      <c r="E2740" s="152"/>
      <c r="F2740" s="152"/>
      <c r="G2740" s="152"/>
      <c r="H2740" s="152"/>
      <c r="I2740" s="152"/>
      <c r="J2740" s="152"/>
      <c r="K2740" s="152"/>
      <c r="L2740" s="152"/>
      <c r="M2740" s="152"/>
      <c r="N2740" s="152"/>
      <c r="O2740" s="152"/>
      <c r="P2740" s="152"/>
      <c r="Q2740" s="152"/>
      <c r="R2740" s="152"/>
      <c r="S2740" s="152"/>
      <c r="T2740" s="152"/>
      <c r="U2740" s="152"/>
      <c r="V2740" s="152"/>
      <c r="W2740" s="152"/>
      <c r="X2740" s="152"/>
      <c r="Y2740" s="152"/>
      <c r="Z2740" s="152"/>
      <c r="AA2740" s="152"/>
      <c r="AB2740" s="152"/>
    </row>
    <row r="2741" spans="1:28">
      <c r="A2741" s="152"/>
      <c r="B2741" s="152"/>
      <c r="C2741" s="152"/>
      <c r="D2741" s="152"/>
      <c r="E2741" s="152"/>
      <c r="F2741" s="152"/>
      <c r="G2741" s="152"/>
      <c r="H2741" s="152"/>
      <c r="I2741" s="152"/>
      <c r="J2741" s="152"/>
      <c r="K2741" s="152"/>
      <c r="L2741" s="152"/>
      <c r="M2741" s="152"/>
      <c r="N2741" s="152"/>
      <c r="O2741" s="152"/>
      <c r="P2741" s="152"/>
      <c r="Q2741" s="152"/>
      <c r="R2741" s="152"/>
      <c r="S2741" s="152"/>
      <c r="T2741" s="152"/>
      <c r="U2741" s="152"/>
      <c r="V2741" s="152"/>
      <c r="W2741" s="152"/>
      <c r="X2741" s="152"/>
      <c r="Y2741" s="152"/>
      <c r="Z2741" s="152"/>
      <c r="AA2741" s="152"/>
      <c r="AB2741" s="152"/>
    </row>
    <row r="2742" spans="1:28">
      <c r="A2742" s="152"/>
      <c r="B2742" s="152"/>
      <c r="C2742" s="152"/>
      <c r="D2742" s="152"/>
      <c r="E2742" s="152"/>
      <c r="F2742" s="152"/>
      <c r="G2742" s="152"/>
      <c r="H2742" s="152"/>
      <c r="I2742" s="152"/>
      <c r="J2742" s="152"/>
      <c r="K2742" s="152"/>
      <c r="L2742" s="152"/>
      <c r="M2742" s="152"/>
      <c r="N2742" s="152"/>
      <c r="O2742" s="152"/>
      <c r="P2742" s="152"/>
      <c r="Q2742" s="152"/>
      <c r="R2742" s="152"/>
      <c r="S2742" s="152"/>
      <c r="T2742" s="152"/>
      <c r="U2742" s="152"/>
      <c r="V2742" s="152"/>
      <c r="W2742" s="152"/>
      <c r="X2742" s="152"/>
      <c r="Y2742" s="152"/>
      <c r="Z2742" s="152"/>
      <c r="AA2742" s="152"/>
      <c r="AB2742" s="152"/>
    </row>
    <row r="2743" spans="1:28">
      <c r="A2743" s="152"/>
      <c r="B2743" s="152"/>
      <c r="C2743" s="152"/>
      <c r="D2743" s="152"/>
      <c r="E2743" s="152"/>
      <c r="F2743" s="152"/>
      <c r="G2743" s="152"/>
      <c r="H2743" s="152"/>
      <c r="I2743" s="152"/>
      <c r="J2743" s="152"/>
      <c r="K2743" s="152"/>
      <c r="L2743" s="152"/>
      <c r="M2743" s="152"/>
      <c r="N2743" s="152"/>
      <c r="O2743" s="152"/>
      <c r="P2743" s="152"/>
      <c r="Q2743" s="152"/>
      <c r="R2743" s="152"/>
      <c r="S2743" s="152"/>
      <c r="T2743" s="152"/>
      <c r="U2743" s="152"/>
      <c r="V2743" s="152"/>
      <c r="W2743" s="152"/>
      <c r="X2743" s="152"/>
      <c r="Y2743" s="152"/>
      <c r="Z2743" s="152"/>
      <c r="AA2743" s="152"/>
      <c r="AB2743" s="152"/>
    </row>
    <row r="2744" spans="1:28">
      <c r="A2744" s="152"/>
      <c r="B2744" s="152"/>
      <c r="C2744" s="152"/>
      <c r="D2744" s="152"/>
      <c r="E2744" s="152"/>
      <c r="F2744" s="152"/>
      <c r="G2744" s="152"/>
      <c r="H2744" s="152"/>
      <c r="I2744" s="152"/>
      <c r="J2744" s="152"/>
      <c r="K2744" s="152"/>
      <c r="L2744" s="152"/>
      <c r="M2744" s="152"/>
      <c r="N2744" s="152"/>
      <c r="O2744" s="152"/>
      <c r="P2744" s="152"/>
      <c r="Q2744" s="152"/>
      <c r="R2744" s="152"/>
      <c r="S2744" s="152"/>
      <c r="T2744" s="152"/>
      <c r="U2744" s="152"/>
      <c r="V2744" s="152"/>
      <c r="W2744" s="152"/>
      <c r="X2744" s="152"/>
      <c r="Y2744" s="152"/>
      <c r="Z2744" s="152"/>
      <c r="AA2744" s="152"/>
      <c r="AB2744" s="152"/>
    </row>
    <row r="2745" spans="1:28">
      <c r="A2745" s="152"/>
      <c r="B2745" s="152"/>
      <c r="C2745" s="152"/>
      <c r="D2745" s="152"/>
      <c r="E2745" s="152"/>
      <c r="F2745" s="152"/>
      <c r="G2745" s="152"/>
      <c r="H2745" s="152"/>
      <c r="I2745" s="152"/>
      <c r="J2745" s="152"/>
      <c r="K2745" s="152"/>
      <c r="L2745" s="152"/>
      <c r="M2745" s="152"/>
      <c r="N2745" s="152"/>
      <c r="O2745" s="152"/>
      <c r="P2745" s="152"/>
      <c r="Q2745" s="152"/>
      <c r="R2745" s="152"/>
      <c r="S2745" s="152"/>
      <c r="T2745" s="152"/>
      <c r="U2745" s="152"/>
      <c r="V2745" s="152"/>
      <c r="W2745" s="152"/>
      <c r="X2745" s="152"/>
      <c r="Y2745" s="152"/>
      <c r="Z2745" s="152"/>
      <c r="AA2745" s="152"/>
      <c r="AB2745" s="152"/>
    </row>
    <row r="2746" spans="1:28">
      <c r="A2746" s="152"/>
      <c r="B2746" s="152"/>
      <c r="C2746" s="152"/>
      <c r="D2746" s="152"/>
      <c r="E2746" s="152"/>
      <c r="F2746" s="152"/>
      <c r="G2746" s="152"/>
      <c r="H2746" s="152"/>
      <c r="I2746" s="152"/>
      <c r="J2746" s="152"/>
      <c r="K2746" s="152"/>
      <c r="L2746" s="152"/>
      <c r="M2746" s="152"/>
      <c r="N2746" s="152"/>
      <c r="O2746" s="152"/>
      <c r="P2746" s="152"/>
      <c r="Q2746" s="152"/>
      <c r="R2746" s="152"/>
      <c r="S2746" s="152"/>
      <c r="T2746" s="152"/>
      <c r="U2746" s="152"/>
      <c r="V2746" s="152"/>
      <c r="W2746" s="152"/>
      <c r="X2746" s="152"/>
      <c r="Y2746" s="152"/>
      <c r="Z2746" s="152"/>
      <c r="AA2746" s="152"/>
      <c r="AB2746" s="152"/>
    </row>
    <row r="2747" spans="1:28">
      <c r="A2747" s="152"/>
      <c r="B2747" s="152"/>
      <c r="C2747" s="152"/>
      <c r="D2747" s="152"/>
      <c r="E2747" s="152"/>
      <c r="F2747" s="152"/>
      <c r="G2747" s="152"/>
      <c r="H2747" s="152"/>
      <c r="I2747" s="152"/>
      <c r="J2747" s="152"/>
      <c r="K2747" s="152"/>
      <c r="L2747" s="152"/>
      <c r="M2747" s="152"/>
      <c r="N2747" s="152"/>
      <c r="O2747" s="152"/>
      <c r="P2747" s="152"/>
      <c r="Q2747" s="152"/>
      <c r="R2747" s="152"/>
      <c r="S2747" s="152"/>
      <c r="T2747" s="152"/>
      <c r="U2747" s="152"/>
      <c r="V2747" s="152"/>
      <c r="W2747" s="152"/>
      <c r="X2747" s="152"/>
      <c r="Y2747" s="152"/>
      <c r="Z2747" s="152"/>
      <c r="AA2747" s="152"/>
      <c r="AB2747" s="152"/>
    </row>
    <row r="2748" spans="1:28">
      <c r="A2748" s="152"/>
      <c r="B2748" s="152"/>
      <c r="C2748" s="152"/>
      <c r="D2748" s="152"/>
      <c r="E2748" s="152"/>
      <c r="F2748" s="152"/>
      <c r="G2748" s="152"/>
      <c r="H2748" s="152"/>
      <c r="I2748" s="152"/>
      <c r="J2748" s="152"/>
      <c r="K2748" s="152"/>
      <c r="L2748" s="152"/>
      <c r="M2748" s="152"/>
      <c r="N2748" s="152"/>
      <c r="O2748" s="152"/>
      <c r="P2748" s="152"/>
      <c r="Q2748" s="152"/>
      <c r="R2748" s="152"/>
      <c r="S2748" s="152"/>
      <c r="T2748" s="152"/>
      <c r="U2748" s="152"/>
      <c r="V2748" s="152"/>
      <c r="W2748" s="152"/>
      <c r="X2748" s="152"/>
      <c r="Y2748" s="152"/>
      <c r="Z2748" s="152"/>
      <c r="AA2748" s="152"/>
      <c r="AB2748" s="152"/>
    </row>
    <row r="2749" spans="1:28">
      <c r="A2749" s="152"/>
      <c r="B2749" s="152"/>
      <c r="C2749" s="152"/>
      <c r="D2749" s="152"/>
      <c r="E2749" s="152"/>
      <c r="F2749" s="152"/>
      <c r="G2749" s="152"/>
      <c r="H2749" s="152"/>
      <c r="I2749" s="152"/>
      <c r="J2749" s="152"/>
      <c r="K2749" s="152"/>
      <c r="L2749" s="152"/>
      <c r="M2749" s="152"/>
      <c r="N2749" s="152"/>
      <c r="O2749" s="152"/>
      <c r="P2749" s="152"/>
      <c r="Q2749" s="152"/>
      <c r="R2749" s="152"/>
      <c r="S2749" s="152"/>
      <c r="T2749" s="152"/>
      <c r="U2749" s="152"/>
      <c r="V2749" s="152"/>
      <c r="W2749" s="152"/>
      <c r="X2749" s="152"/>
      <c r="Y2749" s="152"/>
      <c r="Z2749" s="152"/>
      <c r="AA2749" s="152"/>
      <c r="AB2749" s="152"/>
    </row>
    <row r="2750" spans="1:28">
      <c r="A2750" s="152"/>
      <c r="B2750" s="152"/>
      <c r="C2750" s="152"/>
      <c r="D2750" s="152"/>
      <c r="E2750" s="152"/>
      <c r="F2750" s="152"/>
      <c r="G2750" s="152"/>
      <c r="H2750" s="152"/>
      <c r="I2750" s="152"/>
      <c r="J2750" s="152"/>
      <c r="K2750" s="152"/>
      <c r="L2750" s="152"/>
      <c r="M2750" s="152"/>
      <c r="N2750" s="152"/>
      <c r="O2750" s="152"/>
      <c r="P2750" s="152"/>
      <c r="Q2750" s="152"/>
      <c r="R2750" s="152"/>
      <c r="S2750" s="152"/>
      <c r="T2750" s="152"/>
      <c r="U2750" s="152"/>
      <c r="V2750" s="152"/>
      <c r="W2750" s="152"/>
      <c r="X2750" s="152"/>
      <c r="Y2750" s="152"/>
      <c r="Z2750" s="152"/>
      <c r="AA2750" s="152"/>
      <c r="AB2750" s="152"/>
    </row>
  </sheetData>
  <printOptions headings="1"/>
  <pageMargins left="0.70866141732283472" right="0.70866141732283472" top="0.74803149606299213" bottom="0.74803149606299213" header="0.31496062992125984" footer="0.31496062992125984"/>
  <pageSetup paperSize="9" scale="46" fitToHeight="0" orientation="landscape" r:id="rId1"/>
  <headerFooter>
    <oddHeader>&amp;C&amp;A</oddHeader>
    <oddFooter>&amp;LAppendix A - Transmission roll forward model - version 3&amp;R&amp;P</oddFooter>
  </headerFooter>
  <rowBreaks count="4" manualBreakCount="4">
    <brk id="498" max="22" man="1"/>
    <brk id="1038" max="22" man="1"/>
    <brk id="1632" max="22" man="1"/>
    <brk id="222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64865" r:id="rId4" name="Button 1">
              <controlPr defaultSize="0" print="0" autoFill="0" autoPict="0" macro="[0]!AddExtraYearButton">
                <anchor moveWithCells="1" sizeWithCells="1">
                  <from>
                    <xdr:col>5</xdr:col>
                    <xdr:colOff>76200</xdr:colOff>
                    <xdr:row>0</xdr:row>
                    <xdr:rowOff>28575</xdr:rowOff>
                  </from>
                  <to>
                    <xdr:col>8</xdr:col>
                    <xdr:colOff>666750</xdr:colOff>
                    <xdr:row>2</xdr:row>
                    <xdr:rowOff>142875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B2750"/>
  <sheetViews>
    <sheetView showGridLines="0" zoomScale="90" zoomScaleNormal="90" workbookViewId="0"/>
  </sheetViews>
  <sheetFormatPr defaultRowHeight="12.75" outlineLevelRow="1"/>
  <cols>
    <col min="1" max="1" width="16.42578125" customWidth="1"/>
    <col min="2" max="2" width="32.42578125" customWidth="1"/>
    <col min="3" max="3" width="11.5703125" customWidth="1"/>
    <col min="4" max="23" width="10.5703125" customWidth="1"/>
  </cols>
  <sheetData>
    <row r="1" spans="1:28">
      <c r="A1" s="127"/>
      <c r="B1" s="127"/>
      <c r="C1" s="127"/>
      <c r="D1" s="127"/>
      <c r="E1" s="127"/>
      <c r="F1" s="127"/>
      <c r="G1" s="127"/>
      <c r="H1" s="127"/>
      <c r="I1" s="127"/>
      <c r="J1" s="127"/>
      <c r="K1" s="127"/>
      <c r="L1" s="127"/>
      <c r="M1" s="127"/>
      <c r="N1" s="127"/>
      <c r="O1" s="127"/>
      <c r="P1" s="127"/>
      <c r="Q1" s="127"/>
      <c r="R1" s="127"/>
      <c r="S1" s="127"/>
      <c r="T1" s="127"/>
      <c r="U1" s="127"/>
      <c r="V1" s="127"/>
      <c r="W1" s="127"/>
      <c r="X1" s="152"/>
      <c r="Y1" s="152"/>
      <c r="Z1" s="152"/>
      <c r="AA1" s="152"/>
      <c r="AB1" s="152"/>
    </row>
    <row r="2" spans="1:28" ht="15.75">
      <c r="A2" s="127"/>
      <c r="B2" s="176" t="str">
        <f>'DMS input'!$C$16&amp;" - Tax Asset Lives Roll Forward"&amp;" - DNSP RFM - version "&amp;Intro!$M$4</f>
        <v>Aus Gas Qld - Tax Asset Lives Roll Forward - DNSP RFM - version 3</v>
      </c>
      <c r="C2" s="128"/>
      <c r="D2" s="128"/>
      <c r="E2" s="128"/>
      <c r="F2" s="128"/>
      <c r="G2" s="128"/>
      <c r="H2" s="128"/>
      <c r="I2" s="128"/>
      <c r="J2" s="128"/>
      <c r="K2" s="128"/>
      <c r="L2" s="128"/>
      <c r="M2" s="128"/>
      <c r="N2" s="128"/>
      <c r="O2" s="128"/>
      <c r="P2" s="128"/>
      <c r="Q2" s="128"/>
      <c r="R2" s="128"/>
      <c r="S2" s="128"/>
      <c r="T2" s="128"/>
      <c r="U2" s="128"/>
      <c r="V2" s="128"/>
      <c r="W2" s="128"/>
      <c r="X2" s="152"/>
      <c r="Y2" s="152"/>
      <c r="Z2" s="152"/>
      <c r="AA2" s="152"/>
      <c r="AB2" s="152"/>
    </row>
    <row r="3" spans="1:28">
      <c r="A3" s="128"/>
      <c r="B3" s="128"/>
      <c r="C3" s="128"/>
      <c r="D3" s="128"/>
      <c r="E3" s="128"/>
      <c r="F3" s="128"/>
      <c r="G3" s="128"/>
      <c r="H3" s="128"/>
      <c r="I3" s="128"/>
      <c r="J3" s="128"/>
      <c r="K3" s="128"/>
      <c r="L3" s="128"/>
      <c r="M3" s="128"/>
      <c r="N3" s="128"/>
      <c r="O3" s="128"/>
      <c r="P3" s="128"/>
      <c r="Q3" s="128"/>
      <c r="R3" s="128"/>
      <c r="S3" s="128"/>
      <c r="T3" s="128"/>
      <c r="U3" s="128"/>
      <c r="V3" s="128"/>
      <c r="W3" s="128"/>
      <c r="X3" s="152"/>
      <c r="Y3" s="152"/>
      <c r="Z3" s="152"/>
      <c r="AA3" s="152"/>
      <c r="AB3" s="152"/>
    </row>
    <row r="4" spans="1:28" ht="16.5" customHeight="1">
      <c r="A4" s="56"/>
      <c r="B4" s="57"/>
      <c r="C4" s="56"/>
      <c r="D4" s="56"/>
      <c r="E4" s="56"/>
      <c r="F4" s="56"/>
      <c r="G4" s="95"/>
      <c r="H4" s="95"/>
      <c r="I4" s="95"/>
      <c r="J4" s="95"/>
      <c r="K4" s="95"/>
      <c r="L4" s="95"/>
      <c r="M4" s="95"/>
      <c r="N4" s="95"/>
      <c r="O4" s="95"/>
      <c r="P4" s="95"/>
      <c r="Q4" s="95"/>
      <c r="R4" s="95"/>
      <c r="S4" s="95"/>
      <c r="T4" s="95"/>
      <c r="U4" s="95"/>
      <c r="V4" s="95"/>
      <c r="W4" s="95"/>
      <c r="X4" s="152"/>
      <c r="Y4" s="152"/>
      <c r="Z4" s="152"/>
      <c r="AA4" s="152"/>
      <c r="AB4" s="152"/>
    </row>
    <row r="5" spans="1:28">
      <c r="A5" s="124"/>
      <c r="B5" s="106" t="s">
        <v>199</v>
      </c>
      <c r="C5" s="205"/>
      <c r="D5" s="124"/>
      <c r="E5" s="124"/>
      <c r="F5" s="124"/>
      <c r="G5" s="124"/>
      <c r="H5" s="124"/>
      <c r="I5" s="124"/>
      <c r="J5" s="124"/>
      <c r="K5" s="124"/>
      <c r="L5" s="124"/>
      <c r="M5" s="124"/>
      <c r="N5" s="124"/>
      <c r="O5" s="124"/>
      <c r="P5" s="124"/>
      <c r="Q5" s="124"/>
      <c r="R5" s="124"/>
      <c r="S5" s="124"/>
      <c r="T5" s="124"/>
      <c r="U5" s="124"/>
      <c r="V5" s="124"/>
      <c r="W5" s="124"/>
      <c r="X5" s="196"/>
      <c r="Y5" s="196"/>
      <c r="Z5" s="196"/>
      <c r="AA5" s="152"/>
      <c r="AB5" s="152"/>
    </row>
    <row r="6" spans="1:28" ht="15.75">
      <c r="A6" s="203"/>
      <c r="B6" s="203"/>
      <c r="C6" s="95" t="s">
        <v>124</v>
      </c>
      <c r="D6" s="95" t="str">
        <f>'RAB remaining lives'!D6</f>
        <v>2016-17</v>
      </c>
      <c r="E6" s="95" t="str">
        <f>'RAB remaining lives'!E6</f>
        <v>2017-18</v>
      </c>
      <c r="F6" s="95" t="str">
        <f>'RAB remaining lives'!F6</f>
        <v>2018-19</v>
      </c>
      <c r="G6" s="95" t="str">
        <f>'RAB remaining lives'!G6</f>
        <v>2019-20</v>
      </c>
      <c r="H6" s="95" t="str">
        <f>'RAB remaining lives'!H6</f>
        <v>2020-21</v>
      </c>
      <c r="I6" s="95" t="str">
        <f>'RAB remaining lives'!I6</f>
        <v>2021-22</v>
      </c>
      <c r="J6" s="95" t="str">
        <f>'RAB remaining lives'!J6</f>
        <v>2022-23</v>
      </c>
      <c r="K6" s="95" t="str">
        <f>'RAB remaining lives'!K6</f>
        <v>2023-24</v>
      </c>
      <c r="L6" s="95" t="str">
        <f>'RAB remaining lives'!L6</f>
        <v>2024-25</v>
      </c>
      <c r="M6" s="95" t="str">
        <f>'RAB remaining lives'!M6</f>
        <v>2025-26</v>
      </c>
      <c r="N6" s="95" t="str">
        <f>'RAB remaining lives'!N6</f>
        <v>2026-27</v>
      </c>
      <c r="O6" s="95" t="str">
        <f>'RAB remaining lives'!O6</f>
        <v>2027-28</v>
      </c>
      <c r="P6" s="95" t="str">
        <f>'RAB remaining lives'!P6</f>
        <v>2028-29</v>
      </c>
      <c r="Q6" s="95" t="str">
        <f>'RAB remaining lives'!Q6</f>
        <v>2029-30</v>
      </c>
      <c r="R6" s="95" t="str">
        <f>'RAB remaining lives'!R6</f>
        <v>2030-31</v>
      </c>
      <c r="S6" s="95" t="str">
        <f>'RAB remaining lives'!S6</f>
        <v>2031-32</v>
      </c>
      <c r="T6" s="95" t="str">
        <f>'RAB remaining lives'!T6</f>
        <v>2032-33</v>
      </c>
      <c r="U6" s="95" t="str">
        <f>'RAB remaining lives'!U6</f>
        <v>2033-34</v>
      </c>
      <c r="V6" s="95" t="str">
        <f>'RAB remaining lives'!V6</f>
        <v>2034-35</v>
      </c>
      <c r="W6" s="95" t="str">
        <f>'RAB remaining lives'!W6</f>
        <v>2035-36</v>
      </c>
      <c r="X6" s="152"/>
      <c r="Y6" s="152"/>
      <c r="Z6" s="152"/>
      <c r="AA6" s="152"/>
      <c r="AB6" s="152"/>
    </row>
    <row r="7" spans="1:28">
      <c r="A7" s="152"/>
      <c r="B7" s="193"/>
      <c r="C7" s="201"/>
      <c r="D7" s="1462" t="str">
        <f ca="1">IF(AND('RAB remaining lives'!C8='RFM input'!Z7=FALSE,COUNTIF($9:$2706,"enter input")),"Note: The year entered in cell C8 of the RAB remaining lives sheet as the 'first regulatory year' entered is different to the RFM base regulatory year. This requires inputs to be entered below for earlier regulatory control periods.","")</f>
        <v/>
      </c>
      <c r="E7" s="201"/>
      <c r="F7" s="201"/>
      <c r="G7" s="201"/>
      <c r="H7" s="201"/>
      <c r="I7" s="201"/>
      <c r="J7" s="201"/>
      <c r="K7" s="201"/>
      <c r="L7" s="201"/>
      <c r="M7" s="201"/>
      <c r="N7" s="201"/>
      <c r="O7" s="201"/>
      <c r="P7" s="201"/>
      <c r="Q7" s="201"/>
      <c r="R7" s="201"/>
      <c r="S7" s="201"/>
      <c r="T7" s="201"/>
      <c r="U7" s="201"/>
      <c r="V7" s="201"/>
      <c r="W7" s="201"/>
      <c r="X7" s="152"/>
      <c r="Y7" s="152"/>
      <c r="Z7" s="152"/>
      <c r="AA7" s="152"/>
      <c r="AB7" s="152"/>
    </row>
    <row r="8" spans="1:28">
      <c r="A8" s="269" t="s">
        <v>0</v>
      </c>
      <c r="B8" s="270" t="str">
        <f>VLOOKUP($A8,'RFM input'!$E$7:$F$56,2,FALSE)</f>
        <v>Mains</v>
      </c>
      <c r="C8" s="271"/>
      <c r="D8" s="271"/>
      <c r="E8" s="272"/>
      <c r="F8" s="272"/>
      <c r="G8" s="272"/>
      <c r="H8" s="272"/>
      <c r="I8" s="273"/>
      <c r="J8" s="273"/>
      <c r="K8" s="273"/>
      <c r="L8" s="273"/>
      <c r="M8" s="273"/>
      <c r="N8" s="273"/>
      <c r="O8" s="273"/>
      <c r="P8" s="273"/>
      <c r="Q8" s="273"/>
      <c r="R8" s="273"/>
      <c r="S8" s="273"/>
      <c r="T8" s="273"/>
      <c r="U8" s="273"/>
      <c r="V8" s="273"/>
      <c r="W8" s="273"/>
      <c r="X8" s="152"/>
      <c r="Y8" s="152"/>
      <c r="Z8" s="152"/>
      <c r="AA8" s="152"/>
      <c r="AB8" s="152"/>
    </row>
    <row r="9" spans="1:28">
      <c r="A9" s="215">
        <f>VALUE(REPLACE(A8,1,12,""))</f>
        <v>1</v>
      </c>
      <c r="B9" s="193" t="s">
        <v>126</v>
      </c>
      <c r="C9" s="1416">
        <f ca="1">IF($D$6='TAB roll forward'!$H$4,OFFSET('TAB roll forward'!$H$7,A9,0),"enter input")</f>
        <v>179.73767130411522</v>
      </c>
      <c r="D9" s="1417">
        <f>IF(LEFT(D$6,4)&lt;LEFT('RFM input'!$G$60,4),"enter input",IF(LEFT(D$6,4)&gt;LEFT('RFM input'!$Q$60,4),0,
INDEX('RFM input'!$G$61:$Q$110,$A9,MATCH(D$6,'RFM input'!$G$60:$Q$60,0))
   -INDEX('RFM input'!$G$115:$Q$164,$A9,MATCH(D$6,'RFM input'!$G$60:$Q$60,0))))</f>
        <v>15.658028445032723</v>
      </c>
      <c r="E9" s="1417">
        <f>IF(LEFT(E$6,4)&lt;LEFT('RFM input'!$G$60,4),"enter input",IF(LEFT(E$6,4)&gt;LEFT('RFM input'!$Q$60,4),0,
INDEX('RFM input'!$G$61:$Q$110,$A9,MATCH(E$6,'RFM input'!$G$60:$Q$60,0))
   -INDEX('RFM input'!$G$115:$Q$164,$A9,MATCH(E$6,'RFM input'!$G$60:$Q$60,0))))</f>
        <v>19.260088500242386</v>
      </c>
      <c r="F9" s="1417">
        <f>IF(LEFT(F$6,4)&lt;LEFT('RFM input'!$G$60,4),"enter input",IF(LEFT(F$6,4)&gt;LEFT('RFM input'!$Q$60,4),0,
INDEX('RFM input'!$G$61:$Q$110,$A9,MATCH(F$6,'RFM input'!$G$60:$Q$60,0))
   -INDEX('RFM input'!$G$115:$Q$164,$A9,MATCH(F$6,'RFM input'!$G$60:$Q$60,0))))</f>
        <v>23.794430971210588</v>
      </c>
      <c r="G9" s="1417">
        <f>IF(LEFT(G$6,4)&lt;LEFT('RFM input'!$G$60,4),"enter input",IF(LEFT(G$6,4)&gt;LEFT('RFM input'!$Q$60,4),0,
INDEX('RFM input'!$G$61:$Q$110,$A9,MATCH(G$6,'RFM input'!$G$60:$Q$60,0))
   -INDEX('RFM input'!$G$115:$Q$164,$A9,MATCH(G$6,'RFM input'!$G$60:$Q$60,0))))</f>
        <v>19.056827713457906</v>
      </c>
      <c r="H9" s="1417">
        <f>IF(LEFT(H$6,4)&lt;LEFT('RFM input'!$G$60,4),"enter input",IF(LEFT(H$6,4)&gt;LEFT('RFM input'!$Q$60,4),0,
INDEX('RFM input'!$G$61:$Q$110,$A9,MATCH(H$6,'RFM input'!$G$60:$Q$60,0))
   -INDEX('RFM input'!$G$115:$Q$164,$A9,MATCH(H$6,'RFM input'!$G$60:$Q$60,0))))</f>
        <v>11.308164355385486</v>
      </c>
      <c r="I9" s="1417">
        <f>IF(LEFT(I$6,4)&lt;LEFT('RFM input'!$G$60,4),"enter input",IF(LEFT(I$6,4)&gt;LEFT('RFM input'!$Q$60,4),0,
INDEX('RFM input'!$G$61:$Q$110,$A9,MATCH(I$6,'RFM input'!$G$60:$Q$60,0))
   -INDEX('RFM input'!$G$115:$Q$164,$A9,MATCH(I$6,'RFM input'!$G$60:$Q$60,0))))</f>
        <v>17.305538158099527</v>
      </c>
      <c r="J9" s="1417">
        <f>IF(LEFT(J$6,4)&lt;LEFT('RFM input'!$G$60,4),"enter input",IF(LEFT(J$6,4)&gt;LEFT('RFM input'!$Q$60,4),0,
INDEX('RFM input'!$G$61:$Q$110,$A9,MATCH(J$6,'RFM input'!$G$60:$Q$60,0))
   -INDEX('RFM input'!$G$115:$Q$164,$A9,MATCH(J$6,'RFM input'!$G$60:$Q$60,0))))</f>
        <v>6.0275135814576961</v>
      </c>
      <c r="K9" s="1417">
        <f>IF(LEFT(K$6,4)&lt;LEFT('RFM input'!$G$60,4),"enter input",IF(LEFT(K$6,4)&gt;LEFT('RFM input'!$Q$60,4),0,
INDEX('RFM input'!$G$61:$Q$110,$A9,MATCH(K$6,'RFM input'!$G$60:$Q$60,0))
   -INDEX('RFM input'!$G$115:$Q$164,$A9,MATCH(K$6,'RFM input'!$G$60:$Q$60,0))))</f>
        <v>0</v>
      </c>
      <c r="L9" s="1417">
        <f>IF(LEFT(L$6,4)&lt;LEFT('RFM input'!$G$60,4),"enter input",IF(LEFT(L$6,4)&gt;LEFT('RFM input'!$Q$60,4),0,
INDEX('RFM input'!$G$61:$Q$110,$A9,MATCH(L$6,'RFM input'!$G$60:$Q$60,0))
   -INDEX('RFM input'!$G$115:$Q$164,$A9,MATCH(L$6,'RFM input'!$G$60:$Q$60,0))))</f>
        <v>0</v>
      </c>
      <c r="M9" s="1417">
        <f>IF(LEFT(M$6,4)&lt;LEFT('RFM input'!$G$60,4),"enter input",IF(LEFT(M$6,4)&gt;LEFT('RFM input'!$Q$60,4),0,
INDEX('RFM input'!$G$61:$Q$110,$A9,MATCH(M$6,'RFM input'!$G$60:$Q$60,0))
   -INDEX('RFM input'!$G$115:$Q$164,$A9,MATCH(M$6,'RFM input'!$G$60:$Q$60,0))))</f>
        <v>0</v>
      </c>
      <c r="N9" s="1417">
        <f>IF(LEFT(N$6,4)&lt;LEFT('RFM input'!$G$60,4),"enter input",IF(LEFT(N$6,4)&gt;LEFT('RFM input'!$Q$60,4),0,
INDEX('RFM input'!$G$61:$Q$110,$A9,MATCH(N$6,'RFM input'!$G$60:$Q$60,0))
   -INDEX('RFM input'!$G$115:$Q$164,$A9,MATCH(N$6,'RFM input'!$G$60:$Q$60,0))))</f>
        <v>0</v>
      </c>
      <c r="O9" s="1417">
        <f>IF(LEFT(O$6,4)&lt;LEFT('RFM input'!$G$60,4),"enter input",IF(LEFT(O$6,4)&gt;LEFT('RFM input'!$Q$60,4),0,
INDEX('RFM input'!$G$61:$Q$110,$A9,MATCH(O$6,'RFM input'!$G$60:$Q$60,0))
   -INDEX('RFM input'!$G$115:$Q$164,$A9,MATCH(O$6,'RFM input'!$G$60:$Q$60,0))))</f>
        <v>0</v>
      </c>
      <c r="P9" s="1417">
        <f>IF(LEFT(P$6,4)&lt;LEFT('RFM input'!$G$60,4),"enter input",IF(LEFT(P$6,4)&gt;LEFT('RFM input'!$Q$60,4),0,
INDEX('RFM input'!$G$61:$Q$110,$A9,MATCH(P$6,'RFM input'!$G$60:$Q$60,0))
   -INDEX('RFM input'!$G$115:$Q$164,$A9,MATCH(P$6,'RFM input'!$G$60:$Q$60,0))))</f>
        <v>0</v>
      </c>
      <c r="Q9" s="1417">
        <f>IF(LEFT(Q$6,4)&lt;LEFT('RFM input'!$G$60,4),"enter input",IF(LEFT(Q$6,4)&gt;LEFT('RFM input'!$Q$60,4),0,
INDEX('RFM input'!$G$61:$Q$110,$A9,MATCH(Q$6,'RFM input'!$G$60:$Q$60,0))
   -INDEX('RFM input'!$G$115:$Q$164,$A9,MATCH(Q$6,'RFM input'!$G$60:$Q$60,0))))</f>
        <v>0</v>
      </c>
      <c r="R9" s="1417">
        <f>IF(LEFT(R$6,4)&lt;LEFT('RFM input'!$G$60,4),"enter input",IF(LEFT(R$6,4)&gt;LEFT('RFM input'!$Q$60,4),0,
INDEX('RFM input'!$G$61:$Q$110,$A9,MATCH(R$6,'RFM input'!$G$60:$Q$60,0))
   -INDEX('RFM input'!$G$115:$Q$164,$A9,MATCH(R$6,'RFM input'!$G$60:$Q$60,0))))</f>
        <v>0</v>
      </c>
      <c r="S9" s="1417">
        <f>IF(LEFT(S$6,4)&lt;LEFT('RFM input'!$G$60,4),"enter input",IF(LEFT(S$6,4)&gt;LEFT('RFM input'!$Q$60,4),0,
INDEX('RFM input'!$G$61:$Q$110,$A9,MATCH(S$6,'RFM input'!$G$60:$Q$60,0))
   -INDEX('RFM input'!$G$115:$Q$164,$A9,MATCH(S$6,'RFM input'!$G$60:$Q$60,0))))</f>
        <v>0</v>
      </c>
      <c r="T9" s="1417">
        <f>IF(LEFT(T$6,4)&lt;LEFT('RFM input'!$G$60,4),"enter input",IF(LEFT(T$6,4)&gt;LEFT('RFM input'!$Q$60,4),0,
INDEX('RFM input'!$G$61:$Q$110,$A9,MATCH(T$6,'RFM input'!$G$60:$Q$60,0))
   -INDEX('RFM input'!$G$115:$Q$164,$A9,MATCH(T$6,'RFM input'!$G$60:$Q$60,0))))</f>
        <v>0</v>
      </c>
      <c r="U9" s="1417">
        <f>IF(LEFT(U$6,4)&lt;LEFT('RFM input'!$G$60,4),"enter input",IF(LEFT(U$6,4)&gt;LEFT('RFM input'!$Q$60,4),0,
INDEX('RFM input'!$G$61:$Q$110,$A9,MATCH(U$6,'RFM input'!$G$60:$Q$60,0))
   -INDEX('RFM input'!$G$115:$Q$164,$A9,MATCH(U$6,'RFM input'!$G$60:$Q$60,0))))</f>
        <v>0</v>
      </c>
      <c r="V9" s="1417">
        <f>IF(LEFT(V$6,4)&lt;LEFT('RFM input'!$G$60,4),"enter input",IF(LEFT(V$6,4)&gt;LEFT('RFM input'!$Q$60,4),0,
INDEX('RFM input'!$G$61:$Q$110,$A9,MATCH(V$6,'RFM input'!$G$60:$Q$60,0))
   -INDEX('RFM input'!$G$115:$Q$164,$A9,MATCH(V$6,'RFM input'!$G$60:$Q$60,0))))</f>
        <v>0</v>
      </c>
      <c r="W9" s="1417">
        <f>IF(LEFT(W$6,4)&lt;LEFT('RFM input'!$G$60,4),"enter input",IF(LEFT(W$6,4)&gt;LEFT('RFM input'!$Q$60,4),0,
INDEX('RFM input'!$G$61:$Q$110,$A9,MATCH(W$6,'RFM input'!$G$60:$Q$60,0))
   -INDEX('RFM input'!$G$115:$Q$164,$A9,MATCH(W$6,'RFM input'!$G$60:$Q$60,0))))</f>
        <v>0</v>
      </c>
      <c r="X9" s="152"/>
      <c r="Y9" s="152"/>
      <c r="Z9" s="152"/>
      <c r="AA9" s="152"/>
      <c r="AB9" s="152"/>
    </row>
    <row r="10" spans="1:28">
      <c r="A10" s="242"/>
      <c r="B10" s="152" t="s">
        <v>205</v>
      </c>
      <c r="C10" s="1418">
        <f ca="1">IF($D$6='TAB roll forward'!$H$4,OFFSET('RFM input'!$S$6,$A9,0),"enter input")</f>
        <v>18.228581023571977</v>
      </c>
      <c r="D10" s="1417">
        <f>IF(LEFT(D$6,4)&lt;=LEFT('RFM input'!$G$60,4),"enter input",IF(LEFT(D$6,4)&gt;LEFT('RFM input'!$Q$60,4),0,
IF(MATCH(D$6,'RFM input'!$H$60:$Q$60,0),INDEX('RFM input'!$T$7:$T$56,$A9,1,1))))</f>
        <v>20</v>
      </c>
      <c r="E10" s="1417">
        <f>IF(LEFT(E$6,4)&lt;=LEFT('RFM input'!$G$60,4),"enter input",IF(LEFT(E$6,4)&gt;LEFT('RFM input'!$Q$60,4),0,
IF(MATCH(E$6,'RFM input'!$H$60:$Q$60,0),INDEX('RFM input'!$T$7:$T$56,$A9,1,1))))</f>
        <v>20</v>
      </c>
      <c r="F10" s="1417">
        <f>IF(LEFT(F$6,4)&lt;=LEFT('RFM input'!$G$60,4),"enter input",IF(LEFT(F$6,4)&gt;LEFT('RFM input'!$Q$60,4),0,
IF(MATCH(F$6,'RFM input'!$H$60:$Q$60,0),INDEX('RFM input'!$T$7:$T$56,$A9,1,1))))</f>
        <v>20</v>
      </c>
      <c r="G10" s="1417">
        <f>IF(LEFT(G$6,4)&lt;=LEFT('RFM input'!$G$60,4),"enter input",IF(LEFT(G$6,4)&gt;LEFT('RFM input'!$Q$60,4),0,
IF(MATCH(G$6,'RFM input'!$H$60:$Q$60,0),INDEX('RFM input'!$T$7:$T$56,$A9,1,1))))</f>
        <v>20</v>
      </c>
      <c r="H10" s="1417">
        <f>IF(LEFT(H$6,4)&lt;=LEFT('RFM input'!$G$60,4),"enter input",IF(LEFT(H$6,4)&gt;LEFT('RFM input'!$Q$60,4),0,
IF(MATCH(H$6,'RFM input'!$H$60:$Q$60,0),INDEX('RFM input'!$T$7:$T$56,$A9,1,1))))</f>
        <v>20</v>
      </c>
      <c r="I10" s="1417">
        <f>IF(LEFT(I$6,4)&lt;=LEFT('RFM input'!$G$60,4),"enter input",IF(LEFT(I$6,4)&gt;LEFT('RFM input'!$Q$60,4),0,
IF(MATCH(I$6,'RFM input'!$H$60:$Q$60,0),INDEX('RFM input'!$T$7:$T$56,$A9,1,1))))</f>
        <v>20</v>
      </c>
      <c r="J10" s="1417">
        <f>IF(LEFT(J$6,4)&lt;=LEFT('RFM input'!$G$60,4),"enter input",IF(LEFT(J$6,4)&gt;LEFT('RFM input'!$Q$60,4),0,
IF(MATCH(J$6,'RFM input'!$H$60:$Q$60,0),INDEX('RFM input'!$T$7:$T$56,$A9,1,1))))</f>
        <v>20</v>
      </c>
      <c r="K10" s="1417">
        <f>IF(LEFT(K$6,4)&lt;=LEFT('RFM input'!$G$60,4),"enter input",IF(LEFT(K$6,4)&gt;LEFT('RFM input'!$Q$60,4),0,
IF(MATCH(K$6,'RFM input'!$H$60:$Q$60,0),INDEX('RFM input'!$T$7:$T$56,$A9,1,1))))</f>
        <v>20</v>
      </c>
      <c r="L10" s="1417">
        <f>IF(LEFT(L$6,4)&lt;=LEFT('RFM input'!$G$60,4),"enter input",IF(LEFT(L$6,4)&gt;LEFT('RFM input'!$Q$60,4),0,
IF(MATCH(L$6,'RFM input'!$H$60:$Q$60,0),INDEX('RFM input'!$T$7:$T$56,$A9,1,1))))</f>
        <v>20</v>
      </c>
      <c r="M10" s="1417">
        <f>IF(LEFT(M$6,4)&lt;=LEFT('RFM input'!$G$60,4),"enter input",IF(LEFT(M$6,4)&gt;LEFT('RFM input'!$Q$60,4),0,
IF(MATCH(M$6,'RFM input'!$H$60:$Q$60,0),INDEX('RFM input'!$T$7:$T$56,$A9,1,1))))</f>
        <v>20</v>
      </c>
      <c r="N10" s="1417">
        <f>IF(LEFT(N$6,4)&lt;=LEFT('RFM input'!$G$60,4),"enter input",IF(LEFT(N$6,4)&gt;LEFT('RFM input'!$Q$60,4),0,
IF(MATCH(N$6,'RFM input'!$H$60:$Q$60,0),INDEX('RFM input'!$T$7:$T$56,$A9,1,1))))</f>
        <v>0</v>
      </c>
      <c r="O10" s="1417">
        <f>IF(LEFT(O$6,4)&lt;=LEFT('RFM input'!$G$60,4),"enter input",IF(LEFT(O$6,4)&gt;LEFT('RFM input'!$Q$60,4),0,
IF(MATCH(O$6,'RFM input'!$H$60:$Q$60,0),INDEX('RFM input'!$T$7:$T$56,$A9,1,1))))</f>
        <v>0</v>
      </c>
      <c r="P10" s="1417">
        <f>IF(LEFT(P$6,4)&lt;=LEFT('RFM input'!$G$60,4),"enter input",IF(LEFT(P$6,4)&gt;LEFT('RFM input'!$Q$60,4),0,
IF(MATCH(P$6,'RFM input'!$H$60:$Q$60,0),INDEX('RFM input'!$T$7:$T$56,$A9,1,1))))</f>
        <v>0</v>
      </c>
      <c r="Q10" s="1417">
        <f>IF(LEFT(Q$6,4)&lt;=LEFT('RFM input'!$G$60,4),"enter input",IF(LEFT(Q$6,4)&gt;LEFT('RFM input'!$Q$60,4),0,
IF(MATCH(Q$6,'RFM input'!$H$60:$Q$60,0),INDEX('RFM input'!$T$7:$T$56,$A9,1,1))))</f>
        <v>0</v>
      </c>
      <c r="R10" s="1417">
        <f>IF(LEFT(R$6,4)&lt;=LEFT('RFM input'!$G$60,4),"enter input",IF(LEFT(R$6,4)&gt;LEFT('RFM input'!$Q$60,4),0,
IF(MATCH(R$6,'RFM input'!$H$60:$Q$60,0),INDEX('RFM input'!$T$7:$T$56,$A9,1,1))))</f>
        <v>0</v>
      </c>
      <c r="S10" s="1417">
        <f>IF(LEFT(S$6,4)&lt;=LEFT('RFM input'!$G$60,4),"enter input",IF(LEFT(S$6,4)&gt;LEFT('RFM input'!$Q$60,4),0,
IF(MATCH(S$6,'RFM input'!$H$60:$Q$60,0),INDEX('RFM input'!$T$7:$T$56,$A9,1,1))))</f>
        <v>0</v>
      </c>
      <c r="T10" s="1417">
        <f>IF(LEFT(T$6,4)&lt;=LEFT('RFM input'!$G$60,4),"enter input",IF(LEFT(T$6,4)&gt;LEFT('RFM input'!$Q$60,4),0,
IF(MATCH(T$6,'RFM input'!$H$60:$Q$60,0),INDEX('RFM input'!$T$7:$T$56,$A9,1,1))))</f>
        <v>0</v>
      </c>
      <c r="U10" s="1417">
        <f>IF(LEFT(U$6,4)&lt;=LEFT('RFM input'!$G$60,4),"enter input",IF(LEFT(U$6,4)&gt;LEFT('RFM input'!$Q$60,4),0,
IF(MATCH(U$6,'RFM input'!$H$60:$Q$60,0),INDEX('RFM input'!$T$7:$T$56,$A9,1,1))))</f>
        <v>0</v>
      </c>
      <c r="V10" s="1417">
        <f>IF(LEFT(V$6,4)&lt;=LEFT('RFM input'!$G$60,4),"enter input",IF(LEFT(V$6,4)&gt;LEFT('RFM input'!$Q$60,4),0,
IF(MATCH(V$6,'RFM input'!$H$60:$Q$60,0),INDEX('RFM input'!$T$7:$T$56,$A9,1,1))))</f>
        <v>0</v>
      </c>
      <c r="W10" s="1417">
        <f>IF(LEFT(W$6,4)&lt;=LEFT('RFM input'!$G$60,4),"enter input",IF(LEFT(W$6,4)&gt;LEFT('RFM input'!$Q$60,4),0,
IF(MATCH(W$6,'RFM input'!$H$60:$Q$60,0),INDEX('RFM input'!$T$7:$T$56,$A9,1,1))))</f>
        <v>0</v>
      </c>
      <c r="X10" s="152"/>
      <c r="Y10" s="152"/>
      <c r="Z10" s="152"/>
      <c r="AA10" s="152"/>
      <c r="AB10" s="152"/>
    </row>
    <row r="11" spans="1:28">
      <c r="A11" s="152"/>
      <c r="B11" s="193" t="s">
        <v>192</v>
      </c>
      <c r="C11" s="1419"/>
      <c r="D11" s="1420">
        <f ca="1">IF(LEFT(D$6,4)&lt;=LEFT('RFM input'!$G$60,4),"enter input",IF(LEFT(D$6,4)&gt;LEFT('RFM input'!$Q$60,4),0,
IF(D$6=(OFFSET('RFM input'!$G$60,0,'RFM input'!$V$7)),OFFSET('RFM input'!$H$411,$A9,0),0)))</f>
        <v>0</v>
      </c>
      <c r="E11" s="1417">
        <f ca="1">IF(LEFT(E$6,4)&lt;=LEFT('RFM input'!$G$60,4),"enter input",IF(LEFT(E$6,4)&gt;LEFT('RFM input'!$Q$60,4),0,
IF(E$6=(OFFSET('RFM input'!$G$60,0,'RFM input'!$V$7)),OFFSET('RFM input'!$H$411,$A9,0),0)))</f>
        <v>0</v>
      </c>
      <c r="F11" s="1417">
        <f ca="1">IF(LEFT(F$6,4)&lt;=LEFT('RFM input'!$G$60,4),"enter input",IF(LEFT(F$6,4)&gt;LEFT('RFM input'!$Q$60,4),0,
IF(F$6=(OFFSET('RFM input'!$G$60,0,'RFM input'!$V$7)),OFFSET('RFM input'!$H$411,$A9,0),0)))</f>
        <v>0</v>
      </c>
      <c r="G11" s="1417">
        <f ca="1">IF(LEFT(G$6,4)&lt;=LEFT('RFM input'!$G$60,4),"enter input",IF(LEFT(G$6,4)&gt;LEFT('RFM input'!$Q$60,4),0,
IF(G$6=(OFFSET('RFM input'!$G$60,0,'RFM input'!$V$7)),OFFSET('RFM input'!$H$411,$A9,0),0)))</f>
        <v>0</v>
      </c>
      <c r="H11" s="1417">
        <f ca="1">IF(LEFT(H$6,4)&lt;=LEFT('RFM input'!$G$60,4),"enter input",IF(LEFT(H$6,4)&gt;LEFT('RFM input'!$Q$60,4),0,
IF(H$6=(OFFSET('RFM input'!$G$60,0,'RFM input'!$V$7)),OFFSET('RFM input'!$H$411,$A9,0),0)))</f>
        <v>0</v>
      </c>
      <c r="I11" s="1417">
        <f ca="1">IF(LEFT(I$6,4)&lt;=LEFT('RFM input'!$G$60,4),"enter input",IF(LEFT(I$6,4)&gt;LEFT('RFM input'!$Q$60,4),0,
IF(I$6=(OFFSET('RFM input'!$G$60,0,'RFM input'!$V$7)),OFFSET('RFM input'!$H$411,$A9,0),0)))</f>
        <v>0</v>
      </c>
      <c r="J11" s="1417">
        <f ca="1">IF(LEFT(J$6,4)&lt;=LEFT('RFM input'!$G$60,4),"enter input",IF(LEFT(J$6,4)&gt;LEFT('RFM input'!$Q$60,4),0,
IF(J$6=(OFFSET('RFM input'!$G$60,0,'RFM input'!$V$7)),OFFSET('RFM input'!$H$411,$A9,0),0)))</f>
        <v>0</v>
      </c>
      <c r="K11" s="1417">
        <f ca="1">IF(LEFT(K$6,4)&lt;=LEFT('RFM input'!$G$60,4),"enter input",IF(LEFT(K$6,4)&gt;LEFT('RFM input'!$Q$60,4),0,
IF(K$6=(OFFSET('RFM input'!$G$60,0,'RFM input'!$V$7)),OFFSET('RFM input'!$H$411,$A9,0),0)))</f>
        <v>0</v>
      </c>
      <c r="L11" s="1417">
        <f ca="1">IF(LEFT(L$6,4)&lt;=LEFT('RFM input'!$G$60,4),"enter input",IF(LEFT(L$6,4)&gt;LEFT('RFM input'!$Q$60,4),0,
IF(L$6=(OFFSET('RFM input'!$G$60,0,'RFM input'!$V$7)),OFFSET('RFM input'!$H$411,$A9,0),0)))</f>
        <v>0</v>
      </c>
      <c r="M11" s="1417">
        <f ca="1">IF(LEFT(M$6,4)&lt;=LEFT('RFM input'!$G$60,4),"enter input",IF(LEFT(M$6,4)&gt;LEFT('RFM input'!$Q$60,4),0,
IF(M$6=(OFFSET('RFM input'!$G$60,0,'RFM input'!$V$7)),OFFSET('RFM input'!$H$411,$A9,0),0)))</f>
        <v>0</v>
      </c>
      <c r="N11" s="1417">
        <f ca="1">IF(LEFT(N$6,4)&lt;=LEFT('RFM input'!$G$60,4),"enter input",IF(LEFT(N$6,4)&gt;LEFT('RFM input'!$Q$60,4),0,
IF(N$6=(OFFSET('RFM input'!$G$60,0,'RFM input'!$V$7)),OFFSET('RFM input'!$H$411,$A9,0),0)))</f>
        <v>0</v>
      </c>
      <c r="O11" s="1417">
        <f ca="1">IF(LEFT(O$6,4)&lt;=LEFT('RFM input'!$G$60,4),"enter input",IF(LEFT(O$6,4)&gt;LEFT('RFM input'!$Q$60,4),0,
IF(O$6=(OFFSET('RFM input'!$G$60,0,'RFM input'!$V$7)),OFFSET('RFM input'!$H$411,$A9,0),0)))</f>
        <v>0</v>
      </c>
      <c r="P11" s="1417">
        <f ca="1">IF(LEFT(P$6,4)&lt;=LEFT('RFM input'!$G$60,4),"enter input",IF(LEFT(P$6,4)&gt;LEFT('RFM input'!$Q$60,4),0,
IF(P$6=(OFFSET('RFM input'!$G$60,0,'RFM input'!$V$7)),OFFSET('RFM input'!$H$411,$A9,0),0)))</f>
        <v>0</v>
      </c>
      <c r="Q11" s="1417">
        <f ca="1">IF(LEFT(Q$6,4)&lt;=LEFT('RFM input'!$G$60,4),"enter input",IF(LEFT(Q$6,4)&gt;LEFT('RFM input'!$Q$60,4),0,
IF(Q$6=(OFFSET('RFM input'!$G$60,0,'RFM input'!$V$7)),OFFSET('RFM input'!$H$411,$A9,0),0)))</f>
        <v>0</v>
      </c>
      <c r="R11" s="1417">
        <f ca="1">IF(LEFT(R$6,4)&lt;=LEFT('RFM input'!$G$60,4),"enter input",IF(LEFT(R$6,4)&gt;LEFT('RFM input'!$Q$60,4),0,
IF(R$6=(OFFSET('RFM input'!$G$60,0,'RFM input'!$V$7)),OFFSET('RFM input'!$H$411,$A9,0),0)))</f>
        <v>0</v>
      </c>
      <c r="S11" s="1417">
        <f ca="1">IF(LEFT(S$6,4)&lt;=LEFT('RFM input'!$G$60,4),"enter input",IF(LEFT(S$6,4)&gt;LEFT('RFM input'!$Q$60,4),0,
IF(S$6=(OFFSET('RFM input'!$G$60,0,'RFM input'!$V$7)),OFFSET('RFM input'!$H$411,$A9,0),0)))</f>
        <v>0</v>
      </c>
      <c r="T11" s="1417">
        <f ca="1">IF(LEFT(T$6,4)&lt;=LEFT('RFM input'!$G$60,4),"enter input",IF(LEFT(T$6,4)&gt;LEFT('RFM input'!$Q$60,4),0,
IF(T$6=(OFFSET('RFM input'!$G$60,0,'RFM input'!$V$7)),OFFSET('RFM input'!$H$411,$A9,0),0)))</f>
        <v>0</v>
      </c>
      <c r="U11" s="1417">
        <f ca="1">IF(LEFT(U$6,4)&lt;=LEFT('RFM input'!$G$60,4),"enter input",IF(LEFT(U$6,4)&gt;LEFT('RFM input'!$Q$60,4),0,
IF(U$6=(OFFSET('RFM input'!$G$60,0,'RFM input'!$V$7)),OFFSET('RFM input'!$H$411,$A9,0),0)))</f>
        <v>0</v>
      </c>
      <c r="V11" s="1417">
        <f ca="1">IF(LEFT(V$6,4)&lt;=LEFT('RFM input'!$G$60,4),"enter input",IF(LEFT(V$6,4)&gt;LEFT('RFM input'!$Q$60,4),0,
IF(V$6=(OFFSET('RFM input'!$G$60,0,'RFM input'!$V$7)),OFFSET('RFM input'!$H$411,$A9,0),0)))</f>
        <v>0</v>
      </c>
      <c r="W11" s="1417">
        <f ca="1">IF(LEFT(W$6,4)&lt;=LEFT('RFM input'!$G$60,4),"enter input",IF(LEFT(W$6,4)&gt;LEFT('RFM input'!$Q$60,4),0,
IF(W$6=(OFFSET('RFM input'!$G$60,0,'RFM input'!$V$7)),OFFSET('RFM input'!$H$411,$A9,0),0)))</f>
        <v>0</v>
      </c>
      <c r="X11" s="152"/>
      <c r="Y11" s="152"/>
      <c r="Z11" s="152"/>
      <c r="AA11" s="152"/>
      <c r="AB11" s="152"/>
    </row>
    <row r="12" spans="1:28">
      <c r="A12" s="152"/>
      <c r="B12" s="193" t="s">
        <v>200</v>
      </c>
      <c r="C12" s="1419"/>
      <c r="D12" s="1418">
        <f ca="1">IF(LEFT(D$6,4)&lt;=LEFT('RFM input'!$G$60,4),"enter input",IF(LEFT(D$6,4)&gt;LEFT('RFM input'!$Q$60,4),0,
IF(D$6=(OFFSET('RFM input'!$G$60,0,'RFM input'!$V$7)),OFFSET('RFM input'!$J$411,$A9,0),0)))</f>
        <v>0</v>
      </c>
      <c r="E12" s="1422">
        <f ca="1">IF(LEFT(E$6,4)&lt;=LEFT('RFM input'!$G$60,4),"enter input",IF(LEFT(E$6,4)&gt;LEFT('RFM input'!$Q$60,4),0,
IF(E$6=(OFFSET('RFM input'!$G$60,0,'RFM input'!$V$7)),OFFSET('RFM input'!$J$411,$A9,0),0)))</f>
        <v>0</v>
      </c>
      <c r="F12" s="1422">
        <f ca="1">IF(LEFT(F$6,4)&lt;=LEFT('RFM input'!$G$60,4),"enter input",IF(LEFT(F$6,4)&gt;LEFT('RFM input'!$Q$60,4),0,
IF(F$6=(OFFSET('RFM input'!$G$60,0,'RFM input'!$V$7)),OFFSET('RFM input'!$J$411,$A9,0),0)))</f>
        <v>0</v>
      </c>
      <c r="G12" s="1422">
        <f ca="1">IF(LEFT(G$6,4)&lt;=LEFT('RFM input'!$G$60,4),"enter input",IF(LEFT(G$6,4)&gt;LEFT('RFM input'!$Q$60,4),0,
IF(G$6=(OFFSET('RFM input'!$G$60,0,'RFM input'!$V$7)),OFFSET('RFM input'!$J$411,$A9,0),0)))</f>
        <v>0</v>
      </c>
      <c r="H12" s="1422">
        <f ca="1">IF(LEFT(H$6,4)&lt;=LEFT('RFM input'!$G$60,4),"enter input",IF(LEFT(H$6,4)&gt;LEFT('RFM input'!$Q$60,4),0,
IF(H$6=(OFFSET('RFM input'!$G$60,0,'RFM input'!$V$7)),OFFSET('RFM input'!$J$411,$A9,0),0)))</f>
        <v>0</v>
      </c>
      <c r="I12" s="1422">
        <f ca="1">IF(LEFT(I$6,4)&lt;=LEFT('RFM input'!$G$60,4),"enter input",IF(LEFT(I$6,4)&gt;LEFT('RFM input'!$Q$60,4),0,
IF(I$6=(OFFSET('RFM input'!$G$60,0,'RFM input'!$V$7)),OFFSET('RFM input'!$J$411,$A9,0),0)))</f>
        <v>0</v>
      </c>
      <c r="J12" s="1422">
        <f ca="1">IF(LEFT(J$6,4)&lt;=LEFT('RFM input'!$G$60,4),"enter input",IF(LEFT(J$6,4)&gt;LEFT('RFM input'!$Q$60,4),0,
IF(J$6=(OFFSET('RFM input'!$G$60,0,'RFM input'!$V$7)),OFFSET('RFM input'!$J$411,$A9,0),0)))</f>
        <v>0</v>
      </c>
      <c r="K12" s="1422">
        <f ca="1">IF(LEFT(K$6,4)&lt;=LEFT('RFM input'!$G$60,4),"enter input",IF(LEFT(K$6,4)&gt;LEFT('RFM input'!$Q$60,4),0,
IF(K$6=(OFFSET('RFM input'!$G$60,0,'RFM input'!$V$7)),OFFSET('RFM input'!$J$411,$A9,0),0)))</f>
        <v>0</v>
      </c>
      <c r="L12" s="1422">
        <f ca="1">IF(LEFT(L$6,4)&lt;=LEFT('RFM input'!$G$60,4),"enter input",IF(LEFT(L$6,4)&gt;LEFT('RFM input'!$Q$60,4),0,
IF(L$6=(OFFSET('RFM input'!$G$60,0,'RFM input'!$V$7)),OFFSET('RFM input'!$J$411,$A9,0),0)))</f>
        <v>0</v>
      </c>
      <c r="M12" s="1422">
        <f ca="1">IF(LEFT(M$6,4)&lt;=LEFT('RFM input'!$G$60,4),"enter input",IF(LEFT(M$6,4)&gt;LEFT('RFM input'!$Q$60,4),0,
IF(M$6=(OFFSET('RFM input'!$G$60,0,'RFM input'!$V$7)),OFFSET('RFM input'!$J$411,$A9,0),0)))</f>
        <v>0</v>
      </c>
      <c r="N12" s="1422">
        <f ca="1">IF(LEFT(N$6,4)&lt;=LEFT('RFM input'!$G$60,4),"enter input",IF(LEFT(N$6,4)&gt;LEFT('RFM input'!$Q$60,4),0,
IF(N$6=(OFFSET('RFM input'!$G$60,0,'RFM input'!$V$7)),OFFSET('RFM input'!$J$411,$A9,0),0)))</f>
        <v>0</v>
      </c>
      <c r="O12" s="1422">
        <f ca="1">IF(LEFT(O$6,4)&lt;=LEFT('RFM input'!$G$60,4),"enter input",IF(LEFT(O$6,4)&gt;LEFT('RFM input'!$Q$60,4),0,
IF(O$6=(OFFSET('RFM input'!$G$60,0,'RFM input'!$V$7)),OFFSET('RFM input'!$J$411,$A9,0),0)))</f>
        <v>0</v>
      </c>
      <c r="P12" s="1422">
        <f ca="1">IF(LEFT(P$6,4)&lt;=LEFT('RFM input'!$G$60,4),"enter input",IF(LEFT(P$6,4)&gt;LEFT('RFM input'!$Q$60,4),0,
IF(P$6=(OFFSET('RFM input'!$G$60,0,'RFM input'!$V$7)),OFFSET('RFM input'!$J$411,$A9,0),0)))</f>
        <v>0</v>
      </c>
      <c r="Q12" s="1422">
        <f ca="1">IF(LEFT(Q$6,4)&lt;=LEFT('RFM input'!$G$60,4),"enter input",IF(LEFT(Q$6,4)&gt;LEFT('RFM input'!$Q$60,4),0,
IF(Q$6=(OFFSET('RFM input'!$G$60,0,'RFM input'!$V$7)),OFFSET('RFM input'!$J$411,$A9,0),0)))</f>
        <v>0</v>
      </c>
      <c r="R12" s="1422">
        <f ca="1">IF(LEFT(R$6,4)&lt;=LEFT('RFM input'!$G$60,4),"enter input",IF(LEFT(R$6,4)&gt;LEFT('RFM input'!$Q$60,4),0,
IF(R$6=(OFFSET('RFM input'!$G$60,0,'RFM input'!$V$7)),OFFSET('RFM input'!$J$411,$A9,0),0)))</f>
        <v>0</v>
      </c>
      <c r="S12" s="1422">
        <f ca="1">IF(LEFT(S$6,4)&lt;=LEFT('RFM input'!$G$60,4),"enter input",IF(LEFT(S$6,4)&gt;LEFT('RFM input'!$Q$60,4),0,
IF(S$6=(OFFSET('RFM input'!$G$60,0,'RFM input'!$V$7)),OFFSET('RFM input'!$J$411,$A9,0),0)))</f>
        <v>0</v>
      </c>
      <c r="T12" s="1422">
        <f ca="1">IF(LEFT(T$6,4)&lt;=LEFT('RFM input'!$G$60,4),"enter input",IF(LEFT(T$6,4)&gt;LEFT('RFM input'!$Q$60,4),0,
IF(T$6=(OFFSET('RFM input'!$G$60,0,'RFM input'!$V$7)),OFFSET('RFM input'!$J$411,$A9,0),0)))</f>
        <v>0</v>
      </c>
      <c r="U12" s="1422">
        <f ca="1">IF(LEFT(U$6,4)&lt;=LEFT('RFM input'!$G$60,4),"enter input",IF(LEFT(U$6,4)&gt;LEFT('RFM input'!$Q$60,4),0,
IF(U$6=(OFFSET('RFM input'!$G$60,0,'RFM input'!$V$7)),OFFSET('RFM input'!$J$411,$A9,0),0)))</f>
        <v>0</v>
      </c>
      <c r="V12" s="1422">
        <f ca="1">IF(LEFT(V$6,4)&lt;=LEFT('RFM input'!$G$60,4),"enter input",IF(LEFT(V$6,4)&gt;LEFT('RFM input'!$Q$60,4),0,
IF(V$6=(OFFSET('RFM input'!$G$60,0,'RFM input'!$V$7)),OFFSET('RFM input'!$J$411,$A9,0),0)))</f>
        <v>0</v>
      </c>
      <c r="W12" s="1422">
        <f ca="1">IF(LEFT(W$6,4)&lt;=LEFT('RFM input'!$G$60,4),"enter input",IF(LEFT(W$6,4)&gt;LEFT('RFM input'!$Q$60,4),0,
IF(W$6=(OFFSET('RFM input'!$G$60,0,'RFM input'!$V$7)),OFFSET('RFM input'!$J$411,$A9,0),0)))</f>
        <v>0</v>
      </c>
      <c r="X12" s="152"/>
      <c r="Y12" s="152"/>
      <c r="Z12" s="152"/>
      <c r="AA12" s="152"/>
      <c r="AB12" s="152"/>
    </row>
    <row r="13" spans="1:28" hidden="1" outlineLevel="1">
      <c r="A13" s="235">
        <v>-1</v>
      </c>
      <c r="B13" s="190" t="s">
        <v>195</v>
      </c>
      <c r="C13" s="1423"/>
      <c r="D13" s="1423">
        <f t="shared" ref="D13" ca="1" si="0">IF(AND(D11=0,C13=0),0,
IF(AND(D11&lt;&gt;0,C13=0),D11,
IF(AND(D12&lt;&gt;0,C13&lt;&gt;0),(C13-(C13/C37))+D11,
IF(C37&lt;1,0,(C13-(C13/C37))))))</f>
        <v>0</v>
      </c>
      <c r="E13" s="1423">
        <f t="shared" ref="E13" ca="1" si="1">IF(AND(E11=0,D13=0),0,
IF(AND(E11&lt;&gt;0,D13=0),E11,
IF(AND(E12&lt;&gt;0,D13&lt;&gt;0),(D13-(D13/D37))+E11,
IF(D37&lt;1,0,(D13-(D13/D37))))))</f>
        <v>0</v>
      </c>
      <c r="F13" s="1423">
        <f t="shared" ref="F13" ca="1" si="2">IF(AND(F11=0,E13=0),0,
IF(AND(F11&lt;&gt;0,E13=0),F11,
IF(AND(F12&lt;&gt;0,E13&lt;&gt;0),(E13-(E13/E37))+F11,
IF(E37&lt;1,0,(E13-(E13/E37))))))</f>
        <v>0</v>
      </c>
      <c r="G13" s="1423">
        <f t="shared" ref="G13" ca="1" si="3">IF(AND(G11=0,F13=0),0,
IF(AND(G11&lt;&gt;0,F13=0),G11,
IF(AND(G12&lt;&gt;0,F13&lt;&gt;0),(F13-(F13/F37))+G11,
IF(F37&lt;1,0,(F13-(F13/F37))))))</f>
        <v>0</v>
      </c>
      <c r="H13" s="1423">
        <f ca="1">IF(AND(H11=0,G13=0),0,
IF(AND(H11&lt;&gt;0,G13=0),H11,
IF(AND(H12&lt;&gt;0,G13&lt;&gt;0),(G13-(G13/G37))+H11,
IF(G37&lt;1,0,(G13-(G13/G37))))))</f>
        <v>0</v>
      </c>
      <c r="I13" s="1423">
        <f t="shared" ref="I13:W13" ca="1" si="4">IF(AND(I11=0,H13=0),0,
IF(AND(I11&lt;&gt;0,H13=0),I11,
IF(AND(I12&lt;&gt;0,H13&lt;&gt;0),(H13-(H13/H37))+I11,
IF(H37&lt;1,0,(H13-(H13/H37))))))</f>
        <v>0</v>
      </c>
      <c r="J13" s="1423">
        <f t="shared" ca="1" si="4"/>
        <v>0</v>
      </c>
      <c r="K13" s="1423">
        <f t="shared" ca="1" si="4"/>
        <v>0</v>
      </c>
      <c r="L13" s="1423">
        <f t="shared" ca="1" si="4"/>
        <v>0</v>
      </c>
      <c r="M13" s="1423">
        <f t="shared" ca="1" si="4"/>
        <v>0</v>
      </c>
      <c r="N13" s="1423">
        <f t="shared" ca="1" si="4"/>
        <v>0</v>
      </c>
      <c r="O13" s="1423">
        <f t="shared" ca="1" si="4"/>
        <v>0</v>
      </c>
      <c r="P13" s="1423">
        <f t="shared" ca="1" si="4"/>
        <v>0</v>
      </c>
      <c r="Q13" s="1423">
        <f t="shared" ca="1" si="4"/>
        <v>0</v>
      </c>
      <c r="R13" s="1423">
        <f t="shared" ca="1" si="4"/>
        <v>0</v>
      </c>
      <c r="S13" s="1423">
        <f t="shared" ca="1" si="4"/>
        <v>0</v>
      </c>
      <c r="T13" s="1423">
        <f t="shared" ca="1" si="4"/>
        <v>0</v>
      </c>
      <c r="U13" s="1423">
        <f t="shared" ca="1" si="4"/>
        <v>0</v>
      </c>
      <c r="V13" s="1423">
        <f t="shared" ca="1" si="4"/>
        <v>0</v>
      </c>
      <c r="W13" s="1423">
        <f t="shared" ca="1" si="4"/>
        <v>0</v>
      </c>
      <c r="X13" s="152"/>
      <c r="Y13" s="152"/>
      <c r="Z13" s="152"/>
      <c r="AA13" s="152"/>
      <c r="AB13" s="152"/>
    </row>
    <row r="14" spans="1:28" hidden="1" outlineLevel="1">
      <c r="A14" s="199">
        <f>A13+1</f>
        <v>0</v>
      </c>
      <c r="B14" s="190" t="s">
        <v>527</v>
      </c>
      <c r="C14" s="1423">
        <f ca="1">C9</f>
        <v>179.73767130411522</v>
      </c>
      <c r="D14" s="1423">
        <f ca="1">IF(C38="n/a",C14,IFERROR(IF((OFFSET($C14,0,$A14))&lt;0,
MIN(0,C14-(OFFSET($C14,0,$A14)/(OFFSET($C9,-$A13,$A14)))),
MAX(0,C14-(OFFSET($C14,0,$A14)/(OFFSET($C9,-$A13,$A14))))),0))</f>
        <v>169.87745941643783</v>
      </c>
      <c r="E14" s="1423">
        <f t="shared" ref="E14" ca="1" si="5">IF(D38="n/a",D14,IFERROR(IF((OFFSET($C14,0,$A14))&lt;0,
MIN(0,D14-(OFFSET($C14,0,$A14)/(OFFSET($C9,-$A13,$A14)))),
MAX(0,D14-(OFFSET($C14,0,$A14)/(OFFSET($C9,-$A13,$A14))))),0))</f>
        <v>160.01724752876044</v>
      </c>
      <c r="F14" s="1423">
        <f t="shared" ref="F14:F15" ca="1" si="6">IF(E38="n/a",E14,IFERROR(IF((OFFSET($C14,0,$A14))&lt;0,
MIN(0,E14-(OFFSET($C14,0,$A14)/(OFFSET($C9,-$A13,$A14)))),
MAX(0,E14-(OFFSET($C14,0,$A14)/(OFFSET($C9,-$A13,$A14))))),0))</f>
        <v>150.15703564108304</v>
      </c>
      <c r="G14" s="1423">
        <f t="shared" ref="G14:G16" ca="1" si="7">IF(F38="n/a",F14,IFERROR(IF((OFFSET($C14,0,$A14))&lt;0,
MIN(0,F14-(OFFSET($C14,0,$A14)/(OFFSET($C9,-$A13,$A14)))),
MAX(0,F14-(OFFSET($C14,0,$A14)/(OFFSET($C9,-$A13,$A14))))),0))</f>
        <v>140.29682375340565</v>
      </c>
      <c r="H14" s="1423">
        <f t="shared" ref="H14:H17" ca="1" si="8">IF(G38="n/a",G14,IFERROR(IF((OFFSET($C14,0,$A14))&lt;0,
MIN(0,G14-(OFFSET($C14,0,$A14)/(OFFSET($C9,-$A13,$A14)))),
MAX(0,G14-(OFFSET($C14,0,$A14)/(OFFSET($C9,-$A13,$A14))))),0))</f>
        <v>130.43661186572825</v>
      </c>
      <c r="I14" s="1423">
        <f t="shared" ref="I14:I18" ca="1" si="9">IF(H38="n/a",H14,IFERROR(IF((OFFSET($C14,0,$A14))&lt;0,
MIN(0,H14-(OFFSET($C14,0,$A14)/(OFFSET($C9,-$A13,$A14)))),
MAX(0,H14-(OFFSET($C14,0,$A14)/(OFFSET($C9,-$A13,$A14))))),0))</f>
        <v>120.57639997805084</v>
      </c>
      <c r="J14" s="1423">
        <f t="shared" ref="J14:J19" ca="1" si="10">IF(I38="n/a",I14,IFERROR(IF((OFFSET($C14,0,$A14))&lt;0,
MIN(0,I14-(OFFSET($C14,0,$A14)/(OFFSET($C9,-$A13,$A14)))),
MAX(0,I14-(OFFSET($C14,0,$A14)/(OFFSET($C9,-$A13,$A14))))),0))</f>
        <v>110.71618809037344</v>
      </c>
      <c r="K14" s="1423">
        <f t="shared" ref="K14:K20" ca="1" si="11">IF(J38="n/a",J14,IFERROR(IF((OFFSET($C14,0,$A14))&lt;0,
MIN(0,J14-(OFFSET($C14,0,$A14)/(OFFSET($C9,-$A13,$A14)))),
MAX(0,J14-(OFFSET($C14,0,$A14)/(OFFSET($C9,-$A13,$A14))))),0))</f>
        <v>100.85597620269603</v>
      </c>
      <c r="L14" s="1423">
        <f t="shared" ref="L14:L21" ca="1" si="12">IF(K38="n/a",K14,IFERROR(IF((OFFSET($C14,0,$A14))&lt;0,
MIN(0,K14-(OFFSET($C14,0,$A14)/(OFFSET($C9,-$A13,$A14)))),
MAX(0,K14-(OFFSET($C14,0,$A14)/(OFFSET($C9,-$A13,$A14))))),0))</f>
        <v>90.995764315018619</v>
      </c>
      <c r="M14" s="1423">
        <f t="shared" ref="M14:M22" ca="1" si="13">IF(L38="n/a",L14,IFERROR(IF((OFFSET($C14,0,$A14))&lt;0,
MIN(0,L14-(OFFSET($C14,0,$A14)/(OFFSET($C9,-$A13,$A14)))),
MAX(0,L14-(OFFSET($C14,0,$A14)/(OFFSET($C9,-$A13,$A14))))),0))</f>
        <v>81.13555242734121</v>
      </c>
      <c r="N14" s="1423">
        <f t="shared" ref="N14:N23" ca="1" si="14">IF(M38="n/a",M14,IFERROR(IF((OFFSET($C14,0,$A14))&lt;0,
MIN(0,M14-(OFFSET($C14,0,$A14)/(OFFSET($C9,-$A13,$A14)))),
MAX(0,M14-(OFFSET($C14,0,$A14)/(OFFSET($C9,-$A13,$A14))))),0))</f>
        <v>71.275340539663802</v>
      </c>
      <c r="O14" s="1423">
        <f t="shared" ref="O14:O24" ca="1" si="15">IF(N38="n/a",N14,IFERROR(IF((OFFSET($C14,0,$A14))&lt;0,
MIN(0,N14-(OFFSET($C14,0,$A14)/(OFFSET($C9,-$A13,$A14)))),
MAX(0,N14-(OFFSET($C14,0,$A14)/(OFFSET($C9,-$A13,$A14))))),0))</f>
        <v>61.415128651986393</v>
      </c>
      <c r="P14" s="1423">
        <f t="shared" ref="P14:P25" ca="1" si="16">IF(O38="n/a",O14,IFERROR(IF((OFFSET($C14,0,$A14))&lt;0,
MIN(0,O14-(OFFSET($C14,0,$A14)/(OFFSET($C9,-$A13,$A14)))),
MAX(0,O14-(OFFSET($C14,0,$A14)/(OFFSET($C9,-$A13,$A14))))),0))</f>
        <v>51.554916764308985</v>
      </c>
      <c r="Q14" s="1423">
        <f t="shared" ref="Q14:Q26" ca="1" si="17">IF(P38="n/a",P14,IFERROR(IF((OFFSET($C14,0,$A14))&lt;0,
MIN(0,P14-(OFFSET($C14,0,$A14)/(OFFSET($C9,-$A13,$A14)))),
MAX(0,P14-(OFFSET($C14,0,$A14)/(OFFSET($C9,-$A13,$A14))))),0))</f>
        <v>41.694704876631576</v>
      </c>
      <c r="R14" s="1423">
        <f t="shared" ref="R14:R27" ca="1" si="18">IF(Q38="n/a",Q14,IFERROR(IF((OFFSET($C14,0,$A14))&lt;0,
MIN(0,Q14-(OFFSET($C14,0,$A14)/(OFFSET($C9,-$A13,$A14)))),
MAX(0,Q14-(OFFSET($C14,0,$A14)/(OFFSET($C9,-$A13,$A14))))),0))</f>
        <v>31.834492988954167</v>
      </c>
      <c r="S14" s="1423">
        <f t="shared" ref="S14:S28" ca="1" si="19">IF(R38="n/a",R14,IFERROR(IF((OFFSET($C14,0,$A14))&lt;0,
MIN(0,R14-(OFFSET($C14,0,$A14)/(OFFSET($C9,-$A13,$A14)))),
MAX(0,R14-(OFFSET($C14,0,$A14)/(OFFSET($C9,-$A13,$A14))))),0))</f>
        <v>21.974281101276759</v>
      </c>
      <c r="T14" s="1423">
        <f t="shared" ref="T14:T29" ca="1" si="20">IF(S38="n/a",S14,IFERROR(IF((OFFSET($C14,0,$A14))&lt;0,
MIN(0,S14-(OFFSET($C14,0,$A14)/(OFFSET($C9,-$A13,$A14)))),
MAX(0,S14-(OFFSET($C14,0,$A14)/(OFFSET($C9,-$A13,$A14))))),0))</f>
        <v>12.11406921359935</v>
      </c>
      <c r="U14" s="1423">
        <f t="shared" ref="U14:U30" ca="1" si="21">IF(T38="n/a",T14,IFERROR(IF((OFFSET($C14,0,$A14))&lt;0,
MIN(0,T14-(OFFSET($C14,0,$A14)/(OFFSET($C9,-$A13,$A14)))),
MAX(0,T14-(OFFSET($C14,0,$A14)/(OFFSET($C9,-$A13,$A14))))),0))</f>
        <v>2.2538573259219419</v>
      </c>
      <c r="V14" s="1423">
        <f t="shared" ref="V14:V31" ca="1" si="22">IF(U38="n/a",U14,IFERROR(IF((OFFSET($C14,0,$A14))&lt;0,
MIN(0,U14-(OFFSET($C14,0,$A14)/(OFFSET($C9,-$A13,$A14)))),
MAX(0,U14-(OFFSET($C14,0,$A14)/(OFFSET($C9,-$A13,$A14))))),0))</f>
        <v>0</v>
      </c>
      <c r="W14" s="1423">
        <f t="shared" ref="W14:W32" ca="1" si="23">IF(V38="n/a",V14,IFERROR(IF((OFFSET($C14,0,$A14))&lt;0,
MIN(0,V14-(OFFSET($C14,0,$A14)/(OFFSET($C9,-$A13,$A14)))),
MAX(0,V14-(OFFSET($C14,0,$A14)/(OFFSET($C9,-$A13,$A14))))),0))</f>
        <v>0</v>
      </c>
      <c r="X14" s="152"/>
      <c r="Y14" s="152"/>
      <c r="Z14" s="152"/>
      <c r="AA14" s="152"/>
      <c r="AB14" s="152"/>
    </row>
    <row r="15" spans="1:28" hidden="1" outlineLevel="1">
      <c r="A15" s="199">
        <f t="shared" ref="A15:A34" si="24">A14+1</f>
        <v>1</v>
      </c>
      <c r="B15" s="190" t="str">
        <f t="shared" ref="B15:B33" ca="1" si="25">"Depreciated Net Capex "&amp;OFFSET($C$6,0,A15)</f>
        <v>Depreciated Net Capex 2016-17</v>
      </c>
      <c r="C15" s="1424"/>
      <c r="D15" s="1425">
        <f>D9</f>
        <v>15.658028445032723</v>
      </c>
      <c r="E15" s="1423">
        <f ca="1">IF(D39="n/a",D15,IFERROR(IF((OFFSET($C15,0,$A15))&lt;0,
MIN(0,D15-(OFFSET($C15,0,$A15)/(OFFSET($C10,-$A14,$A15)))),
MAX(0,D15-(OFFSET($C15,0,$A15)/(OFFSET($C10,-$A14,$A15))))),0))</f>
        <v>14.875127022781086</v>
      </c>
      <c r="F15" s="1423">
        <f t="shared" ca="1" si="6"/>
        <v>14.092225600529449</v>
      </c>
      <c r="G15" s="1423">
        <f t="shared" ca="1" si="7"/>
        <v>13.309324178277812</v>
      </c>
      <c r="H15" s="1423">
        <f t="shared" ca="1" si="8"/>
        <v>12.526422756026175</v>
      </c>
      <c r="I15" s="1423">
        <f t="shared" ca="1" si="9"/>
        <v>11.743521333774538</v>
      </c>
      <c r="J15" s="1423">
        <f t="shared" ca="1" si="10"/>
        <v>10.960619911522901</v>
      </c>
      <c r="K15" s="1423">
        <f t="shared" ca="1" si="11"/>
        <v>10.177718489271264</v>
      </c>
      <c r="L15" s="1423">
        <f t="shared" ca="1" si="12"/>
        <v>9.3948170670196269</v>
      </c>
      <c r="M15" s="1423">
        <f t="shared" ca="1" si="13"/>
        <v>8.6119156447679899</v>
      </c>
      <c r="N15" s="1423">
        <f t="shared" ca="1" si="14"/>
        <v>7.8290142225163537</v>
      </c>
      <c r="O15" s="1423">
        <f t="shared" ca="1" si="15"/>
        <v>7.0461128002647175</v>
      </c>
      <c r="P15" s="1423">
        <f t="shared" ca="1" si="16"/>
        <v>6.2632113780130814</v>
      </c>
      <c r="Q15" s="1423">
        <f t="shared" ca="1" si="17"/>
        <v>5.4803099557614452</v>
      </c>
      <c r="R15" s="1423">
        <f t="shared" ca="1" si="18"/>
        <v>4.697408533509809</v>
      </c>
      <c r="S15" s="1423">
        <f t="shared" ca="1" si="19"/>
        <v>3.9145071112581729</v>
      </c>
      <c r="T15" s="1423">
        <f t="shared" ca="1" si="20"/>
        <v>3.1316056890065367</v>
      </c>
      <c r="U15" s="1423">
        <f t="shared" ca="1" si="21"/>
        <v>2.3487042667549005</v>
      </c>
      <c r="V15" s="1423">
        <f t="shared" ca="1" si="22"/>
        <v>1.5658028445032643</v>
      </c>
      <c r="W15" s="1423">
        <f t="shared" ca="1" si="23"/>
        <v>0.78290142225162818</v>
      </c>
      <c r="X15" s="152"/>
      <c r="Y15" s="152"/>
      <c r="Z15" s="152"/>
      <c r="AA15" s="152"/>
      <c r="AB15" s="152"/>
    </row>
    <row r="16" spans="1:28" hidden="1" outlineLevel="1">
      <c r="A16" s="199">
        <f t="shared" si="24"/>
        <v>2</v>
      </c>
      <c r="B16" s="190" t="str">
        <f t="shared" ca="1" si="25"/>
        <v>Depreciated Net Capex 2017-18</v>
      </c>
      <c r="C16" s="1426"/>
      <c r="D16" s="1427"/>
      <c r="E16" s="1425">
        <f>E9</f>
        <v>19.260088500242386</v>
      </c>
      <c r="F16" s="1423">
        <f ca="1">IF(E40="n/a",E16,IFERROR(IF((OFFSET($C16,0,$A16))&lt;0,
MIN(0,E16-(OFFSET($C16,0,$A16)/(OFFSET($C11,-$A15,$A16)))),
MAX(0,E16-(OFFSET($C16,0,$A16)/(OFFSET($C11,-$A15,$A16))))),0))</f>
        <v>18.297084075230266</v>
      </c>
      <c r="G16" s="1423">
        <f t="shared" ca="1" si="7"/>
        <v>17.334079650218147</v>
      </c>
      <c r="H16" s="1423">
        <f t="shared" ca="1" si="8"/>
        <v>16.371075225206027</v>
      </c>
      <c r="I16" s="1423">
        <f t="shared" ca="1" si="9"/>
        <v>15.408070800193908</v>
      </c>
      <c r="J16" s="1423">
        <f t="shared" ca="1" si="10"/>
        <v>14.445066375181788</v>
      </c>
      <c r="K16" s="1423">
        <f t="shared" ca="1" si="11"/>
        <v>13.482061950169669</v>
      </c>
      <c r="L16" s="1423">
        <f t="shared" ca="1" si="12"/>
        <v>12.51905752515755</v>
      </c>
      <c r="M16" s="1423">
        <f t="shared" ca="1" si="13"/>
        <v>11.55605310014543</v>
      </c>
      <c r="N16" s="1423">
        <f t="shared" ca="1" si="14"/>
        <v>10.593048675133311</v>
      </c>
      <c r="O16" s="1423">
        <f t="shared" ca="1" si="15"/>
        <v>9.6300442501211911</v>
      </c>
      <c r="P16" s="1423">
        <f t="shared" ca="1" si="16"/>
        <v>8.6670398251090717</v>
      </c>
      <c r="Q16" s="1423">
        <f t="shared" ca="1" si="17"/>
        <v>7.7040354000969522</v>
      </c>
      <c r="R16" s="1423">
        <f t="shared" ca="1" si="18"/>
        <v>6.7410309750848327</v>
      </c>
      <c r="S16" s="1423">
        <f t="shared" ca="1" si="19"/>
        <v>5.7780265500727133</v>
      </c>
      <c r="T16" s="1423">
        <f t="shared" ca="1" si="20"/>
        <v>4.8150221250605938</v>
      </c>
      <c r="U16" s="1423">
        <f t="shared" ca="1" si="21"/>
        <v>3.8520177000484743</v>
      </c>
      <c r="V16" s="1423">
        <f t="shared" ca="1" si="22"/>
        <v>2.8890132750363549</v>
      </c>
      <c r="W16" s="1423">
        <f t="shared" ca="1" si="23"/>
        <v>1.9260088500242356</v>
      </c>
      <c r="X16" s="202"/>
      <c r="Y16" s="152"/>
      <c r="Z16" s="152"/>
      <c r="AA16" s="152"/>
      <c r="AB16" s="152"/>
    </row>
    <row r="17" spans="1:28" hidden="1" outlineLevel="1">
      <c r="A17" s="199">
        <f t="shared" si="24"/>
        <v>3</v>
      </c>
      <c r="B17" s="190" t="str">
        <f t="shared" ca="1" si="25"/>
        <v>Depreciated Net Capex 2018-19</v>
      </c>
      <c r="C17" s="1426"/>
      <c r="D17" s="1426"/>
      <c r="E17" s="1427"/>
      <c r="F17" s="1428">
        <f>F9</f>
        <v>23.794430971210588</v>
      </c>
      <c r="G17" s="1423">
        <f ca="1">IF(F41="n/a",F17,IFERROR(IF((OFFSET($C17,0,$A17))&lt;0,
MIN(0,F17-(OFFSET($C17,0,$A17)/(OFFSET($C12,-$A16,$A17)))),
MAX(0,F17-(OFFSET($C17,0,$A17)/(OFFSET($C12,-$A16,$A17))))),0))</f>
        <v>22.604709422650057</v>
      </c>
      <c r="H17" s="1423">
        <f t="shared" ca="1" si="8"/>
        <v>21.414987874089526</v>
      </c>
      <c r="I17" s="1423">
        <f t="shared" ca="1" si="9"/>
        <v>20.225266325528995</v>
      </c>
      <c r="J17" s="1423">
        <f t="shared" ca="1" si="10"/>
        <v>19.035544776968464</v>
      </c>
      <c r="K17" s="1423">
        <f t="shared" ca="1" si="11"/>
        <v>17.845823228407934</v>
      </c>
      <c r="L17" s="1423">
        <f t="shared" ca="1" si="12"/>
        <v>16.656101679847403</v>
      </c>
      <c r="M17" s="1423">
        <f t="shared" ca="1" si="13"/>
        <v>15.466380131286874</v>
      </c>
      <c r="N17" s="1423">
        <f t="shared" ca="1" si="14"/>
        <v>14.276658582726345</v>
      </c>
      <c r="O17" s="1423">
        <f t="shared" ca="1" si="15"/>
        <v>13.086937034165816</v>
      </c>
      <c r="P17" s="1423">
        <f t="shared" ca="1" si="16"/>
        <v>11.897215485605287</v>
      </c>
      <c r="Q17" s="1423">
        <f t="shared" ca="1" si="17"/>
        <v>10.707493937044758</v>
      </c>
      <c r="R17" s="1423">
        <f t="shared" ca="1" si="18"/>
        <v>9.5177723884842287</v>
      </c>
      <c r="S17" s="1423">
        <f t="shared" ca="1" si="19"/>
        <v>8.3280508399236997</v>
      </c>
      <c r="T17" s="1423">
        <f t="shared" ca="1" si="20"/>
        <v>7.1383292913631706</v>
      </c>
      <c r="U17" s="1423">
        <f t="shared" ca="1" si="21"/>
        <v>5.9486077428026416</v>
      </c>
      <c r="V17" s="1423">
        <f t="shared" ca="1" si="22"/>
        <v>4.7588861942421126</v>
      </c>
      <c r="W17" s="1423">
        <f t="shared" ca="1" si="23"/>
        <v>3.5691646456815831</v>
      </c>
      <c r="X17" s="202"/>
      <c r="Y17" s="202"/>
      <c r="Z17" s="152"/>
      <c r="AA17" s="152"/>
      <c r="AB17" s="152"/>
    </row>
    <row r="18" spans="1:28" hidden="1" outlineLevel="1">
      <c r="A18" s="199">
        <f t="shared" si="24"/>
        <v>4</v>
      </c>
      <c r="B18" s="190" t="str">
        <f t="shared" ca="1" si="25"/>
        <v>Depreciated Net Capex 2019-20</v>
      </c>
      <c r="C18" s="1426"/>
      <c r="D18" s="1426"/>
      <c r="E18" s="1426"/>
      <c r="F18" s="1427"/>
      <c r="G18" s="1428">
        <f>G9</f>
        <v>19.056827713457906</v>
      </c>
      <c r="H18" s="1423">
        <f ca="1">IF(G42="n/a",G18,IFERROR(IF((OFFSET($C18,0,$A18))&lt;0,
MIN(0,G18-(OFFSET($C18,0,$A18)/(OFFSET($C13,-$A17,$A18)))),
MAX(0,G18-(OFFSET($C18,0,$A18)/(OFFSET($C13,-$A17,$A18))))),0))</f>
        <v>18.103986327785012</v>
      </c>
      <c r="I18" s="1423">
        <f t="shared" ca="1" si="9"/>
        <v>17.151144942112118</v>
      </c>
      <c r="J18" s="1423">
        <f t="shared" ca="1" si="10"/>
        <v>16.198303556439225</v>
      </c>
      <c r="K18" s="1423">
        <f t="shared" ca="1" si="11"/>
        <v>15.245462170766329</v>
      </c>
      <c r="L18" s="1423">
        <f t="shared" ca="1" si="12"/>
        <v>14.292620785093433</v>
      </c>
      <c r="M18" s="1423">
        <f t="shared" ca="1" si="13"/>
        <v>13.339779399420538</v>
      </c>
      <c r="N18" s="1423">
        <f t="shared" ca="1" si="14"/>
        <v>12.386938013747642</v>
      </c>
      <c r="O18" s="1423">
        <f t="shared" ca="1" si="15"/>
        <v>11.434096628074746</v>
      </c>
      <c r="P18" s="1423">
        <f t="shared" ca="1" si="16"/>
        <v>10.481255242401851</v>
      </c>
      <c r="Q18" s="1423">
        <f t="shared" ca="1" si="17"/>
        <v>9.5284138567289549</v>
      </c>
      <c r="R18" s="1423">
        <f t="shared" ca="1" si="18"/>
        <v>8.5755724710560592</v>
      </c>
      <c r="S18" s="1423">
        <f t="shared" ca="1" si="19"/>
        <v>7.6227310853831636</v>
      </c>
      <c r="T18" s="1423">
        <f t="shared" ca="1" si="20"/>
        <v>6.6698896997102679</v>
      </c>
      <c r="U18" s="1423">
        <f t="shared" ca="1" si="21"/>
        <v>5.7170483140373722</v>
      </c>
      <c r="V18" s="1423">
        <f t="shared" ca="1" si="22"/>
        <v>4.7642069283644766</v>
      </c>
      <c r="W18" s="1423">
        <f t="shared" ca="1" si="23"/>
        <v>3.8113655426915813</v>
      </c>
      <c r="X18" s="202"/>
      <c r="Y18" s="202"/>
      <c r="Z18" s="202"/>
      <c r="AA18" s="152"/>
      <c r="AB18" s="152"/>
    </row>
    <row r="19" spans="1:28" hidden="1" outlineLevel="1">
      <c r="A19" s="199">
        <f t="shared" si="24"/>
        <v>5</v>
      </c>
      <c r="B19" s="190" t="str">
        <f t="shared" ca="1" si="25"/>
        <v>Depreciated Net Capex 2020-21</v>
      </c>
      <c r="C19" s="1426"/>
      <c r="D19" s="1426"/>
      <c r="E19" s="1426"/>
      <c r="F19" s="1426"/>
      <c r="G19" s="1427"/>
      <c r="H19" s="1428">
        <f>H9</f>
        <v>11.308164355385486</v>
      </c>
      <c r="I19" s="1423">
        <f ca="1">IF(H43="n/a",H19,IFERROR(IF((OFFSET($C19,0,$A19))&lt;0,
MIN(0,H19-(OFFSET($C19,0,$A19)/(OFFSET($C14,-$A18,$A19)))),
MAX(0,H19-(OFFSET($C19,0,$A19)/(OFFSET($C14,-$A18,$A19))))),0))</f>
        <v>10.742756137616212</v>
      </c>
      <c r="J19" s="1423">
        <f t="shared" ca="1" si="10"/>
        <v>10.177347919846937</v>
      </c>
      <c r="K19" s="1423">
        <f t="shared" ca="1" si="11"/>
        <v>9.6119397020776631</v>
      </c>
      <c r="L19" s="1423">
        <f t="shared" ca="1" si="12"/>
        <v>9.0465314843083888</v>
      </c>
      <c r="M19" s="1423">
        <f t="shared" ca="1" si="13"/>
        <v>8.4811232665391145</v>
      </c>
      <c r="N19" s="1423">
        <f t="shared" ca="1" si="14"/>
        <v>7.9157150487698402</v>
      </c>
      <c r="O19" s="1423">
        <f t="shared" ca="1" si="15"/>
        <v>7.3503068310005659</v>
      </c>
      <c r="P19" s="1423">
        <f t="shared" ca="1" si="16"/>
        <v>6.7848986132312916</v>
      </c>
      <c r="Q19" s="1423">
        <f t="shared" ca="1" si="17"/>
        <v>6.2194903954620173</v>
      </c>
      <c r="R19" s="1423">
        <f t="shared" ca="1" si="18"/>
        <v>5.654082177692743</v>
      </c>
      <c r="S19" s="1423">
        <f t="shared" ca="1" si="19"/>
        <v>5.0886739599234687</v>
      </c>
      <c r="T19" s="1423">
        <f t="shared" ca="1" si="20"/>
        <v>4.5232657421541944</v>
      </c>
      <c r="U19" s="1423">
        <f t="shared" ca="1" si="21"/>
        <v>3.9578575243849201</v>
      </c>
      <c r="V19" s="1423">
        <f t="shared" ca="1" si="22"/>
        <v>3.3924493066156458</v>
      </c>
      <c r="W19" s="1423">
        <f t="shared" ca="1" si="23"/>
        <v>2.8270410888463715</v>
      </c>
      <c r="X19" s="202"/>
      <c r="Y19" s="202"/>
      <c r="Z19" s="202"/>
      <c r="AA19" s="152"/>
      <c r="AB19" s="152"/>
    </row>
    <row r="20" spans="1:28" hidden="1" outlineLevel="1">
      <c r="A20" s="199">
        <f t="shared" si="24"/>
        <v>6</v>
      </c>
      <c r="B20" s="190" t="str">
        <f t="shared" ca="1" si="25"/>
        <v>Depreciated Net Capex 2021-22</v>
      </c>
      <c r="C20" s="1426"/>
      <c r="D20" s="1426"/>
      <c r="E20" s="1426"/>
      <c r="F20" s="1426"/>
      <c r="G20" s="1426"/>
      <c r="H20" s="1427"/>
      <c r="I20" s="1428">
        <f>I9</f>
        <v>17.305538158099527</v>
      </c>
      <c r="J20" s="1423">
        <f ca="1">IF(I44="n/a",I20,IFERROR(IF((OFFSET($C20,0,$A20))&lt;0,
MIN(0,I20-(OFFSET($C20,0,$A20)/(OFFSET($C15,-$A19,$A20)))),
MAX(0,I20-(OFFSET($C20,0,$A20)/(OFFSET($C15,-$A19,$A20))))),0))</f>
        <v>16.440261250194549</v>
      </c>
      <c r="K20" s="1423">
        <f t="shared" ca="1" si="11"/>
        <v>15.574984342289573</v>
      </c>
      <c r="L20" s="1423">
        <f t="shared" ca="1" si="12"/>
        <v>14.709707434384597</v>
      </c>
      <c r="M20" s="1423">
        <f t="shared" ca="1" si="13"/>
        <v>13.844430526479622</v>
      </c>
      <c r="N20" s="1423">
        <f t="shared" ca="1" si="14"/>
        <v>12.979153618574646</v>
      </c>
      <c r="O20" s="1423">
        <f t="shared" ca="1" si="15"/>
        <v>12.11387671066967</v>
      </c>
      <c r="P20" s="1423">
        <f t="shared" ca="1" si="16"/>
        <v>11.248599802764694</v>
      </c>
      <c r="Q20" s="1423">
        <f t="shared" ca="1" si="17"/>
        <v>10.383322894859718</v>
      </c>
      <c r="R20" s="1423">
        <f t="shared" ca="1" si="18"/>
        <v>9.5180459869547427</v>
      </c>
      <c r="S20" s="1423">
        <f t="shared" ca="1" si="19"/>
        <v>8.6527690790497669</v>
      </c>
      <c r="T20" s="1423">
        <f t="shared" ca="1" si="20"/>
        <v>7.7874921711447902</v>
      </c>
      <c r="U20" s="1423">
        <f t="shared" ca="1" si="21"/>
        <v>6.9222152632398135</v>
      </c>
      <c r="V20" s="1423">
        <f t="shared" ca="1" si="22"/>
        <v>6.0569383553348368</v>
      </c>
      <c r="W20" s="1423">
        <f t="shared" ca="1" si="23"/>
        <v>5.1916614474298601</v>
      </c>
      <c r="X20" s="202"/>
      <c r="Y20" s="202"/>
      <c r="Z20" s="202"/>
      <c r="AA20" s="152"/>
      <c r="AB20" s="152"/>
    </row>
    <row r="21" spans="1:28" hidden="1" outlineLevel="1">
      <c r="A21" s="199">
        <f t="shared" si="24"/>
        <v>7</v>
      </c>
      <c r="B21" s="190" t="str">
        <f t="shared" ca="1" si="25"/>
        <v>Depreciated Net Capex 2022-23</v>
      </c>
      <c r="C21" s="1426"/>
      <c r="D21" s="1426"/>
      <c r="E21" s="1426"/>
      <c r="F21" s="1426"/>
      <c r="G21" s="1426"/>
      <c r="H21" s="1426"/>
      <c r="I21" s="1427"/>
      <c r="J21" s="1428">
        <f>J9</f>
        <v>6.0275135814576961</v>
      </c>
      <c r="K21" s="1423">
        <f ca="1">IF(J45="n/a",J21,IFERROR(IF((OFFSET($C21,0,$A21))&lt;0,
MIN(0,J21-(OFFSET($C21,0,$A21)/(OFFSET($C16,-$A20,$A21)))),
MAX(0,J21-(OFFSET($C21,0,$A21)/(OFFSET($C16,-$A20,$A21))))),0))</f>
        <v>5.7261379023848109</v>
      </c>
      <c r="L21" s="1423">
        <f t="shared" ca="1" si="12"/>
        <v>5.4247622233119257</v>
      </c>
      <c r="M21" s="1423">
        <f t="shared" ca="1" si="13"/>
        <v>5.1233865442390405</v>
      </c>
      <c r="N21" s="1423">
        <f t="shared" ca="1" si="14"/>
        <v>4.8220108651661553</v>
      </c>
      <c r="O21" s="1423">
        <f t="shared" ca="1" si="15"/>
        <v>4.5206351860932701</v>
      </c>
      <c r="P21" s="1423">
        <f t="shared" ca="1" si="16"/>
        <v>4.2192595070203849</v>
      </c>
      <c r="Q21" s="1423">
        <f t="shared" ca="1" si="17"/>
        <v>3.9178838279475001</v>
      </c>
      <c r="R21" s="1423">
        <f t="shared" ca="1" si="18"/>
        <v>3.6165081488746154</v>
      </c>
      <c r="S21" s="1423">
        <f t="shared" ca="1" si="19"/>
        <v>3.3151324698017306</v>
      </c>
      <c r="T21" s="1423">
        <f t="shared" ca="1" si="20"/>
        <v>3.0137567907288458</v>
      </c>
      <c r="U21" s="1423">
        <f t="shared" ca="1" si="21"/>
        <v>2.7123811116559611</v>
      </c>
      <c r="V21" s="1423">
        <f t="shared" ca="1" si="22"/>
        <v>2.4110054325830763</v>
      </c>
      <c r="W21" s="1423">
        <f t="shared" ca="1" si="23"/>
        <v>2.1096297535101916</v>
      </c>
      <c r="X21" s="202"/>
      <c r="Y21" s="202"/>
      <c r="Z21" s="202"/>
      <c r="AA21" s="152"/>
      <c r="AB21" s="152"/>
    </row>
    <row r="22" spans="1:28" hidden="1" outlineLevel="1">
      <c r="A22" s="199">
        <f t="shared" si="24"/>
        <v>8</v>
      </c>
      <c r="B22" s="190" t="str">
        <f t="shared" ca="1" si="25"/>
        <v>Depreciated Net Capex 2023-24</v>
      </c>
      <c r="C22" s="1426"/>
      <c r="D22" s="1426"/>
      <c r="E22" s="1426"/>
      <c r="F22" s="1426"/>
      <c r="G22" s="1426"/>
      <c r="H22" s="1426"/>
      <c r="I22" s="1426"/>
      <c r="J22" s="1427"/>
      <c r="K22" s="1428">
        <f>K9</f>
        <v>0</v>
      </c>
      <c r="L22" s="1423">
        <f ca="1">IF(K46="n/a",K22,IFERROR(IF((OFFSET($C22,0,$A22))&lt;0,
MIN(0,K22-(OFFSET($C22,0,$A22)/(OFFSET($C17,-$A21,$A22)))),
MAX(0,K22-(OFFSET($C22,0,$A22)/(OFFSET($C17,-$A21,$A22))))),0))</f>
        <v>0</v>
      </c>
      <c r="M22" s="1423">
        <f t="shared" ca="1" si="13"/>
        <v>0</v>
      </c>
      <c r="N22" s="1423">
        <f t="shared" ca="1" si="14"/>
        <v>0</v>
      </c>
      <c r="O22" s="1423">
        <f t="shared" ca="1" si="15"/>
        <v>0</v>
      </c>
      <c r="P22" s="1423">
        <f t="shared" ca="1" si="16"/>
        <v>0</v>
      </c>
      <c r="Q22" s="1423">
        <f t="shared" ca="1" si="17"/>
        <v>0</v>
      </c>
      <c r="R22" s="1423">
        <f t="shared" ca="1" si="18"/>
        <v>0</v>
      </c>
      <c r="S22" s="1423">
        <f t="shared" ca="1" si="19"/>
        <v>0</v>
      </c>
      <c r="T22" s="1423">
        <f t="shared" ca="1" si="20"/>
        <v>0</v>
      </c>
      <c r="U22" s="1423">
        <f t="shared" ca="1" si="21"/>
        <v>0</v>
      </c>
      <c r="V22" s="1423">
        <f t="shared" ca="1" si="22"/>
        <v>0</v>
      </c>
      <c r="W22" s="1423">
        <f t="shared" ca="1" si="23"/>
        <v>0</v>
      </c>
      <c r="X22" s="202"/>
      <c r="Y22" s="202"/>
      <c r="Z22" s="202"/>
      <c r="AA22" s="152"/>
      <c r="AB22" s="152"/>
    </row>
    <row r="23" spans="1:28" hidden="1" outlineLevel="1">
      <c r="A23" s="199">
        <f t="shared" si="24"/>
        <v>9</v>
      </c>
      <c r="B23" s="190" t="str">
        <f t="shared" ca="1" si="25"/>
        <v>Depreciated Net Capex 2024-25</v>
      </c>
      <c r="C23" s="1426"/>
      <c r="D23" s="1426"/>
      <c r="E23" s="1426"/>
      <c r="F23" s="1426"/>
      <c r="G23" s="1426"/>
      <c r="H23" s="1426"/>
      <c r="I23" s="1426"/>
      <c r="J23" s="1426"/>
      <c r="K23" s="1427"/>
      <c r="L23" s="1428">
        <f>L9</f>
        <v>0</v>
      </c>
      <c r="M23" s="1423">
        <f ca="1">IF(L47="n/a",L23,IFERROR(IF((OFFSET($C23,0,$A23))&lt;0,
MIN(0,L23-(OFFSET($C23,0,$A23)/(OFFSET($C18,-$A22,$A23)))),
MAX(0,L23-(OFFSET($C23,0,$A23)/(OFFSET($C18,-$A22,$A23))))),0))</f>
        <v>0</v>
      </c>
      <c r="N23" s="1423">
        <f t="shared" ca="1" si="14"/>
        <v>0</v>
      </c>
      <c r="O23" s="1423">
        <f t="shared" ca="1" si="15"/>
        <v>0</v>
      </c>
      <c r="P23" s="1423">
        <f t="shared" ca="1" si="16"/>
        <v>0</v>
      </c>
      <c r="Q23" s="1423">
        <f t="shared" ca="1" si="17"/>
        <v>0</v>
      </c>
      <c r="R23" s="1423">
        <f t="shared" ca="1" si="18"/>
        <v>0</v>
      </c>
      <c r="S23" s="1423">
        <f t="shared" ca="1" si="19"/>
        <v>0</v>
      </c>
      <c r="T23" s="1423">
        <f t="shared" ca="1" si="20"/>
        <v>0</v>
      </c>
      <c r="U23" s="1423">
        <f t="shared" ca="1" si="21"/>
        <v>0</v>
      </c>
      <c r="V23" s="1423">
        <f t="shared" ca="1" si="22"/>
        <v>0</v>
      </c>
      <c r="W23" s="1423">
        <f t="shared" ca="1" si="23"/>
        <v>0</v>
      </c>
      <c r="X23" s="202"/>
      <c r="Y23" s="202"/>
      <c r="Z23" s="202"/>
      <c r="AA23" s="152"/>
      <c r="AB23" s="152"/>
    </row>
    <row r="24" spans="1:28" hidden="1" outlineLevel="1">
      <c r="A24" s="199">
        <f t="shared" si="24"/>
        <v>10</v>
      </c>
      <c r="B24" s="190" t="str">
        <f t="shared" ca="1" si="25"/>
        <v>Depreciated Net Capex 2025-26</v>
      </c>
      <c r="C24" s="1426"/>
      <c r="D24" s="1426"/>
      <c r="E24" s="1426"/>
      <c r="F24" s="1426"/>
      <c r="G24" s="1426"/>
      <c r="H24" s="1426"/>
      <c r="I24" s="1426"/>
      <c r="J24" s="1426"/>
      <c r="K24" s="1426"/>
      <c r="L24" s="1427"/>
      <c r="M24" s="1428">
        <f>M9</f>
        <v>0</v>
      </c>
      <c r="N24" s="1423">
        <f ca="1">IF(M48="n/a",M24,IFERROR(IF((OFFSET($C24,0,$A24))&lt;0,
MIN(0,M24-(OFFSET($C24,0,$A24)/(OFFSET($C19,-$A23,$A24)))),
MAX(0,M24-(OFFSET($C24,0,$A24)/(OFFSET($C19,-$A23,$A24))))),0))</f>
        <v>0</v>
      </c>
      <c r="O24" s="1423">
        <f t="shared" ca="1" si="15"/>
        <v>0</v>
      </c>
      <c r="P24" s="1423">
        <f t="shared" ca="1" si="16"/>
        <v>0</v>
      </c>
      <c r="Q24" s="1423">
        <f t="shared" ca="1" si="17"/>
        <v>0</v>
      </c>
      <c r="R24" s="1423">
        <f t="shared" ca="1" si="18"/>
        <v>0</v>
      </c>
      <c r="S24" s="1423">
        <f t="shared" ca="1" si="19"/>
        <v>0</v>
      </c>
      <c r="T24" s="1423">
        <f t="shared" ca="1" si="20"/>
        <v>0</v>
      </c>
      <c r="U24" s="1423">
        <f t="shared" ca="1" si="21"/>
        <v>0</v>
      </c>
      <c r="V24" s="1423">
        <f t="shared" ca="1" si="22"/>
        <v>0</v>
      </c>
      <c r="W24" s="1423">
        <f t="shared" ca="1" si="23"/>
        <v>0</v>
      </c>
      <c r="X24" s="202"/>
      <c r="Y24" s="202"/>
      <c r="Z24" s="202"/>
      <c r="AA24" s="152"/>
      <c r="AB24" s="152"/>
    </row>
    <row r="25" spans="1:28" hidden="1" outlineLevel="1">
      <c r="A25" s="199">
        <f t="shared" si="24"/>
        <v>11</v>
      </c>
      <c r="B25" s="190" t="str">
        <f t="shared" ca="1" si="25"/>
        <v>Depreciated Net Capex 2026-27</v>
      </c>
      <c r="C25" s="1426"/>
      <c r="D25" s="1426"/>
      <c r="E25" s="1426"/>
      <c r="F25" s="1426"/>
      <c r="G25" s="1426"/>
      <c r="H25" s="1426"/>
      <c r="I25" s="1426"/>
      <c r="J25" s="1426"/>
      <c r="K25" s="1426"/>
      <c r="L25" s="1426"/>
      <c r="M25" s="1427"/>
      <c r="N25" s="1428">
        <f>N9</f>
        <v>0</v>
      </c>
      <c r="O25" s="1423">
        <f ca="1">IF(N49="n/a",N25,IFERROR(IF((OFFSET($C25,0,$A25))&lt;0,
MIN(0,N25-(OFFSET($C25,0,$A25)/(OFFSET($C20,-$A24,$A25)))),
MAX(0,N25-(OFFSET($C25,0,$A25)/(OFFSET($C20,-$A24,$A25))))),0))</f>
        <v>0</v>
      </c>
      <c r="P25" s="1423">
        <f t="shared" ca="1" si="16"/>
        <v>0</v>
      </c>
      <c r="Q25" s="1423">
        <f t="shared" ca="1" si="17"/>
        <v>0</v>
      </c>
      <c r="R25" s="1423">
        <f t="shared" ca="1" si="18"/>
        <v>0</v>
      </c>
      <c r="S25" s="1423">
        <f t="shared" ca="1" si="19"/>
        <v>0</v>
      </c>
      <c r="T25" s="1423">
        <f t="shared" ca="1" si="20"/>
        <v>0</v>
      </c>
      <c r="U25" s="1423">
        <f t="shared" ca="1" si="21"/>
        <v>0</v>
      </c>
      <c r="V25" s="1423">
        <f t="shared" ca="1" si="22"/>
        <v>0</v>
      </c>
      <c r="W25" s="1423">
        <f t="shared" ca="1" si="23"/>
        <v>0</v>
      </c>
      <c r="X25" s="202"/>
      <c r="Y25" s="202"/>
      <c r="Z25" s="202"/>
      <c r="AA25" s="152"/>
      <c r="AB25" s="152"/>
    </row>
    <row r="26" spans="1:28" hidden="1" outlineLevel="1">
      <c r="A26" s="199">
        <f t="shared" si="24"/>
        <v>12</v>
      </c>
      <c r="B26" s="190" t="str">
        <f t="shared" ca="1" si="25"/>
        <v>Depreciated Net Capex 2027-28</v>
      </c>
      <c r="C26" s="1426"/>
      <c r="D26" s="1426"/>
      <c r="E26" s="1426"/>
      <c r="F26" s="1426"/>
      <c r="G26" s="1426"/>
      <c r="H26" s="1426"/>
      <c r="I26" s="1426"/>
      <c r="J26" s="1426"/>
      <c r="K26" s="1426"/>
      <c r="L26" s="1426"/>
      <c r="M26" s="1426"/>
      <c r="N26" s="1427"/>
      <c r="O26" s="1428">
        <f>O9</f>
        <v>0</v>
      </c>
      <c r="P26" s="1423">
        <f ca="1">IF(O50="n/a",O26,IFERROR(IF((OFFSET($C26,0,$A26))&lt;0,
MIN(0,O26-(OFFSET($C26,0,$A26)/(OFFSET($C21,-$A25,$A26)))),
MAX(0,O26-(OFFSET($C26,0,$A26)/(OFFSET($C21,-$A25,$A26))))),0))</f>
        <v>0</v>
      </c>
      <c r="Q26" s="1423">
        <f t="shared" ca="1" si="17"/>
        <v>0</v>
      </c>
      <c r="R26" s="1423">
        <f t="shared" ca="1" si="18"/>
        <v>0</v>
      </c>
      <c r="S26" s="1423">
        <f t="shared" ca="1" si="19"/>
        <v>0</v>
      </c>
      <c r="T26" s="1423">
        <f t="shared" ca="1" si="20"/>
        <v>0</v>
      </c>
      <c r="U26" s="1423">
        <f t="shared" ca="1" si="21"/>
        <v>0</v>
      </c>
      <c r="V26" s="1423">
        <f t="shared" ca="1" si="22"/>
        <v>0</v>
      </c>
      <c r="W26" s="1423">
        <f t="shared" ca="1" si="23"/>
        <v>0</v>
      </c>
      <c r="X26" s="202"/>
      <c r="Y26" s="202"/>
      <c r="Z26" s="202"/>
      <c r="AA26" s="152"/>
      <c r="AB26" s="152"/>
    </row>
    <row r="27" spans="1:28" hidden="1" outlineLevel="1">
      <c r="A27" s="199">
        <f t="shared" si="24"/>
        <v>13</v>
      </c>
      <c r="B27" s="190" t="str">
        <f t="shared" ca="1" si="25"/>
        <v>Depreciated Net Capex 2028-29</v>
      </c>
      <c r="C27" s="1426"/>
      <c r="D27" s="1426"/>
      <c r="E27" s="1426"/>
      <c r="F27" s="1426"/>
      <c r="G27" s="1426"/>
      <c r="H27" s="1426"/>
      <c r="I27" s="1426"/>
      <c r="J27" s="1426"/>
      <c r="K27" s="1426"/>
      <c r="L27" s="1426"/>
      <c r="M27" s="1426"/>
      <c r="N27" s="1426"/>
      <c r="O27" s="1427"/>
      <c r="P27" s="1428">
        <f>P9</f>
        <v>0</v>
      </c>
      <c r="Q27" s="1423">
        <f ca="1">IF(P51="n/a",P27,IFERROR(IF((OFFSET($C27,0,$A27))&lt;0,
MIN(0,P27-(OFFSET($C27,0,$A27)/(OFFSET($C22,-$A26,$A27)))),
MAX(0,P27-(OFFSET($C27,0,$A27)/(OFFSET($C22,-$A26,$A27))))),0))</f>
        <v>0</v>
      </c>
      <c r="R27" s="1423">
        <f t="shared" ca="1" si="18"/>
        <v>0</v>
      </c>
      <c r="S27" s="1423">
        <f t="shared" ca="1" si="19"/>
        <v>0</v>
      </c>
      <c r="T27" s="1423">
        <f t="shared" ca="1" si="20"/>
        <v>0</v>
      </c>
      <c r="U27" s="1423">
        <f t="shared" ca="1" si="21"/>
        <v>0</v>
      </c>
      <c r="V27" s="1423">
        <f t="shared" ca="1" si="22"/>
        <v>0</v>
      </c>
      <c r="W27" s="1423">
        <f t="shared" ca="1" si="23"/>
        <v>0</v>
      </c>
      <c r="X27" s="202"/>
      <c r="Y27" s="202"/>
      <c r="Z27" s="202"/>
      <c r="AA27" s="152"/>
      <c r="AB27" s="152"/>
    </row>
    <row r="28" spans="1:28" hidden="1" outlineLevel="1">
      <c r="A28" s="199">
        <f t="shared" si="24"/>
        <v>14</v>
      </c>
      <c r="B28" s="190" t="str">
        <f t="shared" ca="1" si="25"/>
        <v>Depreciated Net Capex 2029-30</v>
      </c>
      <c r="C28" s="1426"/>
      <c r="D28" s="1426"/>
      <c r="E28" s="1426"/>
      <c r="F28" s="1426"/>
      <c r="G28" s="1426"/>
      <c r="H28" s="1426"/>
      <c r="I28" s="1426"/>
      <c r="J28" s="1426"/>
      <c r="K28" s="1426"/>
      <c r="L28" s="1426"/>
      <c r="M28" s="1426"/>
      <c r="N28" s="1426"/>
      <c r="O28" s="1426"/>
      <c r="P28" s="1427"/>
      <c r="Q28" s="1428">
        <f>Q9</f>
        <v>0</v>
      </c>
      <c r="R28" s="1423">
        <f ca="1">IF(Q52="n/a",Q28,IFERROR(IF((OFFSET($C28,0,$A28))&lt;0,
MIN(0,Q28-(OFFSET($C28,0,$A28)/(OFFSET($C23,-$A27,$A28)))),
MAX(0,Q28-(OFFSET($C28,0,$A28)/(OFFSET($C23,-$A27,$A28))))),0))</f>
        <v>0</v>
      </c>
      <c r="S28" s="1423">
        <f t="shared" ca="1" si="19"/>
        <v>0</v>
      </c>
      <c r="T28" s="1423">
        <f t="shared" ca="1" si="20"/>
        <v>0</v>
      </c>
      <c r="U28" s="1423">
        <f t="shared" ca="1" si="21"/>
        <v>0</v>
      </c>
      <c r="V28" s="1423">
        <f t="shared" ca="1" si="22"/>
        <v>0</v>
      </c>
      <c r="W28" s="1423">
        <f t="shared" ca="1" si="23"/>
        <v>0</v>
      </c>
      <c r="X28" s="202"/>
      <c r="Y28" s="202"/>
      <c r="Z28" s="202"/>
      <c r="AA28" s="152"/>
      <c r="AB28" s="152"/>
    </row>
    <row r="29" spans="1:28" hidden="1" outlineLevel="1">
      <c r="A29" s="199">
        <f t="shared" si="24"/>
        <v>15</v>
      </c>
      <c r="B29" s="190" t="str">
        <f t="shared" ca="1" si="25"/>
        <v>Depreciated Net Capex 2030-31</v>
      </c>
      <c r="C29" s="1426"/>
      <c r="D29" s="1426"/>
      <c r="E29" s="1426"/>
      <c r="F29" s="1426"/>
      <c r="G29" s="1426"/>
      <c r="H29" s="1426"/>
      <c r="I29" s="1426"/>
      <c r="J29" s="1426"/>
      <c r="K29" s="1426"/>
      <c r="L29" s="1426"/>
      <c r="M29" s="1426"/>
      <c r="N29" s="1426"/>
      <c r="O29" s="1426"/>
      <c r="P29" s="1426"/>
      <c r="Q29" s="1427"/>
      <c r="R29" s="1428">
        <f>R9</f>
        <v>0</v>
      </c>
      <c r="S29" s="1423">
        <f ca="1">IF(R53="n/a",R29,IFERROR(IF((OFFSET($C29,0,$A29))&lt;0,
MIN(0,R29-(OFFSET($C29,0,$A29)/(OFFSET($C24,-$A28,$A29)))),
MAX(0,R29-(OFFSET($C29,0,$A29)/(OFFSET($C24,-$A28,$A29))))),0))</f>
        <v>0</v>
      </c>
      <c r="T29" s="1423">
        <f t="shared" ca="1" si="20"/>
        <v>0</v>
      </c>
      <c r="U29" s="1423">
        <f t="shared" ca="1" si="21"/>
        <v>0</v>
      </c>
      <c r="V29" s="1423">
        <f t="shared" ca="1" si="22"/>
        <v>0</v>
      </c>
      <c r="W29" s="1423">
        <f t="shared" ca="1" si="23"/>
        <v>0</v>
      </c>
      <c r="X29" s="202"/>
      <c r="Y29" s="202"/>
      <c r="Z29" s="202"/>
      <c r="AA29" s="152"/>
      <c r="AB29" s="152"/>
    </row>
    <row r="30" spans="1:28" hidden="1" outlineLevel="1">
      <c r="A30" s="199">
        <f t="shared" si="24"/>
        <v>16</v>
      </c>
      <c r="B30" s="190" t="str">
        <f t="shared" ca="1" si="25"/>
        <v>Depreciated Net Capex 2031-32</v>
      </c>
      <c r="C30" s="1426"/>
      <c r="D30" s="1426"/>
      <c r="E30" s="1426"/>
      <c r="F30" s="1426"/>
      <c r="G30" s="1426"/>
      <c r="H30" s="1426"/>
      <c r="I30" s="1426"/>
      <c r="J30" s="1426"/>
      <c r="K30" s="1426"/>
      <c r="L30" s="1426"/>
      <c r="M30" s="1426"/>
      <c r="N30" s="1426"/>
      <c r="O30" s="1426"/>
      <c r="P30" s="1426"/>
      <c r="Q30" s="1426"/>
      <c r="R30" s="1427"/>
      <c r="S30" s="1428">
        <f>S9</f>
        <v>0</v>
      </c>
      <c r="T30" s="1423">
        <f ca="1">IF(S54="n/a",S30,IFERROR(IF((OFFSET($C30,0,$A30))&lt;0,
MIN(0,S30-(OFFSET($C30,0,$A30)/(OFFSET($C25,-$A29,$A30)))),
MAX(0,S30-(OFFSET($C30,0,$A30)/(OFFSET($C25,-$A29,$A30))))),0))</f>
        <v>0</v>
      </c>
      <c r="U30" s="1423">
        <f t="shared" ca="1" si="21"/>
        <v>0</v>
      </c>
      <c r="V30" s="1423">
        <f t="shared" ca="1" si="22"/>
        <v>0</v>
      </c>
      <c r="W30" s="1423">
        <f t="shared" ca="1" si="23"/>
        <v>0</v>
      </c>
      <c r="X30" s="202"/>
      <c r="Y30" s="202"/>
      <c r="Z30" s="202"/>
      <c r="AA30" s="152"/>
      <c r="AB30" s="152"/>
    </row>
    <row r="31" spans="1:28" hidden="1" outlineLevel="1">
      <c r="A31" s="199">
        <f t="shared" si="24"/>
        <v>17</v>
      </c>
      <c r="B31" s="190" t="str">
        <f t="shared" ca="1" si="25"/>
        <v>Depreciated Net Capex 2032-33</v>
      </c>
      <c r="C31" s="1426"/>
      <c r="D31" s="1426"/>
      <c r="E31" s="1426"/>
      <c r="F31" s="1426"/>
      <c r="G31" s="1426"/>
      <c r="H31" s="1426"/>
      <c r="I31" s="1426"/>
      <c r="J31" s="1426"/>
      <c r="K31" s="1426"/>
      <c r="L31" s="1426"/>
      <c r="M31" s="1426"/>
      <c r="N31" s="1426"/>
      <c r="O31" s="1426"/>
      <c r="P31" s="1426"/>
      <c r="Q31" s="1426"/>
      <c r="R31" s="1426"/>
      <c r="S31" s="1427"/>
      <c r="T31" s="1428">
        <f>T9</f>
        <v>0</v>
      </c>
      <c r="U31" s="1423">
        <f ca="1">IF(T55="n/a",T31,IFERROR(IF((OFFSET($C31,0,$A31))&lt;0,
MIN(0,T31-(OFFSET($C31,0,$A31)/(OFFSET($C26,-$A30,$A31)))),
MAX(0,T31-(OFFSET($C31,0,$A31)/(OFFSET($C26,-$A30,$A31))))),0))</f>
        <v>0</v>
      </c>
      <c r="V31" s="1423">
        <f t="shared" ca="1" si="22"/>
        <v>0</v>
      </c>
      <c r="W31" s="1423">
        <f t="shared" ca="1" si="23"/>
        <v>0</v>
      </c>
      <c r="X31" s="202"/>
      <c r="Y31" s="202"/>
      <c r="Z31" s="202"/>
      <c r="AA31" s="152"/>
      <c r="AB31" s="152"/>
    </row>
    <row r="32" spans="1:28" hidden="1" outlineLevel="1">
      <c r="A32" s="199">
        <f t="shared" si="24"/>
        <v>18</v>
      </c>
      <c r="B32" s="190" t="str">
        <f t="shared" ca="1" si="25"/>
        <v>Depreciated Net Capex 2033-34</v>
      </c>
      <c r="C32" s="1426"/>
      <c r="D32" s="1426"/>
      <c r="E32" s="1426"/>
      <c r="F32" s="1426"/>
      <c r="G32" s="1426"/>
      <c r="H32" s="1426"/>
      <c r="I32" s="1426"/>
      <c r="J32" s="1426"/>
      <c r="K32" s="1426"/>
      <c r="L32" s="1426"/>
      <c r="M32" s="1426"/>
      <c r="N32" s="1426"/>
      <c r="O32" s="1426"/>
      <c r="P32" s="1426"/>
      <c r="Q32" s="1426"/>
      <c r="R32" s="1426"/>
      <c r="S32" s="1426"/>
      <c r="T32" s="1427"/>
      <c r="U32" s="1428">
        <f>U9</f>
        <v>0</v>
      </c>
      <c r="V32" s="1423">
        <f ca="1">IF(U56="n/a",U32,IFERROR(IF((OFFSET($C32,0,$A32))&lt;0,
MIN(0,U32-(OFFSET($C32,0,$A32)/(OFFSET($C27,-$A31,$A32)))),
MAX(0,U32-(OFFSET($C32,0,$A32)/(OFFSET($C27,-$A31,$A32))))),0))</f>
        <v>0</v>
      </c>
      <c r="W32" s="1423">
        <f t="shared" ca="1" si="23"/>
        <v>0</v>
      </c>
      <c r="X32" s="202"/>
      <c r="Y32" s="202"/>
      <c r="Z32" s="202"/>
      <c r="AA32" s="152"/>
      <c r="AB32" s="152"/>
    </row>
    <row r="33" spans="1:28" hidden="1" outlineLevel="1">
      <c r="A33" s="199">
        <f t="shared" si="24"/>
        <v>19</v>
      </c>
      <c r="B33" s="190" t="str">
        <f t="shared" ca="1" si="25"/>
        <v>Depreciated Net Capex 2034-35</v>
      </c>
      <c r="C33" s="1426"/>
      <c r="D33" s="1426"/>
      <c r="E33" s="1426"/>
      <c r="F33" s="1426"/>
      <c r="G33" s="1426"/>
      <c r="H33" s="1426"/>
      <c r="I33" s="1426"/>
      <c r="J33" s="1426"/>
      <c r="K33" s="1426"/>
      <c r="L33" s="1426"/>
      <c r="M33" s="1426"/>
      <c r="N33" s="1426"/>
      <c r="O33" s="1426"/>
      <c r="P33" s="1426"/>
      <c r="Q33" s="1426"/>
      <c r="R33" s="1426"/>
      <c r="S33" s="1426"/>
      <c r="T33" s="1426"/>
      <c r="U33" s="1427"/>
      <c r="V33" s="1428">
        <f>V9</f>
        <v>0</v>
      </c>
      <c r="W33" s="1423">
        <f ca="1">IF(V57="n/a",V33,IFERROR(IF((OFFSET($C33,0,$A33))&lt;0,
MIN(0,V33-(OFFSET($C33,0,$A33)/(OFFSET($C28,-$A32,$A33)))),
MAX(0,V33-(OFFSET($C33,0,$A33)/(OFFSET($C28,-$A32,$A33))))),0))</f>
        <v>0</v>
      </c>
      <c r="X33" s="202"/>
      <c r="Y33" s="202"/>
      <c r="Z33" s="202"/>
      <c r="AA33" s="152"/>
      <c r="AB33" s="152"/>
    </row>
    <row r="34" spans="1:28" hidden="1" outlineLevel="1">
      <c r="A34" s="199">
        <f t="shared" si="24"/>
        <v>20</v>
      </c>
      <c r="B34" s="190" t="str">
        <f t="shared" ref="B34" ca="1" si="26">"Depreciated Net Capex "&amp;OFFSET($C$6,0,A34)</f>
        <v>Depreciated Net Capex 2035-36</v>
      </c>
      <c r="C34" s="1426"/>
      <c r="D34" s="1426"/>
      <c r="E34" s="1426"/>
      <c r="F34" s="1426"/>
      <c r="G34" s="1426"/>
      <c r="H34" s="1426"/>
      <c r="I34" s="1426"/>
      <c r="J34" s="1426"/>
      <c r="K34" s="1426"/>
      <c r="L34" s="1426"/>
      <c r="M34" s="1426"/>
      <c r="N34" s="1426"/>
      <c r="O34" s="1426"/>
      <c r="P34" s="1426"/>
      <c r="Q34" s="1426"/>
      <c r="R34" s="1426"/>
      <c r="S34" s="1426"/>
      <c r="T34" s="1426"/>
      <c r="U34" s="1426"/>
      <c r="V34" s="1427"/>
      <c r="W34" s="1423">
        <f>W9</f>
        <v>0</v>
      </c>
      <c r="X34" s="152"/>
      <c r="Y34" s="152"/>
      <c r="Z34" s="152"/>
      <c r="AA34" s="152"/>
      <c r="AB34" s="152"/>
    </row>
    <row r="35" spans="1:28" hidden="1" outlineLevel="1">
      <c r="A35" s="152"/>
      <c r="B35" s="200"/>
      <c r="C35" s="1423"/>
      <c r="D35" s="1423"/>
      <c r="E35" s="1423"/>
      <c r="F35" s="1423"/>
      <c r="G35" s="1423"/>
      <c r="H35" s="1423"/>
      <c r="I35" s="1423"/>
      <c r="J35" s="1423"/>
      <c r="K35" s="1423"/>
      <c r="L35" s="1423"/>
      <c r="M35" s="1423"/>
      <c r="N35" s="1423"/>
      <c r="O35" s="1423"/>
      <c r="P35" s="1423"/>
      <c r="Q35" s="1423"/>
      <c r="R35" s="1423"/>
      <c r="S35" s="1423"/>
      <c r="T35" s="1423"/>
      <c r="U35" s="1423"/>
      <c r="V35" s="1423"/>
      <c r="W35" s="1423"/>
      <c r="X35" s="152"/>
      <c r="Y35" s="152"/>
      <c r="Z35" s="152"/>
      <c r="AA35" s="152"/>
      <c r="AB35" s="152"/>
    </row>
    <row r="36" spans="1:28" hidden="1" outlineLevel="1">
      <c r="A36" s="152"/>
      <c r="B36" s="200"/>
      <c r="C36" s="1423"/>
      <c r="D36" s="1423"/>
      <c r="E36" s="1423"/>
      <c r="F36" s="1423"/>
      <c r="G36" s="1423"/>
      <c r="H36" s="1423"/>
      <c r="I36" s="1423"/>
      <c r="J36" s="1423"/>
      <c r="K36" s="1423"/>
      <c r="L36" s="1423"/>
      <c r="M36" s="1423"/>
      <c r="N36" s="1423"/>
      <c r="O36" s="1423"/>
      <c r="P36" s="1423"/>
      <c r="Q36" s="1423"/>
      <c r="R36" s="1423"/>
      <c r="S36" s="1423"/>
      <c r="T36" s="1423"/>
      <c r="U36" s="1423"/>
      <c r="V36" s="1423"/>
      <c r="W36" s="1423"/>
      <c r="X36" s="152"/>
      <c r="Y36" s="152"/>
      <c r="Z36" s="152"/>
      <c r="AA36" s="152"/>
      <c r="AB36" s="152"/>
    </row>
    <row r="37" spans="1:28" hidden="1" outlineLevel="1">
      <c r="A37" s="152"/>
      <c r="B37" s="190" t="s">
        <v>194</v>
      </c>
      <c r="C37" s="1423"/>
      <c r="D37" s="1423">
        <f t="shared" ref="D37:W37" ca="1" si="27">IF(AND(C37&lt;1,D11=0),0,
IF(D11=0,C37-1,
IF(C37&lt;1,D12,
(((C37-1)*(C13-(C13/(C37))))+(D11*D12))/(D13))))</f>
        <v>0</v>
      </c>
      <c r="E37" s="1423">
        <f t="shared" ca="1" si="27"/>
        <v>0</v>
      </c>
      <c r="F37" s="1423">
        <f t="shared" ca="1" si="27"/>
        <v>0</v>
      </c>
      <c r="G37" s="1423">
        <f t="shared" ca="1" si="27"/>
        <v>0</v>
      </c>
      <c r="H37" s="1423">
        <f ca="1">IF(AND(G37&lt;1,H11=0),0,
IF(H11=0,G37-1,
IF(G37&lt;1,H12,
(((G37-1)*(G13-(G13/(G37))))+(H11*H12))/(H13))))</f>
        <v>0</v>
      </c>
      <c r="I37" s="1423">
        <f t="shared" ca="1" si="27"/>
        <v>0</v>
      </c>
      <c r="J37" s="1423">
        <f t="shared" ca="1" si="27"/>
        <v>0</v>
      </c>
      <c r="K37" s="1423">
        <f t="shared" ca="1" si="27"/>
        <v>0</v>
      </c>
      <c r="L37" s="1423">
        <f t="shared" ca="1" si="27"/>
        <v>0</v>
      </c>
      <c r="M37" s="1423">
        <f ca="1">IF(AND(L37&lt;1,M11=0),0,
IF(M11=0,L37-1,
IF(L37&lt;1,M12,
(((L37-1)*(L13-(L13/(L37))))+(M11*M12))/(M13))))</f>
        <v>0</v>
      </c>
      <c r="N37" s="1423">
        <f t="shared" ca="1" si="27"/>
        <v>0</v>
      </c>
      <c r="O37" s="1423">
        <f t="shared" ca="1" si="27"/>
        <v>0</v>
      </c>
      <c r="P37" s="1423">
        <f t="shared" ca="1" si="27"/>
        <v>0</v>
      </c>
      <c r="Q37" s="1423">
        <f t="shared" ca="1" si="27"/>
        <v>0</v>
      </c>
      <c r="R37" s="1423">
        <f t="shared" ca="1" si="27"/>
        <v>0</v>
      </c>
      <c r="S37" s="1423">
        <f t="shared" ca="1" si="27"/>
        <v>0</v>
      </c>
      <c r="T37" s="1423">
        <f t="shared" ca="1" si="27"/>
        <v>0</v>
      </c>
      <c r="U37" s="1423">
        <f t="shared" ca="1" si="27"/>
        <v>0</v>
      </c>
      <c r="V37" s="1423">
        <f t="shared" ca="1" si="27"/>
        <v>0</v>
      </c>
      <c r="W37" s="1423">
        <f t="shared" ca="1" si="27"/>
        <v>0</v>
      </c>
      <c r="X37" s="152"/>
      <c r="Y37" s="152"/>
      <c r="Z37" s="152"/>
      <c r="AA37" s="152"/>
      <c r="AB37" s="152"/>
    </row>
    <row r="38" spans="1:28" hidden="1" outlineLevel="1">
      <c r="A38" s="152"/>
      <c r="B38" s="190" t="s">
        <v>193</v>
      </c>
      <c r="C38" s="1423">
        <f ca="1">C10</f>
        <v>18.228581023571977</v>
      </c>
      <c r="D38" s="1423">
        <f t="shared" ref="D38:W53" ca="1" si="28">IF(C38="n/a","n/a",MAX(0,C38-1))</f>
        <v>17.228581023571977</v>
      </c>
      <c r="E38" s="1423">
        <f t="shared" ca="1" si="28"/>
        <v>16.228581023571977</v>
      </c>
      <c r="F38" s="1423">
        <f t="shared" ca="1" si="28"/>
        <v>15.228581023571977</v>
      </c>
      <c r="G38" s="1423">
        <f t="shared" ca="1" si="28"/>
        <v>14.228581023571977</v>
      </c>
      <c r="H38" s="1423">
        <f t="shared" ca="1" si="28"/>
        <v>13.228581023571977</v>
      </c>
      <c r="I38" s="1423">
        <f t="shared" ca="1" si="28"/>
        <v>12.228581023571977</v>
      </c>
      <c r="J38" s="1423">
        <f t="shared" ca="1" si="28"/>
        <v>11.228581023571977</v>
      </c>
      <c r="K38" s="1423">
        <f t="shared" ca="1" si="28"/>
        <v>10.228581023571977</v>
      </c>
      <c r="L38" s="1423">
        <f t="shared" ca="1" si="28"/>
        <v>9.2285810235719765</v>
      </c>
      <c r="M38" s="1423">
        <f t="shared" ca="1" si="28"/>
        <v>8.2285810235719765</v>
      </c>
      <c r="N38" s="1423">
        <f t="shared" ca="1" si="28"/>
        <v>7.2285810235719765</v>
      </c>
      <c r="O38" s="1423">
        <f t="shared" ca="1" si="28"/>
        <v>6.2285810235719765</v>
      </c>
      <c r="P38" s="1423">
        <f t="shared" ca="1" si="28"/>
        <v>5.2285810235719765</v>
      </c>
      <c r="Q38" s="1423">
        <f t="shared" ca="1" si="28"/>
        <v>4.2285810235719765</v>
      </c>
      <c r="R38" s="1423">
        <f t="shared" ca="1" si="28"/>
        <v>3.2285810235719765</v>
      </c>
      <c r="S38" s="1423">
        <f t="shared" ca="1" si="28"/>
        <v>2.2285810235719765</v>
      </c>
      <c r="T38" s="1423">
        <f t="shared" ca="1" si="28"/>
        <v>1.2285810235719765</v>
      </c>
      <c r="U38" s="1423">
        <f t="shared" ca="1" si="28"/>
        <v>0.22858102357197652</v>
      </c>
      <c r="V38" s="1423">
        <f t="shared" ca="1" si="28"/>
        <v>0</v>
      </c>
      <c r="W38" s="1423">
        <f t="shared" ca="1" si="28"/>
        <v>0</v>
      </c>
      <c r="X38" s="152"/>
      <c r="Y38" s="152"/>
      <c r="Z38" s="152"/>
      <c r="AA38" s="152"/>
      <c r="AB38" s="152"/>
    </row>
    <row r="39" spans="1:28" hidden="1" outlineLevel="1">
      <c r="A39" s="152"/>
      <c r="B39" s="190" t="str">
        <f t="shared" ref="B39:B58" ca="1" si="29">"RL Capex "&amp;OFFSET($C$6,0,A15)</f>
        <v>RL Capex 2016-17</v>
      </c>
      <c r="C39" s="1424"/>
      <c r="D39" s="1428">
        <f>D10</f>
        <v>20</v>
      </c>
      <c r="E39" s="1423">
        <f t="shared" si="28"/>
        <v>19</v>
      </c>
      <c r="F39" s="1423">
        <f t="shared" si="28"/>
        <v>18</v>
      </c>
      <c r="G39" s="1423">
        <f t="shared" si="28"/>
        <v>17</v>
      </c>
      <c r="H39" s="1423">
        <f t="shared" si="28"/>
        <v>16</v>
      </c>
      <c r="I39" s="1423">
        <f t="shared" si="28"/>
        <v>15</v>
      </c>
      <c r="J39" s="1423">
        <f t="shared" si="28"/>
        <v>14</v>
      </c>
      <c r="K39" s="1423">
        <f t="shared" si="28"/>
        <v>13</v>
      </c>
      <c r="L39" s="1423">
        <f t="shared" si="28"/>
        <v>12</v>
      </c>
      <c r="M39" s="1423">
        <f t="shared" si="28"/>
        <v>11</v>
      </c>
      <c r="N39" s="1423">
        <f t="shared" si="28"/>
        <v>10</v>
      </c>
      <c r="O39" s="1423">
        <f t="shared" si="28"/>
        <v>9</v>
      </c>
      <c r="P39" s="1423">
        <f t="shared" si="28"/>
        <v>8</v>
      </c>
      <c r="Q39" s="1423">
        <f t="shared" si="28"/>
        <v>7</v>
      </c>
      <c r="R39" s="1423">
        <f t="shared" si="28"/>
        <v>6</v>
      </c>
      <c r="S39" s="1423">
        <f t="shared" si="28"/>
        <v>5</v>
      </c>
      <c r="T39" s="1423">
        <f t="shared" si="28"/>
        <v>4</v>
      </c>
      <c r="U39" s="1423">
        <f t="shared" si="28"/>
        <v>3</v>
      </c>
      <c r="V39" s="1423">
        <f t="shared" si="28"/>
        <v>2</v>
      </c>
      <c r="W39" s="1423">
        <f t="shared" si="28"/>
        <v>1</v>
      </c>
      <c r="X39" s="152"/>
      <c r="Y39" s="152"/>
      <c r="Z39" s="152"/>
      <c r="AA39" s="152"/>
      <c r="AB39" s="152"/>
    </row>
    <row r="40" spans="1:28" hidden="1" outlineLevel="1">
      <c r="A40" s="152"/>
      <c r="B40" s="190" t="str">
        <f t="shared" ca="1" si="29"/>
        <v>RL Capex 2017-18</v>
      </c>
      <c r="C40" s="1429"/>
      <c r="D40" s="1424"/>
      <c r="E40" s="1428">
        <f>E10</f>
        <v>20</v>
      </c>
      <c r="F40" s="1423">
        <f t="shared" si="28"/>
        <v>19</v>
      </c>
      <c r="G40" s="1423">
        <f t="shared" si="28"/>
        <v>18</v>
      </c>
      <c r="H40" s="1423">
        <f t="shared" si="28"/>
        <v>17</v>
      </c>
      <c r="I40" s="1423">
        <f t="shared" si="28"/>
        <v>16</v>
      </c>
      <c r="J40" s="1423">
        <f t="shared" si="28"/>
        <v>15</v>
      </c>
      <c r="K40" s="1423">
        <f t="shared" si="28"/>
        <v>14</v>
      </c>
      <c r="L40" s="1423">
        <f t="shared" si="28"/>
        <v>13</v>
      </c>
      <c r="M40" s="1423">
        <f t="shared" si="28"/>
        <v>12</v>
      </c>
      <c r="N40" s="1423">
        <f t="shared" si="28"/>
        <v>11</v>
      </c>
      <c r="O40" s="1423">
        <f t="shared" si="28"/>
        <v>10</v>
      </c>
      <c r="P40" s="1423">
        <f t="shared" si="28"/>
        <v>9</v>
      </c>
      <c r="Q40" s="1423">
        <f t="shared" si="28"/>
        <v>8</v>
      </c>
      <c r="R40" s="1423">
        <f t="shared" si="28"/>
        <v>7</v>
      </c>
      <c r="S40" s="1423">
        <f t="shared" si="28"/>
        <v>6</v>
      </c>
      <c r="T40" s="1423">
        <f t="shared" si="28"/>
        <v>5</v>
      </c>
      <c r="U40" s="1423">
        <f t="shared" si="28"/>
        <v>4</v>
      </c>
      <c r="V40" s="1423">
        <f t="shared" si="28"/>
        <v>3</v>
      </c>
      <c r="W40" s="1423">
        <f t="shared" si="28"/>
        <v>2</v>
      </c>
      <c r="X40" s="152"/>
      <c r="Y40" s="152"/>
      <c r="Z40" s="152"/>
      <c r="AA40" s="152"/>
      <c r="AB40" s="152"/>
    </row>
    <row r="41" spans="1:28" hidden="1" outlineLevel="1">
      <c r="A41" s="152"/>
      <c r="B41" s="190" t="str">
        <f t="shared" ca="1" si="29"/>
        <v>RL Capex 2018-19</v>
      </c>
      <c r="C41" s="1429"/>
      <c r="D41" s="1429"/>
      <c r="E41" s="1424"/>
      <c r="F41" s="1428">
        <f>F10</f>
        <v>20</v>
      </c>
      <c r="G41" s="1423">
        <f t="shared" si="28"/>
        <v>19</v>
      </c>
      <c r="H41" s="1423">
        <f t="shared" si="28"/>
        <v>18</v>
      </c>
      <c r="I41" s="1423">
        <f t="shared" si="28"/>
        <v>17</v>
      </c>
      <c r="J41" s="1423">
        <f t="shared" si="28"/>
        <v>16</v>
      </c>
      <c r="K41" s="1423">
        <f t="shared" si="28"/>
        <v>15</v>
      </c>
      <c r="L41" s="1423">
        <f t="shared" si="28"/>
        <v>14</v>
      </c>
      <c r="M41" s="1423">
        <f t="shared" si="28"/>
        <v>13</v>
      </c>
      <c r="N41" s="1423">
        <f t="shared" si="28"/>
        <v>12</v>
      </c>
      <c r="O41" s="1423">
        <f t="shared" si="28"/>
        <v>11</v>
      </c>
      <c r="P41" s="1423">
        <f t="shared" si="28"/>
        <v>10</v>
      </c>
      <c r="Q41" s="1423">
        <f t="shared" si="28"/>
        <v>9</v>
      </c>
      <c r="R41" s="1423">
        <f t="shared" si="28"/>
        <v>8</v>
      </c>
      <c r="S41" s="1423">
        <f t="shared" si="28"/>
        <v>7</v>
      </c>
      <c r="T41" s="1423">
        <f t="shared" si="28"/>
        <v>6</v>
      </c>
      <c r="U41" s="1423">
        <f t="shared" si="28"/>
        <v>5</v>
      </c>
      <c r="V41" s="1423">
        <f t="shared" si="28"/>
        <v>4</v>
      </c>
      <c r="W41" s="1423">
        <f t="shared" si="28"/>
        <v>3</v>
      </c>
      <c r="X41" s="152"/>
      <c r="Y41" s="152"/>
      <c r="Z41" s="152"/>
      <c r="AA41" s="152"/>
      <c r="AB41" s="152"/>
    </row>
    <row r="42" spans="1:28" hidden="1" outlineLevel="1">
      <c r="A42" s="152"/>
      <c r="B42" s="190" t="str">
        <f t="shared" ca="1" si="29"/>
        <v>RL Capex 2019-20</v>
      </c>
      <c r="C42" s="1429"/>
      <c r="D42" s="1429"/>
      <c r="E42" s="1429"/>
      <c r="F42" s="1424"/>
      <c r="G42" s="1428">
        <f>G10</f>
        <v>20</v>
      </c>
      <c r="H42" s="1423">
        <f t="shared" si="28"/>
        <v>19</v>
      </c>
      <c r="I42" s="1423">
        <f t="shared" si="28"/>
        <v>18</v>
      </c>
      <c r="J42" s="1423">
        <f t="shared" si="28"/>
        <v>17</v>
      </c>
      <c r="K42" s="1423">
        <f t="shared" si="28"/>
        <v>16</v>
      </c>
      <c r="L42" s="1423">
        <f t="shared" si="28"/>
        <v>15</v>
      </c>
      <c r="M42" s="1423">
        <f t="shared" si="28"/>
        <v>14</v>
      </c>
      <c r="N42" s="1423">
        <f t="shared" si="28"/>
        <v>13</v>
      </c>
      <c r="O42" s="1423">
        <f t="shared" si="28"/>
        <v>12</v>
      </c>
      <c r="P42" s="1423">
        <f t="shared" si="28"/>
        <v>11</v>
      </c>
      <c r="Q42" s="1423">
        <f t="shared" si="28"/>
        <v>10</v>
      </c>
      <c r="R42" s="1423">
        <f t="shared" si="28"/>
        <v>9</v>
      </c>
      <c r="S42" s="1423">
        <f t="shared" si="28"/>
        <v>8</v>
      </c>
      <c r="T42" s="1423">
        <f t="shared" si="28"/>
        <v>7</v>
      </c>
      <c r="U42" s="1423">
        <f t="shared" si="28"/>
        <v>6</v>
      </c>
      <c r="V42" s="1423">
        <f t="shared" si="28"/>
        <v>5</v>
      </c>
      <c r="W42" s="1423">
        <f t="shared" si="28"/>
        <v>4</v>
      </c>
      <c r="X42" s="152"/>
      <c r="Y42" s="152"/>
      <c r="Z42" s="152"/>
      <c r="AA42" s="152"/>
      <c r="AB42" s="152"/>
    </row>
    <row r="43" spans="1:28" hidden="1" outlineLevel="1">
      <c r="A43" s="152"/>
      <c r="B43" s="190" t="str">
        <f t="shared" ca="1" si="29"/>
        <v>RL Capex 2020-21</v>
      </c>
      <c r="C43" s="1429"/>
      <c r="D43" s="1429"/>
      <c r="E43" s="1429"/>
      <c r="F43" s="1429"/>
      <c r="G43" s="1424"/>
      <c r="H43" s="1428">
        <f>H10</f>
        <v>20</v>
      </c>
      <c r="I43" s="1423">
        <f t="shared" si="28"/>
        <v>19</v>
      </c>
      <c r="J43" s="1423">
        <f t="shared" si="28"/>
        <v>18</v>
      </c>
      <c r="K43" s="1423">
        <f t="shared" si="28"/>
        <v>17</v>
      </c>
      <c r="L43" s="1423">
        <f t="shared" si="28"/>
        <v>16</v>
      </c>
      <c r="M43" s="1423">
        <f t="shared" si="28"/>
        <v>15</v>
      </c>
      <c r="N43" s="1423">
        <f t="shared" si="28"/>
        <v>14</v>
      </c>
      <c r="O43" s="1423">
        <f t="shared" si="28"/>
        <v>13</v>
      </c>
      <c r="P43" s="1423">
        <f t="shared" si="28"/>
        <v>12</v>
      </c>
      <c r="Q43" s="1423">
        <f t="shared" si="28"/>
        <v>11</v>
      </c>
      <c r="R43" s="1423">
        <f t="shared" si="28"/>
        <v>10</v>
      </c>
      <c r="S43" s="1423">
        <f t="shared" si="28"/>
        <v>9</v>
      </c>
      <c r="T43" s="1423">
        <f t="shared" si="28"/>
        <v>8</v>
      </c>
      <c r="U43" s="1423">
        <f t="shared" si="28"/>
        <v>7</v>
      </c>
      <c r="V43" s="1423">
        <f t="shared" si="28"/>
        <v>6</v>
      </c>
      <c r="W43" s="1423">
        <f t="shared" si="28"/>
        <v>5</v>
      </c>
      <c r="X43" s="152"/>
      <c r="Y43" s="152"/>
      <c r="Z43" s="152"/>
      <c r="AA43" s="152"/>
      <c r="AB43" s="152"/>
    </row>
    <row r="44" spans="1:28" hidden="1" outlineLevel="1">
      <c r="A44" s="152"/>
      <c r="B44" s="190" t="str">
        <f t="shared" ca="1" si="29"/>
        <v>RL Capex 2021-22</v>
      </c>
      <c r="C44" s="1429"/>
      <c r="D44" s="1429"/>
      <c r="E44" s="1429"/>
      <c r="F44" s="1429"/>
      <c r="G44" s="1429"/>
      <c r="H44" s="1424"/>
      <c r="I44" s="1428">
        <f>I10</f>
        <v>20</v>
      </c>
      <c r="J44" s="1423">
        <f t="shared" si="28"/>
        <v>19</v>
      </c>
      <c r="K44" s="1423">
        <f t="shared" si="28"/>
        <v>18</v>
      </c>
      <c r="L44" s="1423">
        <f t="shared" si="28"/>
        <v>17</v>
      </c>
      <c r="M44" s="1423">
        <f t="shared" si="28"/>
        <v>16</v>
      </c>
      <c r="N44" s="1423">
        <f t="shared" si="28"/>
        <v>15</v>
      </c>
      <c r="O44" s="1423">
        <f t="shared" si="28"/>
        <v>14</v>
      </c>
      <c r="P44" s="1423">
        <f t="shared" si="28"/>
        <v>13</v>
      </c>
      <c r="Q44" s="1423">
        <f t="shared" si="28"/>
        <v>12</v>
      </c>
      <c r="R44" s="1423">
        <f t="shared" si="28"/>
        <v>11</v>
      </c>
      <c r="S44" s="1423">
        <f t="shared" si="28"/>
        <v>10</v>
      </c>
      <c r="T44" s="1423">
        <f t="shared" si="28"/>
        <v>9</v>
      </c>
      <c r="U44" s="1423">
        <f t="shared" si="28"/>
        <v>8</v>
      </c>
      <c r="V44" s="1423">
        <f t="shared" si="28"/>
        <v>7</v>
      </c>
      <c r="W44" s="1423">
        <f t="shared" si="28"/>
        <v>6</v>
      </c>
      <c r="X44" s="152"/>
      <c r="Y44" s="152"/>
      <c r="Z44" s="152"/>
      <c r="AA44" s="152"/>
      <c r="AB44" s="152"/>
    </row>
    <row r="45" spans="1:28" hidden="1" outlineLevel="1">
      <c r="A45" s="152"/>
      <c r="B45" s="190" t="str">
        <f t="shared" ca="1" si="29"/>
        <v>RL Capex 2022-23</v>
      </c>
      <c r="C45" s="1429"/>
      <c r="D45" s="1429"/>
      <c r="E45" s="1429"/>
      <c r="F45" s="1429"/>
      <c r="G45" s="1429"/>
      <c r="H45" s="1429"/>
      <c r="I45" s="1424"/>
      <c r="J45" s="1428">
        <f>J10</f>
        <v>20</v>
      </c>
      <c r="K45" s="1423">
        <f t="shared" si="28"/>
        <v>19</v>
      </c>
      <c r="L45" s="1423">
        <f t="shared" si="28"/>
        <v>18</v>
      </c>
      <c r="M45" s="1423">
        <f t="shared" si="28"/>
        <v>17</v>
      </c>
      <c r="N45" s="1423">
        <f t="shared" si="28"/>
        <v>16</v>
      </c>
      <c r="O45" s="1423">
        <f t="shared" si="28"/>
        <v>15</v>
      </c>
      <c r="P45" s="1423">
        <f t="shared" si="28"/>
        <v>14</v>
      </c>
      <c r="Q45" s="1423">
        <f t="shared" si="28"/>
        <v>13</v>
      </c>
      <c r="R45" s="1423">
        <f t="shared" si="28"/>
        <v>12</v>
      </c>
      <c r="S45" s="1423">
        <f t="shared" si="28"/>
        <v>11</v>
      </c>
      <c r="T45" s="1423">
        <f t="shared" si="28"/>
        <v>10</v>
      </c>
      <c r="U45" s="1423">
        <f t="shared" si="28"/>
        <v>9</v>
      </c>
      <c r="V45" s="1423">
        <f t="shared" si="28"/>
        <v>8</v>
      </c>
      <c r="W45" s="1423">
        <f t="shared" si="28"/>
        <v>7</v>
      </c>
      <c r="X45" s="152"/>
      <c r="Y45" s="152"/>
      <c r="Z45" s="152"/>
      <c r="AA45" s="152"/>
      <c r="AB45" s="152"/>
    </row>
    <row r="46" spans="1:28" hidden="1" outlineLevel="1">
      <c r="A46" s="152"/>
      <c r="B46" s="190" t="str">
        <f t="shared" ca="1" si="29"/>
        <v>RL Capex 2023-24</v>
      </c>
      <c r="C46" s="1429"/>
      <c r="D46" s="1429"/>
      <c r="E46" s="1429"/>
      <c r="F46" s="1429"/>
      <c r="G46" s="1429"/>
      <c r="H46" s="1429"/>
      <c r="I46" s="1429"/>
      <c r="J46" s="1424"/>
      <c r="K46" s="1428">
        <f>K10</f>
        <v>20</v>
      </c>
      <c r="L46" s="1423">
        <f t="shared" si="28"/>
        <v>19</v>
      </c>
      <c r="M46" s="1423">
        <f t="shared" si="28"/>
        <v>18</v>
      </c>
      <c r="N46" s="1423">
        <f t="shared" si="28"/>
        <v>17</v>
      </c>
      <c r="O46" s="1423">
        <f t="shared" si="28"/>
        <v>16</v>
      </c>
      <c r="P46" s="1423">
        <f t="shared" si="28"/>
        <v>15</v>
      </c>
      <c r="Q46" s="1423">
        <f t="shared" si="28"/>
        <v>14</v>
      </c>
      <c r="R46" s="1423">
        <f t="shared" si="28"/>
        <v>13</v>
      </c>
      <c r="S46" s="1423">
        <f t="shared" si="28"/>
        <v>12</v>
      </c>
      <c r="T46" s="1423">
        <f t="shared" si="28"/>
        <v>11</v>
      </c>
      <c r="U46" s="1423">
        <f t="shared" si="28"/>
        <v>10</v>
      </c>
      <c r="V46" s="1423">
        <f t="shared" si="28"/>
        <v>9</v>
      </c>
      <c r="W46" s="1423">
        <f t="shared" si="28"/>
        <v>8</v>
      </c>
      <c r="X46" s="152"/>
      <c r="Y46" s="152"/>
      <c r="Z46" s="152"/>
      <c r="AA46" s="152"/>
      <c r="AB46" s="152"/>
    </row>
    <row r="47" spans="1:28" hidden="1" outlineLevel="1">
      <c r="A47" s="152"/>
      <c r="B47" s="190" t="str">
        <f t="shared" ca="1" si="29"/>
        <v>RL Capex 2024-25</v>
      </c>
      <c r="C47" s="1429"/>
      <c r="D47" s="1429"/>
      <c r="E47" s="1429"/>
      <c r="F47" s="1429"/>
      <c r="G47" s="1429"/>
      <c r="H47" s="1429"/>
      <c r="I47" s="1429"/>
      <c r="J47" s="1429"/>
      <c r="K47" s="1424"/>
      <c r="L47" s="1428">
        <f>L10</f>
        <v>20</v>
      </c>
      <c r="M47" s="1423">
        <f t="shared" si="28"/>
        <v>19</v>
      </c>
      <c r="N47" s="1423">
        <f t="shared" si="28"/>
        <v>18</v>
      </c>
      <c r="O47" s="1423">
        <f t="shared" si="28"/>
        <v>17</v>
      </c>
      <c r="P47" s="1423">
        <f t="shared" si="28"/>
        <v>16</v>
      </c>
      <c r="Q47" s="1423">
        <f t="shared" si="28"/>
        <v>15</v>
      </c>
      <c r="R47" s="1423">
        <f t="shared" si="28"/>
        <v>14</v>
      </c>
      <c r="S47" s="1423">
        <f t="shared" si="28"/>
        <v>13</v>
      </c>
      <c r="T47" s="1423">
        <f t="shared" si="28"/>
        <v>12</v>
      </c>
      <c r="U47" s="1423">
        <f t="shared" si="28"/>
        <v>11</v>
      </c>
      <c r="V47" s="1423">
        <f t="shared" si="28"/>
        <v>10</v>
      </c>
      <c r="W47" s="1423">
        <f t="shared" si="28"/>
        <v>9</v>
      </c>
      <c r="X47" s="152"/>
      <c r="Y47" s="152"/>
      <c r="Z47" s="152"/>
      <c r="AA47" s="152"/>
      <c r="AB47" s="152"/>
    </row>
    <row r="48" spans="1:28" hidden="1" outlineLevel="1">
      <c r="A48" s="152"/>
      <c r="B48" s="190" t="str">
        <f t="shared" ca="1" si="29"/>
        <v>RL Capex 2025-26</v>
      </c>
      <c r="C48" s="1429"/>
      <c r="D48" s="1429"/>
      <c r="E48" s="1429"/>
      <c r="F48" s="1429"/>
      <c r="G48" s="1429"/>
      <c r="H48" s="1429"/>
      <c r="I48" s="1429"/>
      <c r="J48" s="1429"/>
      <c r="K48" s="1429"/>
      <c r="L48" s="1424"/>
      <c r="M48" s="1428">
        <f>M10</f>
        <v>20</v>
      </c>
      <c r="N48" s="1423">
        <f t="shared" si="28"/>
        <v>19</v>
      </c>
      <c r="O48" s="1423">
        <f t="shared" si="28"/>
        <v>18</v>
      </c>
      <c r="P48" s="1423">
        <f t="shared" si="28"/>
        <v>17</v>
      </c>
      <c r="Q48" s="1423">
        <f t="shared" si="28"/>
        <v>16</v>
      </c>
      <c r="R48" s="1423">
        <f t="shared" si="28"/>
        <v>15</v>
      </c>
      <c r="S48" s="1423">
        <f t="shared" si="28"/>
        <v>14</v>
      </c>
      <c r="T48" s="1423">
        <f t="shared" si="28"/>
        <v>13</v>
      </c>
      <c r="U48" s="1423">
        <f t="shared" si="28"/>
        <v>12</v>
      </c>
      <c r="V48" s="1423">
        <f t="shared" si="28"/>
        <v>11</v>
      </c>
      <c r="W48" s="1423">
        <f t="shared" si="28"/>
        <v>10</v>
      </c>
      <c r="X48" s="152"/>
      <c r="Y48" s="152"/>
      <c r="Z48" s="152"/>
      <c r="AA48" s="152"/>
      <c r="AB48" s="152"/>
    </row>
    <row r="49" spans="1:28" hidden="1" outlineLevel="1">
      <c r="A49" s="152"/>
      <c r="B49" s="190" t="str">
        <f t="shared" ca="1" si="29"/>
        <v>RL Capex 2026-27</v>
      </c>
      <c r="C49" s="1429"/>
      <c r="D49" s="1429"/>
      <c r="E49" s="1429"/>
      <c r="F49" s="1429"/>
      <c r="G49" s="1429"/>
      <c r="H49" s="1429"/>
      <c r="I49" s="1429"/>
      <c r="J49" s="1429"/>
      <c r="K49" s="1429"/>
      <c r="L49" s="1429"/>
      <c r="M49" s="1424"/>
      <c r="N49" s="1428">
        <f>N10</f>
        <v>0</v>
      </c>
      <c r="O49" s="1423">
        <f t="shared" si="28"/>
        <v>0</v>
      </c>
      <c r="P49" s="1423">
        <f t="shared" si="28"/>
        <v>0</v>
      </c>
      <c r="Q49" s="1423">
        <f t="shared" si="28"/>
        <v>0</v>
      </c>
      <c r="R49" s="1423">
        <f t="shared" si="28"/>
        <v>0</v>
      </c>
      <c r="S49" s="1423">
        <f t="shared" si="28"/>
        <v>0</v>
      </c>
      <c r="T49" s="1423">
        <f t="shared" si="28"/>
        <v>0</v>
      </c>
      <c r="U49" s="1423">
        <f t="shared" si="28"/>
        <v>0</v>
      </c>
      <c r="V49" s="1423">
        <f t="shared" si="28"/>
        <v>0</v>
      </c>
      <c r="W49" s="1423">
        <f t="shared" si="28"/>
        <v>0</v>
      </c>
      <c r="X49" s="152"/>
      <c r="Y49" s="152"/>
      <c r="Z49" s="152"/>
      <c r="AA49" s="152"/>
      <c r="AB49" s="152"/>
    </row>
    <row r="50" spans="1:28" hidden="1" outlineLevel="1">
      <c r="A50" s="152"/>
      <c r="B50" s="190" t="str">
        <f t="shared" ca="1" si="29"/>
        <v>RL Capex 2027-28</v>
      </c>
      <c r="C50" s="1429"/>
      <c r="D50" s="1429"/>
      <c r="E50" s="1429"/>
      <c r="F50" s="1429"/>
      <c r="G50" s="1429"/>
      <c r="H50" s="1429"/>
      <c r="I50" s="1429"/>
      <c r="J50" s="1429"/>
      <c r="K50" s="1429"/>
      <c r="L50" s="1429"/>
      <c r="M50" s="1429"/>
      <c r="N50" s="1424"/>
      <c r="O50" s="1428">
        <f>O10</f>
        <v>0</v>
      </c>
      <c r="P50" s="1423">
        <f t="shared" si="28"/>
        <v>0</v>
      </c>
      <c r="Q50" s="1423">
        <f t="shared" si="28"/>
        <v>0</v>
      </c>
      <c r="R50" s="1423">
        <f t="shared" si="28"/>
        <v>0</v>
      </c>
      <c r="S50" s="1423">
        <f t="shared" si="28"/>
        <v>0</v>
      </c>
      <c r="T50" s="1423">
        <f t="shared" si="28"/>
        <v>0</v>
      </c>
      <c r="U50" s="1423">
        <f t="shared" si="28"/>
        <v>0</v>
      </c>
      <c r="V50" s="1423">
        <f t="shared" si="28"/>
        <v>0</v>
      </c>
      <c r="W50" s="1423">
        <f t="shared" si="28"/>
        <v>0</v>
      </c>
      <c r="X50" s="152"/>
      <c r="Y50" s="152"/>
      <c r="Z50" s="152"/>
      <c r="AA50" s="152"/>
      <c r="AB50" s="152"/>
    </row>
    <row r="51" spans="1:28" hidden="1" outlineLevel="1">
      <c r="A51" s="152"/>
      <c r="B51" s="190" t="str">
        <f t="shared" ca="1" si="29"/>
        <v>RL Capex 2028-29</v>
      </c>
      <c r="C51" s="1429"/>
      <c r="D51" s="1429"/>
      <c r="E51" s="1429"/>
      <c r="F51" s="1429"/>
      <c r="G51" s="1429"/>
      <c r="H51" s="1429"/>
      <c r="I51" s="1429"/>
      <c r="J51" s="1429"/>
      <c r="K51" s="1429"/>
      <c r="L51" s="1429"/>
      <c r="M51" s="1429"/>
      <c r="N51" s="1429"/>
      <c r="O51" s="1424"/>
      <c r="P51" s="1428">
        <f>P10</f>
        <v>0</v>
      </c>
      <c r="Q51" s="1423">
        <f t="shared" si="28"/>
        <v>0</v>
      </c>
      <c r="R51" s="1423">
        <f t="shared" si="28"/>
        <v>0</v>
      </c>
      <c r="S51" s="1423">
        <f t="shared" si="28"/>
        <v>0</v>
      </c>
      <c r="T51" s="1423">
        <f t="shared" si="28"/>
        <v>0</v>
      </c>
      <c r="U51" s="1423">
        <f t="shared" si="28"/>
        <v>0</v>
      </c>
      <c r="V51" s="1423">
        <f t="shared" si="28"/>
        <v>0</v>
      </c>
      <c r="W51" s="1423">
        <f t="shared" si="28"/>
        <v>0</v>
      </c>
      <c r="X51" s="152"/>
      <c r="Y51" s="152"/>
      <c r="Z51" s="152"/>
      <c r="AA51" s="152"/>
      <c r="AB51" s="152"/>
    </row>
    <row r="52" spans="1:28" hidden="1" outlineLevel="1">
      <c r="A52" s="152"/>
      <c r="B52" s="190" t="str">
        <f t="shared" ca="1" si="29"/>
        <v>RL Capex 2029-30</v>
      </c>
      <c r="C52" s="1429"/>
      <c r="D52" s="1429"/>
      <c r="E52" s="1429"/>
      <c r="F52" s="1429"/>
      <c r="G52" s="1429"/>
      <c r="H52" s="1429"/>
      <c r="I52" s="1429"/>
      <c r="J52" s="1429"/>
      <c r="K52" s="1429"/>
      <c r="L52" s="1429"/>
      <c r="M52" s="1429"/>
      <c r="N52" s="1429"/>
      <c r="O52" s="1429"/>
      <c r="P52" s="1424"/>
      <c r="Q52" s="1428">
        <f>Q10</f>
        <v>0</v>
      </c>
      <c r="R52" s="1423">
        <f t="shared" si="28"/>
        <v>0</v>
      </c>
      <c r="S52" s="1423">
        <f t="shared" si="28"/>
        <v>0</v>
      </c>
      <c r="T52" s="1423">
        <f t="shared" si="28"/>
        <v>0</v>
      </c>
      <c r="U52" s="1423">
        <f t="shared" si="28"/>
        <v>0</v>
      </c>
      <c r="V52" s="1423">
        <f t="shared" si="28"/>
        <v>0</v>
      </c>
      <c r="W52" s="1423">
        <f t="shared" si="28"/>
        <v>0</v>
      </c>
      <c r="X52" s="152"/>
      <c r="Y52" s="152"/>
      <c r="Z52" s="152"/>
      <c r="AA52" s="152"/>
      <c r="AB52" s="152"/>
    </row>
    <row r="53" spans="1:28" hidden="1" outlineLevel="1">
      <c r="A53" s="152"/>
      <c r="B53" s="190" t="str">
        <f t="shared" ca="1" si="29"/>
        <v>RL Capex 2030-31</v>
      </c>
      <c r="C53" s="1429"/>
      <c r="D53" s="1429"/>
      <c r="E53" s="1429"/>
      <c r="F53" s="1429"/>
      <c r="G53" s="1429"/>
      <c r="H53" s="1429"/>
      <c r="I53" s="1429"/>
      <c r="J53" s="1429"/>
      <c r="K53" s="1429"/>
      <c r="L53" s="1429"/>
      <c r="M53" s="1429"/>
      <c r="N53" s="1429"/>
      <c r="O53" s="1429"/>
      <c r="P53" s="1429"/>
      <c r="Q53" s="1424"/>
      <c r="R53" s="1428">
        <f>R10</f>
        <v>0</v>
      </c>
      <c r="S53" s="1423">
        <f t="shared" si="28"/>
        <v>0</v>
      </c>
      <c r="T53" s="1423">
        <f t="shared" si="28"/>
        <v>0</v>
      </c>
      <c r="U53" s="1423">
        <f t="shared" si="28"/>
        <v>0</v>
      </c>
      <c r="V53" s="1423">
        <f t="shared" si="28"/>
        <v>0</v>
      </c>
      <c r="W53" s="1423">
        <f t="shared" si="28"/>
        <v>0</v>
      </c>
      <c r="X53" s="152"/>
      <c r="Y53" s="152"/>
      <c r="Z53" s="152"/>
      <c r="AA53" s="152"/>
      <c r="AB53" s="152"/>
    </row>
    <row r="54" spans="1:28" hidden="1" outlineLevel="1">
      <c r="A54" s="152"/>
      <c r="B54" s="190" t="str">
        <f t="shared" ca="1" si="29"/>
        <v>RL Capex 2031-32</v>
      </c>
      <c r="C54" s="1429"/>
      <c r="D54" s="1429"/>
      <c r="E54" s="1429"/>
      <c r="F54" s="1429"/>
      <c r="G54" s="1429"/>
      <c r="H54" s="1429"/>
      <c r="I54" s="1429"/>
      <c r="J54" s="1429"/>
      <c r="K54" s="1429"/>
      <c r="L54" s="1429"/>
      <c r="M54" s="1429"/>
      <c r="N54" s="1429"/>
      <c r="O54" s="1429"/>
      <c r="P54" s="1429"/>
      <c r="Q54" s="1429"/>
      <c r="R54" s="1424"/>
      <c r="S54" s="1428">
        <f>S10</f>
        <v>0</v>
      </c>
      <c r="T54" s="1423">
        <f t="shared" ref="T54:W56" si="30">IF(S54="n/a","n/a",MAX(0,S54-1))</f>
        <v>0</v>
      </c>
      <c r="U54" s="1423">
        <f t="shared" si="30"/>
        <v>0</v>
      </c>
      <c r="V54" s="1423">
        <f t="shared" si="30"/>
        <v>0</v>
      </c>
      <c r="W54" s="1423">
        <f t="shared" si="30"/>
        <v>0</v>
      </c>
      <c r="X54" s="152"/>
      <c r="Y54" s="152"/>
      <c r="Z54" s="152"/>
      <c r="AA54" s="152"/>
      <c r="AB54" s="152"/>
    </row>
    <row r="55" spans="1:28" hidden="1" outlineLevel="1">
      <c r="A55" s="152"/>
      <c r="B55" s="190" t="str">
        <f t="shared" ca="1" si="29"/>
        <v>RL Capex 2032-33</v>
      </c>
      <c r="C55" s="1429"/>
      <c r="D55" s="1429"/>
      <c r="E55" s="1429"/>
      <c r="F55" s="1429"/>
      <c r="G55" s="1429"/>
      <c r="H55" s="1429"/>
      <c r="I55" s="1429"/>
      <c r="J55" s="1429"/>
      <c r="K55" s="1429"/>
      <c r="L55" s="1429"/>
      <c r="M55" s="1429"/>
      <c r="N55" s="1429"/>
      <c r="O55" s="1429"/>
      <c r="P55" s="1429"/>
      <c r="Q55" s="1429"/>
      <c r="R55" s="1429"/>
      <c r="S55" s="1424"/>
      <c r="T55" s="1428">
        <f>T10</f>
        <v>0</v>
      </c>
      <c r="U55" s="1423">
        <f t="shared" si="30"/>
        <v>0</v>
      </c>
      <c r="V55" s="1423">
        <f t="shared" si="30"/>
        <v>0</v>
      </c>
      <c r="W55" s="1423">
        <f t="shared" si="30"/>
        <v>0</v>
      </c>
      <c r="X55" s="152"/>
      <c r="Y55" s="152"/>
      <c r="Z55" s="152"/>
      <c r="AA55" s="152"/>
      <c r="AB55" s="152"/>
    </row>
    <row r="56" spans="1:28" hidden="1" outlineLevel="1">
      <c r="A56" s="152"/>
      <c r="B56" s="190" t="str">
        <f t="shared" ca="1" si="29"/>
        <v>RL Capex 2033-34</v>
      </c>
      <c r="C56" s="1429"/>
      <c r="D56" s="1429"/>
      <c r="E56" s="1429"/>
      <c r="F56" s="1429"/>
      <c r="G56" s="1429"/>
      <c r="H56" s="1429"/>
      <c r="I56" s="1429"/>
      <c r="J56" s="1429"/>
      <c r="K56" s="1429"/>
      <c r="L56" s="1429"/>
      <c r="M56" s="1429"/>
      <c r="N56" s="1429"/>
      <c r="O56" s="1429"/>
      <c r="P56" s="1429"/>
      <c r="Q56" s="1429"/>
      <c r="R56" s="1429"/>
      <c r="S56" s="1429"/>
      <c r="T56" s="1424"/>
      <c r="U56" s="1428">
        <f>U10</f>
        <v>0</v>
      </c>
      <c r="V56" s="1423">
        <f t="shared" si="30"/>
        <v>0</v>
      </c>
      <c r="W56" s="1423">
        <f t="shared" si="30"/>
        <v>0</v>
      </c>
      <c r="X56" s="152"/>
      <c r="Y56" s="152"/>
      <c r="Z56" s="152"/>
      <c r="AA56" s="152"/>
      <c r="AB56" s="152"/>
    </row>
    <row r="57" spans="1:28" hidden="1" outlineLevel="1">
      <c r="A57" s="152"/>
      <c r="B57" s="190" t="str">
        <f t="shared" ca="1" si="29"/>
        <v>RL Capex 2034-35</v>
      </c>
      <c r="C57" s="1429"/>
      <c r="D57" s="1429"/>
      <c r="E57" s="1429"/>
      <c r="F57" s="1429"/>
      <c r="G57" s="1429"/>
      <c r="H57" s="1429"/>
      <c r="I57" s="1429"/>
      <c r="J57" s="1429"/>
      <c r="K57" s="1429"/>
      <c r="L57" s="1429"/>
      <c r="M57" s="1429"/>
      <c r="N57" s="1429"/>
      <c r="O57" s="1429"/>
      <c r="P57" s="1429"/>
      <c r="Q57" s="1429"/>
      <c r="R57" s="1429"/>
      <c r="S57" s="1429"/>
      <c r="T57" s="1429"/>
      <c r="U57" s="1424"/>
      <c r="V57" s="1428">
        <f>V10</f>
        <v>0</v>
      </c>
      <c r="W57" s="1423">
        <f>IF(V57="n/a","n/a",MAX(0,V57-1))</f>
        <v>0</v>
      </c>
      <c r="X57" s="152"/>
      <c r="Y57" s="152"/>
      <c r="Z57" s="152"/>
      <c r="AA57" s="152"/>
      <c r="AB57" s="152"/>
    </row>
    <row r="58" spans="1:28" hidden="1" outlineLevel="1">
      <c r="A58" s="152"/>
      <c r="B58" s="190" t="str">
        <f t="shared" ca="1" si="29"/>
        <v>RL Capex 2035-36</v>
      </c>
      <c r="C58" s="1429"/>
      <c r="D58" s="1429"/>
      <c r="E58" s="1429"/>
      <c r="F58" s="1429"/>
      <c r="G58" s="1429"/>
      <c r="H58" s="1429"/>
      <c r="I58" s="1429"/>
      <c r="J58" s="1429"/>
      <c r="K58" s="1429"/>
      <c r="L58" s="1429"/>
      <c r="M58" s="1429"/>
      <c r="N58" s="1429"/>
      <c r="O58" s="1429"/>
      <c r="P58" s="1429"/>
      <c r="Q58" s="1429"/>
      <c r="R58" s="1429"/>
      <c r="S58" s="1429"/>
      <c r="T58" s="1429"/>
      <c r="U58" s="1429"/>
      <c r="V58" s="1424"/>
      <c r="W58" s="1423">
        <f>W10</f>
        <v>0</v>
      </c>
      <c r="X58" s="152"/>
      <c r="Y58" s="152"/>
      <c r="Z58" s="152"/>
      <c r="AA58" s="152"/>
      <c r="AB58" s="152"/>
    </row>
    <row r="59" spans="1:28" hidden="1" outlineLevel="1">
      <c r="A59" s="152"/>
      <c r="B59" s="200"/>
      <c r="C59" s="1423"/>
      <c r="D59" s="1423"/>
      <c r="E59" s="1423"/>
      <c r="F59" s="1423"/>
      <c r="G59" s="1423"/>
      <c r="H59" s="1423"/>
      <c r="I59" s="1423"/>
      <c r="J59" s="1423"/>
      <c r="K59" s="1423"/>
      <c r="L59" s="1423"/>
      <c r="M59" s="1423"/>
      <c r="N59" s="1423"/>
      <c r="O59" s="1423"/>
      <c r="P59" s="1423"/>
      <c r="Q59" s="1423"/>
      <c r="R59" s="1423"/>
      <c r="S59" s="1423"/>
      <c r="T59" s="1423"/>
      <c r="U59" s="1423"/>
      <c r="V59" s="1423"/>
      <c r="W59" s="1423"/>
      <c r="X59" s="152"/>
      <c r="Y59" s="152"/>
      <c r="Z59" s="152"/>
      <c r="AA59" s="152"/>
      <c r="AB59" s="152"/>
    </row>
    <row r="60" spans="1:28" collapsed="1">
      <c r="A60" s="194"/>
      <c r="B60" s="204" t="s">
        <v>123</v>
      </c>
      <c r="C60" s="1430">
        <f ca="1">(IF(OR($C10&lt;&gt;"n/a",C10&lt;&gt;"n/a"),IF(SUM(C13:C35)=0,0,IF((SUMPRODUCT(C13:C35,C37:C59)/SUM(C13:C35))&lt;0,1,(SUMPRODUCT(C13:C35,C37:C59)/SUM(C13:C35)))),"n/a"))</f>
        <v>18.228581023571977</v>
      </c>
      <c r="D60" s="1430">
        <f ca="1">(IF(OR($C10&lt;&gt;"n/a",D10&lt;&gt;"n/a"),IF(SUM(D13:D35)=0,0,IF((SUMPRODUCT(D13:D35,D37:D59)/SUM(D13:D35))&lt;0,1,(SUMPRODUCT(D13:D35,D37:D59)/SUM(D13:D35)))),"n/a"))</f>
        <v>17.462471357255279</v>
      </c>
      <c r="E60" s="1430">
        <f t="shared" ref="E60:W60" ca="1" si="31">(IF(OR($C10&lt;&gt;"n/a",E10&lt;&gt;"n/a"),IF(SUM(E13:E35)=0,0,IF((SUMPRODUCT(E13:E35,E37:E59)/SUM(E13:E35))&lt;0,1,(SUMPRODUCT(E13:E35,E37:E59)/SUM(E13:E35)))),"n/a"))</f>
        <v>16.815043182101689</v>
      </c>
      <c r="F60" s="1430">
        <f t="shared" ca="1" si="31"/>
        <v>16.302506570425731</v>
      </c>
      <c r="G60" s="1430">
        <f t="shared" ca="1" si="31"/>
        <v>15.734218888522339</v>
      </c>
      <c r="H60" s="1430">
        <f t="shared" ca="1" si="31"/>
        <v>15.035270129451217</v>
      </c>
      <c r="I60" s="1430">
        <f t="shared" ca="1" si="31"/>
        <v>14.543252464304881</v>
      </c>
      <c r="J60" s="1430">
        <f t="shared" ca="1" si="31"/>
        <v>13.771304385782138</v>
      </c>
      <c r="K60" s="1430">
        <f t="shared" ca="1" si="31"/>
        <v>12.820048033269062</v>
      </c>
      <c r="L60" s="1430">
        <f t="shared" ca="1" si="31"/>
        <v>11.877513254787207</v>
      </c>
      <c r="M60" s="1430">
        <f t="shared" ca="1" si="31"/>
        <v>10.946270835075577</v>
      </c>
      <c r="N60" s="1430">
        <f t="shared" ca="1" si="31"/>
        <v>10.030012005041185</v>
      </c>
      <c r="O60" s="1430">
        <f t="shared" ca="1" si="31"/>
        <v>9.1342335021689323</v>
      </c>
      <c r="P60" s="1430">
        <f t="shared" ca="1" si="31"/>
        <v>8.2674952868178817</v>
      </c>
      <c r="Q60" s="1430">
        <f t="shared" ca="1" si="31"/>
        <v>7.4438997933603739</v>
      </c>
      <c r="R60" s="1430">
        <f t="shared" ca="1" si="31"/>
        <v>6.6884441664578063</v>
      </c>
      <c r="S60" s="1430">
        <f t="shared" ca="1" si="31"/>
        <v>6.0500593296477758</v>
      </c>
      <c r="T60" s="1430">
        <f t="shared" ca="1" si="31"/>
        <v>5.6392687375222499</v>
      </c>
      <c r="U60" s="1430">
        <f t="shared" ca="1" si="31"/>
        <v>5.7696036812434075</v>
      </c>
      <c r="V60" s="1430">
        <f t="shared" ca="1" si="31"/>
        <v>5.2904610736192179</v>
      </c>
      <c r="W60" s="1430">
        <f t="shared" ca="1" si="31"/>
        <v>4.483206867163017</v>
      </c>
      <c r="X60" s="152"/>
      <c r="Y60" s="152"/>
      <c r="Z60" s="152"/>
      <c r="AA60" s="152"/>
      <c r="AB60" s="152"/>
    </row>
    <row r="61" spans="1:28">
      <c r="A61" s="152"/>
      <c r="B61" s="152"/>
      <c r="C61" s="1423"/>
      <c r="D61" s="1423"/>
      <c r="E61" s="1423"/>
      <c r="F61" s="1423"/>
      <c r="G61" s="1423"/>
      <c r="H61" s="1423"/>
      <c r="I61" s="1423"/>
      <c r="J61" s="1423"/>
      <c r="K61" s="1423"/>
      <c r="L61" s="1423"/>
      <c r="M61" s="1423"/>
      <c r="N61" s="1423"/>
      <c r="O61" s="1423"/>
      <c r="P61" s="1423"/>
      <c r="Q61" s="1423"/>
      <c r="R61" s="1423"/>
      <c r="S61" s="1423"/>
      <c r="T61" s="1423"/>
      <c r="U61" s="1423"/>
      <c r="V61" s="1423"/>
      <c r="W61" s="1423"/>
      <c r="X61" s="152"/>
      <c r="Y61" s="152"/>
      <c r="Z61" s="152"/>
      <c r="AA61" s="152"/>
      <c r="AB61" s="152"/>
    </row>
    <row r="62" spans="1:28">
      <c r="A62" s="269" t="s">
        <v>1</v>
      </c>
      <c r="B62" s="270" t="str">
        <f>VLOOKUP($A62,'RFM input'!$E$7:$F$56,2,FALSE)</f>
        <v>Inlets</v>
      </c>
      <c r="C62" s="1431"/>
      <c r="D62" s="1431"/>
      <c r="E62" s="1432"/>
      <c r="F62" s="1432"/>
      <c r="G62" s="1432"/>
      <c r="H62" s="1432"/>
      <c r="I62" s="1432"/>
      <c r="J62" s="1432"/>
      <c r="K62" s="1432"/>
      <c r="L62" s="1432"/>
      <c r="M62" s="1432"/>
      <c r="N62" s="1432"/>
      <c r="O62" s="1432"/>
      <c r="P62" s="1432"/>
      <c r="Q62" s="1432"/>
      <c r="R62" s="1432"/>
      <c r="S62" s="1432"/>
      <c r="T62" s="1432"/>
      <c r="U62" s="1432"/>
      <c r="V62" s="1432"/>
      <c r="W62" s="1432"/>
      <c r="X62" s="152"/>
      <c r="Y62" s="152"/>
      <c r="Z62" s="152"/>
      <c r="AA62" s="152"/>
      <c r="AB62" s="152"/>
    </row>
    <row r="63" spans="1:28">
      <c r="A63" s="215">
        <f>VALUE(REPLACE(A62,1,12,""))</f>
        <v>2</v>
      </c>
      <c r="B63" s="263" t="s">
        <v>126</v>
      </c>
      <c r="C63" s="1416">
        <f ca="1">IF($D$6='TAB roll forward'!$H$4,OFFSET('TAB roll forward'!$H$7,A63,0),"enter input")</f>
        <v>44.656863616280049</v>
      </c>
      <c r="D63" s="1417">
        <f>IF(LEFT(D$6,4)&lt;LEFT('RFM input'!$G$60,4),"enter input",IF(LEFT(D$6,4)&gt;LEFT('RFM input'!$Q$60,4),0,
INDEX('RFM input'!$G$61:$Q$110,$A63,MATCH(D$6,'RFM input'!$G$60:$Q$60,0))
   -INDEX('RFM input'!$G$115:$Q$164,$A63,MATCH(D$6,'RFM input'!$G$60:$Q$60,0))))</f>
        <v>5.0805792841198203</v>
      </c>
      <c r="E63" s="1417">
        <f>IF(LEFT(E$6,4)&lt;LEFT('RFM input'!$G$60,4),"enter input",IF(LEFT(E$6,4)&gt;LEFT('RFM input'!$Q$60,4),0,
INDEX('RFM input'!$G$61:$Q$110,$A63,MATCH(E$6,'RFM input'!$G$60:$Q$60,0))
   -INDEX('RFM input'!$G$115:$Q$164,$A63,MATCH(E$6,'RFM input'!$G$60:$Q$60,0))))</f>
        <v>5.4560820744449376</v>
      </c>
      <c r="F63" s="1417">
        <f>IF(LEFT(F$6,4)&lt;LEFT('RFM input'!$G$60,4),"enter input",IF(LEFT(F$6,4)&gt;LEFT('RFM input'!$Q$60,4),0,
INDEX('RFM input'!$G$61:$Q$110,$A63,MATCH(F$6,'RFM input'!$G$60:$Q$60,0))
   -INDEX('RFM input'!$G$115:$Q$164,$A63,MATCH(F$6,'RFM input'!$G$60:$Q$60,0))))</f>
        <v>5.8461758780051181</v>
      </c>
      <c r="G63" s="1417">
        <f>IF(LEFT(G$6,4)&lt;LEFT('RFM input'!$G$60,4),"enter input",IF(LEFT(G$6,4)&gt;LEFT('RFM input'!$Q$60,4),0,
INDEX('RFM input'!$G$61:$Q$110,$A63,MATCH(G$6,'RFM input'!$G$60:$Q$60,0))
   -INDEX('RFM input'!$G$115:$Q$164,$A63,MATCH(G$6,'RFM input'!$G$60:$Q$60,0))))</f>
        <v>5.1741811968704745</v>
      </c>
      <c r="H63" s="1417">
        <f>IF(LEFT(H$6,4)&lt;LEFT('RFM input'!$G$60,4),"enter input",IF(LEFT(H$6,4)&gt;LEFT('RFM input'!$Q$60,4),0,
INDEX('RFM input'!$G$61:$Q$110,$A63,MATCH(H$6,'RFM input'!$G$60:$Q$60,0))
   -INDEX('RFM input'!$G$115:$Q$164,$A63,MATCH(H$6,'RFM input'!$G$60:$Q$60,0))))</f>
        <v>5.8341937754290756</v>
      </c>
      <c r="I63" s="1417">
        <f>IF(LEFT(I$6,4)&lt;LEFT('RFM input'!$G$60,4),"enter input",IF(LEFT(I$6,4)&gt;LEFT('RFM input'!$Q$60,4),0,
INDEX('RFM input'!$G$61:$Q$110,$A63,MATCH(I$6,'RFM input'!$G$60:$Q$60,0))
   -INDEX('RFM input'!$G$115:$Q$164,$A63,MATCH(I$6,'RFM input'!$G$60:$Q$60,0))))</f>
        <v>4.5710757538187599</v>
      </c>
      <c r="J63" s="1417">
        <f>IF(LEFT(J$6,4)&lt;LEFT('RFM input'!$G$60,4),"enter input",IF(LEFT(J$6,4)&gt;LEFT('RFM input'!$Q$60,4),0,
INDEX('RFM input'!$G$61:$Q$110,$A63,MATCH(J$6,'RFM input'!$G$60:$Q$60,0))
   -INDEX('RFM input'!$G$115:$Q$164,$A63,MATCH(J$6,'RFM input'!$G$60:$Q$60,0))))</f>
        <v>2.7442209566156053</v>
      </c>
      <c r="K63" s="1417">
        <f>IF(LEFT(K$6,4)&lt;LEFT('RFM input'!$G$60,4),"enter input",IF(LEFT(K$6,4)&gt;LEFT('RFM input'!$Q$60,4),0,
INDEX('RFM input'!$G$61:$Q$110,$A63,MATCH(K$6,'RFM input'!$G$60:$Q$60,0))
   -INDEX('RFM input'!$G$115:$Q$164,$A63,MATCH(K$6,'RFM input'!$G$60:$Q$60,0))))</f>
        <v>0</v>
      </c>
      <c r="L63" s="1417">
        <f>IF(LEFT(L$6,4)&lt;LEFT('RFM input'!$G$60,4),"enter input",IF(LEFT(L$6,4)&gt;LEFT('RFM input'!$Q$60,4),0,
INDEX('RFM input'!$G$61:$Q$110,$A63,MATCH(L$6,'RFM input'!$G$60:$Q$60,0))
   -INDEX('RFM input'!$G$115:$Q$164,$A63,MATCH(L$6,'RFM input'!$G$60:$Q$60,0))))</f>
        <v>0</v>
      </c>
      <c r="M63" s="1417">
        <f>IF(LEFT(M$6,4)&lt;LEFT('RFM input'!$G$60,4),"enter input",IF(LEFT(M$6,4)&gt;LEFT('RFM input'!$Q$60,4),0,
INDEX('RFM input'!$G$61:$Q$110,$A63,MATCH(M$6,'RFM input'!$G$60:$Q$60,0))
   -INDEX('RFM input'!$G$115:$Q$164,$A63,MATCH(M$6,'RFM input'!$G$60:$Q$60,0))))</f>
        <v>0</v>
      </c>
      <c r="N63" s="1417">
        <f>IF(LEFT(N$6,4)&lt;LEFT('RFM input'!$G$60,4),"enter input",IF(LEFT(N$6,4)&gt;LEFT('RFM input'!$Q$60,4),0,
INDEX('RFM input'!$G$61:$Q$110,$A63,MATCH(N$6,'RFM input'!$G$60:$Q$60,0))
   -INDEX('RFM input'!$G$115:$Q$164,$A63,MATCH(N$6,'RFM input'!$G$60:$Q$60,0))))</f>
        <v>0</v>
      </c>
      <c r="O63" s="1417">
        <f>IF(LEFT(O$6,4)&lt;LEFT('RFM input'!$G$60,4),"enter input",IF(LEFT(O$6,4)&gt;LEFT('RFM input'!$Q$60,4),0,
INDEX('RFM input'!$G$61:$Q$110,$A63,MATCH(O$6,'RFM input'!$G$60:$Q$60,0))
   -INDEX('RFM input'!$G$115:$Q$164,$A63,MATCH(O$6,'RFM input'!$G$60:$Q$60,0))))</f>
        <v>0</v>
      </c>
      <c r="P63" s="1417">
        <f>IF(LEFT(P$6,4)&lt;LEFT('RFM input'!$G$60,4),"enter input",IF(LEFT(P$6,4)&gt;LEFT('RFM input'!$Q$60,4),0,
INDEX('RFM input'!$G$61:$Q$110,$A63,MATCH(P$6,'RFM input'!$G$60:$Q$60,0))
   -INDEX('RFM input'!$G$115:$Q$164,$A63,MATCH(P$6,'RFM input'!$G$60:$Q$60,0))))</f>
        <v>0</v>
      </c>
      <c r="Q63" s="1417">
        <f>IF(LEFT(Q$6,4)&lt;LEFT('RFM input'!$G$60,4),"enter input",IF(LEFT(Q$6,4)&gt;LEFT('RFM input'!$Q$60,4),0,
INDEX('RFM input'!$G$61:$Q$110,$A63,MATCH(Q$6,'RFM input'!$G$60:$Q$60,0))
   -INDEX('RFM input'!$G$115:$Q$164,$A63,MATCH(Q$6,'RFM input'!$G$60:$Q$60,0))))</f>
        <v>0</v>
      </c>
      <c r="R63" s="1417">
        <f>IF(LEFT(R$6,4)&lt;LEFT('RFM input'!$G$60,4),"enter input",IF(LEFT(R$6,4)&gt;LEFT('RFM input'!$Q$60,4),0,
INDEX('RFM input'!$G$61:$Q$110,$A63,MATCH(R$6,'RFM input'!$G$60:$Q$60,0))
   -INDEX('RFM input'!$G$115:$Q$164,$A63,MATCH(R$6,'RFM input'!$G$60:$Q$60,0))))</f>
        <v>0</v>
      </c>
      <c r="S63" s="1417">
        <f>IF(LEFT(S$6,4)&lt;LEFT('RFM input'!$G$60,4),"enter input",IF(LEFT(S$6,4)&gt;LEFT('RFM input'!$Q$60,4),0,
INDEX('RFM input'!$G$61:$Q$110,$A63,MATCH(S$6,'RFM input'!$G$60:$Q$60,0))
   -INDEX('RFM input'!$G$115:$Q$164,$A63,MATCH(S$6,'RFM input'!$G$60:$Q$60,0))))</f>
        <v>0</v>
      </c>
      <c r="T63" s="1417">
        <f>IF(LEFT(T$6,4)&lt;LEFT('RFM input'!$G$60,4),"enter input",IF(LEFT(T$6,4)&gt;LEFT('RFM input'!$Q$60,4),0,
INDEX('RFM input'!$G$61:$Q$110,$A63,MATCH(T$6,'RFM input'!$G$60:$Q$60,0))
   -INDEX('RFM input'!$G$115:$Q$164,$A63,MATCH(T$6,'RFM input'!$G$60:$Q$60,0))))</f>
        <v>0</v>
      </c>
      <c r="U63" s="1417">
        <f>IF(LEFT(U$6,4)&lt;LEFT('RFM input'!$G$60,4),"enter input",IF(LEFT(U$6,4)&gt;LEFT('RFM input'!$Q$60,4),0,
INDEX('RFM input'!$G$61:$Q$110,$A63,MATCH(U$6,'RFM input'!$G$60:$Q$60,0))
   -INDEX('RFM input'!$G$115:$Q$164,$A63,MATCH(U$6,'RFM input'!$G$60:$Q$60,0))))</f>
        <v>0</v>
      </c>
      <c r="V63" s="1417">
        <f>IF(LEFT(V$6,4)&lt;LEFT('RFM input'!$G$60,4),"enter input",IF(LEFT(V$6,4)&gt;LEFT('RFM input'!$Q$60,4),0,
INDEX('RFM input'!$G$61:$Q$110,$A63,MATCH(V$6,'RFM input'!$G$60:$Q$60,0))
   -INDEX('RFM input'!$G$115:$Q$164,$A63,MATCH(V$6,'RFM input'!$G$60:$Q$60,0))))</f>
        <v>0</v>
      </c>
      <c r="W63" s="1417">
        <f>IF(LEFT(W$6,4)&lt;LEFT('RFM input'!$G$60,4),"enter input",IF(LEFT(W$6,4)&gt;LEFT('RFM input'!$Q$60,4),0,
INDEX('RFM input'!$G$61:$Q$110,$A63,MATCH(W$6,'RFM input'!$G$60:$Q$60,0))
   -INDEX('RFM input'!$G$115:$Q$164,$A63,MATCH(W$6,'RFM input'!$G$60:$Q$60,0))))</f>
        <v>0</v>
      </c>
      <c r="X63" s="152"/>
      <c r="Y63" s="152"/>
      <c r="Z63" s="152"/>
      <c r="AA63" s="152"/>
      <c r="AB63" s="152"/>
    </row>
    <row r="64" spans="1:28">
      <c r="A64" s="242"/>
      <c r="B64" s="152" t="s">
        <v>205</v>
      </c>
      <c r="C64" s="1418">
        <f ca="1">IF($D$6='TAB roll forward'!$H$4,OFFSET('RFM input'!$S$6,$A63,0),"enter input")</f>
        <v>15.202063233473952</v>
      </c>
      <c r="D64" s="1417">
        <f>IF(LEFT(D$6,4)&lt;=LEFT('RFM input'!$G$60,4),"enter input",IF(LEFT(D$6,4)&gt;LEFT('RFM input'!$Q$60,4),0,
IF(MATCH(D$6,'RFM input'!$H$60:$Q$60,0),INDEX('RFM input'!$T$7:$T$56,$A63,1,1))))</f>
        <v>20</v>
      </c>
      <c r="E64" s="1417">
        <f>IF(LEFT(E$6,4)&lt;=LEFT('RFM input'!$G$60,4),"enter input",IF(LEFT(E$6,4)&gt;LEFT('RFM input'!$Q$60,4),0,
IF(MATCH(E$6,'RFM input'!$H$60:$Q$60,0),INDEX('RFM input'!$T$7:$T$56,$A63,1,1))))</f>
        <v>20</v>
      </c>
      <c r="F64" s="1417">
        <f>IF(LEFT(F$6,4)&lt;=LEFT('RFM input'!$G$60,4),"enter input",IF(LEFT(F$6,4)&gt;LEFT('RFM input'!$Q$60,4),0,
IF(MATCH(F$6,'RFM input'!$H$60:$Q$60,0),INDEX('RFM input'!$T$7:$T$56,$A63,1,1))))</f>
        <v>20</v>
      </c>
      <c r="G64" s="1417">
        <f>IF(LEFT(G$6,4)&lt;=LEFT('RFM input'!$G$60,4),"enter input",IF(LEFT(G$6,4)&gt;LEFT('RFM input'!$Q$60,4),0,
IF(MATCH(G$6,'RFM input'!$H$60:$Q$60,0),INDEX('RFM input'!$T$7:$T$56,$A63,1,1))))</f>
        <v>20</v>
      </c>
      <c r="H64" s="1417">
        <f>IF(LEFT(H$6,4)&lt;=LEFT('RFM input'!$G$60,4),"enter input",IF(LEFT(H$6,4)&gt;LEFT('RFM input'!$Q$60,4),0,
IF(MATCH(H$6,'RFM input'!$H$60:$Q$60,0),INDEX('RFM input'!$T$7:$T$56,$A63,1,1))))</f>
        <v>20</v>
      </c>
      <c r="I64" s="1417">
        <f>IF(LEFT(I$6,4)&lt;=LEFT('RFM input'!$G$60,4),"enter input",IF(LEFT(I$6,4)&gt;LEFT('RFM input'!$Q$60,4),0,
IF(MATCH(I$6,'RFM input'!$H$60:$Q$60,0),INDEX('RFM input'!$T$7:$T$56,$A63,1,1))))</f>
        <v>20</v>
      </c>
      <c r="J64" s="1417">
        <f>IF(LEFT(J$6,4)&lt;=LEFT('RFM input'!$G$60,4),"enter input",IF(LEFT(J$6,4)&gt;LEFT('RFM input'!$Q$60,4),0,
IF(MATCH(J$6,'RFM input'!$H$60:$Q$60,0),INDEX('RFM input'!$T$7:$T$56,$A63,1,1))))</f>
        <v>20</v>
      </c>
      <c r="K64" s="1417">
        <f>IF(LEFT(K$6,4)&lt;=LEFT('RFM input'!$G$60,4),"enter input",IF(LEFT(K$6,4)&gt;LEFT('RFM input'!$Q$60,4),0,
IF(MATCH(K$6,'RFM input'!$H$60:$Q$60,0),INDEX('RFM input'!$T$7:$T$56,$A63,1,1))))</f>
        <v>20</v>
      </c>
      <c r="L64" s="1417">
        <f>IF(LEFT(L$6,4)&lt;=LEFT('RFM input'!$G$60,4),"enter input",IF(LEFT(L$6,4)&gt;LEFT('RFM input'!$Q$60,4),0,
IF(MATCH(L$6,'RFM input'!$H$60:$Q$60,0),INDEX('RFM input'!$T$7:$T$56,$A63,1,1))))</f>
        <v>20</v>
      </c>
      <c r="M64" s="1417">
        <f>IF(LEFT(M$6,4)&lt;=LEFT('RFM input'!$G$60,4),"enter input",IF(LEFT(M$6,4)&gt;LEFT('RFM input'!$Q$60,4),0,
IF(MATCH(M$6,'RFM input'!$H$60:$Q$60,0),INDEX('RFM input'!$T$7:$T$56,$A63,1,1))))</f>
        <v>20</v>
      </c>
      <c r="N64" s="1417">
        <f>IF(LEFT(N$6,4)&lt;=LEFT('RFM input'!$G$60,4),"enter input",IF(LEFT(N$6,4)&gt;LEFT('RFM input'!$Q$60,4),0,
IF(MATCH(N$6,'RFM input'!$H$60:$Q$60,0),INDEX('RFM input'!$T$7:$T$56,$A63,1,1))))</f>
        <v>0</v>
      </c>
      <c r="O64" s="1417">
        <f>IF(LEFT(O$6,4)&lt;=LEFT('RFM input'!$G$60,4),"enter input",IF(LEFT(O$6,4)&gt;LEFT('RFM input'!$Q$60,4),0,
IF(MATCH(O$6,'RFM input'!$H$60:$Q$60,0),INDEX('RFM input'!$T$7:$T$56,$A63,1,1))))</f>
        <v>0</v>
      </c>
      <c r="P64" s="1417">
        <f>IF(LEFT(P$6,4)&lt;=LEFT('RFM input'!$G$60,4),"enter input",IF(LEFT(P$6,4)&gt;LEFT('RFM input'!$Q$60,4),0,
IF(MATCH(P$6,'RFM input'!$H$60:$Q$60,0),INDEX('RFM input'!$T$7:$T$56,$A63,1,1))))</f>
        <v>0</v>
      </c>
      <c r="Q64" s="1417">
        <f>IF(LEFT(Q$6,4)&lt;=LEFT('RFM input'!$G$60,4),"enter input",IF(LEFT(Q$6,4)&gt;LEFT('RFM input'!$Q$60,4),0,
IF(MATCH(Q$6,'RFM input'!$H$60:$Q$60,0),INDEX('RFM input'!$T$7:$T$56,$A63,1,1))))</f>
        <v>0</v>
      </c>
      <c r="R64" s="1417">
        <f>IF(LEFT(R$6,4)&lt;=LEFT('RFM input'!$G$60,4),"enter input",IF(LEFT(R$6,4)&gt;LEFT('RFM input'!$Q$60,4),0,
IF(MATCH(R$6,'RFM input'!$H$60:$Q$60,0),INDEX('RFM input'!$T$7:$T$56,$A63,1,1))))</f>
        <v>0</v>
      </c>
      <c r="S64" s="1417">
        <f>IF(LEFT(S$6,4)&lt;=LEFT('RFM input'!$G$60,4),"enter input",IF(LEFT(S$6,4)&gt;LEFT('RFM input'!$Q$60,4),0,
IF(MATCH(S$6,'RFM input'!$H$60:$Q$60,0),INDEX('RFM input'!$T$7:$T$56,$A63,1,1))))</f>
        <v>0</v>
      </c>
      <c r="T64" s="1417">
        <f>IF(LEFT(T$6,4)&lt;=LEFT('RFM input'!$G$60,4),"enter input",IF(LEFT(T$6,4)&gt;LEFT('RFM input'!$Q$60,4),0,
IF(MATCH(T$6,'RFM input'!$H$60:$Q$60,0),INDEX('RFM input'!$T$7:$T$56,$A63,1,1))))</f>
        <v>0</v>
      </c>
      <c r="U64" s="1417">
        <f>IF(LEFT(U$6,4)&lt;=LEFT('RFM input'!$G$60,4),"enter input",IF(LEFT(U$6,4)&gt;LEFT('RFM input'!$Q$60,4),0,
IF(MATCH(U$6,'RFM input'!$H$60:$Q$60,0),INDEX('RFM input'!$T$7:$T$56,$A63,1,1))))</f>
        <v>0</v>
      </c>
      <c r="V64" s="1417">
        <f>IF(LEFT(V$6,4)&lt;=LEFT('RFM input'!$G$60,4),"enter input",IF(LEFT(V$6,4)&gt;LEFT('RFM input'!$Q$60,4),0,
IF(MATCH(V$6,'RFM input'!$H$60:$Q$60,0),INDEX('RFM input'!$T$7:$T$56,$A63,1,1))))</f>
        <v>0</v>
      </c>
      <c r="W64" s="1417">
        <f>IF(LEFT(W$6,4)&lt;=LEFT('RFM input'!$G$60,4),"enter input",IF(LEFT(W$6,4)&gt;LEFT('RFM input'!$Q$60,4),0,
IF(MATCH(W$6,'RFM input'!$H$60:$Q$60,0),INDEX('RFM input'!$T$7:$T$56,$A63,1,1))))</f>
        <v>0</v>
      </c>
      <c r="X64" s="152"/>
      <c r="Y64" s="152"/>
      <c r="Z64" s="152"/>
      <c r="AA64" s="152"/>
      <c r="AB64" s="152"/>
    </row>
    <row r="65" spans="1:28">
      <c r="A65" s="242"/>
      <c r="B65" s="193" t="s">
        <v>192</v>
      </c>
      <c r="C65" s="1419"/>
      <c r="D65" s="1420">
        <f ca="1">IF(LEFT(D$6,4)&lt;=LEFT('RFM input'!$G$60,4),"enter input",IF(LEFT(D$6,4)&gt;LEFT('RFM input'!$Q$60,4),0,
IF(D$6=(OFFSET('RFM input'!$G$60,0,'RFM input'!$V$7)),OFFSET('RFM input'!$H$411,$A63,0),0)))</f>
        <v>0</v>
      </c>
      <c r="E65" s="1417">
        <f ca="1">IF(LEFT(E$6,4)&lt;=LEFT('RFM input'!$G$60,4),"enter input",IF(LEFT(E$6,4)&gt;LEFT('RFM input'!$Q$60,4),0,
IF(E$6=(OFFSET('RFM input'!$G$60,0,'RFM input'!$V$7)),OFFSET('RFM input'!$H$411,$A63,0),0)))</f>
        <v>0</v>
      </c>
      <c r="F65" s="1417">
        <f ca="1">IF(LEFT(F$6,4)&lt;=LEFT('RFM input'!$G$60,4),"enter input",IF(LEFT(F$6,4)&gt;LEFT('RFM input'!$Q$60,4),0,
IF(F$6=(OFFSET('RFM input'!$G$60,0,'RFM input'!$V$7)),OFFSET('RFM input'!$H$411,$A63,0),0)))</f>
        <v>0</v>
      </c>
      <c r="G65" s="1417">
        <f ca="1">IF(LEFT(G$6,4)&lt;=LEFT('RFM input'!$G$60,4),"enter input",IF(LEFT(G$6,4)&gt;LEFT('RFM input'!$Q$60,4),0,
IF(G$6=(OFFSET('RFM input'!$G$60,0,'RFM input'!$V$7)),OFFSET('RFM input'!$H$411,$A63,0),0)))</f>
        <v>0</v>
      </c>
      <c r="H65" s="1417">
        <f ca="1">IF(LEFT(H$6,4)&lt;=LEFT('RFM input'!$G$60,4),"enter input",IF(LEFT(H$6,4)&gt;LEFT('RFM input'!$Q$60,4),0,
IF(H$6=(OFFSET('RFM input'!$G$60,0,'RFM input'!$V$7)),OFFSET('RFM input'!$H$411,$A63,0),0)))</f>
        <v>0</v>
      </c>
      <c r="I65" s="1417">
        <f ca="1">IF(LEFT(I$6,4)&lt;=LEFT('RFM input'!$G$60,4),"enter input",IF(LEFT(I$6,4)&gt;LEFT('RFM input'!$Q$60,4),0,
IF(I$6=(OFFSET('RFM input'!$G$60,0,'RFM input'!$V$7)),OFFSET('RFM input'!$H$411,$A63,0),0)))</f>
        <v>0</v>
      </c>
      <c r="J65" s="1417">
        <f ca="1">IF(LEFT(J$6,4)&lt;=LEFT('RFM input'!$G$60,4),"enter input",IF(LEFT(J$6,4)&gt;LEFT('RFM input'!$Q$60,4),0,
IF(J$6=(OFFSET('RFM input'!$G$60,0,'RFM input'!$V$7)),OFFSET('RFM input'!$H$411,$A63,0),0)))</f>
        <v>0</v>
      </c>
      <c r="K65" s="1417">
        <f ca="1">IF(LEFT(K$6,4)&lt;=LEFT('RFM input'!$G$60,4),"enter input",IF(LEFT(K$6,4)&gt;LEFT('RFM input'!$Q$60,4),0,
IF(K$6=(OFFSET('RFM input'!$G$60,0,'RFM input'!$V$7)),OFFSET('RFM input'!$H$411,$A63,0),0)))</f>
        <v>0</v>
      </c>
      <c r="L65" s="1417">
        <f ca="1">IF(LEFT(L$6,4)&lt;=LEFT('RFM input'!$G$60,4),"enter input",IF(LEFT(L$6,4)&gt;LEFT('RFM input'!$Q$60,4),0,
IF(L$6=(OFFSET('RFM input'!$G$60,0,'RFM input'!$V$7)),OFFSET('RFM input'!$H$411,$A63,0),0)))</f>
        <v>0</v>
      </c>
      <c r="M65" s="1417">
        <f ca="1">IF(LEFT(M$6,4)&lt;=LEFT('RFM input'!$G$60,4),"enter input",IF(LEFT(M$6,4)&gt;LEFT('RFM input'!$Q$60,4),0,
IF(M$6=(OFFSET('RFM input'!$G$60,0,'RFM input'!$V$7)),OFFSET('RFM input'!$H$411,$A63,0),0)))</f>
        <v>0</v>
      </c>
      <c r="N65" s="1417">
        <f ca="1">IF(LEFT(N$6,4)&lt;=LEFT('RFM input'!$G$60,4),"enter input",IF(LEFT(N$6,4)&gt;LEFT('RFM input'!$Q$60,4),0,
IF(N$6=(OFFSET('RFM input'!$G$60,0,'RFM input'!$V$7)),OFFSET('RFM input'!$H$411,$A63,0),0)))</f>
        <v>0</v>
      </c>
      <c r="O65" s="1417">
        <f ca="1">IF(LEFT(O$6,4)&lt;=LEFT('RFM input'!$G$60,4),"enter input",IF(LEFT(O$6,4)&gt;LEFT('RFM input'!$Q$60,4),0,
IF(O$6=(OFFSET('RFM input'!$G$60,0,'RFM input'!$V$7)),OFFSET('RFM input'!$H$411,$A63,0),0)))</f>
        <v>0</v>
      </c>
      <c r="P65" s="1417">
        <f ca="1">IF(LEFT(P$6,4)&lt;=LEFT('RFM input'!$G$60,4),"enter input",IF(LEFT(P$6,4)&gt;LEFT('RFM input'!$Q$60,4),0,
IF(P$6=(OFFSET('RFM input'!$G$60,0,'RFM input'!$V$7)),OFFSET('RFM input'!$H$411,$A63,0),0)))</f>
        <v>0</v>
      </c>
      <c r="Q65" s="1417">
        <f ca="1">IF(LEFT(Q$6,4)&lt;=LEFT('RFM input'!$G$60,4),"enter input",IF(LEFT(Q$6,4)&gt;LEFT('RFM input'!$Q$60,4),0,
IF(Q$6=(OFFSET('RFM input'!$G$60,0,'RFM input'!$V$7)),OFFSET('RFM input'!$H$411,$A63,0),0)))</f>
        <v>0</v>
      </c>
      <c r="R65" s="1417">
        <f ca="1">IF(LEFT(R$6,4)&lt;=LEFT('RFM input'!$G$60,4),"enter input",IF(LEFT(R$6,4)&gt;LEFT('RFM input'!$Q$60,4),0,
IF(R$6=(OFFSET('RFM input'!$G$60,0,'RFM input'!$V$7)),OFFSET('RFM input'!$H$411,$A63,0),0)))</f>
        <v>0</v>
      </c>
      <c r="S65" s="1417">
        <f ca="1">IF(LEFT(S$6,4)&lt;=LEFT('RFM input'!$G$60,4),"enter input",IF(LEFT(S$6,4)&gt;LEFT('RFM input'!$Q$60,4),0,
IF(S$6=(OFFSET('RFM input'!$G$60,0,'RFM input'!$V$7)),OFFSET('RFM input'!$H$411,$A63,0),0)))</f>
        <v>0</v>
      </c>
      <c r="T65" s="1417">
        <f ca="1">IF(LEFT(T$6,4)&lt;=LEFT('RFM input'!$G$60,4),"enter input",IF(LEFT(T$6,4)&gt;LEFT('RFM input'!$Q$60,4),0,
IF(T$6=(OFFSET('RFM input'!$G$60,0,'RFM input'!$V$7)),OFFSET('RFM input'!$H$411,$A63,0),0)))</f>
        <v>0</v>
      </c>
      <c r="U65" s="1417">
        <f ca="1">IF(LEFT(U$6,4)&lt;=LEFT('RFM input'!$G$60,4),"enter input",IF(LEFT(U$6,4)&gt;LEFT('RFM input'!$Q$60,4),0,
IF(U$6=(OFFSET('RFM input'!$G$60,0,'RFM input'!$V$7)),OFFSET('RFM input'!$H$411,$A63,0),0)))</f>
        <v>0</v>
      </c>
      <c r="V65" s="1417">
        <f ca="1">IF(LEFT(V$6,4)&lt;=LEFT('RFM input'!$G$60,4),"enter input",IF(LEFT(V$6,4)&gt;LEFT('RFM input'!$Q$60,4),0,
IF(V$6=(OFFSET('RFM input'!$G$60,0,'RFM input'!$V$7)),OFFSET('RFM input'!$H$411,$A63,0),0)))</f>
        <v>0</v>
      </c>
      <c r="W65" s="1417">
        <f ca="1">IF(LEFT(W$6,4)&lt;=LEFT('RFM input'!$G$60,4),"enter input",IF(LEFT(W$6,4)&gt;LEFT('RFM input'!$Q$60,4),0,
IF(W$6=(OFFSET('RFM input'!$G$60,0,'RFM input'!$V$7)),OFFSET('RFM input'!$H$411,$A63,0),0)))</f>
        <v>0</v>
      </c>
      <c r="X65" s="152"/>
      <c r="Y65" s="152"/>
      <c r="Z65" s="152"/>
      <c r="AA65" s="152"/>
      <c r="AB65" s="152"/>
    </row>
    <row r="66" spans="1:28">
      <c r="A66" s="242"/>
      <c r="B66" s="193" t="s">
        <v>200</v>
      </c>
      <c r="C66" s="1419"/>
      <c r="D66" s="1418">
        <f ca="1">IF(LEFT(D$6,4)&lt;=LEFT('RFM input'!$G$60,4),"enter input",IF(LEFT(D$6,4)&gt;LEFT('RFM input'!$Q$60,4),0,
IF(D$6=(OFFSET('RFM input'!$G$60,0,'RFM input'!$V$7)),OFFSET('RFM input'!$J$411,$A63,0),0)))</f>
        <v>0</v>
      </c>
      <c r="E66" s="1422">
        <f ca="1">IF(LEFT(E$6,4)&lt;=LEFT('RFM input'!$G$60,4),"enter input",IF(LEFT(E$6,4)&gt;LEFT('RFM input'!$Q$60,4),0,
IF(E$6=(OFFSET('RFM input'!$G$60,0,'RFM input'!$V$7)),OFFSET('RFM input'!$J$411,$A63,0),0)))</f>
        <v>0</v>
      </c>
      <c r="F66" s="1422">
        <f ca="1">IF(LEFT(F$6,4)&lt;=LEFT('RFM input'!$G$60,4),"enter input",IF(LEFT(F$6,4)&gt;LEFT('RFM input'!$Q$60,4),0,
IF(F$6=(OFFSET('RFM input'!$G$60,0,'RFM input'!$V$7)),OFFSET('RFM input'!$J$411,$A63,0),0)))</f>
        <v>0</v>
      </c>
      <c r="G66" s="1422">
        <f ca="1">IF(LEFT(G$6,4)&lt;=LEFT('RFM input'!$G$60,4),"enter input",IF(LEFT(G$6,4)&gt;LEFT('RFM input'!$Q$60,4),0,
IF(G$6=(OFFSET('RFM input'!$G$60,0,'RFM input'!$V$7)),OFFSET('RFM input'!$J$411,$A63,0),0)))</f>
        <v>0</v>
      </c>
      <c r="H66" s="1422">
        <f ca="1">IF(LEFT(H$6,4)&lt;=LEFT('RFM input'!$G$60,4),"enter input",IF(LEFT(H$6,4)&gt;LEFT('RFM input'!$Q$60,4),0,
IF(H$6=(OFFSET('RFM input'!$G$60,0,'RFM input'!$V$7)),OFFSET('RFM input'!$J$411,$A63,0),0)))</f>
        <v>0</v>
      </c>
      <c r="I66" s="1422">
        <f ca="1">IF(LEFT(I$6,4)&lt;=LEFT('RFM input'!$G$60,4),"enter input",IF(LEFT(I$6,4)&gt;LEFT('RFM input'!$Q$60,4),0,
IF(I$6=(OFFSET('RFM input'!$G$60,0,'RFM input'!$V$7)),OFFSET('RFM input'!$J$411,$A63,0),0)))</f>
        <v>0</v>
      </c>
      <c r="J66" s="1422">
        <f ca="1">IF(LEFT(J$6,4)&lt;=LEFT('RFM input'!$G$60,4),"enter input",IF(LEFT(J$6,4)&gt;LEFT('RFM input'!$Q$60,4),0,
IF(J$6=(OFFSET('RFM input'!$G$60,0,'RFM input'!$V$7)),OFFSET('RFM input'!$J$411,$A63,0),0)))</f>
        <v>0</v>
      </c>
      <c r="K66" s="1422">
        <f ca="1">IF(LEFT(K$6,4)&lt;=LEFT('RFM input'!$G$60,4),"enter input",IF(LEFT(K$6,4)&gt;LEFT('RFM input'!$Q$60,4),0,
IF(K$6=(OFFSET('RFM input'!$G$60,0,'RFM input'!$V$7)),OFFSET('RFM input'!$J$411,$A63,0),0)))</f>
        <v>0</v>
      </c>
      <c r="L66" s="1422">
        <f ca="1">IF(LEFT(L$6,4)&lt;=LEFT('RFM input'!$G$60,4),"enter input",IF(LEFT(L$6,4)&gt;LEFT('RFM input'!$Q$60,4),0,
IF(L$6=(OFFSET('RFM input'!$G$60,0,'RFM input'!$V$7)),OFFSET('RFM input'!$J$411,$A63,0),0)))</f>
        <v>0</v>
      </c>
      <c r="M66" s="1422">
        <f ca="1">IF(LEFT(M$6,4)&lt;=LEFT('RFM input'!$G$60,4),"enter input",IF(LEFT(M$6,4)&gt;LEFT('RFM input'!$Q$60,4),0,
IF(M$6=(OFFSET('RFM input'!$G$60,0,'RFM input'!$V$7)),OFFSET('RFM input'!$J$411,$A63,0),0)))</f>
        <v>0</v>
      </c>
      <c r="N66" s="1422">
        <f ca="1">IF(LEFT(N$6,4)&lt;=LEFT('RFM input'!$G$60,4),"enter input",IF(LEFT(N$6,4)&gt;LEFT('RFM input'!$Q$60,4),0,
IF(N$6=(OFFSET('RFM input'!$G$60,0,'RFM input'!$V$7)),OFFSET('RFM input'!$J$411,$A63,0),0)))</f>
        <v>0</v>
      </c>
      <c r="O66" s="1422">
        <f ca="1">IF(LEFT(O$6,4)&lt;=LEFT('RFM input'!$G$60,4),"enter input",IF(LEFT(O$6,4)&gt;LEFT('RFM input'!$Q$60,4),0,
IF(O$6=(OFFSET('RFM input'!$G$60,0,'RFM input'!$V$7)),OFFSET('RFM input'!$J$411,$A63,0),0)))</f>
        <v>0</v>
      </c>
      <c r="P66" s="1422">
        <f ca="1">IF(LEFT(P$6,4)&lt;=LEFT('RFM input'!$G$60,4),"enter input",IF(LEFT(P$6,4)&gt;LEFT('RFM input'!$Q$60,4),0,
IF(P$6=(OFFSET('RFM input'!$G$60,0,'RFM input'!$V$7)),OFFSET('RFM input'!$J$411,$A63,0),0)))</f>
        <v>0</v>
      </c>
      <c r="Q66" s="1422">
        <f ca="1">IF(LEFT(Q$6,4)&lt;=LEFT('RFM input'!$G$60,4),"enter input",IF(LEFT(Q$6,4)&gt;LEFT('RFM input'!$Q$60,4),0,
IF(Q$6=(OFFSET('RFM input'!$G$60,0,'RFM input'!$V$7)),OFFSET('RFM input'!$J$411,$A63,0),0)))</f>
        <v>0</v>
      </c>
      <c r="R66" s="1422">
        <f ca="1">IF(LEFT(R$6,4)&lt;=LEFT('RFM input'!$G$60,4),"enter input",IF(LEFT(R$6,4)&gt;LEFT('RFM input'!$Q$60,4),0,
IF(R$6=(OFFSET('RFM input'!$G$60,0,'RFM input'!$V$7)),OFFSET('RFM input'!$J$411,$A63,0),0)))</f>
        <v>0</v>
      </c>
      <c r="S66" s="1422">
        <f ca="1">IF(LEFT(S$6,4)&lt;=LEFT('RFM input'!$G$60,4),"enter input",IF(LEFT(S$6,4)&gt;LEFT('RFM input'!$Q$60,4),0,
IF(S$6=(OFFSET('RFM input'!$G$60,0,'RFM input'!$V$7)),OFFSET('RFM input'!$J$411,$A63,0),0)))</f>
        <v>0</v>
      </c>
      <c r="T66" s="1422">
        <f ca="1">IF(LEFT(T$6,4)&lt;=LEFT('RFM input'!$G$60,4),"enter input",IF(LEFT(T$6,4)&gt;LEFT('RFM input'!$Q$60,4),0,
IF(T$6=(OFFSET('RFM input'!$G$60,0,'RFM input'!$V$7)),OFFSET('RFM input'!$J$411,$A63,0),0)))</f>
        <v>0</v>
      </c>
      <c r="U66" s="1422">
        <f ca="1">IF(LEFT(U$6,4)&lt;=LEFT('RFM input'!$G$60,4),"enter input",IF(LEFT(U$6,4)&gt;LEFT('RFM input'!$Q$60,4),0,
IF(U$6=(OFFSET('RFM input'!$G$60,0,'RFM input'!$V$7)),OFFSET('RFM input'!$J$411,$A63,0),0)))</f>
        <v>0</v>
      </c>
      <c r="V66" s="1422">
        <f ca="1">IF(LEFT(V$6,4)&lt;=LEFT('RFM input'!$G$60,4),"enter input",IF(LEFT(V$6,4)&gt;LEFT('RFM input'!$Q$60,4),0,
IF(V$6=(OFFSET('RFM input'!$G$60,0,'RFM input'!$V$7)),OFFSET('RFM input'!$J$411,$A63,0),0)))</f>
        <v>0</v>
      </c>
      <c r="W66" s="1422">
        <f ca="1">IF(LEFT(W$6,4)&lt;=LEFT('RFM input'!$G$60,4),"enter input",IF(LEFT(W$6,4)&gt;LEFT('RFM input'!$Q$60,4),0,
IF(W$6=(OFFSET('RFM input'!$G$60,0,'RFM input'!$V$7)),OFFSET('RFM input'!$J$411,$A63,0),0)))</f>
        <v>0</v>
      </c>
      <c r="X66" s="152"/>
      <c r="Y66" s="152"/>
      <c r="Z66" s="152"/>
      <c r="AA66" s="152"/>
      <c r="AB66" s="152"/>
    </row>
    <row r="67" spans="1:28" ht="12.75" hidden="1" customHeight="1" outlineLevel="1">
      <c r="A67" s="235">
        <v>-1</v>
      </c>
      <c r="B67" s="190" t="s">
        <v>195</v>
      </c>
      <c r="C67" s="1423"/>
      <c r="D67" s="1423">
        <f t="shared" ref="D67" ca="1" si="32">IF(AND(D65=0,C67=0),0,
IF(AND(D65&lt;&gt;0,C67=0),D65,
IF(AND(D66&lt;&gt;0,C67&lt;&gt;0),(C67-(C67/C91))+D65,
IF(C91&lt;1,0,(C67-(C67/C91))))))</f>
        <v>0</v>
      </c>
      <c r="E67" s="1423">
        <f t="shared" ref="E67" ca="1" si="33">IF(AND(E65=0,D67=0),0,
IF(AND(E65&lt;&gt;0,D67=0),E65,
IF(AND(E66&lt;&gt;0,D67&lt;&gt;0),(D67-(D67/D91))+E65,
IF(D91&lt;1,0,(D67-(D67/D91))))))</f>
        <v>0</v>
      </c>
      <c r="F67" s="1423">
        <f t="shared" ref="F67" ca="1" si="34">IF(AND(F65=0,E67=0),0,
IF(AND(F65&lt;&gt;0,E67=0),F65,
IF(AND(F66&lt;&gt;0,E67&lt;&gt;0),(E67-(E67/E91))+F65,
IF(E91&lt;1,0,(E67-(E67/E91))))))</f>
        <v>0</v>
      </c>
      <c r="G67" s="1423">
        <f t="shared" ref="G67" ca="1" si="35">IF(AND(G65=0,F67=0),0,
IF(AND(G65&lt;&gt;0,F67=0),G65,
IF(AND(G66&lt;&gt;0,F67&lt;&gt;0),(F67-(F67/F91))+G65,
IF(F91&lt;1,0,(F67-(F67/F91))))))</f>
        <v>0</v>
      </c>
      <c r="H67" s="1423">
        <f ca="1">IF(AND(H65=0,G67=0),0,
IF(AND(H65&lt;&gt;0,G67=0),H65,
IF(AND(H66&lt;&gt;0,G67&lt;&gt;0),(G67-(G67/G91))+H65,
IF(G91&lt;1,0,(G67-(G67/G91))))))</f>
        <v>0</v>
      </c>
      <c r="I67" s="1423">
        <f t="shared" ref="I67" ca="1" si="36">IF(AND(I65=0,H67=0),0,
IF(AND(I65&lt;&gt;0,H67=0),I65,
IF(AND(I66&lt;&gt;0,H67&lt;&gt;0),(H67-(H67/H91))+I65,
IF(H91&lt;1,0,(H67-(H67/H91))))))</f>
        <v>0</v>
      </c>
      <c r="J67" s="1423">
        <f t="shared" ref="J67" ca="1" si="37">IF(AND(J65=0,I67=0),0,
IF(AND(J65&lt;&gt;0,I67=0),J65,
IF(AND(J66&lt;&gt;0,I67&lt;&gt;0),(I67-(I67/I91))+J65,
IF(I91&lt;1,0,(I67-(I67/I91))))))</f>
        <v>0</v>
      </c>
      <c r="K67" s="1423">
        <f t="shared" ref="K67" ca="1" si="38">IF(AND(K65=0,J67=0),0,
IF(AND(K65&lt;&gt;0,J67=0),K65,
IF(AND(K66&lt;&gt;0,J67&lt;&gt;0),(J67-(J67/J91))+K65,
IF(J91&lt;1,0,(J67-(J67/J91))))))</f>
        <v>0</v>
      </c>
      <c r="L67" s="1423">
        <f t="shared" ref="L67" ca="1" si="39">IF(AND(L65=0,K67=0),0,
IF(AND(L65&lt;&gt;0,K67=0),L65,
IF(AND(L66&lt;&gt;0,K67&lt;&gt;0),(K67-(K67/K91))+L65,
IF(K91&lt;1,0,(K67-(K67/K91))))))</f>
        <v>0</v>
      </c>
      <c r="M67" s="1423">
        <f t="shared" ref="M67" ca="1" si="40">IF(AND(M65=0,L67=0),0,
IF(AND(M65&lt;&gt;0,L67=0),M65,
IF(AND(M66&lt;&gt;0,L67&lt;&gt;0),(L67-(L67/L91))+M65,
IF(L91&lt;1,0,(L67-(L67/L91))))))</f>
        <v>0</v>
      </c>
      <c r="N67" s="1423">
        <f t="shared" ref="N67" ca="1" si="41">IF(AND(N65=0,M67=0),0,
IF(AND(N65&lt;&gt;0,M67=0),N65,
IF(AND(N66&lt;&gt;0,M67&lt;&gt;0),(M67-(M67/M91))+N65,
IF(M91&lt;1,0,(M67-(M67/M91))))))</f>
        <v>0</v>
      </c>
      <c r="O67" s="1423">
        <f t="shared" ref="O67" ca="1" si="42">IF(AND(O65=0,N67=0),0,
IF(AND(O65&lt;&gt;0,N67=0),O65,
IF(AND(O66&lt;&gt;0,N67&lt;&gt;0),(N67-(N67/N91))+O65,
IF(N91&lt;1,0,(N67-(N67/N91))))))</f>
        <v>0</v>
      </c>
      <c r="P67" s="1423">
        <f t="shared" ref="P67" ca="1" si="43">IF(AND(P65=0,O67=0),0,
IF(AND(P65&lt;&gt;0,O67=0),P65,
IF(AND(P66&lt;&gt;0,O67&lt;&gt;0),(O67-(O67/O91))+P65,
IF(O91&lt;1,0,(O67-(O67/O91))))))</f>
        <v>0</v>
      </c>
      <c r="Q67" s="1423">
        <f t="shared" ref="Q67" ca="1" si="44">IF(AND(Q65=0,P67=0),0,
IF(AND(Q65&lt;&gt;0,P67=0),Q65,
IF(AND(Q66&lt;&gt;0,P67&lt;&gt;0),(P67-(P67/P91))+Q65,
IF(P91&lt;1,0,(P67-(P67/P91))))))</f>
        <v>0</v>
      </c>
      <c r="R67" s="1423">
        <f t="shared" ref="R67" ca="1" si="45">IF(AND(R65=0,Q67=0),0,
IF(AND(R65&lt;&gt;0,Q67=0),R65,
IF(AND(R66&lt;&gt;0,Q67&lt;&gt;0),(Q67-(Q67/Q91))+R65,
IF(Q91&lt;1,0,(Q67-(Q67/Q91))))))</f>
        <v>0</v>
      </c>
      <c r="S67" s="1423">
        <f t="shared" ref="S67" ca="1" si="46">IF(AND(S65=0,R67=0),0,
IF(AND(S65&lt;&gt;0,R67=0),S65,
IF(AND(S66&lt;&gt;0,R67&lt;&gt;0),(R67-(R67/R91))+S65,
IF(R91&lt;1,0,(R67-(R67/R91))))))</f>
        <v>0</v>
      </c>
      <c r="T67" s="1423">
        <f t="shared" ref="T67" ca="1" si="47">IF(AND(T65=0,S67=0),0,
IF(AND(T65&lt;&gt;0,S67=0),T65,
IF(AND(T66&lt;&gt;0,S67&lt;&gt;0),(S67-(S67/S91))+T65,
IF(S91&lt;1,0,(S67-(S67/S91))))))</f>
        <v>0</v>
      </c>
      <c r="U67" s="1423">
        <f t="shared" ref="U67" ca="1" si="48">IF(AND(U65=0,T67=0),0,
IF(AND(U65&lt;&gt;0,T67=0),U65,
IF(AND(U66&lt;&gt;0,T67&lt;&gt;0),(T67-(T67/T91))+U65,
IF(T91&lt;1,0,(T67-(T67/T91))))))</f>
        <v>0</v>
      </c>
      <c r="V67" s="1423">
        <f t="shared" ref="V67" ca="1" si="49">IF(AND(V65=0,U67=0),0,
IF(AND(V65&lt;&gt;0,U67=0),V65,
IF(AND(V66&lt;&gt;0,U67&lt;&gt;0),(U67-(U67/U91))+V65,
IF(U91&lt;1,0,(U67-(U67/U91))))))</f>
        <v>0</v>
      </c>
      <c r="W67" s="1423">
        <f t="shared" ref="W67" ca="1" si="50">IF(AND(W65=0,V67=0),0,
IF(AND(W65&lt;&gt;0,V67=0),W65,
IF(AND(W66&lt;&gt;0,V67&lt;&gt;0),(V67-(V67/V91))+W65,
IF(V91&lt;1,0,(V67-(V67/V91))))))</f>
        <v>0</v>
      </c>
      <c r="X67" s="152"/>
      <c r="Y67" s="152"/>
      <c r="Z67" s="152"/>
      <c r="AA67" s="152"/>
      <c r="AB67" s="152"/>
    </row>
    <row r="68" spans="1:28" ht="12.75" hidden="1" customHeight="1" outlineLevel="1">
      <c r="A68" s="199">
        <f>A67+1</f>
        <v>0</v>
      </c>
      <c r="B68" s="190" t="s">
        <v>527</v>
      </c>
      <c r="C68" s="1423">
        <f ca="1">C63</f>
        <v>44.656863616280049</v>
      </c>
      <c r="D68" s="1423">
        <f ca="1">IF(C92="n/a",C68,IFERROR(IF((OFFSET($C68,0,$A68))&lt;0,
MIN(0,C68-(OFFSET($C68,0,$A68)/(OFFSET($C63,-$A67,$A68)))),
MAX(0,C68-(OFFSET($C68,0,$A68)/(OFFSET($C63,-$A67,$A68))))),0))</f>
        <v>41.719310803188961</v>
      </c>
      <c r="E68" s="1423">
        <f t="shared" ref="E68" ca="1" si="51">IF(D92="n/a",D68,IFERROR(IF((OFFSET($C68,0,$A68))&lt;0,
MIN(0,D68-(OFFSET($C68,0,$A68)/(OFFSET($C63,-$A67,$A68)))),
MAX(0,D68-(OFFSET($C68,0,$A68)/(OFFSET($C63,-$A67,$A68))))),0))</f>
        <v>38.781757990097873</v>
      </c>
      <c r="F68" s="1423">
        <f t="shared" ref="F68:F69" ca="1" si="52">IF(E92="n/a",E68,IFERROR(IF((OFFSET($C68,0,$A68))&lt;0,
MIN(0,E68-(OFFSET($C68,0,$A68)/(OFFSET($C63,-$A67,$A68)))),
MAX(0,E68-(OFFSET($C68,0,$A68)/(OFFSET($C63,-$A67,$A68))))),0))</f>
        <v>35.844205177006785</v>
      </c>
      <c r="G68" s="1423">
        <f t="shared" ref="G68:G70" ca="1" si="53">IF(F92="n/a",F68,IFERROR(IF((OFFSET($C68,0,$A68))&lt;0,
MIN(0,F68-(OFFSET($C68,0,$A68)/(OFFSET($C63,-$A67,$A68)))),
MAX(0,F68-(OFFSET($C68,0,$A68)/(OFFSET($C63,-$A67,$A68))))),0))</f>
        <v>32.906652363915697</v>
      </c>
      <c r="H68" s="1423">
        <f t="shared" ref="H68:H71" ca="1" si="54">IF(G92="n/a",G68,IFERROR(IF((OFFSET($C68,0,$A68))&lt;0,
MIN(0,G68-(OFFSET($C68,0,$A68)/(OFFSET($C63,-$A67,$A68)))),
MAX(0,G68-(OFFSET($C68,0,$A68)/(OFFSET($C63,-$A67,$A68))))),0))</f>
        <v>29.969099550824605</v>
      </c>
      <c r="I68" s="1423">
        <f t="shared" ref="I68:I72" ca="1" si="55">IF(H92="n/a",H68,IFERROR(IF((OFFSET($C68,0,$A68))&lt;0,
MIN(0,H68-(OFFSET($C68,0,$A68)/(OFFSET($C63,-$A67,$A68)))),
MAX(0,H68-(OFFSET($C68,0,$A68)/(OFFSET($C63,-$A67,$A68))))),0))</f>
        <v>27.031546737733514</v>
      </c>
      <c r="J68" s="1423">
        <f t="shared" ref="J68:J73" ca="1" si="56">IF(I92="n/a",I68,IFERROR(IF((OFFSET($C68,0,$A68))&lt;0,
MIN(0,I68-(OFFSET($C68,0,$A68)/(OFFSET($C63,-$A67,$A68)))),
MAX(0,I68-(OFFSET($C68,0,$A68)/(OFFSET($C63,-$A67,$A68))))),0))</f>
        <v>24.093993924642422</v>
      </c>
      <c r="K68" s="1423">
        <f t="shared" ref="K68:K74" ca="1" si="57">IF(J92="n/a",J68,IFERROR(IF((OFFSET($C68,0,$A68))&lt;0,
MIN(0,J68-(OFFSET($C68,0,$A68)/(OFFSET($C63,-$A67,$A68)))),
MAX(0,J68-(OFFSET($C68,0,$A68)/(OFFSET($C63,-$A67,$A68))))),0))</f>
        <v>21.156441111551331</v>
      </c>
      <c r="L68" s="1423">
        <f t="shared" ref="L68:L75" ca="1" si="58">IF(K92="n/a",K68,IFERROR(IF((OFFSET($C68,0,$A68))&lt;0,
MIN(0,K68-(OFFSET($C68,0,$A68)/(OFFSET($C63,-$A67,$A68)))),
MAX(0,K68-(OFFSET($C68,0,$A68)/(OFFSET($C63,-$A67,$A68))))),0))</f>
        <v>18.218888298460239</v>
      </c>
      <c r="M68" s="1423">
        <f t="shared" ref="M68:M76" ca="1" si="59">IF(L92="n/a",L68,IFERROR(IF((OFFSET($C68,0,$A68))&lt;0,
MIN(0,L68-(OFFSET($C68,0,$A68)/(OFFSET($C63,-$A67,$A68)))),
MAX(0,L68-(OFFSET($C68,0,$A68)/(OFFSET($C63,-$A67,$A68))))),0))</f>
        <v>15.281335485369148</v>
      </c>
      <c r="N68" s="1423">
        <f t="shared" ref="N68:N77" ca="1" si="60">IF(M92="n/a",M68,IFERROR(IF((OFFSET($C68,0,$A68))&lt;0,
MIN(0,M68-(OFFSET($C68,0,$A68)/(OFFSET($C63,-$A67,$A68)))),
MAX(0,M68-(OFFSET($C68,0,$A68)/(OFFSET($C63,-$A67,$A68))))),0))</f>
        <v>12.343782672278056</v>
      </c>
      <c r="O68" s="1423">
        <f t="shared" ref="O68:O78" ca="1" si="61">IF(N92="n/a",N68,IFERROR(IF((OFFSET($C68,0,$A68))&lt;0,
MIN(0,N68-(OFFSET($C68,0,$A68)/(OFFSET($C63,-$A67,$A68)))),
MAX(0,N68-(OFFSET($C68,0,$A68)/(OFFSET($C63,-$A67,$A68))))),0))</f>
        <v>9.4062298591869649</v>
      </c>
      <c r="P68" s="1423">
        <f t="shared" ref="P68:P79" ca="1" si="62">IF(O92="n/a",O68,IFERROR(IF((OFFSET($C68,0,$A68))&lt;0,
MIN(0,O68-(OFFSET($C68,0,$A68)/(OFFSET($C63,-$A67,$A68)))),
MAX(0,O68-(OFFSET($C68,0,$A68)/(OFFSET($C63,-$A67,$A68))))),0))</f>
        <v>6.4686770460958742</v>
      </c>
      <c r="Q68" s="1423">
        <f t="shared" ref="Q68:Q80" ca="1" si="63">IF(P92="n/a",P68,IFERROR(IF((OFFSET($C68,0,$A68))&lt;0,
MIN(0,P68-(OFFSET($C68,0,$A68)/(OFFSET($C63,-$A67,$A68)))),
MAX(0,P68-(OFFSET($C68,0,$A68)/(OFFSET($C63,-$A67,$A68))))),0))</f>
        <v>3.5311242330047836</v>
      </c>
      <c r="R68" s="1423">
        <f t="shared" ref="R68:R81" ca="1" si="64">IF(Q92="n/a",Q68,IFERROR(IF((OFFSET($C68,0,$A68))&lt;0,
MIN(0,Q68-(OFFSET($C68,0,$A68)/(OFFSET($C63,-$A67,$A68)))),
MAX(0,Q68-(OFFSET($C68,0,$A68)/(OFFSET($C63,-$A67,$A68))))),0))</f>
        <v>0.593571419913693</v>
      </c>
      <c r="S68" s="1423">
        <f t="shared" ref="S68:S82" ca="1" si="65">IF(R92="n/a",R68,IFERROR(IF((OFFSET($C68,0,$A68))&lt;0,
MIN(0,R68-(OFFSET($C68,0,$A68)/(OFFSET($C63,-$A67,$A68)))),
MAX(0,R68-(OFFSET($C68,0,$A68)/(OFFSET($C63,-$A67,$A68))))),0))</f>
        <v>0</v>
      </c>
      <c r="T68" s="1423">
        <f t="shared" ref="T68:T83" ca="1" si="66">IF(S92="n/a",S68,IFERROR(IF((OFFSET($C68,0,$A68))&lt;0,
MIN(0,S68-(OFFSET($C68,0,$A68)/(OFFSET($C63,-$A67,$A68)))),
MAX(0,S68-(OFFSET($C68,0,$A68)/(OFFSET($C63,-$A67,$A68))))),0))</f>
        <v>0</v>
      </c>
      <c r="U68" s="1423">
        <f t="shared" ref="U68:U84" ca="1" si="67">IF(T92="n/a",T68,IFERROR(IF((OFFSET($C68,0,$A68))&lt;0,
MIN(0,T68-(OFFSET($C68,0,$A68)/(OFFSET($C63,-$A67,$A68)))),
MAX(0,T68-(OFFSET($C68,0,$A68)/(OFFSET($C63,-$A67,$A68))))),0))</f>
        <v>0</v>
      </c>
      <c r="V68" s="1423">
        <f t="shared" ref="V68:V85" ca="1" si="68">IF(U92="n/a",U68,IFERROR(IF((OFFSET($C68,0,$A68))&lt;0,
MIN(0,U68-(OFFSET($C68,0,$A68)/(OFFSET($C63,-$A67,$A68)))),
MAX(0,U68-(OFFSET($C68,0,$A68)/(OFFSET($C63,-$A67,$A68))))),0))</f>
        <v>0</v>
      </c>
      <c r="W68" s="1423">
        <f t="shared" ref="W68:W86" ca="1" si="69">IF(V92="n/a",V68,IFERROR(IF((OFFSET($C68,0,$A68))&lt;0,
MIN(0,V68-(OFFSET($C68,0,$A68)/(OFFSET($C63,-$A67,$A68)))),
MAX(0,V68-(OFFSET($C68,0,$A68)/(OFFSET($C63,-$A67,$A68))))),0))</f>
        <v>0</v>
      </c>
      <c r="X68" s="152"/>
      <c r="Y68" s="152"/>
      <c r="Z68" s="152"/>
      <c r="AA68" s="152"/>
      <c r="AB68" s="152"/>
    </row>
    <row r="69" spans="1:28" ht="12.75" hidden="1" customHeight="1" outlineLevel="1">
      <c r="A69" s="199">
        <f t="shared" ref="A69:A88" si="70">A68+1</f>
        <v>1</v>
      </c>
      <c r="B69" s="190" t="str">
        <f t="shared" ref="B69:B88" ca="1" si="71">"Depreciated Net Capex "&amp;OFFSET($C$6,0,A69)</f>
        <v>Depreciated Net Capex 2016-17</v>
      </c>
      <c r="C69" s="1424"/>
      <c r="D69" s="1425">
        <f>D63</f>
        <v>5.0805792841198203</v>
      </c>
      <c r="E69" s="1423">
        <f ca="1">IF(D93="n/a",D69,IFERROR(IF((OFFSET($C69,0,$A69))&lt;0,
MIN(0,D69-(OFFSET($C69,0,$A69)/(OFFSET($C64,-$A68,$A69)))),
MAX(0,D69-(OFFSET($C69,0,$A69)/(OFFSET($C64,-$A68,$A69))))),0))</f>
        <v>4.8265503199138289</v>
      </c>
      <c r="F69" s="1423">
        <f t="shared" ca="1" si="52"/>
        <v>4.5725213557078375</v>
      </c>
      <c r="G69" s="1423">
        <f t="shared" ca="1" si="53"/>
        <v>4.3184923915018461</v>
      </c>
      <c r="H69" s="1423">
        <f t="shared" ca="1" si="54"/>
        <v>4.0644634272958546</v>
      </c>
      <c r="I69" s="1423">
        <f t="shared" ca="1" si="55"/>
        <v>3.8104344630898637</v>
      </c>
      <c r="J69" s="1423">
        <f t="shared" ca="1" si="56"/>
        <v>3.5564054988838727</v>
      </c>
      <c r="K69" s="1423">
        <f t="shared" ca="1" si="57"/>
        <v>3.3023765346778817</v>
      </c>
      <c r="L69" s="1423">
        <f t="shared" ca="1" si="58"/>
        <v>3.0483475704718908</v>
      </c>
      <c r="M69" s="1423">
        <f t="shared" ca="1" si="59"/>
        <v>2.7943186062658998</v>
      </c>
      <c r="N69" s="1423">
        <f t="shared" ca="1" si="60"/>
        <v>2.5402896420599088</v>
      </c>
      <c r="O69" s="1423">
        <f t="shared" ca="1" si="61"/>
        <v>2.2862606778539178</v>
      </c>
      <c r="P69" s="1423">
        <f t="shared" ca="1" si="62"/>
        <v>2.0322317136479269</v>
      </c>
      <c r="Q69" s="1423">
        <f t="shared" ca="1" si="63"/>
        <v>1.7782027494419359</v>
      </c>
      <c r="R69" s="1423">
        <f t="shared" ca="1" si="64"/>
        <v>1.5241737852359449</v>
      </c>
      <c r="S69" s="1423">
        <f t="shared" ca="1" si="65"/>
        <v>1.270144821029954</v>
      </c>
      <c r="T69" s="1423">
        <f t="shared" ca="1" si="66"/>
        <v>1.016115856823963</v>
      </c>
      <c r="U69" s="1423">
        <f t="shared" ca="1" si="67"/>
        <v>0.76208689261797202</v>
      </c>
      <c r="V69" s="1423">
        <f t="shared" ca="1" si="68"/>
        <v>0.50805792841198105</v>
      </c>
      <c r="W69" s="1423">
        <f t="shared" ca="1" si="69"/>
        <v>0.25402896420599003</v>
      </c>
      <c r="X69" s="152"/>
      <c r="Y69" s="152"/>
      <c r="Z69" s="152"/>
      <c r="AA69" s="152"/>
      <c r="AB69" s="152"/>
    </row>
    <row r="70" spans="1:28" ht="12.75" hidden="1" customHeight="1" outlineLevel="1">
      <c r="A70" s="199">
        <f t="shared" si="70"/>
        <v>2</v>
      </c>
      <c r="B70" s="190" t="str">
        <f t="shared" ca="1" si="71"/>
        <v>Depreciated Net Capex 2017-18</v>
      </c>
      <c r="C70" s="1426"/>
      <c r="D70" s="1427"/>
      <c r="E70" s="1425">
        <f>E63</f>
        <v>5.4560820744449376</v>
      </c>
      <c r="F70" s="1423">
        <f ca="1">IF(E94="n/a",E70,IFERROR(IF((OFFSET($C70,0,$A70))&lt;0,
MIN(0,E70-(OFFSET($C70,0,$A70)/(OFFSET($C65,-$A69,$A70)))),
MAX(0,E70-(OFFSET($C70,0,$A70)/(OFFSET($C65,-$A69,$A70))))),0))</f>
        <v>5.183277970722691</v>
      </c>
      <c r="G70" s="1423">
        <f t="shared" ca="1" si="53"/>
        <v>4.9104738670004444</v>
      </c>
      <c r="H70" s="1423">
        <f t="shared" ca="1" si="54"/>
        <v>4.6376697632781978</v>
      </c>
      <c r="I70" s="1423">
        <f t="shared" ca="1" si="55"/>
        <v>4.3648656595559512</v>
      </c>
      <c r="J70" s="1423">
        <f t="shared" ca="1" si="56"/>
        <v>4.0920615558337046</v>
      </c>
      <c r="K70" s="1423">
        <f t="shared" ca="1" si="57"/>
        <v>3.8192574521114575</v>
      </c>
      <c r="L70" s="1423">
        <f t="shared" ca="1" si="58"/>
        <v>3.5464533483892104</v>
      </c>
      <c r="M70" s="1423">
        <f t="shared" ca="1" si="59"/>
        <v>3.2736492446669634</v>
      </c>
      <c r="N70" s="1423">
        <f t="shared" ca="1" si="60"/>
        <v>3.0008451409447163</v>
      </c>
      <c r="O70" s="1423">
        <f t="shared" ca="1" si="61"/>
        <v>2.7280410372224693</v>
      </c>
      <c r="P70" s="1423">
        <f t="shared" ca="1" si="62"/>
        <v>2.4552369335002222</v>
      </c>
      <c r="Q70" s="1423">
        <f t="shared" ca="1" si="63"/>
        <v>2.1824328297779751</v>
      </c>
      <c r="R70" s="1423">
        <f t="shared" ca="1" si="64"/>
        <v>1.9096287260557283</v>
      </c>
      <c r="S70" s="1423">
        <f t="shared" ca="1" si="65"/>
        <v>1.6368246223334815</v>
      </c>
      <c r="T70" s="1423">
        <f t="shared" ca="1" si="66"/>
        <v>1.3640205186112346</v>
      </c>
      <c r="U70" s="1423">
        <f t="shared" ca="1" si="67"/>
        <v>1.0912164148889878</v>
      </c>
      <c r="V70" s="1423">
        <f t="shared" ca="1" si="68"/>
        <v>0.81841231116674096</v>
      </c>
      <c r="W70" s="1423">
        <f t="shared" ca="1" si="69"/>
        <v>0.54560820744449412</v>
      </c>
      <c r="X70" s="202"/>
      <c r="Y70" s="152"/>
      <c r="Z70" s="152"/>
      <c r="AA70" s="152"/>
      <c r="AB70" s="152"/>
    </row>
    <row r="71" spans="1:28" ht="12.75" hidden="1" customHeight="1" outlineLevel="1">
      <c r="A71" s="199">
        <f t="shared" si="70"/>
        <v>3</v>
      </c>
      <c r="B71" s="190" t="str">
        <f t="shared" ca="1" si="71"/>
        <v>Depreciated Net Capex 2018-19</v>
      </c>
      <c r="C71" s="1426"/>
      <c r="D71" s="1426"/>
      <c r="E71" s="1427"/>
      <c r="F71" s="1428">
        <f>F63</f>
        <v>5.8461758780051181</v>
      </c>
      <c r="G71" s="1423">
        <f ca="1">IF(F95="n/a",F71,IFERROR(IF((OFFSET($C71,0,$A71))&lt;0,
MIN(0,F71-(OFFSET($C71,0,$A71)/(OFFSET($C66,-$A70,$A71)))),
MAX(0,F71-(OFFSET($C71,0,$A71)/(OFFSET($C66,-$A70,$A71))))),0))</f>
        <v>5.5538670841048621</v>
      </c>
      <c r="H71" s="1423">
        <f t="shared" ca="1" si="54"/>
        <v>5.2615582902046061</v>
      </c>
      <c r="I71" s="1423">
        <f t="shared" ca="1" si="55"/>
        <v>4.9692494963043501</v>
      </c>
      <c r="J71" s="1423">
        <f t="shared" ca="1" si="56"/>
        <v>4.6769407024040941</v>
      </c>
      <c r="K71" s="1423">
        <f t="shared" ca="1" si="57"/>
        <v>4.3846319085038381</v>
      </c>
      <c r="L71" s="1423">
        <f t="shared" ca="1" si="58"/>
        <v>4.0923231146035821</v>
      </c>
      <c r="M71" s="1423">
        <f t="shared" ca="1" si="59"/>
        <v>3.8000143207033261</v>
      </c>
      <c r="N71" s="1423">
        <f t="shared" ca="1" si="60"/>
        <v>3.5077055268030701</v>
      </c>
      <c r="O71" s="1423">
        <f t="shared" ca="1" si="61"/>
        <v>3.2153967329028141</v>
      </c>
      <c r="P71" s="1423">
        <f t="shared" ca="1" si="62"/>
        <v>2.9230879390025581</v>
      </c>
      <c r="Q71" s="1423">
        <f t="shared" ca="1" si="63"/>
        <v>2.6307791451023022</v>
      </c>
      <c r="R71" s="1423">
        <f t="shared" ca="1" si="64"/>
        <v>2.3384703512020462</v>
      </c>
      <c r="S71" s="1423">
        <f t="shared" ca="1" si="65"/>
        <v>2.0461615573017902</v>
      </c>
      <c r="T71" s="1423">
        <f t="shared" ca="1" si="66"/>
        <v>1.7538527634015342</v>
      </c>
      <c r="U71" s="1423">
        <f t="shared" ca="1" si="67"/>
        <v>1.4615439695012782</v>
      </c>
      <c r="V71" s="1423">
        <f t="shared" ca="1" si="68"/>
        <v>1.1692351756010222</v>
      </c>
      <c r="W71" s="1423">
        <f t="shared" ca="1" si="69"/>
        <v>0.87692638170076631</v>
      </c>
      <c r="X71" s="202"/>
      <c r="Y71" s="202"/>
      <c r="Z71" s="152"/>
      <c r="AA71" s="152"/>
      <c r="AB71" s="152"/>
    </row>
    <row r="72" spans="1:28" ht="12.75" hidden="1" customHeight="1" outlineLevel="1">
      <c r="A72" s="199">
        <f t="shared" si="70"/>
        <v>4</v>
      </c>
      <c r="B72" s="190" t="str">
        <f t="shared" ca="1" si="71"/>
        <v>Depreciated Net Capex 2019-20</v>
      </c>
      <c r="C72" s="1426"/>
      <c r="D72" s="1426"/>
      <c r="E72" s="1426"/>
      <c r="F72" s="1427"/>
      <c r="G72" s="1428">
        <f>G63</f>
        <v>5.1741811968704745</v>
      </c>
      <c r="H72" s="1423">
        <f ca="1">IF(G96="n/a",G72,IFERROR(IF((OFFSET($C72,0,$A72))&lt;0,
MIN(0,G72-(OFFSET($C72,0,$A72)/(OFFSET($C67,-$A71,$A72)))),
MAX(0,G72-(OFFSET($C72,0,$A72)/(OFFSET($C67,-$A71,$A72))))),0))</f>
        <v>4.915472137026951</v>
      </c>
      <c r="I72" s="1423">
        <f t="shared" ca="1" si="55"/>
        <v>4.6567630771834274</v>
      </c>
      <c r="J72" s="1423">
        <f t="shared" ca="1" si="56"/>
        <v>4.3980540173399039</v>
      </c>
      <c r="K72" s="1423">
        <f t="shared" ca="1" si="57"/>
        <v>4.1393449574963803</v>
      </c>
      <c r="L72" s="1423">
        <f t="shared" ca="1" si="58"/>
        <v>3.8806358976528568</v>
      </c>
      <c r="M72" s="1423">
        <f t="shared" ca="1" si="59"/>
        <v>3.6219268378093332</v>
      </c>
      <c r="N72" s="1423">
        <f t="shared" ca="1" si="60"/>
        <v>3.3632177779658097</v>
      </c>
      <c r="O72" s="1423">
        <f t="shared" ca="1" si="61"/>
        <v>3.1045087181222861</v>
      </c>
      <c r="P72" s="1423">
        <f t="shared" ca="1" si="62"/>
        <v>2.8457996582787626</v>
      </c>
      <c r="Q72" s="1423">
        <f t="shared" ca="1" si="63"/>
        <v>2.587090598435239</v>
      </c>
      <c r="R72" s="1423">
        <f t="shared" ca="1" si="64"/>
        <v>2.3283815385917155</v>
      </c>
      <c r="S72" s="1423">
        <f t="shared" ca="1" si="65"/>
        <v>2.0696724787481919</v>
      </c>
      <c r="T72" s="1423">
        <f t="shared" ca="1" si="66"/>
        <v>1.8109634189046682</v>
      </c>
      <c r="U72" s="1423">
        <f t="shared" ca="1" si="67"/>
        <v>1.5522543590611444</v>
      </c>
      <c r="V72" s="1423">
        <f t="shared" ca="1" si="68"/>
        <v>1.2935452992176206</v>
      </c>
      <c r="W72" s="1423">
        <f t="shared" ca="1" si="69"/>
        <v>1.0348362393740969</v>
      </c>
      <c r="X72" s="202"/>
      <c r="Y72" s="202"/>
      <c r="Z72" s="202"/>
      <c r="AA72" s="152"/>
      <c r="AB72" s="152"/>
    </row>
    <row r="73" spans="1:28" ht="12.75" hidden="1" customHeight="1" outlineLevel="1">
      <c r="A73" s="199">
        <f t="shared" si="70"/>
        <v>5</v>
      </c>
      <c r="B73" s="190" t="str">
        <f t="shared" ca="1" si="71"/>
        <v>Depreciated Net Capex 2020-21</v>
      </c>
      <c r="C73" s="1426"/>
      <c r="D73" s="1426"/>
      <c r="E73" s="1426"/>
      <c r="F73" s="1426"/>
      <c r="G73" s="1427"/>
      <c r="H73" s="1428">
        <f>H63</f>
        <v>5.8341937754290756</v>
      </c>
      <c r="I73" s="1423">
        <f ca="1">IF(H97="n/a",H73,IFERROR(IF((OFFSET($C73,0,$A73))&lt;0,
MIN(0,H73-(OFFSET($C73,0,$A73)/(OFFSET($C68,-$A72,$A73)))),
MAX(0,H73-(OFFSET($C73,0,$A73)/(OFFSET($C68,-$A72,$A73))))),0))</f>
        <v>5.5424840866576215</v>
      </c>
      <c r="J73" s="1423">
        <f t="shared" ca="1" si="56"/>
        <v>5.2507743978861674</v>
      </c>
      <c r="K73" s="1423">
        <f t="shared" ca="1" si="57"/>
        <v>4.9590647091147133</v>
      </c>
      <c r="L73" s="1423">
        <f t="shared" ca="1" si="58"/>
        <v>4.6673550203432592</v>
      </c>
      <c r="M73" s="1423">
        <f t="shared" ca="1" si="59"/>
        <v>4.3756453315718051</v>
      </c>
      <c r="N73" s="1423">
        <f t="shared" ca="1" si="60"/>
        <v>4.083935642800351</v>
      </c>
      <c r="O73" s="1423">
        <f t="shared" ca="1" si="61"/>
        <v>3.7922259540288974</v>
      </c>
      <c r="P73" s="1423">
        <f t="shared" ca="1" si="62"/>
        <v>3.5005162652574437</v>
      </c>
      <c r="Q73" s="1423">
        <f t="shared" ca="1" si="63"/>
        <v>3.2088065764859901</v>
      </c>
      <c r="R73" s="1423">
        <f t="shared" ca="1" si="64"/>
        <v>2.9170968877145365</v>
      </c>
      <c r="S73" s="1423">
        <f t="shared" ca="1" si="65"/>
        <v>2.6253871989430828</v>
      </c>
      <c r="T73" s="1423">
        <f t="shared" ca="1" si="66"/>
        <v>2.3336775101716292</v>
      </c>
      <c r="U73" s="1423">
        <f t="shared" ca="1" si="67"/>
        <v>2.0419678214001755</v>
      </c>
      <c r="V73" s="1423">
        <f t="shared" ca="1" si="68"/>
        <v>1.7502581326287219</v>
      </c>
      <c r="W73" s="1423">
        <f t="shared" ca="1" si="69"/>
        <v>1.4585484438572682</v>
      </c>
      <c r="X73" s="202"/>
      <c r="Y73" s="202"/>
      <c r="Z73" s="202"/>
      <c r="AA73" s="152"/>
      <c r="AB73" s="152"/>
    </row>
    <row r="74" spans="1:28" ht="12.75" hidden="1" customHeight="1" outlineLevel="1">
      <c r="A74" s="199">
        <f t="shared" si="70"/>
        <v>6</v>
      </c>
      <c r="B74" s="190" t="str">
        <f t="shared" ca="1" si="71"/>
        <v>Depreciated Net Capex 2021-22</v>
      </c>
      <c r="C74" s="1426"/>
      <c r="D74" s="1426"/>
      <c r="E74" s="1426"/>
      <c r="F74" s="1426"/>
      <c r="G74" s="1426"/>
      <c r="H74" s="1427"/>
      <c r="I74" s="1428">
        <f>I63</f>
        <v>4.5710757538187599</v>
      </c>
      <c r="J74" s="1423">
        <f ca="1">IF(I98="n/a",I74,IFERROR(IF((OFFSET($C74,0,$A74))&lt;0,
MIN(0,I74-(OFFSET($C74,0,$A74)/(OFFSET($C69,-$A73,$A74)))),
MAX(0,I74-(OFFSET($C74,0,$A74)/(OFFSET($C69,-$A73,$A74))))),0))</f>
        <v>4.3425219661278218</v>
      </c>
      <c r="K74" s="1423">
        <f t="shared" ca="1" si="57"/>
        <v>4.1139681784368838</v>
      </c>
      <c r="L74" s="1423">
        <f t="shared" ca="1" si="58"/>
        <v>3.8854143907459457</v>
      </c>
      <c r="M74" s="1423">
        <f t="shared" ca="1" si="59"/>
        <v>3.6568606030550077</v>
      </c>
      <c r="N74" s="1423">
        <f t="shared" ca="1" si="60"/>
        <v>3.4283068153640697</v>
      </c>
      <c r="O74" s="1423">
        <f t="shared" ca="1" si="61"/>
        <v>3.1997530276731316</v>
      </c>
      <c r="P74" s="1423">
        <f t="shared" ca="1" si="62"/>
        <v>2.9711992399821936</v>
      </c>
      <c r="Q74" s="1423">
        <f t="shared" ca="1" si="63"/>
        <v>2.7426454522912556</v>
      </c>
      <c r="R74" s="1423">
        <f t="shared" ca="1" si="64"/>
        <v>2.5140916646003175</v>
      </c>
      <c r="S74" s="1423">
        <f t="shared" ca="1" si="65"/>
        <v>2.2855378769093795</v>
      </c>
      <c r="T74" s="1423">
        <f t="shared" ca="1" si="66"/>
        <v>2.0569840892184414</v>
      </c>
      <c r="U74" s="1423">
        <f t="shared" ca="1" si="67"/>
        <v>1.8284303015275034</v>
      </c>
      <c r="V74" s="1423">
        <f t="shared" ca="1" si="68"/>
        <v>1.5998765138365654</v>
      </c>
      <c r="W74" s="1423">
        <f t="shared" ca="1" si="69"/>
        <v>1.3713227261456273</v>
      </c>
      <c r="X74" s="202"/>
      <c r="Y74" s="202"/>
      <c r="Z74" s="202"/>
      <c r="AA74" s="152"/>
      <c r="AB74" s="152"/>
    </row>
    <row r="75" spans="1:28" ht="12.75" hidden="1" customHeight="1" outlineLevel="1">
      <c r="A75" s="199">
        <f t="shared" si="70"/>
        <v>7</v>
      </c>
      <c r="B75" s="190" t="str">
        <f t="shared" ca="1" si="71"/>
        <v>Depreciated Net Capex 2022-23</v>
      </c>
      <c r="C75" s="1426"/>
      <c r="D75" s="1426"/>
      <c r="E75" s="1426"/>
      <c r="F75" s="1426"/>
      <c r="G75" s="1426"/>
      <c r="H75" s="1426"/>
      <c r="I75" s="1427"/>
      <c r="J75" s="1428">
        <f>J63</f>
        <v>2.7442209566156053</v>
      </c>
      <c r="K75" s="1423">
        <f ca="1">IF(J99="n/a",J75,IFERROR(IF((OFFSET($C75,0,$A75))&lt;0,
MIN(0,J75-(OFFSET($C75,0,$A75)/(OFFSET($C70,-$A74,$A75)))),
MAX(0,J75-(OFFSET($C75,0,$A75)/(OFFSET($C70,-$A74,$A75))))),0))</f>
        <v>2.6070099087848249</v>
      </c>
      <c r="L75" s="1423">
        <f t="shared" ca="1" si="58"/>
        <v>2.4697988609540444</v>
      </c>
      <c r="M75" s="1423">
        <f t="shared" ca="1" si="59"/>
        <v>2.332587813123264</v>
      </c>
      <c r="N75" s="1423">
        <f t="shared" ca="1" si="60"/>
        <v>2.1953767652924836</v>
      </c>
      <c r="O75" s="1423">
        <f t="shared" ca="1" si="61"/>
        <v>2.0581657174617032</v>
      </c>
      <c r="P75" s="1423">
        <f t="shared" ca="1" si="62"/>
        <v>1.920954669630923</v>
      </c>
      <c r="Q75" s="1423">
        <f t="shared" ca="1" si="63"/>
        <v>1.7837436218001428</v>
      </c>
      <c r="R75" s="1423">
        <f t="shared" ca="1" si="64"/>
        <v>1.6465325739693626</v>
      </c>
      <c r="S75" s="1423">
        <f t="shared" ca="1" si="65"/>
        <v>1.5093215261385824</v>
      </c>
      <c r="T75" s="1423">
        <f t="shared" ca="1" si="66"/>
        <v>1.3721104783078022</v>
      </c>
      <c r="U75" s="1423">
        <f t="shared" ca="1" si="67"/>
        <v>1.234899430477022</v>
      </c>
      <c r="V75" s="1423">
        <f t="shared" ca="1" si="68"/>
        <v>1.0976883826462418</v>
      </c>
      <c r="W75" s="1423">
        <f t="shared" ca="1" si="69"/>
        <v>0.9604773348154616</v>
      </c>
      <c r="X75" s="202"/>
      <c r="Y75" s="202"/>
      <c r="Z75" s="202"/>
      <c r="AA75" s="152"/>
      <c r="AB75" s="152"/>
    </row>
    <row r="76" spans="1:28" ht="12.75" hidden="1" customHeight="1" outlineLevel="1">
      <c r="A76" s="199">
        <f t="shared" si="70"/>
        <v>8</v>
      </c>
      <c r="B76" s="190" t="str">
        <f t="shared" ca="1" si="71"/>
        <v>Depreciated Net Capex 2023-24</v>
      </c>
      <c r="C76" s="1426"/>
      <c r="D76" s="1426"/>
      <c r="E76" s="1426"/>
      <c r="F76" s="1426"/>
      <c r="G76" s="1426"/>
      <c r="H76" s="1426"/>
      <c r="I76" s="1426"/>
      <c r="J76" s="1427"/>
      <c r="K76" s="1428">
        <f>K63</f>
        <v>0</v>
      </c>
      <c r="L76" s="1423">
        <f ca="1">IF(K100="n/a",K76,IFERROR(IF((OFFSET($C76,0,$A76))&lt;0,
MIN(0,K76-(OFFSET($C76,0,$A76)/(OFFSET($C71,-$A75,$A76)))),
MAX(0,K76-(OFFSET($C76,0,$A76)/(OFFSET($C71,-$A75,$A76))))),0))</f>
        <v>0</v>
      </c>
      <c r="M76" s="1423">
        <f t="shared" ca="1" si="59"/>
        <v>0</v>
      </c>
      <c r="N76" s="1423">
        <f t="shared" ca="1" si="60"/>
        <v>0</v>
      </c>
      <c r="O76" s="1423">
        <f t="shared" ca="1" si="61"/>
        <v>0</v>
      </c>
      <c r="P76" s="1423">
        <f t="shared" ca="1" si="62"/>
        <v>0</v>
      </c>
      <c r="Q76" s="1423">
        <f t="shared" ca="1" si="63"/>
        <v>0</v>
      </c>
      <c r="R76" s="1423">
        <f t="shared" ca="1" si="64"/>
        <v>0</v>
      </c>
      <c r="S76" s="1423">
        <f t="shared" ca="1" si="65"/>
        <v>0</v>
      </c>
      <c r="T76" s="1423">
        <f t="shared" ca="1" si="66"/>
        <v>0</v>
      </c>
      <c r="U76" s="1423">
        <f t="shared" ca="1" si="67"/>
        <v>0</v>
      </c>
      <c r="V76" s="1423">
        <f t="shared" ca="1" si="68"/>
        <v>0</v>
      </c>
      <c r="W76" s="1423">
        <f t="shared" ca="1" si="69"/>
        <v>0</v>
      </c>
      <c r="X76" s="202"/>
      <c r="Y76" s="202"/>
      <c r="Z76" s="202"/>
      <c r="AA76" s="152"/>
      <c r="AB76" s="152"/>
    </row>
    <row r="77" spans="1:28" ht="12.75" hidden="1" customHeight="1" outlineLevel="1">
      <c r="A77" s="199">
        <f t="shared" si="70"/>
        <v>9</v>
      </c>
      <c r="B77" s="190" t="str">
        <f t="shared" ca="1" si="71"/>
        <v>Depreciated Net Capex 2024-25</v>
      </c>
      <c r="C77" s="1426"/>
      <c r="D77" s="1426"/>
      <c r="E77" s="1426"/>
      <c r="F77" s="1426"/>
      <c r="G77" s="1426"/>
      <c r="H77" s="1426"/>
      <c r="I77" s="1426"/>
      <c r="J77" s="1426"/>
      <c r="K77" s="1427"/>
      <c r="L77" s="1428">
        <f>L63</f>
        <v>0</v>
      </c>
      <c r="M77" s="1423">
        <f ca="1">IF(L101="n/a",L77,IFERROR(IF((OFFSET($C77,0,$A77))&lt;0,
MIN(0,L77-(OFFSET($C77,0,$A77)/(OFFSET($C72,-$A76,$A77)))),
MAX(0,L77-(OFFSET($C77,0,$A77)/(OFFSET($C72,-$A76,$A77))))),0))</f>
        <v>0</v>
      </c>
      <c r="N77" s="1423">
        <f t="shared" ca="1" si="60"/>
        <v>0</v>
      </c>
      <c r="O77" s="1423">
        <f t="shared" ca="1" si="61"/>
        <v>0</v>
      </c>
      <c r="P77" s="1423">
        <f t="shared" ca="1" si="62"/>
        <v>0</v>
      </c>
      <c r="Q77" s="1423">
        <f t="shared" ca="1" si="63"/>
        <v>0</v>
      </c>
      <c r="R77" s="1423">
        <f t="shared" ca="1" si="64"/>
        <v>0</v>
      </c>
      <c r="S77" s="1423">
        <f t="shared" ca="1" si="65"/>
        <v>0</v>
      </c>
      <c r="T77" s="1423">
        <f t="shared" ca="1" si="66"/>
        <v>0</v>
      </c>
      <c r="U77" s="1423">
        <f t="shared" ca="1" si="67"/>
        <v>0</v>
      </c>
      <c r="V77" s="1423">
        <f t="shared" ca="1" si="68"/>
        <v>0</v>
      </c>
      <c r="W77" s="1423">
        <f t="shared" ca="1" si="69"/>
        <v>0</v>
      </c>
      <c r="X77" s="202"/>
      <c r="Y77" s="202"/>
      <c r="Z77" s="202"/>
      <c r="AA77" s="152"/>
      <c r="AB77" s="152"/>
    </row>
    <row r="78" spans="1:28" ht="12.75" hidden="1" customHeight="1" outlineLevel="1">
      <c r="A78" s="199">
        <f t="shared" si="70"/>
        <v>10</v>
      </c>
      <c r="B78" s="190" t="str">
        <f t="shared" ca="1" si="71"/>
        <v>Depreciated Net Capex 2025-26</v>
      </c>
      <c r="C78" s="1426"/>
      <c r="D78" s="1426"/>
      <c r="E78" s="1426"/>
      <c r="F78" s="1426"/>
      <c r="G78" s="1426"/>
      <c r="H78" s="1426"/>
      <c r="I78" s="1426"/>
      <c r="J78" s="1426"/>
      <c r="K78" s="1426"/>
      <c r="L78" s="1427"/>
      <c r="M78" s="1428">
        <f>M63</f>
        <v>0</v>
      </c>
      <c r="N78" s="1423">
        <f ca="1">IF(M102="n/a",M78,IFERROR(IF((OFFSET($C78,0,$A78))&lt;0,
MIN(0,M78-(OFFSET($C78,0,$A78)/(OFFSET($C73,-$A77,$A78)))),
MAX(0,M78-(OFFSET($C78,0,$A78)/(OFFSET($C73,-$A77,$A78))))),0))</f>
        <v>0</v>
      </c>
      <c r="O78" s="1423">
        <f t="shared" ca="1" si="61"/>
        <v>0</v>
      </c>
      <c r="P78" s="1423">
        <f t="shared" ca="1" si="62"/>
        <v>0</v>
      </c>
      <c r="Q78" s="1423">
        <f t="shared" ca="1" si="63"/>
        <v>0</v>
      </c>
      <c r="R78" s="1423">
        <f t="shared" ca="1" si="64"/>
        <v>0</v>
      </c>
      <c r="S78" s="1423">
        <f t="shared" ca="1" si="65"/>
        <v>0</v>
      </c>
      <c r="T78" s="1423">
        <f t="shared" ca="1" si="66"/>
        <v>0</v>
      </c>
      <c r="U78" s="1423">
        <f t="shared" ca="1" si="67"/>
        <v>0</v>
      </c>
      <c r="V78" s="1423">
        <f t="shared" ca="1" si="68"/>
        <v>0</v>
      </c>
      <c r="W78" s="1423">
        <f t="shared" ca="1" si="69"/>
        <v>0</v>
      </c>
      <c r="X78" s="202"/>
      <c r="Y78" s="202"/>
      <c r="Z78" s="202"/>
      <c r="AA78" s="152"/>
      <c r="AB78" s="152"/>
    </row>
    <row r="79" spans="1:28" ht="12.75" hidden="1" customHeight="1" outlineLevel="1">
      <c r="A79" s="199">
        <f t="shared" si="70"/>
        <v>11</v>
      </c>
      <c r="B79" s="190" t="str">
        <f t="shared" ca="1" si="71"/>
        <v>Depreciated Net Capex 2026-27</v>
      </c>
      <c r="C79" s="1426"/>
      <c r="D79" s="1426"/>
      <c r="E79" s="1426"/>
      <c r="F79" s="1426"/>
      <c r="G79" s="1426"/>
      <c r="H79" s="1426"/>
      <c r="I79" s="1426"/>
      <c r="J79" s="1426"/>
      <c r="K79" s="1426"/>
      <c r="L79" s="1426"/>
      <c r="M79" s="1427"/>
      <c r="N79" s="1428">
        <f>N63</f>
        <v>0</v>
      </c>
      <c r="O79" s="1423">
        <f ca="1">IF(N103="n/a",N79,IFERROR(IF((OFFSET($C79,0,$A79))&lt;0,
MIN(0,N79-(OFFSET($C79,0,$A79)/(OFFSET($C74,-$A78,$A79)))),
MAX(0,N79-(OFFSET($C79,0,$A79)/(OFFSET($C74,-$A78,$A79))))),0))</f>
        <v>0</v>
      </c>
      <c r="P79" s="1423">
        <f t="shared" ca="1" si="62"/>
        <v>0</v>
      </c>
      <c r="Q79" s="1423">
        <f t="shared" ca="1" si="63"/>
        <v>0</v>
      </c>
      <c r="R79" s="1423">
        <f t="shared" ca="1" si="64"/>
        <v>0</v>
      </c>
      <c r="S79" s="1423">
        <f t="shared" ca="1" si="65"/>
        <v>0</v>
      </c>
      <c r="T79" s="1423">
        <f t="shared" ca="1" si="66"/>
        <v>0</v>
      </c>
      <c r="U79" s="1423">
        <f t="shared" ca="1" si="67"/>
        <v>0</v>
      </c>
      <c r="V79" s="1423">
        <f t="shared" ca="1" si="68"/>
        <v>0</v>
      </c>
      <c r="W79" s="1423">
        <f t="shared" ca="1" si="69"/>
        <v>0</v>
      </c>
      <c r="X79" s="202"/>
      <c r="Y79" s="202"/>
      <c r="Z79" s="202"/>
      <c r="AA79" s="152"/>
      <c r="AB79" s="152"/>
    </row>
    <row r="80" spans="1:28" ht="12.75" hidden="1" customHeight="1" outlineLevel="1">
      <c r="A80" s="199">
        <f t="shared" si="70"/>
        <v>12</v>
      </c>
      <c r="B80" s="190" t="str">
        <f t="shared" ca="1" si="71"/>
        <v>Depreciated Net Capex 2027-28</v>
      </c>
      <c r="C80" s="1426"/>
      <c r="D80" s="1426"/>
      <c r="E80" s="1426"/>
      <c r="F80" s="1426"/>
      <c r="G80" s="1426"/>
      <c r="H80" s="1426"/>
      <c r="I80" s="1426"/>
      <c r="J80" s="1426"/>
      <c r="K80" s="1426"/>
      <c r="L80" s="1426"/>
      <c r="M80" s="1426"/>
      <c r="N80" s="1427"/>
      <c r="O80" s="1428">
        <f>O63</f>
        <v>0</v>
      </c>
      <c r="P80" s="1423">
        <f ca="1">IF(O104="n/a",O80,IFERROR(IF((OFFSET($C80,0,$A80))&lt;0,
MIN(0,O80-(OFFSET($C80,0,$A80)/(OFFSET($C75,-$A79,$A80)))),
MAX(0,O80-(OFFSET($C80,0,$A80)/(OFFSET($C75,-$A79,$A80))))),0))</f>
        <v>0</v>
      </c>
      <c r="Q80" s="1423">
        <f t="shared" ca="1" si="63"/>
        <v>0</v>
      </c>
      <c r="R80" s="1423">
        <f t="shared" ca="1" si="64"/>
        <v>0</v>
      </c>
      <c r="S80" s="1423">
        <f t="shared" ca="1" si="65"/>
        <v>0</v>
      </c>
      <c r="T80" s="1423">
        <f t="shared" ca="1" si="66"/>
        <v>0</v>
      </c>
      <c r="U80" s="1423">
        <f t="shared" ca="1" si="67"/>
        <v>0</v>
      </c>
      <c r="V80" s="1423">
        <f t="shared" ca="1" si="68"/>
        <v>0</v>
      </c>
      <c r="W80" s="1423">
        <f t="shared" ca="1" si="69"/>
        <v>0</v>
      </c>
      <c r="X80" s="202"/>
      <c r="Y80" s="202"/>
      <c r="Z80" s="202"/>
      <c r="AA80" s="152"/>
      <c r="AB80" s="152"/>
    </row>
    <row r="81" spans="1:28" ht="12.75" hidden="1" customHeight="1" outlineLevel="1">
      <c r="A81" s="199">
        <f t="shared" si="70"/>
        <v>13</v>
      </c>
      <c r="B81" s="190" t="str">
        <f t="shared" ca="1" si="71"/>
        <v>Depreciated Net Capex 2028-29</v>
      </c>
      <c r="C81" s="1426"/>
      <c r="D81" s="1426"/>
      <c r="E81" s="1426"/>
      <c r="F81" s="1426"/>
      <c r="G81" s="1426"/>
      <c r="H81" s="1426"/>
      <c r="I81" s="1426"/>
      <c r="J81" s="1426"/>
      <c r="K81" s="1426"/>
      <c r="L81" s="1426"/>
      <c r="M81" s="1426"/>
      <c r="N81" s="1426"/>
      <c r="O81" s="1427"/>
      <c r="P81" s="1428">
        <f>P63</f>
        <v>0</v>
      </c>
      <c r="Q81" s="1423">
        <f ca="1">IF(P105="n/a",P81,IFERROR(IF((OFFSET($C81,0,$A81))&lt;0,
MIN(0,P81-(OFFSET($C81,0,$A81)/(OFFSET($C76,-$A80,$A81)))),
MAX(0,P81-(OFFSET($C81,0,$A81)/(OFFSET($C76,-$A80,$A81))))),0))</f>
        <v>0</v>
      </c>
      <c r="R81" s="1423">
        <f t="shared" ca="1" si="64"/>
        <v>0</v>
      </c>
      <c r="S81" s="1423">
        <f t="shared" ca="1" si="65"/>
        <v>0</v>
      </c>
      <c r="T81" s="1423">
        <f t="shared" ca="1" si="66"/>
        <v>0</v>
      </c>
      <c r="U81" s="1423">
        <f t="shared" ca="1" si="67"/>
        <v>0</v>
      </c>
      <c r="V81" s="1423">
        <f t="shared" ca="1" si="68"/>
        <v>0</v>
      </c>
      <c r="W81" s="1423">
        <f t="shared" ca="1" si="69"/>
        <v>0</v>
      </c>
      <c r="X81" s="202"/>
      <c r="Y81" s="202"/>
      <c r="Z81" s="202"/>
      <c r="AA81" s="152"/>
      <c r="AB81" s="152"/>
    </row>
    <row r="82" spans="1:28" ht="12.75" hidden="1" customHeight="1" outlineLevel="1">
      <c r="A82" s="199">
        <f t="shared" si="70"/>
        <v>14</v>
      </c>
      <c r="B82" s="190" t="str">
        <f t="shared" ca="1" si="71"/>
        <v>Depreciated Net Capex 2029-30</v>
      </c>
      <c r="C82" s="1426"/>
      <c r="D82" s="1426"/>
      <c r="E82" s="1426"/>
      <c r="F82" s="1426"/>
      <c r="G82" s="1426"/>
      <c r="H82" s="1426"/>
      <c r="I82" s="1426"/>
      <c r="J82" s="1426"/>
      <c r="K82" s="1426"/>
      <c r="L82" s="1426"/>
      <c r="M82" s="1426"/>
      <c r="N82" s="1426"/>
      <c r="O82" s="1426"/>
      <c r="P82" s="1427"/>
      <c r="Q82" s="1428">
        <f>Q63</f>
        <v>0</v>
      </c>
      <c r="R82" s="1423">
        <f ca="1">IF(Q106="n/a",Q82,IFERROR(IF((OFFSET($C82,0,$A82))&lt;0,
MIN(0,Q82-(OFFSET($C82,0,$A82)/(OFFSET($C77,-$A81,$A82)))),
MAX(0,Q82-(OFFSET($C82,0,$A82)/(OFFSET($C77,-$A81,$A82))))),0))</f>
        <v>0</v>
      </c>
      <c r="S82" s="1423">
        <f t="shared" ca="1" si="65"/>
        <v>0</v>
      </c>
      <c r="T82" s="1423">
        <f t="shared" ca="1" si="66"/>
        <v>0</v>
      </c>
      <c r="U82" s="1423">
        <f t="shared" ca="1" si="67"/>
        <v>0</v>
      </c>
      <c r="V82" s="1423">
        <f t="shared" ca="1" si="68"/>
        <v>0</v>
      </c>
      <c r="W82" s="1423">
        <f t="shared" ca="1" si="69"/>
        <v>0</v>
      </c>
      <c r="X82" s="202"/>
      <c r="Y82" s="202"/>
      <c r="Z82" s="202"/>
      <c r="AA82" s="152"/>
      <c r="AB82" s="152"/>
    </row>
    <row r="83" spans="1:28" ht="12.75" hidden="1" customHeight="1" outlineLevel="1">
      <c r="A83" s="199">
        <f t="shared" si="70"/>
        <v>15</v>
      </c>
      <c r="B83" s="190" t="str">
        <f t="shared" ca="1" si="71"/>
        <v>Depreciated Net Capex 2030-31</v>
      </c>
      <c r="C83" s="1426"/>
      <c r="D83" s="1426"/>
      <c r="E83" s="1426"/>
      <c r="F83" s="1426"/>
      <c r="G83" s="1426"/>
      <c r="H83" s="1426"/>
      <c r="I83" s="1426"/>
      <c r="J83" s="1426"/>
      <c r="K83" s="1426"/>
      <c r="L83" s="1426"/>
      <c r="M83" s="1426"/>
      <c r="N83" s="1426"/>
      <c r="O83" s="1426"/>
      <c r="P83" s="1426"/>
      <c r="Q83" s="1427"/>
      <c r="R83" s="1428">
        <f>R63</f>
        <v>0</v>
      </c>
      <c r="S83" s="1423">
        <f ca="1">IF(R107="n/a",R83,IFERROR(IF((OFFSET($C83,0,$A83))&lt;0,
MIN(0,R83-(OFFSET($C83,0,$A83)/(OFFSET($C78,-$A82,$A83)))),
MAX(0,R83-(OFFSET($C83,0,$A83)/(OFFSET($C78,-$A82,$A83))))),0))</f>
        <v>0</v>
      </c>
      <c r="T83" s="1423">
        <f t="shared" ca="1" si="66"/>
        <v>0</v>
      </c>
      <c r="U83" s="1423">
        <f t="shared" ca="1" si="67"/>
        <v>0</v>
      </c>
      <c r="V83" s="1423">
        <f t="shared" ca="1" si="68"/>
        <v>0</v>
      </c>
      <c r="W83" s="1423">
        <f t="shared" ca="1" si="69"/>
        <v>0</v>
      </c>
      <c r="X83" s="202"/>
      <c r="Y83" s="202"/>
      <c r="Z83" s="202"/>
      <c r="AA83" s="152"/>
      <c r="AB83" s="152"/>
    </row>
    <row r="84" spans="1:28" ht="12.75" hidden="1" customHeight="1" outlineLevel="1">
      <c r="A84" s="199">
        <f t="shared" si="70"/>
        <v>16</v>
      </c>
      <c r="B84" s="190" t="str">
        <f t="shared" ca="1" si="71"/>
        <v>Depreciated Net Capex 2031-32</v>
      </c>
      <c r="C84" s="1426"/>
      <c r="D84" s="1426"/>
      <c r="E84" s="1426"/>
      <c r="F84" s="1426"/>
      <c r="G84" s="1426"/>
      <c r="H84" s="1426"/>
      <c r="I84" s="1426"/>
      <c r="J84" s="1426"/>
      <c r="K84" s="1426"/>
      <c r="L84" s="1426"/>
      <c r="M84" s="1426"/>
      <c r="N84" s="1426"/>
      <c r="O84" s="1426"/>
      <c r="P84" s="1426"/>
      <c r="Q84" s="1426"/>
      <c r="R84" s="1427"/>
      <c r="S84" s="1428">
        <f>S63</f>
        <v>0</v>
      </c>
      <c r="T84" s="1423">
        <f ca="1">IF(S108="n/a",S84,IFERROR(IF((OFFSET($C84,0,$A84))&lt;0,
MIN(0,S84-(OFFSET($C84,0,$A84)/(OFFSET($C79,-$A83,$A84)))),
MAX(0,S84-(OFFSET($C84,0,$A84)/(OFFSET($C79,-$A83,$A84))))),0))</f>
        <v>0</v>
      </c>
      <c r="U84" s="1423">
        <f t="shared" ca="1" si="67"/>
        <v>0</v>
      </c>
      <c r="V84" s="1423">
        <f t="shared" ca="1" si="68"/>
        <v>0</v>
      </c>
      <c r="W84" s="1423">
        <f t="shared" ca="1" si="69"/>
        <v>0</v>
      </c>
      <c r="X84" s="202"/>
      <c r="Y84" s="202"/>
      <c r="Z84" s="202"/>
      <c r="AA84" s="152"/>
      <c r="AB84" s="152"/>
    </row>
    <row r="85" spans="1:28" ht="12.75" hidden="1" customHeight="1" outlineLevel="1">
      <c r="A85" s="199">
        <f t="shared" si="70"/>
        <v>17</v>
      </c>
      <c r="B85" s="190" t="str">
        <f t="shared" ca="1" si="71"/>
        <v>Depreciated Net Capex 2032-33</v>
      </c>
      <c r="C85" s="1426"/>
      <c r="D85" s="1426"/>
      <c r="E85" s="1426"/>
      <c r="F85" s="1426"/>
      <c r="G85" s="1426"/>
      <c r="H85" s="1426"/>
      <c r="I85" s="1426"/>
      <c r="J85" s="1426"/>
      <c r="K85" s="1426"/>
      <c r="L85" s="1426"/>
      <c r="M85" s="1426"/>
      <c r="N85" s="1426"/>
      <c r="O85" s="1426"/>
      <c r="P85" s="1426"/>
      <c r="Q85" s="1426"/>
      <c r="R85" s="1426"/>
      <c r="S85" s="1427"/>
      <c r="T85" s="1428">
        <f>T63</f>
        <v>0</v>
      </c>
      <c r="U85" s="1423">
        <f ca="1">IF(T109="n/a",T85,IFERROR(IF((OFFSET($C85,0,$A85))&lt;0,
MIN(0,T85-(OFFSET($C85,0,$A85)/(OFFSET($C80,-$A84,$A85)))),
MAX(0,T85-(OFFSET($C85,0,$A85)/(OFFSET($C80,-$A84,$A85))))),0))</f>
        <v>0</v>
      </c>
      <c r="V85" s="1423">
        <f t="shared" ca="1" si="68"/>
        <v>0</v>
      </c>
      <c r="W85" s="1423">
        <f t="shared" ca="1" si="69"/>
        <v>0</v>
      </c>
      <c r="X85" s="202"/>
      <c r="Y85" s="202"/>
      <c r="Z85" s="202"/>
      <c r="AA85" s="152"/>
      <c r="AB85" s="152"/>
    </row>
    <row r="86" spans="1:28" ht="12.75" hidden="1" customHeight="1" outlineLevel="1">
      <c r="A86" s="199">
        <f t="shared" si="70"/>
        <v>18</v>
      </c>
      <c r="B86" s="190" t="str">
        <f t="shared" ca="1" si="71"/>
        <v>Depreciated Net Capex 2033-34</v>
      </c>
      <c r="C86" s="1426"/>
      <c r="D86" s="1426"/>
      <c r="E86" s="1426"/>
      <c r="F86" s="1426"/>
      <c r="G86" s="1426"/>
      <c r="H86" s="1426"/>
      <c r="I86" s="1426"/>
      <c r="J86" s="1426"/>
      <c r="K86" s="1426"/>
      <c r="L86" s="1426"/>
      <c r="M86" s="1426"/>
      <c r="N86" s="1426"/>
      <c r="O86" s="1426"/>
      <c r="P86" s="1426"/>
      <c r="Q86" s="1426"/>
      <c r="R86" s="1426"/>
      <c r="S86" s="1426"/>
      <c r="T86" s="1427"/>
      <c r="U86" s="1428">
        <f>U63</f>
        <v>0</v>
      </c>
      <c r="V86" s="1423">
        <f ca="1">IF(U110="n/a",U86,IFERROR(IF((OFFSET($C86,0,$A86))&lt;0,
MIN(0,U86-(OFFSET($C86,0,$A86)/(OFFSET($C81,-$A85,$A86)))),
MAX(0,U86-(OFFSET($C86,0,$A86)/(OFFSET($C81,-$A85,$A86))))),0))</f>
        <v>0</v>
      </c>
      <c r="W86" s="1423">
        <f t="shared" ca="1" si="69"/>
        <v>0</v>
      </c>
      <c r="X86" s="202"/>
      <c r="Y86" s="202"/>
      <c r="Z86" s="202"/>
      <c r="AA86" s="152"/>
      <c r="AB86" s="152"/>
    </row>
    <row r="87" spans="1:28" ht="12.75" hidden="1" customHeight="1" outlineLevel="1">
      <c r="A87" s="199">
        <f t="shared" si="70"/>
        <v>19</v>
      </c>
      <c r="B87" s="190" t="str">
        <f t="shared" ca="1" si="71"/>
        <v>Depreciated Net Capex 2034-35</v>
      </c>
      <c r="C87" s="1426"/>
      <c r="D87" s="1426"/>
      <c r="E87" s="1426"/>
      <c r="F87" s="1426"/>
      <c r="G87" s="1426"/>
      <c r="H87" s="1426"/>
      <c r="I87" s="1426"/>
      <c r="J87" s="1426"/>
      <c r="K87" s="1426"/>
      <c r="L87" s="1426"/>
      <c r="M87" s="1426"/>
      <c r="N87" s="1426"/>
      <c r="O87" s="1426"/>
      <c r="P87" s="1426"/>
      <c r="Q87" s="1426"/>
      <c r="R87" s="1426"/>
      <c r="S87" s="1426"/>
      <c r="T87" s="1426"/>
      <c r="U87" s="1427"/>
      <c r="V87" s="1428">
        <f>V63</f>
        <v>0</v>
      </c>
      <c r="W87" s="1423">
        <f ca="1">IF(V111="n/a",V87,IFERROR(IF((OFFSET($C87,0,$A87))&lt;0,
MIN(0,V87-(OFFSET($C87,0,$A87)/(OFFSET($C82,-$A86,$A87)))),
MAX(0,V87-(OFFSET($C87,0,$A87)/(OFFSET($C82,-$A86,$A87))))),0))</f>
        <v>0</v>
      </c>
      <c r="X87" s="202"/>
      <c r="Y87" s="202"/>
      <c r="Z87" s="202"/>
      <c r="AA87" s="152"/>
      <c r="AB87" s="152"/>
    </row>
    <row r="88" spans="1:28" ht="12.75" hidden="1" customHeight="1" outlineLevel="1">
      <c r="A88" s="199">
        <f t="shared" si="70"/>
        <v>20</v>
      </c>
      <c r="B88" s="190" t="str">
        <f t="shared" ca="1" si="71"/>
        <v>Depreciated Net Capex 2035-36</v>
      </c>
      <c r="C88" s="1426"/>
      <c r="D88" s="1426"/>
      <c r="E88" s="1426"/>
      <c r="F88" s="1426"/>
      <c r="G88" s="1426"/>
      <c r="H88" s="1426"/>
      <c r="I88" s="1426"/>
      <c r="J88" s="1426"/>
      <c r="K88" s="1426"/>
      <c r="L88" s="1426"/>
      <c r="M88" s="1426"/>
      <c r="N88" s="1426"/>
      <c r="O88" s="1426"/>
      <c r="P88" s="1426"/>
      <c r="Q88" s="1426"/>
      <c r="R88" s="1426"/>
      <c r="S88" s="1426"/>
      <c r="T88" s="1426"/>
      <c r="U88" s="1426"/>
      <c r="V88" s="1427"/>
      <c r="W88" s="1423">
        <f>W63</f>
        <v>0</v>
      </c>
      <c r="X88" s="152"/>
      <c r="Y88" s="152"/>
      <c r="Z88" s="152"/>
      <c r="AA88" s="152"/>
      <c r="AB88" s="152"/>
    </row>
    <row r="89" spans="1:28" ht="12.75" hidden="1" customHeight="1" outlineLevel="1">
      <c r="A89" s="242"/>
      <c r="B89" s="200"/>
      <c r="C89" s="1423"/>
      <c r="D89" s="1423"/>
      <c r="E89" s="1423"/>
      <c r="F89" s="1423"/>
      <c r="G89" s="1423"/>
      <c r="H89" s="1423"/>
      <c r="I89" s="1423"/>
      <c r="J89" s="1423"/>
      <c r="K89" s="1423"/>
      <c r="L89" s="1423"/>
      <c r="M89" s="1423"/>
      <c r="N89" s="1423"/>
      <c r="O89" s="1423"/>
      <c r="P89" s="1423"/>
      <c r="Q89" s="1423"/>
      <c r="R89" s="1423"/>
      <c r="S89" s="1423"/>
      <c r="T89" s="1423"/>
      <c r="U89" s="1423"/>
      <c r="V89" s="1423"/>
      <c r="W89" s="1423"/>
      <c r="X89" s="152"/>
      <c r="Y89" s="152"/>
      <c r="Z89" s="152"/>
      <c r="AA89" s="152"/>
      <c r="AB89" s="152"/>
    </row>
    <row r="90" spans="1:28" ht="12.75" hidden="1" customHeight="1" outlineLevel="1">
      <c r="A90" s="242"/>
      <c r="B90" s="200"/>
      <c r="C90" s="1423"/>
      <c r="D90" s="1423"/>
      <c r="E90" s="1423"/>
      <c r="F90" s="1423"/>
      <c r="G90" s="1423"/>
      <c r="H90" s="1423"/>
      <c r="I90" s="1423"/>
      <c r="J90" s="1423"/>
      <c r="K90" s="1423"/>
      <c r="L90" s="1423"/>
      <c r="M90" s="1423"/>
      <c r="N90" s="1423"/>
      <c r="O90" s="1423"/>
      <c r="P90" s="1423"/>
      <c r="Q90" s="1423"/>
      <c r="R90" s="1423"/>
      <c r="S90" s="1423"/>
      <c r="T90" s="1423"/>
      <c r="U90" s="1423"/>
      <c r="V90" s="1423"/>
      <c r="W90" s="1423"/>
      <c r="X90" s="152"/>
      <c r="Y90" s="152"/>
      <c r="Z90" s="152"/>
      <c r="AA90" s="152"/>
      <c r="AB90" s="152"/>
    </row>
    <row r="91" spans="1:28" ht="12.75" hidden="1" customHeight="1" outlineLevel="1">
      <c r="A91" s="242"/>
      <c r="B91" s="190" t="s">
        <v>194</v>
      </c>
      <c r="C91" s="1423"/>
      <c r="D91" s="1423">
        <f t="shared" ref="D91" ca="1" si="72">IF(AND(C91&lt;1,D65=0),0,
IF(D65=0,C91-1,
IF(C91&lt;1,D66,
(((C91-1)*(C67-(C67/(C91))))+(D65*D66))/(D67))))</f>
        <v>0</v>
      </c>
      <c r="E91" s="1423">
        <f t="shared" ref="E91" ca="1" si="73">IF(AND(D91&lt;1,E65=0),0,
IF(E65=0,D91-1,
IF(D91&lt;1,E66,
(((D91-1)*(D67-(D67/(D91))))+(E65*E66))/(E67))))</f>
        <v>0</v>
      </c>
      <c r="F91" s="1423">
        <f t="shared" ref="F91" ca="1" si="74">IF(AND(E91&lt;1,F65=0),0,
IF(F65=0,E91-1,
IF(E91&lt;1,F66,
(((E91-1)*(E67-(E67/(E91))))+(F65*F66))/(F67))))</f>
        <v>0</v>
      </c>
      <c r="G91" s="1423">
        <f t="shared" ref="G91" ca="1" si="75">IF(AND(F91&lt;1,G65=0),0,
IF(G65=0,F91-1,
IF(F91&lt;1,G66,
(((F91-1)*(F67-(F67/(F91))))+(G65*G66))/(G67))))</f>
        <v>0</v>
      </c>
      <c r="H91" s="1423">
        <f ca="1">IF(AND(G91&lt;1,H65=0),0,
IF(H65=0,G91-1,
IF(G91&lt;1,H66,
(((G91-1)*(G67-(G67/(G91))))+(H65*H66))/(H67))))</f>
        <v>0</v>
      </c>
      <c r="I91" s="1423">
        <f t="shared" ref="I91" ca="1" si="76">IF(AND(H91&lt;1,I65=0),0,
IF(I65=0,H91-1,
IF(H91&lt;1,I66,
(((H91-1)*(H67-(H67/(H91))))+(I65*I66))/(I67))))</f>
        <v>0</v>
      </c>
      <c r="J91" s="1423">
        <f t="shared" ref="J91" ca="1" si="77">IF(AND(I91&lt;1,J65=0),0,
IF(J65=0,I91-1,
IF(I91&lt;1,J66,
(((I91-1)*(I67-(I67/(I91))))+(J65*J66))/(J67))))</f>
        <v>0</v>
      </c>
      <c r="K91" s="1423">
        <f t="shared" ref="K91" ca="1" si="78">IF(AND(J91&lt;1,K65=0),0,
IF(K65=0,J91-1,
IF(J91&lt;1,K66,
(((J91-1)*(J67-(J67/(J91))))+(K65*K66))/(K67))))</f>
        <v>0</v>
      </c>
      <c r="L91" s="1423">
        <f t="shared" ref="L91" ca="1" si="79">IF(AND(K91&lt;1,L65=0),0,
IF(L65=0,K91-1,
IF(K91&lt;1,L66,
(((K91-1)*(K67-(K67/(K91))))+(L65*L66))/(L67))))</f>
        <v>0</v>
      </c>
      <c r="M91" s="1423">
        <f ca="1">IF(AND(L91&lt;1,M65=0),0,
IF(M65=0,L91-1,
IF(L91&lt;1,M66,
(((L91-1)*(L67-(L67/(L91))))+(M65*M66))/(M67))))</f>
        <v>0</v>
      </c>
      <c r="N91" s="1423">
        <f t="shared" ref="N91" ca="1" si="80">IF(AND(M91&lt;1,N65=0),0,
IF(N65=0,M91-1,
IF(M91&lt;1,N66,
(((M91-1)*(M67-(M67/(M91))))+(N65*N66))/(N67))))</f>
        <v>0</v>
      </c>
      <c r="O91" s="1423">
        <f t="shared" ref="O91" ca="1" si="81">IF(AND(N91&lt;1,O65=0),0,
IF(O65=0,N91-1,
IF(N91&lt;1,O66,
(((N91-1)*(N67-(N67/(N91))))+(O65*O66))/(O67))))</f>
        <v>0</v>
      </c>
      <c r="P91" s="1423">
        <f t="shared" ref="P91" ca="1" si="82">IF(AND(O91&lt;1,P65=0),0,
IF(P65=0,O91-1,
IF(O91&lt;1,P66,
(((O91-1)*(O67-(O67/(O91))))+(P65*P66))/(P67))))</f>
        <v>0</v>
      </c>
      <c r="Q91" s="1423">
        <f t="shared" ref="Q91" ca="1" si="83">IF(AND(P91&lt;1,Q65=0),0,
IF(Q65=0,P91-1,
IF(P91&lt;1,Q66,
(((P91-1)*(P67-(P67/(P91))))+(Q65*Q66))/(Q67))))</f>
        <v>0</v>
      </c>
      <c r="R91" s="1423">
        <f t="shared" ref="R91" ca="1" si="84">IF(AND(Q91&lt;1,R65=0),0,
IF(R65=0,Q91-1,
IF(Q91&lt;1,R66,
(((Q91-1)*(Q67-(Q67/(Q91))))+(R65*R66))/(R67))))</f>
        <v>0</v>
      </c>
      <c r="S91" s="1423">
        <f t="shared" ref="S91" ca="1" si="85">IF(AND(R91&lt;1,S65=0),0,
IF(S65=0,R91-1,
IF(R91&lt;1,S66,
(((R91-1)*(R67-(R67/(R91))))+(S65*S66))/(S67))))</f>
        <v>0</v>
      </c>
      <c r="T91" s="1423">
        <f t="shared" ref="T91" ca="1" si="86">IF(AND(S91&lt;1,T65=0),0,
IF(T65=0,S91-1,
IF(S91&lt;1,T66,
(((S91-1)*(S67-(S67/(S91))))+(T65*T66))/(T67))))</f>
        <v>0</v>
      </c>
      <c r="U91" s="1423">
        <f t="shared" ref="U91" ca="1" si="87">IF(AND(T91&lt;1,U65=0),0,
IF(U65=0,T91-1,
IF(T91&lt;1,U66,
(((T91-1)*(T67-(T67/(T91))))+(U65*U66))/(U67))))</f>
        <v>0</v>
      </c>
      <c r="V91" s="1423">
        <f t="shared" ref="V91" ca="1" si="88">IF(AND(U91&lt;1,V65=0),0,
IF(V65=0,U91-1,
IF(U91&lt;1,V66,
(((U91-1)*(U67-(U67/(U91))))+(V65*V66))/(V67))))</f>
        <v>0</v>
      </c>
      <c r="W91" s="1423">
        <f t="shared" ref="W91" ca="1" si="89">IF(AND(V91&lt;1,W65=0),0,
IF(W65=0,V91-1,
IF(V91&lt;1,W66,
(((V91-1)*(V67-(V67/(V91))))+(W65*W66))/(W67))))</f>
        <v>0</v>
      </c>
      <c r="X91" s="152"/>
      <c r="Y91" s="152"/>
      <c r="Z91" s="152"/>
      <c r="AA91" s="152"/>
      <c r="AB91" s="152"/>
    </row>
    <row r="92" spans="1:28" ht="12.75" hidden="1" customHeight="1" outlineLevel="1">
      <c r="A92" s="242"/>
      <c r="B92" s="190" t="s">
        <v>193</v>
      </c>
      <c r="C92" s="1423">
        <f ca="1">C64</f>
        <v>15.202063233473952</v>
      </c>
      <c r="D92" s="1423">
        <f t="shared" ref="D92" ca="1" si="90">IF(C92="n/a","n/a",MAX(0,C92-1))</f>
        <v>14.202063233473952</v>
      </c>
      <c r="E92" s="1423">
        <f t="shared" ref="E92:E93" ca="1" si="91">IF(D92="n/a","n/a",MAX(0,D92-1))</f>
        <v>13.202063233473952</v>
      </c>
      <c r="F92" s="1423">
        <f t="shared" ref="F92:F94" ca="1" si="92">IF(E92="n/a","n/a",MAX(0,E92-1))</f>
        <v>12.202063233473952</v>
      </c>
      <c r="G92" s="1423">
        <f t="shared" ref="G92:G95" ca="1" si="93">IF(F92="n/a","n/a",MAX(0,F92-1))</f>
        <v>11.202063233473952</v>
      </c>
      <c r="H92" s="1423">
        <f t="shared" ref="H92:H96" ca="1" si="94">IF(G92="n/a","n/a",MAX(0,G92-1))</f>
        <v>10.202063233473952</v>
      </c>
      <c r="I92" s="1423">
        <f t="shared" ref="I92:I97" ca="1" si="95">IF(H92="n/a","n/a",MAX(0,H92-1))</f>
        <v>9.2020632334739521</v>
      </c>
      <c r="J92" s="1423">
        <f t="shared" ref="J92:J98" ca="1" si="96">IF(I92="n/a","n/a",MAX(0,I92-1))</f>
        <v>8.2020632334739521</v>
      </c>
      <c r="K92" s="1423">
        <f t="shared" ref="K92:K99" ca="1" si="97">IF(J92="n/a","n/a",MAX(0,J92-1))</f>
        <v>7.2020632334739521</v>
      </c>
      <c r="L92" s="1423">
        <f t="shared" ref="L92:L100" ca="1" si="98">IF(K92="n/a","n/a",MAX(0,K92-1))</f>
        <v>6.2020632334739521</v>
      </c>
      <c r="M92" s="1423">
        <f t="shared" ref="M92:M101" ca="1" si="99">IF(L92="n/a","n/a",MAX(0,L92-1))</f>
        <v>5.2020632334739521</v>
      </c>
      <c r="N92" s="1423">
        <f t="shared" ref="N92:N102" ca="1" si="100">IF(M92="n/a","n/a",MAX(0,M92-1))</f>
        <v>4.2020632334739521</v>
      </c>
      <c r="O92" s="1423">
        <f t="shared" ref="O92:O103" ca="1" si="101">IF(N92="n/a","n/a",MAX(0,N92-1))</f>
        <v>3.2020632334739521</v>
      </c>
      <c r="P92" s="1423">
        <f t="shared" ref="P92:P104" ca="1" si="102">IF(O92="n/a","n/a",MAX(0,O92-1))</f>
        <v>2.2020632334739521</v>
      </c>
      <c r="Q92" s="1423">
        <f t="shared" ref="Q92:Q105" ca="1" si="103">IF(P92="n/a","n/a",MAX(0,P92-1))</f>
        <v>1.2020632334739521</v>
      </c>
      <c r="R92" s="1423">
        <f t="shared" ref="R92:R106" ca="1" si="104">IF(Q92="n/a","n/a",MAX(0,Q92-1))</f>
        <v>0.20206323347395205</v>
      </c>
      <c r="S92" s="1423">
        <f t="shared" ref="S92:S107" ca="1" si="105">IF(R92="n/a","n/a",MAX(0,R92-1))</f>
        <v>0</v>
      </c>
      <c r="T92" s="1423">
        <f t="shared" ref="T92:T108" ca="1" si="106">IF(S92="n/a","n/a",MAX(0,S92-1))</f>
        <v>0</v>
      </c>
      <c r="U92" s="1423">
        <f t="shared" ref="U92:U109" ca="1" si="107">IF(T92="n/a","n/a",MAX(0,T92-1))</f>
        <v>0</v>
      </c>
      <c r="V92" s="1423">
        <f t="shared" ref="V92:V110" ca="1" si="108">IF(U92="n/a","n/a",MAX(0,U92-1))</f>
        <v>0</v>
      </c>
      <c r="W92" s="1423">
        <f t="shared" ref="W92:W110" ca="1" si="109">IF(V92="n/a","n/a",MAX(0,V92-1))</f>
        <v>0</v>
      </c>
      <c r="X92" s="152"/>
      <c r="Y92" s="152"/>
      <c r="Z92" s="152"/>
      <c r="AA92" s="152"/>
      <c r="AB92" s="152"/>
    </row>
    <row r="93" spans="1:28" ht="12.75" hidden="1" customHeight="1" outlineLevel="1">
      <c r="A93" s="242"/>
      <c r="B93" s="190" t="str">
        <f t="shared" ref="B93:B112" ca="1" si="110">"RL Capex "&amp;OFFSET($C$6,0,A69)</f>
        <v>RL Capex 2016-17</v>
      </c>
      <c r="C93" s="1424"/>
      <c r="D93" s="1428">
        <f>D64</f>
        <v>20</v>
      </c>
      <c r="E93" s="1423">
        <f t="shared" si="91"/>
        <v>19</v>
      </c>
      <c r="F93" s="1423">
        <f t="shared" si="92"/>
        <v>18</v>
      </c>
      <c r="G93" s="1423">
        <f t="shared" si="93"/>
        <v>17</v>
      </c>
      <c r="H93" s="1423">
        <f t="shared" si="94"/>
        <v>16</v>
      </c>
      <c r="I93" s="1423">
        <f t="shared" si="95"/>
        <v>15</v>
      </c>
      <c r="J93" s="1423">
        <f t="shared" si="96"/>
        <v>14</v>
      </c>
      <c r="K93" s="1423">
        <f t="shared" si="97"/>
        <v>13</v>
      </c>
      <c r="L93" s="1423">
        <f t="shared" si="98"/>
        <v>12</v>
      </c>
      <c r="M93" s="1423">
        <f t="shared" si="99"/>
        <v>11</v>
      </c>
      <c r="N93" s="1423">
        <f t="shared" si="100"/>
        <v>10</v>
      </c>
      <c r="O93" s="1423">
        <f t="shared" si="101"/>
        <v>9</v>
      </c>
      <c r="P93" s="1423">
        <f t="shared" si="102"/>
        <v>8</v>
      </c>
      <c r="Q93" s="1423">
        <f t="shared" si="103"/>
        <v>7</v>
      </c>
      <c r="R93" s="1423">
        <f t="shared" si="104"/>
        <v>6</v>
      </c>
      <c r="S93" s="1423">
        <f t="shared" si="105"/>
        <v>5</v>
      </c>
      <c r="T93" s="1423">
        <f t="shared" si="106"/>
        <v>4</v>
      </c>
      <c r="U93" s="1423">
        <f t="shared" si="107"/>
        <v>3</v>
      </c>
      <c r="V93" s="1423">
        <f t="shared" si="108"/>
        <v>2</v>
      </c>
      <c r="W93" s="1423">
        <f t="shared" si="109"/>
        <v>1</v>
      </c>
      <c r="X93" s="152"/>
      <c r="Y93" s="152"/>
      <c r="Z93" s="152"/>
      <c r="AA93" s="152"/>
      <c r="AB93" s="152"/>
    </row>
    <row r="94" spans="1:28" ht="12.75" hidden="1" customHeight="1" outlineLevel="1">
      <c r="A94" s="242"/>
      <c r="B94" s="190" t="str">
        <f t="shared" ca="1" si="110"/>
        <v>RL Capex 2017-18</v>
      </c>
      <c r="C94" s="1429"/>
      <c r="D94" s="1424"/>
      <c r="E94" s="1428">
        <f>E64</f>
        <v>20</v>
      </c>
      <c r="F94" s="1423">
        <f t="shared" si="92"/>
        <v>19</v>
      </c>
      <c r="G94" s="1423">
        <f t="shared" si="93"/>
        <v>18</v>
      </c>
      <c r="H94" s="1423">
        <f t="shared" si="94"/>
        <v>17</v>
      </c>
      <c r="I94" s="1423">
        <f t="shared" si="95"/>
        <v>16</v>
      </c>
      <c r="J94" s="1423">
        <f t="shared" si="96"/>
        <v>15</v>
      </c>
      <c r="K94" s="1423">
        <f t="shared" si="97"/>
        <v>14</v>
      </c>
      <c r="L94" s="1423">
        <f t="shared" si="98"/>
        <v>13</v>
      </c>
      <c r="M94" s="1423">
        <f t="shared" si="99"/>
        <v>12</v>
      </c>
      <c r="N94" s="1423">
        <f t="shared" si="100"/>
        <v>11</v>
      </c>
      <c r="O94" s="1423">
        <f t="shared" si="101"/>
        <v>10</v>
      </c>
      <c r="P94" s="1423">
        <f t="shared" si="102"/>
        <v>9</v>
      </c>
      <c r="Q94" s="1423">
        <f t="shared" si="103"/>
        <v>8</v>
      </c>
      <c r="R94" s="1423">
        <f t="shared" si="104"/>
        <v>7</v>
      </c>
      <c r="S94" s="1423">
        <f t="shared" si="105"/>
        <v>6</v>
      </c>
      <c r="T94" s="1423">
        <f t="shared" si="106"/>
        <v>5</v>
      </c>
      <c r="U94" s="1423">
        <f t="shared" si="107"/>
        <v>4</v>
      </c>
      <c r="V94" s="1423">
        <f t="shared" si="108"/>
        <v>3</v>
      </c>
      <c r="W94" s="1423">
        <f t="shared" si="109"/>
        <v>2</v>
      </c>
      <c r="X94" s="152"/>
      <c r="Y94" s="152"/>
      <c r="Z94" s="152"/>
      <c r="AA94" s="152"/>
      <c r="AB94" s="152"/>
    </row>
    <row r="95" spans="1:28" ht="12.75" hidden="1" customHeight="1" outlineLevel="1">
      <c r="A95" s="242"/>
      <c r="B95" s="190" t="str">
        <f t="shared" ca="1" si="110"/>
        <v>RL Capex 2018-19</v>
      </c>
      <c r="C95" s="1429"/>
      <c r="D95" s="1429"/>
      <c r="E95" s="1424"/>
      <c r="F95" s="1428">
        <f>F64</f>
        <v>20</v>
      </c>
      <c r="G95" s="1423">
        <f t="shared" si="93"/>
        <v>19</v>
      </c>
      <c r="H95" s="1423">
        <f t="shared" si="94"/>
        <v>18</v>
      </c>
      <c r="I95" s="1423">
        <f t="shared" si="95"/>
        <v>17</v>
      </c>
      <c r="J95" s="1423">
        <f t="shared" si="96"/>
        <v>16</v>
      </c>
      <c r="K95" s="1423">
        <f t="shared" si="97"/>
        <v>15</v>
      </c>
      <c r="L95" s="1423">
        <f t="shared" si="98"/>
        <v>14</v>
      </c>
      <c r="M95" s="1423">
        <f t="shared" si="99"/>
        <v>13</v>
      </c>
      <c r="N95" s="1423">
        <f t="shared" si="100"/>
        <v>12</v>
      </c>
      <c r="O95" s="1423">
        <f t="shared" si="101"/>
        <v>11</v>
      </c>
      <c r="P95" s="1423">
        <f t="shared" si="102"/>
        <v>10</v>
      </c>
      <c r="Q95" s="1423">
        <f t="shared" si="103"/>
        <v>9</v>
      </c>
      <c r="R95" s="1423">
        <f t="shared" si="104"/>
        <v>8</v>
      </c>
      <c r="S95" s="1423">
        <f t="shared" si="105"/>
        <v>7</v>
      </c>
      <c r="T95" s="1423">
        <f t="shared" si="106"/>
        <v>6</v>
      </c>
      <c r="U95" s="1423">
        <f t="shared" si="107"/>
        <v>5</v>
      </c>
      <c r="V95" s="1423">
        <f t="shared" si="108"/>
        <v>4</v>
      </c>
      <c r="W95" s="1423">
        <f t="shared" si="109"/>
        <v>3</v>
      </c>
      <c r="X95" s="152"/>
      <c r="Y95" s="152"/>
      <c r="Z95" s="152"/>
      <c r="AA95" s="152"/>
      <c r="AB95" s="152"/>
    </row>
    <row r="96" spans="1:28" ht="12.75" hidden="1" customHeight="1" outlineLevel="1">
      <c r="A96" s="242"/>
      <c r="B96" s="190" t="str">
        <f t="shared" ca="1" si="110"/>
        <v>RL Capex 2019-20</v>
      </c>
      <c r="C96" s="1429"/>
      <c r="D96" s="1429"/>
      <c r="E96" s="1429"/>
      <c r="F96" s="1424"/>
      <c r="G96" s="1428">
        <f>G64</f>
        <v>20</v>
      </c>
      <c r="H96" s="1423">
        <f t="shared" si="94"/>
        <v>19</v>
      </c>
      <c r="I96" s="1423">
        <f t="shared" si="95"/>
        <v>18</v>
      </c>
      <c r="J96" s="1423">
        <f t="shared" si="96"/>
        <v>17</v>
      </c>
      <c r="K96" s="1423">
        <f t="shared" si="97"/>
        <v>16</v>
      </c>
      <c r="L96" s="1423">
        <f t="shared" si="98"/>
        <v>15</v>
      </c>
      <c r="M96" s="1423">
        <f t="shared" si="99"/>
        <v>14</v>
      </c>
      <c r="N96" s="1423">
        <f t="shared" si="100"/>
        <v>13</v>
      </c>
      <c r="O96" s="1423">
        <f t="shared" si="101"/>
        <v>12</v>
      </c>
      <c r="P96" s="1423">
        <f t="shared" si="102"/>
        <v>11</v>
      </c>
      <c r="Q96" s="1423">
        <f t="shared" si="103"/>
        <v>10</v>
      </c>
      <c r="R96" s="1423">
        <f t="shared" si="104"/>
        <v>9</v>
      </c>
      <c r="S96" s="1423">
        <f t="shared" si="105"/>
        <v>8</v>
      </c>
      <c r="T96" s="1423">
        <f t="shared" si="106"/>
        <v>7</v>
      </c>
      <c r="U96" s="1423">
        <f t="shared" si="107"/>
        <v>6</v>
      </c>
      <c r="V96" s="1423">
        <f t="shared" si="108"/>
        <v>5</v>
      </c>
      <c r="W96" s="1423">
        <f t="shared" si="109"/>
        <v>4</v>
      </c>
      <c r="X96" s="152"/>
      <c r="Y96" s="152"/>
      <c r="Z96" s="152"/>
      <c r="AA96" s="152"/>
      <c r="AB96" s="152"/>
    </row>
    <row r="97" spans="1:28" ht="12.75" hidden="1" customHeight="1" outlineLevel="1">
      <c r="A97" s="242"/>
      <c r="B97" s="190" t="str">
        <f t="shared" ca="1" si="110"/>
        <v>RL Capex 2020-21</v>
      </c>
      <c r="C97" s="1429"/>
      <c r="D97" s="1429"/>
      <c r="E97" s="1429"/>
      <c r="F97" s="1429"/>
      <c r="G97" s="1424"/>
      <c r="H97" s="1428">
        <f>H64</f>
        <v>20</v>
      </c>
      <c r="I97" s="1423">
        <f t="shared" si="95"/>
        <v>19</v>
      </c>
      <c r="J97" s="1423">
        <f t="shared" si="96"/>
        <v>18</v>
      </c>
      <c r="K97" s="1423">
        <f t="shared" si="97"/>
        <v>17</v>
      </c>
      <c r="L97" s="1423">
        <f t="shared" si="98"/>
        <v>16</v>
      </c>
      <c r="M97" s="1423">
        <f t="shared" si="99"/>
        <v>15</v>
      </c>
      <c r="N97" s="1423">
        <f t="shared" si="100"/>
        <v>14</v>
      </c>
      <c r="O97" s="1423">
        <f t="shared" si="101"/>
        <v>13</v>
      </c>
      <c r="P97" s="1423">
        <f t="shared" si="102"/>
        <v>12</v>
      </c>
      <c r="Q97" s="1423">
        <f t="shared" si="103"/>
        <v>11</v>
      </c>
      <c r="R97" s="1423">
        <f t="shared" si="104"/>
        <v>10</v>
      </c>
      <c r="S97" s="1423">
        <f t="shared" si="105"/>
        <v>9</v>
      </c>
      <c r="T97" s="1423">
        <f t="shared" si="106"/>
        <v>8</v>
      </c>
      <c r="U97" s="1423">
        <f t="shared" si="107"/>
        <v>7</v>
      </c>
      <c r="V97" s="1423">
        <f t="shared" si="108"/>
        <v>6</v>
      </c>
      <c r="W97" s="1423">
        <f t="shared" si="109"/>
        <v>5</v>
      </c>
      <c r="X97" s="152"/>
      <c r="Y97" s="152"/>
      <c r="Z97" s="152"/>
      <c r="AA97" s="152"/>
      <c r="AB97" s="152"/>
    </row>
    <row r="98" spans="1:28" ht="12.75" hidden="1" customHeight="1" outlineLevel="1">
      <c r="A98" s="242"/>
      <c r="B98" s="190" t="str">
        <f t="shared" ca="1" si="110"/>
        <v>RL Capex 2021-22</v>
      </c>
      <c r="C98" s="1429"/>
      <c r="D98" s="1429"/>
      <c r="E98" s="1429"/>
      <c r="F98" s="1429"/>
      <c r="G98" s="1429"/>
      <c r="H98" s="1424"/>
      <c r="I98" s="1428">
        <f>I64</f>
        <v>20</v>
      </c>
      <c r="J98" s="1423">
        <f t="shared" si="96"/>
        <v>19</v>
      </c>
      <c r="K98" s="1423">
        <f t="shared" si="97"/>
        <v>18</v>
      </c>
      <c r="L98" s="1423">
        <f t="shared" si="98"/>
        <v>17</v>
      </c>
      <c r="M98" s="1423">
        <f t="shared" si="99"/>
        <v>16</v>
      </c>
      <c r="N98" s="1423">
        <f t="shared" si="100"/>
        <v>15</v>
      </c>
      <c r="O98" s="1423">
        <f t="shared" si="101"/>
        <v>14</v>
      </c>
      <c r="P98" s="1423">
        <f t="shared" si="102"/>
        <v>13</v>
      </c>
      <c r="Q98" s="1423">
        <f t="shared" si="103"/>
        <v>12</v>
      </c>
      <c r="R98" s="1423">
        <f t="shared" si="104"/>
        <v>11</v>
      </c>
      <c r="S98" s="1423">
        <f t="shared" si="105"/>
        <v>10</v>
      </c>
      <c r="T98" s="1423">
        <f t="shared" si="106"/>
        <v>9</v>
      </c>
      <c r="U98" s="1423">
        <f t="shared" si="107"/>
        <v>8</v>
      </c>
      <c r="V98" s="1423">
        <f t="shared" si="108"/>
        <v>7</v>
      </c>
      <c r="W98" s="1423">
        <f t="shared" si="109"/>
        <v>6</v>
      </c>
      <c r="X98" s="152"/>
      <c r="Y98" s="152"/>
      <c r="Z98" s="152"/>
      <c r="AA98" s="152"/>
      <c r="AB98" s="152"/>
    </row>
    <row r="99" spans="1:28" ht="12.75" hidden="1" customHeight="1" outlineLevel="1">
      <c r="A99" s="242"/>
      <c r="B99" s="190" t="str">
        <f t="shared" ca="1" si="110"/>
        <v>RL Capex 2022-23</v>
      </c>
      <c r="C99" s="1429"/>
      <c r="D99" s="1429"/>
      <c r="E99" s="1429"/>
      <c r="F99" s="1429"/>
      <c r="G99" s="1429"/>
      <c r="H99" s="1429"/>
      <c r="I99" s="1424"/>
      <c r="J99" s="1428">
        <f>J64</f>
        <v>20</v>
      </c>
      <c r="K99" s="1423">
        <f t="shared" si="97"/>
        <v>19</v>
      </c>
      <c r="L99" s="1423">
        <f t="shared" si="98"/>
        <v>18</v>
      </c>
      <c r="M99" s="1423">
        <f t="shared" si="99"/>
        <v>17</v>
      </c>
      <c r="N99" s="1423">
        <f t="shared" si="100"/>
        <v>16</v>
      </c>
      <c r="O99" s="1423">
        <f t="shared" si="101"/>
        <v>15</v>
      </c>
      <c r="P99" s="1423">
        <f t="shared" si="102"/>
        <v>14</v>
      </c>
      <c r="Q99" s="1423">
        <f t="shared" si="103"/>
        <v>13</v>
      </c>
      <c r="R99" s="1423">
        <f t="shared" si="104"/>
        <v>12</v>
      </c>
      <c r="S99" s="1423">
        <f t="shared" si="105"/>
        <v>11</v>
      </c>
      <c r="T99" s="1423">
        <f t="shared" si="106"/>
        <v>10</v>
      </c>
      <c r="U99" s="1423">
        <f t="shared" si="107"/>
        <v>9</v>
      </c>
      <c r="V99" s="1423">
        <f t="shared" si="108"/>
        <v>8</v>
      </c>
      <c r="W99" s="1423">
        <f t="shared" si="109"/>
        <v>7</v>
      </c>
      <c r="X99" s="152"/>
      <c r="Y99" s="152"/>
      <c r="Z99" s="152"/>
      <c r="AA99" s="152"/>
      <c r="AB99" s="152"/>
    </row>
    <row r="100" spans="1:28" ht="12.75" hidden="1" customHeight="1" outlineLevel="1">
      <c r="A100" s="242"/>
      <c r="B100" s="190" t="str">
        <f t="shared" ca="1" si="110"/>
        <v>RL Capex 2023-24</v>
      </c>
      <c r="C100" s="1429"/>
      <c r="D100" s="1429"/>
      <c r="E100" s="1429"/>
      <c r="F100" s="1429"/>
      <c r="G100" s="1429"/>
      <c r="H100" s="1429"/>
      <c r="I100" s="1429"/>
      <c r="J100" s="1424"/>
      <c r="K100" s="1428">
        <f>K64</f>
        <v>20</v>
      </c>
      <c r="L100" s="1423">
        <f t="shared" si="98"/>
        <v>19</v>
      </c>
      <c r="M100" s="1423">
        <f t="shared" si="99"/>
        <v>18</v>
      </c>
      <c r="N100" s="1423">
        <f t="shared" si="100"/>
        <v>17</v>
      </c>
      <c r="O100" s="1423">
        <f t="shared" si="101"/>
        <v>16</v>
      </c>
      <c r="P100" s="1423">
        <f t="shared" si="102"/>
        <v>15</v>
      </c>
      <c r="Q100" s="1423">
        <f t="shared" si="103"/>
        <v>14</v>
      </c>
      <c r="R100" s="1423">
        <f t="shared" si="104"/>
        <v>13</v>
      </c>
      <c r="S100" s="1423">
        <f t="shared" si="105"/>
        <v>12</v>
      </c>
      <c r="T100" s="1423">
        <f t="shared" si="106"/>
        <v>11</v>
      </c>
      <c r="U100" s="1423">
        <f t="shared" si="107"/>
        <v>10</v>
      </c>
      <c r="V100" s="1423">
        <f t="shared" si="108"/>
        <v>9</v>
      </c>
      <c r="W100" s="1423">
        <f t="shared" si="109"/>
        <v>8</v>
      </c>
      <c r="X100" s="152"/>
      <c r="Y100" s="152"/>
      <c r="Z100" s="152"/>
      <c r="AA100" s="152"/>
      <c r="AB100" s="152"/>
    </row>
    <row r="101" spans="1:28" ht="12.75" hidden="1" customHeight="1" outlineLevel="1">
      <c r="A101" s="242"/>
      <c r="B101" s="190" t="str">
        <f t="shared" ca="1" si="110"/>
        <v>RL Capex 2024-25</v>
      </c>
      <c r="C101" s="1429"/>
      <c r="D101" s="1429"/>
      <c r="E101" s="1429"/>
      <c r="F101" s="1429"/>
      <c r="G101" s="1429"/>
      <c r="H101" s="1429"/>
      <c r="I101" s="1429"/>
      <c r="J101" s="1429"/>
      <c r="K101" s="1424"/>
      <c r="L101" s="1428">
        <f>L64</f>
        <v>20</v>
      </c>
      <c r="M101" s="1423">
        <f t="shared" si="99"/>
        <v>19</v>
      </c>
      <c r="N101" s="1423">
        <f t="shared" si="100"/>
        <v>18</v>
      </c>
      <c r="O101" s="1423">
        <f t="shared" si="101"/>
        <v>17</v>
      </c>
      <c r="P101" s="1423">
        <f t="shared" si="102"/>
        <v>16</v>
      </c>
      <c r="Q101" s="1423">
        <f t="shared" si="103"/>
        <v>15</v>
      </c>
      <c r="R101" s="1423">
        <f t="shared" si="104"/>
        <v>14</v>
      </c>
      <c r="S101" s="1423">
        <f t="shared" si="105"/>
        <v>13</v>
      </c>
      <c r="T101" s="1423">
        <f t="shared" si="106"/>
        <v>12</v>
      </c>
      <c r="U101" s="1423">
        <f t="shared" si="107"/>
        <v>11</v>
      </c>
      <c r="V101" s="1423">
        <f t="shared" si="108"/>
        <v>10</v>
      </c>
      <c r="W101" s="1423">
        <f t="shared" si="109"/>
        <v>9</v>
      </c>
      <c r="X101" s="152"/>
      <c r="Y101" s="152"/>
      <c r="Z101" s="152"/>
      <c r="AA101" s="152"/>
      <c r="AB101" s="152"/>
    </row>
    <row r="102" spans="1:28" ht="12.75" hidden="1" customHeight="1" outlineLevel="1">
      <c r="A102" s="242"/>
      <c r="B102" s="190" t="str">
        <f t="shared" ca="1" si="110"/>
        <v>RL Capex 2025-26</v>
      </c>
      <c r="C102" s="1429"/>
      <c r="D102" s="1429"/>
      <c r="E102" s="1429"/>
      <c r="F102" s="1429"/>
      <c r="G102" s="1429"/>
      <c r="H102" s="1429"/>
      <c r="I102" s="1429"/>
      <c r="J102" s="1429"/>
      <c r="K102" s="1429"/>
      <c r="L102" s="1424"/>
      <c r="M102" s="1428">
        <f>M64</f>
        <v>20</v>
      </c>
      <c r="N102" s="1423">
        <f t="shared" si="100"/>
        <v>19</v>
      </c>
      <c r="O102" s="1423">
        <f t="shared" si="101"/>
        <v>18</v>
      </c>
      <c r="P102" s="1423">
        <f t="shared" si="102"/>
        <v>17</v>
      </c>
      <c r="Q102" s="1423">
        <f t="shared" si="103"/>
        <v>16</v>
      </c>
      <c r="R102" s="1423">
        <f t="shared" si="104"/>
        <v>15</v>
      </c>
      <c r="S102" s="1423">
        <f t="shared" si="105"/>
        <v>14</v>
      </c>
      <c r="T102" s="1423">
        <f t="shared" si="106"/>
        <v>13</v>
      </c>
      <c r="U102" s="1423">
        <f t="shared" si="107"/>
        <v>12</v>
      </c>
      <c r="V102" s="1423">
        <f t="shared" si="108"/>
        <v>11</v>
      </c>
      <c r="W102" s="1423">
        <f t="shared" si="109"/>
        <v>10</v>
      </c>
      <c r="X102" s="152"/>
      <c r="Y102" s="152"/>
      <c r="Z102" s="152"/>
      <c r="AA102" s="152"/>
      <c r="AB102" s="152"/>
    </row>
    <row r="103" spans="1:28" ht="12.75" hidden="1" customHeight="1" outlineLevel="1">
      <c r="A103" s="242"/>
      <c r="B103" s="190" t="str">
        <f t="shared" ca="1" si="110"/>
        <v>RL Capex 2026-27</v>
      </c>
      <c r="C103" s="1429"/>
      <c r="D103" s="1429"/>
      <c r="E103" s="1429"/>
      <c r="F103" s="1429"/>
      <c r="G103" s="1429"/>
      <c r="H103" s="1429"/>
      <c r="I103" s="1429"/>
      <c r="J103" s="1429"/>
      <c r="K103" s="1429"/>
      <c r="L103" s="1429"/>
      <c r="M103" s="1424"/>
      <c r="N103" s="1428">
        <f>N64</f>
        <v>0</v>
      </c>
      <c r="O103" s="1423">
        <f t="shared" si="101"/>
        <v>0</v>
      </c>
      <c r="P103" s="1423">
        <f t="shared" si="102"/>
        <v>0</v>
      </c>
      <c r="Q103" s="1423">
        <f t="shared" si="103"/>
        <v>0</v>
      </c>
      <c r="R103" s="1423">
        <f t="shared" si="104"/>
        <v>0</v>
      </c>
      <c r="S103" s="1423">
        <f t="shared" si="105"/>
        <v>0</v>
      </c>
      <c r="T103" s="1423">
        <f t="shared" si="106"/>
        <v>0</v>
      </c>
      <c r="U103" s="1423">
        <f t="shared" si="107"/>
        <v>0</v>
      </c>
      <c r="V103" s="1423">
        <f t="shared" si="108"/>
        <v>0</v>
      </c>
      <c r="W103" s="1423">
        <f t="shared" si="109"/>
        <v>0</v>
      </c>
      <c r="X103" s="152"/>
      <c r="Y103" s="152"/>
      <c r="Z103" s="152"/>
      <c r="AA103" s="152"/>
      <c r="AB103" s="152"/>
    </row>
    <row r="104" spans="1:28" ht="12.75" hidden="1" customHeight="1" outlineLevel="1">
      <c r="A104" s="242"/>
      <c r="B104" s="190" t="str">
        <f t="shared" ca="1" si="110"/>
        <v>RL Capex 2027-28</v>
      </c>
      <c r="C104" s="1429"/>
      <c r="D104" s="1429"/>
      <c r="E104" s="1429"/>
      <c r="F104" s="1429"/>
      <c r="G104" s="1429"/>
      <c r="H104" s="1429"/>
      <c r="I104" s="1429"/>
      <c r="J104" s="1429"/>
      <c r="K104" s="1429"/>
      <c r="L104" s="1429"/>
      <c r="M104" s="1429"/>
      <c r="N104" s="1424"/>
      <c r="O104" s="1428">
        <f>O64</f>
        <v>0</v>
      </c>
      <c r="P104" s="1423">
        <f t="shared" si="102"/>
        <v>0</v>
      </c>
      <c r="Q104" s="1423">
        <f t="shared" si="103"/>
        <v>0</v>
      </c>
      <c r="R104" s="1423">
        <f t="shared" si="104"/>
        <v>0</v>
      </c>
      <c r="S104" s="1423">
        <f t="shared" si="105"/>
        <v>0</v>
      </c>
      <c r="T104" s="1423">
        <f t="shared" si="106"/>
        <v>0</v>
      </c>
      <c r="U104" s="1423">
        <f t="shared" si="107"/>
        <v>0</v>
      </c>
      <c r="V104" s="1423">
        <f t="shared" si="108"/>
        <v>0</v>
      </c>
      <c r="W104" s="1423">
        <f t="shared" si="109"/>
        <v>0</v>
      </c>
      <c r="X104" s="152"/>
      <c r="Y104" s="152"/>
      <c r="Z104" s="152"/>
      <c r="AA104" s="152"/>
      <c r="AB104" s="152"/>
    </row>
    <row r="105" spans="1:28" ht="12.75" hidden="1" customHeight="1" outlineLevel="1">
      <c r="A105" s="242"/>
      <c r="B105" s="190" t="str">
        <f t="shared" ca="1" si="110"/>
        <v>RL Capex 2028-29</v>
      </c>
      <c r="C105" s="1429"/>
      <c r="D105" s="1429"/>
      <c r="E105" s="1429"/>
      <c r="F105" s="1429"/>
      <c r="G105" s="1429"/>
      <c r="H105" s="1429"/>
      <c r="I105" s="1429"/>
      <c r="J105" s="1429"/>
      <c r="K105" s="1429"/>
      <c r="L105" s="1429"/>
      <c r="M105" s="1429"/>
      <c r="N105" s="1429"/>
      <c r="O105" s="1424"/>
      <c r="P105" s="1428">
        <f>P64</f>
        <v>0</v>
      </c>
      <c r="Q105" s="1423">
        <f t="shared" si="103"/>
        <v>0</v>
      </c>
      <c r="R105" s="1423">
        <f t="shared" si="104"/>
        <v>0</v>
      </c>
      <c r="S105" s="1423">
        <f t="shared" si="105"/>
        <v>0</v>
      </c>
      <c r="T105" s="1423">
        <f t="shared" si="106"/>
        <v>0</v>
      </c>
      <c r="U105" s="1423">
        <f t="shared" si="107"/>
        <v>0</v>
      </c>
      <c r="V105" s="1423">
        <f t="shared" si="108"/>
        <v>0</v>
      </c>
      <c r="W105" s="1423">
        <f t="shared" si="109"/>
        <v>0</v>
      </c>
      <c r="X105" s="152"/>
      <c r="Y105" s="152"/>
      <c r="Z105" s="152"/>
      <c r="AA105" s="152"/>
      <c r="AB105" s="152"/>
    </row>
    <row r="106" spans="1:28" ht="12.75" hidden="1" customHeight="1" outlineLevel="1">
      <c r="A106" s="242"/>
      <c r="B106" s="190" t="str">
        <f t="shared" ca="1" si="110"/>
        <v>RL Capex 2029-30</v>
      </c>
      <c r="C106" s="1429"/>
      <c r="D106" s="1429"/>
      <c r="E106" s="1429"/>
      <c r="F106" s="1429"/>
      <c r="G106" s="1429"/>
      <c r="H106" s="1429"/>
      <c r="I106" s="1429"/>
      <c r="J106" s="1429"/>
      <c r="K106" s="1429"/>
      <c r="L106" s="1429"/>
      <c r="M106" s="1429"/>
      <c r="N106" s="1429"/>
      <c r="O106" s="1429"/>
      <c r="P106" s="1424"/>
      <c r="Q106" s="1428">
        <f>Q64</f>
        <v>0</v>
      </c>
      <c r="R106" s="1423">
        <f t="shared" si="104"/>
        <v>0</v>
      </c>
      <c r="S106" s="1423">
        <f t="shared" si="105"/>
        <v>0</v>
      </c>
      <c r="T106" s="1423">
        <f t="shared" si="106"/>
        <v>0</v>
      </c>
      <c r="U106" s="1423">
        <f t="shared" si="107"/>
        <v>0</v>
      </c>
      <c r="V106" s="1423">
        <f t="shared" si="108"/>
        <v>0</v>
      </c>
      <c r="W106" s="1423">
        <f t="shared" si="109"/>
        <v>0</v>
      </c>
      <c r="X106" s="152"/>
      <c r="Y106" s="152"/>
      <c r="Z106" s="152"/>
      <c r="AA106" s="152"/>
      <c r="AB106" s="152"/>
    </row>
    <row r="107" spans="1:28" ht="12.75" hidden="1" customHeight="1" outlineLevel="1">
      <c r="A107" s="242"/>
      <c r="B107" s="190" t="str">
        <f t="shared" ca="1" si="110"/>
        <v>RL Capex 2030-31</v>
      </c>
      <c r="C107" s="1429"/>
      <c r="D107" s="1429"/>
      <c r="E107" s="1429"/>
      <c r="F107" s="1429"/>
      <c r="G107" s="1429"/>
      <c r="H107" s="1429"/>
      <c r="I107" s="1429"/>
      <c r="J107" s="1429"/>
      <c r="K107" s="1429"/>
      <c r="L107" s="1429"/>
      <c r="M107" s="1429"/>
      <c r="N107" s="1429"/>
      <c r="O107" s="1429"/>
      <c r="P107" s="1429"/>
      <c r="Q107" s="1424"/>
      <c r="R107" s="1428">
        <f>R64</f>
        <v>0</v>
      </c>
      <c r="S107" s="1423">
        <f t="shared" si="105"/>
        <v>0</v>
      </c>
      <c r="T107" s="1423">
        <f t="shared" si="106"/>
        <v>0</v>
      </c>
      <c r="U107" s="1423">
        <f t="shared" si="107"/>
        <v>0</v>
      </c>
      <c r="V107" s="1423">
        <f t="shared" si="108"/>
        <v>0</v>
      </c>
      <c r="W107" s="1423">
        <f t="shared" si="109"/>
        <v>0</v>
      </c>
      <c r="X107" s="152"/>
      <c r="Y107" s="152"/>
      <c r="Z107" s="152"/>
      <c r="AA107" s="152"/>
      <c r="AB107" s="152"/>
    </row>
    <row r="108" spans="1:28" ht="12.75" hidden="1" customHeight="1" outlineLevel="1">
      <c r="A108" s="242"/>
      <c r="B108" s="190" t="str">
        <f t="shared" ca="1" si="110"/>
        <v>RL Capex 2031-32</v>
      </c>
      <c r="C108" s="1429"/>
      <c r="D108" s="1429"/>
      <c r="E108" s="1429"/>
      <c r="F108" s="1429"/>
      <c r="G108" s="1429"/>
      <c r="H108" s="1429"/>
      <c r="I108" s="1429"/>
      <c r="J108" s="1429"/>
      <c r="K108" s="1429"/>
      <c r="L108" s="1429"/>
      <c r="M108" s="1429"/>
      <c r="N108" s="1429"/>
      <c r="O108" s="1429"/>
      <c r="P108" s="1429"/>
      <c r="Q108" s="1429"/>
      <c r="R108" s="1424"/>
      <c r="S108" s="1428">
        <f>S64</f>
        <v>0</v>
      </c>
      <c r="T108" s="1423">
        <f t="shared" si="106"/>
        <v>0</v>
      </c>
      <c r="U108" s="1423">
        <f t="shared" si="107"/>
        <v>0</v>
      </c>
      <c r="V108" s="1423">
        <f t="shared" si="108"/>
        <v>0</v>
      </c>
      <c r="W108" s="1423">
        <f t="shared" si="109"/>
        <v>0</v>
      </c>
      <c r="X108" s="152"/>
      <c r="Y108" s="152"/>
      <c r="Z108" s="152"/>
      <c r="AA108" s="152"/>
      <c r="AB108" s="152"/>
    </row>
    <row r="109" spans="1:28" ht="12.75" hidden="1" customHeight="1" outlineLevel="1">
      <c r="A109" s="242"/>
      <c r="B109" s="190" t="str">
        <f t="shared" ca="1" si="110"/>
        <v>RL Capex 2032-33</v>
      </c>
      <c r="C109" s="1429"/>
      <c r="D109" s="1429"/>
      <c r="E109" s="1429"/>
      <c r="F109" s="1429"/>
      <c r="G109" s="1429"/>
      <c r="H109" s="1429"/>
      <c r="I109" s="1429"/>
      <c r="J109" s="1429"/>
      <c r="K109" s="1429"/>
      <c r="L109" s="1429"/>
      <c r="M109" s="1429"/>
      <c r="N109" s="1429"/>
      <c r="O109" s="1429"/>
      <c r="P109" s="1429"/>
      <c r="Q109" s="1429"/>
      <c r="R109" s="1429"/>
      <c r="S109" s="1424"/>
      <c r="T109" s="1428">
        <f>T64</f>
        <v>0</v>
      </c>
      <c r="U109" s="1423">
        <f t="shared" si="107"/>
        <v>0</v>
      </c>
      <c r="V109" s="1423">
        <f t="shared" si="108"/>
        <v>0</v>
      </c>
      <c r="W109" s="1423">
        <f t="shared" si="109"/>
        <v>0</v>
      </c>
      <c r="X109" s="152"/>
      <c r="Y109" s="152"/>
      <c r="Z109" s="152"/>
      <c r="AA109" s="152"/>
      <c r="AB109" s="152"/>
    </row>
    <row r="110" spans="1:28" ht="12.75" hidden="1" customHeight="1" outlineLevel="1">
      <c r="A110" s="242"/>
      <c r="B110" s="190" t="str">
        <f t="shared" ca="1" si="110"/>
        <v>RL Capex 2033-34</v>
      </c>
      <c r="C110" s="1429"/>
      <c r="D110" s="1429"/>
      <c r="E110" s="1429"/>
      <c r="F110" s="1429"/>
      <c r="G110" s="1429"/>
      <c r="H110" s="1429"/>
      <c r="I110" s="1429"/>
      <c r="J110" s="1429"/>
      <c r="K110" s="1429"/>
      <c r="L110" s="1429"/>
      <c r="M110" s="1429"/>
      <c r="N110" s="1429"/>
      <c r="O110" s="1429"/>
      <c r="P110" s="1429"/>
      <c r="Q110" s="1429"/>
      <c r="R110" s="1429"/>
      <c r="S110" s="1429"/>
      <c r="T110" s="1424"/>
      <c r="U110" s="1428">
        <f>U64</f>
        <v>0</v>
      </c>
      <c r="V110" s="1423">
        <f t="shared" si="108"/>
        <v>0</v>
      </c>
      <c r="W110" s="1423">
        <f t="shared" si="109"/>
        <v>0</v>
      </c>
      <c r="X110" s="152"/>
      <c r="Y110" s="152"/>
      <c r="Z110" s="152"/>
      <c r="AA110" s="152"/>
      <c r="AB110" s="152"/>
    </row>
    <row r="111" spans="1:28" ht="12.75" hidden="1" customHeight="1" outlineLevel="1">
      <c r="A111" s="242"/>
      <c r="B111" s="190" t="str">
        <f t="shared" ca="1" si="110"/>
        <v>RL Capex 2034-35</v>
      </c>
      <c r="C111" s="1429"/>
      <c r="D111" s="1429"/>
      <c r="E111" s="1429"/>
      <c r="F111" s="1429"/>
      <c r="G111" s="1429"/>
      <c r="H111" s="1429"/>
      <c r="I111" s="1429"/>
      <c r="J111" s="1429"/>
      <c r="K111" s="1429"/>
      <c r="L111" s="1429"/>
      <c r="M111" s="1429"/>
      <c r="N111" s="1429"/>
      <c r="O111" s="1429"/>
      <c r="P111" s="1429"/>
      <c r="Q111" s="1429"/>
      <c r="R111" s="1429"/>
      <c r="S111" s="1429"/>
      <c r="T111" s="1429"/>
      <c r="U111" s="1424"/>
      <c r="V111" s="1428">
        <f>V64</f>
        <v>0</v>
      </c>
      <c r="W111" s="1423">
        <f>IF(V111="n/a","n/a",MAX(0,V111-1))</f>
        <v>0</v>
      </c>
      <c r="X111" s="152"/>
      <c r="Y111" s="152"/>
      <c r="Z111" s="152"/>
      <c r="AA111" s="152"/>
      <c r="AB111" s="152"/>
    </row>
    <row r="112" spans="1:28" ht="12.75" hidden="1" customHeight="1" outlineLevel="1">
      <c r="A112" s="242"/>
      <c r="B112" s="190" t="str">
        <f t="shared" ca="1" si="110"/>
        <v>RL Capex 2035-36</v>
      </c>
      <c r="C112" s="1429"/>
      <c r="D112" s="1429"/>
      <c r="E112" s="1429"/>
      <c r="F112" s="1429"/>
      <c r="G112" s="1429"/>
      <c r="H112" s="1429"/>
      <c r="I112" s="1429"/>
      <c r="J112" s="1429"/>
      <c r="K112" s="1429"/>
      <c r="L112" s="1429"/>
      <c r="M112" s="1429"/>
      <c r="N112" s="1429"/>
      <c r="O112" s="1429"/>
      <c r="P112" s="1429"/>
      <c r="Q112" s="1429"/>
      <c r="R112" s="1429"/>
      <c r="S112" s="1429"/>
      <c r="T112" s="1429"/>
      <c r="U112" s="1429"/>
      <c r="V112" s="1424"/>
      <c r="W112" s="1423">
        <f>W64</f>
        <v>0</v>
      </c>
      <c r="X112" s="152"/>
      <c r="Y112" s="152"/>
      <c r="Z112" s="152"/>
      <c r="AA112" s="152"/>
      <c r="AB112" s="152"/>
    </row>
    <row r="113" spans="1:28" ht="12.75" hidden="1" customHeight="1" outlineLevel="1">
      <c r="A113" s="242"/>
      <c r="B113" s="200"/>
      <c r="C113" s="1423"/>
      <c r="D113" s="1423"/>
      <c r="E113" s="1423"/>
      <c r="F113" s="1423"/>
      <c r="G113" s="1423"/>
      <c r="H113" s="1423"/>
      <c r="I113" s="1423"/>
      <c r="J113" s="1423"/>
      <c r="K113" s="1423"/>
      <c r="L113" s="1423"/>
      <c r="M113" s="1423"/>
      <c r="N113" s="1423"/>
      <c r="O113" s="1423"/>
      <c r="P113" s="1423"/>
      <c r="Q113" s="1423"/>
      <c r="R113" s="1423"/>
      <c r="S113" s="1423"/>
      <c r="T113" s="1423"/>
      <c r="U113" s="1423"/>
      <c r="V113" s="1423"/>
      <c r="W113" s="1423"/>
      <c r="X113" s="152"/>
      <c r="Y113" s="152"/>
      <c r="Z113" s="152"/>
      <c r="AA113" s="152"/>
      <c r="AB113" s="152"/>
    </row>
    <row r="114" spans="1:28" collapsed="1">
      <c r="A114" s="246"/>
      <c r="B114" s="204" t="s">
        <v>123</v>
      </c>
      <c r="C114" s="1430">
        <f ca="1">(IF(OR($C64&lt;&gt;"n/a",C64&lt;&gt;"n/a"),IF(SUM(C67:C89)=0,0,IF((SUMPRODUCT(C67:C89,C91:C113)/SUM(C67:C89))&lt;0,1,(SUMPRODUCT(C67:C89,C91:C113)/SUM(C67:C89)))),"n/a"))</f>
        <v>15.202063233473952</v>
      </c>
      <c r="D114" s="1430">
        <f ca="1">(IF(OR($C64&lt;&gt;"n/a",D64&lt;&gt;"n/a"),IF(SUM(D67:D89)=0,0,IF((SUMPRODUCT(D67:D89,D91:D113)/SUM(D67:D89))&lt;0,1,(SUMPRODUCT(D67:D89,D91:D113)/SUM(D67:D89)))),"n/a"))</f>
        <v>14.831485169544631</v>
      </c>
      <c r="E114" s="1430">
        <f t="shared" ref="E114:W114" ca="1" si="111">(IF(OR($C64&lt;&gt;"n/a",E64&lt;&gt;"n/a"),IF(SUM(E67:E89)=0,0,IF((SUMPRODUCT(E67:E89,E91:E113)/SUM(E67:E89))&lt;0,1,(SUMPRODUCT(E67:E89,E91:E113)/SUM(E67:E89)))),"n/a"))</f>
        <v>14.528363916728432</v>
      </c>
      <c r="F114" s="1430">
        <f t="shared" ca="1" si="111"/>
        <v>14.288416284354202</v>
      </c>
      <c r="G114" s="1430">
        <f t="shared" ca="1" si="111"/>
        <v>13.987535157762686</v>
      </c>
      <c r="H114" s="1430">
        <f t="shared" ca="1" si="111"/>
        <v>13.796094524205294</v>
      </c>
      <c r="I114" s="1430">
        <f t="shared" ca="1" si="111"/>
        <v>13.481643921676095</v>
      </c>
      <c r="J114" s="1430">
        <f t="shared" ca="1" si="111"/>
        <v>12.986467079315423</v>
      </c>
      <c r="K114" s="1430">
        <f t="shared" ca="1" si="111"/>
        <v>12.141765786896357</v>
      </c>
      <c r="L114" s="1430">
        <f t="shared" ca="1" si="111"/>
        <v>11.330194142175403</v>
      </c>
      <c r="M114" s="1430">
        <f t="shared" ca="1" si="111"/>
        <v>10.563619183619405</v>
      </c>
      <c r="N114" s="1430">
        <f t="shared" ca="1" si="111"/>
        <v>9.8603441259906486</v>
      </c>
      <c r="O114" s="1430">
        <f t="shared" ca="1" si="111"/>
        <v>9.2501561752167554</v>
      </c>
      <c r="P114" s="1430">
        <f t="shared" ca="1" si="111"/>
        <v>8.7850088928667365</v>
      </c>
      <c r="Q114" s="1430">
        <f t="shared" ca="1" si="111"/>
        <v>8.5643539562207884</v>
      </c>
      <c r="R114" s="1430">
        <f t="shared" ca="1" si="111"/>
        <v>8.8055043521723082</v>
      </c>
      <c r="S114" s="1430">
        <f t="shared" ca="1" si="111"/>
        <v>8.1929757198262205</v>
      </c>
      <c r="T114" s="1430">
        <f t="shared" ca="1" si="111"/>
        <v>7.2591225747873258</v>
      </c>
      <c r="U114" s="1430">
        <f t="shared" ca="1" si="111"/>
        <v>6.3482902331486244</v>
      </c>
      <c r="V114" s="1430">
        <f t="shared" ca="1" si="111"/>
        <v>5.4750282499478153</v>
      </c>
      <c r="W114" s="1430">
        <f t="shared" ca="1" si="111"/>
        <v>4.6694193641780126</v>
      </c>
      <c r="X114" s="152"/>
      <c r="Y114" s="152"/>
      <c r="Z114" s="152"/>
      <c r="AA114" s="152"/>
      <c r="AB114" s="152"/>
    </row>
    <row r="115" spans="1:28">
      <c r="A115" s="242"/>
      <c r="B115" s="152"/>
      <c r="C115" s="1423"/>
      <c r="D115" s="1423"/>
      <c r="E115" s="1423"/>
      <c r="F115" s="1423"/>
      <c r="G115" s="1423"/>
      <c r="H115" s="1423"/>
      <c r="I115" s="1423"/>
      <c r="J115" s="1423"/>
      <c r="K115" s="1423"/>
      <c r="L115" s="1423"/>
      <c r="M115" s="1423"/>
      <c r="N115" s="1423"/>
      <c r="O115" s="1423"/>
      <c r="P115" s="1423"/>
      <c r="Q115" s="1423"/>
      <c r="R115" s="1423"/>
      <c r="S115" s="1423"/>
      <c r="T115" s="1423"/>
      <c r="U115" s="1423"/>
      <c r="V115" s="1423"/>
      <c r="W115" s="1423"/>
      <c r="X115" s="152"/>
      <c r="Y115" s="152"/>
      <c r="Z115" s="152"/>
      <c r="AA115" s="152"/>
      <c r="AB115" s="152"/>
    </row>
    <row r="116" spans="1:28">
      <c r="A116" s="269" t="s">
        <v>3</v>
      </c>
      <c r="B116" s="270" t="str">
        <f>VLOOKUP($A116,'RFM input'!$E$7:$F$56,2,FALSE)</f>
        <v>Meters</v>
      </c>
      <c r="C116" s="1431"/>
      <c r="D116" s="1431"/>
      <c r="E116" s="1432"/>
      <c r="F116" s="1432"/>
      <c r="G116" s="1432"/>
      <c r="H116" s="1432"/>
      <c r="I116" s="1432"/>
      <c r="J116" s="1432"/>
      <c r="K116" s="1432"/>
      <c r="L116" s="1432"/>
      <c r="M116" s="1432"/>
      <c r="N116" s="1432"/>
      <c r="O116" s="1432"/>
      <c r="P116" s="1432"/>
      <c r="Q116" s="1432"/>
      <c r="R116" s="1432"/>
      <c r="S116" s="1432"/>
      <c r="T116" s="1432"/>
      <c r="U116" s="1432"/>
      <c r="V116" s="1432"/>
      <c r="W116" s="1432"/>
      <c r="X116" s="152"/>
      <c r="Y116" s="152"/>
      <c r="Z116" s="152"/>
      <c r="AA116" s="152"/>
      <c r="AB116" s="152"/>
    </row>
    <row r="117" spans="1:28">
      <c r="A117" s="215">
        <f>VALUE(REPLACE(A116,1,12,""))</f>
        <v>3</v>
      </c>
      <c r="B117" s="263" t="s">
        <v>126</v>
      </c>
      <c r="C117" s="1416">
        <f ca="1">IF($D$6='TAB roll forward'!$H$4,OFFSET('TAB roll forward'!$H$7,A117,0),"enter input")</f>
        <v>19.489608698910086</v>
      </c>
      <c r="D117" s="1417">
        <f>IF(LEFT(D$6,4)&lt;LEFT('RFM input'!$G$60,4),"enter input",IF(LEFT(D$6,4)&gt;LEFT('RFM input'!$Q$60,4),0,
INDEX('RFM input'!$G$61:$Q$110,$A117,MATCH(D$6,'RFM input'!$G$60:$Q$60,0))
   -INDEX('RFM input'!$G$115:$Q$164,$A117,MATCH(D$6,'RFM input'!$G$60:$Q$60,0))))</f>
        <v>2.9043043091550298</v>
      </c>
      <c r="E117" s="1417">
        <f>IF(LEFT(E$6,4)&lt;LEFT('RFM input'!$G$60,4),"enter input",IF(LEFT(E$6,4)&gt;LEFT('RFM input'!$Q$60,4),0,
INDEX('RFM input'!$G$61:$Q$110,$A117,MATCH(E$6,'RFM input'!$G$60:$Q$60,0))
   -INDEX('RFM input'!$G$115:$Q$164,$A117,MATCH(E$6,'RFM input'!$G$60:$Q$60,0))))</f>
        <v>2.9440507505501161</v>
      </c>
      <c r="F117" s="1417">
        <f>IF(LEFT(F$6,4)&lt;LEFT('RFM input'!$G$60,4),"enter input",IF(LEFT(F$6,4)&gt;LEFT('RFM input'!$Q$60,4),0,
INDEX('RFM input'!$G$61:$Q$110,$A117,MATCH(F$6,'RFM input'!$G$60:$Q$60,0))
   -INDEX('RFM input'!$G$115:$Q$164,$A117,MATCH(F$6,'RFM input'!$G$60:$Q$60,0))))</f>
        <v>3.4852089981836998</v>
      </c>
      <c r="G117" s="1417">
        <f>IF(LEFT(G$6,4)&lt;LEFT('RFM input'!$G$60,4),"enter input",IF(LEFT(G$6,4)&gt;LEFT('RFM input'!$Q$60,4),0,
INDEX('RFM input'!$G$61:$Q$110,$A117,MATCH(G$6,'RFM input'!$G$60:$Q$60,0))
   -INDEX('RFM input'!$G$115:$Q$164,$A117,MATCH(G$6,'RFM input'!$G$60:$Q$60,0))))</f>
        <v>1.8192726395160452</v>
      </c>
      <c r="H117" s="1417">
        <f>IF(LEFT(H$6,4)&lt;LEFT('RFM input'!$G$60,4),"enter input",IF(LEFT(H$6,4)&gt;LEFT('RFM input'!$Q$60,4),0,
INDEX('RFM input'!$G$61:$Q$110,$A117,MATCH(H$6,'RFM input'!$G$60:$Q$60,0))
   -INDEX('RFM input'!$G$115:$Q$164,$A117,MATCH(H$6,'RFM input'!$G$60:$Q$60,0))))</f>
        <v>2.1102837918944823</v>
      </c>
      <c r="I117" s="1417">
        <f>IF(LEFT(I$6,4)&lt;LEFT('RFM input'!$G$60,4),"enter input",IF(LEFT(I$6,4)&gt;LEFT('RFM input'!$Q$60,4),0,
INDEX('RFM input'!$G$61:$Q$110,$A117,MATCH(I$6,'RFM input'!$G$60:$Q$60,0))
   -INDEX('RFM input'!$G$115:$Q$164,$A117,MATCH(I$6,'RFM input'!$G$60:$Q$60,0))))</f>
        <v>1.9623152067392149</v>
      </c>
      <c r="J117" s="1417">
        <f>IF(LEFT(J$6,4)&lt;LEFT('RFM input'!$G$60,4),"enter input",IF(LEFT(J$6,4)&gt;LEFT('RFM input'!$Q$60,4),0,
INDEX('RFM input'!$G$61:$Q$110,$A117,MATCH(J$6,'RFM input'!$G$60:$Q$60,0))
   -INDEX('RFM input'!$G$115:$Q$164,$A117,MATCH(J$6,'RFM input'!$G$60:$Q$60,0))))</f>
        <v>0.95236333444207322</v>
      </c>
      <c r="K117" s="1417">
        <f>IF(LEFT(K$6,4)&lt;LEFT('RFM input'!$G$60,4),"enter input",IF(LEFT(K$6,4)&gt;LEFT('RFM input'!$Q$60,4),0,
INDEX('RFM input'!$G$61:$Q$110,$A117,MATCH(K$6,'RFM input'!$G$60:$Q$60,0))
   -INDEX('RFM input'!$G$115:$Q$164,$A117,MATCH(K$6,'RFM input'!$G$60:$Q$60,0))))</f>
        <v>0</v>
      </c>
      <c r="L117" s="1417">
        <f>IF(LEFT(L$6,4)&lt;LEFT('RFM input'!$G$60,4),"enter input",IF(LEFT(L$6,4)&gt;LEFT('RFM input'!$Q$60,4),0,
INDEX('RFM input'!$G$61:$Q$110,$A117,MATCH(L$6,'RFM input'!$G$60:$Q$60,0))
   -INDEX('RFM input'!$G$115:$Q$164,$A117,MATCH(L$6,'RFM input'!$G$60:$Q$60,0))))</f>
        <v>0</v>
      </c>
      <c r="M117" s="1417">
        <f>IF(LEFT(M$6,4)&lt;LEFT('RFM input'!$G$60,4),"enter input",IF(LEFT(M$6,4)&gt;LEFT('RFM input'!$Q$60,4),0,
INDEX('RFM input'!$G$61:$Q$110,$A117,MATCH(M$6,'RFM input'!$G$60:$Q$60,0))
   -INDEX('RFM input'!$G$115:$Q$164,$A117,MATCH(M$6,'RFM input'!$G$60:$Q$60,0))))</f>
        <v>0</v>
      </c>
      <c r="N117" s="1417">
        <f>IF(LEFT(N$6,4)&lt;LEFT('RFM input'!$G$60,4),"enter input",IF(LEFT(N$6,4)&gt;LEFT('RFM input'!$Q$60,4),0,
INDEX('RFM input'!$G$61:$Q$110,$A117,MATCH(N$6,'RFM input'!$G$60:$Q$60,0))
   -INDEX('RFM input'!$G$115:$Q$164,$A117,MATCH(N$6,'RFM input'!$G$60:$Q$60,0))))</f>
        <v>0</v>
      </c>
      <c r="O117" s="1417">
        <f>IF(LEFT(O$6,4)&lt;LEFT('RFM input'!$G$60,4),"enter input",IF(LEFT(O$6,4)&gt;LEFT('RFM input'!$Q$60,4),0,
INDEX('RFM input'!$G$61:$Q$110,$A117,MATCH(O$6,'RFM input'!$G$60:$Q$60,0))
   -INDEX('RFM input'!$G$115:$Q$164,$A117,MATCH(O$6,'RFM input'!$G$60:$Q$60,0))))</f>
        <v>0</v>
      </c>
      <c r="P117" s="1417">
        <f>IF(LEFT(P$6,4)&lt;LEFT('RFM input'!$G$60,4),"enter input",IF(LEFT(P$6,4)&gt;LEFT('RFM input'!$Q$60,4),0,
INDEX('RFM input'!$G$61:$Q$110,$A117,MATCH(P$6,'RFM input'!$G$60:$Q$60,0))
   -INDEX('RFM input'!$G$115:$Q$164,$A117,MATCH(P$6,'RFM input'!$G$60:$Q$60,0))))</f>
        <v>0</v>
      </c>
      <c r="Q117" s="1417">
        <f>IF(LEFT(Q$6,4)&lt;LEFT('RFM input'!$G$60,4),"enter input",IF(LEFT(Q$6,4)&gt;LEFT('RFM input'!$Q$60,4),0,
INDEX('RFM input'!$G$61:$Q$110,$A117,MATCH(Q$6,'RFM input'!$G$60:$Q$60,0))
   -INDEX('RFM input'!$G$115:$Q$164,$A117,MATCH(Q$6,'RFM input'!$G$60:$Q$60,0))))</f>
        <v>0</v>
      </c>
      <c r="R117" s="1417">
        <f>IF(LEFT(R$6,4)&lt;LEFT('RFM input'!$G$60,4),"enter input",IF(LEFT(R$6,4)&gt;LEFT('RFM input'!$Q$60,4),0,
INDEX('RFM input'!$G$61:$Q$110,$A117,MATCH(R$6,'RFM input'!$G$60:$Q$60,0))
   -INDEX('RFM input'!$G$115:$Q$164,$A117,MATCH(R$6,'RFM input'!$G$60:$Q$60,0))))</f>
        <v>0</v>
      </c>
      <c r="S117" s="1417">
        <f>IF(LEFT(S$6,4)&lt;LEFT('RFM input'!$G$60,4),"enter input",IF(LEFT(S$6,4)&gt;LEFT('RFM input'!$Q$60,4),0,
INDEX('RFM input'!$G$61:$Q$110,$A117,MATCH(S$6,'RFM input'!$G$60:$Q$60,0))
   -INDEX('RFM input'!$G$115:$Q$164,$A117,MATCH(S$6,'RFM input'!$G$60:$Q$60,0))))</f>
        <v>0</v>
      </c>
      <c r="T117" s="1417">
        <f>IF(LEFT(T$6,4)&lt;LEFT('RFM input'!$G$60,4),"enter input",IF(LEFT(T$6,4)&gt;LEFT('RFM input'!$Q$60,4),0,
INDEX('RFM input'!$G$61:$Q$110,$A117,MATCH(T$6,'RFM input'!$G$60:$Q$60,0))
   -INDEX('RFM input'!$G$115:$Q$164,$A117,MATCH(T$6,'RFM input'!$G$60:$Q$60,0))))</f>
        <v>0</v>
      </c>
      <c r="U117" s="1417">
        <f>IF(LEFT(U$6,4)&lt;LEFT('RFM input'!$G$60,4),"enter input",IF(LEFT(U$6,4)&gt;LEFT('RFM input'!$Q$60,4),0,
INDEX('RFM input'!$G$61:$Q$110,$A117,MATCH(U$6,'RFM input'!$G$60:$Q$60,0))
   -INDEX('RFM input'!$G$115:$Q$164,$A117,MATCH(U$6,'RFM input'!$G$60:$Q$60,0))))</f>
        <v>0</v>
      </c>
      <c r="V117" s="1417">
        <f>IF(LEFT(V$6,4)&lt;LEFT('RFM input'!$G$60,4),"enter input",IF(LEFT(V$6,4)&gt;LEFT('RFM input'!$Q$60,4),0,
INDEX('RFM input'!$G$61:$Q$110,$A117,MATCH(V$6,'RFM input'!$G$60:$Q$60,0))
   -INDEX('RFM input'!$G$115:$Q$164,$A117,MATCH(V$6,'RFM input'!$G$60:$Q$60,0))))</f>
        <v>0</v>
      </c>
      <c r="W117" s="1417">
        <f>IF(LEFT(W$6,4)&lt;LEFT('RFM input'!$G$60,4),"enter input",IF(LEFT(W$6,4)&gt;LEFT('RFM input'!$Q$60,4),0,
INDEX('RFM input'!$G$61:$Q$110,$A117,MATCH(W$6,'RFM input'!$G$60:$Q$60,0))
   -INDEX('RFM input'!$G$115:$Q$164,$A117,MATCH(W$6,'RFM input'!$G$60:$Q$60,0))))</f>
        <v>0</v>
      </c>
      <c r="X117" s="152"/>
      <c r="Y117" s="152"/>
      <c r="Z117" s="152"/>
      <c r="AA117" s="152"/>
      <c r="AB117" s="152"/>
    </row>
    <row r="118" spans="1:28">
      <c r="A118" s="242"/>
      <c r="B118" s="152" t="s">
        <v>205</v>
      </c>
      <c r="C118" s="1418">
        <f ca="1">IF($D$6='TAB roll forward'!$H$4,OFFSET('RFM input'!$S$6,$A117,0),"enter input")</f>
        <v>10.924841379338783</v>
      </c>
      <c r="D118" s="1417">
        <f>IF(LEFT(D$6,4)&lt;=LEFT('RFM input'!$G$60,4),"enter input",IF(LEFT(D$6,4)&gt;LEFT('RFM input'!$Q$60,4),0,
IF(MATCH(D$6,'RFM input'!$H$60:$Q$60,0),INDEX('RFM input'!$T$7:$T$56,$A117,1,1))))</f>
        <v>15</v>
      </c>
      <c r="E118" s="1417">
        <f>IF(LEFT(E$6,4)&lt;=LEFT('RFM input'!$G$60,4),"enter input",IF(LEFT(E$6,4)&gt;LEFT('RFM input'!$Q$60,4),0,
IF(MATCH(E$6,'RFM input'!$H$60:$Q$60,0),INDEX('RFM input'!$T$7:$T$56,$A117,1,1))))</f>
        <v>15</v>
      </c>
      <c r="F118" s="1417">
        <f>IF(LEFT(F$6,4)&lt;=LEFT('RFM input'!$G$60,4),"enter input",IF(LEFT(F$6,4)&gt;LEFT('RFM input'!$Q$60,4),0,
IF(MATCH(F$6,'RFM input'!$H$60:$Q$60,0),INDEX('RFM input'!$T$7:$T$56,$A117,1,1))))</f>
        <v>15</v>
      </c>
      <c r="G118" s="1417">
        <f>IF(LEFT(G$6,4)&lt;=LEFT('RFM input'!$G$60,4),"enter input",IF(LEFT(G$6,4)&gt;LEFT('RFM input'!$Q$60,4),0,
IF(MATCH(G$6,'RFM input'!$H$60:$Q$60,0),INDEX('RFM input'!$T$7:$T$56,$A117,1,1))))</f>
        <v>15</v>
      </c>
      <c r="H118" s="1417">
        <f>IF(LEFT(H$6,4)&lt;=LEFT('RFM input'!$G$60,4),"enter input",IF(LEFT(H$6,4)&gt;LEFT('RFM input'!$Q$60,4),0,
IF(MATCH(H$6,'RFM input'!$H$60:$Q$60,0),INDEX('RFM input'!$T$7:$T$56,$A117,1,1))))</f>
        <v>15</v>
      </c>
      <c r="I118" s="1417">
        <f>IF(LEFT(I$6,4)&lt;=LEFT('RFM input'!$G$60,4),"enter input",IF(LEFT(I$6,4)&gt;LEFT('RFM input'!$Q$60,4),0,
IF(MATCH(I$6,'RFM input'!$H$60:$Q$60,0),INDEX('RFM input'!$T$7:$T$56,$A117,1,1))))</f>
        <v>15</v>
      </c>
      <c r="J118" s="1417">
        <f>IF(LEFT(J$6,4)&lt;=LEFT('RFM input'!$G$60,4),"enter input",IF(LEFT(J$6,4)&gt;LEFT('RFM input'!$Q$60,4),0,
IF(MATCH(J$6,'RFM input'!$H$60:$Q$60,0),INDEX('RFM input'!$T$7:$T$56,$A117,1,1))))</f>
        <v>15</v>
      </c>
      <c r="K118" s="1417">
        <f>IF(LEFT(K$6,4)&lt;=LEFT('RFM input'!$G$60,4),"enter input",IF(LEFT(K$6,4)&gt;LEFT('RFM input'!$Q$60,4),0,
IF(MATCH(K$6,'RFM input'!$H$60:$Q$60,0),INDEX('RFM input'!$T$7:$T$56,$A117,1,1))))</f>
        <v>15</v>
      </c>
      <c r="L118" s="1417">
        <f>IF(LEFT(L$6,4)&lt;=LEFT('RFM input'!$G$60,4),"enter input",IF(LEFT(L$6,4)&gt;LEFT('RFM input'!$Q$60,4),0,
IF(MATCH(L$6,'RFM input'!$H$60:$Q$60,0),INDEX('RFM input'!$T$7:$T$56,$A117,1,1))))</f>
        <v>15</v>
      </c>
      <c r="M118" s="1417">
        <f>IF(LEFT(M$6,4)&lt;=LEFT('RFM input'!$G$60,4),"enter input",IF(LEFT(M$6,4)&gt;LEFT('RFM input'!$Q$60,4),0,
IF(MATCH(M$6,'RFM input'!$H$60:$Q$60,0),INDEX('RFM input'!$T$7:$T$56,$A117,1,1))))</f>
        <v>15</v>
      </c>
      <c r="N118" s="1417">
        <f>IF(LEFT(N$6,4)&lt;=LEFT('RFM input'!$G$60,4),"enter input",IF(LEFT(N$6,4)&gt;LEFT('RFM input'!$Q$60,4),0,
IF(MATCH(N$6,'RFM input'!$H$60:$Q$60,0),INDEX('RFM input'!$T$7:$T$56,$A117,1,1))))</f>
        <v>0</v>
      </c>
      <c r="O118" s="1417">
        <f>IF(LEFT(O$6,4)&lt;=LEFT('RFM input'!$G$60,4),"enter input",IF(LEFT(O$6,4)&gt;LEFT('RFM input'!$Q$60,4),0,
IF(MATCH(O$6,'RFM input'!$H$60:$Q$60,0),INDEX('RFM input'!$T$7:$T$56,$A117,1,1))))</f>
        <v>0</v>
      </c>
      <c r="P118" s="1417">
        <f>IF(LEFT(P$6,4)&lt;=LEFT('RFM input'!$G$60,4),"enter input",IF(LEFT(P$6,4)&gt;LEFT('RFM input'!$Q$60,4),0,
IF(MATCH(P$6,'RFM input'!$H$60:$Q$60,0),INDEX('RFM input'!$T$7:$T$56,$A117,1,1))))</f>
        <v>0</v>
      </c>
      <c r="Q118" s="1417">
        <f>IF(LEFT(Q$6,4)&lt;=LEFT('RFM input'!$G$60,4),"enter input",IF(LEFT(Q$6,4)&gt;LEFT('RFM input'!$Q$60,4),0,
IF(MATCH(Q$6,'RFM input'!$H$60:$Q$60,0),INDEX('RFM input'!$T$7:$T$56,$A117,1,1))))</f>
        <v>0</v>
      </c>
      <c r="R118" s="1417">
        <f>IF(LEFT(R$6,4)&lt;=LEFT('RFM input'!$G$60,4),"enter input",IF(LEFT(R$6,4)&gt;LEFT('RFM input'!$Q$60,4),0,
IF(MATCH(R$6,'RFM input'!$H$60:$Q$60,0),INDEX('RFM input'!$T$7:$T$56,$A117,1,1))))</f>
        <v>0</v>
      </c>
      <c r="S118" s="1417">
        <f>IF(LEFT(S$6,4)&lt;=LEFT('RFM input'!$G$60,4),"enter input",IF(LEFT(S$6,4)&gt;LEFT('RFM input'!$Q$60,4),0,
IF(MATCH(S$6,'RFM input'!$H$60:$Q$60,0),INDEX('RFM input'!$T$7:$T$56,$A117,1,1))))</f>
        <v>0</v>
      </c>
      <c r="T118" s="1417">
        <f>IF(LEFT(T$6,4)&lt;=LEFT('RFM input'!$G$60,4),"enter input",IF(LEFT(T$6,4)&gt;LEFT('RFM input'!$Q$60,4),0,
IF(MATCH(T$6,'RFM input'!$H$60:$Q$60,0),INDEX('RFM input'!$T$7:$T$56,$A117,1,1))))</f>
        <v>0</v>
      </c>
      <c r="U118" s="1417">
        <f>IF(LEFT(U$6,4)&lt;=LEFT('RFM input'!$G$60,4),"enter input",IF(LEFT(U$6,4)&gt;LEFT('RFM input'!$Q$60,4),0,
IF(MATCH(U$6,'RFM input'!$H$60:$Q$60,0),INDEX('RFM input'!$T$7:$T$56,$A117,1,1))))</f>
        <v>0</v>
      </c>
      <c r="V118" s="1417">
        <f>IF(LEFT(V$6,4)&lt;=LEFT('RFM input'!$G$60,4),"enter input",IF(LEFT(V$6,4)&gt;LEFT('RFM input'!$Q$60,4),0,
IF(MATCH(V$6,'RFM input'!$H$60:$Q$60,0),INDEX('RFM input'!$T$7:$T$56,$A117,1,1))))</f>
        <v>0</v>
      </c>
      <c r="W118" s="1417">
        <f>IF(LEFT(W$6,4)&lt;=LEFT('RFM input'!$G$60,4),"enter input",IF(LEFT(W$6,4)&gt;LEFT('RFM input'!$Q$60,4),0,
IF(MATCH(W$6,'RFM input'!$H$60:$Q$60,0),INDEX('RFM input'!$T$7:$T$56,$A117,1,1))))</f>
        <v>0</v>
      </c>
      <c r="X118" s="152"/>
      <c r="Y118" s="152"/>
      <c r="Z118" s="152"/>
      <c r="AA118" s="152"/>
      <c r="AB118" s="152"/>
    </row>
    <row r="119" spans="1:28">
      <c r="A119" s="242"/>
      <c r="B119" s="193" t="s">
        <v>192</v>
      </c>
      <c r="C119" s="1419"/>
      <c r="D119" s="1420">
        <f ca="1">IF(LEFT(D$6,4)&lt;=LEFT('RFM input'!$G$60,4),"enter input",IF(LEFT(D$6,4)&gt;LEFT('RFM input'!$Q$60,4),0,
IF(D$6=(OFFSET('RFM input'!$G$60,0,'RFM input'!$V$7)),OFFSET('RFM input'!$H$411,$A117,0),0)))</f>
        <v>0</v>
      </c>
      <c r="E119" s="1417">
        <f ca="1">IF(LEFT(E$6,4)&lt;=LEFT('RFM input'!$G$60,4),"enter input",IF(LEFT(E$6,4)&gt;LEFT('RFM input'!$Q$60,4),0,
IF(E$6=(OFFSET('RFM input'!$G$60,0,'RFM input'!$V$7)),OFFSET('RFM input'!$H$411,$A117,0),0)))</f>
        <v>0</v>
      </c>
      <c r="F119" s="1417">
        <f ca="1">IF(LEFT(F$6,4)&lt;=LEFT('RFM input'!$G$60,4),"enter input",IF(LEFT(F$6,4)&gt;LEFT('RFM input'!$Q$60,4),0,
IF(F$6=(OFFSET('RFM input'!$G$60,0,'RFM input'!$V$7)),OFFSET('RFM input'!$H$411,$A117,0),0)))</f>
        <v>0</v>
      </c>
      <c r="G119" s="1417">
        <f ca="1">IF(LEFT(G$6,4)&lt;=LEFT('RFM input'!$G$60,4),"enter input",IF(LEFT(G$6,4)&gt;LEFT('RFM input'!$Q$60,4),0,
IF(G$6=(OFFSET('RFM input'!$G$60,0,'RFM input'!$V$7)),OFFSET('RFM input'!$H$411,$A117,0),0)))</f>
        <v>0</v>
      </c>
      <c r="H119" s="1417">
        <f ca="1">IF(LEFT(H$6,4)&lt;=LEFT('RFM input'!$G$60,4),"enter input",IF(LEFT(H$6,4)&gt;LEFT('RFM input'!$Q$60,4),0,
IF(H$6=(OFFSET('RFM input'!$G$60,0,'RFM input'!$V$7)),OFFSET('RFM input'!$H$411,$A117,0),0)))</f>
        <v>0</v>
      </c>
      <c r="I119" s="1417">
        <f ca="1">IF(LEFT(I$6,4)&lt;=LEFT('RFM input'!$G$60,4),"enter input",IF(LEFT(I$6,4)&gt;LEFT('RFM input'!$Q$60,4),0,
IF(I$6=(OFFSET('RFM input'!$G$60,0,'RFM input'!$V$7)),OFFSET('RFM input'!$H$411,$A117,0),0)))</f>
        <v>0</v>
      </c>
      <c r="J119" s="1417">
        <f ca="1">IF(LEFT(J$6,4)&lt;=LEFT('RFM input'!$G$60,4),"enter input",IF(LEFT(J$6,4)&gt;LEFT('RFM input'!$Q$60,4),0,
IF(J$6=(OFFSET('RFM input'!$G$60,0,'RFM input'!$V$7)),OFFSET('RFM input'!$H$411,$A117,0),0)))</f>
        <v>0</v>
      </c>
      <c r="K119" s="1417">
        <f ca="1">IF(LEFT(K$6,4)&lt;=LEFT('RFM input'!$G$60,4),"enter input",IF(LEFT(K$6,4)&gt;LEFT('RFM input'!$Q$60,4),0,
IF(K$6=(OFFSET('RFM input'!$G$60,0,'RFM input'!$V$7)),OFFSET('RFM input'!$H$411,$A117,0),0)))</f>
        <v>0</v>
      </c>
      <c r="L119" s="1417">
        <f ca="1">IF(LEFT(L$6,4)&lt;=LEFT('RFM input'!$G$60,4),"enter input",IF(LEFT(L$6,4)&gt;LEFT('RFM input'!$Q$60,4),0,
IF(L$6=(OFFSET('RFM input'!$G$60,0,'RFM input'!$V$7)),OFFSET('RFM input'!$H$411,$A117,0),0)))</f>
        <v>0</v>
      </c>
      <c r="M119" s="1417">
        <f ca="1">IF(LEFT(M$6,4)&lt;=LEFT('RFM input'!$G$60,4),"enter input",IF(LEFT(M$6,4)&gt;LEFT('RFM input'!$Q$60,4),0,
IF(M$6=(OFFSET('RFM input'!$G$60,0,'RFM input'!$V$7)),OFFSET('RFM input'!$H$411,$A117,0),0)))</f>
        <v>0</v>
      </c>
      <c r="N119" s="1417">
        <f ca="1">IF(LEFT(N$6,4)&lt;=LEFT('RFM input'!$G$60,4),"enter input",IF(LEFT(N$6,4)&gt;LEFT('RFM input'!$Q$60,4),0,
IF(N$6=(OFFSET('RFM input'!$G$60,0,'RFM input'!$V$7)),OFFSET('RFM input'!$H$411,$A117,0),0)))</f>
        <v>0</v>
      </c>
      <c r="O119" s="1417">
        <f ca="1">IF(LEFT(O$6,4)&lt;=LEFT('RFM input'!$G$60,4),"enter input",IF(LEFT(O$6,4)&gt;LEFT('RFM input'!$Q$60,4),0,
IF(O$6=(OFFSET('RFM input'!$G$60,0,'RFM input'!$V$7)),OFFSET('RFM input'!$H$411,$A117,0),0)))</f>
        <v>0</v>
      </c>
      <c r="P119" s="1417">
        <f ca="1">IF(LEFT(P$6,4)&lt;=LEFT('RFM input'!$G$60,4),"enter input",IF(LEFT(P$6,4)&gt;LEFT('RFM input'!$Q$60,4),0,
IF(P$6=(OFFSET('RFM input'!$G$60,0,'RFM input'!$V$7)),OFFSET('RFM input'!$H$411,$A117,0),0)))</f>
        <v>0</v>
      </c>
      <c r="Q119" s="1417">
        <f ca="1">IF(LEFT(Q$6,4)&lt;=LEFT('RFM input'!$G$60,4),"enter input",IF(LEFT(Q$6,4)&gt;LEFT('RFM input'!$Q$60,4),0,
IF(Q$6=(OFFSET('RFM input'!$G$60,0,'RFM input'!$V$7)),OFFSET('RFM input'!$H$411,$A117,0),0)))</f>
        <v>0</v>
      </c>
      <c r="R119" s="1417">
        <f ca="1">IF(LEFT(R$6,4)&lt;=LEFT('RFM input'!$G$60,4),"enter input",IF(LEFT(R$6,4)&gt;LEFT('RFM input'!$Q$60,4),0,
IF(R$6=(OFFSET('RFM input'!$G$60,0,'RFM input'!$V$7)),OFFSET('RFM input'!$H$411,$A117,0),0)))</f>
        <v>0</v>
      </c>
      <c r="S119" s="1417">
        <f ca="1">IF(LEFT(S$6,4)&lt;=LEFT('RFM input'!$G$60,4),"enter input",IF(LEFT(S$6,4)&gt;LEFT('RFM input'!$Q$60,4),0,
IF(S$6=(OFFSET('RFM input'!$G$60,0,'RFM input'!$V$7)),OFFSET('RFM input'!$H$411,$A117,0),0)))</f>
        <v>0</v>
      </c>
      <c r="T119" s="1417">
        <f ca="1">IF(LEFT(T$6,4)&lt;=LEFT('RFM input'!$G$60,4),"enter input",IF(LEFT(T$6,4)&gt;LEFT('RFM input'!$Q$60,4),0,
IF(T$6=(OFFSET('RFM input'!$G$60,0,'RFM input'!$V$7)),OFFSET('RFM input'!$H$411,$A117,0),0)))</f>
        <v>0</v>
      </c>
      <c r="U119" s="1417">
        <f ca="1">IF(LEFT(U$6,4)&lt;=LEFT('RFM input'!$G$60,4),"enter input",IF(LEFT(U$6,4)&gt;LEFT('RFM input'!$Q$60,4),0,
IF(U$6=(OFFSET('RFM input'!$G$60,0,'RFM input'!$V$7)),OFFSET('RFM input'!$H$411,$A117,0),0)))</f>
        <v>0</v>
      </c>
      <c r="V119" s="1417">
        <f ca="1">IF(LEFT(V$6,4)&lt;=LEFT('RFM input'!$G$60,4),"enter input",IF(LEFT(V$6,4)&gt;LEFT('RFM input'!$Q$60,4),0,
IF(V$6=(OFFSET('RFM input'!$G$60,0,'RFM input'!$V$7)),OFFSET('RFM input'!$H$411,$A117,0),0)))</f>
        <v>0</v>
      </c>
      <c r="W119" s="1417">
        <f ca="1">IF(LEFT(W$6,4)&lt;=LEFT('RFM input'!$G$60,4),"enter input",IF(LEFT(W$6,4)&gt;LEFT('RFM input'!$Q$60,4),0,
IF(W$6=(OFFSET('RFM input'!$G$60,0,'RFM input'!$V$7)),OFFSET('RFM input'!$H$411,$A117,0),0)))</f>
        <v>0</v>
      </c>
      <c r="X119" s="152"/>
      <c r="Y119" s="152"/>
      <c r="Z119" s="152"/>
      <c r="AA119" s="152"/>
      <c r="AB119" s="152"/>
    </row>
    <row r="120" spans="1:28">
      <c r="A120" s="242"/>
      <c r="B120" s="193" t="s">
        <v>200</v>
      </c>
      <c r="C120" s="1419"/>
      <c r="D120" s="1418">
        <f ca="1">IF(LEFT(D$6,4)&lt;=LEFT('RFM input'!$G$60,4),"enter input",IF(LEFT(D$6,4)&gt;LEFT('RFM input'!$Q$60,4),0,
IF(D$6=(OFFSET('RFM input'!$G$60,0,'RFM input'!$V$7)),OFFSET('RFM input'!$J$411,$A117,0),0)))</f>
        <v>0</v>
      </c>
      <c r="E120" s="1422">
        <f ca="1">IF(LEFT(E$6,4)&lt;=LEFT('RFM input'!$G$60,4),"enter input",IF(LEFT(E$6,4)&gt;LEFT('RFM input'!$Q$60,4),0,
IF(E$6=(OFFSET('RFM input'!$G$60,0,'RFM input'!$V$7)),OFFSET('RFM input'!$J$411,$A117,0),0)))</f>
        <v>0</v>
      </c>
      <c r="F120" s="1422">
        <f ca="1">IF(LEFT(F$6,4)&lt;=LEFT('RFM input'!$G$60,4),"enter input",IF(LEFT(F$6,4)&gt;LEFT('RFM input'!$Q$60,4),0,
IF(F$6=(OFFSET('RFM input'!$G$60,0,'RFM input'!$V$7)),OFFSET('RFM input'!$J$411,$A117,0),0)))</f>
        <v>0</v>
      </c>
      <c r="G120" s="1422">
        <f ca="1">IF(LEFT(G$6,4)&lt;=LEFT('RFM input'!$G$60,4),"enter input",IF(LEFT(G$6,4)&gt;LEFT('RFM input'!$Q$60,4),0,
IF(G$6=(OFFSET('RFM input'!$G$60,0,'RFM input'!$V$7)),OFFSET('RFM input'!$J$411,$A117,0),0)))</f>
        <v>0</v>
      </c>
      <c r="H120" s="1422">
        <f ca="1">IF(LEFT(H$6,4)&lt;=LEFT('RFM input'!$G$60,4),"enter input",IF(LEFT(H$6,4)&gt;LEFT('RFM input'!$Q$60,4),0,
IF(H$6=(OFFSET('RFM input'!$G$60,0,'RFM input'!$V$7)),OFFSET('RFM input'!$J$411,$A117,0),0)))</f>
        <v>0</v>
      </c>
      <c r="I120" s="1422">
        <f ca="1">IF(LEFT(I$6,4)&lt;=LEFT('RFM input'!$G$60,4),"enter input",IF(LEFT(I$6,4)&gt;LEFT('RFM input'!$Q$60,4),0,
IF(I$6=(OFFSET('RFM input'!$G$60,0,'RFM input'!$V$7)),OFFSET('RFM input'!$J$411,$A117,0),0)))</f>
        <v>0</v>
      </c>
      <c r="J120" s="1422">
        <f ca="1">IF(LEFT(J$6,4)&lt;=LEFT('RFM input'!$G$60,4),"enter input",IF(LEFT(J$6,4)&gt;LEFT('RFM input'!$Q$60,4),0,
IF(J$6=(OFFSET('RFM input'!$G$60,0,'RFM input'!$V$7)),OFFSET('RFM input'!$J$411,$A117,0),0)))</f>
        <v>0</v>
      </c>
      <c r="K120" s="1422">
        <f ca="1">IF(LEFT(K$6,4)&lt;=LEFT('RFM input'!$G$60,4),"enter input",IF(LEFT(K$6,4)&gt;LEFT('RFM input'!$Q$60,4),0,
IF(K$6=(OFFSET('RFM input'!$G$60,0,'RFM input'!$V$7)),OFFSET('RFM input'!$J$411,$A117,0),0)))</f>
        <v>0</v>
      </c>
      <c r="L120" s="1422">
        <f ca="1">IF(LEFT(L$6,4)&lt;=LEFT('RFM input'!$G$60,4),"enter input",IF(LEFT(L$6,4)&gt;LEFT('RFM input'!$Q$60,4),0,
IF(L$6=(OFFSET('RFM input'!$G$60,0,'RFM input'!$V$7)),OFFSET('RFM input'!$J$411,$A117,0),0)))</f>
        <v>0</v>
      </c>
      <c r="M120" s="1422">
        <f ca="1">IF(LEFT(M$6,4)&lt;=LEFT('RFM input'!$G$60,4),"enter input",IF(LEFT(M$6,4)&gt;LEFT('RFM input'!$Q$60,4),0,
IF(M$6=(OFFSET('RFM input'!$G$60,0,'RFM input'!$V$7)),OFFSET('RFM input'!$J$411,$A117,0),0)))</f>
        <v>0</v>
      </c>
      <c r="N120" s="1422">
        <f ca="1">IF(LEFT(N$6,4)&lt;=LEFT('RFM input'!$G$60,4),"enter input",IF(LEFT(N$6,4)&gt;LEFT('RFM input'!$Q$60,4),0,
IF(N$6=(OFFSET('RFM input'!$G$60,0,'RFM input'!$V$7)),OFFSET('RFM input'!$J$411,$A117,0),0)))</f>
        <v>0</v>
      </c>
      <c r="O120" s="1422">
        <f ca="1">IF(LEFT(O$6,4)&lt;=LEFT('RFM input'!$G$60,4),"enter input",IF(LEFT(O$6,4)&gt;LEFT('RFM input'!$Q$60,4),0,
IF(O$6=(OFFSET('RFM input'!$G$60,0,'RFM input'!$V$7)),OFFSET('RFM input'!$J$411,$A117,0),0)))</f>
        <v>0</v>
      </c>
      <c r="P120" s="1422">
        <f ca="1">IF(LEFT(P$6,4)&lt;=LEFT('RFM input'!$G$60,4),"enter input",IF(LEFT(P$6,4)&gt;LEFT('RFM input'!$Q$60,4),0,
IF(P$6=(OFFSET('RFM input'!$G$60,0,'RFM input'!$V$7)),OFFSET('RFM input'!$J$411,$A117,0),0)))</f>
        <v>0</v>
      </c>
      <c r="Q120" s="1422">
        <f ca="1">IF(LEFT(Q$6,4)&lt;=LEFT('RFM input'!$G$60,4),"enter input",IF(LEFT(Q$6,4)&gt;LEFT('RFM input'!$Q$60,4),0,
IF(Q$6=(OFFSET('RFM input'!$G$60,0,'RFM input'!$V$7)),OFFSET('RFM input'!$J$411,$A117,0),0)))</f>
        <v>0</v>
      </c>
      <c r="R120" s="1422">
        <f ca="1">IF(LEFT(R$6,4)&lt;=LEFT('RFM input'!$G$60,4),"enter input",IF(LEFT(R$6,4)&gt;LEFT('RFM input'!$Q$60,4),0,
IF(R$6=(OFFSET('RFM input'!$G$60,0,'RFM input'!$V$7)),OFFSET('RFM input'!$J$411,$A117,0),0)))</f>
        <v>0</v>
      </c>
      <c r="S120" s="1422">
        <f ca="1">IF(LEFT(S$6,4)&lt;=LEFT('RFM input'!$G$60,4),"enter input",IF(LEFT(S$6,4)&gt;LEFT('RFM input'!$Q$60,4),0,
IF(S$6=(OFFSET('RFM input'!$G$60,0,'RFM input'!$V$7)),OFFSET('RFM input'!$J$411,$A117,0),0)))</f>
        <v>0</v>
      </c>
      <c r="T120" s="1422">
        <f ca="1">IF(LEFT(T$6,4)&lt;=LEFT('RFM input'!$G$60,4),"enter input",IF(LEFT(T$6,4)&gt;LEFT('RFM input'!$Q$60,4),0,
IF(T$6=(OFFSET('RFM input'!$G$60,0,'RFM input'!$V$7)),OFFSET('RFM input'!$J$411,$A117,0),0)))</f>
        <v>0</v>
      </c>
      <c r="U120" s="1422">
        <f ca="1">IF(LEFT(U$6,4)&lt;=LEFT('RFM input'!$G$60,4),"enter input",IF(LEFT(U$6,4)&gt;LEFT('RFM input'!$Q$60,4),0,
IF(U$6=(OFFSET('RFM input'!$G$60,0,'RFM input'!$V$7)),OFFSET('RFM input'!$J$411,$A117,0),0)))</f>
        <v>0</v>
      </c>
      <c r="V120" s="1422">
        <f ca="1">IF(LEFT(V$6,4)&lt;=LEFT('RFM input'!$G$60,4),"enter input",IF(LEFT(V$6,4)&gt;LEFT('RFM input'!$Q$60,4),0,
IF(V$6=(OFFSET('RFM input'!$G$60,0,'RFM input'!$V$7)),OFFSET('RFM input'!$J$411,$A117,0),0)))</f>
        <v>0</v>
      </c>
      <c r="W120" s="1422">
        <f ca="1">IF(LEFT(W$6,4)&lt;=LEFT('RFM input'!$G$60,4),"enter input",IF(LEFT(W$6,4)&gt;LEFT('RFM input'!$Q$60,4),0,
IF(W$6=(OFFSET('RFM input'!$G$60,0,'RFM input'!$V$7)),OFFSET('RFM input'!$J$411,$A117,0),0)))</f>
        <v>0</v>
      </c>
      <c r="X120" s="152"/>
      <c r="Y120" s="152"/>
      <c r="Z120" s="152"/>
      <c r="AA120" s="152"/>
      <c r="AB120" s="152"/>
    </row>
    <row r="121" spans="1:28" hidden="1" outlineLevel="1">
      <c r="A121" s="235">
        <v>-1</v>
      </c>
      <c r="B121" s="190" t="s">
        <v>195</v>
      </c>
      <c r="C121" s="1423"/>
      <c r="D121" s="1423">
        <f t="shared" ref="D121" ca="1" si="112">IF(AND(D119=0,C121=0),0,
IF(AND(D119&lt;&gt;0,C121=0),D119,
IF(AND(D120&lt;&gt;0,C121&lt;&gt;0),(C121-(C121/C145))+D119,
IF(C145&lt;1,0,(C121-(C121/C145))))))</f>
        <v>0</v>
      </c>
      <c r="E121" s="1423">
        <f t="shared" ref="E121" ca="1" si="113">IF(AND(E119=0,D121=0),0,
IF(AND(E119&lt;&gt;0,D121=0),E119,
IF(AND(E120&lt;&gt;0,D121&lt;&gt;0),(D121-(D121/D145))+E119,
IF(D145&lt;1,0,(D121-(D121/D145))))))</f>
        <v>0</v>
      </c>
      <c r="F121" s="1423">
        <f t="shared" ref="F121" ca="1" si="114">IF(AND(F119=0,E121=0),0,
IF(AND(F119&lt;&gt;0,E121=0),F119,
IF(AND(F120&lt;&gt;0,E121&lt;&gt;0),(E121-(E121/E145))+F119,
IF(E145&lt;1,0,(E121-(E121/E145))))))</f>
        <v>0</v>
      </c>
      <c r="G121" s="1423">
        <f t="shared" ref="G121" ca="1" si="115">IF(AND(G119=0,F121=0),0,
IF(AND(G119&lt;&gt;0,F121=0),G119,
IF(AND(G120&lt;&gt;0,F121&lt;&gt;0),(F121-(F121/F145))+G119,
IF(F145&lt;1,0,(F121-(F121/F145))))))</f>
        <v>0</v>
      </c>
      <c r="H121" s="1423">
        <f ca="1">IF(AND(H119=0,G121=0),0,
IF(AND(H119&lt;&gt;0,G121=0),H119,
IF(AND(H120&lt;&gt;0,G121&lt;&gt;0),(G121-(G121/G145))+H119,
IF(G145&lt;1,0,(G121-(G121/G145))))))</f>
        <v>0</v>
      </c>
      <c r="I121" s="1423">
        <f t="shared" ref="I121" ca="1" si="116">IF(AND(I119=0,H121=0),0,
IF(AND(I119&lt;&gt;0,H121=0),I119,
IF(AND(I120&lt;&gt;0,H121&lt;&gt;0),(H121-(H121/H145))+I119,
IF(H145&lt;1,0,(H121-(H121/H145))))))</f>
        <v>0</v>
      </c>
      <c r="J121" s="1423">
        <f t="shared" ref="J121" ca="1" si="117">IF(AND(J119=0,I121=0),0,
IF(AND(J119&lt;&gt;0,I121=0),J119,
IF(AND(J120&lt;&gt;0,I121&lt;&gt;0),(I121-(I121/I145))+J119,
IF(I145&lt;1,0,(I121-(I121/I145))))))</f>
        <v>0</v>
      </c>
      <c r="K121" s="1423">
        <f t="shared" ref="K121" ca="1" si="118">IF(AND(K119=0,J121=0),0,
IF(AND(K119&lt;&gt;0,J121=0),K119,
IF(AND(K120&lt;&gt;0,J121&lt;&gt;0),(J121-(J121/J145))+K119,
IF(J145&lt;1,0,(J121-(J121/J145))))))</f>
        <v>0</v>
      </c>
      <c r="L121" s="1423">
        <f t="shared" ref="L121" ca="1" si="119">IF(AND(L119=0,K121=0),0,
IF(AND(L119&lt;&gt;0,K121=0),L119,
IF(AND(L120&lt;&gt;0,K121&lt;&gt;0),(K121-(K121/K145))+L119,
IF(K145&lt;1,0,(K121-(K121/K145))))))</f>
        <v>0</v>
      </c>
      <c r="M121" s="1423">
        <f t="shared" ref="M121" ca="1" si="120">IF(AND(M119=0,L121=0),0,
IF(AND(M119&lt;&gt;0,L121=0),M119,
IF(AND(M120&lt;&gt;0,L121&lt;&gt;0),(L121-(L121/L145))+M119,
IF(L145&lt;1,0,(L121-(L121/L145))))))</f>
        <v>0</v>
      </c>
      <c r="N121" s="1423">
        <f t="shared" ref="N121" ca="1" si="121">IF(AND(N119=0,M121=0),0,
IF(AND(N119&lt;&gt;0,M121=0),N119,
IF(AND(N120&lt;&gt;0,M121&lt;&gt;0),(M121-(M121/M145))+N119,
IF(M145&lt;1,0,(M121-(M121/M145))))))</f>
        <v>0</v>
      </c>
      <c r="O121" s="1423">
        <f t="shared" ref="O121" ca="1" si="122">IF(AND(O119=0,N121=0),0,
IF(AND(O119&lt;&gt;0,N121=0),O119,
IF(AND(O120&lt;&gt;0,N121&lt;&gt;0),(N121-(N121/N145))+O119,
IF(N145&lt;1,0,(N121-(N121/N145))))))</f>
        <v>0</v>
      </c>
      <c r="P121" s="1423">
        <f t="shared" ref="P121" ca="1" si="123">IF(AND(P119=0,O121=0),0,
IF(AND(P119&lt;&gt;0,O121=0),P119,
IF(AND(P120&lt;&gt;0,O121&lt;&gt;0),(O121-(O121/O145))+P119,
IF(O145&lt;1,0,(O121-(O121/O145))))))</f>
        <v>0</v>
      </c>
      <c r="Q121" s="1423">
        <f t="shared" ref="Q121" ca="1" si="124">IF(AND(Q119=0,P121=0),0,
IF(AND(Q119&lt;&gt;0,P121=0),Q119,
IF(AND(Q120&lt;&gt;0,P121&lt;&gt;0),(P121-(P121/P145))+Q119,
IF(P145&lt;1,0,(P121-(P121/P145))))))</f>
        <v>0</v>
      </c>
      <c r="R121" s="1423">
        <f t="shared" ref="R121" ca="1" si="125">IF(AND(R119=0,Q121=0),0,
IF(AND(R119&lt;&gt;0,Q121=0),R119,
IF(AND(R120&lt;&gt;0,Q121&lt;&gt;0),(Q121-(Q121/Q145))+R119,
IF(Q145&lt;1,0,(Q121-(Q121/Q145))))))</f>
        <v>0</v>
      </c>
      <c r="S121" s="1423">
        <f t="shared" ref="S121" ca="1" si="126">IF(AND(S119=0,R121=0),0,
IF(AND(S119&lt;&gt;0,R121=0),S119,
IF(AND(S120&lt;&gt;0,R121&lt;&gt;0),(R121-(R121/R145))+S119,
IF(R145&lt;1,0,(R121-(R121/R145))))))</f>
        <v>0</v>
      </c>
      <c r="T121" s="1423">
        <f t="shared" ref="T121" ca="1" si="127">IF(AND(T119=0,S121=0),0,
IF(AND(T119&lt;&gt;0,S121=0),T119,
IF(AND(T120&lt;&gt;0,S121&lt;&gt;0),(S121-(S121/S145))+T119,
IF(S145&lt;1,0,(S121-(S121/S145))))))</f>
        <v>0</v>
      </c>
      <c r="U121" s="1423">
        <f t="shared" ref="U121" ca="1" si="128">IF(AND(U119=0,T121=0),0,
IF(AND(U119&lt;&gt;0,T121=0),U119,
IF(AND(U120&lt;&gt;0,T121&lt;&gt;0),(T121-(T121/T145))+U119,
IF(T145&lt;1,0,(T121-(T121/T145))))))</f>
        <v>0</v>
      </c>
      <c r="V121" s="1423">
        <f t="shared" ref="V121" ca="1" si="129">IF(AND(V119=0,U121=0),0,
IF(AND(V119&lt;&gt;0,U121=0),V119,
IF(AND(V120&lt;&gt;0,U121&lt;&gt;0),(U121-(U121/U145))+V119,
IF(U145&lt;1,0,(U121-(U121/U145))))))</f>
        <v>0</v>
      </c>
      <c r="W121" s="1423">
        <f t="shared" ref="W121" ca="1" si="130">IF(AND(W119=0,V121=0),0,
IF(AND(W119&lt;&gt;0,V121=0),W119,
IF(AND(W120&lt;&gt;0,V121&lt;&gt;0),(V121-(V121/V145))+W119,
IF(V145&lt;1,0,(V121-(V121/V145))))))</f>
        <v>0</v>
      </c>
      <c r="X121" s="152"/>
      <c r="Y121" s="152"/>
      <c r="Z121" s="152"/>
      <c r="AA121" s="152"/>
      <c r="AB121" s="152"/>
    </row>
    <row r="122" spans="1:28" hidden="1" outlineLevel="1">
      <c r="A122" s="199">
        <f>A121+1</f>
        <v>0</v>
      </c>
      <c r="B122" s="190" t="s">
        <v>527</v>
      </c>
      <c r="C122" s="1423">
        <f ca="1">C117</f>
        <v>19.489608698910086</v>
      </c>
      <c r="D122" s="1423">
        <f ca="1">IF(C146="n/a",C122,IFERROR(IF((OFFSET($C122,0,$A122))&lt;0,
MIN(0,C122-(OFFSET($C122,0,$A122)/(OFFSET($C117,-$A121,$A122)))),
MAX(0,C122-(OFFSET($C122,0,$A122)/(OFFSET($C117,-$A121,$A122))))),0))</f>
        <v>17.705636920997676</v>
      </c>
      <c r="E122" s="1423">
        <f t="shared" ref="E122:W122" ca="1" si="131">IF(D146="n/a",D122,IFERROR(IF((OFFSET($C122,0,$A122))&lt;0,
MIN(0,D122-(OFFSET($C122,0,$A122)/(OFFSET($C117,-$A121,$A122)))),
MAX(0,D122-(OFFSET($C122,0,$A122)/(OFFSET($C117,-$A121,$A122))))),0))</f>
        <v>15.921665143085265</v>
      </c>
      <c r="F122" s="1423">
        <f t="shared" ca="1" si="131"/>
        <v>14.137693365172854</v>
      </c>
      <c r="G122" s="1423">
        <f t="shared" ca="1" si="131"/>
        <v>12.353721587260443</v>
      </c>
      <c r="H122" s="1423">
        <f t="shared" ca="1" si="131"/>
        <v>10.569749809348032</v>
      </c>
      <c r="I122" s="1423">
        <f t="shared" ca="1" si="131"/>
        <v>8.7857780314356209</v>
      </c>
      <c r="J122" s="1423">
        <f t="shared" ca="1" si="131"/>
        <v>7.0018062535232097</v>
      </c>
      <c r="K122" s="1423">
        <f t="shared" ca="1" si="131"/>
        <v>5.2178344756107986</v>
      </c>
      <c r="L122" s="1423">
        <f t="shared" ca="1" si="131"/>
        <v>3.4338626976983875</v>
      </c>
      <c r="M122" s="1423">
        <f t="shared" ca="1" si="131"/>
        <v>1.6498909197859766</v>
      </c>
      <c r="N122" s="1423">
        <f t="shared" ca="1" si="131"/>
        <v>0</v>
      </c>
      <c r="O122" s="1423">
        <f t="shared" ca="1" si="131"/>
        <v>0</v>
      </c>
      <c r="P122" s="1423">
        <f t="shared" ca="1" si="131"/>
        <v>0</v>
      </c>
      <c r="Q122" s="1423">
        <f t="shared" ca="1" si="131"/>
        <v>0</v>
      </c>
      <c r="R122" s="1423">
        <f t="shared" ca="1" si="131"/>
        <v>0</v>
      </c>
      <c r="S122" s="1423">
        <f t="shared" ca="1" si="131"/>
        <v>0</v>
      </c>
      <c r="T122" s="1423">
        <f t="shared" ca="1" si="131"/>
        <v>0</v>
      </c>
      <c r="U122" s="1423">
        <f t="shared" ca="1" si="131"/>
        <v>0</v>
      </c>
      <c r="V122" s="1423">
        <f t="shared" ca="1" si="131"/>
        <v>0</v>
      </c>
      <c r="W122" s="1423">
        <f t="shared" ca="1" si="131"/>
        <v>0</v>
      </c>
      <c r="X122" s="152"/>
      <c r="Y122" s="152"/>
      <c r="Z122" s="152"/>
      <c r="AA122" s="152"/>
      <c r="AB122" s="152"/>
    </row>
    <row r="123" spans="1:28" hidden="1" outlineLevel="1">
      <c r="A123" s="199">
        <f t="shared" ref="A123:A142" si="132">A122+1</f>
        <v>1</v>
      </c>
      <c r="B123" s="190" t="str">
        <f t="shared" ref="B123:B142" ca="1" si="133">"Depreciated Net Capex "&amp;OFFSET($C$6,0,A123)</f>
        <v>Depreciated Net Capex 2016-17</v>
      </c>
      <c r="C123" s="1424"/>
      <c r="D123" s="1425">
        <f>D117</f>
        <v>2.9043043091550298</v>
      </c>
      <c r="E123" s="1423">
        <f ca="1">IF(D147="n/a",D123,IFERROR(IF((OFFSET($C123,0,$A123))&lt;0,
MIN(0,D123-(OFFSET($C123,0,$A123)/(OFFSET($C118,-$A122,$A123)))),
MAX(0,D123-(OFFSET($C123,0,$A123)/(OFFSET($C118,-$A122,$A123))))),0))</f>
        <v>2.7106840218780279</v>
      </c>
      <c r="F123" s="1423">
        <f t="shared" ref="F123:W123" ca="1" si="134">IF(E147="n/a",E123,IFERROR(IF((OFFSET($C123,0,$A123))&lt;0,
MIN(0,E123-(OFFSET($C123,0,$A123)/(OFFSET($C118,-$A122,$A123)))),
MAX(0,E123-(OFFSET($C123,0,$A123)/(OFFSET($C118,-$A122,$A123))))),0))</f>
        <v>2.5170637346010261</v>
      </c>
      <c r="G123" s="1423">
        <f t="shared" ca="1" si="134"/>
        <v>2.3234434473240242</v>
      </c>
      <c r="H123" s="1423">
        <f t="shared" ca="1" si="134"/>
        <v>2.1298231600470223</v>
      </c>
      <c r="I123" s="1423">
        <f t="shared" ca="1" si="134"/>
        <v>1.9362028727700205</v>
      </c>
      <c r="J123" s="1423">
        <f t="shared" ca="1" si="134"/>
        <v>1.7425825854930186</v>
      </c>
      <c r="K123" s="1423">
        <f t="shared" ca="1" si="134"/>
        <v>1.5489622982160167</v>
      </c>
      <c r="L123" s="1423">
        <f t="shared" ca="1" si="134"/>
        <v>1.3553420109390149</v>
      </c>
      <c r="M123" s="1423">
        <f t="shared" ca="1" si="134"/>
        <v>1.161721723662013</v>
      </c>
      <c r="N123" s="1423">
        <f t="shared" ca="1" si="134"/>
        <v>0.968101436385011</v>
      </c>
      <c r="O123" s="1423">
        <f t="shared" ca="1" si="134"/>
        <v>0.77448114910800903</v>
      </c>
      <c r="P123" s="1423">
        <f t="shared" ca="1" si="134"/>
        <v>0.58086086183100705</v>
      </c>
      <c r="Q123" s="1423">
        <f t="shared" ca="1" si="134"/>
        <v>0.38724057455400507</v>
      </c>
      <c r="R123" s="1423">
        <f t="shared" ca="1" si="134"/>
        <v>0.19362028727700309</v>
      </c>
      <c r="S123" s="1423">
        <f t="shared" ca="1" si="134"/>
        <v>1.1102230246251565E-15</v>
      </c>
      <c r="T123" s="1423">
        <f t="shared" ca="1" si="134"/>
        <v>0</v>
      </c>
      <c r="U123" s="1423">
        <f t="shared" ca="1" si="134"/>
        <v>0</v>
      </c>
      <c r="V123" s="1423">
        <f t="shared" ca="1" si="134"/>
        <v>0</v>
      </c>
      <c r="W123" s="1423">
        <f t="shared" ca="1" si="134"/>
        <v>0</v>
      </c>
      <c r="X123" s="152"/>
      <c r="Y123" s="152"/>
      <c r="Z123" s="152"/>
      <c r="AA123" s="152"/>
      <c r="AB123" s="152"/>
    </row>
    <row r="124" spans="1:28" hidden="1" outlineLevel="1">
      <c r="A124" s="199">
        <f t="shared" si="132"/>
        <v>2</v>
      </c>
      <c r="B124" s="190" t="str">
        <f t="shared" ca="1" si="133"/>
        <v>Depreciated Net Capex 2017-18</v>
      </c>
      <c r="C124" s="1426"/>
      <c r="D124" s="1427"/>
      <c r="E124" s="1425">
        <f>E117</f>
        <v>2.9440507505501161</v>
      </c>
      <c r="F124" s="1423">
        <f ca="1">IF(E148="n/a",E124,IFERROR(IF((OFFSET($C124,0,$A124))&lt;0,
MIN(0,E124-(OFFSET($C124,0,$A124)/(OFFSET($C119,-$A123,$A124)))),
MAX(0,E124-(OFFSET($C124,0,$A124)/(OFFSET($C119,-$A123,$A124))))),0))</f>
        <v>2.7477807005134416</v>
      </c>
      <c r="G124" s="1423">
        <f t="shared" ref="G124:W124" ca="1" si="135">IF(F148="n/a",F124,IFERROR(IF((OFFSET($C124,0,$A124))&lt;0,
MIN(0,F124-(OFFSET($C124,0,$A124)/(OFFSET($C119,-$A123,$A124)))),
MAX(0,F124-(OFFSET($C124,0,$A124)/(OFFSET($C119,-$A123,$A124))))),0))</f>
        <v>2.5515106504767671</v>
      </c>
      <c r="H124" s="1423">
        <f t="shared" ca="1" si="135"/>
        <v>2.3552406004400925</v>
      </c>
      <c r="I124" s="1423">
        <f t="shared" ca="1" si="135"/>
        <v>2.158970550403418</v>
      </c>
      <c r="J124" s="1423">
        <f t="shared" ca="1" si="135"/>
        <v>1.9627005003667435</v>
      </c>
      <c r="K124" s="1423">
        <f t="shared" ca="1" si="135"/>
        <v>1.766430450330069</v>
      </c>
      <c r="L124" s="1423">
        <f t="shared" ca="1" si="135"/>
        <v>1.5701604002933944</v>
      </c>
      <c r="M124" s="1423">
        <f t="shared" ca="1" si="135"/>
        <v>1.3738903502567199</v>
      </c>
      <c r="N124" s="1423">
        <f t="shared" ca="1" si="135"/>
        <v>1.1776203002200454</v>
      </c>
      <c r="O124" s="1423">
        <f t="shared" ca="1" si="135"/>
        <v>0.98135025018337096</v>
      </c>
      <c r="P124" s="1423">
        <f t="shared" ca="1" si="135"/>
        <v>0.78508020014669655</v>
      </c>
      <c r="Q124" s="1423">
        <f t="shared" ca="1" si="135"/>
        <v>0.58881015011002213</v>
      </c>
      <c r="R124" s="1423">
        <f t="shared" ca="1" si="135"/>
        <v>0.39254010007334772</v>
      </c>
      <c r="S124" s="1423">
        <f t="shared" ca="1" si="135"/>
        <v>0.1962700500366733</v>
      </c>
      <c r="T124" s="1423">
        <f t="shared" ca="1" si="135"/>
        <v>0</v>
      </c>
      <c r="U124" s="1423">
        <f t="shared" ca="1" si="135"/>
        <v>0</v>
      </c>
      <c r="V124" s="1423">
        <f t="shared" ca="1" si="135"/>
        <v>0</v>
      </c>
      <c r="W124" s="1423">
        <f t="shared" ca="1" si="135"/>
        <v>0</v>
      </c>
      <c r="X124" s="202"/>
      <c r="Y124" s="152"/>
      <c r="Z124" s="152"/>
      <c r="AA124" s="152"/>
      <c r="AB124" s="152"/>
    </row>
    <row r="125" spans="1:28" hidden="1" outlineLevel="1">
      <c r="A125" s="199">
        <f t="shared" si="132"/>
        <v>3</v>
      </c>
      <c r="B125" s="190" t="str">
        <f t="shared" ca="1" si="133"/>
        <v>Depreciated Net Capex 2018-19</v>
      </c>
      <c r="C125" s="1426"/>
      <c r="D125" s="1426"/>
      <c r="E125" s="1427"/>
      <c r="F125" s="1428">
        <f>F117</f>
        <v>3.4852089981836998</v>
      </c>
      <c r="G125" s="1423">
        <f ca="1">IF(F149="n/a",F125,IFERROR(IF((OFFSET($C125,0,$A125))&lt;0,
MIN(0,F125-(OFFSET($C125,0,$A125)/(OFFSET($C120,-$A124,$A125)))),
MAX(0,F125-(OFFSET($C125,0,$A125)/(OFFSET($C120,-$A124,$A125))))),0))</f>
        <v>3.2528617316381196</v>
      </c>
      <c r="H125" s="1423">
        <f t="shared" ref="H125" ca="1" si="136">IF(G149="n/a",G125,IFERROR(IF((OFFSET($C125,0,$A125))&lt;0,
MIN(0,G125-(OFFSET($C125,0,$A125)/(OFFSET($C120,-$A124,$A125)))),
MAX(0,G125-(OFFSET($C125,0,$A125)/(OFFSET($C120,-$A124,$A125))))),0))</f>
        <v>3.0205144650925395</v>
      </c>
      <c r="I125" s="1423">
        <f t="shared" ref="I125:I126" ca="1" si="137">IF(H149="n/a",H125,IFERROR(IF((OFFSET($C125,0,$A125))&lt;0,
MIN(0,H125-(OFFSET($C125,0,$A125)/(OFFSET($C120,-$A124,$A125)))),
MAX(0,H125-(OFFSET($C125,0,$A125)/(OFFSET($C120,-$A124,$A125))))),0))</f>
        <v>2.7881671985469594</v>
      </c>
      <c r="J125" s="1423">
        <f t="shared" ref="J125:J127" ca="1" si="138">IF(I149="n/a",I125,IFERROR(IF((OFFSET($C125,0,$A125))&lt;0,
MIN(0,I125-(OFFSET($C125,0,$A125)/(OFFSET($C120,-$A124,$A125)))),
MAX(0,I125-(OFFSET($C125,0,$A125)/(OFFSET($C120,-$A124,$A125))))),0))</f>
        <v>2.5558199320013792</v>
      </c>
      <c r="K125" s="1423">
        <f t="shared" ref="K125:K128" ca="1" si="139">IF(J149="n/a",J125,IFERROR(IF((OFFSET($C125,0,$A125))&lt;0,
MIN(0,J125-(OFFSET($C125,0,$A125)/(OFFSET($C120,-$A124,$A125)))),
MAX(0,J125-(OFFSET($C125,0,$A125)/(OFFSET($C120,-$A124,$A125))))),0))</f>
        <v>2.3234726654557991</v>
      </c>
      <c r="L125" s="1423">
        <f t="shared" ref="L125:L129" ca="1" si="140">IF(K149="n/a",K125,IFERROR(IF((OFFSET($C125,0,$A125))&lt;0,
MIN(0,K125-(OFFSET($C125,0,$A125)/(OFFSET($C120,-$A124,$A125)))),
MAX(0,K125-(OFFSET($C125,0,$A125)/(OFFSET($C120,-$A124,$A125))))),0))</f>
        <v>2.091125398910219</v>
      </c>
      <c r="M125" s="1423">
        <f t="shared" ref="M125:M130" ca="1" si="141">IF(L149="n/a",L125,IFERROR(IF((OFFSET($C125,0,$A125))&lt;0,
MIN(0,L125-(OFFSET($C125,0,$A125)/(OFFSET($C120,-$A124,$A125)))),
MAX(0,L125-(OFFSET($C125,0,$A125)/(OFFSET($C120,-$A124,$A125))))),0))</f>
        <v>1.8587781323646391</v>
      </c>
      <c r="N125" s="1423">
        <f t="shared" ref="N125:N131" ca="1" si="142">IF(M149="n/a",M125,IFERROR(IF((OFFSET($C125,0,$A125))&lt;0,
MIN(0,M125-(OFFSET($C125,0,$A125)/(OFFSET($C120,-$A124,$A125)))),
MAX(0,M125-(OFFSET($C125,0,$A125)/(OFFSET($C120,-$A124,$A125))))),0))</f>
        <v>1.6264308658190592</v>
      </c>
      <c r="O125" s="1423">
        <f t="shared" ref="O125:O132" ca="1" si="143">IF(N149="n/a",N125,IFERROR(IF((OFFSET($C125,0,$A125))&lt;0,
MIN(0,N125-(OFFSET($C125,0,$A125)/(OFFSET($C120,-$A124,$A125)))),
MAX(0,N125-(OFFSET($C125,0,$A125)/(OFFSET($C120,-$A124,$A125))))),0))</f>
        <v>1.3940835992734792</v>
      </c>
      <c r="P125" s="1423">
        <f t="shared" ref="P125:P133" ca="1" si="144">IF(O149="n/a",O125,IFERROR(IF((OFFSET($C125,0,$A125))&lt;0,
MIN(0,O125-(OFFSET($C125,0,$A125)/(OFFSET($C120,-$A124,$A125)))),
MAX(0,O125-(OFFSET($C125,0,$A125)/(OFFSET($C120,-$A124,$A125))))),0))</f>
        <v>1.1617363327278993</v>
      </c>
      <c r="Q125" s="1423">
        <f t="shared" ref="Q125:Q134" ca="1" si="145">IF(P149="n/a",P125,IFERROR(IF((OFFSET($C125,0,$A125))&lt;0,
MIN(0,P125-(OFFSET($C125,0,$A125)/(OFFSET($C120,-$A124,$A125)))),
MAX(0,P125-(OFFSET($C125,0,$A125)/(OFFSET($C120,-$A124,$A125))))),0))</f>
        <v>0.92938906618231931</v>
      </c>
      <c r="R125" s="1423">
        <f t="shared" ref="R125:R135" ca="1" si="146">IF(Q149="n/a",Q125,IFERROR(IF((OFFSET($C125,0,$A125))&lt;0,
MIN(0,Q125-(OFFSET($C125,0,$A125)/(OFFSET($C120,-$A124,$A125)))),
MAX(0,Q125-(OFFSET($C125,0,$A125)/(OFFSET($C120,-$A124,$A125))))),0))</f>
        <v>0.69704179963673929</v>
      </c>
      <c r="S125" s="1423">
        <f t="shared" ref="S125:S136" ca="1" si="147">IF(R149="n/a",R125,IFERROR(IF((OFFSET($C125,0,$A125))&lt;0,
MIN(0,R125-(OFFSET($C125,0,$A125)/(OFFSET($C120,-$A124,$A125)))),
MAX(0,R125-(OFFSET($C125,0,$A125)/(OFFSET($C120,-$A124,$A125))))),0))</f>
        <v>0.46469453309115927</v>
      </c>
      <c r="T125" s="1423">
        <f t="shared" ref="T125:T137" ca="1" si="148">IF(S149="n/a",S125,IFERROR(IF((OFFSET($C125,0,$A125))&lt;0,
MIN(0,S125-(OFFSET($C125,0,$A125)/(OFFSET($C120,-$A124,$A125)))),
MAX(0,S125-(OFFSET($C125,0,$A125)/(OFFSET($C120,-$A124,$A125))))),0))</f>
        <v>0.23234726654557927</v>
      </c>
      <c r="U125" s="1423">
        <f t="shared" ref="U125:U138" ca="1" si="149">IF(T149="n/a",T125,IFERROR(IF((OFFSET($C125,0,$A125))&lt;0,
MIN(0,T125-(OFFSET($C125,0,$A125)/(OFFSET($C120,-$A124,$A125)))),
MAX(0,T125-(OFFSET($C125,0,$A125)/(OFFSET($C120,-$A124,$A125))))),0))</f>
        <v>0</v>
      </c>
      <c r="V125" s="1423">
        <f t="shared" ref="V125:V139" ca="1" si="150">IF(U149="n/a",U125,IFERROR(IF((OFFSET($C125,0,$A125))&lt;0,
MIN(0,U125-(OFFSET($C125,0,$A125)/(OFFSET($C120,-$A124,$A125)))),
MAX(0,U125-(OFFSET($C125,0,$A125)/(OFFSET($C120,-$A124,$A125))))),0))</f>
        <v>0</v>
      </c>
      <c r="W125" s="1423">
        <f t="shared" ref="W125:W140" ca="1" si="151">IF(V149="n/a",V125,IFERROR(IF((OFFSET($C125,0,$A125))&lt;0,
MIN(0,V125-(OFFSET($C125,0,$A125)/(OFFSET($C120,-$A124,$A125)))),
MAX(0,V125-(OFFSET($C125,0,$A125)/(OFFSET($C120,-$A124,$A125))))),0))</f>
        <v>0</v>
      </c>
      <c r="X125" s="202"/>
      <c r="Y125" s="202"/>
      <c r="Z125" s="152"/>
      <c r="AA125" s="152"/>
      <c r="AB125" s="152"/>
    </row>
    <row r="126" spans="1:28" hidden="1" outlineLevel="1">
      <c r="A126" s="199">
        <f t="shared" si="132"/>
        <v>4</v>
      </c>
      <c r="B126" s="190" t="str">
        <f t="shared" ca="1" si="133"/>
        <v>Depreciated Net Capex 2019-20</v>
      </c>
      <c r="C126" s="1426"/>
      <c r="D126" s="1426"/>
      <c r="E126" s="1426"/>
      <c r="F126" s="1427"/>
      <c r="G126" s="1428">
        <f>G117</f>
        <v>1.8192726395160452</v>
      </c>
      <c r="H126" s="1423">
        <f ca="1">IF(G150="n/a",G126,IFERROR(IF((OFFSET($C126,0,$A126))&lt;0,
MIN(0,G126-(OFFSET($C126,0,$A126)/(OFFSET($C121,-$A125,$A126)))),
MAX(0,G126-(OFFSET($C126,0,$A126)/(OFFSET($C121,-$A125,$A126))))),0))</f>
        <v>1.6979877968816421</v>
      </c>
      <c r="I126" s="1423">
        <f t="shared" ca="1" si="137"/>
        <v>1.5767029542472391</v>
      </c>
      <c r="J126" s="1423">
        <f t="shared" ca="1" si="138"/>
        <v>1.455418111612836</v>
      </c>
      <c r="K126" s="1423">
        <f t="shared" ca="1" si="139"/>
        <v>1.3341332689784329</v>
      </c>
      <c r="L126" s="1423">
        <f t="shared" ca="1" si="140"/>
        <v>1.2128484263440298</v>
      </c>
      <c r="M126" s="1423">
        <f t="shared" ca="1" si="141"/>
        <v>1.0915635837096267</v>
      </c>
      <c r="N126" s="1423">
        <f t="shared" ca="1" si="142"/>
        <v>0.97027874107522372</v>
      </c>
      <c r="O126" s="1423">
        <f t="shared" ca="1" si="143"/>
        <v>0.84899389844082074</v>
      </c>
      <c r="P126" s="1423">
        <f t="shared" ca="1" si="144"/>
        <v>0.72770905580641776</v>
      </c>
      <c r="Q126" s="1423">
        <f t="shared" ca="1" si="145"/>
        <v>0.60642421317201478</v>
      </c>
      <c r="R126" s="1423">
        <f t="shared" ca="1" si="146"/>
        <v>0.48513937053761175</v>
      </c>
      <c r="S126" s="1423">
        <f t="shared" ca="1" si="147"/>
        <v>0.36385452790320871</v>
      </c>
      <c r="T126" s="1423">
        <f t="shared" ca="1" si="148"/>
        <v>0.24256968526880568</v>
      </c>
      <c r="U126" s="1423">
        <f t="shared" ca="1" si="149"/>
        <v>0.12128484263440266</v>
      </c>
      <c r="V126" s="1423">
        <f t="shared" ca="1" si="150"/>
        <v>0</v>
      </c>
      <c r="W126" s="1423">
        <f t="shared" ca="1" si="151"/>
        <v>0</v>
      </c>
      <c r="X126" s="202"/>
      <c r="Y126" s="202"/>
      <c r="Z126" s="202"/>
      <c r="AA126" s="152"/>
      <c r="AB126" s="152"/>
    </row>
    <row r="127" spans="1:28" hidden="1" outlineLevel="1">
      <c r="A127" s="199">
        <f t="shared" si="132"/>
        <v>5</v>
      </c>
      <c r="B127" s="190" t="str">
        <f t="shared" ca="1" si="133"/>
        <v>Depreciated Net Capex 2020-21</v>
      </c>
      <c r="C127" s="1426"/>
      <c r="D127" s="1426"/>
      <c r="E127" s="1426"/>
      <c r="F127" s="1426"/>
      <c r="G127" s="1427"/>
      <c r="H127" s="1428">
        <f>H117</f>
        <v>2.1102837918944823</v>
      </c>
      <c r="I127" s="1423">
        <f ca="1">IF(H151="n/a",H127,IFERROR(IF((OFFSET($C127,0,$A127))&lt;0,
MIN(0,H127-(OFFSET($C127,0,$A127)/(OFFSET($C122,-$A126,$A127)))),
MAX(0,H127-(OFFSET($C127,0,$A127)/(OFFSET($C122,-$A126,$A127))))),0))</f>
        <v>1.9695982057681836</v>
      </c>
      <c r="J127" s="1423">
        <f t="shared" ca="1" si="138"/>
        <v>1.8289126196418848</v>
      </c>
      <c r="K127" s="1423">
        <f t="shared" ca="1" si="139"/>
        <v>1.688227033515586</v>
      </c>
      <c r="L127" s="1423">
        <f t="shared" ca="1" si="140"/>
        <v>1.5475414473892872</v>
      </c>
      <c r="M127" s="1423">
        <f t="shared" ca="1" si="141"/>
        <v>1.4068558612629884</v>
      </c>
      <c r="N127" s="1423">
        <f t="shared" ca="1" si="142"/>
        <v>1.2661702751366897</v>
      </c>
      <c r="O127" s="1423">
        <f t="shared" ca="1" si="143"/>
        <v>1.1254846890103909</v>
      </c>
      <c r="P127" s="1423">
        <f t="shared" ca="1" si="144"/>
        <v>0.98479910288409211</v>
      </c>
      <c r="Q127" s="1423">
        <f t="shared" ca="1" si="145"/>
        <v>0.84411351675779334</v>
      </c>
      <c r="R127" s="1423">
        <f t="shared" ca="1" si="146"/>
        <v>0.70342793063149456</v>
      </c>
      <c r="S127" s="1423">
        <f t="shared" ca="1" si="147"/>
        <v>0.56274234450519578</v>
      </c>
      <c r="T127" s="1423">
        <f t="shared" ca="1" si="148"/>
        <v>0.42205675837889695</v>
      </c>
      <c r="U127" s="1423">
        <f t="shared" ca="1" si="149"/>
        <v>0.28137117225259811</v>
      </c>
      <c r="V127" s="1423">
        <f t="shared" ca="1" si="150"/>
        <v>0.14068558612629928</v>
      </c>
      <c r="W127" s="1423">
        <f t="shared" ca="1" si="151"/>
        <v>4.4408920985006262E-16</v>
      </c>
      <c r="X127" s="202"/>
      <c r="Y127" s="202"/>
      <c r="Z127" s="202"/>
      <c r="AA127" s="152"/>
      <c r="AB127" s="152"/>
    </row>
    <row r="128" spans="1:28" hidden="1" outlineLevel="1">
      <c r="A128" s="199">
        <f t="shared" si="132"/>
        <v>6</v>
      </c>
      <c r="B128" s="190" t="str">
        <f t="shared" ca="1" si="133"/>
        <v>Depreciated Net Capex 2021-22</v>
      </c>
      <c r="C128" s="1426"/>
      <c r="D128" s="1426"/>
      <c r="E128" s="1426"/>
      <c r="F128" s="1426"/>
      <c r="G128" s="1426"/>
      <c r="H128" s="1427"/>
      <c r="I128" s="1428">
        <f>I117</f>
        <v>1.9623152067392149</v>
      </c>
      <c r="J128" s="1423">
        <f ca="1">IF(I152="n/a",I128,IFERROR(IF((OFFSET($C128,0,$A128))&lt;0,
MIN(0,I128-(OFFSET($C128,0,$A128)/(OFFSET($C123,-$A127,$A128)))),
MAX(0,I128-(OFFSET($C128,0,$A128)/(OFFSET($C123,-$A127,$A128))))),0))</f>
        <v>1.8314941929566007</v>
      </c>
      <c r="K128" s="1423">
        <f t="shared" ca="1" si="139"/>
        <v>1.7006731791739864</v>
      </c>
      <c r="L128" s="1423">
        <f t="shared" ca="1" si="140"/>
        <v>1.5698521653913722</v>
      </c>
      <c r="M128" s="1423">
        <f t="shared" ca="1" si="141"/>
        <v>1.4390311516087579</v>
      </c>
      <c r="N128" s="1423">
        <f t="shared" ca="1" si="142"/>
        <v>1.3082101378261437</v>
      </c>
      <c r="O128" s="1423">
        <f t="shared" ca="1" si="143"/>
        <v>1.1773891240435295</v>
      </c>
      <c r="P128" s="1423">
        <f t="shared" ca="1" si="144"/>
        <v>1.0465681102609152</v>
      </c>
      <c r="Q128" s="1423">
        <f t="shared" ca="1" si="145"/>
        <v>0.91574709647830088</v>
      </c>
      <c r="R128" s="1423">
        <f t="shared" ca="1" si="146"/>
        <v>0.78492608269568653</v>
      </c>
      <c r="S128" s="1423">
        <f t="shared" ca="1" si="147"/>
        <v>0.65410506891307219</v>
      </c>
      <c r="T128" s="1423">
        <f t="shared" ca="1" si="148"/>
        <v>0.52328405513045784</v>
      </c>
      <c r="U128" s="1423">
        <f t="shared" ca="1" si="149"/>
        <v>0.39246304134784349</v>
      </c>
      <c r="V128" s="1423">
        <f t="shared" ca="1" si="150"/>
        <v>0.26164202756522914</v>
      </c>
      <c r="W128" s="1423">
        <f t="shared" ca="1" si="151"/>
        <v>0.13082101378261482</v>
      </c>
      <c r="X128" s="202"/>
      <c r="Y128" s="202"/>
      <c r="Z128" s="202"/>
      <c r="AA128" s="152"/>
      <c r="AB128" s="152"/>
    </row>
    <row r="129" spans="1:28" hidden="1" outlineLevel="1">
      <c r="A129" s="199">
        <f t="shared" si="132"/>
        <v>7</v>
      </c>
      <c r="B129" s="190" t="str">
        <f t="shared" ca="1" si="133"/>
        <v>Depreciated Net Capex 2022-23</v>
      </c>
      <c r="C129" s="1426"/>
      <c r="D129" s="1426"/>
      <c r="E129" s="1426"/>
      <c r="F129" s="1426"/>
      <c r="G129" s="1426"/>
      <c r="H129" s="1426"/>
      <c r="I129" s="1427"/>
      <c r="J129" s="1428">
        <f>J117</f>
        <v>0.95236333444207322</v>
      </c>
      <c r="K129" s="1423">
        <f ca="1">IF(J153="n/a",J129,IFERROR(IF((OFFSET($C129,0,$A129))&lt;0,
MIN(0,J129-(OFFSET($C129,0,$A129)/(OFFSET($C124,-$A128,$A129)))),
MAX(0,J129-(OFFSET($C129,0,$A129)/(OFFSET($C124,-$A128,$A129))))),0))</f>
        <v>0.88887244547926836</v>
      </c>
      <c r="L129" s="1423">
        <f t="shared" ca="1" si="140"/>
        <v>0.8253815565164635</v>
      </c>
      <c r="M129" s="1423">
        <f t="shared" ca="1" si="141"/>
        <v>0.76189066755365864</v>
      </c>
      <c r="N129" s="1423">
        <f t="shared" ca="1" si="142"/>
        <v>0.69839977859085378</v>
      </c>
      <c r="O129" s="1423">
        <f t="shared" ca="1" si="143"/>
        <v>0.63490888962804892</v>
      </c>
      <c r="P129" s="1423">
        <f t="shared" ca="1" si="144"/>
        <v>0.57141800066524406</v>
      </c>
      <c r="Q129" s="1423">
        <f t="shared" ca="1" si="145"/>
        <v>0.5079271117024392</v>
      </c>
      <c r="R129" s="1423">
        <f t="shared" ca="1" si="146"/>
        <v>0.44443622273963435</v>
      </c>
      <c r="S129" s="1423">
        <f t="shared" ca="1" si="147"/>
        <v>0.38094533377682949</v>
      </c>
      <c r="T129" s="1423">
        <f t="shared" ca="1" si="148"/>
        <v>0.31745444481402463</v>
      </c>
      <c r="U129" s="1423">
        <f t="shared" ca="1" si="149"/>
        <v>0.25396355585121977</v>
      </c>
      <c r="V129" s="1423">
        <f t="shared" ca="1" si="150"/>
        <v>0.19047266688841488</v>
      </c>
      <c r="W129" s="1423">
        <f t="shared" ca="1" si="151"/>
        <v>0.12698177792561</v>
      </c>
      <c r="X129" s="202"/>
      <c r="Y129" s="202"/>
      <c r="Z129" s="202"/>
      <c r="AA129" s="152"/>
      <c r="AB129" s="152"/>
    </row>
    <row r="130" spans="1:28" hidden="1" outlineLevel="1">
      <c r="A130" s="199">
        <f t="shared" si="132"/>
        <v>8</v>
      </c>
      <c r="B130" s="190" t="str">
        <f t="shared" ca="1" si="133"/>
        <v>Depreciated Net Capex 2023-24</v>
      </c>
      <c r="C130" s="1426"/>
      <c r="D130" s="1426"/>
      <c r="E130" s="1426"/>
      <c r="F130" s="1426"/>
      <c r="G130" s="1426"/>
      <c r="H130" s="1426"/>
      <c r="I130" s="1426"/>
      <c r="J130" s="1427"/>
      <c r="K130" s="1428">
        <f>K117</f>
        <v>0</v>
      </c>
      <c r="L130" s="1423">
        <f ca="1">IF(K154="n/a",K130,IFERROR(IF((OFFSET($C130,0,$A130))&lt;0,
MIN(0,K130-(OFFSET($C130,0,$A130)/(OFFSET($C125,-$A129,$A130)))),
MAX(0,K130-(OFFSET($C130,0,$A130)/(OFFSET($C125,-$A129,$A130))))),0))</f>
        <v>0</v>
      </c>
      <c r="M130" s="1423">
        <f t="shared" ca="1" si="141"/>
        <v>0</v>
      </c>
      <c r="N130" s="1423">
        <f t="shared" ca="1" si="142"/>
        <v>0</v>
      </c>
      <c r="O130" s="1423">
        <f t="shared" ca="1" si="143"/>
        <v>0</v>
      </c>
      <c r="P130" s="1423">
        <f t="shared" ca="1" si="144"/>
        <v>0</v>
      </c>
      <c r="Q130" s="1423">
        <f t="shared" ca="1" si="145"/>
        <v>0</v>
      </c>
      <c r="R130" s="1423">
        <f t="shared" ca="1" si="146"/>
        <v>0</v>
      </c>
      <c r="S130" s="1423">
        <f t="shared" ca="1" si="147"/>
        <v>0</v>
      </c>
      <c r="T130" s="1423">
        <f t="shared" ca="1" si="148"/>
        <v>0</v>
      </c>
      <c r="U130" s="1423">
        <f t="shared" ca="1" si="149"/>
        <v>0</v>
      </c>
      <c r="V130" s="1423">
        <f t="shared" ca="1" si="150"/>
        <v>0</v>
      </c>
      <c r="W130" s="1423">
        <f t="shared" ca="1" si="151"/>
        <v>0</v>
      </c>
      <c r="X130" s="202"/>
      <c r="Y130" s="202"/>
      <c r="Z130" s="202"/>
      <c r="AA130" s="152"/>
      <c r="AB130" s="152"/>
    </row>
    <row r="131" spans="1:28" hidden="1" outlineLevel="1">
      <c r="A131" s="199">
        <f t="shared" si="132"/>
        <v>9</v>
      </c>
      <c r="B131" s="190" t="str">
        <f t="shared" ca="1" si="133"/>
        <v>Depreciated Net Capex 2024-25</v>
      </c>
      <c r="C131" s="1426"/>
      <c r="D131" s="1426"/>
      <c r="E131" s="1426"/>
      <c r="F131" s="1426"/>
      <c r="G131" s="1426"/>
      <c r="H131" s="1426"/>
      <c r="I131" s="1426"/>
      <c r="J131" s="1426"/>
      <c r="K131" s="1427"/>
      <c r="L131" s="1428">
        <f>L117</f>
        <v>0</v>
      </c>
      <c r="M131" s="1423">
        <f ca="1">IF(L155="n/a",L131,IFERROR(IF((OFFSET($C131,0,$A131))&lt;0,
MIN(0,L131-(OFFSET($C131,0,$A131)/(OFFSET($C126,-$A130,$A131)))),
MAX(0,L131-(OFFSET($C131,0,$A131)/(OFFSET($C126,-$A130,$A131))))),0))</f>
        <v>0</v>
      </c>
      <c r="N131" s="1423">
        <f t="shared" ca="1" si="142"/>
        <v>0</v>
      </c>
      <c r="O131" s="1423">
        <f t="shared" ca="1" si="143"/>
        <v>0</v>
      </c>
      <c r="P131" s="1423">
        <f t="shared" ca="1" si="144"/>
        <v>0</v>
      </c>
      <c r="Q131" s="1423">
        <f t="shared" ca="1" si="145"/>
        <v>0</v>
      </c>
      <c r="R131" s="1423">
        <f t="shared" ca="1" si="146"/>
        <v>0</v>
      </c>
      <c r="S131" s="1423">
        <f t="shared" ca="1" si="147"/>
        <v>0</v>
      </c>
      <c r="T131" s="1423">
        <f t="shared" ca="1" si="148"/>
        <v>0</v>
      </c>
      <c r="U131" s="1423">
        <f t="shared" ca="1" si="149"/>
        <v>0</v>
      </c>
      <c r="V131" s="1423">
        <f t="shared" ca="1" si="150"/>
        <v>0</v>
      </c>
      <c r="W131" s="1423">
        <f t="shared" ca="1" si="151"/>
        <v>0</v>
      </c>
      <c r="X131" s="202"/>
      <c r="Y131" s="202"/>
      <c r="Z131" s="202"/>
      <c r="AA131" s="152"/>
      <c r="AB131" s="152"/>
    </row>
    <row r="132" spans="1:28" hidden="1" outlineLevel="1">
      <c r="A132" s="199">
        <f t="shared" si="132"/>
        <v>10</v>
      </c>
      <c r="B132" s="190" t="str">
        <f t="shared" ca="1" si="133"/>
        <v>Depreciated Net Capex 2025-26</v>
      </c>
      <c r="C132" s="1426"/>
      <c r="D132" s="1426"/>
      <c r="E132" s="1426"/>
      <c r="F132" s="1426"/>
      <c r="G132" s="1426"/>
      <c r="H132" s="1426"/>
      <c r="I132" s="1426"/>
      <c r="J132" s="1426"/>
      <c r="K132" s="1426"/>
      <c r="L132" s="1427"/>
      <c r="M132" s="1428">
        <f>M117</f>
        <v>0</v>
      </c>
      <c r="N132" s="1423">
        <f ca="1">IF(M156="n/a",M132,IFERROR(IF((OFFSET($C132,0,$A132))&lt;0,
MIN(0,M132-(OFFSET($C132,0,$A132)/(OFFSET($C127,-$A131,$A132)))),
MAX(0,M132-(OFFSET($C132,0,$A132)/(OFFSET($C127,-$A131,$A132))))),0))</f>
        <v>0</v>
      </c>
      <c r="O132" s="1423">
        <f t="shared" ca="1" si="143"/>
        <v>0</v>
      </c>
      <c r="P132" s="1423">
        <f t="shared" ca="1" si="144"/>
        <v>0</v>
      </c>
      <c r="Q132" s="1423">
        <f t="shared" ca="1" si="145"/>
        <v>0</v>
      </c>
      <c r="R132" s="1423">
        <f t="shared" ca="1" si="146"/>
        <v>0</v>
      </c>
      <c r="S132" s="1423">
        <f t="shared" ca="1" si="147"/>
        <v>0</v>
      </c>
      <c r="T132" s="1423">
        <f t="shared" ca="1" si="148"/>
        <v>0</v>
      </c>
      <c r="U132" s="1423">
        <f t="shared" ca="1" si="149"/>
        <v>0</v>
      </c>
      <c r="V132" s="1423">
        <f t="shared" ca="1" si="150"/>
        <v>0</v>
      </c>
      <c r="W132" s="1423">
        <f t="shared" ca="1" si="151"/>
        <v>0</v>
      </c>
      <c r="X132" s="202"/>
      <c r="Y132" s="202"/>
      <c r="Z132" s="202"/>
      <c r="AA132" s="152"/>
      <c r="AB132" s="152"/>
    </row>
    <row r="133" spans="1:28" hidden="1" outlineLevel="1">
      <c r="A133" s="199">
        <f t="shared" si="132"/>
        <v>11</v>
      </c>
      <c r="B133" s="190" t="str">
        <f t="shared" ca="1" si="133"/>
        <v>Depreciated Net Capex 2026-27</v>
      </c>
      <c r="C133" s="1426"/>
      <c r="D133" s="1426"/>
      <c r="E133" s="1426"/>
      <c r="F133" s="1426"/>
      <c r="G133" s="1426"/>
      <c r="H133" s="1426"/>
      <c r="I133" s="1426"/>
      <c r="J133" s="1426"/>
      <c r="K133" s="1426"/>
      <c r="L133" s="1426"/>
      <c r="M133" s="1427"/>
      <c r="N133" s="1428">
        <f>N117</f>
        <v>0</v>
      </c>
      <c r="O133" s="1423">
        <f ca="1">IF(N157="n/a",N133,IFERROR(IF((OFFSET($C133,0,$A133))&lt;0,
MIN(0,N133-(OFFSET($C133,0,$A133)/(OFFSET($C128,-$A132,$A133)))),
MAX(0,N133-(OFFSET($C133,0,$A133)/(OFFSET($C128,-$A132,$A133))))),0))</f>
        <v>0</v>
      </c>
      <c r="P133" s="1423">
        <f t="shared" ca="1" si="144"/>
        <v>0</v>
      </c>
      <c r="Q133" s="1423">
        <f t="shared" ca="1" si="145"/>
        <v>0</v>
      </c>
      <c r="R133" s="1423">
        <f t="shared" ca="1" si="146"/>
        <v>0</v>
      </c>
      <c r="S133" s="1423">
        <f t="shared" ca="1" si="147"/>
        <v>0</v>
      </c>
      <c r="T133" s="1423">
        <f t="shared" ca="1" si="148"/>
        <v>0</v>
      </c>
      <c r="U133" s="1423">
        <f t="shared" ca="1" si="149"/>
        <v>0</v>
      </c>
      <c r="V133" s="1423">
        <f t="shared" ca="1" si="150"/>
        <v>0</v>
      </c>
      <c r="W133" s="1423">
        <f t="shared" ca="1" si="151"/>
        <v>0</v>
      </c>
      <c r="X133" s="202"/>
      <c r="Y133" s="202"/>
      <c r="Z133" s="202"/>
      <c r="AA133" s="152"/>
      <c r="AB133" s="152"/>
    </row>
    <row r="134" spans="1:28" hidden="1" outlineLevel="1">
      <c r="A134" s="199">
        <f t="shared" si="132"/>
        <v>12</v>
      </c>
      <c r="B134" s="190" t="str">
        <f t="shared" ca="1" si="133"/>
        <v>Depreciated Net Capex 2027-28</v>
      </c>
      <c r="C134" s="1426"/>
      <c r="D134" s="1426"/>
      <c r="E134" s="1426"/>
      <c r="F134" s="1426"/>
      <c r="G134" s="1426"/>
      <c r="H134" s="1426"/>
      <c r="I134" s="1426"/>
      <c r="J134" s="1426"/>
      <c r="K134" s="1426"/>
      <c r="L134" s="1426"/>
      <c r="M134" s="1426"/>
      <c r="N134" s="1427"/>
      <c r="O134" s="1428">
        <f>O117</f>
        <v>0</v>
      </c>
      <c r="P134" s="1423">
        <f ca="1">IF(O158="n/a",O134,IFERROR(IF((OFFSET($C134,0,$A134))&lt;0,
MIN(0,O134-(OFFSET($C134,0,$A134)/(OFFSET($C129,-$A133,$A134)))),
MAX(0,O134-(OFFSET($C134,0,$A134)/(OFFSET($C129,-$A133,$A134))))),0))</f>
        <v>0</v>
      </c>
      <c r="Q134" s="1423">
        <f t="shared" ca="1" si="145"/>
        <v>0</v>
      </c>
      <c r="R134" s="1423">
        <f t="shared" ca="1" si="146"/>
        <v>0</v>
      </c>
      <c r="S134" s="1423">
        <f t="shared" ca="1" si="147"/>
        <v>0</v>
      </c>
      <c r="T134" s="1423">
        <f t="shared" ca="1" si="148"/>
        <v>0</v>
      </c>
      <c r="U134" s="1423">
        <f t="shared" ca="1" si="149"/>
        <v>0</v>
      </c>
      <c r="V134" s="1423">
        <f t="shared" ca="1" si="150"/>
        <v>0</v>
      </c>
      <c r="W134" s="1423">
        <f t="shared" ca="1" si="151"/>
        <v>0</v>
      </c>
      <c r="X134" s="202"/>
      <c r="Y134" s="202"/>
      <c r="Z134" s="202"/>
      <c r="AA134" s="152"/>
      <c r="AB134" s="152"/>
    </row>
    <row r="135" spans="1:28" hidden="1" outlineLevel="1">
      <c r="A135" s="199">
        <f t="shared" si="132"/>
        <v>13</v>
      </c>
      <c r="B135" s="190" t="str">
        <f t="shared" ca="1" si="133"/>
        <v>Depreciated Net Capex 2028-29</v>
      </c>
      <c r="C135" s="1426"/>
      <c r="D135" s="1426"/>
      <c r="E135" s="1426"/>
      <c r="F135" s="1426"/>
      <c r="G135" s="1426"/>
      <c r="H135" s="1426"/>
      <c r="I135" s="1426"/>
      <c r="J135" s="1426"/>
      <c r="K135" s="1426"/>
      <c r="L135" s="1426"/>
      <c r="M135" s="1426"/>
      <c r="N135" s="1426"/>
      <c r="O135" s="1427"/>
      <c r="P135" s="1428">
        <f>P117</f>
        <v>0</v>
      </c>
      <c r="Q135" s="1423">
        <f ca="1">IF(P159="n/a",P135,IFERROR(IF((OFFSET($C135,0,$A135))&lt;0,
MIN(0,P135-(OFFSET($C135,0,$A135)/(OFFSET($C130,-$A134,$A135)))),
MAX(0,P135-(OFFSET($C135,0,$A135)/(OFFSET($C130,-$A134,$A135))))),0))</f>
        <v>0</v>
      </c>
      <c r="R135" s="1423">
        <f t="shared" ca="1" si="146"/>
        <v>0</v>
      </c>
      <c r="S135" s="1423">
        <f t="shared" ca="1" si="147"/>
        <v>0</v>
      </c>
      <c r="T135" s="1423">
        <f t="shared" ca="1" si="148"/>
        <v>0</v>
      </c>
      <c r="U135" s="1423">
        <f t="shared" ca="1" si="149"/>
        <v>0</v>
      </c>
      <c r="V135" s="1423">
        <f t="shared" ca="1" si="150"/>
        <v>0</v>
      </c>
      <c r="W135" s="1423">
        <f t="shared" ca="1" si="151"/>
        <v>0</v>
      </c>
      <c r="X135" s="202"/>
      <c r="Y135" s="202"/>
      <c r="Z135" s="202"/>
      <c r="AA135" s="152"/>
      <c r="AB135" s="152"/>
    </row>
    <row r="136" spans="1:28" hidden="1" outlineLevel="1">
      <c r="A136" s="199">
        <f t="shared" si="132"/>
        <v>14</v>
      </c>
      <c r="B136" s="190" t="str">
        <f t="shared" ca="1" si="133"/>
        <v>Depreciated Net Capex 2029-30</v>
      </c>
      <c r="C136" s="1426"/>
      <c r="D136" s="1426"/>
      <c r="E136" s="1426"/>
      <c r="F136" s="1426"/>
      <c r="G136" s="1426"/>
      <c r="H136" s="1426"/>
      <c r="I136" s="1426"/>
      <c r="J136" s="1426"/>
      <c r="K136" s="1426"/>
      <c r="L136" s="1426"/>
      <c r="M136" s="1426"/>
      <c r="N136" s="1426"/>
      <c r="O136" s="1426"/>
      <c r="P136" s="1427"/>
      <c r="Q136" s="1428">
        <f>Q117</f>
        <v>0</v>
      </c>
      <c r="R136" s="1423">
        <f ca="1">IF(Q160="n/a",Q136,IFERROR(IF((OFFSET($C136,0,$A136))&lt;0,
MIN(0,Q136-(OFFSET($C136,0,$A136)/(OFFSET($C131,-$A135,$A136)))),
MAX(0,Q136-(OFFSET($C136,0,$A136)/(OFFSET($C131,-$A135,$A136))))),0))</f>
        <v>0</v>
      </c>
      <c r="S136" s="1423">
        <f t="shared" ca="1" si="147"/>
        <v>0</v>
      </c>
      <c r="T136" s="1423">
        <f t="shared" ca="1" si="148"/>
        <v>0</v>
      </c>
      <c r="U136" s="1423">
        <f t="shared" ca="1" si="149"/>
        <v>0</v>
      </c>
      <c r="V136" s="1423">
        <f t="shared" ca="1" si="150"/>
        <v>0</v>
      </c>
      <c r="W136" s="1423">
        <f t="shared" ca="1" si="151"/>
        <v>0</v>
      </c>
      <c r="X136" s="202"/>
      <c r="Y136" s="202"/>
      <c r="Z136" s="202"/>
      <c r="AA136" s="152"/>
      <c r="AB136" s="152"/>
    </row>
    <row r="137" spans="1:28" hidden="1" outlineLevel="1">
      <c r="A137" s="199">
        <f t="shared" si="132"/>
        <v>15</v>
      </c>
      <c r="B137" s="190" t="str">
        <f t="shared" ca="1" si="133"/>
        <v>Depreciated Net Capex 2030-31</v>
      </c>
      <c r="C137" s="1426"/>
      <c r="D137" s="1426"/>
      <c r="E137" s="1426"/>
      <c r="F137" s="1426"/>
      <c r="G137" s="1426"/>
      <c r="H137" s="1426"/>
      <c r="I137" s="1426"/>
      <c r="J137" s="1426"/>
      <c r="K137" s="1426"/>
      <c r="L137" s="1426"/>
      <c r="M137" s="1426"/>
      <c r="N137" s="1426"/>
      <c r="O137" s="1426"/>
      <c r="P137" s="1426"/>
      <c r="Q137" s="1427"/>
      <c r="R137" s="1428">
        <f>R117</f>
        <v>0</v>
      </c>
      <c r="S137" s="1423">
        <f ca="1">IF(R161="n/a",R137,IFERROR(IF((OFFSET($C137,0,$A137))&lt;0,
MIN(0,R137-(OFFSET($C137,0,$A137)/(OFFSET($C132,-$A136,$A137)))),
MAX(0,R137-(OFFSET($C137,0,$A137)/(OFFSET($C132,-$A136,$A137))))),0))</f>
        <v>0</v>
      </c>
      <c r="T137" s="1423">
        <f t="shared" ca="1" si="148"/>
        <v>0</v>
      </c>
      <c r="U137" s="1423">
        <f t="shared" ca="1" si="149"/>
        <v>0</v>
      </c>
      <c r="V137" s="1423">
        <f t="shared" ca="1" si="150"/>
        <v>0</v>
      </c>
      <c r="W137" s="1423">
        <f t="shared" ca="1" si="151"/>
        <v>0</v>
      </c>
      <c r="X137" s="202"/>
      <c r="Y137" s="202"/>
      <c r="Z137" s="202"/>
      <c r="AA137" s="152"/>
      <c r="AB137" s="152"/>
    </row>
    <row r="138" spans="1:28" hidden="1" outlineLevel="1">
      <c r="A138" s="199">
        <f t="shared" si="132"/>
        <v>16</v>
      </c>
      <c r="B138" s="190" t="str">
        <f t="shared" ca="1" si="133"/>
        <v>Depreciated Net Capex 2031-32</v>
      </c>
      <c r="C138" s="1426"/>
      <c r="D138" s="1426"/>
      <c r="E138" s="1426"/>
      <c r="F138" s="1426"/>
      <c r="G138" s="1426"/>
      <c r="H138" s="1426"/>
      <c r="I138" s="1426"/>
      <c r="J138" s="1426"/>
      <c r="K138" s="1426"/>
      <c r="L138" s="1426"/>
      <c r="M138" s="1426"/>
      <c r="N138" s="1426"/>
      <c r="O138" s="1426"/>
      <c r="P138" s="1426"/>
      <c r="Q138" s="1426"/>
      <c r="R138" s="1427"/>
      <c r="S138" s="1428">
        <f>S117</f>
        <v>0</v>
      </c>
      <c r="T138" s="1423">
        <f ca="1">IF(S162="n/a",S138,IFERROR(IF((OFFSET($C138,0,$A138))&lt;0,
MIN(0,S138-(OFFSET($C138,0,$A138)/(OFFSET($C133,-$A137,$A138)))),
MAX(0,S138-(OFFSET($C138,0,$A138)/(OFFSET($C133,-$A137,$A138))))),0))</f>
        <v>0</v>
      </c>
      <c r="U138" s="1423">
        <f t="shared" ca="1" si="149"/>
        <v>0</v>
      </c>
      <c r="V138" s="1423">
        <f t="shared" ca="1" si="150"/>
        <v>0</v>
      </c>
      <c r="W138" s="1423">
        <f t="shared" ca="1" si="151"/>
        <v>0</v>
      </c>
      <c r="X138" s="202"/>
      <c r="Y138" s="202"/>
      <c r="Z138" s="202"/>
      <c r="AA138" s="152"/>
      <c r="AB138" s="152"/>
    </row>
    <row r="139" spans="1:28" hidden="1" outlineLevel="1">
      <c r="A139" s="199">
        <f t="shared" si="132"/>
        <v>17</v>
      </c>
      <c r="B139" s="190" t="str">
        <f t="shared" ca="1" si="133"/>
        <v>Depreciated Net Capex 2032-33</v>
      </c>
      <c r="C139" s="1426"/>
      <c r="D139" s="1426"/>
      <c r="E139" s="1426"/>
      <c r="F139" s="1426"/>
      <c r="G139" s="1426"/>
      <c r="H139" s="1426"/>
      <c r="I139" s="1426"/>
      <c r="J139" s="1426"/>
      <c r="K139" s="1426"/>
      <c r="L139" s="1426"/>
      <c r="M139" s="1426"/>
      <c r="N139" s="1426"/>
      <c r="O139" s="1426"/>
      <c r="P139" s="1426"/>
      <c r="Q139" s="1426"/>
      <c r="R139" s="1426"/>
      <c r="S139" s="1427"/>
      <c r="T139" s="1428">
        <f>T117</f>
        <v>0</v>
      </c>
      <c r="U139" s="1423">
        <f ca="1">IF(T163="n/a",T139,IFERROR(IF((OFFSET($C139,0,$A139))&lt;0,
MIN(0,T139-(OFFSET($C139,0,$A139)/(OFFSET($C134,-$A138,$A139)))),
MAX(0,T139-(OFFSET($C139,0,$A139)/(OFFSET($C134,-$A138,$A139))))),0))</f>
        <v>0</v>
      </c>
      <c r="V139" s="1423">
        <f t="shared" ca="1" si="150"/>
        <v>0</v>
      </c>
      <c r="W139" s="1423">
        <f t="shared" ca="1" si="151"/>
        <v>0</v>
      </c>
      <c r="X139" s="202"/>
      <c r="Y139" s="202"/>
      <c r="Z139" s="202"/>
      <c r="AA139" s="152"/>
      <c r="AB139" s="152"/>
    </row>
    <row r="140" spans="1:28" hidden="1" outlineLevel="1">
      <c r="A140" s="199">
        <f t="shared" si="132"/>
        <v>18</v>
      </c>
      <c r="B140" s="190" t="str">
        <f t="shared" ca="1" si="133"/>
        <v>Depreciated Net Capex 2033-34</v>
      </c>
      <c r="C140" s="1426"/>
      <c r="D140" s="1426"/>
      <c r="E140" s="1426"/>
      <c r="F140" s="1426"/>
      <c r="G140" s="1426"/>
      <c r="H140" s="1426"/>
      <c r="I140" s="1426"/>
      <c r="J140" s="1426"/>
      <c r="K140" s="1426"/>
      <c r="L140" s="1426"/>
      <c r="M140" s="1426"/>
      <c r="N140" s="1426"/>
      <c r="O140" s="1426"/>
      <c r="P140" s="1426"/>
      <c r="Q140" s="1426"/>
      <c r="R140" s="1426"/>
      <c r="S140" s="1426"/>
      <c r="T140" s="1427"/>
      <c r="U140" s="1428">
        <f>U117</f>
        <v>0</v>
      </c>
      <c r="V140" s="1423">
        <f ca="1">IF(U164="n/a",U140,IFERROR(IF((OFFSET($C140,0,$A140))&lt;0,
MIN(0,U140-(OFFSET($C140,0,$A140)/(OFFSET($C135,-$A139,$A140)))),
MAX(0,U140-(OFFSET($C140,0,$A140)/(OFFSET($C135,-$A139,$A140))))),0))</f>
        <v>0</v>
      </c>
      <c r="W140" s="1423">
        <f t="shared" ca="1" si="151"/>
        <v>0</v>
      </c>
      <c r="X140" s="202"/>
      <c r="Y140" s="202"/>
      <c r="Z140" s="202"/>
      <c r="AA140" s="152"/>
      <c r="AB140" s="152"/>
    </row>
    <row r="141" spans="1:28" hidden="1" outlineLevel="1">
      <c r="A141" s="199">
        <f t="shared" si="132"/>
        <v>19</v>
      </c>
      <c r="B141" s="190" t="str">
        <f t="shared" ca="1" si="133"/>
        <v>Depreciated Net Capex 2034-35</v>
      </c>
      <c r="C141" s="1426"/>
      <c r="D141" s="1426"/>
      <c r="E141" s="1426"/>
      <c r="F141" s="1426"/>
      <c r="G141" s="1426"/>
      <c r="H141" s="1426"/>
      <c r="I141" s="1426"/>
      <c r="J141" s="1426"/>
      <c r="K141" s="1426"/>
      <c r="L141" s="1426"/>
      <c r="M141" s="1426"/>
      <c r="N141" s="1426"/>
      <c r="O141" s="1426"/>
      <c r="P141" s="1426"/>
      <c r="Q141" s="1426"/>
      <c r="R141" s="1426"/>
      <c r="S141" s="1426"/>
      <c r="T141" s="1426"/>
      <c r="U141" s="1427"/>
      <c r="V141" s="1428">
        <f>V117</f>
        <v>0</v>
      </c>
      <c r="W141" s="1423">
        <f ca="1">IF(V165="n/a",V141,IFERROR(IF((OFFSET($C141,0,$A141))&lt;0,
MIN(0,V141-(OFFSET($C141,0,$A141)/(OFFSET($C136,-$A140,$A141)))),
MAX(0,V141-(OFFSET($C141,0,$A141)/(OFFSET($C136,-$A140,$A141))))),0))</f>
        <v>0</v>
      </c>
      <c r="X141" s="202"/>
      <c r="Y141" s="202"/>
      <c r="Z141" s="202"/>
      <c r="AA141" s="152"/>
      <c r="AB141" s="152"/>
    </row>
    <row r="142" spans="1:28" hidden="1" outlineLevel="1">
      <c r="A142" s="199">
        <f t="shared" si="132"/>
        <v>20</v>
      </c>
      <c r="B142" s="190" t="str">
        <f t="shared" ca="1" si="133"/>
        <v>Depreciated Net Capex 2035-36</v>
      </c>
      <c r="C142" s="1426"/>
      <c r="D142" s="1426"/>
      <c r="E142" s="1426"/>
      <c r="F142" s="1426"/>
      <c r="G142" s="1426"/>
      <c r="H142" s="1426"/>
      <c r="I142" s="1426"/>
      <c r="J142" s="1426"/>
      <c r="K142" s="1426"/>
      <c r="L142" s="1426"/>
      <c r="M142" s="1426"/>
      <c r="N142" s="1426"/>
      <c r="O142" s="1426"/>
      <c r="P142" s="1426"/>
      <c r="Q142" s="1426"/>
      <c r="R142" s="1426"/>
      <c r="S142" s="1426"/>
      <c r="T142" s="1426"/>
      <c r="U142" s="1426"/>
      <c r="V142" s="1427"/>
      <c r="W142" s="1423">
        <f>W117</f>
        <v>0</v>
      </c>
      <c r="X142" s="152"/>
      <c r="Y142" s="152"/>
      <c r="Z142" s="152"/>
      <c r="AA142" s="152"/>
      <c r="AB142" s="152"/>
    </row>
    <row r="143" spans="1:28" hidden="1" outlineLevel="1">
      <c r="A143" s="242"/>
      <c r="B143" s="200"/>
      <c r="C143" s="1423"/>
      <c r="D143" s="1423"/>
      <c r="E143" s="1423"/>
      <c r="F143" s="1423"/>
      <c r="G143" s="1423"/>
      <c r="H143" s="1423"/>
      <c r="I143" s="1423"/>
      <c r="J143" s="1423"/>
      <c r="K143" s="1423"/>
      <c r="L143" s="1423"/>
      <c r="M143" s="1423"/>
      <c r="N143" s="1423"/>
      <c r="O143" s="1423"/>
      <c r="P143" s="1423"/>
      <c r="Q143" s="1423"/>
      <c r="R143" s="1423"/>
      <c r="S143" s="1423"/>
      <c r="T143" s="1423"/>
      <c r="U143" s="1423"/>
      <c r="V143" s="1423"/>
      <c r="W143" s="1423"/>
      <c r="X143" s="152"/>
      <c r="Y143" s="152"/>
      <c r="Z143" s="152"/>
      <c r="AA143" s="152"/>
      <c r="AB143" s="152"/>
    </row>
    <row r="144" spans="1:28" hidden="1" outlineLevel="1">
      <c r="A144" s="242"/>
      <c r="B144" s="200"/>
      <c r="C144" s="1423"/>
      <c r="D144" s="1423"/>
      <c r="E144" s="1423"/>
      <c r="F144" s="1423"/>
      <c r="G144" s="1423"/>
      <c r="H144" s="1423"/>
      <c r="I144" s="1423"/>
      <c r="J144" s="1423"/>
      <c r="K144" s="1423"/>
      <c r="L144" s="1423"/>
      <c r="M144" s="1423"/>
      <c r="N144" s="1423"/>
      <c r="O144" s="1423"/>
      <c r="P144" s="1423"/>
      <c r="Q144" s="1423"/>
      <c r="R144" s="1423"/>
      <c r="S144" s="1423"/>
      <c r="T144" s="1423"/>
      <c r="U144" s="1423"/>
      <c r="V144" s="1423"/>
      <c r="W144" s="1423"/>
      <c r="X144" s="152"/>
      <c r="Y144" s="152"/>
      <c r="Z144" s="152"/>
      <c r="AA144" s="152"/>
      <c r="AB144" s="152"/>
    </row>
    <row r="145" spans="1:28" hidden="1" outlineLevel="1">
      <c r="A145" s="242"/>
      <c r="B145" s="190" t="s">
        <v>194</v>
      </c>
      <c r="C145" s="1423"/>
      <c r="D145" s="1423">
        <f t="shared" ref="D145" ca="1" si="152">IF(AND(C145&lt;1,D119=0),0,
IF(D119=0,C145-1,
IF(C145&lt;1,D120,
(((C145-1)*(C121-(C121/(C145))))+(D119*D120))/(D121))))</f>
        <v>0</v>
      </c>
      <c r="E145" s="1423">
        <f t="shared" ref="E145" ca="1" si="153">IF(AND(D145&lt;1,E119=0),0,
IF(E119=0,D145-1,
IF(D145&lt;1,E120,
(((D145-1)*(D121-(D121/(D145))))+(E119*E120))/(E121))))</f>
        <v>0</v>
      </c>
      <c r="F145" s="1423">
        <f t="shared" ref="F145" ca="1" si="154">IF(AND(E145&lt;1,F119=0),0,
IF(F119=0,E145-1,
IF(E145&lt;1,F120,
(((E145-1)*(E121-(E121/(E145))))+(F119*F120))/(F121))))</f>
        <v>0</v>
      </c>
      <c r="G145" s="1423">
        <f t="shared" ref="G145" ca="1" si="155">IF(AND(F145&lt;1,G119=0),0,
IF(G119=0,F145-1,
IF(F145&lt;1,G120,
(((F145-1)*(F121-(F121/(F145))))+(G119*G120))/(G121))))</f>
        <v>0</v>
      </c>
      <c r="H145" s="1423">
        <f ca="1">IF(AND(G145&lt;1,H119=0),0,
IF(H119=0,G145-1,
IF(G145&lt;1,H120,
(((G145-1)*(G121-(G121/(G145))))+(H119*H120))/(H121))))</f>
        <v>0</v>
      </c>
      <c r="I145" s="1423">
        <f t="shared" ref="I145" ca="1" si="156">IF(AND(H145&lt;1,I119=0),0,
IF(I119=0,H145-1,
IF(H145&lt;1,I120,
(((H145-1)*(H121-(H121/(H145))))+(I119*I120))/(I121))))</f>
        <v>0</v>
      </c>
      <c r="J145" s="1423">
        <f t="shared" ref="J145" ca="1" si="157">IF(AND(I145&lt;1,J119=0),0,
IF(J119=0,I145-1,
IF(I145&lt;1,J120,
(((I145-1)*(I121-(I121/(I145))))+(J119*J120))/(J121))))</f>
        <v>0</v>
      </c>
      <c r="K145" s="1423">
        <f t="shared" ref="K145" ca="1" si="158">IF(AND(J145&lt;1,K119=0),0,
IF(K119=0,J145-1,
IF(J145&lt;1,K120,
(((J145-1)*(J121-(J121/(J145))))+(K119*K120))/(K121))))</f>
        <v>0</v>
      </c>
      <c r="L145" s="1423">
        <f t="shared" ref="L145" ca="1" si="159">IF(AND(K145&lt;1,L119=0),0,
IF(L119=0,K145-1,
IF(K145&lt;1,L120,
(((K145-1)*(K121-(K121/(K145))))+(L119*L120))/(L121))))</f>
        <v>0</v>
      </c>
      <c r="M145" s="1423">
        <f ca="1">IF(AND(L145&lt;1,M119=0),0,
IF(M119=0,L145-1,
IF(L145&lt;1,M120,
(((L145-1)*(L121-(L121/(L145))))+(M119*M120))/(M121))))</f>
        <v>0</v>
      </c>
      <c r="N145" s="1423">
        <f t="shared" ref="N145" ca="1" si="160">IF(AND(M145&lt;1,N119=0),0,
IF(N119=0,M145-1,
IF(M145&lt;1,N120,
(((M145-1)*(M121-(M121/(M145))))+(N119*N120))/(N121))))</f>
        <v>0</v>
      </c>
      <c r="O145" s="1423">
        <f t="shared" ref="O145" ca="1" si="161">IF(AND(N145&lt;1,O119=0),0,
IF(O119=0,N145-1,
IF(N145&lt;1,O120,
(((N145-1)*(N121-(N121/(N145))))+(O119*O120))/(O121))))</f>
        <v>0</v>
      </c>
      <c r="P145" s="1423">
        <f t="shared" ref="P145" ca="1" si="162">IF(AND(O145&lt;1,P119=0),0,
IF(P119=0,O145-1,
IF(O145&lt;1,P120,
(((O145-1)*(O121-(O121/(O145))))+(P119*P120))/(P121))))</f>
        <v>0</v>
      </c>
      <c r="Q145" s="1423">
        <f t="shared" ref="Q145" ca="1" si="163">IF(AND(P145&lt;1,Q119=0),0,
IF(Q119=0,P145-1,
IF(P145&lt;1,Q120,
(((P145-1)*(P121-(P121/(P145))))+(Q119*Q120))/(Q121))))</f>
        <v>0</v>
      </c>
      <c r="R145" s="1423">
        <f t="shared" ref="R145" ca="1" si="164">IF(AND(Q145&lt;1,R119=0),0,
IF(R119=0,Q145-1,
IF(Q145&lt;1,R120,
(((Q145-1)*(Q121-(Q121/(Q145))))+(R119*R120))/(R121))))</f>
        <v>0</v>
      </c>
      <c r="S145" s="1423">
        <f t="shared" ref="S145" ca="1" si="165">IF(AND(R145&lt;1,S119=0),0,
IF(S119=0,R145-1,
IF(R145&lt;1,S120,
(((R145-1)*(R121-(R121/(R145))))+(S119*S120))/(S121))))</f>
        <v>0</v>
      </c>
      <c r="T145" s="1423">
        <f t="shared" ref="T145" ca="1" si="166">IF(AND(S145&lt;1,T119=0),0,
IF(T119=0,S145-1,
IF(S145&lt;1,T120,
(((S145-1)*(S121-(S121/(S145))))+(T119*T120))/(T121))))</f>
        <v>0</v>
      </c>
      <c r="U145" s="1423">
        <f t="shared" ref="U145" ca="1" si="167">IF(AND(T145&lt;1,U119=0),0,
IF(U119=0,T145-1,
IF(T145&lt;1,U120,
(((T145-1)*(T121-(T121/(T145))))+(U119*U120))/(U121))))</f>
        <v>0</v>
      </c>
      <c r="V145" s="1423">
        <f t="shared" ref="V145" ca="1" si="168">IF(AND(U145&lt;1,V119=0),0,
IF(V119=0,U145-1,
IF(U145&lt;1,V120,
(((U145-1)*(U121-(U121/(U145))))+(V119*V120))/(V121))))</f>
        <v>0</v>
      </c>
      <c r="W145" s="1423">
        <f t="shared" ref="W145" ca="1" si="169">IF(AND(V145&lt;1,W119=0),0,
IF(W119=0,V145-1,
IF(V145&lt;1,W120,
(((V145-1)*(V121-(V121/(V145))))+(W119*W120))/(W121))))</f>
        <v>0</v>
      </c>
      <c r="X145" s="152"/>
      <c r="Y145" s="152"/>
      <c r="Z145" s="152"/>
      <c r="AA145" s="152"/>
      <c r="AB145" s="152"/>
    </row>
    <row r="146" spans="1:28" hidden="1" outlineLevel="1">
      <c r="A146" s="242"/>
      <c r="B146" s="190" t="s">
        <v>193</v>
      </c>
      <c r="C146" s="1423">
        <f ca="1">C118</f>
        <v>10.924841379338783</v>
      </c>
      <c r="D146" s="1423">
        <f t="shared" ref="D146" ca="1" si="170">IF(C146="n/a","n/a",MAX(0,C146-1))</f>
        <v>9.9248413793387833</v>
      </c>
      <c r="E146" s="1423">
        <f t="shared" ref="E146:E147" ca="1" si="171">IF(D146="n/a","n/a",MAX(0,D146-1))</f>
        <v>8.9248413793387833</v>
      </c>
      <c r="F146" s="1423">
        <f t="shared" ref="F146:F148" ca="1" si="172">IF(E146="n/a","n/a",MAX(0,E146-1))</f>
        <v>7.9248413793387833</v>
      </c>
      <c r="G146" s="1423">
        <f t="shared" ref="G146:G149" ca="1" si="173">IF(F146="n/a","n/a",MAX(0,F146-1))</f>
        <v>6.9248413793387833</v>
      </c>
      <c r="H146" s="1423">
        <f t="shared" ref="H146:H150" ca="1" si="174">IF(G146="n/a","n/a",MAX(0,G146-1))</f>
        <v>5.9248413793387833</v>
      </c>
      <c r="I146" s="1423">
        <f t="shared" ref="I146:I151" ca="1" si="175">IF(H146="n/a","n/a",MAX(0,H146-1))</f>
        <v>4.9248413793387833</v>
      </c>
      <c r="J146" s="1423">
        <f t="shared" ref="J146:J152" ca="1" si="176">IF(I146="n/a","n/a",MAX(0,I146-1))</f>
        <v>3.9248413793387833</v>
      </c>
      <c r="K146" s="1423">
        <f t="shared" ref="K146:K153" ca="1" si="177">IF(J146="n/a","n/a",MAX(0,J146-1))</f>
        <v>2.9248413793387833</v>
      </c>
      <c r="L146" s="1423">
        <f t="shared" ref="L146:L154" ca="1" si="178">IF(K146="n/a","n/a",MAX(0,K146-1))</f>
        <v>1.9248413793387833</v>
      </c>
      <c r="M146" s="1423">
        <f t="shared" ref="M146:M155" ca="1" si="179">IF(L146="n/a","n/a",MAX(0,L146-1))</f>
        <v>0.9248413793387833</v>
      </c>
      <c r="N146" s="1423">
        <f t="shared" ref="N146:N156" ca="1" si="180">IF(M146="n/a","n/a",MAX(0,M146-1))</f>
        <v>0</v>
      </c>
      <c r="O146" s="1423">
        <f t="shared" ref="O146:O157" ca="1" si="181">IF(N146="n/a","n/a",MAX(0,N146-1))</f>
        <v>0</v>
      </c>
      <c r="P146" s="1423">
        <f t="shared" ref="P146:P158" ca="1" si="182">IF(O146="n/a","n/a",MAX(0,O146-1))</f>
        <v>0</v>
      </c>
      <c r="Q146" s="1423">
        <f t="shared" ref="Q146:Q159" ca="1" si="183">IF(P146="n/a","n/a",MAX(0,P146-1))</f>
        <v>0</v>
      </c>
      <c r="R146" s="1423">
        <f t="shared" ref="R146:R160" ca="1" si="184">IF(Q146="n/a","n/a",MAX(0,Q146-1))</f>
        <v>0</v>
      </c>
      <c r="S146" s="1423">
        <f t="shared" ref="S146:S161" ca="1" si="185">IF(R146="n/a","n/a",MAX(0,R146-1))</f>
        <v>0</v>
      </c>
      <c r="T146" s="1423">
        <f t="shared" ref="T146:T162" ca="1" si="186">IF(S146="n/a","n/a",MAX(0,S146-1))</f>
        <v>0</v>
      </c>
      <c r="U146" s="1423">
        <f t="shared" ref="U146:U163" ca="1" si="187">IF(T146="n/a","n/a",MAX(0,T146-1))</f>
        <v>0</v>
      </c>
      <c r="V146" s="1423">
        <f t="shared" ref="V146:V164" ca="1" si="188">IF(U146="n/a","n/a",MAX(0,U146-1))</f>
        <v>0</v>
      </c>
      <c r="W146" s="1423">
        <f t="shared" ref="W146:W164" ca="1" si="189">IF(V146="n/a","n/a",MAX(0,V146-1))</f>
        <v>0</v>
      </c>
      <c r="X146" s="152"/>
      <c r="Y146" s="152"/>
      <c r="Z146" s="152"/>
      <c r="AA146" s="152"/>
      <c r="AB146" s="152"/>
    </row>
    <row r="147" spans="1:28" hidden="1" outlineLevel="1">
      <c r="A147" s="242"/>
      <c r="B147" s="190" t="str">
        <f t="shared" ref="B147:B166" ca="1" si="190">"RL Capex "&amp;OFFSET($C$6,0,A123)</f>
        <v>RL Capex 2016-17</v>
      </c>
      <c r="C147" s="1424"/>
      <c r="D147" s="1428">
        <f>D118</f>
        <v>15</v>
      </c>
      <c r="E147" s="1423">
        <f t="shared" si="171"/>
        <v>14</v>
      </c>
      <c r="F147" s="1423">
        <f t="shared" si="172"/>
        <v>13</v>
      </c>
      <c r="G147" s="1423">
        <f t="shared" si="173"/>
        <v>12</v>
      </c>
      <c r="H147" s="1423">
        <f t="shared" si="174"/>
        <v>11</v>
      </c>
      <c r="I147" s="1423">
        <f t="shared" si="175"/>
        <v>10</v>
      </c>
      <c r="J147" s="1423">
        <f t="shared" si="176"/>
        <v>9</v>
      </c>
      <c r="K147" s="1423">
        <f t="shared" si="177"/>
        <v>8</v>
      </c>
      <c r="L147" s="1423">
        <f t="shared" si="178"/>
        <v>7</v>
      </c>
      <c r="M147" s="1423">
        <f t="shared" si="179"/>
        <v>6</v>
      </c>
      <c r="N147" s="1423">
        <f t="shared" si="180"/>
        <v>5</v>
      </c>
      <c r="O147" s="1423">
        <f t="shared" si="181"/>
        <v>4</v>
      </c>
      <c r="P147" s="1423">
        <f t="shared" si="182"/>
        <v>3</v>
      </c>
      <c r="Q147" s="1423">
        <f t="shared" si="183"/>
        <v>2</v>
      </c>
      <c r="R147" s="1423">
        <f t="shared" si="184"/>
        <v>1</v>
      </c>
      <c r="S147" s="1423">
        <f t="shared" si="185"/>
        <v>0</v>
      </c>
      <c r="T147" s="1423">
        <f t="shared" si="186"/>
        <v>0</v>
      </c>
      <c r="U147" s="1423">
        <f t="shared" si="187"/>
        <v>0</v>
      </c>
      <c r="V147" s="1423">
        <f t="shared" si="188"/>
        <v>0</v>
      </c>
      <c r="W147" s="1423">
        <f t="shared" si="189"/>
        <v>0</v>
      </c>
      <c r="X147" s="152"/>
      <c r="Y147" s="152"/>
      <c r="Z147" s="152"/>
      <c r="AA147" s="152"/>
      <c r="AB147" s="152"/>
    </row>
    <row r="148" spans="1:28" hidden="1" outlineLevel="1">
      <c r="A148" s="242"/>
      <c r="B148" s="190" t="str">
        <f t="shared" ca="1" si="190"/>
        <v>RL Capex 2017-18</v>
      </c>
      <c r="C148" s="1429"/>
      <c r="D148" s="1424"/>
      <c r="E148" s="1428">
        <f>E118</f>
        <v>15</v>
      </c>
      <c r="F148" s="1423">
        <f t="shared" si="172"/>
        <v>14</v>
      </c>
      <c r="G148" s="1423">
        <f t="shared" si="173"/>
        <v>13</v>
      </c>
      <c r="H148" s="1423">
        <f t="shared" si="174"/>
        <v>12</v>
      </c>
      <c r="I148" s="1423">
        <f t="shared" si="175"/>
        <v>11</v>
      </c>
      <c r="J148" s="1423">
        <f t="shared" si="176"/>
        <v>10</v>
      </c>
      <c r="K148" s="1423">
        <f t="shared" si="177"/>
        <v>9</v>
      </c>
      <c r="L148" s="1423">
        <f t="shared" si="178"/>
        <v>8</v>
      </c>
      <c r="M148" s="1423">
        <f t="shared" si="179"/>
        <v>7</v>
      </c>
      <c r="N148" s="1423">
        <f t="shared" si="180"/>
        <v>6</v>
      </c>
      <c r="O148" s="1423">
        <f t="shared" si="181"/>
        <v>5</v>
      </c>
      <c r="P148" s="1423">
        <f t="shared" si="182"/>
        <v>4</v>
      </c>
      <c r="Q148" s="1423">
        <f t="shared" si="183"/>
        <v>3</v>
      </c>
      <c r="R148" s="1423">
        <f t="shared" si="184"/>
        <v>2</v>
      </c>
      <c r="S148" s="1423">
        <f t="shared" si="185"/>
        <v>1</v>
      </c>
      <c r="T148" s="1423">
        <f t="shared" si="186"/>
        <v>0</v>
      </c>
      <c r="U148" s="1423">
        <f t="shared" si="187"/>
        <v>0</v>
      </c>
      <c r="V148" s="1423">
        <f t="shared" si="188"/>
        <v>0</v>
      </c>
      <c r="W148" s="1423">
        <f t="shared" si="189"/>
        <v>0</v>
      </c>
      <c r="X148" s="152"/>
      <c r="Y148" s="152"/>
      <c r="Z148" s="152"/>
      <c r="AA148" s="152"/>
      <c r="AB148" s="152"/>
    </row>
    <row r="149" spans="1:28" hidden="1" outlineLevel="1">
      <c r="A149" s="242"/>
      <c r="B149" s="190" t="str">
        <f t="shared" ca="1" si="190"/>
        <v>RL Capex 2018-19</v>
      </c>
      <c r="C149" s="1429"/>
      <c r="D149" s="1429"/>
      <c r="E149" s="1424"/>
      <c r="F149" s="1428">
        <f>F118</f>
        <v>15</v>
      </c>
      <c r="G149" s="1423">
        <f t="shared" si="173"/>
        <v>14</v>
      </c>
      <c r="H149" s="1423">
        <f t="shared" si="174"/>
        <v>13</v>
      </c>
      <c r="I149" s="1423">
        <f t="shared" si="175"/>
        <v>12</v>
      </c>
      <c r="J149" s="1423">
        <f t="shared" si="176"/>
        <v>11</v>
      </c>
      <c r="K149" s="1423">
        <f t="shared" si="177"/>
        <v>10</v>
      </c>
      <c r="L149" s="1423">
        <f t="shared" si="178"/>
        <v>9</v>
      </c>
      <c r="M149" s="1423">
        <f t="shared" si="179"/>
        <v>8</v>
      </c>
      <c r="N149" s="1423">
        <f t="shared" si="180"/>
        <v>7</v>
      </c>
      <c r="O149" s="1423">
        <f t="shared" si="181"/>
        <v>6</v>
      </c>
      <c r="P149" s="1423">
        <f t="shared" si="182"/>
        <v>5</v>
      </c>
      <c r="Q149" s="1423">
        <f t="shared" si="183"/>
        <v>4</v>
      </c>
      <c r="R149" s="1423">
        <f t="shared" si="184"/>
        <v>3</v>
      </c>
      <c r="S149" s="1423">
        <f t="shared" si="185"/>
        <v>2</v>
      </c>
      <c r="T149" s="1423">
        <f t="shared" si="186"/>
        <v>1</v>
      </c>
      <c r="U149" s="1423">
        <f t="shared" si="187"/>
        <v>0</v>
      </c>
      <c r="V149" s="1423">
        <f t="shared" si="188"/>
        <v>0</v>
      </c>
      <c r="W149" s="1423">
        <f t="shared" si="189"/>
        <v>0</v>
      </c>
      <c r="X149" s="152"/>
      <c r="Y149" s="152"/>
      <c r="Z149" s="152"/>
      <c r="AA149" s="152"/>
      <c r="AB149" s="152"/>
    </row>
    <row r="150" spans="1:28" hidden="1" outlineLevel="1">
      <c r="A150" s="242"/>
      <c r="B150" s="190" t="str">
        <f t="shared" ca="1" si="190"/>
        <v>RL Capex 2019-20</v>
      </c>
      <c r="C150" s="1429"/>
      <c r="D150" s="1429"/>
      <c r="E150" s="1429"/>
      <c r="F150" s="1424"/>
      <c r="G150" s="1428">
        <f>G118</f>
        <v>15</v>
      </c>
      <c r="H150" s="1423">
        <f t="shared" si="174"/>
        <v>14</v>
      </c>
      <c r="I150" s="1423">
        <f t="shared" si="175"/>
        <v>13</v>
      </c>
      <c r="J150" s="1423">
        <f t="shared" si="176"/>
        <v>12</v>
      </c>
      <c r="K150" s="1423">
        <f t="shared" si="177"/>
        <v>11</v>
      </c>
      <c r="L150" s="1423">
        <f t="shared" si="178"/>
        <v>10</v>
      </c>
      <c r="M150" s="1423">
        <f t="shared" si="179"/>
        <v>9</v>
      </c>
      <c r="N150" s="1423">
        <f t="shared" si="180"/>
        <v>8</v>
      </c>
      <c r="O150" s="1423">
        <f t="shared" si="181"/>
        <v>7</v>
      </c>
      <c r="P150" s="1423">
        <f t="shared" si="182"/>
        <v>6</v>
      </c>
      <c r="Q150" s="1423">
        <f t="shared" si="183"/>
        <v>5</v>
      </c>
      <c r="R150" s="1423">
        <f t="shared" si="184"/>
        <v>4</v>
      </c>
      <c r="S150" s="1423">
        <f t="shared" si="185"/>
        <v>3</v>
      </c>
      <c r="T150" s="1423">
        <f t="shared" si="186"/>
        <v>2</v>
      </c>
      <c r="U150" s="1423">
        <f t="shared" si="187"/>
        <v>1</v>
      </c>
      <c r="V150" s="1423">
        <f t="shared" si="188"/>
        <v>0</v>
      </c>
      <c r="W150" s="1423">
        <f t="shared" si="189"/>
        <v>0</v>
      </c>
      <c r="X150" s="152"/>
      <c r="Y150" s="152"/>
      <c r="Z150" s="152"/>
      <c r="AA150" s="152"/>
      <c r="AB150" s="152"/>
    </row>
    <row r="151" spans="1:28" hidden="1" outlineLevel="1">
      <c r="A151" s="242"/>
      <c r="B151" s="190" t="str">
        <f t="shared" ca="1" si="190"/>
        <v>RL Capex 2020-21</v>
      </c>
      <c r="C151" s="1429"/>
      <c r="D151" s="1429"/>
      <c r="E151" s="1429"/>
      <c r="F151" s="1429"/>
      <c r="G151" s="1424"/>
      <c r="H151" s="1428">
        <f>H118</f>
        <v>15</v>
      </c>
      <c r="I151" s="1423">
        <f t="shared" si="175"/>
        <v>14</v>
      </c>
      <c r="J151" s="1423">
        <f t="shared" si="176"/>
        <v>13</v>
      </c>
      <c r="K151" s="1423">
        <f t="shared" si="177"/>
        <v>12</v>
      </c>
      <c r="L151" s="1423">
        <f t="shared" si="178"/>
        <v>11</v>
      </c>
      <c r="M151" s="1423">
        <f t="shared" si="179"/>
        <v>10</v>
      </c>
      <c r="N151" s="1423">
        <f t="shared" si="180"/>
        <v>9</v>
      </c>
      <c r="O151" s="1423">
        <f t="shared" si="181"/>
        <v>8</v>
      </c>
      <c r="P151" s="1423">
        <f t="shared" si="182"/>
        <v>7</v>
      </c>
      <c r="Q151" s="1423">
        <f t="shared" si="183"/>
        <v>6</v>
      </c>
      <c r="R151" s="1423">
        <f t="shared" si="184"/>
        <v>5</v>
      </c>
      <c r="S151" s="1423">
        <f t="shared" si="185"/>
        <v>4</v>
      </c>
      <c r="T151" s="1423">
        <f t="shared" si="186"/>
        <v>3</v>
      </c>
      <c r="U151" s="1423">
        <f t="shared" si="187"/>
        <v>2</v>
      </c>
      <c r="V151" s="1423">
        <f t="shared" si="188"/>
        <v>1</v>
      </c>
      <c r="W151" s="1423">
        <f t="shared" si="189"/>
        <v>0</v>
      </c>
      <c r="X151" s="152"/>
      <c r="Y151" s="152"/>
      <c r="Z151" s="152"/>
      <c r="AA151" s="152"/>
      <c r="AB151" s="152"/>
    </row>
    <row r="152" spans="1:28" hidden="1" outlineLevel="1">
      <c r="A152" s="242"/>
      <c r="B152" s="190" t="str">
        <f t="shared" ca="1" si="190"/>
        <v>RL Capex 2021-22</v>
      </c>
      <c r="C152" s="1429"/>
      <c r="D152" s="1429"/>
      <c r="E152" s="1429"/>
      <c r="F152" s="1429"/>
      <c r="G152" s="1429"/>
      <c r="H152" s="1424"/>
      <c r="I152" s="1428">
        <f>I118</f>
        <v>15</v>
      </c>
      <c r="J152" s="1423">
        <f t="shared" si="176"/>
        <v>14</v>
      </c>
      <c r="K152" s="1423">
        <f t="shared" si="177"/>
        <v>13</v>
      </c>
      <c r="L152" s="1423">
        <f t="shared" si="178"/>
        <v>12</v>
      </c>
      <c r="M152" s="1423">
        <f t="shared" si="179"/>
        <v>11</v>
      </c>
      <c r="N152" s="1423">
        <f t="shared" si="180"/>
        <v>10</v>
      </c>
      <c r="O152" s="1423">
        <f t="shared" si="181"/>
        <v>9</v>
      </c>
      <c r="P152" s="1423">
        <f t="shared" si="182"/>
        <v>8</v>
      </c>
      <c r="Q152" s="1423">
        <f t="shared" si="183"/>
        <v>7</v>
      </c>
      <c r="R152" s="1423">
        <f t="shared" si="184"/>
        <v>6</v>
      </c>
      <c r="S152" s="1423">
        <f t="shared" si="185"/>
        <v>5</v>
      </c>
      <c r="T152" s="1423">
        <f t="shared" si="186"/>
        <v>4</v>
      </c>
      <c r="U152" s="1423">
        <f t="shared" si="187"/>
        <v>3</v>
      </c>
      <c r="V152" s="1423">
        <f t="shared" si="188"/>
        <v>2</v>
      </c>
      <c r="W152" s="1423">
        <f t="shared" si="189"/>
        <v>1</v>
      </c>
      <c r="X152" s="152"/>
      <c r="Y152" s="152"/>
      <c r="Z152" s="152"/>
      <c r="AA152" s="152"/>
      <c r="AB152" s="152"/>
    </row>
    <row r="153" spans="1:28" hidden="1" outlineLevel="1">
      <c r="A153" s="242"/>
      <c r="B153" s="190" t="str">
        <f t="shared" ca="1" si="190"/>
        <v>RL Capex 2022-23</v>
      </c>
      <c r="C153" s="1429"/>
      <c r="D153" s="1429"/>
      <c r="E153" s="1429"/>
      <c r="F153" s="1429"/>
      <c r="G153" s="1429"/>
      <c r="H153" s="1429"/>
      <c r="I153" s="1424"/>
      <c r="J153" s="1428">
        <f>J118</f>
        <v>15</v>
      </c>
      <c r="K153" s="1423">
        <f t="shared" si="177"/>
        <v>14</v>
      </c>
      <c r="L153" s="1423">
        <f t="shared" si="178"/>
        <v>13</v>
      </c>
      <c r="M153" s="1423">
        <f t="shared" si="179"/>
        <v>12</v>
      </c>
      <c r="N153" s="1423">
        <f t="shared" si="180"/>
        <v>11</v>
      </c>
      <c r="O153" s="1423">
        <f t="shared" si="181"/>
        <v>10</v>
      </c>
      <c r="P153" s="1423">
        <f t="shared" si="182"/>
        <v>9</v>
      </c>
      <c r="Q153" s="1423">
        <f t="shared" si="183"/>
        <v>8</v>
      </c>
      <c r="R153" s="1423">
        <f t="shared" si="184"/>
        <v>7</v>
      </c>
      <c r="S153" s="1423">
        <f t="shared" si="185"/>
        <v>6</v>
      </c>
      <c r="T153" s="1423">
        <f t="shared" si="186"/>
        <v>5</v>
      </c>
      <c r="U153" s="1423">
        <f t="shared" si="187"/>
        <v>4</v>
      </c>
      <c r="V153" s="1423">
        <f t="shared" si="188"/>
        <v>3</v>
      </c>
      <c r="W153" s="1423">
        <f t="shared" si="189"/>
        <v>2</v>
      </c>
      <c r="X153" s="152"/>
      <c r="Y153" s="152"/>
      <c r="Z153" s="152"/>
      <c r="AA153" s="152"/>
      <c r="AB153" s="152"/>
    </row>
    <row r="154" spans="1:28" hidden="1" outlineLevel="1">
      <c r="A154" s="242"/>
      <c r="B154" s="190" t="str">
        <f t="shared" ca="1" si="190"/>
        <v>RL Capex 2023-24</v>
      </c>
      <c r="C154" s="1429"/>
      <c r="D154" s="1429"/>
      <c r="E154" s="1429"/>
      <c r="F154" s="1429"/>
      <c r="G154" s="1429"/>
      <c r="H154" s="1429"/>
      <c r="I154" s="1429"/>
      <c r="J154" s="1424"/>
      <c r="K154" s="1428">
        <f>K118</f>
        <v>15</v>
      </c>
      <c r="L154" s="1423">
        <f t="shared" si="178"/>
        <v>14</v>
      </c>
      <c r="M154" s="1423">
        <f t="shared" si="179"/>
        <v>13</v>
      </c>
      <c r="N154" s="1423">
        <f t="shared" si="180"/>
        <v>12</v>
      </c>
      <c r="O154" s="1423">
        <f t="shared" si="181"/>
        <v>11</v>
      </c>
      <c r="P154" s="1423">
        <f t="shared" si="182"/>
        <v>10</v>
      </c>
      <c r="Q154" s="1423">
        <f t="shared" si="183"/>
        <v>9</v>
      </c>
      <c r="R154" s="1423">
        <f t="shared" si="184"/>
        <v>8</v>
      </c>
      <c r="S154" s="1423">
        <f t="shared" si="185"/>
        <v>7</v>
      </c>
      <c r="T154" s="1423">
        <f t="shared" si="186"/>
        <v>6</v>
      </c>
      <c r="U154" s="1423">
        <f t="shared" si="187"/>
        <v>5</v>
      </c>
      <c r="V154" s="1423">
        <f t="shared" si="188"/>
        <v>4</v>
      </c>
      <c r="W154" s="1423">
        <f t="shared" si="189"/>
        <v>3</v>
      </c>
      <c r="X154" s="152"/>
      <c r="Y154" s="152"/>
      <c r="Z154" s="152"/>
      <c r="AA154" s="152"/>
      <c r="AB154" s="152"/>
    </row>
    <row r="155" spans="1:28" hidden="1" outlineLevel="1">
      <c r="A155" s="242"/>
      <c r="B155" s="190" t="str">
        <f t="shared" ca="1" si="190"/>
        <v>RL Capex 2024-25</v>
      </c>
      <c r="C155" s="1429"/>
      <c r="D155" s="1429"/>
      <c r="E155" s="1429"/>
      <c r="F155" s="1429"/>
      <c r="G155" s="1429"/>
      <c r="H155" s="1429"/>
      <c r="I155" s="1429"/>
      <c r="J155" s="1429"/>
      <c r="K155" s="1424"/>
      <c r="L155" s="1428">
        <f>L118</f>
        <v>15</v>
      </c>
      <c r="M155" s="1423">
        <f t="shared" si="179"/>
        <v>14</v>
      </c>
      <c r="N155" s="1423">
        <f t="shared" si="180"/>
        <v>13</v>
      </c>
      <c r="O155" s="1423">
        <f t="shared" si="181"/>
        <v>12</v>
      </c>
      <c r="P155" s="1423">
        <f t="shared" si="182"/>
        <v>11</v>
      </c>
      <c r="Q155" s="1423">
        <f t="shared" si="183"/>
        <v>10</v>
      </c>
      <c r="R155" s="1423">
        <f t="shared" si="184"/>
        <v>9</v>
      </c>
      <c r="S155" s="1423">
        <f t="shared" si="185"/>
        <v>8</v>
      </c>
      <c r="T155" s="1423">
        <f t="shared" si="186"/>
        <v>7</v>
      </c>
      <c r="U155" s="1423">
        <f t="shared" si="187"/>
        <v>6</v>
      </c>
      <c r="V155" s="1423">
        <f t="shared" si="188"/>
        <v>5</v>
      </c>
      <c r="W155" s="1423">
        <f t="shared" si="189"/>
        <v>4</v>
      </c>
      <c r="X155" s="152"/>
      <c r="Y155" s="152"/>
      <c r="Z155" s="152"/>
      <c r="AA155" s="152"/>
      <c r="AB155" s="152"/>
    </row>
    <row r="156" spans="1:28" hidden="1" outlineLevel="1">
      <c r="A156" s="242"/>
      <c r="B156" s="190" t="str">
        <f t="shared" ca="1" si="190"/>
        <v>RL Capex 2025-26</v>
      </c>
      <c r="C156" s="1429"/>
      <c r="D156" s="1429"/>
      <c r="E156" s="1429"/>
      <c r="F156" s="1429"/>
      <c r="G156" s="1429"/>
      <c r="H156" s="1429"/>
      <c r="I156" s="1429"/>
      <c r="J156" s="1429"/>
      <c r="K156" s="1429"/>
      <c r="L156" s="1424"/>
      <c r="M156" s="1428">
        <f>M118</f>
        <v>15</v>
      </c>
      <c r="N156" s="1423">
        <f t="shared" si="180"/>
        <v>14</v>
      </c>
      <c r="O156" s="1423">
        <f t="shared" si="181"/>
        <v>13</v>
      </c>
      <c r="P156" s="1423">
        <f t="shared" si="182"/>
        <v>12</v>
      </c>
      <c r="Q156" s="1423">
        <f t="shared" si="183"/>
        <v>11</v>
      </c>
      <c r="R156" s="1423">
        <f t="shared" si="184"/>
        <v>10</v>
      </c>
      <c r="S156" s="1423">
        <f t="shared" si="185"/>
        <v>9</v>
      </c>
      <c r="T156" s="1423">
        <f t="shared" si="186"/>
        <v>8</v>
      </c>
      <c r="U156" s="1423">
        <f t="shared" si="187"/>
        <v>7</v>
      </c>
      <c r="V156" s="1423">
        <f t="shared" si="188"/>
        <v>6</v>
      </c>
      <c r="W156" s="1423">
        <f t="shared" si="189"/>
        <v>5</v>
      </c>
      <c r="X156" s="152"/>
      <c r="Y156" s="152"/>
      <c r="Z156" s="152"/>
      <c r="AA156" s="152"/>
      <c r="AB156" s="152"/>
    </row>
    <row r="157" spans="1:28" hidden="1" outlineLevel="1">
      <c r="A157" s="242"/>
      <c r="B157" s="190" t="str">
        <f t="shared" ca="1" si="190"/>
        <v>RL Capex 2026-27</v>
      </c>
      <c r="C157" s="1429"/>
      <c r="D157" s="1429"/>
      <c r="E157" s="1429"/>
      <c r="F157" s="1429"/>
      <c r="G157" s="1429"/>
      <c r="H157" s="1429"/>
      <c r="I157" s="1429"/>
      <c r="J157" s="1429"/>
      <c r="K157" s="1429"/>
      <c r="L157" s="1429"/>
      <c r="M157" s="1424"/>
      <c r="N157" s="1428">
        <f>N118</f>
        <v>0</v>
      </c>
      <c r="O157" s="1423">
        <f t="shared" si="181"/>
        <v>0</v>
      </c>
      <c r="P157" s="1423">
        <f t="shared" si="182"/>
        <v>0</v>
      </c>
      <c r="Q157" s="1423">
        <f t="shared" si="183"/>
        <v>0</v>
      </c>
      <c r="R157" s="1423">
        <f t="shared" si="184"/>
        <v>0</v>
      </c>
      <c r="S157" s="1423">
        <f t="shared" si="185"/>
        <v>0</v>
      </c>
      <c r="T157" s="1423">
        <f t="shared" si="186"/>
        <v>0</v>
      </c>
      <c r="U157" s="1423">
        <f t="shared" si="187"/>
        <v>0</v>
      </c>
      <c r="V157" s="1423">
        <f t="shared" si="188"/>
        <v>0</v>
      </c>
      <c r="W157" s="1423">
        <f t="shared" si="189"/>
        <v>0</v>
      </c>
      <c r="X157" s="152"/>
      <c r="Y157" s="152"/>
      <c r="Z157" s="152"/>
      <c r="AA157" s="152"/>
      <c r="AB157" s="152"/>
    </row>
    <row r="158" spans="1:28" hidden="1" outlineLevel="1">
      <c r="A158" s="242"/>
      <c r="B158" s="190" t="str">
        <f t="shared" ca="1" si="190"/>
        <v>RL Capex 2027-28</v>
      </c>
      <c r="C158" s="1429"/>
      <c r="D158" s="1429"/>
      <c r="E158" s="1429"/>
      <c r="F158" s="1429"/>
      <c r="G158" s="1429"/>
      <c r="H158" s="1429"/>
      <c r="I158" s="1429"/>
      <c r="J158" s="1429"/>
      <c r="K158" s="1429"/>
      <c r="L158" s="1429"/>
      <c r="M158" s="1429"/>
      <c r="N158" s="1424"/>
      <c r="O158" s="1428">
        <f>O118</f>
        <v>0</v>
      </c>
      <c r="P158" s="1423">
        <f t="shared" si="182"/>
        <v>0</v>
      </c>
      <c r="Q158" s="1423">
        <f t="shared" si="183"/>
        <v>0</v>
      </c>
      <c r="R158" s="1423">
        <f t="shared" si="184"/>
        <v>0</v>
      </c>
      <c r="S158" s="1423">
        <f t="shared" si="185"/>
        <v>0</v>
      </c>
      <c r="T158" s="1423">
        <f t="shared" si="186"/>
        <v>0</v>
      </c>
      <c r="U158" s="1423">
        <f t="shared" si="187"/>
        <v>0</v>
      </c>
      <c r="V158" s="1423">
        <f t="shared" si="188"/>
        <v>0</v>
      </c>
      <c r="W158" s="1423">
        <f t="shared" si="189"/>
        <v>0</v>
      </c>
      <c r="X158" s="152"/>
      <c r="Y158" s="152"/>
      <c r="Z158" s="152"/>
      <c r="AA158" s="152"/>
      <c r="AB158" s="152"/>
    </row>
    <row r="159" spans="1:28" hidden="1" outlineLevel="1">
      <c r="A159" s="242"/>
      <c r="B159" s="190" t="str">
        <f t="shared" ca="1" si="190"/>
        <v>RL Capex 2028-29</v>
      </c>
      <c r="C159" s="1429"/>
      <c r="D159" s="1429"/>
      <c r="E159" s="1429"/>
      <c r="F159" s="1429"/>
      <c r="G159" s="1429"/>
      <c r="H159" s="1429"/>
      <c r="I159" s="1429"/>
      <c r="J159" s="1429"/>
      <c r="K159" s="1429"/>
      <c r="L159" s="1429"/>
      <c r="M159" s="1429"/>
      <c r="N159" s="1429"/>
      <c r="O159" s="1424"/>
      <c r="P159" s="1428">
        <f>P118</f>
        <v>0</v>
      </c>
      <c r="Q159" s="1423">
        <f t="shared" si="183"/>
        <v>0</v>
      </c>
      <c r="R159" s="1423">
        <f t="shared" si="184"/>
        <v>0</v>
      </c>
      <c r="S159" s="1423">
        <f t="shared" si="185"/>
        <v>0</v>
      </c>
      <c r="T159" s="1423">
        <f t="shared" si="186"/>
        <v>0</v>
      </c>
      <c r="U159" s="1423">
        <f t="shared" si="187"/>
        <v>0</v>
      </c>
      <c r="V159" s="1423">
        <f t="shared" si="188"/>
        <v>0</v>
      </c>
      <c r="W159" s="1423">
        <f t="shared" si="189"/>
        <v>0</v>
      </c>
      <c r="X159" s="152"/>
      <c r="Y159" s="152"/>
      <c r="Z159" s="152"/>
      <c r="AA159" s="152"/>
      <c r="AB159" s="152"/>
    </row>
    <row r="160" spans="1:28" hidden="1" outlineLevel="1">
      <c r="A160" s="242"/>
      <c r="B160" s="190" t="str">
        <f t="shared" ca="1" si="190"/>
        <v>RL Capex 2029-30</v>
      </c>
      <c r="C160" s="1429"/>
      <c r="D160" s="1429"/>
      <c r="E160" s="1429"/>
      <c r="F160" s="1429"/>
      <c r="G160" s="1429"/>
      <c r="H160" s="1429"/>
      <c r="I160" s="1429"/>
      <c r="J160" s="1429"/>
      <c r="K160" s="1429"/>
      <c r="L160" s="1429"/>
      <c r="M160" s="1429"/>
      <c r="N160" s="1429"/>
      <c r="O160" s="1429"/>
      <c r="P160" s="1424"/>
      <c r="Q160" s="1428">
        <f>Q118</f>
        <v>0</v>
      </c>
      <c r="R160" s="1423">
        <f t="shared" si="184"/>
        <v>0</v>
      </c>
      <c r="S160" s="1423">
        <f t="shared" si="185"/>
        <v>0</v>
      </c>
      <c r="T160" s="1423">
        <f t="shared" si="186"/>
        <v>0</v>
      </c>
      <c r="U160" s="1423">
        <f t="shared" si="187"/>
        <v>0</v>
      </c>
      <c r="V160" s="1423">
        <f t="shared" si="188"/>
        <v>0</v>
      </c>
      <c r="W160" s="1423">
        <f t="shared" si="189"/>
        <v>0</v>
      </c>
      <c r="X160" s="152"/>
      <c r="Y160" s="152"/>
      <c r="Z160" s="152"/>
      <c r="AA160" s="152"/>
      <c r="AB160" s="152"/>
    </row>
    <row r="161" spans="1:28" hidden="1" outlineLevel="1">
      <c r="A161" s="242"/>
      <c r="B161" s="190" t="str">
        <f t="shared" ca="1" si="190"/>
        <v>RL Capex 2030-31</v>
      </c>
      <c r="C161" s="1429"/>
      <c r="D161" s="1429"/>
      <c r="E161" s="1429"/>
      <c r="F161" s="1429"/>
      <c r="G161" s="1429"/>
      <c r="H161" s="1429"/>
      <c r="I161" s="1429"/>
      <c r="J161" s="1429"/>
      <c r="K161" s="1429"/>
      <c r="L161" s="1429"/>
      <c r="M161" s="1429"/>
      <c r="N161" s="1429"/>
      <c r="O161" s="1429"/>
      <c r="P161" s="1429"/>
      <c r="Q161" s="1424"/>
      <c r="R161" s="1428">
        <f>R118</f>
        <v>0</v>
      </c>
      <c r="S161" s="1423">
        <f t="shared" si="185"/>
        <v>0</v>
      </c>
      <c r="T161" s="1423">
        <f t="shared" si="186"/>
        <v>0</v>
      </c>
      <c r="U161" s="1423">
        <f t="shared" si="187"/>
        <v>0</v>
      </c>
      <c r="V161" s="1423">
        <f t="shared" si="188"/>
        <v>0</v>
      </c>
      <c r="W161" s="1423">
        <f t="shared" si="189"/>
        <v>0</v>
      </c>
      <c r="X161" s="152"/>
      <c r="Y161" s="152"/>
      <c r="Z161" s="152"/>
      <c r="AA161" s="152"/>
      <c r="AB161" s="152"/>
    </row>
    <row r="162" spans="1:28" hidden="1" outlineLevel="1">
      <c r="A162" s="242"/>
      <c r="B162" s="190" t="str">
        <f t="shared" ca="1" si="190"/>
        <v>RL Capex 2031-32</v>
      </c>
      <c r="C162" s="1429"/>
      <c r="D162" s="1429"/>
      <c r="E162" s="1429"/>
      <c r="F162" s="1429"/>
      <c r="G162" s="1429"/>
      <c r="H162" s="1429"/>
      <c r="I162" s="1429"/>
      <c r="J162" s="1429"/>
      <c r="K162" s="1429"/>
      <c r="L162" s="1429"/>
      <c r="M162" s="1429"/>
      <c r="N162" s="1429"/>
      <c r="O162" s="1429"/>
      <c r="P162" s="1429"/>
      <c r="Q162" s="1429"/>
      <c r="R162" s="1424"/>
      <c r="S162" s="1428">
        <f>S118</f>
        <v>0</v>
      </c>
      <c r="T162" s="1423">
        <f t="shared" si="186"/>
        <v>0</v>
      </c>
      <c r="U162" s="1423">
        <f t="shared" si="187"/>
        <v>0</v>
      </c>
      <c r="V162" s="1423">
        <f t="shared" si="188"/>
        <v>0</v>
      </c>
      <c r="W162" s="1423">
        <f t="shared" si="189"/>
        <v>0</v>
      </c>
      <c r="X162" s="152"/>
      <c r="Y162" s="152"/>
      <c r="Z162" s="152"/>
      <c r="AA162" s="152"/>
      <c r="AB162" s="152"/>
    </row>
    <row r="163" spans="1:28" hidden="1" outlineLevel="1">
      <c r="A163" s="242"/>
      <c r="B163" s="190" t="str">
        <f t="shared" ca="1" si="190"/>
        <v>RL Capex 2032-33</v>
      </c>
      <c r="C163" s="1429"/>
      <c r="D163" s="1429"/>
      <c r="E163" s="1429"/>
      <c r="F163" s="1429"/>
      <c r="G163" s="1429"/>
      <c r="H163" s="1429"/>
      <c r="I163" s="1429"/>
      <c r="J163" s="1429"/>
      <c r="K163" s="1429"/>
      <c r="L163" s="1429"/>
      <c r="M163" s="1429"/>
      <c r="N163" s="1429"/>
      <c r="O163" s="1429"/>
      <c r="P163" s="1429"/>
      <c r="Q163" s="1429"/>
      <c r="R163" s="1429"/>
      <c r="S163" s="1424"/>
      <c r="T163" s="1428">
        <f>T118</f>
        <v>0</v>
      </c>
      <c r="U163" s="1423">
        <f t="shared" si="187"/>
        <v>0</v>
      </c>
      <c r="V163" s="1423">
        <f t="shared" si="188"/>
        <v>0</v>
      </c>
      <c r="W163" s="1423">
        <f t="shared" si="189"/>
        <v>0</v>
      </c>
      <c r="X163" s="152"/>
      <c r="Y163" s="152"/>
      <c r="Z163" s="152"/>
      <c r="AA163" s="152"/>
      <c r="AB163" s="152"/>
    </row>
    <row r="164" spans="1:28" hidden="1" outlineLevel="1">
      <c r="A164" s="242"/>
      <c r="B164" s="190" t="str">
        <f t="shared" ca="1" si="190"/>
        <v>RL Capex 2033-34</v>
      </c>
      <c r="C164" s="1429"/>
      <c r="D164" s="1429"/>
      <c r="E164" s="1429"/>
      <c r="F164" s="1429"/>
      <c r="G164" s="1429"/>
      <c r="H164" s="1429"/>
      <c r="I164" s="1429"/>
      <c r="J164" s="1429"/>
      <c r="K164" s="1429"/>
      <c r="L164" s="1429"/>
      <c r="M164" s="1429"/>
      <c r="N164" s="1429"/>
      <c r="O164" s="1429"/>
      <c r="P164" s="1429"/>
      <c r="Q164" s="1429"/>
      <c r="R164" s="1429"/>
      <c r="S164" s="1429"/>
      <c r="T164" s="1424"/>
      <c r="U164" s="1428">
        <f>U118</f>
        <v>0</v>
      </c>
      <c r="V164" s="1423">
        <f t="shared" si="188"/>
        <v>0</v>
      </c>
      <c r="W164" s="1423">
        <f t="shared" si="189"/>
        <v>0</v>
      </c>
      <c r="X164" s="152"/>
      <c r="Y164" s="152"/>
      <c r="Z164" s="152"/>
      <c r="AA164" s="152"/>
      <c r="AB164" s="152"/>
    </row>
    <row r="165" spans="1:28" hidden="1" outlineLevel="1">
      <c r="A165" s="242"/>
      <c r="B165" s="190" t="str">
        <f t="shared" ca="1" si="190"/>
        <v>RL Capex 2034-35</v>
      </c>
      <c r="C165" s="1429"/>
      <c r="D165" s="1429"/>
      <c r="E165" s="1429"/>
      <c r="F165" s="1429"/>
      <c r="G165" s="1429"/>
      <c r="H165" s="1429"/>
      <c r="I165" s="1429"/>
      <c r="J165" s="1429"/>
      <c r="K165" s="1429"/>
      <c r="L165" s="1429"/>
      <c r="M165" s="1429"/>
      <c r="N165" s="1429"/>
      <c r="O165" s="1429"/>
      <c r="P165" s="1429"/>
      <c r="Q165" s="1429"/>
      <c r="R165" s="1429"/>
      <c r="S165" s="1429"/>
      <c r="T165" s="1429"/>
      <c r="U165" s="1424"/>
      <c r="V165" s="1428">
        <f>V118</f>
        <v>0</v>
      </c>
      <c r="W165" s="1423">
        <f>IF(V165="n/a","n/a",MAX(0,V165-1))</f>
        <v>0</v>
      </c>
      <c r="X165" s="152"/>
      <c r="Y165" s="152"/>
      <c r="Z165" s="152"/>
      <c r="AA165" s="152"/>
      <c r="AB165" s="152"/>
    </row>
    <row r="166" spans="1:28" hidden="1" outlineLevel="1">
      <c r="A166" s="242"/>
      <c r="B166" s="190" t="str">
        <f t="shared" ca="1" si="190"/>
        <v>RL Capex 2035-36</v>
      </c>
      <c r="C166" s="1429"/>
      <c r="D166" s="1429"/>
      <c r="E166" s="1429"/>
      <c r="F166" s="1429"/>
      <c r="G166" s="1429"/>
      <c r="H166" s="1429"/>
      <c r="I166" s="1429"/>
      <c r="J166" s="1429"/>
      <c r="K166" s="1429"/>
      <c r="L166" s="1429"/>
      <c r="M166" s="1429"/>
      <c r="N166" s="1429"/>
      <c r="O166" s="1429"/>
      <c r="P166" s="1429"/>
      <c r="Q166" s="1429"/>
      <c r="R166" s="1429"/>
      <c r="S166" s="1429"/>
      <c r="T166" s="1429"/>
      <c r="U166" s="1429"/>
      <c r="V166" s="1424"/>
      <c r="W166" s="1423">
        <f>W118</f>
        <v>0</v>
      </c>
      <c r="X166" s="152"/>
      <c r="Y166" s="152"/>
      <c r="Z166" s="152"/>
      <c r="AA166" s="152"/>
      <c r="AB166" s="152"/>
    </row>
    <row r="167" spans="1:28" hidden="1" outlineLevel="1">
      <c r="A167" s="242"/>
      <c r="B167" s="200"/>
      <c r="C167" s="1423"/>
      <c r="D167" s="1423"/>
      <c r="E167" s="1423"/>
      <c r="F167" s="1423"/>
      <c r="G167" s="1423"/>
      <c r="H167" s="1423"/>
      <c r="I167" s="1423"/>
      <c r="J167" s="1423"/>
      <c r="K167" s="1423"/>
      <c r="L167" s="1423"/>
      <c r="M167" s="1423"/>
      <c r="N167" s="1423"/>
      <c r="O167" s="1423"/>
      <c r="P167" s="1423"/>
      <c r="Q167" s="1423"/>
      <c r="R167" s="1423"/>
      <c r="S167" s="1423"/>
      <c r="T167" s="1423"/>
      <c r="U167" s="1423"/>
      <c r="V167" s="1423"/>
      <c r="W167" s="1423"/>
      <c r="X167" s="152"/>
      <c r="Y167" s="152"/>
      <c r="Z167" s="152"/>
      <c r="AA167" s="152"/>
      <c r="AB167" s="152"/>
    </row>
    <row r="168" spans="1:28" collapsed="1">
      <c r="A168" s="246"/>
      <c r="B168" s="204" t="s">
        <v>123</v>
      </c>
      <c r="C168" s="1430">
        <f ca="1">(IF(OR($C118&lt;&gt;"n/a",C118&lt;&gt;"n/a"),IF(SUM(C121:C143)=0,0,IF((SUMPRODUCT(C121:C143,C145:C167)/SUM(C121:C143))&lt;0,1,(SUMPRODUCT(C121:C143,C145:C167)/SUM(C121:C143)))),"n/a"))</f>
        <v>10.924841379338783</v>
      </c>
      <c r="D168" s="1430">
        <f ca="1">(IF(OR($C118&lt;&gt;"n/a",D118&lt;&gt;"n/a"),IF(SUM(D121:D143)=0,0,IF((SUMPRODUCT(D121:D143,D145:D167)/SUM(D121:D143))&lt;0,1,(SUMPRODUCT(D121:D143,D145:D167)/SUM(D121:D143)))),"n/a"))</f>
        <v>10.640020762289526</v>
      </c>
      <c r="E168" s="1430">
        <f t="shared" ref="E168:W168" ca="1" si="191">(IF(OR($C118&lt;&gt;"n/a",E118&lt;&gt;"n/a"),IF(SUM(E121:E143)=0,0,IF((SUMPRODUCT(E121:E143,E145:E167)/SUM(E121:E143))&lt;0,1,(SUMPRODUCT(E121:E143,E145:E167)/SUM(E121:E143)))),"n/a"))</f>
        <v>10.391384769445326</v>
      </c>
      <c r="F168" s="1430">
        <f t="shared" ca="1" si="191"/>
        <v>10.289692244158122</v>
      </c>
      <c r="G168" s="1430">
        <f t="shared" ca="1" si="191"/>
        <v>9.8394486811431516</v>
      </c>
      <c r="H168" s="1430">
        <f t="shared" ca="1" si="191"/>
        <v>9.550887910600073</v>
      </c>
      <c r="I168" s="1430">
        <f t="shared" ca="1" si="191"/>
        <v>9.3184429574324952</v>
      </c>
      <c r="J168" s="1430">
        <f t="shared" ca="1" si="191"/>
        <v>8.9013309401810652</v>
      </c>
      <c r="K168" s="1430">
        <f t="shared" ca="1" si="191"/>
        <v>8.2747012540856009</v>
      </c>
      <c r="L168" s="1430">
        <f t="shared" ca="1" si="191"/>
        <v>7.8051729154295435</v>
      </c>
      <c r="M168" s="1430">
        <f t="shared" ca="1" si="191"/>
        <v>7.6183184607905199</v>
      </c>
      <c r="N168" s="1430">
        <f t="shared" ca="1" si="191"/>
        <v>7.8866922120669098</v>
      </c>
      <c r="O168" s="1430">
        <f t="shared" ca="1" si="191"/>
        <v>6.9574382201169298</v>
      </c>
      <c r="P168" s="1430">
        <f t="shared" ca="1" si="191"/>
        <v>6.0542336457673764</v>
      </c>
      <c r="Q168" s="1430">
        <f t="shared" ca="1" si="191"/>
        <v>5.1947125036577599</v>
      </c>
      <c r="R168" s="1430">
        <f t="shared" ca="1" si="191"/>
        <v>4.4170632089622073</v>
      </c>
      <c r="S168" s="1430">
        <f t="shared" ca="1" si="191"/>
        <v>3.8222924195713626</v>
      </c>
      <c r="T168" s="1430">
        <f t="shared" ca="1" si="191"/>
        <v>3.2594956309611205</v>
      </c>
      <c r="U168" s="1430">
        <f t="shared" ca="1" si="191"/>
        <v>2.7426539163266246</v>
      </c>
      <c r="V168" s="1430">
        <f t="shared" ca="1" si="191"/>
        <v>2.0839862638280269</v>
      </c>
      <c r="W168" s="1430">
        <f t="shared" ca="1" si="191"/>
        <v>1.4925539288547514</v>
      </c>
      <c r="X168" s="152"/>
      <c r="Y168" s="152"/>
      <c r="Z168" s="152"/>
      <c r="AA168" s="152"/>
      <c r="AB168" s="152"/>
    </row>
    <row r="169" spans="1:28">
      <c r="A169" s="242"/>
      <c r="B169" s="152"/>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52"/>
      <c r="Y169" s="152"/>
      <c r="Z169" s="152"/>
      <c r="AA169" s="152"/>
      <c r="AB169" s="152"/>
    </row>
    <row r="170" spans="1:28">
      <c r="A170" s="269" t="s">
        <v>4</v>
      </c>
      <c r="B170" s="270" t="str">
        <f>VLOOKUP($A170,'RFM input'!$E$7:$F$56,2,FALSE)</f>
        <v>Telemetry</v>
      </c>
      <c r="C170" s="1431"/>
      <c r="D170" s="1431"/>
      <c r="E170" s="1432"/>
      <c r="F170" s="1432"/>
      <c r="G170" s="1432"/>
      <c r="H170" s="1432"/>
      <c r="I170" s="1432"/>
      <c r="J170" s="1432"/>
      <c r="K170" s="1432"/>
      <c r="L170" s="1432"/>
      <c r="M170" s="1432"/>
      <c r="N170" s="1432"/>
      <c r="O170" s="1432"/>
      <c r="P170" s="1432"/>
      <c r="Q170" s="1432"/>
      <c r="R170" s="1432"/>
      <c r="S170" s="1432"/>
      <c r="T170" s="1432"/>
      <c r="U170" s="1432"/>
      <c r="V170" s="1432"/>
      <c r="W170" s="1432"/>
      <c r="X170" s="152"/>
      <c r="Y170" s="152"/>
      <c r="Z170" s="152"/>
      <c r="AA170" s="152"/>
      <c r="AB170" s="152"/>
    </row>
    <row r="171" spans="1:28">
      <c r="A171" s="215">
        <f>VALUE(REPLACE(A170,1,12,""))</f>
        <v>4</v>
      </c>
      <c r="B171" s="263" t="s">
        <v>126</v>
      </c>
      <c r="C171" s="1416">
        <f ca="1">IF($D$6='TAB roll forward'!$H$4,OFFSET('TAB roll forward'!$H$7,A171,0),"enter input")</f>
        <v>1.3970380345021669</v>
      </c>
      <c r="D171" s="1417">
        <f>IF(LEFT(D$6,4)&lt;LEFT('RFM input'!$G$60,4),"enter input",IF(LEFT(D$6,4)&gt;LEFT('RFM input'!$Q$60,4),0,
INDEX('RFM input'!$G$61:$Q$110,$A171,MATCH(D$6,'RFM input'!$G$60:$Q$60,0))
   -INDEX('RFM input'!$G$115:$Q$164,$A171,MATCH(D$6,'RFM input'!$G$60:$Q$60,0))))</f>
        <v>0.39043238351205295</v>
      </c>
      <c r="E171" s="1417">
        <f>IF(LEFT(E$6,4)&lt;LEFT('RFM input'!$G$60,4),"enter input",IF(LEFT(E$6,4)&gt;LEFT('RFM input'!$Q$60,4),0,
INDEX('RFM input'!$G$61:$Q$110,$A171,MATCH(E$6,'RFM input'!$G$60:$Q$60,0))
   -INDEX('RFM input'!$G$115:$Q$164,$A171,MATCH(E$6,'RFM input'!$G$60:$Q$60,0))))</f>
        <v>0.17168301791136867</v>
      </c>
      <c r="F171" s="1417">
        <f>IF(LEFT(F$6,4)&lt;LEFT('RFM input'!$G$60,4),"enter input",IF(LEFT(F$6,4)&gt;LEFT('RFM input'!$Q$60,4),0,
INDEX('RFM input'!$G$61:$Q$110,$A171,MATCH(F$6,'RFM input'!$G$60:$Q$60,0))
   -INDEX('RFM input'!$G$115:$Q$164,$A171,MATCH(F$6,'RFM input'!$G$60:$Q$60,0))))</f>
        <v>4.9379414650181835E-2</v>
      </c>
      <c r="G171" s="1417">
        <f>IF(LEFT(G$6,4)&lt;LEFT('RFM input'!$G$60,4),"enter input",IF(LEFT(G$6,4)&gt;LEFT('RFM input'!$Q$60,4),0,
INDEX('RFM input'!$G$61:$Q$110,$A171,MATCH(G$6,'RFM input'!$G$60:$Q$60,0))
   -INDEX('RFM input'!$G$115:$Q$164,$A171,MATCH(G$6,'RFM input'!$G$60:$Q$60,0))))</f>
        <v>0.10525956871572739</v>
      </c>
      <c r="H171" s="1417">
        <f>IF(LEFT(H$6,4)&lt;LEFT('RFM input'!$G$60,4),"enter input",IF(LEFT(H$6,4)&gt;LEFT('RFM input'!$Q$60,4),0,
INDEX('RFM input'!$G$61:$Q$110,$A171,MATCH(H$6,'RFM input'!$G$60:$Q$60,0))
   -INDEX('RFM input'!$G$115:$Q$164,$A171,MATCH(H$6,'RFM input'!$G$60:$Q$60,0))))</f>
        <v>6.5246932787471734E-2</v>
      </c>
      <c r="I171" s="1417">
        <f>IF(LEFT(I$6,4)&lt;LEFT('RFM input'!$G$60,4),"enter input",IF(LEFT(I$6,4)&gt;LEFT('RFM input'!$Q$60,4),0,
INDEX('RFM input'!$G$61:$Q$110,$A171,MATCH(I$6,'RFM input'!$G$60:$Q$60,0))
   -INDEX('RFM input'!$G$115:$Q$164,$A171,MATCH(I$6,'RFM input'!$G$60:$Q$60,0))))</f>
        <v>6.0220129696026775E-2</v>
      </c>
      <c r="J171" s="1417">
        <f>IF(LEFT(J$6,4)&lt;LEFT('RFM input'!$G$60,4),"enter input",IF(LEFT(J$6,4)&gt;LEFT('RFM input'!$Q$60,4),0,
INDEX('RFM input'!$G$61:$Q$110,$A171,MATCH(J$6,'RFM input'!$G$60:$Q$60,0))
   -INDEX('RFM input'!$G$115:$Q$164,$A171,MATCH(J$6,'RFM input'!$G$60:$Q$60,0))))</f>
        <v>3.7784634626060895E-2</v>
      </c>
      <c r="K171" s="1417">
        <f>IF(LEFT(K$6,4)&lt;LEFT('RFM input'!$G$60,4),"enter input",IF(LEFT(K$6,4)&gt;LEFT('RFM input'!$Q$60,4),0,
INDEX('RFM input'!$G$61:$Q$110,$A171,MATCH(K$6,'RFM input'!$G$60:$Q$60,0))
   -INDEX('RFM input'!$G$115:$Q$164,$A171,MATCH(K$6,'RFM input'!$G$60:$Q$60,0))))</f>
        <v>0</v>
      </c>
      <c r="L171" s="1417">
        <f>IF(LEFT(L$6,4)&lt;LEFT('RFM input'!$G$60,4),"enter input",IF(LEFT(L$6,4)&gt;LEFT('RFM input'!$Q$60,4),0,
INDEX('RFM input'!$G$61:$Q$110,$A171,MATCH(L$6,'RFM input'!$G$60:$Q$60,0))
   -INDEX('RFM input'!$G$115:$Q$164,$A171,MATCH(L$6,'RFM input'!$G$60:$Q$60,0))))</f>
        <v>0</v>
      </c>
      <c r="M171" s="1417">
        <f>IF(LEFT(M$6,4)&lt;LEFT('RFM input'!$G$60,4),"enter input",IF(LEFT(M$6,4)&gt;LEFT('RFM input'!$Q$60,4),0,
INDEX('RFM input'!$G$61:$Q$110,$A171,MATCH(M$6,'RFM input'!$G$60:$Q$60,0))
   -INDEX('RFM input'!$G$115:$Q$164,$A171,MATCH(M$6,'RFM input'!$G$60:$Q$60,0))))</f>
        <v>0</v>
      </c>
      <c r="N171" s="1417">
        <f>IF(LEFT(N$6,4)&lt;LEFT('RFM input'!$G$60,4),"enter input",IF(LEFT(N$6,4)&gt;LEFT('RFM input'!$Q$60,4),0,
INDEX('RFM input'!$G$61:$Q$110,$A171,MATCH(N$6,'RFM input'!$G$60:$Q$60,0))
   -INDEX('RFM input'!$G$115:$Q$164,$A171,MATCH(N$6,'RFM input'!$G$60:$Q$60,0))))</f>
        <v>0</v>
      </c>
      <c r="O171" s="1417">
        <f>IF(LEFT(O$6,4)&lt;LEFT('RFM input'!$G$60,4),"enter input",IF(LEFT(O$6,4)&gt;LEFT('RFM input'!$Q$60,4),0,
INDEX('RFM input'!$G$61:$Q$110,$A171,MATCH(O$6,'RFM input'!$G$60:$Q$60,0))
   -INDEX('RFM input'!$G$115:$Q$164,$A171,MATCH(O$6,'RFM input'!$G$60:$Q$60,0))))</f>
        <v>0</v>
      </c>
      <c r="P171" s="1417">
        <f>IF(LEFT(P$6,4)&lt;LEFT('RFM input'!$G$60,4),"enter input",IF(LEFT(P$6,4)&gt;LEFT('RFM input'!$Q$60,4),0,
INDEX('RFM input'!$G$61:$Q$110,$A171,MATCH(P$6,'RFM input'!$G$60:$Q$60,0))
   -INDEX('RFM input'!$G$115:$Q$164,$A171,MATCH(P$6,'RFM input'!$G$60:$Q$60,0))))</f>
        <v>0</v>
      </c>
      <c r="Q171" s="1417">
        <f>IF(LEFT(Q$6,4)&lt;LEFT('RFM input'!$G$60,4),"enter input",IF(LEFT(Q$6,4)&gt;LEFT('RFM input'!$Q$60,4),0,
INDEX('RFM input'!$G$61:$Q$110,$A171,MATCH(Q$6,'RFM input'!$G$60:$Q$60,0))
   -INDEX('RFM input'!$G$115:$Q$164,$A171,MATCH(Q$6,'RFM input'!$G$60:$Q$60,0))))</f>
        <v>0</v>
      </c>
      <c r="R171" s="1417">
        <f>IF(LEFT(R$6,4)&lt;LEFT('RFM input'!$G$60,4),"enter input",IF(LEFT(R$6,4)&gt;LEFT('RFM input'!$Q$60,4),0,
INDEX('RFM input'!$G$61:$Q$110,$A171,MATCH(R$6,'RFM input'!$G$60:$Q$60,0))
   -INDEX('RFM input'!$G$115:$Q$164,$A171,MATCH(R$6,'RFM input'!$G$60:$Q$60,0))))</f>
        <v>0</v>
      </c>
      <c r="S171" s="1417">
        <f>IF(LEFT(S$6,4)&lt;LEFT('RFM input'!$G$60,4),"enter input",IF(LEFT(S$6,4)&gt;LEFT('RFM input'!$Q$60,4),0,
INDEX('RFM input'!$G$61:$Q$110,$A171,MATCH(S$6,'RFM input'!$G$60:$Q$60,0))
   -INDEX('RFM input'!$G$115:$Q$164,$A171,MATCH(S$6,'RFM input'!$G$60:$Q$60,0))))</f>
        <v>0</v>
      </c>
      <c r="T171" s="1417">
        <f>IF(LEFT(T$6,4)&lt;LEFT('RFM input'!$G$60,4),"enter input",IF(LEFT(T$6,4)&gt;LEFT('RFM input'!$Q$60,4),0,
INDEX('RFM input'!$G$61:$Q$110,$A171,MATCH(T$6,'RFM input'!$G$60:$Q$60,0))
   -INDEX('RFM input'!$G$115:$Q$164,$A171,MATCH(T$6,'RFM input'!$G$60:$Q$60,0))))</f>
        <v>0</v>
      </c>
      <c r="U171" s="1417">
        <f>IF(LEFT(U$6,4)&lt;LEFT('RFM input'!$G$60,4),"enter input",IF(LEFT(U$6,4)&gt;LEFT('RFM input'!$Q$60,4),0,
INDEX('RFM input'!$G$61:$Q$110,$A171,MATCH(U$6,'RFM input'!$G$60:$Q$60,0))
   -INDEX('RFM input'!$G$115:$Q$164,$A171,MATCH(U$6,'RFM input'!$G$60:$Q$60,0))))</f>
        <v>0</v>
      </c>
      <c r="V171" s="1417">
        <f>IF(LEFT(V$6,4)&lt;LEFT('RFM input'!$G$60,4),"enter input",IF(LEFT(V$6,4)&gt;LEFT('RFM input'!$Q$60,4),0,
INDEX('RFM input'!$G$61:$Q$110,$A171,MATCH(V$6,'RFM input'!$G$60:$Q$60,0))
   -INDEX('RFM input'!$G$115:$Q$164,$A171,MATCH(V$6,'RFM input'!$G$60:$Q$60,0))))</f>
        <v>0</v>
      </c>
      <c r="W171" s="1417">
        <f>IF(LEFT(W$6,4)&lt;LEFT('RFM input'!$G$60,4),"enter input",IF(LEFT(W$6,4)&gt;LEFT('RFM input'!$Q$60,4),0,
INDEX('RFM input'!$G$61:$Q$110,$A171,MATCH(W$6,'RFM input'!$G$60:$Q$60,0))
   -INDEX('RFM input'!$G$115:$Q$164,$A171,MATCH(W$6,'RFM input'!$G$60:$Q$60,0))))</f>
        <v>0</v>
      </c>
      <c r="X171" s="152"/>
      <c r="Y171" s="152"/>
      <c r="Z171" s="152"/>
      <c r="AA171" s="152"/>
      <c r="AB171" s="152"/>
    </row>
    <row r="172" spans="1:28">
      <c r="A172" s="242"/>
      <c r="B172" s="152" t="s">
        <v>205</v>
      </c>
      <c r="C172" s="1418">
        <f ca="1">IF($D$6='TAB roll forward'!$H$4,OFFSET('RFM input'!$S$6,$A171,0),"enter input")</f>
        <v>8.4419357937527693</v>
      </c>
      <c r="D172" s="1417">
        <f>IF(LEFT(D$6,4)&lt;=LEFT('RFM input'!$G$60,4),"enter input",IF(LEFT(D$6,4)&gt;LEFT('RFM input'!$Q$60,4),0,
IF(MATCH(D$6,'RFM input'!$H$60:$Q$60,0),INDEX('RFM input'!$T$7:$T$56,$A171,1,1))))</f>
        <v>10</v>
      </c>
      <c r="E172" s="1417">
        <f>IF(LEFT(E$6,4)&lt;=LEFT('RFM input'!$G$60,4),"enter input",IF(LEFT(E$6,4)&gt;LEFT('RFM input'!$Q$60,4),0,
IF(MATCH(E$6,'RFM input'!$H$60:$Q$60,0),INDEX('RFM input'!$T$7:$T$56,$A171,1,1))))</f>
        <v>10</v>
      </c>
      <c r="F172" s="1417">
        <f>IF(LEFT(F$6,4)&lt;=LEFT('RFM input'!$G$60,4),"enter input",IF(LEFT(F$6,4)&gt;LEFT('RFM input'!$Q$60,4),0,
IF(MATCH(F$6,'RFM input'!$H$60:$Q$60,0),INDEX('RFM input'!$T$7:$T$56,$A171,1,1))))</f>
        <v>10</v>
      </c>
      <c r="G172" s="1417">
        <f>IF(LEFT(G$6,4)&lt;=LEFT('RFM input'!$G$60,4),"enter input",IF(LEFT(G$6,4)&gt;LEFT('RFM input'!$Q$60,4),0,
IF(MATCH(G$6,'RFM input'!$H$60:$Q$60,0),INDEX('RFM input'!$T$7:$T$56,$A171,1,1))))</f>
        <v>10</v>
      </c>
      <c r="H172" s="1417">
        <f>IF(LEFT(H$6,4)&lt;=LEFT('RFM input'!$G$60,4),"enter input",IF(LEFT(H$6,4)&gt;LEFT('RFM input'!$Q$60,4),0,
IF(MATCH(H$6,'RFM input'!$H$60:$Q$60,0),INDEX('RFM input'!$T$7:$T$56,$A171,1,1))))</f>
        <v>10</v>
      </c>
      <c r="I172" s="1417">
        <f>IF(LEFT(I$6,4)&lt;=LEFT('RFM input'!$G$60,4),"enter input",IF(LEFT(I$6,4)&gt;LEFT('RFM input'!$Q$60,4),0,
IF(MATCH(I$6,'RFM input'!$H$60:$Q$60,0),INDEX('RFM input'!$T$7:$T$56,$A171,1,1))))</f>
        <v>10</v>
      </c>
      <c r="J172" s="1417">
        <f>IF(LEFT(J$6,4)&lt;=LEFT('RFM input'!$G$60,4),"enter input",IF(LEFT(J$6,4)&gt;LEFT('RFM input'!$Q$60,4),0,
IF(MATCH(J$6,'RFM input'!$H$60:$Q$60,0),INDEX('RFM input'!$T$7:$T$56,$A171,1,1))))</f>
        <v>10</v>
      </c>
      <c r="K172" s="1417">
        <f>IF(LEFT(K$6,4)&lt;=LEFT('RFM input'!$G$60,4),"enter input",IF(LEFT(K$6,4)&gt;LEFT('RFM input'!$Q$60,4),0,
IF(MATCH(K$6,'RFM input'!$H$60:$Q$60,0),INDEX('RFM input'!$T$7:$T$56,$A171,1,1))))</f>
        <v>10</v>
      </c>
      <c r="L172" s="1417">
        <f>IF(LEFT(L$6,4)&lt;=LEFT('RFM input'!$G$60,4),"enter input",IF(LEFT(L$6,4)&gt;LEFT('RFM input'!$Q$60,4),0,
IF(MATCH(L$6,'RFM input'!$H$60:$Q$60,0),INDEX('RFM input'!$T$7:$T$56,$A171,1,1))))</f>
        <v>10</v>
      </c>
      <c r="M172" s="1417">
        <f>IF(LEFT(M$6,4)&lt;=LEFT('RFM input'!$G$60,4),"enter input",IF(LEFT(M$6,4)&gt;LEFT('RFM input'!$Q$60,4),0,
IF(MATCH(M$6,'RFM input'!$H$60:$Q$60,0),INDEX('RFM input'!$T$7:$T$56,$A171,1,1))))</f>
        <v>10</v>
      </c>
      <c r="N172" s="1417">
        <f>IF(LEFT(N$6,4)&lt;=LEFT('RFM input'!$G$60,4),"enter input",IF(LEFT(N$6,4)&gt;LEFT('RFM input'!$Q$60,4),0,
IF(MATCH(N$6,'RFM input'!$H$60:$Q$60,0),INDEX('RFM input'!$T$7:$T$56,$A171,1,1))))</f>
        <v>0</v>
      </c>
      <c r="O172" s="1417">
        <f>IF(LEFT(O$6,4)&lt;=LEFT('RFM input'!$G$60,4),"enter input",IF(LEFT(O$6,4)&gt;LEFT('RFM input'!$Q$60,4),0,
IF(MATCH(O$6,'RFM input'!$H$60:$Q$60,0),INDEX('RFM input'!$T$7:$T$56,$A171,1,1))))</f>
        <v>0</v>
      </c>
      <c r="P172" s="1417">
        <f>IF(LEFT(P$6,4)&lt;=LEFT('RFM input'!$G$60,4),"enter input",IF(LEFT(P$6,4)&gt;LEFT('RFM input'!$Q$60,4),0,
IF(MATCH(P$6,'RFM input'!$H$60:$Q$60,0),INDEX('RFM input'!$T$7:$T$56,$A171,1,1))))</f>
        <v>0</v>
      </c>
      <c r="Q172" s="1417">
        <f>IF(LEFT(Q$6,4)&lt;=LEFT('RFM input'!$G$60,4),"enter input",IF(LEFT(Q$6,4)&gt;LEFT('RFM input'!$Q$60,4),0,
IF(MATCH(Q$6,'RFM input'!$H$60:$Q$60,0),INDEX('RFM input'!$T$7:$T$56,$A171,1,1))))</f>
        <v>0</v>
      </c>
      <c r="R172" s="1417">
        <f>IF(LEFT(R$6,4)&lt;=LEFT('RFM input'!$G$60,4),"enter input",IF(LEFT(R$6,4)&gt;LEFT('RFM input'!$Q$60,4),0,
IF(MATCH(R$6,'RFM input'!$H$60:$Q$60,0),INDEX('RFM input'!$T$7:$T$56,$A171,1,1))))</f>
        <v>0</v>
      </c>
      <c r="S172" s="1417">
        <f>IF(LEFT(S$6,4)&lt;=LEFT('RFM input'!$G$60,4),"enter input",IF(LEFT(S$6,4)&gt;LEFT('RFM input'!$Q$60,4),0,
IF(MATCH(S$6,'RFM input'!$H$60:$Q$60,0),INDEX('RFM input'!$T$7:$T$56,$A171,1,1))))</f>
        <v>0</v>
      </c>
      <c r="T172" s="1417">
        <f>IF(LEFT(T$6,4)&lt;=LEFT('RFM input'!$G$60,4),"enter input",IF(LEFT(T$6,4)&gt;LEFT('RFM input'!$Q$60,4),0,
IF(MATCH(T$6,'RFM input'!$H$60:$Q$60,0),INDEX('RFM input'!$T$7:$T$56,$A171,1,1))))</f>
        <v>0</v>
      </c>
      <c r="U172" s="1417">
        <f>IF(LEFT(U$6,4)&lt;=LEFT('RFM input'!$G$60,4),"enter input",IF(LEFT(U$6,4)&gt;LEFT('RFM input'!$Q$60,4),0,
IF(MATCH(U$6,'RFM input'!$H$60:$Q$60,0),INDEX('RFM input'!$T$7:$T$56,$A171,1,1))))</f>
        <v>0</v>
      </c>
      <c r="V172" s="1417">
        <f>IF(LEFT(V$6,4)&lt;=LEFT('RFM input'!$G$60,4),"enter input",IF(LEFT(V$6,4)&gt;LEFT('RFM input'!$Q$60,4),0,
IF(MATCH(V$6,'RFM input'!$H$60:$Q$60,0),INDEX('RFM input'!$T$7:$T$56,$A171,1,1))))</f>
        <v>0</v>
      </c>
      <c r="W172" s="1417">
        <f>IF(LEFT(W$6,4)&lt;=LEFT('RFM input'!$G$60,4),"enter input",IF(LEFT(W$6,4)&gt;LEFT('RFM input'!$Q$60,4),0,
IF(MATCH(W$6,'RFM input'!$H$60:$Q$60,0),INDEX('RFM input'!$T$7:$T$56,$A171,1,1))))</f>
        <v>0</v>
      </c>
      <c r="X172" s="152"/>
      <c r="Y172" s="152"/>
      <c r="Z172" s="152"/>
      <c r="AA172" s="152"/>
      <c r="AB172" s="152"/>
    </row>
    <row r="173" spans="1:28">
      <c r="A173" s="242"/>
      <c r="B173" s="193" t="s">
        <v>192</v>
      </c>
      <c r="C173" s="1419"/>
      <c r="D173" s="1420">
        <f ca="1">IF(LEFT(D$6,4)&lt;=LEFT('RFM input'!$G$60,4),"enter input",IF(LEFT(D$6,4)&gt;LEFT('RFM input'!$Q$60,4),0,
IF(D$6=(OFFSET('RFM input'!$G$60,0,'RFM input'!$V$7)),OFFSET('RFM input'!$H$411,$A171,0),0)))</f>
        <v>0</v>
      </c>
      <c r="E173" s="1417">
        <f ca="1">IF(LEFT(E$6,4)&lt;=LEFT('RFM input'!$G$60,4),"enter input",IF(LEFT(E$6,4)&gt;LEFT('RFM input'!$Q$60,4),0,
IF(E$6=(OFFSET('RFM input'!$G$60,0,'RFM input'!$V$7)),OFFSET('RFM input'!$H$411,$A171,0),0)))</f>
        <v>0</v>
      </c>
      <c r="F173" s="1417">
        <f ca="1">IF(LEFT(F$6,4)&lt;=LEFT('RFM input'!$G$60,4),"enter input",IF(LEFT(F$6,4)&gt;LEFT('RFM input'!$Q$60,4),0,
IF(F$6=(OFFSET('RFM input'!$G$60,0,'RFM input'!$V$7)),OFFSET('RFM input'!$H$411,$A171,0),0)))</f>
        <v>0</v>
      </c>
      <c r="G173" s="1417">
        <f ca="1">IF(LEFT(G$6,4)&lt;=LEFT('RFM input'!$G$60,4),"enter input",IF(LEFT(G$6,4)&gt;LEFT('RFM input'!$Q$60,4),0,
IF(G$6=(OFFSET('RFM input'!$G$60,0,'RFM input'!$V$7)),OFFSET('RFM input'!$H$411,$A171,0),0)))</f>
        <v>0</v>
      </c>
      <c r="H173" s="1417">
        <f ca="1">IF(LEFT(H$6,4)&lt;=LEFT('RFM input'!$G$60,4),"enter input",IF(LEFT(H$6,4)&gt;LEFT('RFM input'!$Q$60,4),0,
IF(H$6=(OFFSET('RFM input'!$G$60,0,'RFM input'!$V$7)),OFFSET('RFM input'!$H$411,$A171,0),0)))</f>
        <v>0</v>
      </c>
      <c r="I173" s="1417">
        <f ca="1">IF(LEFT(I$6,4)&lt;=LEFT('RFM input'!$G$60,4),"enter input",IF(LEFT(I$6,4)&gt;LEFT('RFM input'!$Q$60,4),0,
IF(I$6=(OFFSET('RFM input'!$G$60,0,'RFM input'!$V$7)),OFFSET('RFM input'!$H$411,$A171,0),0)))</f>
        <v>0</v>
      </c>
      <c r="J173" s="1417">
        <f ca="1">IF(LEFT(J$6,4)&lt;=LEFT('RFM input'!$G$60,4),"enter input",IF(LEFT(J$6,4)&gt;LEFT('RFM input'!$Q$60,4),0,
IF(J$6=(OFFSET('RFM input'!$G$60,0,'RFM input'!$V$7)),OFFSET('RFM input'!$H$411,$A171,0),0)))</f>
        <v>0</v>
      </c>
      <c r="K173" s="1417">
        <f ca="1">IF(LEFT(K$6,4)&lt;=LEFT('RFM input'!$G$60,4),"enter input",IF(LEFT(K$6,4)&gt;LEFT('RFM input'!$Q$60,4),0,
IF(K$6=(OFFSET('RFM input'!$G$60,0,'RFM input'!$V$7)),OFFSET('RFM input'!$H$411,$A171,0),0)))</f>
        <v>0</v>
      </c>
      <c r="L173" s="1417">
        <f ca="1">IF(LEFT(L$6,4)&lt;=LEFT('RFM input'!$G$60,4),"enter input",IF(LEFT(L$6,4)&gt;LEFT('RFM input'!$Q$60,4),0,
IF(L$6=(OFFSET('RFM input'!$G$60,0,'RFM input'!$V$7)),OFFSET('RFM input'!$H$411,$A171,0),0)))</f>
        <v>0</v>
      </c>
      <c r="M173" s="1417">
        <f ca="1">IF(LEFT(M$6,4)&lt;=LEFT('RFM input'!$G$60,4),"enter input",IF(LEFT(M$6,4)&gt;LEFT('RFM input'!$Q$60,4),0,
IF(M$6=(OFFSET('RFM input'!$G$60,0,'RFM input'!$V$7)),OFFSET('RFM input'!$H$411,$A171,0),0)))</f>
        <v>0</v>
      </c>
      <c r="N173" s="1417">
        <f ca="1">IF(LEFT(N$6,4)&lt;=LEFT('RFM input'!$G$60,4),"enter input",IF(LEFT(N$6,4)&gt;LEFT('RFM input'!$Q$60,4),0,
IF(N$6=(OFFSET('RFM input'!$G$60,0,'RFM input'!$V$7)),OFFSET('RFM input'!$H$411,$A171,0),0)))</f>
        <v>0</v>
      </c>
      <c r="O173" s="1417">
        <f ca="1">IF(LEFT(O$6,4)&lt;=LEFT('RFM input'!$G$60,4),"enter input",IF(LEFT(O$6,4)&gt;LEFT('RFM input'!$Q$60,4),0,
IF(O$6=(OFFSET('RFM input'!$G$60,0,'RFM input'!$V$7)),OFFSET('RFM input'!$H$411,$A171,0),0)))</f>
        <v>0</v>
      </c>
      <c r="P173" s="1417">
        <f ca="1">IF(LEFT(P$6,4)&lt;=LEFT('RFM input'!$G$60,4),"enter input",IF(LEFT(P$6,4)&gt;LEFT('RFM input'!$Q$60,4),0,
IF(P$6=(OFFSET('RFM input'!$G$60,0,'RFM input'!$V$7)),OFFSET('RFM input'!$H$411,$A171,0),0)))</f>
        <v>0</v>
      </c>
      <c r="Q173" s="1417">
        <f ca="1">IF(LEFT(Q$6,4)&lt;=LEFT('RFM input'!$G$60,4),"enter input",IF(LEFT(Q$6,4)&gt;LEFT('RFM input'!$Q$60,4),0,
IF(Q$6=(OFFSET('RFM input'!$G$60,0,'RFM input'!$V$7)),OFFSET('RFM input'!$H$411,$A171,0),0)))</f>
        <v>0</v>
      </c>
      <c r="R173" s="1417">
        <f ca="1">IF(LEFT(R$6,4)&lt;=LEFT('RFM input'!$G$60,4),"enter input",IF(LEFT(R$6,4)&gt;LEFT('RFM input'!$Q$60,4),0,
IF(R$6=(OFFSET('RFM input'!$G$60,0,'RFM input'!$V$7)),OFFSET('RFM input'!$H$411,$A171,0),0)))</f>
        <v>0</v>
      </c>
      <c r="S173" s="1417">
        <f ca="1">IF(LEFT(S$6,4)&lt;=LEFT('RFM input'!$G$60,4),"enter input",IF(LEFT(S$6,4)&gt;LEFT('RFM input'!$Q$60,4),0,
IF(S$6=(OFFSET('RFM input'!$G$60,0,'RFM input'!$V$7)),OFFSET('RFM input'!$H$411,$A171,0),0)))</f>
        <v>0</v>
      </c>
      <c r="T173" s="1417">
        <f ca="1">IF(LEFT(T$6,4)&lt;=LEFT('RFM input'!$G$60,4),"enter input",IF(LEFT(T$6,4)&gt;LEFT('RFM input'!$Q$60,4),0,
IF(T$6=(OFFSET('RFM input'!$G$60,0,'RFM input'!$V$7)),OFFSET('RFM input'!$H$411,$A171,0),0)))</f>
        <v>0</v>
      </c>
      <c r="U173" s="1417">
        <f ca="1">IF(LEFT(U$6,4)&lt;=LEFT('RFM input'!$G$60,4),"enter input",IF(LEFT(U$6,4)&gt;LEFT('RFM input'!$Q$60,4),0,
IF(U$6=(OFFSET('RFM input'!$G$60,0,'RFM input'!$V$7)),OFFSET('RFM input'!$H$411,$A171,0),0)))</f>
        <v>0</v>
      </c>
      <c r="V173" s="1417">
        <f ca="1">IF(LEFT(V$6,4)&lt;=LEFT('RFM input'!$G$60,4),"enter input",IF(LEFT(V$6,4)&gt;LEFT('RFM input'!$Q$60,4),0,
IF(V$6=(OFFSET('RFM input'!$G$60,0,'RFM input'!$V$7)),OFFSET('RFM input'!$H$411,$A171,0),0)))</f>
        <v>0</v>
      </c>
      <c r="W173" s="1417">
        <f ca="1">IF(LEFT(W$6,4)&lt;=LEFT('RFM input'!$G$60,4),"enter input",IF(LEFT(W$6,4)&gt;LEFT('RFM input'!$Q$60,4),0,
IF(W$6=(OFFSET('RFM input'!$G$60,0,'RFM input'!$V$7)),OFFSET('RFM input'!$H$411,$A171,0),0)))</f>
        <v>0</v>
      </c>
      <c r="X173" s="152"/>
      <c r="Y173" s="152"/>
      <c r="Z173" s="152"/>
      <c r="AA173" s="152"/>
      <c r="AB173" s="152"/>
    </row>
    <row r="174" spans="1:28">
      <c r="A174" s="242"/>
      <c r="B174" s="193" t="s">
        <v>200</v>
      </c>
      <c r="C174" s="1419"/>
      <c r="D174" s="1418">
        <f ca="1">IF(LEFT(D$6,4)&lt;=LEFT('RFM input'!$G$60,4),"enter input",IF(LEFT(D$6,4)&gt;LEFT('RFM input'!$Q$60,4),0,
IF(D$6=(OFFSET('RFM input'!$G$60,0,'RFM input'!$V$7)),OFFSET('RFM input'!$J$411,$A171,0),0)))</f>
        <v>0</v>
      </c>
      <c r="E174" s="1422">
        <f ca="1">IF(LEFT(E$6,4)&lt;=LEFT('RFM input'!$G$60,4),"enter input",IF(LEFT(E$6,4)&gt;LEFT('RFM input'!$Q$60,4),0,
IF(E$6=(OFFSET('RFM input'!$G$60,0,'RFM input'!$V$7)),OFFSET('RFM input'!$J$411,$A171,0),0)))</f>
        <v>0</v>
      </c>
      <c r="F174" s="1422">
        <f ca="1">IF(LEFT(F$6,4)&lt;=LEFT('RFM input'!$G$60,4),"enter input",IF(LEFT(F$6,4)&gt;LEFT('RFM input'!$Q$60,4),0,
IF(F$6=(OFFSET('RFM input'!$G$60,0,'RFM input'!$V$7)),OFFSET('RFM input'!$J$411,$A171,0),0)))</f>
        <v>0</v>
      </c>
      <c r="G174" s="1422">
        <f ca="1">IF(LEFT(G$6,4)&lt;=LEFT('RFM input'!$G$60,4),"enter input",IF(LEFT(G$6,4)&gt;LEFT('RFM input'!$Q$60,4),0,
IF(G$6=(OFFSET('RFM input'!$G$60,0,'RFM input'!$V$7)),OFFSET('RFM input'!$J$411,$A171,0),0)))</f>
        <v>0</v>
      </c>
      <c r="H174" s="1422">
        <f ca="1">IF(LEFT(H$6,4)&lt;=LEFT('RFM input'!$G$60,4),"enter input",IF(LEFT(H$6,4)&gt;LEFT('RFM input'!$Q$60,4),0,
IF(H$6=(OFFSET('RFM input'!$G$60,0,'RFM input'!$V$7)),OFFSET('RFM input'!$J$411,$A171,0),0)))</f>
        <v>0</v>
      </c>
      <c r="I174" s="1422">
        <f ca="1">IF(LEFT(I$6,4)&lt;=LEFT('RFM input'!$G$60,4),"enter input",IF(LEFT(I$6,4)&gt;LEFT('RFM input'!$Q$60,4),0,
IF(I$6=(OFFSET('RFM input'!$G$60,0,'RFM input'!$V$7)),OFFSET('RFM input'!$J$411,$A171,0),0)))</f>
        <v>0</v>
      </c>
      <c r="J174" s="1422">
        <f ca="1">IF(LEFT(J$6,4)&lt;=LEFT('RFM input'!$G$60,4),"enter input",IF(LEFT(J$6,4)&gt;LEFT('RFM input'!$Q$60,4),0,
IF(J$6=(OFFSET('RFM input'!$G$60,0,'RFM input'!$V$7)),OFFSET('RFM input'!$J$411,$A171,0),0)))</f>
        <v>0</v>
      </c>
      <c r="K174" s="1422">
        <f ca="1">IF(LEFT(K$6,4)&lt;=LEFT('RFM input'!$G$60,4),"enter input",IF(LEFT(K$6,4)&gt;LEFT('RFM input'!$Q$60,4),0,
IF(K$6=(OFFSET('RFM input'!$G$60,0,'RFM input'!$V$7)),OFFSET('RFM input'!$J$411,$A171,0),0)))</f>
        <v>0</v>
      </c>
      <c r="L174" s="1422">
        <f ca="1">IF(LEFT(L$6,4)&lt;=LEFT('RFM input'!$G$60,4),"enter input",IF(LEFT(L$6,4)&gt;LEFT('RFM input'!$Q$60,4),0,
IF(L$6=(OFFSET('RFM input'!$G$60,0,'RFM input'!$V$7)),OFFSET('RFM input'!$J$411,$A171,0),0)))</f>
        <v>0</v>
      </c>
      <c r="M174" s="1422">
        <f ca="1">IF(LEFT(M$6,4)&lt;=LEFT('RFM input'!$G$60,4),"enter input",IF(LEFT(M$6,4)&gt;LEFT('RFM input'!$Q$60,4),0,
IF(M$6=(OFFSET('RFM input'!$G$60,0,'RFM input'!$V$7)),OFFSET('RFM input'!$J$411,$A171,0),0)))</f>
        <v>0</v>
      </c>
      <c r="N174" s="1422">
        <f ca="1">IF(LEFT(N$6,4)&lt;=LEFT('RFM input'!$G$60,4),"enter input",IF(LEFT(N$6,4)&gt;LEFT('RFM input'!$Q$60,4),0,
IF(N$6=(OFFSET('RFM input'!$G$60,0,'RFM input'!$V$7)),OFFSET('RFM input'!$J$411,$A171,0),0)))</f>
        <v>0</v>
      </c>
      <c r="O174" s="1422">
        <f ca="1">IF(LEFT(O$6,4)&lt;=LEFT('RFM input'!$G$60,4),"enter input",IF(LEFT(O$6,4)&gt;LEFT('RFM input'!$Q$60,4),0,
IF(O$6=(OFFSET('RFM input'!$G$60,0,'RFM input'!$V$7)),OFFSET('RFM input'!$J$411,$A171,0),0)))</f>
        <v>0</v>
      </c>
      <c r="P174" s="1422">
        <f ca="1">IF(LEFT(P$6,4)&lt;=LEFT('RFM input'!$G$60,4),"enter input",IF(LEFT(P$6,4)&gt;LEFT('RFM input'!$Q$60,4),0,
IF(P$6=(OFFSET('RFM input'!$G$60,0,'RFM input'!$V$7)),OFFSET('RFM input'!$J$411,$A171,0),0)))</f>
        <v>0</v>
      </c>
      <c r="Q174" s="1422">
        <f ca="1">IF(LEFT(Q$6,4)&lt;=LEFT('RFM input'!$G$60,4),"enter input",IF(LEFT(Q$6,4)&gt;LEFT('RFM input'!$Q$60,4),0,
IF(Q$6=(OFFSET('RFM input'!$G$60,0,'RFM input'!$V$7)),OFFSET('RFM input'!$J$411,$A171,0),0)))</f>
        <v>0</v>
      </c>
      <c r="R174" s="1422">
        <f ca="1">IF(LEFT(R$6,4)&lt;=LEFT('RFM input'!$G$60,4),"enter input",IF(LEFT(R$6,4)&gt;LEFT('RFM input'!$Q$60,4),0,
IF(R$6=(OFFSET('RFM input'!$G$60,0,'RFM input'!$V$7)),OFFSET('RFM input'!$J$411,$A171,0),0)))</f>
        <v>0</v>
      </c>
      <c r="S174" s="1422">
        <f ca="1">IF(LEFT(S$6,4)&lt;=LEFT('RFM input'!$G$60,4),"enter input",IF(LEFT(S$6,4)&gt;LEFT('RFM input'!$Q$60,4),0,
IF(S$6=(OFFSET('RFM input'!$G$60,0,'RFM input'!$V$7)),OFFSET('RFM input'!$J$411,$A171,0),0)))</f>
        <v>0</v>
      </c>
      <c r="T174" s="1422">
        <f ca="1">IF(LEFT(T$6,4)&lt;=LEFT('RFM input'!$G$60,4),"enter input",IF(LEFT(T$6,4)&gt;LEFT('RFM input'!$Q$60,4),0,
IF(T$6=(OFFSET('RFM input'!$G$60,0,'RFM input'!$V$7)),OFFSET('RFM input'!$J$411,$A171,0),0)))</f>
        <v>0</v>
      </c>
      <c r="U174" s="1422">
        <f ca="1">IF(LEFT(U$6,4)&lt;=LEFT('RFM input'!$G$60,4),"enter input",IF(LEFT(U$6,4)&gt;LEFT('RFM input'!$Q$60,4),0,
IF(U$6=(OFFSET('RFM input'!$G$60,0,'RFM input'!$V$7)),OFFSET('RFM input'!$J$411,$A171,0),0)))</f>
        <v>0</v>
      </c>
      <c r="V174" s="1422">
        <f ca="1">IF(LEFT(V$6,4)&lt;=LEFT('RFM input'!$G$60,4),"enter input",IF(LEFT(V$6,4)&gt;LEFT('RFM input'!$Q$60,4),0,
IF(V$6=(OFFSET('RFM input'!$G$60,0,'RFM input'!$V$7)),OFFSET('RFM input'!$J$411,$A171,0),0)))</f>
        <v>0</v>
      </c>
      <c r="W174" s="1422">
        <f ca="1">IF(LEFT(W$6,4)&lt;=LEFT('RFM input'!$G$60,4),"enter input",IF(LEFT(W$6,4)&gt;LEFT('RFM input'!$Q$60,4),0,
IF(W$6=(OFFSET('RFM input'!$G$60,0,'RFM input'!$V$7)),OFFSET('RFM input'!$J$411,$A171,0),0)))</f>
        <v>0</v>
      </c>
      <c r="X174" s="152"/>
      <c r="Y174" s="152"/>
      <c r="Z174" s="152"/>
      <c r="AA174" s="152"/>
      <c r="AB174" s="152"/>
    </row>
    <row r="175" spans="1:28" hidden="1" outlineLevel="1">
      <c r="A175" s="235">
        <v>-1</v>
      </c>
      <c r="B175" s="190" t="s">
        <v>195</v>
      </c>
      <c r="C175" s="1423"/>
      <c r="D175" s="1423">
        <f t="shared" ref="D175" ca="1" si="192">IF(AND(D173=0,C175=0),0,
IF(AND(D173&lt;&gt;0,C175=0),D173,
IF(AND(D174&lt;&gt;0,C175&lt;&gt;0),(C175-(C175/C199))+D173,
IF(C199&lt;1,0,(C175-(C175/C199))))))</f>
        <v>0</v>
      </c>
      <c r="E175" s="1423">
        <f t="shared" ref="E175" ca="1" si="193">IF(AND(E173=0,D175=0),0,
IF(AND(E173&lt;&gt;0,D175=0),E173,
IF(AND(E174&lt;&gt;0,D175&lt;&gt;0),(D175-(D175/D199))+E173,
IF(D199&lt;1,0,(D175-(D175/D199))))))</f>
        <v>0</v>
      </c>
      <c r="F175" s="1423">
        <f t="shared" ref="F175" ca="1" si="194">IF(AND(F173=0,E175=0),0,
IF(AND(F173&lt;&gt;0,E175=0),F173,
IF(AND(F174&lt;&gt;0,E175&lt;&gt;0),(E175-(E175/E199))+F173,
IF(E199&lt;1,0,(E175-(E175/E199))))))</f>
        <v>0</v>
      </c>
      <c r="G175" s="1423">
        <f t="shared" ref="G175" ca="1" si="195">IF(AND(G173=0,F175=0),0,
IF(AND(G173&lt;&gt;0,F175=0),G173,
IF(AND(G174&lt;&gt;0,F175&lt;&gt;0),(F175-(F175/F199))+G173,
IF(F199&lt;1,0,(F175-(F175/F199))))))</f>
        <v>0</v>
      </c>
      <c r="H175" s="1423">
        <f ca="1">IF(AND(H173=0,G175=0),0,
IF(AND(H173&lt;&gt;0,G175=0),H173,
IF(AND(H174&lt;&gt;0,G175&lt;&gt;0),(G175-(G175/G199))+H173,
IF(G199&lt;1,0,(G175-(G175/G199))))))</f>
        <v>0</v>
      </c>
      <c r="I175" s="1423">
        <f t="shared" ref="I175" ca="1" si="196">IF(AND(I173=0,H175=0),0,
IF(AND(I173&lt;&gt;0,H175=0),I173,
IF(AND(I174&lt;&gt;0,H175&lt;&gt;0),(H175-(H175/H199))+I173,
IF(H199&lt;1,0,(H175-(H175/H199))))))</f>
        <v>0</v>
      </c>
      <c r="J175" s="1423">
        <f t="shared" ref="J175" ca="1" si="197">IF(AND(J173=0,I175=0),0,
IF(AND(J173&lt;&gt;0,I175=0),J173,
IF(AND(J174&lt;&gt;0,I175&lt;&gt;0),(I175-(I175/I199))+J173,
IF(I199&lt;1,0,(I175-(I175/I199))))))</f>
        <v>0</v>
      </c>
      <c r="K175" s="1423">
        <f t="shared" ref="K175" ca="1" si="198">IF(AND(K173=0,J175=0),0,
IF(AND(K173&lt;&gt;0,J175=0),K173,
IF(AND(K174&lt;&gt;0,J175&lt;&gt;0),(J175-(J175/J199))+K173,
IF(J199&lt;1,0,(J175-(J175/J199))))))</f>
        <v>0</v>
      </c>
      <c r="L175" s="1423">
        <f t="shared" ref="L175" ca="1" si="199">IF(AND(L173=0,K175=0),0,
IF(AND(L173&lt;&gt;0,K175=0),L173,
IF(AND(L174&lt;&gt;0,K175&lt;&gt;0),(K175-(K175/K199))+L173,
IF(K199&lt;1,0,(K175-(K175/K199))))))</f>
        <v>0</v>
      </c>
      <c r="M175" s="1423">
        <f t="shared" ref="M175" ca="1" si="200">IF(AND(M173=0,L175=0),0,
IF(AND(M173&lt;&gt;0,L175=0),M173,
IF(AND(M174&lt;&gt;0,L175&lt;&gt;0),(L175-(L175/L199))+M173,
IF(L199&lt;1,0,(L175-(L175/L199))))))</f>
        <v>0</v>
      </c>
      <c r="N175" s="1423">
        <f t="shared" ref="N175" ca="1" si="201">IF(AND(N173=0,M175=0),0,
IF(AND(N173&lt;&gt;0,M175=0),N173,
IF(AND(N174&lt;&gt;0,M175&lt;&gt;0),(M175-(M175/M199))+N173,
IF(M199&lt;1,0,(M175-(M175/M199))))))</f>
        <v>0</v>
      </c>
      <c r="O175" s="1423">
        <f t="shared" ref="O175" ca="1" si="202">IF(AND(O173=0,N175=0),0,
IF(AND(O173&lt;&gt;0,N175=0),O173,
IF(AND(O174&lt;&gt;0,N175&lt;&gt;0),(N175-(N175/N199))+O173,
IF(N199&lt;1,0,(N175-(N175/N199))))))</f>
        <v>0</v>
      </c>
      <c r="P175" s="1423">
        <f t="shared" ref="P175" ca="1" si="203">IF(AND(P173=0,O175=0),0,
IF(AND(P173&lt;&gt;0,O175=0),P173,
IF(AND(P174&lt;&gt;0,O175&lt;&gt;0),(O175-(O175/O199))+P173,
IF(O199&lt;1,0,(O175-(O175/O199))))))</f>
        <v>0</v>
      </c>
      <c r="Q175" s="1423">
        <f t="shared" ref="Q175" ca="1" si="204">IF(AND(Q173=0,P175=0),0,
IF(AND(Q173&lt;&gt;0,P175=0),Q173,
IF(AND(Q174&lt;&gt;0,P175&lt;&gt;0),(P175-(P175/P199))+Q173,
IF(P199&lt;1,0,(P175-(P175/P199))))))</f>
        <v>0</v>
      </c>
      <c r="R175" s="1423">
        <f t="shared" ref="R175" ca="1" si="205">IF(AND(R173=0,Q175=0),0,
IF(AND(R173&lt;&gt;0,Q175=0),R173,
IF(AND(R174&lt;&gt;0,Q175&lt;&gt;0),(Q175-(Q175/Q199))+R173,
IF(Q199&lt;1,0,(Q175-(Q175/Q199))))))</f>
        <v>0</v>
      </c>
      <c r="S175" s="1423">
        <f t="shared" ref="S175" ca="1" si="206">IF(AND(S173=0,R175=0),0,
IF(AND(S173&lt;&gt;0,R175=0),S173,
IF(AND(S174&lt;&gt;0,R175&lt;&gt;0),(R175-(R175/R199))+S173,
IF(R199&lt;1,0,(R175-(R175/R199))))))</f>
        <v>0</v>
      </c>
      <c r="T175" s="1423">
        <f t="shared" ref="T175" ca="1" si="207">IF(AND(T173=0,S175=0),0,
IF(AND(T173&lt;&gt;0,S175=0),T173,
IF(AND(T174&lt;&gt;0,S175&lt;&gt;0),(S175-(S175/S199))+T173,
IF(S199&lt;1,0,(S175-(S175/S199))))))</f>
        <v>0</v>
      </c>
      <c r="U175" s="1423">
        <f t="shared" ref="U175" ca="1" si="208">IF(AND(U173=0,T175=0),0,
IF(AND(U173&lt;&gt;0,T175=0),U173,
IF(AND(U174&lt;&gt;0,T175&lt;&gt;0),(T175-(T175/T199))+U173,
IF(T199&lt;1,0,(T175-(T175/T199))))))</f>
        <v>0</v>
      </c>
      <c r="V175" s="1423">
        <f t="shared" ref="V175" ca="1" si="209">IF(AND(V173=0,U175=0),0,
IF(AND(V173&lt;&gt;0,U175=0),V173,
IF(AND(V174&lt;&gt;0,U175&lt;&gt;0),(U175-(U175/U199))+V173,
IF(U199&lt;1,0,(U175-(U175/U199))))))</f>
        <v>0</v>
      </c>
      <c r="W175" s="1423">
        <f t="shared" ref="W175" ca="1" si="210">IF(AND(W173=0,V175=0),0,
IF(AND(W173&lt;&gt;0,V175=0),W173,
IF(AND(W174&lt;&gt;0,V175&lt;&gt;0),(V175-(V175/V199))+W173,
IF(V199&lt;1,0,(V175-(V175/V199))))))</f>
        <v>0</v>
      </c>
      <c r="X175" s="152"/>
      <c r="Y175" s="152"/>
      <c r="Z175" s="152"/>
      <c r="AA175" s="152"/>
      <c r="AB175" s="152"/>
    </row>
    <row r="176" spans="1:28" hidden="1" outlineLevel="1">
      <c r="A176" s="199">
        <f>A175+1</f>
        <v>0</v>
      </c>
      <c r="B176" s="190" t="s">
        <v>527</v>
      </c>
      <c r="C176" s="1423">
        <f ca="1">C171</f>
        <v>1.3970380345021669</v>
      </c>
      <c r="D176" s="1423">
        <f ca="1">IF(C200="n/a",C176,IFERROR(IF((OFFSET($C176,0,$A176))&lt;0,
MIN(0,C176-(OFFSET($C176,0,$A176)/(OFFSET($C171,-$A175,$A176)))),
MAX(0,C176-(OFFSET($C176,0,$A176)/(OFFSET($C171,-$A175,$A176))))),0))</f>
        <v>1.2315501572387544</v>
      </c>
      <c r="E176" s="1423">
        <f t="shared" ref="E176" ca="1" si="211">IF(D200="n/a",D176,IFERROR(IF((OFFSET($C176,0,$A176))&lt;0,
MIN(0,D176-(OFFSET($C176,0,$A176)/(OFFSET($C171,-$A175,$A176)))),
MAX(0,D176-(OFFSET($C176,0,$A176)/(OFFSET($C171,-$A175,$A176))))),0))</f>
        <v>1.0660622799753419</v>
      </c>
      <c r="F176" s="1423">
        <f t="shared" ref="F176:F177" ca="1" si="212">IF(E200="n/a",E176,IFERROR(IF((OFFSET($C176,0,$A176))&lt;0,
MIN(0,E176-(OFFSET($C176,0,$A176)/(OFFSET($C171,-$A175,$A176)))),
MAX(0,E176-(OFFSET($C176,0,$A176)/(OFFSET($C171,-$A175,$A176))))),0))</f>
        <v>0.90057440271192934</v>
      </c>
      <c r="G176" s="1423">
        <f t="shared" ref="G176:G178" ca="1" si="213">IF(F200="n/a",F176,IFERROR(IF((OFFSET($C176,0,$A176))&lt;0,
MIN(0,F176-(OFFSET($C176,0,$A176)/(OFFSET($C171,-$A175,$A176)))),
MAX(0,F176-(OFFSET($C176,0,$A176)/(OFFSET($C171,-$A175,$A176))))),0))</f>
        <v>0.73508652544851683</v>
      </c>
      <c r="H176" s="1423">
        <f t="shared" ref="H176:H179" ca="1" si="214">IF(G200="n/a",G176,IFERROR(IF((OFFSET($C176,0,$A176))&lt;0,
MIN(0,G176-(OFFSET($C176,0,$A176)/(OFFSET($C171,-$A175,$A176)))),
MAX(0,G176-(OFFSET($C176,0,$A176)/(OFFSET($C171,-$A175,$A176))))),0))</f>
        <v>0.56959864818510431</v>
      </c>
      <c r="I176" s="1423">
        <f t="shared" ref="I176:I180" ca="1" si="215">IF(H200="n/a",H176,IFERROR(IF((OFFSET($C176,0,$A176))&lt;0,
MIN(0,H176-(OFFSET($C176,0,$A176)/(OFFSET($C171,-$A175,$A176)))),
MAX(0,H176-(OFFSET($C176,0,$A176)/(OFFSET($C171,-$A175,$A176))))),0))</f>
        <v>0.40411077092169179</v>
      </c>
      <c r="J176" s="1423">
        <f t="shared" ref="J176:J181" ca="1" si="216">IF(I200="n/a",I176,IFERROR(IF((OFFSET($C176,0,$A176))&lt;0,
MIN(0,I176-(OFFSET($C176,0,$A176)/(OFFSET($C171,-$A175,$A176)))),
MAX(0,I176-(OFFSET($C176,0,$A176)/(OFFSET($C171,-$A175,$A176))))),0))</f>
        <v>0.23862289365827929</v>
      </c>
      <c r="K176" s="1423">
        <f t="shared" ref="K176:K182" ca="1" si="217">IF(J200="n/a",J176,IFERROR(IF((OFFSET($C176,0,$A176))&lt;0,
MIN(0,J176-(OFFSET($C176,0,$A176)/(OFFSET($C171,-$A175,$A176)))),
MAX(0,J176-(OFFSET($C176,0,$A176)/(OFFSET($C171,-$A175,$A176))))),0))</f>
        <v>7.3135016394866803E-2</v>
      </c>
      <c r="L176" s="1423">
        <f t="shared" ref="L176:L183" ca="1" si="218">IF(K200="n/a",K176,IFERROR(IF((OFFSET($C176,0,$A176))&lt;0,
MIN(0,K176-(OFFSET($C176,0,$A176)/(OFFSET($C171,-$A175,$A176)))),
MAX(0,K176-(OFFSET($C176,0,$A176)/(OFFSET($C171,-$A175,$A176))))),0))</f>
        <v>0</v>
      </c>
      <c r="M176" s="1423">
        <f t="shared" ref="M176:M184" ca="1" si="219">IF(L200="n/a",L176,IFERROR(IF((OFFSET($C176,0,$A176))&lt;0,
MIN(0,L176-(OFFSET($C176,0,$A176)/(OFFSET($C171,-$A175,$A176)))),
MAX(0,L176-(OFFSET($C176,0,$A176)/(OFFSET($C171,-$A175,$A176))))),0))</f>
        <v>0</v>
      </c>
      <c r="N176" s="1423">
        <f t="shared" ref="N176:N185" ca="1" si="220">IF(M200="n/a",M176,IFERROR(IF((OFFSET($C176,0,$A176))&lt;0,
MIN(0,M176-(OFFSET($C176,0,$A176)/(OFFSET($C171,-$A175,$A176)))),
MAX(0,M176-(OFFSET($C176,0,$A176)/(OFFSET($C171,-$A175,$A176))))),0))</f>
        <v>0</v>
      </c>
      <c r="O176" s="1423">
        <f t="shared" ref="O176:O186" ca="1" si="221">IF(N200="n/a",N176,IFERROR(IF((OFFSET($C176,0,$A176))&lt;0,
MIN(0,N176-(OFFSET($C176,0,$A176)/(OFFSET($C171,-$A175,$A176)))),
MAX(0,N176-(OFFSET($C176,0,$A176)/(OFFSET($C171,-$A175,$A176))))),0))</f>
        <v>0</v>
      </c>
      <c r="P176" s="1423">
        <f t="shared" ref="P176:P187" ca="1" si="222">IF(O200="n/a",O176,IFERROR(IF((OFFSET($C176,0,$A176))&lt;0,
MIN(0,O176-(OFFSET($C176,0,$A176)/(OFFSET($C171,-$A175,$A176)))),
MAX(0,O176-(OFFSET($C176,0,$A176)/(OFFSET($C171,-$A175,$A176))))),0))</f>
        <v>0</v>
      </c>
      <c r="Q176" s="1423">
        <f t="shared" ref="Q176:Q188" ca="1" si="223">IF(P200="n/a",P176,IFERROR(IF((OFFSET($C176,0,$A176))&lt;0,
MIN(0,P176-(OFFSET($C176,0,$A176)/(OFFSET($C171,-$A175,$A176)))),
MAX(0,P176-(OFFSET($C176,0,$A176)/(OFFSET($C171,-$A175,$A176))))),0))</f>
        <v>0</v>
      </c>
      <c r="R176" s="1423">
        <f t="shared" ref="R176:R189" ca="1" si="224">IF(Q200="n/a",Q176,IFERROR(IF((OFFSET($C176,0,$A176))&lt;0,
MIN(0,Q176-(OFFSET($C176,0,$A176)/(OFFSET($C171,-$A175,$A176)))),
MAX(0,Q176-(OFFSET($C176,0,$A176)/(OFFSET($C171,-$A175,$A176))))),0))</f>
        <v>0</v>
      </c>
      <c r="S176" s="1423">
        <f t="shared" ref="S176:S190" ca="1" si="225">IF(R200="n/a",R176,IFERROR(IF((OFFSET($C176,0,$A176))&lt;0,
MIN(0,R176-(OFFSET($C176,0,$A176)/(OFFSET($C171,-$A175,$A176)))),
MAX(0,R176-(OFFSET($C176,0,$A176)/(OFFSET($C171,-$A175,$A176))))),0))</f>
        <v>0</v>
      </c>
      <c r="T176" s="1423">
        <f t="shared" ref="T176:T191" ca="1" si="226">IF(S200="n/a",S176,IFERROR(IF((OFFSET($C176,0,$A176))&lt;0,
MIN(0,S176-(OFFSET($C176,0,$A176)/(OFFSET($C171,-$A175,$A176)))),
MAX(0,S176-(OFFSET($C176,0,$A176)/(OFFSET($C171,-$A175,$A176))))),0))</f>
        <v>0</v>
      </c>
      <c r="U176" s="1423">
        <f t="shared" ref="U176:U192" ca="1" si="227">IF(T200="n/a",T176,IFERROR(IF((OFFSET($C176,0,$A176))&lt;0,
MIN(0,T176-(OFFSET($C176,0,$A176)/(OFFSET($C171,-$A175,$A176)))),
MAX(0,T176-(OFFSET($C176,0,$A176)/(OFFSET($C171,-$A175,$A176))))),0))</f>
        <v>0</v>
      </c>
      <c r="V176" s="1423">
        <f t="shared" ref="V176:V193" ca="1" si="228">IF(U200="n/a",U176,IFERROR(IF((OFFSET($C176,0,$A176))&lt;0,
MIN(0,U176-(OFFSET($C176,0,$A176)/(OFFSET($C171,-$A175,$A176)))),
MAX(0,U176-(OFFSET($C176,0,$A176)/(OFFSET($C171,-$A175,$A176))))),0))</f>
        <v>0</v>
      </c>
      <c r="W176" s="1423">
        <f t="shared" ref="W176:W194" ca="1" si="229">IF(V200="n/a",V176,IFERROR(IF((OFFSET($C176,0,$A176))&lt;0,
MIN(0,V176-(OFFSET($C176,0,$A176)/(OFFSET($C171,-$A175,$A176)))),
MAX(0,V176-(OFFSET($C176,0,$A176)/(OFFSET($C171,-$A175,$A176))))),0))</f>
        <v>0</v>
      </c>
      <c r="X176" s="152"/>
      <c r="Y176" s="152"/>
      <c r="Z176" s="152"/>
      <c r="AA176" s="152"/>
      <c r="AB176" s="152"/>
    </row>
    <row r="177" spans="1:28" hidden="1" outlineLevel="1">
      <c r="A177" s="199">
        <f t="shared" ref="A177:A196" si="230">A176+1</f>
        <v>1</v>
      </c>
      <c r="B177" s="190" t="str">
        <f t="shared" ref="B177:B196" ca="1" si="231">"Depreciated Net Capex "&amp;OFFSET($C$6,0,A177)</f>
        <v>Depreciated Net Capex 2016-17</v>
      </c>
      <c r="C177" s="1424"/>
      <c r="D177" s="1425">
        <f>D171</f>
        <v>0.39043238351205295</v>
      </c>
      <c r="E177" s="1423">
        <f ca="1">IF(D201="n/a",D177,IFERROR(IF((OFFSET($C177,0,$A177))&lt;0,
MIN(0,D177-(OFFSET($C177,0,$A177)/(OFFSET($C172,-$A176,$A177)))),
MAX(0,D177-(OFFSET($C177,0,$A177)/(OFFSET($C172,-$A176,$A177))))),0))</f>
        <v>0.35138914516084763</v>
      </c>
      <c r="F177" s="1423">
        <f t="shared" ca="1" si="212"/>
        <v>0.31234590680964236</v>
      </c>
      <c r="G177" s="1423">
        <f t="shared" ca="1" si="213"/>
        <v>0.27330266845843709</v>
      </c>
      <c r="H177" s="1423">
        <f t="shared" ca="1" si="214"/>
        <v>0.2342594301072318</v>
      </c>
      <c r="I177" s="1423">
        <f t="shared" ca="1" si="215"/>
        <v>0.1952161917560265</v>
      </c>
      <c r="J177" s="1423">
        <f t="shared" ca="1" si="216"/>
        <v>0.15617295340482121</v>
      </c>
      <c r="K177" s="1423">
        <f t="shared" ca="1" si="217"/>
        <v>0.11712971505361591</v>
      </c>
      <c r="L177" s="1423">
        <f t="shared" ca="1" si="218"/>
        <v>7.8086476702410618E-2</v>
      </c>
      <c r="M177" s="1423">
        <f t="shared" ca="1" si="219"/>
        <v>3.9043238351205323E-2</v>
      </c>
      <c r="N177" s="1423">
        <f t="shared" ca="1" si="220"/>
        <v>2.7755575615628914E-17</v>
      </c>
      <c r="O177" s="1423">
        <f t="shared" ca="1" si="221"/>
        <v>0</v>
      </c>
      <c r="P177" s="1423">
        <f t="shared" ca="1" si="222"/>
        <v>0</v>
      </c>
      <c r="Q177" s="1423">
        <f t="shared" ca="1" si="223"/>
        <v>0</v>
      </c>
      <c r="R177" s="1423">
        <f t="shared" ca="1" si="224"/>
        <v>0</v>
      </c>
      <c r="S177" s="1423">
        <f t="shared" ca="1" si="225"/>
        <v>0</v>
      </c>
      <c r="T177" s="1423">
        <f t="shared" ca="1" si="226"/>
        <v>0</v>
      </c>
      <c r="U177" s="1423">
        <f t="shared" ca="1" si="227"/>
        <v>0</v>
      </c>
      <c r="V177" s="1423">
        <f t="shared" ca="1" si="228"/>
        <v>0</v>
      </c>
      <c r="W177" s="1423">
        <f t="shared" ca="1" si="229"/>
        <v>0</v>
      </c>
      <c r="X177" s="152"/>
      <c r="Y177" s="152"/>
      <c r="Z177" s="152"/>
      <c r="AA177" s="152"/>
      <c r="AB177" s="152"/>
    </row>
    <row r="178" spans="1:28" hidden="1" outlineLevel="1">
      <c r="A178" s="199">
        <f t="shared" si="230"/>
        <v>2</v>
      </c>
      <c r="B178" s="190" t="str">
        <f t="shared" ca="1" si="231"/>
        <v>Depreciated Net Capex 2017-18</v>
      </c>
      <c r="C178" s="1426"/>
      <c r="D178" s="1427"/>
      <c r="E178" s="1425">
        <f>E171</f>
        <v>0.17168301791136867</v>
      </c>
      <c r="F178" s="1423">
        <f ca="1">IF(E202="n/a",E178,IFERROR(IF((OFFSET($C178,0,$A178))&lt;0,
MIN(0,E178-(OFFSET($C178,0,$A178)/(OFFSET($C173,-$A177,$A178)))),
MAX(0,E178-(OFFSET($C178,0,$A178)/(OFFSET($C173,-$A177,$A178))))),0))</f>
        <v>0.15451471612023179</v>
      </c>
      <c r="G178" s="1423">
        <f t="shared" ca="1" si="213"/>
        <v>0.13734641432909492</v>
      </c>
      <c r="H178" s="1423">
        <f t="shared" ca="1" si="214"/>
        <v>0.12017811253795804</v>
      </c>
      <c r="I178" s="1423">
        <f t="shared" ca="1" si="215"/>
        <v>0.10300981074682117</v>
      </c>
      <c r="J178" s="1423">
        <f t="shared" ca="1" si="216"/>
        <v>8.5841508955684293E-2</v>
      </c>
      <c r="K178" s="1423">
        <f t="shared" ca="1" si="217"/>
        <v>6.8673207164547417E-2</v>
      </c>
      <c r="L178" s="1423">
        <f t="shared" ca="1" si="218"/>
        <v>5.1504905373410549E-2</v>
      </c>
      <c r="M178" s="1423">
        <f t="shared" ca="1" si="219"/>
        <v>3.4336603582273681E-2</v>
      </c>
      <c r="N178" s="1423">
        <f t="shared" ca="1" si="220"/>
        <v>1.7168301791136813E-2</v>
      </c>
      <c r="O178" s="1423">
        <f t="shared" ca="1" si="221"/>
        <v>0</v>
      </c>
      <c r="P178" s="1423">
        <f t="shared" ca="1" si="222"/>
        <v>0</v>
      </c>
      <c r="Q178" s="1423">
        <f t="shared" ca="1" si="223"/>
        <v>0</v>
      </c>
      <c r="R178" s="1423">
        <f t="shared" ca="1" si="224"/>
        <v>0</v>
      </c>
      <c r="S178" s="1423">
        <f t="shared" ca="1" si="225"/>
        <v>0</v>
      </c>
      <c r="T178" s="1423">
        <f t="shared" ca="1" si="226"/>
        <v>0</v>
      </c>
      <c r="U178" s="1423">
        <f t="shared" ca="1" si="227"/>
        <v>0</v>
      </c>
      <c r="V178" s="1423">
        <f t="shared" ca="1" si="228"/>
        <v>0</v>
      </c>
      <c r="W178" s="1423">
        <f t="shared" ca="1" si="229"/>
        <v>0</v>
      </c>
      <c r="X178" s="202"/>
      <c r="Y178" s="152"/>
      <c r="Z178" s="152"/>
      <c r="AA178" s="152"/>
      <c r="AB178" s="152"/>
    </row>
    <row r="179" spans="1:28" hidden="1" outlineLevel="1">
      <c r="A179" s="199">
        <f t="shared" si="230"/>
        <v>3</v>
      </c>
      <c r="B179" s="190" t="str">
        <f t="shared" ca="1" si="231"/>
        <v>Depreciated Net Capex 2018-19</v>
      </c>
      <c r="C179" s="1426"/>
      <c r="D179" s="1426"/>
      <c r="E179" s="1427"/>
      <c r="F179" s="1428">
        <f>F171</f>
        <v>4.9379414650181835E-2</v>
      </c>
      <c r="G179" s="1423">
        <f ca="1">IF(F203="n/a",F179,IFERROR(IF((OFFSET($C179,0,$A179))&lt;0,
MIN(0,F179-(OFFSET($C179,0,$A179)/(OFFSET($C174,-$A178,$A179)))),
MAX(0,F179-(OFFSET($C179,0,$A179)/(OFFSET($C174,-$A178,$A179))))),0))</f>
        <v>4.444147318516365E-2</v>
      </c>
      <c r="H179" s="1423">
        <f t="shared" ca="1" si="214"/>
        <v>3.9503531720145466E-2</v>
      </c>
      <c r="I179" s="1423">
        <f t="shared" ca="1" si="215"/>
        <v>3.4565590255127281E-2</v>
      </c>
      <c r="J179" s="1423">
        <f t="shared" ca="1" si="216"/>
        <v>2.9627648790109096E-2</v>
      </c>
      <c r="K179" s="1423">
        <f t="shared" ca="1" si="217"/>
        <v>2.4689707325090911E-2</v>
      </c>
      <c r="L179" s="1423">
        <f t="shared" ca="1" si="218"/>
        <v>1.9751765860072726E-2</v>
      </c>
      <c r="M179" s="1423">
        <f t="shared" ca="1" si="219"/>
        <v>1.4813824395054543E-2</v>
      </c>
      <c r="N179" s="1423">
        <f t="shared" ca="1" si="220"/>
        <v>9.8758829300363594E-3</v>
      </c>
      <c r="O179" s="1423">
        <f t="shared" ca="1" si="221"/>
        <v>4.9379414650181763E-3</v>
      </c>
      <c r="P179" s="1423">
        <f t="shared" ca="1" si="222"/>
        <v>0</v>
      </c>
      <c r="Q179" s="1423">
        <f t="shared" ca="1" si="223"/>
        <v>0</v>
      </c>
      <c r="R179" s="1423">
        <f t="shared" ca="1" si="224"/>
        <v>0</v>
      </c>
      <c r="S179" s="1423">
        <f t="shared" ca="1" si="225"/>
        <v>0</v>
      </c>
      <c r="T179" s="1423">
        <f t="shared" ca="1" si="226"/>
        <v>0</v>
      </c>
      <c r="U179" s="1423">
        <f t="shared" ca="1" si="227"/>
        <v>0</v>
      </c>
      <c r="V179" s="1423">
        <f t="shared" ca="1" si="228"/>
        <v>0</v>
      </c>
      <c r="W179" s="1423">
        <f t="shared" ca="1" si="229"/>
        <v>0</v>
      </c>
      <c r="X179" s="202"/>
      <c r="Y179" s="202"/>
      <c r="Z179" s="152"/>
      <c r="AA179" s="152"/>
      <c r="AB179" s="152"/>
    </row>
    <row r="180" spans="1:28" hidden="1" outlineLevel="1">
      <c r="A180" s="199">
        <f t="shared" si="230"/>
        <v>4</v>
      </c>
      <c r="B180" s="190" t="str">
        <f t="shared" ca="1" si="231"/>
        <v>Depreciated Net Capex 2019-20</v>
      </c>
      <c r="C180" s="1426"/>
      <c r="D180" s="1426"/>
      <c r="E180" s="1426"/>
      <c r="F180" s="1427"/>
      <c r="G180" s="1428">
        <f>G171</f>
        <v>0.10525956871572739</v>
      </c>
      <c r="H180" s="1423">
        <f ca="1">IF(G204="n/a",G180,IFERROR(IF((OFFSET($C180,0,$A180))&lt;0,
MIN(0,G180-(OFFSET($C180,0,$A180)/(OFFSET($C175,-$A179,$A180)))),
MAX(0,G180-(OFFSET($C180,0,$A180)/(OFFSET($C175,-$A179,$A180))))),0))</f>
        <v>9.4733611844154658E-2</v>
      </c>
      <c r="I180" s="1423">
        <f t="shared" ca="1" si="215"/>
        <v>8.4207654972581925E-2</v>
      </c>
      <c r="J180" s="1423">
        <f t="shared" ca="1" si="216"/>
        <v>7.3681698101009191E-2</v>
      </c>
      <c r="K180" s="1423">
        <f t="shared" ca="1" si="217"/>
        <v>6.3155741229436457E-2</v>
      </c>
      <c r="L180" s="1423">
        <f t="shared" ca="1" si="218"/>
        <v>5.2629784357863717E-2</v>
      </c>
      <c r="M180" s="1423">
        <f t="shared" ca="1" si="219"/>
        <v>4.2103827486290976E-2</v>
      </c>
      <c r="N180" s="1423">
        <f t="shared" ca="1" si="220"/>
        <v>3.1577870614718236E-2</v>
      </c>
      <c r="O180" s="1423">
        <f t="shared" ca="1" si="221"/>
        <v>2.1051913743145495E-2</v>
      </c>
      <c r="P180" s="1423">
        <f t="shared" ca="1" si="222"/>
        <v>1.0525956871572756E-2</v>
      </c>
      <c r="Q180" s="1423">
        <f t="shared" ca="1" si="223"/>
        <v>1.7347234759768071E-17</v>
      </c>
      <c r="R180" s="1423">
        <f t="shared" ca="1" si="224"/>
        <v>0</v>
      </c>
      <c r="S180" s="1423">
        <f t="shared" ca="1" si="225"/>
        <v>0</v>
      </c>
      <c r="T180" s="1423">
        <f t="shared" ca="1" si="226"/>
        <v>0</v>
      </c>
      <c r="U180" s="1423">
        <f t="shared" ca="1" si="227"/>
        <v>0</v>
      </c>
      <c r="V180" s="1423">
        <f t="shared" ca="1" si="228"/>
        <v>0</v>
      </c>
      <c r="W180" s="1423">
        <f t="shared" ca="1" si="229"/>
        <v>0</v>
      </c>
      <c r="X180" s="202"/>
      <c r="Y180" s="202"/>
      <c r="Z180" s="202"/>
      <c r="AA180" s="152"/>
      <c r="AB180" s="152"/>
    </row>
    <row r="181" spans="1:28" hidden="1" outlineLevel="1">
      <c r="A181" s="199">
        <f t="shared" si="230"/>
        <v>5</v>
      </c>
      <c r="B181" s="190" t="str">
        <f t="shared" ca="1" si="231"/>
        <v>Depreciated Net Capex 2020-21</v>
      </c>
      <c r="C181" s="1426"/>
      <c r="D181" s="1426"/>
      <c r="E181" s="1426"/>
      <c r="F181" s="1426"/>
      <c r="G181" s="1427"/>
      <c r="H181" s="1428">
        <f>H171</f>
        <v>6.5246932787471734E-2</v>
      </c>
      <c r="I181" s="1423">
        <f ca="1">IF(H205="n/a",H181,IFERROR(IF((OFFSET($C181,0,$A181))&lt;0,
MIN(0,H181-(OFFSET($C181,0,$A181)/(OFFSET($C176,-$A180,$A181)))),
MAX(0,H181-(OFFSET($C181,0,$A181)/(OFFSET($C176,-$A180,$A181))))),0))</f>
        <v>5.8722239508724558E-2</v>
      </c>
      <c r="J181" s="1423">
        <f t="shared" ca="1" si="216"/>
        <v>5.2197546229977382E-2</v>
      </c>
      <c r="K181" s="1423">
        <f t="shared" ca="1" si="217"/>
        <v>4.5672852951230206E-2</v>
      </c>
      <c r="L181" s="1423">
        <f t="shared" ca="1" si="218"/>
        <v>3.9148159672483029E-2</v>
      </c>
      <c r="M181" s="1423">
        <f t="shared" ca="1" si="219"/>
        <v>3.2623466393735853E-2</v>
      </c>
      <c r="N181" s="1423">
        <f t="shared" ca="1" si="220"/>
        <v>2.609877311498868E-2</v>
      </c>
      <c r="O181" s="1423">
        <f t="shared" ca="1" si="221"/>
        <v>1.9574079836241508E-2</v>
      </c>
      <c r="P181" s="1423">
        <f t="shared" ca="1" si="222"/>
        <v>1.3049386557494335E-2</v>
      </c>
      <c r="Q181" s="1423">
        <f t="shared" ca="1" si="223"/>
        <v>6.5246932787471614E-3</v>
      </c>
      <c r="R181" s="1423">
        <f t="shared" ca="1" si="224"/>
        <v>0</v>
      </c>
      <c r="S181" s="1423">
        <f t="shared" ca="1" si="225"/>
        <v>0</v>
      </c>
      <c r="T181" s="1423">
        <f t="shared" ca="1" si="226"/>
        <v>0</v>
      </c>
      <c r="U181" s="1423">
        <f t="shared" ca="1" si="227"/>
        <v>0</v>
      </c>
      <c r="V181" s="1423">
        <f t="shared" ca="1" si="228"/>
        <v>0</v>
      </c>
      <c r="W181" s="1423">
        <f t="shared" ca="1" si="229"/>
        <v>0</v>
      </c>
      <c r="X181" s="202"/>
      <c r="Y181" s="202"/>
      <c r="Z181" s="202"/>
      <c r="AA181" s="152"/>
      <c r="AB181" s="152"/>
    </row>
    <row r="182" spans="1:28" hidden="1" outlineLevel="1">
      <c r="A182" s="199">
        <f t="shared" si="230"/>
        <v>6</v>
      </c>
      <c r="B182" s="190" t="str">
        <f t="shared" ca="1" si="231"/>
        <v>Depreciated Net Capex 2021-22</v>
      </c>
      <c r="C182" s="1426"/>
      <c r="D182" s="1426"/>
      <c r="E182" s="1426"/>
      <c r="F182" s="1426"/>
      <c r="G182" s="1426"/>
      <c r="H182" s="1427"/>
      <c r="I182" s="1428">
        <f>I171</f>
        <v>6.0220129696026775E-2</v>
      </c>
      <c r="J182" s="1423">
        <f ca="1">IF(I206="n/a",I182,IFERROR(IF((OFFSET($C182,0,$A182))&lt;0,
MIN(0,I182-(OFFSET($C182,0,$A182)/(OFFSET($C177,-$A181,$A182)))),
MAX(0,I182-(OFFSET($C182,0,$A182)/(OFFSET($C177,-$A181,$A182))))),0))</f>
        <v>5.4198116726424099E-2</v>
      </c>
      <c r="K182" s="1423">
        <f t="shared" ca="1" si="217"/>
        <v>4.8176103756821423E-2</v>
      </c>
      <c r="L182" s="1423">
        <f t="shared" ca="1" si="218"/>
        <v>4.2154090787218747E-2</v>
      </c>
      <c r="M182" s="1423">
        <f t="shared" ca="1" si="219"/>
        <v>3.6132077817616071E-2</v>
      </c>
      <c r="N182" s="1423">
        <f t="shared" ca="1" si="220"/>
        <v>3.0110064848013395E-2</v>
      </c>
      <c r="O182" s="1423">
        <f t="shared" ca="1" si="221"/>
        <v>2.4088051878410718E-2</v>
      </c>
      <c r="P182" s="1423">
        <f t="shared" ca="1" si="222"/>
        <v>1.8066038908808042E-2</v>
      </c>
      <c r="Q182" s="1423">
        <f t="shared" ca="1" si="223"/>
        <v>1.2044025939205364E-2</v>
      </c>
      <c r="R182" s="1423">
        <f t="shared" ca="1" si="224"/>
        <v>6.0220129696026865E-3</v>
      </c>
      <c r="S182" s="1423">
        <f t="shared" ca="1" si="225"/>
        <v>8.6736173798840355E-18</v>
      </c>
      <c r="T182" s="1423">
        <f t="shared" ca="1" si="226"/>
        <v>0</v>
      </c>
      <c r="U182" s="1423">
        <f t="shared" ca="1" si="227"/>
        <v>0</v>
      </c>
      <c r="V182" s="1423">
        <f t="shared" ca="1" si="228"/>
        <v>0</v>
      </c>
      <c r="W182" s="1423">
        <f t="shared" ca="1" si="229"/>
        <v>0</v>
      </c>
      <c r="X182" s="202"/>
      <c r="Y182" s="202"/>
      <c r="Z182" s="202"/>
      <c r="AA182" s="152"/>
      <c r="AB182" s="152"/>
    </row>
    <row r="183" spans="1:28" hidden="1" outlineLevel="1">
      <c r="A183" s="199">
        <f t="shared" si="230"/>
        <v>7</v>
      </c>
      <c r="B183" s="190" t="str">
        <f t="shared" ca="1" si="231"/>
        <v>Depreciated Net Capex 2022-23</v>
      </c>
      <c r="C183" s="1426"/>
      <c r="D183" s="1426"/>
      <c r="E183" s="1426"/>
      <c r="F183" s="1426"/>
      <c r="G183" s="1426"/>
      <c r="H183" s="1426"/>
      <c r="I183" s="1427"/>
      <c r="J183" s="1428">
        <f>J171</f>
        <v>3.7784634626060895E-2</v>
      </c>
      <c r="K183" s="1423">
        <f ca="1">IF(J207="n/a",J183,IFERROR(IF((OFFSET($C183,0,$A183))&lt;0,
MIN(0,J183-(OFFSET($C183,0,$A183)/(OFFSET($C178,-$A182,$A183)))),
MAX(0,J183-(OFFSET($C183,0,$A183)/(OFFSET($C178,-$A182,$A183))))),0))</f>
        <v>3.4006171163454807E-2</v>
      </c>
      <c r="L183" s="1423">
        <f t="shared" ca="1" si="218"/>
        <v>3.0227707700848719E-2</v>
      </c>
      <c r="M183" s="1423">
        <f t="shared" ca="1" si="219"/>
        <v>2.6449244238242631E-2</v>
      </c>
      <c r="N183" s="1423">
        <f t="shared" ca="1" si="220"/>
        <v>2.2670780775636543E-2</v>
      </c>
      <c r="O183" s="1423">
        <f t="shared" ca="1" si="221"/>
        <v>1.8892317313030454E-2</v>
      </c>
      <c r="P183" s="1423">
        <f t="shared" ca="1" si="222"/>
        <v>1.5113853850424365E-2</v>
      </c>
      <c r="Q183" s="1423">
        <f t="shared" ca="1" si="223"/>
        <v>1.1335390387818275E-2</v>
      </c>
      <c r="R183" s="1423">
        <f t="shared" ca="1" si="224"/>
        <v>7.5569269252121849E-3</v>
      </c>
      <c r="S183" s="1423">
        <f t="shared" ca="1" si="225"/>
        <v>3.7784634626060955E-3</v>
      </c>
      <c r="T183" s="1423">
        <f t="shared" ca="1" si="226"/>
        <v>6.0715321659188248E-18</v>
      </c>
      <c r="U183" s="1423">
        <f t="shared" ca="1" si="227"/>
        <v>0</v>
      </c>
      <c r="V183" s="1423">
        <f t="shared" ca="1" si="228"/>
        <v>0</v>
      </c>
      <c r="W183" s="1423">
        <f t="shared" ca="1" si="229"/>
        <v>0</v>
      </c>
      <c r="X183" s="202"/>
      <c r="Y183" s="202"/>
      <c r="Z183" s="202"/>
      <c r="AA183" s="152"/>
      <c r="AB183" s="152"/>
    </row>
    <row r="184" spans="1:28" hidden="1" outlineLevel="1">
      <c r="A184" s="199">
        <f t="shared" si="230"/>
        <v>8</v>
      </c>
      <c r="B184" s="190" t="str">
        <f t="shared" ca="1" si="231"/>
        <v>Depreciated Net Capex 2023-24</v>
      </c>
      <c r="C184" s="1426"/>
      <c r="D184" s="1426"/>
      <c r="E184" s="1426"/>
      <c r="F184" s="1426"/>
      <c r="G184" s="1426"/>
      <c r="H184" s="1426"/>
      <c r="I184" s="1426"/>
      <c r="J184" s="1427"/>
      <c r="K184" s="1428">
        <f>K171</f>
        <v>0</v>
      </c>
      <c r="L184" s="1423">
        <f ca="1">IF(K208="n/a",K184,IFERROR(IF((OFFSET($C184,0,$A184))&lt;0,
MIN(0,K184-(OFFSET($C184,0,$A184)/(OFFSET($C179,-$A183,$A184)))),
MAX(0,K184-(OFFSET($C184,0,$A184)/(OFFSET($C179,-$A183,$A184))))),0))</f>
        <v>0</v>
      </c>
      <c r="M184" s="1423">
        <f t="shared" ca="1" si="219"/>
        <v>0</v>
      </c>
      <c r="N184" s="1423">
        <f t="shared" ca="1" si="220"/>
        <v>0</v>
      </c>
      <c r="O184" s="1423">
        <f t="shared" ca="1" si="221"/>
        <v>0</v>
      </c>
      <c r="P184" s="1423">
        <f t="shared" ca="1" si="222"/>
        <v>0</v>
      </c>
      <c r="Q184" s="1423">
        <f t="shared" ca="1" si="223"/>
        <v>0</v>
      </c>
      <c r="R184" s="1423">
        <f t="shared" ca="1" si="224"/>
        <v>0</v>
      </c>
      <c r="S184" s="1423">
        <f t="shared" ca="1" si="225"/>
        <v>0</v>
      </c>
      <c r="T184" s="1423">
        <f t="shared" ca="1" si="226"/>
        <v>0</v>
      </c>
      <c r="U184" s="1423">
        <f t="shared" ca="1" si="227"/>
        <v>0</v>
      </c>
      <c r="V184" s="1423">
        <f t="shared" ca="1" si="228"/>
        <v>0</v>
      </c>
      <c r="W184" s="1423">
        <f t="shared" ca="1" si="229"/>
        <v>0</v>
      </c>
      <c r="X184" s="202"/>
      <c r="Y184" s="202"/>
      <c r="Z184" s="202"/>
      <c r="AA184" s="152"/>
      <c r="AB184" s="152"/>
    </row>
    <row r="185" spans="1:28" hidden="1" outlineLevel="1">
      <c r="A185" s="199">
        <f t="shared" si="230"/>
        <v>9</v>
      </c>
      <c r="B185" s="190" t="str">
        <f t="shared" ca="1" si="231"/>
        <v>Depreciated Net Capex 2024-25</v>
      </c>
      <c r="C185" s="1426"/>
      <c r="D185" s="1426"/>
      <c r="E185" s="1426"/>
      <c r="F185" s="1426"/>
      <c r="G185" s="1426"/>
      <c r="H185" s="1426"/>
      <c r="I185" s="1426"/>
      <c r="J185" s="1426"/>
      <c r="K185" s="1427"/>
      <c r="L185" s="1428">
        <f>L171</f>
        <v>0</v>
      </c>
      <c r="M185" s="1423">
        <f ca="1">IF(L209="n/a",L185,IFERROR(IF((OFFSET($C185,0,$A185))&lt;0,
MIN(0,L185-(OFFSET($C185,0,$A185)/(OFFSET($C180,-$A184,$A185)))),
MAX(0,L185-(OFFSET($C185,0,$A185)/(OFFSET($C180,-$A184,$A185))))),0))</f>
        <v>0</v>
      </c>
      <c r="N185" s="1423">
        <f t="shared" ca="1" si="220"/>
        <v>0</v>
      </c>
      <c r="O185" s="1423">
        <f t="shared" ca="1" si="221"/>
        <v>0</v>
      </c>
      <c r="P185" s="1423">
        <f t="shared" ca="1" si="222"/>
        <v>0</v>
      </c>
      <c r="Q185" s="1423">
        <f t="shared" ca="1" si="223"/>
        <v>0</v>
      </c>
      <c r="R185" s="1423">
        <f t="shared" ca="1" si="224"/>
        <v>0</v>
      </c>
      <c r="S185" s="1423">
        <f t="shared" ca="1" si="225"/>
        <v>0</v>
      </c>
      <c r="T185" s="1423">
        <f t="shared" ca="1" si="226"/>
        <v>0</v>
      </c>
      <c r="U185" s="1423">
        <f t="shared" ca="1" si="227"/>
        <v>0</v>
      </c>
      <c r="V185" s="1423">
        <f t="shared" ca="1" si="228"/>
        <v>0</v>
      </c>
      <c r="W185" s="1423">
        <f t="shared" ca="1" si="229"/>
        <v>0</v>
      </c>
      <c r="X185" s="202"/>
      <c r="Y185" s="202"/>
      <c r="Z185" s="202"/>
      <c r="AA185" s="152"/>
      <c r="AB185" s="152"/>
    </row>
    <row r="186" spans="1:28" hidden="1" outlineLevel="1">
      <c r="A186" s="199">
        <f t="shared" si="230"/>
        <v>10</v>
      </c>
      <c r="B186" s="190" t="str">
        <f t="shared" ca="1" si="231"/>
        <v>Depreciated Net Capex 2025-26</v>
      </c>
      <c r="C186" s="1426"/>
      <c r="D186" s="1426"/>
      <c r="E186" s="1426"/>
      <c r="F186" s="1426"/>
      <c r="G186" s="1426"/>
      <c r="H186" s="1426"/>
      <c r="I186" s="1426"/>
      <c r="J186" s="1426"/>
      <c r="K186" s="1426"/>
      <c r="L186" s="1427"/>
      <c r="M186" s="1428">
        <f>M171</f>
        <v>0</v>
      </c>
      <c r="N186" s="1423">
        <f ca="1">IF(M210="n/a",M186,IFERROR(IF((OFFSET($C186,0,$A186))&lt;0,
MIN(0,M186-(OFFSET($C186,0,$A186)/(OFFSET($C181,-$A185,$A186)))),
MAX(0,M186-(OFFSET($C186,0,$A186)/(OFFSET($C181,-$A185,$A186))))),0))</f>
        <v>0</v>
      </c>
      <c r="O186" s="1423">
        <f t="shared" ca="1" si="221"/>
        <v>0</v>
      </c>
      <c r="P186" s="1423">
        <f t="shared" ca="1" si="222"/>
        <v>0</v>
      </c>
      <c r="Q186" s="1423">
        <f t="shared" ca="1" si="223"/>
        <v>0</v>
      </c>
      <c r="R186" s="1423">
        <f t="shared" ca="1" si="224"/>
        <v>0</v>
      </c>
      <c r="S186" s="1423">
        <f t="shared" ca="1" si="225"/>
        <v>0</v>
      </c>
      <c r="T186" s="1423">
        <f t="shared" ca="1" si="226"/>
        <v>0</v>
      </c>
      <c r="U186" s="1423">
        <f t="shared" ca="1" si="227"/>
        <v>0</v>
      </c>
      <c r="V186" s="1423">
        <f t="shared" ca="1" si="228"/>
        <v>0</v>
      </c>
      <c r="W186" s="1423">
        <f t="shared" ca="1" si="229"/>
        <v>0</v>
      </c>
      <c r="X186" s="202"/>
      <c r="Y186" s="202"/>
      <c r="Z186" s="202"/>
      <c r="AA186" s="152"/>
      <c r="AB186" s="152"/>
    </row>
    <row r="187" spans="1:28" hidden="1" outlineLevel="1">
      <c r="A187" s="199">
        <f t="shared" si="230"/>
        <v>11</v>
      </c>
      <c r="B187" s="190" t="str">
        <f t="shared" ca="1" si="231"/>
        <v>Depreciated Net Capex 2026-27</v>
      </c>
      <c r="C187" s="1426"/>
      <c r="D187" s="1426"/>
      <c r="E187" s="1426"/>
      <c r="F187" s="1426"/>
      <c r="G187" s="1426"/>
      <c r="H187" s="1426"/>
      <c r="I187" s="1426"/>
      <c r="J187" s="1426"/>
      <c r="K187" s="1426"/>
      <c r="L187" s="1426"/>
      <c r="M187" s="1427"/>
      <c r="N187" s="1428">
        <f>N171</f>
        <v>0</v>
      </c>
      <c r="O187" s="1423">
        <f ca="1">IF(N211="n/a",N187,IFERROR(IF((OFFSET($C187,0,$A187))&lt;0,
MIN(0,N187-(OFFSET($C187,0,$A187)/(OFFSET($C182,-$A186,$A187)))),
MAX(0,N187-(OFFSET($C187,0,$A187)/(OFFSET($C182,-$A186,$A187))))),0))</f>
        <v>0</v>
      </c>
      <c r="P187" s="1423">
        <f t="shared" ca="1" si="222"/>
        <v>0</v>
      </c>
      <c r="Q187" s="1423">
        <f t="shared" ca="1" si="223"/>
        <v>0</v>
      </c>
      <c r="R187" s="1423">
        <f t="shared" ca="1" si="224"/>
        <v>0</v>
      </c>
      <c r="S187" s="1423">
        <f t="shared" ca="1" si="225"/>
        <v>0</v>
      </c>
      <c r="T187" s="1423">
        <f t="shared" ca="1" si="226"/>
        <v>0</v>
      </c>
      <c r="U187" s="1423">
        <f t="shared" ca="1" si="227"/>
        <v>0</v>
      </c>
      <c r="V187" s="1423">
        <f t="shared" ca="1" si="228"/>
        <v>0</v>
      </c>
      <c r="W187" s="1423">
        <f t="shared" ca="1" si="229"/>
        <v>0</v>
      </c>
      <c r="X187" s="202"/>
      <c r="Y187" s="202"/>
      <c r="Z187" s="202"/>
      <c r="AA187" s="152"/>
      <c r="AB187" s="152"/>
    </row>
    <row r="188" spans="1:28" hidden="1" outlineLevel="1">
      <c r="A188" s="199">
        <f t="shared" si="230"/>
        <v>12</v>
      </c>
      <c r="B188" s="190" t="str">
        <f t="shared" ca="1" si="231"/>
        <v>Depreciated Net Capex 2027-28</v>
      </c>
      <c r="C188" s="1426"/>
      <c r="D188" s="1426"/>
      <c r="E188" s="1426"/>
      <c r="F188" s="1426"/>
      <c r="G188" s="1426"/>
      <c r="H188" s="1426"/>
      <c r="I188" s="1426"/>
      <c r="J188" s="1426"/>
      <c r="K188" s="1426"/>
      <c r="L188" s="1426"/>
      <c r="M188" s="1426"/>
      <c r="N188" s="1427"/>
      <c r="O188" s="1428">
        <f>O171</f>
        <v>0</v>
      </c>
      <c r="P188" s="1423">
        <f ca="1">IF(O212="n/a",O188,IFERROR(IF((OFFSET($C188,0,$A188))&lt;0,
MIN(0,O188-(OFFSET($C188,0,$A188)/(OFFSET($C183,-$A187,$A188)))),
MAX(0,O188-(OFFSET($C188,0,$A188)/(OFFSET($C183,-$A187,$A188))))),0))</f>
        <v>0</v>
      </c>
      <c r="Q188" s="1423">
        <f t="shared" ca="1" si="223"/>
        <v>0</v>
      </c>
      <c r="R188" s="1423">
        <f t="shared" ca="1" si="224"/>
        <v>0</v>
      </c>
      <c r="S188" s="1423">
        <f t="shared" ca="1" si="225"/>
        <v>0</v>
      </c>
      <c r="T188" s="1423">
        <f t="shared" ca="1" si="226"/>
        <v>0</v>
      </c>
      <c r="U188" s="1423">
        <f t="shared" ca="1" si="227"/>
        <v>0</v>
      </c>
      <c r="V188" s="1423">
        <f t="shared" ca="1" si="228"/>
        <v>0</v>
      </c>
      <c r="W188" s="1423">
        <f t="shared" ca="1" si="229"/>
        <v>0</v>
      </c>
      <c r="X188" s="202"/>
      <c r="Y188" s="202"/>
      <c r="Z188" s="202"/>
      <c r="AA188" s="152"/>
      <c r="AB188" s="152"/>
    </row>
    <row r="189" spans="1:28" hidden="1" outlineLevel="1">
      <c r="A189" s="199">
        <f t="shared" si="230"/>
        <v>13</v>
      </c>
      <c r="B189" s="190" t="str">
        <f t="shared" ca="1" si="231"/>
        <v>Depreciated Net Capex 2028-29</v>
      </c>
      <c r="C189" s="1426"/>
      <c r="D189" s="1426"/>
      <c r="E189" s="1426"/>
      <c r="F189" s="1426"/>
      <c r="G189" s="1426"/>
      <c r="H189" s="1426"/>
      <c r="I189" s="1426"/>
      <c r="J189" s="1426"/>
      <c r="K189" s="1426"/>
      <c r="L189" s="1426"/>
      <c r="M189" s="1426"/>
      <c r="N189" s="1426"/>
      <c r="O189" s="1427"/>
      <c r="P189" s="1428">
        <f>P171</f>
        <v>0</v>
      </c>
      <c r="Q189" s="1423">
        <f ca="1">IF(P213="n/a",P189,IFERROR(IF((OFFSET($C189,0,$A189))&lt;0,
MIN(0,P189-(OFFSET($C189,0,$A189)/(OFFSET($C184,-$A188,$A189)))),
MAX(0,P189-(OFFSET($C189,0,$A189)/(OFFSET($C184,-$A188,$A189))))),0))</f>
        <v>0</v>
      </c>
      <c r="R189" s="1423">
        <f t="shared" ca="1" si="224"/>
        <v>0</v>
      </c>
      <c r="S189" s="1423">
        <f t="shared" ca="1" si="225"/>
        <v>0</v>
      </c>
      <c r="T189" s="1423">
        <f t="shared" ca="1" si="226"/>
        <v>0</v>
      </c>
      <c r="U189" s="1423">
        <f t="shared" ca="1" si="227"/>
        <v>0</v>
      </c>
      <c r="V189" s="1423">
        <f t="shared" ca="1" si="228"/>
        <v>0</v>
      </c>
      <c r="W189" s="1423">
        <f t="shared" ca="1" si="229"/>
        <v>0</v>
      </c>
      <c r="X189" s="202"/>
      <c r="Y189" s="202"/>
      <c r="Z189" s="202"/>
      <c r="AA189" s="152"/>
      <c r="AB189" s="152"/>
    </row>
    <row r="190" spans="1:28" hidden="1" outlineLevel="1">
      <c r="A190" s="199">
        <f t="shared" si="230"/>
        <v>14</v>
      </c>
      <c r="B190" s="190" t="str">
        <f t="shared" ca="1" si="231"/>
        <v>Depreciated Net Capex 2029-30</v>
      </c>
      <c r="C190" s="1426"/>
      <c r="D190" s="1426"/>
      <c r="E190" s="1426"/>
      <c r="F190" s="1426"/>
      <c r="G190" s="1426"/>
      <c r="H190" s="1426"/>
      <c r="I190" s="1426"/>
      <c r="J190" s="1426"/>
      <c r="K190" s="1426"/>
      <c r="L190" s="1426"/>
      <c r="M190" s="1426"/>
      <c r="N190" s="1426"/>
      <c r="O190" s="1426"/>
      <c r="P190" s="1427"/>
      <c r="Q190" s="1428">
        <f>Q171</f>
        <v>0</v>
      </c>
      <c r="R190" s="1423">
        <f ca="1">IF(Q214="n/a",Q190,IFERROR(IF((OFFSET($C190,0,$A190))&lt;0,
MIN(0,Q190-(OFFSET($C190,0,$A190)/(OFFSET($C185,-$A189,$A190)))),
MAX(0,Q190-(OFFSET($C190,0,$A190)/(OFFSET($C185,-$A189,$A190))))),0))</f>
        <v>0</v>
      </c>
      <c r="S190" s="1423">
        <f t="shared" ca="1" si="225"/>
        <v>0</v>
      </c>
      <c r="T190" s="1423">
        <f t="shared" ca="1" si="226"/>
        <v>0</v>
      </c>
      <c r="U190" s="1423">
        <f t="shared" ca="1" si="227"/>
        <v>0</v>
      </c>
      <c r="V190" s="1423">
        <f t="shared" ca="1" si="228"/>
        <v>0</v>
      </c>
      <c r="W190" s="1423">
        <f t="shared" ca="1" si="229"/>
        <v>0</v>
      </c>
      <c r="X190" s="202"/>
      <c r="Y190" s="202"/>
      <c r="Z190" s="202"/>
      <c r="AA190" s="152"/>
      <c r="AB190" s="152"/>
    </row>
    <row r="191" spans="1:28" hidden="1" outlineLevel="1">
      <c r="A191" s="199">
        <f t="shared" si="230"/>
        <v>15</v>
      </c>
      <c r="B191" s="190" t="str">
        <f t="shared" ca="1" si="231"/>
        <v>Depreciated Net Capex 2030-31</v>
      </c>
      <c r="C191" s="1426"/>
      <c r="D191" s="1426"/>
      <c r="E191" s="1426"/>
      <c r="F191" s="1426"/>
      <c r="G191" s="1426"/>
      <c r="H191" s="1426"/>
      <c r="I191" s="1426"/>
      <c r="J191" s="1426"/>
      <c r="K191" s="1426"/>
      <c r="L191" s="1426"/>
      <c r="M191" s="1426"/>
      <c r="N191" s="1426"/>
      <c r="O191" s="1426"/>
      <c r="P191" s="1426"/>
      <c r="Q191" s="1427"/>
      <c r="R191" s="1428">
        <f>R171</f>
        <v>0</v>
      </c>
      <c r="S191" s="1423">
        <f ca="1">IF(R215="n/a",R191,IFERROR(IF((OFFSET($C191,0,$A191))&lt;0,
MIN(0,R191-(OFFSET($C191,0,$A191)/(OFFSET($C186,-$A190,$A191)))),
MAX(0,R191-(OFFSET($C191,0,$A191)/(OFFSET($C186,-$A190,$A191))))),0))</f>
        <v>0</v>
      </c>
      <c r="T191" s="1423">
        <f t="shared" ca="1" si="226"/>
        <v>0</v>
      </c>
      <c r="U191" s="1423">
        <f t="shared" ca="1" si="227"/>
        <v>0</v>
      </c>
      <c r="V191" s="1423">
        <f t="shared" ca="1" si="228"/>
        <v>0</v>
      </c>
      <c r="W191" s="1423">
        <f t="shared" ca="1" si="229"/>
        <v>0</v>
      </c>
      <c r="X191" s="202"/>
      <c r="Y191" s="202"/>
      <c r="Z191" s="202"/>
      <c r="AA191" s="152"/>
      <c r="AB191" s="152"/>
    </row>
    <row r="192" spans="1:28" hidden="1" outlineLevel="1">
      <c r="A192" s="199">
        <f t="shared" si="230"/>
        <v>16</v>
      </c>
      <c r="B192" s="190" t="str">
        <f t="shared" ca="1" si="231"/>
        <v>Depreciated Net Capex 2031-32</v>
      </c>
      <c r="C192" s="1426"/>
      <c r="D192" s="1426"/>
      <c r="E192" s="1426"/>
      <c r="F192" s="1426"/>
      <c r="G192" s="1426"/>
      <c r="H192" s="1426"/>
      <c r="I192" s="1426"/>
      <c r="J192" s="1426"/>
      <c r="K192" s="1426"/>
      <c r="L192" s="1426"/>
      <c r="M192" s="1426"/>
      <c r="N192" s="1426"/>
      <c r="O192" s="1426"/>
      <c r="P192" s="1426"/>
      <c r="Q192" s="1426"/>
      <c r="R192" s="1427"/>
      <c r="S192" s="1428">
        <f>S171</f>
        <v>0</v>
      </c>
      <c r="T192" s="1423">
        <f ca="1">IF(S216="n/a",S192,IFERROR(IF((OFFSET($C192,0,$A192))&lt;0,
MIN(0,S192-(OFFSET($C192,0,$A192)/(OFFSET($C187,-$A191,$A192)))),
MAX(0,S192-(OFFSET($C192,0,$A192)/(OFFSET($C187,-$A191,$A192))))),0))</f>
        <v>0</v>
      </c>
      <c r="U192" s="1423">
        <f t="shared" ca="1" si="227"/>
        <v>0</v>
      </c>
      <c r="V192" s="1423">
        <f t="shared" ca="1" si="228"/>
        <v>0</v>
      </c>
      <c r="W192" s="1423">
        <f t="shared" ca="1" si="229"/>
        <v>0</v>
      </c>
      <c r="X192" s="202"/>
      <c r="Y192" s="202"/>
      <c r="Z192" s="202"/>
      <c r="AA192" s="152"/>
      <c r="AB192" s="152"/>
    </row>
    <row r="193" spans="1:28" hidden="1" outlineLevel="1">
      <c r="A193" s="199">
        <f t="shared" si="230"/>
        <v>17</v>
      </c>
      <c r="B193" s="190" t="str">
        <f t="shared" ca="1" si="231"/>
        <v>Depreciated Net Capex 2032-33</v>
      </c>
      <c r="C193" s="1426"/>
      <c r="D193" s="1426"/>
      <c r="E193" s="1426"/>
      <c r="F193" s="1426"/>
      <c r="G193" s="1426"/>
      <c r="H193" s="1426"/>
      <c r="I193" s="1426"/>
      <c r="J193" s="1426"/>
      <c r="K193" s="1426"/>
      <c r="L193" s="1426"/>
      <c r="M193" s="1426"/>
      <c r="N193" s="1426"/>
      <c r="O193" s="1426"/>
      <c r="P193" s="1426"/>
      <c r="Q193" s="1426"/>
      <c r="R193" s="1426"/>
      <c r="S193" s="1427"/>
      <c r="T193" s="1428">
        <f>T171</f>
        <v>0</v>
      </c>
      <c r="U193" s="1423">
        <f ca="1">IF(T217="n/a",T193,IFERROR(IF((OFFSET($C193,0,$A193))&lt;0,
MIN(0,T193-(OFFSET($C193,0,$A193)/(OFFSET($C188,-$A192,$A193)))),
MAX(0,T193-(OFFSET($C193,0,$A193)/(OFFSET($C188,-$A192,$A193))))),0))</f>
        <v>0</v>
      </c>
      <c r="V193" s="1423">
        <f t="shared" ca="1" si="228"/>
        <v>0</v>
      </c>
      <c r="W193" s="1423">
        <f t="shared" ca="1" si="229"/>
        <v>0</v>
      </c>
      <c r="X193" s="202"/>
      <c r="Y193" s="202"/>
      <c r="Z193" s="202"/>
      <c r="AA193" s="152"/>
      <c r="AB193" s="152"/>
    </row>
    <row r="194" spans="1:28" hidden="1" outlineLevel="1">
      <c r="A194" s="199">
        <f t="shared" si="230"/>
        <v>18</v>
      </c>
      <c r="B194" s="190" t="str">
        <f t="shared" ca="1" si="231"/>
        <v>Depreciated Net Capex 2033-34</v>
      </c>
      <c r="C194" s="1426"/>
      <c r="D194" s="1426"/>
      <c r="E194" s="1426"/>
      <c r="F194" s="1426"/>
      <c r="G194" s="1426"/>
      <c r="H194" s="1426"/>
      <c r="I194" s="1426"/>
      <c r="J194" s="1426"/>
      <c r="K194" s="1426"/>
      <c r="L194" s="1426"/>
      <c r="M194" s="1426"/>
      <c r="N194" s="1426"/>
      <c r="O194" s="1426"/>
      <c r="P194" s="1426"/>
      <c r="Q194" s="1426"/>
      <c r="R194" s="1426"/>
      <c r="S194" s="1426"/>
      <c r="T194" s="1427"/>
      <c r="U194" s="1428">
        <f>U171</f>
        <v>0</v>
      </c>
      <c r="V194" s="1423">
        <f ca="1">IF(U218="n/a",U194,IFERROR(IF((OFFSET($C194,0,$A194))&lt;0,
MIN(0,U194-(OFFSET($C194,0,$A194)/(OFFSET($C189,-$A193,$A194)))),
MAX(0,U194-(OFFSET($C194,0,$A194)/(OFFSET($C189,-$A193,$A194))))),0))</f>
        <v>0</v>
      </c>
      <c r="W194" s="1423">
        <f t="shared" ca="1" si="229"/>
        <v>0</v>
      </c>
      <c r="X194" s="202"/>
      <c r="Y194" s="202"/>
      <c r="Z194" s="202"/>
      <c r="AA194" s="152"/>
      <c r="AB194" s="152"/>
    </row>
    <row r="195" spans="1:28" hidden="1" outlineLevel="1">
      <c r="A195" s="199">
        <f t="shared" si="230"/>
        <v>19</v>
      </c>
      <c r="B195" s="190" t="str">
        <f t="shared" ca="1" si="231"/>
        <v>Depreciated Net Capex 2034-35</v>
      </c>
      <c r="C195" s="1426"/>
      <c r="D195" s="1426"/>
      <c r="E195" s="1426"/>
      <c r="F195" s="1426"/>
      <c r="G195" s="1426"/>
      <c r="H195" s="1426"/>
      <c r="I195" s="1426"/>
      <c r="J195" s="1426"/>
      <c r="K195" s="1426"/>
      <c r="L195" s="1426"/>
      <c r="M195" s="1426"/>
      <c r="N195" s="1426"/>
      <c r="O195" s="1426"/>
      <c r="P195" s="1426"/>
      <c r="Q195" s="1426"/>
      <c r="R195" s="1426"/>
      <c r="S195" s="1426"/>
      <c r="T195" s="1426"/>
      <c r="U195" s="1427"/>
      <c r="V195" s="1428">
        <f>V171</f>
        <v>0</v>
      </c>
      <c r="W195" s="1423">
        <f ca="1">IF(V219="n/a",V195,IFERROR(IF((OFFSET($C195,0,$A195))&lt;0,
MIN(0,V195-(OFFSET($C195,0,$A195)/(OFFSET($C190,-$A194,$A195)))),
MAX(0,V195-(OFFSET($C195,0,$A195)/(OFFSET($C190,-$A194,$A195))))),0))</f>
        <v>0</v>
      </c>
      <c r="X195" s="202"/>
      <c r="Y195" s="202"/>
      <c r="Z195" s="202"/>
      <c r="AA195" s="152"/>
      <c r="AB195" s="152"/>
    </row>
    <row r="196" spans="1:28" hidden="1" outlineLevel="1">
      <c r="A196" s="199">
        <f t="shared" si="230"/>
        <v>20</v>
      </c>
      <c r="B196" s="190" t="str">
        <f t="shared" ca="1" si="231"/>
        <v>Depreciated Net Capex 2035-36</v>
      </c>
      <c r="C196" s="1426"/>
      <c r="D196" s="1426"/>
      <c r="E196" s="1426"/>
      <c r="F196" s="1426"/>
      <c r="G196" s="1426"/>
      <c r="H196" s="1426"/>
      <c r="I196" s="1426"/>
      <c r="J196" s="1426"/>
      <c r="K196" s="1426"/>
      <c r="L196" s="1426"/>
      <c r="M196" s="1426"/>
      <c r="N196" s="1426"/>
      <c r="O196" s="1426"/>
      <c r="P196" s="1426"/>
      <c r="Q196" s="1426"/>
      <c r="R196" s="1426"/>
      <c r="S196" s="1426"/>
      <c r="T196" s="1426"/>
      <c r="U196" s="1426"/>
      <c r="V196" s="1427"/>
      <c r="W196" s="1423">
        <f>W171</f>
        <v>0</v>
      </c>
      <c r="X196" s="152"/>
      <c r="Y196" s="152"/>
      <c r="Z196" s="152"/>
      <c r="AA196" s="152"/>
      <c r="AB196" s="152"/>
    </row>
    <row r="197" spans="1:28" hidden="1" outlineLevel="1">
      <c r="A197" s="242"/>
      <c r="B197" s="200"/>
      <c r="C197" s="1423"/>
      <c r="D197" s="1423"/>
      <c r="E197" s="1423"/>
      <c r="F197" s="1423"/>
      <c r="G197" s="1423"/>
      <c r="H197" s="1423"/>
      <c r="I197" s="1423"/>
      <c r="J197" s="1423"/>
      <c r="K197" s="1423"/>
      <c r="L197" s="1423"/>
      <c r="M197" s="1423"/>
      <c r="N197" s="1423"/>
      <c r="O197" s="1423"/>
      <c r="P197" s="1423"/>
      <c r="Q197" s="1423"/>
      <c r="R197" s="1423"/>
      <c r="S197" s="1423"/>
      <c r="T197" s="1423"/>
      <c r="U197" s="1423"/>
      <c r="V197" s="1423"/>
      <c r="W197" s="1423"/>
      <c r="X197" s="152"/>
      <c r="Y197" s="152"/>
      <c r="Z197" s="152"/>
      <c r="AA197" s="152"/>
      <c r="AB197" s="152"/>
    </row>
    <row r="198" spans="1:28" hidden="1" outlineLevel="1">
      <c r="A198" s="242"/>
      <c r="B198" s="200"/>
      <c r="C198" s="1423"/>
      <c r="D198" s="1423"/>
      <c r="E198" s="1423"/>
      <c r="F198" s="1423"/>
      <c r="G198" s="1423"/>
      <c r="H198" s="1423"/>
      <c r="I198" s="1423"/>
      <c r="J198" s="1423"/>
      <c r="K198" s="1423"/>
      <c r="L198" s="1423"/>
      <c r="M198" s="1423"/>
      <c r="N198" s="1423"/>
      <c r="O198" s="1423"/>
      <c r="P198" s="1423"/>
      <c r="Q198" s="1423"/>
      <c r="R198" s="1423"/>
      <c r="S198" s="1423"/>
      <c r="T198" s="1423"/>
      <c r="U198" s="1423"/>
      <c r="V198" s="1423"/>
      <c r="W198" s="1423"/>
      <c r="X198" s="152"/>
      <c r="Y198" s="152"/>
      <c r="Z198" s="152"/>
      <c r="AA198" s="152"/>
      <c r="AB198" s="152"/>
    </row>
    <row r="199" spans="1:28" hidden="1" outlineLevel="1">
      <c r="A199" s="242"/>
      <c r="B199" s="190" t="s">
        <v>194</v>
      </c>
      <c r="C199" s="1423"/>
      <c r="D199" s="1423">
        <f t="shared" ref="D199" ca="1" si="232">IF(AND(C199&lt;1,D173=0),0,
IF(D173=0,C199-1,
IF(C199&lt;1,D174,
(((C199-1)*(C175-(C175/(C199))))+(D173*D174))/(D175))))</f>
        <v>0</v>
      </c>
      <c r="E199" s="1423">
        <f t="shared" ref="E199" ca="1" si="233">IF(AND(D199&lt;1,E173=0),0,
IF(E173=0,D199-1,
IF(D199&lt;1,E174,
(((D199-1)*(D175-(D175/(D199))))+(E173*E174))/(E175))))</f>
        <v>0</v>
      </c>
      <c r="F199" s="1423">
        <f t="shared" ref="F199" ca="1" si="234">IF(AND(E199&lt;1,F173=0),0,
IF(F173=0,E199-1,
IF(E199&lt;1,F174,
(((E199-1)*(E175-(E175/(E199))))+(F173*F174))/(F175))))</f>
        <v>0</v>
      </c>
      <c r="G199" s="1423">
        <f t="shared" ref="G199" ca="1" si="235">IF(AND(F199&lt;1,G173=0),0,
IF(G173=0,F199-1,
IF(F199&lt;1,G174,
(((F199-1)*(F175-(F175/(F199))))+(G173*G174))/(G175))))</f>
        <v>0</v>
      </c>
      <c r="H199" s="1423">
        <f ca="1">IF(AND(G199&lt;1,H173=0),0,
IF(H173=0,G199-1,
IF(G199&lt;1,H174,
(((G199-1)*(G175-(G175/(G199))))+(H173*H174))/(H175))))</f>
        <v>0</v>
      </c>
      <c r="I199" s="1423">
        <f t="shared" ref="I199" ca="1" si="236">IF(AND(H199&lt;1,I173=0),0,
IF(I173=0,H199-1,
IF(H199&lt;1,I174,
(((H199-1)*(H175-(H175/(H199))))+(I173*I174))/(I175))))</f>
        <v>0</v>
      </c>
      <c r="J199" s="1423">
        <f t="shared" ref="J199" ca="1" si="237">IF(AND(I199&lt;1,J173=0),0,
IF(J173=0,I199-1,
IF(I199&lt;1,J174,
(((I199-1)*(I175-(I175/(I199))))+(J173*J174))/(J175))))</f>
        <v>0</v>
      </c>
      <c r="K199" s="1423">
        <f t="shared" ref="K199" ca="1" si="238">IF(AND(J199&lt;1,K173=0),0,
IF(K173=0,J199-1,
IF(J199&lt;1,K174,
(((J199-1)*(J175-(J175/(J199))))+(K173*K174))/(K175))))</f>
        <v>0</v>
      </c>
      <c r="L199" s="1423">
        <f t="shared" ref="L199" ca="1" si="239">IF(AND(K199&lt;1,L173=0),0,
IF(L173=0,K199-1,
IF(K199&lt;1,L174,
(((K199-1)*(K175-(K175/(K199))))+(L173*L174))/(L175))))</f>
        <v>0</v>
      </c>
      <c r="M199" s="1423">
        <f ca="1">IF(AND(L199&lt;1,M173=0),0,
IF(M173=0,L199-1,
IF(L199&lt;1,M174,
(((L199-1)*(L175-(L175/(L199))))+(M173*M174))/(M175))))</f>
        <v>0</v>
      </c>
      <c r="N199" s="1423">
        <f t="shared" ref="N199" ca="1" si="240">IF(AND(M199&lt;1,N173=0),0,
IF(N173=0,M199-1,
IF(M199&lt;1,N174,
(((M199-1)*(M175-(M175/(M199))))+(N173*N174))/(N175))))</f>
        <v>0</v>
      </c>
      <c r="O199" s="1423">
        <f t="shared" ref="O199" ca="1" si="241">IF(AND(N199&lt;1,O173=0),0,
IF(O173=0,N199-1,
IF(N199&lt;1,O174,
(((N199-1)*(N175-(N175/(N199))))+(O173*O174))/(O175))))</f>
        <v>0</v>
      </c>
      <c r="P199" s="1423">
        <f t="shared" ref="P199" ca="1" si="242">IF(AND(O199&lt;1,P173=0),0,
IF(P173=0,O199-1,
IF(O199&lt;1,P174,
(((O199-1)*(O175-(O175/(O199))))+(P173*P174))/(P175))))</f>
        <v>0</v>
      </c>
      <c r="Q199" s="1423">
        <f t="shared" ref="Q199" ca="1" si="243">IF(AND(P199&lt;1,Q173=0),0,
IF(Q173=0,P199-1,
IF(P199&lt;1,Q174,
(((P199-1)*(P175-(P175/(P199))))+(Q173*Q174))/(Q175))))</f>
        <v>0</v>
      </c>
      <c r="R199" s="1423">
        <f t="shared" ref="R199" ca="1" si="244">IF(AND(Q199&lt;1,R173=0),0,
IF(R173=0,Q199-1,
IF(Q199&lt;1,R174,
(((Q199-1)*(Q175-(Q175/(Q199))))+(R173*R174))/(R175))))</f>
        <v>0</v>
      </c>
      <c r="S199" s="1423">
        <f t="shared" ref="S199" ca="1" si="245">IF(AND(R199&lt;1,S173=0),0,
IF(S173=0,R199-1,
IF(R199&lt;1,S174,
(((R199-1)*(R175-(R175/(R199))))+(S173*S174))/(S175))))</f>
        <v>0</v>
      </c>
      <c r="T199" s="1423">
        <f t="shared" ref="T199" ca="1" si="246">IF(AND(S199&lt;1,T173=0),0,
IF(T173=0,S199-1,
IF(S199&lt;1,T174,
(((S199-1)*(S175-(S175/(S199))))+(T173*T174))/(T175))))</f>
        <v>0</v>
      </c>
      <c r="U199" s="1423">
        <f t="shared" ref="U199" ca="1" si="247">IF(AND(T199&lt;1,U173=0),0,
IF(U173=0,T199-1,
IF(T199&lt;1,U174,
(((T199-1)*(T175-(T175/(T199))))+(U173*U174))/(U175))))</f>
        <v>0</v>
      </c>
      <c r="V199" s="1423">
        <f t="shared" ref="V199" ca="1" si="248">IF(AND(U199&lt;1,V173=0),0,
IF(V173=0,U199-1,
IF(U199&lt;1,V174,
(((U199-1)*(U175-(U175/(U199))))+(V173*V174))/(V175))))</f>
        <v>0</v>
      </c>
      <c r="W199" s="1423">
        <f t="shared" ref="W199" ca="1" si="249">IF(AND(V199&lt;1,W173=0),0,
IF(W173=0,V199-1,
IF(V199&lt;1,W174,
(((V199-1)*(V175-(V175/(V199))))+(W173*W174))/(W175))))</f>
        <v>0</v>
      </c>
      <c r="X199" s="152"/>
      <c r="Y199" s="152"/>
      <c r="Z199" s="152"/>
      <c r="AA199" s="152"/>
      <c r="AB199" s="152"/>
    </row>
    <row r="200" spans="1:28" hidden="1" outlineLevel="1">
      <c r="A200" s="242"/>
      <c r="B200" s="190" t="s">
        <v>193</v>
      </c>
      <c r="C200" s="1423">
        <f ca="1">C172</f>
        <v>8.4419357937527693</v>
      </c>
      <c r="D200" s="1423">
        <f t="shared" ref="D200" ca="1" si="250">IF(C200="n/a","n/a",MAX(0,C200-1))</f>
        <v>7.4419357937527693</v>
      </c>
      <c r="E200" s="1423">
        <f t="shared" ref="E200:E201" ca="1" si="251">IF(D200="n/a","n/a",MAX(0,D200-1))</f>
        <v>6.4419357937527693</v>
      </c>
      <c r="F200" s="1423">
        <f t="shared" ref="F200:F202" ca="1" si="252">IF(E200="n/a","n/a",MAX(0,E200-1))</f>
        <v>5.4419357937527693</v>
      </c>
      <c r="G200" s="1423">
        <f t="shared" ref="G200:G203" ca="1" si="253">IF(F200="n/a","n/a",MAX(0,F200-1))</f>
        <v>4.4419357937527693</v>
      </c>
      <c r="H200" s="1423">
        <f t="shared" ref="H200:H204" ca="1" si="254">IF(G200="n/a","n/a",MAX(0,G200-1))</f>
        <v>3.4419357937527693</v>
      </c>
      <c r="I200" s="1423">
        <f t="shared" ref="I200:I205" ca="1" si="255">IF(H200="n/a","n/a",MAX(0,H200-1))</f>
        <v>2.4419357937527693</v>
      </c>
      <c r="J200" s="1423">
        <f t="shared" ref="J200:J206" ca="1" si="256">IF(I200="n/a","n/a",MAX(0,I200-1))</f>
        <v>1.4419357937527693</v>
      </c>
      <c r="K200" s="1423">
        <f t="shared" ref="K200:K207" ca="1" si="257">IF(J200="n/a","n/a",MAX(0,J200-1))</f>
        <v>0.44193579375276926</v>
      </c>
      <c r="L200" s="1423">
        <f t="shared" ref="L200:L208" ca="1" si="258">IF(K200="n/a","n/a",MAX(0,K200-1))</f>
        <v>0</v>
      </c>
      <c r="M200" s="1423">
        <f t="shared" ref="M200:M209" ca="1" si="259">IF(L200="n/a","n/a",MAX(0,L200-1))</f>
        <v>0</v>
      </c>
      <c r="N200" s="1423">
        <f t="shared" ref="N200:N210" ca="1" si="260">IF(M200="n/a","n/a",MAX(0,M200-1))</f>
        <v>0</v>
      </c>
      <c r="O200" s="1423">
        <f t="shared" ref="O200:O211" ca="1" si="261">IF(N200="n/a","n/a",MAX(0,N200-1))</f>
        <v>0</v>
      </c>
      <c r="P200" s="1423">
        <f t="shared" ref="P200:P212" ca="1" si="262">IF(O200="n/a","n/a",MAX(0,O200-1))</f>
        <v>0</v>
      </c>
      <c r="Q200" s="1423">
        <f t="shared" ref="Q200:Q213" ca="1" si="263">IF(P200="n/a","n/a",MAX(0,P200-1))</f>
        <v>0</v>
      </c>
      <c r="R200" s="1423">
        <f t="shared" ref="R200:R214" ca="1" si="264">IF(Q200="n/a","n/a",MAX(0,Q200-1))</f>
        <v>0</v>
      </c>
      <c r="S200" s="1423">
        <f t="shared" ref="S200:S215" ca="1" si="265">IF(R200="n/a","n/a",MAX(0,R200-1))</f>
        <v>0</v>
      </c>
      <c r="T200" s="1423">
        <f t="shared" ref="T200:T216" ca="1" si="266">IF(S200="n/a","n/a",MAX(0,S200-1))</f>
        <v>0</v>
      </c>
      <c r="U200" s="1423">
        <f t="shared" ref="U200:U217" ca="1" si="267">IF(T200="n/a","n/a",MAX(0,T200-1))</f>
        <v>0</v>
      </c>
      <c r="V200" s="1423">
        <f t="shared" ref="V200:V218" ca="1" si="268">IF(U200="n/a","n/a",MAX(0,U200-1))</f>
        <v>0</v>
      </c>
      <c r="W200" s="1423">
        <f t="shared" ref="W200:W218" ca="1" si="269">IF(V200="n/a","n/a",MAX(0,V200-1))</f>
        <v>0</v>
      </c>
      <c r="X200" s="152"/>
      <c r="Y200" s="152"/>
      <c r="Z200" s="152"/>
      <c r="AA200" s="152"/>
      <c r="AB200" s="152"/>
    </row>
    <row r="201" spans="1:28" hidden="1" outlineLevel="1">
      <c r="A201" s="242"/>
      <c r="B201" s="190" t="str">
        <f t="shared" ref="B201:B220" ca="1" si="270">"RL Capex "&amp;OFFSET($C$6,0,A177)</f>
        <v>RL Capex 2016-17</v>
      </c>
      <c r="C201" s="1424"/>
      <c r="D201" s="1428">
        <f>D172</f>
        <v>10</v>
      </c>
      <c r="E201" s="1423">
        <f t="shared" si="251"/>
        <v>9</v>
      </c>
      <c r="F201" s="1423">
        <f t="shared" si="252"/>
        <v>8</v>
      </c>
      <c r="G201" s="1423">
        <f t="shared" si="253"/>
        <v>7</v>
      </c>
      <c r="H201" s="1423">
        <f t="shared" si="254"/>
        <v>6</v>
      </c>
      <c r="I201" s="1423">
        <f t="shared" si="255"/>
        <v>5</v>
      </c>
      <c r="J201" s="1423">
        <f t="shared" si="256"/>
        <v>4</v>
      </c>
      <c r="K201" s="1423">
        <f t="shared" si="257"/>
        <v>3</v>
      </c>
      <c r="L201" s="1423">
        <f t="shared" si="258"/>
        <v>2</v>
      </c>
      <c r="M201" s="1423">
        <f t="shared" si="259"/>
        <v>1</v>
      </c>
      <c r="N201" s="1423">
        <f t="shared" si="260"/>
        <v>0</v>
      </c>
      <c r="O201" s="1423">
        <f t="shared" si="261"/>
        <v>0</v>
      </c>
      <c r="P201" s="1423">
        <f t="shared" si="262"/>
        <v>0</v>
      </c>
      <c r="Q201" s="1423">
        <f t="shared" si="263"/>
        <v>0</v>
      </c>
      <c r="R201" s="1423">
        <f t="shared" si="264"/>
        <v>0</v>
      </c>
      <c r="S201" s="1423">
        <f t="shared" si="265"/>
        <v>0</v>
      </c>
      <c r="T201" s="1423">
        <f t="shared" si="266"/>
        <v>0</v>
      </c>
      <c r="U201" s="1423">
        <f t="shared" si="267"/>
        <v>0</v>
      </c>
      <c r="V201" s="1423">
        <f t="shared" si="268"/>
        <v>0</v>
      </c>
      <c r="W201" s="1423">
        <f t="shared" si="269"/>
        <v>0</v>
      </c>
      <c r="X201" s="152"/>
      <c r="Y201" s="152"/>
      <c r="Z201" s="152"/>
      <c r="AA201" s="152"/>
      <c r="AB201" s="152"/>
    </row>
    <row r="202" spans="1:28" hidden="1" outlineLevel="1">
      <c r="A202" s="242"/>
      <c r="B202" s="190" t="str">
        <f t="shared" ca="1" si="270"/>
        <v>RL Capex 2017-18</v>
      </c>
      <c r="C202" s="1429"/>
      <c r="D202" s="1424"/>
      <c r="E202" s="1428">
        <f>E172</f>
        <v>10</v>
      </c>
      <c r="F202" s="1423">
        <f t="shared" si="252"/>
        <v>9</v>
      </c>
      <c r="G202" s="1423">
        <f t="shared" si="253"/>
        <v>8</v>
      </c>
      <c r="H202" s="1423">
        <f t="shared" si="254"/>
        <v>7</v>
      </c>
      <c r="I202" s="1423">
        <f t="shared" si="255"/>
        <v>6</v>
      </c>
      <c r="J202" s="1423">
        <f t="shared" si="256"/>
        <v>5</v>
      </c>
      <c r="K202" s="1423">
        <f t="shared" si="257"/>
        <v>4</v>
      </c>
      <c r="L202" s="1423">
        <f t="shared" si="258"/>
        <v>3</v>
      </c>
      <c r="M202" s="1423">
        <f t="shared" si="259"/>
        <v>2</v>
      </c>
      <c r="N202" s="1423">
        <f t="shared" si="260"/>
        <v>1</v>
      </c>
      <c r="O202" s="1423">
        <f t="shared" si="261"/>
        <v>0</v>
      </c>
      <c r="P202" s="1423">
        <f t="shared" si="262"/>
        <v>0</v>
      </c>
      <c r="Q202" s="1423">
        <f t="shared" si="263"/>
        <v>0</v>
      </c>
      <c r="R202" s="1423">
        <f t="shared" si="264"/>
        <v>0</v>
      </c>
      <c r="S202" s="1423">
        <f t="shared" si="265"/>
        <v>0</v>
      </c>
      <c r="T202" s="1423">
        <f t="shared" si="266"/>
        <v>0</v>
      </c>
      <c r="U202" s="1423">
        <f t="shared" si="267"/>
        <v>0</v>
      </c>
      <c r="V202" s="1423">
        <f t="shared" si="268"/>
        <v>0</v>
      </c>
      <c r="W202" s="1423">
        <f t="shared" si="269"/>
        <v>0</v>
      </c>
      <c r="X202" s="152"/>
      <c r="Y202" s="152"/>
      <c r="Z202" s="152"/>
      <c r="AA202" s="152"/>
      <c r="AB202" s="152"/>
    </row>
    <row r="203" spans="1:28" hidden="1" outlineLevel="1">
      <c r="A203" s="242"/>
      <c r="B203" s="190" t="str">
        <f t="shared" ca="1" si="270"/>
        <v>RL Capex 2018-19</v>
      </c>
      <c r="C203" s="1429"/>
      <c r="D203" s="1429"/>
      <c r="E203" s="1424"/>
      <c r="F203" s="1428">
        <f>F172</f>
        <v>10</v>
      </c>
      <c r="G203" s="1423">
        <f t="shared" si="253"/>
        <v>9</v>
      </c>
      <c r="H203" s="1423">
        <f t="shared" si="254"/>
        <v>8</v>
      </c>
      <c r="I203" s="1423">
        <f t="shared" si="255"/>
        <v>7</v>
      </c>
      <c r="J203" s="1423">
        <f t="shared" si="256"/>
        <v>6</v>
      </c>
      <c r="K203" s="1423">
        <f t="shared" si="257"/>
        <v>5</v>
      </c>
      <c r="L203" s="1423">
        <f t="shared" si="258"/>
        <v>4</v>
      </c>
      <c r="M203" s="1423">
        <f t="shared" si="259"/>
        <v>3</v>
      </c>
      <c r="N203" s="1423">
        <f t="shared" si="260"/>
        <v>2</v>
      </c>
      <c r="O203" s="1423">
        <f t="shared" si="261"/>
        <v>1</v>
      </c>
      <c r="P203" s="1423">
        <f t="shared" si="262"/>
        <v>0</v>
      </c>
      <c r="Q203" s="1423">
        <f t="shared" si="263"/>
        <v>0</v>
      </c>
      <c r="R203" s="1423">
        <f t="shared" si="264"/>
        <v>0</v>
      </c>
      <c r="S203" s="1423">
        <f t="shared" si="265"/>
        <v>0</v>
      </c>
      <c r="T203" s="1423">
        <f t="shared" si="266"/>
        <v>0</v>
      </c>
      <c r="U203" s="1423">
        <f t="shared" si="267"/>
        <v>0</v>
      </c>
      <c r="V203" s="1423">
        <f t="shared" si="268"/>
        <v>0</v>
      </c>
      <c r="W203" s="1423">
        <f t="shared" si="269"/>
        <v>0</v>
      </c>
      <c r="X203" s="152"/>
      <c r="Y203" s="152"/>
      <c r="Z203" s="152"/>
      <c r="AA203" s="152"/>
      <c r="AB203" s="152"/>
    </row>
    <row r="204" spans="1:28" hidden="1" outlineLevel="1">
      <c r="A204" s="242"/>
      <c r="B204" s="190" t="str">
        <f t="shared" ca="1" si="270"/>
        <v>RL Capex 2019-20</v>
      </c>
      <c r="C204" s="1429"/>
      <c r="D204" s="1429"/>
      <c r="E204" s="1429"/>
      <c r="F204" s="1424"/>
      <c r="G204" s="1428">
        <f>G172</f>
        <v>10</v>
      </c>
      <c r="H204" s="1423">
        <f t="shared" si="254"/>
        <v>9</v>
      </c>
      <c r="I204" s="1423">
        <f t="shared" si="255"/>
        <v>8</v>
      </c>
      <c r="J204" s="1423">
        <f t="shared" si="256"/>
        <v>7</v>
      </c>
      <c r="K204" s="1423">
        <f t="shared" si="257"/>
        <v>6</v>
      </c>
      <c r="L204" s="1423">
        <f t="shared" si="258"/>
        <v>5</v>
      </c>
      <c r="M204" s="1423">
        <f t="shared" si="259"/>
        <v>4</v>
      </c>
      <c r="N204" s="1423">
        <f t="shared" si="260"/>
        <v>3</v>
      </c>
      <c r="O204" s="1423">
        <f t="shared" si="261"/>
        <v>2</v>
      </c>
      <c r="P204" s="1423">
        <f t="shared" si="262"/>
        <v>1</v>
      </c>
      <c r="Q204" s="1423">
        <f t="shared" si="263"/>
        <v>0</v>
      </c>
      <c r="R204" s="1423">
        <f t="shared" si="264"/>
        <v>0</v>
      </c>
      <c r="S204" s="1423">
        <f t="shared" si="265"/>
        <v>0</v>
      </c>
      <c r="T204" s="1423">
        <f t="shared" si="266"/>
        <v>0</v>
      </c>
      <c r="U204" s="1423">
        <f t="shared" si="267"/>
        <v>0</v>
      </c>
      <c r="V204" s="1423">
        <f t="shared" si="268"/>
        <v>0</v>
      </c>
      <c r="W204" s="1423">
        <f t="shared" si="269"/>
        <v>0</v>
      </c>
      <c r="X204" s="152"/>
      <c r="Y204" s="152"/>
      <c r="Z204" s="152"/>
      <c r="AA204" s="152"/>
      <c r="AB204" s="152"/>
    </row>
    <row r="205" spans="1:28" hidden="1" outlineLevel="1">
      <c r="A205" s="242"/>
      <c r="B205" s="190" t="str">
        <f t="shared" ca="1" si="270"/>
        <v>RL Capex 2020-21</v>
      </c>
      <c r="C205" s="1429"/>
      <c r="D205" s="1429"/>
      <c r="E205" s="1429"/>
      <c r="F205" s="1429"/>
      <c r="G205" s="1424"/>
      <c r="H205" s="1428">
        <f>H172</f>
        <v>10</v>
      </c>
      <c r="I205" s="1423">
        <f t="shared" si="255"/>
        <v>9</v>
      </c>
      <c r="J205" s="1423">
        <f t="shared" si="256"/>
        <v>8</v>
      </c>
      <c r="K205" s="1423">
        <f t="shared" si="257"/>
        <v>7</v>
      </c>
      <c r="L205" s="1423">
        <f t="shared" si="258"/>
        <v>6</v>
      </c>
      <c r="M205" s="1423">
        <f t="shared" si="259"/>
        <v>5</v>
      </c>
      <c r="N205" s="1423">
        <f t="shared" si="260"/>
        <v>4</v>
      </c>
      <c r="O205" s="1423">
        <f t="shared" si="261"/>
        <v>3</v>
      </c>
      <c r="P205" s="1423">
        <f t="shared" si="262"/>
        <v>2</v>
      </c>
      <c r="Q205" s="1423">
        <f t="shared" si="263"/>
        <v>1</v>
      </c>
      <c r="R205" s="1423">
        <f t="shared" si="264"/>
        <v>0</v>
      </c>
      <c r="S205" s="1423">
        <f t="shared" si="265"/>
        <v>0</v>
      </c>
      <c r="T205" s="1423">
        <f t="shared" si="266"/>
        <v>0</v>
      </c>
      <c r="U205" s="1423">
        <f t="shared" si="267"/>
        <v>0</v>
      </c>
      <c r="V205" s="1423">
        <f t="shared" si="268"/>
        <v>0</v>
      </c>
      <c r="W205" s="1423">
        <f t="shared" si="269"/>
        <v>0</v>
      </c>
      <c r="X205" s="152"/>
      <c r="Y205" s="152"/>
      <c r="Z205" s="152"/>
      <c r="AA205" s="152"/>
      <c r="AB205" s="152"/>
    </row>
    <row r="206" spans="1:28" hidden="1" outlineLevel="1">
      <c r="A206" s="242"/>
      <c r="B206" s="190" t="str">
        <f t="shared" ca="1" si="270"/>
        <v>RL Capex 2021-22</v>
      </c>
      <c r="C206" s="1429"/>
      <c r="D206" s="1429"/>
      <c r="E206" s="1429"/>
      <c r="F206" s="1429"/>
      <c r="G206" s="1429"/>
      <c r="H206" s="1424"/>
      <c r="I206" s="1428">
        <f>I172</f>
        <v>10</v>
      </c>
      <c r="J206" s="1423">
        <f t="shared" si="256"/>
        <v>9</v>
      </c>
      <c r="K206" s="1423">
        <f t="shared" si="257"/>
        <v>8</v>
      </c>
      <c r="L206" s="1423">
        <f t="shared" si="258"/>
        <v>7</v>
      </c>
      <c r="M206" s="1423">
        <f t="shared" si="259"/>
        <v>6</v>
      </c>
      <c r="N206" s="1423">
        <f t="shared" si="260"/>
        <v>5</v>
      </c>
      <c r="O206" s="1423">
        <f t="shared" si="261"/>
        <v>4</v>
      </c>
      <c r="P206" s="1423">
        <f t="shared" si="262"/>
        <v>3</v>
      </c>
      <c r="Q206" s="1423">
        <f t="shared" si="263"/>
        <v>2</v>
      </c>
      <c r="R206" s="1423">
        <f t="shared" si="264"/>
        <v>1</v>
      </c>
      <c r="S206" s="1423">
        <f t="shared" si="265"/>
        <v>0</v>
      </c>
      <c r="T206" s="1423">
        <f t="shared" si="266"/>
        <v>0</v>
      </c>
      <c r="U206" s="1423">
        <f t="shared" si="267"/>
        <v>0</v>
      </c>
      <c r="V206" s="1423">
        <f t="shared" si="268"/>
        <v>0</v>
      </c>
      <c r="W206" s="1423">
        <f t="shared" si="269"/>
        <v>0</v>
      </c>
      <c r="X206" s="152"/>
      <c r="Y206" s="152"/>
      <c r="Z206" s="152"/>
      <c r="AA206" s="152"/>
      <c r="AB206" s="152"/>
    </row>
    <row r="207" spans="1:28" hidden="1" outlineLevel="1">
      <c r="A207" s="242"/>
      <c r="B207" s="190" t="str">
        <f t="shared" ca="1" si="270"/>
        <v>RL Capex 2022-23</v>
      </c>
      <c r="C207" s="1429"/>
      <c r="D207" s="1429"/>
      <c r="E207" s="1429"/>
      <c r="F207" s="1429"/>
      <c r="G207" s="1429"/>
      <c r="H207" s="1429"/>
      <c r="I207" s="1424"/>
      <c r="J207" s="1428">
        <f>J172</f>
        <v>10</v>
      </c>
      <c r="K207" s="1423">
        <f t="shared" si="257"/>
        <v>9</v>
      </c>
      <c r="L207" s="1423">
        <f t="shared" si="258"/>
        <v>8</v>
      </c>
      <c r="M207" s="1423">
        <f t="shared" si="259"/>
        <v>7</v>
      </c>
      <c r="N207" s="1423">
        <f t="shared" si="260"/>
        <v>6</v>
      </c>
      <c r="O207" s="1423">
        <f t="shared" si="261"/>
        <v>5</v>
      </c>
      <c r="P207" s="1423">
        <f t="shared" si="262"/>
        <v>4</v>
      </c>
      <c r="Q207" s="1423">
        <f t="shared" si="263"/>
        <v>3</v>
      </c>
      <c r="R207" s="1423">
        <f t="shared" si="264"/>
        <v>2</v>
      </c>
      <c r="S207" s="1423">
        <f t="shared" si="265"/>
        <v>1</v>
      </c>
      <c r="T207" s="1423">
        <f t="shared" si="266"/>
        <v>0</v>
      </c>
      <c r="U207" s="1423">
        <f t="shared" si="267"/>
        <v>0</v>
      </c>
      <c r="V207" s="1423">
        <f t="shared" si="268"/>
        <v>0</v>
      </c>
      <c r="W207" s="1423">
        <f t="shared" si="269"/>
        <v>0</v>
      </c>
      <c r="X207" s="152"/>
      <c r="Y207" s="152"/>
      <c r="Z207" s="152"/>
      <c r="AA207" s="152"/>
      <c r="AB207" s="152"/>
    </row>
    <row r="208" spans="1:28" hidden="1" outlineLevel="1">
      <c r="A208" s="242"/>
      <c r="B208" s="190" t="str">
        <f t="shared" ca="1" si="270"/>
        <v>RL Capex 2023-24</v>
      </c>
      <c r="C208" s="1429"/>
      <c r="D208" s="1429"/>
      <c r="E208" s="1429"/>
      <c r="F208" s="1429"/>
      <c r="G208" s="1429"/>
      <c r="H208" s="1429"/>
      <c r="I208" s="1429"/>
      <c r="J208" s="1424"/>
      <c r="K208" s="1428">
        <f>K172</f>
        <v>10</v>
      </c>
      <c r="L208" s="1423">
        <f t="shared" si="258"/>
        <v>9</v>
      </c>
      <c r="M208" s="1423">
        <f t="shared" si="259"/>
        <v>8</v>
      </c>
      <c r="N208" s="1423">
        <f t="shared" si="260"/>
        <v>7</v>
      </c>
      <c r="O208" s="1423">
        <f t="shared" si="261"/>
        <v>6</v>
      </c>
      <c r="P208" s="1423">
        <f t="shared" si="262"/>
        <v>5</v>
      </c>
      <c r="Q208" s="1423">
        <f t="shared" si="263"/>
        <v>4</v>
      </c>
      <c r="R208" s="1423">
        <f t="shared" si="264"/>
        <v>3</v>
      </c>
      <c r="S208" s="1423">
        <f t="shared" si="265"/>
        <v>2</v>
      </c>
      <c r="T208" s="1423">
        <f t="shared" si="266"/>
        <v>1</v>
      </c>
      <c r="U208" s="1423">
        <f t="shared" si="267"/>
        <v>0</v>
      </c>
      <c r="V208" s="1423">
        <f t="shared" si="268"/>
        <v>0</v>
      </c>
      <c r="W208" s="1423">
        <f t="shared" si="269"/>
        <v>0</v>
      </c>
      <c r="X208" s="152"/>
      <c r="Y208" s="152"/>
      <c r="Z208" s="152"/>
      <c r="AA208" s="152"/>
      <c r="AB208" s="152"/>
    </row>
    <row r="209" spans="1:28" hidden="1" outlineLevel="1">
      <c r="A209" s="242"/>
      <c r="B209" s="190" t="str">
        <f t="shared" ca="1" si="270"/>
        <v>RL Capex 2024-25</v>
      </c>
      <c r="C209" s="1429"/>
      <c r="D209" s="1429"/>
      <c r="E209" s="1429"/>
      <c r="F209" s="1429"/>
      <c r="G209" s="1429"/>
      <c r="H209" s="1429"/>
      <c r="I209" s="1429"/>
      <c r="J209" s="1429"/>
      <c r="K209" s="1424"/>
      <c r="L209" s="1428">
        <f>L172</f>
        <v>10</v>
      </c>
      <c r="M209" s="1423">
        <f t="shared" si="259"/>
        <v>9</v>
      </c>
      <c r="N209" s="1423">
        <f t="shared" si="260"/>
        <v>8</v>
      </c>
      <c r="O209" s="1423">
        <f t="shared" si="261"/>
        <v>7</v>
      </c>
      <c r="P209" s="1423">
        <f t="shared" si="262"/>
        <v>6</v>
      </c>
      <c r="Q209" s="1423">
        <f t="shared" si="263"/>
        <v>5</v>
      </c>
      <c r="R209" s="1423">
        <f t="shared" si="264"/>
        <v>4</v>
      </c>
      <c r="S209" s="1423">
        <f t="shared" si="265"/>
        <v>3</v>
      </c>
      <c r="T209" s="1423">
        <f t="shared" si="266"/>
        <v>2</v>
      </c>
      <c r="U209" s="1423">
        <f t="shared" si="267"/>
        <v>1</v>
      </c>
      <c r="V209" s="1423">
        <f t="shared" si="268"/>
        <v>0</v>
      </c>
      <c r="W209" s="1423">
        <f t="shared" si="269"/>
        <v>0</v>
      </c>
      <c r="X209" s="152"/>
      <c r="Y209" s="152"/>
      <c r="Z209" s="152"/>
      <c r="AA209" s="152"/>
      <c r="AB209" s="152"/>
    </row>
    <row r="210" spans="1:28" hidden="1" outlineLevel="1">
      <c r="A210" s="242"/>
      <c r="B210" s="190" t="str">
        <f t="shared" ca="1" si="270"/>
        <v>RL Capex 2025-26</v>
      </c>
      <c r="C210" s="1429"/>
      <c r="D210" s="1429"/>
      <c r="E210" s="1429"/>
      <c r="F210" s="1429"/>
      <c r="G210" s="1429"/>
      <c r="H210" s="1429"/>
      <c r="I210" s="1429"/>
      <c r="J210" s="1429"/>
      <c r="K210" s="1429"/>
      <c r="L210" s="1424"/>
      <c r="M210" s="1428">
        <f>M172</f>
        <v>10</v>
      </c>
      <c r="N210" s="1423">
        <f t="shared" si="260"/>
        <v>9</v>
      </c>
      <c r="O210" s="1423">
        <f t="shared" si="261"/>
        <v>8</v>
      </c>
      <c r="P210" s="1423">
        <f t="shared" si="262"/>
        <v>7</v>
      </c>
      <c r="Q210" s="1423">
        <f t="shared" si="263"/>
        <v>6</v>
      </c>
      <c r="R210" s="1423">
        <f t="shared" si="264"/>
        <v>5</v>
      </c>
      <c r="S210" s="1423">
        <f t="shared" si="265"/>
        <v>4</v>
      </c>
      <c r="T210" s="1423">
        <f t="shared" si="266"/>
        <v>3</v>
      </c>
      <c r="U210" s="1423">
        <f t="shared" si="267"/>
        <v>2</v>
      </c>
      <c r="V210" s="1423">
        <f t="shared" si="268"/>
        <v>1</v>
      </c>
      <c r="W210" s="1423">
        <f t="shared" si="269"/>
        <v>0</v>
      </c>
      <c r="X210" s="152"/>
      <c r="Y210" s="152"/>
      <c r="Z210" s="152"/>
      <c r="AA210" s="152"/>
      <c r="AB210" s="152"/>
    </row>
    <row r="211" spans="1:28" hidden="1" outlineLevel="1">
      <c r="A211" s="242"/>
      <c r="B211" s="190" t="str">
        <f t="shared" ca="1" si="270"/>
        <v>RL Capex 2026-27</v>
      </c>
      <c r="C211" s="1429"/>
      <c r="D211" s="1429"/>
      <c r="E211" s="1429"/>
      <c r="F211" s="1429"/>
      <c r="G211" s="1429"/>
      <c r="H211" s="1429"/>
      <c r="I211" s="1429"/>
      <c r="J211" s="1429"/>
      <c r="K211" s="1429"/>
      <c r="L211" s="1429"/>
      <c r="M211" s="1424"/>
      <c r="N211" s="1428">
        <f>N172</f>
        <v>0</v>
      </c>
      <c r="O211" s="1423">
        <f t="shared" si="261"/>
        <v>0</v>
      </c>
      <c r="P211" s="1423">
        <f t="shared" si="262"/>
        <v>0</v>
      </c>
      <c r="Q211" s="1423">
        <f t="shared" si="263"/>
        <v>0</v>
      </c>
      <c r="R211" s="1423">
        <f t="shared" si="264"/>
        <v>0</v>
      </c>
      <c r="S211" s="1423">
        <f t="shared" si="265"/>
        <v>0</v>
      </c>
      <c r="T211" s="1423">
        <f t="shared" si="266"/>
        <v>0</v>
      </c>
      <c r="U211" s="1423">
        <f t="shared" si="267"/>
        <v>0</v>
      </c>
      <c r="V211" s="1423">
        <f t="shared" si="268"/>
        <v>0</v>
      </c>
      <c r="W211" s="1423">
        <f t="shared" si="269"/>
        <v>0</v>
      </c>
      <c r="X211" s="152"/>
      <c r="Y211" s="152"/>
      <c r="Z211" s="152"/>
      <c r="AA211" s="152"/>
      <c r="AB211" s="152"/>
    </row>
    <row r="212" spans="1:28" hidden="1" outlineLevel="1">
      <c r="A212" s="242"/>
      <c r="B212" s="190" t="str">
        <f t="shared" ca="1" si="270"/>
        <v>RL Capex 2027-28</v>
      </c>
      <c r="C212" s="1429"/>
      <c r="D212" s="1429"/>
      <c r="E212" s="1429"/>
      <c r="F212" s="1429"/>
      <c r="G212" s="1429"/>
      <c r="H212" s="1429"/>
      <c r="I212" s="1429"/>
      <c r="J212" s="1429"/>
      <c r="K212" s="1429"/>
      <c r="L212" s="1429"/>
      <c r="M212" s="1429"/>
      <c r="N212" s="1424"/>
      <c r="O212" s="1428">
        <f>O172</f>
        <v>0</v>
      </c>
      <c r="P212" s="1423">
        <f t="shared" si="262"/>
        <v>0</v>
      </c>
      <c r="Q212" s="1423">
        <f t="shared" si="263"/>
        <v>0</v>
      </c>
      <c r="R212" s="1423">
        <f t="shared" si="264"/>
        <v>0</v>
      </c>
      <c r="S212" s="1423">
        <f t="shared" si="265"/>
        <v>0</v>
      </c>
      <c r="T212" s="1423">
        <f t="shared" si="266"/>
        <v>0</v>
      </c>
      <c r="U212" s="1423">
        <f t="shared" si="267"/>
        <v>0</v>
      </c>
      <c r="V212" s="1423">
        <f t="shared" si="268"/>
        <v>0</v>
      </c>
      <c r="W212" s="1423">
        <f t="shared" si="269"/>
        <v>0</v>
      </c>
      <c r="X212" s="152"/>
      <c r="Y212" s="152"/>
      <c r="Z212" s="152"/>
      <c r="AA212" s="152"/>
      <c r="AB212" s="152"/>
    </row>
    <row r="213" spans="1:28" hidden="1" outlineLevel="1">
      <c r="A213" s="242"/>
      <c r="B213" s="190" t="str">
        <f t="shared" ca="1" si="270"/>
        <v>RL Capex 2028-29</v>
      </c>
      <c r="C213" s="1429"/>
      <c r="D213" s="1429"/>
      <c r="E213" s="1429"/>
      <c r="F213" s="1429"/>
      <c r="G213" s="1429"/>
      <c r="H213" s="1429"/>
      <c r="I213" s="1429"/>
      <c r="J213" s="1429"/>
      <c r="K213" s="1429"/>
      <c r="L213" s="1429"/>
      <c r="M213" s="1429"/>
      <c r="N213" s="1429"/>
      <c r="O213" s="1424"/>
      <c r="P213" s="1428">
        <f>P172</f>
        <v>0</v>
      </c>
      <c r="Q213" s="1423">
        <f t="shared" si="263"/>
        <v>0</v>
      </c>
      <c r="R213" s="1423">
        <f t="shared" si="264"/>
        <v>0</v>
      </c>
      <c r="S213" s="1423">
        <f t="shared" si="265"/>
        <v>0</v>
      </c>
      <c r="T213" s="1423">
        <f t="shared" si="266"/>
        <v>0</v>
      </c>
      <c r="U213" s="1423">
        <f t="shared" si="267"/>
        <v>0</v>
      </c>
      <c r="V213" s="1423">
        <f t="shared" si="268"/>
        <v>0</v>
      </c>
      <c r="W213" s="1423">
        <f t="shared" si="269"/>
        <v>0</v>
      </c>
      <c r="X213" s="152"/>
      <c r="Y213" s="152"/>
      <c r="Z213" s="152"/>
      <c r="AA213" s="152"/>
      <c r="AB213" s="152"/>
    </row>
    <row r="214" spans="1:28" hidden="1" outlineLevel="1">
      <c r="A214" s="242"/>
      <c r="B214" s="190" t="str">
        <f t="shared" ca="1" si="270"/>
        <v>RL Capex 2029-30</v>
      </c>
      <c r="C214" s="1429"/>
      <c r="D214" s="1429"/>
      <c r="E214" s="1429"/>
      <c r="F214" s="1429"/>
      <c r="G214" s="1429"/>
      <c r="H214" s="1429"/>
      <c r="I214" s="1429"/>
      <c r="J214" s="1429"/>
      <c r="K214" s="1429"/>
      <c r="L214" s="1429"/>
      <c r="M214" s="1429"/>
      <c r="N214" s="1429"/>
      <c r="O214" s="1429"/>
      <c r="P214" s="1424"/>
      <c r="Q214" s="1428">
        <f>Q172</f>
        <v>0</v>
      </c>
      <c r="R214" s="1423">
        <f t="shared" si="264"/>
        <v>0</v>
      </c>
      <c r="S214" s="1423">
        <f t="shared" si="265"/>
        <v>0</v>
      </c>
      <c r="T214" s="1423">
        <f t="shared" si="266"/>
        <v>0</v>
      </c>
      <c r="U214" s="1423">
        <f t="shared" si="267"/>
        <v>0</v>
      </c>
      <c r="V214" s="1423">
        <f t="shared" si="268"/>
        <v>0</v>
      </c>
      <c r="W214" s="1423">
        <f t="shared" si="269"/>
        <v>0</v>
      </c>
      <c r="X214" s="152"/>
      <c r="Y214" s="152"/>
      <c r="Z214" s="152"/>
      <c r="AA214" s="152"/>
      <c r="AB214" s="152"/>
    </row>
    <row r="215" spans="1:28" hidden="1" outlineLevel="1">
      <c r="A215" s="242"/>
      <c r="B215" s="190" t="str">
        <f t="shared" ca="1" si="270"/>
        <v>RL Capex 2030-31</v>
      </c>
      <c r="C215" s="1429"/>
      <c r="D215" s="1429"/>
      <c r="E215" s="1429"/>
      <c r="F215" s="1429"/>
      <c r="G215" s="1429"/>
      <c r="H215" s="1429"/>
      <c r="I215" s="1429"/>
      <c r="J215" s="1429"/>
      <c r="K215" s="1429"/>
      <c r="L215" s="1429"/>
      <c r="M215" s="1429"/>
      <c r="N215" s="1429"/>
      <c r="O215" s="1429"/>
      <c r="P215" s="1429"/>
      <c r="Q215" s="1424"/>
      <c r="R215" s="1428">
        <f>R172</f>
        <v>0</v>
      </c>
      <c r="S215" s="1423">
        <f t="shared" si="265"/>
        <v>0</v>
      </c>
      <c r="T215" s="1423">
        <f t="shared" si="266"/>
        <v>0</v>
      </c>
      <c r="U215" s="1423">
        <f t="shared" si="267"/>
        <v>0</v>
      </c>
      <c r="V215" s="1423">
        <f t="shared" si="268"/>
        <v>0</v>
      </c>
      <c r="W215" s="1423">
        <f t="shared" si="269"/>
        <v>0</v>
      </c>
      <c r="X215" s="152"/>
      <c r="Y215" s="152"/>
      <c r="Z215" s="152"/>
      <c r="AA215" s="152"/>
      <c r="AB215" s="152"/>
    </row>
    <row r="216" spans="1:28" hidden="1" outlineLevel="1">
      <c r="A216" s="242"/>
      <c r="B216" s="190" t="str">
        <f t="shared" ca="1" si="270"/>
        <v>RL Capex 2031-32</v>
      </c>
      <c r="C216" s="1429"/>
      <c r="D216" s="1429"/>
      <c r="E216" s="1429"/>
      <c r="F216" s="1429"/>
      <c r="G216" s="1429"/>
      <c r="H216" s="1429"/>
      <c r="I216" s="1429"/>
      <c r="J216" s="1429"/>
      <c r="K216" s="1429"/>
      <c r="L216" s="1429"/>
      <c r="M216" s="1429"/>
      <c r="N216" s="1429"/>
      <c r="O216" s="1429"/>
      <c r="P216" s="1429"/>
      <c r="Q216" s="1429"/>
      <c r="R216" s="1424"/>
      <c r="S216" s="1428">
        <f>S172</f>
        <v>0</v>
      </c>
      <c r="T216" s="1423">
        <f t="shared" si="266"/>
        <v>0</v>
      </c>
      <c r="U216" s="1423">
        <f t="shared" si="267"/>
        <v>0</v>
      </c>
      <c r="V216" s="1423">
        <f t="shared" si="268"/>
        <v>0</v>
      </c>
      <c r="W216" s="1423">
        <f t="shared" si="269"/>
        <v>0</v>
      </c>
      <c r="X216" s="152"/>
      <c r="Y216" s="152"/>
      <c r="Z216" s="152"/>
      <c r="AA216" s="152"/>
      <c r="AB216" s="152"/>
    </row>
    <row r="217" spans="1:28" hidden="1" outlineLevel="1">
      <c r="A217" s="242"/>
      <c r="B217" s="190" t="str">
        <f t="shared" ca="1" si="270"/>
        <v>RL Capex 2032-33</v>
      </c>
      <c r="C217" s="1429"/>
      <c r="D217" s="1429"/>
      <c r="E217" s="1429"/>
      <c r="F217" s="1429"/>
      <c r="G217" s="1429"/>
      <c r="H217" s="1429"/>
      <c r="I217" s="1429"/>
      <c r="J217" s="1429"/>
      <c r="K217" s="1429"/>
      <c r="L217" s="1429"/>
      <c r="M217" s="1429"/>
      <c r="N217" s="1429"/>
      <c r="O217" s="1429"/>
      <c r="P217" s="1429"/>
      <c r="Q217" s="1429"/>
      <c r="R217" s="1429"/>
      <c r="S217" s="1424"/>
      <c r="T217" s="1428">
        <f>T172</f>
        <v>0</v>
      </c>
      <c r="U217" s="1423">
        <f t="shared" si="267"/>
        <v>0</v>
      </c>
      <c r="V217" s="1423">
        <f t="shared" si="268"/>
        <v>0</v>
      </c>
      <c r="W217" s="1423">
        <f t="shared" si="269"/>
        <v>0</v>
      </c>
      <c r="X217" s="152"/>
      <c r="Y217" s="152"/>
      <c r="Z217" s="152"/>
      <c r="AA217" s="152"/>
      <c r="AB217" s="152"/>
    </row>
    <row r="218" spans="1:28" hidden="1" outlineLevel="1">
      <c r="A218" s="242"/>
      <c r="B218" s="190" t="str">
        <f t="shared" ca="1" si="270"/>
        <v>RL Capex 2033-34</v>
      </c>
      <c r="C218" s="1429"/>
      <c r="D218" s="1429"/>
      <c r="E218" s="1429"/>
      <c r="F218" s="1429"/>
      <c r="G218" s="1429"/>
      <c r="H218" s="1429"/>
      <c r="I218" s="1429"/>
      <c r="J218" s="1429"/>
      <c r="K218" s="1429"/>
      <c r="L218" s="1429"/>
      <c r="M218" s="1429"/>
      <c r="N218" s="1429"/>
      <c r="O218" s="1429"/>
      <c r="P218" s="1429"/>
      <c r="Q218" s="1429"/>
      <c r="R218" s="1429"/>
      <c r="S218" s="1429"/>
      <c r="T218" s="1424"/>
      <c r="U218" s="1428">
        <f>U172</f>
        <v>0</v>
      </c>
      <c r="V218" s="1423">
        <f t="shared" si="268"/>
        <v>0</v>
      </c>
      <c r="W218" s="1423">
        <f t="shared" si="269"/>
        <v>0</v>
      </c>
      <c r="X218" s="152"/>
      <c r="Y218" s="152"/>
      <c r="Z218" s="152"/>
      <c r="AA218" s="152"/>
      <c r="AB218" s="152"/>
    </row>
    <row r="219" spans="1:28" hidden="1" outlineLevel="1">
      <c r="A219" s="242"/>
      <c r="B219" s="190" t="str">
        <f t="shared" ca="1" si="270"/>
        <v>RL Capex 2034-35</v>
      </c>
      <c r="C219" s="1429"/>
      <c r="D219" s="1429"/>
      <c r="E219" s="1429"/>
      <c r="F219" s="1429"/>
      <c r="G219" s="1429"/>
      <c r="H219" s="1429"/>
      <c r="I219" s="1429"/>
      <c r="J219" s="1429"/>
      <c r="K219" s="1429"/>
      <c r="L219" s="1429"/>
      <c r="M219" s="1429"/>
      <c r="N219" s="1429"/>
      <c r="O219" s="1429"/>
      <c r="P219" s="1429"/>
      <c r="Q219" s="1429"/>
      <c r="R219" s="1429"/>
      <c r="S219" s="1429"/>
      <c r="T219" s="1429"/>
      <c r="U219" s="1424"/>
      <c r="V219" s="1428">
        <f>V172</f>
        <v>0</v>
      </c>
      <c r="W219" s="1423">
        <f>IF(V219="n/a","n/a",MAX(0,V219-1))</f>
        <v>0</v>
      </c>
      <c r="X219" s="152"/>
      <c r="Y219" s="152"/>
      <c r="Z219" s="152"/>
      <c r="AA219" s="152"/>
      <c r="AB219" s="152"/>
    </row>
    <row r="220" spans="1:28" hidden="1" outlineLevel="1">
      <c r="A220" s="242"/>
      <c r="B220" s="190" t="str">
        <f t="shared" ca="1" si="270"/>
        <v>RL Capex 2035-36</v>
      </c>
      <c r="C220" s="1429"/>
      <c r="D220" s="1429"/>
      <c r="E220" s="1429"/>
      <c r="F220" s="1429"/>
      <c r="G220" s="1429"/>
      <c r="H220" s="1429"/>
      <c r="I220" s="1429"/>
      <c r="J220" s="1429"/>
      <c r="K220" s="1429"/>
      <c r="L220" s="1429"/>
      <c r="M220" s="1429"/>
      <c r="N220" s="1429"/>
      <c r="O220" s="1429"/>
      <c r="P220" s="1429"/>
      <c r="Q220" s="1429"/>
      <c r="R220" s="1429"/>
      <c r="S220" s="1429"/>
      <c r="T220" s="1429"/>
      <c r="U220" s="1429"/>
      <c r="V220" s="1424"/>
      <c r="W220" s="1423">
        <f>W172</f>
        <v>0</v>
      </c>
      <c r="X220" s="152"/>
      <c r="Y220" s="152"/>
      <c r="Z220" s="152"/>
      <c r="AA220" s="152"/>
      <c r="AB220" s="152"/>
    </row>
    <row r="221" spans="1:28" hidden="1" outlineLevel="1">
      <c r="A221" s="242"/>
      <c r="B221" s="200"/>
      <c r="C221" s="1423"/>
      <c r="D221" s="1423"/>
      <c r="E221" s="1423"/>
      <c r="F221" s="1423"/>
      <c r="G221" s="1423"/>
      <c r="H221" s="1423"/>
      <c r="I221" s="1423"/>
      <c r="J221" s="1423"/>
      <c r="K221" s="1423"/>
      <c r="L221" s="1423"/>
      <c r="M221" s="1423"/>
      <c r="N221" s="1423"/>
      <c r="O221" s="1423"/>
      <c r="P221" s="1423"/>
      <c r="Q221" s="1423"/>
      <c r="R221" s="1423"/>
      <c r="S221" s="1423"/>
      <c r="T221" s="1423"/>
      <c r="U221" s="1423"/>
      <c r="V221" s="1423"/>
      <c r="W221" s="1423"/>
      <c r="X221" s="152"/>
      <c r="Y221" s="152"/>
      <c r="Z221" s="152"/>
      <c r="AA221" s="152"/>
      <c r="AB221" s="152"/>
    </row>
    <row r="222" spans="1:28" collapsed="1">
      <c r="A222" s="246"/>
      <c r="B222" s="204" t="s">
        <v>123</v>
      </c>
      <c r="C222" s="1430">
        <f ca="1">(IF(OR($C172&lt;&gt;"n/a",C172&lt;&gt;"n/a"),IF(SUM(C175:C197)=0,0,IF((SUMPRODUCT(C175:C197,C199:C221)/SUM(C175:C197))&lt;0,1,(SUMPRODUCT(C175:C197,C199:C221)/SUM(C175:C197)))),"n/a"))</f>
        <v>8.4419357937527693</v>
      </c>
      <c r="D222" s="1430">
        <f ca="1">(IF(OR($C172&lt;&gt;"n/a",D172&lt;&gt;"n/a"),IF(SUM(D175:D197)=0,0,IF((SUMPRODUCT(D175:D197,D199:D221)/SUM(D175:D197))&lt;0,1,(SUMPRODUCT(D175:D197,D199:D221)/SUM(D175:D197)))),"n/a"))</f>
        <v>8.0576952610277122</v>
      </c>
      <c r="E222" s="1430">
        <f t="shared" ref="E222:W222" ca="1" si="271">(IF(OR($C172&lt;&gt;"n/a",E172&lt;&gt;"n/a"),IF(SUM(E175:E197)=0,0,IF((SUMPRODUCT(E175:E197,E199:E221)/SUM(E175:E197))&lt;0,1,(SUMPRODUCT(E175:E197,E199:E221)/SUM(E175:E197)))),"n/a"))</f>
        <v>7.3919719610234438</v>
      </c>
      <c r="F222" s="1430">
        <f t="shared" ca="1" si="271"/>
        <v>6.5527719502938568</v>
      </c>
      <c r="G222" s="1430">
        <f t="shared" ca="1" si="271"/>
        <v>5.9668422131978351</v>
      </c>
      <c r="H222" s="1430">
        <f t="shared" ca="1" si="271"/>
        <v>5.3656579306966492</v>
      </c>
      <c r="I222" s="1430">
        <f t="shared" ca="1" si="271"/>
        <v>4.9223577997282826</v>
      </c>
      <c r="J222" s="1430">
        <f t="shared" ca="1" si="271"/>
        <v>4.6348038100171891</v>
      </c>
      <c r="K222" s="1430">
        <f t="shared" ca="1" si="271"/>
        <v>4.5760304141104449</v>
      </c>
      <c r="L222" s="1430">
        <f t="shared" ca="1" si="271"/>
        <v>4.5442417064876039</v>
      </c>
      <c r="M222" s="1430">
        <f t="shared" ca="1" si="271"/>
        <v>3.9273559819216657</v>
      </c>
      <c r="N222" s="1430">
        <f t="shared" ca="1" si="271"/>
        <v>3.8008539486284896</v>
      </c>
      <c r="O222" s="1430">
        <f t="shared" ca="1" si="271"/>
        <v>3.3494848155208832</v>
      </c>
      <c r="P222" s="1430">
        <f t="shared" ca="1" si="271"/>
        <v>2.6654503139195835</v>
      </c>
      <c r="Q222" s="1430">
        <f t="shared" ca="1" si="271"/>
        <v>2.160870769017738</v>
      </c>
      <c r="R222" s="1430">
        <f t="shared" ca="1" si="271"/>
        <v>1.5565181806348376</v>
      </c>
      <c r="S222" s="1430">
        <f t="shared" ca="1" si="271"/>
        <v>0.99999999999999767</v>
      </c>
      <c r="T222" s="1430">
        <f t="shared" ca="1" si="271"/>
        <v>0</v>
      </c>
      <c r="U222" s="1430">
        <f t="shared" ca="1" si="271"/>
        <v>0</v>
      </c>
      <c r="V222" s="1430">
        <f t="shared" ca="1" si="271"/>
        <v>0</v>
      </c>
      <c r="W222" s="1430">
        <f t="shared" ca="1" si="271"/>
        <v>0</v>
      </c>
      <c r="X222" s="152"/>
      <c r="Y222" s="152"/>
      <c r="Z222" s="152"/>
      <c r="AA222" s="152"/>
      <c r="AB222" s="152"/>
    </row>
    <row r="223" spans="1:28">
      <c r="A223" s="242"/>
      <c r="B223" s="152"/>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52"/>
      <c r="Y223" s="152"/>
      <c r="Z223" s="152"/>
      <c r="AA223" s="152"/>
      <c r="AB223" s="152"/>
    </row>
    <row r="224" spans="1:28">
      <c r="A224" s="269" t="s">
        <v>5</v>
      </c>
      <c r="B224" s="270" t="str">
        <f>VLOOKUP($A224,'RFM input'!$E$7:$F$56,2,FALSE)</f>
        <v>IT System</v>
      </c>
      <c r="C224" s="1431"/>
      <c r="D224" s="1431"/>
      <c r="E224" s="1432"/>
      <c r="F224" s="1432"/>
      <c r="G224" s="1432"/>
      <c r="H224" s="1432"/>
      <c r="I224" s="1432"/>
      <c r="J224" s="1432"/>
      <c r="K224" s="1432"/>
      <c r="L224" s="1432"/>
      <c r="M224" s="1432"/>
      <c r="N224" s="1432"/>
      <c r="O224" s="1432"/>
      <c r="P224" s="1432"/>
      <c r="Q224" s="1432"/>
      <c r="R224" s="1432"/>
      <c r="S224" s="1432"/>
      <c r="T224" s="1432"/>
      <c r="U224" s="1432"/>
      <c r="V224" s="1432"/>
      <c r="W224" s="1432"/>
      <c r="X224" s="152"/>
      <c r="Y224" s="152"/>
      <c r="Z224" s="152"/>
      <c r="AA224" s="152"/>
      <c r="AB224" s="152"/>
    </row>
    <row r="225" spans="1:28">
      <c r="A225" s="215">
        <f>VALUE(REPLACE(A224,1,12,""))</f>
        <v>5</v>
      </c>
      <c r="B225" s="263" t="s">
        <v>126</v>
      </c>
      <c r="C225" s="1416">
        <f ca="1">IF($D$6='TAB roll forward'!$H$4,OFFSET('TAB roll forward'!$H$7,A225,0),"enter input")</f>
        <v>8.8025424398874303</v>
      </c>
      <c r="D225" s="1417">
        <f>IF(LEFT(D$6,4)&lt;LEFT('RFM input'!$G$60,4),"enter input",IF(LEFT(D$6,4)&gt;LEFT('RFM input'!$Q$60,4),0,
INDEX('RFM input'!$G$61:$Q$110,$A225,MATCH(D$6,'RFM input'!$G$60:$Q$60,0))
   -INDEX('RFM input'!$G$115:$Q$164,$A225,MATCH(D$6,'RFM input'!$G$60:$Q$60,0))))</f>
        <v>0.1898858346720001</v>
      </c>
      <c r="E225" s="1417">
        <f>IF(LEFT(E$6,4)&lt;LEFT('RFM input'!$G$60,4),"enter input",IF(LEFT(E$6,4)&gt;LEFT('RFM input'!$Q$60,4),0,
INDEX('RFM input'!$G$61:$Q$110,$A225,MATCH(E$6,'RFM input'!$G$60:$Q$60,0))
   -INDEX('RFM input'!$G$115:$Q$164,$A225,MATCH(E$6,'RFM input'!$G$60:$Q$60,0))))</f>
        <v>0.51631117876599997</v>
      </c>
      <c r="F225" s="1417">
        <f>IF(LEFT(F$6,4)&lt;LEFT('RFM input'!$G$60,4),"enter input",IF(LEFT(F$6,4)&gt;LEFT('RFM input'!$Q$60,4),0,
INDEX('RFM input'!$G$61:$Q$110,$A225,MATCH(F$6,'RFM input'!$G$60:$Q$60,0))
   -INDEX('RFM input'!$G$115:$Q$164,$A225,MATCH(F$6,'RFM input'!$G$60:$Q$60,0))))</f>
        <v>0.88921402387412019</v>
      </c>
      <c r="G225" s="1417">
        <f>IF(LEFT(G$6,4)&lt;LEFT('RFM input'!$G$60,4),"enter input",IF(LEFT(G$6,4)&gt;LEFT('RFM input'!$Q$60,4),0,
INDEX('RFM input'!$G$61:$Q$110,$A225,MATCH(G$6,'RFM input'!$G$60:$Q$60,0))
   -INDEX('RFM input'!$G$115:$Q$164,$A225,MATCH(G$6,'RFM input'!$G$60:$Q$60,0))))</f>
        <v>1.4335010672874571</v>
      </c>
      <c r="H225" s="1417">
        <f>IF(LEFT(H$6,4)&lt;LEFT('RFM input'!$G$60,4),"enter input",IF(LEFT(H$6,4)&gt;LEFT('RFM input'!$Q$60,4),0,
INDEX('RFM input'!$G$61:$Q$110,$A225,MATCH(H$6,'RFM input'!$G$60:$Q$60,0))
   -INDEX('RFM input'!$G$115:$Q$164,$A225,MATCH(H$6,'RFM input'!$G$60:$Q$60,0))))</f>
        <v>1.5087705538296319</v>
      </c>
      <c r="I225" s="1417">
        <f>IF(LEFT(I$6,4)&lt;LEFT('RFM input'!$G$60,4),"enter input",IF(LEFT(I$6,4)&gt;LEFT('RFM input'!$Q$60,4),0,
INDEX('RFM input'!$G$61:$Q$110,$A225,MATCH(I$6,'RFM input'!$G$60:$Q$60,0))
   -INDEX('RFM input'!$G$115:$Q$164,$A225,MATCH(I$6,'RFM input'!$G$60:$Q$60,0))))</f>
        <v>1.9436581048472017</v>
      </c>
      <c r="J225" s="1417">
        <f>IF(LEFT(J$6,4)&lt;LEFT('RFM input'!$G$60,4),"enter input",IF(LEFT(J$6,4)&gt;LEFT('RFM input'!$Q$60,4),0,
INDEX('RFM input'!$G$61:$Q$110,$A225,MATCH(J$6,'RFM input'!$G$60:$Q$60,0))
   -INDEX('RFM input'!$G$115:$Q$164,$A225,MATCH(J$6,'RFM input'!$G$60:$Q$60,0))))</f>
        <v>0.82496443621721094</v>
      </c>
      <c r="K225" s="1417">
        <f>IF(LEFT(K$6,4)&lt;LEFT('RFM input'!$G$60,4),"enter input",IF(LEFT(K$6,4)&gt;LEFT('RFM input'!$Q$60,4),0,
INDEX('RFM input'!$G$61:$Q$110,$A225,MATCH(K$6,'RFM input'!$G$60:$Q$60,0))
   -INDEX('RFM input'!$G$115:$Q$164,$A225,MATCH(K$6,'RFM input'!$G$60:$Q$60,0))))</f>
        <v>0</v>
      </c>
      <c r="L225" s="1417">
        <f>IF(LEFT(L$6,4)&lt;LEFT('RFM input'!$G$60,4),"enter input",IF(LEFT(L$6,4)&gt;LEFT('RFM input'!$Q$60,4),0,
INDEX('RFM input'!$G$61:$Q$110,$A225,MATCH(L$6,'RFM input'!$G$60:$Q$60,0))
   -INDEX('RFM input'!$G$115:$Q$164,$A225,MATCH(L$6,'RFM input'!$G$60:$Q$60,0))))</f>
        <v>0</v>
      </c>
      <c r="M225" s="1417">
        <f>IF(LEFT(M$6,4)&lt;LEFT('RFM input'!$G$60,4),"enter input",IF(LEFT(M$6,4)&gt;LEFT('RFM input'!$Q$60,4),0,
INDEX('RFM input'!$G$61:$Q$110,$A225,MATCH(M$6,'RFM input'!$G$60:$Q$60,0))
   -INDEX('RFM input'!$G$115:$Q$164,$A225,MATCH(M$6,'RFM input'!$G$60:$Q$60,0))))</f>
        <v>0</v>
      </c>
      <c r="N225" s="1417">
        <f>IF(LEFT(N$6,4)&lt;LEFT('RFM input'!$G$60,4),"enter input",IF(LEFT(N$6,4)&gt;LEFT('RFM input'!$Q$60,4),0,
INDEX('RFM input'!$G$61:$Q$110,$A225,MATCH(N$6,'RFM input'!$G$60:$Q$60,0))
   -INDEX('RFM input'!$G$115:$Q$164,$A225,MATCH(N$6,'RFM input'!$G$60:$Q$60,0))))</f>
        <v>0</v>
      </c>
      <c r="O225" s="1417">
        <f>IF(LEFT(O$6,4)&lt;LEFT('RFM input'!$G$60,4),"enter input",IF(LEFT(O$6,4)&gt;LEFT('RFM input'!$Q$60,4),0,
INDEX('RFM input'!$G$61:$Q$110,$A225,MATCH(O$6,'RFM input'!$G$60:$Q$60,0))
   -INDEX('RFM input'!$G$115:$Q$164,$A225,MATCH(O$6,'RFM input'!$G$60:$Q$60,0))))</f>
        <v>0</v>
      </c>
      <c r="P225" s="1417">
        <f>IF(LEFT(P$6,4)&lt;LEFT('RFM input'!$G$60,4),"enter input",IF(LEFT(P$6,4)&gt;LEFT('RFM input'!$Q$60,4),0,
INDEX('RFM input'!$G$61:$Q$110,$A225,MATCH(P$6,'RFM input'!$G$60:$Q$60,0))
   -INDEX('RFM input'!$G$115:$Q$164,$A225,MATCH(P$6,'RFM input'!$G$60:$Q$60,0))))</f>
        <v>0</v>
      </c>
      <c r="Q225" s="1417">
        <f>IF(LEFT(Q$6,4)&lt;LEFT('RFM input'!$G$60,4),"enter input",IF(LEFT(Q$6,4)&gt;LEFT('RFM input'!$Q$60,4),0,
INDEX('RFM input'!$G$61:$Q$110,$A225,MATCH(Q$6,'RFM input'!$G$60:$Q$60,0))
   -INDEX('RFM input'!$G$115:$Q$164,$A225,MATCH(Q$6,'RFM input'!$G$60:$Q$60,0))))</f>
        <v>0</v>
      </c>
      <c r="R225" s="1417">
        <f>IF(LEFT(R$6,4)&lt;LEFT('RFM input'!$G$60,4),"enter input",IF(LEFT(R$6,4)&gt;LEFT('RFM input'!$Q$60,4),0,
INDEX('RFM input'!$G$61:$Q$110,$A225,MATCH(R$6,'RFM input'!$G$60:$Q$60,0))
   -INDEX('RFM input'!$G$115:$Q$164,$A225,MATCH(R$6,'RFM input'!$G$60:$Q$60,0))))</f>
        <v>0</v>
      </c>
      <c r="S225" s="1417">
        <f>IF(LEFT(S$6,4)&lt;LEFT('RFM input'!$G$60,4),"enter input",IF(LEFT(S$6,4)&gt;LEFT('RFM input'!$Q$60,4),0,
INDEX('RFM input'!$G$61:$Q$110,$A225,MATCH(S$6,'RFM input'!$G$60:$Q$60,0))
   -INDEX('RFM input'!$G$115:$Q$164,$A225,MATCH(S$6,'RFM input'!$G$60:$Q$60,0))))</f>
        <v>0</v>
      </c>
      <c r="T225" s="1417">
        <f>IF(LEFT(T$6,4)&lt;LEFT('RFM input'!$G$60,4),"enter input",IF(LEFT(T$6,4)&gt;LEFT('RFM input'!$Q$60,4),0,
INDEX('RFM input'!$G$61:$Q$110,$A225,MATCH(T$6,'RFM input'!$G$60:$Q$60,0))
   -INDEX('RFM input'!$G$115:$Q$164,$A225,MATCH(T$6,'RFM input'!$G$60:$Q$60,0))))</f>
        <v>0</v>
      </c>
      <c r="U225" s="1417">
        <f>IF(LEFT(U$6,4)&lt;LEFT('RFM input'!$G$60,4),"enter input",IF(LEFT(U$6,4)&gt;LEFT('RFM input'!$Q$60,4),0,
INDEX('RFM input'!$G$61:$Q$110,$A225,MATCH(U$6,'RFM input'!$G$60:$Q$60,0))
   -INDEX('RFM input'!$G$115:$Q$164,$A225,MATCH(U$6,'RFM input'!$G$60:$Q$60,0))))</f>
        <v>0</v>
      </c>
      <c r="V225" s="1417">
        <f>IF(LEFT(V$6,4)&lt;LEFT('RFM input'!$G$60,4),"enter input",IF(LEFT(V$6,4)&gt;LEFT('RFM input'!$Q$60,4),0,
INDEX('RFM input'!$G$61:$Q$110,$A225,MATCH(V$6,'RFM input'!$G$60:$Q$60,0))
   -INDEX('RFM input'!$G$115:$Q$164,$A225,MATCH(V$6,'RFM input'!$G$60:$Q$60,0))))</f>
        <v>0</v>
      </c>
      <c r="W225" s="1417">
        <f>IF(LEFT(W$6,4)&lt;LEFT('RFM input'!$G$60,4),"enter input",IF(LEFT(W$6,4)&gt;LEFT('RFM input'!$Q$60,4),0,
INDEX('RFM input'!$G$61:$Q$110,$A225,MATCH(W$6,'RFM input'!$G$60:$Q$60,0))
   -INDEX('RFM input'!$G$115:$Q$164,$A225,MATCH(W$6,'RFM input'!$G$60:$Q$60,0))))</f>
        <v>0</v>
      </c>
      <c r="X225" s="152"/>
      <c r="Y225" s="152"/>
      <c r="Z225" s="152"/>
      <c r="AA225" s="152"/>
      <c r="AB225" s="152"/>
    </row>
    <row r="226" spans="1:28">
      <c r="A226" s="242"/>
      <c r="B226" s="152" t="s">
        <v>205</v>
      </c>
      <c r="C226" s="1418">
        <f ca="1">IF($D$6='TAB roll forward'!$H$4,OFFSET('RFM input'!$S$6,$A225,0),"enter input")</f>
        <v>3.6344893898872339</v>
      </c>
      <c r="D226" s="1417">
        <f>IF(LEFT(D$6,4)&lt;=LEFT('RFM input'!$G$60,4),"enter input",IF(LEFT(D$6,4)&gt;LEFT('RFM input'!$Q$60,4),0,
IF(MATCH(D$6,'RFM input'!$H$60:$Q$60,0),INDEX('RFM input'!$T$7:$T$56,$A225,1,1))))</f>
        <v>4</v>
      </c>
      <c r="E226" s="1417">
        <f>IF(LEFT(E$6,4)&lt;=LEFT('RFM input'!$G$60,4),"enter input",IF(LEFT(E$6,4)&gt;LEFT('RFM input'!$Q$60,4),0,
IF(MATCH(E$6,'RFM input'!$H$60:$Q$60,0),INDEX('RFM input'!$T$7:$T$56,$A225,1,1))))</f>
        <v>4</v>
      </c>
      <c r="F226" s="1417">
        <f>IF(LEFT(F$6,4)&lt;=LEFT('RFM input'!$G$60,4),"enter input",IF(LEFT(F$6,4)&gt;LEFT('RFM input'!$Q$60,4),0,
IF(MATCH(F$6,'RFM input'!$H$60:$Q$60,0),INDEX('RFM input'!$T$7:$T$56,$A225,1,1))))</f>
        <v>4</v>
      </c>
      <c r="G226" s="1417">
        <f>IF(LEFT(G$6,4)&lt;=LEFT('RFM input'!$G$60,4),"enter input",IF(LEFT(G$6,4)&gt;LEFT('RFM input'!$Q$60,4),0,
IF(MATCH(G$6,'RFM input'!$H$60:$Q$60,0),INDEX('RFM input'!$T$7:$T$56,$A225,1,1))))</f>
        <v>4</v>
      </c>
      <c r="H226" s="1417">
        <f>IF(LEFT(H$6,4)&lt;=LEFT('RFM input'!$G$60,4),"enter input",IF(LEFT(H$6,4)&gt;LEFT('RFM input'!$Q$60,4),0,
IF(MATCH(H$6,'RFM input'!$H$60:$Q$60,0),INDEX('RFM input'!$T$7:$T$56,$A225,1,1))))</f>
        <v>4</v>
      </c>
      <c r="I226" s="1417">
        <f>IF(LEFT(I$6,4)&lt;=LEFT('RFM input'!$G$60,4),"enter input",IF(LEFT(I$6,4)&gt;LEFT('RFM input'!$Q$60,4),0,
IF(MATCH(I$6,'RFM input'!$H$60:$Q$60,0),INDEX('RFM input'!$T$7:$T$56,$A225,1,1))))</f>
        <v>4</v>
      </c>
      <c r="J226" s="1417">
        <f>IF(LEFT(J$6,4)&lt;=LEFT('RFM input'!$G$60,4),"enter input",IF(LEFT(J$6,4)&gt;LEFT('RFM input'!$Q$60,4),0,
IF(MATCH(J$6,'RFM input'!$H$60:$Q$60,0),INDEX('RFM input'!$T$7:$T$56,$A225,1,1))))</f>
        <v>4</v>
      </c>
      <c r="K226" s="1417">
        <f>IF(LEFT(K$6,4)&lt;=LEFT('RFM input'!$G$60,4),"enter input",IF(LEFT(K$6,4)&gt;LEFT('RFM input'!$Q$60,4),0,
IF(MATCH(K$6,'RFM input'!$H$60:$Q$60,0),INDEX('RFM input'!$T$7:$T$56,$A225,1,1))))</f>
        <v>4</v>
      </c>
      <c r="L226" s="1417">
        <f>IF(LEFT(L$6,4)&lt;=LEFT('RFM input'!$G$60,4),"enter input",IF(LEFT(L$6,4)&gt;LEFT('RFM input'!$Q$60,4),0,
IF(MATCH(L$6,'RFM input'!$H$60:$Q$60,0),INDEX('RFM input'!$T$7:$T$56,$A225,1,1))))</f>
        <v>4</v>
      </c>
      <c r="M226" s="1417">
        <f>IF(LEFT(M$6,4)&lt;=LEFT('RFM input'!$G$60,4),"enter input",IF(LEFT(M$6,4)&gt;LEFT('RFM input'!$Q$60,4),0,
IF(MATCH(M$6,'RFM input'!$H$60:$Q$60,0),INDEX('RFM input'!$T$7:$T$56,$A225,1,1))))</f>
        <v>4</v>
      </c>
      <c r="N226" s="1417">
        <f>IF(LEFT(N$6,4)&lt;=LEFT('RFM input'!$G$60,4),"enter input",IF(LEFT(N$6,4)&gt;LEFT('RFM input'!$Q$60,4),0,
IF(MATCH(N$6,'RFM input'!$H$60:$Q$60,0),INDEX('RFM input'!$T$7:$T$56,$A225,1,1))))</f>
        <v>0</v>
      </c>
      <c r="O226" s="1417">
        <f>IF(LEFT(O$6,4)&lt;=LEFT('RFM input'!$G$60,4),"enter input",IF(LEFT(O$6,4)&gt;LEFT('RFM input'!$Q$60,4),0,
IF(MATCH(O$6,'RFM input'!$H$60:$Q$60,0),INDEX('RFM input'!$T$7:$T$56,$A225,1,1))))</f>
        <v>0</v>
      </c>
      <c r="P226" s="1417">
        <f>IF(LEFT(P$6,4)&lt;=LEFT('RFM input'!$G$60,4),"enter input",IF(LEFT(P$6,4)&gt;LEFT('RFM input'!$Q$60,4),0,
IF(MATCH(P$6,'RFM input'!$H$60:$Q$60,0),INDEX('RFM input'!$T$7:$T$56,$A225,1,1))))</f>
        <v>0</v>
      </c>
      <c r="Q226" s="1417">
        <f>IF(LEFT(Q$6,4)&lt;=LEFT('RFM input'!$G$60,4),"enter input",IF(LEFT(Q$6,4)&gt;LEFT('RFM input'!$Q$60,4),0,
IF(MATCH(Q$6,'RFM input'!$H$60:$Q$60,0),INDEX('RFM input'!$T$7:$T$56,$A225,1,1))))</f>
        <v>0</v>
      </c>
      <c r="R226" s="1417">
        <f>IF(LEFT(R$6,4)&lt;=LEFT('RFM input'!$G$60,4),"enter input",IF(LEFT(R$6,4)&gt;LEFT('RFM input'!$Q$60,4),0,
IF(MATCH(R$6,'RFM input'!$H$60:$Q$60,0),INDEX('RFM input'!$T$7:$T$56,$A225,1,1))))</f>
        <v>0</v>
      </c>
      <c r="S226" s="1417">
        <f>IF(LEFT(S$6,4)&lt;=LEFT('RFM input'!$G$60,4),"enter input",IF(LEFT(S$6,4)&gt;LEFT('RFM input'!$Q$60,4),0,
IF(MATCH(S$6,'RFM input'!$H$60:$Q$60,0),INDEX('RFM input'!$T$7:$T$56,$A225,1,1))))</f>
        <v>0</v>
      </c>
      <c r="T226" s="1417">
        <f>IF(LEFT(T$6,4)&lt;=LEFT('RFM input'!$G$60,4),"enter input",IF(LEFT(T$6,4)&gt;LEFT('RFM input'!$Q$60,4),0,
IF(MATCH(T$6,'RFM input'!$H$60:$Q$60,0),INDEX('RFM input'!$T$7:$T$56,$A225,1,1))))</f>
        <v>0</v>
      </c>
      <c r="U226" s="1417">
        <f>IF(LEFT(U$6,4)&lt;=LEFT('RFM input'!$G$60,4),"enter input",IF(LEFT(U$6,4)&gt;LEFT('RFM input'!$Q$60,4),0,
IF(MATCH(U$6,'RFM input'!$H$60:$Q$60,0),INDEX('RFM input'!$T$7:$T$56,$A225,1,1))))</f>
        <v>0</v>
      </c>
      <c r="V226" s="1417">
        <f>IF(LEFT(V$6,4)&lt;=LEFT('RFM input'!$G$60,4),"enter input",IF(LEFT(V$6,4)&gt;LEFT('RFM input'!$Q$60,4),0,
IF(MATCH(V$6,'RFM input'!$H$60:$Q$60,0),INDEX('RFM input'!$T$7:$T$56,$A225,1,1))))</f>
        <v>0</v>
      </c>
      <c r="W226" s="1417">
        <f>IF(LEFT(W$6,4)&lt;=LEFT('RFM input'!$G$60,4),"enter input",IF(LEFT(W$6,4)&gt;LEFT('RFM input'!$Q$60,4),0,
IF(MATCH(W$6,'RFM input'!$H$60:$Q$60,0),INDEX('RFM input'!$T$7:$T$56,$A225,1,1))))</f>
        <v>0</v>
      </c>
      <c r="X226" s="152"/>
      <c r="Y226" s="152"/>
      <c r="Z226" s="152"/>
      <c r="AA226" s="152"/>
      <c r="AB226" s="152"/>
    </row>
    <row r="227" spans="1:28">
      <c r="A227" s="242"/>
      <c r="B227" s="193" t="s">
        <v>192</v>
      </c>
      <c r="C227" s="1419"/>
      <c r="D227" s="1420">
        <f ca="1">IF(LEFT(D$6,4)&lt;=LEFT('RFM input'!$G$60,4),"enter input",IF(LEFT(D$6,4)&gt;LEFT('RFM input'!$Q$60,4),0,
IF(D$6=(OFFSET('RFM input'!$G$60,0,'RFM input'!$V$7)),OFFSET('RFM input'!$H$411,$A225,0),0)))</f>
        <v>0</v>
      </c>
      <c r="E227" s="1417">
        <f ca="1">IF(LEFT(E$6,4)&lt;=LEFT('RFM input'!$G$60,4),"enter input",IF(LEFT(E$6,4)&gt;LEFT('RFM input'!$Q$60,4),0,
IF(E$6=(OFFSET('RFM input'!$G$60,0,'RFM input'!$V$7)),OFFSET('RFM input'!$H$411,$A225,0),0)))</f>
        <v>0</v>
      </c>
      <c r="F227" s="1417">
        <f ca="1">IF(LEFT(F$6,4)&lt;=LEFT('RFM input'!$G$60,4),"enter input",IF(LEFT(F$6,4)&gt;LEFT('RFM input'!$Q$60,4),0,
IF(F$6=(OFFSET('RFM input'!$G$60,0,'RFM input'!$V$7)),OFFSET('RFM input'!$H$411,$A225,0),0)))</f>
        <v>0</v>
      </c>
      <c r="G227" s="1417">
        <f ca="1">IF(LEFT(G$6,4)&lt;=LEFT('RFM input'!$G$60,4),"enter input",IF(LEFT(G$6,4)&gt;LEFT('RFM input'!$Q$60,4),0,
IF(G$6=(OFFSET('RFM input'!$G$60,0,'RFM input'!$V$7)),OFFSET('RFM input'!$H$411,$A225,0),0)))</f>
        <v>0</v>
      </c>
      <c r="H227" s="1417">
        <f ca="1">IF(LEFT(H$6,4)&lt;=LEFT('RFM input'!$G$60,4),"enter input",IF(LEFT(H$6,4)&gt;LEFT('RFM input'!$Q$60,4),0,
IF(H$6=(OFFSET('RFM input'!$G$60,0,'RFM input'!$V$7)),OFFSET('RFM input'!$H$411,$A225,0),0)))</f>
        <v>0</v>
      </c>
      <c r="I227" s="1417">
        <f ca="1">IF(LEFT(I$6,4)&lt;=LEFT('RFM input'!$G$60,4),"enter input",IF(LEFT(I$6,4)&gt;LEFT('RFM input'!$Q$60,4),0,
IF(I$6=(OFFSET('RFM input'!$G$60,0,'RFM input'!$V$7)),OFFSET('RFM input'!$H$411,$A225,0),0)))</f>
        <v>0</v>
      </c>
      <c r="J227" s="1417">
        <f ca="1">IF(LEFT(J$6,4)&lt;=LEFT('RFM input'!$G$60,4),"enter input",IF(LEFT(J$6,4)&gt;LEFT('RFM input'!$Q$60,4),0,
IF(J$6=(OFFSET('RFM input'!$G$60,0,'RFM input'!$V$7)),OFFSET('RFM input'!$H$411,$A225,0),0)))</f>
        <v>0</v>
      </c>
      <c r="K227" s="1417">
        <f ca="1">IF(LEFT(K$6,4)&lt;=LEFT('RFM input'!$G$60,4),"enter input",IF(LEFT(K$6,4)&gt;LEFT('RFM input'!$Q$60,4),0,
IF(K$6=(OFFSET('RFM input'!$G$60,0,'RFM input'!$V$7)),OFFSET('RFM input'!$H$411,$A225,0),0)))</f>
        <v>0</v>
      </c>
      <c r="L227" s="1417">
        <f ca="1">IF(LEFT(L$6,4)&lt;=LEFT('RFM input'!$G$60,4),"enter input",IF(LEFT(L$6,4)&gt;LEFT('RFM input'!$Q$60,4),0,
IF(L$6=(OFFSET('RFM input'!$G$60,0,'RFM input'!$V$7)),OFFSET('RFM input'!$H$411,$A225,0),0)))</f>
        <v>0</v>
      </c>
      <c r="M227" s="1417">
        <f ca="1">IF(LEFT(M$6,4)&lt;=LEFT('RFM input'!$G$60,4),"enter input",IF(LEFT(M$6,4)&gt;LEFT('RFM input'!$Q$60,4),0,
IF(M$6=(OFFSET('RFM input'!$G$60,0,'RFM input'!$V$7)),OFFSET('RFM input'!$H$411,$A225,0),0)))</f>
        <v>0</v>
      </c>
      <c r="N227" s="1417">
        <f ca="1">IF(LEFT(N$6,4)&lt;=LEFT('RFM input'!$G$60,4),"enter input",IF(LEFT(N$6,4)&gt;LEFT('RFM input'!$Q$60,4),0,
IF(N$6=(OFFSET('RFM input'!$G$60,0,'RFM input'!$V$7)),OFFSET('RFM input'!$H$411,$A225,0),0)))</f>
        <v>0</v>
      </c>
      <c r="O227" s="1417">
        <f ca="1">IF(LEFT(O$6,4)&lt;=LEFT('RFM input'!$G$60,4),"enter input",IF(LEFT(O$6,4)&gt;LEFT('RFM input'!$Q$60,4),0,
IF(O$6=(OFFSET('RFM input'!$G$60,0,'RFM input'!$V$7)),OFFSET('RFM input'!$H$411,$A225,0),0)))</f>
        <v>0</v>
      </c>
      <c r="P227" s="1417">
        <f ca="1">IF(LEFT(P$6,4)&lt;=LEFT('RFM input'!$G$60,4),"enter input",IF(LEFT(P$6,4)&gt;LEFT('RFM input'!$Q$60,4),0,
IF(P$6=(OFFSET('RFM input'!$G$60,0,'RFM input'!$V$7)),OFFSET('RFM input'!$H$411,$A225,0),0)))</f>
        <v>0</v>
      </c>
      <c r="Q227" s="1417">
        <f ca="1">IF(LEFT(Q$6,4)&lt;=LEFT('RFM input'!$G$60,4),"enter input",IF(LEFT(Q$6,4)&gt;LEFT('RFM input'!$Q$60,4),0,
IF(Q$6=(OFFSET('RFM input'!$G$60,0,'RFM input'!$V$7)),OFFSET('RFM input'!$H$411,$A225,0),0)))</f>
        <v>0</v>
      </c>
      <c r="R227" s="1417">
        <f ca="1">IF(LEFT(R$6,4)&lt;=LEFT('RFM input'!$G$60,4),"enter input",IF(LEFT(R$6,4)&gt;LEFT('RFM input'!$Q$60,4),0,
IF(R$6=(OFFSET('RFM input'!$G$60,0,'RFM input'!$V$7)),OFFSET('RFM input'!$H$411,$A225,0),0)))</f>
        <v>0</v>
      </c>
      <c r="S227" s="1417">
        <f ca="1">IF(LEFT(S$6,4)&lt;=LEFT('RFM input'!$G$60,4),"enter input",IF(LEFT(S$6,4)&gt;LEFT('RFM input'!$Q$60,4),0,
IF(S$6=(OFFSET('RFM input'!$G$60,0,'RFM input'!$V$7)),OFFSET('RFM input'!$H$411,$A225,0),0)))</f>
        <v>0</v>
      </c>
      <c r="T227" s="1417">
        <f ca="1">IF(LEFT(T$6,4)&lt;=LEFT('RFM input'!$G$60,4),"enter input",IF(LEFT(T$6,4)&gt;LEFT('RFM input'!$Q$60,4),0,
IF(T$6=(OFFSET('RFM input'!$G$60,0,'RFM input'!$V$7)),OFFSET('RFM input'!$H$411,$A225,0),0)))</f>
        <v>0</v>
      </c>
      <c r="U227" s="1417">
        <f ca="1">IF(LEFT(U$6,4)&lt;=LEFT('RFM input'!$G$60,4),"enter input",IF(LEFT(U$6,4)&gt;LEFT('RFM input'!$Q$60,4),0,
IF(U$6=(OFFSET('RFM input'!$G$60,0,'RFM input'!$V$7)),OFFSET('RFM input'!$H$411,$A225,0),0)))</f>
        <v>0</v>
      </c>
      <c r="V227" s="1417">
        <f ca="1">IF(LEFT(V$6,4)&lt;=LEFT('RFM input'!$G$60,4),"enter input",IF(LEFT(V$6,4)&gt;LEFT('RFM input'!$Q$60,4),0,
IF(V$6=(OFFSET('RFM input'!$G$60,0,'RFM input'!$V$7)),OFFSET('RFM input'!$H$411,$A225,0),0)))</f>
        <v>0</v>
      </c>
      <c r="W227" s="1417">
        <f ca="1">IF(LEFT(W$6,4)&lt;=LEFT('RFM input'!$G$60,4),"enter input",IF(LEFT(W$6,4)&gt;LEFT('RFM input'!$Q$60,4),0,
IF(W$6=(OFFSET('RFM input'!$G$60,0,'RFM input'!$V$7)),OFFSET('RFM input'!$H$411,$A225,0),0)))</f>
        <v>0</v>
      </c>
      <c r="X227" s="152"/>
      <c r="Y227" s="152"/>
      <c r="Z227" s="152"/>
      <c r="AA227" s="152"/>
      <c r="AB227" s="152"/>
    </row>
    <row r="228" spans="1:28">
      <c r="A228" s="242"/>
      <c r="B228" s="193" t="s">
        <v>200</v>
      </c>
      <c r="C228" s="1419"/>
      <c r="D228" s="1418">
        <f ca="1">IF(LEFT(D$6,4)&lt;=LEFT('RFM input'!$G$60,4),"enter input",IF(LEFT(D$6,4)&gt;LEFT('RFM input'!$Q$60,4),0,
IF(D$6=(OFFSET('RFM input'!$G$60,0,'RFM input'!$V$7)),OFFSET('RFM input'!$J$411,$A225,0),0)))</f>
        <v>0</v>
      </c>
      <c r="E228" s="1422">
        <f ca="1">IF(LEFT(E$6,4)&lt;=LEFT('RFM input'!$G$60,4),"enter input",IF(LEFT(E$6,4)&gt;LEFT('RFM input'!$Q$60,4),0,
IF(E$6=(OFFSET('RFM input'!$G$60,0,'RFM input'!$V$7)),OFFSET('RFM input'!$J$411,$A225,0),0)))</f>
        <v>0</v>
      </c>
      <c r="F228" s="1422">
        <f ca="1">IF(LEFT(F$6,4)&lt;=LEFT('RFM input'!$G$60,4),"enter input",IF(LEFT(F$6,4)&gt;LEFT('RFM input'!$Q$60,4),0,
IF(F$6=(OFFSET('RFM input'!$G$60,0,'RFM input'!$V$7)),OFFSET('RFM input'!$J$411,$A225,0),0)))</f>
        <v>0</v>
      </c>
      <c r="G228" s="1422">
        <f ca="1">IF(LEFT(G$6,4)&lt;=LEFT('RFM input'!$G$60,4),"enter input",IF(LEFT(G$6,4)&gt;LEFT('RFM input'!$Q$60,4),0,
IF(G$6=(OFFSET('RFM input'!$G$60,0,'RFM input'!$V$7)),OFFSET('RFM input'!$J$411,$A225,0),0)))</f>
        <v>0</v>
      </c>
      <c r="H228" s="1422">
        <f ca="1">IF(LEFT(H$6,4)&lt;=LEFT('RFM input'!$G$60,4),"enter input",IF(LEFT(H$6,4)&gt;LEFT('RFM input'!$Q$60,4),0,
IF(H$6=(OFFSET('RFM input'!$G$60,0,'RFM input'!$V$7)),OFFSET('RFM input'!$J$411,$A225,0),0)))</f>
        <v>0</v>
      </c>
      <c r="I228" s="1422">
        <f ca="1">IF(LEFT(I$6,4)&lt;=LEFT('RFM input'!$G$60,4),"enter input",IF(LEFT(I$6,4)&gt;LEFT('RFM input'!$Q$60,4),0,
IF(I$6=(OFFSET('RFM input'!$G$60,0,'RFM input'!$V$7)),OFFSET('RFM input'!$J$411,$A225,0),0)))</f>
        <v>0</v>
      </c>
      <c r="J228" s="1422">
        <f ca="1">IF(LEFT(J$6,4)&lt;=LEFT('RFM input'!$G$60,4),"enter input",IF(LEFT(J$6,4)&gt;LEFT('RFM input'!$Q$60,4),0,
IF(J$6=(OFFSET('RFM input'!$G$60,0,'RFM input'!$V$7)),OFFSET('RFM input'!$J$411,$A225,0),0)))</f>
        <v>0</v>
      </c>
      <c r="K228" s="1422">
        <f ca="1">IF(LEFT(K$6,4)&lt;=LEFT('RFM input'!$G$60,4),"enter input",IF(LEFT(K$6,4)&gt;LEFT('RFM input'!$Q$60,4),0,
IF(K$6=(OFFSET('RFM input'!$G$60,0,'RFM input'!$V$7)),OFFSET('RFM input'!$J$411,$A225,0),0)))</f>
        <v>0</v>
      </c>
      <c r="L228" s="1422">
        <f ca="1">IF(LEFT(L$6,4)&lt;=LEFT('RFM input'!$G$60,4),"enter input",IF(LEFT(L$6,4)&gt;LEFT('RFM input'!$Q$60,4),0,
IF(L$6=(OFFSET('RFM input'!$G$60,0,'RFM input'!$V$7)),OFFSET('RFM input'!$J$411,$A225,0),0)))</f>
        <v>0</v>
      </c>
      <c r="M228" s="1422">
        <f ca="1">IF(LEFT(M$6,4)&lt;=LEFT('RFM input'!$G$60,4),"enter input",IF(LEFT(M$6,4)&gt;LEFT('RFM input'!$Q$60,4),0,
IF(M$6=(OFFSET('RFM input'!$G$60,0,'RFM input'!$V$7)),OFFSET('RFM input'!$J$411,$A225,0),0)))</f>
        <v>0</v>
      </c>
      <c r="N228" s="1422">
        <f ca="1">IF(LEFT(N$6,4)&lt;=LEFT('RFM input'!$G$60,4),"enter input",IF(LEFT(N$6,4)&gt;LEFT('RFM input'!$Q$60,4),0,
IF(N$6=(OFFSET('RFM input'!$G$60,0,'RFM input'!$V$7)),OFFSET('RFM input'!$J$411,$A225,0),0)))</f>
        <v>0</v>
      </c>
      <c r="O228" s="1422">
        <f ca="1">IF(LEFT(O$6,4)&lt;=LEFT('RFM input'!$G$60,4),"enter input",IF(LEFT(O$6,4)&gt;LEFT('RFM input'!$Q$60,4),0,
IF(O$6=(OFFSET('RFM input'!$G$60,0,'RFM input'!$V$7)),OFFSET('RFM input'!$J$411,$A225,0),0)))</f>
        <v>0</v>
      </c>
      <c r="P228" s="1422">
        <f ca="1">IF(LEFT(P$6,4)&lt;=LEFT('RFM input'!$G$60,4),"enter input",IF(LEFT(P$6,4)&gt;LEFT('RFM input'!$Q$60,4),0,
IF(P$6=(OFFSET('RFM input'!$G$60,0,'RFM input'!$V$7)),OFFSET('RFM input'!$J$411,$A225,0),0)))</f>
        <v>0</v>
      </c>
      <c r="Q228" s="1422">
        <f ca="1">IF(LEFT(Q$6,4)&lt;=LEFT('RFM input'!$G$60,4),"enter input",IF(LEFT(Q$6,4)&gt;LEFT('RFM input'!$Q$60,4),0,
IF(Q$6=(OFFSET('RFM input'!$G$60,0,'RFM input'!$V$7)),OFFSET('RFM input'!$J$411,$A225,0),0)))</f>
        <v>0</v>
      </c>
      <c r="R228" s="1422">
        <f ca="1">IF(LEFT(R$6,4)&lt;=LEFT('RFM input'!$G$60,4),"enter input",IF(LEFT(R$6,4)&gt;LEFT('RFM input'!$Q$60,4),0,
IF(R$6=(OFFSET('RFM input'!$G$60,0,'RFM input'!$V$7)),OFFSET('RFM input'!$J$411,$A225,0),0)))</f>
        <v>0</v>
      </c>
      <c r="S228" s="1422">
        <f ca="1">IF(LEFT(S$6,4)&lt;=LEFT('RFM input'!$G$60,4),"enter input",IF(LEFT(S$6,4)&gt;LEFT('RFM input'!$Q$60,4),0,
IF(S$6=(OFFSET('RFM input'!$G$60,0,'RFM input'!$V$7)),OFFSET('RFM input'!$J$411,$A225,0),0)))</f>
        <v>0</v>
      </c>
      <c r="T228" s="1422">
        <f ca="1">IF(LEFT(T$6,4)&lt;=LEFT('RFM input'!$G$60,4),"enter input",IF(LEFT(T$6,4)&gt;LEFT('RFM input'!$Q$60,4),0,
IF(T$6=(OFFSET('RFM input'!$G$60,0,'RFM input'!$V$7)),OFFSET('RFM input'!$J$411,$A225,0),0)))</f>
        <v>0</v>
      </c>
      <c r="U228" s="1422">
        <f ca="1">IF(LEFT(U$6,4)&lt;=LEFT('RFM input'!$G$60,4),"enter input",IF(LEFT(U$6,4)&gt;LEFT('RFM input'!$Q$60,4),0,
IF(U$6=(OFFSET('RFM input'!$G$60,0,'RFM input'!$V$7)),OFFSET('RFM input'!$J$411,$A225,0),0)))</f>
        <v>0</v>
      </c>
      <c r="V228" s="1422">
        <f ca="1">IF(LEFT(V$6,4)&lt;=LEFT('RFM input'!$G$60,4),"enter input",IF(LEFT(V$6,4)&gt;LEFT('RFM input'!$Q$60,4),0,
IF(V$6=(OFFSET('RFM input'!$G$60,0,'RFM input'!$V$7)),OFFSET('RFM input'!$J$411,$A225,0),0)))</f>
        <v>0</v>
      </c>
      <c r="W228" s="1422">
        <f ca="1">IF(LEFT(W$6,4)&lt;=LEFT('RFM input'!$G$60,4),"enter input",IF(LEFT(W$6,4)&gt;LEFT('RFM input'!$Q$60,4),0,
IF(W$6=(OFFSET('RFM input'!$G$60,0,'RFM input'!$V$7)),OFFSET('RFM input'!$J$411,$A225,0),0)))</f>
        <v>0</v>
      </c>
      <c r="X228" s="152"/>
      <c r="Y228" s="152"/>
      <c r="Z228" s="152"/>
      <c r="AA228" s="152"/>
      <c r="AB228" s="152"/>
    </row>
    <row r="229" spans="1:28" hidden="1" outlineLevel="1">
      <c r="A229" s="235">
        <v>-1</v>
      </c>
      <c r="B229" s="190" t="s">
        <v>195</v>
      </c>
      <c r="C229" s="1423"/>
      <c r="D229" s="1423">
        <f t="shared" ref="D229" ca="1" si="272">IF(AND(D227=0,C229=0),0,
IF(AND(D227&lt;&gt;0,C229=0),D227,
IF(AND(D228&lt;&gt;0,C229&lt;&gt;0),(C229-(C229/C253))+D227,
IF(C253&lt;1,0,(C229-(C229/C253))))))</f>
        <v>0</v>
      </c>
      <c r="E229" s="1423">
        <f t="shared" ref="E229" ca="1" si="273">IF(AND(E227=0,D229=0),0,
IF(AND(E227&lt;&gt;0,D229=0),E227,
IF(AND(E228&lt;&gt;0,D229&lt;&gt;0),(D229-(D229/D253))+E227,
IF(D253&lt;1,0,(D229-(D229/D253))))))</f>
        <v>0</v>
      </c>
      <c r="F229" s="1423">
        <f t="shared" ref="F229" ca="1" si="274">IF(AND(F227=0,E229=0),0,
IF(AND(F227&lt;&gt;0,E229=0),F227,
IF(AND(F228&lt;&gt;0,E229&lt;&gt;0),(E229-(E229/E253))+F227,
IF(E253&lt;1,0,(E229-(E229/E253))))))</f>
        <v>0</v>
      </c>
      <c r="G229" s="1423">
        <f t="shared" ref="G229" ca="1" si="275">IF(AND(G227=0,F229=0),0,
IF(AND(G227&lt;&gt;0,F229=0),G227,
IF(AND(G228&lt;&gt;0,F229&lt;&gt;0),(F229-(F229/F253))+G227,
IF(F253&lt;1,0,(F229-(F229/F253))))))</f>
        <v>0</v>
      </c>
      <c r="H229" s="1423">
        <f ca="1">IF(AND(H227=0,G229=0),0,
IF(AND(H227&lt;&gt;0,G229=0),H227,
IF(AND(H228&lt;&gt;0,G229&lt;&gt;0),(G229-(G229/G253))+H227,
IF(G253&lt;1,0,(G229-(G229/G253))))))</f>
        <v>0</v>
      </c>
      <c r="I229" s="1423">
        <f t="shared" ref="I229" ca="1" si="276">IF(AND(I227=0,H229=0),0,
IF(AND(I227&lt;&gt;0,H229=0),I227,
IF(AND(I228&lt;&gt;0,H229&lt;&gt;0),(H229-(H229/H253))+I227,
IF(H253&lt;1,0,(H229-(H229/H253))))))</f>
        <v>0</v>
      </c>
      <c r="J229" s="1423">
        <f t="shared" ref="J229" ca="1" si="277">IF(AND(J227=0,I229=0),0,
IF(AND(J227&lt;&gt;0,I229=0),J227,
IF(AND(J228&lt;&gt;0,I229&lt;&gt;0),(I229-(I229/I253))+J227,
IF(I253&lt;1,0,(I229-(I229/I253))))))</f>
        <v>0</v>
      </c>
      <c r="K229" s="1423">
        <f t="shared" ref="K229" ca="1" si="278">IF(AND(K227=0,J229=0),0,
IF(AND(K227&lt;&gt;0,J229=0),K227,
IF(AND(K228&lt;&gt;0,J229&lt;&gt;0),(J229-(J229/J253))+K227,
IF(J253&lt;1,0,(J229-(J229/J253))))))</f>
        <v>0</v>
      </c>
      <c r="L229" s="1423">
        <f t="shared" ref="L229" ca="1" si="279">IF(AND(L227=0,K229=0),0,
IF(AND(L227&lt;&gt;0,K229=0),L227,
IF(AND(L228&lt;&gt;0,K229&lt;&gt;0),(K229-(K229/K253))+L227,
IF(K253&lt;1,0,(K229-(K229/K253))))))</f>
        <v>0</v>
      </c>
      <c r="M229" s="1423">
        <f t="shared" ref="M229" ca="1" si="280">IF(AND(M227=0,L229=0),0,
IF(AND(M227&lt;&gt;0,L229=0),M227,
IF(AND(M228&lt;&gt;0,L229&lt;&gt;0),(L229-(L229/L253))+M227,
IF(L253&lt;1,0,(L229-(L229/L253))))))</f>
        <v>0</v>
      </c>
      <c r="N229" s="1423">
        <f t="shared" ref="N229" ca="1" si="281">IF(AND(N227=0,M229=0),0,
IF(AND(N227&lt;&gt;0,M229=0),N227,
IF(AND(N228&lt;&gt;0,M229&lt;&gt;0),(M229-(M229/M253))+N227,
IF(M253&lt;1,0,(M229-(M229/M253))))))</f>
        <v>0</v>
      </c>
      <c r="O229" s="1423">
        <f t="shared" ref="O229" ca="1" si="282">IF(AND(O227=0,N229=0),0,
IF(AND(O227&lt;&gt;0,N229=0),O227,
IF(AND(O228&lt;&gt;0,N229&lt;&gt;0),(N229-(N229/N253))+O227,
IF(N253&lt;1,0,(N229-(N229/N253))))))</f>
        <v>0</v>
      </c>
      <c r="P229" s="1423">
        <f t="shared" ref="P229" ca="1" si="283">IF(AND(P227=0,O229=0),0,
IF(AND(P227&lt;&gt;0,O229=0),P227,
IF(AND(P228&lt;&gt;0,O229&lt;&gt;0),(O229-(O229/O253))+P227,
IF(O253&lt;1,0,(O229-(O229/O253))))))</f>
        <v>0</v>
      </c>
      <c r="Q229" s="1423">
        <f t="shared" ref="Q229" ca="1" si="284">IF(AND(Q227=0,P229=0),0,
IF(AND(Q227&lt;&gt;0,P229=0),Q227,
IF(AND(Q228&lt;&gt;0,P229&lt;&gt;0),(P229-(P229/P253))+Q227,
IF(P253&lt;1,0,(P229-(P229/P253))))))</f>
        <v>0</v>
      </c>
      <c r="R229" s="1423">
        <f t="shared" ref="R229" ca="1" si="285">IF(AND(R227=0,Q229=0),0,
IF(AND(R227&lt;&gt;0,Q229=0),R227,
IF(AND(R228&lt;&gt;0,Q229&lt;&gt;0),(Q229-(Q229/Q253))+R227,
IF(Q253&lt;1,0,(Q229-(Q229/Q253))))))</f>
        <v>0</v>
      </c>
      <c r="S229" s="1423">
        <f t="shared" ref="S229" ca="1" si="286">IF(AND(S227=0,R229=0),0,
IF(AND(S227&lt;&gt;0,R229=0),S227,
IF(AND(S228&lt;&gt;0,R229&lt;&gt;0),(R229-(R229/R253))+S227,
IF(R253&lt;1,0,(R229-(R229/R253))))))</f>
        <v>0</v>
      </c>
      <c r="T229" s="1423">
        <f t="shared" ref="T229" ca="1" si="287">IF(AND(T227=0,S229=0),0,
IF(AND(T227&lt;&gt;0,S229=0),T227,
IF(AND(T228&lt;&gt;0,S229&lt;&gt;0),(S229-(S229/S253))+T227,
IF(S253&lt;1,0,(S229-(S229/S253))))))</f>
        <v>0</v>
      </c>
      <c r="U229" s="1423">
        <f t="shared" ref="U229" ca="1" si="288">IF(AND(U227=0,T229=0),0,
IF(AND(U227&lt;&gt;0,T229=0),U227,
IF(AND(U228&lt;&gt;0,T229&lt;&gt;0),(T229-(T229/T253))+U227,
IF(T253&lt;1,0,(T229-(T229/T253))))))</f>
        <v>0</v>
      </c>
      <c r="V229" s="1423">
        <f t="shared" ref="V229" ca="1" si="289">IF(AND(V227=0,U229=0),0,
IF(AND(V227&lt;&gt;0,U229=0),V227,
IF(AND(V228&lt;&gt;0,U229&lt;&gt;0),(U229-(U229/U253))+V227,
IF(U253&lt;1,0,(U229-(U229/U253))))))</f>
        <v>0</v>
      </c>
      <c r="W229" s="1423">
        <f t="shared" ref="W229" ca="1" si="290">IF(AND(W227=0,V229=0),0,
IF(AND(W227&lt;&gt;0,V229=0),W227,
IF(AND(W228&lt;&gt;0,V229&lt;&gt;0),(V229-(V229/V253))+W227,
IF(V253&lt;1,0,(V229-(V229/V253))))))</f>
        <v>0</v>
      </c>
      <c r="X229" s="152"/>
      <c r="Y229" s="152"/>
      <c r="Z229" s="152"/>
      <c r="AA229" s="152"/>
      <c r="AB229" s="152"/>
    </row>
    <row r="230" spans="1:28" hidden="1" outlineLevel="1">
      <c r="A230" s="199">
        <f>A229+1</f>
        <v>0</v>
      </c>
      <c r="B230" s="190" t="s">
        <v>527</v>
      </c>
      <c r="C230" s="1423">
        <f ca="1">C225</f>
        <v>8.8025424398874303</v>
      </c>
      <c r="D230" s="1423">
        <f ca="1">IF(C254="n/a",C230,IFERROR(IF((OFFSET($C230,0,$A230))&lt;0,
MIN(0,C230-(OFFSET($C230,0,$A230)/(OFFSET($C225,-$A229,$A230)))),
MAX(0,C230-(OFFSET($C230,0,$A230)/(OFFSET($C225,-$A229,$A230))))),0))</f>
        <v>6.3805949541195481</v>
      </c>
      <c r="E230" s="1423">
        <f t="shared" ref="E230" ca="1" si="291">IF(D254="n/a",D230,IFERROR(IF((OFFSET($C230,0,$A230))&lt;0,
MIN(0,D230-(OFFSET($C230,0,$A230)/(OFFSET($C225,-$A229,$A230)))),
MAX(0,D230-(OFFSET($C230,0,$A230)/(OFFSET($C225,-$A229,$A230))))),0))</f>
        <v>3.9586474683516659</v>
      </c>
      <c r="F230" s="1423">
        <f t="shared" ref="F230:F231" ca="1" si="292">IF(E254="n/a",E230,IFERROR(IF((OFFSET($C230,0,$A230))&lt;0,
MIN(0,E230-(OFFSET($C230,0,$A230)/(OFFSET($C225,-$A229,$A230)))),
MAX(0,E230-(OFFSET($C230,0,$A230)/(OFFSET($C225,-$A229,$A230))))),0))</f>
        <v>1.5366999825837837</v>
      </c>
      <c r="G230" s="1423">
        <f t="shared" ref="G230:G232" ca="1" si="293">IF(F254="n/a",F230,IFERROR(IF((OFFSET($C230,0,$A230))&lt;0,
MIN(0,F230-(OFFSET($C230,0,$A230)/(OFFSET($C225,-$A229,$A230)))),
MAX(0,F230-(OFFSET($C230,0,$A230)/(OFFSET($C225,-$A229,$A230))))),0))</f>
        <v>0</v>
      </c>
      <c r="H230" s="1423">
        <f t="shared" ref="H230:H233" ca="1" si="294">IF(G254="n/a",G230,IFERROR(IF((OFFSET($C230,0,$A230))&lt;0,
MIN(0,G230-(OFFSET($C230,0,$A230)/(OFFSET($C225,-$A229,$A230)))),
MAX(0,G230-(OFFSET($C230,0,$A230)/(OFFSET($C225,-$A229,$A230))))),0))</f>
        <v>0</v>
      </c>
      <c r="I230" s="1423">
        <f t="shared" ref="I230:I234" ca="1" si="295">IF(H254="n/a",H230,IFERROR(IF((OFFSET($C230,0,$A230))&lt;0,
MIN(0,H230-(OFFSET($C230,0,$A230)/(OFFSET($C225,-$A229,$A230)))),
MAX(0,H230-(OFFSET($C230,0,$A230)/(OFFSET($C225,-$A229,$A230))))),0))</f>
        <v>0</v>
      </c>
      <c r="J230" s="1423">
        <f t="shared" ref="J230:J235" ca="1" si="296">IF(I254="n/a",I230,IFERROR(IF((OFFSET($C230,0,$A230))&lt;0,
MIN(0,I230-(OFFSET($C230,0,$A230)/(OFFSET($C225,-$A229,$A230)))),
MAX(0,I230-(OFFSET($C230,0,$A230)/(OFFSET($C225,-$A229,$A230))))),0))</f>
        <v>0</v>
      </c>
      <c r="K230" s="1423">
        <f t="shared" ref="K230:K236" ca="1" si="297">IF(J254="n/a",J230,IFERROR(IF((OFFSET($C230,0,$A230))&lt;0,
MIN(0,J230-(OFFSET($C230,0,$A230)/(OFFSET($C225,-$A229,$A230)))),
MAX(0,J230-(OFFSET($C230,0,$A230)/(OFFSET($C225,-$A229,$A230))))),0))</f>
        <v>0</v>
      </c>
      <c r="L230" s="1423">
        <f t="shared" ref="L230:L237" ca="1" si="298">IF(K254="n/a",K230,IFERROR(IF((OFFSET($C230,0,$A230))&lt;0,
MIN(0,K230-(OFFSET($C230,0,$A230)/(OFFSET($C225,-$A229,$A230)))),
MAX(0,K230-(OFFSET($C230,0,$A230)/(OFFSET($C225,-$A229,$A230))))),0))</f>
        <v>0</v>
      </c>
      <c r="M230" s="1423">
        <f t="shared" ref="M230:M238" ca="1" si="299">IF(L254="n/a",L230,IFERROR(IF((OFFSET($C230,0,$A230))&lt;0,
MIN(0,L230-(OFFSET($C230,0,$A230)/(OFFSET($C225,-$A229,$A230)))),
MAX(0,L230-(OFFSET($C230,0,$A230)/(OFFSET($C225,-$A229,$A230))))),0))</f>
        <v>0</v>
      </c>
      <c r="N230" s="1423">
        <f t="shared" ref="N230:N239" ca="1" si="300">IF(M254="n/a",M230,IFERROR(IF((OFFSET($C230,0,$A230))&lt;0,
MIN(0,M230-(OFFSET($C230,0,$A230)/(OFFSET($C225,-$A229,$A230)))),
MAX(0,M230-(OFFSET($C230,0,$A230)/(OFFSET($C225,-$A229,$A230))))),0))</f>
        <v>0</v>
      </c>
      <c r="O230" s="1423">
        <f t="shared" ref="O230:O240" ca="1" si="301">IF(N254="n/a",N230,IFERROR(IF((OFFSET($C230,0,$A230))&lt;0,
MIN(0,N230-(OFFSET($C230,0,$A230)/(OFFSET($C225,-$A229,$A230)))),
MAX(0,N230-(OFFSET($C230,0,$A230)/(OFFSET($C225,-$A229,$A230))))),0))</f>
        <v>0</v>
      </c>
      <c r="P230" s="1423">
        <f t="shared" ref="P230:P241" ca="1" si="302">IF(O254="n/a",O230,IFERROR(IF((OFFSET($C230,0,$A230))&lt;0,
MIN(0,O230-(OFFSET($C230,0,$A230)/(OFFSET($C225,-$A229,$A230)))),
MAX(0,O230-(OFFSET($C230,0,$A230)/(OFFSET($C225,-$A229,$A230))))),0))</f>
        <v>0</v>
      </c>
      <c r="Q230" s="1423">
        <f t="shared" ref="Q230:Q242" ca="1" si="303">IF(P254="n/a",P230,IFERROR(IF((OFFSET($C230,0,$A230))&lt;0,
MIN(0,P230-(OFFSET($C230,0,$A230)/(OFFSET($C225,-$A229,$A230)))),
MAX(0,P230-(OFFSET($C230,0,$A230)/(OFFSET($C225,-$A229,$A230))))),0))</f>
        <v>0</v>
      </c>
      <c r="R230" s="1423">
        <f t="shared" ref="R230:R243" ca="1" si="304">IF(Q254="n/a",Q230,IFERROR(IF((OFFSET($C230,0,$A230))&lt;0,
MIN(0,Q230-(OFFSET($C230,0,$A230)/(OFFSET($C225,-$A229,$A230)))),
MAX(0,Q230-(OFFSET($C230,0,$A230)/(OFFSET($C225,-$A229,$A230))))),0))</f>
        <v>0</v>
      </c>
      <c r="S230" s="1423">
        <f t="shared" ref="S230:S244" ca="1" si="305">IF(R254="n/a",R230,IFERROR(IF((OFFSET($C230,0,$A230))&lt;0,
MIN(0,R230-(OFFSET($C230,0,$A230)/(OFFSET($C225,-$A229,$A230)))),
MAX(0,R230-(OFFSET($C230,0,$A230)/(OFFSET($C225,-$A229,$A230))))),0))</f>
        <v>0</v>
      </c>
      <c r="T230" s="1423">
        <f t="shared" ref="T230:T245" ca="1" si="306">IF(S254="n/a",S230,IFERROR(IF((OFFSET($C230,0,$A230))&lt;0,
MIN(0,S230-(OFFSET($C230,0,$A230)/(OFFSET($C225,-$A229,$A230)))),
MAX(0,S230-(OFFSET($C230,0,$A230)/(OFFSET($C225,-$A229,$A230))))),0))</f>
        <v>0</v>
      </c>
      <c r="U230" s="1423">
        <f t="shared" ref="U230:U246" ca="1" si="307">IF(T254="n/a",T230,IFERROR(IF((OFFSET($C230,0,$A230))&lt;0,
MIN(0,T230-(OFFSET($C230,0,$A230)/(OFFSET($C225,-$A229,$A230)))),
MAX(0,T230-(OFFSET($C230,0,$A230)/(OFFSET($C225,-$A229,$A230))))),0))</f>
        <v>0</v>
      </c>
      <c r="V230" s="1423">
        <f t="shared" ref="V230:V247" ca="1" si="308">IF(U254="n/a",U230,IFERROR(IF((OFFSET($C230,0,$A230))&lt;0,
MIN(0,U230-(OFFSET($C230,0,$A230)/(OFFSET($C225,-$A229,$A230)))),
MAX(0,U230-(OFFSET($C230,0,$A230)/(OFFSET($C225,-$A229,$A230))))),0))</f>
        <v>0</v>
      </c>
      <c r="W230" s="1423">
        <f t="shared" ref="W230:W248" ca="1" si="309">IF(V254="n/a",V230,IFERROR(IF((OFFSET($C230,0,$A230))&lt;0,
MIN(0,V230-(OFFSET($C230,0,$A230)/(OFFSET($C225,-$A229,$A230)))),
MAX(0,V230-(OFFSET($C230,0,$A230)/(OFFSET($C225,-$A229,$A230))))),0))</f>
        <v>0</v>
      </c>
      <c r="X230" s="152"/>
      <c r="Y230" s="152"/>
      <c r="Z230" s="152"/>
      <c r="AA230" s="152"/>
      <c r="AB230" s="152"/>
    </row>
    <row r="231" spans="1:28" hidden="1" outlineLevel="1">
      <c r="A231" s="199">
        <f t="shared" ref="A231:A250" si="310">A230+1</f>
        <v>1</v>
      </c>
      <c r="B231" s="190" t="str">
        <f t="shared" ref="B231:B250" ca="1" si="311">"Depreciated Net Capex "&amp;OFFSET($C$6,0,A231)</f>
        <v>Depreciated Net Capex 2016-17</v>
      </c>
      <c r="C231" s="1424"/>
      <c r="D231" s="1425">
        <f>D225</f>
        <v>0.1898858346720001</v>
      </c>
      <c r="E231" s="1423">
        <f ca="1">IF(D255="n/a",D231,IFERROR(IF((OFFSET($C231,0,$A231))&lt;0,
MIN(0,D231-(OFFSET($C231,0,$A231)/(OFFSET($C226,-$A230,$A231)))),
MAX(0,D231-(OFFSET($C231,0,$A231)/(OFFSET($C226,-$A230,$A231))))),0))</f>
        <v>0.14241437600400009</v>
      </c>
      <c r="F231" s="1423">
        <f t="shared" ca="1" si="292"/>
        <v>9.4942917336000063E-2</v>
      </c>
      <c r="G231" s="1423">
        <f t="shared" ca="1" si="293"/>
        <v>4.7471458668000038E-2</v>
      </c>
      <c r="H231" s="1423">
        <f t="shared" ca="1" si="294"/>
        <v>1.3877787807814457E-17</v>
      </c>
      <c r="I231" s="1423">
        <f t="shared" ca="1" si="295"/>
        <v>0</v>
      </c>
      <c r="J231" s="1423">
        <f t="shared" ca="1" si="296"/>
        <v>0</v>
      </c>
      <c r="K231" s="1423">
        <f t="shared" ca="1" si="297"/>
        <v>0</v>
      </c>
      <c r="L231" s="1423">
        <f t="shared" ca="1" si="298"/>
        <v>0</v>
      </c>
      <c r="M231" s="1423">
        <f t="shared" ca="1" si="299"/>
        <v>0</v>
      </c>
      <c r="N231" s="1423">
        <f t="shared" ca="1" si="300"/>
        <v>0</v>
      </c>
      <c r="O231" s="1423">
        <f t="shared" ca="1" si="301"/>
        <v>0</v>
      </c>
      <c r="P231" s="1423">
        <f t="shared" ca="1" si="302"/>
        <v>0</v>
      </c>
      <c r="Q231" s="1423">
        <f t="shared" ca="1" si="303"/>
        <v>0</v>
      </c>
      <c r="R231" s="1423">
        <f t="shared" ca="1" si="304"/>
        <v>0</v>
      </c>
      <c r="S231" s="1423">
        <f t="shared" ca="1" si="305"/>
        <v>0</v>
      </c>
      <c r="T231" s="1423">
        <f t="shared" ca="1" si="306"/>
        <v>0</v>
      </c>
      <c r="U231" s="1423">
        <f t="shared" ca="1" si="307"/>
        <v>0</v>
      </c>
      <c r="V231" s="1423">
        <f t="shared" ca="1" si="308"/>
        <v>0</v>
      </c>
      <c r="W231" s="1423">
        <f t="shared" ca="1" si="309"/>
        <v>0</v>
      </c>
      <c r="X231" s="152"/>
      <c r="Y231" s="152"/>
      <c r="Z231" s="152"/>
      <c r="AA231" s="152"/>
      <c r="AB231" s="152"/>
    </row>
    <row r="232" spans="1:28" hidden="1" outlineLevel="1">
      <c r="A232" s="199">
        <f t="shared" si="310"/>
        <v>2</v>
      </c>
      <c r="B232" s="190" t="str">
        <f t="shared" ca="1" si="311"/>
        <v>Depreciated Net Capex 2017-18</v>
      </c>
      <c r="C232" s="1426"/>
      <c r="D232" s="1427"/>
      <c r="E232" s="1425">
        <f>E225</f>
        <v>0.51631117876599997</v>
      </c>
      <c r="F232" s="1423">
        <f ca="1">IF(E256="n/a",E232,IFERROR(IF((OFFSET($C232,0,$A232))&lt;0,
MIN(0,E232-(OFFSET($C232,0,$A232)/(OFFSET($C227,-$A231,$A232)))),
MAX(0,E232-(OFFSET($C232,0,$A232)/(OFFSET($C227,-$A231,$A232))))),0))</f>
        <v>0.38723338407449998</v>
      </c>
      <c r="G232" s="1423">
        <f t="shared" ca="1" si="293"/>
        <v>0.25815558938299998</v>
      </c>
      <c r="H232" s="1423">
        <f t="shared" ca="1" si="294"/>
        <v>0.12907779469149999</v>
      </c>
      <c r="I232" s="1423">
        <f t="shared" ca="1" si="295"/>
        <v>0</v>
      </c>
      <c r="J232" s="1423">
        <f t="shared" ca="1" si="296"/>
        <v>0</v>
      </c>
      <c r="K232" s="1423">
        <f t="shared" ca="1" si="297"/>
        <v>0</v>
      </c>
      <c r="L232" s="1423">
        <f t="shared" ca="1" si="298"/>
        <v>0</v>
      </c>
      <c r="M232" s="1423">
        <f t="shared" ca="1" si="299"/>
        <v>0</v>
      </c>
      <c r="N232" s="1423">
        <f t="shared" ca="1" si="300"/>
        <v>0</v>
      </c>
      <c r="O232" s="1423">
        <f t="shared" ca="1" si="301"/>
        <v>0</v>
      </c>
      <c r="P232" s="1423">
        <f t="shared" ca="1" si="302"/>
        <v>0</v>
      </c>
      <c r="Q232" s="1423">
        <f t="shared" ca="1" si="303"/>
        <v>0</v>
      </c>
      <c r="R232" s="1423">
        <f t="shared" ca="1" si="304"/>
        <v>0</v>
      </c>
      <c r="S232" s="1423">
        <f t="shared" ca="1" si="305"/>
        <v>0</v>
      </c>
      <c r="T232" s="1423">
        <f t="shared" ca="1" si="306"/>
        <v>0</v>
      </c>
      <c r="U232" s="1423">
        <f t="shared" ca="1" si="307"/>
        <v>0</v>
      </c>
      <c r="V232" s="1423">
        <f t="shared" ca="1" si="308"/>
        <v>0</v>
      </c>
      <c r="W232" s="1423">
        <f t="shared" ca="1" si="309"/>
        <v>0</v>
      </c>
      <c r="X232" s="202"/>
      <c r="Y232" s="152"/>
      <c r="Z232" s="152"/>
      <c r="AA232" s="152"/>
      <c r="AB232" s="152"/>
    </row>
    <row r="233" spans="1:28" hidden="1" outlineLevel="1">
      <c r="A233" s="199">
        <f t="shared" si="310"/>
        <v>3</v>
      </c>
      <c r="B233" s="190" t="str">
        <f t="shared" ca="1" si="311"/>
        <v>Depreciated Net Capex 2018-19</v>
      </c>
      <c r="C233" s="1426"/>
      <c r="D233" s="1426"/>
      <c r="E233" s="1427"/>
      <c r="F233" s="1428">
        <f>F225</f>
        <v>0.88921402387412019</v>
      </c>
      <c r="G233" s="1423">
        <f ca="1">IF(F257="n/a",F233,IFERROR(IF((OFFSET($C233,0,$A233))&lt;0,
MIN(0,F233-(OFFSET($C233,0,$A233)/(OFFSET($C228,-$A232,$A233)))),
MAX(0,F233-(OFFSET($C233,0,$A233)/(OFFSET($C228,-$A232,$A233))))),0))</f>
        <v>0.66691051790559008</v>
      </c>
      <c r="H233" s="1423">
        <f t="shared" ca="1" si="294"/>
        <v>0.44460701193706004</v>
      </c>
      <c r="I233" s="1423">
        <f t="shared" ca="1" si="295"/>
        <v>0.22230350596852999</v>
      </c>
      <c r="J233" s="1423">
        <f t="shared" ca="1" si="296"/>
        <v>0</v>
      </c>
      <c r="K233" s="1423">
        <f t="shared" ca="1" si="297"/>
        <v>0</v>
      </c>
      <c r="L233" s="1423">
        <f t="shared" ca="1" si="298"/>
        <v>0</v>
      </c>
      <c r="M233" s="1423">
        <f t="shared" ca="1" si="299"/>
        <v>0</v>
      </c>
      <c r="N233" s="1423">
        <f t="shared" ca="1" si="300"/>
        <v>0</v>
      </c>
      <c r="O233" s="1423">
        <f t="shared" ca="1" si="301"/>
        <v>0</v>
      </c>
      <c r="P233" s="1423">
        <f t="shared" ca="1" si="302"/>
        <v>0</v>
      </c>
      <c r="Q233" s="1423">
        <f t="shared" ca="1" si="303"/>
        <v>0</v>
      </c>
      <c r="R233" s="1423">
        <f t="shared" ca="1" si="304"/>
        <v>0</v>
      </c>
      <c r="S233" s="1423">
        <f t="shared" ca="1" si="305"/>
        <v>0</v>
      </c>
      <c r="T233" s="1423">
        <f t="shared" ca="1" si="306"/>
        <v>0</v>
      </c>
      <c r="U233" s="1423">
        <f t="shared" ca="1" si="307"/>
        <v>0</v>
      </c>
      <c r="V233" s="1423">
        <f t="shared" ca="1" si="308"/>
        <v>0</v>
      </c>
      <c r="W233" s="1423">
        <f t="shared" ca="1" si="309"/>
        <v>0</v>
      </c>
      <c r="X233" s="202"/>
      <c r="Y233" s="202"/>
      <c r="Z233" s="152"/>
      <c r="AA233" s="152"/>
      <c r="AB233" s="152"/>
    </row>
    <row r="234" spans="1:28" hidden="1" outlineLevel="1">
      <c r="A234" s="199">
        <f t="shared" si="310"/>
        <v>4</v>
      </c>
      <c r="B234" s="190" t="str">
        <f t="shared" ca="1" si="311"/>
        <v>Depreciated Net Capex 2019-20</v>
      </c>
      <c r="C234" s="1426"/>
      <c r="D234" s="1426"/>
      <c r="E234" s="1426"/>
      <c r="F234" s="1427"/>
      <c r="G234" s="1428">
        <f>G225</f>
        <v>1.4335010672874571</v>
      </c>
      <c r="H234" s="1423">
        <f ca="1">IF(G258="n/a",G234,IFERROR(IF((OFFSET($C234,0,$A234))&lt;0,
MIN(0,G234-(OFFSET($C234,0,$A234)/(OFFSET($C229,-$A233,$A234)))),
MAX(0,G234-(OFFSET($C234,0,$A234)/(OFFSET($C229,-$A233,$A234))))),0))</f>
        <v>1.0751258004655928</v>
      </c>
      <c r="I234" s="1423">
        <f t="shared" ca="1" si="295"/>
        <v>0.71675053364372854</v>
      </c>
      <c r="J234" s="1423">
        <f t="shared" ca="1" si="296"/>
        <v>0.35837526682186427</v>
      </c>
      <c r="K234" s="1423">
        <f t="shared" ca="1" si="297"/>
        <v>0</v>
      </c>
      <c r="L234" s="1423">
        <f t="shared" ca="1" si="298"/>
        <v>0</v>
      </c>
      <c r="M234" s="1423">
        <f t="shared" ca="1" si="299"/>
        <v>0</v>
      </c>
      <c r="N234" s="1423">
        <f t="shared" ca="1" si="300"/>
        <v>0</v>
      </c>
      <c r="O234" s="1423">
        <f t="shared" ca="1" si="301"/>
        <v>0</v>
      </c>
      <c r="P234" s="1423">
        <f t="shared" ca="1" si="302"/>
        <v>0</v>
      </c>
      <c r="Q234" s="1423">
        <f t="shared" ca="1" si="303"/>
        <v>0</v>
      </c>
      <c r="R234" s="1423">
        <f t="shared" ca="1" si="304"/>
        <v>0</v>
      </c>
      <c r="S234" s="1423">
        <f t="shared" ca="1" si="305"/>
        <v>0</v>
      </c>
      <c r="T234" s="1423">
        <f t="shared" ca="1" si="306"/>
        <v>0</v>
      </c>
      <c r="U234" s="1423">
        <f t="shared" ca="1" si="307"/>
        <v>0</v>
      </c>
      <c r="V234" s="1423">
        <f t="shared" ca="1" si="308"/>
        <v>0</v>
      </c>
      <c r="W234" s="1423">
        <f t="shared" ca="1" si="309"/>
        <v>0</v>
      </c>
      <c r="X234" s="202"/>
      <c r="Y234" s="202"/>
      <c r="Z234" s="202"/>
      <c r="AA234" s="152"/>
      <c r="AB234" s="152"/>
    </row>
    <row r="235" spans="1:28" hidden="1" outlineLevel="1">
      <c r="A235" s="199">
        <f t="shared" si="310"/>
        <v>5</v>
      </c>
      <c r="B235" s="190" t="str">
        <f t="shared" ca="1" si="311"/>
        <v>Depreciated Net Capex 2020-21</v>
      </c>
      <c r="C235" s="1426"/>
      <c r="D235" s="1426"/>
      <c r="E235" s="1426"/>
      <c r="F235" s="1426"/>
      <c r="G235" s="1427"/>
      <c r="H235" s="1428">
        <f>H225</f>
        <v>1.5087705538296319</v>
      </c>
      <c r="I235" s="1423">
        <f ca="1">IF(H259="n/a",H235,IFERROR(IF((OFFSET($C235,0,$A235))&lt;0,
MIN(0,H235-(OFFSET($C235,0,$A235)/(OFFSET($C230,-$A234,$A235)))),
MAX(0,H235-(OFFSET($C235,0,$A235)/(OFFSET($C230,-$A234,$A235))))),0))</f>
        <v>1.1315779153722239</v>
      </c>
      <c r="J235" s="1423">
        <f t="shared" ca="1" si="296"/>
        <v>0.75438527691481583</v>
      </c>
      <c r="K235" s="1423">
        <f t="shared" ca="1" si="297"/>
        <v>0.37719263845740786</v>
      </c>
      <c r="L235" s="1423">
        <f t="shared" ca="1" si="298"/>
        <v>0</v>
      </c>
      <c r="M235" s="1423">
        <f t="shared" ca="1" si="299"/>
        <v>0</v>
      </c>
      <c r="N235" s="1423">
        <f t="shared" ca="1" si="300"/>
        <v>0</v>
      </c>
      <c r="O235" s="1423">
        <f t="shared" ca="1" si="301"/>
        <v>0</v>
      </c>
      <c r="P235" s="1423">
        <f t="shared" ca="1" si="302"/>
        <v>0</v>
      </c>
      <c r="Q235" s="1423">
        <f t="shared" ca="1" si="303"/>
        <v>0</v>
      </c>
      <c r="R235" s="1423">
        <f t="shared" ca="1" si="304"/>
        <v>0</v>
      </c>
      <c r="S235" s="1423">
        <f t="shared" ca="1" si="305"/>
        <v>0</v>
      </c>
      <c r="T235" s="1423">
        <f t="shared" ca="1" si="306"/>
        <v>0</v>
      </c>
      <c r="U235" s="1423">
        <f t="shared" ca="1" si="307"/>
        <v>0</v>
      </c>
      <c r="V235" s="1423">
        <f t="shared" ca="1" si="308"/>
        <v>0</v>
      </c>
      <c r="W235" s="1423">
        <f t="shared" ca="1" si="309"/>
        <v>0</v>
      </c>
      <c r="X235" s="202"/>
      <c r="Y235" s="202"/>
      <c r="Z235" s="202"/>
      <c r="AA235" s="152"/>
      <c r="AB235" s="152"/>
    </row>
    <row r="236" spans="1:28" hidden="1" outlineLevel="1">
      <c r="A236" s="199">
        <f t="shared" si="310"/>
        <v>6</v>
      </c>
      <c r="B236" s="190" t="str">
        <f t="shared" ca="1" si="311"/>
        <v>Depreciated Net Capex 2021-22</v>
      </c>
      <c r="C236" s="1426"/>
      <c r="D236" s="1426"/>
      <c r="E236" s="1426"/>
      <c r="F236" s="1426"/>
      <c r="G236" s="1426"/>
      <c r="H236" s="1427"/>
      <c r="I236" s="1428">
        <f>I225</f>
        <v>1.9436581048472017</v>
      </c>
      <c r="J236" s="1423">
        <f ca="1">IF(I260="n/a",I236,IFERROR(IF((OFFSET($C236,0,$A236))&lt;0,
MIN(0,I236-(OFFSET($C236,0,$A236)/(OFFSET($C231,-$A235,$A236)))),
MAX(0,I236-(OFFSET($C236,0,$A236)/(OFFSET($C231,-$A235,$A236))))),0))</f>
        <v>1.4577435786354012</v>
      </c>
      <c r="K236" s="1423">
        <f t="shared" ca="1" si="297"/>
        <v>0.97182905242360074</v>
      </c>
      <c r="L236" s="1423">
        <f t="shared" ca="1" si="298"/>
        <v>0.48591452621180031</v>
      </c>
      <c r="M236" s="1423">
        <f t="shared" ca="1" si="299"/>
        <v>0</v>
      </c>
      <c r="N236" s="1423">
        <f t="shared" ca="1" si="300"/>
        <v>0</v>
      </c>
      <c r="O236" s="1423">
        <f t="shared" ca="1" si="301"/>
        <v>0</v>
      </c>
      <c r="P236" s="1423">
        <f t="shared" ca="1" si="302"/>
        <v>0</v>
      </c>
      <c r="Q236" s="1423">
        <f t="shared" ca="1" si="303"/>
        <v>0</v>
      </c>
      <c r="R236" s="1423">
        <f t="shared" ca="1" si="304"/>
        <v>0</v>
      </c>
      <c r="S236" s="1423">
        <f t="shared" ca="1" si="305"/>
        <v>0</v>
      </c>
      <c r="T236" s="1423">
        <f t="shared" ca="1" si="306"/>
        <v>0</v>
      </c>
      <c r="U236" s="1423">
        <f t="shared" ca="1" si="307"/>
        <v>0</v>
      </c>
      <c r="V236" s="1423">
        <f t="shared" ca="1" si="308"/>
        <v>0</v>
      </c>
      <c r="W236" s="1423">
        <f t="shared" ca="1" si="309"/>
        <v>0</v>
      </c>
      <c r="X236" s="202"/>
      <c r="Y236" s="202"/>
      <c r="Z236" s="202"/>
      <c r="AA236" s="152"/>
      <c r="AB236" s="152"/>
    </row>
    <row r="237" spans="1:28" hidden="1" outlineLevel="1">
      <c r="A237" s="199">
        <f t="shared" si="310"/>
        <v>7</v>
      </c>
      <c r="B237" s="190" t="str">
        <f t="shared" ca="1" si="311"/>
        <v>Depreciated Net Capex 2022-23</v>
      </c>
      <c r="C237" s="1426"/>
      <c r="D237" s="1426"/>
      <c r="E237" s="1426"/>
      <c r="F237" s="1426"/>
      <c r="G237" s="1426"/>
      <c r="H237" s="1426"/>
      <c r="I237" s="1427"/>
      <c r="J237" s="1428">
        <f>J225</f>
        <v>0.82496443621721094</v>
      </c>
      <c r="K237" s="1423">
        <f ca="1">IF(J261="n/a",J237,IFERROR(IF((OFFSET($C237,0,$A237))&lt;0,
MIN(0,J237-(OFFSET($C237,0,$A237)/(OFFSET($C232,-$A236,$A237)))),
MAX(0,J237-(OFFSET($C237,0,$A237)/(OFFSET($C232,-$A236,$A237))))),0))</f>
        <v>0.61872332716290823</v>
      </c>
      <c r="L237" s="1423">
        <f t="shared" ca="1" si="298"/>
        <v>0.41248221810860553</v>
      </c>
      <c r="M237" s="1423">
        <f t="shared" ca="1" si="299"/>
        <v>0.20624110905430279</v>
      </c>
      <c r="N237" s="1423">
        <f t="shared" ca="1" si="300"/>
        <v>5.5511151231257827E-17</v>
      </c>
      <c r="O237" s="1423">
        <f t="shared" ca="1" si="301"/>
        <v>0</v>
      </c>
      <c r="P237" s="1423">
        <f t="shared" ca="1" si="302"/>
        <v>0</v>
      </c>
      <c r="Q237" s="1423">
        <f t="shared" ca="1" si="303"/>
        <v>0</v>
      </c>
      <c r="R237" s="1423">
        <f t="shared" ca="1" si="304"/>
        <v>0</v>
      </c>
      <c r="S237" s="1423">
        <f t="shared" ca="1" si="305"/>
        <v>0</v>
      </c>
      <c r="T237" s="1423">
        <f t="shared" ca="1" si="306"/>
        <v>0</v>
      </c>
      <c r="U237" s="1423">
        <f t="shared" ca="1" si="307"/>
        <v>0</v>
      </c>
      <c r="V237" s="1423">
        <f t="shared" ca="1" si="308"/>
        <v>0</v>
      </c>
      <c r="W237" s="1423">
        <f t="shared" ca="1" si="309"/>
        <v>0</v>
      </c>
      <c r="X237" s="202"/>
      <c r="Y237" s="202"/>
      <c r="Z237" s="202"/>
      <c r="AA237" s="152"/>
      <c r="AB237" s="152"/>
    </row>
    <row r="238" spans="1:28" hidden="1" outlineLevel="1">
      <c r="A238" s="199">
        <f t="shared" si="310"/>
        <v>8</v>
      </c>
      <c r="B238" s="190" t="str">
        <f t="shared" ca="1" si="311"/>
        <v>Depreciated Net Capex 2023-24</v>
      </c>
      <c r="C238" s="1426"/>
      <c r="D238" s="1426"/>
      <c r="E238" s="1426"/>
      <c r="F238" s="1426"/>
      <c r="G238" s="1426"/>
      <c r="H238" s="1426"/>
      <c r="I238" s="1426"/>
      <c r="J238" s="1427"/>
      <c r="K238" s="1428">
        <f>K225</f>
        <v>0</v>
      </c>
      <c r="L238" s="1423">
        <f ca="1">IF(K262="n/a",K238,IFERROR(IF((OFFSET($C238,0,$A238))&lt;0,
MIN(0,K238-(OFFSET($C238,0,$A238)/(OFFSET($C233,-$A237,$A238)))),
MAX(0,K238-(OFFSET($C238,0,$A238)/(OFFSET($C233,-$A237,$A238))))),0))</f>
        <v>0</v>
      </c>
      <c r="M238" s="1423">
        <f t="shared" ca="1" si="299"/>
        <v>0</v>
      </c>
      <c r="N238" s="1423">
        <f t="shared" ca="1" si="300"/>
        <v>0</v>
      </c>
      <c r="O238" s="1423">
        <f t="shared" ca="1" si="301"/>
        <v>0</v>
      </c>
      <c r="P238" s="1423">
        <f t="shared" ca="1" si="302"/>
        <v>0</v>
      </c>
      <c r="Q238" s="1423">
        <f t="shared" ca="1" si="303"/>
        <v>0</v>
      </c>
      <c r="R238" s="1423">
        <f t="shared" ca="1" si="304"/>
        <v>0</v>
      </c>
      <c r="S238" s="1423">
        <f t="shared" ca="1" si="305"/>
        <v>0</v>
      </c>
      <c r="T238" s="1423">
        <f t="shared" ca="1" si="306"/>
        <v>0</v>
      </c>
      <c r="U238" s="1423">
        <f t="shared" ca="1" si="307"/>
        <v>0</v>
      </c>
      <c r="V238" s="1423">
        <f t="shared" ca="1" si="308"/>
        <v>0</v>
      </c>
      <c r="W238" s="1423">
        <f t="shared" ca="1" si="309"/>
        <v>0</v>
      </c>
      <c r="X238" s="202"/>
      <c r="Y238" s="202"/>
      <c r="Z238" s="202"/>
      <c r="AA238" s="152"/>
      <c r="AB238" s="152"/>
    </row>
    <row r="239" spans="1:28" hidden="1" outlineLevel="1">
      <c r="A239" s="199">
        <f t="shared" si="310"/>
        <v>9</v>
      </c>
      <c r="B239" s="190" t="str">
        <f t="shared" ca="1" si="311"/>
        <v>Depreciated Net Capex 2024-25</v>
      </c>
      <c r="C239" s="1426"/>
      <c r="D239" s="1426"/>
      <c r="E239" s="1426"/>
      <c r="F239" s="1426"/>
      <c r="G239" s="1426"/>
      <c r="H239" s="1426"/>
      <c r="I239" s="1426"/>
      <c r="J239" s="1426"/>
      <c r="K239" s="1427"/>
      <c r="L239" s="1428">
        <f>L225</f>
        <v>0</v>
      </c>
      <c r="M239" s="1423">
        <f ca="1">IF(L263="n/a",L239,IFERROR(IF((OFFSET($C239,0,$A239))&lt;0,
MIN(0,L239-(OFFSET($C239,0,$A239)/(OFFSET($C234,-$A238,$A239)))),
MAX(0,L239-(OFFSET($C239,0,$A239)/(OFFSET($C234,-$A238,$A239))))),0))</f>
        <v>0</v>
      </c>
      <c r="N239" s="1423">
        <f t="shared" ca="1" si="300"/>
        <v>0</v>
      </c>
      <c r="O239" s="1423">
        <f t="shared" ca="1" si="301"/>
        <v>0</v>
      </c>
      <c r="P239" s="1423">
        <f t="shared" ca="1" si="302"/>
        <v>0</v>
      </c>
      <c r="Q239" s="1423">
        <f t="shared" ca="1" si="303"/>
        <v>0</v>
      </c>
      <c r="R239" s="1423">
        <f t="shared" ca="1" si="304"/>
        <v>0</v>
      </c>
      <c r="S239" s="1423">
        <f t="shared" ca="1" si="305"/>
        <v>0</v>
      </c>
      <c r="T239" s="1423">
        <f t="shared" ca="1" si="306"/>
        <v>0</v>
      </c>
      <c r="U239" s="1423">
        <f t="shared" ca="1" si="307"/>
        <v>0</v>
      </c>
      <c r="V239" s="1423">
        <f t="shared" ca="1" si="308"/>
        <v>0</v>
      </c>
      <c r="W239" s="1423">
        <f t="shared" ca="1" si="309"/>
        <v>0</v>
      </c>
      <c r="X239" s="202"/>
      <c r="Y239" s="202"/>
      <c r="Z239" s="202"/>
      <c r="AA239" s="152"/>
      <c r="AB239" s="152"/>
    </row>
    <row r="240" spans="1:28" hidden="1" outlineLevel="1">
      <c r="A240" s="199">
        <f t="shared" si="310"/>
        <v>10</v>
      </c>
      <c r="B240" s="190" t="str">
        <f t="shared" ca="1" si="311"/>
        <v>Depreciated Net Capex 2025-26</v>
      </c>
      <c r="C240" s="1426"/>
      <c r="D240" s="1426"/>
      <c r="E240" s="1426"/>
      <c r="F240" s="1426"/>
      <c r="G240" s="1426"/>
      <c r="H240" s="1426"/>
      <c r="I240" s="1426"/>
      <c r="J240" s="1426"/>
      <c r="K240" s="1426"/>
      <c r="L240" s="1427"/>
      <c r="M240" s="1428">
        <f>M225</f>
        <v>0</v>
      </c>
      <c r="N240" s="1423">
        <f ca="1">IF(M264="n/a",M240,IFERROR(IF((OFFSET($C240,0,$A240))&lt;0,
MIN(0,M240-(OFFSET($C240,0,$A240)/(OFFSET($C235,-$A239,$A240)))),
MAX(0,M240-(OFFSET($C240,0,$A240)/(OFFSET($C235,-$A239,$A240))))),0))</f>
        <v>0</v>
      </c>
      <c r="O240" s="1423">
        <f t="shared" ca="1" si="301"/>
        <v>0</v>
      </c>
      <c r="P240" s="1423">
        <f t="shared" ca="1" si="302"/>
        <v>0</v>
      </c>
      <c r="Q240" s="1423">
        <f t="shared" ca="1" si="303"/>
        <v>0</v>
      </c>
      <c r="R240" s="1423">
        <f t="shared" ca="1" si="304"/>
        <v>0</v>
      </c>
      <c r="S240" s="1423">
        <f t="shared" ca="1" si="305"/>
        <v>0</v>
      </c>
      <c r="T240" s="1423">
        <f t="shared" ca="1" si="306"/>
        <v>0</v>
      </c>
      <c r="U240" s="1423">
        <f t="shared" ca="1" si="307"/>
        <v>0</v>
      </c>
      <c r="V240" s="1423">
        <f t="shared" ca="1" si="308"/>
        <v>0</v>
      </c>
      <c r="W240" s="1423">
        <f t="shared" ca="1" si="309"/>
        <v>0</v>
      </c>
      <c r="X240" s="202"/>
      <c r="Y240" s="202"/>
      <c r="Z240" s="202"/>
      <c r="AA240" s="152"/>
      <c r="AB240" s="152"/>
    </row>
    <row r="241" spans="1:28" hidden="1" outlineLevel="1">
      <c r="A241" s="199">
        <f t="shared" si="310"/>
        <v>11</v>
      </c>
      <c r="B241" s="190" t="str">
        <f t="shared" ca="1" si="311"/>
        <v>Depreciated Net Capex 2026-27</v>
      </c>
      <c r="C241" s="1426"/>
      <c r="D241" s="1426"/>
      <c r="E241" s="1426"/>
      <c r="F241" s="1426"/>
      <c r="G241" s="1426"/>
      <c r="H241" s="1426"/>
      <c r="I241" s="1426"/>
      <c r="J241" s="1426"/>
      <c r="K241" s="1426"/>
      <c r="L241" s="1426"/>
      <c r="M241" s="1427"/>
      <c r="N241" s="1428">
        <f>N225</f>
        <v>0</v>
      </c>
      <c r="O241" s="1423">
        <f ca="1">IF(N265="n/a",N241,IFERROR(IF((OFFSET($C241,0,$A241))&lt;0,
MIN(0,N241-(OFFSET($C241,0,$A241)/(OFFSET($C236,-$A240,$A241)))),
MAX(0,N241-(OFFSET($C241,0,$A241)/(OFFSET($C236,-$A240,$A241))))),0))</f>
        <v>0</v>
      </c>
      <c r="P241" s="1423">
        <f t="shared" ca="1" si="302"/>
        <v>0</v>
      </c>
      <c r="Q241" s="1423">
        <f t="shared" ca="1" si="303"/>
        <v>0</v>
      </c>
      <c r="R241" s="1423">
        <f t="shared" ca="1" si="304"/>
        <v>0</v>
      </c>
      <c r="S241" s="1423">
        <f t="shared" ca="1" si="305"/>
        <v>0</v>
      </c>
      <c r="T241" s="1423">
        <f t="shared" ca="1" si="306"/>
        <v>0</v>
      </c>
      <c r="U241" s="1423">
        <f t="shared" ca="1" si="307"/>
        <v>0</v>
      </c>
      <c r="V241" s="1423">
        <f t="shared" ca="1" si="308"/>
        <v>0</v>
      </c>
      <c r="W241" s="1423">
        <f t="shared" ca="1" si="309"/>
        <v>0</v>
      </c>
      <c r="X241" s="202"/>
      <c r="Y241" s="202"/>
      <c r="Z241" s="202"/>
      <c r="AA241" s="152"/>
      <c r="AB241" s="152"/>
    </row>
    <row r="242" spans="1:28" hidden="1" outlineLevel="1">
      <c r="A242" s="199">
        <f t="shared" si="310"/>
        <v>12</v>
      </c>
      <c r="B242" s="190" t="str">
        <f t="shared" ca="1" si="311"/>
        <v>Depreciated Net Capex 2027-28</v>
      </c>
      <c r="C242" s="1426"/>
      <c r="D242" s="1426"/>
      <c r="E242" s="1426"/>
      <c r="F242" s="1426"/>
      <c r="G242" s="1426"/>
      <c r="H242" s="1426"/>
      <c r="I242" s="1426"/>
      <c r="J242" s="1426"/>
      <c r="K242" s="1426"/>
      <c r="L242" s="1426"/>
      <c r="M242" s="1426"/>
      <c r="N242" s="1427"/>
      <c r="O242" s="1428">
        <f>O225</f>
        <v>0</v>
      </c>
      <c r="P242" s="1423">
        <f ca="1">IF(O266="n/a",O242,IFERROR(IF((OFFSET($C242,0,$A242))&lt;0,
MIN(0,O242-(OFFSET($C242,0,$A242)/(OFFSET($C237,-$A241,$A242)))),
MAX(0,O242-(OFFSET($C242,0,$A242)/(OFFSET($C237,-$A241,$A242))))),0))</f>
        <v>0</v>
      </c>
      <c r="Q242" s="1423">
        <f t="shared" ca="1" si="303"/>
        <v>0</v>
      </c>
      <c r="R242" s="1423">
        <f t="shared" ca="1" si="304"/>
        <v>0</v>
      </c>
      <c r="S242" s="1423">
        <f t="shared" ca="1" si="305"/>
        <v>0</v>
      </c>
      <c r="T242" s="1423">
        <f t="shared" ca="1" si="306"/>
        <v>0</v>
      </c>
      <c r="U242" s="1423">
        <f t="shared" ca="1" si="307"/>
        <v>0</v>
      </c>
      <c r="V242" s="1423">
        <f t="shared" ca="1" si="308"/>
        <v>0</v>
      </c>
      <c r="W242" s="1423">
        <f t="shared" ca="1" si="309"/>
        <v>0</v>
      </c>
      <c r="X242" s="202"/>
      <c r="Y242" s="202"/>
      <c r="Z242" s="202"/>
      <c r="AA242" s="152"/>
      <c r="AB242" s="152"/>
    </row>
    <row r="243" spans="1:28" hidden="1" outlineLevel="1">
      <c r="A243" s="199">
        <f t="shared" si="310"/>
        <v>13</v>
      </c>
      <c r="B243" s="190" t="str">
        <f t="shared" ca="1" si="311"/>
        <v>Depreciated Net Capex 2028-29</v>
      </c>
      <c r="C243" s="1426"/>
      <c r="D243" s="1426"/>
      <c r="E243" s="1426"/>
      <c r="F243" s="1426"/>
      <c r="G243" s="1426"/>
      <c r="H243" s="1426"/>
      <c r="I243" s="1426"/>
      <c r="J243" s="1426"/>
      <c r="K243" s="1426"/>
      <c r="L243" s="1426"/>
      <c r="M243" s="1426"/>
      <c r="N243" s="1426"/>
      <c r="O243" s="1427"/>
      <c r="P243" s="1428">
        <f>P225</f>
        <v>0</v>
      </c>
      <c r="Q243" s="1423">
        <f ca="1">IF(P267="n/a",P243,IFERROR(IF((OFFSET($C243,0,$A243))&lt;0,
MIN(0,P243-(OFFSET($C243,0,$A243)/(OFFSET($C238,-$A242,$A243)))),
MAX(0,P243-(OFFSET($C243,0,$A243)/(OFFSET($C238,-$A242,$A243))))),0))</f>
        <v>0</v>
      </c>
      <c r="R243" s="1423">
        <f t="shared" ca="1" si="304"/>
        <v>0</v>
      </c>
      <c r="S243" s="1423">
        <f t="shared" ca="1" si="305"/>
        <v>0</v>
      </c>
      <c r="T243" s="1423">
        <f t="shared" ca="1" si="306"/>
        <v>0</v>
      </c>
      <c r="U243" s="1423">
        <f t="shared" ca="1" si="307"/>
        <v>0</v>
      </c>
      <c r="V243" s="1423">
        <f t="shared" ca="1" si="308"/>
        <v>0</v>
      </c>
      <c r="W243" s="1423">
        <f t="shared" ca="1" si="309"/>
        <v>0</v>
      </c>
      <c r="X243" s="202"/>
      <c r="Y243" s="202"/>
      <c r="Z243" s="202"/>
      <c r="AA243" s="152"/>
      <c r="AB243" s="152"/>
    </row>
    <row r="244" spans="1:28" hidden="1" outlineLevel="1">
      <c r="A244" s="199">
        <f t="shared" si="310"/>
        <v>14</v>
      </c>
      <c r="B244" s="190" t="str">
        <f t="shared" ca="1" si="311"/>
        <v>Depreciated Net Capex 2029-30</v>
      </c>
      <c r="C244" s="1426"/>
      <c r="D244" s="1426"/>
      <c r="E244" s="1426"/>
      <c r="F244" s="1426"/>
      <c r="G244" s="1426"/>
      <c r="H244" s="1426"/>
      <c r="I244" s="1426"/>
      <c r="J244" s="1426"/>
      <c r="K244" s="1426"/>
      <c r="L244" s="1426"/>
      <c r="M244" s="1426"/>
      <c r="N244" s="1426"/>
      <c r="O244" s="1426"/>
      <c r="P244" s="1427"/>
      <c r="Q244" s="1428">
        <f>Q225</f>
        <v>0</v>
      </c>
      <c r="R244" s="1423">
        <f ca="1">IF(Q268="n/a",Q244,IFERROR(IF((OFFSET($C244,0,$A244))&lt;0,
MIN(0,Q244-(OFFSET($C244,0,$A244)/(OFFSET($C239,-$A243,$A244)))),
MAX(0,Q244-(OFFSET($C244,0,$A244)/(OFFSET($C239,-$A243,$A244))))),0))</f>
        <v>0</v>
      </c>
      <c r="S244" s="1423">
        <f t="shared" ca="1" si="305"/>
        <v>0</v>
      </c>
      <c r="T244" s="1423">
        <f t="shared" ca="1" si="306"/>
        <v>0</v>
      </c>
      <c r="U244" s="1423">
        <f t="shared" ca="1" si="307"/>
        <v>0</v>
      </c>
      <c r="V244" s="1423">
        <f t="shared" ca="1" si="308"/>
        <v>0</v>
      </c>
      <c r="W244" s="1423">
        <f t="shared" ca="1" si="309"/>
        <v>0</v>
      </c>
      <c r="X244" s="202"/>
      <c r="Y244" s="202"/>
      <c r="Z244" s="202"/>
      <c r="AA244" s="152"/>
      <c r="AB244" s="152"/>
    </row>
    <row r="245" spans="1:28" hidden="1" outlineLevel="1">
      <c r="A245" s="199">
        <f t="shared" si="310"/>
        <v>15</v>
      </c>
      <c r="B245" s="190" t="str">
        <f t="shared" ca="1" si="311"/>
        <v>Depreciated Net Capex 2030-31</v>
      </c>
      <c r="C245" s="1426"/>
      <c r="D245" s="1426"/>
      <c r="E245" s="1426"/>
      <c r="F245" s="1426"/>
      <c r="G245" s="1426"/>
      <c r="H245" s="1426"/>
      <c r="I245" s="1426"/>
      <c r="J245" s="1426"/>
      <c r="K245" s="1426"/>
      <c r="L245" s="1426"/>
      <c r="M245" s="1426"/>
      <c r="N245" s="1426"/>
      <c r="O245" s="1426"/>
      <c r="P245" s="1426"/>
      <c r="Q245" s="1427"/>
      <c r="R245" s="1428">
        <f>R225</f>
        <v>0</v>
      </c>
      <c r="S245" s="1423">
        <f ca="1">IF(R269="n/a",R245,IFERROR(IF((OFFSET($C245,0,$A245))&lt;0,
MIN(0,R245-(OFFSET($C245,0,$A245)/(OFFSET($C240,-$A244,$A245)))),
MAX(0,R245-(OFFSET($C245,0,$A245)/(OFFSET($C240,-$A244,$A245))))),0))</f>
        <v>0</v>
      </c>
      <c r="T245" s="1423">
        <f t="shared" ca="1" si="306"/>
        <v>0</v>
      </c>
      <c r="U245" s="1423">
        <f t="shared" ca="1" si="307"/>
        <v>0</v>
      </c>
      <c r="V245" s="1423">
        <f t="shared" ca="1" si="308"/>
        <v>0</v>
      </c>
      <c r="W245" s="1423">
        <f t="shared" ca="1" si="309"/>
        <v>0</v>
      </c>
      <c r="X245" s="202"/>
      <c r="Y245" s="202"/>
      <c r="Z245" s="202"/>
      <c r="AA245" s="152"/>
      <c r="AB245" s="152"/>
    </row>
    <row r="246" spans="1:28" hidden="1" outlineLevel="1">
      <c r="A246" s="199">
        <f t="shared" si="310"/>
        <v>16</v>
      </c>
      <c r="B246" s="190" t="str">
        <f t="shared" ca="1" si="311"/>
        <v>Depreciated Net Capex 2031-32</v>
      </c>
      <c r="C246" s="1426"/>
      <c r="D246" s="1426"/>
      <c r="E246" s="1426"/>
      <c r="F246" s="1426"/>
      <c r="G246" s="1426"/>
      <c r="H246" s="1426"/>
      <c r="I246" s="1426"/>
      <c r="J246" s="1426"/>
      <c r="K246" s="1426"/>
      <c r="L246" s="1426"/>
      <c r="M246" s="1426"/>
      <c r="N246" s="1426"/>
      <c r="O246" s="1426"/>
      <c r="P246" s="1426"/>
      <c r="Q246" s="1426"/>
      <c r="R246" s="1427"/>
      <c r="S246" s="1428">
        <f>S225</f>
        <v>0</v>
      </c>
      <c r="T246" s="1423">
        <f ca="1">IF(S270="n/a",S246,IFERROR(IF((OFFSET($C246,0,$A246))&lt;0,
MIN(0,S246-(OFFSET($C246,0,$A246)/(OFFSET($C241,-$A245,$A246)))),
MAX(0,S246-(OFFSET($C246,0,$A246)/(OFFSET($C241,-$A245,$A246))))),0))</f>
        <v>0</v>
      </c>
      <c r="U246" s="1423">
        <f t="shared" ca="1" si="307"/>
        <v>0</v>
      </c>
      <c r="V246" s="1423">
        <f t="shared" ca="1" si="308"/>
        <v>0</v>
      </c>
      <c r="W246" s="1423">
        <f t="shared" ca="1" si="309"/>
        <v>0</v>
      </c>
      <c r="X246" s="202"/>
      <c r="Y246" s="202"/>
      <c r="Z246" s="202"/>
      <c r="AA246" s="152"/>
      <c r="AB246" s="152"/>
    </row>
    <row r="247" spans="1:28" hidden="1" outlineLevel="1">
      <c r="A247" s="199">
        <f t="shared" si="310"/>
        <v>17</v>
      </c>
      <c r="B247" s="190" t="str">
        <f t="shared" ca="1" si="311"/>
        <v>Depreciated Net Capex 2032-33</v>
      </c>
      <c r="C247" s="1426"/>
      <c r="D247" s="1426"/>
      <c r="E247" s="1426"/>
      <c r="F247" s="1426"/>
      <c r="G247" s="1426"/>
      <c r="H247" s="1426"/>
      <c r="I247" s="1426"/>
      <c r="J247" s="1426"/>
      <c r="K247" s="1426"/>
      <c r="L247" s="1426"/>
      <c r="M247" s="1426"/>
      <c r="N247" s="1426"/>
      <c r="O247" s="1426"/>
      <c r="P247" s="1426"/>
      <c r="Q247" s="1426"/>
      <c r="R247" s="1426"/>
      <c r="S247" s="1427"/>
      <c r="T247" s="1428">
        <f>T225</f>
        <v>0</v>
      </c>
      <c r="U247" s="1423">
        <f ca="1">IF(T271="n/a",T247,IFERROR(IF((OFFSET($C247,0,$A247))&lt;0,
MIN(0,T247-(OFFSET($C247,0,$A247)/(OFFSET($C242,-$A246,$A247)))),
MAX(0,T247-(OFFSET($C247,0,$A247)/(OFFSET($C242,-$A246,$A247))))),0))</f>
        <v>0</v>
      </c>
      <c r="V247" s="1423">
        <f t="shared" ca="1" si="308"/>
        <v>0</v>
      </c>
      <c r="W247" s="1423">
        <f t="shared" ca="1" si="309"/>
        <v>0</v>
      </c>
      <c r="X247" s="202"/>
      <c r="Y247" s="202"/>
      <c r="Z247" s="202"/>
      <c r="AA247" s="152"/>
      <c r="AB247" s="152"/>
    </row>
    <row r="248" spans="1:28" hidden="1" outlineLevel="1">
      <c r="A248" s="199">
        <f t="shared" si="310"/>
        <v>18</v>
      </c>
      <c r="B248" s="190" t="str">
        <f t="shared" ca="1" si="311"/>
        <v>Depreciated Net Capex 2033-34</v>
      </c>
      <c r="C248" s="1426"/>
      <c r="D248" s="1426"/>
      <c r="E248" s="1426"/>
      <c r="F248" s="1426"/>
      <c r="G248" s="1426"/>
      <c r="H248" s="1426"/>
      <c r="I248" s="1426"/>
      <c r="J248" s="1426"/>
      <c r="K248" s="1426"/>
      <c r="L248" s="1426"/>
      <c r="M248" s="1426"/>
      <c r="N248" s="1426"/>
      <c r="O248" s="1426"/>
      <c r="P248" s="1426"/>
      <c r="Q248" s="1426"/>
      <c r="R248" s="1426"/>
      <c r="S248" s="1426"/>
      <c r="T248" s="1427"/>
      <c r="U248" s="1428">
        <f>U225</f>
        <v>0</v>
      </c>
      <c r="V248" s="1423">
        <f ca="1">IF(U272="n/a",U248,IFERROR(IF((OFFSET($C248,0,$A248))&lt;0,
MIN(0,U248-(OFFSET($C248,0,$A248)/(OFFSET($C243,-$A247,$A248)))),
MAX(0,U248-(OFFSET($C248,0,$A248)/(OFFSET($C243,-$A247,$A248))))),0))</f>
        <v>0</v>
      </c>
      <c r="W248" s="1423">
        <f t="shared" ca="1" si="309"/>
        <v>0</v>
      </c>
      <c r="X248" s="202"/>
      <c r="Y248" s="202"/>
      <c r="Z248" s="202"/>
      <c r="AA248" s="152"/>
      <c r="AB248" s="152"/>
    </row>
    <row r="249" spans="1:28" hidden="1" outlineLevel="1">
      <c r="A249" s="199">
        <f t="shared" si="310"/>
        <v>19</v>
      </c>
      <c r="B249" s="190" t="str">
        <f t="shared" ca="1" si="311"/>
        <v>Depreciated Net Capex 2034-35</v>
      </c>
      <c r="C249" s="1426"/>
      <c r="D249" s="1426"/>
      <c r="E249" s="1426"/>
      <c r="F249" s="1426"/>
      <c r="G249" s="1426"/>
      <c r="H249" s="1426"/>
      <c r="I249" s="1426"/>
      <c r="J249" s="1426"/>
      <c r="K249" s="1426"/>
      <c r="L249" s="1426"/>
      <c r="M249" s="1426"/>
      <c r="N249" s="1426"/>
      <c r="O249" s="1426"/>
      <c r="P249" s="1426"/>
      <c r="Q249" s="1426"/>
      <c r="R249" s="1426"/>
      <c r="S249" s="1426"/>
      <c r="T249" s="1426"/>
      <c r="U249" s="1427"/>
      <c r="V249" s="1428">
        <f>V225</f>
        <v>0</v>
      </c>
      <c r="W249" s="1423">
        <f ca="1">IF(V273="n/a",V249,IFERROR(IF((OFFSET($C249,0,$A249))&lt;0,
MIN(0,V249-(OFFSET($C249,0,$A249)/(OFFSET($C244,-$A248,$A249)))),
MAX(0,V249-(OFFSET($C249,0,$A249)/(OFFSET($C244,-$A248,$A249))))),0))</f>
        <v>0</v>
      </c>
      <c r="X249" s="202"/>
      <c r="Y249" s="202"/>
      <c r="Z249" s="202"/>
      <c r="AA249" s="152"/>
      <c r="AB249" s="152"/>
    </row>
    <row r="250" spans="1:28" hidden="1" outlineLevel="1">
      <c r="A250" s="199">
        <f t="shared" si="310"/>
        <v>20</v>
      </c>
      <c r="B250" s="190" t="str">
        <f t="shared" ca="1" si="311"/>
        <v>Depreciated Net Capex 2035-36</v>
      </c>
      <c r="C250" s="1426"/>
      <c r="D250" s="1426"/>
      <c r="E250" s="1426"/>
      <c r="F250" s="1426"/>
      <c r="G250" s="1426"/>
      <c r="H250" s="1426"/>
      <c r="I250" s="1426"/>
      <c r="J250" s="1426"/>
      <c r="K250" s="1426"/>
      <c r="L250" s="1426"/>
      <c r="M250" s="1426"/>
      <c r="N250" s="1426"/>
      <c r="O250" s="1426"/>
      <c r="P250" s="1426"/>
      <c r="Q250" s="1426"/>
      <c r="R250" s="1426"/>
      <c r="S250" s="1426"/>
      <c r="T250" s="1426"/>
      <c r="U250" s="1426"/>
      <c r="V250" s="1427"/>
      <c r="W250" s="1423">
        <f>W225</f>
        <v>0</v>
      </c>
      <c r="X250" s="152"/>
      <c r="Y250" s="152"/>
      <c r="Z250" s="152"/>
      <c r="AA250" s="152"/>
      <c r="AB250" s="152"/>
    </row>
    <row r="251" spans="1:28" hidden="1" outlineLevel="1">
      <c r="A251" s="242"/>
      <c r="B251" s="200"/>
      <c r="C251" s="1423"/>
      <c r="D251" s="1423"/>
      <c r="E251" s="1423"/>
      <c r="F251" s="1423"/>
      <c r="G251" s="1423"/>
      <c r="H251" s="1423"/>
      <c r="I251" s="1423"/>
      <c r="J251" s="1423"/>
      <c r="K251" s="1423"/>
      <c r="L251" s="1423"/>
      <c r="M251" s="1423"/>
      <c r="N251" s="1423"/>
      <c r="O251" s="1423"/>
      <c r="P251" s="1423"/>
      <c r="Q251" s="1423"/>
      <c r="R251" s="1423"/>
      <c r="S251" s="1423"/>
      <c r="T251" s="1423"/>
      <c r="U251" s="1423"/>
      <c r="V251" s="1423"/>
      <c r="W251" s="1423"/>
      <c r="X251" s="152"/>
      <c r="Y251" s="152"/>
      <c r="Z251" s="152"/>
      <c r="AA251" s="152"/>
      <c r="AB251" s="152"/>
    </row>
    <row r="252" spans="1:28" hidden="1" outlineLevel="1">
      <c r="A252" s="242"/>
      <c r="B252" s="200"/>
      <c r="C252" s="1423"/>
      <c r="D252" s="1423"/>
      <c r="E252" s="1423"/>
      <c r="F252" s="1423"/>
      <c r="G252" s="1423"/>
      <c r="H252" s="1423"/>
      <c r="I252" s="1423"/>
      <c r="J252" s="1423"/>
      <c r="K252" s="1423"/>
      <c r="L252" s="1423"/>
      <c r="M252" s="1423"/>
      <c r="N252" s="1423"/>
      <c r="O252" s="1423"/>
      <c r="P252" s="1423"/>
      <c r="Q252" s="1423"/>
      <c r="R252" s="1423"/>
      <c r="S252" s="1423"/>
      <c r="T252" s="1423"/>
      <c r="U252" s="1423"/>
      <c r="V252" s="1423"/>
      <c r="W252" s="1423"/>
      <c r="X252" s="152"/>
      <c r="Y252" s="152"/>
      <c r="Z252" s="152"/>
      <c r="AA252" s="152"/>
      <c r="AB252" s="152"/>
    </row>
    <row r="253" spans="1:28" hidden="1" outlineLevel="1">
      <c r="A253" s="242"/>
      <c r="B253" s="190" t="s">
        <v>194</v>
      </c>
      <c r="C253" s="1423"/>
      <c r="D253" s="1423">
        <f t="shared" ref="D253" ca="1" si="312">IF(AND(C253&lt;1,D227=0),0,
IF(D227=0,C253-1,
IF(C253&lt;1,D228,
(((C253-1)*(C229-(C229/(C253))))+(D227*D228))/(D229))))</f>
        <v>0</v>
      </c>
      <c r="E253" s="1423">
        <f t="shared" ref="E253" ca="1" si="313">IF(AND(D253&lt;1,E227=0),0,
IF(E227=0,D253-1,
IF(D253&lt;1,E228,
(((D253-1)*(D229-(D229/(D253))))+(E227*E228))/(E229))))</f>
        <v>0</v>
      </c>
      <c r="F253" s="1423">
        <f t="shared" ref="F253" ca="1" si="314">IF(AND(E253&lt;1,F227=0),0,
IF(F227=0,E253-1,
IF(E253&lt;1,F228,
(((E253-1)*(E229-(E229/(E253))))+(F227*F228))/(F229))))</f>
        <v>0</v>
      </c>
      <c r="G253" s="1423">
        <f t="shared" ref="G253" ca="1" si="315">IF(AND(F253&lt;1,G227=0),0,
IF(G227=0,F253-1,
IF(F253&lt;1,G228,
(((F253-1)*(F229-(F229/(F253))))+(G227*G228))/(G229))))</f>
        <v>0</v>
      </c>
      <c r="H253" s="1423">
        <f ca="1">IF(AND(G253&lt;1,H227=0),0,
IF(H227=0,G253-1,
IF(G253&lt;1,H228,
(((G253-1)*(G229-(G229/(G253))))+(H227*H228))/(H229))))</f>
        <v>0</v>
      </c>
      <c r="I253" s="1423">
        <f t="shared" ref="I253" ca="1" si="316">IF(AND(H253&lt;1,I227=0),0,
IF(I227=0,H253-1,
IF(H253&lt;1,I228,
(((H253-1)*(H229-(H229/(H253))))+(I227*I228))/(I229))))</f>
        <v>0</v>
      </c>
      <c r="J253" s="1423">
        <f t="shared" ref="J253" ca="1" si="317">IF(AND(I253&lt;1,J227=0),0,
IF(J227=0,I253-1,
IF(I253&lt;1,J228,
(((I253-1)*(I229-(I229/(I253))))+(J227*J228))/(J229))))</f>
        <v>0</v>
      </c>
      <c r="K253" s="1423">
        <f t="shared" ref="K253" ca="1" si="318">IF(AND(J253&lt;1,K227=0),0,
IF(K227=0,J253-1,
IF(J253&lt;1,K228,
(((J253-1)*(J229-(J229/(J253))))+(K227*K228))/(K229))))</f>
        <v>0</v>
      </c>
      <c r="L253" s="1423">
        <f t="shared" ref="L253" ca="1" si="319">IF(AND(K253&lt;1,L227=0),0,
IF(L227=0,K253-1,
IF(K253&lt;1,L228,
(((K253-1)*(K229-(K229/(K253))))+(L227*L228))/(L229))))</f>
        <v>0</v>
      </c>
      <c r="M253" s="1423">
        <f ca="1">IF(AND(L253&lt;1,M227=0),0,
IF(M227=0,L253-1,
IF(L253&lt;1,M228,
(((L253-1)*(L229-(L229/(L253))))+(M227*M228))/(M229))))</f>
        <v>0</v>
      </c>
      <c r="N253" s="1423">
        <f t="shared" ref="N253" ca="1" si="320">IF(AND(M253&lt;1,N227=0),0,
IF(N227=0,M253-1,
IF(M253&lt;1,N228,
(((M253-1)*(M229-(M229/(M253))))+(N227*N228))/(N229))))</f>
        <v>0</v>
      </c>
      <c r="O253" s="1423">
        <f t="shared" ref="O253" ca="1" si="321">IF(AND(N253&lt;1,O227=0),0,
IF(O227=0,N253-1,
IF(N253&lt;1,O228,
(((N253-1)*(N229-(N229/(N253))))+(O227*O228))/(O229))))</f>
        <v>0</v>
      </c>
      <c r="P253" s="1423">
        <f t="shared" ref="P253" ca="1" si="322">IF(AND(O253&lt;1,P227=0),0,
IF(P227=0,O253-1,
IF(O253&lt;1,P228,
(((O253-1)*(O229-(O229/(O253))))+(P227*P228))/(P229))))</f>
        <v>0</v>
      </c>
      <c r="Q253" s="1423">
        <f t="shared" ref="Q253" ca="1" si="323">IF(AND(P253&lt;1,Q227=0),0,
IF(Q227=0,P253-1,
IF(P253&lt;1,Q228,
(((P253-1)*(P229-(P229/(P253))))+(Q227*Q228))/(Q229))))</f>
        <v>0</v>
      </c>
      <c r="R253" s="1423">
        <f t="shared" ref="R253" ca="1" si="324">IF(AND(Q253&lt;1,R227=0),0,
IF(R227=0,Q253-1,
IF(Q253&lt;1,R228,
(((Q253-1)*(Q229-(Q229/(Q253))))+(R227*R228))/(R229))))</f>
        <v>0</v>
      </c>
      <c r="S253" s="1423">
        <f t="shared" ref="S253" ca="1" si="325">IF(AND(R253&lt;1,S227=0),0,
IF(S227=0,R253-1,
IF(R253&lt;1,S228,
(((R253-1)*(R229-(R229/(R253))))+(S227*S228))/(S229))))</f>
        <v>0</v>
      </c>
      <c r="T253" s="1423">
        <f t="shared" ref="T253" ca="1" si="326">IF(AND(S253&lt;1,T227=0),0,
IF(T227=0,S253-1,
IF(S253&lt;1,T228,
(((S253-1)*(S229-(S229/(S253))))+(T227*T228))/(T229))))</f>
        <v>0</v>
      </c>
      <c r="U253" s="1423">
        <f t="shared" ref="U253" ca="1" si="327">IF(AND(T253&lt;1,U227=0),0,
IF(U227=0,T253-1,
IF(T253&lt;1,U228,
(((T253-1)*(T229-(T229/(T253))))+(U227*U228))/(U229))))</f>
        <v>0</v>
      </c>
      <c r="V253" s="1423">
        <f t="shared" ref="V253" ca="1" si="328">IF(AND(U253&lt;1,V227=0),0,
IF(V227=0,U253-1,
IF(U253&lt;1,V228,
(((U253-1)*(U229-(U229/(U253))))+(V227*V228))/(V229))))</f>
        <v>0</v>
      </c>
      <c r="W253" s="1423">
        <f t="shared" ref="W253" ca="1" si="329">IF(AND(V253&lt;1,W227=0),0,
IF(W227=0,V253-1,
IF(V253&lt;1,W228,
(((V253-1)*(V229-(V229/(V253))))+(W227*W228))/(W229))))</f>
        <v>0</v>
      </c>
      <c r="X253" s="152"/>
      <c r="Y253" s="152"/>
      <c r="Z253" s="152"/>
      <c r="AA253" s="152"/>
      <c r="AB253" s="152"/>
    </row>
    <row r="254" spans="1:28" hidden="1" outlineLevel="1">
      <c r="A254" s="242"/>
      <c r="B254" s="190" t="s">
        <v>193</v>
      </c>
      <c r="C254" s="1423">
        <f ca="1">C226</f>
        <v>3.6344893898872339</v>
      </c>
      <c r="D254" s="1423">
        <f t="shared" ref="D254" ca="1" si="330">IF(C254="n/a","n/a",MAX(0,C254-1))</f>
        <v>2.6344893898872339</v>
      </c>
      <c r="E254" s="1423">
        <f t="shared" ref="E254:E255" ca="1" si="331">IF(D254="n/a","n/a",MAX(0,D254-1))</f>
        <v>1.6344893898872339</v>
      </c>
      <c r="F254" s="1423">
        <f t="shared" ref="F254:F256" ca="1" si="332">IF(E254="n/a","n/a",MAX(0,E254-1))</f>
        <v>0.63448938988723391</v>
      </c>
      <c r="G254" s="1423">
        <f t="shared" ref="G254:G257" ca="1" si="333">IF(F254="n/a","n/a",MAX(0,F254-1))</f>
        <v>0</v>
      </c>
      <c r="H254" s="1423">
        <f t="shared" ref="H254:H258" ca="1" si="334">IF(G254="n/a","n/a",MAX(0,G254-1))</f>
        <v>0</v>
      </c>
      <c r="I254" s="1423">
        <f t="shared" ref="I254:I259" ca="1" si="335">IF(H254="n/a","n/a",MAX(0,H254-1))</f>
        <v>0</v>
      </c>
      <c r="J254" s="1423">
        <f t="shared" ref="J254:J260" ca="1" si="336">IF(I254="n/a","n/a",MAX(0,I254-1))</f>
        <v>0</v>
      </c>
      <c r="K254" s="1423">
        <f t="shared" ref="K254:K261" ca="1" si="337">IF(J254="n/a","n/a",MAX(0,J254-1))</f>
        <v>0</v>
      </c>
      <c r="L254" s="1423">
        <f t="shared" ref="L254:L262" ca="1" si="338">IF(K254="n/a","n/a",MAX(0,K254-1))</f>
        <v>0</v>
      </c>
      <c r="M254" s="1423">
        <f t="shared" ref="M254:M263" ca="1" si="339">IF(L254="n/a","n/a",MAX(0,L254-1))</f>
        <v>0</v>
      </c>
      <c r="N254" s="1423">
        <f t="shared" ref="N254:N264" ca="1" si="340">IF(M254="n/a","n/a",MAX(0,M254-1))</f>
        <v>0</v>
      </c>
      <c r="O254" s="1423">
        <f t="shared" ref="O254:O265" ca="1" si="341">IF(N254="n/a","n/a",MAX(0,N254-1))</f>
        <v>0</v>
      </c>
      <c r="P254" s="1423">
        <f t="shared" ref="P254:P266" ca="1" si="342">IF(O254="n/a","n/a",MAX(0,O254-1))</f>
        <v>0</v>
      </c>
      <c r="Q254" s="1423">
        <f t="shared" ref="Q254:Q267" ca="1" si="343">IF(P254="n/a","n/a",MAX(0,P254-1))</f>
        <v>0</v>
      </c>
      <c r="R254" s="1423">
        <f t="shared" ref="R254:R268" ca="1" si="344">IF(Q254="n/a","n/a",MAX(0,Q254-1))</f>
        <v>0</v>
      </c>
      <c r="S254" s="1423">
        <f t="shared" ref="S254:S269" ca="1" si="345">IF(R254="n/a","n/a",MAX(0,R254-1))</f>
        <v>0</v>
      </c>
      <c r="T254" s="1423">
        <f t="shared" ref="T254:T270" ca="1" si="346">IF(S254="n/a","n/a",MAX(0,S254-1))</f>
        <v>0</v>
      </c>
      <c r="U254" s="1423">
        <f t="shared" ref="U254:U271" ca="1" si="347">IF(T254="n/a","n/a",MAX(0,T254-1))</f>
        <v>0</v>
      </c>
      <c r="V254" s="1423">
        <f t="shared" ref="V254:V272" ca="1" si="348">IF(U254="n/a","n/a",MAX(0,U254-1))</f>
        <v>0</v>
      </c>
      <c r="W254" s="1423">
        <f t="shared" ref="W254:W272" ca="1" si="349">IF(V254="n/a","n/a",MAX(0,V254-1))</f>
        <v>0</v>
      </c>
      <c r="X254" s="152"/>
      <c r="Y254" s="152"/>
      <c r="Z254" s="152"/>
      <c r="AA254" s="152"/>
      <c r="AB254" s="152"/>
    </row>
    <row r="255" spans="1:28" hidden="1" outlineLevel="1">
      <c r="A255" s="242"/>
      <c r="B255" s="190" t="str">
        <f t="shared" ref="B255:B274" ca="1" si="350">"RL Capex "&amp;OFFSET($C$6,0,A231)</f>
        <v>RL Capex 2016-17</v>
      </c>
      <c r="C255" s="1424"/>
      <c r="D255" s="1428">
        <f>D226</f>
        <v>4</v>
      </c>
      <c r="E255" s="1423">
        <f t="shared" si="331"/>
        <v>3</v>
      </c>
      <c r="F255" s="1423">
        <f t="shared" si="332"/>
        <v>2</v>
      </c>
      <c r="G255" s="1423">
        <f t="shared" si="333"/>
        <v>1</v>
      </c>
      <c r="H255" s="1423">
        <f t="shared" si="334"/>
        <v>0</v>
      </c>
      <c r="I255" s="1423">
        <f t="shared" si="335"/>
        <v>0</v>
      </c>
      <c r="J255" s="1423">
        <f t="shared" si="336"/>
        <v>0</v>
      </c>
      <c r="K255" s="1423">
        <f t="shared" si="337"/>
        <v>0</v>
      </c>
      <c r="L255" s="1423">
        <f t="shared" si="338"/>
        <v>0</v>
      </c>
      <c r="M255" s="1423">
        <f t="shared" si="339"/>
        <v>0</v>
      </c>
      <c r="N255" s="1423">
        <f t="shared" si="340"/>
        <v>0</v>
      </c>
      <c r="O255" s="1423">
        <f t="shared" si="341"/>
        <v>0</v>
      </c>
      <c r="P255" s="1423">
        <f t="shared" si="342"/>
        <v>0</v>
      </c>
      <c r="Q255" s="1423">
        <f t="shared" si="343"/>
        <v>0</v>
      </c>
      <c r="R255" s="1423">
        <f t="shared" si="344"/>
        <v>0</v>
      </c>
      <c r="S255" s="1423">
        <f t="shared" si="345"/>
        <v>0</v>
      </c>
      <c r="T255" s="1423">
        <f t="shared" si="346"/>
        <v>0</v>
      </c>
      <c r="U255" s="1423">
        <f t="shared" si="347"/>
        <v>0</v>
      </c>
      <c r="V255" s="1423">
        <f t="shared" si="348"/>
        <v>0</v>
      </c>
      <c r="W255" s="1423">
        <f t="shared" si="349"/>
        <v>0</v>
      </c>
      <c r="X255" s="152"/>
      <c r="Y255" s="152"/>
      <c r="Z255" s="152"/>
      <c r="AA255" s="152"/>
      <c r="AB255" s="152"/>
    </row>
    <row r="256" spans="1:28" hidden="1" outlineLevel="1">
      <c r="A256" s="242"/>
      <c r="B256" s="190" t="str">
        <f t="shared" ca="1" si="350"/>
        <v>RL Capex 2017-18</v>
      </c>
      <c r="C256" s="1429"/>
      <c r="D256" s="1424"/>
      <c r="E256" s="1428">
        <f>E226</f>
        <v>4</v>
      </c>
      <c r="F256" s="1423">
        <f t="shared" si="332"/>
        <v>3</v>
      </c>
      <c r="G256" s="1423">
        <f t="shared" si="333"/>
        <v>2</v>
      </c>
      <c r="H256" s="1423">
        <f t="shared" si="334"/>
        <v>1</v>
      </c>
      <c r="I256" s="1423">
        <f t="shared" si="335"/>
        <v>0</v>
      </c>
      <c r="J256" s="1423">
        <f t="shared" si="336"/>
        <v>0</v>
      </c>
      <c r="K256" s="1423">
        <f t="shared" si="337"/>
        <v>0</v>
      </c>
      <c r="L256" s="1423">
        <f t="shared" si="338"/>
        <v>0</v>
      </c>
      <c r="M256" s="1423">
        <f t="shared" si="339"/>
        <v>0</v>
      </c>
      <c r="N256" s="1423">
        <f t="shared" si="340"/>
        <v>0</v>
      </c>
      <c r="O256" s="1423">
        <f t="shared" si="341"/>
        <v>0</v>
      </c>
      <c r="P256" s="1423">
        <f t="shared" si="342"/>
        <v>0</v>
      </c>
      <c r="Q256" s="1423">
        <f t="shared" si="343"/>
        <v>0</v>
      </c>
      <c r="R256" s="1423">
        <f t="shared" si="344"/>
        <v>0</v>
      </c>
      <c r="S256" s="1423">
        <f t="shared" si="345"/>
        <v>0</v>
      </c>
      <c r="T256" s="1423">
        <f t="shared" si="346"/>
        <v>0</v>
      </c>
      <c r="U256" s="1423">
        <f t="shared" si="347"/>
        <v>0</v>
      </c>
      <c r="V256" s="1423">
        <f t="shared" si="348"/>
        <v>0</v>
      </c>
      <c r="W256" s="1423">
        <f t="shared" si="349"/>
        <v>0</v>
      </c>
      <c r="X256" s="152"/>
      <c r="Y256" s="152"/>
      <c r="Z256" s="152"/>
      <c r="AA256" s="152"/>
      <c r="AB256" s="152"/>
    </row>
    <row r="257" spans="1:28" hidden="1" outlineLevel="1">
      <c r="A257" s="242"/>
      <c r="B257" s="190" t="str">
        <f t="shared" ca="1" si="350"/>
        <v>RL Capex 2018-19</v>
      </c>
      <c r="C257" s="1429"/>
      <c r="D257" s="1429"/>
      <c r="E257" s="1424"/>
      <c r="F257" s="1428">
        <f>F226</f>
        <v>4</v>
      </c>
      <c r="G257" s="1423">
        <f t="shared" si="333"/>
        <v>3</v>
      </c>
      <c r="H257" s="1423">
        <f t="shared" si="334"/>
        <v>2</v>
      </c>
      <c r="I257" s="1423">
        <f t="shared" si="335"/>
        <v>1</v>
      </c>
      <c r="J257" s="1423">
        <f t="shared" si="336"/>
        <v>0</v>
      </c>
      <c r="K257" s="1423">
        <f t="shared" si="337"/>
        <v>0</v>
      </c>
      <c r="L257" s="1423">
        <f t="shared" si="338"/>
        <v>0</v>
      </c>
      <c r="M257" s="1423">
        <f t="shared" si="339"/>
        <v>0</v>
      </c>
      <c r="N257" s="1423">
        <f t="shared" si="340"/>
        <v>0</v>
      </c>
      <c r="O257" s="1423">
        <f t="shared" si="341"/>
        <v>0</v>
      </c>
      <c r="P257" s="1423">
        <f t="shared" si="342"/>
        <v>0</v>
      </c>
      <c r="Q257" s="1423">
        <f t="shared" si="343"/>
        <v>0</v>
      </c>
      <c r="R257" s="1423">
        <f t="shared" si="344"/>
        <v>0</v>
      </c>
      <c r="S257" s="1423">
        <f t="shared" si="345"/>
        <v>0</v>
      </c>
      <c r="T257" s="1423">
        <f t="shared" si="346"/>
        <v>0</v>
      </c>
      <c r="U257" s="1423">
        <f t="shared" si="347"/>
        <v>0</v>
      </c>
      <c r="V257" s="1423">
        <f t="shared" si="348"/>
        <v>0</v>
      </c>
      <c r="W257" s="1423">
        <f t="shared" si="349"/>
        <v>0</v>
      </c>
      <c r="X257" s="152"/>
      <c r="Y257" s="152"/>
      <c r="Z257" s="152"/>
      <c r="AA257" s="152"/>
      <c r="AB257" s="152"/>
    </row>
    <row r="258" spans="1:28" hidden="1" outlineLevel="1">
      <c r="A258" s="242"/>
      <c r="B258" s="190" t="str">
        <f t="shared" ca="1" si="350"/>
        <v>RL Capex 2019-20</v>
      </c>
      <c r="C258" s="1429"/>
      <c r="D258" s="1429"/>
      <c r="E258" s="1429"/>
      <c r="F258" s="1424"/>
      <c r="G258" s="1428">
        <f>G226</f>
        <v>4</v>
      </c>
      <c r="H258" s="1423">
        <f t="shared" si="334"/>
        <v>3</v>
      </c>
      <c r="I258" s="1423">
        <f t="shared" si="335"/>
        <v>2</v>
      </c>
      <c r="J258" s="1423">
        <f t="shared" si="336"/>
        <v>1</v>
      </c>
      <c r="K258" s="1423">
        <f t="shared" si="337"/>
        <v>0</v>
      </c>
      <c r="L258" s="1423">
        <f t="shared" si="338"/>
        <v>0</v>
      </c>
      <c r="M258" s="1423">
        <f t="shared" si="339"/>
        <v>0</v>
      </c>
      <c r="N258" s="1423">
        <f t="shared" si="340"/>
        <v>0</v>
      </c>
      <c r="O258" s="1423">
        <f t="shared" si="341"/>
        <v>0</v>
      </c>
      <c r="P258" s="1423">
        <f t="shared" si="342"/>
        <v>0</v>
      </c>
      <c r="Q258" s="1423">
        <f t="shared" si="343"/>
        <v>0</v>
      </c>
      <c r="R258" s="1423">
        <f t="shared" si="344"/>
        <v>0</v>
      </c>
      <c r="S258" s="1423">
        <f t="shared" si="345"/>
        <v>0</v>
      </c>
      <c r="T258" s="1423">
        <f t="shared" si="346"/>
        <v>0</v>
      </c>
      <c r="U258" s="1423">
        <f t="shared" si="347"/>
        <v>0</v>
      </c>
      <c r="V258" s="1423">
        <f t="shared" si="348"/>
        <v>0</v>
      </c>
      <c r="W258" s="1423">
        <f t="shared" si="349"/>
        <v>0</v>
      </c>
      <c r="X258" s="152"/>
      <c r="Y258" s="152"/>
      <c r="Z258" s="152"/>
      <c r="AA258" s="152"/>
      <c r="AB258" s="152"/>
    </row>
    <row r="259" spans="1:28" hidden="1" outlineLevel="1">
      <c r="A259" s="242"/>
      <c r="B259" s="190" t="str">
        <f t="shared" ca="1" si="350"/>
        <v>RL Capex 2020-21</v>
      </c>
      <c r="C259" s="1429"/>
      <c r="D259" s="1429"/>
      <c r="E259" s="1429"/>
      <c r="F259" s="1429"/>
      <c r="G259" s="1424"/>
      <c r="H259" s="1428">
        <f>H226</f>
        <v>4</v>
      </c>
      <c r="I259" s="1423">
        <f t="shared" si="335"/>
        <v>3</v>
      </c>
      <c r="J259" s="1423">
        <f t="shared" si="336"/>
        <v>2</v>
      </c>
      <c r="K259" s="1423">
        <f t="shared" si="337"/>
        <v>1</v>
      </c>
      <c r="L259" s="1423">
        <f t="shared" si="338"/>
        <v>0</v>
      </c>
      <c r="M259" s="1423">
        <f t="shared" si="339"/>
        <v>0</v>
      </c>
      <c r="N259" s="1423">
        <f t="shared" si="340"/>
        <v>0</v>
      </c>
      <c r="O259" s="1423">
        <f t="shared" si="341"/>
        <v>0</v>
      </c>
      <c r="P259" s="1423">
        <f t="shared" si="342"/>
        <v>0</v>
      </c>
      <c r="Q259" s="1423">
        <f t="shared" si="343"/>
        <v>0</v>
      </c>
      <c r="R259" s="1423">
        <f t="shared" si="344"/>
        <v>0</v>
      </c>
      <c r="S259" s="1423">
        <f t="shared" si="345"/>
        <v>0</v>
      </c>
      <c r="T259" s="1423">
        <f t="shared" si="346"/>
        <v>0</v>
      </c>
      <c r="U259" s="1423">
        <f t="shared" si="347"/>
        <v>0</v>
      </c>
      <c r="V259" s="1423">
        <f t="shared" si="348"/>
        <v>0</v>
      </c>
      <c r="W259" s="1423">
        <f t="shared" si="349"/>
        <v>0</v>
      </c>
      <c r="X259" s="152"/>
      <c r="Y259" s="152"/>
      <c r="Z259" s="152"/>
      <c r="AA259" s="152"/>
      <c r="AB259" s="152"/>
    </row>
    <row r="260" spans="1:28" hidden="1" outlineLevel="1">
      <c r="A260" s="242"/>
      <c r="B260" s="190" t="str">
        <f t="shared" ca="1" si="350"/>
        <v>RL Capex 2021-22</v>
      </c>
      <c r="C260" s="1429"/>
      <c r="D260" s="1429"/>
      <c r="E260" s="1429"/>
      <c r="F260" s="1429"/>
      <c r="G260" s="1429"/>
      <c r="H260" s="1424"/>
      <c r="I260" s="1428">
        <f>I226</f>
        <v>4</v>
      </c>
      <c r="J260" s="1423">
        <f t="shared" si="336"/>
        <v>3</v>
      </c>
      <c r="K260" s="1423">
        <f t="shared" si="337"/>
        <v>2</v>
      </c>
      <c r="L260" s="1423">
        <f t="shared" si="338"/>
        <v>1</v>
      </c>
      <c r="M260" s="1423">
        <f t="shared" si="339"/>
        <v>0</v>
      </c>
      <c r="N260" s="1423">
        <f t="shared" si="340"/>
        <v>0</v>
      </c>
      <c r="O260" s="1423">
        <f t="shared" si="341"/>
        <v>0</v>
      </c>
      <c r="P260" s="1423">
        <f t="shared" si="342"/>
        <v>0</v>
      </c>
      <c r="Q260" s="1423">
        <f t="shared" si="343"/>
        <v>0</v>
      </c>
      <c r="R260" s="1423">
        <f t="shared" si="344"/>
        <v>0</v>
      </c>
      <c r="S260" s="1423">
        <f t="shared" si="345"/>
        <v>0</v>
      </c>
      <c r="T260" s="1423">
        <f t="shared" si="346"/>
        <v>0</v>
      </c>
      <c r="U260" s="1423">
        <f t="shared" si="347"/>
        <v>0</v>
      </c>
      <c r="V260" s="1423">
        <f t="shared" si="348"/>
        <v>0</v>
      </c>
      <c r="W260" s="1423">
        <f t="shared" si="349"/>
        <v>0</v>
      </c>
      <c r="X260" s="152"/>
      <c r="Y260" s="152"/>
      <c r="Z260" s="152"/>
      <c r="AA260" s="152"/>
      <c r="AB260" s="152"/>
    </row>
    <row r="261" spans="1:28" hidden="1" outlineLevel="1">
      <c r="A261" s="242"/>
      <c r="B261" s="190" t="str">
        <f t="shared" ca="1" si="350"/>
        <v>RL Capex 2022-23</v>
      </c>
      <c r="C261" s="1429"/>
      <c r="D261" s="1429"/>
      <c r="E261" s="1429"/>
      <c r="F261" s="1429"/>
      <c r="G261" s="1429"/>
      <c r="H261" s="1429"/>
      <c r="I261" s="1424"/>
      <c r="J261" s="1428">
        <f>J226</f>
        <v>4</v>
      </c>
      <c r="K261" s="1423">
        <f t="shared" si="337"/>
        <v>3</v>
      </c>
      <c r="L261" s="1423">
        <f t="shared" si="338"/>
        <v>2</v>
      </c>
      <c r="M261" s="1423">
        <f t="shared" si="339"/>
        <v>1</v>
      </c>
      <c r="N261" s="1423">
        <f t="shared" si="340"/>
        <v>0</v>
      </c>
      <c r="O261" s="1423">
        <f t="shared" si="341"/>
        <v>0</v>
      </c>
      <c r="P261" s="1423">
        <f t="shared" si="342"/>
        <v>0</v>
      </c>
      <c r="Q261" s="1423">
        <f t="shared" si="343"/>
        <v>0</v>
      </c>
      <c r="R261" s="1423">
        <f t="shared" si="344"/>
        <v>0</v>
      </c>
      <c r="S261" s="1423">
        <f t="shared" si="345"/>
        <v>0</v>
      </c>
      <c r="T261" s="1423">
        <f t="shared" si="346"/>
        <v>0</v>
      </c>
      <c r="U261" s="1423">
        <f t="shared" si="347"/>
        <v>0</v>
      </c>
      <c r="V261" s="1423">
        <f t="shared" si="348"/>
        <v>0</v>
      </c>
      <c r="W261" s="1423">
        <f t="shared" si="349"/>
        <v>0</v>
      </c>
      <c r="X261" s="152"/>
      <c r="Y261" s="152"/>
      <c r="Z261" s="152"/>
      <c r="AA261" s="152"/>
      <c r="AB261" s="152"/>
    </row>
    <row r="262" spans="1:28" hidden="1" outlineLevel="1">
      <c r="A262" s="242"/>
      <c r="B262" s="190" t="str">
        <f t="shared" ca="1" si="350"/>
        <v>RL Capex 2023-24</v>
      </c>
      <c r="C262" s="1429"/>
      <c r="D262" s="1429"/>
      <c r="E262" s="1429"/>
      <c r="F262" s="1429"/>
      <c r="G262" s="1429"/>
      <c r="H262" s="1429"/>
      <c r="I262" s="1429"/>
      <c r="J262" s="1424"/>
      <c r="K262" s="1428">
        <f>K226</f>
        <v>4</v>
      </c>
      <c r="L262" s="1423">
        <f t="shared" si="338"/>
        <v>3</v>
      </c>
      <c r="M262" s="1423">
        <f t="shared" si="339"/>
        <v>2</v>
      </c>
      <c r="N262" s="1423">
        <f t="shared" si="340"/>
        <v>1</v>
      </c>
      <c r="O262" s="1423">
        <f t="shared" si="341"/>
        <v>0</v>
      </c>
      <c r="P262" s="1423">
        <f t="shared" si="342"/>
        <v>0</v>
      </c>
      <c r="Q262" s="1423">
        <f t="shared" si="343"/>
        <v>0</v>
      </c>
      <c r="R262" s="1423">
        <f t="shared" si="344"/>
        <v>0</v>
      </c>
      <c r="S262" s="1423">
        <f t="shared" si="345"/>
        <v>0</v>
      </c>
      <c r="T262" s="1423">
        <f t="shared" si="346"/>
        <v>0</v>
      </c>
      <c r="U262" s="1423">
        <f t="shared" si="347"/>
        <v>0</v>
      </c>
      <c r="V262" s="1423">
        <f t="shared" si="348"/>
        <v>0</v>
      </c>
      <c r="W262" s="1423">
        <f t="shared" si="349"/>
        <v>0</v>
      </c>
      <c r="X262" s="152"/>
      <c r="Y262" s="152"/>
      <c r="Z262" s="152"/>
      <c r="AA262" s="152"/>
      <c r="AB262" s="152"/>
    </row>
    <row r="263" spans="1:28" hidden="1" outlineLevel="1">
      <c r="A263" s="242"/>
      <c r="B263" s="190" t="str">
        <f t="shared" ca="1" si="350"/>
        <v>RL Capex 2024-25</v>
      </c>
      <c r="C263" s="1429"/>
      <c r="D263" s="1429"/>
      <c r="E263" s="1429"/>
      <c r="F263" s="1429"/>
      <c r="G263" s="1429"/>
      <c r="H263" s="1429"/>
      <c r="I263" s="1429"/>
      <c r="J263" s="1429"/>
      <c r="K263" s="1424"/>
      <c r="L263" s="1428">
        <f>L226</f>
        <v>4</v>
      </c>
      <c r="M263" s="1423">
        <f t="shared" si="339"/>
        <v>3</v>
      </c>
      <c r="N263" s="1423">
        <f t="shared" si="340"/>
        <v>2</v>
      </c>
      <c r="O263" s="1423">
        <f t="shared" si="341"/>
        <v>1</v>
      </c>
      <c r="P263" s="1423">
        <f t="shared" si="342"/>
        <v>0</v>
      </c>
      <c r="Q263" s="1423">
        <f t="shared" si="343"/>
        <v>0</v>
      </c>
      <c r="R263" s="1423">
        <f t="shared" si="344"/>
        <v>0</v>
      </c>
      <c r="S263" s="1423">
        <f t="shared" si="345"/>
        <v>0</v>
      </c>
      <c r="T263" s="1423">
        <f t="shared" si="346"/>
        <v>0</v>
      </c>
      <c r="U263" s="1423">
        <f t="shared" si="347"/>
        <v>0</v>
      </c>
      <c r="V263" s="1423">
        <f t="shared" si="348"/>
        <v>0</v>
      </c>
      <c r="W263" s="1423">
        <f t="shared" si="349"/>
        <v>0</v>
      </c>
      <c r="X263" s="152"/>
      <c r="Y263" s="152"/>
      <c r="Z263" s="152"/>
      <c r="AA263" s="152"/>
      <c r="AB263" s="152"/>
    </row>
    <row r="264" spans="1:28" hidden="1" outlineLevel="1">
      <c r="A264" s="242"/>
      <c r="B264" s="190" t="str">
        <f t="shared" ca="1" si="350"/>
        <v>RL Capex 2025-26</v>
      </c>
      <c r="C264" s="1429"/>
      <c r="D264" s="1429"/>
      <c r="E264" s="1429"/>
      <c r="F264" s="1429"/>
      <c r="G264" s="1429"/>
      <c r="H264" s="1429"/>
      <c r="I264" s="1429"/>
      <c r="J264" s="1429"/>
      <c r="K264" s="1429"/>
      <c r="L264" s="1424"/>
      <c r="M264" s="1428">
        <f>M226</f>
        <v>4</v>
      </c>
      <c r="N264" s="1423">
        <f t="shared" si="340"/>
        <v>3</v>
      </c>
      <c r="O264" s="1423">
        <f t="shared" si="341"/>
        <v>2</v>
      </c>
      <c r="P264" s="1423">
        <f t="shared" si="342"/>
        <v>1</v>
      </c>
      <c r="Q264" s="1423">
        <f t="shared" si="343"/>
        <v>0</v>
      </c>
      <c r="R264" s="1423">
        <f t="shared" si="344"/>
        <v>0</v>
      </c>
      <c r="S264" s="1423">
        <f t="shared" si="345"/>
        <v>0</v>
      </c>
      <c r="T264" s="1423">
        <f t="shared" si="346"/>
        <v>0</v>
      </c>
      <c r="U264" s="1423">
        <f t="shared" si="347"/>
        <v>0</v>
      </c>
      <c r="V264" s="1423">
        <f t="shared" si="348"/>
        <v>0</v>
      </c>
      <c r="W264" s="1423">
        <f t="shared" si="349"/>
        <v>0</v>
      </c>
      <c r="X264" s="152"/>
      <c r="Y264" s="152"/>
      <c r="Z264" s="152"/>
      <c r="AA264" s="152"/>
      <c r="AB264" s="152"/>
    </row>
    <row r="265" spans="1:28" hidden="1" outlineLevel="1">
      <c r="A265" s="242"/>
      <c r="B265" s="190" t="str">
        <f t="shared" ca="1" si="350"/>
        <v>RL Capex 2026-27</v>
      </c>
      <c r="C265" s="1429"/>
      <c r="D265" s="1429"/>
      <c r="E265" s="1429"/>
      <c r="F265" s="1429"/>
      <c r="G265" s="1429"/>
      <c r="H265" s="1429"/>
      <c r="I265" s="1429"/>
      <c r="J265" s="1429"/>
      <c r="K265" s="1429"/>
      <c r="L265" s="1429"/>
      <c r="M265" s="1424"/>
      <c r="N265" s="1428">
        <f>N226</f>
        <v>0</v>
      </c>
      <c r="O265" s="1423">
        <f t="shared" si="341"/>
        <v>0</v>
      </c>
      <c r="P265" s="1423">
        <f t="shared" si="342"/>
        <v>0</v>
      </c>
      <c r="Q265" s="1423">
        <f t="shared" si="343"/>
        <v>0</v>
      </c>
      <c r="R265" s="1423">
        <f t="shared" si="344"/>
        <v>0</v>
      </c>
      <c r="S265" s="1423">
        <f t="shared" si="345"/>
        <v>0</v>
      </c>
      <c r="T265" s="1423">
        <f t="shared" si="346"/>
        <v>0</v>
      </c>
      <c r="U265" s="1423">
        <f t="shared" si="347"/>
        <v>0</v>
      </c>
      <c r="V265" s="1423">
        <f t="shared" si="348"/>
        <v>0</v>
      </c>
      <c r="W265" s="1423">
        <f t="shared" si="349"/>
        <v>0</v>
      </c>
      <c r="X265" s="152"/>
      <c r="Y265" s="152"/>
      <c r="Z265" s="152"/>
      <c r="AA265" s="152"/>
      <c r="AB265" s="152"/>
    </row>
    <row r="266" spans="1:28" hidden="1" outlineLevel="1">
      <c r="A266" s="242"/>
      <c r="B266" s="190" t="str">
        <f t="shared" ca="1" si="350"/>
        <v>RL Capex 2027-28</v>
      </c>
      <c r="C266" s="1429"/>
      <c r="D266" s="1429"/>
      <c r="E266" s="1429"/>
      <c r="F266" s="1429"/>
      <c r="G266" s="1429"/>
      <c r="H266" s="1429"/>
      <c r="I266" s="1429"/>
      <c r="J266" s="1429"/>
      <c r="K266" s="1429"/>
      <c r="L266" s="1429"/>
      <c r="M266" s="1429"/>
      <c r="N266" s="1424"/>
      <c r="O266" s="1428">
        <f>O226</f>
        <v>0</v>
      </c>
      <c r="P266" s="1423">
        <f t="shared" si="342"/>
        <v>0</v>
      </c>
      <c r="Q266" s="1423">
        <f t="shared" si="343"/>
        <v>0</v>
      </c>
      <c r="R266" s="1423">
        <f t="shared" si="344"/>
        <v>0</v>
      </c>
      <c r="S266" s="1423">
        <f t="shared" si="345"/>
        <v>0</v>
      </c>
      <c r="T266" s="1423">
        <f t="shared" si="346"/>
        <v>0</v>
      </c>
      <c r="U266" s="1423">
        <f t="shared" si="347"/>
        <v>0</v>
      </c>
      <c r="V266" s="1423">
        <f t="shared" si="348"/>
        <v>0</v>
      </c>
      <c r="W266" s="1423">
        <f t="shared" si="349"/>
        <v>0</v>
      </c>
      <c r="X266" s="152"/>
      <c r="Y266" s="152"/>
      <c r="Z266" s="152"/>
      <c r="AA266" s="152"/>
      <c r="AB266" s="152"/>
    </row>
    <row r="267" spans="1:28" hidden="1" outlineLevel="1">
      <c r="A267" s="242"/>
      <c r="B267" s="190" t="str">
        <f t="shared" ca="1" si="350"/>
        <v>RL Capex 2028-29</v>
      </c>
      <c r="C267" s="1429"/>
      <c r="D267" s="1429"/>
      <c r="E267" s="1429"/>
      <c r="F267" s="1429"/>
      <c r="G267" s="1429"/>
      <c r="H267" s="1429"/>
      <c r="I267" s="1429"/>
      <c r="J267" s="1429"/>
      <c r="K267" s="1429"/>
      <c r="L267" s="1429"/>
      <c r="M267" s="1429"/>
      <c r="N267" s="1429"/>
      <c r="O267" s="1424"/>
      <c r="P267" s="1428">
        <f>P226</f>
        <v>0</v>
      </c>
      <c r="Q267" s="1423">
        <f t="shared" si="343"/>
        <v>0</v>
      </c>
      <c r="R267" s="1423">
        <f t="shared" si="344"/>
        <v>0</v>
      </c>
      <c r="S267" s="1423">
        <f t="shared" si="345"/>
        <v>0</v>
      </c>
      <c r="T267" s="1423">
        <f t="shared" si="346"/>
        <v>0</v>
      </c>
      <c r="U267" s="1423">
        <f t="shared" si="347"/>
        <v>0</v>
      </c>
      <c r="V267" s="1423">
        <f t="shared" si="348"/>
        <v>0</v>
      </c>
      <c r="W267" s="1423">
        <f t="shared" si="349"/>
        <v>0</v>
      </c>
      <c r="X267" s="152"/>
      <c r="Y267" s="152"/>
      <c r="Z267" s="152"/>
      <c r="AA267" s="152"/>
      <c r="AB267" s="152"/>
    </row>
    <row r="268" spans="1:28" hidden="1" outlineLevel="1">
      <c r="A268" s="242"/>
      <c r="B268" s="190" t="str">
        <f t="shared" ca="1" si="350"/>
        <v>RL Capex 2029-30</v>
      </c>
      <c r="C268" s="1429"/>
      <c r="D268" s="1429"/>
      <c r="E268" s="1429"/>
      <c r="F268" s="1429"/>
      <c r="G268" s="1429"/>
      <c r="H268" s="1429"/>
      <c r="I268" s="1429"/>
      <c r="J268" s="1429"/>
      <c r="K268" s="1429"/>
      <c r="L268" s="1429"/>
      <c r="M268" s="1429"/>
      <c r="N268" s="1429"/>
      <c r="O268" s="1429"/>
      <c r="P268" s="1424"/>
      <c r="Q268" s="1428">
        <f>Q226</f>
        <v>0</v>
      </c>
      <c r="R268" s="1423">
        <f t="shared" si="344"/>
        <v>0</v>
      </c>
      <c r="S268" s="1423">
        <f t="shared" si="345"/>
        <v>0</v>
      </c>
      <c r="T268" s="1423">
        <f t="shared" si="346"/>
        <v>0</v>
      </c>
      <c r="U268" s="1423">
        <f t="shared" si="347"/>
        <v>0</v>
      </c>
      <c r="V268" s="1423">
        <f t="shared" si="348"/>
        <v>0</v>
      </c>
      <c r="W268" s="1423">
        <f t="shared" si="349"/>
        <v>0</v>
      </c>
      <c r="X268" s="152"/>
      <c r="Y268" s="152"/>
      <c r="Z268" s="152"/>
      <c r="AA268" s="152"/>
      <c r="AB268" s="152"/>
    </row>
    <row r="269" spans="1:28" hidden="1" outlineLevel="1">
      <c r="A269" s="242"/>
      <c r="B269" s="190" t="str">
        <f t="shared" ca="1" si="350"/>
        <v>RL Capex 2030-31</v>
      </c>
      <c r="C269" s="1429"/>
      <c r="D269" s="1429"/>
      <c r="E269" s="1429"/>
      <c r="F269" s="1429"/>
      <c r="G269" s="1429"/>
      <c r="H269" s="1429"/>
      <c r="I269" s="1429"/>
      <c r="J269" s="1429"/>
      <c r="K269" s="1429"/>
      <c r="L269" s="1429"/>
      <c r="M269" s="1429"/>
      <c r="N269" s="1429"/>
      <c r="O269" s="1429"/>
      <c r="P269" s="1429"/>
      <c r="Q269" s="1424"/>
      <c r="R269" s="1428">
        <f>R226</f>
        <v>0</v>
      </c>
      <c r="S269" s="1423">
        <f t="shared" si="345"/>
        <v>0</v>
      </c>
      <c r="T269" s="1423">
        <f t="shared" si="346"/>
        <v>0</v>
      </c>
      <c r="U269" s="1423">
        <f t="shared" si="347"/>
        <v>0</v>
      </c>
      <c r="V269" s="1423">
        <f t="shared" si="348"/>
        <v>0</v>
      </c>
      <c r="W269" s="1423">
        <f t="shared" si="349"/>
        <v>0</v>
      </c>
      <c r="X269" s="152"/>
      <c r="Y269" s="152"/>
      <c r="Z269" s="152"/>
      <c r="AA269" s="152"/>
      <c r="AB269" s="152"/>
    </row>
    <row r="270" spans="1:28" hidden="1" outlineLevel="1">
      <c r="A270" s="242"/>
      <c r="B270" s="190" t="str">
        <f t="shared" ca="1" si="350"/>
        <v>RL Capex 2031-32</v>
      </c>
      <c r="C270" s="1429"/>
      <c r="D270" s="1429"/>
      <c r="E270" s="1429"/>
      <c r="F270" s="1429"/>
      <c r="G270" s="1429"/>
      <c r="H270" s="1429"/>
      <c r="I270" s="1429"/>
      <c r="J270" s="1429"/>
      <c r="K270" s="1429"/>
      <c r="L270" s="1429"/>
      <c r="M270" s="1429"/>
      <c r="N270" s="1429"/>
      <c r="O270" s="1429"/>
      <c r="P270" s="1429"/>
      <c r="Q270" s="1429"/>
      <c r="R270" s="1424"/>
      <c r="S270" s="1428">
        <f>S226</f>
        <v>0</v>
      </c>
      <c r="T270" s="1423">
        <f t="shared" si="346"/>
        <v>0</v>
      </c>
      <c r="U270" s="1423">
        <f t="shared" si="347"/>
        <v>0</v>
      </c>
      <c r="V270" s="1423">
        <f t="shared" si="348"/>
        <v>0</v>
      </c>
      <c r="W270" s="1423">
        <f t="shared" si="349"/>
        <v>0</v>
      </c>
      <c r="X270" s="152"/>
      <c r="Y270" s="152"/>
      <c r="Z270" s="152"/>
      <c r="AA270" s="152"/>
      <c r="AB270" s="152"/>
    </row>
    <row r="271" spans="1:28" hidden="1" outlineLevel="1">
      <c r="A271" s="242"/>
      <c r="B271" s="190" t="str">
        <f t="shared" ca="1" si="350"/>
        <v>RL Capex 2032-33</v>
      </c>
      <c r="C271" s="1429"/>
      <c r="D271" s="1429"/>
      <c r="E271" s="1429"/>
      <c r="F271" s="1429"/>
      <c r="G271" s="1429"/>
      <c r="H271" s="1429"/>
      <c r="I271" s="1429"/>
      <c r="J271" s="1429"/>
      <c r="K271" s="1429"/>
      <c r="L271" s="1429"/>
      <c r="M271" s="1429"/>
      <c r="N271" s="1429"/>
      <c r="O271" s="1429"/>
      <c r="P271" s="1429"/>
      <c r="Q271" s="1429"/>
      <c r="R271" s="1429"/>
      <c r="S271" s="1424"/>
      <c r="T271" s="1428">
        <f>T226</f>
        <v>0</v>
      </c>
      <c r="U271" s="1423">
        <f t="shared" si="347"/>
        <v>0</v>
      </c>
      <c r="V271" s="1423">
        <f t="shared" si="348"/>
        <v>0</v>
      </c>
      <c r="W271" s="1423">
        <f t="shared" si="349"/>
        <v>0</v>
      </c>
      <c r="X271" s="152"/>
      <c r="Y271" s="152"/>
      <c r="Z271" s="152"/>
      <c r="AA271" s="152"/>
      <c r="AB271" s="152"/>
    </row>
    <row r="272" spans="1:28" hidden="1" outlineLevel="1">
      <c r="A272" s="242"/>
      <c r="B272" s="190" t="str">
        <f t="shared" ca="1" si="350"/>
        <v>RL Capex 2033-34</v>
      </c>
      <c r="C272" s="1429"/>
      <c r="D272" s="1429"/>
      <c r="E272" s="1429"/>
      <c r="F272" s="1429"/>
      <c r="G272" s="1429"/>
      <c r="H272" s="1429"/>
      <c r="I272" s="1429"/>
      <c r="J272" s="1429"/>
      <c r="K272" s="1429"/>
      <c r="L272" s="1429"/>
      <c r="M272" s="1429"/>
      <c r="N272" s="1429"/>
      <c r="O272" s="1429"/>
      <c r="P272" s="1429"/>
      <c r="Q272" s="1429"/>
      <c r="R272" s="1429"/>
      <c r="S272" s="1429"/>
      <c r="T272" s="1424"/>
      <c r="U272" s="1428">
        <f>U226</f>
        <v>0</v>
      </c>
      <c r="V272" s="1423">
        <f t="shared" si="348"/>
        <v>0</v>
      </c>
      <c r="W272" s="1423">
        <f t="shared" si="349"/>
        <v>0</v>
      </c>
      <c r="X272" s="152"/>
      <c r="Y272" s="152"/>
      <c r="Z272" s="152"/>
      <c r="AA272" s="152"/>
      <c r="AB272" s="152"/>
    </row>
    <row r="273" spans="1:28" hidden="1" outlineLevel="1">
      <c r="A273" s="242"/>
      <c r="B273" s="190" t="str">
        <f t="shared" ca="1" si="350"/>
        <v>RL Capex 2034-35</v>
      </c>
      <c r="C273" s="1429"/>
      <c r="D273" s="1429"/>
      <c r="E273" s="1429"/>
      <c r="F273" s="1429"/>
      <c r="G273" s="1429"/>
      <c r="H273" s="1429"/>
      <c r="I273" s="1429"/>
      <c r="J273" s="1429"/>
      <c r="K273" s="1429"/>
      <c r="L273" s="1429"/>
      <c r="M273" s="1429"/>
      <c r="N273" s="1429"/>
      <c r="O273" s="1429"/>
      <c r="P273" s="1429"/>
      <c r="Q273" s="1429"/>
      <c r="R273" s="1429"/>
      <c r="S273" s="1429"/>
      <c r="T273" s="1429"/>
      <c r="U273" s="1424"/>
      <c r="V273" s="1428">
        <f>V226</f>
        <v>0</v>
      </c>
      <c r="W273" s="1423">
        <f>IF(V273="n/a","n/a",MAX(0,V273-1))</f>
        <v>0</v>
      </c>
      <c r="X273" s="152"/>
      <c r="Y273" s="152"/>
      <c r="Z273" s="152"/>
      <c r="AA273" s="152"/>
      <c r="AB273" s="152"/>
    </row>
    <row r="274" spans="1:28" hidden="1" outlineLevel="1">
      <c r="A274" s="242"/>
      <c r="B274" s="190" t="str">
        <f t="shared" ca="1" si="350"/>
        <v>RL Capex 2035-36</v>
      </c>
      <c r="C274" s="1429"/>
      <c r="D274" s="1429"/>
      <c r="E274" s="1429"/>
      <c r="F274" s="1429"/>
      <c r="G274" s="1429"/>
      <c r="H274" s="1429"/>
      <c r="I274" s="1429"/>
      <c r="J274" s="1429"/>
      <c r="K274" s="1429"/>
      <c r="L274" s="1429"/>
      <c r="M274" s="1429"/>
      <c r="N274" s="1429"/>
      <c r="O274" s="1429"/>
      <c r="P274" s="1429"/>
      <c r="Q274" s="1429"/>
      <c r="R274" s="1429"/>
      <c r="S274" s="1429"/>
      <c r="T274" s="1429"/>
      <c r="U274" s="1429"/>
      <c r="V274" s="1424"/>
      <c r="W274" s="1423">
        <f>W226</f>
        <v>0</v>
      </c>
      <c r="X274" s="152"/>
      <c r="Y274" s="152"/>
      <c r="Z274" s="152"/>
      <c r="AA274" s="152"/>
      <c r="AB274" s="152"/>
    </row>
    <row r="275" spans="1:28" hidden="1" outlineLevel="1">
      <c r="A275" s="242"/>
      <c r="B275" s="200"/>
      <c r="C275" s="1423"/>
      <c r="D275" s="1423"/>
      <c r="E275" s="1423"/>
      <c r="F275" s="1423"/>
      <c r="G275" s="1423"/>
      <c r="H275" s="1423"/>
      <c r="I275" s="1423"/>
      <c r="J275" s="1423"/>
      <c r="K275" s="1423"/>
      <c r="L275" s="1423"/>
      <c r="M275" s="1423"/>
      <c r="N275" s="1423"/>
      <c r="O275" s="1423"/>
      <c r="P275" s="1423"/>
      <c r="Q275" s="1423"/>
      <c r="R275" s="1423"/>
      <c r="S275" s="1423"/>
      <c r="T275" s="1423"/>
      <c r="U275" s="1423"/>
      <c r="V275" s="1423"/>
      <c r="W275" s="1423"/>
      <c r="X275" s="152"/>
      <c r="Y275" s="152"/>
      <c r="Z275" s="152"/>
      <c r="AA275" s="152"/>
      <c r="AB275" s="152"/>
    </row>
    <row r="276" spans="1:28" collapsed="1">
      <c r="A276" s="246"/>
      <c r="B276" s="204" t="s">
        <v>123</v>
      </c>
      <c r="C276" s="1430">
        <f ca="1">(IF(OR($C226&lt;&gt;"n/a",C226&lt;&gt;"n/a"),IF(SUM(C229:C251)=0,0,IF((SUMPRODUCT(C229:C251,C253:C275)/SUM(C229:C251))&lt;0,1,(SUMPRODUCT(C229:C251,C253:C275)/SUM(C229:C251)))),"n/a"))</f>
        <v>3.6344893898872339</v>
      </c>
      <c r="D276" s="1430">
        <f ca="1">(IF(OR($C226&lt;&gt;"n/a",D226&lt;&gt;"n/a"),IF(SUM(D229:D251)=0,0,IF((SUMPRODUCT(D229:D251,D253:D275)/SUM(D229:D251))&lt;0,1,(SUMPRODUCT(D229:D251,D253:D275)/SUM(D229:D251)))),"n/a"))</f>
        <v>2.6739524261991359</v>
      </c>
      <c r="E276" s="1430">
        <f t="shared" ref="E276:W276" ca="1" si="351">(IF(OR($C226&lt;&gt;"n/a",E226&lt;&gt;"n/a"),IF(SUM(E229:E251)=0,0,IF((SUMPRODUCT(E229:E251,E253:E275)/SUM(E229:E251))&lt;0,1,(SUMPRODUCT(E229:E251,E253:E275)/SUM(E229:E251)))),"n/a"))</f>
        <v>1.9411156697799656</v>
      </c>
      <c r="F276" s="1430">
        <f t="shared" ca="1" si="351"/>
        <v>2.023135904982881</v>
      </c>
      <c r="G276" s="1430">
        <f t="shared" ca="1" si="351"/>
        <v>3.4490379105474949</v>
      </c>
      <c r="H276" s="1430">
        <f t="shared" ca="1" si="351"/>
        <v>3.2552611988202274</v>
      </c>
      <c r="I276" s="1430">
        <f t="shared" ca="1" si="351"/>
        <v>3.1948789319173452</v>
      </c>
      <c r="J276" s="1430">
        <f t="shared" ca="1" si="351"/>
        <v>2.8096959629601765</v>
      </c>
      <c r="K276" s="1430">
        <f t="shared" ca="1" si="351"/>
        <v>2.1227449118105759</v>
      </c>
      <c r="L276" s="1430">
        <f t="shared" ca="1" si="351"/>
        <v>1.4591314702733351</v>
      </c>
      <c r="M276" s="1430">
        <f t="shared" ca="1" si="351"/>
        <v>1</v>
      </c>
      <c r="N276" s="1430">
        <f t="shared" ca="1" si="351"/>
        <v>0</v>
      </c>
      <c r="O276" s="1430">
        <f t="shared" ca="1" si="351"/>
        <v>0</v>
      </c>
      <c r="P276" s="1430">
        <f t="shared" ca="1" si="351"/>
        <v>0</v>
      </c>
      <c r="Q276" s="1430">
        <f t="shared" ca="1" si="351"/>
        <v>0</v>
      </c>
      <c r="R276" s="1430">
        <f t="shared" ca="1" si="351"/>
        <v>0</v>
      </c>
      <c r="S276" s="1430">
        <f t="shared" ca="1" si="351"/>
        <v>0</v>
      </c>
      <c r="T276" s="1430">
        <f t="shared" ca="1" si="351"/>
        <v>0</v>
      </c>
      <c r="U276" s="1430">
        <f t="shared" ca="1" si="351"/>
        <v>0</v>
      </c>
      <c r="V276" s="1430">
        <f t="shared" ca="1" si="351"/>
        <v>0</v>
      </c>
      <c r="W276" s="1430">
        <f t="shared" ca="1" si="351"/>
        <v>0</v>
      </c>
      <c r="X276" s="152"/>
      <c r="Y276" s="152"/>
      <c r="Z276" s="152"/>
      <c r="AA276" s="152"/>
      <c r="AB276" s="152"/>
    </row>
    <row r="277" spans="1:28">
      <c r="A277" s="242"/>
      <c r="B277" s="152"/>
      <c r="C277" s="1423"/>
      <c r="D277" s="1423"/>
      <c r="E277" s="1423"/>
      <c r="F277" s="1423"/>
      <c r="G277" s="1423"/>
      <c r="H277" s="1423"/>
      <c r="I277" s="1423"/>
      <c r="J277" s="1423"/>
      <c r="K277" s="1423"/>
      <c r="L277" s="1423"/>
      <c r="M277" s="1423"/>
      <c r="N277" s="1423"/>
      <c r="O277" s="1423"/>
      <c r="P277" s="1423"/>
      <c r="Q277" s="1423"/>
      <c r="R277" s="1423"/>
      <c r="S277" s="1423"/>
      <c r="T277" s="1423"/>
      <c r="U277" s="1423"/>
      <c r="V277" s="1423"/>
      <c r="W277" s="1423"/>
      <c r="X277" s="152"/>
      <c r="Y277" s="152"/>
      <c r="Z277" s="152"/>
      <c r="AA277" s="152"/>
      <c r="AB277" s="152"/>
    </row>
    <row r="278" spans="1:28">
      <c r="A278" s="269" t="s">
        <v>6</v>
      </c>
      <c r="B278" s="270" t="str">
        <f>VLOOKUP($A278,'RFM input'!$E$7:$F$56,2,FALSE)</f>
        <v>Other Distribution System Equipment</v>
      </c>
      <c r="C278" s="1431"/>
      <c r="D278" s="1431"/>
      <c r="E278" s="1432"/>
      <c r="F278" s="1432"/>
      <c r="G278" s="1432"/>
      <c r="H278" s="1432"/>
      <c r="I278" s="1432"/>
      <c r="J278" s="1432"/>
      <c r="K278" s="1432"/>
      <c r="L278" s="1432"/>
      <c r="M278" s="1432"/>
      <c r="N278" s="1432"/>
      <c r="O278" s="1432"/>
      <c r="P278" s="1432"/>
      <c r="Q278" s="1432"/>
      <c r="R278" s="1432"/>
      <c r="S278" s="1432"/>
      <c r="T278" s="1432"/>
      <c r="U278" s="1432"/>
      <c r="V278" s="1432"/>
      <c r="W278" s="1432"/>
      <c r="X278" s="152"/>
      <c r="Y278" s="152"/>
      <c r="Z278" s="152"/>
      <c r="AA278" s="152"/>
      <c r="AB278" s="152"/>
    </row>
    <row r="279" spans="1:28">
      <c r="A279" s="215">
        <f>VALUE(REPLACE(A278,1,12,""))</f>
        <v>6</v>
      </c>
      <c r="B279" s="263" t="s">
        <v>126</v>
      </c>
      <c r="C279" s="1416">
        <f ca="1">IF($D$6='TAB roll forward'!$H$4,OFFSET('TAB roll forward'!$H$7,A279,0),"enter input")</f>
        <v>7.835480637984821</v>
      </c>
      <c r="D279" s="1417">
        <f>IF(LEFT(D$6,4)&lt;LEFT('RFM input'!$G$60,4),"enter input",IF(LEFT(D$6,4)&gt;LEFT('RFM input'!$Q$60,4),0,
INDEX('RFM input'!$G$61:$Q$110,$A279,MATCH(D$6,'RFM input'!$G$60:$Q$60,0))
   -INDEX('RFM input'!$G$115:$Q$164,$A279,MATCH(D$6,'RFM input'!$G$60:$Q$60,0))))</f>
        <v>1.0590765327880023</v>
      </c>
      <c r="E279" s="1417">
        <f>IF(LEFT(E$6,4)&lt;LEFT('RFM input'!$G$60,4),"enter input",IF(LEFT(E$6,4)&gt;LEFT('RFM input'!$Q$60,4),0,
INDEX('RFM input'!$G$61:$Q$110,$A279,MATCH(E$6,'RFM input'!$G$60:$Q$60,0))
   -INDEX('RFM input'!$G$115:$Q$164,$A279,MATCH(E$6,'RFM input'!$G$60:$Q$60,0))))</f>
        <v>0.48068886631569696</v>
      </c>
      <c r="F279" s="1417">
        <f>IF(LEFT(F$6,4)&lt;LEFT('RFM input'!$G$60,4),"enter input",IF(LEFT(F$6,4)&gt;LEFT('RFM input'!$Q$60,4),0,
INDEX('RFM input'!$G$61:$Q$110,$A279,MATCH(F$6,'RFM input'!$G$60:$Q$60,0))
   -INDEX('RFM input'!$G$115:$Q$164,$A279,MATCH(F$6,'RFM input'!$G$60:$Q$60,0))))</f>
        <v>0.76123687370543058</v>
      </c>
      <c r="G279" s="1417">
        <f>IF(LEFT(G$6,4)&lt;LEFT('RFM input'!$G$60,4),"enter input",IF(LEFT(G$6,4)&gt;LEFT('RFM input'!$Q$60,4),0,
INDEX('RFM input'!$G$61:$Q$110,$A279,MATCH(G$6,'RFM input'!$G$60:$Q$60,0))
   -INDEX('RFM input'!$G$115:$Q$164,$A279,MATCH(G$6,'RFM input'!$G$60:$Q$60,0))))</f>
        <v>1.7733186749445713</v>
      </c>
      <c r="H279" s="1417">
        <f>IF(LEFT(H$6,4)&lt;LEFT('RFM input'!$G$60,4),"enter input",IF(LEFT(H$6,4)&gt;LEFT('RFM input'!$Q$60,4),0,
INDEX('RFM input'!$G$61:$Q$110,$A279,MATCH(H$6,'RFM input'!$G$60:$Q$60,0))
   -INDEX('RFM input'!$G$115:$Q$164,$A279,MATCH(H$6,'RFM input'!$G$60:$Q$60,0))))</f>
        <v>0.90826443592892436</v>
      </c>
      <c r="I279" s="1417">
        <f>IF(LEFT(I$6,4)&lt;LEFT('RFM input'!$G$60,4),"enter input",IF(LEFT(I$6,4)&gt;LEFT('RFM input'!$Q$60,4),0,
INDEX('RFM input'!$G$61:$Q$110,$A279,MATCH(I$6,'RFM input'!$G$60:$Q$60,0))
   -INDEX('RFM input'!$G$115:$Q$164,$A279,MATCH(I$6,'RFM input'!$G$60:$Q$60,0))))</f>
        <v>0.91752900100868973</v>
      </c>
      <c r="J279" s="1417">
        <f>IF(LEFT(J$6,4)&lt;LEFT('RFM input'!$G$60,4),"enter input",IF(LEFT(J$6,4)&gt;LEFT('RFM input'!$Q$60,4),0,
INDEX('RFM input'!$G$61:$Q$110,$A279,MATCH(J$6,'RFM input'!$G$60:$Q$60,0))
   -INDEX('RFM input'!$G$115:$Q$164,$A279,MATCH(J$6,'RFM input'!$G$60:$Q$60,0))))</f>
        <v>0.8769303290075372</v>
      </c>
      <c r="K279" s="1417">
        <f>IF(LEFT(K$6,4)&lt;LEFT('RFM input'!$G$60,4),"enter input",IF(LEFT(K$6,4)&gt;LEFT('RFM input'!$Q$60,4),0,
INDEX('RFM input'!$G$61:$Q$110,$A279,MATCH(K$6,'RFM input'!$G$60:$Q$60,0))
   -INDEX('RFM input'!$G$115:$Q$164,$A279,MATCH(K$6,'RFM input'!$G$60:$Q$60,0))))</f>
        <v>0</v>
      </c>
      <c r="L279" s="1417">
        <f>IF(LEFT(L$6,4)&lt;LEFT('RFM input'!$G$60,4),"enter input",IF(LEFT(L$6,4)&gt;LEFT('RFM input'!$Q$60,4),0,
INDEX('RFM input'!$G$61:$Q$110,$A279,MATCH(L$6,'RFM input'!$G$60:$Q$60,0))
   -INDEX('RFM input'!$G$115:$Q$164,$A279,MATCH(L$6,'RFM input'!$G$60:$Q$60,0))))</f>
        <v>0</v>
      </c>
      <c r="M279" s="1417">
        <f>IF(LEFT(M$6,4)&lt;LEFT('RFM input'!$G$60,4),"enter input",IF(LEFT(M$6,4)&gt;LEFT('RFM input'!$Q$60,4),0,
INDEX('RFM input'!$G$61:$Q$110,$A279,MATCH(M$6,'RFM input'!$G$60:$Q$60,0))
   -INDEX('RFM input'!$G$115:$Q$164,$A279,MATCH(M$6,'RFM input'!$G$60:$Q$60,0))))</f>
        <v>0</v>
      </c>
      <c r="N279" s="1417">
        <f>IF(LEFT(N$6,4)&lt;LEFT('RFM input'!$G$60,4),"enter input",IF(LEFT(N$6,4)&gt;LEFT('RFM input'!$Q$60,4),0,
INDEX('RFM input'!$G$61:$Q$110,$A279,MATCH(N$6,'RFM input'!$G$60:$Q$60,0))
   -INDEX('RFM input'!$G$115:$Q$164,$A279,MATCH(N$6,'RFM input'!$G$60:$Q$60,0))))</f>
        <v>0</v>
      </c>
      <c r="O279" s="1417">
        <f>IF(LEFT(O$6,4)&lt;LEFT('RFM input'!$G$60,4),"enter input",IF(LEFT(O$6,4)&gt;LEFT('RFM input'!$Q$60,4),0,
INDEX('RFM input'!$G$61:$Q$110,$A279,MATCH(O$6,'RFM input'!$G$60:$Q$60,0))
   -INDEX('RFM input'!$G$115:$Q$164,$A279,MATCH(O$6,'RFM input'!$G$60:$Q$60,0))))</f>
        <v>0</v>
      </c>
      <c r="P279" s="1417">
        <f>IF(LEFT(P$6,4)&lt;LEFT('RFM input'!$G$60,4),"enter input",IF(LEFT(P$6,4)&gt;LEFT('RFM input'!$Q$60,4),0,
INDEX('RFM input'!$G$61:$Q$110,$A279,MATCH(P$6,'RFM input'!$G$60:$Q$60,0))
   -INDEX('RFM input'!$G$115:$Q$164,$A279,MATCH(P$6,'RFM input'!$G$60:$Q$60,0))))</f>
        <v>0</v>
      </c>
      <c r="Q279" s="1417">
        <f>IF(LEFT(Q$6,4)&lt;LEFT('RFM input'!$G$60,4),"enter input",IF(LEFT(Q$6,4)&gt;LEFT('RFM input'!$Q$60,4),0,
INDEX('RFM input'!$G$61:$Q$110,$A279,MATCH(Q$6,'RFM input'!$G$60:$Q$60,0))
   -INDEX('RFM input'!$G$115:$Q$164,$A279,MATCH(Q$6,'RFM input'!$G$60:$Q$60,0))))</f>
        <v>0</v>
      </c>
      <c r="R279" s="1417">
        <f>IF(LEFT(R$6,4)&lt;LEFT('RFM input'!$G$60,4),"enter input",IF(LEFT(R$6,4)&gt;LEFT('RFM input'!$Q$60,4),0,
INDEX('RFM input'!$G$61:$Q$110,$A279,MATCH(R$6,'RFM input'!$G$60:$Q$60,0))
   -INDEX('RFM input'!$G$115:$Q$164,$A279,MATCH(R$6,'RFM input'!$G$60:$Q$60,0))))</f>
        <v>0</v>
      </c>
      <c r="S279" s="1417">
        <f>IF(LEFT(S$6,4)&lt;LEFT('RFM input'!$G$60,4),"enter input",IF(LEFT(S$6,4)&gt;LEFT('RFM input'!$Q$60,4),0,
INDEX('RFM input'!$G$61:$Q$110,$A279,MATCH(S$6,'RFM input'!$G$60:$Q$60,0))
   -INDEX('RFM input'!$G$115:$Q$164,$A279,MATCH(S$6,'RFM input'!$G$60:$Q$60,0))))</f>
        <v>0</v>
      </c>
      <c r="T279" s="1417">
        <f>IF(LEFT(T$6,4)&lt;LEFT('RFM input'!$G$60,4),"enter input",IF(LEFT(T$6,4)&gt;LEFT('RFM input'!$Q$60,4),0,
INDEX('RFM input'!$G$61:$Q$110,$A279,MATCH(T$6,'RFM input'!$G$60:$Q$60,0))
   -INDEX('RFM input'!$G$115:$Q$164,$A279,MATCH(T$6,'RFM input'!$G$60:$Q$60,0))))</f>
        <v>0</v>
      </c>
      <c r="U279" s="1417">
        <f>IF(LEFT(U$6,4)&lt;LEFT('RFM input'!$G$60,4),"enter input",IF(LEFT(U$6,4)&gt;LEFT('RFM input'!$Q$60,4),0,
INDEX('RFM input'!$G$61:$Q$110,$A279,MATCH(U$6,'RFM input'!$G$60:$Q$60,0))
   -INDEX('RFM input'!$G$115:$Q$164,$A279,MATCH(U$6,'RFM input'!$G$60:$Q$60,0))))</f>
        <v>0</v>
      </c>
      <c r="V279" s="1417">
        <f>IF(LEFT(V$6,4)&lt;LEFT('RFM input'!$G$60,4),"enter input",IF(LEFT(V$6,4)&gt;LEFT('RFM input'!$Q$60,4),0,
INDEX('RFM input'!$G$61:$Q$110,$A279,MATCH(V$6,'RFM input'!$G$60:$Q$60,0))
   -INDEX('RFM input'!$G$115:$Q$164,$A279,MATCH(V$6,'RFM input'!$G$60:$Q$60,0))))</f>
        <v>0</v>
      </c>
      <c r="W279" s="1417">
        <f>IF(LEFT(W$6,4)&lt;LEFT('RFM input'!$G$60,4),"enter input",IF(LEFT(W$6,4)&gt;LEFT('RFM input'!$Q$60,4),0,
INDEX('RFM input'!$G$61:$Q$110,$A279,MATCH(W$6,'RFM input'!$G$60:$Q$60,0))
   -INDEX('RFM input'!$G$115:$Q$164,$A279,MATCH(W$6,'RFM input'!$G$60:$Q$60,0))))</f>
        <v>0</v>
      </c>
      <c r="X279" s="152"/>
      <c r="Y279" s="152"/>
      <c r="Z279" s="152"/>
      <c r="AA279" s="152"/>
      <c r="AB279" s="152"/>
    </row>
    <row r="280" spans="1:28">
      <c r="A280" s="242"/>
      <c r="B280" s="152" t="s">
        <v>205</v>
      </c>
      <c r="C280" s="1418">
        <f ca="1">IF($D$6='TAB roll forward'!$H$4,OFFSET('RFM input'!$S$6,$A279,0),"enter input")</f>
        <v>17.058052355417484</v>
      </c>
      <c r="D280" s="1417">
        <f>IF(LEFT(D$6,4)&lt;=LEFT('RFM input'!$G$60,4),"enter input",IF(LEFT(D$6,4)&gt;LEFT('RFM input'!$Q$60,4),0,
IF(MATCH(D$6,'RFM input'!$H$60:$Q$60,0),INDEX('RFM input'!$T$7:$T$56,$A279,1,1))))</f>
        <v>20</v>
      </c>
      <c r="E280" s="1417">
        <f>IF(LEFT(E$6,4)&lt;=LEFT('RFM input'!$G$60,4),"enter input",IF(LEFT(E$6,4)&gt;LEFT('RFM input'!$Q$60,4),0,
IF(MATCH(E$6,'RFM input'!$H$60:$Q$60,0),INDEX('RFM input'!$T$7:$T$56,$A279,1,1))))</f>
        <v>20</v>
      </c>
      <c r="F280" s="1417">
        <f>IF(LEFT(F$6,4)&lt;=LEFT('RFM input'!$G$60,4),"enter input",IF(LEFT(F$6,4)&gt;LEFT('RFM input'!$Q$60,4),0,
IF(MATCH(F$6,'RFM input'!$H$60:$Q$60,0),INDEX('RFM input'!$T$7:$T$56,$A279,1,1))))</f>
        <v>20</v>
      </c>
      <c r="G280" s="1417">
        <f>IF(LEFT(G$6,4)&lt;=LEFT('RFM input'!$G$60,4),"enter input",IF(LEFT(G$6,4)&gt;LEFT('RFM input'!$Q$60,4),0,
IF(MATCH(G$6,'RFM input'!$H$60:$Q$60,0),INDEX('RFM input'!$T$7:$T$56,$A279,1,1))))</f>
        <v>20</v>
      </c>
      <c r="H280" s="1417">
        <f>IF(LEFT(H$6,4)&lt;=LEFT('RFM input'!$G$60,4),"enter input",IF(LEFT(H$6,4)&gt;LEFT('RFM input'!$Q$60,4),0,
IF(MATCH(H$6,'RFM input'!$H$60:$Q$60,0),INDEX('RFM input'!$T$7:$T$56,$A279,1,1))))</f>
        <v>20</v>
      </c>
      <c r="I280" s="1417">
        <f>IF(LEFT(I$6,4)&lt;=LEFT('RFM input'!$G$60,4),"enter input",IF(LEFT(I$6,4)&gt;LEFT('RFM input'!$Q$60,4),0,
IF(MATCH(I$6,'RFM input'!$H$60:$Q$60,0),INDEX('RFM input'!$T$7:$T$56,$A279,1,1))))</f>
        <v>20</v>
      </c>
      <c r="J280" s="1417">
        <f>IF(LEFT(J$6,4)&lt;=LEFT('RFM input'!$G$60,4),"enter input",IF(LEFT(J$6,4)&gt;LEFT('RFM input'!$Q$60,4),0,
IF(MATCH(J$6,'RFM input'!$H$60:$Q$60,0),INDEX('RFM input'!$T$7:$T$56,$A279,1,1))))</f>
        <v>20</v>
      </c>
      <c r="K280" s="1417">
        <f>IF(LEFT(K$6,4)&lt;=LEFT('RFM input'!$G$60,4),"enter input",IF(LEFT(K$6,4)&gt;LEFT('RFM input'!$Q$60,4),0,
IF(MATCH(K$6,'RFM input'!$H$60:$Q$60,0),INDEX('RFM input'!$T$7:$T$56,$A279,1,1))))</f>
        <v>20</v>
      </c>
      <c r="L280" s="1417">
        <f>IF(LEFT(L$6,4)&lt;=LEFT('RFM input'!$G$60,4),"enter input",IF(LEFT(L$6,4)&gt;LEFT('RFM input'!$Q$60,4),0,
IF(MATCH(L$6,'RFM input'!$H$60:$Q$60,0),INDEX('RFM input'!$T$7:$T$56,$A279,1,1))))</f>
        <v>20</v>
      </c>
      <c r="M280" s="1417">
        <f>IF(LEFT(M$6,4)&lt;=LEFT('RFM input'!$G$60,4),"enter input",IF(LEFT(M$6,4)&gt;LEFT('RFM input'!$Q$60,4),0,
IF(MATCH(M$6,'RFM input'!$H$60:$Q$60,0),INDEX('RFM input'!$T$7:$T$56,$A279,1,1))))</f>
        <v>20</v>
      </c>
      <c r="N280" s="1417">
        <f>IF(LEFT(N$6,4)&lt;=LEFT('RFM input'!$G$60,4),"enter input",IF(LEFT(N$6,4)&gt;LEFT('RFM input'!$Q$60,4),0,
IF(MATCH(N$6,'RFM input'!$H$60:$Q$60,0),INDEX('RFM input'!$T$7:$T$56,$A279,1,1))))</f>
        <v>0</v>
      </c>
      <c r="O280" s="1417">
        <f>IF(LEFT(O$6,4)&lt;=LEFT('RFM input'!$G$60,4),"enter input",IF(LEFT(O$6,4)&gt;LEFT('RFM input'!$Q$60,4),0,
IF(MATCH(O$6,'RFM input'!$H$60:$Q$60,0),INDEX('RFM input'!$T$7:$T$56,$A279,1,1))))</f>
        <v>0</v>
      </c>
      <c r="P280" s="1417">
        <f>IF(LEFT(P$6,4)&lt;=LEFT('RFM input'!$G$60,4),"enter input",IF(LEFT(P$6,4)&gt;LEFT('RFM input'!$Q$60,4),0,
IF(MATCH(P$6,'RFM input'!$H$60:$Q$60,0),INDEX('RFM input'!$T$7:$T$56,$A279,1,1))))</f>
        <v>0</v>
      </c>
      <c r="Q280" s="1417">
        <f>IF(LEFT(Q$6,4)&lt;=LEFT('RFM input'!$G$60,4),"enter input",IF(LEFT(Q$6,4)&gt;LEFT('RFM input'!$Q$60,4),0,
IF(MATCH(Q$6,'RFM input'!$H$60:$Q$60,0),INDEX('RFM input'!$T$7:$T$56,$A279,1,1))))</f>
        <v>0</v>
      </c>
      <c r="R280" s="1417">
        <f>IF(LEFT(R$6,4)&lt;=LEFT('RFM input'!$G$60,4),"enter input",IF(LEFT(R$6,4)&gt;LEFT('RFM input'!$Q$60,4),0,
IF(MATCH(R$6,'RFM input'!$H$60:$Q$60,0),INDEX('RFM input'!$T$7:$T$56,$A279,1,1))))</f>
        <v>0</v>
      </c>
      <c r="S280" s="1417">
        <f>IF(LEFT(S$6,4)&lt;=LEFT('RFM input'!$G$60,4),"enter input",IF(LEFT(S$6,4)&gt;LEFT('RFM input'!$Q$60,4),0,
IF(MATCH(S$6,'RFM input'!$H$60:$Q$60,0),INDEX('RFM input'!$T$7:$T$56,$A279,1,1))))</f>
        <v>0</v>
      </c>
      <c r="T280" s="1417">
        <f>IF(LEFT(T$6,4)&lt;=LEFT('RFM input'!$G$60,4),"enter input",IF(LEFT(T$6,4)&gt;LEFT('RFM input'!$Q$60,4),0,
IF(MATCH(T$6,'RFM input'!$H$60:$Q$60,0),INDEX('RFM input'!$T$7:$T$56,$A279,1,1))))</f>
        <v>0</v>
      </c>
      <c r="U280" s="1417">
        <f>IF(LEFT(U$6,4)&lt;=LEFT('RFM input'!$G$60,4),"enter input",IF(LEFT(U$6,4)&gt;LEFT('RFM input'!$Q$60,4),0,
IF(MATCH(U$6,'RFM input'!$H$60:$Q$60,0),INDEX('RFM input'!$T$7:$T$56,$A279,1,1))))</f>
        <v>0</v>
      </c>
      <c r="V280" s="1417">
        <f>IF(LEFT(V$6,4)&lt;=LEFT('RFM input'!$G$60,4),"enter input",IF(LEFT(V$6,4)&gt;LEFT('RFM input'!$Q$60,4),0,
IF(MATCH(V$6,'RFM input'!$H$60:$Q$60,0),INDEX('RFM input'!$T$7:$T$56,$A279,1,1))))</f>
        <v>0</v>
      </c>
      <c r="W280" s="1417">
        <f>IF(LEFT(W$6,4)&lt;=LEFT('RFM input'!$G$60,4),"enter input",IF(LEFT(W$6,4)&gt;LEFT('RFM input'!$Q$60,4),0,
IF(MATCH(W$6,'RFM input'!$H$60:$Q$60,0),INDEX('RFM input'!$T$7:$T$56,$A279,1,1))))</f>
        <v>0</v>
      </c>
      <c r="X280" s="152"/>
      <c r="Y280" s="152"/>
      <c r="Z280" s="152"/>
      <c r="AA280" s="152"/>
      <c r="AB280" s="152"/>
    </row>
    <row r="281" spans="1:28">
      <c r="A281" s="242"/>
      <c r="B281" s="193" t="s">
        <v>192</v>
      </c>
      <c r="C281" s="1419"/>
      <c r="D281" s="1420">
        <f ca="1">IF(LEFT(D$6,4)&lt;=LEFT('RFM input'!$G$60,4),"enter input",IF(LEFT(D$6,4)&gt;LEFT('RFM input'!$Q$60,4),0,
IF(D$6=(OFFSET('RFM input'!$G$60,0,'RFM input'!$V$7)),OFFSET('RFM input'!$H$411,$A279,0),0)))</f>
        <v>0</v>
      </c>
      <c r="E281" s="1417">
        <f ca="1">IF(LEFT(E$6,4)&lt;=LEFT('RFM input'!$G$60,4),"enter input",IF(LEFT(E$6,4)&gt;LEFT('RFM input'!$Q$60,4),0,
IF(E$6=(OFFSET('RFM input'!$G$60,0,'RFM input'!$V$7)),OFFSET('RFM input'!$H$411,$A279,0),0)))</f>
        <v>0</v>
      </c>
      <c r="F281" s="1417">
        <f ca="1">IF(LEFT(F$6,4)&lt;=LEFT('RFM input'!$G$60,4),"enter input",IF(LEFT(F$6,4)&gt;LEFT('RFM input'!$Q$60,4),0,
IF(F$6=(OFFSET('RFM input'!$G$60,0,'RFM input'!$V$7)),OFFSET('RFM input'!$H$411,$A279,0),0)))</f>
        <v>0</v>
      </c>
      <c r="G281" s="1417">
        <f ca="1">IF(LEFT(G$6,4)&lt;=LEFT('RFM input'!$G$60,4),"enter input",IF(LEFT(G$6,4)&gt;LEFT('RFM input'!$Q$60,4),0,
IF(G$6=(OFFSET('RFM input'!$G$60,0,'RFM input'!$V$7)),OFFSET('RFM input'!$H$411,$A279,0),0)))</f>
        <v>0</v>
      </c>
      <c r="H281" s="1417">
        <f ca="1">IF(LEFT(H$6,4)&lt;=LEFT('RFM input'!$G$60,4),"enter input",IF(LEFT(H$6,4)&gt;LEFT('RFM input'!$Q$60,4),0,
IF(H$6=(OFFSET('RFM input'!$G$60,0,'RFM input'!$V$7)),OFFSET('RFM input'!$H$411,$A279,0),0)))</f>
        <v>0</v>
      </c>
      <c r="I281" s="1417">
        <f ca="1">IF(LEFT(I$6,4)&lt;=LEFT('RFM input'!$G$60,4),"enter input",IF(LEFT(I$6,4)&gt;LEFT('RFM input'!$Q$60,4),0,
IF(I$6=(OFFSET('RFM input'!$G$60,0,'RFM input'!$V$7)),OFFSET('RFM input'!$H$411,$A279,0),0)))</f>
        <v>0</v>
      </c>
      <c r="J281" s="1417">
        <f ca="1">IF(LEFT(J$6,4)&lt;=LEFT('RFM input'!$G$60,4),"enter input",IF(LEFT(J$6,4)&gt;LEFT('RFM input'!$Q$60,4),0,
IF(J$6=(OFFSET('RFM input'!$G$60,0,'RFM input'!$V$7)),OFFSET('RFM input'!$H$411,$A279,0),0)))</f>
        <v>0</v>
      </c>
      <c r="K281" s="1417">
        <f ca="1">IF(LEFT(K$6,4)&lt;=LEFT('RFM input'!$G$60,4),"enter input",IF(LEFT(K$6,4)&gt;LEFT('RFM input'!$Q$60,4),0,
IF(K$6=(OFFSET('RFM input'!$G$60,0,'RFM input'!$V$7)),OFFSET('RFM input'!$H$411,$A279,0),0)))</f>
        <v>0</v>
      </c>
      <c r="L281" s="1417">
        <f ca="1">IF(LEFT(L$6,4)&lt;=LEFT('RFM input'!$G$60,4),"enter input",IF(LEFT(L$6,4)&gt;LEFT('RFM input'!$Q$60,4),0,
IF(L$6=(OFFSET('RFM input'!$G$60,0,'RFM input'!$V$7)),OFFSET('RFM input'!$H$411,$A279,0),0)))</f>
        <v>0</v>
      </c>
      <c r="M281" s="1417">
        <f ca="1">IF(LEFT(M$6,4)&lt;=LEFT('RFM input'!$G$60,4),"enter input",IF(LEFT(M$6,4)&gt;LEFT('RFM input'!$Q$60,4),0,
IF(M$6=(OFFSET('RFM input'!$G$60,0,'RFM input'!$V$7)),OFFSET('RFM input'!$H$411,$A279,0),0)))</f>
        <v>0</v>
      </c>
      <c r="N281" s="1417">
        <f ca="1">IF(LEFT(N$6,4)&lt;=LEFT('RFM input'!$G$60,4),"enter input",IF(LEFT(N$6,4)&gt;LEFT('RFM input'!$Q$60,4),0,
IF(N$6=(OFFSET('RFM input'!$G$60,0,'RFM input'!$V$7)),OFFSET('RFM input'!$H$411,$A279,0),0)))</f>
        <v>0</v>
      </c>
      <c r="O281" s="1417">
        <f ca="1">IF(LEFT(O$6,4)&lt;=LEFT('RFM input'!$G$60,4),"enter input",IF(LEFT(O$6,4)&gt;LEFT('RFM input'!$Q$60,4),0,
IF(O$6=(OFFSET('RFM input'!$G$60,0,'RFM input'!$V$7)),OFFSET('RFM input'!$H$411,$A279,0),0)))</f>
        <v>0</v>
      </c>
      <c r="P281" s="1417">
        <f ca="1">IF(LEFT(P$6,4)&lt;=LEFT('RFM input'!$G$60,4),"enter input",IF(LEFT(P$6,4)&gt;LEFT('RFM input'!$Q$60,4),0,
IF(P$6=(OFFSET('RFM input'!$G$60,0,'RFM input'!$V$7)),OFFSET('RFM input'!$H$411,$A279,0),0)))</f>
        <v>0</v>
      </c>
      <c r="Q281" s="1417">
        <f ca="1">IF(LEFT(Q$6,4)&lt;=LEFT('RFM input'!$G$60,4),"enter input",IF(LEFT(Q$6,4)&gt;LEFT('RFM input'!$Q$60,4),0,
IF(Q$6=(OFFSET('RFM input'!$G$60,0,'RFM input'!$V$7)),OFFSET('RFM input'!$H$411,$A279,0),0)))</f>
        <v>0</v>
      </c>
      <c r="R281" s="1417">
        <f ca="1">IF(LEFT(R$6,4)&lt;=LEFT('RFM input'!$G$60,4),"enter input",IF(LEFT(R$6,4)&gt;LEFT('RFM input'!$Q$60,4),0,
IF(R$6=(OFFSET('RFM input'!$G$60,0,'RFM input'!$V$7)),OFFSET('RFM input'!$H$411,$A279,0),0)))</f>
        <v>0</v>
      </c>
      <c r="S281" s="1417">
        <f ca="1">IF(LEFT(S$6,4)&lt;=LEFT('RFM input'!$G$60,4),"enter input",IF(LEFT(S$6,4)&gt;LEFT('RFM input'!$Q$60,4),0,
IF(S$6=(OFFSET('RFM input'!$G$60,0,'RFM input'!$V$7)),OFFSET('RFM input'!$H$411,$A279,0),0)))</f>
        <v>0</v>
      </c>
      <c r="T281" s="1417">
        <f ca="1">IF(LEFT(T$6,4)&lt;=LEFT('RFM input'!$G$60,4),"enter input",IF(LEFT(T$6,4)&gt;LEFT('RFM input'!$Q$60,4),0,
IF(T$6=(OFFSET('RFM input'!$G$60,0,'RFM input'!$V$7)),OFFSET('RFM input'!$H$411,$A279,0),0)))</f>
        <v>0</v>
      </c>
      <c r="U281" s="1417">
        <f ca="1">IF(LEFT(U$6,4)&lt;=LEFT('RFM input'!$G$60,4),"enter input",IF(LEFT(U$6,4)&gt;LEFT('RFM input'!$Q$60,4),0,
IF(U$6=(OFFSET('RFM input'!$G$60,0,'RFM input'!$V$7)),OFFSET('RFM input'!$H$411,$A279,0),0)))</f>
        <v>0</v>
      </c>
      <c r="V281" s="1417">
        <f ca="1">IF(LEFT(V$6,4)&lt;=LEFT('RFM input'!$G$60,4),"enter input",IF(LEFT(V$6,4)&gt;LEFT('RFM input'!$Q$60,4),0,
IF(V$6=(OFFSET('RFM input'!$G$60,0,'RFM input'!$V$7)),OFFSET('RFM input'!$H$411,$A279,0),0)))</f>
        <v>0</v>
      </c>
      <c r="W281" s="1417">
        <f ca="1">IF(LEFT(W$6,4)&lt;=LEFT('RFM input'!$G$60,4),"enter input",IF(LEFT(W$6,4)&gt;LEFT('RFM input'!$Q$60,4),0,
IF(W$6=(OFFSET('RFM input'!$G$60,0,'RFM input'!$V$7)),OFFSET('RFM input'!$H$411,$A279,0),0)))</f>
        <v>0</v>
      </c>
      <c r="X281" s="152"/>
      <c r="Y281" s="152"/>
      <c r="Z281" s="152"/>
      <c r="AA281" s="152"/>
      <c r="AB281" s="152"/>
    </row>
    <row r="282" spans="1:28">
      <c r="A282" s="242"/>
      <c r="B282" s="193" t="s">
        <v>200</v>
      </c>
      <c r="C282" s="1419"/>
      <c r="D282" s="1418">
        <f ca="1">IF(LEFT(D$6,4)&lt;=LEFT('RFM input'!$G$60,4),"enter input",IF(LEFT(D$6,4)&gt;LEFT('RFM input'!$Q$60,4),0,
IF(D$6=(OFFSET('RFM input'!$G$60,0,'RFM input'!$V$7)),OFFSET('RFM input'!$J$411,$A279,0),0)))</f>
        <v>0</v>
      </c>
      <c r="E282" s="1422">
        <f ca="1">IF(LEFT(E$6,4)&lt;=LEFT('RFM input'!$G$60,4),"enter input",IF(LEFT(E$6,4)&gt;LEFT('RFM input'!$Q$60,4),0,
IF(E$6=(OFFSET('RFM input'!$G$60,0,'RFM input'!$V$7)),OFFSET('RFM input'!$J$411,$A279,0),0)))</f>
        <v>0</v>
      </c>
      <c r="F282" s="1422">
        <f ca="1">IF(LEFT(F$6,4)&lt;=LEFT('RFM input'!$G$60,4),"enter input",IF(LEFT(F$6,4)&gt;LEFT('RFM input'!$Q$60,4),0,
IF(F$6=(OFFSET('RFM input'!$G$60,0,'RFM input'!$V$7)),OFFSET('RFM input'!$J$411,$A279,0),0)))</f>
        <v>0</v>
      </c>
      <c r="G282" s="1422">
        <f ca="1">IF(LEFT(G$6,4)&lt;=LEFT('RFM input'!$G$60,4),"enter input",IF(LEFT(G$6,4)&gt;LEFT('RFM input'!$Q$60,4),0,
IF(G$6=(OFFSET('RFM input'!$G$60,0,'RFM input'!$V$7)),OFFSET('RFM input'!$J$411,$A279,0),0)))</f>
        <v>0</v>
      </c>
      <c r="H282" s="1422">
        <f ca="1">IF(LEFT(H$6,4)&lt;=LEFT('RFM input'!$G$60,4),"enter input",IF(LEFT(H$6,4)&gt;LEFT('RFM input'!$Q$60,4),0,
IF(H$6=(OFFSET('RFM input'!$G$60,0,'RFM input'!$V$7)),OFFSET('RFM input'!$J$411,$A279,0),0)))</f>
        <v>0</v>
      </c>
      <c r="I282" s="1422">
        <f ca="1">IF(LEFT(I$6,4)&lt;=LEFT('RFM input'!$G$60,4),"enter input",IF(LEFT(I$6,4)&gt;LEFT('RFM input'!$Q$60,4),0,
IF(I$6=(OFFSET('RFM input'!$G$60,0,'RFM input'!$V$7)),OFFSET('RFM input'!$J$411,$A279,0),0)))</f>
        <v>0</v>
      </c>
      <c r="J282" s="1422">
        <f ca="1">IF(LEFT(J$6,4)&lt;=LEFT('RFM input'!$G$60,4),"enter input",IF(LEFT(J$6,4)&gt;LEFT('RFM input'!$Q$60,4),0,
IF(J$6=(OFFSET('RFM input'!$G$60,0,'RFM input'!$V$7)),OFFSET('RFM input'!$J$411,$A279,0),0)))</f>
        <v>0</v>
      </c>
      <c r="K282" s="1422">
        <f ca="1">IF(LEFT(K$6,4)&lt;=LEFT('RFM input'!$G$60,4),"enter input",IF(LEFT(K$6,4)&gt;LEFT('RFM input'!$Q$60,4),0,
IF(K$6=(OFFSET('RFM input'!$G$60,0,'RFM input'!$V$7)),OFFSET('RFM input'!$J$411,$A279,0),0)))</f>
        <v>0</v>
      </c>
      <c r="L282" s="1422">
        <f ca="1">IF(LEFT(L$6,4)&lt;=LEFT('RFM input'!$G$60,4),"enter input",IF(LEFT(L$6,4)&gt;LEFT('RFM input'!$Q$60,4),0,
IF(L$6=(OFFSET('RFM input'!$G$60,0,'RFM input'!$V$7)),OFFSET('RFM input'!$J$411,$A279,0),0)))</f>
        <v>0</v>
      </c>
      <c r="M282" s="1422">
        <f ca="1">IF(LEFT(M$6,4)&lt;=LEFT('RFM input'!$G$60,4),"enter input",IF(LEFT(M$6,4)&gt;LEFT('RFM input'!$Q$60,4),0,
IF(M$6=(OFFSET('RFM input'!$G$60,0,'RFM input'!$V$7)),OFFSET('RFM input'!$J$411,$A279,0),0)))</f>
        <v>0</v>
      </c>
      <c r="N282" s="1422">
        <f ca="1">IF(LEFT(N$6,4)&lt;=LEFT('RFM input'!$G$60,4),"enter input",IF(LEFT(N$6,4)&gt;LEFT('RFM input'!$Q$60,4),0,
IF(N$6=(OFFSET('RFM input'!$G$60,0,'RFM input'!$V$7)),OFFSET('RFM input'!$J$411,$A279,0),0)))</f>
        <v>0</v>
      </c>
      <c r="O282" s="1422">
        <f ca="1">IF(LEFT(O$6,4)&lt;=LEFT('RFM input'!$G$60,4),"enter input",IF(LEFT(O$6,4)&gt;LEFT('RFM input'!$Q$60,4),0,
IF(O$6=(OFFSET('RFM input'!$G$60,0,'RFM input'!$V$7)),OFFSET('RFM input'!$J$411,$A279,0),0)))</f>
        <v>0</v>
      </c>
      <c r="P282" s="1422">
        <f ca="1">IF(LEFT(P$6,4)&lt;=LEFT('RFM input'!$G$60,4),"enter input",IF(LEFT(P$6,4)&gt;LEFT('RFM input'!$Q$60,4),0,
IF(P$6=(OFFSET('RFM input'!$G$60,0,'RFM input'!$V$7)),OFFSET('RFM input'!$J$411,$A279,0),0)))</f>
        <v>0</v>
      </c>
      <c r="Q282" s="1422">
        <f ca="1">IF(LEFT(Q$6,4)&lt;=LEFT('RFM input'!$G$60,4),"enter input",IF(LEFT(Q$6,4)&gt;LEFT('RFM input'!$Q$60,4),0,
IF(Q$6=(OFFSET('RFM input'!$G$60,0,'RFM input'!$V$7)),OFFSET('RFM input'!$J$411,$A279,0),0)))</f>
        <v>0</v>
      </c>
      <c r="R282" s="1422">
        <f ca="1">IF(LEFT(R$6,4)&lt;=LEFT('RFM input'!$G$60,4),"enter input",IF(LEFT(R$6,4)&gt;LEFT('RFM input'!$Q$60,4),0,
IF(R$6=(OFFSET('RFM input'!$G$60,0,'RFM input'!$V$7)),OFFSET('RFM input'!$J$411,$A279,0),0)))</f>
        <v>0</v>
      </c>
      <c r="S282" s="1422">
        <f ca="1">IF(LEFT(S$6,4)&lt;=LEFT('RFM input'!$G$60,4),"enter input",IF(LEFT(S$6,4)&gt;LEFT('RFM input'!$Q$60,4),0,
IF(S$6=(OFFSET('RFM input'!$G$60,0,'RFM input'!$V$7)),OFFSET('RFM input'!$J$411,$A279,0),0)))</f>
        <v>0</v>
      </c>
      <c r="T282" s="1422">
        <f ca="1">IF(LEFT(T$6,4)&lt;=LEFT('RFM input'!$G$60,4),"enter input",IF(LEFT(T$6,4)&gt;LEFT('RFM input'!$Q$60,4),0,
IF(T$6=(OFFSET('RFM input'!$G$60,0,'RFM input'!$V$7)),OFFSET('RFM input'!$J$411,$A279,0),0)))</f>
        <v>0</v>
      </c>
      <c r="U282" s="1422">
        <f ca="1">IF(LEFT(U$6,4)&lt;=LEFT('RFM input'!$G$60,4),"enter input",IF(LEFT(U$6,4)&gt;LEFT('RFM input'!$Q$60,4),0,
IF(U$6=(OFFSET('RFM input'!$G$60,0,'RFM input'!$V$7)),OFFSET('RFM input'!$J$411,$A279,0),0)))</f>
        <v>0</v>
      </c>
      <c r="V282" s="1422">
        <f ca="1">IF(LEFT(V$6,4)&lt;=LEFT('RFM input'!$G$60,4),"enter input",IF(LEFT(V$6,4)&gt;LEFT('RFM input'!$Q$60,4),0,
IF(V$6=(OFFSET('RFM input'!$G$60,0,'RFM input'!$V$7)),OFFSET('RFM input'!$J$411,$A279,0),0)))</f>
        <v>0</v>
      </c>
      <c r="W282" s="1422">
        <f ca="1">IF(LEFT(W$6,4)&lt;=LEFT('RFM input'!$G$60,4),"enter input",IF(LEFT(W$6,4)&gt;LEFT('RFM input'!$Q$60,4),0,
IF(W$6=(OFFSET('RFM input'!$G$60,0,'RFM input'!$V$7)),OFFSET('RFM input'!$J$411,$A279,0),0)))</f>
        <v>0</v>
      </c>
      <c r="X282" s="152"/>
      <c r="Y282" s="152"/>
      <c r="Z282" s="152"/>
      <c r="AA282" s="152"/>
      <c r="AB282" s="152"/>
    </row>
    <row r="283" spans="1:28" hidden="1" outlineLevel="1">
      <c r="A283" s="235">
        <v>-1</v>
      </c>
      <c r="B283" s="190" t="s">
        <v>195</v>
      </c>
      <c r="C283" s="1423"/>
      <c r="D283" s="1423">
        <f t="shared" ref="D283" ca="1" si="352">IF(AND(D281=0,C283=0),0,
IF(AND(D281&lt;&gt;0,C283=0),D281,
IF(AND(D282&lt;&gt;0,C283&lt;&gt;0),(C283-(C283/C307))+D281,
IF(C307&lt;1,0,(C283-(C283/C307))))))</f>
        <v>0</v>
      </c>
      <c r="E283" s="1423">
        <f t="shared" ref="E283" ca="1" si="353">IF(AND(E281=0,D283=0),0,
IF(AND(E281&lt;&gt;0,D283=0),E281,
IF(AND(E282&lt;&gt;0,D283&lt;&gt;0),(D283-(D283/D307))+E281,
IF(D307&lt;1,0,(D283-(D283/D307))))))</f>
        <v>0</v>
      </c>
      <c r="F283" s="1423">
        <f t="shared" ref="F283" ca="1" si="354">IF(AND(F281=0,E283=0),0,
IF(AND(F281&lt;&gt;0,E283=0),F281,
IF(AND(F282&lt;&gt;0,E283&lt;&gt;0),(E283-(E283/E307))+F281,
IF(E307&lt;1,0,(E283-(E283/E307))))))</f>
        <v>0</v>
      </c>
      <c r="G283" s="1423">
        <f t="shared" ref="G283" ca="1" si="355">IF(AND(G281=0,F283=0),0,
IF(AND(G281&lt;&gt;0,F283=0),G281,
IF(AND(G282&lt;&gt;0,F283&lt;&gt;0),(F283-(F283/F307))+G281,
IF(F307&lt;1,0,(F283-(F283/F307))))))</f>
        <v>0</v>
      </c>
      <c r="H283" s="1423">
        <f ca="1">IF(AND(H281=0,G283=0),0,
IF(AND(H281&lt;&gt;0,G283=0),H281,
IF(AND(H282&lt;&gt;0,G283&lt;&gt;0),(G283-(G283/G307))+H281,
IF(G307&lt;1,0,(G283-(G283/G307))))))</f>
        <v>0</v>
      </c>
      <c r="I283" s="1423">
        <f t="shared" ref="I283" ca="1" si="356">IF(AND(I281=0,H283=0),0,
IF(AND(I281&lt;&gt;0,H283=0),I281,
IF(AND(I282&lt;&gt;0,H283&lt;&gt;0),(H283-(H283/H307))+I281,
IF(H307&lt;1,0,(H283-(H283/H307))))))</f>
        <v>0</v>
      </c>
      <c r="J283" s="1423">
        <f t="shared" ref="J283" ca="1" si="357">IF(AND(J281=0,I283=0),0,
IF(AND(J281&lt;&gt;0,I283=0),J281,
IF(AND(J282&lt;&gt;0,I283&lt;&gt;0),(I283-(I283/I307))+J281,
IF(I307&lt;1,0,(I283-(I283/I307))))))</f>
        <v>0</v>
      </c>
      <c r="K283" s="1423">
        <f t="shared" ref="K283" ca="1" si="358">IF(AND(K281=0,J283=0),0,
IF(AND(K281&lt;&gt;0,J283=0),K281,
IF(AND(K282&lt;&gt;0,J283&lt;&gt;0),(J283-(J283/J307))+K281,
IF(J307&lt;1,0,(J283-(J283/J307))))))</f>
        <v>0</v>
      </c>
      <c r="L283" s="1423">
        <f t="shared" ref="L283" ca="1" si="359">IF(AND(L281=0,K283=0),0,
IF(AND(L281&lt;&gt;0,K283=0),L281,
IF(AND(L282&lt;&gt;0,K283&lt;&gt;0),(K283-(K283/K307))+L281,
IF(K307&lt;1,0,(K283-(K283/K307))))))</f>
        <v>0</v>
      </c>
      <c r="M283" s="1423">
        <f t="shared" ref="M283" ca="1" si="360">IF(AND(M281=0,L283=0),0,
IF(AND(M281&lt;&gt;0,L283=0),M281,
IF(AND(M282&lt;&gt;0,L283&lt;&gt;0),(L283-(L283/L307))+M281,
IF(L307&lt;1,0,(L283-(L283/L307))))))</f>
        <v>0</v>
      </c>
      <c r="N283" s="1423">
        <f t="shared" ref="N283" ca="1" si="361">IF(AND(N281=0,M283=0),0,
IF(AND(N281&lt;&gt;0,M283=0),N281,
IF(AND(N282&lt;&gt;0,M283&lt;&gt;0),(M283-(M283/M307))+N281,
IF(M307&lt;1,0,(M283-(M283/M307))))))</f>
        <v>0</v>
      </c>
      <c r="O283" s="1423">
        <f t="shared" ref="O283" ca="1" si="362">IF(AND(O281=0,N283=0),0,
IF(AND(O281&lt;&gt;0,N283=0),O281,
IF(AND(O282&lt;&gt;0,N283&lt;&gt;0),(N283-(N283/N307))+O281,
IF(N307&lt;1,0,(N283-(N283/N307))))))</f>
        <v>0</v>
      </c>
      <c r="P283" s="1423">
        <f t="shared" ref="P283" ca="1" si="363">IF(AND(P281=0,O283=0),0,
IF(AND(P281&lt;&gt;0,O283=0),P281,
IF(AND(P282&lt;&gt;0,O283&lt;&gt;0),(O283-(O283/O307))+P281,
IF(O307&lt;1,0,(O283-(O283/O307))))))</f>
        <v>0</v>
      </c>
      <c r="Q283" s="1423">
        <f t="shared" ref="Q283" ca="1" si="364">IF(AND(Q281=0,P283=0),0,
IF(AND(Q281&lt;&gt;0,P283=0),Q281,
IF(AND(Q282&lt;&gt;0,P283&lt;&gt;0),(P283-(P283/P307))+Q281,
IF(P307&lt;1,0,(P283-(P283/P307))))))</f>
        <v>0</v>
      </c>
      <c r="R283" s="1423">
        <f t="shared" ref="R283" ca="1" si="365">IF(AND(R281=0,Q283=0),0,
IF(AND(R281&lt;&gt;0,Q283=0),R281,
IF(AND(R282&lt;&gt;0,Q283&lt;&gt;0),(Q283-(Q283/Q307))+R281,
IF(Q307&lt;1,0,(Q283-(Q283/Q307))))))</f>
        <v>0</v>
      </c>
      <c r="S283" s="1423">
        <f t="shared" ref="S283" ca="1" si="366">IF(AND(S281=0,R283=0),0,
IF(AND(S281&lt;&gt;0,R283=0),S281,
IF(AND(S282&lt;&gt;0,R283&lt;&gt;0),(R283-(R283/R307))+S281,
IF(R307&lt;1,0,(R283-(R283/R307))))))</f>
        <v>0</v>
      </c>
      <c r="T283" s="1423">
        <f t="shared" ref="T283" ca="1" si="367">IF(AND(T281=0,S283=0),0,
IF(AND(T281&lt;&gt;0,S283=0),T281,
IF(AND(T282&lt;&gt;0,S283&lt;&gt;0),(S283-(S283/S307))+T281,
IF(S307&lt;1,0,(S283-(S283/S307))))))</f>
        <v>0</v>
      </c>
      <c r="U283" s="1423">
        <f t="shared" ref="U283" ca="1" si="368">IF(AND(U281=0,T283=0),0,
IF(AND(U281&lt;&gt;0,T283=0),U281,
IF(AND(U282&lt;&gt;0,T283&lt;&gt;0),(T283-(T283/T307))+U281,
IF(T307&lt;1,0,(T283-(T283/T307))))))</f>
        <v>0</v>
      </c>
      <c r="V283" s="1423">
        <f t="shared" ref="V283" ca="1" si="369">IF(AND(V281=0,U283=0),0,
IF(AND(V281&lt;&gt;0,U283=0),V281,
IF(AND(V282&lt;&gt;0,U283&lt;&gt;0),(U283-(U283/U307))+V281,
IF(U307&lt;1,0,(U283-(U283/U307))))))</f>
        <v>0</v>
      </c>
      <c r="W283" s="1423">
        <f t="shared" ref="W283" ca="1" si="370">IF(AND(W281=0,V283=0),0,
IF(AND(W281&lt;&gt;0,V283=0),W281,
IF(AND(W282&lt;&gt;0,V283&lt;&gt;0),(V283-(V283/V307))+W281,
IF(V307&lt;1,0,(V283-(V283/V307))))))</f>
        <v>0</v>
      </c>
      <c r="X283" s="152"/>
      <c r="Y283" s="152"/>
      <c r="Z283" s="152"/>
      <c r="AA283" s="152"/>
      <c r="AB283" s="152"/>
    </row>
    <row r="284" spans="1:28" hidden="1" outlineLevel="1">
      <c r="A284" s="199">
        <f>A283+1</f>
        <v>0</v>
      </c>
      <c r="B284" s="190" t="s">
        <v>527</v>
      </c>
      <c r="C284" s="1423">
        <f ca="1">C279</f>
        <v>7.835480637984821</v>
      </c>
      <c r="D284" s="1423">
        <f ca="1">IF(C308="n/a",C284,IFERROR(IF((OFFSET($C284,0,$A284))&lt;0,
MIN(0,C284-(OFFSET($C284,0,$A284)/(OFFSET($C279,-$A283,$A284)))),
MAX(0,C284-(OFFSET($C284,0,$A284)/(OFFSET($C279,-$A283,$A284))))),0))</f>
        <v>7.376138593844809</v>
      </c>
      <c r="E284" s="1423">
        <f t="shared" ref="E284" ca="1" si="371">IF(D308="n/a",D284,IFERROR(IF((OFFSET($C284,0,$A284))&lt;0,
MIN(0,D284-(OFFSET($C284,0,$A284)/(OFFSET($C279,-$A283,$A284)))),
MAX(0,D284-(OFFSET($C284,0,$A284)/(OFFSET($C279,-$A283,$A284))))),0))</f>
        <v>6.916796549704797</v>
      </c>
      <c r="F284" s="1423">
        <f t="shared" ref="F284:F285" ca="1" si="372">IF(E308="n/a",E284,IFERROR(IF((OFFSET($C284,0,$A284))&lt;0,
MIN(0,E284-(OFFSET($C284,0,$A284)/(OFFSET($C279,-$A283,$A284)))),
MAX(0,E284-(OFFSET($C284,0,$A284)/(OFFSET($C279,-$A283,$A284))))),0))</f>
        <v>6.457454505564785</v>
      </c>
      <c r="G284" s="1423">
        <f t="shared" ref="G284:G286" ca="1" si="373">IF(F308="n/a",F284,IFERROR(IF((OFFSET($C284,0,$A284))&lt;0,
MIN(0,F284-(OFFSET($C284,0,$A284)/(OFFSET($C279,-$A283,$A284)))),
MAX(0,F284-(OFFSET($C284,0,$A284)/(OFFSET($C279,-$A283,$A284))))),0))</f>
        <v>5.9981124614247729</v>
      </c>
      <c r="H284" s="1423">
        <f t="shared" ref="H284:H287" ca="1" si="374">IF(G308="n/a",G284,IFERROR(IF((OFFSET($C284,0,$A284))&lt;0,
MIN(0,G284-(OFFSET($C284,0,$A284)/(OFFSET($C279,-$A283,$A284)))),
MAX(0,G284-(OFFSET($C284,0,$A284)/(OFFSET($C279,-$A283,$A284))))),0))</f>
        <v>5.5387704172847609</v>
      </c>
      <c r="I284" s="1423">
        <f t="shared" ref="I284:I288" ca="1" si="375">IF(H308="n/a",H284,IFERROR(IF((OFFSET($C284,0,$A284))&lt;0,
MIN(0,H284-(OFFSET($C284,0,$A284)/(OFFSET($C279,-$A283,$A284)))),
MAX(0,H284-(OFFSET($C284,0,$A284)/(OFFSET($C279,-$A283,$A284))))),0))</f>
        <v>5.0794283731447489</v>
      </c>
      <c r="J284" s="1423">
        <f t="shared" ref="J284:J289" ca="1" si="376">IF(I308="n/a",I284,IFERROR(IF((OFFSET($C284,0,$A284))&lt;0,
MIN(0,I284-(OFFSET($C284,0,$A284)/(OFFSET($C279,-$A283,$A284)))),
MAX(0,I284-(OFFSET($C284,0,$A284)/(OFFSET($C279,-$A283,$A284))))),0))</f>
        <v>4.6200863290047369</v>
      </c>
      <c r="K284" s="1423">
        <f t="shared" ref="K284:K290" ca="1" si="377">IF(J308="n/a",J284,IFERROR(IF((OFFSET($C284,0,$A284))&lt;0,
MIN(0,J284-(OFFSET($C284,0,$A284)/(OFFSET($C279,-$A283,$A284)))),
MAX(0,J284-(OFFSET($C284,0,$A284)/(OFFSET($C279,-$A283,$A284))))),0))</f>
        <v>4.1607442848647249</v>
      </c>
      <c r="L284" s="1423">
        <f t="shared" ref="L284:L291" ca="1" si="378">IF(K308="n/a",K284,IFERROR(IF((OFFSET($C284,0,$A284))&lt;0,
MIN(0,K284-(OFFSET($C284,0,$A284)/(OFFSET($C279,-$A283,$A284)))),
MAX(0,K284-(OFFSET($C284,0,$A284)/(OFFSET($C279,-$A283,$A284))))),0))</f>
        <v>3.7014022407247125</v>
      </c>
      <c r="M284" s="1423">
        <f t="shared" ref="M284:M292" ca="1" si="379">IF(L308="n/a",L284,IFERROR(IF((OFFSET($C284,0,$A284))&lt;0,
MIN(0,L284-(OFFSET($C284,0,$A284)/(OFFSET($C279,-$A283,$A284)))),
MAX(0,L284-(OFFSET($C284,0,$A284)/(OFFSET($C279,-$A283,$A284))))),0))</f>
        <v>3.2420601965847</v>
      </c>
      <c r="N284" s="1423">
        <f t="shared" ref="N284:N293" ca="1" si="380">IF(M308="n/a",M284,IFERROR(IF((OFFSET($C284,0,$A284))&lt;0,
MIN(0,M284-(OFFSET($C284,0,$A284)/(OFFSET($C279,-$A283,$A284)))),
MAX(0,M284-(OFFSET($C284,0,$A284)/(OFFSET($C279,-$A283,$A284))))),0))</f>
        <v>2.7827181524446876</v>
      </c>
      <c r="O284" s="1423">
        <f t="shared" ref="O284:O294" ca="1" si="381">IF(N308="n/a",N284,IFERROR(IF((OFFSET($C284,0,$A284))&lt;0,
MIN(0,N284-(OFFSET($C284,0,$A284)/(OFFSET($C279,-$A283,$A284)))),
MAX(0,N284-(OFFSET($C284,0,$A284)/(OFFSET($C279,-$A283,$A284))))),0))</f>
        <v>2.3233761083046751</v>
      </c>
      <c r="P284" s="1423">
        <f t="shared" ref="P284:P295" ca="1" si="382">IF(O308="n/a",O284,IFERROR(IF((OFFSET($C284,0,$A284))&lt;0,
MIN(0,O284-(OFFSET($C284,0,$A284)/(OFFSET($C279,-$A283,$A284)))),
MAX(0,O284-(OFFSET($C284,0,$A284)/(OFFSET($C279,-$A283,$A284))))),0))</f>
        <v>1.8640340641646627</v>
      </c>
      <c r="Q284" s="1423">
        <f t="shared" ref="Q284:Q296" ca="1" si="383">IF(P308="n/a",P284,IFERROR(IF((OFFSET($C284,0,$A284))&lt;0,
MIN(0,P284-(OFFSET($C284,0,$A284)/(OFFSET($C279,-$A283,$A284)))),
MAX(0,P284-(OFFSET($C284,0,$A284)/(OFFSET($C279,-$A283,$A284))))),0))</f>
        <v>1.4046920200246502</v>
      </c>
      <c r="R284" s="1423">
        <f t="shared" ref="R284:R297" ca="1" si="384">IF(Q308="n/a",Q284,IFERROR(IF((OFFSET($C284,0,$A284))&lt;0,
MIN(0,Q284-(OFFSET($C284,0,$A284)/(OFFSET($C279,-$A283,$A284)))),
MAX(0,Q284-(OFFSET($C284,0,$A284)/(OFFSET($C279,-$A283,$A284))))),0))</f>
        <v>0.94534997588463776</v>
      </c>
      <c r="S284" s="1423">
        <f t="shared" ref="S284:S298" ca="1" si="385">IF(R308="n/a",R284,IFERROR(IF((OFFSET($C284,0,$A284))&lt;0,
MIN(0,R284-(OFFSET($C284,0,$A284)/(OFFSET($C279,-$A283,$A284)))),
MAX(0,R284-(OFFSET($C284,0,$A284)/(OFFSET($C279,-$A283,$A284))))),0))</f>
        <v>0.48600793174462531</v>
      </c>
      <c r="T284" s="1423">
        <f t="shared" ref="T284:T299" ca="1" si="386">IF(S308="n/a",S284,IFERROR(IF((OFFSET($C284,0,$A284))&lt;0,
MIN(0,S284-(OFFSET($C284,0,$A284)/(OFFSET($C279,-$A283,$A284)))),
MAX(0,S284-(OFFSET($C284,0,$A284)/(OFFSET($C279,-$A283,$A284))))),0))</f>
        <v>2.6665887604612859E-2</v>
      </c>
      <c r="U284" s="1423">
        <f t="shared" ref="U284:U300" ca="1" si="387">IF(T308="n/a",T284,IFERROR(IF((OFFSET($C284,0,$A284))&lt;0,
MIN(0,T284-(OFFSET($C284,0,$A284)/(OFFSET($C279,-$A283,$A284)))),
MAX(0,T284-(OFFSET($C284,0,$A284)/(OFFSET($C279,-$A283,$A284))))),0))</f>
        <v>0</v>
      </c>
      <c r="V284" s="1423">
        <f t="shared" ref="V284:V301" ca="1" si="388">IF(U308="n/a",U284,IFERROR(IF((OFFSET($C284,0,$A284))&lt;0,
MIN(0,U284-(OFFSET($C284,0,$A284)/(OFFSET($C279,-$A283,$A284)))),
MAX(0,U284-(OFFSET($C284,0,$A284)/(OFFSET($C279,-$A283,$A284))))),0))</f>
        <v>0</v>
      </c>
      <c r="W284" s="1423">
        <f t="shared" ref="W284:W302" ca="1" si="389">IF(V308="n/a",V284,IFERROR(IF((OFFSET($C284,0,$A284))&lt;0,
MIN(0,V284-(OFFSET($C284,0,$A284)/(OFFSET($C279,-$A283,$A284)))),
MAX(0,V284-(OFFSET($C284,0,$A284)/(OFFSET($C279,-$A283,$A284))))),0))</f>
        <v>0</v>
      </c>
      <c r="X284" s="152"/>
      <c r="Y284" s="152"/>
      <c r="Z284" s="152"/>
      <c r="AA284" s="152"/>
      <c r="AB284" s="152"/>
    </row>
    <row r="285" spans="1:28" hidden="1" outlineLevel="1">
      <c r="A285" s="199">
        <f t="shared" ref="A285:A304" si="390">A284+1</f>
        <v>1</v>
      </c>
      <c r="B285" s="190" t="str">
        <f t="shared" ref="B285:B304" ca="1" si="391">"Depreciated Net Capex "&amp;OFFSET($C$6,0,A285)</f>
        <v>Depreciated Net Capex 2016-17</v>
      </c>
      <c r="C285" s="1424"/>
      <c r="D285" s="1425">
        <f>D279</f>
        <v>1.0590765327880023</v>
      </c>
      <c r="E285" s="1423">
        <f ca="1">IF(D309="n/a",D285,IFERROR(IF((OFFSET($C285,0,$A285))&lt;0,
MIN(0,D285-(OFFSET($C285,0,$A285)/(OFFSET($C280,-$A284,$A285)))),
MAX(0,D285-(OFFSET($C285,0,$A285)/(OFFSET($C280,-$A284,$A285))))),0))</f>
        <v>1.0061227061486022</v>
      </c>
      <c r="F285" s="1423">
        <f t="shared" ca="1" si="372"/>
        <v>0.95316887950920215</v>
      </c>
      <c r="G285" s="1423">
        <f t="shared" ca="1" si="373"/>
        <v>0.90021505286980208</v>
      </c>
      <c r="H285" s="1423">
        <f t="shared" ca="1" si="374"/>
        <v>0.84726122623040201</v>
      </c>
      <c r="I285" s="1423">
        <f t="shared" ca="1" si="375"/>
        <v>0.79430739959100194</v>
      </c>
      <c r="J285" s="1423">
        <f t="shared" ca="1" si="376"/>
        <v>0.74135357295160187</v>
      </c>
      <c r="K285" s="1423">
        <f t="shared" ca="1" si="377"/>
        <v>0.6883997463122018</v>
      </c>
      <c r="L285" s="1423">
        <f t="shared" ca="1" si="378"/>
        <v>0.63544591967280173</v>
      </c>
      <c r="M285" s="1423">
        <f t="shared" ca="1" si="379"/>
        <v>0.58249209303340166</v>
      </c>
      <c r="N285" s="1423">
        <f t="shared" ca="1" si="380"/>
        <v>0.52953826639400159</v>
      </c>
      <c r="O285" s="1423">
        <f t="shared" ca="1" si="381"/>
        <v>0.47658443975460146</v>
      </c>
      <c r="P285" s="1423">
        <f t="shared" ca="1" si="382"/>
        <v>0.42363061311520134</v>
      </c>
      <c r="Q285" s="1423">
        <f t="shared" ca="1" si="383"/>
        <v>0.37067678647580121</v>
      </c>
      <c r="R285" s="1423">
        <f t="shared" ca="1" si="384"/>
        <v>0.31772295983640109</v>
      </c>
      <c r="S285" s="1423">
        <f t="shared" ca="1" si="385"/>
        <v>0.26476913319700096</v>
      </c>
      <c r="T285" s="1423">
        <f t="shared" ca="1" si="386"/>
        <v>0.21181530655760084</v>
      </c>
      <c r="U285" s="1423">
        <f t="shared" ca="1" si="387"/>
        <v>0.15886147991820071</v>
      </c>
      <c r="V285" s="1423">
        <f t="shared" ca="1" si="388"/>
        <v>0.1059076532788006</v>
      </c>
      <c r="W285" s="1423">
        <f t="shared" ca="1" si="389"/>
        <v>5.2953826639400486E-2</v>
      </c>
      <c r="X285" s="152"/>
      <c r="Y285" s="152"/>
      <c r="Z285" s="152"/>
      <c r="AA285" s="152"/>
      <c r="AB285" s="152"/>
    </row>
    <row r="286" spans="1:28" hidden="1" outlineLevel="1">
      <c r="A286" s="199">
        <f t="shared" si="390"/>
        <v>2</v>
      </c>
      <c r="B286" s="190" t="str">
        <f t="shared" ca="1" si="391"/>
        <v>Depreciated Net Capex 2017-18</v>
      </c>
      <c r="C286" s="1426"/>
      <c r="D286" s="1427"/>
      <c r="E286" s="1425">
        <f>E279</f>
        <v>0.48068886631569696</v>
      </c>
      <c r="F286" s="1423">
        <f ca="1">IF(E310="n/a",E286,IFERROR(IF((OFFSET($C286,0,$A286))&lt;0,
MIN(0,E286-(OFFSET($C286,0,$A286)/(OFFSET($C281,-$A285,$A286)))),
MAX(0,E286-(OFFSET($C286,0,$A286)/(OFFSET($C281,-$A285,$A286))))),0))</f>
        <v>0.4566544229999121</v>
      </c>
      <c r="G286" s="1423">
        <f t="shared" ca="1" si="373"/>
        <v>0.43261997968412724</v>
      </c>
      <c r="H286" s="1423">
        <f t="shared" ca="1" si="374"/>
        <v>0.40858553636834238</v>
      </c>
      <c r="I286" s="1423">
        <f t="shared" ca="1" si="375"/>
        <v>0.38455109305255752</v>
      </c>
      <c r="J286" s="1423">
        <f t="shared" ca="1" si="376"/>
        <v>0.36051664973677267</v>
      </c>
      <c r="K286" s="1423">
        <f t="shared" ca="1" si="377"/>
        <v>0.33648220642098781</v>
      </c>
      <c r="L286" s="1423">
        <f t="shared" ca="1" si="378"/>
        <v>0.31244776310520295</v>
      </c>
      <c r="M286" s="1423">
        <f t="shared" ca="1" si="379"/>
        <v>0.28841331978941809</v>
      </c>
      <c r="N286" s="1423">
        <f t="shared" ca="1" si="380"/>
        <v>0.26437887647363323</v>
      </c>
      <c r="O286" s="1423">
        <f t="shared" ca="1" si="381"/>
        <v>0.24034443315784837</v>
      </c>
      <c r="P286" s="1423">
        <f t="shared" ca="1" si="382"/>
        <v>0.21630998984206351</v>
      </c>
      <c r="Q286" s="1423">
        <f t="shared" ca="1" si="383"/>
        <v>0.19227554652627865</v>
      </c>
      <c r="R286" s="1423">
        <f t="shared" ca="1" si="384"/>
        <v>0.16824110321049379</v>
      </c>
      <c r="S286" s="1423">
        <f t="shared" ca="1" si="385"/>
        <v>0.14420665989470893</v>
      </c>
      <c r="T286" s="1423">
        <f t="shared" ca="1" si="386"/>
        <v>0.12017221657892409</v>
      </c>
      <c r="U286" s="1423">
        <f t="shared" ca="1" si="387"/>
        <v>9.6137773263139242E-2</v>
      </c>
      <c r="V286" s="1423">
        <f t="shared" ca="1" si="388"/>
        <v>7.2103329947354397E-2</v>
      </c>
      <c r="W286" s="1423">
        <f t="shared" ca="1" si="389"/>
        <v>4.8068886631569552E-2</v>
      </c>
      <c r="X286" s="202"/>
      <c r="Y286" s="152"/>
      <c r="Z286" s="152"/>
      <c r="AA286" s="152"/>
      <c r="AB286" s="152"/>
    </row>
    <row r="287" spans="1:28" hidden="1" outlineLevel="1">
      <c r="A287" s="199">
        <f t="shared" si="390"/>
        <v>3</v>
      </c>
      <c r="B287" s="190" t="str">
        <f t="shared" ca="1" si="391"/>
        <v>Depreciated Net Capex 2018-19</v>
      </c>
      <c r="C287" s="1426"/>
      <c r="D287" s="1426"/>
      <c r="E287" s="1427"/>
      <c r="F287" s="1428">
        <f>F279</f>
        <v>0.76123687370543058</v>
      </c>
      <c r="G287" s="1423">
        <f ca="1">IF(F311="n/a",F287,IFERROR(IF((OFFSET($C287,0,$A287))&lt;0,
MIN(0,F287-(OFFSET($C287,0,$A287)/(OFFSET($C282,-$A286,$A287)))),
MAX(0,F287-(OFFSET($C287,0,$A287)/(OFFSET($C282,-$A286,$A287))))),0))</f>
        <v>0.72317503002015904</v>
      </c>
      <c r="H287" s="1423">
        <f t="shared" ca="1" si="374"/>
        <v>0.68511318633488749</v>
      </c>
      <c r="I287" s="1423">
        <f t="shared" ca="1" si="375"/>
        <v>0.64705134264961595</v>
      </c>
      <c r="J287" s="1423">
        <f t="shared" ca="1" si="376"/>
        <v>0.6089894989643444</v>
      </c>
      <c r="K287" s="1423">
        <f t="shared" ca="1" si="377"/>
        <v>0.57092765527907285</v>
      </c>
      <c r="L287" s="1423">
        <f t="shared" ca="1" si="378"/>
        <v>0.53286581159380131</v>
      </c>
      <c r="M287" s="1423">
        <f t="shared" ca="1" si="379"/>
        <v>0.49480396790852976</v>
      </c>
      <c r="N287" s="1423">
        <f t="shared" ca="1" si="380"/>
        <v>0.45674212422325822</v>
      </c>
      <c r="O287" s="1423">
        <f t="shared" ca="1" si="381"/>
        <v>0.41868028053798667</v>
      </c>
      <c r="P287" s="1423">
        <f t="shared" ca="1" si="382"/>
        <v>0.38061843685271513</v>
      </c>
      <c r="Q287" s="1423">
        <f t="shared" ca="1" si="383"/>
        <v>0.34255659316744358</v>
      </c>
      <c r="R287" s="1423">
        <f t="shared" ca="1" si="384"/>
        <v>0.30449474948217203</v>
      </c>
      <c r="S287" s="1423">
        <f t="shared" ca="1" si="385"/>
        <v>0.26643290579690049</v>
      </c>
      <c r="T287" s="1423">
        <f t="shared" ca="1" si="386"/>
        <v>0.22837106211162894</v>
      </c>
      <c r="U287" s="1423">
        <f t="shared" ca="1" si="387"/>
        <v>0.1903092184263574</v>
      </c>
      <c r="V287" s="1423">
        <f t="shared" ca="1" si="388"/>
        <v>0.15224737474108585</v>
      </c>
      <c r="W287" s="1423">
        <f t="shared" ca="1" si="389"/>
        <v>0.11418553105581432</v>
      </c>
      <c r="X287" s="202"/>
      <c r="Y287" s="202"/>
      <c r="Z287" s="152"/>
      <c r="AA287" s="152"/>
      <c r="AB287" s="152"/>
    </row>
    <row r="288" spans="1:28" hidden="1" outlineLevel="1">
      <c r="A288" s="199">
        <f t="shared" si="390"/>
        <v>4</v>
      </c>
      <c r="B288" s="190" t="str">
        <f t="shared" ca="1" si="391"/>
        <v>Depreciated Net Capex 2019-20</v>
      </c>
      <c r="C288" s="1426"/>
      <c r="D288" s="1426"/>
      <c r="E288" s="1426"/>
      <c r="F288" s="1427"/>
      <c r="G288" s="1428">
        <f>G279</f>
        <v>1.7733186749445713</v>
      </c>
      <c r="H288" s="1423">
        <f ca="1">IF(G312="n/a",G288,IFERROR(IF((OFFSET($C288,0,$A288))&lt;0,
MIN(0,G288-(OFFSET($C288,0,$A288)/(OFFSET($C283,-$A287,$A288)))),
MAX(0,G288-(OFFSET($C288,0,$A288)/(OFFSET($C283,-$A287,$A288))))),0))</f>
        <v>1.6846527411973427</v>
      </c>
      <c r="I288" s="1423">
        <f t="shared" ca="1" si="375"/>
        <v>1.595986807450114</v>
      </c>
      <c r="J288" s="1423">
        <f t="shared" ca="1" si="376"/>
        <v>1.5073208737028854</v>
      </c>
      <c r="K288" s="1423">
        <f t="shared" ca="1" si="377"/>
        <v>1.4186549399556567</v>
      </c>
      <c r="L288" s="1423">
        <f t="shared" ca="1" si="378"/>
        <v>1.3299890062084281</v>
      </c>
      <c r="M288" s="1423">
        <f t="shared" ca="1" si="379"/>
        <v>1.2413230724611994</v>
      </c>
      <c r="N288" s="1423">
        <f t="shared" ca="1" si="380"/>
        <v>1.1526571387139708</v>
      </c>
      <c r="O288" s="1423">
        <f t="shared" ca="1" si="381"/>
        <v>1.0639912049667422</v>
      </c>
      <c r="P288" s="1423">
        <f t="shared" ca="1" si="382"/>
        <v>0.97532527121951362</v>
      </c>
      <c r="Q288" s="1423">
        <f t="shared" ca="1" si="383"/>
        <v>0.88665933747228509</v>
      </c>
      <c r="R288" s="1423">
        <f t="shared" ca="1" si="384"/>
        <v>0.79799340372505656</v>
      </c>
      <c r="S288" s="1423">
        <f t="shared" ca="1" si="385"/>
        <v>0.70932746997782803</v>
      </c>
      <c r="T288" s="1423">
        <f t="shared" ca="1" si="386"/>
        <v>0.6206615362305995</v>
      </c>
      <c r="U288" s="1423">
        <f t="shared" ca="1" si="387"/>
        <v>0.53199560248337097</v>
      </c>
      <c r="V288" s="1423">
        <f t="shared" ca="1" si="388"/>
        <v>0.44332966873614243</v>
      </c>
      <c r="W288" s="1423">
        <f t="shared" ca="1" si="389"/>
        <v>0.3546637349889139</v>
      </c>
      <c r="X288" s="202"/>
      <c r="Y288" s="202"/>
      <c r="Z288" s="202"/>
      <c r="AA288" s="152"/>
      <c r="AB288" s="152"/>
    </row>
    <row r="289" spans="1:28" hidden="1" outlineLevel="1">
      <c r="A289" s="199">
        <f t="shared" si="390"/>
        <v>5</v>
      </c>
      <c r="B289" s="190" t="str">
        <f t="shared" ca="1" si="391"/>
        <v>Depreciated Net Capex 2020-21</v>
      </c>
      <c r="C289" s="1426"/>
      <c r="D289" s="1426"/>
      <c r="E289" s="1426"/>
      <c r="F289" s="1426"/>
      <c r="G289" s="1427"/>
      <c r="H289" s="1428">
        <f>H279</f>
        <v>0.90826443592892436</v>
      </c>
      <c r="I289" s="1423">
        <f ca="1">IF(H313="n/a",H289,IFERROR(IF((OFFSET($C289,0,$A289))&lt;0,
MIN(0,H289-(OFFSET($C289,0,$A289)/(OFFSET($C284,-$A288,$A289)))),
MAX(0,H289-(OFFSET($C289,0,$A289)/(OFFSET($C284,-$A288,$A289))))),0))</f>
        <v>0.86285121413247812</v>
      </c>
      <c r="J289" s="1423">
        <f t="shared" ca="1" si="376"/>
        <v>0.81743799233603187</v>
      </c>
      <c r="K289" s="1423">
        <f t="shared" ca="1" si="377"/>
        <v>0.77202477053958563</v>
      </c>
      <c r="L289" s="1423">
        <f t="shared" ca="1" si="378"/>
        <v>0.72661154874313938</v>
      </c>
      <c r="M289" s="1423">
        <f t="shared" ca="1" si="379"/>
        <v>0.68119832694669313</v>
      </c>
      <c r="N289" s="1423">
        <f t="shared" ca="1" si="380"/>
        <v>0.63578510515024689</v>
      </c>
      <c r="O289" s="1423">
        <f t="shared" ca="1" si="381"/>
        <v>0.59037188335380064</v>
      </c>
      <c r="P289" s="1423">
        <f t="shared" ca="1" si="382"/>
        <v>0.5449586615573544</v>
      </c>
      <c r="Q289" s="1423">
        <f t="shared" ca="1" si="383"/>
        <v>0.49954543976090815</v>
      </c>
      <c r="R289" s="1423">
        <f t="shared" ca="1" si="384"/>
        <v>0.4541322179644619</v>
      </c>
      <c r="S289" s="1423">
        <f t="shared" ca="1" si="385"/>
        <v>0.40871899616801566</v>
      </c>
      <c r="T289" s="1423">
        <f t="shared" ca="1" si="386"/>
        <v>0.36330577437156941</v>
      </c>
      <c r="U289" s="1423">
        <f t="shared" ca="1" si="387"/>
        <v>0.31789255257512317</v>
      </c>
      <c r="V289" s="1423">
        <f t="shared" ca="1" si="388"/>
        <v>0.27247933077867692</v>
      </c>
      <c r="W289" s="1423">
        <f t="shared" ca="1" si="389"/>
        <v>0.2270661089822307</v>
      </c>
      <c r="X289" s="202"/>
      <c r="Y289" s="202"/>
      <c r="Z289" s="202"/>
      <c r="AA289" s="152"/>
      <c r="AB289" s="152"/>
    </row>
    <row r="290" spans="1:28" hidden="1" outlineLevel="1">
      <c r="A290" s="199">
        <f t="shared" si="390"/>
        <v>6</v>
      </c>
      <c r="B290" s="190" t="str">
        <f t="shared" ca="1" si="391"/>
        <v>Depreciated Net Capex 2021-22</v>
      </c>
      <c r="C290" s="1426"/>
      <c r="D290" s="1426"/>
      <c r="E290" s="1426"/>
      <c r="F290" s="1426"/>
      <c r="G290" s="1426"/>
      <c r="H290" s="1427"/>
      <c r="I290" s="1428">
        <f>I279</f>
        <v>0.91752900100868973</v>
      </c>
      <c r="J290" s="1423">
        <f ca="1">IF(I314="n/a",I290,IFERROR(IF((OFFSET($C290,0,$A290))&lt;0,
MIN(0,I290-(OFFSET($C290,0,$A290)/(OFFSET($C285,-$A289,$A290)))),
MAX(0,I290-(OFFSET($C290,0,$A290)/(OFFSET($C285,-$A289,$A290))))),0))</f>
        <v>0.87165255095825522</v>
      </c>
      <c r="K290" s="1423">
        <f t="shared" ca="1" si="377"/>
        <v>0.82577610090782072</v>
      </c>
      <c r="L290" s="1423">
        <f t="shared" ca="1" si="378"/>
        <v>0.77989965085738622</v>
      </c>
      <c r="M290" s="1423">
        <f t="shared" ca="1" si="379"/>
        <v>0.73402320080695171</v>
      </c>
      <c r="N290" s="1423">
        <f t="shared" ca="1" si="380"/>
        <v>0.68814675075651721</v>
      </c>
      <c r="O290" s="1423">
        <f t="shared" ca="1" si="381"/>
        <v>0.64227030070608271</v>
      </c>
      <c r="P290" s="1423">
        <f t="shared" ca="1" si="382"/>
        <v>0.59639385065564821</v>
      </c>
      <c r="Q290" s="1423">
        <f t="shared" ca="1" si="383"/>
        <v>0.5505174006052137</v>
      </c>
      <c r="R290" s="1423">
        <f t="shared" ca="1" si="384"/>
        <v>0.5046409505547792</v>
      </c>
      <c r="S290" s="1423">
        <f t="shared" ca="1" si="385"/>
        <v>0.4587645005043447</v>
      </c>
      <c r="T290" s="1423">
        <f t="shared" ca="1" si="386"/>
        <v>0.41288805045391019</v>
      </c>
      <c r="U290" s="1423">
        <f t="shared" ca="1" si="387"/>
        <v>0.36701160040347569</v>
      </c>
      <c r="V290" s="1423">
        <f t="shared" ca="1" si="388"/>
        <v>0.32113515035304119</v>
      </c>
      <c r="W290" s="1423">
        <f t="shared" ca="1" si="389"/>
        <v>0.27525870030260668</v>
      </c>
      <c r="X290" s="202"/>
      <c r="Y290" s="202"/>
      <c r="Z290" s="202"/>
      <c r="AA290" s="152"/>
      <c r="AB290" s="152"/>
    </row>
    <row r="291" spans="1:28" hidden="1" outlineLevel="1">
      <c r="A291" s="199">
        <f t="shared" si="390"/>
        <v>7</v>
      </c>
      <c r="B291" s="190" t="str">
        <f t="shared" ca="1" si="391"/>
        <v>Depreciated Net Capex 2022-23</v>
      </c>
      <c r="C291" s="1426"/>
      <c r="D291" s="1426"/>
      <c r="E291" s="1426"/>
      <c r="F291" s="1426"/>
      <c r="G291" s="1426"/>
      <c r="H291" s="1426"/>
      <c r="I291" s="1427"/>
      <c r="J291" s="1428">
        <f>J279</f>
        <v>0.8769303290075372</v>
      </c>
      <c r="K291" s="1423">
        <f ca="1">IF(J315="n/a",J291,IFERROR(IF((OFFSET($C291,0,$A291))&lt;0,
MIN(0,J291-(OFFSET($C291,0,$A291)/(OFFSET($C286,-$A290,$A291)))),
MAX(0,J291-(OFFSET($C291,0,$A291)/(OFFSET($C286,-$A290,$A291))))),0))</f>
        <v>0.83308381255716035</v>
      </c>
      <c r="L291" s="1423">
        <f t="shared" ca="1" si="378"/>
        <v>0.7892372961067835</v>
      </c>
      <c r="M291" s="1423">
        <f t="shared" ca="1" si="379"/>
        <v>0.74539077965640665</v>
      </c>
      <c r="N291" s="1423">
        <f t="shared" ca="1" si="380"/>
        <v>0.70154426320602981</v>
      </c>
      <c r="O291" s="1423">
        <f t="shared" ca="1" si="381"/>
        <v>0.65769774675565296</v>
      </c>
      <c r="P291" s="1423">
        <f t="shared" ca="1" si="382"/>
        <v>0.61385123030527611</v>
      </c>
      <c r="Q291" s="1423">
        <f t="shared" ca="1" si="383"/>
        <v>0.57000471385489926</v>
      </c>
      <c r="R291" s="1423">
        <f t="shared" ca="1" si="384"/>
        <v>0.52615819740452241</v>
      </c>
      <c r="S291" s="1423">
        <f t="shared" ca="1" si="385"/>
        <v>0.48231168095414556</v>
      </c>
      <c r="T291" s="1423">
        <f t="shared" ca="1" si="386"/>
        <v>0.43846516450376871</v>
      </c>
      <c r="U291" s="1423">
        <f t="shared" ca="1" si="387"/>
        <v>0.39461864805339186</v>
      </c>
      <c r="V291" s="1423">
        <f t="shared" ca="1" si="388"/>
        <v>0.35077213160301501</v>
      </c>
      <c r="W291" s="1423">
        <f t="shared" ca="1" si="389"/>
        <v>0.30692561515263816</v>
      </c>
      <c r="X291" s="202"/>
      <c r="Y291" s="202"/>
      <c r="Z291" s="202"/>
      <c r="AA291" s="152"/>
      <c r="AB291" s="152"/>
    </row>
    <row r="292" spans="1:28" hidden="1" outlineLevel="1">
      <c r="A292" s="199">
        <f t="shared" si="390"/>
        <v>8</v>
      </c>
      <c r="B292" s="190" t="str">
        <f t="shared" ca="1" si="391"/>
        <v>Depreciated Net Capex 2023-24</v>
      </c>
      <c r="C292" s="1426"/>
      <c r="D292" s="1426"/>
      <c r="E292" s="1426"/>
      <c r="F292" s="1426"/>
      <c r="G292" s="1426"/>
      <c r="H292" s="1426"/>
      <c r="I292" s="1426"/>
      <c r="J292" s="1427"/>
      <c r="K292" s="1428">
        <f>K279</f>
        <v>0</v>
      </c>
      <c r="L292" s="1423">
        <f ca="1">IF(K316="n/a",K292,IFERROR(IF((OFFSET($C292,0,$A292))&lt;0,
MIN(0,K292-(OFFSET($C292,0,$A292)/(OFFSET($C287,-$A291,$A292)))),
MAX(0,K292-(OFFSET($C292,0,$A292)/(OFFSET($C287,-$A291,$A292))))),0))</f>
        <v>0</v>
      </c>
      <c r="M292" s="1423">
        <f t="shared" ca="1" si="379"/>
        <v>0</v>
      </c>
      <c r="N292" s="1423">
        <f t="shared" ca="1" si="380"/>
        <v>0</v>
      </c>
      <c r="O292" s="1423">
        <f t="shared" ca="1" si="381"/>
        <v>0</v>
      </c>
      <c r="P292" s="1423">
        <f t="shared" ca="1" si="382"/>
        <v>0</v>
      </c>
      <c r="Q292" s="1423">
        <f t="shared" ca="1" si="383"/>
        <v>0</v>
      </c>
      <c r="R292" s="1423">
        <f t="shared" ca="1" si="384"/>
        <v>0</v>
      </c>
      <c r="S292" s="1423">
        <f t="shared" ca="1" si="385"/>
        <v>0</v>
      </c>
      <c r="T292" s="1423">
        <f t="shared" ca="1" si="386"/>
        <v>0</v>
      </c>
      <c r="U292" s="1423">
        <f t="shared" ca="1" si="387"/>
        <v>0</v>
      </c>
      <c r="V292" s="1423">
        <f t="shared" ca="1" si="388"/>
        <v>0</v>
      </c>
      <c r="W292" s="1423">
        <f t="shared" ca="1" si="389"/>
        <v>0</v>
      </c>
      <c r="X292" s="202"/>
      <c r="Y292" s="202"/>
      <c r="Z292" s="202"/>
      <c r="AA292" s="152"/>
      <c r="AB292" s="152"/>
    </row>
    <row r="293" spans="1:28" hidden="1" outlineLevel="1">
      <c r="A293" s="199">
        <f t="shared" si="390"/>
        <v>9</v>
      </c>
      <c r="B293" s="190" t="str">
        <f t="shared" ca="1" si="391"/>
        <v>Depreciated Net Capex 2024-25</v>
      </c>
      <c r="C293" s="1426"/>
      <c r="D293" s="1426"/>
      <c r="E293" s="1426"/>
      <c r="F293" s="1426"/>
      <c r="G293" s="1426"/>
      <c r="H293" s="1426"/>
      <c r="I293" s="1426"/>
      <c r="J293" s="1426"/>
      <c r="K293" s="1427"/>
      <c r="L293" s="1428">
        <f>L279</f>
        <v>0</v>
      </c>
      <c r="M293" s="1423">
        <f ca="1">IF(L317="n/a",L293,IFERROR(IF((OFFSET($C293,0,$A293))&lt;0,
MIN(0,L293-(OFFSET($C293,0,$A293)/(OFFSET($C288,-$A292,$A293)))),
MAX(0,L293-(OFFSET($C293,0,$A293)/(OFFSET($C288,-$A292,$A293))))),0))</f>
        <v>0</v>
      </c>
      <c r="N293" s="1423">
        <f t="shared" ca="1" si="380"/>
        <v>0</v>
      </c>
      <c r="O293" s="1423">
        <f t="shared" ca="1" si="381"/>
        <v>0</v>
      </c>
      <c r="P293" s="1423">
        <f t="shared" ca="1" si="382"/>
        <v>0</v>
      </c>
      <c r="Q293" s="1423">
        <f t="shared" ca="1" si="383"/>
        <v>0</v>
      </c>
      <c r="R293" s="1423">
        <f t="shared" ca="1" si="384"/>
        <v>0</v>
      </c>
      <c r="S293" s="1423">
        <f t="shared" ca="1" si="385"/>
        <v>0</v>
      </c>
      <c r="T293" s="1423">
        <f t="shared" ca="1" si="386"/>
        <v>0</v>
      </c>
      <c r="U293" s="1423">
        <f t="shared" ca="1" si="387"/>
        <v>0</v>
      </c>
      <c r="V293" s="1423">
        <f t="shared" ca="1" si="388"/>
        <v>0</v>
      </c>
      <c r="W293" s="1423">
        <f t="shared" ca="1" si="389"/>
        <v>0</v>
      </c>
      <c r="X293" s="202"/>
      <c r="Y293" s="202"/>
      <c r="Z293" s="202"/>
      <c r="AA293" s="152"/>
      <c r="AB293" s="152"/>
    </row>
    <row r="294" spans="1:28" hidden="1" outlineLevel="1">
      <c r="A294" s="199">
        <f t="shared" si="390"/>
        <v>10</v>
      </c>
      <c r="B294" s="190" t="str">
        <f t="shared" ca="1" si="391"/>
        <v>Depreciated Net Capex 2025-26</v>
      </c>
      <c r="C294" s="1426"/>
      <c r="D294" s="1426"/>
      <c r="E294" s="1426"/>
      <c r="F294" s="1426"/>
      <c r="G294" s="1426"/>
      <c r="H294" s="1426"/>
      <c r="I294" s="1426"/>
      <c r="J294" s="1426"/>
      <c r="K294" s="1426"/>
      <c r="L294" s="1427"/>
      <c r="M294" s="1428">
        <f>M279</f>
        <v>0</v>
      </c>
      <c r="N294" s="1423">
        <f ca="1">IF(M318="n/a",M294,IFERROR(IF((OFFSET($C294,0,$A294))&lt;0,
MIN(0,M294-(OFFSET($C294,0,$A294)/(OFFSET($C289,-$A293,$A294)))),
MAX(0,M294-(OFFSET($C294,0,$A294)/(OFFSET($C289,-$A293,$A294))))),0))</f>
        <v>0</v>
      </c>
      <c r="O294" s="1423">
        <f t="shared" ca="1" si="381"/>
        <v>0</v>
      </c>
      <c r="P294" s="1423">
        <f t="shared" ca="1" si="382"/>
        <v>0</v>
      </c>
      <c r="Q294" s="1423">
        <f t="shared" ca="1" si="383"/>
        <v>0</v>
      </c>
      <c r="R294" s="1423">
        <f t="shared" ca="1" si="384"/>
        <v>0</v>
      </c>
      <c r="S294" s="1423">
        <f t="shared" ca="1" si="385"/>
        <v>0</v>
      </c>
      <c r="T294" s="1423">
        <f t="shared" ca="1" si="386"/>
        <v>0</v>
      </c>
      <c r="U294" s="1423">
        <f t="shared" ca="1" si="387"/>
        <v>0</v>
      </c>
      <c r="V294" s="1423">
        <f t="shared" ca="1" si="388"/>
        <v>0</v>
      </c>
      <c r="W294" s="1423">
        <f t="shared" ca="1" si="389"/>
        <v>0</v>
      </c>
      <c r="X294" s="202"/>
      <c r="Y294" s="202"/>
      <c r="Z294" s="202"/>
      <c r="AA294" s="152"/>
      <c r="AB294" s="152"/>
    </row>
    <row r="295" spans="1:28" hidden="1" outlineLevel="1">
      <c r="A295" s="199">
        <f t="shared" si="390"/>
        <v>11</v>
      </c>
      <c r="B295" s="190" t="str">
        <f t="shared" ca="1" si="391"/>
        <v>Depreciated Net Capex 2026-27</v>
      </c>
      <c r="C295" s="1426"/>
      <c r="D295" s="1426"/>
      <c r="E295" s="1426"/>
      <c r="F295" s="1426"/>
      <c r="G295" s="1426"/>
      <c r="H295" s="1426"/>
      <c r="I295" s="1426"/>
      <c r="J295" s="1426"/>
      <c r="K295" s="1426"/>
      <c r="L295" s="1426"/>
      <c r="M295" s="1427"/>
      <c r="N295" s="1428">
        <f>N279</f>
        <v>0</v>
      </c>
      <c r="O295" s="1423">
        <f ca="1">IF(N319="n/a",N295,IFERROR(IF((OFFSET($C295,0,$A295))&lt;0,
MIN(0,N295-(OFFSET($C295,0,$A295)/(OFFSET($C290,-$A294,$A295)))),
MAX(0,N295-(OFFSET($C295,0,$A295)/(OFFSET($C290,-$A294,$A295))))),0))</f>
        <v>0</v>
      </c>
      <c r="P295" s="1423">
        <f t="shared" ca="1" si="382"/>
        <v>0</v>
      </c>
      <c r="Q295" s="1423">
        <f t="shared" ca="1" si="383"/>
        <v>0</v>
      </c>
      <c r="R295" s="1423">
        <f t="shared" ca="1" si="384"/>
        <v>0</v>
      </c>
      <c r="S295" s="1423">
        <f t="shared" ca="1" si="385"/>
        <v>0</v>
      </c>
      <c r="T295" s="1423">
        <f t="shared" ca="1" si="386"/>
        <v>0</v>
      </c>
      <c r="U295" s="1423">
        <f t="shared" ca="1" si="387"/>
        <v>0</v>
      </c>
      <c r="V295" s="1423">
        <f t="shared" ca="1" si="388"/>
        <v>0</v>
      </c>
      <c r="W295" s="1423">
        <f t="shared" ca="1" si="389"/>
        <v>0</v>
      </c>
      <c r="X295" s="202"/>
      <c r="Y295" s="202"/>
      <c r="Z295" s="202"/>
      <c r="AA295" s="152"/>
      <c r="AB295" s="152"/>
    </row>
    <row r="296" spans="1:28" hidden="1" outlineLevel="1">
      <c r="A296" s="199">
        <f t="shared" si="390"/>
        <v>12</v>
      </c>
      <c r="B296" s="190" t="str">
        <f t="shared" ca="1" si="391"/>
        <v>Depreciated Net Capex 2027-28</v>
      </c>
      <c r="C296" s="1426"/>
      <c r="D296" s="1426"/>
      <c r="E296" s="1426"/>
      <c r="F296" s="1426"/>
      <c r="G296" s="1426"/>
      <c r="H296" s="1426"/>
      <c r="I296" s="1426"/>
      <c r="J296" s="1426"/>
      <c r="K296" s="1426"/>
      <c r="L296" s="1426"/>
      <c r="M296" s="1426"/>
      <c r="N296" s="1427"/>
      <c r="O296" s="1428">
        <f>O279</f>
        <v>0</v>
      </c>
      <c r="P296" s="1423">
        <f ca="1">IF(O320="n/a",O296,IFERROR(IF((OFFSET($C296,0,$A296))&lt;0,
MIN(0,O296-(OFFSET($C296,0,$A296)/(OFFSET($C291,-$A295,$A296)))),
MAX(0,O296-(OFFSET($C296,0,$A296)/(OFFSET($C291,-$A295,$A296))))),0))</f>
        <v>0</v>
      </c>
      <c r="Q296" s="1423">
        <f t="shared" ca="1" si="383"/>
        <v>0</v>
      </c>
      <c r="R296" s="1423">
        <f t="shared" ca="1" si="384"/>
        <v>0</v>
      </c>
      <c r="S296" s="1423">
        <f t="shared" ca="1" si="385"/>
        <v>0</v>
      </c>
      <c r="T296" s="1423">
        <f t="shared" ca="1" si="386"/>
        <v>0</v>
      </c>
      <c r="U296" s="1423">
        <f t="shared" ca="1" si="387"/>
        <v>0</v>
      </c>
      <c r="V296" s="1423">
        <f t="shared" ca="1" si="388"/>
        <v>0</v>
      </c>
      <c r="W296" s="1423">
        <f t="shared" ca="1" si="389"/>
        <v>0</v>
      </c>
      <c r="X296" s="202"/>
      <c r="Y296" s="202"/>
      <c r="Z296" s="202"/>
      <c r="AA296" s="152"/>
      <c r="AB296" s="152"/>
    </row>
    <row r="297" spans="1:28" hidden="1" outlineLevel="1">
      <c r="A297" s="199">
        <f t="shared" si="390"/>
        <v>13</v>
      </c>
      <c r="B297" s="190" t="str">
        <f t="shared" ca="1" si="391"/>
        <v>Depreciated Net Capex 2028-29</v>
      </c>
      <c r="C297" s="1426"/>
      <c r="D297" s="1426"/>
      <c r="E297" s="1426"/>
      <c r="F297" s="1426"/>
      <c r="G297" s="1426"/>
      <c r="H297" s="1426"/>
      <c r="I297" s="1426"/>
      <c r="J297" s="1426"/>
      <c r="K297" s="1426"/>
      <c r="L297" s="1426"/>
      <c r="M297" s="1426"/>
      <c r="N297" s="1426"/>
      <c r="O297" s="1427"/>
      <c r="P297" s="1428">
        <f>P279</f>
        <v>0</v>
      </c>
      <c r="Q297" s="1423">
        <f ca="1">IF(P321="n/a",P297,IFERROR(IF((OFFSET($C297,0,$A297))&lt;0,
MIN(0,P297-(OFFSET($C297,0,$A297)/(OFFSET($C292,-$A296,$A297)))),
MAX(0,P297-(OFFSET($C297,0,$A297)/(OFFSET($C292,-$A296,$A297))))),0))</f>
        <v>0</v>
      </c>
      <c r="R297" s="1423">
        <f t="shared" ca="1" si="384"/>
        <v>0</v>
      </c>
      <c r="S297" s="1423">
        <f t="shared" ca="1" si="385"/>
        <v>0</v>
      </c>
      <c r="T297" s="1423">
        <f t="shared" ca="1" si="386"/>
        <v>0</v>
      </c>
      <c r="U297" s="1423">
        <f t="shared" ca="1" si="387"/>
        <v>0</v>
      </c>
      <c r="V297" s="1423">
        <f t="shared" ca="1" si="388"/>
        <v>0</v>
      </c>
      <c r="W297" s="1423">
        <f t="shared" ca="1" si="389"/>
        <v>0</v>
      </c>
      <c r="X297" s="202"/>
      <c r="Y297" s="202"/>
      <c r="Z297" s="202"/>
      <c r="AA297" s="152"/>
      <c r="AB297" s="152"/>
    </row>
    <row r="298" spans="1:28" hidden="1" outlineLevel="1">
      <c r="A298" s="199">
        <f t="shared" si="390"/>
        <v>14</v>
      </c>
      <c r="B298" s="190" t="str">
        <f t="shared" ca="1" si="391"/>
        <v>Depreciated Net Capex 2029-30</v>
      </c>
      <c r="C298" s="1426"/>
      <c r="D298" s="1426"/>
      <c r="E298" s="1426"/>
      <c r="F298" s="1426"/>
      <c r="G298" s="1426"/>
      <c r="H298" s="1426"/>
      <c r="I298" s="1426"/>
      <c r="J298" s="1426"/>
      <c r="K298" s="1426"/>
      <c r="L298" s="1426"/>
      <c r="M298" s="1426"/>
      <c r="N298" s="1426"/>
      <c r="O298" s="1426"/>
      <c r="P298" s="1427"/>
      <c r="Q298" s="1428">
        <f>Q279</f>
        <v>0</v>
      </c>
      <c r="R298" s="1423">
        <f ca="1">IF(Q322="n/a",Q298,IFERROR(IF((OFFSET($C298,0,$A298))&lt;0,
MIN(0,Q298-(OFFSET($C298,0,$A298)/(OFFSET($C293,-$A297,$A298)))),
MAX(0,Q298-(OFFSET($C298,0,$A298)/(OFFSET($C293,-$A297,$A298))))),0))</f>
        <v>0</v>
      </c>
      <c r="S298" s="1423">
        <f t="shared" ca="1" si="385"/>
        <v>0</v>
      </c>
      <c r="T298" s="1423">
        <f t="shared" ca="1" si="386"/>
        <v>0</v>
      </c>
      <c r="U298" s="1423">
        <f t="shared" ca="1" si="387"/>
        <v>0</v>
      </c>
      <c r="V298" s="1423">
        <f t="shared" ca="1" si="388"/>
        <v>0</v>
      </c>
      <c r="W298" s="1423">
        <f t="shared" ca="1" si="389"/>
        <v>0</v>
      </c>
      <c r="X298" s="202"/>
      <c r="Y298" s="202"/>
      <c r="Z298" s="202"/>
      <c r="AA298" s="152"/>
      <c r="AB298" s="152"/>
    </row>
    <row r="299" spans="1:28" hidden="1" outlineLevel="1">
      <c r="A299" s="199">
        <f t="shared" si="390"/>
        <v>15</v>
      </c>
      <c r="B299" s="190" t="str">
        <f t="shared" ca="1" si="391"/>
        <v>Depreciated Net Capex 2030-31</v>
      </c>
      <c r="C299" s="1426"/>
      <c r="D299" s="1426"/>
      <c r="E299" s="1426"/>
      <c r="F299" s="1426"/>
      <c r="G299" s="1426"/>
      <c r="H299" s="1426"/>
      <c r="I299" s="1426"/>
      <c r="J299" s="1426"/>
      <c r="K299" s="1426"/>
      <c r="L299" s="1426"/>
      <c r="M299" s="1426"/>
      <c r="N299" s="1426"/>
      <c r="O299" s="1426"/>
      <c r="P299" s="1426"/>
      <c r="Q299" s="1427"/>
      <c r="R299" s="1428">
        <f>R279</f>
        <v>0</v>
      </c>
      <c r="S299" s="1423">
        <f ca="1">IF(R323="n/a",R299,IFERROR(IF((OFFSET($C299,0,$A299))&lt;0,
MIN(0,R299-(OFFSET($C299,0,$A299)/(OFFSET($C294,-$A298,$A299)))),
MAX(0,R299-(OFFSET($C299,0,$A299)/(OFFSET($C294,-$A298,$A299))))),0))</f>
        <v>0</v>
      </c>
      <c r="T299" s="1423">
        <f t="shared" ca="1" si="386"/>
        <v>0</v>
      </c>
      <c r="U299" s="1423">
        <f t="shared" ca="1" si="387"/>
        <v>0</v>
      </c>
      <c r="V299" s="1423">
        <f t="shared" ca="1" si="388"/>
        <v>0</v>
      </c>
      <c r="W299" s="1423">
        <f t="shared" ca="1" si="389"/>
        <v>0</v>
      </c>
      <c r="X299" s="202"/>
      <c r="Y299" s="202"/>
      <c r="Z299" s="202"/>
      <c r="AA299" s="152"/>
      <c r="AB299" s="152"/>
    </row>
    <row r="300" spans="1:28" hidden="1" outlineLevel="1">
      <c r="A300" s="199">
        <f t="shared" si="390"/>
        <v>16</v>
      </c>
      <c r="B300" s="190" t="str">
        <f t="shared" ca="1" si="391"/>
        <v>Depreciated Net Capex 2031-32</v>
      </c>
      <c r="C300" s="1426"/>
      <c r="D300" s="1426"/>
      <c r="E300" s="1426"/>
      <c r="F300" s="1426"/>
      <c r="G300" s="1426"/>
      <c r="H300" s="1426"/>
      <c r="I300" s="1426"/>
      <c r="J300" s="1426"/>
      <c r="K300" s="1426"/>
      <c r="L300" s="1426"/>
      <c r="M300" s="1426"/>
      <c r="N300" s="1426"/>
      <c r="O300" s="1426"/>
      <c r="P300" s="1426"/>
      <c r="Q300" s="1426"/>
      <c r="R300" s="1427"/>
      <c r="S300" s="1428">
        <f>S279</f>
        <v>0</v>
      </c>
      <c r="T300" s="1423">
        <f ca="1">IF(S324="n/a",S300,IFERROR(IF((OFFSET($C300,0,$A300))&lt;0,
MIN(0,S300-(OFFSET($C300,0,$A300)/(OFFSET($C295,-$A299,$A300)))),
MAX(0,S300-(OFFSET($C300,0,$A300)/(OFFSET($C295,-$A299,$A300))))),0))</f>
        <v>0</v>
      </c>
      <c r="U300" s="1423">
        <f t="shared" ca="1" si="387"/>
        <v>0</v>
      </c>
      <c r="V300" s="1423">
        <f t="shared" ca="1" si="388"/>
        <v>0</v>
      </c>
      <c r="W300" s="1423">
        <f t="shared" ca="1" si="389"/>
        <v>0</v>
      </c>
      <c r="X300" s="202"/>
      <c r="Y300" s="202"/>
      <c r="Z300" s="202"/>
      <c r="AA300" s="152"/>
      <c r="AB300" s="152"/>
    </row>
    <row r="301" spans="1:28" hidden="1" outlineLevel="1">
      <c r="A301" s="199">
        <f t="shared" si="390"/>
        <v>17</v>
      </c>
      <c r="B301" s="190" t="str">
        <f t="shared" ca="1" si="391"/>
        <v>Depreciated Net Capex 2032-33</v>
      </c>
      <c r="C301" s="1426"/>
      <c r="D301" s="1426"/>
      <c r="E301" s="1426"/>
      <c r="F301" s="1426"/>
      <c r="G301" s="1426"/>
      <c r="H301" s="1426"/>
      <c r="I301" s="1426"/>
      <c r="J301" s="1426"/>
      <c r="K301" s="1426"/>
      <c r="L301" s="1426"/>
      <c r="M301" s="1426"/>
      <c r="N301" s="1426"/>
      <c r="O301" s="1426"/>
      <c r="P301" s="1426"/>
      <c r="Q301" s="1426"/>
      <c r="R301" s="1426"/>
      <c r="S301" s="1427"/>
      <c r="T301" s="1428">
        <f>T279</f>
        <v>0</v>
      </c>
      <c r="U301" s="1423">
        <f ca="1">IF(T325="n/a",T301,IFERROR(IF((OFFSET($C301,0,$A301))&lt;0,
MIN(0,T301-(OFFSET($C301,0,$A301)/(OFFSET($C296,-$A300,$A301)))),
MAX(0,T301-(OFFSET($C301,0,$A301)/(OFFSET($C296,-$A300,$A301))))),0))</f>
        <v>0</v>
      </c>
      <c r="V301" s="1423">
        <f t="shared" ca="1" si="388"/>
        <v>0</v>
      </c>
      <c r="W301" s="1423">
        <f t="shared" ca="1" si="389"/>
        <v>0</v>
      </c>
      <c r="X301" s="202"/>
      <c r="Y301" s="202"/>
      <c r="Z301" s="202"/>
      <c r="AA301" s="152"/>
      <c r="AB301" s="152"/>
    </row>
    <row r="302" spans="1:28" hidden="1" outlineLevel="1">
      <c r="A302" s="199">
        <f t="shared" si="390"/>
        <v>18</v>
      </c>
      <c r="B302" s="190" t="str">
        <f t="shared" ca="1" si="391"/>
        <v>Depreciated Net Capex 2033-34</v>
      </c>
      <c r="C302" s="1426"/>
      <c r="D302" s="1426"/>
      <c r="E302" s="1426"/>
      <c r="F302" s="1426"/>
      <c r="G302" s="1426"/>
      <c r="H302" s="1426"/>
      <c r="I302" s="1426"/>
      <c r="J302" s="1426"/>
      <c r="K302" s="1426"/>
      <c r="L302" s="1426"/>
      <c r="M302" s="1426"/>
      <c r="N302" s="1426"/>
      <c r="O302" s="1426"/>
      <c r="P302" s="1426"/>
      <c r="Q302" s="1426"/>
      <c r="R302" s="1426"/>
      <c r="S302" s="1426"/>
      <c r="T302" s="1427"/>
      <c r="U302" s="1428">
        <f>U279</f>
        <v>0</v>
      </c>
      <c r="V302" s="1423">
        <f ca="1">IF(U326="n/a",U302,IFERROR(IF((OFFSET($C302,0,$A302))&lt;0,
MIN(0,U302-(OFFSET($C302,0,$A302)/(OFFSET($C297,-$A301,$A302)))),
MAX(0,U302-(OFFSET($C302,0,$A302)/(OFFSET($C297,-$A301,$A302))))),0))</f>
        <v>0</v>
      </c>
      <c r="W302" s="1423">
        <f t="shared" ca="1" si="389"/>
        <v>0</v>
      </c>
      <c r="X302" s="202"/>
      <c r="Y302" s="202"/>
      <c r="Z302" s="202"/>
      <c r="AA302" s="152"/>
      <c r="AB302" s="152"/>
    </row>
    <row r="303" spans="1:28" hidden="1" outlineLevel="1">
      <c r="A303" s="199">
        <f t="shared" si="390"/>
        <v>19</v>
      </c>
      <c r="B303" s="190" t="str">
        <f t="shared" ca="1" si="391"/>
        <v>Depreciated Net Capex 2034-35</v>
      </c>
      <c r="C303" s="1426"/>
      <c r="D303" s="1426"/>
      <c r="E303" s="1426"/>
      <c r="F303" s="1426"/>
      <c r="G303" s="1426"/>
      <c r="H303" s="1426"/>
      <c r="I303" s="1426"/>
      <c r="J303" s="1426"/>
      <c r="K303" s="1426"/>
      <c r="L303" s="1426"/>
      <c r="M303" s="1426"/>
      <c r="N303" s="1426"/>
      <c r="O303" s="1426"/>
      <c r="P303" s="1426"/>
      <c r="Q303" s="1426"/>
      <c r="R303" s="1426"/>
      <c r="S303" s="1426"/>
      <c r="T303" s="1426"/>
      <c r="U303" s="1427"/>
      <c r="V303" s="1428">
        <f>V279</f>
        <v>0</v>
      </c>
      <c r="W303" s="1423">
        <f ca="1">IF(V327="n/a",V303,IFERROR(IF((OFFSET($C303,0,$A303))&lt;0,
MIN(0,V303-(OFFSET($C303,0,$A303)/(OFFSET($C298,-$A302,$A303)))),
MAX(0,V303-(OFFSET($C303,0,$A303)/(OFFSET($C298,-$A302,$A303))))),0))</f>
        <v>0</v>
      </c>
      <c r="X303" s="202"/>
      <c r="Y303" s="202"/>
      <c r="Z303" s="202"/>
      <c r="AA303" s="152"/>
      <c r="AB303" s="152"/>
    </row>
    <row r="304" spans="1:28" hidden="1" outlineLevel="1">
      <c r="A304" s="199">
        <f t="shared" si="390"/>
        <v>20</v>
      </c>
      <c r="B304" s="190" t="str">
        <f t="shared" ca="1" si="391"/>
        <v>Depreciated Net Capex 2035-36</v>
      </c>
      <c r="C304" s="1426"/>
      <c r="D304" s="1426"/>
      <c r="E304" s="1426"/>
      <c r="F304" s="1426"/>
      <c r="G304" s="1426"/>
      <c r="H304" s="1426"/>
      <c r="I304" s="1426"/>
      <c r="J304" s="1426"/>
      <c r="K304" s="1426"/>
      <c r="L304" s="1426"/>
      <c r="M304" s="1426"/>
      <c r="N304" s="1426"/>
      <c r="O304" s="1426"/>
      <c r="P304" s="1426"/>
      <c r="Q304" s="1426"/>
      <c r="R304" s="1426"/>
      <c r="S304" s="1426"/>
      <c r="T304" s="1426"/>
      <c r="U304" s="1426"/>
      <c r="V304" s="1427"/>
      <c r="W304" s="1423">
        <f>W279</f>
        <v>0</v>
      </c>
      <c r="X304" s="152"/>
      <c r="Y304" s="152"/>
      <c r="Z304" s="152"/>
      <c r="AA304" s="152"/>
      <c r="AB304" s="152"/>
    </row>
    <row r="305" spans="1:28" hidden="1" outlineLevel="1">
      <c r="A305" s="242"/>
      <c r="B305" s="200"/>
      <c r="C305" s="1423"/>
      <c r="D305" s="1423"/>
      <c r="E305" s="1423"/>
      <c r="F305" s="1423"/>
      <c r="G305" s="1423"/>
      <c r="H305" s="1423"/>
      <c r="I305" s="1423"/>
      <c r="J305" s="1423"/>
      <c r="K305" s="1423"/>
      <c r="L305" s="1423"/>
      <c r="M305" s="1423"/>
      <c r="N305" s="1423"/>
      <c r="O305" s="1423"/>
      <c r="P305" s="1423"/>
      <c r="Q305" s="1423"/>
      <c r="R305" s="1423"/>
      <c r="S305" s="1423"/>
      <c r="T305" s="1423"/>
      <c r="U305" s="1423"/>
      <c r="V305" s="1423"/>
      <c r="W305" s="1423"/>
      <c r="X305" s="152"/>
      <c r="Y305" s="152"/>
      <c r="Z305" s="152"/>
      <c r="AA305" s="152"/>
      <c r="AB305" s="152"/>
    </row>
    <row r="306" spans="1:28" hidden="1" outlineLevel="1">
      <c r="A306" s="242"/>
      <c r="B306" s="200"/>
      <c r="C306" s="1423"/>
      <c r="D306" s="1423"/>
      <c r="E306" s="1423"/>
      <c r="F306" s="1423"/>
      <c r="G306" s="1423"/>
      <c r="H306" s="1423"/>
      <c r="I306" s="1423"/>
      <c r="J306" s="1423"/>
      <c r="K306" s="1423"/>
      <c r="L306" s="1423"/>
      <c r="M306" s="1423"/>
      <c r="N306" s="1423"/>
      <c r="O306" s="1423"/>
      <c r="P306" s="1423"/>
      <c r="Q306" s="1423"/>
      <c r="R306" s="1423"/>
      <c r="S306" s="1423"/>
      <c r="T306" s="1423"/>
      <c r="U306" s="1423"/>
      <c r="V306" s="1423"/>
      <c r="W306" s="1423"/>
      <c r="X306" s="152"/>
      <c r="Y306" s="152"/>
      <c r="Z306" s="152"/>
      <c r="AA306" s="152"/>
      <c r="AB306" s="152"/>
    </row>
    <row r="307" spans="1:28" hidden="1" outlineLevel="1">
      <c r="A307" s="242"/>
      <c r="B307" s="190" t="s">
        <v>194</v>
      </c>
      <c r="C307" s="1423"/>
      <c r="D307" s="1423">
        <f t="shared" ref="D307" ca="1" si="392">IF(AND(C307&lt;1,D281=0),0,
IF(D281=0,C307-1,
IF(C307&lt;1,D282,
(((C307-1)*(C283-(C283/(C307))))+(D281*D282))/(D283))))</f>
        <v>0</v>
      </c>
      <c r="E307" s="1423">
        <f t="shared" ref="E307" ca="1" si="393">IF(AND(D307&lt;1,E281=0),0,
IF(E281=0,D307-1,
IF(D307&lt;1,E282,
(((D307-1)*(D283-(D283/(D307))))+(E281*E282))/(E283))))</f>
        <v>0</v>
      </c>
      <c r="F307" s="1423">
        <f t="shared" ref="F307" ca="1" si="394">IF(AND(E307&lt;1,F281=0),0,
IF(F281=0,E307-1,
IF(E307&lt;1,F282,
(((E307-1)*(E283-(E283/(E307))))+(F281*F282))/(F283))))</f>
        <v>0</v>
      </c>
      <c r="G307" s="1423">
        <f t="shared" ref="G307" ca="1" si="395">IF(AND(F307&lt;1,G281=0),0,
IF(G281=0,F307-1,
IF(F307&lt;1,G282,
(((F307-1)*(F283-(F283/(F307))))+(G281*G282))/(G283))))</f>
        <v>0</v>
      </c>
      <c r="H307" s="1423">
        <f ca="1">IF(AND(G307&lt;1,H281=0),0,
IF(H281=0,G307-1,
IF(G307&lt;1,H282,
(((G307-1)*(G283-(G283/(G307))))+(H281*H282))/(H283))))</f>
        <v>0</v>
      </c>
      <c r="I307" s="1423">
        <f t="shared" ref="I307" ca="1" si="396">IF(AND(H307&lt;1,I281=0),0,
IF(I281=0,H307-1,
IF(H307&lt;1,I282,
(((H307-1)*(H283-(H283/(H307))))+(I281*I282))/(I283))))</f>
        <v>0</v>
      </c>
      <c r="J307" s="1423">
        <f t="shared" ref="J307" ca="1" si="397">IF(AND(I307&lt;1,J281=0),0,
IF(J281=0,I307-1,
IF(I307&lt;1,J282,
(((I307-1)*(I283-(I283/(I307))))+(J281*J282))/(J283))))</f>
        <v>0</v>
      </c>
      <c r="K307" s="1423">
        <f t="shared" ref="K307" ca="1" si="398">IF(AND(J307&lt;1,K281=0),0,
IF(K281=0,J307-1,
IF(J307&lt;1,K282,
(((J307-1)*(J283-(J283/(J307))))+(K281*K282))/(K283))))</f>
        <v>0</v>
      </c>
      <c r="L307" s="1423">
        <f t="shared" ref="L307" ca="1" si="399">IF(AND(K307&lt;1,L281=0),0,
IF(L281=0,K307-1,
IF(K307&lt;1,L282,
(((K307-1)*(K283-(K283/(K307))))+(L281*L282))/(L283))))</f>
        <v>0</v>
      </c>
      <c r="M307" s="1423">
        <f ca="1">IF(AND(L307&lt;1,M281=0),0,
IF(M281=0,L307-1,
IF(L307&lt;1,M282,
(((L307-1)*(L283-(L283/(L307))))+(M281*M282))/(M283))))</f>
        <v>0</v>
      </c>
      <c r="N307" s="1423">
        <f t="shared" ref="N307" ca="1" si="400">IF(AND(M307&lt;1,N281=0),0,
IF(N281=0,M307-1,
IF(M307&lt;1,N282,
(((M307-1)*(M283-(M283/(M307))))+(N281*N282))/(N283))))</f>
        <v>0</v>
      </c>
      <c r="O307" s="1423">
        <f t="shared" ref="O307" ca="1" si="401">IF(AND(N307&lt;1,O281=0),0,
IF(O281=0,N307-1,
IF(N307&lt;1,O282,
(((N307-1)*(N283-(N283/(N307))))+(O281*O282))/(O283))))</f>
        <v>0</v>
      </c>
      <c r="P307" s="1423">
        <f t="shared" ref="P307" ca="1" si="402">IF(AND(O307&lt;1,P281=0),0,
IF(P281=0,O307-1,
IF(O307&lt;1,P282,
(((O307-1)*(O283-(O283/(O307))))+(P281*P282))/(P283))))</f>
        <v>0</v>
      </c>
      <c r="Q307" s="1423">
        <f t="shared" ref="Q307" ca="1" si="403">IF(AND(P307&lt;1,Q281=0),0,
IF(Q281=0,P307-1,
IF(P307&lt;1,Q282,
(((P307-1)*(P283-(P283/(P307))))+(Q281*Q282))/(Q283))))</f>
        <v>0</v>
      </c>
      <c r="R307" s="1423">
        <f t="shared" ref="R307" ca="1" si="404">IF(AND(Q307&lt;1,R281=0),0,
IF(R281=0,Q307-1,
IF(Q307&lt;1,R282,
(((Q307-1)*(Q283-(Q283/(Q307))))+(R281*R282))/(R283))))</f>
        <v>0</v>
      </c>
      <c r="S307" s="1423">
        <f t="shared" ref="S307" ca="1" si="405">IF(AND(R307&lt;1,S281=0),0,
IF(S281=0,R307-1,
IF(R307&lt;1,S282,
(((R307-1)*(R283-(R283/(R307))))+(S281*S282))/(S283))))</f>
        <v>0</v>
      </c>
      <c r="T307" s="1423">
        <f t="shared" ref="T307" ca="1" si="406">IF(AND(S307&lt;1,T281=0),0,
IF(T281=0,S307-1,
IF(S307&lt;1,T282,
(((S307-1)*(S283-(S283/(S307))))+(T281*T282))/(T283))))</f>
        <v>0</v>
      </c>
      <c r="U307" s="1423">
        <f t="shared" ref="U307" ca="1" si="407">IF(AND(T307&lt;1,U281=0),0,
IF(U281=0,T307-1,
IF(T307&lt;1,U282,
(((T307-1)*(T283-(T283/(T307))))+(U281*U282))/(U283))))</f>
        <v>0</v>
      </c>
      <c r="V307" s="1423">
        <f t="shared" ref="V307" ca="1" si="408">IF(AND(U307&lt;1,V281=0),0,
IF(V281=0,U307-1,
IF(U307&lt;1,V282,
(((U307-1)*(U283-(U283/(U307))))+(V281*V282))/(V283))))</f>
        <v>0</v>
      </c>
      <c r="W307" s="1423">
        <f t="shared" ref="W307" ca="1" si="409">IF(AND(V307&lt;1,W281=0),0,
IF(W281=0,V307-1,
IF(V307&lt;1,W282,
(((V307-1)*(V283-(V283/(V307))))+(W281*W282))/(W283))))</f>
        <v>0</v>
      </c>
      <c r="X307" s="152"/>
      <c r="Y307" s="152"/>
      <c r="Z307" s="152"/>
      <c r="AA307" s="152"/>
      <c r="AB307" s="152"/>
    </row>
    <row r="308" spans="1:28" hidden="1" outlineLevel="1">
      <c r="A308" s="242"/>
      <c r="B308" s="190" t="s">
        <v>193</v>
      </c>
      <c r="C308" s="1423">
        <f ca="1">C280</f>
        <v>17.058052355417484</v>
      </c>
      <c r="D308" s="1423">
        <f t="shared" ref="D308" ca="1" si="410">IF(C308="n/a","n/a",MAX(0,C308-1))</f>
        <v>16.058052355417484</v>
      </c>
      <c r="E308" s="1423">
        <f t="shared" ref="E308:E309" ca="1" si="411">IF(D308="n/a","n/a",MAX(0,D308-1))</f>
        <v>15.058052355417484</v>
      </c>
      <c r="F308" s="1423">
        <f t="shared" ref="F308:F310" ca="1" si="412">IF(E308="n/a","n/a",MAX(0,E308-1))</f>
        <v>14.058052355417484</v>
      </c>
      <c r="G308" s="1423">
        <f t="shared" ref="G308:G311" ca="1" si="413">IF(F308="n/a","n/a",MAX(0,F308-1))</f>
        <v>13.058052355417484</v>
      </c>
      <c r="H308" s="1423">
        <f t="shared" ref="H308:H312" ca="1" si="414">IF(G308="n/a","n/a",MAX(0,G308-1))</f>
        <v>12.058052355417484</v>
      </c>
      <c r="I308" s="1423">
        <f t="shared" ref="I308:I313" ca="1" si="415">IF(H308="n/a","n/a",MAX(0,H308-1))</f>
        <v>11.058052355417484</v>
      </c>
      <c r="J308" s="1423">
        <f t="shared" ref="J308:J314" ca="1" si="416">IF(I308="n/a","n/a",MAX(0,I308-1))</f>
        <v>10.058052355417484</v>
      </c>
      <c r="K308" s="1423">
        <f t="shared" ref="K308:K315" ca="1" si="417">IF(J308="n/a","n/a",MAX(0,J308-1))</f>
        <v>9.0580523554174839</v>
      </c>
      <c r="L308" s="1423">
        <f t="shared" ref="L308:L316" ca="1" si="418">IF(K308="n/a","n/a",MAX(0,K308-1))</f>
        <v>8.0580523554174839</v>
      </c>
      <c r="M308" s="1423">
        <f t="shared" ref="M308:M317" ca="1" si="419">IF(L308="n/a","n/a",MAX(0,L308-1))</f>
        <v>7.0580523554174839</v>
      </c>
      <c r="N308" s="1423">
        <f t="shared" ref="N308:N318" ca="1" si="420">IF(M308="n/a","n/a",MAX(0,M308-1))</f>
        <v>6.0580523554174839</v>
      </c>
      <c r="O308" s="1423">
        <f t="shared" ref="O308:O319" ca="1" si="421">IF(N308="n/a","n/a",MAX(0,N308-1))</f>
        <v>5.0580523554174839</v>
      </c>
      <c r="P308" s="1423">
        <f t="shared" ref="P308:P320" ca="1" si="422">IF(O308="n/a","n/a",MAX(0,O308-1))</f>
        <v>4.0580523554174839</v>
      </c>
      <c r="Q308" s="1423">
        <f t="shared" ref="Q308:Q321" ca="1" si="423">IF(P308="n/a","n/a",MAX(0,P308-1))</f>
        <v>3.0580523554174839</v>
      </c>
      <c r="R308" s="1423">
        <f t="shared" ref="R308:R322" ca="1" si="424">IF(Q308="n/a","n/a",MAX(0,Q308-1))</f>
        <v>2.0580523554174839</v>
      </c>
      <c r="S308" s="1423">
        <f t="shared" ref="S308:S323" ca="1" si="425">IF(R308="n/a","n/a",MAX(0,R308-1))</f>
        <v>1.0580523554174839</v>
      </c>
      <c r="T308" s="1423">
        <f t="shared" ref="T308:T324" ca="1" si="426">IF(S308="n/a","n/a",MAX(0,S308-1))</f>
        <v>5.8052355417483881E-2</v>
      </c>
      <c r="U308" s="1423">
        <f t="shared" ref="U308:U325" ca="1" si="427">IF(T308="n/a","n/a",MAX(0,T308-1))</f>
        <v>0</v>
      </c>
      <c r="V308" s="1423">
        <f t="shared" ref="V308:V326" ca="1" si="428">IF(U308="n/a","n/a",MAX(0,U308-1))</f>
        <v>0</v>
      </c>
      <c r="W308" s="1423">
        <f t="shared" ref="W308:W326" ca="1" si="429">IF(V308="n/a","n/a",MAX(0,V308-1))</f>
        <v>0</v>
      </c>
      <c r="X308" s="152"/>
      <c r="Y308" s="152"/>
      <c r="Z308" s="152"/>
      <c r="AA308" s="152"/>
      <c r="AB308" s="152"/>
    </row>
    <row r="309" spans="1:28" hidden="1" outlineLevel="1">
      <c r="A309" s="242"/>
      <c r="B309" s="190" t="str">
        <f t="shared" ref="B309:B328" ca="1" si="430">"RL Capex "&amp;OFFSET($C$6,0,A285)</f>
        <v>RL Capex 2016-17</v>
      </c>
      <c r="C309" s="1424"/>
      <c r="D309" s="1428">
        <f>D280</f>
        <v>20</v>
      </c>
      <c r="E309" s="1423">
        <f t="shared" si="411"/>
        <v>19</v>
      </c>
      <c r="F309" s="1423">
        <f t="shared" si="412"/>
        <v>18</v>
      </c>
      <c r="G309" s="1423">
        <f t="shared" si="413"/>
        <v>17</v>
      </c>
      <c r="H309" s="1423">
        <f t="shared" si="414"/>
        <v>16</v>
      </c>
      <c r="I309" s="1423">
        <f t="shared" si="415"/>
        <v>15</v>
      </c>
      <c r="J309" s="1423">
        <f t="shared" si="416"/>
        <v>14</v>
      </c>
      <c r="K309" s="1423">
        <f t="shared" si="417"/>
        <v>13</v>
      </c>
      <c r="L309" s="1423">
        <f t="shared" si="418"/>
        <v>12</v>
      </c>
      <c r="M309" s="1423">
        <f t="shared" si="419"/>
        <v>11</v>
      </c>
      <c r="N309" s="1423">
        <f t="shared" si="420"/>
        <v>10</v>
      </c>
      <c r="O309" s="1423">
        <f t="shared" si="421"/>
        <v>9</v>
      </c>
      <c r="P309" s="1423">
        <f t="shared" si="422"/>
        <v>8</v>
      </c>
      <c r="Q309" s="1423">
        <f t="shared" si="423"/>
        <v>7</v>
      </c>
      <c r="R309" s="1423">
        <f t="shared" si="424"/>
        <v>6</v>
      </c>
      <c r="S309" s="1423">
        <f t="shared" si="425"/>
        <v>5</v>
      </c>
      <c r="T309" s="1423">
        <f t="shared" si="426"/>
        <v>4</v>
      </c>
      <c r="U309" s="1423">
        <f t="shared" si="427"/>
        <v>3</v>
      </c>
      <c r="V309" s="1423">
        <f t="shared" si="428"/>
        <v>2</v>
      </c>
      <c r="W309" s="1423">
        <f t="shared" si="429"/>
        <v>1</v>
      </c>
      <c r="X309" s="152"/>
      <c r="Y309" s="152"/>
      <c r="Z309" s="152"/>
      <c r="AA309" s="152"/>
      <c r="AB309" s="152"/>
    </row>
    <row r="310" spans="1:28" hidden="1" outlineLevel="1">
      <c r="A310" s="242"/>
      <c r="B310" s="190" t="str">
        <f t="shared" ca="1" si="430"/>
        <v>RL Capex 2017-18</v>
      </c>
      <c r="C310" s="1429"/>
      <c r="D310" s="1424"/>
      <c r="E310" s="1428">
        <f>E280</f>
        <v>20</v>
      </c>
      <c r="F310" s="1423">
        <f t="shared" si="412"/>
        <v>19</v>
      </c>
      <c r="G310" s="1423">
        <f t="shared" si="413"/>
        <v>18</v>
      </c>
      <c r="H310" s="1423">
        <f t="shared" si="414"/>
        <v>17</v>
      </c>
      <c r="I310" s="1423">
        <f t="shared" si="415"/>
        <v>16</v>
      </c>
      <c r="J310" s="1423">
        <f t="shared" si="416"/>
        <v>15</v>
      </c>
      <c r="K310" s="1423">
        <f t="shared" si="417"/>
        <v>14</v>
      </c>
      <c r="L310" s="1423">
        <f t="shared" si="418"/>
        <v>13</v>
      </c>
      <c r="M310" s="1423">
        <f t="shared" si="419"/>
        <v>12</v>
      </c>
      <c r="N310" s="1423">
        <f t="shared" si="420"/>
        <v>11</v>
      </c>
      <c r="O310" s="1423">
        <f t="shared" si="421"/>
        <v>10</v>
      </c>
      <c r="P310" s="1423">
        <f t="shared" si="422"/>
        <v>9</v>
      </c>
      <c r="Q310" s="1423">
        <f t="shared" si="423"/>
        <v>8</v>
      </c>
      <c r="R310" s="1423">
        <f t="shared" si="424"/>
        <v>7</v>
      </c>
      <c r="S310" s="1423">
        <f t="shared" si="425"/>
        <v>6</v>
      </c>
      <c r="T310" s="1423">
        <f t="shared" si="426"/>
        <v>5</v>
      </c>
      <c r="U310" s="1423">
        <f t="shared" si="427"/>
        <v>4</v>
      </c>
      <c r="V310" s="1423">
        <f t="shared" si="428"/>
        <v>3</v>
      </c>
      <c r="W310" s="1423">
        <f t="shared" si="429"/>
        <v>2</v>
      </c>
      <c r="X310" s="152"/>
      <c r="Y310" s="152"/>
      <c r="Z310" s="152"/>
      <c r="AA310" s="152"/>
      <c r="AB310" s="152"/>
    </row>
    <row r="311" spans="1:28" hidden="1" outlineLevel="1">
      <c r="A311" s="242"/>
      <c r="B311" s="190" t="str">
        <f t="shared" ca="1" si="430"/>
        <v>RL Capex 2018-19</v>
      </c>
      <c r="C311" s="1429"/>
      <c r="D311" s="1429"/>
      <c r="E311" s="1424"/>
      <c r="F311" s="1428">
        <f>F280</f>
        <v>20</v>
      </c>
      <c r="G311" s="1423">
        <f t="shared" si="413"/>
        <v>19</v>
      </c>
      <c r="H311" s="1423">
        <f t="shared" si="414"/>
        <v>18</v>
      </c>
      <c r="I311" s="1423">
        <f t="shared" si="415"/>
        <v>17</v>
      </c>
      <c r="J311" s="1423">
        <f t="shared" si="416"/>
        <v>16</v>
      </c>
      <c r="K311" s="1423">
        <f t="shared" si="417"/>
        <v>15</v>
      </c>
      <c r="L311" s="1423">
        <f t="shared" si="418"/>
        <v>14</v>
      </c>
      <c r="M311" s="1423">
        <f t="shared" si="419"/>
        <v>13</v>
      </c>
      <c r="N311" s="1423">
        <f t="shared" si="420"/>
        <v>12</v>
      </c>
      <c r="O311" s="1423">
        <f t="shared" si="421"/>
        <v>11</v>
      </c>
      <c r="P311" s="1423">
        <f t="shared" si="422"/>
        <v>10</v>
      </c>
      <c r="Q311" s="1423">
        <f t="shared" si="423"/>
        <v>9</v>
      </c>
      <c r="R311" s="1423">
        <f t="shared" si="424"/>
        <v>8</v>
      </c>
      <c r="S311" s="1423">
        <f t="shared" si="425"/>
        <v>7</v>
      </c>
      <c r="T311" s="1423">
        <f t="shared" si="426"/>
        <v>6</v>
      </c>
      <c r="U311" s="1423">
        <f t="shared" si="427"/>
        <v>5</v>
      </c>
      <c r="V311" s="1423">
        <f t="shared" si="428"/>
        <v>4</v>
      </c>
      <c r="W311" s="1423">
        <f t="shared" si="429"/>
        <v>3</v>
      </c>
      <c r="X311" s="152"/>
      <c r="Y311" s="152"/>
      <c r="Z311" s="152"/>
      <c r="AA311" s="152"/>
      <c r="AB311" s="152"/>
    </row>
    <row r="312" spans="1:28" hidden="1" outlineLevel="1">
      <c r="A312" s="242"/>
      <c r="B312" s="190" t="str">
        <f t="shared" ca="1" si="430"/>
        <v>RL Capex 2019-20</v>
      </c>
      <c r="C312" s="1429"/>
      <c r="D312" s="1429"/>
      <c r="E312" s="1429"/>
      <c r="F312" s="1424"/>
      <c r="G312" s="1428">
        <f>G280</f>
        <v>20</v>
      </c>
      <c r="H312" s="1423">
        <f t="shared" si="414"/>
        <v>19</v>
      </c>
      <c r="I312" s="1423">
        <f t="shared" si="415"/>
        <v>18</v>
      </c>
      <c r="J312" s="1423">
        <f t="shared" si="416"/>
        <v>17</v>
      </c>
      <c r="K312" s="1423">
        <f t="shared" si="417"/>
        <v>16</v>
      </c>
      <c r="L312" s="1423">
        <f t="shared" si="418"/>
        <v>15</v>
      </c>
      <c r="M312" s="1423">
        <f t="shared" si="419"/>
        <v>14</v>
      </c>
      <c r="N312" s="1423">
        <f t="shared" si="420"/>
        <v>13</v>
      </c>
      <c r="O312" s="1423">
        <f t="shared" si="421"/>
        <v>12</v>
      </c>
      <c r="P312" s="1423">
        <f t="shared" si="422"/>
        <v>11</v>
      </c>
      <c r="Q312" s="1423">
        <f t="shared" si="423"/>
        <v>10</v>
      </c>
      <c r="R312" s="1423">
        <f t="shared" si="424"/>
        <v>9</v>
      </c>
      <c r="S312" s="1423">
        <f t="shared" si="425"/>
        <v>8</v>
      </c>
      <c r="T312" s="1423">
        <f t="shared" si="426"/>
        <v>7</v>
      </c>
      <c r="U312" s="1423">
        <f t="shared" si="427"/>
        <v>6</v>
      </c>
      <c r="V312" s="1423">
        <f t="shared" si="428"/>
        <v>5</v>
      </c>
      <c r="W312" s="1423">
        <f t="shared" si="429"/>
        <v>4</v>
      </c>
      <c r="X312" s="152"/>
      <c r="Y312" s="152"/>
      <c r="Z312" s="152"/>
      <c r="AA312" s="152"/>
      <c r="AB312" s="152"/>
    </row>
    <row r="313" spans="1:28" hidden="1" outlineLevel="1">
      <c r="A313" s="242"/>
      <c r="B313" s="190" t="str">
        <f t="shared" ca="1" si="430"/>
        <v>RL Capex 2020-21</v>
      </c>
      <c r="C313" s="1429"/>
      <c r="D313" s="1429"/>
      <c r="E313" s="1429"/>
      <c r="F313" s="1429"/>
      <c r="G313" s="1424"/>
      <c r="H313" s="1428">
        <f>H280</f>
        <v>20</v>
      </c>
      <c r="I313" s="1423">
        <f t="shared" si="415"/>
        <v>19</v>
      </c>
      <c r="J313" s="1423">
        <f t="shared" si="416"/>
        <v>18</v>
      </c>
      <c r="K313" s="1423">
        <f t="shared" si="417"/>
        <v>17</v>
      </c>
      <c r="L313" s="1423">
        <f t="shared" si="418"/>
        <v>16</v>
      </c>
      <c r="M313" s="1423">
        <f t="shared" si="419"/>
        <v>15</v>
      </c>
      <c r="N313" s="1423">
        <f t="shared" si="420"/>
        <v>14</v>
      </c>
      <c r="O313" s="1423">
        <f t="shared" si="421"/>
        <v>13</v>
      </c>
      <c r="P313" s="1423">
        <f t="shared" si="422"/>
        <v>12</v>
      </c>
      <c r="Q313" s="1423">
        <f t="shared" si="423"/>
        <v>11</v>
      </c>
      <c r="R313" s="1423">
        <f t="shared" si="424"/>
        <v>10</v>
      </c>
      <c r="S313" s="1423">
        <f t="shared" si="425"/>
        <v>9</v>
      </c>
      <c r="T313" s="1423">
        <f t="shared" si="426"/>
        <v>8</v>
      </c>
      <c r="U313" s="1423">
        <f t="shared" si="427"/>
        <v>7</v>
      </c>
      <c r="V313" s="1423">
        <f t="shared" si="428"/>
        <v>6</v>
      </c>
      <c r="W313" s="1423">
        <f t="shared" si="429"/>
        <v>5</v>
      </c>
      <c r="X313" s="152"/>
      <c r="Y313" s="152"/>
      <c r="Z313" s="152"/>
      <c r="AA313" s="152"/>
      <c r="AB313" s="152"/>
    </row>
    <row r="314" spans="1:28" hidden="1" outlineLevel="1">
      <c r="A314" s="242"/>
      <c r="B314" s="190" t="str">
        <f t="shared" ca="1" si="430"/>
        <v>RL Capex 2021-22</v>
      </c>
      <c r="C314" s="1429"/>
      <c r="D314" s="1429"/>
      <c r="E314" s="1429"/>
      <c r="F314" s="1429"/>
      <c r="G314" s="1429"/>
      <c r="H314" s="1424"/>
      <c r="I314" s="1428">
        <f>I280</f>
        <v>20</v>
      </c>
      <c r="J314" s="1423">
        <f t="shared" si="416"/>
        <v>19</v>
      </c>
      <c r="K314" s="1423">
        <f t="shared" si="417"/>
        <v>18</v>
      </c>
      <c r="L314" s="1423">
        <f t="shared" si="418"/>
        <v>17</v>
      </c>
      <c r="M314" s="1423">
        <f t="shared" si="419"/>
        <v>16</v>
      </c>
      <c r="N314" s="1423">
        <f t="shared" si="420"/>
        <v>15</v>
      </c>
      <c r="O314" s="1423">
        <f t="shared" si="421"/>
        <v>14</v>
      </c>
      <c r="P314" s="1423">
        <f t="shared" si="422"/>
        <v>13</v>
      </c>
      <c r="Q314" s="1423">
        <f t="shared" si="423"/>
        <v>12</v>
      </c>
      <c r="R314" s="1423">
        <f t="shared" si="424"/>
        <v>11</v>
      </c>
      <c r="S314" s="1423">
        <f t="shared" si="425"/>
        <v>10</v>
      </c>
      <c r="T314" s="1423">
        <f t="shared" si="426"/>
        <v>9</v>
      </c>
      <c r="U314" s="1423">
        <f t="shared" si="427"/>
        <v>8</v>
      </c>
      <c r="V314" s="1423">
        <f t="shared" si="428"/>
        <v>7</v>
      </c>
      <c r="W314" s="1423">
        <f t="shared" si="429"/>
        <v>6</v>
      </c>
      <c r="X314" s="152"/>
      <c r="Y314" s="152"/>
      <c r="Z314" s="152"/>
      <c r="AA314" s="152"/>
      <c r="AB314" s="152"/>
    </row>
    <row r="315" spans="1:28" hidden="1" outlineLevel="1">
      <c r="A315" s="242"/>
      <c r="B315" s="190" t="str">
        <f t="shared" ca="1" si="430"/>
        <v>RL Capex 2022-23</v>
      </c>
      <c r="C315" s="1429"/>
      <c r="D315" s="1429"/>
      <c r="E315" s="1429"/>
      <c r="F315" s="1429"/>
      <c r="G315" s="1429"/>
      <c r="H315" s="1429"/>
      <c r="I315" s="1424"/>
      <c r="J315" s="1428">
        <f>J280</f>
        <v>20</v>
      </c>
      <c r="K315" s="1423">
        <f t="shared" si="417"/>
        <v>19</v>
      </c>
      <c r="L315" s="1423">
        <f t="shared" si="418"/>
        <v>18</v>
      </c>
      <c r="M315" s="1423">
        <f t="shared" si="419"/>
        <v>17</v>
      </c>
      <c r="N315" s="1423">
        <f t="shared" si="420"/>
        <v>16</v>
      </c>
      <c r="O315" s="1423">
        <f t="shared" si="421"/>
        <v>15</v>
      </c>
      <c r="P315" s="1423">
        <f t="shared" si="422"/>
        <v>14</v>
      </c>
      <c r="Q315" s="1423">
        <f t="shared" si="423"/>
        <v>13</v>
      </c>
      <c r="R315" s="1423">
        <f t="shared" si="424"/>
        <v>12</v>
      </c>
      <c r="S315" s="1423">
        <f t="shared" si="425"/>
        <v>11</v>
      </c>
      <c r="T315" s="1423">
        <f t="shared" si="426"/>
        <v>10</v>
      </c>
      <c r="U315" s="1423">
        <f t="shared" si="427"/>
        <v>9</v>
      </c>
      <c r="V315" s="1423">
        <f t="shared" si="428"/>
        <v>8</v>
      </c>
      <c r="W315" s="1423">
        <f t="shared" si="429"/>
        <v>7</v>
      </c>
      <c r="X315" s="152"/>
      <c r="Y315" s="152"/>
      <c r="Z315" s="152"/>
      <c r="AA315" s="152"/>
      <c r="AB315" s="152"/>
    </row>
    <row r="316" spans="1:28" hidden="1" outlineLevel="1">
      <c r="A316" s="242"/>
      <c r="B316" s="190" t="str">
        <f t="shared" ca="1" si="430"/>
        <v>RL Capex 2023-24</v>
      </c>
      <c r="C316" s="1429"/>
      <c r="D316" s="1429"/>
      <c r="E316" s="1429"/>
      <c r="F316" s="1429"/>
      <c r="G316" s="1429"/>
      <c r="H316" s="1429"/>
      <c r="I316" s="1429"/>
      <c r="J316" s="1424"/>
      <c r="K316" s="1428">
        <f>K280</f>
        <v>20</v>
      </c>
      <c r="L316" s="1423">
        <f t="shared" si="418"/>
        <v>19</v>
      </c>
      <c r="M316" s="1423">
        <f t="shared" si="419"/>
        <v>18</v>
      </c>
      <c r="N316" s="1423">
        <f t="shared" si="420"/>
        <v>17</v>
      </c>
      <c r="O316" s="1423">
        <f t="shared" si="421"/>
        <v>16</v>
      </c>
      <c r="P316" s="1423">
        <f t="shared" si="422"/>
        <v>15</v>
      </c>
      <c r="Q316" s="1423">
        <f t="shared" si="423"/>
        <v>14</v>
      </c>
      <c r="R316" s="1423">
        <f t="shared" si="424"/>
        <v>13</v>
      </c>
      <c r="S316" s="1423">
        <f t="shared" si="425"/>
        <v>12</v>
      </c>
      <c r="T316" s="1423">
        <f t="shared" si="426"/>
        <v>11</v>
      </c>
      <c r="U316" s="1423">
        <f t="shared" si="427"/>
        <v>10</v>
      </c>
      <c r="V316" s="1423">
        <f t="shared" si="428"/>
        <v>9</v>
      </c>
      <c r="W316" s="1423">
        <f t="shared" si="429"/>
        <v>8</v>
      </c>
      <c r="X316" s="152"/>
      <c r="Y316" s="152"/>
      <c r="Z316" s="152"/>
      <c r="AA316" s="152"/>
      <c r="AB316" s="152"/>
    </row>
    <row r="317" spans="1:28" hidden="1" outlineLevel="1">
      <c r="A317" s="242"/>
      <c r="B317" s="190" t="str">
        <f t="shared" ca="1" si="430"/>
        <v>RL Capex 2024-25</v>
      </c>
      <c r="C317" s="1429"/>
      <c r="D317" s="1429"/>
      <c r="E317" s="1429"/>
      <c r="F317" s="1429"/>
      <c r="G317" s="1429"/>
      <c r="H317" s="1429"/>
      <c r="I317" s="1429"/>
      <c r="J317" s="1429"/>
      <c r="K317" s="1424"/>
      <c r="L317" s="1428">
        <f>L280</f>
        <v>20</v>
      </c>
      <c r="M317" s="1423">
        <f t="shared" si="419"/>
        <v>19</v>
      </c>
      <c r="N317" s="1423">
        <f t="shared" si="420"/>
        <v>18</v>
      </c>
      <c r="O317" s="1423">
        <f t="shared" si="421"/>
        <v>17</v>
      </c>
      <c r="P317" s="1423">
        <f t="shared" si="422"/>
        <v>16</v>
      </c>
      <c r="Q317" s="1423">
        <f t="shared" si="423"/>
        <v>15</v>
      </c>
      <c r="R317" s="1423">
        <f t="shared" si="424"/>
        <v>14</v>
      </c>
      <c r="S317" s="1423">
        <f t="shared" si="425"/>
        <v>13</v>
      </c>
      <c r="T317" s="1423">
        <f t="shared" si="426"/>
        <v>12</v>
      </c>
      <c r="U317" s="1423">
        <f t="shared" si="427"/>
        <v>11</v>
      </c>
      <c r="V317" s="1423">
        <f t="shared" si="428"/>
        <v>10</v>
      </c>
      <c r="W317" s="1423">
        <f t="shared" si="429"/>
        <v>9</v>
      </c>
      <c r="X317" s="152"/>
      <c r="Y317" s="152"/>
      <c r="Z317" s="152"/>
      <c r="AA317" s="152"/>
      <c r="AB317" s="152"/>
    </row>
    <row r="318" spans="1:28" hidden="1" outlineLevel="1">
      <c r="A318" s="242"/>
      <c r="B318" s="190" t="str">
        <f t="shared" ca="1" si="430"/>
        <v>RL Capex 2025-26</v>
      </c>
      <c r="C318" s="1429"/>
      <c r="D318" s="1429"/>
      <c r="E318" s="1429"/>
      <c r="F318" s="1429"/>
      <c r="G318" s="1429"/>
      <c r="H318" s="1429"/>
      <c r="I318" s="1429"/>
      <c r="J318" s="1429"/>
      <c r="K318" s="1429"/>
      <c r="L318" s="1424"/>
      <c r="M318" s="1428">
        <f>M280</f>
        <v>20</v>
      </c>
      <c r="N318" s="1423">
        <f t="shared" si="420"/>
        <v>19</v>
      </c>
      <c r="O318" s="1423">
        <f t="shared" si="421"/>
        <v>18</v>
      </c>
      <c r="P318" s="1423">
        <f t="shared" si="422"/>
        <v>17</v>
      </c>
      <c r="Q318" s="1423">
        <f t="shared" si="423"/>
        <v>16</v>
      </c>
      <c r="R318" s="1423">
        <f t="shared" si="424"/>
        <v>15</v>
      </c>
      <c r="S318" s="1423">
        <f t="shared" si="425"/>
        <v>14</v>
      </c>
      <c r="T318" s="1423">
        <f t="shared" si="426"/>
        <v>13</v>
      </c>
      <c r="U318" s="1423">
        <f t="shared" si="427"/>
        <v>12</v>
      </c>
      <c r="V318" s="1423">
        <f t="shared" si="428"/>
        <v>11</v>
      </c>
      <c r="W318" s="1423">
        <f t="shared" si="429"/>
        <v>10</v>
      </c>
      <c r="X318" s="152"/>
      <c r="Y318" s="152"/>
      <c r="Z318" s="152"/>
      <c r="AA318" s="152"/>
      <c r="AB318" s="152"/>
    </row>
    <row r="319" spans="1:28" hidden="1" outlineLevel="1">
      <c r="A319" s="242"/>
      <c r="B319" s="190" t="str">
        <f t="shared" ca="1" si="430"/>
        <v>RL Capex 2026-27</v>
      </c>
      <c r="C319" s="1429"/>
      <c r="D319" s="1429"/>
      <c r="E319" s="1429"/>
      <c r="F319" s="1429"/>
      <c r="G319" s="1429"/>
      <c r="H319" s="1429"/>
      <c r="I319" s="1429"/>
      <c r="J319" s="1429"/>
      <c r="K319" s="1429"/>
      <c r="L319" s="1429"/>
      <c r="M319" s="1424"/>
      <c r="N319" s="1428">
        <f>N280</f>
        <v>0</v>
      </c>
      <c r="O319" s="1423">
        <f t="shared" si="421"/>
        <v>0</v>
      </c>
      <c r="P319" s="1423">
        <f t="shared" si="422"/>
        <v>0</v>
      </c>
      <c r="Q319" s="1423">
        <f t="shared" si="423"/>
        <v>0</v>
      </c>
      <c r="R319" s="1423">
        <f t="shared" si="424"/>
        <v>0</v>
      </c>
      <c r="S319" s="1423">
        <f t="shared" si="425"/>
        <v>0</v>
      </c>
      <c r="T319" s="1423">
        <f t="shared" si="426"/>
        <v>0</v>
      </c>
      <c r="U319" s="1423">
        <f t="shared" si="427"/>
        <v>0</v>
      </c>
      <c r="V319" s="1423">
        <f t="shared" si="428"/>
        <v>0</v>
      </c>
      <c r="W319" s="1423">
        <f t="shared" si="429"/>
        <v>0</v>
      </c>
      <c r="X319" s="152"/>
      <c r="Y319" s="152"/>
      <c r="Z319" s="152"/>
      <c r="AA319" s="152"/>
      <c r="AB319" s="152"/>
    </row>
    <row r="320" spans="1:28" hidden="1" outlineLevel="1">
      <c r="A320" s="242"/>
      <c r="B320" s="190" t="str">
        <f t="shared" ca="1" si="430"/>
        <v>RL Capex 2027-28</v>
      </c>
      <c r="C320" s="1429"/>
      <c r="D320" s="1429"/>
      <c r="E320" s="1429"/>
      <c r="F320" s="1429"/>
      <c r="G320" s="1429"/>
      <c r="H320" s="1429"/>
      <c r="I320" s="1429"/>
      <c r="J320" s="1429"/>
      <c r="K320" s="1429"/>
      <c r="L320" s="1429"/>
      <c r="M320" s="1429"/>
      <c r="N320" s="1424"/>
      <c r="O320" s="1428">
        <f>O280</f>
        <v>0</v>
      </c>
      <c r="P320" s="1423">
        <f t="shared" si="422"/>
        <v>0</v>
      </c>
      <c r="Q320" s="1423">
        <f t="shared" si="423"/>
        <v>0</v>
      </c>
      <c r="R320" s="1423">
        <f t="shared" si="424"/>
        <v>0</v>
      </c>
      <c r="S320" s="1423">
        <f t="shared" si="425"/>
        <v>0</v>
      </c>
      <c r="T320" s="1423">
        <f t="shared" si="426"/>
        <v>0</v>
      </c>
      <c r="U320" s="1423">
        <f t="shared" si="427"/>
        <v>0</v>
      </c>
      <c r="V320" s="1423">
        <f t="shared" si="428"/>
        <v>0</v>
      </c>
      <c r="W320" s="1423">
        <f t="shared" si="429"/>
        <v>0</v>
      </c>
      <c r="X320" s="152"/>
      <c r="Y320" s="152"/>
      <c r="Z320" s="152"/>
      <c r="AA320" s="152"/>
      <c r="AB320" s="152"/>
    </row>
    <row r="321" spans="1:28" hidden="1" outlineLevel="1">
      <c r="A321" s="242"/>
      <c r="B321" s="190" t="str">
        <f t="shared" ca="1" si="430"/>
        <v>RL Capex 2028-29</v>
      </c>
      <c r="C321" s="1429"/>
      <c r="D321" s="1429"/>
      <c r="E321" s="1429"/>
      <c r="F321" s="1429"/>
      <c r="G321" s="1429"/>
      <c r="H321" s="1429"/>
      <c r="I321" s="1429"/>
      <c r="J321" s="1429"/>
      <c r="K321" s="1429"/>
      <c r="L321" s="1429"/>
      <c r="M321" s="1429"/>
      <c r="N321" s="1429"/>
      <c r="O321" s="1424"/>
      <c r="P321" s="1428">
        <f>P280</f>
        <v>0</v>
      </c>
      <c r="Q321" s="1423">
        <f t="shared" si="423"/>
        <v>0</v>
      </c>
      <c r="R321" s="1423">
        <f t="shared" si="424"/>
        <v>0</v>
      </c>
      <c r="S321" s="1423">
        <f t="shared" si="425"/>
        <v>0</v>
      </c>
      <c r="T321" s="1423">
        <f t="shared" si="426"/>
        <v>0</v>
      </c>
      <c r="U321" s="1423">
        <f t="shared" si="427"/>
        <v>0</v>
      </c>
      <c r="V321" s="1423">
        <f t="shared" si="428"/>
        <v>0</v>
      </c>
      <c r="W321" s="1423">
        <f t="shared" si="429"/>
        <v>0</v>
      </c>
      <c r="X321" s="152"/>
      <c r="Y321" s="152"/>
      <c r="Z321" s="152"/>
      <c r="AA321" s="152"/>
      <c r="AB321" s="152"/>
    </row>
    <row r="322" spans="1:28" hidden="1" outlineLevel="1">
      <c r="A322" s="242"/>
      <c r="B322" s="190" t="str">
        <f t="shared" ca="1" si="430"/>
        <v>RL Capex 2029-30</v>
      </c>
      <c r="C322" s="1429"/>
      <c r="D322" s="1429"/>
      <c r="E322" s="1429"/>
      <c r="F322" s="1429"/>
      <c r="G322" s="1429"/>
      <c r="H322" s="1429"/>
      <c r="I322" s="1429"/>
      <c r="J322" s="1429"/>
      <c r="K322" s="1429"/>
      <c r="L322" s="1429"/>
      <c r="M322" s="1429"/>
      <c r="N322" s="1429"/>
      <c r="O322" s="1429"/>
      <c r="P322" s="1424"/>
      <c r="Q322" s="1428">
        <f>Q280</f>
        <v>0</v>
      </c>
      <c r="R322" s="1423">
        <f t="shared" si="424"/>
        <v>0</v>
      </c>
      <c r="S322" s="1423">
        <f t="shared" si="425"/>
        <v>0</v>
      </c>
      <c r="T322" s="1423">
        <f t="shared" si="426"/>
        <v>0</v>
      </c>
      <c r="U322" s="1423">
        <f t="shared" si="427"/>
        <v>0</v>
      </c>
      <c r="V322" s="1423">
        <f t="shared" si="428"/>
        <v>0</v>
      </c>
      <c r="W322" s="1423">
        <f t="shared" si="429"/>
        <v>0</v>
      </c>
      <c r="X322" s="152"/>
      <c r="Y322" s="152"/>
      <c r="Z322" s="152"/>
      <c r="AA322" s="152"/>
      <c r="AB322" s="152"/>
    </row>
    <row r="323" spans="1:28" hidden="1" outlineLevel="1">
      <c r="A323" s="242"/>
      <c r="B323" s="190" t="str">
        <f t="shared" ca="1" si="430"/>
        <v>RL Capex 2030-31</v>
      </c>
      <c r="C323" s="1429"/>
      <c r="D323" s="1429"/>
      <c r="E323" s="1429"/>
      <c r="F323" s="1429"/>
      <c r="G323" s="1429"/>
      <c r="H323" s="1429"/>
      <c r="I323" s="1429"/>
      <c r="J323" s="1429"/>
      <c r="K323" s="1429"/>
      <c r="L323" s="1429"/>
      <c r="M323" s="1429"/>
      <c r="N323" s="1429"/>
      <c r="O323" s="1429"/>
      <c r="P323" s="1429"/>
      <c r="Q323" s="1424"/>
      <c r="R323" s="1428">
        <f>R280</f>
        <v>0</v>
      </c>
      <c r="S323" s="1423">
        <f t="shared" si="425"/>
        <v>0</v>
      </c>
      <c r="T323" s="1423">
        <f t="shared" si="426"/>
        <v>0</v>
      </c>
      <c r="U323" s="1423">
        <f t="shared" si="427"/>
        <v>0</v>
      </c>
      <c r="V323" s="1423">
        <f t="shared" si="428"/>
        <v>0</v>
      </c>
      <c r="W323" s="1423">
        <f t="shared" si="429"/>
        <v>0</v>
      </c>
      <c r="X323" s="152"/>
      <c r="Y323" s="152"/>
      <c r="Z323" s="152"/>
      <c r="AA323" s="152"/>
      <c r="AB323" s="152"/>
    </row>
    <row r="324" spans="1:28" hidden="1" outlineLevel="1">
      <c r="A324" s="242"/>
      <c r="B324" s="190" t="str">
        <f t="shared" ca="1" si="430"/>
        <v>RL Capex 2031-32</v>
      </c>
      <c r="C324" s="1429"/>
      <c r="D324" s="1429"/>
      <c r="E324" s="1429"/>
      <c r="F324" s="1429"/>
      <c r="G324" s="1429"/>
      <c r="H324" s="1429"/>
      <c r="I324" s="1429"/>
      <c r="J324" s="1429"/>
      <c r="K324" s="1429"/>
      <c r="L324" s="1429"/>
      <c r="M324" s="1429"/>
      <c r="N324" s="1429"/>
      <c r="O324" s="1429"/>
      <c r="P324" s="1429"/>
      <c r="Q324" s="1429"/>
      <c r="R324" s="1424"/>
      <c r="S324" s="1428">
        <f>S280</f>
        <v>0</v>
      </c>
      <c r="T324" s="1423">
        <f t="shared" si="426"/>
        <v>0</v>
      </c>
      <c r="U324" s="1423">
        <f t="shared" si="427"/>
        <v>0</v>
      </c>
      <c r="V324" s="1423">
        <f t="shared" si="428"/>
        <v>0</v>
      </c>
      <c r="W324" s="1423">
        <f t="shared" si="429"/>
        <v>0</v>
      </c>
      <c r="X324" s="152"/>
      <c r="Y324" s="152"/>
      <c r="Z324" s="152"/>
      <c r="AA324" s="152"/>
      <c r="AB324" s="152"/>
    </row>
    <row r="325" spans="1:28" hidden="1" outlineLevel="1">
      <c r="A325" s="242"/>
      <c r="B325" s="190" t="str">
        <f t="shared" ca="1" si="430"/>
        <v>RL Capex 2032-33</v>
      </c>
      <c r="C325" s="1429"/>
      <c r="D325" s="1429"/>
      <c r="E325" s="1429"/>
      <c r="F325" s="1429"/>
      <c r="G325" s="1429"/>
      <c r="H325" s="1429"/>
      <c r="I325" s="1429"/>
      <c r="J325" s="1429"/>
      <c r="K325" s="1429"/>
      <c r="L325" s="1429"/>
      <c r="M325" s="1429"/>
      <c r="N325" s="1429"/>
      <c r="O325" s="1429"/>
      <c r="P325" s="1429"/>
      <c r="Q325" s="1429"/>
      <c r="R325" s="1429"/>
      <c r="S325" s="1424"/>
      <c r="T325" s="1428">
        <f>T280</f>
        <v>0</v>
      </c>
      <c r="U325" s="1423">
        <f t="shared" si="427"/>
        <v>0</v>
      </c>
      <c r="V325" s="1423">
        <f t="shared" si="428"/>
        <v>0</v>
      </c>
      <c r="W325" s="1423">
        <f t="shared" si="429"/>
        <v>0</v>
      </c>
      <c r="X325" s="152"/>
      <c r="Y325" s="152"/>
      <c r="Z325" s="152"/>
      <c r="AA325" s="152"/>
      <c r="AB325" s="152"/>
    </row>
    <row r="326" spans="1:28" hidden="1" outlineLevel="1">
      <c r="A326" s="242"/>
      <c r="B326" s="190" t="str">
        <f t="shared" ca="1" si="430"/>
        <v>RL Capex 2033-34</v>
      </c>
      <c r="C326" s="1429"/>
      <c r="D326" s="1429"/>
      <c r="E326" s="1429"/>
      <c r="F326" s="1429"/>
      <c r="G326" s="1429"/>
      <c r="H326" s="1429"/>
      <c r="I326" s="1429"/>
      <c r="J326" s="1429"/>
      <c r="K326" s="1429"/>
      <c r="L326" s="1429"/>
      <c r="M326" s="1429"/>
      <c r="N326" s="1429"/>
      <c r="O326" s="1429"/>
      <c r="P326" s="1429"/>
      <c r="Q326" s="1429"/>
      <c r="R326" s="1429"/>
      <c r="S326" s="1429"/>
      <c r="T326" s="1424"/>
      <c r="U326" s="1428">
        <f>U280</f>
        <v>0</v>
      </c>
      <c r="V326" s="1423">
        <f t="shared" si="428"/>
        <v>0</v>
      </c>
      <c r="W326" s="1423">
        <f t="shared" si="429"/>
        <v>0</v>
      </c>
      <c r="X326" s="152"/>
      <c r="Y326" s="152"/>
      <c r="Z326" s="152"/>
      <c r="AA326" s="152"/>
      <c r="AB326" s="152"/>
    </row>
    <row r="327" spans="1:28" hidden="1" outlineLevel="1">
      <c r="A327" s="242"/>
      <c r="B327" s="190" t="str">
        <f t="shared" ca="1" si="430"/>
        <v>RL Capex 2034-35</v>
      </c>
      <c r="C327" s="1429"/>
      <c r="D327" s="1429"/>
      <c r="E327" s="1429"/>
      <c r="F327" s="1429"/>
      <c r="G327" s="1429"/>
      <c r="H327" s="1429"/>
      <c r="I327" s="1429"/>
      <c r="J327" s="1429"/>
      <c r="K327" s="1429"/>
      <c r="L327" s="1429"/>
      <c r="M327" s="1429"/>
      <c r="N327" s="1429"/>
      <c r="O327" s="1429"/>
      <c r="P327" s="1429"/>
      <c r="Q327" s="1429"/>
      <c r="R327" s="1429"/>
      <c r="S327" s="1429"/>
      <c r="T327" s="1429"/>
      <c r="U327" s="1424"/>
      <c r="V327" s="1428">
        <f>V280</f>
        <v>0</v>
      </c>
      <c r="W327" s="1423">
        <f>IF(V327="n/a","n/a",MAX(0,V327-1))</f>
        <v>0</v>
      </c>
      <c r="X327" s="152"/>
      <c r="Y327" s="152"/>
      <c r="Z327" s="152"/>
      <c r="AA327" s="152"/>
      <c r="AB327" s="152"/>
    </row>
    <row r="328" spans="1:28" hidden="1" outlineLevel="1">
      <c r="A328" s="242"/>
      <c r="B328" s="190" t="str">
        <f t="shared" ca="1" si="430"/>
        <v>RL Capex 2035-36</v>
      </c>
      <c r="C328" s="1429"/>
      <c r="D328" s="1429"/>
      <c r="E328" s="1429"/>
      <c r="F328" s="1429"/>
      <c r="G328" s="1429"/>
      <c r="H328" s="1429"/>
      <c r="I328" s="1429"/>
      <c r="J328" s="1429"/>
      <c r="K328" s="1429"/>
      <c r="L328" s="1429"/>
      <c r="M328" s="1429"/>
      <c r="N328" s="1429"/>
      <c r="O328" s="1429"/>
      <c r="P328" s="1429"/>
      <c r="Q328" s="1429"/>
      <c r="R328" s="1429"/>
      <c r="S328" s="1429"/>
      <c r="T328" s="1429"/>
      <c r="U328" s="1429"/>
      <c r="V328" s="1424"/>
      <c r="W328" s="1423">
        <f>W280</f>
        <v>0</v>
      </c>
      <c r="X328" s="152"/>
      <c r="Y328" s="152"/>
      <c r="Z328" s="152"/>
      <c r="AA328" s="152"/>
      <c r="AB328" s="152"/>
    </row>
    <row r="329" spans="1:28" hidden="1" outlineLevel="1">
      <c r="A329" s="242"/>
      <c r="B329" s="200"/>
      <c r="C329" s="1423"/>
      <c r="D329" s="1423"/>
      <c r="E329" s="1423"/>
      <c r="F329" s="1423"/>
      <c r="G329" s="1423"/>
      <c r="H329" s="1423"/>
      <c r="I329" s="1423"/>
      <c r="J329" s="1423"/>
      <c r="K329" s="1423"/>
      <c r="L329" s="1423"/>
      <c r="M329" s="1423"/>
      <c r="N329" s="1423"/>
      <c r="O329" s="1423"/>
      <c r="P329" s="1423"/>
      <c r="Q329" s="1423"/>
      <c r="R329" s="1423"/>
      <c r="S329" s="1423"/>
      <c r="T329" s="1423"/>
      <c r="U329" s="1423"/>
      <c r="V329" s="1423"/>
      <c r="W329" s="1423"/>
      <c r="X329" s="152"/>
      <c r="Y329" s="152"/>
      <c r="Z329" s="152"/>
      <c r="AA329" s="152"/>
      <c r="AB329" s="152"/>
    </row>
    <row r="330" spans="1:28" collapsed="1">
      <c r="A330" s="246"/>
      <c r="B330" s="204" t="s">
        <v>123</v>
      </c>
      <c r="C330" s="1430">
        <f ca="1">(IF(OR($C280&lt;&gt;"n/a",C280&lt;&gt;"n/a"),IF(SUM(C283:C305)=0,0,IF((SUMPRODUCT(C283:C305,C307:C329)/SUM(C283:C305))&lt;0,1,(SUMPRODUCT(C283:C305,C307:C329)/SUM(C283:C305)))),"n/a"))</f>
        <v>17.058052355417484</v>
      </c>
      <c r="D330" s="1430">
        <f ca="1">(IF(OR($C280&lt;&gt;"n/a",D280&lt;&gt;"n/a"),IF(SUM(D283:D305)=0,0,IF((SUMPRODUCT(D283:D305,D307:D329)/SUM(D283:D305))&lt;0,1,(SUMPRODUCT(D283:D305,D307:D329)/SUM(D283:D305)))),"n/a"))</f>
        <v>16.552980366284089</v>
      </c>
      <c r="E330" s="1430">
        <f t="shared" ref="E330:W330" ca="1" si="431">(IF(OR($C280&lt;&gt;"n/a",E280&lt;&gt;"n/a"),IF(SUM(E283:E305)=0,0,IF((SUMPRODUCT(E283:E305,E307:E329)/SUM(E283:E305))&lt;0,1,(SUMPRODUCT(E283:E305,E307:E329)/SUM(E283:E305)))),"n/a"))</f>
        <v>15.812683241357997</v>
      </c>
      <c r="F330" s="1430">
        <f t="shared" ca="1" si="431"/>
        <v>15.279274559574837</v>
      </c>
      <c r="G330" s="1430">
        <f t="shared" ca="1" si="431"/>
        <v>15.326591948831572</v>
      </c>
      <c r="H330" s="1430">
        <f t="shared" ca="1" si="431"/>
        <v>14.871427291083547</v>
      </c>
      <c r="I330" s="1430">
        <f t="shared" ca="1" si="431"/>
        <v>14.463398675112982</v>
      </c>
      <c r="J330" s="1430">
        <f t="shared" ca="1" si="431"/>
        <v>14.074768841440182</v>
      </c>
      <c r="K330" s="1430">
        <f t="shared" ca="1" si="431"/>
        <v>13.161184009164593</v>
      </c>
      <c r="L330" s="1430">
        <f t="shared" ca="1" si="431"/>
        <v>12.263261502424683</v>
      </c>
      <c r="M330" s="1430">
        <f t="shared" ca="1" si="431"/>
        <v>11.38568373288909</v>
      </c>
      <c r="N330" s="1430">
        <f t="shared" ca="1" si="431"/>
        <v>10.535206172575084</v>
      </c>
      <c r="O330" s="1430">
        <f t="shared" ca="1" si="431"/>
        <v>9.721947407862265</v>
      </c>
      <c r="P330" s="1430">
        <f t="shared" ca="1" si="431"/>
        <v>8.9617794870131906</v>
      </c>
      <c r="Q330" s="1430">
        <f t="shared" ca="1" si="431"/>
        <v>8.2810948385482614</v>
      </c>
      <c r="R330" s="1430">
        <f t="shared" ca="1" si="431"/>
        <v>7.7272539747598525</v>
      </c>
      <c r="S330" s="1430">
        <f t="shared" ca="1" si="431"/>
        <v>7.3945696562880512</v>
      </c>
      <c r="T330" s="1430">
        <f t="shared" ca="1" si="431"/>
        <v>7.5016637840593328</v>
      </c>
      <c r="U330" s="1430">
        <f t="shared" ca="1" si="431"/>
        <v>6.6692845710471618</v>
      </c>
      <c r="V330" s="1430">
        <f t="shared" ca="1" si="431"/>
        <v>5.7874906886076536</v>
      </c>
      <c r="W330" s="1430">
        <f t="shared" ca="1" si="431"/>
        <v>4.9637836113683287</v>
      </c>
      <c r="X330" s="152"/>
      <c r="Y330" s="152"/>
      <c r="Z330" s="152"/>
      <c r="AA330" s="152"/>
      <c r="AB330" s="152"/>
    </row>
    <row r="331" spans="1:28">
      <c r="A331" s="242"/>
      <c r="B331" s="152"/>
      <c r="C331" s="1423"/>
      <c r="D331" s="1423"/>
      <c r="E331" s="1423"/>
      <c r="F331" s="1423"/>
      <c r="G331" s="1423"/>
      <c r="H331" s="1423"/>
      <c r="I331" s="1423"/>
      <c r="J331" s="1423"/>
      <c r="K331" s="1423"/>
      <c r="L331" s="1423"/>
      <c r="M331" s="1423"/>
      <c r="N331" s="1423"/>
      <c r="O331" s="1423"/>
      <c r="P331" s="1423"/>
      <c r="Q331" s="1423"/>
      <c r="R331" s="1423"/>
      <c r="S331" s="1423"/>
      <c r="T331" s="1423"/>
      <c r="U331" s="1423"/>
      <c r="V331" s="1423"/>
      <c r="W331" s="1423"/>
      <c r="X331" s="152"/>
      <c r="Y331" s="152"/>
      <c r="Z331" s="152"/>
      <c r="AA331" s="152"/>
      <c r="AB331" s="152"/>
    </row>
    <row r="332" spans="1:28">
      <c r="A332" s="269" t="s">
        <v>7</v>
      </c>
      <c r="B332" s="270" t="str">
        <f>VLOOKUP($A332,'RFM input'!$E$7:$F$56,2,FALSE)</f>
        <v>Other</v>
      </c>
      <c r="C332" s="1431"/>
      <c r="D332" s="1431"/>
      <c r="E332" s="1432"/>
      <c r="F332" s="1432"/>
      <c r="G332" s="1432"/>
      <c r="H332" s="1432"/>
      <c r="I332" s="1432"/>
      <c r="J332" s="1432"/>
      <c r="K332" s="1432"/>
      <c r="L332" s="1432"/>
      <c r="M332" s="1432"/>
      <c r="N332" s="1432"/>
      <c r="O332" s="1432"/>
      <c r="P332" s="1432"/>
      <c r="Q332" s="1432"/>
      <c r="R332" s="1432"/>
      <c r="S332" s="1432"/>
      <c r="T332" s="1432"/>
      <c r="U332" s="1432"/>
      <c r="V332" s="1432"/>
      <c r="W332" s="1432"/>
      <c r="X332" s="152"/>
      <c r="Y332" s="152"/>
      <c r="Z332" s="152"/>
      <c r="AA332" s="152"/>
      <c r="AB332" s="152"/>
    </row>
    <row r="333" spans="1:28">
      <c r="A333" s="215">
        <f>VALUE(REPLACE(A332,1,12,""))</f>
        <v>7</v>
      </c>
      <c r="B333" s="263" t="s">
        <v>126</v>
      </c>
      <c r="C333" s="1416">
        <f ca="1">IF($D$6='TAB roll forward'!$H$4,OFFSET('TAB roll forward'!$H$7,A333,0),"enter input")</f>
        <v>0.19718286647050909</v>
      </c>
      <c r="D333" s="1417">
        <f>IF(LEFT(D$6,4)&lt;LEFT('RFM input'!$G$60,4),"enter input",IF(LEFT(D$6,4)&gt;LEFT('RFM input'!$Q$60,4),0,
INDEX('RFM input'!$G$61:$Q$110,$A333,MATCH(D$6,'RFM input'!$G$60:$Q$60,0))
   -INDEX('RFM input'!$G$115:$Q$164,$A333,MATCH(D$6,'RFM input'!$G$60:$Q$60,0))))</f>
        <v>-2.8917999999999999E-2</v>
      </c>
      <c r="E333" s="1417">
        <f>IF(LEFT(E$6,4)&lt;LEFT('RFM input'!$G$60,4),"enter input",IF(LEFT(E$6,4)&gt;LEFT('RFM input'!$Q$60,4),0,
INDEX('RFM input'!$G$61:$Q$110,$A333,MATCH(E$6,'RFM input'!$G$60:$Q$60,0))
   -INDEX('RFM input'!$G$115:$Q$164,$A333,MATCH(E$6,'RFM input'!$G$60:$Q$60,0))))</f>
        <v>0</v>
      </c>
      <c r="F333" s="1417">
        <f>IF(LEFT(F$6,4)&lt;LEFT('RFM input'!$G$60,4),"enter input",IF(LEFT(F$6,4)&gt;LEFT('RFM input'!$Q$60,4),0,
INDEX('RFM input'!$G$61:$Q$110,$A333,MATCH(F$6,'RFM input'!$G$60:$Q$60,0))
   -INDEX('RFM input'!$G$115:$Q$164,$A333,MATCH(F$6,'RFM input'!$G$60:$Q$60,0))))</f>
        <v>0</v>
      </c>
      <c r="G333" s="1417">
        <f>IF(LEFT(G$6,4)&lt;LEFT('RFM input'!$G$60,4),"enter input",IF(LEFT(G$6,4)&gt;LEFT('RFM input'!$Q$60,4),0,
INDEX('RFM input'!$G$61:$Q$110,$A333,MATCH(G$6,'RFM input'!$G$60:$Q$60,0))
   -INDEX('RFM input'!$G$115:$Q$164,$A333,MATCH(G$6,'RFM input'!$G$60:$Q$60,0))))</f>
        <v>0</v>
      </c>
      <c r="H333" s="1417">
        <f>IF(LEFT(H$6,4)&lt;LEFT('RFM input'!$G$60,4),"enter input",IF(LEFT(H$6,4)&gt;LEFT('RFM input'!$Q$60,4),0,
INDEX('RFM input'!$G$61:$Q$110,$A333,MATCH(H$6,'RFM input'!$G$60:$Q$60,0))
   -INDEX('RFM input'!$G$115:$Q$164,$A333,MATCH(H$6,'RFM input'!$G$60:$Q$60,0))))</f>
        <v>0</v>
      </c>
      <c r="I333" s="1417">
        <f>IF(LEFT(I$6,4)&lt;LEFT('RFM input'!$G$60,4),"enter input",IF(LEFT(I$6,4)&gt;LEFT('RFM input'!$Q$60,4),0,
INDEX('RFM input'!$G$61:$Q$110,$A333,MATCH(I$6,'RFM input'!$G$60:$Q$60,0))
   -INDEX('RFM input'!$G$115:$Q$164,$A333,MATCH(I$6,'RFM input'!$G$60:$Q$60,0))))</f>
        <v>0</v>
      </c>
      <c r="J333" s="1417">
        <f>IF(LEFT(J$6,4)&lt;LEFT('RFM input'!$G$60,4),"enter input",IF(LEFT(J$6,4)&gt;LEFT('RFM input'!$Q$60,4),0,
INDEX('RFM input'!$G$61:$Q$110,$A333,MATCH(J$6,'RFM input'!$G$60:$Q$60,0))
   -INDEX('RFM input'!$G$115:$Q$164,$A333,MATCH(J$6,'RFM input'!$G$60:$Q$60,0))))</f>
        <v>0</v>
      </c>
      <c r="K333" s="1417">
        <f>IF(LEFT(K$6,4)&lt;LEFT('RFM input'!$G$60,4),"enter input",IF(LEFT(K$6,4)&gt;LEFT('RFM input'!$Q$60,4),0,
INDEX('RFM input'!$G$61:$Q$110,$A333,MATCH(K$6,'RFM input'!$G$60:$Q$60,0))
   -INDEX('RFM input'!$G$115:$Q$164,$A333,MATCH(K$6,'RFM input'!$G$60:$Q$60,0))))</f>
        <v>0</v>
      </c>
      <c r="L333" s="1417">
        <f>IF(LEFT(L$6,4)&lt;LEFT('RFM input'!$G$60,4),"enter input",IF(LEFT(L$6,4)&gt;LEFT('RFM input'!$Q$60,4),0,
INDEX('RFM input'!$G$61:$Q$110,$A333,MATCH(L$6,'RFM input'!$G$60:$Q$60,0))
   -INDEX('RFM input'!$G$115:$Q$164,$A333,MATCH(L$6,'RFM input'!$G$60:$Q$60,0))))</f>
        <v>0</v>
      </c>
      <c r="M333" s="1417">
        <f>IF(LEFT(M$6,4)&lt;LEFT('RFM input'!$G$60,4),"enter input",IF(LEFT(M$6,4)&gt;LEFT('RFM input'!$Q$60,4),0,
INDEX('RFM input'!$G$61:$Q$110,$A333,MATCH(M$6,'RFM input'!$G$60:$Q$60,0))
   -INDEX('RFM input'!$G$115:$Q$164,$A333,MATCH(M$6,'RFM input'!$G$60:$Q$60,0))))</f>
        <v>0</v>
      </c>
      <c r="N333" s="1417">
        <f>IF(LEFT(N$6,4)&lt;LEFT('RFM input'!$G$60,4),"enter input",IF(LEFT(N$6,4)&gt;LEFT('RFM input'!$Q$60,4),0,
INDEX('RFM input'!$G$61:$Q$110,$A333,MATCH(N$6,'RFM input'!$G$60:$Q$60,0))
   -INDEX('RFM input'!$G$115:$Q$164,$A333,MATCH(N$6,'RFM input'!$G$60:$Q$60,0))))</f>
        <v>0</v>
      </c>
      <c r="O333" s="1417">
        <f>IF(LEFT(O$6,4)&lt;LEFT('RFM input'!$G$60,4),"enter input",IF(LEFT(O$6,4)&gt;LEFT('RFM input'!$Q$60,4),0,
INDEX('RFM input'!$G$61:$Q$110,$A333,MATCH(O$6,'RFM input'!$G$60:$Q$60,0))
   -INDEX('RFM input'!$G$115:$Q$164,$A333,MATCH(O$6,'RFM input'!$G$60:$Q$60,0))))</f>
        <v>0</v>
      </c>
      <c r="P333" s="1417">
        <f>IF(LEFT(P$6,4)&lt;LEFT('RFM input'!$G$60,4),"enter input",IF(LEFT(P$6,4)&gt;LEFT('RFM input'!$Q$60,4),0,
INDEX('RFM input'!$G$61:$Q$110,$A333,MATCH(P$6,'RFM input'!$G$60:$Q$60,0))
   -INDEX('RFM input'!$G$115:$Q$164,$A333,MATCH(P$6,'RFM input'!$G$60:$Q$60,0))))</f>
        <v>0</v>
      </c>
      <c r="Q333" s="1417">
        <f>IF(LEFT(Q$6,4)&lt;LEFT('RFM input'!$G$60,4),"enter input",IF(LEFT(Q$6,4)&gt;LEFT('RFM input'!$Q$60,4),0,
INDEX('RFM input'!$G$61:$Q$110,$A333,MATCH(Q$6,'RFM input'!$G$60:$Q$60,0))
   -INDEX('RFM input'!$G$115:$Q$164,$A333,MATCH(Q$6,'RFM input'!$G$60:$Q$60,0))))</f>
        <v>0</v>
      </c>
      <c r="R333" s="1417">
        <f>IF(LEFT(R$6,4)&lt;LEFT('RFM input'!$G$60,4),"enter input",IF(LEFT(R$6,4)&gt;LEFT('RFM input'!$Q$60,4),0,
INDEX('RFM input'!$G$61:$Q$110,$A333,MATCH(R$6,'RFM input'!$G$60:$Q$60,0))
   -INDEX('RFM input'!$G$115:$Q$164,$A333,MATCH(R$6,'RFM input'!$G$60:$Q$60,0))))</f>
        <v>0</v>
      </c>
      <c r="S333" s="1417">
        <f>IF(LEFT(S$6,4)&lt;LEFT('RFM input'!$G$60,4),"enter input",IF(LEFT(S$6,4)&gt;LEFT('RFM input'!$Q$60,4),0,
INDEX('RFM input'!$G$61:$Q$110,$A333,MATCH(S$6,'RFM input'!$G$60:$Q$60,0))
   -INDEX('RFM input'!$G$115:$Q$164,$A333,MATCH(S$6,'RFM input'!$G$60:$Q$60,0))))</f>
        <v>0</v>
      </c>
      <c r="T333" s="1417">
        <f>IF(LEFT(T$6,4)&lt;LEFT('RFM input'!$G$60,4),"enter input",IF(LEFT(T$6,4)&gt;LEFT('RFM input'!$Q$60,4),0,
INDEX('RFM input'!$G$61:$Q$110,$A333,MATCH(T$6,'RFM input'!$G$60:$Q$60,0))
   -INDEX('RFM input'!$G$115:$Q$164,$A333,MATCH(T$6,'RFM input'!$G$60:$Q$60,0))))</f>
        <v>0</v>
      </c>
      <c r="U333" s="1417">
        <f>IF(LEFT(U$6,4)&lt;LEFT('RFM input'!$G$60,4),"enter input",IF(LEFT(U$6,4)&gt;LEFT('RFM input'!$Q$60,4),0,
INDEX('RFM input'!$G$61:$Q$110,$A333,MATCH(U$6,'RFM input'!$G$60:$Q$60,0))
   -INDEX('RFM input'!$G$115:$Q$164,$A333,MATCH(U$6,'RFM input'!$G$60:$Q$60,0))))</f>
        <v>0</v>
      </c>
      <c r="V333" s="1417">
        <f>IF(LEFT(V$6,4)&lt;LEFT('RFM input'!$G$60,4),"enter input",IF(LEFT(V$6,4)&gt;LEFT('RFM input'!$Q$60,4),0,
INDEX('RFM input'!$G$61:$Q$110,$A333,MATCH(V$6,'RFM input'!$G$60:$Q$60,0))
   -INDEX('RFM input'!$G$115:$Q$164,$A333,MATCH(V$6,'RFM input'!$G$60:$Q$60,0))))</f>
        <v>0</v>
      </c>
      <c r="W333" s="1417">
        <f>IF(LEFT(W$6,4)&lt;LEFT('RFM input'!$G$60,4),"enter input",IF(LEFT(W$6,4)&gt;LEFT('RFM input'!$Q$60,4),0,
INDEX('RFM input'!$G$61:$Q$110,$A333,MATCH(W$6,'RFM input'!$G$60:$Q$60,0))
   -INDEX('RFM input'!$G$115:$Q$164,$A333,MATCH(W$6,'RFM input'!$G$60:$Q$60,0))))</f>
        <v>0</v>
      </c>
      <c r="X333" s="152"/>
      <c r="Y333" s="152"/>
      <c r="Z333" s="152"/>
      <c r="AA333" s="152"/>
      <c r="AB333" s="152"/>
    </row>
    <row r="334" spans="1:28">
      <c r="A334" s="242"/>
      <c r="B334" s="152" t="s">
        <v>205</v>
      </c>
      <c r="C334" s="1418">
        <f ca="1">IF($D$6='TAB roll forward'!$H$4,OFFSET('RFM input'!$S$6,$A333,0),"enter input")</f>
        <v>1.5818277466198207</v>
      </c>
      <c r="D334" s="1417">
        <f>IF(LEFT(D$6,4)&lt;=LEFT('RFM input'!$G$60,4),"enter input",IF(LEFT(D$6,4)&gt;LEFT('RFM input'!$Q$60,4),0,
IF(MATCH(D$6,'RFM input'!$H$60:$Q$60,0),INDEX('RFM input'!$T$7:$T$56,$A333,1,1))))</f>
        <v>10</v>
      </c>
      <c r="E334" s="1417">
        <f>IF(LEFT(E$6,4)&lt;=LEFT('RFM input'!$G$60,4),"enter input",IF(LEFT(E$6,4)&gt;LEFT('RFM input'!$Q$60,4),0,
IF(MATCH(E$6,'RFM input'!$H$60:$Q$60,0),INDEX('RFM input'!$T$7:$T$56,$A333,1,1))))</f>
        <v>10</v>
      </c>
      <c r="F334" s="1417">
        <f>IF(LEFT(F$6,4)&lt;=LEFT('RFM input'!$G$60,4),"enter input",IF(LEFT(F$6,4)&gt;LEFT('RFM input'!$Q$60,4),0,
IF(MATCH(F$6,'RFM input'!$H$60:$Q$60,0),INDEX('RFM input'!$T$7:$T$56,$A333,1,1))))</f>
        <v>10</v>
      </c>
      <c r="G334" s="1417">
        <f>IF(LEFT(G$6,4)&lt;=LEFT('RFM input'!$G$60,4),"enter input",IF(LEFT(G$6,4)&gt;LEFT('RFM input'!$Q$60,4),0,
IF(MATCH(G$6,'RFM input'!$H$60:$Q$60,0),INDEX('RFM input'!$T$7:$T$56,$A333,1,1))))</f>
        <v>10</v>
      </c>
      <c r="H334" s="1417">
        <f>IF(LEFT(H$6,4)&lt;=LEFT('RFM input'!$G$60,4),"enter input",IF(LEFT(H$6,4)&gt;LEFT('RFM input'!$Q$60,4),0,
IF(MATCH(H$6,'RFM input'!$H$60:$Q$60,0),INDEX('RFM input'!$T$7:$T$56,$A333,1,1))))</f>
        <v>10</v>
      </c>
      <c r="I334" s="1417">
        <f>IF(LEFT(I$6,4)&lt;=LEFT('RFM input'!$G$60,4),"enter input",IF(LEFT(I$6,4)&gt;LEFT('RFM input'!$Q$60,4),0,
IF(MATCH(I$6,'RFM input'!$H$60:$Q$60,0),INDEX('RFM input'!$T$7:$T$56,$A333,1,1))))</f>
        <v>10</v>
      </c>
      <c r="J334" s="1417">
        <f>IF(LEFT(J$6,4)&lt;=LEFT('RFM input'!$G$60,4),"enter input",IF(LEFT(J$6,4)&gt;LEFT('RFM input'!$Q$60,4),0,
IF(MATCH(J$6,'RFM input'!$H$60:$Q$60,0),INDEX('RFM input'!$T$7:$T$56,$A333,1,1))))</f>
        <v>10</v>
      </c>
      <c r="K334" s="1417">
        <f>IF(LEFT(K$6,4)&lt;=LEFT('RFM input'!$G$60,4),"enter input",IF(LEFT(K$6,4)&gt;LEFT('RFM input'!$Q$60,4),0,
IF(MATCH(K$6,'RFM input'!$H$60:$Q$60,0),INDEX('RFM input'!$T$7:$T$56,$A333,1,1))))</f>
        <v>10</v>
      </c>
      <c r="L334" s="1417">
        <f>IF(LEFT(L$6,4)&lt;=LEFT('RFM input'!$G$60,4),"enter input",IF(LEFT(L$6,4)&gt;LEFT('RFM input'!$Q$60,4),0,
IF(MATCH(L$6,'RFM input'!$H$60:$Q$60,0),INDEX('RFM input'!$T$7:$T$56,$A333,1,1))))</f>
        <v>10</v>
      </c>
      <c r="M334" s="1417">
        <f>IF(LEFT(M$6,4)&lt;=LEFT('RFM input'!$G$60,4),"enter input",IF(LEFT(M$6,4)&gt;LEFT('RFM input'!$Q$60,4),0,
IF(MATCH(M$6,'RFM input'!$H$60:$Q$60,0),INDEX('RFM input'!$T$7:$T$56,$A333,1,1))))</f>
        <v>10</v>
      </c>
      <c r="N334" s="1417">
        <f>IF(LEFT(N$6,4)&lt;=LEFT('RFM input'!$G$60,4),"enter input",IF(LEFT(N$6,4)&gt;LEFT('RFM input'!$Q$60,4),0,
IF(MATCH(N$6,'RFM input'!$H$60:$Q$60,0),INDEX('RFM input'!$T$7:$T$56,$A333,1,1))))</f>
        <v>0</v>
      </c>
      <c r="O334" s="1417">
        <f>IF(LEFT(O$6,4)&lt;=LEFT('RFM input'!$G$60,4),"enter input",IF(LEFT(O$6,4)&gt;LEFT('RFM input'!$Q$60,4),0,
IF(MATCH(O$6,'RFM input'!$H$60:$Q$60,0),INDEX('RFM input'!$T$7:$T$56,$A333,1,1))))</f>
        <v>0</v>
      </c>
      <c r="P334" s="1417">
        <f>IF(LEFT(P$6,4)&lt;=LEFT('RFM input'!$G$60,4),"enter input",IF(LEFT(P$6,4)&gt;LEFT('RFM input'!$Q$60,4),0,
IF(MATCH(P$6,'RFM input'!$H$60:$Q$60,0),INDEX('RFM input'!$T$7:$T$56,$A333,1,1))))</f>
        <v>0</v>
      </c>
      <c r="Q334" s="1417">
        <f>IF(LEFT(Q$6,4)&lt;=LEFT('RFM input'!$G$60,4),"enter input",IF(LEFT(Q$6,4)&gt;LEFT('RFM input'!$Q$60,4),0,
IF(MATCH(Q$6,'RFM input'!$H$60:$Q$60,0),INDEX('RFM input'!$T$7:$T$56,$A333,1,1))))</f>
        <v>0</v>
      </c>
      <c r="R334" s="1417">
        <f>IF(LEFT(R$6,4)&lt;=LEFT('RFM input'!$G$60,4),"enter input",IF(LEFT(R$6,4)&gt;LEFT('RFM input'!$Q$60,4),0,
IF(MATCH(R$6,'RFM input'!$H$60:$Q$60,0),INDEX('RFM input'!$T$7:$T$56,$A333,1,1))))</f>
        <v>0</v>
      </c>
      <c r="S334" s="1417">
        <f>IF(LEFT(S$6,4)&lt;=LEFT('RFM input'!$G$60,4),"enter input",IF(LEFT(S$6,4)&gt;LEFT('RFM input'!$Q$60,4),0,
IF(MATCH(S$6,'RFM input'!$H$60:$Q$60,0),INDEX('RFM input'!$T$7:$T$56,$A333,1,1))))</f>
        <v>0</v>
      </c>
      <c r="T334" s="1417">
        <f>IF(LEFT(T$6,4)&lt;=LEFT('RFM input'!$G$60,4),"enter input",IF(LEFT(T$6,4)&gt;LEFT('RFM input'!$Q$60,4),0,
IF(MATCH(T$6,'RFM input'!$H$60:$Q$60,0),INDEX('RFM input'!$T$7:$T$56,$A333,1,1))))</f>
        <v>0</v>
      </c>
      <c r="U334" s="1417">
        <f>IF(LEFT(U$6,4)&lt;=LEFT('RFM input'!$G$60,4),"enter input",IF(LEFT(U$6,4)&gt;LEFT('RFM input'!$Q$60,4),0,
IF(MATCH(U$6,'RFM input'!$H$60:$Q$60,0),INDEX('RFM input'!$T$7:$T$56,$A333,1,1))))</f>
        <v>0</v>
      </c>
      <c r="V334" s="1417">
        <f>IF(LEFT(V$6,4)&lt;=LEFT('RFM input'!$G$60,4),"enter input",IF(LEFT(V$6,4)&gt;LEFT('RFM input'!$Q$60,4),0,
IF(MATCH(V$6,'RFM input'!$H$60:$Q$60,0),INDEX('RFM input'!$T$7:$T$56,$A333,1,1))))</f>
        <v>0</v>
      </c>
      <c r="W334" s="1417">
        <f>IF(LEFT(W$6,4)&lt;=LEFT('RFM input'!$G$60,4),"enter input",IF(LEFT(W$6,4)&gt;LEFT('RFM input'!$Q$60,4),0,
IF(MATCH(W$6,'RFM input'!$H$60:$Q$60,0),INDEX('RFM input'!$T$7:$T$56,$A333,1,1))))</f>
        <v>0</v>
      </c>
      <c r="X334" s="152"/>
      <c r="Y334" s="152"/>
      <c r="Z334" s="152"/>
      <c r="AA334" s="152"/>
      <c r="AB334" s="152"/>
    </row>
    <row r="335" spans="1:28">
      <c r="A335" s="242"/>
      <c r="B335" s="193" t="s">
        <v>192</v>
      </c>
      <c r="C335" s="1419"/>
      <c r="D335" s="1420">
        <f ca="1">IF(LEFT(D$6,4)&lt;=LEFT('RFM input'!$G$60,4),"enter input",IF(LEFT(D$6,4)&gt;LEFT('RFM input'!$Q$60,4),0,
IF(D$6=(OFFSET('RFM input'!$G$60,0,'RFM input'!$V$7)),OFFSET('RFM input'!$H$411,$A333,0),0)))</f>
        <v>0</v>
      </c>
      <c r="E335" s="1417">
        <f ca="1">IF(LEFT(E$6,4)&lt;=LEFT('RFM input'!$G$60,4),"enter input",IF(LEFT(E$6,4)&gt;LEFT('RFM input'!$Q$60,4),0,
IF(E$6=(OFFSET('RFM input'!$G$60,0,'RFM input'!$V$7)),OFFSET('RFM input'!$H$411,$A333,0),0)))</f>
        <v>0</v>
      </c>
      <c r="F335" s="1417">
        <f ca="1">IF(LEFT(F$6,4)&lt;=LEFT('RFM input'!$G$60,4),"enter input",IF(LEFT(F$6,4)&gt;LEFT('RFM input'!$Q$60,4),0,
IF(F$6=(OFFSET('RFM input'!$G$60,0,'RFM input'!$V$7)),OFFSET('RFM input'!$H$411,$A333,0),0)))</f>
        <v>0</v>
      </c>
      <c r="G335" s="1417">
        <f ca="1">IF(LEFT(G$6,4)&lt;=LEFT('RFM input'!$G$60,4),"enter input",IF(LEFT(G$6,4)&gt;LEFT('RFM input'!$Q$60,4),0,
IF(G$6=(OFFSET('RFM input'!$G$60,0,'RFM input'!$V$7)),OFFSET('RFM input'!$H$411,$A333,0),0)))</f>
        <v>0</v>
      </c>
      <c r="H335" s="1417">
        <f ca="1">IF(LEFT(H$6,4)&lt;=LEFT('RFM input'!$G$60,4),"enter input",IF(LEFT(H$6,4)&gt;LEFT('RFM input'!$Q$60,4),0,
IF(H$6=(OFFSET('RFM input'!$G$60,0,'RFM input'!$V$7)),OFFSET('RFM input'!$H$411,$A333,0),0)))</f>
        <v>0</v>
      </c>
      <c r="I335" s="1417">
        <f ca="1">IF(LEFT(I$6,4)&lt;=LEFT('RFM input'!$G$60,4),"enter input",IF(LEFT(I$6,4)&gt;LEFT('RFM input'!$Q$60,4),0,
IF(I$6=(OFFSET('RFM input'!$G$60,0,'RFM input'!$V$7)),OFFSET('RFM input'!$H$411,$A333,0),0)))</f>
        <v>0</v>
      </c>
      <c r="J335" s="1417">
        <f ca="1">IF(LEFT(J$6,4)&lt;=LEFT('RFM input'!$G$60,4),"enter input",IF(LEFT(J$6,4)&gt;LEFT('RFM input'!$Q$60,4),0,
IF(J$6=(OFFSET('RFM input'!$G$60,0,'RFM input'!$V$7)),OFFSET('RFM input'!$H$411,$A333,0),0)))</f>
        <v>0</v>
      </c>
      <c r="K335" s="1417">
        <f ca="1">IF(LEFT(K$6,4)&lt;=LEFT('RFM input'!$G$60,4),"enter input",IF(LEFT(K$6,4)&gt;LEFT('RFM input'!$Q$60,4),0,
IF(K$6=(OFFSET('RFM input'!$G$60,0,'RFM input'!$V$7)),OFFSET('RFM input'!$H$411,$A333,0),0)))</f>
        <v>0</v>
      </c>
      <c r="L335" s="1417">
        <f ca="1">IF(LEFT(L$6,4)&lt;=LEFT('RFM input'!$G$60,4),"enter input",IF(LEFT(L$6,4)&gt;LEFT('RFM input'!$Q$60,4),0,
IF(L$6=(OFFSET('RFM input'!$G$60,0,'RFM input'!$V$7)),OFFSET('RFM input'!$H$411,$A333,0),0)))</f>
        <v>0</v>
      </c>
      <c r="M335" s="1417">
        <f ca="1">IF(LEFT(M$6,4)&lt;=LEFT('RFM input'!$G$60,4),"enter input",IF(LEFT(M$6,4)&gt;LEFT('RFM input'!$Q$60,4),0,
IF(M$6=(OFFSET('RFM input'!$G$60,0,'RFM input'!$V$7)),OFFSET('RFM input'!$H$411,$A333,0),0)))</f>
        <v>0</v>
      </c>
      <c r="N335" s="1417">
        <f ca="1">IF(LEFT(N$6,4)&lt;=LEFT('RFM input'!$G$60,4),"enter input",IF(LEFT(N$6,4)&gt;LEFT('RFM input'!$Q$60,4),0,
IF(N$6=(OFFSET('RFM input'!$G$60,0,'RFM input'!$V$7)),OFFSET('RFM input'!$H$411,$A333,0),0)))</f>
        <v>0</v>
      </c>
      <c r="O335" s="1417">
        <f ca="1">IF(LEFT(O$6,4)&lt;=LEFT('RFM input'!$G$60,4),"enter input",IF(LEFT(O$6,4)&gt;LEFT('RFM input'!$Q$60,4),0,
IF(O$6=(OFFSET('RFM input'!$G$60,0,'RFM input'!$V$7)),OFFSET('RFM input'!$H$411,$A333,0),0)))</f>
        <v>0</v>
      </c>
      <c r="P335" s="1417">
        <f ca="1">IF(LEFT(P$6,4)&lt;=LEFT('RFM input'!$G$60,4),"enter input",IF(LEFT(P$6,4)&gt;LEFT('RFM input'!$Q$60,4),0,
IF(P$6=(OFFSET('RFM input'!$G$60,0,'RFM input'!$V$7)),OFFSET('RFM input'!$H$411,$A333,0),0)))</f>
        <v>0</v>
      </c>
      <c r="Q335" s="1417">
        <f ca="1">IF(LEFT(Q$6,4)&lt;=LEFT('RFM input'!$G$60,4),"enter input",IF(LEFT(Q$6,4)&gt;LEFT('RFM input'!$Q$60,4),0,
IF(Q$6=(OFFSET('RFM input'!$G$60,0,'RFM input'!$V$7)),OFFSET('RFM input'!$H$411,$A333,0),0)))</f>
        <v>0</v>
      </c>
      <c r="R335" s="1417">
        <f ca="1">IF(LEFT(R$6,4)&lt;=LEFT('RFM input'!$G$60,4),"enter input",IF(LEFT(R$6,4)&gt;LEFT('RFM input'!$Q$60,4),0,
IF(R$6=(OFFSET('RFM input'!$G$60,0,'RFM input'!$V$7)),OFFSET('RFM input'!$H$411,$A333,0),0)))</f>
        <v>0</v>
      </c>
      <c r="S335" s="1417">
        <f ca="1">IF(LEFT(S$6,4)&lt;=LEFT('RFM input'!$G$60,4),"enter input",IF(LEFT(S$6,4)&gt;LEFT('RFM input'!$Q$60,4),0,
IF(S$6=(OFFSET('RFM input'!$G$60,0,'RFM input'!$V$7)),OFFSET('RFM input'!$H$411,$A333,0),0)))</f>
        <v>0</v>
      </c>
      <c r="T335" s="1417">
        <f ca="1">IF(LEFT(T$6,4)&lt;=LEFT('RFM input'!$G$60,4),"enter input",IF(LEFT(T$6,4)&gt;LEFT('RFM input'!$Q$60,4),0,
IF(T$6=(OFFSET('RFM input'!$G$60,0,'RFM input'!$V$7)),OFFSET('RFM input'!$H$411,$A333,0),0)))</f>
        <v>0</v>
      </c>
      <c r="U335" s="1417">
        <f ca="1">IF(LEFT(U$6,4)&lt;=LEFT('RFM input'!$G$60,4),"enter input",IF(LEFT(U$6,4)&gt;LEFT('RFM input'!$Q$60,4),0,
IF(U$6=(OFFSET('RFM input'!$G$60,0,'RFM input'!$V$7)),OFFSET('RFM input'!$H$411,$A333,0),0)))</f>
        <v>0</v>
      </c>
      <c r="V335" s="1417">
        <f ca="1">IF(LEFT(V$6,4)&lt;=LEFT('RFM input'!$G$60,4),"enter input",IF(LEFT(V$6,4)&gt;LEFT('RFM input'!$Q$60,4),0,
IF(V$6=(OFFSET('RFM input'!$G$60,0,'RFM input'!$V$7)),OFFSET('RFM input'!$H$411,$A333,0),0)))</f>
        <v>0</v>
      </c>
      <c r="W335" s="1417">
        <f ca="1">IF(LEFT(W$6,4)&lt;=LEFT('RFM input'!$G$60,4),"enter input",IF(LEFT(W$6,4)&gt;LEFT('RFM input'!$Q$60,4),0,
IF(W$6=(OFFSET('RFM input'!$G$60,0,'RFM input'!$V$7)),OFFSET('RFM input'!$H$411,$A333,0),0)))</f>
        <v>0</v>
      </c>
      <c r="X335" s="152"/>
      <c r="Y335" s="152"/>
      <c r="Z335" s="152"/>
      <c r="AA335" s="152"/>
      <c r="AB335" s="152"/>
    </row>
    <row r="336" spans="1:28">
      <c r="A336" s="242"/>
      <c r="B336" s="193" t="s">
        <v>200</v>
      </c>
      <c r="C336" s="1419"/>
      <c r="D336" s="1418">
        <f ca="1">IF(LEFT(D$6,4)&lt;=LEFT('RFM input'!$G$60,4),"enter input",IF(LEFT(D$6,4)&gt;LEFT('RFM input'!$Q$60,4),0,
IF(D$6=(OFFSET('RFM input'!$G$60,0,'RFM input'!$V$7)),OFFSET('RFM input'!$J$411,$A333,0),0)))</f>
        <v>0</v>
      </c>
      <c r="E336" s="1422">
        <f ca="1">IF(LEFT(E$6,4)&lt;=LEFT('RFM input'!$G$60,4),"enter input",IF(LEFT(E$6,4)&gt;LEFT('RFM input'!$Q$60,4),0,
IF(E$6=(OFFSET('RFM input'!$G$60,0,'RFM input'!$V$7)),OFFSET('RFM input'!$J$411,$A333,0),0)))</f>
        <v>0</v>
      </c>
      <c r="F336" s="1422">
        <f ca="1">IF(LEFT(F$6,4)&lt;=LEFT('RFM input'!$G$60,4),"enter input",IF(LEFT(F$6,4)&gt;LEFT('RFM input'!$Q$60,4),0,
IF(F$6=(OFFSET('RFM input'!$G$60,0,'RFM input'!$V$7)),OFFSET('RFM input'!$J$411,$A333,0),0)))</f>
        <v>0</v>
      </c>
      <c r="G336" s="1422">
        <f ca="1">IF(LEFT(G$6,4)&lt;=LEFT('RFM input'!$G$60,4),"enter input",IF(LEFT(G$6,4)&gt;LEFT('RFM input'!$Q$60,4),0,
IF(G$6=(OFFSET('RFM input'!$G$60,0,'RFM input'!$V$7)),OFFSET('RFM input'!$J$411,$A333,0),0)))</f>
        <v>0</v>
      </c>
      <c r="H336" s="1422">
        <f ca="1">IF(LEFT(H$6,4)&lt;=LEFT('RFM input'!$G$60,4),"enter input",IF(LEFT(H$6,4)&gt;LEFT('RFM input'!$Q$60,4),0,
IF(H$6=(OFFSET('RFM input'!$G$60,0,'RFM input'!$V$7)),OFFSET('RFM input'!$J$411,$A333,0),0)))</f>
        <v>0</v>
      </c>
      <c r="I336" s="1422">
        <f ca="1">IF(LEFT(I$6,4)&lt;=LEFT('RFM input'!$G$60,4),"enter input",IF(LEFT(I$6,4)&gt;LEFT('RFM input'!$Q$60,4),0,
IF(I$6=(OFFSET('RFM input'!$G$60,0,'RFM input'!$V$7)),OFFSET('RFM input'!$J$411,$A333,0),0)))</f>
        <v>0</v>
      </c>
      <c r="J336" s="1422">
        <f ca="1">IF(LEFT(J$6,4)&lt;=LEFT('RFM input'!$G$60,4),"enter input",IF(LEFT(J$6,4)&gt;LEFT('RFM input'!$Q$60,4),0,
IF(J$6=(OFFSET('RFM input'!$G$60,0,'RFM input'!$V$7)),OFFSET('RFM input'!$J$411,$A333,0),0)))</f>
        <v>0</v>
      </c>
      <c r="K336" s="1422">
        <f ca="1">IF(LEFT(K$6,4)&lt;=LEFT('RFM input'!$G$60,4),"enter input",IF(LEFT(K$6,4)&gt;LEFT('RFM input'!$Q$60,4),0,
IF(K$6=(OFFSET('RFM input'!$G$60,0,'RFM input'!$V$7)),OFFSET('RFM input'!$J$411,$A333,0),0)))</f>
        <v>0</v>
      </c>
      <c r="L336" s="1422">
        <f ca="1">IF(LEFT(L$6,4)&lt;=LEFT('RFM input'!$G$60,4),"enter input",IF(LEFT(L$6,4)&gt;LEFT('RFM input'!$Q$60,4),0,
IF(L$6=(OFFSET('RFM input'!$G$60,0,'RFM input'!$V$7)),OFFSET('RFM input'!$J$411,$A333,0),0)))</f>
        <v>0</v>
      </c>
      <c r="M336" s="1422">
        <f ca="1">IF(LEFT(M$6,4)&lt;=LEFT('RFM input'!$G$60,4),"enter input",IF(LEFT(M$6,4)&gt;LEFT('RFM input'!$Q$60,4),0,
IF(M$6=(OFFSET('RFM input'!$G$60,0,'RFM input'!$V$7)),OFFSET('RFM input'!$J$411,$A333,0),0)))</f>
        <v>0</v>
      </c>
      <c r="N336" s="1422">
        <f ca="1">IF(LEFT(N$6,4)&lt;=LEFT('RFM input'!$G$60,4),"enter input",IF(LEFT(N$6,4)&gt;LEFT('RFM input'!$Q$60,4),0,
IF(N$6=(OFFSET('RFM input'!$G$60,0,'RFM input'!$V$7)),OFFSET('RFM input'!$J$411,$A333,0),0)))</f>
        <v>0</v>
      </c>
      <c r="O336" s="1422">
        <f ca="1">IF(LEFT(O$6,4)&lt;=LEFT('RFM input'!$G$60,4),"enter input",IF(LEFT(O$6,4)&gt;LEFT('RFM input'!$Q$60,4),0,
IF(O$6=(OFFSET('RFM input'!$G$60,0,'RFM input'!$V$7)),OFFSET('RFM input'!$J$411,$A333,0),0)))</f>
        <v>0</v>
      </c>
      <c r="P336" s="1422">
        <f ca="1">IF(LEFT(P$6,4)&lt;=LEFT('RFM input'!$G$60,4),"enter input",IF(LEFT(P$6,4)&gt;LEFT('RFM input'!$Q$60,4),0,
IF(P$6=(OFFSET('RFM input'!$G$60,0,'RFM input'!$V$7)),OFFSET('RFM input'!$J$411,$A333,0),0)))</f>
        <v>0</v>
      </c>
      <c r="Q336" s="1422">
        <f ca="1">IF(LEFT(Q$6,4)&lt;=LEFT('RFM input'!$G$60,4),"enter input",IF(LEFT(Q$6,4)&gt;LEFT('RFM input'!$Q$60,4),0,
IF(Q$6=(OFFSET('RFM input'!$G$60,0,'RFM input'!$V$7)),OFFSET('RFM input'!$J$411,$A333,0),0)))</f>
        <v>0</v>
      </c>
      <c r="R336" s="1422">
        <f ca="1">IF(LEFT(R$6,4)&lt;=LEFT('RFM input'!$G$60,4),"enter input",IF(LEFT(R$6,4)&gt;LEFT('RFM input'!$Q$60,4),0,
IF(R$6=(OFFSET('RFM input'!$G$60,0,'RFM input'!$V$7)),OFFSET('RFM input'!$J$411,$A333,0),0)))</f>
        <v>0</v>
      </c>
      <c r="S336" s="1422">
        <f ca="1">IF(LEFT(S$6,4)&lt;=LEFT('RFM input'!$G$60,4),"enter input",IF(LEFT(S$6,4)&gt;LEFT('RFM input'!$Q$60,4),0,
IF(S$6=(OFFSET('RFM input'!$G$60,0,'RFM input'!$V$7)),OFFSET('RFM input'!$J$411,$A333,0),0)))</f>
        <v>0</v>
      </c>
      <c r="T336" s="1422">
        <f ca="1">IF(LEFT(T$6,4)&lt;=LEFT('RFM input'!$G$60,4),"enter input",IF(LEFT(T$6,4)&gt;LEFT('RFM input'!$Q$60,4),0,
IF(T$6=(OFFSET('RFM input'!$G$60,0,'RFM input'!$V$7)),OFFSET('RFM input'!$J$411,$A333,0),0)))</f>
        <v>0</v>
      </c>
      <c r="U336" s="1422">
        <f ca="1">IF(LEFT(U$6,4)&lt;=LEFT('RFM input'!$G$60,4),"enter input",IF(LEFT(U$6,4)&gt;LEFT('RFM input'!$Q$60,4),0,
IF(U$6=(OFFSET('RFM input'!$G$60,0,'RFM input'!$V$7)),OFFSET('RFM input'!$J$411,$A333,0),0)))</f>
        <v>0</v>
      </c>
      <c r="V336" s="1422">
        <f ca="1">IF(LEFT(V$6,4)&lt;=LEFT('RFM input'!$G$60,4),"enter input",IF(LEFT(V$6,4)&gt;LEFT('RFM input'!$Q$60,4),0,
IF(V$6=(OFFSET('RFM input'!$G$60,0,'RFM input'!$V$7)),OFFSET('RFM input'!$J$411,$A333,0),0)))</f>
        <v>0</v>
      </c>
      <c r="W336" s="1422">
        <f ca="1">IF(LEFT(W$6,4)&lt;=LEFT('RFM input'!$G$60,4),"enter input",IF(LEFT(W$6,4)&gt;LEFT('RFM input'!$Q$60,4),0,
IF(W$6=(OFFSET('RFM input'!$G$60,0,'RFM input'!$V$7)),OFFSET('RFM input'!$J$411,$A333,0),0)))</f>
        <v>0</v>
      </c>
      <c r="X336" s="152"/>
      <c r="Y336" s="152"/>
      <c r="Z336" s="152"/>
      <c r="AA336" s="152"/>
      <c r="AB336" s="152"/>
    </row>
    <row r="337" spans="1:28" hidden="1" outlineLevel="1">
      <c r="A337" s="235">
        <v>-1</v>
      </c>
      <c r="B337" s="190" t="s">
        <v>195</v>
      </c>
      <c r="C337" s="1423"/>
      <c r="D337" s="1423">
        <f t="shared" ref="D337" ca="1" si="432">IF(AND(D335=0,C337=0),0,
IF(AND(D335&lt;&gt;0,C337=0),D335,
IF(AND(D336&lt;&gt;0,C337&lt;&gt;0),(C337-(C337/C361))+D335,
IF(C361&lt;1,0,(C337-(C337/C361))))))</f>
        <v>0</v>
      </c>
      <c r="E337" s="1423">
        <f t="shared" ref="E337" ca="1" si="433">IF(AND(E335=0,D337=0),0,
IF(AND(E335&lt;&gt;0,D337=0),E335,
IF(AND(E336&lt;&gt;0,D337&lt;&gt;0),(D337-(D337/D361))+E335,
IF(D361&lt;1,0,(D337-(D337/D361))))))</f>
        <v>0</v>
      </c>
      <c r="F337" s="1423">
        <f t="shared" ref="F337" ca="1" si="434">IF(AND(F335=0,E337=0),0,
IF(AND(F335&lt;&gt;0,E337=0),F335,
IF(AND(F336&lt;&gt;0,E337&lt;&gt;0),(E337-(E337/E361))+F335,
IF(E361&lt;1,0,(E337-(E337/E361))))))</f>
        <v>0</v>
      </c>
      <c r="G337" s="1423">
        <f t="shared" ref="G337" ca="1" si="435">IF(AND(G335=0,F337=0),0,
IF(AND(G335&lt;&gt;0,F337=0),G335,
IF(AND(G336&lt;&gt;0,F337&lt;&gt;0),(F337-(F337/F361))+G335,
IF(F361&lt;1,0,(F337-(F337/F361))))))</f>
        <v>0</v>
      </c>
      <c r="H337" s="1423">
        <f ca="1">IF(AND(H335=0,G337=0),0,
IF(AND(H335&lt;&gt;0,G337=0),H335,
IF(AND(H336&lt;&gt;0,G337&lt;&gt;0),(G337-(G337/G361))+H335,
IF(G361&lt;1,0,(G337-(G337/G361))))))</f>
        <v>0</v>
      </c>
      <c r="I337" s="1423">
        <f t="shared" ref="I337" ca="1" si="436">IF(AND(I335=0,H337=0),0,
IF(AND(I335&lt;&gt;0,H337=0),I335,
IF(AND(I336&lt;&gt;0,H337&lt;&gt;0),(H337-(H337/H361))+I335,
IF(H361&lt;1,0,(H337-(H337/H361))))))</f>
        <v>0</v>
      </c>
      <c r="J337" s="1423">
        <f t="shared" ref="J337" ca="1" si="437">IF(AND(J335=0,I337=0),0,
IF(AND(J335&lt;&gt;0,I337=0),J335,
IF(AND(J336&lt;&gt;0,I337&lt;&gt;0),(I337-(I337/I361))+J335,
IF(I361&lt;1,0,(I337-(I337/I361))))))</f>
        <v>0</v>
      </c>
      <c r="K337" s="1423">
        <f t="shared" ref="K337" ca="1" si="438">IF(AND(K335=0,J337=0),0,
IF(AND(K335&lt;&gt;0,J337=0),K335,
IF(AND(K336&lt;&gt;0,J337&lt;&gt;0),(J337-(J337/J361))+K335,
IF(J361&lt;1,0,(J337-(J337/J361))))))</f>
        <v>0</v>
      </c>
      <c r="L337" s="1423">
        <f t="shared" ref="L337" ca="1" si="439">IF(AND(L335=0,K337=0),0,
IF(AND(L335&lt;&gt;0,K337=0),L335,
IF(AND(L336&lt;&gt;0,K337&lt;&gt;0),(K337-(K337/K361))+L335,
IF(K361&lt;1,0,(K337-(K337/K361))))))</f>
        <v>0</v>
      </c>
      <c r="M337" s="1423">
        <f t="shared" ref="M337" ca="1" si="440">IF(AND(M335=0,L337=0),0,
IF(AND(M335&lt;&gt;0,L337=0),M335,
IF(AND(M336&lt;&gt;0,L337&lt;&gt;0),(L337-(L337/L361))+M335,
IF(L361&lt;1,0,(L337-(L337/L361))))))</f>
        <v>0</v>
      </c>
      <c r="N337" s="1423">
        <f t="shared" ref="N337" ca="1" si="441">IF(AND(N335=0,M337=0),0,
IF(AND(N335&lt;&gt;0,M337=0),N335,
IF(AND(N336&lt;&gt;0,M337&lt;&gt;0),(M337-(M337/M361))+N335,
IF(M361&lt;1,0,(M337-(M337/M361))))))</f>
        <v>0</v>
      </c>
      <c r="O337" s="1423">
        <f t="shared" ref="O337" ca="1" si="442">IF(AND(O335=0,N337=0),0,
IF(AND(O335&lt;&gt;0,N337=0),O335,
IF(AND(O336&lt;&gt;0,N337&lt;&gt;0),(N337-(N337/N361))+O335,
IF(N361&lt;1,0,(N337-(N337/N361))))))</f>
        <v>0</v>
      </c>
      <c r="P337" s="1423">
        <f t="shared" ref="P337" ca="1" si="443">IF(AND(P335=0,O337=0),0,
IF(AND(P335&lt;&gt;0,O337=0),P335,
IF(AND(P336&lt;&gt;0,O337&lt;&gt;0),(O337-(O337/O361))+P335,
IF(O361&lt;1,0,(O337-(O337/O361))))))</f>
        <v>0</v>
      </c>
      <c r="Q337" s="1423">
        <f t="shared" ref="Q337" ca="1" si="444">IF(AND(Q335=0,P337=0),0,
IF(AND(Q335&lt;&gt;0,P337=0),Q335,
IF(AND(Q336&lt;&gt;0,P337&lt;&gt;0),(P337-(P337/P361))+Q335,
IF(P361&lt;1,0,(P337-(P337/P361))))))</f>
        <v>0</v>
      </c>
      <c r="R337" s="1423">
        <f t="shared" ref="R337" ca="1" si="445">IF(AND(R335=0,Q337=0),0,
IF(AND(R335&lt;&gt;0,Q337=0),R335,
IF(AND(R336&lt;&gt;0,Q337&lt;&gt;0),(Q337-(Q337/Q361))+R335,
IF(Q361&lt;1,0,(Q337-(Q337/Q361))))))</f>
        <v>0</v>
      </c>
      <c r="S337" s="1423">
        <f t="shared" ref="S337" ca="1" si="446">IF(AND(S335=0,R337=0),0,
IF(AND(S335&lt;&gt;0,R337=0),S335,
IF(AND(S336&lt;&gt;0,R337&lt;&gt;0),(R337-(R337/R361))+S335,
IF(R361&lt;1,0,(R337-(R337/R361))))))</f>
        <v>0</v>
      </c>
      <c r="T337" s="1423">
        <f t="shared" ref="T337" ca="1" si="447">IF(AND(T335=0,S337=0),0,
IF(AND(T335&lt;&gt;0,S337=0),T335,
IF(AND(T336&lt;&gt;0,S337&lt;&gt;0),(S337-(S337/S361))+T335,
IF(S361&lt;1,0,(S337-(S337/S361))))))</f>
        <v>0</v>
      </c>
      <c r="U337" s="1423">
        <f t="shared" ref="U337" ca="1" si="448">IF(AND(U335=0,T337=0),0,
IF(AND(U335&lt;&gt;0,T337=0),U335,
IF(AND(U336&lt;&gt;0,T337&lt;&gt;0),(T337-(T337/T361))+U335,
IF(T361&lt;1,0,(T337-(T337/T361))))))</f>
        <v>0</v>
      </c>
      <c r="V337" s="1423">
        <f t="shared" ref="V337" ca="1" si="449">IF(AND(V335=0,U337=0),0,
IF(AND(V335&lt;&gt;0,U337=0),V335,
IF(AND(V336&lt;&gt;0,U337&lt;&gt;0),(U337-(U337/U361))+V335,
IF(U361&lt;1,0,(U337-(U337/U361))))))</f>
        <v>0</v>
      </c>
      <c r="W337" s="1423">
        <f t="shared" ref="W337" ca="1" si="450">IF(AND(W335=0,V337=0),0,
IF(AND(W335&lt;&gt;0,V337=0),W335,
IF(AND(W336&lt;&gt;0,V337&lt;&gt;0),(V337-(V337/V361))+W335,
IF(V361&lt;1,0,(V337-(V337/V361))))))</f>
        <v>0</v>
      </c>
      <c r="X337" s="152"/>
      <c r="Y337" s="152"/>
      <c r="Z337" s="152"/>
      <c r="AA337" s="152"/>
      <c r="AB337" s="152"/>
    </row>
    <row r="338" spans="1:28" hidden="1" outlineLevel="1">
      <c r="A338" s="199">
        <f>A337+1</f>
        <v>0</v>
      </c>
      <c r="B338" s="190" t="s">
        <v>527</v>
      </c>
      <c r="C338" s="1423">
        <f ca="1">C333</f>
        <v>0.19718286647050909</v>
      </c>
      <c r="D338" s="1423">
        <f ca="1">IF(C362="n/a",C338,IFERROR(IF((OFFSET($C338,0,$A338))&lt;0,
MIN(0,C338-(OFFSET($C338,0,$A338)/(OFFSET($C333,-$A337,$A338)))),
MAX(0,C338-(OFFSET($C338,0,$A338)/(OFFSET($C333,-$A337,$A338))))),0))</f>
        <v>7.2527785099060382E-2</v>
      </c>
      <c r="E338" s="1423">
        <f t="shared" ref="E338" ca="1" si="451">IF(D362="n/a",D338,IFERROR(IF((OFFSET($C338,0,$A338))&lt;0,
MIN(0,D338-(OFFSET($C338,0,$A338)/(OFFSET($C333,-$A337,$A338)))),
MAX(0,D338-(OFFSET($C338,0,$A338)/(OFFSET($C333,-$A337,$A338))))),0))</f>
        <v>0</v>
      </c>
      <c r="F338" s="1423">
        <f t="shared" ref="F338:F339" ca="1" si="452">IF(E362="n/a",E338,IFERROR(IF((OFFSET($C338,0,$A338))&lt;0,
MIN(0,E338-(OFFSET($C338,0,$A338)/(OFFSET($C333,-$A337,$A338)))),
MAX(0,E338-(OFFSET($C338,0,$A338)/(OFFSET($C333,-$A337,$A338))))),0))</f>
        <v>0</v>
      </c>
      <c r="G338" s="1423">
        <f t="shared" ref="G338:G340" ca="1" si="453">IF(F362="n/a",F338,IFERROR(IF((OFFSET($C338,0,$A338))&lt;0,
MIN(0,F338-(OFFSET($C338,0,$A338)/(OFFSET($C333,-$A337,$A338)))),
MAX(0,F338-(OFFSET($C338,0,$A338)/(OFFSET($C333,-$A337,$A338))))),0))</f>
        <v>0</v>
      </c>
      <c r="H338" s="1423">
        <f t="shared" ref="H338:H341" ca="1" si="454">IF(G362="n/a",G338,IFERROR(IF((OFFSET($C338,0,$A338))&lt;0,
MIN(0,G338-(OFFSET($C338,0,$A338)/(OFFSET($C333,-$A337,$A338)))),
MAX(0,G338-(OFFSET($C338,0,$A338)/(OFFSET($C333,-$A337,$A338))))),0))</f>
        <v>0</v>
      </c>
      <c r="I338" s="1423">
        <f t="shared" ref="I338:I342" ca="1" si="455">IF(H362="n/a",H338,IFERROR(IF((OFFSET($C338,0,$A338))&lt;0,
MIN(0,H338-(OFFSET($C338,0,$A338)/(OFFSET($C333,-$A337,$A338)))),
MAX(0,H338-(OFFSET($C338,0,$A338)/(OFFSET($C333,-$A337,$A338))))),0))</f>
        <v>0</v>
      </c>
      <c r="J338" s="1423">
        <f t="shared" ref="J338:J343" ca="1" si="456">IF(I362="n/a",I338,IFERROR(IF((OFFSET($C338,0,$A338))&lt;0,
MIN(0,I338-(OFFSET($C338,0,$A338)/(OFFSET($C333,-$A337,$A338)))),
MAX(0,I338-(OFFSET($C338,0,$A338)/(OFFSET($C333,-$A337,$A338))))),0))</f>
        <v>0</v>
      </c>
      <c r="K338" s="1423">
        <f t="shared" ref="K338:K344" ca="1" si="457">IF(J362="n/a",J338,IFERROR(IF((OFFSET($C338,0,$A338))&lt;0,
MIN(0,J338-(OFFSET($C338,0,$A338)/(OFFSET($C333,-$A337,$A338)))),
MAX(0,J338-(OFFSET($C338,0,$A338)/(OFFSET($C333,-$A337,$A338))))),0))</f>
        <v>0</v>
      </c>
      <c r="L338" s="1423">
        <f t="shared" ref="L338:L345" ca="1" si="458">IF(K362="n/a",K338,IFERROR(IF((OFFSET($C338,0,$A338))&lt;0,
MIN(0,K338-(OFFSET($C338,0,$A338)/(OFFSET($C333,-$A337,$A338)))),
MAX(0,K338-(OFFSET($C338,0,$A338)/(OFFSET($C333,-$A337,$A338))))),0))</f>
        <v>0</v>
      </c>
      <c r="M338" s="1423">
        <f t="shared" ref="M338:M346" ca="1" si="459">IF(L362="n/a",L338,IFERROR(IF((OFFSET($C338,0,$A338))&lt;0,
MIN(0,L338-(OFFSET($C338,0,$A338)/(OFFSET($C333,-$A337,$A338)))),
MAX(0,L338-(OFFSET($C338,0,$A338)/(OFFSET($C333,-$A337,$A338))))),0))</f>
        <v>0</v>
      </c>
      <c r="N338" s="1423">
        <f t="shared" ref="N338:N347" ca="1" si="460">IF(M362="n/a",M338,IFERROR(IF((OFFSET($C338,0,$A338))&lt;0,
MIN(0,M338-(OFFSET($C338,0,$A338)/(OFFSET($C333,-$A337,$A338)))),
MAX(0,M338-(OFFSET($C338,0,$A338)/(OFFSET($C333,-$A337,$A338))))),0))</f>
        <v>0</v>
      </c>
      <c r="O338" s="1423">
        <f t="shared" ref="O338:O348" ca="1" si="461">IF(N362="n/a",N338,IFERROR(IF((OFFSET($C338,0,$A338))&lt;0,
MIN(0,N338-(OFFSET($C338,0,$A338)/(OFFSET($C333,-$A337,$A338)))),
MAX(0,N338-(OFFSET($C338,0,$A338)/(OFFSET($C333,-$A337,$A338))))),0))</f>
        <v>0</v>
      </c>
      <c r="P338" s="1423">
        <f t="shared" ref="P338:P349" ca="1" si="462">IF(O362="n/a",O338,IFERROR(IF((OFFSET($C338,0,$A338))&lt;0,
MIN(0,O338-(OFFSET($C338,0,$A338)/(OFFSET($C333,-$A337,$A338)))),
MAX(0,O338-(OFFSET($C338,0,$A338)/(OFFSET($C333,-$A337,$A338))))),0))</f>
        <v>0</v>
      </c>
      <c r="Q338" s="1423">
        <f t="shared" ref="Q338:Q350" ca="1" si="463">IF(P362="n/a",P338,IFERROR(IF((OFFSET($C338,0,$A338))&lt;0,
MIN(0,P338-(OFFSET($C338,0,$A338)/(OFFSET($C333,-$A337,$A338)))),
MAX(0,P338-(OFFSET($C338,0,$A338)/(OFFSET($C333,-$A337,$A338))))),0))</f>
        <v>0</v>
      </c>
      <c r="R338" s="1423">
        <f t="shared" ref="R338:R351" ca="1" si="464">IF(Q362="n/a",Q338,IFERROR(IF((OFFSET($C338,0,$A338))&lt;0,
MIN(0,Q338-(OFFSET($C338,0,$A338)/(OFFSET($C333,-$A337,$A338)))),
MAX(0,Q338-(OFFSET($C338,0,$A338)/(OFFSET($C333,-$A337,$A338))))),0))</f>
        <v>0</v>
      </c>
      <c r="S338" s="1423">
        <f t="shared" ref="S338:S352" ca="1" si="465">IF(R362="n/a",R338,IFERROR(IF((OFFSET($C338,0,$A338))&lt;0,
MIN(0,R338-(OFFSET($C338,0,$A338)/(OFFSET($C333,-$A337,$A338)))),
MAX(0,R338-(OFFSET($C338,0,$A338)/(OFFSET($C333,-$A337,$A338))))),0))</f>
        <v>0</v>
      </c>
      <c r="T338" s="1423">
        <f t="shared" ref="T338:T353" ca="1" si="466">IF(S362="n/a",S338,IFERROR(IF((OFFSET($C338,0,$A338))&lt;0,
MIN(0,S338-(OFFSET($C338,0,$A338)/(OFFSET($C333,-$A337,$A338)))),
MAX(0,S338-(OFFSET($C338,0,$A338)/(OFFSET($C333,-$A337,$A338))))),0))</f>
        <v>0</v>
      </c>
      <c r="U338" s="1423">
        <f t="shared" ref="U338:U354" ca="1" si="467">IF(T362="n/a",T338,IFERROR(IF((OFFSET($C338,0,$A338))&lt;0,
MIN(0,T338-(OFFSET($C338,0,$A338)/(OFFSET($C333,-$A337,$A338)))),
MAX(0,T338-(OFFSET($C338,0,$A338)/(OFFSET($C333,-$A337,$A338))))),0))</f>
        <v>0</v>
      </c>
      <c r="V338" s="1423">
        <f t="shared" ref="V338:V355" ca="1" si="468">IF(U362="n/a",U338,IFERROR(IF((OFFSET($C338,0,$A338))&lt;0,
MIN(0,U338-(OFFSET($C338,0,$A338)/(OFFSET($C333,-$A337,$A338)))),
MAX(0,U338-(OFFSET($C338,0,$A338)/(OFFSET($C333,-$A337,$A338))))),0))</f>
        <v>0</v>
      </c>
      <c r="W338" s="1423">
        <f t="shared" ref="W338:W356" ca="1" si="469">IF(V362="n/a",V338,IFERROR(IF((OFFSET($C338,0,$A338))&lt;0,
MIN(0,V338-(OFFSET($C338,0,$A338)/(OFFSET($C333,-$A337,$A338)))),
MAX(0,V338-(OFFSET($C338,0,$A338)/(OFFSET($C333,-$A337,$A338))))),0))</f>
        <v>0</v>
      </c>
      <c r="X338" s="152"/>
      <c r="Y338" s="152"/>
      <c r="Z338" s="152"/>
      <c r="AA338" s="152"/>
      <c r="AB338" s="152"/>
    </row>
    <row r="339" spans="1:28" hidden="1" outlineLevel="1">
      <c r="A339" s="199">
        <f t="shared" ref="A339:A358" si="470">A338+1</f>
        <v>1</v>
      </c>
      <c r="B339" s="190" t="str">
        <f t="shared" ref="B339:B358" ca="1" si="471">"Depreciated Net Capex "&amp;OFFSET($C$6,0,A339)</f>
        <v>Depreciated Net Capex 2016-17</v>
      </c>
      <c r="C339" s="1424"/>
      <c r="D339" s="1425">
        <f>D333</f>
        <v>-2.8917999999999999E-2</v>
      </c>
      <c r="E339" s="1423">
        <f ca="1">IF(D363="n/a",D339,IFERROR(IF((OFFSET($C339,0,$A339))&lt;0,
MIN(0,D339-(OFFSET($C339,0,$A339)/(OFFSET($C334,-$A338,$A339)))),
MAX(0,D339-(OFFSET($C339,0,$A339)/(OFFSET($C334,-$A338,$A339))))),0))</f>
        <v>-2.6026199999999999E-2</v>
      </c>
      <c r="F339" s="1423">
        <f t="shared" ca="1" si="452"/>
        <v>-2.3134399999999999E-2</v>
      </c>
      <c r="G339" s="1423">
        <f t="shared" ca="1" si="453"/>
        <v>-2.0242599999999999E-2</v>
      </c>
      <c r="H339" s="1423">
        <f t="shared" ca="1" si="454"/>
        <v>-1.73508E-2</v>
      </c>
      <c r="I339" s="1423">
        <f t="shared" ca="1" si="455"/>
        <v>-1.4459E-2</v>
      </c>
      <c r="J339" s="1423">
        <f t="shared" ca="1" si="456"/>
        <v>-1.15672E-2</v>
      </c>
      <c r="K339" s="1423">
        <f t="shared" ca="1" si="457"/>
        <v>-8.6753999999999998E-3</v>
      </c>
      <c r="L339" s="1423">
        <f t="shared" ca="1" si="458"/>
        <v>-5.7835999999999999E-3</v>
      </c>
      <c r="M339" s="1423">
        <f t="shared" ca="1" si="459"/>
        <v>-2.8917999999999999E-3</v>
      </c>
      <c r="N339" s="1423">
        <f t="shared" ca="1" si="460"/>
        <v>0</v>
      </c>
      <c r="O339" s="1423">
        <f t="shared" ca="1" si="461"/>
        <v>0</v>
      </c>
      <c r="P339" s="1423">
        <f t="shared" ca="1" si="462"/>
        <v>0</v>
      </c>
      <c r="Q339" s="1423">
        <f t="shared" ca="1" si="463"/>
        <v>0</v>
      </c>
      <c r="R339" s="1423">
        <f t="shared" ca="1" si="464"/>
        <v>0</v>
      </c>
      <c r="S339" s="1423">
        <f t="shared" ca="1" si="465"/>
        <v>0</v>
      </c>
      <c r="T339" s="1423">
        <f t="shared" ca="1" si="466"/>
        <v>0</v>
      </c>
      <c r="U339" s="1423">
        <f t="shared" ca="1" si="467"/>
        <v>0</v>
      </c>
      <c r="V339" s="1423">
        <f t="shared" ca="1" si="468"/>
        <v>0</v>
      </c>
      <c r="W339" s="1423">
        <f t="shared" ca="1" si="469"/>
        <v>0</v>
      </c>
      <c r="X339" s="152"/>
      <c r="Y339" s="152"/>
      <c r="Z339" s="152"/>
      <c r="AA339" s="152"/>
      <c r="AB339" s="152"/>
    </row>
    <row r="340" spans="1:28" hidden="1" outlineLevel="1">
      <c r="A340" s="199">
        <f t="shared" si="470"/>
        <v>2</v>
      </c>
      <c r="B340" s="190" t="str">
        <f t="shared" ca="1" si="471"/>
        <v>Depreciated Net Capex 2017-18</v>
      </c>
      <c r="C340" s="1426"/>
      <c r="D340" s="1427"/>
      <c r="E340" s="1425">
        <f>E333</f>
        <v>0</v>
      </c>
      <c r="F340" s="1423">
        <f ca="1">IF(E364="n/a",E340,IFERROR(IF((OFFSET($C340,0,$A340))&lt;0,
MIN(0,E340-(OFFSET($C340,0,$A340)/(OFFSET($C335,-$A339,$A340)))),
MAX(0,E340-(OFFSET($C340,0,$A340)/(OFFSET($C335,-$A339,$A340))))),0))</f>
        <v>0</v>
      </c>
      <c r="G340" s="1423">
        <f t="shared" ca="1" si="453"/>
        <v>0</v>
      </c>
      <c r="H340" s="1423">
        <f t="shared" ca="1" si="454"/>
        <v>0</v>
      </c>
      <c r="I340" s="1423">
        <f t="shared" ca="1" si="455"/>
        <v>0</v>
      </c>
      <c r="J340" s="1423">
        <f t="shared" ca="1" si="456"/>
        <v>0</v>
      </c>
      <c r="K340" s="1423">
        <f t="shared" ca="1" si="457"/>
        <v>0</v>
      </c>
      <c r="L340" s="1423">
        <f t="shared" ca="1" si="458"/>
        <v>0</v>
      </c>
      <c r="M340" s="1423">
        <f t="shared" ca="1" si="459"/>
        <v>0</v>
      </c>
      <c r="N340" s="1423">
        <f t="shared" ca="1" si="460"/>
        <v>0</v>
      </c>
      <c r="O340" s="1423">
        <f t="shared" ca="1" si="461"/>
        <v>0</v>
      </c>
      <c r="P340" s="1423">
        <f t="shared" ca="1" si="462"/>
        <v>0</v>
      </c>
      <c r="Q340" s="1423">
        <f t="shared" ca="1" si="463"/>
        <v>0</v>
      </c>
      <c r="R340" s="1423">
        <f t="shared" ca="1" si="464"/>
        <v>0</v>
      </c>
      <c r="S340" s="1423">
        <f t="shared" ca="1" si="465"/>
        <v>0</v>
      </c>
      <c r="T340" s="1423">
        <f t="shared" ca="1" si="466"/>
        <v>0</v>
      </c>
      <c r="U340" s="1423">
        <f t="shared" ca="1" si="467"/>
        <v>0</v>
      </c>
      <c r="V340" s="1423">
        <f t="shared" ca="1" si="468"/>
        <v>0</v>
      </c>
      <c r="W340" s="1423">
        <f t="shared" ca="1" si="469"/>
        <v>0</v>
      </c>
      <c r="X340" s="202"/>
      <c r="Y340" s="152"/>
      <c r="Z340" s="152"/>
      <c r="AA340" s="152"/>
      <c r="AB340" s="152"/>
    </row>
    <row r="341" spans="1:28" hidden="1" outlineLevel="1">
      <c r="A341" s="199">
        <f t="shared" si="470"/>
        <v>3</v>
      </c>
      <c r="B341" s="190" t="str">
        <f t="shared" ca="1" si="471"/>
        <v>Depreciated Net Capex 2018-19</v>
      </c>
      <c r="C341" s="1426"/>
      <c r="D341" s="1426"/>
      <c r="E341" s="1427"/>
      <c r="F341" s="1428">
        <f>F333</f>
        <v>0</v>
      </c>
      <c r="G341" s="1423">
        <f ca="1">IF(F365="n/a",F341,IFERROR(IF((OFFSET($C341,0,$A341))&lt;0,
MIN(0,F341-(OFFSET($C341,0,$A341)/(OFFSET($C336,-$A340,$A341)))),
MAX(0,F341-(OFFSET($C341,0,$A341)/(OFFSET($C336,-$A340,$A341))))),0))</f>
        <v>0</v>
      </c>
      <c r="H341" s="1423">
        <f t="shared" ca="1" si="454"/>
        <v>0</v>
      </c>
      <c r="I341" s="1423">
        <f t="shared" ca="1" si="455"/>
        <v>0</v>
      </c>
      <c r="J341" s="1423">
        <f t="shared" ca="1" si="456"/>
        <v>0</v>
      </c>
      <c r="K341" s="1423">
        <f t="shared" ca="1" si="457"/>
        <v>0</v>
      </c>
      <c r="L341" s="1423">
        <f t="shared" ca="1" si="458"/>
        <v>0</v>
      </c>
      <c r="M341" s="1423">
        <f t="shared" ca="1" si="459"/>
        <v>0</v>
      </c>
      <c r="N341" s="1423">
        <f t="shared" ca="1" si="460"/>
        <v>0</v>
      </c>
      <c r="O341" s="1423">
        <f t="shared" ca="1" si="461"/>
        <v>0</v>
      </c>
      <c r="P341" s="1423">
        <f t="shared" ca="1" si="462"/>
        <v>0</v>
      </c>
      <c r="Q341" s="1423">
        <f t="shared" ca="1" si="463"/>
        <v>0</v>
      </c>
      <c r="R341" s="1423">
        <f t="shared" ca="1" si="464"/>
        <v>0</v>
      </c>
      <c r="S341" s="1423">
        <f t="shared" ca="1" si="465"/>
        <v>0</v>
      </c>
      <c r="T341" s="1423">
        <f t="shared" ca="1" si="466"/>
        <v>0</v>
      </c>
      <c r="U341" s="1423">
        <f t="shared" ca="1" si="467"/>
        <v>0</v>
      </c>
      <c r="V341" s="1423">
        <f t="shared" ca="1" si="468"/>
        <v>0</v>
      </c>
      <c r="W341" s="1423">
        <f t="shared" ca="1" si="469"/>
        <v>0</v>
      </c>
      <c r="X341" s="202"/>
      <c r="Y341" s="202"/>
      <c r="Z341" s="152"/>
      <c r="AA341" s="152"/>
      <c r="AB341" s="152"/>
    </row>
    <row r="342" spans="1:28" hidden="1" outlineLevel="1">
      <c r="A342" s="199">
        <f t="shared" si="470"/>
        <v>4</v>
      </c>
      <c r="B342" s="190" t="str">
        <f t="shared" ca="1" si="471"/>
        <v>Depreciated Net Capex 2019-20</v>
      </c>
      <c r="C342" s="1426"/>
      <c r="D342" s="1426"/>
      <c r="E342" s="1426"/>
      <c r="F342" s="1427"/>
      <c r="G342" s="1428">
        <f>G333</f>
        <v>0</v>
      </c>
      <c r="H342" s="1423">
        <f ca="1">IF(G366="n/a",G342,IFERROR(IF((OFFSET($C342,0,$A342))&lt;0,
MIN(0,G342-(OFFSET($C342,0,$A342)/(OFFSET($C337,-$A341,$A342)))),
MAX(0,G342-(OFFSET($C342,0,$A342)/(OFFSET($C337,-$A341,$A342))))),0))</f>
        <v>0</v>
      </c>
      <c r="I342" s="1423">
        <f t="shared" ca="1" si="455"/>
        <v>0</v>
      </c>
      <c r="J342" s="1423">
        <f t="shared" ca="1" si="456"/>
        <v>0</v>
      </c>
      <c r="K342" s="1423">
        <f t="shared" ca="1" si="457"/>
        <v>0</v>
      </c>
      <c r="L342" s="1423">
        <f t="shared" ca="1" si="458"/>
        <v>0</v>
      </c>
      <c r="M342" s="1423">
        <f t="shared" ca="1" si="459"/>
        <v>0</v>
      </c>
      <c r="N342" s="1423">
        <f t="shared" ca="1" si="460"/>
        <v>0</v>
      </c>
      <c r="O342" s="1423">
        <f t="shared" ca="1" si="461"/>
        <v>0</v>
      </c>
      <c r="P342" s="1423">
        <f t="shared" ca="1" si="462"/>
        <v>0</v>
      </c>
      <c r="Q342" s="1423">
        <f t="shared" ca="1" si="463"/>
        <v>0</v>
      </c>
      <c r="R342" s="1423">
        <f t="shared" ca="1" si="464"/>
        <v>0</v>
      </c>
      <c r="S342" s="1423">
        <f t="shared" ca="1" si="465"/>
        <v>0</v>
      </c>
      <c r="T342" s="1423">
        <f t="shared" ca="1" si="466"/>
        <v>0</v>
      </c>
      <c r="U342" s="1423">
        <f t="shared" ca="1" si="467"/>
        <v>0</v>
      </c>
      <c r="V342" s="1423">
        <f t="shared" ca="1" si="468"/>
        <v>0</v>
      </c>
      <c r="W342" s="1423">
        <f t="shared" ca="1" si="469"/>
        <v>0</v>
      </c>
      <c r="X342" s="202"/>
      <c r="Y342" s="202"/>
      <c r="Z342" s="202"/>
      <c r="AA342" s="152"/>
      <c r="AB342" s="152"/>
    </row>
    <row r="343" spans="1:28" hidden="1" outlineLevel="1">
      <c r="A343" s="199">
        <f t="shared" si="470"/>
        <v>5</v>
      </c>
      <c r="B343" s="190" t="str">
        <f t="shared" ca="1" si="471"/>
        <v>Depreciated Net Capex 2020-21</v>
      </c>
      <c r="C343" s="1426"/>
      <c r="D343" s="1426"/>
      <c r="E343" s="1426"/>
      <c r="F343" s="1426"/>
      <c r="G343" s="1427"/>
      <c r="H343" s="1428">
        <f>H333</f>
        <v>0</v>
      </c>
      <c r="I343" s="1423">
        <f ca="1">IF(H367="n/a",H343,IFERROR(IF((OFFSET($C343,0,$A343))&lt;0,
MIN(0,H343-(OFFSET($C343,0,$A343)/(OFFSET($C338,-$A342,$A343)))),
MAX(0,H343-(OFFSET($C343,0,$A343)/(OFFSET($C338,-$A342,$A343))))),0))</f>
        <v>0</v>
      </c>
      <c r="J343" s="1423">
        <f t="shared" ca="1" si="456"/>
        <v>0</v>
      </c>
      <c r="K343" s="1423">
        <f t="shared" ca="1" si="457"/>
        <v>0</v>
      </c>
      <c r="L343" s="1423">
        <f t="shared" ca="1" si="458"/>
        <v>0</v>
      </c>
      <c r="M343" s="1423">
        <f t="shared" ca="1" si="459"/>
        <v>0</v>
      </c>
      <c r="N343" s="1423">
        <f t="shared" ca="1" si="460"/>
        <v>0</v>
      </c>
      <c r="O343" s="1423">
        <f t="shared" ca="1" si="461"/>
        <v>0</v>
      </c>
      <c r="P343" s="1423">
        <f t="shared" ca="1" si="462"/>
        <v>0</v>
      </c>
      <c r="Q343" s="1423">
        <f t="shared" ca="1" si="463"/>
        <v>0</v>
      </c>
      <c r="R343" s="1423">
        <f t="shared" ca="1" si="464"/>
        <v>0</v>
      </c>
      <c r="S343" s="1423">
        <f t="shared" ca="1" si="465"/>
        <v>0</v>
      </c>
      <c r="T343" s="1423">
        <f t="shared" ca="1" si="466"/>
        <v>0</v>
      </c>
      <c r="U343" s="1423">
        <f t="shared" ca="1" si="467"/>
        <v>0</v>
      </c>
      <c r="V343" s="1423">
        <f t="shared" ca="1" si="468"/>
        <v>0</v>
      </c>
      <c r="W343" s="1423">
        <f t="shared" ca="1" si="469"/>
        <v>0</v>
      </c>
      <c r="X343" s="202"/>
      <c r="Y343" s="202"/>
      <c r="Z343" s="202"/>
      <c r="AA343" s="152"/>
      <c r="AB343" s="152"/>
    </row>
    <row r="344" spans="1:28" hidden="1" outlineLevel="1">
      <c r="A344" s="199">
        <f t="shared" si="470"/>
        <v>6</v>
      </c>
      <c r="B344" s="190" t="str">
        <f t="shared" ca="1" si="471"/>
        <v>Depreciated Net Capex 2021-22</v>
      </c>
      <c r="C344" s="1426"/>
      <c r="D344" s="1426"/>
      <c r="E344" s="1426"/>
      <c r="F344" s="1426"/>
      <c r="G344" s="1426"/>
      <c r="H344" s="1427"/>
      <c r="I344" s="1428">
        <f>I333</f>
        <v>0</v>
      </c>
      <c r="J344" s="1423">
        <f ca="1">IF(I368="n/a",I344,IFERROR(IF((OFFSET($C344,0,$A344))&lt;0,
MIN(0,I344-(OFFSET($C344,0,$A344)/(OFFSET($C339,-$A343,$A344)))),
MAX(0,I344-(OFFSET($C344,0,$A344)/(OFFSET($C339,-$A343,$A344))))),0))</f>
        <v>0</v>
      </c>
      <c r="K344" s="1423">
        <f t="shared" ca="1" si="457"/>
        <v>0</v>
      </c>
      <c r="L344" s="1423">
        <f t="shared" ca="1" si="458"/>
        <v>0</v>
      </c>
      <c r="M344" s="1423">
        <f t="shared" ca="1" si="459"/>
        <v>0</v>
      </c>
      <c r="N344" s="1423">
        <f t="shared" ca="1" si="460"/>
        <v>0</v>
      </c>
      <c r="O344" s="1423">
        <f t="shared" ca="1" si="461"/>
        <v>0</v>
      </c>
      <c r="P344" s="1423">
        <f t="shared" ca="1" si="462"/>
        <v>0</v>
      </c>
      <c r="Q344" s="1423">
        <f t="shared" ca="1" si="463"/>
        <v>0</v>
      </c>
      <c r="R344" s="1423">
        <f t="shared" ca="1" si="464"/>
        <v>0</v>
      </c>
      <c r="S344" s="1423">
        <f t="shared" ca="1" si="465"/>
        <v>0</v>
      </c>
      <c r="T344" s="1423">
        <f t="shared" ca="1" si="466"/>
        <v>0</v>
      </c>
      <c r="U344" s="1423">
        <f t="shared" ca="1" si="467"/>
        <v>0</v>
      </c>
      <c r="V344" s="1423">
        <f t="shared" ca="1" si="468"/>
        <v>0</v>
      </c>
      <c r="W344" s="1423">
        <f t="shared" ca="1" si="469"/>
        <v>0</v>
      </c>
      <c r="X344" s="202"/>
      <c r="Y344" s="202"/>
      <c r="Z344" s="202"/>
      <c r="AA344" s="152"/>
      <c r="AB344" s="152"/>
    </row>
    <row r="345" spans="1:28" hidden="1" outlineLevel="1">
      <c r="A345" s="199">
        <f t="shared" si="470"/>
        <v>7</v>
      </c>
      <c r="B345" s="190" t="str">
        <f t="shared" ca="1" si="471"/>
        <v>Depreciated Net Capex 2022-23</v>
      </c>
      <c r="C345" s="1426"/>
      <c r="D345" s="1426"/>
      <c r="E345" s="1426"/>
      <c r="F345" s="1426"/>
      <c r="G345" s="1426"/>
      <c r="H345" s="1426"/>
      <c r="I345" s="1427"/>
      <c r="J345" s="1428">
        <f>J333</f>
        <v>0</v>
      </c>
      <c r="K345" s="1423">
        <f ca="1">IF(J369="n/a",J345,IFERROR(IF((OFFSET($C345,0,$A345))&lt;0,
MIN(0,J345-(OFFSET($C345,0,$A345)/(OFFSET($C340,-$A344,$A345)))),
MAX(0,J345-(OFFSET($C345,0,$A345)/(OFFSET($C340,-$A344,$A345))))),0))</f>
        <v>0</v>
      </c>
      <c r="L345" s="1423">
        <f t="shared" ca="1" si="458"/>
        <v>0</v>
      </c>
      <c r="M345" s="1423">
        <f t="shared" ca="1" si="459"/>
        <v>0</v>
      </c>
      <c r="N345" s="1423">
        <f t="shared" ca="1" si="460"/>
        <v>0</v>
      </c>
      <c r="O345" s="1423">
        <f t="shared" ca="1" si="461"/>
        <v>0</v>
      </c>
      <c r="P345" s="1423">
        <f t="shared" ca="1" si="462"/>
        <v>0</v>
      </c>
      <c r="Q345" s="1423">
        <f t="shared" ca="1" si="463"/>
        <v>0</v>
      </c>
      <c r="R345" s="1423">
        <f t="shared" ca="1" si="464"/>
        <v>0</v>
      </c>
      <c r="S345" s="1423">
        <f t="shared" ca="1" si="465"/>
        <v>0</v>
      </c>
      <c r="T345" s="1423">
        <f t="shared" ca="1" si="466"/>
        <v>0</v>
      </c>
      <c r="U345" s="1423">
        <f t="shared" ca="1" si="467"/>
        <v>0</v>
      </c>
      <c r="V345" s="1423">
        <f t="shared" ca="1" si="468"/>
        <v>0</v>
      </c>
      <c r="W345" s="1423">
        <f t="shared" ca="1" si="469"/>
        <v>0</v>
      </c>
      <c r="X345" s="202"/>
      <c r="Y345" s="202"/>
      <c r="Z345" s="202"/>
      <c r="AA345" s="152"/>
      <c r="AB345" s="152"/>
    </row>
    <row r="346" spans="1:28" hidden="1" outlineLevel="1">
      <c r="A346" s="199">
        <f t="shared" si="470"/>
        <v>8</v>
      </c>
      <c r="B346" s="190" t="str">
        <f t="shared" ca="1" si="471"/>
        <v>Depreciated Net Capex 2023-24</v>
      </c>
      <c r="C346" s="1426"/>
      <c r="D346" s="1426"/>
      <c r="E346" s="1426"/>
      <c r="F346" s="1426"/>
      <c r="G346" s="1426"/>
      <c r="H346" s="1426"/>
      <c r="I346" s="1426"/>
      <c r="J346" s="1427"/>
      <c r="K346" s="1428">
        <f>K333</f>
        <v>0</v>
      </c>
      <c r="L346" s="1423">
        <f ca="1">IF(K370="n/a",K346,IFERROR(IF((OFFSET($C346,0,$A346))&lt;0,
MIN(0,K346-(OFFSET($C346,0,$A346)/(OFFSET($C341,-$A345,$A346)))),
MAX(0,K346-(OFFSET($C346,0,$A346)/(OFFSET($C341,-$A345,$A346))))),0))</f>
        <v>0</v>
      </c>
      <c r="M346" s="1423">
        <f t="shared" ca="1" si="459"/>
        <v>0</v>
      </c>
      <c r="N346" s="1423">
        <f t="shared" ca="1" si="460"/>
        <v>0</v>
      </c>
      <c r="O346" s="1423">
        <f t="shared" ca="1" si="461"/>
        <v>0</v>
      </c>
      <c r="P346" s="1423">
        <f t="shared" ca="1" si="462"/>
        <v>0</v>
      </c>
      <c r="Q346" s="1423">
        <f t="shared" ca="1" si="463"/>
        <v>0</v>
      </c>
      <c r="R346" s="1423">
        <f t="shared" ca="1" si="464"/>
        <v>0</v>
      </c>
      <c r="S346" s="1423">
        <f t="shared" ca="1" si="465"/>
        <v>0</v>
      </c>
      <c r="T346" s="1423">
        <f t="shared" ca="1" si="466"/>
        <v>0</v>
      </c>
      <c r="U346" s="1423">
        <f t="shared" ca="1" si="467"/>
        <v>0</v>
      </c>
      <c r="V346" s="1423">
        <f t="shared" ca="1" si="468"/>
        <v>0</v>
      </c>
      <c r="W346" s="1423">
        <f t="shared" ca="1" si="469"/>
        <v>0</v>
      </c>
      <c r="X346" s="202"/>
      <c r="Y346" s="202"/>
      <c r="Z346" s="202"/>
      <c r="AA346" s="152"/>
      <c r="AB346" s="152"/>
    </row>
    <row r="347" spans="1:28" hidden="1" outlineLevel="1">
      <c r="A347" s="199">
        <f t="shared" si="470"/>
        <v>9</v>
      </c>
      <c r="B347" s="190" t="str">
        <f t="shared" ca="1" si="471"/>
        <v>Depreciated Net Capex 2024-25</v>
      </c>
      <c r="C347" s="1426"/>
      <c r="D347" s="1426"/>
      <c r="E347" s="1426"/>
      <c r="F347" s="1426"/>
      <c r="G347" s="1426"/>
      <c r="H347" s="1426"/>
      <c r="I347" s="1426"/>
      <c r="J347" s="1426"/>
      <c r="K347" s="1427"/>
      <c r="L347" s="1428">
        <f>L333</f>
        <v>0</v>
      </c>
      <c r="M347" s="1423">
        <f ca="1">IF(L371="n/a",L347,IFERROR(IF((OFFSET($C347,0,$A347))&lt;0,
MIN(0,L347-(OFFSET($C347,0,$A347)/(OFFSET($C342,-$A346,$A347)))),
MAX(0,L347-(OFFSET($C347,0,$A347)/(OFFSET($C342,-$A346,$A347))))),0))</f>
        <v>0</v>
      </c>
      <c r="N347" s="1423">
        <f t="shared" ca="1" si="460"/>
        <v>0</v>
      </c>
      <c r="O347" s="1423">
        <f t="shared" ca="1" si="461"/>
        <v>0</v>
      </c>
      <c r="P347" s="1423">
        <f t="shared" ca="1" si="462"/>
        <v>0</v>
      </c>
      <c r="Q347" s="1423">
        <f t="shared" ca="1" si="463"/>
        <v>0</v>
      </c>
      <c r="R347" s="1423">
        <f t="shared" ca="1" si="464"/>
        <v>0</v>
      </c>
      <c r="S347" s="1423">
        <f t="shared" ca="1" si="465"/>
        <v>0</v>
      </c>
      <c r="T347" s="1423">
        <f t="shared" ca="1" si="466"/>
        <v>0</v>
      </c>
      <c r="U347" s="1423">
        <f t="shared" ca="1" si="467"/>
        <v>0</v>
      </c>
      <c r="V347" s="1423">
        <f t="shared" ca="1" si="468"/>
        <v>0</v>
      </c>
      <c r="W347" s="1423">
        <f t="shared" ca="1" si="469"/>
        <v>0</v>
      </c>
      <c r="X347" s="202"/>
      <c r="Y347" s="202"/>
      <c r="Z347" s="202"/>
      <c r="AA347" s="152"/>
      <c r="AB347" s="152"/>
    </row>
    <row r="348" spans="1:28" hidden="1" outlineLevel="1">
      <c r="A348" s="199">
        <f t="shared" si="470"/>
        <v>10</v>
      </c>
      <c r="B348" s="190" t="str">
        <f t="shared" ca="1" si="471"/>
        <v>Depreciated Net Capex 2025-26</v>
      </c>
      <c r="C348" s="1426"/>
      <c r="D348" s="1426"/>
      <c r="E348" s="1426"/>
      <c r="F348" s="1426"/>
      <c r="G348" s="1426"/>
      <c r="H348" s="1426"/>
      <c r="I348" s="1426"/>
      <c r="J348" s="1426"/>
      <c r="K348" s="1426"/>
      <c r="L348" s="1427"/>
      <c r="M348" s="1428">
        <f>M333</f>
        <v>0</v>
      </c>
      <c r="N348" s="1423">
        <f ca="1">IF(M372="n/a",M348,IFERROR(IF((OFFSET($C348,0,$A348))&lt;0,
MIN(0,M348-(OFFSET($C348,0,$A348)/(OFFSET($C343,-$A347,$A348)))),
MAX(0,M348-(OFFSET($C348,0,$A348)/(OFFSET($C343,-$A347,$A348))))),0))</f>
        <v>0</v>
      </c>
      <c r="O348" s="1423">
        <f t="shared" ca="1" si="461"/>
        <v>0</v>
      </c>
      <c r="P348" s="1423">
        <f t="shared" ca="1" si="462"/>
        <v>0</v>
      </c>
      <c r="Q348" s="1423">
        <f t="shared" ca="1" si="463"/>
        <v>0</v>
      </c>
      <c r="R348" s="1423">
        <f t="shared" ca="1" si="464"/>
        <v>0</v>
      </c>
      <c r="S348" s="1423">
        <f t="shared" ca="1" si="465"/>
        <v>0</v>
      </c>
      <c r="T348" s="1423">
        <f t="shared" ca="1" si="466"/>
        <v>0</v>
      </c>
      <c r="U348" s="1423">
        <f t="shared" ca="1" si="467"/>
        <v>0</v>
      </c>
      <c r="V348" s="1423">
        <f t="shared" ca="1" si="468"/>
        <v>0</v>
      </c>
      <c r="W348" s="1423">
        <f t="shared" ca="1" si="469"/>
        <v>0</v>
      </c>
      <c r="X348" s="202"/>
      <c r="Y348" s="202"/>
      <c r="Z348" s="202"/>
      <c r="AA348" s="152"/>
      <c r="AB348" s="152"/>
    </row>
    <row r="349" spans="1:28" hidden="1" outlineLevel="1">
      <c r="A349" s="199">
        <f t="shared" si="470"/>
        <v>11</v>
      </c>
      <c r="B349" s="190" t="str">
        <f t="shared" ca="1" si="471"/>
        <v>Depreciated Net Capex 2026-27</v>
      </c>
      <c r="C349" s="1426"/>
      <c r="D349" s="1426"/>
      <c r="E349" s="1426"/>
      <c r="F349" s="1426"/>
      <c r="G349" s="1426"/>
      <c r="H349" s="1426"/>
      <c r="I349" s="1426"/>
      <c r="J349" s="1426"/>
      <c r="K349" s="1426"/>
      <c r="L349" s="1426"/>
      <c r="M349" s="1427"/>
      <c r="N349" s="1428">
        <f>N333</f>
        <v>0</v>
      </c>
      <c r="O349" s="1423">
        <f ca="1">IF(N373="n/a",N349,IFERROR(IF((OFFSET($C349,0,$A349))&lt;0,
MIN(0,N349-(OFFSET($C349,0,$A349)/(OFFSET($C344,-$A348,$A349)))),
MAX(0,N349-(OFFSET($C349,0,$A349)/(OFFSET($C344,-$A348,$A349))))),0))</f>
        <v>0</v>
      </c>
      <c r="P349" s="1423">
        <f t="shared" ca="1" si="462"/>
        <v>0</v>
      </c>
      <c r="Q349" s="1423">
        <f t="shared" ca="1" si="463"/>
        <v>0</v>
      </c>
      <c r="R349" s="1423">
        <f t="shared" ca="1" si="464"/>
        <v>0</v>
      </c>
      <c r="S349" s="1423">
        <f t="shared" ca="1" si="465"/>
        <v>0</v>
      </c>
      <c r="T349" s="1423">
        <f t="shared" ca="1" si="466"/>
        <v>0</v>
      </c>
      <c r="U349" s="1423">
        <f t="shared" ca="1" si="467"/>
        <v>0</v>
      </c>
      <c r="V349" s="1423">
        <f t="shared" ca="1" si="468"/>
        <v>0</v>
      </c>
      <c r="W349" s="1423">
        <f t="shared" ca="1" si="469"/>
        <v>0</v>
      </c>
      <c r="X349" s="202"/>
      <c r="Y349" s="202"/>
      <c r="Z349" s="202"/>
      <c r="AA349" s="152"/>
      <c r="AB349" s="152"/>
    </row>
    <row r="350" spans="1:28" hidden="1" outlineLevel="1">
      <c r="A350" s="199">
        <f t="shared" si="470"/>
        <v>12</v>
      </c>
      <c r="B350" s="190" t="str">
        <f t="shared" ca="1" si="471"/>
        <v>Depreciated Net Capex 2027-28</v>
      </c>
      <c r="C350" s="1426"/>
      <c r="D350" s="1426"/>
      <c r="E350" s="1426"/>
      <c r="F350" s="1426"/>
      <c r="G350" s="1426"/>
      <c r="H350" s="1426"/>
      <c r="I350" s="1426"/>
      <c r="J350" s="1426"/>
      <c r="K350" s="1426"/>
      <c r="L350" s="1426"/>
      <c r="M350" s="1426"/>
      <c r="N350" s="1427"/>
      <c r="O350" s="1428">
        <f>O333</f>
        <v>0</v>
      </c>
      <c r="P350" s="1423">
        <f ca="1">IF(O374="n/a",O350,IFERROR(IF((OFFSET($C350,0,$A350))&lt;0,
MIN(0,O350-(OFFSET($C350,0,$A350)/(OFFSET($C345,-$A349,$A350)))),
MAX(0,O350-(OFFSET($C350,0,$A350)/(OFFSET($C345,-$A349,$A350))))),0))</f>
        <v>0</v>
      </c>
      <c r="Q350" s="1423">
        <f t="shared" ca="1" si="463"/>
        <v>0</v>
      </c>
      <c r="R350" s="1423">
        <f t="shared" ca="1" si="464"/>
        <v>0</v>
      </c>
      <c r="S350" s="1423">
        <f t="shared" ca="1" si="465"/>
        <v>0</v>
      </c>
      <c r="T350" s="1423">
        <f t="shared" ca="1" si="466"/>
        <v>0</v>
      </c>
      <c r="U350" s="1423">
        <f t="shared" ca="1" si="467"/>
        <v>0</v>
      </c>
      <c r="V350" s="1423">
        <f t="shared" ca="1" si="468"/>
        <v>0</v>
      </c>
      <c r="W350" s="1423">
        <f t="shared" ca="1" si="469"/>
        <v>0</v>
      </c>
      <c r="X350" s="202"/>
      <c r="Y350" s="202"/>
      <c r="Z350" s="202"/>
      <c r="AA350" s="152"/>
      <c r="AB350" s="152"/>
    </row>
    <row r="351" spans="1:28" hidden="1" outlineLevel="1">
      <c r="A351" s="199">
        <f t="shared" si="470"/>
        <v>13</v>
      </c>
      <c r="B351" s="190" t="str">
        <f t="shared" ca="1" si="471"/>
        <v>Depreciated Net Capex 2028-29</v>
      </c>
      <c r="C351" s="1426"/>
      <c r="D351" s="1426"/>
      <c r="E351" s="1426"/>
      <c r="F351" s="1426"/>
      <c r="G351" s="1426"/>
      <c r="H351" s="1426"/>
      <c r="I351" s="1426"/>
      <c r="J351" s="1426"/>
      <c r="K351" s="1426"/>
      <c r="L351" s="1426"/>
      <c r="M351" s="1426"/>
      <c r="N351" s="1426"/>
      <c r="O351" s="1427"/>
      <c r="P351" s="1428">
        <f>P333</f>
        <v>0</v>
      </c>
      <c r="Q351" s="1423">
        <f ca="1">IF(P375="n/a",P351,IFERROR(IF((OFFSET($C351,0,$A351))&lt;0,
MIN(0,P351-(OFFSET($C351,0,$A351)/(OFFSET($C346,-$A350,$A351)))),
MAX(0,P351-(OFFSET($C351,0,$A351)/(OFFSET($C346,-$A350,$A351))))),0))</f>
        <v>0</v>
      </c>
      <c r="R351" s="1423">
        <f t="shared" ca="1" si="464"/>
        <v>0</v>
      </c>
      <c r="S351" s="1423">
        <f t="shared" ca="1" si="465"/>
        <v>0</v>
      </c>
      <c r="T351" s="1423">
        <f t="shared" ca="1" si="466"/>
        <v>0</v>
      </c>
      <c r="U351" s="1423">
        <f t="shared" ca="1" si="467"/>
        <v>0</v>
      </c>
      <c r="V351" s="1423">
        <f t="shared" ca="1" si="468"/>
        <v>0</v>
      </c>
      <c r="W351" s="1423">
        <f t="shared" ca="1" si="469"/>
        <v>0</v>
      </c>
      <c r="X351" s="202"/>
      <c r="Y351" s="202"/>
      <c r="Z351" s="202"/>
      <c r="AA351" s="152"/>
      <c r="AB351" s="152"/>
    </row>
    <row r="352" spans="1:28" hidden="1" outlineLevel="1">
      <c r="A352" s="199">
        <f t="shared" si="470"/>
        <v>14</v>
      </c>
      <c r="B352" s="190" t="str">
        <f t="shared" ca="1" si="471"/>
        <v>Depreciated Net Capex 2029-30</v>
      </c>
      <c r="C352" s="1426"/>
      <c r="D352" s="1426"/>
      <c r="E352" s="1426"/>
      <c r="F352" s="1426"/>
      <c r="G352" s="1426"/>
      <c r="H352" s="1426"/>
      <c r="I352" s="1426"/>
      <c r="J352" s="1426"/>
      <c r="K352" s="1426"/>
      <c r="L352" s="1426"/>
      <c r="M352" s="1426"/>
      <c r="N352" s="1426"/>
      <c r="O352" s="1426"/>
      <c r="P352" s="1427"/>
      <c r="Q352" s="1428">
        <f>Q333</f>
        <v>0</v>
      </c>
      <c r="R352" s="1423">
        <f ca="1">IF(Q376="n/a",Q352,IFERROR(IF((OFFSET($C352,0,$A352))&lt;0,
MIN(0,Q352-(OFFSET($C352,0,$A352)/(OFFSET($C347,-$A351,$A352)))),
MAX(0,Q352-(OFFSET($C352,0,$A352)/(OFFSET($C347,-$A351,$A352))))),0))</f>
        <v>0</v>
      </c>
      <c r="S352" s="1423">
        <f t="shared" ca="1" si="465"/>
        <v>0</v>
      </c>
      <c r="T352" s="1423">
        <f t="shared" ca="1" si="466"/>
        <v>0</v>
      </c>
      <c r="U352" s="1423">
        <f t="shared" ca="1" si="467"/>
        <v>0</v>
      </c>
      <c r="V352" s="1423">
        <f t="shared" ca="1" si="468"/>
        <v>0</v>
      </c>
      <c r="W352" s="1423">
        <f t="shared" ca="1" si="469"/>
        <v>0</v>
      </c>
      <c r="X352" s="202"/>
      <c r="Y352" s="202"/>
      <c r="Z352" s="202"/>
      <c r="AA352" s="152"/>
      <c r="AB352" s="152"/>
    </row>
    <row r="353" spans="1:28" hidden="1" outlineLevel="1">
      <c r="A353" s="199">
        <f t="shared" si="470"/>
        <v>15</v>
      </c>
      <c r="B353" s="190" t="str">
        <f t="shared" ca="1" si="471"/>
        <v>Depreciated Net Capex 2030-31</v>
      </c>
      <c r="C353" s="1426"/>
      <c r="D353" s="1426"/>
      <c r="E353" s="1426"/>
      <c r="F353" s="1426"/>
      <c r="G353" s="1426"/>
      <c r="H353" s="1426"/>
      <c r="I353" s="1426"/>
      <c r="J353" s="1426"/>
      <c r="K353" s="1426"/>
      <c r="L353" s="1426"/>
      <c r="M353" s="1426"/>
      <c r="N353" s="1426"/>
      <c r="O353" s="1426"/>
      <c r="P353" s="1426"/>
      <c r="Q353" s="1427"/>
      <c r="R353" s="1428">
        <f>R333</f>
        <v>0</v>
      </c>
      <c r="S353" s="1423">
        <f ca="1">IF(R377="n/a",R353,IFERROR(IF((OFFSET($C353,0,$A353))&lt;0,
MIN(0,R353-(OFFSET($C353,0,$A353)/(OFFSET($C348,-$A352,$A353)))),
MAX(0,R353-(OFFSET($C353,0,$A353)/(OFFSET($C348,-$A352,$A353))))),0))</f>
        <v>0</v>
      </c>
      <c r="T353" s="1423">
        <f t="shared" ca="1" si="466"/>
        <v>0</v>
      </c>
      <c r="U353" s="1423">
        <f t="shared" ca="1" si="467"/>
        <v>0</v>
      </c>
      <c r="V353" s="1423">
        <f t="shared" ca="1" si="468"/>
        <v>0</v>
      </c>
      <c r="W353" s="1423">
        <f t="shared" ca="1" si="469"/>
        <v>0</v>
      </c>
      <c r="X353" s="202"/>
      <c r="Y353" s="202"/>
      <c r="Z353" s="202"/>
      <c r="AA353" s="152"/>
      <c r="AB353" s="152"/>
    </row>
    <row r="354" spans="1:28" hidden="1" outlineLevel="1">
      <c r="A354" s="199">
        <f t="shared" si="470"/>
        <v>16</v>
      </c>
      <c r="B354" s="190" t="str">
        <f t="shared" ca="1" si="471"/>
        <v>Depreciated Net Capex 2031-32</v>
      </c>
      <c r="C354" s="1426"/>
      <c r="D354" s="1426"/>
      <c r="E354" s="1426"/>
      <c r="F354" s="1426"/>
      <c r="G354" s="1426"/>
      <c r="H354" s="1426"/>
      <c r="I354" s="1426"/>
      <c r="J354" s="1426"/>
      <c r="K354" s="1426"/>
      <c r="L354" s="1426"/>
      <c r="M354" s="1426"/>
      <c r="N354" s="1426"/>
      <c r="O354" s="1426"/>
      <c r="P354" s="1426"/>
      <c r="Q354" s="1426"/>
      <c r="R354" s="1427"/>
      <c r="S354" s="1428">
        <f>S333</f>
        <v>0</v>
      </c>
      <c r="T354" s="1423">
        <f ca="1">IF(S378="n/a",S354,IFERROR(IF((OFFSET($C354,0,$A354))&lt;0,
MIN(0,S354-(OFFSET($C354,0,$A354)/(OFFSET($C349,-$A353,$A354)))),
MAX(0,S354-(OFFSET($C354,0,$A354)/(OFFSET($C349,-$A353,$A354))))),0))</f>
        <v>0</v>
      </c>
      <c r="U354" s="1423">
        <f t="shared" ca="1" si="467"/>
        <v>0</v>
      </c>
      <c r="V354" s="1423">
        <f t="shared" ca="1" si="468"/>
        <v>0</v>
      </c>
      <c r="W354" s="1423">
        <f t="shared" ca="1" si="469"/>
        <v>0</v>
      </c>
      <c r="X354" s="202"/>
      <c r="Y354" s="202"/>
      <c r="Z354" s="202"/>
      <c r="AA354" s="152"/>
      <c r="AB354" s="152"/>
    </row>
    <row r="355" spans="1:28" hidden="1" outlineLevel="1">
      <c r="A355" s="199">
        <f t="shared" si="470"/>
        <v>17</v>
      </c>
      <c r="B355" s="190" t="str">
        <f t="shared" ca="1" si="471"/>
        <v>Depreciated Net Capex 2032-33</v>
      </c>
      <c r="C355" s="1426"/>
      <c r="D355" s="1426"/>
      <c r="E355" s="1426"/>
      <c r="F355" s="1426"/>
      <c r="G355" s="1426"/>
      <c r="H355" s="1426"/>
      <c r="I355" s="1426"/>
      <c r="J355" s="1426"/>
      <c r="K355" s="1426"/>
      <c r="L355" s="1426"/>
      <c r="M355" s="1426"/>
      <c r="N355" s="1426"/>
      <c r="O355" s="1426"/>
      <c r="P355" s="1426"/>
      <c r="Q355" s="1426"/>
      <c r="R355" s="1426"/>
      <c r="S355" s="1427"/>
      <c r="T355" s="1428">
        <f>T333</f>
        <v>0</v>
      </c>
      <c r="U355" s="1423">
        <f ca="1">IF(T379="n/a",T355,IFERROR(IF((OFFSET($C355,0,$A355))&lt;0,
MIN(0,T355-(OFFSET($C355,0,$A355)/(OFFSET($C350,-$A354,$A355)))),
MAX(0,T355-(OFFSET($C355,0,$A355)/(OFFSET($C350,-$A354,$A355))))),0))</f>
        <v>0</v>
      </c>
      <c r="V355" s="1423">
        <f t="shared" ca="1" si="468"/>
        <v>0</v>
      </c>
      <c r="W355" s="1423">
        <f t="shared" ca="1" si="469"/>
        <v>0</v>
      </c>
      <c r="X355" s="202"/>
      <c r="Y355" s="202"/>
      <c r="Z355" s="202"/>
      <c r="AA355" s="152"/>
      <c r="AB355" s="152"/>
    </row>
    <row r="356" spans="1:28" hidden="1" outlineLevel="1">
      <c r="A356" s="199">
        <f t="shared" si="470"/>
        <v>18</v>
      </c>
      <c r="B356" s="190" t="str">
        <f t="shared" ca="1" si="471"/>
        <v>Depreciated Net Capex 2033-34</v>
      </c>
      <c r="C356" s="1426"/>
      <c r="D356" s="1426"/>
      <c r="E356" s="1426"/>
      <c r="F356" s="1426"/>
      <c r="G356" s="1426"/>
      <c r="H356" s="1426"/>
      <c r="I356" s="1426"/>
      <c r="J356" s="1426"/>
      <c r="K356" s="1426"/>
      <c r="L356" s="1426"/>
      <c r="M356" s="1426"/>
      <c r="N356" s="1426"/>
      <c r="O356" s="1426"/>
      <c r="P356" s="1426"/>
      <c r="Q356" s="1426"/>
      <c r="R356" s="1426"/>
      <c r="S356" s="1426"/>
      <c r="T356" s="1427"/>
      <c r="U356" s="1428">
        <f>U333</f>
        <v>0</v>
      </c>
      <c r="V356" s="1423">
        <f ca="1">IF(U380="n/a",U356,IFERROR(IF((OFFSET($C356,0,$A356))&lt;0,
MIN(0,U356-(OFFSET($C356,0,$A356)/(OFFSET($C351,-$A355,$A356)))),
MAX(0,U356-(OFFSET($C356,0,$A356)/(OFFSET($C351,-$A355,$A356))))),0))</f>
        <v>0</v>
      </c>
      <c r="W356" s="1423">
        <f t="shared" ca="1" si="469"/>
        <v>0</v>
      </c>
      <c r="X356" s="202"/>
      <c r="Y356" s="202"/>
      <c r="Z356" s="202"/>
      <c r="AA356" s="152"/>
      <c r="AB356" s="152"/>
    </row>
    <row r="357" spans="1:28" hidden="1" outlineLevel="1">
      <c r="A357" s="199">
        <f t="shared" si="470"/>
        <v>19</v>
      </c>
      <c r="B357" s="190" t="str">
        <f t="shared" ca="1" si="471"/>
        <v>Depreciated Net Capex 2034-35</v>
      </c>
      <c r="C357" s="1426"/>
      <c r="D357" s="1426"/>
      <c r="E357" s="1426"/>
      <c r="F357" s="1426"/>
      <c r="G357" s="1426"/>
      <c r="H357" s="1426"/>
      <c r="I357" s="1426"/>
      <c r="J357" s="1426"/>
      <c r="K357" s="1426"/>
      <c r="L357" s="1426"/>
      <c r="M357" s="1426"/>
      <c r="N357" s="1426"/>
      <c r="O357" s="1426"/>
      <c r="P357" s="1426"/>
      <c r="Q357" s="1426"/>
      <c r="R357" s="1426"/>
      <c r="S357" s="1426"/>
      <c r="T357" s="1426"/>
      <c r="U357" s="1427"/>
      <c r="V357" s="1428">
        <f>V333</f>
        <v>0</v>
      </c>
      <c r="W357" s="1423">
        <f ca="1">IF(V381="n/a",V357,IFERROR(IF((OFFSET($C357,0,$A357))&lt;0,
MIN(0,V357-(OFFSET($C357,0,$A357)/(OFFSET($C352,-$A356,$A357)))),
MAX(0,V357-(OFFSET($C357,0,$A357)/(OFFSET($C352,-$A356,$A357))))),0))</f>
        <v>0</v>
      </c>
      <c r="X357" s="202"/>
      <c r="Y357" s="202"/>
      <c r="Z357" s="202"/>
      <c r="AA357" s="152"/>
      <c r="AB357" s="152"/>
    </row>
    <row r="358" spans="1:28" hidden="1" outlineLevel="1">
      <c r="A358" s="199">
        <f t="shared" si="470"/>
        <v>20</v>
      </c>
      <c r="B358" s="190" t="str">
        <f t="shared" ca="1" si="471"/>
        <v>Depreciated Net Capex 2035-36</v>
      </c>
      <c r="C358" s="1426"/>
      <c r="D358" s="1426"/>
      <c r="E358" s="1426"/>
      <c r="F358" s="1426"/>
      <c r="G358" s="1426"/>
      <c r="H358" s="1426"/>
      <c r="I358" s="1426"/>
      <c r="J358" s="1426"/>
      <c r="K358" s="1426"/>
      <c r="L358" s="1426"/>
      <c r="M358" s="1426"/>
      <c r="N358" s="1426"/>
      <c r="O358" s="1426"/>
      <c r="P358" s="1426"/>
      <c r="Q358" s="1426"/>
      <c r="R358" s="1426"/>
      <c r="S358" s="1426"/>
      <c r="T358" s="1426"/>
      <c r="U358" s="1426"/>
      <c r="V358" s="1427"/>
      <c r="W358" s="1423">
        <f>W333</f>
        <v>0</v>
      </c>
      <c r="X358" s="152"/>
      <c r="Y358" s="152"/>
      <c r="Z358" s="152"/>
      <c r="AA358" s="152"/>
      <c r="AB358" s="152"/>
    </row>
    <row r="359" spans="1:28" hidden="1" outlineLevel="1">
      <c r="A359" s="242"/>
      <c r="B359" s="200"/>
      <c r="C359" s="1423"/>
      <c r="D359" s="1423"/>
      <c r="E359" s="1423"/>
      <c r="F359" s="1423"/>
      <c r="G359" s="1423"/>
      <c r="H359" s="1423"/>
      <c r="I359" s="1423"/>
      <c r="J359" s="1423"/>
      <c r="K359" s="1423"/>
      <c r="L359" s="1423"/>
      <c r="M359" s="1423"/>
      <c r="N359" s="1423"/>
      <c r="O359" s="1423"/>
      <c r="P359" s="1423"/>
      <c r="Q359" s="1423"/>
      <c r="R359" s="1423"/>
      <c r="S359" s="1423"/>
      <c r="T359" s="1423"/>
      <c r="U359" s="1423"/>
      <c r="V359" s="1423"/>
      <c r="W359" s="1423"/>
      <c r="X359" s="152"/>
      <c r="Y359" s="152"/>
      <c r="Z359" s="152"/>
      <c r="AA359" s="152"/>
      <c r="AB359" s="152"/>
    </row>
    <row r="360" spans="1:28" hidden="1" outlineLevel="1">
      <c r="A360" s="242"/>
      <c r="B360" s="200"/>
      <c r="C360" s="1423"/>
      <c r="D360" s="1423"/>
      <c r="E360" s="1423"/>
      <c r="F360" s="1423"/>
      <c r="G360" s="1423"/>
      <c r="H360" s="1423"/>
      <c r="I360" s="1423"/>
      <c r="J360" s="1423"/>
      <c r="K360" s="1423"/>
      <c r="L360" s="1423"/>
      <c r="M360" s="1423"/>
      <c r="N360" s="1423"/>
      <c r="O360" s="1423"/>
      <c r="P360" s="1423"/>
      <c r="Q360" s="1423"/>
      <c r="R360" s="1423"/>
      <c r="S360" s="1423"/>
      <c r="T360" s="1423"/>
      <c r="U360" s="1423"/>
      <c r="V360" s="1423"/>
      <c r="W360" s="1423"/>
      <c r="X360" s="152"/>
      <c r="Y360" s="152"/>
      <c r="Z360" s="152"/>
      <c r="AA360" s="152"/>
      <c r="AB360" s="152"/>
    </row>
    <row r="361" spans="1:28" hidden="1" outlineLevel="1">
      <c r="A361" s="242"/>
      <c r="B361" s="190" t="s">
        <v>194</v>
      </c>
      <c r="C361" s="1423"/>
      <c r="D361" s="1423">
        <f t="shared" ref="D361" ca="1" si="472">IF(AND(C361&lt;1,D335=0),0,
IF(D335=0,C361-1,
IF(C361&lt;1,D336,
(((C361-1)*(C337-(C337/(C361))))+(D335*D336))/(D337))))</f>
        <v>0</v>
      </c>
      <c r="E361" s="1423">
        <f t="shared" ref="E361" ca="1" si="473">IF(AND(D361&lt;1,E335=0),0,
IF(E335=0,D361-1,
IF(D361&lt;1,E336,
(((D361-1)*(D337-(D337/(D361))))+(E335*E336))/(E337))))</f>
        <v>0</v>
      </c>
      <c r="F361" s="1423">
        <f t="shared" ref="F361" ca="1" si="474">IF(AND(E361&lt;1,F335=0),0,
IF(F335=0,E361-1,
IF(E361&lt;1,F336,
(((E361-1)*(E337-(E337/(E361))))+(F335*F336))/(F337))))</f>
        <v>0</v>
      </c>
      <c r="G361" s="1423">
        <f t="shared" ref="G361" ca="1" si="475">IF(AND(F361&lt;1,G335=0),0,
IF(G335=0,F361-1,
IF(F361&lt;1,G336,
(((F361-1)*(F337-(F337/(F361))))+(G335*G336))/(G337))))</f>
        <v>0</v>
      </c>
      <c r="H361" s="1423">
        <f ca="1">IF(AND(G361&lt;1,H335=0),0,
IF(H335=0,G361-1,
IF(G361&lt;1,H336,
(((G361-1)*(G337-(G337/(G361))))+(H335*H336))/(H337))))</f>
        <v>0</v>
      </c>
      <c r="I361" s="1423">
        <f t="shared" ref="I361" ca="1" si="476">IF(AND(H361&lt;1,I335=0),0,
IF(I335=0,H361-1,
IF(H361&lt;1,I336,
(((H361-1)*(H337-(H337/(H361))))+(I335*I336))/(I337))))</f>
        <v>0</v>
      </c>
      <c r="J361" s="1423">
        <f t="shared" ref="J361" ca="1" si="477">IF(AND(I361&lt;1,J335=0),0,
IF(J335=0,I361-1,
IF(I361&lt;1,J336,
(((I361-1)*(I337-(I337/(I361))))+(J335*J336))/(J337))))</f>
        <v>0</v>
      </c>
      <c r="K361" s="1423">
        <f t="shared" ref="K361" ca="1" si="478">IF(AND(J361&lt;1,K335=0),0,
IF(K335=0,J361-1,
IF(J361&lt;1,K336,
(((J361-1)*(J337-(J337/(J361))))+(K335*K336))/(K337))))</f>
        <v>0</v>
      </c>
      <c r="L361" s="1423">
        <f t="shared" ref="L361" ca="1" si="479">IF(AND(K361&lt;1,L335=0),0,
IF(L335=0,K361-1,
IF(K361&lt;1,L336,
(((K361-1)*(K337-(K337/(K361))))+(L335*L336))/(L337))))</f>
        <v>0</v>
      </c>
      <c r="M361" s="1423">
        <f ca="1">IF(AND(L361&lt;1,M335=0),0,
IF(M335=0,L361-1,
IF(L361&lt;1,M336,
(((L361-1)*(L337-(L337/(L361))))+(M335*M336))/(M337))))</f>
        <v>0</v>
      </c>
      <c r="N361" s="1423">
        <f t="shared" ref="N361" ca="1" si="480">IF(AND(M361&lt;1,N335=0),0,
IF(N335=0,M361-1,
IF(M361&lt;1,N336,
(((M361-1)*(M337-(M337/(M361))))+(N335*N336))/(N337))))</f>
        <v>0</v>
      </c>
      <c r="O361" s="1423">
        <f t="shared" ref="O361" ca="1" si="481">IF(AND(N361&lt;1,O335=0),0,
IF(O335=0,N361-1,
IF(N361&lt;1,O336,
(((N361-1)*(N337-(N337/(N361))))+(O335*O336))/(O337))))</f>
        <v>0</v>
      </c>
      <c r="P361" s="1423">
        <f t="shared" ref="P361" ca="1" si="482">IF(AND(O361&lt;1,P335=0),0,
IF(P335=0,O361-1,
IF(O361&lt;1,P336,
(((O361-1)*(O337-(O337/(O361))))+(P335*P336))/(P337))))</f>
        <v>0</v>
      </c>
      <c r="Q361" s="1423">
        <f t="shared" ref="Q361" ca="1" si="483">IF(AND(P361&lt;1,Q335=0),0,
IF(Q335=0,P361-1,
IF(P361&lt;1,Q336,
(((P361-1)*(P337-(P337/(P361))))+(Q335*Q336))/(Q337))))</f>
        <v>0</v>
      </c>
      <c r="R361" s="1423">
        <f t="shared" ref="R361" ca="1" si="484">IF(AND(Q361&lt;1,R335=0),0,
IF(R335=0,Q361-1,
IF(Q361&lt;1,R336,
(((Q361-1)*(Q337-(Q337/(Q361))))+(R335*R336))/(R337))))</f>
        <v>0</v>
      </c>
      <c r="S361" s="1423">
        <f t="shared" ref="S361" ca="1" si="485">IF(AND(R361&lt;1,S335=0),0,
IF(S335=0,R361-1,
IF(R361&lt;1,S336,
(((R361-1)*(R337-(R337/(R361))))+(S335*S336))/(S337))))</f>
        <v>0</v>
      </c>
      <c r="T361" s="1423">
        <f t="shared" ref="T361" ca="1" si="486">IF(AND(S361&lt;1,T335=0),0,
IF(T335=0,S361-1,
IF(S361&lt;1,T336,
(((S361-1)*(S337-(S337/(S361))))+(T335*T336))/(T337))))</f>
        <v>0</v>
      </c>
      <c r="U361" s="1423">
        <f t="shared" ref="U361" ca="1" si="487">IF(AND(T361&lt;1,U335=0),0,
IF(U335=0,T361-1,
IF(T361&lt;1,U336,
(((T361-1)*(T337-(T337/(T361))))+(U335*U336))/(U337))))</f>
        <v>0</v>
      </c>
      <c r="V361" s="1423">
        <f t="shared" ref="V361" ca="1" si="488">IF(AND(U361&lt;1,V335=0),0,
IF(V335=0,U361-1,
IF(U361&lt;1,V336,
(((U361-1)*(U337-(U337/(U361))))+(V335*V336))/(V337))))</f>
        <v>0</v>
      </c>
      <c r="W361" s="1423">
        <f t="shared" ref="W361" ca="1" si="489">IF(AND(V361&lt;1,W335=0),0,
IF(W335=0,V361-1,
IF(V361&lt;1,W336,
(((V361-1)*(V337-(V337/(V361))))+(W335*W336))/(W337))))</f>
        <v>0</v>
      </c>
      <c r="X361" s="152"/>
      <c r="Y361" s="152"/>
      <c r="Z361" s="152"/>
      <c r="AA361" s="152"/>
      <c r="AB361" s="152"/>
    </row>
    <row r="362" spans="1:28" hidden="1" outlineLevel="1">
      <c r="A362" s="242"/>
      <c r="B362" s="190" t="s">
        <v>193</v>
      </c>
      <c r="C362" s="1423">
        <f ca="1">C334</f>
        <v>1.5818277466198207</v>
      </c>
      <c r="D362" s="1423">
        <f t="shared" ref="D362" ca="1" si="490">IF(C362="n/a","n/a",MAX(0,C362-1))</f>
        <v>0.58182774661982073</v>
      </c>
      <c r="E362" s="1423">
        <f t="shared" ref="E362:E363" ca="1" si="491">IF(D362="n/a","n/a",MAX(0,D362-1))</f>
        <v>0</v>
      </c>
      <c r="F362" s="1423">
        <f t="shared" ref="F362:F364" ca="1" si="492">IF(E362="n/a","n/a",MAX(0,E362-1))</f>
        <v>0</v>
      </c>
      <c r="G362" s="1423">
        <f t="shared" ref="G362:G365" ca="1" si="493">IF(F362="n/a","n/a",MAX(0,F362-1))</f>
        <v>0</v>
      </c>
      <c r="H362" s="1423">
        <f t="shared" ref="H362:H366" ca="1" si="494">IF(G362="n/a","n/a",MAX(0,G362-1))</f>
        <v>0</v>
      </c>
      <c r="I362" s="1423">
        <f t="shared" ref="I362:I367" ca="1" si="495">IF(H362="n/a","n/a",MAX(0,H362-1))</f>
        <v>0</v>
      </c>
      <c r="J362" s="1423">
        <f t="shared" ref="J362:J368" ca="1" si="496">IF(I362="n/a","n/a",MAX(0,I362-1))</f>
        <v>0</v>
      </c>
      <c r="K362" s="1423">
        <f t="shared" ref="K362:K369" ca="1" si="497">IF(J362="n/a","n/a",MAX(0,J362-1))</f>
        <v>0</v>
      </c>
      <c r="L362" s="1423">
        <f t="shared" ref="L362:L370" ca="1" si="498">IF(K362="n/a","n/a",MAX(0,K362-1))</f>
        <v>0</v>
      </c>
      <c r="M362" s="1423">
        <f t="shared" ref="M362:M371" ca="1" si="499">IF(L362="n/a","n/a",MAX(0,L362-1))</f>
        <v>0</v>
      </c>
      <c r="N362" s="1423">
        <f t="shared" ref="N362:N372" ca="1" si="500">IF(M362="n/a","n/a",MAX(0,M362-1))</f>
        <v>0</v>
      </c>
      <c r="O362" s="1423">
        <f t="shared" ref="O362:O373" ca="1" si="501">IF(N362="n/a","n/a",MAX(0,N362-1))</f>
        <v>0</v>
      </c>
      <c r="P362" s="1423">
        <f t="shared" ref="P362:P374" ca="1" si="502">IF(O362="n/a","n/a",MAX(0,O362-1))</f>
        <v>0</v>
      </c>
      <c r="Q362" s="1423">
        <f t="shared" ref="Q362:Q375" ca="1" si="503">IF(P362="n/a","n/a",MAX(0,P362-1))</f>
        <v>0</v>
      </c>
      <c r="R362" s="1423">
        <f t="shared" ref="R362:R376" ca="1" si="504">IF(Q362="n/a","n/a",MAX(0,Q362-1))</f>
        <v>0</v>
      </c>
      <c r="S362" s="1423">
        <f t="shared" ref="S362:S377" ca="1" si="505">IF(R362="n/a","n/a",MAX(0,R362-1))</f>
        <v>0</v>
      </c>
      <c r="T362" s="1423">
        <f t="shared" ref="T362:T378" ca="1" si="506">IF(S362="n/a","n/a",MAX(0,S362-1))</f>
        <v>0</v>
      </c>
      <c r="U362" s="1423">
        <f t="shared" ref="U362:U379" ca="1" si="507">IF(T362="n/a","n/a",MAX(0,T362-1))</f>
        <v>0</v>
      </c>
      <c r="V362" s="1423">
        <f t="shared" ref="V362:V380" ca="1" si="508">IF(U362="n/a","n/a",MAX(0,U362-1))</f>
        <v>0</v>
      </c>
      <c r="W362" s="1423">
        <f t="shared" ref="W362:W380" ca="1" si="509">IF(V362="n/a","n/a",MAX(0,V362-1))</f>
        <v>0</v>
      </c>
      <c r="X362" s="152"/>
      <c r="Y362" s="152"/>
      <c r="Z362" s="152"/>
      <c r="AA362" s="152"/>
      <c r="AB362" s="152"/>
    </row>
    <row r="363" spans="1:28" hidden="1" outlineLevel="1">
      <c r="A363" s="242"/>
      <c r="B363" s="190" t="str">
        <f t="shared" ref="B363:B382" ca="1" si="510">"RL Capex "&amp;OFFSET($C$6,0,A339)</f>
        <v>RL Capex 2016-17</v>
      </c>
      <c r="C363" s="1424"/>
      <c r="D363" s="1428">
        <f>D334</f>
        <v>10</v>
      </c>
      <c r="E363" s="1423">
        <f t="shared" si="491"/>
        <v>9</v>
      </c>
      <c r="F363" s="1423">
        <f t="shared" si="492"/>
        <v>8</v>
      </c>
      <c r="G363" s="1423">
        <f t="shared" si="493"/>
        <v>7</v>
      </c>
      <c r="H363" s="1423">
        <f t="shared" si="494"/>
        <v>6</v>
      </c>
      <c r="I363" s="1423">
        <f t="shared" si="495"/>
        <v>5</v>
      </c>
      <c r="J363" s="1423">
        <f t="shared" si="496"/>
        <v>4</v>
      </c>
      <c r="K363" s="1423">
        <f t="shared" si="497"/>
        <v>3</v>
      </c>
      <c r="L363" s="1423">
        <f t="shared" si="498"/>
        <v>2</v>
      </c>
      <c r="M363" s="1423">
        <f t="shared" si="499"/>
        <v>1</v>
      </c>
      <c r="N363" s="1423">
        <f t="shared" si="500"/>
        <v>0</v>
      </c>
      <c r="O363" s="1423">
        <f t="shared" si="501"/>
        <v>0</v>
      </c>
      <c r="P363" s="1423">
        <f t="shared" si="502"/>
        <v>0</v>
      </c>
      <c r="Q363" s="1423">
        <f t="shared" si="503"/>
        <v>0</v>
      </c>
      <c r="R363" s="1423">
        <f t="shared" si="504"/>
        <v>0</v>
      </c>
      <c r="S363" s="1423">
        <f t="shared" si="505"/>
        <v>0</v>
      </c>
      <c r="T363" s="1423">
        <f t="shared" si="506"/>
        <v>0</v>
      </c>
      <c r="U363" s="1423">
        <f t="shared" si="507"/>
        <v>0</v>
      </c>
      <c r="V363" s="1423">
        <f t="shared" si="508"/>
        <v>0</v>
      </c>
      <c r="W363" s="1423">
        <f t="shared" si="509"/>
        <v>0</v>
      </c>
      <c r="X363" s="152"/>
      <c r="Y363" s="152"/>
      <c r="Z363" s="152"/>
      <c r="AA363" s="152"/>
      <c r="AB363" s="152"/>
    </row>
    <row r="364" spans="1:28" hidden="1" outlineLevel="1">
      <c r="A364" s="242"/>
      <c r="B364" s="190" t="str">
        <f t="shared" ca="1" si="510"/>
        <v>RL Capex 2017-18</v>
      </c>
      <c r="C364" s="1429"/>
      <c r="D364" s="1424"/>
      <c r="E364" s="1428">
        <f>E334</f>
        <v>10</v>
      </c>
      <c r="F364" s="1423">
        <f t="shared" si="492"/>
        <v>9</v>
      </c>
      <c r="G364" s="1423">
        <f t="shared" si="493"/>
        <v>8</v>
      </c>
      <c r="H364" s="1423">
        <f t="shared" si="494"/>
        <v>7</v>
      </c>
      <c r="I364" s="1423">
        <f t="shared" si="495"/>
        <v>6</v>
      </c>
      <c r="J364" s="1423">
        <f t="shared" si="496"/>
        <v>5</v>
      </c>
      <c r="K364" s="1423">
        <f t="shared" si="497"/>
        <v>4</v>
      </c>
      <c r="L364" s="1423">
        <f t="shared" si="498"/>
        <v>3</v>
      </c>
      <c r="M364" s="1423">
        <f t="shared" si="499"/>
        <v>2</v>
      </c>
      <c r="N364" s="1423">
        <f t="shared" si="500"/>
        <v>1</v>
      </c>
      <c r="O364" s="1423">
        <f t="shared" si="501"/>
        <v>0</v>
      </c>
      <c r="P364" s="1423">
        <f t="shared" si="502"/>
        <v>0</v>
      </c>
      <c r="Q364" s="1423">
        <f t="shared" si="503"/>
        <v>0</v>
      </c>
      <c r="R364" s="1423">
        <f t="shared" si="504"/>
        <v>0</v>
      </c>
      <c r="S364" s="1423">
        <f t="shared" si="505"/>
        <v>0</v>
      </c>
      <c r="T364" s="1423">
        <f t="shared" si="506"/>
        <v>0</v>
      </c>
      <c r="U364" s="1423">
        <f t="shared" si="507"/>
        <v>0</v>
      </c>
      <c r="V364" s="1423">
        <f t="shared" si="508"/>
        <v>0</v>
      </c>
      <c r="W364" s="1423">
        <f t="shared" si="509"/>
        <v>0</v>
      </c>
      <c r="X364" s="152"/>
      <c r="Y364" s="152"/>
      <c r="Z364" s="152"/>
      <c r="AA364" s="152"/>
      <c r="AB364" s="152"/>
    </row>
    <row r="365" spans="1:28" hidden="1" outlineLevel="1">
      <c r="A365" s="242"/>
      <c r="B365" s="190" t="str">
        <f t="shared" ca="1" si="510"/>
        <v>RL Capex 2018-19</v>
      </c>
      <c r="C365" s="1429"/>
      <c r="D365" s="1429"/>
      <c r="E365" s="1424"/>
      <c r="F365" s="1428">
        <f>F334</f>
        <v>10</v>
      </c>
      <c r="G365" s="1423">
        <f t="shared" si="493"/>
        <v>9</v>
      </c>
      <c r="H365" s="1423">
        <f t="shared" si="494"/>
        <v>8</v>
      </c>
      <c r="I365" s="1423">
        <f t="shared" si="495"/>
        <v>7</v>
      </c>
      <c r="J365" s="1423">
        <f t="shared" si="496"/>
        <v>6</v>
      </c>
      <c r="K365" s="1423">
        <f t="shared" si="497"/>
        <v>5</v>
      </c>
      <c r="L365" s="1423">
        <f t="shared" si="498"/>
        <v>4</v>
      </c>
      <c r="M365" s="1423">
        <f t="shared" si="499"/>
        <v>3</v>
      </c>
      <c r="N365" s="1423">
        <f t="shared" si="500"/>
        <v>2</v>
      </c>
      <c r="O365" s="1423">
        <f t="shared" si="501"/>
        <v>1</v>
      </c>
      <c r="P365" s="1423">
        <f t="shared" si="502"/>
        <v>0</v>
      </c>
      <c r="Q365" s="1423">
        <f t="shared" si="503"/>
        <v>0</v>
      </c>
      <c r="R365" s="1423">
        <f t="shared" si="504"/>
        <v>0</v>
      </c>
      <c r="S365" s="1423">
        <f t="shared" si="505"/>
        <v>0</v>
      </c>
      <c r="T365" s="1423">
        <f t="shared" si="506"/>
        <v>0</v>
      </c>
      <c r="U365" s="1423">
        <f t="shared" si="507"/>
        <v>0</v>
      </c>
      <c r="V365" s="1423">
        <f t="shared" si="508"/>
        <v>0</v>
      </c>
      <c r="W365" s="1423">
        <f t="shared" si="509"/>
        <v>0</v>
      </c>
      <c r="X365" s="152"/>
      <c r="Y365" s="152"/>
      <c r="Z365" s="152"/>
      <c r="AA365" s="152"/>
      <c r="AB365" s="152"/>
    </row>
    <row r="366" spans="1:28" hidden="1" outlineLevel="1">
      <c r="A366" s="242"/>
      <c r="B366" s="190" t="str">
        <f t="shared" ca="1" si="510"/>
        <v>RL Capex 2019-20</v>
      </c>
      <c r="C366" s="1429"/>
      <c r="D366" s="1429"/>
      <c r="E366" s="1429"/>
      <c r="F366" s="1424"/>
      <c r="G366" s="1428">
        <f>G334</f>
        <v>10</v>
      </c>
      <c r="H366" s="1423">
        <f t="shared" si="494"/>
        <v>9</v>
      </c>
      <c r="I366" s="1423">
        <f t="shared" si="495"/>
        <v>8</v>
      </c>
      <c r="J366" s="1423">
        <f t="shared" si="496"/>
        <v>7</v>
      </c>
      <c r="K366" s="1423">
        <f t="shared" si="497"/>
        <v>6</v>
      </c>
      <c r="L366" s="1423">
        <f t="shared" si="498"/>
        <v>5</v>
      </c>
      <c r="M366" s="1423">
        <f t="shared" si="499"/>
        <v>4</v>
      </c>
      <c r="N366" s="1423">
        <f t="shared" si="500"/>
        <v>3</v>
      </c>
      <c r="O366" s="1423">
        <f t="shared" si="501"/>
        <v>2</v>
      </c>
      <c r="P366" s="1423">
        <f t="shared" si="502"/>
        <v>1</v>
      </c>
      <c r="Q366" s="1423">
        <f t="shared" si="503"/>
        <v>0</v>
      </c>
      <c r="R366" s="1423">
        <f t="shared" si="504"/>
        <v>0</v>
      </c>
      <c r="S366" s="1423">
        <f t="shared" si="505"/>
        <v>0</v>
      </c>
      <c r="T366" s="1423">
        <f t="shared" si="506"/>
        <v>0</v>
      </c>
      <c r="U366" s="1423">
        <f t="shared" si="507"/>
        <v>0</v>
      </c>
      <c r="V366" s="1423">
        <f t="shared" si="508"/>
        <v>0</v>
      </c>
      <c r="W366" s="1423">
        <f t="shared" si="509"/>
        <v>0</v>
      </c>
      <c r="X366" s="152"/>
      <c r="Y366" s="152"/>
      <c r="Z366" s="152"/>
      <c r="AA366" s="152"/>
      <c r="AB366" s="152"/>
    </row>
    <row r="367" spans="1:28" hidden="1" outlineLevel="1">
      <c r="A367" s="242"/>
      <c r="B367" s="190" t="str">
        <f t="shared" ca="1" si="510"/>
        <v>RL Capex 2020-21</v>
      </c>
      <c r="C367" s="1429"/>
      <c r="D367" s="1429"/>
      <c r="E367" s="1429"/>
      <c r="F367" s="1429"/>
      <c r="G367" s="1424"/>
      <c r="H367" s="1428">
        <f>H334</f>
        <v>10</v>
      </c>
      <c r="I367" s="1423">
        <f t="shared" si="495"/>
        <v>9</v>
      </c>
      <c r="J367" s="1423">
        <f t="shared" si="496"/>
        <v>8</v>
      </c>
      <c r="K367" s="1423">
        <f t="shared" si="497"/>
        <v>7</v>
      </c>
      <c r="L367" s="1423">
        <f t="shared" si="498"/>
        <v>6</v>
      </c>
      <c r="M367" s="1423">
        <f t="shared" si="499"/>
        <v>5</v>
      </c>
      <c r="N367" s="1423">
        <f t="shared" si="500"/>
        <v>4</v>
      </c>
      <c r="O367" s="1423">
        <f t="shared" si="501"/>
        <v>3</v>
      </c>
      <c r="P367" s="1423">
        <f t="shared" si="502"/>
        <v>2</v>
      </c>
      <c r="Q367" s="1423">
        <f t="shared" si="503"/>
        <v>1</v>
      </c>
      <c r="R367" s="1423">
        <f t="shared" si="504"/>
        <v>0</v>
      </c>
      <c r="S367" s="1423">
        <f t="shared" si="505"/>
        <v>0</v>
      </c>
      <c r="T367" s="1423">
        <f t="shared" si="506"/>
        <v>0</v>
      </c>
      <c r="U367" s="1423">
        <f t="shared" si="507"/>
        <v>0</v>
      </c>
      <c r="V367" s="1423">
        <f t="shared" si="508"/>
        <v>0</v>
      </c>
      <c r="W367" s="1423">
        <f t="shared" si="509"/>
        <v>0</v>
      </c>
      <c r="X367" s="152"/>
      <c r="Y367" s="152"/>
      <c r="Z367" s="152"/>
      <c r="AA367" s="152"/>
      <c r="AB367" s="152"/>
    </row>
    <row r="368" spans="1:28" hidden="1" outlineLevel="1">
      <c r="A368" s="242"/>
      <c r="B368" s="190" t="str">
        <f t="shared" ca="1" si="510"/>
        <v>RL Capex 2021-22</v>
      </c>
      <c r="C368" s="1429"/>
      <c r="D368" s="1429"/>
      <c r="E368" s="1429"/>
      <c r="F368" s="1429"/>
      <c r="G368" s="1429"/>
      <c r="H368" s="1424"/>
      <c r="I368" s="1428">
        <f>I334</f>
        <v>10</v>
      </c>
      <c r="J368" s="1423">
        <f t="shared" si="496"/>
        <v>9</v>
      </c>
      <c r="K368" s="1423">
        <f t="shared" si="497"/>
        <v>8</v>
      </c>
      <c r="L368" s="1423">
        <f t="shared" si="498"/>
        <v>7</v>
      </c>
      <c r="M368" s="1423">
        <f t="shared" si="499"/>
        <v>6</v>
      </c>
      <c r="N368" s="1423">
        <f t="shared" si="500"/>
        <v>5</v>
      </c>
      <c r="O368" s="1423">
        <f t="shared" si="501"/>
        <v>4</v>
      </c>
      <c r="P368" s="1423">
        <f t="shared" si="502"/>
        <v>3</v>
      </c>
      <c r="Q368" s="1423">
        <f t="shared" si="503"/>
        <v>2</v>
      </c>
      <c r="R368" s="1423">
        <f t="shared" si="504"/>
        <v>1</v>
      </c>
      <c r="S368" s="1423">
        <f t="shared" si="505"/>
        <v>0</v>
      </c>
      <c r="T368" s="1423">
        <f t="shared" si="506"/>
        <v>0</v>
      </c>
      <c r="U368" s="1423">
        <f t="shared" si="507"/>
        <v>0</v>
      </c>
      <c r="V368" s="1423">
        <f t="shared" si="508"/>
        <v>0</v>
      </c>
      <c r="W368" s="1423">
        <f t="shared" si="509"/>
        <v>0</v>
      </c>
      <c r="X368" s="152"/>
      <c r="Y368" s="152"/>
      <c r="Z368" s="152"/>
      <c r="AA368" s="152"/>
      <c r="AB368" s="152"/>
    </row>
    <row r="369" spans="1:28" hidden="1" outlineLevel="1">
      <c r="A369" s="242"/>
      <c r="B369" s="190" t="str">
        <f t="shared" ca="1" si="510"/>
        <v>RL Capex 2022-23</v>
      </c>
      <c r="C369" s="1429"/>
      <c r="D369" s="1429"/>
      <c r="E369" s="1429"/>
      <c r="F369" s="1429"/>
      <c r="G369" s="1429"/>
      <c r="H369" s="1429"/>
      <c r="I369" s="1424"/>
      <c r="J369" s="1428">
        <f>J334</f>
        <v>10</v>
      </c>
      <c r="K369" s="1423">
        <f t="shared" si="497"/>
        <v>9</v>
      </c>
      <c r="L369" s="1423">
        <f t="shared" si="498"/>
        <v>8</v>
      </c>
      <c r="M369" s="1423">
        <f t="shared" si="499"/>
        <v>7</v>
      </c>
      <c r="N369" s="1423">
        <f t="shared" si="500"/>
        <v>6</v>
      </c>
      <c r="O369" s="1423">
        <f t="shared" si="501"/>
        <v>5</v>
      </c>
      <c r="P369" s="1423">
        <f t="shared" si="502"/>
        <v>4</v>
      </c>
      <c r="Q369" s="1423">
        <f t="shared" si="503"/>
        <v>3</v>
      </c>
      <c r="R369" s="1423">
        <f t="shared" si="504"/>
        <v>2</v>
      </c>
      <c r="S369" s="1423">
        <f t="shared" si="505"/>
        <v>1</v>
      </c>
      <c r="T369" s="1423">
        <f t="shared" si="506"/>
        <v>0</v>
      </c>
      <c r="U369" s="1423">
        <f t="shared" si="507"/>
        <v>0</v>
      </c>
      <c r="V369" s="1423">
        <f t="shared" si="508"/>
        <v>0</v>
      </c>
      <c r="W369" s="1423">
        <f t="shared" si="509"/>
        <v>0</v>
      </c>
      <c r="X369" s="152"/>
      <c r="Y369" s="152"/>
      <c r="Z369" s="152"/>
      <c r="AA369" s="152"/>
      <c r="AB369" s="152"/>
    </row>
    <row r="370" spans="1:28" hidden="1" outlineLevel="1">
      <c r="A370" s="242"/>
      <c r="B370" s="190" t="str">
        <f t="shared" ca="1" si="510"/>
        <v>RL Capex 2023-24</v>
      </c>
      <c r="C370" s="1429"/>
      <c r="D370" s="1429"/>
      <c r="E370" s="1429"/>
      <c r="F370" s="1429"/>
      <c r="G370" s="1429"/>
      <c r="H370" s="1429"/>
      <c r="I370" s="1429"/>
      <c r="J370" s="1424"/>
      <c r="K370" s="1428">
        <f>K334</f>
        <v>10</v>
      </c>
      <c r="L370" s="1423">
        <f t="shared" si="498"/>
        <v>9</v>
      </c>
      <c r="M370" s="1423">
        <f t="shared" si="499"/>
        <v>8</v>
      </c>
      <c r="N370" s="1423">
        <f t="shared" si="500"/>
        <v>7</v>
      </c>
      <c r="O370" s="1423">
        <f t="shared" si="501"/>
        <v>6</v>
      </c>
      <c r="P370" s="1423">
        <f t="shared" si="502"/>
        <v>5</v>
      </c>
      <c r="Q370" s="1423">
        <f t="shared" si="503"/>
        <v>4</v>
      </c>
      <c r="R370" s="1423">
        <f t="shared" si="504"/>
        <v>3</v>
      </c>
      <c r="S370" s="1423">
        <f t="shared" si="505"/>
        <v>2</v>
      </c>
      <c r="T370" s="1423">
        <f t="shared" si="506"/>
        <v>1</v>
      </c>
      <c r="U370" s="1423">
        <f t="shared" si="507"/>
        <v>0</v>
      </c>
      <c r="V370" s="1423">
        <f t="shared" si="508"/>
        <v>0</v>
      </c>
      <c r="W370" s="1423">
        <f t="shared" si="509"/>
        <v>0</v>
      </c>
      <c r="X370" s="152"/>
      <c r="Y370" s="152"/>
      <c r="Z370" s="152"/>
      <c r="AA370" s="152"/>
      <c r="AB370" s="152"/>
    </row>
    <row r="371" spans="1:28" hidden="1" outlineLevel="1">
      <c r="A371" s="242"/>
      <c r="B371" s="190" t="str">
        <f t="shared" ca="1" si="510"/>
        <v>RL Capex 2024-25</v>
      </c>
      <c r="C371" s="1429"/>
      <c r="D371" s="1429"/>
      <c r="E371" s="1429"/>
      <c r="F371" s="1429"/>
      <c r="G371" s="1429"/>
      <c r="H371" s="1429"/>
      <c r="I371" s="1429"/>
      <c r="J371" s="1429"/>
      <c r="K371" s="1424"/>
      <c r="L371" s="1428">
        <f>L334</f>
        <v>10</v>
      </c>
      <c r="M371" s="1423">
        <f t="shared" si="499"/>
        <v>9</v>
      </c>
      <c r="N371" s="1423">
        <f t="shared" si="500"/>
        <v>8</v>
      </c>
      <c r="O371" s="1423">
        <f t="shared" si="501"/>
        <v>7</v>
      </c>
      <c r="P371" s="1423">
        <f t="shared" si="502"/>
        <v>6</v>
      </c>
      <c r="Q371" s="1423">
        <f t="shared" si="503"/>
        <v>5</v>
      </c>
      <c r="R371" s="1423">
        <f t="shared" si="504"/>
        <v>4</v>
      </c>
      <c r="S371" s="1423">
        <f t="shared" si="505"/>
        <v>3</v>
      </c>
      <c r="T371" s="1423">
        <f t="shared" si="506"/>
        <v>2</v>
      </c>
      <c r="U371" s="1423">
        <f t="shared" si="507"/>
        <v>1</v>
      </c>
      <c r="V371" s="1423">
        <f t="shared" si="508"/>
        <v>0</v>
      </c>
      <c r="W371" s="1423">
        <f t="shared" si="509"/>
        <v>0</v>
      </c>
      <c r="X371" s="152"/>
      <c r="Y371" s="152"/>
      <c r="Z371" s="152"/>
      <c r="AA371" s="152"/>
      <c r="AB371" s="152"/>
    </row>
    <row r="372" spans="1:28" hidden="1" outlineLevel="1">
      <c r="A372" s="242"/>
      <c r="B372" s="190" t="str">
        <f t="shared" ca="1" si="510"/>
        <v>RL Capex 2025-26</v>
      </c>
      <c r="C372" s="1429"/>
      <c r="D372" s="1429"/>
      <c r="E372" s="1429"/>
      <c r="F372" s="1429"/>
      <c r="G372" s="1429"/>
      <c r="H372" s="1429"/>
      <c r="I372" s="1429"/>
      <c r="J372" s="1429"/>
      <c r="K372" s="1429"/>
      <c r="L372" s="1424"/>
      <c r="M372" s="1428">
        <f>M334</f>
        <v>10</v>
      </c>
      <c r="N372" s="1423">
        <f t="shared" si="500"/>
        <v>9</v>
      </c>
      <c r="O372" s="1423">
        <f t="shared" si="501"/>
        <v>8</v>
      </c>
      <c r="P372" s="1423">
        <f t="shared" si="502"/>
        <v>7</v>
      </c>
      <c r="Q372" s="1423">
        <f t="shared" si="503"/>
        <v>6</v>
      </c>
      <c r="R372" s="1423">
        <f t="shared" si="504"/>
        <v>5</v>
      </c>
      <c r="S372" s="1423">
        <f t="shared" si="505"/>
        <v>4</v>
      </c>
      <c r="T372" s="1423">
        <f t="shared" si="506"/>
        <v>3</v>
      </c>
      <c r="U372" s="1423">
        <f t="shared" si="507"/>
        <v>2</v>
      </c>
      <c r="V372" s="1423">
        <f t="shared" si="508"/>
        <v>1</v>
      </c>
      <c r="W372" s="1423">
        <f t="shared" si="509"/>
        <v>0</v>
      </c>
      <c r="X372" s="152"/>
      <c r="Y372" s="152"/>
      <c r="Z372" s="152"/>
      <c r="AA372" s="152"/>
      <c r="AB372" s="152"/>
    </row>
    <row r="373" spans="1:28" hidden="1" outlineLevel="1">
      <c r="A373" s="242"/>
      <c r="B373" s="190" t="str">
        <f t="shared" ca="1" si="510"/>
        <v>RL Capex 2026-27</v>
      </c>
      <c r="C373" s="1429"/>
      <c r="D373" s="1429"/>
      <c r="E373" s="1429"/>
      <c r="F373" s="1429"/>
      <c r="G373" s="1429"/>
      <c r="H373" s="1429"/>
      <c r="I373" s="1429"/>
      <c r="J373" s="1429"/>
      <c r="K373" s="1429"/>
      <c r="L373" s="1429"/>
      <c r="M373" s="1424"/>
      <c r="N373" s="1428">
        <f>N334</f>
        <v>0</v>
      </c>
      <c r="O373" s="1423">
        <f t="shared" si="501"/>
        <v>0</v>
      </c>
      <c r="P373" s="1423">
        <f t="shared" si="502"/>
        <v>0</v>
      </c>
      <c r="Q373" s="1423">
        <f t="shared" si="503"/>
        <v>0</v>
      </c>
      <c r="R373" s="1423">
        <f t="shared" si="504"/>
        <v>0</v>
      </c>
      <c r="S373" s="1423">
        <f t="shared" si="505"/>
        <v>0</v>
      </c>
      <c r="T373" s="1423">
        <f t="shared" si="506"/>
        <v>0</v>
      </c>
      <c r="U373" s="1423">
        <f t="shared" si="507"/>
        <v>0</v>
      </c>
      <c r="V373" s="1423">
        <f t="shared" si="508"/>
        <v>0</v>
      </c>
      <c r="W373" s="1423">
        <f t="shared" si="509"/>
        <v>0</v>
      </c>
      <c r="X373" s="152"/>
      <c r="Y373" s="152"/>
      <c r="Z373" s="152"/>
      <c r="AA373" s="152"/>
      <c r="AB373" s="152"/>
    </row>
    <row r="374" spans="1:28" hidden="1" outlineLevel="1">
      <c r="A374" s="242"/>
      <c r="B374" s="190" t="str">
        <f t="shared" ca="1" si="510"/>
        <v>RL Capex 2027-28</v>
      </c>
      <c r="C374" s="1429"/>
      <c r="D374" s="1429"/>
      <c r="E374" s="1429"/>
      <c r="F374" s="1429"/>
      <c r="G374" s="1429"/>
      <c r="H374" s="1429"/>
      <c r="I374" s="1429"/>
      <c r="J374" s="1429"/>
      <c r="K374" s="1429"/>
      <c r="L374" s="1429"/>
      <c r="M374" s="1429"/>
      <c r="N374" s="1424"/>
      <c r="O374" s="1428">
        <f>O334</f>
        <v>0</v>
      </c>
      <c r="P374" s="1423">
        <f t="shared" si="502"/>
        <v>0</v>
      </c>
      <c r="Q374" s="1423">
        <f t="shared" si="503"/>
        <v>0</v>
      </c>
      <c r="R374" s="1423">
        <f t="shared" si="504"/>
        <v>0</v>
      </c>
      <c r="S374" s="1423">
        <f t="shared" si="505"/>
        <v>0</v>
      </c>
      <c r="T374" s="1423">
        <f t="shared" si="506"/>
        <v>0</v>
      </c>
      <c r="U374" s="1423">
        <f t="shared" si="507"/>
        <v>0</v>
      </c>
      <c r="V374" s="1423">
        <f t="shared" si="508"/>
        <v>0</v>
      </c>
      <c r="W374" s="1423">
        <f t="shared" si="509"/>
        <v>0</v>
      </c>
      <c r="X374" s="152"/>
      <c r="Y374" s="152"/>
      <c r="Z374" s="152"/>
      <c r="AA374" s="152"/>
      <c r="AB374" s="152"/>
    </row>
    <row r="375" spans="1:28" hidden="1" outlineLevel="1">
      <c r="A375" s="242"/>
      <c r="B375" s="190" t="str">
        <f t="shared" ca="1" si="510"/>
        <v>RL Capex 2028-29</v>
      </c>
      <c r="C375" s="1429"/>
      <c r="D375" s="1429"/>
      <c r="E375" s="1429"/>
      <c r="F375" s="1429"/>
      <c r="G375" s="1429"/>
      <c r="H375" s="1429"/>
      <c r="I375" s="1429"/>
      <c r="J375" s="1429"/>
      <c r="K375" s="1429"/>
      <c r="L375" s="1429"/>
      <c r="M375" s="1429"/>
      <c r="N375" s="1429"/>
      <c r="O375" s="1424"/>
      <c r="P375" s="1428">
        <f>P334</f>
        <v>0</v>
      </c>
      <c r="Q375" s="1423">
        <f t="shared" si="503"/>
        <v>0</v>
      </c>
      <c r="R375" s="1423">
        <f t="shared" si="504"/>
        <v>0</v>
      </c>
      <c r="S375" s="1423">
        <f t="shared" si="505"/>
        <v>0</v>
      </c>
      <c r="T375" s="1423">
        <f t="shared" si="506"/>
        <v>0</v>
      </c>
      <c r="U375" s="1423">
        <f t="shared" si="507"/>
        <v>0</v>
      </c>
      <c r="V375" s="1423">
        <f t="shared" si="508"/>
        <v>0</v>
      </c>
      <c r="W375" s="1423">
        <f t="shared" si="509"/>
        <v>0</v>
      </c>
      <c r="X375" s="152"/>
      <c r="Y375" s="152"/>
      <c r="Z375" s="152"/>
      <c r="AA375" s="152"/>
      <c r="AB375" s="152"/>
    </row>
    <row r="376" spans="1:28" hidden="1" outlineLevel="1">
      <c r="A376" s="242"/>
      <c r="B376" s="190" t="str">
        <f t="shared" ca="1" si="510"/>
        <v>RL Capex 2029-30</v>
      </c>
      <c r="C376" s="1429"/>
      <c r="D376" s="1429"/>
      <c r="E376" s="1429"/>
      <c r="F376" s="1429"/>
      <c r="G376" s="1429"/>
      <c r="H376" s="1429"/>
      <c r="I376" s="1429"/>
      <c r="J376" s="1429"/>
      <c r="K376" s="1429"/>
      <c r="L376" s="1429"/>
      <c r="M376" s="1429"/>
      <c r="N376" s="1429"/>
      <c r="O376" s="1429"/>
      <c r="P376" s="1424"/>
      <c r="Q376" s="1428">
        <f>Q334</f>
        <v>0</v>
      </c>
      <c r="R376" s="1423">
        <f t="shared" si="504"/>
        <v>0</v>
      </c>
      <c r="S376" s="1423">
        <f t="shared" si="505"/>
        <v>0</v>
      </c>
      <c r="T376" s="1423">
        <f t="shared" si="506"/>
        <v>0</v>
      </c>
      <c r="U376" s="1423">
        <f t="shared" si="507"/>
        <v>0</v>
      </c>
      <c r="V376" s="1423">
        <f t="shared" si="508"/>
        <v>0</v>
      </c>
      <c r="W376" s="1423">
        <f t="shared" si="509"/>
        <v>0</v>
      </c>
      <c r="X376" s="152"/>
      <c r="Y376" s="152"/>
      <c r="Z376" s="152"/>
      <c r="AA376" s="152"/>
      <c r="AB376" s="152"/>
    </row>
    <row r="377" spans="1:28" hidden="1" outlineLevel="1">
      <c r="A377" s="242"/>
      <c r="B377" s="190" t="str">
        <f t="shared" ca="1" si="510"/>
        <v>RL Capex 2030-31</v>
      </c>
      <c r="C377" s="1429"/>
      <c r="D377" s="1429"/>
      <c r="E377" s="1429"/>
      <c r="F377" s="1429"/>
      <c r="G377" s="1429"/>
      <c r="H377" s="1429"/>
      <c r="I377" s="1429"/>
      <c r="J377" s="1429"/>
      <c r="K377" s="1429"/>
      <c r="L377" s="1429"/>
      <c r="M377" s="1429"/>
      <c r="N377" s="1429"/>
      <c r="O377" s="1429"/>
      <c r="P377" s="1429"/>
      <c r="Q377" s="1424"/>
      <c r="R377" s="1428">
        <f>R334</f>
        <v>0</v>
      </c>
      <c r="S377" s="1423">
        <f t="shared" si="505"/>
        <v>0</v>
      </c>
      <c r="T377" s="1423">
        <f t="shared" si="506"/>
        <v>0</v>
      </c>
      <c r="U377" s="1423">
        <f t="shared" si="507"/>
        <v>0</v>
      </c>
      <c r="V377" s="1423">
        <f t="shared" si="508"/>
        <v>0</v>
      </c>
      <c r="W377" s="1423">
        <f t="shared" si="509"/>
        <v>0</v>
      </c>
      <c r="X377" s="152"/>
      <c r="Y377" s="152"/>
      <c r="Z377" s="152"/>
      <c r="AA377" s="152"/>
      <c r="AB377" s="152"/>
    </row>
    <row r="378" spans="1:28" hidden="1" outlineLevel="1">
      <c r="A378" s="242"/>
      <c r="B378" s="190" t="str">
        <f t="shared" ca="1" si="510"/>
        <v>RL Capex 2031-32</v>
      </c>
      <c r="C378" s="1429"/>
      <c r="D378" s="1429"/>
      <c r="E378" s="1429"/>
      <c r="F378" s="1429"/>
      <c r="G378" s="1429"/>
      <c r="H378" s="1429"/>
      <c r="I378" s="1429"/>
      <c r="J378" s="1429"/>
      <c r="K378" s="1429"/>
      <c r="L378" s="1429"/>
      <c r="M378" s="1429"/>
      <c r="N378" s="1429"/>
      <c r="O378" s="1429"/>
      <c r="P378" s="1429"/>
      <c r="Q378" s="1429"/>
      <c r="R378" s="1424"/>
      <c r="S378" s="1428">
        <f>S334</f>
        <v>0</v>
      </c>
      <c r="T378" s="1423">
        <f t="shared" si="506"/>
        <v>0</v>
      </c>
      <c r="U378" s="1423">
        <f t="shared" si="507"/>
        <v>0</v>
      </c>
      <c r="V378" s="1423">
        <f t="shared" si="508"/>
        <v>0</v>
      </c>
      <c r="W378" s="1423">
        <f t="shared" si="509"/>
        <v>0</v>
      </c>
      <c r="X378" s="152"/>
      <c r="Y378" s="152"/>
      <c r="Z378" s="152"/>
      <c r="AA378" s="152"/>
      <c r="AB378" s="152"/>
    </row>
    <row r="379" spans="1:28" hidden="1" outlineLevel="1">
      <c r="A379" s="242"/>
      <c r="B379" s="190" t="str">
        <f t="shared" ca="1" si="510"/>
        <v>RL Capex 2032-33</v>
      </c>
      <c r="C379" s="1429"/>
      <c r="D379" s="1429"/>
      <c r="E379" s="1429"/>
      <c r="F379" s="1429"/>
      <c r="G379" s="1429"/>
      <c r="H379" s="1429"/>
      <c r="I379" s="1429"/>
      <c r="J379" s="1429"/>
      <c r="K379" s="1429"/>
      <c r="L379" s="1429"/>
      <c r="M379" s="1429"/>
      <c r="N379" s="1429"/>
      <c r="O379" s="1429"/>
      <c r="P379" s="1429"/>
      <c r="Q379" s="1429"/>
      <c r="R379" s="1429"/>
      <c r="S379" s="1424"/>
      <c r="T379" s="1428">
        <f>T334</f>
        <v>0</v>
      </c>
      <c r="U379" s="1423">
        <f t="shared" si="507"/>
        <v>0</v>
      </c>
      <c r="V379" s="1423">
        <f t="shared" si="508"/>
        <v>0</v>
      </c>
      <c r="W379" s="1423">
        <f t="shared" si="509"/>
        <v>0</v>
      </c>
      <c r="X379" s="152"/>
      <c r="Y379" s="152"/>
      <c r="Z379" s="152"/>
      <c r="AA379" s="152"/>
      <c r="AB379" s="152"/>
    </row>
    <row r="380" spans="1:28" hidden="1" outlineLevel="1">
      <c r="A380" s="242"/>
      <c r="B380" s="190" t="str">
        <f t="shared" ca="1" si="510"/>
        <v>RL Capex 2033-34</v>
      </c>
      <c r="C380" s="1429"/>
      <c r="D380" s="1429"/>
      <c r="E380" s="1429"/>
      <c r="F380" s="1429"/>
      <c r="G380" s="1429"/>
      <c r="H380" s="1429"/>
      <c r="I380" s="1429"/>
      <c r="J380" s="1429"/>
      <c r="K380" s="1429"/>
      <c r="L380" s="1429"/>
      <c r="M380" s="1429"/>
      <c r="N380" s="1429"/>
      <c r="O380" s="1429"/>
      <c r="P380" s="1429"/>
      <c r="Q380" s="1429"/>
      <c r="R380" s="1429"/>
      <c r="S380" s="1429"/>
      <c r="T380" s="1424"/>
      <c r="U380" s="1428">
        <f>U334</f>
        <v>0</v>
      </c>
      <c r="V380" s="1423">
        <f t="shared" si="508"/>
        <v>0</v>
      </c>
      <c r="W380" s="1423">
        <f t="shared" si="509"/>
        <v>0</v>
      </c>
      <c r="X380" s="152"/>
      <c r="Y380" s="152"/>
      <c r="Z380" s="152"/>
      <c r="AA380" s="152"/>
      <c r="AB380" s="152"/>
    </row>
    <row r="381" spans="1:28" hidden="1" outlineLevel="1">
      <c r="A381" s="242"/>
      <c r="B381" s="190" t="str">
        <f t="shared" ca="1" si="510"/>
        <v>RL Capex 2034-35</v>
      </c>
      <c r="C381" s="1429"/>
      <c r="D381" s="1429"/>
      <c r="E381" s="1429"/>
      <c r="F381" s="1429"/>
      <c r="G381" s="1429"/>
      <c r="H381" s="1429"/>
      <c r="I381" s="1429"/>
      <c r="J381" s="1429"/>
      <c r="K381" s="1429"/>
      <c r="L381" s="1429"/>
      <c r="M381" s="1429"/>
      <c r="N381" s="1429"/>
      <c r="O381" s="1429"/>
      <c r="P381" s="1429"/>
      <c r="Q381" s="1429"/>
      <c r="R381" s="1429"/>
      <c r="S381" s="1429"/>
      <c r="T381" s="1429"/>
      <c r="U381" s="1424"/>
      <c r="V381" s="1428">
        <f>V334</f>
        <v>0</v>
      </c>
      <c r="W381" s="1423">
        <f>IF(V381="n/a","n/a",MAX(0,V381-1))</f>
        <v>0</v>
      </c>
      <c r="X381" s="152"/>
      <c r="Y381" s="152"/>
      <c r="Z381" s="152"/>
      <c r="AA381" s="152"/>
      <c r="AB381" s="152"/>
    </row>
    <row r="382" spans="1:28" hidden="1" outlineLevel="1">
      <c r="A382" s="242"/>
      <c r="B382" s="190" t="str">
        <f t="shared" ca="1" si="510"/>
        <v>RL Capex 2035-36</v>
      </c>
      <c r="C382" s="1429"/>
      <c r="D382" s="1429"/>
      <c r="E382" s="1429"/>
      <c r="F382" s="1429"/>
      <c r="G382" s="1429"/>
      <c r="H382" s="1429"/>
      <c r="I382" s="1429"/>
      <c r="J382" s="1429"/>
      <c r="K382" s="1429"/>
      <c r="L382" s="1429"/>
      <c r="M382" s="1429"/>
      <c r="N382" s="1429"/>
      <c r="O382" s="1429"/>
      <c r="P382" s="1429"/>
      <c r="Q382" s="1429"/>
      <c r="R382" s="1429"/>
      <c r="S382" s="1429"/>
      <c r="T382" s="1429"/>
      <c r="U382" s="1429"/>
      <c r="V382" s="1424"/>
      <c r="W382" s="1423">
        <f>W334</f>
        <v>0</v>
      </c>
      <c r="X382" s="152"/>
      <c r="Y382" s="152"/>
      <c r="Z382" s="152"/>
      <c r="AA382" s="152"/>
      <c r="AB382" s="152"/>
    </row>
    <row r="383" spans="1:28" hidden="1" outlineLevel="1">
      <c r="A383" s="242"/>
      <c r="B383" s="200"/>
      <c r="C383" s="1423"/>
      <c r="D383" s="1423"/>
      <c r="E383" s="1423"/>
      <c r="F383" s="1423"/>
      <c r="G383" s="1423"/>
      <c r="H383" s="1423"/>
      <c r="I383" s="1423"/>
      <c r="J383" s="1423"/>
      <c r="K383" s="1423"/>
      <c r="L383" s="1423"/>
      <c r="M383" s="1423"/>
      <c r="N383" s="1423"/>
      <c r="O383" s="1423"/>
      <c r="P383" s="1423"/>
      <c r="Q383" s="1423"/>
      <c r="R383" s="1423"/>
      <c r="S383" s="1423"/>
      <c r="T383" s="1423"/>
      <c r="U383" s="1423"/>
      <c r="V383" s="1423"/>
      <c r="W383" s="1423"/>
      <c r="X383" s="152"/>
      <c r="Y383" s="152"/>
      <c r="Z383" s="152"/>
      <c r="AA383" s="152"/>
      <c r="AB383" s="152"/>
    </row>
    <row r="384" spans="1:28" collapsed="1">
      <c r="A384" s="246"/>
      <c r="B384" s="204" t="s">
        <v>123</v>
      </c>
      <c r="C384" s="1430">
        <f ca="1">(IF(OR($C334&lt;&gt;"n/a",C334&lt;&gt;"n/a"),IF(SUM(C337:C359)=0,0,IF((SUMPRODUCT(C337:C359,C361:C383)/SUM(C337:C359))&lt;0,1,(SUMPRODUCT(C337:C359,C361:C383)/SUM(C337:C359)))),"n/a"))</f>
        <v>1.5818277466198207</v>
      </c>
      <c r="D384" s="1430">
        <f ca="1">(IF(OR($C334&lt;&gt;"n/a",D334&lt;&gt;"n/a"),IF(SUM(D337:D359)=0,0,IF((SUMPRODUCT(D337:D359,D361:D383)/SUM(D337:D359))&lt;0,1,(SUMPRODUCT(D337:D359,D361:D383)/SUM(D337:D359)))),"n/a"))</f>
        <v>1</v>
      </c>
      <c r="E384" s="1430">
        <f t="shared" ref="E384:W384" ca="1" si="511">(IF(OR($C334&lt;&gt;"n/a",E334&lt;&gt;"n/a"),IF(SUM(E337:E359)=0,0,IF((SUMPRODUCT(E337:E359,E361:E383)/SUM(E337:E359))&lt;0,1,(SUMPRODUCT(E337:E359,E361:E383)/SUM(E337:E359)))),"n/a"))</f>
        <v>9</v>
      </c>
      <c r="F384" s="1430">
        <f t="shared" ca="1" si="511"/>
        <v>8</v>
      </c>
      <c r="G384" s="1430">
        <f t="shared" ca="1" si="511"/>
        <v>7</v>
      </c>
      <c r="H384" s="1430">
        <f t="shared" ca="1" si="511"/>
        <v>6</v>
      </c>
      <c r="I384" s="1430">
        <f t="shared" ca="1" si="511"/>
        <v>5</v>
      </c>
      <c r="J384" s="1430">
        <f t="shared" ca="1" si="511"/>
        <v>4</v>
      </c>
      <c r="K384" s="1430">
        <f t="shared" ca="1" si="511"/>
        <v>3</v>
      </c>
      <c r="L384" s="1430">
        <f t="shared" ca="1" si="511"/>
        <v>2</v>
      </c>
      <c r="M384" s="1430">
        <f t="shared" ca="1" si="511"/>
        <v>1</v>
      </c>
      <c r="N384" s="1430">
        <f t="shared" ca="1" si="511"/>
        <v>0</v>
      </c>
      <c r="O384" s="1430">
        <f t="shared" ca="1" si="511"/>
        <v>0</v>
      </c>
      <c r="P384" s="1430">
        <f t="shared" ca="1" si="511"/>
        <v>0</v>
      </c>
      <c r="Q384" s="1430">
        <f t="shared" ca="1" si="511"/>
        <v>0</v>
      </c>
      <c r="R384" s="1430">
        <f t="shared" ca="1" si="511"/>
        <v>0</v>
      </c>
      <c r="S384" s="1430">
        <f t="shared" ca="1" si="511"/>
        <v>0</v>
      </c>
      <c r="T384" s="1430">
        <f t="shared" ca="1" si="511"/>
        <v>0</v>
      </c>
      <c r="U384" s="1430">
        <f t="shared" ca="1" si="511"/>
        <v>0</v>
      </c>
      <c r="V384" s="1430">
        <f t="shared" ca="1" si="511"/>
        <v>0</v>
      </c>
      <c r="W384" s="1430">
        <f t="shared" ca="1" si="511"/>
        <v>0</v>
      </c>
      <c r="X384" s="152"/>
      <c r="Y384" s="152"/>
      <c r="Z384" s="152"/>
      <c r="AA384" s="152"/>
      <c r="AB384" s="152"/>
    </row>
    <row r="385" spans="1:28">
      <c r="A385" s="242"/>
      <c r="B385" s="152"/>
      <c r="C385" s="1423"/>
      <c r="D385" s="1423"/>
      <c r="E385" s="1423"/>
      <c r="F385" s="1423"/>
      <c r="G385" s="1423"/>
      <c r="H385" s="1423"/>
      <c r="I385" s="1423"/>
      <c r="J385" s="1423"/>
      <c r="K385" s="1423"/>
      <c r="L385" s="1423"/>
      <c r="M385" s="1423"/>
      <c r="N385" s="1423"/>
      <c r="O385" s="1423"/>
      <c r="P385" s="1423"/>
      <c r="Q385" s="1423"/>
      <c r="R385" s="1423"/>
      <c r="S385" s="1423"/>
      <c r="T385" s="1423"/>
      <c r="U385" s="1423"/>
      <c r="V385" s="1423"/>
      <c r="W385" s="1423"/>
      <c r="X385" s="152"/>
      <c r="Y385" s="152"/>
      <c r="Z385" s="152"/>
      <c r="AA385" s="152"/>
      <c r="AB385" s="152"/>
    </row>
    <row r="386" spans="1:28">
      <c r="A386" s="269" t="s">
        <v>8</v>
      </c>
      <c r="B386" s="270">
        <f>VLOOKUP($A386,'RFM input'!$E$7:$F$56,2,FALSE)</f>
        <v>0</v>
      </c>
      <c r="C386" s="1431"/>
      <c r="D386" s="1431"/>
      <c r="E386" s="1432"/>
      <c r="F386" s="1432"/>
      <c r="G386" s="1432"/>
      <c r="H386" s="1432"/>
      <c r="I386" s="1432"/>
      <c r="J386" s="1432"/>
      <c r="K386" s="1432"/>
      <c r="L386" s="1432"/>
      <c r="M386" s="1432"/>
      <c r="N386" s="1432"/>
      <c r="O386" s="1432"/>
      <c r="P386" s="1432"/>
      <c r="Q386" s="1432"/>
      <c r="R386" s="1432"/>
      <c r="S386" s="1432"/>
      <c r="T386" s="1432"/>
      <c r="U386" s="1432"/>
      <c r="V386" s="1432"/>
      <c r="W386" s="1432"/>
      <c r="X386" s="152"/>
      <c r="Y386" s="152"/>
      <c r="Z386" s="152"/>
      <c r="AA386" s="152"/>
      <c r="AB386" s="152"/>
    </row>
    <row r="387" spans="1:28">
      <c r="A387" s="215">
        <f>VALUE(REPLACE(A386,1,12,""))</f>
        <v>8</v>
      </c>
      <c r="B387" s="263" t="s">
        <v>126</v>
      </c>
      <c r="C387" s="1416">
        <f ca="1">IF($D$6='TAB roll forward'!$H$4,OFFSET('TAB roll forward'!$H$7,A387,0),"enter input")</f>
        <v>0</v>
      </c>
      <c r="D387" s="1417">
        <f>IF(LEFT(D$6,4)&lt;LEFT('RFM input'!$G$60,4),"enter input",IF(LEFT(D$6,4)&gt;LEFT('RFM input'!$Q$60,4),0,
INDEX('RFM input'!$G$61:$Q$110,$A387,MATCH(D$6,'RFM input'!$G$60:$Q$60,0))
   -INDEX('RFM input'!$G$115:$Q$164,$A387,MATCH(D$6,'RFM input'!$G$60:$Q$60,0))))</f>
        <v>0</v>
      </c>
      <c r="E387" s="1417">
        <f>IF(LEFT(E$6,4)&lt;LEFT('RFM input'!$G$60,4),"enter input",IF(LEFT(E$6,4)&gt;LEFT('RFM input'!$Q$60,4),0,
INDEX('RFM input'!$G$61:$Q$110,$A387,MATCH(E$6,'RFM input'!$G$60:$Q$60,0))
   -INDEX('RFM input'!$G$115:$Q$164,$A387,MATCH(E$6,'RFM input'!$G$60:$Q$60,0))))</f>
        <v>0</v>
      </c>
      <c r="F387" s="1417">
        <f>IF(LEFT(F$6,4)&lt;LEFT('RFM input'!$G$60,4),"enter input",IF(LEFT(F$6,4)&gt;LEFT('RFM input'!$Q$60,4),0,
INDEX('RFM input'!$G$61:$Q$110,$A387,MATCH(F$6,'RFM input'!$G$60:$Q$60,0))
   -INDEX('RFM input'!$G$115:$Q$164,$A387,MATCH(F$6,'RFM input'!$G$60:$Q$60,0))))</f>
        <v>0</v>
      </c>
      <c r="G387" s="1417">
        <f>IF(LEFT(G$6,4)&lt;LEFT('RFM input'!$G$60,4),"enter input",IF(LEFT(G$6,4)&gt;LEFT('RFM input'!$Q$60,4),0,
INDEX('RFM input'!$G$61:$Q$110,$A387,MATCH(G$6,'RFM input'!$G$60:$Q$60,0))
   -INDEX('RFM input'!$G$115:$Q$164,$A387,MATCH(G$6,'RFM input'!$G$60:$Q$60,0))))</f>
        <v>0</v>
      </c>
      <c r="H387" s="1417">
        <f>IF(LEFT(H$6,4)&lt;LEFT('RFM input'!$G$60,4),"enter input",IF(LEFT(H$6,4)&gt;LEFT('RFM input'!$Q$60,4),0,
INDEX('RFM input'!$G$61:$Q$110,$A387,MATCH(H$6,'RFM input'!$G$60:$Q$60,0))
   -INDEX('RFM input'!$G$115:$Q$164,$A387,MATCH(H$6,'RFM input'!$G$60:$Q$60,0))))</f>
        <v>0</v>
      </c>
      <c r="I387" s="1417">
        <f>IF(LEFT(I$6,4)&lt;LEFT('RFM input'!$G$60,4),"enter input",IF(LEFT(I$6,4)&gt;LEFT('RFM input'!$Q$60,4),0,
INDEX('RFM input'!$G$61:$Q$110,$A387,MATCH(I$6,'RFM input'!$G$60:$Q$60,0))
   -INDEX('RFM input'!$G$115:$Q$164,$A387,MATCH(I$6,'RFM input'!$G$60:$Q$60,0))))</f>
        <v>0</v>
      </c>
      <c r="J387" s="1417">
        <f>IF(LEFT(J$6,4)&lt;LEFT('RFM input'!$G$60,4),"enter input",IF(LEFT(J$6,4)&gt;LEFT('RFM input'!$Q$60,4),0,
INDEX('RFM input'!$G$61:$Q$110,$A387,MATCH(J$6,'RFM input'!$G$60:$Q$60,0))
   -INDEX('RFM input'!$G$115:$Q$164,$A387,MATCH(J$6,'RFM input'!$G$60:$Q$60,0))))</f>
        <v>0</v>
      </c>
      <c r="K387" s="1417">
        <f>IF(LEFT(K$6,4)&lt;LEFT('RFM input'!$G$60,4),"enter input",IF(LEFT(K$6,4)&gt;LEFT('RFM input'!$Q$60,4),0,
INDEX('RFM input'!$G$61:$Q$110,$A387,MATCH(K$6,'RFM input'!$G$60:$Q$60,0))
   -INDEX('RFM input'!$G$115:$Q$164,$A387,MATCH(K$6,'RFM input'!$G$60:$Q$60,0))))</f>
        <v>0</v>
      </c>
      <c r="L387" s="1417">
        <f>IF(LEFT(L$6,4)&lt;LEFT('RFM input'!$G$60,4),"enter input",IF(LEFT(L$6,4)&gt;LEFT('RFM input'!$Q$60,4),0,
INDEX('RFM input'!$G$61:$Q$110,$A387,MATCH(L$6,'RFM input'!$G$60:$Q$60,0))
   -INDEX('RFM input'!$G$115:$Q$164,$A387,MATCH(L$6,'RFM input'!$G$60:$Q$60,0))))</f>
        <v>0</v>
      </c>
      <c r="M387" s="1417">
        <f>IF(LEFT(M$6,4)&lt;LEFT('RFM input'!$G$60,4),"enter input",IF(LEFT(M$6,4)&gt;LEFT('RFM input'!$Q$60,4),0,
INDEX('RFM input'!$G$61:$Q$110,$A387,MATCH(M$6,'RFM input'!$G$60:$Q$60,0))
   -INDEX('RFM input'!$G$115:$Q$164,$A387,MATCH(M$6,'RFM input'!$G$60:$Q$60,0))))</f>
        <v>0</v>
      </c>
      <c r="N387" s="1417">
        <f>IF(LEFT(N$6,4)&lt;LEFT('RFM input'!$G$60,4),"enter input",IF(LEFT(N$6,4)&gt;LEFT('RFM input'!$Q$60,4),0,
INDEX('RFM input'!$G$61:$Q$110,$A387,MATCH(N$6,'RFM input'!$G$60:$Q$60,0))
   -INDEX('RFM input'!$G$115:$Q$164,$A387,MATCH(N$6,'RFM input'!$G$60:$Q$60,0))))</f>
        <v>0</v>
      </c>
      <c r="O387" s="1417">
        <f>IF(LEFT(O$6,4)&lt;LEFT('RFM input'!$G$60,4),"enter input",IF(LEFT(O$6,4)&gt;LEFT('RFM input'!$Q$60,4),0,
INDEX('RFM input'!$G$61:$Q$110,$A387,MATCH(O$6,'RFM input'!$G$60:$Q$60,0))
   -INDEX('RFM input'!$G$115:$Q$164,$A387,MATCH(O$6,'RFM input'!$G$60:$Q$60,0))))</f>
        <v>0</v>
      </c>
      <c r="P387" s="1417">
        <f>IF(LEFT(P$6,4)&lt;LEFT('RFM input'!$G$60,4),"enter input",IF(LEFT(P$6,4)&gt;LEFT('RFM input'!$Q$60,4),0,
INDEX('RFM input'!$G$61:$Q$110,$A387,MATCH(P$6,'RFM input'!$G$60:$Q$60,0))
   -INDEX('RFM input'!$G$115:$Q$164,$A387,MATCH(P$6,'RFM input'!$G$60:$Q$60,0))))</f>
        <v>0</v>
      </c>
      <c r="Q387" s="1417">
        <f>IF(LEFT(Q$6,4)&lt;LEFT('RFM input'!$G$60,4),"enter input",IF(LEFT(Q$6,4)&gt;LEFT('RFM input'!$Q$60,4),0,
INDEX('RFM input'!$G$61:$Q$110,$A387,MATCH(Q$6,'RFM input'!$G$60:$Q$60,0))
   -INDEX('RFM input'!$G$115:$Q$164,$A387,MATCH(Q$6,'RFM input'!$G$60:$Q$60,0))))</f>
        <v>0</v>
      </c>
      <c r="R387" s="1417">
        <f>IF(LEFT(R$6,4)&lt;LEFT('RFM input'!$G$60,4),"enter input",IF(LEFT(R$6,4)&gt;LEFT('RFM input'!$Q$60,4),0,
INDEX('RFM input'!$G$61:$Q$110,$A387,MATCH(R$6,'RFM input'!$G$60:$Q$60,0))
   -INDEX('RFM input'!$G$115:$Q$164,$A387,MATCH(R$6,'RFM input'!$G$60:$Q$60,0))))</f>
        <v>0</v>
      </c>
      <c r="S387" s="1417">
        <f>IF(LEFT(S$6,4)&lt;LEFT('RFM input'!$G$60,4),"enter input",IF(LEFT(S$6,4)&gt;LEFT('RFM input'!$Q$60,4),0,
INDEX('RFM input'!$G$61:$Q$110,$A387,MATCH(S$6,'RFM input'!$G$60:$Q$60,0))
   -INDEX('RFM input'!$G$115:$Q$164,$A387,MATCH(S$6,'RFM input'!$G$60:$Q$60,0))))</f>
        <v>0</v>
      </c>
      <c r="T387" s="1417">
        <f>IF(LEFT(T$6,4)&lt;LEFT('RFM input'!$G$60,4),"enter input",IF(LEFT(T$6,4)&gt;LEFT('RFM input'!$Q$60,4),0,
INDEX('RFM input'!$G$61:$Q$110,$A387,MATCH(T$6,'RFM input'!$G$60:$Q$60,0))
   -INDEX('RFM input'!$G$115:$Q$164,$A387,MATCH(T$6,'RFM input'!$G$60:$Q$60,0))))</f>
        <v>0</v>
      </c>
      <c r="U387" s="1417">
        <f>IF(LEFT(U$6,4)&lt;LEFT('RFM input'!$G$60,4),"enter input",IF(LEFT(U$6,4)&gt;LEFT('RFM input'!$Q$60,4),0,
INDEX('RFM input'!$G$61:$Q$110,$A387,MATCH(U$6,'RFM input'!$G$60:$Q$60,0))
   -INDEX('RFM input'!$G$115:$Q$164,$A387,MATCH(U$6,'RFM input'!$G$60:$Q$60,0))))</f>
        <v>0</v>
      </c>
      <c r="V387" s="1417">
        <f>IF(LEFT(V$6,4)&lt;LEFT('RFM input'!$G$60,4),"enter input",IF(LEFT(V$6,4)&gt;LEFT('RFM input'!$Q$60,4),0,
INDEX('RFM input'!$G$61:$Q$110,$A387,MATCH(V$6,'RFM input'!$G$60:$Q$60,0))
   -INDEX('RFM input'!$G$115:$Q$164,$A387,MATCH(V$6,'RFM input'!$G$60:$Q$60,0))))</f>
        <v>0</v>
      </c>
      <c r="W387" s="1417">
        <f>IF(LEFT(W$6,4)&lt;LEFT('RFM input'!$G$60,4),"enter input",IF(LEFT(W$6,4)&gt;LEFT('RFM input'!$Q$60,4),0,
INDEX('RFM input'!$G$61:$Q$110,$A387,MATCH(W$6,'RFM input'!$G$60:$Q$60,0))
   -INDEX('RFM input'!$G$115:$Q$164,$A387,MATCH(W$6,'RFM input'!$G$60:$Q$60,0))))</f>
        <v>0</v>
      </c>
      <c r="X387" s="152"/>
      <c r="Y387" s="152"/>
      <c r="Z387" s="152"/>
      <c r="AA387" s="152"/>
      <c r="AB387" s="152"/>
    </row>
    <row r="388" spans="1:28">
      <c r="A388" s="242"/>
      <c r="B388" s="152" t="s">
        <v>205</v>
      </c>
      <c r="C388" s="1418">
        <f ca="1">IF($D$6='TAB roll forward'!$H$4,OFFSET('RFM input'!$S$6,$A387,0),"enter input")</f>
        <v>0</v>
      </c>
      <c r="D388" s="1417">
        <f>IF(LEFT(D$6,4)&lt;=LEFT('RFM input'!$G$60,4),"enter input",IF(LEFT(D$6,4)&gt;LEFT('RFM input'!$Q$60,4),0,
IF(MATCH(D$6,'RFM input'!$H$60:$Q$60,0),INDEX('RFM input'!$T$7:$T$56,$A387,1,1))))</f>
        <v>0</v>
      </c>
      <c r="E388" s="1417">
        <f>IF(LEFT(E$6,4)&lt;=LEFT('RFM input'!$G$60,4),"enter input",IF(LEFT(E$6,4)&gt;LEFT('RFM input'!$Q$60,4),0,
IF(MATCH(E$6,'RFM input'!$H$60:$Q$60,0),INDEX('RFM input'!$T$7:$T$56,$A387,1,1))))</f>
        <v>0</v>
      </c>
      <c r="F388" s="1417">
        <f>IF(LEFT(F$6,4)&lt;=LEFT('RFM input'!$G$60,4),"enter input",IF(LEFT(F$6,4)&gt;LEFT('RFM input'!$Q$60,4),0,
IF(MATCH(F$6,'RFM input'!$H$60:$Q$60,0),INDEX('RFM input'!$T$7:$T$56,$A387,1,1))))</f>
        <v>0</v>
      </c>
      <c r="G388" s="1417">
        <f>IF(LEFT(G$6,4)&lt;=LEFT('RFM input'!$G$60,4),"enter input",IF(LEFT(G$6,4)&gt;LEFT('RFM input'!$Q$60,4),0,
IF(MATCH(G$6,'RFM input'!$H$60:$Q$60,0),INDEX('RFM input'!$T$7:$T$56,$A387,1,1))))</f>
        <v>0</v>
      </c>
      <c r="H388" s="1417">
        <f>IF(LEFT(H$6,4)&lt;=LEFT('RFM input'!$G$60,4),"enter input",IF(LEFT(H$6,4)&gt;LEFT('RFM input'!$Q$60,4),0,
IF(MATCH(H$6,'RFM input'!$H$60:$Q$60,0),INDEX('RFM input'!$T$7:$T$56,$A387,1,1))))</f>
        <v>0</v>
      </c>
      <c r="I388" s="1417">
        <f>IF(LEFT(I$6,4)&lt;=LEFT('RFM input'!$G$60,4),"enter input",IF(LEFT(I$6,4)&gt;LEFT('RFM input'!$Q$60,4),0,
IF(MATCH(I$6,'RFM input'!$H$60:$Q$60,0),INDEX('RFM input'!$T$7:$T$56,$A387,1,1))))</f>
        <v>0</v>
      </c>
      <c r="J388" s="1417">
        <f>IF(LEFT(J$6,4)&lt;=LEFT('RFM input'!$G$60,4),"enter input",IF(LEFT(J$6,4)&gt;LEFT('RFM input'!$Q$60,4),0,
IF(MATCH(J$6,'RFM input'!$H$60:$Q$60,0),INDEX('RFM input'!$T$7:$T$56,$A387,1,1))))</f>
        <v>0</v>
      </c>
      <c r="K388" s="1417">
        <f>IF(LEFT(K$6,4)&lt;=LEFT('RFM input'!$G$60,4),"enter input",IF(LEFT(K$6,4)&gt;LEFT('RFM input'!$Q$60,4),0,
IF(MATCH(K$6,'RFM input'!$H$60:$Q$60,0),INDEX('RFM input'!$T$7:$T$56,$A387,1,1))))</f>
        <v>0</v>
      </c>
      <c r="L388" s="1417">
        <f>IF(LEFT(L$6,4)&lt;=LEFT('RFM input'!$G$60,4),"enter input",IF(LEFT(L$6,4)&gt;LEFT('RFM input'!$Q$60,4),0,
IF(MATCH(L$6,'RFM input'!$H$60:$Q$60,0),INDEX('RFM input'!$T$7:$T$56,$A387,1,1))))</f>
        <v>0</v>
      </c>
      <c r="M388" s="1417">
        <f>IF(LEFT(M$6,4)&lt;=LEFT('RFM input'!$G$60,4),"enter input",IF(LEFT(M$6,4)&gt;LEFT('RFM input'!$Q$60,4),0,
IF(MATCH(M$6,'RFM input'!$H$60:$Q$60,0),INDEX('RFM input'!$T$7:$T$56,$A387,1,1))))</f>
        <v>0</v>
      </c>
      <c r="N388" s="1417">
        <f>IF(LEFT(N$6,4)&lt;=LEFT('RFM input'!$G$60,4),"enter input",IF(LEFT(N$6,4)&gt;LEFT('RFM input'!$Q$60,4),0,
IF(MATCH(N$6,'RFM input'!$H$60:$Q$60,0),INDEX('RFM input'!$T$7:$T$56,$A387,1,1))))</f>
        <v>0</v>
      </c>
      <c r="O388" s="1417">
        <f>IF(LEFT(O$6,4)&lt;=LEFT('RFM input'!$G$60,4),"enter input",IF(LEFT(O$6,4)&gt;LEFT('RFM input'!$Q$60,4),0,
IF(MATCH(O$6,'RFM input'!$H$60:$Q$60,0),INDEX('RFM input'!$T$7:$T$56,$A387,1,1))))</f>
        <v>0</v>
      </c>
      <c r="P388" s="1417">
        <f>IF(LEFT(P$6,4)&lt;=LEFT('RFM input'!$G$60,4),"enter input",IF(LEFT(P$6,4)&gt;LEFT('RFM input'!$Q$60,4),0,
IF(MATCH(P$6,'RFM input'!$H$60:$Q$60,0),INDEX('RFM input'!$T$7:$T$56,$A387,1,1))))</f>
        <v>0</v>
      </c>
      <c r="Q388" s="1417">
        <f>IF(LEFT(Q$6,4)&lt;=LEFT('RFM input'!$G$60,4),"enter input",IF(LEFT(Q$6,4)&gt;LEFT('RFM input'!$Q$60,4),0,
IF(MATCH(Q$6,'RFM input'!$H$60:$Q$60,0),INDEX('RFM input'!$T$7:$T$56,$A387,1,1))))</f>
        <v>0</v>
      </c>
      <c r="R388" s="1417">
        <f>IF(LEFT(R$6,4)&lt;=LEFT('RFM input'!$G$60,4),"enter input",IF(LEFT(R$6,4)&gt;LEFT('RFM input'!$Q$60,4),0,
IF(MATCH(R$6,'RFM input'!$H$60:$Q$60,0),INDEX('RFM input'!$T$7:$T$56,$A387,1,1))))</f>
        <v>0</v>
      </c>
      <c r="S388" s="1417">
        <f>IF(LEFT(S$6,4)&lt;=LEFT('RFM input'!$G$60,4),"enter input",IF(LEFT(S$6,4)&gt;LEFT('RFM input'!$Q$60,4),0,
IF(MATCH(S$6,'RFM input'!$H$60:$Q$60,0),INDEX('RFM input'!$T$7:$T$56,$A387,1,1))))</f>
        <v>0</v>
      </c>
      <c r="T388" s="1417">
        <f>IF(LEFT(T$6,4)&lt;=LEFT('RFM input'!$G$60,4),"enter input",IF(LEFT(T$6,4)&gt;LEFT('RFM input'!$Q$60,4),0,
IF(MATCH(T$6,'RFM input'!$H$60:$Q$60,0),INDEX('RFM input'!$T$7:$T$56,$A387,1,1))))</f>
        <v>0</v>
      </c>
      <c r="U388" s="1417">
        <f>IF(LEFT(U$6,4)&lt;=LEFT('RFM input'!$G$60,4),"enter input",IF(LEFT(U$6,4)&gt;LEFT('RFM input'!$Q$60,4),0,
IF(MATCH(U$6,'RFM input'!$H$60:$Q$60,0),INDEX('RFM input'!$T$7:$T$56,$A387,1,1))))</f>
        <v>0</v>
      </c>
      <c r="V388" s="1417">
        <f>IF(LEFT(V$6,4)&lt;=LEFT('RFM input'!$G$60,4),"enter input",IF(LEFT(V$6,4)&gt;LEFT('RFM input'!$Q$60,4),0,
IF(MATCH(V$6,'RFM input'!$H$60:$Q$60,0),INDEX('RFM input'!$T$7:$T$56,$A387,1,1))))</f>
        <v>0</v>
      </c>
      <c r="W388" s="1417">
        <f>IF(LEFT(W$6,4)&lt;=LEFT('RFM input'!$G$60,4),"enter input",IF(LEFT(W$6,4)&gt;LEFT('RFM input'!$Q$60,4),0,
IF(MATCH(W$6,'RFM input'!$H$60:$Q$60,0),INDEX('RFM input'!$T$7:$T$56,$A387,1,1))))</f>
        <v>0</v>
      </c>
      <c r="X388" s="152"/>
      <c r="Y388" s="152"/>
      <c r="Z388" s="152"/>
      <c r="AA388" s="152"/>
      <c r="AB388" s="152"/>
    </row>
    <row r="389" spans="1:28">
      <c r="A389" s="242"/>
      <c r="B389" s="193" t="s">
        <v>192</v>
      </c>
      <c r="C389" s="1419"/>
      <c r="D389" s="1420">
        <f ca="1">IF(LEFT(D$6,4)&lt;=LEFT('RFM input'!$G$60,4),"enter input",IF(LEFT(D$6,4)&gt;LEFT('RFM input'!$Q$60,4),0,
IF(D$6=(OFFSET('RFM input'!$G$60,0,'RFM input'!$V$7)),OFFSET('RFM input'!$H$411,$A387,0),0)))</f>
        <v>0</v>
      </c>
      <c r="E389" s="1417">
        <f ca="1">IF(LEFT(E$6,4)&lt;=LEFT('RFM input'!$G$60,4),"enter input",IF(LEFT(E$6,4)&gt;LEFT('RFM input'!$Q$60,4),0,
IF(E$6=(OFFSET('RFM input'!$G$60,0,'RFM input'!$V$7)),OFFSET('RFM input'!$H$411,$A387,0),0)))</f>
        <v>0</v>
      </c>
      <c r="F389" s="1417">
        <f ca="1">IF(LEFT(F$6,4)&lt;=LEFT('RFM input'!$G$60,4),"enter input",IF(LEFT(F$6,4)&gt;LEFT('RFM input'!$Q$60,4),0,
IF(F$6=(OFFSET('RFM input'!$G$60,0,'RFM input'!$V$7)),OFFSET('RFM input'!$H$411,$A387,0),0)))</f>
        <v>0</v>
      </c>
      <c r="G389" s="1417">
        <f ca="1">IF(LEFT(G$6,4)&lt;=LEFT('RFM input'!$G$60,4),"enter input",IF(LEFT(G$6,4)&gt;LEFT('RFM input'!$Q$60,4),0,
IF(G$6=(OFFSET('RFM input'!$G$60,0,'RFM input'!$V$7)),OFFSET('RFM input'!$H$411,$A387,0),0)))</f>
        <v>0</v>
      </c>
      <c r="H389" s="1417">
        <f ca="1">IF(LEFT(H$6,4)&lt;=LEFT('RFM input'!$G$60,4),"enter input",IF(LEFT(H$6,4)&gt;LEFT('RFM input'!$Q$60,4),0,
IF(H$6=(OFFSET('RFM input'!$G$60,0,'RFM input'!$V$7)),OFFSET('RFM input'!$H$411,$A387,0),0)))</f>
        <v>0</v>
      </c>
      <c r="I389" s="1417">
        <f ca="1">IF(LEFT(I$6,4)&lt;=LEFT('RFM input'!$G$60,4),"enter input",IF(LEFT(I$6,4)&gt;LEFT('RFM input'!$Q$60,4),0,
IF(I$6=(OFFSET('RFM input'!$G$60,0,'RFM input'!$V$7)),OFFSET('RFM input'!$H$411,$A387,0),0)))</f>
        <v>0</v>
      </c>
      <c r="J389" s="1417">
        <f ca="1">IF(LEFT(J$6,4)&lt;=LEFT('RFM input'!$G$60,4),"enter input",IF(LEFT(J$6,4)&gt;LEFT('RFM input'!$Q$60,4),0,
IF(J$6=(OFFSET('RFM input'!$G$60,0,'RFM input'!$V$7)),OFFSET('RFM input'!$H$411,$A387,0),0)))</f>
        <v>0</v>
      </c>
      <c r="K389" s="1417">
        <f ca="1">IF(LEFT(K$6,4)&lt;=LEFT('RFM input'!$G$60,4),"enter input",IF(LEFT(K$6,4)&gt;LEFT('RFM input'!$Q$60,4),0,
IF(K$6=(OFFSET('RFM input'!$G$60,0,'RFM input'!$V$7)),OFFSET('RFM input'!$H$411,$A387,0),0)))</f>
        <v>0</v>
      </c>
      <c r="L389" s="1417">
        <f ca="1">IF(LEFT(L$6,4)&lt;=LEFT('RFM input'!$G$60,4),"enter input",IF(LEFT(L$6,4)&gt;LEFT('RFM input'!$Q$60,4),0,
IF(L$6=(OFFSET('RFM input'!$G$60,0,'RFM input'!$V$7)),OFFSET('RFM input'!$H$411,$A387,0),0)))</f>
        <v>0</v>
      </c>
      <c r="M389" s="1417">
        <f ca="1">IF(LEFT(M$6,4)&lt;=LEFT('RFM input'!$G$60,4),"enter input",IF(LEFT(M$6,4)&gt;LEFT('RFM input'!$Q$60,4),0,
IF(M$6=(OFFSET('RFM input'!$G$60,0,'RFM input'!$V$7)),OFFSET('RFM input'!$H$411,$A387,0),0)))</f>
        <v>0</v>
      </c>
      <c r="N389" s="1417">
        <f ca="1">IF(LEFT(N$6,4)&lt;=LEFT('RFM input'!$G$60,4),"enter input",IF(LEFT(N$6,4)&gt;LEFT('RFM input'!$Q$60,4),0,
IF(N$6=(OFFSET('RFM input'!$G$60,0,'RFM input'!$V$7)),OFFSET('RFM input'!$H$411,$A387,0),0)))</f>
        <v>0</v>
      </c>
      <c r="O389" s="1417">
        <f ca="1">IF(LEFT(O$6,4)&lt;=LEFT('RFM input'!$G$60,4),"enter input",IF(LEFT(O$6,4)&gt;LEFT('RFM input'!$Q$60,4),0,
IF(O$6=(OFFSET('RFM input'!$G$60,0,'RFM input'!$V$7)),OFFSET('RFM input'!$H$411,$A387,0),0)))</f>
        <v>0</v>
      </c>
      <c r="P389" s="1417">
        <f ca="1">IF(LEFT(P$6,4)&lt;=LEFT('RFM input'!$G$60,4),"enter input",IF(LEFT(P$6,4)&gt;LEFT('RFM input'!$Q$60,4),0,
IF(P$6=(OFFSET('RFM input'!$G$60,0,'RFM input'!$V$7)),OFFSET('RFM input'!$H$411,$A387,0),0)))</f>
        <v>0</v>
      </c>
      <c r="Q389" s="1417">
        <f ca="1">IF(LEFT(Q$6,4)&lt;=LEFT('RFM input'!$G$60,4),"enter input",IF(LEFT(Q$6,4)&gt;LEFT('RFM input'!$Q$60,4),0,
IF(Q$6=(OFFSET('RFM input'!$G$60,0,'RFM input'!$V$7)),OFFSET('RFM input'!$H$411,$A387,0),0)))</f>
        <v>0</v>
      </c>
      <c r="R389" s="1417">
        <f ca="1">IF(LEFT(R$6,4)&lt;=LEFT('RFM input'!$G$60,4),"enter input",IF(LEFT(R$6,4)&gt;LEFT('RFM input'!$Q$60,4),0,
IF(R$6=(OFFSET('RFM input'!$G$60,0,'RFM input'!$V$7)),OFFSET('RFM input'!$H$411,$A387,0),0)))</f>
        <v>0</v>
      </c>
      <c r="S389" s="1417">
        <f ca="1">IF(LEFT(S$6,4)&lt;=LEFT('RFM input'!$G$60,4),"enter input",IF(LEFT(S$6,4)&gt;LEFT('RFM input'!$Q$60,4),0,
IF(S$6=(OFFSET('RFM input'!$G$60,0,'RFM input'!$V$7)),OFFSET('RFM input'!$H$411,$A387,0),0)))</f>
        <v>0</v>
      </c>
      <c r="T389" s="1417">
        <f ca="1">IF(LEFT(T$6,4)&lt;=LEFT('RFM input'!$G$60,4),"enter input",IF(LEFT(T$6,4)&gt;LEFT('RFM input'!$Q$60,4),0,
IF(T$6=(OFFSET('RFM input'!$G$60,0,'RFM input'!$V$7)),OFFSET('RFM input'!$H$411,$A387,0),0)))</f>
        <v>0</v>
      </c>
      <c r="U389" s="1417">
        <f ca="1">IF(LEFT(U$6,4)&lt;=LEFT('RFM input'!$G$60,4),"enter input",IF(LEFT(U$6,4)&gt;LEFT('RFM input'!$Q$60,4),0,
IF(U$6=(OFFSET('RFM input'!$G$60,0,'RFM input'!$V$7)),OFFSET('RFM input'!$H$411,$A387,0),0)))</f>
        <v>0</v>
      </c>
      <c r="V389" s="1417">
        <f ca="1">IF(LEFT(V$6,4)&lt;=LEFT('RFM input'!$G$60,4),"enter input",IF(LEFT(V$6,4)&gt;LEFT('RFM input'!$Q$60,4),0,
IF(V$6=(OFFSET('RFM input'!$G$60,0,'RFM input'!$V$7)),OFFSET('RFM input'!$H$411,$A387,0),0)))</f>
        <v>0</v>
      </c>
      <c r="W389" s="1417">
        <f ca="1">IF(LEFT(W$6,4)&lt;=LEFT('RFM input'!$G$60,4),"enter input",IF(LEFT(W$6,4)&gt;LEFT('RFM input'!$Q$60,4),0,
IF(W$6=(OFFSET('RFM input'!$G$60,0,'RFM input'!$V$7)),OFFSET('RFM input'!$H$411,$A387,0),0)))</f>
        <v>0</v>
      </c>
      <c r="X389" s="152"/>
      <c r="Y389" s="152"/>
      <c r="Z389" s="152"/>
      <c r="AA389" s="152"/>
      <c r="AB389" s="152"/>
    </row>
    <row r="390" spans="1:28">
      <c r="A390" s="242"/>
      <c r="B390" s="193" t="s">
        <v>200</v>
      </c>
      <c r="C390" s="1419"/>
      <c r="D390" s="1418">
        <f ca="1">IF(LEFT(D$6,4)&lt;=LEFT('RFM input'!$G$60,4),"enter input",IF(LEFT(D$6,4)&gt;LEFT('RFM input'!$Q$60,4),0,
IF(D$6=(OFFSET('RFM input'!$G$60,0,'RFM input'!$V$7)),OFFSET('RFM input'!$J$411,$A387,0),0)))</f>
        <v>0</v>
      </c>
      <c r="E390" s="1422">
        <f ca="1">IF(LEFT(E$6,4)&lt;=LEFT('RFM input'!$G$60,4),"enter input",IF(LEFT(E$6,4)&gt;LEFT('RFM input'!$Q$60,4),0,
IF(E$6=(OFFSET('RFM input'!$G$60,0,'RFM input'!$V$7)),OFFSET('RFM input'!$J$411,$A387,0),0)))</f>
        <v>0</v>
      </c>
      <c r="F390" s="1422">
        <f ca="1">IF(LEFT(F$6,4)&lt;=LEFT('RFM input'!$G$60,4),"enter input",IF(LEFT(F$6,4)&gt;LEFT('RFM input'!$Q$60,4),0,
IF(F$6=(OFFSET('RFM input'!$G$60,0,'RFM input'!$V$7)),OFFSET('RFM input'!$J$411,$A387,0),0)))</f>
        <v>0</v>
      </c>
      <c r="G390" s="1422">
        <f ca="1">IF(LEFT(G$6,4)&lt;=LEFT('RFM input'!$G$60,4),"enter input",IF(LEFT(G$6,4)&gt;LEFT('RFM input'!$Q$60,4),0,
IF(G$6=(OFFSET('RFM input'!$G$60,0,'RFM input'!$V$7)),OFFSET('RFM input'!$J$411,$A387,0),0)))</f>
        <v>0</v>
      </c>
      <c r="H390" s="1422">
        <f ca="1">IF(LEFT(H$6,4)&lt;=LEFT('RFM input'!$G$60,4),"enter input",IF(LEFT(H$6,4)&gt;LEFT('RFM input'!$Q$60,4),0,
IF(H$6=(OFFSET('RFM input'!$G$60,0,'RFM input'!$V$7)),OFFSET('RFM input'!$J$411,$A387,0),0)))</f>
        <v>0</v>
      </c>
      <c r="I390" s="1422">
        <f ca="1">IF(LEFT(I$6,4)&lt;=LEFT('RFM input'!$G$60,4),"enter input",IF(LEFT(I$6,4)&gt;LEFT('RFM input'!$Q$60,4),0,
IF(I$6=(OFFSET('RFM input'!$G$60,0,'RFM input'!$V$7)),OFFSET('RFM input'!$J$411,$A387,0),0)))</f>
        <v>0</v>
      </c>
      <c r="J390" s="1422">
        <f ca="1">IF(LEFT(J$6,4)&lt;=LEFT('RFM input'!$G$60,4),"enter input",IF(LEFT(J$6,4)&gt;LEFT('RFM input'!$Q$60,4),0,
IF(J$6=(OFFSET('RFM input'!$G$60,0,'RFM input'!$V$7)),OFFSET('RFM input'!$J$411,$A387,0),0)))</f>
        <v>0</v>
      </c>
      <c r="K390" s="1422">
        <f ca="1">IF(LEFT(K$6,4)&lt;=LEFT('RFM input'!$G$60,4),"enter input",IF(LEFT(K$6,4)&gt;LEFT('RFM input'!$Q$60,4),0,
IF(K$6=(OFFSET('RFM input'!$G$60,0,'RFM input'!$V$7)),OFFSET('RFM input'!$J$411,$A387,0),0)))</f>
        <v>0</v>
      </c>
      <c r="L390" s="1422">
        <f ca="1">IF(LEFT(L$6,4)&lt;=LEFT('RFM input'!$G$60,4),"enter input",IF(LEFT(L$6,4)&gt;LEFT('RFM input'!$Q$60,4),0,
IF(L$6=(OFFSET('RFM input'!$G$60,0,'RFM input'!$V$7)),OFFSET('RFM input'!$J$411,$A387,0),0)))</f>
        <v>0</v>
      </c>
      <c r="M390" s="1422">
        <f ca="1">IF(LEFT(M$6,4)&lt;=LEFT('RFM input'!$G$60,4),"enter input",IF(LEFT(M$6,4)&gt;LEFT('RFM input'!$Q$60,4),0,
IF(M$6=(OFFSET('RFM input'!$G$60,0,'RFM input'!$V$7)),OFFSET('RFM input'!$J$411,$A387,0),0)))</f>
        <v>0</v>
      </c>
      <c r="N390" s="1422">
        <f ca="1">IF(LEFT(N$6,4)&lt;=LEFT('RFM input'!$G$60,4),"enter input",IF(LEFT(N$6,4)&gt;LEFT('RFM input'!$Q$60,4),0,
IF(N$6=(OFFSET('RFM input'!$G$60,0,'RFM input'!$V$7)),OFFSET('RFM input'!$J$411,$A387,0),0)))</f>
        <v>0</v>
      </c>
      <c r="O390" s="1422">
        <f ca="1">IF(LEFT(O$6,4)&lt;=LEFT('RFM input'!$G$60,4),"enter input",IF(LEFT(O$6,4)&gt;LEFT('RFM input'!$Q$60,4),0,
IF(O$6=(OFFSET('RFM input'!$G$60,0,'RFM input'!$V$7)),OFFSET('RFM input'!$J$411,$A387,0),0)))</f>
        <v>0</v>
      </c>
      <c r="P390" s="1422">
        <f ca="1">IF(LEFT(P$6,4)&lt;=LEFT('RFM input'!$G$60,4),"enter input",IF(LEFT(P$6,4)&gt;LEFT('RFM input'!$Q$60,4),0,
IF(P$6=(OFFSET('RFM input'!$G$60,0,'RFM input'!$V$7)),OFFSET('RFM input'!$J$411,$A387,0),0)))</f>
        <v>0</v>
      </c>
      <c r="Q390" s="1422">
        <f ca="1">IF(LEFT(Q$6,4)&lt;=LEFT('RFM input'!$G$60,4),"enter input",IF(LEFT(Q$6,4)&gt;LEFT('RFM input'!$Q$60,4),0,
IF(Q$6=(OFFSET('RFM input'!$G$60,0,'RFM input'!$V$7)),OFFSET('RFM input'!$J$411,$A387,0),0)))</f>
        <v>0</v>
      </c>
      <c r="R390" s="1422">
        <f ca="1">IF(LEFT(R$6,4)&lt;=LEFT('RFM input'!$G$60,4),"enter input",IF(LEFT(R$6,4)&gt;LEFT('RFM input'!$Q$60,4),0,
IF(R$6=(OFFSET('RFM input'!$G$60,0,'RFM input'!$V$7)),OFFSET('RFM input'!$J$411,$A387,0),0)))</f>
        <v>0</v>
      </c>
      <c r="S390" s="1422">
        <f ca="1">IF(LEFT(S$6,4)&lt;=LEFT('RFM input'!$G$60,4),"enter input",IF(LEFT(S$6,4)&gt;LEFT('RFM input'!$Q$60,4),0,
IF(S$6=(OFFSET('RFM input'!$G$60,0,'RFM input'!$V$7)),OFFSET('RFM input'!$J$411,$A387,0),0)))</f>
        <v>0</v>
      </c>
      <c r="T390" s="1422">
        <f ca="1">IF(LEFT(T$6,4)&lt;=LEFT('RFM input'!$G$60,4),"enter input",IF(LEFT(T$6,4)&gt;LEFT('RFM input'!$Q$60,4),0,
IF(T$6=(OFFSET('RFM input'!$G$60,0,'RFM input'!$V$7)),OFFSET('RFM input'!$J$411,$A387,0),0)))</f>
        <v>0</v>
      </c>
      <c r="U390" s="1422">
        <f ca="1">IF(LEFT(U$6,4)&lt;=LEFT('RFM input'!$G$60,4),"enter input",IF(LEFT(U$6,4)&gt;LEFT('RFM input'!$Q$60,4),0,
IF(U$6=(OFFSET('RFM input'!$G$60,0,'RFM input'!$V$7)),OFFSET('RFM input'!$J$411,$A387,0),0)))</f>
        <v>0</v>
      </c>
      <c r="V390" s="1422">
        <f ca="1">IF(LEFT(V$6,4)&lt;=LEFT('RFM input'!$G$60,4),"enter input",IF(LEFT(V$6,4)&gt;LEFT('RFM input'!$Q$60,4),0,
IF(V$6=(OFFSET('RFM input'!$G$60,0,'RFM input'!$V$7)),OFFSET('RFM input'!$J$411,$A387,0),0)))</f>
        <v>0</v>
      </c>
      <c r="W390" s="1422">
        <f ca="1">IF(LEFT(W$6,4)&lt;=LEFT('RFM input'!$G$60,4),"enter input",IF(LEFT(W$6,4)&gt;LEFT('RFM input'!$Q$60,4),0,
IF(W$6=(OFFSET('RFM input'!$G$60,0,'RFM input'!$V$7)),OFFSET('RFM input'!$J$411,$A387,0),0)))</f>
        <v>0</v>
      </c>
      <c r="X390" s="152"/>
      <c r="Y390" s="152"/>
      <c r="Z390" s="152"/>
      <c r="AA390" s="152"/>
      <c r="AB390" s="152"/>
    </row>
    <row r="391" spans="1:28" hidden="1" outlineLevel="1">
      <c r="A391" s="235">
        <v>-1</v>
      </c>
      <c r="B391" s="190" t="s">
        <v>195</v>
      </c>
      <c r="C391" s="1423"/>
      <c r="D391" s="1423">
        <f t="shared" ref="D391" ca="1" si="512">IF(AND(D389=0,C391=0),0,
IF(AND(D389&lt;&gt;0,C391=0),D389,
IF(AND(D390&lt;&gt;0,C391&lt;&gt;0),(C391-(C391/C415))+D389,
IF(C415&lt;1,0,(C391-(C391/C415))))))</f>
        <v>0</v>
      </c>
      <c r="E391" s="1423">
        <f t="shared" ref="E391" ca="1" si="513">IF(AND(E389=0,D391=0),0,
IF(AND(E389&lt;&gt;0,D391=0),E389,
IF(AND(E390&lt;&gt;0,D391&lt;&gt;0),(D391-(D391/D415))+E389,
IF(D415&lt;1,0,(D391-(D391/D415))))))</f>
        <v>0</v>
      </c>
      <c r="F391" s="1423">
        <f t="shared" ref="F391" ca="1" si="514">IF(AND(F389=0,E391=0),0,
IF(AND(F389&lt;&gt;0,E391=0),F389,
IF(AND(F390&lt;&gt;0,E391&lt;&gt;0),(E391-(E391/E415))+F389,
IF(E415&lt;1,0,(E391-(E391/E415))))))</f>
        <v>0</v>
      </c>
      <c r="G391" s="1423">
        <f t="shared" ref="G391" ca="1" si="515">IF(AND(G389=0,F391=0),0,
IF(AND(G389&lt;&gt;0,F391=0),G389,
IF(AND(G390&lt;&gt;0,F391&lt;&gt;0),(F391-(F391/F415))+G389,
IF(F415&lt;1,0,(F391-(F391/F415))))))</f>
        <v>0</v>
      </c>
      <c r="H391" s="1423">
        <f ca="1">IF(AND(H389=0,G391=0),0,
IF(AND(H389&lt;&gt;0,G391=0),H389,
IF(AND(H390&lt;&gt;0,G391&lt;&gt;0),(G391-(G391/G415))+H389,
IF(G415&lt;1,0,(G391-(G391/G415))))))</f>
        <v>0</v>
      </c>
      <c r="I391" s="1423">
        <f t="shared" ref="I391" ca="1" si="516">IF(AND(I389=0,H391=0),0,
IF(AND(I389&lt;&gt;0,H391=0),I389,
IF(AND(I390&lt;&gt;0,H391&lt;&gt;0),(H391-(H391/H415))+I389,
IF(H415&lt;1,0,(H391-(H391/H415))))))</f>
        <v>0</v>
      </c>
      <c r="J391" s="1423">
        <f t="shared" ref="J391" ca="1" si="517">IF(AND(J389=0,I391=0),0,
IF(AND(J389&lt;&gt;0,I391=0),J389,
IF(AND(J390&lt;&gt;0,I391&lt;&gt;0),(I391-(I391/I415))+J389,
IF(I415&lt;1,0,(I391-(I391/I415))))))</f>
        <v>0</v>
      </c>
      <c r="K391" s="1423">
        <f t="shared" ref="K391" ca="1" si="518">IF(AND(K389=0,J391=0),0,
IF(AND(K389&lt;&gt;0,J391=0),K389,
IF(AND(K390&lt;&gt;0,J391&lt;&gt;0),(J391-(J391/J415))+K389,
IF(J415&lt;1,0,(J391-(J391/J415))))))</f>
        <v>0</v>
      </c>
      <c r="L391" s="1423">
        <f t="shared" ref="L391" ca="1" si="519">IF(AND(L389=0,K391=0),0,
IF(AND(L389&lt;&gt;0,K391=0),L389,
IF(AND(L390&lt;&gt;0,K391&lt;&gt;0),(K391-(K391/K415))+L389,
IF(K415&lt;1,0,(K391-(K391/K415))))))</f>
        <v>0</v>
      </c>
      <c r="M391" s="1423">
        <f t="shared" ref="M391" ca="1" si="520">IF(AND(M389=0,L391=0),0,
IF(AND(M389&lt;&gt;0,L391=0),M389,
IF(AND(M390&lt;&gt;0,L391&lt;&gt;0),(L391-(L391/L415))+M389,
IF(L415&lt;1,0,(L391-(L391/L415))))))</f>
        <v>0</v>
      </c>
      <c r="N391" s="1423">
        <f t="shared" ref="N391" ca="1" si="521">IF(AND(N389=0,M391=0),0,
IF(AND(N389&lt;&gt;0,M391=0),N389,
IF(AND(N390&lt;&gt;0,M391&lt;&gt;0),(M391-(M391/M415))+N389,
IF(M415&lt;1,0,(M391-(M391/M415))))))</f>
        <v>0</v>
      </c>
      <c r="O391" s="1423">
        <f t="shared" ref="O391" ca="1" si="522">IF(AND(O389=0,N391=0),0,
IF(AND(O389&lt;&gt;0,N391=0),O389,
IF(AND(O390&lt;&gt;0,N391&lt;&gt;0),(N391-(N391/N415))+O389,
IF(N415&lt;1,0,(N391-(N391/N415))))))</f>
        <v>0</v>
      </c>
      <c r="P391" s="1423">
        <f t="shared" ref="P391" ca="1" si="523">IF(AND(P389=0,O391=0),0,
IF(AND(P389&lt;&gt;0,O391=0),P389,
IF(AND(P390&lt;&gt;0,O391&lt;&gt;0),(O391-(O391/O415))+P389,
IF(O415&lt;1,0,(O391-(O391/O415))))))</f>
        <v>0</v>
      </c>
      <c r="Q391" s="1423">
        <f t="shared" ref="Q391" ca="1" si="524">IF(AND(Q389=0,P391=0),0,
IF(AND(Q389&lt;&gt;0,P391=0),Q389,
IF(AND(Q390&lt;&gt;0,P391&lt;&gt;0),(P391-(P391/P415))+Q389,
IF(P415&lt;1,0,(P391-(P391/P415))))))</f>
        <v>0</v>
      </c>
      <c r="R391" s="1423">
        <f t="shared" ref="R391" ca="1" si="525">IF(AND(R389=0,Q391=0),0,
IF(AND(R389&lt;&gt;0,Q391=0),R389,
IF(AND(R390&lt;&gt;0,Q391&lt;&gt;0),(Q391-(Q391/Q415))+R389,
IF(Q415&lt;1,0,(Q391-(Q391/Q415))))))</f>
        <v>0</v>
      </c>
      <c r="S391" s="1423">
        <f t="shared" ref="S391" ca="1" si="526">IF(AND(S389=0,R391=0),0,
IF(AND(S389&lt;&gt;0,R391=0),S389,
IF(AND(S390&lt;&gt;0,R391&lt;&gt;0),(R391-(R391/R415))+S389,
IF(R415&lt;1,0,(R391-(R391/R415))))))</f>
        <v>0</v>
      </c>
      <c r="T391" s="1423">
        <f t="shared" ref="T391" ca="1" si="527">IF(AND(T389=0,S391=0),0,
IF(AND(T389&lt;&gt;0,S391=0),T389,
IF(AND(T390&lt;&gt;0,S391&lt;&gt;0),(S391-(S391/S415))+T389,
IF(S415&lt;1,0,(S391-(S391/S415))))))</f>
        <v>0</v>
      </c>
      <c r="U391" s="1423">
        <f t="shared" ref="U391" ca="1" si="528">IF(AND(U389=0,T391=0),0,
IF(AND(U389&lt;&gt;0,T391=0),U389,
IF(AND(U390&lt;&gt;0,T391&lt;&gt;0),(T391-(T391/T415))+U389,
IF(T415&lt;1,0,(T391-(T391/T415))))))</f>
        <v>0</v>
      </c>
      <c r="V391" s="1423">
        <f t="shared" ref="V391" ca="1" si="529">IF(AND(V389=0,U391=0),0,
IF(AND(V389&lt;&gt;0,U391=0),V389,
IF(AND(V390&lt;&gt;0,U391&lt;&gt;0),(U391-(U391/U415))+V389,
IF(U415&lt;1,0,(U391-(U391/U415))))))</f>
        <v>0</v>
      </c>
      <c r="W391" s="1423">
        <f t="shared" ref="W391" ca="1" si="530">IF(AND(W389=0,V391=0),0,
IF(AND(W389&lt;&gt;0,V391=0),W389,
IF(AND(W390&lt;&gt;0,V391&lt;&gt;0),(V391-(V391/V415))+W389,
IF(V415&lt;1,0,(V391-(V391/V415))))))</f>
        <v>0</v>
      </c>
      <c r="X391" s="152"/>
      <c r="Y391" s="152"/>
      <c r="Z391" s="152"/>
      <c r="AA391" s="152"/>
      <c r="AB391" s="152"/>
    </row>
    <row r="392" spans="1:28" hidden="1" outlineLevel="1">
      <c r="A392" s="199">
        <f>A391+1</f>
        <v>0</v>
      </c>
      <c r="B392" s="190" t="s">
        <v>527</v>
      </c>
      <c r="C392" s="1423">
        <f ca="1">C387</f>
        <v>0</v>
      </c>
      <c r="D392" s="1423">
        <f ca="1">IF(C416="n/a",C392,IFERROR(IF((OFFSET($C392,0,$A392))&lt;0,
MIN(0,C392-(OFFSET($C392,0,$A392)/(OFFSET($C387,-$A391,$A392)))),
MAX(0,C392-(OFFSET($C392,0,$A392)/(OFFSET($C387,-$A391,$A392))))),0))</f>
        <v>0</v>
      </c>
      <c r="E392" s="1423">
        <f t="shared" ref="E392" ca="1" si="531">IF(D416="n/a",D392,IFERROR(IF((OFFSET($C392,0,$A392))&lt;0,
MIN(0,D392-(OFFSET($C392,0,$A392)/(OFFSET($C387,-$A391,$A392)))),
MAX(0,D392-(OFFSET($C392,0,$A392)/(OFFSET($C387,-$A391,$A392))))),0))</f>
        <v>0</v>
      </c>
      <c r="F392" s="1423">
        <f t="shared" ref="F392:F393" ca="1" si="532">IF(E416="n/a",E392,IFERROR(IF((OFFSET($C392,0,$A392))&lt;0,
MIN(0,E392-(OFFSET($C392,0,$A392)/(OFFSET($C387,-$A391,$A392)))),
MAX(0,E392-(OFFSET($C392,0,$A392)/(OFFSET($C387,-$A391,$A392))))),0))</f>
        <v>0</v>
      </c>
      <c r="G392" s="1423">
        <f t="shared" ref="G392:G394" ca="1" si="533">IF(F416="n/a",F392,IFERROR(IF((OFFSET($C392,0,$A392))&lt;0,
MIN(0,F392-(OFFSET($C392,0,$A392)/(OFFSET($C387,-$A391,$A392)))),
MAX(0,F392-(OFFSET($C392,0,$A392)/(OFFSET($C387,-$A391,$A392))))),0))</f>
        <v>0</v>
      </c>
      <c r="H392" s="1423">
        <f t="shared" ref="H392:H395" ca="1" si="534">IF(G416="n/a",G392,IFERROR(IF((OFFSET($C392,0,$A392))&lt;0,
MIN(0,G392-(OFFSET($C392,0,$A392)/(OFFSET($C387,-$A391,$A392)))),
MAX(0,G392-(OFFSET($C392,0,$A392)/(OFFSET($C387,-$A391,$A392))))),0))</f>
        <v>0</v>
      </c>
      <c r="I392" s="1423">
        <f t="shared" ref="I392:I396" ca="1" si="535">IF(H416="n/a",H392,IFERROR(IF((OFFSET($C392,0,$A392))&lt;0,
MIN(0,H392-(OFFSET($C392,0,$A392)/(OFFSET($C387,-$A391,$A392)))),
MAX(0,H392-(OFFSET($C392,0,$A392)/(OFFSET($C387,-$A391,$A392))))),0))</f>
        <v>0</v>
      </c>
      <c r="J392" s="1423">
        <f t="shared" ref="J392:J397" ca="1" si="536">IF(I416="n/a",I392,IFERROR(IF((OFFSET($C392,0,$A392))&lt;0,
MIN(0,I392-(OFFSET($C392,0,$A392)/(OFFSET($C387,-$A391,$A392)))),
MAX(0,I392-(OFFSET($C392,0,$A392)/(OFFSET($C387,-$A391,$A392))))),0))</f>
        <v>0</v>
      </c>
      <c r="K392" s="1423">
        <f t="shared" ref="K392:K398" ca="1" si="537">IF(J416="n/a",J392,IFERROR(IF((OFFSET($C392,0,$A392))&lt;0,
MIN(0,J392-(OFFSET($C392,0,$A392)/(OFFSET($C387,-$A391,$A392)))),
MAX(0,J392-(OFFSET($C392,0,$A392)/(OFFSET($C387,-$A391,$A392))))),0))</f>
        <v>0</v>
      </c>
      <c r="L392" s="1423">
        <f t="shared" ref="L392:L399" ca="1" si="538">IF(K416="n/a",K392,IFERROR(IF((OFFSET($C392,0,$A392))&lt;0,
MIN(0,K392-(OFFSET($C392,0,$A392)/(OFFSET($C387,-$A391,$A392)))),
MAX(0,K392-(OFFSET($C392,0,$A392)/(OFFSET($C387,-$A391,$A392))))),0))</f>
        <v>0</v>
      </c>
      <c r="M392" s="1423">
        <f t="shared" ref="M392:M400" ca="1" si="539">IF(L416="n/a",L392,IFERROR(IF((OFFSET($C392,0,$A392))&lt;0,
MIN(0,L392-(OFFSET($C392,0,$A392)/(OFFSET($C387,-$A391,$A392)))),
MAX(0,L392-(OFFSET($C392,0,$A392)/(OFFSET($C387,-$A391,$A392))))),0))</f>
        <v>0</v>
      </c>
      <c r="N392" s="1423">
        <f t="shared" ref="N392:N401" ca="1" si="540">IF(M416="n/a",M392,IFERROR(IF((OFFSET($C392,0,$A392))&lt;0,
MIN(0,M392-(OFFSET($C392,0,$A392)/(OFFSET($C387,-$A391,$A392)))),
MAX(0,M392-(OFFSET($C392,0,$A392)/(OFFSET($C387,-$A391,$A392))))),0))</f>
        <v>0</v>
      </c>
      <c r="O392" s="1423">
        <f t="shared" ref="O392:O402" ca="1" si="541">IF(N416="n/a",N392,IFERROR(IF((OFFSET($C392,0,$A392))&lt;0,
MIN(0,N392-(OFFSET($C392,0,$A392)/(OFFSET($C387,-$A391,$A392)))),
MAX(0,N392-(OFFSET($C392,0,$A392)/(OFFSET($C387,-$A391,$A392))))),0))</f>
        <v>0</v>
      </c>
      <c r="P392" s="1423">
        <f t="shared" ref="P392:P403" ca="1" si="542">IF(O416="n/a",O392,IFERROR(IF((OFFSET($C392,0,$A392))&lt;0,
MIN(0,O392-(OFFSET($C392,0,$A392)/(OFFSET($C387,-$A391,$A392)))),
MAX(0,O392-(OFFSET($C392,0,$A392)/(OFFSET($C387,-$A391,$A392))))),0))</f>
        <v>0</v>
      </c>
      <c r="Q392" s="1423">
        <f t="shared" ref="Q392:Q404" ca="1" si="543">IF(P416="n/a",P392,IFERROR(IF((OFFSET($C392,0,$A392))&lt;0,
MIN(0,P392-(OFFSET($C392,0,$A392)/(OFFSET($C387,-$A391,$A392)))),
MAX(0,P392-(OFFSET($C392,0,$A392)/(OFFSET($C387,-$A391,$A392))))),0))</f>
        <v>0</v>
      </c>
      <c r="R392" s="1423">
        <f t="shared" ref="R392:R405" ca="1" si="544">IF(Q416="n/a",Q392,IFERROR(IF((OFFSET($C392,0,$A392))&lt;0,
MIN(0,Q392-(OFFSET($C392,0,$A392)/(OFFSET($C387,-$A391,$A392)))),
MAX(0,Q392-(OFFSET($C392,0,$A392)/(OFFSET($C387,-$A391,$A392))))),0))</f>
        <v>0</v>
      </c>
      <c r="S392" s="1423">
        <f t="shared" ref="S392:S406" ca="1" si="545">IF(R416="n/a",R392,IFERROR(IF((OFFSET($C392,0,$A392))&lt;0,
MIN(0,R392-(OFFSET($C392,0,$A392)/(OFFSET($C387,-$A391,$A392)))),
MAX(0,R392-(OFFSET($C392,0,$A392)/(OFFSET($C387,-$A391,$A392))))),0))</f>
        <v>0</v>
      </c>
      <c r="T392" s="1423">
        <f t="shared" ref="T392:T407" ca="1" si="546">IF(S416="n/a",S392,IFERROR(IF((OFFSET($C392,0,$A392))&lt;0,
MIN(0,S392-(OFFSET($C392,0,$A392)/(OFFSET($C387,-$A391,$A392)))),
MAX(0,S392-(OFFSET($C392,0,$A392)/(OFFSET($C387,-$A391,$A392))))),0))</f>
        <v>0</v>
      </c>
      <c r="U392" s="1423">
        <f t="shared" ref="U392:U408" ca="1" si="547">IF(T416="n/a",T392,IFERROR(IF((OFFSET($C392,0,$A392))&lt;0,
MIN(0,T392-(OFFSET($C392,0,$A392)/(OFFSET($C387,-$A391,$A392)))),
MAX(0,T392-(OFFSET($C392,0,$A392)/(OFFSET($C387,-$A391,$A392))))),0))</f>
        <v>0</v>
      </c>
      <c r="V392" s="1423">
        <f t="shared" ref="V392:V409" ca="1" si="548">IF(U416="n/a",U392,IFERROR(IF((OFFSET($C392,0,$A392))&lt;0,
MIN(0,U392-(OFFSET($C392,0,$A392)/(OFFSET($C387,-$A391,$A392)))),
MAX(0,U392-(OFFSET($C392,0,$A392)/(OFFSET($C387,-$A391,$A392))))),0))</f>
        <v>0</v>
      </c>
      <c r="W392" s="1423">
        <f t="shared" ref="W392:W410" ca="1" si="549">IF(V416="n/a",V392,IFERROR(IF((OFFSET($C392,0,$A392))&lt;0,
MIN(0,V392-(OFFSET($C392,0,$A392)/(OFFSET($C387,-$A391,$A392)))),
MAX(0,V392-(OFFSET($C392,0,$A392)/(OFFSET($C387,-$A391,$A392))))),0))</f>
        <v>0</v>
      </c>
      <c r="X392" s="152"/>
      <c r="Y392" s="152"/>
      <c r="Z392" s="152"/>
      <c r="AA392" s="152"/>
      <c r="AB392" s="152"/>
    </row>
    <row r="393" spans="1:28" hidden="1" outlineLevel="1">
      <c r="A393" s="199">
        <f t="shared" ref="A393:A412" si="550">A392+1</f>
        <v>1</v>
      </c>
      <c r="B393" s="190" t="str">
        <f t="shared" ref="B393:B412" ca="1" si="551">"Depreciated Net Capex "&amp;OFFSET($C$6,0,A393)</f>
        <v>Depreciated Net Capex 2016-17</v>
      </c>
      <c r="C393" s="1424"/>
      <c r="D393" s="1425">
        <f>D387</f>
        <v>0</v>
      </c>
      <c r="E393" s="1423">
        <f ca="1">IF(D417="n/a",D393,IFERROR(IF((OFFSET($C393,0,$A393))&lt;0,
MIN(0,D393-(OFFSET($C393,0,$A393)/(OFFSET($C388,-$A392,$A393)))),
MAX(0,D393-(OFFSET($C393,0,$A393)/(OFFSET($C388,-$A392,$A393))))),0))</f>
        <v>0</v>
      </c>
      <c r="F393" s="1423">
        <f t="shared" ca="1" si="532"/>
        <v>0</v>
      </c>
      <c r="G393" s="1423">
        <f t="shared" ca="1" si="533"/>
        <v>0</v>
      </c>
      <c r="H393" s="1423">
        <f t="shared" ca="1" si="534"/>
        <v>0</v>
      </c>
      <c r="I393" s="1423">
        <f t="shared" ca="1" si="535"/>
        <v>0</v>
      </c>
      <c r="J393" s="1423">
        <f t="shared" ca="1" si="536"/>
        <v>0</v>
      </c>
      <c r="K393" s="1423">
        <f t="shared" ca="1" si="537"/>
        <v>0</v>
      </c>
      <c r="L393" s="1423">
        <f t="shared" ca="1" si="538"/>
        <v>0</v>
      </c>
      <c r="M393" s="1423">
        <f t="shared" ca="1" si="539"/>
        <v>0</v>
      </c>
      <c r="N393" s="1423">
        <f t="shared" ca="1" si="540"/>
        <v>0</v>
      </c>
      <c r="O393" s="1423">
        <f t="shared" ca="1" si="541"/>
        <v>0</v>
      </c>
      <c r="P393" s="1423">
        <f t="shared" ca="1" si="542"/>
        <v>0</v>
      </c>
      <c r="Q393" s="1423">
        <f t="shared" ca="1" si="543"/>
        <v>0</v>
      </c>
      <c r="R393" s="1423">
        <f t="shared" ca="1" si="544"/>
        <v>0</v>
      </c>
      <c r="S393" s="1423">
        <f t="shared" ca="1" si="545"/>
        <v>0</v>
      </c>
      <c r="T393" s="1423">
        <f t="shared" ca="1" si="546"/>
        <v>0</v>
      </c>
      <c r="U393" s="1423">
        <f t="shared" ca="1" si="547"/>
        <v>0</v>
      </c>
      <c r="V393" s="1423">
        <f t="shared" ca="1" si="548"/>
        <v>0</v>
      </c>
      <c r="W393" s="1423">
        <f t="shared" ca="1" si="549"/>
        <v>0</v>
      </c>
      <c r="X393" s="152"/>
      <c r="Y393" s="152"/>
      <c r="Z393" s="152"/>
      <c r="AA393" s="152"/>
      <c r="AB393" s="152"/>
    </row>
    <row r="394" spans="1:28" hidden="1" outlineLevel="1">
      <c r="A394" s="199">
        <f t="shared" si="550"/>
        <v>2</v>
      </c>
      <c r="B394" s="190" t="str">
        <f t="shared" ca="1" si="551"/>
        <v>Depreciated Net Capex 2017-18</v>
      </c>
      <c r="C394" s="1426"/>
      <c r="D394" s="1427"/>
      <c r="E394" s="1425">
        <f>E387</f>
        <v>0</v>
      </c>
      <c r="F394" s="1423">
        <f ca="1">IF(E418="n/a",E394,IFERROR(IF((OFFSET($C394,0,$A394))&lt;0,
MIN(0,E394-(OFFSET($C394,0,$A394)/(OFFSET($C389,-$A393,$A394)))),
MAX(0,E394-(OFFSET($C394,0,$A394)/(OFFSET($C389,-$A393,$A394))))),0))</f>
        <v>0</v>
      </c>
      <c r="G394" s="1423">
        <f t="shared" ca="1" si="533"/>
        <v>0</v>
      </c>
      <c r="H394" s="1423">
        <f t="shared" ca="1" si="534"/>
        <v>0</v>
      </c>
      <c r="I394" s="1423">
        <f t="shared" ca="1" si="535"/>
        <v>0</v>
      </c>
      <c r="J394" s="1423">
        <f t="shared" ca="1" si="536"/>
        <v>0</v>
      </c>
      <c r="K394" s="1423">
        <f t="shared" ca="1" si="537"/>
        <v>0</v>
      </c>
      <c r="L394" s="1423">
        <f t="shared" ca="1" si="538"/>
        <v>0</v>
      </c>
      <c r="M394" s="1423">
        <f t="shared" ca="1" si="539"/>
        <v>0</v>
      </c>
      <c r="N394" s="1423">
        <f t="shared" ca="1" si="540"/>
        <v>0</v>
      </c>
      <c r="O394" s="1423">
        <f t="shared" ca="1" si="541"/>
        <v>0</v>
      </c>
      <c r="P394" s="1423">
        <f t="shared" ca="1" si="542"/>
        <v>0</v>
      </c>
      <c r="Q394" s="1423">
        <f t="shared" ca="1" si="543"/>
        <v>0</v>
      </c>
      <c r="R394" s="1423">
        <f t="shared" ca="1" si="544"/>
        <v>0</v>
      </c>
      <c r="S394" s="1423">
        <f t="shared" ca="1" si="545"/>
        <v>0</v>
      </c>
      <c r="T394" s="1423">
        <f t="shared" ca="1" si="546"/>
        <v>0</v>
      </c>
      <c r="U394" s="1423">
        <f t="shared" ca="1" si="547"/>
        <v>0</v>
      </c>
      <c r="V394" s="1423">
        <f t="shared" ca="1" si="548"/>
        <v>0</v>
      </c>
      <c r="W394" s="1423">
        <f t="shared" ca="1" si="549"/>
        <v>0</v>
      </c>
      <c r="X394" s="202"/>
      <c r="Y394" s="152"/>
      <c r="Z394" s="152"/>
      <c r="AA394" s="152"/>
      <c r="AB394" s="152"/>
    </row>
    <row r="395" spans="1:28" hidden="1" outlineLevel="1">
      <c r="A395" s="199">
        <f t="shared" si="550"/>
        <v>3</v>
      </c>
      <c r="B395" s="190" t="str">
        <f t="shared" ca="1" si="551"/>
        <v>Depreciated Net Capex 2018-19</v>
      </c>
      <c r="C395" s="1426"/>
      <c r="D395" s="1426"/>
      <c r="E395" s="1427"/>
      <c r="F395" s="1428">
        <f>F387</f>
        <v>0</v>
      </c>
      <c r="G395" s="1423">
        <f ca="1">IF(F419="n/a",F395,IFERROR(IF((OFFSET($C395,0,$A395))&lt;0,
MIN(0,F395-(OFFSET($C395,0,$A395)/(OFFSET($C390,-$A394,$A395)))),
MAX(0,F395-(OFFSET($C395,0,$A395)/(OFFSET($C390,-$A394,$A395))))),0))</f>
        <v>0</v>
      </c>
      <c r="H395" s="1423">
        <f t="shared" ca="1" si="534"/>
        <v>0</v>
      </c>
      <c r="I395" s="1423">
        <f t="shared" ca="1" si="535"/>
        <v>0</v>
      </c>
      <c r="J395" s="1423">
        <f t="shared" ca="1" si="536"/>
        <v>0</v>
      </c>
      <c r="K395" s="1423">
        <f t="shared" ca="1" si="537"/>
        <v>0</v>
      </c>
      <c r="L395" s="1423">
        <f t="shared" ca="1" si="538"/>
        <v>0</v>
      </c>
      <c r="M395" s="1423">
        <f t="shared" ca="1" si="539"/>
        <v>0</v>
      </c>
      <c r="N395" s="1423">
        <f t="shared" ca="1" si="540"/>
        <v>0</v>
      </c>
      <c r="O395" s="1423">
        <f t="shared" ca="1" si="541"/>
        <v>0</v>
      </c>
      <c r="P395" s="1423">
        <f t="shared" ca="1" si="542"/>
        <v>0</v>
      </c>
      <c r="Q395" s="1423">
        <f t="shared" ca="1" si="543"/>
        <v>0</v>
      </c>
      <c r="R395" s="1423">
        <f t="shared" ca="1" si="544"/>
        <v>0</v>
      </c>
      <c r="S395" s="1423">
        <f t="shared" ca="1" si="545"/>
        <v>0</v>
      </c>
      <c r="T395" s="1423">
        <f t="shared" ca="1" si="546"/>
        <v>0</v>
      </c>
      <c r="U395" s="1423">
        <f t="shared" ca="1" si="547"/>
        <v>0</v>
      </c>
      <c r="V395" s="1423">
        <f t="shared" ca="1" si="548"/>
        <v>0</v>
      </c>
      <c r="W395" s="1423">
        <f t="shared" ca="1" si="549"/>
        <v>0</v>
      </c>
      <c r="X395" s="202"/>
      <c r="Y395" s="202"/>
      <c r="Z395" s="152"/>
      <c r="AA395" s="152"/>
      <c r="AB395" s="152"/>
    </row>
    <row r="396" spans="1:28" hidden="1" outlineLevel="1">
      <c r="A396" s="199">
        <f t="shared" si="550"/>
        <v>4</v>
      </c>
      <c r="B396" s="190" t="str">
        <f t="shared" ca="1" si="551"/>
        <v>Depreciated Net Capex 2019-20</v>
      </c>
      <c r="C396" s="1426"/>
      <c r="D396" s="1426"/>
      <c r="E396" s="1426"/>
      <c r="F396" s="1427"/>
      <c r="G396" s="1428">
        <f>G387</f>
        <v>0</v>
      </c>
      <c r="H396" s="1423">
        <f ca="1">IF(G420="n/a",G396,IFERROR(IF((OFFSET($C396,0,$A396))&lt;0,
MIN(0,G396-(OFFSET($C396,0,$A396)/(OFFSET($C391,-$A395,$A396)))),
MAX(0,G396-(OFFSET($C396,0,$A396)/(OFFSET($C391,-$A395,$A396))))),0))</f>
        <v>0</v>
      </c>
      <c r="I396" s="1423">
        <f t="shared" ca="1" si="535"/>
        <v>0</v>
      </c>
      <c r="J396" s="1423">
        <f t="shared" ca="1" si="536"/>
        <v>0</v>
      </c>
      <c r="K396" s="1423">
        <f t="shared" ca="1" si="537"/>
        <v>0</v>
      </c>
      <c r="L396" s="1423">
        <f t="shared" ca="1" si="538"/>
        <v>0</v>
      </c>
      <c r="M396" s="1423">
        <f t="shared" ca="1" si="539"/>
        <v>0</v>
      </c>
      <c r="N396" s="1423">
        <f t="shared" ca="1" si="540"/>
        <v>0</v>
      </c>
      <c r="O396" s="1423">
        <f t="shared" ca="1" si="541"/>
        <v>0</v>
      </c>
      <c r="P396" s="1423">
        <f t="shared" ca="1" si="542"/>
        <v>0</v>
      </c>
      <c r="Q396" s="1423">
        <f t="shared" ca="1" si="543"/>
        <v>0</v>
      </c>
      <c r="R396" s="1423">
        <f t="shared" ca="1" si="544"/>
        <v>0</v>
      </c>
      <c r="S396" s="1423">
        <f t="shared" ca="1" si="545"/>
        <v>0</v>
      </c>
      <c r="T396" s="1423">
        <f t="shared" ca="1" si="546"/>
        <v>0</v>
      </c>
      <c r="U396" s="1423">
        <f t="shared" ca="1" si="547"/>
        <v>0</v>
      </c>
      <c r="V396" s="1423">
        <f t="shared" ca="1" si="548"/>
        <v>0</v>
      </c>
      <c r="W396" s="1423">
        <f t="shared" ca="1" si="549"/>
        <v>0</v>
      </c>
      <c r="X396" s="202"/>
      <c r="Y396" s="202"/>
      <c r="Z396" s="202"/>
      <c r="AA396" s="152"/>
      <c r="AB396" s="152"/>
    </row>
    <row r="397" spans="1:28" hidden="1" outlineLevel="1">
      <c r="A397" s="199">
        <f t="shared" si="550"/>
        <v>5</v>
      </c>
      <c r="B397" s="190" t="str">
        <f t="shared" ca="1" si="551"/>
        <v>Depreciated Net Capex 2020-21</v>
      </c>
      <c r="C397" s="1426"/>
      <c r="D397" s="1426"/>
      <c r="E397" s="1426"/>
      <c r="F397" s="1426"/>
      <c r="G397" s="1427"/>
      <c r="H397" s="1428">
        <f>H387</f>
        <v>0</v>
      </c>
      <c r="I397" s="1423">
        <f ca="1">IF(H421="n/a",H397,IFERROR(IF((OFFSET($C397,0,$A397))&lt;0,
MIN(0,H397-(OFFSET($C397,0,$A397)/(OFFSET($C392,-$A396,$A397)))),
MAX(0,H397-(OFFSET($C397,0,$A397)/(OFFSET($C392,-$A396,$A397))))),0))</f>
        <v>0</v>
      </c>
      <c r="J397" s="1423">
        <f t="shared" ca="1" si="536"/>
        <v>0</v>
      </c>
      <c r="K397" s="1423">
        <f t="shared" ca="1" si="537"/>
        <v>0</v>
      </c>
      <c r="L397" s="1423">
        <f t="shared" ca="1" si="538"/>
        <v>0</v>
      </c>
      <c r="M397" s="1423">
        <f t="shared" ca="1" si="539"/>
        <v>0</v>
      </c>
      <c r="N397" s="1423">
        <f t="shared" ca="1" si="540"/>
        <v>0</v>
      </c>
      <c r="O397" s="1423">
        <f t="shared" ca="1" si="541"/>
        <v>0</v>
      </c>
      <c r="P397" s="1423">
        <f t="shared" ca="1" si="542"/>
        <v>0</v>
      </c>
      <c r="Q397" s="1423">
        <f t="shared" ca="1" si="543"/>
        <v>0</v>
      </c>
      <c r="R397" s="1423">
        <f t="shared" ca="1" si="544"/>
        <v>0</v>
      </c>
      <c r="S397" s="1423">
        <f t="shared" ca="1" si="545"/>
        <v>0</v>
      </c>
      <c r="T397" s="1423">
        <f t="shared" ca="1" si="546"/>
        <v>0</v>
      </c>
      <c r="U397" s="1423">
        <f t="shared" ca="1" si="547"/>
        <v>0</v>
      </c>
      <c r="V397" s="1423">
        <f t="shared" ca="1" si="548"/>
        <v>0</v>
      </c>
      <c r="W397" s="1423">
        <f t="shared" ca="1" si="549"/>
        <v>0</v>
      </c>
      <c r="X397" s="202"/>
      <c r="Y397" s="202"/>
      <c r="Z397" s="202"/>
      <c r="AA397" s="152"/>
      <c r="AB397" s="152"/>
    </row>
    <row r="398" spans="1:28" hidden="1" outlineLevel="1">
      <c r="A398" s="199">
        <f t="shared" si="550"/>
        <v>6</v>
      </c>
      <c r="B398" s="190" t="str">
        <f t="shared" ca="1" si="551"/>
        <v>Depreciated Net Capex 2021-22</v>
      </c>
      <c r="C398" s="1426"/>
      <c r="D398" s="1426"/>
      <c r="E398" s="1426"/>
      <c r="F398" s="1426"/>
      <c r="G398" s="1426"/>
      <c r="H398" s="1427"/>
      <c r="I398" s="1428">
        <f>I387</f>
        <v>0</v>
      </c>
      <c r="J398" s="1423">
        <f ca="1">IF(I422="n/a",I398,IFERROR(IF((OFFSET($C398,0,$A398))&lt;0,
MIN(0,I398-(OFFSET($C398,0,$A398)/(OFFSET($C393,-$A397,$A398)))),
MAX(0,I398-(OFFSET($C398,0,$A398)/(OFFSET($C393,-$A397,$A398))))),0))</f>
        <v>0</v>
      </c>
      <c r="K398" s="1423">
        <f t="shared" ca="1" si="537"/>
        <v>0</v>
      </c>
      <c r="L398" s="1423">
        <f t="shared" ca="1" si="538"/>
        <v>0</v>
      </c>
      <c r="M398" s="1423">
        <f t="shared" ca="1" si="539"/>
        <v>0</v>
      </c>
      <c r="N398" s="1423">
        <f t="shared" ca="1" si="540"/>
        <v>0</v>
      </c>
      <c r="O398" s="1423">
        <f t="shared" ca="1" si="541"/>
        <v>0</v>
      </c>
      <c r="P398" s="1423">
        <f t="shared" ca="1" si="542"/>
        <v>0</v>
      </c>
      <c r="Q398" s="1423">
        <f t="shared" ca="1" si="543"/>
        <v>0</v>
      </c>
      <c r="R398" s="1423">
        <f t="shared" ca="1" si="544"/>
        <v>0</v>
      </c>
      <c r="S398" s="1423">
        <f t="shared" ca="1" si="545"/>
        <v>0</v>
      </c>
      <c r="T398" s="1423">
        <f t="shared" ca="1" si="546"/>
        <v>0</v>
      </c>
      <c r="U398" s="1423">
        <f t="shared" ca="1" si="547"/>
        <v>0</v>
      </c>
      <c r="V398" s="1423">
        <f t="shared" ca="1" si="548"/>
        <v>0</v>
      </c>
      <c r="W398" s="1423">
        <f t="shared" ca="1" si="549"/>
        <v>0</v>
      </c>
      <c r="X398" s="202"/>
      <c r="Y398" s="202"/>
      <c r="Z398" s="202"/>
      <c r="AA398" s="152"/>
      <c r="AB398" s="152"/>
    </row>
    <row r="399" spans="1:28" hidden="1" outlineLevel="1">
      <c r="A399" s="199">
        <f t="shared" si="550"/>
        <v>7</v>
      </c>
      <c r="B399" s="190" t="str">
        <f t="shared" ca="1" si="551"/>
        <v>Depreciated Net Capex 2022-23</v>
      </c>
      <c r="C399" s="1426"/>
      <c r="D399" s="1426"/>
      <c r="E399" s="1426"/>
      <c r="F399" s="1426"/>
      <c r="G399" s="1426"/>
      <c r="H399" s="1426"/>
      <c r="I399" s="1427"/>
      <c r="J399" s="1428">
        <f>J387</f>
        <v>0</v>
      </c>
      <c r="K399" s="1423">
        <f ca="1">IF(J423="n/a",J399,IFERROR(IF((OFFSET($C399,0,$A399))&lt;0,
MIN(0,J399-(OFFSET($C399,0,$A399)/(OFFSET($C394,-$A398,$A399)))),
MAX(0,J399-(OFFSET($C399,0,$A399)/(OFFSET($C394,-$A398,$A399))))),0))</f>
        <v>0</v>
      </c>
      <c r="L399" s="1423">
        <f t="shared" ca="1" si="538"/>
        <v>0</v>
      </c>
      <c r="M399" s="1423">
        <f t="shared" ca="1" si="539"/>
        <v>0</v>
      </c>
      <c r="N399" s="1423">
        <f t="shared" ca="1" si="540"/>
        <v>0</v>
      </c>
      <c r="O399" s="1423">
        <f t="shared" ca="1" si="541"/>
        <v>0</v>
      </c>
      <c r="P399" s="1423">
        <f t="shared" ca="1" si="542"/>
        <v>0</v>
      </c>
      <c r="Q399" s="1423">
        <f t="shared" ca="1" si="543"/>
        <v>0</v>
      </c>
      <c r="R399" s="1423">
        <f t="shared" ca="1" si="544"/>
        <v>0</v>
      </c>
      <c r="S399" s="1423">
        <f t="shared" ca="1" si="545"/>
        <v>0</v>
      </c>
      <c r="T399" s="1423">
        <f t="shared" ca="1" si="546"/>
        <v>0</v>
      </c>
      <c r="U399" s="1423">
        <f t="shared" ca="1" si="547"/>
        <v>0</v>
      </c>
      <c r="V399" s="1423">
        <f t="shared" ca="1" si="548"/>
        <v>0</v>
      </c>
      <c r="W399" s="1423">
        <f t="shared" ca="1" si="549"/>
        <v>0</v>
      </c>
      <c r="X399" s="202"/>
      <c r="Y399" s="202"/>
      <c r="Z399" s="202"/>
      <c r="AA399" s="152"/>
      <c r="AB399" s="152"/>
    </row>
    <row r="400" spans="1:28" hidden="1" outlineLevel="1">
      <c r="A400" s="199">
        <f t="shared" si="550"/>
        <v>8</v>
      </c>
      <c r="B400" s="190" t="str">
        <f t="shared" ca="1" si="551"/>
        <v>Depreciated Net Capex 2023-24</v>
      </c>
      <c r="C400" s="1426"/>
      <c r="D400" s="1426"/>
      <c r="E400" s="1426"/>
      <c r="F400" s="1426"/>
      <c r="G400" s="1426"/>
      <c r="H400" s="1426"/>
      <c r="I400" s="1426"/>
      <c r="J400" s="1427"/>
      <c r="K400" s="1428">
        <f>K387</f>
        <v>0</v>
      </c>
      <c r="L400" s="1423">
        <f ca="1">IF(K424="n/a",K400,IFERROR(IF((OFFSET($C400,0,$A400))&lt;0,
MIN(0,K400-(OFFSET($C400,0,$A400)/(OFFSET($C395,-$A399,$A400)))),
MAX(0,K400-(OFFSET($C400,0,$A400)/(OFFSET($C395,-$A399,$A400))))),0))</f>
        <v>0</v>
      </c>
      <c r="M400" s="1423">
        <f t="shared" ca="1" si="539"/>
        <v>0</v>
      </c>
      <c r="N400" s="1423">
        <f t="shared" ca="1" si="540"/>
        <v>0</v>
      </c>
      <c r="O400" s="1423">
        <f t="shared" ca="1" si="541"/>
        <v>0</v>
      </c>
      <c r="P400" s="1423">
        <f t="shared" ca="1" si="542"/>
        <v>0</v>
      </c>
      <c r="Q400" s="1423">
        <f t="shared" ca="1" si="543"/>
        <v>0</v>
      </c>
      <c r="R400" s="1423">
        <f t="shared" ca="1" si="544"/>
        <v>0</v>
      </c>
      <c r="S400" s="1423">
        <f t="shared" ca="1" si="545"/>
        <v>0</v>
      </c>
      <c r="T400" s="1423">
        <f t="shared" ca="1" si="546"/>
        <v>0</v>
      </c>
      <c r="U400" s="1423">
        <f t="shared" ca="1" si="547"/>
        <v>0</v>
      </c>
      <c r="V400" s="1423">
        <f t="shared" ca="1" si="548"/>
        <v>0</v>
      </c>
      <c r="W400" s="1423">
        <f t="shared" ca="1" si="549"/>
        <v>0</v>
      </c>
      <c r="X400" s="202"/>
      <c r="Y400" s="202"/>
      <c r="Z400" s="202"/>
      <c r="AA400" s="152"/>
      <c r="AB400" s="152"/>
    </row>
    <row r="401" spans="1:28" hidden="1" outlineLevel="1">
      <c r="A401" s="199">
        <f t="shared" si="550"/>
        <v>9</v>
      </c>
      <c r="B401" s="190" t="str">
        <f t="shared" ca="1" si="551"/>
        <v>Depreciated Net Capex 2024-25</v>
      </c>
      <c r="C401" s="1426"/>
      <c r="D401" s="1426"/>
      <c r="E401" s="1426"/>
      <c r="F401" s="1426"/>
      <c r="G401" s="1426"/>
      <c r="H401" s="1426"/>
      <c r="I401" s="1426"/>
      <c r="J401" s="1426"/>
      <c r="K401" s="1427"/>
      <c r="L401" s="1428">
        <f>L387</f>
        <v>0</v>
      </c>
      <c r="M401" s="1423">
        <f ca="1">IF(L425="n/a",L401,IFERROR(IF((OFFSET($C401,0,$A401))&lt;0,
MIN(0,L401-(OFFSET($C401,0,$A401)/(OFFSET($C396,-$A400,$A401)))),
MAX(0,L401-(OFFSET($C401,0,$A401)/(OFFSET($C396,-$A400,$A401))))),0))</f>
        <v>0</v>
      </c>
      <c r="N401" s="1423">
        <f t="shared" ca="1" si="540"/>
        <v>0</v>
      </c>
      <c r="O401" s="1423">
        <f t="shared" ca="1" si="541"/>
        <v>0</v>
      </c>
      <c r="P401" s="1423">
        <f t="shared" ca="1" si="542"/>
        <v>0</v>
      </c>
      <c r="Q401" s="1423">
        <f t="shared" ca="1" si="543"/>
        <v>0</v>
      </c>
      <c r="R401" s="1423">
        <f t="shared" ca="1" si="544"/>
        <v>0</v>
      </c>
      <c r="S401" s="1423">
        <f t="shared" ca="1" si="545"/>
        <v>0</v>
      </c>
      <c r="T401" s="1423">
        <f t="shared" ca="1" si="546"/>
        <v>0</v>
      </c>
      <c r="U401" s="1423">
        <f t="shared" ca="1" si="547"/>
        <v>0</v>
      </c>
      <c r="V401" s="1423">
        <f t="shared" ca="1" si="548"/>
        <v>0</v>
      </c>
      <c r="W401" s="1423">
        <f t="shared" ca="1" si="549"/>
        <v>0</v>
      </c>
      <c r="X401" s="202"/>
      <c r="Y401" s="202"/>
      <c r="Z401" s="202"/>
      <c r="AA401" s="152"/>
      <c r="AB401" s="152"/>
    </row>
    <row r="402" spans="1:28" hidden="1" outlineLevel="1">
      <c r="A402" s="199">
        <f t="shared" si="550"/>
        <v>10</v>
      </c>
      <c r="B402" s="190" t="str">
        <f t="shared" ca="1" si="551"/>
        <v>Depreciated Net Capex 2025-26</v>
      </c>
      <c r="C402" s="1426"/>
      <c r="D402" s="1426"/>
      <c r="E402" s="1426"/>
      <c r="F402" s="1426"/>
      <c r="G402" s="1426"/>
      <c r="H402" s="1426"/>
      <c r="I402" s="1426"/>
      <c r="J402" s="1426"/>
      <c r="K402" s="1426"/>
      <c r="L402" s="1427"/>
      <c r="M402" s="1428">
        <f>M387</f>
        <v>0</v>
      </c>
      <c r="N402" s="1423">
        <f ca="1">IF(M426="n/a",M402,IFERROR(IF((OFFSET($C402,0,$A402))&lt;0,
MIN(0,M402-(OFFSET($C402,0,$A402)/(OFFSET($C397,-$A401,$A402)))),
MAX(0,M402-(OFFSET($C402,0,$A402)/(OFFSET($C397,-$A401,$A402))))),0))</f>
        <v>0</v>
      </c>
      <c r="O402" s="1423">
        <f t="shared" ca="1" si="541"/>
        <v>0</v>
      </c>
      <c r="P402" s="1423">
        <f t="shared" ca="1" si="542"/>
        <v>0</v>
      </c>
      <c r="Q402" s="1423">
        <f t="shared" ca="1" si="543"/>
        <v>0</v>
      </c>
      <c r="R402" s="1423">
        <f t="shared" ca="1" si="544"/>
        <v>0</v>
      </c>
      <c r="S402" s="1423">
        <f t="shared" ca="1" si="545"/>
        <v>0</v>
      </c>
      <c r="T402" s="1423">
        <f t="shared" ca="1" si="546"/>
        <v>0</v>
      </c>
      <c r="U402" s="1423">
        <f t="shared" ca="1" si="547"/>
        <v>0</v>
      </c>
      <c r="V402" s="1423">
        <f t="shared" ca="1" si="548"/>
        <v>0</v>
      </c>
      <c r="W402" s="1423">
        <f t="shared" ca="1" si="549"/>
        <v>0</v>
      </c>
      <c r="X402" s="202"/>
      <c r="Y402" s="202"/>
      <c r="Z402" s="202"/>
      <c r="AA402" s="152"/>
      <c r="AB402" s="152"/>
    </row>
    <row r="403" spans="1:28" hidden="1" outlineLevel="1">
      <c r="A403" s="199">
        <f t="shared" si="550"/>
        <v>11</v>
      </c>
      <c r="B403" s="190" t="str">
        <f t="shared" ca="1" si="551"/>
        <v>Depreciated Net Capex 2026-27</v>
      </c>
      <c r="C403" s="1426"/>
      <c r="D403" s="1426"/>
      <c r="E403" s="1426"/>
      <c r="F403" s="1426"/>
      <c r="G403" s="1426"/>
      <c r="H403" s="1426"/>
      <c r="I403" s="1426"/>
      <c r="J403" s="1426"/>
      <c r="K403" s="1426"/>
      <c r="L403" s="1426"/>
      <c r="M403" s="1427"/>
      <c r="N403" s="1428">
        <f>N387</f>
        <v>0</v>
      </c>
      <c r="O403" s="1423">
        <f ca="1">IF(N427="n/a",N403,IFERROR(IF((OFFSET($C403,0,$A403))&lt;0,
MIN(0,N403-(OFFSET($C403,0,$A403)/(OFFSET($C398,-$A402,$A403)))),
MAX(0,N403-(OFFSET($C403,0,$A403)/(OFFSET($C398,-$A402,$A403))))),0))</f>
        <v>0</v>
      </c>
      <c r="P403" s="1423">
        <f t="shared" ca="1" si="542"/>
        <v>0</v>
      </c>
      <c r="Q403" s="1423">
        <f t="shared" ca="1" si="543"/>
        <v>0</v>
      </c>
      <c r="R403" s="1423">
        <f t="shared" ca="1" si="544"/>
        <v>0</v>
      </c>
      <c r="S403" s="1423">
        <f t="shared" ca="1" si="545"/>
        <v>0</v>
      </c>
      <c r="T403" s="1423">
        <f t="shared" ca="1" si="546"/>
        <v>0</v>
      </c>
      <c r="U403" s="1423">
        <f t="shared" ca="1" si="547"/>
        <v>0</v>
      </c>
      <c r="V403" s="1423">
        <f t="shared" ca="1" si="548"/>
        <v>0</v>
      </c>
      <c r="W403" s="1423">
        <f t="shared" ca="1" si="549"/>
        <v>0</v>
      </c>
      <c r="X403" s="202"/>
      <c r="Y403" s="202"/>
      <c r="Z403" s="202"/>
      <c r="AA403" s="152"/>
      <c r="AB403" s="152"/>
    </row>
    <row r="404" spans="1:28" hidden="1" outlineLevel="1">
      <c r="A404" s="199">
        <f t="shared" si="550"/>
        <v>12</v>
      </c>
      <c r="B404" s="190" t="str">
        <f t="shared" ca="1" si="551"/>
        <v>Depreciated Net Capex 2027-28</v>
      </c>
      <c r="C404" s="1426"/>
      <c r="D404" s="1426"/>
      <c r="E404" s="1426"/>
      <c r="F404" s="1426"/>
      <c r="G404" s="1426"/>
      <c r="H404" s="1426"/>
      <c r="I404" s="1426"/>
      <c r="J404" s="1426"/>
      <c r="K404" s="1426"/>
      <c r="L404" s="1426"/>
      <c r="M404" s="1426"/>
      <c r="N404" s="1427"/>
      <c r="O404" s="1428">
        <f>O387</f>
        <v>0</v>
      </c>
      <c r="P404" s="1423">
        <f ca="1">IF(O428="n/a",O404,IFERROR(IF((OFFSET($C404,0,$A404))&lt;0,
MIN(0,O404-(OFFSET($C404,0,$A404)/(OFFSET($C399,-$A403,$A404)))),
MAX(0,O404-(OFFSET($C404,0,$A404)/(OFFSET($C399,-$A403,$A404))))),0))</f>
        <v>0</v>
      </c>
      <c r="Q404" s="1423">
        <f t="shared" ca="1" si="543"/>
        <v>0</v>
      </c>
      <c r="R404" s="1423">
        <f t="shared" ca="1" si="544"/>
        <v>0</v>
      </c>
      <c r="S404" s="1423">
        <f t="shared" ca="1" si="545"/>
        <v>0</v>
      </c>
      <c r="T404" s="1423">
        <f t="shared" ca="1" si="546"/>
        <v>0</v>
      </c>
      <c r="U404" s="1423">
        <f t="shared" ca="1" si="547"/>
        <v>0</v>
      </c>
      <c r="V404" s="1423">
        <f t="shared" ca="1" si="548"/>
        <v>0</v>
      </c>
      <c r="W404" s="1423">
        <f t="shared" ca="1" si="549"/>
        <v>0</v>
      </c>
      <c r="X404" s="202"/>
      <c r="Y404" s="202"/>
      <c r="Z404" s="202"/>
      <c r="AA404" s="152"/>
      <c r="AB404" s="152"/>
    </row>
    <row r="405" spans="1:28" hidden="1" outlineLevel="1">
      <c r="A405" s="199">
        <f t="shared" si="550"/>
        <v>13</v>
      </c>
      <c r="B405" s="190" t="str">
        <f t="shared" ca="1" si="551"/>
        <v>Depreciated Net Capex 2028-29</v>
      </c>
      <c r="C405" s="1426"/>
      <c r="D405" s="1426"/>
      <c r="E405" s="1426"/>
      <c r="F405" s="1426"/>
      <c r="G405" s="1426"/>
      <c r="H405" s="1426"/>
      <c r="I405" s="1426"/>
      <c r="J405" s="1426"/>
      <c r="K405" s="1426"/>
      <c r="L405" s="1426"/>
      <c r="M405" s="1426"/>
      <c r="N405" s="1426"/>
      <c r="O405" s="1427"/>
      <c r="P405" s="1428">
        <f>P387</f>
        <v>0</v>
      </c>
      <c r="Q405" s="1423">
        <f ca="1">IF(P429="n/a",P405,IFERROR(IF((OFFSET($C405,0,$A405))&lt;0,
MIN(0,P405-(OFFSET($C405,0,$A405)/(OFFSET($C400,-$A404,$A405)))),
MAX(0,P405-(OFFSET($C405,0,$A405)/(OFFSET($C400,-$A404,$A405))))),0))</f>
        <v>0</v>
      </c>
      <c r="R405" s="1423">
        <f t="shared" ca="1" si="544"/>
        <v>0</v>
      </c>
      <c r="S405" s="1423">
        <f t="shared" ca="1" si="545"/>
        <v>0</v>
      </c>
      <c r="T405" s="1423">
        <f t="shared" ca="1" si="546"/>
        <v>0</v>
      </c>
      <c r="U405" s="1423">
        <f t="shared" ca="1" si="547"/>
        <v>0</v>
      </c>
      <c r="V405" s="1423">
        <f t="shared" ca="1" si="548"/>
        <v>0</v>
      </c>
      <c r="W405" s="1423">
        <f t="shared" ca="1" si="549"/>
        <v>0</v>
      </c>
      <c r="X405" s="202"/>
      <c r="Y405" s="202"/>
      <c r="Z405" s="202"/>
      <c r="AA405" s="152"/>
      <c r="AB405" s="152"/>
    </row>
    <row r="406" spans="1:28" hidden="1" outlineLevel="1">
      <c r="A406" s="199">
        <f t="shared" si="550"/>
        <v>14</v>
      </c>
      <c r="B406" s="190" t="str">
        <f t="shared" ca="1" si="551"/>
        <v>Depreciated Net Capex 2029-30</v>
      </c>
      <c r="C406" s="1426"/>
      <c r="D406" s="1426"/>
      <c r="E406" s="1426"/>
      <c r="F406" s="1426"/>
      <c r="G406" s="1426"/>
      <c r="H406" s="1426"/>
      <c r="I406" s="1426"/>
      <c r="J406" s="1426"/>
      <c r="K406" s="1426"/>
      <c r="L406" s="1426"/>
      <c r="M406" s="1426"/>
      <c r="N406" s="1426"/>
      <c r="O406" s="1426"/>
      <c r="P406" s="1427"/>
      <c r="Q406" s="1428">
        <f>Q387</f>
        <v>0</v>
      </c>
      <c r="R406" s="1423">
        <f ca="1">IF(Q430="n/a",Q406,IFERROR(IF((OFFSET($C406,0,$A406))&lt;0,
MIN(0,Q406-(OFFSET($C406,0,$A406)/(OFFSET($C401,-$A405,$A406)))),
MAX(0,Q406-(OFFSET($C406,0,$A406)/(OFFSET($C401,-$A405,$A406))))),0))</f>
        <v>0</v>
      </c>
      <c r="S406" s="1423">
        <f t="shared" ca="1" si="545"/>
        <v>0</v>
      </c>
      <c r="T406" s="1423">
        <f t="shared" ca="1" si="546"/>
        <v>0</v>
      </c>
      <c r="U406" s="1423">
        <f t="shared" ca="1" si="547"/>
        <v>0</v>
      </c>
      <c r="V406" s="1423">
        <f t="shared" ca="1" si="548"/>
        <v>0</v>
      </c>
      <c r="W406" s="1423">
        <f t="shared" ca="1" si="549"/>
        <v>0</v>
      </c>
      <c r="X406" s="202"/>
      <c r="Y406" s="202"/>
      <c r="Z406" s="202"/>
      <c r="AA406" s="152"/>
      <c r="AB406" s="152"/>
    </row>
    <row r="407" spans="1:28" hidden="1" outlineLevel="1">
      <c r="A407" s="199">
        <f t="shared" si="550"/>
        <v>15</v>
      </c>
      <c r="B407" s="190" t="str">
        <f t="shared" ca="1" si="551"/>
        <v>Depreciated Net Capex 2030-31</v>
      </c>
      <c r="C407" s="1426"/>
      <c r="D407" s="1426"/>
      <c r="E407" s="1426"/>
      <c r="F407" s="1426"/>
      <c r="G407" s="1426"/>
      <c r="H407" s="1426"/>
      <c r="I407" s="1426"/>
      <c r="J407" s="1426"/>
      <c r="K407" s="1426"/>
      <c r="L407" s="1426"/>
      <c r="M407" s="1426"/>
      <c r="N407" s="1426"/>
      <c r="O407" s="1426"/>
      <c r="P407" s="1426"/>
      <c r="Q407" s="1427"/>
      <c r="R407" s="1428">
        <f>R387</f>
        <v>0</v>
      </c>
      <c r="S407" s="1423">
        <f ca="1">IF(R431="n/a",R407,IFERROR(IF((OFFSET($C407,0,$A407))&lt;0,
MIN(0,R407-(OFFSET($C407,0,$A407)/(OFFSET($C402,-$A406,$A407)))),
MAX(0,R407-(OFFSET($C407,0,$A407)/(OFFSET($C402,-$A406,$A407))))),0))</f>
        <v>0</v>
      </c>
      <c r="T407" s="1423">
        <f t="shared" ca="1" si="546"/>
        <v>0</v>
      </c>
      <c r="U407" s="1423">
        <f t="shared" ca="1" si="547"/>
        <v>0</v>
      </c>
      <c r="V407" s="1423">
        <f t="shared" ca="1" si="548"/>
        <v>0</v>
      </c>
      <c r="W407" s="1423">
        <f t="shared" ca="1" si="549"/>
        <v>0</v>
      </c>
      <c r="X407" s="202"/>
      <c r="Y407" s="202"/>
      <c r="Z407" s="202"/>
      <c r="AA407" s="152"/>
      <c r="AB407" s="152"/>
    </row>
    <row r="408" spans="1:28" hidden="1" outlineLevel="1">
      <c r="A408" s="199">
        <f t="shared" si="550"/>
        <v>16</v>
      </c>
      <c r="B408" s="190" t="str">
        <f t="shared" ca="1" si="551"/>
        <v>Depreciated Net Capex 2031-32</v>
      </c>
      <c r="C408" s="1426"/>
      <c r="D408" s="1426"/>
      <c r="E408" s="1426"/>
      <c r="F408" s="1426"/>
      <c r="G408" s="1426"/>
      <c r="H408" s="1426"/>
      <c r="I408" s="1426"/>
      <c r="J408" s="1426"/>
      <c r="K408" s="1426"/>
      <c r="L408" s="1426"/>
      <c r="M408" s="1426"/>
      <c r="N408" s="1426"/>
      <c r="O408" s="1426"/>
      <c r="P408" s="1426"/>
      <c r="Q408" s="1426"/>
      <c r="R408" s="1427"/>
      <c r="S408" s="1428">
        <f>S387</f>
        <v>0</v>
      </c>
      <c r="T408" s="1423">
        <f ca="1">IF(S432="n/a",S408,IFERROR(IF((OFFSET($C408,0,$A408))&lt;0,
MIN(0,S408-(OFFSET($C408,0,$A408)/(OFFSET($C403,-$A407,$A408)))),
MAX(0,S408-(OFFSET($C408,0,$A408)/(OFFSET($C403,-$A407,$A408))))),0))</f>
        <v>0</v>
      </c>
      <c r="U408" s="1423">
        <f t="shared" ca="1" si="547"/>
        <v>0</v>
      </c>
      <c r="V408" s="1423">
        <f t="shared" ca="1" si="548"/>
        <v>0</v>
      </c>
      <c r="W408" s="1423">
        <f t="shared" ca="1" si="549"/>
        <v>0</v>
      </c>
      <c r="X408" s="202"/>
      <c r="Y408" s="202"/>
      <c r="Z408" s="202"/>
      <c r="AA408" s="152"/>
      <c r="AB408" s="152"/>
    </row>
    <row r="409" spans="1:28" hidden="1" outlineLevel="1">
      <c r="A409" s="199">
        <f t="shared" si="550"/>
        <v>17</v>
      </c>
      <c r="B409" s="190" t="str">
        <f t="shared" ca="1" si="551"/>
        <v>Depreciated Net Capex 2032-33</v>
      </c>
      <c r="C409" s="1426"/>
      <c r="D409" s="1426"/>
      <c r="E409" s="1426"/>
      <c r="F409" s="1426"/>
      <c r="G409" s="1426"/>
      <c r="H409" s="1426"/>
      <c r="I409" s="1426"/>
      <c r="J409" s="1426"/>
      <c r="K409" s="1426"/>
      <c r="L409" s="1426"/>
      <c r="M409" s="1426"/>
      <c r="N409" s="1426"/>
      <c r="O409" s="1426"/>
      <c r="P409" s="1426"/>
      <c r="Q409" s="1426"/>
      <c r="R409" s="1426"/>
      <c r="S409" s="1427"/>
      <c r="T409" s="1428">
        <f>T387</f>
        <v>0</v>
      </c>
      <c r="U409" s="1423">
        <f ca="1">IF(T433="n/a",T409,IFERROR(IF((OFFSET($C409,0,$A409))&lt;0,
MIN(0,T409-(OFFSET($C409,0,$A409)/(OFFSET($C404,-$A408,$A409)))),
MAX(0,T409-(OFFSET($C409,0,$A409)/(OFFSET($C404,-$A408,$A409))))),0))</f>
        <v>0</v>
      </c>
      <c r="V409" s="1423">
        <f t="shared" ca="1" si="548"/>
        <v>0</v>
      </c>
      <c r="W409" s="1423">
        <f t="shared" ca="1" si="549"/>
        <v>0</v>
      </c>
      <c r="X409" s="202"/>
      <c r="Y409" s="202"/>
      <c r="Z409" s="202"/>
      <c r="AA409" s="152"/>
      <c r="AB409" s="152"/>
    </row>
    <row r="410" spans="1:28" hidden="1" outlineLevel="1">
      <c r="A410" s="199">
        <f t="shared" si="550"/>
        <v>18</v>
      </c>
      <c r="B410" s="190" t="str">
        <f t="shared" ca="1" si="551"/>
        <v>Depreciated Net Capex 2033-34</v>
      </c>
      <c r="C410" s="1426"/>
      <c r="D410" s="1426"/>
      <c r="E410" s="1426"/>
      <c r="F410" s="1426"/>
      <c r="G410" s="1426"/>
      <c r="H410" s="1426"/>
      <c r="I410" s="1426"/>
      <c r="J410" s="1426"/>
      <c r="K410" s="1426"/>
      <c r="L410" s="1426"/>
      <c r="M410" s="1426"/>
      <c r="N410" s="1426"/>
      <c r="O410" s="1426"/>
      <c r="P410" s="1426"/>
      <c r="Q410" s="1426"/>
      <c r="R410" s="1426"/>
      <c r="S410" s="1426"/>
      <c r="T410" s="1427"/>
      <c r="U410" s="1428">
        <f>U387</f>
        <v>0</v>
      </c>
      <c r="V410" s="1423">
        <f ca="1">IF(U434="n/a",U410,IFERROR(IF((OFFSET($C410,0,$A410))&lt;0,
MIN(0,U410-(OFFSET($C410,0,$A410)/(OFFSET($C405,-$A409,$A410)))),
MAX(0,U410-(OFFSET($C410,0,$A410)/(OFFSET($C405,-$A409,$A410))))),0))</f>
        <v>0</v>
      </c>
      <c r="W410" s="1423">
        <f t="shared" ca="1" si="549"/>
        <v>0</v>
      </c>
      <c r="X410" s="202"/>
      <c r="Y410" s="202"/>
      <c r="Z410" s="202"/>
      <c r="AA410" s="152"/>
      <c r="AB410" s="152"/>
    </row>
    <row r="411" spans="1:28" hidden="1" outlineLevel="1">
      <c r="A411" s="199">
        <f t="shared" si="550"/>
        <v>19</v>
      </c>
      <c r="B411" s="190" t="str">
        <f t="shared" ca="1" si="551"/>
        <v>Depreciated Net Capex 2034-35</v>
      </c>
      <c r="C411" s="1426"/>
      <c r="D411" s="1426"/>
      <c r="E411" s="1426"/>
      <c r="F411" s="1426"/>
      <c r="G411" s="1426"/>
      <c r="H411" s="1426"/>
      <c r="I411" s="1426"/>
      <c r="J411" s="1426"/>
      <c r="K411" s="1426"/>
      <c r="L411" s="1426"/>
      <c r="M411" s="1426"/>
      <c r="N411" s="1426"/>
      <c r="O411" s="1426"/>
      <c r="P411" s="1426"/>
      <c r="Q411" s="1426"/>
      <c r="R411" s="1426"/>
      <c r="S411" s="1426"/>
      <c r="T411" s="1426"/>
      <c r="U411" s="1427"/>
      <c r="V411" s="1428">
        <f>V387</f>
        <v>0</v>
      </c>
      <c r="W411" s="1423">
        <f ca="1">IF(V435="n/a",V411,IFERROR(IF((OFFSET($C411,0,$A411))&lt;0,
MIN(0,V411-(OFFSET($C411,0,$A411)/(OFFSET($C406,-$A410,$A411)))),
MAX(0,V411-(OFFSET($C411,0,$A411)/(OFFSET($C406,-$A410,$A411))))),0))</f>
        <v>0</v>
      </c>
      <c r="X411" s="202"/>
      <c r="Y411" s="202"/>
      <c r="Z411" s="202"/>
      <c r="AA411" s="152"/>
      <c r="AB411" s="152"/>
    </row>
    <row r="412" spans="1:28" hidden="1" outlineLevel="1">
      <c r="A412" s="199">
        <f t="shared" si="550"/>
        <v>20</v>
      </c>
      <c r="B412" s="190" t="str">
        <f t="shared" ca="1" si="551"/>
        <v>Depreciated Net Capex 2035-36</v>
      </c>
      <c r="C412" s="1426"/>
      <c r="D412" s="1426"/>
      <c r="E412" s="1426"/>
      <c r="F412" s="1426"/>
      <c r="G412" s="1426"/>
      <c r="H412" s="1426"/>
      <c r="I412" s="1426"/>
      <c r="J412" s="1426"/>
      <c r="K412" s="1426"/>
      <c r="L412" s="1426"/>
      <c r="M412" s="1426"/>
      <c r="N412" s="1426"/>
      <c r="O412" s="1426"/>
      <c r="P412" s="1426"/>
      <c r="Q412" s="1426"/>
      <c r="R412" s="1426"/>
      <c r="S412" s="1426"/>
      <c r="T412" s="1426"/>
      <c r="U412" s="1426"/>
      <c r="V412" s="1427"/>
      <c r="W412" s="1423">
        <f>W387</f>
        <v>0</v>
      </c>
      <c r="X412" s="152"/>
      <c r="Y412" s="152"/>
      <c r="Z412" s="152"/>
      <c r="AA412" s="152"/>
      <c r="AB412" s="152"/>
    </row>
    <row r="413" spans="1:28" hidden="1" outlineLevel="1">
      <c r="A413" s="242"/>
      <c r="B413" s="200"/>
      <c r="C413" s="1423"/>
      <c r="D413" s="1423"/>
      <c r="E413" s="1423"/>
      <c r="F413" s="1423"/>
      <c r="G413" s="1423"/>
      <c r="H413" s="1423"/>
      <c r="I413" s="1423"/>
      <c r="J413" s="1423"/>
      <c r="K413" s="1423"/>
      <c r="L413" s="1423"/>
      <c r="M413" s="1423"/>
      <c r="N413" s="1423"/>
      <c r="O413" s="1423"/>
      <c r="P413" s="1423"/>
      <c r="Q413" s="1423"/>
      <c r="R413" s="1423"/>
      <c r="S413" s="1423"/>
      <c r="T413" s="1423"/>
      <c r="U413" s="1423"/>
      <c r="V413" s="1423"/>
      <c r="W413" s="1423"/>
      <c r="X413" s="152"/>
      <c r="Y413" s="152"/>
      <c r="Z413" s="152"/>
      <c r="AA413" s="152"/>
      <c r="AB413" s="152"/>
    </row>
    <row r="414" spans="1:28" hidden="1" outlineLevel="1">
      <c r="A414" s="242"/>
      <c r="B414" s="200"/>
      <c r="C414" s="1423"/>
      <c r="D414" s="1423"/>
      <c r="E414" s="1423"/>
      <c r="F414" s="1423"/>
      <c r="G414" s="1423"/>
      <c r="H414" s="1423"/>
      <c r="I414" s="1423"/>
      <c r="J414" s="1423"/>
      <c r="K414" s="1423"/>
      <c r="L414" s="1423"/>
      <c r="M414" s="1423"/>
      <c r="N414" s="1423"/>
      <c r="O414" s="1423"/>
      <c r="P414" s="1423"/>
      <c r="Q414" s="1423"/>
      <c r="R414" s="1423"/>
      <c r="S414" s="1423"/>
      <c r="T414" s="1423"/>
      <c r="U414" s="1423"/>
      <c r="V414" s="1423"/>
      <c r="W414" s="1423"/>
      <c r="X414" s="152"/>
      <c r="Y414" s="152"/>
      <c r="Z414" s="152"/>
      <c r="AA414" s="152"/>
      <c r="AB414" s="152"/>
    </row>
    <row r="415" spans="1:28" hidden="1" outlineLevel="1">
      <c r="A415" s="242"/>
      <c r="B415" s="190" t="s">
        <v>194</v>
      </c>
      <c r="C415" s="1423"/>
      <c r="D415" s="1423">
        <f t="shared" ref="D415" ca="1" si="552">IF(AND(C415&lt;1,D389=0),0,
IF(D389=0,C415-1,
IF(C415&lt;1,D390,
(((C415-1)*(C391-(C391/(C415))))+(D389*D390))/(D391))))</f>
        <v>0</v>
      </c>
      <c r="E415" s="1423">
        <f t="shared" ref="E415" ca="1" si="553">IF(AND(D415&lt;1,E389=0),0,
IF(E389=0,D415-1,
IF(D415&lt;1,E390,
(((D415-1)*(D391-(D391/(D415))))+(E389*E390))/(E391))))</f>
        <v>0</v>
      </c>
      <c r="F415" s="1423">
        <f t="shared" ref="F415" ca="1" si="554">IF(AND(E415&lt;1,F389=0),0,
IF(F389=0,E415-1,
IF(E415&lt;1,F390,
(((E415-1)*(E391-(E391/(E415))))+(F389*F390))/(F391))))</f>
        <v>0</v>
      </c>
      <c r="G415" s="1423">
        <f t="shared" ref="G415" ca="1" si="555">IF(AND(F415&lt;1,G389=0),0,
IF(G389=0,F415-1,
IF(F415&lt;1,G390,
(((F415-1)*(F391-(F391/(F415))))+(G389*G390))/(G391))))</f>
        <v>0</v>
      </c>
      <c r="H415" s="1423">
        <f ca="1">IF(AND(G415&lt;1,H389=0),0,
IF(H389=0,G415-1,
IF(G415&lt;1,H390,
(((G415-1)*(G391-(G391/(G415))))+(H389*H390))/(H391))))</f>
        <v>0</v>
      </c>
      <c r="I415" s="1423">
        <f t="shared" ref="I415" ca="1" si="556">IF(AND(H415&lt;1,I389=0),0,
IF(I389=0,H415-1,
IF(H415&lt;1,I390,
(((H415-1)*(H391-(H391/(H415))))+(I389*I390))/(I391))))</f>
        <v>0</v>
      </c>
      <c r="J415" s="1423">
        <f t="shared" ref="J415" ca="1" si="557">IF(AND(I415&lt;1,J389=0),0,
IF(J389=0,I415-1,
IF(I415&lt;1,J390,
(((I415-1)*(I391-(I391/(I415))))+(J389*J390))/(J391))))</f>
        <v>0</v>
      </c>
      <c r="K415" s="1423">
        <f t="shared" ref="K415" ca="1" si="558">IF(AND(J415&lt;1,K389=0),0,
IF(K389=0,J415-1,
IF(J415&lt;1,K390,
(((J415-1)*(J391-(J391/(J415))))+(K389*K390))/(K391))))</f>
        <v>0</v>
      </c>
      <c r="L415" s="1423">
        <f t="shared" ref="L415" ca="1" si="559">IF(AND(K415&lt;1,L389=0),0,
IF(L389=0,K415-1,
IF(K415&lt;1,L390,
(((K415-1)*(K391-(K391/(K415))))+(L389*L390))/(L391))))</f>
        <v>0</v>
      </c>
      <c r="M415" s="1423">
        <f ca="1">IF(AND(L415&lt;1,M389=0),0,
IF(M389=0,L415-1,
IF(L415&lt;1,M390,
(((L415-1)*(L391-(L391/(L415))))+(M389*M390))/(M391))))</f>
        <v>0</v>
      </c>
      <c r="N415" s="1423">
        <f t="shared" ref="N415" ca="1" si="560">IF(AND(M415&lt;1,N389=0),0,
IF(N389=0,M415-1,
IF(M415&lt;1,N390,
(((M415-1)*(M391-(M391/(M415))))+(N389*N390))/(N391))))</f>
        <v>0</v>
      </c>
      <c r="O415" s="1423">
        <f t="shared" ref="O415" ca="1" si="561">IF(AND(N415&lt;1,O389=0),0,
IF(O389=0,N415-1,
IF(N415&lt;1,O390,
(((N415-1)*(N391-(N391/(N415))))+(O389*O390))/(O391))))</f>
        <v>0</v>
      </c>
      <c r="P415" s="1423">
        <f t="shared" ref="P415" ca="1" si="562">IF(AND(O415&lt;1,P389=0),0,
IF(P389=0,O415-1,
IF(O415&lt;1,P390,
(((O415-1)*(O391-(O391/(O415))))+(P389*P390))/(P391))))</f>
        <v>0</v>
      </c>
      <c r="Q415" s="1423">
        <f t="shared" ref="Q415" ca="1" si="563">IF(AND(P415&lt;1,Q389=0),0,
IF(Q389=0,P415-1,
IF(P415&lt;1,Q390,
(((P415-1)*(P391-(P391/(P415))))+(Q389*Q390))/(Q391))))</f>
        <v>0</v>
      </c>
      <c r="R415" s="1423">
        <f t="shared" ref="R415" ca="1" si="564">IF(AND(Q415&lt;1,R389=0),0,
IF(R389=0,Q415-1,
IF(Q415&lt;1,R390,
(((Q415-1)*(Q391-(Q391/(Q415))))+(R389*R390))/(R391))))</f>
        <v>0</v>
      </c>
      <c r="S415" s="1423">
        <f t="shared" ref="S415" ca="1" si="565">IF(AND(R415&lt;1,S389=0),0,
IF(S389=0,R415-1,
IF(R415&lt;1,S390,
(((R415-1)*(R391-(R391/(R415))))+(S389*S390))/(S391))))</f>
        <v>0</v>
      </c>
      <c r="T415" s="1423">
        <f t="shared" ref="T415" ca="1" si="566">IF(AND(S415&lt;1,T389=0),0,
IF(T389=0,S415-1,
IF(S415&lt;1,T390,
(((S415-1)*(S391-(S391/(S415))))+(T389*T390))/(T391))))</f>
        <v>0</v>
      </c>
      <c r="U415" s="1423">
        <f t="shared" ref="U415" ca="1" si="567">IF(AND(T415&lt;1,U389=0),0,
IF(U389=0,T415-1,
IF(T415&lt;1,U390,
(((T415-1)*(T391-(T391/(T415))))+(U389*U390))/(U391))))</f>
        <v>0</v>
      </c>
      <c r="V415" s="1423">
        <f t="shared" ref="V415" ca="1" si="568">IF(AND(U415&lt;1,V389=0),0,
IF(V389=0,U415-1,
IF(U415&lt;1,V390,
(((U415-1)*(U391-(U391/(U415))))+(V389*V390))/(V391))))</f>
        <v>0</v>
      </c>
      <c r="W415" s="1423">
        <f t="shared" ref="W415" ca="1" si="569">IF(AND(V415&lt;1,W389=0),0,
IF(W389=0,V415-1,
IF(V415&lt;1,W390,
(((V415-1)*(V391-(V391/(V415))))+(W389*W390))/(W391))))</f>
        <v>0</v>
      </c>
      <c r="X415" s="152"/>
      <c r="Y415" s="152"/>
      <c r="Z415" s="152"/>
      <c r="AA415" s="152"/>
      <c r="AB415" s="152"/>
    </row>
    <row r="416" spans="1:28" hidden="1" outlineLevel="1">
      <c r="A416" s="242"/>
      <c r="B416" s="190" t="s">
        <v>193</v>
      </c>
      <c r="C416" s="1423">
        <f ca="1">C388</f>
        <v>0</v>
      </c>
      <c r="D416" s="1423">
        <f t="shared" ref="D416" ca="1" si="570">IF(C416="n/a","n/a",MAX(0,C416-1))</f>
        <v>0</v>
      </c>
      <c r="E416" s="1423">
        <f t="shared" ref="E416:E417" ca="1" si="571">IF(D416="n/a","n/a",MAX(0,D416-1))</f>
        <v>0</v>
      </c>
      <c r="F416" s="1423">
        <f t="shared" ref="F416:F418" ca="1" si="572">IF(E416="n/a","n/a",MAX(0,E416-1))</f>
        <v>0</v>
      </c>
      <c r="G416" s="1423">
        <f t="shared" ref="G416:G419" ca="1" si="573">IF(F416="n/a","n/a",MAX(0,F416-1))</f>
        <v>0</v>
      </c>
      <c r="H416" s="1423">
        <f t="shared" ref="H416:H420" ca="1" si="574">IF(G416="n/a","n/a",MAX(0,G416-1))</f>
        <v>0</v>
      </c>
      <c r="I416" s="1423">
        <f t="shared" ref="I416:I421" ca="1" si="575">IF(H416="n/a","n/a",MAX(0,H416-1))</f>
        <v>0</v>
      </c>
      <c r="J416" s="1423">
        <f t="shared" ref="J416:J422" ca="1" si="576">IF(I416="n/a","n/a",MAX(0,I416-1))</f>
        <v>0</v>
      </c>
      <c r="K416" s="1423">
        <f t="shared" ref="K416:K423" ca="1" si="577">IF(J416="n/a","n/a",MAX(0,J416-1))</f>
        <v>0</v>
      </c>
      <c r="L416" s="1423">
        <f t="shared" ref="L416:L424" ca="1" si="578">IF(K416="n/a","n/a",MAX(0,K416-1))</f>
        <v>0</v>
      </c>
      <c r="M416" s="1423">
        <f t="shared" ref="M416:M425" ca="1" si="579">IF(L416="n/a","n/a",MAX(0,L416-1))</f>
        <v>0</v>
      </c>
      <c r="N416" s="1423">
        <f t="shared" ref="N416:N426" ca="1" si="580">IF(M416="n/a","n/a",MAX(0,M416-1))</f>
        <v>0</v>
      </c>
      <c r="O416" s="1423">
        <f t="shared" ref="O416:O427" ca="1" si="581">IF(N416="n/a","n/a",MAX(0,N416-1))</f>
        <v>0</v>
      </c>
      <c r="P416" s="1423">
        <f t="shared" ref="P416:P428" ca="1" si="582">IF(O416="n/a","n/a",MAX(0,O416-1))</f>
        <v>0</v>
      </c>
      <c r="Q416" s="1423">
        <f t="shared" ref="Q416:Q429" ca="1" si="583">IF(P416="n/a","n/a",MAX(0,P416-1))</f>
        <v>0</v>
      </c>
      <c r="R416" s="1423">
        <f t="shared" ref="R416:R430" ca="1" si="584">IF(Q416="n/a","n/a",MAX(0,Q416-1))</f>
        <v>0</v>
      </c>
      <c r="S416" s="1423">
        <f t="shared" ref="S416:S431" ca="1" si="585">IF(R416="n/a","n/a",MAX(0,R416-1))</f>
        <v>0</v>
      </c>
      <c r="T416" s="1423">
        <f t="shared" ref="T416:T432" ca="1" si="586">IF(S416="n/a","n/a",MAX(0,S416-1))</f>
        <v>0</v>
      </c>
      <c r="U416" s="1423">
        <f t="shared" ref="U416:U433" ca="1" si="587">IF(T416="n/a","n/a",MAX(0,T416-1))</f>
        <v>0</v>
      </c>
      <c r="V416" s="1423">
        <f t="shared" ref="V416:V434" ca="1" si="588">IF(U416="n/a","n/a",MAX(0,U416-1))</f>
        <v>0</v>
      </c>
      <c r="W416" s="1423">
        <f t="shared" ref="W416:W434" ca="1" si="589">IF(V416="n/a","n/a",MAX(0,V416-1))</f>
        <v>0</v>
      </c>
      <c r="X416" s="152"/>
      <c r="Y416" s="152"/>
      <c r="Z416" s="152"/>
      <c r="AA416" s="152"/>
      <c r="AB416" s="152"/>
    </row>
    <row r="417" spans="1:28" hidden="1" outlineLevel="1">
      <c r="A417" s="242"/>
      <c r="B417" s="190" t="str">
        <f t="shared" ref="B417:B436" ca="1" si="590">"RL Capex "&amp;OFFSET($C$6,0,A393)</f>
        <v>RL Capex 2016-17</v>
      </c>
      <c r="C417" s="1424"/>
      <c r="D417" s="1428">
        <f>D388</f>
        <v>0</v>
      </c>
      <c r="E417" s="1423">
        <f t="shared" si="571"/>
        <v>0</v>
      </c>
      <c r="F417" s="1423">
        <f t="shared" si="572"/>
        <v>0</v>
      </c>
      <c r="G417" s="1423">
        <f t="shared" si="573"/>
        <v>0</v>
      </c>
      <c r="H417" s="1423">
        <f t="shared" si="574"/>
        <v>0</v>
      </c>
      <c r="I417" s="1423">
        <f t="shared" si="575"/>
        <v>0</v>
      </c>
      <c r="J417" s="1423">
        <f t="shared" si="576"/>
        <v>0</v>
      </c>
      <c r="K417" s="1423">
        <f t="shared" si="577"/>
        <v>0</v>
      </c>
      <c r="L417" s="1423">
        <f t="shared" si="578"/>
        <v>0</v>
      </c>
      <c r="M417" s="1423">
        <f t="shared" si="579"/>
        <v>0</v>
      </c>
      <c r="N417" s="1423">
        <f t="shared" si="580"/>
        <v>0</v>
      </c>
      <c r="O417" s="1423">
        <f t="shared" si="581"/>
        <v>0</v>
      </c>
      <c r="P417" s="1423">
        <f t="shared" si="582"/>
        <v>0</v>
      </c>
      <c r="Q417" s="1423">
        <f t="shared" si="583"/>
        <v>0</v>
      </c>
      <c r="R417" s="1423">
        <f t="shared" si="584"/>
        <v>0</v>
      </c>
      <c r="S417" s="1423">
        <f t="shared" si="585"/>
        <v>0</v>
      </c>
      <c r="T417" s="1423">
        <f t="shared" si="586"/>
        <v>0</v>
      </c>
      <c r="U417" s="1423">
        <f t="shared" si="587"/>
        <v>0</v>
      </c>
      <c r="V417" s="1423">
        <f t="shared" si="588"/>
        <v>0</v>
      </c>
      <c r="W417" s="1423">
        <f t="shared" si="589"/>
        <v>0</v>
      </c>
      <c r="X417" s="152"/>
      <c r="Y417" s="152"/>
      <c r="Z417" s="152"/>
      <c r="AA417" s="152"/>
      <c r="AB417" s="152"/>
    </row>
    <row r="418" spans="1:28" hidden="1" outlineLevel="1">
      <c r="A418" s="242"/>
      <c r="B418" s="190" t="str">
        <f t="shared" ca="1" si="590"/>
        <v>RL Capex 2017-18</v>
      </c>
      <c r="C418" s="1429"/>
      <c r="D418" s="1424"/>
      <c r="E418" s="1428">
        <f>E388</f>
        <v>0</v>
      </c>
      <c r="F418" s="1423">
        <f t="shared" si="572"/>
        <v>0</v>
      </c>
      <c r="G418" s="1423">
        <f t="shared" si="573"/>
        <v>0</v>
      </c>
      <c r="H418" s="1423">
        <f t="shared" si="574"/>
        <v>0</v>
      </c>
      <c r="I418" s="1423">
        <f t="shared" si="575"/>
        <v>0</v>
      </c>
      <c r="J418" s="1423">
        <f t="shared" si="576"/>
        <v>0</v>
      </c>
      <c r="K418" s="1423">
        <f t="shared" si="577"/>
        <v>0</v>
      </c>
      <c r="L418" s="1423">
        <f t="shared" si="578"/>
        <v>0</v>
      </c>
      <c r="M418" s="1423">
        <f t="shared" si="579"/>
        <v>0</v>
      </c>
      <c r="N418" s="1423">
        <f t="shared" si="580"/>
        <v>0</v>
      </c>
      <c r="O418" s="1423">
        <f t="shared" si="581"/>
        <v>0</v>
      </c>
      <c r="P418" s="1423">
        <f t="shared" si="582"/>
        <v>0</v>
      </c>
      <c r="Q418" s="1423">
        <f t="shared" si="583"/>
        <v>0</v>
      </c>
      <c r="R418" s="1423">
        <f t="shared" si="584"/>
        <v>0</v>
      </c>
      <c r="S418" s="1423">
        <f t="shared" si="585"/>
        <v>0</v>
      </c>
      <c r="T418" s="1423">
        <f t="shared" si="586"/>
        <v>0</v>
      </c>
      <c r="U418" s="1423">
        <f t="shared" si="587"/>
        <v>0</v>
      </c>
      <c r="V418" s="1423">
        <f t="shared" si="588"/>
        <v>0</v>
      </c>
      <c r="W418" s="1423">
        <f t="shared" si="589"/>
        <v>0</v>
      </c>
      <c r="X418" s="152"/>
      <c r="Y418" s="152"/>
      <c r="Z418" s="152"/>
      <c r="AA418" s="152"/>
      <c r="AB418" s="152"/>
    </row>
    <row r="419" spans="1:28" hidden="1" outlineLevel="1">
      <c r="A419" s="242"/>
      <c r="B419" s="190" t="str">
        <f t="shared" ca="1" si="590"/>
        <v>RL Capex 2018-19</v>
      </c>
      <c r="C419" s="1429"/>
      <c r="D419" s="1429"/>
      <c r="E419" s="1424"/>
      <c r="F419" s="1428">
        <f>F388</f>
        <v>0</v>
      </c>
      <c r="G419" s="1423">
        <f t="shared" si="573"/>
        <v>0</v>
      </c>
      <c r="H419" s="1423">
        <f t="shared" si="574"/>
        <v>0</v>
      </c>
      <c r="I419" s="1423">
        <f t="shared" si="575"/>
        <v>0</v>
      </c>
      <c r="J419" s="1423">
        <f t="shared" si="576"/>
        <v>0</v>
      </c>
      <c r="K419" s="1423">
        <f t="shared" si="577"/>
        <v>0</v>
      </c>
      <c r="L419" s="1423">
        <f t="shared" si="578"/>
        <v>0</v>
      </c>
      <c r="M419" s="1423">
        <f t="shared" si="579"/>
        <v>0</v>
      </c>
      <c r="N419" s="1423">
        <f t="shared" si="580"/>
        <v>0</v>
      </c>
      <c r="O419" s="1423">
        <f t="shared" si="581"/>
        <v>0</v>
      </c>
      <c r="P419" s="1423">
        <f t="shared" si="582"/>
        <v>0</v>
      </c>
      <c r="Q419" s="1423">
        <f t="shared" si="583"/>
        <v>0</v>
      </c>
      <c r="R419" s="1423">
        <f t="shared" si="584"/>
        <v>0</v>
      </c>
      <c r="S419" s="1423">
        <f t="shared" si="585"/>
        <v>0</v>
      </c>
      <c r="T419" s="1423">
        <f t="shared" si="586"/>
        <v>0</v>
      </c>
      <c r="U419" s="1423">
        <f t="shared" si="587"/>
        <v>0</v>
      </c>
      <c r="V419" s="1423">
        <f t="shared" si="588"/>
        <v>0</v>
      </c>
      <c r="W419" s="1423">
        <f t="shared" si="589"/>
        <v>0</v>
      </c>
      <c r="X419" s="152"/>
      <c r="Y419" s="152"/>
      <c r="Z419" s="152"/>
      <c r="AA419" s="152"/>
      <c r="AB419" s="152"/>
    </row>
    <row r="420" spans="1:28" hidden="1" outlineLevel="1">
      <c r="A420" s="242"/>
      <c r="B420" s="190" t="str">
        <f t="shared" ca="1" si="590"/>
        <v>RL Capex 2019-20</v>
      </c>
      <c r="C420" s="1429"/>
      <c r="D420" s="1429"/>
      <c r="E420" s="1429"/>
      <c r="F420" s="1424"/>
      <c r="G420" s="1428">
        <f>G388</f>
        <v>0</v>
      </c>
      <c r="H420" s="1423">
        <f t="shared" si="574"/>
        <v>0</v>
      </c>
      <c r="I420" s="1423">
        <f t="shared" si="575"/>
        <v>0</v>
      </c>
      <c r="J420" s="1423">
        <f t="shared" si="576"/>
        <v>0</v>
      </c>
      <c r="K420" s="1423">
        <f t="shared" si="577"/>
        <v>0</v>
      </c>
      <c r="L420" s="1423">
        <f t="shared" si="578"/>
        <v>0</v>
      </c>
      <c r="M420" s="1423">
        <f t="shared" si="579"/>
        <v>0</v>
      </c>
      <c r="N420" s="1423">
        <f t="shared" si="580"/>
        <v>0</v>
      </c>
      <c r="O420" s="1423">
        <f t="shared" si="581"/>
        <v>0</v>
      </c>
      <c r="P420" s="1423">
        <f t="shared" si="582"/>
        <v>0</v>
      </c>
      <c r="Q420" s="1423">
        <f t="shared" si="583"/>
        <v>0</v>
      </c>
      <c r="R420" s="1423">
        <f t="shared" si="584"/>
        <v>0</v>
      </c>
      <c r="S420" s="1423">
        <f t="shared" si="585"/>
        <v>0</v>
      </c>
      <c r="T420" s="1423">
        <f t="shared" si="586"/>
        <v>0</v>
      </c>
      <c r="U420" s="1423">
        <f t="shared" si="587"/>
        <v>0</v>
      </c>
      <c r="V420" s="1423">
        <f t="shared" si="588"/>
        <v>0</v>
      </c>
      <c r="W420" s="1423">
        <f t="shared" si="589"/>
        <v>0</v>
      </c>
      <c r="X420" s="152"/>
      <c r="Y420" s="152"/>
      <c r="Z420" s="152"/>
      <c r="AA420" s="152"/>
      <c r="AB420" s="152"/>
    </row>
    <row r="421" spans="1:28" hidden="1" outlineLevel="1">
      <c r="A421" s="242"/>
      <c r="B421" s="190" t="str">
        <f t="shared" ca="1" si="590"/>
        <v>RL Capex 2020-21</v>
      </c>
      <c r="C421" s="1429"/>
      <c r="D421" s="1429"/>
      <c r="E421" s="1429"/>
      <c r="F421" s="1429"/>
      <c r="G421" s="1424"/>
      <c r="H421" s="1428">
        <f>H388</f>
        <v>0</v>
      </c>
      <c r="I421" s="1423">
        <f t="shared" si="575"/>
        <v>0</v>
      </c>
      <c r="J421" s="1423">
        <f t="shared" si="576"/>
        <v>0</v>
      </c>
      <c r="K421" s="1423">
        <f t="shared" si="577"/>
        <v>0</v>
      </c>
      <c r="L421" s="1423">
        <f t="shared" si="578"/>
        <v>0</v>
      </c>
      <c r="M421" s="1423">
        <f t="shared" si="579"/>
        <v>0</v>
      </c>
      <c r="N421" s="1423">
        <f t="shared" si="580"/>
        <v>0</v>
      </c>
      <c r="O421" s="1423">
        <f t="shared" si="581"/>
        <v>0</v>
      </c>
      <c r="P421" s="1423">
        <f t="shared" si="582"/>
        <v>0</v>
      </c>
      <c r="Q421" s="1423">
        <f t="shared" si="583"/>
        <v>0</v>
      </c>
      <c r="R421" s="1423">
        <f t="shared" si="584"/>
        <v>0</v>
      </c>
      <c r="S421" s="1423">
        <f t="shared" si="585"/>
        <v>0</v>
      </c>
      <c r="T421" s="1423">
        <f t="shared" si="586"/>
        <v>0</v>
      </c>
      <c r="U421" s="1423">
        <f t="shared" si="587"/>
        <v>0</v>
      </c>
      <c r="V421" s="1423">
        <f t="shared" si="588"/>
        <v>0</v>
      </c>
      <c r="W421" s="1423">
        <f t="shared" si="589"/>
        <v>0</v>
      </c>
      <c r="X421" s="152"/>
      <c r="Y421" s="152"/>
      <c r="Z421" s="152"/>
      <c r="AA421" s="152"/>
      <c r="AB421" s="152"/>
    </row>
    <row r="422" spans="1:28" hidden="1" outlineLevel="1">
      <c r="A422" s="242"/>
      <c r="B422" s="190" t="str">
        <f t="shared" ca="1" si="590"/>
        <v>RL Capex 2021-22</v>
      </c>
      <c r="C422" s="1429"/>
      <c r="D422" s="1429"/>
      <c r="E422" s="1429"/>
      <c r="F422" s="1429"/>
      <c r="G422" s="1429"/>
      <c r="H422" s="1424"/>
      <c r="I422" s="1428">
        <f>I388</f>
        <v>0</v>
      </c>
      <c r="J422" s="1423">
        <f t="shared" si="576"/>
        <v>0</v>
      </c>
      <c r="K422" s="1423">
        <f t="shared" si="577"/>
        <v>0</v>
      </c>
      <c r="L422" s="1423">
        <f t="shared" si="578"/>
        <v>0</v>
      </c>
      <c r="M422" s="1423">
        <f t="shared" si="579"/>
        <v>0</v>
      </c>
      <c r="N422" s="1423">
        <f t="shared" si="580"/>
        <v>0</v>
      </c>
      <c r="O422" s="1423">
        <f t="shared" si="581"/>
        <v>0</v>
      </c>
      <c r="P422" s="1423">
        <f t="shared" si="582"/>
        <v>0</v>
      </c>
      <c r="Q422" s="1423">
        <f t="shared" si="583"/>
        <v>0</v>
      </c>
      <c r="R422" s="1423">
        <f t="shared" si="584"/>
        <v>0</v>
      </c>
      <c r="S422" s="1423">
        <f t="shared" si="585"/>
        <v>0</v>
      </c>
      <c r="T422" s="1423">
        <f t="shared" si="586"/>
        <v>0</v>
      </c>
      <c r="U422" s="1423">
        <f t="shared" si="587"/>
        <v>0</v>
      </c>
      <c r="V422" s="1423">
        <f t="shared" si="588"/>
        <v>0</v>
      </c>
      <c r="W422" s="1423">
        <f t="shared" si="589"/>
        <v>0</v>
      </c>
      <c r="X422" s="152"/>
      <c r="Y422" s="152"/>
      <c r="Z422" s="152"/>
      <c r="AA422" s="152"/>
      <c r="AB422" s="152"/>
    </row>
    <row r="423" spans="1:28" hidden="1" outlineLevel="1">
      <c r="A423" s="242"/>
      <c r="B423" s="190" t="str">
        <f t="shared" ca="1" si="590"/>
        <v>RL Capex 2022-23</v>
      </c>
      <c r="C423" s="1429"/>
      <c r="D423" s="1429"/>
      <c r="E423" s="1429"/>
      <c r="F423" s="1429"/>
      <c r="G423" s="1429"/>
      <c r="H423" s="1429"/>
      <c r="I423" s="1424"/>
      <c r="J423" s="1428">
        <f>J388</f>
        <v>0</v>
      </c>
      <c r="K423" s="1423">
        <f t="shared" si="577"/>
        <v>0</v>
      </c>
      <c r="L423" s="1423">
        <f t="shared" si="578"/>
        <v>0</v>
      </c>
      <c r="M423" s="1423">
        <f t="shared" si="579"/>
        <v>0</v>
      </c>
      <c r="N423" s="1423">
        <f t="shared" si="580"/>
        <v>0</v>
      </c>
      <c r="O423" s="1423">
        <f t="shared" si="581"/>
        <v>0</v>
      </c>
      <c r="P423" s="1423">
        <f t="shared" si="582"/>
        <v>0</v>
      </c>
      <c r="Q423" s="1423">
        <f t="shared" si="583"/>
        <v>0</v>
      </c>
      <c r="R423" s="1423">
        <f t="shared" si="584"/>
        <v>0</v>
      </c>
      <c r="S423" s="1423">
        <f t="shared" si="585"/>
        <v>0</v>
      </c>
      <c r="T423" s="1423">
        <f t="shared" si="586"/>
        <v>0</v>
      </c>
      <c r="U423" s="1423">
        <f t="shared" si="587"/>
        <v>0</v>
      </c>
      <c r="V423" s="1423">
        <f t="shared" si="588"/>
        <v>0</v>
      </c>
      <c r="W423" s="1423">
        <f t="shared" si="589"/>
        <v>0</v>
      </c>
      <c r="X423" s="152"/>
      <c r="Y423" s="152"/>
      <c r="Z423" s="152"/>
      <c r="AA423" s="152"/>
      <c r="AB423" s="152"/>
    </row>
    <row r="424" spans="1:28" hidden="1" outlineLevel="1">
      <c r="A424" s="242"/>
      <c r="B424" s="190" t="str">
        <f t="shared" ca="1" si="590"/>
        <v>RL Capex 2023-24</v>
      </c>
      <c r="C424" s="1429"/>
      <c r="D424" s="1429"/>
      <c r="E424" s="1429"/>
      <c r="F424" s="1429"/>
      <c r="G424" s="1429"/>
      <c r="H424" s="1429"/>
      <c r="I424" s="1429"/>
      <c r="J424" s="1424"/>
      <c r="K424" s="1428">
        <f>K388</f>
        <v>0</v>
      </c>
      <c r="L424" s="1423">
        <f t="shared" si="578"/>
        <v>0</v>
      </c>
      <c r="M424" s="1423">
        <f t="shared" si="579"/>
        <v>0</v>
      </c>
      <c r="N424" s="1423">
        <f t="shared" si="580"/>
        <v>0</v>
      </c>
      <c r="O424" s="1423">
        <f t="shared" si="581"/>
        <v>0</v>
      </c>
      <c r="P424" s="1423">
        <f t="shared" si="582"/>
        <v>0</v>
      </c>
      <c r="Q424" s="1423">
        <f t="shared" si="583"/>
        <v>0</v>
      </c>
      <c r="R424" s="1423">
        <f t="shared" si="584"/>
        <v>0</v>
      </c>
      <c r="S424" s="1423">
        <f t="shared" si="585"/>
        <v>0</v>
      </c>
      <c r="T424" s="1423">
        <f t="shared" si="586"/>
        <v>0</v>
      </c>
      <c r="U424" s="1423">
        <f t="shared" si="587"/>
        <v>0</v>
      </c>
      <c r="V424" s="1423">
        <f t="shared" si="588"/>
        <v>0</v>
      </c>
      <c r="W424" s="1423">
        <f t="shared" si="589"/>
        <v>0</v>
      </c>
      <c r="X424" s="152"/>
      <c r="Y424" s="152"/>
      <c r="Z424" s="152"/>
      <c r="AA424" s="152"/>
      <c r="AB424" s="152"/>
    </row>
    <row r="425" spans="1:28" hidden="1" outlineLevel="1">
      <c r="A425" s="242"/>
      <c r="B425" s="190" t="str">
        <f t="shared" ca="1" si="590"/>
        <v>RL Capex 2024-25</v>
      </c>
      <c r="C425" s="1429"/>
      <c r="D425" s="1429"/>
      <c r="E425" s="1429"/>
      <c r="F425" s="1429"/>
      <c r="G425" s="1429"/>
      <c r="H425" s="1429"/>
      <c r="I425" s="1429"/>
      <c r="J425" s="1429"/>
      <c r="K425" s="1424"/>
      <c r="L425" s="1428">
        <f>L388</f>
        <v>0</v>
      </c>
      <c r="M425" s="1423">
        <f t="shared" si="579"/>
        <v>0</v>
      </c>
      <c r="N425" s="1423">
        <f t="shared" si="580"/>
        <v>0</v>
      </c>
      <c r="O425" s="1423">
        <f t="shared" si="581"/>
        <v>0</v>
      </c>
      <c r="P425" s="1423">
        <f t="shared" si="582"/>
        <v>0</v>
      </c>
      <c r="Q425" s="1423">
        <f t="shared" si="583"/>
        <v>0</v>
      </c>
      <c r="R425" s="1423">
        <f t="shared" si="584"/>
        <v>0</v>
      </c>
      <c r="S425" s="1423">
        <f t="shared" si="585"/>
        <v>0</v>
      </c>
      <c r="T425" s="1423">
        <f t="shared" si="586"/>
        <v>0</v>
      </c>
      <c r="U425" s="1423">
        <f t="shared" si="587"/>
        <v>0</v>
      </c>
      <c r="V425" s="1423">
        <f t="shared" si="588"/>
        <v>0</v>
      </c>
      <c r="W425" s="1423">
        <f t="shared" si="589"/>
        <v>0</v>
      </c>
      <c r="X425" s="152"/>
      <c r="Y425" s="152"/>
      <c r="Z425" s="152"/>
      <c r="AA425" s="152"/>
      <c r="AB425" s="152"/>
    </row>
    <row r="426" spans="1:28" hidden="1" outlineLevel="1">
      <c r="A426" s="242"/>
      <c r="B426" s="190" t="str">
        <f t="shared" ca="1" si="590"/>
        <v>RL Capex 2025-26</v>
      </c>
      <c r="C426" s="1429"/>
      <c r="D426" s="1429"/>
      <c r="E426" s="1429"/>
      <c r="F426" s="1429"/>
      <c r="G426" s="1429"/>
      <c r="H426" s="1429"/>
      <c r="I426" s="1429"/>
      <c r="J426" s="1429"/>
      <c r="K426" s="1429"/>
      <c r="L426" s="1424"/>
      <c r="M426" s="1428">
        <f>M388</f>
        <v>0</v>
      </c>
      <c r="N426" s="1423">
        <f t="shared" si="580"/>
        <v>0</v>
      </c>
      <c r="O426" s="1423">
        <f t="shared" si="581"/>
        <v>0</v>
      </c>
      <c r="P426" s="1423">
        <f t="shared" si="582"/>
        <v>0</v>
      </c>
      <c r="Q426" s="1423">
        <f t="shared" si="583"/>
        <v>0</v>
      </c>
      <c r="R426" s="1423">
        <f t="shared" si="584"/>
        <v>0</v>
      </c>
      <c r="S426" s="1423">
        <f t="shared" si="585"/>
        <v>0</v>
      </c>
      <c r="T426" s="1423">
        <f t="shared" si="586"/>
        <v>0</v>
      </c>
      <c r="U426" s="1423">
        <f t="shared" si="587"/>
        <v>0</v>
      </c>
      <c r="V426" s="1423">
        <f t="shared" si="588"/>
        <v>0</v>
      </c>
      <c r="W426" s="1423">
        <f t="shared" si="589"/>
        <v>0</v>
      </c>
      <c r="X426" s="152"/>
      <c r="Y426" s="152"/>
      <c r="Z426" s="152"/>
      <c r="AA426" s="152"/>
      <c r="AB426" s="152"/>
    </row>
    <row r="427" spans="1:28" hidden="1" outlineLevel="1">
      <c r="A427" s="242"/>
      <c r="B427" s="190" t="str">
        <f t="shared" ca="1" si="590"/>
        <v>RL Capex 2026-27</v>
      </c>
      <c r="C427" s="1429"/>
      <c r="D427" s="1429"/>
      <c r="E427" s="1429"/>
      <c r="F427" s="1429"/>
      <c r="G427" s="1429"/>
      <c r="H427" s="1429"/>
      <c r="I427" s="1429"/>
      <c r="J427" s="1429"/>
      <c r="K427" s="1429"/>
      <c r="L427" s="1429"/>
      <c r="M427" s="1424"/>
      <c r="N427" s="1428">
        <f>N388</f>
        <v>0</v>
      </c>
      <c r="O427" s="1423">
        <f t="shared" si="581"/>
        <v>0</v>
      </c>
      <c r="P427" s="1423">
        <f t="shared" si="582"/>
        <v>0</v>
      </c>
      <c r="Q427" s="1423">
        <f t="shared" si="583"/>
        <v>0</v>
      </c>
      <c r="R427" s="1423">
        <f t="shared" si="584"/>
        <v>0</v>
      </c>
      <c r="S427" s="1423">
        <f t="shared" si="585"/>
        <v>0</v>
      </c>
      <c r="T427" s="1423">
        <f t="shared" si="586"/>
        <v>0</v>
      </c>
      <c r="U427" s="1423">
        <f t="shared" si="587"/>
        <v>0</v>
      </c>
      <c r="V427" s="1423">
        <f t="shared" si="588"/>
        <v>0</v>
      </c>
      <c r="W427" s="1423">
        <f t="shared" si="589"/>
        <v>0</v>
      </c>
      <c r="X427" s="152"/>
      <c r="Y427" s="152"/>
      <c r="Z427" s="152"/>
      <c r="AA427" s="152"/>
      <c r="AB427" s="152"/>
    </row>
    <row r="428" spans="1:28" hidden="1" outlineLevel="1">
      <c r="A428" s="242"/>
      <c r="B428" s="190" t="str">
        <f t="shared" ca="1" si="590"/>
        <v>RL Capex 2027-28</v>
      </c>
      <c r="C428" s="1429"/>
      <c r="D428" s="1429"/>
      <c r="E428" s="1429"/>
      <c r="F428" s="1429"/>
      <c r="G428" s="1429"/>
      <c r="H428" s="1429"/>
      <c r="I428" s="1429"/>
      <c r="J428" s="1429"/>
      <c r="K428" s="1429"/>
      <c r="L428" s="1429"/>
      <c r="M428" s="1429"/>
      <c r="N428" s="1424"/>
      <c r="O428" s="1428">
        <f>O388</f>
        <v>0</v>
      </c>
      <c r="P428" s="1423">
        <f t="shared" si="582"/>
        <v>0</v>
      </c>
      <c r="Q428" s="1423">
        <f t="shared" si="583"/>
        <v>0</v>
      </c>
      <c r="R428" s="1423">
        <f t="shared" si="584"/>
        <v>0</v>
      </c>
      <c r="S428" s="1423">
        <f t="shared" si="585"/>
        <v>0</v>
      </c>
      <c r="T428" s="1423">
        <f t="shared" si="586"/>
        <v>0</v>
      </c>
      <c r="U428" s="1423">
        <f t="shared" si="587"/>
        <v>0</v>
      </c>
      <c r="V428" s="1423">
        <f t="shared" si="588"/>
        <v>0</v>
      </c>
      <c r="W428" s="1423">
        <f t="shared" si="589"/>
        <v>0</v>
      </c>
      <c r="X428" s="152"/>
      <c r="Y428" s="152"/>
      <c r="Z428" s="152"/>
      <c r="AA428" s="152"/>
      <c r="AB428" s="152"/>
    </row>
    <row r="429" spans="1:28" hidden="1" outlineLevel="1">
      <c r="A429" s="242"/>
      <c r="B429" s="190" t="str">
        <f t="shared" ca="1" si="590"/>
        <v>RL Capex 2028-29</v>
      </c>
      <c r="C429" s="1429"/>
      <c r="D429" s="1429"/>
      <c r="E429" s="1429"/>
      <c r="F429" s="1429"/>
      <c r="G429" s="1429"/>
      <c r="H429" s="1429"/>
      <c r="I429" s="1429"/>
      <c r="J429" s="1429"/>
      <c r="K429" s="1429"/>
      <c r="L429" s="1429"/>
      <c r="M429" s="1429"/>
      <c r="N429" s="1429"/>
      <c r="O429" s="1424"/>
      <c r="P429" s="1428">
        <f>P388</f>
        <v>0</v>
      </c>
      <c r="Q429" s="1423">
        <f t="shared" si="583"/>
        <v>0</v>
      </c>
      <c r="R429" s="1423">
        <f t="shared" si="584"/>
        <v>0</v>
      </c>
      <c r="S429" s="1423">
        <f t="shared" si="585"/>
        <v>0</v>
      </c>
      <c r="T429" s="1423">
        <f t="shared" si="586"/>
        <v>0</v>
      </c>
      <c r="U429" s="1423">
        <f t="shared" si="587"/>
        <v>0</v>
      </c>
      <c r="V429" s="1423">
        <f t="shared" si="588"/>
        <v>0</v>
      </c>
      <c r="W429" s="1423">
        <f t="shared" si="589"/>
        <v>0</v>
      </c>
      <c r="X429" s="152"/>
      <c r="Y429" s="152"/>
      <c r="Z429" s="152"/>
      <c r="AA429" s="152"/>
      <c r="AB429" s="152"/>
    </row>
    <row r="430" spans="1:28" hidden="1" outlineLevel="1">
      <c r="A430" s="242"/>
      <c r="B430" s="190" t="str">
        <f t="shared" ca="1" si="590"/>
        <v>RL Capex 2029-30</v>
      </c>
      <c r="C430" s="1429"/>
      <c r="D430" s="1429"/>
      <c r="E430" s="1429"/>
      <c r="F430" s="1429"/>
      <c r="G430" s="1429"/>
      <c r="H430" s="1429"/>
      <c r="I430" s="1429"/>
      <c r="J430" s="1429"/>
      <c r="K430" s="1429"/>
      <c r="L430" s="1429"/>
      <c r="M430" s="1429"/>
      <c r="N430" s="1429"/>
      <c r="O430" s="1429"/>
      <c r="P430" s="1424"/>
      <c r="Q430" s="1428">
        <f>Q388</f>
        <v>0</v>
      </c>
      <c r="R430" s="1423">
        <f t="shared" si="584"/>
        <v>0</v>
      </c>
      <c r="S430" s="1423">
        <f t="shared" si="585"/>
        <v>0</v>
      </c>
      <c r="T430" s="1423">
        <f t="shared" si="586"/>
        <v>0</v>
      </c>
      <c r="U430" s="1423">
        <f t="shared" si="587"/>
        <v>0</v>
      </c>
      <c r="V430" s="1423">
        <f t="shared" si="588"/>
        <v>0</v>
      </c>
      <c r="W430" s="1423">
        <f t="shared" si="589"/>
        <v>0</v>
      </c>
      <c r="X430" s="152"/>
      <c r="Y430" s="152"/>
      <c r="Z430" s="152"/>
      <c r="AA430" s="152"/>
      <c r="AB430" s="152"/>
    </row>
    <row r="431" spans="1:28" hidden="1" outlineLevel="1">
      <c r="A431" s="242"/>
      <c r="B431" s="190" t="str">
        <f t="shared" ca="1" si="590"/>
        <v>RL Capex 2030-31</v>
      </c>
      <c r="C431" s="1429"/>
      <c r="D431" s="1429"/>
      <c r="E431" s="1429"/>
      <c r="F431" s="1429"/>
      <c r="G431" s="1429"/>
      <c r="H431" s="1429"/>
      <c r="I431" s="1429"/>
      <c r="J431" s="1429"/>
      <c r="K431" s="1429"/>
      <c r="L431" s="1429"/>
      <c r="M431" s="1429"/>
      <c r="N431" s="1429"/>
      <c r="O431" s="1429"/>
      <c r="P431" s="1429"/>
      <c r="Q431" s="1424"/>
      <c r="R431" s="1428">
        <f>R388</f>
        <v>0</v>
      </c>
      <c r="S431" s="1423">
        <f t="shared" si="585"/>
        <v>0</v>
      </c>
      <c r="T431" s="1423">
        <f t="shared" si="586"/>
        <v>0</v>
      </c>
      <c r="U431" s="1423">
        <f t="shared" si="587"/>
        <v>0</v>
      </c>
      <c r="V431" s="1423">
        <f t="shared" si="588"/>
        <v>0</v>
      </c>
      <c r="W431" s="1423">
        <f t="shared" si="589"/>
        <v>0</v>
      </c>
      <c r="X431" s="152"/>
      <c r="Y431" s="152"/>
      <c r="Z431" s="152"/>
      <c r="AA431" s="152"/>
      <c r="AB431" s="152"/>
    </row>
    <row r="432" spans="1:28" hidden="1" outlineLevel="1">
      <c r="A432" s="242"/>
      <c r="B432" s="190" t="str">
        <f t="shared" ca="1" si="590"/>
        <v>RL Capex 2031-32</v>
      </c>
      <c r="C432" s="1429"/>
      <c r="D432" s="1429"/>
      <c r="E432" s="1429"/>
      <c r="F432" s="1429"/>
      <c r="G432" s="1429"/>
      <c r="H432" s="1429"/>
      <c r="I432" s="1429"/>
      <c r="J432" s="1429"/>
      <c r="K432" s="1429"/>
      <c r="L432" s="1429"/>
      <c r="M432" s="1429"/>
      <c r="N432" s="1429"/>
      <c r="O432" s="1429"/>
      <c r="P432" s="1429"/>
      <c r="Q432" s="1429"/>
      <c r="R432" s="1424"/>
      <c r="S432" s="1428">
        <f>S388</f>
        <v>0</v>
      </c>
      <c r="T432" s="1423">
        <f t="shared" si="586"/>
        <v>0</v>
      </c>
      <c r="U432" s="1423">
        <f t="shared" si="587"/>
        <v>0</v>
      </c>
      <c r="V432" s="1423">
        <f t="shared" si="588"/>
        <v>0</v>
      </c>
      <c r="W432" s="1423">
        <f t="shared" si="589"/>
        <v>0</v>
      </c>
      <c r="X432" s="152"/>
      <c r="Y432" s="152"/>
      <c r="Z432" s="152"/>
      <c r="AA432" s="152"/>
      <c r="AB432" s="152"/>
    </row>
    <row r="433" spans="1:28" hidden="1" outlineLevel="1">
      <c r="A433" s="242"/>
      <c r="B433" s="190" t="str">
        <f t="shared" ca="1" si="590"/>
        <v>RL Capex 2032-33</v>
      </c>
      <c r="C433" s="1429"/>
      <c r="D433" s="1429"/>
      <c r="E433" s="1429"/>
      <c r="F433" s="1429"/>
      <c r="G433" s="1429"/>
      <c r="H433" s="1429"/>
      <c r="I433" s="1429"/>
      <c r="J433" s="1429"/>
      <c r="K433" s="1429"/>
      <c r="L433" s="1429"/>
      <c r="M433" s="1429"/>
      <c r="N433" s="1429"/>
      <c r="O433" s="1429"/>
      <c r="P433" s="1429"/>
      <c r="Q433" s="1429"/>
      <c r="R433" s="1429"/>
      <c r="S433" s="1424"/>
      <c r="T433" s="1428">
        <f>T388</f>
        <v>0</v>
      </c>
      <c r="U433" s="1423">
        <f t="shared" si="587"/>
        <v>0</v>
      </c>
      <c r="V433" s="1423">
        <f t="shared" si="588"/>
        <v>0</v>
      </c>
      <c r="W433" s="1423">
        <f t="shared" si="589"/>
        <v>0</v>
      </c>
      <c r="X433" s="152"/>
      <c r="Y433" s="152"/>
      <c r="Z433" s="152"/>
      <c r="AA433" s="152"/>
      <c r="AB433" s="152"/>
    </row>
    <row r="434" spans="1:28" hidden="1" outlineLevel="1">
      <c r="A434" s="242"/>
      <c r="B434" s="190" t="str">
        <f t="shared" ca="1" si="590"/>
        <v>RL Capex 2033-34</v>
      </c>
      <c r="C434" s="1429"/>
      <c r="D434" s="1429"/>
      <c r="E434" s="1429"/>
      <c r="F434" s="1429"/>
      <c r="G434" s="1429"/>
      <c r="H434" s="1429"/>
      <c r="I434" s="1429"/>
      <c r="J434" s="1429"/>
      <c r="K434" s="1429"/>
      <c r="L434" s="1429"/>
      <c r="M434" s="1429"/>
      <c r="N434" s="1429"/>
      <c r="O434" s="1429"/>
      <c r="P434" s="1429"/>
      <c r="Q434" s="1429"/>
      <c r="R434" s="1429"/>
      <c r="S434" s="1429"/>
      <c r="T434" s="1424"/>
      <c r="U434" s="1428">
        <f>U388</f>
        <v>0</v>
      </c>
      <c r="V434" s="1423">
        <f t="shared" si="588"/>
        <v>0</v>
      </c>
      <c r="W434" s="1423">
        <f t="shared" si="589"/>
        <v>0</v>
      </c>
      <c r="X434" s="152"/>
      <c r="Y434" s="152"/>
      <c r="Z434" s="152"/>
      <c r="AA434" s="152"/>
      <c r="AB434" s="152"/>
    </row>
    <row r="435" spans="1:28" hidden="1" outlineLevel="1">
      <c r="A435" s="242"/>
      <c r="B435" s="190" t="str">
        <f t="shared" ca="1" si="590"/>
        <v>RL Capex 2034-35</v>
      </c>
      <c r="C435" s="1429"/>
      <c r="D435" s="1429"/>
      <c r="E435" s="1429"/>
      <c r="F435" s="1429"/>
      <c r="G435" s="1429"/>
      <c r="H435" s="1429"/>
      <c r="I435" s="1429"/>
      <c r="J435" s="1429"/>
      <c r="K435" s="1429"/>
      <c r="L435" s="1429"/>
      <c r="M435" s="1429"/>
      <c r="N435" s="1429"/>
      <c r="O435" s="1429"/>
      <c r="P435" s="1429"/>
      <c r="Q435" s="1429"/>
      <c r="R435" s="1429"/>
      <c r="S435" s="1429"/>
      <c r="T435" s="1429"/>
      <c r="U435" s="1424"/>
      <c r="V435" s="1428">
        <f>V388</f>
        <v>0</v>
      </c>
      <c r="W435" s="1423">
        <f>IF(V435="n/a","n/a",MAX(0,V435-1))</f>
        <v>0</v>
      </c>
      <c r="X435" s="152"/>
      <c r="Y435" s="152"/>
      <c r="Z435" s="152"/>
      <c r="AA435" s="152"/>
      <c r="AB435" s="152"/>
    </row>
    <row r="436" spans="1:28" hidden="1" outlineLevel="1">
      <c r="A436" s="242"/>
      <c r="B436" s="190" t="str">
        <f t="shared" ca="1" si="590"/>
        <v>RL Capex 2035-36</v>
      </c>
      <c r="C436" s="1429"/>
      <c r="D436" s="1429"/>
      <c r="E436" s="1429"/>
      <c r="F436" s="1429"/>
      <c r="G436" s="1429"/>
      <c r="H436" s="1429"/>
      <c r="I436" s="1429"/>
      <c r="J436" s="1429"/>
      <c r="K436" s="1429"/>
      <c r="L436" s="1429"/>
      <c r="M436" s="1429"/>
      <c r="N436" s="1429"/>
      <c r="O436" s="1429"/>
      <c r="P436" s="1429"/>
      <c r="Q436" s="1429"/>
      <c r="R436" s="1429"/>
      <c r="S436" s="1429"/>
      <c r="T436" s="1429"/>
      <c r="U436" s="1429"/>
      <c r="V436" s="1424"/>
      <c r="W436" s="1423">
        <f>W388</f>
        <v>0</v>
      </c>
      <c r="X436" s="152"/>
      <c r="Y436" s="152"/>
      <c r="Z436" s="152"/>
      <c r="AA436" s="152"/>
      <c r="AB436" s="152"/>
    </row>
    <row r="437" spans="1:28" hidden="1" outlineLevel="1">
      <c r="A437" s="242"/>
      <c r="B437" s="200"/>
      <c r="C437" s="1423"/>
      <c r="D437" s="1423"/>
      <c r="E437" s="1423"/>
      <c r="F437" s="1423"/>
      <c r="G437" s="1423"/>
      <c r="H437" s="1423"/>
      <c r="I437" s="1423"/>
      <c r="J437" s="1423"/>
      <c r="K437" s="1423"/>
      <c r="L437" s="1423"/>
      <c r="M437" s="1423"/>
      <c r="N437" s="1423"/>
      <c r="O437" s="1423"/>
      <c r="P437" s="1423"/>
      <c r="Q437" s="1423"/>
      <c r="R437" s="1423"/>
      <c r="S437" s="1423"/>
      <c r="T437" s="1423"/>
      <c r="U437" s="1423"/>
      <c r="V437" s="1423"/>
      <c r="W437" s="1423"/>
      <c r="X437" s="152"/>
      <c r="Y437" s="152"/>
      <c r="Z437" s="152"/>
      <c r="AA437" s="152"/>
      <c r="AB437" s="152"/>
    </row>
    <row r="438" spans="1:28" collapsed="1">
      <c r="A438" s="246"/>
      <c r="B438" s="204" t="s">
        <v>123</v>
      </c>
      <c r="C438" s="1430">
        <f ca="1">(IF(OR($C388&lt;&gt;"n/a",C388&lt;&gt;"n/a"),IF(SUM(C391:C413)=0,0,IF((SUMPRODUCT(C391:C413,C415:C437)/SUM(C391:C413))&lt;0,1,(SUMPRODUCT(C391:C413,C415:C437)/SUM(C391:C413)))),"n/a"))</f>
        <v>0</v>
      </c>
      <c r="D438" s="1430">
        <f ca="1">(IF(OR($C388&lt;&gt;"n/a",D388&lt;&gt;"n/a"),IF(SUM(D391:D413)=0,0,IF((SUMPRODUCT(D391:D413,D415:D437)/SUM(D391:D413))&lt;0,1,(SUMPRODUCT(D391:D413,D415:D437)/SUM(D391:D413)))),"n/a"))</f>
        <v>0</v>
      </c>
      <c r="E438" s="1430">
        <f t="shared" ref="E438:W438" ca="1" si="591">(IF(OR($C388&lt;&gt;"n/a",E388&lt;&gt;"n/a"),IF(SUM(E391:E413)=0,0,IF((SUMPRODUCT(E391:E413,E415:E437)/SUM(E391:E413))&lt;0,1,(SUMPRODUCT(E391:E413,E415:E437)/SUM(E391:E413)))),"n/a"))</f>
        <v>0</v>
      </c>
      <c r="F438" s="1430">
        <f t="shared" ca="1" si="591"/>
        <v>0</v>
      </c>
      <c r="G438" s="1430">
        <f t="shared" ca="1" si="591"/>
        <v>0</v>
      </c>
      <c r="H438" s="1430">
        <f t="shared" ca="1" si="591"/>
        <v>0</v>
      </c>
      <c r="I438" s="1430">
        <f t="shared" ca="1" si="591"/>
        <v>0</v>
      </c>
      <c r="J438" s="1430">
        <f t="shared" ca="1" si="591"/>
        <v>0</v>
      </c>
      <c r="K438" s="1430">
        <f t="shared" ca="1" si="591"/>
        <v>0</v>
      </c>
      <c r="L438" s="1430">
        <f t="shared" ca="1" si="591"/>
        <v>0</v>
      </c>
      <c r="M438" s="1430">
        <f t="shared" ca="1" si="591"/>
        <v>0</v>
      </c>
      <c r="N438" s="1430">
        <f t="shared" ca="1" si="591"/>
        <v>0</v>
      </c>
      <c r="O438" s="1430">
        <f t="shared" ca="1" si="591"/>
        <v>0</v>
      </c>
      <c r="P438" s="1430">
        <f t="shared" ca="1" si="591"/>
        <v>0</v>
      </c>
      <c r="Q438" s="1430">
        <f t="shared" ca="1" si="591"/>
        <v>0</v>
      </c>
      <c r="R438" s="1430">
        <f t="shared" ca="1" si="591"/>
        <v>0</v>
      </c>
      <c r="S438" s="1430">
        <f t="shared" ca="1" si="591"/>
        <v>0</v>
      </c>
      <c r="T438" s="1430">
        <f t="shared" ca="1" si="591"/>
        <v>0</v>
      </c>
      <c r="U438" s="1430">
        <f t="shared" ca="1" si="591"/>
        <v>0</v>
      </c>
      <c r="V438" s="1430">
        <f t="shared" ca="1" si="591"/>
        <v>0</v>
      </c>
      <c r="W438" s="1430">
        <f t="shared" ca="1" si="591"/>
        <v>0</v>
      </c>
      <c r="X438" s="152"/>
      <c r="Y438" s="152"/>
      <c r="Z438" s="152"/>
      <c r="AA438" s="152"/>
      <c r="AB438" s="152"/>
    </row>
    <row r="439" spans="1:28">
      <c r="A439" s="242"/>
      <c r="B439" s="152"/>
      <c r="C439" s="1423"/>
      <c r="D439" s="1423"/>
      <c r="E439" s="1423"/>
      <c r="F439" s="1423"/>
      <c r="G439" s="1423"/>
      <c r="H439" s="1423"/>
      <c r="I439" s="1423"/>
      <c r="J439" s="1423"/>
      <c r="K439" s="1423"/>
      <c r="L439" s="1423"/>
      <c r="M439" s="1423"/>
      <c r="N439" s="1423"/>
      <c r="O439" s="1423"/>
      <c r="P439" s="1423"/>
      <c r="Q439" s="1423"/>
      <c r="R439" s="1423"/>
      <c r="S439" s="1423"/>
      <c r="T439" s="1423"/>
      <c r="U439" s="1423"/>
      <c r="V439" s="1423"/>
      <c r="W439" s="1423"/>
      <c r="X439" s="152"/>
      <c r="Y439" s="152"/>
      <c r="Z439" s="152"/>
      <c r="AA439" s="152"/>
      <c r="AB439" s="152"/>
    </row>
    <row r="440" spans="1:28">
      <c r="A440" s="269" t="s">
        <v>9</v>
      </c>
      <c r="B440" s="270">
        <f>VLOOKUP($A440,'RFM input'!$E$7:$F$56,2,FALSE)</f>
        <v>0</v>
      </c>
      <c r="C440" s="1431"/>
      <c r="D440" s="1431"/>
      <c r="E440" s="1432"/>
      <c r="F440" s="1432"/>
      <c r="G440" s="1432"/>
      <c r="H440" s="1432"/>
      <c r="I440" s="1432"/>
      <c r="J440" s="1432"/>
      <c r="K440" s="1432"/>
      <c r="L440" s="1432"/>
      <c r="M440" s="1432"/>
      <c r="N440" s="1432"/>
      <c r="O440" s="1432"/>
      <c r="P440" s="1432"/>
      <c r="Q440" s="1432"/>
      <c r="R440" s="1432"/>
      <c r="S440" s="1432"/>
      <c r="T440" s="1432"/>
      <c r="U440" s="1432"/>
      <c r="V440" s="1432"/>
      <c r="W440" s="1432"/>
      <c r="X440" s="152"/>
      <c r="Y440" s="152"/>
      <c r="Z440" s="152"/>
      <c r="AA440" s="152"/>
      <c r="AB440" s="152"/>
    </row>
    <row r="441" spans="1:28">
      <c r="A441" s="215">
        <f>VALUE(REPLACE(A440,1,12,""))</f>
        <v>9</v>
      </c>
      <c r="B441" s="263" t="s">
        <v>126</v>
      </c>
      <c r="C441" s="1416">
        <f ca="1">IF($D$6='TAB roll forward'!$H$4,OFFSET('TAB roll forward'!$H$7,A441,0),"enter input")</f>
        <v>0</v>
      </c>
      <c r="D441" s="1417">
        <f>IF(LEFT(D$6,4)&lt;LEFT('RFM input'!$G$60,4),"enter input",IF(LEFT(D$6,4)&gt;LEFT('RFM input'!$Q$60,4),0,
INDEX('RFM input'!$G$61:$Q$110,$A441,MATCH(D$6,'RFM input'!$G$60:$Q$60,0))
   -INDEX('RFM input'!$G$115:$Q$164,$A441,MATCH(D$6,'RFM input'!$G$60:$Q$60,0))))</f>
        <v>0</v>
      </c>
      <c r="E441" s="1417">
        <f>IF(LEFT(E$6,4)&lt;LEFT('RFM input'!$G$60,4),"enter input",IF(LEFT(E$6,4)&gt;LEFT('RFM input'!$Q$60,4),0,
INDEX('RFM input'!$G$61:$Q$110,$A441,MATCH(E$6,'RFM input'!$G$60:$Q$60,0))
   -INDEX('RFM input'!$G$115:$Q$164,$A441,MATCH(E$6,'RFM input'!$G$60:$Q$60,0))))</f>
        <v>0</v>
      </c>
      <c r="F441" s="1417">
        <f>IF(LEFT(F$6,4)&lt;LEFT('RFM input'!$G$60,4),"enter input",IF(LEFT(F$6,4)&gt;LEFT('RFM input'!$Q$60,4),0,
INDEX('RFM input'!$G$61:$Q$110,$A441,MATCH(F$6,'RFM input'!$G$60:$Q$60,0))
   -INDEX('RFM input'!$G$115:$Q$164,$A441,MATCH(F$6,'RFM input'!$G$60:$Q$60,0))))</f>
        <v>0</v>
      </c>
      <c r="G441" s="1417">
        <f>IF(LEFT(G$6,4)&lt;LEFT('RFM input'!$G$60,4),"enter input",IF(LEFT(G$6,4)&gt;LEFT('RFM input'!$Q$60,4),0,
INDEX('RFM input'!$G$61:$Q$110,$A441,MATCH(G$6,'RFM input'!$G$60:$Q$60,0))
   -INDEX('RFM input'!$G$115:$Q$164,$A441,MATCH(G$6,'RFM input'!$G$60:$Q$60,0))))</f>
        <v>0</v>
      </c>
      <c r="H441" s="1417">
        <f>IF(LEFT(H$6,4)&lt;LEFT('RFM input'!$G$60,4),"enter input",IF(LEFT(H$6,4)&gt;LEFT('RFM input'!$Q$60,4),0,
INDEX('RFM input'!$G$61:$Q$110,$A441,MATCH(H$6,'RFM input'!$G$60:$Q$60,0))
   -INDEX('RFM input'!$G$115:$Q$164,$A441,MATCH(H$6,'RFM input'!$G$60:$Q$60,0))))</f>
        <v>0</v>
      </c>
      <c r="I441" s="1417">
        <f>IF(LEFT(I$6,4)&lt;LEFT('RFM input'!$G$60,4),"enter input",IF(LEFT(I$6,4)&gt;LEFT('RFM input'!$Q$60,4),0,
INDEX('RFM input'!$G$61:$Q$110,$A441,MATCH(I$6,'RFM input'!$G$60:$Q$60,0))
   -INDEX('RFM input'!$G$115:$Q$164,$A441,MATCH(I$6,'RFM input'!$G$60:$Q$60,0))))</f>
        <v>0</v>
      </c>
      <c r="J441" s="1417">
        <f>IF(LEFT(J$6,4)&lt;LEFT('RFM input'!$G$60,4),"enter input",IF(LEFT(J$6,4)&gt;LEFT('RFM input'!$Q$60,4),0,
INDEX('RFM input'!$G$61:$Q$110,$A441,MATCH(J$6,'RFM input'!$G$60:$Q$60,0))
   -INDEX('RFM input'!$G$115:$Q$164,$A441,MATCH(J$6,'RFM input'!$G$60:$Q$60,0))))</f>
        <v>0</v>
      </c>
      <c r="K441" s="1417">
        <f>IF(LEFT(K$6,4)&lt;LEFT('RFM input'!$G$60,4),"enter input",IF(LEFT(K$6,4)&gt;LEFT('RFM input'!$Q$60,4),0,
INDEX('RFM input'!$G$61:$Q$110,$A441,MATCH(K$6,'RFM input'!$G$60:$Q$60,0))
   -INDEX('RFM input'!$G$115:$Q$164,$A441,MATCH(K$6,'RFM input'!$G$60:$Q$60,0))))</f>
        <v>0</v>
      </c>
      <c r="L441" s="1417">
        <f>IF(LEFT(L$6,4)&lt;LEFT('RFM input'!$G$60,4),"enter input",IF(LEFT(L$6,4)&gt;LEFT('RFM input'!$Q$60,4),0,
INDEX('RFM input'!$G$61:$Q$110,$A441,MATCH(L$6,'RFM input'!$G$60:$Q$60,0))
   -INDEX('RFM input'!$G$115:$Q$164,$A441,MATCH(L$6,'RFM input'!$G$60:$Q$60,0))))</f>
        <v>0</v>
      </c>
      <c r="M441" s="1417">
        <f>IF(LEFT(M$6,4)&lt;LEFT('RFM input'!$G$60,4),"enter input",IF(LEFT(M$6,4)&gt;LEFT('RFM input'!$Q$60,4),0,
INDEX('RFM input'!$G$61:$Q$110,$A441,MATCH(M$6,'RFM input'!$G$60:$Q$60,0))
   -INDEX('RFM input'!$G$115:$Q$164,$A441,MATCH(M$6,'RFM input'!$G$60:$Q$60,0))))</f>
        <v>0</v>
      </c>
      <c r="N441" s="1417">
        <f>IF(LEFT(N$6,4)&lt;LEFT('RFM input'!$G$60,4),"enter input",IF(LEFT(N$6,4)&gt;LEFT('RFM input'!$Q$60,4),0,
INDEX('RFM input'!$G$61:$Q$110,$A441,MATCH(N$6,'RFM input'!$G$60:$Q$60,0))
   -INDEX('RFM input'!$G$115:$Q$164,$A441,MATCH(N$6,'RFM input'!$G$60:$Q$60,0))))</f>
        <v>0</v>
      </c>
      <c r="O441" s="1417">
        <f>IF(LEFT(O$6,4)&lt;LEFT('RFM input'!$G$60,4),"enter input",IF(LEFT(O$6,4)&gt;LEFT('RFM input'!$Q$60,4),0,
INDEX('RFM input'!$G$61:$Q$110,$A441,MATCH(O$6,'RFM input'!$G$60:$Q$60,0))
   -INDEX('RFM input'!$G$115:$Q$164,$A441,MATCH(O$6,'RFM input'!$G$60:$Q$60,0))))</f>
        <v>0</v>
      </c>
      <c r="P441" s="1417">
        <f>IF(LEFT(P$6,4)&lt;LEFT('RFM input'!$G$60,4),"enter input",IF(LEFT(P$6,4)&gt;LEFT('RFM input'!$Q$60,4),0,
INDEX('RFM input'!$G$61:$Q$110,$A441,MATCH(P$6,'RFM input'!$G$60:$Q$60,0))
   -INDEX('RFM input'!$G$115:$Q$164,$A441,MATCH(P$6,'RFM input'!$G$60:$Q$60,0))))</f>
        <v>0</v>
      </c>
      <c r="Q441" s="1417">
        <f>IF(LEFT(Q$6,4)&lt;LEFT('RFM input'!$G$60,4),"enter input",IF(LEFT(Q$6,4)&gt;LEFT('RFM input'!$Q$60,4),0,
INDEX('RFM input'!$G$61:$Q$110,$A441,MATCH(Q$6,'RFM input'!$G$60:$Q$60,0))
   -INDEX('RFM input'!$G$115:$Q$164,$A441,MATCH(Q$6,'RFM input'!$G$60:$Q$60,0))))</f>
        <v>0</v>
      </c>
      <c r="R441" s="1417">
        <f>IF(LEFT(R$6,4)&lt;LEFT('RFM input'!$G$60,4),"enter input",IF(LEFT(R$6,4)&gt;LEFT('RFM input'!$Q$60,4),0,
INDEX('RFM input'!$G$61:$Q$110,$A441,MATCH(R$6,'RFM input'!$G$60:$Q$60,0))
   -INDEX('RFM input'!$G$115:$Q$164,$A441,MATCH(R$6,'RFM input'!$G$60:$Q$60,0))))</f>
        <v>0</v>
      </c>
      <c r="S441" s="1417">
        <f>IF(LEFT(S$6,4)&lt;LEFT('RFM input'!$G$60,4),"enter input",IF(LEFT(S$6,4)&gt;LEFT('RFM input'!$Q$60,4),0,
INDEX('RFM input'!$G$61:$Q$110,$A441,MATCH(S$6,'RFM input'!$G$60:$Q$60,0))
   -INDEX('RFM input'!$G$115:$Q$164,$A441,MATCH(S$6,'RFM input'!$G$60:$Q$60,0))))</f>
        <v>0</v>
      </c>
      <c r="T441" s="1417">
        <f>IF(LEFT(T$6,4)&lt;LEFT('RFM input'!$G$60,4),"enter input",IF(LEFT(T$6,4)&gt;LEFT('RFM input'!$Q$60,4),0,
INDEX('RFM input'!$G$61:$Q$110,$A441,MATCH(T$6,'RFM input'!$G$60:$Q$60,0))
   -INDEX('RFM input'!$G$115:$Q$164,$A441,MATCH(T$6,'RFM input'!$G$60:$Q$60,0))))</f>
        <v>0</v>
      </c>
      <c r="U441" s="1417">
        <f>IF(LEFT(U$6,4)&lt;LEFT('RFM input'!$G$60,4),"enter input",IF(LEFT(U$6,4)&gt;LEFT('RFM input'!$Q$60,4),0,
INDEX('RFM input'!$G$61:$Q$110,$A441,MATCH(U$6,'RFM input'!$G$60:$Q$60,0))
   -INDEX('RFM input'!$G$115:$Q$164,$A441,MATCH(U$6,'RFM input'!$G$60:$Q$60,0))))</f>
        <v>0</v>
      </c>
      <c r="V441" s="1417">
        <f>IF(LEFT(V$6,4)&lt;LEFT('RFM input'!$G$60,4),"enter input",IF(LEFT(V$6,4)&gt;LEFT('RFM input'!$Q$60,4),0,
INDEX('RFM input'!$G$61:$Q$110,$A441,MATCH(V$6,'RFM input'!$G$60:$Q$60,0))
   -INDEX('RFM input'!$G$115:$Q$164,$A441,MATCH(V$6,'RFM input'!$G$60:$Q$60,0))))</f>
        <v>0</v>
      </c>
      <c r="W441" s="1417">
        <f>IF(LEFT(W$6,4)&lt;LEFT('RFM input'!$G$60,4),"enter input",IF(LEFT(W$6,4)&gt;LEFT('RFM input'!$Q$60,4),0,
INDEX('RFM input'!$G$61:$Q$110,$A441,MATCH(W$6,'RFM input'!$G$60:$Q$60,0))
   -INDEX('RFM input'!$G$115:$Q$164,$A441,MATCH(W$6,'RFM input'!$G$60:$Q$60,0))))</f>
        <v>0</v>
      </c>
      <c r="X441" s="152"/>
      <c r="Y441" s="152"/>
      <c r="Z441" s="152"/>
      <c r="AA441" s="152"/>
      <c r="AB441" s="152"/>
    </row>
    <row r="442" spans="1:28">
      <c r="A442" s="242"/>
      <c r="B442" s="152" t="s">
        <v>205</v>
      </c>
      <c r="C442" s="1418">
        <f ca="1">IF($D$6='TAB roll forward'!$H$4,OFFSET('RFM input'!$S$6,$A441,0),"enter input")</f>
        <v>0</v>
      </c>
      <c r="D442" s="1417">
        <f>IF(LEFT(D$6,4)&lt;=LEFT('RFM input'!$G$60,4),"enter input",IF(LEFT(D$6,4)&gt;LEFT('RFM input'!$Q$60,4),0,
IF(MATCH(D$6,'RFM input'!$H$60:$Q$60,0),INDEX('RFM input'!$T$7:$T$56,$A441,1,1))))</f>
        <v>0</v>
      </c>
      <c r="E442" s="1417">
        <f>IF(LEFT(E$6,4)&lt;=LEFT('RFM input'!$G$60,4),"enter input",IF(LEFT(E$6,4)&gt;LEFT('RFM input'!$Q$60,4),0,
IF(MATCH(E$6,'RFM input'!$H$60:$Q$60,0),INDEX('RFM input'!$T$7:$T$56,$A441,1,1))))</f>
        <v>0</v>
      </c>
      <c r="F442" s="1417">
        <f>IF(LEFT(F$6,4)&lt;=LEFT('RFM input'!$G$60,4),"enter input",IF(LEFT(F$6,4)&gt;LEFT('RFM input'!$Q$60,4),0,
IF(MATCH(F$6,'RFM input'!$H$60:$Q$60,0),INDEX('RFM input'!$T$7:$T$56,$A441,1,1))))</f>
        <v>0</v>
      </c>
      <c r="G442" s="1417">
        <f>IF(LEFT(G$6,4)&lt;=LEFT('RFM input'!$G$60,4),"enter input",IF(LEFT(G$6,4)&gt;LEFT('RFM input'!$Q$60,4),0,
IF(MATCH(G$6,'RFM input'!$H$60:$Q$60,0),INDEX('RFM input'!$T$7:$T$56,$A441,1,1))))</f>
        <v>0</v>
      </c>
      <c r="H442" s="1417">
        <f>IF(LEFT(H$6,4)&lt;=LEFT('RFM input'!$G$60,4),"enter input",IF(LEFT(H$6,4)&gt;LEFT('RFM input'!$Q$60,4),0,
IF(MATCH(H$6,'RFM input'!$H$60:$Q$60,0),INDEX('RFM input'!$T$7:$T$56,$A441,1,1))))</f>
        <v>0</v>
      </c>
      <c r="I442" s="1417">
        <f>IF(LEFT(I$6,4)&lt;=LEFT('RFM input'!$G$60,4),"enter input",IF(LEFT(I$6,4)&gt;LEFT('RFM input'!$Q$60,4),0,
IF(MATCH(I$6,'RFM input'!$H$60:$Q$60,0),INDEX('RFM input'!$T$7:$T$56,$A441,1,1))))</f>
        <v>0</v>
      </c>
      <c r="J442" s="1417">
        <f>IF(LEFT(J$6,4)&lt;=LEFT('RFM input'!$G$60,4),"enter input",IF(LEFT(J$6,4)&gt;LEFT('RFM input'!$Q$60,4),0,
IF(MATCH(J$6,'RFM input'!$H$60:$Q$60,0),INDEX('RFM input'!$T$7:$T$56,$A441,1,1))))</f>
        <v>0</v>
      </c>
      <c r="K442" s="1417">
        <f>IF(LEFT(K$6,4)&lt;=LEFT('RFM input'!$G$60,4),"enter input",IF(LEFT(K$6,4)&gt;LEFT('RFM input'!$Q$60,4),0,
IF(MATCH(K$6,'RFM input'!$H$60:$Q$60,0),INDEX('RFM input'!$T$7:$T$56,$A441,1,1))))</f>
        <v>0</v>
      </c>
      <c r="L442" s="1417">
        <f>IF(LEFT(L$6,4)&lt;=LEFT('RFM input'!$G$60,4),"enter input",IF(LEFT(L$6,4)&gt;LEFT('RFM input'!$Q$60,4),0,
IF(MATCH(L$6,'RFM input'!$H$60:$Q$60,0),INDEX('RFM input'!$T$7:$T$56,$A441,1,1))))</f>
        <v>0</v>
      </c>
      <c r="M442" s="1417">
        <f>IF(LEFT(M$6,4)&lt;=LEFT('RFM input'!$G$60,4),"enter input",IF(LEFT(M$6,4)&gt;LEFT('RFM input'!$Q$60,4),0,
IF(MATCH(M$6,'RFM input'!$H$60:$Q$60,0),INDEX('RFM input'!$T$7:$T$56,$A441,1,1))))</f>
        <v>0</v>
      </c>
      <c r="N442" s="1417">
        <f>IF(LEFT(N$6,4)&lt;=LEFT('RFM input'!$G$60,4),"enter input",IF(LEFT(N$6,4)&gt;LEFT('RFM input'!$Q$60,4),0,
IF(MATCH(N$6,'RFM input'!$H$60:$Q$60,0),INDEX('RFM input'!$T$7:$T$56,$A441,1,1))))</f>
        <v>0</v>
      </c>
      <c r="O442" s="1417">
        <f>IF(LEFT(O$6,4)&lt;=LEFT('RFM input'!$G$60,4),"enter input",IF(LEFT(O$6,4)&gt;LEFT('RFM input'!$Q$60,4),0,
IF(MATCH(O$6,'RFM input'!$H$60:$Q$60,0),INDEX('RFM input'!$T$7:$T$56,$A441,1,1))))</f>
        <v>0</v>
      </c>
      <c r="P442" s="1417">
        <f>IF(LEFT(P$6,4)&lt;=LEFT('RFM input'!$G$60,4),"enter input",IF(LEFT(P$6,4)&gt;LEFT('RFM input'!$Q$60,4),0,
IF(MATCH(P$6,'RFM input'!$H$60:$Q$60,0),INDEX('RFM input'!$T$7:$T$56,$A441,1,1))))</f>
        <v>0</v>
      </c>
      <c r="Q442" s="1417">
        <f>IF(LEFT(Q$6,4)&lt;=LEFT('RFM input'!$G$60,4),"enter input",IF(LEFT(Q$6,4)&gt;LEFT('RFM input'!$Q$60,4),0,
IF(MATCH(Q$6,'RFM input'!$H$60:$Q$60,0),INDEX('RFM input'!$T$7:$T$56,$A441,1,1))))</f>
        <v>0</v>
      </c>
      <c r="R442" s="1417">
        <f>IF(LEFT(R$6,4)&lt;=LEFT('RFM input'!$G$60,4),"enter input",IF(LEFT(R$6,4)&gt;LEFT('RFM input'!$Q$60,4),0,
IF(MATCH(R$6,'RFM input'!$H$60:$Q$60,0),INDEX('RFM input'!$T$7:$T$56,$A441,1,1))))</f>
        <v>0</v>
      </c>
      <c r="S442" s="1417">
        <f>IF(LEFT(S$6,4)&lt;=LEFT('RFM input'!$G$60,4),"enter input",IF(LEFT(S$6,4)&gt;LEFT('RFM input'!$Q$60,4),0,
IF(MATCH(S$6,'RFM input'!$H$60:$Q$60,0),INDEX('RFM input'!$T$7:$T$56,$A441,1,1))))</f>
        <v>0</v>
      </c>
      <c r="T442" s="1417">
        <f>IF(LEFT(T$6,4)&lt;=LEFT('RFM input'!$G$60,4),"enter input",IF(LEFT(T$6,4)&gt;LEFT('RFM input'!$Q$60,4),0,
IF(MATCH(T$6,'RFM input'!$H$60:$Q$60,0),INDEX('RFM input'!$T$7:$T$56,$A441,1,1))))</f>
        <v>0</v>
      </c>
      <c r="U442" s="1417">
        <f>IF(LEFT(U$6,4)&lt;=LEFT('RFM input'!$G$60,4),"enter input",IF(LEFT(U$6,4)&gt;LEFT('RFM input'!$Q$60,4),0,
IF(MATCH(U$6,'RFM input'!$H$60:$Q$60,0),INDEX('RFM input'!$T$7:$T$56,$A441,1,1))))</f>
        <v>0</v>
      </c>
      <c r="V442" s="1417">
        <f>IF(LEFT(V$6,4)&lt;=LEFT('RFM input'!$G$60,4),"enter input",IF(LEFT(V$6,4)&gt;LEFT('RFM input'!$Q$60,4),0,
IF(MATCH(V$6,'RFM input'!$H$60:$Q$60,0),INDEX('RFM input'!$T$7:$T$56,$A441,1,1))))</f>
        <v>0</v>
      </c>
      <c r="W442" s="1417">
        <f>IF(LEFT(W$6,4)&lt;=LEFT('RFM input'!$G$60,4),"enter input",IF(LEFT(W$6,4)&gt;LEFT('RFM input'!$Q$60,4),0,
IF(MATCH(W$6,'RFM input'!$H$60:$Q$60,0),INDEX('RFM input'!$T$7:$T$56,$A441,1,1))))</f>
        <v>0</v>
      </c>
      <c r="X442" s="152"/>
      <c r="Y442" s="152"/>
      <c r="Z442" s="152"/>
      <c r="AA442" s="152"/>
      <c r="AB442" s="152"/>
    </row>
    <row r="443" spans="1:28">
      <c r="A443" s="242"/>
      <c r="B443" s="193" t="s">
        <v>192</v>
      </c>
      <c r="C443" s="1419"/>
      <c r="D443" s="1420">
        <f ca="1">IF(LEFT(D$6,4)&lt;=LEFT('RFM input'!$G$60,4),"enter input",IF(LEFT(D$6,4)&gt;LEFT('RFM input'!$Q$60,4),0,
IF(D$6=(OFFSET('RFM input'!$G$60,0,'RFM input'!$V$7)),OFFSET('RFM input'!$H$411,$A441,0),0)))</f>
        <v>0</v>
      </c>
      <c r="E443" s="1417">
        <f ca="1">IF(LEFT(E$6,4)&lt;=LEFT('RFM input'!$G$60,4),"enter input",IF(LEFT(E$6,4)&gt;LEFT('RFM input'!$Q$60,4),0,
IF(E$6=(OFFSET('RFM input'!$G$60,0,'RFM input'!$V$7)),OFFSET('RFM input'!$H$411,$A441,0),0)))</f>
        <v>0</v>
      </c>
      <c r="F443" s="1417">
        <f ca="1">IF(LEFT(F$6,4)&lt;=LEFT('RFM input'!$G$60,4),"enter input",IF(LEFT(F$6,4)&gt;LEFT('RFM input'!$Q$60,4),0,
IF(F$6=(OFFSET('RFM input'!$G$60,0,'RFM input'!$V$7)),OFFSET('RFM input'!$H$411,$A441,0),0)))</f>
        <v>0</v>
      </c>
      <c r="G443" s="1417">
        <f ca="1">IF(LEFT(G$6,4)&lt;=LEFT('RFM input'!$G$60,4),"enter input",IF(LEFT(G$6,4)&gt;LEFT('RFM input'!$Q$60,4),0,
IF(G$6=(OFFSET('RFM input'!$G$60,0,'RFM input'!$V$7)),OFFSET('RFM input'!$H$411,$A441,0),0)))</f>
        <v>0</v>
      </c>
      <c r="H443" s="1417">
        <f ca="1">IF(LEFT(H$6,4)&lt;=LEFT('RFM input'!$G$60,4),"enter input",IF(LEFT(H$6,4)&gt;LEFT('RFM input'!$Q$60,4),0,
IF(H$6=(OFFSET('RFM input'!$G$60,0,'RFM input'!$V$7)),OFFSET('RFM input'!$H$411,$A441,0),0)))</f>
        <v>0</v>
      </c>
      <c r="I443" s="1417">
        <f ca="1">IF(LEFT(I$6,4)&lt;=LEFT('RFM input'!$G$60,4),"enter input",IF(LEFT(I$6,4)&gt;LEFT('RFM input'!$Q$60,4),0,
IF(I$6=(OFFSET('RFM input'!$G$60,0,'RFM input'!$V$7)),OFFSET('RFM input'!$H$411,$A441,0),0)))</f>
        <v>0</v>
      </c>
      <c r="J443" s="1417">
        <f ca="1">IF(LEFT(J$6,4)&lt;=LEFT('RFM input'!$G$60,4),"enter input",IF(LEFT(J$6,4)&gt;LEFT('RFM input'!$Q$60,4),0,
IF(J$6=(OFFSET('RFM input'!$G$60,0,'RFM input'!$V$7)),OFFSET('RFM input'!$H$411,$A441,0),0)))</f>
        <v>0</v>
      </c>
      <c r="K443" s="1417">
        <f ca="1">IF(LEFT(K$6,4)&lt;=LEFT('RFM input'!$G$60,4),"enter input",IF(LEFT(K$6,4)&gt;LEFT('RFM input'!$Q$60,4),0,
IF(K$6=(OFFSET('RFM input'!$G$60,0,'RFM input'!$V$7)),OFFSET('RFM input'!$H$411,$A441,0),0)))</f>
        <v>0</v>
      </c>
      <c r="L443" s="1417">
        <f ca="1">IF(LEFT(L$6,4)&lt;=LEFT('RFM input'!$G$60,4),"enter input",IF(LEFT(L$6,4)&gt;LEFT('RFM input'!$Q$60,4),0,
IF(L$6=(OFFSET('RFM input'!$G$60,0,'RFM input'!$V$7)),OFFSET('RFM input'!$H$411,$A441,0),0)))</f>
        <v>0</v>
      </c>
      <c r="M443" s="1417">
        <f ca="1">IF(LEFT(M$6,4)&lt;=LEFT('RFM input'!$G$60,4),"enter input",IF(LEFT(M$6,4)&gt;LEFT('RFM input'!$Q$60,4),0,
IF(M$6=(OFFSET('RFM input'!$G$60,0,'RFM input'!$V$7)),OFFSET('RFM input'!$H$411,$A441,0),0)))</f>
        <v>0</v>
      </c>
      <c r="N443" s="1417">
        <f ca="1">IF(LEFT(N$6,4)&lt;=LEFT('RFM input'!$G$60,4),"enter input",IF(LEFT(N$6,4)&gt;LEFT('RFM input'!$Q$60,4),0,
IF(N$6=(OFFSET('RFM input'!$G$60,0,'RFM input'!$V$7)),OFFSET('RFM input'!$H$411,$A441,0),0)))</f>
        <v>0</v>
      </c>
      <c r="O443" s="1417">
        <f ca="1">IF(LEFT(O$6,4)&lt;=LEFT('RFM input'!$G$60,4),"enter input",IF(LEFT(O$6,4)&gt;LEFT('RFM input'!$Q$60,4),0,
IF(O$6=(OFFSET('RFM input'!$G$60,0,'RFM input'!$V$7)),OFFSET('RFM input'!$H$411,$A441,0),0)))</f>
        <v>0</v>
      </c>
      <c r="P443" s="1417">
        <f ca="1">IF(LEFT(P$6,4)&lt;=LEFT('RFM input'!$G$60,4),"enter input",IF(LEFT(P$6,4)&gt;LEFT('RFM input'!$Q$60,4),0,
IF(P$6=(OFFSET('RFM input'!$G$60,0,'RFM input'!$V$7)),OFFSET('RFM input'!$H$411,$A441,0),0)))</f>
        <v>0</v>
      </c>
      <c r="Q443" s="1417">
        <f ca="1">IF(LEFT(Q$6,4)&lt;=LEFT('RFM input'!$G$60,4),"enter input",IF(LEFT(Q$6,4)&gt;LEFT('RFM input'!$Q$60,4),0,
IF(Q$6=(OFFSET('RFM input'!$G$60,0,'RFM input'!$V$7)),OFFSET('RFM input'!$H$411,$A441,0),0)))</f>
        <v>0</v>
      </c>
      <c r="R443" s="1417">
        <f ca="1">IF(LEFT(R$6,4)&lt;=LEFT('RFM input'!$G$60,4),"enter input",IF(LEFT(R$6,4)&gt;LEFT('RFM input'!$Q$60,4),0,
IF(R$6=(OFFSET('RFM input'!$G$60,0,'RFM input'!$V$7)),OFFSET('RFM input'!$H$411,$A441,0),0)))</f>
        <v>0</v>
      </c>
      <c r="S443" s="1417">
        <f ca="1">IF(LEFT(S$6,4)&lt;=LEFT('RFM input'!$G$60,4),"enter input",IF(LEFT(S$6,4)&gt;LEFT('RFM input'!$Q$60,4),0,
IF(S$6=(OFFSET('RFM input'!$G$60,0,'RFM input'!$V$7)),OFFSET('RFM input'!$H$411,$A441,0),0)))</f>
        <v>0</v>
      </c>
      <c r="T443" s="1417">
        <f ca="1">IF(LEFT(T$6,4)&lt;=LEFT('RFM input'!$G$60,4),"enter input",IF(LEFT(T$6,4)&gt;LEFT('RFM input'!$Q$60,4),0,
IF(T$6=(OFFSET('RFM input'!$G$60,0,'RFM input'!$V$7)),OFFSET('RFM input'!$H$411,$A441,0),0)))</f>
        <v>0</v>
      </c>
      <c r="U443" s="1417">
        <f ca="1">IF(LEFT(U$6,4)&lt;=LEFT('RFM input'!$G$60,4),"enter input",IF(LEFT(U$6,4)&gt;LEFT('RFM input'!$Q$60,4),0,
IF(U$6=(OFFSET('RFM input'!$G$60,0,'RFM input'!$V$7)),OFFSET('RFM input'!$H$411,$A441,0),0)))</f>
        <v>0</v>
      </c>
      <c r="V443" s="1417">
        <f ca="1">IF(LEFT(V$6,4)&lt;=LEFT('RFM input'!$G$60,4),"enter input",IF(LEFT(V$6,4)&gt;LEFT('RFM input'!$Q$60,4),0,
IF(V$6=(OFFSET('RFM input'!$G$60,0,'RFM input'!$V$7)),OFFSET('RFM input'!$H$411,$A441,0),0)))</f>
        <v>0</v>
      </c>
      <c r="W443" s="1417">
        <f ca="1">IF(LEFT(W$6,4)&lt;=LEFT('RFM input'!$G$60,4),"enter input",IF(LEFT(W$6,4)&gt;LEFT('RFM input'!$Q$60,4),0,
IF(W$6=(OFFSET('RFM input'!$G$60,0,'RFM input'!$V$7)),OFFSET('RFM input'!$H$411,$A441,0),0)))</f>
        <v>0</v>
      </c>
      <c r="X443" s="152"/>
      <c r="Y443" s="152"/>
      <c r="Z443" s="152"/>
      <c r="AA443" s="152"/>
      <c r="AB443" s="152"/>
    </row>
    <row r="444" spans="1:28">
      <c r="A444" s="242"/>
      <c r="B444" s="193" t="s">
        <v>200</v>
      </c>
      <c r="C444" s="1419"/>
      <c r="D444" s="1418">
        <f ca="1">IF(LEFT(D$6,4)&lt;=LEFT('RFM input'!$G$60,4),"enter input",IF(LEFT(D$6,4)&gt;LEFT('RFM input'!$Q$60,4),0,
IF(D$6=(OFFSET('RFM input'!$G$60,0,'RFM input'!$V$7)),OFFSET('RFM input'!$J$411,$A441,0),0)))</f>
        <v>0</v>
      </c>
      <c r="E444" s="1422">
        <f ca="1">IF(LEFT(E$6,4)&lt;=LEFT('RFM input'!$G$60,4),"enter input",IF(LEFT(E$6,4)&gt;LEFT('RFM input'!$Q$60,4),0,
IF(E$6=(OFFSET('RFM input'!$G$60,0,'RFM input'!$V$7)),OFFSET('RFM input'!$J$411,$A441,0),0)))</f>
        <v>0</v>
      </c>
      <c r="F444" s="1422">
        <f ca="1">IF(LEFT(F$6,4)&lt;=LEFT('RFM input'!$G$60,4),"enter input",IF(LEFT(F$6,4)&gt;LEFT('RFM input'!$Q$60,4),0,
IF(F$6=(OFFSET('RFM input'!$G$60,0,'RFM input'!$V$7)),OFFSET('RFM input'!$J$411,$A441,0),0)))</f>
        <v>0</v>
      </c>
      <c r="G444" s="1422">
        <f ca="1">IF(LEFT(G$6,4)&lt;=LEFT('RFM input'!$G$60,4),"enter input",IF(LEFT(G$6,4)&gt;LEFT('RFM input'!$Q$60,4),0,
IF(G$6=(OFFSET('RFM input'!$G$60,0,'RFM input'!$V$7)),OFFSET('RFM input'!$J$411,$A441,0),0)))</f>
        <v>0</v>
      </c>
      <c r="H444" s="1422">
        <f ca="1">IF(LEFT(H$6,4)&lt;=LEFT('RFM input'!$G$60,4),"enter input",IF(LEFT(H$6,4)&gt;LEFT('RFM input'!$Q$60,4),0,
IF(H$6=(OFFSET('RFM input'!$G$60,0,'RFM input'!$V$7)),OFFSET('RFM input'!$J$411,$A441,0),0)))</f>
        <v>0</v>
      </c>
      <c r="I444" s="1422">
        <f ca="1">IF(LEFT(I$6,4)&lt;=LEFT('RFM input'!$G$60,4),"enter input",IF(LEFT(I$6,4)&gt;LEFT('RFM input'!$Q$60,4),0,
IF(I$6=(OFFSET('RFM input'!$G$60,0,'RFM input'!$V$7)),OFFSET('RFM input'!$J$411,$A441,0),0)))</f>
        <v>0</v>
      </c>
      <c r="J444" s="1422">
        <f ca="1">IF(LEFT(J$6,4)&lt;=LEFT('RFM input'!$G$60,4),"enter input",IF(LEFT(J$6,4)&gt;LEFT('RFM input'!$Q$60,4),0,
IF(J$6=(OFFSET('RFM input'!$G$60,0,'RFM input'!$V$7)),OFFSET('RFM input'!$J$411,$A441,0),0)))</f>
        <v>0</v>
      </c>
      <c r="K444" s="1422">
        <f ca="1">IF(LEFT(K$6,4)&lt;=LEFT('RFM input'!$G$60,4),"enter input",IF(LEFT(K$6,4)&gt;LEFT('RFM input'!$Q$60,4),0,
IF(K$6=(OFFSET('RFM input'!$G$60,0,'RFM input'!$V$7)),OFFSET('RFM input'!$J$411,$A441,0),0)))</f>
        <v>0</v>
      </c>
      <c r="L444" s="1422">
        <f ca="1">IF(LEFT(L$6,4)&lt;=LEFT('RFM input'!$G$60,4),"enter input",IF(LEFT(L$6,4)&gt;LEFT('RFM input'!$Q$60,4),0,
IF(L$6=(OFFSET('RFM input'!$G$60,0,'RFM input'!$V$7)),OFFSET('RFM input'!$J$411,$A441,0),0)))</f>
        <v>0</v>
      </c>
      <c r="M444" s="1422">
        <f ca="1">IF(LEFT(M$6,4)&lt;=LEFT('RFM input'!$G$60,4),"enter input",IF(LEFT(M$6,4)&gt;LEFT('RFM input'!$Q$60,4),0,
IF(M$6=(OFFSET('RFM input'!$G$60,0,'RFM input'!$V$7)),OFFSET('RFM input'!$J$411,$A441,0),0)))</f>
        <v>0</v>
      </c>
      <c r="N444" s="1422">
        <f ca="1">IF(LEFT(N$6,4)&lt;=LEFT('RFM input'!$G$60,4),"enter input",IF(LEFT(N$6,4)&gt;LEFT('RFM input'!$Q$60,4),0,
IF(N$6=(OFFSET('RFM input'!$G$60,0,'RFM input'!$V$7)),OFFSET('RFM input'!$J$411,$A441,0),0)))</f>
        <v>0</v>
      </c>
      <c r="O444" s="1422">
        <f ca="1">IF(LEFT(O$6,4)&lt;=LEFT('RFM input'!$G$60,4),"enter input",IF(LEFT(O$6,4)&gt;LEFT('RFM input'!$Q$60,4),0,
IF(O$6=(OFFSET('RFM input'!$G$60,0,'RFM input'!$V$7)),OFFSET('RFM input'!$J$411,$A441,0),0)))</f>
        <v>0</v>
      </c>
      <c r="P444" s="1422">
        <f ca="1">IF(LEFT(P$6,4)&lt;=LEFT('RFM input'!$G$60,4),"enter input",IF(LEFT(P$6,4)&gt;LEFT('RFM input'!$Q$60,4),0,
IF(P$6=(OFFSET('RFM input'!$G$60,0,'RFM input'!$V$7)),OFFSET('RFM input'!$J$411,$A441,0),0)))</f>
        <v>0</v>
      </c>
      <c r="Q444" s="1422">
        <f ca="1">IF(LEFT(Q$6,4)&lt;=LEFT('RFM input'!$G$60,4),"enter input",IF(LEFT(Q$6,4)&gt;LEFT('RFM input'!$Q$60,4),0,
IF(Q$6=(OFFSET('RFM input'!$G$60,0,'RFM input'!$V$7)),OFFSET('RFM input'!$J$411,$A441,0),0)))</f>
        <v>0</v>
      </c>
      <c r="R444" s="1422">
        <f ca="1">IF(LEFT(R$6,4)&lt;=LEFT('RFM input'!$G$60,4),"enter input",IF(LEFT(R$6,4)&gt;LEFT('RFM input'!$Q$60,4),0,
IF(R$6=(OFFSET('RFM input'!$G$60,0,'RFM input'!$V$7)),OFFSET('RFM input'!$J$411,$A441,0),0)))</f>
        <v>0</v>
      </c>
      <c r="S444" s="1422">
        <f ca="1">IF(LEFT(S$6,4)&lt;=LEFT('RFM input'!$G$60,4),"enter input",IF(LEFT(S$6,4)&gt;LEFT('RFM input'!$Q$60,4),0,
IF(S$6=(OFFSET('RFM input'!$G$60,0,'RFM input'!$V$7)),OFFSET('RFM input'!$J$411,$A441,0),0)))</f>
        <v>0</v>
      </c>
      <c r="T444" s="1422">
        <f ca="1">IF(LEFT(T$6,4)&lt;=LEFT('RFM input'!$G$60,4),"enter input",IF(LEFT(T$6,4)&gt;LEFT('RFM input'!$Q$60,4),0,
IF(T$6=(OFFSET('RFM input'!$G$60,0,'RFM input'!$V$7)),OFFSET('RFM input'!$J$411,$A441,0),0)))</f>
        <v>0</v>
      </c>
      <c r="U444" s="1422">
        <f ca="1">IF(LEFT(U$6,4)&lt;=LEFT('RFM input'!$G$60,4),"enter input",IF(LEFT(U$6,4)&gt;LEFT('RFM input'!$Q$60,4),0,
IF(U$6=(OFFSET('RFM input'!$G$60,0,'RFM input'!$V$7)),OFFSET('RFM input'!$J$411,$A441,0),0)))</f>
        <v>0</v>
      </c>
      <c r="V444" s="1422">
        <f ca="1">IF(LEFT(V$6,4)&lt;=LEFT('RFM input'!$G$60,4),"enter input",IF(LEFT(V$6,4)&gt;LEFT('RFM input'!$Q$60,4),0,
IF(V$6=(OFFSET('RFM input'!$G$60,0,'RFM input'!$V$7)),OFFSET('RFM input'!$J$411,$A441,0),0)))</f>
        <v>0</v>
      </c>
      <c r="W444" s="1422">
        <f ca="1">IF(LEFT(W$6,4)&lt;=LEFT('RFM input'!$G$60,4),"enter input",IF(LEFT(W$6,4)&gt;LEFT('RFM input'!$Q$60,4),0,
IF(W$6=(OFFSET('RFM input'!$G$60,0,'RFM input'!$V$7)),OFFSET('RFM input'!$J$411,$A441,0),0)))</f>
        <v>0</v>
      </c>
      <c r="X444" s="152"/>
      <c r="Y444" s="152"/>
      <c r="Z444" s="152"/>
      <c r="AA444" s="152"/>
      <c r="AB444" s="152"/>
    </row>
    <row r="445" spans="1:28" hidden="1" outlineLevel="1">
      <c r="A445" s="235">
        <v>-1</v>
      </c>
      <c r="B445" s="190" t="s">
        <v>195</v>
      </c>
      <c r="C445" s="1423"/>
      <c r="D445" s="1423">
        <f t="shared" ref="D445" ca="1" si="592">IF(AND(D443=0,C445=0),0,
IF(AND(D443&lt;&gt;0,C445=0),D443,
IF(AND(D444&lt;&gt;0,C445&lt;&gt;0),(C445-(C445/C469))+D443,
IF(C469&lt;1,0,(C445-(C445/C469))))))</f>
        <v>0</v>
      </c>
      <c r="E445" s="1423">
        <f t="shared" ref="E445" ca="1" si="593">IF(AND(E443=0,D445=0),0,
IF(AND(E443&lt;&gt;0,D445=0),E443,
IF(AND(E444&lt;&gt;0,D445&lt;&gt;0),(D445-(D445/D469))+E443,
IF(D469&lt;1,0,(D445-(D445/D469))))))</f>
        <v>0</v>
      </c>
      <c r="F445" s="1423">
        <f t="shared" ref="F445" ca="1" si="594">IF(AND(F443=0,E445=0),0,
IF(AND(F443&lt;&gt;0,E445=0),F443,
IF(AND(F444&lt;&gt;0,E445&lt;&gt;0),(E445-(E445/E469))+F443,
IF(E469&lt;1,0,(E445-(E445/E469))))))</f>
        <v>0</v>
      </c>
      <c r="G445" s="1423">
        <f t="shared" ref="G445" ca="1" si="595">IF(AND(G443=0,F445=0),0,
IF(AND(G443&lt;&gt;0,F445=0),G443,
IF(AND(G444&lt;&gt;0,F445&lt;&gt;0),(F445-(F445/F469))+G443,
IF(F469&lt;1,0,(F445-(F445/F469))))))</f>
        <v>0</v>
      </c>
      <c r="H445" s="1423">
        <f ca="1">IF(AND(H443=0,G445=0),0,
IF(AND(H443&lt;&gt;0,G445=0),H443,
IF(AND(H444&lt;&gt;0,G445&lt;&gt;0),(G445-(G445/G469))+H443,
IF(G469&lt;1,0,(G445-(G445/G469))))))</f>
        <v>0</v>
      </c>
      <c r="I445" s="1423">
        <f t="shared" ref="I445" ca="1" si="596">IF(AND(I443=0,H445=0),0,
IF(AND(I443&lt;&gt;0,H445=0),I443,
IF(AND(I444&lt;&gt;0,H445&lt;&gt;0),(H445-(H445/H469))+I443,
IF(H469&lt;1,0,(H445-(H445/H469))))))</f>
        <v>0</v>
      </c>
      <c r="J445" s="1423">
        <f t="shared" ref="J445" ca="1" si="597">IF(AND(J443=0,I445=0),0,
IF(AND(J443&lt;&gt;0,I445=0),J443,
IF(AND(J444&lt;&gt;0,I445&lt;&gt;0),(I445-(I445/I469))+J443,
IF(I469&lt;1,0,(I445-(I445/I469))))))</f>
        <v>0</v>
      </c>
      <c r="K445" s="1423">
        <f t="shared" ref="K445" ca="1" si="598">IF(AND(K443=0,J445=0),0,
IF(AND(K443&lt;&gt;0,J445=0),K443,
IF(AND(K444&lt;&gt;0,J445&lt;&gt;0),(J445-(J445/J469))+K443,
IF(J469&lt;1,0,(J445-(J445/J469))))))</f>
        <v>0</v>
      </c>
      <c r="L445" s="1423">
        <f t="shared" ref="L445" ca="1" si="599">IF(AND(L443=0,K445=0),0,
IF(AND(L443&lt;&gt;0,K445=0),L443,
IF(AND(L444&lt;&gt;0,K445&lt;&gt;0),(K445-(K445/K469))+L443,
IF(K469&lt;1,0,(K445-(K445/K469))))))</f>
        <v>0</v>
      </c>
      <c r="M445" s="1423">
        <f t="shared" ref="M445" ca="1" si="600">IF(AND(M443=0,L445=0),0,
IF(AND(M443&lt;&gt;0,L445=0),M443,
IF(AND(M444&lt;&gt;0,L445&lt;&gt;0),(L445-(L445/L469))+M443,
IF(L469&lt;1,0,(L445-(L445/L469))))))</f>
        <v>0</v>
      </c>
      <c r="N445" s="1423">
        <f t="shared" ref="N445" ca="1" si="601">IF(AND(N443=0,M445=0),0,
IF(AND(N443&lt;&gt;0,M445=0),N443,
IF(AND(N444&lt;&gt;0,M445&lt;&gt;0),(M445-(M445/M469))+N443,
IF(M469&lt;1,0,(M445-(M445/M469))))))</f>
        <v>0</v>
      </c>
      <c r="O445" s="1423">
        <f t="shared" ref="O445" ca="1" si="602">IF(AND(O443=0,N445=0),0,
IF(AND(O443&lt;&gt;0,N445=0),O443,
IF(AND(O444&lt;&gt;0,N445&lt;&gt;0),(N445-(N445/N469))+O443,
IF(N469&lt;1,0,(N445-(N445/N469))))))</f>
        <v>0</v>
      </c>
      <c r="P445" s="1423">
        <f t="shared" ref="P445" ca="1" si="603">IF(AND(P443=0,O445=0),0,
IF(AND(P443&lt;&gt;0,O445=0),P443,
IF(AND(P444&lt;&gt;0,O445&lt;&gt;0),(O445-(O445/O469))+P443,
IF(O469&lt;1,0,(O445-(O445/O469))))))</f>
        <v>0</v>
      </c>
      <c r="Q445" s="1423">
        <f t="shared" ref="Q445" ca="1" si="604">IF(AND(Q443=0,P445=0),0,
IF(AND(Q443&lt;&gt;0,P445=0),Q443,
IF(AND(Q444&lt;&gt;0,P445&lt;&gt;0),(P445-(P445/P469))+Q443,
IF(P469&lt;1,0,(P445-(P445/P469))))))</f>
        <v>0</v>
      </c>
      <c r="R445" s="1423">
        <f t="shared" ref="R445" ca="1" si="605">IF(AND(R443=0,Q445=0),0,
IF(AND(R443&lt;&gt;0,Q445=0),R443,
IF(AND(R444&lt;&gt;0,Q445&lt;&gt;0),(Q445-(Q445/Q469))+R443,
IF(Q469&lt;1,0,(Q445-(Q445/Q469))))))</f>
        <v>0</v>
      </c>
      <c r="S445" s="1423">
        <f t="shared" ref="S445" ca="1" si="606">IF(AND(S443=0,R445=0),0,
IF(AND(S443&lt;&gt;0,R445=0),S443,
IF(AND(S444&lt;&gt;0,R445&lt;&gt;0),(R445-(R445/R469))+S443,
IF(R469&lt;1,0,(R445-(R445/R469))))))</f>
        <v>0</v>
      </c>
      <c r="T445" s="1423">
        <f t="shared" ref="T445" ca="1" si="607">IF(AND(T443=0,S445=0),0,
IF(AND(T443&lt;&gt;0,S445=0),T443,
IF(AND(T444&lt;&gt;0,S445&lt;&gt;0),(S445-(S445/S469))+T443,
IF(S469&lt;1,0,(S445-(S445/S469))))))</f>
        <v>0</v>
      </c>
      <c r="U445" s="1423">
        <f t="shared" ref="U445" ca="1" si="608">IF(AND(U443=0,T445=0),0,
IF(AND(U443&lt;&gt;0,T445=0),U443,
IF(AND(U444&lt;&gt;0,T445&lt;&gt;0),(T445-(T445/T469))+U443,
IF(T469&lt;1,0,(T445-(T445/T469))))))</f>
        <v>0</v>
      </c>
      <c r="V445" s="1423">
        <f t="shared" ref="V445" ca="1" si="609">IF(AND(V443=0,U445=0),0,
IF(AND(V443&lt;&gt;0,U445=0),V443,
IF(AND(V444&lt;&gt;0,U445&lt;&gt;0),(U445-(U445/U469))+V443,
IF(U469&lt;1,0,(U445-(U445/U469))))))</f>
        <v>0</v>
      </c>
      <c r="W445" s="1423">
        <f t="shared" ref="W445" ca="1" si="610">IF(AND(W443=0,V445=0),0,
IF(AND(W443&lt;&gt;0,V445=0),W443,
IF(AND(W444&lt;&gt;0,V445&lt;&gt;0),(V445-(V445/V469))+W443,
IF(V469&lt;1,0,(V445-(V445/V469))))))</f>
        <v>0</v>
      </c>
      <c r="X445" s="152"/>
      <c r="Y445" s="152"/>
      <c r="Z445" s="152"/>
      <c r="AA445" s="152"/>
      <c r="AB445" s="152"/>
    </row>
    <row r="446" spans="1:28" hidden="1" outlineLevel="1">
      <c r="A446" s="199">
        <f>A445+1</f>
        <v>0</v>
      </c>
      <c r="B446" s="190" t="s">
        <v>527</v>
      </c>
      <c r="C446" s="1423">
        <f ca="1">C441</f>
        <v>0</v>
      </c>
      <c r="D446" s="1423">
        <f ca="1">IF(C470="n/a",C446,IFERROR(IF((OFFSET($C446,0,$A446))&lt;0,
MIN(0,C446-(OFFSET($C446,0,$A446)/(OFFSET($C441,-$A445,$A446)))),
MAX(0,C446-(OFFSET($C446,0,$A446)/(OFFSET($C441,-$A445,$A446))))),0))</f>
        <v>0</v>
      </c>
      <c r="E446" s="1423">
        <f t="shared" ref="E446" ca="1" si="611">IF(D470="n/a",D446,IFERROR(IF((OFFSET($C446,0,$A446))&lt;0,
MIN(0,D446-(OFFSET($C446,0,$A446)/(OFFSET($C441,-$A445,$A446)))),
MAX(0,D446-(OFFSET($C446,0,$A446)/(OFFSET($C441,-$A445,$A446))))),0))</f>
        <v>0</v>
      </c>
      <c r="F446" s="1423">
        <f t="shared" ref="F446:F447" ca="1" si="612">IF(E470="n/a",E446,IFERROR(IF((OFFSET($C446,0,$A446))&lt;0,
MIN(0,E446-(OFFSET($C446,0,$A446)/(OFFSET($C441,-$A445,$A446)))),
MAX(0,E446-(OFFSET($C446,0,$A446)/(OFFSET($C441,-$A445,$A446))))),0))</f>
        <v>0</v>
      </c>
      <c r="G446" s="1423">
        <f t="shared" ref="G446:G448" ca="1" si="613">IF(F470="n/a",F446,IFERROR(IF((OFFSET($C446,0,$A446))&lt;0,
MIN(0,F446-(OFFSET($C446,0,$A446)/(OFFSET($C441,-$A445,$A446)))),
MAX(0,F446-(OFFSET($C446,0,$A446)/(OFFSET($C441,-$A445,$A446))))),0))</f>
        <v>0</v>
      </c>
      <c r="H446" s="1423">
        <f t="shared" ref="H446:H449" ca="1" si="614">IF(G470="n/a",G446,IFERROR(IF((OFFSET($C446,0,$A446))&lt;0,
MIN(0,G446-(OFFSET($C446,0,$A446)/(OFFSET($C441,-$A445,$A446)))),
MAX(0,G446-(OFFSET($C446,0,$A446)/(OFFSET($C441,-$A445,$A446))))),0))</f>
        <v>0</v>
      </c>
      <c r="I446" s="1423">
        <f t="shared" ref="I446:I450" ca="1" si="615">IF(H470="n/a",H446,IFERROR(IF((OFFSET($C446,0,$A446))&lt;0,
MIN(0,H446-(OFFSET($C446,0,$A446)/(OFFSET($C441,-$A445,$A446)))),
MAX(0,H446-(OFFSET($C446,0,$A446)/(OFFSET($C441,-$A445,$A446))))),0))</f>
        <v>0</v>
      </c>
      <c r="J446" s="1423">
        <f t="shared" ref="J446:J451" ca="1" si="616">IF(I470="n/a",I446,IFERROR(IF((OFFSET($C446,0,$A446))&lt;0,
MIN(0,I446-(OFFSET($C446,0,$A446)/(OFFSET($C441,-$A445,$A446)))),
MAX(0,I446-(OFFSET($C446,0,$A446)/(OFFSET($C441,-$A445,$A446))))),0))</f>
        <v>0</v>
      </c>
      <c r="K446" s="1423">
        <f t="shared" ref="K446:K452" ca="1" si="617">IF(J470="n/a",J446,IFERROR(IF((OFFSET($C446,0,$A446))&lt;0,
MIN(0,J446-(OFFSET($C446,0,$A446)/(OFFSET($C441,-$A445,$A446)))),
MAX(0,J446-(OFFSET($C446,0,$A446)/(OFFSET($C441,-$A445,$A446))))),0))</f>
        <v>0</v>
      </c>
      <c r="L446" s="1423">
        <f t="shared" ref="L446:L453" ca="1" si="618">IF(K470="n/a",K446,IFERROR(IF((OFFSET($C446,0,$A446))&lt;0,
MIN(0,K446-(OFFSET($C446,0,$A446)/(OFFSET($C441,-$A445,$A446)))),
MAX(0,K446-(OFFSET($C446,0,$A446)/(OFFSET($C441,-$A445,$A446))))),0))</f>
        <v>0</v>
      </c>
      <c r="M446" s="1423">
        <f t="shared" ref="M446:M454" ca="1" si="619">IF(L470="n/a",L446,IFERROR(IF((OFFSET($C446,0,$A446))&lt;0,
MIN(0,L446-(OFFSET($C446,0,$A446)/(OFFSET($C441,-$A445,$A446)))),
MAX(0,L446-(OFFSET($C446,0,$A446)/(OFFSET($C441,-$A445,$A446))))),0))</f>
        <v>0</v>
      </c>
      <c r="N446" s="1423">
        <f t="shared" ref="N446:N455" ca="1" si="620">IF(M470="n/a",M446,IFERROR(IF((OFFSET($C446,0,$A446))&lt;0,
MIN(0,M446-(OFFSET($C446,0,$A446)/(OFFSET($C441,-$A445,$A446)))),
MAX(0,M446-(OFFSET($C446,0,$A446)/(OFFSET($C441,-$A445,$A446))))),0))</f>
        <v>0</v>
      </c>
      <c r="O446" s="1423">
        <f t="shared" ref="O446:O456" ca="1" si="621">IF(N470="n/a",N446,IFERROR(IF((OFFSET($C446,0,$A446))&lt;0,
MIN(0,N446-(OFFSET($C446,0,$A446)/(OFFSET($C441,-$A445,$A446)))),
MAX(0,N446-(OFFSET($C446,0,$A446)/(OFFSET($C441,-$A445,$A446))))),0))</f>
        <v>0</v>
      </c>
      <c r="P446" s="1423">
        <f t="shared" ref="P446:P457" ca="1" si="622">IF(O470="n/a",O446,IFERROR(IF((OFFSET($C446,0,$A446))&lt;0,
MIN(0,O446-(OFFSET($C446,0,$A446)/(OFFSET($C441,-$A445,$A446)))),
MAX(0,O446-(OFFSET($C446,0,$A446)/(OFFSET($C441,-$A445,$A446))))),0))</f>
        <v>0</v>
      </c>
      <c r="Q446" s="1423">
        <f t="shared" ref="Q446:Q458" ca="1" si="623">IF(P470="n/a",P446,IFERROR(IF((OFFSET($C446,0,$A446))&lt;0,
MIN(0,P446-(OFFSET($C446,0,$A446)/(OFFSET($C441,-$A445,$A446)))),
MAX(0,P446-(OFFSET($C446,0,$A446)/(OFFSET($C441,-$A445,$A446))))),0))</f>
        <v>0</v>
      </c>
      <c r="R446" s="1423">
        <f t="shared" ref="R446:R459" ca="1" si="624">IF(Q470="n/a",Q446,IFERROR(IF((OFFSET($C446,0,$A446))&lt;0,
MIN(0,Q446-(OFFSET($C446,0,$A446)/(OFFSET($C441,-$A445,$A446)))),
MAX(0,Q446-(OFFSET($C446,0,$A446)/(OFFSET($C441,-$A445,$A446))))),0))</f>
        <v>0</v>
      </c>
      <c r="S446" s="1423">
        <f t="shared" ref="S446:S460" ca="1" si="625">IF(R470="n/a",R446,IFERROR(IF((OFFSET($C446,0,$A446))&lt;0,
MIN(0,R446-(OFFSET($C446,0,$A446)/(OFFSET($C441,-$A445,$A446)))),
MAX(0,R446-(OFFSET($C446,0,$A446)/(OFFSET($C441,-$A445,$A446))))),0))</f>
        <v>0</v>
      </c>
      <c r="T446" s="1423">
        <f t="shared" ref="T446:T461" ca="1" si="626">IF(S470="n/a",S446,IFERROR(IF((OFFSET($C446,0,$A446))&lt;0,
MIN(0,S446-(OFFSET($C446,0,$A446)/(OFFSET($C441,-$A445,$A446)))),
MAX(0,S446-(OFFSET($C446,0,$A446)/(OFFSET($C441,-$A445,$A446))))),0))</f>
        <v>0</v>
      </c>
      <c r="U446" s="1423">
        <f t="shared" ref="U446:U462" ca="1" si="627">IF(T470="n/a",T446,IFERROR(IF((OFFSET($C446,0,$A446))&lt;0,
MIN(0,T446-(OFFSET($C446,0,$A446)/(OFFSET($C441,-$A445,$A446)))),
MAX(0,T446-(OFFSET($C446,0,$A446)/(OFFSET($C441,-$A445,$A446))))),0))</f>
        <v>0</v>
      </c>
      <c r="V446" s="1423">
        <f t="shared" ref="V446:V463" ca="1" si="628">IF(U470="n/a",U446,IFERROR(IF((OFFSET($C446,0,$A446))&lt;0,
MIN(0,U446-(OFFSET($C446,0,$A446)/(OFFSET($C441,-$A445,$A446)))),
MAX(0,U446-(OFFSET($C446,0,$A446)/(OFFSET($C441,-$A445,$A446))))),0))</f>
        <v>0</v>
      </c>
      <c r="W446" s="1423">
        <f t="shared" ref="W446:W464" ca="1" si="629">IF(V470="n/a",V446,IFERROR(IF((OFFSET($C446,0,$A446))&lt;0,
MIN(0,V446-(OFFSET($C446,0,$A446)/(OFFSET($C441,-$A445,$A446)))),
MAX(0,V446-(OFFSET($C446,0,$A446)/(OFFSET($C441,-$A445,$A446))))),0))</f>
        <v>0</v>
      </c>
      <c r="X446" s="152"/>
      <c r="Y446" s="152"/>
      <c r="Z446" s="152"/>
      <c r="AA446" s="152"/>
      <c r="AB446" s="152"/>
    </row>
    <row r="447" spans="1:28" hidden="1" outlineLevel="1">
      <c r="A447" s="199">
        <f t="shared" ref="A447:A466" si="630">A446+1</f>
        <v>1</v>
      </c>
      <c r="B447" s="190" t="str">
        <f t="shared" ref="B447:B466" ca="1" si="631">"Depreciated Net Capex "&amp;OFFSET($C$6,0,A447)</f>
        <v>Depreciated Net Capex 2016-17</v>
      </c>
      <c r="C447" s="1424"/>
      <c r="D447" s="1425">
        <f>D441</f>
        <v>0</v>
      </c>
      <c r="E447" s="1423">
        <f ca="1">IF(D471="n/a",D447,IFERROR(IF((OFFSET($C447,0,$A447))&lt;0,
MIN(0,D447-(OFFSET($C447,0,$A447)/(OFFSET($C442,-$A446,$A447)))),
MAX(0,D447-(OFFSET($C447,0,$A447)/(OFFSET($C442,-$A446,$A447))))),0))</f>
        <v>0</v>
      </c>
      <c r="F447" s="1423">
        <f t="shared" ca="1" si="612"/>
        <v>0</v>
      </c>
      <c r="G447" s="1423">
        <f t="shared" ca="1" si="613"/>
        <v>0</v>
      </c>
      <c r="H447" s="1423">
        <f t="shared" ca="1" si="614"/>
        <v>0</v>
      </c>
      <c r="I447" s="1423">
        <f t="shared" ca="1" si="615"/>
        <v>0</v>
      </c>
      <c r="J447" s="1423">
        <f t="shared" ca="1" si="616"/>
        <v>0</v>
      </c>
      <c r="K447" s="1423">
        <f t="shared" ca="1" si="617"/>
        <v>0</v>
      </c>
      <c r="L447" s="1423">
        <f t="shared" ca="1" si="618"/>
        <v>0</v>
      </c>
      <c r="M447" s="1423">
        <f t="shared" ca="1" si="619"/>
        <v>0</v>
      </c>
      <c r="N447" s="1423">
        <f t="shared" ca="1" si="620"/>
        <v>0</v>
      </c>
      <c r="O447" s="1423">
        <f t="shared" ca="1" si="621"/>
        <v>0</v>
      </c>
      <c r="P447" s="1423">
        <f t="shared" ca="1" si="622"/>
        <v>0</v>
      </c>
      <c r="Q447" s="1423">
        <f t="shared" ca="1" si="623"/>
        <v>0</v>
      </c>
      <c r="R447" s="1423">
        <f t="shared" ca="1" si="624"/>
        <v>0</v>
      </c>
      <c r="S447" s="1423">
        <f t="shared" ca="1" si="625"/>
        <v>0</v>
      </c>
      <c r="T447" s="1423">
        <f t="shared" ca="1" si="626"/>
        <v>0</v>
      </c>
      <c r="U447" s="1423">
        <f t="shared" ca="1" si="627"/>
        <v>0</v>
      </c>
      <c r="V447" s="1423">
        <f t="shared" ca="1" si="628"/>
        <v>0</v>
      </c>
      <c r="W447" s="1423">
        <f t="shared" ca="1" si="629"/>
        <v>0</v>
      </c>
      <c r="X447" s="152"/>
      <c r="Y447" s="152"/>
      <c r="Z447" s="152"/>
      <c r="AA447" s="152"/>
      <c r="AB447" s="152"/>
    </row>
    <row r="448" spans="1:28" hidden="1" outlineLevel="1">
      <c r="A448" s="199">
        <f t="shared" si="630"/>
        <v>2</v>
      </c>
      <c r="B448" s="190" t="str">
        <f t="shared" ca="1" si="631"/>
        <v>Depreciated Net Capex 2017-18</v>
      </c>
      <c r="C448" s="1426"/>
      <c r="D448" s="1427"/>
      <c r="E448" s="1425">
        <f>E441</f>
        <v>0</v>
      </c>
      <c r="F448" s="1423">
        <f ca="1">IF(E472="n/a",E448,IFERROR(IF((OFFSET($C448,0,$A448))&lt;0,
MIN(0,E448-(OFFSET($C448,0,$A448)/(OFFSET($C443,-$A447,$A448)))),
MAX(0,E448-(OFFSET($C448,0,$A448)/(OFFSET($C443,-$A447,$A448))))),0))</f>
        <v>0</v>
      </c>
      <c r="G448" s="1423">
        <f t="shared" ca="1" si="613"/>
        <v>0</v>
      </c>
      <c r="H448" s="1423">
        <f t="shared" ca="1" si="614"/>
        <v>0</v>
      </c>
      <c r="I448" s="1423">
        <f t="shared" ca="1" si="615"/>
        <v>0</v>
      </c>
      <c r="J448" s="1423">
        <f t="shared" ca="1" si="616"/>
        <v>0</v>
      </c>
      <c r="K448" s="1423">
        <f t="shared" ca="1" si="617"/>
        <v>0</v>
      </c>
      <c r="L448" s="1423">
        <f t="shared" ca="1" si="618"/>
        <v>0</v>
      </c>
      <c r="M448" s="1423">
        <f t="shared" ca="1" si="619"/>
        <v>0</v>
      </c>
      <c r="N448" s="1423">
        <f t="shared" ca="1" si="620"/>
        <v>0</v>
      </c>
      <c r="O448" s="1423">
        <f t="shared" ca="1" si="621"/>
        <v>0</v>
      </c>
      <c r="P448" s="1423">
        <f t="shared" ca="1" si="622"/>
        <v>0</v>
      </c>
      <c r="Q448" s="1423">
        <f t="shared" ca="1" si="623"/>
        <v>0</v>
      </c>
      <c r="R448" s="1423">
        <f t="shared" ca="1" si="624"/>
        <v>0</v>
      </c>
      <c r="S448" s="1423">
        <f t="shared" ca="1" si="625"/>
        <v>0</v>
      </c>
      <c r="T448" s="1423">
        <f t="shared" ca="1" si="626"/>
        <v>0</v>
      </c>
      <c r="U448" s="1423">
        <f t="shared" ca="1" si="627"/>
        <v>0</v>
      </c>
      <c r="V448" s="1423">
        <f t="shared" ca="1" si="628"/>
        <v>0</v>
      </c>
      <c r="W448" s="1423">
        <f t="shared" ca="1" si="629"/>
        <v>0</v>
      </c>
      <c r="X448" s="202"/>
      <c r="Y448" s="152"/>
      <c r="Z448" s="152"/>
      <c r="AA448" s="152"/>
      <c r="AB448" s="152"/>
    </row>
    <row r="449" spans="1:28" hidden="1" outlineLevel="1">
      <c r="A449" s="199">
        <f t="shared" si="630"/>
        <v>3</v>
      </c>
      <c r="B449" s="190" t="str">
        <f t="shared" ca="1" si="631"/>
        <v>Depreciated Net Capex 2018-19</v>
      </c>
      <c r="C449" s="1426"/>
      <c r="D449" s="1426"/>
      <c r="E449" s="1427"/>
      <c r="F449" s="1428">
        <f>F441</f>
        <v>0</v>
      </c>
      <c r="G449" s="1423">
        <f ca="1">IF(F473="n/a",F449,IFERROR(IF((OFFSET($C449,0,$A449))&lt;0,
MIN(0,F449-(OFFSET($C449,0,$A449)/(OFFSET($C444,-$A448,$A449)))),
MAX(0,F449-(OFFSET($C449,0,$A449)/(OFFSET($C444,-$A448,$A449))))),0))</f>
        <v>0</v>
      </c>
      <c r="H449" s="1423">
        <f t="shared" ca="1" si="614"/>
        <v>0</v>
      </c>
      <c r="I449" s="1423">
        <f t="shared" ca="1" si="615"/>
        <v>0</v>
      </c>
      <c r="J449" s="1423">
        <f t="shared" ca="1" si="616"/>
        <v>0</v>
      </c>
      <c r="K449" s="1423">
        <f t="shared" ca="1" si="617"/>
        <v>0</v>
      </c>
      <c r="L449" s="1423">
        <f t="shared" ca="1" si="618"/>
        <v>0</v>
      </c>
      <c r="M449" s="1423">
        <f t="shared" ca="1" si="619"/>
        <v>0</v>
      </c>
      <c r="N449" s="1423">
        <f t="shared" ca="1" si="620"/>
        <v>0</v>
      </c>
      <c r="O449" s="1423">
        <f t="shared" ca="1" si="621"/>
        <v>0</v>
      </c>
      <c r="P449" s="1423">
        <f t="shared" ca="1" si="622"/>
        <v>0</v>
      </c>
      <c r="Q449" s="1423">
        <f t="shared" ca="1" si="623"/>
        <v>0</v>
      </c>
      <c r="R449" s="1423">
        <f t="shared" ca="1" si="624"/>
        <v>0</v>
      </c>
      <c r="S449" s="1423">
        <f t="shared" ca="1" si="625"/>
        <v>0</v>
      </c>
      <c r="T449" s="1423">
        <f t="shared" ca="1" si="626"/>
        <v>0</v>
      </c>
      <c r="U449" s="1423">
        <f t="shared" ca="1" si="627"/>
        <v>0</v>
      </c>
      <c r="V449" s="1423">
        <f t="shared" ca="1" si="628"/>
        <v>0</v>
      </c>
      <c r="W449" s="1423">
        <f t="shared" ca="1" si="629"/>
        <v>0</v>
      </c>
      <c r="X449" s="202"/>
      <c r="Y449" s="202"/>
      <c r="Z449" s="152"/>
      <c r="AA449" s="152"/>
      <c r="AB449" s="152"/>
    </row>
    <row r="450" spans="1:28" hidden="1" outlineLevel="1">
      <c r="A450" s="199">
        <f t="shared" si="630"/>
        <v>4</v>
      </c>
      <c r="B450" s="190" t="str">
        <f t="shared" ca="1" si="631"/>
        <v>Depreciated Net Capex 2019-20</v>
      </c>
      <c r="C450" s="1426"/>
      <c r="D450" s="1426"/>
      <c r="E450" s="1426"/>
      <c r="F450" s="1427"/>
      <c r="G450" s="1428">
        <f>G441</f>
        <v>0</v>
      </c>
      <c r="H450" s="1423">
        <f ca="1">IF(G474="n/a",G450,IFERROR(IF((OFFSET($C450,0,$A450))&lt;0,
MIN(0,G450-(OFFSET($C450,0,$A450)/(OFFSET($C445,-$A449,$A450)))),
MAX(0,G450-(OFFSET($C450,0,$A450)/(OFFSET($C445,-$A449,$A450))))),0))</f>
        <v>0</v>
      </c>
      <c r="I450" s="1423">
        <f t="shared" ca="1" si="615"/>
        <v>0</v>
      </c>
      <c r="J450" s="1423">
        <f t="shared" ca="1" si="616"/>
        <v>0</v>
      </c>
      <c r="K450" s="1423">
        <f t="shared" ca="1" si="617"/>
        <v>0</v>
      </c>
      <c r="L450" s="1423">
        <f t="shared" ca="1" si="618"/>
        <v>0</v>
      </c>
      <c r="M450" s="1423">
        <f t="shared" ca="1" si="619"/>
        <v>0</v>
      </c>
      <c r="N450" s="1423">
        <f t="shared" ca="1" si="620"/>
        <v>0</v>
      </c>
      <c r="O450" s="1423">
        <f t="shared" ca="1" si="621"/>
        <v>0</v>
      </c>
      <c r="P450" s="1423">
        <f t="shared" ca="1" si="622"/>
        <v>0</v>
      </c>
      <c r="Q450" s="1423">
        <f t="shared" ca="1" si="623"/>
        <v>0</v>
      </c>
      <c r="R450" s="1423">
        <f t="shared" ca="1" si="624"/>
        <v>0</v>
      </c>
      <c r="S450" s="1423">
        <f t="shared" ca="1" si="625"/>
        <v>0</v>
      </c>
      <c r="T450" s="1423">
        <f t="shared" ca="1" si="626"/>
        <v>0</v>
      </c>
      <c r="U450" s="1423">
        <f t="shared" ca="1" si="627"/>
        <v>0</v>
      </c>
      <c r="V450" s="1423">
        <f t="shared" ca="1" si="628"/>
        <v>0</v>
      </c>
      <c r="W450" s="1423">
        <f t="shared" ca="1" si="629"/>
        <v>0</v>
      </c>
      <c r="X450" s="202"/>
      <c r="Y450" s="202"/>
      <c r="Z450" s="202"/>
      <c r="AA450" s="152"/>
      <c r="AB450" s="152"/>
    </row>
    <row r="451" spans="1:28" hidden="1" outlineLevel="1">
      <c r="A451" s="199">
        <f t="shared" si="630"/>
        <v>5</v>
      </c>
      <c r="B451" s="190" t="str">
        <f t="shared" ca="1" si="631"/>
        <v>Depreciated Net Capex 2020-21</v>
      </c>
      <c r="C451" s="1426"/>
      <c r="D451" s="1426"/>
      <c r="E451" s="1426"/>
      <c r="F451" s="1426"/>
      <c r="G451" s="1427"/>
      <c r="H451" s="1428">
        <f>H441</f>
        <v>0</v>
      </c>
      <c r="I451" s="1423">
        <f ca="1">IF(H475="n/a",H451,IFERROR(IF((OFFSET($C451,0,$A451))&lt;0,
MIN(0,H451-(OFFSET($C451,0,$A451)/(OFFSET($C446,-$A450,$A451)))),
MAX(0,H451-(OFFSET($C451,0,$A451)/(OFFSET($C446,-$A450,$A451))))),0))</f>
        <v>0</v>
      </c>
      <c r="J451" s="1423">
        <f t="shared" ca="1" si="616"/>
        <v>0</v>
      </c>
      <c r="K451" s="1423">
        <f t="shared" ca="1" si="617"/>
        <v>0</v>
      </c>
      <c r="L451" s="1423">
        <f t="shared" ca="1" si="618"/>
        <v>0</v>
      </c>
      <c r="M451" s="1423">
        <f t="shared" ca="1" si="619"/>
        <v>0</v>
      </c>
      <c r="N451" s="1423">
        <f t="shared" ca="1" si="620"/>
        <v>0</v>
      </c>
      <c r="O451" s="1423">
        <f t="shared" ca="1" si="621"/>
        <v>0</v>
      </c>
      <c r="P451" s="1423">
        <f t="shared" ca="1" si="622"/>
        <v>0</v>
      </c>
      <c r="Q451" s="1423">
        <f t="shared" ca="1" si="623"/>
        <v>0</v>
      </c>
      <c r="R451" s="1423">
        <f t="shared" ca="1" si="624"/>
        <v>0</v>
      </c>
      <c r="S451" s="1423">
        <f t="shared" ca="1" si="625"/>
        <v>0</v>
      </c>
      <c r="T451" s="1423">
        <f t="shared" ca="1" si="626"/>
        <v>0</v>
      </c>
      <c r="U451" s="1423">
        <f t="shared" ca="1" si="627"/>
        <v>0</v>
      </c>
      <c r="V451" s="1423">
        <f t="shared" ca="1" si="628"/>
        <v>0</v>
      </c>
      <c r="W451" s="1423">
        <f t="shared" ca="1" si="629"/>
        <v>0</v>
      </c>
      <c r="X451" s="202"/>
      <c r="Y451" s="202"/>
      <c r="Z451" s="202"/>
      <c r="AA451" s="152"/>
      <c r="AB451" s="152"/>
    </row>
    <row r="452" spans="1:28" hidden="1" outlineLevel="1">
      <c r="A452" s="199">
        <f t="shared" si="630"/>
        <v>6</v>
      </c>
      <c r="B452" s="190" t="str">
        <f t="shared" ca="1" si="631"/>
        <v>Depreciated Net Capex 2021-22</v>
      </c>
      <c r="C452" s="1426"/>
      <c r="D452" s="1426"/>
      <c r="E452" s="1426"/>
      <c r="F452" s="1426"/>
      <c r="G452" s="1426"/>
      <c r="H452" s="1427"/>
      <c r="I452" s="1428">
        <f>I441</f>
        <v>0</v>
      </c>
      <c r="J452" s="1423">
        <f ca="1">IF(I476="n/a",I452,IFERROR(IF((OFFSET($C452,0,$A452))&lt;0,
MIN(0,I452-(OFFSET($C452,0,$A452)/(OFFSET($C447,-$A451,$A452)))),
MAX(0,I452-(OFFSET($C452,0,$A452)/(OFFSET($C447,-$A451,$A452))))),0))</f>
        <v>0</v>
      </c>
      <c r="K452" s="1423">
        <f t="shared" ca="1" si="617"/>
        <v>0</v>
      </c>
      <c r="L452" s="1423">
        <f t="shared" ca="1" si="618"/>
        <v>0</v>
      </c>
      <c r="M452" s="1423">
        <f t="shared" ca="1" si="619"/>
        <v>0</v>
      </c>
      <c r="N452" s="1423">
        <f t="shared" ca="1" si="620"/>
        <v>0</v>
      </c>
      <c r="O452" s="1423">
        <f t="shared" ca="1" si="621"/>
        <v>0</v>
      </c>
      <c r="P452" s="1423">
        <f t="shared" ca="1" si="622"/>
        <v>0</v>
      </c>
      <c r="Q452" s="1423">
        <f t="shared" ca="1" si="623"/>
        <v>0</v>
      </c>
      <c r="R452" s="1423">
        <f t="shared" ca="1" si="624"/>
        <v>0</v>
      </c>
      <c r="S452" s="1423">
        <f t="shared" ca="1" si="625"/>
        <v>0</v>
      </c>
      <c r="T452" s="1423">
        <f t="shared" ca="1" si="626"/>
        <v>0</v>
      </c>
      <c r="U452" s="1423">
        <f t="shared" ca="1" si="627"/>
        <v>0</v>
      </c>
      <c r="V452" s="1423">
        <f t="shared" ca="1" si="628"/>
        <v>0</v>
      </c>
      <c r="W452" s="1423">
        <f t="shared" ca="1" si="629"/>
        <v>0</v>
      </c>
      <c r="X452" s="202"/>
      <c r="Y452" s="202"/>
      <c r="Z452" s="202"/>
      <c r="AA452" s="152"/>
      <c r="AB452" s="152"/>
    </row>
    <row r="453" spans="1:28" hidden="1" outlineLevel="1">
      <c r="A453" s="199">
        <f t="shared" si="630"/>
        <v>7</v>
      </c>
      <c r="B453" s="190" t="str">
        <f t="shared" ca="1" si="631"/>
        <v>Depreciated Net Capex 2022-23</v>
      </c>
      <c r="C453" s="1426"/>
      <c r="D453" s="1426"/>
      <c r="E453" s="1426"/>
      <c r="F453" s="1426"/>
      <c r="G453" s="1426"/>
      <c r="H453" s="1426"/>
      <c r="I453" s="1427"/>
      <c r="J453" s="1428">
        <f>J441</f>
        <v>0</v>
      </c>
      <c r="K453" s="1423">
        <f ca="1">IF(J477="n/a",J453,IFERROR(IF((OFFSET($C453,0,$A453))&lt;0,
MIN(0,J453-(OFFSET($C453,0,$A453)/(OFFSET($C448,-$A452,$A453)))),
MAX(0,J453-(OFFSET($C453,0,$A453)/(OFFSET($C448,-$A452,$A453))))),0))</f>
        <v>0</v>
      </c>
      <c r="L453" s="1423">
        <f t="shared" ca="1" si="618"/>
        <v>0</v>
      </c>
      <c r="M453" s="1423">
        <f t="shared" ca="1" si="619"/>
        <v>0</v>
      </c>
      <c r="N453" s="1423">
        <f t="shared" ca="1" si="620"/>
        <v>0</v>
      </c>
      <c r="O453" s="1423">
        <f t="shared" ca="1" si="621"/>
        <v>0</v>
      </c>
      <c r="P453" s="1423">
        <f t="shared" ca="1" si="622"/>
        <v>0</v>
      </c>
      <c r="Q453" s="1423">
        <f t="shared" ca="1" si="623"/>
        <v>0</v>
      </c>
      <c r="R453" s="1423">
        <f t="shared" ca="1" si="624"/>
        <v>0</v>
      </c>
      <c r="S453" s="1423">
        <f t="shared" ca="1" si="625"/>
        <v>0</v>
      </c>
      <c r="T453" s="1423">
        <f t="shared" ca="1" si="626"/>
        <v>0</v>
      </c>
      <c r="U453" s="1423">
        <f t="shared" ca="1" si="627"/>
        <v>0</v>
      </c>
      <c r="V453" s="1423">
        <f t="shared" ca="1" si="628"/>
        <v>0</v>
      </c>
      <c r="W453" s="1423">
        <f t="shared" ca="1" si="629"/>
        <v>0</v>
      </c>
      <c r="X453" s="202"/>
      <c r="Y453" s="202"/>
      <c r="Z453" s="202"/>
      <c r="AA453" s="152"/>
      <c r="AB453" s="152"/>
    </row>
    <row r="454" spans="1:28" hidden="1" outlineLevel="1">
      <c r="A454" s="199">
        <f t="shared" si="630"/>
        <v>8</v>
      </c>
      <c r="B454" s="190" t="str">
        <f t="shared" ca="1" si="631"/>
        <v>Depreciated Net Capex 2023-24</v>
      </c>
      <c r="C454" s="1426"/>
      <c r="D454" s="1426"/>
      <c r="E454" s="1426"/>
      <c r="F454" s="1426"/>
      <c r="G454" s="1426"/>
      <c r="H454" s="1426"/>
      <c r="I454" s="1426"/>
      <c r="J454" s="1427"/>
      <c r="K454" s="1428">
        <f>K441</f>
        <v>0</v>
      </c>
      <c r="L454" s="1423">
        <f ca="1">IF(K478="n/a",K454,IFERROR(IF((OFFSET($C454,0,$A454))&lt;0,
MIN(0,K454-(OFFSET($C454,0,$A454)/(OFFSET($C449,-$A453,$A454)))),
MAX(0,K454-(OFFSET($C454,0,$A454)/(OFFSET($C449,-$A453,$A454))))),0))</f>
        <v>0</v>
      </c>
      <c r="M454" s="1423">
        <f t="shared" ca="1" si="619"/>
        <v>0</v>
      </c>
      <c r="N454" s="1423">
        <f t="shared" ca="1" si="620"/>
        <v>0</v>
      </c>
      <c r="O454" s="1423">
        <f t="shared" ca="1" si="621"/>
        <v>0</v>
      </c>
      <c r="P454" s="1423">
        <f t="shared" ca="1" si="622"/>
        <v>0</v>
      </c>
      <c r="Q454" s="1423">
        <f t="shared" ca="1" si="623"/>
        <v>0</v>
      </c>
      <c r="R454" s="1423">
        <f t="shared" ca="1" si="624"/>
        <v>0</v>
      </c>
      <c r="S454" s="1423">
        <f t="shared" ca="1" si="625"/>
        <v>0</v>
      </c>
      <c r="T454" s="1423">
        <f t="shared" ca="1" si="626"/>
        <v>0</v>
      </c>
      <c r="U454" s="1423">
        <f t="shared" ca="1" si="627"/>
        <v>0</v>
      </c>
      <c r="V454" s="1423">
        <f t="shared" ca="1" si="628"/>
        <v>0</v>
      </c>
      <c r="W454" s="1423">
        <f t="shared" ca="1" si="629"/>
        <v>0</v>
      </c>
      <c r="X454" s="202"/>
      <c r="Y454" s="202"/>
      <c r="Z454" s="202"/>
      <c r="AA454" s="152"/>
      <c r="AB454" s="152"/>
    </row>
    <row r="455" spans="1:28" hidden="1" outlineLevel="1">
      <c r="A455" s="199">
        <f t="shared" si="630"/>
        <v>9</v>
      </c>
      <c r="B455" s="190" t="str">
        <f t="shared" ca="1" si="631"/>
        <v>Depreciated Net Capex 2024-25</v>
      </c>
      <c r="C455" s="1426"/>
      <c r="D455" s="1426"/>
      <c r="E455" s="1426"/>
      <c r="F455" s="1426"/>
      <c r="G455" s="1426"/>
      <c r="H455" s="1426"/>
      <c r="I455" s="1426"/>
      <c r="J455" s="1426"/>
      <c r="K455" s="1427"/>
      <c r="L455" s="1428">
        <f>L441</f>
        <v>0</v>
      </c>
      <c r="M455" s="1423">
        <f ca="1">IF(L479="n/a",L455,IFERROR(IF((OFFSET($C455,0,$A455))&lt;0,
MIN(0,L455-(OFFSET($C455,0,$A455)/(OFFSET($C450,-$A454,$A455)))),
MAX(0,L455-(OFFSET($C455,0,$A455)/(OFFSET($C450,-$A454,$A455))))),0))</f>
        <v>0</v>
      </c>
      <c r="N455" s="1423">
        <f t="shared" ca="1" si="620"/>
        <v>0</v>
      </c>
      <c r="O455" s="1423">
        <f t="shared" ca="1" si="621"/>
        <v>0</v>
      </c>
      <c r="P455" s="1423">
        <f t="shared" ca="1" si="622"/>
        <v>0</v>
      </c>
      <c r="Q455" s="1423">
        <f t="shared" ca="1" si="623"/>
        <v>0</v>
      </c>
      <c r="R455" s="1423">
        <f t="shared" ca="1" si="624"/>
        <v>0</v>
      </c>
      <c r="S455" s="1423">
        <f t="shared" ca="1" si="625"/>
        <v>0</v>
      </c>
      <c r="T455" s="1423">
        <f t="shared" ca="1" si="626"/>
        <v>0</v>
      </c>
      <c r="U455" s="1423">
        <f t="shared" ca="1" si="627"/>
        <v>0</v>
      </c>
      <c r="V455" s="1423">
        <f t="shared" ca="1" si="628"/>
        <v>0</v>
      </c>
      <c r="W455" s="1423">
        <f t="shared" ca="1" si="629"/>
        <v>0</v>
      </c>
      <c r="X455" s="202"/>
      <c r="Y455" s="202"/>
      <c r="Z455" s="202"/>
      <c r="AA455" s="152"/>
      <c r="AB455" s="152"/>
    </row>
    <row r="456" spans="1:28" hidden="1" outlineLevel="1">
      <c r="A456" s="199">
        <f t="shared" si="630"/>
        <v>10</v>
      </c>
      <c r="B456" s="190" t="str">
        <f t="shared" ca="1" si="631"/>
        <v>Depreciated Net Capex 2025-26</v>
      </c>
      <c r="C456" s="1426"/>
      <c r="D456" s="1426"/>
      <c r="E456" s="1426"/>
      <c r="F456" s="1426"/>
      <c r="G456" s="1426"/>
      <c r="H456" s="1426"/>
      <c r="I456" s="1426"/>
      <c r="J456" s="1426"/>
      <c r="K456" s="1426"/>
      <c r="L456" s="1427"/>
      <c r="M456" s="1428">
        <f>M441</f>
        <v>0</v>
      </c>
      <c r="N456" s="1423">
        <f ca="1">IF(M480="n/a",M456,IFERROR(IF((OFFSET($C456,0,$A456))&lt;0,
MIN(0,M456-(OFFSET($C456,0,$A456)/(OFFSET($C451,-$A455,$A456)))),
MAX(0,M456-(OFFSET($C456,0,$A456)/(OFFSET($C451,-$A455,$A456))))),0))</f>
        <v>0</v>
      </c>
      <c r="O456" s="1423">
        <f t="shared" ca="1" si="621"/>
        <v>0</v>
      </c>
      <c r="P456" s="1423">
        <f t="shared" ca="1" si="622"/>
        <v>0</v>
      </c>
      <c r="Q456" s="1423">
        <f t="shared" ca="1" si="623"/>
        <v>0</v>
      </c>
      <c r="R456" s="1423">
        <f t="shared" ca="1" si="624"/>
        <v>0</v>
      </c>
      <c r="S456" s="1423">
        <f t="shared" ca="1" si="625"/>
        <v>0</v>
      </c>
      <c r="T456" s="1423">
        <f t="shared" ca="1" si="626"/>
        <v>0</v>
      </c>
      <c r="U456" s="1423">
        <f t="shared" ca="1" si="627"/>
        <v>0</v>
      </c>
      <c r="V456" s="1423">
        <f t="shared" ca="1" si="628"/>
        <v>0</v>
      </c>
      <c r="W456" s="1423">
        <f t="shared" ca="1" si="629"/>
        <v>0</v>
      </c>
      <c r="X456" s="202"/>
      <c r="Y456" s="202"/>
      <c r="Z456" s="202"/>
      <c r="AA456" s="152"/>
      <c r="AB456" s="152"/>
    </row>
    <row r="457" spans="1:28" hidden="1" outlineLevel="1">
      <c r="A457" s="199">
        <f t="shared" si="630"/>
        <v>11</v>
      </c>
      <c r="B457" s="190" t="str">
        <f t="shared" ca="1" si="631"/>
        <v>Depreciated Net Capex 2026-27</v>
      </c>
      <c r="C457" s="1426"/>
      <c r="D457" s="1426"/>
      <c r="E457" s="1426"/>
      <c r="F457" s="1426"/>
      <c r="G457" s="1426"/>
      <c r="H457" s="1426"/>
      <c r="I457" s="1426"/>
      <c r="J457" s="1426"/>
      <c r="K457" s="1426"/>
      <c r="L457" s="1426"/>
      <c r="M457" s="1427"/>
      <c r="N457" s="1428">
        <f>N441</f>
        <v>0</v>
      </c>
      <c r="O457" s="1423">
        <f ca="1">IF(N481="n/a",N457,IFERROR(IF((OFFSET($C457,0,$A457))&lt;0,
MIN(0,N457-(OFFSET($C457,0,$A457)/(OFFSET($C452,-$A456,$A457)))),
MAX(0,N457-(OFFSET($C457,0,$A457)/(OFFSET($C452,-$A456,$A457))))),0))</f>
        <v>0</v>
      </c>
      <c r="P457" s="1423">
        <f t="shared" ca="1" si="622"/>
        <v>0</v>
      </c>
      <c r="Q457" s="1423">
        <f t="shared" ca="1" si="623"/>
        <v>0</v>
      </c>
      <c r="R457" s="1423">
        <f t="shared" ca="1" si="624"/>
        <v>0</v>
      </c>
      <c r="S457" s="1423">
        <f t="shared" ca="1" si="625"/>
        <v>0</v>
      </c>
      <c r="T457" s="1423">
        <f t="shared" ca="1" si="626"/>
        <v>0</v>
      </c>
      <c r="U457" s="1423">
        <f t="shared" ca="1" si="627"/>
        <v>0</v>
      </c>
      <c r="V457" s="1423">
        <f t="shared" ca="1" si="628"/>
        <v>0</v>
      </c>
      <c r="W457" s="1423">
        <f t="shared" ca="1" si="629"/>
        <v>0</v>
      </c>
      <c r="X457" s="202"/>
      <c r="Y457" s="202"/>
      <c r="Z457" s="202"/>
      <c r="AA457" s="152"/>
      <c r="AB457" s="152"/>
    </row>
    <row r="458" spans="1:28" hidden="1" outlineLevel="1">
      <c r="A458" s="199">
        <f t="shared" si="630"/>
        <v>12</v>
      </c>
      <c r="B458" s="190" t="str">
        <f t="shared" ca="1" si="631"/>
        <v>Depreciated Net Capex 2027-28</v>
      </c>
      <c r="C458" s="1426"/>
      <c r="D458" s="1426"/>
      <c r="E458" s="1426"/>
      <c r="F458" s="1426"/>
      <c r="G458" s="1426"/>
      <c r="H458" s="1426"/>
      <c r="I458" s="1426"/>
      <c r="J458" s="1426"/>
      <c r="K458" s="1426"/>
      <c r="L458" s="1426"/>
      <c r="M458" s="1426"/>
      <c r="N458" s="1427"/>
      <c r="O458" s="1428">
        <f>O441</f>
        <v>0</v>
      </c>
      <c r="P458" s="1423">
        <f ca="1">IF(O482="n/a",O458,IFERROR(IF((OFFSET($C458,0,$A458))&lt;0,
MIN(0,O458-(OFFSET($C458,0,$A458)/(OFFSET($C453,-$A457,$A458)))),
MAX(0,O458-(OFFSET($C458,0,$A458)/(OFFSET($C453,-$A457,$A458))))),0))</f>
        <v>0</v>
      </c>
      <c r="Q458" s="1423">
        <f t="shared" ca="1" si="623"/>
        <v>0</v>
      </c>
      <c r="R458" s="1423">
        <f t="shared" ca="1" si="624"/>
        <v>0</v>
      </c>
      <c r="S458" s="1423">
        <f t="shared" ca="1" si="625"/>
        <v>0</v>
      </c>
      <c r="T458" s="1423">
        <f t="shared" ca="1" si="626"/>
        <v>0</v>
      </c>
      <c r="U458" s="1423">
        <f t="shared" ca="1" si="627"/>
        <v>0</v>
      </c>
      <c r="V458" s="1423">
        <f t="shared" ca="1" si="628"/>
        <v>0</v>
      </c>
      <c r="W458" s="1423">
        <f t="shared" ca="1" si="629"/>
        <v>0</v>
      </c>
      <c r="X458" s="202"/>
      <c r="Y458" s="202"/>
      <c r="Z458" s="202"/>
      <c r="AA458" s="152"/>
      <c r="AB458" s="152"/>
    </row>
    <row r="459" spans="1:28" hidden="1" outlineLevel="1">
      <c r="A459" s="199">
        <f t="shared" si="630"/>
        <v>13</v>
      </c>
      <c r="B459" s="190" t="str">
        <f t="shared" ca="1" si="631"/>
        <v>Depreciated Net Capex 2028-29</v>
      </c>
      <c r="C459" s="1426"/>
      <c r="D459" s="1426"/>
      <c r="E459" s="1426"/>
      <c r="F459" s="1426"/>
      <c r="G459" s="1426"/>
      <c r="H459" s="1426"/>
      <c r="I459" s="1426"/>
      <c r="J459" s="1426"/>
      <c r="K459" s="1426"/>
      <c r="L459" s="1426"/>
      <c r="M459" s="1426"/>
      <c r="N459" s="1426"/>
      <c r="O459" s="1427"/>
      <c r="P459" s="1428">
        <f>P441</f>
        <v>0</v>
      </c>
      <c r="Q459" s="1423">
        <f ca="1">IF(P483="n/a",P459,IFERROR(IF((OFFSET($C459,0,$A459))&lt;0,
MIN(0,P459-(OFFSET($C459,0,$A459)/(OFFSET($C454,-$A458,$A459)))),
MAX(0,P459-(OFFSET($C459,0,$A459)/(OFFSET($C454,-$A458,$A459))))),0))</f>
        <v>0</v>
      </c>
      <c r="R459" s="1423">
        <f t="shared" ca="1" si="624"/>
        <v>0</v>
      </c>
      <c r="S459" s="1423">
        <f t="shared" ca="1" si="625"/>
        <v>0</v>
      </c>
      <c r="T459" s="1423">
        <f t="shared" ca="1" si="626"/>
        <v>0</v>
      </c>
      <c r="U459" s="1423">
        <f t="shared" ca="1" si="627"/>
        <v>0</v>
      </c>
      <c r="V459" s="1423">
        <f t="shared" ca="1" si="628"/>
        <v>0</v>
      </c>
      <c r="W459" s="1423">
        <f t="shared" ca="1" si="629"/>
        <v>0</v>
      </c>
      <c r="X459" s="202"/>
      <c r="Y459" s="202"/>
      <c r="Z459" s="202"/>
      <c r="AA459" s="152"/>
      <c r="AB459" s="152"/>
    </row>
    <row r="460" spans="1:28" hidden="1" outlineLevel="1">
      <c r="A460" s="199">
        <f t="shared" si="630"/>
        <v>14</v>
      </c>
      <c r="B460" s="190" t="str">
        <f t="shared" ca="1" si="631"/>
        <v>Depreciated Net Capex 2029-30</v>
      </c>
      <c r="C460" s="1426"/>
      <c r="D460" s="1426"/>
      <c r="E460" s="1426"/>
      <c r="F460" s="1426"/>
      <c r="G460" s="1426"/>
      <c r="H460" s="1426"/>
      <c r="I460" s="1426"/>
      <c r="J460" s="1426"/>
      <c r="K460" s="1426"/>
      <c r="L460" s="1426"/>
      <c r="M460" s="1426"/>
      <c r="N460" s="1426"/>
      <c r="O460" s="1426"/>
      <c r="P460" s="1427"/>
      <c r="Q460" s="1428">
        <f>Q441</f>
        <v>0</v>
      </c>
      <c r="R460" s="1423">
        <f ca="1">IF(Q484="n/a",Q460,IFERROR(IF((OFFSET($C460,0,$A460))&lt;0,
MIN(0,Q460-(OFFSET($C460,0,$A460)/(OFFSET($C455,-$A459,$A460)))),
MAX(0,Q460-(OFFSET($C460,0,$A460)/(OFFSET($C455,-$A459,$A460))))),0))</f>
        <v>0</v>
      </c>
      <c r="S460" s="1423">
        <f t="shared" ca="1" si="625"/>
        <v>0</v>
      </c>
      <c r="T460" s="1423">
        <f t="shared" ca="1" si="626"/>
        <v>0</v>
      </c>
      <c r="U460" s="1423">
        <f t="shared" ca="1" si="627"/>
        <v>0</v>
      </c>
      <c r="V460" s="1423">
        <f t="shared" ca="1" si="628"/>
        <v>0</v>
      </c>
      <c r="W460" s="1423">
        <f t="shared" ca="1" si="629"/>
        <v>0</v>
      </c>
      <c r="X460" s="202"/>
      <c r="Y460" s="202"/>
      <c r="Z460" s="202"/>
      <c r="AA460" s="152"/>
      <c r="AB460" s="152"/>
    </row>
    <row r="461" spans="1:28" hidden="1" outlineLevel="1">
      <c r="A461" s="199">
        <f t="shared" si="630"/>
        <v>15</v>
      </c>
      <c r="B461" s="190" t="str">
        <f t="shared" ca="1" si="631"/>
        <v>Depreciated Net Capex 2030-31</v>
      </c>
      <c r="C461" s="1426"/>
      <c r="D461" s="1426"/>
      <c r="E461" s="1426"/>
      <c r="F461" s="1426"/>
      <c r="G461" s="1426"/>
      <c r="H461" s="1426"/>
      <c r="I461" s="1426"/>
      <c r="J461" s="1426"/>
      <c r="K461" s="1426"/>
      <c r="L461" s="1426"/>
      <c r="M461" s="1426"/>
      <c r="N461" s="1426"/>
      <c r="O461" s="1426"/>
      <c r="P461" s="1426"/>
      <c r="Q461" s="1427"/>
      <c r="R461" s="1428">
        <f>R441</f>
        <v>0</v>
      </c>
      <c r="S461" s="1423">
        <f ca="1">IF(R485="n/a",R461,IFERROR(IF((OFFSET($C461,0,$A461))&lt;0,
MIN(0,R461-(OFFSET($C461,0,$A461)/(OFFSET($C456,-$A460,$A461)))),
MAX(0,R461-(OFFSET($C461,0,$A461)/(OFFSET($C456,-$A460,$A461))))),0))</f>
        <v>0</v>
      </c>
      <c r="T461" s="1423">
        <f t="shared" ca="1" si="626"/>
        <v>0</v>
      </c>
      <c r="U461" s="1423">
        <f t="shared" ca="1" si="627"/>
        <v>0</v>
      </c>
      <c r="V461" s="1423">
        <f t="shared" ca="1" si="628"/>
        <v>0</v>
      </c>
      <c r="W461" s="1423">
        <f t="shared" ca="1" si="629"/>
        <v>0</v>
      </c>
      <c r="X461" s="202"/>
      <c r="Y461" s="202"/>
      <c r="Z461" s="202"/>
      <c r="AA461" s="152"/>
      <c r="AB461" s="152"/>
    </row>
    <row r="462" spans="1:28" hidden="1" outlineLevel="1">
      <c r="A462" s="199">
        <f t="shared" si="630"/>
        <v>16</v>
      </c>
      <c r="B462" s="190" t="str">
        <f t="shared" ca="1" si="631"/>
        <v>Depreciated Net Capex 2031-32</v>
      </c>
      <c r="C462" s="1426"/>
      <c r="D462" s="1426"/>
      <c r="E462" s="1426"/>
      <c r="F462" s="1426"/>
      <c r="G462" s="1426"/>
      <c r="H462" s="1426"/>
      <c r="I462" s="1426"/>
      <c r="J462" s="1426"/>
      <c r="K462" s="1426"/>
      <c r="L462" s="1426"/>
      <c r="M462" s="1426"/>
      <c r="N462" s="1426"/>
      <c r="O462" s="1426"/>
      <c r="P462" s="1426"/>
      <c r="Q462" s="1426"/>
      <c r="R462" s="1427"/>
      <c r="S462" s="1428">
        <f>S441</f>
        <v>0</v>
      </c>
      <c r="T462" s="1423">
        <f ca="1">IF(S486="n/a",S462,IFERROR(IF((OFFSET($C462,0,$A462))&lt;0,
MIN(0,S462-(OFFSET($C462,0,$A462)/(OFFSET($C457,-$A461,$A462)))),
MAX(0,S462-(OFFSET($C462,0,$A462)/(OFFSET($C457,-$A461,$A462))))),0))</f>
        <v>0</v>
      </c>
      <c r="U462" s="1423">
        <f t="shared" ca="1" si="627"/>
        <v>0</v>
      </c>
      <c r="V462" s="1423">
        <f t="shared" ca="1" si="628"/>
        <v>0</v>
      </c>
      <c r="W462" s="1423">
        <f t="shared" ca="1" si="629"/>
        <v>0</v>
      </c>
      <c r="X462" s="202"/>
      <c r="Y462" s="202"/>
      <c r="Z462" s="202"/>
      <c r="AA462" s="152"/>
      <c r="AB462" s="152"/>
    </row>
    <row r="463" spans="1:28" hidden="1" outlineLevel="1">
      <c r="A463" s="199">
        <f t="shared" si="630"/>
        <v>17</v>
      </c>
      <c r="B463" s="190" t="str">
        <f t="shared" ca="1" si="631"/>
        <v>Depreciated Net Capex 2032-33</v>
      </c>
      <c r="C463" s="1426"/>
      <c r="D463" s="1426"/>
      <c r="E463" s="1426"/>
      <c r="F463" s="1426"/>
      <c r="G463" s="1426"/>
      <c r="H463" s="1426"/>
      <c r="I463" s="1426"/>
      <c r="J463" s="1426"/>
      <c r="K463" s="1426"/>
      <c r="L463" s="1426"/>
      <c r="M463" s="1426"/>
      <c r="N463" s="1426"/>
      <c r="O463" s="1426"/>
      <c r="P463" s="1426"/>
      <c r="Q463" s="1426"/>
      <c r="R463" s="1426"/>
      <c r="S463" s="1427"/>
      <c r="T463" s="1428">
        <f>T441</f>
        <v>0</v>
      </c>
      <c r="U463" s="1423">
        <f ca="1">IF(T487="n/a",T463,IFERROR(IF((OFFSET($C463,0,$A463))&lt;0,
MIN(0,T463-(OFFSET($C463,0,$A463)/(OFFSET($C458,-$A462,$A463)))),
MAX(0,T463-(OFFSET($C463,0,$A463)/(OFFSET($C458,-$A462,$A463))))),0))</f>
        <v>0</v>
      </c>
      <c r="V463" s="1423">
        <f t="shared" ca="1" si="628"/>
        <v>0</v>
      </c>
      <c r="W463" s="1423">
        <f t="shared" ca="1" si="629"/>
        <v>0</v>
      </c>
      <c r="X463" s="202"/>
      <c r="Y463" s="202"/>
      <c r="Z463" s="202"/>
      <c r="AA463" s="152"/>
      <c r="AB463" s="152"/>
    </row>
    <row r="464" spans="1:28" hidden="1" outlineLevel="1">
      <c r="A464" s="199">
        <f t="shared" si="630"/>
        <v>18</v>
      </c>
      <c r="B464" s="190" t="str">
        <f t="shared" ca="1" si="631"/>
        <v>Depreciated Net Capex 2033-34</v>
      </c>
      <c r="C464" s="1426"/>
      <c r="D464" s="1426"/>
      <c r="E464" s="1426"/>
      <c r="F464" s="1426"/>
      <c r="G464" s="1426"/>
      <c r="H464" s="1426"/>
      <c r="I464" s="1426"/>
      <c r="J464" s="1426"/>
      <c r="K464" s="1426"/>
      <c r="L464" s="1426"/>
      <c r="M464" s="1426"/>
      <c r="N464" s="1426"/>
      <c r="O464" s="1426"/>
      <c r="P464" s="1426"/>
      <c r="Q464" s="1426"/>
      <c r="R464" s="1426"/>
      <c r="S464" s="1426"/>
      <c r="T464" s="1427"/>
      <c r="U464" s="1428">
        <f>U441</f>
        <v>0</v>
      </c>
      <c r="V464" s="1423">
        <f ca="1">IF(U488="n/a",U464,IFERROR(IF((OFFSET($C464,0,$A464))&lt;0,
MIN(0,U464-(OFFSET($C464,0,$A464)/(OFFSET($C459,-$A463,$A464)))),
MAX(0,U464-(OFFSET($C464,0,$A464)/(OFFSET($C459,-$A463,$A464))))),0))</f>
        <v>0</v>
      </c>
      <c r="W464" s="1423">
        <f t="shared" ca="1" si="629"/>
        <v>0</v>
      </c>
      <c r="X464" s="202"/>
      <c r="Y464" s="202"/>
      <c r="Z464" s="202"/>
      <c r="AA464" s="152"/>
      <c r="AB464" s="152"/>
    </row>
    <row r="465" spans="1:28" hidden="1" outlineLevel="1">
      <c r="A465" s="199">
        <f t="shared" si="630"/>
        <v>19</v>
      </c>
      <c r="B465" s="190" t="str">
        <f t="shared" ca="1" si="631"/>
        <v>Depreciated Net Capex 2034-35</v>
      </c>
      <c r="C465" s="1426"/>
      <c r="D465" s="1426"/>
      <c r="E465" s="1426"/>
      <c r="F465" s="1426"/>
      <c r="G465" s="1426"/>
      <c r="H465" s="1426"/>
      <c r="I465" s="1426"/>
      <c r="J465" s="1426"/>
      <c r="K465" s="1426"/>
      <c r="L465" s="1426"/>
      <c r="M465" s="1426"/>
      <c r="N465" s="1426"/>
      <c r="O465" s="1426"/>
      <c r="P465" s="1426"/>
      <c r="Q465" s="1426"/>
      <c r="R465" s="1426"/>
      <c r="S465" s="1426"/>
      <c r="T465" s="1426"/>
      <c r="U465" s="1427"/>
      <c r="V465" s="1428">
        <f>V441</f>
        <v>0</v>
      </c>
      <c r="W465" s="1423">
        <f ca="1">IF(V489="n/a",V465,IFERROR(IF((OFFSET($C465,0,$A465))&lt;0,
MIN(0,V465-(OFFSET($C465,0,$A465)/(OFFSET($C460,-$A464,$A465)))),
MAX(0,V465-(OFFSET($C465,0,$A465)/(OFFSET($C460,-$A464,$A465))))),0))</f>
        <v>0</v>
      </c>
      <c r="X465" s="202"/>
      <c r="Y465" s="202"/>
      <c r="Z465" s="202"/>
      <c r="AA465" s="152"/>
      <c r="AB465" s="152"/>
    </row>
    <row r="466" spans="1:28" hidden="1" outlineLevel="1">
      <c r="A466" s="199">
        <f t="shared" si="630"/>
        <v>20</v>
      </c>
      <c r="B466" s="190" t="str">
        <f t="shared" ca="1" si="631"/>
        <v>Depreciated Net Capex 2035-36</v>
      </c>
      <c r="C466" s="1426"/>
      <c r="D466" s="1426"/>
      <c r="E466" s="1426"/>
      <c r="F466" s="1426"/>
      <c r="G466" s="1426"/>
      <c r="H466" s="1426"/>
      <c r="I466" s="1426"/>
      <c r="J466" s="1426"/>
      <c r="K466" s="1426"/>
      <c r="L466" s="1426"/>
      <c r="M466" s="1426"/>
      <c r="N466" s="1426"/>
      <c r="O466" s="1426"/>
      <c r="P466" s="1426"/>
      <c r="Q466" s="1426"/>
      <c r="R466" s="1426"/>
      <c r="S466" s="1426"/>
      <c r="T466" s="1426"/>
      <c r="U466" s="1426"/>
      <c r="V466" s="1427"/>
      <c r="W466" s="1423">
        <f>W441</f>
        <v>0</v>
      </c>
      <c r="X466" s="152"/>
      <c r="Y466" s="152"/>
      <c r="Z466" s="152"/>
      <c r="AA466" s="152"/>
      <c r="AB466" s="152"/>
    </row>
    <row r="467" spans="1:28" hidden="1" outlineLevel="1">
      <c r="A467" s="242"/>
      <c r="B467" s="200"/>
      <c r="C467" s="1423"/>
      <c r="D467" s="1423"/>
      <c r="E467" s="1423"/>
      <c r="F467" s="1423"/>
      <c r="G467" s="1423"/>
      <c r="H467" s="1423"/>
      <c r="I467" s="1423"/>
      <c r="J467" s="1423"/>
      <c r="K467" s="1423"/>
      <c r="L467" s="1423"/>
      <c r="M467" s="1423"/>
      <c r="N467" s="1423"/>
      <c r="O467" s="1423"/>
      <c r="P467" s="1423"/>
      <c r="Q467" s="1423"/>
      <c r="R467" s="1423"/>
      <c r="S467" s="1423"/>
      <c r="T467" s="1423"/>
      <c r="U467" s="1423"/>
      <c r="V467" s="1423"/>
      <c r="W467" s="1423"/>
      <c r="X467" s="152"/>
      <c r="Y467" s="152"/>
      <c r="Z467" s="152"/>
      <c r="AA467" s="152"/>
      <c r="AB467" s="152"/>
    </row>
    <row r="468" spans="1:28" hidden="1" outlineLevel="1">
      <c r="A468" s="242"/>
      <c r="B468" s="200"/>
      <c r="C468" s="1423"/>
      <c r="D468" s="1423"/>
      <c r="E468" s="1423"/>
      <c r="F468" s="1423"/>
      <c r="G468" s="1423"/>
      <c r="H468" s="1423"/>
      <c r="I468" s="1423"/>
      <c r="J468" s="1423"/>
      <c r="K468" s="1423"/>
      <c r="L468" s="1423"/>
      <c r="M468" s="1423"/>
      <c r="N468" s="1423"/>
      <c r="O468" s="1423"/>
      <c r="P468" s="1423"/>
      <c r="Q468" s="1423"/>
      <c r="R468" s="1423"/>
      <c r="S468" s="1423"/>
      <c r="T468" s="1423"/>
      <c r="U468" s="1423"/>
      <c r="V468" s="1423"/>
      <c r="W468" s="1423"/>
      <c r="X468" s="152"/>
      <c r="Y468" s="152"/>
      <c r="Z468" s="152"/>
      <c r="AA468" s="152"/>
      <c r="AB468" s="152"/>
    </row>
    <row r="469" spans="1:28" hidden="1" outlineLevel="1">
      <c r="A469" s="242"/>
      <c r="B469" s="190" t="s">
        <v>194</v>
      </c>
      <c r="C469" s="1423"/>
      <c r="D469" s="1423">
        <f t="shared" ref="D469" ca="1" si="632">IF(AND(C469&lt;1,D443=0),0,
IF(D443=0,C469-1,
IF(C469&lt;1,D444,
(((C469-1)*(C445-(C445/(C469))))+(D443*D444))/(D445))))</f>
        <v>0</v>
      </c>
      <c r="E469" s="1423">
        <f t="shared" ref="E469" ca="1" si="633">IF(AND(D469&lt;1,E443=0),0,
IF(E443=0,D469-1,
IF(D469&lt;1,E444,
(((D469-1)*(D445-(D445/(D469))))+(E443*E444))/(E445))))</f>
        <v>0</v>
      </c>
      <c r="F469" s="1423">
        <f t="shared" ref="F469" ca="1" si="634">IF(AND(E469&lt;1,F443=0),0,
IF(F443=0,E469-1,
IF(E469&lt;1,F444,
(((E469-1)*(E445-(E445/(E469))))+(F443*F444))/(F445))))</f>
        <v>0</v>
      </c>
      <c r="G469" s="1423">
        <f t="shared" ref="G469" ca="1" si="635">IF(AND(F469&lt;1,G443=0),0,
IF(G443=0,F469-1,
IF(F469&lt;1,G444,
(((F469-1)*(F445-(F445/(F469))))+(G443*G444))/(G445))))</f>
        <v>0</v>
      </c>
      <c r="H469" s="1423">
        <f ca="1">IF(AND(G469&lt;1,H443=0),0,
IF(H443=0,G469-1,
IF(G469&lt;1,H444,
(((G469-1)*(G445-(G445/(G469))))+(H443*H444))/(H445))))</f>
        <v>0</v>
      </c>
      <c r="I469" s="1423">
        <f t="shared" ref="I469" ca="1" si="636">IF(AND(H469&lt;1,I443=0),0,
IF(I443=0,H469-1,
IF(H469&lt;1,I444,
(((H469-1)*(H445-(H445/(H469))))+(I443*I444))/(I445))))</f>
        <v>0</v>
      </c>
      <c r="J469" s="1423">
        <f t="shared" ref="J469" ca="1" si="637">IF(AND(I469&lt;1,J443=0),0,
IF(J443=0,I469-1,
IF(I469&lt;1,J444,
(((I469-1)*(I445-(I445/(I469))))+(J443*J444))/(J445))))</f>
        <v>0</v>
      </c>
      <c r="K469" s="1423">
        <f t="shared" ref="K469" ca="1" si="638">IF(AND(J469&lt;1,K443=0),0,
IF(K443=0,J469-1,
IF(J469&lt;1,K444,
(((J469-1)*(J445-(J445/(J469))))+(K443*K444))/(K445))))</f>
        <v>0</v>
      </c>
      <c r="L469" s="1423">
        <f t="shared" ref="L469" ca="1" si="639">IF(AND(K469&lt;1,L443=0),0,
IF(L443=0,K469-1,
IF(K469&lt;1,L444,
(((K469-1)*(K445-(K445/(K469))))+(L443*L444))/(L445))))</f>
        <v>0</v>
      </c>
      <c r="M469" s="1423">
        <f ca="1">IF(AND(L469&lt;1,M443=0),0,
IF(M443=0,L469-1,
IF(L469&lt;1,M444,
(((L469-1)*(L445-(L445/(L469))))+(M443*M444))/(M445))))</f>
        <v>0</v>
      </c>
      <c r="N469" s="1423">
        <f t="shared" ref="N469" ca="1" si="640">IF(AND(M469&lt;1,N443=0),0,
IF(N443=0,M469-1,
IF(M469&lt;1,N444,
(((M469-1)*(M445-(M445/(M469))))+(N443*N444))/(N445))))</f>
        <v>0</v>
      </c>
      <c r="O469" s="1423">
        <f t="shared" ref="O469" ca="1" si="641">IF(AND(N469&lt;1,O443=0),0,
IF(O443=0,N469-1,
IF(N469&lt;1,O444,
(((N469-1)*(N445-(N445/(N469))))+(O443*O444))/(O445))))</f>
        <v>0</v>
      </c>
      <c r="P469" s="1423">
        <f t="shared" ref="P469" ca="1" si="642">IF(AND(O469&lt;1,P443=0),0,
IF(P443=0,O469-1,
IF(O469&lt;1,P444,
(((O469-1)*(O445-(O445/(O469))))+(P443*P444))/(P445))))</f>
        <v>0</v>
      </c>
      <c r="Q469" s="1423">
        <f t="shared" ref="Q469" ca="1" si="643">IF(AND(P469&lt;1,Q443=0),0,
IF(Q443=0,P469-1,
IF(P469&lt;1,Q444,
(((P469-1)*(P445-(P445/(P469))))+(Q443*Q444))/(Q445))))</f>
        <v>0</v>
      </c>
      <c r="R469" s="1423">
        <f t="shared" ref="R469" ca="1" si="644">IF(AND(Q469&lt;1,R443=0),0,
IF(R443=0,Q469-1,
IF(Q469&lt;1,R444,
(((Q469-1)*(Q445-(Q445/(Q469))))+(R443*R444))/(R445))))</f>
        <v>0</v>
      </c>
      <c r="S469" s="1423">
        <f t="shared" ref="S469" ca="1" si="645">IF(AND(R469&lt;1,S443=0),0,
IF(S443=0,R469-1,
IF(R469&lt;1,S444,
(((R469-1)*(R445-(R445/(R469))))+(S443*S444))/(S445))))</f>
        <v>0</v>
      </c>
      <c r="T469" s="1423">
        <f t="shared" ref="T469" ca="1" si="646">IF(AND(S469&lt;1,T443=0),0,
IF(T443=0,S469-1,
IF(S469&lt;1,T444,
(((S469-1)*(S445-(S445/(S469))))+(T443*T444))/(T445))))</f>
        <v>0</v>
      </c>
      <c r="U469" s="1423">
        <f t="shared" ref="U469" ca="1" si="647">IF(AND(T469&lt;1,U443=0),0,
IF(U443=0,T469-1,
IF(T469&lt;1,U444,
(((T469-1)*(T445-(T445/(T469))))+(U443*U444))/(U445))))</f>
        <v>0</v>
      </c>
      <c r="V469" s="1423">
        <f t="shared" ref="V469" ca="1" si="648">IF(AND(U469&lt;1,V443=0),0,
IF(V443=0,U469-1,
IF(U469&lt;1,V444,
(((U469-1)*(U445-(U445/(U469))))+(V443*V444))/(V445))))</f>
        <v>0</v>
      </c>
      <c r="W469" s="1423">
        <f t="shared" ref="W469" ca="1" si="649">IF(AND(V469&lt;1,W443=0),0,
IF(W443=0,V469-1,
IF(V469&lt;1,W444,
(((V469-1)*(V445-(V445/(V469))))+(W443*W444))/(W445))))</f>
        <v>0</v>
      </c>
      <c r="X469" s="152"/>
      <c r="Y469" s="152"/>
      <c r="Z469" s="152"/>
      <c r="AA469" s="152"/>
      <c r="AB469" s="152"/>
    </row>
    <row r="470" spans="1:28" hidden="1" outlineLevel="1">
      <c r="A470" s="242"/>
      <c r="B470" s="190" t="s">
        <v>193</v>
      </c>
      <c r="C470" s="1423">
        <f ca="1">C442</f>
        <v>0</v>
      </c>
      <c r="D470" s="1423">
        <f t="shared" ref="D470" ca="1" si="650">IF(C470="n/a","n/a",MAX(0,C470-1))</f>
        <v>0</v>
      </c>
      <c r="E470" s="1423">
        <f t="shared" ref="E470:E471" ca="1" si="651">IF(D470="n/a","n/a",MAX(0,D470-1))</f>
        <v>0</v>
      </c>
      <c r="F470" s="1423">
        <f t="shared" ref="F470:F472" ca="1" si="652">IF(E470="n/a","n/a",MAX(0,E470-1))</f>
        <v>0</v>
      </c>
      <c r="G470" s="1423">
        <f t="shared" ref="G470:G473" ca="1" si="653">IF(F470="n/a","n/a",MAX(0,F470-1))</f>
        <v>0</v>
      </c>
      <c r="H470" s="1423">
        <f t="shared" ref="H470:H474" ca="1" si="654">IF(G470="n/a","n/a",MAX(0,G470-1))</f>
        <v>0</v>
      </c>
      <c r="I470" s="1423">
        <f t="shared" ref="I470:I475" ca="1" si="655">IF(H470="n/a","n/a",MAX(0,H470-1))</f>
        <v>0</v>
      </c>
      <c r="J470" s="1423">
        <f t="shared" ref="J470:J476" ca="1" si="656">IF(I470="n/a","n/a",MAX(0,I470-1))</f>
        <v>0</v>
      </c>
      <c r="K470" s="1423">
        <f t="shared" ref="K470:K477" ca="1" si="657">IF(J470="n/a","n/a",MAX(0,J470-1))</f>
        <v>0</v>
      </c>
      <c r="L470" s="1423">
        <f t="shared" ref="L470:L478" ca="1" si="658">IF(K470="n/a","n/a",MAX(0,K470-1))</f>
        <v>0</v>
      </c>
      <c r="M470" s="1423">
        <f t="shared" ref="M470:M479" ca="1" si="659">IF(L470="n/a","n/a",MAX(0,L470-1))</f>
        <v>0</v>
      </c>
      <c r="N470" s="1423">
        <f t="shared" ref="N470:N480" ca="1" si="660">IF(M470="n/a","n/a",MAX(0,M470-1))</f>
        <v>0</v>
      </c>
      <c r="O470" s="1423">
        <f t="shared" ref="O470:O481" ca="1" si="661">IF(N470="n/a","n/a",MAX(0,N470-1))</f>
        <v>0</v>
      </c>
      <c r="P470" s="1423">
        <f t="shared" ref="P470:P482" ca="1" si="662">IF(O470="n/a","n/a",MAX(0,O470-1))</f>
        <v>0</v>
      </c>
      <c r="Q470" s="1423">
        <f t="shared" ref="Q470:Q483" ca="1" si="663">IF(P470="n/a","n/a",MAX(0,P470-1))</f>
        <v>0</v>
      </c>
      <c r="R470" s="1423">
        <f t="shared" ref="R470:R484" ca="1" si="664">IF(Q470="n/a","n/a",MAX(0,Q470-1))</f>
        <v>0</v>
      </c>
      <c r="S470" s="1423">
        <f t="shared" ref="S470:S485" ca="1" si="665">IF(R470="n/a","n/a",MAX(0,R470-1))</f>
        <v>0</v>
      </c>
      <c r="T470" s="1423">
        <f t="shared" ref="T470:T486" ca="1" si="666">IF(S470="n/a","n/a",MAX(0,S470-1))</f>
        <v>0</v>
      </c>
      <c r="U470" s="1423">
        <f t="shared" ref="U470:U487" ca="1" si="667">IF(T470="n/a","n/a",MAX(0,T470-1))</f>
        <v>0</v>
      </c>
      <c r="V470" s="1423">
        <f t="shared" ref="V470:V488" ca="1" si="668">IF(U470="n/a","n/a",MAX(0,U470-1))</f>
        <v>0</v>
      </c>
      <c r="W470" s="1423">
        <f t="shared" ref="W470:W488" ca="1" si="669">IF(V470="n/a","n/a",MAX(0,V470-1))</f>
        <v>0</v>
      </c>
      <c r="X470" s="152"/>
      <c r="Y470" s="152"/>
      <c r="Z470" s="152"/>
      <c r="AA470" s="152"/>
      <c r="AB470" s="152"/>
    </row>
    <row r="471" spans="1:28" hidden="1" outlineLevel="1">
      <c r="A471" s="242"/>
      <c r="B471" s="190" t="str">
        <f t="shared" ref="B471:B490" ca="1" si="670">"RL Capex "&amp;OFFSET($C$6,0,A447)</f>
        <v>RL Capex 2016-17</v>
      </c>
      <c r="C471" s="1424"/>
      <c r="D471" s="1428">
        <f>D442</f>
        <v>0</v>
      </c>
      <c r="E471" s="1423">
        <f t="shared" si="651"/>
        <v>0</v>
      </c>
      <c r="F471" s="1423">
        <f t="shared" si="652"/>
        <v>0</v>
      </c>
      <c r="G471" s="1423">
        <f t="shared" si="653"/>
        <v>0</v>
      </c>
      <c r="H471" s="1423">
        <f t="shared" si="654"/>
        <v>0</v>
      </c>
      <c r="I471" s="1423">
        <f t="shared" si="655"/>
        <v>0</v>
      </c>
      <c r="J471" s="1423">
        <f t="shared" si="656"/>
        <v>0</v>
      </c>
      <c r="K471" s="1423">
        <f t="shared" si="657"/>
        <v>0</v>
      </c>
      <c r="L471" s="1423">
        <f t="shared" si="658"/>
        <v>0</v>
      </c>
      <c r="M471" s="1423">
        <f t="shared" si="659"/>
        <v>0</v>
      </c>
      <c r="N471" s="1423">
        <f t="shared" si="660"/>
        <v>0</v>
      </c>
      <c r="O471" s="1423">
        <f t="shared" si="661"/>
        <v>0</v>
      </c>
      <c r="P471" s="1423">
        <f t="shared" si="662"/>
        <v>0</v>
      </c>
      <c r="Q471" s="1423">
        <f t="shared" si="663"/>
        <v>0</v>
      </c>
      <c r="R471" s="1423">
        <f t="shared" si="664"/>
        <v>0</v>
      </c>
      <c r="S471" s="1423">
        <f t="shared" si="665"/>
        <v>0</v>
      </c>
      <c r="T471" s="1423">
        <f t="shared" si="666"/>
        <v>0</v>
      </c>
      <c r="U471" s="1423">
        <f t="shared" si="667"/>
        <v>0</v>
      </c>
      <c r="V471" s="1423">
        <f t="shared" si="668"/>
        <v>0</v>
      </c>
      <c r="W471" s="1423">
        <f t="shared" si="669"/>
        <v>0</v>
      </c>
      <c r="X471" s="152"/>
      <c r="Y471" s="152"/>
      <c r="Z471" s="152"/>
      <c r="AA471" s="152"/>
      <c r="AB471" s="152"/>
    </row>
    <row r="472" spans="1:28" hidden="1" outlineLevel="1">
      <c r="A472" s="242"/>
      <c r="B472" s="190" t="str">
        <f t="shared" ca="1" si="670"/>
        <v>RL Capex 2017-18</v>
      </c>
      <c r="C472" s="1429"/>
      <c r="D472" s="1424"/>
      <c r="E472" s="1428">
        <f>E442</f>
        <v>0</v>
      </c>
      <c r="F472" s="1423">
        <f t="shared" si="652"/>
        <v>0</v>
      </c>
      <c r="G472" s="1423">
        <f t="shared" si="653"/>
        <v>0</v>
      </c>
      <c r="H472" s="1423">
        <f t="shared" si="654"/>
        <v>0</v>
      </c>
      <c r="I472" s="1423">
        <f t="shared" si="655"/>
        <v>0</v>
      </c>
      <c r="J472" s="1423">
        <f t="shared" si="656"/>
        <v>0</v>
      </c>
      <c r="K472" s="1423">
        <f t="shared" si="657"/>
        <v>0</v>
      </c>
      <c r="L472" s="1423">
        <f t="shared" si="658"/>
        <v>0</v>
      </c>
      <c r="M472" s="1423">
        <f t="shared" si="659"/>
        <v>0</v>
      </c>
      <c r="N472" s="1423">
        <f t="shared" si="660"/>
        <v>0</v>
      </c>
      <c r="O472" s="1423">
        <f t="shared" si="661"/>
        <v>0</v>
      </c>
      <c r="P472" s="1423">
        <f t="shared" si="662"/>
        <v>0</v>
      </c>
      <c r="Q472" s="1423">
        <f t="shared" si="663"/>
        <v>0</v>
      </c>
      <c r="R472" s="1423">
        <f t="shared" si="664"/>
        <v>0</v>
      </c>
      <c r="S472" s="1423">
        <f t="shared" si="665"/>
        <v>0</v>
      </c>
      <c r="T472" s="1423">
        <f t="shared" si="666"/>
        <v>0</v>
      </c>
      <c r="U472" s="1423">
        <f t="shared" si="667"/>
        <v>0</v>
      </c>
      <c r="V472" s="1423">
        <f t="shared" si="668"/>
        <v>0</v>
      </c>
      <c r="W472" s="1423">
        <f t="shared" si="669"/>
        <v>0</v>
      </c>
      <c r="X472" s="152"/>
      <c r="Y472" s="152"/>
      <c r="Z472" s="152"/>
      <c r="AA472" s="152"/>
      <c r="AB472" s="152"/>
    </row>
    <row r="473" spans="1:28" hidden="1" outlineLevel="1">
      <c r="A473" s="242"/>
      <c r="B473" s="190" t="str">
        <f t="shared" ca="1" si="670"/>
        <v>RL Capex 2018-19</v>
      </c>
      <c r="C473" s="1429"/>
      <c r="D473" s="1429"/>
      <c r="E473" s="1424"/>
      <c r="F473" s="1428">
        <f>F442</f>
        <v>0</v>
      </c>
      <c r="G473" s="1423">
        <f t="shared" si="653"/>
        <v>0</v>
      </c>
      <c r="H473" s="1423">
        <f t="shared" si="654"/>
        <v>0</v>
      </c>
      <c r="I473" s="1423">
        <f t="shared" si="655"/>
        <v>0</v>
      </c>
      <c r="J473" s="1423">
        <f t="shared" si="656"/>
        <v>0</v>
      </c>
      <c r="K473" s="1423">
        <f t="shared" si="657"/>
        <v>0</v>
      </c>
      <c r="L473" s="1423">
        <f t="shared" si="658"/>
        <v>0</v>
      </c>
      <c r="M473" s="1423">
        <f t="shared" si="659"/>
        <v>0</v>
      </c>
      <c r="N473" s="1423">
        <f t="shared" si="660"/>
        <v>0</v>
      </c>
      <c r="O473" s="1423">
        <f t="shared" si="661"/>
        <v>0</v>
      </c>
      <c r="P473" s="1423">
        <f t="shared" si="662"/>
        <v>0</v>
      </c>
      <c r="Q473" s="1423">
        <f t="shared" si="663"/>
        <v>0</v>
      </c>
      <c r="R473" s="1423">
        <f t="shared" si="664"/>
        <v>0</v>
      </c>
      <c r="S473" s="1423">
        <f t="shared" si="665"/>
        <v>0</v>
      </c>
      <c r="T473" s="1423">
        <f t="shared" si="666"/>
        <v>0</v>
      </c>
      <c r="U473" s="1423">
        <f t="shared" si="667"/>
        <v>0</v>
      </c>
      <c r="V473" s="1423">
        <f t="shared" si="668"/>
        <v>0</v>
      </c>
      <c r="W473" s="1423">
        <f t="shared" si="669"/>
        <v>0</v>
      </c>
      <c r="X473" s="152"/>
      <c r="Y473" s="152"/>
      <c r="Z473" s="152"/>
      <c r="AA473" s="152"/>
      <c r="AB473" s="152"/>
    </row>
    <row r="474" spans="1:28" hidden="1" outlineLevel="1">
      <c r="A474" s="242"/>
      <c r="B474" s="190" t="str">
        <f t="shared" ca="1" si="670"/>
        <v>RL Capex 2019-20</v>
      </c>
      <c r="C474" s="1429"/>
      <c r="D474" s="1429"/>
      <c r="E474" s="1429"/>
      <c r="F474" s="1424"/>
      <c r="G474" s="1428">
        <f>G442</f>
        <v>0</v>
      </c>
      <c r="H474" s="1423">
        <f t="shared" si="654"/>
        <v>0</v>
      </c>
      <c r="I474" s="1423">
        <f t="shared" si="655"/>
        <v>0</v>
      </c>
      <c r="J474" s="1423">
        <f t="shared" si="656"/>
        <v>0</v>
      </c>
      <c r="K474" s="1423">
        <f t="shared" si="657"/>
        <v>0</v>
      </c>
      <c r="L474" s="1423">
        <f t="shared" si="658"/>
        <v>0</v>
      </c>
      <c r="M474" s="1423">
        <f t="shared" si="659"/>
        <v>0</v>
      </c>
      <c r="N474" s="1423">
        <f t="shared" si="660"/>
        <v>0</v>
      </c>
      <c r="O474" s="1423">
        <f t="shared" si="661"/>
        <v>0</v>
      </c>
      <c r="P474" s="1423">
        <f t="shared" si="662"/>
        <v>0</v>
      </c>
      <c r="Q474" s="1423">
        <f t="shared" si="663"/>
        <v>0</v>
      </c>
      <c r="R474" s="1423">
        <f t="shared" si="664"/>
        <v>0</v>
      </c>
      <c r="S474" s="1423">
        <f t="shared" si="665"/>
        <v>0</v>
      </c>
      <c r="T474" s="1423">
        <f t="shared" si="666"/>
        <v>0</v>
      </c>
      <c r="U474" s="1423">
        <f t="shared" si="667"/>
        <v>0</v>
      </c>
      <c r="V474" s="1423">
        <f t="shared" si="668"/>
        <v>0</v>
      </c>
      <c r="W474" s="1423">
        <f t="shared" si="669"/>
        <v>0</v>
      </c>
      <c r="X474" s="152"/>
      <c r="Y474" s="152"/>
      <c r="Z474" s="152"/>
      <c r="AA474" s="152"/>
      <c r="AB474" s="152"/>
    </row>
    <row r="475" spans="1:28" hidden="1" outlineLevel="1">
      <c r="A475" s="242"/>
      <c r="B475" s="190" t="str">
        <f t="shared" ca="1" si="670"/>
        <v>RL Capex 2020-21</v>
      </c>
      <c r="C475" s="1429"/>
      <c r="D475" s="1429"/>
      <c r="E475" s="1429"/>
      <c r="F475" s="1429"/>
      <c r="G475" s="1424"/>
      <c r="H475" s="1428">
        <f>H442</f>
        <v>0</v>
      </c>
      <c r="I475" s="1423">
        <f t="shared" si="655"/>
        <v>0</v>
      </c>
      <c r="J475" s="1423">
        <f t="shared" si="656"/>
        <v>0</v>
      </c>
      <c r="K475" s="1423">
        <f t="shared" si="657"/>
        <v>0</v>
      </c>
      <c r="L475" s="1423">
        <f t="shared" si="658"/>
        <v>0</v>
      </c>
      <c r="M475" s="1423">
        <f t="shared" si="659"/>
        <v>0</v>
      </c>
      <c r="N475" s="1423">
        <f t="shared" si="660"/>
        <v>0</v>
      </c>
      <c r="O475" s="1423">
        <f t="shared" si="661"/>
        <v>0</v>
      </c>
      <c r="P475" s="1423">
        <f t="shared" si="662"/>
        <v>0</v>
      </c>
      <c r="Q475" s="1423">
        <f t="shared" si="663"/>
        <v>0</v>
      </c>
      <c r="R475" s="1423">
        <f t="shared" si="664"/>
        <v>0</v>
      </c>
      <c r="S475" s="1423">
        <f t="shared" si="665"/>
        <v>0</v>
      </c>
      <c r="T475" s="1423">
        <f t="shared" si="666"/>
        <v>0</v>
      </c>
      <c r="U475" s="1423">
        <f t="shared" si="667"/>
        <v>0</v>
      </c>
      <c r="V475" s="1423">
        <f t="shared" si="668"/>
        <v>0</v>
      </c>
      <c r="W475" s="1423">
        <f t="shared" si="669"/>
        <v>0</v>
      </c>
      <c r="X475" s="152"/>
      <c r="Y475" s="152"/>
      <c r="Z475" s="152"/>
      <c r="AA475" s="152"/>
      <c r="AB475" s="152"/>
    </row>
    <row r="476" spans="1:28" hidden="1" outlineLevel="1">
      <c r="A476" s="242"/>
      <c r="B476" s="190" t="str">
        <f t="shared" ca="1" si="670"/>
        <v>RL Capex 2021-22</v>
      </c>
      <c r="C476" s="1429"/>
      <c r="D476" s="1429"/>
      <c r="E476" s="1429"/>
      <c r="F476" s="1429"/>
      <c r="G476" s="1429"/>
      <c r="H476" s="1424"/>
      <c r="I476" s="1428">
        <f>I442</f>
        <v>0</v>
      </c>
      <c r="J476" s="1423">
        <f t="shared" si="656"/>
        <v>0</v>
      </c>
      <c r="K476" s="1423">
        <f t="shared" si="657"/>
        <v>0</v>
      </c>
      <c r="L476" s="1423">
        <f t="shared" si="658"/>
        <v>0</v>
      </c>
      <c r="M476" s="1423">
        <f t="shared" si="659"/>
        <v>0</v>
      </c>
      <c r="N476" s="1423">
        <f t="shared" si="660"/>
        <v>0</v>
      </c>
      <c r="O476" s="1423">
        <f t="shared" si="661"/>
        <v>0</v>
      </c>
      <c r="P476" s="1423">
        <f t="shared" si="662"/>
        <v>0</v>
      </c>
      <c r="Q476" s="1423">
        <f t="shared" si="663"/>
        <v>0</v>
      </c>
      <c r="R476" s="1423">
        <f t="shared" si="664"/>
        <v>0</v>
      </c>
      <c r="S476" s="1423">
        <f t="shared" si="665"/>
        <v>0</v>
      </c>
      <c r="T476" s="1423">
        <f t="shared" si="666"/>
        <v>0</v>
      </c>
      <c r="U476" s="1423">
        <f t="shared" si="667"/>
        <v>0</v>
      </c>
      <c r="V476" s="1423">
        <f t="shared" si="668"/>
        <v>0</v>
      </c>
      <c r="W476" s="1423">
        <f t="shared" si="669"/>
        <v>0</v>
      </c>
      <c r="X476" s="152"/>
      <c r="Y476" s="152"/>
      <c r="Z476" s="152"/>
      <c r="AA476" s="152"/>
      <c r="AB476" s="152"/>
    </row>
    <row r="477" spans="1:28" hidden="1" outlineLevel="1">
      <c r="A477" s="242"/>
      <c r="B477" s="190" t="str">
        <f t="shared" ca="1" si="670"/>
        <v>RL Capex 2022-23</v>
      </c>
      <c r="C477" s="1429"/>
      <c r="D477" s="1429"/>
      <c r="E477" s="1429"/>
      <c r="F477" s="1429"/>
      <c r="G477" s="1429"/>
      <c r="H477" s="1429"/>
      <c r="I477" s="1424"/>
      <c r="J477" s="1428">
        <f>J442</f>
        <v>0</v>
      </c>
      <c r="K477" s="1423">
        <f t="shared" si="657"/>
        <v>0</v>
      </c>
      <c r="L477" s="1423">
        <f t="shared" si="658"/>
        <v>0</v>
      </c>
      <c r="M477" s="1423">
        <f t="shared" si="659"/>
        <v>0</v>
      </c>
      <c r="N477" s="1423">
        <f t="shared" si="660"/>
        <v>0</v>
      </c>
      <c r="O477" s="1423">
        <f t="shared" si="661"/>
        <v>0</v>
      </c>
      <c r="P477" s="1423">
        <f t="shared" si="662"/>
        <v>0</v>
      </c>
      <c r="Q477" s="1423">
        <f t="shared" si="663"/>
        <v>0</v>
      </c>
      <c r="R477" s="1423">
        <f t="shared" si="664"/>
        <v>0</v>
      </c>
      <c r="S477" s="1423">
        <f t="shared" si="665"/>
        <v>0</v>
      </c>
      <c r="T477" s="1423">
        <f t="shared" si="666"/>
        <v>0</v>
      </c>
      <c r="U477" s="1423">
        <f t="shared" si="667"/>
        <v>0</v>
      </c>
      <c r="V477" s="1423">
        <f t="shared" si="668"/>
        <v>0</v>
      </c>
      <c r="W477" s="1423">
        <f t="shared" si="669"/>
        <v>0</v>
      </c>
      <c r="X477" s="152"/>
      <c r="Y477" s="152"/>
      <c r="Z477" s="152"/>
      <c r="AA477" s="152"/>
      <c r="AB477" s="152"/>
    </row>
    <row r="478" spans="1:28" hidden="1" outlineLevel="1">
      <c r="A478" s="242"/>
      <c r="B478" s="190" t="str">
        <f t="shared" ca="1" si="670"/>
        <v>RL Capex 2023-24</v>
      </c>
      <c r="C478" s="1429"/>
      <c r="D478" s="1429"/>
      <c r="E478" s="1429"/>
      <c r="F478" s="1429"/>
      <c r="G478" s="1429"/>
      <c r="H478" s="1429"/>
      <c r="I478" s="1429"/>
      <c r="J478" s="1424"/>
      <c r="K478" s="1428">
        <f>K442</f>
        <v>0</v>
      </c>
      <c r="L478" s="1423">
        <f t="shared" si="658"/>
        <v>0</v>
      </c>
      <c r="M478" s="1423">
        <f t="shared" si="659"/>
        <v>0</v>
      </c>
      <c r="N478" s="1423">
        <f t="shared" si="660"/>
        <v>0</v>
      </c>
      <c r="O478" s="1423">
        <f t="shared" si="661"/>
        <v>0</v>
      </c>
      <c r="P478" s="1423">
        <f t="shared" si="662"/>
        <v>0</v>
      </c>
      <c r="Q478" s="1423">
        <f t="shared" si="663"/>
        <v>0</v>
      </c>
      <c r="R478" s="1423">
        <f t="shared" si="664"/>
        <v>0</v>
      </c>
      <c r="S478" s="1423">
        <f t="shared" si="665"/>
        <v>0</v>
      </c>
      <c r="T478" s="1423">
        <f t="shared" si="666"/>
        <v>0</v>
      </c>
      <c r="U478" s="1423">
        <f t="shared" si="667"/>
        <v>0</v>
      </c>
      <c r="V478" s="1423">
        <f t="shared" si="668"/>
        <v>0</v>
      </c>
      <c r="W478" s="1423">
        <f t="shared" si="669"/>
        <v>0</v>
      </c>
      <c r="X478" s="152"/>
      <c r="Y478" s="152"/>
      <c r="Z478" s="152"/>
      <c r="AA478" s="152"/>
      <c r="AB478" s="152"/>
    </row>
    <row r="479" spans="1:28" hidden="1" outlineLevel="1">
      <c r="A479" s="242"/>
      <c r="B479" s="190" t="str">
        <f t="shared" ca="1" si="670"/>
        <v>RL Capex 2024-25</v>
      </c>
      <c r="C479" s="1429"/>
      <c r="D479" s="1429"/>
      <c r="E479" s="1429"/>
      <c r="F479" s="1429"/>
      <c r="G479" s="1429"/>
      <c r="H479" s="1429"/>
      <c r="I479" s="1429"/>
      <c r="J479" s="1429"/>
      <c r="K479" s="1424"/>
      <c r="L479" s="1428">
        <f>L442</f>
        <v>0</v>
      </c>
      <c r="M479" s="1423">
        <f t="shared" si="659"/>
        <v>0</v>
      </c>
      <c r="N479" s="1423">
        <f t="shared" si="660"/>
        <v>0</v>
      </c>
      <c r="O479" s="1423">
        <f t="shared" si="661"/>
        <v>0</v>
      </c>
      <c r="P479" s="1423">
        <f t="shared" si="662"/>
        <v>0</v>
      </c>
      <c r="Q479" s="1423">
        <f t="shared" si="663"/>
        <v>0</v>
      </c>
      <c r="R479" s="1423">
        <f t="shared" si="664"/>
        <v>0</v>
      </c>
      <c r="S479" s="1423">
        <f t="shared" si="665"/>
        <v>0</v>
      </c>
      <c r="T479" s="1423">
        <f t="shared" si="666"/>
        <v>0</v>
      </c>
      <c r="U479" s="1423">
        <f t="shared" si="667"/>
        <v>0</v>
      </c>
      <c r="V479" s="1423">
        <f t="shared" si="668"/>
        <v>0</v>
      </c>
      <c r="W479" s="1423">
        <f t="shared" si="669"/>
        <v>0</v>
      </c>
      <c r="X479" s="152"/>
      <c r="Y479" s="152"/>
      <c r="Z479" s="152"/>
      <c r="AA479" s="152"/>
      <c r="AB479" s="152"/>
    </row>
    <row r="480" spans="1:28" hidden="1" outlineLevel="1">
      <c r="A480" s="242"/>
      <c r="B480" s="190" t="str">
        <f t="shared" ca="1" si="670"/>
        <v>RL Capex 2025-26</v>
      </c>
      <c r="C480" s="1429"/>
      <c r="D480" s="1429"/>
      <c r="E480" s="1429"/>
      <c r="F480" s="1429"/>
      <c r="G480" s="1429"/>
      <c r="H480" s="1429"/>
      <c r="I480" s="1429"/>
      <c r="J480" s="1429"/>
      <c r="K480" s="1429"/>
      <c r="L480" s="1424"/>
      <c r="M480" s="1428">
        <f>M442</f>
        <v>0</v>
      </c>
      <c r="N480" s="1423">
        <f t="shared" si="660"/>
        <v>0</v>
      </c>
      <c r="O480" s="1423">
        <f t="shared" si="661"/>
        <v>0</v>
      </c>
      <c r="P480" s="1423">
        <f t="shared" si="662"/>
        <v>0</v>
      </c>
      <c r="Q480" s="1423">
        <f t="shared" si="663"/>
        <v>0</v>
      </c>
      <c r="R480" s="1423">
        <f t="shared" si="664"/>
        <v>0</v>
      </c>
      <c r="S480" s="1423">
        <f t="shared" si="665"/>
        <v>0</v>
      </c>
      <c r="T480" s="1423">
        <f t="shared" si="666"/>
        <v>0</v>
      </c>
      <c r="U480" s="1423">
        <f t="shared" si="667"/>
        <v>0</v>
      </c>
      <c r="V480" s="1423">
        <f t="shared" si="668"/>
        <v>0</v>
      </c>
      <c r="W480" s="1423">
        <f t="shared" si="669"/>
        <v>0</v>
      </c>
      <c r="X480" s="152"/>
      <c r="Y480" s="152"/>
      <c r="Z480" s="152"/>
      <c r="AA480" s="152"/>
      <c r="AB480" s="152"/>
    </row>
    <row r="481" spans="1:28" hidden="1" outlineLevel="1">
      <c r="A481" s="242"/>
      <c r="B481" s="190" t="str">
        <f t="shared" ca="1" si="670"/>
        <v>RL Capex 2026-27</v>
      </c>
      <c r="C481" s="1429"/>
      <c r="D481" s="1429"/>
      <c r="E481" s="1429"/>
      <c r="F481" s="1429"/>
      <c r="G481" s="1429"/>
      <c r="H481" s="1429"/>
      <c r="I481" s="1429"/>
      <c r="J481" s="1429"/>
      <c r="K481" s="1429"/>
      <c r="L481" s="1429"/>
      <c r="M481" s="1424"/>
      <c r="N481" s="1428">
        <f>N442</f>
        <v>0</v>
      </c>
      <c r="O481" s="1423">
        <f t="shared" si="661"/>
        <v>0</v>
      </c>
      <c r="P481" s="1423">
        <f t="shared" si="662"/>
        <v>0</v>
      </c>
      <c r="Q481" s="1423">
        <f t="shared" si="663"/>
        <v>0</v>
      </c>
      <c r="R481" s="1423">
        <f t="shared" si="664"/>
        <v>0</v>
      </c>
      <c r="S481" s="1423">
        <f t="shared" si="665"/>
        <v>0</v>
      </c>
      <c r="T481" s="1423">
        <f t="shared" si="666"/>
        <v>0</v>
      </c>
      <c r="U481" s="1423">
        <f t="shared" si="667"/>
        <v>0</v>
      </c>
      <c r="V481" s="1423">
        <f t="shared" si="668"/>
        <v>0</v>
      </c>
      <c r="W481" s="1423">
        <f t="shared" si="669"/>
        <v>0</v>
      </c>
      <c r="X481" s="152"/>
      <c r="Y481" s="152"/>
      <c r="Z481" s="152"/>
      <c r="AA481" s="152"/>
      <c r="AB481" s="152"/>
    </row>
    <row r="482" spans="1:28" hidden="1" outlineLevel="1">
      <c r="A482" s="242"/>
      <c r="B482" s="190" t="str">
        <f t="shared" ca="1" si="670"/>
        <v>RL Capex 2027-28</v>
      </c>
      <c r="C482" s="1429"/>
      <c r="D482" s="1429"/>
      <c r="E482" s="1429"/>
      <c r="F482" s="1429"/>
      <c r="G482" s="1429"/>
      <c r="H482" s="1429"/>
      <c r="I482" s="1429"/>
      <c r="J482" s="1429"/>
      <c r="K482" s="1429"/>
      <c r="L482" s="1429"/>
      <c r="M482" s="1429"/>
      <c r="N482" s="1424"/>
      <c r="O482" s="1428">
        <f>O442</f>
        <v>0</v>
      </c>
      <c r="P482" s="1423">
        <f t="shared" si="662"/>
        <v>0</v>
      </c>
      <c r="Q482" s="1423">
        <f t="shared" si="663"/>
        <v>0</v>
      </c>
      <c r="R482" s="1423">
        <f t="shared" si="664"/>
        <v>0</v>
      </c>
      <c r="S482" s="1423">
        <f t="shared" si="665"/>
        <v>0</v>
      </c>
      <c r="T482" s="1423">
        <f t="shared" si="666"/>
        <v>0</v>
      </c>
      <c r="U482" s="1423">
        <f t="shared" si="667"/>
        <v>0</v>
      </c>
      <c r="V482" s="1423">
        <f t="shared" si="668"/>
        <v>0</v>
      </c>
      <c r="W482" s="1423">
        <f t="shared" si="669"/>
        <v>0</v>
      </c>
      <c r="X482" s="152"/>
      <c r="Y482" s="152"/>
      <c r="Z482" s="152"/>
      <c r="AA482" s="152"/>
      <c r="AB482" s="152"/>
    </row>
    <row r="483" spans="1:28" hidden="1" outlineLevel="1">
      <c r="A483" s="242"/>
      <c r="B483" s="190" t="str">
        <f t="shared" ca="1" si="670"/>
        <v>RL Capex 2028-29</v>
      </c>
      <c r="C483" s="1429"/>
      <c r="D483" s="1429"/>
      <c r="E483" s="1429"/>
      <c r="F483" s="1429"/>
      <c r="G483" s="1429"/>
      <c r="H483" s="1429"/>
      <c r="I483" s="1429"/>
      <c r="J483" s="1429"/>
      <c r="K483" s="1429"/>
      <c r="L483" s="1429"/>
      <c r="M483" s="1429"/>
      <c r="N483" s="1429"/>
      <c r="O483" s="1424"/>
      <c r="P483" s="1428">
        <f>P442</f>
        <v>0</v>
      </c>
      <c r="Q483" s="1423">
        <f t="shared" si="663"/>
        <v>0</v>
      </c>
      <c r="R483" s="1423">
        <f t="shared" si="664"/>
        <v>0</v>
      </c>
      <c r="S483" s="1423">
        <f t="shared" si="665"/>
        <v>0</v>
      </c>
      <c r="T483" s="1423">
        <f t="shared" si="666"/>
        <v>0</v>
      </c>
      <c r="U483" s="1423">
        <f t="shared" si="667"/>
        <v>0</v>
      </c>
      <c r="V483" s="1423">
        <f t="shared" si="668"/>
        <v>0</v>
      </c>
      <c r="W483" s="1423">
        <f t="shared" si="669"/>
        <v>0</v>
      </c>
      <c r="X483" s="152"/>
      <c r="Y483" s="152"/>
      <c r="Z483" s="152"/>
      <c r="AA483" s="152"/>
      <c r="AB483" s="152"/>
    </row>
    <row r="484" spans="1:28" hidden="1" outlineLevel="1">
      <c r="A484" s="242"/>
      <c r="B484" s="190" t="str">
        <f t="shared" ca="1" si="670"/>
        <v>RL Capex 2029-30</v>
      </c>
      <c r="C484" s="1429"/>
      <c r="D484" s="1429"/>
      <c r="E484" s="1429"/>
      <c r="F484" s="1429"/>
      <c r="G484" s="1429"/>
      <c r="H484" s="1429"/>
      <c r="I484" s="1429"/>
      <c r="J484" s="1429"/>
      <c r="K484" s="1429"/>
      <c r="L484" s="1429"/>
      <c r="M484" s="1429"/>
      <c r="N484" s="1429"/>
      <c r="O484" s="1429"/>
      <c r="P484" s="1424"/>
      <c r="Q484" s="1428">
        <f>Q442</f>
        <v>0</v>
      </c>
      <c r="R484" s="1423">
        <f t="shared" si="664"/>
        <v>0</v>
      </c>
      <c r="S484" s="1423">
        <f t="shared" si="665"/>
        <v>0</v>
      </c>
      <c r="T484" s="1423">
        <f t="shared" si="666"/>
        <v>0</v>
      </c>
      <c r="U484" s="1423">
        <f t="shared" si="667"/>
        <v>0</v>
      </c>
      <c r="V484" s="1423">
        <f t="shared" si="668"/>
        <v>0</v>
      </c>
      <c r="W484" s="1423">
        <f t="shared" si="669"/>
        <v>0</v>
      </c>
      <c r="X484" s="152"/>
      <c r="Y484" s="152"/>
      <c r="Z484" s="152"/>
      <c r="AA484" s="152"/>
      <c r="AB484" s="152"/>
    </row>
    <row r="485" spans="1:28" hidden="1" outlineLevel="1">
      <c r="A485" s="242"/>
      <c r="B485" s="190" t="str">
        <f t="shared" ca="1" si="670"/>
        <v>RL Capex 2030-31</v>
      </c>
      <c r="C485" s="1429"/>
      <c r="D485" s="1429"/>
      <c r="E485" s="1429"/>
      <c r="F485" s="1429"/>
      <c r="G485" s="1429"/>
      <c r="H485" s="1429"/>
      <c r="I485" s="1429"/>
      <c r="J485" s="1429"/>
      <c r="K485" s="1429"/>
      <c r="L485" s="1429"/>
      <c r="M485" s="1429"/>
      <c r="N485" s="1429"/>
      <c r="O485" s="1429"/>
      <c r="P485" s="1429"/>
      <c r="Q485" s="1424"/>
      <c r="R485" s="1428">
        <f>R442</f>
        <v>0</v>
      </c>
      <c r="S485" s="1423">
        <f t="shared" si="665"/>
        <v>0</v>
      </c>
      <c r="T485" s="1423">
        <f t="shared" si="666"/>
        <v>0</v>
      </c>
      <c r="U485" s="1423">
        <f t="shared" si="667"/>
        <v>0</v>
      </c>
      <c r="V485" s="1423">
        <f t="shared" si="668"/>
        <v>0</v>
      </c>
      <c r="W485" s="1423">
        <f t="shared" si="669"/>
        <v>0</v>
      </c>
      <c r="X485" s="152"/>
      <c r="Y485" s="152"/>
      <c r="Z485" s="152"/>
      <c r="AA485" s="152"/>
      <c r="AB485" s="152"/>
    </row>
    <row r="486" spans="1:28" hidden="1" outlineLevel="1">
      <c r="A486" s="242"/>
      <c r="B486" s="190" t="str">
        <f t="shared" ca="1" si="670"/>
        <v>RL Capex 2031-32</v>
      </c>
      <c r="C486" s="1429"/>
      <c r="D486" s="1429"/>
      <c r="E486" s="1429"/>
      <c r="F486" s="1429"/>
      <c r="G486" s="1429"/>
      <c r="H486" s="1429"/>
      <c r="I486" s="1429"/>
      <c r="J486" s="1429"/>
      <c r="K486" s="1429"/>
      <c r="L486" s="1429"/>
      <c r="M486" s="1429"/>
      <c r="N486" s="1429"/>
      <c r="O486" s="1429"/>
      <c r="P486" s="1429"/>
      <c r="Q486" s="1429"/>
      <c r="R486" s="1424"/>
      <c r="S486" s="1428">
        <f>S442</f>
        <v>0</v>
      </c>
      <c r="T486" s="1423">
        <f t="shared" si="666"/>
        <v>0</v>
      </c>
      <c r="U486" s="1423">
        <f t="shared" si="667"/>
        <v>0</v>
      </c>
      <c r="V486" s="1423">
        <f t="shared" si="668"/>
        <v>0</v>
      </c>
      <c r="W486" s="1423">
        <f t="shared" si="669"/>
        <v>0</v>
      </c>
      <c r="X486" s="152"/>
      <c r="Y486" s="152"/>
      <c r="Z486" s="152"/>
      <c r="AA486" s="152"/>
      <c r="AB486" s="152"/>
    </row>
    <row r="487" spans="1:28" hidden="1" outlineLevel="1">
      <c r="A487" s="242"/>
      <c r="B487" s="190" t="str">
        <f t="shared" ca="1" si="670"/>
        <v>RL Capex 2032-33</v>
      </c>
      <c r="C487" s="1429"/>
      <c r="D487" s="1429"/>
      <c r="E487" s="1429"/>
      <c r="F487" s="1429"/>
      <c r="G487" s="1429"/>
      <c r="H487" s="1429"/>
      <c r="I487" s="1429"/>
      <c r="J487" s="1429"/>
      <c r="K487" s="1429"/>
      <c r="L487" s="1429"/>
      <c r="M487" s="1429"/>
      <c r="N487" s="1429"/>
      <c r="O487" s="1429"/>
      <c r="P487" s="1429"/>
      <c r="Q487" s="1429"/>
      <c r="R487" s="1429"/>
      <c r="S487" s="1424"/>
      <c r="T487" s="1428">
        <f>T442</f>
        <v>0</v>
      </c>
      <c r="U487" s="1423">
        <f t="shared" si="667"/>
        <v>0</v>
      </c>
      <c r="V487" s="1423">
        <f t="shared" si="668"/>
        <v>0</v>
      </c>
      <c r="W487" s="1423">
        <f t="shared" si="669"/>
        <v>0</v>
      </c>
      <c r="X487" s="152"/>
      <c r="Y487" s="152"/>
      <c r="Z487" s="152"/>
      <c r="AA487" s="152"/>
      <c r="AB487" s="152"/>
    </row>
    <row r="488" spans="1:28" hidden="1" outlineLevel="1">
      <c r="A488" s="242"/>
      <c r="B488" s="190" t="str">
        <f t="shared" ca="1" si="670"/>
        <v>RL Capex 2033-34</v>
      </c>
      <c r="C488" s="1429"/>
      <c r="D488" s="1429"/>
      <c r="E488" s="1429"/>
      <c r="F488" s="1429"/>
      <c r="G488" s="1429"/>
      <c r="H488" s="1429"/>
      <c r="I488" s="1429"/>
      <c r="J488" s="1429"/>
      <c r="K488" s="1429"/>
      <c r="L488" s="1429"/>
      <c r="M488" s="1429"/>
      <c r="N488" s="1429"/>
      <c r="O488" s="1429"/>
      <c r="P488" s="1429"/>
      <c r="Q488" s="1429"/>
      <c r="R488" s="1429"/>
      <c r="S488" s="1429"/>
      <c r="T488" s="1424"/>
      <c r="U488" s="1428">
        <f>U442</f>
        <v>0</v>
      </c>
      <c r="V488" s="1423">
        <f t="shared" si="668"/>
        <v>0</v>
      </c>
      <c r="W488" s="1423">
        <f t="shared" si="669"/>
        <v>0</v>
      </c>
      <c r="X488" s="152"/>
      <c r="Y488" s="152"/>
      <c r="Z488" s="152"/>
      <c r="AA488" s="152"/>
      <c r="AB488" s="152"/>
    </row>
    <row r="489" spans="1:28" hidden="1" outlineLevel="1">
      <c r="A489" s="242"/>
      <c r="B489" s="190" t="str">
        <f t="shared" ca="1" si="670"/>
        <v>RL Capex 2034-35</v>
      </c>
      <c r="C489" s="1429"/>
      <c r="D489" s="1429"/>
      <c r="E489" s="1429"/>
      <c r="F489" s="1429"/>
      <c r="G489" s="1429"/>
      <c r="H489" s="1429"/>
      <c r="I489" s="1429"/>
      <c r="J489" s="1429"/>
      <c r="K489" s="1429"/>
      <c r="L489" s="1429"/>
      <c r="M489" s="1429"/>
      <c r="N489" s="1429"/>
      <c r="O489" s="1429"/>
      <c r="P489" s="1429"/>
      <c r="Q489" s="1429"/>
      <c r="R489" s="1429"/>
      <c r="S489" s="1429"/>
      <c r="T489" s="1429"/>
      <c r="U489" s="1424"/>
      <c r="V489" s="1428">
        <f>V442</f>
        <v>0</v>
      </c>
      <c r="W489" s="1423">
        <f>IF(V489="n/a","n/a",MAX(0,V489-1))</f>
        <v>0</v>
      </c>
      <c r="X489" s="152"/>
      <c r="Y489" s="152"/>
      <c r="Z489" s="152"/>
      <c r="AA489" s="152"/>
      <c r="AB489" s="152"/>
    </row>
    <row r="490" spans="1:28" hidden="1" outlineLevel="1">
      <c r="A490" s="242"/>
      <c r="B490" s="190" t="str">
        <f t="shared" ca="1" si="670"/>
        <v>RL Capex 2035-36</v>
      </c>
      <c r="C490" s="1429"/>
      <c r="D490" s="1429"/>
      <c r="E490" s="1429"/>
      <c r="F490" s="1429"/>
      <c r="G490" s="1429"/>
      <c r="H490" s="1429"/>
      <c r="I490" s="1429"/>
      <c r="J490" s="1429"/>
      <c r="K490" s="1429"/>
      <c r="L490" s="1429"/>
      <c r="M490" s="1429"/>
      <c r="N490" s="1429"/>
      <c r="O490" s="1429"/>
      <c r="P490" s="1429"/>
      <c r="Q490" s="1429"/>
      <c r="R490" s="1429"/>
      <c r="S490" s="1429"/>
      <c r="T490" s="1429"/>
      <c r="U490" s="1429"/>
      <c r="V490" s="1424"/>
      <c r="W490" s="1423">
        <f>W442</f>
        <v>0</v>
      </c>
      <c r="X490" s="152"/>
      <c r="Y490" s="152"/>
      <c r="Z490" s="152"/>
      <c r="AA490" s="152"/>
      <c r="AB490" s="152"/>
    </row>
    <row r="491" spans="1:28" hidden="1" outlineLevel="1">
      <c r="A491" s="242"/>
      <c r="B491" s="200"/>
      <c r="C491" s="1423"/>
      <c r="D491" s="1423"/>
      <c r="E491" s="1423"/>
      <c r="F491" s="1423"/>
      <c r="G491" s="1423"/>
      <c r="H491" s="1423"/>
      <c r="I491" s="1423"/>
      <c r="J491" s="1423"/>
      <c r="K491" s="1423"/>
      <c r="L491" s="1423"/>
      <c r="M491" s="1423"/>
      <c r="N491" s="1423"/>
      <c r="O491" s="1423"/>
      <c r="P491" s="1423"/>
      <c r="Q491" s="1423"/>
      <c r="R491" s="1423"/>
      <c r="S491" s="1423"/>
      <c r="T491" s="1423"/>
      <c r="U491" s="1423"/>
      <c r="V491" s="1423"/>
      <c r="W491" s="1423"/>
      <c r="X491" s="152"/>
      <c r="Y491" s="152"/>
      <c r="Z491" s="152"/>
      <c r="AA491" s="152"/>
      <c r="AB491" s="152"/>
    </row>
    <row r="492" spans="1:28" collapsed="1">
      <c r="A492" s="246"/>
      <c r="B492" s="204" t="s">
        <v>123</v>
      </c>
      <c r="C492" s="1430">
        <f ca="1">(IF(OR($C442&lt;&gt;"n/a",C442&lt;&gt;"n/a"),IF(SUM(C445:C467)=0,0,IF((SUMPRODUCT(C445:C467,C469:C491)/SUM(C445:C467))&lt;0,1,(SUMPRODUCT(C445:C467,C469:C491)/SUM(C445:C467)))),"n/a"))</f>
        <v>0</v>
      </c>
      <c r="D492" s="1430">
        <f ca="1">(IF(OR($C442&lt;&gt;"n/a",D442&lt;&gt;"n/a"),IF(SUM(D445:D467)=0,0,IF((SUMPRODUCT(D445:D467,D469:D491)/SUM(D445:D467))&lt;0,1,(SUMPRODUCT(D445:D467,D469:D491)/SUM(D445:D467)))),"n/a"))</f>
        <v>0</v>
      </c>
      <c r="E492" s="1430">
        <f t="shared" ref="E492:W492" ca="1" si="671">(IF(OR($C442&lt;&gt;"n/a",E442&lt;&gt;"n/a"),IF(SUM(E445:E467)=0,0,IF((SUMPRODUCT(E445:E467,E469:E491)/SUM(E445:E467))&lt;0,1,(SUMPRODUCT(E445:E467,E469:E491)/SUM(E445:E467)))),"n/a"))</f>
        <v>0</v>
      </c>
      <c r="F492" s="1430">
        <f t="shared" ca="1" si="671"/>
        <v>0</v>
      </c>
      <c r="G492" s="1430">
        <f t="shared" ca="1" si="671"/>
        <v>0</v>
      </c>
      <c r="H492" s="1430">
        <f t="shared" ca="1" si="671"/>
        <v>0</v>
      </c>
      <c r="I492" s="1430">
        <f t="shared" ca="1" si="671"/>
        <v>0</v>
      </c>
      <c r="J492" s="1430">
        <f t="shared" ca="1" si="671"/>
        <v>0</v>
      </c>
      <c r="K492" s="1430">
        <f t="shared" ca="1" si="671"/>
        <v>0</v>
      </c>
      <c r="L492" s="1430">
        <f t="shared" ca="1" si="671"/>
        <v>0</v>
      </c>
      <c r="M492" s="1430">
        <f t="shared" ca="1" si="671"/>
        <v>0</v>
      </c>
      <c r="N492" s="1430">
        <f t="shared" ca="1" si="671"/>
        <v>0</v>
      </c>
      <c r="O492" s="1430">
        <f t="shared" ca="1" si="671"/>
        <v>0</v>
      </c>
      <c r="P492" s="1430">
        <f t="shared" ca="1" si="671"/>
        <v>0</v>
      </c>
      <c r="Q492" s="1430">
        <f t="shared" ca="1" si="671"/>
        <v>0</v>
      </c>
      <c r="R492" s="1430">
        <f t="shared" ca="1" si="671"/>
        <v>0</v>
      </c>
      <c r="S492" s="1430">
        <f t="shared" ca="1" si="671"/>
        <v>0</v>
      </c>
      <c r="T492" s="1430">
        <f t="shared" ca="1" si="671"/>
        <v>0</v>
      </c>
      <c r="U492" s="1430">
        <f t="shared" ca="1" si="671"/>
        <v>0</v>
      </c>
      <c r="V492" s="1430">
        <f t="shared" ca="1" si="671"/>
        <v>0</v>
      </c>
      <c r="W492" s="1430">
        <f t="shared" ca="1" si="671"/>
        <v>0</v>
      </c>
      <c r="X492" s="152"/>
      <c r="Y492" s="152"/>
      <c r="Z492" s="152"/>
      <c r="AA492" s="152"/>
      <c r="AB492" s="152"/>
    </row>
    <row r="493" spans="1:28">
      <c r="A493" s="242"/>
      <c r="B493" s="152"/>
      <c r="C493" s="1423"/>
      <c r="D493" s="1423"/>
      <c r="E493" s="1423"/>
      <c r="F493" s="1423"/>
      <c r="G493" s="1423"/>
      <c r="H493" s="1423"/>
      <c r="I493" s="1423"/>
      <c r="J493" s="1423"/>
      <c r="K493" s="1423"/>
      <c r="L493" s="1423"/>
      <c r="M493" s="1423"/>
      <c r="N493" s="1423"/>
      <c r="O493" s="1423"/>
      <c r="P493" s="1423"/>
      <c r="Q493" s="1423"/>
      <c r="R493" s="1423"/>
      <c r="S493" s="1423"/>
      <c r="T493" s="1423"/>
      <c r="U493" s="1423"/>
      <c r="V493" s="1423"/>
      <c r="W493" s="1423"/>
      <c r="X493" s="152"/>
      <c r="Y493" s="152"/>
      <c r="Z493" s="152"/>
      <c r="AA493" s="152"/>
      <c r="AB493" s="152"/>
    </row>
    <row r="494" spans="1:28">
      <c r="A494" s="269" t="s">
        <v>10</v>
      </c>
      <c r="B494" s="270">
        <f>VLOOKUP($A494,'RFM input'!$E$7:$F$56,2,FALSE)</f>
        <v>0</v>
      </c>
      <c r="C494" s="1431"/>
      <c r="D494" s="1431"/>
      <c r="E494" s="1432"/>
      <c r="F494" s="1432"/>
      <c r="G494" s="1432"/>
      <c r="H494" s="1432"/>
      <c r="I494" s="1432"/>
      <c r="J494" s="1432"/>
      <c r="K494" s="1432"/>
      <c r="L494" s="1432"/>
      <c r="M494" s="1432"/>
      <c r="N494" s="1432"/>
      <c r="O494" s="1432"/>
      <c r="P494" s="1432"/>
      <c r="Q494" s="1432"/>
      <c r="R494" s="1432"/>
      <c r="S494" s="1432"/>
      <c r="T494" s="1432"/>
      <c r="U494" s="1432"/>
      <c r="V494" s="1432"/>
      <c r="W494" s="1432"/>
      <c r="X494" s="152"/>
      <c r="Y494" s="152"/>
      <c r="Z494" s="152"/>
      <c r="AA494" s="152"/>
      <c r="AB494" s="152"/>
    </row>
    <row r="495" spans="1:28">
      <c r="A495" s="215">
        <f>VALUE(REPLACE(A494,1,12,""))</f>
        <v>10</v>
      </c>
      <c r="B495" s="263" t="s">
        <v>126</v>
      </c>
      <c r="C495" s="1416">
        <f ca="1">IF($D$6='TAB roll forward'!$H$4,OFFSET('TAB roll forward'!$H$7,A495,0),"enter input")</f>
        <v>0</v>
      </c>
      <c r="D495" s="1417">
        <f>IF(LEFT(D$6,4)&lt;LEFT('RFM input'!$G$60,4),"enter input",IF(LEFT(D$6,4)&gt;LEFT('RFM input'!$Q$60,4),0,
INDEX('RFM input'!$G$61:$Q$110,$A495,MATCH(D$6,'RFM input'!$G$60:$Q$60,0))
   -INDEX('RFM input'!$G$115:$Q$164,$A495,MATCH(D$6,'RFM input'!$G$60:$Q$60,0))))</f>
        <v>0</v>
      </c>
      <c r="E495" s="1417">
        <f>IF(LEFT(E$6,4)&lt;LEFT('RFM input'!$G$60,4),"enter input",IF(LEFT(E$6,4)&gt;LEFT('RFM input'!$Q$60,4),0,
INDEX('RFM input'!$G$61:$Q$110,$A495,MATCH(E$6,'RFM input'!$G$60:$Q$60,0))
   -INDEX('RFM input'!$G$115:$Q$164,$A495,MATCH(E$6,'RFM input'!$G$60:$Q$60,0))))</f>
        <v>0</v>
      </c>
      <c r="F495" s="1417">
        <f>IF(LEFT(F$6,4)&lt;LEFT('RFM input'!$G$60,4),"enter input",IF(LEFT(F$6,4)&gt;LEFT('RFM input'!$Q$60,4),0,
INDEX('RFM input'!$G$61:$Q$110,$A495,MATCH(F$6,'RFM input'!$G$60:$Q$60,0))
   -INDEX('RFM input'!$G$115:$Q$164,$A495,MATCH(F$6,'RFM input'!$G$60:$Q$60,0))))</f>
        <v>0</v>
      </c>
      <c r="G495" s="1417">
        <f>IF(LEFT(G$6,4)&lt;LEFT('RFM input'!$G$60,4),"enter input",IF(LEFT(G$6,4)&gt;LEFT('RFM input'!$Q$60,4),0,
INDEX('RFM input'!$G$61:$Q$110,$A495,MATCH(G$6,'RFM input'!$G$60:$Q$60,0))
   -INDEX('RFM input'!$G$115:$Q$164,$A495,MATCH(G$6,'RFM input'!$G$60:$Q$60,0))))</f>
        <v>0</v>
      </c>
      <c r="H495" s="1417">
        <f>IF(LEFT(H$6,4)&lt;LEFT('RFM input'!$G$60,4),"enter input",IF(LEFT(H$6,4)&gt;LEFT('RFM input'!$Q$60,4),0,
INDEX('RFM input'!$G$61:$Q$110,$A495,MATCH(H$6,'RFM input'!$G$60:$Q$60,0))
   -INDEX('RFM input'!$G$115:$Q$164,$A495,MATCH(H$6,'RFM input'!$G$60:$Q$60,0))))</f>
        <v>0</v>
      </c>
      <c r="I495" s="1417">
        <f>IF(LEFT(I$6,4)&lt;LEFT('RFM input'!$G$60,4),"enter input",IF(LEFT(I$6,4)&gt;LEFT('RFM input'!$Q$60,4),0,
INDEX('RFM input'!$G$61:$Q$110,$A495,MATCH(I$6,'RFM input'!$G$60:$Q$60,0))
   -INDEX('RFM input'!$G$115:$Q$164,$A495,MATCH(I$6,'RFM input'!$G$60:$Q$60,0))))</f>
        <v>0</v>
      </c>
      <c r="J495" s="1417">
        <f>IF(LEFT(J$6,4)&lt;LEFT('RFM input'!$G$60,4),"enter input",IF(LEFT(J$6,4)&gt;LEFT('RFM input'!$Q$60,4),0,
INDEX('RFM input'!$G$61:$Q$110,$A495,MATCH(J$6,'RFM input'!$G$60:$Q$60,0))
   -INDEX('RFM input'!$G$115:$Q$164,$A495,MATCH(J$6,'RFM input'!$G$60:$Q$60,0))))</f>
        <v>0</v>
      </c>
      <c r="K495" s="1417">
        <f>IF(LEFT(K$6,4)&lt;LEFT('RFM input'!$G$60,4),"enter input",IF(LEFT(K$6,4)&gt;LEFT('RFM input'!$Q$60,4),0,
INDEX('RFM input'!$G$61:$Q$110,$A495,MATCH(K$6,'RFM input'!$G$60:$Q$60,0))
   -INDEX('RFM input'!$G$115:$Q$164,$A495,MATCH(K$6,'RFM input'!$G$60:$Q$60,0))))</f>
        <v>0</v>
      </c>
      <c r="L495" s="1417">
        <f>IF(LEFT(L$6,4)&lt;LEFT('RFM input'!$G$60,4),"enter input",IF(LEFT(L$6,4)&gt;LEFT('RFM input'!$Q$60,4),0,
INDEX('RFM input'!$G$61:$Q$110,$A495,MATCH(L$6,'RFM input'!$G$60:$Q$60,0))
   -INDEX('RFM input'!$G$115:$Q$164,$A495,MATCH(L$6,'RFM input'!$G$60:$Q$60,0))))</f>
        <v>0</v>
      </c>
      <c r="M495" s="1417">
        <f>IF(LEFT(M$6,4)&lt;LEFT('RFM input'!$G$60,4),"enter input",IF(LEFT(M$6,4)&gt;LEFT('RFM input'!$Q$60,4),0,
INDEX('RFM input'!$G$61:$Q$110,$A495,MATCH(M$6,'RFM input'!$G$60:$Q$60,0))
   -INDEX('RFM input'!$G$115:$Q$164,$A495,MATCH(M$6,'RFM input'!$G$60:$Q$60,0))))</f>
        <v>0</v>
      </c>
      <c r="N495" s="1417">
        <f>IF(LEFT(N$6,4)&lt;LEFT('RFM input'!$G$60,4),"enter input",IF(LEFT(N$6,4)&gt;LEFT('RFM input'!$Q$60,4),0,
INDEX('RFM input'!$G$61:$Q$110,$A495,MATCH(N$6,'RFM input'!$G$60:$Q$60,0))
   -INDEX('RFM input'!$G$115:$Q$164,$A495,MATCH(N$6,'RFM input'!$G$60:$Q$60,0))))</f>
        <v>0</v>
      </c>
      <c r="O495" s="1417">
        <f>IF(LEFT(O$6,4)&lt;LEFT('RFM input'!$G$60,4),"enter input",IF(LEFT(O$6,4)&gt;LEFT('RFM input'!$Q$60,4),0,
INDEX('RFM input'!$G$61:$Q$110,$A495,MATCH(O$6,'RFM input'!$G$60:$Q$60,0))
   -INDEX('RFM input'!$G$115:$Q$164,$A495,MATCH(O$6,'RFM input'!$G$60:$Q$60,0))))</f>
        <v>0</v>
      </c>
      <c r="P495" s="1417">
        <f>IF(LEFT(P$6,4)&lt;LEFT('RFM input'!$G$60,4),"enter input",IF(LEFT(P$6,4)&gt;LEFT('RFM input'!$Q$60,4),0,
INDEX('RFM input'!$G$61:$Q$110,$A495,MATCH(P$6,'RFM input'!$G$60:$Q$60,0))
   -INDEX('RFM input'!$G$115:$Q$164,$A495,MATCH(P$6,'RFM input'!$G$60:$Q$60,0))))</f>
        <v>0</v>
      </c>
      <c r="Q495" s="1417">
        <f>IF(LEFT(Q$6,4)&lt;LEFT('RFM input'!$G$60,4),"enter input",IF(LEFT(Q$6,4)&gt;LEFT('RFM input'!$Q$60,4),0,
INDEX('RFM input'!$G$61:$Q$110,$A495,MATCH(Q$6,'RFM input'!$G$60:$Q$60,0))
   -INDEX('RFM input'!$G$115:$Q$164,$A495,MATCH(Q$6,'RFM input'!$G$60:$Q$60,0))))</f>
        <v>0</v>
      </c>
      <c r="R495" s="1417">
        <f>IF(LEFT(R$6,4)&lt;LEFT('RFM input'!$G$60,4),"enter input",IF(LEFT(R$6,4)&gt;LEFT('RFM input'!$Q$60,4),0,
INDEX('RFM input'!$G$61:$Q$110,$A495,MATCH(R$6,'RFM input'!$G$60:$Q$60,0))
   -INDEX('RFM input'!$G$115:$Q$164,$A495,MATCH(R$6,'RFM input'!$G$60:$Q$60,0))))</f>
        <v>0</v>
      </c>
      <c r="S495" s="1417">
        <f>IF(LEFT(S$6,4)&lt;LEFT('RFM input'!$G$60,4),"enter input",IF(LEFT(S$6,4)&gt;LEFT('RFM input'!$Q$60,4),0,
INDEX('RFM input'!$G$61:$Q$110,$A495,MATCH(S$6,'RFM input'!$G$60:$Q$60,0))
   -INDEX('RFM input'!$G$115:$Q$164,$A495,MATCH(S$6,'RFM input'!$G$60:$Q$60,0))))</f>
        <v>0</v>
      </c>
      <c r="T495" s="1417">
        <f>IF(LEFT(T$6,4)&lt;LEFT('RFM input'!$G$60,4),"enter input",IF(LEFT(T$6,4)&gt;LEFT('RFM input'!$Q$60,4),0,
INDEX('RFM input'!$G$61:$Q$110,$A495,MATCH(T$6,'RFM input'!$G$60:$Q$60,0))
   -INDEX('RFM input'!$G$115:$Q$164,$A495,MATCH(T$6,'RFM input'!$G$60:$Q$60,0))))</f>
        <v>0</v>
      </c>
      <c r="U495" s="1417">
        <f>IF(LEFT(U$6,4)&lt;LEFT('RFM input'!$G$60,4),"enter input",IF(LEFT(U$6,4)&gt;LEFT('RFM input'!$Q$60,4),0,
INDEX('RFM input'!$G$61:$Q$110,$A495,MATCH(U$6,'RFM input'!$G$60:$Q$60,0))
   -INDEX('RFM input'!$G$115:$Q$164,$A495,MATCH(U$6,'RFM input'!$G$60:$Q$60,0))))</f>
        <v>0</v>
      </c>
      <c r="V495" s="1417">
        <f>IF(LEFT(V$6,4)&lt;LEFT('RFM input'!$G$60,4),"enter input",IF(LEFT(V$6,4)&gt;LEFT('RFM input'!$Q$60,4),0,
INDEX('RFM input'!$G$61:$Q$110,$A495,MATCH(V$6,'RFM input'!$G$60:$Q$60,0))
   -INDEX('RFM input'!$G$115:$Q$164,$A495,MATCH(V$6,'RFM input'!$G$60:$Q$60,0))))</f>
        <v>0</v>
      </c>
      <c r="W495" s="1417">
        <f>IF(LEFT(W$6,4)&lt;LEFT('RFM input'!$G$60,4),"enter input",IF(LEFT(W$6,4)&gt;LEFT('RFM input'!$Q$60,4),0,
INDEX('RFM input'!$G$61:$Q$110,$A495,MATCH(W$6,'RFM input'!$G$60:$Q$60,0))
   -INDEX('RFM input'!$G$115:$Q$164,$A495,MATCH(W$6,'RFM input'!$G$60:$Q$60,0))))</f>
        <v>0</v>
      </c>
      <c r="X495" s="152"/>
      <c r="Y495" s="152"/>
      <c r="Z495" s="152"/>
      <c r="AA495" s="152"/>
      <c r="AB495" s="152"/>
    </row>
    <row r="496" spans="1:28">
      <c r="A496" s="242"/>
      <c r="B496" s="152" t="s">
        <v>205</v>
      </c>
      <c r="C496" s="1418">
        <f ca="1">IF($D$6='TAB roll forward'!$H$4,OFFSET('RFM input'!$S$6,$A495,0),"enter input")</f>
        <v>0</v>
      </c>
      <c r="D496" s="1417">
        <f>IF(LEFT(D$6,4)&lt;=LEFT('RFM input'!$G$60,4),"enter input",IF(LEFT(D$6,4)&gt;LEFT('RFM input'!$Q$60,4),0,
IF(MATCH(D$6,'RFM input'!$H$60:$Q$60,0),INDEX('RFM input'!$T$7:$T$56,$A495,1,1))))</f>
        <v>0</v>
      </c>
      <c r="E496" s="1417">
        <f>IF(LEFT(E$6,4)&lt;=LEFT('RFM input'!$G$60,4),"enter input",IF(LEFT(E$6,4)&gt;LEFT('RFM input'!$Q$60,4),0,
IF(MATCH(E$6,'RFM input'!$H$60:$Q$60,0),INDEX('RFM input'!$T$7:$T$56,$A495,1,1))))</f>
        <v>0</v>
      </c>
      <c r="F496" s="1417">
        <f>IF(LEFT(F$6,4)&lt;=LEFT('RFM input'!$G$60,4),"enter input",IF(LEFT(F$6,4)&gt;LEFT('RFM input'!$Q$60,4),0,
IF(MATCH(F$6,'RFM input'!$H$60:$Q$60,0),INDEX('RFM input'!$T$7:$T$56,$A495,1,1))))</f>
        <v>0</v>
      </c>
      <c r="G496" s="1417">
        <f>IF(LEFT(G$6,4)&lt;=LEFT('RFM input'!$G$60,4),"enter input",IF(LEFT(G$6,4)&gt;LEFT('RFM input'!$Q$60,4),0,
IF(MATCH(G$6,'RFM input'!$H$60:$Q$60,0),INDEX('RFM input'!$T$7:$T$56,$A495,1,1))))</f>
        <v>0</v>
      </c>
      <c r="H496" s="1417">
        <f>IF(LEFT(H$6,4)&lt;=LEFT('RFM input'!$G$60,4),"enter input",IF(LEFT(H$6,4)&gt;LEFT('RFM input'!$Q$60,4),0,
IF(MATCH(H$6,'RFM input'!$H$60:$Q$60,0),INDEX('RFM input'!$T$7:$T$56,$A495,1,1))))</f>
        <v>0</v>
      </c>
      <c r="I496" s="1417">
        <f>IF(LEFT(I$6,4)&lt;=LEFT('RFM input'!$G$60,4),"enter input",IF(LEFT(I$6,4)&gt;LEFT('RFM input'!$Q$60,4),0,
IF(MATCH(I$6,'RFM input'!$H$60:$Q$60,0),INDEX('RFM input'!$T$7:$T$56,$A495,1,1))))</f>
        <v>0</v>
      </c>
      <c r="J496" s="1417">
        <f>IF(LEFT(J$6,4)&lt;=LEFT('RFM input'!$G$60,4),"enter input",IF(LEFT(J$6,4)&gt;LEFT('RFM input'!$Q$60,4),0,
IF(MATCH(J$6,'RFM input'!$H$60:$Q$60,0),INDEX('RFM input'!$T$7:$T$56,$A495,1,1))))</f>
        <v>0</v>
      </c>
      <c r="K496" s="1417">
        <f>IF(LEFT(K$6,4)&lt;=LEFT('RFM input'!$G$60,4),"enter input",IF(LEFT(K$6,4)&gt;LEFT('RFM input'!$Q$60,4),0,
IF(MATCH(K$6,'RFM input'!$H$60:$Q$60,0),INDEX('RFM input'!$T$7:$T$56,$A495,1,1))))</f>
        <v>0</v>
      </c>
      <c r="L496" s="1417">
        <f>IF(LEFT(L$6,4)&lt;=LEFT('RFM input'!$G$60,4),"enter input",IF(LEFT(L$6,4)&gt;LEFT('RFM input'!$Q$60,4),0,
IF(MATCH(L$6,'RFM input'!$H$60:$Q$60,0),INDEX('RFM input'!$T$7:$T$56,$A495,1,1))))</f>
        <v>0</v>
      </c>
      <c r="M496" s="1417">
        <f>IF(LEFT(M$6,4)&lt;=LEFT('RFM input'!$G$60,4),"enter input",IF(LEFT(M$6,4)&gt;LEFT('RFM input'!$Q$60,4),0,
IF(MATCH(M$6,'RFM input'!$H$60:$Q$60,0),INDEX('RFM input'!$T$7:$T$56,$A495,1,1))))</f>
        <v>0</v>
      </c>
      <c r="N496" s="1417">
        <f>IF(LEFT(N$6,4)&lt;=LEFT('RFM input'!$G$60,4),"enter input",IF(LEFT(N$6,4)&gt;LEFT('RFM input'!$Q$60,4),0,
IF(MATCH(N$6,'RFM input'!$H$60:$Q$60,0),INDEX('RFM input'!$T$7:$T$56,$A495,1,1))))</f>
        <v>0</v>
      </c>
      <c r="O496" s="1417">
        <f>IF(LEFT(O$6,4)&lt;=LEFT('RFM input'!$G$60,4),"enter input",IF(LEFT(O$6,4)&gt;LEFT('RFM input'!$Q$60,4),0,
IF(MATCH(O$6,'RFM input'!$H$60:$Q$60,0),INDEX('RFM input'!$T$7:$T$56,$A495,1,1))))</f>
        <v>0</v>
      </c>
      <c r="P496" s="1417">
        <f>IF(LEFT(P$6,4)&lt;=LEFT('RFM input'!$G$60,4),"enter input",IF(LEFT(P$6,4)&gt;LEFT('RFM input'!$Q$60,4),0,
IF(MATCH(P$6,'RFM input'!$H$60:$Q$60,0),INDEX('RFM input'!$T$7:$T$56,$A495,1,1))))</f>
        <v>0</v>
      </c>
      <c r="Q496" s="1417">
        <f>IF(LEFT(Q$6,4)&lt;=LEFT('RFM input'!$G$60,4),"enter input",IF(LEFT(Q$6,4)&gt;LEFT('RFM input'!$Q$60,4),0,
IF(MATCH(Q$6,'RFM input'!$H$60:$Q$60,0),INDEX('RFM input'!$T$7:$T$56,$A495,1,1))))</f>
        <v>0</v>
      </c>
      <c r="R496" s="1417">
        <f>IF(LEFT(R$6,4)&lt;=LEFT('RFM input'!$G$60,4),"enter input",IF(LEFT(R$6,4)&gt;LEFT('RFM input'!$Q$60,4),0,
IF(MATCH(R$6,'RFM input'!$H$60:$Q$60,0),INDEX('RFM input'!$T$7:$T$56,$A495,1,1))))</f>
        <v>0</v>
      </c>
      <c r="S496" s="1417">
        <f>IF(LEFT(S$6,4)&lt;=LEFT('RFM input'!$G$60,4),"enter input",IF(LEFT(S$6,4)&gt;LEFT('RFM input'!$Q$60,4),0,
IF(MATCH(S$6,'RFM input'!$H$60:$Q$60,0),INDEX('RFM input'!$T$7:$T$56,$A495,1,1))))</f>
        <v>0</v>
      </c>
      <c r="T496" s="1417">
        <f>IF(LEFT(T$6,4)&lt;=LEFT('RFM input'!$G$60,4),"enter input",IF(LEFT(T$6,4)&gt;LEFT('RFM input'!$Q$60,4),0,
IF(MATCH(T$6,'RFM input'!$H$60:$Q$60,0),INDEX('RFM input'!$T$7:$T$56,$A495,1,1))))</f>
        <v>0</v>
      </c>
      <c r="U496" s="1417">
        <f>IF(LEFT(U$6,4)&lt;=LEFT('RFM input'!$G$60,4),"enter input",IF(LEFT(U$6,4)&gt;LEFT('RFM input'!$Q$60,4),0,
IF(MATCH(U$6,'RFM input'!$H$60:$Q$60,0),INDEX('RFM input'!$T$7:$T$56,$A495,1,1))))</f>
        <v>0</v>
      </c>
      <c r="V496" s="1417">
        <f>IF(LEFT(V$6,4)&lt;=LEFT('RFM input'!$G$60,4),"enter input",IF(LEFT(V$6,4)&gt;LEFT('RFM input'!$Q$60,4),0,
IF(MATCH(V$6,'RFM input'!$H$60:$Q$60,0),INDEX('RFM input'!$T$7:$T$56,$A495,1,1))))</f>
        <v>0</v>
      </c>
      <c r="W496" s="1417">
        <f>IF(LEFT(W$6,4)&lt;=LEFT('RFM input'!$G$60,4),"enter input",IF(LEFT(W$6,4)&gt;LEFT('RFM input'!$Q$60,4),0,
IF(MATCH(W$6,'RFM input'!$H$60:$Q$60,0),INDEX('RFM input'!$T$7:$T$56,$A495,1,1))))</f>
        <v>0</v>
      </c>
      <c r="X496" s="152"/>
      <c r="Y496" s="152"/>
      <c r="Z496" s="152"/>
      <c r="AA496" s="152"/>
      <c r="AB496" s="152"/>
    </row>
    <row r="497" spans="1:28">
      <c r="A497" s="242"/>
      <c r="B497" s="193" t="s">
        <v>192</v>
      </c>
      <c r="C497" s="1419"/>
      <c r="D497" s="1420">
        <f ca="1">IF(LEFT(D$6,4)&lt;=LEFT('RFM input'!$G$60,4),"enter input",IF(LEFT(D$6,4)&gt;LEFT('RFM input'!$Q$60,4),0,
IF(D$6=(OFFSET('RFM input'!$G$60,0,'RFM input'!$V$7)),OFFSET('RFM input'!$H$411,$A495,0),0)))</f>
        <v>0</v>
      </c>
      <c r="E497" s="1417">
        <f ca="1">IF(LEFT(E$6,4)&lt;=LEFT('RFM input'!$G$60,4),"enter input",IF(LEFT(E$6,4)&gt;LEFT('RFM input'!$Q$60,4),0,
IF(E$6=(OFFSET('RFM input'!$G$60,0,'RFM input'!$V$7)),OFFSET('RFM input'!$H$411,$A495,0),0)))</f>
        <v>0</v>
      </c>
      <c r="F497" s="1417">
        <f ca="1">IF(LEFT(F$6,4)&lt;=LEFT('RFM input'!$G$60,4),"enter input",IF(LEFT(F$6,4)&gt;LEFT('RFM input'!$Q$60,4),0,
IF(F$6=(OFFSET('RFM input'!$G$60,0,'RFM input'!$V$7)),OFFSET('RFM input'!$H$411,$A495,0),0)))</f>
        <v>0</v>
      </c>
      <c r="G497" s="1417">
        <f ca="1">IF(LEFT(G$6,4)&lt;=LEFT('RFM input'!$G$60,4),"enter input",IF(LEFT(G$6,4)&gt;LEFT('RFM input'!$Q$60,4),0,
IF(G$6=(OFFSET('RFM input'!$G$60,0,'RFM input'!$V$7)),OFFSET('RFM input'!$H$411,$A495,0),0)))</f>
        <v>0</v>
      </c>
      <c r="H497" s="1417">
        <f ca="1">IF(LEFT(H$6,4)&lt;=LEFT('RFM input'!$G$60,4),"enter input",IF(LEFT(H$6,4)&gt;LEFT('RFM input'!$Q$60,4),0,
IF(H$6=(OFFSET('RFM input'!$G$60,0,'RFM input'!$V$7)),OFFSET('RFM input'!$H$411,$A495,0),0)))</f>
        <v>0</v>
      </c>
      <c r="I497" s="1417">
        <f ca="1">IF(LEFT(I$6,4)&lt;=LEFT('RFM input'!$G$60,4),"enter input",IF(LEFT(I$6,4)&gt;LEFT('RFM input'!$Q$60,4),0,
IF(I$6=(OFFSET('RFM input'!$G$60,0,'RFM input'!$V$7)),OFFSET('RFM input'!$H$411,$A495,0),0)))</f>
        <v>0</v>
      </c>
      <c r="J497" s="1417">
        <f ca="1">IF(LEFT(J$6,4)&lt;=LEFT('RFM input'!$G$60,4),"enter input",IF(LEFT(J$6,4)&gt;LEFT('RFM input'!$Q$60,4),0,
IF(J$6=(OFFSET('RFM input'!$G$60,0,'RFM input'!$V$7)),OFFSET('RFM input'!$H$411,$A495,0),0)))</f>
        <v>0</v>
      </c>
      <c r="K497" s="1417">
        <f ca="1">IF(LEFT(K$6,4)&lt;=LEFT('RFM input'!$G$60,4),"enter input",IF(LEFT(K$6,4)&gt;LEFT('RFM input'!$Q$60,4),0,
IF(K$6=(OFFSET('RFM input'!$G$60,0,'RFM input'!$V$7)),OFFSET('RFM input'!$H$411,$A495,0),0)))</f>
        <v>0</v>
      </c>
      <c r="L497" s="1417">
        <f ca="1">IF(LEFT(L$6,4)&lt;=LEFT('RFM input'!$G$60,4),"enter input",IF(LEFT(L$6,4)&gt;LEFT('RFM input'!$Q$60,4),0,
IF(L$6=(OFFSET('RFM input'!$G$60,0,'RFM input'!$V$7)),OFFSET('RFM input'!$H$411,$A495,0),0)))</f>
        <v>0</v>
      </c>
      <c r="M497" s="1417">
        <f ca="1">IF(LEFT(M$6,4)&lt;=LEFT('RFM input'!$G$60,4),"enter input",IF(LEFT(M$6,4)&gt;LEFT('RFM input'!$Q$60,4),0,
IF(M$6=(OFFSET('RFM input'!$G$60,0,'RFM input'!$V$7)),OFFSET('RFM input'!$H$411,$A495,0),0)))</f>
        <v>0</v>
      </c>
      <c r="N497" s="1417">
        <f ca="1">IF(LEFT(N$6,4)&lt;=LEFT('RFM input'!$G$60,4),"enter input",IF(LEFT(N$6,4)&gt;LEFT('RFM input'!$Q$60,4),0,
IF(N$6=(OFFSET('RFM input'!$G$60,0,'RFM input'!$V$7)),OFFSET('RFM input'!$H$411,$A495,0),0)))</f>
        <v>0</v>
      </c>
      <c r="O497" s="1417">
        <f ca="1">IF(LEFT(O$6,4)&lt;=LEFT('RFM input'!$G$60,4),"enter input",IF(LEFT(O$6,4)&gt;LEFT('RFM input'!$Q$60,4),0,
IF(O$6=(OFFSET('RFM input'!$G$60,0,'RFM input'!$V$7)),OFFSET('RFM input'!$H$411,$A495,0),0)))</f>
        <v>0</v>
      </c>
      <c r="P497" s="1417">
        <f ca="1">IF(LEFT(P$6,4)&lt;=LEFT('RFM input'!$G$60,4),"enter input",IF(LEFT(P$6,4)&gt;LEFT('RFM input'!$Q$60,4),0,
IF(P$6=(OFFSET('RFM input'!$G$60,0,'RFM input'!$V$7)),OFFSET('RFM input'!$H$411,$A495,0),0)))</f>
        <v>0</v>
      </c>
      <c r="Q497" s="1417">
        <f ca="1">IF(LEFT(Q$6,4)&lt;=LEFT('RFM input'!$G$60,4),"enter input",IF(LEFT(Q$6,4)&gt;LEFT('RFM input'!$Q$60,4),0,
IF(Q$6=(OFFSET('RFM input'!$G$60,0,'RFM input'!$V$7)),OFFSET('RFM input'!$H$411,$A495,0),0)))</f>
        <v>0</v>
      </c>
      <c r="R497" s="1417">
        <f ca="1">IF(LEFT(R$6,4)&lt;=LEFT('RFM input'!$G$60,4),"enter input",IF(LEFT(R$6,4)&gt;LEFT('RFM input'!$Q$60,4),0,
IF(R$6=(OFFSET('RFM input'!$G$60,0,'RFM input'!$V$7)),OFFSET('RFM input'!$H$411,$A495,0),0)))</f>
        <v>0</v>
      </c>
      <c r="S497" s="1417">
        <f ca="1">IF(LEFT(S$6,4)&lt;=LEFT('RFM input'!$G$60,4),"enter input",IF(LEFT(S$6,4)&gt;LEFT('RFM input'!$Q$60,4),0,
IF(S$6=(OFFSET('RFM input'!$G$60,0,'RFM input'!$V$7)),OFFSET('RFM input'!$H$411,$A495,0),0)))</f>
        <v>0</v>
      </c>
      <c r="T497" s="1417">
        <f ca="1">IF(LEFT(T$6,4)&lt;=LEFT('RFM input'!$G$60,4),"enter input",IF(LEFT(T$6,4)&gt;LEFT('RFM input'!$Q$60,4),0,
IF(T$6=(OFFSET('RFM input'!$G$60,0,'RFM input'!$V$7)),OFFSET('RFM input'!$H$411,$A495,0),0)))</f>
        <v>0</v>
      </c>
      <c r="U497" s="1417">
        <f ca="1">IF(LEFT(U$6,4)&lt;=LEFT('RFM input'!$G$60,4),"enter input",IF(LEFT(U$6,4)&gt;LEFT('RFM input'!$Q$60,4),0,
IF(U$6=(OFFSET('RFM input'!$G$60,0,'RFM input'!$V$7)),OFFSET('RFM input'!$H$411,$A495,0),0)))</f>
        <v>0</v>
      </c>
      <c r="V497" s="1417">
        <f ca="1">IF(LEFT(V$6,4)&lt;=LEFT('RFM input'!$G$60,4),"enter input",IF(LEFT(V$6,4)&gt;LEFT('RFM input'!$Q$60,4),0,
IF(V$6=(OFFSET('RFM input'!$G$60,0,'RFM input'!$V$7)),OFFSET('RFM input'!$H$411,$A495,0),0)))</f>
        <v>0</v>
      </c>
      <c r="W497" s="1417">
        <f ca="1">IF(LEFT(W$6,4)&lt;=LEFT('RFM input'!$G$60,4),"enter input",IF(LEFT(W$6,4)&gt;LEFT('RFM input'!$Q$60,4),0,
IF(W$6=(OFFSET('RFM input'!$G$60,0,'RFM input'!$V$7)),OFFSET('RFM input'!$H$411,$A495,0),0)))</f>
        <v>0</v>
      </c>
      <c r="X497" s="152"/>
      <c r="Y497" s="152"/>
      <c r="Z497" s="152"/>
      <c r="AA497" s="152"/>
      <c r="AB497" s="152"/>
    </row>
    <row r="498" spans="1:28">
      <c r="A498" s="242"/>
      <c r="B498" s="193" t="s">
        <v>200</v>
      </c>
      <c r="C498" s="1419"/>
      <c r="D498" s="1418">
        <f ca="1">IF(LEFT(D$6,4)&lt;=LEFT('RFM input'!$G$60,4),"enter input",IF(LEFT(D$6,4)&gt;LEFT('RFM input'!$Q$60,4),0,
IF(D$6=(OFFSET('RFM input'!$G$60,0,'RFM input'!$V$7)),OFFSET('RFM input'!$J$411,$A495,0),0)))</f>
        <v>0</v>
      </c>
      <c r="E498" s="1422">
        <f ca="1">IF(LEFT(E$6,4)&lt;=LEFT('RFM input'!$G$60,4),"enter input",IF(LEFT(E$6,4)&gt;LEFT('RFM input'!$Q$60,4),0,
IF(E$6=(OFFSET('RFM input'!$G$60,0,'RFM input'!$V$7)),OFFSET('RFM input'!$J$411,$A495,0),0)))</f>
        <v>0</v>
      </c>
      <c r="F498" s="1422">
        <f ca="1">IF(LEFT(F$6,4)&lt;=LEFT('RFM input'!$G$60,4),"enter input",IF(LEFT(F$6,4)&gt;LEFT('RFM input'!$Q$60,4),0,
IF(F$6=(OFFSET('RFM input'!$G$60,0,'RFM input'!$V$7)),OFFSET('RFM input'!$J$411,$A495,0),0)))</f>
        <v>0</v>
      </c>
      <c r="G498" s="1422">
        <f ca="1">IF(LEFT(G$6,4)&lt;=LEFT('RFM input'!$G$60,4),"enter input",IF(LEFT(G$6,4)&gt;LEFT('RFM input'!$Q$60,4),0,
IF(G$6=(OFFSET('RFM input'!$G$60,0,'RFM input'!$V$7)),OFFSET('RFM input'!$J$411,$A495,0),0)))</f>
        <v>0</v>
      </c>
      <c r="H498" s="1422">
        <f ca="1">IF(LEFT(H$6,4)&lt;=LEFT('RFM input'!$G$60,4),"enter input",IF(LEFT(H$6,4)&gt;LEFT('RFM input'!$Q$60,4),0,
IF(H$6=(OFFSET('RFM input'!$G$60,0,'RFM input'!$V$7)),OFFSET('RFM input'!$J$411,$A495,0),0)))</f>
        <v>0</v>
      </c>
      <c r="I498" s="1422">
        <f ca="1">IF(LEFT(I$6,4)&lt;=LEFT('RFM input'!$G$60,4),"enter input",IF(LEFT(I$6,4)&gt;LEFT('RFM input'!$Q$60,4),0,
IF(I$6=(OFFSET('RFM input'!$G$60,0,'RFM input'!$V$7)),OFFSET('RFM input'!$J$411,$A495,0),0)))</f>
        <v>0</v>
      </c>
      <c r="J498" s="1422">
        <f ca="1">IF(LEFT(J$6,4)&lt;=LEFT('RFM input'!$G$60,4),"enter input",IF(LEFT(J$6,4)&gt;LEFT('RFM input'!$Q$60,4),0,
IF(J$6=(OFFSET('RFM input'!$G$60,0,'RFM input'!$V$7)),OFFSET('RFM input'!$J$411,$A495,0),0)))</f>
        <v>0</v>
      </c>
      <c r="K498" s="1422">
        <f ca="1">IF(LEFT(K$6,4)&lt;=LEFT('RFM input'!$G$60,4),"enter input",IF(LEFT(K$6,4)&gt;LEFT('RFM input'!$Q$60,4),0,
IF(K$6=(OFFSET('RFM input'!$G$60,0,'RFM input'!$V$7)),OFFSET('RFM input'!$J$411,$A495,0),0)))</f>
        <v>0</v>
      </c>
      <c r="L498" s="1422">
        <f ca="1">IF(LEFT(L$6,4)&lt;=LEFT('RFM input'!$G$60,4),"enter input",IF(LEFT(L$6,4)&gt;LEFT('RFM input'!$Q$60,4),0,
IF(L$6=(OFFSET('RFM input'!$G$60,0,'RFM input'!$V$7)),OFFSET('RFM input'!$J$411,$A495,0),0)))</f>
        <v>0</v>
      </c>
      <c r="M498" s="1422">
        <f ca="1">IF(LEFT(M$6,4)&lt;=LEFT('RFM input'!$G$60,4),"enter input",IF(LEFT(M$6,4)&gt;LEFT('RFM input'!$Q$60,4),0,
IF(M$6=(OFFSET('RFM input'!$G$60,0,'RFM input'!$V$7)),OFFSET('RFM input'!$J$411,$A495,0),0)))</f>
        <v>0</v>
      </c>
      <c r="N498" s="1422">
        <f ca="1">IF(LEFT(N$6,4)&lt;=LEFT('RFM input'!$G$60,4),"enter input",IF(LEFT(N$6,4)&gt;LEFT('RFM input'!$Q$60,4),0,
IF(N$6=(OFFSET('RFM input'!$G$60,0,'RFM input'!$V$7)),OFFSET('RFM input'!$J$411,$A495,0),0)))</f>
        <v>0</v>
      </c>
      <c r="O498" s="1422">
        <f ca="1">IF(LEFT(O$6,4)&lt;=LEFT('RFM input'!$G$60,4),"enter input",IF(LEFT(O$6,4)&gt;LEFT('RFM input'!$Q$60,4),0,
IF(O$6=(OFFSET('RFM input'!$G$60,0,'RFM input'!$V$7)),OFFSET('RFM input'!$J$411,$A495,0),0)))</f>
        <v>0</v>
      </c>
      <c r="P498" s="1422">
        <f ca="1">IF(LEFT(P$6,4)&lt;=LEFT('RFM input'!$G$60,4),"enter input",IF(LEFT(P$6,4)&gt;LEFT('RFM input'!$Q$60,4),0,
IF(P$6=(OFFSET('RFM input'!$G$60,0,'RFM input'!$V$7)),OFFSET('RFM input'!$J$411,$A495,0),0)))</f>
        <v>0</v>
      </c>
      <c r="Q498" s="1422">
        <f ca="1">IF(LEFT(Q$6,4)&lt;=LEFT('RFM input'!$G$60,4),"enter input",IF(LEFT(Q$6,4)&gt;LEFT('RFM input'!$Q$60,4),0,
IF(Q$6=(OFFSET('RFM input'!$G$60,0,'RFM input'!$V$7)),OFFSET('RFM input'!$J$411,$A495,0),0)))</f>
        <v>0</v>
      </c>
      <c r="R498" s="1422">
        <f ca="1">IF(LEFT(R$6,4)&lt;=LEFT('RFM input'!$G$60,4),"enter input",IF(LEFT(R$6,4)&gt;LEFT('RFM input'!$Q$60,4),0,
IF(R$6=(OFFSET('RFM input'!$G$60,0,'RFM input'!$V$7)),OFFSET('RFM input'!$J$411,$A495,0),0)))</f>
        <v>0</v>
      </c>
      <c r="S498" s="1422">
        <f ca="1">IF(LEFT(S$6,4)&lt;=LEFT('RFM input'!$G$60,4),"enter input",IF(LEFT(S$6,4)&gt;LEFT('RFM input'!$Q$60,4),0,
IF(S$6=(OFFSET('RFM input'!$G$60,0,'RFM input'!$V$7)),OFFSET('RFM input'!$J$411,$A495,0),0)))</f>
        <v>0</v>
      </c>
      <c r="T498" s="1422">
        <f ca="1">IF(LEFT(T$6,4)&lt;=LEFT('RFM input'!$G$60,4),"enter input",IF(LEFT(T$6,4)&gt;LEFT('RFM input'!$Q$60,4),0,
IF(T$6=(OFFSET('RFM input'!$G$60,0,'RFM input'!$V$7)),OFFSET('RFM input'!$J$411,$A495,0),0)))</f>
        <v>0</v>
      </c>
      <c r="U498" s="1422">
        <f ca="1">IF(LEFT(U$6,4)&lt;=LEFT('RFM input'!$G$60,4),"enter input",IF(LEFT(U$6,4)&gt;LEFT('RFM input'!$Q$60,4),0,
IF(U$6=(OFFSET('RFM input'!$G$60,0,'RFM input'!$V$7)),OFFSET('RFM input'!$J$411,$A495,0),0)))</f>
        <v>0</v>
      </c>
      <c r="V498" s="1422">
        <f ca="1">IF(LEFT(V$6,4)&lt;=LEFT('RFM input'!$G$60,4),"enter input",IF(LEFT(V$6,4)&gt;LEFT('RFM input'!$Q$60,4),0,
IF(V$6=(OFFSET('RFM input'!$G$60,0,'RFM input'!$V$7)),OFFSET('RFM input'!$J$411,$A495,0),0)))</f>
        <v>0</v>
      </c>
      <c r="W498" s="1422">
        <f ca="1">IF(LEFT(W$6,4)&lt;=LEFT('RFM input'!$G$60,4),"enter input",IF(LEFT(W$6,4)&gt;LEFT('RFM input'!$Q$60,4),0,
IF(W$6=(OFFSET('RFM input'!$G$60,0,'RFM input'!$V$7)),OFFSET('RFM input'!$J$411,$A495,0),0)))</f>
        <v>0</v>
      </c>
      <c r="X498" s="152"/>
      <c r="Y498" s="152"/>
      <c r="Z498" s="152"/>
      <c r="AA498" s="152"/>
      <c r="AB498" s="152"/>
    </row>
    <row r="499" spans="1:28" hidden="1" outlineLevel="1">
      <c r="A499" s="235">
        <v>-1</v>
      </c>
      <c r="B499" s="190" t="s">
        <v>195</v>
      </c>
      <c r="C499" s="1423"/>
      <c r="D499" s="1423">
        <f t="shared" ref="D499" ca="1" si="672">IF(AND(D497=0,C499=0),0,
IF(AND(D497&lt;&gt;0,C499=0),D497,
IF(AND(D498&lt;&gt;0,C499&lt;&gt;0),(C499-(C499/C523))+D497,
IF(C523&lt;1,0,(C499-(C499/C523))))))</f>
        <v>0</v>
      </c>
      <c r="E499" s="1423">
        <f t="shared" ref="E499" ca="1" si="673">IF(AND(E497=0,D499=0),0,
IF(AND(E497&lt;&gt;0,D499=0),E497,
IF(AND(E498&lt;&gt;0,D499&lt;&gt;0),(D499-(D499/D523))+E497,
IF(D523&lt;1,0,(D499-(D499/D523))))))</f>
        <v>0</v>
      </c>
      <c r="F499" s="1423">
        <f t="shared" ref="F499" ca="1" si="674">IF(AND(F497=0,E499=0),0,
IF(AND(F497&lt;&gt;0,E499=0),F497,
IF(AND(F498&lt;&gt;0,E499&lt;&gt;0),(E499-(E499/E523))+F497,
IF(E523&lt;1,0,(E499-(E499/E523))))))</f>
        <v>0</v>
      </c>
      <c r="G499" s="1423">
        <f t="shared" ref="G499" ca="1" si="675">IF(AND(G497=0,F499=0),0,
IF(AND(G497&lt;&gt;0,F499=0),G497,
IF(AND(G498&lt;&gt;0,F499&lt;&gt;0),(F499-(F499/F523))+G497,
IF(F523&lt;1,0,(F499-(F499/F523))))))</f>
        <v>0</v>
      </c>
      <c r="H499" s="1423">
        <f ca="1">IF(AND(H497=0,G499=0),0,
IF(AND(H497&lt;&gt;0,G499=0),H497,
IF(AND(H498&lt;&gt;0,G499&lt;&gt;0),(G499-(G499/G523))+H497,
IF(G523&lt;1,0,(G499-(G499/G523))))))</f>
        <v>0</v>
      </c>
      <c r="I499" s="1423">
        <f t="shared" ref="I499" ca="1" si="676">IF(AND(I497=0,H499=0),0,
IF(AND(I497&lt;&gt;0,H499=0),I497,
IF(AND(I498&lt;&gt;0,H499&lt;&gt;0),(H499-(H499/H523))+I497,
IF(H523&lt;1,0,(H499-(H499/H523))))))</f>
        <v>0</v>
      </c>
      <c r="J499" s="1423">
        <f t="shared" ref="J499" ca="1" si="677">IF(AND(J497=0,I499=0),0,
IF(AND(J497&lt;&gt;0,I499=0),J497,
IF(AND(J498&lt;&gt;0,I499&lt;&gt;0),(I499-(I499/I523))+J497,
IF(I523&lt;1,0,(I499-(I499/I523))))))</f>
        <v>0</v>
      </c>
      <c r="K499" s="1423">
        <f t="shared" ref="K499" ca="1" si="678">IF(AND(K497=0,J499=0),0,
IF(AND(K497&lt;&gt;0,J499=0),K497,
IF(AND(K498&lt;&gt;0,J499&lt;&gt;0),(J499-(J499/J523))+K497,
IF(J523&lt;1,0,(J499-(J499/J523))))))</f>
        <v>0</v>
      </c>
      <c r="L499" s="1423">
        <f t="shared" ref="L499" ca="1" si="679">IF(AND(L497=0,K499=0),0,
IF(AND(L497&lt;&gt;0,K499=0),L497,
IF(AND(L498&lt;&gt;0,K499&lt;&gt;0),(K499-(K499/K523))+L497,
IF(K523&lt;1,0,(K499-(K499/K523))))))</f>
        <v>0</v>
      </c>
      <c r="M499" s="1423">
        <f t="shared" ref="M499" ca="1" si="680">IF(AND(M497=0,L499=0),0,
IF(AND(M497&lt;&gt;0,L499=0),M497,
IF(AND(M498&lt;&gt;0,L499&lt;&gt;0),(L499-(L499/L523))+M497,
IF(L523&lt;1,0,(L499-(L499/L523))))))</f>
        <v>0</v>
      </c>
      <c r="N499" s="1423">
        <f t="shared" ref="N499" ca="1" si="681">IF(AND(N497=0,M499=0),0,
IF(AND(N497&lt;&gt;0,M499=0),N497,
IF(AND(N498&lt;&gt;0,M499&lt;&gt;0),(M499-(M499/M523))+N497,
IF(M523&lt;1,0,(M499-(M499/M523))))))</f>
        <v>0</v>
      </c>
      <c r="O499" s="1423">
        <f t="shared" ref="O499" ca="1" si="682">IF(AND(O497=0,N499=0),0,
IF(AND(O497&lt;&gt;0,N499=0),O497,
IF(AND(O498&lt;&gt;0,N499&lt;&gt;0),(N499-(N499/N523))+O497,
IF(N523&lt;1,0,(N499-(N499/N523))))))</f>
        <v>0</v>
      </c>
      <c r="P499" s="1423">
        <f t="shared" ref="P499" ca="1" si="683">IF(AND(P497=0,O499=0),0,
IF(AND(P497&lt;&gt;0,O499=0),P497,
IF(AND(P498&lt;&gt;0,O499&lt;&gt;0),(O499-(O499/O523))+P497,
IF(O523&lt;1,0,(O499-(O499/O523))))))</f>
        <v>0</v>
      </c>
      <c r="Q499" s="1423">
        <f t="shared" ref="Q499" ca="1" si="684">IF(AND(Q497=0,P499=0),0,
IF(AND(Q497&lt;&gt;0,P499=0),Q497,
IF(AND(Q498&lt;&gt;0,P499&lt;&gt;0),(P499-(P499/P523))+Q497,
IF(P523&lt;1,0,(P499-(P499/P523))))))</f>
        <v>0</v>
      </c>
      <c r="R499" s="1423">
        <f t="shared" ref="R499" ca="1" si="685">IF(AND(R497=0,Q499=0),0,
IF(AND(R497&lt;&gt;0,Q499=0),R497,
IF(AND(R498&lt;&gt;0,Q499&lt;&gt;0),(Q499-(Q499/Q523))+R497,
IF(Q523&lt;1,0,(Q499-(Q499/Q523))))))</f>
        <v>0</v>
      </c>
      <c r="S499" s="1423">
        <f t="shared" ref="S499" ca="1" si="686">IF(AND(S497=0,R499=0),0,
IF(AND(S497&lt;&gt;0,R499=0),S497,
IF(AND(S498&lt;&gt;0,R499&lt;&gt;0),(R499-(R499/R523))+S497,
IF(R523&lt;1,0,(R499-(R499/R523))))))</f>
        <v>0</v>
      </c>
      <c r="T499" s="1423">
        <f t="shared" ref="T499" ca="1" si="687">IF(AND(T497=0,S499=0),0,
IF(AND(T497&lt;&gt;0,S499=0),T497,
IF(AND(T498&lt;&gt;0,S499&lt;&gt;0),(S499-(S499/S523))+T497,
IF(S523&lt;1,0,(S499-(S499/S523))))))</f>
        <v>0</v>
      </c>
      <c r="U499" s="1423">
        <f t="shared" ref="U499" ca="1" si="688">IF(AND(U497=0,T499=0),0,
IF(AND(U497&lt;&gt;0,T499=0),U497,
IF(AND(U498&lt;&gt;0,T499&lt;&gt;0),(T499-(T499/T523))+U497,
IF(T523&lt;1,0,(T499-(T499/T523))))))</f>
        <v>0</v>
      </c>
      <c r="V499" s="1423">
        <f t="shared" ref="V499" ca="1" si="689">IF(AND(V497=0,U499=0),0,
IF(AND(V497&lt;&gt;0,U499=0),V497,
IF(AND(V498&lt;&gt;0,U499&lt;&gt;0),(U499-(U499/U523))+V497,
IF(U523&lt;1,0,(U499-(U499/U523))))))</f>
        <v>0</v>
      </c>
      <c r="W499" s="1423">
        <f t="shared" ref="W499" ca="1" si="690">IF(AND(W497=0,V499=0),0,
IF(AND(W497&lt;&gt;0,V499=0),W497,
IF(AND(W498&lt;&gt;0,V499&lt;&gt;0),(V499-(V499/V523))+W497,
IF(V523&lt;1,0,(V499-(V499/V523))))))</f>
        <v>0</v>
      </c>
      <c r="X499" s="152"/>
      <c r="Y499" s="152"/>
      <c r="Z499" s="152"/>
      <c r="AA499" s="152"/>
      <c r="AB499" s="152"/>
    </row>
    <row r="500" spans="1:28" hidden="1" outlineLevel="1">
      <c r="A500" s="199">
        <f>A499+1</f>
        <v>0</v>
      </c>
      <c r="B500" s="190" t="s">
        <v>527</v>
      </c>
      <c r="C500" s="1423">
        <f ca="1">C495</f>
        <v>0</v>
      </c>
      <c r="D500" s="1423">
        <f ca="1">IF(C524="n/a",C500,IFERROR(IF((OFFSET($C500,0,$A500))&lt;0,
MIN(0,C500-(OFFSET($C500,0,$A500)/(OFFSET($C495,-$A499,$A500)))),
MAX(0,C500-(OFFSET($C500,0,$A500)/(OFFSET($C495,-$A499,$A500))))),0))</f>
        <v>0</v>
      </c>
      <c r="E500" s="1423">
        <f t="shared" ref="E500" ca="1" si="691">IF(D524="n/a",D500,IFERROR(IF((OFFSET($C500,0,$A500))&lt;0,
MIN(0,D500-(OFFSET($C500,0,$A500)/(OFFSET($C495,-$A499,$A500)))),
MAX(0,D500-(OFFSET($C500,0,$A500)/(OFFSET($C495,-$A499,$A500))))),0))</f>
        <v>0</v>
      </c>
      <c r="F500" s="1423">
        <f t="shared" ref="F500:F501" ca="1" si="692">IF(E524="n/a",E500,IFERROR(IF((OFFSET($C500,0,$A500))&lt;0,
MIN(0,E500-(OFFSET($C500,0,$A500)/(OFFSET($C495,-$A499,$A500)))),
MAX(0,E500-(OFFSET($C500,0,$A500)/(OFFSET($C495,-$A499,$A500))))),0))</f>
        <v>0</v>
      </c>
      <c r="G500" s="1423">
        <f t="shared" ref="G500:G502" ca="1" si="693">IF(F524="n/a",F500,IFERROR(IF((OFFSET($C500,0,$A500))&lt;0,
MIN(0,F500-(OFFSET($C500,0,$A500)/(OFFSET($C495,-$A499,$A500)))),
MAX(0,F500-(OFFSET($C500,0,$A500)/(OFFSET($C495,-$A499,$A500))))),0))</f>
        <v>0</v>
      </c>
      <c r="H500" s="1423">
        <f t="shared" ref="H500:H503" ca="1" si="694">IF(G524="n/a",G500,IFERROR(IF((OFFSET($C500,0,$A500))&lt;0,
MIN(0,G500-(OFFSET($C500,0,$A500)/(OFFSET($C495,-$A499,$A500)))),
MAX(0,G500-(OFFSET($C500,0,$A500)/(OFFSET($C495,-$A499,$A500))))),0))</f>
        <v>0</v>
      </c>
      <c r="I500" s="1423">
        <f t="shared" ref="I500:I504" ca="1" si="695">IF(H524="n/a",H500,IFERROR(IF((OFFSET($C500,0,$A500))&lt;0,
MIN(0,H500-(OFFSET($C500,0,$A500)/(OFFSET($C495,-$A499,$A500)))),
MAX(0,H500-(OFFSET($C500,0,$A500)/(OFFSET($C495,-$A499,$A500))))),0))</f>
        <v>0</v>
      </c>
      <c r="J500" s="1423">
        <f t="shared" ref="J500:J505" ca="1" si="696">IF(I524="n/a",I500,IFERROR(IF((OFFSET($C500,0,$A500))&lt;0,
MIN(0,I500-(OFFSET($C500,0,$A500)/(OFFSET($C495,-$A499,$A500)))),
MAX(0,I500-(OFFSET($C500,0,$A500)/(OFFSET($C495,-$A499,$A500))))),0))</f>
        <v>0</v>
      </c>
      <c r="K500" s="1423">
        <f t="shared" ref="K500:K506" ca="1" si="697">IF(J524="n/a",J500,IFERROR(IF((OFFSET($C500,0,$A500))&lt;0,
MIN(0,J500-(OFFSET($C500,0,$A500)/(OFFSET($C495,-$A499,$A500)))),
MAX(0,J500-(OFFSET($C500,0,$A500)/(OFFSET($C495,-$A499,$A500))))),0))</f>
        <v>0</v>
      </c>
      <c r="L500" s="1423">
        <f t="shared" ref="L500:L507" ca="1" si="698">IF(K524="n/a",K500,IFERROR(IF((OFFSET($C500,0,$A500))&lt;0,
MIN(0,K500-(OFFSET($C500,0,$A500)/(OFFSET($C495,-$A499,$A500)))),
MAX(0,K500-(OFFSET($C500,0,$A500)/(OFFSET($C495,-$A499,$A500))))),0))</f>
        <v>0</v>
      </c>
      <c r="M500" s="1423">
        <f t="shared" ref="M500:M508" ca="1" si="699">IF(L524="n/a",L500,IFERROR(IF((OFFSET($C500,0,$A500))&lt;0,
MIN(0,L500-(OFFSET($C500,0,$A500)/(OFFSET($C495,-$A499,$A500)))),
MAX(0,L500-(OFFSET($C500,0,$A500)/(OFFSET($C495,-$A499,$A500))))),0))</f>
        <v>0</v>
      </c>
      <c r="N500" s="1423">
        <f t="shared" ref="N500:N509" ca="1" si="700">IF(M524="n/a",M500,IFERROR(IF((OFFSET($C500,0,$A500))&lt;0,
MIN(0,M500-(OFFSET($C500,0,$A500)/(OFFSET($C495,-$A499,$A500)))),
MAX(0,M500-(OFFSET($C500,0,$A500)/(OFFSET($C495,-$A499,$A500))))),0))</f>
        <v>0</v>
      </c>
      <c r="O500" s="1423">
        <f t="shared" ref="O500:O510" ca="1" si="701">IF(N524="n/a",N500,IFERROR(IF((OFFSET($C500,0,$A500))&lt;0,
MIN(0,N500-(OFFSET($C500,0,$A500)/(OFFSET($C495,-$A499,$A500)))),
MAX(0,N500-(OFFSET($C500,0,$A500)/(OFFSET($C495,-$A499,$A500))))),0))</f>
        <v>0</v>
      </c>
      <c r="P500" s="1423">
        <f t="shared" ref="P500:P511" ca="1" si="702">IF(O524="n/a",O500,IFERROR(IF((OFFSET($C500,0,$A500))&lt;0,
MIN(0,O500-(OFFSET($C500,0,$A500)/(OFFSET($C495,-$A499,$A500)))),
MAX(0,O500-(OFFSET($C500,0,$A500)/(OFFSET($C495,-$A499,$A500))))),0))</f>
        <v>0</v>
      </c>
      <c r="Q500" s="1423">
        <f t="shared" ref="Q500:Q512" ca="1" si="703">IF(P524="n/a",P500,IFERROR(IF((OFFSET($C500,0,$A500))&lt;0,
MIN(0,P500-(OFFSET($C500,0,$A500)/(OFFSET($C495,-$A499,$A500)))),
MAX(0,P500-(OFFSET($C500,0,$A500)/(OFFSET($C495,-$A499,$A500))))),0))</f>
        <v>0</v>
      </c>
      <c r="R500" s="1423">
        <f t="shared" ref="R500:R513" ca="1" si="704">IF(Q524="n/a",Q500,IFERROR(IF((OFFSET($C500,0,$A500))&lt;0,
MIN(0,Q500-(OFFSET($C500,0,$A500)/(OFFSET($C495,-$A499,$A500)))),
MAX(0,Q500-(OFFSET($C500,0,$A500)/(OFFSET($C495,-$A499,$A500))))),0))</f>
        <v>0</v>
      </c>
      <c r="S500" s="1423">
        <f t="shared" ref="S500:S514" ca="1" si="705">IF(R524="n/a",R500,IFERROR(IF((OFFSET($C500,0,$A500))&lt;0,
MIN(0,R500-(OFFSET($C500,0,$A500)/(OFFSET($C495,-$A499,$A500)))),
MAX(0,R500-(OFFSET($C500,0,$A500)/(OFFSET($C495,-$A499,$A500))))),0))</f>
        <v>0</v>
      </c>
      <c r="T500" s="1423">
        <f t="shared" ref="T500:T515" ca="1" si="706">IF(S524="n/a",S500,IFERROR(IF((OFFSET($C500,0,$A500))&lt;0,
MIN(0,S500-(OFFSET($C500,0,$A500)/(OFFSET($C495,-$A499,$A500)))),
MAX(0,S500-(OFFSET($C500,0,$A500)/(OFFSET($C495,-$A499,$A500))))),0))</f>
        <v>0</v>
      </c>
      <c r="U500" s="1423">
        <f t="shared" ref="U500:U516" ca="1" si="707">IF(T524="n/a",T500,IFERROR(IF((OFFSET($C500,0,$A500))&lt;0,
MIN(0,T500-(OFFSET($C500,0,$A500)/(OFFSET($C495,-$A499,$A500)))),
MAX(0,T500-(OFFSET($C500,0,$A500)/(OFFSET($C495,-$A499,$A500))))),0))</f>
        <v>0</v>
      </c>
      <c r="V500" s="1423">
        <f t="shared" ref="V500:V517" ca="1" si="708">IF(U524="n/a",U500,IFERROR(IF((OFFSET($C500,0,$A500))&lt;0,
MIN(0,U500-(OFFSET($C500,0,$A500)/(OFFSET($C495,-$A499,$A500)))),
MAX(0,U500-(OFFSET($C500,0,$A500)/(OFFSET($C495,-$A499,$A500))))),0))</f>
        <v>0</v>
      </c>
      <c r="W500" s="1423">
        <f t="shared" ref="W500:W518" ca="1" si="709">IF(V524="n/a",V500,IFERROR(IF((OFFSET($C500,0,$A500))&lt;0,
MIN(0,V500-(OFFSET($C500,0,$A500)/(OFFSET($C495,-$A499,$A500)))),
MAX(0,V500-(OFFSET($C500,0,$A500)/(OFFSET($C495,-$A499,$A500))))),0))</f>
        <v>0</v>
      </c>
      <c r="X500" s="152"/>
      <c r="Y500" s="152"/>
      <c r="Z500" s="152"/>
      <c r="AA500" s="152"/>
      <c r="AB500" s="152"/>
    </row>
    <row r="501" spans="1:28" hidden="1" outlineLevel="1">
      <c r="A501" s="199">
        <f t="shared" ref="A501:A520" si="710">A500+1</f>
        <v>1</v>
      </c>
      <c r="B501" s="190" t="str">
        <f t="shared" ref="B501:B520" ca="1" si="711">"Depreciated Net Capex "&amp;OFFSET($C$6,0,A501)</f>
        <v>Depreciated Net Capex 2016-17</v>
      </c>
      <c r="C501" s="1424"/>
      <c r="D501" s="1425">
        <f>D495</f>
        <v>0</v>
      </c>
      <c r="E501" s="1423">
        <f ca="1">IF(D525="n/a",D501,IFERROR(IF((OFFSET($C501,0,$A501))&lt;0,
MIN(0,D501-(OFFSET($C501,0,$A501)/(OFFSET($C496,-$A500,$A501)))),
MAX(0,D501-(OFFSET($C501,0,$A501)/(OFFSET($C496,-$A500,$A501))))),0))</f>
        <v>0</v>
      </c>
      <c r="F501" s="1423">
        <f t="shared" ca="1" si="692"/>
        <v>0</v>
      </c>
      <c r="G501" s="1423">
        <f t="shared" ca="1" si="693"/>
        <v>0</v>
      </c>
      <c r="H501" s="1423">
        <f t="shared" ca="1" si="694"/>
        <v>0</v>
      </c>
      <c r="I501" s="1423">
        <f t="shared" ca="1" si="695"/>
        <v>0</v>
      </c>
      <c r="J501" s="1423">
        <f t="shared" ca="1" si="696"/>
        <v>0</v>
      </c>
      <c r="K501" s="1423">
        <f t="shared" ca="1" si="697"/>
        <v>0</v>
      </c>
      <c r="L501" s="1423">
        <f t="shared" ca="1" si="698"/>
        <v>0</v>
      </c>
      <c r="M501" s="1423">
        <f t="shared" ca="1" si="699"/>
        <v>0</v>
      </c>
      <c r="N501" s="1423">
        <f t="shared" ca="1" si="700"/>
        <v>0</v>
      </c>
      <c r="O501" s="1423">
        <f t="shared" ca="1" si="701"/>
        <v>0</v>
      </c>
      <c r="P501" s="1423">
        <f t="shared" ca="1" si="702"/>
        <v>0</v>
      </c>
      <c r="Q501" s="1423">
        <f t="shared" ca="1" si="703"/>
        <v>0</v>
      </c>
      <c r="R501" s="1423">
        <f t="shared" ca="1" si="704"/>
        <v>0</v>
      </c>
      <c r="S501" s="1423">
        <f t="shared" ca="1" si="705"/>
        <v>0</v>
      </c>
      <c r="T501" s="1423">
        <f t="shared" ca="1" si="706"/>
        <v>0</v>
      </c>
      <c r="U501" s="1423">
        <f t="shared" ca="1" si="707"/>
        <v>0</v>
      </c>
      <c r="V501" s="1423">
        <f t="shared" ca="1" si="708"/>
        <v>0</v>
      </c>
      <c r="W501" s="1423">
        <f t="shared" ca="1" si="709"/>
        <v>0</v>
      </c>
      <c r="X501" s="152"/>
      <c r="Y501" s="152"/>
      <c r="Z501" s="152"/>
      <c r="AA501" s="152"/>
      <c r="AB501" s="152"/>
    </row>
    <row r="502" spans="1:28" hidden="1" outlineLevel="1">
      <c r="A502" s="199">
        <f t="shared" si="710"/>
        <v>2</v>
      </c>
      <c r="B502" s="190" t="str">
        <f t="shared" ca="1" si="711"/>
        <v>Depreciated Net Capex 2017-18</v>
      </c>
      <c r="C502" s="1426"/>
      <c r="D502" s="1427"/>
      <c r="E502" s="1425">
        <f>E495</f>
        <v>0</v>
      </c>
      <c r="F502" s="1423">
        <f ca="1">IF(E526="n/a",E502,IFERROR(IF((OFFSET($C502,0,$A502))&lt;0,
MIN(0,E502-(OFFSET($C502,0,$A502)/(OFFSET($C497,-$A501,$A502)))),
MAX(0,E502-(OFFSET($C502,0,$A502)/(OFFSET($C497,-$A501,$A502))))),0))</f>
        <v>0</v>
      </c>
      <c r="G502" s="1423">
        <f t="shared" ca="1" si="693"/>
        <v>0</v>
      </c>
      <c r="H502" s="1423">
        <f t="shared" ca="1" si="694"/>
        <v>0</v>
      </c>
      <c r="I502" s="1423">
        <f t="shared" ca="1" si="695"/>
        <v>0</v>
      </c>
      <c r="J502" s="1423">
        <f t="shared" ca="1" si="696"/>
        <v>0</v>
      </c>
      <c r="K502" s="1423">
        <f t="shared" ca="1" si="697"/>
        <v>0</v>
      </c>
      <c r="L502" s="1423">
        <f t="shared" ca="1" si="698"/>
        <v>0</v>
      </c>
      <c r="M502" s="1423">
        <f t="shared" ca="1" si="699"/>
        <v>0</v>
      </c>
      <c r="N502" s="1423">
        <f t="shared" ca="1" si="700"/>
        <v>0</v>
      </c>
      <c r="O502" s="1423">
        <f t="shared" ca="1" si="701"/>
        <v>0</v>
      </c>
      <c r="P502" s="1423">
        <f t="shared" ca="1" si="702"/>
        <v>0</v>
      </c>
      <c r="Q502" s="1423">
        <f t="shared" ca="1" si="703"/>
        <v>0</v>
      </c>
      <c r="R502" s="1423">
        <f t="shared" ca="1" si="704"/>
        <v>0</v>
      </c>
      <c r="S502" s="1423">
        <f t="shared" ca="1" si="705"/>
        <v>0</v>
      </c>
      <c r="T502" s="1423">
        <f t="shared" ca="1" si="706"/>
        <v>0</v>
      </c>
      <c r="U502" s="1423">
        <f t="shared" ca="1" si="707"/>
        <v>0</v>
      </c>
      <c r="V502" s="1423">
        <f t="shared" ca="1" si="708"/>
        <v>0</v>
      </c>
      <c r="W502" s="1423">
        <f t="shared" ca="1" si="709"/>
        <v>0</v>
      </c>
      <c r="X502" s="202"/>
      <c r="Y502" s="152"/>
      <c r="Z502" s="152"/>
      <c r="AA502" s="152"/>
      <c r="AB502" s="152"/>
    </row>
    <row r="503" spans="1:28" hidden="1" outlineLevel="1">
      <c r="A503" s="199">
        <f t="shared" si="710"/>
        <v>3</v>
      </c>
      <c r="B503" s="190" t="str">
        <f t="shared" ca="1" si="711"/>
        <v>Depreciated Net Capex 2018-19</v>
      </c>
      <c r="C503" s="1426"/>
      <c r="D503" s="1426"/>
      <c r="E503" s="1427"/>
      <c r="F503" s="1428">
        <f>F495</f>
        <v>0</v>
      </c>
      <c r="G503" s="1423">
        <f ca="1">IF(F527="n/a",F503,IFERROR(IF((OFFSET($C503,0,$A503))&lt;0,
MIN(0,F503-(OFFSET($C503,0,$A503)/(OFFSET($C498,-$A502,$A503)))),
MAX(0,F503-(OFFSET($C503,0,$A503)/(OFFSET($C498,-$A502,$A503))))),0))</f>
        <v>0</v>
      </c>
      <c r="H503" s="1423">
        <f t="shared" ca="1" si="694"/>
        <v>0</v>
      </c>
      <c r="I503" s="1423">
        <f t="shared" ca="1" si="695"/>
        <v>0</v>
      </c>
      <c r="J503" s="1423">
        <f t="shared" ca="1" si="696"/>
        <v>0</v>
      </c>
      <c r="K503" s="1423">
        <f t="shared" ca="1" si="697"/>
        <v>0</v>
      </c>
      <c r="L503" s="1423">
        <f t="shared" ca="1" si="698"/>
        <v>0</v>
      </c>
      <c r="M503" s="1423">
        <f t="shared" ca="1" si="699"/>
        <v>0</v>
      </c>
      <c r="N503" s="1423">
        <f t="shared" ca="1" si="700"/>
        <v>0</v>
      </c>
      <c r="O503" s="1423">
        <f t="shared" ca="1" si="701"/>
        <v>0</v>
      </c>
      <c r="P503" s="1423">
        <f t="shared" ca="1" si="702"/>
        <v>0</v>
      </c>
      <c r="Q503" s="1423">
        <f t="shared" ca="1" si="703"/>
        <v>0</v>
      </c>
      <c r="R503" s="1423">
        <f t="shared" ca="1" si="704"/>
        <v>0</v>
      </c>
      <c r="S503" s="1423">
        <f t="shared" ca="1" si="705"/>
        <v>0</v>
      </c>
      <c r="T503" s="1423">
        <f t="shared" ca="1" si="706"/>
        <v>0</v>
      </c>
      <c r="U503" s="1423">
        <f t="shared" ca="1" si="707"/>
        <v>0</v>
      </c>
      <c r="V503" s="1423">
        <f t="shared" ca="1" si="708"/>
        <v>0</v>
      </c>
      <c r="W503" s="1423">
        <f t="shared" ca="1" si="709"/>
        <v>0</v>
      </c>
      <c r="X503" s="202"/>
      <c r="Y503" s="202"/>
      <c r="Z503" s="152"/>
      <c r="AA503" s="152"/>
      <c r="AB503" s="152"/>
    </row>
    <row r="504" spans="1:28" hidden="1" outlineLevel="1">
      <c r="A504" s="199">
        <f t="shared" si="710"/>
        <v>4</v>
      </c>
      <c r="B504" s="190" t="str">
        <f t="shared" ca="1" si="711"/>
        <v>Depreciated Net Capex 2019-20</v>
      </c>
      <c r="C504" s="1426"/>
      <c r="D504" s="1426"/>
      <c r="E504" s="1426"/>
      <c r="F504" s="1427"/>
      <c r="G504" s="1428">
        <f>G495</f>
        <v>0</v>
      </c>
      <c r="H504" s="1423">
        <f ca="1">IF(G528="n/a",G504,IFERROR(IF((OFFSET($C504,0,$A504))&lt;0,
MIN(0,G504-(OFFSET($C504,0,$A504)/(OFFSET($C499,-$A503,$A504)))),
MAX(0,G504-(OFFSET($C504,0,$A504)/(OFFSET($C499,-$A503,$A504))))),0))</f>
        <v>0</v>
      </c>
      <c r="I504" s="1423">
        <f t="shared" ca="1" si="695"/>
        <v>0</v>
      </c>
      <c r="J504" s="1423">
        <f t="shared" ca="1" si="696"/>
        <v>0</v>
      </c>
      <c r="K504" s="1423">
        <f t="shared" ca="1" si="697"/>
        <v>0</v>
      </c>
      <c r="L504" s="1423">
        <f t="shared" ca="1" si="698"/>
        <v>0</v>
      </c>
      <c r="M504" s="1423">
        <f t="shared" ca="1" si="699"/>
        <v>0</v>
      </c>
      <c r="N504" s="1423">
        <f t="shared" ca="1" si="700"/>
        <v>0</v>
      </c>
      <c r="O504" s="1423">
        <f t="shared" ca="1" si="701"/>
        <v>0</v>
      </c>
      <c r="P504" s="1423">
        <f t="shared" ca="1" si="702"/>
        <v>0</v>
      </c>
      <c r="Q504" s="1423">
        <f t="shared" ca="1" si="703"/>
        <v>0</v>
      </c>
      <c r="R504" s="1423">
        <f t="shared" ca="1" si="704"/>
        <v>0</v>
      </c>
      <c r="S504" s="1423">
        <f t="shared" ca="1" si="705"/>
        <v>0</v>
      </c>
      <c r="T504" s="1423">
        <f t="shared" ca="1" si="706"/>
        <v>0</v>
      </c>
      <c r="U504" s="1423">
        <f t="shared" ca="1" si="707"/>
        <v>0</v>
      </c>
      <c r="V504" s="1423">
        <f t="shared" ca="1" si="708"/>
        <v>0</v>
      </c>
      <c r="W504" s="1423">
        <f t="shared" ca="1" si="709"/>
        <v>0</v>
      </c>
      <c r="X504" s="202"/>
      <c r="Y504" s="202"/>
      <c r="Z504" s="202"/>
      <c r="AA504" s="152"/>
      <c r="AB504" s="152"/>
    </row>
    <row r="505" spans="1:28" hidden="1" outlineLevel="1">
      <c r="A505" s="199">
        <f t="shared" si="710"/>
        <v>5</v>
      </c>
      <c r="B505" s="190" t="str">
        <f t="shared" ca="1" si="711"/>
        <v>Depreciated Net Capex 2020-21</v>
      </c>
      <c r="C505" s="1426"/>
      <c r="D505" s="1426"/>
      <c r="E505" s="1426"/>
      <c r="F505" s="1426"/>
      <c r="G505" s="1427"/>
      <c r="H505" s="1428">
        <f>H495</f>
        <v>0</v>
      </c>
      <c r="I505" s="1423">
        <f ca="1">IF(H529="n/a",H505,IFERROR(IF((OFFSET($C505,0,$A505))&lt;0,
MIN(0,H505-(OFFSET($C505,0,$A505)/(OFFSET($C500,-$A504,$A505)))),
MAX(0,H505-(OFFSET($C505,0,$A505)/(OFFSET($C500,-$A504,$A505))))),0))</f>
        <v>0</v>
      </c>
      <c r="J505" s="1423">
        <f t="shared" ca="1" si="696"/>
        <v>0</v>
      </c>
      <c r="K505" s="1423">
        <f t="shared" ca="1" si="697"/>
        <v>0</v>
      </c>
      <c r="L505" s="1423">
        <f t="shared" ca="1" si="698"/>
        <v>0</v>
      </c>
      <c r="M505" s="1423">
        <f t="shared" ca="1" si="699"/>
        <v>0</v>
      </c>
      <c r="N505" s="1423">
        <f t="shared" ca="1" si="700"/>
        <v>0</v>
      </c>
      <c r="O505" s="1423">
        <f t="shared" ca="1" si="701"/>
        <v>0</v>
      </c>
      <c r="P505" s="1423">
        <f t="shared" ca="1" si="702"/>
        <v>0</v>
      </c>
      <c r="Q505" s="1423">
        <f t="shared" ca="1" si="703"/>
        <v>0</v>
      </c>
      <c r="R505" s="1423">
        <f t="shared" ca="1" si="704"/>
        <v>0</v>
      </c>
      <c r="S505" s="1423">
        <f t="shared" ca="1" si="705"/>
        <v>0</v>
      </c>
      <c r="T505" s="1423">
        <f t="shared" ca="1" si="706"/>
        <v>0</v>
      </c>
      <c r="U505" s="1423">
        <f t="shared" ca="1" si="707"/>
        <v>0</v>
      </c>
      <c r="V505" s="1423">
        <f t="shared" ca="1" si="708"/>
        <v>0</v>
      </c>
      <c r="W505" s="1423">
        <f t="shared" ca="1" si="709"/>
        <v>0</v>
      </c>
      <c r="X505" s="202"/>
      <c r="Y505" s="202"/>
      <c r="Z505" s="202"/>
      <c r="AA505" s="152"/>
      <c r="AB505" s="152"/>
    </row>
    <row r="506" spans="1:28" hidden="1" outlineLevel="1">
      <c r="A506" s="199">
        <f t="shared" si="710"/>
        <v>6</v>
      </c>
      <c r="B506" s="190" t="str">
        <f t="shared" ca="1" si="711"/>
        <v>Depreciated Net Capex 2021-22</v>
      </c>
      <c r="C506" s="1426"/>
      <c r="D506" s="1426"/>
      <c r="E506" s="1426"/>
      <c r="F506" s="1426"/>
      <c r="G506" s="1426"/>
      <c r="H506" s="1427"/>
      <c r="I506" s="1428">
        <f>I495</f>
        <v>0</v>
      </c>
      <c r="J506" s="1423">
        <f ca="1">IF(I530="n/a",I506,IFERROR(IF((OFFSET($C506,0,$A506))&lt;0,
MIN(0,I506-(OFFSET($C506,0,$A506)/(OFFSET($C501,-$A505,$A506)))),
MAX(0,I506-(OFFSET($C506,0,$A506)/(OFFSET($C501,-$A505,$A506))))),0))</f>
        <v>0</v>
      </c>
      <c r="K506" s="1423">
        <f t="shared" ca="1" si="697"/>
        <v>0</v>
      </c>
      <c r="L506" s="1423">
        <f t="shared" ca="1" si="698"/>
        <v>0</v>
      </c>
      <c r="M506" s="1423">
        <f t="shared" ca="1" si="699"/>
        <v>0</v>
      </c>
      <c r="N506" s="1423">
        <f t="shared" ca="1" si="700"/>
        <v>0</v>
      </c>
      <c r="O506" s="1423">
        <f t="shared" ca="1" si="701"/>
        <v>0</v>
      </c>
      <c r="P506" s="1423">
        <f t="shared" ca="1" si="702"/>
        <v>0</v>
      </c>
      <c r="Q506" s="1423">
        <f t="shared" ca="1" si="703"/>
        <v>0</v>
      </c>
      <c r="R506" s="1423">
        <f t="shared" ca="1" si="704"/>
        <v>0</v>
      </c>
      <c r="S506" s="1423">
        <f t="shared" ca="1" si="705"/>
        <v>0</v>
      </c>
      <c r="T506" s="1423">
        <f t="shared" ca="1" si="706"/>
        <v>0</v>
      </c>
      <c r="U506" s="1423">
        <f t="shared" ca="1" si="707"/>
        <v>0</v>
      </c>
      <c r="V506" s="1423">
        <f t="shared" ca="1" si="708"/>
        <v>0</v>
      </c>
      <c r="W506" s="1423">
        <f t="shared" ca="1" si="709"/>
        <v>0</v>
      </c>
      <c r="X506" s="202"/>
      <c r="Y506" s="202"/>
      <c r="Z506" s="202"/>
      <c r="AA506" s="152"/>
      <c r="AB506" s="152"/>
    </row>
    <row r="507" spans="1:28" hidden="1" outlineLevel="1">
      <c r="A507" s="199">
        <f t="shared" si="710"/>
        <v>7</v>
      </c>
      <c r="B507" s="190" t="str">
        <f t="shared" ca="1" si="711"/>
        <v>Depreciated Net Capex 2022-23</v>
      </c>
      <c r="C507" s="1426"/>
      <c r="D507" s="1426"/>
      <c r="E507" s="1426"/>
      <c r="F507" s="1426"/>
      <c r="G507" s="1426"/>
      <c r="H507" s="1426"/>
      <c r="I507" s="1427"/>
      <c r="J507" s="1428">
        <f>J495</f>
        <v>0</v>
      </c>
      <c r="K507" s="1423">
        <f ca="1">IF(J531="n/a",J507,IFERROR(IF((OFFSET($C507,0,$A507))&lt;0,
MIN(0,J507-(OFFSET($C507,0,$A507)/(OFFSET($C502,-$A506,$A507)))),
MAX(0,J507-(OFFSET($C507,0,$A507)/(OFFSET($C502,-$A506,$A507))))),0))</f>
        <v>0</v>
      </c>
      <c r="L507" s="1423">
        <f t="shared" ca="1" si="698"/>
        <v>0</v>
      </c>
      <c r="M507" s="1423">
        <f t="shared" ca="1" si="699"/>
        <v>0</v>
      </c>
      <c r="N507" s="1423">
        <f t="shared" ca="1" si="700"/>
        <v>0</v>
      </c>
      <c r="O507" s="1423">
        <f t="shared" ca="1" si="701"/>
        <v>0</v>
      </c>
      <c r="P507" s="1423">
        <f t="shared" ca="1" si="702"/>
        <v>0</v>
      </c>
      <c r="Q507" s="1423">
        <f t="shared" ca="1" si="703"/>
        <v>0</v>
      </c>
      <c r="R507" s="1423">
        <f t="shared" ca="1" si="704"/>
        <v>0</v>
      </c>
      <c r="S507" s="1423">
        <f t="shared" ca="1" si="705"/>
        <v>0</v>
      </c>
      <c r="T507" s="1423">
        <f t="shared" ca="1" si="706"/>
        <v>0</v>
      </c>
      <c r="U507" s="1423">
        <f t="shared" ca="1" si="707"/>
        <v>0</v>
      </c>
      <c r="V507" s="1423">
        <f t="shared" ca="1" si="708"/>
        <v>0</v>
      </c>
      <c r="W507" s="1423">
        <f t="shared" ca="1" si="709"/>
        <v>0</v>
      </c>
      <c r="X507" s="202"/>
      <c r="Y507" s="202"/>
      <c r="Z507" s="202"/>
      <c r="AA507" s="152"/>
      <c r="AB507" s="152"/>
    </row>
    <row r="508" spans="1:28" hidden="1" outlineLevel="1">
      <c r="A508" s="199">
        <f t="shared" si="710"/>
        <v>8</v>
      </c>
      <c r="B508" s="190" t="str">
        <f t="shared" ca="1" si="711"/>
        <v>Depreciated Net Capex 2023-24</v>
      </c>
      <c r="C508" s="1426"/>
      <c r="D508" s="1426"/>
      <c r="E508" s="1426"/>
      <c r="F508" s="1426"/>
      <c r="G508" s="1426"/>
      <c r="H508" s="1426"/>
      <c r="I508" s="1426"/>
      <c r="J508" s="1427"/>
      <c r="K508" s="1428">
        <f>K495</f>
        <v>0</v>
      </c>
      <c r="L508" s="1423">
        <f ca="1">IF(K532="n/a",K508,IFERROR(IF((OFFSET($C508,0,$A508))&lt;0,
MIN(0,K508-(OFFSET($C508,0,$A508)/(OFFSET($C503,-$A507,$A508)))),
MAX(0,K508-(OFFSET($C508,0,$A508)/(OFFSET($C503,-$A507,$A508))))),0))</f>
        <v>0</v>
      </c>
      <c r="M508" s="1423">
        <f t="shared" ca="1" si="699"/>
        <v>0</v>
      </c>
      <c r="N508" s="1423">
        <f t="shared" ca="1" si="700"/>
        <v>0</v>
      </c>
      <c r="O508" s="1423">
        <f t="shared" ca="1" si="701"/>
        <v>0</v>
      </c>
      <c r="P508" s="1423">
        <f t="shared" ca="1" si="702"/>
        <v>0</v>
      </c>
      <c r="Q508" s="1423">
        <f t="shared" ca="1" si="703"/>
        <v>0</v>
      </c>
      <c r="R508" s="1423">
        <f t="shared" ca="1" si="704"/>
        <v>0</v>
      </c>
      <c r="S508" s="1423">
        <f t="shared" ca="1" si="705"/>
        <v>0</v>
      </c>
      <c r="T508" s="1423">
        <f t="shared" ca="1" si="706"/>
        <v>0</v>
      </c>
      <c r="U508" s="1423">
        <f t="shared" ca="1" si="707"/>
        <v>0</v>
      </c>
      <c r="V508" s="1423">
        <f t="shared" ca="1" si="708"/>
        <v>0</v>
      </c>
      <c r="W508" s="1423">
        <f t="shared" ca="1" si="709"/>
        <v>0</v>
      </c>
      <c r="X508" s="202"/>
      <c r="Y508" s="202"/>
      <c r="Z508" s="202"/>
      <c r="AA508" s="152"/>
      <c r="AB508" s="152"/>
    </row>
    <row r="509" spans="1:28" hidden="1" outlineLevel="1">
      <c r="A509" s="199">
        <f t="shared" si="710"/>
        <v>9</v>
      </c>
      <c r="B509" s="190" t="str">
        <f t="shared" ca="1" si="711"/>
        <v>Depreciated Net Capex 2024-25</v>
      </c>
      <c r="C509" s="1426"/>
      <c r="D509" s="1426"/>
      <c r="E509" s="1426"/>
      <c r="F509" s="1426"/>
      <c r="G509" s="1426"/>
      <c r="H509" s="1426"/>
      <c r="I509" s="1426"/>
      <c r="J509" s="1426"/>
      <c r="K509" s="1427"/>
      <c r="L509" s="1428">
        <f>L495</f>
        <v>0</v>
      </c>
      <c r="M509" s="1423">
        <f ca="1">IF(L533="n/a",L509,IFERROR(IF((OFFSET($C509,0,$A509))&lt;0,
MIN(0,L509-(OFFSET($C509,0,$A509)/(OFFSET($C504,-$A508,$A509)))),
MAX(0,L509-(OFFSET($C509,0,$A509)/(OFFSET($C504,-$A508,$A509))))),0))</f>
        <v>0</v>
      </c>
      <c r="N509" s="1423">
        <f t="shared" ca="1" si="700"/>
        <v>0</v>
      </c>
      <c r="O509" s="1423">
        <f t="shared" ca="1" si="701"/>
        <v>0</v>
      </c>
      <c r="P509" s="1423">
        <f t="shared" ca="1" si="702"/>
        <v>0</v>
      </c>
      <c r="Q509" s="1423">
        <f t="shared" ca="1" si="703"/>
        <v>0</v>
      </c>
      <c r="R509" s="1423">
        <f t="shared" ca="1" si="704"/>
        <v>0</v>
      </c>
      <c r="S509" s="1423">
        <f t="shared" ca="1" si="705"/>
        <v>0</v>
      </c>
      <c r="T509" s="1423">
        <f t="shared" ca="1" si="706"/>
        <v>0</v>
      </c>
      <c r="U509" s="1423">
        <f t="shared" ca="1" si="707"/>
        <v>0</v>
      </c>
      <c r="V509" s="1423">
        <f t="shared" ca="1" si="708"/>
        <v>0</v>
      </c>
      <c r="W509" s="1423">
        <f t="shared" ca="1" si="709"/>
        <v>0</v>
      </c>
      <c r="X509" s="202"/>
      <c r="Y509" s="202"/>
      <c r="Z509" s="202"/>
      <c r="AA509" s="152"/>
      <c r="AB509" s="152"/>
    </row>
    <row r="510" spans="1:28" hidden="1" outlineLevel="1">
      <c r="A510" s="199">
        <f t="shared" si="710"/>
        <v>10</v>
      </c>
      <c r="B510" s="190" t="str">
        <f t="shared" ca="1" si="711"/>
        <v>Depreciated Net Capex 2025-26</v>
      </c>
      <c r="C510" s="1426"/>
      <c r="D510" s="1426"/>
      <c r="E510" s="1426"/>
      <c r="F510" s="1426"/>
      <c r="G510" s="1426"/>
      <c r="H510" s="1426"/>
      <c r="I510" s="1426"/>
      <c r="J510" s="1426"/>
      <c r="K510" s="1426"/>
      <c r="L510" s="1427"/>
      <c r="M510" s="1428">
        <f>M495</f>
        <v>0</v>
      </c>
      <c r="N510" s="1423">
        <f ca="1">IF(M534="n/a",M510,IFERROR(IF((OFFSET($C510,0,$A510))&lt;0,
MIN(0,M510-(OFFSET($C510,0,$A510)/(OFFSET($C505,-$A509,$A510)))),
MAX(0,M510-(OFFSET($C510,0,$A510)/(OFFSET($C505,-$A509,$A510))))),0))</f>
        <v>0</v>
      </c>
      <c r="O510" s="1423">
        <f t="shared" ca="1" si="701"/>
        <v>0</v>
      </c>
      <c r="P510" s="1423">
        <f t="shared" ca="1" si="702"/>
        <v>0</v>
      </c>
      <c r="Q510" s="1423">
        <f t="shared" ca="1" si="703"/>
        <v>0</v>
      </c>
      <c r="R510" s="1423">
        <f t="shared" ca="1" si="704"/>
        <v>0</v>
      </c>
      <c r="S510" s="1423">
        <f t="shared" ca="1" si="705"/>
        <v>0</v>
      </c>
      <c r="T510" s="1423">
        <f t="shared" ca="1" si="706"/>
        <v>0</v>
      </c>
      <c r="U510" s="1423">
        <f t="shared" ca="1" si="707"/>
        <v>0</v>
      </c>
      <c r="V510" s="1423">
        <f t="shared" ca="1" si="708"/>
        <v>0</v>
      </c>
      <c r="W510" s="1423">
        <f t="shared" ca="1" si="709"/>
        <v>0</v>
      </c>
      <c r="X510" s="202"/>
      <c r="Y510" s="202"/>
      <c r="Z510" s="202"/>
      <c r="AA510" s="152"/>
      <c r="AB510" s="152"/>
    </row>
    <row r="511" spans="1:28" hidden="1" outlineLevel="1">
      <c r="A511" s="199">
        <f t="shared" si="710"/>
        <v>11</v>
      </c>
      <c r="B511" s="190" t="str">
        <f t="shared" ca="1" si="711"/>
        <v>Depreciated Net Capex 2026-27</v>
      </c>
      <c r="C511" s="1426"/>
      <c r="D511" s="1426"/>
      <c r="E511" s="1426"/>
      <c r="F511" s="1426"/>
      <c r="G511" s="1426"/>
      <c r="H511" s="1426"/>
      <c r="I511" s="1426"/>
      <c r="J511" s="1426"/>
      <c r="K511" s="1426"/>
      <c r="L511" s="1426"/>
      <c r="M511" s="1427"/>
      <c r="N511" s="1428">
        <f>N495</f>
        <v>0</v>
      </c>
      <c r="O511" s="1423">
        <f ca="1">IF(N535="n/a",N511,IFERROR(IF((OFFSET($C511,0,$A511))&lt;0,
MIN(0,N511-(OFFSET($C511,0,$A511)/(OFFSET($C506,-$A510,$A511)))),
MAX(0,N511-(OFFSET($C511,0,$A511)/(OFFSET($C506,-$A510,$A511))))),0))</f>
        <v>0</v>
      </c>
      <c r="P511" s="1423">
        <f t="shared" ca="1" si="702"/>
        <v>0</v>
      </c>
      <c r="Q511" s="1423">
        <f t="shared" ca="1" si="703"/>
        <v>0</v>
      </c>
      <c r="R511" s="1423">
        <f t="shared" ca="1" si="704"/>
        <v>0</v>
      </c>
      <c r="S511" s="1423">
        <f t="shared" ca="1" si="705"/>
        <v>0</v>
      </c>
      <c r="T511" s="1423">
        <f t="shared" ca="1" si="706"/>
        <v>0</v>
      </c>
      <c r="U511" s="1423">
        <f t="shared" ca="1" si="707"/>
        <v>0</v>
      </c>
      <c r="V511" s="1423">
        <f t="shared" ca="1" si="708"/>
        <v>0</v>
      </c>
      <c r="W511" s="1423">
        <f t="shared" ca="1" si="709"/>
        <v>0</v>
      </c>
      <c r="X511" s="202"/>
      <c r="Y511" s="202"/>
      <c r="Z511" s="202"/>
      <c r="AA511" s="152"/>
      <c r="AB511" s="152"/>
    </row>
    <row r="512" spans="1:28" hidden="1" outlineLevel="1">
      <c r="A512" s="199">
        <f t="shared" si="710"/>
        <v>12</v>
      </c>
      <c r="B512" s="190" t="str">
        <f t="shared" ca="1" si="711"/>
        <v>Depreciated Net Capex 2027-28</v>
      </c>
      <c r="C512" s="1426"/>
      <c r="D512" s="1426"/>
      <c r="E512" s="1426"/>
      <c r="F512" s="1426"/>
      <c r="G512" s="1426"/>
      <c r="H512" s="1426"/>
      <c r="I512" s="1426"/>
      <c r="J512" s="1426"/>
      <c r="K512" s="1426"/>
      <c r="L512" s="1426"/>
      <c r="M512" s="1426"/>
      <c r="N512" s="1427"/>
      <c r="O512" s="1428">
        <f>O495</f>
        <v>0</v>
      </c>
      <c r="P512" s="1423">
        <f ca="1">IF(O536="n/a",O512,IFERROR(IF((OFFSET($C512,0,$A512))&lt;0,
MIN(0,O512-(OFFSET($C512,0,$A512)/(OFFSET($C507,-$A511,$A512)))),
MAX(0,O512-(OFFSET($C512,0,$A512)/(OFFSET($C507,-$A511,$A512))))),0))</f>
        <v>0</v>
      </c>
      <c r="Q512" s="1423">
        <f t="shared" ca="1" si="703"/>
        <v>0</v>
      </c>
      <c r="R512" s="1423">
        <f t="shared" ca="1" si="704"/>
        <v>0</v>
      </c>
      <c r="S512" s="1423">
        <f t="shared" ca="1" si="705"/>
        <v>0</v>
      </c>
      <c r="T512" s="1423">
        <f t="shared" ca="1" si="706"/>
        <v>0</v>
      </c>
      <c r="U512" s="1423">
        <f t="shared" ca="1" si="707"/>
        <v>0</v>
      </c>
      <c r="V512" s="1423">
        <f t="shared" ca="1" si="708"/>
        <v>0</v>
      </c>
      <c r="W512" s="1423">
        <f t="shared" ca="1" si="709"/>
        <v>0</v>
      </c>
      <c r="X512" s="202"/>
      <c r="Y512" s="202"/>
      <c r="Z512" s="202"/>
      <c r="AA512" s="152"/>
      <c r="AB512" s="152"/>
    </row>
    <row r="513" spans="1:28" hidden="1" outlineLevel="1">
      <c r="A513" s="199">
        <f t="shared" si="710"/>
        <v>13</v>
      </c>
      <c r="B513" s="190" t="str">
        <f t="shared" ca="1" si="711"/>
        <v>Depreciated Net Capex 2028-29</v>
      </c>
      <c r="C513" s="1426"/>
      <c r="D513" s="1426"/>
      <c r="E513" s="1426"/>
      <c r="F513" s="1426"/>
      <c r="G513" s="1426"/>
      <c r="H513" s="1426"/>
      <c r="I513" s="1426"/>
      <c r="J513" s="1426"/>
      <c r="K513" s="1426"/>
      <c r="L513" s="1426"/>
      <c r="M513" s="1426"/>
      <c r="N513" s="1426"/>
      <c r="O513" s="1427"/>
      <c r="P513" s="1428">
        <f>P495</f>
        <v>0</v>
      </c>
      <c r="Q513" s="1423">
        <f ca="1">IF(P537="n/a",P513,IFERROR(IF((OFFSET($C513,0,$A513))&lt;0,
MIN(0,P513-(OFFSET($C513,0,$A513)/(OFFSET($C508,-$A512,$A513)))),
MAX(0,P513-(OFFSET($C513,0,$A513)/(OFFSET($C508,-$A512,$A513))))),0))</f>
        <v>0</v>
      </c>
      <c r="R513" s="1423">
        <f t="shared" ca="1" si="704"/>
        <v>0</v>
      </c>
      <c r="S513" s="1423">
        <f t="shared" ca="1" si="705"/>
        <v>0</v>
      </c>
      <c r="T513" s="1423">
        <f t="shared" ca="1" si="706"/>
        <v>0</v>
      </c>
      <c r="U513" s="1423">
        <f t="shared" ca="1" si="707"/>
        <v>0</v>
      </c>
      <c r="V513" s="1423">
        <f t="shared" ca="1" si="708"/>
        <v>0</v>
      </c>
      <c r="W513" s="1423">
        <f t="shared" ca="1" si="709"/>
        <v>0</v>
      </c>
      <c r="X513" s="202"/>
      <c r="Y513" s="202"/>
      <c r="Z513" s="202"/>
      <c r="AA513" s="152"/>
      <c r="AB513" s="152"/>
    </row>
    <row r="514" spans="1:28" hidden="1" outlineLevel="1">
      <c r="A514" s="199">
        <f t="shared" si="710"/>
        <v>14</v>
      </c>
      <c r="B514" s="190" t="str">
        <f t="shared" ca="1" si="711"/>
        <v>Depreciated Net Capex 2029-30</v>
      </c>
      <c r="C514" s="1426"/>
      <c r="D514" s="1426"/>
      <c r="E514" s="1426"/>
      <c r="F514" s="1426"/>
      <c r="G514" s="1426"/>
      <c r="H514" s="1426"/>
      <c r="I514" s="1426"/>
      <c r="J514" s="1426"/>
      <c r="K514" s="1426"/>
      <c r="L514" s="1426"/>
      <c r="M514" s="1426"/>
      <c r="N514" s="1426"/>
      <c r="O514" s="1426"/>
      <c r="P514" s="1427"/>
      <c r="Q514" s="1428">
        <f>Q495</f>
        <v>0</v>
      </c>
      <c r="R514" s="1423">
        <f ca="1">IF(Q538="n/a",Q514,IFERROR(IF((OFFSET($C514,0,$A514))&lt;0,
MIN(0,Q514-(OFFSET($C514,0,$A514)/(OFFSET($C509,-$A513,$A514)))),
MAX(0,Q514-(OFFSET($C514,0,$A514)/(OFFSET($C509,-$A513,$A514))))),0))</f>
        <v>0</v>
      </c>
      <c r="S514" s="1423">
        <f t="shared" ca="1" si="705"/>
        <v>0</v>
      </c>
      <c r="T514" s="1423">
        <f t="shared" ca="1" si="706"/>
        <v>0</v>
      </c>
      <c r="U514" s="1423">
        <f t="shared" ca="1" si="707"/>
        <v>0</v>
      </c>
      <c r="V514" s="1423">
        <f t="shared" ca="1" si="708"/>
        <v>0</v>
      </c>
      <c r="W514" s="1423">
        <f t="shared" ca="1" si="709"/>
        <v>0</v>
      </c>
      <c r="X514" s="202"/>
      <c r="Y514" s="202"/>
      <c r="Z514" s="202"/>
      <c r="AA514" s="152"/>
      <c r="AB514" s="152"/>
    </row>
    <row r="515" spans="1:28" hidden="1" outlineLevel="1">
      <c r="A515" s="199">
        <f t="shared" si="710"/>
        <v>15</v>
      </c>
      <c r="B515" s="190" t="str">
        <f t="shared" ca="1" si="711"/>
        <v>Depreciated Net Capex 2030-31</v>
      </c>
      <c r="C515" s="1426"/>
      <c r="D515" s="1426"/>
      <c r="E515" s="1426"/>
      <c r="F515" s="1426"/>
      <c r="G515" s="1426"/>
      <c r="H515" s="1426"/>
      <c r="I515" s="1426"/>
      <c r="J515" s="1426"/>
      <c r="K515" s="1426"/>
      <c r="L515" s="1426"/>
      <c r="M515" s="1426"/>
      <c r="N515" s="1426"/>
      <c r="O515" s="1426"/>
      <c r="P515" s="1426"/>
      <c r="Q515" s="1427"/>
      <c r="R515" s="1428">
        <f>R495</f>
        <v>0</v>
      </c>
      <c r="S515" s="1423">
        <f ca="1">IF(R539="n/a",R515,IFERROR(IF((OFFSET($C515,0,$A515))&lt;0,
MIN(0,R515-(OFFSET($C515,0,$A515)/(OFFSET($C510,-$A514,$A515)))),
MAX(0,R515-(OFFSET($C515,0,$A515)/(OFFSET($C510,-$A514,$A515))))),0))</f>
        <v>0</v>
      </c>
      <c r="T515" s="1423">
        <f t="shared" ca="1" si="706"/>
        <v>0</v>
      </c>
      <c r="U515" s="1423">
        <f t="shared" ca="1" si="707"/>
        <v>0</v>
      </c>
      <c r="V515" s="1423">
        <f t="shared" ca="1" si="708"/>
        <v>0</v>
      </c>
      <c r="W515" s="1423">
        <f t="shared" ca="1" si="709"/>
        <v>0</v>
      </c>
      <c r="X515" s="202"/>
      <c r="Y515" s="202"/>
      <c r="Z515" s="202"/>
      <c r="AA515" s="152"/>
      <c r="AB515" s="152"/>
    </row>
    <row r="516" spans="1:28" hidden="1" outlineLevel="1">
      <c r="A516" s="199">
        <f t="shared" si="710"/>
        <v>16</v>
      </c>
      <c r="B516" s="190" t="str">
        <f t="shared" ca="1" si="711"/>
        <v>Depreciated Net Capex 2031-32</v>
      </c>
      <c r="C516" s="1426"/>
      <c r="D516" s="1426"/>
      <c r="E516" s="1426"/>
      <c r="F516" s="1426"/>
      <c r="G516" s="1426"/>
      <c r="H516" s="1426"/>
      <c r="I516" s="1426"/>
      <c r="J516" s="1426"/>
      <c r="K516" s="1426"/>
      <c r="L516" s="1426"/>
      <c r="M516" s="1426"/>
      <c r="N516" s="1426"/>
      <c r="O516" s="1426"/>
      <c r="P516" s="1426"/>
      <c r="Q516" s="1426"/>
      <c r="R516" s="1427"/>
      <c r="S516" s="1428">
        <f>S495</f>
        <v>0</v>
      </c>
      <c r="T516" s="1423">
        <f ca="1">IF(S540="n/a",S516,IFERROR(IF((OFFSET($C516,0,$A516))&lt;0,
MIN(0,S516-(OFFSET($C516,0,$A516)/(OFFSET($C511,-$A515,$A516)))),
MAX(0,S516-(OFFSET($C516,0,$A516)/(OFFSET($C511,-$A515,$A516))))),0))</f>
        <v>0</v>
      </c>
      <c r="U516" s="1423">
        <f t="shared" ca="1" si="707"/>
        <v>0</v>
      </c>
      <c r="V516" s="1423">
        <f t="shared" ca="1" si="708"/>
        <v>0</v>
      </c>
      <c r="W516" s="1423">
        <f t="shared" ca="1" si="709"/>
        <v>0</v>
      </c>
      <c r="X516" s="202"/>
      <c r="Y516" s="202"/>
      <c r="Z516" s="202"/>
      <c r="AA516" s="152"/>
      <c r="AB516" s="152"/>
    </row>
    <row r="517" spans="1:28" hidden="1" outlineLevel="1">
      <c r="A517" s="199">
        <f t="shared" si="710"/>
        <v>17</v>
      </c>
      <c r="B517" s="190" t="str">
        <f t="shared" ca="1" si="711"/>
        <v>Depreciated Net Capex 2032-33</v>
      </c>
      <c r="C517" s="1426"/>
      <c r="D517" s="1426"/>
      <c r="E517" s="1426"/>
      <c r="F517" s="1426"/>
      <c r="G517" s="1426"/>
      <c r="H517" s="1426"/>
      <c r="I517" s="1426"/>
      <c r="J517" s="1426"/>
      <c r="K517" s="1426"/>
      <c r="L517" s="1426"/>
      <c r="M517" s="1426"/>
      <c r="N517" s="1426"/>
      <c r="O517" s="1426"/>
      <c r="P517" s="1426"/>
      <c r="Q517" s="1426"/>
      <c r="R517" s="1426"/>
      <c r="S517" s="1427"/>
      <c r="T517" s="1428">
        <f>T495</f>
        <v>0</v>
      </c>
      <c r="U517" s="1423">
        <f ca="1">IF(T541="n/a",T517,IFERROR(IF((OFFSET($C517,0,$A517))&lt;0,
MIN(0,T517-(OFFSET($C517,0,$A517)/(OFFSET($C512,-$A516,$A517)))),
MAX(0,T517-(OFFSET($C517,0,$A517)/(OFFSET($C512,-$A516,$A517))))),0))</f>
        <v>0</v>
      </c>
      <c r="V517" s="1423">
        <f t="shared" ca="1" si="708"/>
        <v>0</v>
      </c>
      <c r="W517" s="1423">
        <f t="shared" ca="1" si="709"/>
        <v>0</v>
      </c>
      <c r="X517" s="202"/>
      <c r="Y517" s="202"/>
      <c r="Z517" s="202"/>
      <c r="AA517" s="152"/>
      <c r="AB517" s="152"/>
    </row>
    <row r="518" spans="1:28" hidden="1" outlineLevel="1">
      <c r="A518" s="199">
        <f t="shared" si="710"/>
        <v>18</v>
      </c>
      <c r="B518" s="190" t="str">
        <f t="shared" ca="1" si="711"/>
        <v>Depreciated Net Capex 2033-34</v>
      </c>
      <c r="C518" s="1426"/>
      <c r="D518" s="1426"/>
      <c r="E518" s="1426"/>
      <c r="F518" s="1426"/>
      <c r="G518" s="1426"/>
      <c r="H518" s="1426"/>
      <c r="I518" s="1426"/>
      <c r="J518" s="1426"/>
      <c r="K518" s="1426"/>
      <c r="L518" s="1426"/>
      <c r="M518" s="1426"/>
      <c r="N518" s="1426"/>
      <c r="O518" s="1426"/>
      <c r="P518" s="1426"/>
      <c r="Q518" s="1426"/>
      <c r="R518" s="1426"/>
      <c r="S518" s="1426"/>
      <c r="T518" s="1427"/>
      <c r="U518" s="1428">
        <f>U495</f>
        <v>0</v>
      </c>
      <c r="V518" s="1423">
        <f ca="1">IF(U542="n/a",U518,IFERROR(IF((OFFSET($C518,0,$A518))&lt;0,
MIN(0,U518-(OFFSET($C518,0,$A518)/(OFFSET($C513,-$A517,$A518)))),
MAX(0,U518-(OFFSET($C518,0,$A518)/(OFFSET($C513,-$A517,$A518))))),0))</f>
        <v>0</v>
      </c>
      <c r="W518" s="1423">
        <f t="shared" ca="1" si="709"/>
        <v>0</v>
      </c>
      <c r="X518" s="202"/>
      <c r="Y518" s="202"/>
      <c r="Z518" s="202"/>
      <c r="AA518" s="152"/>
      <c r="AB518" s="152"/>
    </row>
    <row r="519" spans="1:28" hidden="1" outlineLevel="1">
      <c r="A519" s="199">
        <f t="shared" si="710"/>
        <v>19</v>
      </c>
      <c r="B519" s="190" t="str">
        <f t="shared" ca="1" si="711"/>
        <v>Depreciated Net Capex 2034-35</v>
      </c>
      <c r="C519" s="1426"/>
      <c r="D519" s="1426"/>
      <c r="E519" s="1426"/>
      <c r="F519" s="1426"/>
      <c r="G519" s="1426"/>
      <c r="H519" s="1426"/>
      <c r="I519" s="1426"/>
      <c r="J519" s="1426"/>
      <c r="K519" s="1426"/>
      <c r="L519" s="1426"/>
      <c r="M519" s="1426"/>
      <c r="N519" s="1426"/>
      <c r="O519" s="1426"/>
      <c r="P519" s="1426"/>
      <c r="Q519" s="1426"/>
      <c r="R519" s="1426"/>
      <c r="S519" s="1426"/>
      <c r="T519" s="1426"/>
      <c r="U519" s="1427"/>
      <c r="V519" s="1428">
        <f>V495</f>
        <v>0</v>
      </c>
      <c r="W519" s="1423">
        <f ca="1">IF(V543="n/a",V519,IFERROR(IF((OFFSET($C519,0,$A519))&lt;0,
MIN(0,V519-(OFFSET($C519,0,$A519)/(OFFSET($C514,-$A518,$A519)))),
MAX(0,V519-(OFFSET($C519,0,$A519)/(OFFSET($C514,-$A518,$A519))))),0))</f>
        <v>0</v>
      </c>
      <c r="X519" s="202"/>
      <c r="Y519" s="202"/>
      <c r="Z519" s="202"/>
      <c r="AA519" s="152"/>
      <c r="AB519" s="152"/>
    </row>
    <row r="520" spans="1:28" hidden="1" outlineLevel="1">
      <c r="A520" s="199">
        <f t="shared" si="710"/>
        <v>20</v>
      </c>
      <c r="B520" s="190" t="str">
        <f t="shared" ca="1" si="711"/>
        <v>Depreciated Net Capex 2035-36</v>
      </c>
      <c r="C520" s="1426"/>
      <c r="D520" s="1426"/>
      <c r="E520" s="1426"/>
      <c r="F520" s="1426"/>
      <c r="G520" s="1426"/>
      <c r="H520" s="1426"/>
      <c r="I520" s="1426"/>
      <c r="J520" s="1426"/>
      <c r="K520" s="1426"/>
      <c r="L520" s="1426"/>
      <c r="M520" s="1426"/>
      <c r="N520" s="1426"/>
      <c r="O520" s="1426"/>
      <c r="P520" s="1426"/>
      <c r="Q520" s="1426"/>
      <c r="R520" s="1426"/>
      <c r="S520" s="1426"/>
      <c r="T520" s="1426"/>
      <c r="U520" s="1426"/>
      <c r="V520" s="1427"/>
      <c r="W520" s="1423">
        <f>W495</f>
        <v>0</v>
      </c>
      <c r="X520" s="152"/>
      <c r="Y520" s="152"/>
      <c r="Z520" s="152"/>
      <c r="AA520" s="152"/>
      <c r="AB520" s="152"/>
    </row>
    <row r="521" spans="1:28" hidden="1" outlineLevel="1">
      <c r="A521" s="242"/>
      <c r="B521" s="200"/>
      <c r="C521" s="1423"/>
      <c r="D521" s="1423"/>
      <c r="E521" s="1423"/>
      <c r="F521" s="1423"/>
      <c r="G521" s="1423"/>
      <c r="H521" s="1423"/>
      <c r="I521" s="1423"/>
      <c r="J521" s="1423"/>
      <c r="K521" s="1423"/>
      <c r="L521" s="1423"/>
      <c r="M521" s="1423"/>
      <c r="N521" s="1423"/>
      <c r="O521" s="1423"/>
      <c r="P521" s="1423"/>
      <c r="Q521" s="1423"/>
      <c r="R521" s="1423"/>
      <c r="S521" s="1423"/>
      <c r="T521" s="1423"/>
      <c r="U521" s="1423"/>
      <c r="V521" s="1423"/>
      <c r="W521" s="1423"/>
      <c r="X521" s="152"/>
      <c r="Y521" s="152"/>
      <c r="Z521" s="152"/>
      <c r="AA521" s="152"/>
      <c r="AB521" s="152"/>
    </row>
    <row r="522" spans="1:28" hidden="1" outlineLevel="1">
      <c r="A522" s="242"/>
      <c r="B522" s="200"/>
      <c r="C522" s="1423"/>
      <c r="D522" s="1423"/>
      <c r="E522" s="1423"/>
      <c r="F522" s="1423"/>
      <c r="G522" s="1423"/>
      <c r="H522" s="1423"/>
      <c r="I522" s="1423"/>
      <c r="J522" s="1423"/>
      <c r="K522" s="1423"/>
      <c r="L522" s="1423"/>
      <c r="M522" s="1423"/>
      <c r="N522" s="1423"/>
      <c r="O522" s="1423"/>
      <c r="P522" s="1423"/>
      <c r="Q522" s="1423"/>
      <c r="R522" s="1423"/>
      <c r="S522" s="1423"/>
      <c r="T522" s="1423"/>
      <c r="U522" s="1423"/>
      <c r="V522" s="1423"/>
      <c r="W522" s="1423"/>
      <c r="X522" s="152"/>
      <c r="Y522" s="152"/>
      <c r="Z522" s="152"/>
      <c r="AA522" s="152"/>
      <c r="AB522" s="152"/>
    </row>
    <row r="523" spans="1:28" hidden="1" outlineLevel="1">
      <c r="A523" s="242"/>
      <c r="B523" s="190" t="s">
        <v>194</v>
      </c>
      <c r="C523" s="1423"/>
      <c r="D523" s="1423">
        <f t="shared" ref="D523" ca="1" si="712">IF(AND(C523&lt;1,D497=0),0,
IF(D497=0,C523-1,
IF(C523&lt;1,D498,
(((C523-1)*(C499-(C499/(C523))))+(D497*D498))/(D499))))</f>
        <v>0</v>
      </c>
      <c r="E523" s="1423">
        <f t="shared" ref="E523" ca="1" si="713">IF(AND(D523&lt;1,E497=0),0,
IF(E497=0,D523-1,
IF(D523&lt;1,E498,
(((D523-1)*(D499-(D499/(D523))))+(E497*E498))/(E499))))</f>
        <v>0</v>
      </c>
      <c r="F523" s="1423">
        <f t="shared" ref="F523" ca="1" si="714">IF(AND(E523&lt;1,F497=0),0,
IF(F497=0,E523-1,
IF(E523&lt;1,F498,
(((E523-1)*(E499-(E499/(E523))))+(F497*F498))/(F499))))</f>
        <v>0</v>
      </c>
      <c r="G523" s="1423">
        <f t="shared" ref="G523" ca="1" si="715">IF(AND(F523&lt;1,G497=0),0,
IF(G497=0,F523-1,
IF(F523&lt;1,G498,
(((F523-1)*(F499-(F499/(F523))))+(G497*G498))/(G499))))</f>
        <v>0</v>
      </c>
      <c r="H523" s="1423">
        <f ca="1">IF(AND(G523&lt;1,H497=0),0,
IF(H497=0,G523-1,
IF(G523&lt;1,H498,
(((G523-1)*(G499-(G499/(G523))))+(H497*H498))/(H499))))</f>
        <v>0</v>
      </c>
      <c r="I523" s="1423">
        <f t="shared" ref="I523" ca="1" si="716">IF(AND(H523&lt;1,I497=0),0,
IF(I497=0,H523-1,
IF(H523&lt;1,I498,
(((H523-1)*(H499-(H499/(H523))))+(I497*I498))/(I499))))</f>
        <v>0</v>
      </c>
      <c r="J523" s="1423">
        <f t="shared" ref="J523" ca="1" si="717">IF(AND(I523&lt;1,J497=0),0,
IF(J497=0,I523-1,
IF(I523&lt;1,J498,
(((I523-1)*(I499-(I499/(I523))))+(J497*J498))/(J499))))</f>
        <v>0</v>
      </c>
      <c r="K523" s="1423">
        <f t="shared" ref="K523" ca="1" si="718">IF(AND(J523&lt;1,K497=0),0,
IF(K497=0,J523-1,
IF(J523&lt;1,K498,
(((J523-1)*(J499-(J499/(J523))))+(K497*K498))/(K499))))</f>
        <v>0</v>
      </c>
      <c r="L523" s="1423">
        <f t="shared" ref="L523" ca="1" si="719">IF(AND(K523&lt;1,L497=0),0,
IF(L497=0,K523-1,
IF(K523&lt;1,L498,
(((K523-1)*(K499-(K499/(K523))))+(L497*L498))/(L499))))</f>
        <v>0</v>
      </c>
      <c r="M523" s="1423">
        <f ca="1">IF(AND(L523&lt;1,M497=0),0,
IF(M497=0,L523-1,
IF(L523&lt;1,M498,
(((L523-1)*(L499-(L499/(L523))))+(M497*M498))/(M499))))</f>
        <v>0</v>
      </c>
      <c r="N523" s="1423">
        <f t="shared" ref="N523" ca="1" si="720">IF(AND(M523&lt;1,N497=0),0,
IF(N497=0,M523-1,
IF(M523&lt;1,N498,
(((M523-1)*(M499-(M499/(M523))))+(N497*N498))/(N499))))</f>
        <v>0</v>
      </c>
      <c r="O523" s="1423">
        <f t="shared" ref="O523" ca="1" si="721">IF(AND(N523&lt;1,O497=0),0,
IF(O497=0,N523-1,
IF(N523&lt;1,O498,
(((N523-1)*(N499-(N499/(N523))))+(O497*O498))/(O499))))</f>
        <v>0</v>
      </c>
      <c r="P523" s="1423">
        <f t="shared" ref="P523" ca="1" si="722">IF(AND(O523&lt;1,P497=0),0,
IF(P497=0,O523-1,
IF(O523&lt;1,P498,
(((O523-1)*(O499-(O499/(O523))))+(P497*P498))/(P499))))</f>
        <v>0</v>
      </c>
      <c r="Q523" s="1423">
        <f t="shared" ref="Q523" ca="1" si="723">IF(AND(P523&lt;1,Q497=0),0,
IF(Q497=0,P523-1,
IF(P523&lt;1,Q498,
(((P523-1)*(P499-(P499/(P523))))+(Q497*Q498))/(Q499))))</f>
        <v>0</v>
      </c>
      <c r="R523" s="1423">
        <f t="shared" ref="R523" ca="1" si="724">IF(AND(Q523&lt;1,R497=0),0,
IF(R497=0,Q523-1,
IF(Q523&lt;1,R498,
(((Q523-1)*(Q499-(Q499/(Q523))))+(R497*R498))/(R499))))</f>
        <v>0</v>
      </c>
      <c r="S523" s="1423">
        <f t="shared" ref="S523" ca="1" si="725">IF(AND(R523&lt;1,S497=0),0,
IF(S497=0,R523-1,
IF(R523&lt;1,S498,
(((R523-1)*(R499-(R499/(R523))))+(S497*S498))/(S499))))</f>
        <v>0</v>
      </c>
      <c r="T523" s="1423">
        <f t="shared" ref="T523" ca="1" si="726">IF(AND(S523&lt;1,T497=0),0,
IF(T497=0,S523-1,
IF(S523&lt;1,T498,
(((S523-1)*(S499-(S499/(S523))))+(T497*T498))/(T499))))</f>
        <v>0</v>
      </c>
      <c r="U523" s="1423">
        <f t="shared" ref="U523" ca="1" si="727">IF(AND(T523&lt;1,U497=0),0,
IF(U497=0,T523-1,
IF(T523&lt;1,U498,
(((T523-1)*(T499-(T499/(T523))))+(U497*U498))/(U499))))</f>
        <v>0</v>
      </c>
      <c r="V523" s="1423">
        <f t="shared" ref="V523" ca="1" si="728">IF(AND(U523&lt;1,V497=0),0,
IF(V497=0,U523-1,
IF(U523&lt;1,V498,
(((U523-1)*(U499-(U499/(U523))))+(V497*V498))/(V499))))</f>
        <v>0</v>
      </c>
      <c r="W523" s="1423">
        <f t="shared" ref="W523" ca="1" si="729">IF(AND(V523&lt;1,W497=0),0,
IF(W497=0,V523-1,
IF(V523&lt;1,W498,
(((V523-1)*(V499-(V499/(V523))))+(W497*W498))/(W499))))</f>
        <v>0</v>
      </c>
      <c r="X523" s="152"/>
      <c r="Y523" s="152"/>
      <c r="Z523" s="152"/>
      <c r="AA523" s="152"/>
      <c r="AB523" s="152"/>
    </row>
    <row r="524" spans="1:28" hidden="1" outlineLevel="1">
      <c r="A524" s="242"/>
      <c r="B524" s="190" t="s">
        <v>193</v>
      </c>
      <c r="C524" s="1423">
        <f ca="1">C496</f>
        <v>0</v>
      </c>
      <c r="D524" s="1423">
        <f t="shared" ref="D524" ca="1" si="730">IF(C524="n/a","n/a",MAX(0,C524-1))</f>
        <v>0</v>
      </c>
      <c r="E524" s="1423">
        <f t="shared" ref="E524:E525" ca="1" si="731">IF(D524="n/a","n/a",MAX(0,D524-1))</f>
        <v>0</v>
      </c>
      <c r="F524" s="1423">
        <f t="shared" ref="F524:F526" ca="1" si="732">IF(E524="n/a","n/a",MAX(0,E524-1))</f>
        <v>0</v>
      </c>
      <c r="G524" s="1423">
        <f t="shared" ref="G524:G527" ca="1" si="733">IF(F524="n/a","n/a",MAX(0,F524-1))</f>
        <v>0</v>
      </c>
      <c r="H524" s="1423">
        <f t="shared" ref="H524:H528" ca="1" si="734">IF(G524="n/a","n/a",MAX(0,G524-1))</f>
        <v>0</v>
      </c>
      <c r="I524" s="1423">
        <f t="shared" ref="I524:I529" ca="1" si="735">IF(H524="n/a","n/a",MAX(0,H524-1))</f>
        <v>0</v>
      </c>
      <c r="J524" s="1423">
        <f t="shared" ref="J524:J530" ca="1" si="736">IF(I524="n/a","n/a",MAX(0,I524-1))</f>
        <v>0</v>
      </c>
      <c r="K524" s="1423">
        <f t="shared" ref="K524:K531" ca="1" si="737">IF(J524="n/a","n/a",MAX(0,J524-1))</f>
        <v>0</v>
      </c>
      <c r="L524" s="1423">
        <f t="shared" ref="L524:L532" ca="1" si="738">IF(K524="n/a","n/a",MAX(0,K524-1))</f>
        <v>0</v>
      </c>
      <c r="M524" s="1423">
        <f t="shared" ref="M524:M533" ca="1" si="739">IF(L524="n/a","n/a",MAX(0,L524-1))</f>
        <v>0</v>
      </c>
      <c r="N524" s="1423">
        <f t="shared" ref="N524:N534" ca="1" si="740">IF(M524="n/a","n/a",MAX(0,M524-1))</f>
        <v>0</v>
      </c>
      <c r="O524" s="1423">
        <f t="shared" ref="O524:O535" ca="1" si="741">IF(N524="n/a","n/a",MAX(0,N524-1))</f>
        <v>0</v>
      </c>
      <c r="P524" s="1423">
        <f t="shared" ref="P524:P536" ca="1" si="742">IF(O524="n/a","n/a",MAX(0,O524-1))</f>
        <v>0</v>
      </c>
      <c r="Q524" s="1423">
        <f t="shared" ref="Q524:Q537" ca="1" si="743">IF(P524="n/a","n/a",MAX(0,P524-1))</f>
        <v>0</v>
      </c>
      <c r="R524" s="1423">
        <f t="shared" ref="R524:R538" ca="1" si="744">IF(Q524="n/a","n/a",MAX(0,Q524-1))</f>
        <v>0</v>
      </c>
      <c r="S524" s="1423">
        <f t="shared" ref="S524:S539" ca="1" si="745">IF(R524="n/a","n/a",MAX(0,R524-1))</f>
        <v>0</v>
      </c>
      <c r="T524" s="1423">
        <f t="shared" ref="T524:T540" ca="1" si="746">IF(S524="n/a","n/a",MAX(0,S524-1))</f>
        <v>0</v>
      </c>
      <c r="U524" s="1423">
        <f t="shared" ref="U524:U541" ca="1" si="747">IF(T524="n/a","n/a",MAX(0,T524-1))</f>
        <v>0</v>
      </c>
      <c r="V524" s="1423">
        <f t="shared" ref="V524:V542" ca="1" si="748">IF(U524="n/a","n/a",MAX(0,U524-1))</f>
        <v>0</v>
      </c>
      <c r="W524" s="1423">
        <f t="shared" ref="W524:W542" ca="1" si="749">IF(V524="n/a","n/a",MAX(0,V524-1))</f>
        <v>0</v>
      </c>
      <c r="X524" s="152"/>
      <c r="Y524" s="152"/>
      <c r="Z524" s="152"/>
      <c r="AA524" s="152"/>
      <c r="AB524" s="152"/>
    </row>
    <row r="525" spans="1:28" hidden="1" outlineLevel="1">
      <c r="A525" s="242"/>
      <c r="B525" s="190" t="str">
        <f t="shared" ref="B525:B544" ca="1" si="750">"RL Capex "&amp;OFFSET($C$6,0,A501)</f>
        <v>RL Capex 2016-17</v>
      </c>
      <c r="C525" s="1424"/>
      <c r="D525" s="1428">
        <f>D496</f>
        <v>0</v>
      </c>
      <c r="E525" s="1423">
        <f t="shared" si="731"/>
        <v>0</v>
      </c>
      <c r="F525" s="1423">
        <f t="shared" si="732"/>
        <v>0</v>
      </c>
      <c r="G525" s="1423">
        <f t="shared" si="733"/>
        <v>0</v>
      </c>
      <c r="H525" s="1423">
        <f t="shared" si="734"/>
        <v>0</v>
      </c>
      <c r="I525" s="1423">
        <f t="shared" si="735"/>
        <v>0</v>
      </c>
      <c r="J525" s="1423">
        <f t="shared" si="736"/>
        <v>0</v>
      </c>
      <c r="K525" s="1423">
        <f t="shared" si="737"/>
        <v>0</v>
      </c>
      <c r="L525" s="1423">
        <f t="shared" si="738"/>
        <v>0</v>
      </c>
      <c r="M525" s="1423">
        <f t="shared" si="739"/>
        <v>0</v>
      </c>
      <c r="N525" s="1423">
        <f t="shared" si="740"/>
        <v>0</v>
      </c>
      <c r="O525" s="1423">
        <f t="shared" si="741"/>
        <v>0</v>
      </c>
      <c r="P525" s="1423">
        <f t="shared" si="742"/>
        <v>0</v>
      </c>
      <c r="Q525" s="1423">
        <f t="shared" si="743"/>
        <v>0</v>
      </c>
      <c r="R525" s="1423">
        <f t="shared" si="744"/>
        <v>0</v>
      </c>
      <c r="S525" s="1423">
        <f t="shared" si="745"/>
        <v>0</v>
      </c>
      <c r="T525" s="1423">
        <f t="shared" si="746"/>
        <v>0</v>
      </c>
      <c r="U525" s="1423">
        <f t="shared" si="747"/>
        <v>0</v>
      </c>
      <c r="V525" s="1423">
        <f t="shared" si="748"/>
        <v>0</v>
      </c>
      <c r="W525" s="1423">
        <f t="shared" si="749"/>
        <v>0</v>
      </c>
      <c r="X525" s="152"/>
      <c r="Y525" s="152"/>
      <c r="Z525" s="152"/>
      <c r="AA525" s="152"/>
      <c r="AB525" s="152"/>
    </row>
    <row r="526" spans="1:28" hidden="1" outlineLevel="1">
      <c r="A526" s="242"/>
      <c r="B526" s="190" t="str">
        <f t="shared" ca="1" si="750"/>
        <v>RL Capex 2017-18</v>
      </c>
      <c r="C526" s="1429"/>
      <c r="D526" s="1424"/>
      <c r="E526" s="1428">
        <f>E496</f>
        <v>0</v>
      </c>
      <c r="F526" s="1423">
        <f t="shared" si="732"/>
        <v>0</v>
      </c>
      <c r="G526" s="1423">
        <f t="shared" si="733"/>
        <v>0</v>
      </c>
      <c r="H526" s="1423">
        <f t="shared" si="734"/>
        <v>0</v>
      </c>
      <c r="I526" s="1423">
        <f t="shared" si="735"/>
        <v>0</v>
      </c>
      <c r="J526" s="1423">
        <f t="shared" si="736"/>
        <v>0</v>
      </c>
      <c r="K526" s="1423">
        <f t="shared" si="737"/>
        <v>0</v>
      </c>
      <c r="L526" s="1423">
        <f t="shared" si="738"/>
        <v>0</v>
      </c>
      <c r="M526" s="1423">
        <f t="shared" si="739"/>
        <v>0</v>
      </c>
      <c r="N526" s="1423">
        <f t="shared" si="740"/>
        <v>0</v>
      </c>
      <c r="O526" s="1423">
        <f t="shared" si="741"/>
        <v>0</v>
      </c>
      <c r="P526" s="1423">
        <f t="shared" si="742"/>
        <v>0</v>
      </c>
      <c r="Q526" s="1423">
        <f t="shared" si="743"/>
        <v>0</v>
      </c>
      <c r="R526" s="1423">
        <f t="shared" si="744"/>
        <v>0</v>
      </c>
      <c r="S526" s="1423">
        <f t="shared" si="745"/>
        <v>0</v>
      </c>
      <c r="T526" s="1423">
        <f t="shared" si="746"/>
        <v>0</v>
      </c>
      <c r="U526" s="1423">
        <f t="shared" si="747"/>
        <v>0</v>
      </c>
      <c r="V526" s="1423">
        <f t="shared" si="748"/>
        <v>0</v>
      </c>
      <c r="W526" s="1423">
        <f t="shared" si="749"/>
        <v>0</v>
      </c>
      <c r="X526" s="152"/>
      <c r="Y526" s="152"/>
      <c r="Z526" s="152"/>
      <c r="AA526" s="152"/>
      <c r="AB526" s="152"/>
    </row>
    <row r="527" spans="1:28" hidden="1" outlineLevel="1">
      <c r="A527" s="242"/>
      <c r="B527" s="190" t="str">
        <f t="shared" ca="1" si="750"/>
        <v>RL Capex 2018-19</v>
      </c>
      <c r="C527" s="1429"/>
      <c r="D527" s="1429"/>
      <c r="E527" s="1424"/>
      <c r="F527" s="1428">
        <f>F496</f>
        <v>0</v>
      </c>
      <c r="G527" s="1423">
        <f t="shared" si="733"/>
        <v>0</v>
      </c>
      <c r="H527" s="1423">
        <f t="shared" si="734"/>
        <v>0</v>
      </c>
      <c r="I527" s="1423">
        <f t="shared" si="735"/>
        <v>0</v>
      </c>
      <c r="J527" s="1423">
        <f t="shared" si="736"/>
        <v>0</v>
      </c>
      <c r="K527" s="1423">
        <f t="shared" si="737"/>
        <v>0</v>
      </c>
      <c r="L527" s="1423">
        <f t="shared" si="738"/>
        <v>0</v>
      </c>
      <c r="M527" s="1423">
        <f t="shared" si="739"/>
        <v>0</v>
      </c>
      <c r="N527" s="1423">
        <f t="shared" si="740"/>
        <v>0</v>
      </c>
      <c r="O527" s="1423">
        <f t="shared" si="741"/>
        <v>0</v>
      </c>
      <c r="P527" s="1423">
        <f t="shared" si="742"/>
        <v>0</v>
      </c>
      <c r="Q527" s="1423">
        <f t="shared" si="743"/>
        <v>0</v>
      </c>
      <c r="R527" s="1423">
        <f t="shared" si="744"/>
        <v>0</v>
      </c>
      <c r="S527" s="1423">
        <f t="shared" si="745"/>
        <v>0</v>
      </c>
      <c r="T527" s="1423">
        <f t="shared" si="746"/>
        <v>0</v>
      </c>
      <c r="U527" s="1423">
        <f t="shared" si="747"/>
        <v>0</v>
      </c>
      <c r="V527" s="1423">
        <f t="shared" si="748"/>
        <v>0</v>
      </c>
      <c r="W527" s="1423">
        <f t="shared" si="749"/>
        <v>0</v>
      </c>
      <c r="X527" s="152"/>
      <c r="Y527" s="152"/>
      <c r="Z527" s="152"/>
      <c r="AA527" s="152"/>
      <c r="AB527" s="152"/>
    </row>
    <row r="528" spans="1:28" hidden="1" outlineLevel="1">
      <c r="A528" s="242"/>
      <c r="B528" s="190" t="str">
        <f t="shared" ca="1" si="750"/>
        <v>RL Capex 2019-20</v>
      </c>
      <c r="C528" s="1429"/>
      <c r="D528" s="1429"/>
      <c r="E528" s="1429"/>
      <c r="F528" s="1424"/>
      <c r="G528" s="1428">
        <f>G496</f>
        <v>0</v>
      </c>
      <c r="H528" s="1423">
        <f t="shared" si="734"/>
        <v>0</v>
      </c>
      <c r="I528" s="1423">
        <f t="shared" si="735"/>
        <v>0</v>
      </c>
      <c r="J528" s="1423">
        <f t="shared" si="736"/>
        <v>0</v>
      </c>
      <c r="K528" s="1423">
        <f t="shared" si="737"/>
        <v>0</v>
      </c>
      <c r="L528" s="1423">
        <f t="shared" si="738"/>
        <v>0</v>
      </c>
      <c r="M528" s="1423">
        <f t="shared" si="739"/>
        <v>0</v>
      </c>
      <c r="N528" s="1423">
        <f t="shared" si="740"/>
        <v>0</v>
      </c>
      <c r="O528" s="1423">
        <f t="shared" si="741"/>
        <v>0</v>
      </c>
      <c r="P528" s="1423">
        <f t="shared" si="742"/>
        <v>0</v>
      </c>
      <c r="Q528" s="1423">
        <f t="shared" si="743"/>
        <v>0</v>
      </c>
      <c r="R528" s="1423">
        <f t="shared" si="744"/>
        <v>0</v>
      </c>
      <c r="S528" s="1423">
        <f t="shared" si="745"/>
        <v>0</v>
      </c>
      <c r="T528" s="1423">
        <f t="shared" si="746"/>
        <v>0</v>
      </c>
      <c r="U528" s="1423">
        <f t="shared" si="747"/>
        <v>0</v>
      </c>
      <c r="V528" s="1423">
        <f t="shared" si="748"/>
        <v>0</v>
      </c>
      <c r="W528" s="1423">
        <f t="shared" si="749"/>
        <v>0</v>
      </c>
      <c r="X528" s="152"/>
      <c r="Y528" s="152"/>
      <c r="Z528" s="152"/>
      <c r="AA528" s="152"/>
      <c r="AB528" s="152"/>
    </row>
    <row r="529" spans="1:28" hidden="1" outlineLevel="1">
      <c r="A529" s="242"/>
      <c r="B529" s="190" t="str">
        <f t="shared" ca="1" si="750"/>
        <v>RL Capex 2020-21</v>
      </c>
      <c r="C529" s="1429"/>
      <c r="D529" s="1429"/>
      <c r="E529" s="1429"/>
      <c r="F529" s="1429"/>
      <c r="G529" s="1424"/>
      <c r="H529" s="1428">
        <f>H496</f>
        <v>0</v>
      </c>
      <c r="I529" s="1423">
        <f t="shared" si="735"/>
        <v>0</v>
      </c>
      <c r="J529" s="1423">
        <f t="shared" si="736"/>
        <v>0</v>
      </c>
      <c r="K529" s="1423">
        <f t="shared" si="737"/>
        <v>0</v>
      </c>
      <c r="L529" s="1423">
        <f t="shared" si="738"/>
        <v>0</v>
      </c>
      <c r="M529" s="1423">
        <f t="shared" si="739"/>
        <v>0</v>
      </c>
      <c r="N529" s="1423">
        <f t="shared" si="740"/>
        <v>0</v>
      </c>
      <c r="O529" s="1423">
        <f t="shared" si="741"/>
        <v>0</v>
      </c>
      <c r="P529" s="1423">
        <f t="shared" si="742"/>
        <v>0</v>
      </c>
      <c r="Q529" s="1423">
        <f t="shared" si="743"/>
        <v>0</v>
      </c>
      <c r="R529" s="1423">
        <f t="shared" si="744"/>
        <v>0</v>
      </c>
      <c r="S529" s="1423">
        <f t="shared" si="745"/>
        <v>0</v>
      </c>
      <c r="T529" s="1423">
        <f t="shared" si="746"/>
        <v>0</v>
      </c>
      <c r="U529" s="1423">
        <f t="shared" si="747"/>
        <v>0</v>
      </c>
      <c r="V529" s="1423">
        <f t="shared" si="748"/>
        <v>0</v>
      </c>
      <c r="W529" s="1423">
        <f t="shared" si="749"/>
        <v>0</v>
      </c>
      <c r="X529" s="152"/>
      <c r="Y529" s="152"/>
      <c r="Z529" s="152"/>
      <c r="AA529" s="152"/>
      <c r="AB529" s="152"/>
    </row>
    <row r="530" spans="1:28" hidden="1" outlineLevel="1">
      <c r="A530" s="242"/>
      <c r="B530" s="190" t="str">
        <f t="shared" ca="1" si="750"/>
        <v>RL Capex 2021-22</v>
      </c>
      <c r="C530" s="1429"/>
      <c r="D530" s="1429"/>
      <c r="E530" s="1429"/>
      <c r="F530" s="1429"/>
      <c r="G530" s="1429"/>
      <c r="H530" s="1424"/>
      <c r="I530" s="1428">
        <f>I496</f>
        <v>0</v>
      </c>
      <c r="J530" s="1423">
        <f t="shared" si="736"/>
        <v>0</v>
      </c>
      <c r="K530" s="1423">
        <f t="shared" si="737"/>
        <v>0</v>
      </c>
      <c r="L530" s="1423">
        <f t="shared" si="738"/>
        <v>0</v>
      </c>
      <c r="M530" s="1423">
        <f t="shared" si="739"/>
        <v>0</v>
      </c>
      <c r="N530" s="1423">
        <f t="shared" si="740"/>
        <v>0</v>
      </c>
      <c r="O530" s="1423">
        <f t="shared" si="741"/>
        <v>0</v>
      </c>
      <c r="P530" s="1423">
        <f t="shared" si="742"/>
        <v>0</v>
      </c>
      <c r="Q530" s="1423">
        <f t="shared" si="743"/>
        <v>0</v>
      </c>
      <c r="R530" s="1423">
        <f t="shared" si="744"/>
        <v>0</v>
      </c>
      <c r="S530" s="1423">
        <f t="shared" si="745"/>
        <v>0</v>
      </c>
      <c r="T530" s="1423">
        <f t="shared" si="746"/>
        <v>0</v>
      </c>
      <c r="U530" s="1423">
        <f t="shared" si="747"/>
        <v>0</v>
      </c>
      <c r="V530" s="1423">
        <f t="shared" si="748"/>
        <v>0</v>
      </c>
      <c r="W530" s="1423">
        <f t="shared" si="749"/>
        <v>0</v>
      </c>
      <c r="X530" s="152"/>
      <c r="Y530" s="152"/>
      <c r="Z530" s="152"/>
      <c r="AA530" s="152"/>
      <c r="AB530" s="152"/>
    </row>
    <row r="531" spans="1:28" hidden="1" outlineLevel="1">
      <c r="A531" s="242"/>
      <c r="B531" s="190" t="str">
        <f t="shared" ca="1" si="750"/>
        <v>RL Capex 2022-23</v>
      </c>
      <c r="C531" s="1429"/>
      <c r="D531" s="1429"/>
      <c r="E531" s="1429"/>
      <c r="F531" s="1429"/>
      <c r="G531" s="1429"/>
      <c r="H531" s="1429"/>
      <c r="I531" s="1424"/>
      <c r="J531" s="1428">
        <f>J496</f>
        <v>0</v>
      </c>
      <c r="K531" s="1423">
        <f t="shared" si="737"/>
        <v>0</v>
      </c>
      <c r="L531" s="1423">
        <f t="shared" si="738"/>
        <v>0</v>
      </c>
      <c r="M531" s="1423">
        <f t="shared" si="739"/>
        <v>0</v>
      </c>
      <c r="N531" s="1423">
        <f t="shared" si="740"/>
        <v>0</v>
      </c>
      <c r="O531" s="1423">
        <f t="shared" si="741"/>
        <v>0</v>
      </c>
      <c r="P531" s="1423">
        <f t="shared" si="742"/>
        <v>0</v>
      </c>
      <c r="Q531" s="1423">
        <f t="shared" si="743"/>
        <v>0</v>
      </c>
      <c r="R531" s="1423">
        <f t="shared" si="744"/>
        <v>0</v>
      </c>
      <c r="S531" s="1423">
        <f t="shared" si="745"/>
        <v>0</v>
      </c>
      <c r="T531" s="1423">
        <f t="shared" si="746"/>
        <v>0</v>
      </c>
      <c r="U531" s="1423">
        <f t="shared" si="747"/>
        <v>0</v>
      </c>
      <c r="V531" s="1423">
        <f t="shared" si="748"/>
        <v>0</v>
      </c>
      <c r="W531" s="1423">
        <f t="shared" si="749"/>
        <v>0</v>
      </c>
      <c r="X531" s="152"/>
      <c r="Y531" s="152"/>
      <c r="Z531" s="152"/>
      <c r="AA531" s="152"/>
      <c r="AB531" s="152"/>
    </row>
    <row r="532" spans="1:28" hidden="1" outlineLevel="1">
      <c r="A532" s="242"/>
      <c r="B532" s="190" t="str">
        <f t="shared" ca="1" si="750"/>
        <v>RL Capex 2023-24</v>
      </c>
      <c r="C532" s="1429"/>
      <c r="D532" s="1429"/>
      <c r="E532" s="1429"/>
      <c r="F532" s="1429"/>
      <c r="G532" s="1429"/>
      <c r="H532" s="1429"/>
      <c r="I532" s="1429"/>
      <c r="J532" s="1424"/>
      <c r="K532" s="1428">
        <f>K496</f>
        <v>0</v>
      </c>
      <c r="L532" s="1423">
        <f t="shared" si="738"/>
        <v>0</v>
      </c>
      <c r="M532" s="1423">
        <f t="shared" si="739"/>
        <v>0</v>
      </c>
      <c r="N532" s="1423">
        <f t="shared" si="740"/>
        <v>0</v>
      </c>
      <c r="O532" s="1423">
        <f t="shared" si="741"/>
        <v>0</v>
      </c>
      <c r="P532" s="1423">
        <f t="shared" si="742"/>
        <v>0</v>
      </c>
      <c r="Q532" s="1423">
        <f t="shared" si="743"/>
        <v>0</v>
      </c>
      <c r="R532" s="1423">
        <f t="shared" si="744"/>
        <v>0</v>
      </c>
      <c r="S532" s="1423">
        <f t="shared" si="745"/>
        <v>0</v>
      </c>
      <c r="T532" s="1423">
        <f t="shared" si="746"/>
        <v>0</v>
      </c>
      <c r="U532" s="1423">
        <f t="shared" si="747"/>
        <v>0</v>
      </c>
      <c r="V532" s="1423">
        <f t="shared" si="748"/>
        <v>0</v>
      </c>
      <c r="W532" s="1423">
        <f t="shared" si="749"/>
        <v>0</v>
      </c>
      <c r="X532" s="152"/>
      <c r="Y532" s="152"/>
      <c r="Z532" s="152"/>
      <c r="AA532" s="152"/>
      <c r="AB532" s="152"/>
    </row>
    <row r="533" spans="1:28" hidden="1" outlineLevel="1">
      <c r="A533" s="242"/>
      <c r="B533" s="190" t="str">
        <f t="shared" ca="1" si="750"/>
        <v>RL Capex 2024-25</v>
      </c>
      <c r="C533" s="1429"/>
      <c r="D533" s="1429"/>
      <c r="E533" s="1429"/>
      <c r="F533" s="1429"/>
      <c r="G533" s="1429"/>
      <c r="H533" s="1429"/>
      <c r="I533" s="1429"/>
      <c r="J533" s="1429"/>
      <c r="K533" s="1424"/>
      <c r="L533" s="1428">
        <f>L496</f>
        <v>0</v>
      </c>
      <c r="M533" s="1423">
        <f t="shared" si="739"/>
        <v>0</v>
      </c>
      <c r="N533" s="1423">
        <f t="shared" si="740"/>
        <v>0</v>
      </c>
      <c r="O533" s="1423">
        <f t="shared" si="741"/>
        <v>0</v>
      </c>
      <c r="P533" s="1423">
        <f t="shared" si="742"/>
        <v>0</v>
      </c>
      <c r="Q533" s="1423">
        <f t="shared" si="743"/>
        <v>0</v>
      </c>
      <c r="R533" s="1423">
        <f t="shared" si="744"/>
        <v>0</v>
      </c>
      <c r="S533" s="1423">
        <f t="shared" si="745"/>
        <v>0</v>
      </c>
      <c r="T533" s="1423">
        <f t="shared" si="746"/>
        <v>0</v>
      </c>
      <c r="U533" s="1423">
        <f t="shared" si="747"/>
        <v>0</v>
      </c>
      <c r="V533" s="1423">
        <f t="shared" si="748"/>
        <v>0</v>
      </c>
      <c r="W533" s="1423">
        <f t="shared" si="749"/>
        <v>0</v>
      </c>
      <c r="X533" s="152"/>
      <c r="Y533" s="152"/>
      <c r="Z533" s="152"/>
      <c r="AA533" s="152"/>
      <c r="AB533" s="152"/>
    </row>
    <row r="534" spans="1:28" hidden="1" outlineLevel="1">
      <c r="A534" s="242"/>
      <c r="B534" s="190" t="str">
        <f t="shared" ca="1" si="750"/>
        <v>RL Capex 2025-26</v>
      </c>
      <c r="C534" s="1429"/>
      <c r="D534" s="1429"/>
      <c r="E534" s="1429"/>
      <c r="F534" s="1429"/>
      <c r="G534" s="1429"/>
      <c r="H534" s="1429"/>
      <c r="I534" s="1429"/>
      <c r="J534" s="1429"/>
      <c r="K534" s="1429"/>
      <c r="L534" s="1424"/>
      <c r="M534" s="1428">
        <f>M496</f>
        <v>0</v>
      </c>
      <c r="N534" s="1423">
        <f t="shared" si="740"/>
        <v>0</v>
      </c>
      <c r="O534" s="1423">
        <f t="shared" si="741"/>
        <v>0</v>
      </c>
      <c r="P534" s="1423">
        <f t="shared" si="742"/>
        <v>0</v>
      </c>
      <c r="Q534" s="1423">
        <f t="shared" si="743"/>
        <v>0</v>
      </c>
      <c r="R534" s="1423">
        <f t="shared" si="744"/>
        <v>0</v>
      </c>
      <c r="S534" s="1423">
        <f t="shared" si="745"/>
        <v>0</v>
      </c>
      <c r="T534" s="1423">
        <f t="shared" si="746"/>
        <v>0</v>
      </c>
      <c r="U534" s="1423">
        <f t="shared" si="747"/>
        <v>0</v>
      </c>
      <c r="V534" s="1423">
        <f t="shared" si="748"/>
        <v>0</v>
      </c>
      <c r="W534" s="1423">
        <f t="shared" si="749"/>
        <v>0</v>
      </c>
      <c r="X534" s="152"/>
      <c r="Y534" s="152"/>
      <c r="Z534" s="152"/>
      <c r="AA534" s="152"/>
      <c r="AB534" s="152"/>
    </row>
    <row r="535" spans="1:28" hidden="1" outlineLevel="1">
      <c r="A535" s="242"/>
      <c r="B535" s="190" t="str">
        <f t="shared" ca="1" si="750"/>
        <v>RL Capex 2026-27</v>
      </c>
      <c r="C535" s="1429"/>
      <c r="D535" s="1429"/>
      <c r="E535" s="1429"/>
      <c r="F535" s="1429"/>
      <c r="G535" s="1429"/>
      <c r="H535" s="1429"/>
      <c r="I535" s="1429"/>
      <c r="J535" s="1429"/>
      <c r="K535" s="1429"/>
      <c r="L535" s="1429"/>
      <c r="M535" s="1424"/>
      <c r="N535" s="1428">
        <f>N496</f>
        <v>0</v>
      </c>
      <c r="O535" s="1423">
        <f t="shared" si="741"/>
        <v>0</v>
      </c>
      <c r="P535" s="1423">
        <f t="shared" si="742"/>
        <v>0</v>
      </c>
      <c r="Q535" s="1423">
        <f t="shared" si="743"/>
        <v>0</v>
      </c>
      <c r="R535" s="1423">
        <f t="shared" si="744"/>
        <v>0</v>
      </c>
      <c r="S535" s="1423">
        <f t="shared" si="745"/>
        <v>0</v>
      </c>
      <c r="T535" s="1423">
        <f t="shared" si="746"/>
        <v>0</v>
      </c>
      <c r="U535" s="1423">
        <f t="shared" si="747"/>
        <v>0</v>
      </c>
      <c r="V535" s="1423">
        <f t="shared" si="748"/>
        <v>0</v>
      </c>
      <c r="W535" s="1423">
        <f t="shared" si="749"/>
        <v>0</v>
      </c>
      <c r="X535" s="152"/>
      <c r="Y535" s="152"/>
      <c r="Z535" s="152"/>
      <c r="AA535" s="152"/>
      <c r="AB535" s="152"/>
    </row>
    <row r="536" spans="1:28" hidden="1" outlineLevel="1">
      <c r="A536" s="242"/>
      <c r="B536" s="190" t="str">
        <f t="shared" ca="1" si="750"/>
        <v>RL Capex 2027-28</v>
      </c>
      <c r="C536" s="1429"/>
      <c r="D536" s="1429"/>
      <c r="E536" s="1429"/>
      <c r="F536" s="1429"/>
      <c r="G536" s="1429"/>
      <c r="H536" s="1429"/>
      <c r="I536" s="1429"/>
      <c r="J536" s="1429"/>
      <c r="K536" s="1429"/>
      <c r="L536" s="1429"/>
      <c r="M536" s="1429"/>
      <c r="N536" s="1424"/>
      <c r="O536" s="1428">
        <f>O496</f>
        <v>0</v>
      </c>
      <c r="P536" s="1423">
        <f t="shared" si="742"/>
        <v>0</v>
      </c>
      <c r="Q536" s="1423">
        <f t="shared" si="743"/>
        <v>0</v>
      </c>
      <c r="R536" s="1423">
        <f t="shared" si="744"/>
        <v>0</v>
      </c>
      <c r="S536" s="1423">
        <f t="shared" si="745"/>
        <v>0</v>
      </c>
      <c r="T536" s="1423">
        <f t="shared" si="746"/>
        <v>0</v>
      </c>
      <c r="U536" s="1423">
        <f t="shared" si="747"/>
        <v>0</v>
      </c>
      <c r="V536" s="1423">
        <f t="shared" si="748"/>
        <v>0</v>
      </c>
      <c r="W536" s="1423">
        <f t="shared" si="749"/>
        <v>0</v>
      </c>
      <c r="X536" s="152"/>
      <c r="Y536" s="152"/>
      <c r="Z536" s="152"/>
      <c r="AA536" s="152"/>
      <c r="AB536" s="152"/>
    </row>
    <row r="537" spans="1:28" hidden="1" outlineLevel="1">
      <c r="A537" s="242"/>
      <c r="B537" s="190" t="str">
        <f t="shared" ca="1" si="750"/>
        <v>RL Capex 2028-29</v>
      </c>
      <c r="C537" s="1429"/>
      <c r="D537" s="1429"/>
      <c r="E537" s="1429"/>
      <c r="F537" s="1429"/>
      <c r="G537" s="1429"/>
      <c r="H537" s="1429"/>
      <c r="I537" s="1429"/>
      <c r="J537" s="1429"/>
      <c r="K537" s="1429"/>
      <c r="L537" s="1429"/>
      <c r="M537" s="1429"/>
      <c r="N537" s="1429"/>
      <c r="O537" s="1424"/>
      <c r="P537" s="1428">
        <f>P496</f>
        <v>0</v>
      </c>
      <c r="Q537" s="1423">
        <f t="shared" si="743"/>
        <v>0</v>
      </c>
      <c r="R537" s="1423">
        <f t="shared" si="744"/>
        <v>0</v>
      </c>
      <c r="S537" s="1423">
        <f t="shared" si="745"/>
        <v>0</v>
      </c>
      <c r="T537" s="1423">
        <f t="shared" si="746"/>
        <v>0</v>
      </c>
      <c r="U537" s="1423">
        <f t="shared" si="747"/>
        <v>0</v>
      </c>
      <c r="V537" s="1423">
        <f t="shared" si="748"/>
        <v>0</v>
      </c>
      <c r="W537" s="1423">
        <f t="shared" si="749"/>
        <v>0</v>
      </c>
      <c r="X537" s="152"/>
      <c r="Y537" s="152"/>
      <c r="Z537" s="152"/>
      <c r="AA537" s="152"/>
      <c r="AB537" s="152"/>
    </row>
    <row r="538" spans="1:28" hidden="1" outlineLevel="1">
      <c r="A538" s="242"/>
      <c r="B538" s="190" t="str">
        <f t="shared" ca="1" si="750"/>
        <v>RL Capex 2029-30</v>
      </c>
      <c r="C538" s="1429"/>
      <c r="D538" s="1429"/>
      <c r="E538" s="1429"/>
      <c r="F538" s="1429"/>
      <c r="G538" s="1429"/>
      <c r="H538" s="1429"/>
      <c r="I538" s="1429"/>
      <c r="J538" s="1429"/>
      <c r="K538" s="1429"/>
      <c r="L538" s="1429"/>
      <c r="M538" s="1429"/>
      <c r="N538" s="1429"/>
      <c r="O538" s="1429"/>
      <c r="P538" s="1424"/>
      <c r="Q538" s="1428">
        <f>Q496</f>
        <v>0</v>
      </c>
      <c r="R538" s="1423">
        <f t="shared" si="744"/>
        <v>0</v>
      </c>
      <c r="S538" s="1423">
        <f t="shared" si="745"/>
        <v>0</v>
      </c>
      <c r="T538" s="1423">
        <f t="shared" si="746"/>
        <v>0</v>
      </c>
      <c r="U538" s="1423">
        <f t="shared" si="747"/>
        <v>0</v>
      </c>
      <c r="V538" s="1423">
        <f t="shared" si="748"/>
        <v>0</v>
      </c>
      <c r="W538" s="1423">
        <f t="shared" si="749"/>
        <v>0</v>
      </c>
      <c r="X538" s="152"/>
      <c r="Y538" s="152"/>
      <c r="Z538" s="152"/>
      <c r="AA538" s="152"/>
      <c r="AB538" s="152"/>
    </row>
    <row r="539" spans="1:28" hidden="1" outlineLevel="1">
      <c r="A539" s="242"/>
      <c r="B539" s="190" t="str">
        <f t="shared" ca="1" si="750"/>
        <v>RL Capex 2030-31</v>
      </c>
      <c r="C539" s="1429"/>
      <c r="D539" s="1429"/>
      <c r="E539" s="1429"/>
      <c r="F539" s="1429"/>
      <c r="G539" s="1429"/>
      <c r="H539" s="1429"/>
      <c r="I539" s="1429"/>
      <c r="J539" s="1429"/>
      <c r="K539" s="1429"/>
      <c r="L539" s="1429"/>
      <c r="M539" s="1429"/>
      <c r="N539" s="1429"/>
      <c r="O539" s="1429"/>
      <c r="P539" s="1429"/>
      <c r="Q539" s="1424"/>
      <c r="R539" s="1428">
        <f>R496</f>
        <v>0</v>
      </c>
      <c r="S539" s="1423">
        <f t="shared" si="745"/>
        <v>0</v>
      </c>
      <c r="T539" s="1423">
        <f t="shared" si="746"/>
        <v>0</v>
      </c>
      <c r="U539" s="1423">
        <f t="shared" si="747"/>
        <v>0</v>
      </c>
      <c r="V539" s="1423">
        <f t="shared" si="748"/>
        <v>0</v>
      </c>
      <c r="W539" s="1423">
        <f t="shared" si="749"/>
        <v>0</v>
      </c>
      <c r="X539" s="152"/>
      <c r="Y539" s="152"/>
      <c r="Z539" s="152"/>
      <c r="AA539" s="152"/>
      <c r="AB539" s="152"/>
    </row>
    <row r="540" spans="1:28" hidden="1" outlineLevel="1">
      <c r="A540" s="242"/>
      <c r="B540" s="190" t="str">
        <f t="shared" ca="1" si="750"/>
        <v>RL Capex 2031-32</v>
      </c>
      <c r="C540" s="1429"/>
      <c r="D540" s="1429"/>
      <c r="E540" s="1429"/>
      <c r="F540" s="1429"/>
      <c r="G540" s="1429"/>
      <c r="H540" s="1429"/>
      <c r="I540" s="1429"/>
      <c r="J540" s="1429"/>
      <c r="K540" s="1429"/>
      <c r="L540" s="1429"/>
      <c r="M540" s="1429"/>
      <c r="N540" s="1429"/>
      <c r="O540" s="1429"/>
      <c r="P540" s="1429"/>
      <c r="Q540" s="1429"/>
      <c r="R540" s="1424"/>
      <c r="S540" s="1428">
        <f>S496</f>
        <v>0</v>
      </c>
      <c r="T540" s="1423">
        <f t="shared" si="746"/>
        <v>0</v>
      </c>
      <c r="U540" s="1423">
        <f t="shared" si="747"/>
        <v>0</v>
      </c>
      <c r="V540" s="1423">
        <f t="shared" si="748"/>
        <v>0</v>
      </c>
      <c r="W540" s="1423">
        <f t="shared" si="749"/>
        <v>0</v>
      </c>
      <c r="X540" s="152"/>
      <c r="Y540" s="152"/>
      <c r="Z540" s="152"/>
      <c r="AA540" s="152"/>
      <c r="AB540" s="152"/>
    </row>
    <row r="541" spans="1:28" hidden="1" outlineLevel="1">
      <c r="A541" s="242"/>
      <c r="B541" s="190" t="str">
        <f t="shared" ca="1" si="750"/>
        <v>RL Capex 2032-33</v>
      </c>
      <c r="C541" s="1429"/>
      <c r="D541" s="1429"/>
      <c r="E541" s="1429"/>
      <c r="F541" s="1429"/>
      <c r="G541" s="1429"/>
      <c r="H541" s="1429"/>
      <c r="I541" s="1429"/>
      <c r="J541" s="1429"/>
      <c r="K541" s="1429"/>
      <c r="L541" s="1429"/>
      <c r="M541" s="1429"/>
      <c r="N541" s="1429"/>
      <c r="O541" s="1429"/>
      <c r="P541" s="1429"/>
      <c r="Q541" s="1429"/>
      <c r="R541" s="1429"/>
      <c r="S541" s="1424"/>
      <c r="T541" s="1428">
        <f>T496</f>
        <v>0</v>
      </c>
      <c r="U541" s="1423">
        <f t="shared" si="747"/>
        <v>0</v>
      </c>
      <c r="V541" s="1423">
        <f t="shared" si="748"/>
        <v>0</v>
      </c>
      <c r="W541" s="1423">
        <f t="shared" si="749"/>
        <v>0</v>
      </c>
      <c r="X541" s="152"/>
      <c r="Y541" s="152"/>
      <c r="Z541" s="152"/>
      <c r="AA541" s="152"/>
      <c r="AB541" s="152"/>
    </row>
    <row r="542" spans="1:28" hidden="1" outlineLevel="1">
      <c r="A542" s="242"/>
      <c r="B542" s="190" t="str">
        <f t="shared" ca="1" si="750"/>
        <v>RL Capex 2033-34</v>
      </c>
      <c r="C542" s="1429"/>
      <c r="D542" s="1429"/>
      <c r="E542" s="1429"/>
      <c r="F542" s="1429"/>
      <c r="G542" s="1429"/>
      <c r="H542" s="1429"/>
      <c r="I542" s="1429"/>
      <c r="J542" s="1429"/>
      <c r="K542" s="1429"/>
      <c r="L542" s="1429"/>
      <c r="M542" s="1429"/>
      <c r="N542" s="1429"/>
      <c r="O542" s="1429"/>
      <c r="P542" s="1429"/>
      <c r="Q542" s="1429"/>
      <c r="R542" s="1429"/>
      <c r="S542" s="1429"/>
      <c r="T542" s="1424"/>
      <c r="U542" s="1428">
        <f>U496</f>
        <v>0</v>
      </c>
      <c r="V542" s="1423">
        <f t="shared" si="748"/>
        <v>0</v>
      </c>
      <c r="W542" s="1423">
        <f t="shared" si="749"/>
        <v>0</v>
      </c>
      <c r="X542" s="152"/>
      <c r="Y542" s="152"/>
      <c r="Z542" s="152"/>
      <c r="AA542" s="152"/>
      <c r="AB542" s="152"/>
    </row>
    <row r="543" spans="1:28" hidden="1" outlineLevel="1">
      <c r="A543" s="242"/>
      <c r="B543" s="190" t="str">
        <f t="shared" ca="1" si="750"/>
        <v>RL Capex 2034-35</v>
      </c>
      <c r="C543" s="1429"/>
      <c r="D543" s="1429"/>
      <c r="E543" s="1429"/>
      <c r="F543" s="1429"/>
      <c r="G543" s="1429"/>
      <c r="H543" s="1429"/>
      <c r="I543" s="1429"/>
      <c r="J543" s="1429"/>
      <c r="K543" s="1429"/>
      <c r="L543" s="1429"/>
      <c r="M543" s="1429"/>
      <c r="N543" s="1429"/>
      <c r="O543" s="1429"/>
      <c r="P543" s="1429"/>
      <c r="Q543" s="1429"/>
      <c r="R543" s="1429"/>
      <c r="S543" s="1429"/>
      <c r="T543" s="1429"/>
      <c r="U543" s="1424"/>
      <c r="V543" s="1428">
        <f>V496</f>
        <v>0</v>
      </c>
      <c r="W543" s="1423">
        <f>IF(V543="n/a","n/a",MAX(0,V543-1))</f>
        <v>0</v>
      </c>
      <c r="X543" s="152"/>
      <c r="Y543" s="152"/>
      <c r="Z543" s="152"/>
      <c r="AA543" s="152"/>
      <c r="AB543" s="152"/>
    </row>
    <row r="544" spans="1:28" hidden="1" outlineLevel="1">
      <c r="A544" s="242"/>
      <c r="B544" s="190" t="str">
        <f t="shared" ca="1" si="750"/>
        <v>RL Capex 2035-36</v>
      </c>
      <c r="C544" s="1429"/>
      <c r="D544" s="1429"/>
      <c r="E544" s="1429"/>
      <c r="F544" s="1429"/>
      <c r="G544" s="1429"/>
      <c r="H544" s="1429"/>
      <c r="I544" s="1429"/>
      <c r="J544" s="1429"/>
      <c r="K544" s="1429"/>
      <c r="L544" s="1429"/>
      <c r="M544" s="1429"/>
      <c r="N544" s="1429"/>
      <c r="O544" s="1429"/>
      <c r="P544" s="1429"/>
      <c r="Q544" s="1429"/>
      <c r="R544" s="1429"/>
      <c r="S544" s="1429"/>
      <c r="T544" s="1429"/>
      <c r="U544" s="1429"/>
      <c r="V544" s="1424"/>
      <c r="W544" s="1423">
        <f>W496</f>
        <v>0</v>
      </c>
      <c r="X544" s="152"/>
      <c r="Y544" s="152"/>
      <c r="Z544" s="152"/>
      <c r="AA544" s="152"/>
      <c r="AB544" s="152"/>
    </row>
    <row r="545" spans="1:28" hidden="1" outlineLevel="1">
      <c r="A545" s="242"/>
      <c r="B545" s="200"/>
      <c r="C545" s="1423"/>
      <c r="D545" s="1423"/>
      <c r="E545" s="1423"/>
      <c r="F545" s="1423"/>
      <c r="G545" s="1423"/>
      <c r="H545" s="1423"/>
      <c r="I545" s="1423"/>
      <c r="J545" s="1423"/>
      <c r="K545" s="1423"/>
      <c r="L545" s="1423"/>
      <c r="M545" s="1423"/>
      <c r="N545" s="1423"/>
      <c r="O545" s="1423"/>
      <c r="P545" s="1423"/>
      <c r="Q545" s="1423"/>
      <c r="R545" s="1423"/>
      <c r="S545" s="1423"/>
      <c r="T545" s="1423"/>
      <c r="U545" s="1423"/>
      <c r="V545" s="1423"/>
      <c r="W545" s="1423"/>
      <c r="X545" s="152"/>
      <c r="Y545" s="152"/>
      <c r="Z545" s="152"/>
      <c r="AA545" s="152"/>
      <c r="AB545" s="152"/>
    </row>
    <row r="546" spans="1:28" collapsed="1">
      <c r="A546" s="246"/>
      <c r="B546" s="204" t="s">
        <v>123</v>
      </c>
      <c r="C546" s="1430">
        <f ca="1">(IF(OR($C496&lt;&gt;"n/a",C496&lt;&gt;"n/a"),IF(SUM(C499:C521)=0,0,IF((SUMPRODUCT(C499:C521,C523:C545)/SUM(C499:C521))&lt;0,1,(SUMPRODUCT(C499:C521,C523:C545)/SUM(C499:C521)))),"n/a"))</f>
        <v>0</v>
      </c>
      <c r="D546" s="1430">
        <f ca="1">(IF(OR($C496&lt;&gt;"n/a",D496&lt;&gt;"n/a"),IF(SUM(D499:D521)=0,0,IF((SUMPRODUCT(D499:D521,D523:D545)/SUM(D499:D521))&lt;0,1,(SUMPRODUCT(D499:D521,D523:D545)/SUM(D499:D521)))),"n/a"))</f>
        <v>0</v>
      </c>
      <c r="E546" s="1430">
        <f t="shared" ref="E546:W546" ca="1" si="751">(IF(OR($C496&lt;&gt;"n/a",E496&lt;&gt;"n/a"),IF(SUM(E499:E521)=0,0,IF((SUMPRODUCT(E499:E521,E523:E545)/SUM(E499:E521))&lt;0,1,(SUMPRODUCT(E499:E521,E523:E545)/SUM(E499:E521)))),"n/a"))</f>
        <v>0</v>
      </c>
      <c r="F546" s="1430">
        <f t="shared" ca="1" si="751"/>
        <v>0</v>
      </c>
      <c r="G546" s="1430">
        <f t="shared" ca="1" si="751"/>
        <v>0</v>
      </c>
      <c r="H546" s="1430">
        <f t="shared" ca="1" si="751"/>
        <v>0</v>
      </c>
      <c r="I546" s="1430">
        <f t="shared" ca="1" si="751"/>
        <v>0</v>
      </c>
      <c r="J546" s="1430">
        <f t="shared" ca="1" si="751"/>
        <v>0</v>
      </c>
      <c r="K546" s="1430">
        <f t="shared" ca="1" si="751"/>
        <v>0</v>
      </c>
      <c r="L546" s="1430">
        <f t="shared" ca="1" si="751"/>
        <v>0</v>
      </c>
      <c r="M546" s="1430">
        <f t="shared" ca="1" si="751"/>
        <v>0</v>
      </c>
      <c r="N546" s="1430">
        <f t="shared" ca="1" si="751"/>
        <v>0</v>
      </c>
      <c r="O546" s="1430">
        <f t="shared" ca="1" si="751"/>
        <v>0</v>
      </c>
      <c r="P546" s="1430">
        <f t="shared" ca="1" si="751"/>
        <v>0</v>
      </c>
      <c r="Q546" s="1430">
        <f t="shared" ca="1" si="751"/>
        <v>0</v>
      </c>
      <c r="R546" s="1430">
        <f t="shared" ca="1" si="751"/>
        <v>0</v>
      </c>
      <c r="S546" s="1430">
        <f t="shared" ca="1" si="751"/>
        <v>0</v>
      </c>
      <c r="T546" s="1430">
        <f t="shared" ca="1" si="751"/>
        <v>0</v>
      </c>
      <c r="U546" s="1430">
        <f t="shared" ca="1" si="751"/>
        <v>0</v>
      </c>
      <c r="V546" s="1430">
        <f t="shared" ca="1" si="751"/>
        <v>0</v>
      </c>
      <c r="W546" s="1430">
        <f t="shared" ca="1" si="751"/>
        <v>0</v>
      </c>
      <c r="X546" s="152"/>
      <c r="Y546" s="152"/>
      <c r="Z546" s="152"/>
      <c r="AA546" s="152"/>
      <c r="AB546" s="152"/>
    </row>
    <row r="547" spans="1:28">
      <c r="A547" s="242"/>
      <c r="B547" s="152"/>
      <c r="C547" s="1423"/>
      <c r="D547" s="1423"/>
      <c r="E547" s="1423"/>
      <c r="F547" s="1423"/>
      <c r="G547" s="1423"/>
      <c r="H547" s="1423"/>
      <c r="I547" s="1423"/>
      <c r="J547" s="1423"/>
      <c r="K547" s="1423"/>
      <c r="L547" s="1423"/>
      <c r="M547" s="1423"/>
      <c r="N547" s="1423"/>
      <c r="O547" s="1423"/>
      <c r="P547" s="1423"/>
      <c r="Q547" s="1423"/>
      <c r="R547" s="1423"/>
      <c r="S547" s="1423"/>
      <c r="T547" s="1423"/>
      <c r="U547" s="1423"/>
      <c r="V547" s="1423"/>
      <c r="W547" s="1423"/>
      <c r="X547" s="152"/>
      <c r="Y547" s="152"/>
      <c r="Z547" s="152"/>
      <c r="AA547" s="152"/>
      <c r="AB547" s="152"/>
    </row>
    <row r="548" spans="1:28">
      <c r="A548" s="269" t="s">
        <v>11</v>
      </c>
      <c r="B548" s="270">
        <f>VLOOKUP($A548,'RFM input'!$E$7:$F$56,2,FALSE)</f>
        <v>0</v>
      </c>
      <c r="C548" s="1431"/>
      <c r="D548" s="1431"/>
      <c r="E548" s="1432"/>
      <c r="F548" s="1432"/>
      <c r="G548" s="1432"/>
      <c r="H548" s="1432"/>
      <c r="I548" s="1432"/>
      <c r="J548" s="1432"/>
      <c r="K548" s="1432"/>
      <c r="L548" s="1432"/>
      <c r="M548" s="1432"/>
      <c r="N548" s="1432"/>
      <c r="O548" s="1432"/>
      <c r="P548" s="1432"/>
      <c r="Q548" s="1432"/>
      <c r="R548" s="1432"/>
      <c r="S548" s="1432"/>
      <c r="T548" s="1432"/>
      <c r="U548" s="1432"/>
      <c r="V548" s="1432"/>
      <c r="W548" s="1432"/>
      <c r="X548" s="152"/>
      <c r="Y548" s="152"/>
      <c r="Z548" s="152"/>
      <c r="AA548" s="152"/>
      <c r="AB548" s="152"/>
    </row>
    <row r="549" spans="1:28">
      <c r="A549" s="215">
        <f>VALUE(REPLACE(A548,1,12,""))</f>
        <v>11</v>
      </c>
      <c r="B549" s="263" t="s">
        <v>126</v>
      </c>
      <c r="C549" s="1416">
        <f ca="1">IF($D$6='TAB roll forward'!$H$4,OFFSET('TAB roll forward'!$H$7,A549,0),"enter input")</f>
        <v>0</v>
      </c>
      <c r="D549" s="1417">
        <f>IF(LEFT(D$6,4)&lt;LEFT('RFM input'!$G$60,4),"enter input",IF(LEFT(D$6,4)&gt;LEFT('RFM input'!$Q$60,4),0,
INDEX('RFM input'!$G$61:$Q$110,$A549,MATCH(D$6,'RFM input'!$G$60:$Q$60,0))
   -INDEX('RFM input'!$G$115:$Q$164,$A549,MATCH(D$6,'RFM input'!$G$60:$Q$60,0))))</f>
        <v>0</v>
      </c>
      <c r="E549" s="1417">
        <f>IF(LEFT(E$6,4)&lt;LEFT('RFM input'!$G$60,4),"enter input",IF(LEFT(E$6,4)&gt;LEFT('RFM input'!$Q$60,4),0,
INDEX('RFM input'!$G$61:$Q$110,$A549,MATCH(E$6,'RFM input'!$G$60:$Q$60,0))
   -INDEX('RFM input'!$G$115:$Q$164,$A549,MATCH(E$6,'RFM input'!$G$60:$Q$60,0))))</f>
        <v>0</v>
      </c>
      <c r="F549" s="1417">
        <f>IF(LEFT(F$6,4)&lt;LEFT('RFM input'!$G$60,4),"enter input",IF(LEFT(F$6,4)&gt;LEFT('RFM input'!$Q$60,4),0,
INDEX('RFM input'!$G$61:$Q$110,$A549,MATCH(F$6,'RFM input'!$G$60:$Q$60,0))
   -INDEX('RFM input'!$G$115:$Q$164,$A549,MATCH(F$6,'RFM input'!$G$60:$Q$60,0))))</f>
        <v>0</v>
      </c>
      <c r="G549" s="1417">
        <f>IF(LEFT(G$6,4)&lt;LEFT('RFM input'!$G$60,4),"enter input",IF(LEFT(G$6,4)&gt;LEFT('RFM input'!$Q$60,4),0,
INDEX('RFM input'!$G$61:$Q$110,$A549,MATCH(G$6,'RFM input'!$G$60:$Q$60,0))
   -INDEX('RFM input'!$G$115:$Q$164,$A549,MATCH(G$6,'RFM input'!$G$60:$Q$60,0))))</f>
        <v>0</v>
      </c>
      <c r="H549" s="1417">
        <f>IF(LEFT(H$6,4)&lt;LEFT('RFM input'!$G$60,4),"enter input",IF(LEFT(H$6,4)&gt;LEFT('RFM input'!$Q$60,4),0,
INDEX('RFM input'!$G$61:$Q$110,$A549,MATCH(H$6,'RFM input'!$G$60:$Q$60,0))
   -INDEX('RFM input'!$G$115:$Q$164,$A549,MATCH(H$6,'RFM input'!$G$60:$Q$60,0))))</f>
        <v>0</v>
      </c>
      <c r="I549" s="1417">
        <f>IF(LEFT(I$6,4)&lt;LEFT('RFM input'!$G$60,4),"enter input",IF(LEFT(I$6,4)&gt;LEFT('RFM input'!$Q$60,4),0,
INDEX('RFM input'!$G$61:$Q$110,$A549,MATCH(I$6,'RFM input'!$G$60:$Q$60,0))
   -INDEX('RFM input'!$G$115:$Q$164,$A549,MATCH(I$6,'RFM input'!$G$60:$Q$60,0))))</f>
        <v>0</v>
      </c>
      <c r="J549" s="1417">
        <f>IF(LEFT(J$6,4)&lt;LEFT('RFM input'!$G$60,4),"enter input",IF(LEFT(J$6,4)&gt;LEFT('RFM input'!$Q$60,4),0,
INDEX('RFM input'!$G$61:$Q$110,$A549,MATCH(J$6,'RFM input'!$G$60:$Q$60,0))
   -INDEX('RFM input'!$G$115:$Q$164,$A549,MATCH(J$6,'RFM input'!$G$60:$Q$60,0))))</f>
        <v>0</v>
      </c>
      <c r="K549" s="1417">
        <f>IF(LEFT(K$6,4)&lt;LEFT('RFM input'!$G$60,4),"enter input",IF(LEFT(K$6,4)&gt;LEFT('RFM input'!$Q$60,4),0,
INDEX('RFM input'!$G$61:$Q$110,$A549,MATCH(K$6,'RFM input'!$G$60:$Q$60,0))
   -INDEX('RFM input'!$G$115:$Q$164,$A549,MATCH(K$6,'RFM input'!$G$60:$Q$60,0))))</f>
        <v>0</v>
      </c>
      <c r="L549" s="1417">
        <f>IF(LEFT(L$6,4)&lt;LEFT('RFM input'!$G$60,4),"enter input",IF(LEFT(L$6,4)&gt;LEFT('RFM input'!$Q$60,4),0,
INDEX('RFM input'!$G$61:$Q$110,$A549,MATCH(L$6,'RFM input'!$G$60:$Q$60,0))
   -INDEX('RFM input'!$G$115:$Q$164,$A549,MATCH(L$6,'RFM input'!$G$60:$Q$60,0))))</f>
        <v>0</v>
      </c>
      <c r="M549" s="1417">
        <f>IF(LEFT(M$6,4)&lt;LEFT('RFM input'!$G$60,4),"enter input",IF(LEFT(M$6,4)&gt;LEFT('RFM input'!$Q$60,4),0,
INDEX('RFM input'!$G$61:$Q$110,$A549,MATCH(M$6,'RFM input'!$G$60:$Q$60,0))
   -INDEX('RFM input'!$G$115:$Q$164,$A549,MATCH(M$6,'RFM input'!$G$60:$Q$60,0))))</f>
        <v>0</v>
      </c>
      <c r="N549" s="1417">
        <f>IF(LEFT(N$6,4)&lt;LEFT('RFM input'!$G$60,4),"enter input",IF(LEFT(N$6,4)&gt;LEFT('RFM input'!$Q$60,4),0,
INDEX('RFM input'!$G$61:$Q$110,$A549,MATCH(N$6,'RFM input'!$G$60:$Q$60,0))
   -INDEX('RFM input'!$G$115:$Q$164,$A549,MATCH(N$6,'RFM input'!$G$60:$Q$60,0))))</f>
        <v>0</v>
      </c>
      <c r="O549" s="1417">
        <f>IF(LEFT(O$6,4)&lt;LEFT('RFM input'!$G$60,4),"enter input",IF(LEFT(O$6,4)&gt;LEFT('RFM input'!$Q$60,4),0,
INDEX('RFM input'!$G$61:$Q$110,$A549,MATCH(O$6,'RFM input'!$G$60:$Q$60,0))
   -INDEX('RFM input'!$G$115:$Q$164,$A549,MATCH(O$6,'RFM input'!$G$60:$Q$60,0))))</f>
        <v>0</v>
      </c>
      <c r="P549" s="1417">
        <f>IF(LEFT(P$6,4)&lt;LEFT('RFM input'!$G$60,4),"enter input",IF(LEFT(P$6,4)&gt;LEFT('RFM input'!$Q$60,4),0,
INDEX('RFM input'!$G$61:$Q$110,$A549,MATCH(P$6,'RFM input'!$G$60:$Q$60,0))
   -INDEX('RFM input'!$G$115:$Q$164,$A549,MATCH(P$6,'RFM input'!$G$60:$Q$60,0))))</f>
        <v>0</v>
      </c>
      <c r="Q549" s="1417">
        <f>IF(LEFT(Q$6,4)&lt;LEFT('RFM input'!$G$60,4),"enter input",IF(LEFT(Q$6,4)&gt;LEFT('RFM input'!$Q$60,4),0,
INDEX('RFM input'!$G$61:$Q$110,$A549,MATCH(Q$6,'RFM input'!$G$60:$Q$60,0))
   -INDEX('RFM input'!$G$115:$Q$164,$A549,MATCH(Q$6,'RFM input'!$G$60:$Q$60,0))))</f>
        <v>0</v>
      </c>
      <c r="R549" s="1417">
        <f>IF(LEFT(R$6,4)&lt;LEFT('RFM input'!$G$60,4),"enter input",IF(LEFT(R$6,4)&gt;LEFT('RFM input'!$Q$60,4),0,
INDEX('RFM input'!$G$61:$Q$110,$A549,MATCH(R$6,'RFM input'!$G$60:$Q$60,0))
   -INDEX('RFM input'!$G$115:$Q$164,$A549,MATCH(R$6,'RFM input'!$G$60:$Q$60,0))))</f>
        <v>0</v>
      </c>
      <c r="S549" s="1417">
        <f>IF(LEFT(S$6,4)&lt;LEFT('RFM input'!$G$60,4),"enter input",IF(LEFT(S$6,4)&gt;LEFT('RFM input'!$Q$60,4),0,
INDEX('RFM input'!$G$61:$Q$110,$A549,MATCH(S$6,'RFM input'!$G$60:$Q$60,0))
   -INDEX('RFM input'!$G$115:$Q$164,$A549,MATCH(S$6,'RFM input'!$G$60:$Q$60,0))))</f>
        <v>0</v>
      </c>
      <c r="T549" s="1417">
        <f>IF(LEFT(T$6,4)&lt;LEFT('RFM input'!$G$60,4),"enter input",IF(LEFT(T$6,4)&gt;LEFT('RFM input'!$Q$60,4),0,
INDEX('RFM input'!$G$61:$Q$110,$A549,MATCH(T$6,'RFM input'!$G$60:$Q$60,0))
   -INDEX('RFM input'!$G$115:$Q$164,$A549,MATCH(T$6,'RFM input'!$G$60:$Q$60,0))))</f>
        <v>0</v>
      </c>
      <c r="U549" s="1417">
        <f>IF(LEFT(U$6,4)&lt;LEFT('RFM input'!$G$60,4),"enter input",IF(LEFT(U$6,4)&gt;LEFT('RFM input'!$Q$60,4),0,
INDEX('RFM input'!$G$61:$Q$110,$A549,MATCH(U$6,'RFM input'!$G$60:$Q$60,0))
   -INDEX('RFM input'!$G$115:$Q$164,$A549,MATCH(U$6,'RFM input'!$G$60:$Q$60,0))))</f>
        <v>0</v>
      </c>
      <c r="V549" s="1417">
        <f>IF(LEFT(V$6,4)&lt;LEFT('RFM input'!$G$60,4),"enter input",IF(LEFT(V$6,4)&gt;LEFT('RFM input'!$Q$60,4),0,
INDEX('RFM input'!$G$61:$Q$110,$A549,MATCH(V$6,'RFM input'!$G$60:$Q$60,0))
   -INDEX('RFM input'!$G$115:$Q$164,$A549,MATCH(V$6,'RFM input'!$G$60:$Q$60,0))))</f>
        <v>0</v>
      </c>
      <c r="W549" s="1417">
        <f>IF(LEFT(W$6,4)&lt;LEFT('RFM input'!$G$60,4),"enter input",IF(LEFT(W$6,4)&gt;LEFT('RFM input'!$Q$60,4),0,
INDEX('RFM input'!$G$61:$Q$110,$A549,MATCH(W$6,'RFM input'!$G$60:$Q$60,0))
   -INDEX('RFM input'!$G$115:$Q$164,$A549,MATCH(W$6,'RFM input'!$G$60:$Q$60,0))))</f>
        <v>0</v>
      </c>
      <c r="X549" s="152"/>
      <c r="Y549" s="152"/>
      <c r="Z549" s="152"/>
      <c r="AA549" s="152"/>
      <c r="AB549" s="152"/>
    </row>
    <row r="550" spans="1:28">
      <c r="A550" s="242"/>
      <c r="B550" s="152" t="s">
        <v>205</v>
      </c>
      <c r="C550" s="1418">
        <f ca="1">IF($D$6='TAB roll forward'!$H$4,OFFSET('RFM input'!$S$6,$A549,0),"enter input")</f>
        <v>0</v>
      </c>
      <c r="D550" s="1417">
        <f>IF(LEFT(D$6,4)&lt;=LEFT('RFM input'!$G$60,4),"enter input",IF(LEFT(D$6,4)&gt;LEFT('RFM input'!$Q$60,4),0,
IF(MATCH(D$6,'RFM input'!$H$60:$Q$60,0),INDEX('RFM input'!$T$7:$T$56,$A549,1,1))))</f>
        <v>0</v>
      </c>
      <c r="E550" s="1417">
        <f>IF(LEFT(E$6,4)&lt;=LEFT('RFM input'!$G$60,4),"enter input",IF(LEFT(E$6,4)&gt;LEFT('RFM input'!$Q$60,4),0,
IF(MATCH(E$6,'RFM input'!$H$60:$Q$60,0),INDEX('RFM input'!$T$7:$T$56,$A549,1,1))))</f>
        <v>0</v>
      </c>
      <c r="F550" s="1417">
        <f>IF(LEFT(F$6,4)&lt;=LEFT('RFM input'!$G$60,4),"enter input",IF(LEFT(F$6,4)&gt;LEFT('RFM input'!$Q$60,4),0,
IF(MATCH(F$6,'RFM input'!$H$60:$Q$60,0),INDEX('RFM input'!$T$7:$T$56,$A549,1,1))))</f>
        <v>0</v>
      </c>
      <c r="G550" s="1417">
        <f>IF(LEFT(G$6,4)&lt;=LEFT('RFM input'!$G$60,4),"enter input",IF(LEFT(G$6,4)&gt;LEFT('RFM input'!$Q$60,4),0,
IF(MATCH(G$6,'RFM input'!$H$60:$Q$60,0),INDEX('RFM input'!$T$7:$T$56,$A549,1,1))))</f>
        <v>0</v>
      </c>
      <c r="H550" s="1417">
        <f>IF(LEFT(H$6,4)&lt;=LEFT('RFM input'!$G$60,4),"enter input",IF(LEFT(H$6,4)&gt;LEFT('RFM input'!$Q$60,4),0,
IF(MATCH(H$6,'RFM input'!$H$60:$Q$60,0),INDEX('RFM input'!$T$7:$T$56,$A549,1,1))))</f>
        <v>0</v>
      </c>
      <c r="I550" s="1417">
        <f>IF(LEFT(I$6,4)&lt;=LEFT('RFM input'!$G$60,4),"enter input",IF(LEFT(I$6,4)&gt;LEFT('RFM input'!$Q$60,4),0,
IF(MATCH(I$6,'RFM input'!$H$60:$Q$60,0),INDEX('RFM input'!$T$7:$T$56,$A549,1,1))))</f>
        <v>0</v>
      </c>
      <c r="J550" s="1417">
        <f>IF(LEFT(J$6,4)&lt;=LEFT('RFM input'!$G$60,4),"enter input",IF(LEFT(J$6,4)&gt;LEFT('RFM input'!$Q$60,4),0,
IF(MATCH(J$6,'RFM input'!$H$60:$Q$60,0),INDEX('RFM input'!$T$7:$T$56,$A549,1,1))))</f>
        <v>0</v>
      </c>
      <c r="K550" s="1417">
        <f>IF(LEFT(K$6,4)&lt;=LEFT('RFM input'!$G$60,4),"enter input",IF(LEFT(K$6,4)&gt;LEFT('RFM input'!$Q$60,4),0,
IF(MATCH(K$6,'RFM input'!$H$60:$Q$60,0),INDEX('RFM input'!$T$7:$T$56,$A549,1,1))))</f>
        <v>0</v>
      </c>
      <c r="L550" s="1417">
        <f>IF(LEFT(L$6,4)&lt;=LEFT('RFM input'!$G$60,4),"enter input",IF(LEFT(L$6,4)&gt;LEFT('RFM input'!$Q$60,4),0,
IF(MATCH(L$6,'RFM input'!$H$60:$Q$60,0),INDEX('RFM input'!$T$7:$T$56,$A549,1,1))))</f>
        <v>0</v>
      </c>
      <c r="M550" s="1417">
        <f>IF(LEFT(M$6,4)&lt;=LEFT('RFM input'!$G$60,4),"enter input",IF(LEFT(M$6,4)&gt;LEFT('RFM input'!$Q$60,4),0,
IF(MATCH(M$6,'RFM input'!$H$60:$Q$60,0),INDEX('RFM input'!$T$7:$T$56,$A549,1,1))))</f>
        <v>0</v>
      </c>
      <c r="N550" s="1417">
        <f>IF(LEFT(N$6,4)&lt;=LEFT('RFM input'!$G$60,4),"enter input",IF(LEFT(N$6,4)&gt;LEFT('RFM input'!$Q$60,4),0,
IF(MATCH(N$6,'RFM input'!$H$60:$Q$60,0),INDEX('RFM input'!$T$7:$T$56,$A549,1,1))))</f>
        <v>0</v>
      </c>
      <c r="O550" s="1417">
        <f>IF(LEFT(O$6,4)&lt;=LEFT('RFM input'!$G$60,4),"enter input",IF(LEFT(O$6,4)&gt;LEFT('RFM input'!$Q$60,4),0,
IF(MATCH(O$6,'RFM input'!$H$60:$Q$60,0),INDEX('RFM input'!$T$7:$T$56,$A549,1,1))))</f>
        <v>0</v>
      </c>
      <c r="P550" s="1417">
        <f>IF(LEFT(P$6,4)&lt;=LEFT('RFM input'!$G$60,4),"enter input",IF(LEFT(P$6,4)&gt;LEFT('RFM input'!$Q$60,4),0,
IF(MATCH(P$6,'RFM input'!$H$60:$Q$60,0),INDEX('RFM input'!$T$7:$T$56,$A549,1,1))))</f>
        <v>0</v>
      </c>
      <c r="Q550" s="1417">
        <f>IF(LEFT(Q$6,4)&lt;=LEFT('RFM input'!$G$60,4),"enter input",IF(LEFT(Q$6,4)&gt;LEFT('RFM input'!$Q$60,4),0,
IF(MATCH(Q$6,'RFM input'!$H$60:$Q$60,0),INDEX('RFM input'!$T$7:$T$56,$A549,1,1))))</f>
        <v>0</v>
      </c>
      <c r="R550" s="1417">
        <f>IF(LEFT(R$6,4)&lt;=LEFT('RFM input'!$G$60,4),"enter input",IF(LEFT(R$6,4)&gt;LEFT('RFM input'!$Q$60,4),0,
IF(MATCH(R$6,'RFM input'!$H$60:$Q$60,0),INDEX('RFM input'!$T$7:$T$56,$A549,1,1))))</f>
        <v>0</v>
      </c>
      <c r="S550" s="1417">
        <f>IF(LEFT(S$6,4)&lt;=LEFT('RFM input'!$G$60,4),"enter input",IF(LEFT(S$6,4)&gt;LEFT('RFM input'!$Q$60,4),0,
IF(MATCH(S$6,'RFM input'!$H$60:$Q$60,0),INDEX('RFM input'!$T$7:$T$56,$A549,1,1))))</f>
        <v>0</v>
      </c>
      <c r="T550" s="1417">
        <f>IF(LEFT(T$6,4)&lt;=LEFT('RFM input'!$G$60,4),"enter input",IF(LEFT(T$6,4)&gt;LEFT('RFM input'!$Q$60,4),0,
IF(MATCH(T$6,'RFM input'!$H$60:$Q$60,0),INDEX('RFM input'!$T$7:$T$56,$A549,1,1))))</f>
        <v>0</v>
      </c>
      <c r="U550" s="1417">
        <f>IF(LEFT(U$6,4)&lt;=LEFT('RFM input'!$G$60,4),"enter input",IF(LEFT(U$6,4)&gt;LEFT('RFM input'!$Q$60,4),0,
IF(MATCH(U$6,'RFM input'!$H$60:$Q$60,0),INDEX('RFM input'!$T$7:$T$56,$A549,1,1))))</f>
        <v>0</v>
      </c>
      <c r="V550" s="1417">
        <f>IF(LEFT(V$6,4)&lt;=LEFT('RFM input'!$G$60,4),"enter input",IF(LEFT(V$6,4)&gt;LEFT('RFM input'!$Q$60,4),0,
IF(MATCH(V$6,'RFM input'!$H$60:$Q$60,0),INDEX('RFM input'!$T$7:$T$56,$A549,1,1))))</f>
        <v>0</v>
      </c>
      <c r="W550" s="1417">
        <f>IF(LEFT(W$6,4)&lt;=LEFT('RFM input'!$G$60,4),"enter input",IF(LEFT(W$6,4)&gt;LEFT('RFM input'!$Q$60,4),0,
IF(MATCH(W$6,'RFM input'!$H$60:$Q$60,0),INDEX('RFM input'!$T$7:$T$56,$A549,1,1))))</f>
        <v>0</v>
      </c>
      <c r="X550" s="152"/>
      <c r="Y550" s="152"/>
      <c r="Z550" s="152"/>
      <c r="AA550" s="152"/>
      <c r="AB550" s="152"/>
    </row>
    <row r="551" spans="1:28">
      <c r="A551" s="242"/>
      <c r="B551" s="193" t="s">
        <v>192</v>
      </c>
      <c r="C551" s="1419"/>
      <c r="D551" s="1420">
        <f ca="1">IF(LEFT(D$6,4)&lt;=LEFT('RFM input'!$G$60,4),"enter input",IF(LEFT(D$6,4)&gt;LEFT('RFM input'!$Q$60,4),0,
IF(D$6=(OFFSET('RFM input'!$G$60,0,'RFM input'!$V$7)),OFFSET('RFM input'!$H$411,$A549,0),0)))</f>
        <v>0</v>
      </c>
      <c r="E551" s="1417">
        <f ca="1">IF(LEFT(E$6,4)&lt;=LEFT('RFM input'!$G$60,4),"enter input",IF(LEFT(E$6,4)&gt;LEFT('RFM input'!$Q$60,4),0,
IF(E$6=(OFFSET('RFM input'!$G$60,0,'RFM input'!$V$7)),OFFSET('RFM input'!$H$411,$A549,0),0)))</f>
        <v>0</v>
      </c>
      <c r="F551" s="1417">
        <f ca="1">IF(LEFT(F$6,4)&lt;=LEFT('RFM input'!$G$60,4),"enter input",IF(LEFT(F$6,4)&gt;LEFT('RFM input'!$Q$60,4),0,
IF(F$6=(OFFSET('RFM input'!$G$60,0,'RFM input'!$V$7)),OFFSET('RFM input'!$H$411,$A549,0),0)))</f>
        <v>0</v>
      </c>
      <c r="G551" s="1417">
        <f ca="1">IF(LEFT(G$6,4)&lt;=LEFT('RFM input'!$G$60,4),"enter input",IF(LEFT(G$6,4)&gt;LEFT('RFM input'!$Q$60,4),0,
IF(G$6=(OFFSET('RFM input'!$G$60,0,'RFM input'!$V$7)),OFFSET('RFM input'!$H$411,$A549,0),0)))</f>
        <v>0</v>
      </c>
      <c r="H551" s="1417">
        <f ca="1">IF(LEFT(H$6,4)&lt;=LEFT('RFM input'!$G$60,4),"enter input",IF(LEFT(H$6,4)&gt;LEFT('RFM input'!$Q$60,4),0,
IF(H$6=(OFFSET('RFM input'!$G$60,0,'RFM input'!$V$7)),OFFSET('RFM input'!$H$411,$A549,0),0)))</f>
        <v>0</v>
      </c>
      <c r="I551" s="1417">
        <f ca="1">IF(LEFT(I$6,4)&lt;=LEFT('RFM input'!$G$60,4),"enter input",IF(LEFT(I$6,4)&gt;LEFT('RFM input'!$Q$60,4),0,
IF(I$6=(OFFSET('RFM input'!$G$60,0,'RFM input'!$V$7)),OFFSET('RFM input'!$H$411,$A549,0),0)))</f>
        <v>0</v>
      </c>
      <c r="J551" s="1417">
        <f ca="1">IF(LEFT(J$6,4)&lt;=LEFT('RFM input'!$G$60,4),"enter input",IF(LEFT(J$6,4)&gt;LEFT('RFM input'!$Q$60,4),0,
IF(J$6=(OFFSET('RFM input'!$G$60,0,'RFM input'!$V$7)),OFFSET('RFM input'!$H$411,$A549,0),0)))</f>
        <v>0</v>
      </c>
      <c r="K551" s="1417">
        <f ca="1">IF(LEFT(K$6,4)&lt;=LEFT('RFM input'!$G$60,4),"enter input",IF(LEFT(K$6,4)&gt;LEFT('RFM input'!$Q$60,4),0,
IF(K$6=(OFFSET('RFM input'!$G$60,0,'RFM input'!$V$7)),OFFSET('RFM input'!$H$411,$A549,0),0)))</f>
        <v>0</v>
      </c>
      <c r="L551" s="1417">
        <f ca="1">IF(LEFT(L$6,4)&lt;=LEFT('RFM input'!$G$60,4),"enter input",IF(LEFT(L$6,4)&gt;LEFT('RFM input'!$Q$60,4),0,
IF(L$6=(OFFSET('RFM input'!$G$60,0,'RFM input'!$V$7)),OFFSET('RFM input'!$H$411,$A549,0),0)))</f>
        <v>0</v>
      </c>
      <c r="M551" s="1417">
        <f ca="1">IF(LEFT(M$6,4)&lt;=LEFT('RFM input'!$G$60,4),"enter input",IF(LEFT(M$6,4)&gt;LEFT('RFM input'!$Q$60,4),0,
IF(M$6=(OFFSET('RFM input'!$G$60,0,'RFM input'!$V$7)),OFFSET('RFM input'!$H$411,$A549,0),0)))</f>
        <v>0</v>
      </c>
      <c r="N551" s="1417">
        <f ca="1">IF(LEFT(N$6,4)&lt;=LEFT('RFM input'!$G$60,4),"enter input",IF(LEFT(N$6,4)&gt;LEFT('RFM input'!$Q$60,4),0,
IF(N$6=(OFFSET('RFM input'!$G$60,0,'RFM input'!$V$7)),OFFSET('RFM input'!$H$411,$A549,0),0)))</f>
        <v>0</v>
      </c>
      <c r="O551" s="1417">
        <f ca="1">IF(LEFT(O$6,4)&lt;=LEFT('RFM input'!$G$60,4),"enter input",IF(LEFT(O$6,4)&gt;LEFT('RFM input'!$Q$60,4),0,
IF(O$6=(OFFSET('RFM input'!$G$60,0,'RFM input'!$V$7)),OFFSET('RFM input'!$H$411,$A549,0),0)))</f>
        <v>0</v>
      </c>
      <c r="P551" s="1417">
        <f ca="1">IF(LEFT(P$6,4)&lt;=LEFT('RFM input'!$G$60,4),"enter input",IF(LEFT(P$6,4)&gt;LEFT('RFM input'!$Q$60,4),0,
IF(P$6=(OFFSET('RFM input'!$G$60,0,'RFM input'!$V$7)),OFFSET('RFM input'!$H$411,$A549,0),0)))</f>
        <v>0</v>
      </c>
      <c r="Q551" s="1417">
        <f ca="1">IF(LEFT(Q$6,4)&lt;=LEFT('RFM input'!$G$60,4),"enter input",IF(LEFT(Q$6,4)&gt;LEFT('RFM input'!$Q$60,4),0,
IF(Q$6=(OFFSET('RFM input'!$G$60,0,'RFM input'!$V$7)),OFFSET('RFM input'!$H$411,$A549,0),0)))</f>
        <v>0</v>
      </c>
      <c r="R551" s="1417">
        <f ca="1">IF(LEFT(R$6,4)&lt;=LEFT('RFM input'!$G$60,4),"enter input",IF(LEFT(R$6,4)&gt;LEFT('RFM input'!$Q$60,4),0,
IF(R$6=(OFFSET('RFM input'!$G$60,0,'RFM input'!$V$7)),OFFSET('RFM input'!$H$411,$A549,0),0)))</f>
        <v>0</v>
      </c>
      <c r="S551" s="1417">
        <f ca="1">IF(LEFT(S$6,4)&lt;=LEFT('RFM input'!$G$60,4),"enter input",IF(LEFT(S$6,4)&gt;LEFT('RFM input'!$Q$60,4),0,
IF(S$6=(OFFSET('RFM input'!$G$60,0,'RFM input'!$V$7)),OFFSET('RFM input'!$H$411,$A549,0),0)))</f>
        <v>0</v>
      </c>
      <c r="T551" s="1417">
        <f ca="1">IF(LEFT(T$6,4)&lt;=LEFT('RFM input'!$G$60,4),"enter input",IF(LEFT(T$6,4)&gt;LEFT('RFM input'!$Q$60,4),0,
IF(T$6=(OFFSET('RFM input'!$G$60,0,'RFM input'!$V$7)),OFFSET('RFM input'!$H$411,$A549,0),0)))</f>
        <v>0</v>
      </c>
      <c r="U551" s="1417">
        <f ca="1">IF(LEFT(U$6,4)&lt;=LEFT('RFM input'!$G$60,4),"enter input",IF(LEFT(U$6,4)&gt;LEFT('RFM input'!$Q$60,4),0,
IF(U$6=(OFFSET('RFM input'!$G$60,0,'RFM input'!$V$7)),OFFSET('RFM input'!$H$411,$A549,0),0)))</f>
        <v>0</v>
      </c>
      <c r="V551" s="1417">
        <f ca="1">IF(LEFT(V$6,4)&lt;=LEFT('RFM input'!$G$60,4),"enter input",IF(LEFT(V$6,4)&gt;LEFT('RFM input'!$Q$60,4),0,
IF(V$6=(OFFSET('RFM input'!$G$60,0,'RFM input'!$V$7)),OFFSET('RFM input'!$H$411,$A549,0),0)))</f>
        <v>0</v>
      </c>
      <c r="W551" s="1417">
        <f ca="1">IF(LEFT(W$6,4)&lt;=LEFT('RFM input'!$G$60,4),"enter input",IF(LEFT(W$6,4)&gt;LEFT('RFM input'!$Q$60,4),0,
IF(W$6=(OFFSET('RFM input'!$G$60,0,'RFM input'!$V$7)),OFFSET('RFM input'!$H$411,$A549,0),0)))</f>
        <v>0</v>
      </c>
      <c r="X551" s="152"/>
      <c r="Y551" s="152"/>
      <c r="Z551" s="152"/>
      <c r="AA551" s="152"/>
      <c r="AB551" s="152"/>
    </row>
    <row r="552" spans="1:28">
      <c r="A552" s="242"/>
      <c r="B552" s="193" t="s">
        <v>200</v>
      </c>
      <c r="C552" s="1419"/>
      <c r="D552" s="1418">
        <f ca="1">IF(LEFT(D$6,4)&lt;=LEFT('RFM input'!$G$60,4),"enter input",IF(LEFT(D$6,4)&gt;LEFT('RFM input'!$Q$60,4),0,
IF(D$6=(OFFSET('RFM input'!$G$60,0,'RFM input'!$V$7)),OFFSET('RFM input'!$J$411,$A549,0),0)))</f>
        <v>0</v>
      </c>
      <c r="E552" s="1422">
        <f ca="1">IF(LEFT(E$6,4)&lt;=LEFT('RFM input'!$G$60,4),"enter input",IF(LEFT(E$6,4)&gt;LEFT('RFM input'!$Q$60,4),0,
IF(E$6=(OFFSET('RFM input'!$G$60,0,'RFM input'!$V$7)),OFFSET('RFM input'!$J$411,$A549,0),0)))</f>
        <v>0</v>
      </c>
      <c r="F552" s="1422">
        <f ca="1">IF(LEFT(F$6,4)&lt;=LEFT('RFM input'!$G$60,4),"enter input",IF(LEFT(F$6,4)&gt;LEFT('RFM input'!$Q$60,4),0,
IF(F$6=(OFFSET('RFM input'!$G$60,0,'RFM input'!$V$7)),OFFSET('RFM input'!$J$411,$A549,0),0)))</f>
        <v>0</v>
      </c>
      <c r="G552" s="1422">
        <f ca="1">IF(LEFT(G$6,4)&lt;=LEFT('RFM input'!$G$60,4),"enter input",IF(LEFT(G$6,4)&gt;LEFT('RFM input'!$Q$60,4),0,
IF(G$6=(OFFSET('RFM input'!$G$60,0,'RFM input'!$V$7)),OFFSET('RFM input'!$J$411,$A549,0),0)))</f>
        <v>0</v>
      </c>
      <c r="H552" s="1422">
        <f ca="1">IF(LEFT(H$6,4)&lt;=LEFT('RFM input'!$G$60,4),"enter input",IF(LEFT(H$6,4)&gt;LEFT('RFM input'!$Q$60,4),0,
IF(H$6=(OFFSET('RFM input'!$G$60,0,'RFM input'!$V$7)),OFFSET('RFM input'!$J$411,$A549,0),0)))</f>
        <v>0</v>
      </c>
      <c r="I552" s="1422">
        <f ca="1">IF(LEFT(I$6,4)&lt;=LEFT('RFM input'!$G$60,4),"enter input",IF(LEFT(I$6,4)&gt;LEFT('RFM input'!$Q$60,4),0,
IF(I$6=(OFFSET('RFM input'!$G$60,0,'RFM input'!$V$7)),OFFSET('RFM input'!$J$411,$A549,0),0)))</f>
        <v>0</v>
      </c>
      <c r="J552" s="1422">
        <f ca="1">IF(LEFT(J$6,4)&lt;=LEFT('RFM input'!$G$60,4),"enter input",IF(LEFT(J$6,4)&gt;LEFT('RFM input'!$Q$60,4),0,
IF(J$6=(OFFSET('RFM input'!$G$60,0,'RFM input'!$V$7)),OFFSET('RFM input'!$J$411,$A549,0),0)))</f>
        <v>0</v>
      </c>
      <c r="K552" s="1422">
        <f ca="1">IF(LEFT(K$6,4)&lt;=LEFT('RFM input'!$G$60,4),"enter input",IF(LEFT(K$6,4)&gt;LEFT('RFM input'!$Q$60,4),0,
IF(K$6=(OFFSET('RFM input'!$G$60,0,'RFM input'!$V$7)),OFFSET('RFM input'!$J$411,$A549,0),0)))</f>
        <v>0</v>
      </c>
      <c r="L552" s="1422">
        <f ca="1">IF(LEFT(L$6,4)&lt;=LEFT('RFM input'!$G$60,4),"enter input",IF(LEFT(L$6,4)&gt;LEFT('RFM input'!$Q$60,4),0,
IF(L$6=(OFFSET('RFM input'!$G$60,0,'RFM input'!$V$7)),OFFSET('RFM input'!$J$411,$A549,0),0)))</f>
        <v>0</v>
      </c>
      <c r="M552" s="1422">
        <f ca="1">IF(LEFT(M$6,4)&lt;=LEFT('RFM input'!$G$60,4),"enter input",IF(LEFT(M$6,4)&gt;LEFT('RFM input'!$Q$60,4),0,
IF(M$6=(OFFSET('RFM input'!$G$60,0,'RFM input'!$V$7)),OFFSET('RFM input'!$J$411,$A549,0),0)))</f>
        <v>0</v>
      </c>
      <c r="N552" s="1422">
        <f ca="1">IF(LEFT(N$6,4)&lt;=LEFT('RFM input'!$G$60,4),"enter input",IF(LEFT(N$6,4)&gt;LEFT('RFM input'!$Q$60,4),0,
IF(N$6=(OFFSET('RFM input'!$G$60,0,'RFM input'!$V$7)),OFFSET('RFM input'!$J$411,$A549,0),0)))</f>
        <v>0</v>
      </c>
      <c r="O552" s="1422">
        <f ca="1">IF(LEFT(O$6,4)&lt;=LEFT('RFM input'!$G$60,4),"enter input",IF(LEFT(O$6,4)&gt;LEFT('RFM input'!$Q$60,4),0,
IF(O$6=(OFFSET('RFM input'!$G$60,0,'RFM input'!$V$7)),OFFSET('RFM input'!$J$411,$A549,0),0)))</f>
        <v>0</v>
      </c>
      <c r="P552" s="1422">
        <f ca="1">IF(LEFT(P$6,4)&lt;=LEFT('RFM input'!$G$60,4),"enter input",IF(LEFT(P$6,4)&gt;LEFT('RFM input'!$Q$60,4),0,
IF(P$6=(OFFSET('RFM input'!$G$60,0,'RFM input'!$V$7)),OFFSET('RFM input'!$J$411,$A549,0),0)))</f>
        <v>0</v>
      </c>
      <c r="Q552" s="1422">
        <f ca="1">IF(LEFT(Q$6,4)&lt;=LEFT('RFM input'!$G$60,4),"enter input",IF(LEFT(Q$6,4)&gt;LEFT('RFM input'!$Q$60,4),0,
IF(Q$6=(OFFSET('RFM input'!$G$60,0,'RFM input'!$V$7)),OFFSET('RFM input'!$J$411,$A549,0),0)))</f>
        <v>0</v>
      </c>
      <c r="R552" s="1422">
        <f ca="1">IF(LEFT(R$6,4)&lt;=LEFT('RFM input'!$G$60,4),"enter input",IF(LEFT(R$6,4)&gt;LEFT('RFM input'!$Q$60,4),0,
IF(R$6=(OFFSET('RFM input'!$G$60,0,'RFM input'!$V$7)),OFFSET('RFM input'!$J$411,$A549,0),0)))</f>
        <v>0</v>
      </c>
      <c r="S552" s="1422">
        <f ca="1">IF(LEFT(S$6,4)&lt;=LEFT('RFM input'!$G$60,4),"enter input",IF(LEFT(S$6,4)&gt;LEFT('RFM input'!$Q$60,4),0,
IF(S$6=(OFFSET('RFM input'!$G$60,0,'RFM input'!$V$7)),OFFSET('RFM input'!$J$411,$A549,0),0)))</f>
        <v>0</v>
      </c>
      <c r="T552" s="1422">
        <f ca="1">IF(LEFT(T$6,4)&lt;=LEFT('RFM input'!$G$60,4),"enter input",IF(LEFT(T$6,4)&gt;LEFT('RFM input'!$Q$60,4),0,
IF(T$6=(OFFSET('RFM input'!$G$60,0,'RFM input'!$V$7)),OFFSET('RFM input'!$J$411,$A549,0),0)))</f>
        <v>0</v>
      </c>
      <c r="U552" s="1422">
        <f ca="1">IF(LEFT(U$6,4)&lt;=LEFT('RFM input'!$G$60,4),"enter input",IF(LEFT(U$6,4)&gt;LEFT('RFM input'!$Q$60,4),0,
IF(U$6=(OFFSET('RFM input'!$G$60,0,'RFM input'!$V$7)),OFFSET('RFM input'!$J$411,$A549,0),0)))</f>
        <v>0</v>
      </c>
      <c r="V552" s="1422">
        <f ca="1">IF(LEFT(V$6,4)&lt;=LEFT('RFM input'!$G$60,4),"enter input",IF(LEFT(V$6,4)&gt;LEFT('RFM input'!$Q$60,4),0,
IF(V$6=(OFFSET('RFM input'!$G$60,0,'RFM input'!$V$7)),OFFSET('RFM input'!$J$411,$A549,0),0)))</f>
        <v>0</v>
      </c>
      <c r="W552" s="1422">
        <f ca="1">IF(LEFT(W$6,4)&lt;=LEFT('RFM input'!$G$60,4),"enter input",IF(LEFT(W$6,4)&gt;LEFT('RFM input'!$Q$60,4),0,
IF(W$6=(OFFSET('RFM input'!$G$60,0,'RFM input'!$V$7)),OFFSET('RFM input'!$J$411,$A549,0),0)))</f>
        <v>0</v>
      </c>
      <c r="X552" s="152"/>
      <c r="Y552" s="152"/>
      <c r="Z552" s="152"/>
      <c r="AA552" s="152"/>
      <c r="AB552" s="152"/>
    </row>
    <row r="553" spans="1:28" hidden="1" outlineLevel="1">
      <c r="A553" s="235">
        <v>-1</v>
      </c>
      <c r="B553" s="190" t="s">
        <v>195</v>
      </c>
      <c r="C553" s="1423"/>
      <c r="D553" s="1423">
        <f t="shared" ref="D553" ca="1" si="752">IF(AND(D551=0,C553=0),0,
IF(AND(D551&lt;&gt;0,C553=0),D551,
IF(AND(D552&lt;&gt;0,C553&lt;&gt;0),(C553-(C553/C577))+D551,
IF(C577&lt;1,0,(C553-(C553/C577))))))</f>
        <v>0</v>
      </c>
      <c r="E553" s="1423">
        <f t="shared" ref="E553" ca="1" si="753">IF(AND(E551=0,D553=0),0,
IF(AND(E551&lt;&gt;0,D553=0),E551,
IF(AND(E552&lt;&gt;0,D553&lt;&gt;0),(D553-(D553/D577))+E551,
IF(D577&lt;1,0,(D553-(D553/D577))))))</f>
        <v>0</v>
      </c>
      <c r="F553" s="1423">
        <f t="shared" ref="F553" ca="1" si="754">IF(AND(F551=0,E553=0),0,
IF(AND(F551&lt;&gt;0,E553=0),F551,
IF(AND(F552&lt;&gt;0,E553&lt;&gt;0),(E553-(E553/E577))+F551,
IF(E577&lt;1,0,(E553-(E553/E577))))))</f>
        <v>0</v>
      </c>
      <c r="G553" s="1423">
        <f t="shared" ref="G553" ca="1" si="755">IF(AND(G551=0,F553=0),0,
IF(AND(G551&lt;&gt;0,F553=0),G551,
IF(AND(G552&lt;&gt;0,F553&lt;&gt;0),(F553-(F553/F577))+G551,
IF(F577&lt;1,0,(F553-(F553/F577))))))</f>
        <v>0</v>
      </c>
      <c r="H553" s="1423">
        <f ca="1">IF(AND(H551=0,G553=0),0,
IF(AND(H551&lt;&gt;0,G553=0),H551,
IF(AND(H552&lt;&gt;0,G553&lt;&gt;0),(G553-(G553/G577))+H551,
IF(G577&lt;1,0,(G553-(G553/G577))))))</f>
        <v>0</v>
      </c>
      <c r="I553" s="1423">
        <f t="shared" ref="I553" ca="1" si="756">IF(AND(I551=0,H553=0),0,
IF(AND(I551&lt;&gt;0,H553=0),I551,
IF(AND(I552&lt;&gt;0,H553&lt;&gt;0),(H553-(H553/H577))+I551,
IF(H577&lt;1,0,(H553-(H553/H577))))))</f>
        <v>0</v>
      </c>
      <c r="J553" s="1423">
        <f t="shared" ref="J553" ca="1" si="757">IF(AND(J551=0,I553=0),0,
IF(AND(J551&lt;&gt;0,I553=0),J551,
IF(AND(J552&lt;&gt;0,I553&lt;&gt;0),(I553-(I553/I577))+J551,
IF(I577&lt;1,0,(I553-(I553/I577))))))</f>
        <v>0</v>
      </c>
      <c r="K553" s="1423">
        <f t="shared" ref="K553" ca="1" si="758">IF(AND(K551=0,J553=0),0,
IF(AND(K551&lt;&gt;0,J553=0),K551,
IF(AND(K552&lt;&gt;0,J553&lt;&gt;0),(J553-(J553/J577))+K551,
IF(J577&lt;1,0,(J553-(J553/J577))))))</f>
        <v>0</v>
      </c>
      <c r="L553" s="1423">
        <f t="shared" ref="L553" ca="1" si="759">IF(AND(L551=0,K553=0),0,
IF(AND(L551&lt;&gt;0,K553=0),L551,
IF(AND(L552&lt;&gt;0,K553&lt;&gt;0),(K553-(K553/K577))+L551,
IF(K577&lt;1,0,(K553-(K553/K577))))))</f>
        <v>0</v>
      </c>
      <c r="M553" s="1423">
        <f t="shared" ref="M553" ca="1" si="760">IF(AND(M551=0,L553=0),0,
IF(AND(M551&lt;&gt;0,L553=0),M551,
IF(AND(M552&lt;&gt;0,L553&lt;&gt;0),(L553-(L553/L577))+M551,
IF(L577&lt;1,0,(L553-(L553/L577))))))</f>
        <v>0</v>
      </c>
      <c r="N553" s="1423">
        <f t="shared" ref="N553" ca="1" si="761">IF(AND(N551=0,M553=0),0,
IF(AND(N551&lt;&gt;0,M553=0),N551,
IF(AND(N552&lt;&gt;0,M553&lt;&gt;0),(M553-(M553/M577))+N551,
IF(M577&lt;1,0,(M553-(M553/M577))))))</f>
        <v>0</v>
      </c>
      <c r="O553" s="1423">
        <f t="shared" ref="O553" ca="1" si="762">IF(AND(O551=0,N553=0),0,
IF(AND(O551&lt;&gt;0,N553=0),O551,
IF(AND(O552&lt;&gt;0,N553&lt;&gt;0),(N553-(N553/N577))+O551,
IF(N577&lt;1,0,(N553-(N553/N577))))))</f>
        <v>0</v>
      </c>
      <c r="P553" s="1423">
        <f t="shared" ref="P553" ca="1" si="763">IF(AND(P551=0,O553=0),0,
IF(AND(P551&lt;&gt;0,O553=0),P551,
IF(AND(P552&lt;&gt;0,O553&lt;&gt;0),(O553-(O553/O577))+P551,
IF(O577&lt;1,0,(O553-(O553/O577))))))</f>
        <v>0</v>
      </c>
      <c r="Q553" s="1423">
        <f t="shared" ref="Q553" ca="1" si="764">IF(AND(Q551=0,P553=0),0,
IF(AND(Q551&lt;&gt;0,P553=0),Q551,
IF(AND(Q552&lt;&gt;0,P553&lt;&gt;0),(P553-(P553/P577))+Q551,
IF(P577&lt;1,0,(P553-(P553/P577))))))</f>
        <v>0</v>
      </c>
      <c r="R553" s="1423">
        <f t="shared" ref="R553" ca="1" si="765">IF(AND(R551=0,Q553=0),0,
IF(AND(R551&lt;&gt;0,Q553=0),R551,
IF(AND(R552&lt;&gt;0,Q553&lt;&gt;0),(Q553-(Q553/Q577))+R551,
IF(Q577&lt;1,0,(Q553-(Q553/Q577))))))</f>
        <v>0</v>
      </c>
      <c r="S553" s="1423">
        <f t="shared" ref="S553" ca="1" si="766">IF(AND(S551=0,R553=0),0,
IF(AND(S551&lt;&gt;0,R553=0),S551,
IF(AND(S552&lt;&gt;0,R553&lt;&gt;0),(R553-(R553/R577))+S551,
IF(R577&lt;1,0,(R553-(R553/R577))))))</f>
        <v>0</v>
      </c>
      <c r="T553" s="1423">
        <f t="shared" ref="T553" ca="1" si="767">IF(AND(T551=0,S553=0),0,
IF(AND(T551&lt;&gt;0,S553=0),T551,
IF(AND(T552&lt;&gt;0,S553&lt;&gt;0),(S553-(S553/S577))+T551,
IF(S577&lt;1,0,(S553-(S553/S577))))))</f>
        <v>0</v>
      </c>
      <c r="U553" s="1423">
        <f t="shared" ref="U553" ca="1" si="768">IF(AND(U551=0,T553=0),0,
IF(AND(U551&lt;&gt;0,T553=0),U551,
IF(AND(U552&lt;&gt;0,T553&lt;&gt;0),(T553-(T553/T577))+U551,
IF(T577&lt;1,0,(T553-(T553/T577))))))</f>
        <v>0</v>
      </c>
      <c r="V553" s="1423">
        <f t="shared" ref="V553" ca="1" si="769">IF(AND(V551=0,U553=0),0,
IF(AND(V551&lt;&gt;0,U553=0),V551,
IF(AND(V552&lt;&gt;0,U553&lt;&gt;0),(U553-(U553/U577))+V551,
IF(U577&lt;1,0,(U553-(U553/U577))))))</f>
        <v>0</v>
      </c>
      <c r="W553" s="1423">
        <f t="shared" ref="W553" ca="1" si="770">IF(AND(W551=0,V553=0),0,
IF(AND(W551&lt;&gt;0,V553=0),W551,
IF(AND(W552&lt;&gt;0,V553&lt;&gt;0),(V553-(V553/V577))+W551,
IF(V577&lt;1,0,(V553-(V553/V577))))))</f>
        <v>0</v>
      </c>
      <c r="X553" s="152"/>
      <c r="Y553" s="152"/>
      <c r="Z553" s="152"/>
      <c r="AA553" s="152"/>
      <c r="AB553" s="152"/>
    </row>
    <row r="554" spans="1:28" hidden="1" outlineLevel="1">
      <c r="A554" s="199">
        <f>A553+1</f>
        <v>0</v>
      </c>
      <c r="B554" s="190" t="s">
        <v>527</v>
      </c>
      <c r="C554" s="1423">
        <f ca="1">C549</f>
        <v>0</v>
      </c>
      <c r="D554" s="1423">
        <f ca="1">IF(C578="n/a",C554,IFERROR(IF((OFFSET($C554,0,$A554))&lt;0,
MIN(0,C554-(OFFSET($C554,0,$A554)/(OFFSET($C549,-$A553,$A554)))),
MAX(0,C554-(OFFSET($C554,0,$A554)/(OFFSET($C549,-$A553,$A554))))),0))</f>
        <v>0</v>
      </c>
      <c r="E554" s="1423">
        <f t="shared" ref="E554" ca="1" si="771">IF(D578="n/a",D554,IFERROR(IF((OFFSET($C554,0,$A554))&lt;0,
MIN(0,D554-(OFFSET($C554,0,$A554)/(OFFSET($C549,-$A553,$A554)))),
MAX(0,D554-(OFFSET($C554,0,$A554)/(OFFSET($C549,-$A553,$A554))))),0))</f>
        <v>0</v>
      </c>
      <c r="F554" s="1423">
        <f t="shared" ref="F554:F555" ca="1" si="772">IF(E578="n/a",E554,IFERROR(IF((OFFSET($C554,0,$A554))&lt;0,
MIN(0,E554-(OFFSET($C554,0,$A554)/(OFFSET($C549,-$A553,$A554)))),
MAX(0,E554-(OFFSET($C554,0,$A554)/(OFFSET($C549,-$A553,$A554))))),0))</f>
        <v>0</v>
      </c>
      <c r="G554" s="1423">
        <f t="shared" ref="G554:G556" ca="1" si="773">IF(F578="n/a",F554,IFERROR(IF((OFFSET($C554,0,$A554))&lt;0,
MIN(0,F554-(OFFSET($C554,0,$A554)/(OFFSET($C549,-$A553,$A554)))),
MAX(0,F554-(OFFSET($C554,0,$A554)/(OFFSET($C549,-$A553,$A554))))),0))</f>
        <v>0</v>
      </c>
      <c r="H554" s="1423">
        <f t="shared" ref="H554:H557" ca="1" si="774">IF(G578="n/a",G554,IFERROR(IF((OFFSET($C554,0,$A554))&lt;0,
MIN(0,G554-(OFFSET($C554,0,$A554)/(OFFSET($C549,-$A553,$A554)))),
MAX(0,G554-(OFFSET($C554,0,$A554)/(OFFSET($C549,-$A553,$A554))))),0))</f>
        <v>0</v>
      </c>
      <c r="I554" s="1423">
        <f t="shared" ref="I554:I558" ca="1" si="775">IF(H578="n/a",H554,IFERROR(IF((OFFSET($C554,0,$A554))&lt;0,
MIN(0,H554-(OFFSET($C554,0,$A554)/(OFFSET($C549,-$A553,$A554)))),
MAX(0,H554-(OFFSET($C554,0,$A554)/(OFFSET($C549,-$A553,$A554))))),0))</f>
        <v>0</v>
      </c>
      <c r="J554" s="1423">
        <f t="shared" ref="J554:J559" ca="1" si="776">IF(I578="n/a",I554,IFERROR(IF((OFFSET($C554,0,$A554))&lt;0,
MIN(0,I554-(OFFSET($C554,0,$A554)/(OFFSET($C549,-$A553,$A554)))),
MAX(0,I554-(OFFSET($C554,0,$A554)/(OFFSET($C549,-$A553,$A554))))),0))</f>
        <v>0</v>
      </c>
      <c r="K554" s="1423">
        <f t="shared" ref="K554:K560" ca="1" si="777">IF(J578="n/a",J554,IFERROR(IF((OFFSET($C554,0,$A554))&lt;0,
MIN(0,J554-(OFFSET($C554,0,$A554)/(OFFSET($C549,-$A553,$A554)))),
MAX(0,J554-(OFFSET($C554,0,$A554)/(OFFSET($C549,-$A553,$A554))))),0))</f>
        <v>0</v>
      </c>
      <c r="L554" s="1423">
        <f t="shared" ref="L554:L561" ca="1" si="778">IF(K578="n/a",K554,IFERROR(IF((OFFSET($C554,0,$A554))&lt;0,
MIN(0,K554-(OFFSET($C554,0,$A554)/(OFFSET($C549,-$A553,$A554)))),
MAX(0,K554-(OFFSET($C554,0,$A554)/(OFFSET($C549,-$A553,$A554))))),0))</f>
        <v>0</v>
      </c>
      <c r="M554" s="1423">
        <f t="shared" ref="M554:M562" ca="1" si="779">IF(L578="n/a",L554,IFERROR(IF((OFFSET($C554,0,$A554))&lt;0,
MIN(0,L554-(OFFSET($C554,0,$A554)/(OFFSET($C549,-$A553,$A554)))),
MAX(0,L554-(OFFSET($C554,0,$A554)/(OFFSET($C549,-$A553,$A554))))),0))</f>
        <v>0</v>
      </c>
      <c r="N554" s="1423">
        <f t="shared" ref="N554:N563" ca="1" si="780">IF(M578="n/a",M554,IFERROR(IF((OFFSET($C554,0,$A554))&lt;0,
MIN(0,M554-(OFFSET($C554,0,$A554)/(OFFSET($C549,-$A553,$A554)))),
MAX(0,M554-(OFFSET($C554,0,$A554)/(OFFSET($C549,-$A553,$A554))))),0))</f>
        <v>0</v>
      </c>
      <c r="O554" s="1423">
        <f t="shared" ref="O554:O564" ca="1" si="781">IF(N578="n/a",N554,IFERROR(IF((OFFSET($C554,0,$A554))&lt;0,
MIN(0,N554-(OFFSET($C554,0,$A554)/(OFFSET($C549,-$A553,$A554)))),
MAX(0,N554-(OFFSET($C554,0,$A554)/(OFFSET($C549,-$A553,$A554))))),0))</f>
        <v>0</v>
      </c>
      <c r="P554" s="1423">
        <f t="shared" ref="P554:P565" ca="1" si="782">IF(O578="n/a",O554,IFERROR(IF((OFFSET($C554,0,$A554))&lt;0,
MIN(0,O554-(OFFSET($C554,0,$A554)/(OFFSET($C549,-$A553,$A554)))),
MAX(0,O554-(OFFSET($C554,0,$A554)/(OFFSET($C549,-$A553,$A554))))),0))</f>
        <v>0</v>
      </c>
      <c r="Q554" s="1423">
        <f t="shared" ref="Q554:Q566" ca="1" si="783">IF(P578="n/a",P554,IFERROR(IF((OFFSET($C554,0,$A554))&lt;0,
MIN(0,P554-(OFFSET($C554,0,$A554)/(OFFSET($C549,-$A553,$A554)))),
MAX(0,P554-(OFFSET($C554,0,$A554)/(OFFSET($C549,-$A553,$A554))))),0))</f>
        <v>0</v>
      </c>
      <c r="R554" s="1423">
        <f t="shared" ref="R554:R567" ca="1" si="784">IF(Q578="n/a",Q554,IFERROR(IF((OFFSET($C554,0,$A554))&lt;0,
MIN(0,Q554-(OFFSET($C554,0,$A554)/(OFFSET($C549,-$A553,$A554)))),
MAX(0,Q554-(OFFSET($C554,0,$A554)/(OFFSET($C549,-$A553,$A554))))),0))</f>
        <v>0</v>
      </c>
      <c r="S554" s="1423">
        <f t="shared" ref="S554:S568" ca="1" si="785">IF(R578="n/a",R554,IFERROR(IF((OFFSET($C554,0,$A554))&lt;0,
MIN(0,R554-(OFFSET($C554,0,$A554)/(OFFSET($C549,-$A553,$A554)))),
MAX(0,R554-(OFFSET($C554,0,$A554)/(OFFSET($C549,-$A553,$A554))))),0))</f>
        <v>0</v>
      </c>
      <c r="T554" s="1423">
        <f t="shared" ref="T554:T569" ca="1" si="786">IF(S578="n/a",S554,IFERROR(IF((OFFSET($C554,0,$A554))&lt;0,
MIN(0,S554-(OFFSET($C554,0,$A554)/(OFFSET($C549,-$A553,$A554)))),
MAX(0,S554-(OFFSET($C554,0,$A554)/(OFFSET($C549,-$A553,$A554))))),0))</f>
        <v>0</v>
      </c>
      <c r="U554" s="1423">
        <f t="shared" ref="U554:U570" ca="1" si="787">IF(T578="n/a",T554,IFERROR(IF((OFFSET($C554,0,$A554))&lt;0,
MIN(0,T554-(OFFSET($C554,0,$A554)/(OFFSET($C549,-$A553,$A554)))),
MAX(0,T554-(OFFSET($C554,0,$A554)/(OFFSET($C549,-$A553,$A554))))),0))</f>
        <v>0</v>
      </c>
      <c r="V554" s="1423">
        <f t="shared" ref="V554:V571" ca="1" si="788">IF(U578="n/a",U554,IFERROR(IF((OFFSET($C554,0,$A554))&lt;0,
MIN(0,U554-(OFFSET($C554,0,$A554)/(OFFSET($C549,-$A553,$A554)))),
MAX(0,U554-(OFFSET($C554,0,$A554)/(OFFSET($C549,-$A553,$A554))))),0))</f>
        <v>0</v>
      </c>
      <c r="W554" s="1423">
        <f t="shared" ref="W554:W572" ca="1" si="789">IF(V578="n/a",V554,IFERROR(IF((OFFSET($C554,0,$A554))&lt;0,
MIN(0,V554-(OFFSET($C554,0,$A554)/(OFFSET($C549,-$A553,$A554)))),
MAX(0,V554-(OFFSET($C554,0,$A554)/(OFFSET($C549,-$A553,$A554))))),0))</f>
        <v>0</v>
      </c>
      <c r="X554" s="152"/>
      <c r="Y554" s="152"/>
      <c r="Z554" s="152"/>
      <c r="AA554" s="152"/>
      <c r="AB554" s="152"/>
    </row>
    <row r="555" spans="1:28" hidden="1" outlineLevel="1">
      <c r="A555" s="199">
        <f t="shared" ref="A555:A574" si="790">A554+1</f>
        <v>1</v>
      </c>
      <c r="B555" s="190" t="str">
        <f t="shared" ref="B555:B574" ca="1" si="791">"Depreciated Net Capex "&amp;OFFSET($C$6,0,A555)</f>
        <v>Depreciated Net Capex 2016-17</v>
      </c>
      <c r="C555" s="1424"/>
      <c r="D555" s="1425">
        <f>D549</f>
        <v>0</v>
      </c>
      <c r="E555" s="1423">
        <f ca="1">IF(D579="n/a",D555,IFERROR(IF((OFFSET($C555,0,$A555))&lt;0,
MIN(0,D555-(OFFSET($C555,0,$A555)/(OFFSET($C550,-$A554,$A555)))),
MAX(0,D555-(OFFSET($C555,0,$A555)/(OFFSET($C550,-$A554,$A555))))),0))</f>
        <v>0</v>
      </c>
      <c r="F555" s="1423">
        <f t="shared" ca="1" si="772"/>
        <v>0</v>
      </c>
      <c r="G555" s="1423">
        <f t="shared" ca="1" si="773"/>
        <v>0</v>
      </c>
      <c r="H555" s="1423">
        <f t="shared" ca="1" si="774"/>
        <v>0</v>
      </c>
      <c r="I555" s="1423">
        <f t="shared" ca="1" si="775"/>
        <v>0</v>
      </c>
      <c r="J555" s="1423">
        <f t="shared" ca="1" si="776"/>
        <v>0</v>
      </c>
      <c r="K555" s="1423">
        <f t="shared" ca="1" si="777"/>
        <v>0</v>
      </c>
      <c r="L555" s="1423">
        <f t="shared" ca="1" si="778"/>
        <v>0</v>
      </c>
      <c r="M555" s="1423">
        <f t="shared" ca="1" si="779"/>
        <v>0</v>
      </c>
      <c r="N555" s="1423">
        <f t="shared" ca="1" si="780"/>
        <v>0</v>
      </c>
      <c r="O555" s="1423">
        <f t="shared" ca="1" si="781"/>
        <v>0</v>
      </c>
      <c r="P555" s="1423">
        <f t="shared" ca="1" si="782"/>
        <v>0</v>
      </c>
      <c r="Q555" s="1423">
        <f t="shared" ca="1" si="783"/>
        <v>0</v>
      </c>
      <c r="R555" s="1423">
        <f t="shared" ca="1" si="784"/>
        <v>0</v>
      </c>
      <c r="S555" s="1423">
        <f t="shared" ca="1" si="785"/>
        <v>0</v>
      </c>
      <c r="T555" s="1423">
        <f t="shared" ca="1" si="786"/>
        <v>0</v>
      </c>
      <c r="U555" s="1423">
        <f t="shared" ca="1" si="787"/>
        <v>0</v>
      </c>
      <c r="V555" s="1423">
        <f t="shared" ca="1" si="788"/>
        <v>0</v>
      </c>
      <c r="W555" s="1423">
        <f t="shared" ca="1" si="789"/>
        <v>0</v>
      </c>
      <c r="X555" s="152"/>
      <c r="Y555" s="152"/>
      <c r="Z555" s="152"/>
      <c r="AA555" s="152"/>
      <c r="AB555" s="152"/>
    </row>
    <row r="556" spans="1:28" hidden="1" outlineLevel="1">
      <c r="A556" s="199">
        <f t="shared" si="790"/>
        <v>2</v>
      </c>
      <c r="B556" s="190" t="str">
        <f t="shared" ca="1" si="791"/>
        <v>Depreciated Net Capex 2017-18</v>
      </c>
      <c r="C556" s="1426"/>
      <c r="D556" s="1427"/>
      <c r="E556" s="1425">
        <f>E549</f>
        <v>0</v>
      </c>
      <c r="F556" s="1423">
        <f ca="1">IF(E580="n/a",E556,IFERROR(IF((OFFSET($C556,0,$A556))&lt;0,
MIN(0,E556-(OFFSET($C556,0,$A556)/(OFFSET($C551,-$A555,$A556)))),
MAX(0,E556-(OFFSET($C556,0,$A556)/(OFFSET($C551,-$A555,$A556))))),0))</f>
        <v>0</v>
      </c>
      <c r="G556" s="1423">
        <f t="shared" ca="1" si="773"/>
        <v>0</v>
      </c>
      <c r="H556" s="1423">
        <f t="shared" ca="1" si="774"/>
        <v>0</v>
      </c>
      <c r="I556" s="1423">
        <f t="shared" ca="1" si="775"/>
        <v>0</v>
      </c>
      <c r="J556" s="1423">
        <f t="shared" ca="1" si="776"/>
        <v>0</v>
      </c>
      <c r="K556" s="1423">
        <f t="shared" ca="1" si="777"/>
        <v>0</v>
      </c>
      <c r="L556" s="1423">
        <f t="shared" ca="1" si="778"/>
        <v>0</v>
      </c>
      <c r="M556" s="1423">
        <f t="shared" ca="1" si="779"/>
        <v>0</v>
      </c>
      <c r="N556" s="1423">
        <f t="shared" ca="1" si="780"/>
        <v>0</v>
      </c>
      <c r="O556" s="1423">
        <f t="shared" ca="1" si="781"/>
        <v>0</v>
      </c>
      <c r="P556" s="1423">
        <f t="shared" ca="1" si="782"/>
        <v>0</v>
      </c>
      <c r="Q556" s="1423">
        <f t="shared" ca="1" si="783"/>
        <v>0</v>
      </c>
      <c r="R556" s="1423">
        <f t="shared" ca="1" si="784"/>
        <v>0</v>
      </c>
      <c r="S556" s="1423">
        <f t="shared" ca="1" si="785"/>
        <v>0</v>
      </c>
      <c r="T556" s="1423">
        <f t="shared" ca="1" si="786"/>
        <v>0</v>
      </c>
      <c r="U556" s="1423">
        <f t="shared" ca="1" si="787"/>
        <v>0</v>
      </c>
      <c r="V556" s="1423">
        <f t="shared" ca="1" si="788"/>
        <v>0</v>
      </c>
      <c r="W556" s="1423">
        <f t="shared" ca="1" si="789"/>
        <v>0</v>
      </c>
      <c r="X556" s="202"/>
      <c r="Y556" s="152"/>
      <c r="Z556" s="152"/>
      <c r="AA556" s="152"/>
      <c r="AB556" s="152"/>
    </row>
    <row r="557" spans="1:28" hidden="1" outlineLevel="1">
      <c r="A557" s="199">
        <f t="shared" si="790"/>
        <v>3</v>
      </c>
      <c r="B557" s="190" t="str">
        <f t="shared" ca="1" si="791"/>
        <v>Depreciated Net Capex 2018-19</v>
      </c>
      <c r="C557" s="1426"/>
      <c r="D557" s="1426"/>
      <c r="E557" s="1427"/>
      <c r="F557" s="1428">
        <f>F549</f>
        <v>0</v>
      </c>
      <c r="G557" s="1423">
        <f ca="1">IF(F581="n/a",F557,IFERROR(IF((OFFSET($C557,0,$A557))&lt;0,
MIN(0,F557-(OFFSET($C557,0,$A557)/(OFFSET($C552,-$A556,$A557)))),
MAX(0,F557-(OFFSET($C557,0,$A557)/(OFFSET($C552,-$A556,$A557))))),0))</f>
        <v>0</v>
      </c>
      <c r="H557" s="1423">
        <f t="shared" ca="1" si="774"/>
        <v>0</v>
      </c>
      <c r="I557" s="1423">
        <f t="shared" ca="1" si="775"/>
        <v>0</v>
      </c>
      <c r="J557" s="1423">
        <f t="shared" ca="1" si="776"/>
        <v>0</v>
      </c>
      <c r="K557" s="1423">
        <f t="shared" ca="1" si="777"/>
        <v>0</v>
      </c>
      <c r="L557" s="1423">
        <f t="shared" ca="1" si="778"/>
        <v>0</v>
      </c>
      <c r="M557" s="1423">
        <f t="shared" ca="1" si="779"/>
        <v>0</v>
      </c>
      <c r="N557" s="1423">
        <f t="shared" ca="1" si="780"/>
        <v>0</v>
      </c>
      <c r="O557" s="1423">
        <f t="shared" ca="1" si="781"/>
        <v>0</v>
      </c>
      <c r="P557" s="1423">
        <f t="shared" ca="1" si="782"/>
        <v>0</v>
      </c>
      <c r="Q557" s="1423">
        <f t="shared" ca="1" si="783"/>
        <v>0</v>
      </c>
      <c r="R557" s="1423">
        <f t="shared" ca="1" si="784"/>
        <v>0</v>
      </c>
      <c r="S557" s="1423">
        <f t="shared" ca="1" si="785"/>
        <v>0</v>
      </c>
      <c r="T557" s="1423">
        <f t="shared" ca="1" si="786"/>
        <v>0</v>
      </c>
      <c r="U557" s="1423">
        <f t="shared" ca="1" si="787"/>
        <v>0</v>
      </c>
      <c r="V557" s="1423">
        <f t="shared" ca="1" si="788"/>
        <v>0</v>
      </c>
      <c r="W557" s="1423">
        <f t="shared" ca="1" si="789"/>
        <v>0</v>
      </c>
      <c r="X557" s="202"/>
      <c r="Y557" s="202"/>
      <c r="Z557" s="152"/>
      <c r="AA557" s="152"/>
      <c r="AB557" s="152"/>
    </row>
    <row r="558" spans="1:28" hidden="1" outlineLevel="1">
      <c r="A558" s="199">
        <f t="shared" si="790"/>
        <v>4</v>
      </c>
      <c r="B558" s="190" t="str">
        <f t="shared" ca="1" si="791"/>
        <v>Depreciated Net Capex 2019-20</v>
      </c>
      <c r="C558" s="1426"/>
      <c r="D558" s="1426"/>
      <c r="E558" s="1426"/>
      <c r="F558" s="1427"/>
      <c r="G558" s="1428">
        <f>G549</f>
        <v>0</v>
      </c>
      <c r="H558" s="1423">
        <f ca="1">IF(G582="n/a",G558,IFERROR(IF((OFFSET($C558,0,$A558))&lt;0,
MIN(0,G558-(OFFSET($C558,0,$A558)/(OFFSET($C553,-$A557,$A558)))),
MAX(0,G558-(OFFSET($C558,0,$A558)/(OFFSET($C553,-$A557,$A558))))),0))</f>
        <v>0</v>
      </c>
      <c r="I558" s="1423">
        <f t="shared" ca="1" si="775"/>
        <v>0</v>
      </c>
      <c r="J558" s="1423">
        <f t="shared" ca="1" si="776"/>
        <v>0</v>
      </c>
      <c r="K558" s="1423">
        <f t="shared" ca="1" si="777"/>
        <v>0</v>
      </c>
      <c r="L558" s="1423">
        <f t="shared" ca="1" si="778"/>
        <v>0</v>
      </c>
      <c r="M558" s="1423">
        <f t="shared" ca="1" si="779"/>
        <v>0</v>
      </c>
      <c r="N558" s="1423">
        <f t="shared" ca="1" si="780"/>
        <v>0</v>
      </c>
      <c r="O558" s="1423">
        <f t="shared" ca="1" si="781"/>
        <v>0</v>
      </c>
      <c r="P558" s="1423">
        <f t="shared" ca="1" si="782"/>
        <v>0</v>
      </c>
      <c r="Q558" s="1423">
        <f t="shared" ca="1" si="783"/>
        <v>0</v>
      </c>
      <c r="R558" s="1423">
        <f t="shared" ca="1" si="784"/>
        <v>0</v>
      </c>
      <c r="S558" s="1423">
        <f t="shared" ca="1" si="785"/>
        <v>0</v>
      </c>
      <c r="T558" s="1423">
        <f t="shared" ca="1" si="786"/>
        <v>0</v>
      </c>
      <c r="U558" s="1423">
        <f t="shared" ca="1" si="787"/>
        <v>0</v>
      </c>
      <c r="V558" s="1423">
        <f t="shared" ca="1" si="788"/>
        <v>0</v>
      </c>
      <c r="W558" s="1423">
        <f t="shared" ca="1" si="789"/>
        <v>0</v>
      </c>
      <c r="X558" s="202"/>
      <c r="Y558" s="202"/>
      <c r="Z558" s="202"/>
      <c r="AA558" s="152"/>
      <c r="AB558" s="152"/>
    </row>
    <row r="559" spans="1:28" hidden="1" outlineLevel="1">
      <c r="A559" s="199">
        <f t="shared" si="790"/>
        <v>5</v>
      </c>
      <c r="B559" s="190" t="str">
        <f t="shared" ca="1" si="791"/>
        <v>Depreciated Net Capex 2020-21</v>
      </c>
      <c r="C559" s="1426"/>
      <c r="D559" s="1426"/>
      <c r="E559" s="1426"/>
      <c r="F559" s="1426"/>
      <c r="G559" s="1427"/>
      <c r="H559" s="1428">
        <f>H549</f>
        <v>0</v>
      </c>
      <c r="I559" s="1423">
        <f ca="1">IF(H583="n/a",H559,IFERROR(IF((OFFSET($C559,0,$A559))&lt;0,
MIN(0,H559-(OFFSET($C559,0,$A559)/(OFFSET($C554,-$A558,$A559)))),
MAX(0,H559-(OFFSET($C559,0,$A559)/(OFFSET($C554,-$A558,$A559))))),0))</f>
        <v>0</v>
      </c>
      <c r="J559" s="1423">
        <f t="shared" ca="1" si="776"/>
        <v>0</v>
      </c>
      <c r="K559" s="1423">
        <f t="shared" ca="1" si="777"/>
        <v>0</v>
      </c>
      <c r="L559" s="1423">
        <f t="shared" ca="1" si="778"/>
        <v>0</v>
      </c>
      <c r="M559" s="1423">
        <f t="shared" ca="1" si="779"/>
        <v>0</v>
      </c>
      <c r="N559" s="1423">
        <f t="shared" ca="1" si="780"/>
        <v>0</v>
      </c>
      <c r="O559" s="1423">
        <f t="shared" ca="1" si="781"/>
        <v>0</v>
      </c>
      <c r="P559" s="1423">
        <f t="shared" ca="1" si="782"/>
        <v>0</v>
      </c>
      <c r="Q559" s="1423">
        <f t="shared" ca="1" si="783"/>
        <v>0</v>
      </c>
      <c r="R559" s="1423">
        <f t="shared" ca="1" si="784"/>
        <v>0</v>
      </c>
      <c r="S559" s="1423">
        <f t="shared" ca="1" si="785"/>
        <v>0</v>
      </c>
      <c r="T559" s="1423">
        <f t="shared" ca="1" si="786"/>
        <v>0</v>
      </c>
      <c r="U559" s="1423">
        <f t="shared" ca="1" si="787"/>
        <v>0</v>
      </c>
      <c r="V559" s="1423">
        <f t="shared" ca="1" si="788"/>
        <v>0</v>
      </c>
      <c r="W559" s="1423">
        <f t="shared" ca="1" si="789"/>
        <v>0</v>
      </c>
      <c r="X559" s="202"/>
      <c r="Y559" s="202"/>
      <c r="Z559" s="202"/>
      <c r="AA559" s="152"/>
      <c r="AB559" s="152"/>
    </row>
    <row r="560" spans="1:28" hidden="1" outlineLevel="1">
      <c r="A560" s="199">
        <f t="shared" si="790"/>
        <v>6</v>
      </c>
      <c r="B560" s="190" t="str">
        <f t="shared" ca="1" si="791"/>
        <v>Depreciated Net Capex 2021-22</v>
      </c>
      <c r="C560" s="1426"/>
      <c r="D560" s="1426"/>
      <c r="E560" s="1426"/>
      <c r="F560" s="1426"/>
      <c r="G560" s="1426"/>
      <c r="H560" s="1427"/>
      <c r="I560" s="1428">
        <f>I549</f>
        <v>0</v>
      </c>
      <c r="J560" s="1423">
        <f ca="1">IF(I584="n/a",I560,IFERROR(IF((OFFSET($C560,0,$A560))&lt;0,
MIN(0,I560-(OFFSET($C560,0,$A560)/(OFFSET($C555,-$A559,$A560)))),
MAX(0,I560-(OFFSET($C560,0,$A560)/(OFFSET($C555,-$A559,$A560))))),0))</f>
        <v>0</v>
      </c>
      <c r="K560" s="1423">
        <f t="shared" ca="1" si="777"/>
        <v>0</v>
      </c>
      <c r="L560" s="1423">
        <f t="shared" ca="1" si="778"/>
        <v>0</v>
      </c>
      <c r="M560" s="1423">
        <f t="shared" ca="1" si="779"/>
        <v>0</v>
      </c>
      <c r="N560" s="1423">
        <f t="shared" ca="1" si="780"/>
        <v>0</v>
      </c>
      <c r="O560" s="1423">
        <f t="shared" ca="1" si="781"/>
        <v>0</v>
      </c>
      <c r="P560" s="1423">
        <f t="shared" ca="1" si="782"/>
        <v>0</v>
      </c>
      <c r="Q560" s="1423">
        <f t="shared" ca="1" si="783"/>
        <v>0</v>
      </c>
      <c r="R560" s="1423">
        <f t="shared" ca="1" si="784"/>
        <v>0</v>
      </c>
      <c r="S560" s="1423">
        <f t="shared" ca="1" si="785"/>
        <v>0</v>
      </c>
      <c r="T560" s="1423">
        <f t="shared" ca="1" si="786"/>
        <v>0</v>
      </c>
      <c r="U560" s="1423">
        <f t="shared" ca="1" si="787"/>
        <v>0</v>
      </c>
      <c r="V560" s="1423">
        <f t="shared" ca="1" si="788"/>
        <v>0</v>
      </c>
      <c r="W560" s="1423">
        <f t="shared" ca="1" si="789"/>
        <v>0</v>
      </c>
      <c r="X560" s="202"/>
      <c r="Y560" s="202"/>
      <c r="Z560" s="202"/>
      <c r="AA560" s="152"/>
      <c r="AB560" s="152"/>
    </row>
    <row r="561" spans="1:28" hidden="1" outlineLevel="1">
      <c r="A561" s="199">
        <f t="shared" si="790"/>
        <v>7</v>
      </c>
      <c r="B561" s="190" t="str">
        <f t="shared" ca="1" si="791"/>
        <v>Depreciated Net Capex 2022-23</v>
      </c>
      <c r="C561" s="1426"/>
      <c r="D561" s="1426"/>
      <c r="E561" s="1426"/>
      <c r="F561" s="1426"/>
      <c r="G561" s="1426"/>
      <c r="H561" s="1426"/>
      <c r="I561" s="1427"/>
      <c r="J561" s="1428">
        <f>J549</f>
        <v>0</v>
      </c>
      <c r="K561" s="1423">
        <f ca="1">IF(J585="n/a",J561,IFERROR(IF((OFFSET($C561,0,$A561))&lt;0,
MIN(0,J561-(OFFSET($C561,0,$A561)/(OFFSET($C556,-$A560,$A561)))),
MAX(0,J561-(OFFSET($C561,0,$A561)/(OFFSET($C556,-$A560,$A561))))),0))</f>
        <v>0</v>
      </c>
      <c r="L561" s="1423">
        <f t="shared" ca="1" si="778"/>
        <v>0</v>
      </c>
      <c r="M561" s="1423">
        <f t="shared" ca="1" si="779"/>
        <v>0</v>
      </c>
      <c r="N561" s="1423">
        <f t="shared" ca="1" si="780"/>
        <v>0</v>
      </c>
      <c r="O561" s="1423">
        <f t="shared" ca="1" si="781"/>
        <v>0</v>
      </c>
      <c r="P561" s="1423">
        <f t="shared" ca="1" si="782"/>
        <v>0</v>
      </c>
      <c r="Q561" s="1423">
        <f t="shared" ca="1" si="783"/>
        <v>0</v>
      </c>
      <c r="R561" s="1423">
        <f t="shared" ca="1" si="784"/>
        <v>0</v>
      </c>
      <c r="S561" s="1423">
        <f t="shared" ca="1" si="785"/>
        <v>0</v>
      </c>
      <c r="T561" s="1423">
        <f t="shared" ca="1" si="786"/>
        <v>0</v>
      </c>
      <c r="U561" s="1423">
        <f t="shared" ca="1" si="787"/>
        <v>0</v>
      </c>
      <c r="V561" s="1423">
        <f t="shared" ca="1" si="788"/>
        <v>0</v>
      </c>
      <c r="W561" s="1423">
        <f t="shared" ca="1" si="789"/>
        <v>0</v>
      </c>
      <c r="X561" s="202"/>
      <c r="Y561" s="202"/>
      <c r="Z561" s="202"/>
      <c r="AA561" s="152"/>
      <c r="AB561" s="152"/>
    </row>
    <row r="562" spans="1:28" hidden="1" outlineLevel="1">
      <c r="A562" s="199">
        <f t="shared" si="790"/>
        <v>8</v>
      </c>
      <c r="B562" s="190" t="str">
        <f t="shared" ca="1" si="791"/>
        <v>Depreciated Net Capex 2023-24</v>
      </c>
      <c r="C562" s="1426"/>
      <c r="D562" s="1426"/>
      <c r="E562" s="1426"/>
      <c r="F562" s="1426"/>
      <c r="G562" s="1426"/>
      <c r="H562" s="1426"/>
      <c r="I562" s="1426"/>
      <c r="J562" s="1427"/>
      <c r="K562" s="1428">
        <f>K549</f>
        <v>0</v>
      </c>
      <c r="L562" s="1423">
        <f ca="1">IF(K586="n/a",K562,IFERROR(IF((OFFSET($C562,0,$A562))&lt;0,
MIN(0,K562-(OFFSET($C562,0,$A562)/(OFFSET($C557,-$A561,$A562)))),
MAX(0,K562-(OFFSET($C562,0,$A562)/(OFFSET($C557,-$A561,$A562))))),0))</f>
        <v>0</v>
      </c>
      <c r="M562" s="1423">
        <f t="shared" ca="1" si="779"/>
        <v>0</v>
      </c>
      <c r="N562" s="1423">
        <f t="shared" ca="1" si="780"/>
        <v>0</v>
      </c>
      <c r="O562" s="1423">
        <f t="shared" ca="1" si="781"/>
        <v>0</v>
      </c>
      <c r="P562" s="1423">
        <f t="shared" ca="1" si="782"/>
        <v>0</v>
      </c>
      <c r="Q562" s="1423">
        <f t="shared" ca="1" si="783"/>
        <v>0</v>
      </c>
      <c r="R562" s="1423">
        <f t="shared" ca="1" si="784"/>
        <v>0</v>
      </c>
      <c r="S562" s="1423">
        <f t="shared" ca="1" si="785"/>
        <v>0</v>
      </c>
      <c r="T562" s="1423">
        <f t="shared" ca="1" si="786"/>
        <v>0</v>
      </c>
      <c r="U562" s="1423">
        <f t="shared" ca="1" si="787"/>
        <v>0</v>
      </c>
      <c r="V562" s="1423">
        <f t="shared" ca="1" si="788"/>
        <v>0</v>
      </c>
      <c r="W562" s="1423">
        <f t="shared" ca="1" si="789"/>
        <v>0</v>
      </c>
      <c r="X562" s="202"/>
      <c r="Y562" s="202"/>
      <c r="Z562" s="202"/>
      <c r="AA562" s="152"/>
      <c r="AB562" s="152"/>
    </row>
    <row r="563" spans="1:28" hidden="1" outlineLevel="1">
      <c r="A563" s="199">
        <f t="shared" si="790"/>
        <v>9</v>
      </c>
      <c r="B563" s="190" t="str">
        <f t="shared" ca="1" si="791"/>
        <v>Depreciated Net Capex 2024-25</v>
      </c>
      <c r="C563" s="1426"/>
      <c r="D563" s="1426"/>
      <c r="E563" s="1426"/>
      <c r="F563" s="1426"/>
      <c r="G563" s="1426"/>
      <c r="H563" s="1426"/>
      <c r="I563" s="1426"/>
      <c r="J563" s="1426"/>
      <c r="K563" s="1427"/>
      <c r="L563" s="1428">
        <f>L549</f>
        <v>0</v>
      </c>
      <c r="M563" s="1423">
        <f ca="1">IF(L587="n/a",L563,IFERROR(IF((OFFSET($C563,0,$A563))&lt;0,
MIN(0,L563-(OFFSET($C563,0,$A563)/(OFFSET($C558,-$A562,$A563)))),
MAX(0,L563-(OFFSET($C563,0,$A563)/(OFFSET($C558,-$A562,$A563))))),0))</f>
        <v>0</v>
      </c>
      <c r="N563" s="1423">
        <f t="shared" ca="1" si="780"/>
        <v>0</v>
      </c>
      <c r="O563" s="1423">
        <f t="shared" ca="1" si="781"/>
        <v>0</v>
      </c>
      <c r="P563" s="1423">
        <f t="shared" ca="1" si="782"/>
        <v>0</v>
      </c>
      <c r="Q563" s="1423">
        <f t="shared" ca="1" si="783"/>
        <v>0</v>
      </c>
      <c r="R563" s="1423">
        <f t="shared" ca="1" si="784"/>
        <v>0</v>
      </c>
      <c r="S563" s="1423">
        <f t="shared" ca="1" si="785"/>
        <v>0</v>
      </c>
      <c r="T563" s="1423">
        <f t="shared" ca="1" si="786"/>
        <v>0</v>
      </c>
      <c r="U563" s="1423">
        <f t="shared" ca="1" si="787"/>
        <v>0</v>
      </c>
      <c r="V563" s="1423">
        <f t="shared" ca="1" si="788"/>
        <v>0</v>
      </c>
      <c r="W563" s="1423">
        <f t="shared" ca="1" si="789"/>
        <v>0</v>
      </c>
      <c r="X563" s="202"/>
      <c r="Y563" s="202"/>
      <c r="Z563" s="202"/>
      <c r="AA563" s="152"/>
      <c r="AB563" s="152"/>
    </row>
    <row r="564" spans="1:28" hidden="1" outlineLevel="1">
      <c r="A564" s="199">
        <f t="shared" si="790"/>
        <v>10</v>
      </c>
      <c r="B564" s="190" t="str">
        <f t="shared" ca="1" si="791"/>
        <v>Depreciated Net Capex 2025-26</v>
      </c>
      <c r="C564" s="1426"/>
      <c r="D564" s="1426"/>
      <c r="E564" s="1426"/>
      <c r="F564" s="1426"/>
      <c r="G564" s="1426"/>
      <c r="H564" s="1426"/>
      <c r="I564" s="1426"/>
      <c r="J564" s="1426"/>
      <c r="K564" s="1426"/>
      <c r="L564" s="1427"/>
      <c r="M564" s="1428">
        <f>M549</f>
        <v>0</v>
      </c>
      <c r="N564" s="1423">
        <f ca="1">IF(M588="n/a",M564,IFERROR(IF((OFFSET($C564,0,$A564))&lt;0,
MIN(0,M564-(OFFSET($C564,0,$A564)/(OFFSET($C559,-$A563,$A564)))),
MAX(0,M564-(OFFSET($C564,0,$A564)/(OFFSET($C559,-$A563,$A564))))),0))</f>
        <v>0</v>
      </c>
      <c r="O564" s="1423">
        <f t="shared" ca="1" si="781"/>
        <v>0</v>
      </c>
      <c r="P564" s="1423">
        <f t="shared" ca="1" si="782"/>
        <v>0</v>
      </c>
      <c r="Q564" s="1423">
        <f t="shared" ca="1" si="783"/>
        <v>0</v>
      </c>
      <c r="R564" s="1423">
        <f t="shared" ca="1" si="784"/>
        <v>0</v>
      </c>
      <c r="S564" s="1423">
        <f t="shared" ca="1" si="785"/>
        <v>0</v>
      </c>
      <c r="T564" s="1423">
        <f t="shared" ca="1" si="786"/>
        <v>0</v>
      </c>
      <c r="U564" s="1423">
        <f t="shared" ca="1" si="787"/>
        <v>0</v>
      </c>
      <c r="V564" s="1423">
        <f t="shared" ca="1" si="788"/>
        <v>0</v>
      </c>
      <c r="W564" s="1423">
        <f t="shared" ca="1" si="789"/>
        <v>0</v>
      </c>
      <c r="X564" s="202"/>
      <c r="Y564" s="202"/>
      <c r="Z564" s="202"/>
      <c r="AA564" s="152"/>
      <c r="AB564" s="152"/>
    </row>
    <row r="565" spans="1:28" hidden="1" outlineLevel="1">
      <c r="A565" s="199">
        <f t="shared" si="790"/>
        <v>11</v>
      </c>
      <c r="B565" s="190" t="str">
        <f t="shared" ca="1" si="791"/>
        <v>Depreciated Net Capex 2026-27</v>
      </c>
      <c r="C565" s="1426"/>
      <c r="D565" s="1426"/>
      <c r="E565" s="1426"/>
      <c r="F565" s="1426"/>
      <c r="G565" s="1426"/>
      <c r="H565" s="1426"/>
      <c r="I565" s="1426"/>
      <c r="J565" s="1426"/>
      <c r="K565" s="1426"/>
      <c r="L565" s="1426"/>
      <c r="M565" s="1427"/>
      <c r="N565" s="1428">
        <f>N549</f>
        <v>0</v>
      </c>
      <c r="O565" s="1423">
        <f ca="1">IF(N589="n/a",N565,IFERROR(IF((OFFSET($C565,0,$A565))&lt;0,
MIN(0,N565-(OFFSET($C565,0,$A565)/(OFFSET($C560,-$A564,$A565)))),
MAX(0,N565-(OFFSET($C565,0,$A565)/(OFFSET($C560,-$A564,$A565))))),0))</f>
        <v>0</v>
      </c>
      <c r="P565" s="1423">
        <f t="shared" ca="1" si="782"/>
        <v>0</v>
      </c>
      <c r="Q565" s="1423">
        <f t="shared" ca="1" si="783"/>
        <v>0</v>
      </c>
      <c r="R565" s="1423">
        <f t="shared" ca="1" si="784"/>
        <v>0</v>
      </c>
      <c r="S565" s="1423">
        <f t="shared" ca="1" si="785"/>
        <v>0</v>
      </c>
      <c r="T565" s="1423">
        <f t="shared" ca="1" si="786"/>
        <v>0</v>
      </c>
      <c r="U565" s="1423">
        <f t="shared" ca="1" si="787"/>
        <v>0</v>
      </c>
      <c r="V565" s="1423">
        <f t="shared" ca="1" si="788"/>
        <v>0</v>
      </c>
      <c r="W565" s="1423">
        <f t="shared" ca="1" si="789"/>
        <v>0</v>
      </c>
      <c r="X565" s="202"/>
      <c r="Y565" s="202"/>
      <c r="Z565" s="202"/>
      <c r="AA565" s="152"/>
      <c r="AB565" s="152"/>
    </row>
    <row r="566" spans="1:28" hidden="1" outlineLevel="1">
      <c r="A566" s="199">
        <f t="shared" si="790"/>
        <v>12</v>
      </c>
      <c r="B566" s="190" t="str">
        <f t="shared" ca="1" si="791"/>
        <v>Depreciated Net Capex 2027-28</v>
      </c>
      <c r="C566" s="1426"/>
      <c r="D566" s="1426"/>
      <c r="E566" s="1426"/>
      <c r="F566" s="1426"/>
      <c r="G566" s="1426"/>
      <c r="H566" s="1426"/>
      <c r="I566" s="1426"/>
      <c r="J566" s="1426"/>
      <c r="K566" s="1426"/>
      <c r="L566" s="1426"/>
      <c r="M566" s="1426"/>
      <c r="N566" s="1427"/>
      <c r="O566" s="1428">
        <f>O549</f>
        <v>0</v>
      </c>
      <c r="P566" s="1423">
        <f ca="1">IF(O590="n/a",O566,IFERROR(IF((OFFSET($C566,0,$A566))&lt;0,
MIN(0,O566-(OFFSET($C566,0,$A566)/(OFFSET($C561,-$A565,$A566)))),
MAX(0,O566-(OFFSET($C566,0,$A566)/(OFFSET($C561,-$A565,$A566))))),0))</f>
        <v>0</v>
      </c>
      <c r="Q566" s="1423">
        <f t="shared" ca="1" si="783"/>
        <v>0</v>
      </c>
      <c r="R566" s="1423">
        <f t="shared" ca="1" si="784"/>
        <v>0</v>
      </c>
      <c r="S566" s="1423">
        <f t="shared" ca="1" si="785"/>
        <v>0</v>
      </c>
      <c r="T566" s="1423">
        <f t="shared" ca="1" si="786"/>
        <v>0</v>
      </c>
      <c r="U566" s="1423">
        <f t="shared" ca="1" si="787"/>
        <v>0</v>
      </c>
      <c r="V566" s="1423">
        <f t="shared" ca="1" si="788"/>
        <v>0</v>
      </c>
      <c r="W566" s="1423">
        <f t="shared" ca="1" si="789"/>
        <v>0</v>
      </c>
      <c r="X566" s="202"/>
      <c r="Y566" s="202"/>
      <c r="Z566" s="202"/>
      <c r="AA566" s="152"/>
      <c r="AB566" s="152"/>
    </row>
    <row r="567" spans="1:28" hidden="1" outlineLevel="1">
      <c r="A567" s="199">
        <f t="shared" si="790"/>
        <v>13</v>
      </c>
      <c r="B567" s="190" t="str">
        <f t="shared" ca="1" si="791"/>
        <v>Depreciated Net Capex 2028-29</v>
      </c>
      <c r="C567" s="1426"/>
      <c r="D567" s="1426"/>
      <c r="E567" s="1426"/>
      <c r="F567" s="1426"/>
      <c r="G567" s="1426"/>
      <c r="H567" s="1426"/>
      <c r="I567" s="1426"/>
      <c r="J567" s="1426"/>
      <c r="K567" s="1426"/>
      <c r="L567" s="1426"/>
      <c r="M567" s="1426"/>
      <c r="N567" s="1426"/>
      <c r="O567" s="1427"/>
      <c r="P567" s="1428">
        <f>P549</f>
        <v>0</v>
      </c>
      <c r="Q567" s="1423">
        <f ca="1">IF(P591="n/a",P567,IFERROR(IF((OFFSET($C567,0,$A567))&lt;0,
MIN(0,P567-(OFFSET($C567,0,$A567)/(OFFSET($C562,-$A566,$A567)))),
MAX(0,P567-(OFFSET($C567,0,$A567)/(OFFSET($C562,-$A566,$A567))))),0))</f>
        <v>0</v>
      </c>
      <c r="R567" s="1423">
        <f t="shared" ca="1" si="784"/>
        <v>0</v>
      </c>
      <c r="S567" s="1423">
        <f t="shared" ca="1" si="785"/>
        <v>0</v>
      </c>
      <c r="T567" s="1423">
        <f t="shared" ca="1" si="786"/>
        <v>0</v>
      </c>
      <c r="U567" s="1423">
        <f t="shared" ca="1" si="787"/>
        <v>0</v>
      </c>
      <c r="V567" s="1423">
        <f t="shared" ca="1" si="788"/>
        <v>0</v>
      </c>
      <c r="W567" s="1423">
        <f t="shared" ca="1" si="789"/>
        <v>0</v>
      </c>
      <c r="X567" s="202"/>
      <c r="Y567" s="202"/>
      <c r="Z567" s="202"/>
      <c r="AA567" s="152"/>
      <c r="AB567" s="152"/>
    </row>
    <row r="568" spans="1:28" hidden="1" outlineLevel="1">
      <c r="A568" s="199">
        <f t="shared" si="790"/>
        <v>14</v>
      </c>
      <c r="B568" s="190" t="str">
        <f t="shared" ca="1" si="791"/>
        <v>Depreciated Net Capex 2029-30</v>
      </c>
      <c r="C568" s="1426"/>
      <c r="D568" s="1426"/>
      <c r="E568" s="1426"/>
      <c r="F568" s="1426"/>
      <c r="G568" s="1426"/>
      <c r="H568" s="1426"/>
      <c r="I568" s="1426"/>
      <c r="J568" s="1426"/>
      <c r="K568" s="1426"/>
      <c r="L568" s="1426"/>
      <c r="M568" s="1426"/>
      <c r="N568" s="1426"/>
      <c r="O568" s="1426"/>
      <c r="P568" s="1427"/>
      <c r="Q568" s="1428">
        <f>Q549</f>
        <v>0</v>
      </c>
      <c r="R568" s="1423">
        <f ca="1">IF(Q592="n/a",Q568,IFERROR(IF((OFFSET($C568,0,$A568))&lt;0,
MIN(0,Q568-(OFFSET($C568,0,$A568)/(OFFSET($C563,-$A567,$A568)))),
MAX(0,Q568-(OFFSET($C568,0,$A568)/(OFFSET($C563,-$A567,$A568))))),0))</f>
        <v>0</v>
      </c>
      <c r="S568" s="1423">
        <f t="shared" ca="1" si="785"/>
        <v>0</v>
      </c>
      <c r="T568" s="1423">
        <f t="shared" ca="1" si="786"/>
        <v>0</v>
      </c>
      <c r="U568" s="1423">
        <f t="shared" ca="1" si="787"/>
        <v>0</v>
      </c>
      <c r="V568" s="1423">
        <f t="shared" ca="1" si="788"/>
        <v>0</v>
      </c>
      <c r="W568" s="1423">
        <f t="shared" ca="1" si="789"/>
        <v>0</v>
      </c>
      <c r="X568" s="202"/>
      <c r="Y568" s="202"/>
      <c r="Z568" s="202"/>
      <c r="AA568" s="152"/>
      <c r="AB568" s="152"/>
    </row>
    <row r="569" spans="1:28" hidden="1" outlineLevel="1">
      <c r="A569" s="199">
        <f t="shared" si="790"/>
        <v>15</v>
      </c>
      <c r="B569" s="190" t="str">
        <f t="shared" ca="1" si="791"/>
        <v>Depreciated Net Capex 2030-31</v>
      </c>
      <c r="C569" s="1426"/>
      <c r="D569" s="1426"/>
      <c r="E569" s="1426"/>
      <c r="F569" s="1426"/>
      <c r="G569" s="1426"/>
      <c r="H569" s="1426"/>
      <c r="I569" s="1426"/>
      <c r="J569" s="1426"/>
      <c r="K569" s="1426"/>
      <c r="L569" s="1426"/>
      <c r="M569" s="1426"/>
      <c r="N569" s="1426"/>
      <c r="O569" s="1426"/>
      <c r="P569" s="1426"/>
      <c r="Q569" s="1427"/>
      <c r="R569" s="1428">
        <f>R549</f>
        <v>0</v>
      </c>
      <c r="S569" s="1423">
        <f ca="1">IF(R593="n/a",R569,IFERROR(IF((OFFSET($C569,0,$A569))&lt;0,
MIN(0,R569-(OFFSET($C569,0,$A569)/(OFFSET($C564,-$A568,$A569)))),
MAX(0,R569-(OFFSET($C569,0,$A569)/(OFFSET($C564,-$A568,$A569))))),0))</f>
        <v>0</v>
      </c>
      <c r="T569" s="1423">
        <f t="shared" ca="1" si="786"/>
        <v>0</v>
      </c>
      <c r="U569" s="1423">
        <f t="shared" ca="1" si="787"/>
        <v>0</v>
      </c>
      <c r="V569" s="1423">
        <f t="shared" ca="1" si="788"/>
        <v>0</v>
      </c>
      <c r="W569" s="1423">
        <f t="shared" ca="1" si="789"/>
        <v>0</v>
      </c>
      <c r="X569" s="202"/>
      <c r="Y569" s="202"/>
      <c r="Z569" s="202"/>
      <c r="AA569" s="152"/>
      <c r="AB569" s="152"/>
    </row>
    <row r="570" spans="1:28" hidden="1" outlineLevel="1">
      <c r="A570" s="199">
        <f t="shared" si="790"/>
        <v>16</v>
      </c>
      <c r="B570" s="190" t="str">
        <f t="shared" ca="1" si="791"/>
        <v>Depreciated Net Capex 2031-32</v>
      </c>
      <c r="C570" s="1426"/>
      <c r="D570" s="1426"/>
      <c r="E570" s="1426"/>
      <c r="F570" s="1426"/>
      <c r="G570" s="1426"/>
      <c r="H570" s="1426"/>
      <c r="I570" s="1426"/>
      <c r="J570" s="1426"/>
      <c r="K570" s="1426"/>
      <c r="L570" s="1426"/>
      <c r="M570" s="1426"/>
      <c r="N570" s="1426"/>
      <c r="O570" s="1426"/>
      <c r="P570" s="1426"/>
      <c r="Q570" s="1426"/>
      <c r="R570" s="1427"/>
      <c r="S570" s="1428">
        <f>S549</f>
        <v>0</v>
      </c>
      <c r="T570" s="1423">
        <f ca="1">IF(S594="n/a",S570,IFERROR(IF((OFFSET($C570,0,$A570))&lt;0,
MIN(0,S570-(OFFSET($C570,0,$A570)/(OFFSET($C565,-$A569,$A570)))),
MAX(0,S570-(OFFSET($C570,0,$A570)/(OFFSET($C565,-$A569,$A570))))),0))</f>
        <v>0</v>
      </c>
      <c r="U570" s="1423">
        <f t="shared" ca="1" si="787"/>
        <v>0</v>
      </c>
      <c r="V570" s="1423">
        <f t="shared" ca="1" si="788"/>
        <v>0</v>
      </c>
      <c r="W570" s="1423">
        <f t="shared" ca="1" si="789"/>
        <v>0</v>
      </c>
      <c r="X570" s="202"/>
      <c r="Y570" s="202"/>
      <c r="Z570" s="202"/>
      <c r="AA570" s="152"/>
      <c r="AB570" s="152"/>
    </row>
    <row r="571" spans="1:28" hidden="1" outlineLevel="1">
      <c r="A571" s="199">
        <f t="shared" si="790"/>
        <v>17</v>
      </c>
      <c r="B571" s="190" t="str">
        <f t="shared" ca="1" si="791"/>
        <v>Depreciated Net Capex 2032-33</v>
      </c>
      <c r="C571" s="1426"/>
      <c r="D571" s="1426"/>
      <c r="E571" s="1426"/>
      <c r="F571" s="1426"/>
      <c r="G571" s="1426"/>
      <c r="H571" s="1426"/>
      <c r="I571" s="1426"/>
      <c r="J571" s="1426"/>
      <c r="K571" s="1426"/>
      <c r="L571" s="1426"/>
      <c r="M571" s="1426"/>
      <c r="N571" s="1426"/>
      <c r="O571" s="1426"/>
      <c r="P571" s="1426"/>
      <c r="Q571" s="1426"/>
      <c r="R571" s="1426"/>
      <c r="S571" s="1427"/>
      <c r="T571" s="1428">
        <f>T549</f>
        <v>0</v>
      </c>
      <c r="U571" s="1423">
        <f ca="1">IF(T595="n/a",T571,IFERROR(IF((OFFSET($C571,0,$A571))&lt;0,
MIN(0,T571-(OFFSET($C571,0,$A571)/(OFFSET($C566,-$A570,$A571)))),
MAX(0,T571-(OFFSET($C571,0,$A571)/(OFFSET($C566,-$A570,$A571))))),0))</f>
        <v>0</v>
      </c>
      <c r="V571" s="1423">
        <f t="shared" ca="1" si="788"/>
        <v>0</v>
      </c>
      <c r="W571" s="1423">
        <f t="shared" ca="1" si="789"/>
        <v>0</v>
      </c>
      <c r="X571" s="202"/>
      <c r="Y571" s="202"/>
      <c r="Z571" s="202"/>
      <c r="AA571" s="152"/>
      <c r="AB571" s="152"/>
    </row>
    <row r="572" spans="1:28" hidden="1" outlineLevel="1">
      <c r="A572" s="199">
        <f t="shared" si="790"/>
        <v>18</v>
      </c>
      <c r="B572" s="190" t="str">
        <f t="shared" ca="1" si="791"/>
        <v>Depreciated Net Capex 2033-34</v>
      </c>
      <c r="C572" s="1426"/>
      <c r="D572" s="1426"/>
      <c r="E572" s="1426"/>
      <c r="F572" s="1426"/>
      <c r="G572" s="1426"/>
      <c r="H572" s="1426"/>
      <c r="I572" s="1426"/>
      <c r="J572" s="1426"/>
      <c r="K572" s="1426"/>
      <c r="L572" s="1426"/>
      <c r="M572" s="1426"/>
      <c r="N572" s="1426"/>
      <c r="O572" s="1426"/>
      <c r="P572" s="1426"/>
      <c r="Q572" s="1426"/>
      <c r="R572" s="1426"/>
      <c r="S572" s="1426"/>
      <c r="T572" s="1427"/>
      <c r="U572" s="1428">
        <f>U549</f>
        <v>0</v>
      </c>
      <c r="V572" s="1423">
        <f ca="1">IF(U596="n/a",U572,IFERROR(IF((OFFSET($C572,0,$A572))&lt;0,
MIN(0,U572-(OFFSET($C572,0,$A572)/(OFFSET($C567,-$A571,$A572)))),
MAX(0,U572-(OFFSET($C572,0,$A572)/(OFFSET($C567,-$A571,$A572))))),0))</f>
        <v>0</v>
      </c>
      <c r="W572" s="1423">
        <f t="shared" ca="1" si="789"/>
        <v>0</v>
      </c>
      <c r="X572" s="202"/>
      <c r="Y572" s="202"/>
      <c r="Z572" s="202"/>
      <c r="AA572" s="152"/>
      <c r="AB572" s="152"/>
    </row>
    <row r="573" spans="1:28" hidden="1" outlineLevel="1">
      <c r="A573" s="199">
        <f t="shared" si="790"/>
        <v>19</v>
      </c>
      <c r="B573" s="190" t="str">
        <f t="shared" ca="1" si="791"/>
        <v>Depreciated Net Capex 2034-35</v>
      </c>
      <c r="C573" s="1426"/>
      <c r="D573" s="1426"/>
      <c r="E573" s="1426"/>
      <c r="F573" s="1426"/>
      <c r="G573" s="1426"/>
      <c r="H573" s="1426"/>
      <c r="I573" s="1426"/>
      <c r="J573" s="1426"/>
      <c r="K573" s="1426"/>
      <c r="L573" s="1426"/>
      <c r="M573" s="1426"/>
      <c r="N573" s="1426"/>
      <c r="O573" s="1426"/>
      <c r="P573" s="1426"/>
      <c r="Q573" s="1426"/>
      <c r="R573" s="1426"/>
      <c r="S573" s="1426"/>
      <c r="T573" s="1426"/>
      <c r="U573" s="1427"/>
      <c r="V573" s="1428">
        <f>V549</f>
        <v>0</v>
      </c>
      <c r="W573" s="1423">
        <f ca="1">IF(V597="n/a",V573,IFERROR(IF((OFFSET($C573,0,$A573))&lt;0,
MIN(0,V573-(OFFSET($C573,0,$A573)/(OFFSET($C568,-$A572,$A573)))),
MAX(0,V573-(OFFSET($C573,0,$A573)/(OFFSET($C568,-$A572,$A573))))),0))</f>
        <v>0</v>
      </c>
      <c r="X573" s="202"/>
      <c r="Y573" s="202"/>
      <c r="Z573" s="202"/>
      <c r="AA573" s="152"/>
      <c r="AB573" s="152"/>
    </row>
    <row r="574" spans="1:28" hidden="1" outlineLevel="1">
      <c r="A574" s="199">
        <f t="shared" si="790"/>
        <v>20</v>
      </c>
      <c r="B574" s="190" t="str">
        <f t="shared" ca="1" si="791"/>
        <v>Depreciated Net Capex 2035-36</v>
      </c>
      <c r="C574" s="1426"/>
      <c r="D574" s="1426"/>
      <c r="E574" s="1426"/>
      <c r="F574" s="1426"/>
      <c r="G574" s="1426"/>
      <c r="H574" s="1426"/>
      <c r="I574" s="1426"/>
      <c r="J574" s="1426"/>
      <c r="K574" s="1426"/>
      <c r="L574" s="1426"/>
      <c r="M574" s="1426"/>
      <c r="N574" s="1426"/>
      <c r="O574" s="1426"/>
      <c r="P574" s="1426"/>
      <c r="Q574" s="1426"/>
      <c r="R574" s="1426"/>
      <c r="S574" s="1426"/>
      <c r="T574" s="1426"/>
      <c r="U574" s="1426"/>
      <c r="V574" s="1427"/>
      <c r="W574" s="1423">
        <f>W549</f>
        <v>0</v>
      </c>
      <c r="X574" s="152"/>
      <c r="Y574" s="152"/>
      <c r="Z574" s="152"/>
      <c r="AA574" s="152"/>
      <c r="AB574" s="152"/>
    </row>
    <row r="575" spans="1:28" hidden="1" outlineLevel="1">
      <c r="A575" s="242"/>
      <c r="B575" s="200"/>
      <c r="C575" s="1423"/>
      <c r="D575" s="1423"/>
      <c r="E575" s="1423"/>
      <c r="F575" s="1423"/>
      <c r="G575" s="1423"/>
      <c r="H575" s="1423"/>
      <c r="I575" s="1423"/>
      <c r="J575" s="1423"/>
      <c r="K575" s="1423"/>
      <c r="L575" s="1423"/>
      <c r="M575" s="1423"/>
      <c r="N575" s="1423"/>
      <c r="O575" s="1423"/>
      <c r="P575" s="1423"/>
      <c r="Q575" s="1423"/>
      <c r="R575" s="1423"/>
      <c r="S575" s="1423"/>
      <c r="T575" s="1423"/>
      <c r="U575" s="1423"/>
      <c r="V575" s="1423"/>
      <c r="W575" s="1423"/>
      <c r="X575" s="152"/>
      <c r="Y575" s="152"/>
      <c r="Z575" s="152"/>
      <c r="AA575" s="152"/>
      <c r="AB575" s="152"/>
    </row>
    <row r="576" spans="1:28" hidden="1" outlineLevel="1">
      <c r="A576" s="242"/>
      <c r="B576" s="200"/>
      <c r="C576" s="1423"/>
      <c r="D576" s="1423"/>
      <c r="E576" s="1423"/>
      <c r="F576" s="1423"/>
      <c r="G576" s="1423"/>
      <c r="H576" s="1423"/>
      <c r="I576" s="1423"/>
      <c r="J576" s="1423"/>
      <c r="K576" s="1423"/>
      <c r="L576" s="1423"/>
      <c r="M576" s="1423"/>
      <c r="N576" s="1423"/>
      <c r="O576" s="1423"/>
      <c r="P576" s="1423"/>
      <c r="Q576" s="1423"/>
      <c r="R576" s="1423"/>
      <c r="S576" s="1423"/>
      <c r="T576" s="1423"/>
      <c r="U576" s="1423"/>
      <c r="V576" s="1423"/>
      <c r="W576" s="1423"/>
      <c r="X576" s="152"/>
      <c r="Y576" s="152"/>
      <c r="Z576" s="152"/>
      <c r="AA576" s="152"/>
      <c r="AB576" s="152"/>
    </row>
    <row r="577" spans="1:28" hidden="1" outlineLevel="1">
      <c r="A577" s="242"/>
      <c r="B577" s="190" t="s">
        <v>194</v>
      </c>
      <c r="C577" s="1423"/>
      <c r="D577" s="1423">
        <f t="shared" ref="D577" ca="1" si="792">IF(AND(C577&lt;1,D551=0),0,
IF(D551=0,C577-1,
IF(C577&lt;1,D552,
(((C577-1)*(C553-(C553/(C577))))+(D551*D552))/(D553))))</f>
        <v>0</v>
      </c>
      <c r="E577" s="1423">
        <f t="shared" ref="E577" ca="1" si="793">IF(AND(D577&lt;1,E551=0),0,
IF(E551=0,D577-1,
IF(D577&lt;1,E552,
(((D577-1)*(D553-(D553/(D577))))+(E551*E552))/(E553))))</f>
        <v>0</v>
      </c>
      <c r="F577" s="1423">
        <f t="shared" ref="F577" ca="1" si="794">IF(AND(E577&lt;1,F551=0),0,
IF(F551=0,E577-1,
IF(E577&lt;1,F552,
(((E577-1)*(E553-(E553/(E577))))+(F551*F552))/(F553))))</f>
        <v>0</v>
      </c>
      <c r="G577" s="1423">
        <f t="shared" ref="G577" ca="1" si="795">IF(AND(F577&lt;1,G551=0),0,
IF(G551=0,F577-1,
IF(F577&lt;1,G552,
(((F577-1)*(F553-(F553/(F577))))+(G551*G552))/(G553))))</f>
        <v>0</v>
      </c>
      <c r="H577" s="1423">
        <f ca="1">IF(AND(G577&lt;1,H551=0),0,
IF(H551=0,G577-1,
IF(G577&lt;1,H552,
(((G577-1)*(G553-(G553/(G577))))+(H551*H552))/(H553))))</f>
        <v>0</v>
      </c>
      <c r="I577" s="1423">
        <f t="shared" ref="I577" ca="1" si="796">IF(AND(H577&lt;1,I551=0),0,
IF(I551=0,H577-1,
IF(H577&lt;1,I552,
(((H577-1)*(H553-(H553/(H577))))+(I551*I552))/(I553))))</f>
        <v>0</v>
      </c>
      <c r="J577" s="1423">
        <f t="shared" ref="J577" ca="1" si="797">IF(AND(I577&lt;1,J551=0),0,
IF(J551=0,I577-1,
IF(I577&lt;1,J552,
(((I577-1)*(I553-(I553/(I577))))+(J551*J552))/(J553))))</f>
        <v>0</v>
      </c>
      <c r="K577" s="1423">
        <f t="shared" ref="K577" ca="1" si="798">IF(AND(J577&lt;1,K551=0),0,
IF(K551=0,J577-1,
IF(J577&lt;1,K552,
(((J577-1)*(J553-(J553/(J577))))+(K551*K552))/(K553))))</f>
        <v>0</v>
      </c>
      <c r="L577" s="1423">
        <f t="shared" ref="L577" ca="1" si="799">IF(AND(K577&lt;1,L551=0),0,
IF(L551=0,K577-1,
IF(K577&lt;1,L552,
(((K577-1)*(K553-(K553/(K577))))+(L551*L552))/(L553))))</f>
        <v>0</v>
      </c>
      <c r="M577" s="1423">
        <f ca="1">IF(AND(L577&lt;1,M551=0),0,
IF(M551=0,L577-1,
IF(L577&lt;1,M552,
(((L577-1)*(L553-(L553/(L577))))+(M551*M552))/(M553))))</f>
        <v>0</v>
      </c>
      <c r="N577" s="1423">
        <f t="shared" ref="N577" ca="1" si="800">IF(AND(M577&lt;1,N551=0),0,
IF(N551=0,M577-1,
IF(M577&lt;1,N552,
(((M577-1)*(M553-(M553/(M577))))+(N551*N552))/(N553))))</f>
        <v>0</v>
      </c>
      <c r="O577" s="1423">
        <f t="shared" ref="O577" ca="1" si="801">IF(AND(N577&lt;1,O551=0),0,
IF(O551=0,N577-1,
IF(N577&lt;1,O552,
(((N577-1)*(N553-(N553/(N577))))+(O551*O552))/(O553))))</f>
        <v>0</v>
      </c>
      <c r="P577" s="1423">
        <f t="shared" ref="P577" ca="1" si="802">IF(AND(O577&lt;1,P551=0),0,
IF(P551=0,O577-1,
IF(O577&lt;1,P552,
(((O577-1)*(O553-(O553/(O577))))+(P551*P552))/(P553))))</f>
        <v>0</v>
      </c>
      <c r="Q577" s="1423">
        <f t="shared" ref="Q577" ca="1" si="803">IF(AND(P577&lt;1,Q551=0),0,
IF(Q551=0,P577-1,
IF(P577&lt;1,Q552,
(((P577-1)*(P553-(P553/(P577))))+(Q551*Q552))/(Q553))))</f>
        <v>0</v>
      </c>
      <c r="R577" s="1423">
        <f t="shared" ref="R577" ca="1" si="804">IF(AND(Q577&lt;1,R551=0),0,
IF(R551=0,Q577-1,
IF(Q577&lt;1,R552,
(((Q577-1)*(Q553-(Q553/(Q577))))+(R551*R552))/(R553))))</f>
        <v>0</v>
      </c>
      <c r="S577" s="1423">
        <f t="shared" ref="S577" ca="1" si="805">IF(AND(R577&lt;1,S551=0),0,
IF(S551=0,R577-1,
IF(R577&lt;1,S552,
(((R577-1)*(R553-(R553/(R577))))+(S551*S552))/(S553))))</f>
        <v>0</v>
      </c>
      <c r="T577" s="1423">
        <f t="shared" ref="T577" ca="1" si="806">IF(AND(S577&lt;1,T551=0),0,
IF(T551=0,S577-1,
IF(S577&lt;1,T552,
(((S577-1)*(S553-(S553/(S577))))+(T551*T552))/(T553))))</f>
        <v>0</v>
      </c>
      <c r="U577" s="1423">
        <f t="shared" ref="U577" ca="1" si="807">IF(AND(T577&lt;1,U551=0),0,
IF(U551=0,T577-1,
IF(T577&lt;1,U552,
(((T577-1)*(T553-(T553/(T577))))+(U551*U552))/(U553))))</f>
        <v>0</v>
      </c>
      <c r="V577" s="1423">
        <f t="shared" ref="V577" ca="1" si="808">IF(AND(U577&lt;1,V551=0),0,
IF(V551=0,U577-1,
IF(U577&lt;1,V552,
(((U577-1)*(U553-(U553/(U577))))+(V551*V552))/(V553))))</f>
        <v>0</v>
      </c>
      <c r="W577" s="1423">
        <f t="shared" ref="W577" ca="1" si="809">IF(AND(V577&lt;1,W551=0),0,
IF(W551=0,V577-1,
IF(V577&lt;1,W552,
(((V577-1)*(V553-(V553/(V577))))+(W551*W552))/(W553))))</f>
        <v>0</v>
      </c>
      <c r="X577" s="152"/>
      <c r="Y577" s="152"/>
      <c r="Z577" s="152"/>
      <c r="AA577" s="152"/>
      <c r="AB577" s="152"/>
    </row>
    <row r="578" spans="1:28" hidden="1" outlineLevel="1">
      <c r="A578" s="242"/>
      <c r="B578" s="190" t="s">
        <v>193</v>
      </c>
      <c r="C578" s="1423">
        <f ca="1">C550</f>
        <v>0</v>
      </c>
      <c r="D578" s="1423">
        <f t="shared" ref="D578" ca="1" si="810">IF(C578="n/a","n/a",MAX(0,C578-1))</f>
        <v>0</v>
      </c>
      <c r="E578" s="1423">
        <f t="shared" ref="E578:E579" ca="1" si="811">IF(D578="n/a","n/a",MAX(0,D578-1))</f>
        <v>0</v>
      </c>
      <c r="F578" s="1423">
        <f t="shared" ref="F578:F580" ca="1" si="812">IF(E578="n/a","n/a",MAX(0,E578-1))</f>
        <v>0</v>
      </c>
      <c r="G578" s="1423">
        <f t="shared" ref="G578:G581" ca="1" si="813">IF(F578="n/a","n/a",MAX(0,F578-1))</f>
        <v>0</v>
      </c>
      <c r="H578" s="1423">
        <f t="shared" ref="H578:H582" ca="1" si="814">IF(G578="n/a","n/a",MAX(0,G578-1))</f>
        <v>0</v>
      </c>
      <c r="I578" s="1423">
        <f t="shared" ref="I578:I583" ca="1" si="815">IF(H578="n/a","n/a",MAX(0,H578-1))</f>
        <v>0</v>
      </c>
      <c r="J578" s="1423">
        <f t="shared" ref="J578:J584" ca="1" si="816">IF(I578="n/a","n/a",MAX(0,I578-1))</f>
        <v>0</v>
      </c>
      <c r="K578" s="1423">
        <f t="shared" ref="K578:K585" ca="1" si="817">IF(J578="n/a","n/a",MAX(0,J578-1))</f>
        <v>0</v>
      </c>
      <c r="L578" s="1423">
        <f t="shared" ref="L578:L586" ca="1" si="818">IF(K578="n/a","n/a",MAX(0,K578-1))</f>
        <v>0</v>
      </c>
      <c r="M578" s="1423">
        <f t="shared" ref="M578:M587" ca="1" si="819">IF(L578="n/a","n/a",MAX(0,L578-1))</f>
        <v>0</v>
      </c>
      <c r="N578" s="1423">
        <f t="shared" ref="N578:N588" ca="1" si="820">IF(M578="n/a","n/a",MAX(0,M578-1))</f>
        <v>0</v>
      </c>
      <c r="O578" s="1423">
        <f t="shared" ref="O578:O589" ca="1" si="821">IF(N578="n/a","n/a",MAX(0,N578-1))</f>
        <v>0</v>
      </c>
      <c r="P578" s="1423">
        <f t="shared" ref="P578:P590" ca="1" si="822">IF(O578="n/a","n/a",MAX(0,O578-1))</f>
        <v>0</v>
      </c>
      <c r="Q578" s="1423">
        <f t="shared" ref="Q578:Q591" ca="1" si="823">IF(P578="n/a","n/a",MAX(0,P578-1))</f>
        <v>0</v>
      </c>
      <c r="R578" s="1423">
        <f t="shared" ref="R578:R592" ca="1" si="824">IF(Q578="n/a","n/a",MAX(0,Q578-1))</f>
        <v>0</v>
      </c>
      <c r="S578" s="1423">
        <f t="shared" ref="S578:S593" ca="1" si="825">IF(R578="n/a","n/a",MAX(0,R578-1))</f>
        <v>0</v>
      </c>
      <c r="T578" s="1423">
        <f t="shared" ref="T578:T594" ca="1" si="826">IF(S578="n/a","n/a",MAX(0,S578-1))</f>
        <v>0</v>
      </c>
      <c r="U578" s="1423">
        <f t="shared" ref="U578:U595" ca="1" si="827">IF(T578="n/a","n/a",MAX(0,T578-1))</f>
        <v>0</v>
      </c>
      <c r="V578" s="1423">
        <f t="shared" ref="V578:V596" ca="1" si="828">IF(U578="n/a","n/a",MAX(0,U578-1))</f>
        <v>0</v>
      </c>
      <c r="W578" s="1423">
        <f t="shared" ref="W578:W596" ca="1" si="829">IF(V578="n/a","n/a",MAX(0,V578-1))</f>
        <v>0</v>
      </c>
      <c r="X578" s="152"/>
      <c r="Y578" s="152"/>
      <c r="Z578" s="152"/>
      <c r="AA578" s="152"/>
      <c r="AB578" s="152"/>
    </row>
    <row r="579" spans="1:28" hidden="1" outlineLevel="1">
      <c r="A579" s="242"/>
      <c r="B579" s="190" t="str">
        <f t="shared" ref="B579:B598" ca="1" si="830">"RL Capex "&amp;OFFSET($C$6,0,A555)</f>
        <v>RL Capex 2016-17</v>
      </c>
      <c r="C579" s="1424"/>
      <c r="D579" s="1428">
        <f>D550</f>
        <v>0</v>
      </c>
      <c r="E579" s="1423">
        <f t="shared" si="811"/>
        <v>0</v>
      </c>
      <c r="F579" s="1423">
        <f t="shared" si="812"/>
        <v>0</v>
      </c>
      <c r="G579" s="1423">
        <f t="shared" si="813"/>
        <v>0</v>
      </c>
      <c r="H579" s="1423">
        <f t="shared" si="814"/>
        <v>0</v>
      </c>
      <c r="I579" s="1423">
        <f t="shared" si="815"/>
        <v>0</v>
      </c>
      <c r="J579" s="1423">
        <f t="shared" si="816"/>
        <v>0</v>
      </c>
      <c r="K579" s="1423">
        <f t="shared" si="817"/>
        <v>0</v>
      </c>
      <c r="L579" s="1423">
        <f t="shared" si="818"/>
        <v>0</v>
      </c>
      <c r="M579" s="1423">
        <f t="shared" si="819"/>
        <v>0</v>
      </c>
      <c r="N579" s="1423">
        <f t="shared" si="820"/>
        <v>0</v>
      </c>
      <c r="O579" s="1423">
        <f t="shared" si="821"/>
        <v>0</v>
      </c>
      <c r="P579" s="1423">
        <f t="shared" si="822"/>
        <v>0</v>
      </c>
      <c r="Q579" s="1423">
        <f t="shared" si="823"/>
        <v>0</v>
      </c>
      <c r="R579" s="1423">
        <f t="shared" si="824"/>
        <v>0</v>
      </c>
      <c r="S579" s="1423">
        <f t="shared" si="825"/>
        <v>0</v>
      </c>
      <c r="T579" s="1423">
        <f t="shared" si="826"/>
        <v>0</v>
      </c>
      <c r="U579" s="1423">
        <f t="shared" si="827"/>
        <v>0</v>
      </c>
      <c r="V579" s="1423">
        <f t="shared" si="828"/>
        <v>0</v>
      </c>
      <c r="W579" s="1423">
        <f t="shared" si="829"/>
        <v>0</v>
      </c>
      <c r="X579" s="152"/>
      <c r="Y579" s="152"/>
      <c r="Z579" s="152"/>
      <c r="AA579" s="152"/>
      <c r="AB579" s="152"/>
    </row>
    <row r="580" spans="1:28" hidden="1" outlineLevel="1">
      <c r="A580" s="242"/>
      <c r="B580" s="190" t="str">
        <f t="shared" ca="1" si="830"/>
        <v>RL Capex 2017-18</v>
      </c>
      <c r="C580" s="1429"/>
      <c r="D580" s="1424"/>
      <c r="E580" s="1428">
        <f>E550</f>
        <v>0</v>
      </c>
      <c r="F580" s="1423">
        <f t="shared" si="812"/>
        <v>0</v>
      </c>
      <c r="G580" s="1423">
        <f t="shared" si="813"/>
        <v>0</v>
      </c>
      <c r="H580" s="1423">
        <f t="shared" si="814"/>
        <v>0</v>
      </c>
      <c r="I580" s="1423">
        <f t="shared" si="815"/>
        <v>0</v>
      </c>
      <c r="J580" s="1423">
        <f t="shared" si="816"/>
        <v>0</v>
      </c>
      <c r="K580" s="1423">
        <f t="shared" si="817"/>
        <v>0</v>
      </c>
      <c r="L580" s="1423">
        <f t="shared" si="818"/>
        <v>0</v>
      </c>
      <c r="M580" s="1423">
        <f t="shared" si="819"/>
        <v>0</v>
      </c>
      <c r="N580" s="1423">
        <f t="shared" si="820"/>
        <v>0</v>
      </c>
      <c r="O580" s="1423">
        <f t="shared" si="821"/>
        <v>0</v>
      </c>
      <c r="P580" s="1423">
        <f t="shared" si="822"/>
        <v>0</v>
      </c>
      <c r="Q580" s="1423">
        <f t="shared" si="823"/>
        <v>0</v>
      </c>
      <c r="R580" s="1423">
        <f t="shared" si="824"/>
        <v>0</v>
      </c>
      <c r="S580" s="1423">
        <f t="shared" si="825"/>
        <v>0</v>
      </c>
      <c r="T580" s="1423">
        <f t="shared" si="826"/>
        <v>0</v>
      </c>
      <c r="U580" s="1423">
        <f t="shared" si="827"/>
        <v>0</v>
      </c>
      <c r="V580" s="1423">
        <f t="shared" si="828"/>
        <v>0</v>
      </c>
      <c r="W580" s="1423">
        <f t="shared" si="829"/>
        <v>0</v>
      </c>
      <c r="X580" s="152"/>
      <c r="Y580" s="152"/>
      <c r="Z580" s="152"/>
      <c r="AA580" s="152"/>
      <c r="AB580" s="152"/>
    </row>
    <row r="581" spans="1:28" hidden="1" outlineLevel="1">
      <c r="A581" s="242"/>
      <c r="B581" s="190" t="str">
        <f t="shared" ca="1" si="830"/>
        <v>RL Capex 2018-19</v>
      </c>
      <c r="C581" s="1429"/>
      <c r="D581" s="1429"/>
      <c r="E581" s="1424"/>
      <c r="F581" s="1428">
        <f>F550</f>
        <v>0</v>
      </c>
      <c r="G581" s="1423">
        <f t="shared" si="813"/>
        <v>0</v>
      </c>
      <c r="H581" s="1423">
        <f t="shared" si="814"/>
        <v>0</v>
      </c>
      <c r="I581" s="1423">
        <f t="shared" si="815"/>
        <v>0</v>
      </c>
      <c r="J581" s="1423">
        <f t="shared" si="816"/>
        <v>0</v>
      </c>
      <c r="K581" s="1423">
        <f t="shared" si="817"/>
        <v>0</v>
      </c>
      <c r="L581" s="1423">
        <f t="shared" si="818"/>
        <v>0</v>
      </c>
      <c r="M581" s="1423">
        <f t="shared" si="819"/>
        <v>0</v>
      </c>
      <c r="N581" s="1423">
        <f t="shared" si="820"/>
        <v>0</v>
      </c>
      <c r="O581" s="1423">
        <f t="shared" si="821"/>
        <v>0</v>
      </c>
      <c r="P581" s="1423">
        <f t="shared" si="822"/>
        <v>0</v>
      </c>
      <c r="Q581" s="1423">
        <f t="shared" si="823"/>
        <v>0</v>
      </c>
      <c r="R581" s="1423">
        <f t="shared" si="824"/>
        <v>0</v>
      </c>
      <c r="S581" s="1423">
        <f t="shared" si="825"/>
        <v>0</v>
      </c>
      <c r="T581" s="1423">
        <f t="shared" si="826"/>
        <v>0</v>
      </c>
      <c r="U581" s="1423">
        <f t="shared" si="827"/>
        <v>0</v>
      </c>
      <c r="V581" s="1423">
        <f t="shared" si="828"/>
        <v>0</v>
      </c>
      <c r="W581" s="1423">
        <f t="shared" si="829"/>
        <v>0</v>
      </c>
      <c r="X581" s="152"/>
      <c r="Y581" s="152"/>
      <c r="Z581" s="152"/>
      <c r="AA581" s="152"/>
      <c r="AB581" s="152"/>
    </row>
    <row r="582" spans="1:28" hidden="1" outlineLevel="1">
      <c r="A582" s="242"/>
      <c r="B582" s="190" t="str">
        <f t="shared" ca="1" si="830"/>
        <v>RL Capex 2019-20</v>
      </c>
      <c r="C582" s="1429"/>
      <c r="D582" s="1429"/>
      <c r="E582" s="1429"/>
      <c r="F582" s="1424"/>
      <c r="G582" s="1428">
        <f>G550</f>
        <v>0</v>
      </c>
      <c r="H582" s="1423">
        <f t="shared" si="814"/>
        <v>0</v>
      </c>
      <c r="I582" s="1423">
        <f t="shared" si="815"/>
        <v>0</v>
      </c>
      <c r="J582" s="1423">
        <f t="shared" si="816"/>
        <v>0</v>
      </c>
      <c r="K582" s="1423">
        <f t="shared" si="817"/>
        <v>0</v>
      </c>
      <c r="L582" s="1423">
        <f t="shared" si="818"/>
        <v>0</v>
      </c>
      <c r="M582" s="1423">
        <f t="shared" si="819"/>
        <v>0</v>
      </c>
      <c r="N582" s="1423">
        <f t="shared" si="820"/>
        <v>0</v>
      </c>
      <c r="O582" s="1423">
        <f t="shared" si="821"/>
        <v>0</v>
      </c>
      <c r="P582" s="1423">
        <f t="shared" si="822"/>
        <v>0</v>
      </c>
      <c r="Q582" s="1423">
        <f t="shared" si="823"/>
        <v>0</v>
      </c>
      <c r="R582" s="1423">
        <f t="shared" si="824"/>
        <v>0</v>
      </c>
      <c r="S582" s="1423">
        <f t="shared" si="825"/>
        <v>0</v>
      </c>
      <c r="T582" s="1423">
        <f t="shared" si="826"/>
        <v>0</v>
      </c>
      <c r="U582" s="1423">
        <f t="shared" si="827"/>
        <v>0</v>
      </c>
      <c r="V582" s="1423">
        <f t="shared" si="828"/>
        <v>0</v>
      </c>
      <c r="W582" s="1423">
        <f t="shared" si="829"/>
        <v>0</v>
      </c>
      <c r="X582" s="152"/>
      <c r="Y582" s="152"/>
      <c r="Z582" s="152"/>
      <c r="AA582" s="152"/>
      <c r="AB582" s="152"/>
    </row>
    <row r="583" spans="1:28" hidden="1" outlineLevel="1">
      <c r="A583" s="242"/>
      <c r="B583" s="190" t="str">
        <f t="shared" ca="1" si="830"/>
        <v>RL Capex 2020-21</v>
      </c>
      <c r="C583" s="1429"/>
      <c r="D583" s="1429"/>
      <c r="E583" s="1429"/>
      <c r="F583" s="1429"/>
      <c r="G583" s="1424"/>
      <c r="H583" s="1428">
        <f>H550</f>
        <v>0</v>
      </c>
      <c r="I583" s="1423">
        <f t="shared" si="815"/>
        <v>0</v>
      </c>
      <c r="J583" s="1423">
        <f t="shared" si="816"/>
        <v>0</v>
      </c>
      <c r="K583" s="1423">
        <f t="shared" si="817"/>
        <v>0</v>
      </c>
      <c r="L583" s="1423">
        <f t="shared" si="818"/>
        <v>0</v>
      </c>
      <c r="M583" s="1423">
        <f t="shared" si="819"/>
        <v>0</v>
      </c>
      <c r="N583" s="1423">
        <f t="shared" si="820"/>
        <v>0</v>
      </c>
      <c r="O583" s="1423">
        <f t="shared" si="821"/>
        <v>0</v>
      </c>
      <c r="P583" s="1423">
        <f t="shared" si="822"/>
        <v>0</v>
      </c>
      <c r="Q583" s="1423">
        <f t="shared" si="823"/>
        <v>0</v>
      </c>
      <c r="R583" s="1423">
        <f t="shared" si="824"/>
        <v>0</v>
      </c>
      <c r="S583" s="1423">
        <f t="shared" si="825"/>
        <v>0</v>
      </c>
      <c r="T583" s="1423">
        <f t="shared" si="826"/>
        <v>0</v>
      </c>
      <c r="U583" s="1423">
        <f t="shared" si="827"/>
        <v>0</v>
      </c>
      <c r="V583" s="1423">
        <f t="shared" si="828"/>
        <v>0</v>
      </c>
      <c r="W583" s="1423">
        <f t="shared" si="829"/>
        <v>0</v>
      </c>
      <c r="X583" s="152"/>
      <c r="Y583" s="152"/>
      <c r="Z583" s="152"/>
      <c r="AA583" s="152"/>
      <c r="AB583" s="152"/>
    </row>
    <row r="584" spans="1:28" hidden="1" outlineLevel="1">
      <c r="A584" s="242"/>
      <c r="B584" s="190" t="str">
        <f t="shared" ca="1" si="830"/>
        <v>RL Capex 2021-22</v>
      </c>
      <c r="C584" s="1429"/>
      <c r="D584" s="1429"/>
      <c r="E584" s="1429"/>
      <c r="F584" s="1429"/>
      <c r="G584" s="1429"/>
      <c r="H584" s="1424"/>
      <c r="I584" s="1428">
        <f>I550</f>
        <v>0</v>
      </c>
      <c r="J584" s="1423">
        <f t="shared" si="816"/>
        <v>0</v>
      </c>
      <c r="K584" s="1423">
        <f t="shared" si="817"/>
        <v>0</v>
      </c>
      <c r="L584" s="1423">
        <f t="shared" si="818"/>
        <v>0</v>
      </c>
      <c r="M584" s="1423">
        <f t="shared" si="819"/>
        <v>0</v>
      </c>
      <c r="N584" s="1423">
        <f t="shared" si="820"/>
        <v>0</v>
      </c>
      <c r="O584" s="1423">
        <f t="shared" si="821"/>
        <v>0</v>
      </c>
      <c r="P584" s="1423">
        <f t="shared" si="822"/>
        <v>0</v>
      </c>
      <c r="Q584" s="1423">
        <f t="shared" si="823"/>
        <v>0</v>
      </c>
      <c r="R584" s="1423">
        <f t="shared" si="824"/>
        <v>0</v>
      </c>
      <c r="S584" s="1423">
        <f t="shared" si="825"/>
        <v>0</v>
      </c>
      <c r="T584" s="1423">
        <f t="shared" si="826"/>
        <v>0</v>
      </c>
      <c r="U584" s="1423">
        <f t="shared" si="827"/>
        <v>0</v>
      </c>
      <c r="V584" s="1423">
        <f t="shared" si="828"/>
        <v>0</v>
      </c>
      <c r="W584" s="1423">
        <f t="shared" si="829"/>
        <v>0</v>
      </c>
      <c r="X584" s="152"/>
      <c r="Y584" s="152"/>
      <c r="Z584" s="152"/>
      <c r="AA584" s="152"/>
      <c r="AB584" s="152"/>
    </row>
    <row r="585" spans="1:28" hidden="1" outlineLevel="1">
      <c r="A585" s="242"/>
      <c r="B585" s="190" t="str">
        <f t="shared" ca="1" si="830"/>
        <v>RL Capex 2022-23</v>
      </c>
      <c r="C585" s="1429"/>
      <c r="D585" s="1429"/>
      <c r="E585" s="1429"/>
      <c r="F585" s="1429"/>
      <c r="G585" s="1429"/>
      <c r="H585" s="1429"/>
      <c r="I585" s="1424"/>
      <c r="J585" s="1428">
        <f>J550</f>
        <v>0</v>
      </c>
      <c r="K585" s="1423">
        <f t="shared" si="817"/>
        <v>0</v>
      </c>
      <c r="L585" s="1423">
        <f t="shared" si="818"/>
        <v>0</v>
      </c>
      <c r="M585" s="1423">
        <f t="shared" si="819"/>
        <v>0</v>
      </c>
      <c r="N585" s="1423">
        <f t="shared" si="820"/>
        <v>0</v>
      </c>
      <c r="O585" s="1423">
        <f t="shared" si="821"/>
        <v>0</v>
      </c>
      <c r="P585" s="1423">
        <f t="shared" si="822"/>
        <v>0</v>
      </c>
      <c r="Q585" s="1423">
        <f t="shared" si="823"/>
        <v>0</v>
      </c>
      <c r="R585" s="1423">
        <f t="shared" si="824"/>
        <v>0</v>
      </c>
      <c r="S585" s="1423">
        <f t="shared" si="825"/>
        <v>0</v>
      </c>
      <c r="T585" s="1423">
        <f t="shared" si="826"/>
        <v>0</v>
      </c>
      <c r="U585" s="1423">
        <f t="shared" si="827"/>
        <v>0</v>
      </c>
      <c r="V585" s="1423">
        <f t="shared" si="828"/>
        <v>0</v>
      </c>
      <c r="W585" s="1423">
        <f t="shared" si="829"/>
        <v>0</v>
      </c>
      <c r="X585" s="152"/>
      <c r="Y585" s="152"/>
      <c r="Z585" s="152"/>
      <c r="AA585" s="152"/>
      <c r="AB585" s="152"/>
    </row>
    <row r="586" spans="1:28" hidden="1" outlineLevel="1">
      <c r="A586" s="242"/>
      <c r="B586" s="190" t="str">
        <f t="shared" ca="1" si="830"/>
        <v>RL Capex 2023-24</v>
      </c>
      <c r="C586" s="1429"/>
      <c r="D586" s="1429"/>
      <c r="E586" s="1429"/>
      <c r="F586" s="1429"/>
      <c r="G586" s="1429"/>
      <c r="H586" s="1429"/>
      <c r="I586" s="1429"/>
      <c r="J586" s="1424"/>
      <c r="K586" s="1428">
        <f>K550</f>
        <v>0</v>
      </c>
      <c r="L586" s="1423">
        <f t="shared" si="818"/>
        <v>0</v>
      </c>
      <c r="M586" s="1423">
        <f t="shared" si="819"/>
        <v>0</v>
      </c>
      <c r="N586" s="1423">
        <f t="shared" si="820"/>
        <v>0</v>
      </c>
      <c r="O586" s="1423">
        <f t="shared" si="821"/>
        <v>0</v>
      </c>
      <c r="P586" s="1423">
        <f t="shared" si="822"/>
        <v>0</v>
      </c>
      <c r="Q586" s="1423">
        <f t="shared" si="823"/>
        <v>0</v>
      </c>
      <c r="R586" s="1423">
        <f t="shared" si="824"/>
        <v>0</v>
      </c>
      <c r="S586" s="1423">
        <f t="shared" si="825"/>
        <v>0</v>
      </c>
      <c r="T586" s="1423">
        <f t="shared" si="826"/>
        <v>0</v>
      </c>
      <c r="U586" s="1423">
        <f t="shared" si="827"/>
        <v>0</v>
      </c>
      <c r="V586" s="1423">
        <f t="shared" si="828"/>
        <v>0</v>
      </c>
      <c r="W586" s="1423">
        <f t="shared" si="829"/>
        <v>0</v>
      </c>
      <c r="X586" s="152"/>
      <c r="Y586" s="152"/>
      <c r="Z586" s="152"/>
      <c r="AA586" s="152"/>
      <c r="AB586" s="152"/>
    </row>
    <row r="587" spans="1:28" hidden="1" outlineLevel="1">
      <c r="A587" s="242"/>
      <c r="B587" s="190" t="str">
        <f t="shared" ca="1" si="830"/>
        <v>RL Capex 2024-25</v>
      </c>
      <c r="C587" s="1429"/>
      <c r="D587" s="1429"/>
      <c r="E587" s="1429"/>
      <c r="F587" s="1429"/>
      <c r="G587" s="1429"/>
      <c r="H587" s="1429"/>
      <c r="I587" s="1429"/>
      <c r="J587" s="1429"/>
      <c r="K587" s="1424"/>
      <c r="L587" s="1428">
        <f>L550</f>
        <v>0</v>
      </c>
      <c r="M587" s="1423">
        <f t="shared" si="819"/>
        <v>0</v>
      </c>
      <c r="N587" s="1423">
        <f t="shared" si="820"/>
        <v>0</v>
      </c>
      <c r="O587" s="1423">
        <f t="shared" si="821"/>
        <v>0</v>
      </c>
      <c r="P587" s="1423">
        <f t="shared" si="822"/>
        <v>0</v>
      </c>
      <c r="Q587" s="1423">
        <f t="shared" si="823"/>
        <v>0</v>
      </c>
      <c r="R587" s="1423">
        <f t="shared" si="824"/>
        <v>0</v>
      </c>
      <c r="S587" s="1423">
        <f t="shared" si="825"/>
        <v>0</v>
      </c>
      <c r="T587" s="1423">
        <f t="shared" si="826"/>
        <v>0</v>
      </c>
      <c r="U587" s="1423">
        <f t="shared" si="827"/>
        <v>0</v>
      </c>
      <c r="V587" s="1423">
        <f t="shared" si="828"/>
        <v>0</v>
      </c>
      <c r="W587" s="1423">
        <f t="shared" si="829"/>
        <v>0</v>
      </c>
      <c r="X587" s="152"/>
      <c r="Y587" s="152"/>
      <c r="Z587" s="152"/>
      <c r="AA587" s="152"/>
      <c r="AB587" s="152"/>
    </row>
    <row r="588" spans="1:28" hidden="1" outlineLevel="1">
      <c r="A588" s="242"/>
      <c r="B588" s="190" t="str">
        <f t="shared" ca="1" si="830"/>
        <v>RL Capex 2025-26</v>
      </c>
      <c r="C588" s="1429"/>
      <c r="D588" s="1429"/>
      <c r="E588" s="1429"/>
      <c r="F588" s="1429"/>
      <c r="G588" s="1429"/>
      <c r="H588" s="1429"/>
      <c r="I588" s="1429"/>
      <c r="J588" s="1429"/>
      <c r="K588" s="1429"/>
      <c r="L588" s="1424"/>
      <c r="M588" s="1428">
        <f>M550</f>
        <v>0</v>
      </c>
      <c r="N588" s="1423">
        <f t="shared" si="820"/>
        <v>0</v>
      </c>
      <c r="O588" s="1423">
        <f t="shared" si="821"/>
        <v>0</v>
      </c>
      <c r="P588" s="1423">
        <f t="shared" si="822"/>
        <v>0</v>
      </c>
      <c r="Q588" s="1423">
        <f t="shared" si="823"/>
        <v>0</v>
      </c>
      <c r="R588" s="1423">
        <f t="shared" si="824"/>
        <v>0</v>
      </c>
      <c r="S588" s="1423">
        <f t="shared" si="825"/>
        <v>0</v>
      </c>
      <c r="T588" s="1423">
        <f t="shared" si="826"/>
        <v>0</v>
      </c>
      <c r="U588" s="1423">
        <f t="shared" si="827"/>
        <v>0</v>
      </c>
      <c r="V588" s="1423">
        <f t="shared" si="828"/>
        <v>0</v>
      </c>
      <c r="W588" s="1423">
        <f t="shared" si="829"/>
        <v>0</v>
      </c>
      <c r="X588" s="152"/>
      <c r="Y588" s="152"/>
      <c r="Z588" s="152"/>
      <c r="AA588" s="152"/>
      <c r="AB588" s="152"/>
    </row>
    <row r="589" spans="1:28" hidden="1" outlineLevel="1">
      <c r="A589" s="242"/>
      <c r="B589" s="190" t="str">
        <f t="shared" ca="1" si="830"/>
        <v>RL Capex 2026-27</v>
      </c>
      <c r="C589" s="1429"/>
      <c r="D589" s="1429"/>
      <c r="E589" s="1429"/>
      <c r="F589" s="1429"/>
      <c r="G589" s="1429"/>
      <c r="H589" s="1429"/>
      <c r="I589" s="1429"/>
      <c r="J589" s="1429"/>
      <c r="K589" s="1429"/>
      <c r="L589" s="1429"/>
      <c r="M589" s="1424"/>
      <c r="N589" s="1428">
        <f>N550</f>
        <v>0</v>
      </c>
      <c r="O589" s="1423">
        <f t="shared" si="821"/>
        <v>0</v>
      </c>
      <c r="P589" s="1423">
        <f t="shared" si="822"/>
        <v>0</v>
      </c>
      <c r="Q589" s="1423">
        <f t="shared" si="823"/>
        <v>0</v>
      </c>
      <c r="R589" s="1423">
        <f t="shared" si="824"/>
        <v>0</v>
      </c>
      <c r="S589" s="1423">
        <f t="shared" si="825"/>
        <v>0</v>
      </c>
      <c r="T589" s="1423">
        <f t="shared" si="826"/>
        <v>0</v>
      </c>
      <c r="U589" s="1423">
        <f t="shared" si="827"/>
        <v>0</v>
      </c>
      <c r="V589" s="1423">
        <f t="shared" si="828"/>
        <v>0</v>
      </c>
      <c r="W589" s="1423">
        <f t="shared" si="829"/>
        <v>0</v>
      </c>
      <c r="X589" s="152"/>
      <c r="Y589" s="152"/>
      <c r="Z589" s="152"/>
      <c r="AA589" s="152"/>
      <c r="AB589" s="152"/>
    </row>
    <row r="590" spans="1:28" hidden="1" outlineLevel="1">
      <c r="A590" s="242"/>
      <c r="B590" s="190" t="str">
        <f t="shared" ca="1" si="830"/>
        <v>RL Capex 2027-28</v>
      </c>
      <c r="C590" s="1429"/>
      <c r="D590" s="1429"/>
      <c r="E590" s="1429"/>
      <c r="F590" s="1429"/>
      <c r="G590" s="1429"/>
      <c r="H590" s="1429"/>
      <c r="I590" s="1429"/>
      <c r="J590" s="1429"/>
      <c r="K590" s="1429"/>
      <c r="L590" s="1429"/>
      <c r="M590" s="1429"/>
      <c r="N590" s="1424"/>
      <c r="O590" s="1428">
        <f>O550</f>
        <v>0</v>
      </c>
      <c r="P590" s="1423">
        <f t="shared" si="822"/>
        <v>0</v>
      </c>
      <c r="Q590" s="1423">
        <f t="shared" si="823"/>
        <v>0</v>
      </c>
      <c r="R590" s="1423">
        <f t="shared" si="824"/>
        <v>0</v>
      </c>
      <c r="S590" s="1423">
        <f t="shared" si="825"/>
        <v>0</v>
      </c>
      <c r="T590" s="1423">
        <f t="shared" si="826"/>
        <v>0</v>
      </c>
      <c r="U590" s="1423">
        <f t="shared" si="827"/>
        <v>0</v>
      </c>
      <c r="V590" s="1423">
        <f t="shared" si="828"/>
        <v>0</v>
      </c>
      <c r="W590" s="1423">
        <f t="shared" si="829"/>
        <v>0</v>
      </c>
      <c r="X590" s="152"/>
      <c r="Y590" s="152"/>
      <c r="Z590" s="152"/>
      <c r="AA590" s="152"/>
      <c r="AB590" s="152"/>
    </row>
    <row r="591" spans="1:28" hidden="1" outlineLevel="1">
      <c r="A591" s="242"/>
      <c r="B591" s="190" t="str">
        <f t="shared" ca="1" si="830"/>
        <v>RL Capex 2028-29</v>
      </c>
      <c r="C591" s="1429"/>
      <c r="D591" s="1429"/>
      <c r="E591" s="1429"/>
      <c r="F591" s="1429"/>
      <c r="G591" s="1429"/>
      <c r="H591" s="1429"/>
      <c r="I591" s="1429"/>
      <c r="J591" s="1429"/>
      <c r="K591" s="1429"/>
      <c r="L591" s="1429"/>
      <c r="M591" s="1429"/>
      <c r="N591" s="1429"/>
      <c r="O591" s="1424"/>
      <c r="P591" s="1428">
        <f>P550</f>
        <v>0</v>
      </c>
      <c r="Q591" s="1423">
        <f t="shared" si="823"/>
        <v>0</v>
      </c>
      <c r="R591" s="1423">
        <f t="shared" si="824"/>
        <v>0</v>
      </c>
      <c r="S591" s="1423">
        <f t="shared" si="825"/>
        <v>0</v>
      </c>
      <c r="T591" s="1423">
        <f t="shared" si="826"/>
        <v>0</v>
      </c>
      <c r="U591" s="1423">
        <f t="shared" si="827"/>
        <v>0</v>
      </c>
      <c r="V591" s="1423">
        <f t="shared" si="828"/>
        <v>0</v>
      </c>
      <c r="W591" s="1423">
        <f t="shared" si="829"/>
        <v>0</v>
      </c>
      <c r="X591" s="152"/>
      <c r="Y591" s="152"/>
      <c r="Z591" s="152"/>
      <c r="AA591" s="152"/>
      <c r="AB591" s="152"/>
    </row>
    <row r="592" spans="1:28" hidden="1" outlineLevel="1">
      <c r="A592" s="242"/>
      <c r="B592" s="190" t="str">
        <f t="shared" ca="1" si="830"/>
        <v>RL Capex 2029-30</v>
      </c>
      <c r="C592" s="1429"/>
      <c r="D592" s="1429"/>
      <c r="E592" s="1429"/>
      <c r="F592" s="1429"/>
      <c r="G592" s="1429"/>
      <c r="H592" s="1429"/>
      <c r="I592" s="1429"/>
      <c r="J592" s="1429"/>
      <c r="K592" s="1429"/>
      <c r="L592" s="1429"/>
      <c r="M592" s="1429"/>
      <c r="N592" s="1429"/>
      <c r="O592" s="1429"/>
      <c r="P592" s="1424"/>
      <c r="Q592" s="1428">
        <f>Q550</f>
        <v>0</v>
      </c>
      <c r="R592" s="1423">
        <f t="shared" si="824"/>
        <v>0</v>
      </c>
      <c r="S592" s="1423">
        <f t="shared" si="825"/>
        <v>0</v>
      </c>
      <c r="T592" s="1423">
        <f t="shared" si="826"/>
        <v>0</v>
      </c>
      <c r="U592" s="1423">
        <f t="shared" si="827"/>
        <v>0</v>
      </c>
      <c r="V592" s="1423">
        <f t="shared" si="828"/>
        <v>0</v>
      </c>
      <c r="W592" s="1423">
        <f t="shared" si="829"/>
        <v>0</v>
      </c>
      <c r="X592" s="152"/>
      <c r="Y592" s="152"/>
      <c r="Z592" s="152"/>
      <c r="AA592" s="152"/>
      <c r="AB592" s="152"/>
    </row>
    <row r="593" spans="1:28" hidden="1" outlineLevel="1">
      <c r="A593" s="242"/>
      <c r="B593" s="190" t="str">
        <f t="shared" ca="1" si="830"/>
        <v>RL Capex 2030-31</v>
      </c>
      <c r="C593" s="1429"/>
      <c r="D593" s="1429"/>
      <c r="E593" s="1429"/>
      <c r="F593" s="1429"/>
      <c r="G593" s="1429"/>
      <c r="H593" s="1429"/>
      <c r="I593" s="1429"/>
      <c r="J593" s="1429"/>
      <c r="K593" s="1429"/>
      <c r="L593" s="1429"/>
      <c r="M593" s="1429"/>
      <c r="N593" s="1429"/>
      <c r="O593" s="1429"/>
      <c r="P593" s="1429"/>
      <c r="Q593" s="1424"/>
      <c r="R593" s="1428">
        <f>R550</f>
        <v>0</v>
      </c>
      <c r="S593" s="1423">
        <f t="shared" si="825"/>
        <v>0</v>
      </c>
      <c r="T593" s="1423">
        <f t="shared" si="826"/>
        <v>0</v>
      </c>
      <c r="U593" s="1423">
        <f t="shared" si="827"/>
        <v>0</v>
      </c>
      <c r="V593" s="1423">
        <f t="shared" si="828"/>
        <v>0</v>
      </c>
      <c r="W593" s="1423">
        <f t="shared" si="829"/>
        <v>0</v>
      </c>
      <c r="X593" s="152"/>
      <c r="Y593" s="152"/>
      <c r="Z593" s="152"/>
      <c r="AA593" s="152"/>
      <c r="AB593" s="152"/>
    </row>
    <row r="594" spans="1:28" hidden="1" outlineLevel="1">
      <c r="A594" s="242"/>
      <c r="B594" s="190" t="str">
        <f t="shared" ca="1" si="830"/>
        <v>RL Capex 2031-32</v>
      </c>
      <c r="C594" s="1429"/>
      <c r="D594" s="1429"/>
      <c r="E594" s="1429"/>
      <c r="F594" s="1429"/>
      <c r="G594" s="1429"/>
      <c r="H594" s="1429"/>
      <c r="I594" s="1429"/>
      <c r="J594" s="1429"/>
      <c r="K594" s="1429"/>
      <c r="L594" s="1429"/>
      <c r="M594" s="1429"/>
      <c r="N594" s="1429"/>
      <c r="O594" s="1429"/>
      <c r="P594" s="1429"/>
      <c r="Q594" s="1429"/>
      <c r="R594" s="1424"/>
      <c r="S594" s="1428">
        <f>S550</f>
        <v>0</v>
      </c>
      <c r="T594" s="1423">
        <f t="shared" si="826"/>
        <v>0</v>
      </c>
      <c r="U594" s="1423">
        <f t="shared" si="827"/>
        <v>0</v>
      </c>
      <c r="V594" s="1423">
        <f t="shared" si="828"/>
        <v>0</v>
      </c>
      <c r="W594" s="1423">
        <f t="shared" si="829"/>
        <v>0</v>
      </c>
      <c r="X594" s="152"/>
      <c r="Y594" s="152"/>
      <c r="Z594" s="152"/>
      <c r="AA594" s="152"/>
      <c r="AB594" s="152"/>
    </row>
    <row r="595" spans="1:28" hidden="1" outlineLevel="1">
      <c r="A595" s="242"/>
      <c r="B595" s="190" t="str">
        <f t="shared" ca="1" si="830"/>
        <v>RL Capex 2032-33</v>
      </c>
      <c r="C595" s="1429"/>
      <c r="D595" s="1429"/>
      <c r="E595" s="1429"/>
      <c r="F595" s="1429"/>
      <c r="G595" s="1429"/>
      <c r="H595" s="1429"/>
      <c r="I595" s="1429"/>
      <c r="J595" s="1429"/>
      <c r="K595" s="1429"/>
      <c r="L595" s="1429"/>
      <c r="M595" s="1429"/>
      <c r="N595" s="1429"/>
      <c r="O595" s="1429"/>
      <c r="P595" s="1429"/>
      <c r="Q595" s="1429"/>
      <c r="R595" s="1429"/>
      <c r="S595" s="1424"/>
      <c r="T595" s="1428">
        <f>T550</f>
        <v>0</v>
      </c>
      <c r="U595" s="1423">
        <f t="shared" si="827"/>
        <v>0</v>
      </c>
      <c r="V595" s="1423">
        <f t="shared" si="828"/>
        <v>0</v>
      </c>
      <c r="W595" s="1423">
        <f t="shared" si="829"/>
        <v>0</v>
      </c>
      <c r="X595" s="152"/>
      <c r="Y595" s="152"/>
      <c r="Z595" s="152"/>
      <c r="AA595" s="152"/>
      <c r="AB595" s="152"/>
    </row>
    <row r="596" spans="1:28" hidden="1" outlineLevel="1">
      <c r="A596" s="242"/>
      <c r="B596" s="190" t="str">
        <f t="shared" ca="1" si="830"/>
        <v>RL Capex 2033-34</v>
      </c>
      <c r="C596" s="1429"/>
      <c r="D596" s="1429"/>
      <c r="E596" s="1429"/>
      <c r="F596" s="1429"/>
      <c r="G596" s="1429"/>
      <c r="H596" s="1429"/>
      <c r="I596" s="1429"/>
      <c r="J596" s="1429"/>
      <c r="K596" s="1429"/>
      <c r="L596" s="1429"/>
      <c r="M596" s="1429"/>
      <c r="N596" s="1429"/>
      <c r="O596" s="1429"/>
      <c r="P596" s="1429"/>
      <c r="Q596" s="1429"/>
      <c r="R596" s="1429"/>
      <c r="S596" s="1429"/>
      <c r="T596" s="1424"/>
      <c r="U596" s="1428">
        <f>U550</f>
        <v>0</v>
      </c>
      <c r="V596" s="1423">
        <f t="shared" si="828"/>
        <v>0</v>
      </c>
      <c r="W596" s="1423">
        <f t="shared" si="829"/>
        <v>0</v>
      </c>
      <c r="X596" s="152"/>
      <c r="Y596" s="152"/>
      <c r="Z596" s="152"/>
      <c r="AA596" s="152"/>
      <c r="AB596" s="152"/>
    </row>
    <row r="597" spans="1:28" hidden="1" outlineLevel="1">
      <c r="A597" s="242"/>
      <c r="B597" s="190" t="str">
        <f t="shared" ca="1" si="830"/>
        <v>RL Capex 2034-35</v>
      </c>
      <c r="C597" s="1429"/>
      <c r="D597" s="1429"/>
      <c r="E597" s="1429"/>
      <c r="F597" s="1429"/>
      <c r="G597" s="1429"/>
      <c r="H597" s="1429"/>
      <c r="I597" s="1429"/>
      <c r="J597" s="1429"/>
      <c r="K597" s="1429"/>
      <c r="L597" s="1429"/>
      <c r="M597" s="1429"/>
      <c r="N597" s="1429"/>
      <c r="O597" s="1429"/>
      <c r="P597" s="1429"/>
      <c r="Q597" s="1429"/>
      <c r="R597" s="1429"/>
      <c r="S597" s="1429"/>
      <c r="T597" s="1429"/>
      <c r="U597" s="1424"/>
      <c r="V597" s="1428">
        <f>V550</f>
        <v>0</v>
      </c>
      <c r="W597" s="1423">
        <f>IF(V597="n/a","n/a",MAX(0,V597-1))</f>
        <v>0</v>
      </c>
      <c r="X597" s="152"/>
      <c r="Y597" s="152"/>
      <c r="Z597" s="152"/>
      <c r="AA597" s="152"/>
      <c r="AB597" s="152"/>
    </row>
    <row r="598" spans="1:28" hidden="1" outlineLevel="1">
      <c r="A598" s="242"/>
      <c r="B598" s="190" t="str">
        <f t="shared" ca="1" si="830"/>
        <v>RL Capex 2035-36</v>
      </c>
      <c r="C598" s="1429"/>
      <c r="D598" s="1429"/>
      <c r="E598" s="1429"/>
      <c r="F598" s="1429"/>
      <c r="G598" s="1429"/>
      <c r="H598" s="1429"/>
      <c r="I598" s="1429"/>
      <c r="J598" s="1429"/>
      <c r="K598" s="1429"/>
      <c r="L598" s="1429"/>
      <c r="M598" s="1429"/>
      <c r="N598" s="1429"/>
      <c r="O598" s="1429"/>
      <c r="P598" s="1429"/>
      <c r="Q598" s="1429"/>
      <c r="R598" s="1429"/>
      <c r="S598" s="1429"/>
      <c r="T598" s="1429"/>
      <c r="U598" s="1429"/>
      <c r="V598" s="1424"/>
      <c r="W598" s="1423">
        <f>W550</f>
        <v>0</v>
      </c>
      <c r="X598" s="152"/>
      <c r="Y598" s="152"/>
      <c r="Z598" s="152"/>
      <c r="AA598" s="152"/>
      <c r="AB598" s="152"/>
    </row>
    <row r="599" spans="1:28" hidden="1" outlineLevel="1">
      <c r="A599" s="242"/>
      <c r="B599" s="200"/>
      <c r="C599" s="1423"/>
      <c r="D599" s="1423"/>
      <c r="E599" s="1423"/>
      <c r="F599" s="1423"/>
      <c r="G599" s="1423"/>
      <c r="H599" s="1423"/>
      <c r="I599" s="1423"/>
      <c r="J599" s="1423"/>
      <c r="K599" s="1423"/>
      <c r="L599" s="1423"/>
      <c r="M599" s="1423"/>
      <c r="N599" s="1423"/>
      <c r="O599" s="1423"/>
      <c r="P599" s="1423"/>
      <c r="Q599" s="1423"/>
      <c r="R599" s="1423"/>
      <c r="S599" s="1423"/>
      <c r="T599" s="1423"/>
      <c r="U599" s="1423"/>
      <c r="V599" s="1423"/>
      <c r="W599" s="1423"/>
      <c r="X599" s="152"/>
      <c r="Y599" s="152"/>
      <c r="Z599" s="152"/>
      <c r="AA599" s="152"/>
      <c r="AB599" s="152"/>
    </row>
    <row r="600" spans="1:28" collapsed="1">
      <c r="A600" s="246"/>
      <c r="B600" s="204" t="s">
        <v>123</v>
      </c>
      <c r="C600" s="1430">
        <f ca="1">(IF(OR($C550&lt;&gt;"n/a",C550&lt;&gt;"n/a"),IF(SUM(C553:C575)=0,0,IF((SUMPRODUCT(C553:C575,C577:C599)/SUM(C553:C575))&lt;0,1,(SUMPRODUCT(C553:C575,C577:C599)/SUM(C553:C575)))),"n/a"))</f>
        <v>0</v>
      </c>
      <c r="D600" s="1430">
        <f ca="1">(IF(OR($C550&lt;&gt;"n/a",D550&lt;&gt;"n/a"),IF(SUM(D553:D575)=0,0,IF((SUMPRODUCT(D553:D575,D577:D599)/SUM(D553:D575))&lt;0,1,(SUMPRODUCT(D553:D575,D577:D599)/SUM(D553:D575)))),"n/a"))</f>
        <v>0</v>
      </c>
      <c r="E600" s="1430">
        <f t="shared" ref="E600:W600" ca="1" si="831">(IF(OR($C550&lt;&gt;"n/a",E550&lt;&gt;"n/a"),IF(SUM(E553:E575)=0,0,IF((SUMPRODUCT(E553:E575,E577:E599)/SUM(E553:E575))&lt;0,1,(SUMPRODUCT(E553:E575,E577:E599)/SUM(E553:E575)))),"n/a"))</f>
        <v>0</v>
      </c>
      <c r="F600" s="1430">
        <f t="shared" ca="1" si="831"/>
        <v>0</v>
      </c>
      <c r="G600" s="1430">
        <f t="shared" ca="1" si="831"/>
        <v>0</v>
      </c>
      <c r="H600" s="1430">
        <f t="shared" ca="1" si="831"/>
        <v>0</v>
      </c>
      <c r="I600" s="1430">
        <f t="shared" ca="1" si="831"/>
        <v>0</v>
      </c>
      <c r="J600" s="1430">
        <f t="shared" ca="1" si="831"/>
        <v>0</v>
      </c>
      <c r="K600" s="1430">
        <f t="shared" ca="1" si="831"/>
        <v>0</v>
      </c>
      <c r="L600" s="1430">
        <f t="shared" ca="1" si="831"/>
        <v>0</v>
      </c>
      <c r="M600" s="1430">
        <f t="shared" ca="1" si="831"/>
        <v>0</v>
      </c>
      <c r="N600" s="1430">
        <f t="shared" ca="1" si="831"/>
        <v>0</v>
      </c>
      <c r="O600" s="1430">
        <f t="shared" ca="1" si="831"/>
        <v>0</v>
      </c>
      <c r="P600" s="1430">
        <f t="shared" ca="1" si="831"/>
        <v>0</v>
      </c>
      <c r="Q600" s="1430">
        <f t="shared" ca="1" si="831"/>
        <v>0</v>
      </c>
      <c r="R600" s="1430">
        <f t="shared" ca="1" si="831"/>
        <v>0</v>
      </c>
      <c r="S600" s="1430">
        <f t="shared" ca="1" si="831"/>
        <v>0</v>
      </c>
      <c r="T600" s="1430">
        <f t="shared" ca="1" si="831"/>
        <v>0</v>
      </c>
      <c r="U600" s="1430">
        <f t="shared" ca="1" si="831"/>
        <v>0</v>
      </c>
      <c r="V600" s="1430">
        <f t="shared" ca="1" si="831"/>
        <v>0</v>
      </c>
      <c r="W600" s="1430">
        <f t="shared" ca="1" si="831"/>
        <v>0</v>
      </c>
      <c r="X600" s="152"/>
      <c r="Y600" s="152"/>
      <c r="Z600" s="152"/>
      <c r="AA600" s="152"/>
      <c r="AB600" s="152"/>
    </row>
    <row r="601" spans="1:28">
      <c r="A601" s="242"/>
      <c r="B601" s="152"/>
      <c r="C601" s="1423"/>
      <c r="D601" s="1423"/>
      <c r="E601" s="1423"/>
      <c r="F601" s="1423"/>
      <c r="G601" s="1423"/>
      <c r="H601" s="1423"/>
      <c r="I601" s="1423"/>
      <c r="J601" s="1423"/>
      <c r="K601" s="1423"/>
      <c r="L601" s="1423"/>
      <c r="M601" s="1423"/>
      <c r="N601" s="1423"/>
      <c r="O601" s="1423"/>
      <c r="P601" s="1423"/>
      <c r="Q601" s="1423"/>
      <c r="R601" s="1423"/>
      <c r="S601" s="1423"/>
      <c r="T601" s="1423"/>
      <c r="U601" s="1423"/>
      <c r="V601" s="1423"/>
      <c r="W601" s="1423"/>
      <c r="X601" s="152"/>
      <c r="Y601" s="152"/>
      <c r="Z601" s="152"/>
      <c r="AA601" s="152"/>
      <c r="AB601" s="152"/>
    </row>
    <row r="602" spans="1:28">
      <c r="A602" s="269" t="s">
        <v>12</v>
      </c>
      <c r="B602" s="270">
        <f>VLOOKUP($A602,'RFM input'!$E$7:$F$56,2,FALSE)</f>
        <v>0</v>
      </c>
      <c r="C602" s="1431"/>
      <c r="D602" s="1431"/>
      <c r="E602" s="1432"/>
      <c r="F602" s="1432"/>
      <c r="G602" s="1432"/>
      <c r="H602" s="1432"/>
      <c r="I602" s="1432"/>
      <c r="J602" s="1432"/>
      <c r="K602" s="1432"/>
      <c r="L602" s="1432"/>
      <c r="M602" s="1432"/>
      <c r="N602" s="1432"/>
      <c r="O602" s="1432"/>
      <c r="P602" s="1432"/>
      <c r="Q602" s="1432"/>
      <c r="R602" s="1432"/>
      <c r="S602" s="1432"/>
      <c r="T602" s="1432"/>
      <c r="U602" s="1432"/>
      <c r="V602" s="1432"/>
      <c r="W602" s="1432"/>
      <c r="X602" s="152"/>
      <c r="Y602" s="152"/>
      <c r="Z602" s="152"/>
      <c r="AA602" s="152"/>
      <c r="AB602" s="152"/>
    </row>
    <row r="603" spans="1:28">
      <c r="A603" s="215">
        <f>VALUE(REPLACE(A602,1,12,""))</f>
        <v>12</v>
      </c>
      <c r="B603" s="263" t="s">
        <v>126</v>
      </c>
      <c r="C603" s="1416">
        <f ca="1">IF($D$6='TAB roll forward'!$H$4,OFFSET('TAB roll forward'!$H$7,A603,0),"enter input")</f>
        <v>0</v>
      </c>
      <c r="D603" s="1417">
        <f>IF(LEFT(D$6,4)&lt;LEFT('RFM input'!$G$60,4),"enter input",IF(LEFT(D$6,4)&gt;LEFT('RFM input'!$Q$60,4),0,
INDEX('RFM input'!$G$61:$Q$110,$A603,MATCH(D$6,'RFM input'!$G$60:$Q$60,0))
   -INDEX('RFM input'!$G$115:$Q$164,$A603,MATCH(D$6,'RFM input'!$G$60:$Q$60,0))))</f>
        <v>0</v>
      </c>
      <c r="E603" s="1417">
        <f>IF(LEFT(E$6,4)&lt;LEFT('RFM input'!$G$60,4),"enter input",IF(LEFT(E$6,4)&gt;LEFT('RFM input'!$Q$60,4),0,
INDEX('RFM input'!$G$61:$Q$110,$A603,MATCH(E$6,'RFM input'!$G$60:$Q$60,0))
   -INDEX('RFM input'!$G$115:$Q$164,$A603,MATCH(E$6,'RFM input'!$G$60:$Q$60,0))))</f>
        <v>0</v>
      </c>
      <c r="F603" s="1417">
        <f>IF(LEFT(F$6,4)&lt;LEFT('RFM input'!$G$60,4),"enter input",IF(LEFT(F$6,4)&gt;LEFT('RFM input'!$Q$60,4),0,
INDEX('RFM input'!$G$61:$Q$110,$A603,MATCH(F$6,'RFM input'!$G$60:$Q$60,0))
   -INDEX('RFM input'!$G$115:$Q$164,$A603,MATCH(F$6,'RFM input'!$G$60:$Q$60,0))))</f>
        <v>0</v>
      </c>
      <c r="G603" s="1417">
        <f>IF(LEFT(G$6,4)&lt;LEFT('RFM input'!$G$60,4),"enter input",IF(LEFT(G$6,4)&gt;LEFT('RFM input'!$Q$60,4),0,
INDEX('RFM input'!$G$61:$Q$110,$A603,MATCH(G$6,'RFM input'!$G$60:$Q$60,0))
   -INDEX('RFM input'!$G$115:$Q$164,$A603,MATCH(G$6,'RFM input'!$G$60:$Q$60,0))))</f>
        <v>0</v>
      </c>
      <c r="H603" s="1417">
        <f>IF(LEFT(H$6,4)&lt;LEFT('RFM input'!$G$60,4),"enter input",IF(LEFT(H$6,4)&gt;LEFT('RFM input'!$Q$60,4),0,
INDEX('RFM input'!$G$61:$Q$110,$A603,MATCH(H$6,'RFM input'!$G$60:$Q$60,0))
   -INDEX('RFM input'!$G$115:$Q$164,$A603,MATCH(H$6,'RFM input'!$G$60:$Q$60,0))))</f>
        <v>0</v>
      </c>
      <c r="I603" s="1417">
        <f>IF(LEFT(I$6,4)&lt;LEFT('RFM input'!$G$60,4),"enter input",IF(LEFT(I$6,4)&gt;LEFT('RFM input'!$Q$60,4),0,
INDEX('RFM input'!$G$61:$Q$110,$A603,MATCH(I$6,'RFM input'!$G$60:$Q$60,0))
   -INDEX('RFM input'!$G$115:$Q$164,$A603,MATCH(I$6,'RFM input'!$G$60:$Q$60,0))))</f>
        <v>0</v>
      </c>
      <c r="J603" s="1417">
        <f>IF(LEFT(J$6,4)&lt;LEFT('RFM input'!$G$60,4),"enter input",IF(LEFT(J$6,4)&gt;LEFT('RFM input'!$Q$60,4),0,
INDEX('RFM input'!$G$61:$Q$110,$A603,MATCH(J$6,'RFM input'!$G$60:$Q$60,0))
   -INDEX('RFM input'!$G$115:$Q$164,$A603,MATCH(J$6,'RFM input'!$G$60:$Q$60,0))))</f>
        <v>0</v>
      </c>
      <c r="K603" s="1417">
        <f>IF(LEFT(K$6,4)&lt;LEFT('RFM input'!$G$60,4),"enter input",IF(LEFT(K$6,4)&gt;LEFT('RFM input'!$Q$60,4),0,
INDEX('RFM input'!$G$61:$Q$110,$A603,MATCH(K$6,'RFM input'!$G$60:$Q$60,0))
   -INDEX('RFM input'!$G$115:$Q$164,$A603,MATCH(K$6,'RFM input'!$G$60:$Q$60,0))))</f>
        <v>0</v>
      </c>
      <c r="L603" s="1417">
        <f>IF(LEFT(L$6,4)&lt;LEFT('RFM input'!$G$60,4),"enter input",IF(LEFT(L$6,4)&gt;LEFT('RFM input'!$Q$60,4),0,
INDEX('RFM input'!$G$61:$Q$110,$A603,MATCH(L$6,'RFM input'!$G$60:$Q$60,0))
   -INDEX('RFM input'!$G$115:$Q$164,$A603,MATCH(L$6,'RFM input'!$G$60:$Q$60,0))))</f>
        <v>0</v>
      </c>
      <c r="M603" s="1417">
        <f>IF(LEFT(M$6,4)&lt;LEFT('RFM input'!$G$60,4),"enter input",IF(LEFT(M$6,4)&gt;LEFT('RFM input'!$Q$60,4),0,
INDEX('RFM input'!$G$61:$Q$110,$A603,MATCH(M$6,'RFM input'!$G$60:$Q$60,0))
   -INDEX('RFM input'!$G$115:$Q$164,$A603,MATCH(M$6,'RFM input'!$G$60:$Q$60,0))))</f>
        <v>0</v>
      </c>
      <c r="N603" s="1417">
        <f>IF(LEFT(N$6,4)&lt;LEFT('RFM input'!$G$60,4),"enter input",IF(LEFT(N$6,4)&gt;LEFT('RFM input'!$Q$60,4),0,
INDEX('RFM input'!$G$61:$Q$110,$A603,MATCH(N$6,'RFM input'!$G$60:$Q$60,0))
   -INDEX('RFM input'!$G$115:$Q$164,$A603,MATCH(N$6,'RFM input'!$G$60:$Q$60,0))))</f>
        <v>0</v>
      </c>
      <c r="O603" s="1417">
        <f>IF(LEFT(O$6,4)&lt;LEFT('RFM input'!$G$60,4),"enter input",IF(LEFT(O$6,4)&gt;LEFT('RFM input'!$Q$60,4),0,
INDEX('RFM input'!$G$61:$Q$110,$A603,MATCH(O$6,'RFM input'!$G$60:$Q$60,0))
   -INDEX('RFM input'!$G$115:$Q$164,$A603,MATCH(O$6,'RFM input'!$G$60:$Q$60,0))))</f>
        <v>0</v>
      </c>
      <c r="P603" s="1417">
        <f>IF(LEFT(P$6,4)&lt;LEFT('RFM input'!$G$60,4),"enter input",IF(LEFT(P$6,4)&gt;LEFT('RFM input'!$Q$60,4),0,
INDEX('RFM input'!$G$61:$Q$110,$A603,MATCH(P$6,'RFM input'!$G$60:$Q$60,0))
   -INDEX('RFM input'!$G$115:$Q$164,$A603,MATCH(P$6,'RFM input'!$G$60:$Q$60,0))))</f>
        <v>0</v>
      </c>
      <c r="Q603" s="1417">
        <f>IF(LEFT(Q$6,4)&lt;LEFT('RFM input'!$G$60,4),"enter input",IF(LEFT(Q$6,4)&gt;LEFT('RFM input'!$Q$60,4),0,
INDEX('RFM input'!$G$61:$Q$110,$A603,MATCH(Q$6,'RFM input'!$G$60:$Q$60,0))
   -INDEX('RFM input'!$G$115:$Q$164,$A603,MATCH(Q$6,'RFM input'!$G$60:$Q$60,0))))</f>
        <v>0</v>
      </c>
      <c r="R603" s="1417">
        <f>IF(LEFT(R$6,4)&lt;LEFT('RFM input'!$G$60,4),"enter input",IF(LEFT(R$6,4)&gt;LEFT('RFM input'!$Q$60,4),0,
INDEX('RFM input'!$G$61:$Q$110,$A603,MATCH(R$6,'RFM input'!$G$60:$Q$60,0))
   -INDEX('RFM input'!$G$115:$Q$164,$A603,MATCH(R$6,'RFM input'!$G$60:$Q$60,0))))</f>
        <v>0</v>
      </c>
      <c r="S603" s="1417">
        <f>IF(LEFT(S$6,4)&lt;LEFT('RFM input'!$G$60,4),"enter input",IF(LEFT(S$6,4)&gt;LEFT('RFM input'!$Q$60,4),0,
INDEX('RFM input'!$G$61:$Q$110,$A603,MATCH(S$6,'RFM input'!$G$60:$Q$60,0))
   -INDEX('RFM input'!$G$115:$Q$164,$A603,MATCH(S$6,'RFM input'!$G$60:$Q$60,0))))</f>
        <v>0</v>
      </c>
      <c r="T603" s="1417">
        <f>IF(LEFT(T$6,4)&lt;LEFT('RFM input'!$G$60,4),"enter input",IF(LEFT(T$6,4)&gt;LEFT('RFM input'!$Q$60,4),0,
INDEX('RFM input'!$G$61:$Q$110,$A603,MATCH(T$6,'RFM input'!$G$60:$Q$60,0))
   -INDEX('RFM input'!$G$115:$Q$164,$A603,MATCH(T$6,'RFM input'!$G$60:$Q$60,0))))</f>
        <v>0</v>
      </c>
      <c r="U603" s="1417">
        <f>IF(LEFT(U$6,4)&lt;LEFT('RFM input'!$G$60,4),"enter input",IF(LEFT(U$6,4)&gt;LEFT('RFM input'!$Q$60,4),0,
INDEX('RFM input'!$G$61:$Q$110,$A603,MATCH(U$6,'RFM input'!$G$60:$Q$60,0))
   -INDEX('RFM input'!$G$115:$Q$164,$A603,MATCH(U$6,'RFM input'!$G$60:$Q$60,0))))</f>
        <v>0</v>
      </c>
      <c r="V603" s="1417">
        <f>IF(LEFT(V$6,4)&lt;LEFT('RFM input'!$G$60,4),"enter input",IF(LEFT(V$6,4)&gt;LEFT('RFM input'!$Q$60,4),0,
INDEX('RFM input'!$G$61:$Q$110,$A603,MATCH(V$6,'RFM input'!$G$60:$Q$60,0))
   -INDEX('RFM input'!$G$115:$Q$164,$A603,MATCH(V$6,'RFM input'!$G$60:$Q$60,0))))</f>
        <v>0</v>
      </c>
      <c r="W603" s="1417">
        <f>IF(LEFT(W$6,4)&lt;LEFT('RFM input'!$G$60,4),"enter input",IF(LEFT(W$6,4)&gt;LEFT('RFM input'!$Q$60,4),0,
INDEX('RFM input'!$G$61:$Q$110,$A603,MATCH(W$6,'RFM input'!$G$60:$Q$60,0))
   -INDEX('RFM input'!$G$115:$Q$164,$A603,MATCH(W$6,'RFM input'!$G$60:$Q$60,0))))</f>
        <v>0</v>
      </c>
      <c r="X603" s="152"/>
      <c r="Y603" s="152"/>
      <c r="Z603" s="152"/>
      <c r="AA603" s="152"/>
      <c r="AB603" s="152"/>
    </row>
    <row r="604" spans="1:28">
      <c r="A604" s="242"/>
      <c r="B604" s="152" t="s">
        <v>205</v>
      </c>
      <c r="C604" s="1418">
        <f ca="1">IF($D$6='TAB roll forward'!$H$4,OFFSET('RFM input'!$S$6,$A603,0),"enter input")</f>
        <v>0</v>
      </c>
      <c r="D604" s="1417">
        <f>IF(LEFT(D$6,4)&lt;=LEFT('RFM input'!$G$60,4),"enter input",IF(LEFT(D$6,4)&gt;LEFT('RFM input'!$Q$60,4),0,
IF(MATCH(D$6,'RFM input'!$H$60:$Q$60,0),INDEX('RFM input'!$T$7:$T$56,$A603,1,1))))</f>
        <v>0</v>
      </c>
      <c r="E604" s="1417">
        <f>IF(LEFT(E$6,4)&lt;=LEFT('RFM input'!$G$60,4),"enter input",IF(LEFT(E$6,4)&gt;LEFT('RFM input'!$Q$60,4),0,
IF(MATCH(E$6,'RFM input'!$H$60:$Q$60,0),INDEX('RFM input'!$T$7:$T$56,$A603,1,1))))</f>
        <v>0</v>
      </c>
      <c r="F604" s="1417">
        <f>IF(LEFT(F$6,4)&lt;=LEFT('RFM input'!$G$60,4),"enter input",IF(LEFT(F$6,4)&gt;LEFT('RFM input'!$Q$60,4),0,
IF(MATCH(F$6,'RFM input'!$H$60:$Q$60,0),INDEX('RFM input'!$T$7:$T$56,$A603,1,1))))</f>
        <v>0</v>
      </c>
      <c r="G604" s="1417">
        <f>IF(LEFT(G$6,4)&lt;=LEFT('RFM input'!$G$60,4),"enter input",IF(LEFT(G$6,4)&gt;LEFT('RFM input'!$Q$60,4),0,
IF(MATCH(G$6,'RFM input'!$H$60:$Q$60,0),INDEX('RFM input'!$T$7:$T$56,$A603,1,1))))</f>
        <v>0</v>
      </c>
      <c r="H604" s="1417">
        <f>IF(LEFT(H$6,4)&lt;=LEFT('RFM input'!$G$60,4),"enter input",IF(LEFT(H$6,4)&gt;LEFT('RFM input'!$Q$60,4),0,
IF(MATCH(H$6,'RFM input'!$H$60:$Q$60,0),INDEX('RFM input'!$T$7:$T$56,$A603,1,1))))</f>
        <v>0</v>
      </c>
      <c r="I604" s="1417">
        <f>IF(LEFT(I$6,4)&lt;=LEFT('RFM input'!$G$60,4),"enter input",IF(LEFT(I$6,4)&gt;LEFT('RFM input'!$Q$60,4),0,
IF(MATCH(I$6,'RFM input'!$H$60:$Q$60,0),INDEX('RFM input'!$T$7:$T$56,$A603,1,1))))</f>
        <v>0</v>
      </c>
      <c r="J604" s="1417">
        <f>IF(LEFT(J$6,4)&lt;=LEFT('RFM input'!$G$60,4),"enter input",IF(LEFT(J$6,4)&gt;LEFT('RFM input'!$Q$60,4),0,
IF(MATCH(J$6,'RFM input'!$H$60:$Q$60,0),INDEX('RFM input'!$T$7:$T$56,$A603,1,1))))</f>
        <v>0</v>
      </c>
      <c r="K604" s="1417">
        <f>IF(LEFT(K$6,4)&lt;=LEFT('RFM input'!$G$60,4),"enter input",IF(LEFT(K$6,4)&gt;LEFT('RFM input'!$Q$60,4),0,
IF(MATCH(K$6,'RFM input'!$H$60:$Q$60,0),INDEX('RFM input'!$T$7:$T$56,$A603,1,1))))</f>
        <v>0</v>
      </c>
      <c r="L604" s="1417">
        <f>IF(LEFT(L$6,4)&lt;=LEFT('RFM input'!$G$60,4),"enter input",IF(LEFT(L$6,4)&gt;LEFT('RFM input'!$Q$60,4),0,
IF(MATCH(L$6,'RFM input'!$H$60:$Q$60,0),INDEX('RFM input'!$T$7:$T$56,$A603,1,1))))</f>
        <v>0</v>
      </c>
      <c r="M604" s="1417">
        <f>IF(LEFT(M$6,4)&lt;=LEFT('RFM input'!$G$60,4),"enter input",IF(LEFT(M$6,4)&gt;LEFT('RFM input'!$Q$60,4),0,
IF(MATCH(M$6,'RFM input'!$H$60:$Q$60,0),INDEX('RFM input'!$T$7:$T$56,$A603,1,1))))</f>
        <v>0</v>
      </c>
      <c r="N604" s="1417">
        <f>IF(LEFT(N$6,4)&lt;=LEFT('RFM input'!$G$60,4),"enter input",IF(LEFT(N$6,4)&gt;LEFT('RFM input'!$Q$60,4),0,
IF(MATCH(N$6,'RFM input'!$H$60:$Q$60,0),INDEX('RFM input'!$T$7:$T$56,$A603,1,1))))</f>
        <v>0</v>
      </c>
      <c r="O604" s="1417">
        <f>IF(LEFT(O$6,4)&lt;=LEFT('RFM input'!$G$60,4),"enter input",IF(LEFT(O$6,4)&gt;LEFT('RFM input'!$Q$60,4),0,
IF(MATCH(O$6,'RFM input'!$H$60:$Q$60,0),INDEX('RFM input'!$T$7:$T$56,$A603,1,1))))</f>
        <v>0</v>
      </c>
      <c r="P604" s="1417">
        <f>IF(LEFT(P$6,4)&lt;=LEFT('RFM input'!$G$60,4),"enter input",IF(LEFT(P$6,4)&gt;LEFT('RFM input'!$Q$60,4),0,
IF(MATCH(P$6,'RFM input'!$H$60:$Q$60,0),INDEX('RFM input'!$T$7:$T$56,$A603,1,1))))</f>
        <v>0</v>
      </c>
      <c r="Q604" s="1417">
        <f>IF(LEFT(Q$6,4)&lt;=LEFT('RFM input'!$G$60,4),"enter input",IF(LEFT(Q$6,4)&gt;LEFT('RFM input'!$Q$60,4),0,
IF(MATCH(Q$6,'RFM input'!$H$60:$Q$60,0),INDEX('RFM input'!$T$7:$T$56,$A603,1,1))))</f>
        <v>0</v>
      </c>
      <c r="R604" s="1417">
        <f>IF(LEFT(R$6,4)&lt;=LEFT('RFM input'!$G$60,4),"enter input",IF(LEFT(R$6,4)&gt;LEFT('RFM input'!$Q$60,4),0,
IF(MATCH(R$6,'RFM input'!$H$60:$Q$60,0),INDEX('RFM input'!$T$7:$T$56,$A603,1,1))))</f>
        <v>0</v>
      </c>
      <c r="S604" s="1417">
        <f>IF(LEFT(S$6,4)&lt;=LEFT('RFM input'!$G$60,4),"enter input",IF(LEFT(S$6,4)&gt;LEFT('RFM input'!$Q$60,4),0,
IF(MATCH(S$6,'RFM input'!$H$60:$Q$60,0),INDEX('RFM input'!$T$7:$T$56,$A603,1,1))))</f>
        <v>0</v>
      </c>
      <c r="T604" s="1417">
        <f>IF(LEFT(T$6,4)&lt;=LEFT('RFM input'!$G$60,4),"enter input",IF(LEFT(T$6,4)&gt;LEFT('RFM input'!$Q$60,4),0,
IF(MATCH(T$6,'RFM input'!$H$60:$Q$60,0),INDEX('RFM input'!$T$7:$T$56,$A603,1,1))))</f>
        <v>0</v>
      </c>
      <c r="U604" s="1417">
        <f>IF(LEFT(U$6,4)&lt;=LEFT('RFM input'!$G$60,4),"enter input",IF(LEFT(U$6,4)&gt;LEFT('RFM input'!$Q$60,4),0,
IF(MATCH(U$6,'RFM input'!$H$60:$Q$60,0),INDEX('RFM input'!$T$7:$T$56,$A603,1,1))))</f>
        <v>0</v>
      </c>
      <c r="V604" s="1417">
        <f>IF(LEFT(V$6,4)&lt;=LEFT('RFM input'!$G$60,4),"enter input",IF(LEFT(V$6,4)&gt;LEFT('RFM input'!$Q$60,4),0,
IF(MATCH(V$6,'RFM input'!$H$60:$Q$60,0),INDEX('RFM input'!$T$7:$T$56,$A603,1,1))))</f>
        <v>0</v>
      </c>
      <c r="W604" s="1417">
        <f>IF(LEFT(W$6,4)&lt;=LEFT('RFM input'!$G$60,4),"enter input",IF(LEFT(W$6,4)&gt;LEFT('RFM input'!$Q$60,4),0,
IF(MATCH(W$6,'RFM input'!$H$60:$Q$60,0),INDEX('RFM input'!$T$7:$T$56,$A603,1,1))))</f>
        <v>0</v>
      </c>
      <c r="X604" s="152"/>
      <c r="Y604" s="152"/>
      <c r="Z604" s="152"/>
      <c r="AA604" s="152"/>
      <c r="AB604" s="152"/>
    </row>
    <row r="605" spans="1:28">
      <c r="A605" s="242"/>
      <c r="B605" s="193" t="s">
        <v>192</v>
      </c>
      <c r="C605" s="1419"/>
      <c r="D605" s="1420">
        <f ca="1">IF(LEFT(D$6,4)&lt;=LEFT('RFM input'!$G$60,4),"enter input",IF(LEFT(D$6,4)&gt;LEFT('RFM input'!$Q$60,4),0,
IF(D$6=(OFFSET('RFM input'!$G$60,0,'RFM input'!$V$7)),OFFSET('RFM input'!$H$411,$A603,0),0)))</f>
        <v>0</v>
      </c>
      <c r="E605" s="1417">
        <f ca="1">IF(LEFT(E$6,4)&lt;=LEFT('RFM input'!$G$60,4),"enter input",IF(LEFT(E$6,4)&gt;LEFT('RFM input'!$Q$60,4),0,
IF(E$6=(OFFSET('RFM input'!$G$60,0,'RFM input'!$V$7)),OFFSET('RFM input'!$H$411,$A603,0),0)))</f>
        <v>0</v>
      </c>
      <c r="F605" s="1417">
        <f ca="1">IF(LEFT(F$6,4)&lt;=LEFT('RFM input'!$G$60,4),"enter input",IF(LEFT(F$6,4)&gt;LEFT('RFM input'!$Q$60,4),0,
IF(F$6=(OFFSET('RFM input'!$G$60,0,'RFM input'!$V$7)),OFFSET('RFM input'!$H$411,$A603,0),0)))</f>
        <v>0</v>
      </c>
      <c r="G605" s="1417">
        <f ca="1">IF(LEFT(G$6,4)&lt;=LEFT('RFM input'!$G$60,4),"enter input",IF(LEFT(G$6,4)&gt;LEFT('RFM input'!$Q$60,4),0,
IF(G$6=(OFFSET('RFM input'!$G$60,0,'RFM input'!$V$7)),OFFSET('RFM input'!$H$411,$A603,0),0)))</f>
        <v>0</v>
      </c>
      <c r="H605" s="1417">
        <f ca="1">IF(LEFT(H$6,4)&lt;=LEFT('RFM input'!$G$60,4),"enter input",IF(LEFT(H$6,4)&gt;LEFT('RFM input'!$Q$60,4),0,
IF(H$6=(OFFSET('RFM input'!$G$60,0,'RFM input'!$V$7)),OFFSET('RFM input'!$H$411,$A603,0),0)))</f>
        <v>0</v>
      </c>
      <c r="I605" s="1417">
        <f ca="1">IF(LEFT(I$6,4)&lt;=LEFT('RFM input'!$G$60,4),"enter input",IF(LEFT(I$6,4)&gt;LEFT('RFM input'!$Q$60,4),0,
IF(I$6=(OFFSET('RFM input'!$G$60,0,'RFM input'!$V$7)),OFFSET('RFM input'!$H$411,$A603,0),0)))</f>
        <v>0</v>
      </c>
      <c r="J605" s="1417">
        <f ca="1">IF(LEFT(J$6,4)&lt;=LEFT('RFM input'!$G$60,4),"enter input",IF(LEFT(J$6,4)&gt;LEFT('RFM input'!$Q$60,4),0,
IF(J$6=(OFFSET('RFM input'!$G$60,0,'RFM input'!$V$7)),OFFSET('RFM input'!$H$411,$A603,0),0)))</f>
        <v>0</v>
      </c>
      <c r="K605" s="1417">
        <f ca="1">IF(LEFT(K$6,4)&lt;=LEFT('RFM input'!$G$60,4),"enter input",IF(LEFT(K$6,4)&gt;LEFT('RFM input'!$Q$60,4),0,
IF(K$6=(OFFSET('RFM input'!$G$60,0,'RFM input'!$V$7)),OFFSET('RFM input'!$H$411,$A603,0),0)))</f>
        <v>0</v>
      </c>
      <c r="L605" s="1417">
        <f ca="1">IF(LEFT(L$6,4)&lt;=LEFT('RFM input'!$G$60,4),"enter input",IF(LEFT(L$6,4)&gt;LEFT('RFM input'!$Q$60,4),0,
IF(L$6=(OFFSET('RFM input'!$G$60,0,'RFM input'!$V$7)),OFFSET('RFM input'!$H$411,$A603,0),0)))</f>
        <v>0</v>
      </c>
      <c r="M605" s="1417">
        <f ca="1">IF(LEFT(M$6,4)&lt;=LEFT('RFM input'!$G$60,4),"enter input",IF(LEFT(M$6,4)&gt;LEFT('RFM input'!$Q$60,4),0,
IF(M$6=(OFFSET('RFM input'!$G$60,0,'RFM input'!$V$7)),OFFSET('RFM input'!$H$411,$A603,0),0)))</f>
        <v>0</v>
      </c>
      <c r="N605" s="1417">
        <f ca="1">IF(LEFT(N$6,4)&lt;=LEFT('RFM input'!$G$60,4),"enter input",IF(LEFT(N$6,4)&gt;LEFT('RFM input'!$Q$60,4),0,
IF(N$6=(OFFSET('RFM input'!$G$60,0,'RFM input'!$V$7)),OFFSET('RFM input'!$H$411,$A603,0),0)))</f>
        <v>0</v>
      </c>
      <c r="O605" s="1417">
        <f ca="1">IF(LEFT(O$6,4)&lt;=LEFT('RFM input'!$G$60,4),"enter input",IF(LEFT(O$6,4)&gt;LEFT('RFM input'!$Q$60,4),0,
IF(O$6=(OFFSET('RFM input'!$G$60,0,'RFM input'!$V$7)),OFFSET('RFM input'!$H$411,$A603,0),0)))</f>
        <v>0</v>
      </c>
      <c r="P605" s="1417">
        <f ca="1">IF(LEFT(P$6,4)&lt;=LEFT('RFM input'!$G$60,4),"enter input",IF(LEFT(P$6,4)&gt;LEFT('RFM input'!$Q$60,4),0,
IF(P$6=(OFFSET('RFM input'!$G$60,0,'RFM input'!$V$7)),OFFSET('RFM input'!$H$411,$A603,0),0)))</f>
        <v>0</v>
      </c>
      <c r="Q605" s="1417">
        <f ca="1">IF(LEFT(Q$6,4)&lt;=LEFT('RFM input'!$G$60,4),"enter input",IF(LEFT(Q$6,4)&gt;LEFT('RFM input'!$Q$60,4),0,
IF(Q$6=(OFFSET('RFM input'!$G$60,0,'RFM input'!$V$7)),OFFSET('RFM input'!$H$411,$A603,0),0)))</f>
        <v>0</v>
      </c>
      <c r="R605" s="1417">
        <f ca="1">IF(LEFT(R$6,4)&lt;=LEFT('RFM input'!$G$60,4),"enter input",IF(LEFT(R$6,4)&gt;LEFT('RFM input'!$Q$60,4),0,
IF(R$6=(OFFSET('RFM input'!$G$60,0,'RFM input'!$V$7)),OFFSET('RFM input'!$H$411,$A603,0),0)))</f>
        <v>0</v>
      </c>
      <c r="S605" s="1417">
        <f ca="1">IF(LEFT(S$6,4)&lt;=LEFT('RFM input'!$G$60,4),"enter input",IF(LEFT(S$6,4)&gt;LEFT('RFM input'!$Q$60,4),0,
IF(S$6=(OFFSET('RFM input'!$G$60,0,'RFM input'!$V$7)),OFFSET('RFM input'!$H$411,$A603,0),0)))</f>
        <v>0</v>
      </c>
      <c r="T605" s="1417">
        <f ca="1">IF(LEFT(T$6,4)&lt;=LEFT('RFM input'!$G$60,4),"enter input",IF(LEFT(T$6,4)&gt;LEFT('RFM input'!$Q$60,4),0,
IF(T$6=(OFFSET('RFM input'!$G$60,0,'RFM input'!$V$7)),OFFSET('RFM input'!$H$411,$A603,0),0)))</f>
        <v>0</v>
      </c>
      <c r="U605" s="1417">
        <f ca="1">IF(LEFT(U$6,4)&lt;=LEFT('RFM input'!$G$60,4),"enter input",IF(LEFT(U$6,4)&gt;LEFT('RFM input'!$Q$60,4),0,
IF(U$6=(OFFSET('RFM input'!$G$60,0,'RFM input'!$V$7)),OFFSET('RFM input'!$H$411,$A603,0),0)))</f>
        <v>0</v>
      </c>
      <c r="V605" s="1417">
        <f ca="1">IF(LEFT(V$6,4)&lt;=LEFT('RFM input'!$G$60,4),"enter input",IF(LEFT(V$6,4)&gt;LEFT('RFM input'!$Q$60,4),0,
IF(V$6=(OFFSET('RFM input'!$G$60,0,'RFM input'!$V$7)),OFFSET('RFM input'!$H$411,$A603,0),0)))</f>
        <v>0</v>
      </c>
      <c r="W605" s="1417">
        <f ca="1">IF(LEFT(W$6,4)&lt;=LEFT('RFM input'!$G$60,4),"enter input",IF(LEFT(W$6,4)&gt;LEFT('RFM input'!$Q$60,4),0,
IF(W$6=(OFFSET('RFM input'!$G$60,0,'RFM input'!$V$7)),OFFSET('RFM input'!$H$411,$A603,0),0)))</f>
        <v>0</v>
      </c>
      <c r="X605" s="152"/>
      <c r="Y605" s="152"/>
      <c r="Z605" s="152"/>
      <c r="AA605" s="152"/>
      <c r="AB605" s="152"/>
    </row>
    <row r="606" spans="1:28">
      <c r="A606" s="242"/>
      <c r="B606" s="193" t="s">
        <v>200</v>
      </c>
      <c r="C606" s="1419"/>
      <c r="D606" s="1418">
        <f ca="1">IF(LEFT(D$6,4)&lt;=LEFT('RFM input'!$G$60,4),"enter input",IF(LEFT(D$6,4)&gt;LEFT('RFM input'!$Q$60,4),0,
IF(D$6=(OFFSET('RFM input'!$G$60,0,'RFM input'!$V$7)),OFFSET('RFM input'!$J$411,$A603,0),0)))</f>
        <v>0</v>
      </c>
      <c r="E606" s="1422">
        <f ca="1">IF(LEFT(E$6,4)&lt;=LEFT('RFM input'!$G$60,4),"enter input",IF(LEFT(E$6,4)&gt;LEFT('RFM input'!$Q$60,4),0,
IF(E$6=(OFFSET('RFM input'!$G$60,0,'RFM input'!$V$7)),OFFSET('RFM input'!$J$411,$A603,0),0)))</f>
        <v>0</v>
      </c>
      <c r="F606" s="1422">
        <f ca="1">IF(LEFT(F$6,4)&lt;=LEFT('RFM input'!$G$60,4),"enter input",IF(LEFT(F$6,4)&gt;LEFT('RFM input'!$Q$60,4),0,
IF(F$6=(OFFSET('RFM input'!$G$60,0,'RFM input'!$V$7)),OFFSET('RFM input'!$J$411,$A603,0),0)))</f>
        <v>0</v>
      </c>
      <c r="G606" s="1422">
        <f ca="1">IF(LEFT(G$6,4)&lt;=LEFT('RFM input'!$G$60,4),"enter input",IF(LEFT(G$6,4)&gt;LEFT('RFM input'!$Q$60,4),0,
IF(G$6=(OFFSET('RFM input'!$G$60,0,'RFM input'!$V$7)),OFFSET('RFM input'!$J$411,$A603,0),0)))</f>
        <v>0</v>
      </c>
      <c r="H606" s="1422">
        <f ca="1">IF(LEFT(H$6,4)&lt;=LEFT('RFM input'!$G$60,4),"enter input",IF(LEFT(H$6,4)&gt;LEFT('RFM input'!$Q$60,4),0,
IF(H$6=(OFFSET('RFM input'!$G$60,0,'RFM input'!$V$7)),OFFSET('RFM input'!$J$411,$A603,0),0)))</f>
        <v>0</v>
      </c>
      <c r="I606" s="1422">
        <f ca="1">IF(LEFT(I$6,4)&lt;=LEFT('RFM input'!$G$60,4),"enter input",IF(LEFT(I$6,4)&gt;LEFT('RFM input'!$Q$60,4),0,
IF(I$6=(OFFSET('RFM input'!$G$60,0,'RFM input'!$V$7)),OFFSET('RFM input'!$J$411,$A603,0),0)))</f>
        <v>0</v>
      </c>
      <c r="J606" s="1422">
        <f ca="1">IF(LEFT(J$6,4)&lt;=LEFT('RFM input'!$G$60,4),"enter input",IF(LEFT(J$6,4)&gt;LEFT('RFM input'!$Q$60,4),0,
IF(J$6=(OFFSET('RFM input'!$G$60,0,'RFM input'!$V$7)),OFFSET('RFM input'!$J$411,$A603,0),0)))</f>
        <v>0</v>
      </c>
      <c r="K606" s="1422">
        <f ca="1">IF(LEFT(K$6,4)&lt;=LEFT('RFM input'!$G$60,4),"enter input",IF(LEFT(K$6,4)&gt;LEFT('RFM input'!$Q$60,4),0,
IF(K$6=(OFFSET('RFM input'!$G$60,0,'RFM input'!$V$7)),OFFSET('RFM input'!$J$411,$A603,0),0)))</f>
        <v>0</v>
      </c>
      <c r="L606" s="1422">
        <f ca="1">IF(LEFT(L$6,4)&lt;=LEFT('RFM input'!$G$60,4),"enter input",IF(LEFT(L$6,4)&gt;LEFT('RFM input'!$Q$60,4),0,
IF(L$6=(OFFSET('RFM input'!$G$60,0,'RFM input'!$V$7)),OFFSET('RFM input'!$J$411,$A603,0),0)))</f>
        <v>0</v>
      </c>
      <c r="M606" s="1422">
        <f ca="1">IF(LEFT(M$6,4)&lt;=LEFT('RFM input'!$G$60,4),"enter input",IF(LEFT(M$6,4)&gt;LEFT('RFM input'!$Q$60,4),0,
IF(M$6=(OFFSET('RFM input'!$G$60,0,'RFM input'!$V$7)),OFFSET('RFM input'!$J$411,$A603,0),0)))</f>
        <v>0</v>
      </c>
      <c r="N606" s="1422">
        <f ca="1">IF(LEFT(N$6,4)&lt;=LEFT('RFM input'!$G$60,4),"enter input",IF(LEFT(N$6,4)&gt;LEFT('RFM input'!$Q$60,4),0,
IF(N$6=(OFFSET('RFM input'!$G$60,0,'RFM input'!$V$7)),OFFSET('RFM input'!$J$411,$A603,0),0)))</f>
        <v>0</v>
      </c>
      <c r="O606" s="1422">
        <f ca="1">IF(LEFT(O$6,4)&lt;=LEFT('RFM input'!$G$60,4),"enter input",IF(LEFT(O$6,4)&gt;LEFT('RFM input'!$Q$60,4),0,
IF(O$6=(OFFSET('RFM input'!$G$60,0,'RFM input'!$V$7)),OFFSET('RFM input'!$J$411,$A603,0),0)))</f>
        <v>0</v>
      </c>
      <c r="P606" s="1422">
        <f ca="1">IF(LEFT(P$6,4)&lt;=LEFT('RFM input'!$G$60,4),"enter input",IF(LEFT(P$6,4)&gt;LEFT('RFM input'!$Q$60,4),0,
IF(P$6=(OFFSET('RFM input'!$G$60,0,'RFM input'!$V$7)),OFFSET('RFM input'!$J$411,$A603,0),0)))</f>
        <v>0</v>
      </c>
      <c r="Q606" s="1422">
        <f ca="1">IF(LEFT(Q$6,4)&lt;=LEFT('RFM input'!$G$60,4),"enter input",IF(LEFT(Q$6,4)&gt;LEFT('RFM input'!$Q$60,4),0,
IF(Q$6=(OFFSET('RFM input'!$G$60,0,'RFM input'!$V$7)),OFFSET('RFM input'!$J$411,$A603,0),0)))</f>
        <v>0</v>
      </c>
      <c r="R606" s="1422">
        <f ca="1">IF(LEFT(R$6,4)&lt;=LEFT('RFM input'!$G$60,4),"enter input",IF(LEFT(R$6,4)&gt;LEFT('RFM input'!$Q$60,4),0,
IF(R$6=(OFFSET('RFM input'!$G$60,0,'RFM input'!$V$7)),OFFSET('RFM input'!$J$411,$A603,0),0)))</f>
        <v>0</v>
      </c>
      <c r="S606" s="1422">
        <f ca="1">IF(LEFT(S$6,4)&lt;=LEFT('RFM input'!$G$60,4),"enter input",IF(LEFT(S$6,4)&gt;LEFT('RFM input'!$Q$60,4),0,
IF(S$6=(OFFSET('RFM input'!$G$60,0,'RFM input'!$V$7)),OFFSET('RFM input'!$J$411,$A603,0),0)))</f>
        <v>0</v>
      </c>
      <c r="T606" s="1422">
        <f ca="1">IF(LEFT(T$6,4)&lt;=LEFT('RFM input'!$G$60,4),"enter input",IF(LEFT(T$6,4)&gt;LEFT('RFM input'!$Q$60,4),0,
IF(T$6=(OFFSET('RFM input'!$G$60,0,'RFM input'!$V$7)),OFFSET('RFM input'!$J$411,$A603,0),0)))</f>
        <v>0</v>
      </c>
      <c r="U606" s="1422">
        <f ca="1">IF(LEFT(U$6,4)&lt;=LEFT('RFM input'!$G$60,4),"enter input",IF(LEFT(U$6,4)&gt;LEFT('RFM input'!$Q$60,4),0,
IF(U$6=(OFFSET('RFM input'!$G$60,0,'RFM input'!$V$7)),OFFSET('RFM input'!$J$411,$A603,0),0)))</f>
        <v>0</v>
      </c>
      <c r="V606" s="1422">
        <f ca="1">IF(LEFT(V$6,4)&lt;=LEFT('RFM input'!$G$60,4),"enter input",IF(LEFT(V$6,4)&gt;LEFT('RFM input'!$Q$60,4),0,
IF(V$6=(OFFSET('RFM input'!$G$60,0,'RFM input'!$V$7)),OFFSET('RFM input'!$J$411,$A603,0),0)))</f>
        <v>0</v>
      </c>
      <c r="W606" s="1422">
        <f ca="1">IF(LEFT(W$6,4)&lt;=LEFT('RFM input'!$G$60,4),"enter input",IF(LEFT(W$6,4)&gt;LEFT('RFM input'!$Q$60,4),0,
IF(W$6=(OFFSET('RFM input'!$G$60,0,'RFM input'!$V$7)),OFFSET('RFM input'!$J$411,$A603,0),0)))</f>
        <v>0</v>
      </c>
      <c r="X606" s="152"/>
      <c r="Y606" s="152"/>
      <c r="Z606" s="152"/>
      <c r="AA606" s="152"/>
      <c r="AB606" s="152"/>
    </row>
    <row r="607" spans="1:28" hidden="1" outlineLevel="1">
      <c r="A607" s="235">
        <v>-1</v>
      </c>
      <c r="B607" s="190" t="s">
        <v>195</v>
      </c>
      <c r="C607" s="1423"/>
      <c r="D607" s="1423">
        <f t="shared" ref="D607" ca="1" si="832">IF(AND(D605=0,C607=0),0,
IF(AND(D605&lt;&gt;0,C607=0),D605,
IF(AND(D606&lt;&gt;0,C607&lt;&gt;0),(C607-(C607/C631))+D605,
IF(C631&lt;1,0,(C607-(C607/C631))))))</f>
        <v>0</v>
      </c>
      <c r="E607" s="1423">
        <f t="shared" ref="E607" ca="1" si="833">IF(AND(E605=0,D607=0),0,
IF(AND(E605&lt;&gt;0,D607=0),E605,
IF(AND(E606&lt;&gt;0,D607&lt;&gt;0),(D607-(D607/D631))+E605,
IF(D631&lt;1,0,(D607-(D607/D631))))))</f>
        <v>0</v>
      </c>
      <c r="F607" s="1423">
        <f t="shared" ref="F607" ca="1" si="834">IF(AND(F605=0,E607=0),0,
IF(AND(F605&lt;&gt;0,E607=0),F605,
IF(AND(F606&lt;&gt;0,E607&lt;&gt;0),(E607-(E607/E631))+F605,
IF(E631&lt;1,0,(E607-(E607/E631))))))</f>
        <v>0</v>
      </c>
      <c r="G607" s="1423">
        <f t="shared" ref="G607" ca="1" si="835">IF(AND(G605=0,F607=0),0,
IF(AND(G605&lt;&gt;0,F607=0),G605,
IF(AND(G606&lt;&gt;0,F607&lt;&gt;0),(F607-(F607/F631))+G605,
IF(F631&lt;1,0,(F607-(F607/F631))))))</f>
        <v>0</v>
      </c>
      <c r="H607" s="1423">
        <f ca="1">IF(AND(H605=0,G607=0),0,
IF(AND(H605&lt;&gt;0,G607=0),H605,
IF(AND(H606&lt;&gt;0,G607&lt;&gt;0),(G607-(G607/G631))+H605,
IF(G631&lt;1,0,(G607-(G607/G631))))))</f>
        <v>0</v>
      </c>
      <c r="I607" s="1423">
        <f t="shared" ref="I607" ca="1" si="836">IF(AND(I605=0,H607=0),0,
IF(AND(I605&lt;&gt;0,H607=0),I605,
IF(AND(I606&lt;&gt;0,H607&lt;&gt;0),(H607-(H607/H631))+I605,
IF(H631&lt;1,0,(H607-(H607/H631))))))</f>
        <v>0</v>
      </c>
      <c r="J607" s="1423">
        <f t="shared" ref="J607" ca="1" si="837">IF(AND(J605=0,I607=0),0,
IF(AND(J605&lt;&gt;0,I607=0),J605,
IF(AND(J606&lt;&gt;0,I607&lt;&gt;0),(I607-(I607/I631))+J605,
IF(I631&lt;1,0,(I607-(I607/I631))))))</f>
        <v>0</v>
      </c>
      <c r="K607" s="1423">
        <f t="shared" ref="K607" ca="1" si="838">IF(AND(K605=0,J607=0),0,
IF(AND(K605&lt;&gt;0,J607=0),K605,
IF(AND(K606&lt;&gt;0,J607&lt;&gt;0),(J607-(J607/J631))+K605,
IF(J631&lt;1,0,(J607-(J607/J631))))))</f>
        <v>0</v>
      </c>
      <c r="L607" s="1423">
        <f t="shared" ref="L607" ca="1" si="839">IF(AND(L605=0,K607=0),0,
IF(AND(L605&lt;&gt;0,K607=0),L605,
IF(AND(L606&lt;&gt;0,K607&lt;&gt;0),(K607-(K607/K631))+L605,
IF(K631&lt;1,0,(K607-(K607/K631))))))</f>
        <v>0</v>
      </c>
      <c r="M607" s="1423">
        <f t="shared" ref="M607" ca="1" si="840">IF(AND(M605=0,L607=0),0,
IF(AND(M605&lt;&gt;0,L607=0),M605,
IF(AND(M606&lt;&gt;0,L607&lt;&gt;0),(L607-(L607/L631))+M605,
IF(L631&lt;1,0,(L607-(L607/L631))))))</f>
        <v>0</v>
      </c>
      <c r="N607" s="1423">
        <f t="shared" ref="N607" ca="1" si="841">IF(AND(N605=0,M607=0),0,
IF(AND(N605&lt;&gt;0,M607=0),N605,
IF(AND(N606&lt;&gt;0,M607&lt;&gt;0),(M607-(M607/M631))+N605,
IF(M631&lt;1,0,(M607-(M607/M631))))))</f>
        <v>0</v>
      </c>
      <c r="O607" s="1423">
        <f t="shared" ref="O607" ca="1" si="842">IF(AND(O605=0,N607=0),0,
IF(AND(O605&lt;&gt;0,N607=0),O605,
IF(AND(O606&lt;&gt;0,N607&lt;&gt;0),(N607-(N607/N631))+O605,
IF(N631&lt;1,0,(N607-(N607/N631))))))</f>
        <v>0</v>
      </c>
      <c r="P607" s="1423">
        <f t="shared" ref="P607" ca="1" si="843">IF(AND(P605=0,O607=0),0,
IF(AND(P605&lt;&gt;0,O607=0),P605,
IF(AND(P606&lt;&gt;0,O607&lt;&gt;0),(O607-(O607/O631))+P605,
IF(O631&lt;1,0,(O607-(O607/O631))))))</f>
        <v>0</v>
      </c>
      <c r="Q607" s="1423">
        <f t="shared" ref="Q607" ca="1" si="844">IF(AND(Q605=0,P607=0),0,
IF(AND(Q605&lt;&gt;0,P607=0),Q605,
IF(AND(Q606&lt;&gt;0,P607&lt;&gt;0),(P607-(P607/P631))+Q605,
IF(P631&lt;1,0,(P607-(P607/P631))))))</f>
        <v>0</v>
      </c>
      <c r="R607" s="1423">
        <f t="shared" ref="R607" ca="1" si="845">IF(AND(R605=0,Q607=0),0,
IF(AND(R605&lt;&gt;0,Q607=0),R605,
IF(AND(R606&lt;&gt;0,Q607&lt;&gt;0),(Q607-(Q607/Q631))+R605,
IF(Q631&lt;1,0,(Q607-(Q607/Q631))))))</f>
        <v>0</v>
      </c>
      <c r="S607" s="1423">
        <f t="shared" ref="S607" ca="1" si="846">IF(AND(S605=0,R607=0),0,
IF(AND(S605&lt;&gt;0,R607=0),S605,
IF(AND(S606&lt;&gt;0,R607&lt;&gt;0),(R607-(R607/R631))+S605,
IF(R631&lt;1,0,(R607-(R607/R631))))))</f>
        <v>0</v>
      </c>
      <c r="T607" s="1423">
        <f t="shared" ref="T607" ca="1" si="847">IF(AND(T605=0,S607=0),0,
IF(AND(T605&lt;&gt;0,S607=0),T605,
IF(AND(T606&lt;&gt;0,S607&lt;&gt;0),(S607-(S607/S631))+T605,
IF(S631&lt;1,0,(S607-(S607/S631))))))</f>
        <v>0</v>
      </c>
      <c r="U607" s="1423">
        <f t="shared" ref="U607" ca="1" si="848">IF(AND(U605=0,T607=0),0,
IF(AND(U605&lt;&gt;0,T607=0),U605,
IF(AND(U606&lt;&gt;0,T607&lt;&gt;0),(T607-(T607/T631))+U605,
IF(T631&lt;1,0,(T607-(T607/T631))))))</f>
        <v>0</v>
      </c>
      <c r="V607" s="1423">
        <f t="shared" ref="V607" ca="1" si="849">IF(AND(V605=0,U607=0),0,
IF(AND(V605&lt;&gt;0,U607=0),V605,
IF(AND(V606&lt;&gt;0,U607&lt;&gt;0),(U607-(U607/U631))+V605,
IF(U631&lt;1,0,(U607-(U607/U631))))))</f>
        <v>0</v>
      </c>
      <c r="W607" s="1423">
        <f t="shared" ref="W607" ca="1" si="850">IF(AND(W605=0,V607=0),0,
IF(AND(W605&lt;&gt;0,V607=0),W605,
IF(AND(W606&lt;&gt;0,V607&lt;&gt;0),(V607-(V607/V631))+W605,
IF(V631&lt;1,0,(V607-(V607/V631))))))</f>
        <v>0</v>
      </c>
      <c r="X607" s="152"/>
      <c r="Y607" s="152"/>
      <c r="Z607" s="152"/>
      <c r="AA607" s="152"/>
      <c r="AB607" s="152"/>
    </row>
    <row r="608" spans="1:28" hidden="1" outlineLevel="1">
      <c r="A608" s="199">
        <f>A607+1</f>
        <v>0</v>
      </c>
      <c r="B608" s="190" t="s">
        <v>527</v>
      </c>
      <c r="C608" s="1423">
        <f ca="1">C603</f>
        <v>0</v>
      </c>
      <c r="D608" s="1423">
        <f ca="1">IF(C632="n/a",C608,IFERROR(IF((OFFSET($C608,0,$A608))&lt;0,
MIN(0,C608-(OFFSET($C608,0,$A608)/(OFFSET($C603,-$A607,$A608)))),
MAX(0,C608-(OFFSET($C608,0,$A608)/(OFFSET($C603,-$A607,$A608))))),0))</f>
        <v>0</v>
      </c>
      <c r="E608" s="1423">
        <f t="shared" ref="E608" ca="1" si="851">IF(D632="n/a",D608,IFERROR(IF((OFFSET($C608,0,$A608))&lt;0,
MIN(0,D608-(OFFSET($C608,0,$A608)/(OFFSET($C603,-$A607,$A608)))),
MAX(0,D608-(OFFSET($C608,0,$A608)/(OFFSET($C603,-$A607,$A608))))),0))</f>
        <v>0</v>
      </c>
      <c r="F608" s="1423">
        <f t="shared" ref="F608:F609" ca="1" si="852">IF(E632="n/a",E608,IFERROR(IF((OFFSET($C608,0,$A608))&lt;0,
MIN(0,E608-(OFFSET($C608,0,$A608)/(OFFSET($C603,-$A607,$A608)))),
MAX(0,E608-(OFFSET($C608,0,$A608)/(OFFSET($C603,-$A607,$A608))))),0))</f>
        <v>0</v>
      </c>
      <c r="G608" s="1423">
        <f t="shared" ref="G608:G610" ca="1" si="853">IF(F632="n/a",F608,IFERROR(IF((OFFSET($C608,0,$A608))&lt;0,
MIN(0,F608-(OFFSET($C608,0,$A608)/(OFFSET($C603,-$A607,$A608)))),
MAX(0,F608-(OFFSET($C608,0,$A608)/(OFFSET($C603,-$A607,$A608))))),0))</f>
        <v>0</v>
      </c>
      <c r="H608" s="1423">
        <f t="shared" ref="H608:H611" ca="1" si="854">IF(G632="n/a",G608,IFERROR(IF((OFFSET($C608,0,$A608))&lt;0,
MIN(0,G608-(OFFSET($C608,0,$A608)/(OFFSET($C603,-$A607,$A608)))),
MAX(0,G608-(OFFSET($C608,0,$A608)/(OFFSET($C603,-$A607,$A608))))),0))</f>
        <v>0</v>
      </c>
      <c r="I608" s="1423">
        <f t="shared" ref="I608:I612" ca="1" si="855">IF(H632="n/a",H608,IFERROR(IF((OFFSET($C608,0,$A608))&lt;0,
MIN(0,H608-(OFFSET($C608,0,$A608)/(OFFSET($C603,-$A607,$A608)))),
MAX(0,H608-(OFFSET($C608,0,$A608)/(OFFSET($C603,-$A607,$A608))))),0))</f>
        <v>0</v>
      </c>
      <c r="J608" s="1423">
        <f t="shared" ref="J608:J613" ca="1" si="856">IF(I632="n/a",I608,IFERROR(IF((OFFSET($C608,0,$A608))&lt;0,
MIN(0,I608-(OFFSET($C608,0,$A608)/(OFFSET($C603,-$A607,$A608)))),
MAX(0,I608-(OFFSET($C608,0,$A608)/(OFFSET($C603,-$A607,$A608))))),0))</f>
        <v>0</v>
      </c>
      <c r="K608" s="1423">
        <f t="shared" ref="K608:K614" ca="1" si="857">IF(J632="n/a",J608,IFERROR(IF((OFFSET($C608,0,$A608))&lt;0,
MIN(0,J608-(OFFSET($C608,0,$A608)/(OFFSET($C603,-$A607,$A608)))),
MAX(0,J608-(OFFSET($C608,0,$A608)/(OFFSET($C603,-$A607,$A608))))),0))</f>
        <v>0</v>
      </c>
      <c r="L608" s="1423">
        <f t="shared" ref="L608:L615" ca="1" si="858">IF(K632="n/a",K608,IFERROR(IF((OFFSET($C608,0,$A608))&lt;0,
MIN(0,K608-(OFFSET($C608,0,$A608)/(OFFSET($C603,-$A607,$A608)))),
MAX(0,K608-(OFFSET($C608,0,$A608)/(OFFSET($C603,-$A607,$A608))))),0))</f>
        <v>0</v>
      </c>
      <c r="M608" s="1423">
        <f t="shared" ref="M608:M616" ca="1" si="859">IF(L632="n/a",L608,IFERROR(IF((OFFSET($C608,0,$A608))&lt;0,
MIN(0,L608-(OFFSET($C608,0,$A608)/(OFFSET($C603,-$A607,$A608)))),
MAX(0,L608-(OFFSET($C608,0,$A608)/(OFFSET($C603,-$A607,$A608))))),0))</f>
        <v>0</v>
      </c>
      <c r="N608" s="1423">
        <f t="shared" ref="N608:N617" ca="1" si="860">IF(M632="n/a",M608,IFERROR(IF((OFFSET($C608,0,$A608))&lt;0,
MIN(0,M608-(OFFSET($C608,0,$A608)/(OFFSET($C603,-$A607,$A608)))),
MAX(0,M608-(OFFSET($C608,0,$A608)/(OFFSET($C603,-$A607,$A608))))),0))</f>
        <v>0</v>
      </c>
      <c r="O608" s="1423">
        <f t="shared" ref="O608:O618" ca="1" si="861">IF(N632="n/a",N608,IFERROR(IF((OFFSET($C608,0,$A608))&lt;0,
MIN(0,N608-(OFFSET($C608,0,$A608)/(OFFSET($C603,-$A607,$A608)))),
MAX(0,N608-(OFFSET($C608,0,$A608)/(OFFSET($C603,-$A607,$A608))))),0))</f>
        <v>0</v>
      </c>
      <c r="P608" s="1423">
        <f t="shared" ref="P608:P619" ca="1" si="862">IF(O632="n/a",O608,IFERROR(IF((OFFSET($C608,0,$A608))&lt;0,
MIN(0,O608-(OFFSET($C608,0,$A608)/(OFFSET($C603,-$A607,$A608)))),
MAX(0,O608-(OFFSET($C608,0,$A608)/(OFFSET($C603,-$A607,$A608))))),0))</f>
        <v>0</v>
      </c>
      <c r="Q608" s="1423">
        <f t="shared" ref="Q608:Q620" ca="1" si="863">IF(P632="n/a",P608,IFERROR(IF((OFFSET($C608,0,$A608))&lt;0,
MIN(0,P608-(OFFSET($C608,0,$A608)/(OFFSET($C603,-$A607,$A608)))),
MAX(0,P608-(OFFSET($C608,0,$A608)/(OFFSET($C603,-$A607,$A608))))),0))</f>
        <v>0</v>
      </c>
      <c r="R608" s="1423">
        <f t="shared" ref="R608:R621" ca="1" si="864">IF(Q632="n/a",Q608,IFERROR(IF((OFFSET($C608,0,$A608))&lt;0,
MIN(0,Q608-(OFFSET($C608,0,$A608)/(OFFSET($C603,-$A607,$A608)))),
MAX(0,Q608-(OFFSET($C608,0,$A608)/(OFFSET($C603,-$A607,$A608))))),0))</f>
        <v>0</v>
      </c>
      <c r="S608" s="1423">
        <f t="shared" ref="S608:S622" ca="1" si="865">IF(R632="n/a",R608,IFERROR(IF((OFFSET($C608,0,$A608))&lt;0,
MIN(0,R608-(OFFSET($C608,0,$A608)/(OFFSET($C603,-$A607,$A608)))),
MAX(0,R608-(OFFSET($C608,0,$A608)/(OFFSET($C603,-$A607,$A608))))),0))</f>
        <v>0</v>
      </c>
      <c r="T608" s="1423">
        <f t="shared" ref="T608:T623" ca="1" si="866">IF(S632="n/a",S608,IFERROR(IF((OFFSET($C608,0,$A608))&lt;0,
MIN(0,S608-(OFFSET($C608,0,$A608)/(OFFSET($C603,-$A607,$A608)))),
MAX(0,S608-(OFFSET($C608,0,$A608)/(OFFSET($C603,-$A607,$A608))))),0))</f>
        <v>0</v>
      </c>
      <c r="U608" s="1423">
        <f t="shared" ref="U608:U624" ca="1" si="867">IF(T632="n/a",T608,IFERROR(IF((OFFSET($C608,0,$A608))&lt;0,
MIN(0,T608-(OFFSET($C608,0,$A608)/(OFFSET($C603,-$A607,$A608)))),
MAX(0,T608-(OFFSET($C608,0,$A608)/(OFFSET($C603,-$A607,$A608))))),0))</f>
        <v>0</v>
      </c>
      <c r="V608" s="1423">
        <f t="shared" ref="V608:V625" ca="1" si="868">IF(U632="n/a",U608,IFERROR(IF((OFFSET($C608,0,$A608))&lt;0,
MIN(0,U608-(OFFSET($C608,0,$A608)/(OFFSET($C603,-$A607,$A608)))),
MAX(0,U608-(OFFSET($C608,0,$A608)/(OFFSET($C603,-$A607,$A608))))),0))</f>
        <v>0</v>
      </c>
      <c r="W608" s="1423">
        <f t="shared" ref="W608:W626" ca="1" si="869">IF(V632="n/a",V608,IFERROR(IF((OFFSET($C608,0,$A608))&lt;0,
MIN(0,V608-(OFFSET($C608,0,$A608)/(OFFSET($C603,-$A607,$A608)))),
MAX(0,V608-(OFFSET($C608,0,$A608)/(OFFSET($C603,-$A607,$A608))))),0))</f>
        <v>0</v>
      </c>
      <c r="X608" s="152"/>
      <c r="Y608" s="152"/>
      <c r="Z608" s="152"/>
      <c r="AA608" s="152"/>
      <c r="AB608" s="152"/>
    </row>
    <row r="609" spans="1:28" hidden="1" outlineLevel="1">
      <c r="A609" s="199">
        <f t="shared" ref="A609:A628" si="870">A608+1</f>
        <v>1</v>
      </c>
      <c r="B609" s="190" t="str">
        <f t="shared" ref="B609:B628" ca="1" si="871">"Depreciated Net Capex "&amp;OFFSET($C$6,0,A609)</f>
        <v>Depreciated Net Capex 2016-17</v>
      </c>
      <c r="C609" s="1424"/>
      <c r="D609" s="1425">
        <f>D603</f>
        <v>0</v>
      </c>
      <c r="E609" s="1423">
        <f ca="1">IF(D633="n/a",D609,IFERROR(IF((OFFSET($C609,0,$A609))&lt;0,
MIN(0,D609-(OFFSET($C609,0,$A609)/(OFFSET($C604,-$A608,$A609)))),
MAX(0,D609-(OFFSET($C609,0,$A609)/(OFFSET($C604,-$A608,$A609))))),0))</f>
        <v>0</v>
      </c>
      <c r="F609" s="1423">
        <f t="shared" ca="1" si="852"/>
        <v>0</v>
      </c>
      <c r="G609" s="1423">
        <f t="shared" ca="1" si="853"/>
        <v>0</v>
      </c>
      <c r="H609" s="1423">
        <f t="shared" ca="1" si="854"/>
        <v>0</v>
      </c>
      <c r="I609" s="1423">
        <f t="shared" ca="1" si="855"/>
        <v>0</v>
      </c>
      <c r="J609" s="1423">
        <f t="shared" ca="1" si="856"/>
        <v>0</v>
      </c>
      <c r="K609" s="1423">
        <f t="shared" ca="1" si="857"/>
        <v>0</v>
      </c>
      <c r="L609" s="1423">
        <f t="shared" ca="1" si="858"/>
        <v>0</v>
      </c>
      <c r="M609" s="1423">
        <f t="shared" ca="1" si="859"/>
        <v>0</v>
      </c>
      <c r="N609" s="1423">
        <f t="shared" ca="1" si="860"/>
        <v>0</v>
      </c>
      <c r="O609" s="1423">
        <f t="shared" ca="1" si="861"/>
        <v>0</v>
      </c>
      <c r="P609" s="1423">
        <f t="shared" ca="1" si="862"/>
        <v>0</v>
      </c>
      <c r="Q609" s="1423">
        <f t="shared" ca="1" si="863"/>
        <v>0</v>
      </c>
      <c r="R609" s="1423">
        <f t="shared" ca="1" si="864"/>
        <v>0</v>
      </c>
      <c r="S609" s="1423">
        <f t="shared" ca="1" si="865"/>
        <v>0</v>
      </c>
      <c r="T609" s="1423">
        <f t="shared" ca="1" si="866"/>
        <v>0</v>
      </c>
      <c r="U609" s="1423">
        <f t="shared" ca="1" si="867"/>
        <v>0</v>
      </c>
      <c r="V609" s="1423">
        <f t="shared" ca="1" si="868"/>
        <v>0</v>
      </c>
      <c r="W609" s="1423">
        <f t="shared" ca="1" si="869"/>
        <v>0</v>
      </c>
      <c r="X609" s="152"/>
      <c r="Y609" s="152"/>
      <c r="Z609" s="152"/>
      <c r="AA609" s="152"/>
      <c r="AB609" s="152"/>
    </row>
    <row r="610" spans="1:28" hidden="1" outlineLevel="1">
      <c r="A610" s="199">
        <f t="shared" si="870"/>
        <v>2</v>
      </c>
      <c r="B610" s="190" t="str">
        <f t="shared" ca="1" si="871"/>
        <v>Depreciated Net Capex 2017-18</v>
      </c>
      <c r="C610" s="1426"/>
      <c r="D610" s="1427"/>
      <c r="E610" s="1425">
        <f>E603</f>
        <v>0</v>
      </c>
      <c r="F610" s="1423">
        <f ca="1">IF(E634="n/a",E610,IFERROR(IF((OFFSET($C610,0,$A610))&lt;0,
MIN(0,E610-(OFFSET($C610,0,$A610)/(OFFSET($C605,-$A609,$A610)))),
MAX(0,E610-(OFFSET($C610,0,$A610)/(OFFSET($C605,-$A609,$A610))))),0))</f>
        <v>0</v>
      </c>
      <c r="G610" s="1423">
        <f t="shared" ca="1" si="853"/>
        <v>0</v>
      </c>
      <c r="H610" s="1423">
        <f t="shared" ca="1" si="854"/>
        <v>0</v>
      </c>
      <c r="I610" s="1423">
        <f t="shared" ca="1" si="855"/>
        <v>0</v>
      </c>
      <c r="J610" s="1423">
        <f t="shared" ca="1" si="856"/>
        <v>0</v>
      </c>
      <c r="K610" s="1423">
        <f t="shared" ca="1" si="857"/>
        <v>0</v>
      </c>
      <c r="L610" s="1423">
        <f t="shared" ca="1" si="858"/>
        <v>0</v>
      </c>
      <c r="M610" s="1423">
        <f t="shared" ca="1" si="859"/>
        <v>0</v>
      </c>
      <c r="N610" s="1423">
        <f t="shared" ca="1" si="860"/>
        <v>0</v>
      </c>
      <c r="O610" s="1423">
        <f t="shared" ca="1" si="861"/>
        <v>0</v>
      </c>
      <c r="P610" s="1423">
        <f t="shared" ca="1" si="862"/>
        <v>0</v>
      </c>
      <c r="Q610" s="1423">
        <f t="shared" ca="1" si="863"/>
        <v>0</v>
      </c>
      <c r="R610" s="1423">
        <f t="shared" ca="1" si="864"/>
        <v>0</v>
      </c>
      <c r="S610" s="1423">
        <f t="shared" ca="1" si="865"/>
        <v>0</v>
      </c>
      <c r="T610" s="1423">
        <f t="shared" ca="1" si="866"/>
        <v>0</v>
      </c>
      <c r="U610" s="1423">
        <f t="shared" ca="1" si="867"/>
        <v>0</v>
      </c>
      <c r="V610" s="1423">
        <f t="shared" ca="1" si="868"/>
        <v>0</v>
      </c>
      <c r="W610" s="1423">
        <f t="shared" ca="1" si="869"/>
        <v>0</v>
      </c>
      <c r="X610" s="202"/>
      <c r="Y610" s="152"/>
      <c r="Z610" s="152"/>
      <c r="AA610" s="152"/>
      <c r="AB610" s="152"/>
    </row>
    <row r="611" spans="1:28" hidden="1" outlineLevel="1">
      <c r="A611" s="199">
        <f t="shared" si="870"/>
        <v>3</v>
      </c>
      <c r="B611" s="190" t="str">
        <f t="shared" ca="1" si="871"/>
        <v>Depreciated Net Capex 2018-19</v>
      </c>
      <c r="C611" s="1426"/>
      <c r="D611" s="1426"/>
      <c r="E611" s="1427"/>
      <c r="F611" s="1428">
        <f>F603</f>
        <v>0</v>
      </c>
      <c r="G611" s="1423">
        <f ca="1">IF(F635="n/a",F611,IFERROR(IF((OFFSET($C611,0,$A611))&lt;0,
MIN(0,F611-(OFFSET($C611,0,$A611)/(OFFSET($C606,-$A610,$A611)))),
MAX(0,F611-(OFFSET($C611,0,$A611)/(OFFSET($C606,-$A610,$A611))))),0))</f>
        <v>0</v>
      </c>
      <c r="H611" s="1423">
        <f t="shared" ca="1" si="854"/>
        <v>0</v>
      </c>
      <c r="I611" s="1423">
        <f t="shared" ca="1" si="855"/>
        <v>0</v>
      </c>
      <c r="J611" s="1423">
        <f t="shared" ca="1" si="856"/>
        <v>0</v>
      </c>
      <c r="K611" s="1423">
        <f t="shared" ca="1" si="857"/>
        <v>0</v>
      </c>
      <c r="L611" s="1423">
        <f t="shared" ca="1" si="858"/>
        <v>0</v>
      </c>
      <c r="M611" s="1423">
        <f t="shared" ca="1" si="859"/>
        <v>0</v>
      </c>
      <c r="N611" s="1423">
        <f t="shared" ca="1" si="860"/>
        <v>0</v>
      </c>
      <c r="O611" s="1423">
        <f t="shared" ca="1" si="861"/>
        <v>0</v>
      </c>
      <c r="P611" s="1423">
        <f t="shared" ca="1" si="862"/>
        <v>0</v>
      </c>
      <c r="Q611" s="1423">
        <f t="shared" ca="1" si="863"/>
        <v>0</v>
      </c>
      <c r="R611" s="1423">
        <f t="shared" ca="1" si="864"/>
        <v>0</v>
      </c>
      <c r="S611" s="1423">
        <f t="shared" ca="1" si="865"/>
        <v>0</v>
      </c>
      <c r="T611" s="1423">
        <f t="shared" ca="1" si="866"/>
        <v>0</v>
      </c>
      <c r="U611" s="1423">
        <f t="shared" ca="1" si="867"/>
        <v>0</v>
      </c>
      <c r="V611" s="1423">
        <f t="shared" ca="1" si="868"/>
        <v>0</v>
      </c>
      <c r="W611" s="1423">
        <f t="shared" ca="1" si="869"/>
        <v>0</v>
      </c>
      <c r="X611" s="202"/>
      <c r="Y611" s="202"/>
      <c r="Z611" s="152"/>
      <c r="AA611" s="152"/>
      <c r="AB611" s="152"/>
    </row>
    <row r="612" spans="1:28" hidden="1" outlineLevel="1">
      <c r="A612" s="199">
        <f t="shared" si="870"/>
        <v>4</v>
      </c>
      <c r="B612" s="190" t="str">
        <f t="shared" ca="1" si="871"/>
        <v>Depreciated Net Capex 2019-20</v>
      </c>
      <c r="C612" s="1426"/>
      <c r="D612" s="1426"/>
      <c r="E612" s="1426"/>
      <c r="F612" s="1427"/>
      <c r="G612" s="1428">
        <f>G603</f>
        <v>0</v>
      </c>
      <c r="H612" s="1423">
        <f ca="1">IF(G636="n/a",G612,IFERROR(IF((OFFSET($C612,0,$A612))&lt;0,
MIN(0,G612-(OFFSET($C612,0,$A612)/(OFFSET($C607,-$A611,$A612)))),
MAX(0,G612-(OFFSET($C612,0,$A612)/(OFFSET($C607,-$A611,$A612))))),0))</f>
        <v>0</v>
      </c>
      <c r="I612" s="1423">
        <f t="shared" ca="1" si="855"/>
        <v>0</v>
      </c>
      <c r="J612" s="1423">
        <f t="shared" ca="1" si="856"/>
        <v>0</v>
      </c>
      <c r="K612" s="1423">
        <f t="shared" ca="1" si="857"/>
        <v>0</v>
      </c>
      <c r="L612" s="1423">
        <f t="shared" ca="1" si="858"/>
        <v>0</v>
      </c>
      <c r="M612" s="1423">
        <f t="shared" ca="1" si="859"/>
        <v>0</v>
      </c>
      <c r="N612" s="1423">
        <f t="shared" ca="1" si="860"/>
        <v>0</v>
      </c>
      <c r="O612" s="1423">
        <f t="shared" ca="1" si="861"/>
        <v>0</v>
      </c>
      <c r="P612" s="1423">
        <f t="shared" ca="1" si="862"/>
        <v>0</v>
      </c>
      <c r="Q612" s="1423">
        <f t="shared" ca="1" si="863"/>
        <v>0</v>
      </c>
      <c r="R612" s="1423">
        <f t="shared" ca="1" si="864"/>
        <v>0</v>
      </c>
      <c r="S612" s="1423">
        <f t="shared" ca="1" si="865"/>
        <v>0</v>
      </c>
      <c r="T612" s="1423">
        <f t="shared" ca="1" si="866"/>
        <v>0</v>
      </c>
      <c r="U612" s="1423">
        <f t="shared" ca="1" si="867"/>
        <v>0</v>
      </c>
      <c r="V612" s="1423">
        <f t="shared" ca="1" si="868"/>
        <v>0</v>
      </c>
      <c r="W612" s="1423">
        <f t="shared" ca="1" si="869"/>
        <v>0</v>
      </c>
      <c r="X612" s="202"/>
      <c r="Y612" s="202"/>
      <c r="Z612" s="202"/>
      <c r="AA612" s="152"/>
      <c r="AB612" s="152"/>
    </row>
    <row r="613" spans="1:28" hidden="1" outlineLevel="1">
      <c r="A613" s="199">
        <f t="shared" si="870"/>
        <v>5</v>
      </c>
      <c r="B613" s="190" t="str">
        <f t="shared" ca="1" si="871"/>
        <v>Depreciated Net Capex 2020-21</v>
      </c>
      <c r="C613" s="1426"/>
      <c r="D613" s="1426"/>
      <c r="E613" s="1426"/>
      <c r="F613" s="1426"/>
      <c r="G613" s="1427"/>
      <c r="H613" s="1428">
        <f>H603</f>
        <v>0</v>
      </c>
      <c r="I613" s="1423">
        <f ca="1">IF(H637="n/a",H613,IFERROR(IF((OFFSET($C613,0,$A613))&lt;0,
MIN(0,H613-(OFFSET($C613,0,$A613)/(OFFSET($C608,-$A612,$A613)))),
MAX(0,H613-(OFFSET($C613,0,$A613)/(OFFSET($C608,-$A612,$A613))))),0))</f>
        <v>0</v>
      </c>
      <c r="J613" s="1423">
        <f t="shared" ca="1" si="856"/>
        <v>0</v>
      </c>
      <c r="K613" s="1423">
        <f t="shared" ca="1" si="857"/>
        <v>0</v>
      </c>
      <c r="L613" s="1423">
        <f t="shared" ca="1" si="858"/>
        <v>0</v>
      </c>
      <c r="M613" s="1423">
        <f t="shared" ca="1" si="859"/>
        <v>0</v>
      </c>
      <c r="N613" s="1423">
        <f t="shared" ca="1" si="860"/>
        <v>0</v>
      </c>
      <c r="O613" s="1423">
        <f t="shared" ca="1" si="861"/>
        <v>0</v>
      </c>
      <c r="P613" s="1423">
        <f t="shared" ca="1" si="862"/>
        <v>0</v>
      </c>
      <c r="Q613" s="1423">
        <f t="shared" ca="1" si="863"/>
        <v>0</v>
      </c>
      <c r="R613" s="1423">
        <f t="shared" ca="1" si="864"/>
        <v>0</v>
      </c>
      <c r="S613" s="1423">
        <f t="shared" ca="1" si="865"/>
        <v>0</v>
      </c>
      <c r="T613" s="1423">
        <f t="shared" ca="1" si="866"/>
        <v>0</v>
      </c>
      <c r="U613" s="1423">
        <f t="shared" ca="1" si="867"/>
        <v>0</v>
      </c>
      <c r="V613" s="1423">
        <f t="shared" ca="1" si="868"/>
        <v>0</v>
      </c>
      <c r="W613" s="1423">
        <f t="shared" ca="1" si="869"/>
        <v>0</v>
      </c>
      <c r="X613" s="202"/>
      <c r="Y613" s="202"/>
      <c r="Z613" s="202"/>
      <c r="AA613" s="152"/>
      <c r="AB613" s="152"/>
    </row>
    <row r="614" spans="1:28" hidden="1" outlineLevel="1">
      <c r="A614" s="199">
        <f t="shared" si="870"/>
        <v>6</v>
      </c>
      <c r="B614" s="190" t="str">
        <f t="shared" ca="1" si="871"/>
        <v>Depreciated Net Capex 2021-22</v>
      </c>
      <c r="C614" s="1426"/>
      <c r="D614" s="1426"/>
      <c r="E614" s="1426"/>
      <c r="F614" s="1426"/>
      <c r="G614" s="1426"/>
      <c r="H614" s="1427"/>
      <c r="I614" s="1428">
        <f>I603</f>
        <v>0</v>
      </c>
      <c r="J614" s="1423">
        <f ca="1">IF(I638="n/a",I614,IFERROR(IF((OFFSET($C614,0,$A614))&lt;0,
MIN(0,I614-(OFFSET($C614,0,$A614)/(OFFSET($C609,-$A613,$A614)))),
MAX(0,I614-(OFFSET($C614,0,$A614)/(OFFSET($C609,-$A613,$A614))))),0))</f>
        <v>0</v>
      </c>
      <c r="K614" s="1423">
        <f t="shared" ca="1" si="857"/>
        <v>0</v>
      </c>
      <c r="L614" s="1423">
        <f t="shared" ca="1" si="858"/>
        <v>0</v>
      </c>
      <c r="M614" s="1423">
        <f t="shared" ca="1" si="859"/>
        <v>0</v>
      </c>
      <c r="N614" s="1423">
        <f t="shared" ca="1" si="860"/>
        <v>0</v>
      </c>
      <c r="O614" s="1423">
        <f t="shared" ca="1" si="861"/>
        <v>0</v>
      </c>
      <c r="P614" s="1423">
        <f t="shared" ca="1" si="862"/>
        <v>0</v>
      </c>
      <c r="Q614" s="1423">
        <f t="shared" ca="1" si="863"/>
        <v>0</v>
      </c>
      <c r="R614" s="1423">
        <f t="shared" ca="1" si="864"/>
        <v>0</v>
      </c>
      <c r="S614" s="1423">
        <f t="shared" ca="1" si="865"/>
        <v>0</v>
      </c>
      <c r="T614" s="1423">
        <f t="shared" ca="1" si="866"/>
        <v>0</v>
      </c>
      <c r="U614" s="1423">
        <f t="shared" ca="1" si="867"/>
        <v>0</v>
      </c>
      <c r="V614" s="1423">
        <f t="shared" ca="1" si="868"/>
        <v>0</v>
      </c>
      <c r="W614" s="1423">
        <f t="shared" ca="1" si="869"/>
        <v>0</v>
      </c>
      <c r="X614" s="202"/>
      <c r="Y614" s="202"/>
      <c r="Z614" s="202"/>
      <c r="AA614" s="152"/>
      <c r="AB614" s="152"/>
    </row>
    <row r="615" spans="1:28" hidden="1" outlineLevel="1">
      <c r="A615" s="199">
        <f t="shared" si="870"/>
        <v>7</v>
      </c>
      <c r="B615" s="190" t="str">
        <f t="shared" ca="1" si="871"/>
        <v>Depreciated Net Capex 2022-23</v>
      </c>
      <c r="C615" s="1426"/>
      <c r="D615" s="1426"/>
      <c r="E615" s="1426"/>
      <c r="F615" s="1426"/>
      <c r="G615" s="1426"/>
      <c r="H615" s="1426"/>
      <c r="I615" s="1427"/>
      <c r="J615" s="1428">
        <f>J603</f>
        <v>0</v>
      </c>
      <c r="K615" s="1423">
        <f ca="1">IF(J639="n/a",J615,IFERROR(IF((OFFSET($C615,0,$A615))&lt;0,
MIN(0,J615-(OFFSET($C615,0,$A615)/(OFFSET($C610,-$A614,$A615)))),
MAX(0,J615-(OFFSET($C615,0,$A615)/(OFFSET($C610,-$A614,$A615))))),0))</f>
        <v>0</v>
      </c>
      <c r="L615" s="1423">
        <f t="shared" ca="1" si="858"/>
        <v>0</v>
      </c>
      <c r="M615" s="1423">
        <f t="shared" ca="1" si="859"/>
        <v>0</v>
      </c>
      <c r="N615" s="1423">
        <f t="shared" ca="1" si="860"/>
        <v>0</v>
      </c>
      <c r="O615" s="1423">
        <f t="shared" ca="1" si="861"/>
        <v>0</v>
      </c>
      <c r="P615" s="1423">
        <f t="shared" ca="1" si="862"/>
        <v>0</v>
      </c>
      <c r="Q615" s="1423">
        <f t="shared" ca="1" si="863"/>
        <v>0</v>
      </c>
      <c r="R615" s="1423">
        <f t="shared" ca="1" si="864"/>
        <v>0</v>
      </c>
      <c r="S615" s="1423">
        <f t="shared" ca="1" si="865"/>
        <v>0</v>
      </c>
      <c r="T615" s="1423">
        <f t="shared" ca="1" si="866"/>
        <v>0</v>
      </c>
      <c r="U615" s="1423">
        <f t="shared" ca="1" si="867"/>
        <v>0</v>
      </c>
      <c r="V615" s="1423">
        <f t="shared" ca="1" si="868"/>
        <v>0</v>
      </c>
      <c r="W615" s="1423">
        <f t="shared" ca="1" si="869"/>
        <v>0</v>
      </c>
      <c r="X615" s="202"/>
      <c r="Y615" s="202"/>
      <c r="Z615" s="202"/>
      <c r="AA615" s="152"/>
      <c r="AB615" s="152"/>
    </row>
    <row r="616" spans="1:28" hidden="1" outlineLevel="1">
      <c r="A616" s="199">
        <f t="shared" si="870"/>
        <v>8</v>
      </c>
      <c r="B616" s="190" t="str">
        <f t="shared" ca="1" si="871"/>
        <v>Depreciated Net Capex 2023-24</v>
      </c>
      <c r="C616" s="1426"/>
      <c r="D616" s="1426"/>
      <c r="E616" s="1426"/>
      <c r="F616" s="1426"/>
      <c r="G616" s="1426"/>
      <c r="H616" s="1426"/>
      <c r="I616" s="1426"/>
      <c r="J616" s="1427"/>
      <c r="K616" s="1428">
        <f>K603</f>
        <v>0</v>
      </c>
      <c r="L616" s="1423">
        <f ca="1">IF(K640="n/a",K616,IFERROR(IF((OFFSET($C616,0,$A616))&lt;0,
MIN(0,K616-(OFFSET($C616,0,$A616)/(OFFSET($C611,-$A615,$A616)))),
MAX(0,K616-(OFFSET($C616,0,$A616)/(OFFSET($C611,-$A615,$A616))))),0))</f>
        <v>0</v>
      </c>
      <c r="M616" s="1423">
        <f t="shared" ca="1" si="859"/>
        <v>0</v>
      </c>
      <c r="N616" s="1423">
        <f t="shared" ca="1" si="860"/>
        <v>0</v>
      </c>
      <c r="O616" s="1423">
        <f t="shared" ca="1" si="861"/>
        <v>0</v>
      </c>
      <c r="P616" s="1423">
        <f t="shared" ca="1" si="862"/>
        <v>0</v>
      </c>
      <c r="Q616" s="1423">
        <f t="shared" ca="1" si="863"/>
        <v>0</v>
      </c>
      <c r="R616" s="1423">
        <f t="shared" ca="1" si="864"/>
        <v>0</v>
      </c>
      <c r="S616" s="1423">
        <f t="shared" ca="1" si="865"/>
        <v>0</v>
      </c>
      <c r="T616" s="1423">
        <f t="shared" ca="1" si="866"/>
        <v>0</v>
      </c>
      <c r="U616" s="1423">
        <f t="shared" ca="1" si="867"/>
        <v>0</v>
      </c>
      <c r="V616" s="1423">
        <f t="shared" ca="1" si="868"/>
        <v>0</v>
      </c>
      <c r="W616" s="1423">
        <f t="shared" ca="1" si="869"/>
        <v>0</v>
      </c>
      <c r="X616" s="202"/>
      <c r="Y616" s="202"/>
      <c r="Z616" s="202"/>
      <c r="AA616" s="152"/>
      <c r="AB616" s="152"/>
    </row>
    <row r="617" spans="1:28" hidden="1" outlineLevel="1">
      <c r="A617" s="199">
        <f t="shared" si="870"/>
        <v>9</v>
      </c>
      <c r="B617" s="190" t="str">
        <f t="shared" ca="1" si="871"/>
        <v>Depreciated Net Capex 2024-25</v>
      </c>
      <c r="C617" s="1426"/>
      <c r="D617" s="1426"/>
      <c r="E617" s="1426"/>
      <c r="F617" s="1426"/>
      <c r="G617" s="1426"/>
      <c r="H617" s="1426"/>
      <c r="I617" s="1426"/>
      <c r="J617" s="1426"/>
      <c r="K617" s="1427"/>
      <c r="L617" s="1428">
        <f>L603</f>
        <v>0</v>
      </c>
      <c r="M617" s="1423">
        <f ca="1">IF(L641="n/a",L617,IFERROR(IF((OFFSET($C617,0,$A617))&lt;0,
MIN(0,L617-(OFFSET($C617,0,$A617)/(OFFSET($C612,-$A616,$A617)))),
MAX(0,L617-(OFFSET($C617,0,$A617)/(OFFSET($C612,-$A616,$A617))))),0))</f>
        <v>0</v>
      </c>
      <c r="N617" s="1423">
        <f t="shared" ca="1" si="860"/>
        <v>0</v>
      </c>
      <c r="O617" s="1423">
        <f t="shared" ca="1" si="861"/>
        <v>0</v>
      </c>
      <c r="P617" s="1423">
        <f t="shared" ca="1" si="862"/>
        <v>0</v>
      </c>
      <c r="Q617" s="1423">
        <f t="shared" ca="1" si="863"/>
        <v>0</v>
      </c>
      <c r="R617" s="1423">
        <f t="shared" ca="1" si="864"/>
        <v>0</v>
      </c>
      <c r="S617" s="1423">
        <f t="shared" ca="1" si="865"/>
        <v>0</v>
      </c>
      <c r="T617" s="1423">
        <f t="shared" ca="1" si="866"/>
        <v>0</v>
      </c>
      <c r="U617" s="1423">
        <f t="shared" ca="1" si="867"/>
        <v>0</v>
      </c>
      <c r="V617" s="1423">
        <f t="shared" ca="1" si="868"/>
        <v>0</v>
      </c>
      <c r="W617" s="1423">
        <f t="shared" ca="1" si="869"/>
        <v>0</v>
      </c>
      <c r="X617" s="202"/>
      <c r="Y617" s="202"/>
      <c r="Z617" s="202"/>
      <c r="AA617" s="152"/>
      <c r="AB617" s="152"/>
    </row>
    <row r="618" spans="1:28" hidden="1" outlineLevel="1">
      <c r="A618" s="199">
        <f t="shared" si="870"/>
        <v>10</v>
      </c>
      <c r="B618" s="190" t="str">
        <f t="shared" ca="1" si="871"/>
        <v>Depreciated Net Capex 2025-26</v>
      </c>
      <c r="C618" s="1426"/>
      <c r="D618" s="1426"/>
      <c r="E618" s="1426"/>
      <c r="F618" s="1426"/>
      <c r="G618" s="1426"/>
      <c r="H618" s="1426"/>
      <c r="I618" s="1426"/>
      <c r="J618" s="1426"/>
      <c r="K618" s="1426"/>
      <c r="L618" s="1427"/>
      <c r="M618" s="1428">
        <f>M603</f>
        <v>0</v>
      </c>
      <c r="N618" s="1423">
        <f ca="1">IF(M642="n/a",M618,IFERROR(IF((OFFSET($C618,0,$A618))&lt;0,
MIN(0,M618-(OFFSET($C618,0,$A618)/(OFFSET($C613,-$A617,$A618)))),
MAX(0,M618-(OFFSET($C618,0,$A618)/(OFFSET($C613,-$A617,$A618))))),0))</f>
        <v>0</v>
      </c>
      <c r="O618" s="1423">
        <f t="shared" ca="1" si="861"/>
        <v>0</v>
      </c>
      <c r="P618" s="1423">
        <f t="shared" ca="1" si="862"/>
        <v>0</v>
      </c>
      <c r="Q618" s="1423">
        <f t="shared" ca="1" si="863"/>
        <v>0</v>
      </c>
      <c r="R618" s="1423">
        <f t="shared" ca="1" si="864"/>
        <v>0</v>
      </c>
      <c r="S618" s="1423">
        <f t="shared" ca="1" si="865"/>
        <v>0</v>
      </c>
      <c r="T618" s="1423">
        <f t="shared" ca="1" si="866"/>
        <v>0</v>
      </c>
      <c r="U618" s="1423">
        <f t="shared" ca="1" si="867"/>
        <v>0</v>
      </c>
      <c r="V618" s="1423">
        <f t="shared" ca="1" si="868"/>
        <v>0</v>
      </c>
      <c r="W618" s="1423">
        <f t="shared" ca="1" si="869"/>
        <v>0</v>
      </c>
      <c r="X618" s="202"/>
      <c r="Y618" s="202"/>
      <c r="Z618" s="202"/>
      <c r="AA618" s="152"/>
      <c r="AB618" s="152"/>
    </row>
    <row r="619" spans="1:28" hidden="1" outlineLevel="1">
      <c r="A619" s="199">
        <f t="shared" si="870"/>
        <v>11</v>
      </c>
      <c r="B619" s="190" t="str">
        <f t="shared" ca="1" si="871"/>
        <v>Depreciated Net Capex 2026-27</v>
      </c>
      <c r="C619" s="1426"/>
      <c r="D619" s="1426"/>
      <c r="E619" s="1426"/>
      <c r="F619" s="1426"/>
      <c r="G619" s="1426"/>
      <c r="H619" s="1426"/>
      <c r="I619" s="1426"/>
      <c r="J619" s="1426"/>
      <c r="K619" s="1426"/>
      <c r="L619" s="1426"/>
      <c r="M619" s="1427"/>
      <c r="N619" s="1428">
        <f>N603</f>
        <v>0</v>
      </c>
      <c r="O619" s="1423">
        <f ca="1">IF(N643="n/a",N619,IFERROR(IF((OFFSET($C619,0,$A619))&lt;0,
MIN(0,N619-(OFFSET($C619,0,$A619)/(OFFSET($C614,-$A618,$A619)))),
MAX(0,N619-(OFFSET($C619,0,$A619)/(OFFSET($C614,-$A618,$A619))))),0))</f>
        <v>0</v>
      </c>
      <c r="P619" s="1423">
        <f t="shared" ca="1" si="862"/>
        <v>0</v>
      </c>
      <c r="Q619" s="1423">
        <f t="shared" ca="1" si="863"/>
        <v>0</v>
      </c>
      <c r="R619" s="1423">
        <f t="shared" ca="1" si="864"/>
        <v>0</v>
      </c>
      <c r="S619" s="1423">
        <f t="shared" ca="1" si="865"/>
        <v>0</v>
      </c>
      <c r="T619" s="1423">
        <f t="shared" ca="1" si="866"/>
        <v>0</v>
      </c>
      <c r="U619" s="1423">
        <f t="shared" ca="1" si="867"/>
        <v>0</v>
      </c>
      <c r="V619" s="1423">
        <f t="shared" ca="1" si="868"/>
        <v>0</v>
      </c>
      <c r="W619" s="1423">
        <f t="shared" ca="1" si="869"/>
        <v>0</v>
      </c>
      <c r="X619" s="202"/>
      <c r="Y619" s="202"/>
      <c r="Z619" s="202"/>
      <c r="AA619" s="152"/>
      <c r="AB619" s="152"/>
    </row>
    <row r="620" spans="1:28" hidden="1" outlineLevel="1">
      <c r="A620" s="199">
        <f t="shared" si="870"/>
        <v>12</v>
      </c>
      <c r="B620" s="190" t="str">
        <f t="shared" ca="1" si="871"/>
        <v>Depreciated Net Capex 2027-28</v>
      </c>
      <c r="C620" s="1426"/>
      <c r="D620" s="1426"/>
      <c r="E620" s="1426"/>
      <c r="F620" s="1426"/>
      <c r="G620" s="1426"/>
      <c r="H620" s="1426"/>
      <c r="I620" s="1426"/>
      <c r="J620" s="1426"/>
      <c r="K620" s="1426"/>
      <c r="L620" s="1426"/>
      <c r="M620" s="1426"/>
      <c r="N620" s="1427"/>
      <c r="O620" s="1428">
        <f>O603</f>
        <v>0</v>
      </c>
      <c r="P620" s="1423">
        <f ca="1">IF(O644="n/a",O620,IFERROR(IF((OFFSET($C620,0,$A620))&lt;0,
MIN(0,O620-(OFFSET($C620,0,$A620)/(OFFSET($C615,-$A619,$A620)))),
MAX(0,O620-(OFFSET($C620,0,$A620)/(OFFSET($C615,-$A619,$A620))))),0))</f>
        <v>0</v>
      </c>
      <c r="Q620" s="1423">
        <f t="shared" ca="1" si="863"/>
        <v>0</v>
      </c>
      <c r="R620" s="1423">
        <f t="shared" ca="1" si="864"/>
        <v>0</v>
      </c>
      <c r="S620" s="1423">
        <f t="shared" ca="1" si="865"/>
        <v>0</v>
      </c>
      <c r="T620" s="1423">
        <f t="shared" ca="1" si="866"/>
        <v>0</v>
      </c>
      <c r="U620" s="1423">
        <f t="shared" ca="1" si="867"/>
        <v>0</v>
      </c>
      <c r="V620" s="1423">
        <f t="shared" ca="1" si="868"/>
        <v>0</v>
      </c>
      <c r="W620" s="1423">
        <f t="shared" ca="1" si="869"/>
        <v>0</v>
      </c>
      <c r="X620" s="202"/>
      <c r="Y620" s="202"/>
      <c r="Z620" s="202"/>
      <c r="AA620" s="152"/>
      <c r="AB620" s="152"/>
    </row>
    <row r="621" spans="1:28" hidden="1" outlineLevel="1">
      <c r="A621" s="199">
        <f t="shared" si="870"/>
        <v>13</v>
      </c>
      <c r="B621" s="190" t="str">
        <f t="shared" ca="1" si="871"/>
        <v>Depreciated Net Capex 2028-29</v>
      </c>
      <c r="C621" s="1426"/>
      <c r="D621" s="1426"/>
      <c r="E621" s="1426"/>
      <c r="F621" s="1426"/>
      <c r="G621" s="1426"/>
      <c r="H621" s="1426"/>
      <c r="I621" s="1426"/>
      <c r="J621" s="1426"/>
      <c r="K621" s="1426"/>
      <c r="L621" s="1426"/>
      <c r="M621" s="1426"/>
      <c r="N621" s="1426"/>
      <c r="O621" s="1427"/>
      <c r="P621" s="1428">
        <f>P603</f>
        <v>0</v>
      </c>
      <c r="Q621" s="1423">
        <f ca="1">IF(P645="n/a",P621,IFERROR(IF((OFFSET($C621,0,$A621))&lt;0,
MIN(0,P621-(OFFSET($C621,0,$A621)/(OFFSET($C616,-$A620,$A621)))),
MAX(0,P621-(OFFSET($C621,0,$A621)/(OFFSET($C616,-$A620,$A621))))),0))</f>
        <v>0</v>
      </c>
      <c r="R621" s="1423">
        <f t="shared" ca="1" si="864"/>
        <v>0</v>
      </c>
      <c r="S621" s="1423">
        <f t="shared" ca="1" si="865"/>
        <v>0</v>
      </c>
      <c r="T621" s="1423">
        <f t="shared" ca="1" si="866"/>
        <v>0</v>
      </c>
      <c r="U621" s="1423">
        <f t="shared" ca="1" si="867"/>
        <v>0</v>
      </c>
      <c r="V621" s="1423">
        <f t="shared" ca="1" si="868"/>
        <v>0</v>
      </c>
      <c r="W621" s="1423">
        <f t="shared" ca="1" si="869"/>
        <v>0</v>
      </c>
      <c r="X621" s="202"/>
      <c r="Y621" s="202"/>
      <c r="Z621" s="202"/>
      <c r="AA621" s="152"/>
      <c r="AB621" s="152"/>
    </row>
    <row r="622" spans="1:28" hidden="1" outlineLevel="1">
      <c r="A622" s="199">
        <f t="shared" si="870"/>
        <v>14</v>
      </c>
      <c r="B622" s="190" t="str">
        <f t="shared" ca="1" si="871"/>
        <v>Depreciated Net Capex 2029-30</v>
      </c>
      <c r="C622" s="1426"/>
      <c r="D622" s="1426"/>
      <c r="E622" s="1426"/>
      <c r="F622" s="1426"/>
      <c r="G622" s="1426"/>
      <c r="H622" s="1426"/>
      <c r="I622" s="1426"/>
      <c r="J622" s="1426"/>
      <c r="K622" s="1426"/>
      <c r="L622" s="1426"/>
      <c r="M622" s="1426"/>
      <c r="N622" s="1426"/>
      <c r="O622" s="1426"/>
      <c r="P622" s="1427"/>
      <c r="Q622" s="1428">
        <f>Q603</f>
        <v>0</v>
      </c>
      <c r="R622" s="1423">
        <f ca="1">IF(Q646="n/a",Q622,IFERROR(IF((OFFSET($C622,0,$A622))&lt;0,
MIN(0,Q622-(OFFSET($C622,0,$A622)/(OFFSET($C617,-$A621,$A622)))),
MAX(0,Q622-(OFFSET($C622,0,$A622)/(OFFSET($C617,-$A621,$A622))))),0))</f>
        <v>0</v>
      </c>
      <c r="S622" s="1423">
        <f t="shared" ca="1" si="865"/>
        <v>0</v>
      </c>
      <c r="T622" s="1423">
        <f t="shared" ca="1" si="866"/>
        <v>0</v>
      </c>
      <c r="U622" s="1423">
        <f t="shared" ca="1" si="867"/>
        <v>0</v>
      </c>
      <c r="V622" s="1423">
        <f t="shared" ca="1" si="868"/>
        <v>0</v>
      </c>
      <c r="W622" s="1423">
        <f t="shared" ca="1" si="869"/>
        <v>0</v>
      </c>
      <c r="X622" s="202"/>
      <c r="Y622" s="202"/>
      <c r="Z622" s="202"/>
      <c r="AA622" s="152"/>
      <c r="AB622" s="152"/>
    </row>
    <row r="623" spans="1:28" hidden="1" outlineLevel="1">
      <c r="A623" s="199">
        <f t="shared" si="870"/>
        <v>15</v>
      </c>
      <c r="B623" s="190" t="str">
        <f t="shared" ca="1" si="871"/>
        <v>Depreciated Net Capex 2030-31</v>
      </c>
      <c r="C623" s="1426"/>
      <c r="D623" s="1426"/>
      <c r="E623" s="1426"/>
      <c r="F623" s="1426"/>
      <c r="G623" s="1426"/>
      <c r="H623" s="1426"/>
      <c r="I623" s="1426"/>
      <c r="J623" s="1426"/>
      <c r="K623" s="1426"/>
      <c r="L623" s="1426"/>
      <c r="M623" s="1426"/>
      <c r="N623" s="1426"/>
      <c r="O623" s="1426"/>
      <c r="P623" s="1426"/>
      <c r="Q623" s="1427"/>
      <c r="R623" s="1428">
        <f>R603</f>
        <v>0</v>
      </c>
      <c r="S623" s="1423">
        <f ca="1">IF(R647="n/a",R623,IFERROR(IF((OFFSET($C623,0,$A623))&lt;0,
MIN(0,R623-(OFFSET($C623,0,$A623)/(OFFSET($C618,-$A622,$A623)))),
MAX(0,R623-(OFFSET($C623,0,$A623)/(OFFSET($C618,-$A622,$A623))))),0))</f>
        <v>0</v>
      </c>
      <c r="T623" s="1423">
        <f t="shared" ca="1" si="866"/>
        <v>0</v>
      </c>
      <c r="U623" s="1423">
        <f t="shared" ca="1" si="867"/>
        <v>0</v>
      </c>
      <c r="V623" s="1423">
        <f t="shared" ca="1" si="868"/>
        <v>0</v>
      </c>
      <c r="W623" s="1423">
        <f t="shared" ca="1" si="869"/>
        <v>0</v>
      </c>
      <c r="X623" s="202"/>
      <c r="Y623" s="202"/>
      <c r="Z623" s="202"/>
      <c r="AA623" s="152"/>
      <c r="AB623" s="152"/>
    </row>
    <row r="624" spans="1:28" hidden="1" outlineLevel="1">
      <c r="A624" s="199">
        <f t="shared" si="870"/>
        <v>16</v>
      </c>
      <c r="B624" s="190" t="str">
        <f t="shared" ca="1" si="871"/>
        <v>Depreciated Net Capex 2031-32</v>
      </c>
      <c r="C624" s="1426"/>
      <c r="D624" s="1426"/>
      <c r="E624" s="1426"/>
      <c r="F624" s="1426"/>
      <c r="G624" s="1426"/>
      <c r="H624" s="1426"/>
      <c r="I624" s="1426"/>
      <c r="J624" s="1426"/>
      <c r="K624" s="1426"/>
      <c r="L624" s="1426"/>
      <c r="M624" s="1426"/>
      <c r="N624" s="1426"/>
      <c r="O624" s="1426"/>
      <c r="P624" s="1426"/>
      <c r="Q624" s="1426"/>
      <c r="R624" s="1427"/>
      <c r="S624" s="1428">
        <f>S603</f>
        <v>0</v>
      </c>
      <c r="T624" s="1423">
        <f ca="1">IF(S648="n/a",S624,IFERROR(IF((OFFSET($C624,0,$A624))&lt;0,
MIN(0,S624-(OFFSET($C624,0,$A624)/(OFFSET($C619,-$A623,$A624)))),
MAX(0,S624-(OFFSET($C624,0,$A624)/(OFFSET($C619,-$A623,$A624))))),0))</f>
        <v>0</v>
      </c>
      <c r="U624" s="1423">
        <f t="shared" ca="1" si="867"/>
        <v>0</v>
      </c>
      <c r="V624" s="1423">
        <f t="shared" ca="1" si="868"/>
        <v>0</v>
      </c>
      <c r="W624" s="1423">
        <f t="shared" ca="1" si="869"/>
        <v>0</v>
      </c>
      <c r="X624" s="202"/>
      <c r="Y624" s="202"/>
      <c r="Z624" s="202"/>
      <c r="AA624" s="152"/>
      <c r="AB624" s="152"/>
    </row>
    <row r="625" spans="1:28" hidden="1" outlineLevel="1">
      <c r="A625" s="199">
        <f t="shared" si="870"/>
        <v>17</v>
      </c>
      <c r="B625" s="190" t="str">
        <f t="shared" ca="1" si="871"/>
        <v>Depreciated Net Capex 2032-33</v>
      </c>
      <c r="C625" s="1426"/>
      <c r="D625" s="1426"/>
      <c r="E625" s="1426"/>
      <c r="F625" s="1426"/>
      <c r="G625" s="1426"/>
      <c r="H625" s="1426"/>
      <c r="I625" s="1426"/>
      <c r="J625" s="1426"/>
      <c r="K625" s="1426"/>
      <c r="L625" s="1426"/>
      <c r="M625" s="1426"/>
      <c r="N625" s="1426"/>
      <c r="O625" s="1426"/>
      <c r="P625" s="1426"/>
      <c r="Q625" s="1426"/>
      <c r="R625" s="1426"/>
      <c r="S625" s="1427"/>
      <c r="T625" s="1428">
        <f>T603</f>
        <v>0</v>
      </c>
      <c r="U625" s="1423">
        <f ca="1">IF(T649="n/a",T625,IFERROR(IF((OFFSET($C625,0,$A625))&lt;0,
MIN(0,T625-(OFFSET($C625,0,$A625)/(OFFSET($C620,-$A624,$A625)))),
MAX(0,T625-(OFFSET($C625,0,$A625)/(OFFSET($C620,-$A624,$A625))))),0))</f>
        <v>0</v>
      </c>
      <c r="V625" s="1423">
        <f t="shared" ca="1" si="868"/>
        <v>0</v>
      </c>
      <c r="W625" s="1423">
        <f t="shared" ca="1" si="869"/>
        <v>0</v>
      </c>
      <c r="X625" s="202"/>
      <c r="Y625" s="202"/>
      <c r="Z625" s="202"/>
      <c r="AA625" s="152"/>
      <c r="AB625" s="152"/>
    </row>
    <row r="626" spans="1:28" hidden="1" outlineLevel="1">
      <c r="A626" s="199">
        <f t="shared" si="870"/>
        <v>18</v>
      </c>
      <c r="B626" s="190" t="str">
        <f t="shared" ca="1" si="871"/>
        <v>Depreciated Net Capex 2033-34</v>
      </c>
      <c r="C626" s="1426"/>
      <c r="D626" s="1426"/>
      <c r="E626" s="1426"/>
      <c r="F626" s="1426"/>
      <c r="G626" s="1426"/>
      <c r="H626" s="1426"/>
      <c r="I626" s="1426"/>
      <c r="J626" s="1426"/>
      <c r="K626" s="1426"/>
      <c r="L626" s="1426"/>
      <c r="M626" s="1426"/>
      <c r="N626" s="1426"/>
      <c r="O626" s="1426"/>
      <c r="P626" s="1426"/>
      <c r="Q626" s="1426"/>
      <c r="R626" s="1426"/>
      <c r="S626" s="1426"/>
      <c r="T626" s="1427"/>
      <c r="U626" s="1428">
        <f>U603</f>
        <v>0</v>
      </c>
      <c r="V626" s="1423">
        <f ca="1">IF(U650="n/a",U626,IFERROR(IF((OFFSET($C626,0,$A626))&lt;0,
MIN(0,U626-(OFFSET($C626,0,$A626)/(OFFSET($C621,-$A625,$A626)))),
MAX(0,U626-(OFFSET($C626,0,$A626)/(OFFSET($C621,-$A625,$A626))))),0))</f>
        <v>0</v>
      </c>
      <c r="W626" s="1423">
        <f t="shared" ca="1" si="869"/>
        <v>0</v>
      </c>
      <c r="X626" s="202"/>
      <c r="Y626" s="202"/>
      <c r="Z626" s="202"/>
      <c r="AA626" s="152"/>
      <c r="AB626" s="152"/>
    </row>
    <row r="627" spans="1:28" hidden="1" outlineLevel="1">
      <c r="A627" s="199">
        <f t="shared" si="870"/>
        <v>19</v>
      </c>
      <c r="B627" s="190" t="str">
        <f t="shared" ca="1" si="871"/>
        <v>Depreciated Net Capex 2034-35</v>
      </c>
      <c r="C627" s="1426"/>
      <c r="D627" s="1426"/>
      <c r="E627" s="1426"/>
      <c r="F627" s="1426"/>
      <c r="G627" s="1426"/>
      <c r="H627" s="1426"/>
      <c r="I627" s="1426"/>
      <c r="J627" s="1426"/>
      <c r="K627" s="1426"/>
      <c r="L627" s="1426"/>
      <c r="M627" s="1426"/>
      <c r="N627" s="1426"/>
      <c r="O627" s="1426"/>
      <c r="P627" s="1426"/>
      <c r="Q627" s="1426"/>
      <c r="R627" s="1426"/>
      <c r="S627" s="1426"/>
      <c r="T627" s="1426"/>
      <c r="U627" s="1427"/>
      <c r="V627" s="1428">
        <f>V603</f>
        <v>0</v>
      </c>
      <c r="W627" s="1423">
        <f ca="1">IF(V651="n/a",V627,IFERROR(IF((OFFSET($C627,0,$A627))&lt;0,
MIN(0,V627-(OFFSET($C627,0,$A627)/(OFFSET($C622,-$A626,$A627)))),
MAX(0,V627-(OFFSET($C627,0,$A627)/(OFFSET($C622,-$A626,$A627))))),0))</f>
        <v>0</v>
      </c>
      <c r="X627" s="202"/>
      <c r="Y627" s="202"/>
      <c r="Z627" s="202"/>
      <c r="AA627" s="152"/>
      <c r="AB627" s="152"/>
    </row>
    <row r="628" spans="1:28" hidden="1" outlineLevel="1">
      <c r="A628" s="199">
        <f t="shared" si="870"/>
        <v>20</v>
      </c>
      <c r="B628" s="190" t="str">
        <f t="shared" ca="1" si="871"/>
        <v>Depreciated Net Capex 2035-36</v>
      </c>
      <c r="C628" s="1426"/>
      <c r="D628" s="1426"/>
      <c r="E628" s="1426"/>
      <c r="F628" s="1426"/>
      <c r="G628" s="1426"/>
      <c r="H628" s="1426"/>
      <c r="I628" s="1426"/>
      <c r="J628" s="1426"/>
      <c r="K628" s="1426"/>
      <c r="L628" s="1426"/>
      <c r="M628" s="1426"/>
      <c r="N628" s="1426"/>
      <c r="O628" s="1426"/>
      <c r="P628" s="1426"/>
      <c r="Q628" s="1426"/>
      <c r="R628" s="1426"/>
      <c r="S628" s="1426"/>
      <c r="T628" s="1426"/>
      <c r="U628" s="1426"/>
      <c r="V628" s="1427"/>
      <c r="W628" s="1423">
        <f>W603</f>
        <v>0</v>
      </c>
      <c r="X628" s="152"/>
      <c r="Y628" s="152"/>
      <c r="Z628" s="152"/>
      <c r="AA628" s="152"/>
      <c r="AB628" s="152"/>
    </row>
    <row r="629" spans="1:28" hidden="1" outlineLevel="1">
      <c r="A629" s="242"/>
      <c r="B629" s="200"/>
      <c r="C629" s="1423"/>
      <c r="D629" s="1423"/>
      <c r="E629" s="1423"/>
      <c r="F629" s="1423"/>
      <c r="G629" s="1423"/>
      <c r="H629" s="1423"/>
      <c r="I629" s="1423"/>
      <c r="J629" s="1423"/>
      <c r="K629" s="1423"/>
      <c r="L629" s="1423"/>
      <c r="M629" s="1423"/>
      <c r="N629" s="1423"/>
      <c r="O629" s="1423"/>
      <c r="P629" s="1423"/>
      <c r="Q629" s="1423"/>
      <c r="R629" s="1423"/>
      <c r="S629" s="1423"/>
      <c r="T629" s="1423"/>
      <c r="U629" s="1423"/>
      <c r="V629" s="1423"/>
      <c r="W629" s="1423"/>
      <c r="X629" s="152"/>
      <c r="Y629" s="152"/>
      <c r="Z629" s="152"/>
      <c r="AA629" s="152"/>
      <c r="AB629" s="152"/>
    </row>
    <row r="630" spans="1:28" hidden="1" outlineLevel="1">
      <c r="A630" s="242"/>
      <c r="B630" s="200"/>
      <c r="C630" s="1423"/>
      <c r="D630" s="1423"/>
      <c r="E630" s="1423"/>
      <c r="F630" s="1423"/>
      <c r="G630" s="1423"/>
      <c r="H630" s="1423"/>
      <c r="I630" s="1423"/>
      <c r="J630" s="1423"/>
      <c r="K630" s="1423"/>
      <c r="L630" s="1423"/>
      <c r="M630" s="1423"/>
      <c r="N630" s="1423"/>
      <c r="O630" s="1423"/>
      <c r="P630" s="1423"/>
      <c r="Q630" s="1423"/>
      <c r="R630" s="1423"/>
      <c r="S630" s="1423"/>
      <c r="T630" s="1423"/>
      <c r="U630" s="1423"/>
      <c r="V630" s="1423"/>
      <c r="W630" s="1423"/>
      <c r="X630" s="152"/>
      <c r="Y630" s="152"/>
      <c r="Z630" s="152"/>
      <c r="AA630" s="152"/>
      <c r="AB630" s="152"/>
    </row>
    <row r="631" spans="1:28" hidden="1" outlineLevel="1">
      <c r="A631" s="242"/>
      <c r="B631" s="190" t="s">
        <v>194</v>
      </c>
      <c r="C631" s="1423"/>
      <c r="D631" s="1423">
        <f t="shared" ref="D631" ca="1" si="872">IF(AND(C631&lt;1,D605=0),0,
IF(D605=0,C631-1,
IF(C631&lt;1,D606,
(((C631-1)*(C607-(C607/(C631))))+(D605*D606))/(D607))))</f>
        <v>0</v>
      </c>
      <c r="E631" s="1423">
        <f t="shared" ref="E631" ca="1" si="873">IF(AND(D631&lt;1,E605=0),0,
IF(E605=0,D631-1,
IF(D631&lt;1,E606,
(((D631-1)*(D607-(D607/(D631))))+(E605*E606))/(E607))))</f>
        <v>0</v>
      </c>
      <c r="F631" s="1423">
        <f t="shared" ref="F631" ca="1" si="874">IF(AND(E631&lt;1,F605=0),0,
IF(F605=0,E631-1,
IF(E631&lt;1,F606,
(((E631-1)*(E607-(E607/(E631))))+(F605*F606))/(F607))))</f>
        <v>0</v>
      </c>
      <c r="G631" s="1423">
        <f t="shared" ref="G631" ca="1" si="875">IF(AND(F631&lt;1,G605=0),0,
IF(G605=0,F631-1,
IF(F631&lt;1,G606,
(((F631-1)*(F607-(F607/(F631))))+(G605*G606))/(G607))))</f>
        <v>0</v>
      </c>
      <c r="H631" s="1423">
        <f ca="1">IF(AND(G631&lt;1,H605=0),0,
IF(H605=0,G631-1,
IF(G631&lt;1,H606,
(((G631-1)*(G607-(G607/(G631))))+(H605*H606))/(H607))))</f>
        <v>0</v>
      </c>
      <c r="I631" s="1423">
        <f t="shared" ref="I631" ca="1" si="876">IF(AND(H631&lt;1,I605=0),0,
IF(I605=0,H631-1,
IF(H631&lt;1,I606,
(((H631-1)*(H607-(H607/(H631))))+(I605*I606))/(I607))))</f>
        <v>0</v>
      </c>
      <c r="J631" s="1423">
        <f t="shared" ref="J631" ca="1" si="877">IF(AND(I631&lt;1,J605=0),0,
IF(J605=0,I631-1,
IF(I631&lt;1,J606,
(((I631-1)*(I607-(I607/(I631))))+(J605*J606))/(J607))))</f>
        <v>0</v>
      </c>
      <c r="K631" s="1423">
        <f t="shared" ref="K631" ca="1" si="878">IF(AND(J631&lt;1,K605=0),0,
IF(K605=0,J631-1,
IF(J631&lt;1,K606,
(((J631-1)*(J607-(J607/(J631))))+(K605*K606))/(K607))))</f>
        <v>0</v>
      </c>
      <c r="L631" s="1423">
        <f t="shared" ref="L631" ca="1" si="879">IF(AND(K631&lt;1,L605=0),0,
IF(L605=0,K631-1,
IF(K631&lt;1,L606,
(((K631-1)*(K607-(K607/(K631))))+(L605*L606))/(L607))))</f>
        <v>0</v>
      </c>
      <c r="M631" s="1423">
        <f ca="1">IF(AND(L631&lt;1,M605=0),0,
IF(M605=0,L631-1,
IF(L631&lt;1,M606,
(((L631-1)*(L607-(L607/(L631))))+(M605*M606))/(M607))))</f>
        <v>0</v>
      </c>
      <c r="N631" s="1423">
        <f t="shared" ref="N631" ca="1" si="880">IF(AND(M631&lt;1,N605=0),0,
IF(N605=0,M631-1,
IF(M631&lt;1,N606,
(((M631-1)*(M607-(M607/(M631))))+(N605*N606))/(N607))))</f>
        <v>0</v>
      </c>
      <c r="O631" s="1423">
        <f t="shared" ref="O631" ca="1" si="881">IF(AND(N631&lt;1,O605=0),0,
IF(O605=0,N631-1,
IF(N631&lt;1,O606,
(((N631-1)*(N607-(N607/(N631))))+(O605*O606))/(O607))))</f>
        <v>0</v>
      </c>
      <c r="P631" s="1423">
        <f t="shared" ref="P631" ca="1" si="882">IF(AND(O631&lt;1,P605=0),0,
IF(P605=0,O631-1,
IF(O631&lt;1,P606,
(((O631-1)*(O607-(O607/(O631))))+(P605*P606))/(P607))))</f>
        <v>0</v>
      </c>
      <c r="Q631" s="1423">
        <f t="shared" ref="Q631" ca="1" si="883">IF(AND(P631&lt;1,Q605=0),0,
IF(Q605=0,P631-1,
IF(P631&lt;1,Q606,
(((P631-1)*(P607-(P607/(P631))))+(Q605*Q606))/(Q607))))</f>
        <v>0</v>
      </c>
      <c r="R631" s="1423">
        <f t="shared" ref="R631" ca="1" si="884">IF(AND(Q631&lt;1,R605=0),0,
IF(R605=0,Q631-1,
IF(Q631&lt;1,R606,
(((Q631-1)*(Q607-(Q607/(Q631))))+(R605*R606))/(R607))))</f>
        <v>0</v>
      </c>
      <c r="S631" s="1423">
        <f t="shared" ref="S631" ca="1" si="885">IF(AND(R631&lt;1,S605=0),0,
IF(S605=0,R631-1,
IF(R631&lt;1,S606,
(((R631-1)*(R607-(R607/(R631))))+(S605*S606))/(S607))))</f>
        <v>0</v>
      </c>
      <c r="T631" s="1423">
        <f t="shared" ref="T631" ca="1" si="886">IF(AND(S631&lt;1,T605=0),0,
IF(T605=0,S631-1,
IF(S631&lt;1,T606,
(((S631-1)*(S607-(S607/(S631))))+(T605*T606))/(T607))))</f>
        <v>0</v>
      </c>
      <c r="U631" s="1423">
        <f t="shared" ref="U631" ca="1" si="887">IF(AND(T631&lt;1,U605=0),0,
IF(U605=0,T631-1,
IF(T631&lt;1,U606,
(((T631-1)*(T607-(T607/(T631))))+(U605*U606))/(U607))))</f>
        <v>0</v>
      </c>
      <c r="V631" s="1423">
        <f t="shared" ref="V631" ca="1" si="888">IF(AND(U631&lt;1,V605=0),0,
IF(V605=0,U631-1,
IF(U631&lt;1,V606,
(((U631-1)*(U607-(U607/(U631))))+(V605*V606))/(V607))))</f>
        <v>0</v>
      </c>
      <c r="W631" s="1423">
        <f t="shared" ref="W631" ca="1" si="889">IF(AND(V631&lt;1,W605=0),0,
IF(W605=0,V631-1,
IF(V631&lt;1,W606,
(((V631-1)*(V607-(V607/(V631))))+(W605*W606))/(W607))))</f>
        <v>0</v>
      </c>
      <c r="X631" s="152"/>
      <c r="Y631" s="152"/>
      <c r="Z631" s="152"/>
      <c r="AA631" s="152"/>
      <c r="AB631" s="152"/>
    </row>
    <row r="632" spans="1:28" hidden="1" outlineLevel="1">
      <c r="A632" s="242"/>
      <c r="B632" s="190" t="s">
        <v>193</v>
      </c>
      <c r="C632" s="1423">
        <f ca="1">C604</f>
        <v>0</v>
      </c>
      <c r="D632" s="1423">
        <f t="shared" ref="D632" ca="1" si="890">IF(C632="n/a","n/a",MAX(0,C632-1))</f>
        <v>0</v>
      </c>
      <c r="E632" s="1423">
        <f t="shared" ref="E632:E633" ca="1" si="891">IF(D632="n/a","n/a",MAX(0,D632-1))</f>
        <v>0</v>
      </c>
      <c r="F632" s="1423">
        <f t="shared" ref="F632:F634" ca="1" si="892">IF(E632="n/a","n/a",MAX(0,E632-1))</f>
        <v>0</v>
      </c>
      <c r="G632" s="1423">
        <f t="shared" ref="G632:G635" ca="1" si="893">IF(F632="n/a","n/a",MAX(0,F632-1))</f>
        <v>0</v>
      </c>
      <c r="H632" s="1423">
        <f t="shared" ref="H632:H636" ca="1" si="894">IF(G632="n/a","n/a",MAX(0,G632-1))</f>
        <v>0</v>
      </c>
      <c r="I632" s="1423">
        <f t="shared" ref="I632:I637" ca="1" si="895">IF(H632="n/a","n/a",MAX(0,H632-1))</f>
        <v>0</v>
      </c>
      <c r="J632" s="1423">
        <f t="shared" ref="J632:J638" ca="1" si="896">IF(I632="n/a","n/a",MAX(0,I632-1))</f>
        <v>0</v>
      </c>
      <c r="K632" s="1423">
        <f t="shared" ref="K632:K639" ca="1" si="897">IF(J632="n/a","n/a",MAX(0,J632-1))</f>
        <v>0</v>
      </c>
      <c r="L632" s="1423">
        <f t="shared" ref="L632:L640" ca="1" si="898">IF(K632="n/a","n/a",MAX(0,K632-1))</f>
        <v>0</v>
      </c>
      <c r="M632" s="1423">
        <f t="shared" ref="M632:M641" ca="1" si="899">IF(L632="n/a","n/a",MAX(0,L632-1))</f>
        <v>0</v>
      </c>
      <c r="N632" s="1423">
        <f t="shared" ref="N632:N642" ca="1" si="900">IF(M632="n/a","n/a",MAX(0,M632-1))</f>
        <v>0</v>
      </c>
      <c r="O632" s="1423">
        <f t="shared" ref="O632:O643" ca="1" si="901">IF(N632="n/a","n/a",MAX(0,N632-1))</f>
        <v>0</v>
      </c>
      <c r="P632" s="1423">
        <f t="shared" ref="P632:P644" ca="1" si="902">IF(O632="n/a","n/a",MAX(0,O632-1))</f>
        <v>0</v>
      </c>
      <c r="Q632" s="1423">
        <f t="shared" ref="Q632:Q645" ca="1" si="903">IF(P632="n/a","n/a",MAX(0,P632-1))</f>
        <v>0</v>
      </c>
      <c r="R632" s="1423">
        <f t="shared" ref="R632:R646" ca="1" si="904">IF(Q632="n/a","n/a",MAX(0,Q632-1))</f>
        <v>0</v>
      </c>
      <c r="S632" s="1423">
        <f t="shared" ref="S632:S647" ca="1" si="905">IF(R632="n/a","n/a",MAX(0,R632-1))</f>
        <v>0</v>
      </c>
      <c r="T632" s="1423">
        <f t="shared" ref="T632:T648" ca="1" si="906">IF(S632="n/a","n/a",MAX(0,S632-1))</f>
        <v>0</v>
      </c>
      <c r="U632" s="1423">
        <f t="shared" ref="U632:U649" ca="1" si="907">IF(T632="n/a","n/a",MAX(0,T632-1))</f>
        <v>0</v>
      </c>
      <c r="V632" s="1423">
        <f t="shared" ref="V632:V650" ca="1" si="908">IF(U632="n/a","n/a",MAX(0,U632-1))</f>
        <v>0</v>
      </c>
      <c r="W632" s="1423">
        <f t="shared" ref="W632:W650" ca="1" si="909">IF(V632="n/a","n/a",MAX(0,V632-1))</f>
        <v>0</v>
      </c>
      <c r="X632" s="152"/>
      <c r="Y632" s="152"/>
      <c r="Z632" s="152"/>
      <c r="AA632" s="152"/>
      <c r="AB632" s="152"/>
    </row>
    <row r="633" spans="1:28" hidden="1" outlineLevel="1">
      <c r="A633" s="242"/>
      <c r="B633" s="190" t="str">
        <f t="shared" ref="B633:B652" ca="1" si="910">"RL Capex "&amp;OFFSET($C$6,0,A609)</f>
        <v>RL Capex 2016-17</v>
      </c>
      <c r="C633" s="1424"/>
      <c r="D633" s="1428">
        <f>D604</f>
        <v>0</v>
      </c>
      <c r="E633" s="1423">
        <f t="shared" si="891"/>
        <v>0</v>
      </c>
      <c r="F633" s="1423">
        <f t="shared" si="892"/>
        <v>0</v>
      </c>
      <c r="G633" s="1423">
        <f t="shared" si="893"/>
        <v>0</v>
      </c>
      <c r="H633" s="1423">
        <f t="shared" si="894"/>
        <v>0</v>
      </c>
      <c r="I633" s="1423">
        <f t="shared" si="895"/>
        <v>0</v>
      </c>
      <c r="J633" s="1423">
        <f t="shared" si="896"/>
        <v>0</v>
      </c>
      <c r="K633" s="1423">
        <f t="shared" si="897"/>
        <v>0</v>
      </c>
      <c r="L633" s="1423">
        <f t="shared" si="898"/>
        <v>0</v>
      </c>
      <c r="M633" s="1423">
        <f t="shared" si="899"/>
        <v>0</v>
      </c>
      <c r="N633" s="1423">
        <f t="shared" si="900"/>
        <v>0</v>
      </c>
      <c r="O633" s="1423">
        <f t="shared" si="901"/>
        <v>0</v>
      </c>
      <c r="P633" s="1423">
        <f t="shared" si="902"/>
        <v>0</v>
      </c>
      <c r="Q633" s="1423">
        <f t="shared" si="903"/>
        <v>0</v>
      </c>
      <c r="R633" s="1423">
        <f t="shared" si="904"/>
        <v>0</v>
      </c>
      <c r="S633" s="1423">
        <f t="shared" si="905"/>
        <v>0</v>
      </c>
      <c r="T633" s="1423">
        <f t="shared" si="906"/>
        <v>0</v>
      </c>
      <c r="U633" s="1423">
        <f t="shared" si="907"/>
        <v>0</v>
      </c>
      <c r="V633" s="1423">
        <f t="shared" si="908"/>
        <v>0</v>
      </c>
      <c r="W633" s="1423">
        <f t="shared" si="909"/>
        <v>0</v>
      </c>
      <c r="X633" s="152"/>
      <c r="Y633" s="152"/>
      <c r="Z633" s="152"/>
      <c r="AA633" s="152"/>
      <c r="AB633" s="152"/>
    </row>
    <row r="634" spans="1:28" hidden="1" outlineLevel="1">
      <c r="A634" s="242"/>
      <c r="B634" s="190" t="str">
        <f t="shared" ca="1" si="910"/>
        <v>RL Capex 2017-18</v>
      </c>
      <c r="C634" s="1429"/>
      <c r="D634" s="1424"/>
      <c r="E634" s="1428">
        <f>E604</f>
        <v>0</v>
      </c>
      <c r="F634" s="1423">
        <f t="shared" si="892"/>
        <v>0</v>
      </c>
      <c r="G634" s="1423">
        <f t="shared" si="893"/>
        <v>0</v>
      </c>
      <c r="H634" s="1423">
        <f t="shared" si="894"/>
        <v>0</v>
      </c>
      <c r="I634" s="1423">
        <f t="shared" si="895"/>
        <v>0</v>
      </c>
      <c r="J634" s="1423">
        <f t="shared" si="896"/>
        <v>0</v>
      </c>
      <c r="K634" s="1423">
        <f t="shared" si="897"/>
        <v>0</v>
      </c>
      <c r="L634" s="1423">
        <f t="shared" si="898"/>
        <v>0</v>
      </c>
      <c r="M634" s="1423">
        <f t="shared" si="899"/>
        <v>0</v>
      </c>
      <c r="N634" s="1423">
        <f t="shared" si="900"/>
        <v>0</v>
      </c>
      <c r="O634" s="1423">
        <f t="shared" si="901"/>
        <v>0</v>
      </c>
      <c r="P634" s="1423">
        <f t="shared" si="902"/>
        <v>0</v>
      </c>
      <c r="Q634" s="1423">
        <f t="shared" si="903"/>
        <v>0</v>
      </c>
      <c r="R634" s="1423">
        <f t="shared" si="904"/>
        <v>0</v>
      </c>
      <c r="S634" s="1423">
        <f t="shared" si="905"/>
        <v>0</v>
      </c>
      <c r="T634" s="1423">
        <f t="shared" si="906"/>
        <v>0</v>
      </c>
      <c r="U634" s="1423">
        <f t="shared" si="907"/>
        <v>0</v>
      </c>
      <c r="V634" s="1423">
        <f t="shared" si="908"/>
        <v>0</v>
      </c>
      <c r="W634" s="1423">
        <f t="shared" si="909"/>
        <v>0</v>
      </c>
      <c r="X634" s="152"/>
      <c r="Y634" s="152"/>
      <c r="Z634" s="152"/>
      <c r="AA634" s="152"/>
      <c r="AB634" s="152"/>
    </row>
    <row r="635" spans="1:28" hidden="1" outlineLevel="1">
      <c r="A635" s="242"/>
      <c r="B635" s="190" t="str">
        <f t="shared" ca="1" si="910"/>
        <v>RL Capex 2018-19</v>
      </c>
      <c r="C635" s="1429"/>
      <c r="D635" s="1429"/>
      <c r="E635" s="1424"/>
      <c r="F635" s="1428">
        <f>F604</f>
        <v>0</v>
      </c>
      <c r="G635" s="1423">
        <f t="shared" si="893"/>
        <v>0</v>
      </c>
      <c r="H635" s="1423">
        <f t="shared" si="894"/>
        <v>0</v>
      </c>
      <c r="I635" s="1423">
        <f t="shared" si="895"/>
        <v>0</v>
      </c>
      <c r="J635" s="1423">
        <f t="shared" si="896"/>
        <v>0</v>
      </c>
      <c r="K635" s="1423">
        <f t="shared" si="897"/>
        <v>0</v>
      </c>
      <c r="L635" s="1423">
        <f t="shared" si="898"/>
        <v>0</v>
      </c>
      <c r="M635" s="1423">
        <f t="shared" si="899"/>
        <v>0</v>
      </c>
      <c r="N635" s="1423">
        <f t="shared" si="900"/>
        <v>0</v>
      </c>
      <c r="O635" s="1423">
        <f t="shared" si="901"/>
        <v>0</v>
      </c>
      <c r="P635" s="1423">
        <f t="shared" si="902"/>
        <v>0</v>
      </c>
      <c r="Q635" s="1423">
        <f t="shared" si="903"/>
        <v>0</v>
      </c>
      <c r="R635" s="1423">
        <f t="shared" si="904"/>
        <v>0</v>
      </c>
      <c r="S635" s="1423">
        <f t="shared" si="905"/>
        <v>0</v>
      </c>
      <c r="T635" s="1423">
        <f t="shared" si="906"/>
        <v>0</v>
      </c>
      <c r="U635" s="1423">
        <f t="shared" si="907"/>
        <v>0</v>
      </c>
      <c r="V635" s="1423">
        <f t="shared" si="908"/>
        <v>0</v>
      </c>
      <c r="W635" s="1423">
        <f t="shared" si="909"/>
        <v>0</v>
      </c>
      <c r="X635" s="152"/>
      <c r="Y635" s="152"/>
      <c r="Z635" s="152"/>
      <c r="AA635" s="152"/>
      <c r="AB635" s="152"/>
    </row>
    <row r="636" spans="1:28" hidden="1" outlineLevel="1">
      <c r="A636" s="242"/>
      <c r="B636" s="190" t="str">
        <f t="shared" ca="1" si="910"/>
        <v>RL Capex 2019-20</v>
      </c>
      <c r="C636" s="1429"/>
      <c r="D636" s="1429"/>
      <c r="E636" s="1429"/>
      <c r="F636" s="1424"/>
      <c r="G636" s="1428">
        <f>G604</f>
        <v>0</v>
      </c>
      <c r="H636" s="1423">
        <f t="shared" si="894"/>
        <v>0</v>
      </c>
      <c r="I636" s="1423">
        <f t="shared" si="895"/>
        <v>0</v>
      </c>
      <c r="J636" s="1423">
        <f t="shared" si="896"/>
        <v>0</v>
      </c>
      <c r="K636" s="1423">
        <f t="shared" si="897"/>
        <v>0</v>
      </c>
      <c r="L636" s="1423">
        <f t="shared" si="898"/>
        <v>0</v>
      </c>
      <c r="M636" s="1423">
        <f t="shared" si="899"/>
        <v>0</v>
      </c>
      <c r="N636" s="1423">
        <f t="shared" si="900"/>
        <v>0</v>
      </c>
      <c r="O636" s="1423">
        <f t="shared" si="901"/>
        <v>0</v>
      </c>
      <c r="P636" s="1423">
        <f t="shared" si="902"/>
        <v>0</v>
      </c>
      <c r="Q636" s="1423">
        <f t="shared" si="903"/>
        <v>0</v>
      </c>
      <c r="R636" s="1423">
        <f t="shared" si="904"/>
        <v>0</v>
      </c>
      <c r="S636" s="1423">
        <f t="shared" si="905"/>
        <v>0</v>
      </c>
      <c r="T636" s="1423">
        <f t="shared" si="906"/>
        <v>0</v>
      </c>
      <c r="U636" s="1423">
        <f t="shared" si="907"/>
        <v>0</v>
      </c>
      <c r="V636" s="1423">
        <f t="shared" si="908"/>
        <v>0</v>
      </c>
      <c r="W636" s="1423">
        <f t="shared" si="909"/>
        <v>0</v>
      </c>
      <c r="X636" s="152"/>
      <c r="Y636" s="152"/>
      <c r="Z636" s="152"/>
      <c r="AA636" s="152"/>
      <c r="AB636" s="152"/>
    </row>
    <row r="637" spans="1:28" hidden="1" outlineLevel="1">
      <c r="A637" s="242"/>
      <c r="B637" s="190" t="str">
        <f t="shared" ca="1" si="910"/>
        <v>RL Capex 2020-21</v>
      </c>
      <c r="C637" s="1429"/>
      <c r="D637" s="1429"/>
      <c r="E637" s="1429"/>
      <c r="F637" s="1429"/>
      <c r="G637" s="1424"/>
      <c r="H637" s="1428">
        <f>H604</f>
        <v>0</v>
      </c>
      <c r="I637" s="1423">
        <f t="shared" si="895"/>
        <v>0</v>
      </c>
      <c r="J637" s="1423">
        <f t="shared" si="896"/>
        <v>0</v>
      </c>
      <c r="K637" s="1423">
        <f t="shared" si="897"/>
        <v>0</v>
      </c>
      <c r="L637" s="1423">
        <f t="shared" si="898"/>
        <v>0</v>
      </c>
      <c r="M637" s="1423">
        <f t="shared" si="899"/>
        <v>0</v>
      </c>
      <c r="N637" s="1423">
        <f t="shared" si="900"/>
        <v>0</v>
      </c>
      <c r="O637" s="1423">
        <f t="shared" si="901"/>
        <v>0</v>
      </c>
      <c r="P637" s="1423">
        <f t="shared" si="902"/>
        <v>0</v>
      </c>
      <c r="Q637" s="1423">
        <f t="shared" si="903"/>
        <v>0</v>
      </c>
      <c r="R637" s="1423">
        <f t="shared" si="904"/>
        <v>0</v>
      </c>
      <c r="S637" s="1423">
        <f t="shared" si="905"/>
        <v>0</v>
      </c>
      <c r="T637" s="1423">
        <f t="shared" si="906"/>
        <v>0</v>
      </c>
      <c r="U637" s="1423">
        <f t="shared" si="907"/>
        <v>0</v>
      </c>
      <c r="V637" s="1423">
        <f t="shared" si="908"/>
        <v>0</v>
      </c>
      <c r="W637" s="1423">
        <f t="shared" si="909"/>
        <v>0</v>
      </c>
      <c r="X637" s="152"/>
      <c r="Y637" s="152"/>
      <c r="Z637" s="152"/>
      <c r="AA637" s="152"/>
      <c r="AB637" s="152"/>
    </row>
    <row r="638" spans="1:28" hidden="1" outlineLevel="1">
      <c r="A638" s="242"/>
      <c r="B638" s="190" t="str">
        <f t="shared" ca="1" si="910"/>
        <v>RL Capex 2021-22</v>
      </c>
      <c r="C638" s="1429"/>
      <c r="D638" s="1429"/>
      <c r="E638" s="1429"/>
      <c r="F638" s="1429"/>
      <c r="G638" s="1429"/>
      <c r="H638" s="1424"/>
      <c r="I638" s="1428">
        <f>I604</f>
        <v>0</v>
      </c>
      <c r="J638" s="1423">
        <f t="shared" si="896"/>
        <v>0</v>
      </c>
      <c r="K638" s="1423">
        <f t="shared" si="897"/>
        <v>0</v>
      </c>
      <c r="L638" s="1423">
        <f t="shared" si="898"/>
        <v>0</v>
      </c>
      <c r="M638" s="1423">
        <f t="shared" si="899"/>
        <v>0</v>
      </c>
      <c r="N638" s="1423">
        <f t="shared" si="900"/>
        <v>0</v>
      </c>
      <c r="O638" s="1423">
        <f t="shared" si="901"/>
        <v>0</v>
      </c>
      <c r="P638" s="1423">
        <f t="shared" si="902"/>
        <v>0</v>
      </c>
      <c r="Q638" s="1423">
        <f t="shared" si="903"/>
        <v>0</v>
      </c>
      <c r="R638" s="1423">
        <f t="shared" si="904"/>
        <v>0</v>
      </c>
      <c r="S638" s="1423">
        <f t="shared" si="905"/>
        <v>0</v>
      </c>
      <c r="T638" s="1423">
        <f t="shared" si="906"/>
        <v>0</v>
      </c>
      <c r="U638" s="1423">
        <f t="shared" si="907"/>
        <v>0</v>
      </c>
      <c r="V638" s="1423">
        <f t="shared" si="908"/>
        <v>0</v>
      </c>
      <c r="W638" s="1423">
        <f t="shared" si="909"/>
        <v>0</v>
      </c>
      <c r="X638" s="152"/>
      <c r="Y638" s="152"/>
      <c r="Z638" s="152"/>
      <c r="AA638" s="152"/>
      <c r="AB638" s="152"/>
    </row>
    <row r="639" spans="1:28" hidden="1" outlineLevel="1">
      <c r="A639" s="242"/>
      <c r="B639" s="190" t="str">
        <f t="shared" ca="1" si="910"/>
        <v>RL Capex 2022-23</v>
      </c>
      <c r="C639" s="1429"/>
      <c r="D639" s="1429"/>
      <c r="E639" s="1429"/>
      <c r="F639" s="1429"/>
      <c r="G639" s="1429"/>
      <c r="H639" s="1429"/>
      <c r="I639" s="1424"/>
      <c r="J639" s="1428">
        <f>J604</f>
        <v>0</v>
      </c>
      <c r="K639" s="1423">
        <f t="shared" si="897"/>
        <v>0</v>
      </c>
      <c r="L639" s="1423">
        <f t="shared" si="898"/>
        <v>0</v>
      </c>
      <c r="M639" s="1423">
        <f t="shared" si="899"/>
        <v>0</v>
      </c>
      <c r="N639" s="1423">
        <f t="shared" si="900"/>
        <v>0</v>
      </c>
      <c r="O639" s="1423">
        <f t="shared" si="901"/>
        <v>0</v>
      </c>
      <c r="P639" s="1423">
        <f t="shared" si="902"/>
        <v>0</v>
      </c>
      <c r="Q639" s="1423">
        <f t="shared" si="903"/>
        <v>0</v>
      </c>
      <c r="R639" s="1423">
        <f t="shared" si="904"/>
        <v>0</v>
      </c>
      <c r="S639" s="1423">
        <f t="shared" si="905"/>
        <v>0</v>
      </c>
      <c r="T639" s="1423">
        <f t="shared" si="906"/>
        <v>0</v>
      </c>
      <c r="U639" s="1423">
        <f t="shared" si="907"/>
        <v>0</v>
      </c>
      <c r="V639" s="1423">
        <f t="shared" si="908"/>
        <v>0</v>
      </c>
      <c r="W639" s="1423">
        <f t="shared" si="909"/>
        <v>0</v>
      </c>
      <c r="X639" s="152"/>
      <c r="Y639" s="152"/>
      <c r="Z639" s="152"/>
      <c r="AA639" s="152"/>
      <c r="AB639" s="152"/>
    </row>
    <row r="640" spans="1:28" hidden="1" outlineLevel="1">
      <c r="A640" s="242"/>
      <c r="B640" s="190" t="str">
        <f t="shared" ca="1" si="910"/>
        <v>RL Capex 2023-24</v>
      </c>
      <c r="C640" s="1429"/>
      <c r="D640" s="1429"/>
      <c r="E640" s="1429"/>
      <c r="F640" s="1429"/>
      <c r="G640" s="1429"/>
      <c r="H640" s="1429"/>
      <c r="I640" s="1429"/>
      <c r="J640" s="1424"/>
      <c r="K640" s="1428">
        <f>K604</f>
        <v>0</v>
      </c>
      <c r="L640" s="1423">
        <f t="shared" si="898"/>
        <v>0</v>
      </c>
      <c r="M640" s="1423">
        <f t="shared" si="899"/>
        <v>0</v>
      </c>
      <c r="N640" s="1423">
        <f t="shared" si="900"/>
        <v>0</v>
      </c>
      <c r="O640" s="1423">
        <f t="shared" si="901"/>
        <v>0</v>
      </c>
      <c r="P640" s="1423">
        <f t="shared" si="902"/>
        <v>0</v>
      </c>
      <c r="Q640" s="1423">
        <f t="shared" si="903"/>
        <v>0</v>
      </c>
      <c r="R640" s="1423">
        <f t="shared" si="904"/>
        <v>0</v>
      </c>
      <c r="S640" s="1423">
        <f t="shared" si="905"/>
        <v>0</v>
      </c>
      <c r="T640" s="1423">
        <f t="shared" si="906"/>
        <v>0</v>
      </c>
      <c r="U640" s="1423">
        <f t="shared" si="907"/>
        <v>0</v>
      </c>
      <c r="V640" s="1423">
        <f t="shared" si="908"/>
        <v>0</v>
      </c>
      <c r="W640" s="1423">
        <f t="shared" si="909"/>
        <v>0</v>
      </c>
      <c r="X640" s="152"/>
      <c r="Y640" s="152"/>
      <c r="Z640" s="152"/>
      <c r="AA640" s="152"/>
      <c r="AB640" s="152"/>
    </row>
    <row r="641" spans="1:28" hidden="1" outlineLevel="1">
      <c r="A641" s="242"/>
      <c r="B641" s="190" t="str">
        <f t="shared" ca="1" si="910"/>
        <v>RL Capex 2024-25</v>
      </c>
      <c r="C641" s="1429"/>
      <c r="D641" s="1429"/>
      <c r="E641" s="1429"/>
      <c r="F641" s="1429"/>
      <c r="G641" s="1429"/>
      <c r="H641" s="1429"/>
      <c r="I641" s="1429"/>
      <c r="J641" s="1429"/>
      <c r="K641" s="1424"/>
      <c r="L641" s="1428">
        <f>L604</f>
        <v>0</v>
      </c>
      <c r="M641" s="1423">
        <f t="shared" si="899"/>
        <v>0</v>
      </c>
      <c r="N641" s="1423">
        <f t="shared" si="900"/>
        <v>0</v>
      </c>
      <c r="O641" s="1423">
        <f t="shared" si="901"/>
        <v>0</v>
      </c>
      <c r="P641" s="1423">
        <f t="shared" si="902"/>
        <v>0</v>
      </c>
      <c r="Q641" s="1423">
        <f t="shared" si="903"/>
        <v>0</v>
      </c>
      <c r="R641" s="1423">
        <f t="shared" si="904"/>
        <v>0</v>
      </c>
      <c r="S641" s="1423">
        <f t="shared" si="905"/>
        <v>0</v>
      </c>
      <c r="T641" s="1423">
        <f t="shared" si="906"/>
        <v>0</v>
      </c>
      <c r="U641" s="1423">
        <f t="shared" si="907"/>
        <v>0</v>
      </c>
      <c r="V641" s="1423">
        <f t="shared" si="908"/>
        <v>0</v>
      </c>
      <c r="W641" s="1423">
        <f t="shared" si="909"/>
        <v>0</v>
      </c>
      <c r="X641" s="152"/>
      <c r="Y641" s="152"/>
      <c r="Z641" s="152"/>
      <c r="AA641" s="152"/>
      <c r="AB641" s="152"/>
    </row>
    <row r="642" spans="1:28" hidden="1" outlineLevel="1">
      <c r="A642" s="242"/>
      <c r="B642" s="190" t="str">
        <f t="shared" ca="1" si="910"/>
        <v>RL Capex 2025-26</v>
      </c>
      <c r="C642" s="1429"/>
      <c r="D642" s="1429"/>
      <c r="E642" s="1429"/>
      <c r="F642" s="1429"/>
      <c r="G642" s="1429"/>
      <c r="H642" s="1429"/>
      <c r="I642" s="1429"/>
      <c r="J642" s="1429"/>
      <c r="K642" s="1429"/>
      <c r="L642" s="1424"/>
      <c r="M642" s="1428">
        <f>M604</f>
        <v>0</v>
      </c>
      <c r="N642" s="1423">
        <f t="shared" si="900"/>
        <v>0</v>
      </c>
      <c r="O642" s="1423">
        <f t="shared" si="901"/>
        <v>0</v>
      </c>
      <c r="P642" s="1423">
        <f t="shared" si="902"/>
        <v>0</v>
      </c>
      <c r="Q642" s="1423">
        <f t="shared" si="903"/>
        <v>0</v>
      </c>
      <c r="R642" s="1423">
        <f t="shared" si="904"/>
        <v>0</v>
      </c>
      <c r="S642" s="1423">
        <f t="shared" si="905"/>
        <v>0</v>
      </c>
      <c r="T642" s="1423">
        <f t="shared" si="906"/>
        <v>0</v>
      </c>
      <c r="U642" s="1423">
        <f t="shared" si="907"/>
        <v>0</v>
      </c>
      <c r="V642" s="1423">
        <f t="shared" si="908"/>
        <v>0</v>
      </c>
      <c r="W642" s="1423">
        <f t="shared" si="909"/>
        <v>0</v>
      </c>
      <c r="X642" s="152"/>
      <c r="Y642" s="152"/>
      <c r="Z642" s="152"/>
      <c r="AA642" s="152"/>
      <c r="AB642" s="152"/>
    </row>
    <row r="643" spans="1:28" hidden="1" outlineLevel="1">
      <c r="A643" s="242"/>
      <c r="B643" s="190" t="str">
        <f t="shared" ca="1" si="910"/>
        <v>RL Capex 2026-27</v>
      </c>
      <c r="C643" s="1429"/>
      <c r="D643" s="1429"/>
      <c r="E643" s="1429"/>
      <c r="F643" s="1429"/>
      <c r="G643" s="1429"/>
      <c r="H643" s="1429"/>
      <c r="I643" s="1429"/>
      <c r="J643" s="1429"/>
      <c r="K643" s="1429"/>
      <c r="L643" s="1429"/>
      <c r="M643" s="1424"/>
      <c r="N643" s="1428">
        <f>N604</f>
        <v>0</v>
      </c>
      <c r="O643" s="1423">
        <f t="shared" si="901"/>
        <v>0</v>
      </c>
      <c r="P643" s="1423">
        <f t="shared" si="902"/>
        <v>0</v>
      </c>
      <c r="Q643" s="1423">
        <f t="shared" si="903"/>
        <v>0</v>
      </c>
      <c r="R643" s="1423">
        <f t="shared" si="904"/>
        <v>0</v>
      </c>
      <c r="S643" s="1423">
        <f t="shared" si="905"/>
        <v>0</v>
      </c>
      <c r="T643" s="1423">
        <f t="shared" si="906"/>
        <v>0</v>
      </c>
      <c r="U643" s="1423">
        <f t="shared" si="907"/>
        <v>0</v>
      </c>
      <c r="V643" s="1423">
        <f t="shared" si="908"/>
        <v>0</v>
      </c>
      <c r="W643" s="1423">
        <f t="shared" si="909"/>
        <v>0</v>
      </c>
      <c r="X643" s="152"/>
      <c r="Y643" s="152"/>
      <c r="Z643" s="152"/>
      <c r="AA643" s="152"/>
      <c r="AB643" s="152"/>
    </row>
    <row r="644" spans="1:28" hidden="1" outlineLevel="1">
      <c r="A644" s="242"/>
      <c r="B644" s="190" t="str">
        <f t="shared" ca="1" si="910"/>
        <v>RL Capex 2027-28</v>
      </c>
      <c r="C644" s="1429"/>
      <c r="D644" s="1429"/>
      <c r="E644" s="1429"/>
      <c r="F644" s="1429"/>
      <c r="G644" s="1429"/>
      <c r="H644" s="1429"/>
      <c r="I644" s="1429"/>
      <c r="J644" s="1429"/>
      <c r="K644" s="1429"/>
      <c r="L644" s="1429"/>
      <c r="M644" s="1429"/>
      <c r="N644" s="1424"/>
      <c r="O644" s="1428">
        <f>O604</f>
        <v>0</v>
      </c>
      <c r="P644" s="1423">
        <f t="shared" si="902"/>
        <v>0</v>
      </c>
      <c r="Q644" s="1423">
        <f t="shared" si="903"/>
        <v>0</v>
      </c>
      <c r="R644" s="1423">
        <f t="shared" si="904"/>
        <v>0</v>
      </c>
      <c r="S644" s="1423">
        <f t="shared" si="905"/>
        <v>0</v>
      </c>
      <c r="T644" s="1423">
        <f t="shared" si="906"/>
        <v>0</v>
      </c>
      <c r="U644" s="1423">
        <f t="shared" si="907"/>
        <v>0</v>
      </c>
      <c r="V644" s="1423">
        <f t="shared" si="908"/>
        <v>0</v>
      </c>
      <c r="W644" s="1423">
        <f t="shared" si="909"/>
        <v>0</v>
      </c>
      <c r="X644" s="152"/>
      <c r="Y644" s="152"/>
      <c r="Z644" s="152"/>
      <c r="AA644" s="152"/>
      <c r="AB644" s="152"/>
    </row>
    <row r="645" spans="1:28" hidden="1" outlineLevel="1">
      <c r="A645" s="242"/>
      <c r="B645" s="190" t="str">
        <f t="shared" ca="1" si="910"/>
        <v>RL Capex 2028-29</v>
      </c>
      <c r="C645" s="1429"/>
      <c r="D645" s="1429"/>
      <c r="E645" s="1429"/>
      <c r="F645" s="1429"/>
      <c r="G645" s="1429"/>
      <c r="H645" s="1429"/>
      <c r="I645" s="1429"/>
      <c r="J645" s="1429"/>
      <c r="K645" s="1429"/>
      <c r="L645" s="1429"/>
      <c r="M645" s="1429"/>
      <c r="N645" s="1429"/>
      <c r="O645" s="1424"/>
      <c r="P645" s="1428">
        <f>P604</f>
        <v>0</v>
      </c>
      <c r="Q645" s="1423">
        <f t="shared" si="903"/>
        <v>0</v>
      </c>
      <c r="R645" s="1423">
        <f t="shared" si="904"/>
        <v>0</v>
      </c>
      <c r="S645" s="1423">
        <f t="shared" si="905"/>
        <v>0</v>
      </c>
      <c r="T645" s="1423">
        <f t="shared" si="906"/>
        <v>0</v>
      </c>
      <c r="U645" s="1423">
        <f t="shared" si="907"/>
        <v>0</v>
      </c>
      <c r="V645" s="1423">
        <f t="shared" si="908"/>
        <v>0</v>
      </c>
      <c r="W645" s="1423">
        <f t="shared" si="909"/>
        <v>0</v>
      </c>
      <c r="X645" s="152"/>
      <c r="Y645" s="152"/>
      <c r="Z645" s="152"/>
      <c r="AA645" s="152"/>
      <c r="AB645" s="152"/>
    </row>
    <row r="646" spans="1:28" hidden="1" outlineLevel="1">
      <c r="A646" s="242"/>
      <c r="B646" s="190" t="str">
        <f t="shared" ca="1" si="910"/>
        <v>RL Capex 2029-30</v>
      </c>
      <c r="C646" s="1429"/>
      <c r="D646" s="1429"/>
      <c r="E646" s="1429"/>
      <c r="F646" s="1429"/>
      <c r="G646" s="1429"/>
      <c r="H646" s="1429"/>
      <c r="I646" s="1429"/>
      <c r="J646" s="1429"/>
      <c r="K646" s="1429"/>
      <c r="L646" s="1429"/>
      <c r="M646" s="1429"/>
      <c r="N646" s="1429"/>
      <c r="O646" s="1429"/>
      <c r="P646" s="1424"/>
      <c r="Q646" s="1428">
        <f>Q604</f>
        <v>0</v>
      </c>
      <c r="R646" s="1423">
        <f t="shared" si="904"/>
        <v>0</v>
      </c>
      <c r="S646" s="1423">
        <f t="shared" si="905"/>
        <v>0</v>
      </c>
      <c r="T646" s="1423">
        <f t="shared" si="906"/>
        <v>0</v>
      </c>
      <c r="U646" s="1423">
        <f t="shared" si="907"/>
        <v>0</v>
      </c>
      <c r="V646" s="1423">
        <f t="shared" si="908"/>
        <v>0</v>
      </c>
      <c r="W646" s="1423">
        <f t="shared" si="909"/>
        <v>0</v>
      </c>
      <c r="X646" s="152"/>
      <c r="Y646" s="152"/>
      <c r="Z646" s="152"/>
      <c r="AA646" s="152"/>
      <c r="AB646" s="152"/>
    </row>
    <row r="647" spans="1:28" hidden="1" outlineLevel="1">
      <c r="A647" s="242"/>
      <c r="B647" s="190" t="str">
        <f t="shared" ca="1" si="910"/>
        <v>RL Capex 2030-31</v>
      </c>
      <c r="C647" s="1429"/>
      <c r="D647" s="1429"/>
      <c r="E647" s="1429"/>
      <c r="F647" s="1429"/>
      <c r="G647" s="1429"/>
      <c r="H647" s="1429"/>
      <c r="I647" s="1429"/>
      <c r="J647" s="1429"/>
      <c r="K647" s="1429"/>
      <c r="L647" s="1429"/>
      <c r="M647" s="1429"/>
      <c r="N647" s="1429"/>
      <c r="O647" s="1429"/>
      <c r="P647" s="1429"/>
      <c r="Q647" s="1424"/>
      <c r="R647" s="1428">
        <f>R604</f>
        <v>0</v>
      </c>
      <c r="S647" s="1423">
        <f t="shared" si="905"/>
        <v>0</v>
      </c>
      <c r="T647" s="1423">
        <f t="shared" si="906"/>
        <v>0</v>
      </c>
      <c r="U647" s="1423">
        <f t="shared" si="907"/>
        <v>0</v>
      </c>
      <c r="V647" s="1423">
        <f t="shared" si="908"/>
        <v>0</v>
      </c>
      <c r="W647" s="1423">
        <f t="shared" si="909"/>
        <v>0</v>
      </c>
      <c r="X647" s="152"/>
      <c r="Y647" s="152"/>
      <c r="Z647" s="152"/>
      <c r="AA647" s="152"/>
      <c r="AB647" s="152"/>
    </row>
    <row r="648" spans="1:28" hidden="1" outlineLevel="1">
      <c r="A648" s="242"/>
      <c r="B648" s="190" t="str">
        <f t="shared" ca="1" si="910"/>
        <v>RL Capex 2031-32</v>
      </c>
      <c r="C648" s="1429"/>
      <c r="D648" s="1429"/>
      <c r="E648" s="1429"/>
      <c r="F648" s="1429"/>
      <c r="G648" s="1429"/>
      <c r="H648" s="1429"/>
      <c r="I648" s="1429"/>
      <c r="J648" s="1429"/>
      <c r="K648" s="1429"/>
      <c r="L648" s="1429"/>
      <c r="M648" s="1429"/>
      <c r="N648" s="1429"/>
      <c r="O648" s="1429"/>
      <c r="P648" s="1429"/>
      <c r="Q648" s="1429"/>
      <c r="R648" s="1424"/>
      <c r="S648" s="1428">
        <f>S604</f>
        <v>0</v>
      </c>
      <c r="T648" s="1423">
        <f t="shared" si="906"/>
        <v>0</v>
      </c>
      <c r="U648" s="1423">
        <f t="shared" si="907"/>
        <v>0</v>
      </c>
      <c r="V648" s="1423">
        <f t="shared" si="908"/>
        <v>0</v>
      </c>
      <c r="W648" s="1423">
        <f t="shared" si="909"/>
        <v>0</v>
      </c>
      <c r="X648" s="152"/>
      <c r="Y648" s="152"/>
      <c r="Z648" s="152"/>
      <c r="AA648" s="152"/>
      <c r="AB648" s="152"/>
    </row>
    <row r="649" spans="1:28" hidden="1" outlineLevel="1">
      <c r="A649" s="242"/>
      <c r="B649" s="190" t="str">
        <f t="shared" ca="1" si="910"/>
        <v>RL Capex 2032-33</v>
      </c>
      <c r="C649" s="1429"/>
      <c r="D649" s="1429"/>
      <c r="E649" s="1429"/>
      <c r="F649" s="1429"/>
      <c r="G649" s="1429"/>
      <c r="H649" s="1429"/>
      <c r="I649" s="1429"/>
      <c r="J649" s="1429"/>
      <c r="K649" s="1429"/>
      <c r="L649" s="1429"/>
      <c r="M649" s="1429"/>
      <c r="N649" s="1429"/>
      <c r="O649" s="1429"/>
      <c r="P649" s="1429"/>
      <c r="Q649" s="1429"/>
      <c r="R649" s="1429"/>
      <c r="S649" s="1424"/>
      <c r="T649" s="1428">
        <f>T604</f>
        <v>0</v>
      </c>
      <c r="U649" s="1423">
        <f t="shared" si="907"/>
        <v>0</v>
      </c>
      <c r="V649" s="1423">
        <f t="shared" si="908"/>
        <v>0</v>
      </c>
      <c r="W649" s="1423">
        <f t="shared" si="909"/>
        <v>0</v>
      </c>
      <c r="X649" s="152"/>
      <c r="Y649" s="152"/>
      <c r="Z649" s="152"/>
      <c r="AA649" s="152"/>
      <c r="AB649" s="152"/>
    </row>
    <row r="650" spans="1:28" hidden="1" outlineLevel="1">
      <c r="A650" s="242"/>
      <c r="B650" s="190" t="str">
        <f t="shared" ca="1" si="910"/>
        <v>RL Capex 2033-34</v>
      </c>
      <c r="C650" s="1429"/>
      <c r="D650" s="1429"/>
      <c r="E650" s="1429"/>
      <c r="F650" s="1429"/>
      <c r="G650" s="1429"/>
      <c r="H650" s="1429"/>
      <c r="I650" s="1429"/>
      <c r="J650" s="1429"/>
      <c r="K650" s="1429"/>
      <c r="L650" s="1429"/>
      <c r="M650" s="1429"/>
      <c r="N650" s="1429"/>
      <c r="O650" s="1429"/>
      <c r="P650" s="1429"/>
      <c r="Q650" s="1429"/>
      <c r="R650" s="1429"/>
      <c r="S650" s="1429"/>
      <c r="T650" s="1424"/>
      <c r="U650" s="1428">
        <f>U604</f>
        <v>0</v>
      </c>
      <c r="V650" s="1423">
        <f t="shared" si="908"/>
        <v>0</v>
      </c>
      <c r="W650" s="1423">
        <f t="shared" si="909"/>
        <v>0</v>
      </c>
      <c r="X650" s="152"/>
      <c r="Y650" s="152"/>
      <c r="Z650" s="152"/>
      <c r="AA650" s="152"/>
      <c r="AB650" s="152"/>
    </row>
    <row r="651" spans="1:28" hidden="1" outlineLevel="1">
      <c r="A651" s="242"/>
      <c r="B651" s="190" t="str">
        <f t="shared" ca="1" si="910"/>
        <v>RL Capex 2034-35</v>
      </c>
      <c r="C651" s="1429"/>
      <c r="D651" s="1429"/>
      <c r="E651" s="1429"/>
      <c r="F651" s="1429"/>
      <c r="G651" s="1429"/>
      <c r="H651" s="1429"/>
      <c r="I651" s="1429"/>
      <c r="J651" s="1429"/>
      <c r="K651" s="1429"/>
      <c r="L651" s="1429"/>
      <c r="M651" s="1429"/>
      <c r="N651" s="1429"/>
      <c r="O651" s="1429"/>
      <c r="P651" s="1429"/>
      <c r="Q651" s="1429"/>
      <c r="R651" s="1429"/>
      <c r="S651" s="1429"/>
      <c r="T651" s="1429"/>
      <c r="U651" s="1424"/>
      <c r="V651" s="1428">
        <f>V604</f>
        <v>0</v>
      </c>
      <c r="W651" s="1423">
        <f>IF(V651="n/a","n/a",MAX(0,V651-1))</f>
        <v>0</v>
      </c>
      <c r="X651" s="152"/>
      <c r="Y651" s="152"/>
      <c r="Z651" s="152"/>
      <c r="AA651" s="152"/>
      <c r="AB651" s="152"/>
    </row>
    <row r="652" spans="1:28" hidden="1" outlineLevel="1">
      <c r="A652" s="242"/>
      <c r="B652" s="190" t="str">
        <f t="shared" ca="1" si="910"/>
        <v>RL Capex 2035-36</v>
      </c>
      <c r="C652" s="1429"/>
      <c r="D652" s="1429"/>
      <c r="E652" s="1429"/>
      <c r="F652" s="1429"/>
      <c r="G652" s="1429"/>
      <c r="H652" s="1429"/>
      <c r="I652" s="1429"/>
      <c r="J652" s="1429"/>
      <c r="K652" s="1429"/>
      <c r="L652" s="1429"/>
      <c r="M652" s="1429"/>
      <c r="N652" s="1429"/>
      <c r="O652" s="1429"/>
      <c r="P652" s="1429"/>
      <c r="Q652" s="1429"/>
      <c r="R652" s="1429"/>
      <c r="S652" s="1429"/>
      <c r="T652" s="1429"/>
      <c r="U652" s="1429"/>
      <c r="V652" s="1424"/>
      <c r="W652" s="1423">
        <f>W604</f>
        <v>0</v>
      </c>
      <c r="X652" s="152"/>
      <c r="Y652" s="152"/>
      <c r="Z652" s="152"/>
      <c r="AA652" s="152"/>
      <c r="AB652" s="152"/>
    </row>
    <row r="653" spans="1:28" hidden="1" outlineLevel="1">
      <c r="A653" s="242"/>
      <c r="B653" s="200"/>
      <c r="C653" s="1423"/>
      <c r="D653" s="1423"/>
      <c r="E653" s="1423"/>
      <c r="F653" s="1423"/>
      <c r="G653" s="1423"/>
      <c r="H653" s="1423"/>
      <c r="I653" s="1423"/>
      <c r="J653" s="1423"/>
      <c r="K653" s="1423"/>
      <c r="L653" s="1423"/>
      <c r="M653" s="1423"/>
      <c r="N653" s="1423"/>
      <c r="O653" s="1423"/>
      <c r="P653" s="1423"/>
      <c r="Q653" s="1423"/>
      <c r="R653" s="1423"/>
      <c r="S653" s="1423"/>
      <c r="T653" s="1423"/>
      <c r="U653" s="1423"/>
      <c r="V653" s="1423"/>
      <c r="W653" s="1423"/>
      <c r="X653" s="152"/>
      <c r="Y653" s="152"/>
      <c r="Z653" s="152"/>
      <c r="AA653" s="152"/>
      <c r="AB653" s="152"/>
    </row>
    <row r="654" spans="1:28" collapsed="1">
      <c r="A654" s="246"/>
      <c r="B654" s="204" t="s">
        <v>123</v>
      </c>
      <c r="C654" s="1430">
        <f ca="1">(IF(OR($C604&lt;&gt;"n/a",C604&lt;&gt;"n/a"),IF(SUM(C607:C629)=0,0,IF((SUMPRODUCT(C607:C629,C631:C653)/SUM(C607:C629))&lt;0,1,(SUMPRODUCT(C607:C629,C631:C653)/SUM(C607:C629)))),"n/a"))</f>
        <v>0</v>
      </c>
      <c r="D654" s="1430">
        <f ca="1">(IF(OR($C604&lt;&gt;"n/a",D604&lt;&gt;"n/a"),IF(SUM(D607:D629)=0,0,IF((SUMPRODUCT(D607:D629,D631:D653)/SUM(D607:D629))&lt;0,1,(SUMPRODUCT(D607:D629,D631:D653)/SUM(D607:D629)))),"n/a"))</f>
        <v>0</v>
      </c>
      <c r="E654" s="1430">
        <f t="shared" ref="E654:W654" ca="1" si="911">(IF(OR($C604&lt;&gt;"n/a",E604&lt;&gt;"n/a"),IF(SUM(E607:E629)=0,0,IF((SUMPRODUCT(E607:E629,E631:E653)/SUM(E607:E629))&lt;0,1,(SUMPRODUCT(E607:E629,E631:E653)/SUM(E607:E629)))),"n/a"))</f>
        <v>0</v>
      </c>
      <c r="F654" s="1430">
        <f t="shared" ca="1" si="911"/>
        <v>0</v>
      </c>
      <c r="G654" s="1430">
        <f t="shared" ca="1" si="911"/>
        <v>0</v>
      </c>
      <c r="H654" s="1430">
        <f t="shared" ca="1" si="911"/>
        <v>0</v>
      </c>
      <c r="I654" s="1430">
        <f t="shared" ca="1" si="911"/>
        <v>0</v>
      </c>
      <c r="J654" s="1430">
        <f t="shared" ca="1" si="911"/>
        <v>0</v>
      </c>
      <c r="K654" s="1430">
        <f t="shared" ca="1" si="911"/>
        <v>0</v>
      </c>
      <c r="L654" s="1430">
        <f t="shared" ca="1" si="911"/>
        <v>0</v>
      </c>
      <c r="M654" s="1430">
        <f t="shared" ca="1" si="911"/>
        <v>0</v>
      </c>
      <c r="N654" s="1430">
        <f t="shared" ca="1" si="911"/>
        <v>0</v>
      </c>
      <c r="O654" s="1430">
        <f t="shared" ca="1" si="911"/>
        <v>0</v>
      </c>
      <c r="P654" s="1430">
        <f t="shared" ca="1" si="911"/>
        <v>0</v>
      </c>
      <c r="Q654" s="1430">
        <f t="shared" ca="1" si="911"/>
        <v>0</v>
      </c>
      <c r="R654" s="1430">
        <f t="shared" ca="1" si="911"/>
        <v>0</v>
      </c>
      <c r="S654" s="1430">
        <f t="shared" ca="1" si="911"/>
        <v>0</v>
      </c>
      <c r="T654" s="1430">
        <f t="shared" ca="1" si="911"/>
        <v>0</v>
      </c>
      <c r="U654" s="1430">
        <f t="shared" ca="1" si="911"/>
        <v>0</v>
      </c>
      <c r="V654" s="1430">
        <f t="shared" ca="1" si="911"/>
        <v>0</v>
      </c>
      <c r="W654" s="1430">
        <f t="shared" ca="1" si="911"/>
        <v>0</v>
      </c>
      <c r="X654" s="152"/>
      <c r="Y654" s="152"/>
      <c r="Z654" s="152"/>
      <c r="AA654" s="152"/>
      <c r="AB654" s="152"/>
    </row>
    <row r="655" spans="1:28">
      <c r="A655" s="242"/>
      <c r="B655" s="152"/>
      <c r="C655" s="1423"/>
      <c r="D655" s="1423"/>
      <c r="E655" s="1423"/>
      <c r="F655" s="1423"/>
      <c r="G655" s="1423"/>
      <c r="H655" s="1423"/>
      <c r="I655" s="1423"/>
      <c r="J655" s="1423"/>
      <c r="K655" s="1423"/>
      <c r="L655" s="1423"/>
      <c r="M655" s="1423"/>
      <c r="N655" s="1423"/>
      <c r="O655" s="1423"/>
      <c r="P655" s="1423"/>
      <c r="Q655" s="1423"/>
      <c r="R655" s="1423"/>
      <c r="S655" s="1423"/>
      <c r="T655" s="1423"/>
      <c r="U655" s="1423"/>
      <c r="V655" s="1423"/>
      <c r="W655" s="1423"/>
      <c r="X655" s="152"/>
      <c r="Y655" s="152"/>
      <c r="Z655" s="152"/>
      <c r="AA655" s="152"/>
      <c r="AB655" s="152"/>
    </row>
    <row r="656" spans="1:28">
      <c r="A656" s="269" t="s">
        <v>13</v>
      </c>
      <c r="B656" s="270">
        <f>VLOOKUP($A656,'RFM input'!$E$7:$F$56,2,FALSE)</f>
        <v>0</v>
      </c>
      <c r="C656" s="1431"/>
      <c r="D656" s="1431"/>
      <c r="E656" s="1432"/>
      <c r="F656" s="1432"/>
      <c r="G656" s="1432"/>
      <c r="H656" s="1432"/>
      <c r="I656" s="1432"/>
      <c r="J656" s="1432"/>
      <c r="K656" s="1432"/>
      <c r="L656" s="1432"/>
      <c r="M656" s="1432"/>
      <c r="N656" s="1432"/>
      <c r="O656" s="1432"/>
      <c r="P656" s="1432"/>
      <c r="Q656" s="1432"/>
      <c r="R656" s="1432"/>
      <c r="S656" s="1432"/>
      <c r="T656" s="1432"/>
      <c r="U656" s="1432"/>
      <c r="V656" s="1432"/>
      <c r="W656" s="1432"/>
      <c r="X656" s="152"/>
      <c r="Y656" s="152"/>
      <c r="Z656" s="152"/>
      <c r="AA656" s="152"/>
      <c r="AB656" s="152"/>
    </row>
    <row r="657" spans="1:28">
      <c r="A657" s="215">
        <f>VALUE(REPLACE(A656,1,12,""))</f>
        <v>13</v>
      </c>
      <c r="B657" s="263" t="s">
        <v>126</v>
      </c>
      <c r="C657" s="1416">
        <f ca="1">IF($D$6='TAB roll forward'!$H$4,OFFSET('TAB roll forward'!$H$7,A657,0),"enter input")</f>
        <v>0</v>
      </c>
      <c r="D657" s="1417">
        <f>IF(LEFT(D$6,4)&lt;LEFT('RFM input'!$G$60,4),"enter input",IF(LEFT(D$6,4)&gt;LEFT('RFM input'!$Q$60,4),0,
INDEX('RFM input'!$G$61:$Q$110,$A657,MATCH(D$6,'RFM input'!$G$60:$Q$60,0))
   -INDEX('RFM input'!$G$115:$Q$164,$A657,MATCH(D$6,'RFM input'!$G$60:$Q$60,0))))</f>
        <v>0</v>
      </c>
      <c r="E657" s="1417">
        <f>IF(LEFT(E$6,4)&lt;LEFT('RFM input'!$G$60,4),"enter input",IF(LEFT(E$6,4)&gt;LEFT('RFM input'!$Q$60,4),0,
INDEX('RFM input'!$G$61:$Q$110,$A657,MATCH(E$6,'RFM input'!$G$60:$Q$60,0))
   -INDEX('RFM input'!$G$115:$Q$164,$A657,MATCH(E$6,'RFM input'!$G$60:$Q$60,0))))</f>
        <v>0</v>
      </c>
      <c r="F657" s="1417">
        <f>IF(LEFT(F$6,4)&lt;LEFT('RFM input'!$G$60,4),"enter input",IF(LEFT(F$6,4)&gt;LEFT('RFM input'!$Q$60,4),0,
INDEX('RFM input'!$G$61:$Q$110,$A657,MATCH(F$6,'RFM input'!$G$60:$Q$60,0))
   -INDEX('RFM input'!$G$115:$Q$164,$A657,MATCH(F$6,'RFM input'!$G$60:$Q$60,0))))</f>
        <v>0</v>
      </c>
      <c r="G657" s="1417">
        <f>IF(LEFT(G$6,4)&lt;LEFT('RFM input'!$G$60,4),"enter input",IF(LEFT(G$6,4)&gt;LEFT('RFM input'!$Q$60,4),0,
INDEX('RFM input'!$G$61:$Q$110,$A657,MATCH(G$6,'RFM input'!$G$60:$Q$60,0))
   -INDEX('RFM input'!$G$115:$Q$164,$A657,MATCH(G$6,'RFM input'!$G$60:$Q$60,0))))</f>
        <v>0</v>
      </c>
      <c r="H657" s="1417">
        <f>IF(LEFT(H$6,4)&lt;LEFT('RFM input'!$G$60,4),"enter input",IF(LEFT(H$6,4)&gt;LEFT('RFM input'!$Q$60,4),0,
INDEX('RFM input'!$G$61:$Q$110,$A657,MATCH(H$6,'RFM input'!$G$60:$Q$60,0))
   -INDEX('RFM input'!$G$115:$Q$164,$A657,MATCH(H$6,'RFM input'!$G$60:$Q$60,0))))</f>
        <v>0</v>
      </c>
      <c r="I657" s="1417">
        <f>IF(LEFT(I$6,4)&lt;LEFT('RFM input'!$G$60,4),"enter input",IF(LEFT(I$6,4)&gt;LEFT('RFM input'!$Q$60,4),0,
INDEX('RFM input'!$G$61:$Q$110,$A657,MATCH(I$6,'RFM input'!$G$60:$Q$60,0))
   -INDEX('RFM input'!$G$115:$Q$164,$A657,MATCH(I$6,'RFM input'!$G$60:$Q$60,0))))</f>
        <v>0</v>
      </c>
      <c r="J657" s="1417">
        <f>IF(LEFT(J$6,4)&lt;LEFT('RFM input'!$G$60,4),"enter input",IF(LEFT(J$6,4)&gt;LEFT('RFM input'!$Q$60,4),0,
INDEX('RFM input'!$G$61:$Q$110,$A657,MATCH(J$6,'RFM input'!$G$60:$Q$60,0))
   -INDEX('RFM input'!$G$115:$Q$164,$A657,MATCH(J$6,'RFM input'!$G$60:$Q$60,0))))</f>
        <v>0</v>
      </c>
      <c r="K657" s="1417">
        <f>IF(LEFT(K$6,4)&lt;LEFT('RFM input'!$G$60,4),"enter input",IF(LEFT(K$6,4)&gt;LEFT('RFM input'!$Q$60,4),0,
INDEX('RFM input'!$G$61:$Q$110,$A657,MATCH(K$6,'RFM input'!$G$60:$Q$60,0))
   -INDEX('RFM input'!$G$115:$Q$164,$A657,MATCH(K$6,'RFM input'!$G$60:$Q$60,0))))</f>
        <v>0</v>
      </c>
      <c r="L657" s="1417">
        <f>IF(LEFT(L$6,4)&lt;LEFT('RFM input'!$G$60,4),"enter input",IF(LEFT(L$6,4)&gt;LEFT('RFM input'!$Q$60,4),0,
INDEX('RFM input'!$G$61:$Q$110,$A657,MATCH(L$6,'RFM input'!$G$60:$Q$60,0))
   -INDEX('RFM input'!$G$115:$Q$164,$A657,MATCH(L$6,'RFM input'!$G$60:$Q$60,0))))</f>
        <v>0</v>
      </c>
      <c r="M657" s="1417">
        <f>IF(LEFT(M$6,4)&lt;LEFT('RFM input'!$G$60,4),"enter input",IF(LEFT(M$6,4)&gt;LEFT('RFM input'!$Q$60,4),0,
INDEX('RFM input'!$G$61:$Q$110,$A657,MATCH(M$6,'RFM input'!$G$60:$Q$60,0))
   -INDEX('RFM input'!$G$115:$Q$164,$A657,MATCH(M$6,'RFM input'!$G$60:$Q$60,0))))</f>
        <v>0</v>
      </c>
      <c r="N657" s="1417">
        <f>IF(LEFT(N$6,4)&lt;LEFT('RFM input'!$G$60,4),"enter input",IF(LEFT(N$6,4)&gt;LEFT('RFM input'!$Q$60,4),0,
INDEX('RFM input'!$G$61:$Q$110,$A657,MATCH(N$6,'RFM input'!$G$60:$Q$60,0))
   -INDEX('RFM input'!$G$115:$Q$164,$A657,MATCH(N$6,'RFM input'!$G$60:$Q$60,0))))</f>
        <v>0</v>
      </c>
      <c r="O657" s="1417">
        <f>IF(LEFT(O$6,4)&lt;LEFT('RFM input'!$G$60,4),"enter input",IF(LEFT(O$6,4)&gt;LEFT('RFM input'!$Q$60,4),0,
INDEX('RFM input'!$G$61:$Q$110,$A657,MATCH(O$6,'RFM input'!$G$60:$Q$60,0))
   -INDEX('RFM input'!$G$115:$Q$164,$A657,MATCH(O$6,'RFM input'!$G$60:$Q$60,0))))</f>
        <v>0</v>
      </c>
      <c r="P657" s="1417">
        <f>IF(LEFT(P$6,4)&lt;LEFT('RFM input'!$G$60,4),"enter input",IF(LEFT(P$6,4)&gt;LEFT('RFM input'!$Q$60,4),0,
INDEX('RFM input'!$G$61:$Q$110,$A657,MATCH(P$6,'RFM input'!$G$60:$Q$60,0))
   -INDEX('RFM input'!$G$115:$Q$164,$A657,MATCH(P$6,'RFM input'!$G$60:$Q$60,0))))</f>
        <v>0</v>
      </c>
      <c r="Q657" s="1417">
        <f>IF(LEFT(Q$6,4)&lt;LEFT('RFM input'!$G$60,4),"enter input",IF(LEFT(Q$6,4)&gt;LEFT('RFM input'!$Q$60,4),0,
INDEX('RFM input'!$G$61:$Q$110,$A657,MATCH(Q$6,'RFM input'!$G$60:$Q$60,0))
   -INDEX('RFM input'!$G$115:$Q$164,$A657,MATCH(Q$6,'RFM input'!$G$60:$Q$60,0))))</f>
        <v>0</v>
      </c>
      <c r="R657" s="1417">
        <f>IF(LEFT(R$6,4)&lt;LEFT('RFM input'!$G$60,4),"enter input",IF(LEFT(R$6,4)&gt;LEFT('RFM input'!$Q$60,4),0,
INDEX('RFM input'!$G$61:$Q$110,$A657,MATCH(R$6,'RFM input'!$G$60:$Q$60,0))
   -INDEX('RFM input'!$G$115:$Q$164,$A657,MATCH(R$6,'RFM input'!$G$60:$Q$60,0))))</f>
        <v>0</v>
      </c>
      <c r="S657" s="1417">
        <f>IF(LEFT(S$6,4)&lt;LEFT('RFM input'!$G$60,4),"enter input",IF(LEFT(S$6,4)&gt;LEFT('RFM input'!$Q$60,4),0,
INDEX('RFM input'!$G$61:$Q$110,$A657,MATCH(S$6,'RFM input'!$G$60:$Q$60,0))
   -INDEX('RFM input'!$G$115:$Q$164,$A657,MATCH(S$6,'RFM input'!$G$60:$Q$60,0))))</f>
        <v>0</v>
      </c>
      <c r="T657" s="1417">
        <f>IF(LEFT(T$6,4)&lt;LEFT('RFM input'!$G$60,4),"enter input",IF(LEFT(T$6,4)&gt;LEFT('RFM input'!$Q$60,4),0,
INDEX('RFM input'!$G$61:$Q$110,$A657,MATCH(T$6,'RFM input'!$G$60:$Q$60,0))
   -INDEX('RFM input'!$G$115:$Q$164,$A657,MATCH(T$6,'RFM input'!$G$60:$Q$60,0))))</f>
        <v>0</v>
      </c>
      <c r="U657" s="1417">
        <f>IF(LEFT(U$6,4)&lt;LEFT('RFM input'!$G$60,4),"enter input",IF(LEFT(U$6,4)&gt;LEFT('RFM input'!$Q$60,4),0,
INDEX('RFM input'!$G$61:$Q$110,$A657,MATCH(U$6,'RFM input'!$G$60:$Q$60,0))
   -INDEX('RFM input'!$G$115:$Q$164,$A657,MATCH(U$6,'RFM input'!$G$60:$Q$60,0))))</f>
        <v>0</v>
      </c>
      <c r="V657" s="1417">
        <f>IF(LEFT(V$6,4)&lt;LEFT('RFM input'!$G$60,4),"enter input",IF(LEFT(V$6,4)&gt;LEFT('RFM input'!$Q$60,4),0,
INDEX('RFM input'!$G$61:$Q$110,$A657,MATCH(V$6,'RFM input'!$G$60:$Q$60,0))
   -INDEX('RFM input'!$G$115:$Q$164,$A657,MATCH(V$6,'RFM input'!$G$60:$Q$60,0))))</f>
        <v>0</v>
      </c>
      <c r="W657" s="1417">
        <f>IF(LEFT(W$6,4)&lt;LEFT('RFM input'!$G$60,4),"enter input",IF(LEFT(W$6,4)&gt;LEFT('RFM input'!$Q$60,4),0,
INDEX('RFM input'!$G$61:$Q$110,$A657,MATCH(W$6,'RFM input'!$G$60:$Q$60,0))
   -INDEX('RFM input'!$G$115:$Q$164,$A657,MATCH(W$6,'RFM input'!$G$60:$Q$60,0))))</f>
        <v>0</v>
      </c>
      <c r="X657" s="152"/>
      <c r="Y657" s="152"/>
      <c r="Z657" s="152"/>
      <c r="AA657" s="152"/>
      <c r="AB657" s="152"/>
    </row>
    <row r="658" spans="1:28">
      <c r="A658" s="242"/>
      <c r="B658" s="152" t="s">
        <v>205</v>
      </c>
      <c r="C658" s="1418">
        <f ca="1">IF($D$6='TAB roll forward'!$H$4,OFFSET('RFM input'!$S$6,$A657,0),"enter input")</f>
        <v>0</v>
      </c>
      <c r="D658" s="1417">
        <f>IF(LEFT(D$6,4)&lt;=LEFT('RFM input'!$G$60,4),"enter input",IF(LEFT(D$6,4)&gt;LEFT('RFM input'!$Q$60,4),0,
IF(MATCH(D$6,'RFM input'!$H$60:$Q$60,0),INDEX('RFM input'!$T$7:$T$56,$A657,1,1))))</f>
        <v>0</v>
      </c>
      <c r="E658" s="1417">
        <f>IF(LEFT(E$6,4)&lt;=LEFT('RFM input'!$G$60,4),"enter input",IF(LEFT(E$6,4)&gt;LEFT('RFM input'!$Q$60,4),0,
IF(MATCH(E$6,'RFM input'!$H$60:$Q$60,0),INDEX('RFM input'!$T$7:$T$56,$A657,1,1))))</f>
        <v>0</v>
      </c>
      <c r="F658" s="1417">
        <f>IF(LEFT(F$6,4)&lt;=LEFT('RFM input'!$G$60,4),"enter input",IF(LEFT(F$6,4)&gt;LEFT('RFM input'!$Q$60,4),0,
IF(MATCH(F$6,'RFM input'!$H$60:$Q$60,0),INDEX('RFM input'!$T$7:$T$56,$A657,1,1))))</f>
        <v>0</v>
      </c>
      <c r="G658" s="1417">
        <f>IF(LEFT(G$6,4)&lt;=LEFT('RFM input'!$G$60,4),"enter input",IF(LEFT(G$6,4)&gt;LEFT('RFM input'!$Q$60,4),0,
IF(MATCH(G$6,'RFM input'!$H$60:$Q$60,0),INDEX('RFM input'!$T$7:$T$56,$A657,1,1))))</f>
        <v>0</v>
      </c>
      <c r="H658" s="1417">
        <f>IF(LEFT(H$6,4)&lt;=LEFT('RFM input'!$G$60,4),"enter input",IF(LEFT(H$6,4)&gt;LEFT('RFM input'!$Q$60,4),0,
IF(MATCH(H$6,'RFM input'!$H$60:$Q$60,0),INDEX('RFM input'!$T$7:$T$56,$A657,1,1))))</f>
        <v>0</v>
      </c>
      <c r="I658" s="1417">
        <f>IF(LEFT(I$6,4)&lt;=LEFT('RFM input'!$G$60,4),"enter input",IF(LEFT(I$6,4)&gt;LEFT('RFM input'!$Q$60,4),0,
IF(MATCH(I$6,'RFM input'!$H$60:$Q$60,0),INDEX('RFM input'!$T$7:$T$56,$A657,1,1))))</f>
        <v>0</v>
      </c>
      <c r="J658" s="1417">
        <f>IF(LEFT(J$6,4)&lt;=LEFT('RFM input'!$G$60,4),"enter input",IF(LEFT(J$6,4)&gt;LEFT('RFM input'!$Q$60,4),0,
IF(MATCH(J$6,'RFM input'!$H$60:$Q$60,0),INDEX('RFM input'!$T$7:$T$56,$A657,1,1))))</f>
        <v>0</v>
      </c>
      <c r="K658" s="1417">
        <f>IF(LEFT(K$6,4)&lt;=LEFT('RFM input'!$G$60,4),"enter input",IF(LEFT(K$6,4)&gt;LEFT('RFM input'!$Q$60,4),0,
IF(MATCH(K$6,'RFM input'!$H$60:$Q$60,0),INDEX('RFM input'!$T$7:$T$56,$A657,1,1))))</f>
        <v>0</v>
      </c>
      <c r="L658" s="1417">
        <f>IF(LEFT(L$6,4)&lt;=LEFT('RFM input'!$G$60,4),"enter input",IF(LEFT(L$6,4)&gt;LEFT('RFM input'!$Q$60,4),0,
IF(MATCH(L$6,'RFM input'!$H$60:$Q$60,0),INDEX('RFM input'!$T$7:$T$56,$A657,1,1))))</f>
        <v>0</v>
      </c>
      <c r="M658" s="1417">
        <f>IF(LEFT(M$6,4)&lt;=LEFT('RFM input'!$G$60,4),"enter input",IF(LEFT(M$6,4)&gt;LEFT('RFM input'!$Q$60,4),0,
IF(MATCH(M$6,'RFM input'!$H$60:$Q$60,0),INDEX('RFM input'!$T$7:$T$56,$A657,1,1))))</f>
        <v>0</v>
      </c>
      <c r="N658" s="1417">
        <f>IF(LEFT(N$6,4)&lt;=LEFT('RFM input'!$G$60,4),"enter input",IF(LEFT(N$6,4)&gt;LEFT('RFM input'!$Q$60,4),0,
IF(MATCH(N$6,'RFM input'!$H$60:$Q$60,0),INDEX('RFM input'!$T$7:$T$56,$A657,1,1))))</f>
        <v>0</v>
      </c>
      <c r="O658" s="1417">
        <f>IF(LEFT(O$6,4)&lt;=LEFT('RFM input'!$G$60,4),"enter input",IF(LEFT(O$6,4)&gt;LEFT('RFM input'!$Q$60,4),0,
IF(MATCH(O$6,'RFM input'!$H$60:$Q$60,0),INDEX('RFM input'!$T$7:$T$56,$A657,1,1))))</f>
        <v>0</v>
      </c>
      <c r="P658" s="1417">
        <f>IF(LEFT(P$6,4)&lt;=LEFT('RFM input'!$G$60,4),"enter input",IF(LEFT(P$6,4)&gt;LEFT('RFM input'!$Q$60,4),0,
IF(MATCH(P$6,'RFM input'!$H$60:$Q$60,0),INDEX('RFM input'!$T$7:$T$56,$A657,1,1))))</f>
        <v>0</v>
      </c>
      <c r="Q658" s="1417">
        <f>IF(LEFT(Q$6,4)&lt;=LEFT('RFM input'!$G$60,4),"enter input",IF(LEFT(Q$6,4)&gt;LEFT('RFM input'!$Q$60,4),0,
IF(MATCH(Q$6,'RFM input'!$H$60:$Q$60,0),INDEX('RFM input'!$T$7:$T$56,$A657,1,1))))</f>
        <v>0</v>
      </c>
      <c r="R658" s="1417">
        <f>IF(LEFT(R$6,4)&lt;=LEFT('RFM input'!$G$60,4),"enter input",IF(LEFT(R$6,4)&gt;LEFT('RFM input'!$Q$60,4),0,
IF(MATCH(R$6,'RFM input'!$H$60:$Q$60,0),INDEX('RFM input'!$T$7:$T$56,$A657,1,1))))</f>
        <v>0</v>
      </c>
      <c r="S658" s="1417">
        <f>IF(LEFT(S$6,4)&lt;=LEFT('RFM input'!$G$60,4),"enter input",IF(LEFT(S$6,4)&gt;LEFT('RFM input'!$Q$60,4),0,
IF(MATCH(S$6,'RFM input'!$H$60:$Q$60,0),INDEX('RFM input'!$T$7:$T$56,$A657,1,1))))</f>
        <v>0</v>
      </c>
      <c r="T658" s="1417">
        <f>IF(LEFT(T$6,4)&lt;=LEFT('RFM input'!$G$60,4),"enter input",IF(LEFT(T$6,4)&gt;LEFT('RFM input'!$Q$60,4),0,
IF(MATCH(T$6,'RFM input'!$H$60:$Q$60,0),INDEX('RFM input'!$T$7:$T$56,$A657,1,1))))</f>
        <v>0</v>
      </c>
      <c r="U658" s="1417">
        <f>IF(LEFT(U$6,4)&lt;=LEFT('RFM input'!$G$60,4),"enter input",IF(LEFT(U$6,4)&gt;LEFT('RFM input'!$Q$60,4),0,
IF(MATCH(U$6,'RFM input'!$H$60:$Q$60,0),INDEX('RFM input'!$T$7:$T$56,$A657,1,1))))</f>
        <v>0</v>
      </c>
      <c r="V658" s="1417">
        <f>IF(LEFT(V$6,4)&lt;=LEFT('RFM input'!$G$60,4),"enter input",IF(LEFT(V$6,4)&gt;LEFT('RFM input'!$Q$60,4),0,
IF(MATCH(V$6,'RFM input'!$H$60:$Q$60,0),INDEX('RFM input'!$T$7:$T$56,$A657,1,1))))</f>
        <v>0</v>
      </c>
      <c r="W658" s="1417">
        <f>IF(LEFT(W$6,4)&lt;=LEFT('RFM input'!$G$60,4),"enter input",IF(LEFT(W$6,4)&gt;LEFT('RFM input'!$Q$60,4),0,
IF(MATCH(W$6,'RFM input'!$H$60:$Q$60,0),INDEX('RFM input'!$T$7:$T$56,$A657,1,1))))</f>
        <v>0</v>
      </c>
      <c r="X658" s="152"/>
      <c r="Y658" s="152"/>
      <c r="Z658" s="152"/>
      <c r="AA658" s="152"/>
      <c r="AB658" s="152"/>
    </row>
    <row r="659" spans="1:28">
      <c r="A659" s="242"/>
      <c r="B659" s="193" t="s">
        <v>192</v>
      </c>
      <c r="C659" s="1419"/>
      <c r="D659" s="1420">
        <f ca="1">IF(LEFT(D$6,4)&lt;=LEFT('RFM input'!$G$60,4),"enter input",IF(LEFT(D$6,4)&gt;LEFT('RFM input'!$Q$60,4),0,
IF(D$6=(OFFSET('RFM input'!$G$60,0,'RFM input'!$V$7)),OFFSET('RFM input'!$H$411,$A657,0),0)))</f>
        <v>0</v>
      </c>
      <c r="E659" s="1417">
        <f ca="1">IF(LEFT(E$6,4)&lt;=LEFT('RFM input'!$G$60,4),"enter input",IF(LEFT(E$6,4)&gt;LEFT('RFM input'!$Q$60,4),0,
IF(E$6=(OFFSET('RFM input'!$G$60,0,'RFM input'!$V$7)),OFFSET('RFM input'!$H$411,$A657,0),0)))</f>
        <v>0</v>
      </c>
      <c r="F659" s="1417">
        <f ca="1">IF(LEFT(F$6,4)&lt;=LEFT('RFM input'!$G$60,4),"enter input",IF(LEFT(F$6,4)&gt;LEFT('RFM input'!$Q$60,4),0,
IF(F$6=(OFFSET('RFM input'!$G$60,0,'RFM input'!$V$7)),OFFSET('RFM input'!$H$411,$A657,0),0)))</f>
        <v>0</v>
      </c>
      <c r="G659" s="1417">
        <f ca="1">IF(LEFT(G$6,4)&lt;=LEFT('RFM input'!$G$60,4),"enter input",IF(LEFT(G$6,4)&gt;LEFT('RFM input'!$Q$60,4),0,
IF(G$6=(OFFSET('RFM input'!$G$60,0,'RFM input'!$V$7)),OFFSET('RFM input'!$H$411,$A657,0),0)))</f>
        <v>0</v>
      </c>
      <c r="H659" s="1417">
        <f ca="1">IF(LEFT(H$6,4)&lt;=LEFT('RFM input'!$G$60,4),"enter input",IF(LEFT(H$6,4)&gt;LEFT('RFM input'!$Q$60,4),0,
IF(H$6=(OFFSET('RFM input'!$G$60,0,'RFM input'!$V$7)),OFFSET('RFM input'!$H$411,$A657,0),0)))</f>
        <v>0</v>
      </c>
      <c r="I659" s="1417">
        <f ca="1">IF(LEFT(I$6,4)&lt;=LEFT('RFM input'!$G$60,4),"enter input",IF(LEFT(I$6,4)&gt;LEFT('RFM input'!$Q$60,4),0,
IF(I$6=(OFFSET('RFM input'!$G$60,0,'RFM input'!$V$7)),OFFSET('RFM input'!$H$411,$A657,0),0)))</f>
        <v>0</v>
      </c>
      <c r="J659" s="1417">
        <f ca="1">IF(LEFT(J$6,4)&lt;=LEFT('RFM input'!$G$60,4),"enter input",IF(LEFT(J$6,4)&gt;LEFT('RFM input'!$Q$60,4),0,
IF(J$6=(OFFSET('RFM input'!$G$60,0,'RFM input'!$V$7)),OFFSET('RFM input'!$H$411,$A657,0),0)))</f>
        <v>0</v>
      </c>
      <c r="K659" s="1417">
        <f ca="1">IF(LEFT(K$6,4)&lt;=LEFT('RFM input'!$G$60,4),"enter input",IF(LEFT(K$6,4)&gt;LEFT('RFM input'!$Q$60,4),0,
IF(K$6=(OFFSET('RFM input'!$G$60,0,'RFM input'!$V$7)),OFFSET('RFM input'!$H$411,$A657,0),0)))</f>
        <v>0</v>
      </c>
      <c r="L659" s="1417">
        <f ca="1">IF(LEFT(L$6,4)&lt;=LEFT('RFM input'!$G$60,4),"enter input",IF(LEFT(L$6,4)&gt;LEFT('RFM input'!$Q$60,4),0,
IF(L$6=(OFFSET('RFM input'!$G$60,0,'RFM input'!$V$7)),OFFSET('RFM input'!$H$411,$A657,0),0)))</f>
        <v>0</v>
      </c>
      <c r="M659" s="1417">
        <f ca="1">IF(LEFT(M$6,4)&lt;=LEFT('RFM input'!$G$60,4),"enter input",IF(LEFT(M$6,4)&gt;LEFT('RFM input'!$Q$60,4),0,
IF(M$6=(OFFSET('RFM input'!$G$60,0,'RFM input'!$V$7)),OFFSET('RFM input'!$H$411,$A657,0),0)))</f>
        <v>0</v>
      </c>
      <c r="N659" s="1417">
        <f ca="1">IF(LEFT(N$6,4)&lt;=LEFT('RFM input'!$G$60,4),"enter input",IF(LEFT(N$6,4)&gt;LEFT('RFM input'!$Q$60,4),0,
IF(N$6=(OFFSET('RFM input'!$G$60,0,'RFM input'!$V$7)),OFFSET('RFM input'!$H$411,$A657,0),0)))</f>
        <v>0</v>
      </c>
      <c r="O659" s="1417">
        <f ca="1">IF(LEFT(O$6,4)&lt;=LEFT('RFM input'!$G$60,4),"enter input",IF(LEFT(O$6,4)&gt;LEFT('RFM input'!$Q$60,4),0,
IF(O$6=(OFFSET('RFM input'!$G$60,0,'RFM input'!$V$7)),OFFSET('RFM input'!$H$411,$A657,0),0)))</f>
        <v>0</v>
      </c>
      <c r="P659" s="1417">
        <f ca="1">IF(LEFT(P$6,4)&lt;=LEFT('RFM input'!$G$60,4),"enter input",IF(LEFT(P$6,4)&gt;LEFT('RFM input'!$Q$60,4),0,
IF(P$6=(OFFSET('RFM input'!$G$60,0,'RFM input'!$V$7)),OFFSET('RFM input'!$H$411,$A657,0),0)))</f>
        <v>0</v>
      </c>
      <c r="Q659" s="1417">
        <f ca="1">IF(LEFT(Q$6,4)&lt;=LEFT('RFM input'!$G$60,4),"enter input",IF(LEFT(Q$6,4)&gt;LEFT('RFM input'!$Q$60,4),0,
IF(Q$6=(OFFSET('RFM input'!$G$60,0,'RFM input'!$V$7)),OFFSET('RFM input'!$H$411,$A657,0),0)))</f>
        <v>0</v>
      </c>
      <c r="R659" s="1417">
        <f ca="1">IF(LEFT(R$6,4)&lt;=LEFT('RFM input'!$G$60,4),"enter input",IF(LEFT(R$6,4)&gt;LEFT('RFM input'!$Q$60,4),0,
IF(R$6=(OFFSET('RFM input'!$G$60,0,'RFM input'!$V$7)),OFFSET('RFM input'!$H$411,$A657,0),0)))</f>
        <v>0</v>
      </c>
      <c r="S659" s="1417">
        <f ca="1">IF(LEFT(S$6,4)&lt;=LEFT('RFM input'!$G$60,4),"enter input",IF(LEFT(S$6,4)&gt;LEFT('RFM input'!$Q$60,4),0,
IF(S$6=(OFFSET('RFM input'!$G$60,0,'RFM input'!$V$7)),OFFSET('RFM input'!$H$411,$A657,0),0)))</f>
        <v>0</v>
      </c>
      <c r="T659" s="1417">
        <f ca="1">IF(LEFT(T$6,4)&lt;=LEFT('RFM input'!$G$60,4),"enter input",IF(LEFT(T$6,4)&gt;LEFT('RFM input'!$Q$60,4),0,
IF(T$6=(OFFSET('RFM input'!$G$60,0,'RFM input'!$V$7)),OFFSET('RFM input'!$H$411,$A657,0),0)))</f>
        <v>0</v>
      </c>
      <c r="U659" s="1417">
        <f ca="1">IF(LEFT(U$6,4)&lt;=LEFT('RFM input'!$G$60,4),"enter input",IF(LEFT(U$6,4)&gt;LEFT('RFM input'!$Q$60,4),0,
IF(U$6=(OFFSET('RFM input'!$G$60,0,'RFM input'!$V$7)),OFFSET('RFM input'!$H$411,$A657,0),0)))</f>
        <v>0</v>
      </c>
      <c r="V659" s="1417">
        <f ca="1">IF(LEFT(V$6,4)&lt;=LEFT('RFM input'!$G$60,4),"enter input",IF(LEFT(V$6,4)&gt;LEFT('RFM input'!$Q$60,4),0,
IF(V$6=(OFFSET('RFM input'!$G$60,0,'RFM input'!$V$7)),OFFSET('RFM input'!$H$411,$A657,0),0)))</f>
        <v>0</v>
      </c>
      <c r="W659" s="1417">
        <f ca="1">IF(LEFT(W$6,4)&lt;=LEFT('RFM input'!$G$60,4),"enter input",IF(LEFT(W$6,4)&gt;LEFT('RFM input'!$Q$60,4),0,
IF(W$6=(OFFSET('RFM input'!$G$60,0,'RFM input'!$V$7)),OFFSET('RFM input'!$H$411,$A657,0),0)))</f>
        <v>0</v>
      </c>
      <c r="X659" s="152"/>
      <c r="Y659" s="152"/>
      <c r="Z659" s="152"/>
      <c r="AA659" s="152"/>
      <c r="AB659" s="152"/>
    </row>
    <row r="660" spans="1:28">
      <c r="A660" s="242"/>
      <c r="B660" s="193" t="s">
        <v>200</v>
      </c>
      <c r="C660" s="1419"/>
      <c r="D660" s="1418">
        <f ca="1">IF(LEFT(D$6,4)&lt;=LEFT('RFM input'!$G$60,4),"enter input",IF(LEFT(D$6,4)&gt;LEFT('RFM input'!$Q$60,4),0,
IF(D$6=(OFFSET('RFM input'!$G$60,0,'RFM input'!$V$7)),OFFSET('RFM input'!$J$411,$A657,0),0)))</f>
        <v>0</v>
      </c>
      <c r="E660" s="1422">
        <f ca="1">IF(LEFT(E$6,4)&lt;=LEFT('RFM input'!$G$60,4),"enter input",IF(LEFT(E$6,4)&gt;LEFT('RFM input'!$Q$60,4),0,
IF(E$6=(OFFSET('RFM input'!$G$60,0,'RFM input'!$V$7)),OFFSET('RFM input'!$J$411,$A657,0),0)))</f>
        <v>0</v>
      </c>
      <c r="F660" s="1422">
        <f ca="1">IF(LEFT(F$6,4)&lt;=LEFT('RFM input'!$G$60,4),"enter input",IF(LEFT(F$6,4)&gt;LEFT('RFM input'!$Q$60,4),0,
IF(F$6=(OFFSET('RFM input'!$G$60,0,'RFM input'!$V$7)),OFFSET('RFM input'!$J$411,$A657,0),0)))</f>
        <v>0</v>
      </c>
      <c r="G660" s="1422">
        <f ca="1">IF(LEFT(G$6,4)&lt;=LEFT('RFM input'!$G$60,4),"enter input",IF(LEFT(G$6,4)&gt;LEFT('RFM input'!$Q$60,4),0,
IF(G$6=(OFFSET('RFM input'!$G$60,0,'RFM input'!$V$7)),OFFSET('RFM input'!$J$411,$A657,0),0)))</f>
        <v>0</v>
      </c>
      <c r="H660" s="1422">
        <f ca="1">IF(LEFT(H$6,4)&lt;=LEFT('RFM input'!$G$60,4),"enter input",IF(LEFT(H$6,4)&gt;LEFT('RFM input'!$Q$60,4),0,
IF(H$6=(OFFSET('RFM input'!$G$60,0,'RFM input'!$V$7)),OFFSET('RFM input'!$J$411,$A657,0),0)))</f>
        <v>0</v>
      </c>
      <c r="I660" s="1422">
        <f ca="1">IF(LEFT(I$6,4)&lt;=LEFT('RFM input'!$G$60,4),"enter input",IF(LEFT(I$6,4)&gt;LEFT('RFM input'!$Q$60,4),0,
IF(I$6=(OFFSET('RFM input'!$G$60,0,'RFM input'!$V$7)),OFFSET('RFM input'!$J$411,$A657,0),0)))</f>
        <v>0</v>
      </c>
      <c r="J660" s="1422">
        <f ca="1">IF(LEFT(J$6,4)&lt;=LEFT('RFM input'!$G$60,4),"enter input",IF(LEFT(J$6,4)&gt;LEFT('RFM input'!$Q$60,4),0,
IF(J$6=(OFFSET('RFM input'!$G$60,0,'RFM input'!$V$7)),OFFSET('RFM input'!$J$411,$A657,0),0)))</f>
        <v>0</v>
      </c>
      <c r="K660" s="1422">
        <f ca="1">IF(LEFT(K$6,4)&lt;=LEFT('RFM input'!$G$60,4),"enter input",IF(LEFT(K$6,4)&gt;LEFT('RFM input'!$Q$60,4),0,
IF(K$6=(OFFSET('RFM input'!$G$60,0,'RFM input'!$V$7)),OFFSET('RFM input'!$J$411,$A657,0),0)))</f>
        <v>0</v>
      </c>
      <c r="L660" s="1422">
        <f ca="1">IF(LEFT(L$6,4)&lt;=LEFT('RFM input'!$G$60,4),"enter input",IF(LEFT(L$6,4)&gt;LEFT('RFM input'!$Q$60,4),0,
IF(L$6=(OFFSET('RFM input'!$G$60,0,'RFM input'!$V$7)),OFFSET('RFM input'!$J$411,$A657,0),0)))</f>
        <v>0</v>
      </c>
      <c r="M660" s="1422">
        <f ca="1">IF(LEFT(M$6,4)&lt;=LEFT('RFM input'!$G$60,4),"enter input",IF(LEFT(M$6,4)&gt;LEFT('RFM input'!$Q$60,4),0,
IF(M$6=(OFFSET('RFM input'!$G$60,0,'RFM input'!$V$7)),OFFSET('RFM input'!$J$411,$A657,0),0)))</f>
        <v>0</v>
      </c>
      <c r="N660" s="1422">
        <f ca="1">IF(LEFT(N$6,4)&lt;=LEFT('RFM input'!$G$60,4),"enter input",IF(LEFT(N$6,4)&gt;LEFT('RFM input'!$Q$60,4),0,
IF(N$6=(OFFSET('RFM input'!$G$60,0,'RFM input'!$V$7)),OFFSET('RFM input'!$J$411,$A657,0),0)))</f>
        <v>0</v>
      </c>
      <c r="O660" s="1422">
        <f ca="1">IF(LEFT(O$6,4)&lt;=LEFT('RFM input'!$G$60,4),"enter input",IF(LEFT(O$6,4)&gt;LEFT('RFM input'!$Q$60,4),0,
IF(O$6=(OFFSET('RFM input'!$G$60,0,'RFM input'!$V$7)),OFFSET('RFM input'!$J$411,$A657,0),0)))</f>
        <v>0</v>
      </c>
      <c r="P660" s="1422">
        <f ca="1">IF(LEFT(P$6,4)&lt;=LEFT('RFM input'!$G$60,4),"enter input",IF(LEFT(P$6,4)&gt;LEFT('RFM input'!$Q$60,4),0,
IF(P$6=(OFFSET('RFM input'!$G$60,0,'RFM input'!$V$7)),OFFSET('RFM input'!$J$411,$A657,0),0)))</f>
        <v>0</v>
      </c>
      <c r="Q660" s="1422">
        <f ca="1">IF(LEFT(Q$6,4)&lt;=LEFT('RFM input'!$G$60,4),"enter input",IF(LEFT(Q$6,4)&gt;LEFT('RFM input'!$Q$60,4),0,
IF(Q$6=(OFFSET('RFM input'!$G$60,0,'RFM input'!$V$7)),OFFSET('RFM input'!$J$411,$A657,0),0)))</f>
        <v>0</v>
      </c>
      <c r="R660" s="1422">
        <f ca="1">IF(LEFT(R$6,4)&lt;=LEFT('RFM input'!$G$60,4),"enter input",IF(LEFT(R$6,4)&gt;LEFT('RFM input'!$Q$60,4),0,
IF(R$6=(OFFSET('RFM input'!$G$60,0,'RFM input'!$V$7)),OFFSET('RFM input'!$J$411,$A657,0),0)))</f>
        <v>0</v>
      </c>
      <c r="S660" s="1422">
        <f ca="1">IF(LEFT(S$6,4)&lt;=LEFT('RFM input'!$G$60,4),"enter input",IF(LEFT(S$6,4)&gt;LEFT('RFM input'!$Q$60,4),0,
IF(S$6=(OFFSET('RFM input'!$G$60,0,'RFM input'!$V$7)),OFFSET('RFM input'!$J$411,$A657,0),0)))</f>
        <v>0</v>
      </c>
      <c r="T660" s="1422">
        <f ca="1">IF(LEFT(T$6,4)&lt;=LEFT('RFM input'!$G$60,4),"enter input",IF(LEFT(T$6,4)&gt;LEFT('RFM input'!$Q$60,4),0,
IF(T$6=(OFFSET('RFM input'!$G$60,0,'RFM input'!$V$7)),OFFSET('RFM input'!$J$411,$A657,0),0)))</f>
        <v>0</v>
      </c>
      <c r="U660" s="1422">
        <f ca="1">IF(LEFT(U$6,4)&lt;=LEFT('RFM input'!$G$60,4),"enter input",IF(LEFT(U$6,4)&gt;LEFT('RFM input'!$Q$60,4),0,
IF(U$6=(OFFSET('RFM input'!$G$60,0,'RFM input'!$V$7)),OFFSET('RFM input'!$J$411,$A657,0),0)))</f>
        <v>0</v>
      </c>
      <c r="V660" s="1422">
        <f ca="1">IF(LEFT(V$6,4)&lt;=LEFT('RFM input'!$G$60,4),"enter input",IF(LEFT(V$6,4)&gt;LEFT('RFM input'!$Q$60,4),0,
IF(V$6=(OFFSET('RFM input'!$G$60,0,'RFM input'!$V$7)),OFFSET('RFM input'!$J$411,$A657,0),0)))</f>
        <v>0</v>
      </c>
      <c r="W660" s="1422">
        <f ca="1">IF(LEFT(W$6,4)&lt;=LEFT('RFM input'!$G$60,4),"enter input",IF(LEFT(W$6,4)&gt;LEFT('RFM input'!$Q$60,4),0,
IF(W$6=(OFFSET('RFM input'!$G$60,0,'RFM input'!$V$7)),OFFSET('RFM input'!$J$411,$A657,0),0)))</f>
        <v>0</v>
      </c>
      <c r="X660" s="152"/>
      <c r="Y660" s="152"/>
      <c r="Z660" s="152"/>
      <c r="AA660" s="152"/>
      <c r="AB660" s="152"/>
    </row>
    <row r="661" spans="1:28" hidden="1" outlineLevel="1">
      <c r="A661" s="235">
        <v>-1</v>
      </c>
      <c r="B661" s="190" t="s">
        <v>195</v>
      </c>
      <c r="C661" s="1423"/>
      <c r="D661" s="1423">
        <f t="shared" ref="D661" ca="1" si="912">IF(AND(D659=0,C661=0),0,
IF(AND(D659&lt;&gt;0,C661=0),D659,
IF(AND(D660&lt;&gt;0,C661&lt;&gt;0),(C661-(C661/C685))+D659,
IF(C685&lt;1,0,(C661-(C661/C685))))))</f>
        <v>0</v>
      </c>
      <c r="E661" s="1423">
        <f t="shared" ref="E661" ca="1" si="913">IF(AND(E659=0,D661=0),0,
IF(AND(E659&lt;&gt;0,D661=0),E659,
IF(AND(E660&lt;&gt;0,D661&lt;&gt;0),(D661-(D661/D685))+E659,
IF(D685&lt;1,0,(D661-(D661/D685))))))</f>
        <v>0</v>
      </c>
      <c r="F661" s="1423">
        <f t="shared" ref="F661" ca="1" si="914">IF(AND(F659=0,E661=0),0,
IF(AND(F659&lt;&gt;0,E661=0),F659,
IF(AND(F660&lt;&gt;0,E661&lt;&gt;0),(E661-(E661/E685))+F659,
IF(E685&lt;1,0,(E661-(E661/E685))))))</f>
        <v>0</v>
      </c>
      <c r="G661" s="1423">
        <f t="shared" ref="G661" ca="1" si="915">IF(AND(G659=0,F661=0),0,
IF(AND(G659&lt;&gt;0,F661=0),G659,
IF(AND(G660&lt;&gt;0,F661&lt;&gt;0),(F661-(F661/F685))+G659,
IF(F685&lt;1,0,(F661-(F661/F685))))))</f>
        <v>0</v>
      </c>
      <c r="H661" s="1423">
        <f ca="1">IF(AND(H659=0,G661=0),0,
IF(AND(H659&lt;&gt;0,G661=0),H659,
IF(AND(H660&lt;&gt;0,G661&lt;&gt;0),(G661-(G661/G685))+H659,
IF(G685&lt;1,0,(G661-(G661/G685))))))</f>
        <v>0</v>
      </c>
      <c r="I661" s="1423">
        <f t="shared" ref="I661" ca="1" si="916">IF(AND(I659=0,H661=0),0,
IF(AND(I659&lt;&gt;0,H661=0),I659,
IF(AND(I660&lt;&gt;0,H661&lt;&gt;0),(H661-(H661/H685))+I659,
IF(H685&lt;1,0,(H661-(H661/H685))))))</f>
        <v>0</v>
      </c>
      <c r="J661" s="1423">
        <f t="shared" ref="J661" ca="1" si="917">IF(AND(J659=0,I661=0),0,
IF(AND(J659&lt;&gt;0,I661=0),J659,
IF(AND(J660&lt;&gt;0,I661&lt;&gt;0),(I661-(I661/I685))+J659,
IF(I685&lt;1,0,(I661-(I661/I685))))))</f>
        <v>0</v>
      </c>
      <c r="K661" s="1423">
        <f t="shared" ref="K661" ca="1" si="918">IF(AND(K659=0,J661=0),0,
IF(AND(K659&lt;&gt;0,J661=0),K659,
IF(AND(K660&lt;&gt;0,J661&lt;&gt;0),(J661-(J661/J685))+K659,
IF(J685&lt;1,0,(J661-(J661/J685))))))</f>
        <v>0</v>
      </c>
      <c r="L661" s="1423">
        <f t="shared" ref="L661" ca="1" si="919">IF(AND(L659=0,K661=0),0,
IF(AND(L659&lt;&gt;0,K661=0),L659,
IF(AND(L660&lt;&gt;0,K661&lt;&gt;0),(K661-(K661/K685))+L659,
IF(K685&lt;1,0,(K661-(K661/K685))))))</f>
        <v>0</v>
      </c>
      <c r="M661" s="1423">
        <f t="shared" ref="M661" ca="1" si="920">IF(AND(M659=0,L661=0),0,
IF(AND(M659&lt;&gt;0,L661=0),M659,
IF(AND(M660&lt;&gt;0,L661&lt;&gt;0),(L661-(L661/L685))+M659,
IF(L685&lt;1,0,(L661-(L661/L685))))))</f>
        <v>0</v>
      </c>
      <c r="N661" s="1423">
        <f t="shared" ref="N661" ca="1" si="921">IF(AND(N659=0,M661=0),0,
IF(AND(N659&lt;&gt;0,M661=0),N659,
IF(AND(N660&lt;&gt;0,M661&lt;&gt;0),(M661-(M661/M685))+N659,
IF(M685&lt;1,0,(M661-(M661/M685))))))</f>
        <v>0</v>
      </c>
      <c r="O661" s="1423">
        <f t="shared" ref="O661" ca="1" si="922">IF(AND(O659=0,N661=0),0,
IF(AND(O659&lt;&gt;0,N661=0),O659,
IF(AND(O660&lt;&gt;0,N661&lt;&gt;0),(N661-(N661/N685))+O659,
IF(N685&lt;1,0,(N661-(N661/N685))))))</f>
        <v>0</v>
      </c>
      <c r="P661" s="1423">
        <f t="shared" ref="P661" ca="1" si="923">IF(AND(P659=0,O661=0),0,
IF(AND(P659&lt;&gt;0,O661=0),P659,
IF(AND(P660&lt;&gt;0,O661&lt;&gt;0),(O661-(O661/O685))+P659,
IF(O685&lt;1,0,(O661-(O661/O685))))))</f>
        <v>0</v>
      </c>
      <c r="Q661" s="1423">
        <f t="shared" ref="Q661" ca="1" si="924">IF(AND(Q659=0,P661=0),0,
IF(AND(Q659&lt;&gt;0,P661=0),Q659,
IF(AND(Q660&lt;&gt;0,P661&lt;&gt;0),(P661-(P661/P685))+Q659,
IF(P685&lt;1,0,(P661-(P661/P685))))))</f>
        <v>0</v>
      </c>
      <c r="R661" s="1423">
        <f t="shared" ref="R661" ca="1" si="925">IF(AND(R659=0,Q661=0),0,
IF(AND(R659&lt;&gt;0,Q661=0),R659,
IF(AND(R660&lt;&gt;0,Q661&lt;&gt;0),(Q661-(Q661/Q685))+R659,
IF(Q685&lt;1,0,(Q661-(Q661/Q685))))))</f>
        <v>0</v>
      </c>
      <c r="S661" s="1423">
        <f t="shared" ref="S661" ca="1" si="926">IF(AND(S659=0,R661=0),0,
IF(AND(S659&lt;&gt;0,R661=0),S659,
IF(AND(S660&lt;&gt;0,R661&lt;&gt;0),(R661-(R661/R685))+S659,
IF(R685&lt;1,0,(R661-(R661/R685))))))</f>
        <v>0</v>
      </c>
      <c r="T661" s="1423">
        <f t="shared" ref="T661" ca="1" si="927">IF(AND(T659=0,S661=0),0,
IF(AND(T659&lt;&gt;0,S661=0),T659,
IF(AND(T660&lt;&gt;0,S661&lt;&gt;0),(S661-(S661/S685))+T659,
IF(S685&lt;1,0,(S661-(S661/S685))))))</f>
        <v>0</v>
      </c>
      <c r="U661" s="1423">
        <f t="shared" ref="U661" ca="1" si="928">IF(AND(U659=0,T661=0),0,
IF(AND(U659&lt;&gt;0,T661=0),U659,
IF(AND(U660&lt;&gt;0,T661&lt;&gt;0),(T661-(T661/T685))+U659,
IF(T685&lt;1,0,(T661-(T661/T685))))))</f>
        <v>0</v>
      </c>
      <c r="V661" s="1423">
        <f t="shared" ref="V661" ca="1" si="929">IF(AND(V659=0,U661=0),0,
IF(AND(V659&lt;&gt;0,U661=0),V659,
IF(AND(V660&lt;&gt;0,U661&lt;&gt;0),(U661-(U661/U685))+V659,
IF(U685&lt;1,0,(U661-(U661/U685))))))</f>
        <v>0</v>
      </c>
      <c r="W661" s="1423">
        <f t="shared" ref="W661" ca="1" si="930">IF(AND(W659=0,V661=0),0,
IF(AND(W659&lt;&gt;0,V661=0),W659,
IF(AND(W660&lt;&gt;0,V661&lt;&gt;0),(V661-(V661/V685))+W659,
IF(V685&lt;1,0,(V661-(V661/V685))))))</f>
        <v>0</v>
      </c>
      <c r="X661" s="152"/>
      <c r="Y661" s="152"/>
      <c r="Z661" s="152"/>
      <c r="AA661" s="152"/>
      <c r="AB661" s="152"/>
    </row>
    <row r="662" spans="1:28" hidden="1" outlineLevel="1">
      <c r="A662" s="199">
        <f>A661+1</f>
        <v>0</v>
      </c>
      <c r="B662" s="190" t="s">
        <v>527</v>
      </c>
      <c r="C662" s="1423">
        <f ca="1">C657</f>
        <v>0</v>
      </c>
      <c r="D662" s="1423">
        <f ca="1">IF(C686="n/a",C662,IFERROR(IF((OFFSET($C662,0,$A662))&lt;0,
MIN(0,C662-(OFFSET($C662,0,$A662)/(OFFSET($C657,-$A661,$A662)))),
MAX(0,C662-(OFFSET($C662,0,$A662)/(OFFSET($C657,-$A661,$A662))))),0))</f>
        <v>0</v>
      </c>
      <c r="E662" s="1423">
        <f t="shared" ref="E662" ca="1" si="931">IF(D686="n/a",D662,IFERROR(IF((OFFSET($C662,0,$A662))&lt;0,
MIN(0,D662-(OFFSET($C662,0,$A662)/(OFFSET($C657,-$A661,$A662)))),
MAX(0,D662-(OFFSET($C662,0,$A662)/(OFFSET($C657,-$A661,$A662))))),0))</f>
        <v>0</v>
      </c>
      <c r="F662" s="1423">
        <f t="shared" ref="F662:F663" ca="1" si="932">IF(E686="n/a",E662,IFERROR(IF((OFFSET($C662,0,$A662))&lt;0,
MIN(0,E662-(OFFSET($C662,0,$A662)/(OFFSET($C657,-$A661,$A662)))),
MAX(0,E662-(OFFSET($C662,0,$A662)/(OFFSET($C657,-$A661,$A662))))),0))</f>
        <v>0</v>
      </c>
      <c r="G662" s="1423">
        <f t="shared" ref="G662:G664" ca="1" si="933">IF(F686="n/a",F662,IFERROR(IF((OFFSET($C662,0,$A662))&lt;0,
MIN(0,F662-(OFFSET($C662,0,$A662)/(OFFSET($C657,-$A661,$A662)))),
MAX(0,F662-(OFFSET($C662,0,$A662)/(OFFSET($C657,-$A661,$A662))))),0))</f>
        <v>0</v>
      </c>
      <c r="H662" s="1423">
        <f t="shared" ref="H662:H665" ca="1" si="934">IF(G686="n/a",G662,IFERROR(IF((OFFSET($C662,0,$A662))&lt;0,
MIN(0,G662-(OFFSET($C662,0,$A662)/(OFFSET($C657,-$A661,$A662)))),
MAX(0,G662-(OFFSET($C662,0,$A662)/(OFFSET($C657,-$A661,$A662))))),0))</f>
        <v>0</v>
      </c>
      <c r="I662" s="1423">
        <f t="shared" ref="I662:I666" ca="1" si="935">IF(H686="n/a",H662,IFERROR(IF((OFFSET($C662,0,$A662))&lt;0,
MIN(0,H662-(OFFSET($C662,0,$A662)/(OFFSET($C657,-$A661,$A662)))),
MAX(0,H662-(OFFSET($C662,0,$A662)/(OFFSET($C657,-$A661,$A662))))),0))</f>
        <v>0</v>
      </c>
      <c r="J662" s="1423">
        <f t="shared" ref="J662:J667" ca="1" si="936">IF(I686="n/a",I662,IFERROR(IF((OFFSET($C662,0,$A662))&lt;0,
MIN(0,I662-(OFFSET($C662,0,$A662)/(OFFSET($C657,-$A661,$A662)))),
MAX(0,I662-(OFFSET($C662,0,$A662)/(OFFSET($C657,-$A661,$A662))))),0))</f>
        <v>0</v>
      </c>
      <c r="K662" s="1423">
        <f t="shared" ref="K662:K668" ca="1" si="937">IF(J686="n/a",J662,IFERROR(IF((OFFSET($C662,0,$A662))&lt;0,
MIN(0,J662-(OFFSET($C662,0,$A662)/(OFFSET($C657,-$A661,$A662)))),
MAX(0,J662-(OFFSET($C662,0,$A662)/(OFFSET($C657,-$A661,$A662))))),0))</f>
        <v>0</v>
      </c>
      <c r="L662" s="1423">
        <f t="shared" ref="L662:L669" ca="1" si="938">IF(K686="n/a",K662,IFERROR(IF((OFFSET($C662,0,$A662))&lt;0,
MIN(0,K662-(OFFSET($C662,0,$A662)/(OFFSET($C657,-$A661,$A662)))),
MAX(0,K662-(OFFSET($C662,0,$A662)/(OFFSET($C657,-$A661,$A662))))),0))</f>
        <v>0</v>
      </c>
      <c r="M662" s="1423">
        <f t="shared" ref="M662:M670" ca="1" si="939">IF(L686="n/a",L662,IFERROR(IF((OFFSET($C662,0,$A662))&lt;0,
MIN(0,L662-(OFFSET($C662,0,$A662)/(OFFSET($C657,-$A661,$A662)))),
MAX(0,L662-(OFFSET($C662,0,$A662)/(OFFSET($C657,-$A661,$A662))))),0))</f>
        <v>0</v>
      </c>
      <c r="N662" s="1423">
        <f t="shared" ref="N662:N671" ca="1" si="940">IF(M686="n/a",M662,IFERROR(IF((OFFSET($C662,0,$A662))&lt;0,
MIN(0,M662-(OFFSET($C662,0,$A662)/(OFFSET($C657,-$A661,$A662)))),
MAX(0,M662-(OFFSET($C662,0,$A662)/(OFFSET($C657,-$A661,$A662))))),0))</f>
        <v>0</v>
      </c>
      <c r="O662" s="1423">
        <f t="shared" ref="O662:O672" ca="1" si="941">IF(N686="n/a",N662,IFERROR(IF((OFFSET($C662,0,$A662))&lt;0,
MIN(0,N662-(OFFSET($C662,0,$A662)/(OFFSET($C657,-$A661,$A662)))),
MAX(0,N662-(OFFSET($C662,0,$A662)/(OFFSET($C657,-$A661,$A662))))),0))</f>
        <v>0</v>
      </c>
      <c r="P662" s="1423">
        <f t="shared" ref="P662:P673" ca="1" si="942">IF(O686="n/a",O662,IFERROR(IF((OFFSET($C662,0,$A662))&lt;0,
MIN(0,O662-(OFFSET($C662,0,$A662)/(OFFSET($C657,-$A661,$A662)))),
MAX(0,O662-(OFFSET($C662,0,$A662)/(OFFSET($C657,-$A661,$A662))))),0))</f>
        <v>0</v>
      </c>
      <c r="Q662" s="1423">
        <f t="shared" ref="Q662:Q674" ca="1" si="943">IF(P686="n/a",P662,IFERROR(IF((OFFSET($C662,0,$A662))&lt;0,
MIN(0,P662-(OFFSET($C662,0,$A662)/(OFFSET($C657,-$A661,$A662)))),
MAX(0,P662-(OFFSET($C662,0,$A662)/(OFFSET($C657,-$A661,$A662))))),0))</f>
        <v>0</v>
      </c>
      <c r="R662" s="1423">
        <f t="shared" ref="R662:R675" ca="1" si="944">IF(Q686="n/a",Q662,IFERROR(IF((OFFSET($C662,0,$A662))&lt;0,
MIN(0,Q662-(OFFSET($C662,0,$A662)/(OFFSET($C657,-$A661,$A662)))),
MAX(0,Q662-(OFFSET($C662,0,$A662)/(OFFSET($C657,-$A661,$A662))))),0))</f>
        <v>0</v>
      </c>
      <c r="S662" s="1423">
        <f t="shared" ref="S662:S676" ca="1" si="945">IF(R686="n/a",R662,IFERROR(IF((OFFSET($C662,0,$A662))&lt;0,
MIN(0,R662-(OFFSET($C662,0,$A662)/(OFFSET($C657,-$A661,$A662)))),
MAX(0,R662-(OFFSET($C662,0,$A662)/(OFFSET($C657,-$A661,$A662))))),0))</f>
        <v>0</v>
      </c>
      <c r="T662" s="1423">
        <f t="shared" ref="T662:T677" ca="1" si="946">IF(S686="n/a",S662,IFERROR(IF((OFFSET($C662,0,$A662))&lt;0,
MIN(0,S662-(OFFSET($C662,0,$A662)/(OFFSET($C657,-$A661,$A662)))),
MAX(0,S662-(OFFSET($C662,0,$A662)/(OFFSET($C657,-$A661,$A662))))),0))</f>
        <v>0</v>
      </c>
      <c r="U662" s="1423">
        <f t="shared" ref="U662:U678" ca="1" si="947">IF(T686="n/a",T662,IFERROR(IF((OFFSET($C662,0,$A662))&lt;0,
MIN(0,T662-(OFFSET($C662,0,$A662)/(OFFSET($C657,-$A661,$A662)))),
MAX(0,T662-(OFFSET($C662,0,$A662)/(OFFSET($C657,-$A661,$A662))))),0))</f>
        <v>0</v>
      </c>
      <c r="V662" s="1423">
        <f t="shared" ref="V662:V679" ca="1" si="948">IF(U686="n/a",U662,IFERROR(IF((OFFSET($C662,0,$A662))&lt;0,
MIN(0,U662-(OFFSET($C662,0,$A662)/(OFFSET($C657,-$A661,$A662)))),
MAX(0,U662-(OFFSET($C662,0,$A662)/(OFFSET($C657,-$A661,$A662))))),0))</f>
        <v>0</v>
      </c>
      <c r="W662" s="1423">
        <f t="shared" ref="W662:W680" ca="1" si="949">IF(V686="n/a",V662,IFERROR(IF((OFFSET($C662,0,$A662))&lt;0,
MIN(0,V662-(OFFSET($C662,0,$A662)/(OFFSET($C657,-$A661,$A662)))),
MAX(0,V662-(OFFSET($C662,0,$A662)/(OFFSET($C657,-$A661,$A662))))),0))</f>
        <v>0</v>
      </c>
      <c r="X662" s="152"/>
      <c r="Y662" s="152"/>
      <c r="Z662" s="152"/>
      <c r="AA662" s="152"/>
      <c r="AB662" s="152"/>
    </row>
    <row r="663" spans="1:28" hidden="1" outlineLevel="1">
      <c r="A663" s="199">
        <f t="shared" ref="A663:A682" si="950">A662+1</f>
        <v>1</v>
      </c>
      <c r="B663" s="190" t="str">
        <f t="shared" ref="B663:B682" ca="1" si="951">"Depreciated Net Capex "&amp;OFFSET($C$6,0,A663)</f>
        <v>Depreciated Net Capex 2016-17</v>
      </c>
      <c r="C663" s="1424"/>
      <c r="D663" s="1425">
        <f>D657</f>
        <v>0</v>
      </c>
      <c r="E663" s="1423">
        <f ca="1">IF(D687="n/a",D663,IFERROR(IF((OFFSET($C663,0,$A663))&lt;0,
MIN(0,D663-(OFFSET($C663,0,$A663)/(OFFSET($C658,-$A662,$A663)))),
MAX(0,D663-(OFFSET($C663,0,$A663)/(OFFSET($C658,-$A662,$A663))))),0))</f>
        <v>0</v>
      </c>
      <c r="F663" s="1423">
        <f t="shared" ca="1" si="932"/>
        <v>0</v>
      </c>
      <c r="G663" s="1423">
        <f t="shared" ca="1" si="933"/>
        <v>0</v>
      </c>
      <c r="H663" s="1423">
        <f t="shared" ca="1" si="934"/>
        <v>0</v>
      </c>
      <c r="I663" s="1423">
        <f t="shared" ca="1" si="935"/>
        <v>0</v>
      </c>
      <c r="J663" s="1423">
        <f t="shared" ca="1" si="936"/>
        <v>0</v>
      </c>
      <c r="K663" s="1423">
        <f t="shared" ca="1" si="937"/>
        <v>0</v>
      </c>
      <c r="L663" s="1423">
        <f t="shared" ca="1" si="938"/>
        <v>0</v>
      </c>
      <c r="M663" s="1423">
        <f t="shared" ca="1" si="939"/>
        <v>0</v>
      </c>
      <c r="N663" s="1423">
        <f t="shared" ca="1" si="940"/>
        <v>0</v>
      </c>
      <c r="O663" s="1423">
        <f t="shared" ca="1" si="941"/>
        <v>0</v>
      </c>
      <c r="P663" s="1423">
        <f t="shared" ca="1" si="942"/>
        <v>0</v>
      </c>
      <c r="Q663" s="1423">
        <f t="shared" ca="1" si="943"/>
        <v>0</v>
      </c>
      <c r="R663" s="1423">
        <f t="shared" ca="1" si="944"/>
        <v>0</v>
      </c>
      <c r="S663" s="1423">
        <f t="shared" ca="1" si="945"/>
        <v>0</v>
      </c>
      <c r="T663" s="1423">
        <f t="shared" ca="1" si="946"/>
        <v>0</v>
      </c>
      <c r="U663" s="1423">
        <f t="shared" ca="1" si="947"/>
        <v>0</v>
      </c>
      <c r="V663" s="1423">
        <f t="shared" ca="1" si="948"/>
        <v>0</v>
      </c>
      <c r="W663" s="1423">
        <f t="shared" ca="1" si="949"/>
        <v>0</v>
      </c>
      <c r="X663" s="152"/>
      <c r="Y663" s="152"/>
      <c r="Z663" s="152"/>
      <c r="AA663" s="152"/>
      <c r="AB663" s="152"/>
    </row>
    <row r="664" spans="1:28" hidden="1" outlineLevel="1">
      <c r="A664" s="199">
        <f t="shared" si="950"/>
        <v>2</v>
      </c>
      <c r="B664" s="190" t="str">
        <f t="shared" ca="1" si="951"/>
        <v>Depreciated Net Capex 2017-18</v>
      </c>
      <c r="C664" s="1426"/>
      <c r="D664" s="1427"/>
      <c r="E664" s="1425">
        <f>E657</f>
        <v>0</v>
      </c>
      <c r="F664" s="1423">
        <f ca="1">IF(E688="n/a",E664,IFERROR(IF((OFFSET($C664,0,$A664))&lt;0,
MIN(0,E664-(OFFSET($C664,0,$A664)/(OFFSET($C659,-$A663,$A664)))),
MAX(0,E664-(OFFSET($C664,0,$A664)/(OFFSET($C659,-$A663,$A664))))),0))</f>
        <v>0</v>
      </c>
      <c r="G664" s="1423">
        <f t="shared" ca="1" si="933"/>
        <v>0</v>
      </c>
      <c r="H664" s="1423">
        <f t="shared" ca="1" si="934"/>
        <v>0</v>
      </c>
      <c r="I664" s="1423">
        <f t="shared" ca="1" si="935"/>
        <v>0</v>
      </c>
      <c r="J664" s="1423">
        <f t="shared" ca="1" si="936"/>
        <v>0</v>
      </c>
      <c r="K664" s="1423">
        <f t="shared" ca="1" si="937"/>
        <v>0</v>
      </c>
      <c r="L664" s="1423">
        <f t="shared" ca="1" si="938"/>
        <v>0</v>
      </c>
      <c r="M664" s="1423">
        <f t="shared" ca="1" si="939"/>
        <v>0</v>
      </c>
      <c r="N664" s="1423">
        <f t="shared" ca="1" si="940"/>
        <v>0</v>
      </c>
      <c r="O664" s="1423">
        <f t="shared" ca="1" si="941"/>
        <v>0</v>
      </c>
      <c r="P664" s="1423">
        <f t="shared" ca="1" si="942"/>
        <v>0</v>
      </c>
      <c r="Q664" s="1423">
        <f t="shared" ca="1" si="943"/>
        <v>0</v>
      </c>
      <c r="R664" s="1423">
        <f t="shared" ca="1" si="944"/>
        <v>0</v>
      </c>
      <c r="S664" s="1423">
        <f t="shared" ca="1" si="945"/>
        <v>0</v>
      </c>
      <c r="T664" s="1423">
        <f t="shared" ca="1" si="946"/>
        <v>0</v>
      </c>
      <c r="U664" s="1423">
        <f t="shared" ca="1" si="947"/>
        <v>0</v>
      </c>
      <c r="V664" s="1423">
        <f t="shared" ca="1" si="948"/>
        <v>0</v>
      </c>
      <c r="W664" s="1423">
        <f t="shared" ca="1" si="949"/>
        <v>0</v>
      </c>
      <c r="X664" s="202"/>
      <c r="Y664" s="152"/>
      <c r="Z664" s="152"/>
      <c r="AA664" s="152"/>
      <c r="AB664" s="152"/>
    </row>
    <row r="665" spans="1:28" hidden="1" outlineLevel="1">
      <c r="A665" s="199">
        <f t="shared" si="950"/>
        <v>3</v>
      </c>
      <c r="B665" s="190" t="str">
        <f t="shared" ca="1" si="951"/>
        <v>Depreciated Net Capex 2018-19</v>
      </c>
      <c r="C665" s="1426"/>
      <c r="D665" s="1426"/>
      <c r="E665" s="1427"/>
      <c r="F665" s="1428">
        <f>F657</f>
        <v>0</v>
      </c>
      <c r="G665" s="1423">
        <f ca="1">IF(F689="n/a",F665,IFERROR(IF((OFFSET($C665,0,$A665))&lt;0,
MIN(0,F665-(OFFSET($C665,0,$A665)/(OFFSET($C660,-$A664,$A665)))),
MAX(0,F665-(OFFSET($C665,0,$A665)/(OFFSET($C660,-$A664,$A665))))),0))</f>
        <v>0</v>
      </c>
      <c r="H665" s="1423">
        <f t="shared" ca="1" si="934"/>
        <v>0</v>
      </c>
      <c r="I665" s="1423">
        <f t="shared" ca="1" si="935"/>
        <v>0</v>
      </c>
      <c r="J665" s="1423">
        <f t="shared" ca="1" si="936"/>
        <v>0</v>
      </c>
      <c r="K665" s="1423">
        <f t="shared" ca="1" si="937"/>
        <v>0</v>
      </c>
      <c r="L665" s="1423">
        <f t="shared" ca="1" si="938"/>
        <v>0</v>
      </c>
      <c r="M665" s="1423">
        <f t="shared" ca="1" si="939"/>
        <v>0</v>
      </c>
      <c r="N665" s="1423">
        <f t="shared" ca="1" si="940"/>
        <v>0</v>
      </c>
      <c r="O665" s="1423">
        <f t="shared" ca="1" si="941"/>
        <v>0</v>
      </c>
      <c r="P665" s="1423">
        <f t="shared" ca="1" si="942"/>
        <v>0</v>
      </c>
      <c r="Q665" s="1423">
        <f t="shared" ca="1" si="943"/>
        <v>0</v>
      </c>
      <c r="R665" s="1423">
        <f t="shared" ca="1" si="944"/>
        <v>0</v>
      </c>
      <c r="S665" s="1423">
        <f t="shared" ca="1" si="945"/>
        <v>0</v>
      </c>
      <c r="T665" s="1423">
        <f t="shared" ca="1" si="946"/>
        <v>0</v>
      </c>
      <c r="U665" s="1423">
        <f t="shared" ca="1" si="947"/>
        <v>0</v>
      </c>
      <c r="V665" s="1423">
        <f t="shared" ca="1" si="948"/>
        <v>0</v>
      </c>
      <c r="W665" s="1423">
        <f t="shared" ca="1" si="949"/>
        <v>0</v>
      </c>
      <c r="X665" s="202"/>
      <c r="Y665" s="202"/>
      <c r="Z665" s="152"/>
      <c r="AA665" s="152"/>
      <c r="AB665" s="152"/>
    </row>
    <row r="666" spans="1:28" hidden="1" outlineLevel="1">
      <c r="A666" s="199">
        <f t="shared" si="950"/>
        <v>4</v>
      </c>
      <c r="B666" s="190" t="str">
        <f t="shared" ca="1" si="951"/>
        <v>Depreciated Net Capex 2019-20</v>
      </c>
      <c r="C666" s="1426"/>
      <c r="D666" s="1426"/>
      <c r="E666" s="1426"/>
      <c r="F666" s="1427"/>
      <c r="G666" s="1428">
        <f>G657</f>
        <v>0</v>
      </c>
      <c r="H666" s="1423">
        <f ca="1">IF(G690="n/a",G666,IFERROR(IF((OFFSET($C666,0,$A666))&lt;0,
MIN(0,G666-(OFFSET($C666,0,$A666)/(OFFSET($C661,-$A665,$A666)))),
MAX(0,G666-(OFFSET($C666,0,$A666)/(OFFSET($C661,-$A665,$A666))))),0))</f>
        <v>0</v>
      </c>
      <c r="I666" s="1423">
        <f t="shared" ca="1" si="935"/>
        <v>0</v>
      </c>
      <c r="J666" s="1423">
        <f t="shared" ca="1" si="936"/>
        <v>0</v>
      </c>
      <c r="K666" s="1423">
        <f t="shared" ca="1" si="937"/>
        <v>0</v>
      </c>
      <c r="L666" s="1423">
        <f t="shared" ca="1" si="938"/>
        <v>0</v>
      </c>
      <c r="M666" s="1423">
        <f t="shared" ca="1" si="939"/>
        <v>0</v>
      </c>
      <c r="N666" s="1423">
        <f t="shared" ca="1" si="940"/>
        <v>0</v>
      </c>
      <c r="O666" s="1423">
        <f t="shared" ca="1" si="941"/>
        <v>0</v>
      </c>
      <c r="P666" s="1423">
        <f t="shared" ca="1" si="942"/>
        <v>0</v>
      </c>
      <c r="Q666" s="1423">
        <f t="shared" ca="1" si="943"/>
        <v>0</v>
      </c>
      <c r="R666" s="1423">
        <f t="shared" ca="1" si="944"/>
        <v>0</v>
      </c>
      <c r="S666" s="1423">
        <f t="shared" ca="1" si="945"/>
        <v>0</v>
      </c>
      <c r="T666" s="1423">
        <f t="shared" ca="1" si="946"/>
        <v>0</v>
      </c>
      <c r="U666" s="1423">
        <f t="shared" ca="1" si="947"/>
        <v>0</v>
      </c>
      <c r="V666" s="1423">
        <f t="shared" ca="1" si="948"/>
        <v>0</v>
      </c>
      <c r="W666" s="1423">
        <f t="shared" ca="1" si="949"/>
        <v>0</v>
      </c>
      <c r="X666" s="202"/>
      <c r="Y666" s="202"/>
      <c r="Z666" s="202"/>
      <c r="AA666" s="152"/>
      <c r="AB666" s="152"/>
    </row>
    <row r="667" spans="1:28" hidden="1" outlineLevel="1">
      <c r="A667" s="199">
        <f t="shared" si="950"/>
        <v>5</v>
      </c>
      <c r="B667" s="190" t="str">
        <f t="shared" ca="1" si="951"/>
        <v>Depreciated Net Capex 2020-21</v>
      </c>
      <c r="C667" s="1426"/>
      <c r="D667" s="1426"/>
      <c r="E667" s="1426"/>
      <c r="F667" s="1426"/>
      <c r="G667" s="1427"/>
      <c r="H667" s="1428">
        <f>H657</f>
        <v>0</v>
      </c>
      <c r="I667" s="1423">
        <f ca="1">IF(H691="n/a",H667,IFERROR(IF((OFFSET($C667,0,$A667))&lt;0,
MIN(0,H667-(OFFSET($C667,0,$A667)/(OFFSET($C662,-$A666,$A667)))),
MAX(0,H667-(OFFSET($C667,0,$A667)/(OFFSET($C662,-$A666,$A667))))),0))</f>
        <v>0</v>
      </c>
      <c r="J667" s="1423">
        <f t="shared" ca="1" si="936"/>
        <v>0</v>
      </c>
      <c r="K667" s="1423">
        <f t="shared" ca="1" si="937"/>
        <v>0</v>
      </c>
      <c r="L667" s="1423">
        <f t="shared" ca="1" si="938"/>
        <v>0</v>
      </c>
      <c r="M667" s="1423">
        <f t="shared" ca="1" si="939"/>
        <v>0</v>
      </c>
      <c r="N667" s="1423">
        <f t="shared" ca="1" si="940"/>
        <v>0</v>
      </c>
      <c r="O667" s="1423">
        <f t="shared" ca="1" si="941"/>
        <v>0</v>
      </c>
      <c r="P667" s="1423">
        <f t="shared" ca="1" si="942"/>
        <v>0</v>
      </c>
      <c r="Q667" s="1423">
        <f t="shared" ca="1" si="943"/>
        <v>0</v>
      </c>
      <c r="R667" s="1423">
        <f t="shared" ca="1" si="944"/>
        <v>0</v>
      </c>
      <c r="S667" s="1423">
        <f t="shared" ca="1" si="945"/>
        <v>0</v>
      </c>
      <c r="T667" s="1423">
        <f t="shared" ca="1" si="946"/>
        <v>0</v>
      </c>
      <c r="U667" s="1423">
        <f t="shared" ca="1" si="947"/>
        <v>0</v>
      </c>
      <c r="V667" s="1423">
        <f t="shared" ca="1" si="948"/>
        <v>0</v>
      </c>
      <c r="W667" s="1423">
        <f t="shared" ca="1" si="949"/>
        <v>0</v>
      </c>
      <c r="X667" s="202"/>
      <c r="Y667" s="202"/>
      <c r="Z667" s="202"/>
      <c r="AA667" s="152"/>
      <c r="AB667" s="152"/>
    </row>
    <row r="668" spans="1:28" hidden="1" outlineLevel="1">
      <c r="A668" s="199">
        <f t="shared" si="950"/>
        <v>6</v>
      </c>
      <c r="B668" s="190" t="str">
        <f t="shared" ca="1" si="951"/>
        <v>Depreciated Net Capex 2021-22</v>
      </c>
      <c r="C668" s="1426"/>
      <c r="D668" s="1426"/>
      <c r="E668" s="1426"/>
      <c r="F668" s="1426"/>
      <c r="G668" s="1426"/>
      <c r="H668" s="1427"/>
      <c r="I668" s="1428">
        <f>I657</f>
        <v>0</v>
      </c>
      <c r="J668" s="1423">
        <f ca="1">IF(I692="n/a",I668,IFERROR(IF((OFFSET($C668,0,$A668))&lt;0,
MIN(0,I668-(OFFSET($C668,0,$A668)/(OFFSET($C663,-$A667,$A668)))),
MAX(0,I668-(OFFSET($C668,0,$A668)/(OFFSET($C663,-$A667,$A668))))),0))</f>
        <v>0</v>
      </c>
      <c r="K668" s="1423">
        <f t="shared" ca="1" si="937"/>
        <v>0</v>
      </c>
      <c r="L668" s="1423">
        <f t="shared" ca="1" si="938"/>
        <v>0</v>
      </c>
      <c r="M668" s="1423">
        <f t="shared" ca="1" si="939"/>
        <v>0</v>
      </c>
      <c r="N668" s="1423">
        <f t="shared" ca="1" si="940"/>
        <v>0</v>
      </c>
      <c r="O668" s="1423">
        <f t="shared" ca="1" si="941"/>
        <v>0</v>
      </c>
      <c r="P668" s="1423">
        <f t="shared" ca="1" si="942"/>
        <v>0</v>
      </c>
      <c r="Q668" s="1423">
        <f t="shared" ca="1" si="943"/>
        <v>0</v>
      </c>
      <c r="R668" s="1423">
        <f t="shared" ca="1" si="944"/>
        <v>0</v>
      </c>
      <c r="S668" s="1423">
        <f t="shared" ca="1" si="945"/>
        <v>0</v>
      </c>
      <c r="T668" s="1423">
        <f t="shared" ca="1" si="946"/>
        <v>0</v>
      </c>
      <c r="U668" s="1423">
        <f t="shared" ca="1" si="947"/>
        <v>0</v>
      </c>
      <c r="V668" s="1423">
        <f t="shared" ca="1" si="948"/>
        <v>0</v>
      </c>
      <c r="W668" s="1423">
        <f t="shared" ca="1" si="949"/>
        <v>0</v>
      </c>
      <c r="X668" s="202"/>
      <c r="Y668" s="202"/>
      <c r="Z668" s="202"/>
      <c r="AA668" s="152"/>
      <c r="AB668" s="152"/>
    </row>
    <row r="669" spans="1:28" hidden="1" outlineLevel="1">
      <c r="A669" s="199">
        <f t="shared" si="950"/>
        <v>7</v>
      </c>
      <c r="B669" s="190" t="str">
        <f t="shared" ca="1" si="951"/>
        <v>Depreciated Net Capex 2022-23</v>
      </c>
      <c r="C669" s="1426"/>
      <c r="D669" s="1426"/>
      <c r="E669" s="1426"/>
      <c r="F669" s="1426"/>
      <c r="G669" s="1426"/>
      <c r="H669" s="1426"/>
      <c r="I669" s="1427"/>
      <c r="J669" s="1428">
        <f>J657</f>
        <v>0</v>
      </c>
      <c r="K669" s="1423">
        <f ca="1">IF(J693="n/a",J669,IFERROR(IF((OFFSET($C669,0,$A669))&lt;0,
MIN(0,J669-(OFFSET($C669,0,$A669)/(OFFSET($C664,-$A668,$A669)))),
MAX(0,J669-(OFFSET($C669,0,$A669)/(OFFSET($C664,-$A668,$A669))))),0))</f>
        <v>0</v>
      </c>
      <c r="L669" s="1423">
        <f t="shared" ca="1" si="938"/>
        <v>0</v>
      </c>
      <c r="M669" s="1423">
        <f t="shared" ca="1" si="939"/>
        <v>0</v>
      </c>
      <c r="N669" s="1423">
        <f t="shared" ca="1" si="940"/>
        <v>0</v>
      </c>
      <c r="O669" s="1423">
        <f t="shared" ca="1" si="941"/>
        <v>0</v>
      </c>
      <c r="P669" s="1423">
        <f t="shared" ca="1" si="942"/>
        <v>0</v>
      </c>
      <c r="Q669" s="1423">
        <f t="shared" ca="1" si="943"/>
        <v>0</v>
      </c>
      <c r="R669" s="1423">
        <f t="shared" ca="1" si="944"/>
        <v>0</v>
      </c>
      <c r="S669" s="1423">
        <f t="shared" ca="1" si="945"/>
        <v>0</v>
      </c>
      <c r="T669" s="1423">
        <f t="shared" ca="1" si="946"/>
        <v>0</v>
      </c>
      <c r="U669" s="1423">
        <f t="shared" ca="1" si="947"/>
        <v>0</v>
      </c>
      <c r="V669" s="1423">
        <f t="shared" ca="1" si="948"/>
        <v>0</v>
      </c>
      <c r="W669" s="1423">
        <f t="shared" ca="1" si="949"/>
        <v>0</v>
      </c>
      <c r="X669" s="202"/>
      <c r="Y669" s="202"/>
      <c r="Z669" s="202"/>
      <c r="AA669" s="152"/>
      <c r="AB669" s="152"/>
    </row>
    <row r="670" spans="1:28" hidden="1" outlineLevel="1">
      <c r="A670" s="199">
        <f t="shared" si="950"/>
        <v>8</v>
      </c>
      <c r="B670" s="190" t="str">
        <f t="shared" ca="1" si="951"/>
        <v>Depreciated Net Capex 2023-24</v>
      </c>
      <c r="C670" s="1426"/>
      <c r="D670" s="1426"/>
      <c r="E670" s="1426"/>
      <c r="F670" s="1426"/>
      <c r="G670" s="1426"/>
      <c r="H670" s="1426"/>
      <c r="I670" s="1426"/>
      <c r="J670" s="1427"/>
      <c r="K670" s="1428">
        <f>K657</f>
        <v>0</v>
      </c>
      <c r="L670" s="1423">
        <f ca="1">IF(K694="n/a",K670,IFERROR(IF((OFFSET($C670,0,$A670))&lt;0,
MIN(0,K670-(OFFSET($C670,0,$A670)/(OFFSET($C665,-$A669,$A670)))),
MAX(0,K670-(OFFSET($C670,0,$A670)/(OFFSET($C665,-$A669,$A670))))),0))</f>
        <v>0</v>
      </c>
      <c r="M670" s="1423">
        <f t="shared" ca="1" si="939"/>
        <v>0</v>
      </c>
      <c r="N670" s="1423">
        <f t="shared" ca="1" si="940"/>
        <v>0</v>
      </c>
      <c r="O670" s="1423">
        <f t="shared" ca="1" si="941"/>
        <v>0</v>
      </c>
      <c r="P670" s="1423">
        <f t="shared" ca="1" si="942"/>
        <v>0</v>
      </c>
      <c r="Q670" s="1423">
        <f t="shared" ca="1" si="943"/>
        <v>0</v>
      </c>
      <c r="R670" s="1423">
        <f t="shared" ca="1" si="944"/>
        <v>0</v>
      </c>
      <c r="S670" s="1423">
        <f t="shared" ca="1" si="945"/>
        <v>0</v>
      </c>
      <c r="T670" s="1423">
        <f t="shared" ca="1" si="946"/>
        <v>0</v>
      </c>
      <c r="U670" s="1423">
        <f t="shared" ca="1" si="947"/>
        <v>0</v>
      </c>
      <c r="V670" s="1423">
        <f t="shared" ca="1" si="948"/>
        <v>0</v>
      </c>
      <c r="W670" s="1423">
        <f t="shared" ca="1" si="949"/>
        <v>0</v>
      </c>
      <c r="X670" s="202"/>
      <c r="Y670" s="202"/>
      <c r="Z670" s="202"/>
      <c r="AA670" s="152"/>
      <c r="AB670" s="152"/>
    </row>
    <row r="671" spans="1:28" hidden="1" outlineLevel="1">
      <c r="A671" s="199">
        <f t="shared" si="950"/>
        <v>9</v>
      </c>
      <c r="B671" s="190" t="str">
        <f t="shared" ca="1" si="951"/>
        <v>Depreciated Net Capex 2024-25</v>
      </c>
      <c r="C671" s="1426"/>
      <c r="D671" s="1426"/>
      <c r="E671" s="1426"/>
      <c r="F671" s="1426"/>
      <c r="G671" s="1426"/>
      <c r="H671" s="1426"/>
      <c r="I671" s="1426"/>
      <c r="J671" s="1426"/>
      <c r="K671" s="1427"/>
      <c r="L671" s="1428">
        <f>L657</f>
        <v>0</v>
      </c>
      <c r="M671" s="1423">
        <f ca="1">IF(L695="n/a",L671,IFERROR(IF((OFFSET($C671,0,$A671))&lt;0,
MIN(0,L671-(OFFSET($C671,0,$A671)/(OFFSET($C666,-$A670,$A671)))),
MAX(0,L671-(OFFSET($C671,0,$A671)/(OFFSET($C666,-$A670,$A671))))),0))</f>
        <v>0</v>
      </c>
      <c r="N671" s="1423">
        <f t="shared" ca="1" si="940"/>
        <v>0</v>
      </c>
      <c r="O671" s="1423">
        <f t="shared" ca="1" si="941"/>
        <v>0</v>
      </c>
      <c r="P671" s="1423">
        <f t="shared" ca="1" si="942"/>
        <v>0</v>
      </c>
      <c r="Q671" s="1423">
        <f t="shared" ca="1" si="943"/>
        <v>0</v>
      </c>
      <c r="R671" s="1423">
        <f t="shared" ca="1" si="944"/>
        <v>0</v>
      </c>
      <c r="S671" s="1423">
        <f t="shared" ca="1" si="945"/>
        <v>0</v>
      </c>
      <c r="T671" s="1423">
        <f t="shared" ca="1" si="946"/>
        <v>0</v>
      </c>
      <c r="U671" s="1423">
        <f t="shared" ca="1" si="947"/>
        <v>0</v>
      </c>
      <c r="V671" s="1423">
        <f t="shared" ca="1" si="948"/>
        <v>0</v>
      </c>
      <c r="W671" s="1423">
        <f t="shared" ca="1" si="949"/>
        <v>0</v>
      </c>
      <c r="X671" s="202"/>
      <c r="Y671" s="202"/>
      <c r="Z671" s="202"/>
      <c r="AA671" s="152"/>
      <c r="AB671" s="152"/>
    </row>
    <row r="672" spans="1:28" hidden="1" outlineLevel="1">
      <c r="A672" s="199">
        <f t="shared" si="950"/>
        <v>10</v>
      </c>
      <c r="B672" s="190" t="str">
        <f t="shared" ca="1" si="951"/>
        <v>Depreciated Net Capex 2025-26</v>
      </c>
      <c r="C672" s="1426"/>
      <c r="D672" s="1426"/>
      <c r="E672" s="1426"/>
      <c r="F672" s="1426"/>
      <c r="G672" s="1426"/>
      <c r="H672" s="1426"/>
      <c r="I672" s="1426"/>
      <c r="J672" s="1426"/>
      <c r="K672" s="1426"/>
      <c r="L672" s="1427"/>
      <c r="M672" s="1428">
        <f>M657</f>
        <v>0</v>
      </c>
      <c r="N672" s="1423">
        <f ca="1">IF(M696="n/a",M672,IFERROR(IF((OFFSET($C672,0,$A672))&lt;0,
MIN(0,M672-(OFFSET($C672,0,$A672)/(OFFSET($C667,-$A671,$A672)))),
MAX(0,M672-(OFFSET($C672,0,$A672)/(OFFSET($C667,-$A671,$A672))))),0))</f>
        <v>0</v>
      </c>
      <c r="O672" s="1423">
        <f t="shared" ca="1" si="941"/>
        <v>0</v>
      </c>
      <c r="P672" s="1423">
        <f t="shared" ca="1" si="942"/>
        <v>0</v>
      </c>
      <c r="Q672" s="1423">
        <f t="shared" ca="1" si="943"/>
        <v>0</v>
      </c>
      <c r="R672" s="1423">
        <f t="shared" ca="1" si="944"/>
        <v>0</v>
      </c>
      <c r="S672" s="1423">
        <f t="shared" ca="1" si="945"/>
        <v>0</v>
      </c>
      <c r="T672" s="1423">
        <f t="shared" ca="1" si="946"/>
        <v>0</v>
      </c>
      <c r="U672" s="1423">
        <f t="shared" ca="1" si="947"/>
        <v>0</v>
      </c>
      <c r="V672" s="1423">
        <f t="shared" ca="1" si="948"/>
        <v>0</v>
      </c>
      <c r="W672" s="1423">
        <f t="shared" ca="1" si="949"/>
        <v>0</v>
      </c>
      <c r="X672" s="202"/>
      <c r="Y672" s="202"/>
      <c r="Z672" s="202"/>
      <c r="AA672" s="152"/>
      <c r="AB672" s="152"/>
    </row>
    <row r="673" spans="1:28" hidden="1" outlineLevel="1">
      <c r="A673" s="199">
        <f t="shared" si="950"/>
        <v>11</v>
      </c>
      <c r="B673" s="190" t="str">
        <f t="shared" ca="1" si="951"/>
        <v>Depreciated Net Capex 2026-27</v>
      </c>
      <c r="C673" s="1426"/>
      <c r="D673" s="1426"/>
      <c r="E673" s="1426"/>
      <c r="F673" s="1426"/>
      <c r="G673" s="1426"/>
      <c r="H673" s="1426"/>
      <c r="I673" s="1426"/>
      <c r="J673" s="1426"/>
      <c r="K673" s="1426"/>
      <c r="L673" s="1426"/>
      <c r="M673" s="1427"/>
      <c r="N673" s="1428">
        <f>N657</f>
        <v>0</v>
      </c>
      <c r="O673" s="1423">
        <f ca="1">IF(N697="n/a",N673,IFERROR(IF((OFFSET($C673,0,$A673))&lt;0,
MIN(0,N673-(OFFSET($C673,0,$A673)/(OFFSET($C668,-$A672,$A673)))),
MAX(0,N673-(OFFSET($C673,0,$A673)/(OFFSET($C668,-$A672,$A673))))),0))</f>
        <v>0</v>
      </c>
      <c r="P673" s="1423">
        <f t="shared" ca="1" si="942"/>
        <v>0</v>
      </c>
      <c r="Q673" s="1423">
        <f t="shared" ca="1" si="943"/>
        <v>0</v>
      </c>
      <c r="R673" s="1423">
        <f t="shared" ca="1" si="944"/>
        <v>0</v>
      </c>
      <c r="S673" s="1423">
        <f t="shared" ca="1" si="945"/>
        <v>0</v>
      </c>
      <c r="T673" s="1423">
        <f t="shared" ca="1" si="946"/>
        <v>0</v>
      </c>
      <c r="U673" s="1423">
        <f t="shared" ca="1" si="947"/>
        <v>0</v>
      </c>
      <c r="V673" s="1423">
        <f t="shared" ca="1" si="948"/>
        <v>0</v>
      </c>
      <c r="W673" s="1423">
        <f t="shared" ca="1" si="949"/>
        <v>0</v>
      </c>
      <c r="X673" s="202"/>
      <c r="Y673" s="202"/>
      <c r="Z673" s="202"/>
      <c r="AA673" s="152"/>
      <c r="AB673" s="152"/>
    </row>
    <row r="674" spans="1:28" hidden="1" outlineLevel="1">
      <c r="A674" s="199">
        <f t="shared" si="950"/>
        <v>12</v>
      </c>
      <c r="B674" s="190" t="str">
        <f t="shared" ca="1" si="951"/>
        <v>Depreciated Net Capex 2027-28</v>
      </c>
      <c r="C674" s="1426"/>
      <c r="D674" s="1426"/>
      <c r="E674" s="1426"/>
      <c r="F674" s="1426"/>
      <c r="G674" s="1426"/>
      <c r="H674" s="1426"/>
      <c r="I674" s="1426"/>
      <c r="J674" s="1426"/>
      <c r="K674" s="1426"/>
      <c r="L674" s="1426"/>
      <c r="M674" s="1426"/>
      <c r="N674" s="1427"/>
      <c r="O674" s="1428">
        <f>O657</f>
        <v>0</v>
      </c>
      <c r="P674" s="1423">
        <f ca="1">IF(O698="n/a",O674,IFERROR(IF((OFFSET($C674,0,$A674))&lt;0,
MIN(0,O674-(OFFSET($C674,0,$A674)/(OFFSET($C669,-$A673,$A674)))),
MAX(0,O674-(OFFSET($C674,0,$A674)/(OFFSET($C669,-$A673,$A674))))),0))</f>
        <v>0</v>
      </c>
      <c r="Q674" s="1423">
        <f t="shared" ca="1" si="943"/>
        <v>0</v>
      </c>
      <c r="R674" s="1423">
        <f t="shared" ca="1" si="944"/>
        <v>0</v>
      </c>
      <c r="S674" s="1423">
        <f t="shared" ca="1" si="945"/>
        <v>0</v>
      </c>
      <c r="T674" s="1423">
        <f t="shared" ca="1" si="946"/>
        <v>0</v>
      </c>
      <c r="U674" s="1423">
        <f t="shared" ca="1" si="947"/>
        <v>0</v>
      </c>
      <c r="V674" s="1423">
        <f t="shared" ca="1" si="948"/>
        <v>0</v>
      </c>
      <c r="W674" s="1423">
        <f t="shared" ca="1" si="949"/>
        <v>0</v>
      </c>
      <c r="X674" s="202"/>
      <c r="Y674" s="202"/>
      <c r="Z674" s="202"/>
      <c r="AA674" s="152"/>
      <c r="AB674" s="152"/>
    </row>
    <row r="675" spans="1:28" hidden="1" outlineLevel="1">
      <c r="A675" s="199">
        <f t="shared" si="950"/>
        <v>13</v>
      </c>
      <c r="B675" s="190" t="str">
        <f t="shared" ca="1" si="951"/>
        <v>Depreciated Net Capex 2028-29</v>
      </c>
      <c r="C675" s="1426"/>
      <c r="D675" s="1426"/>
      <c r="E675" s="1426"/>
      <c r="F675" s="1426"/>
      <c r="G675" s="1426"/>
      <c r="H675" s="1426"/>
      <c r="I675" s="1426"/>
      <c r="J675" s="1426"/>
      <c r="K675" s="1426"/>
      <c r="L675" s="1426"/>
      <c r="M675" s="1426"/>
      <c r="N675" s="1426"/>
      <c r="O675" s="1427"/>
      <c r="P675" s="1428">
        <f>P657</f>
        <v>0</v>
      </c>
      <c r="Q675" s="1423">
        <f ca="1">IF(P699="n/a",P675,IFERROR(IF((OFFSET($C675,0,$A675))&lt;0,
MIN(0,P675-(OFFSET($C675,0,$A675)/(OFFSET($C670,-$A674,$A675)))),
MAX(0,P675-(OFFSET($C675,0,$A675)/(OFFSET($C670,-$A674,$A675))))),0))</f>
        <v>0</v>
      </c>
      <c r="R675" s="1423">
        <f t="shared" ca="1" si="944"/>
        <v>0</v>
      </c>
      <c r="S675" s="1423">
        <f t="shared" ca="1" si="945"/>
        <v>0</v>
      </c>
      <c r="T675" s="1423">
        <f t="shared" ca="1" si="946"/>
        <v>0</v>
      </c>
      <c r="U675" s="1423">
        <f t="shared" ca="1" si="947"/>
        <v>0</v>
      </c>
      <c r="V675" s="1423">
        <f t="shared" ca="1" si="948"/>
        <v>0</v>
      </c>
      <c r="W675" s="1423">
        <f t="shared" ca="1" si="949"/>
        <v>0</v>
      </c>
      <c r="X675" s="202"/>
      <c r="Y675" s="202"/>
      <c r="Z675" s="202"/>
      <c r="AA675" s="152"/>
      <c r="AB675" s="152"/>
    </row>
    <row r="676" spans="1:28" hidden="1" outlineLevel="1">
      <c r="A676" s="199">
        <f t="shared" si="950"/>
        <v>14</v>
      </c>
      <c r="B676" s="190" t="str">
        <f t="shared" ca="1" si="951"/>
        <v>Depreciated Net Capex 2029-30</v>
      </c>
      <c r="C676" s="1426"/>
      <c r="D676" s="1426"/>
      <c r="E676" s="1426"/>
      <c r="F676" s="1426"/>
      <c r="G676" s="1426"/>
      <c r="H676" s="1426"/>
      <c r="I676" s="1426"/>
      <c r="J676" s="1426"/>
      <c r="K676" s="1426"/>
      <c r="L676" s="1426"/>
      <c r="M676" s="1426"/>
      <c r="N676" s="1426"/>
      <c r="O676" s="1426"/>
      <c r="P676" s="1427"/>
      <c r="Q676" s="1428">
        <f>Q657</f>
        <v>0</v>
      </c>
      <c r="R676" s="1423">
        <f ca="1">IF(Q700="n/a",Q676,IFERROR(IF((OFFSET($C676,0,$A676))&lt;0,
MIN(0,Q676-(OFFSET($C676,0,$A676)/(OFFSET($C671,-$A675,$A676)))),
MAX(0,Q676-(OFFSET($C676,0,$A676)/(OFFSET($C671,-$A675,$A676))))),0))</f>
        <v>0</v>
      </c>
      <c r="S676" s="1423">
        <f t="shared" ca="1" si="945"/>
        <v>0</v>
      </c>
      <c r="T676" s="1423">
        <f t="shared" ca="1" si="946"/>
        <v>0</v>
      </c>
      <c r="U676" s="1423">
        <f t="shared" ca="1" si="947"/>
        <v>0</v>
      </c>
      <c r="V676" s="1423">
        <f t="shared" ca="1" si="948"/>
        <v>0</v>
      </c>
      <c r="W676" s="1423">
        <f t="shared" ca="1" si="949"/>
        <v>0</v>
      </c>
      <c r="X676" s="202"/>
      <c r="Y676" s="202"/>
      <c r="Z676" s="202"/>
      <c r="AA676" s="152"/>
      <c r="AB676" s="152"/>
    </row>
    <row r="677" spans="1:28" hidden="1" outlineLevel="1">
      <c r="A677" s="199">
        <f t="shared" si="950"/>
        <v>15</v>
      </c>
      <c r="B677" s="190" t="str">
        <f t="shared" ca="1" si="951"/>
        <v>Depreciated Net Capex 2030-31</v>
      </c>
      <c r="C677" s="1426"/>
      <c r="D677" s="1426"/>
      <c r="E677" s="1426"/>
      <c r="F677" s="1426"/>
      <c r="G677" s="1426"/>
      <c r="H677" s="1426"/>
      <c r="I677" s="1426"/>
      <c r="J677" s="1426"/>
      <c r="K677" s="1426"/>
      <c r="L677" s="1426"/>
      <c r="M677" s="1426"/>
      <c r="N677" s="1426"/>
      <c r="O677" s="1426"/>
      <c r="P677" s="1426"/>
      <c r="Q677" s="1427"/>
      <c r="R677" s="1428">
        <f>R657</f>
        <v>0</v>
      </c>
      <c r="S677" s="1423">
        <f ca="1">IF(R701="n/a",R677,IFERROR(IF((OFFSET($C677,0,$A677))&lt;0,
MIN(0,R677-(OFFSET($C677,0,$A677)/(OFFSET($C672,-$A676,$A677)))),
MAX(0,R677-(OFFSET($C677,0,$A677)/(OFFSET($C672,-$A676,$A677))))),0))</f>
        <v>0</v>
      </c>
      <c r="T677" s="1423">
        <f t="shared" ca="1" si="946"/>
        <v>0</v>
      </c>
      <c r="U677" s="1423">
        <f t="shared" ca="1" si="947"/>
        <v>0</v>
      </c>
      <c r="V677" s="1423">
        <f t="shared" ca="1" si="948"/>
        <v>0</v>
      </c>
      <c r="W677" s="1423">
        <f t="shared" ca="1" si="949"/>
        <v>0</v>
      </c>
      <c r="X677" s="202"/>
      <c r="Y677" s="202"/>
      <c r="Z677" s="202"/>
      <c r="AA677" s="152"/>
      <c r="AB677" s="152"/>
    </row>
    <row r="678" spans="1:28" hidden="1" outlineLevel="1">
      <c r="A678" s="199">
        <f t="shared" si="950"/>
        <v>16</v>
      </c>
      <c r="B678" s="190" t="str">
        <f t="shared" ca="1" si="951"/>
        <v>Depreciated Net Capex 2031-32</v>
      </c>
      <c r="C678" s="1426"/>
      <c r="D678" s="1426"/>
      <c r="E678" s="1426"/>
      <c r="F678" s="1426"/>
      <c r="G678" s="1426"/>
      <c r="H678" s="1426"/>
      <c r="I678" s="1426"/>
      <c r="J678" s="1426"/>
      <c r="K678" s="1426"/>
      <c r="L678" s="1426"/>
      <c r="M678" s="1426"/>
      <c r="N678" s="1426"/>
      <c r="O678" s="1426"/>
      <c r="P678" s="1426"/>
      <c r="Q678" s="1426"/>
      <c r="R678" s="1427"/>
      <c r="S678" s="1428">
        <f>S657</f>
        <v>0</v>
      </c>
      <c r="T678" s="1423">
        <f ca="1">IF(S702="n/a",S678,IFERROR(IF((OFFSET($C678,0,$A678))&lt;0,
MIN(0,S678-(OFFSET($C678,0,$A678)/(OFFSET($C673,-$A677,$A678)))),
MAX(0,S678-(OFFSET($C678,0,$A678)/(OFFSET($C673,-$A677,$A678))))),0))</f>
        <v>0</v>
      </c>
      <c r="U678" s="1423">
        <f t="shared" ca="1" si="947"/>
        <v>0</v>
      </c>
      <c r="V678" s="1423">
        <f t="shared" ca="1" si="948"/>
        <v>0</v>
      </c>
      <c r="W678" s="1423">
        <f t="shared" ca="1" si="949"/>
        <v>0</v>
      </c>
      <c r="X678" s="202"/>
      <c r="Y678" s="202"/>
      <c r="Z678" s="202"/>
      <c r="AA678" s="152"/>
      <c r="AB678" s="152"/>
    </row>
    <row r="679" spans="1:28" hidden="1" outlineLevel="1">
      <c r="A679" s="199">
        <f t="shared" si="950"/>
        <v>17</v>
      </c>
      <c r="B679" s="190" t="str">
        <f t="shared" ca="1" si="951"/>
        <v>Depreciated Net Capex 2032-33</v>
      </c>
      <c r="C679" s="1426"/>
      <c r="D679" s="1426"/>
      <c r="E679" s="1426"/>
      <c r="F679" s="1426"/>
      <c r="G679" s="1426"/>
      <c r="H679" s="1426"/>
      <c r="I679" s="1426"/>
      <c r="J679" s="1426"/>
      <c r="K679" s="1426"/>
      <c r="L679" s="1426"/>
      <c r="M679" s="1426"/>
      <c r="N679" s="1426"/>
      <c r="O679" s="1426"/>
      <c r="P679" s="1426"/>
      <c r="Q679" s="1426"/>
      <c r="R679" s="1426"/>
      <c r="S679" s="1427"/>
      <c r="T679" s="1428">
        <f>T657</f>
        <v>0</v>
      </c>
      <c r="U679" s="1423">
        <f ca="1">IF(T703="n/a",T679,IFERROR(IF((OFFSET($C679,0,$A679))&lt;0,
MIN(0,T679-(OFFSET($C679,0,$A679)/(OFFSET($C674,-$A678,$A679)))),
MAX(0,T679-(OFFSET($C679,0,$A679)/(OFFSET($C674,-$A678,$A679))))),0))</f>
        <v>0</v>
      </c>
      <c r="V679" s="1423">
        <f t="shared" ca="1" si="948"/>
        <v>0</v>
      </c>
      <c r="W679" s="1423">
        <f t="shared" ca="1" si="949"/>
        <v>0</v>
      </c>
      <c r="X679" s="202"/>
      <c r="Y679" s="202"/>
      <c r="Z679" s="202"/>
      <c r="AA679" s="152"/>
      <c r="AB679" s="152"/>
    </row>
    <row r="680" spans="1:28" hidden="1" outlineLevel="1">
      <c r="A680" s="199">
        <f t="shared" si="950"/>
        <v>18</v>
      </c>
      <c r="B680" s="190" t="str">
        <f t="shared" ca="1" si="951"/>
        <v>Depreciated Net Capex 2033-34</v>
      </c>
      <c r="C680" s="1426"/>
      <c r="D680" s="1426"/>
      <c r="E680" s="1426"/>
      <c r="F680" s="1426"/>
      <c r="G680" s="1426"/>
      <c r="H680" s="1426"/>
      <c r="I680" s="1426"/>
      <c r="J680" s="1426"/>
      <c r="K680" s="1426"/>
      <c r="L680" s="1426"/>
      <c r="M680" s="1426"/>
      <c r="N680" s="1426"/>
      <c r="O680" s="1426"/>
      <c r="P680" s="1426"/>
      <c r="Q680" s="1426"/>
      <c r="R680" s="1426"/>
      <c r="S680" s="1426"/>
      <c r="T680" s="1427"/>
      <c r="U680" s="1428">
        <f>U657</f>
        <v>0</v>
      </c>
      <c r="V680" s="1423">
        <f ca="1">IF(U704="n/a",U680,IFERROR(IF((OFFSET($C680,0,$A680))&lt;0,
MIN(0,U680-(OFFSET($C680,0,$A680)/(OFFSET($C675,-$A679,$A680)))),
MAX(0,U680-(OFFSET($C680,0,$A680)/(OFFSET($C675,-$A679,$A680))))),0))</f>
        <v>0</v>
      </c>
      <c r="W680" s="1423">
        <f t="shared" ca="1" si="949"/>
        <v>0</v>
      </c>
      <c r="X680" s="202"/>
      <c r="Y680" s="202"/>
      <c r="Z680" s="202"/>
      <c r="AA680" s="152"/>
      <c r="AB680" s="152"/>
    </row>
    <row r="681" spans="1:28" hidden="1" outlineLevel="1">
      <c r="A681" s="199">
        <f t="shared" si="950"/>
        <v>19</v>
      </c>
      <c r="B681" s="190" t="str">
        <f t="shared" ca="1" si="951"/>
        <v>Depreciated Net Capex 2034-35</v>
      </c>
      <c r="C681" s="1426"/>
      <c r="D681" s="1426"/>
      <c r="E681" s="1426"/>
      <c r="F681" s="1426"/>
      <c r="G681" s="1426"/>
      <c r="H681" s="1426"/>
      <c r="I681" s="1426"/>
      <c r="J681" s="1426"/>
      <c r="K681" s="1426"/>
      <c r="L681" s="1426"/>
      <c r="M681" s="1426"/>
      <c r="N681" s="1426"/>
      <c r="O681" s="1426"/>
      <c r="P681" s="1426"/>
      <c r="Q681" s="1426"/>
      <c r="R681" s="1426"/>
      <c r="S681" s="1426"/>
      <c r="T681" s="1426"/>
      <c r="U681" s="1427"/>
      <c r="V681" s="1428">
        <f>V657</f>
        <v>0</v>
      </c>
      <c r="W681" s="1423">
        <f ca="1">IF(V705="n/a",V681,IFERROR(IF((OFFSET($C681,0,$A681))&lt;0,
MIN(0,V681-(OFFSET($C681,0,$A681)/(OFFSET($C676,-$A680,$A681)))),
MAX(0,V681-(OFFSET($C681,0,$A681)/(OFFSET($C676,-$A680,$A681))))),0))</f>
        <v>0</v>
      </c>
      <c r="X681" s="202"/>
      <c r="Y681" s="202"/>
      <c r="Z681" s="202"/>
      <c r="AA681" s="152"/>
      <c r="AB681" s="152"/>
    </row>
    <row r="682" spans="1:28" hidden="1" outlineLevel="1">
      <c r="A682" s="199">
        <f t="shared" si="950"/>
        <v>20</v>
      </c>
      <c r="B682" s="190" t="str">
        <f t="shared" ca="1" si="951"/>
        <v>Depreciated Net Capex 2035-36</v>
      </c>
      <c r="C682" s="1426"/>
      <c r="D682" s="1426"/>
      <c r="E682" s="1426"/>
      <c r="F682" s="1426"/>
      <c r="G682" s="1426"/>
      <c r="H682" s="1426"/>
      <c r="I682" s="1426"/>
      <c r="J682" s="1426"/>
      <c r="K682" s="1426"/>
      <c r="L682" s="1426"/>
      <c r="M682" s="1426"/>
      <c r="N682" s="1426"/>
      <c r="O682" s="1426"/>
      <c r="P682" s="1426"/>
      <c r="Q682" s="1426"/>
      <c r="R682" s="1426"/>
      <c r="S682" s="1426"/>
      <c r="T682" s="1426"/>
      <c r="U682" s="1426"/>
      <c r="V682" s="1427"/>
      <c r="W682" s="1423">
        <f>W657</f>
        <v>0</v>
      </c>
      <c r="X682" s="152"/>
      <c r="Y682" s="152"/>
      <c r="Z682" s="152"/>
      <c r="AA682" s="152"/>
      <c r="AB682" s="152"/>
    </row>
    <row r="683" spans="1:28" hidden="1" outlineLevel="1">
      <c r="A683" s="242"/>
      <c r="B683" s="200"/>
      <c r="C683" s="1423"/>
      <c r="D683" s="1423"/>
      <c r="E683" s="1423"/>
      <c r="F683" s="1423"/>
      <c r="G683" s="1423"/>
      <c r="H683" s="1423"/>
      <c r="I683" s="1423"/>
      <c r="J683" s="1423"/>
      <c r="K683" s="1423"/>
      <c r="L683" s="1423"/>
      <c r="M683" s="1423"/>
      <c r="N683" s="1423"/>
      <c r="O683" s="1423"/>
      <c r="P683" s="1423"/>
      <c r="Q683" s="1423"/>
      <c r="R683" s="1423"/>
      <c r="S683" s="1423"/>
      <c r="T683" s="1423"/>
      <c r="U683" s="1423"/>
      <c r="V683" s="1423"/>
      <c r="W683" s="1423"/>
      <c r="X683" s="152"/>
      <c r="Y683" s="152"/>
      <c r="Z683" s="152"/>
      <c r="AA683" s="152"/>
      <c r="AB683" s="152"/>
    </row>
    <row r="684" spans="1:28" hidden="1" outlineLevel="1">
      <c r="A684" s="242"/>
      <c r="B684" s="200"/>
      <c r="C684" s="1423"/>
      <c r="D684" s="1423"/>
      <c r="E684" s="1423"/>
      <c r="F684" s="1423"/>
      <c r="G684" s="1423"/>
      <c r="H684" s="1423"/>
      <c r="I684" s="1423"/>
      <c r="J684" s="1423"/>
      <c r="K684" s="1423"/>
      <c r="L684" s="1423"/>
      <c r="M684" s="1423"/>
      <c r="N684" s="1423"/>
      <c r="O684" s="1423"/>
      <c r="P684" s="1423"/>
      <c r="Q684" s="1423"/>
      <c r="R684" s="1423"/>
      <c r="S684" s="1423"/>
      <c r="T684" s="1423"/>
      <c r="U684" s="1423"/>
      <c r="V684" s="1423"/>
      <c r="W684" s="1423"/>
      <c r="X684" s="152"/>
      <c r="Y684" s="152"/>
      <c r="Z684" s="152"/>
      <c r="AA684" s="152"/>
      <c r="AB684" s="152"/>
    </row>
    <row r="685" spans="1:28" hidden="1" outlineLevel="1">
      <c r="A685" s="242"/>
      <c r="B685" s="190" t="s">
        <v>194</v>
      </c>
      <c r="C685" s="1423"/>
      <c r="D685" s="1423">
        <f t="shared" ref="D685" ca="1" si="952">IF(AND(C685&lt;1,D659=0),0,
IF(D659=0,C685-1,
IF(C685&lt;1,D660,
(((C685-1)*(C661-(C661/(C685))))+(D659*D660))/(D661))))</f>
        <v>0</v>
      </c>
      <c r="E685" s="1423">
        <f t="shared" ref="E685" ca="1" si="953">IF(AND(D685&lt;1,E659=0),0,
IF(E659=0,D685-1,
IF(D685&lt;1,E660,
(((D685-1)*(D661-(D661/(D685))))+(E659*E660))/(E661))))</f>
        <v>0</v>
      </c>
      <c r="F685" s="1423">
        <f t="shared" ref="F685" ca="1" si="954">IF(AND(E685&lt;1,F659=0),0,
IF(F659=0,E685-1,
IF(E685&lt;1,F660,
(((E685-1)*(E661-(E661/(E685))))+(F659*F660))/(F661))))</f>
        <v>0</v>
      </c>
      <c r="G685" s="1423">
        <f t="shared" ref="G685" ca="1" si="955">IF(AND(F685&lt;1,G659=0),0,
IF(G659=0,F685-1,
IF(F685&lt;1,G660,
(((F685-1)*(F661-(F661/(F685))))+(G659*G660))/(G661))))</f>
        <v>0</v>
      </c>
      <c r="H685" s="1423">
        <f ca="1">IF(AND(G685&lt;1,H659=0),0,
IF(H659=0,G685-1,
IF(G685&lt;1,H660,
(((G685-1)*(G661-(G661/(G685))))+(H659*H660))/(H661))))</f>
        <v>0</v>
      </c>
      <c r="I685" s="1423">
        <f t="shared" ref="I685" ca="1" si="956">IF(AND(H685&lt;1,I659=0),0,
IF(I659=0,H685-1,
IF(H685&lt;1,I660,
(((H685-1)*(H661-(H661/(H685))))+(I659*I660))/(I661))))</f>
        <v>0</v>
      </c>
      <c r="J685" s="1423">
        <f t="shared" ref="J685" ca="1" si="957">IF(AND(I685&lt;1,J659=0),0,
IF(J659=0,I685-1,
IF(I685&lt;1,J660,
(((I685-1)*(I661-(I661/(I685))))+(J659*J660))/(J661))))</f>
        <v>0</v>
      </c>
      <c r="K685" s="1423">
        <f t="shared" ref="K685" ca="1" si="958">IF(AND(J685&lt;1,K659=0),0,
IF(K659=0,J685-1,
IF(J685&lt;1,K660,
(((J685-1)*(J661-(J661/(J685))))+(K659*K660))/(K661))))</f>
        <v>0</v>
      </c>
      <c r="L685" s="1423">
        <f t="shared" ref="L685" ca="1" si="959">IF(AND(K685&lt;1,L659=0),0,
IF(L659=0,K685-1,
IF(K685&lt;1,L660,
(((K685-1)*(K661-(K661/(K685))))+(L659*L660))/(L661))))</f>
        <v>0</v>
      </c>
      <c r="M685" s="1423">
        <f ca="1">IF(AND(L685&lt;1,M659=0),0,
IF(M659=0,L685-1,
IF(L685&lt;1,M660,
(((L685-1)*(L661-(L661/(L685))))+(M659*M660))/(M661))))</f>
        <v>0</v>
      </c>
      <c r="N685" s="1423">
        <f t="shared" ref="N685" ca="1" si="960">IF(AND(M685&lt;1,N659=0),0,
IF(N659=0,M685-1,
IF(M685&lt;1,N660,
(((M685-1)*(M661-(M661/(M685))))+(N659*N660))/(N661))))</f>
        <v>0</v>
      </c>
      <c r="O685" s="1423">
        <f t="shared" ref="O685" ca="1" si="961">IF(AND(N685&lt;1,O659=0),0,
IF(O659=0,N685-1,
IF(N685&lt;1,O660,
(((N685-1)*(N661-(N661/(N685))))+(O659*O660))/(O661))))</f>
        <v>0</v>
      </c>
      <c r="P685" s="1423">
        <f t="shared" ref="P685" ca="1" si="962">IF(AND(O685&lt;1,P659=0),0,
IF(P659=0,O685-1,
IF(O685&lt;1,P660,
(((O685-1)*(O661-(O661/(O685))))+(P659*P660))/(P661))))</f>
        <v>0</v>
      </c>
      <c r="Q685" s="1423">
        <f t="shared" ref="Q685" ca="1" si="963">IF(AND(P685&lt;1,Q659=0),0,
IF(Q659=0,P685-1,
IF(P685&lt;1,Q660,
(((P685-1)*(P661-(P661/(P685))))+(Q659*Q660))/(Q661))))</f>
        <v>0</v>
      </c>
      <c r="R685" s="1423">
        <f t="shared" ref="R685" ca="1" si="964">IF(AND(Q685&lt;1,R659=0),0,
IF(R659=0,Q685-1,
IF(Q685&lt;1,R660,
(((Q685-1)*(Q661-(Q661/(Q685))))+(R659*R660))/(R661))))</f>
        <v>0</v>
      </c>
      <c r="S685" s="1423">
        <f t="shared" ref="S685" ca="1" si="965">IF(AND(R685&lt;1,S659=0),0,
IF(S659=0,R685-1,
IF(R685&lt;1,S660,
(((R685-1)*(R661-(R661/(R685))))+(S659*S660))/(S661))))</f>
        <v>0</v>
      </c>
      <c r="T685" s="1423">
        <f t="shared" ref="T685" ca="1" si="966">IF(AND(S685&lt;1,T659=0),0,
IF(T659=0,S685-1,
IF(S685&lt;1,T660,
(((S685-1)*(S661-(S661/(S685))))+(T659*T660))/(T661))))</f>
        <v>0</v>
      </c>
      <c r="U685" s="1423">
        <f t="shared" ref="U685" ca="1" si="967">IF(AND(T685&lt;1,U659=0),0,
IF(U659=0,T685-1,
IF(T685&lt;1,U660,
(((T685-1)*(T661-(T661/(T685))))+(U659*U660))/(U661))))</f>
        <v>0</v>
      </c>
      <c r="V685" s="1423">
        <f t="shared" ref="V685" ca="1" si="968">IF(AND(U685&lt;1,V659=0),0,
IF(V659=0,U685-1,
IF(U685&lt;1,V660,
(((U685-1)*(U661-(U661/(U685))))+(V659*V660))/(V661))))</f>
        <v>0</v>
      </c>
      <c r="W685" s="1423">
        <f t="shared" ref="W685" ca="1" si="969">IF(AND(V685&lt;1,W659=0),0,
IF(W659=0,V685-1,
IF(V685&lt;1,W660,
(((V685-1)*(V661-(V661/(V685))))+(W659*W660))/(W661))))</f>
        <v>0</v>
      </c>
      <c r="X685" s="152"/>
      <c r="Y685" s="152"/>
      <c r="Z685" s="152"/>
      <c r="AA685" s="152"/>
      <c r="AB685" s="152"/>
    </row>
    <row r="686" spans="1:28" hidden="1" outlineLevel="1">
      <c r="A686" s="242"/>
      <c r="B686" s="190" t="s">
        <v>193</v>
      </c>
      <c r="C686" s="1423">
        <f ca="1">C658</f>
        <v>0</v>
      </c>
      <c r="D686" s="1423">
        <f t="shared" ref="D686" ca="1" si="970">IF(C686="n/a","n/a",MAX(0,C686-1))</f>
        <v>0</v>
      </c>
      <c r="E686" s="1423">
        <f t="shared" ref="E686:E687" ca="1" si="971">IF(D686="n/a","n/a",MAX(0,D686-1))</f>
        <v>0</v>
      </c>
      <c r="F686" s="1423">
        <f t="shared" ref="F686:F688" ca="1" si="972">IF(E686="n/a","n/a",MAX(0,E686-1))</f>
        <v>0</v>
      </c>
      <c r="G686" s="1423">
        <f t="shared" ref="G686:G689" ca="1" si="973">IF(F686="n/a","n/a",MAX(0,F686-1))</f>
        <v>0</v>
      </c>
      <c r="H686" s="1423">
        <f t="shared" ref="H686:H690" ca="1" si="974">IF(G686="n/a","n/a",MAX(0,G686-1))</f>
        <v>0</v>
      </c>
      <c r="I686" s="1423">
        <f t="shared" ref="I686:I691" ca="1" si="975">IF(H686="n/a","n/a",MAX(0,H686-1))</f>
        <v>0</v>
      </c>
      <c r="J686" s="1423">
        <f t="shared" ref="J686:J692" ca="1" si="976">IF(I686="n/a","n/a",MAX(0,I686-1))</f>
        <v>0</v>
      </c>
      <c r="K686" s="1423">
        <f t="shared" ref="K686:K693" ca="1" si="977">IF(J686="n/a","n/a",MAX(0,J686-1))</f>
        <v>0</v>
      </c>
      <c r="L686" s="1423">
        <f t="shared" ref="L686:L694" ca="1" si="978">IF(K686="n/a","n/a",MAX(0,K686-1))</f>
        <v>0</v>
      </c>
      <c r="M686" s="1423">
        <f t="shared" ref="M686:M695" ca="1" si="979">IF(L686="n/a","n/a",MAX(0,L686-1))</f>
        <v>0</v>
      </c>
      <c r="N686" s="1423">
        <f t="shared" ref="N686:N696" ca="1" si="980">IF(M686="n/a","n/a",MAX(0,M686-1))</f>
        <v>0</v>
      </c>
      <c r="O686" s="1423">
        <f t="shared" ref="O686:O697" ca="1" si="981">IF(N686="n/a","n/a",MAX(0,N686-1))</f>
        <v>0</v>
      </c>
      <c r="P686" s="1423">
        <f t="shared" ref="P686:P698" ca="1" si="982">IF(O686="n/a","n/a",MAX(0,O686-1))</f>
        <v>0</v>
      </c>
      <c r="Q686" s="1423">
        <f t="shared" ref="Q686:Q699" ca="1" si="983">IF(P686="n/a","n/a",MAX(0,P686-1))</f>
        <v>0</v>
      </c>
      <c r="R686" s="1423">
        <f t="shared" ref="R686:R700" ca="1" si="984">IF(Q686="n/a","n/a",MAX(0,Q686-1))</f>
        <v>0</v>
      </c>
      <c r="S686" s="1423">
        <f t="shared" ref="S686:S701" ca="1" si="985">IF(R686="n/a","n/a",MAX(0,R686-1))</f>
        <v>0</v>
      </c>
      <c r="T686" s="1423">
        <f t="shared" ref="T686:T702" ca="1" si="986">IF(S686="n/a","n/a",MAX(0,S686-1))</f>
        <v>0</v>
      </c>
      <c r="U686" s="1423">
        <f t="shared" ref="U686:U703" ca="1" si="987">IF(T686="n/a","n/a",MAX(0,T686-1))</f>
        <v>0</v>
      </c>
      <c r="V686" s="1423">
        <f t="shared" ref="V686:V704" ca="1" si="988">IF(U686="n/a","n/a",MAX(0,U686-1))</f>
        <v>0</v>
      </c>
      <c r="W686" s="1423">
        <f t="shared" ref="W686:W704" ca="1" si="989">IF(V686="n/a","n/a",MAX(0,V686-1))</f>
        <v>0</v>
      </c>
      <c r="X686" s="152"/>
      <c r="Y686" s="152"/>
      <c r="Z686" s="152"/>
      <c r="AA686" s="152"/>
      <c r="AB686" s="152"/>
    </row>
    <row r="687" spans="1:28" hidden="1" outlineLevel="1">
      <c r="A687" s="242"/>
      <c r="B687" s="190" t="str">
        <f t="shared" ref="B687:B706" ca="1" si="990">"RL Capex "&amp;OFFSET($C$6,0,A663)</f>
        <v>RL Capex 2016-17</v>
      </c>
      <c r="C687" s="1424"/>
      <c r="D687" s="1428">
        <f>D658</f>
        <v>0</v>
      </c>
      <c r="E687" s="1423">
        <f t="shared" si="971"/>
        <v>0</v>
      </c>
      <c r="F687" s="1423">
        <f t="shared" si="972"/>
        <v>0</v>
      </c>
      <c r="G687" s="1423">
        <f t="shared" si="973"/>
        <v>0</v>
      </c>
      <c r="H687" s="1423">
        <f t="shared" si="974"/>
        <v>0</v>
      </c>
      <c r="I687" s="1423">
        <f t="shared" si="975"/>
        <v>0</v>
      </c>
      <c r="J687" s="1423">
        <f t="shared" si="976"/>
        <v>0</v>
      </c>
      <c r="K687" s="1423">
        <f t="shared" si="977"/>
        <v>0</v>
      </c>
      <c r="L687" s="1423">
        <f t="shared" si="978"/>
        <v>0</v>
      </c>
      <c r="M687" s="1423">
        <f t="shared" si="979"/>
        <v>0</v>
      </c>
      <c r="N687" s="1423">
        <f t="shared" si="980"/>
        <v>0</v>
      </c>
      <c r="O687" s="1423">
        <f t="shared" si="981"/>
        <v>0</v>
      </c>
      <c r="P687" s="1423">
        <f t="shared" si="982"/>
        <v>0</v>
      </c>
      <c r="Q687" s="1423">
        <f t="shared" si="983"/>
        <v>0</v>
      </c>
      <c r="R687" s="1423">
        <f t="shared" si="984"/>
        <v>0</v>
      </c>
      <c r="S687" s="1423">
        <f t="shared" si="985"/>
        <v>0</v>
      </c>
      <c r="T687" s="1423">
        <f t="shared" si="986"/>
        <v>0</v>
      </c>
      <c r="U687" s="1423">
        <f t="shared" si="987"/>
        <v>0</v>
      </c>
      <c r="V687" s="1423">
        <f t="shared" si="988"/>
        <v>0</v>
      </c>
      <c r="W687" s="1423">
        <f t="shared" si="989"/>
        <v>0</v>
      </c>
      <c r="X687" s="152"/>
      <c r="Y687" s="152"/>
      <c r="Z687" s="152"/>
      <c r="AA687" s="152"/>
      <c r="AB687" s="152"/>
    </row>
    <row r="688" spans="1:28" hidden="1" outlineLevel="1">
      <c r="A688" s="242"/>
      <c r="B688" s="190" t="str">
        <f t="shared" ca="1" si="990"/>
        <v>RL Capex 2017-18</v>
      </c>
      <c r="C688" s="1429"/>
      <c r="D688" s="1424"/>
      <c r="E688" s="1428">
        <f>E658</f>
        <v>0</v>
      </c>
      <c r="F688" s="1423">
        <f t="shared" si="972"/>
        <v>0</v>
      </c>
      <c r="G688" s="1423">
        <f t="shared" si="973"/>
        <v>0</v>
      </c>
      <c r="H688" s="1423">
        <f t="shared" si="974"/>
        <v>0</v>
      </c>
      <c r="I688" s="1423">
        <f t="shared" si="975"/>
        <v>0</v>
      </c>
      <c r="J688" s="1423">
        <f t="shared" si="976"/>
        <v>0</v>
      </c>
      <c r="K688" s="1423">
        <f t="shared" si="977"/>
        <v>0</v>
      </c>
      <c r="L688" s="1423">
        <f t="shared" si="978"/>
        <v>0</v>
      </c>
      <c r="M688" s="1423">
        <f t="shared" si="979"/>
        <v>0</v>
      </c>
      <c r="N688" s="1423">
        <f t="shared" si="980"/>
        <v>0</v>
      </c>
      <c r="O688" s="1423">
        <f t="shared" si="981"/>
        <v>0</v>
      </c>
      <c r="P688" s="1423">
        <f t="shared" si="982"/>
        <v>0</v>
      </c>
      <c r="Q688" s="1423">
        <f t="shared" si="983"/>
        <v>0</v>
      </c>
      <c r="R688" s="1423">
        <f t="shared" si="984"/>
        <v>0</v>
      </c>
      <c r="S688" s="1423">
        <f t="shared" si="985"/>
        <v>0</v>
      </c>
      <c r="T688" s="1423">
        <f t="shared" si="986"/>
        <v>0</v>
      </c>
      <c r="U688" s="1423">
        <f t="shared" si="987"/>
        <v>0</v>
      </c>
      <c r="V688" s="1423">
        <f t="shared" si="988"/>
        <v>0</v>
      </c>
      <c r="W688" s="1423">
        <f t="shared" si="989"/>
        <v>0</v>
      </c>
      <c r="X688" s="152"/>
      <c r="Y688" s="152"/>
      <c r="Z688" s="152"/>
      <c r="AA688" s="152"/>
      <c r="AB688" s="152"/>
    </row>
    <row r="689" spans="1:28" hidden="1" outlineLevel="1">
      <c r="A689" s="242"/>
      <c r="B689" s="190" t="str">
        <f t="shared" ca="1" si="990"/>
        <v>RL Capex 2018-19</v>
      </c>
      <c r="C689" s="1429"/>
      <c r="D689" s="1429"/>
      <c r="E689" s="1424"/>
      <c r="F689" s="1428">
        <f>F658</f>
        <v>0</v>
      </c>
      <c r="G689" s="1423">
        <f t="shared" si="973"/>
        <v>0</v>
      </c>
      <c r="H689" s="1423">
        <f t="shared" si="974"/>
        <v>0</v>
      </c>
      <c r="I689" s="1423">
        <f t="shared" si="975"/>
        <v>0</v>
      </c>
      <c r="J689" s="1423">
        <f t="shared" si="976"/>
        <v>0</v>
      </c>
      <c r="K689" s="1423">
        <f t="shared" si="977"/>
        <v>0</v>
      </c>
      <c r="L689" s="1423">
        <f t="shared" si="978"/>
        <v>0</v>
      </c>
      <c r="M689" s="1423">
        <f t="shared" si="979"/>
        <v>0</v>
      </c>
      <c r="N689" s="1423">
        <f t="shared" si="980"/>
        <v>0</v>
      </c>
      <c r="O689" s="1423">
        <f t="shared" si="981"/>
        <v>0</v>
      </c>
      <c r="P689" s="1423">
        <f t="shared" si="982"/>
        <v>0</v>
      </c>
      <c r="Q689" s="1423">
        <f t="shared" si="983"/>
        <v>0</v>
      </c>
      <c r="R689" s="1423">
        <f t="shared" si="984"/>
        <v>0</v>
      </c>
      <c r="S689" s="1423">
        <f t="shared" si="985"/>
        <v>0</v>
      </c>
      <c r="T689" s="1423">
        <f t="shared" si="986"/>
        <v>0</v>
      </c>
      <c r="U689" s="1423">
        <f t="shared" si="987"/>
        <v>0</v>
      </c>
      <c r="V689" s="1423">
        <f t="shared" si="988"/>
        <v>0</v>
      </c>
      <c r="W689" s="1423">
        <f t="shared" si="989"/>
        <v>0</v>
      </c>
      <c r="X689" s="152"/>
      <c r="Y689" s="152"/>
      <c r="Z689" s="152"/>
      <c r="AA689" s="152"/>
      <c r="AB689" s="152"/>
    </row>
    <row r="690" spans="1:28" hidden="1" outlineLevel="1">
      <c r="A690" s="242"/>
      <c r="B690" s="190" t="str">
        <f t="shared" ca="1" si="990"/>
        <v>RL Capex 2019-20</v>
      </c>
      <c r="C690" s="1429"/>
      <c r="D690" s="1429"/>
      <c r="E690" s="1429"/>
      <c r="F690" s="1424"/>
      <c r="G690" s="1428">
        <f>G658</f>
        <v>0</v>
      </c>
      <c r="H690" s="1423">
        <f t="shared" si="974"/>
        <v>0</v>
      </c>
      <c r="I690" s="1423">
        <f t="shared" si="975"/>
        <v>0</v>
      </c>
      <c r="J690" s="1423">
        <f t="shared" si="976"/>
        <v>0</v>
      </c>
      <c r="K690" s="1423">
        <f t="shared" si="977"/>
        <v>0</v>
      </c>
      <c r="L690" s="1423">
        <f t="shared" si="978"/>
        <v>0</v>
      </c>
      <c r="M690" s="1423">
        <f t="shared" si="979"/>
        <v>0</v>
      </c>
      <c r="N690" s="1423">
        <f t="shared" si="980"/>
        <v>0</v>
      </c>
      <c r="O690" s="1423">
        <f t="shared" si="981"/>
        <v>0</v>
      </c>
      <c r="P690" s="1423">
        <f t="shared" si="982"/>
        <v>0</v>
      </c>
      <c r="Q690" s="1423">
        <f t="shared" si="983"/>
        <v>0</v>
      </c>
      <c r="R690" s="1423">
        <f t="shared" si="984"/>
        <v>0</v>
      </c>
      <c r="S690" s="1423">
        <f t="shared" si="985"/>
        <v>0</v>
      </c>
      <c r="T690" s="1423">
        <f t="shared" si="986"/>
        <v>0</v>
      </c>
      <c r="U690" s="1423">
        <f t="shared" si="987"/>
        <v>0</v>
      </c>
      <c r="V690" s="1423">
        <f t="shared" si="988"/>
        <v>0</v>
      </c>
      <c r="W690" s="1423">
        <f t="shared" si="989"/>
        <v>0</v>
      </c>
      <c r="X690" s="152"/>
      <c r="Y690" s="152"/>
      <c r="Z690" s="152"/>
      <c r="AA690" s="152"/>
      <c r="AB690" s="152"/>
    </row>
    <row r="691" spans="1:28" hidden="1" outlineLevel="1">
      <c r="A691" s="242"/>
      <c r="B691" s="190" t="str">
        <f t="shared" ca="1" si="990"/>
        <v>RL Capex 2020-21</v>
      </c>
      <c r="C691" s="1429"/>
      <c r="D691" s="1429"/>
      <c r="E691" s="1429"/>
      <c r="F691" s="1429"/>
      <c r="G691" s="1424"/>
      <c r="H691" s="1428">
        <f>H658</f>
        <v>0</v>
      </c>
      <c r="I691" s="1423">
        <f t="shared" si="975"/>
        <v>0</v>
      </c>
      <c r="J691" s="1423">
        <f t="shared" si="976"/>
        <v>0</v>
      </c>
      <c r="K691" s="1423">
        <f t="shared" si="977"/>
        <v>0</v>
      </c>
      <c r="L691" s="1423">
        <f t="shared" si="978"/>
        <v>0</v>
      </c>
      <c r="M691" s="1423">
        <f t="shared" si="979"/>
        <v>0</v>
      </c>
      <c r="N691" s="1423">
        <f t="shared" si="980"/>
        <v>0</v>
      </c>
      <c r="O691" s="1423">
        <f t="shared" si="981"/>
        <v>0</v>
      </c>
      <c r="P691" s="1423">
        <f t="shared" si="982"/>
        <v>0</v>
      </c>
      <c r="Q691" s="1423">
        <f t="shared" si="983"/>
        <v>0</v>
      </c>
      <c r="R691" s="1423">
        <f t="shared" si="984"/>
        <v>0</v>
      </c>
      <c r="S691" s="1423">
        <f t="shared" si="985"/>
        <v>0</v>
      </c>
      <c r="T691" s="1423">
        <f t="shared" si="986"/>
        <v>0</v>
      </c>
      <c r="U691" s="1423">
        <f t="shared" si="987"/>
        <v>0</v>
      </c>
      <c r="V691" s="1423">
        <f t="shared" si="988"/>
        <v>0</v>
      </c>
      <c r="W691" s="1423">
        <f t="shared" si="989"/>
        <v>0</v>
      </c>
      <c r="X691" s="152"/>
      <c r="Y691" s="152"/>
      <c r="Z691" s="152"/>
      <c r="AA691" s="152"/>
      <c r="AB691" s="152"/>
    </row>
    <row r="692" spans="1:28" hidden="1" outlineLevel="1">
      <c r="A692" s="242"/>
      <c r="B692" s="190" t="str">
        <f t="shared" ca="1" si="990"/>
        <v>RL Capex 2021-22</v>
      </c>
      <c r="C692" s="1429"/>
      <c r="D692" s="1429"/>
      <c r="E692" s="1429"/>
      <c r="F692" s="1429"/>
      <c r="G692" s="1429"/>
      <c r="H692" s="1424"/>
      <c r="I692" s="1428">
        <f>I658</f>
        <v>0</v>
      </c>
      <c r="J692" s="1423">
        <f t="shared" si="976"/>
        <v>0</v>
      </c>
      <c r="K692" s="1423">
        <f t="shared" si="977"/>
        <v>0</v>
      </c>
      <c r="L692" s="1423">
        <f t="shared" si="978"/>
        <v>0</v>
      </c>
      <c r="M692" s="1423">
        <f t="shared" si="979"/>
        <v>0</v>
      </c>
      <c r="N692" s="1423">
        <f t="shared" si="980"/>
        <v>0</v>
      </c>
      <c r="O692" s="1423">
        <f t="shared" si="981"/>
        <v>0</v>
      </c>
      <c r="P692" s="1423">
        <f t="shared" si="982"/>
        <v>0</v>
      </c>
      <c r="Q692" s="1423">
        <f t="shared" si="983"/>
        <v>0</v>
      </c>
      <c r="R692" s="1423">
        <f t="shared" si="984"/>
        <v>0</v>
      </c>
      <c r="S692" s="1423">
        <f t="shared" si="985"/>
        <v>0</v>
      </c>
      <c r="T692" s="1423">
        <f t="shared" si="986"/>
        <v>0</v>
      </c>
      <c r="U692" s="1423">
        <f t="shared" si="987"/>
        <v>0</v>
      </c>
      <c r="V692" s="1423">
        <f t="shared" si="988"/>
        <v>0</v>
      </c>
      <c r="W692" s="1423">
        <f t="shared" si="989"/>
        <v>0</v>
      </c>
      <c r="X692" s="152"/>
      <c r="Y692" s="152"/>
      <c r="Z692" s="152"/>
      <c r="AA692" s="152"/>
      <c r="AB692" s="152"/>
    </row>
    <row r="693" spans="1:28" hidden="1" outlineLevel="1">
      <c r="A693" s="242"/>
      <c r="B693" s="190" t="str">
        <f t="shared" ca="1" si="990"/>
        <v>RL Capex 2022-23</v>
      </c>
      <c r="C693" s="1429"/>
      <c r="D693" s="1429"/>
      <c r="E693" s="1429"/>
      <c r="F693" s="1429"/>
      <c r="G693" s="1429"/>
      <c r="H693" s="1429"/>
      <c r="I693" s="1424"/>
      <c r="J693" s="1428">
        <f>J658</f>
        <v>0</v>
      </c>
      <c r="K693" s="1423">
        <f t="shared" si="977"/>
        <v>0</v>
      </c>
      <c r="L693" s="1423">
        <f t="shared" si="978"/>
        <v>0</v>
      </c>
      <c r="M693" s="1423">
        <f t="shared" si="979"/>
        <v>0</v>
      </c>
      <c r="N693" s="1423">
        <f t="shared" si="980"/>
        <v>0</v>
      </c>
      <c r="O693" s="1423">
        <f t="shared" si="981"/>
        <v>0</v>
      </c>
      <c r="P693" s="1423">
        <f t="shared" si="982"/>
        <v>0</v>
      </c>
      <c r="Q693" s="1423">
        <f t="shared" si="983"/>
        <v>0</v>
      </c>
      <c r="R693" s="1423">
        <f t="shared" si="984"/>
        <v>0</v>
      </c>
      <c r="S693" s="1423">
        <f t="shared" si="985"/>
        <v>0</v>
      </c>
      <c r="T693" s="1423">
        <f t="shared" si="986"/>
        <v>0</v>
      </c>
      <c r="U693" s="1423">
        <f t="shared" si="987"/>
        <v>0</v>
      </c>
      <c r="V693" s="1423">
        <f t="shared" si="988"/>
        <v>0</v>
      </c>
      <c r="W693" s="1423">
        <f t="shared" si="989"/>
        <v>0</v>
      </c>
      <c r="X693" s="152"/>
      <c r="Y693" s="152"/>
      <c r="Z693" s="152"/>
      <c r="AA693" s="152"/>
      <c r="AB693" s="152"/>
    </row>
    <row r="694" spans="1:28" hidden="1" outlineLevel="1">
      <c r="A694" s="242"/>
      <c r="B694" s="190" t="str">
        <f t="shared" ca="1" si="990"/>
        <v>RL Capex 2023-24</v>
      </c>
      <c r="C694" s="1429"/>
      <c r="D694" s="1429"/>
      <c r="E694" s="1429"/>
      <c r="F694" s="1429"/>
      <c r="G694" s="1429"/>
      <c r="H694" s="1429"/>
      <c r="I694" s="1429"/>
      <c r="J694" s="1424"/>
      <c r="K694" s="1428">
        <f>K658</f>
        <v>0</v>
      </c>
      <c r="L694" s="1423">
        <f t="shared" si="978"/>
        <v>0</v>
      </c>
      <c r="M694" s="1423">
        <f t="shared" si="979"/>
        <v>0</v>
      </c>
      <c r="N694" s="1423">
        <f t="shared" si="980"/>
        <v>0</v>
      </c>
      <c r="O694" s="1423">
        <f t="shared" si="981"/>
        <v>0</v>
      </c>
      <c r="P694" s="1423">
        <f t="shared" si="982"/>
        <v>0</v>
      </c>
      <c r="Q694" s="1423">
        <f t="shared" si="983"/>
        <v>0</v>
      </c>
      <c r="R694" s="1423">
        <f t="shared" si="984"/>
        <v>0</v>
      </c>
      <c r="S694" s="1423">
        <f t="shared" si="985"/>
        <v>0</v>
      </c>
      <c r="T694" s="1423">
        <f t="shared" si="986"/>
        <v>0</v>
      </c>
      <c r="U694" s="1423">
        <f t="shared" si="987"/>
        <v>0</v>
      </c>
      <c r="V694" s="1423">
        <f t="shared" si="988"/>
        <v>0</v>
      </c>
      <c r="W694" s="1423">
        <f t="shared" si="989"/>
        <v>0</v>
      </c>
      <c r="X694" s="152"/>
      <c r="Y694" s="152"/>
      <c r="Z694" s="152"/>
      <c r="AA694" s="152"/>
      <c r="AB694" s="152"/>
    </row>
    <row r="695" spans="1:28" hidden="1" outlineLevel="1">
      <c r="A695" s="242"/>
      <c r="B695" s="190" t="str">
        <f t="shared" ca="1" si="990"/>
        <v>RL Capex 2024-25</v>
      </c>
      <c r="C695" s="1429"/>
      <c r="D695" s="1429"/>
      <c r="E695" s="1429"/>
      <c r="F695" s="1429"/>
      <c r="G695" s="1429"/>
      <c r="H695" s="1429"/>
      <c r="I695" s="1429"/>
      <c r="J695" s="1429"/>
      <c r="K695" s="1424"/>
      <c r="L695" s="1428">
        <f>L658</f>
        <v>0</v>
      </c>
      <c r="M695" s="1423">
        <f t="shared" si="979"/>
        <v>0</v>
      </c>
      <c r="N695" s="1423">
        <f t="shared" si="980"/>
        <v>0</v>
      </c>
      <c r="O695" s="1423">
        <f t="shared" si="981"/>
        <v>0</v>
      </c>
      <c r="P695" s="1423">
        <f t="shared" si="982"/>
        <v>0</v>
      </c>
      <c r="Q695" s="1423">
        <f t="shared" si="983"/>
        <v>0</v>
      </c>
      <c r="R695" s="1423">
        <f t="shared" si="984"/>
        <v>0</v>
      </c>
      <c r="S695" s="1423">
        <f t="shared" si="985"/>
        <v>0</v>
      </c>
      <c r="T695" s="1423">
        <f t="shared" si="986"/>
        <v>0</v>
      </c>
      <c r="U695" s="1423">
        <f t="shared" si="987"/>
        <v>0</v>
      </c>
      <c r="V695" s="1423">
        <f t="shared" si="988"/>
        <v>0</v>
      </c>
      <c r="W695" s="1423">
        <f t="shared" si="989"/>
        <v>0</v>
      </c>
      <c r="X695" s="152"/>
      <c r="Y695" s="152"/>
      <c r="Z695" s="152"/>
      <c r="AA695" s="152"/>
      <c r="AB695" s="152"/>
    </row>
    <row r="696" spans="1:28" hidden="1" outlineLevel="1">
      <c r="A696" s="242"/>
      <c r="B696" s="190" t="str">
        <f t="shared" ca="1" si="990"/>
        <v>RL Capex 2025-26</v>
      </c>
      <c r="C696" s="1429"/>
      <c r="D696" s="1429"/>
      <c r="E696" s="1429"/>
      <c r="F696" s="1429"/>
      <c r="G696" s="1429"/>
      <c r="H696" s="1429"/>
      <c r="I696" s="1429"/>
      <c r="J696" s="1429"/>
      <c r="K696" s="1429"/>
      <c r="L696" s="1424"/>
      <c r="M696" s="1428">
        <f>M658</f>
        <v>0</v>
      </c>
      <c r="N696" s="1423">
        <f t="shared" si="980"/>
        <v>0</v>
      </c>
      <c r="O696" s="1423">
        <f t="shared" si="981"/>
        <v>0</v>
      </c>
      <c r="P696" s="1423">
        <f t="shared" si="982"/>
        <v>0</v>
      </c>
      <c r="Q696" s="1423">
        <f t="shared" si="983"/>
        <v>0</v>
      </c>
      <c r="R696" s="1423">
        <f t="shared" si="984"/>
        <v>0</v>
      </c>
      <c r="S696" s="1423">
        <f t="shared" si="985"/>
        <v>0</v>
      </c>
      <c r="T696" s="1423">
        <f t="shared" si="986"/>
        <v>0</v>
      </c>
      <c r="U696" s="1423">
        <f t="shared" si="987"/>
        <v>0</v>
      </c>
      <c r="V696" s="1423">
        <f t="shared" si="988"/>
        <v>0</v>
      </c>
      <c r="W696" s="1423">
        <f t="shared" si="989"/>
        <v>0</v>
      </c>
      <c r="X696" s="152"/>
      <c r="Y696" s="152"/>
      <c r="Z696" s="152"/>
      <c r="AA696" s="152"/>
      <c r="AB696" s="152"/>
    </row>
    <row r="697" spans="1:28" hidden="1" outlineLevel="1">
      <c r="A697" s="242"/>
      <c r="B697" s="190" t="str">
        <f t="shared" ca="1" si="990"/>
        <v>RL Capex 2026-27</v>
      </c>
      <c r="C697" s="1429"/>
      <c r="D697" s="1429"/>
      <c r="E697" s="1429"/>
      <c r="F697" s="1429"/>
      <c r="G697" s="1429"/>
      <c r="H697" s="1429"/>
      <c r="I697" s="1429"/>
      <c r="J697" s="1429"/>
      <c r="K697" s="1429"/>
      <c r="L697" s="1429"/>
      <c r="M697" s="1424"/>
      <c r="N697" s="1428">
        <f>N658</f>
        <v>0</v>
      </c>
      <c r="O697" s="1423">
        <f t="shared" si="981"/>
        <v>0</v>
      </c>
      <c r="P697" s="1423">
        <f t="shared" si="982"/>
        <v>0</v>
      </c>
      <c r="Q697" s="1423">
        <f t="shared" si="983"/>
        <v>0</v>
      </c>
      <c r="R697" s="1423">
        <f t="shared" si="984"/>
        <v>0</v>
      </c>
      <c r="S697" s="1423">
        <f t="shared" si="985"/>
        <v>0</v>
      </c>
      <c r="T697" s="1423">
        <f t="shared" si="986"/>
        <v>0</v>
      </c>
      <c r="U697" s="1423">
        <f t="shared" si="987"/>
        <v>0</v>
      </c>
      <c r="V697" s="1423">
        <f t="shared" si="988"/>
        <v>0</v>
      </c>
      <c r="W697" s="1423">
        <f t="shared" si="989"/>
        <v>0</v>
      </c>
      <c r="X697" s="152"/>
      <c r="Y697" s="152"/>
      <c r="Z697" s="152"/>
      <c r="AA697" s="152"/>
      <c r="AB697" s="152"/>
    </row>
    <row r="698" spans="1:28" hidden="1" outlineLevel="1">
      <c r="A698" s="242"/>
      <c r="B698" s="190" t="str">
        <f t="shared" ca="1" si="990"/>
        <v>RL Capex 2027-28</v>
      </c>
      <c r="C698" s="1429"/>
      <c r="D698" s="1429"/>
      <c r="E698" s="1429"/>
      <c r="F698" s="1429"/>
      <c r="G698" s="1429"/>
      <c r="H698" s="1429"/>
      <c r="I698" s="1429"/>
      <c r="J698" s="1429"/>
      <c r="K698" s="1429"/>
      <c r="L698" s="1429"/>
      <c r="M698" s="1429"/>
      <c r="N698" s="1424"/>
      <c r="O698" s="1428">
        <f>O658</f>
        <v>0</v>
      </c>
      <c r="P698" s="1423">
        <f t="shared" si="982"/>
        <v>0</v>
      </c>
      <c r="Q698" s="1423">
        <f t="shared" si="983"/>
        <v>0</v>
      </c>
      <c r="R698" s="1423">
        <f t="shared" si="984"/>
        <v>0</v>
      </c>
      <c r="S698" s="1423">
        <f t="shared" si="985"/>
        <v>0</v>
      </c>
      <c r="T698" s="1423">
        <f t="shared" si="986"/>
        <v>0</v>
      </c>
      <c r="U698" s="1423">
        <f t="shared" si="987"/>
        <v>0</v>
      </c>
      <c r="V698" s="1423">
        <f t="shared" si="988"/>
        <v>0</v>
      </c>
      <c r="W698" s="1423">
        <f t="shared" si="989"/>
        <v>0</v>
      </c>
      <c r="X698" s="152"/>
      <c r="Y698" s="152"/>
      <c r="Z698" s="152"/>
      <c r="AA698" s="152"/>
      <c r="AB698" s="152"/>
    </row>
    <row r="699" spans="1:28" hidden="1" outlineLevel="1">
      <c r="A699" s="242"/>
      <c r="B699" s="190" t="str">
        <f t="shared" ca="1" si="990"/>
        <v>RL Capex 2028-29</v>
      </c>
      <c r="C699" s="1429"/>
      <c r="D699" s="1429"/>
      <c r="E699" s="1429"/>
      <c r="F699" s="1429"/>
      <c r="G699" s="1429"/>
      <c r="H699" s="1429"/>
      <c r="I699" s="1429"/>
      <c r="J699" s="1429"/>
      <c r="K699" s="1429"/>
      <c r="L699" s="1429"/>
      <c r="M699" s="1429"/>
      <c r="N699" s="1429"/>
      <c r="O699" s="1424"/>
      <c r="P699" s="1428">
        <f>P658</f>
        <v>0</v>
      </c>
      <c r="Q699" s="1423">
        <f t="shared" si="983"/>
        <v>0</v>
      </c>
      <c r="R699" s="1423">
        <f t="shared" si="984"/>
        <v>0</v>
      </c>
      <c r="S699" s="1423">
        <f t="shared" si="985"/>
        <v>0</v>
      </c>
      <c r="T699" s="1423">
        <f t="shared" si="986"/>
        <v>0</v>
      </c>
      <c r="U699" s="1423">
        <f t="shared" si="987"/>
        <v>0</v>
      </c>
      <c r="V699" s="1423">
        <f t="shared" si="988"/>
        <v>0</v>
      </c>
      <c r="W699" s="1423">
        <f t="shared" si="989"/>
        <v>0</v>
      </c>
      <c r="X699" s="152"/>
      <c r="Y699" s="152"/>
      <c r="Z699" s="152"/>
      <c r="AA699" s="152"/>
      <c r="AB699" s="152"/>
    </row>
    <row r="700" spans="1:28" hidden="1" outlineLevel="1">
      <c r="A700" s="242"/>
      <c r="B700" s="190" t="str">
        <f t="shared" ca="1" si="990"/>
        <v>RL Capex 2029-30</v>
      </c>
      <c r="C700" s="1429"/>
      <c r="D700" s="1429"/>
      <c r="E700" s="1429"/>
      <c r="F700" s="1429"/>
      <c r="G700" s="1429"/>
      <c r="H700" s="1429"/>
      <c r="I700" s="1429"/>
      <c r="J700" s="1429"/>
      <c r="K700" s="1429"/>
      <c r="L700" s="1429"/>
      <c r="M700" s="1429"/>
      <c r="N700" s="1429"/>
      <c r="O700" s="1429"/>
      <c r="P700" s="1424"/>
      <c r="Q700" s="1428">
        <f>Q658</f>
        <v>0</v>
      </c>
      <c r="R700" s="1423">
        <f t="shared" si="984"/>
        <v>0</v>
      </c>
      <c r="S700" s="1423">
        <f t="shared" si="985"/>
        <v>0</v>
      </c>
      <c r="T700" s="1423">
        <f t="shared" si="986"/>
        <v>0</v>
      </c>
      <c r="U700" s="1423">
        <f t="shared" si="987"/>
        <v>0</v>
      </c>
      <c r="V700" s="1423">
        <f t="shared" si="988"/>
        <v>0</v>
      </c>
      <c r="W700" s="1423">
        <f t="shared" si="989"/>
        <v>0</v>
      </c>
      <c r="X700" s="152"/>
      <c r="Y700" s="152"/>
      <c r="Z700" s="152"/>
      <c r="AA700" s="152"/>
      <c r="AB700" s="152"/>
    </row>
    <row r="701" spans="1:28" hidden="1" outlineLevel="1">
      <c r="A701" s="242"/>
      <c r="B701" s="190" t="str">
        <f t="shared" ca="1" si="990"/>
        <v>RL Capex 2030-31</v>
      </c>
      <c r="C701" s="1429"/>
      <c r="D701" s="1429"/>
      <c r="E701" s="1429"/>
      <c r="F701" s="1429"/>
      <c r="G701" s="1429"/>
      <c r="H701" s="1429"/>
      <c r="I701" s="1429"/>
      <c r="J701" s="1429"/>
      <c r="K701" s="1429"/>
      <c r="L701" s="1429"/>
      <c r="M701" s="1429"/>
      <c r="N701" s="1429"/>
      <c r="O701" s="1429"/>
      <c r="P701" s="1429"/>
      <c r="Q701" s="1424"/>
      <c r="R701" s="1428">
        <f>R658</f>
        <v>0</v>
      </c>
      <c r="S701" s="1423">
        <f t="shared" si="985"/>
        <v>0</v>
      </c>
      <c r="T701" s="1423">
        <f t="shared" si="986"/>
        <v>0</v>
      </c>
      <c r="U701" s="1423">
        <f t="shared" si="987"/>
        <v>0</v>
      </c>
      <c r="V701" s="1423">
        <f t="shared" si="988"/>
        <v>0</v>
      </c>
      <c r="W701" s="1423">
        <f t="shared" si="989"/>
        <v>0</v>
      </c>
      <c r="X701" s="152"/>
      <c r="Y701" s="152"/>
      <c r="Z701" s="152"/>
      <c r="AA701" s="152"/>
      <c r="AB701" s="152"/>
    </row>
    <row r="702" spans="1:28" hidden="1" outlineLevel="1">
      <c r="A702" s="242"/>
      <c r="B702" s="190" t="str">
        <f t="shared" ca="1" si="990"/>
        <v>RL Capex 2031-32</v>
      </c>
      <c r="C702" s="1429"/>
      <c r="D702" s="1429"/>
      <c r="E702" s="1429"/>
      <c r="F702" s="1429"/>
      <c r="G702" s="1429"/>
      <c r="H702" s="1429"/>
      <c r="I702" s="1429"/>
      <c r="J702" s="1429"/>
      <c r="K702" s="1429"/>
      <c r="L702" s="1429"/>
      <c r="M702" s="1429"/>
      <c r="N702" s="1429"/>
      <c r="O702" s="1429"/>
      <c r="P702" s="1429"/>
      <c r="Q702" s="1429"/>
      <c r="R702" s="1424"/>
      <c r="S702" s="1428">
        <f>S658</f>
        <v>0</v>
      </c>
      <c r="T702" s="1423">
        <f t="shared" si="986"/>
        <v>0</v>
      </c>
      <c r="U702" s="1423">
        <f t="shared" si="987"/>
        <v>0</v>
      </c>
      <c r="V702" s="1423">
        <f t="shared" si="988"/>
        <v>0</v>
      </c>
      <c r="W702" s="1423">
        <f t="shared" si="989"/>
        <v>0</v>
      </c>
      <c r="X702" s="152"/>
      <c r="Y702" s="152"/>
      <c r="Z702" s="152"/>
      <c r="AA702" s="152"/>
      <c r="AB702" s="152"/>
    </row>
    <row r="703" spans="1:28" hidden="1" outlineLevel="1">
      <c r="A703" s="242"/>
      <c r="B703" s="190" t="str">
        <f t="shared" ca="1" si="990"/>
        <v>RL Capex 2032-33</v>
      </c>
      <c r="C703" s="1429"/>
      <c r="D703" s="1429"/>
      <c r="E703" s="1429"/>
      <c r="F703" s="1429"/>
      <c r="G703" s="1429"/>
      <c r="H703" s="1429"/>
      <c r="I703" s="1429"/>
      <c r="J703" s="1429"/>
      <c r="K703" s="1429"/>
      <c r="L703" s="1429"/>
      <c r="M703" s="1429"/>
      <c r="N703" s="1429"/>
      <c r="O703" s="1429"/>
      <c r="P703" s="1429"/>
      <c r="Q703" s="1429"/>
      <c r="R703" s="1429"/>
      <c r="S703" s="1424"/>
      <c r="T703" s="1428">
        <f>T658</f>
        <v>0</v>
      </c>
      <c r="U703" s="1423">
        <f t="shared" si="987"/>
        <v>0</v>
      </c>
      <c r="V703" s="1423">
        <f t="shared" si="988"/>
        <v>0</v>
      </c>
      <c r="W703" s="1423">
        <f t="shared" si="989"/>
        <v>0</v>
      </c>
      <c r="X703" s="152"/>
      <c r="Y703" s="152"/>
      <c r="Z703" s="152"/>
      <c r="AA703" s="152"/>
      <c r="AB703" s="152"/>
    </row>
    <row r="704" spans="1:28" hidden="1" outlineLevel="1">
      <c r="A704" s="242"/>
      <c r="B704" s="190" t="str">
        <f t="shared" ca="1" si="990"/>
        <v>RL Capex 2033-34</v>
      </c>
      <c r="C704" s="1429"/>
      <c r="D704" s="1429"/>
      <c r="E704" s="1429"/>
      <c r="F704" s="1429"/>
      <c r="G704" s="1429"/>
      <c r="H704" s="1429"/>
      <c r="I704" s="1429"/>
      <c r="J704" s="1429"/>
      <c r="K704" s="1429"/>
      <c r="L704" s="1429"/>
      <c r="M704" s="1429"/>
      <c r="N704" s="1429"/>
      <c r="O704" s="1429"/>
      <c r="P704" s="1429"/>
      <c r="Q704" s="1429"/>
      <c r="R704" s="1429"/>
      <c r="S704" s="1429"/>
      <c r="T704" s="1424"/>
      <c r="U704" s="1428">
        <f>U658</f>
        <v>0</v>
      </c>
      <c r="V704" s="1423">
        <f t="shared" si="988"/>
        <v>0</v>
      </c>
      <c r="W704" s="1423">
        <f t="shared" si="989"/>
        <v>0</v>
      </c>
      <c r="X704" s="152"/>
      <c r="Y704" s="152"/>
      <c r="Z704" s="152"/>
      <c r="AA704" s="152"/>
      <c r="AB704" s="152"/>
    </row>
    <row r="705" spans="1:28" hidden="1" outlineLevel="1">
      <c r="A705" s="242"/>
      <c r="B705" s="190" t="str">
        <f t="shared" ca="1" si="990"/>
        <v>RL Capex 2034-35</v>
      </c>
      <c r="C705" s="1429"/>
      <c r="D705" s="1429"/>
      <c r="E705" s="1429"/>
      <c r="F705" s="1429"/>
      <c r="G705" s="1429"/>
      <c r="H705" s="1429"/>
      <c r="I705" s="1429"/>
      <c r="J705" s="1429"/>
      <c r="K705" s="1429"/>
      <c r="L705" s="1429"/>
      <c r="M705" s="1429"/>
      <c r="N705" s="1429"/>
      <c r="O705" s="1429"/>
      <c r="P705" s="1429"/>
      <c r="Q705" s="1429"/>
      <c r="R705" s="1429"/>
      <c r="S705" s="1429"/>
      <c r="T705" s="1429"/>
      <c r="U705" s="1424"/>
      <c r="V705" s="1428">
        <f>V658</f>
        <v>0</v>
      </c>
      <c r="W705" s="1423">
        <f>IF(V705="n/a","n/a",MAX(0,V705-1))</f>
        <v>0</v>
      </c>
      <c r="X705" s="152"/>
      <c r="Y705" s="152"/>
      <c r="Z705" s="152"/>
      <c r="AA705" s="152"/>
      <c r="AB705" s="152"/>
    </row>
    <row r="706" spans="1:28" hidden="1" outlineLevel="1">
      <c r="A706" s="242"/>
      <c r="B706" s="190" t="str">
        <f t="shared" ca="1" si="990"/>
        <v>RL Capex 2035-36</v>
      </c>
      <c r="C706" s="1429"/>
      <c r="D706" s="1429"/>
      <c r="E706" s="1429"/>
      <c r="F706" s="1429"/>
      <c r="G706" s="1429"/>
      <c r="H706" s="1429"/>
      <c r="I706" s="1429"/>
      <c r="J706" s="1429"/>
      <c r="K706" s="1429"/>
      <c r="L706" s="1429"/>
      <c r="M706" s="1429"/>
      <c r="N706" s="1429"/>
      <c r="O706" s="1429"/>
      <c r="P706" s="1429"/>
      <c r="Q706" s="1429"/>
      <c r="R706" s="1429"/>
      <c r="S706" s="1429"/>
      <c r="T706" s="1429"/>
      <c r="U706" s="1429"/>
      <c r="V706" s="1424"/>
      <c r="W706" s="1423">
        <f>W658</f>
        <v>0</v>
      </c>
      <c r="X706" s="152"/>
      <c r="Y706" s="152"/>
      <c r="Z706" s="152"/>
      <c r="AA706" s="152"/>
      <c r="AB706" s="152"/>
    </row>
    <row r="707" spans="1:28" hidden="1" outlineLevel="1">
      <c r="A707" s="242"/>
      <c r="B707" s="200"/>
      <c r="C707" s="1423"/>
      <c r="D707" s="1423"/>
      <c r="E707" s="1423"/>
      <c r="F707" s="1423"/>
      <c r="G707" s="1423"/>
      <c r="H707" s="1423"/>
      <c r="I707" s="1423"/>
      <c r="J707" s="1423"/>
      <c r="K707" s="1423"/>
      <c r="L707" s="1423"/>
      <c r="M707" s="1423"/>
      <c r="N707" s="1423"/>
      <c r="O707" s="1423"/>
      <c r="P707" s="1423"/>
      <c r="Q707" s="1423"/>
      <c r="R707" s="1423"/>
      <c r="S707" s="1423"/>
      <c r="T707" s="1423"/>
      <c r="U707" s="1423"/>
      <c r="V707" s="1423"/>
      <c r="W707" s="1423"/>
      <c r="X707" s="152"/>
      <c r="Y707" s="152"/>
      <c r="Z707" s="152"/>
      <c r="AA707" s="152"/>
      <c r="AB707" s="152"/>
    </row>
    <row r="708" spans="1:28" collapsed="1">
      <c r="A708" s="246"/>
      <c r="B708" s="204" t="s">
        <v>123</v>
      </c>
      <c r="C708" s="1430">
        <f ca="1">(IF(OR($C658&lt;&gt;"n/a",C658&lt;&gt;"n/a"),IF(SUM(C661:C683)=0,0,IF((SUMPRODUCT(C661:C683,C685:C707)/SUM(C661:C683))&lt;0,1,(SUMPRODUCT(C661:C683,C685:C707)/SUM(C661:C683)))),"n/a"))</f>
        <v>0</v>
      </c>
      <c r="D708" s="1430">
        <f ca="1">(IF(OR($C658&lt;&gt;"n/a",D658&lt;&gt;"n/a"),IF(SUM(D661:D683)=0,0,IF((SUMPRODUCT(D661:D683,D685:D707)/SUM(D661:D683))&lt;0,1,(SUMPRODUCT(D661:D683,D685:D707)/SUM(D661:D683)))),"n/a"))</f>
        <v>0</v>
      </c>
      <c r="E708" s="1430">
        <f t="shared" ref="E708:W708" ca="1" si="991">(IF(OR($C658&lt;&gt;"n/a",E658&lt;&gt;"n/a"),IF(SUM(E661:E683)=0,0,IF((SUMPRODUCT(E661:E683,E685:E707)/SUM(E661:E683))&lt;0,1,(SUMPRODUCT(E661:E683,E685:E707)/SUM(E661:E683)))),"n/a"))</f>
        <v>0</v>
      </c>
      <c r="F708" s="1430">
        <f t="shared" ca="1" si="991"/>
        <v>0</v>
      </c>
      <c r="G708" s="1430">
        <f t="shared" ca="1" si="991"/>
        <v>0</v>
      </c>
      <c r="H708" s="1430">
        <f t="shared" ca="1" si="991"/>
        <v>0</v>
      </c>
      <c r="I708" s="1430">
        <f t="shared" ca="1" si="991"/>
        <v>0</v>
      </c>
      <c r="J708" s="1430">
        <f t="shared" ca="1" si="991"/>
        <v>0</v>
      </c>
      <c r="K708" s="1430">
        <f t="shared" ca="1" si="991"/>
        <v>0</v>
      </c>
      <c r="L708" s="1430">
        <f t="shared" ca="1" si="991"/>
        <v>0</v>
      </c>
      <c r="M708" s="1430">
        <f t="shared" ca="1" si="991"/>
        <v>0</v>
      </c>
      <c r="N708" s="1430">
        <f t="shared" ca="1" si="991"/>
        <v>0</v>
      </c>
      <c r="O708" s="1430">
        <f t="shared" ca="1" si="991"/>
        <v>0</v>
      </c>
      <c r="P708" s="1430">
        <f t="shared" ca="1" si="991"/>
        <v>0</v>
      </c>
      <c r="Q708" s="1430">
        <f t="shared" ca="1" si="991"/>
        <v>0</v>
      </c>
      <c r="R708" s="1430">
        <f t="shared" ca="1" si="991"/>
        <v>0</v>
      </c>
      <c r="S708" s="1430">
        <f t="shared" ca="1" si="991"/>
        <v>0</v>
      </c>
      <c r="T708" s="1430">
        <f t="shared" ca="1" si="991"/>
        <v>0</v>
      </c>
      <c r="U708" s="1430">
        <f t="shared" ca="1" si="991"/>
        <v>0</v>
      </c>
      <c r="V708" s="1430">
        <f t="shared" ca="1" si="991"/>
        <v>0</v>
      </c>
      <c r="W708" s="1430">
        <f t="shared" ca="1" si="991"/>
        <v>0</v>
      </c>
      <c r="X708" s="152"/>
      <c r="Y708" s="152"/>
      <c r="Z708" s="152"/>
      <c r="AA708" s="152"/>
      <c r="AB708" s="152"/>
    </row>
    <row r="709" spans="1:28">
      <c r="A709" s="242"/>
      <c r="B709" s="152"/>
      <c r="C709" s="1423"/>
      <c r="D709" s="1423"/>
      <c r="E709" s="1423"/>
      <c r="F709" s="1423"/>
      <c r="G709" s="1423"/>
      <c r="H709" s="1423"/>
      <c r="I709" s="1423"/>
      <c r="J709" s="1423"/>
      <c r="K709" s="1423"/>
      <c r="L709" s="1423"/>
      <c r="M709" s="1423"/>
      <c r="N709" s="1423"/>
      <c r="O709" s="1423"/>
      <c r="P709" s="1423"/>
      <c r="Q709" s="1423"/>
      <c r="R709" s="1423"/>
      <c r="S709" s="1423"/>
      <c r="T709" s="1423"/>
      <c r="U709" s="1423"/>
      <c r="V709" s="1423"/>
      <c r="W709" s="1423"/>
      <c r="X709" s="152"/>
      <c r="Y709" s="152"/>
      <c r="Z709" s="152"/>
      <c r="AA709" s="152"/>
      <c r="AB709" s="152"/>
    </row>
    <row r="710" spans="1:28">
      <c r="A710" s="269" t="s">
        <v>14</v>
      </c>
      <c r="B710" s="270">
        <f>VLOOKUP($A710,'RFM input'!$E$7:$F$56,2,FALSE)</f>
        <v>0</v>
      </c>
      <c r="C710" s="1431"/>
      <c r="D710" s="1431"/>
      <c r="E710" s="1432"/>
      <c r="F710" s="1432"/>
      <c r="G710" s="1432"/>
      <c r="H710" s="1432"/>
      <c r="I710" s="1432"/>
      <c r="J710" s="1432"/>
      <c r="K710" s="1432"/>
      <c r="L710" s="1432"/>
      <c r="M710" s="1432"/>
      <c r="N710" s="1432"/>
      <c r="O710" s="1432"/>
      <c r="P710" s="1432"/>
      <c r="Q710" s="1432"/>
      <c r="R710" s="1432"/>
      <c r="S710" s="1432"/>
      <c r="T710" s="1432"/>
      <c r="U710" s="1432"/>
      <c r="V710" s="1432"/>
      <c r="W710" s="1432"/>
      <c r="X710" s="152"/>
      <c r="Y710" s="152"/>
      <c r="Z710" s="152"/>
      <c r="AA710" s="152"/>
      <c r="AB710" s="152"/>
    </row>
    <row r="711" spans="1:28">
      <c r="A711" s="215">
        <f>VALUE(REPLACE(A710,1,12,""))</f>
        <v>14</v>
      </c>
      <c r="B711" s="263" t="s">
        <v>126</v>
      </c>
      <c r="C711" s="1416">
        <f ca="1">IF($D$6='TAB roll forward'!$H$4,OFFSET('TAB roll forward'!$H$7,A711,0),"enter input")</f>
        <v>0</v>
      </c>
      <c r="D711" s="1417">
        <f>IF(LEFT(D$6,4)&lt;LEFT('RFM input'!$G$60,4),"enter input",IF(LEFT(D$6,4)&gt;LEFT('RFM input'!$Q$60,4),0,
INDEX('RFM input'!$G$61:$Q$110,$A711,MATCH(D$6,'RFM input'!$G$60:$Q$60,0))
   -INDEX('RFM input'!$G$115:$Q$164,$A711,MATCH(D$6,'RFM input'!$G$60:$Q$60,0))))</f>
        <v>0</v>
      </c>
      <c r="E711" s="1417">
        <f>IF(LEFT(E$6,4)&lt;LEFT('RFM input'!$G$60,4),"enter input",IF(LEFT(E$6,4)&gt;LEFT('RFM input'!$Q$60,4),0,
INDEX('RFM input'!$G$61:$Q$110,$A711,MATCH(E$6,'RFM input'!$G$60:$Q$60,0))
   -INDEX('RFM input'!$G$115:$Q$164,$A711,MATCH(E$6,'RFM input'!$G$60:$Q$60,0))))</f>
        <v>0</v>
      </c>
      <c r="F711" s="1417">
        <f>IF(LEFT(F$6,4)&lt;LEFT('RFM input'!$G$60,4),"enter input",IF(LEFT(F$6,4)&gt;LEFT('RFM input'!$Q$60,4),0,
INDEX('RFM input'!$G$61:$Q$110,$A711,MATCH(F$6,'RFM input'!$G$60:$Q$60,0))
   -INDEX('RFM input'!$G$115:$Q$164,$A711,MATCH(F$6,'RFM input'!$G$60:$Q$60,0))))</f>
        <v>0</v>
      </c>
      <c r="G711" s="1417">
        <f>IF(LEFT(G$6,4)&lt;LEFT('RFM input'!$G$60,4),"enter input",IF(LEFT(G$6,4)&gt;LEFT('RFM input'!$Q$60,4),0,
INDEX('RFM input'!$G$61:$Q$110,$A711,MATCH(G$6,'RFM input'!$G$60:$Q$60,0))
   -INDEX('RFM input'!$G$115:$Q$164,$A711,MATCH(G$6,'RFM input'!$G$60:$Q$60,0))))</f>
        <v>0</v>
      </c>
      <c r="H711" s="1417">
        <f>IF(LEFT(H$6,4)&lt;LEFT('RFM input'!$G$60,4),"enter input",IF(LEFT(H$6,4)&gt;LEFT('RFM input'!$Q$60,4),0,
INDEX('RFM input'!$G$61:$Q$110,$A711,MATCH(H$6,'RFM input'!$G$60:$Q$60,0))
   -INDEX('RFM input'!$G$115:$Q$164,$A711,MATCH(H$6,'RFM input'!$G$60:$Q$60,0))))</f>
        <v>0</v>
      </c>
      <c r="I711" s="1417">
        <f>IF(LEFT(I$6,4)&lt;LEFT('RFM input'!$G$60,4),"enter input",IF(LEFT(I$6,4)&gt;LEFT('RFM input'!$Q$60,4),0,
INDEX('RFM input'!$G$61:$Q$110,$A711,MATCH(I$6,'RFM input'!$G$60:$Q$60,0))
   -INDEX('RFM input'!$G$115:$Q$164,$A711,MATCH(I$6,'RFM input'!$G$60:$Q$60,0))))</f>
        <v>0</v>
      </c>
      <c r="J711" s="1417">
        <f>IF(LEFT(J$6,4)&lt;LEFT('RFM input'!$G$60,4),"enter input",IF(LEFT(J$6,4)&gt;LEFT('RFM input'!$Q$60,4),0,
INDEX('RFM input'!$G$61:$Q$110,$A711,MATCH(J$6,'RFM input'!$G$60:$Q$60,0))
   -INDEX('RFM input'!$G$115:$Q$164,$A711,MATCH(J$6,'RFM input'!$G$60:$Q$60,0))))</f>
        <v>0</v>
      </c>
      <c r="K711" s="1417">
        <f>IF(LEFT(K$6,4)&lt;LEFT('RFM input'!$G$60,4),"enter input",IF(LEFT(K$6,4)&gt;LEFT('RFM input'!$Q$60,4),0,
INDEX('RFM input'!$G$61:$Q$110,$A711,MATCH(K$6,'RFM input'!$G$60:$Q$60,0))
   -INDEX('RFM input'!$G$115:$Q$164,$A711,MATCH(K$6,'RFM input'!$G$60:$Q$60,0))))</f>
        <v>0</v>
      </c>
      <c r="L711" s="1417">
        <f>IF(LEFT(L$6,4)&lt;LEFT('RFM input'!$G$60,4),"enter input",IF(LEFT(L$6,4)&gt;LEFT('RFM input'!$Q$60,4),0,
INDEX('RFM input'!$G$61:$Q$110,$A711,MATCH(L$6,'RFM input'!$G$60:$Q$60,0))
   -INDEX('RFM input'!$G$115:$Q$164,$A711,MATCH(L$6,'RFM input'!$G$60:$Q$60,0))))</f>
        <v>0</v>
      </c>
      <c r="M711" s="1417">
        <f>IF(LEFT(M$6,4)&lt;LEFT('RFM input'!$G$60,4),"enter input",IF(LEFT(M$6,4)&gt;LEFT('RFM input'!$Q$60,4),0,
INDEX('RFM input'!$G$61:$Q$110,$A711,MATCH(M$6,'RFM input'!$G$60:$Q$60,0))
   -INDEX('RFM input'!$G$115:$Q$164,$A711,MATCH(M$6,'RFM input'!$G$60:$Q$60,0))))</f>
        <v>0</v>
      </c>
      <c r="N711" s="1417">
        <f>IF(LEFT(N$6,4)&lt;LEFT('RFM input'!$G$60,4),"enter input",IF(LEFT(N$6,4)&gt;LEFT('RFM input'!$Q$60,4),0,
INDEX('RFM input'!$G$61:$Q$110,$A711,MATCH(N$6,'RFM input'!$G$60:$Q$60,0))
   -INDEX('RFM input'!$G$115:$Q$164,$A711,MATCH(N$6,'RFM input'!$G$60:$Q$60,0))))</f>
        <v>0</v>
      </c>
      <c r="O711" s="1417">
        <f>IF(LEFT(O$6,4)&lt;LEFT('RFM input'!$G$60,4),"enter input",IF(LEFT(O$6,4)&gt;LEFT('RFM input'!$Q$60,4),0,
INDEX('RFM input'!$G$61:$Q$110,$A711,MATCH(O$6,'RFM input'!$G$60:$Q$60,0))
   -INDEX('RFM input'!$G$115:$Q$164,$A711,MATCH(O$6,'RFM input'!$G$60:$Q$60,0))))</f>
        <v>0</v>
      </c>
      <c r="P711" s="1417">
        <f>IF(LEFT(P$6,4)&lt;LEFT('RFM input'!$G$60,4),"enter input",IF(LEFT(P$6,4)&gt;LEFT('RFM input'!$Q$60,4),0,
INDEX('RFM input'!$G$61:$Q$110,$A711,MATCH(P$6,'RFM input'!$G$60:$Q$60,0))
   -INDEX('RFM input'!$G$115:$Q$164,$A711,MATCH(P$6,'RFM input'!$G$60:$Q$60,0))))</f>
        <v>0</v>
      </c>
      <c r="Q711" s="1417">
        <f>IF(LEFT(Q$6,4)&lt;LEFT('RFM input'!$G$60,4),"enter input",IF(LEFT(Q$6,4)&gt;LEFT('RFM input'!$Q$60,4),0,
INDEX('RFM input'!$G$61:$Q$110,$A711,MATCH(Q$6,'RFM input'!$G$60:$Q$60,0))
   -INDEX('RFM input'!$G$115:$Q$164,$A711,MATCH(Q$6,'RFM input'!$G$60:$Q$60,0))))</f>
        <v>0</v>
      </c>
      <c r="R711" s="1417">
        <f>IF(LEFT(R$6,4)&lt;LEFT('RFM input'!$G$60,4),"enter input",IF(LEFT(R$6,4)&gt;LEFT('RFM input'!$Q$60,4),0,
INDEX('RFM input'!$G$61:$Q$110,$A711,MATCH(R$6,'RFM input'!$G$60:$Q$60,0))
   -INDEX('RFM input'!$G$115:$Q$164,$A711,MATCH(R$6,'RFM input'!$G$60:$Q$60,0))))</f>
        <v>0</v>
      </c>
      <c r="S711" s="1417">
        <f>IF(LEFT(S$6,4)&lt;LEFT('RFM input'!$G$60,4),"enter input",IF(LEFT(S$6,4)&gt;LEFT('RFM input'!$Q$60,4),0,
INDEX('RFM input'!$G$61:$Q$110,$A711,MATCH(S$6,'RFM input'!$G$60:$Q$60,0))
   -INDEX('RFM input'!$G$115:$Q$164,$A711,MATCH(S$6,'RFM input'!$G$60:$Q$60,0))))</f>
        <v>0</v>
      </c>
      <c r="T711" s="1417">
        <f>IF(LEFT(T$6,4)&lt;LEFT('RFM input'!$G$60,4),"enter input",IF(LEFT(T$6,4)&gt;LEFT('RFM input'!$Q$60,4),0,
INDEX('RFM input'!$G$61:$Q$110,$A711,MATCH(T$6,'RFM input'!$G$60:$Q$60,0))
   -INDEX('RFM input'!$G$115:$Q$164,$A711,MATCH(T$6,'RFM input'!$G$60:$Q$60,0))))</f>
        <v>0</v>
      </c>
      <c r="U711" s="1417">
        <f>IF(LEFT(U$6,4)&lt;LEFT('RFM input'!$G$60,4),"enter input",IF(LEFT(U$6,4)&gt;LEFT('RFM input'!$Q$60,4),0,
INDEX('RFM input'!$G$61:$Q$110,$A711,MATCH(U$6,'RFM input'!$G$60:$Q$60,0))
   -INDEX('RFM input'!$G$115:$Q$164,$A711,MATCH(U$6,'RFM input'!$G$60:$Q$60,0))))</f>
        <v>0</v>
      </c>
      <c r="V711" s="1417">
        <f>IF(LEFT(V$6,4)&lt;LEFT('RFM input'!$G$60,4),"enter input",IF(LEFT(V$6,4)&gt;LEFT('RFM input'!$Q$60,4),0,
INDEX('RFM input'!$G$61:$Q$110,$A711,MATCH(V$6,'RFM input'!$G$60:$Q$60,0))
   -INDEX('RFM input'!$G$115:$Q$164,$A711,MATCH(V$6,'RFM input'!$G$60:$Q$60,0))))</f>
        <v>0</v>
      </c>
      <c r="W711" s="1417">
        <f>IF(LEFT(W$6,4)&lt;LEFT('RFM input'!$G$60,4),"enter input",IF(LEFT(W$6,4)&gt;LEFT('RFM input'!$Q$60,4),0,
INDEX('RFM input'!$G$61:$Q$110,$A711,MATCH(W$6,'RFM input'!$G$60:$Q$60,0))
   -INDEX('RFM input'!$G$115:$Q$164,$A711,MATCH(W$6,'RFM input'!$G$60:$Q$60,0))))</f>
        <v>0</v>
      </c>
      <c r="X711" s="152"/>
      <c r="Y711" s="152"/>
      <c r="Z711" s="152"/>
      <c r="AA711" s="152"/>
      <c r="AB711" s="152"/>
    </row>
    <row r="712" spans="1:28">
      <c r="A712" s="215"/>
      <c r="B712" s="152" t="s">
        <v>205</v>
      </c>
      <c r="C712" s="1418">
        <f ca="1">IF($D$6='TAB roll forward'!$H$4,OFFSET('RFM input'!$S$6,$A711,0),"enter input")</f>
        <v>0</v>
      </c>
      <c r="D712" s="1417">
        <f>IF(LEFT(D$6,4)&lt;=LEFT('RFM input'!$G$60,4),"enter input",IF(LEFT(D$6,4)&gt;LEFT('RFM input'!$Q$60,4),0,
IF(MATCH(D$6,'RFM input'!$H$60:$Q$60,0),INDEX('RFM input'!$T$7:$T$56,$A711,1,1))))</f>
        <v>0</v>
      </c>
      <c r="E712" s="1417">
        <f>IF(LEFT(E$6,4)&lt;=LEFT('RFM input'!$G$60,4),"enter input",IF(LEFT(E$6,4)&gt;LEFT('RFM input'!$Q$60,4),0,
IF(MATCH(E$6,'RFM input'!$H$60:$Q$60,0),INDEX('RFM input'!$T$7:$T$56,$A711,1,1))))</f>
        <v>0</v>
      </c>
      <c r="F712" s="1417">
        <f>IF(LEFT(F$6,4)&lt;=LEFT('RFM input'!$G$60,4),"enter input",IF(LEFT(F$6,4)&gt;LEFT('RFM input'!$Q$60,4),0,
IF(MATCH(F$6,'RFM input'!$H$60:$Q$60,0),INDEX('RFM input'!$T$7:$T$56,$A711,1,1))))</f>
        <v>0</v>
      </c>
      <c r="G712" s="1417">
        <f>IF(LEFT(G$6,4)&lt;=LEFT('RFM input'!$G$60,4),"enter input",IF(LEFT(G$6,4)&gt;LEFT('RFM input'!$Q$60,4),0,
IF(MATCH(G$6,'RFM input'!$H$60:$Q$60,0),INDEX('RFM input'!$T$7:$T$56,$A711,1,1))))</f>
        <v>0</v>
      </c>
      <c r="H712" s="1417">
        <f>IF(LEFT(H$6,4)&lt;=LEFT('RFM input'!$G$60,4),"enter input",IF(LEFT(H$6,4)&gt;LEFT('RFM input'!$Q$60,4),0,
IF(MATCH(H$6,'RFM input'!$H$60:$Q$60,0),INDEX('RFM input'!$T$7:$T$56,$A711,1,1))))</f>
        <v>0</v>
      </c>
      <c r="I712" s="1417">
        <f>IF(LEFT(I$6,4)&lt;=LEFT('RFM input'!$G$60,4),"enter input",IF(LEFT(I$6,4)&gt;LEFT('RFM input'!$Q$60,4),0,
IF(MATCH(I$6,'RFM input'!$H$60:$Q$60,0),INDEX('RFM input'!$T$7:$T$56,$A711,1,1))))</f>
        <v>0</v>
      </c>
      <c r="J712" s="1417">
        <f>IF(LEFT(J$6,4)&lt;=LEFT('RFM input'!$G$60,4),"enter input",IF(LEFT(J$6,4)&gt;LEFT('RFM input'!$Q$60,4),0,
IF(MATCH(J$6,'RFM input'!$H$60:$Q$60,0),INDEX('RFM input'!$T$7:$T$56,$A711,1,1))))</f>
        <v>0</v>
      </c>
      <c r="K712" s="1417">
        <f>IF(LEFT(K$6,4)&lt;=LEFT('RFM input'!$G$60,4),"enter input",IF(LEFT(K$6,4)&gt;LEFT('RFM input'!$Q$60,4),0,
IF(MATCH(K$6,'RFM input'!$H$60:$Q$60,0),INDEX('RFM input'!$T$7:$T$56,$A711,1,1))))</f>
        <v>0</v>
      </c>
      <c r="L712" s="1417">
        <f>IF(LEFT(L$6,4)&lt;=LEFT('RFM input'!$G$60,4),"enter input",IF(LEFT(L$6,4)&gt;LEFT('RFM input'!$Q$60,4),0,
IF(MATCH(L$6,'RFM input'!$H$60:$Q$60,0),INDEX('RFM input'!$T$7:$T$56,$A711,1,1))))</f>
        <v>0</v>
      </c>
      <c r="M712" s="1417">
        <f>IF(LEFT(M$6,4)&lt;=LEFT('RFM input'!$G$60,4),"enter input",IF(LEFT(M$6,4)&gt;LEFT('RFM input'!$Q$60,4),0,
IF(MATCH(M$6,'RFM input'!$H$60:$Q$60,0),INDEX('RFM input'!$T$7:$T$56,$A711,1,1))))</f>
        <v>0</v>
      </c>
      <c r="N712" s="1417">
        <f>IF(LEFT(N$6,4)&lt;=LEFT('RFM input'!$G$60,4),"enter input",IF(LEFT(N$6,4)&gt;LEFT('RFM input'!$Q$60,4),0,
IF(MATCH(N$6,'RFM input'!$H$60:$Q$60,0),INDEX('RFM input'!$T$7:$T$56,$A711,1,1))))</f>
        <v>0</v>
      </c>
      <c r="O712" s="1417">
        <f>IF(LEFT(O$6,4)&lt;=LEFT('RFM input'!$G$60,4),"enter input",IF(LEFT(O$6,4)&gt;LEFT('RFM input'!$Q$60,4),0,
IF(MATCH(O$6,'RFM input'!$H$60:$Q$60,0),INDEX('RFM input'!$T$7:$T$56,$A711,1,1))))</f>
        <v>0</v>
      </c>
      <c r="P712" s="1417">
        <f>IF(LEFT(P$6,4)&lt;=LEFT('RFM input'!$G$60,4),"enter input",IF(LEFT(P$6,4)&gt;LEFT('RFM input'!$Q$60,4),0,
IF(MATCH(P$6,'RFM input'!$H$60:$Q$60,0),INDEX('RFM input'!$T$7:$T$56,$A711,1,1))))</f>
        <v>0</v>
      </c>
      <c r="Q712" s="1417">
        <f>IF(LEFT(Q$6,4)&lt;=LEFT('RFM input'!$G$60,4),"enter input",IF(LEFT(Q$6,4)&gt;LEFT('RFM input'!$Q$60,4),0,
IF(MATCH(Q$6,'RFM input'!$H$60:$Q$60,0),INDEX('RFM input'!$T$7:$T$56,$A711,1,1))))</f>
        <v>0</v>
      </c>
      <c r="R712" s="1417">
        <f>IF(LEFT(R$6,4)&lt;=LEFT('RFM input'!$G$60,4),"enter input",IF(LEFT(R$6,4)&gt;LEFT('RFM input'!$Q$60,4),0,
IF(MATCH(R$6,'RFM input'!$H$60:$Q$60,0),INDEX('RFM input'!$T$7:$T$56,$A711,1,1))))</f>
        <v>0</v>
      </c>
      <c r="S712" s="1417">
        <f>IF(LEFT(S$6,4)&lt;=LEFT('RFM input'!$G$60,4),"enter input",IF(LEFT(S$6,4)&gt;LEFT('RFM input'!$Q$60,4),0,
IF(MATCH(S$6,'RFM input'!$H$60:$Q$60,0),INDEX('RFM input'!$T$7:$T$56,$A711,1,1))))</f>
        <v>0</v>
      </c>
      <c r="T712" s="1417">
        <f>IF(LEFT(T$6,4)&lt;=LEFT('RFM input'!$G$60,4),"enter input",IF(LEFT(T$6,4)&gt;LEFT('RFM input'!$Q$60,4),0,
IF(MATCH(T$6,'RFM input'!$H$60:$Q$60,0),INDEX('RFM input'!$T$7:$T$56,$A711,1,1))))</f>
        <v>0</v>
      </c>
      <c r="U712" s="1417">
        <f>IF(LEFT(U$6,4)&lt;=LEFT('RFM input'!$G$60,4),"enter input",IF(LEFT(U$6,4)&gt;LEFT('RFM input'!$Q$60,4),0,
IF(MATCH(U$6,'RFM input'!$H$60:$Q$60,0),INDEX('RFM input'!$T$7:$T$56,$A711,1,1))))</f>
        <v>0</v>
      </c>
      <c r="V712" s="1417">
        <f>IF(LEFT(V$6,4)&lt;=LEFT('RFM input'!$G$60,4),"enter input",IF(LEFT(V$6,4)&gt;LEFT('RFM input'!$Q$60,4),0,
IF(MATCH(V$6,'RFM input'!$H$60:$Q$60,0),INDEX('RFM input'!$T$7:$T$56,$A711,1,1))))</f>
        <v>0</v>
      </c>
      <c r="W712" s="1417">
        <f>IF(LEFT(W$6,4)&lt;=LEFT('RFM input'!$G$60,4),"enter input",IF(LEFT(W$6,4)&gt;LEFT('RFM input'!$Q$60,4),0,
IF(MATCH(W$6,'RFM input'!$H$60:$Q$60,0),INDEX('RFM input'!$T$7:$T$56,$A711,1,1))))</f>
        <v>0</v>
      </c>
      <c r="X712" s="152"/>
      <c r="Y712" s="152"/>
      <c r="Z712" s="152"/>
      <c r="AA712" s="152"/>
      <c r="AB712" s="152"/>
    </row>
    <row r="713" spans="1:28">
      <c r="A713" s="152"/>
      <c r="B713" s="193" t="s">
        <v>192</v>
      </c>
      <c r="C713" s="1419"/>
      <c r="D713" s="1420">
        <f ca="1">IF(LEFT(D$6,4)&lt;=LEFT('RFM input'!$G$60,4),"enter input",IF(LEFT(D$6,4)&gt;LEFT('RFM input'!$Q$60,4),0,
IF(D$6=(OFFSET('RFM input'!$G$60,0,'RFM input'!$V$7)),OFFSET('RFM input'!$H$411,$A711,0),0)))</f>
        <v>0</v>
      </c>
      <c r="E713" s="1417">
        <f ca="1">IF(LEFT(E$6,4)&lt;=LEFT('RFM input'!$G$60,4),"enter input",IF(LEFT(E$6,4)&gt;LEFT('RFM input'!$Q$60,4),0,
IF(E$6=(OFFSET('RFM input'!$G$60,0,'RFM input'!$V$7)),OFFSET('RFM input'!$H$411,$A711,0),0)))</f>
        <v>0</v>
      </c>
      <c r="F713" s="1417">
        <f ca="1">IF(LEFT(F$6,4)&lt;=LEFT('RFM input'!$G$60,4),"enter input",IF(LEFT(F$6,4)&gt;LEFT('RFM input'!$Q$60,4),0,
IF(F$6=(OFFSET('RFM input'!$G$60,0,'RFM input'!$V$7)),OFFSET('RFM input'!$H$411,$A711,0),0)))</f>
        <v>0</v>
      </c>
      <c r="G713" s="1417">
        <f ca="1">IF(LEFT(G$6,4)&lt;=LEFT('RFM input'!$G$60,4),"enter input",IF(LEFT(G$6,4)&gt;LEFT('RFM input'!$Q$60,4),0,
IF(G$6=(OFFSET('RFM input'!$G$60,0,'RFM input'!$V$7)),OFFSET('RFM input'!$H$411,$A711,0),0)))</f>
        <v>0</v>
      </c>
      <c r="H713" s="1417">
        <f ca="1">IF(LEFT(H$6,4)&lt;=LEFT('RFM input'!$G$60,4),"enter input",IF(LEFT(H$6,4)&gt;LEFT('RFM input'!$Q$60,4),0,
IF(H$6=(OFFSET('RFM input'!$G$60,0,'RFM input'!$V$7)),OFFSET('RFM input'!$H$411,$A711,0),0)))</f>
        <v>0</v>
      </c>
      <c r="I713" s="1417">
        <f ca="1">IF(LEFT(I$6,4)&lt;=LEFT('RFM input'!$G$60,4),"enter input",IF(LEFT(I$6,4)&gt;LEFT('RFM input'!$Q$60,4),0,
IF(I$6=(OFFSET('RFM input'!$G$60,0,'RFM input'!$V$7)),OFFSET('RFM input'!$H$411,$A711,0),0)))</f>
        <v>0</v>
      </c>
      <c r="J713" s="1417">
        <f ca="1">IF(LEFT(J$6,4)&lt;=LEFT('RFM input'!$G$60,4),"enter input",IF(LEFT(J$6,4)&gt;LEFT('RFM input'!$Q$60,4),0,
IF(J$6=(OFFSET('RFM input'!$G$60,0,'RFM input'!$V$7)),OFFSET('RFM input'!$H$411,$A711,0),0)))</f>
        <v>0</v>
      </c>
      <c r="K713" s="1417">
        <f ca="1">IF(LEFT(K$6,4)&lt;=LEFT('RFM input'!$G$60,4),"enter input",IF(LEFT(K$6,4)&gt;LEFT('RFM input'!$Q$60,4),0,
IF(K$6=(OFFSET('RFM input'!$G$60,0,'RFM input'!$V$7)),OFFSET('RFM input'!$H$411,$A711,0),0)))</f>
        <v>0</v>
      </c>
      <c r="L713" s="1417">
        <f ca="1">IF(LEFT(L$6,4)&lt;=LEFT('RFM input'!$G$60,4),"enter input",IF(LEFT(L$6,4)&gt;LEFT('RFM input'!$Q$60,4),0,
IF(L$6=(OFFSET('RFM input'!$G$60,0,'RFM input'!$V$7)),OFFSET('RFM input'!$H$411,$A711,0),0)))</f>
        <v>0</v>
      </c>
      <c r="M713" s="1417">
        <f ca="1">IF(LEFT(M$6,4)&lt;=LEFT('RFM input'!$G$60,4),"enter input",IF(LEFT(M$6,4)&gt;LEFT('RFM input'!$Q$60,4),0,
IF(M$6=(OFFSET('RFM input'!$G$60,0,'RFM input'!$V$7)),OFFSET('RFM input'!$H$411,$A711,0),0)))</f>
        <v>0</v>
      </c>
      <c r="N713" s="1417">
        <f ca="1">IF(LEFT(N$6,4)&lt;=LEFT('RFM input'!$G$60,4),"enter input",IF(LEFT(N$6,4)&gt;LEFT('RFM input'!$Q$60,4),0,
IF(N$6=(OFFSET('RFM input'!$G$60,0,'RFM input'!$V$7)),OFFSET('RFM input'!$H$411,$A711,0),0)))</f>
        <v>0</v>
      </c>
      <c r="O713" s="1417">
        <f ca="1">IF(LEFT(O$6,4)&lt;=LEFT('RFM input'!$G$60,4),"enter input",IF(LEFT(O$6,4)&gt;LEFT('RFM input'!$Q$60,4),0,
IF(O$6=(OFFSET('RFM input'!$G$60,0,'RFM input'!$V$7)),OFFSET('RFM input'!$H$411,$A711,0),0)))</f>
        <v>0</v>
      </c>
      <c r="P713" s="1417">
        <f ca="1">IF(LEFT(P$6,4)&lt;=LEFT('RFM input'!$G$60,4),"enter input",IF(LEFT(P$6,4)&gt;LEFT('RFM input'!$Q$60,4),0,
IF(P$6=(OFFSET('RFM input'!$G$60,0,'RFM input'!$V$7)),OFFSET('RFM input'!$H$411,$A711,0),0)))</f>
        <v>0</v>
      </c>
      <c r="Q713" s="1417">
        <f ca="1">IF(LEFT(Q$6,4)&lt;=LEFT('RFM input'!$G$60,4),"enter input",IF(LEFT(Q$6,4)&gt;LEFT('RFM input'!$Q$60,4),0,
IF(Q$6=(OFFSET('RFM input'!$G$60,0,'RFM input'!$V$7)),OFFSET('RFM input'!$H$411,$A711,0),0)))</f>
        <v>0</v>
      </c>
      <c r="R713" s="1417">
        <f ca="1">IF(LEFT(R$6,4)&lt;=LEFT('RFM input'!$G$60,4),"enter input",IF(LEFT(R$6,4)&gt;LEFT('RFM input'!$Q$60,4),0,
IF(R$6=(OFFSET('RFM input'!$G$60,0,'RFM input'!$V$7)),OFFSET('RFM input'!$H$411,$A711,0),0)))</f>
        <v>0</v>
      </c>
      <c r="S713" s="1417">
        <f ca="1">IF(LEFT(S$6,4)&lt;=LEFT('RFM input'!$G$60,4),"enter input",IF(LEFT(S$6,4)&gt;LEFT('RFM input'!$Q$60,4),0,
IF(S$6=(OFFSET('RFM input'!$G$60,0,'RFM input'!$V$7)),OFFSET('RFM input'!$H$411,$A711,0),0)))</f>
        <v>0</v>
      </c>
      <c r="T713" s="1417">
        <f ca="1">IF(LEFT(T$6,4)&lt;=LEFT('RFM input'!$G$60,4),"enter input",IF(LEFT(T$6,4)&gt;LEFT('RFM input'!$Q$60,4),0,
IF(T$6=(OFFSET('RFM input'!$G$60,0,'RFM input'!$V$7)),OFFSET('RFM input'!$H$411,$A711,0),0)))</f>
        <v>0</v>
      </c>
      <c r="U713" s="1417">
        <f ca="1">IF(LEFT(U$6,4)&lt;=LEFT('RFM input'!$G$60,4),"enter input",IF(LEFT(U$6,4)&gt;LEFT('RFM input'!$Q$60,4),0,
IF(U$6=(OFFSET('RFM input'!$G$60,0,'RFM input'!$V$7)),OFFSET('RFM input'!$H$411,$A711,0),0)))</f>
        <v>0</v>
      </c>
      <c r="V713" s="1417">
        <f ca="1">IF(LEFT(V$6,4)&lt;=LEFT('RFM input'!$G$60,4),"enter input",IF(LEFT(V$6,4)&gt;LEFT('RFM input'!$Q$60,4),0,
IF(V$6=(OFFSET('RFM input'!$G$60,0,'RFM input'!$V$7)),OFFSET('RFM input'!$H$411,$A711,0),0)))</f>
        <v>0</v>
      </c>
      <c r="W713" s="1417">
        <f ca="1">IF(LEFT(W$6,4)&lt;=LEFT('RFM input'!$G$60,4),"enter input",IF(LEFT(W$6,4)&gt;LEFT('RFM input'!$Q$60,4),0,
IF(W$6=(OFFSET('RFM input'!$G$60,0,'RFM input'!$V$7)),OFFSET('RFM input'!$H$411,$A711,0),0)))</f>
        <v>0</v>
      </c>
      <c r="X713" s="152"/>
      <c r="Y713" s="152"/>
      <c r="Z713" s="152"/>
      <c r="AA713" s="152"/>
      <c r="AB713" s="152"/>
    </row>
    <row r="714" spans="1:28">
      <c r="A714" s="152"/>
      <c r="B714" s="193" t="s">
        <v>200</v>
      </c>
      <c r="C714" s="1419"/>
      <c r="D714" s="1418">
        <f ca="1">IF(LEFT(D$6,4)&lt;=LEFT('RFM input'!$G$60,4),"enter input",IF(LEFT(D$6,4)&gt;LEFT('RFM input'!$Q$60,4),0,
IF(D$6=(OFFSET('RFM input'!$G$60,0,'RFM input'!$V$7)),OFFSET('RFM input'!$J$411,$A711,0),0)))</f>
        <v>0</v>
      </c>
      <c r="E714" s="1422">
        <f ca="1">IF(LEFT(E$6,4)&lt;=LEFT('RFM input'!$G$60,4),"enter input",IF(LEFT(E$6,4)&gt;LEFT('RFM input'!$Q$60,4),0,
IF(E$6=(OFFSET('RFM input'!$G$60,0,'RFM input'!$V$7)),OFFSET('RFM input'!$J$411,$A711,0),0)))</f>
        <v>0</v>
      </c>
      <c r="F714" s="1422">
        <f ca="1">IF(LEFT(F$6,4)&lt;=LEFT('RFM input'!$G$60,4),"enter input",IF(LEFT(F$6,4)&gt;LEFT('RFM input'!$Q$60,4),0,
IF(F$6=(OFFSET('RFM input'!$G$60,0,'RFM input'!$V$7)),OFFSET('RFM input'!$J$411,$A711,0),0)))</f>
        <v>0</v>
      </c>
      <c r="G714" s="1422">
        <f ca="1">IF(LEFT(G$6,4)&lt;=LEFT('RFM input'!$G$60,4),"enter input",IF(LEFT(G$6,4)&gt;LEFT('RFM input'!$Q$60,4),0,
IF(G$6=(OFFSET('RFM input'!$G$60,0,'RFM input'!$V$7)),OFFSET('RFM input'!$J$411,$A711,0),0)))</f>
        <v>0</v>
      </c>
      <c r="H714" s="1422">
        <f ca="1">IF(LEFT(H$6,4)&lt;=LEFT('RFM input'!$G$60,4),"enter input",IF(LEFT(H$6,4)&gt;LEFT('RFM input'!$Q$60,4),0,
IF(H$6=(OFFSET('RFM input'!$G$60,0,'RFM input'!$V$7)),OFFSET('RFM input'!$J$411,$A711,0),0)))</f>
        <v>0</v>
      </c>
      <c r="I714" s="1422">
        <f ca="1">IF(LEFT(I$6,4)&lt;=LEFT('RFM input'!$G$60,4),"enter input",IF(LEFT(I$6,4)&gt;LEFT('RFM input'!$Q$60,4),0,
IF(I$6=(OFFSET('RFM input'!$G$60,0,'RFM input'!$V$7)),OFFSET('RFM input'!$J$411,$A711,0),0)))</f>
        <v>0</v>
      </c>
      <c r="J714" s="1422">
        <f ca="1">IF(LEFT(J$6,4)&lt;=LEFT('RFM input'!$G$60,4),"enter input",IF(LEFT(J$6,4)&gt;LEFT('RFM input'!$Q$60,4),0,
IF(J$6=(OFFSET('RFM input'!$G$60,0,'RFM input'!$V$7)),OFFSET('RFM input'!$J$411,$A711,0),0)))</f>
        <v>0</v>
      </c>
      <c r="K714" s="1422">
        <f ca="1">IF(LEFT(K$6,4)&lt;=LEFT('RFM input'!$G$60,4),"enter input",IF(LEFT(K$6,4)&gt;LEFT('RFM input'!$Q$60,4),0,
IF(K$6=(OFFSET('RFM input'!$G$60,0,'RFM input'!$V$7)),OFFSET('RFM input'!$J$411,$A711,0),0)))</f>
        <v>0</v>
      </c>
      <c r="L714" s="1422">
        <f ca="1">IF(LEFT(L$6,4)&lt;=LEFT('RFM input'!$G$60,4),"enter input",IF(LEFT(L$6,4)&gt;LEFT('RFM input'!$Q$60,4),0,
IF(L$6=(OFFSET('RFM input'!$G$60,0,'RFM input'!$V$7)),OFFSET('RFM input'!$J$411,$A711,0),0)))</f>
        <v>0</v>
      </c>
      <c r="M714" s="1422">
        <f ca="1">IF(LEFT(M$6,4)&lt;=LEFT('RFM input'!$G$60,4),"enter input",IF(LEFT(M$6,4)&gt;LEFT('RFM input'!$Q$60,4),0,
IF(M$6=(OFFSET('RFM input'!$G$60,0,'RFM input'!$V$7)),OFFSET('RFM input'!$J$411,$A711,0),0)))</f>
        <v>0</v>
      </c>
      <c r="N714" s="1422">
        <f ca="1">IF(LEFT(N$6,4)&lt;=LEFT('RFM input'!$G$60,4),"enter input",IF(LEFT(N$6,4)&gt;LEFT('RFM input'!$Q$60,4),0,
IF(N$6=(OFFSET('RFM input'!$G$60,0,'RFM input'!$V$7)),OFFSET('RFM input'!$J$411,$A711,0),0)))</f>
        <v>0</v>
      </c>
      <c r="O714" s="1422">
        <f ca="1">IF(LEFT(O$6,4)&lt;=LEFT('RFM input'!$G$60,4),"enter input",IF(LEFT(O$6,4)&gt;LEFT('RFM input'!$Q$60,4),0,
IF(O$6=(OFFSET('RFM input'!$G$60,0,'RFM input'!$V$7)),OFFSET('RFM input'!$J$411,$A711,0),0)))</f>
        <v>0</v>
      </c>
      <c r="P714" s="1422">
        <f ca="1">IF(LEFT(P$6,4)&lt;=LEFT('RFM input'!$G$60,4),"enter input",IF(LEFT(P$6,4)&gt;LEFT('RFM input'!$Q$60,4),0,
IF(P$6=(OFFSET('RFM input'!$G$60,0,'RFM input'!$V$7)),OFFSET('RFM input'!$J$411,$A711,0),0)))</f>
        <v>0</v>
      </c>
      <c r="Q714" s="1422">
        <f ca="1">IF(LEFT(Q$6,4)&lt;=LEFT('RFM input'!$G$60,4),"enter input",IF(LEFT(Q$6,4)&gt;LEFT('RFM input'!$Q$60,4),0,
IF(Q$6=(OFFSET('RFM input'!$G$60,0,'RFM input'!$V$7)),OFFSET('RFM input'!$J$411,$A711,0),0)))</f>
        <v>0</v>
      </c>
      <c r="R714" s="1422">
        <f ca="1">IF(LEFT(R$6,4)&lt;=LEFT('RFM input'!$G$60,4),"enter input",IF(LEFT(R$6,4)&gt;LEFT('RFM input'!$Q$60,4),0,
IF(R$6=(OFFSET('RFM input'!$G$60,0,'RFM input'!$V$7)),OFFSET('RFM input'!$J$411,$A711,0),0)))</f>
        <v>0</v>
      </c>
      <c r="S714" s="1422">
        <f ca="1">IF(LEFT(S$6,4)&lt;=LEFT('RFM input'!$G$60,4),"enter input",IF(LEFT(S$6,4)&gt;LEFT('RFM input'!$Q$60,4),0,
IF(S$6=(OFFSET('RFM input'!$G$60,0,'RFM input'!$V$7)),OFFSET('RFM input'!$J$411,$A711,0),0)))</f>
        <v>0</v>
      </c>
      <c r="T714" s="1422">
        <f ca="1">IF(LEFT(T$6,4)&lt;=LEFT('RFM input'!$G$60,4),"enter input",IF(LEFT(T$6,4)&gt;LEFT('RFM input'!$Q$60,4),0,
IF(T$6=(OFFSET('RFM input'!$G$60,0,'RFM input'!$V$7)),OFFSET('RFM input'!$J$411,$A711,0),0)))</f>
        <v>0</v>
      </c>
      <c r="U714" s="1422">
        <f ca="1">IF(LEFT(U$6,4)&lt;=LEFT('RFM input'!$G$60,4),"enter input",IF(LEFT(U$6,4)&gt;LEFT('RFM input'!$Q$60,4),0,
IF(U$6=(OFFSET('RFM input'!$G$60,0,'RFM input'!$V$7)),OFFSET('RFM input'!$J$411,$A711,0),0)))</f>
        <v>0</v>
      </c>
      <c r="V714" s="1422">
        <f ca="1">IF(LEFT(V$6,4)&lt;=LEFT('RFM input'!$G$60,4),"enter input",IF(LEFT(V$6,4)&gt;LEFT('RFM input'!$Q$60,4),0,
IF(V$6=(OFFSET('RFM input'!$G$60,0,'RFM input'!$V$7)),OFFSET('RFM input'!$J$411,$A711,0),0)))</f>
        <v>0</v>
      </c>
      <c r="W714" s="1422">
        <f ca="1">IF(LEFT(W$6,4)&lt;=LEFT('RFM input'!$G$60,4),"enter input",IF(LEFT(W$6,4)&gt;LEFT('RFM input'!$Q$60,4),0,
IF(W$6=(OFFSET('RFM input'!$G$60,0,'RFM input'!$V$7)),OFFSET('RFM input'!$J$411,$A711,0),0)))</f>
        <v>0</v>
      </c>
      <c r="X714" s="152"/>
      <c r="Y714" s="152"/>
      <c r="Z714" s="152"/>
      <c r="AA714" s="152"/>
      <c r="AB714" s="152"/>
    </row>
    <row r="715" spans="1:28" hidden="1" outlineLevel="1">
      <c r="A715" s="235">
        <v>-1</v>
      </c>
      <c r="B715" s="190" t="s">
        <v>195</v>
      </c>
      <c r="C715" s="1423"/>
      <c r="D715" s="1423">
        <f t="shared" ref="D715" ca="1" si="992">IF(AND(D713=0,C715=0),0,
IF(AND(D713&lt;&gt;0,C715=0),D713,
IF(AND(D714&lt;&gt;0,C715&lt;&gt;0),(C715-(C715/C739))+D713,
IF(C739&lt;1,0,(C715-(C715/C739))))))</f>
        <v>0</v>
      </c>
      <c r="E715" s="1423">
        <f t="shared" ref="E715" ca="1" si="993">IF(AND(E713=0,D715=0),0,
IF(AND(E713&lt;&gt;0,D715=0),E713,
IF(AND(E714&lt;&gt;0,D715&lt;&gt;0),(D715-(D715/D739))+E713,
IF(D739&lt;1,0,(D715-(D715/D739))))))</f>
        <v>0</v>
      </c>
      <c r="F715" s="1423">
        <f t="shared" ref="F715" ca="1" si="994">IF(AND(F713=0,E715=0),0,
IF(AND(F713&lt;&gt;0,E715=0),F713,
IF(AND(F714&lt;&gt;0,E715&lt;&gt;0),(E715-(E715/E739))+F713,
IF(E739&lt;1,0,(E715-(E715/E739))))))</f>
        <v>0</v>
      </c>
      <c r="G715" s="1423">
        <f t="shared" ref="G715" ca="1" si="995">IF(AND(G713=0,F715=0),0,
IF(AND(G713&lt;&gt;0,F715=0),G713,
IF(AND(G714&lt;&gt;0,F715&lt;&gt;0),(F715-(F715/F739))+G713,
IF(F739&lt;1,0,(F715-(F715/F739))))))</f>
        <v>0</v>
      </c>
      <c r="H715" s="1423">
        <f ca="1">IF(AND(H713=0,G715=0),0,
IF(AND(H713&lt;&gt;0,G715=0),H713,
IF(AND(H714&lt;&gt;0,G715&lt;&gt;0),(G715-(G715/G739))+H713,
IF(G739&lt;1,0,(G715-(G715/G739))))))</f>
        <v>0</v>
      </c>
      <c r="I715" s="1423">
        <f t="shared" ref="I715" ca="1" si="996">IF(AND(I713=0,H715=0),0,
IF(AND(I713&lt;&gt;0,H715=0),I713,
IF(AND(I714&lt;&gt;0,H715&lt;&gt;0),(H715-(H715/H739))+I713,
IF(H739&lt;1,0,(H715-(H715/H739))))))</f>
        <v>0</v>
      </c>
      <c r="J715" s="1423">
        <f t="shared" ref="J715" ca="1" si="997">IF(AND(J713=0,I715=0),0,
IF(AND(J713&lt;&gt;0,I715=0),J713,
IF(AND(J714&lt;&gt;0,I715&lt;&gt;0),(I715-(I715/I739))+J713,
IF(I739&lt;1,0,(I715-(I715/I739))))))</f>
        <v>0</v>
      </c>
      <c r="K715" s="1423">
        <f t="shared" ref="K715" ca="1" si="998">IF(AND(K713=0,J715=0),0,
IF(AND(K713&lt;&gt;0,J715=0),K713,
IF(AND(K714&lt;&gt;0,J715&lt;&gt;0),(J715-(J715/J739))+K713,
IF(J739&lt;1,0,(J715-(J715/J739))))))</f>
        <v>0</v>
      </c>
      <c r="L715" s="1423">
        <f t="shared" ref="L715" ca="1" si="999">IF(AND(L713=0,K715=0),0,
IF(AND(L713&lt;&gt;0,K715=0),L713,
IF(AND(L714&lt;&gt;0,K715&lt;&gt;0),(K715-(K715/K739))+L713,
IF(K739&lt;1,0,(K715-(K715/K739))))))</f>
        <v>0</v>
      </c>
      <c r="M715" s="1423">
        <f t="shared" ref="M715" ca="1" si="1000">IF(AND(M713=0,L715=0),0,
IF(AND(M713&lt;&gt;0,L715=0),M713,
IF(AND(M714&lt;&gt;0,L715&lt;&gt;0),(L715-(L715/L739))+M713,
IF(L739&lt;1,0,(L715-(L715/L739))))))</f>
        <v>0</v>
      </c>
      <c r="N715" s="1423">
        <f t="shared" ref="N715" ca="1" si="1001">IF(AND(N713=0,M715=0),0,
IF(AND(N713&lt;&gt;0,M715=0),N713,
IF(AND(N714&lt;&gt;0,M715&lt;&gt;0),(M715-(M715/M739))+N713,
IF(M739&lt;1,0,(M715-(M715/M739))))))</f>
        <v>0</v>
      </c>
      <c r="O715" s="1423">
        <f t="shared" ref="O715" ca="1" si="1002">IF(AND(O713=0,N715=0),0,
IF(AND(O713&lt;&gt;0,N715=0),O713,
IF(AND(O714&lt;&gt;0,N715&lt;&gt;0),(N715-(N715/N739))+O713,
IF(N739&lt;1,0,(N715-(N715/N739))))))</f>
        <v>0</v>
      </c>
      <c r="P715" s="1423">
        <f t="shared" ref="P715" ca="1" si="1003">IF(AND(P713=0,O715=0),0,
IF(AND(P713&lt;&gt;0,O715=0),P713,
IF(AND(P714&lt;&gt;0,O715&lt;&gt;0),(O715-(O715/O739))+P713,
IF(O739&lt;1,0,(O715-(O715/O739))))))</f>
        <v>0</v>
      </c>
      <c r="Q715" s="1423">
        <f t="shared" ref="Q715" ca="1" si="1004">IF(AND(Q713=0,P715=0),0,
IF(AND(Q713&lt;&gt;0,P715=0),Q713,
IF(AND(Q714&lt;&gt;0,P715&lt;&gt;0),(P715-(P715/P739))+Q713,
IF(P739&lt;1,0,(P715-(P715/P739))))))</f>
        <v>0</v>
      </c>
      <c r="R715" s="1423">
        <f t="shared" ref="R715" ca="1" si="1005">IF(AND(R713=0,Q715=0),0,
IF(AND(R713&lt;&gt;0,Q715=0),R713,
IF(AND(R714&lt;&gt;0,Q715&lt;&gt;0),(Q715-(Q715/Q739))+R713,
IF(Q739&lt;1,0,(Q715-(Q715/Q739))))))</f>
        <v>0</v>
      </c>
      <c r="S715" s="1423">
        <f t="shared" ref="S715" ca="1" si="1006">IF(AND(S713=0,R715=0),0,
IF(AND(S713&lt;&gt;0,R715=0),S713,
IF(AND(S714&lt;&gt;0,R715&lt;&gt;0),(R715-(R715/R739))+S713,
IF(R739&lt;1,0,(R715-(R715/R739))))))</f>
        <v>0</v>
      </c>
      <c r="T715" s="1423">
        <f t="shared" ref="T715" ca="1" si="1007">IF(AND(T713=0,S715=0),0,
IF(AND(T713&lt;&gt;0,S715=0),T713,
IF(AND(T714&lt;&gt;0,S715&lt;&gt;0),(S715-(S715/S739))+T713,
IF(S739&lt;1,0,(S715-(S715/S739))))))</f>
        <v>0</v>
      </c>
      <c r="U715" s="1423">
        <f t="shared" ref="U715" ca="1" si="1008">IF(AND(U713=0,T715=0),0,
IF(AND(U713&lt;&gt;0,T715=0),U713,
IF(AND(U714&lt;&gt;0,T715&lt;&gt;0),(T715-(T715/T739))+U713,
IF(T739&lt;1,0,(T715-(T715/T739))))))</f>
        <v>0</v>
      </c>
      <c r="V715" s="1423">
        <f t="shared" ref="V715" ca="1" si="1009">IF(AND(V713=0,U715=0),0,
IF(AND(V713&lt;&gt;0,U715=0),V713,
IF(AND(V714&lt;&gt;0,U715&lt;&gt;0),(U715-(U715/U739))+V713,
IF(U739&lt;1,0,(U715-(U715/U739))))))</f>
        <v>0</v>
      </c>
      <c r="W715" s="1423">
        <f t="shared" ref="W715" ca="1" si="1010">IF(AND(W713=0,V715=0),0,
IF(AND(W713&lt;&gt;0,V715=0),W713,
IF(AND(W714&lt;&gt;0,V715&lt;&gt;0),(V715-(V715/V739))+W713,
IF(V739&lt;1,0,(V715-(V715/V739))))))</f>
        <v>0</v>
      </c>
      <c r="X715" s="152"/>
      <c r="Y715" s="152"/>
      <c r="Z715" s="152"/>
      <c r="AA715" s="152"/>
      <c r="AB715" s="152"/>
    </row>
    <row r="716" spans="1:28" hidden="1" outlineLevel="1">
      <c r="A716" s="199">
        <f>A715+1</f>
        <v>0</v>
      </c>
      <c r="B716" s="190" t="s">
        <v>527</v>
      </c>
      <c r="C716" s="1423">
        <f ca="1">C711</f>
        <v>0</v>
      </c>
      <c r="D716" s="1423">
        <f ca="1">IF(C740="n/a",C716,IFERROR(IF((OFFSET($C716,0,$A716))&lt;0,
MIN(0,C716-(OFFSET($C716,0,$A716)/(OFFSET($C711,-$A715,$A716)))),
MAX(0,C716-(OFFSET($C716,0,$A716)/(OFFSET($C711,-$A715,$A716))))),0))</f>
        <v>0</v>
      </c>
      <c r="E716" s="1423">
        <f t="shared" ref="E716" ca="1" si="1011">IF(D740="n/a",D716,IFERROR(IF((OFFSET($C716,0,$A716))&lt;0,
MIN(0,D716-(OFFSET($C716,0,$A716)/(OFFSET($C711,-$A715,$A716)))),
MAX(0,D716-(OFFSET($C716,0,$A716)/(OFFSET($C711,-$A715,$A716))))),0))</f>
        <v>0</v>
      </c>
      <c r="F716" s="1423">
        <f t="shared" ref="F716:F717" ca="1" si="1012">IF(E740="n/a",E716,IFERROR(IF((OFFSET($C716,0,$A716))&lt;0,
MIN(0,E716-(OFFSET($C716,0,$A716)/(OFFSET($C711,-$A715,$A716)))),
MAX(0,E716-(OFFSET($C716,0,$A716)/(OFFSET($C711,-$A715,$A716))))),0))</f>
        <v>0</v>
      </c>
      <c r="G716" s="1423">
        <f t="shared" ref="G716:G718" ca="1" si="1013">IF(F740="n/a",F716,IFERROR(IF((OFFSET($C716,0,$A716))&lt;0,
MIN(0,F716-(OFFSET($C716,0,$A716)/(OFFSET($C711,-$A715,$A716)))),
MAX(0,F716-(OFFSET($C716,0,$A716)/(OFFSET($C711,-$A715,$A716))))),0))</f>
        <v>0</v>
      </c>
      <c r="H716" s="1423">
        <f t="shared" ref="H716:H719" ca="1" si="1014">IF(G740="n/a",G716,IFERROR(IF((OFFSET($C716,0,$A716))&lt;0,
MIN(0,G716-(OFFSET($C716,0,$A716)/(OFFSET($C711,-$A715,$A716)))),
MAX(0,G716-(OFFSET($C716,0,$A716)/(OFFSET($C711,-$A715,$A716))))),0))</f>
        <v>0</v>
      </c>
      <c r="I716" s="1423">
        <f t="shared" ref="I716:I720" ca="1" si="1015">IF(H740="n/a",H716,IFERROR(IF((OFFSET($C716,0,$A716))&lt;0,
MIN(0,H716-(OFFSET($C716,0,$A716)/(OFFSET($C711,-$A715,$A716)))),
MAX(0,H716-(OFFSET($C716,0,$A716)/(OFFSET($C711,-$A715,$A716))))),0))</f>
        <v>0</v>
      </c>
      <c r="J716" s="1423">
        <f t="shared" ref="J716:J721" ca="1" si="1016">IF(I740="n/a",I716,IFERROR(IF((OFFSET($C716,0,$A716))&lt;0,
MIN(0,I716-(OFFSET($C716,0,$A716)/(OFFSET($C711,-$A715,$A716)))),
MAX(0,I716-(OFFSET($C716,0,$A716)/(OFFSET($C711,-$A715,$A716))))),0))</f>
        <v>0</v>
      </c>
      <c r="K716" s="1423">
        <f t="shared" ref="K716:K722" ca="1" si="1017">IF(J740="n/a",J716,IFERROR(IF((OFFSET($C716,0,$A716))&lt;0,
MIN(0,J716-(OFFSET($C716,0,$A716)/(OFFSET($C711,-$A715,$A716)))),
MAX(0,J716-(OFFSET($C716,0,$A716)/(OFFSET($C711,-$A715,$A716))))),0))</f>
        <v>0</v>
      </c>
      <c r="L716" s="1423">
        <f t="shared" ref="L716:L723" ca="1" si="1018">IF(K740="n/a",K716,IFERROR(IF((OFFSET($C716,0,$A716))&lt;0,
MIN(0,K716-(OFFSET($C716,0,$A716)/(OFFSET($C711,-$A715,$A716)))),
MAX(0,K716-(OFFSET($C716,0,$A716)/(OFFSET($C711,-$A715,$A716))))),0))</f>
        <v>0</v>
      </c>
      <c r="M716" s="1423">
        <f t="shared" ref="M716:M724" ca="1" si="1019">IF(L740="n/a",L716,IFERROR(IF((OFFSET($C716,0,$A716))&lt;0,
MIN(0,L716-(OFFSET($C716,0,$A716)/(OFFSET($C711,-$A715,$A716)))),
MAX(0,L716-(OFFSET($C716,0,$A716)/(OFFSET($C711,-$A715,$A716))))),0))</f>
        <v>0</v>
      </c>
      <c r="N716" s="1423">
        <f t="shared" ref="N716:N725" ca="1" si="1020">IF(M740="n/a",M716,IFERROR(IF((OFFSET($C716,0,$A716))&lt;0,
MIN(0,M716-(OFFSET($C716,0,$A716)/(OFFSET($C711,-$A715,$A716)))),
MAX(0,M716-(OFFSET($C716,0,$A716)/(OFFSET($C711,-$A715,$A716))))),0))</f>
        <v>0</v>
      </c>
      <c r="O716" s="1423">
        <f t="shared" ref="O716:O726" ca="1" si="1021">IF(N740="n/a",N716,IFERROR(IF((OFFSET($C716,0,$A716))&lt;0,
MIN(0,N716-(OFFSET($C716,0,$A716)/(OFFSET($C711,-$A715,$A716)))),
MAX(0,N716-(OFFSET($C716,0,$A716)/(OFFSET($C711,-$A715,$A716))))),0))</f>
        <v>0</v>
      </c>
      <c r="P716" s="1423">
        <f t="shared" ref="P716:P727" ca="1" si="1022">IF(O740="n/a",O716,IFERROR(IF((OFFSET($C716,0,$A716))&lt;0,
MIN(0,O716-(OFFSET($C716,0,$A716)/(OFFSET($C711,-$A715,$A716)))),
MAX(0,O716-(OFFSET($C716,0,$A716)/(OFFSET($C711,-$A715,$A716))))),0))</f>
        <v>0</v>
      </c>
      <c r="Q716" s="1423">
        <f t="shared" ref="Q716:Q728" ca="1" si="1023">IF(P740="n/a",P716,IFERROR(IF((OFFSET($C716,0,$A716))&lt;0,
MIN(0,P716-(OFFSET($C716,0,$A716)/(OFFSET($C711,-$A715,$A716)))),
MAX(0,P716-(OFFSET($C716,0,$A716)/(OFFSET($C711,-$A715,$A716))))),0))</f>
        <v>0</v>
      </c>
      <c r="R716" s="1423">
        <f t="shared" ref="R716:R729" ca="1" si="1024">IF(Q740="n/a",Q716,IFERROR(IF((OFFSET($C716,0,$A716))&lt;0,
MIN(0,Q716-(OFFSET($C716,0,$A716)/(OFFSET($C711,-$A715,$A716)))),
MAX(0,Q716-(OFFSET($C716,0,$A716)/(OFFSET($C711,-$A715,$A716))))),0))</f>
        <v>0</v>
      </c>
      <c r="S716" s="1423">
        <f t="shared" ref="S716:S730" ca="1" si="1025">IF(R740="n/a",R716,IFERROR(IF((OFFSET($C716,0,$A716))&lt;0,
MIN(0,R716-(OFFSET($C716,0,$A716)/(OFFSET($C711,-$A715,$A716)))),
MAX(0,R716-(OFFSET($C716,0,$A716)/(OFFSET($C711,-$A715,$A716))))),0))</f>
        <v>0</v>
      </c>
      <c r="T716" s="1423">
        <f t="shared" ref="T716:T731" ca="1" si="1026">IF(S740="n/a",S716,IFERROR(IF((OFFSET($C716,0,$A716))&lt;0,
MIN(0,S716-(OFFSET($C716,0,$A716)/(OFFSET($C711,-$A715,$A716)))),
MAX(0,S716-(OFFSET($C716,0,$A716)/(OFFSET($C711,-$A715,$A716))))),0))</f>
        <v>0</v>
      </c>
      <c r="U716" s="1423">
        <f t="shared" ref="U716:U732" ca="1" si="1027">IF(T740="n/a",T716,IFERROR(IF((OFFSET($C716,0,$A716))&lt;0,
MIN(0,T716-(OFFSET($C716,0,$A716)/(OFFSET($C711,-$A715,$A716)))),
MAX(0,T716-(OFFSET($C716,0,$A716)/(OFFSET($C711,-$A715,$A716))))),0))</f>
        <v>0</v>
      </c>
      <c r="V716" s="1423">
        <f t="shared" ref="V716:V733" ca="1" si="1028">IF(U740="n/a",U716,IFERROR(IF((OFFSET($C716,0,$A716))&lt;0,
MIN(0,U716-(OFFSET($C716,0,$A716)/(OFFSET($C711,-$A715,$A716)))),
MAX(0,U716-(OFFSET($C716,0,$A716)/(OFFSET($C711,-$A715,$A716))))),0))</f>
        <v>0</v>
      </c>
      <c r="W716" s="1423">
        <f t="shared" ref="W716:W734" ca="1" si="1029">IF(V740="n/a",V716,IFERROR(IF((OFFSET($C716,0,$A716))&lt;0,
MIN(0,V716-(OFFSET($C716,0,$A716)/(OFFSET($C711,-$A715,$A716)))),
MAX(0,V716-(OFFSET($C716,0,$A716)/(OFFSET($C711,-$A715,$A716))))),0))</f>
        <v>0</v>
      </c>
      <c r="X716" s="152"/>
      <c r="Y716" s="152"/>
      <c r="Z716" s="152"/>
      <c r="AA716" s="152"/>
      <c r="AB716" s="152"/>
    </row>
    <row r="717" spans="1:28" hidden="1" outlineLevel="1">
      <c r="A717" s="199">
        <f t="shared" ref="A717:A736" si="1030">A716+1</f>
        <v>1</v>
      </c>
      <c r="B717" s="190" t="str">
        <f t="shared" ref="B717:B736" ca="1" si="1031">"Depreciated Net Capex "&amp;OFFSET($C$6,0,A717)</f>
        <v>Depreciated Net Capex 2016-17</v>
      </c>
      <c r="C717" s="1424"/>
      <c r="D717" s="1425">
        <f>D711</f>
        <v>0</v>
      </c>
      <c r="E717" s="1423">
        <f ca="1">IF(D741="n/a",D717,IFERROR(IF((OFFSET($C717,0,$A717))&lt;0,
MIN(0,D717-(OFFSET($C717,0,$A717)/(OFFSET($C712,-$A716,$A717)))),
MAX(0,D717-(OFFSET($C717,0,$A717)/(OFFSET($C712,-$A716,$A717))))),0))</f>
        <v>0</v>
      </c>
      <c r="F717" s="1423">
        <f t="shared" ca="1" si="1012"/>
        <v>0</v>
      </c>
      <c r="G717" s="1423">
        <f t="shared" ca="1" si="1013"/>
        <v>0</v>
      </c>
      <c r="H717" s="1423">
        <f t="shared" ca="1" si="1014"/>
        <v>0</v>
      </c>
      <c r="I717" s="1423">
        <f t="shared" ca="1" si="1015"/>
        <v>0</v>
      </c>
      <c r="J717" s="1423">
        <f t="shared" ca="1" si="1016"/>
        <v>0</v>
      </c>
      <c r="K717" s="1423">
        <f t="shared" ca="1" si="1017"/>
        <v>0</v>
      </c>
      <c r="L717" s="1423">
        <f t="shared" ca="1" si="1018"/>
        <v>0</v>
      </c>
      <c r="M717" s="1423">
        <f t="shared" ca="1" si="1019"/>
        <v>0</v>
      </c>
      <c r="N717" s="1423">
        <f t="shared" ca="1" si="1020"/>
        <v>0</v>
      </c>
      <c r="O717" s="1423">
        <f t="shared" ca="1" si="1021"/>
        <v>0</v>
      </c>
      <c r="P717" s="1423">
        <f t="shared" ca="1" si="1022"/>
        <v>0</v>
      </c>
      <c r="Q717" s="1423">
        <f t="shared" ca="1" si="1023"/>
        <v>0</v>
      </c>
      <c r="R717" s="1423">
        <f t="shared" ca="1" si="1024"/>
        <v>0</v>
      </c>
      <c r="S717" s="1423">
        <f t="shared" ca="1" si="1025"/>
        <v>0</v>
      </c>
      <c r="T717" s="1423">
        <f t="shared" ca="1" si="1026"/>
        <v>0</v>
      </c>
      <c r="U717" s="1423">
        <f t="shared" ca="1" si="1027"/>
        <v>0</v>
      </c>
      <c r="V717" s="1423">
        <f t="shared" ca="1" si="1028"/>
        <v>0</v>
      </c>
      <c r="W717" s="1423">
        <f t="shared" ca="1" si="1029"/>
        <v>0</v>
      </c>
      <c r="X717" s="152"/>
      <c r="Y717" s="152"/>
      <c r="Z717" s="152"/>
      <c r="AA717" s="152"/>
      <c r="AB717" s="152"/>
    </row>
    <row r="718" spans="1:28" hidden="1" outlineLevel="1">
      <c r="A718" s="199">
        <f t="shared" si="1030"/>
        <v>2</v>
      </c>
      <c r="B718" s="190" t="str">
        <f t="shared" ca="1" si="1031"/>
        <v>Depreciated Net Capex 2017-18</v>
      </c>
      <c r="C718" s="1426"/>
      <c r="D718" s="1427"/>
      <c r="E718" s="1425">
        <f>E711</f>
        <v>0</v>
      </c>
      <c r="F718" s="1423">
        <f ca="1">IF(E742="n/a",E718,IFERROR(IF((OFFSET($C718,0,$A718))&lt;0,
MIN(0,E718-(OFFSET($C718,0,$A718)/(OFFSET($C713,-$A717,$A718)))),
MAX(0,E718-(OFFSET($C718,0,$A718)/(OFFSET($C713,-$A717,$A718))))),0))</f>
        <v>0</v>
      </c>
      <c r="G718" s="1423">
        <f t="shared" ca="1" si="1013"/>
        <v>0</v>
      </c>
      <c r="H718" s="1423">
        <f t="shared" ca="1" si="1014"/>
        <v>0</v>
      </c>
      <c r="I718" s="1423">
        <f t="shared" ca="1" si="1015"/>
        <v>0</v>
      </c>
      <c r="J718" s="1423">
        <f t="shared" ca="1" si="1016"/>
        <v>0</v>
      </c>
      <c r="K718" s="1423">
        <f t="shared" ca="1" si="1017"/>
        <v>0</v>
      </c>
      <c r="L718" s="1423">
        <f t="shared" ca="1" si="1018"/>
        <v>0</v>
      </c>
      <c r="M718" s="1423">
        <f t="shared" ca="1" si="1019"/>
        <v>0</v>
      </c>
      <c r="N718" s="1423">
        <f t="shared" ca="1" si="1020"/>
        <v>0</v>
      </c>
      <c r="O718" s="1423">
        <f t="shared" ca="1" si="1021"/>
        <v>0</v>
      </c>
      <c r="P718" s="1423">
        <f t="shared" ca="1" si="1022"/>
        <v>0</v>
      </c>
      <c r="Q718" s="1423">
        <f t="shared" ca="1" si="1023"/>
        <v>0</v>
      </c>
      <c r="R718" s="1423">
        <f t="shared" ca="1" si="1024"/>
        <v>0</v>
      </c>
      <c r="S718" s="1423">
        <f t="shared" ca="1" si="1025"/>
        <v>0</v>
      </c>
      <c r="T718" s="1423">
        <f t="shared" ca="1" si="1026"/>
        <v>0</v>
      </c>
      <c r="U718" s="1423">
        <f t="shared" ca="1" si="1027"/>
        <v>0</v>
      </c>
      <c r="V718" s="1423">
        <f t="shared" ca="1" si="1028"/>
        <v>0</v>
      </c>
      <c r="W718" s="1423">
        <f t="shared" ca="1" si="1029"/>
        <v>0</v>
      </c>
      <c r="X718" s="202"/>
      <c r="Y718" s="152"/>
      <c r="Z718" s="152"/>
      <c r="AA718" s="152"/>
      <c r="AB718" s="152"/>
    </row>
    <row r="719" spans="1:28" hidden="1" outlineLevel="1">
      <c r="A719" s="199">
        <f t="shared" si="1030"/>
        <v>3</v>
      </c>
      <c r="B719" s="190" t="str">
        <f t="shared" ca="1" si="1031"/>
        <v>Depreciated Net Capex 2018-19</v>
      </c>
      <c r="C719" s="1426"/>
      <c r="D719" s="1426"/>
      <c r="E719" s="1427"/>
      <c r="F719" s="1428">
        <f>F711</f>
        <v>0</v>
      </c>
      <c r="G719" s="1423">
        <f ca="1">IF(F743="n/a",F719,IFERROR(IF((OFFSET($C719,0,$A719))&lt;0,
MIN(0,F719-(OFFSET($C719,0,$A719)/(OFFSET($C714,-$A718,$A719)))),
MAX(0,F719-(OFFSET($C719,0,$A719)/(OFFSET($C714,-$A718,$A719))))),0))</f>
        <v>0</v>
      </c>
      <c r="H719" s="1423">
        <f t="shared" ca="1" si="1014"/>
        <v>0</v>
      </c>
      <c r="I719" s="1423">
        <f t="shared" ca="1" si="1015"/>
        <v>0</v>
      </c>
      <c r="J719" s="1423">
        <f t="shared" ca="1" si="1016"/>
        <v>0</v>
      </c>
      <c r="K719" s="1423">
        <f t="shared" ca="1" si="1017"/>
        <v>0</v>
      </c>
      <c r="L719" s="1423">
        <f t="shared" ca="1" si="1018"/>
        <v>0</v>
      </c>
      <c r="M719" s="1423">
        <f t="shared" ca="1" si="1019"/>
        <v>0</v>
      </c>
      <c r="N719" s="1423">
        <f t="shared" ca="1" si="1020"/>
        <v>0</v>
      </c>
      <c r="O719" s="1423">
        <f t="shared" ca="1" si="1021"/>
        <v>0</v>
      </c>
      <c r="P719" s="1423">
        <f t="shared" ca="1" si="1022"/>
        <v>0</v>
      </c>
      <c r="Q719" s="1423">
        <f t="shared" ca="1" si="1023"/>
        <v>0</v>
      </c>
      <c r="R719" s="1423">
        <f t="shared" ca="1" si="1024"/>
        <v>0</v>
      </c>
      <c r="S719" s="1423">
        <f t="shared" ca="1" si="1025"/>
        <v>0</v>
      </c>
      <c r="T719" s="1423">
        <f t="shared" ca="1" si="1026"/>
        <v>0</v>
      </c>
      <c r="U719" s="1423">
        <f t="shared" ca="1" si="1027"/>
        <v>0</v>
      </c>
      <c r="V719" s="1423">
        <f t="shared" ca="1" si="1028"/>
        <v>0</v>
      </c>
      <c r="W719" s="1423">
        <f t="shared" ca="1" si="1029"/>
        <v>0</v>
      </c>
      <c r="X719" s="202"/>
      <c r="Y719" s="202"/>
      <c r="Z719" s="152"/>
      <c r="AA719" s="152"/>
      <c r="AB719" s="152"/>
    </row>
    <row r="720" spans="1:28" hidden="1" outlineLevel="1">
      <c r="A720" s="199">
        <f t="shared" si="1030"/>
        <v>4</v>
      </c>
      <c r="B720" s="190" t="str">
        <f t="shared" ca="1" si="1031"/>
        <v>Depreciated Net Capex 2019-20</v>
      </c>
      <c r="C720" s="1426"/>
      <c r="D720" s="1426"/>
      <c r="E720" s="1426"/>
      <c r="F720" s="1427"/>
      <c r="G720" s="1428">
        <f>G711</f>
        <v>0</v>
      </c>
      <c r="H720" s="1423">
        <f ca="1">IF(G744="n/a",G720,IFERROR(IF((OFFSET($C720,0,$A720))&lt;0,
MIN(0,G720-(OFFSET($C720,0,$A720)/(OFFSET($C715,-$A719,$A720)))),
MAX(0,G720-(OFFSET($C720,0,$A720)/(OFFSET($C715,-$A719,$A720))))),0))</f>
        <v>0</v>
      </c>
      <c r="I720" s="1423">
        <f t="shared" ca="1" si="1015"/>
        <v>0</v>
      </c>
      <c r="J720" s="1423">
        <f t="shared" ca="1" si="1016"/>
        <v>0</v>
      </c>
      <c r="K720" s="1423">
        <f t="shared" ca="1" si="1017"/>
        <v>0</v>
      </c>
      <c r="L720" s="1423">
        <f t="shared" ca="1" si="1018"/>
        <v>0</v>
      </c>
      <c r="M720" s="1423">
        <f t="shared" ca="1" si="1019"/>
        <v>0</v>
      </c>
      <c r="N720" s="1423">
        <f t="shared" ca="1" si="1020"/>
        <v>0</v>
      </c>
      <c r="O720" s="1423">
        <f t="shared" ca="1" si="1021"/>
        <v>0</v>
      </c>
      <c r="P720" s="1423">
        <f t="shared" ca="1" si="1022"/>
        <v>0</v>
      </c>
      <c r="Q720" s="1423">
        <f t="shared" ca="1" si="1023"/>
        <v>0</v>
      </c>
      <c r="R720" s="1423">
        <f t="shared" ca="1" si="1024"/>
        <v>0</v>
      </c>
      <c r="S720" s="1423">
        <f t="shared" ca="1" si="1025"/>
        <v>0</v>
      </c>
      <c r="T720" s="1423">
        <f t="shared" ca="1" si="1026"/>
        <v>0</v>
      </c>
      <c r="U720" s="1423">
        <f t="shared" ca="1" si="1027"/>
        <v>0</v>
      </c>
      <c r="V720" s="1423">
        <f t="shared" ca="1" si="1028"/>
        <v>0</v>
      </c>
      <c r="W720" s="1423">
        <f t="shared" ca="1" si="1029"/>
        <v>0</v>
      </c>
      <c r="X720" s="202"/>
      <c r="Y720" s="202"/>
      <c r="Z720" s="202"/>
      <c r="AA720" s="152"/>
      <c r="AB720" s="152"/>
    </row>
    <row r="721" spans="1:28" hidden="1" outlineLevel="1">
      <c r="A721" s="199">
        <f t="shared" si="1030"/>
        <v>5</v>
      </c>
      <c r="B721" s="190" t="str">
        <f t="shared" ca="1" si="1031"/>
        <v>Depreciated Net Capex 2020-21</v>
      </c>
      <c r="C721" s="1426"/>
      <c r="D721" s="1426"/>
      <c r="E721" s="1426"/>
      <c r="F721" s="1426"/>
      <c r="G721" s="1427"/>
      <c r="H721" s="1428">
        <f>H711</f>
        <v>0</v>
      </c>
      <c r="I721" s="1423">
        <f ca="1">IF(H745="n/a",H721,IFERROR(IF((OFFSET($C721,0,$A721))&lt;0,
MIN(0,H721-(OFFSET($C721,0,$A721)/(OFFSET($C716,-$A720,$A721)))),
MAX(0,H721-(OFFSET($C721,0,$A721)/(OFFSET($C716,-$A720,$A721))))),0))</f>
        <v>0</v>
      </c>
      <c r="J721" s="1423">
        <f t="shared" ca="1" si="1016"/>
        <v>0</v>
      </c>
      <c r="K721" s="1423">
        <f t="shared" ca="1" si="1017"/>
        <v>0</v>
      </c>
      <c r="L721" s="1423">
        <f t="shared" ca="1" si="1018"/>
        <v>0</v>
      </c>
      <c r="M721" s="1423">
        <f t="shared" ca="1" si="1019"/>
        <v>0</v>
      </c>
      <c r="N721" s="1423">
        <f t="shared" ca="1" si="1020"/>
        <v>0</v>
      </c>
      <c r="O721" s="1423">
        <f t="shared" ca="1" si="1021"/>
        <v>0</v>
      </c>
      <c r="P721" s="1423">
        <f t="shared" ca="1" si="1022"/>
        <v>0</v>
      </c>
      <c r="Q721" s="1423">
        <f t="shared" ca="1" si="1023"/>
        <v>0</v>
      </c>
      <c r="R721" s="1423">
        <f t="shared" ca="1" si="1024"/>
        <v>0</v>
      </c>
      <c r="S721" s="1423">
        <f t="shared" ca="1" si="1025"/>
        <v>0</v>
      </c>
      <c r="T721" s="1423">
        <f t="shared" ca="1" si="1026"/>
        <v>0</v>
      </c>
      <c r="U721" s="1423">
        <f t="shared" ca="1" si="1027"/>
        <v>0</v>
      </c>
      <c r="V721" s="1423">
        <f t="shared" ca="1" si="1028"/>
        <v>0</v>
      </c>
      <c r="W721" s="1423">
        <f t="shared" ca="1" si="1029"/>
        <v>0</v>
      </c>
      <c r="X721" s="202"/>
      <c r="Y721" s="202"/>
      <c r="Z721" s="202"/>
      <c r="AA721" s="152"/>
      <c r="AB721" s="152"/>
    </row>
    <row r="722" spans="1:28" hidden="1" outlineLevel="1">
      <c r="A722" s="199">
        <f t="shared" si="1030"/>
        <v>6</v>
      </c>
      <c r="B722" s="190" t="str">
        <f t="shared" ca="1" si="1031"/>
        <v>Depreciated Net Capex 2021-22</v>
      </c>
      <c r="C722" s="1426"/>
      <c r="D722" s="1426"/>
      <c r="E722" s="1426"/>
      <c r="F722" s="1426"/>
      <c r="G722" s="1426"/>
      <c r="H722" s="1427"/>
      <c r="I722" s="1428">
        <f>I711</f>
        <v>0</v>
      </c>
      <c r="J722" s="1423">
        <f ca="1">IF(I746="n/a",I722,IFERROR(IF((OFFSET($C722,0,$A722))&lt;0,
MIN(0,I722-(OFFSET($C722,0,$A722)/(OFFSET($C717,-$A721,$A722)))),
MAX(0,I722-(OFFSET($C722,0,$A722)/(OFFSET($C717,-$A721,$A722))))),0))</f>
        <v>0</v>
      </c>
      <c r="K722" s="1423">
        <f t="shared" ca="1" si="1017"/>
        <v>0</v>
      </c>
      <c r="L722" s="1423">
        <f t="shared" ca="1" si="1018"/>
        <v>0</v>
      </c>
      <c r="M722" s="1423">
        <f t="shared" ca="1" si="1019"/>
        <v>0</v>
      </c>
      <c r="N722" s="1423">
        <f t="shared" ca="1" si="1020"/>
        <v>0</v>
      </c>
      <c r="O722" s="1423">
        <f t="shared" ca="1" si="1021"/>
        <v>0</v>
      </c>
      <c r="P722" s="1423">
        <f t="shared" ca="1" si="1022"/>
        <v>0</v>
      </c>
      <c r="Q722" s="1423">
        <f t="shared" ca="1" si="1023"/>
        <v>0</v>
      </c>
      <c r="R722" s="1423">
        <f t="shared" ca="1" si="1024"/>
        <v>0</v>
      </c>
      <c r="S722" s="1423">
        <f t="shared" ca="1" si="1025"/>
        <v>0</v>
      </c>
      <c r="T722" s="1423">
        <f t="shared" ca="1" si="1026"/>
        <v>0</v>
      </c>
      <c r="U722" s="1423">
        <f t="shared" ca="1" si="1027"/>
        <v>0</v>
      </c>
      <c r="V722" s="1423">
        <f t="shared" ca="1" si="1028"/>
        <v>0</v>
      </c>
      <c r="W722" s="1423">
        <f t="shared" ca="1" si="1029"/>
        <v>0</v>
      </c>
      <c r="X722" s="202"/>
      <c r="Y722" s="202"/>
      <c r="Z722" s="202"/>
      <c r="AA722" s="152"/>
      <c r="AB722" s="152"/>
    </row>
    <row r="723" spans="1:28" hidden="1" outlineLevel="1">
      <c r="A723" s="199">
        <f t="shared" si="1030"/>
        <v>7</v>
      </c>
      <c r="B723" s="190" t="str">
        <f t="shared" ca="1" si="1031"/>
        <v>Depreciated Net Capex 2022-23</v>
      </c>
      <c r="C723" s="1426"/>
      <c r="D723" s="1426"/>
      <c r="E723" s="1426"/>
      <c r="F723" s="1426"/>
      <c r="G723" s="1426"/>
      <c r="H723" s="1426"/>
      <c r="I723" s="1427"/>
      <c r="J723" s="1428">
        <f>J711</f>
        <v>0</v>
      </c>
      <c r="K723" s="1423">
        <f ca="1">IF(J747="n/a",J723,IFERROR(IF((OFFSET($C723,0,$A723))&lt;0,
MIN(0,J723-(OFFSET($C723,0,$A723)/(OFFSET($C718,-$A722,$A723)))),
MAX(0,J723-(OFFSET($C723,0,$A723)/(OFFSET($C718,-$A722,$A723))))),0))</f>
        <v>0</v>
      </c>
      <c r="L723" s="1423">
        <f t="shared" ca="1" si="1018"/>
        <v>0</v>
      </c>
      <c r="M723" s="1423">
        <f t="shared" ca="1" si="1019"/>
        <v>0</v>
      </c>
      <c r="N723" s="1423">
        <f t="shared" ca="1" si="1020"/>
        <v>0</v>
      </c>
      <c r="O723" s="1423">
        <f t="shared" ca="1" si="1021"/>
        <v>0</v>
      </c>
      <c r="P723" s="1423">
        <f t="shared" ca="1" si="1022"/>
        <v>0</v>
      </c>
      <c r="Q723" s="1423">
        <f t="shared" ca="1" si="1023"/>
        <v>0</v>
      </c>
      <c r="R723" s="1423">
        <f t="shared" ca="1" si="1024"/>
        <v>0</v>
      </c>
      <c r="S723" s="1423">
        <f t="shared" ca="1" si="1025"/>
        <v>0</v>
      </c>
      <c r="T723" s="1423">
        <f t="shared" ca="1" si="1026"/>
        <v>0</v>
      </c>
      <c r="U723" s="1423">
        <f t="shared" ca="1" si="1027"/>
        <v>0</v>
      </c>
      <c r="V723" s="1423">
        <f t="shared" ca="1" si="1028"/>
        <v>0</v>
      </c>
      <c r="W723" s="1423">
        <f t="shared" ca="1" si="1029"/>
        <v>0</v>
      </c>
      <c r="X723" s="202"/>
      <c r="Y723" s="202"/>
      <c r="Z723" s="202"/>
      <c r="AA723" s="152"/>
      <c r="AB723" s="152"/>
    </row>
    <row r="724" spans="1:28" hidden="1" outlineLevel="1">
      <c r="A724" s="199">
        <f t="shared" si="1030"/>
        <v>8</v>
      </c>
      <c r="B724" s="190" t="str">
        <f t="shared" ca="1" si="1031"/>
        <v>Depreciated Net Capex 2023-24</v>
      </c>
      <c r="C724" s="1426"/>
      <c r="D724" s="1426"/>
      <c r="E724" s="1426"/>
      <c r="F724" s="1426"/>
      <c r="G724" s="1426"/>
      <c r="H724" s="1426"/>
      <c r="I724" s="1426"/>
      <c r="J724" s="1427"/>
      <c r="K724" s="1428">
        <f>K711</f>
        <v>0</v>
      </c>
      <c r="L724" s="1423">
        <f ca="1">IF(K748="n/a",K724,IFERROR(IF((OFFSET($C724,0,$A724))&lt;0,
MIN(0,K724-(OFFSET($C724,0,$A724)/(OFFSET($C719,-$A723,$A724)))),
MAX(0,K724-(OFFSET($C724,0,$A724)/(OFFSET($C719,-$A723,$A724))))),0))</f>
        <v>0</v>
      </c>
      <c r="M724" s="1423">
        <f t="shared" ca="1" si="1019"/>
        <v>0</v>
      </c>
      <c r="N724" s="1423">
        <f t="shared" ca="1" si="1020"/>
        <v>0</v>
      </c>
      <c r="O724" s="1423">
        <f t="shared" ca="1" si="1021"/>
        <v>0</v>
      </c>
      <c r="P724" s="1423">
        <f t="shared" ca="1" si="1022"/>
        <v>0</v>
      </c>
      <c r="Q724" s="1423">
        <f t="shared" ca="1" si="1023"/>
        <v>0</v>
      </c>
      <c r="R724" s="1423">
        <f t="shared" ca="1" si="1024"/>
        <v>0</v>
      </c>
      <c r="S724" s="1423">
        <f t="shared" ca="1" si="1025"/>
        <v>0</v>
      </c>
      <c r="T724" s="1423">
        <f t="shared" ca="1" si="1026"/>
        <v>0</v>
      </c>
      <c r="U724" s="1423">
        <f t="shared" ca="1" si="1027"/>
        <v>0</v>
      </c>
      <c r="V724" s="1423">
        <f t="shared" ca="1" si="1028"/>
        <v>0</v>
      </c>
      <c r="W724" s="1423">
        <f t="shared" ca="1" si="1029"/>
        <v>0</v>
      </c>
      <c r="X724" s="202"/>
      <c r="Y724" s="202"/>
      <c r="Z724" s="202"/>
      <c r="AA724" s="152"/>
      <c r="AB724" s="152"/>
    </row>
    <row r="725" spans="1:28" hidden="1" outlineLevel="1">
      <c r="A725" s="199">
        <f t="shared" si="1030"/>
        <v>9</v>
      </c>
      <c r="B725" s="190" t="str">
        <f t="shared" ca="1" si="1031"/>
        <v>Depreciated Net Capex 2024-25</v>
      </c>
      <c r="C725" s="1426"/>
      <c r="D725" s="1426"/>
      <c r="E725" s="1426"/>
      <c r="F725" s="1426"/>
      <c r="G725" s="1426"/>
      <c r="H725" s="1426"/>
      <c r="I725" s="1426"/>
      <c r="J725" s="1426"/>
      <c r="K725" s="1427"/>
      <c r="L725" s="1428">
        <f>L711</f>
        <v>0</v>
      </c>
      <c r="M725" s="1423">
        <f ca="1">IF(L749="n/a",L725,IFERROR(IF((OFFSET($C725,0,$A725))&lt;0,
MIN(0,L725-(OFFSET($C725,0,$A725)/(OFFSET($C720,-$A724,$A725)))),
MAX(0,L725-(OFFSET($C725,0,$A725)/(OFFSET($C720,-$A724,$A725))))),0))</f>
        <v>0</v>
      </c>
      <c r="N725" s="1423">
        <f t="shared" ca="1" si="1020"/>
        <v>0</v>
      </c>
      <c r="O725" s="1423">
        <f t="shared" ca="1" si="1021"/>
        <v>0</v>
      </c>
      <c r="P725" s="1423">
        <f t="shared" ca="1" si="1022"/>
        <v>0</v>
      </c>
      <c r="Q725" s="1423">
        <f t="shared" ca="1" si="1023"/>
        <v>0</v>
      </c>
      <c r="R725" s="1423">
        <f t="shared" ca="1" si="1024"/>
        <v>0</v>
      </c>
      <c r="S725" s="1423">
        <f t="shared" ca="1" si="1025"/>
        <v>0</v>
      </c>
      <c r="T725" s="1423">
        <f t="shared" ca="1" si="1026"/>
        <v>0</v>
      </c>
      <c r="U725" s="1423">
        <f t="shared" ca="1" si="1027"/>
        <v>0</v>
      </c>
      <c r="V725" s="1423">
        <f t="shared" ca="1" si="1028"/>
        <v>0</v>
      </c>
      <c r="W725" s="1423">
        <f t="shared" ca="1" si="1029"/>
        <v>0</v>
      </c>
      <c r="X725" s="202"/>
      <c r="Y725" s="202"/>
      <c r="Z725" s="202"/>
      <c r="AA725" s="152"/>
      <c r="AB725" s="152"/>
    </row>
    <row r="726" spans="1:28" hidden="1" outlineLevel="1">
      <c r="A726" s="199">
        <f t="shared" si="1030"/>
        <v>10</v>
      </c>
      <c r="B726" s="190" t="str">
        <f t="shared" ca="1" si="1031"/>
        <v>Depreciated Net Capex 2025-26</v>
      </c>
      <c r="C726" s="1426"/>
      <c r="D726" s="1426"/>
      <c r="E726" s="1426"/>
      <c r="F726" s="1426"/>
      <c r="G726" s="1426"/>
      <c r="H726" s="1426"/>
      <c r="I726" s="1426"/>
      <c r="J726" s="1426"/>
      <c r="K726" s="1426"/>
      <c r="L726" s="1427"/>
      <c r="M726" s="1428">
        <f>M711</f>
        <v>0</v>
      </c>
      <c r="N726" s="1423">
        <f ca="1">IF(M750="n/a",M726,IFERROR(IF((OFFSET($C726,0,$A726))&lt;0,
MIN(0,M726-(OFFSET($C726,0,$A726)/(OFFSET($C721,-$A725,$A726)))),
MAX(0,M726-(OFFSET($C726,0,$A726)/(OFFSET($C721,-$A725,$A726))))),0))</f>
        <v>0</v>
      </c>
      <c r="O726" s="1423">
        <f t="shared" ca="1" si="1021"/>
        <v>0</v>
      </c>
      <c r="P726" s="1423">
        <f t="shared" ca="1" si="1022"/>
        <v>0</v>
      </c>
      <c r="Q726" s="1423">
        <f t="shared" ca="1" si="1023"/>
        <v>0</v>
      </c>
      <c r="R726" s="1423">
        <f t="shared" ca="1" si="1024"/>
        <v>0</v>
      </c>
      <c r="S726" s="1423">
        <f t="shared" ca="1" si="1025"/>
        <v>0</v>
      </c>
      <c r="T726" s="1423">
        <f t="shared" ca="1" si="1026"/>
        <v>0</v>
      </c>
      <c r="U726" s="1423">
        <f t="shared" ca="1" si="1027"/>
        <v>0</v>
      </c>
      <c r="V726" s="1423">
        <f t="shared" ca="1" si="1028"/>
        <v>0</v>
      </c>
      <c r="W726" s="1423">
        <f t="shared" ca="1" si="1029"/>
        <v>0</v>
      </c>
      <c r="X726" s="202"/>
      <c r="Y726" s="202"/>
      <c r="Z726" s="202"/>
      <c r="AA726" s="152"/>
      <c r="AB726" s="152"/>
    </row>
    <row r="727" spans="1:28" hidden="1" outlineLevel="1">
      <c r="A727" s="199">
        <f t="shared" si="1030"/>
        <v>11</v>
      </c>
      <c r="B727" s="190" t="str">
        <f t="shared" ca="1" si="1031"/>
        <v>Depreciated Net Capex 2026-27</v>
      </c>
      <c r="C727" s="1426"/>
      <c r="D727" s="1426"/>
      <c r="E727" s="1426"/>
      <c r="F727" s="1426"/>
      <c r="G727" s="1426"/>
      <c r="H727" s="1426"/>
      <c r="I727" s="1426"/>
      <c r="J727" s="1426"/>
      <c r="K727" s="1426"/>
      <c r="L727" s="1426"/>
      <c r="M727" s="1427"/>
      <c r="N727" s="1428">
        <f>N711</f>
        <v>0</v>
      </c>
      <c r="O727" s="1423">
        <f ca="1">IF(N751="n/a",N727,IFERROR(IF((OFFSET($C727,0,$A727))&lt;0,
MIN(0,N727-(OFFSET($C727,0,$A727)/(OFFSET($C722,-$A726,$A727)))),
MAX(0,N727-(OFFSET($C727,0,$A727)/(OFFSET($C722,-$A726,$A727))))),0))</f>
        <v>0</v>
      </c>
      <c r="P727" s="1423">
        <f t="shared" ca="1" si="1022"/>
        <v>0</v>
      </c>
      <c r="Q727" s="1423">
        <f t="shared" ca="1" si="1023"/>
        <v>0</v>
      </c>
      <c r="R727" s="1423">
        <f t="shared" ca="1" si="1024"/>
        <v>0</v>
      </c>
      <c r="S727" s="1423">
        <f t="shared" ca="1" si="1025"/>
        <v>0</v>
      </c>
      <c r="T727" s="1423">
        <f t="shared" ca="1" si="1026"/>
        <v>0</v>
      </c>
      <c r="U727" s="1423">
        <f t="shared" ca="1" si="1027"/>
        <v>0</v>
      </c>
      <c r="V727" s="1423">
        <f t="shared" ca="1" si="1028"/>
        <v>0</v>
      </c>
      <c r="W727" s="1423">
        <f t="shared" ca="1" si="1029"/>
        <v>0</v>
      </c>
      <c r="X727" s="202"/>
      <c r="Y727" s="202"/>
      <c r="Z727" s="202"/>
      <c r="AA727" s="152"/>
      <c r="AB727" s="152"/>
    </row>
    <row r="728" spans="1:28" hidden="1" outlineLevel="1">
      <c r="A728" s="199">
        <f t="shared" si="1030"/>
        <v>12</v>
      </c>
      <c r="B728" s="190" t="str">
        <f t="shared" ca="1" si="1031"/>
        <v>Depreciated Net Capex 2027-28</v>
      </c>
      <c r="C728" s="1426"/>
      <c r="D728" s="1426"/>
      <c r="E728" s="1426"/>
      <c r="F728" s="1426"/>
      <c r="G728" s="1426"/>
      <c r="H728" s="1426"/>
      <c r="I728" s="1426"/>
      <c r="J728" s="1426"/>
      <c r="K728" s="1426"/>
      <c r="L728" s="1426"/>
      <c r="M728" s="1426"/>
      <c r="N728" s="1427"/>
      <c r="O728" s="1428">
        <f>O711</f>
        <v>0</v>
      </c>
      <c r="P728" s="1423">
        <f ca="1">IF(O752="n/a",O728,IFERROR(IF((OFFSET($C728,0,$A728))&lt;0,
MIN(0,O728-(OFFSET($C728,0,$A728)/(OFFSET($C723,-$A727,$A728)))),
MAX(0,O728-(OFFSET($C728,0,$A728)/(OFFSET($C723,-$A727,$A728))))),0))</f>
        <v>0</v>
      </c>
      <c r="Q728" s="1423">
        <f t="shared" ca="1" si="1023"/>
        <v>0</v>
      </c>
      <c r="R728" s="1423">
        <f t="shared" ca="1" si="1024"/>
        <v>0</v>
      </c>
      <c r="S728" s="1423">
        <f t="shared" ca="1" si="1025"/>
        <v>0</v>
      </c>
      <c r="T728" s="1423">
        <f t="shared" ca="1" si="1026"/>
        <v>0</v>
      </c>
      <c r="U728" s="1423">
        <f t="shared" ca="1" si="1027"/>
        <v>0</v>
      </c>
      <c r="V728" s="1423">
        <f t="shared" ca="1" si="1028"/>
        <v>0</v>
      </c>
      <c r="W728" s="1423">
        <f t="shared" ca="1" si="1029"/>
        <v>0</v>
      </c>
      <c r="X728" s="202"/>
      <c r="Y728" s="202"/>
      <c r="Z728" s="202"/>
      <c r="AA728" s="152"/>
      <c r="AB728" s="152"/>
    </row>
    <row r="729" spans="1:28" hidden="1" outlineLevel="1">
      <c r="A729" s="199">
        <f t="shared" si="1030"/>
        <v>13</v>
      </c>
      <c r="B729" s="190" t="str">
        <f t="shared" ca="1" si="1031"/>
        <v>Depreciated Net Capex 2028-29</v>
      </c>
      <c r="C729" s="1426"/>
      <c r="D729" s="1426"/>
      <c r="E729" s="1426"/>
      <c r="F729" s="1426"/>
      <c r="G729" s="1426"/>
      <c r="H729" s="1426"/>
      <c r="I729" s="1426"/>
      <c r="J729" s="1426"/>
      <c r="K729" s="1426"/>
      <c r="L729" s="1426"/>
      <c r="M729" s="1426"/>
      <c r="N729" s="1426"/>
      <c r="O729" s="1427"/>
      <c r="P729" s="1428">
        <f>P711</f>
        <v>0</v>
      </c>
      <c r="Q729" s="1423">
        <f ca="1">IF(P753="n/a",P729,IFERROR(IF((OFFSET($C729,0,$A729))&lt;0,
MIN(0,P729-(OFFSET($C729,0,$A729)/(OFFSET($C724,-$A728,$A729)))),
MAX(0,P729-(OFFSET($C729,0,$A729)/(OFFSET($C724,-$A728,$A729))))),0))</f>
        <v>0</v>
      </c>
      <c r="R729" s="1423">
        <f t="shared" ca="1" si="1024"/>
        <v>0</v>
      </c>
      <c r="S729" s="1423">
        <f t="shared" ca="1" si="1025"/>
        <v>0</v>
      </c>
      <c r="T729" s="1423">
        <f t="shared" ca="1" si="1026"/>
        <v>0</v>
      </c>
      <c r="U729" s="1423">
        <f t="shared" ca="1" si="1027"/>
        <v>0</v>
      </c>
      <c r="V729" s="1423">
        <f t="shared" ca="1" si="1028"/>
        <v>0</v>
      </c>
      <c r="W729" s="1423">
        <f t="shared" ca="1" si="1029"/>
        <v>0</v>
      </c>
      <c r="X729" s="202"/>
      <c r="Y729" s="202"/>
      <c r="Z729" s="202"/>
      <c r="AA729" s="152"/>
      <c r="AB729" s="152"/>
    </row>
    <row r="730" spans="1:28" hidden="1" outlineLevel="1">
      <c r="A730" s="199">
        <f t="shared" si="1030"/>
        <v>14</v>
      </c>
      <c r="B730" s="190" t="str">
        <f t="shared" ca="1" si="1031"/>
        <v>Depreciated Net Capex 2029-30</v>
      </c>
      <c r="C730" s="1426"/>
      <c r="D730" s="1426"/>
      <c r="E730" s="1426"/>
      <c r="F730" s="1426"/>
      <c r="G730" s="1426"/>
      <c r="H730" s="1426"/>
      <c r="I730" s="1426"/>
      <c r="J730" s="1426"/>
      <c r="K730" s="1426"/>
      <c r="L730" s="1426"/>
      <c r="M730" s="1426"/>
      <c r="N730" s="1426"/>
      <c r="O730" s="1426"/>
      <c r="P730" s="1427"/>
      <c r="Q730" s="1428">
        <f>Q711</f>
        <v>0</v>
      </c>
      <c r="R730" s="1423">
        <f ca="1">IF(Q754="n/a",Q730,IFERROR(IF((OFFSET($C730,0,$A730))&lt;0,
MIN(0,Q730-(OFFSET($C730,0,$A730)/(OFFSET($C725,-$A729,$A730)))),
MAX(0,Q730-(OFFSET($C730,0,$A730)/(OFFSET($C725,-$A729,$A730))))),0))</f>
        <v>0</v>
      </c>
      <c r="S730" s="1423">
        <f t="shared" ca="1" si="1025"/>
        <v>0</v>
      </c>
      <c r="T730" s="1423">
        <f t="shared" ca="1" si="1026"/>
        <v>0</v>
      </c>
      <c r="U730" s="1423">
        <f t="shared" ca="1" si="1027"/>
        <v>0</v>
      </c>
      <c r="V730" s="1423">
        <f t="shared" ca="1" si="1028"/>
        <v>0</v>
      </c>
      <c r="W730" s="1423">
        <f t="shared" ca="1" si="1029"/>
        <v>0</v>
      </c>
      <c r="X730" s="202"/>
      <c r="Y730" s="202"/>
      <c r="Z730" s="202"/>
      <c r="AA730" s="152"/>
      <c r="AB730" s="152"/>
    </row>
    <row r="731" spans="1:28" hidden="1" outlineLevel="1">
      <c r="A731" s="199">
        <f t="shared" si="1030"/>
        <v>15</v>
      </c>
      <c r="B731" s="190" t="str">
        <f t="shared" ca="1" si="1031"/>
        <v>Depreciated Net Capex 2030-31</v>
      </c>
      <c r="C731" s="1426"/>
      <c r="D731" s="1426"/>
      <c r="E731" s="1426"/>
      <c r="F731" s="1426"/>
      <c r="G731" s="1426"/>
      <c r="H731" s="1426"/>
      <c r="I731" s="1426"/>
      <c r="J731" s="1426"/>
      <c r="K731" s="1426"/>
      <c r="L731" s="1426"/>
      <c r="M731" s="1426"/>
      <c r="N731" s="1426"/>
      <c r="O731" s="1426"/>
      <c r="P731" s="1426"/>
      <c r="Q731" s="1427"/>
      <c r="R731" s="1428">
        <f>R711</f>
        <v>0</v>
      </c>
      <c r="S731" s="1423">
        <f ca="1">IF(R755="n/a",R731,IFERROR(IF((OFFSET($C731,0,$A731))&lt;0,
MIN(0,R731-(OFFSET($C731,0,$A731)/(OFFSET($C726,-$A730,$A731)))),
MAX(0,R731-(OFFSET($C731,0,$A731)/(OFFSET($C726,-$A730,$A731))))),0))</f>
        <v>0</v>
      </c>
      <c r="T731" s="1423">
        <f t="shared" ca="1" si="1026"/>
        <v>0</v>
      </c>
      <c r="U731" s="1423">
        <f t="shared" ca="1" si="1027"/>
        <v>0</v>
      </c>
      <c r="V731" s="1423">
        <f t="shared" ca="1" si="1028"/>
        <v>0</v>
      </c>
      <c r="W731" s="1423">
        <f t="shared" ca="1" si="1029"/>
        <v>0</v>
      </c>
      <c r="X731" s="202"/>
      <c r="Y731" s="202"/>
      <c r="Z731" s="202"/>
      <c r="AA731" s="152"/>
      <c r="AB731" s="152"/>
    </row>
    <row r="732" spans="1:28" hidden="1" outlineLevel="1">
      <c r="A732" s="199">
        <f t="shared" si="1030"/>
        <v>16</v>
      </c>
      <c r="B732" s="190" t="str">
        <f t="shared" ca="1" si="1031"/>
        <v>Depreciated Net Capex 2031-32</v>
      </c>
      <c r="C732" s="1426"/>
      <c r="D732" s="1426"/>
      <c r="E732" s="1426"/>
      <c r="F732" s="1426"/>
      <c r="G732" s="1426"/>
      <c r="H732" s="1426"/>
      <c r="I732" s="1426"/>
      <c r="J732" s="1426"/>
      <c r="K732" s="1426"/>
      <c r="L732" s="1426"/>
      <c r="M732" s="1426"/>
      <c r="N732" s="1426"/>
      <c r="O732" s="1426"/>
      <c r="P732" s="1426"/>
      <c r="Q732" s="1426"/>
      <c r="R732" s="1427"/>
      <c r="S732" s="1428">
        <f>S711</f>
        <v>0</v>
      </c>
      <c r="T732" s="1423">
        <f ca="1">IF(S756="n/a",S732,IFERROR(IF((OFFSET($C732,0,$A732))&lt;0,
MIN(0,S732-(OFFSET($C732,0,$A732)/(OFFSET($C727,-$A731,$A732)))),
MAX(0,S732-(OFFSET($C732,0,$A732)/(OFFSET($C727,-$A731,$A732))))),0))</f>
        <v>0</v>
      </c>
      <c r="U732" s="1423">
        <f t="shared" ca="1" si="1027"/>
        <v>0</v>
      </c>
      <c r="V732" s="1423">
        <f t="shared" ca="1" si="1028"/>
        <v>0</v>
      </c>
      <c r="W732" s="1423">
        <f t="shared" ca="1" si="1029"/>
        <v>0</v>
      </c>
      <c r="X732" s="202"/>
      <c r="Y732" s="202"/>
      <c r="Z732" s="202"/>
      <c r="AA732" s="152"/>
      <c r="AB732" s="152"/>
    </row>
    <row r="733" spans="1:28" hidden="1" outlineLevel="1">
      <c r="A733" s="199">
        <f t="shared" si="1030"/>
        <v>17</v>
      </c>
      <c r="B733" s="190" t="str">
        <f t="shared" ca="1" si="1031"/>
        <v>Depreciated Net Capex 2032-33</v>
      </c>
      <c r="C733" s="1426"/>
      <c r="D733" s="1426"/>
      <c r="E733" s="1426"/>
      <c r="F733" s="1426"/>
      <c r="G733" s="1426"/>
      <c r="H733" s="1426"/>
      <c r="I733" s="1426"/>
      <c r="J733" s="1426"/>
      <c r="K733" s="1426"/>
      <c r="L733" s="1426"/>
      <c r="M733" s="1426"/>
      <c r="N733" s="1426"/>
      <c r="O733" s="1426"/>
      <c r="P733" s="1426"/>
      <c r="Q733" s="1426"/>
      <c r="R733" s="1426"/>
      <c r="S733" s="1427"/>
      <c r="T733" s="1428">
        <f>T711</f>
        <v>0</v>
      </c>
      <c r="U733" s="1423">
        <f ca="1">IF(T757="n/a",T733,IFERROR(IF((OFFSET($C733,0,$A733))&lt;0,
MIN(0,T733-(OFFSET($C733,0,$A733)/(OFFSET($C728,-$A732,$A733)))),
MAX(0,T733-(OFFSET($C733,0,$A733)/(OFFSET($C728,-$A732,$A733))))),0))</f>
        <v>0</v>
      </c>
      <c r="V733" s="1423">
        <f t="shared" ca="1" si="1028"/>
        <v>0</v>
      </c>
      <c r="W733" s="1423">
        <f t="shared" ca="1" si="1029"/>
        <v>0</v>
      </c>
      <c r="X733" s="202"/>
      <c r="Y733" s="202"/>
      <c r="Z733" s="202"/>
      <c r="AA733" s="152"/>
      <c r="AB733" s="152"/>
    </row>
    <row r="734" spans="1:28" hidden="1" outlineLevel="1">
      <c r="A734" s="199">
        <f t="shared" si="1030"/>
        <v>18</v>
      </c>
      <c r="B734" s="190" t="str">
        <f t="shared" ca="1" si="1031"/>
        <v>Depreciated Net Capex 2033-34</v>
      </c>
      <c r="C734" s="1426"/>
      <c r="D734" s="1426"/>
      <c r="E734" s="1426"/>
      <c r="F734" s="1426"/>
      <c r="G734" s="1426"/>
      <c r="H734" s="1426"/>
      <c r="I734" s="1426"/>
      <c r="J734" s="1426"/>
      <c r="K734" s="1426"/>
      <c r="L734" s="1426"/>
      <c r="M734" s="1426"/>
      <c r="N734" s="1426"/>
      <c r="O734" s="1426"/>
      <c r="P734" s="1426"/>
      <c r="Q734" s="1426"/>
      <c r="R734" s="1426"/>
      <c r="S734" s="1426"/>
      <c r="T734" s="1427"/>
      <c r="U734" s="1428">
        <f>U711</f>
        <v>0</v>
      </c>
      <c r="V734" s="1423">
        <f ca="1">IF(U758="n/a",U734,IFERROR(IF((OFFSET($C734,0,$A734))&lt;0,
MIN(0,U734-(OFFSET($C734,0,$A734)/(OFFSET($C729,-$A733,$A734)))),
MAX(0,U734-(OFFSET($C734,0,$A734)/(OFFSET($C729,-$A733,$A734))))),0))</f>
        <v>0</v>
      </c>
      <c r="W734" s="1423">
        <f t="shared" ca="1" si="1029"/>
        <v>0</v>
      </c>
      <c r="X734" s="202"/>
      <c r="Y734" s="202"/>
      <c r="Z734" s="202"/>
      <c r="AA734" s="152"/>
      <c r="AB734" s="152"/>
    </row>
    <row r="735" spans="1:28" hidden="1" outlineLevel="1">
      <c r="A735" s="199">
        <f t="shared" si="1030"/>
        <v>19</v>
      </c>
      <c r="B735" s="190" t="str">
        <f t="shared" ca="1" si="1031"/>
        <v>Depreciated Net Capex 2034-35</v>
      </c>
      <c r="C735" s="1426"/>
      <c r="D735" s="1426"/>
      <c r="E735" s="1426"/>
      <c r="F735" s="1426"/>
      <c r="G735" s="1426"/>
      <c r="H735" s="1426"/>
      <c r="I735" s="1426"/>
      <c r="J735" s="1426"/>
      <c r="K735" s="1426"/>
      <c r="L735" s="1426"/>
      <c r="M735" s="1426"/>
      <c r="N735" s="1426"/>
      <c r="O735" s="1426"/>
      <c r="P735" s="1426"/>
      <c r="Q735" s="1426"/>
      <c r="R735" s="1426"/>
      <c r="S735" s="1426"/>
      <c r="T735" s="1426"/>
      <c r="U735" s="1427"/>
      <c r="V735" s="1428">
        <f>V711</f>
        <v>0</v>
      </c>
      <c r="W735" s="1423">
        <f ca="1">IF(V759="n/a",V735,IFERROR(IF((OFFSET($C735,0,$A735))&lt;0,
MIN(0,V735-(OFFSET($C735,0,$A735)/(OFFSET($C730,-$A734,$A735)))),
MAX(0,V735-(OFFSET($C735,0,$A735)/(OFFSET($C730,-$A734,$A735))))),0))</f>
        <v>0</v>
      </c>
      <c r="X735" s="202"/>
      <c r="Y735" s="202"/>
      <c r="Z735" s="202"/>
      <c r="AA735" s="152"/>
      <c r="AB735" s="152"/>
    </row>
    <row r="736" spans="1:28" hidden="1" outlineLevel="1">
      <c r="A736" s="199">
        <f t="shared" si="1030"/>
        <v>20</v>
      </c>
      <c r="B736" s="190" t="str">
        <f t="shared" ca="1" si="1031"/>
        <v>Depreciated Net Capex 2035-36</v>
      </c>
      <c r="C736" s="1426"/>
      <c r="D736" s="1426"/>
      <c r="E736" s="1426"/>
      <c r="F736" s="1426"/>
      <c r="G736" s="1426"/>
      <c r="H736" s="1426"/>
      <c r="I736" s="1426"/>
      <c r="J736" s="1426"/>
      <c r="K736" s="1426"/>
      <c r="L736" s="1426"/>
      <c r="M736" s="1426"/>
      <c r="N736" s="1426"/>
      <c r="O736" s="1426"/>
      <c r="P736" s="1426"/>
      <c r="Q736" s="1426"/>
      <c r="R736" s="1426"/>
      <c r="S736" s="1426"/>
      <c r="T736" s="1426"/>
      <c r="U736" s="1426"/>
      <c r="V736" s="1427"/>
      <c r="W736" s="1423">
        <f>W711</f>
        <v>0</v>
      </c>
      <c r="X736" s="152"/>
      <c r="Y736" s="152"/>
      <c r="Z736" s="152"/>
      <c r="AA736" s="152"/>
      <c r="AB736" s="152"/>
    </row>
    <row r="737" spans="1:28" hidden="1" outlineLevel="1">
      <c r="A737" s="152"/>
      <c r="B737" s="200"/>
      <c r="C737" s="1423"/>
      <c r="D737" s="1423"/>
      <c r="E737" s="1423"/>
      <c r="F737" s="1423"/>
      <c r="G737" s="1423"/>
      <c r="H737" s="1423"/>
      <c r="I737" s="1423"/>
      <c r="J737" s="1423"/>
      <c r="K737" s="1423"/>
      <c r="L737" s="1423"/>
      <c r="M737" s="1423"/>
      <c r="N737" s="1423"/>
      <c r="O737" s="1423"/>
      <c r="P737" s="1423"/>
      <c r="Q737" s="1423"/>
      <c r="R737" s="1423"/>
      <c r="S737" s="1423"/>
      <c r="T737" s="1423"/>
      <c r="U737" s="1423"/>
      <c r="V737" s="1423"/>
      <c r="W737" s="1423"/>
      <c r="X737" s="152"/>
      <c r="Y737" s="152"/>
      <c r="Z737" s="152"/>
      <c r="AA737" s="152"/>
      <c r="AB737" s="152"/>
    </row>
    <row r="738" spans="1:28" hidden="1" outlineLevel="1">
      <c r="A738" s="152"/>
      <c r="B738" s="200"/>
      <c r="C738" s="1423"/>
      <c r="D738" s="1423"/>
      <c r="E738" s="1423"/>
      <c r="F738" s="1423"/>
      <c r="G738" s="1423"/>
      <c r="H738" s="1423"/>
      <c r="I738" s="1423"/>
      <c r="J738" s="1423"/>
      <c r="K738" s="1423"/>
      <c r="L738" s="1423"/>
      <c r="M738" s="1423"/>
      <c r="N738" s="1423"/>
      <c r="O738" s="1423"/>
      <c r="P738" s="1423"/>
      <c r="Q738" s="1423"/>
      <c r="R738" s="1423"/>
      <c r="S738" s="1423"/>
      <c r="T738" s="1423"/>
      <c r="U738" s="1423"/>
      <c r="V738" s="1423"/>
      <c r="W738" s="1423"/>
      <c r="X738" s="152"/>
      <c r="Y738" s="152"/>
      <c r="Z738" s="152"/>
      <c r="AA738" s="152"/>
      <c r="AB738" s="152"/>
    </row>
    <row r="739" spans="1:28" hidden="1" outlineLevel="1">
      <c r="A739" s="152"/>
      <c r="B739" s="190" t="s">
        <v>194</v>
      </c>
      <c r="C739" s="1423"/>
      <c r="D739" s="1423">
        <f t="shared" ref="D739" ca="1" si="1032">IF(AND(C739&lt;1,D713=0),0,
IF(D713=0,C739-1,
IF(C739&lt;1,D714,
(((C739-1)*(C715-(C715/(C739))))+(D713*D714))/(D715))))</f>
        <v>0</v>
      </c>
      <c r="E739" s="1423">
        <f t="shared" ref="E739" ca="1" si="1033">IF(AND(D739&lt;1,E713=0),0,
IF(E713=0,D739-1,
IF(D739&lt;1,E714,
(((D739-1)*(D715-(D715/(D739))))+(E713*E714))/(E715))))</f>
        <v>0</v>
      </c>
      <c r="F739" s="1423">
        <f t="shared" ref="F739" ca="1" si="1034">IF(AND(E739&lt;1,F713=0),0,
IF(F713=0,E739-1,
IF(E739&lt;1,F714,
(((E739-1)*(E715-(E715/(E739))))+(F713*F714))/(F715))))</f>
        <v>0</v>
      </c>
      <c r="G739" s="1423">
        <f t="shared" ref="G739" ca="1" si="1035">IF(AND(F739&lt;1,G713=0),0,
IF(G713=0,F739-1,
IF(F739&lt;1,G714,
(((F739-1)*(F715-(F715/(F739))))+(G713*G714))/(G715))))</f>
        <v>0</v>
      </c>
      <c r="H739" s="1423">
        <f ca="1">IF(AND(G739&lt;1,H713=0),0,
IF(H713=0,G739-1,
IF(G739&lt;1,H714,
(((G739-1)*(G715-(G715/(G739))))+(H713*H714))/(H715))))</f>
        <v>0</v>
      </c>
      <c r="I739" s="1423">
        <f t="shared" ref="I739" ca="1" si="1036">IF(AND(H739&lt;1,I713=0),0,
IF(I713=0,H739-1,
IF(H739&lt;1,I714,
(((H739-1)*(H715-(H715/(H739))))+(I713*I714))/(I715))))</f>
        <v>0</v>
      </c>
      <c r="J739" s="1423">
        <f t="shared" ref="J739" ca="1" si="1037">IF(AND(I739&lt;1,J713=0),0,
IF(J713=0,I739-1,
IF(I739&lt;1,J714,
(((I739-1)*(I715-(I715/(I739))))+(J713*J714))/(J715))))</f>
        <v>0</v>
      </c>
      <c r="K739" s="1423">
        <f t="shared" ref="K739" ca="1" si="1038">IF(AND(J739&lt;1,K713=0),0,
IF(K713=0,J739-1,
IF(J739&lt;1,K714,
(((J739-1)*(J715-(J715/(J739))))+(K713*K714))/(K715))))</f>
        <v>0</v>
      </c>
      <c r="L739" s="1423">
        <f t="shared" ref="L739" ca="1" si="1039">IF(AND(K739&lt;1,L713=0),0,
IF(L713=0,K739-1,
IF(K739&lt;1,L714,
(((K739-1)*(K715-(K715/(K739))))+(L713*L714))/(L715))))</f>
        <v>0</v>
      </c>
      <c r="M739" s="1423">
        <f ca="1">IF(AND(L739&lt;1,M713=0),0,
IF(M713=0,L739-1,
IF(L739&lt;1,M714,
(((L739-1)*(L715-(L715/(L739))))+(M713*M714))/(M715))))</f>
        <v>0</v>
      </c>
      <c r="N739" s="1423">
        <f t="shared" ref="N739" ca="1" si="1040">IF(AND(M739&lt;1,N713=0),0,
IF(N713=0,M739-1,
IF(M739&lt;1,N714,
(((M739-1)*(M715-(M715/(M739))))+(N713*N714))/(N715))))</f>
        <v>0</v>
      </c>
      <c r="O739" s="1423">
        <f t="shared" ref="O739" ca="1" si="1041">IF(AND(N739&lt;1,O713=0),0,
IF(O713=0,N739-1,
IF(N739&lt;1,O714,
(((N739-1)*(N715-(N715/(N739))))+(O713*O714))/(O715))))</f>
        <v>0</v>
      </c>
      <c r="P739" s="1423">
        <f t="shared" ref="P739" ca="1" si="1042">IF(AND(O739&lt;1,P713=0),0,
IF(P713=0,O739-1,
IF(O739&lt;1,P714,
(((O739-1)*(O715-(O715/(O739))))+(P713*P714))/(P715))))</f>
        <v>0</v>
      </c>
      <c r="Q739" s="1423">
        <f t="shared" ref="Q739" ca="1" si="1043">IF(AND(P739&lt;1,Q713=0),0,
IF(Q713=0,P739-1,
IF(P739&lt;1,Q714,
(((P739-1)*(P715-(P715/(P739))))+(Q713*Q714))/(Q715))))</f>
        <v>0</v>
      </c>
      <c r="R739" s="1423">
        <f t="shared" ref="R739" ca="1" si="1044">IF(AND(Q739&lt;1,R713=0),0,
IF(R713=0,Q739-1,
IF(Q739&lt;1,R714,
(((Q739-1)*(Q715-(Q715/(Q739))))+(R713*R714))/(R715))))</f>
        <v>0</v>
      </c>
      <c r="S739" s="1423">
        <f t="shared" ref="S739" ca="1" si="1045">IF(AND(R739&lt;1,S713=0),0,
IF(S713=0,R739-1,
IF(R739&lt;1,S714,
(((R739-1)*(R715-(R715/(R739))))+(S713*S714))/(S715))))</f>
        <v>0</v>
      </c>
      <c r="T739" s="1423">
        <f t="shared" ref="T739" ca="1" si="1046">IF(AND(S739&lt;1,T713=0),0,
IF(T713=0,S739-1,
IF(S739&lt;1,T714,
(((S739-1)*(S715-(S715/(S739))))+(T713*T714))/(T715))))</f>
        <v>0</v>
      </c>
      <c r="U739" s="1423">
        <f t="shared" ref="U739" ca="1" si="1047">IF(AND(T739&lt;1,U713=0),0,
IF(U713=0,T739-1,
IF(T739&lt;1,U714,
(((T739-1)*(T715-(T715/(T739))))+(U713*U714))/(U715))))</f>
        <v>0</v>
      </c>
      <c r="V739" s="1423">
        <f t="shared" ref="V739" ca="1" si="1048">IF(AND(U739&lt;1,V713=0),0,
IF(V713=0,U739-1,
IF(U739&lt;1,V714,
(((U739-1)*(U715-(U715/(U739))))+(V713*V714))/(V715))))</f>
        <v>0</v>
      </c>
      <c r="W739" s="1423">
        <f t="shared" ref="W739" ca="1" si="1049">IF(AND(V739&lt;1,W713=0),0,
IF(W713=0,V739-1,
IF(V739&lt;1,W714,
(((V739-1)*(V715-(V715/(V739))))+(W713*W714))/(W715))))</f>
        <v>0</v>
      </c>
      <c r="X739" s="152"/>
      <c r="Y739" s="152"/>
      <c r="Z739" s="152"/>
      <c r="AA739" s="152"/>
      <c r="AB739" s="152"/>
    </row>
    <row r="740" spans="1:28" hidden="1" outlineLevel="1">
      <c r="A740" s="152"/>
      <c r="B740" s="190" t="s">
        <v>193</v>
      </c>
      <c r="C740" s="1423">
        <f ca="1">C712</f>
        <v>0</v>
      </c>
      <c r="D740" s="1423">
        <f t="shared" ref="D740" ca="1" si="1050">IF(C740="n/a","n/a",MAX(0,C740-1))</f>
        <v>0</v>
      </c>
      <c r="E740" s="1423">
        <f t="shared" ref="E740:E741" ca="1" si="1051">IF(D740="n/a","n/a",MAX(0,D740-1))</f>
        <v>0</v>
      </c>
      <c r="F740" s="1423">
        <f t="shared" ref="F740:F742" ca="1" si="1052">IF(E740="n/a","n/a",MAX(0,E740-1))</f>
        <v>0</v>
      </c>
      <c r="G740" s="1423">
        <f t="shared" ref="G740:G743" ca="1" si="1053">IF(F740="n/a","n/a",MAX(0,F740-1))</f>
        <v>0</v>
      </c>
      <c r="H740" s="1423">
        <f t="shared" ref="H740:H744" ca="1" si="1054">IF(G740="n/a","n/a",MAX(0,G740-1))</f>
        <v>0</v>
      </c>
      <c r="I740" s="1423">
        <f t="shared" ref="I740:I745" ca="1" si="1055">IF(H740="n/a","n/a",MAX(0,H740-1))</f>
        <v>0</v>
      </c>
      <c r="J740" s="1423">
        <f t="shared" ref="J740:J746" ca="1" si="1056">IF(I740="n/a","n/a",MAX(0,I740-1))</f>
        <v>0</v>
      </c>
      <c r="K740" s="1423">
        <f t="shared" ref="K740:K747" ca="1" si="1057">IF(J740="n/a","n/a",MAX(0,J740-1))</f>
        <v>0</v>
      </c>
      <c r="L740" s="1423">
        <f t="shared" ref="L740:L748" ca="1" si="1058">IF(K740="n/a","n/a",MAX(0,K740-1))</f>
        <v>0</v>
      </c>
      <c r="M740" s="1423">
        <f t="shared" ref="M740:M749" ca="1" si="1059">IF(L740="n/a","n/a",MAX(0,L740-1))</f>
        <v>0</v>
      </c>
      <c r="N740" s="1423">
        <f t="shared" ref="N740:N750" ca="1" si="1060">IF(M740="n/a","n/a",MAX(0,M740-1))</f>
        <v>0</v>
      </c>
      <c r="O740" s="1423">
        <f t="shared" ref="O740:O751" ca="1" si="1061">IF(N740="n/a","n/a",MAX(0,N740-1))</f>
        <v>0</v>
      </c>
      <c r="P740" s="1423">
        <f t="shared" ref="P740:P752" ca="1" si="1062">IF(O740="n/a","n/a",MAX(0,O740-1))</f>
        <v>0</v>
      </c>
      <c r="Q740" s="1423">
        <f t="shared" ref="Q740:Q753" ca="1" si="1063">IF(P740="n/a","n/a",MAX(0,P740-1))</f>
        <v>0</v>
      </c>
      <c r="R740" s="1423">
        <f t="shared" ref="R740:R754" ca="1" si="1064">IF(Q740="n/a","n/a",MAX(0,Q740-1))</f>
        <v>0</v>
      </c>
      <c r="S740" s="1423">
        <f t="shared" ref="S740:S755" ca="1" si="1065">IF(R740="n/a","n/a",MAX(0,R740-1))</f>
        <v>0</v>
      </c>
      <c r="T740" s="1423">
        <f t="shared" ref="T740:T756" ca="1" si="1066">IF(S740="n/a","n/a",MAX(0,S740-1))</f>
        <v>0</v>
      </c>
      <c r="U740" s="1423">
        <f t="shared" ref="U740:U757" ca="1" si="1067">IF(T740="n/a","n/a",MAX(0,T740-1))</f>
        <v>0</v>
      </c>
      <c r="V740" s="1423">
        <f t="shared" ref="V740:V758" ca="1" si="1068">IF(U740="n/a","n/a",MAX(0,U740-1))</f>
        <v>0</v>
      </c>
      <c r="W740" s="1423">
        <f t="shared" ref="W740:W758" ca="1" si="1069">IF(V740="n/a","n/a",MAX(0,V740-1))</f>
        <v>0</v>
      </c>
      <c r="X740" s="152"/>
      <c r="Y740" s="152"/>
      <c r="Z740" s="152"/>
      <c r="AA740" s="152"/>
      <c r="AB740" s="152"/>
    </row>
    <row r="741" spans="1:28" hidden="1" outlineLevel="1">
      <c r="A741" s="152"/>
      <c r="B741" s="190" t="str">
        <f t="shared" ref="B741:B760" ca="1" si="1070">"RL Capex "&amp;OFFSET($C$6,0,A717)</f>
        <v>RL Capex 2016-17</v>
      </c>
      <c r="C741" s="1424"/>
      <c r="D741" s="1428">
        <f>D712</f>
        <v>0</v>
      </c>
      <c r="E741" s="1423">
        <f t="shared" si="1051"/>
        <v>0</v>
      </c>
      <c r="F741" s="1423">
        <f t="shared" si="1052"/>
        <v>0</v>
      </c>
      <c r="G741" s="1423">
        <f t="shared" si="1053"/>
        <v>0</v>
      </c>
      <c r="H741" s="1423">
        <f t="shared" si="1054"/>
        <v>0</v>
      </c>
      <c r="I741" s="1423">
        <f t="shared" si="1055"/>
        <v>0</v>
      </c>
      <c r="J741" s="1423">
        <f t="shared" si="1056"/>
        <v>0</v>
      </c>
      <c r="K741" s="1423">
        <f t="shared" si="1057"/>
        <v>0</v>
      </c>
      <c r="L741" s="1423">
        <f t="shared" si="1058"/>
        <v>0</v>
      </c>
      <c r="M741" s="1423">
        <f t="shared" si="1059"/>
        <v>0</v>
      </c>
      <c r="N741" s="1423">
        <f t="shared" si="1060"/>
        <v>0</v>
      </c>
      <c r="O741" s="1423">
        <f t="shared" si="1061"/>
        <v>0</v>
      </c>
      <c r="P741" s="1423">
        <f t="shared" si="1062"/>
        <v>0</v>
      </c>
      <c r="Q741" s="1423">
        <f t="shared" si="1063"/>
        <v>0</v>
      </c>
      <c r="R741" s="1423">
        <f t="shared" si="1064"/>
        <v>0</v>
      </c>
      <c r="S741" s="1423">
        <f t="shared" si="1065"/>
        <v>0</v>
      </c>
      <c r="T741" s="1423">
        <f t="shared" si="1066"/>
        <v>0</v>
      </c>
      <c r="U741" s="1423">
        <f t="shared" si="1067"/>
        <v>0</v>
      </c>
      <c r="V741" s="1423">
        <f t="shared" si="1068"/>
        <v>0</v>
      </c>
      <c r="W741" s="1423">
        <f t="shared" si="1069"/>
        <v>0</v>
      </c>
      <c r="X741" s="152"/>
      <c r="Y741" s="152"/>
      <c r="Z741" s="152"/>
      <c r="AA741" s="152"/>
      <c r="AB741" s="152"/>
    </row>
    <row r="742" spans="1:28" hidden="1" outlineLevel="1">
      <c r="A742" s="152"/>
      <c r="B742" s="190" t="str">
        <f t="shared" ca="1" si="1070"/>
        <v>RL Capex 2017-18</v>
      </c>
      <c r="C742" s="1429"/>
      <c r="D742" s="1424"/>
      <c r="E742" s="1428">
        <f>E712</f>
        <v>0</v>
      </c>
      <c r="F742" s="1423">
        <f t="shared" si="1052"/>
        <v>0</v>
      </c>
      <c r="G742" s="1423">
        <f t="shared" si="1053"/>
        <v>0</v>
      </c>
      <c r="H742" s="1423">
        <f t="shared" si="1054"/>
        <v>0</v>
      </c>
      <c r="I742" s="1423">
        <f t="shared" si="1055"/>
        <v>0</v>
      </c>
      <c r="J742" s="1423">
        <f t="shared" si="1056"/>
        <v>0</v>
      </c>
      <c r="K742" s="1423">
        <f t="shared" si="1057"/>
        <v>0</v>
      </c>
      <c r="L742" s="1423">
        <f t="shared" si="1058"/>
        <v>0</v>
      </c>
      <c r="M742" s="1423">
        <f t="shared" si="1059"/>
        <v>0</v>
      </c>
      <c r="N742" s="1423">
        <f t="shared" si="1060"/>
        <v>0</v>
      </c>
      <c r="O742" s="1423">
        <f t="shared" si="1061"/>
        <v>0</v>
      </c>
      <c r="P742" s="1423">
        <f t="shared" si="1062"/>
        <v>0</v>
      </c>
      <c r="Q742" s="1423">
        <f t="shared" si="1063"/>
        <v>0</v>
      </c>
      <c r="R742" s="1423">
        <f t="shared" si="1064"/>
        <v>0</v>
      </c>
      <c r="S742" s="1423">
        <f t="shared" si="1065"/>
        <v>0</v>
      </c>
      <c r="T742" s="1423">
        <f t="shared" si="1066"/>
        <v>0</v>
      </c>
      <c r="U742" s="1423">
        <f t="shared" si="1067"/>
        <v>0</v>
      </c>
      <c r="V742" s="1423">
        <f t="shared" si="1068"/>
        <v>0</v>
      </c>
      <c r="W742" s="1423">
        <f t="shared" si="1069"/>
        <v>0</v>
      </c>
      <c r="X742" s="152"/>
      <c r="Y742" s="152"/>
      <c r="Z742" s="152"/>
      <c r="AA742" s="152"/>
      <c r="AB742" s="152"/>
    </row>
    <row r="743" spans="1:28" hidden="1" outlineLevel="1">
      <c r="A743" s="152"/>
      <c r="B743" s="190" t="str">
        <f t="shared" ca="1" si="1070"/>
        <v>RL Capex 2018-19</v>
      </c>
      <c r="C743" s="1429"/>
      <c r="D743" s="1429"/>
      <c r="E743" s="1424"/>
      <c r="F743" s="1428">
        <f>F712</f>
        <v>0</v>
      </c>
      <c r="G743" s="1423">
        <f t="shared" si="1053"/>
        <v>0</v>
      </c>
      <c r="H743" s="1423">
        <f t="shared" si="1054"/>
        <v>0</v>
      </c>
      <c r="I743" s="1423">
        <f t="shared" si="1055"/>
        <v>0</v>
      </c>
      <c r="J743" s="1423">
        <f t="shared" si="1056"/>
        <v>0</v>
      </c>
      <c r="K743" s="1423">
        <f t="shared" si="1057"/>
        <v>0</v>
      </c>
      <c r="L743" s="1423">
        <f t="shared" si="1058"/>
        <v>0</v>
      </c>
      <c r="M743" s="1423">
        <f t="shared" si="1059"/>
        <v>0</v>
      </c>
      <c r="N743" s="1423">
        <f t="shared" si="1060"/>
        <v>0</v>
      </c>
      <c r="O743" s="1423">
        <f t="shared" si="1061"/>
        <v>0</v>
      </c>
      <c r="P743" s="1423">
        <f t="shared" si="1062"/>
        <v>0</v>
      </c>
      <c r="Q743" s="1423">
        <f t="shared" si="1063"/>
        <v>0</v>
      </c>
      <c r="R743" s="1423">
        <f t="shared" si="1064"/>
        <v>0</v>
      </c>
      <c r="S743" s="1423">
        <f t="shared" si="1065"/>
        <v>0</v>
      </c>
      <c r="T743" s="1423">
        <f t="shared" si="1066"/>
        <v>0</v>
      </c>
      <c r="U743" s="1423">
        <f t="shared" si="1067"/>
        <v>0</v>
      </c>
      <c r="V743" s="1423">
        <f t="shared" si="1068"/>
        <v>0</v>
      </c>
      <c r="W743" s="1423">
        <f t="shared" si="1069"/>
        <v>0</v>
      </c>
      <c r="X743" s="152"/>
      <c r="Y743" s="152"/>
      <c r="Z743" s="152"/>
      <c r="AA743" s="152"/>
      <c r="AB743" s="152"/>
    </row>
    <row r="744" spans="1:28" hidden="1" outlineLevel="1">
      <c r="A744" s="152"/>
      <c r="B744" s="190" t="str">
        <f t="shared" ca="1" si="1070"/>
        <v>RL Capex 2019-20</v>
      </c>
      <c r="C744" s="1429"/>
      <c r="D744" s="1429"/>
      <c r="E744" s="1429"/>
      <c r="F744" s="1424"/>
      <c r="G744" s="1428">
        <f>G712</f>
        <v>0</v>
      </c>
      <c r="H744" s="1423">
        <f t="shared" si="1054"/>
        <v>0</v>
      </c>
      <c r="I744" s="1423">
        <f t="shared" si="1055"/>
        <v>0</v>
      </c>
      <c r="J744" s="1423">
        <f t="shared" si="1056"/>
        <v>0</v>
      </c>
      <c r="K744" s="1423">
        <f t="shared" si="1057"/>
        <v>0</v>
      </c>
      <c r="L744" s="1423">
        <f t="shared" si="1058"/>
        <v>0</v>
      </c>
      <c r="M744" s="1423">
        <f t="shared" si="1059"/>
        <v>0</v>
      </c>
      <c r="N744" s="1423">
        <f t="shared" si="1060"/>
        <v>0</v>
      </c>
      <c r="O744" s="1423">
        <f t="shared" si="1061"/>
        <v>0</v>
      </c>
      <c r="P744" s="1423">
        <f t="shared" si="1062"/>
        <v>0</v>
      </c>
      <c r="Q744" s="1423">
        <f t="shared" si="1063"/>
        <v>0</v>
      </c>
      <c r="R744" s="1423">
        <f t="shared" si="1064"/>
        <v>0</v>
      </c>
      <c r="S744" s="1423">
        <f t="shared" si="1065"/>
        <v>0</v>
      </c>
      <c r="T744" s="1423">
        <f t="shared" si="1066"/>
        <v>0</v>
      </c>
      <c r="U744" s="1423">
        <f t="shared" si="1067"/>
        <v>0</v>
      </c>
      <c r="V744" s="1423">
        <f t="shared" si="1068"/>
        <v>0</v>
      </c>
      <c r="W744" s="1423">
        <f t="shared" si="1069"/>
        <v>0</v>
      </c>
      <c r="X744" s="152"/>
      <c r="Y744" s="152"/>
      <c r="Z744" s="152"/>
      <c r="AA744" s="152"/>
      <c r="AB744" s="152"/>
    </row>
    <row r="745" spans="1:28" hidden="1" outlineLevel="1">
      <c r="A745" s="152"/>
      <c r="B745" s="190" t="str">
        <f t="shared" ca="1" si="1070"/>
        <v>RL Capex 2020-21</v>
      </c>
      <c r="C745" s="1429"/>
      <c r="D745" s="1429"/>
      <c r="E745" s="1429"/>
      <c r="F745" s="1429"/>
      <c r="G745" s="1424"/>
      <c r="H745" s="1428">
        <f>H712</f>
        <v>0</v>
      </c>
      <c r="I745" s="1423">
        <f t="shared" si="1055"/>
        <v>0</v>
      </c>
      <c r="J745" s="1423">
        <f t="shared" si="1056"/>
        <v>0</v>
      </c>
      <c r="K745" s="1423">
        <f t="shared" si="1057"/>
        <v>0</v>
      </c>
      <c r="L745" s="1423">
        <f t="shared" si="1058"/>
        <v>0</v>
      </c>
      <c r="M745" s="1423">
        <f t="shared" si="1059"/>
        <v>0</v>
      </c>
      <c r="N745" s="1423">
        <f t="shared" si="1060"/>
        <v>0</v>
      </c>
      <c r="O745" s="1423">
        <f t="shared" si="1061"/>
        <v>0</v>
      </c>
      <c r="P745" s="1423">
        <f t="shared" si="1062"/>
        <v>0</v>
      </c>
      <c r="Q745" s="1423">
        <f t="shared" si="1063"/>
        <v>0</v>
      </c>
      <c r="R745" s="1423">
        <f t="shared" si="1064"/>
        <v>0</v>
      </c>
      <c r="S745" s="1423">
        <f t="shared" si="1065"/>
        <v>0</v>
      </c>
      <c r="T745" s="1423">
        <f t="shared" si="1066"/>
        <v>0</v>
      </c>
      <c r="U745" s="1423">
        <f t="shared" si="1067"/>
        <v>0</v>
      </c>
      <c r="V745" s="1423">
        <f t="shared" si="1068"/>
        <v>0</v>
      </c>
      <c r="W745" s="1423">
        <f t="shared" si="1069"/>
        <v>0</v>
      </c>
      <c r="X745" s="152"/>
      <c r="Y745" s="152"/>
      <c r="Z745" s="152"/>
      <c r="AA745" s="152"/>
      <c r="AB745" s="152"/>
    </row>
    <row r="746" spans="1:28" hidden="1" outlineLevel="1">
      <c r="A746" s="152"/>
      <c r="B746" s="190" t="str">
        <f t="shared" ca="1" si="1070"/>
        <v>RL Capex 2021-22</v>
      </c>
      <c r="C746" s="1429"/>
      <c r="D746" s="1429"/>
      <c r="E746" s="1429"/>
      <c r="F746" s="1429"/>
      <c r="G746" s="1429"/>
      <c r="H746" s="1424"/>
      <c r="I746" s="1428">
        <f>I712</f>
        <v>0</v>
      </c>
      <c r="J746" s="1423">
        <f t="shared" si="1056"/>
        <v>0</v>
      </c>
      <c r="K746" s="1423">
        <f t="shared" si="1057"/>
        <v>0</v>
      </c>
      <c r="L746" s="1423">
        <f t="shared" si="1058"/>
        <v>0</v>
      </c>
      <c r="M746" s="1423">
        <f t="shared" si="1059"/>
        <v>0</v>
      </c>
      <c r="N746" s="1423">
        <f t="shared" si="1060"/>
        <v>0</v>
      </c>
      <c r="O746" s="1423">
        <f t="shared" si="1061"/>
        <v>0</v>
      </c>
      <c r="P746" s="1423">
        <f t="shared" si="1062"/>
        <v>0</v>
      </c>
      <c r="Q746" s="1423">
        <f t="shared" si="1063"/>
        <v>0</v>
      </c>
      <c r="R746" s="1423">
        <f t="shared" si="1064"/>
        <v>0</v>
      </c>
      <c r="S746" s="1423">
        <f t="shared" si="1065"/>
        <v>0</v>
      </c>
      <c r="T746" s="1423">
        <f t="shared" si="1066"/>
        <v>0</v>
      </c>
      <c r="U746" s="1423">
        <f t="shared" si="1067"/>
        <v>0</v>
      </c>
      <c r="V746" s="1423">
        <f t="shared" si="1068"/>
        <v>0</v>
      </c>
      <c r="W746" s="1423">
        <f t="shared" si="1069"/>
        <v>0</v>
      </c>
      <c r="X746" s="152"/>
      <c r="Y746" s="152"/>
      <c r="Z746" s="152"/>
      <c r="AA746" s="152"/>
      <c r="AB746" s="152"/>
    </row>
    <row r="747" spans="1:28" hidden="1" outlineLevel="1">
      <c r="A747" s="152"/>
      <c r="B747" s="190" t="str">
        <f t="shared" ca="1" si="1070"/>
        <v>RL Capex 2022-23</v>
      </c>
      <c r="C747" s="1429"/>
      <c r="D747" s="1429"/>
      <c r="E747" s="1429"/>
      <c r="F747" s="1429"/>
      <c r="G747" s="1429"/>
      <c r="H747" s="1429"/>
      <c r="I747" s="1424"/>
      <c r="J747" s="1428">
        <f>J712</f>
        <v>0</v>
      </c>
      <c r="K747" s="1423">
        <f t="shared" si="1057"/>
        <v>0</v>
      </c>
      <c r="L747" s="1423">
        <f t="shared" si="1058"/>
        <v>0</v>
      </c>
      <c r="M747" s="1423">
        <f t="shared" si="1059"/>
        <v>0</v>
      </c>
      <c r="N747" s="1423">
        <f t="shared" si="1060"/>
        <v>0</v>
      </c>
      <c r="O747" s="1423">
        <f t="shared" si="1061"/>
        <v>0</v>
      </c>
      <c r="P747" s="1423">
        <f t="shared" si="1062"/>
        <v>0</v>
      </c>
      <c r="Q747" s="1423">
        <f t="shared" si="1063"/>
        <v>0</v>
      </c>
      <c r="R747" s="1423">
        <f t="shared" si="1064"/>
        <v>0</v>
      </c>
      <c r="S747" s="1423">
        <f t="shared" si="1065"/>
        <v>0</v>
      </c>
      <c r="T747" s="1423">
        <f t="shared" si="1066"/>
        <v>0</v>
      </c>
      <c r="U747" s="1423">
        <f t="shared" si="1067"/>
        <v>0</v>
      </c>
      <c r="V747" s="1423">
        <f t="shared" si="1068"/>
        <v>0</v>
      </c>
      <c r="W747" s="1423">
        <f t="shared" si="1069"/>
        <v>0</v>
      </c>
      <c r="X747" s="152"/>
      <c r="Y747" s="152"/>
      <c r="Z747" s="152"/>
      <c r="AA747" s="152"/>
      <c r="AB747" s="152"/>
    </row>
    <row r="748" spans="1:28" hidden="1" outlineLevel="1">
      <c r="A748" s="152"/>
      <c r="B748" s="190" t="str">
        <f t="shared" ca="1" si="1070"/>
        <v>RL Capex 2023-24</v>
      </c>
      <c r="C748" s="1429"/>
      <c r="D748" s="1429"/>
      <c r="E748" s="1429"/>
      <c r="F748" s="1429"/>
      <c r="G748" s="1429"/>
      <c r="H748" s="1429"/>
      <c r="I748" s="1429"/>
      <c r="J748" s="1424"/>
      <c r="K748" s="1428">
        <f>K712</f>
        <v>0</v>
      </c>
      <c r="L748" s="1423">
        <f t="shared" si="1058"/>
        <v>0</v>
      </c>
      <c r="M748" s="1423">
        <f t="shared" si="1059"/>
        <v>0</v>
      </c>
      <c r="N748" s="1423">
        <f t="shared" si="1060"/>
        <v>0</v>
      </c>
      <c r="O748" s="1423">
        <f t="shared" si="1061"/>
        <v>0</v>
      </c>
      <c r="P748" s="1423">
        <f t="shared" si="1062"/>
        <v>0</v>
      </c>
      <c r="Q748" s="1423">
        <f t="shared" si="1063"/>
        <v>0</v>
      </c>
      <c r="R748" s="1423">
        <f t="shared" si="1064"/>
        <v>0</v>
      </c>
      <c r="S748" s="1423">
        <f t="shared" si="1065"/>
        <v>0</v>
      </c>
      <c r="T748" s="1423">
        <f t="shared" si="1066"/>
        <v>0</v>
      </c>
      <c r="U748" s="1423">
        <f t="shared" si="1067"/>
        <v>0</v>
      </c>
      <c r="V748" s="1423">
        <f t="shared" si="1068"/>
        <v>0</v>
      </c>
      <c r="W748" s="1423">
        <f t="shared" si="1069"/>
        <v>0</v>
      </c>
      <c r="X748" s="152"/>
      <c r="Y748" s="152"/>
      <c r="Z748" s="152"/>
      <c r="AA748" s="152"/>
      <c r="AB748" s="152"/>
    </row>
    <row r="749" spans="1:28" hidden="1" outlineLevel="1">
      <c r="A749" s="152"/>
      <c r="B749" s="190" t="str">
        <f t="shared" ca="1" si="1070"/>
        <v>RL Capex 2024-25</v>
      </c>
      <c r="C749" s="1429"/>
      <c r="D749" s="1429"/>
      <c r="E749" s="1429"/>
      <c r="F749" s="1429"/>
      <c r="G749" s="1429"/>
      <c r="H749" s="1429"/>
      <c r="I749" s="1429"/>
      <c r="J749" s="1429"/>
      <c r="K749" s="1424"/>
      <c r="L749" s="1428">
        <f>L712</f>
        <v>0</v>
      </c>
      <c r="M749" s="1423">
        <f t="shared" si="1059"/>
        <v>0</v>
      </c>
      <c r="N749" s="1423">
        <f t="shared" si="1060"/>
        <v>0</v>
      </c>
      <c r="O749" s="1423">
        <f t="shared" si="1061"/>
        <v>0</v>
      </c>
      <c r="P749" s="1423">
        <f t="shared" si="1062"/>
        <v>0</v>
      </c>
      <c r="Q749" s="1423">
        <f t="shared" si="1063"/>
        <v>0</v>
      </c>
      <c r="R749" s="1423">
        <f t="shared" si="1064"/>
        <v>0</v>
      </c>
      <c r="S749" s="1423">
        <f t="shared" si="1065"/>
        <v>0</v>
      </c>
      <c r="T749" s="1423">
        <f t="shared" si="1066"/>
        <v>0</v>
      </c>
      <c r="U749" s="1423">
        <f t="shared" si="1067"/>
        <v>0</v>
      </c>
      <c r="V749" s="1423">
        <f t="shared" si="1068"/>
        <v>0</v>
      </c>
      <c r="W749" s="1423">
        <f t="shared" si="1069"/>
        <v>0</v>
      </c>
      <c r="X749" s="152"/>
      <c r="Y749" s="152"/>
      <c r="Z749" s="152"/>
      <c r="AA749" s="152"/>
      <c r="AB749" s="152"/>
    </row>
    <row r="750" spans="1:28" hidden="1" outlineLevel="1">
      <c r="A750" s="152"/>
      <c r="B750" s="190" t="str">
        <f t="shared" ca="1" si="1070"/>
        <v>RL Capex 2025-26</v>
      </c>
      <c r="C750" s="1429"/>
      <c r="D750" s="1429"/>
      <c r="E750" s="1429"/>
      <c r="F750" s="1429"/>
      <c r="G750" s="1429"/>
      <c r="H750" s="1429"/>
      <c r="I750" s="1429"/>
      <c r="J750" s="1429"/>
      <c r="K750" s="1429"/>
      <c r="L750" s="1424"/>
      <c r="M750" s="1428">
        <f>M712</f>
        <v>0</v>
      </c>
      <c r="N750" s="1423">
        <f t="shared" si="1060"/>
        <v>0</v>
      </c>
      <c r="O750" s="1423">
        <f t="shared" si="1061"/>
        <v>0</v>
      </c>
      <c r="P750" s="1423">
        <f t="shared" si="1062"/>
        <v>0</v>
      </c>
      <c r="Q750" s="1423">
        <f t="shared" si="1063"/>
        <v>0</v>
      </c>
      <c r="R750" s="1423">
        <f t="shared" si="1064"/>
        <v>0</v>
      </c>
      <c r="S750" s="1423">
        <f t="shared" si="1065"/>
        <v>0</v>
      </c>
      <c r="T750" s="1423">
        <f t="shared" si="1066"/>
        <v>0</v>
      </c>
      <c r="U750" s="1423">
        <f t="shared" si="1067"/>
        <v>0</v>
      </c>
      <c r="V750" s="1423">
        <f t="shared" si="1068"/>
        <v>0</v>
      </c>
      <c r="W750" s="1423">
        <f t="shared" si="1069"/>
        <v>0</v>
      </c>
      <c r="X750" s="152"/>
      <c r="Y750" s="152"/>
      <c r="Z750" s="152"/>
      <c r="AA750" s="152"/>
      <c r="AB750" s="152"/>
    </row>
    <row r="751" spans="1:28" hidden="1" outlineLevel="1">
      <c r="A751" s="152"/>
      <c r="B751" s="190" t="str">
        <f t="shared" ca="1" si="1070"/>
        <v>RL Capex 2026-27</v>
      </c>
      <c r="C751" s="1429"/>
      <c r="D751" s="1429"/>
      <c r="E751" s="1429"/>
      <c r="F751" s="1429"/>
      <c r="G751" s="1429"/>
      <c r="H751" s="1429"/>
      <c r="I751" s="1429"/>
      <c r="J751" s="1429"/>
      <c r="K751" s="1429"/>
      <c r="L751" s="1429"/>
      <c r="M751" s="1424"/>
      <c r="N751" s="1428">
        <f>N712</f>
        <v>0</v>
      </c>
      <c r="O751" s="1423">
        <f t="shared" si="1061"/>
        <v>0</v>
      </c>
      <c r="P751" s="1423">
        <f t="shared" si="1062"/>
        <v>0</v>
      </c>
      <c r="Q751" s="1423">
        <f t="shared" si="1063"/>
        <v>0</v>
      </c>
      <c r="R751" s="1423">
        <f t="shared" si="1064"/>
        <v>0</v>
      </c>
      <c r="S751" s="1423">
        <f t="shared" si="1065"/>
        <v>0</v>
      </c>
      <c r="T751" s="1423">
        <f t="shared" si="1066"/>
        <v>0</v>
      </c>
      <c r="U751" s="1423">
        <f t="shared" si="1067"/>
        <v>0</v>
      </c>
      <c r="V751" s="1423">
        <f t="shared" si="1068"/>
        <v>0</v>
      </c>
      <c r="W751" s="1423">
        <f t="shared" si="1069"/>
        <v>0</v>
      </c>
      <c r="X751" s="152"/>
      <c r="Y751" s="152"/>
      <c r="Z751" s="152"/>
      <c r="AA751" s="152"/>
      <c r="AB751" s="152"/>
    </row>
    <row r="752" spans="1:28" hidden="1" outlineLevel="1">
      <c r="A752" s="152"/>
      <c r="B752" s="190" t="str">
        <f t="shared" ca="1" si="1070"/>
        <v>RL Capex 2027-28</v>
      </c>
      <c r="C752" s="1429"/>
      <c r="D752" s="1429"/>
      <c r="E752" s="1429"/>
      <c r="F752" s="1429"/>
      <c r="G752" s="1429"/>
      <c r="H752" s="1429"/>
      <c r="I752" s="1429"/>
      <c r="J752" s="1429"/>
      <c r="K752" s="1429"/>
      <c r="L752" s="1429"/>
      <c r="M752" s="1429"/>
      <c r="N752" s="1424"/>
      <c r="O752" s="1428">
        <f>O712</f>
        <v>0</v>
      </c>
      <c r="P752" s="1423">
        <f t="shared" si="1062"/>
        <v>0</v>
      </c>
      <c r="Q752" s="1423">
        <f t="shared" si="1063"/>
        <v>0</v>
      </c>
      <c r="R752" s="1423">
        <f t="shared" si="1064"/>
        <v>0</v>
      </c>
      <c r="S752" s="1423">
        <f t="shared" si="1065"/>
        <v>0</v>
      </c>
      <c r="T752" s="1423">
        <f t="shared" si="1066"/>
        <v>0</v>
      </c>
      <c r="U752" s="1423">
        <f t="shared" si="1067"/>
        <v>0</v>
      </c>
      <c r="V752" s="1423">
        <f t="shared" si="1068"/>
        <v>0</v>
      </c>
      <c r="W752" s="1423">
        <f t="shared" si="1069"/>
        <v>0</v>
      </c>
      <c r="X752" s="152"/>
      <c r="Y752" s="152"/>
      <c r="Z752" s="152"/>
      <c r="AA752" s="152"/>
      <c r="AB752" s="152"/>
    </row>
    <row r="753" spans="1:28" hidden="1" outlineLevel="1">
      <c r="A753" s="152"/>
      <c r="B753" s="190" t="str">
        <f t="shared" ca="1" si="1070"/>
        <v>RL Capex 2028-29</v>
      </c>
      <c r="C753" s="1429"/>
      <c r="D753" s="1429"/>
      <c r="E753" s="1429"/>
      <c r="F753" s="1429"/>
      <c r="G753" s="1429"/>
      <c r="H753" s="1429"/>
      <c r="I753" s="1429"/>
      <c r="J753" s="1429"/>
      <c r="K753" s="1429"/>
      <c r="L753" s="1429"/>
      <c r="M753" s="1429"/>
      <c r="N753" s="1429"/>
      <c r="O753" s="1424"/>
      <c r="P753" s="1428">
        <f>P712</f>
        <v>0</v>
      </c>
      <c r="Q753" s="1423">
        <f t="shared" si="1063"/>
        <v>0</v>
      </c>
      <c r="R753" s="1423">
        <f t="shared" si="1064"/>
        <v>0</v>
      </c>
      <c r="S753" s="1423">
        <f t="shared" si="1065"/>
        <v>0</v>
      </c>
      <c r="T753" s="1423">
        <f t="shared" si="1066"/>
        <v>0</v>
      </c>
      <c r="U753" s="1423">
        <f t="shared" si="1067"/>
        <v>0</v>
      </c>
      <c r="V753" s="1423">
        <f t="shared" si="1068"/>
        <v>0</v>
      </c>
      <c r="W753" s="1423">
        <f t="shared" si="1069"/>
        <v>0</v>
      </c>
      <c r="X753" s="152"/>
      <c r="Y753" s="152"/>
      <c r="Z753" s="152"/>
      <c r="AA753" s="152"/>
      <c r="AB753" s="152"/>
    </row>
    <row r="754" spans="1:28" hidden="1" outlineLevel="1">
      <c r="A754" s="152"/>
      <c r="B754" s="190" t="str">
        <f t="shared" ca="1" si="1070"/>
        <v>RL Capex 2029-30</v>
      </c>
      <c r="C754" s="1429"/>
      <c r="D754" s="1429"/>
      <c r="E754" s="1429"/>
      <c r="F754" s="1429"/>
      <c r="G754" s="1429"/>
      <c r="H754" s="1429"/>
      <c r="I754" s="1429"/>
      <c r="J754" s="1429"/>
      <c r="K754" s="1429"/>
      <c r="L754" s="1429"/>
      <c r="M754" s="1429"/>
      <c r="N754" s="1429"/>
      <c r="O754" s="1429"/>
      <c r="P754" s="1424"/>
      <c r="Q754" s="1428">
        <f>Q712</f>
        <v>0</v>
      </c>
      <c r="R754" s="1423">
        <f t="shared" si="1064"/>
        <v>0</v>
      </c>
      <c r="S754" s="1423">
        <f t="shared" si="1065"/>
        <v>0</v>
      </c>
      <c r="T754" s="1423">
        <f t="shared" si="1066"/>
        <v>0</v>
      </c>
      <c r="U754" s="1423">
        <f t="shared" si="1067"/>
        <v>0</v>
      </c>
      <c r="V754" s="1423">
        <f t="shared" si="1068"/>
        <v>0</v>
      </c>
      <c r="W754" s="1423">
        <f t="shared" si="1069"/>
        <v>0</v>
      </c>
      <c r="X754" s="152"/>
      <c r="Y754" s="152"/>
      <c r="Z754" s="152"/>
      <c r="AA754" s="152"/>
      <c r="AB754" s="152"/>
    </row>
    <row r="755" spans="1:28" hidden="1" outlineLevel="1">
      <c r="A755" s="152"/>
      <c r="B755" s="190" t="str">
        <f t="shared" ca="1" si="1070"/>
        <v>RL Capex 2030-31</v>
      </c>
      <c r="C755" s="1429"/>
      <c r="D755" s="1429"/>
      <c r="E755" s="1429"/>
      <c r="F755" s="1429"/>
      <c r="G755" s="1429"/>
      <c r="H755" s="1429"/>
      <c r="I755" s="1429"/>
      <c r="J755" s="1429"/>
      <c r="K755" s="1429"/>
      <c r="L755" s="1429"/>
      <c r="M755" s="1429"/>
      <c r="N755" s="1429"/>
      <c r="O755" s="1429"/>
      <c r="P755" s="1429"/>
      <c r="Q755" s="1424"/>
      <c r="R755" s="1428">
        <f>R712</f>
        <v>0</v>
      </c>
      <c r="S755" s="1423">
        <f t="shared" si="1065"/>
        <v>0</v>
      </c>
      <c r="T755" s="1423">
        <f t="shared" si="1066"/>
        <v>0</v>
      </c>
      <c r="U755" s="1423">
        <f t="shared" si="1067"/>
        <v>0</v>
      </c>
      <c r="V755" s="1423">
        <f t="shared" si="1068"/>
        <v>0</v>
      </c>
      <c r="W755" s="1423">
        <f t="shared" si="1069"/>
        <v>0</v>
      </c>
      <c r="X755" s="152"/>
      <c r="Y755" s="152"/>
      <c r="Z755" s="152"/>
      <c r="AA755" s="152"/>
      <c r="AB755" s="152"/>
    </row>
    <row r="756" spans="1:28" hidden="1" outlineLevel="1">
      <c r="A756" s="152"/>
      <c r="B756" s="190" t="str">
        <f t="shared" ca="1" si="1070"/>
        <v>RL Capex 2031-32</v>
      </c>
      <c r="C756" s="1429"/>
      <c r="D756" s="1429"/>
      <c r="E756" s="1429"/>
      <c r="F756" s="1429"/>
      <c r="G756" s="1429"/>
      <c r="H756" s="1429"/>
      <c r="I756" s="1429"/>
      <c r="J756" s="1429"/>
      <c r="K756" s="1429"/>
      <c r="L756" s="1429"/>
      <c r="M756" s="1429"/>
      <c r="N756" s="1429"/>
      <c r="O756" s="1429"/>
      <c r="P756" s="1429"/>
      <c r="Q756" s="1429"/>
      <c r="R756" s="1424"/>
      <c r="S756" s="1428">
        <f>S712</f>
        <v>0</v>
      </c>
      <c r="T756" s="1423">
        <f t="shared" si="1066"/>
        <v>0</v>
      </c>
      <c r="U756" s="1423">
        <f t="shared" si="1067"/>
        <v>0</v>
      </c>
      <c r="V756" s="1423">
        <f t="shared" si="1068"/>
        <v>0</v>
      </c>
      <c r="W756" s="1423">
        <f t="shared" si="1069"/>
        <v>0</v>
      </c>
      <c r="X756" s="152"/>
      <c r="Y756" s="152"/>
      <c r="Z756" s="152"/>
      <c r="AA756" s="152"/>
      <c r="AB756" s="152"/>
    </row>
    <row r="757" spans="1:28" hidden="1" outlineLevel="1">
      <c r="A757" s="152"/>
      <c r="B757" s="190" t="str">
        <f t="shared" ca="1" si="1070"/>
        <v>RL Capex 2032-33</v>
      </c>
      <c r="C757" s="1429"/>
      <c r="D757" s="1429"/>
      <c r="E757" s="1429"/>
      <c r="F757" s="1429"/>
      <c r="G757" s="1429"/>
      <c r="H757" s="1429"/>
      <c r="I757" s="1429"/>
      <c r="J757" s="1429"/>
      <c r="K757" s="1429"/>
      <c r="L757" s="1429"/>
      <c r="M757" s="1429"/>
      <c r="N757" s="1429"/>
      <c r="O757" s="1429"/>
      <c r="P757" s="1429"/>
      <c r="Q757" s="1429"/>
      <c r="R757" s="1429"/>
      <c r="S757" s="1424"/>
      <c r="T757" s="1428">
        <f>T712</f>
        <v>0</v>
      </c>
      <c r="U757" s="1423">
        <f t="shared" si="1067"/>
        <v>0</v>
      </c>
      <c r="V757" s="1423">
        <f t="shared" si="1068"/>
        <v>0</v>
      </c>
      <c r="W757" s="1423">
        <f t="shared" si="1069"/>
        <v>0</v>
      </c>
      <c r="X757" s="152"/>
      <c r="Y757" s="152"/>
      <c r="Z757" s="152"/>
      <c r="AA757" s="152"/>
      <c r="AB757" s="152"/>
    </row>
    <row r="758" spans="1:28" hidden="1" outlineLevel="1">
      <c r="A758" s="152"/>
      <c r="B758" s="190" t="str">
        <f t="shared" ca="1" si="1070"/>
        <v>RL Capex 2033-34</v>
      </c>
      <c r="C758" s="1429"/>
      <c r="D758" s="1429"/>
      <c r="E758" s="1429"/>
      <c r="F758" s="1429"/>
      <c r="G758" s="1429"/>
      <c r="H758" s="1429"/>
      <c r="I758" s="1429"/>
      <c r="J758" s="1429"/>
      <c r="K758" s="1429"/>
      <c r="L758" s="1429"/>
      <c r="M758" s="1429"/>
      <c r="N758" s="1429"/>
      <c r="O758" s="1429"/>
      <c r="P758" s="1429"/>
      <c r="Q758" s="1429"/>
      <c r="R758" s="1429"/>
      <c r="S758" s="1429"/>
      <c r="T758" s="1424"/>
      <c r="U758" s="1428">
        <f>U712</f>
        <v>0</v>
      </c>
      <c r="V758" s="1423">
        <f t="shared" si="1068"/>
        <v>0</v>
      </c>
      <c r="W758" s="1423">
        <f t="shared" si="1069"/>
        <v>0</v>
      </c>
      <c r="X758" s="152"/>
      <c r="Y758" s="152"/>
      <c r="Z758" s="152"/>
      <c r="AA758" s="152"/>
      <c r="AB758" s="152"/>
    </row>
    <row r="759" spans="1:28" hidden="1" outlineLevel="1">
      <c r="A759" s="152"/>
      <c r="B759" s="190" t="str">
        <f t="shared" ca="1" si="1070"/>
        <v>RL Capex 2034-35</v>
      </c>
      <c r="C759" s="1429"/>
      <c r="D759" s="1429"/>
      <c r="E759" s="1429"/>
      <c r="F759" s="1429"/>
      <c r="G759" s="1429"/>
      <c r="H759" s="1429"/>
      <c r="I759" s="1429"/>
      <c r="J759" s="1429"/>
      <c r="K759" s="1429"/>
      <c r="L759" s="1429"/>
      <c r="M759" s="1429"/>
      <c r="N759" s="1429"/>
      <c r="O759" s="1429"/>
      <c r="P759" s="1429"/>
      <c r="Q759" s="1429"/>
      <c r="R759" s="1429"/>
      <c r="S759" s="1429"/>
      <c r="T759" s="1429"/>
      <c r="U759" s="1424"/>
      <c r="V759" s="1428">
        <f>V712</f>
        <v>0</v>
      </c>
      <c r="W759" s="1423">
        <f>IF(V759="n/a","n/a",MAX(0,V759-1))</f>
        <v>0</v>
      </c>
      <c r="X759" s="152"/>
      <c r="Y759" s="152"/>
      <c r="Z759" s="152"/>
      <c r="AA759" s="152"/>
      <c r="AB759" s="152"/>
    </row>
    <row r="760" spans="1:28" hidden="1" outlineLevel="1">
      <c r="A760" s="152"/>
      <c r="B760" s="190" t="str">
        <f t="shared" ca="1" si="1070"/>
        <v>RL Capex 2035-36</v>
      </c>
      <c r="C760" s="1429"/>
      <c r="D760" s="1429"/>
      <c r="E760" s="1429"/>
      <c r="F760" s="1429"/>
      <c r="G760" s="1429"/>
      <c r="H760" s="1429"/>
      <c r="I760" s="1429"/>
      <c r="J760" s="1429"/>
      <c r="K760" s="1429"/>
      <c r="L760" s="1429"/>
      <c r="M760" s="1429"/>
      <c r="N760" s="1429"/>
      <c r="O760" s="1429"/>
      <c r="P760" s="1429"/>
      <c r="Q760" s="1429"/>
      <c r="R760" s="1429"/>
      <c r="S760" s="1429"/>
      <c r="T760" s="1429"/>
      <c r="U760" s="1429"/>
      <c r="V760" s="1424"/>
      <c r="W760" s="1423">
        <f>W712</f>
        <v>0</v>
      </c>
      <c r="X760" s="152"/>
      <c r="Y760" s="152"/>
      <c r="Z760" s="152"/>
      <c r="AA760" s="152"/>
      <c r="AB760" s="152"/>
    </row>
    <row r="761" spans="1:28" hidden="1" outlineLevel="1">
      <c r="A761" s="152"/>
      <c r="B761" s="200"/>
      <c r="C761" s="1423"/>
      <c r="D761" s="1423"/>
      <c r="E761" s="1423"/>
      <c r="F761" s="1423"/>
      <c r="G761" s="1423"/>
      <c r="H761" s="1423"/>
      <c r="I761" s="1423"/>
      <c r="J761" s="1423"/>
      <c r="K761" s="1423"/>
      <c r="L761" s="1423"/>
      <c r="M761" s="1423"/>
      <c r="N761" s="1423"/>
      <c r="O761" s="1423"/>
      <c r="P761" s="1423"/>
      <c r="Q761" s="1423"/>
      <c r="R761" s="1423"/>
      <c r="S761" s="1423"/>
      <c r="T761" s="1423"/>
      <c r="U761" s="1423"/>
      <c r="V761" s="1423"/>
      <c r="W761" s="1423"/>
      <c r="X761" s="152"/>
      <c r="Y761" s="152"/>
      <c r="Z761" s="152"/>
      <c r="AA761" s="152"/>
      <c r="AB761" s="152"/>
    </row>
    <row r="762" spans="1:28" collapsed="1">
      <c r="A762" s="194"/>
      <c r="B762" s="204" t="s">
        <v>123</v>
      </c>
      <c r="C762" s="1430">
        <f ca="1">(IF(OR($C712&lt;&gt;"n/a",C712&lt;&gt;"n/a"),IF(SUM(C715:C737)=0,0,IF((SUMPRODUCT(C715:C737,C739:C761)/SUM(C715:C737))&lt;0,1,(SUMPRODUCT(C715:C737,C739:C761)/SUM(C715:C737)))),"n/a"))</f>
        <v>0</v>
      </c>
      <c r="D762" s="1430">
        <f ca="1">(IF(OR($C712&lt;&gt;"n/a",D712&lt;&gt;"n/a"),IF(SUM(D715:D737)=0,0,IF((SUMPRODUCT(D715:D737,D739:D761)/SUM(D715:D737))&lt;0,1,(SUMPRODUCT(D715:D737,D739:D761)/SUM(D715:D737)))),"n/a"))</f>
        <v>0</v>
      </c>
      <c r="E762" s="1430">
        <f t="shared" ref="E762:W762" ca="1" si="1071">(IF(OR($C712&lt;&gt;"n/a",E712&lt;&gt;"n/a"),IF(SUM(E715:E737)=0,0,IF((SUMPRODUCT(E715:E737,E739:E761)/SUM(E715:E737))&lt;0,1,(SUMPRODUCT(E715:E737,E739:E761)/SUM(E715:E737)))),"n/a"))</f>
        <v>0</v>
      </c>
      <c r="F762" s="1430">
        <f t="shared" ca="1" si="1071"/>
        <v>0</v>
      </c>
      <c r="G762" s="1430">
        <f t="shared" ca="1" si="1071"/>
        <v>0</v>
      </c>
      <c r="H762" s="1430">
        <f t="shared" ca="1" si="1071"/>
        <v>0</v>
      </c>
      <c r="I762" s="1430">
        <f t="shared" ca="1" si="1071"/>
        <v>0</v>
      </c>
      <c r="J762" s="1430">
        <f t="shared" ca="1" si="1071"/>
        <v>0</v>
      </c>
      <c r="K762" s="1430">
        <f t="shared" ca="1" si="1071"/>
        <v>0</v>
      </c>
      <c r="L762" s="1430">
        <f t="shared" ca="1" si="1071"/>
        <v>0</v>
      </c>
      <c r="M762" s="1430">
        <f t="shared" ca="1" si="1071"/>
        <v>0</v>
      </c>
      <c r="N762" s="1430">
        <f t="shared" ca="1" si="1071"/>
        <v>0</v>
      </c>
      <c r="O762" s="1430">
        <f t="shared" ca="1" si="1071"/>
        <v>0</v>
      </c>
      <c r="P762" s="1430">
        <f t="shared" ca="1" si="1071"/>
        <v>0</v>
      </c>
      <c r="Q762" s="1430">
        <f t="shared" ca="1" si="1071"/>
        <v>0</v>
      </c>
      <c r="R762" s="1430">
        <f t="shared" ca="1" si="1071"/>
        <v>0</v>
      </c>
      <c r="S762" s="1430">
        <f t="shared" ca="1" si="1071"/>
        <v>0</v>
      </c>
      <c r="T762" s="1430">
        <f t="shared" ca="1" si="1071"/>
        <v>0</v>
      </c>
      <c r="U762" s="1430">
        <f t="shared" ca="1" si="1071"/>
        <v>0</v>
      </c>
      <c r="V762" s="1430">
        <f t="shared" ca="1" si="1071"/>
        <v>0</v>
      </c>
      <c r="W762" s="1430">
        <f t="shared" ca="1" si="1071"/>
        <v>0</v>
      </c>
      <c r="X762" s="152"/>
      <c r="Y762" s="152"/>
      <c r="Z762" s="152"/>
      <c r="AA762" s="152"/>
      <c r="AB762" s="152"/>
    </row>
    <row r="763" spans="1:28">
      <c r="A763" s="152"/>
      <c r="B763" s="152"/>
      <c r="C763" s="1423"/>
      <c r="D763" s="1423"/>
      <c r="E763" s="1423"/>
      <c r="F763" s="1423"/>
      <c r="G763" s="1423"/>
      <c r="H763" s="1423"/>
      <c r="I763" s="1423"/>
      <c r="J763" s="1423"/>
      <c r="K763" s="1423"/>
      <c r="L763" s="1423"/>
      <c r="M763" s="1423"/>
      <c r="N763" s="1423"/>
      <c r="O763" s="1423"/>
      <c r="P763" s="1423"/>
      <c r="Q763" s="1423"/>
      <c r="R763" s="1423"/>
      <c r="S763" s="1423"/>
      <c r="T763" s="1423"/>
      <c r="U763" s="1423"/>
      <c r="V763" s="1423"/>
      <c r="W763" s="1423"/>
      <c r="X763" s="152"/>
      <c r="Y763" s="152"/>
      <c r="Z763" s="152"/>
      <c r="AA763" s="152"/>
      <c r="AB763" s="152"/>
    </row>
    <row r="764" spans="1:28">
      <c r="A764" s="269" t="s">
        <v>15</v>
      </c>
      <c r="B764" s="270">
        <f>VLOOKUP($A764,'RFM input'!$E$7:$F$56,2,FALSE)</f>
        <v>0</v>
      </c>
      <c r="C764" s="1431"/>
      <c r="D764" s="1431"/>
      <c r="E764" s="1432"/>
      <c r="F764" s="1432"/>
      <c r="G764" s="1432"/>
      <c r="H764" s="1432"/>
      <c r="I764" s="1432"/>
      <c r="J764" s="1432"/>
      <c r="K764" s="1432"/>
      <c r="L764" s="1432"/>
      <c r="M764" s="1432"/>
      <c r="N764" s="1432"/>
      <c r="O764" s="1432"/>
      <c r="P764" s="1432"/>
      <c r="Q764" s="1432"/>
      <c r="R764" s="1432"/>
      <c r="S764" s="1432"/>
      <c r="T764" s="1432"/>
      <c r="U764" s="1432"/>
      <c r="V764" s="1432"/>
      <c r="W764" s="1432"/>
      <c r="X764" s="152"/>
      <c r="Y764" s="152"/>
      <c r="Z764" s="152"/>
      <c r="AA764" s="152"/>
      <c r="AB764" s="152"/>
    </row>
    <row r="765" spans="1:28">
      <c r="A765" s="215">
        <f>VALUE(REPLACE(A764,1,12,""))</f>
        <v>15</v>
      </c>
      <c r="B765" s="263" t="s">
        <v>126</v>
      </c>
      <c r="C765" s="1416">
        <f ca="1">IF($D$6='TAB roll forward'!$H$4,OFFSET('TAB roll forward'!$H$7,A765,0),"enter input")</f>
        <v>0</v>
      </c>
      <c r="D765" s="1417">
        <f>IF(LEFT(D$6,4)&lt;LEFT('RFM input'!$G$60,4),"enter input",IF(LEFT(D$6,4)&gt;LEFT('RFM input'!$Q$60,4),0,
INDEX('RFM input'!$G$61:$Q$110,$A765,MATCH(D$6,'RFM input'!$G$60:$Q$60,0))
   -INDEX('RFM input'!$G$115:$Q$164,$A765,MATCH(D$6,'RFM input'!$G$60:$Q$60,0))))</f>
        <v>0</v>
      </c>
      <c r="E765" s="1417">
        <f>IF(LEFT(E$6,4)&lt;LEFT('RFM input'!$G$60,4),"enter input",IF(LEFT(E$6,4)&gt;LEFT('RFM input'!$Q$60,4),0,
INDEX('RFM input'!$G$61:$Q$110,$A765,MATCH(E$6,'RFM input'!$G$60:$Q$60,0))
   -INDEX('RFM input'!$G$115:$Q$164,$A765,MATCH(E$6,'RFM input'!$G$60:$Q$60,0))))</f>
        <v>0</v>
      </c>
      <c r="F765" s="1417">
        <f>IF(LEFT(F$6,4)&lt;LEFT('RFM input'!$G$60,4),"enter input",IF(LEFT(F$6,4)&gt;LEFT('RFM input'!$Q$60,4),0,
INDEX('RFM input'!$G$61:$Q$110,$A765,MATCH(F$6,'RFM input'!$G$60:$Q$60,0))
   -INDEX('RFM input'!$G$115:$Q$164,$A765,MATCH(F$6,'RFM input'!$G$60:$Q$60,0))))</f>
        <v>0</v>
      </c>
      <c r="G765" s="1417">
        <f>IF(LEFT(G$6,4)&lt;LEFT('RFM input'!$G$60,4),"enter input",IF(LEFT(G$6,4)&gt;LEFT('RFM input'!$Q$60,4),0,
INDEX('RFM input'!$G$61:$Q$110,$A765,MATCH(G$6,'RFM input'!$G$60:$Q$60,0))
   -INDEX('RFM input'!$G$115:$Q$164,$A765,MATCH(G$6,'RFM input'!$G$60:$Q$60,0))))</f>
        <v>0</v>
      </c>
      <c r="H765" s="1417">
        <f>IF(LEFT(H$6,4)&lt;LEFT('RFM input'!$G$60,4),"enter input",IF(LEFT(H$6,4)&gt;LEFT('RFM input'!$Q$60,4),0,
INDEX('RFM input'!$G$61:$Q$110,$A765,MATCH(H$6,'RFM input'!$G$60:$Q$60,0))
   -INDEX('RFM input'!$G$115:$Q$164,$A765,MATCH(H$6,'RFM input'!$G$60:$Q$60,0))))</f>
        <v>0</v>
      </c>
      <c r="I765" s="1417">
        <f>IF(LEFT(I$6,4)&lt;LEFT('RFM input'!$G$60,4),"enter input",IF(LEFT(I$6,4)&gt;LEFT('RFM input'!$Q$60,4),0,
INDEX('RFM input'!$G$61:$Q$110,$A765,MATCH(I$6,'RFM input'!$G$60:$Q$60,0))
   -INDEX('RFM input'!$G$115:$Q$164,$A765,MATCH(I$6,'RFM input'!$G$60:$Q$60,0))))</f>
        <v>0</v>
      </c>
      <c r="J765" s="1417">
        <f>IF(LEFT(J$6,4)&lt;LEFT('RFM input'!$G$60,4),"enter input",IF(LEFT(J$6,4)&gt;LEFT('RFM input'!$Q$60,4),0,
INDEX('RFM input'!$G$61:$Q$110,$A765,MATCH(J$6,'RFM input'!$G$60:$Q$60,0))
   -INDEX('RFM input'!$G$115:$Q$164,$A765,MATCH(J$6,'RFM input'!$G$60:$Q$60,0))))</f>
        <v>0</v>
      </c>
      <c r="K765" s="1417">
        <f>IF(LEFT(K$6,4)&lt;LEFT('RFM input'!$G$60,4),"enter input",IF(LEFT(K$6,4)&gt;LEFT('RFM input'!$Q$60,4),0,
INDEX('RFM input'!$G$61:$Q$110,$A765,MATCH(K$6,'RFM input'!$G$60:$Q$60,0))
   -INDEX('RFM input'!$G$115:$Q$164,$A765,MATCH(K$6,'RFM input'!$G$60:$Q$60,0))))</f>
        <v>0</v>
      </c>
      <c r="L765" s="1417">
        <f>IF(LEFT(L$6,4)&lt;LEFT('RFM input'!$G$60,4),"enter input",IF(LEFT(L$6,4)&gt;LEFT('RFM input'!$Q$60,4),0,
INDEX('RFM input'!$G$61:$Q$110,$A765,MATCH(L$6,'RFM input'!$G$60:$Q$60,0))
   -INDEX('RFM input'!$G$115:$Q$164,$A765,MATCH(L$6,'RFM input'!$G$60:$Q$60,0))))</f>
        <v>0</v>
      </c>
      <c r="M765" s="1417">
        <f>IF(LEFT(M$6,4)&lt;LEFT('RFM input'!$G$60,4),"enter input",IF(LEFT(M$6,4)&gt;LEFT('RFM input'!$Q$60,4),0,
INDEX('RFM input'!$G$61:$Q$110,$A765,MATCH(M$6,'RFM input'!$G$60:$Q$60,0))
   -INDEX('RFM input'!$G$115:$Q$164,$A765,MATCH(M$6,'RFM input'!$G$60:$Q$60,0))))</f>
        <v>0</v>
      </c>
      <c r="N765" s="1417">
        <f>IF(LEFT(N$6,4)&lt;LEFT('RFM input'!$G$60,4),"enter input",IF(LEFT(N$6,4)&gt;LEFT('RFM input'!$Q$60,4),0,
INDEX('RFM input'!$G$61:$Q$110,$A765,MATCH(N$6,'RFM input'!$G$60:$Q$60,0))
   -INDEX('RFM input'!$G$115:$Q$164,$A765,MATCH(N$6,'RFM input'!$G$60:$Q$60,0))))</f>
        <v>0</v>
      </c>
      <c r="O765" s="1417">
        <f>IF(LEFT(O$6,4)&lt;LEFT('RFM input'!$G$60,4),"enter input",IF(LEFT(O$6,4)&gt;LEFT('RFM input'!$Q$60,4),0,
INDEX('RFM input'!$G$61:$Q$110,$A765,MATCH(O$6,'RFM input'!$G$60:$Q$60,0))
   -INDEX('RFM input'!$G$115:$Q$164,$A765,MATCH(O$6,'RFM input'!$G$60:$Q$60,0))))</f>
        <v>0</v>
      </c>
      <c r="P765" s="1417">
        <f>IF(LEFT(P$6,4)&lt;LEFT('RFM input'!$G$60,4),"enter input",IF(LEFT(P$6,4)&gt;LEFT('RFM input'!$Q$60,4),0,
INDEX('RFM input'!$G$61:$Q$110,$A765,MATCH(P$6,'RFM input'!$G$60:$Q$60,0))
   -INDEX('RFM input'!$G$115:$Q$164,$A765,MATCH(P$6,'RFM input'!$G$60:$Q$60,0))))</f>
        <v>0</v>
      </c>
      <c r="Q765" s="1417">
        <f>IF(LEFT(Q$6,4)&lt;LEFT('RFM input'!$G$60,4),"enter input",IF(LEFT(Q$6,4)&gt;LEFT('RFM input'!$Q$60,4),0,
INDEX('RFM input'!$G$61:$Q$110,$A765,MATCH(Q$6,'RFM input'!$G$60:$Q$60,0))
   -INDEX('RFM input'!$G$115:$Q$164,$A765,MATCH(Q$6,'RFM input'!$G$60:$Q$60,0))))</f>
        <v>0</v>
      </c>
      <c r="R765" s="1417">
        <f>IF(LEFT(R$6,4)&lt;LEFT('RFM input'!$G$60,4),"enter input",IF(LEFT(R$6,4)&gt;LEFT('RFM input'!$Q$60,4),0,
INDEX('RFM input'!$G$61:$Q$110,$A765,MATCH(R$6,'RFM input'!$G$60:$Q$60,0))
   -INDEX('RFM input'!$G$115:$Q$164,$A765,MATCH(R$6,'RFM input'!$G$60:$Q$60,0))))</f>
        <v>0</v>
      </c>
      <c r="S765" s="1417">
        <f>IF(LEFT(S$6,4)&lt;LEFT('RFM input'!$G$60,4),"enter input",IF(LEFT(S$6,4)&gt;LEFT('RFM input'!$Q$60,4),0,
INDEX('RFM input'!$G$61:$Q$110,$A765,MATCH(S$6,'RFM input'!$G$60:$Q$60,0))
   -INDEX('RFM input'!$G$115:$Q$164,$A765,MATCH(S$6,'RFM input'!$G$60:$Q$60,0))))</f>
        <v>0</v>
      </c>
      <c r="T765" s="1417">
        <f>IF(LEFT(T$6,4)&lt;LEFT('RFM input'!$G$60,4),"enter input",IF(LEFT(T$6,4)&gt;LEFT('RFM input'!$Q$60,4),0,
INDEX('RFM input'!$G$61:$Q$110,$A765,MATCH(T$6,'RFM input'!$G$60:$Q$60,0))
   -INDEX('RFM input'!$G$115:$Q$164,$A765,MATCH(T$6,'RFM input'!$G$60:$Q$60,0))))</f>
        <v>0</v>
      </c>
      <c r="U765" s="1417">
        <f>IF(LEFT(U$6,4)&lt;LEFT('RFM input'!$G$60,4),"enter input",IF(LEFT(U$6,4)&gt;LEFT('RFM input'!$Q$60,4),0,
INDEX('RFM input'!$G$61:$Q$110,$A765,MATCH(U$6,'RFM input'!$G$60:$Q$60,0))
   -INDEX('RFM input'!$G$115:$Q$164,$A765,MATCH(U$6,'RFM input'!$G$60:$Q$60,0))))</f>
        <v>0</v>
      </c>
      <c r="V765" s="1417">
        <f>IF(LEFT(V$6,4)&lt;LEFT('RFM input'!$G$60,4),"enter input",IF(LEFT(V$6,4)&gt;LEFT('RFM input'!$Q$60,4),0,
INDEX('RFM input'!$G$61:$Q$110,$A765,MATCH(V$6,'RFM input'!$G$60:$Q$60,0))
   -INDEX('RFM input'!$G$115:$Q$164,$A765,MATCH(V$6,'RFM input'!$G$60:$Q$60,0))))</f>
        <v>0</v>
      </c>
      <c r="W765" s="1417">
        <f>IF(LEFT(W$6,4)&lt;LEFT('RFM input'!$G$60,4),"enter input",IF(LEFT(W$6,4)&gt;LEFT('RFM input'!$Q$60,4),0,
INDEX('RFM input'!$G$61:$Q$110,$A765,MATCH(W$6,'RFM input'!$G$60:$Q$60,0))
   -INDEX('RFM input'!$G$115:$Q$164,$A765,MATCH(W$6,'RFM input'!$G$60:$Q$60,0))))</f>
        <v>0</v>
      </c>
      <c r="X765" s="152"/>
      <c r="Y765" s="152"/>
      <c r="Z765" s="152"/>
      <c r="AA765" s="152"/>
      <c r="AB765" s="152"/>
    </row>
    <row r="766" spans="1:28">
      <c r="A766" s="152"/>
      <c r="B766" s="152" t="s">
        <v>205</v>
      </c>
      <c r="C766" s="1418">
        <f ca="1">IF($D$6='TAB roll forward'!$H$4,OFFSET('RFM input'!$S$6,$A765,0),"enter input")</f>
        <v>0</v>
      </c>
      <c r="D766" s="1417">
        <f>IF(LEFT(D$6,4)&lt;=LEFT('RFM input'!$G$60,4),"enter input",IF(LEFT(D$6,4)&gt;LEFT('RFM input'!$Q$60,4),0,
IF(MATCH(D$6,'RFM input'!$H$60:$Q$60,0),INDEX('RFM input'!$T$7:$T$56,$A765,1,1))))</f>
        <v>0</v>
      </c>
      <c r="E766" s="1417">
        <f>IF(LEFT(E$6,4)&lt;=LEFT('RFM input'!$G$60,4),"enter input",IF(LEFT(E$6,4)&gt;LEFT('RFM input'!$Q$60,4),0,
IF(MATCH(E$6,'RFM input'!$H$60:$Q$60,0),INDEX('RFM input'!$T$7:$T$56,$A765,1,1))))</f>
        <v>0</v>
      </c>
      <c r="F766" s="1417">
        <f>IF(LEFT(F$6,4)&lt;=LEFT('RFM input'!$G$60,4),"enter input",IF(LEFT(F$6,4)&gt;LEFT('RFM input'!$Q$60,4),0,
IF(MATCH(F$6,'RFM input'!$H$60:$Q$60,0),INDEX('RFM input'!$T$7:$T$56,$A765,1,1))))</f>
        <v>0</v>
      </c>
      <c r="G766" s="1417">
        <f>IF(LEFT(G$6,4)&lt;=LEFT('RFM input'!$G$60,4),"enter input",IF(LEFT(G$6,4)&gt;LEFT('RFM input'!$Q$60,4),0,
IF(MATCH(G$6,'RFM input'!$H$60:$Q$60,0),INDEX('RFM input'!$T$7:$T$56,$A765,1,1))))</f>
        <v>0</v>
      </c>
      <c r="H766" s="1417">
        <f>IF(LEFT(H$6,4)&lt;=LEFT('RFM input'!$G$60,4),"enter input",IF(LEFT(H$6,4)&gt;LEFT('RFM input'!$Q$60,4),0,
IF(MATCH(H$6,'RFM input'!$H$60:$Q$60,0),INDEX('RFM input'!$T$7:$T$56,$A765,1,1))))</f>
        <v>0</v>
      </c>
      <c r="I766" s="1417">
        <f>IF(LEFT(I$6,4)&lt;=LEFT('RFM input'!$G$60,4),"enter input",IF(LEFT(I$6,4)&gt;LEFT('RFM input'!$Q$60,4),0,
IF(MATCH(I$6,'RFM input'!$H$60:$Q$60,0),INDEX('RFM input'!$T$7:$T$56,$A765,1,1))))</f>
        <v>0</v>
      </c>
      <c r="J766" s="1417">
        <f>IF(LEFT(J$6,4)&lt;=LEFT('RFM input'!$G$60,4),"enter input",IF(LEFT(J$6,4)&gt;LEFT('RFM input'!$Q$60,4),0,
IF(MATCH(J$6,'RFM input'!$H$60:$Q$60,0),INDEX('RFM input'!$T$7:$T$56,$A765,1,1))))</f>
        <v>0</v>
      </c>
      <c r="K766" s="1417">
        <f>IF(LEFT(K$6,4)&lt;=LEFT('RFM input'!$G$60,4),"enter input",IF(LEFT(K$6,4)&gt;LEFT('RFM input'!$Q$60,4),0,
IF(MATCH(K$6,'RFM input'!$H$60:$Q$60,0),INDEX('RFM input'!$T$7:$T$56,$A765,1,1))))</f>
        <v>0</v>
      </c>
      <c r="L766" s="1417">
        <f>IF(LEFT(L$6,4)&lt;=LEFT('RFM input'!$G$60,4),"enter input",IF(LEFT(L$6,4)&gt;LEFT('RFM input'!$Q$60,4),0,
IF(MATCH(L$6,'RFM input'!$H$60:$Q$60,0),INDEX('RFM input'!$T$7:$T$56,$A765,1,1))))</f>
        <v>0</v>
      </c>
      <c r="M766" s="1417">
        <f>IF(LEFT(M$6,4)&lt;=LEFT('RFM input'!$G$60,4),"enter input",IF(LEFT(M$6,4)&gt;LEFT('RFM input'!$Q$60,4),0,
IF(MATCH(M$6,'RFM input'!$H$60:$Q$60,0),INDEX('RFM input'!$T$7:$T$56,$A765,1,1))))</f>
        <v>0</v>
      </c>
      <c r="N766" s="1417">
        <f>IF(LEFT(N$6,4)&lt;=LEFT('RFM input'!$G$60,4),"enter input",IF(LEFT(N$6,4)&gt;LEFT('RFM input'!$Q$60,4),0,
IF(MATCH(N$6,'RFM input'!$H$60:$Q$60,0),INDEX('RFM input'!$T$7:$T$56,$A765,1,1))))</f>
        <v>0</v>
      </c>
      <c r="O766" s="1417">
        <f>IF(LEFT(O$6,4)&lt;=LEFT('RFM input'!$G$60,4),"enter input",IF(LEFT(O$6,4)&gt;LEFT('RFM input'!$Q$60,4),0,
IF(MATCH(O$6,'RFM input'!$H$60:$Q$60,0),INDEX('RFM input'!$T$7:$T$56,$A765,1,1))))</f>
        <v>0</v>
      </c>
      <c r="P766" s="1417">
        <f>IF(LEFT(P$6,4)&lt;=LEFT('RFM input'!$G$60,4),"enter input",IF(LEFT(P$6,4)&gt;LEFT('RFM input'!$Q$60,4),0,
IF(MATCH(P$6,'RFM input'!$H$60:$Q$60,0),INDEX('RFM input'!$T$7:$T$56,$A765,1,1))))</f>
        <v>0</v>
      </c>
      <c r="Q766" s="1417">
        <f>IF(LEFT(Q$6,4)&lt;=LEFT('RFM input'!$G$60,4),"enter input",IF(LEFT(Q$6,4)&gt;LEFT('RFM input'!$Q$60,4),0,
IF(MATCH(Q$6,'RFM input'!$H$60:$Q$60,0),INDEX('RFM input'!$T$7:$T$56,$A765,1,1))))</f>
        <v>0</v>
      </c>
      <c r="R766" s="1417">
        <f>IF(LEFT(R$6,4)&lt;=LEFT('RFM input'!$G$60,4),"enter input",IF(LEFT(R$6,4)&gt;LEFT('RFM input'!$Q$60,4),0,
IF(MATCH(R$6,'RFM input'!$H$60:$Q$60,0),INDEX('RFM input'!$T$7:$T$56,$A765,1,1))))</f>
        <v>0</v>
      </c>
      <c r="S766" s="1417">
        <f>IF(LEFT(S$6,4)&lt;=LEFT('RFM input'!$G$60,4),"enter input",IF(LEFT(S$6,4)&gt;LEFT('RFM input'!$Q$60,4),0,
IF(MATCH(S$6,'RFM input'!$H$60:$Q$60,0),INDEX('RFM input'!$T$7:$T$56,$A765,1,1))))</f>
        <v>0</v>
      </c>
      <c r="T766" s="1417">
        <f>IF(LEFT(T$6,4)&lt;=LEFT('RFM input'!$G$60,4),"enter input",IF(LEFT(T$6,4)&gt;LEFT('RFM input'!$Q$60,4),0,
IF(MATCH(T$6,'RFM input'!$H$60:$Q$60,0),INDEX('RFM input'!$T$7:$T$56,$A765,1,1))))</f>
        <v>0</v>
      </c>
      <c r="U766" s="1417">
        <f>IF(LEFT(U$6,4)&lt;=LEFT('RFM input'!$G$60,4),"enter input",IF(LEFT(U$6,4)&gt;LEFT('RFM input'!$Q$60,4),0,
IF(MATCH(U$6,'RFM input'!$H$60:$Q$60,0),INDEX('RFM input'!$T$7:$T$56,$A765,1,1))))</f>
        <v>0</v>
      </c>
      <c r="V766" s="1417">
        <f>IF(LEFT(V$6,4)&lt;=LEFT('RFM input'!$G$60,4),"enter input",IF(LEFT(V$6,4)&gt;LEFT('RFM input'!$Q$60,4),0,
IF(MATCH(V$6,'RFM input'!$H$60:$Q$60,0),INDEX('RFM input'!$T$7:$T$56,$A765,1,1))))</f>
        <v>0</v>
      </c>
      <c r="W766" s="1417">
        <f>IF(LEFT(W$6,4)&lt;=LEFT('RFM input'!$G$60,4),"enter input",IF(LEFT(W$6,4)&gt;LEFT('RFM input'!$Q$60,4),0,
IF(MATCH(W$6,'RFM input'!$H$60:$Q$60,0),INDEX('RFM input'!$T$7:$T$56,$A765,1,1))))</f>
        <v>0</v>
      </c>
      <c r="X766" s="152"/>
      <c r="Y766" s="152"/>
      <c r="Z766" s="152"/>
      <c r="AA766" s="152"/>
      <c r="AB766" s="152"/>
    </row>
    <row r="767" spans="1:28">
      <c r="A767" s="152"/>
      <c r="B767" s="193" t="s">
        <v>192</v>
      </c>
      <c r="C767" s="1419"/>
      <c r="D767" s="1420">
        <f ca="1">IF(LEFT(D$6,4)&lt;=LEFT('RFM input'!$G$60,4),"enter input",IF(LEFT(D$6,4)&gt;LEFT('RFM input'!$Q$60,4),0,
IF(D$6=(OFFSET('RFM input'!$G$60,0,'RFM input'!$V$7)),OFFSET('RFM input'!$H$411,$A765,0),0)))</f>
        <v>0</v>
      </c>
      <c r="E767" s="1417">
        <f ca="1">IF(LEFT(E$6,4)&lt;=LEFT('RFM input'!$G$60,4),"enter input",IF(LEFT(E$6,4)&gt;LEFT('RFM input'!$Q$60,4),0,
IF(E$6=(OFFSET('RFM input'!$G$60,0,'RFM input'!$V$7)),OFFSET('RFM input'!$H$411,$A765,0),0)))</f>
        <v>0</v>
      </c>
      <c r="F767" s="1417">
        <f ca="1">IF(LEFT(F$6,4)&lt;=LEFT('RFM input'!$G$60,4),"enter input",IF(LEFT(F$6,4)&gt;LEFT('RFM input'!$Q$60,4),0,
IF(F$6=(OFFSET('RFM input'!$G$60,0,'RFM input'!$V$7)),OFFSET('RFM input'!$H$411,$A765,0),0)))</f>
        <v>0</v>
      </c>
      <c r="G767" s="1417">
        <f ca="1">IF(LEFT(G$6,4)&lt;=LEFT('RFM input'!$G$60,4),"enter input",IF(LEFT(G$6,4)&gt;LEFT('RFM input'!$Q$60,4),0,
IF(G$6=(OFFSET('RFM input'!$G$60,0,'RFM input'!$V$7)),OFFSET('RFM input'!$H$411,$A765,0),0)))</f>
        <v>0</v>
      </c>
      <c r="H767" s="1417">
        <f ca="1">IF(LEFT(H$6,4)&lt;=LEFT('RFM input'!$G$60,4),"enter input",IF(LEFT(H$6,4)&gt;LEFT('RFM input'!$Q$60,4),0,
IF(H$6=(OFFSET('RFM input'!$G$60,0,'RFM input'!$V$7)),OFFSET('RFM input'!$H$411,$A765,0),0)))</f>
        <v>0</v>
      </c>
      <c r="I767" s="1417">
        <f ca="1">IF(LEFT(I$6,4)&lt;=LEFT('RFM input'!$G$60,4),"enter input",IF(LEFT(I$6,4)&gt;LEFT('RFM input'!$Q$60,4),0,
IF(I$6=(OFFSET('RFM input'!$G$60,0,'RFM input'!$V$7)),OFFSET('RFM input'!$H$411,$A765,0),0)))</f>
        <v>0</v>
      </c>
      <c r="J767" s="1417">
        <f ca="1">IF(LEFT(J$6,4)&lt;=LEFT('RFM input'!$G$60,4),"enter input",IF(LEFT(J$6,4)&gt;LEFT('RFM input'!$Q$60,4),0,
IF(J$6=(OFFSET('RFM input'!$G$60,0,'RFM input'!$V$7)),OFFSET('RFM input'!$H$411,$A765,0),0)))</f>
        <v>0</v>
      </c>
      <c r="K767" s="1417">
        <f ca="1">IF(LEFT(K$6,4)&lt;=LEFT('RFM input'!$G$60,4),"enter input",IF(LEFT(K$6,4)&gt;LEFT('RFM input'!$Q$60,4),0,
IF(K$6=(OFFSET('RFM input'!$G$60,0,'RFM input'!$V$7)),OFFSET('RFM input'!$H$411,$A765,0),0)))</f>
        <v>0</v>
      </c>
      <c r="L767" s="1417">
        <f ca="1">IF(LEFT(L$6,4)&lt;=LEFT('RFM input'!$G$60,4),"enter input",IF(LEFT(L$6,4)&gt;LEFT('RFM input'!$Q$60,4),0,
IF(L$6=(OFFSET('RFM input'!$G$60,0,'RFM input'!$V$7)),OFFSET('RFM input'!$H$411,$A765,0),0)))</f>
        <v>0</v>
      </c>
      <c r="M767" s="1417">
        <f ca="1">IF(LEFT(M$6,4)&lt;=LEFT('RFM input'!$G$60,4),"enter input",IF(LEFT(M$6,4)&gt;LEFT('RFM input'!$Q$60,4),0,
IF(M$6=(OFFSET('RFM input'!$G$60,0,'RFM input'!$V$7)),OFFSET('RFM input'!$H$411,$A765,0),0)))</f>
        <v>0</v>
      </c>
      <c r="N767" s="1417">
        <f ca="1">IF(LEFT(N$6,4)&lt;=LEFT('RFM input'!$G$60,4),"enter input",IF(LEFT(N$6,4)&gt;LEFT('RFM input'!$Q$60,4),0,
IF(N$6=(OFFSET('RFM input'!$G$60,0,'RFM input'!$V$7)),OFFSET('RFM input'!$H$411,$A765,0),0)))</f>
        <v>0</v>
      </c>
      <c r="O767" s="1417">
        <f ca="1">IF(LEFT(O$6,4)&lt;=LEFT('RFM input'!$G$60,4),"enter input",IF(LEFT(O$6,4)&gt;LEFT('RFM input'!$Q$60,4),0,
IF(O$6=(OFFSET('RFM input'!$G$60,0,'RFM input'!$V$7)),OFFSET('RFM input'!$H$411,$A765,0),0)))</f>
        <v>0</v>
      </c>
      <c r="P767" s="1417">
        <f ca="1">IF(LEFT(P$6,4)&lt;=LEFT('RFM input'!$G$60,4),"enter input",IF(LEFT(P$6,4)&gt;LEFT('RFM input'!$Q$60,4),0,
IF(P$6=(OFFSET('RFM input'!$G$60,0,'RFM input'!$V$7)),OFFSET('RFM input'!$H$411,$A765,0),0)))</f>
        <v>0</v>
      </c>
      <c r="Q767" s="1417">
        <f ca="1">IF(LEFT(Q$6,4)&lt;=LEFT('RFM input'!$G$60,4),"enter input",IF(LEFT(Q$6,4)&gt;LEFT('RFM input'!$Q$60,4),0,
IF(Q$6=(OFFSET('RFM input'!$G$60,0,'RFM input'!$V$7)),OFFSET('RFM input'!$H$411,$A765,0),0)))</f>
        <v>0</v>
      </c>
      <c r="R767" s="1417">
        <f ca="1">IF(LEFT(R$6,4)&lt;=LEFT('RFM input'!$G$60,4),"enter input",IF(LEFT(R$6,4)&gt;LEFT('RFM input'!$Q$60,4),0,
IF(R$6=(OFFSET('RFM input'!$G$60,0,'RFM input'!$V$7)),OFFSET('RFM input'!$H$411,$A765,0),0)))</f>
        <v>0</v>
      </c>
      <c r="S767" s="1417">
        <f ca="1">IF(LEFT(S$6,4)&lt;=LEFT('RFM input'!$G$60,4),"enter input",IF(LEFT(S$6,4)&gt;LEFT('RFM input'!$Q$60,4),0,
IF(S$6=(OFFSET('RFM input'!$G$60,0,'RFM input'!$V$7)),OFFSET('RFM input'!$H$411,$A765,0),0)))</f>
        <v>0</v>
      </c>
      <c r="T767" s="1417">
        <f ca="1">IF(LEFT(T$6,4)&lt;=LEFT('RFM input'!$G$60,4),"enter input",IF(LEFT(T$6,4)&gt;LEFT('RFM input'!$Q$60,4),0,
IF(T$6=(OFFSET('RFM input'!$G$60,0,'RFM input'!$V$7)),OFFSET('RFM input'!$H$411,$A765,0),0)))</f>
        <v>0</v>
      </c>
      <c r="U767" s="1417">
        <f ca="1">IF(LEFT(U$6,4)&lt;=LEFT('RFM input'!$G$60,4),"enter input",IF(LEFT(U$6,4)&gt;LEFT('RFM input'!$Q$60,4),0,
IF(U$6=(OFFSET('RFM input'!$G$60,0,'RFM input'!$V$7)),OFFSET('RFM input'!$H$411,$A765,0),0)))</f>
        <v>0</v>
      </c>
      <c r="V767" s="1417">
        <f ca="1">IF(LEFT(V$6,4)&lt;=LEFT('RFM input'!$G$60,4),"enter input",IF(LEFT(V$6,4)&gt;LEFT('RFM input'!$Q$60,4),0,
IF(V$6=(OFFSET('RFM input'!$G$60,0,'RFM input'!$V$7)),OFFSET('RFM input'!$H$411,$A765,0),0)))</f>
        <v>0</v>
      </c>
      <c r="W767" s="1417">
        <f ca="1">IF(LEFT(W$6,4)&lt;=LEFT('RFM input'!$G$60,4),"enter input",IF(LEFT(W$6,4)&gt;LEFT('RFM input'!$Q$60,4),0,
IF(W$6=(OFFSET('RFM input'!$G$60,0,'RFM input'!$V$7)),OFFSET('RFM input'!$H$411,$A765,0),0)))</f>
        <v>0</v>
      </c>
      <c r="X767" s="152"/>
      <c r="Y767" s="152"/>
      <c r="Z767" s="152"/>
      <c r="AA767" s="152"/>
      <c r="AB767" s="152"/>
    </row>
    <row r="768" spans="1:28">
      <c r="A768" s="152"/>
      <c r="B768" s="193" t="s">
        <v>200</v>
      </c>
      <c r="C768" s="1419"/>
      <c r="D768" s="1418">
        <f ca="1">IF(LEFT(D$6,4)&lt;=LEFT('RFM input'!$G$60,4),"enter input",IF(LEFT(D$6,4)&gt;LEFT('RFM input'!$Q$60,4),0,
IF(D$6=(OFFSET('RFM input'!$G$60,0,'RFM input'!$V$7)),OFFSET('RFM input'!$J$411,$A765,0),0)))</f>
        <v>0</v>
      </c>
      <c r="E768" s="1422">
        <f ca="1">IF(LEFT(E$6,4)&lt;=LEFT('RFM input'!$G$60,4),"enter input",IF(LEFT(E$6,4)&gt;LEFT('RFM input'!$Q$60,4),0,
IF(E$6=(OFFSET('RFM input'!$G$60,0,'RFM input'!$V$7)),OFFSET('RFM input'!$J$411,$A765,0),0)))</f>
        <v>0</v>
      </c>
      <c r="F768" s="1422">
        <f ca="1">IF(LEFT(F$6,4)&lt;=LEFT('RFM input'!$G$60,4),"enter input",IF(LEFT(F$6,4)&gt;LEFT('RFM input'!$Q$60,4),0,
IF(F$6=(OFFSET('RFM input'!$G$60,0,'RFM input'!$V$7)),OFFSET('RFM input'!$J$411,$A765,0),0)))</f>
        <v>0</v>
      </c>
      <c r="G768" s="1422">
        <f ca="1">IF(LEFT(G$6,4)&lt;=LEFT('RFM input'!$G$60,4),"enter input",IF(LEFT(G$6,4)&gt;LEFT('RFM input'!$Q$60,4),0,
IF(G$6=(OFFSET('RFM input'!$G$60,0,'RFM input'!$V$7)),OFFSET('RFM input'!$J$411,$A765,0),0)))</f>
        <v>0</v>
      </c>
      <c r="H768" s="1422">
        <f ca="1">IF(LEFT(H$6,4)&lt;=LEFT('RFM input'!$G$60,4),"enter input",IF(LEFT(H$6,4)&gt;LEFT('RFM input'!$Q$60,4),0,
IF(H$6=(OFFSET('RFM input'!$G$60,0,'RFM input'!$V$7)),OFFSET('RFM input'!$J$411,$A765,0),0)))</f>
        <v>0</v>
      </c>
      <c r="I768" s="1422">
        <f ca="1">IF(LEFT(I$6,4)&lt;=LEFT('RFM input'!$G$60,4),"enter input",IF(LEFT(I$6,4)&gt;LEFT('RFM input'!$Q$60,4),0,
IF(I$6=(OFFSET('RFM input'!$G$60,0,'RFM input'!$V$7)),OFFSET('RFM input'!$J$411,$A765,0),0)))</f>
        <v>0</v>
      </c>
      <c r="J768" s="1422">
        <f ca="1">IF(LEFT(J$6,4)&lt;=LEFT('RFM input'!$G$60,4),"enter input",IF(LEFT(J$6,4)&gt;LEFT('RFM input'!$Q$60,4),0,
IF(J$6=(OFFSET('RFM input'!$G$60,0,'RFM input'!$V$7)),OFFSET('RFM input'!$J$411,$A765,0),0)))</f>
        <v>0</v>
      </c>
      <c r="K768" s="1422">
        <f ca="1">IF(LEFT(K$6,4)&lt;=LEFT('RFM input'!$G$60,4),"enter input",IF(LEFT(K$6,4)&gt;LEFT('RFM input'!$Q$60,4),0,
IF(K$6=(OFFSET('RFM input'!$G$60,0,'RFM input'!$V$7)),OFFSET('RFM input'!$J$411,$A765,0),0)))</f>
        <v>0</v>
      </c>
      <c r="L768" s="1422">
        <f ca="1">IF(LEFT(L$6,4)&lt;=LEFT('RFM input'!$G$60,4),"enter input",IF(LEFT(L$6,4)&gt;LEFT('RFM input'!$Q$60,4),0,
IF(L$6=(OFFSET('RFM input'!$G$60,0,'RFM input'!$V$7)),OFFSET('RFM input'!$J$411,$A765,0),0)))</f>
        <v>0</v>
      </c>
      <c r="M768" s="1422">
        <f ca="1">IF(LEFT(M$6,4)&lt;=LEFT('RFM input'!$G$60,4),"enter input",IF(LEFT(M$6,4)&gt;LEFT('RFM input'!$Q$60,4),0,
IF(M$6=(OFFSET('RFM input'!$G$60,0,'RFM input'!$V$7)),OFFSET('RFM input'!$J$411,$A765,0),0)))</f>
        <v>0</v>
      </c>
      <c r="N768" s="1422">
        <f ca="1">IF(LEFT(N$6,4)&lt;=LEFT('RFM input'!$G$60,4),"enter input",IF(LEFT(N$6,4)&gt;LEFT('RFM input'!$Q$60,4),0,
IF(N$6=(OFFSET('RFM input'!$G$60,0,'RFM input'!$V$7)),OFFSET('RFM input'!$J$411,$A765,0),0)))</f>
        <v>0</v>
      </c>
      <c r="O768" s="1422">
        <f ca="1">IF(LEFT(O$6,4)&lt;=LEFT('RFM input'!$G$60,4),"enter input",IF(LEFT(O$6,4)&gt;LEFT('RFM input'!$Q$60,4),0,
IF(O$6=(OFFSET('RFM input'!$G$60,0,'RFM input'!$V$7)),OFFSET('RFM input'!$J$411,$A765,0),0)))</f>
        <v>0</v>
      </c>
      <c r="P768" s="1422">
        <f ca="1">IF(LEFT(P$6,4)&lt;=LEFT('RFM input'!$G$60,4),"enter input",IF(LEFT(P$6,4)&gt;LEFT('RFM input'!$Q$60,4),0,
IF(P$6=(OFFSET('RFM input'!$G$60,0,'RFM input'!$V$7)),OFFSET('RFM input'!$J$411,$A765,0),0)))</f>
        <v>0</v>
      </c>
      <c r="Q768" s="1422">
        <f ca="1">IF(LEFT(Q$6,4)&lt;=LEFT('RFM input'!$G$60,4),"enter input",IF(LEFT(Q$6,4)&gt;LEFT('RFM input'!$Q$60,4),0,
IF(Q$6=(OFFSET('RFM input'!$G$60,0,'RFM input'!$V$7)),OFFSET('RFM input'!$J$411,$A765,0),0)))</f>
        <v>0</v>
      </c>
      <c r="R768" s="1422">
        <f ca="1">IF(LEFT(R$6,4)&lt;=LEFT('RFM input'!$G$60,4),"enter input",IF(LEFT(R$6,4)&gt;LEFT('RFM input'!$Q$60,4),0,
IF(R$6=(OFFSET('RFM input'!$G$60,0,'RFM input'!$V$7)),OFFSET('RFM input'!$J$411,$A765,0),0)))</f>
        <v>0</v>
      </c>
      <c r="S768" s="1422">
        <f ca="1">IF(LEFT(S$6,4)&lt;=LEFT('RFM input'!$G$60,4),"enter input",IF(LEFT(S$6,4)&gt;LEFT('RFM input'!$Q$60,4),0,
IF(S$6=(OFFSET('RFM input'!$G$60,0,'RFM input'!$V$7)),OFFSET('RFM input'!$J$411,$A765,0),0)))</f>
        <v>0</v>
      </c>
      <c r="T768" s="1422">
        <f ca="1">IF(LEFT(T$6,4)&lt;=LEFT('RFM input'!$G$60,4),"enter input",IF(LEFT(T$6,4)&gt;LEFT('RFM input'!$Q$60,4),0,
IF(T$6=(OFFSET('RFM input'!$G$60,0,'RFM input'!$V$7)),OFFSET('RFM input'!$J$411,$A765,0),0)))</f>
        <v>0</v>
      </c>
      <c r="U768" s="1422">
        <f ca="1">IF(LEFT(U$6,4)&lt;=LEFT('RFM input'!$G$60,4),"enter input",IF(LEFT(U$6,4)&gt;LEFT('RFM input'!$Q$60,4),0,
IF(U$6=(OFFSET('RFM input'!$G$60,0,'RFM input'!$V$7)),OFFSET('RFM input'!$J$411,$A765,0),0)))</f>
        <v>0</v>
      </c>
      <c r="V768" s="1422">
        <f ca="1">IF(LEFT(V$6,4)&lt;=LEFT('RFM input'!$G$60,4),"enter input",IF(LEFT(V$6,4)&gt;LEFT('RFM input'!$Q$60,4),0,
IF(V$6=(OFFSET('RFM input'!$G$60,0,'RFM input'!$V$7)),OFFSET('RFM input'!$J$411,$A765,0),0)))</f>
        <v>0</v>
      </c>
      <c r="W768" s="1422">
        <f ca="1">IF(LEFT(W$6,4)&lt;=LEFT('RFM input'!$G$60,4),"enter input",IF(LEFT(W$6,4)&gt;LEFT('RFM input'!$Q$60,4),0,
IF(W$6=(OFFSET('RFM input'!$G$60,0,'RFM input'!$V$7)),OFFSET('RFM input'!$J$411,$A765,0),0)))</f>
        <v>0</v>
      </c>
      <c r="X768" s="152"/>
      <c r="Y768" s="152"/>
      <c r="Z768" s="152"/>
      <c r="AA768" s="152"/>
      <c r="AB768" s="152"/>
    </row>
    <row r="769" spans="1:28" hidden="1" outlineLevel="1">
      <c r="A769" s="235">
        <v>-1</v>
      </c>
      <c r="B769" s="190" t="s">
        <v>195</v>
      </c>
      <c r="C769" s="1423"/>
      <c r="D769" s="1423">
        <f t="shared" ref="D769" ca="1" si="1072">IF(AND(D767=0,C769=0),0,
IF(AND(D767&lt;&gt;0,C769=0),D767,
IF(AND(D768&lt;&gt;0,C769&lt;&gt;0),(C769-(C769/C793))+D767,
IF(C793&lt;1,0,(C769-(C769/C793))))))</f>
        <v>0</v>
      </c>
      <c r="E769" s="1423">
        <f t="shared" ref="E769" ca="1" si="1073">IF(AND(E767=0,D769=0),0,
IF(AND(E767&lt;&gt;0,D769=0),E767,
IF(AND(E768&lt;&gt;0,D769&lt;&gt;0),(D769-(D769/D793))+E767,
IF(D793&lt;1,0,(D769-(D769/D793))))))</f>
        <v>0</v>
      </c>
      <c r="F769" s="1423">
        <f t="shared" ref="F769" ca="1" si="1074">IF(AND(F767=0,E769=0),0,
IF(AND(F767&lt;&gt;0,E769=0),F767,
IF(AND(F768&lt;&gt;0,E769&lt;&gt;0),(E769-(E769/E793))+F767,
IF(E793&lt;1,0,(E769-(E769/E793))))))</f>
        <v>0</v>
      </c>
      <c r="G769" s="1423">
        <f t="shared" ref="G769" ca="1" si="1075">IF(AND(G767=0,F769=0),0,
IF(AND(G767&lt;&gt;0,F769=0),G767,
IF(AND(G768&lt;&gt;0,F769&lt;&gt;0),(F769-(F769/F793))+G767,
IF(F793&lt;1,0,(F769-(F769/F793))))))</f>
        <v>0</v>
      </c>
      <c r="H769" s="1423">
        <f ca="1">IF(AND(H767=0,G769=0),0,
IF(AND(H767&lt;&gt;0,G769=0),H767,
IF(AND(H768&lt;&gt;0,G769&lt;&gt;0),(G769-(G769/G793))+H767,
IF(G793&lt;1,0,(G769-(G769/G793))))))</f>
        <v>0</v>
      </c>
      <c r="I769" s="1423">
        <f t="shared" ref="I769" ca="1" si="1076">IF(AND(I767=0,H769=0),0,
IF(AND(I767&lt;&gt;0,H769=0),I767,
IF(AND(I768&lt;&gt;0,H769&lt;&gt;0),(H769-(H769/H793))+I767,
IF(H793&lt;1,0,(H769-(H769/H793))))))</f>
        <v>0</v>
      </c>
      <c r="J769" s="1423">
        <f t="shared" ref="J769" ca="1" si="1077">IF(AND(J767=0,I769=0),0,
IF(AND(J767&lt;&gt;0,I769=0),J767,
IF(AND(J768&lt;&gt;0,I769&lt;&gt;0),(I769-(I769/I793))+J767,
IF(I793&lt;1,0,(I769-(I769/I793))))))</f>
        <v>0</v>
      </c>
      <c r="K769" s="1423">
        <f t="shared" ref="K769" ca="1" si="1078">IF(AND(K767=0,J769=0),0,
IF(AND(K767&lt;&gt;0,J769=0),K767,
IF(AND(K768&lt;&gt;0,J769&lt;&gt;0),(J769-(J769/J793))+K767,
IF(J793&lt;1,0,(J769-(J769/J793))))))</f>
        <v>0</v>
      </c>
      <c r="L769" s="1423">
        <f t="shared" ref="L769" ca="1" si="1079">IF(AND(L767=0,K769=0),0,
IF(AND(L767&lt;&gt;0,K769=0),L767,
IF(AND(L768&lt;&gt;0,K769&lt;&gt;0),(K769-(K769/K793))+L767,
IF(K793&lt;1,0,(K769-(K769/K793))))))</f>
        <v>0</v>
      </c>
      <c r="M769" s="1423">
        <f t="shared" ref="M769" ca="1" si="1080">IF(AND(M767=0,L769=0),0,
IF(AND(M767&lt;&gt;0,L769=0),M767,
IF(AND(M768&lt;&gt;0,L769&lt;&gt;0),(L769-(L769/L793))+M767,
IF(L793&lt;1,0,(L769-(L769/L793))))))</f>
        <v>0</v>
      </c>
      <c r="N769" s="1423">
        <f t="shared" ref="N769" ca="1" si="1081">IF(AND(N767=0,M769=0),0,
IF(AND(N767&lt;&gt;0,M769=0),N767,
IF(AND(N768&lt;&gt;0,M769&lt;&gt;0),(M769-(M769/M793))+N767,
IF(M793&lt;1,0,(M769-(M769/M793))))))</f>
        <v>0</v>
      </c>
      <c r="O769" s="1423">
        <f t="shared" ref="O769" ca="1" si="1082">IF(AND(O767=0,N769=0),0,
IF(AND(O767&lt;&gt;0,N769=0),O767,
IF(AND(O768&lt;&gt;0,N769&lt;&gt;0),(N769-(N769/N793))+O767,
IF(N793&lt;1,0,(N769-(N769/N793))))))</f>
        <v>0</v>
      </c>
      <c r="P769" s="1423">
        <f t="shared" ref="P769" ca="1" si="1083">IF(AND(P767=0,O769=0),0,
IF(AND(P767&lt;&gt;0,O769=0),P767,
IF(AND(P768&lt;&gt;0,O769&lt;&gt;0),(O769-(O769/O793))+P767,
IF(O793&lt;1,0,(O769-(O769/O793))))))</f>
        <v>0</v>
      </c>
      <c r="Q769" s="1423">
        <f t="shared" ref="Q769" ca="1" si="1084">IF(AND(Q767=0,P769=0),0,
IF(AND(Q767&lt;&gt;0,P769=0),Q767,
IF(AND(Q768&lt;&gt;0,P769&lt;&gt;0),(P769-(P769/P793))+Q767,
IF(P793&lt;1,0,(P769-(P769/P793))))))</f>
        <v>0</v>
      </c>
      <c r="R769" s="1423">
        <f t="shared" ref="R769" ca="1" si="1085">IF(AND(R767=0,Q769=0),0,
IF(AND(R767&lt;&gt;0,Q769=0),R767,
IF(AND(R768&lt;&gt;0,Q769&lt;&gt;0),(Q769-(Q769/Q793))+R767,
IF(Q793&lt;1,0,(Q769-(Q769/Q793))))))</f>
        <v>0</v>
      </c>
      <c r="S769" s="1423">
        <f t="shared" ref="S769" ca="1" si="1086">IF(AND(S767=0,R769=0),0,
IF(AND(S767&lt;&gt;0,R769=0),S767,
IF(AND(S768&lt;&gt;0,R769&lt;&gt;0),(R769-(R769/R793))+S767,
IF(R793&lt;1,0,(R769-(R769/R793))))))</f>
        <v>0</v>
      </c>
      <c r="T769" s="1423">
        <f t="shared" ref="T769" ca="1" si="1087">IF(AND(T767=0,S769=0),0,
IF(AND(T767&lt;&gt;0,S769=0),T767,
IF(AND(T768&lt;&gt;0,S769&lt;&gt;0),(S769-(S769/S793))+T767,
IF(S793&lt;1,0,(S769-(S769/S793))))))</f>
        <v>0</v>
      </c>
      <c r="U769" s="1423">
        <f t="shared" ref="U769" ca="1" si="1088">IF(AND(U767=0,T769=0),0,
IF(AND(U767&lt;&gt;0,T769=0),U767,
IF(AND(U768&lt;&gt;0,T769&lt;&gt;0),(T769-(T769/T793))+U767,
IF(T793&lt;1,0,(T769-(T769/T793))))))</f>
        <v>0</v>
      </c>
      <c r="V769" s="1423">
        <f t="shared" ref="V769" ca="1" si="1089">IF(AND(V767=0,U769=0),0,
IF(AND(V767&lt;&gt;0,U769=0),V767,
IF(AND(V768&lt;&gt;0,U769&lt;&gt;0),(U769-(U769/U793))+V767,
IF(U793&lt;1,0,(U769-(U769/U793))))))</f>
        <v>0</v>
      </c>
      <c r="W769" s="1423">
        <f t="shared" ref="W769" ca="1" si="1090">IF(AND(W767=0,V769=0),0,
IF(AND(W767&lt;&gt;0,V769=0),W767,
IF(AND(W768&lt;&gt;0,V769&lt;&gt;0),(V769-(V769/V793))+W767,
IF(V793&lt;1,0,(V769-(V769/V793))))))</f>
        <v>0</v>
      </c>
      <c r="X769" s="152"/>
      <c r="Y769" s="152"/>
      <c r="Z769" s="152"/>
      <c r="AA769" s="152"/>
      <c r="AB769" s="152"/>
    </row>
    <row r="770" spans="1:28" hidden="1" outlineLevel="1">
      <c r="A770" s="199">
        <f>A769+1</f>
        <v>0</v>
      </c>
      <c r="B770" s="190" t="s">
        <v>527</v>
      </c>
      <c r="C770" s="1423">
        <f ca="1">C765</f>
        <v>0</v>
      </c>
      <c r="D770" s="1423">
        <f ca="1">IF(C794="n/a",C770,IFERROR(IF((OFFSET($C770,0,$A770))&lt;0,
MIN(0,C770-(OFFSET($C770,0,$A770)/(OFFSET($C765,-$A769,$A770)))),
MAX(0,C770-(OFFSET($C770,0,$A770)/(OFFSET($C765,-$A769,$A770))))),0))</f>
        <v>0</v>
      </c>
      <c r="E770" s="1423">
        <f t="shared" ref="E770" ca="1" si="1091">IF(D794="n/a",D770,IFERROR(IF((OFFSET($C770,0,$A770))&lt;0,
MIN(0,D770-(OFFSET($C770,0,$A770)/(OFFSET($C765,-$A769,$A770)))),
MAX(0,D770-(OFFSET($C770,0,$A770)/(OFFSET($C765,-$A769,$A770))))),0))</f>
        <v>0</v>
      </c>
      <c r="F770" s="1423">
        <f t="shared" ref="F770:F771" ca="1" si="1092">IF(E794="n/a",E770,IFERROR(IF((OFFSET($C770,0,$A770))&lt;0,
MIN(0,E770-(OFFSET($C770,0,$A770)/(OFFSET($C765,-$A769,$A770)))),
MAX(0,E770-(OFFSET($C770,0,$A770)/(OFFSET($C765,-$A769,$A770))))),0))</f>
        <v>0</v>
      </c>
      <c r="G770" s="1423">
        <f t="shared" ref="G770:G772" ca="1" si="1093">IF(F794="n/a",F770,IFERROR(IF((OFFSET($C770,0,$A770))&lt;0,
MIN(0,F770-(OFFSET($C770,0,$A770)/(OFFSET($C765,-$A769,$A770)))),
MAX(0,F770-(OFFSET($C770,0,$A770)/(OFFSET($C765,-$A769,$A770))))),0))</f>
        <v>0</v>
      </c>
      <c r="H770" s="1423">
        <f t="shared" ref="H770:H773" ca="1" si="1094">IF(G794="n/a",G770,IFERROR(IF((OFFSET($C770,0,$A770))&lt;0,
MIN(0,G770-(OFFSET($C770,0,$A770)/(OFFSET($C765,-$A769,$A770)))),
MAX(0,G770-(OFFSET($C770,0,$A770)/(OFFSET($C765,-$A769,$A770))))),0))</f>
        <v>0</v>
      </c>
      <c r="I770" s="1423">
        <f t="shared" ref="I770:I774" ca="1" si="1095">IF(H794="n/a",H770,IFERROR(IF((OFFSET($C770,0,$A770))&lt;0,
MIN(0,H770-(OFFSET($C770,0,$A770)/(OFFSET($C765,-$A769,$A770)))),
MAX(0,H770-(OFFSET($C770,0,$A770)/(OFFSET($C765,-$A769,$A770))))),0))</f>
        <v>0</v>
      </c>
      <c r="J770" s="1423">
        <f t="shared" ref="J770:J775" ca="1" si="1096">IF(I794="n/a",I770,IFERROR(IF((OFFSET($C770,0,$A770))&lt;0,
MIN(0,I770-(OFFSET($C770,0,$A770)/(OFFSET($C765,-$A769,$A770)))),
MAX(0,I770-(OFFSET($C770,0,$A770)/(OFFSET($C765,-$A769,$A770))))),0))</f>
        <v>0</v>
      </c>
      <c r="K770" s="1423">
        <f t="shared" ref="K770:K776" ca="1" si="1097">IF(J794="n/a",J770,IFERROR(IF((OFFSET($C770,0,$A770))&lt;0,
MIN(0,J770-(OFFSET($C770,0,$A770)/(OFFSET($C765,-$A769,$A770)))),
MAX(0,J770-(OFFSET($C770,0,$A770)/(OFFSET($C765,-$A769,$A770))))),0))</f>
        <v>0</v>
      </c>
      <c r="L770" s="1423">
        <f t="shared" ref="L770:L777" ca="1" si="1098">IF(K794="n/a",K770,IFERROR(IF((OFFSET($C770,0,$A770))&lt;0,
MIN(0,K770-(OFFSET($C770,0,$A770)/(OFFSET($C765,-$A769,$A770)))),
MAX(0,K770-(OFFSET($C770,0,$A770)/(OFFSET($C765,-$A769,$A770))))),0))</f>
        <v>0</v>
      </c>
      <c r="M770" s="1423">
        <f t="shared" ref="M770:M778" ca="1" si="1099">IF(L794="n/a",L770,IFERROR(IF((OFFSET($C770,0,$A770))&lt;0,
MIN(0,L770-(OFFSET($C770,0,$A770)/(OFFSET($C765,-$A769,$A770)))),
MAX(0,L770-(OFFSET($C770,0,$A770)/(OFFSET($C765,-$A769,$A770))))),0))</f>
        <v>0</v>
      </c>
      <c r="N770" s="1423">
        <f t="shared" ref="N770:N779" ca="1" si="1100">IF(M794="n/a",M770,IFERROR(IF((OFFSET($C770,0,$A770))&lt;0,
MIN(0,M770-(OFFSET($C770,0,$A770)/(OFFSET($C765,-$A769,$A770)))),
MAX(0,M770-(OFFSET($C770,0,$A770)/(OFFSET($C765,-$A769,$A770))))),0))</f>
        <v>0</v>
      </c>
      <c r="O770" s="1423">
        <f t="shared" ref="O770:O780" ca="1" si="1101">IF(N794="n/a",N770,IFERROR(IF((OFFSET($C770,0,$A770))&lt;0,
MIN(0,N770-(OFFSET($C770,0,$A770)/(OFFSET($C765,-$A769,$A770)))),
MAX(0,N770-(OFFSET($C770,0,$A770)/(OFFSET($C765,-$A769,$A770))))),0))</f>
        <v>0</v>
      </c>
      <c r="P770" s="1423">
        <f t="shared" ref="P770:P781" ca="1" si="1102">IF(O794="n/a",O770,IFERROR(IF((OFFSET($C770,0,$A770))&lt;0,
MIN(0,O770-(OFFSET($C770,0,$A770)/(OFFSET($C765,-$A769,$A770)))),
MAX(0,O770-(OFFSET($C770,0,$A770)/(OFFSET($C765,-$A769,$A770))))),0))</f>
        <v>0</v>
      </c>
      <c r="Q770" s="1423">
        <f t="shared" ref="Q770:Q782" ca="1" si="1103">IF(P794="n/a",P770,IFERROR(IF((OFFSET($C770,0,$A770))&lt;0,
MIN(0,P770-(OFFSET($C770,0,$A770)/(OFFSET($C765,-$A769,$A770)))),
MAX(0,P770-(OFFSET($C770,0,$A770)/(OFFSET($C765,-$A769,$A770))))),0))</f>
        <v>0</v>
      </c>
      <c r="R770" s="1423">
        <f t="shared" ref="R770:R783" ca="1" si="1104">IF(Q794="n/a",Q770,IFERROR(IF((OFFSET($C770,0,$A770))&lt;0,
MIN(0,Q770-(OFFSET($C770,0,$A770)/(OFFSET($C765,-$A769,$A770)))),
MAX(0,Q770-(OFFSET($C770,0,$A770)/(OFFSET($C765,-$A769,$A770))))),0))</f>
        <v>0</v>
      </c>
      <c r="S770" s="1423">
        <f t="shared" ref="S770:S784" ca="1" si="1105">IF(R794="n/a",R770,IFERROR(IF((OFFSET($C770,0,$A770))&lt;0,
MIN(0,R770-(OFFSET($C770,0,$A770)/(OFFSET($C765,-$A769,$A770)))),
MAX(0,R770-(OFFSET($C770,0,$A770)/(OFFSET($C765,-$A769,$A770))))),0))</f>
        <v>0</v>
      </c>
      <c r="T770" s="1423">
        <f t="shared" ref="T770:T785" ca="1" si="1106">IF(S794="n/a",S770,IFERROR(IF((OFFSET($C770,0,$A770))&lt;0,
MIN(0,S770-(OFFSET($C770,0,$A770)/(OFFSET($C765,-$A769,$A770)))),
MAX(0,S770-(OFFSET($C770,0,$A770)/(OFFSET($C765,-$A769,$A770))))),0))</f>
        <v>0</v>
      </c>
      <c r="U770" s="1423">
        <f t="shared" ref="U770:U786" ca="1" si="1107">IF(T794="n/a",T770,IFERROR(IF((OFFSET($C770,0,$A770))&lt;0,
MIN(0,T770-(OFFSET($C770,0,$A770)/(OFFSET($C765,-$A769,$A770)))),
MAX(0,T770-(OFFSET($C770,0,$A770)/(OFFSET($C765,-$A769,$A770))))),0))</f>
        <v>0</v>
      </c>
      <c r="V770" s="1423">
        <f t="shared" ref="V770:V787" ca="1" si="1108">IF(U794="n/a",U770,IFERROR(IF((OFFSET($C770,0,$A770))&lt;0,
MIN(0,U770-(OFFSET($C770,0,$A770)/(OFFSET($C765,-$A769,$A770)))),
MAX(0,U770-(OFFSET($C770,0,$A770)/(OFFSET($C765,-$A769,$A770))))),0))</f>
        <v>0</v>
      </c>
      <c r="W770" s="1423">
        <f t="shared" ref="W770:W788" ca="1" si="1109">IF(V794="n/a",V770,IFERROR(IF((OFFSET($C770,0,$A770))&lt;0,
MIN(0,V770-(OFFSET($C770,0,$A770)/(OFFSET($C765,-$A769,$A770)))),
MAX(0,V770-(OFFSET($C770,0,$A770)/(OFFSET($C765,-$A769,$A770))))),0))</f>
        <v>0</v>
      </c>
      <c r="X770" s="152"/>
      <c r="Y770" s="152"/>
      <c r="Z770" s="152"/>
      <c r="AA770" s="152"/>
      <c r="AB770" s="152"/>
    </row>
    <row r="771" spans="1:28" hidden="1" outlineLevel="1">
      <c r="A771" s="199">
        <f t="shared" ref="A771:A790" si="1110">A770+1</f>
        <v>1</v>
      </c>
      <c r="B771" s="190" t="str">
        <f t="shared" ref="B771:B790" ca="1" si="1111">"Depreciated Net Capex "&amp;OFFSET($C$6,0,A771)</f>
        <v>Depreciated Net Capex 2016-17</v>
      </c>
      <c r="C771" s="1424"/>
      <c r="D771" s="1425">
        <f>D765</f>
        <v>0</v>
      </c>
      <c r="E771" s="1423">
        <f ca="1">IF(D795="n/a",D771,IFERROR(IF((OFFSET($C771,0,$A771))&lt;0,
MIN(0,D771-(OFFSET($C771,0,$A771)/(OFFSET($C766,-$A770,$A771)))),
MAX(0,D771-(OFFSET($C771,0,$A771)/(OFFSET($C766,-$A770,$A771))))),0))</f>
        <v>0</v>
      </c>
      <c r="F771" s="1423">
        <f t="shared" ca="1" si="1092"/>
        <v>0</v>
      </c>
      <c r="G771" s="1423">
        <f t="shared" ca="1" si="1093"/>
        <v>0</v>
      </c>
      <c r="H771" s="1423">
        <f t="shared" ca="1" si="1094"/>
        <v>0</v>
      </c>
      <c r="I771" s="1423">
        <f t="shared" ca="1" si="1095"/>
        <v>0</v>
      </c>
      <c r="J771" s="1423">
        <f t="shared" ca="1" si="1096"/>
        <v>0</v>
      </c>
      <c r="K771" s="1423">
        <f t="shared" ca="1" si="1097"/>
        <v>0</v>
      </c>
      <c r="L771" s="1423">
        <f t="shared" ca="1" si="1098"/>
        <v>0</v>
      </c>
      <c r="M771" s="1423">
        <f t="shared" ca="1" si="1099"/>
        <v>0</v>
      </c>
      <c r="N771" s="1423">
        <f t="shared" ca="1" si="1100"/>
        <v>0</v>
      </c>
      <c r="O771" s="1423">
        <f t="shared" ca="1" si="1101"/>
        <v>0</v>
      </c>
      <c r="P771" s="1423">
        <f t="shared" ca="1" si="1102"/>
        <v>0</v>
      </c>
      <c r="Q771" s="1423">
        <f t="shared" ca="1" si="1103"/>
        <v>0</v>
      </c>
      <c r="R771" s="1423">
        <f t="shared" ca="1" si="1104"/>
        <v>0</v>
      </c>
      <c r="S771" s="1423">
        <f t="shared" ca="1" si="1105"/>
        <v>0</v>
      </c>
      <c r="T771" s="1423">
        <f t="shared" ca="1" si="1106"/>
        <v>0</v>
      </c>
      <c r="U771" s="1423">
        <f t="shared" ca="1" si="1107"/>
        <v>0</v>
      </c>
      <c r="V771" s="1423">
        <f t="shared" ca="1" si="1108"/>
        <v>0</v>
      </c>
      <c r="W771" s="1423">
        <f t="shared" ca="1" si="1109"/>
        <v>0</v>
      </c>
      <c r="X771" s="152"/>
      <c r="Y771" s="152"/>
      <c r="Z771" s="152"/>
      <c r="AA771" s="152"/>
      <c r="AB771" s="152"/>
    </row>
    <row r="772" spans="1:28" hidden="1" outlineLevel="1">
      <c r="A772" s="199">
        <f t="shared" si="1110"/>
        <v>2</v>
      </c>
      <c r="B772" s="190" t="str">
        <f t="shared" ca="1" si="1111"/>
        <v>Depreciated Net Capex 2017-18</v>
      </c>
      <c r="C772" s="1426"/>
      <c r="D772" s="1427"/>
      <c r="E772" s="1425">
        <f>E765</f>
        <v>0</v>
      </c>
      <c r="F772" s="1423">
        <f ca="1">IF(E796="n/a",E772,IFERROR(IF((OFFSET($C772,0,$A772))&lt;0,
MIN(0,E772-(OFFSET($C772,0,$A772)/(OFFSET($C767,-$A771,$A772)))),
MAX(0,E772-(OFFSET($C772,0,$A772)/(OFFSET($C767,-$A771,$A772))))),0))</f>
        <v>0</v>
      </c>
      <c r="G772" s="1423">
        <f t="shared" ca="1" si="1093"/>
        <v>0</v>
      </c>
      <c r="H772" s="1423">
        <f t="shared" ca="1" si="1094"/>
        <v>0</v>
      </c>
      <c r="I772" s="1423">
        <f t="shared" ca="1" si="1095"/>
        <v>0</v>
      </c>
      <c r="J772" s="1423">
        <f t="shared" ca="1" si="1096"/>
        <v>0</v>
      </c>
      <c r="K772" s="1423">
        <f t="shared" ca="1" si="1097"/>
        <v>0</v>
      </c>
      <c r="L772" s="1423">
        <f t="shared" ca="1" si="1098"/>
        <v>0</v>
      </c>
      <c r="M772" s="1423">
        <f t="shared" ca="1" si="1099"/>
        <v>0</v>
      </c>
      <c r="N772" s="1423">
        <f t="shared" ca="1" si="1100"/>
        <v>0</v>
      </c>
      <c r="O772" s="1423">
        <f t="shared" ca="1" si="1101"/>
        <v>0</v>
      </c>
      <c r="P772" s="1423">
        <f t="shared" ca="1" si="1102"/>
        <v>0</v>
      </c>
      <c r="Q772" s="1423">
        <f t="shared" ca="1" si="1103"/>
        <v>0</v>
      </c>
      <c r="R772" s="1423">
        <f t="shared" ca="1" si="1104"/>
        <v>0</v>
      </c>
      <c r="S772" s="1423">
        <f t="shared" ca="1" si="1105"/>
        <v>0</v>
      </c>
      <c r="T772" s="1423">
        <f t="shared" ca="1" si="1106"/>
        <v>0</v>
      </c>
      <c r="U772" s="1423">
        <f t="shared" ca="1" si="1107"/>
        <v>0</v>
      </c>
      <c r="V772" s="1423">
        <f t="shared" ca="1" si="1108"/>
        <v>0</v>
      </c>
      <c r="W772" s="1423">
        <f t="shared" ca="1" si="1109"/>
        <v>0</v>
      </c>
      <c r="X772" s="202"/>
      <c r="Y772" s="152"/>
      <c r="Z772" s="152"/>
      <c r="AA772" s="152"/>
      <c r="AB772" s="152"/>
    </row>
    <row r="773" spans="1:28" hidden="1" outlineLevel="1">
      <c r="A773" s="199">
        <f t="shared" si="1110"/>
        <v>3</v>
      </c>
      <c r="B773" s="190" t="str">
        <f t="shared" ca="1" si="1111"/>
        <v>Depreciated Net Capex 2018-19</v>
      </c>
      <c r="C773" s="1426"/>
      <c r="D773" s="1426"/>
      <c r="E773" s="1427"/>
      <c r="F773" s="1428">
        <f>F765</f>
        <v>0</v>
      </c>
      <c r="G773" s="1423">
        <f ca="1">IF(F797="n/a",F773,IFERROR(IF((OFFSET($C773,0,$A773))&lt;0,
MIN(0,F773-(OFFSET($C773,0,$A773)/(OFFSET($C768,-$A772,$A773)))),
MAX(0,F773-(OFFSET($C773,0,$A773)/(OFFSET($C768,-$A772,$A773))))),0))</f>
        <v>0</v>
      </c>
      <c r="H773" s="1423">
        <f t="shared" ca="1" si="1094"/>
        <v>0</v>
      </c>
      <c r="I773" s="1423">
        <f t="shared" ca="1" si="1095"/>
        <v>0</v>
      </c>
      <c r="J773" s="1423">
        <f t="shared" ca="1" si="1096"/>
        <v>0</v>
      </c>
      <c r="K773" s="1423">
        <f t="shared" ca="1" si="1097"/>
        <v>0</v>
      </c>
      <c r="L773" s="1423">
        <f t="shared" ca="1" si="1098"/>
        <v>0</v>
      </c>
      <c r="M773" s="1423">
        <f t="shared" ca="1" si="1099"/>
        <v>0</v>
      </c>
      <c r="N773" s="1423">
        <f t="shared" ca="1" si="1100"/>
        <v>0</v>
      </c>
      <c r="O773" s="1423">
        <f t="shared" ca="1" si="1101"/>
        <v>0</v>
      </c>
      <c r="P773" s="1423">
        <f t="shared" ca="1" si="1102"/>
        <v>0</v>
      </c>
      <c r="Q773" s="1423">
        <f t="shared" ca="1" si="1103"/>
        <v>0</v>
      </c>
      <c r="R773" s="1423">
        <f t="shared" ca="1" si="1104"/>
        <v>0</v>
      </c>
      <c r="S773" s="1423">
        <f t="shared" ca="1" si="1105"/>
        <v>0</v>
      </c>
      <c r="T773" s="1423">
        <f t="shared" ca="1" si="1106"/>
        <v>0</v>
      </c>
      <c r="U773" s="1423">
        <f t="shared" ca="1" si="1107"/>
        <v>0</v>
      </c>
      <c r="V773" s="1423">
        <f t="shared" ca="1" si="1108"/>
        <v>0</v>
      </c>
      <c r="W773" s="1423">
        <f t="shared" ca="1" si="1109"/>
        <v>0</v>
      </c>
      <c r="X773" s="202"/>
      <c r="Y773" s="202"/>
      <c r="Z773" s="152"/>
      <c r="AA773" s="152"/>
      <c r="AB773" s="152"/>
    </row>
    <row r="774" spans="1:28" hidden="1" outlineLevel="1">
      <c r="A774" s="199">
        <f t="shared" si="1110"/>
        <v>4</v>
      </c>
      <c r="B774" s="190" t="str">
        <f t="shared" ca="1" si="1111"/>
        <v>Depreciated Net Capex 2019-20</v>
      </c>
      <c r="C774" s="1426"/>
      <c r="D774" s="1426"/>
      <c r="E774" s="1426"/>
      <c r="F774" s="1427"/>
      <c r="G774" s="1428">
        <f>G765</f>
        <v>0</v>
      </c>
      <c r="H774" s="1423">
        <f ca="1">IF(G798="n/a",G774,IFERROR(IF((OFFSET($C774,0,$A774))&lt;0,
MIN(0,G774-(OFFSET($C774,0,$A774)/(OFFSET($C769,-$A773,$A774)))),
MAX(0,G774-(OFFSET($C774,0,$A774)/(OFFSET($C769,-$A773,$A774))))),0))</f>
        <v>0</v>
      </c>
      <c r="I774" s="1423">
        <f t="shared" ca="1" si="1095"/>
        <v>0</v>
      </c>
      <c r="J774" s="1423">
        <f t="shared" ca="1" si="1096"/>
        <v>0</v>
      </c>
      <c r="K774" s="1423">
        <f t="shared" ca="1" si="1097"/>
        <v>0</v>
      </c>
      <c r="L774" s="1423">
        <f t="shared" ca="1" si="1098"/>
        <v>0</v>
      </c>
      <c r="M774" s="1423">
        <f t="shared" ca="1" si="1099"/>
        <v>0</v>
      </c>
      <c r="N774" s="1423">
        <f t="shared" ca="1" si="1100"/>
        <v>0</v>
      </c>
      <c r="O774" s="1423">
        <f t="shared" ca="1" si="1101"/>
        <v>0</v>
      </c>
      <c r="P774" s="1423">
        <f t="shared" ca="1" si="1102"/>
        <v>0</v>
      </c>
      <c r="Q774" s="1423">
        <f t="shared" ca="1" si="1103"/>
        <v>0</v>
      </c>
      <c r="R774" s="1423">
        <f t="shared" ca="1" si="1104"/>
        <v>0</v>
      </c>
      <c r="S774" s="1423">
        <f t="shared" ca="1" si="1105"/>
        <v>0</v>
      </c>
      <c r="T774" s="1423">
        <f t="shared" ca="1" si="1106"/>
        <v>0</v>
      </c>
      <c r="U774" s="1423">
        <f t="shared" ca="1" si="1107"/>
        <v>0</v>
      </c>
      <c r="V774" s="1423">
        <f t="shared" ca="1" si="1108"/>
        <v>0</v>
      </c>
      <c r="W774" s="1423">
        <f t="shared" ca="1" si="1109"/>
        <v>0</v>
      </c>
      <c r="X774" s="202"/>
      <c r="Y774" s="202"/>
      <c r="Z774" s="202"/>
      <c r="AA774" s="152"/>
      <c r="AB774" s="152"/>
    </row>
    <row r="775" spans="1:28" hidden="1" outlineLevel="1">
      <c r="A775" s="199">
        <f t="shared" si="1110"/>
        <v>5</v>
      </c>
      <c r="B775" s="190" t="str">
        <f t="shared" ca="1" si="1111"/>
        <v>Depreciated Net Capex 2020-21</v>
      </c>
      <c r="C775" s="1426"/>
      <c r="D775" s="1426"/>
      <c r="E775" s="1426"/>
      <c r="F775" s="1426"/>
      <c r="G775" s="1427"/>
      <c r="H775" s="1428">
        <f>H765</f>
        <v>0</v>
      </c>
      <c r="I775" s="1423">
        <f ca="1">IF(H799="n/a",H775,IFERROR(IF((OFFSET($C775,0,$A775))&lt;0,
MIN(0,H775-(OFFSET($C775,0,$A775)/(OFFSET($C770,-$A774,$A775)))),
MAX(0,H775-(OFFSET($C775,0,$A775)/(OFFSET($C770,-$A774,$A775))))),0))</f>
        <v>0</v>
      </c>
      <c r="J775" s="1423">
        <f t="shared" ca="1" si="1096"/>
        <v>0</v>
      </c>
      <c r="K775" s="1423">
        <f t="shared" ca="1" si="1097"/>
        <v>0</v>
      </c>
      <c r="L775" s="1423">
        <f t="shared" ca="1" si="1098"/>
        <v>0</v>
      </c>
      <c r="M775" s="1423">
        <f t="shared" ca="1" si="1099"/>
        <v>0</v>
      </c>
      <c r="N775" s="1423">
        <f t="shared" ca="1" si="1100"/>
        <v>0</v>
      </c>
      <c r="O775" s="1423">
        <f t="shared" ca="1" si="1101"/>
        <v>0</v>
      </c>
      <c r="P775" s="1423">
        <f t="shared" ca="1" si="1102"/>
        <v>0</v>
      </c>
      <c r="Q775" s="1423">
        <f t="shared" ca="1" si="1103"/>
        <v>0</v>
      </c>
      <c r="R775" s="1423">
        <f t="shared" ca="1" si="1104"/>
        <v>0</v>
      </c>
      <c r="S775" s="1423">
        <f t="shared" ca="1" si="1105"/>
        <v>0</v>
      </c>
      <c r="T775" s="1423">
        <f t="shared" ca="1" si="1106"/>
        <v>0</v>
      </c>
      <c r="U775" s="1423">
        <f t="shared" ca="1" si="1107"/>
        <v>0</v>
      </c>
      <c r="V775" s="1423">
        <f t="shared" ca="1" si="1108"/>
        <v>0</v>
      </c>
      <c r="W775" s="1423">
        <f t="shared" ca="1" si="1109"/>
        <v>0</v>
      </c>
      <c r="X775" s="202"/>
      <c r="Y775" s="202"/>
      <c r="Z775" s="202"/>
      <c r="AA775" s="152"/>
      <c r="AB775" s="152"/>
    </row>
    <row r="776" spans="1:28" hidden="1" outlineLevel="1">
      <c r="A776" s="199">
        <f t="shared" si="1110"/>
        <v>6</v>
      </c>
      <c r="B776" s="190" t="str">
        <f t="shared" ca="1" si="1111"/>
        <v>Depreciated Net Capex 2021-22</v>
      </c>
      <c r="C776" s="1426"/>
      <c r="D776" s="1426"/>
      <c r="E776" s="1426"/>
      <c r="F776" s="1426"/>
      <c r="G776" s="1426"/>
      <c r="H776" s="1427"/>
      <c r="I776" s="1428">
        <f>I765</f>
        <v>0</v>
      </c>
      <c r="J776" s="1423">
        <f ca="1">IF(I800="n/a",I776,IFERROR(IF((OFFSET($C776,0,$A776))&lt;0,
MIN(0,I776-(OFFSET($C776,0,$A776)/(OFFSET($C771,-$A775,$A776)))),
MAX(0,I776-(OFFSET($C776,0,$A776)/(OFFSET($C771,-$A775,$A776))))),0))</f>
        <v>0</v>
      </c>
      <c r="K776" s="1423">
        <f t="shared" ca="1" si="1097"/>
        <v>0</v>
      </c>
      <c r="L776" s="1423">
        <f t="shared" ca="1" si="1098"/>
        <v>0</v>
      </c>
      <c r="M776" s="1423">
        <f t="shared" ca="1" si="1099"/>
        <v>0</v>
      </c>
      <c r="N776" s="1423">
        <f t="shared" ca="1" si="1100"/>
        <v>0</v>
      </c>
      <c r="O776" s="1423">
        <f t="shared" ca="1" si="1101"/>
        <v>0</v>
      </c>
      <c r="P776" s="1423">
        <f t="shared" ca="1" si="1102"/>
        <v>0</v>
      </c>
      <c r="Q776" s="1423">
        <f t="shared" ca="1" si="1103"/>
        <v>0</v>
      </c>
      <c r="R776" s="1423">
        <f t="shared" ca="1" si="1104"/>
        <v>0</v>
      </c>
      <c r="S776" s="1423">
        <f t="shared" ca="1" si="1105"/>
        <v>0</v>
      </c>
      <c r="T776" s="1423">
        <f t="shared" ca="1" si="1106"/>
        <v>0</v>
      </c>
      <c r="U776" s="1423">
        <f t="shared" ca="1" si="1107"/>
        <v>0</v>
      </c>
      <c r="V776" s="1423">
        <f t="shared" ca="1" si="1108"/>
        <v>0</v>
      </c>
      <c r="W776" s="1423">
        <f t="shared" ca="1" si="1109"/>
        <v>0</v>
      </c>
      <c r="X776" s="202"/>
      <c r="Y776" s="202"/>
      <c r="Z776" s="202"/>
      <c r="AA776" s="152"/>
      <c r="AB776" s="152"/>
    </row>
    <row r="777" spans="1:28" hidden="1" outlineLevel="1">
      <c r="A777" s="199">
        <f t="shared" si="1110"/>
        <v>7</v>
      </c>
      <c r="B777" s="190" t="str">
        <f t="shared" ca="1" si="1111"/>
        <v>Depreciated Net Capex 2022-23</v>
      </c>
      <c r="C777" s="1426"/>
      <c r="D777" s="1426"/>
      <c r="E777" s="1426"/>
      <c r="F777" s="1426"/>
      <c r="G777" s="1426"/>
      <c r="H777" s="1426"/>
      <c r="I777" s="1427"/>
      <c r="J777" s="1428">
        <f>J765</f>
        <v>0</v>
      </c>
      <c r="K777" s="1423">
        <f ca="1">IF(J801="n/a",J777,IFERROR(IF((OFFSET($C777,0,$A777))&lt;0,
MIN(0,J777-(OFFSET($C777,0,$A777)/(OFFSET($C772,-$A776,$A777)))),
MAX(0,J777-(OFFSET($C777,0,$A777)/(OFFSET($C772,-$A776,$A777))))),0))</f>
        <v>0</v>
      </c>
      <c r="L777" s="1423">
        <f t="shared" ca="1" si="1098"/>
        <v>0</v>
      </c>
      <c r="M777" s="1423">
        <f t="shared" ca="1" si="1099"/>
        <v>0</v>
      </c>
      <c r="N777" s="1423">
        <f t="shared" ca="1" si="1100"/>
        <v>0</v>
      </c>
      <c r="O777" s="1423">
        <f t="shared" ca="1" si="1101"/>
        <v>0</v>
      </c>
      <c r="P777" s="1423">
        <f t="shared" ca="1" si="1102"/>
        <v>0</v>
      </c>
      <c r="Q777" s="1423">
        <f t="shared" ca="1" si="1103"/>
        <v>0</v>
      </c>
      <c r="R777" s="1423">
        <f t="shared" ca="1" si="1104"/>
        <v>0</v>
      </c>
      <c r="S777" s="1423">
        <f t="shared" ca="1" si="1105"/>
        <v>0</v>
      </c>
      <c r="T777" s="1423">
        <f t="shared" ca="1" si="1106"/>
        <v>0</v>
      </c>
      <c r="U777" s="1423">
        <f t="shared" ca="1" si="1107"/>
        <v>0</v>
      </c>
      <c r="V777" s="1423">
        <f t="shared" ca="1" si="1108"/>
        <v>0</v>
      </c>
      <c r="W777" s="1423">
        <f t="shared" ca="1" si="1109"/>
        <v>0</v>
      </c>
      <c r="X777" s="202"/>
      <c r="Y777" s="202"/>
      <c r="Z777" s="202"/>
      <c r="AA777" s="152"/>
      <c r="AB777" s="152"/>
    </row>
    <row r="778" spans="1:28" hidden="1" outlineLevel="1">
      <c r="A778" s="199">
        <f t="shared" si="1110"/>
        <v>8</v>
      </c>
      <c r="B778" s="190" t="str">
        <f t="shared" ca="1" si="1111"/>
        <v>Depreciated Net Capex 2023-24</v>
      </c>
      <c r="C778" s="1426"/>
      <c r="D778" s="1426"/>
      <c r="E778" s="1426"/>
      <c r="F778" s="1426"/>
      <c r="G778" s="1426"/>
      <c r="H778" s="1426"/>
      <c r="I778" s="1426"/>
      <c r="J778" s="1427"/>
      <c r="K778" s="1428">
        <f>K765</f>
        <v>0</v>
      </c>
      <c r="L778" s="1423">
        <f ca="1">IF(K802="n/a",K778,IFERROR(IF((OFFSET($C778,0,$A778))&lt;0,
MIN(0,K778-(OFFSET($C778,0,$A778)/(OFFSET($C773,-$A777,$A778)))),
MAX(0,K778-(OFFSET($C778,0,$A778)/(OFFSET($C773,-$A777,$A778))))),0))</f>
        <v>0</v>
      </c>
      <c r="M778" s="1423">
        <f t="shared" ca="1" si="1099"/>
        <v>0</v>
      </c>
      <c r="N778" s="1423">
        <f t="shared" ca="1" si="1100"/>
        <v>0</v>
      </c>
      <c r="O778" s="1423">
        <f t="shared" ca="1" si="1101"/>
        <v>0</v>
      </c>
      <c r="P778" s="1423">
        <f t="shared" ca="1" si="1102"/>
        <v>0</v>
      </c>
      <c r="Q778" s="1423">
        <f t="shared" ca="1" si="1103"/>
        <v>0</v>
      </c>
      <c r="R778" s="1423">
        <f t="shared" ca="1" si="1104"/>
        <v>0</v>
      </c>
      <c r="S778" s="1423">
        <f t="shared" ca="1" si="1105"/>
        <v>0</v>
      </c>
      <c r="T778" s="1423">
        <f t="shared" ca="1" si="1106"/>
        <v>0</v>
      </c>
      <c r="U778" s="1423">
        <f t="shared" ca="1" si="1107"/>
        <v>0</v>
      </c>
      <c r="V778" s="1423">
        <f t="shared" ca="1" si="1108"/>
        <v>0</v>
      </c>
      <c r="W778" s="1423">
        <f t="shared" ca="1" si="1109"/>
        <v>0</v>
      </c>
      <c r="X778" s="202"/>
      <c r="Y778" s="202"/>
      <c r="Z778" s="202"/>
      <c r="AA778" s="152"/>
      <c r="AB778" s="152"/>
    </row>
    <row r="779" spans="1:28" hidden="1" outlineLevel="1">
      <c r="A779" s="199">
        <f t="shared" si="1110"/>
        <v>9</v>
      </c>
      <c r="B779" s="190" t="str">
        <f t="shared" ca="1" si="1111"/>
        <v>Depreciated Net Capex 2024-25</v>
      </c>
      <c r="C779" s="1426"/>
      <c r="D779" s="1426"/>
      <c r="E779" s="1426"/>
      <c r="F779" s="1426"/>
      <c r="G779" s="1426"/>
      <c r="H779" s="1426"/>
      <c r="I779" s="1426"/>
      <c r="J779" s="1426"/>
      <c r="K779" s="1427"/>
      <c r="L779" s="1428">
        <f>L765</f>
        <v>0</v>
      </c>
      <c r="M779" s="1423">
        <f ca="1">IF(L803="n/a",L779,IFERROR(IF((OFFSET($C779,0,$A779))&lt;0,
MIN(0,L779-(OFFSET($C779,0,$A779)/(OFFSET($C774,-$A778,$A779)))),
MAX(0,L779-(OFFSET($C779,0,$A779)/(OFFSET($C774,-$A778,$A779))))),0))</f>
        <v>0</v>
      </c>
      <c r="N779" s="1423">
        <f t="shared" ca="1" si="1100"/>
        <v>0</v>
      </c>
      <c r="O779" s="1423">
        <f t="shared" ca="1" si="1101"/>
        <v>0</v>
      </c>
      <c r="P779" s="1423">
        <f t="shared" ca="1" si="1102"/>
        <v>0</v>
      </c>
      <c r="Q779" s="1423">
        <f t="shared" ca="1" si="1103"/>
        <v>0</v>
      </c>
      <c r="R779" s="1423">
        <f t="shared" ca="1" si="1104"/>
        <v>0</v>
      </c>
      <c r="S779" s="1423">
        <f t="shared" ca="1" si="1105"/>
        <v>0</v>
      </c>
      <c r="T779" s="1423">
        <f t="shared" ca="1" si="1106"/>
        <v>0</v>
      </c>
      <c r="U779" s="1423">
        <f t="shared" ca="1" si="1107"/>
        <v>0</v>
      </c>
      <c r="V779" s="1423">
        <f t="shared" ca="1" si="1108"/>
        <v>0</v>
      </c>
      <c r="W779" s="1423">
        <f t="shared" ca="1" si="1109"/>
        <v>0</v>
      </c>
      <c r="X779" s="202"/>
      <c r="Y779" s="202"/>
      <c r="Z779" s="202"/>
      <c r="AA779" s="152"/>
      <c r="AB779" s="152"/>
    </row>
    <row r="780" spans="1:28" hidden="1" outlineLevel="1">
      <c r="A780" s="199">
        <f t="shared" si="1110"/>
        <v>10</v>
      </c>
      <c r="B780" s="190" t="str">
        <f t="shared" ca="1" si="1111"/>
        <v>Depreciated Net Capex 2025-26</v>
      </c>
      <c r="C780" s="1426"/>
      <c r="D780" s="1426"/>
      <c r="E780" s="1426"/>
      <c r="F780" s="1426"/>
      <c r="G780" s="1426"/>
      <c r="H780" s="1426"/>
      <c r="I780" s="1426"/>
      <c r="J780" s="1426"/>
      <c r="K780" s="1426"/>
      <c r="L780" s="1427"/>
      <c r="M780" s="1428">
        <f>M765</f>
        <v>0</v>
      </c>
      <c r="N780" s="1423">
        <f ca="1">IF(M804="n/a",M780,IFERROR(IF((OFFSET($C780,0,$A780))&lt;0,
MIN(0,M780-(OFFSET($C780,0,$A780)/(OFFSET($C775,-$A779,$A780)))),
MAX(0,M780-(OFFSET($C780,0,$A780)/(OFFSET($C775,-$A779,$A780))))),0))</f>
        <v>0</v>
      </c>
      <c r="O780" s="1423">
        <f t="shared" ca="1" si="1101"/>
        <v>0</v>
      </c>
      <c r="P780" s="1423">
        <f t="shared" ca="1" si="1102"/>
        <v>0</v>
      </c>
      <c r="Q780" s="1423">
        <f t="shared" ca="1" si="1103"/>
        <v>0</v>
      </c>
      <c r="R780" s="1423">
        <f t="shared" ca="1" si="1104"/>
        <v>0</v>
      </c>
      <c r="S780" s="1423">
        <f t="shared" ca="1" si="1105"/>
        <v>0</v>
      </c>
      <c r="T780" s="1423">
        <f t="shared" ca="1" si="1106"/>
        <v>0</v>
      </c>
      <c r="U780" s="1423">
        <f t="shared" ca="1" si="1107"/>
        <v>0</v>
      </c>
      <c r="V780" s="1423">
        <f t="shared" ca="1" si="1108"/>
        <v>0</v>
      </c>
      <c r="W780" s="1423">
        <f t="shared" ca="1" si="1109"/>
        <v>0</v>
      </c>
      <c r="X780" s="202"/>
      <c r="Y780" s="202"/>
      <c r="Z780" s="202"/>
      <c r="AA780" s="152"/>
      <c r="AB780" s="152"/>
    </row>
    <row r="781" spans="1:28" hidden="1" outlineLevel="1">
      <c r="A781" s="199">
        <f t="shared" si="1110"/>
        <v>11</v>
      </c>
      <c r="B781" s="190" t="str">
        <f t="shared" ca="1" si="1111"/>
        <v>Depreciated Net Capex 2026-27</v>
      </c>
      <c r="C781" s="1426"/>
      <c r="D781" s="1426"/>
      <c r="E781" s="1426"/>
      <c r="F781" s="1426"/>
      <c r="G781" s="1426"/>
      <c r="H781" s="1426"/>
      <c r="I781" s="1426"/>
      <c r="J781" s="1426"/>
      <c r="K781" s="1426"/>
      <c r="L781" s="1426"/>
      <c r="M781" s="1427"/>
      <c r="N781" s="1428">
        <f>N765</f>
        <v>0</v>
      </c>
      <c r="O781" s="1423">
        <f ca="1">IF(N805="n/a",N781,IFERROR(IF((OFFSET($C781,0,$A781))&lt;0,
MIN(0,N781-(OFFSET($C781,0,$A781)/(OFFSET($C776,-$A780,$A781)))),
MAX(0,N781-(OFFSET($C781,0,$A781)/(OFFSET($C776,-$A780,$A781))))),0))</f>
        <v>0</v>
      </c>
      <c r="P781" s="1423">
        <f t="shared" ca="1" si="1102"/>
        <v>0</v>
      </c>
      <c r="Q781" s="1423">
        <f t="shared" ca="1" si="1103"/>
        <v>0</v>
      </c>
      <c r="R781" s="1423">
        <f t="shared" ca="1" si="1104"/>
        <v>0</v>
      </c>
      <c r="S781" s="1423">
        <f t="shared" ca="1" si="1105"/>
        <v>0</v>
      </c>
      <c r="T781" s="1423">
        <f t="shared" ca="1" si="1106"/>
        <v>0</v>
      </c>
      <c r="U781" s="1423">
        <f t="shared" ca="1" si="1107"/>
        <v>0</v>
      </c>
      <c r="V781" s="1423">
        <f t="shared" ca="1" si="1108"/>
        <v>0</v>
      </c>
      <c r="W781" s="1423">
        <f t="shared" ca="1" si="1109"/>
        <v>0</v>
      </c>
      <c r="X781" s="202"/>
      <c r="Y781" s="202"/>
      <c r="Z781" s="202"/>
      <c r="AA781" s="152"/>
      <c r="AB781" s="152"/>
    </row>
    <row r="782" spans="1:28" hidden="1" outlineLevel="1">
      <c r="A782" s="199">
        <f t="shared" si="1110"/>
        <v>12</v>
      </c>
      <c r="B782" s="190" t="str">
        <f t="shared" ca="1" si="1111"/>
        <v>Depreciated Net Capex 2027-28</v>
      </c>
      <c r="C782" s="1426"/>
      <c r="D782" s="1426"/>
      <c r="E782" s="1426"/>
      <c r="F782" s="1426"/>
      <c r="G782" s="1426"/>
      <c r="H782" s="1426"/>
      <c r="I782" s="1426"/>
      <c r="J782" s="1426"/>
      <c r="K782" s="1426"/>
      <c r="L782" s="1426"/>
      <c r="M782" s="1426"/>
      <c r="N782" s="1427"/>
      <c r="O782" s="1428">
        <f>O765</f>
        <v>0</v>
      </c>
      <c r="P782" s="1423">
        <f ca="1">IF(O806="n/a",O782,IFERROR(IF((OFFSET($C782,0,$A782))&lt;0,
MIN(0,O782-(OFFSET($C782,0,$A782)/(OFFSET($C777,-$A781,$A782)))),
MAX(0,O782-(OFFSET($C782,0,$A782)/(OFFSET($C777,-$A781,$A782))))),0))</f>
        <v>0</v>
      </c>
      <c r="Q782" s="1423">
        <f t="shared" ca="1" si="1103"/>
        <v>0</v>
      </c>
      <c r="R782" s="1423">
        <f t="shared" ca="1" si="1104"/>
        <v>0</v>
      </c>
      <c r="S782" s="1423">
        <f t="shared" ca="1" si="1105"/>
        <v>0</v>
      </c>
      <c r="T782" s="1423">
        <f t="shared" ca="1" si="1106"/>
        <v>0</v>
      </c>
      <c r="U782" s="1423">
        <f t="shared" ca="1" si="1107"/>
        <v>0</v>
      </c>
      <c r="V782" s="1423">
        <f t="shared" ca="1" si="1108"/>
        <v>0</v>
      </c>
      <c r="W782" s="1423">
        <f t="shared" ca="1" si="1109"/>
        <v>0</v>
      </c>
      <c r="X782" s="202"/>
      <c r="Y782" s="202"/>
      <c r="Z782" s="202"/>
      <c r="AA782" s="152"/>
      <c r="AB782" s="152"/>
    </row>
    <row r="783" spans="1:28" hidden="1" outlineLevel="1">
      <c r="A783" s="199">
        <f t="shared" si="1110"/>
        <v>13</v>
      </c>
      <c r="B783" s="190" t="str">
        <f t="shared" ca="1" si="1111"/>
        <v>Depreciated Net Capex 2028-29</v>
      </c>
      <c r="C783" s="1426"/>
      <c r="D783" s="1426"/>
      <c r="E783" s="1426"/>
      <c r="F783" s="1426"/>
      <c r="G783" s="1426"/>
      <c r="H783" s="1426"/>
      <c r="I783" s="1426"/>
      <c r="J783" s="1426"/>
      <c r="K783" s="1426"/>
      <c r="L783" s="1426"/>
      <c r="M783" s="1426"/>
      <c r="N783" s="1426"/>
      <c r="O783" s="1427"/>
      <c r="P783" s="1428">
        <f>P765</f>
        <v>0</v>
      </c>
      <c r="Q783" s="1423">
        <f ca="1">IF(P807="n/a",P783,IFERROR(IF((OFFSET($C783,0,$A783))&lt;0,
MIN(0,P783-(OFFSET($C783,0,$A783)/(OFFSET($C778,-$A782,$A783)))),
MAX(0,P783-(OFFSET($C783,0,$A783)/(OFFSET($C778,-$A782,$A783))))),0))</f>
        <v>0</v>
      </c>
      <c r="R783" s="1423">
        <f t="shared" ca="1" si="1104"/>
        <v>0</v>
      </c>
      <c r="S783" s="1423">
        <f t="shared" ca="1" si="1105"/>
        <v>0</v>
      </c>
      <c r="T783" s="1423">
        <f t="shared" ca="1" si="1106"/>
        <v>0</v>
      </c>
      <c r="U783" s="1423">
        <f t="shared" ca="1" si="1107"/>
        <v>0</v>
      </c>
      <c r="V783" s="1423">
        <f t="shared" ca="1" si="1108"/>
        <v>0</v>
      </c>
      <c r="W783" s="1423">
        <f t="shared" ca="1" si="1109"/>
        <v>0</v>
      </c>
      <c r="X783" s="202"/>
      <c r="Y783" s="202"/>
      <c r="Z783" s="202"/>
      <c r="AA783" s="152"/>
      <c r="AB783" s="152"/>
    </row>
    <row r="784" spans="1:28" hidden="1" outlineLevel="1">
      <c r="A784" s="199">
        <f t="shared" si="1110"/>
        <v>14</v>
      </c>
      <c r="B784" s="190" t="str">
        <f t="shared" ca="1" si="1111"/>
        <v>Depreciated Net Capex 2029-30</v>
      </c>
      <c r="C784" s="1426"/>
      <c r="D784" s="1426"/>
      <c r="E784" s="1426"/>
      <c r="F784" s="1426"/>
      <c r="G784" s="1426"/>
      <c r="H784" s="1426"/>
      <c r="I784" s="1426"/>
      <c r="J784" s="1426"/>
      <c r="K784" s="1426"/>
      <c r="L784" s="1426"/>
      <c r="M784" s="1426"/>
      <c r="N784" s="1426"/>
      <c r="O784" s="1426"/>
      <c r="P784" s="1427"/>
      <c r="Q784" s="1428">
        <f>Q765</f>
        <v>0</v>
      </c>
      <c r="R784" s="1423">
        <f ca="1">IF(Q808="n/a",Q784,IFERROR(IF((OFFSET($C784,0,$A784))&lt;0,
MIN(0,Q784-(OFFSET($C784,0,$A784)/(OFFSET($C779,-$A783,$A784)))),
MAX(0,Q784-(OFFSET($C784,0,$A784)/(OFFSET($C779,-$A783,$A784))))),0))</f>
        <v>0</v>
      </c>
      <c r="S784" s="1423">
        <f t="shared" ca="1" si="1105"/>
        <v>0</v>
      </c>
      <c r="T784" s="1423">
        <f t="shared" ca="1" si="1106"/>
        <v>0</v>
      </c>
      <c r="U784" s="1423">
        <f t="shared" ca="1" si="1107"/>
        <v>0</v>
      </c>
      <c r="V784" s="1423">
        <f t="shared" ca="1" si="1108"/>
        <v>0</v>
      </c>
      <c r="W784" s="1423">
        <f t="shared" ca="1" si="1109"/>
        <v>0</v>
      </c>
      <c r="X784" s="202"/>
      <c r="Y784" s="202"/>
      <c r="Z784" s="202"/>
      <c r="AA784" s="152"/>
      <c r="AB784" s="152"/>
    </row>
    <row r="785" spans="1:28" hidden="1" outlineLevel="1">
      <c r="A785" s="199">
        <f t="shared" si="1110"/>
        <v>15</v>
      </c>
      <c r="B785" s="190" t="str">
        <f t="shared" ca="1" si="1111"/>
        <v>Depreciated Net Capex 2030-31</v>
      </c>
      <c r="C785" s="1426"/>
      <c r="D785" s="1426"/>
      <c r="E785" s="1426"/>
      <c r="F785" s="1426"/>
      <c r="G785" s="1426"/>
      <c r="H785" s="1426"/>
      <c r="I785" s="1426"/>
      <c r="J785" s="1426"/>
      <c r="K785" s="1426"/>
      <c r="L785" s="1426"/>
      <c r="M785" s="1426"/>
      <c r="N785" s="1426"/>
      <c r="O785" s="1426"/>
      <c r="P785" s="1426"/>
      <c r="Q785" s="1427"/>
      <c r="R785" s="1428">
        <f>R765</f>
        <v>0</v>
      </c>
      <c r="S785" s="1423">
        <f ca="1">IF(R809="n/a",R785,IFERROR(IF((OFFSET($C785,0,$A785))&lt;0,
MIN(0,R785-(OFFSET($C785,0,$A785)/(OFFSET($C780,-$A784,$A785)))),
MAX(0,R785-(OFFSET($C785,0,$A785)/(OFFSET($C780,-$A784,$A785))))),0))</f>
        <v>0</v>
      </c>
      <c r="T785" s="1423">
        <f t="shared" ca="1" si="1106"/>
        <v>0</v>
      </c>
      <c r="U785" s="1423">
        <f t="shared" ca="1" si="1107"/>
        <v>0</v>
      </c>
      <c r="V785" s="1423">
        <f t="shared" ca="1" si="1108"/>
        <v>0</v>
      </c>
      <c r="W785" s="1423">
        <f t="shared" ca="1" si="1109"/>
        <v>0</v>
      </c>
      <c r="X785" s="202"/>
      <c r="Y785" s="202"/>
      <c r="Z785" s="202"/>
      <c r="AA785" s="152"/>
      <c r="AB785" s="152"/>
    </row>
    <row r="786" spans="1:28" hidden="1" outlineLevel="1">
      <c r="A786" s="199">
        <f t="shared" si="1110"/>
        <v>16</v>
      </c>
      <c r="B786" s="190" t="str">
        <f t="shared" ca="1" si="1111"/>
        <v>Depreciated Net Capex 2031-32</v>
      </c>
      <c r="C786" s="1426"/>
      <c r="D786" s="1426"/>
      <c r="E786" s="1426"/>
      <c r="F786" s="1426"/>
      <c r="G786" s="1426"/>
      <c r="H786" s="1426"/>
      <c r="I786" s="1426"/>
      <c r="J786" s="1426"/>
      <c r="K786" s="1426"/>
      <c r="L786" s="1426"/>
      <c r="M786" s="1426"/>
      <c r="N786" s="1426"/>
      <c r="O786" s="1426"/>
      <c r="P786" s="1426"/>
      <c r="Q786" s="1426"/>
      <c r="R786" s="1427"/>
      <c r="S786" s="1428">
        <f>S765</f>
        <v>0</v>
      </c>
      <c r="T786" s="1423">
        <f ca="1">IF(S810="n/a",S786,IFERROR(IF((OFFSET($C786,0,$A786))&lt;0,
MIN(0,S786-(OFFSET($C786,0,$A786)/(OFFSET($C781,-$A785,$A786)))),
MAX(0,S786-(OFFSET($C786,0,$A786)/(OFFSET($C781,-$A785,$A786))))),0))</f>
        <v>0</v>
      </c>
      <c r="U786" s="1423">
        <f t="shared" ca="1" si="1107"/>
        <v>0</v>
      </c>
      <c r="V786" s="1423">
        <f t="shared" ca="1" si="1108"/>
        <v>0</v>
      </c>
      <c r="W786" s="1423">
        <f t="shared" ca="1" si="1109"/>
        <v>0</v>
      </c>
      <c r="X786" s="202"/>
      <c r="Y786" s="202"/>
      <c r="Z786" s="202"/>
      <c r="AA786" s="152"/>
      <c r="AB786" s="152"/>
    </row>
    <row r="787" spans="1:28" hidden="1" outlineLevel="1">
      <c r="A787" s="199">
        <f t="shared" si="1110"/>
        <v>17</v>
      </c>
      <c r="B787" s="190" t="str">
        <f t="shared" ca="1" si="1111"/>
        <v>Depreciated Net Capex 2032-33</v>
      </c>
      <c r="C787" s="1426"/>
      <c r="D787" s="1426"/>
      <c r="E787" s="1426"/>
      <c r="F787" s="1426"/>
      <c r="G787" s="1426"/>
      <c r="H787" s="1426"/>
      <c r="I787" s="1426"/>
      <c r="J787" s="1426"/>
      <c r="K787" s="1426"/>
      <c r="L787" s="1426"/>
      <c r="M787" s="1426"/>
      <c r="N787" s="1426"/>
      <c r="O787" s="1426"/>
      <c r="P787" s="1426"/>
      <c r="Q787" s="1426"/>
      <c r="R787" s="1426"/>
      <c r="S787" s="1427"/>
      <c r="T787" s="1428">
        <f>T765</f>
        <v>0</v>
      </c>
      <c r="U787" s="1423">
        <f ca="1">IF(T811="n/a",T787,IFERROR(IF((OFFSET($C787,0,$A787))&lt;0,
MIN(0,T787-(OFFSET($C787,0,$A787)/(OFFSET($C782,-$A786,$A787)))),
MAX(0,T787-(OFFSET($C787,0,$A787)/(OFFSET($C782,-$A786,$A787))))),0))</f>
        <v>0</v>
      </c>
      <c r="V787" s="1423">
        <f t="shared" ca="1" si="1108"/>
        <v>0</v>
      </c>
      <c r="W787" s="1423">
        <f t="shared" ca="1" si="1109"/>
        <v>0</v>
      </c>
      <c r="X787" s="202"/>
      <c r="Y787" s="202"/>
      <c r="Z787" s="202"/>
      <c r="AA787" s="152"/>
      <c r="AB787" s="152"/>
    </row>
    <row r="788" spans="1:28" hidden="1" outlineLevel="1">
      <c r="A788" s="199">
        <f t="shared" si="1110"/>
        <v>18</v>
      </c>
      <c r="B788" s="190" t="str">
        <f t="shared" ca="1" si="1111"/>
        <v>Depreciated Net Capex 2033-34</v>
      </c>
      <c r="C788" s="1426"/>
      <c r="D788" s="1426"/>
      <c r="E788" s="1426"/>
      <c r="F788" s="1426"/>
      <c r="G788" s="1426"/>
      <c r="H788" s="1426"/>
      <c r="I788" s="1426"/>
      <c r="J788" s="1426"/>
      <c r="K788" s="1426"/>
      <c r="L788" s="1426"/>
      <c r="M788" s="1426"/>
      <c r="N788" s="1426"/>
      <c r="O788" s="1426"/>
      <c r="P788" s="1426"/>
      <c r="Q788" s="1426"/>
      <c r="R788" s="1426"/>
      <c r="S788" s="1426"/>
      <c r="T788" s="1427"/>
      <c r="U788" s="1428">
        <f>U765</f>
        <v>0</v>
      </c>
      <c r="V788" s="1423">
        <f ca="1">IF(U812="n/a",U788,IFERROR(IF((OFFSET($C788,0,$A788))&lt;0,
MIN(0,U788-(OFFSET($C788,0,$A788)/(OFFSET($C783,-$A787,$A788)))),
MAX(0,U788-(OFFSET($C788,0,$A788)/(OFFSET($C783,-$A787,$A788))))),0))</f>
        <v>0</v>
      </c>
      <c r="W788" s="1423">
        <f t="shared" ca="1" si="1109"/>
        <v>0</v>
      </c>
      <c r="X788" s="202"/>
      <c r="Y788" s="202"/>
      <c r="Z788" s="202"/>
      <c r="AA788" s="152"/>
      <c r="AB788" s="152"/>
    </row>
    <row r="789" spans="1:28" hidden="1" outlineLevel="1">
      <c r="A789" s="199">
        <f t="shared" si="1110"/>
        <v>19</v>
      </c>
      <c r="B789" s="190" t="str">
        <f t="shared" ca="1" si="1111"/>
        <v>Depreciated Net Capex 2034-35</v>
      </c>
      <c r="C789" s="1426"/>
      <c r="D789" s="1426"/>
      <c r="E789" s="1426"/>
      <c r="F789" s="1426"/>
      <c r="G789" s="1426"/>
      <c r="H789" s="1426"/>
      <c r="I789" s="1426"/>
      <c r="J789" s="1426"/>
      <c r="K789" s="1426"/>
      <c r="L789" s="1426"/>
      <c r="M789" s="1426"/>
      <c r="N789" s="1426"/>
      <c r="O789" s="1426"/>
      <c r="P789" s="1426"/>
      <c r="Q789" s="1426"/>
      <c r="R789" s="1426"/>
      <c r="S789" s="1426"/>
      <c r="T789" s="1426"/>
      <c r="U789" s="1427"/>
      <c r="V789" s="1428">
        <f>V765</f>
        <v>0</v>
      </c>
      <c r="W789" s="1423">
        <f ca="1">IF(V813="n/a",V789,IFERROR(IF((OFFSET($C789,0,$A789))&lt;0,
MIN(0,V789-(OFFSET($C789,0,$A789)/(OFFSET($C784,-$A788,$A789)))),
MAX(0,V789-(OFFSET($C789,0,$A789)/(OFFSET($C784,-$A788,$A789))))),0))</f>
        <v>0</v>
      </c>
      <c r="X789" s="202"/>
      <c r="Y789" s="202"/>
      <c r="Z789" s="202"/>
      <c r="AA789" s="152"/>
      <c r="AB789" s="152"/>
    </row>
    <row r="790" spans="1:28" hidden="1" outlineLevel="1">
      <c r="A790" s="199">
        <f t="shared" si="1110"/>
        <v>20</v>
      </c>
      <c r="B790" s="190" t="str">
        <f t="shared" ca="1" si="1111"/>
        <v>Depreciated Net Capex 2035-36</v>
      </c>
      <c r="C790" s="1426"/>
      <c r="D790" s="1426"/>
      <c r="E790" s="1426"/>
      <c r="F790" s="1426"/>
      <c r="G790" s="1426"/>
      <c r="H790" s="1426"/>
      <c r="I790" s="1426"/>
      <c r="J790" s="1426"/>
      <c r="K790" s="1426"/>
      <c r="L790" s="1426"/>
      <c r="M790" s="1426"/>
      <c r="N790" s="1426"/>
      <c r="O790" s="1426"/>
      <c r="P790" s="1426"/>
      <c r="Q790" s="1426"/>
      <c r="R790" s="1426"/>
      <c r="S790" s="1426"/>
      <c r="T790" s="1426"/>
      <c r="U790" s="1426"/>
      <c r="V790" s="1427"/>
      <c r="W790" s="1423">
        <f>W765</f>
        <v>0</v>
      </c>
      <c r="X790" s="152"/>
      <c r="Y790" s="152"/>
      <c r="Z790" s="152"/>
      <c r="AA790" s="152"/>
      <c r="AB790" s="152"/>
    </row>
    <row r="791" spans="1:28" hidden="1" outlineLevel="1">
      <c r="A791" s="152"/>
      <c r="B791" s="200"/>
      <c r="C791" s="1423"/>
      <c r="D791" s="1423"/>
      <c r="E791" s="1423"/>
      <c r="F791" s="1423"/>
      <c r="G791" s="1423"/>
      <c r="H791" s="1423"/>
      <c r="I791" s="1423"/>
      <c r="J791" s="1423"/>
      <c r="K791" s="1423"/>
      <c r="L791" s="1423"/>
      <c r="M791" s="1423"/>
      <c r="N791" s="1423"/>
      <c r="O791" s="1423"/>
      <c r="P791" s="1423"/>
      <c r="Q791" s="1423"/>
      <c r="R791" s="1423"/>
      <c r="S791" s="1423"/>
      <c r="T791" s="1423"/>
      <c r="U791" s="1423"/>
      <c r="V791" s="1423"/>
      <c r="W791" s="1423"/>
      <c r="X791" s="152"/>
      <c r="Y791" s="152"/>
      <c r="Z791" s="152"/>
      <c r="AA791" s="152"/>
      <c r="AB791" s="152"/>
    </row>
    <row r="792" spans="1:28" hidden="1" outlineLevel="1">
      <c r="A792" s="152"/>
      <c r="B792" s="200"/>
      <c r="C792" s="1423"/>
      <c r="D792" s="1423"/>
      <c r="E792" s="1423"/>
      <c r="F792" s="1423"/>
      <c r="G792" s="1423"/>
      <c r="H792" s="1423"/>
      <c r="I792" s="1423"/>
      <c r="J792" s="1423"/>
      <c r="K792" s="1423"/>
      <c r="L792" s="1423"/>
      <c r="M792" s="1423"/>
      <c r="N792" s="1423"/>
      <c r="O792" s="1423"/>
      <c r="P792" s="1423"/>
      <c r="Q792" s="1423"/>
      <c r="R792" s="1423"/>
      <c r="S792" s="1423"/>
      <c r="T792" s="1423"/>
      <c r="U792" s="1423"/>
      <c r="V792" s="1423"/>
      <c r="W792" s="1423"/>
      <c r="X792" s="152"/>
      <c r="Y792" s="152"/>
      <c r="Z792" s="152"/>
      <c r="AA792" s="152"/>
      <c r="AB792" s="152"/>
    </row>
    <row r="793" spans="1:28" hidden="1" outlineLevel="1">
      <c r="A793" s="152"/>
      <c r="B793" s="190" t="s">
        <v>194</v>
      </c>
      <c r="C793" s="1423"/>
      <c r="D793" s="1423">
        <f t="shared" ref="D793" ca="1" si="1112">IF(AND(C793&lt;1,D767=0),0,
IF(D767=0,C793-1,
IF(C793&lt;1,D768,
(((C793-1)*(C769-(C769/(C793))))+(D767*D768))/(D769))))</f>
        <v>0</v>
      </c>
      <c r="E793" s="1423">
        <f t="shared" ref="E793" ca="1" si="1113">IF(AND(D793&lt;1,E767=0),0,
IF(E767=0,D793-1,
IF(D793&lt;1,E768,
(((D793-1)*(D769-(D769/(D793))))+(E767*E768))/(E769))))</f>
        <v>0</v>
      </c>
      <c r="F793" s="1423">
        <f t="shared" ref="F793" ca="1" si="1114">IF(AND(E793&lt;1,F767=0),0,
IF(F767=0,E793-1,
IF(E793&lt;1,F768,
(((E793-1)*(E769-(E769/(E793))))+(F767*F768))/(F769))))</f>
        <v>0</v>
      </c>
      <c r="G793" s="1423">
        <f t="shared" ref="G793" ca="1" si="1115">IF(AND(F793&lt;1,G767=0),0,
IF(G767=0,F793-1,
IF(F793&lt;1,G768,
(((F793-1)*(F769-(F769/(F793))))+(G767*G768))/(G769))))</f>
        <v>0</v>
      </c>
      <c r="H793" s="1423">
        <f ca="1">IF(AND(G793&lt;1,H767=0),0,
IF(H767=0,G793-1,
IF(G793&lt;1,H768,
(((G793-1)*(G769-(G769/(G793))))+(H767*H768))/(H769))))</f>
        <v>0</v>
      </c>
      <c r="I793" s="1423">
        <f t="shared" ref="I793" ca="1" si="1116">IF(AND(H793&lt;1,I767=0),0,
IF(I767=0,H793-1,
IF(H793&lt;1,I768,
(((H793-1)*(H769-(H769/(H793))))+(I767*I768))/(I769))))</f>
        <v>0</v>
      </c>
      <c r="J793" s="1423">
        <f t="shared" ref="J793" ca="1" si="1117">IF(AND(I793&lt;1,J767=0),0,
IF(J767=0,I793-1,
IF(I793&lt;1,J768,
(((I793-1)*(I769-(I769/(I793))))+(J767*J768))/(J769))))</f>
        <v>0</v>
      </c>
      <c r="K793" s="1423">
        <f t="shared" ref="K793" ca="1" si="1118">IF(AND(J793&lt;1,K767=0),0,
IF(K767=0,J793-1,
IF(J793&lt;1,K768,
(((J793-1)*(J769-(J769/(J793))))+(K767*K768))/(K769))))</f>
        <v>0</v>
      </c>
      <c r="L793" s="1423">
        <f t="shared" ref="L793" ca="1" si="1119">IF(AND(K793&lt;1,L767=0),0,
IF(L767=0,K793-1,
IF(K793&lt;1,L768,
(((K793-1)*(K769-(K769/(K793))))+(L767*L768))/(L769))))</f>
        <v>0</v>
      </c>
      <c r="M793" s="1423">
        <f ca="1">IF(AND(L793&lt;1,M767=0),0,
IF(M767=0,L793-1,
IF(L793&lt;1,M768,
(((L793-1)*(L769-(L769/(L793))))+(M767*M768))/(M769))))</f>
        <v>0</v>
      </c>
      <c r="N793" s="1423">
        <f t="shared" ref="N793" ca="1" si="1120">IF(AND(M793&lt;1,N767=0),0,
IF(N767=0,M793-1,
IF(M793&lt;1,N768,
(((M793-1)*(M769-(M769/(M793))))+(N767*N768))/(N769))))</f>
        <v>0</v>
      </c>
      <c r="O793" s="1423">
        <f t="shared" ref="O793" ca="1" si="1121">IF(AND(N793&lt;1,O767=0),0,
IF(O767=0,N793-1,
IF(N793&lt;1,O768,
(((N793-1)*(N769-(N769/(N793))))+(O767*O768))/(O769))))</f>
        <v>0</v>
      </c>
      <c r="P793" s="1423">
        <f t="shared" ref="P793" ca="1" si="1122">IF(AND(O793&lt;1,P767=0),0,
IF(P767=0,O793-1,
IF(O793&lt;1,P768,
(((O793-1)*(O769-(O769/(O793))))+(P767*P768))/(P769))))</f>
        <v>0</v>
      </c>
      <c r="Q793" s="1423">
        <f t="shared" ref="Q793" ca="1" si="1123">IF(AND(P793&lt;1,Q767=0),0,
IF(Q767=0,P793-1,
IF(P793&lt;1,Q768,
(((P793-1)*(P769-(P769/(P793))))+(Q767*Q768))/(Q769))))</f>
        <v>0</v>
      </c>
      <c r="R793" s="1423">
        <f t="shared" ref="R793" ca="1" si="1124">IF(AND(Q793&lt;1,R767=0),0,
IF(R767=0,Q793-1,
IF(Q793&lt;1,R768,
(((Q793-1)*(Q769-(Q769/(Q793))))+(R767*R768))/(R769))))</f>
        <v>0</v>
      </c>
      <c r="S793" s="1423">
        <f t="shared" ref="S793" ca="1" si="1125">IF(AND(R793&lt;1,S767=0),0,
IF(S767=0,R793-1,
IF(R793&lt;1,S768,
(((R793-1)*(R769-(R769/(R793))))+(S767*S768))/(S769))))</f>
        <v>0</v>
      </c>
      <c r="T793" s="1423">
        <f t="shared" ref="T793" ca="1" si="1126">IF(AND(S793&lt;1,T767=0),0,
IF(T767=0,S793-1,
IF(S793&lt;1,T768,
(((S793-1)*(S769-(S769/(S793))))+(T767*T768))/(T769))))</f>
        <v>0</v>
      </c>
      <c r="U793" s="1423">
        <f t="shared" ref="U793" ca="1" si="1127">IF(AND(T793&lt;1,U767=0),0,
IF(U767=0,T793-1,
IF(T793&lt;1,U768,
(((T793-1)*(T769-(T769/(T793))))+(U767*U768))/(U769))))</f>
        <v>0</v>
      </c>
      <c r="V793" s="1423">
        <f t="shared" ref="V793" ca="1" si="1128">IF(AND(U793&lt;1,V767=0),0,
IF(V767=0,U793-1,
IF(U793&lt;1,V768,
(((U793-1)*(U769-(U769/(U793))))+(V767*V768))/(V769))))</f>
        <v>0</v>
      </c>
      <c r="W793" s="1423">
        <f t="shared" ref="W793" ca="1" si="1129">IF(AND(V793&lt;1,W767=0),0,
IF(W767=0,V793-1,
IF(V793&lt;1,W768,
(((V793-1)*(V769-(V769/(V793))))+(W767*W768))/(W769))))</f>
        <v>0</v>
      </c>
      <c r="X793" s="152"/>
      <c r="Y793" s="152"/>
      <c r="Z793" s="152"/>
      <c r="AA793" s="152"/>
      <c r="AB793" s="152"/>
    </row>
    <row r="794" spans="1:28" hidden="1" outlineLevel="1">
      <c r="A794" s="152"/>
      <c r="B794" s="190" t="s">
        <v>193</v>
      </c>
      <c r="C794" s="1423">
        <f ca="1">C766</f>
        <v>0</v>
      </c>
      <c r="D794" s="1423">
        <f t="shared" ref="D794" ca="1" si="1130">IF(C794="n/a","n/a",MAX(0,C794-1))</f>
        <v>0</v>
      </c>
      <c r="E794" s="1423">
        <f t="shared" ref="E794:E795" ca="1" si="1131">IF(D794="n/a","n/a",MAX(0,D794-1))</f>
        <v>0</v>
      </c>
      <c r="F794" s="1423">
        <f t="shared" ref="F794:F796" ca="1" si="1132">IF(E794="n/a","n/a",MAX(0,E794-1))</f>
        <v>0</v>
      </c>
      <c r="G794" s="1423">
        <f t="shared" ref="G794:G797" ca="1" si="1133">IF(F794="n/a","n/a",MAX(0,F794-1))</f>
        <v>0</v>
      </c>
      <c r="H794" s="1423">
        <f t="shared" ref="H794:H798" ca="1" si="1134">IF(G794="n/a","n/a",MAX(0,G794-1))</f>
        <v>0</v>
      </c>
      <c r="I794" s="1423">
        <f t="shared" ref="I794:I799" ca="1" si="1135">IF(H794="n/a","n/a",MAX(0,H794-1))</f>
        <v>0</v>
      </c>
      <c r="J794" s="1423">
        <f t="shared" ref="J794:J800" ca="1" si="1136">IF(I794="n/a","n/a",MAX(0,I794-1))</f>
        <v>0</v>
      </c>
      <c r="K794" s="1423">
        <f t="shared" ref="K794:K801" ca="1" si="1137">IF(J794="n/a","n/a",MAX(0,J794-1))</f>
        <v>0</v>
      </c>
      <c r="L794" s="1423">
        <f t="shared" ref="L794:L802" ca="1" si="1138">IF(K794="n/a","n/a",MAX(0,K794-1))</f>
        <v>0</v>
      </c>
      <c r="M794" s="1423">
        <f t="shared" ref="M794:M803" ca="1" si="1139">IF(L794="n/a","n/a",MAX(0,L794-1))</f>
        <v>0</v>
      </c>
      <c r="N794" s="1423">
        <f t="shared" ref="N794:N804" ca="1" si="1140">IF(M794="n/a","n/a",MAX(0,M794-1))</f>
        <v>0</v>
      </c>
      <c r="O794" s="1423">
        <f t="shared" ref="O794:O805" ca="1" si="1141">IF(N794="n/a","n/a",MAX(0,N794-1))</f>
        <v>0</v>
      </c>
      <c r="P794" s="1423">
        <f t="shared" ref="P794:P806" ca="1" si="1142">IF(O794="n/a","n/a",MAX(0,O794-1))</f>
        <v>0</v>
      </c>
      <c r="Q794" s="1423">
        <f t="shared" ref="Q794:Q807" ca="1" si="1143">IF(P794="n/a","n/a",MAX(0,P794-1))</f>
        <v>0</v>
      </c>
      <c r="R794" s="1423">
        <f t="shared" ref="R794:R808" ca="1" si="1144">IF(Q794="n/a","n/a",MAX(0,Q794-1))</f>
        <v>0</v>
      </c>
      <c r="S794" s="1423">
        <f t="shared" ref="S794:S809" ca="1" si="1145">IF(R794="n/a","n/a",MAX(0,R794-1))</f>
        <v>0</v>
      </c>
      <c r="T794" s="1423">
        <f t="shared" ref="T794:T810" ca="1" si="1146">IF(S794="n/a","n/a",MAX(0,S794-1))</f>
        <v>0</v>
      </c>
      <c r="U794" s="1423">
        <f t="shared" ref="U794:U811" ca="1" si="1147">IF(T794="n/a","n/a",MAX(0,T794-1))</f>
        <v>0</v>
      </c>
      <c r="V794" s="1423">
        <f t="shared" ref="V794:V812" ca="1" si="1148">IF(U794="n/a","n/a",MAX(0,U794-1))</f>
        <v>0</v>
      </c>
      <c r="W794" s="1423">
        <f t="shared" ref="W794:W812" ca="1" si="1149">IF(V794="n/a","n/a",MAX(0,V794-1))</f>
        <v>0</v>
      </c>
      <c r="X794" s="152"/>
      <c r="Y794" s="152"/>
      <c r="Z794" s="152"/>
      <c r="AA794" s="152"/>
      <c r="AB794" s="152"/>
    </row>
    <row r="795" spans="1:28" hidden="1" outlineLevel="1">
      <c r="A795" s="152"/>
      <c r="B795" s="190" t="str">
        <f t="shared" ref="B795:B814" ca="1" si="1150">"RL Capex "&amp;OFFSET($C$6,0,A771)</f>
        <v>RL Capex 2016-17</v>
      </c>
      <c r="C795" s="1424"/>
      <c r="D795" s="1428">
        <f>D766</f>
        <v>0</v>
      </c>
      <c r="E795" s="1423">
        <f t="shared" si="1131"/>
        <v>0</v>
      </c>
      <c r="F795" s="1423">
        <f t="shared" si="1132"/>
        <v>0</v>
      </c>
      <c r="G795" s="1423">
        <f t="shared" si="1133"/>
        <v>0</v>
      </c>
      <c r="H795" s="1423">
        <f t="shared" si="1134"/>
        <v>0</v>
      </c>
      <c r="I795" s="1423">
        <f t="shared" si="1135"/>
        <v>0</v>
      </c>
      <c r="J795" s="1423">
        <f t="shared" si="1136"/>
        <v>0</v>
      </c>
      <c r="K795" s="1423">
        <f t="shared" si="1137"/>
        <v>0</v>
      </c>
      <c r="L795" s="1423">
        <f t="shared" si="1138"/>
        <v>0</v>
      </c>
      <c r="M795" s="1423">
        <f t="shared" si="1139"/>
        <v>0</v>
      </c>
      <c r="N795" s="1423">
        <f t="shared" si="1140"/>
        <v>0</v>
      </c>
      <c r="O795" s="1423">
        <f t="shared" si="1141"/>
        <v>0</v>
      </c>
      <c r="P795" s="1423">
        <f t="shared" si="1142"/>
        <v>0</v>
      </c>
      <c r="Q795" s="1423">
        <f t="shared" si="1143"/>
        <v>0</v>
      </c>
      <c r="R795" s="1423">
        <f t="shared" si="1144"/>
        <v>0</v>
      </c>
      <c r="S795" s="1423">
        <f t="shared" si="1145"/>
        <v>0</v>
      </c>
      <c r="T795" s="1423">
        <f t="shared" si="1146"/>
        <v>0</v>
      </c>
      <c r="U795" s="1423">
        <f t="shared" si="1147"/>
        <v>0</v>
      </c>
      <c r="V795" s="1423">
        <f t="shared" si="1148"/>
        <v>0</v>
      </c>
      <c r="W795" s="1423">
        <f t="shared" si="1149"/>
        <v>0</v>
      </c>
      <c r="X795" s="152"/>
      <c r="Y795" s="152"/>
      <c r="Z795" s="152"/>
      <c r="AA795" s="152"/>
      <c r="AB795" s="152"/>
    </row>
    <row r="796" spans="1:28" hidden="1" outlineLevel="1">
      <c r="A796" s="152"/>
      <c r="B796" s="190" t="str">
        <f t="shared" ca="1" si="1150"/>
        <v>RL Capex 2017-18</v>
      </c>
      <c r="C796" s="1429"/>
      <c r="D796" s="1424"/>
      <c r="E796" s="1428">
        <f>E766</f>
        <v>0</v>
      </c>
      <c r="F796" s="1423">
        <f t="shared" si="1132"/>
        <v>0</v>
      </c>
      <c r="G796" s="1423">
        <f t="shared" si="1133"/>
        <v>0</v>
      </c>
      <c r="H796" s="1423">
        <f t="shared" si="1134"/>
        <v>0</v>
      </c>
      <c r="I796" s="1423">
        <f t="shared" si="1135"/>
        <v>0</v>
      </c>
      <c r="J796" s="1423">
        <f t="shared" si="1136"/>
        <v>0</v>
      </c>
      <c r="K796" s="1423">
        <f t="shared" si="1137"/>
        <v>0</v>
      </c>
      <c r="L796" s="1423">
        <f t="shared" si="1138"/>
        <v>0</v>
      </c>
      <c r="M796" s="1423">
        <f t="shared" si="1139"/>
        <v>0</v>
      </c>
      <c r="N796" s="1423">
        <f t="shared" si="1140"/>
        <v>0</v>
      </c>
      <c r="O796" s="1423">
        <f t="shared" si="1141"/>
        <v>0</v>
      </c>
      <c r="P796" s="1423">
        <f t="shared" si="1142"/>
        <v>0</v>
      </c>
      <c r="Q796" s="1423">
        <f t="shared" si="1143"/>
        <v>0</v>
      </c>
      <c r="R796" s="1423">
        <f t="shared" si="1144"/>
        <v>0</v>
      </c>
      <c r="S796" s="1423">
        <f t="shared" si="1145"/>
        <v>0</v>
      </c>
      <c r="T796" s="1423">
        <f t="shared" si="1146"/>
        <v>0</v>
      </c>
      <c r="U796" s="1423">
        <f t="shared" si="1147"/>
        <v>0</v>
      </c>
      <c r="V796" s="1423">
        <f t="shared" si="1148"/>
        <v>0</v>
      </c>
      <c r="W796" s="1423">
        <f t="shared" si="1149"/>
        <v>0</v>
      </c>
      <c r="X796" s="152"/>
      <c r="Y796" s="152"/>
      <c r="Z796" s="152"/>
      <c r="AA796" s="152"/>
      <c r="AB796" s="152"/>
    </row>
    <row r="797" spans="1:28" hidden="1" outlineLevel="1">
      <c r="A797" s="152"/>
      <c r="B797" s="190" t="str">
        <f t="shared" ca="1" si="1150"/>
        <v>RL Capex 2018-19</v>
      </c>
      <c r="C797" s="1429"/>
      <c r="D797" s="1429"/>
      <c r="E797" s="1424"/>
      <c r="F797" s="1428">
        <f>F766</f>
        <v>0</v>
      </c>
      <c r="G797" s="1423">
        <f t="shared" si="1133"/>
        <v>0</v>
      </c>
      <c r="H797" s="1423">
        <f t="shared" si="1134"/>
        <v>0</v>
      </c>
      <c r="I797" s="1423">
        <f t="shared" si="1135"/>
        <v>0</v>
      </c>
      <c r="J797" s="1423">
        <f t="shared" si="1136"/>
        <v>0</v>
      </c>
      <c r="K797" s="1423">
        <f t="shared" si="1137"/>
        <v>0</v>
      </c>
      <c r="L797" s="1423">
        <f t="shared" si="1138"/>
        <v>0</v>
      </c>
      <c r="M797" s="1423">
        <f t="shared" si="1139"/>
        <v>0</v>
      </c>
      <c r="N797" s="1423">
        <f t="shared" si="1140"/>
        <v>0</v>
      </c>
      <c r="O797" s="1423">
        <f t="shared" si="1141"/>
        <v>0</v>
      </c>
      <c r="P797" s="1423">
        <f t="shared" si="1142"/>
        <v>0</v>
      </c>
      <c r="Q797" s="1423">
        <f t="shared" si="1143"/>
        <v>0</v>
      </c>
      <c r="R797" s="1423">
        <f t="shared" si="1144"/>
        <v>0</v>
      </c>
      <c r="S797" s="1423">
        <f t="shared" si="1145"/>
        <v>0</v>
      </c>
      <c r="T797" s="1423">
        <f t="shared" si="1146"/>
        <v>0</v>
      </c>
      <c r="U797" s="1423">
        <f t="shared" si="1147"/>
        <v>0</v>
      </c>
      <c r="V797" s="1423">
        <f t="shared" si="1148"/>
        <v>0</v>
      </c>
      <c r="W797" s="1423">
        <f t="shared" si="1149"/>
        <v>0</v>
      </c>
      <c r="X797" s="152"/>
      <c r="Y797" s="152"/>
      <c r="Z797" s="152"/>
      <c r="AA797" s="152"/>
      <c r="AB797" s="152"/>
    </row>
    <row r="798" spans="1:28" hidden="1" outlineLevel="1">
      <c r="A798" s="152"/>
      <c r="B798" s="190" t="str">
        <f t="shared" ca="1" si="1150"/>
        <v>RL Capex 2019-20</v>
      </c>
      <c r="C798" s="1429"/>
      <c r="D798" s="1429"/>
      <c r="E798" s="1429"/>
      <c r="F798" s="1424"/>
      <c r="G798" s="1428">
        <f>G766</f>
        <v>0</v>
      </c>
      <c r="H798" s="1423">
        <f t="shared" si="1134"/>
        <v>0</v>
      </c>
      <c r="I798" s="1423">
        <f t="shared" si="1135"/>
        <v>0</v>
      </c>
      <c r="J798" s="1423">
        <f t="shared" si="1136"/>
        <v>0</v>
      </c>
      <c r="K798" s="1423">
        <f t="shared" si="1137"/>
        <v>0</v>
      </c>
      <c r="L798" s="1423">
        <f t="shared" si="1138"/>
        <v>0</v>
      </c>
      <c r="M798" s="1423">
        <f t="shared" si="1139"/>
        <v>0</v>
      </c>
      <c r="N798" s="1423">
        <f t="shared" si="1140"/>
        <v>0</v>
      </c>
      <c r="O798" s="1423">
        <f t="shared" si="1141"/>
        <v>0</v>
      </c>
      <c r="P798" s="1423">
        <f t="shared" si="1142"/>
        <v>0</v>
      </c>
      <c r="Q798" s="1423">
        <f t="shared" si="1143"/>
        <v>0</v>
      </c>
      <c r="R798" s="1423">
        <f t="shared" si="1144"/>
        <v>0</v>
      </c>
      <c r="S798" s="1423">
        <f t="shared" si="1145"/>
        <v>0</v>
      </c>
      <c r="T798" s="1423">
        <f t="shared" si="1146"/>
        <v>0</v>
      </c>
      <c r="U798" s="1423">
        <f t="shared" si="1147"/>
        <v>0</v>
      </c>
      <c r="V798" s="1423">
        <f t="shared" si="1148"/>
        <v>0</v>
      </c>
      <c r="W798" s="1423">
        <f t="shared" si="1149"/>
        <v>0</v>
      </c>
      <c r="X798" s="152"/>
      <c r="Y798" s="152"/>
      <c r="Z798" s="152"/>
      <c r="AA798" s="152"/>
      <c r="AB798" s="152"/>
    </row>
    <row r="799" spans="1:28" hidden="1" outlineLevel="1">
      <c r="A799" s="152"/>
      <c r="B799" s="190" t="str">
        <f t="shared" ca="1" si="1150"/>
        <v>RL Capex 2020-21</v>
      </c>
      <c r="C799" s="1429"/>
      <c r="D799" s="1429"/>
      <c r="E799" s="1429"/>
      <c r="F799" s="1429"/>
      <c r="G799" s="1424"/>
      <c r="H799" s="1428">
        <f>H766</f>
        <v>0</v>
      </c>
      <c r="I799" s="1423">
        <f t="shared" si="1135"/>
        <v>0</v>
      </c>
      <c r="J799" s="1423">
        <f t="shared" si="1136"/>
        <v>0</v>
      </c>
      <c r="K799" s="1423">
        <f t="shared" si="1137"/>
        <v>0</v>
      </c>
      <c r="L799" s="1423">
        <f t="shared" si="1138"/>
        <v>0</v>
      </c>
      <c r="M799" s="1423">
        <f t="shared" si="1139"/>
        <v>0</v>
      </c>
      <c r="N799" s="1423">
        <f t="shared" si="1140"/>
        <v>0</v>
      </c>
      <c r="O799" s="1423">
        <f t="shared" si="1141"/>
        <v>0</v>
      </c>
      <c r="P799" s="1423">
        <f t="shared" si="1142"/>
        <v>0</v>
      </c>
      <c r="Q799" s="1423">
        <f t="shared" si="1143"/>
        <v>0</v>
      </c>
      <c r="R799" s="1423">
        <f t="shared" si="1144"/>
        <v>0</v>
      </c>
      <c r="S799" s="1423">
        <f t="shared" si="1145"/>
        <v>0</v>
      </c>
      <c r="T799" s="1423">
        <f t="shared" si="1146"/>
        <v>0</v>
      </c>
      <c r="U799" s="1423">
        <f t="shared" si="1147"/>
        <v>0</v>
      </c>
      <c r="V799" s="1423">
        <f t="shared" si="1148"/>
        <v>0</v>
      </c>
      <c r="W799" s="1423">
        <f t="shared" si="1149"/>
        <v>0</v>
      </c>
      <c r="X799" s="152"/>
      <c r="Y799" s="152"/>
      <c r="Z799" s="152"/>
      <c r="AA799" s="152"/>
      <c r="AB799" s="152"/>
    </row>
    <row r="800" spans="1:28" hidden="1" outlineLevel="1">
      <c r="A800" s="152"/>
      <c r="B800" s="190" t="str">
        <f t="shared" ca="1" si="1150"/>
        <v>RL Capex 2021-22</v>
      </c>
      <c r="C800" s="1429"/>
      <c r="D800" s="1429"/>
      <c r="E800" s="1429"/>
      <c r="F800" s="1429"/>
      <c r="G800" s="1429"/>
      <c r="H800" s="1424"/>
      <c r="I800" s="1428">
        <f>I766</f>
        <v>0</v>
      </c>
      <c r="J800" s="1423">
        <f t="shared" si="1136"/>
        <v>0</v>
      </c>
      <c r="K800" s="1423">
        <f t="shared" si="1137"/>
        <v>0</v>
      </c>
      <c r="L800" s="1423">
        <f t="shared" si="1138"/>
        <v>0</v>
      </c>
      <c r="M800" s="1423">
        <f t="shared" si="1139"/>
        <v>0</v>
      </c>
      <c r="N800" s="1423">
        <f t="shared" si="1140"/>
        <v>0</v>
      </c>
      <c r="O800" s="1423">
        <f t="shared" si="1141"/>
        <v>0</v>
      </c>
      <c r="P800" s="1423">
        <f t="shared" si="1142"/>
        <v>0</v>
      </c>
      <c r="Q800" s="1423">
        <f t="shared" si="1143"/>
        <v>0</v>
      </c>
      <c r="R800" s="1423">
        <f t="shared" si="1144"/>
        <v>0</v>
      </c>
      <c r="S800" s="1423">
        <f t="shared" si="1145"/>
        <v>0</v>
      </c>
      <c r="T800" s="1423">
        <f t="shared" si="1146"/>
        <v>0</v>
      </c>
      <c r="U800" s="1423">
        <f t="shared" si="1147"/>
        <v>0</v>
      </c>
      <c r="V800" s="1423">
        <f t="shared" si="1148"/>
        <v>0</v>
      </c>
      <c r="W800" s="1423">
        <f t="shared" si="1149"/>
        <v>0</v>
      </c>
      <c r="X800" s="152"/>
      <c r="Y800" s="152"/>
      <c r="Z800" s="152"/>
      <c r="AA800" s="152"/>
      <c r="AB800" s="152"/>
    </row>
    <row r="801" spans="1:28" hidden="1" outlineLevel="1">
      <c r="A801" s="152"/>
      <c r="B801" s="190" t="str">
        <f t="shared" ca="1" si="1150"/>
        <v>RL Capex 2022-23</v>
      </c>
      <c r="C801" s="1429"/>
      <c r="D801" s="1429"/>
      <c r="E801" s="1429"/>
      <c r="F801" s="1429"/>
      <c r="G801" s="1429"/>
      <c r="H801" s="1429"/>
      <c r="I801" s="1424"/>
      <c r="J801" s="1428">
        <f>J766</f>
        <v>0</v>
      </c>
      <c r="K801" s="1423">
        <f t="shared" si="1137"/>
        <v>0</v>
      </c>
      <c r="L801" s="1423">
        <f t="shared" si="1138"/>
        <v>0</v>
      </c>
      <c r="M801" s="1423">
        <f t="shared" si="1139"/>
        <v>0</v>
      </c>
      <c r="N801" s="1423">
        <f t="shared" si="1140"/>
        <v>0</v>
      </c>
      <c r="O801" s="1423">
        <f t="shared" si="1141"/>
        <v>0</v>
      </c>
      <c r="P801" s="1423">
        <f t="shared" si="1142"/>
        <v>0</v>
      </c>
      <c r="Q801" s="1423">
        <f t="shared" si="1143"/>
        <v>0</v>
      </c>
      <c r="R801" s="1423">
        <f t="shared" si="1144"/>
        <v>0</v>
      </c>
      <c r="S801" s="1423">
        <f t="shared" si="1145"/>
        <v>0</v>
      </c>
      <c r="T801" s="1423">
        <f t="shared" si="1146"/>
        <v>0</v>
      </c>
      <c r="U801" s="1423">
        <f t="shared" si="1147"/>
        <v>0</v>
      </c>
      <c r="V801" s="1423">
        <f t="shared" si="1148"/>
        <v>0</v>
      </c>
      <c r="W801" s="1423">
        <f t="shared" si="1149"/>
        <v>0</v>
      </c>
      <c r="X801" s="152"/>
      <c r="Y801" s="152"/>
      <c r="Z801" s="152"/>
      <c r="AA801" s="152"/>
      <c r="AB801" s="152"/>
    </row>
    <row r="802" spans="1:28" hidden="1" outlineLevel="1">
      <c r="A802" s="152"/>
      <c r="B802" s="190" t="str">
        <f t="shared" ca="1" si="1150"/>
        <v>RL Capex 2023-24</v>
      </c>
      <c r="C802" s="1429"/>
      <c r="D802" s="1429"/>
      <c r="E802" s="1429"/>
      <c r="F802" s="1429"/>
      <c r="G802" s="1429"/>
      <c r="H802" s="1429"/>
      <c r="I802" s="1429"/>
      <c r="J802" s="1424"/>
      <c r="K802" s="1428">
        <f>K766</f>
        <v>0</v>
      </c>
      <c r="L802" s="1423">
        <f t="shared" si="1138"/>
        <v>0</v>
      </c>
      <c r="M802" s="1423">
        <f t="shared" si="1139"/>
        <v>0</v>
      </c>
      <c r="N802" s="1423">
        <f t="shared" si="1140"/>
        <v>0</v>
      </c>
      <c r="O802" s="1423">
        <f t="shared" si="1141"/>
        <v>0</v>
      </c>
      <c r="P802" s="1423">
        <f t="shared" si="1142"/>
        <v>0</v>
      </c>
      <c r="Q802" s="1423">
        <f t="shared" si="1143"/>
        <v>0</v>
      </c>
      <c r="R802" s="1423">
        <f t="shared" si="1144"/>
        <v>0</v>
      </c>
      <c r="S802" s="1423">
        <f t="shared" si="1145"/>
        <v>0</v>
      </c>
      <c r="T802" s="1423">
        <f t="shared" si="1146"/>
        <v>0</v>
      </c>
      <c r="U802" s="1423">
        <f t="shared" si="1147"/>
        <v>0</v>
      </c>
      <c r="V802" s="1423">
        <f t="shared" si="1148"/>
        <v>0</v>
      </c>
      <c r="W802" s="1423">
        <f t="shared" si="1149"/>
        <v>0</v>
      </c>
      <c r="X802" s="152"/>
      <c r="Y802" s="152"/>
      <c r="Z802" s="152"/>
      <c r="AA802" s="152"/>
      <c r="AB802" s="152"/>
    </row>
    <row r="803" spans="1:28" hidden="1" outlineLevel="1">
      <c r="A803" s="152"/>
      <c r="B803" s="190" t="str">
        <f t="shared" ca="1" si="1150"/>
        <v>RL Capex 2024-25</v>
      </c>
      <c r="C803" s="1429"/>
      <c r="D803" s="1429"/>
      <c r="E803" s="1429"/>
      <c r="F803" s="1429"/>
      <c r="G803" s="1429"/>
      <c r="H803" s="1429"/>
      <c r="I803" s="1429"/>
      <c r="J803" s="1429"/>
      <c r="K803" s="1424"/>
      <c r="L803" s="1428">
        <f>L766</f>
        <v>0</v>
      </c>
      <c r="M803" s="1423">
        <f t="shared" si="1139"/>
        <v>0</v>
      </c>
      <c r="N803" s="1423">
        <f t="shared" si="1140"/>
        <v>0</v>
      </c>
      <c r="O803" s="1423">
        <f t="shared" si="1141"/>
        <v>0</v>
      </c>
      <c r="P803" s="1423">
        <f t="shared" si="1142"/>
        <v>0</v>
      </c>
      <c r="Q803" s="1423">
        <f t="shared" si="1143"/>
        <v>0</v>
      </c>
      <c r="R803" s="1423">
        <f t="shared" si="1144"/>
        <v>0</v>
      </c>
      <c r="S803" s="1423">
        <f t="shared" si="1145"/>
        <v>0</v>
      </c>
      <c r="T803" s="1423">
        <f t="shared" si="1146"/>
        <v>0</v>
      </c>
      <c r="U803" s="1423">
        <f t="shared" si="1147"/>
        <v>0</v>
      </c>
      <c r="V803" s="1423">
        <f t="shared" si="1148"/>
        <v>0</v>
      </c>
      <c r="W803" s="1423">
        <f t="shared" si="1149"/>
        <v>0</v>
      </c>
      <c r="X803" s="152"/>
      <c r="Y803" s="152"/>
      <c r="Z803" s="152"/>
      <c r="AA803" s="152"/>
      <c r="AB803" s="152"/>
    </row>
    <row r="804" spans="1:28" hidden="1" outlineLevel="1">
      <c r="A804" s="152"/>
      <c r="B804" s="190" t="str">
        <f t="shared" ca="1" si="1150"/>
        <v>RL Capex 2025-26</v>
      </c>
      <c r="C804" s="1429"/>
      <c r="D804" s="1429"/>
      <c r="E804" s="1429"/>
      <c r="F804" s="1429"/>
      <c r="G804" s="1429"/>
      <c r="H804" s="1429"/>
      <c r="I804" s="1429"/>
      <c r="J804" s="1429"/>
      <c r="K804" s="1429"/>
      <c r="L804" s="1424"/>
      <c r="M804" s="1428">
        <f>M766</f>
        <v>0</v>
      </c>
      <c r="N804" s="1423">
        <f t="shared" si="1140"/>
        <v>0</v>
      </c>
      <c r="O804" s="1423">
        <f t="shared" si="1141"/>
        <v>0</v>
      </c>
      <c r="P804" s="1423">
        <f t="shared" si="1142"/>
        <v>0</v>
      </c>
      <c r="Q804" s="1423">
        <f t="shared" si="1143"/>
        <v>0</v>
      </c>
      <c r="R804" s="1423">
        <f t="shared" si="1144"/>
        <v>0</v>
      </c>
      <c r="S804" s="1423">
        <f t="shared" si="1145"/>
        <v>0</v>
      </c>
      <c r="T804" s="1423">
        <f t="shared" si="1146"/>
        <v>0</v>
      </c>
      <c r="U804" s="1423">
        <f t="shared" si="1147"/>
        <v>0</v>
      </c>
      <c r="V804" s="1423">
        <f t="shared" si="1148"/>
        <v>0</v>
      </c>
      <c r="W804" s="1423">
        <f t="shared" si="1149"/>
        <v>0</v>
      </c>
      <c r="X804" s="152"/>
      <c r="Y804" s="152"/>
      <c r="Z804" s="152"/>
      <c r="AA804" s="152"/>
      <c r="AB804" s="152"/>
    </row>
    <row r="805" spans="1:28" hidden="1" outlineLevel="1">
      <c r="A805" s="152"/>
      <c r="B805" s="190" t="str">
        <f t="shared" ca="1" si="1150"/>
        <v>RL Capex 2026-27</v>
      </c>
      <c r="C805" s="1429"/>
      <c r="D805" s="1429"/>
      <c r="E805" s="1429"/>
      <c r="F805" s="1429"/>
      <c r="G805" s="1429"/>
      <c r="H805" s="1429"/>
      <c r="I805" s="1429"/>
      <c r="J805" s="1429"/>
      <c r="K805" s="1429"/>
      <c r="L805" s="1429"/>
      <c r="M805" s="1424"/>
      <c r="N805" s="1428">
        <f>N766</f>
        <v>0</v>
      </c>
      <c r="O805" s="1423">
        <f t="shared" si="1141"/>
        <v>0</v>
      </c>
      <c r="P805" s="1423">
        <f t="shared" si="1142"/>
        <v>0</v>
      </c>
      <c r="Q805" s="1423">
        <f t="shared" si="1143"/>
        <v>0</v>
      </c>
      <c r="R805" s="1423">
        <f t="shared" si="1144"/>
        <v>0</v>
      </c>
      <c r="S805" s="1423">
        <f t="shared" si="1145"/>
        <v>0</v>
      </c>
      <c r="T805" s="1423">
        <f t="shared" si="1146"/>
        <v>0</v>
      </c>
      <c r="U805" s="1423">
        <f t="shared" si="1147"/>
        <v>0</v>
      </c>
      <c r="V805" s="1423">
        <f t="shared" si="1148"/>
        <v>0</v>
      </c>
      <c r="W805" s="1423">
        <f t="shared" si="1149"/>
        <v>0</v>
      </c>
      <c r="X805" s="152"/>
      <c r="Y805" s="152"/>
      <c r="Z805" s="152"/>
      <c r="AA805" s="152"/>
      <c r="AB805" s="152"/>
    </row>
    <row r="806" spans="1:28" hidden="1" outlineLevel="1">
      <c r="A806" s="152"/>
      <c r="B806" s="190" t="str">
        <f t="shared" ca="1" si="1150"/>
        <v>RL Capex 2027-28</v>
      </c>
      <c r="C806" s="1429"/>
      <c r="D806" s="1429"/>
      <c r="E806" s="1429"/>
      <c r="F806" s="1429"/>
      <c r="G806" s="1429"/>
      <c r="H806" s="1429"/>
      <c r="I806" s="1429"/>
      <c r="J806" s="1429"/>
      <c r="K806" s="1429"/>
      <c r="L806" s="1429"/>
      <c r="M806" s="1429"/>
      <c r="N806" s="1424"/>
      <c r="O806" s="1428">
        <f>O766</f>
        <v>0</v>
      </c>
      <c r="P806" s="1423">
        <f t="shared" si="1142"/>
        <v>0</v>
      </c>
      <c r="Q806" s="1423">
        <f t="shared" si="1143"/>
        <v>0</v>
      </c>
      <c r="R806" s="1423">
        <f t="shared" si="1144"/>
        <v>0</v>
      </c>
      <c r="S806" s="1423">
        <f t="shared" si="1145"/>
        <v>0</v>
      </c>
      <c r="T806" s="1423">
        <f t="shared" si="1146"/>
        <v>0</v>
      </c>
      <c r="U806" s="1423">
        <f t="shared" si="1147"/>
        <v>0</v>
      </c>
      <c r="V806" s="1423">
        <f t="shared" si="1148"/>
        <v>0</v>
      </c>
      <c r="W806" s="1423">
        <f t="shared" si="1149"/>
        <v>0</v>
      </c>
      <c r="X806" s="152"/>
      <c r="Y806" s="152"/>
      <c r="Z806" s="152"/>
      <c r="AA806" s="152"/>
      <c r="AB806" s="152"/>
    </row>
    <row r="807" spans="1:28" hidden="1" outlineLevel="1">
      <c r="A807" s="152"/>
      <c r="B807" s="190" t="str">
        <f t="shared" ca="1" si="1150"/>
        <v>RL Capex 2028-29</v>
      </c>
      <c r="C807" s="1429"/>
      <c r="D807" s="1429"/>
      <c r="E807" s="1429"/>
      <c r="F807" s="1429"/>
      <c r="G807" s="1429"/>
      <c r="H807" s="1429"/>
      <c r="I807" s="1429"/>
      <c r="J807" s="1429"/>
      <c r="K807" s="1429"/>
      <c r="L807" s="1429"/>
      <c r="M807" s="1429"/>
      <c r="N807" s="1429"/>
      <c r="O807" s="1424"/>
      <c r="P807" s="1428">
        <f>P766</f>
        <v>0</v>
      </c>
      <c r="Q807" s="1423">
        <f t="shared" si="1143"/>
        <v>0</v>
      </c>
      <c r="R807" s="1423">
        <f t="shared" si="1144"/>
        <v>0</v>
      </c>
      <c r="S807" s="1423">
        <f t="shared" si="1145"/>
        <v>0</v>
      </c>
      <c r="T807" s="1423">
        <f t="shared" si="1146"/>
        <v>0</v>
      </c>
      <c r="U807" s="1423">
        <f t="shared" si="1147"/>
        <v>0</v>
      </c>
      <c r="V807" s="1423">
        <f t="shared" si="1148"/>
        <v>0</v>
      </c>
      <c r="W807" s="1423">
        <f t="shared" si="1149"/>
        <v>0</v>
      </c>
      <c r="X807" s="152"/>
      <c r="Y807" s="152"/>
      <c r="Z807" s="152"/>
      <c r="AA807" s="152"/>
      <c r="AB807" s="152"/>
    </row>
    <row r="808" spans="1:28" hidden="1" outlineLevel="1">
      <c r="A808" s="152"/>
      <c r="B808" s="190" t="str">
        <f t="shared" ca="1" si="1150"/>
        <v>RL Capex 2029-30</v>
      </c>
      <c r="C808" s="1429"/>
      <c r="D808" s="1429"/>
      <c r="E808" s="1429"/>
      <c r="F808" s="1429"/>
      <c r="G808" s="1429"/>
      <c r="H808" s="1429"/>
      <c r="I808" s="1429"/>
      <c r="J808" s="1429"/>
      <c r="K808" s="1429"/>
      <c r="L808" s="1429"/>
      <c r="M808" s="1429"/>
      <c r="N808" s="1429"/>
      <c r="O808" s="1429"/>
      <c r="P808" s="1424"/>
      <c r="Q808" s="1428">
        <f>Q766</f>
        <v>0</v>
      </c>
      <c r="R808" s="1423">
        <f t="shared" si="1144"/>
        <v>0</v>
      </c>
      <c r="S808" s="1423">
        <f t="shared" si="1145"/>
        <v>0</v>
      </c>
      <c r="T808" s="1423">
        <f t="shared" si="1146"/>
        <v>0</v>
      </c>
      <c r="U808" s="1423">
        <f t="shared" si="1147"/>
        <v>0</v>
      </c>
      <c r="V808" s="1423">
        <f t="shared" si="1148"/>
        <v>0</v>
      </c>
      <c r="W808" s="1423">
        <f t="shared" si="1149"/>
        <v>0</v>
      </c>
      <c r="X808" s="152"/>
      <c r="Y808" s="152"/>
      <c r="Z808" s="152"/>
      <c r="AA808" s="152"/>
      <c r="AB808" s="152"/>
    </row>
    <row r="809" spans="1:28" hidden="1" outlineLevel="1">
      <c r="A809" s="152"/>
      <c r="B809" s="190" t="str">
        <f t="shared" ca="1" si="1150"/>
        <v>RL Capex 2030-31</v>
      </c>
      <c r="C809" s="1429"/>
      <c r="D809" s="1429"/>
      <c r="E809" s="1429"/>
      <c r="F809" s="1429"/>
      <c r="G809" s="1429"/>
      <c r="H809" s="1429"/>
      <c r="I809" s="1429"/>
      <c r="J809" s="1429"/>
      <c r="K809" s="1429"/>
      <c r="L809" s="1429"/>
      <c r="M809" s="1429"/>
      <c r="N809" s="1429"/>
      <c r="O809" s="1429"/>
      <c r="P809" s="1429"/>
      <c r="Q809" s="1424"/>
      <c r="R809" s="1428">
        <f>R766</f>
        <v>0</v>
      </c>
      <c r="S809" s="1423">
        <f t="shared" si="1145"/>
        <v>0</v>
      </c>
      <c r="T809" s="1423">
        <f t="shared" si="1146"/>
        <v>0</v>
      </c>
      <c r="U809" s="1423">
        <f t="shared" si="1147"/>
        <v>0</v>
      </c>
      <c r="V809" s="1423">
        <f t="shared" si="1148"/>
        <v>0</v>
      </c>
      <c r="W809" s="1423">
        <f t="shared" si="1149"/>
        <v>0</v>
      </c>
      <c r="X809" s="152"/>
      <c r="Y809" s="152"/>
      <c r="Z809" s="152"/>
      <c r="AA809" s="152"/>
      <c r="AB809" s="152"/>
    </row>
    <row r="810" spans="1:28" hidden="1" outlineLevel="1">
      <c r="A810" s="152"/>
      <c r="B810" s="190" t="str">
        <f t="shared" ca="1" si="1150"/>
        <v>RL Capex 2031-32</v>
      </c>
      <c r="C810" s="1429"/>
      <c r="D810" s="1429"/>
      <c r="E810" s="1429"/>
      <c r="F810" s="1429"/>
      <c r="G810" s="1429"/>
      <c r="H810" s="1429"/>
      <c r="I810" s="1429"/>
      <c r="J810" s="1429"/>
      <c r="K810" s="1429"/>
      <c r="L810" s="1429"/>
      <c r="M810" s="1429"/>
      <c r="N810" s="1429"/>
      <c r="O810" s="1429"/>
      <c r="P810" s="1429"/>
      <c r="Q810" s="1429"/>
      <c r="R810" s="1424"/>
      <c r="S810" s="1428">
        <f>S766</f>
        <v>0</v>
      </c>
      <c r="T810" s="1423">
        <f t="shared" si="1146"/>
        <v>0</v>
      </c>
      <c r="U810" s="1423">
        <f t="shared" si="1147"/>
        <v>0</v>
      </c>
      <c r="V810" s="1423">
        <f t="shared" si="1148"/>
        <v>0</v>
      </c>
      <c r="W810" s="1423">
        <f t="shared" si="1149"/>
        <v>0</v>
      </c>
      <c r="X810" s="152"/>
      <c r="Y810" s="152"/>
      <c r="Z810" s="152"/>
      <c r="AA810" s="152"/>
      <c r="AB810" s="152"/>
    </row>
    <row r="811" spans="1:28" hidden="1" outlineLevel="1">
      <c r="A811" s="152"/>
      <c r="B811" s="190" t="str">
        <f t="shared" ca="1" si="1150"/>
        <v>RL Capex 2032-33</v>
      </c>
      <c r="C811" s="1429"/>
      <c r="D811" s="1429"/>
      <c r="E811" s="1429"/>
      <c r="F811" s="1429"/>
      <c r="G811" s="1429"/>
      <c r="H811" s="1429"/>
      <c r="I811" s="1429"/>
      <c r="J811" s="1429"/>
      <c r="K811" s="1429"/>
      <c r="L811" s="1429"/>
      <c r="M811" s="1429"/>
      <c r="N811" s="1429"/>
      <c r="O811" s="1429"/>
      <c r="P811" s="1429"/>
      <c r="Q811" s="1429"/>
      <c r="R811" s="1429"/>
      <c r="S811" s="1424"/>
      <c r="T811" s="1428">
        <f>T766</f>
        <v>0</v>
      </c>
      <c r="U811" s="1423">
        <f t="shared" si="1147"/>
        <v>0</v>
      </c>
      <c r="V811" s="1423">
        <f t="shared" si="1148"/>
        <v>0</v>
      </c>
      <c r="W811" s="1423">
        <f t="shared" si="1149"/>
        <v>0</v>
      </c>
      <c r="X811" s="152"/>
      <c r="Y811" s="152"/>
      <c r="Z811" s="152"/>
      <c r="AA811" s="152"/>
      <c r="AB811" s="152"/>
    </row>
    <row r="812" spans="1:28" hidden="1" outlineLevel="1">
      <c r="A812" s="152"/>
      <c r="B812" s="190" t="str">
        <f t="shared" ca="1" si="1150"/>
        <v>RL Capex 2033-34</v>
      </c>
      <c r="C812" s="1429"/>
      <c r="D812" s="1429"/>
      <c r="E812" s="1429"/>
      <c r="F812" s="1429"/>
      <c r="G812" s="1429"/>
      <c r="H812" s="1429"/>
      <c r="I812" s="1429"/>
      <c r="J812" s="1429"/>
      <c r="K812" s="1429"/>
      <c r="L812" s="1429"/>
      <c r="M812" s="1429"/>
      <c r="N812" s="1429"/>
      <c r="O812" s="1429"/>
      <c r="P812" s="1429"/>
      <c r="Q812" s="1429"/>
      <c r="R812" s="1429"/>
      <c r="S812" s="1429"/>
      <c r="T812" s="1424"/>
      <c r="U812" s="1428">
        <f>U766</f>
        <v>0</v>
      </c>
      <c r="V812" s="1423">
        <f t="shared" si="1148"/>
        <v>0</v>
      </c>
      <c r="W812" s="1423">
        <f t="shared" si="1149"/>
        <v>0</v>
      </c>
      <c r="X812" s="152"/>
      <c r="Y812" s="152"/>
      <c r="Z812" s="152"/>
      <c r="AA812" s="152"/>
      <c r="AB812" s="152"/>
    </row>
    <row r="813" spans="1:28" hidden="1" outlineLevel="1">
      <c r="A813" s="152"/>
      <c r="B813" s="190" t="str">
        <f t="shared" ca="1" si="1150"/>
        <v>RL Capex 2034-35</v>
      </c>
      <c r="C813" s="1429"/>
      <c r="D813" s="1429"/>
      <c r="E813" s="1429"/>
      <c r="F813" s="1429"/>
      <c r="G813" s="1429"/>
      <c r="H813" s="1429"/>
      <c r="I813" s="1429"/>
      <c r="J813" s="1429"/>
      <c r="K813" s="1429"/>
      <c r="L813" s="1429"/>
      <c r="M813" s="1429"/>
      <c r="N813" s="1429"/>
      <c r="O813" s="1429"/>
      <c r="P813" s="1429"/>
      <c r="Q813" s="1429"/>
      <c r="R813" s="1429"/>
      <c r="S813" s="1429"/>
      <c r="T813" s="1429"/>
      <c r="U813" s="1424"/>
      <c r="V813" s="1428">
        <f>V766</f>
        <v>0</v>
      </c>
      <c r="W813" s="1423">
        <f>IF(V813="n/a","n/a",MAX(0,V813-1))</f>
        <v>0</v>
      </c>
      <c r="X813" s="152"/>
      <c r="Y813" s="152"/>
      <c r="Z813" s="152"/>
      <c r="AA813" s="152"/>
      <c r="AB813" s="152"/>
    </row>
    <row r="814" spans="1:28" hidden="1" outlineLevel="1">
      <c r="A814" s="152"/>
      <c r="B814" s="190" t="str">
        <f t="shared" ca="1" si="1150"/>
        <v>RL Capex 2035-36</v>
      </c>
      <c r="C814" s="1429"/>
      <c r="D814" s="1429"/>
      <c r="E814" s="1429"/>
      <c r="F814" s="1429"/>
      <c r="G814" s="1429"/>
      <c r="H814" s="1429"/>
      <c r="I814" s="1429"/>
      <c r="J814" s="1429"/>
      <c r="K814" s="1429"/>
      <c r="L814" s="1429"/>
      <c r="M814" s="1429"/>
      <c r="N814" s="1429"/>
      <c r="O814" s="1429"/>
      <c r="P814" s="1429"/>
      <c r="Q814" s="1429"/>
      <c r="R814" s="1429"/>
      <c r="S814" s="1429"/>
      <c r="T814" s="1429"/>
      <c r="U814" s="1429"/>
      <c r="V814" s="1424"/>
      <c r="W814" s="1423">
        <f>W766</f>
        <v>0</v>
      </c>
      <c r="X814" s="152"/>
      <c r="Y814" s="152"/>
      <c r="Z814" s="152"/>
      <c r="AA814" s="152"/>
      <c r="AB814" s="152"/>
    </row>
    <row r="815" spans="1:28" hidden="1" outlineLevel="1">
      <c r="A815" s="152"/>
      <c r="B815" s="200"/>
      <c r="C815" s="1423"/>
      <c r="D815" s="1423"/>
      <c r="E815" s="1423"/>
      <c r="F815" s="1423"/>
      <c r="G815" s="1423"/>
      <c r="H815" s="1423"/>
      <c r="I815" s="1423"/>
      <c r="J815" s="1423"/>
      <c r="K815" s="1423"/>
      <c r="L815" s="1423"/>
      <c r="M815" s="1423"/>
      <c r="N815" s="1423"/>
      <c r="O815" s="1423"/>
      <c r="P815" s="1423"/>
      <c r="Q815" s="1423"/>
      <c r="R815" s="1423"/>
      <c r="S815" s="1423"/>
      <c r="T815" s="1423"/>
      <c r="U815" s="1423"/>
      <c r="V815" s="1423"/>
      <c r="W815" s="1423"/>
      <c r="X815" s="152"/>
      <c r="Y815" s="152"/>
      <c r="Z815" s="152"/>
      <c r="AA815" s="152"/>
      <c r="AB815" s="152"/>
    </row>
    <row r="816" spans="1:28" collapsed="1">
      <c r="A816" s="194"/>
      <c r="B816" s="204" t="s">
        <v>123</v>
      </c>
      <c r="C816" s="1430">
        <f ca="1">(IF(OR($C766&lt;&gt;"n/a",C766&lt;&gt;"n/a"),IF(SUM(C769:C791)=0,0,IF((SUMPRODUCT(C769:C791,C793:C815)/SUM(C769:C791))&lt;0,1,(SUMPRODUCT(C769:C791,C793:C815)/SUM(C769:C791)))),"n/a"))</f>
        <v>0</v>
      </c>
      <c r="D816" s="1430">
        <f ca="1">(IF(OR($C766&lt;&gt;"n/a",D766&lt;&gt;"n/a"),IF(SUM(D769:D791)=0,0,IF((SUMPRODUCT(D769:D791,D793:D815)/SUM(D769:D791))&lt;0,1,(SUMPRODUCT(D769:D791,D793:D815)/SUM(D769:D791)))),"n/a"))</f>
        <v>0</v>
      </c>
      <c r="E816" s="1430">
        <f t="shared" ref="E816:W816" ca="1" si="1151">(IF(OR($C766&lt;&gt;"n/a",E766&lt;&gt;"n/a"),IF(SUM(E769:E791)=0,0,IF((SUMPRODUCT(E769:E791,E793:E815)/SUM(E769:E791))&lt;0,1,(SUMPRODUCT(E769:E791,E793:E815)/SUM(E769:E791)))),"n/a"))</f>
        <v>0</v>
      </c>
      <c r="F816" s="1430">
        <f t="shared" ca="1" si="1151"/>
        <v>0</v>
      </c>
      <c r="G816" s="1430">
        <f t="shared" ca="1" si="1151"/>
        <v>0</v>
      </c>
      <c r="H816" s="1430">
        <f t="shared" ca="1" si="1151"/>
        <v>0</v>
      </c>
      <c r="I816" s="1430">
        <f t="shared" ca="1" si="1151"/>
        <v>0</v>
      </c>
      <c r="J816" s="1430">
        <f t="shared" ca="1" si="1151"/>
        <v>0</v>
      </c>
      <c r="K816" s="1430">
        <f t="shared" ca="1" si="1151"/>
        <v>0</v>
      </c>
      <c r="L816" s="1430">
        <f t="shared" ca="1" si="1151"/>
        <v>0</v>
      </c>
      <c r="M816" s="1430">
        <f t="shared" ca="1" si="1151"/>
        <v>0</v>
      </c>
      <c r="N816" s="1430">
        <f t="shared" ca="1" si="1151"/>
        <v>0</v>
      </c>
      <c r="O816" s="1430">
        <f t="shared" ca="1" si="1151"/>
        <v>0</v>
      </c>
      <c r="P816" s="1430">
        <f t="shared" ca="1" si="1151"/>
        <v>0</v>
      </c>
      <c r="Q816" s="1430">
        <f t="shared" ca="1" si="1151"/>
        <v>0</v>
      </c>
      <c r="R816" s="1430">
        <f t="shared" ca="1" si="1151"/>
        <v>0</v>
      </c>
      <c r="S816" s="1430">
        <f t="shared" ca="1" si="1151"/>
        <v>0</v>
      </c>
      <c r="T816" s="1430">
        <f t="shared" ca="1" si="1151"/>
        <v>0</v>
      </c>
      <c r="U816" s="1430">
        <f t="shared" ca="1" si="1151"/>
        <v>0</v>
      </c>
      <c r="V816" s="1430">
        <f t="shared" ca="1" si="1151"/>
        <v>0</v>
      </c>
      <c r="W816" s="1430">
        <f t="shared" ca="1" si="1151"/>
        <v>0</v>
      </c>
      <c r="X816" s="152"/>
      <c r="Y816" s="152"/>
      <c r="Z816" s="152"/>
      <c r="AA816" s="152"/>
      <c r="AB816" s="152"/>
    </row>
    <row r="817" spans="1:28">
      <c r="A817" s="152"/>
      <c r="B817" s="152"/>
      <c r="C817" s="1423"/>
      <c r="D817" s="1423"/>
      <c r="E817" s="1423"/>
      <c r="F817" s="1423"/>
      <c r="G817" s="1423"/>
      <c r="H817" s="1423"/>
      <c r="I817" s="1423"/>
      <c r="J817" s="1423"/>
      <c r="K817" s="1423"/>
      <c r="L817" s="1423"/>
      <c r="M817" s="1423"/>
      <c r="N817" s="1423"/>
      <c r="O817" s="1423"/>
      <c r="P817" s="1423"/>
      <c r="Q817" s="1423"/>
      <c r="R817" s="1423"/>
      <c r="S817" s="1423"/>
      <c r="T817" s="1423"/>
      <c r="U817" s="1423"/>
      <c r="V817" s="1423"/>
      <c r="W817" s="1423"/>
      <c r="X817" s="152"/>
      <c r="Y817" s="152"/>
      <c r="Z817" s="152"/>
      <c r="AA817" s="152"/>
      <c r="AB817" s="152"/>
    </row>
    <row r="818" spans="1:28">
      <c r="A818" s="269" t="s">
        <v>16</v>
      </c>
      <c r="B818" s="270">
        <f>VLOOKUP($A818,'RFM input'!$E$7:$F$56,2,FALSE)</f>
        <v>0</v>
      </c>
      <c r="C818" s="1431"/>
      <c r="D818" s="1431"/>
      <c r="E818" s="1432"/>
      <c r="F818" s="1432"/>
      <c r="G818" s="1432"/>
      <c r="H818" s="1432"/>
      <c r="I818" s="1432"/>
      <c r="J818" s="1432"/>
      <c r="K818" s="1432"/>
      <c r="L818" s="1432"/>
      <c r="M818" s="1432"/>
      <c r="N818" s="1432"/>
      <c r="O818" s="1432"/>
      <c r="P818" s="1432"/>
      <c r="Q818" s="1432"/>
      <c r="R818" s="1432"/>
      <c r="S818" s="1432"/>
      <c r="T818" s="1432"/>
      <c r="U818" s="1432"/>
      <c r="V818" s="1432"/>
      <c r="W818" s="1432"/>
      <c r="X818" s="152"/>
      <c r="Y818" s="152"/>
      <c r="Z818" s="152"/>
      <c r="AA818" s="152"/>
      <c r="AB818" s="152"/>
    </row>
    <row r="819" spans="1:28">
      <c r="A819" s="215">
        <f>VALUE(REPLACE(A818,1,12,""))</f>
        <v>16</v>
      </c>
      <c r="B819" s="263" t="s">
        <v>126</v>
      </c>
      <c r="C819" s="1416">
        <f ca="1">IF($D$6='TAB roll forward'!$H$4,OFFSET('TAB roll forward'!$H$7,A819,0),"enter input")</f>
        <v>0</v>
      </c>
      <c r="D819" s="1417">
        <f>IF(LEFT(D$6,4)&lt;LEFT('RFM input'!$G$60,4),"enter input",IF(LEFT(D$6,4)&gt;LEFT('RFM input'!$Q$60,4),0,
INDEX('RFM input'!$G$61:$Q$110,$A819,MATCH(D$6,'RFM input'!$G$60:$Q$60,0))
   -INDEX('RFM input'!$G$115:$Q$164,$A819,MATCH(D$6,'RFM input'!$G$60:$Q$60,0))))</f>
        <v>0</v>
      </c>
      <c r="E819" s="1417">
        <f>IF(LEFT(E$6,4)&lt;LEFT('RFM input'!$G$60,4),"enter input",IF(LEFT(E$6,4)&gt;LEFT('RFM input'!$Q$60,4),0,
INDEX('RFM input'!$G$61:$Q$110,$A819,MATCH(E$6,'RFM input'!$G$60:$Q$60,0))
   -INDEX('RFM input'!$G$115:$Q$164,$A819,MATCH(E$6,'RFM input'!$G$60:$Q$60,0))))</f>
        <v>0</v>
      </c>
      <c r="F819" s="1417">
        <f>IF(LEFT(F$6,4)&lt;LEFT('RFM input'!$G$60,4),"enter input",IF(LEFT(F$6,4)&gt;LEFT('RFM input'!$Q$60,4),0,
INDEX('RFM input'!$G$61:$Q$110,$A819,MATCH(F$6,'RFM input'!$G$60:$Q$60,0))
   -INDEX('RFM input'!$G$115:$Q$164,$A819,MATCH(F$6,'RFM input'!$G$60:$Q$60,0))))</f>
        <v>0</v>
      </c>
      <c r="G819" s="1417">
        <f>IF(LEFT(G$6,4)&lt;LEFT('RFM input'!$G$60,4),"enter input",IF(LEFT(G$6,4)&gt;LEFT('RFM input'!$Q$60,4),0,
INDEX('RFM input'!$G$61:$Q$110,$A819,MATCH(G$6,'RFM input'!$G$60:$Q$60,0))
   -INDEX('RFM input'!$G$115:$Q$164,$A819,MATCH(G$6,'RFM input'!$G$60:$Q$60,0))))</f>
        <v>0</v>
      </c>
      <c r="H819" s="1417">
        <f>IF(LEFT(H$6,4)&lt;LEFT('RFM input'!$G$60,4),"enter input",IF(LEFT(H$6,4)&gt;LEFT('RFM input'!$Q$60,4),0,
INDEX('RFM input'!$G$61:$Q$110,$A819,MATCH(H$6,'RFM input'!$G$60:$Q$60,0))
   -INDEX('RFM input'!$G$115:$Q$164,$A819,MATCH(H$6,'RFM input'!$G$60:$Q$60,0))))</f>
        <v>0</v>
      </c>
      <c r="I819" s="1417">
        <f>IF(LEFT(I$6,4)&lt;LEFT('RFM input'!$G$60,4),"enter input",IF(LEFT(I$6,4)&gt;LEFT('RFM input'!$Q$60,4),0,
INDEX('RFM input'!$G$61:$Q$110,$A819,MATCH(I$6,'RFM input'!$G$60:$Q$60,0))
   -INDEX('RFM input'!$G$115:$Q$164,$A819,MATCH(I$6,'RFM input'!$G$60:$Q$60,0))))</f>
        <v>0</v>
      </c>
      <c r="J819" s="1417">
        <f>IF(LEFT(J$6,4)&lt;LEFT('RFM input'!$G$60,4),"enter input",IF(LEFT(J$6,4)&gt;LEFT('RFM input'!$Q$60,4),0,
INDEX('RFM input'!$G$61:$Q$110,$A819,MATCH(J$6,'RFM input'!$G$60:$Q$60,0))
   -INDEX('RFM input'!$G$115:$Q$164,$A819,MATCH(J$6,'RFM input'!$G$60:$Q$60,0))))</f>
        <v>0</v>
      </c>
      <c r="K819" s="1417">
        <f>IF(LEFT(K$6,4)&lt;LEFT('RFM input'!$G$60,4),"enter input",IF(LEFT(K$6,4)&gt;LEFT('RFM input'!$Q$60,4),0,
INDEX('RFM input'!$G$61:$Q$110,$A819,MATCH(K$6,'RFM input'!$G$60:$Q$60,0))
   -INDEX('RFM input'!$G$115:$Q$164,$A819,MATCH(K$6,'RFM input'!$G$60:$Q$60,0))))</f>
        <v>0</v>
      </c>
      <c r="L819" s="1417">
        <f>IF(LEFT(L$6,4)&lt;LEFT('RFM input'!$G$60,4),"enter input",IF(LEFT(L$6,4)&gt;LEFT('RFM input'!$Q$60,4),0,
INDEX('RFM input'!$G$61:$Q$110,$A819,MATCH(L$6,'RFM input'!$G$60:$Q$60,0))
   -INDEX('RFM input'!$G$115:$Q$164,$A819,MATCH(L$6,'RFM input'!$G$60:$Q$60,0))))</f>
        <v>0</v>
      </c>
      <c r="M819" s="1417">
        <f>IF(LEFT(M$6,4)&lt;LEFT('RFM input'!$G$60,4),"enter input",IF(LEFT(M$6,4)&gt;LEFT('RFM input'!$Q$60,4),0,
INDEX('RFM input'!$G$61:$Q$110,$A819,MATCH(M$6,'RFM input'!$G$60:$Q$60,0))
   -INDEX('RFM input'!$G$115:$Q$164,$A819,MATCH(M$6,'RFM input'!$G$60:$Q$60,0))))</f>
        <v>0</v>
      </c>
      <c r="N819" s="1417">
        <f>IF(LEFT(N$6,4)&lt;LEFT('RFM input'!$G$60,4),"enter input",IF(LEFT(N$6,4)&gt;LEFT('RFM input'!$Q$60,4),0,
INDEX('RFM input'!$G$61:$Q$110,$A819,MATCH(N$6,'RFM input'!$G$60:$Q$60,0))
   -INDEX('RFM input'!$G$115:$Q$164,$A819,MATCH(N$6,'RFM input'!$G$60:$Q$60,0))))</f>
        <v>0</v>
      </c>
      <c r="O819" s="1417">
        <f>IF(LEFT(O$6,4)&lt;LEFT('RFM input'!$G$60,4),"enter input",IF(LEFT(O$6,4)&gt;LEFT('RFM input'!$Q$60,4),0,
INDEX('RFM input'!$G$61:$Q$110,$A819,MATCH(O$6,'RFM input'!$G$60:$Q$60,0))
   -INDEX('RFM input'!$G$115:$Q$164,$A819,MATCH(O$6,'RFM input'!$G$60:$Q$60,0))))</f>
        <v>0</v>
      </c>
      <c r="P819" s="1417">
        <f>IF(LEFT(P$6,4)&lt;LEFT('RFM input'!$G$60,4),"enter input",IF(LEFT(P$6,4)&gt;LEFT('RFM input'!$Q$60,4),0,
INDEX('RFM input'!$G$61:$Q$110,$A819,MATCH(P$6,'RFM input'!$G$60:$Q$60,0))
   -INDEX('RFM input'!$G$115:$Q$164,$A819,MATCH(P$6,'RFM input'!$G$60:$Q$60,0))))</f>
        <v>0</v>
      </c>
      <c r="Q819" s="1417">
        <f>IF(LEFT(Q$6,4)&lt;LEFT('RFM input'!$G$60,4),"enter input",IF(LEFT(Q$6,4)&gt;LEFT('RFM input'!$Q$60,4),0,
INDEX('RFM input'!$G$61:$Q$110,$A819,MATCH(Q$6,'RFM input'!$G$60:$Q$60,0))
   -INDEX('RFM input'!$G$115:$Q$164,$A819,MATCH(Q$6,'RFM input'!$G$60:$Q$60,0))))</f>
        <v>0</v>
      </c>
      <c r="R819" s="1417">
        <f>IF(LEFT(R$6,4)&lt;LEFT('RFM input'!$G$60,4),"enter input",IF(LEFT(R$6,4)&gt;LEFT('RFM input'!$Q$60,4),0,
INDEX('RFM input'!$G$61:$Q$110,$A819,MATCH(R$6,'RFM input'!$G$60:$Q$60,0))
   -INDEX('RFM input'!$G$115:$Q$164,$A819,MATCH(R$6,'RFM input'!$G$60:$Q$60,0))))</f>
        <v>0</v>
      </c>
      <c r="S819" s="1417">
        <f>IF(LEFT(S$6,4)&lt;LEFT('RFM input'!$G$60,4),"enter input",IF(LEFT(S$6,4)&gt;LEFT('RFM input'!$Q$60,4),0,
INDEX('RFM input'!$G$61:$Q$110,$A819,MATCH(S$6,'RFM input'!$G$60:$Q$60,0))
   -INDEX('RFM input'!$G$115:$Q$164,$A819,MATCH(S$6,'RFM input'!$G$60:$Q$60,0))))</f>
        <v>0</v>
      </c>
      <c r="T819" s="1417">
        <f>IF(LEFT(T$6,4)&lt;LEFT('RFM input'!$G$60,4),"enter input",IF(LEFT(T$6,4)&gt;LEFT('RFM input'!$Q$60,4),0,
INDEX('RFM input'!$G$61:$Q$110,$A819,MATCH(T$6,'RFM input'!$G$60:$Q$60,0))
   -INDEX('RFM input'!$G$115:$Q$164,$A819,MATCH(T$6,'RFM input'!$G$60:$Q$60,0))))</f>
        <v>0</v>
      </c>
      <c r="U819" s="1417">
        <f>IF(LEFT(U$6,4)&lt;LEFT('RFM input'!$G$60,4),"enter input",IF(LEFT(U$6,4)&gt;LEFT('RFM input'!$Q$60,4),0,
INDEX('RFM input'!$G$61:$Q$110,$A819,MATCH(U$6,'RFM input'!$G$60:$Q$60,0))
   -INDEX('RFM input'!$G$115:$Q$164,$A819,MATCH(U$6,'RFM input'!$G$60:$Q$60,0))))</f>
        <v>0</v>
      </c>
      <c r="V819" s="1417">
        <f>IF(LEFT(V$6,4)&lt;LEFT('RFM input'!$G$60,4),"enter input",IF(LEFT(V$6,4)&gt;LEFT('RFM input'!$Q$60,4),0,
INDEX('RFM input'!$G$61:$Q$110,$A819,MATCH(V$6,'RFM input'!$G$60:$Q$60,0))
   -INDEX('RFM input'!$G$115:$Q$164,$A819,MATCH(V$6,'RFM input'!$G$60:$Q$60,0))))</f>
        <v>0</v>
      </c>
      <c r="W819" s="1417">
        <f>IF(LEFT(W$6,4)&lt;LEFT('RFM input'!$G$60,4),"enter input",IF(LEFT(W$6,4)&gt;LEFT('RFM input'!$Q$60,4),0,
INDEX('RFM input'!$G$61:$Q$110,$A819,MATCH(W$6,'RFM input'!$G$60:$Q$60,0))
   -INDEX('RFM input'!$G$115:$Q$164,$A819,MATCH(W$6,'RFM input'!$G$60:$Q$60,0))))</f>
        <v>0</v>
      </c>
      <c r="X819" s="152"/>
      <c r="Y819" s="152"/>
      <c r="Z819" s="152"/>
      <c r="AA819" s="152"/>
      <c r="AB819" s="152"/>
    </row>
    <row r="820" spans="1:28">
      <c r="A820" s="152"/>
      <c r="B820" s="152" t="s">
        <v>205</v>
      </c>
      <c r="C820" s="1418">
        <f ca="1">IF($D$6='TAB roll forward'!$H$4,OFFSET('RFM input'!$S$6,$A819,0),"enter input")</f>
        <v>0</v>
      </c>
      <c r="D820" s="1417">
        <f>IF(LEFT(D$6,4)&lt;=LEFT('RFM input'!$G$60,4),"enter input",IF(LEFT(D$6,4)&gt;LEFT('RFM input'!$Q$60,4),0,
IF(MATCH(D$6,'RFM input'!$H$60:$Q$60,0),INDEX('RFM input'!$T$7:$T$56,$A819,1,1))))</f>
        <v>0</v>
      </c>
      <c r="E820" s="1417">
        <f>IF(LEFT(E$6,4)&lt;=LEFT('RFM input'!$G$60,4),"enter input",IF(LEFT(E$6,4)&gt;LEFT('RFM input'!$Q$60,4),0,
IF(MATCH(E$6,'RFM input'!$H$60:$Q$60,0),INDEX('RFM input'!$T$7:$T$56,$A819,1,1))))</f>
        <v>0</v>
      </c>
      <c r="F820" s="1417">
        <f>IF(LEFT(F$6,4)&lt;=LEFT('RFM input'!$G$60,4),"enter input",IF(LEFT(F$6,4)&gt;LEFT('RFM input'!$Q$60,4),0,
IF(MATCH(F$6,'RFM input'!$H$60:$Q$60,0),INDEX('RFM input'!$T$7:$T$56,$A819,1,1))))</f>
        <v>0</v>
      </c>
      <c r="G820" s="1417">
        <f>IF(LEFT(G$6,4)&lt;=LEFT('RFM input'!$G$60,4),"enter input",IF(LEFT(G$6,4)&gt;LEFT('RFM input'!$Q$60,4),0,
IF(MATCH(G$6,'RFM input'!$H$60:$Q$60,0),INDEX('RFM input'!$T$7:$T$56,$A819,1,1))))</f>
        <v>0</v>
      </c>
      <c r="H820" s="1417">
        <f>IF(LEFT(H$6,4)&lt;=LEFT('RFM input'!$G$60,4),"enter input",IF(LEFT(H$6,4)&gt;LEFT('RFM input'!$Q$60,4),0,
IF(MATCH(H$6,'RFM input'!$H$60:$Q$60,0),INDEX('RFM input'!$T$7:$T$56,$A819,1,1))))</f>
        <v>0</v>
      </c>
      <c r="I820" s="1417">
        <f>IF(LEFT(I$6,4)&lt;=LEFT('RFM input'!$G$60,4),"enter input",IF(LEFT(I$6,4)&gt;LEFT('RFM input'!$Q$60,4),0,
IF(MATCH(I$6,'RFM input'!$H$60:$Q$60,0),INDEX('RFM input'!$T$7:$T$56,$A819,1,1))))</f>
        <v>0</v>
      </c>
      <c r="J820" s="1417">
        <f>IF(LEFT(J$6,4)&lt;=LEFT('RFM input'!$G$60,4),"enter input",IF(LEFT(J$6,4)&gt;LEFT('RFM input'!$Q$60,4),0,
IF(MATCH(J$6,'RFM input'!$H$60:$Q$60,0),INDEX('RFM input'!$T$7:$T$56,$A819,1,1))))</f>
        <v>0</v>
      </c>
      <c r="K820" s="1417">
        <f>IF(LEFT(K$6,4)&lt;=LEFT('RFM input'!$G$60,4),"enter input",IF(LEFT(K$6,4)&gt;LEFT('RFM input'!$Q$60,4),0,
IF(MATCH(K$6,'RFM input'!$H$60:$Q$60,0),INDEX('RFM input'!$T$7:$T$56,$A819,1,1))))</f>
        <v>0</v>
      </c>
      <c r="L820" s="1417">
        <f>IF(LEFT(L$6,4)&lt;=LEFT('RFM input'!$G$60,4),"enter input",IF(LEFT(L$6,4)&gt;LEFT('RFM input'!$Q$60,4),0,
IF(MATCH(L$6,'RFM input'!$H$60:$Q$60,0),INDEX('RFM input'!$T$7:$T$56,$A819,1,1))))</f>
        <v>0</v>
      </c>
      <c r="M820" s="1417">
        <f>IF(LEFT(M$6,4)&lt;=LEFT('RFM input'!$G$60,4),"enter input",IF(LEFT(M$6,4)&gt;LEFT('RFM input'!$Q$60,4),0,
IF(MATCH(M$6,'RFM input'!$H$60:$Q$60,0),INDEX('RFM input'!$T$7:$T$56,$A819,1,1))))</f>
        <v>0</v>
      </c>
      <c r="N820" s="1417">
        <f>IF(LEFT(N$6,4)&lt;=LEFT('RFM input'!$G$60,4),"enter input",IF(LEFT(N$6,4)&gt;LEFT('RFM input'!$Q$60,4),0,
IF(MATCH(N$6,'RFM input'!$H$60:$Q$60,0),INDEX('RFM input'!$T$7:$T$56,$A819,1,1))))</f>
        <v>0</v>
      </c>
      <c r="O820" s="1417">
        <f>IF(LEFT(O$6,4)&lt;=LEFT('RFM input'!$G$60,4),"enter input",IF(LEFT(O$6,4)&gt;LEFT('RFM input'!$Q$60,4),0,
IF(MATCH(O$6,'RFM input'!$H$60:$Q$60,0),INDEX('RFM input'!$T$7:$T$56,$A819,1,1))))</f>
        <v>0</v>
      </c>
      <c r="P820" s="1417">
        <f>IF(LEFT(P$6,4)&lt;=LEFT('RFM input'!$G$60,4),"enter input",IF(LEFT(P$6,4)&gt;LEFT('RFM input'!$Q$60,4),0,
IF(MATCH(P$6,'RFM input'!$H$60:$Q$60,0),INDEX('RFM input'!$T$7:$T$56,$A819,1,1))))</f>
        <v>0</v>
      </c>
      <c r="Q820" s="1417">
        <f>IF(LEFT(Q$6,4)&lt;=LEFT('RFM input'!$G$60,4),"enter input",IF(LEFT(Q$6,4)&gt;LEFT('RFM input'!$Q$60,4),0,
IF(MATCH(Q$6,'RFM input'!$H$60:$Q$60,0),INDEX('RFM input'!$T$7:$T$56,$A819,1,1))))</f>
        <v>0</v>
      </c>
      <c r="R820" s="1417">
        <f>IF(LEFT(R$6,4)&lt;=LEFT('RFM input'!$G$60,4),"enter input",IF(LEFT(R$6,4)&gt;LEFT('RFM input'!$Q$60,4),0,
IF(MATCH(R$6,'RFM input'!$H$60:$Q$60,0),INDEX('RFM input'!$T$7:$T$56,$A819,1,1))))</f>
        <v>0</v>
      </c>
      <c r="S820" s="1417">
        <f>IF(LEFT(S$6,4)&lt;=LEFT('RFM input'!$G$60,4),"enter input",IF(LEFT(S$6,4)&gt;LEFT('RFM input'!$Q$60,4),0,
IF(MATCH(S$6,'RFM input'!$H$60:$Q$60,0),INDEX('RFM input'!$T$7:$T$56,$A819,1,1))))</f>
        <v>0</v>
      </c>
      <c r="T820" s="1417">
        <f>IF(LEFT(T$6,4)&lt;=LEFT('RFM input'!$G$60,4),"enter input",IF(LEFT(T$6,4)&gt;LEFT('RFM input'!$Q$60,4),0,
IF(MATCH(T$6,'RFM input'!$H$60:$Q$60,0),INDEX('RFM input'!$T$7:$T$56,$A819,1,1))))</f>
        <v>0</v>
      </c>
      <c r="U820" s="1417">
        <f>IF(LEFT(U$6,4)&lt;=LEFT('RFM input'!$G$60,4),"enter input",IF(LEFT(U$6,4)&gt;LEFT('RFM input'!$Q$60,4),0,
IF(MATCH(U$6,'RFM input'!$H$60:$Q$60,0),INDEX('RFM input'!$T$7:$T$56,$A819,1,1))))</f>
        <v>0</v>
      </c>
      <c r="V820" s="1417">
        <f>IF(LEFT(V$6,4)&lt;=LEFT('RFM input'!$G$60,4),"enter input",IF(LEFT(V$6,4)&gt;LEFT('RFM input'!$Q$60,4),0,
IF(MATCH(V$6,'RFM input'!$H$60:$Q$60,0),INDEX('RFM input'!$T$7:$T$56,$A819,1,1))))</f>
        <v>0</v>
      </c>
      <c r="W820" s="1417">
        <f>IF(LEFT(W$6,4)&lt;=LEFT('RFM input'!$G$60,4),"enter input",IF(LEFT(W$6,4)&gt;LEFT('RFM input'!$Q$60,4),0,
IF(MATCH(W$6,'RFM input'!$H$60:$Q$60,0),INDEX('RFM input'!$T$7:$T$56,$A819,1,1))))</f>
        <v>0</v>
      </c>
      <c r="X820" s="152"/>
      <c r="Y820" s="152"/>
      <c r="Z820" s="152"/>
      <c r="AA820" s="152"/>
      <c r="AB820" s="152"/>
    </row>
    <row r="821" spans="1:28">
      <c r="A821" s="152"/>
      <c r="B821" s="193" t="s">
        <v>192</v>
      </c>
      <c r="C821" s="1419"/>
      <c r="D821" s="1420">
        <f ca="1">IF(LEFT(D$6,4)&lt;=LEFT('RFM input'!$G$60,4),"enter input",IF(LEFT(D$6,4)&gt;LEFT('RFM input'!$Q$60,4),0,
IF(D$6=(OFFSET('RFM input'!$G$60,0,'RFM input'!$V$7)),OFFSET('RFM input'!$H$411,$A819,0),0)))</f>
        <v>0</v>
      </c>
      <c r="E821" s="1417">
        <f ca="1">IF(LEFT(E$6,4)&lt;=LEFT('RFM input'!$G$60,4),"enter input",IF(LEFT(E$6,4)&gt;LEFT('RFM input'!$Q$60,4),0,
IF(E$6=(OFFSET('RFM input'!$G$60,0,'RFM input'!$V$7)),OFFSET('RFM input'!$H$411,$A819,0),0)))</f>
        <v>0</v>
      </c>
      <c r="F821" s="1417">
        <f ca="1">IF(LEFT(F$6,4)&lt;=LEFT('RFM input'!$G$60,4),"enter input",IF(LEFT(F$6,4)&gt;LEFT('RFM input'!$Q$60,4),0,
IF(F$6=(OFFSET('RFM input'!$G$60,0,'RFM input'!$V$7)),OFFSET('RFM input'!$H$411,$A819,0),0)))</f>
        <v>0</v>
      </c>
      <c r="G821" s="1417">
        <f ca="1">IF(LEFT(G$6,4)&lt;=LEFT('RFM input'!$G$60,4),"enter input",IF(LEFT(G$6,4)&gt;LEFT('RFM input'!$Q$60,4),0,
IF(G$6=(OFFSET('RFM input'!$G$60,0,'RFM input'!$V$7)),OFFSET('RFM input'!$H$411,$A819,0),0)))</f>
        <v>0</v>
      </c>
      <c r="H821" s="1417">
        <f ca="1">IF(LEFT(H$6,4)&lt;=LEFT('RFM input'!$G$60,4),"enter input",IF(LEFT(H$6,4)&gt;LEFT('RFM input'!$Q$60,4),0,
IF(H$6=(OFFSET('RFM input'!$G$60,0,'RFM input'!$V$7)),OFFSET('RFM input'!$H$411,$A819,0),0)))</f>
        <v>0</v>
      </c>
      <c r="I821" s="1417">
        <f ca="1">IF(LEFT(I$6,4)&lt;=LEFT('RFM input'!$G$60,4),"enter input",IF(LEFT(I$6,4)&gt;LEFT('RFM input'!$Q$60,4),0,
IF(I$6=(OFFSET('RFM input'!$G$60,0,'RFM input'!$V$7)),OFFSET('RFM input'!$H$411,$A819,0),0)))</f>
        <v>0</v>
      </c>
      <c r="J821" s="1417">
        <f ca="1">IF(LEFT(J$6,4)&lt;=LEFT('RFM input'!$G$60,4),"enter input",IF(LEFT(J$6,4)&gt;LEFT('RFM input'!$Q$60,4),0,
IF(J$6=(OFFSET('RFM input'!$G$60,0,'RFM input'!$V$7)),OFFSET('RFM input'!$H$411,$A819,0),0)))</f>
        <v>0</v>
      </c>
      <c r="K821" s="1417">
        <f ca="1">IF(LEFT(K$6,4)&lt;=LEFT('RFM input'!$G$60,4),"enter input",IF(LEFT(K$6,4)&gt;LEFT('RFM input'!$Q$60,4),0,
IF(K$6=(OFFSET('RFM input'!$G$60,0,'RFM input'!$V$7)),OFFSET('RFM input'!$H$411,$A819,0),0)))</f>
        <v>0</v>
      </c>
      <c r="L821" s="1417">
        <f ca="1">IF(LEFT(L$6,4)&lt;=LEFT('RFM input'!$G$60,4),"enter input",IF(LEFT(L$6,4)&gt;LEFT('RFM input'!$Q$60,4),0,
IF(L$6=(OFFSET('RFM input'!$G$60,0,'RFM input'!$V$7)),OFFSET('RFM input'!$H$411,$A819,0),0)))</f>
        <v>0</v>
      </c>
      <c r="M821" s="1417">
        <f ca="1">IF(LEFT(M$6,4)&lt;=LEFT('RFM input'!$G$60,4),"enter input",IF(LEFT(M$6,4)&gt;LEFT('RFM input'!$Q$60,4),0,
IF(M$6=(OFFSET('RFM input'!$G$60,0,'RFM input'!$V$7)),OFFSET('RFM input'!$H$411,$A819,0),0)))</f>
        <v>0</v>
      </c>
      <c r="N821" s="1417">
        <f ca="1">IF(LEFT(N$6,4)&lt;=LEFT('RFM input'!$G$60,4),"enter input",IF(LEFT(N$6,4)&gt;LEFT('RFM input'!$Q$60,4),0,
IF(N$6=(OFFSET('RFM input'!$G$60,0,'RFM input'!$V$7)),OFFSET('RFM input'!$H$411,$A819,0),0)))</f>
        <v>0</v>
      </c>
      <c r="O821" s="1417">
        <f ca="1">IF(LEFT(O$6,4)&lt;=LEFT('RFM input'!$G$60,4),"enter input",IF(LEFT(O$6,4)&gt;LEFT('RFM input'!$Q$60,4),0,
IF(O$6=(OFFSET('RFM input'!$G$60,0,'RFM input'!$V$7)),OFFSET('RFM input'!$H$411,$A819,0),0)))</f>
        <v>0</v>
      </c>
      <c r="P821" s="1417">
        <f ca="1">IF(LEFT(P$6,4)&lt;=LEFT('RFM input'!$G$60,4),"enter input",IF(LEFT(P$6,4)&gt;LEFT('RFM input'!$Q$60,4),0,
IF(P$6=(OFFSET('RFM input'!$G$60,0,'RFM input'!$V$7)),OFFSET('RFM input'!$H$411,$A819,0),0)))</f>
        <v>0</v>
      </c>
      <c r="Q821" s="1417">
        <f ca="1">IF(LEFT(Q$6,4)&lt;=LEFT('RFM input'!$G$60,4),"enter input",IF(LEFT(Q$6,4)&gt;LEFT('RFM input'!$Q$60,4),0,
IF(Q$6=(OFFSET('RFM input'!$G$60,0,'RFM input'!$V$7)),OFFSET('RFM input'!$H$411,$A819,0),0)))</f>
        <v>0</v>
      </c>
      <c r="R821" s="1417">
        <f ca="1">IF(LEFT(R$6,4)&lt;=LEFT('RFM input'!$G$60,4),"enter input",IF(LEFT(R$6,4)&gt;LEFT('RFM input'!$Q$60,4),0,
IF(R$6=(OFFSET('RFM input'!$G$60,0,'RFM input'!$V$7)),OFFSET('RFM input'!$H$411,$A819,0),0)))</f>
        <v>0</v>
      </c>
      <c r="S821" s="1417">
        <f ca="1">IF(LEFT(S$6,4)&lt;=LEFT('RFM input'!$G$60,4),"enter input",IF(LEFT(S$6,4)&gt;LEFT('RFM input'!$Q$60,4),0,
IF(S$6=(OFFSET('RFM input'!$G$60,0,'RFM input'!$V$7)),OFFSET('RFM input'!$H$411,$A819,0),0)))</f>
        <v>0</v>
      </c>
      <c r="T821" s="1417">
        <f ca="1">IF(LEFT(T$6,4)&lt;=LEFT('RFM input'!$G$60,4),"enter input",IF(LEFT(T$6,4)&gt;LEFT('RFM input'!$Q$60,4),0,
IF(T$6=(OFFSET('RFM input'!$G$60,0,'RFM input'!$V$7)),OFFSET('RFM input'!$H$411,$A819,0),0)))</f>
        <v>0</v>
      </c>
      <c r="U821" s="1417">
        <f ca="1">IF(LEFT(U$6,4)&lt;=LEFT('RFM input'!$G$60,4),"enter input",IF(LEFT(U$6,4)&gt;LEFT('RFM input'!$Q$60,4),0,
IF(U$6=(OFFSET('RFM input'!$G$60,0,'RFM input'!$V$7)),OFFSET('RFM input'!$H$411,$A819,0),0)))</f>
        <v>0</v>
      </c>
      <c r="V821" s="1417">
        <f ca="1">IF(LEFT(V$6,4)&lt;=LEFT('RFM input'!$G$60,4),"enter input",IF(LEFT(V$6,4)&gt;LEFT('RFM input'!$Q$60,4),0,
IF(V$6=(OFFSET('RFM input'!$G$60,0,'RFM input'!$V$7)),OFFSET('RFM input'!$H$411,$A819,0),0)))</f>
        <v>0</v>
      </c>
      <c r="W821" s="1417">
        <f ca="1">IF(LEFT(W$6,4)&lt;=LEFT('RFM input'!$G$60,4),"enter input",IF(LEFT(W$6,4)&gt;LEFT('RFM input'!$Q$60,4),0,
IF(W$6=(OFFSET('RFM input'!$G$60,0,'RFM input'!$V$7)),OFFSET('RFM input'!$H$411,$A819,0),0)))</f>
        <v>0</v>
      </c>
      <c r="X821" s="152"/>
      <c r="Y821" s="152"/>
      <c r="Z821" s="152"/>
      <c r="AA821" s="152"/>
      <c r="AB821" s="152"/>
    </row>
    <row r="822" spans="1:28">
      <c r="A822" s="152"/>
      <c r="B822" s="193" t="s">
        <v>200</v>
      </c>
      <c r="C822" s="1419"/>
      <c r="D822" s="1418">
        <f ca="1">IF(LEFT(D$6,4)&lt;=LEFT('RFM input'!$G$60,4),"enter input",IF(LEFT(D$6,4)&gt;LEFT('RFM input'!$Q$60,4),0,
IF(D$6=(OFFSET('RFM input'!$G$60,0,'RFM input'!$V$7)),OFFSET('RFM input'!$J$411,$A819,0),0)))</f>
        <v>0</v>
      </c>
      <c r="E822" s="1422">
        <f ca="1">IF(LEFT(E$6,4)&lt;=LEFT('RFM input'!$G$60,4),"enter input",IF(LEFT(E$6,4)&gt;LEFT('RFM input'!$Q$60,4),0,
IF(E$6=(OFFSET('RFM input'!$G$60,0,'RFM input'!$V$7)),OFFSET('RFM input'!$J$411,$A819,0),0)))</f>
        <v>0</v>
      </c>
      <c r="F822" s="1422">
        <f ca="1">IF(LEFT(F$6,4)&lt;=LEFT('RFM input'!$G$60,4),"enter input",IF(LEFT(F$6,4)&gt;LEFT('RFM input'!$Q$60,4),0,
IF(F$6=(OFFSET('RFM input'!$G$60,0,'RFM input'!$V$7)),OFFSET('RFM input'!$J$411,$A819,0),0)))</f>
        <v>0</v>
      </c>
      <c r="G822" s="1422">
        <f ca="1">IF(LEFT(G$6,4)&lt;=LEFT('RFM input'!$G$60,4),"enter input",IF(LEFT(G$6,4)&gt;LEFT('RFM input'!$Q$60,4),0,
IF(G$6=(OFFSET('RFM input'!$G$60,0,'RFM input'!$V$7)),OFFSET('RFM input'!$J$411,$A819,0),0)))</f>
        <v>0</v>
      </c>
      <c r="H822" s="1422">
        <f ca="1">IF(LEFT(H$6,4)&lt;=LEFT('RFM input'!$G$60,4),"enter input",IF(LEFT(H$6,4)&gt;LEFT('RFM input'!$Q$60,4),0,
IF(H$6=(OFFSET('RFM input'!$G$60,0,'RFM input'!$V$7)),OFFSET('RFM input'!$J$411,$A819,0),0)))</f>
        <v>0</v>
      </c>
      <c r="I822" s="1422">
        <f ca="1">IF(LEFT(I$6,4)&lt;=LEFT('RFM input'!$G$60,4),"enter input",IF(LEFT(I$6,4)&gt;LEFT('RFM input'!$Q$60,4),0,
IF(I$6=(OFFSET('RFM input'!$G$60,0,'RFM input'!$V$7)),OFFSET('RFM input'!$J$411,$A819,0),0)))</f>
        <v>0</v>
      </c>
      <c r="J822" s="1422">
        <f ca="1">IF(LEFT(J$6,4)&lt;=LEFT('RFM input'!$G$60,4),"enter input",IF(LEFT(J$6,4)&gt;LEFT('RFM input'!$Q$60,4),0,
IF(J$6=(OFFSET('RFM input'!$G$60,0,'RFM input'!$V$7)),OFFSET('RFM input'!$J$411,$A819,0),0)))</f>
        <v>0</v>
      </c>
      <c r="K822" s="1422">
        <f ca="1">IF(LEFT(K$6,4)&lt;=LEFT('RFM input'!$G$60,4),"enter input",IF(LEFT(K$6,4)&gt;LEFT('RFM input'!$Q$60,4),0,
IF(K$6=(OFFSET('RFM input'!$G$60,0,'RFM input'!$V$7)),OFFSET('RFM input'!$J$411,$A819,0),0)))</f>
        <v>0</v>
      </c>
      <c r="L822" s="1422">
        <f ca="1">IF(LEFT(L$6,4)&lt;=LEFT('RFM input'!$G$60,4),"enter input",IF(LEFT(L$6,4)&gt;LEFT('RFM input'!$Q$60,4),0,
IF(L$6=(OFFSET('RFM input'!$G$60,0,'RFM input'!$V$7)),OFFSET('RFM input'!$J$411,$A819,0),0)))</f>
        <v>0</v>
      </c>
      <c r="M822" s="1422">
        <f ca="1">IF(LEFT(M$6,4)&lt;=LEFT('RFM input'!$G$60,4),"enter input",IF(LEFT(M$6,4)&gt;LEFT('RFM input'!$Q$60,4),0,
IF(M$6=(OFFSET('RFM input'!$G$60,0,'RFM input'!$V$7)),OFFSET('RFM input'!$J$411,$A819,0),0)))</f>
        <v>0</v>
      </c>
      <c r="N822" s="1422">
        <f ca="1">IF(LEFT(N$6,4)&lt;=LEFT('RFM input'!$G$60,4),"enter input",IF(LEFT(N$6,4)&gt;LEFT('RFM input'!$Q$60,4),0,
IF(N$6=(OFFSET('RFM input'!$G$60,0,'RFM input'!$V$7)),OFFSET('RFM input'!$J$411,$A819,0),0)))</f>
        <v>0</v>
      </c>
      <c r="O822" s="1422">
        <f ca="1">IF(LEFT(O$6,4)&lt;=LEFT('RFM input'!$G$60,4),"enter input",IF(LEFT(O$6,4)&gt;LEFT('RFM input'!$Q$60,4),0,
IF(O$6=(OFFSET('RFM input'!$G$60,0,'RFM input'!$V$7)),OFFSET('RFM input'!$J$411,$A819,0),0)))</f>
        <v>0</v>
      </c>
      <c r="P822" s="1422">
        <f ca="1">IF(LEFT(P$6,4)&lt;=LEFT('RFM input'!$G$60,4),"enter input",IF(LEFT(P$6,4)&gt;LEFT('RFM input'!$Q$60,4),0,
IF(P$6=(OFFSET('RFM input'!$G$60,0,'RFM input'!$V$7)),OFFSET('RFM input'!$J$411,$A819,0),0)))</f>
        <v>0</v>
      </c>
      <c r="Q822" s="1422">
        <f ca="1">IF(LEFT(Q$6,4)&lt;=LEFT('RFM input'!$G$60,4),"enter input",IF(LEFT(Q$6,4)&gt;LEFT('RFM input'!$Q$60,4),0,
IF(Q$6=(OFFSET('RFM input'!$G$60,0,'RFM input'!$V$7)),OFFSET('RFM input'!$J$411,$A819,0),0)))</f>
        <v>0</v>
      </c>
      <c r="R822" s="1422">
        <f ca="1">IF(LEFT(R$6,4)&lt;=LEFT('RFM input'!$G$60,4),"enter input",IF(LEFT(R$6,4)&gt;LEFT('RFM input'!$Q$60,4),0,
IF(R$6=(OFFSET('RFM input'!$G$60,0,'RFM input'!$V$7)),OFFSET('RFM input'!$J$411,$A819,0),0)))</f>
        <v>0</v>
      </c>
      <c r="S822" s="1422">
        <f ca="1">IF(LEFT(S$6,4)&lt;=LEFT('RFM input'!$G$60,4),"enter input",IF(LEFT(S$6,4)&gt;LEFT('RFM input'!$Q$60,4),0,
IF(S$6=(OFFSET('RFM input'!$G$60,0,'RFM input'!$V$7)),OFFSET('RFM input'!$J$411,$A819,0),0)))</f>
        <v>0</v>
      </c>
      <c r="T822" s="1422">
        <f ca="1">IF(LEFT(T$6,4)&lt;=LEFT('RFM input'!$G$60,4),"enter input",IF(LEFT(T$6,4)&gt;LEFT('RFM input'!$Q$60,4),0,
IF(T$6=(OFFSET('RFM input'!$G$60,0,'RFM input'!$V$7)),OFFSET('RFM input'!$J$411,$A819,0),0)))</f>
        <v>0</v>
      </c>
      <c r="U822" s="1422">
        <f ca="1">IF(LEFT(U$6,4)&lt;=LEFT('RFM input'!$G$60,4),"enter input",IF(LEFT(U$6,4)&gt;LEFT('RFM input'!$Q$60,4),0,
IF(U$6=(OFFSET('RFM input'!$G$60,0,'RFM input'!$V$7)),OFFSET('RFM input'!$J$411,$A819,0),0)))</f>
        <v>0</v>
      </c>
      <c r="V822" s="1422">
        <f ca="1">IF(LEFT(V$6,4)&lt;=LEFT('RFM input'!$G$60,4),"enter input",IF(LEFT(V$6,4)&gt;LEFT('RFM input'!$Q$60,4),0,
IF(V$6=(OFFSET('RFM input'!$G$60,0,'RFM input'!$V$7)),OFFSET('RFM input'!$J$411,$A819,0),0)))</f>
        <v>0</v>
      </c>
      <c r="W822" s="1422">
        <f ca="1">IF(LEFT(W$6,4)&lt;=LEFT('RFM input'!$G$60,4),"enter input",IF(LEFT(W$6,4)&gt;LEFT('RFM input'!$Q$60,4),0,
IF(W$6=(OFFSET('RFM input'!$G$60,0,'RFM input'!$V$7)),OFFSET('RFM input'!$J$411,$A819,0),0)))</f>
        <v>0</v>
      </c>
      <c r="X822" s="152"/>
      <c r="Y822" s="152"/>
      <c r="Z822" s="152"/>
      <c r="AA822" s="152"/>
      <c r="AB822" s="152"/>
    </row>
    <row r="823" spans="1:28" hidden="1" outlineLevel="1">
      <c r="A823" s="235">
        <v>-1</v>
      </c>
      <c r="B823" s="190" t="s">
        <v>195</v>
      </c>
      <c r="C823" s="1423"/>
      <c r="D823" s="1423">
        <f t="shared" ref="D823" ca="1" si="1152">IF(AND(D821=0,C823=0),0,
IF(AND(D821&lt;&gt;0,C823=0),D821,
IF(AND(D822&lt;&gt;0,C823&lt;&gt;0),(C823-(C823/C847))+D821,
IF(C847&lt;1,0,(C823-(C823/C847))))))</f>
        <v>0</v>
      </c>
      <c r="E823" s="1423">
        <f t="shared" ref="E823" ca="1" si="1153">IF(AND(E821=0,D823=0),0,
IF(AND(E821&lt;&gt;0,D823=0),E821,
IF(AND(E822&lt;&gt;0,D823&lt;&gt;0),(D823-(D823/D847))+E821,
IF(D847&lt;1,0,(D823-(D823/D847))))))</f>
        <v>0</v>
      </c>
      <c r="F823" s="1423">
        <f t="shared" ref="F823" ca="1" si="1154">IF(AND(F821=0,E823=0),0,
IF(AND(F821&lt;&gt;0,E823=0),F821,
IF(AND(F822&lt;&gt;0,E823&lt;&gt;0),(E823-(E823/E847))+F821,
IF(E847&lt;1,0,(E823-(E823/E847))))))</f>
        <v>0</v>
      </c>
      <c r="G823" s="1423">
        <f t="shared" ref="G823" ca="1" si="1155">IF(AND(G821=0,F823=0),0,
IF(AND(G821&lt;&gt;0,F823=0),G821,
IF(AND(G822&lt;&gt;0,F823&lt;&gt;0),(F823-(F823/F847))+G821,
IF(F847&lt;1,0,(F823-(F823/F847))))))</f>
        <v>0</v>
      </c>
      <c r="H823" s="1423">
        <f ca="1">IF(AND(H821=0,G823=0),0,
IF(AND(H821&lt;&gt;0,G823=0),H821,
IF(AND(H822&lt;&gt;0,G823&lt;&gt;0),(G823-(G823/G847))+H821,
IF(G847&lt;1,0,(G823-(G823/G847))))))</f>
        <v>0</v>
      </c>
      <c r="I823" s="1423">
        <f t="shared" ref="I823" ca="1" si="1156">IF(AND(I821=0,H823=0),0,
IF(AND(I821&lt;&gt;0,H823=0),I821,
IF(AND(I822&lt;&gt;0,H823&lt;&gt;0),(H823-(H823/H847))+I821,
IF(H847&lt;1,0,(H823-(H823/H847))))))</f>
        <v>0</v>
      </c>
      <c r="J823" s="1423">
        <f t="shared" ref="J823" ca="1" si="1157">IF(AND(J821=0,I823=0),0,
IF(AND(J821&lt;&gt;0,I823=0),J821,
IF(AND(J822&lt;&gt;0,I823&lt;&gt;0),(I823-(I823/I847))+J821,
IF(I847&lt;1,0,(I823-(I823/I847))))))</f>
        <v>0</v>
      </c>
      <c r="K823" s="1423">
        <f t="shared" ref="K823" ca="1" si="1158">IF(AND(K821=0,J823=0),0,
IF(AND(K821&lt;&gt;0,J823=0),K821,
IF(AND(K822&lt;&gt;0,J823&lt;&gt;0),(J823-(J823/J847))+K821,
IF(J847&lt;1,0,(J823-(J823/J847))))))</f>
        <v>0</v>
      </c>
      <c r="L823" s="1423">
        <f t="shared" ref="L823" ca="1" si="1159">IF(AND(L821=0,K823=0),0,
IF(AND(L821&lt;&gt;0,K823=0),L821,
IF(AND(L822&lt;&gt;0,K823&lt;&gt;0),(K823-(K823/K847))+L821,
IF(K847&lt;1,0,(K823-(K823/K847))))))</f>
        <v>0</v>
      </c>
      <c r="M823" s="1423">
        <f t="shared" ref="M823" ca="1" si="1160">IF(AND(M821=0,L823=0),0,
IF(AND(M821&lt;&gt;0,L823=0),M821,
IF(AND(M822&lt;&gt;0,L823&lt;&gt;0),(L823-(L823/L847))+M821,
IF(L847&lt;1,0,(L823-(L823/L847))))))</f>
        <v>0</v>
      </c>
      <c r="N823" s="1423">
        <f t="shared" ref="N823" ca="1" si="1161">IF(AND(N821=0,M823=0),0,
IF(AND(N821&lt;&gt;0,M823=0),N821,
IF(AND(N822&lt;&gt;0,M823&lt;&gt;0),(M823-(M823/M847))+N821,
IF(M847&lt;1,0,(M823-(M823/M847))))))</f>
        <v>0</v>
      </c>
      <c r="O823" s="1423">
        <f t="shared" ref="O823" ca="1" si="1162">IF(AND(O821=0,N823=0),0,
IF(AND(O821&lt;&gt;0,N823=0),O821,
IF(AND(O822&lt;&gt;0,N823&lt;&gt;0),(N823-(N823/N847))+O821,
IF(N847&lt;1,0,(N823-(N823/N847))))))</f>
        <v>0</v>
      </c>
      <c r="P823" s="1423">
        <f t="shared" ref="P823" ca="1" si="1163">IF(AND(P821=0,O823=0),0,
IF(AND(P821&lt;&gt;0,O823=0),P821,
IF(AND(P822&lt;&gt;0,O823&lt;&gt;0),(O823-(O823/O847))+P821,
IF(O847&lt;1,0,(O823-(O823/O847))))))</f>
        <v>0</v>
      </c>
      <c r="Q823" s="1423">
        <f t="shared" ref="Q823" ca="1" si="1164">IF(AND(Q821=0,P823=0),0,
IF(AND(Q821&lt;&gt;0,P823=0),Q821,
IF(AND(Q822&lt;&gt;0,P823&lt;&gt;0),(P823-(P823/P847))+Q821,
IF(P847&lt;1,0,(P823-(P823/P847))))))</f>
        <v>0</v>
      </c>
      <c r="R823" s="1423">
        <f t="shared" ref="R823" ca="1" si="1165">IF(AND(R821=0,Q823=0),0,
IF(AND(R821&lt;&gt;0,Q823=0),R821,
IF(AND(R822&lt;&gt;0,Q823&lt;&gt;0),(Q823-(Q823/Q847))+R821,
IF(Q847&lt;1,0,(Q823-(Q823/Q847))))))</f>
        <v>0</v>
      </c>
      <c r="S823" s="1423">
        <f t="shared" ref="S823" ca="1" si="1166">IF(AND(S821=0,R823=0),0,
IF(AND(S821&lt;&gt;0,R823=0),S821,
IF(AND(S822&lt;&gt;0,R823&lt;&gt;0),(R823-(R823/R847))+S821,
IF(R847&lt;1,0,(R823-(R823/R847))))))</f>
        <v>0</v>
      </c>
      <c r="T823" s="1423">
        <f t="shared" ref="T823" ca="1" si="1167">IF(AND(T821=0,S823=0),0,
IF(AND(T821&lt;&gt;0,S823=0),T821,
IF(AND(T822&lt;&gt;0,S823&lt;&gt;0),(S823-(S823/S847))+T821,
IF(S847&lt;1,0,(S823-(S823/S847))))))</f>
        <v>0</v>
      </c>
      <c r="U823" s="1423">
        <f t="shared" ref="U823" ca="1" si="1168">IF(AND(U821=0,T823=0),0,
IF(AND(U821&lt;&gt;0,T823=0),U821,
IF(AND(U822&lt;&gt;0,T823&lt;&gt;0),(T823-(T823/T847))+U821,
IF(T847&lt;1,0,(T823-(T823/T847))))))</f>
        <v>0</v>
      </c>
      <c r="V823" s="1423">
        <f t="shared" ref="V823" ca="1" si="1169">IF(AND(V821=0,U823=0),0,
IF(AND(V821&lt;&gt;0,U823=0),V821,
IF(AND(V822&lt;&gt;0,U823&lt;&gt;0),(U823-(U823/U847))+V821,
IF(U847&lt;1,0,(U823-(U823/U847))))))</f>
        <v>0</v>
      </c>
      <c r="W823" s="1423">
        <f t="shared" ref="W823" ca="1" si="1170">IF(AND(W821=0,V823=0),0,
IF(AND(W821&lt;&gt;0,V823=0),W821,
IF(AND(W822&lt;&gt;0,V823&lt;&gt;0),(V823-(V823/V847))+W821,
IF(V847&lt;1,0,(V823-(V823/V847))))))</f>
        <v>0</v>
      </c>
      <c r="X823" s="152"/>
      <c r="Y823" s="152"/>
      <c r="Z823" s="152"/>
      <c r="AA823" s="152"/>
      <c r="AB823" s="152"/>
    </row>
    <row r="824" spans="1:28" hidden="1" outlineLevel="1">
      <c r="A824" s="199">
        <f>A823+1</f>
        <v>0</v>
      </c>
      <c r="B824" s="190" t="s">
        <v>527</v>
      </c>
      <c r="C824" s="1423">
        <f ca="1">C819</f>
        <v>0</v>
      </c>
      <c r="D824" s="1423">
        <f ca="1">IF(C848="n/a",C824,IFERROR(IF((OFFSET($C824,0,$A824))&lt;0,
MIN(0,C824-(OFFSET($C824,0,$A824)/(OFFSET($C819,-$A823,$A824)))),
MAX(0,C824-(OFFSET($C824,0,$A824)/(OFFSET($C819,-$A823,$A824))))),0))</f>
        <v>0</v>
      </c>
      <c r="E824" s="1423">
        <f t="shared" ref="E824" ca="1" si="1171">IF(D848="n/a",D824,IFERROR(IF((OFFSET($C824,0,$A824))&lt;0,
MIN(0,D824-(OFFSET($C824,0,$A824)/(OFFSET($C819,-$A823,$A824)))),
MAX(0,D824-(OFFSET($C824,0,$A824)/(OFFSET($C819,-$A823,$A824))))),0))</f>
        <v>0</v>
      </c>
      <c r="F824" s="1423">
        <f t="shared" ref="F824:F825" ca="1" si="1172">IF(E848="n/a",E824,IFERROR(IF((OFFSET($C824,0,$A824))&lt;0,
MIN(0,E824-(OFFSET($C824,0,$A824)/(OFFSET($C819,-$A823,$A824)))),
MAX(0,E824-(OFFSET($C824,0,$A824)/(OFFSET($C819,-$A823,$A824))))),0))</f>
        <v>0</v>
      </c>
      <c r="G824" s="1423">
        <f t="shared" ref="G824:G826" ca="1" si="1173">IF(F848="n/a",F824,IFERROR(IF((OFFSET($C824,0,$A824))&lt;0,
MIN(0,F824-(OFFSET($C824,0,$A824)/(OFFSET($C819,-$A823,$A824)))),
MAX(0,F824-(OFFSET($C824,0,$A824)/(OFFSET($C819,-$A823,$A824))))),0))</f>
        <v>0</v>
      </c>
      <c r="H824" s="1423">
        <f t="shared" ref="H824:H827" ca="1" si="1174">IF(G848="n/a",G824,IFERROR(IF((OFFSET($C824,0,$A824))&lt;0,
MIN(0,G824-(OFFSET($C824,0,$A824)/(OFFSET($C819,-$A823,$A824)))),
MAX(0,G824-(OFFSET($C824,0,$A824)/(OFFSET($C819,-$A823,$A824))))),0))</f>
        <v>0</v>
      </c>
      <c r="I824" s="1423">
        <f t="shared" ref="I824:I828" ca="1" si="1175">IF(H848="n/a",H824,IFERROR(IF((OFFSET($C824,0,$A824))&lt;0,
MIN(0,H824-(OFFSET($C824,0,$A824)/(OFFSET($C819,-$A823,$A824)))),
MAX(0,H824-(OFFSET($C824,0,$A824)/(OFFSET($C819,-$A823,$A824))))),0))</f>
        <v>0</v>
      </c>
      <c r="J824" s="1423">
        <f t="shared" ref="J824:J829" ca="1" si="1176">IF(I848="n/a",I824,IFERROR(IF((OFFSET($C824,0,$A824))&lt;0,
MIN(0,I824-(OFFSET($C824,0,$A824)/(OFFSET($C819,-$A823,$A824)))),
MAX(0,I824-(OFFSET($C824,0,$A824)/(OFFSET($C819,-$A823,$A824))))),0))</f>
        <v>0</v>
      </c>
      <c r="K824" s="1423">
        <f t="shared" ref="K824:K830" ca="1" si="1177">IF(J848="n/a",J824,IFERROR(IF((OFFSET($C824,0,$A824))&lt;0,
MIN(0,J824-(OFFSET($C824,0,$A824)/(OFFSET($C819,-$A823,$A824)))),
MAX(0,J824-(OFFSET($C824,0,$A824)/(OFFSET($C819,-$A823,$A824))))),0))</f>
        <v>0</v>
      </c>
      <c r="L824" s="1423">
        <f t="shared" ref="L824:L831" ca="1" si="1178">IF(K848="n/a",K824,IFERROR(IF((OFFSET($C824,0,$A824))&lt;0,
MIN(0,K824-(OFFSET($C824,0,$A824)/(OFFSET($C819,-$A823,$A824)))),
MAX(0,K824-(OFFSET($C824,0,$A824)/(OFFSET($C819,-$A823,$A824))))),0))</f>
        <v>0</v>
      </c>
      <c r="M824" s="1423">
        <f t="shared" ref="M824:M832" ca="1" si="1179">IF(L848="n/a",L824,IFERROR(IF((OFFSET($C824,0,$A824))&lt;0,
MIN(0,L824-(OFFSET($C824,0,$A824)/(OFFSET($C819,-$A823,$A824)))),
MAX(0,L824-(OFFSET($C824,0,$A824)/(OFFSET($C819,-$A823,$A824))))),0))</f>
        <v>0</v>
      </c>
      <c r="N824" s="1423">
        <f t="shared" ref="N824:N833" ca="1" si="1180">IF(M848="n/a",M824,IFERROR(IF((OFFSET($C824,0,$A824))&lt;0,
MIN(0,M824-(OFFSET($C824,0,$A824)/(OFFSET($C819,-$A823,$A824)))),
MAX(0,M824-(OFFSET($C824,0,$A824)/(OFFSET($C819,-$A823,$A824))))),0))</f>
        <v>0</v>
      </c>
      <c r="O824" s="1423">
        <f t="shared" ref="O824:O834" ca="1" si="1181">IF(N848="n/a",N824,IFERROR(IF((OFFSET($C824,0,$A824))&lt;0,
MIN(0,N824-(OFFSET($C824,0,$A824)/(OFFSET($C819,-$A823,$A824)))),
MAX(0,N824-(OFFSET($C824,0,$A824)/(OFFSET($C819,-$A823,$A824))))),0))</f>
        <v>0</v>
      </c>
      <c r="P824" s="1423">
        <f t="shared" ref="P824:P835" ca="1" si="1182">IF(O848="n/a",O824,IFERROR(IF((OFFSET($C824,0,$A824))&lt;0,
MIN(0,O824-(OFFSET($C824,0,$A824)/(OFFSET($C819,-$A823,$A824)))),
MAX(0,O824-(OFFSET($C824,0,$A824)/(OFFSET($C819,-$A823,$A824))))),0))</f>
        <v>0</v>
      </c>
      <c r="Q824" s="1423">
        <f t="shared" ref="Q824:Q836" ca="1" si="1183">IF(P848="n/a",P824,IFERROR(IF((OFFSET($C824,0,$A824))&lt;0,
MIN(0,P824-(OFFSET($C824,0,$A824)/(OFFSET($C819,-$A823,$A824)))),
MAX(0,P824-(OFFSET($C824,0,$A824)/(OFFSET($C819,-$A823,$A824))))),0))</f>
        <v>0</v>
      </c>
      <c r="R824" s="1423">
        <f t="shared" ref="R824:R837" ca="1" si="1184">IF(Q848="n/a",Q824,IFERROR(IF((OFFSET($C824,0,$A824))&lt;0,
MIN(0,Q824-(OFFSET($C824,0,$A824)/(OFFSET($C819,-$A823,$A824)))),
MAX(0,Q824-(OFFSET($C824,0,$A824)/(OFFSET($C819,-$A823,$A824))))),0))</f>
        <v>0</v>
      </c>
      <c r="S824" s="1423">
        <f t="shared" ref="S824:S838" ca="1" si="1185">IF(R848="n/a",R824,IFERROR(IF((OFFSET($C824,0,$A824))&lt;0,
MIN(0,R824-(OFFSET($C824,0,$A824)/(OFFSET($C819,-$A823,$A824)))),
MAX(0,R824-(OFFSET($C824,0,$A824)/(OFFSET($C819,-$A823,$A824))))),0))</f>
        <v>0</v>
      </c>
      <c r="T824" s="1423">
        <f t="shared" ref="T824:T839" ca="1" si="1186">IF(S848="n/a",S824,IFERROR(IF((OFFSET($C824,0,$A824))&lt;0,
MIN(0,S824-(OFFSET($C824,0,$A824)/(OFFSET($C819,-$A823,$A824)))),
MAX(0,S824-(OFFSET($C824,0,$A824)/(OFFSET($C819,-$A823,$A824))))),0))</f>
        <v>0</v>
      </c>
      <c r="U824" s="1423">
        <f t="shared" ref="U824:U840" ca="1" si="1187">IF(T848="n/a",T824,IFERROR(IF((OFFSET($C824,0,$A824))&lt;0,
MIN(0,T824-(OFFSET($C824,0,$A824)/(OFFSET($C819,-$A823,$A824)))),
MAX(0,T824-(OFFSET($C824,0,$A824)/(OFFSET($C819,-$A823,$A824))))),0))</f>
        <v>0</v>
      </c>
      <c r="V824" s="1423">
        <f t="shared" ref="V824:V841" ca="1" si="1188">IF(U848="n/a",U824,IFERROR(IF((OFFSET($C824,0,$A824))&lt;0,
MIN(0,U824-(OFFSET($C824,0,$A824)/(OFFSET($C819,-$A823,$A824)))),
MAX(0,U824-(OFFSET($C824,0,$A824)/(OFFSET($C819,-$A823,$A824))))),0))</f>
        <v>0</v>
      </c>
      <c r="W824" s="1423">
        <f t="shared" ref="W824:W842" ca="1" si="1189">IF(V848="n/a",V824,IFERROR(IF((OFFSET($C824,0,$A824))&lt;0,
MIN(0,V824-(OFFSET($C824,0,$A824)/(OFFSET($C819,-$A823,$A824)))),
MAX(0,V824-(OFFSET($C824,0,$A824)/(OFFSET($C819,-$A823,$A824))))),0))</f>
        <v>0</v>
      </c>
      <c r="X824" s="152"/>
      <c r="Y824" s="152"/>
      <c r="Z824" s="152"/>
      <c r="AA824" s="152"/>
      <c r="AB824" s="152"/>
    </row>
    <row r="825" spans="1:28" hidden="1" outlineLevel="1">
      <c r="A825" s="199">
        <f t="shared" ref="A825:A844" si="1190">A824+1</f>
        <v>1</v>
      </c>
      <c r="B825" s="190" t="str">
        <f t="shared" ref="B825:B844" ca="1" si="1191">"Depreciated Net Capex "&amp;OFFSET($C$6,0,A825)</f>
        <v>Depreciated Net Capex 2016-17</v>
      </c>
      <c r="C825" s="1424"/>
      <c r="D825" s="1425">
        <f>D819</f>
        <v>0</v>
      </c>
      <c r="E825" s="1423">
        <f ca="1">IF(D849="n/a",D825,IFERROR(IF((OFFSET($C825,0,$A825))&lt;0,
MIN(0,D825-(OFFSET($C825,0,$A825)/(OFFSET($C820,-$A824,$A825)))),
MAX(0,D825-(OFFSET($C825,0,$A825)/(OFFSET($C820,-$A824,$A825))))),0))</f>
        <v>0</v>
      </c>
      <c r="F825" s="1423">
        <f t="shared" ca="1" si="1172"/>
        <v>0</v>
      </c>
      <c r="G825" s="1423">
        <f t="shared" ca="1" si="1173"/>
        <v>0</v>
      </c>
      <c r="H825" s="1423">
        <f t="shared" ca="1" si="1174"/>
        <v>0</v>
      </c>
      <c r="I825" s="1423">
        <f t="shared" ca="1" si="1175"/>
        <v>0</v>
      </c>
      <c r="J825" s="1423">
        <f t="shared" ca="1" si="1176"/>
        <v>0</v>
      </c>
      <c r="K825" s="1423">
        <f t="shared" ca="1" si="1177"/>
        <v>0</v>
      </c>
      <c r="L825" s="1423">
        <f t="shared" ca="1" si="1178"/>
        <v>0</v>
      </c>
      <c r="M825" s="1423">
        <f t="shared" ca="1" si="1179"/>
        <v>0</v>
      </c>
      <c r="N825" s="1423">
        <f t="shared" ca="1" si="1180"/>
        <v>0</v>
      </c>
      <c r="O825" s="1423">
        <f t="shared" ca="1" si="1181"/>
        <v>0</v>
      </c>
      <c r="P825" s="1423">
        <f t="shared" ca="1" si="1182"/>
        <v>0</v>
      </c>
      <c r="Q825" s="1423">
        <f t="shared" ca="1" si="1183"/>
        <v>0</v>
      </c>
      <c r="R825" s="1423">
        <f t="shared" ca="1" si="1184"/>
        <v>0</v>
      </c>
      <c r="S825" s="1423">
        <f t="shared" ca="1" si="1185"/>
        <v>0</v>
      </c>
      <c r="T825" s="1423">
        <f t="shared" ca="1" si="1186"/>
        <v>0</v>
      </c>
      <c r="U825" s="1423">
        <f t="shared" ca="1" si="1187"/>
        <v>0</v>
      </c>
      <c r="V825" s="1423">
        <f t="shared" ca="1" si="1188"/>
        <v>0</v>
      </c>
      <c r="W825" s="1423">
        <f t="shared" ca="1" si="1189"/>
        <v>0</v>
      </c>
      <c r="X825" s="152"/>
      <c r="Y825" s="152"/>
      <c r="Z825" s="152"/>
      <c r="AA825" s="152"/>
      <c r="AB825" s="152"/>
    </row>
    <row r="826" spans="1:28" hidden="1" outlineLevel="1">
      <c r="A826" s="199">
        <f t="shared" si="1190"/>
        <v>2</v>
      </c>
      <c r="B826" s="190" t="str">
        <f t="shared" ca="1" si="1191"/>
        <v>Depreciated Net Capex 2017-18</v>
      </c>
      <c r="C826" s="1426"/>
      <c r="D826" s="1427"/>
      <c r="E826" s="1425">
        <f>E819</f>
        <v>0</v>
      </c>
      <c r="F826" s="1423">
        <f ca="1">IF(E850="n/a",E826,IFERROR(IF((OFFSET($C826,0,$A826))&lt;0,
MIN(0,E826-(OFFSET($C826,0,$A826)/(OFFSET($C821,-$A825,$A826)))),
MAX(0,E826-(OFFSET($C826,0,$A826)/(OFFSET($C821,-$A825,$A826))))),0))</f>
        <v>0</v>
      </c>
      <c r="G826" s="1423">
        <f t="shared" ca="1" si="1173"/>
        <v>0</v>
      </c>
      <c r="H826" s="1423">
        <f t="shared" ca="1" si="1174"/>
        <v>0</v>
      </c>
      <c r="I826" s="1423">
        <f t="shared" ca="1" si="1175"/>
        <v>0</v>
      </c>
      <c r="J826" s="1423">
        <f t="shared" ca="1" si="1176"/>
        <v>0</v>
      </c>
      <c r="K826" s="1423">
        <f t="shared" ca="1" si="1177"/>
        <v>0</v>
      </c>
      <c r="L826" s="1423">
        <f t="shared" ca="1" si="1178"/>
        <v>0</v>
      </c>
      <c r="M826" s="1423">
        <f t="shared" ca="1" si="1179"/>
        <v>0</v>
      </c>
      <c r="N826" s="1423">
        <f t="shared" ca="1" si="1180"/>
        <v>0</v>
      </c>
      <c r="O826" s="1423">
        <f t="shared" ca="1" si="1181"/>
        <v>0</v>
      </c>
      <c r="P826" s="1423">
        <f t="shared" ca="1" si="1182"/>
        <v>0</v>
      </c>
      <c r="Q826" s="1423">
        <f t="shared" ca="1" si="1183"/>
        <v>0</v>
      </c>
      <c r="R826" s="1423">
        <f t="shared" ca="1" si="1184"/>
        <v>0</v>
      </c>
      <c r="S826" s="1423">
        <f t="shared" ca="1" si="1185"/>
        <v>0</v>
      </c>
      <c r="T826" s="1423">
        <f t="shared" ca="1" si="1186"/>
        <v>0</v>
      </c>
      <c r="U826" s="1423">
        <f t="shared" ca="1" si="1187"/>
        <v>0</v>
      </c>
      <c r="V826" s="1423">
        <f t="shared" ca="1" si="1188"/>
        <v>0</v>
      </c>
      <c r="W826" s="1423">
        <f t="shared" ca="1" si="1189"/>
        <v>0</v>
      </c>
      <c r="X826" s="202"/>
      <c r="Y826" s="152"/>
      <c r="Z826" s="152"/>
      <c r="AA826" s="152"/>
      <c r="AB826" s="152"/>
    </row>
    <row r="827" spans="1:28" hidden="1" outlineLevel="1">
      <c r="A827" s="199">
        <f t="shared" si="1190"/>
        <v>3</v>
      </c>
      <c r="B827" s="190" t="str">
        <f t="shared" ca="1" si="1191"/>
        <v>Depreciated Net Capex 2018-19</v>
      </c>
      <c r="C827" s="1426"/>
      <c r="D827" s="1426"/>
      <c r="E827" s="1427"/>
      <c r="F827" s="1428">
        <f>F819</f>
        <v>0</v>
      </c>
      <c r="G827" s="1423">
        <f ca="1">IF(F851="n/a",F827,IFERROR(IF((OFFSET($C827,0,$A827))&lt;0,
MIN(0,F827-(OFFSET($C827,0,$A827)/(OFFSET($C822,-$A826,$A827)))),
MAX(0,F827-(OFFSET($C827,0,$A827)/(OFFSET($C822,-$A826,$A827))))),0))</f>
        <v>0</v>
      </c>
      <c r="H827" s="1423">
        <f t="shared" ca="1" si="1174"/>
        <v>0</v>
      </c>
      <c r="I827" s="1423">
        <f t="shared" ca="1" si="1175"/>
        <v>0</v>
      </c>
      <c r="J827" s="1423">
        <f t="shared" ca="1" si="1176"/>
        <v>0</v>
      </c>
      <c r="K827" s="1423">
        <f t="shared" ca="1" si="1177"/>
        <v>0</v>
      </c>
      <c r="L827" s="1423">
        <f t="shared" ca="1" si="1178"/>
        <v>0</v>
      </c>
      <c r="M827" s="1423">
        <f t="shared" ca="1" si="1179"/>
        <v>0</v>
      </c>
      <c r="N827" s="1423">
        <f t="shared" ca="1" si="1180"/>
        <v>0</v>
      </c>
      <c r="O827" s="1423">
        <f t="shared" ca="1" si="1181"/>
        <v>0</v>
      </c>
      <c r="P827" s="1423">
        <f t="shared" ca="1" si="1182"/>
        <v>0</v>
      </c>
      <c r="Q827" s="1423">
        <f t="shared" ca="1" si="1183"/>
        <v>0</v>
      </c>
      <c r="R827" s="1423">
        <f t="shared" ca="1" si="1184"/>
        <v>0</v>
      </c>
      <c r="S827" s="1423">
        <f t="shared" ca="1" si="1185"/>
        <v>0</v>
      </c>
      <c r="T827" s="1423">
        <f t="shared" ca="1" si="1186"/>
        <v>0</v>
      </c>
      <c r="U827" s="1423">
        <f t="shared" ca="1" si="1187"/>
        <v>0</v>
      </c>
      <c r="V827" s="1423">
        <f t="shared" ca="1" si="1188"/>
        <v>0</v>
      </c>
      <c r="W827" s="1423">
        <f t="shared" ca="1" si="1189"/>
        <v>0</v>
      </c>
      <c r="X827" s="202"/>
      <c r="Y827" s="202"/>
      <c r="Z827" s="152"/>
      <c r="AA827" s="152"/>
      <c r="AB827" s="152"/>
    </row>
    <row r="828" spans="1:28" hidden="1" outlineLevel="1">
      <c r="A828" s="199">
        <f t="shared" si="1190"/>
        <v>4</v>
      </c>
      <c r="B828" s="190" t="str">
        <f t="shared" ca="1" si="1191"/>
        <v>Depreciated Net Capex 2019-20</v>
      </c>
      <c r="C828" s="1426"/>
      <c r="D828" s="1426"/>
      <c r="E828" s="1426"/>
      <c r="F828" s="1427"/>
      <c r="G828" s="1428">
        <f>G819</f>
        <v>0</v>
      </c>
      <c r="H828" s="1423">
        <f ca="1">IF(G852="n/a",G828,IFERROR(IF((OFFSET($C828,0,$A828))&lt;0,
MIN(0,G828-(OFFSET($C828,0,$A828)/(OFFSET($C823,-$A827,$A828)))),
MAX(0,G828-(OFFSET($C828,0,$A828)/(OFFSET($C823,-$A827,$A828))))),0))</f>
        <v>0</v>
      </c>
      <c r="I828" s="1423">
        <f t="shared" ca="1" si="1175"/>
        <v>0</v>
      </c>
      <c r="J828" s="1423">
        <f t="shared" ca="1" si="1176"/>
        <v>0</v>
      </c>
      <c r="K828" s="1423">
        <f t="shared" ca="1" si="1177"/>
        <v>0</v>
      </c>
      <c r="L828" s="1423">
        <f t="shared" ca="1" si="1178"/>
        <v>0</v>
      </c>
      <c r="M828" s="1423">
        <f t="shared" ca="1" si="1179"/>
        <v>0</v>
      </c>
      <c r="N828" s="1423">
        <f t="shared" ca="1" si="1180"/>
        <v>0</v>
      </c>
      <c r="O828" s="1423">
        <f t="shared" ca="1" si="1181"/>
        <v>0</v>
      </c>
      <c r="P828" s="1423">
        <f t="shared" ca="1" si="1182"/>
        <v>0</v>
      </c>
      <c r="Q828" s="1423">
        <f t="shared" ca="1" si="1183"/>
        <v>0</v>
      </c>
      <c r="R828" s="1423">
        <f t="shared" ca="1" si="1184"/>
        <v>0</v>
      </c>
      <c r="S828" s="1423">
        <f t="shared" ca="1" si="1185"/>
        <v>0</v>
      </c>
      <c r="T828" s="1423">
        <f t="shared" ca="1" si="1186"/>
        <v>0</v>
      </c>
      <c r="U828" s="1423">
        <f t="shared" ca="1" si="1187"/>
        <v>0</v>
      </c>
      <c r="V828" s="1423">
        <f t="shared" ca="1" si="1188"/>
        <v>0</v>
      </c>
      <c r="W828" s="1423">
        <f t="shared" ca="1" si="1189"/>
        <v>0</v>
      </c>
      <c r="X828" s="202"/>
      <c r="Y828" s="202"/>
      <c r="Z828" s="202"/>
      <c r="AA828" s="152"/>
      <c r="AB828" s="152"/>
    </row>
    <row r="829" spans="1:28" hidden="1" outlineLevel="1">
      <c r="A829" s="199">
        <f t="shared" si="1190"/>
        <v>5</v>
      </c>
      <c r="B829" s="190" t="str">
        <f t="shared" ca="1" si="1191"/>
        <v>Depreciated Net Capex 2020-21</v>
      </c>
      <c r="C829" s="1426"/>
      <c r="D829" s="1426"/>
      <c r="E829" s="1426"/>
      <c r="F829" s="1426"/>
      <c r="G829" s="1427"/>
      <c r="H829" s="1428">
        <f>H819</f>
        <v>0</v>
      </c>
      <c r="I829" s="1423">
        <f ca="1">IF(H853="n/a",H829,IFERROR(IF((OFFSET($C829,0,$A829))&lt;0,
MIN(0,H829-(OFFSET($C829,0,$A829)/(OFFSET($C824,-$A828,$A829)))),
MAX(0,H829-(OFFSET($C829,0,$A829)/(OFFSET($C824,-$A828,$A829))))),0))</f>
        <v>0</v>
      </c>
      <c r="J829" s="1423">
        <f t="shared" ca="1" si="1176"/>
        <v>0</v>
      </c>
      <c r="K829" s="1423">
        <f t="shared" ca="1" si="1177"/>
        <v>0</v>
      </c>
      <c r="L829" s="1423">
        <f t="shared" ca="1" si="1178"/>
        <v>0</v>
      </c>
      <c r="M829" s="1423">
        <f t="shared" ca="1" si="1179"/>
        <v>0</v>
      </c>
      <c r="N829" s="1423">
        <f t="shared" ca="1" si="1180"/>
        <v>0</v>
      </c>
      <c r="O829" s="1423">
        <f t="shared" ca="1" si="1181"/>
        <v>0</v>
      </c>
      <c r="P829" s="1423">
        <f t="shared" ca="1" si="1182"/>
        <v>0</v>
      </c>
      <c r="Q829" s="1423">
        <f t="shared" ca="1" si="1183"/>
        <v>0</v>
      </c>
      <c r="R829" s="1423">
        <f t="shared" ca="1" si="1184"/>
        <v>0</v>
      </c>
      <c r="S829" s="1423">
        <f t="shared" ca="1" si="1185"/>
        <v>0</v>
      </c>
      <c r="T829" s="1423">
        <f t="shared" ca="1" si="1186"/>
        <v>0</v>
      </c>
      <c r="U829" s="1423">
        <f t="shared" ca="1" si="1187"/>
        <v>0</v>
      </c>
      <c r="V829" s="1423">
        <f t="shared" ca="1" si="1188"/>
        <v>0</v>
      </c>
      <c r="W829" s="1423">
        <f t="shared" ca="1" si="1189"/>
        <v>0</v>
      </c>
      <c r="X829" s="202"/>
      <c r="Y829" s="202"/>
      <c r="Z829" s="202"/>
      <c r="AA829" s="152"/>
      <c r="AB829" s="152"/>
    </row>
    <row r="830" spans="1:28" hidden="1" outlineLevel="1">
      <c r="A830" s="199">
        <f t="shared" si="1190"/>
        <v>6</v>
      </c>
      <c r="B830" s="190" t="str">
        <f t="shared" ca="1" si="1191"/>
        <v>Depreciated Net Capex 2021-22</v>
      </c>
      <c r="C830" s="1426"/>
      <c r="D830" s="1426"/>
      <c r="E830" s="1426"/>
      <c r="F830" s="1426"/>
      <c r="G830" s="1426"/>
      <c r="H830" s="1427"/>
      <c r="I830" s="1428">
        <f>I819</f>
        <v>0</v>
      </c>
      <c r="J830" s="1423">
        <f ca="1">IF(I854="n/a",I830,IFERROR(IF((OFFSET($C830,0,$A830))&lt;0,
MIN(0,I830-(OFFSET($C830,0,$A830)/(OFFSET($C825,-$A829,$A830)))),
MAX(0,I830-(OFFSET($C830,0,$A830)/(OFFSET($C825,-$A829,$A830))))),0))</f>
        <v>0</v>
      </c>
      <c r="K830" s="1423">
        <f t="shared" ca="1" si="1177"/>
        <v>0</v>
      </c>
      <c r="L830" s="1423">
        <f t="shared" ca="1" si="1178"/>
        <v>0</v>
      </c>
      <c r="M830" s="1423">
        <f t="shared" ca="1" si="1179"/>
        <v>0</v>
      </c>
      <c r="N830" s="1423">
        <f t="shared" ca="1" si="1180"/>
        <v>0</v>
      </c>
      <c r="O830" s="1423">
        <f t="shared" ca="1" si="1181"/>
        <v>0</v>
      </c>
      <c r="P830" s="1423">
        <f t="shared" ca="1" si="1182"/>
        <v>0</v>
      </c>
      <c r="Q830" s="1423">
        <f t="shared" ca="1" si="1183"/>
        <v>0</v>
      </c>
      <c r="R830" s="1423">
        <f t="shared" ca="1" si="1184"/>
        <v>0</v>
      </c>
      <c r="S830" s="1423">
        <f t="shared" ca="1" si="1185"/>
        <v>0</v>
      </c>
      <c r="T830" s="1423">
        <f t="shared" ca="1" si="1186"/>
        <v>0</v>
      </c>
      <c r="U830" s="1423">
        <f t="shared" ca="1" si="1187"/>
        <v>0</v>
      </c>
      <c r="V830" s="1423">
        <f t="shared" ca="1" si="1188"/>
        <v>0</v>
      </c>
      <c r="W830" s="1423">
        <f t="shared" ca="1" si="1189"/>
        <v>0</v>
      </c>
      <c r="X830" s="202"/>
      <c r="Y830" s="202"/>
      <c r="Z830" s="202"/>
      <c r="AA830" s="152"/>
      <c r="AB830" s="152"/>
    </row>
    <row r="831" spans="1:28" hidden="1" outlineLevel="1">
      <c r="A831" s="199">
        <f t="shared" si="1190"/>
        <v>7</v>
      </c>
      <c r="B831" s="190" t="str">
        <f t="shared" ca="1" si="1191"/>
        <v>Depreciated Net Capex 2022-23</v>
      </c>
      <c r="C831" s="1426"/>
      <c r="D831" s="1426"/>
      <c r="E831" s="1426"/>
      <c r="F831" s="1426"/>
      <c r="G831" s="1426"/>
      <c r="H831" s="1426"/>
      <c r="I831" s="1427"/>
      <c r="J831" s="1428">
        <f>J819</f>
        <v>0</v>
      </c>
      <c r="K831" s="1423">
        <f ca="1">IF(J855="n/a",J831,IFERROR(IF((OFFSET($C831,0,$A831))&lt;0,
MIN(0,J831-(OFFSET($C831,0,$A831)/(OFFSET($C826,-$A830,$A831)))),
MAX(0,J831-(OFFSET($C831,0,$A831)/(OFFSET($C826,-$A830,$A831))))),0))</f>
        <v>0</v>
      </c>
      <c r="L831" s="1423">
        <f t="shared" ca="1" si="1178"/>
        <v>0</v>
      </c>
      <c r="M831" s="1423">
        <f t="shared" ca="1" si="1179"/>
        <v>0</v>
      </c>
      <c r="N831" s="1423">
        <f t="shared" ca="1" si="1180"/>
        <v>0</v>
      </c>
      <c r="O831" s="1423">
        <f t="shared" ca="1" si="1181"/>
        <v>0</v>
      </c>
      <c r="P831" s="1423">
        <f t="shared" ca="1" si="1182"/>
        <v>0</v>
      </c>
      <c r="Q831" s="1423">
        <f t="shared" ca="1" si="1183"/>
        <v>0</v>
      </c>
      <c r="R831" s="1423">
        <f t="shared" ca="1" si="1184"/>
        <v>0</v>
      </c>
      <c r="S831" s="1423">
        <f t="shared" ca="1" si="1185"/>
        <v>0</v>
      </c>
      <c r="T831" s="1423">
        <f t="shared" ca="1" si="1186"/>
        <v>0</v>
      </c>
      <c r="U831" s="1423">
        <f t="shared" ca="1" si="1187"/>
        <v>0</v>
      </c>
      <c r="V831" s="1423">
        <f t="shared" ca="1" si="1188"/>
        <v>0</v>
      </c>
      <c r="W831" s="1423">
        <f t="shared" ca="1" si="1189"/>
        <v>0</v>
      </c>
      <c r="X831" s="202"/>
      <c r="Y831" s="202"/>
      <c r="Z831" s="202"/>
      <c r="AA831" s="152"/>
      <c r="AB831" s="152"/>
    </row>
    <row r="832" spans="1:28" hidden="1" outlineLevel="1">
      <c r="A832" s="199">
        <f t="shared" si="1190"/>
        <v>8</v>
      </c>
      <c r="B832" s="190" t="str">
        <f t="shared" ca="1" si="1191"/>
        <v>Depreciated Net Capex 2023-24</v>
      </c>
      <c r="C832" s="1426"/>
      <c r="D832" s="1426"/>
      <c r="E832" s="1426"/>
      <c r="F832" s="1426"/>
      <c r="G832" s="1426"/>
      <c r="H832" s="1426"/>
      <c r="I832" s="1426"/>
      <c r="J832" s="1427"/>
      <c r="K832" s="1428">
        <f>K819</f>
        <v>0</v>
      </c>
      <c r="L832" s="1423">
        <f ca="1">IF(K856="n/a",K832,IFERROR(IF((OFFSET($C832,0,$A832))&lt;0,
MIN(0,K832-(OFFSET($C832,0,$A832)/(OFFSET($C827,-$A831,$A832)))),
MAX(0,K832-(OFFSET($C832,0,$A832)/(OFFSET($C827,-$A831,$A832))))),0))</f>
        <v>0</v>
      </c>
      <c r="M832" s="1423">
        <f t="shared" ca="1" si="1179"/>
        <v>0</v>
      </c>
      <c r="N832" s="1423">
        <f t="shared" ca="1" si="1180"/>
        <v>0</v>
      </c>
      <c r="O832" s="1423">
        <f t="shared" ca="1" si="1181"/>
        <v>0</v>
      </c>
      <c r="P832" s="1423">
        <f t="shared" ca="1" si="1182"/>
        <v>0</v>
      </c>
      <c r="Q832" s="1423">
        <f t="shared" ca="1" si="1183"/>
        <v>0</v>
      </c>
      <c r="R832" s="1423">
        <f t="shared" ca="1" si="1184"/>
        <v>0</v>
      </c>
      <c r="S832" s="1423">
        <f t="shared" ca="1" si="1185"/>
        <v>0</v>
      </c>
      <c r="T832" s="1423">
        <f t="shared" ca="1" si="1186"/>
        <v>0</v>
      </c>
      <c r="U832" s="1423">
        <f t="shared" ca="1" si="1187"/>
        <v>0</v>
      </c>
      <c r="V832" s="1423">
        <f t="shared" ca="1" si="1188"/>
        <v>0</v>
      </c>
      <c r="W832" s="1423">
        <f t="shared" ca="1" si="1189"/>
        <v>0</v>
      </c>
      <c r="X832" s="202"/>
      <c r="Y832" s="202"/>
      <c r="Z832" s="202"/>
      <c r="AA832" s="152"/>
      <c r="AB832" s="152"/>
    </row>
    <row r="833" spans="1:28" hidden="1" outlineLevel="1">
      <c r="A833" s="199">
        <f t="shared" si="1190"/>
        <v>9</v>
      </c>
      <c r="B833" s="190" t="str">
        <f t="shared" ca="1" si="1191"/>
        <v>Depreciated Net Capex 2024-25</v>
      </c>
      <c r="C833" s="1426"/>
      <c r="D833" s="1426"/>
      <c r="E833" s="1426"/>
      <c r="F833" s="1426"/>
      <c r="G833" s="1426"/>
      <c r="H833" s="1426"/>
      <c r="I833" s="1426"/>
      <c r="J833" s="1426"/>
      <c r="K833" s="1427"/>
      <c r="L833" s="1428">
        <f>L819</f>
        <v>0</v>
      </c>
      <c r="M833" s="1423">
        <f ca="1">IF(L857="n/a",L833,IFERROR(IF((OFFSET($C833,0,$A833))&lt;0,
MIN(0,L833-(OFFSET($C833,0,$A833)/(OFFSET($C828,-$A832,$A833)))),
MAX(0,L833-(OFFSET($C833,0,$A833)/(OFFSET($C828,-$A832,$A833))))),0))</f>
        <v>0</v>
      </c>
      <c r="N833" s="1423">
        <f t="shared" ca="1" si="1180"/>
        <v>0</v>
      </c>
      <c r="O833" s="1423">
        <f t="shared" ca="1" si="1181"/>
        <v>0</v>
      </c>
      <c r="P833" s="1423">
        <f t="shared" ca="1" si="1182"/>
        <v>0</v>
      </c>
      <c r="Q833" s="1423">
        <f t="shared" ca="1" si="1183"/>
        <v>0</v>
      </c>
      <c r="R833" s="1423">
        <f t="shared" ca="1" si="1184"/>
        <v>0</v>
      </c>
      <c r="S833" s="1423">
        <f t="shared" ca="1" si="1185"/>
        <v>0</v>
      </c>
      <c r="T833" s="1423">
        <f t="shared" ca="1" si="1186"/>
        <v>0</v>
      </c>
      <c r="U833" s="1423">
        <f t="shared" ca="1" si="1187"/>
        <v>0</v>
      </c>
      <c r="V833" s="1423">
        <f t="shared" ca="1" si="1188"/>
        <v>0</v>
      </c>
      <c r="W833" s="1423">
        <f t="shared" ca="1" si="1189"/>
        <v>0</v>
      </c>
      <c r="X833" s="202"/>
      <c r="Y833" s="202"/>
      <c r="Z833" s="202"/>
      <c r="AA833" s="152"/>
      <c r="AB833" s="152"/>
    </row>
    <row r="834" spans="1:28" hidden="1" outlineLevel="1">
      <c r="A834" s="199">
        <f t="shared" si="1190"/>
        <v>10</v>
      </c>
      <c r="B834" s="190" t="str">
        <f t="shared" ca="1" si="1191"/>
        <v>Depreciated Net Capex 2025-26</v>
      </c>
      <c r="C834" s="1426"/>
      <c r="D834" s="1426"/>
      <c r="E834" s="1426"/>
      <c r="F834" s="1426"/>
      <c r="G834" s="1426"/>
      <c r="H834" s="1426"/>
      <c r="I834" s="1426"/>
      <c r="J834" s="1426"/>
      <c r="K834" s="1426"/>
      <c r="L834" s="1427"/>
      <c r="M834" s="1428">
        <f>M819</f>
        <v>0</v>
      </c>
      <c r="N834" s="1423">
        <f ca="1">IF(M858="n/a",M834,IFERROR(IF((OFFSET($C834,0,$A834))&lt;0,
MIN(0,M834-(OFFSET($C834,0,$A834)/(OFFSET($C829,-$A833,$A834)))),
MAX(0,M834-(OFFSET($C834,0,$A834)/(OFFSET($C829,-$A833,$A834))))),0))</f>
        <v>0</v>
      </c>
      <c r="O834" s="1423">
        <f t="shared" ca="1" si="1181"/>
        <v>0</v>
      </c>
      <c r="P834" s="1423">
        <f t="shared" ca="1" si="1182"/>
        <v>0</v>
      </c>
      <c r="Q834" s="1423">
        <f t="shared" ca="1" si="1183"/>
        <v>0</v>
      </c>
      <c r="R834" s="1423">
        <f t="shared" ca="1" si="1184"/>
        <v>0</v>
      </c>
      <c r="S834" s="1423">
        <f t="shared" ca="1" si="1185"/>
        <v>0</v>
      </c>
      <c r="T834" s="1423">
        <f t="shared" ca="1" si="1186"/>
        <v>0</v>
      </c>
      <c r="U834" s="1423">
        <f t="shared" ca="1" si="1187"/>
        <v>0</v>
      </c>
      <c r="V834" s="1423">
        <f t="shared" ca="1" si="1188"/>
        <v>0</v>
      </c>
      <c r="W834" s="1423">
        <f t="shared" ca="1" si="1189"/>
        <v>0</v>
      </c>
      <c r="X834" s="202"/>
      <c r="Y834" s="202"/>
      <c r="Z834" s="202"/>
      <c r="AA834" s="152"/>
      <c r="AB834" s="152"/>
    </row>
    <row r="835" spans="1:28" hidden="1" outlineLevel="1">
      <c r="A835" s="199">
        <f t="shared" si="1190"/>
        <v>11</v>
      </c>
      <c r="B835" s="190" t="str">
        <f t="shared" ca="1" si="1191"/>
        <v>Depreciated Net Capex 2026-27</v>
      </c>
      <c r="C835" s="1426"/>
      <c r="D835" s="1426"/>
      <c r="E835" s="1426"/>
      <c r="F835" s="1426"/>
      <c r="G835" s="1426"/>
      <c r="H835" s="1426"/>
      <c r="I835" s="1426"/>
      <c r="J835" s="1426"/>
      <c r="K835" s="1426"/>
      <c r="L835" s="1426"/>
      <c r="M835" s="1427"/>
      <c r="N835" s="1428">
        <f>N819</f>
        <v>0</v>
      </c>
      <c r="O835" s="1423">
        <f ca="1">IF(N859="n/a",N835,IFERROR(IF((OFFSET($C835,0,$A835))&lt;0,
MIN(0,N835-(OFFSET($C835,0,$A835)/(OFFSET($C830,-$A834,$A835)))),
MAX(0,N835-(OFFSET($C835,0,$A835)/(OFFSET($C830,-$A834,$A835))))),0))</f>
        <v>0</v>
      </c>
      <c r="P835" s="1423">
        <f t="shared" ca="1" si="1182"/>
        <v>0</v>
      </c>
      <c r="Q835" s="1423">
        <f t="shared" ca="1" si="1183"/>
        <v>0</v>
      </c>
      <c r="R835" s="1423">
        <f t="shared" ca="1" si="1184"/>
        <v>0</v>
      </c>
      <c r="S835" s="1423">
        <f t="shared" ca="1" si="1185"/>
        <v>0</v>
      </c>
      <c r="T835" s="1423">
        <f t="shared" ca="1" si="1186"/>
        <v>0</v>
      </c>
      <c r="U835" s="1423">
        <f t="shared" ca="1" si="1187"/>
        <v>0</v>
      </c>
      <c r="V835" s="1423">
        <f t="shared" ca="1" si="1188"/>
        <v>0</v>
      </c>
      <c r="W835" s="1423">
        <f t="shared" ca="1" si="1189"/>
        <v>0</v>
      </c>
      <c r="X835" s="202"/>
      <c r="Y835" s="202"/>
      <c r="Z835" s="202"/>
      <c r="AA835" s="152"/>
      <c r="AB835" s="152"/>
    </row>
    <row r="836" spans="1:28" hidden="1" outlineLevel="1">
      <c r="A836" s="199">
        <f t="shared" si="1190"/>
        <v>12</v>
      </c>
      <c r="B836" s="190" t="str">
        <f t="shared" ca="1" si="1191"/>
        <v>Depreciated Net Capex 2027-28</v>
      </c>
      <c r="C836" s="1426"/>
      <c r="D836" s="1426"/>
      <c r="E836" s="1426"/>
      <c r="F836" s="1426"/>
      <c r="G836" s="1426"/>
      <c r="H836" s="1426"/>
      <c r="I836" s="1426"/>
      <c r="J836" s="1426"/>
      <c r="K836" s="1426"/>
      <c r="L836" s="1426"/>
      <c r="M836" s="1426"/>
      <c r="N836" s="1427"/>
      <c r="O836" s="1428">
        <f>O819</f>
        <v>0</v>
      </c>
      <c r="P836" s="1423">
        <f ca="1">IF(O860="n/a",O836,IFERROR(IF((OFFSET($C836,0,$A836))&lt;0,
MIN(0,O836-(OFFSET($C836,0,$A836)/(OFFSET($C831,-$A835,$A836)))),
MAX(0,O836-(OFFSET($C836,0,$A836)/(OFFSET($C831,-$A835,$A836))))),0))</f>
        <v>0</v>
      </c>
      <c r="Q836" s="1423">
        <f t="shared" ca="1" si="1183"/>
        <v>0</v>
      </c>
      <c r="R836" s="1423">
        <f t="shared" ca="1" si="1184"/>
        <v>0</v>
      </c>
      <c r="S836" s="1423">
        <f t="shared" ca="1" si="1185"/>
        <v>0</v>
      </c>
      <c r="T836" s="1423">
        <f t="shared" ca="1" si="1186"/>
        <v>0</v>
      </c>
      <c r="U836" s="1423">
        <f t="shared" ca="1" si="1187"/>
        <v>0</v>
      </c>
      <c r="V836" s="1423">
        <f t="shared" ca="1" si="1188"/>
        <v>0</v>
      </c>
      <c r="W836" s="1423">
        <f t="shared" ca="1" si="1189"/>
        <v>0</v>
      </c>
      <c r="X836" s="202"/>
      <c r="Y836" s="202"/>
      <c r="Z836" s="202"/>
      <c r="AA836" s="152"/>
      <c r="AB836" s="152"/>
    </row>
    <row r="837" spans="1:28" hidden="1" outlineLevel="1">
      <c r="A837" s="199">
        <f t="shared" si="1190"/>
        <v>13</v>
      </c>
      <c r="B837" s="190" t="str">
        <f t="shared" ca="1" si="1191"/>
        <v>Depreciated Net Capex 2028-29</v>
      </c>
      <c r="C837" s="1426"/>
      <c r="D837" s="1426"/>
      <c r="E837" s="1426"/>
      <c r="F837" s="1426"/>
      <c r="G837" s="1426"/>
      <c r="H837" s="1426"/>
      <c r="I837" s="1426"/>
      <c r="J837" s="1426"/>
      <c r="K837" s="1426"/>
      <c r="L837" s="1426"/>
      <c r="M837" s="1426"/>
      <c r="N837" s="1426"/>
      <c r="O837" s="1427"/>
      <c r="P837" s="1428">
        <f>P819</f>
        <v>0</v>
      </c>
      <c r="Q837" s="1423">
        <f ca="1">IF(P861="n/a",P837,IFERROR(IF((OFFSET($C837,0,$A837))&lt;0,
MIN(0,P837-(OFFSET($C837,0,$A837)/(OFFSET($C832,-$A836,$A837)))),
MAX(0,P837-(OFFSET($C837,0,$A837)/(OFFSET($C832,-$A836,$A837))))),0))</f>
        <v>0</v>
      </c>
      <c r="R837" s="1423">
        <f t="shared" ca="1" si="1184"/>
        <v>0</v>
      </c>
      <c r="S837" s="1423">
        <f t="shared" ca="1" si="1185"/>
        <v>0</v>
      </c>
      <c r="T837" s="1423">
        <f t="shared" ca="1" si="1186"/>
        <v>0</v>
      </c>
      <c r="U837" s="1423">
        <f t="shared" ca="1" si="1187"/>
        <v>0</v>
      </c>
      <c r="V837" s="1423">
        <f t="shared" ca="1" si="1188"/>
        <v>0</v>
      </c>
      <c r="W837" s="1423">
        <f t="shared" ca="1" si="1189"/>
        <v>0</v>
      </c>
      <c r="X837" s="202"/>
      <c r="Y837" s="202"/>
      <c r="Z837" s="202"/>
      <c r="AA837" s="152"/>
      <c r="AB837" s="152"/>
    </row>
    <row r="838" spans="1:28" hidden="1" outlineLevel="1">
      <c r="A838" s="199">
        <f t="shared" si="1190"/>
        <v>14</v>
      </c>
      <c r="B838" s="190" t="str">
        <f t="shared" ca="1" si="1191"/>
        <v>Depreciated Net Capex 2029-30</v>
      </c>
      <c r="C838" s="1426"/>
      <c r="D838" s="1426"/>
      <c r="E838" s="1426"/>
      <c r="F838" s="1426"/>
      <c r="G838" s="1426"/>
      <c r="H838" s="1426"/>
      <c r="I838" s="1426"/>
      <c r="J838" s="1426"/>
      <c r="K838" s="1426"/>
      <c r="L838" s="1426"/>
      <c r="M838" s="1426"/>
      <c r="N838" s="1426"/>
      <c r="O838" s="1426"/>
      <c r="P838" s="1427"/>
      <c r="Q838" s="1428">
        <f>Q819</f>
        <v>0</v>
      </c>
      <c r="R838" s="1423">
        <f ca="1">IF(Q862="n/a",Q838,IFERROR(IF((OFFSET($C838,0,$A838))&lt;0,
MIN(0,Q838-(OFFSET($C838,0,$A838)/(OFFSET($C833,-$A837,$A838)))),
MAX(0,Q838-(OFFSET($C838,0,$A838)/(OFFSET($C833,-$A837,$A838))))),0))</f>
        <v>0</v>
      </c>
      <c r="S838" s="1423">
        <f t="shared" ca="1" si="1185"/>
        <v>0</v>
      </c>
      <c r="T838" s="1423">
        <f t="shared" ca="1" si="1186"/>
        <v>0</v>
      </c>
      <c r="U838" s="1423">
        <f t="shared" ca="1" si="1187"/>
        <v>0</v>
      </c>
      <c r="V838" s="1423">
        <f t="shared" ca="1" si="1188"/>
        <v>0</v>
      </c>
      <c r="W838" s="1423">
        <f t="shared" ca="1" si="1189"/>
        <v>0</v>
      </c>
      <c r="X838" s="202"/>
      <c r="Y838" s="202"/>
      <c r="Z838" s="202"/>
      <c r="AA838" s="152"/>
      <c r="AB838" s="152"/>
    </row>
    <row r="839" spans="1:28" hidden="1" outlineLevel="1">
      <c r="A839" s="199">
        <f t="shared" si="1190"/>
        <v>15</v>
      </c>
      <c r="B839" s="190" t="str">
        <f t="shared" ca="1" si="1191"/>
        <v>Depreciated Net Capex 2030-31</v>
      </c>
      <c r="C839" s="1426"/>
      <c r="D839" s="1426"/>
      <c r="E839" s="1426"/>
      <c r="F839" s="1426"/>
      <c r="G839" s="1426"/>
      <c r="H839" s="1426"/>
      <c r="I839" s="1426"/>
      <c r="J839" s="1426"/>
      <c r="K839" s="1426"/>
      <c r="L839" s="1426"/>
      <c r="M839" s="1426"/>
      <c r="N839" s="1426"/>
      <c r="O839" s="1426"/>
      <c r="P839" s="1426"/>
      <c r="Q839" s="1427"/>
      <c r="R839" s="1428">
        <f>R819</f>
        <v>0</v>
      </c>
      <c r="S839" s="1423">
        <f ca="1">IF(R863="n/a",R839,IFERROR(IF((OFFSET($C839,0,$A839))&lt;0,
MIN(0,R839-(OFFSET($C839,0,$A839)/(OFFSET($C834,-$A838,$A839)))),
MAX(0,R839-(OFFSET($C839,0,$A839)/(OFFSET($C834,-$A838,$A839))))),0))</f>
        <v>0</v>
      </c>
      <c r="T839" s="1423">
        <f t="shared" ca="1" si="1186"/>
        <v>0</v>
      </c>
      <c r="U839" s="1423">
        <f t="shared" ca="1" si="1187"/>
        <v>0</v>
      </c>
      <c r="V839" s="1423">
        <f t="shared" ca="1" si="1188"/>
        <v>0</v>
      </c>
      <c r="W839" s="1423">
        <f t="shared" ca="1" si="1189"/>
        <v>0</v>
      </c>
      <c r="X839" s="202"/>
      <c r="Y839" s="202"/>
      <c r="Z839" s="202"/>
      <c r="AA839" s="152"/>
      <c r="AB839" s="152"/>
    </row>
    <row r="840" spans="1:28" hidden="1" outlineLevel="1">
      <c r="A840" s="199">
        <f t="shared" si="1190"/>
        <v>16</v>
      </c>
      <c r="B840" s="190" t="str">
        <f t="shared" ca="1" si="1191"/>
        <v>Depreciated Net Capex 2031-32</v>
      </c>
      <c r="C840" s="1426"/>
      <c r="D840" s="1426"/>
      <c r="E840" s="1426"/>
      <c r="F840" s="1426"/>
      <c r="G840" s="1426"/>
      <c r="H840" s="1426"/>
      <c r="I840" s="1426"/>
      <c r="J840" s="1426"/>
      <c r="K840" s="1426"/>
      <c r="L840" s="1426"/>
      <c r="M840" s="1426"/>
      <c r="N840" s="1426"/>
      <c r="O840" s="1426"/>
      <c r="P840" s="1426"/>
      <c r="Q840" s="1426"/>
      <c r="R840" s="1427"/>
      <c r="S840" s="1428">
        <f>S819</f>
        <v>0</v>
      </c>
      <c r="T840" s="1423">
        <f ca="1">IF(S864="n/a",S840,IFERROR(IF((OFFSET($C840,0,$A840))&lt;0,
MIN(0,S840-(OFFSET($C840,0,$A840)/(OFFSET($C835,-$A839,$A840)))),
MAX(0,S840-(OFFSET($C840,0,$A840)/(OFFSET($C835,-$A839,$A840))))),0))</f>
        <v>0</v>
      </c>
      <c r="U840" s="1423">
        <f t="shared" ca="1" si="1187"/>
        <v>0</v>
      </c>
      <c r="V840" s="1423">
        <f t="shared" ca="1" si="1188"/>
        <v>0</v>
      </c>
      <c r="W840" s="1423">
        <f t="shared" ca="1" si="1189"/>
        <v>0</v>
      </c>
      <c r="X840" s="202"/>
      <c r="Y840" s="202"/>
      <c r="Z840" s="202"/>
      <c r="AA840" s="152"/>
      <c r="AB840" s="152"/>
    </row>
    <row r="841" spans="1:28" hidden="1" outlineLevel="1">
      <c r="A841" s="199">
        <f t="shared" si="1190"/>
        <v>17</v>
      </c>
      <c r="B841" s="190" t="str">
        <f t="shared" ca="1" si="1191"/>
        <v>Depreciated Net Capex 2032-33</v>
      </c>
      <c r="C841" s="1426"/>
      <c r="D841" s="1426"/>
      <c r="E841" s="1426"/>
      <c r="F841" s="1426"/>
      <c r="G841" s="1426"/>
      <c r="H841" s="1426"/>
      <c r="I841" s="1426"/>
      <c r="J841" s="1426"/>
      <c r="K841" s="1426"/>
      <c r="L841" s="1426"/>
      <c r="M841" s="1426"/>
      <c r="N841" s="1426"/>
      <c r="O841" s="1426"/>
      <c r="P841" s="1426"/>
      <c r="Q841" s="1426"/>
      <c r="R841" s="1426"/>
      <c r="S841" s="1427"/>
      <c r="T841" s="1428">
        <f>T819</f>
        <v>0</v>
      </c>
      <c r="U841" s="1423">
        <f ca="1">IF(T865="n/a",T841,IFERROR(IF((OFFSET($C841,0,$A841))&lt;0,
MIN(0,T841-(OFFSET($C841,0,$A841)/(OFFSET($C836,-$A840,$A841)))),
MAX(0,T841-(OFFSET($C841,0,$A841)/(OFFSET($C836,-$A840,$A841))))),0))</f>
        <v>0</v>
      </c>
      <c r="V841" s="1423">
        <f t="shared" ca="1" si="1188"/>
        <v>0</v>
      </c>
      <c r="W841" s="1423">
        <f t="shared" ca="1" si="1189"/>
        <v>0</v>
      </c>
      <c r="X841" s="202"/>
      <c r="Y841" s="202"/>
      <c r="Z841" s="202"/>
      <c r="AA841" s="152"/>
      <c r="AB841" s="152"/>
    </row>
    <row r="842" spans="1:28" hidden="1" outlineLevel="1">
      <c r="A842" s="199">
        <f t="shared" si="1190"/>
        <v>18</v>
      </c>
      <c r="B842" s="190" t="str">
        <f t="shared" ca="1" si="1191"/>
        <v>Depreciated Net Capex 2033-34</v>
      </c>
      <c r="C842" s="1426"/>
      <c r="D842" s="1426"/>
      <c r="E842" s="1426"/>
      <c r="F842" s="1426"/>
      <c r="G842" s="1426"/>
      <c r="H842" s="1426"/>
      <c r="I842" s="1426"/>
      <c r="J842" s="1426"/>
      <c r="K842" s="1426"/>
      <c r="L842" s="1426"/>
      <c r="M842" s="1426"/>
      <c r="N842" s="1426"/>
      <c r="O842" s="1426"/>
      <c r="P842" s="1426"/>
      <c r="Q842" s="1426"/>
      <c r="R842" s="1426"/>
      <c r="S842" s="1426"/>
      <c r="T842" s="1427"/>
      <c r="U842" s="1428">
        <f>U819</f>
        <v>0</v>
      </c>
      <c r="V842" s="1423">
        <f ca="1">IF(U866="n/a",U842,IFERROR(IF((OFFSET($C842,0,$A842))&lt;0,
MIN(0,U842-(OFFSET($C842,0,$A842)/(OFFSET($C837,-$A841,$A842)))),
MAX(0,U842-(OFFSET($C842,0,$A842)/(OFFSET($C837,-$A841,$A842))))),0))</f>
        <v>0</v>
      </c>
      <c r="W842" s="1423">
        <f t="shared" ca="1" si="1189"/>
        <v>0</v>
      </c>
      <c r="X842" s="202"/>
      <c r="Y842" s="202"/>
      <c r="Z842" s="202"/>
      <c r="AA842" s="152"/>
      <c r="AB842" s="152"/>
    </row>
    <row r="843" spans="1:28" hidden="1" outlineLevel="1">
      <c r="A843" s="199">
        <f t="shared" si="1190"/>
        <v>19</v>
      </c>
      <c r="B843" s="190" t="str">
        <f t="shared" ca="1" si="1191"/>
        <v>Depreciated Net Capex 2034-35</v>
      </c>
      <c r="C843" s="1426"/>
      <c r="D843" s="1426"/>
      <c r="E843" s="1426"/>
      <c r="F843" s="1426"/>
      <c r="G843" s="1426"/>
      <c r="H843" s="1426"/>
      <c r="I843" s="1426"/>
      <c r="J843" s="1426"/>
      <c r="K843" s="1426"/>
      <c r="L843" s="1426"/>
      <c r="M843" s="1426"/>
      <c r="N843" s="1426"/>
      <c r="O843" s="1426"/>
      <c r="P843" s="1426"/>
      <c r="Q843" s="1426"/>
      <c r="R843" s="1426"/>
      <c r="S843" s="1426"/>
      <c r="T843" s="1426"/>
      <c r="U843" s="1427"/>
      <c r="V843" s="1428">
        <f>V819</f>
        <v>0</v>
      </c>
      <c r="W843" s="1423">
        <f ca="1">IF(V867="n/a",V843,IFERROR(IF((OFFSET($C843,0,$A843))&lt;0,
MIN(0,V843-(OFFSET($C843,0,$A843)/(OFFSET($C838,-$A842,$A843)))),
MAX(0,V843-(OFFSET($C843,0,$A843)/(OFFSET($C838,-$A842,$A843))))),0))</f>
        <v>0</v>
      </c>
      <c r="X843" s="202"/>
      <c r="Y843" s="202"/>
      <c r="Z843" s="202"/>
      <c r="AA843" s="152"/>
      <c r="AB843" s="152"/>
    </row>
    <row r="844" spans="1:28" hidden="1" outlineLevel="1">
      <c r="A844" s="199">
        <f t="shared" si="1190"/>
        <v>20</v>
      </c>
      <c r="B844" s="190" t="str">
        <f t="shared" ca="1" si="1191"/>
        <v>Depreciated Net Capex 2035-36</v>
      </c>
      <c r="C844" s="1426"/>
      <c r="D844" s="1426"/>
      <c r="E844" s="1426"/>
      <c r="F844" s="1426"/>
      <c r="G844" s="1426"/>
      <c r="H844" s="1426"/>
      <c r="I844" s="1426"/>
      <c r="J844" s="1426"/>
      <c r="K844" s="1426"/>
      <c r="L844" s="1426"/>
      <c r="M844" s="1426"/>
      <c r="N844" s="1426"/>
      <c r="O844" s="1426"/>
      <c r="P844" s="1426"/>
      <c r="Q844" s="1426"/>
      <c r="R844" s="1426"/>
      <c r="S844" s="1426"/>
      <c r="T844" s="1426"/>
      <c r="U844" s="1426"/>
      <c r="V844" s="1427"/>
      <c r="W844" s="1423">
        <f>W819</f>
        <v>0</v>
      </c>
      <c r="X844" s="152"/>
      <c r="Y844" s="152"/>
      <c r="Z844" s="152"/>
      <c r="AA844" s="152"/>
      <c r="AB844" s="152"/>
    </row>
    <row r="845" spans="1:28" hidden="1" outlineLevel="1">
      <c r="A845" s="152"/>
      <c r="B845" s="200"/>
      <c r="C845" s="1423"/>
      <c r="D845" s="1423"/>
      <c r="E845" s="1423"/>
      <c r="F845" s="1423"/>
      <c r="G845" s="1423"/>
      <c r="H845" s="1423"/>
      <c r="I845" s="1423"/>
      <c r="J845" s="1423"/>
      <c r="K845" s="1423"/>
      <c r="L845" s="1423"/>
      <c r="M845" s="1423"/>
      <c r="N845" s="1423"/>
      <c r="O845" s="1423"/>
      <c r="P845" s="1423"/>
      <c r="Q845" s="1423"/>
      <c r="R845" s="1423"/>
      <c r="S845" s="1423"/>
      <c r="T845" s="1423"/>
      <c r="U845" s="1423"/>
      <c r="V845" s="1423"/>
      <c r="W845" s="1423"/>
      <c r="X845" s="152"/>
      <c r="Y845" s="152"/>
      <c r="Z845" s="152"/>
      <c r="AA845" s="152"/>
      <c r="AB845" s="152"/>
    </row>
    <row r="846" spans="1:28" hidden="1" outlineLevel="1">
      <c r="A846" s="152"/>
      <c r="B846" s="200"/>
      <c r="C846" s="1423"/>
      <c r="D846" s="1423"/>
      <c r="E846" s="1423"/>
      <c r="F846" s="1423"/>
      <c r="G846" s="1423"/>
      <c r="H846" s="1423"/>
      <c r="I846" s="1423"/>
      <c r="J846" s="1423"/>
      <c r="K846" s="1423"/>
      <c r="L846" s="1423"/>
      <c r="M846" s="1423"/>
      <c r="N846" s="1423"/>
      <c r="O846" s="1423"/>
      <c r="P846" s="1423"/>
      <c r="Q846" s="1423"/>
      <c r="R846" s="1423"/>
      <c r="S846" s="1423"/>
      <c r="T846" s="1423"/>
      <c r="U846" s="1423"/>
      <c r="V846" s="1423"/>
      <c r="W846" s="1423"/>
      <c r="X846" s="152"/>
      <c r="Y846" s="152"/>
      <c r="Z846" s="152"/>
      <c r="AA846" s="152"/>
      <c r="AB846" s="152"/>
    </row>
    <row r="847" spans="1:28" hidden="1" outlineLevel="1">
      <c r="A847" s="152"/>
      <c r="B847" s="190" t="s">
        <v>194</v>
      </c>
      <c r="C847" s="1423"/>
      <c r="D847" s="1423">
        <f t="shared" ref="D847" ca="1" si="1192">IF(AND(C847&lt;1,D821=0),0,
IF(D821=0,C847-1,
IF(C847&lt;1,D822,
(((C847-1)*(C823-(C823/(C847))))+(D821*D822))/(D823))))</f>
        <v>0</v>
      </c>
      <c r="E847" s="1423">
        <f t="shared" ref="E847" ca="1" si="1193">IF(AND(D847&lt;1,E821=0),0,
IF(E821=0,D847-1,
IF(D847&lt;1,E822,
(((D847-1)*(D823-(D823/(D847))))+(E821*E822))/(E823))))</f>
        <v>0</v>
      </c>
      <c r="F847" s="1423">
        <f t="shared" ref="F847" ca="1" si="1194">IF(AND(E847&lt;1,F821=0),0,
IF(F821=0,E847-1,
IF(E847&lt;1,F822,
(((E847-1)*(E823-(E823/(E847))))+(F821*F822))/(F823))))</f>
        <v>0</v>
      </c>
      <c r="G847" s="1423">
        <f t="shared" ref="G847" ca="1" si="1195">IF(AND(F847&lt;1,G821=0),0,
IF(G821=0,F847-1,
IF(F847&lt;1,G822,
(((F847-1)*(F823-(F823/(F847))))+(G821*G822))/(G823))))</f>
        <v>0</v>
      </c>
      <c r="H847" s="1423">
        <f ca="1">IF(AND(G847&lt;1,H821=0),0,
IF(H821=0,G847-1,
IF(G847&lt;1,H822,
(((G847-1)*(G823-(G823/(G847))))+(H821*H822))/(H823))))</f>
        <v>0</v>
      </c>
      <c r="I847" s="1423">
        <f t="shared" ref="I847" ca="1" si="1196">IF(AND(H847&lt;1,I821=0),0,
IF(I821=0,H847-1,
IF(H847&lt;1,I822,
(((H847-1)*(H823-(H823/(H847))))+(I821*I822))/(I823))))</f>
        <v>0</v>
      </c>
      <c r="J847" s="1423">
        <f t="shared" ref="J847" ca="1" si="1197">IF(AND(I847&lt;1,J821=0),0,
IF(J821=0,I847-1,
IF(I847&lt;1,J822,
(((I847-1)*(I823-(I823/(I847))))+(J821*J822))/(J823))))</f>
        <v>0</v>
      </c>
      <c r="K847" s="1423">
        <f t="shared" ref="K847" ca="1" si="1198">IF(AND(J847&lt;1,K821=0),0,
IF(K821=0,J847-1,
IF(J847&lt;1,K822,
(((J847-1)*(J823-(J823/(J847))))+(K821*K822))/(K823))))</f>
        <v>0</v>
      </c>
      <c r="L847" s="1423">
        <f t="shared" ref="L847" ca="1" si="1199">IF(AND(K847&lt;1,L821=0),0,
IF(L821=0,K847-1,
IF(K847&lt;1,L822,
(((K847-1)*(K823-(K823/(K847))))+(L821*L822))/(L823))))</f>
        <v>0</v>
      </c>
      <c r="M847" s="1423">
        <f ca="1">IF(AND(L847&lt;1,M821=0),0,
IF(M821=0,L847-1,
IF(L847&lt;1,M822,
(((L847-1)*(L823-(L823/(L847))))+(M821*M822))/(M823))))</f>
        <v>0</v>
      </c>
      <c r="N847" s="1423">
        <f t="shared" ref="N847" ca="1" si="1200">IF(AND(M847&lt;1,N821=0),0,
IF(N821=0,M847-1,
IF(M847&lt;1,N822,
(((M847-1)*(M823-(M823/(M847))))+(N821*N822))/(N823))))</f>
        <v>0</v>
      </c>
      <c r="O847" s="1423">
        <f t="shared" ref="O847" ca="1" si="1201">IF(AND(N847&lt;1,O821=0),0,
IF(O821=0,N847-1,
IF(N847&lt;1,O822,
(((N847-1)*(N823-(N823/(N847))))+(O821*O822))/(O823))))</f>
        <v>0</v>
      </c>
      <c r="P847" s="1423">
        <f t="shared" ref="P847" ca="1" si="1202">IF(AND(O847&lt;1,P821=0),0,
IF(P821=0,O847-1,
IF(O847&lt;1,P822,
(((O847-1)*(O823-(O823/(O847))))+(P821*P822))/(P823))))</f>
        <v>0</v>
      </c>
      <c r="Q847" s="1423">
        <f t="shared" ref="Q847" ca="1" si="1203">IF(AND(P847&lt;1,Q821=0),0,
IF(Q821=0,P847-1,
IF(P847&lt;1,Q822,
(((P847-1)*(P823-(P823/(P847))))+(Q821*Q822))/(Q823))))</f>
        <v>0</v>
      </c>
      <c r="R847" s="1423">
        <f t="shared" ref="R847" ca="1" si="1204">IF(AND(Q847&lt;1,R821=0),0,
IF(R821=0,Q847-1,
IF(Q847&lt;1,R822,
(((Q847-1)*(Q823-(Q823/(Q847))))+(R821*R822))/(R823))))</f>
        <v>0</v>
      </c>
      <c r="S847" s="1423">
        <f t="shared" ref="S847" ca="1" si="1205">IF(AND(R847&lt;1,S821=0),0,
IF(S821=0,R847-1,
IF(R847&lt;1,S822,
(((R847-1)*(R823-(R823/(R847))))+(S821*S822))/(S823))))</f>
        <v>0</v>
      </c>
      <c r="T847" s="1423">
        <f t="shared" ref="T847" ca="1" si="1206">IF(AND(S847&lt;1,T821=0),0,
IF(T821=0,S847-1,
IF(S847&lt;1,T822,
(((S847-1)*(S823-(S823/(S847))))+(T821*T822))/(T823))))</f>
        <v>0</v>
      </c>
      <c r="U847" s="1423">
        <f t="shared" ref="U847" ca="1" si="1207">IF(AND(T847&lt;1,U821=0),0,
IF(U821=0,T847-1,
IF(T847&lt;1,U822,
(((T847-1)*(T823-(T823/(T847))))+(U821*U822))/(U823))))</f>
        <v>0</v>
      </c>
      <c r="V847" s="1423">
        <f t="shared" ref="V847" ca="1" si="1208">IF(AND(U847&lt;1,V821=0),0,
IF(V821=0,U847-1,
IF(U847&lt;1,V822,
(((U847-1)*(U823-(U823/(U847))))+(V821*V822))/(V823))))</f>
        <v>0</v>
      </c>
      <c r="W847" s="1423">
        <f t="shared" ref="W847" ca="1" si="1209">IF(AND(V847&lt;1,W821=0),0,
IF(W821=0,V847-1,
IF(V847&lt;1,W822,
(((V847-1)*(V823-(V823/(V847))))+(W821*W822))/(W823))))</f>
        <v>0</v>
      </c>
      <c r="X847" s="152"/>
      <c r="Y847" s="152"/>
      <c r="Z847" s="152"/>
      <c r="AA847" s="152"/>
      <c r="AB847" s="152"/>
    </row>
    <row r="848" spans="1:28" hidden="1" outlineLevel="1">
      <c r="A848" s="152"/>
      <c r="B848" s="190" t="s">
        <v>193</v>
      </c>
      <c r="C848" s="1423">
        <f ca="1">C820</f>
        <v>0</v>
      </c>
      <c r="D848" s="1423">
        <f t="shared" ref="D848" ca="1" si="1210">IF(C848="n/a","n/a",MAX(0,C848-1))</f>
        <v>0</v>
      </c>
      <c r="E848" s="1423">
        <f t="shared" ref="E848:E849" ca="1" si="1211">IF(D848="n/a","n/a",MAX(0,D848-1))</f>
        <v>0</v>
      </c>
      <c r="F848" s="1423">
        <f t="shared" ref="F848:F850" ca="1" si="1212">IF(E848="n/a","n/a",MAX(0,E848-1))</f>
        <v>0</v>
      </c>
      <c r="G848" s="1423">
        <f t="shared" ref="G848:G851" ca="1" si="1213">IF(F848="n/a","n/a",MAX(0,F848-1))</f>
        <v>0</v>
      </c>
      <c r="H848" s="1423">
        <f t="shared" ref="H848:H852" ca="1" si="1214">IF(G848="n/a","n/a",MAX(0,G848-1))</f>
        <v>0</v>
      </c>
      <c r="I848" s="1423">
        <f t="shared" ref="I848:I853" ca="1" si="1215">IF(H848="n/a","n/a",MAX(0,H848-1))</f>
        <v>0</v>
      </c>
      <c r="J848" s="1423">
        <f t="shared" ref="J848:J854" ca="1" si="1216">IF(I848="n/a","n/a",MAX(0,I848-1))</f>
        <v>0</v>
      </c>
      <c r="K848" s="1423">
        <f t="shared" ref="K848:K855" ca="1" si="1217">IF(J848="n/a","n/a",MAX(0,J848-1))</f>
        <v>0</v>
      </c>
      <c r="L848" s="1423">
        <f t="shared" ref="L848:L856" ca="1" si="1218">IF(K848="n/a","n/a",MAX(0,K848-1))</f>
        <v>0</v>
      </c>
      <c r="M848" s="1423">
        <f t="shared" ref="M848:M857" ca="1" si="1219">IF(L848="n/a","n/a",MAX(0,L848-1))</f>
        <v>0</v>
      </c>
      <c r="N848" s="1423">
        <f t="shared" ref="N848:N858" ca="1" si="1220">IF(M848="n/a","n/a",MAX(0,M848-1))</f>
        <v>0</v>
      </c>
      <c r="O848" s="1423">
        <f t="shared" ref="O848:O859" ca="1" si="1221">IF(N848="n/a","n/a",MAX(0,N848-1))</f>
        <v>0</v>
      </c>
      <c r="P848" s="1423">
        <f t="shared" ref="P848:P860" ca="1" si="1222">IF(O848="n/a","n/a",MAX(0,O848-1))</f>
        <v>0</v>
      </c>
      <c r="Q848" s="1423">
        <f t="shared" ref="Q848:Q861" ca="1" si="1223">IF(P848="n/a","n/a",MAX(0,P848-1))</f>
        <v>0</v>
      </c>
      <c r="R848" s="1423">
        <f t="shared" ref="R848:R862" ca="1" si="1224">IF(Q848="n/a","n/a",MAX(0,Q848-1))</f>
        <v>0</v>
      </c>
      <c r="S848" s="1423">
        <f t="shared" ref="S848:S863" ca="1" si="1225">IF(R848="n/a","n/a",MAX(0,R848-1))</f>
        <v>0</v>
      </c>
      <c r="T848" s="1423">
        <f t="shared" ref="T848:T864" ca="1" si="1226">IF(S848="n/a","n/a",MAX(0,S848-1))</f>
        <v>0</v>
      </c>
      <c r="U848" s="1423">
        <f t="shared" ref="U848:U865" ca="1" si="1227">IF(T848="n/a","n/a",MAX(0,T848-1))</f>
        <v>0</v>
      </c>
      <c r="V848" s="1423">
        <f t="shared" ref="V848:V866" ca="1" si="1228">IF(U848="n/a","n/a",MAX(0,U848-1))</f>
        <v>0</v>
      </c>
      <c r="W848" s="1423">
        <f t="shared" ref="W848:W866" ca="1" si="1229">IF(V848="n/a","n/a",MAX(0,V848-1))</f>
        <v>0</v>
      </c>
      <c r="X848" s="152"/>
      <c r="Y848" s="152"/>
      <c r="Z848" s="152"/>
      <c r="AA848" s="152"/>
      <c r="AB848" s="152"/>
    </row>
    <row r="849" spans="1:28" hidden="1" outlineLevel="1">
      <c r="A849" s="152"/>
      <c r="B849" s="190" t="str">
        <f t="shared" ref="B849:B868" ca="1" si="1230">"RL Capex "&amp;OFFSET($C$6,0,A825)</f>
        <v>RL Capex 2016-17</v>
      </c>
      <c r="C849" s="1424"/>
      <c r="D849" s="1428">
        <f>D820</f>
        <v>0</v>
      </c>
      <c r="E849" s="1423">
        <f t="shared" si="1211"/>
        <v>0</v>
      </c>
      <c r="F849" s="1423">
        <f t="shared" si="1212"/>
        <v>0</v>
      </c>
      <c r="G849" s="1423">
        <f t="shared" si="1213"/>
        <v>0</v>
      </c>
      <c r="H849" s="1423">
        <f t="shared" si="1214"/>
        <v>0</v>
      </c>
      <c r="I849" s="1423">
        <f t="shared" si="1215"/>
        <v>0</v>
      </c>
      <c r="J849" s="1423">
        <f t="shared" si="1216"/>
        <v>0</v>
      </c>
      <c r="K849" s="1423">
        <f t="shared" si="1217"/>
        <v>0</v>
      </c>
      <c r="L849" s="1423">
        <f t="shared" si="1218"/>
        <v>0</v>
      </c>
      <c r="M849" s="1423">
        <f t="shared" si="1219"/>
        <v>0</v>
      </c>
      <c r="N849" s="1423">
        <f t="shared" si="1220"/>
        <v>0</v>
      </c>
      <c r="O849" s="1423">
        <f t="shared" si="1221"/>
        <v>0</v>
      </c>
      <c r="P849" s="1423">
        <f t="shared" si="1222"/>
        <v>0</v>
      </c>
      <c r="Q849" s="1423">
        <f t="shared" si="1223"/>
        <v>0</v>
      </c>
      <c r="R849" s="1423">
        <f t="shared" si="1224"/>
        <v>0</v>
      </c>
      <c r="S849" s="1423">
        <f t="shared" si="1225"/>
        <v>0</v>
      </c>
      <c r="T849" s="1423">
        <f t="shared" si="1226"/>
        <v>0</v>
      </c>
      <c r="U849" s="1423">
        <f t="shared" si="1227"/>
        <v>0</v>
      </c>
      <c r="V849" s="1423">
        <f t="shared" si="1228"/>
        <v>0</v>
      </c>
      <c r="W849" s="1423">
        <f t="shared" si="1229"/>
        <v>0</v>
      </c>
      <c r="X849" s="152"/>
      <c r="Y849" s="152"/>
      <c r="Z849" s="152"/>
      <c r="AA849" s="152"/>
      <c r="AB849" s="152"/>
    </row>
    <row r="850" spans="1:28" hidden="1" outlineLevel="1">
      <c r="A850" s="152"/>
      <c r="B850" s="190" t="str">
        <f t="shared" ca="1" si="1230"/>
        <v>RL Capex 2017-18</v>
      </c>
      <c r="C850" s="1429"/>
      <c r="D850" s="1424"/>
      <c r="E850" s="1428">
        <f>E820</f>
        <v>0</v>
      </c>
      <c r="F850" s="1423">
        <f t="shared" si="1212"/>
        <v>0</v>
      </c>
      <c r="G850" s="1423">
        <f t="shared" si="1213"/>
        <v>0</v>
      </c>
      <c r="H850" s="1423">
        <f t="shared" si="1214"/>
        <v>0</v>
      </c>
      <c r="I850" s="1423">
        <f t="shared" si="1215"/>
        <v>0</v>
      </c>
      <c r="J850" s="1423">
        <f t="shared" si="1216"/>
        <v>0</v>
      </c>
      <c r="K850" s="1423">
        <f t="shared" si="1217"/>
        <v>0</v>
      </c>
      <c r="L850" s="1423">
        <f t="shared" si="1218"/>
        <v>0</v>
      </c>
      <c r="M850" s="1423">
        <f t="shared" si="1219"/>
        <v>0</v>
      </c>
      <c r="N850" s="1423">
        <f t="shared" si="1220"/>
        <v>0</v>
      </c>
      <c r="O850" s="1423">
        <f t="shared" si="1221"/>
        <v>0</v>
      </c>
      <c r="P850" s="1423">
        <f t="shared" si="1222"/>
        <v>0</v>
      </c>
      <c r="Q850" s="1423">
        <f t="shared" si="1223"/>
        <v>0</v>
      </c>
      <c r="R850" s="1423">
        <f t="shared" si="1224"/>
        <v>0</v>
      </c>
      <c r="S850" s="1423">
        <f t="shared" si="1225"/>
        <v>0</v>
      </c>
      <c r="T850" s="1423">
        <f t="shared" si="1226"/>
        <v>0</v>
      </c>
      <c r="U850" s="1423">
        <f t="shared" si="1227"/>
        <v>0</v>
      </c>
      <c r="V850" s="1423">
        <f t="shared" si="1228"/>
        <v>0</v>
      </c>
      <c r="W850" s="1423">
        <f t="shared" si="1229"/>
        <v>0</v>
      </c>
      <c r="X850" s="152"/>
      <c r="Y850" s="152"/>
      <c r="Z850" s="152"/>
      <c r="AA850" s="152"/>
      <c r="AB850" s="152"/>
    </row>
    <row r="851" spans="1:28" hidden="1" outlineLevel="1">
      <c r="A851" s="152"/>
      <c r="B851" s="190" t="str">
        <f t="shared" ca="1" si="1230"/>
        <v>RL Capex 2018-19</v>
      </c>
      <c r="C851" s="1429"/>
      <c r="D851" s="1429"/>
      <c r="E851" s="1424"/>
      <c r="F851" s="1428">
        <f>F820</f>
        <v>0</v>
      </c>
      <c r="G851" s="1423">
        <f t="shared" si="1213"/>
        <v>0</v>
      </c>
      <c r="H851" s="1423">
        <f t="shared" si="1214"/>
        <v>0</v>
      </c>
      <c r="I851" s="1423">
        <f t="shared" si="1215"/>
        <v>0</v>
      </c>
      <c r="J851" s="1423">
        <f t="shared" si="1216"/>
        <v>0</v>
      </c>
      <c r="K851" s="1423">
        <f t="shared" si="1217"/>
        <v>0</v>
      </c>
      <c r="L851" s="1423">
        <f t="shared" si="1218"/>
        <v>0</v>
      </c>
      <c r="M851" s="1423">
        <f t="shared" si="1219"/>
        <v>0</v>
      </c>
      <c r="N851" s="1423">
        <f t="shared" si="1220"/>
        <v>0</v>
      </c>
      <c r="O851" s="1423">
        <f t="shared" si="1221"/>
        <v>0</v>
      </c>
      <c r="P851" s="1423">
        <f t="shared" si="1222"/>
        <v>0</v>
      </c>
      <c r="Q851" s="1423">
        <f t="shared" si="1223"/>
        <v>0</v>
      </c>
      <c r="R851" s="1423">
        <f t="shared" si="1224"/>
        <v>0</v>
      </c>
      <c r="S851" s="1423">
        <f t="shared" si="1225"/>
        <v>0</v>
      </c>
      <c r="T851" s="1423">
        <f t="shared" si="1226"/>
        <v>0</v>
      </c>
      <c r="U851" s="1423">
        <f t="shared" si="1227"/>
        <v>0</v>
      </c>
      <c r="V851" s="1423">
        <f t="shared" si="1228"/>
        <v>0</v>
      </c>
      <c r="W851" s="1423">
        <f t="shared" si="1229"/>
        <v>0</v>
      </c>
      <c r="X851" s="152"/>
      <c r="Y851" s="152"/>
      <c r="Z851" s="152"/>
      <c r="AA851" s="152"/>
      <c r="AB851" s="152"/>
    </row>
    <row r="852" spans="1:28" hidden="1" outlineLevel="1">
      <c r="A852" s="152"/>
      <c r="B852" s="190" t="str">
        <f t="shared" ca="1" si="1230"/>
        <v>RL Capex 2019-20</v>
      </c>
      <c r="C852" s="1429"/>
      <c r="D852" s="1429"/>
      <c r="E852" s="1429"/>
      <c r="F852" s="1424"/>
      <c r="G852" s="1428">
        <f>G820</f>
        <v>0</v>
      </c>
      <c r="H852" s="1423">
        <f t="shared" si="1214"/>
        <v>0</v>
      </c>
      <c r="I852" s="1423">
        <f t="shared" si="1215"/>
        <v>0</v>
      </c>
      <c r="J852" s="1423">
        <f t="shared" si="1216"/>
        <v>0</v>
      </c>
      <c r="K852" s="1423">
        <f t="shared" si="1217"/>
        <v>0</v>
      </c>
      <c r="L852" s="1423">
        <f t="shared" si="1218"/>
        <v>0</v>
      </c>
      <c r="M852" s="1423">
        <f t="shared" si="1219"/>
        <v>0</v>
      </c>
      <c r="N852" s="1423">
        <f t="shared" si="1220"/>
        <v>0</v>
      </c>
      <c r="O852" s="1423">
        <f t="shared" si="1221"/>
        <v>0</v>
      </c>
      <c r="P852" s="1423">
        <f t="shared" si="1222"/>
        <v>0</v>
      </c>
      <c r="Q852" s="1423">
        <f t="shared" si="1223"/>
        <v>0</v>
      </c>
      <c r="R852" s="1423">
        <f t="shared" si="1224"/>
        <v>0</v>
      </c>
      <c r="S852" s="1423">
        <f t="shared" si="1225"/>
        <v>0</v>
      </c>
      <c r="T852" s="1423">
        <f t="shared" si="1226"/>
        <v>0</v>
      </c>
      <c r="U852" s="1423">
        <f t="shared" si="1227"/>
        <v>0</v>
      </c>
      <c r="V852" s="1423">
        <f t="shared" si="1228"/>
        <v>0</v>
      </c>
      <c r="W852" s="1423">
        <f t="shared" si="1229"/>
        <v>0</v>
      </c>
      <c r="X852" s="152"/>
      <c r="Y852" s="152"/>
      <c r="Z852" s="152"/>
      <c r="AA852" s="152"/>
      <c r="AB852" s="152"/>
    </row>
    <row r="853" spans="1:28" hidden="1" outlineLevel="1">
      <c r="A853" s="152"/>
      <c r="B853" s="190" t="str">
        <f t="shared" ca="1" si="1230"/>
        <v>RL Capex 2020-21</v>
      </c>
      <c r="C853" s="1429"/>
      <c r="D853" s="1429"/>
      <c r="E853" s="1429"/>
      <c r="F853" s="1429"/>
      <c r="G853" s="1424"/>
      <c r="H853" s="1428">
        <f>H820</f>
        <v>0</v>
      </c>
      <c r="I853" s="1423">
        <f t="shared" si="1215"/>
        <v>0</v>
      </c>
      <c r="J853" s="1423">
        <f t="shared" si="1216"/>
        <v>0</v>
      </c>
      <c r="K853" s="1423">
        <f t="shared" si="1217"/>
        <v>0</v>
      </c>
      <c r="L853" s="1423">
        <f t="shared" si="1218"/>
        <v>0</v>
      </c>
      <c r="M853" s="1423">
        <f t="shared" si="1219"/>
        <v>0</v>
      </c>
      <c r="N853" s="1423">
        <f t="shared" si="1220"/>
        <v>0</v>
      </c>
      <c r="O853" s="1423">
        <f t="shared" si="1221"/>
        <v>0</v>
      </c>
      <c r="P853" s="1423">
        <f t="shared" si="1222"/>
        <v>0</v>
      </c>
      <c r="Q853" s="1423">
        <f t="shared" si="1223"/>
        <v>0</v>
      </c>
      <c r="R853" s="1423">
        <f t="shared" si="1224"/>
        <v>0</v>
      </c>
      <c r="S853" s="1423">
        <f t="shared" si="1225"/>
        <v>0</v>
      </c>
      <c r="T853" s="1423">
        <f t="shared" si="1226"/>
        <v>0</v>
      </c>
      <c r="U853" s="1423">
        <f t="shared" si="1227"/>
        <v>0</v>
      </c>
      <c r="V853" s="1423">
        <f t="shared" si="1228"/>
        <v>0</v>
      </c>
      <c r="W853" s="1423">
        <f t="shared" si="1229"/>
        <v>0</v>
      </c>
      <c r="X853" s="152"/>
      <c r="Y853" s="152"/>
      <c r="Z853" s="152"/>
      <c r="AA853" s="152"/>
      <c r="AB853" s="152"/>
    </row>
    <row r="854" spans="1:28" hidden="1" outlineLevel="1">
      <c r="A854" s="152"/>
      <c r="B854" s="190" t="str">
        <f t="shared" ca="1" si="1230"/>
        <v>RL Capex 2021-22</v>
      </c>
      <c r="C854" s="1429"/>
      <c r="D854" s="1429"/>
      <c r="E854" s="1429"/>
      <c r="F854" s="1429"/>
      <c r="G854" s="1429"/>
      <c r="H854" s="1424"/>
      <c r="I854" s="1428">
        <f>I820</f>
        <v>0</v>
      </c>
      <c r="J854" s="1423">
        <f t="shared" si="1216"/>
        <v>0</v>
      </c>
      <c r="K854" s="1423">
        <f t="shared" si="1217"/>
        <v>0</v>
      </c>
      <c r="L854" s="1423">
        <f t="shared" si="1218"/>
        <v>0</v>
      </c>
      <c r="M854" s="1423">
        <f t="shared" si="1219"/>
        <v>0</v>
      </c>
      <c r="N854" s="1423">
        <f t="shared" si="1220"/>
        <v>0</v>
      </c>
      <c r="O854" s="1423">
        <f t="shared" si="1221"/>
        <v>0</v>
      </c>
      <c r="P854" s="1423">
        <f t="shared" si="1222"/>
        <v>0</v>
      </c>
      <c r="Q854" s="1423">
        <f t="shared" si="1223"/>
        <v>0</v>
      </c>
      <c r="R854" s="1423">
        <f t="shared" si="1224"/>
        <v>0</v>
      </c>
      <c r="S854" s="1423">
        <f t="shared" si="1225"/>
        <v>0</v>
      </c>
      <c r="T854" s="1423">
        <f t="shared" si="1226"/>
        <v>0</v>
      </c>
      <c r="U854" s="1423">
        <f t="shared" si="1227"/>
        <v>0</v>
      </c>
      <c r="V854" s="1423">
        <f t="shared" si="1228"/>
        <v>0</v>
      </c>
      <c r="W854" s="1423">
        <f t="shared" si="1229"/>
        <v>0</v>
      </c>
      <c r="X854" s="152"/>
      <c r="Y854" s="152"/>
      <c r="Z854" s="152"/>
      <c r="AA854" s="152"/>
      <c r="AB854" s="152"/>
    </row>
    <row r="855" spans="1:28" hidden="1" outlineLevel="1">
      <c r="A855" s="152"/>
      <c r="B855" s="190" t="str">
        <f t="shared" ca="1" si="1230"/>
        <v>RL Capex 2022-23</v>
      </c>
      <c r="C855" s="1429"/>
      <c r="D855" s="1429"/>
      <c r="E855" s="1429"/>
      <c r="F855" s="1429"/>
      <c r="G855" s="1429"/>
      <c r="H855" s="1429"/>
      <c r="I855" s="1424"/>
      <c r="J855" s="1428">
        <f>J820</f>
        <v>0</v>
      </c>
      <c r="K855" s="1423">
        <f t="shared" si="1217"/>
        <v>0</v>
      </c>
      <c r="L855" s="1423">
        <f t="shared" si="1218"/>
        <v>0</v>
      </c>
      <c r="M855" s="1423">
        <f t="shared" si="1219"/>
        <v>0</v>
      </c>
      <c r="N855" s="1423">
        <f t="shared" si="1220"/>
        <v>0</v>
      </c>
      <c r="O855" s="1423">
        <f t="shared" si="1221"/>
        <v>0</v>
      </c>
      <c r="P855" s="1423">
        <f t="shared" si="1222"/>
        <v>0</v>
      </c>
      <c r="Q855" s="1423">
        <f t="shared" si="1223"/>
        <v>0</v>
      </c>
      <c r="R855" s="1423">
        <f t="shared" si="1224"/>
        <v>0</v>
      </c>
      <c r="S855" s="1423">
        <f t="shared" si="1225"/>
        <v>0</v>
      </c>
      <c r="T855" s="1423">
        <f t="shared" si="1226"/>
        <v>0</v>
      </c>
      <c r="U855" s="1423">
        <f t="shared" si="1227"/>
        <v>0</v>
      </c>
      <c r="V855" s="1423">
        <f t="shared" si="1228"/>
        <v>0</v>
      </c>
      <c r="W855" s="1423">
        <f t="shared" si="1229"/>
        <v>0</v>
      </c>
      <c r="X855" s="152"/>
      <c r="Y855" s="152"/>
      <c r="Z855" s="152"/>
      <c r="AA855" s="152"/>
      <c r="AB855" s="152"/>
    </row>
    <row r="856" spans="1:28" hidden="1" outlineLevel="1">
      <c r="A856" s="152"/>
      <c r="B856" s="190" t="str">
        <f t="shared" ca="1" si="1230"/>
        <v>RL Capex 2023-24</v>
      </c>
      <c r="C856" s="1429"/>
      <c r="D856" s="1429"/>
      <c r="E856" s="1429"/>
      <c r="F856" s="1429"/>
      <c r="G856" s="1429"/>
      <c r="H856" s="1429"/>
      <c r="I856" s="1429"/>
      <c r="J856" s="1424"/>
      <c r="K856" s="1428">
        <f>K820</f>
        <v>0</v>
      </c>
      <c r="L856" s="1423">
        <f t="shared" si="1218"/>
        <v>0</v>
      </c>
      <c r="M856" s="1423">
        <f t="shared" si="1219"/>
        <v>0</v>
      </c>
      <c r="N856" s="1423">
        <f t="shared" si="1220"/>
        <v>0</v>
      </c>
      <c r="O856" s="1423">
        <f t="shared" si="1221"/>
        <v>0</v>
      </c>
      <c r="P856" s="1423">
        <f t="shared" si="1222"/>
        <v>0</v>
      </c>
      <c r="Q856" s="1423">
        <f t="shared" si="1223"/>
        <v>0</v>
      </c>
      <c r="R856" s="1423">
        <f t="shared" si="1224"/>
        <v>0</v>
      </c>
      <c r="S856" s="1423">
        <f t="shared" si="1225"/>
        <v>0</v>
      </c>
      <c r="T856" s="1423">
        <f t="shared" si="1226"/>
        <v>0</v>
      </c>
      <c r="U856" s="1423">
        <f t="shared" si="1227"/>
        <v>0</v>
      </c>
      <c r="V856" s="1423">
        <f t="shared" si="1228"/>
        <v>0</v>
      </c>
      <c r="W856" s="1423">
        <f t="shared" si="1229"/>
        <v>0</v>
      </c>
      <c r="X856" s="152"/>
      <c r="Y856" s="152"/>
      <c r="Z856" s="152"/>
      <c r="AA856" s="152"/>
      <c r="AB856" s="152"/>
    </row>
    <row r="857" spans="1:28" hidden="1" outlineLevel="1">
      <c r="A857" s="152"/>
      <c r="B857" s="190" t="str">
        <f t="shared" ca="1" si="1230"/>
        <v>RL Capex 2024-25</v>
      </c>
      <c r="C857" s="1429"/>
      <c r="D857" s="1429"/>
      <c r="E857" s="1429"/>
      <c r="F857" s="1429"/>
      <c r="G857" s="1429"/>
      <c r="H857" s="1429"/>
      <c r="I857" s="1429"/>
      <c r="J857" s="1429"/>
      <c r="K857" s="1424"/>
      <c r="L857" s="1428">
        <f>L820</f>
        <v>0</v>
      </c>
      <c r="M857" s="1423">
        <f t="shared" si="1219"/>
        <v>0</v>
      </c>
      <c r="N857" s="1423">
        <f t="shared" si="1220"/>
        <v>0</v>
      </c>
      <c r="O857" s="1423">
        <f t="shared" si="1221"/>
        <v>0</v>
      </c>
      <c r="P857" s="1423">
        <f t="shared" si="1222"/>
        <v>0</v>
      </c>
      <c r="Q857" s="1423">
        <f t="shared" si="1223"/>
        <v>0</v>
      </c>
      <c r="R857" s="1423">
        <f t="shared" si="1224"/>
        <v>0</v>
      </c>
      <c r="S857" s="1423">
        <f t="shared" si="1225"/>
        <v>0</v>
      </c>
      <c r="T857" s="1423">
        <f t="shared" si="1226"/>
        <v>0</v>
      </c>
      <c r="U857" s="1423">
        <f t="shared" si="1227"/>
        <v>0</v>
      </c>
      <c r="V857" s="1423">
        <f t="shared" si="1228"/>
        <v>0</v>
      </c>
      <c r="W857" s="1423">
        <f t="shared" si="1229"/>
        <v>0</v>
      </c>
      <c r="X857" s="152"/>
      <c r="Y857" s="152"/>
      <c r="Z857" s="152"/>
      <c r="AA857" s="152"/>
      <c r="AB857" s="152"/>
    </row>
    <row r="858" spans="1:28" hidden="1" outlineLevel="1">
      <c r="A858" s="152"/>
      <c r="B858" s="190" t="str">
        <f t="shared" ca="1" si="1230"/>
        <v>RL Capex 2025-26</v>
      </c>
      <c r="C858" s="1429"/>
      <c r="D858" s="1429"/>
      <c r="E858" s="1429"/>
      <c r="F858" s="1429"/>
      <c r="G858" s="1429"/>
      <c r="H858" s="1429"/>
      <c r="I858" s="1429"/>
      <c r="J858" s="1429"/>
      <c r="K858" s="1429"/>
      <c r="L858" s="1424"/>
      <c r="M858" s="1428">
        <f>M820</f>
        <v>0</v>
      </c>
      <c r="N858" s="1423">
        <f t="shared" si="1220"/>
        <v>0</v>
      </c>
      <c r="O858" s="1423">
        <f t="shared" si="1221"/>
        <v>0</v>
      </c>
      <c r="P858" s="1423">
        <f t="shared" si="1222"/>
        <v>0</v>
      </c>
      <c r="Q858" s="1423">
        <f t="shared" si="1223"/>
        <v>0</v>
      </c>
      <c r="R858" s="1423">
        <f t="shared" si="1224"/>
        <v>0</v>
      </c>
      <c r="S858" s="1423">
        <f t="shared" si="1225"/>
        <v>0</v>
      </c>
      <c r="T858" s="1423">
        <f t="shared" si="1226"/>
        <v>0</v>
      </c>
      <c r="U858" s="1423">
        <f t="shared" si="1227"/>
        <v>0</v>
      </c>
      <c r="V858" s="1423">
        <f t="shared" si="1228"/>
        <v>0</v>
      </c>
      <c r="W858" s="1423">
        <f t="shared" si="1229"/>
        <v>0</v>
      </c>
      <c r="X858" s="152"/>
      <c r="Y858" s="152"/>
      <c r="Z858" s="152"/>
      <c r="AA858" s="152"/>
      <c r="AB858" s="152"/>
    </row>
    <row r="859" spans="1:28" hidden="1" outlineLevel="1">
      <c r="A859" s="152"/>
      <c r="B859" s="190" t="str">
        <f t="shared" ca="1" si="1230"/>
        <v>RL Capex 2026-27</v>
      </c>
      <c r="C859" s="1429"/>
      <c r="D859" s="1429"/>
      <c r="E859" s="1429"/>
      <c r="F859" s="1429"/>
      <c r="G859" s="1429"/>
      <c r="H859" s="1429"/>
      <c r="I859" s="1429"/>
      <c r="J859" s="1429"/>
      <c r="K859" s="1429"/>
      <c r="L859" s="1429"/>
      <c r="M859" s="1424"/>
      <c r="N859" s="1428">
        <f>N820</f>
        <v>0</v>
      </c>
      <c r="O859" s="1423">
        <f t="shared" si="1221"/>
        <v>0</v>
      </c>
      <c r="P859" s="1423">
        <f t="shared" si="1222"/>
        <v>0</v>
      </c>
      <c r="Q859" s="1423">
        <f t="shared" si="1223"/>
        <v>0</v>
      </c>
      <c r="R859" s="1423">
        <f t="shared" si="1224"/>
        <v>0</v>
      </c>
      <c r="S859" s="1423">
        <f t="shared" si="1225"/>
        <v>0</v>
      </c>
      <c r="T859" s="1423">
        <f t="shared" si="1226"/>
        <v>0</v>
      </c>
      <c r="U859" s="1423">
        <f t="shared" si="1227"/>
        <v>0</v>
      </c>
      <c r="V859" s="1423">
        <f t="shared" si="1228"/>
        <v>0</v>
      </c>
      <c r="W859" s="1423">
        <f t="shared" si="1229"/>
        <v>0</v>
      </c>
      <c r="X859" s="152"/>
      <c r="Y859" s="152"/>
      <c r="Z859" s="152"/>
      <c r="AA859" s="152"/>
      <c r="AB859" s="152"/>
    </row>
    <row r="860" spans="1:28" hidden="1" outlineLevel="1">
      <c r="A860" s="152"/>
      <c r="B860" s="190" t="str">
        <f t="shared" ca="1" si="1230"/>
        <v>RL Capex 2027-28</v>
      </c>
      <c r="C860" s="1429"/>
      <c r="D860" s="1429"/>
      <c r="E860" s="1429"/>
      <c r="F860" s="1429"/>
      <c r="G860" s="1429"/>
      <c r="H860" s="1429"/>
      <c r="I860" s="1429"/>
      <c r="J860" s="1429"/>
      <c r="K860" s="1429"/>
      <c r="L860" s="1429"/>
      <c r="M860" s="1429"/>
      <c r="N860" s="1424"/>
      <c r="O860" s="1428">
        <f>O820</f>
        <v>0</v>
      </c>
      <c r="P860" s="1423">
        <f t="shared" si="1222"/>
        <v>0</v>
      </c>
      <c r="Q860" s="1423">
        <f t="shared" si="1223"/>
        <v>0</v>
      </c>
      <c r="R860" s="1423">
        <f t="shared" si="1224"/>
        <v>0</v>
      </c>
      <c r="S860" s="1423">
        <f t="shared" si="1225"/>
        <v>0</v>
      </c>
      <c r="T860" s="1423">
        <f t="shared" si="1226"/>
        <v>0</v>
      </c>
      <c r="U860" s="1423">
        <f t="shared" si="1227"/>
        <v>0</v>
      </c>
      <c r="V860" s="1423">
        <f t="shared" si="1228"/>
        <v>0</v>
      </c>
      <c r="W860" s="1423">
        <f t="shared" si="1229"/>
        <v>0</v>
      </c>
      <c r="X860" s="152"/>
      <c r="Y860" s="152"/>
      <c r="Z860" s="152"/>
      <c r="AA860" s="152"/>
      <c r="AB860" s="152"/>
    </row>
    <row r="861" spans="1:28" hidden="1" outlineLevel="1">
      <c r="A861" s="152"/>
      <c r="B861" s="190" t="str">
        <f t="shared" ca="1" si="1230"/>
        <v>RL Capex 2028-29</v>
      </c>
      <c r="C861" s="1429"/>
      <c r="D861" s="1429"/>
      <c r="E861" s="1429"/>
      <c r="F861" s="1429"/>
      <c r="G861" s="1429"/>
      <c r="H861" s="1429"/>
      <c r="I861" s="1429"/>
      <c r="J861" s="1429"/>
      <c r="K861" s="1429"/>
      <c r="L861" s="1429"/>
      <c r="M861" s="1429"/>
      <c r="N861" s="1429"/>
      <c r="O861" s="1424"/>
      <c r="P861" s="1428">
        <f>P820</f>
        <v>0</v>
      </c>
      <c r="Q861" s="1423">
        <f t="shared" si="1223"/>
        <v>0</v>
      </c>
      <c r="R861" s="1423">
        <f t="shared" si="1224"/>
        <v>0</v>
      </c>
      <c r="S861" s="1423">
        <f t="shared" si="1225"/>
        <v>0</v>
      </c>
      <c r="T861" s="1423">
        <f t="shared" si="1226"/>
        <v>0</v>
      </c>
      <c r="U861" s="1423">
        <f t="shared" si="1227"/>
        <v>0</v>
      </c>
      <c r="V861" s="1423">
        <f t="shared" si="1228"/>
        <v>0</v>
      </c>
      <c r="W861" s="1423">
        <f t="shared" si="1229"/>
        <v>0</v>
      </c>
      <c r="X861" s="152"/>
      <c r="Y861" s="152"/>
      <c r="Z861" s="152"/>
      <c r="AA861" s="152"/>
      <c r="AB861" s="152"/>
    </row>
    <row r="862" spans="1:28" hidden="1" outlineLevel="1">
      <c r="A862" s="152"/>
      <c r="B862" s="190" t="str">
        <f t="shared" ca="1" si="1230"/>
        <v>RL Capex 2029-30</v>
      </c>
      <c r="C862" s="1429"/>
      <c r="D862" s="1429"/>
      <c r="E862" s="1429"/>
      <c r="F862" s="1429"/>
      <c r="G862" s="1429"/>
      <c r="H862" s="1429"/>
      <c r="I862" s="1429"/>
      <c r="J862" s="1429"/>
      <c r="K862" s="1429"/>
      <c r="L862" s="1429"/>
      <c r="M862" s="1429"/>
      <c r="N862" s="1429"/>
      <c r="O862" s="1429"/>
      <c r="P862" s="1424"/>
      <c r="Q862" s="1428">
        <f>Q820</f>
        <v>0</v>
      </c>
      <c r="R862" s="1423">
        <f t="shared" si="1224"/>
        <v>0</v>
      </c>
      <c r="S862" s="1423">
        <f t="shared" si="1225"/>
        <v>0</v>
      </c>
      <c r="T862" s="1423">
        <f t="shared" si="1226"/>
        <v>0</v>
      </c>
      <c r="U862" s="1423">
        <f t="shared" si="1227"/>
        <v>0</v>
      </c>
      <c r="V862" s="1423">
        <f t="shared" si="1228"/>
        <v>0</v>
      </c>
      <c r="W862" s="1423">
        <f t="shared" si="1229"/>
        <v>0</v>
      </c>
      <c r="X862" s="152"/>
      <c r="Y862" s="152"/>
      <c r="Z862" s="152"/>
      <c r="AA862" s="152"/>
      <c r="AB862" s="152"/>
    </row>
    <row r="863" spans="1:28" hidden="1" outlineLevel="1">
      <c r="A863" s="152"/>
      <c r="B863" s="190" t="str">
        <f t="shared" ca="1" si="1230"/>
        <v>RL Capex 2030-31</v>
      </c>
      <c r="C863" s="1429"/>
      <c r="D863" s="1429"/>
      <c r="E863" s="1429"/>
      <c r="F863" s="1429"/>
      <c r="G863" s="1429"/>
      <c r="H863" s="1429"/>
      <c r="I863" s="1429"/>
      <c r="J863" s="1429"/>
      <c r="K863" s="1429"/>
      <c r="L863" s="1429"/>
      <c r="M863" s="1429"/>
      <c r="N863" s="1429"/>
      <c r="O863" s="1429"/>
      <c r="P863" s="1429"/>
      <c r="Q863" s="1424"/>
      <c r="R863" s="1428">
        <f>R820</f>
        <v>0</v>
      </c>
      <c r="S863" s="1423">
        <f t="shared" si="1225"/>
        <v>0</v>
      </c>
      <c r="T863" s="1423">
        <f t="shared" si="1226"/>
        <v>0</v>
      </c>
      <c r="U863" s="1423">
        <f t="shared" si="1227"/>
        <v>0</v>
      </c>
      <c r="V863" s="1423">
        <f t="shared" si="1228"/>
        <v>0</v>
      </c>
      <c r="W863" s="1423">
        <f t="shared" si="1229"/>
        <v>0</v>
      </c>
      <c r="X863" s="152"/>
      <c r="Y863" s="152"/>
      <c r="Z863" s="152"/>
      <c r="AA863" s="152"/>
      <c r="AB863" s="152"/>
    </row>
    <row r="864" spans="1:28" hidden="1" outlineLevel="1">
      <c r="A864" s="152"/>
      <c r="B864" s="190" t="str">
        <f t="shared" ca="1" si="1230"/>
        <v>RL Capex 2031-32</v>
      </c>
      <c r="C864" s="1429"/>
      <c r="D864" s="1429"/>
      <c r="E864" s="1429"/>
      <c r="F864" s="1429"/>
      <c r="G864" s="1429"/>
      <c r="H864" s="1429"/>
      <c r="I864" s="1429"/>
      <c r="J864" s="1429"/>
      <c r="K864" s="1429"/>
      <c r="L864" s="1429"/>
      <c r="M864" s="1429"/>
      <c r="N864" s="1429"/>
      <c r="O864" s="1429"/>
      <c r="P864" s="1429"/>
      <c r="Q864" s="1429"/>
      <c r="R864" s="1424"/>
      <c r="S864" s="1428">
        <f>S820</f>
        <v>0</v>
      </c>
      <c r="T864" s="1423">
        <f t="shared" si="1226"/>
        <v>0</v>
      </c>
      <c r="U864" s="1423">
        <f t="shared" si="1227"/>
        <v>0</v>
      </c>
      <c r="V864" s="1423">
        <f t="shared" si="1228"/>
        <v>0</v>
      </c>
      <c r="W864" s="1423">
        <f t="shared" si="1229"/>
        <v>0</v>
      </c>
      <c r="X864" s="152"/>
      <c r="Y864" s="152"/>
      <c r="Z864" s="152"/>
      <c r="AA864" s="152"/>
      <c r="AB864" s="152"/>
    </row>
    <row r="865" spans="1:28" hidden="1" outlineLevel="1">
      <c r="A865" s="152"/>
      <c r="B865" s="190" t="str">
        <f t="shared" ca="1" si="1230"/>
        <v>RL Capex 2032-33</v>
      </c>
      <c r="C865" s="1429"/>
      <c r="D865" s="1429"/>
      <c r="E865" s="1429"/>
      <c r="F865" s="1429"/>
      <c r="G865" s="1429"/>
      <c r="H865" s="1429"/>
      <c r="I865" s="1429"/>
      <c r="J865" s="1429"/>
      <c r="K865" s="1429"/>
      <c r="L865" s="1429"/>
      <c r="M865" s="1429"/>
      <c r="N865" s="1429"/>
      <c r="O865" s="1429"/>
      <c r="P865" s="1429"/>
      <c r="Q865" s="1429"/>
      <c r="R865" s="1429"/>
      <c r="S865" s="1424"/>
      <c r="T865" s="1428">
        <f>T820</f>
        <v>0</v>
      </c>
      <c r="U865" s="1423">
        <f t="shared" si="1227"/>
        <v>0</v>
      </c>
      <c r="V865" s="1423">
        <f t="shared" si="1228"/>
        <v>0</v>
      </c>
      <c r="W865" s="1423">
        <f t="shared" si="1229"/>
        <v>0</v>
      </c>
      <c r="X865" s="152"/>
      <c r="Y865" s="152"/>
      <c r="Z865" s="152"/>
      <c r="AA865" s="152"/>
      <c r="AB865" s="152"/>
    </row>
    <row r="866" spans="1:28" hidden="1" outlineLevel="1">
      <c r="A866" s="152"/>
      <c r="B866" s="190" t="str">
        <f t="shared" ca="1" si="1230"/>
        <v>RL Capex 2033-34</v>
      </c>
      <c r="C866" s="1429"/>
      <c r="D866" s="1429"/>
      <c r="E866" s="1429"/>
      <c r="F866" s="1429"/>
      <c r="G866" s="1429"/>
      <c r="H866" s="1429"/>
      <c r="I866" s="1429"/>
      <c r="J866" s="1429"/>
      <c r="K866" s="1429"/>
      <c r="L866" s="1429"/>
      <c r="M866" s="1429"/>
      <c r="N866" s="1429"/>
      <c r="O866" s="1429"/>
      <c r="P866" s="1429"/>
      <c r="Q866" s="1429"/>
      <c r="R866" s="1429"/>
      <c r="S866" s="1429"/>
      <c r="T866" s="1424"/>
      <c r="U866" s="1428">
        <f>U820</f>
        <v>0</v>
      </c>
      <c r="V866" s="1423">
        <f t="shared" si="1228"/>
        <v>0</v>
      </c>
      <c r="W866" s="1423">
        <f t="shared" si="1229"/>
        <v>0</v>
      </c>
      <c r="X866" s="152"/>
      <c r="Y866" s="152"/>
      <c r="Z866" s="152"/>
      <c r="AA866" s="152"/>
      <c r="AB866" s="152"/>
    </row>
    <row r="867" spans="1:28" hidden="1" outlineLevel="1">
      <c r="A867" s="152"/>
      <c r="B867" s="190" t="str">
        <f t="shared" ca="1" si="1230"/>
        <v>RL Capex 2034-35</v>
      </c>
      <c r="C867" s="1429"/>
      <c r="D867" s="1429"/>
      <c r="E867" s="1429"/>
      <c r="F867" s="1429"/>
      <c r="G867" s="1429"/>
      <c r="H867" s="1429"/>
      <c r="I867" s="1429"/>
      <c r="J867" s="1429"/>
      <c r="K867" s="1429"/>
      <c r="L867" s="1429"/>
      <c r="M867" s="1429"/>
      <c r="N867" s="1429"/>
      <c r="O867" s="1429"/>
      <c r="P867" s="1429"/>
      <c r="Q867" s="1429"/>
      <c r="R867" s="1429"/>
      <c r="S867" s="1429"/>
      <c r="T867" s="1429"/>
      <c r="U867" s="1424"/>
      <c r="V867" s="1428">
        <f>V820</f>
        <v>0</v>
      </c>
      <c r="W867" s="1423">
        <f>IF(V867="n/a","n/a",MAX(0,V867-1))</f>
        <v>0</v>
      </c>
      <c r="X867" s="152"/>
      <c r="Y867" s="152"/>
      <c r="Z867" s="152"/>
      <c r="AA867" s="152"/>
      <c r="AB867" s="152"/>
    </row>
    <row r="868" spans="1:28" hidden="1" outlineLevel="1">
      <c r="A868" s="152"/>
      <c r="B868" s="190" t="str">
        <f t="shared" ca="1" si="1230"/>
        <v>RL Capex 2035-36</v>
      </c>
      <c r="C868" s="1429"/>
      <c r="D868" s="1429"/>
      <c r="E868" s="1429"/>
      <c r="F868" s="1429"/>
      <c r="G868" s="1429"/>
      <c r="H868" s="1429"/>
      <c r="I868" s="1429"/>
      <c r="J868" s="1429"/>
      <c r="K868" s="1429"/>
      <c r="L868" s="1429"/>
      <c r="M868" s="1429"/>
      <c r="N868" s="1429"/>
      <c r="O868" s="1429"/>
      <c r="P868" s="1429"/>
      <c r="Q868" s="1429"/>
      <c r="R868" s="1429"/>
      <c r="S868" s="1429"/>
      <c r="T868" s="1429"/>
      <c r="U868" s="1429"/>
      <c r="V868" s="1424"/>
      <c r="W868" s="1423">
        <f>W820</f>
        <v>0</v>
      </c>
      <c r="X868" s="152"/>
      <c r="Y868" s="152"/>
      <c r="Z868" s="152"/>
      <c r="AA868" s="152"/>
      <c r="AB868" s="152"/>
    </row>
    <row r="869" spans="1:28" hidden="1" outlineLevel="1">
      <c r="A869" s="152"/>
      <c r="B869" s="200"/>
      <c r="C869" s="1423"/>
      <c r="D869" s="1423"/>
      <c r="E869" s="1423"/>
      <c r="F869" s="1423"/>
      <c r="G869" s="1423"/>
      <c r="H869" s="1423"/>
      <c r="I869" s="1423"/>
      <c r="J869" s="1423"/>
      <c r="K869" s="1423"/>
      <c r="L869" s="1423"/>
      <c r="M869" s="1423"/>
      <c r="N869" s="1423"/>
      <c r="O869" s="1423"/>
      <c r="P869" s="1423"/>
      <c r="Q869" s="1423"/>
      <c r="R869" s="1423"/>
      <c r="S869" s="1423"/>
      <c r="T869" s="1423"/>
      <c r="U869" s="1423"/>
      <c r="V869" s="1423"/>
      <c r="W869" s="1423"/>
      <c r="X869" s="152"/>
      <c r="Y869" s="152"/>
      <c r="Z869" s="152"/>
      <c r="AA869" s="152"/>
      <c r="AB869" s="152"/>
    </row>
    <row r="870" spans="1:28" collapsed="1">
      <c r="A870" s="194"/>
      <c r="B870" s="204" t="s">
        <v>123</v>
      </c>
      <c r="C870" s="1430">
        <f ca="1">(IF(OR($C820&lt;&gt;"n/a",C820&lt;&gt;"n/a"),IF(SUM(C823:C845)=0,0,IF((SUMPRODUCT(C823:C845,C847:C869)/SUM(C823:C845))&lt;0,1,(SUMPRODUCT(C823:C845,C847:C869)/SUM(C823:C845)))),"n/a"))</f>
        <v>0</v>
      </c>
      <c r="D870" s="1430">
        <f ca="1">(IF(OR($C820&lt;&gt;"n/a",D820&lt;&gt;"n/a"),IF(SUM(D823:D845)=0,0,IF((SUMPRODUCT(D823:D845,D847:D869)/SUM(D823:D845))&lt;0,1,(SUMPRODUCT(D823:D845,D847:D869)/SUM(D823:D845)))),"n/a"))</f>
        <v>0</v>
      </c>
      <c r="E870" s="1430">
        <f t="shared" ref="E870:W870" ca="1" si="1231">(IF(OR($C820&lt;&gt;"n/a",E820&lt;&gt;"n/a"),IF(SUM(E823:E845)=0,0,IF((SUMPRODUCT(E823:E845,E847:E869)/SUM(E823:E845))&lt;0,1,(SUMPRODUCT(E823:E845,E847:E869)/SUM(E823:E845)))),"n/a"))</f>
        <v>0</v>
      </c>
      <c r="F870" s="1430">
        <f t="shared" ca="1" si="1231"/>
        <v>0</v>
      </c>
      <c r="G870" s="1430">
        <f t="shared" ca="1" si="1231"/>
        <v>0</v>
      </c>
      <c r="H870" s="1430">
        <f t="shared" ca="1" si="1231"/>
        <v>0</v>
      </c>
      <c r="I870" s="1430">
        <f t="shared" ca="1" si="1231"/>
        <v>0</v>
      </c>
      <c r="J870" s="1430">
        <f t="shared" ca="1" si="1231"/>
        <v>0</v>
      </c>
      <c r="K870" s="1430">
        <f t="shared" ca="1" si="1231"/>
        <v>0</v>
      </c>
      <c r="L870" s="1430">
        <f t="shared" ca="1" si="1231"/>
        <v>0</v>
      </c>
      <c r="M870" s="1430">
        <f t="shared" ca="1" si="1231"/>
        <v>0</v>
      </c>
      <c r="N870" s="1430">
        <f t="shared" ca="1" si="1231"/>
        <v>0</v>
      </c>
      <c r="O870" s="1430">
        <f t="shared" ca="1" si="1231"/>
        <v>0</v>
      </c>
      <c r="P870" s="1430">
        <f t="shared" ca="1" si="1231"/>
        <v>0</v>
      </c>
      <c r="Q870" s="1430">
        <f t="shared" ca="1" si="1231"/>
        <v>0</v>
      </c>
      <c r="R870" s="1430">
        <f t="shared" ca="1" si="1231"/>
        <v>0</v>
      </c>
      <c r="S870" s="1430">
        <f t="shared" ca="1" si="1231"/>
        <v>0</v>
      </c>
      <c r="T870" s="1430">
        <f t="shared" ca="1" si="1231"/>
        <v>0</v>
      </c>
      <c r="U870" s="1430">
        <f t="shared" ca="1" si="1231"/>
        <v>0</v>
      </c>
      <c r="V870" s="1430">
        <f t="shared" ca="1" si="1231"/>
        <v>0</v>
      </c>
      <c r="W870" s="1430">
        <f t="shared" ca="1" si="1231"/>
        <v>0</v>
      </c>
      <c r="X870" s="152"/>
      <c r="Y870" s="152"/>
      <c r="Z870" s="152"/>
      <c r="AA870" s="152"/>
      <c r="AB870" s="152"/>
    </row>
    <row r="871" spans="1:28">
      <c r="A871" s="152"/>
      <c r="B871" s="152"/>
      <c r="C871" s="1423"/>
      <c r="D871" s="1423"/>
      <c r="E871" s="1423"/>
      <c r="F871" s="1423"/>
      <c r="G871" s="1423"/>
      <c r="H871" s="1423"/>
      <c r="I871" s="1423"/>
      <c r="J871" s="1423"/>
      <c r="K871" s="1423"/>
      <c r="L871" s="1423"/>
      <c r="M871" s="1423"/>
      <c r="N871" s="1423"/>
      <c r="O871" s="1423"/>
      <c r="P871" s="1423"/>
      <c r="Q871" s="1423"/>
      <c r="R871" s="1423"/>
      <c r="S871" s="1423"/>
      <c r="T871" s="1423"/>
      <c r="U871" s="1423"/>
      <c r="V871" s="1423"/>
      <c r="W871" s="1423"/>
      <c r="X871" s="152"/>
      <c r="Y871" s="152"/>
      <c r="Z871" s="152"/>
      <c r="AA871" s="152"/>
      <c r="AB871" s="152"/>
    </row>
    <row r="872" spans="1:28">
      <c r="A872" s="269" t="s">
        <v>17</v>
      </c>
      <c r="B872" s="270">
        <f>VLOOKUP($A872,'RFM input'!$E$7:$F$56,2,FALSE)</f>
        <v>0</v>
      </c>
      <c r="C872" s="1431"/>
      <c r="D872" s="1431"/>
      <c r="E872" s="1432"/>
      <c r="F872" s="1432"/>
      <c r="G872" s="1432"/>
      <c r="H872" s="1432"/>
      <c r="I872" s="1432"/>
      <c r="J872" s="1432"/>
      <c r="K872" s="1432"/>
      <c r="L872" s="1432"/>
      <c r="M872" s="1432"/>
      <c r="N872" s="1432"/>
      <c r="O872" s="1432"/>
      <c r="P872" s="1432"/>
      <c r="Q872" s="1432"/>
      <c r="R872" s="1432"/>
      <c r="S872" s="1432"/>
      <c r="T872" s="1432"/>
      <c r="U872" s="1432"/>
      <c r="V872" s="1432"/>
      <c r="W872" s="1432"/>
      <c r="X872" s="152"/>
      <c r="Y872" s="152"/>
      <c r="Z872" s="152"/>
      <c r="AA872" s="152"/>
      <c r="AB872" s="152"/>
    </row>
    <row r="873" spans="1:28">
      <c r="A873" s="215">
        <f>VALUE(REPLACE(A872,1,12,""))</f>
        <v>17</v>
      </c>
      <c r="B873" s="263" t="s">
        <v>126</v>
      </c>
      <c r="C873" s="1416">
        <f ca="1">IF($D$6='TAB roll forward'!$H$4,OFFSET('TAB roll forward'!$H$7,A873,0),"enter input")</f>
        <v>0</v>
      </c>
      <c r="D873" s="1417">
        <f>IF(LEFT(D$6,4)&lt;LEFT('RFM input'!$G$60,4),"enter input",IF(LEFT(D$6,4)&gt;LEFT('RFM input'!$Q$60,4),0,
INDEX('RFM input'!$G$61:$Q$110,$A873,MATCH(D$6,'RFM input'!$G$60:$Q$60,0))
   -INDEX('RFM input'!$G$115:$Q$164,$A873,MATCH(D$6,'RFM input'!$G$60:$Q$60,0))))</f>
        <v>0</v>
      </c>
      <c r="E873" s="1417">
        <f>IF(LEFT(E$6,4)&lt;LEFT('RFM input'!$G$60,4),"enter input",IF(LEFT(E$6,4)&gt;LEFT('RFM input'!$Q$60,4),0,
INDEX('RFM input'!$G$61:$Q$110,$A873,MATCH(E$6,'RFM input'!$G$60:$Q$60,0))
   -INDEX('RFM input'!$G$115:$Q$164,$A873,MATCH(E$6,'RFM input'!$G$60:$Q$60,0))))</f>
        <v>0</v>
      </c>
      <c r="F873" s="1417">
        <f>IF(LEFT(F$6,4)&lt;LEFT('RFM input'!$G$60,4),"enter input",IF(LEFT(F$6,4)&gt;LEFT('RFM input'!$Q$60,4),0,
INDEX('RFM input'!$G$61:$Q$110,$A873,MATCH(F$6,'RFM input'!$G$60:$Q$60,0))
   -INDEX('RFM input'!$G$115:$Q$164,$A873,MATCH(F$6,'RFM input'!$G$60:$Q$60,0))))</f>
        <v>0</v>
      </c>
      <c r="G873" s="1417">
        <f>IF(LEFT(G$6,4)&lt;LEFT('RFM input'!$G$60,4),"enter input",IF(LEFT(G$6,4)&gt;LEFT('RFM input'!$Q$60,4),0,
INDEX('RFM input'!$G$61:$Q$110,$A873,MATCH(G$6,'RFM input'!$G$60:$Q$60,0))
   -INDEX('RFM input'!$G$115:$Q$164,$A873,MATCH(G$6,'RFM input'!$G$60:$Q$60,0))))</f>
        <v>0</v>
      </c>
      <c r="H873" s="1417">
        <f>IF(LEFT(H$6,4)&lt;LEFT('RFM input'!$G$60,4),"enter input",IF(LEFT(H$6,4)&gt;LEFT('RFM input'!$Q$60,4),0,
INDEX('RFM input'!$G$61:$Q$110,$A873,MATCH(H$6,'RFM input'!$G$60:$Q$60,0))
   -INDEX('RFM input'!$G$115:$Q$164,$A873,MATCH(H$6,'RFM input'!$G$60:$Q$60,0))))</f>
        <v>0</v>
      </c>
      <c r="I873" s="1417">
        <f>IF(LEFT(I$6,4)&lt;LEFT('RFM input'!$G$60,4),"enter input",IF(LEFT(I$6,4)&gt;LEFT('RFM input'!$Q$60,4),0,
INDEX('RFM input'!$G$61:$Q$110,$A873,MATCH(I$6,'RFM input'!$G$60:$Q$60,0))
   -INDEX('RFM input'!$G$115:$Q$164,$A873,MATCH(I$6,'RFM input'!$G$60:$Q$60,0))))</f>
        <v>0</v>
      </c>
      <c r="J873" s="1417">
        <f>IF(LEFT(J$6,4)&lt;LEFT('RFM input'!$G$60,4),"enter input",IF(LEFT(J$6,4)&gt;LEFT('RFM input'!$Q$60,4),0,
INDEX('RFM input'!$G$61:$Q$110,$A873,MATCH(J$6,'RFM input'!$G$60:$Q$60,0))
   -INDEX('RFM input'!$G$115:$Q$164,$A873,MATCH(J$6,'RFM input'!$G$60:$Q$60,0))))</f>
        <v>0</v>
      </c>
      <c r="K873" s="1417">
        <f>IF(LEFT(K$6,4)&lt;LEFT('RFM input'!$G$60,4),"enter input",IF(LEFT(K$6,4)&gt;LEFT('RFM input'!$Q$60,4),0,
INDEX('RFM input'!$G$61:$Q$110,$A873,MATCH(K$6,'RFM input'!$G$60:$Q$60,0))
   -INDEX('RFM input'!$G$115:$Q$164,$A873,MATCH(K$6,'RFM input'!$G$60:$Q$60,0))))</f>
        <v>0</v>
      </c>
      <c r="L873" s="1417">
        <f>IF(LEFT(L$6,4)&lt;LEFT('RFM input'!$G$60,4),"enter input",IF(LEFT(L$6,4)&gt;LEFT('RFM input'!$Q$60,4),0,
INDEX('RFM input'!$G$61:$Q$110,$A873,MATCH(L$6,'RFM input'!$G$60:$Q$60,0))
   -INDEX('RFM input'!$G$115:$Q$164,$A873,MATCH(L$6,'RFM input'!$G$60:$Q$60,0))))</f>
        <v>0</v>
      </c>
      <c r="M873" s="1417">
        <f>IF(LEFT(M$6,4)&lt;LEFT('RFM input'!$G$60,4),"enter input",IF(LEFT(M$6,4)&gt;LEFT('RFM input'!$Q$60,4),0,
INDEX('RFM input'!$G$61:$Q$110,$A873,MATCH(M$6,'RFM input'!$G$60:$Q$60,0))
   -INDEX('RFM input'!$G$115:$Q$164,$A873,MATCH(M$6,'RFM input'!$G$60:$Q$60,0))))</f>
        <v>0</v>
      </c>
      <c r="N873" s="1417">
        <f>IF(LEFT(N$6,4)&lt;LEFT('RFM input'!$G$60,4),"enter input",IF(LEFT(N$6,4)&gt;LEFT('RFM input'!$Q$60,4),0,
INDEX('RFM input'!$G$61:$Q$110,$A873,MATCH(N$6,'RFM input'!$G$60:$Q$60,0))
   -INDEX('RFM input'!$G$115:$Q$164,$A873,MATCH(N$6,'RFM input'!$G$60:$Q$60,0))))</f>
        <v>0</v>
      </c>
      <c r="O873" s="1417">
        <f>IF(LEFT(O$6,4)&lt;LEFT('RFM input'!$G$60,4),"enter input",IF(LEFT(O$6,4)&gt;LEFT('RFM input'!$Q$60,4),0,
INDEX('RFM input'!$G$61:$Q$110,$A873,MATCH(O$6,'RFM input'!$G$60:$Q$60,0))
   -INDEX('RFM input'!$G$115:$Q$164,$A873,MATCH(O$6,'RFM input'!$G$60:$Q$60,0))))</f>
        <v>0</v>
      </c>
      <c r="P873" s="1417">
        <f>IF(LEFT(P$6,4)&lt;LEFT('RFM input'!$G$60,4),"enter input",IF(LEFT(P$6,4)&gt;LEFT('RFM input'!$Q$60,4),0,
INDEX('RFM input'!$G$61:$Q$110,$A873,MATCH(P$6,'RFM input'!$G$60:$Q$60,0))
   -INDEX('RFM input'!$G$115:$Q$164,$A873,MATCH(P$6,'RFM input'!$G$60:$Q$60,0))))</f>
        <v>0</v>
      </c>
      <c r="Q873" s="1417">
        <f>IF(LEFT(Q$6,4)&lt;LEFT('RFM input'!$G$60,4),"enter input",IF(LEFT(Q$6,4)&gt;LEFT('RFM input'!$Q$60,4),0,
INDEX('RFM input'!$G$61:$Q$110,$A873,MATCH(Q$6,'RFM input'!$G$60:$Q$60,0))
   -INDEX('RFM input'!$G$115:$Q$164,$A873,MATCH(Q$6,'RFM input'!$G$60:$Q$60,0))))</f>
        <v>0</v>
      </c>
      <c r="R873" s="1417">
        <f>IF(LEFT(R$6,4)&lt;LEFT('RFM input'!$G$60,4),"enter input",IF(LEFT(R$6,4)&gt;LEFT('RFM input'!$Q$60,4),0,
INDEX('RFM input'!$G$61:$Q$110,$A873,MATCH(R$6,'RFM input'!$G$60:$Q$60,0))
   -INDEX('RFM input'!$G$115:$Q$164,$A873,MATCH(R$6,'RFM input'!$G$60:$Q$60,0))))</f>
        <v>0</v>
      </c>
      <c r="S873" s="1417">
        <f>IF(LEFT(S$6,4)&lt;LEFT('RFM input'!$G$60,4),"enter input",IF(LEFT(S$6,4)&gt;LEFT('RFM input'!$Q$60,4),0,
INDEX('RFM input'!$G$61:$Q$110,$A873,MATCH(S$6,'RFM input'!$G$60:$Q$60,0))
   -INDEX('RFM input'!$G$115:$Q$164,$A873,MATCH(S$6,'RFM input'!$G$60:$Q$60,0))))</f>
        <v>0</v>
      </c>
      <c r="T873" s="1417">
        <f>IF(LEFT(T$6,4)&lt;LEFT('RFM input'!$G$60,4),"enter input",IF(LEFT(T$6,4)&gt;LEFT('RFM input'!$Q$60,4),0,
INDEX('RFM input'!$G$61:$Q$110,$A873,MATCH(T$6,'RFM input'!$G$60:$Q$60,0))
   -INDEX('RFM input'!$G$115:$Q$164,$A873,MATCH(T$6,'RFM input'!$G$60:$Q$60,0))))</f>
        <v>0</v>
      </c>
      <c r="U873" s="1417">
        <f>IF(LEFT(U$6,4)&lt;LEFT('RFM input'!$G$60,4),"enter input",IF(LEFT(U$6,4)&gt;LEFT('RFM input'!$Q$60,4),0,
INDEX('RFM input'!$G$61:$Q$110,$A873,MATCH(U$6,'RFM input'!$G$60:$Q$60,0))
   -INDEX('RFM input'!$G$115:$Q$164,$A873,MATCH(U$6,'RFM input'!$G$60:$Q$60,0))))</f>
        <v>0</v>
      </c>
      <c r="V873" s="1417">
        <f>IF(LEFT(V$6,4)&lt;LEFT('RFM input'!$G$60,4),"enter input",IF(LEFT(V$6,4)&gt;LEFT('RFM input'!$Q$60,4),0,
INDEX('RFM input'!$G$61:$Q$110,$A873,MATCH(V$6,'RFM input'!$G$60:$Q$60,0))
   -INDEX('RFM input'!$G$115:$Q$164,$A873,MATCH(V$6,'RFM input'!$G$60:$Q$60,0))))</f>
        <v>0</v>
      </c>
      <c r="W873" s="1417">
        <f>IF(LEFT(W$6,4)&lt;LEFT('RFM input'!$G$60,4),"enter input",IF(LEFT(W$6,4)&gt;LEFT('RFM input'!$Q$60,4),0,
INDEX('RFM input'!$G$61:$Q$110,$A873,MATCH(W$6,'RFM input'!$G$60:$Q$60,0))
   -INDEX('RFM input'!$G$115:$Q$164,$A873,MATCH(W$6,'RFM input'!$G$60:$Q$60,0))))</f>
        <v>0</v>
      </c>
      <c r="X873" s="152"/>
      <c r="Y873" s="152"/>
      <c r="Z873" s="152"/>
      <c r="AA873" s="152"/>
      <c r="AB873" s="152"/>
    </row>
    <row r="874" spans="1:28">
      <c r="A874" s="152"/>
      <c r="B874" s="152" t="s">
        <v>205</v>
      </c>
      <c r="C874" s="1418">
        <f ca="1">IF($D$6='TAB roll forward'!$H$4,OFFSET('RFM input'!$S$6,$A873,0),"enter input")</f>
        <v>0</v>
      </c>
      <c r="D874" s="1417">
        <f>IF(LEFT(D$6,4)&lt;=LEFT('RFM input'!$G$60,4),"enter input",IF(LEFT(D$6,4)&gt;LEFT('RFM input'!$Q$60,4),0,
IF(MATCH(D$6,'RFM input'!$H$60:$Q$60,0),INDEX('RFM input'!$T$7:$T$56,$A873,1,1))))</f>
        <v>0</v>
      </c>
      <c r="E874" s="1417">
        <f>IF(LEFT(E$6,4)&lt;=LEFT('RFM input'!$G$60,4),"enter input",IF(LEFT(E$6,4)&gt;LEFT('RFM input'!$Q$60,4),0,
IF(MATCH(E$6,'RFM input'!$H$60:$Q$60,0),INDEX('RFM input'!$T$7:$T$56,$A873,1,1))))</f>
        <v>0</v>
      </c>
      <c r="F874" s="1417">
        <f>IF(LEFT(F$6,4)&lt;=LEFT('RFM input'!$G$60,4),"enter input",IF(LEFT(F$6,4)&gt;LEFT('RFM input'!$Q$60,4),0,
IF(MATCH(F$6,'RFM input'!$H$60:$Q$60,0),INDEX('RFM input'!$T$7:$T$56,$A873,1,1))))</f>
        <v>0</v>
      </c>
      <c r="G874" s="1417">
        <f>IF(LEFT(G$6,4)&lt;=LEFT('RFM input'!$G$60,4),"enter input",IF(LEFT(G$6,4)&gt;LEFT('RFM input'!$Q$60,4),0,
IF(MATCH(G$6,'RFM input'!$H$60:$Q$60,0),INDEX('RFM input'!$T$7:$T$56,$A873,1,1))))</f>
        <v>0</v>
      </c>
      <c r="H874" s="1417">
        <f>IF(LEFT(H$6,4)&lt;=LEFT('RFM input'!$G$60,4),"enter input",IF(LEFT(H$6,4)&gt;LEFT('RFM input'!$Q$60,4),0,
IF(MATCH(H$6,'RFM input'!$H$60:$Q$60,0),INDEX('RFM input'!$T$7:$T$56,$A873,1,1))))</f>
        <v>0</v>
      </c>
      <c r="I874" s="1417">
        <f>IF(LEFT(I$6,4)&lt;=LEFT('RFM input'!$G$60,4),"enter input",IF(LEFT(I$6,4)&gt;LEFT('RFM input'!$Q$60,4),0,
IF(MATCH(I$6,'RFM input'!$H$60:$Q$60,0),INDEX('RFM input'!$T$7:$T$56,$A873,1,1))))</f>
        <v>0</v>
      </c>
      <c r="J874" s="1417">
        <f>IF(LEFT(J$6,4)&lt;=LEFT('RFM input'!$G$60,4),"enter input",IF(LEFT(J$6,4)&gt;LEFT('RFM input'!$Q$60,4),0,
IF(MATCH(J$6,'RFM input'!$H$60:$Q$60,0),INDEX('RFM input'!$T$7:$T$56,$A873,1,1))))</f>
        <v>0</v>
      </c>
      <c r="K874" s="1417">
        <f>IF(LEFT(K$6,4)&lt;=LEFT('RFM input'!$G$60,4),"enter input",IF(LEFT(K$6,4)&gt;LEFT('RFM input'!$Q$60,4),0,
IF(MATCH(K$6,'RFM input'!$H$60:$Q$60,0),INDEX('RFM input'!$T$7:$T$56,$A873,1,1))))</f>
        <v>0</v>
      </c>
      <c r="L874" s="1417">
        <f>IF(LEFT(L$6,4)&lt;=LEFT('RFM input'!$G$60,4),"enter input",IF(LEFT(L$6,4)&gt;LEFT('RFM input'!$Q$60,4),0,
IF(MATCH(L$6,'RFM input'!$H$60:$Q$60,0),INDEX('RFM input'!$T$7:$T$56,$A873,1,1))))</f>
        <v>0</v>
      </c>
      <c r="M874" s="1417">
        <f>IF(LEFT(M$6,4)&lt;=LEFT('RFM input'!$G$60,4),"enter input",IF(LEFT(M$6,4)&gt;LEFT('RFM input'!$Q$60,4),0,
IF(MATCH(M$6,'RFM input'!$H$60:$Q$60,0),INDEX('RFM input'!$T$7:$T$56,$A873,1,1))))</f>
        <v>0</v>
      </c>
      <c r="N874" s="1417">
        <f>IF(LEFT(N$6,4)&lt;=LEFT('RFM input'!$G$60,4),"enter input",IF(LEFT(N$6,4)&gt;LEFT('RFM input'!$Q$60,4),0,
IF(MATCH(N$6,'RFM input'!$H$60:$Q$60,0),INDEX('RFM input'!$T$7:$T$56,$A873,1,1))))</f>
        <v>0</v>
      </c>
      <c r="O874" s="1417">
        <f>IF(LEFT(O$6,4)&lt;=LEFT('RFM input'!$G$60,4),"enter input",IF(LEFT(O$6,4)&gt;LEFT('RFM input'!$Q$60,4),0,
IF(MATCH(O$6,'RFM input'!$H$60:$Q$60,0),INDEX('RFM input'!$T$7:$T$56,$A873,1,1))))</f>
        <v>0</v>
      </c>
      <c r="P874" s="1417">
        <f>IF(LEFT(P$6,4)&lt;=LEFT('RFM input'!$G$60,4),"enter input",IF(LEFT(P$6,4)&gt;LEFT('RFM input'!$Q$60,4),0,
IF(MATCH(P$6,'RFM input'!$H$60:$Q$60,0),INDEX('RFM input'!$T$7:$T$56,$A873,1,1))))</f>
        <v>0</v>
      </c>
      <c r="Q874" s="1417">
        <f>IF(LEFT(Q$6,4)&lt;=LEFT('RFM input'!$G$60,4),"enter input",IF(LEFT(Q$6,4)&gt;LEFT('RFM input'!$Q$60,4),0,
IF(MATCH(Q$6,'RFM input'!$H$60:$Q$60,0),INDEX('RFM input'!$T$7:$T$56,$A873,1,1))))</f>
        <v>0</v>
      </c>
      <c r="R874" s="1417">
        <f>IF(LEFT(R$6,4)&lt;=LEFT('RFM input'!$G$60,4),"enter input",IF(LEFT(R$6,4)&gt;LEFT('RFM input'!$Q$60,4),0,
IF(MATCH(R$6,'RFM input'!$H$60:$Q$60,0),INDEX('RFM input'!$T$7:$T$56,$A873,1,1))))</f>
        <v>0</v>
      </c>
      <c r="S874" s="1417">
        <f>IF(LEFT(S$6,4)&lt;=LEFT('RFM input'!$G$60,4),"enter input",IF(LEFT(S$6,4)&gt;LEFT('RFM input'!$Q$60,4),0,
IF(MATCH(S$6,'RFM input'!$H$60:$Q$60,0),INDEX('RFM input'!$T$7:$T$56,$A873,1,1))))</f>
        <v>0</v>
      </c>
      <c r="T874" s="1417">
        <f>IF(LEFT(T$6,4)&lt;=LEFT('RFM input'!$G$60,4),"enter input",IF(LEFT(T$6,4)&gt;LEFT('RFM input'!$Q$60,4),0,
IF(MATCH(T$6,'RFM input'!$H$60:$Q$60,0),INDEX('RFM input'!$T$7:$T$56,$A873,1,1))))</f>
        <v>0</v>
      </c>
      <c r="U874" s="1417">
        <f>IF(LEFT(U$6,4)&lt;=LEFT('RFM input'!$G$60,4),"enter input",IF(LEFT(U$6,4)&gt;LEFT('RFM input'!$Q$60,4),0,
IF(MATCH(U$6,'RFM input'!$H$60:$Q$60,0),INDEX('RFM input'!$T$7:$T$56,$A873,1,1))))</f>
        <v>0</v>
      </c>
      <c r="V874" s="1417">
        <f>IF(LEFT(V$6,4)&lt;=LEFT('RFM input'!$G$60,4),"enter input",IF(LEFT(V$6,4)&gt;LEFT('RFM input'!$Q$60,4),0,
IF(MATCH(V$6,'RFM input'!$H$60:$Q$60,0),INDEX('RFM input'!$T$7:$T$56,$A873,1,1))))</f>
        <v>0</v>
      </c>
      <c r="W874" s="1417">
        <f>IF(LEFT(W$6,4)&lt;=LEFT('RFM input'!$G$60,4),"enter input",IF(LEFT(W$6,4)&gt;LEFT('RFM input'!$Q$60,4),0,
IF(MATCH(W$6,'RFM input'!$H$60:$Q$60,0),INDEX('RFM input'!$T$7:$T$56,$A873,1,1))))</f>
        <v>0</v>
      </c>
      <c r="X874" s="152"/>
      <c r="Y874" s="152"/>
      <c r="Z874" s="152"/>
      <c r="AA874" s="152"/>
      <c r="AB874" s="152"/>
    </row>
    <row r="875" spans="1:28">
      <c r="A875" s="152"/>
      <c r="B875" s="193" t="s">
        <v>192</v>
      </c>
      <c r="C875" s="1419"/>
      <c r="D875" s="1420">
        <f ca="1">IF(LEFT(D$6,4)&lt;=LEFT('RFM input'!$G$60,4),"enter input",IF(LEFT(D$6,4)&gt;LEFT('RFM input'!$Q$60,4),0,
IF(D$6=(OFFSET('RFM input'!$G$60,0,'RFM input'!$V$7)),OFFSET('RFM input'!$H$411,$A873,0),0)))</f>
        <v>0</v>
      </c>
      <c r="E875" s="1417">
        <f ca="1">IF(LEFT(E$6,4)&lt;=LEFT('RFM input'!$G$60,4),"enter input",IF(LEFT(E$6,4)&gt;LEFT('RFM input'!$Q$60,4),0,
IF(E$6=(OFFSET('RFM input'!$G$60,0,'RFM input'!$V$7)),OFFSET('RFM input'!$H$411,$A873,0),0)))</f>
        <v>0</v>
      </c>
      <c r="F875" s="1417">
        <f ca="1">IF(LEFT(F$6,4)&lt;=LEFT('RFM input'!$G$60,4),"enter input",IF(LEFT(F$6,4)&gt;LEFT('RFM input'!$Q$60,4),0,
IF(F$6=(OFFSET('RFM input'!$G$60,0,'RFM input'!$V$7)),OFFSET('RFM input'!$H$411,$A873,0),0)))</f>
        <v>0</v>
      </c>
      <c r="G875" s="1417">
        <f ca="1">IF(LEFT(G$6,4)&lt;=LEFT('RFM input'!$G$60,4),"enter input",IF(LEFT(G$6,4)&gt;LEFT('RFM input'!$Q$60,4),0,
IF(G$6=(OFFSET('RFM input'!$G$60,0,'RFM input'!$V$7)),OFFSET('RFM input'!$H$411,$A873,0),0)))</f>
        <v>0</v>
      </c>
      <c r="H875" s="1417">
        <f ca="1">IF(LEFT(H$6,4)&lt;=LEFT('RFM input'!$G$60,4),"enter input",IF(LEFT(H$6,4)&gt;LEFT('RFM input'!$Q$60,4),0,
IF(H$6=(OFFSET('RFM input'!$G$60,0,'RFM input'!$V$7)),OFFSET('RFM input'!$H$411,$A873,0),0)))</f>
        <v>0</v>
      </c>
      <c r="I875" s="1417">
        <f ca="1">IF(LEFT(I$6,4)&lt;=LEFT('RFM input'!$G$60,4),"enter input",IF(LEFT(I$6,4)&gt;LEFT('RFM input'!$Q$60,4),0,
IF(I$6=(OFFSET('RFM input'!$G$60,0,'RFM input'!$V$7)),OFFSET('RFM input'!$H$411,$A873,0),0)))</f>
        <v>0</v>
      </c>
      <c r="J875" s="1417">
        <f ca="1">IF(LEFT(J$6,4)&lt;=LEFT('RFM input'!$G$60,4),"enter input",IF(LEFT(J$6,4)&gt;LEFT('RFM input'!$Q$60,4),0,
IF(J$6=(OFFSET('RFM input'!$G$60,0,'RFM input'!$V$7)),OFFSET('RFM input'!$H$411,$A873,0),0)))</f>
        <v>0</v>
      </c>
      <c r="K875" s="1417">
        <f ca="1">IF(LEFT(K$6,4)&lt;=LEFT('RFM input'!$G$60,4),"enter input",IF(LEFT(K$6,4)&gt;LEFT('RFM input'!$Q$60,4),0,
IF(K$6=(OFFSET('RFM input'!$G$60,0,'RFM input'!$V$7)),OFFSET('RFM input'!$H$411,$A873,0),0)))</f>
        <v>0</v>
      </c>
      <c r="L875" s="1417">
        <f ca="1">IF(LEFT(L$6,4)&lt;=LEFT('RFM input'!$G$60,4),"enter input",IF(LEFT(L$6,4)&gt;LEFT('RFM input'!$Q$60,4),0,
IF(L$6=(OFFSET('RFM input'!$G$60,0,'RFM input'!$V$7)),OFFSET('RFM input'!$H$411,$A873,0),0)))</f>
        <v>0</v>
      </c>
      <c r="M875" s="1417">
        <f ca="1">IF(LEFT(M$6,4)&lt;=LEFT('RFM input'!$G$60,4),"enter input",IF(LEFT(M$6,4)&gt;LEFT('RFM input'!$Q$60,4),0,
IF(M$6=(OFFSET('RFM input'!$G$60,0,'RFM input'!$V$7)),OFFSET('RFM input'!$H$411,$A873,0),0)))</f>
        <v>0</v>
      </c>
      <c r="N875" s="1417">
        <f ca="1">IF(LEFT(N$6,4)&lt;=LEFT('RFM input'!$G$60,4),"enter input",IF(LEFT(N$6,4)&gt;LEFT('RFM input'!$Q$60,4),0,
IF(N$6=(OFFSET('RFM input'!$G$60,0,'RFM input'!$V$7)),OFFSET('RFM input'!$H$411,$A873,0),0)))</f>
        <v>0</v>
      </c>
      <c r="O875" s="1417">
        <f ca="1">IF(LEFT(O$6,4)&lt;=LEFT('RFM input'!$G$60,4),"enter input",IF(LEFT(O$6,4)&gt;LEFT('RFM input'!$Q$60,4),0,
IF(O$6=(OFFSET('RFM input'!$G$60,0,'RFM input'!$V$7)),OFFSET('RFM input'!$H$411,$A873,0),0)))</f>
        <v>0</v>
      </c>
      <c r="P875" s="1417">
        <f ca="1">IF(LEFT(P$6,4)&lt;=LEFT('RFM input'!$G$60,4),"enter input",IF(LEFT(P$6,4)&gt;LEFT('RFM input'!$Q$60,4),0,
IF(P$6=(OFFSET('RFM input'!$G$60,0,'RFM input'!$V$7)),OFFSET('RFM input'!$H$411,$A873,0),0)))</f>
        <v>0</v>
      </c>
      <c r="Q875" s="1417">
        <f ca="1">IF(LEFT(Q$6,4)&lt;=LEFT('RFM input'!$G$60,4),"enter input",IF(LEFT(Q$6,4)&gt;LEFT('RFM input'!$Q$60,4),0,
IF(Q$6=(OFFSET('RFM input'!$G$60,0,'RFM input'!$V$7)),OFFSET('RFM input'!$H$411,$A873,0),0)))</f>
        <v>0</v>
      </c>
      <c r="R875" s="1417">
        <f ca="1">IF(LEFT(R$6,4)&lt;=LEFT('RFM input'!$G$60,4),"enter input",IF(LEFT(R$6,4)&gt;LEFT('RFM input'!$Q$60,4),0,
IF(R$6=(OFFSET('RFM input'!$G$60,0,'RFM input'!$V$7)),OFFSET('RFM input'!$H$411,$A873,0),0)))</f>
        <v>0</v>
      </c>
      <c r="S875" s="1417">
        <f ca="1">IF(LEFT(S$6,4)&lt;=LEFT('RFM input'!$G$60,4),"enter input",IF(LEFT(S$6,4)&gt;LEFT('RFM input'!$Q$60,4),0,
IF(S$6=(OFFSET('RFM input'!$G$60,0,'RFM input'!$V$7)),OFFSET('RFM input'!$H$411,$A873,0),0)))</f>
        <v>0</v>
      </c>
      <c r="T875" s="1417">
        <f ca="1">IF(LEFT(T$6,4)&lt;=LEFT('RFM input'!$G$60,4),"enter input",IF(LEFT(T$6,4)&gt;LEFT('RFM input'!$Q$60,4),0,
IF(T$6=(OFFSET('RFM input'!$G$60,0,'RFM input'!$V$7)),OFFSET('RFM input'!$H$411,$A873,0),0)))</f>
        <v>0</v>
      </c>
      <c r="U875" s="1417">
        <f ca="1">IF(LEFT(U$6,4)&lt;=LEFT('RFM input'!$G$60,4),"enter input",IF(LEFT(U$6,4)&gt;LEFT('RFM input'!$Q$60,4),0,
IF(U$6=(OFFSET('RFM input'!$G$60,0,'RFM input'!$V$7)),OFFSET('RFM input'!$H$411,$A873,0),0)))</f>
        <v>0</v>
      </c>
      <c r="V875" s="1417">
        <f ca="1">IF(LEFT(V$6,4)&lt;=LEFT('RFM input'!$G$60,4),"enter input",IF(LEFT(V$6,4)&gt;LEFT('RFM input'!$Q$60,4),0,
IF(V$6=(OFFSET('RFM input'!$G$60,0,'RFM input'!$V$7)),OFFSET('RFM input'!$H$411,$A873,0),0)))</f>
        <v>0</v>
      </c>
      <c r="W875" s="1417">
        <f ca="1">IF(LEFT(W$6,4)&lt;=LEFT('RFM input'!$G$60,4),"enter input",IF(LEFT(W$6,4)&gt;LEFT('RFM input'!$Q$60,4),0,
IF(W$6=(OFFSET('RFM input'!$G$60,0,'RFM input'!$V$7)),OFFSET('RFM input'!$H$411,$A873,0),0)))</f>
        <v>0</v>
      </c>
      <c r="X875" s="152"/>
      <c r="Y875" s="152"/>
      <c r="Z875" s="152"/>
      <c r="AA875" s="152"/>
      <c r="AB875" s="152"/>
    </row>
    <row r="876" spans="1:28">
      <c r="A876" s="152"/>
      <c r="B876" s="193" t="s">
        <v>200</v>
      </c>
      <c r="C876" s="1419"/>
      <c r="D876" s="1418">
        <f ca="1">IF(LEFT(D$6,4)&lt;=LEFT('RFM input'!$G$60,4),"enter input",IF(LEFT(D$6,4)&gt;LEFT('RFM input'!$Q$60,4),0,
IF(D$6=(OFFSET('RFM input'!$G$60,0,'RFM input'!$V$7)),OFFSET('RFM input'!$J$411,$A873,0),0)))</f>
        <v>0</v>
      </c>
      <c r="E876" s="1422">
        <f ca="1">IF(LEFT(E$6,4)&lt;=LEFT('RFM input'!$G$60,4),"enter input",IF(LEFT(E$6,4)&gt;LEFT('RFM input'!$Q$60,4),0,
IF(E$6=(OFFSET('RFM input'!$G$60,0,'RFM input'!$V$7)),OFFSET('RFM input'!$J$411,$A873,0),0)))</f>
        <v>0</v>
      </c>
      <c r="F876" s="1422">
        <f ca="1">IF(LEFT(F$6,4)&lt;=LEFT('RFM input'!$G$60,4),"enter input",IF(LEFT(F$6,4)&gt;LEFT('RFM input'!$Q$60,4),0,
IF(F$6=(OFFSET('RFM input'!$G$60,0,'RFM input'!$V$7)),OFFSET('RFM input'!$J$411,$A873,0),0)))</f>
        <v>0</v>
      </c>
      <c r="G876" s="1422">
        <f ca="1">IF(LEFT(G$6,4)&lt;=LEFT('RFM input'!$G$60,4),"enter input",IF(LEFT(G$6,4)&gt;LEFT('RFM input'!$Q$60,4),0,
IF(G$6=(OFFSET('RFM input'!$G$60,0,'RFM input'!$V$7)),OFFSET('RFM input'!$J$411,$A873,0),0)))</f>
        <v>0</v>
      </c>
      <c r="H876" s="1422">
        <f ca="1">IF(LEFT(H$6,4)&lt;=LEFT('RFM input'!$G$60,4),"enter input",IF(LEFT(H$6,4)&gt;LEFT('RFM input'!$Q$60,4),0,
IF(H$6=(OFFSET('RFM input'!$G$60,0,'RFM input'!$V$7)),OFFSET('RFM input'!$J$411,$A873,0),0)))</f>
        <v>0</v>
      </c>
      <c r="I876" s="1422">
        <f ca="1">IF(LEFT(I$6,4)&lt;=LEFT('RFM input'!$G$60,4),"enter input",IF(LEFT(I$6,4)&gt;LEFT('RFM input'!$Q$60,4),0,
IF(I$6=(OFFSET('RFM input'!$G$60,0,'RFM input'!$V$7)),OFFSET('RFM input'!$J$411,$A873,0),0)))</f>
        <v>0</v>
      </c>
      <c r="J876" s="1422">
        <f ca="1">IF(LEFT(J$6,4)&lt;=LEFT('RFM input'!$G$60,4),"enter input",IF(LEFT(J$6,4)&gt;LEFT('RFM input'!$Q$60,4),0,
IF(J$6=(OFFSET('RFM input'!$G$60,0,'RFM input'!$V$7)),OFFSET('RFM input'!$J$411,$A873,0),0)))</f>
        <v>0</v>
      </c>
      <c r="K876" s="1422">
        <f ca="1">IF(LEFT(K$6,4)&lt;=LEFT('RFM input'!$G$60,4),"enter input",IF(LEFT(K$6,4)&gt;LEFT('RFM input'!$Q$60,4),0,
IF(K$6=(OFFSET('RFM input'!$G$60,0,'RFM input'!$V$7)),OFFSET('RFM input'!$J$411,$A873,0),0)))</f>
        <v>0</v>
      </c>
      <c r="L876" s="1422">
        <f ca="1">IF(LEFT(L$6,4)&lt;=LEFT('RFM input'!$G$60,4),"enter input",IF(LEFT(L$6,4)&gt;LEFT('RFM input'!$Q$60,4),0,
IF(L$6=(OFFSET('RFM input'!$G$60,0,'RFM input'!$V$7)),OFFSET('RFM input'!$J$411,$A873,0),0)))</f>
        <v>0</v>
      </c>
      <c r="M876" s="1422">
        <f ca="1">IF(LEFT(M$6,4)&lt;=LEFT('RFM input'!$G$60,4),"enter input",IF(LEFT(M$6,4)&gt;LEFT('RFM input'!$Q$60,4),0,
IF(M$6=(OFFSET('RFM input'!$G$60,0,'RFM input'!$V$7)),OFFSET('RFM input'!$J$411,$A873,0),0)))</f>
        <v>0</v>
      </c>
      <c r="N876" s="1422">
        <f ca="1">IF(LEFT(N$6,4)&lt;=LEFT('RFM input'!$G$60,4),"enter input",IF(LEFT(N$6,4)&gt;LEFT('RFM input'!$Q$60,4),0,
IF(N$6=(OFFSET('RFM input'!$G$60,0,'RFM input'!$V$7)),OFFSET('RFM input'!$J$411,$A873,0),0)))</f>
        <v>0</v>
      </c>
      <c r="O876" s="1422">
        <f ca="1">IF(LEFT(O$6,4)&lt;=LEFT('RFM input'!$G$60,4),"enter input",IF(LEFT(O$6,4)&gt;LEFT('RFM input'!$Q$60,4),0,
IF(O$6=(OFFSET('RFM input'!$G$60,0,'RFM input'!$V$7)),OFFSET('RFM input'!$J$411,$A873,0),0)))</f>
        <v>0</v>
      </c>
      <c r="P876" s="1422">
        <f ca="1">IF(LEFT(P$6,4)&lt;=LEFT('RFM input'!$G$60,4),"enter input",IF(LEFT(P$6,4)&gt;LEFT('RFM input'!$Q$60,4),0,
IF(P$6=(OFFSET('RFM input'!$G$60,0,'RFM input'!$V$7)),OFFSET('RFM input'!$J$411,$A873,0),0)))</f>
        <v>0</v>
      </c>
      <c r="Q876" s="1422">
        <f ca="1">IF(LEFT(Q$6,4)&lt;=LEFT('RFM input'!$G$60,4),"enter input",IF(LEFT(Q$6,4)&gt;LEFT('RFM input'!$Q$60,4),0,
IF(Q$6=(OFFSET('RFM input'!$G$60,0,'RFM input'!$V$7)),OFFSET('RFM input'!$J$411,$A873,0),0)))</f>
        <v>0</v>
      </c>
      <c r="R876" s="1422">
        <f ca="1">IF(LEFT(R$6,4)&lt;=LEFT('RFM input'!$G$60,4),"enter input",IF(LEFT(R$6,4)&gt;LEFT('RFM input'!$Q$60,4),0,
IF(R$6=(OFFSET('RFM input'!$G$60,0,'RFM input'!$V$7)),OFFSET('RFM input'!$J$411,$A873,0),0)))</f>
        <v>0</v>
      </c>
      <c r="S876" s="1422">
        <f ca="1">IF(LEFT(S$6,4)&lt;=LEFT('RFM input'!$G$60,4),"enter input",IF(LEFT(S$6,4)&gt;LEFT('RFM input'!$Q$60,4),0,
IF(S$6=(OFFSET('RFM input'!$G$60,0,'RFM input'!$V$7)),OFFSET('RFM input'!$J$411,$A873,0),0)))</f>
        <v>0</v>
      </c>
      <c r="T876" s="1422">
        <f ca="1">IF(LEFT(T$6,4)&lt;=LEFT('RFM input'!$G$60,4),"enter input",IF(LEFT(T$6,4)&gt;LEFT('RFM input'!$Q$60,4),0,
IF(T$6=(OFFSET('RFM input'!$G$60,0,'RFM input'!$V$7)),OFFSET('RFM input'!$J$411,$A873,0),0)))</f>
        <v>0</v>
      </c>
      <c r="U876" s="1422">
        <f ca="1">IF(LEFT(U$6,4)&lt;=LEFT('RFM input'!$G$60,4),"enter input",IF(LEFT(U$6,4)&gt;LEFT('RFM input'!$Q$60,4),0,
IF(U$6=(OFFSET('RFM input'!$G$60,0,'RFM input'!$V$7)),OFFSET('RFM input'!$J$411,$A873,0),0)))</f>
        <v>0</v>
      </c>
      <c r="V876" s="1422">
        <f ca="1">IF(LEFT(V$6,4)&lt;=LEFT('RFM input'!$G$60,4),"enter input",IF(LEFT(V$6,4)&gt;LEFT('RFM input'!$Q$60,4),0,
IF(V$6=(OFFSET('RFM input'!$G$60,0,'RFM input'!$V$7)),OFFSET('RFM input'!$J$411,$A873,0),0)))</f>
        <v>0</v>
      </c>
      <c r="W876" s="1422">
        <f ca="1">IF(LEFT(W$6,4)&lt;=LEFT('RFM input'!$G$60,4),"enter input",IF(LEFT(W$6,4)&gt;LEFT('RFM input'!$Q$60,4),0,
IF(W$6=(OFFSET('RFM input'!$G$60,0,'RFM input'!$V$7)),OFFSET('RFM input'!$J$411,$A873,0),0)))</f>
        <v>0</v>
      </c>
      <c r="X876" s="152"/>
      <c r="Y876" s="152"/>
      <c r="Z876" s="152"/>
      <c r="AA876" s="152"/>
      <c r="AB876" s="152"/>
    </row>
    <row r="877" spans="1:28" hidden="1" outlineLevel="1">
      <c r="A877" s="235">
        <v>-1</v>
      </c>
      <c r="B877" s="190" t="s">
        <v>195</v>
      </c>
      <c r="C877" s="1423"/>
      <c r="D877" s="1423">
        <f t="shared" ref="D877" ca="1" si="1232">IF(AND(D875=0,C877=0),0,
IF(AND(D875&lt;&gt;0,C877=0),D875,
IF(AND(D876&lt;&gt;0,C877&lt;&gt;0),(C877-(C877/C901))+D875,
IF(C901&lt;1,0,(C877-(C877/C901))))))</f>
        <v>0</v>
      </c>
      <c r="E877" s="1423">
        <f t="shared" ref="E877" ca="1" si="1233">IF(AND(E875=0,D877=0),0,
IF(AND(E875&lt;&gt;0,D877=0),E875,
IF(AND(E876&lt;&gt;0,D877&lt;&gt;0),(D877-(D877/D901))+E875,
IF(D901&lt;1,0,(D877-(D877/D901))))))</f>
        <v>0</v>
      </c>
      <c r="F877" s="1423">
        <f t="shared" ref="F877" ca="1" si="1234">IF(AND(F875=0,E877=0),0,
IF(AND(F875&lt;&gt;0,E877=0),F875,
IF(AND(F876&lt;&gt;0,E877&lt;&gt;0),(E877-(E877/E901))+F875,
IF(E901&lt;1,0,(E877-(E877/E901))))))</f>
        <v>0</v>
      </c>
      <c r="G877" s="1423">
        <f t="shared" ref="G877" ca="1" si="1235">IF(AND(G875=0,F877=0),0,
IF(AND(G875&lt;&gt;0,F877=0),G875,
IF(AND(G876&lt;&gt;0,F877&lt;&gt;0),(F877-(F877/F901))+G875,
IF(F901&lt;1,0,(F877-(F877/F901))))))</f>
        <v>0</v>
      </c>
      <c r="H877" s="1423">
        <f ca="1">IF(AND(H875=0,G877=0),0,
IF(AND(H875&lt;&gt;0,G877=0),H875,
IF(AND(H876&lt;&gt;0,G877&lt;&gt;0),(G877-(G877/G901))+H875,
IF(G901&lt;1,0,(G877-(G877/G901))))))</f>
        <v>0</v>
      </c>
      <c r="I877" s="1423">
        <f t="shared" ref="I877" ca="1" si="1236">IF(AND(I875=0,H877=0),0,
IF(AND(I875&lt;&gt;0,H877=0),I875,
IF(AND(I876&lt;&gt;0,H877&lt;&gt;0),(H877-(H877/H901))+I875,
IF(H901&lt;1,0,(H877-(H877/H901))))))</f>
        <v>0</v>
      </c>
      <c r="J877" s="1423">
        <f t="shared" ref="J877" ca="1" si="1237">IF(AND(J875=0,I877=0),0,
IF(AND(J875&lt;&gt;0,I877=0),J875,
IF(AND(J876&lt;&gt;0,I877&lt;&gt;0),(I877-(I877/I901))+J875,
IF(I901&lt;1,0,(I877-(I877/I901))))))</f>
        <v>0</v>
      </c>
      <c r="K877" s="1423">
        <f t="shared" ref="K877" ca="1" si="1238">IF(AND(K875=0,J877=0),0,
IF(AND(K875&lt;&gt;0,J877=0),K875,
IF(AND(K876&lt;&gt;0,J877&lt;&gt;0),(J877-(J877/J901))+K875,
IF(J901&lt;1,0,(J877-(J877/J901))))))</f>
        <v>0</v>
      </c>
      <c r="L877" s="1423">
        <f t="shared" ref="L877" ca="1" si="1239">IF(AND(L875=0,K877=0),0,
IF(AND(L875&lt;&gt;0,K877=0),L875,
IF(AND(L876&lt;&gt;0,K877&lt;&gt;0),(K877-(K877/K901))+L875,
IF(K901&lt;1,0,(K877-(K877/K901))))))</f>
        <v>0</v>
      </c>
      <c r="M877" s="1423">
        <f t="shared" ref="M877" ca="1" si="1240">IF(AND(M875=0,L877=0),0,
IF(AND(M875&lt;&gt;0,L877=0),M875,
IF(AND(M876&lt;&gt;0,L877&lt;&gt;0),(L877-(L877/L901))+M875,
IF(L901&lt;1,0,(L877-(L877/L901))))))</f>
        <v>0</v>
      </c>
      <c r="N877" s="1423">
        <f t="shared" ref="N877" ca="1" si="1241">IF(AND(N875=0,M877=0),0,
IF(AND(N875&lt;&gt;0,M877=0),N875,
IF(AND(N876&lt;&gt;0,M877&lt;&gt;0),(M877-(M877/M901))+N875,
IF(M901&lt;1,0,(M877-(M877/M901))))))</f>
        <v>0</v>
      </c>
      <c r="O877" s="1423">
        <f t="shared" ref="O877" ca="1" si="1242">IF(AND(O875=0,N877=0),0,
IF(AND(O875&lt;&gt;0,N877=0),O875,
IF(AND(O876&lt;&gt;0,N877&lt;&gt;0),(N877-(N877/N901))+O875,
IF(N901&lt;1,0,(N877-(N877/N901))))))</f>
        <v>0</v>
      </c>
      <c r="P877" s="1423">
        <f t="shared" ref="P877" ca="1" si="1243">IF(AND(P875=0,O877=0),0,
IF(AND(P875&lt;&gt;0,O877=0),P875,
IF(AND(P876&lt;&gt;0,O877&lt;&gt;0),(O877-(O877/O901))+P875,
IF(O901&lt;1,0,(O877-(O877/O901))))))</f>
        <v>0</v>
      </c>
      <c r="Q877" s="1423">
        <f t="shared" ref="Q877" ca="1" si="1244">IF(AND(Q875=0,P877=0),0,
IF(AND(Q875&lt;&gt;0,P877=0),Q875,
IF(AND(Q876&lt;&gt;0,P877&lt;&gt;0),(P877-(P877/P901))+Q875,
IF(P901&lt;1,0,(P877-(P877/P901))))))</f>
        <v>0</v>
      </c>
      <c r="R877" s="1423">
        <f t="shared" ref="R877" ca="1" si="1245">IF(AND(R875=0,Q877=0),0,
IF(AND(R875&lt;&gt;0,Q877=0),R875,
IF(AND(R876&lt;&gt;0,Q877&lt;&gt;0),(Q877-(Q877/Q901))+R875,
IF(Q901&lt;1,0,(Q877-(Q877/Q901))))))</f>
        <v>0</v>
      </c>
      <c r="S877" s="1423">
        <f t="shared" ref="S877" ca="1" si="1246">IF(AND(S875=0,R877=0),0,
IF(AND(S875&lt;&gt;0,R877=0),S875,
IF(AND(S876&lt;&gt;0,R877&lt;&gt;0),(R877-(R877/R901))+S875,
IF(R901&lt;1,0,(R877-(R877/R901))))))</f>
        <v>0</v>
      </c>
      <c r="T877" s="1423">
        <f t="shared" ref="T877" ca="1" si="1247">IF(AND(T875=0,S877=0),0,
IF(AND(T875&lt;&gt;0,S877=0),T875,
IF(AND(T876&lt;&gt;0,S877&lt;&gt;0),(S877-(S877/S901))+T875,
IF(S901&lt;1,0,(S877-(S877/S901))))))</f>
        <v>0</v>
      </c>
      <c r="U877" s="1423">
        <f t="shared" ref="U877" ca="1" si="1248">IF(AND(U875=0,T877=0),0,
IF(AND(U875&lt;&gt;0,T877=0),U875,
IF(AND(U876&lt;&gt;0,T877&lt;&gt;0),(T877-(T877/T901))+U875,
IF(T901&lt;1,0,(T877-(T877/T901))))))</f>
        <v>0</v>
      </c>
      <c r="V877" s="1423">
        <f t="shared" ref="V877" ca="1" si="1249">IF(AND(V875=0,U877=0),0,
IF(AND(V875&lt;&gt;0,U877=0),V875,
IF(AND(V876&lt;&gt;0,U877&lt;&gt;0),(U877-(U877/U901))+V875,
IF(U901&lt;1,0,(U877-(U877/U901))))))</f>
        <v>0</v>
      </c>
      <c r="W877" s="1423">
        <f t="shared" ref="W877" ca="1" si="1250">IF(AND(W875=0,V877=0),0,
IF(AND(W875&lt;&gt;0,V877=0),W875,
IF(AND(W876&lt;&gt;0,V877&lt;&gt;0),(V877-(V877/V901))+W875,
IF(V901&lt;1,0,(V877-(V877/V901))))))</f>
        <v>0</v>
      </c>
      <c r="X877" s="152"/>
      <c r="Y877" s="152"/>
      <c r="Z877" s="152"/>
      <c r="AA877" s="152"/>
      <c r="AB877" s="152"/>
    </row>
    <row r="878" spans="1:28" hidden="1" outlineLevel="1">
      <c r="A878" s="199">
        <f>A877+1</f>
        <v>0</v>
      </c>
      <c r="B878" s="190" t="s">
        <v>527</v>
      </c>
      <c r="C878" s="1423">
        <f ca="1">C873</f>
        <v>0</v>
      </c>
      <c r="D878" s="1423">
        <f ca="1">IF(C902="n/a",C878,IFERROR(IF((OFFSET($C878,0,$A878))&lt;0,
MIN(0,C878-(OFFSET($C878,0,$A878)/(OFFSET($C873,-$A877,$A878)))),
MAX(0,C878-(OFFSET($C878,0,$A878)/(OFFSET($C873,-$A877,$A878))))),0))</f>
        <v>0</v>
      </c>
      <c r="E878" s="1423">
        <f t="shared" ref="E878" ca="1" si="1251">IF(D902="n/a",D878,IFERROR(IF((OFFSET($C878,0,$A878))&lt;0,
MIN(0,D878-(OFFSET($C878,0,$A878)/(OFFSET($C873,-$A877,$A878)))),
MAX(0,D878-(OFFSET($C878,0,$A878)/(OFFSET($C873,-$A877,$A878))))),0))</f>
        <v>0</v>
      </c>
      <c r="F878" s="1423">
        <f t="shared" ref="F878:F879" ca="1" si="1252">IF(E902="n/a",E878,IFERROR(IF((OFFSET($C878,0,$A878))&lt;0,
MIN(0,E878-(OFFSET($C878,0,$A878)/(OFFSET($C873,-$A877,$A878)))),
MAX(0,E878-(OFFSET($C878,0,$A878)/(OFFSET($C873,-$A877,$A878))))),0))</f>
        <v>0</v>
      </c>
      <c r="G878" s="1423">
        <f t="shared" ref="G878:G880" ca="1" si="1253">IF(F902="n/a",F878,IFERROR(IF((OFFSET($C878,0,$A878))&lt;0,
MIN(0,F878-(OFFSET($C878,0,$A878)/(OFFSET($C873,-$A877,$A878)))),
MAX(0,F878-(OFFSET($C878,0,$A878)/(OFFSET($C873,-$A877,$A878))))),0))</f>
        <v>0</v>
      </c>
      <c r="H878" s="1423">
        <f t="shared" ref="H878:H881" ca="1" si="1254">IF(G902="n/a",G878,IFERROR(IF((OFFSET($C878,0,$A878))&lt;0,
MIN(0,G878-(OFFSET($C878,0,$A878)/(OFFSET($C873,-$A877,$A878)))),
MAX(0,G878-(OFFSET($C878,0,$A878)/(OFFSET($C873,-$A877,$A878))))),0))</f>
        <v>0</v>
      </c>
      <c r="I878" s="1423">
        <f t="shared" ref="I878:I882" ca="1" si="1255">IF(H902="n/a",H878,IFERROR(IF((OFFSET($C878,0,$A878))&lt;0,
MIN(0,H878-(OFFSET($C878,0,$A878)/(OFFSET($C873,-$A877,$A878)))),
MAX(0,H878-(OFFSET($C878,0,$A878)/(OFFSET($C873,-$A877,$A878))))),0))</f>
        <v>0</v>
      </c>
      <c r="J878" s="1423">
        <f t="shared" ref="J878:J883" ca="1" si="1256">IF(I902="n/a",I878,IFERROR(IF((OFFSET($C878,0,$A878))&lt;0,
MIN(0,I878-(OFFSET($C878,0,$A878)/(OFFSET($C873,-$A877,$A878)))),
MAX(0,I878-(OFFSET($C878,0,$A878)/(OFFSET($C873,-$A877,$A878))))),0))</f>
        <v>0</v>
      </c>
      <c r="K878" s="1423">
        <f t="shared" ref="K878:K884" ca="1" si="1257">IF(J902="n/a",J878,IFERROR(IF((OFFSET($C878,0,$A878))&lt;0,
MIN(0,J878-(OFFSET($C878,0,$A878)/(OFFSET($C873,-$A877,$A878)))),
MAX(0,J878-(OFFSET($C878,0,$A878)/(OFFSET($C873,-$A877,$A878))))),0))</f>
        <v>0</v>
      </c>
      <c r="L878" s="1423">
        <f t="shared" ref="L878:L885" ca="1" si="1258">IF(K902="n/a",K878,IFERROR(IF((OFFSET($C878,0,$A878))&lt;0,
MIN(0,K878-(OFFSET($C878,0,$A878)/(OFFSET($C873,-$A877,$A878)))),
MAX(0,K878-(OFFSET($C878,0,$A878)/(OFFSET($C873,-$A877,$A878))))),0))</f>
        <v>0</v>
      </c>
      <c r="M878" s="1423">
        <f t="shared" ref="M878:M886" ca="1" si="1259">IF(L902="n/a",L878,IFERROR(IF((OFFSET($C878,0,$A878))&lt;0,
MIN(0,L878-(OFFSET($C878,0,$A878)/(OFFSET($C873,-$A877,$A878)))),
MAX(0,L878-(OFFSET($C878,0,$A878)/(OFFSET($C873,-$A877,$A878))))),0))</f>
        <v>0</v>
      </c>
      <c r="N878" s="1423">
        <f t="shared" ref="N878:N887" ca="1" si="1260">IF(M902="n/a",M878,IFERROR(IF((OFFSET($C878,0,$A878))&lt;0,
MIN(0,M878-(OFFSET($C878,0,$A878)/(OFFSET($C873,-$A877,$A878)))),
MAX(0,M878-(OFFSET($C878,0,$A878)/(OFFSET($C873,-$A877,$A878))))),0))</f>
        <v>0</v>
      </c>
      <c r="O878" s="1423">
        <f t="shared" ref="O878:O888" ca="1" si="1261">IF(N902="n/a",N878,IFERROR(IF((OFFSET($C878,0,$A878))&lt;0,
MIN(0,N878-(OFFSET($C878,0,$A878)/(OFFSET($C873,-$A877,$A878)))),
MAX(0,N878-(OFFSET($C878,0,$A878)/(OFFSET($C873,-$A877,$A878))))),0))</f>
        <v>0</v>
      </c>
      <c r="P878" s="1423">
        <f t="shared" ref="P878:P889" ca="1" si="1262">IF(O902="n/a",O878,IFERROR(IF((OFFSET($C878,0,$A878))&lt;0,
MIN(0,O878-(OFFSET($C878,0,$A878)/(OFFSET($C873,-$A877,$A878)))),
MAX(0,O878-(OFFSET($C878,0,$A878)/(OFFSET($C873,-$A877,$A878))))),0))</f>
        <v>0</v>
      </c>
      <c r="Q878" s="1423">
        <f t="shared" ref="Q878:Q890" ca="1" si="1263">IF(P902="n/a",P878,IFERROR(IF((OFFSET($C878,0,$A878))&lt;0,
MIN(0,P878-(OFFSET($C878,0,$A878)/(OFFSET($C873,-$A877,$A878)))),
MAX(0,P878-(OFFSET($C878,0,$A878)/(OFFSET($C873,-$A877,$A878))))),0))</f>
        <v>0</v>
      </c>
      <c r="R878" s="1423">
        <f t="shared" ref="R878:R891" ca="1" si="1264">IF(Q902="n/a",Q878,IFERROR(IF((OFFSET($C878,0,$A878))&lt;0,
MIN(0,Q878-(OFFSET($C878,0,$A878)/(OFFSET($C873,-$A877,$A878)))),
MAX(0,Q878-(OFFSET($C878,0,$A878)/(OFFSET($C873,-$A877,$A878))))),0))</f>
        <v>0</v>
      </c>
      <c r="S878" s="1423">
        <f t="shared" ref="S878:S892" ca="1" si="1265">IF(R902="n/a",R878,IFERROR(IF((OFFSET($C878,0,$A878))&lt;0,
MIN(0,R878-(OFFSET($C878,0,$A878)/(OFFSET($C873,-$A877,$A878)))),
MAX(0,R878-(OFFSET($C878,0,$A878)/(OFFSET($C873,-$A877,$A878))))),0))</f>
        <v>0</v>
      </c>
      <c r="T878" s="1423">
        <f t="shared" ref="T878:T893" ca="1" si="1266">IF(S902="n/a",S878,IFERROR(IF((OFFSET($C878,0,$A878))&lt;0,
MIN(0,S878-(OFFSET($C878,0,$A878)/(OFFSET($C873,-$A877,$A878)))),
MAX(0,S878-(OFFSET($C878,0,$A878)/(OFFSET($C873,-$A877,$A878))))),0))</f>
        <v>0</v>
      </c>
      <c r="U878" s="1423">
        <f t="shared" ref="U878:U894" ca="1" si="1267">IF(T902="n/a",T878,IFERROR(IF((OFFSET($C878,0,$A878))&lt;0,
MIN(0,T878-(OFFSET($C878,0,$A878)/(OFFSET($C873,-$A877,$A878)))),
MAX(0,T878-(OFFSET($C878,0,$A878)/(OFFSET($C873,-$A877,$A878))))),0))</f>
        <v>0</v>
      </c>
      <c r="V878" s="1423">
        <f t="shared" ref="V878:V895" ca="1" si="1268">IF(U902="n/a",U878,IFERROR(IF((OFFSET($C878,0,$A878))&lt;0,
MIN(0,U878-(OFFSET($C878,0,$A878)/(OFFSET($C873,-$A877,$A878)))),
MAX(0,U878-(OFFSET($C878,0,$A878)/(OFFSET($C873,-$A877,$A878))))),0))</f>
        <v>0</v>
      </c>
      <c r="W878" s="1423">
        <f t="shared" ref="W878:W896" ca="1" si="1269">IF(V902="n/a",V878,IFERROR(IF((OFFSET($C878,0,$A878))&lt;0,
MIN(0,V878-(OFFSET($C878,0,$A878)/(OFFSET($C873,-$A877,$A878)))),
MAX(0,V878-(OFFSET($C878,0,$A878)/(OFFSET($C873,-$A877,$A878))))),0))</f>
        <v>0</v>
      </c>
      <c r="X878" s="152"/>
      <c r="Y878" s="152"/>
      <c r="Z878" s="152"/>
      <c r="AA878" s="152"/>
      <c r="AB878" s="152"/>
    </row>
    <row r="879" spans="1:28" hidden="1" outlineLevel="1">
      <c r="A879" s="199">
        <f t="shared" ref="A879:A898" si="1270">A878+1</f>
        <v>1</v>
      </c>
      <c r="B879" s="190" t="str">
        <f t="shared" ref="B879:B898" ca="1" si="1271">"Depreciated Net Capex "&amp;OFFSET($C$6,0,A879)</f>
        <v>Depreciated Net Capex 2016-17</v>
      </c>
      <c r="C879" s="1424"/>
      <c r="D879" s="1425">
        <f>D873</f>
        <v>0</v>
      </c>
      <c r="E879" s="1423">
        <f ca="1">IF(D903="n/a",D879,IFERROR(IF((OFFSET($C879,0,$A879))&lt;0,
MIN(0,D879-(OFFSET($C879,0,$A879)/(OFFSET($C874,-$A878,$A879)))),
MAX(0,D879-(OFFSET($C879,0,$A879)/(OFFSET($C874,-$A878,$A879))))),0))</f>
        <v>0</v>
      </c>
      <c r="F879" s="1423">
        <f t="shared" ca="1" si="1252"/>
        <v>0</v>
      </c>
      <c r="G879" s="1423">
        <f t="shared" ca="1" si="1253"/>
        <v>0</v>
      </c>
      <c r="H879" s="1423">
        <f t="shared" ca="1" si="1254"/>
        <v>0</v>
      </c>
      <c r="I879" s="1423">
        <f t="shared" ca="1" si="1255"/>
        <v>0</v>
      </c>
      <c r="J879" s="1423">
        <f t="shared" ca="1" si="1256"/>
        <v>0</v>
      </c>
      <c r="K879" s="1423">
        <f t="shared" ca="1" si="1257"/>
        <v>0</v>
      </c>
      <c r="L879" s="1423">
        <f t="shared" ca="1" si="1258"/>
        <v>0</v>
      </c>
      <c r="M879" s="1423">
        <f t="shared" ca="1" si="1259"/>
        <v>0</v>
      </c>
      <c r="N879" s="1423">
        <f t="shared" ca="1" si="1260"/>
        <v>0</v>
      </c>
      <c r="O879" s="1423">
        <f t="shared" ca="1" si="1261"/>
        <v>0</v>
      </c>
      <c r="P879" s="1423">
        <f t="shared" ca="1" si="1262"/>
        <v>0</v>
      </c>
      <c r="Q879" s="1423">
        <f t="shared" ca="1" si="1263"/>
        <v>0</v>
      </c>
      <c r="R879" s="1423">
        <f t="shared" ca="1" si="1264"/>
        <v>0</v>
      </c>
      <c r="S879" s="1423">
        <f t="shared" ca="1" si="1265"/>
        <v>0</v>
      </c>
      <c r="T879" s="1423">
        <f t="shared" ca="1" si="1266"/>
        <v>0</v>
      </c>
      <c r="U879" s="1423">
        <f t="shared" ca="1" si="1267"/>
        <v>0</v>
      </c>
      <c r="V879" s="1423">
        <f t="shared" ca="1" si="1268"/>
        <v>0</v>
      </c>
      <c r="W879" s="1423">
        <f t="shared" ca="1" si="1269"/>
        <v>0</v>
      </c>
      <c r="X879" s="152"/>
      <c r="Y879" s="152"/>
      <c r="Z879" s="152"/>
      <c r="AA879" s="152"/>
      <c r="AB879" s="152"/>
    </row>
    <row r="880" spans="1:28" hidden="1" outlineLevel="1">
      <c r="A880" s="199">
        <f t="shared" si="1270"/>
        <v>2</v>
      </c>
      <c r="B880" s="190" t="str">
        <f t="shared" ca="1" si="1271"/>
        <v>Depreciated Net Capex 2017-18</v>
      </c>
      <c r="C880" s="1426"/>
      <c r="D880" s="1427"/>
      <c r="E880" s="1425">
        <f>E873</f>
        <v>0</v>
      </c>
      <c r="F880" s="1423">
        <f ca="1">IF(E904="n/a",E880,IFERROR(IF((OFFSET($C880,0,$A880))&lt;0,
MIN(0,E880-(OFFSET($C880,0,$A880)/(OFFSET($C875,-$A879,$A880)))),
MAX(0,E880-(OFFSET($C880,0,$A880)/(OFFSET($C875,-$A879,$A880))))),0))</f>
        <v>0</v>
      </c>
      <c r="G880" s="1423">
        <f t="shared" ca="1" si="1253"/>
        <v>0</v>
      </c>
      <c r="H880" s="1423">
        <f t="shared" ca="1" si="1254"/>
        <v>0</v>
      </c>
      <c r="I880" s="1423">
        <f t="shared" ca="1" si="1255"/>
        <v>0</v>
      </c>
      <c r="J880" s="1423">
        <f t="shared" ca="1" si="1256"/>
        <v>0</v>
      </c>
      <c r="K880" s="1423">
        <f t="shared" ca="1" si="1257"/>
        <v>0</v>
      </c>
      <c r="L880" s="1423">
        <f t="shared" ca="1" si="1258"/>
        <v>0</v>
      </c>
      <c r="M880" s="1423">
        <f t="shared" ca="1" si="1259"/>
        <v>0</v>
      </c>
      <c r="N880" s="1423">
        <f t="shared" ca="1" si="1260"/>
        <v>0</v>
      </c>
      <c r="O880" s="1423">
        <f t="shared" ca="1" si="1261"/>
        <v>0</v>
      </c>
      <c r="P880" s="1423">
        <f t="shared" ca="1" si="1262"/>
        <v>0</v>
      </c>
      <c r="Q880" s="1423">
        <f t="shared" ca="1" si="1263"/>
        <v>0</v>
      </c>
      <c r="R880" s="1423">
        <f t="shared" ca="1" si="1264"/>
        <v>0</v>
      </c>
      <c r="S880" s="1423">
        <f t="shared" ca="1" si="1265"/>
        <v>0</v>
      </c>
      <c r="T880" s="1423">
        <f t="shared" ca="1" si="1266"/>
        <v>0</v>
      </c>
      <c r="U880" s="1423">
        <f t="shared" ca="1" si="1267"/>
        <v>0</v>
      </c>
      <c r="V880" s="1423">
        <f t="shared" ca="1" si="1268"/>
        <v>0</v>
      </c>
      <c r="W880" s="1423">
        <f t="shared" ca="1" si="1269"/>
        <v>0</v>
      </c>
      <c r="X880" s="202"/>
      <c r="Y880" s="152"/>
      <c r="Z880" s="152"/>
      <c r="AA880" s="152"/>
      <c r="AB880" s="152"/>
    </row>
    <row r="881" spans="1:28" hidden="1" outlineLevel="1">
      <c r="A881" s="199">
        <f t="shared" si="1270"/>
        <v>3</v>
      </c>
      <c r="B881" s="190" t="str">
        <f t="shared" ca="1" si="1271"/>
        <v>Depreciated Net Capex 2018-19</v>
      </c>
      <c r="C881" s="1426"/>
      <c r="D881" s="1426"/>
      <c r="E881" s="1427"/>
      <c r="F881" s="1428">
        <f>F873</f>
        <v>0</v>
      </c>
      <c r="G881" s="1423">
        <f ca="1">IF(F905="n/a",F881,IFERROR(IF((OFFSET($C881,0,$A881))&lt;0,
MIN(0,F881-(OFFSET($C881,0,$A881)/(OFFSET($C876,-$A880,$A881)))),
MAX(0,F881-(OFFSET($C881,0,$A881)/(OFFSET($C876,-$A880,$A881))))),0))</f>
        <v>0</v>
      </c>
      <c r="H881" s="1423">
        <f t="shared" ca="1" si="1254"/>
        <v>0</v>
      </c>
      <c r="I881" s="1423">
        <f t="shared" ca="1" si="1255"/>
        <v>0</v>
      </c>
      <c r="J881" s="1423">
        <f t="shared" ca="1" si="1256"/>
        <v>0</v>
      </c>
      <c r="K881" s="1423">
        <f t="shared" ca="1" si="1257"/>
        <v>0</v>
      </c>
      <c r="L881" s="1423">
        <f t="shared" ca="1" si="1258"/>
        <v>0</v>
      </c>
      <c r="M881" s="1423">
        <f t="shared" ca="1" si="1259"/>
        <v>0</v>
      </c>
      <c r="N881" s="1423">
        <f t="shared" ca="1" si="1260"/>
        <v>0</v>
      </c>
      <c r="O881" s="1423">
        <f t="shared" ca="1" si="1261"/>
        <v>0</v>
      </c>
      <c r="P881" s="1423">
        <f t="shared" ca="1" si="1262"/>
        <v>0</v>
      </c>
      <c r="Q881" s="1423">
        <f t="shared" ca="1" si="1263"/>
        <v>0</v>
      </c>
      <c r="R881" s="1423">
        <f t="shared" ca="1" si="1264"/>
        <v>0</v>
      </c>
      <c r="S881" s="1423">
        <f t="shared" ca="1" si="1265"/>
        <v>0</v>
      </c>
      <c r="T881" s="1423">
        <f t="shared" ca="1" si="1266"/>
        <v>0</v>
      </c>
      <c r="U881" s="1423">
        <f t="shared" ca="1" si="1267"/>
        <v>0</v>
      </c>
      <c r="V881" s="1423">
        <f t="shared" ca="1" si="1268"/>
        <v>0</v>
      </c>
      <c r="W881" s="1423">
        <f t="shared" ca="1" si="1269"/>
        <v>0</v>
      </c>
      <c r="X881" s="202"/>
      <c r="Y881" s="202"/>
      <c r="Z881" s="152"/>
      <c r="AA881" s="152"/>
      <c r="AB881" s="152"/>
    </row>
    <row r="882" spans="1:28" hidden="1" outlineLevel="1">
      <c r="A882" s="199">
        <f t="shared" si="1270"/>
        <v>4</v>
      </c>
      <c r="B882" s="190" t="str">
        <f t="shared" ca="1" si="1271"/>
        <v>Depreciated Net Capex 2019-20</v>
      </c>
      <c r="C882" s="1426"/>
      <c r="D882" s="1426"/>
      <c r="E882" s="1426"/>
      <c r="F882" s="1427"/>
      <c r="G882" s="1428">
        <f>G873</f>
        <v>0</v>
      </c>
      <c r="H882" s="1423">
        <f ca="1">IF(G906="n/a",G882,IFERROR(IF((OFFSET($C882,0,$A882))&lt;0,
MIN(0,G882-(OFFSET($C882,0,$A882)/(OFFSET($C877,-$A881,$A882)))),
MAX(0,G882-(OFFSET($C882,0,$A882)/(OFFSET($C877,-$A881,$A882))))),0))</f>
        <v>0</v>
      </c>
      <c r="I882" s="1423">
        <f t="shared" ca="1" si="1255"/>
        <v>0</v>
      </c>
      <c r="J882" s="1423">
        <f t="shared" ca="1" si="1256"/>
        <v>0</v>
      </c>
      <c r="K882" s="1423">
        <f t="shared" ca="1" si="1257"/>
        <v>0</v>
      </c>
      <c r="L882" s="1423">
        <f t="shared" ca="1" si="1258"/>
        <v>0</v>
      </c>
      <c r="M882" s="1423">
        <f t="shared" ca="1" si="1259"/>
        <v>0</v>
      </c>
      <c r="N882" s="1423">
        <f t="shared" ca="1" si="1260"/>
        <v>0</v>
      </c>
      <c r="O882" s="1423">
        <f t="shared" ca="1" si="1261"/>
        <v>0</v>
      </c>
      <c r="P882" s="1423">
        <f t="shared" ca="1" si="1262"/>
        <v>0</v>
      </c>
      <c r="Q882" s="1423">
        <f t="shared" ca="1" si="1263"/>
        <v>0</v>
      </c>
      <c r="R882" s="1423">
        <f t="shared" ca="1" si="1264"/>
        <v>0</v>
      </c>
      <c r="S882" s="1423">
        <f t="shared" ca="1" si="1265"/>
        <v>0</v>
      </c>
      <c r="T882" s="1423">
        <f t="shared" ca="1" si="1266"/>
        <v>0</v>
      </c>
      <c r="U882" s="1423">
        <f t="shared" ca="1" si="1267"/>
        <v>0</v>
      </c>
      <c r="V882" s="1423">
        <f t="shared" ca="1" si="1268"/>
        <v>0</v>
      </c>
      <c r="W882" s="1423">
        <f t="shared" ca="1" si="1269"/>
        <v>0</v>
      </c>
      <c r="X882" s="202"/>
      <c r="Y882" s="202"/>
      <c r="Z882" s="202"/>
      <c r="AA882" s="152"/>
      <c r="AB882" s="152"/>
    </row>
    <row r="883" spans="1:28" hidden="1" outlineLevel="1">
      <c r="A883" s="199">
        <f t="shared" si="1270"/>
        <v>5</v>
      </c>
      <c r="B883" s="190" t="str">
        <f t="shared" ca="1" si="1271"/>
        <v>Depreciated Net Capex 2020-21</v>
      </c>
      <c r="C883" s="1426"/>
      <c r="D883" s="1426"/>
      <c r="E883" s="1426"/>
      <c r="F883" s="1426"/>
      <c r="G883" s="1427"/>
      <c r="H883" s="1428">
        <f>H873</f>
        <v>0</v>
      </c>
      <c r="I883" s="1423">
        <f ca="1">IF(H907="n/a",H883,IFERROR(IF((OFFSET($C883,0,$A883))&lt;0,
MIN(0,H883-(OFFSET($C883,0,$A883)/(OFFSET($C878,-$A882,$A883)))),
MAX(0,H883-(OFFSET($C883,0,$A883)/(OFFSET($C878,-$A882,$A883))))),0))</f>
        <v>0</v>
      </c>
      <c r="J883" s="1423">
        <f t="shared" ca="1" si="1256"/>
        <v>0</v>
      </c>
      <c r="K883" s="1423">
        <f t="shared" ca="1" si="1257"/>
        <v>0</v>
      </c>
      <c r="L883" s="1423">
        <f t="shared" ca="1" si="1258"/>
        <v>0</v>
      </c>
      <c r="M883" s="1423">
        <f t="shared" ca="1" si="1259"/>
        <v>0</v>
      </c>
      <c r="N883" s="1423">
        <f t="shared" ca="1" si="1260"/>
        <v>0</v>
      </c>
      <c r="O883" s="1423">
        <f t="shared" ca="1" si="1261"/>
        <v>0</v>
      </c>
      <c r="P883" s="1423">
        <f t="shared" ca="1" si="1262"/>
        <v>0</v>
      </c>
      <c r="Q883" s="1423">
        <f t="shared" ca="1" si="1263"/>
        <v>0</v>
      </c>
      <c r="R883" s="1423">
        <f t="shared" ca="1" si="1264"/>
        <v>0</v>
      </c>
      <c r="S883" s="1423">
        <f t="shared" ca="1" si="1265"/>
        <v>0</v>
      </c>
      <c r="T883" s="1423">
        <f t="shared" ca="1" si="1266"/>
        <v>0</v>
      </c>
      <c r="U883" s="1423">
        <f t="shared" ca="1" si="1267"/>
        <v>0</v>
      </c>
      <c r="V883" s="1423">
        <f t="shared" ca="1" si="1268"/>
        <v>0</v>
      </c>
      <c r="W883" s="1423">
        <f t="shared" ca="1" si="1269"/>
        <v>0</v>
      </c>
      <c r="X883" s="202"/>
      <c r="Y883" s="202"/>
      <c r="Z883" s="202"/>
      <c r="AA883" s="152"/>
      <c r="AB883" s="152"/>
    </row>
    <row r="884" spans="1:28" hidden="1" outlineLevel="1">
      <c r="A884" s="199">
        <f t="shared" si="1270"/>
        <v>6</v>
      </c>
      <c r="B884" s="190" t="str">
        <f t="shared" ca="1" si="1271"/>
        <v>Depreciated Net Capex 2021-22</v>
      </c>
      <c r="C884" s="1426"/>
      <c r="D884" s="1426"/>
      <c r="E884" s="1426"/>
      <c r="F884" s="1426"/>
      <c r="G884" s="1426"/>
      <c r="H884" s="1427"/>
      <c r="I884" s="1428">
        <f>I873</f>
        <v>0</v>
      </c>
      <c r="J884" s="1423">
        <f ca="1">IF(I908="n/a",I884,IFERROR(IF((OFFSET($C884,0,$A884))&lt;0,
MIN(0,I884-(OFFSET($C884,0,$A884)/(OFFSET($C879,-$A883,$A884)))),
MAX(0,I884-(OFFSET($C884,0,$A884)/(OFFSET($C879,-$A883,$A884))))),0))</f>
        <v>0</v>
      </c>
      <c r="K884" s="1423">
        <f t="shared" ca="1" si="1257"/>
        <v>0</v>
      </c>
      <c r="L884" s="1423">
        <f t="shared" ca="1" si="1258"/>
        <v>0</v>
      </c>
      <c r="M884" s="1423">
        <f t="shared" ca="1" si="1259"/>
        <v>0</v>
      </c>
      <c r="N884" s="1423">
        <f t="shared" ca="1" si="1260"/>
        <v>0</v>
      </c>
      <c r="O884" s="1423">
        <f t="shared" ca="1" si="1261"/>
        <v>0</v>
      </c>
      <c r="P884" s="1423">
        <f t="shared" ca="1" si="1262"/>
        <v>0</v>
      </c>
      <c r="Q884" s="1423">
        <f t="shared" ca="1" si="1263"/>
        <v>0</v>
      </c>
      <c r="R884" s="1423">
        <f t="shared" ca="1" si="1264"/>
        <v>0</v>
      </c>
      <c r="S884" s="1423">
        <f t="shared" ca="1" si="1265"/>
        <v>0</v>
      </c>
      <c r="T884" s="1423">
        <f t="shared" ca="1" si="1266"/>
        <v>0</v>
      </c>
      <c r="U884" s="1423">
        <f t="shared" ca="1" si="1267"/>
        <v>0</v>
      </c>
      <c r="V884" s="1423">
        <f t="shared" ca="1" si="1268"/>
        <v>0</v>
      </c>
      <c r="W884" s="1423">
        <f t="shared" ca="1" si="1269"/>
        <v>0</v>
      </c>
      <c r="X884" s="202"/>
      <c r="Y884" s="202"/>
      <c r="Z884" s="202"/>
      <c r="AA884" s="152"/>
      <c r="AB884" s="152"/>
    </row>
    <row r="885" spans="1:28" hidden="1" outlineLevel="1">
      <c r="A885" s="199">
        <f t="shared" si="1270"/>
        <v>7</v>
      </c>
      <c r="B885" s="190" t="str">
        <f t="shared" ca="1" si="1271"/>
        <v>Depreciated Net Capex 2022-23</v>
      </c>
      <c r="C885" s="1426"/>
      <c r="D885" s="1426"/>
      <c r="E885" s="1426"/>
      <c r="F885" s="1426"/>
      <c r="G885" s="1426"/>
      <c r="H885" s="1426"/>
      <c r="I885" s="1427"/>
      <c r="J885" s="1428">
        <f>J873</f>
        <v>0</v>
      </c>
      <c r="K885" s="1423">
        <f ca="1">IF(J909="n/a",J885,IFERROR(IF((OFFSET($C885,0,$A885))&lt;0,
MIN(0,J885-(OFFSET($C885,0,$A885)/(OFFSET($C880,-$A884,$A885)))),
MAX(0,J885-(OFFSET($C885,0,$A885)/(OFFSET($C880,-$A884,$A885))))),0))</f>
        <v>0</v>
      </c>
      <c r="L885" s="1423">
        <f t="shared" ca="1" si="1258"/>
        <v>0</v>
      </c>
      <c r="M885" s="1423">
        <f t="shared" ca="1" si="1259"/>
        <v>0</v>
      </c>
      <c r="N885" s="1423">
        <f t="shared" ca="1" si="1260"/>
        <v>0</v>
      </c>
      <c r="O885" s="1423">
        <f t="shared" ca="1" si="1261"/>
        <v>0</v>
      </c>
      <c r="P885" s="1423">
        <f t="shared" ca="1" si="1262"/>
        <v>0</v>
      </c>
      <c r="Q885" s="1423">
        <f t="shared" ca="1" si="1263"/>
        <v>0</v>
      </c>
      <c r="R885" s="1423">
        <f t="shared" ca="1" si="1264"/>
        <v>0</v>
      </c>
      <c r="S885" s="1423">
        <f t="shared" ca="1" si="1265"/>
        <v>0</v>
      </c>
      <c r="T885" s="1423">
        <f t="shared" ca="1" si="1266"/>
        <v>0</v>
      </c>
      <c r="U885" s="1423">
        <f t="shared" ca="1" si="1267"/>
        <v>0</v>
      </c>
      <c r="V885" s="1423">
        <f t="shared" ca="1" si="1268"/>
        <v>0</v>
      </c>
      <c r="W885" s="1423">
        <f t="shared" ca="1" si="1269"/>
        <v>0</v>
      </c>
      <c r="X885" s="202"/>
      <c r="Y885" s="202"/>
      <c r="Z885" s="202"/>
      <c r="AA885" s="152"/>
      <c r="AB885" s="152"/>
    </row>
    <row r="886" spans="1:28" hidden="1" outlineLevel="1">
      <c r="A886" s="199">
        <f t="shared" si="1270"/>
        <v>8</v>
      </c>
      <c r="B886" s="190" t="str">
        <f t="shared" ca="1" si="1271"/>
        <v>Depreciated Net Capex 2023-24</v>
      </c>
      <c r="C886" s="1426"/>
      <c r="D886" s="1426"/>
      <c r="E886" s="1426"/>
      <c r="F886" s="1426"/>
      <c r="G886" s="1426"/>
      <c r="H886" s="1426"/>
      <c r="I886" s="1426"/>
      <c r="J886" s="1427"/>
      <c r="K886" s="1428">
        <f>K873</f>
        <v>0</v>
      </c>
      <c r="L886" s="1423">
        <f ca="1">IF(K910="n/a",K886,IFERROR(IF((OFFSET($C886,0,$A886))&lt;0,
MIN(0,K886-(OFFSET($C886,0,$A886)/(OFFSET($C881,-$A885,$A886)))),
MAX(0,K886-(OFFSET($C886,0,$A886)/(OFFSET($C881,-$A885,$A886))))),0))</f>
        <v>0</v>
      </c>
      <c r="M886" s="1423">
        <f t="shared" ca="1" si="1259"/>
        <v>0</v>
      </c>
      <c r="N886" s="1423">
        <f t="shared" ca="1" si="1260"/>
        <v>0</v>
      </c>
      <c r="O886" s="1423">
        <f t="shared" ca="1" si="1261"/>
        <v>0</v>
      </c>
      <c r="P886" s="1423">
        <f t="shared" ca="1" si="1262"/>
        <v>0</v>
      </c>
      <c r="Q886" s="1423">
        <f t="shared" ca="1" si="1263"/>
        <v>0</v>
      </c>
      <c r="R886" s="1423">
        <f t="shared" ca="1" si="1264"/>
        <v>0</v>
      </c>
      <c r="S886" s="1423">
        <f t="shared" ca="1" si="1265"/>
        <v>0</v>
      </c>
      <c r="T886" s="1423">
        <f t="shared" ca="1" si="1266"/>
        <v>0</v>
      </c>
      <c r="U886" s="1423">
        <f t="shared" ca="1" si="1267"/>
        <v>0</v>
      </c>
      <c r="V886" s="1423">
        <f t="shared" ca="1" si="1268"/>
        <v>0</v>
      </c>
      <c r="W886" s="1423">
        <f t="shared" ca="1" si="1269"/>
        <v>0</v>
      </c>
      <c r="X886" s="202"/>
      <c r="Y886" s="202"/>
      <c r="Z886" s="202"/>
      <c r="AA886" s="152"/>
      <c r="AB886" s="152"/>
    </row>
    <row r="887" spans="1:28" hidden="1" outlineLevel="1">
      <c r="A887" s="199">
        <f t="shared" si="1270"/>
        <v>9</v>
      </c>
      <c r="B887" s="190" t="str">
        <f t="shared" ca="1" si="1271"/>
        <v>Depreciated Net Capex 2024-25</v>
      </c>
      <c r="C887" s="1426"/>
      <c r="D887" s="1426"/>
      <c r="E887" s="1426"/>
      <c r="F887" s="1426"/>
      <c r="G887" s="1426"/>
      <c r="H887" s="1426"/>
      <c r="I887" s="1426"/>
      <c r="J887" s="1426"/>
      <c r="K887" s="1427"/>
      <c r="L887" s="1428">
        <f>L873</f>
        <v>0</v>
      </c>
      <c r="M887" s="1423">
        <f ca="1">IF(L911="n/a",L887,IFERROR(IF((OFFSET($C887,0,$A887))&lt;0,
MIN(0,L887-(OFFSET($C887,0,$A887)/(OFFSET($C882,-$A886,$A887)))),
MAX(0,L887-(OFFSET($C887,0,$A887)/(OFFSET($C882,-$A886,$A887))))),0))</f>
        <v>0</v>
      </c>
      <c r="N887" s="1423">
        <f t="shared" ca="1" si="1260"/>
        <v>0</v>
      </c>
      <c r="O887" s="1423">
        <f t="shared" ca="1" si="1261"/>
        <v>0</v>
      </c>
      <c r="P887" s="1423">
        <f t="shared" ca="1" si="1262"/>
        <v>0</v>
      </c>
      <c r="Q887" s="1423">
        <f t="shared" ca="1" si="1263"/>
        <v>0</v>
      </c>
      <c r="R887" s="1423">
        <f t="shared" ca="1" si="1264"/>
        <v>0</v>
      </c>
      <c r="S887" s="1423">
        <f t="shared" ca="1" si="1265"/>
        <v>0</v>
      </c>
      <c r="T887" s="1423">
        <f t="shared" ca="1" si="1266"/>
        <v>0</v>
      </c>
      <c r="U887" s="1423">
        <f t="shared" ca="1" si="1267"/>
        <v>0</v>
      </c>
      <c r="V887" s="1423">
        <f t="shared" ca="1" si="1268"/>
        <v>0</v>
      </c>
      <c r="W887" s="1423">
        <f t="shared" ca="1" si="1269"/>
        <v>0</v>
      </c>
      <c r="X887" s="202"/>
      <c r="Y887" s="202"/>
      <c r="Z887" s="202"/>
      <c r="AA887" s="152"/>
      <c r="AB887" s="152"/>
    </row>
    <row r="888" spans="1:28" hidden="1" outlineLevel="1">
      <c r="A888" s="199">
        <f t="shared" si="1270"/>
        <v>10</v>
      </c>
      <c r="B888" s="190" t="str">
        <f t="shared" ca="1" si="1271"/>
        <v>Depreciated Net Capex 2025-26</v>
      </c>
      <c r="C888" s="1426"/>
      <c r="D888" s="1426"/>
      <c r="E888" s="1426"/>
      <c r="F888" s="1426"/>
      <c r="G888" s="1426"/>
      <c r="H888" s="1426"/>
      <c r="I888" s="1426"/>
      <c r="J888" s="1426"/>
      <c r="K888" s="1426"/>
      <c r="L888" s="1427"/>
      <c r="M888" s="1428">
        <f>M873</f>
        <v>0</v>
      </c>
      <c r="N888" s="1423">
        <f ca="1">IF(M912="n/a",M888,IFERROR(IF((OFFSET($C888,0,$A888))&lt;0,
MIN(0,M888-(OFFSET($C888,0,$A888)/(OFFSET($C883,-$A887,$A888)))),
MAX(0,M888-(OFFSET($C888,0,$A888)/(OFFSET($C883,-$A887,$A888))))),0))</f>
        <v>0</v>
      </c>
      <c r="O888" s="1423">
        <f t="shared" ca="1" si="1261"/>
        <v>0</v>
      </c>
      <c r="P888" s="1423">
        <f t="shared" ca="1" si="1262"/>
        <v>0</v>
      </c>
      <c r="Q888" s="1423">
        <f t="shared" ca="1" si="1263"/>
        <v>0</v>
      </c>
      <c r="R888" s="1423">
        <f t="shared" ca="1" si="1264"/>
        <v>0</v>
      </c>
      <c r="S888" s="1423">
        <f t="shared" ca="1" si="1265"/>
        <v>0</v>
      </c>
      <c r="T888" s="1423">
        <f t="shared" ca="1" si="1266"/>
        <v>0</v>
      </c>
      <c r="U888" s="1423">
        <f t="shared" ca="1" si="1267"/>
        <v>0</v>
      </c>
      <c r="V888" s="1423">
        <f t="shared" ca="1" si="1268"/>
        <v>0</v>
      </c>
      <c r="W888" s="1423">
        <f t="shared" ca="1" si="1269"/>
        <v>0</v>
      </c>
      <c r="X888" s="202"/>
      <c r="Y888" s="202"/>
      <c r="Z888" s="202"/>
      <c r="AA888" s="152"/>
      <c r="AB888" s="152"/>
    </row>
    <row r="889" spans="1:28" hidden="1" outlineLevel="1">
      <c r="A889" s="199">
        <f t="shared" si="1270"/>
        <v>11</v>
      </c>
      <c r="B889" s="190" t="str">
        <f t="shared" ca="1" si="1271"/>
        <v>Depreciated Net Capex 2026-27</v>
      </c>
      <c r="C889" s="1426"/>
      <c r="D889" s="1426"/>
      <c r="E889" s="1426"/>
      <c r="F889" s="1426"/>
      <c r="G889" s="1426"/>
      <c r="H889" s="1426"/>
      <c r="I889" s="1426"/>
      <c r="J889" s="1426"/>
      <c r="K889" s="1426"/>
      <c r="L889" s="1426"/>
      <c r="M889" s="1427"/>
      <c r="N889" s="1428">
        <f>N873</f>
        <v>0</v>
      </c>
      <c r="O889" s="1423">
        <f ca="1">IF(N913="n/a",N889,IFERROR(IF((OFFSET($C889,0,$A889))&lt;0,
MIN(0,N889-(OFFSET($C889,0,$A889)/(OFFSET($C884,-$A888,$A889)))),
MAX(0,N889-(OFFSET($C889,0,$A889)/(OFFSET($C884,-$A888,$A889))))),0))</f>
        <v>0</v>
      </c>
      <c r="P889" s="1423">
        <f t="shared" ca="1" si="1262"/>
        <v>0</v>
      </c>
      <c r="Q889" s="1423">
        <f t="shared" ca="1" si="1263"/>
        <v>0</v>
      </c>
      <c r="R889" s="1423">
        <f t="shared" ca="1" si="1264"/>
        <v>0</v>
      </c>
      <c r="S889" s="1423">
        <f t="shared" ca="1" si="1265"/>
        <v>0</v>
      </c>
      <c r="T889" s="1423">
        <f t="shared" ca="1" si="1266"/>
        <v>0</v>
      </c>
      <c r="U889" s="1423">
        <f t="shared" ca="1" si="1267"/>
        <v>0</v>
      </c>
      <c r="V889" s="1423">
        <f t="shared" ca="1" si="1268"/>
        <v>0</v>
      </c>
      <c r="W889" s="1423">
        <f t="shared" ca="1" si="1269"/>
        <v>0</v>
      </c>
      <c r="X889" s="202"/>
      <c r="Y889" s="202"/>
      <c r="Z889" s="202"/>
      <c r="AA889" s="152"/>
      <c r="AB889" s="152"/>
    </row>
    <row r="890" spans="1:28" hidden="1" outlineLevel="1">
      <c r="A890" s="199">
        <f t="shared" si="1270"/>
        <v>12</v>
      </c>
      <c r="B890" s="190" t="str">
        <f t="shared" ca="1" si="1271"/>
        <v>Depreciated Net Capex 2027-28</v>
      </c>
      <c r="C890" s="1426"/>
      <c r="D890" s="1426"/>
      <c r="E890" s="1426"/>
      <c r="F890" s="1426"/>
      <c r="G890" s="1426"/>
      <c r="H890" s="1426"/>
      <c r="I890" s="1426"/>
      <c r="J890" s="1426"/>
      <c r="K890" s="1426"/>
      <c r="L890" s="1426"/>
      <c r="M890" s="1426"/>
      <c r="N890" s="1427"/>
      <c r="O890" s="1428">
        <f>O873</f>
        <v>0</v>
      </c>
      <c r="P890" s="1423">
        <f ca="1">IF(O914="n/a",O890,IFERROR(IF((OFFSET($C890,0,$A890))&lt;0,
MIN(0,O890-(OFFSET($C890,0,$A890)/(OFFSET($C885,-$A889,$A890)))),
MAX(0,O890-(OFFSET($C890,0,$A890)/(OFFSET($C885,-$A889,$A890))))),0))</f>
        <v>0</v>
      </c>
      <c r="Q890" s="1423">
        <f t="shared" ca="1" si="1263"/>
        <v>0</v>
      </c>
      <c r="R890" s="1423">
        <f t="shared" ca="1" si="1264"/>
        <v>0</v>
      </c>
      <c r="S890" s="1423">
        <f t="shared" ca="1" si="1265"/>
        <v>0</v>
      </c>
      <c r="T890" s="1423">
        <f t="shared" ca="1" si="1266"/>
        <v>0</v>
      </c>
      <c r="U890" s="1423">
        <f t="shared" ca="1" si="1267"/>
        <v>0</v>
      </c>
      <c r="V890" s="1423">
        <f t="shared" ca="1" si="1268"/>
        <v>0</v>
      </c>
      <c r="W890" s="1423">
        <f t="shared" ca="1" si="1269"/>
        <v>0</v>
      </c>
      <c r="X890" s="202"/>
      <c r="Y890" s="202"/>
      <c r="Z890" s="202"/>
      <c r="AA890" s="152"/>
      <c r="AB890" s="152"/>
    </row>
    <row r="891" spans="1:28" hidden="1" outlineLevel="1">
      <c r="A891" s="199">
        <f t="shared" si="1270"/>
        <v>13</v>
      </c>
      <c r="B891" s="190" t="str">
        <f t="shared" ca="1" si="1271"/>
        <v>Depreciated Net Capex 2028-29</v>
      </c>
      <c r="C891" s="1426"/>
      <c r="D891" s="1426"/>
      <c r="E891" s="1426"/>
      <c r="F891" s="1426"/>
      <c r="G891" s="1426"/>
      <c r="H891" s="1426"/>
      <c r="I891" s="1426"/>
      <c r="J891" s="1426"/>
      <c r="K891" s="1426"/>
      <c r="L891" s="1426"/>
      <c r="M891" s="1426"/>
      <c r="N891" s="1426"/>
      <c r="O891" s="1427"/>
      <c r="P891" s="1428">
        <f>P873</f>
        <v>0</v>
      </c>
      <c r="Q891" s="1423">
        <f ca="1">IF(P915="n/a",P891,IFERROR(IF((OFFSET($C891,0,$A891))&lt;0,
MIN(0,P891-(OFFSET($C891,0,$A891)/(OFFSET($C886,-$A890,$A891)))),
MAX(0,P891-(OFFSET($C891,0,$A891)/(OFFSET($C886,-$A890,$A891))))),0))</f>
        <v>0</v>
      </c>
      <c r="R891" s="1423">
        <f t="shared" ca="1" si="1264"/>
        <v>0</v>
      </c>
      <c r="S891" s="1423">
        <f t="shared" ca="1" si="1265"/>
        <v>0</v>
      </c>
      <c r="T891" s="1423">
        <f t="shared" ca="1" si="1266"/>
        <v>0</v>
      </c>
      <c r="U891" s="1423">
        <f t="shared" ca="1" si="1267"/>
        <v>0</v>
      </c>
      <c r="V891" s="1423">
        <f t="shared" ca="1" si="1268"/>
        <v>0</v>
      </c>
      <c r="W891" s="1423">
        <f t="shared" ca="1" si="1269"/>
        <v>0</v>
      </c>
      <c r="X891" s="202"/>
      <c r="Y891" s="202"/>
      <c r="Z891" s="202"/>
      <c r="AA891" s="152"/>
      <c r="AB891" s="152"/>
    </row>
    <row r="892" spans="1:28" hidden="1" outlineLevel="1">
      <c r="A892" s="199">
        <f t="shared" si="1270"/>
        <v>14</v>
      </c>
      <c r="B892" s="190" t="str">
        <f t="shared" ca="1" si="1271"/>
        <v>Depreciated Net Capex 2029-30</v>
      </c>
      <c r="C892" s="1426"/>
      <c r="D892" s="1426"/>
      <c r="E892" s="1426"/>
      <c r="F892" s="1426"/>
      <c r="G892" s="1426"/>
      <c r="H892" s="1426"/>
      <c r="I892" s="1426"/>
      <c r="J892" s="1426"/>
      <c r="K892" s="1426"/>
      <c r="L892" s="1426"/>
      <c r="M892" s="1426"/>
      <c r="N892" s="1426"/>
      <c r="O892" s="1426"/>
      <c r="P892" s="1427"/>
      <c r="Q892" s="1428">
        <f>Q873</f>
        <v>0</v>
      </c>
      <c r="R892" s="1423">
        <f ca="1">IF(Q916="n/a",Q892,IFERROR(IF((OFFSET($C892,0,$A892))&lt;0,
MIN(0,Q892-(OFFSET($C892,0,$A892)/(OFFSET($C887,-$A891,$A892)))),
MAX(0,Q892-(OFFSET($C892,0,$A892)/(OFFSET($C887,-$A891,$A892))))),0))</f>
        <v>0</v>
      </c>
      <c r="S892" s="1423">
        <f t="shared" ca="1" si="1265"/>
        <v>0</v>
      </c>
      <c r="T892" s="1423">
        <f t="shared" ca="1" si="1266"/>
        <v>0</v>
      </c>
      <c r="U892" s="1423">
        <f t="shared" ca="1" si="1267"/>
        <v>0</v>
      </c>
      <c r="V892" s="1423">
        <f t="shared" ca="1" si="1268"/>
        <v>0</v>
      </c>
      <c r="W892" s="1423">
        <f t="shared" ca="1" si="1269"/>
        <v>0</v>
      </c>
      <c r="X892" s="202"/>
      <c r="Y892" s="202"/>
      <c r="Z892" s="202"/>
      <c r="AA892" s="152"/>
      <c r="AB892" s="152"/>
    </row>
    <row r="893" spans="1:28" hidden="1" outlineLevel="1">
      <c r="A893" s="199">
        <f t="shared" si="1270"/>
        <v>15</v>
      </c>
      <c r="B893" s="190" t="str">
        <f t="shared" ca="1" si="1271"/>
        <v>Depreciated Net Capex 2030-31</v>
      </c>
      <c r="C893" s="1426"/>
      <c r="D893" s="1426"/>
      <c r="E893" s="1426"/>
      <c r="F893" s="1426"/>
      <c r="G893" s="1426"/>
      <c r="H893" s="1426"/>
      <c r="I893" s="1426"/>
      <c r="J893" s="1426"/>
      <c r="K893" s="1426"/>
      <c r="L893" s="1426"/>
      <c r="M893" s="1426"/>
      <c r="N893" s="1426"/>
      <c r="O893" s="1426"/>
      <c r="P893" s="1426"/>
      <c r="Q893" s="1427"/>
      <c r="R893" s="1428">
        <f>R873</f>
        <v>0</v>
      </c>
      <c r="S893" s="1423">
        <f ca="1">IF(R917="n/a",R893,IFERROR(IF((OFFSET($C893,0,$A893))&lt;0,
MIN(0,R893-(OFFSET($C893,0,$A893)/(OFFSET($C888,-$A892,$A893)))),
MAX(0,R893-(OFFSET($C893,0,$A893)/(OFFSET($C888,-$A892,$A893))))),0))</f>
        <v>0</v>
      </c>
      <c r="T893" s="1423">
        <f t="shared" ca="1" si="1266"/>
        <v>0</v>
      </c>
      <c r="U893" s="1423">
        <f t="shared" ca="1" si="1267"/>
        <v>0</v>
      </c>
      <c r="V893" s="1423">
        <f t="shared" ca="1" si="1268"/>
        <v>0</v>
      </c>
      <c r="W893" s="1423">
        <f t="shared" ca="1" si="1269"/>
        <v>0</v>
      </c>
      <c r="X893" s="202"/>
      <c r="Y893" s="202"/>
      <c r="Z893" s="202"/>
      <c r="AA893" s="152"/>
      <c r="AB893" s="152"/>
    </row>
    <row r="894" spans="1:28" hidden="1" outlineLevel="1">
      <c r="A894" s="199">
        <f t="shared" si="1270"/>
        <v>16</v>
      </c>
      <c r="B894" s="190" t="str">
        <f t="shared" ca="1" si="1271"/>
        <v>Depreciated Net Capex 2031-32</v>
      </c>
      <c r="C894" s="1426"/>
      <c r="D894" s="1426"/>
      <c r="E894" s="1426"/>
      <c r="F894" s="1426"/>
      <c r="G894" s="1426"/>
      <c r="H894" s="1426"/>
      <c r="I894" s="1426"/>
      <c r="J894" s="1426"/>
      <c r="K894" s="1426"/>
      <c r="L894" s="1426"/>
      <c r="M894" s="1426"/>
      <c r="N894" s="1426"/>
      <c r="O894" s="1426"/>
      <c r="P894" s="1426"/>
      <c r="Q894" s="1426"/>
      <c r="R894" s="1427"/>
      <c r="S894" s="1428">
        <f>S873</f>
        <v>0</v>
      </c>
      <c r="T894" s="1423">
        <f ca="1">IF(S918="n/a",S894,IFERROR(IF((OFFSET($C894,0,$A894))&lt;0,
MIN(0,S894-(OFFSET($C894,0,$A894)/(OFFSET($C889,-$A893,$A894)))),
MAX(0,S894-(OFFSET($C894,0,$A894)/(OFFSET($C889,-$A893,$A894))))),0))</f>
        <v>0</v>
      </c>
      <c r="U894" s="1423">
        <f t="shared" ca="1" si="1267"/>
        <v>0</v>
      </c>
      <c r="V894" s="1423">
        <f t="shared" ca="1" si="1268"/>
        <v>0</v>
      </c>
      <c r="W894" s="1423">
        <f t="shared" ca="1" si="1269"/>
        <v>0</v>
      </c>
      <c r="X894" s="202"/>
      <c r="Y894" s="202"/>
      <c r="Z894" s="202"/>
      <c r="AA894" s="152"/>
      <c r="AB894" s="152"/>
    </row>
    <row r="895" spans="1:28" hidden="1" outlineLevel="1">
      <c r="A895" s="199">
        <f t="shared" si="1270"/>
        <v>17</v>
      </c>
      <c r="B895" s="190" t="str">
        <f t="shared" ca="1" si="1271"/>
        <v>Depreciated Net Capex 2032-33</v>
      </c>
      <c r="C895" s="1426"/>
      <c r="D895" s="1426"/>
      <c r="E895" s="1426"/>
      <c r="F895" s="1426"/>
      <c r="G895" s="1426"/>
      <c r="H895" s="1426"/>
      <c r="I895" s="1426"/>
      <c r="J895" s="1426"/>
      <c r="K895" s="1426"/>
      <c r="L895" s="1426"/>
      <c r="M895" s="1426"/>
      <c r="N895" s="1426"/>
      <c r="O895" s="1426"/>
      <c r="P895" s="1426"/>
      <c r="Q895" s="1426"/>
      <c r="R895" s="1426"/>
      <c r="S895" s="1427"/>
      <c r="T895" s="1428">
        <f>T873</f>
        <v>0</v>
      </c>
      <c r="U895" s="1423">
        <f ca="1">IF(T919="n/a",T895,IFERROR(IF((OFFSET($C895,0,$A895))&lt;0,
MIN(0,T895-(OFFSET($C895,0,$A895)/(OFFSET($C890,-$A894,$A895)))),
MAX(0,T895-(OFFSET($C895,0,$A895)/(OFFSET($C890,-$A894,$A895))))),0))</f>
        <v>0</v>
      </c>
      <c r="V895" s="1423">
        <f t="shared" ca="1" si="1268"/>
        <v>0</v>
      </c>
      <c r="W895" s="1423">
        <f t="shared" ca="1" si="1269"/>
        <v>0</v>
      </c>
      <c r="X895" s="202"/>
      <c r="Y895" s="202"/>
      <c r="Z895" s="202"/>
      <c r="AA895" s="152"/>
      <c r="AB895" s="152"/>
    </row>
    <row r="896" spans="1:28" hidden="1" outlineLevel="1">
      <c r="A896" s="199">
        <f t="shared" si="1270"/>
        <v>18</v>
      </c>
      <c r="B896" s="190" t="str">
        <f t="shared" ca="1" si="1271"/>
        <v>Depreciated Net Capex 2033-34</v>
      </c>
      <c r="C896" s="1426"/>
      <c r="D896" s="1426"/>
      <c r="E896" s="1426"/>
      <c r="F896" s="1426"/>
      <c r="G896" s="1426"/>
      <c r="H896" s="1426"/>
      <c r="I896" s="1426"/>
      <c r="J896" s="1426"/>
      <c r="K896" s="1426"/>
      <c r="L896" s="1426"/>
      <c r="M896" s="1426"/>
      <c r="N896" s="1426"/>
      <c r="O896" s="1426"/>
      <c r="P896" s="1426"/>
      <c r="Q896" s="1426"/>
      <c r="R896" s="1426"/>
      <c r="S896" s="1426"/>
      <c r="T896" s="1427"/>
      <c r="U896" s="1428">
        <f>U873</f>
        <v>0</v>
      </c>
      <c r="V896" s="1423">
        <f ca="1">IF(U920="n/a",U896,IFERROR(IF((OFFSET($C896,0,$A896))&lt;0,
MIN(0,U896-(OFFSET($C896,0,$A896)/(OFFSET($C891,-$A895,$A896)))),
MAX(0,U896-(OFFSET($C896,0,$A896)/(OFFSET($C891,-$A895,$A896))))),0))</f>
        <v>0</v>
      </c>
      <c r="W896" s="1423">
        <f t="shared" ca="1" si="1269"/>
        <v>0</v>
      </c>
      <c r="X896" s="202"/>
      <c r="Y896" s="202"/>
      <c r="Z896" s="202"/>
      <c r="AA896" s="152"/>
      <c r="AB896" s="152"/>
    </row>
    <row r="897" spans="1:28" hidden="1" outlineLevel="1">
      <c r="A897" s="199">
        <f t="shared" si="1270"/>
        <v>19</v>
      </c>
      <c r="B897" s="190" t="str">
        <f t="shared" ca="1" si="1271"/>
        <v>Depreciated Net Capex 2034-35</v>
      </c>
      <c r="C897" s="1426"/>
      <c r="D897" s="1426"/>
      <c r="E897" s="1426"/>
      <c r="F897" s="1426"/>
      <c r="G897" s="1426"/>
      <c r="H897" s="1426"/>
      <c r="I897" s="1426"/>
      <c r="J897" s="1426"/>
      <c r="K897" s="1426"/>
      <c r="L897" s="1426"/>
      <c r="M897" s="1426"/>
      <c r="N897" s="1426"/>
      <c r="O897" s="1426"/>
      <c r="P897" s="1426"/>
      <c r="Q897" s="1426"/>
      <c r="R897" s="1426"/>
      <c r="S897" s="1426"/>
      <c r="T897" s="1426"/>
      <c r="U897" s="1427"/>
      <c r="V897" s="1428">
        <f>V873</f>
        <v>0</v>
      </c>
      <c r="W897" s="1423">
        <f ca="1">IF(V921="n/a",V897,IFERROR(IF((OFFSET($C897,0,$A897))&lt;0,
MIN(0,V897-(OFFSET($C897,0,$A897)/(OFFSET($C892,-$A896,$A897)))),
MAX(0,V897-(OFFSET($C897,0,$A897)/(OFFSET($C892,-$A896,$A897))))),0))</f>
        <v>0</v>
      </c>
      <c r="X897" s="202"/>
      <c r="Y897" s="202"/>
      <c r="Z897" s="202"/>
      <c r="AA897" s="152"/>
      <c r="AB897" s="152"/>
    </row>
    <row r="898" spans="1:28" hidden="1" outlineLevel="1">
      <c r="A898" s="199">
        <f t="shared" si="1270"/>
        <v>20</v>
      </c>
      <c r="B898" s="190" t="str">
        <f t="shared" ca="1" si="1271"/>
        <v>Depreciated Net Capex 2035-36</v>
      </c>
      <c r="C898" s="1426"/>
      <c r="D898" s="1426"/>
      <c r="E898" s="1426"/>
      <c r="F898" s="1426"/>
      <c r="G898" s="1426"/>
      <c r="H898" s="1426"/>
      <c r="I898" s="1426"/>
      <c r="J898" s="1426"/>
      <c r="K898" s="1426"/>
      <c r="L898" s="1426"/>
      <c r="M898" s="1426"/>
      <c r="N898" s="1426"/>
      <c r="O898" s="1426"/>
      <c r="P898" s="1426"/>
      <c r="Q898" s="1426"/>
      <c r="R898" s="1426"/>
      <c r="S898" s="1426"/>
      <c r="T898" s="1426"/>
      <c r="U898" s="1426"/>
      <c r="V898" s="1427"/>
      <c r="W898" s="1423">
        <f>W873</f>
        <v>0</v>
      </c>
      <c r="X898" s="152"/>
      <c r="Y898" s="152"/>
      <c r="Z898" s="152"/>
      <c r="AA898" s="152"/>
      <c r="AB898" s="152"/>
    </row>
    <row r="899" spans="1:28" hidden="1" outlineLevel="1">
      <c r="A899" s="152"/>
      <c r="B899" s="200"/>
      <c r="C899" s="1423"/>
      <c r="D899" s="1423"/>
      <c r="E899" s="1423"/>
      <c r="F899" s="1423"/>
      <c r="G899" s="1423"/>
      <c r="H899" s="1423"/>
      <c r="I899" s="1423"/>
      <c r="J899" s="1423"/>
      <c r="K899" s="1423"/>
      <c r="L899" s="1423"/>
      <c r="M899" s="1423"/>
      <c r="N899" s="1423"/>
      <c r="O899" s="1423"/>
      <c r="P899" s="1423"/>
      <c r="Q899" s="1423"/>
      <c r="R899" s="1423"/>
      <c r="S899" s="1423"/>
      <c r="T899" s="1423"/>
      <c r="U899" s="1423"/>
      <c r="V899" s="1423"/>
      <c r="W899" s="1423"/>
      <c r="X899" s="152"/>
      <c r="Y899" s="152"/>
      <c r="Z899" s="152"/>
      <c r="AA899" s="152"/>
      <c r="AB899" s="152"/>
    </row>
    <row r="900" spans="1:28" hidden="1" outlineLevel="1">
      <c r="A900" s="152"/>
      <c r="B900" s="200"/>
      <c r="C900" s="1423"/>
      <c r="D900" s="1423"/>
      <c r="E900" s="1423"/>
      <c r="F900" s="1423"/>
      <c r="G900" s="1423"/>
      <c r="H900" s="1423"/>
      <c r="I900" s="1423"/>
      <c r="J900" s="1423"/>
      <c r="K900" s="1423"/>
      <c r="L900" s="1423"/>
      <c r="M900" s="1423"/>
      <c r="N900" s="1423"/>
      <c r="O900" s="1423"/>
      <c r="P900" s="1423"/>
      <c r="Q900" s="1423"/>
      <c r="R900" s="1423"/>
      <c r="S900" s="1423"/>
      <c r="T900" s="1423"/>
      <c r="U900" s="1423"/>
      <c r="V900" s="1423"/>
      <c r="W900" s="1423"/>
      <c r="X900" s="152"/>
      <c r="Y900" s="152"/>
      <c r="Z900" s="152"/>
      <c r="AA900" s="152"/>
      <c r="AB900" s="152"/>
    </row>
    <row r="901" spans="1:28" hidden="1" outlineLevel="1">
      <c r="A901" s="152"/>
      <c r="B901" s="190" t="s">
        <v>194</v>
      </c>
      <c r="C901" s="1423"/>
      <c r="D901" s="1423">
        <f t="shared" ref="D901" ca="1" si="1272">IF(AND(C901&lt;1,D875=0),0,
IF(D875=0,C901-1,
IF(C901&lt;1,D876,
(((C901-1)*(C877-(C877/(C901))))+(D875*D876))/(D877))))</f>
        <v>0</v>
      </c>
      <c r="E901" s="1423">
        <f t="shared" ref="E901" ca="1" si="1273">IF(AND(D901&lt;1,E875=0),0,
IF(E875=0,D901-1,
IF(D901&lt;1,E876,
(((D901-1)*(D877-(D877/(D901))))+(E875*E876))/(E877))))</f>
        <v>0</v>
      </c>
      <c r="F901" s="1423">
        <f t="shared" ref="F901" ca="1" si="1274">IF(AND(E901&lt;1,F875=0),0,
IF(F875=0,E901-1,
IF(E901&lt;1,F876,
(((E901-1)*(E877-(E877/(E901))))+(F875*F876))/(F877))))</f>
        <v>0</v>
      </c>
      <c r="G901" s="1423">
        <f t="shared" ref="G901" ca="1" si="1275">IF(AND(F901&lt;1,G875=0),0,
IF(G875=0,F901-1,
IF(F901&lt;1,G876,
(((F901-1)*(F877-(F877/(F901))))+(G875*G876))/(G877))))</f>
        <v>0</v>
      </c>
      <c r="H901" s="1423">
        <f ca="1">IF(AND(G901&lt;1,H875=0),0,
IF(H875=0,G901-1,
IF(G901&lt;1,H876,
(((G901-1)*(G877-(G877/(G901))))+(H875*H876))/(H877))))</f>
        <v>0</v>
      </c>
      <c r="I901" s="1423">
        <f t="shared" ref="I901" ca="1" si="1276">IF(AND(H901&lt;1,I875=0),0,
IF(I875=0,H901-1,
IF(H901&lt;1,I876,
(((H901-1)*(H877-(H877/(H901))))+(I875*I876))/(I877))))</f>
        <v>0</v>
      </c>
      <c r="J901" s="1423">
        <f t="shared" ref="J901" ca="1" si="1277">IF(AND(I901&lt;1,J875=0),0,
IF(J875=0,I901-1,
IF(I901&lt;1,J876,
(((I901-1)*(I877-(I877/(I901))))+(J875*J876))/(J877))))</f>
        <v>0</v>
      </c>
      <c r="K901" s="1423">
        <f t="shared" ref="K901" ca="1" si="1278">IF(AND(J901&lt;1,K875=0),0,
IF(K875=0,J901-1,
IF(J901&lt;1,K876,
(((J901-1)*(J877-(J877/(J901))))+(K875*K876))/(K877))))</f>
        <v>0</v>
      </c>
      <c r="L901" s="1423">
        <f t="shared" ref="L901" ca="1" si="1279">IF(AND(K901&lt;1,L875=0),0,
IF(L875=0,K901-1,
IF(K901&lt;1,L876,
(((K901-1)*(K877-(K877/(K901))))+(L875*L876))/(L877))))</f>
        <v>0</v>
      </c>
      <c r="M901" s="1423">
        <f ca="1">IF(AND(L901&lt;1,M875=0),0,
IF(M875=0,L901-1,
IF(L901&lt;1,M876,
(((L901-1)*(L877-(L877/(L901))))+(M875*M876))/(M877))))</f>
        <v>0</v>
      </c>
      <c r="N901" s="1423">
        <f t="shared" ref="N901" ca="1" si="1280">IF(AND(M901&lt;1,N875=0),0,
IF(N875=0,M901-1,
IF(M901&lt;1,N876,
(((M901-1)*(M877-(M877/(M901))))+(N875*N876))/(N877))))</f>
        <v>0</v>
      </c>
      <c r="O901" s="1423">
        <f t="shared" ref="O901" ca="1" si="1281">IF(AND(N901&lt;1,O875=0),0,
IF(O875=0,N901-1,
IF(N901&lt;1,O876,
(((N901-1)*(N877-(N877/(N901))))+(O875*O876))/(O877))))</f>
        <v>0</v>
      </c>
      <c r="P901" s="1423">
        <f t="shared" ref="P901" ca="1" si="1282">IF(AND(O901&lt;1,P875=0),0,
IF(P875=0,O901-1,
IF(O901&lt;1,P876,
(((O901-1)*(O877-(O877/(O901))))+(P875*P876))/(P877))))</f>
        <v>0</v>
      </c>
      <c r="Q901" s="1423">
        <f t="shared" ref="Q901" ca="1" si="1283">IF(AND(P901&lt;1,Q875=0),0,
IF(Q875=0,P901-1,
IF(P901&lt;1,Q876,
(((P901-1)*(P877-(P877/(P901))))+(Q875*Q876))/(Q877))))</f>
        <v>0</v>
      </c>
      <c r="R901" s="1423">
        <f t="shared" ref="R901" ca="1" si="1284">IF(AND(Q901&lt;1,R875=0),0,
IF(R875=0,Q901-1,
IF(Q901&lt;1,R876,
(((Q901-1)*(Q877-(Q877/(Q901))))+(R875*R876))/(R877))))</f>
        <v>0</v>
      </c>
      <c r="S901" s="1423">
        <f t="shared" ref="S901" ca="1" si="1285">IF(AND(R901&lt;1,S875=0),0,
IF(S875=0,R901-1,
IF(R901&lt;1,S876,
(((R901-1)*(R877-(R877/(R901))))+(S875*S876))/(S877))))</f>
        <v>0</v>
      </c>
      <c r="T901" s="1423">
        <f t="shared" ref="T901" ca="1" si="1286">IF(AND(S901&lt;1,T875=0),0,
IF(T875=0,S901-1,
IF(S901&lt;1,T876,
(((S901-1)*(S877-(S877/(S901))))+(T875*T876))/(T877))))</f>
        <v>0</v>
      </c>
      <c r="U901" s="1423">
        <f t="shared" ref="U901" ca="1" si="1287">IF(AND(T901&lt;1,U875=0),0,
IF(U875=0,T901-1,
IF(T901&lt;1,U876,
(((T901-1)*(T877-(T877/(T901))))+(U875*U876))/(U877))))</f>
        <v>0</v>
      </c>
      <c r="V901" s="1423">
        <f t="shared" ref="V901" ca="1" si="1288">IF(AND(U901&lt;1,V875=0),0,
IF(V875=0,U901-1,
IF(U901&lt;1,V876,
(((U901-1)*(U877-(U877/(U901))))+(V875*V876))/(V877))))</f>
        <v>0</v>
      </c>
      <c r="W901" s="1423">
        <f t="shared" ref="W901" ca="1" si="1289">IF(AND(V901&lt;1,W875=0),0,
IF(W875=0,V901-1,
IF(V901&lt;1,W876,
(((V901-1)*(V877-(V877/(V901))))+(W875*W876))/(W877))))</f>
        <v>0</v>
      </c>
      <c r="X901" s="152"/>
      <c r="Y901" s="152"/>
      <c r="Z901" s="152"/>
      <c r="AA901" s="152"/>
      <c r="AB901" s="152"/>
    </row>
    <row r="902" spans="1:28" hidden="1" outlineLevel="1">
      <c r="A902" s="152"/>
      <c r="B902" s="190" t="s">
        <v>193</v>
      </c>
      <c r="C902" s="1423">
        <f ca="1">C874</f>
        <v>0</v>
      </c>
      <c r="D902" s="1423">
        <f t="shared" ref="D902" ca="1" si="1290">IF(C902="n/a","n/a",MAX(0,C902-1))</f>
        <v>0</v>
      </c>
      <c r="E902" s="1423">
        <f t="shared" ref="E902:E903" ca="1" si="1291">IF(D902="n/a","n/a",MAX(0,D902-1))</f>
        <v>0</v>
      </c>
      <c r="F902" s="1423">
        <f t="shared" ref="F902:F904" ca="1" si="1292">IF(E902="n/a","n/a",MAX(0,E902-1))</f>
        <v>0</v>
      </c>
      <c r="G902" s="1423">
        <f t="shared" ref="G902:G905" ca="1" si="1293">IF(F902="n/a","n/a",MAX(0,F902-1))</f>
        <v>0</v>
      </c>
      <c r="H902" s="1423">
        <f t="shared" ref="H902:H906" ca="1" si="1294">IF(G902="n/a","n/a",MAX(0,G902-1))</f>
        <v>0</v>
      </c>
      <c r="I902" s="1423">
        <f t="shared" ref="I902:I907" ca="1" si="1295">IF(H902="n/a","n/a",MAX(0,H902-1))</f>
        <v>0</v>
      </c>
      <c r="J902" s="1423">
        <f t="shared" ref="J902:J908" ca="1" si="1296">IF(I902="n/a","n/a",MAX(0,I902-1))</f>
        <v>0</v>
      </c>
      <c r="K902" s="1423">
        <f t="shared" ref="K902:K909" ca="1" si="1297">IF(J902="n/a","n/a",MAX(0,J902-1))</f>
        <v>0</v>
      </c>
      <c r="L902" s="1423">
        <f t="shared" ref="L902:L910" ca="1" si="1298">IF(K902="n/a","n/a",MAX(0,K902-1))</f>
        <v>0</v>
      </c>
      <c r="M902" s="1423">
        <f t="shared" ref="M902:M911" ca="1" si="1299">IF(L902="n/a","n/a",MAX(0,L902-1))</f>
        <v>0</v>
      </c>
      <c r="N902" s="1423">
        <f t="shared" ref="N902:N912" ca="1" si="1300">IF(M902="n/a","n/a",MAX(0,M902-1))</f>
        <v>0</v>
      </c>
      <c r="O902" s="1423">
        <f t="shared" ref="O902:O913" ca="1" si="1301">IF(N902="n/a","n/a",MAX(0,N902-1))</f>
        <v>0</v>
      </c>
      <c r="P902" s="1423">
        <f t="shared" ref="P902:P914" ca="1" si="1302">IF(O902="n/a","n/a",MAX(0,O902-1))</f>
        <v>0</v>
      </c>
      <c r="Q902" s="1423">
        <f t="shared" ref="Q902:Q915" ca="1" si="1303">IF(P902="n/a","n/a",MAX(0,P902-1))</f>
        <v>0</v>
      </c>
      <c r="R902" s="1423">
        <f t="shared" ref="R902:R916" ca="1" si="1304">IF(Q902="n/a","n/a",MAX(0,Q902-1))</f>
        <v>0</v>
      </c>
      <c r="S902" s="1423">
        <f t="shared" ref="S902:S917" ca="1" si="1305">IF(R902="n/a","n/a",MAX(0,R902-1))</f>
        <v>0</v>
      </c>
      <c r="T902" s="1423">
        <f t="shared" ref="T902:T918" ca="1" si="1306">IF(S902="n/a","n/a",MAX(0,S902-1))</f>
        <v>0</v>
      </c>
      <c r="U902" s="1423">
        <f t="shared" ref="U902:U919" ca="1" si="1307">IF(T902="n/a","n/a",MAX(0,T902-1))</f>
        <v>0</v>
      </c>
      <c r="V902" s="1423">
        <f t="shared" ref="V902:V920" ca="1" si="1308">IF(U902="n/a","n/a",MAX(0,U902-1))</f>
        <v>0</v>
      </c>
      <c r="W902" s="1423">
        <f t="shared" ref="W902:W920" ca="1" si="1309">IF(V902="n/a","n/a",MAX(0,V902-1))</f>
        <v>0</v>
      </c>
      <c r="X902" s="152"/>
      <c r="Y902" s="152"/>
      <c r="Z902" s="152"/>
      <c r="AA902" s="152"/>
      <c r="AB902" s="152"/>
    </row>
    <row r="903" spans="1:28" hidden="1" outlineLevel="1">
      <c r="A903" s="152"/>
      <c r="B903" s="190" t="str">
        <f t="shared" ref="B903:B922" ca="1" si="1310">"RL Capex "&amp;OFFSET($C$6,0,A879)</f>
        <v>RL Capex 2016-17</v>
      </c>
      <c r="C903" s="1424"/>
      <c r="D903" s="1428">
        <f>D874</f>
        <v>0</v>
      </c>
      <c r="E903" s="1423">
        <f t="shared" si="1291"/>
        <v>0</v>
      </c>
      <c r="F903" s="1423">
        <f t="shared" si="1292"/>
        <v>0</v>
      </c>
      <c r="G903" s="1423">
        <f t="shared" si="1293"/>
        <v>0</v>
      </c>
      <c r="H903" s="1423">
        <f t="shared" si="1294"/>
        <v>0</v>
      </c>
      <c r="I903" s="1423">
        <f t="shared" si="1295"/>
        <v>0</v>
      </c>
      <c r="J903" s="1423">
        <f t="shared" si="1296"/>
        <v>0</v>
      </c>
      <c r="K903" s="1423">
        <f t="shared" si="1297"/>
        <v>0</v>
      </c>
      <c r="L903" s="1423">
        <f t="shared" si="1298"/>
        <v>0</v>
      </c>
      <c r="M903" s="1423">
        <f t="shared" si="1299"/>
        <v>0</v>
      </c>
      <c r="N903" s="1423">
        <f t="shared" si="1300"/>
        <v>0</v>
      </c>
      <c r="O903" s="1423">
        <f t="shared" si="1301"/>
        <v>0</v>
      </c>
      <c r="P903" s="1423">
        <f t="shared" si="1302"/>
        <v>0</v>
      </c>
      <c r="Q903" s="1423">
        <f t="shared" si="1303"/>
        <v>0</v>
      </c>
      <c r="R903" s="1423">
        <f t="shared" si="1304"/>
        <v>0</v>
      </c>
      <c r="S903" s="1423">
        <f t="shared" si="1305"/>
        <v>0</v>
      </c>
      <c r="T903" s="1423">
        <f t="shared" si="1306"/>
        <v>0</v>
      </c>
      <c r="U903" s="1423">
        <f t="shared" si="1307"/>
        <v>0</v>
      </c>
      <c r="V903" s="1423">
        <f t="shared" si="1308"/>
        <v>0</v>
      </c>
      <c r="W903" s="1423">
        <f t="shared" si="1309"/>
        <v>0</v>
      </c>
      <c r="X903" s="152"/>
      <c r="Y903" s="152"/>
      <c r="Z903" s="152"/>
      <c r="AA903" s="152"/>
      <c r="AB903" s="152"/>
    </row>
    <row r="904" spans="1:28" hidden="1" outlineLevel="1">
      <c r="A904" s="152"/>
      <c r="B904" s="190" t="str">
        <f t="shared" ca="1" si="1310"/>
        <v>RL Capex 2017-18</v>
      </c>
      <c r="C904" s="1429"/>
      <c r="D904" s="1424"/>
      <c r="E904" s="1428">
        <f>E874</f>
        <v>0</v>
      </c>
      <c r="F904" s="1423">
        <f t="shared" si="1292"/>
        <v>0</v>
      </c>
      <c r="G904" s="1423">
        <f t="shared" si="1293"/>
        <v>0</v>
      </c>
      <c r="H904" s="1423">
        <f t="shared" si="1294"/>
        <v>0</v>
      </c>
      <c r="I904" s="1423">
        <f t="shared" si="1295"/>
        <v>0</v>
      </c>
      <c r="J904" s="1423">
        <f t="shared" si="1296"/>
        <v>0</v>
      </c>
      <c r="K904" s="1423">
        <f t="shared" si="1297"/>
        <v>0</v>
      </c>
      <c r="L904" s="1423">
        <f t="shared" si="1298"/>
        <v>0</v>
      </c>
      <c r="M904" s="1423">
        <f t="shared" si="1299"/>
        <v>0</v>
      </c>
      <c r="N904" s="1423">
        <f t="shared" si="1300"/>
        <v>0</v>
      </c>
      <c r="O904" s="1423">
        <f t="shared" si="1301"/>
        <v>0</v>
      </c>
      <c r="P904" s="1423">
        <f t="shared" si="1302"/>
        <v>0</v>
      </c>
      <c r="Q904" s="1423">
        <f t="shared" si="1303"/>
        <v>0</v>
      </c>
      <c r="R904" s="1423">
        <f t="shared" si="1304"/>
        <v>0</v>
      </c>
      <c r="S904" s="1423">
        <f t="shared" si="1305"/>
        <v>0</v>
      </c>
      <c r="T904" s="1423">
        <f t="shared" si="1306"/>
        <v>0</v>
      </c>
      <c r="U904" s="1423">
        <f t="shared" si="1307"/>
        <v>0</v>
      </c>
      <c r="V904" s="1423">
        <f t="shared" si="1308"/>
        <v>0</v>
      </c>
      <c r="W904" s="1423">
        <f t="shared" si="1309"/>
        <v>0</v>
      </c>
      <c r="X904" s="152"/>
      <c r="Y904" s="152"/>
      <c r="Z904" s="152"/>
      <c r="AA904" s="152"/>
      <c r="AB904" s="152"/>
    </row>
    <row r="905" spans="1:28" hidden="1" outlineLevel="1">
      <c r="A905" s="152"/>
      <c r="B905" s="190" t="str">
        <f t="shared" ca="1" si="1310"/>
        <v>RL Capex 2018-19</v>
      </c>
      <c r="C905" s="1429"/>
      <c r="D905" s="1429"/>
      <c r="E905" s="1424"/>
      <c r="F905" s="1428">
        <f>F874</f>
        <v>0</v>
      </c>
      <c r="G905" s="1423">
        <f t="shared" si="1293"/>
        <v>0</v>
      </c>
      <c r="H905" s="1423">
        <f t="shared" si="1294"/>
        <v>0</v>
      </c>
      <c r="I905" s="1423">
        <f t="shared" si="1295"/>
        <v>0</v>
      </c>
      <c r="J905" s="1423">
        <f t="shared" si="1296"/>
        <v>0</v>
      </c>
      <c r="K905" s="1423">
        <f t="shared" si="1297"/>
        <v>0</v>
      </c>
      <c r="L905" s="1423">
        <f t="shared" si="1298"/>
        <v>0</v>
      </c>
      <c r="M905" s="1423">
        <f t="shared" si="1299"/>
        <v>0</v>
      </c>
      <c r="N905" s="1423">
        <f t="shared" si="1300"/>
        <v>0</v>
      </c>
      <c r="O905" s="1423">
        <f t="shared" si="1301"/>
        <v>0</v>
      </c>
      <c r="P905" s="1423">
        <f t="shared" si="1302"/>
        <v>0</v>
      </c>
      <c r="Q905" s="1423">
        <f t="shared" si="1303"/>
        <v>0</v>
      </c>
      <c r="R905" s="1423">
        <f t="shared" si="1304"/>
        <v>0</v>
      </c>
      <c r="S905" s="1423">
        <f t="shared" si="1305"/>
        <v>0</v>
      </c>
      <c r="T905" s="1423">
        <f t="shared" si="1306"/>
        <v>0</v>
      </c>
      <c r="U905" s="1423">
        <f t="shared" si="1307"/>
        <v>0</v>
      </c>
      <c r="V905" s="1423">
        <f t="shared" si="1308"/>
        <v>0</v>
      </c>
      <c r="W905" s="1423">
        <f t="shared" si="1309"/>
        <v>0</v>
      </c>
      <c r="X905" s="152"/>
      <c r="Y905" s="152"/>
      <c r="Z905" s="152"/>
      <c r="AA905" s="152"/>
      <c r="AB905" s="152"/>
    </row>
    <row r="906" spans="1:28" hidden="1" outlineLevel="1">
      <c r="A906" s="152"/>
      <c r="B906" s="190" t="str">
        <f t="shared" ca="1" si="1310"/>
        <v>RL Capex 2019-20</v>
      </c>
      <c r="C906" s="1429"/>
      <c r="D906" s="1429"/>
      <c r="E906" s="1429"/>
      <c r="F906" s="1424"/>
      <c r="G906" s="1428">
        <f>G874</f>
        <v>0</v>
      </c>
      <c r="H906" s="1423">
        <f t="shared" si="1294"/>
        <v>0</v>
      </c>
      <c r="I906" s="1423">
        <f t="shared" si="1295"/>
        <v>0</v>
      </c>
      <c r="J906" s="1423">
        <f t="shared" si="1296"/>
        <v>0</v>
      </c>
      <c r="K906" s="1423">
        <f t="shared" si="1297"/>
        <v>0</v>
      </c>
      <c r="L906" s="1423">
        <f t="shared" si="1298"/>
        <v>0</v>
      </c>
      <c r="M906" s="1423">
        <f t="shared" si="1299"/>
        <v>0</v>
      </c>
      <c r="N906" s="1423">
        <f t="shared" si="1300"/>
        <v>0</v>
      </c>
      <c r="O906" s="1423">
        <f t="shared" si="1301"/>
        <v>0</v>
      </c>
      <c r="P906" s="1423">
        <f t="shared" si="1302"/>
        <v>0</v>
      </c>
      <c r="Q906" s="1423">
        <f t="shared" si="1303"/>
        <v>0</v>
      </c>
      <c r="R906" s="1423">
        <f t="shared" si="1304"/>
        <v>0</v>
      </c>
      <c r="S906" s="1423">
        <f t="shared" si="1305"/>
        <v>0</v>
      </c>
      <c r="T906" s="1423">
        <f t="shared" si="1306"/>
        <v>0</v>
      </c>
      <c r="U906" s="1423">
        <f t="shared" si="1307"/>
        <v>0</v>
      </c>
      <c r="V906" s="1423">
        <f t="shared" si="1308"/>
        <v>0</v>
      </c>
      <c r="W906" s="1423">
        <f t="shared" si="1309"/>
        <v>0</v>
      </c>
      <c r="X906" s="152"/>
      <c r="Y906" s="152"/>
      <c r="Z906" s="152"/>
      <c r="AA906" s="152"/>
      <c r="AB906" s="152"/>
    </row>
    <row r="907" spans="1:28" hidden="1" outlineLevel="1">
      <c r="A907" s="152"/>
      <c r="B907" s="190" t="str">
        <f t="shared" ca="1" si="1310"/>
        <v>RL Capex 2020-21</v>
      </c>
      <c r="C907" s="1429"/>
      <c r="D907" s="1429"/>
      <c r="E907" s="1429"/>
      <c r="F907" s="1429"/>
      <c r="G907" s="1424"/>
      <c r="H907" s="1428">
        <f>H874</f>
        <v>0</v>
      </c>
      <c r="I907" s="1423">
        <f t="shared" si="1295"/>
        <v>0</v>
      </c>
      <c r="J907" s="1423">
        <f t="shared" si="1296"/>
        <v>0</v>
      </c>
      <c r="K907" s="1423">
        <f t="shared" si="1297"/>
        <v>0</v>
      </c>
      <c r="L907" s="1423">
        <f t="shared" si="1298"/>
        <v>0</v>
      </c>
      <c r="M907" s="1423">
        <f t="shared" si="1299"/>
        <v>0</v>
      </c>
      <c r="N907" s="1423">
        <f t="shared" si="1300"/>
        <v>0</v>
      </c>
      <c r="O907" s="1423">
        <f t="shared" si="1301"/>
        <v>0</v>
      </c>
      <c r="P907" s="1423">
        <f t="shared" si="1302"/>
        <v>0</v>
      </c>
      <c r="Q907" s="1423">
        <f t="shared" si="1303"/>
        <v>0</v>
      </c>
      <c r="R907" s="1423">
        <f t="shared" si="1304"/>
        <v>0</v>
      </c>
      <c r="S907" s="1423">
        <f t="shared" si="1305"/>
        <v>0</v>
      </c>
      <c r="T907" s="1423">
        <f t="shared" si="1306"/>
        <v>0</v>
      </c>
      <c r="U907" s="1423">
        <f t="shared" si="1307"/>
        <v>0</v>
      </c>
      <c r="V907" s="1423">
        <f t="shared" si="1308"/>
        <v>0</v>
      </c>
      <c r="W907" s="1423">
        <f t="shared" si="1309"/>
        <v>0</v>
      </c>
      <c r="X907" s="152"/>
      <c r="Y907" s="152"/>
      <c r="Z907" s="152"/>
      <c r="AA907" s="152"/>
      <c r="AB907" s="152"/>
    </row>
    <row r="908" spans="1:28" hidden="1" outlineLevel="1">
      <c r="A908" s="152"/>
      <c r="B908" s="190" t="str">
        <f t="shared" ca="1" si="1310"/>
        <v>RL Capex 2021-22</v>
      </c>
      <c r="C908" s="1429"/>
      <c r="D908" s="1429"/>
      <c r="E908" s="1429"/>
      <c r="F908" s="1429"/>
      <c r="G908" s="1429"/>
      <c r="H908" s="1424"/>
      <c r="I908" s="1428">
        <f>I874</f>
        <v>0</v>
      </c>
      <c r="J908" s="1423">
        <f t="shared" si="1296"/>
        <v>0</v>
      </c>
      <c r="K908" s="1423">
        <f t="shared" si="1297"/>
        <v>0</v>
      </c>
      <c r="L908" s="1423">
        <f t="shared" si="1298"/>
        <v>0</v>
      </c>
      <c r="M908" s="1423">
        <f t="shared" si="1299"/>
        <v>0</v>
      </c>
      <c r="N908" s="1423">
        <f t="shared" si="1300"/>
        <v>0</v>
      </c>
      <c r="O908" s="1423">
        <f t="shared" si="1301"/>
        <v>0</v>
      </c>
      <c r="P908" s="1423">
        <f t="shared" si="1302"/>
        <v>0</v>
      </c>
      <c r="Q908" s="1423">
        <f t="shared" si="1303"/>
        <v>0</v>
      </c>
      <c r="R908" s="1423">
        <f t="shared" si="1304"/>
        <v>0</v>
      </c>
      <c r="S908" s="1423">
        <f t="shared" si="1305"/>
        <v>0</v>
      </c>
      <c r="T908" s="1423">
        <f t="shared" si="1306"/>
        <v>0</v>
      </c>
      <c r="U908" s="1423">
        <f t="shared" si="1307"/>
        <v>0</v>
      </c>
      <c r="V908" s="1423">
        <f t="shared" si="1308"/>
        <v>0</v>
      </c>
      <c r="W908" s="1423">
        <f t="shared" si="1309"/>
        <v>0</v>
      </c>
      <c r="X908" s="152"/>
      <c r="Y908" s="152"/>
      <c r="Z908" s="152"/>
      <c r="AA908" s="152"/>
      <c r="AB908" s="152"/>
    </row>
    <row r="909" spans="1:28" hidden="1" outlineLevel="1">
      <c r="A909" s="152"/>
      <c r="B909" s="190" t="str">
        <f t="shared" ca="1" si="1310"/>
        <v>RL Capex 2022-23</v>
      </c>
      <c r="C909" s="1429"/>
      <c r="D909" s="1429"/>
      <c r="E909" s="1429"/>
      <c r="F909" s="1429"/>
      <c r="G909" s="1429"/>
      <c r="H909" s="1429"/>
      <c r="I909" s="1424"/>
      <c r="J909" s="1428">
        <f>J874</f>
        <v>0</v>
      </c>
      <c r="K909" s="1423">
        <f t="shared" si="1297"/>
        <v>0</v>
      </c>
      <c r="L909" s="1423">
        <f t="shared" si="1298"/>
        <v>0</v>
      </c>
      <c r="M909" s="1423">
        <f t="shared" si="1299"/>
        <v>0</v>
      </c>
      <c r="N909" s="1423">
        <f t="shared" si="1300"/>
        <v>0</v>
      </c>
      <c r="O909" s="1423">
        <f t="shared" si="1301"/>
        <v>0</v>
      </c>
      <c r="P909" s="1423">
        <f t="shared" si="1302"/>
        <v>0</v>
      </c>
      <c r="Q909" s="1423">
        <f t="shared" si="1303"/>
        <v>0</v>
      </c>
      <c r="R909" s="1423">
        <f t="shared" si="1304"/>
        <v>0</v>
      </c>
      <c r="S909" s="1423">
        <f t="shared" si="1305"/>
        <v>0</v>
      </c>
      <c r="T909" s="1423">
        <f t="shared" si="1306"/>
        <v>0</v>
      </c>
      <c r="U909" s="1423">
        <f t="shared" si="1307"/>
        <v>0</v>
      </c>
      <c r="V909" s="1423">
        <f t="shared" si="1308"/>
        <v>0</v>
      </c>
      <c r="W909" s="1423">
        <f t="shared" si="1309"/>
        <v>0</v>
      </c>
      <c r="X909" s="152"/>
      <c r="Y909" s="152"/>
      <c r="Z909" s="152"/>
      <c r="AA909" s="152"/>
      <c r="AB909" s="152"/>
    </row>
    <row r="910" spans="1:28" hidden="1" outlineLevel="1">
      <c r="A910" s="152"/>
      <c r="B910" s="190" t="str">
        <f t="shared" ca="1" si="1310"/>
        <v>RL Capex 2023-24</v>
      </c>
      <c r="C910" s="1429"/>
      <c r="D910" s="1429"/>
      <c r="E910" s="1429"/>
      <c r="F910" s="1429"/>
      <c r="G910" s="1429"/>
      <c r="H910" s="1429"/>
      <c r="I910" s="1429"/>
      <c r="J910" s="1424"/>
      <c r="K910" s="1428">
        <f>K874</f>
        <v>0</v>
      </c>
      <c r="L910" s="1423">
        <f t="shared" si="1298"/>
        <v>0</v>
      </c>
      <c r="M910" s="1423">
        <f t="shared" si="1299"/>
        <v>0</v>
      </c>
      <c r="N910" s="1423">
        <f t="shared" si="1300"/>
        <v>0</v>
      </c>
      <c r="O910" s="1423">
        <f t="shared" si="1301"/>
        <v>0</v>
      </c>
      <c r="P910" s="1423">
        <f t="shared" si="1302"/>
        <v>0</v>
      </c>
      <c r="Q910" s="1423">
        <f t="shared" si="1303"/>
        <v>0</v>
      </c>
      <c r="R910" s="1423">
        <f t="shared" si="1304"/>
        <v>0</v>
      </c>
      <c r="S910" s="1423">
        <f t="shared" si="1305"/>
        <v>0</v>
      </c>
      <c r="T910" s="1423">
        <f t="shared" si="1306"/>
        <v>0</v>
      </c>
      <c r="U910" s="1423">
        <f t="shared" si="1307"/>
        <v>0</v>
      </c>
      <c r="V910" s="1423">
        <f t="shared" si="1308"/>
        <v>0</v>
      </c>
      <c r="W910" s="1423">
        <f t="shared" si="1309"/>
        <v>0</v>
      </c>
      <c r="X910" s="152"/>
      <c r="Y910" s="152"/>
      <c r="Z910" s="152"/>
      <c r="AA910" s="152"/>
      <c r="AB910" s="152"/>
    </row>
    <row r="911" spans="1:28" hidden="1" outlineLevel="1">
      <c r="A911" s="152"/>
      <c r="B911" s="190" t="str">
        <f t="shared" ca="1" si="1310"/>
        <v>RL Capex 2024-25</v>
      </c>
      <c r="C911" s="1429"/>
      <c r="D911" s="1429"/>
      <c r="E911" s="1429"/>
      <c r="F911" s="1429"/>
      <c r="G911" s="1429"/>
      <c r="H911" s="1429"/>
      <c r="I911" s="1429"/>
      <c r="J911" s="1429"/>
      <c r="K911" s="1424"/>
      <c r="L911" s="1428">
        <f>L874</f>
        <v>0</v>
      </c>
      <c r="M911" s="1423">
        <f t="shared" si="1299"/>
        <v>0</v>
      </c>
      <c r="N911" s="1423">
        <f t="shared" si="1300"/>
        <v>0</v>
      </c>
      <c r="O911" s="1423">
        <f t="shared" si="1301"/>
        <v>0</v>
      </c>
      <c r="P911" s="1423">
        <f t="shared" si="1302"/>
        <v>0</v>
      </c>
      <c r="Q911" s="1423">
        <f t="shared" si="1303"/>
        <v>0</v>
      </c>
      <c r="R911" s="1423">
        <f t="shared" si="1304"/>
        <v>0</v>
      </c>
      <c r="S911" s="1423">
        <f t="shared" si="1305"/>
        <v>0</v>
      </c>
      <c r="T911" s="1423">
        <f t="shared" si="1306"/>
        <v>0</v>
      </c>
      <c r="U911" s="1423">
        <f t="shared" si="1307"/>
        <v>0</v>
      </c>
      <c r="V911" s="1423">
        <f t="shared" si="1308"/>
        <v>0</v>
      </c>
      <c r="W911" s="1423">
        <f t="shared" si="1309"/>
        <v>0</v>
      </c>
      <c r="X911" s="152"/>
      <c r="Y911" s="152"/>
      <c r="Z911" s="152"/>
      <c r="AA911" s="152"/>
      <c r="AB911" s="152"/>
    </row>
    <row r="912" spans="1:28" hidden="1" outlineLevel="1">
      <c r="A912" s="152"/>
      <c r="B912" s="190" t="str">
        <f t="shared" ca="1" si="1310"/>
        <v>RL Capex 2025-26</v>
      </c>
      <c r="C912" s="1429"/>
      <c r="D912" s="1429"/>
      <c r="E912" s="1429"/>
      <c r="F912" s="1429"/>
      <c r="G912" s="1429"/>
      <c r="H912" s="1429"/>
      <c r="I912" s="1429"/>
      <c r="J912" s="1429"/>
      <c r="K912" s="1429"/>
      <c r="L912" s="1424"/>
      <c r="M912" s="1428">
        <f>M874</f>
        <v>0</v>
      </c>
      <c r="N912" s="1423">
        <f t="shared" si="1300"/>
        <v>0</v>
      </c>
      <c r="O912" s="1423">
        <f t="shared" si="1301"/>
        <v>0</v>
      </c>
      <c r="P912" s="1423">
        <f t="shared" si="1302"/>
        <v>0</v>
      </c>
      <c r="Q912" s="1423">
        <f t="shared" si="1303"/>
        <v>0</v>
      </c>
      <c r="R912" s="1423">
        <f t="shared" si="1304"/>
        <v>0</v>
      </c>
      <c r="S912" s="1423">
        <f t="shared" si="1305"/>
        <v>0</v>
      </c>
      <c r="T912" s="1423">
        <f t="shared" si="1306"/>
        <v>0</v>
      </c>
      <c r="U912" s="1423">
        <f t="shared" si="1307"/>
        <v>0</v>
      </c>
      <c r="V912" s="1423">
        <f t="shared" si="1308"/>
        <v>0</v>
      </c>
      <c r="W912" s="1423">
        <f t="shared" si="1309"/>
        <v>0</v>
      </c>
      <c r="X912" s="152"/>
      <c r="Y912" s="152"/>
      <c r="Z912" s="152"/>
      <c r="AA912" s="152"/>
      <c r="AB912" s="152"/>
    </row>
    <row r="913" spans="1:28" hidden="1" outlineLevel="1">
      <c r="A913" s="152"/>
      <c r="B913" s="190" t="str">
        <f t="shared" ca="1" si="1310"/>
        <v>RL Capex 2026-27</v>
      </c>
      <c r="C913" s="1429"/>
      <c r="D913" s="1429"/>
      <c r="E913" s="1429"/>
      <c r="F913" s="1429"/>
      <c r="G913" s="1429"/>
      <c r="H913" s="1429"/>
      <c r="I913" s="1429"/>
      <c r="J913" s="1429"/>
      <c r="K913" s="1429"/>
      <c r="L913" s="1429"/>
      <c r="M913" s="1424"/>
      <c r="N913" s="1428">
        <f>N874</f>
        <v>0</v>
      </c>
      <c r="O913" s="1423">
        <f t="shared" si="1301"/>
        <v>0</v>
      </c>
      <c r="P913" s="1423">
        <f t="shared" si="1302"/>
        <v>0</v>
      </c>
      <c r="Q913" s="1423">
        <f t="shared" si="1303"/>
        <v>0</v>
      </c>
      <c r="R913" s="1423">
        <f t="shared" si="1304"/>
        <v>0</v>
      </c>
      <c r="S913" s="1423">
        <f t="shared" si="1305"/>
        <v>0</v>
      </c>
      <c r="T913" s="1423">
        <f t="shared" si="1306"/>
        <v>0</v>
      </c>
      <c r="U913" s="1423">
        <f t="shared" si="1307"/>
        <v>0</v>
      </c>
      <c r="V913" s="1423">
        <f t="shared" si="1308"/>
        <v>0</v>
      </c>
      <c r="W913" s="1423">
        <f t="shared" si="1309"/>
        <v>0</v>
      </c>
      <c r="X913" s="152"/>
      <c r="Y913" s="152"/>
      <c r="Z913" s="152"/>
      <c r="AA913" s="152"/>
      <c r="AB913" s="152"/>
    </row>
    <row r="914" spans="1:28" hidden="1" outlineLevel="1">
      <c r="A914" s="152"/>
      <c r="B914" s="190" t="str">
        <f t="shared" ca="1" si="1310"/>
        <v>RL Capex 2027-28</v>
      </c>
      <c r="C914" s="1429"/>
      <c r="D914" s="1429"/>
      <c r="E914" s="1429"/>
      <c r="F914" s="1429"/>
      <c r="G914" s="1429"/>
      <c r="H914" s="1429"/>
      <c r="I914" s="1429"/>
      <c r="J914" s="1429"/>
      <c r="K914" s="1429"/>
      <c r="L914" s="1429"/>
      <c r="M914" s="1429"/>
      <c r="N914" s="1424"/>
      <c r="O914" s="1428">
        <f>O874</f>
        <v>0</v>
      </c>
      <c r="P914" s="1423">
        <f t="shared" si="1302"/>
        <v>0</v>
      </c>
      <c r="Q914" s="1423">
        <f t="shared" si="1303"/>
        <v>0</v>
      </c>
      <c r="R914" s="1423">
        <f t="shared" si="1304"/>
        <v>0</v>
      </c>
      <c r="S914" s="1423">
        <f t="shared" si="1305"/>
        <v>0</v>
      </c>
      <c r="T914" s="1423">
        <f t="shared" si="1306"/>
        <v>0</v>
      </c>
      <c r="U914" s="1423">
        <f t="shared" si="1307"/>
        <v>0</v>
      </c>
      <c r="V914" s="1423">
        <f t="shared" si="1308"/>
        <v>0</v>
      </c>
      <c r="W914" s="1423">
        <f t="shared" si="1309"/>
        <v>0</v>
      </c>
      <c r="X914" s="152"/>
      <c r="Y914" s="152"/>
      <c r="Z914" s="152"/>
      <c r="AA914" s="152"/>
      <c r="AB914" s="152"/>
    </row>
    <row r="915" spans="1:28" hidden="1" outlineLevel="1">
      <c r="A915" s="152"/>
      <c r="B915" s="190" t="str">
        <f t="shared" ca="1" si="1310"/>
        <v>RL Capex 2028-29</v>
      </c>
      <c r="C915" s="1429"/>
      <c r="D915" s="1429"/>
      <c r="E915" s="1429"/>
      <c r="F915" s="1429"/>
      <c r="G915" s="1429"/>
      <c r="H915" s="1429"/>
      <c r="I915" s="1429"/>
      <c r="J915" s="1429"/>
      <c r="K915" s="1429"/>
      <c r="L915" s="1429"/>
      <c r="M915" s="1429"/>
      <c r="N915" s="1429"/>
      <c r="O915" s="1424"/>
      <c r="P915" s="1428">
        <f>P874</f>
        <v>0</v>
      </c>
      <c r="Q915" s="1423">
        <f t="shared" si="1303"/>
        <v>0</v>
      </c>
      <c r="R915" s="1423">
        <f t="shared" si="1304"/>
        <v>0</v>
      </c>
      <c r="S915" s="1423">
        <f t="shared" si="1305"/>
        <v>0</v>
      </c>
      <c r="T915" s="1423">
        <f t="shared" si="1306"/>
        <v>0</v>
      </c>
      <c r="U915" s="1423">
        <f t="shared" si="1307"/>
        <v>0</v>
      </c>
      <c r="V915" s="1423">
        <f t="shared" si="1308"/>
        <v>0</v>
      </c>
      <c r="W915" s="1423">
        <f t="shared" si="1309"/>
        <v>0</v>
      </c>
      <c r="X915" s="152"/>
      <c r="Y915" s="152"/>
      <c r="Z915" s="152"/>
      <c r="AA915" s="152"/>
      <c r="AB915" s="152"/>
    </row>
    <row r="916" spans="1:28" hidden="1" outlineLevel="1">
      <c r="A916" s="152"/>
      <c r="B916" s="190" t="str">
        <f t="shared" ca="1" si="1310"/>
        <v>RL Capex 2029-30</v>
      </c>
      <c r="C916" s="1429"/>
      <c r="D916" s="1429"/>
      <c r="E916" s="1429"/>
      <c r="F916" s="1429"/>
      <c r="G916" s="1429"/>
      <c r="H916" s="1429"/>
      <c r="I916" s="1429"/>
      <c r="J916" s="1429"/>
      <c r="K916" s="1429"/>
      <c r="L916" s="1429"/>
      <c r="M916" s="1429"/>
      <c r="N916" s="1429"/>
      <c r="O916" s="1429"/>
      <c r="P916" s="1424"/>
      <c r="Q916" s="1428">
        <f>Q874</f>
        <v>0</v>
      </c>
      <c r="R916" s="1423">
        <f t="shared" si="1304"/>
        <v>0</v>
      </c>
      <c r="S916" s="1423">
        <f t="shared" si="1305"/>
        <v>0</v>
      </c>
      <c r="T916" s="1423">
        <f t="shared" si="1306"/>
        <v>0</v>
      </c>
      <c r="U916" s="1423">
        <f t="shared" si="1307"/>
        <v>0</v>
      </c>
      <c r="V916" s="1423">
        <f t="shared" si="1308"/>
        <v>0</v>
      </c>
      <c r="W916" s="1423">
        <f t="shared" si="1309"/>
        <v>0</v>
      </c>
      <c r="X916" s="152"/>
      <c r="Y916" s="152"/>
      <c r="Z916" s="152"/>
      <c r="AA916" s="152"/>
      <c r="AB916" s="152"/>
    </row>
    <row r="917" spans="1:28" hidden="1" outlineLevel="1">
      <c r="A917" s="152"/>
      <c r="B917" s="190" t="str">
        <f t="shared" ca="1" si="1310"/>
        <v>RL Capex 2030-31</v>
      </c>
      <c r="C917" s="1429"/>
      <c r="D917" s="1429"/>
      <c r="E917" s="1429"/>
      <c r="F917" s="1429"/>
      <c r="G917" s="1429"/>
      <c r="H917" s="1429"/>
      <c r="I917" s="1429"/>
      <c r="J917" s="1429"/>
      <c r="K917" s="1429"/>
      <c r="L917" s="1429"/>
      <c r="M917" s="1429"/>
      <c r="N917" s="1429"/>
      <c r="O917" s="1429"/>
      <c r="P917" s="1429"/>
      <c r="Q917" s="1424"/>
      <c r="R917" s="1428">
        <f>R874</f>
        <v>0</v>
      </c>
      <c r="S917" s="1423">
        <f t="shared" si="1305"/>
        <v>0</v>
      </c>
      <c r="T917" s="1423">
        <f t="shared" si="1306"/>
        <v>0</v>
      </c>
      <c r="U917" s="1423">
        <f t="shared" si="1307"/>
        <v>0</v>
      </c>
      <c r="V917" s="1423">
        <f t="shared" si="1308"/>
        <v>0</v>
      </c>
      <c r="W917" s="1423">
        <f t="shared" si="1309"/>
        <v>0</v>
      </c>
      <c r="X917" s="152"/>
      <c r="Y917" s="152"/>
      <c r="Z917" s="152"/>
      <c r="AA917" s="152"/>
      <c r="AB917" s="152"/>
    </row>
    <row r="918" spans="1:28" hidden="1" outlineLevel="1">
      <c r="A918" s="152"/>
      <c r="B918" s="190" t="str">
        <f t="shared" ca="1" si="1310"/>
        <v>RL Capex 2031-32</v>
      </c>
      <c r="C918" s="1429"/>
      <c r="D918" s="1429"/>
      <c r="E918" s="1429"/>
      <c r="F918" s="1429"/>
      <c r="G918" s="1429"/>
      <c r="H918" s="1429"/>
      <c r="I918" s="1429"/>
      <c r="J918" s="1429"/>
      <c r="K918" s="1429"/>
      <c r="L918" s="1429"/>
      <c r="M918" s="1429"/>
      <c r="N918" s="1429"/>
      <c r="O918" s="1429"/>
      <c r="P918" s="1429"/>
      <c r="Q918" s="1429"/>
      <c r="R918" s="1424"/>
      <c r="S918" s="1428">
        <f>S874</f>
        <v>0</v>
      </c>
      <c r="T918" s="1423">
        <f t="shared" si="1306"/>
        <v>0</v>
      </c>
      <c r="U918" s="1423">
        <f t="shared" si="1307"/>
        <v>0</v>
      </c>
      <c r="V918" s="1423">
        <f t="shared" si="1308"/>
        <v>0</v>
      </c>
      <c r="W918" s="1423">
        <f t="shared" si="1309"/>
        <v>0</v>
      </c>
      <c r="X918" s="152"/>
      <c r="Y918" s="152"/>
      <c r="Z918" s="152"/>
      <c r="AA918" s="152"/>
      <c r="AB918" s="152"/>
    </row>
    <row r="919" spans="1:28" hidden="1" outlineLevel="1">
      <c r="A919" s="152"/>
      <c r="B919" s="190" t="str">
        <f t="shared" ca="1" si="1310"/>
        <v>RL Capex 2032-33</v>
      </c>
      <c r="C919" s="1429"/>
      <c r="D919" s="1429"/>
      <c r="E919" s="1429"/>
      <c r="F919" s="1429"/>
      <c r="G919" s="1429"/>
      <c r="H919" s="1429"/>
      <c r="I919" s="1429"/>
      <c r="J919" s="1429"/>
      <c r="K919" s="1429"/>
      <c r="L919" s="1429"/>
      <c r="M919" s="1429"/>
      <c r="N919" s="1429"/>
      <c r="O919" s="1429"/>
      <c r="P919" s="1429"/>
      <c r="Q919" s="1429"/>
      <c r="R919" s="1429"/>
      <c r="S919" s="1424"/>
      <c r="T919" s="1428">
        <f>T874</f>
        <v>0</v>
      </c>
      <c r="U919" s="1423">
        <f t="shared" si="1307"/>
        <v>0</v>
      </c>
      <c r="V919" s="1423">
        <f t="shared" si="1308"/>
        <v>0</v>
      </c>
      <c r="W919" s="1423">
        <f t="shared" si="1309"/>
        <v>0</v>
      </c>
      <c r="X919" s="152"/>
      <c r="Y919" s="152"/>
      <c r="Z919" s="152"/>
      <c r="AA919" s="152"/>
      <c r="AB919" s="152"/>
    </row>
    <row r="920" spans="1:28" hidden="1" outlineLevel="1">
      <c r="A920" s="152"/>
      <c r="B920" s="190" t="str">
        <f t="shared" ca="1" si="1310"/>
        <v>RL Capex 2033-34</v>
      </c>
      <c r="C920" s="1429"/>
      <c r="D920" s="1429"/>
      <c r="E920" s="1429"/>
      <c r="F920" s="1429"/>
      <c r="G920" s="1429"/>
      <c r="H920" s="1429"/>
      <c r="I920" s="1429"/>
      <c r="J920" s="1429"/>
      <c r="K920" s="1429"/>
      <c r="L920" s="1429"/>
      <c r="M920" s="1429"/>
      <c r="N920" s="1429"/>
      <c r="O920" s="1429"/>
      <c r="P920" s="1429"/>
      <c r="Q920" s="1429"/>
      <c r="R920" s="1429"/>
      <c r="S920" s="1429"/>
      <c r="T920" s="1424"/>
      <c r="U920" s="1428">
        <f>U874</f>
        <v>0</v>
      </c>
      <c r="V920" s="1423">
        <f t="shared" si="1308"/>
        <v>0</v>
      </c>
      <c r="W920" s="1423">
        <f t="shared" si="1309"/>
        <v>0</v>
      </c>
      <c r="X920" s="152"/>
      <c r="Y920" s="152"/>
      <c r="Z920" s="152"/>
      <c r="AA920" s="152"/>
      <c r="AB920" s="152"/>
    </row>
    <row r="921" spans="1:28" hidden="1" outlineLevel="1">
      <c r="A921" s="152"/>
      <c r="B921" s="190" t="str">
        <f t="shared" ca="1" si="1310"/>
        <v>RL Capex 2034-35</v>
      </c>
      <c r="C921" s="1429"/>
      <c r="D921" s="1429"/>
      <c r="E921" s="1429"/>
      <c r="F921" s="1429"/>
      <c r="G921" s="1429"/>
      <c r="H921" s="1429"/>
      <c r="I921" s="1429"/>
      <c r="J921" s="1429"/>
      <c r="K921" s="1429"/>
      <c r="L921" s="1429"/>
      <c r="M921" s="1429"/>
      <c r="N921" s="1429"/>
      <c r="O921" s="1429"/>
      <c r="P921" s="1429"/>
      <c r="Q921" s="1429"/>
      <c r="R921" s="1429"/>
      <c r="S921" s="1429"/>
      <c r="T921" s="1429"/>
      <c r="U921" s="1424"/>
      <c r="V921" s="1428">
        <f>V874</f>
        <v>0</v>
      </c>
      <c r="W921" s="1423">
        <f>IF(V921="n/a","n/a",MAX(0,V921-1))</f>
        <v>0</v>
      </c>
      <c r="X921" s="152"/>
      <c r="Y921" s="152"/>
      <c r="Z921" s="152"/>
      <c r="AA921" s="152"/>
      <c r="AB921" s="152"/>
    </row>
    <row r="922" spans="1:28" hidden="1" outlineLevel="1">
      <c r="A922" s="152"/>
      <c r="B922" s="190" t="str">
        <f t="shared" ca="1" si="1310"/>
        <v>RL Capex 2035-36</v>
      </c>
      <c r="C922" s="1429"/>
      <c r="D922" s="1429"/>
      <c r="E922" s="1429"/>
      <c r="F922" s="1429"/>
      <c r="G922" s="1429"/>
      <c r="H922" s="1429"/>
      <c r="I922" s="1429"/>
      <c r="J922" s="1429"/>
      <c r="K922" s="1429"/>
      <c r="L922" s="1429"/>
      <c r="M922" s="1429"/>
      <c r="N922" s="1429"/>
      <c r="O922" s="1429"/>
      <c r="P922" s="1429"/>
      <c r="Q922" s="1429"/>
      <c r="R922" s="1429"/>
      <c r="S922" s="1429"/>
      <c r="T922" s="1429"/>
      <c r="U922" s="1429"/>
      <c r="V922" s="1424"/>
      <c r="W922" s="1423">
        <f>W874</f>
        <v>0</v>
      </c>
      <c r="X922" s="152"/>
      <c r="Y922" s="152"/>
      <c r="Z922" s="152"/>
      <c r="AA922" s="152"/>
      <c r="AB922" s="152"/>
    </row>
    <row r="923" spans="1:28" hidden="1" outlineLevel="1">
      <c r="A923" s="152"/>
      <c r="B923" s="200"/>
      <c r="C923" s="1423"/>
      <c r="D923" s="1423"/>
      <c r="E923" s="1423"/>
      <c r="F923" s="1423"/>
      <c r="G923" s="1423"/>
      <c r="H923" s="1423"/>
      <c r="I923" s="1423"/>
      <c r="J923" s="1423"/>
      <c r="K923" s="1423"/>
      <c r="L923" s="1423"/>
      <c r="M923" s="1423"/>
      <c r="N923" s="1423"/>
      <c r="O923" s="1423"/>
      <c r="P923" s="1423"/>
      <c r="Q923" s="1423"/>
      <c r="R923" s="1423"/>
      <c r="S923" s="1423"/>
      <c r="T923" s="1423"/>
      <c r="U923" s="1423"/>
      <c r="V923" s="1423"/>
      <c r="W923" s="1423"/>
      <c r="X923" s="152"/>
      <c r="Y923" s="152"/>
      <c r="Z923" s="152"/>
      <c r="AA923" s="152"/>
      <c r="AB923" s="152"/>
    </row>
    <row r="924" spans="1:28" collapsed="1">
      <c r="A924" s="194"/>
      <c r="B924" s="204" t="s">
        <v>123</v>
      </c>
      <c r="C924" s="1430">
        <f ca="1">(IF(OR($C874&lt;&gt;"n/a",C874&lt;&gt;"n/a"),IF(SUM(C877:C899)=0,0,IF((SUMPRODUCT(C877:C899,C901:C923)/SUM(C877:C899))&lt;0,1,(SUMPRODUCT(C877:C899,C901:C923)/SUM(C877:C899)))),"n/a"))</f>
        <v>0</v>
      </c>
      <c r="D924" s="1430">
        <f ca="1">(IF(OR($C874&lt;&gt;"n/a",D874&lt;&gt;"n/a"),IF(SUM(D877:D899)=0,0,IF((SUMPRODUCT(D877:D899,D901:D923)/SUM(D877:D899))&lt;0,1,(SUMPRODUCT(D877:D899,D901:D923)/SUM(D877:D899)))),"n/a"))</f>
        <v>0</v>
      </c>
      <c r="E924" s="1430">
        <f t="shared" ref="E924:W924" ca="1" si="1311">(IF(OR($C874&lt;&gt;"n/a",E874&lt;&gt;"n/a"),IF(SUM(E877:E899)=0,0,IF((SUMPRODUCT(E877:E899,E901:E923)/SUM(E877:E899))&lt;0,1,(SUMPRODUCT(E877:E899,E901:E923)/SUM(E877:E899)))),"n/a"))</f>
        <v>0</v>
      </c>
      <c r="F924" s="1430">
        <f t="shared" ca="1" si="1311"/>
        <v>0</v>
      </c>
      <c r="G924" s="1430">
        <f t="shared" ca="1" si="1311"/>
        <v>0</v>
      </c>
      <c r="H924" s="1430">
        <f t="shared" ca="1" si="1311"/>
        <v>0</v>
      </c>
      <c r="I924" s="1430">
        <f t="shared" ca="1" si="1311"/>
        <v>0</v>
      </c>
      <c r="J924" s="1430">
        <f t="shared" ca="1" si="1311"/>
        <v>0</v>
      </c>
      <c r="K924" s="1430">
        <f t="shared" ca="1" si="1311"/>
        <v>0</v>
      </c>
      <c r="L924" s="1430">
        <f t="shared" ca="1" si="1311"/>
        <v>0</v>
      </c>
      <c r="M924" s="1430">
        <f t="shared" ca="1" si="1311"/>
        <v>0</v>
      </c>
      <c r="N924" s="1430">
        <f t="shared" ca="1" si="1311"/>
        <v>0</v>
      </c>
      <c r="O924" s="1430">
        <f t="shared" ca="1" si="1311"/>
        <v>0</v>
      </c>
      <c r="P924" s="1430">
        <f t="shared" ca="1" si="1311"/>
        <v>0</v>
      </c>
      <c r="Q924" s="1430">
        <f t="shared" ca="1" si="1311"/>
        <v>0</v>
      </c>
      <c r="R924" s="1430">
        <f t="shared" ca="1" si="1311"/>
        <v>0</v>
      </c>
      <c r="S924" s="1430">
        <f t="shared" ca="1" si="1311"/>
        <v>0</v>
      </c>
      <c r="T924" s="1430">
        <f t="shared" ca="1" si="1311"/>
        <v>0</v>
      </c>
      <c r="U924" s="1430">
        <f t="shared" ca="1" si="1311"/>
        <v>0</v>
      </c>
      <c r="V924" s="1430">
        <f t="shared" ca="1" si="1311"/>
        <v>0</v>
      </c>
      <c r="W924" s="1430">
        <f t="shared" ca="1" si="1311"/>
        <v>0</v>
      </c>
      <c r="X924" s="152"/>
      <c r="Y924" s="152"/>
      <c r="Z924" s="152"/>
      <c r="AA924" s="152"/>
      <c r="AB924" s="152"/>
    </row>
    <row r="925" spans="1:28">
      <c r="A925" s="152"/>
      <c r="B925" s="152"/>
      <c r="C925" s="1423"/>
      <c r="D925" s="1423"/>
      <c r="E925" s="1423"/>
      <c r="F925" s="1423"/>
      <c r="G925" s="1423"/>
      <c r="H925" s="1423"/>
      <c r="I925" s="1423"/>
      <c r="J925" s="1423"/>
      <c r="K925" s="1423"/>
      <c r="L925" s="1423"/>
      <c r="M925" s="1423"/>
      <c r="N925" s="1423"/>
      <c r="O925" s="1423"/>
      <c r="P925" s="1423"/>
      <c r="Q925" s="1423"/>
      <c r="R925" s="1423"/>
      <c r="S925" s="1423"/>
      <c r="T925" s="1423"/>
      <c r="U925" s="1423"/>
      <c r="V925" s="1423"/>
      <c r="W925" s="1423"/>
      <c r="X925" s="152"/>
      <c r="Y925" s="152"/>
      <c r="Z925" s="152"/>
      <c r="AA925" s="152"/>
      <c r="AB925" s="152"/>
    </row>
    <row r="926" spans="1:28">
      <c r="A926" s="269" t="s">
        <v>19</v>
      </c>
      <c r="B926" s="270">
        <f>VLOOKUP($A926,'RFM input'!$E$7:$F$56,2,FALSE)</f>
        <v>0</v>
      </c>
      <c r="C926" s="1431"/>
      <c r="D926" s="1431"/>
      <c r="E926" s="1432"/>
      <c r="F926" s="1432"/>
      <c r="G926" s="1432"/>
      <c r="H926" s="1432"/>
      <c r="I926" s="1432"/>
      <c r="J926" s="1432"/>
      <c r="K926" s="1432"/>
      <c r="L926" s="1432"/>
      <c r="M926" s="1432"/>
      <c r="N926" s="1432"/>
      <c r="O926" s="1432"/>
      <c r="P926" s="1432"/>
      <c r="Q926" s="1432"/>
      <c r="R926" s="1432"/>
      <c r="S926" s="1432"/>
      <c r="T926" s="1432"/>
      <c r="U926" s="1432"/>
      <c r="V926" s="1432"/>
      <c r="W926" s="1432"/>
      <c r="X926" s="152"/>
      <c r="Y926" s="152"/>
      <c r="Z926" s="152"/>
      <c r="AA926" s="152"/>
      <c r="AB926" s="152"/>
    </row>
    <row r="927" spans="1:28">
      <c r="A927" s="215">
        <f>VALUE(REPLACE(A926,1,12,""))</f>
        <v>18</v>
      </c>
      <c r="B927" s="263" t="s">
        <v>126</v>
      </c>
      <c r="C927" s="1416">
        <f ca="1">IF($D$6='TAB roll forward'!$H$4,OFFSET('TAB roll forward'!$H$7,A927,0),"enter input")</f>
        <v>0</v>
      </c>
      <c r="D927" s="1417">
        <f>IF(LEFT(D$6,4)&lt;LEFT('RFM input'!$G$60,4),"enter input",IF(LEFT(D$6,4)&gt;LEFT('RFM input'!$Q$60,4),0,
INDEX('RFM input'!$G$61:$Q$110,$A927,MATCH(D$6,'RFM input'!$G$60:$Q$60,0))
   -INDEX('RFM input'!$G$115:$Q$164,$A927,MATCH(D$6,'RFM input'!$G$60:$Q$60,0))))</f>
        <v>0</v>
      </c>
      <c r="E927" s="1417">
        <f>IF(LEFT(E$6,4)&lt;LEFT('RFM input'!$G$60,4),"enter input",IF(LEFT(E$6,4)&gt;LEFT('RFM input'!$Q$60,4),0,
INDEX('RFM input'!$G$61:$Q$110,$A927,MATCH(E$6,'RFM input'!$G$60:$Q$60,0))
   -INDEX('RFM input'!$G$115:$Q$164,$A927,MATCH(E$6,'RFM input'!$G$60:$Q$60,0))))</f>
        <v>0</v>
      </c>
      <c r="F927" s="1417">
        <f>IF(LEFT(F$6,4)&lt;LEFT('RFM input'!$G$60,4),"enter input",IF(LEFT(F$6,4)&gt;LEFT('RFM input'!$Q$60,4),0,
INDEX('RFM input'!$G$61:$Q$110,$A927,MATCH(F$6,'RFM input'!$G$60:$Q$60,0))
   -INDEX('RFM input'!$G$115:$Q$164,$A927,MATCH(F$6,'RFM input'!$G$60:$Q$60,0))))</f>
        <v>0</v>
      </c>
      <c r="G927" s="1417">
        <f>IF(LEFT(G$6,4)&lt;LEFT('RFM input'!$G$60,4),"enter input",IF(LEFT(G$6,4)&gt;LEFT('RFM input'!$Q$60,4),0,
INDEX('RFM input'!$G$61:$Q$110,$A927,MATCH(G$6,'RFM input'!$G$60:$Q$60,0))
   -INDEX('RFM input'!$G$115:$Q$164,$A927,MATCH(G$6,'RFM input'!$G$60:$Q$60,0))))</f>
        <v>0</v>
      </c>
      <c r="H927" s="1417">
        <f>IF(LEFT(H$6,4)&lt;LEFT('RFM input'!$G$60,4),"enter input",IF(LEFT(H$6,4)&gt;LEFT('RFM input'!$Q$60,4),0,
INDEX('RFM input'!$G$61:$Q$110,$A927,MATCH(H$6,'RFM input'!$G$60:$Q$60,0))
   -INDEX('RFM input'!$G$115:$Q$164,$A927,MATCH(H$6,'RFM input'!$G$60:$Q$60,0))))</f>
        <v>0</v>
      </c>
      <c r="I927" s="1417">
        <f>IF(LEFT(I$6,4)&lt;LEFT('RFM input'!$G$60,4),"enter input",IF(LEFT(I$6,4)&gt;LEFT('RFM input'!$Q$60,4),0,
INDEX('RFM input'!$G$61:$Q$110,$A927,MATCH(I$6,'RFM input'!$G$60:$Q$60,0))
   -INDEX('RFM input'!$G$115:$Q$164,$A927,MATCH(I$6,'RFM input'!$G$60:$Q$60,0))))</f>
        <v>0</v>
      </c>
      <c r="J927" s="1417">
        <f>IF(LEFT(J$6,4)&lt;LEFT('RFM input'!$G$60,4),"enter input",IF(LEFT(J$6,4)&gt;LEFT('RFM input'!$Q$60,4),0,
INDEX('RFM input'!$G$61:$Q$110,$A927,MATCH(J$6,'RFM input'!$G$60:$Q$60,0))
   -INDEX('RFM input'!$G$115:$Q$164,$A927,MATCH(J$6,'RFM input'!$G$60:$Q$60,0))))</f>
        <v>0</v>
      </c>
      <c r="K927" s="1417">
        <f>IF(LEFT(K$6,4)&lt;LEFT('RFM input'!$G$60,4),"enter input",IF(LEFT(K$6,4)&gt;LEFT('RFM input'!$Q$60,4),0,
INDEX('RFM input'!$G$61:$Q$110,$A927,MATCH(K$6,'RFM input'!$G$60:$Q$60,0))
   -INDEX('RFM input'!$G$115:$Q$164,$A927,MATCH(K$6,'RFM input'!$G$60:$Q$60,0))))</f>
        <v>0</v>
      </c>
      <c r="L927" s="1417">
        <f>IF(LEFT(L$6,4)&lt;LEFT('RFM input'!$G$60,4),"enter input",IF(LEFT(L$6,4)&gt;LEFT('RFM input'!$Q$60,4),0,
INDEX('RFM input'!$G$61:$Q$110,$A927,MATCH(L$6,'RFM input'!$G$60:$Q$60,0))
   -INDEX('RFM input'!$G$115:$Q$164,$A927,MATCH(L$6,'RFM input'!$G$60:$Q$60,0))))</f>
        <v>0</v>
      </c>
      <c r="M927" s="1417">
        <f>IF(LEFT(M$6,4)&lt;LEFT('RFM input'!$G$60,4),"enter input",IF(LEFT(M$6,4)&gt;LEFT('RFM input'!$Q$60,4),0,
INDEX('RFM input'!$G$61:$Q$110,$A927,MATCH(M$6,'RFM input'!$G$60:$Q$60,0))
   -INDEX('RFM input'!$G$115:$Q$164,$A927,MATCH(M$6,'RFM input'!$G$60:$Q$60,0))))</f>
        <v>0</v>
      </c>
      <c r="N927" s="1417">
        <f>IF(LEFT(N$6,4)&lt;LEFT('RFM input'!$G$60,4),"enter input",IF(LEFT(N$6,4)&gt;LEFT('RFM input'!$Q$60,4),0,
INDEX('RFM input'!$G$61:$Q$110,$A927,MATCH(N$6,'RFM input'!$G$60:$Q$60,0))
   -INDEX('RFM input'!$G$115:$Q$164,$A927,MATCH(N$6,'RFM input'!$G$60:$Q$60,0))))</f>
        <v>0</v>
      </c>
      <c r="O927" s="1417">
        <f>IF(LEFT(O$6,4)&lt;LEFT('RFM input'!$G$60,4),"enter input",IF(LEFT(O$6,4)&gt;LEFT('RFM input'!$Q$60,4),0,
INDEX('RFM input'!$G$61:$Q$110,$A927,MATCH(O$6,'RFM input'!$G$60:$Q$60,0))
   -INDEX('RFM input'!$G$115:$Q$164,$A927,MATCH(O$6,'RFM input'!$G$60:$Q$60,0))))</f>
        <v>0</v>
      </c>
      <c r="P927" s="1417">
        <f>IF(LEFT(P$6,4)&lt;LEFT('RFM input'!$G$60,4),"enter input",IF(LEFT(P$6,4)&gt;LEFT('RFM input'!$Q$60,4),0,
INDEX('RFM input'!$G$61:$Q$110,$A927,MATCH(P$6,'RFM input'!$G$60:$Q$60,0))
   -INDEX('RFM input'!$G$115:$Q$164,$A927,MATCH(P$6,'RFM input'!$G$60:$Q$60,0))))</f>
        <v>0</v>
      </c>
      <c r="Q927" s="1417">
        <f>IF(LEFT(Q$6,4)&lt;LEFT('RFM input'!$G$60,4),"enter input",IF(LEFT(Q$6,4)&gt;LEFT('RFM input'!$Q$60,4),0,
INDEX('RFM input'!$G$61:$Q$110,$A927,MATCH(Q$6,'RFM input'!$G$60:$Q$60,0))
   -INDEX('RFM input'!$G$115:$Q$164,$A927,MATCH(Q$6,'RFM input'!$G$60:$Q$60,0))))</f>
        <v>0</v>
      </c>
      <c r="R927" s="1417">
        <f>IF(LEFT(R$6,4)&lt;LEFT('RFM input'!$G$60,4),"enter input",IF(LEFT(R$6,4)&gt;LEFT('RFM input'!$Q$60,4),0,
INDEX('RFM input'!$G$61:$Q$110,$A927,MATCH(R$6,'RFM input'!$G$60:$Q$60,0))
   -INDEX('RFM input'!$G$115:$Q$164,$A927,MATCH(R$6,'RFM input'!$G$60:$Q$60,0))))</f>
        <v>0</v>
      </c>
      <c r="S927" s="1417">
        <f>IF(LEFT(S$6,4)&lt;LEFT('RFM input'!$G$60,4),"enter input",IF(LEFT(S$6,4)&gt;LEFT('RFM input'!$Q$60,4),0,
INDEX('RFM input'!$G$61:$Q$110,$A927,MATCH(S$6,'RFM input'!$G$60:$Q$60,0))
   -INDEX('RFM input'!$G$115:$Q$164,$A927,MATCH(S$6,'RFM input'!$G$60:$Q$60,0))))</f>
        <v>0</v>
      </c>
      <c r="T927" s="1417">
        <f>IF(LEFT(T$6,4)&lt;LEFT('RFM input'!$G$60,4),"enter input",IF(LEFT(T$6,4)&gt;LEFT('RFM input'!$Q$60,4),0,
INDEX('RFM input'!$G$61:$Q$110,$A927,MATCH(T$6,'RFM input'!$G$60:$Q$60,0))
   -INDEX('RFM input'!$G$115:$Q$164,$A927,MATCH(T$6,'RFM input'!$G$60:$Q$60,0))))</f>
        <v>0</v>
      </c>
      <c r="U927" s="1417">
        <f>IF(LEFT(U$6,4)&lt;LEFT('RFM input'!$G$60,4),"enter input",IF(LEFT(U$6,4)&gt;LEFT('RFM input'!$Q$60,4),0,
INDEX('RFM input'!$G$61:$Q$110,$A927,MATCH(U$6,'RFM input'!$G$60:$Q$60,0))
   -INDEX('RFM input'!$G$115:$Q$164,$A927,MATCH(U$6,'RFM input'!$G$60:$Q$60,0))))</f>
        <v>0</v>
      </c>
      <c r="V927" s="1417">
        <f>IF(LEFT(V$6,4)&lt;LEFT('RFM input'!$G$60,4),"enter input",IF(LEFT(V$6,4)&gt;LEFT('RFM input'!$Q$60,4),0,
INDEX('RFM input'!$G$61:$Q$110,$A927,MATCH(V$6,'RFM input'!$G$60:$Q$60,0))
   -INDEX('RFM input'!$G$115:$Q$164,$A927,MATCH(V$6,'RFM input'!$G$60:$Q$60,0))))</f>
        <v>0</v>
      </c>
      <c r="W927" s="1417">
        <f>IF(LEFT(W$6,4)&lt;LEFT('RFM input'!$G$60,4),"enter input",IF(LEFT(W$6,4)&gt;LEFT('RFM input'!$Q$60,4),0,
INDEX('RFM input'!$G$61:$Q$110,$A927,MATCH(W$6,'RFM input'!$G$60:$Q$60,0))
   -INDEX('RFM input'!$G$115:$Q$164,$A927,MATCH(W$6,'RFM input'!$G$60:$Q$60,0))))</f>
        <v>0</v>
      </c>
      <c r="X927" s="152"/>
      <c r="Y927" s="152"/>
      <c r="Z927" s="152"/>
      <c r="AA927" s="152"/>
      <c r="AB927" s="152"/>
    </row>
    <row r="928" spans="1:28">
      <c r="A928" s="152"/>
      <c r="B928" s="152" t="s">
        <v>205</v>
      </c>
      <c r="C928" s="1418">
        <f ca="1">IF($D$6='TAB roll forward'!$H$4,OFFSET('RFM input'!$S$6,$A927,0),"enter input")</f>
        <v>0</v>
      </c>
      <c r="D928" s="1417">
        <f>IF(LEFT(D$6,4)&lt;=LEFT('RFM input'!$G$60,4),"enter input",IF(LEFT(D$6,4)&gt;LEFT('RFM input'!$Q$60,4),0,
IF(MATCH(D$6,'RFM input'!$H$60:$Q$60,0),INDEX('RFM input'!$T$7:$T$56,$A927,1,1))))</f>
        <v>0</v>
      </c>
      <c r="E928" s="1417">
        <f>IF(LEFT(E$6,4)&lt;=LEFT('RFM input'!$G$60,4),"enter input",IF(LEFT(E$6,4)&gt;LEFT('RFM input'!$Q$60,4),0,
IF(MATCH(E$6,'RFM input'!$H$60:$Q$60,0),INDEX('RFM input'!$T$7:$T$56,$A927,1,1))))</f>
        <v>0</v>
      </c>
      <c r="F928" s="1417">
        <f>IF(LEFT(F$6,4)&lt;=LEFT('RFM input'!$G$60,4),"enter input",IF(LEFT(F$6,4)&gt;LEFT('RFM input'!$Q$60,4),0,
IF(MATCH(F$6,'RFM input'!$H$60:$Q$60,0),INDEX('RFM input'!$T$7:$T$56,$A927,1,1))))</f>
        <v>0</v>
      </c>
      <c r="G928" s="1417">
        <f>IF(LEFT(G$6,4)&lt;=LEFT('RFM input'!$G$60,4),"enter input",IF(LEFT(G$6,4)&gt;LEFT('RFM input'!$Q$60,4),0,
IF(MATCH(G$6,'RFM input'!$H$60:$Q$60,0),INDEX('RFM input'!$T$7:$T$56,$A927,1,1))))</f>
        <v>0</v>
      </c>
      <c r="H928" s="1417">
        <f>IF(LEFT(H$6,4)&lt;=LEFT('RFM input'!$G$60,4),"enter input",IF(LEFT(H$6,4)&gt;LEFT('RFM input'!$Q$60,4),0,
IF(MATCH(H$6,'RFM input'!$H$60:$Q$60,0),INDEX('RFM input'!$T$7:$T$56,$A927,1,1))))</f>
        <v>0</v>
      </c>
      <c r="I928" s="1417">
        <f>IF(LEFT(I$6,4)&lt;=LEFT('RFM input'!$G$60,4),"enter input",IF(LEFT(I$6,4)&gt;LEFT('RFM input'!$Q$60,4),0,
IF(MATCH(I$6,'RFM input'!$H$60:$Q$60,0),INDEX('RFM input'!$T$7:$T$56,$A927,1,1))))</f>
        <v>0</v>
      </c>
      <c r="J928" s="1417">
        <f>IF(LEFT(J$6,4)&lt;=LEFT('RFM input'!$G$60,4),"enter input",IF(LEFT(J$6,4)&gt;LEFT('RFM input'!$Q$60,4),0,
IF(MATCH(J$6,'RFM input'!$H$60:$Q$60,0),INDEX('RFM input'!$T$7:$T$56,$A927,1,1))))</f>
        <v>0</v>
      </c>
      <c r="K928" s="1417">
        <f>IF(LEFT(K$6,4)&lt;=LEFT('RFM input'!$G$60,4),"enter input",IF(LEFT(K$6,4)&gt;LEFT('RFM input'!$Q$60,4),0,
IF(MATCH(K$6,'RFM input'!$H$60:$Q$60,0),INDEX('RFM input'!$T$7:$T$56,$A927,1,1))))</f>
        <v>0</v>
      </c>
      <c r="L928" s="1417">
        <f>IF(LEFT(L$6,4)&lt;=LEFT('RFM input'!$G$60,4),"enter input",IF(LEFT(L$6,4)&gt;LEFT('RFM input'!$Q$60,4),0,
IF(MATCH(L$6,'RFM input'!$H$60:$Q$60,0),INDEX('RFM input'!$T$7:$T$56,$A927,1,1))))</f>
        <v>0</v>
      </c>
      <c r="M928" s="1417">
        <f>IF(LEFT(M$6,4)&lt;=LEFT('RFM input'!$G$60,4),"enter input",IF(LEFT(M$6,4)&gt;LEFT('RFM input'!$Q$60,4),0,
IF(MATCH(M$6,'RFM input'!$H$60:$Q$60,0),INDEX('RFM input'!$T$7:$T$56,$A927,1,1))))</f>
        <v>0</v>
      </c>
      <c r="N928" s="1417">
        <f>IF(LEFT(N$6,4)&lt;=LEFT('RFM input'!$G$60,4),"enter input",IF(LEFT(N$6,4)&gt;LEFT('RFM input'!$Q$60,4),0,
IF(MATCH(N$6,'RFM input'!$H$60:$Q$60,0),INDEX('RFM input'!$T$7:$T$56,$A927,1,1))))</f>
        <v>0</v>
      </c>
      <c r="O928" s="1417">
        <f>IF(LEFT(O$6,4)&lt;=LEFT('RFM input'!$G$60,4),"enter input",IF(LEFT(O$6,4)&gt;LEFT('RFM input'!$Q$60,4),0,
IF(MATCH(O$6,'RFM input'!$H$60:$Q$60,0),INDEX('RFM input'!$T$7:$T$56,$A927,1,1))))</f>
        <v>0</v>
      </c>
      <c r="P928" s="1417">
        <f>IF(LEFT(P$6,4)&lt;=LEFT('RFM input'!$G$60,4),"enter input",IF(LEFT(P$6,4)&gt;LEFT('RFM input'!$Q$60,4),0,
IF(MATCH(P$6,'RFM input'!$H$60:$Q$60,0),INDEX('RFM input'!$T$7:$T$56,$A927,1,1))))</f>
        <v>0</v>
      </c>
      <c r="Q928" s="1417">
        <f>IF(LEFT(Q$6,4)&lt;=LEFT('RFM input'!$G$60,4),"enter input",IF(LEFT(Q$6,4)&gt;LEFT('RFM input'!$Q$60,4),0,
IF(MATCH(Q$6,'RFM input'!$H$60:$Q$60,0),INDEX('RFM input'!$T$7:$T$56,$A927,1,1))))</f>
        <v>0</v>
      </c>
      <c r="R928" s="1417">
        <f>IF(LEFT(R$6,4)&lt;=LEFT('RFM input'!$G$60,4),"enter input",IF(LEFT(R$6,4)&gt;LEFT('RFM input'!$Q$60,4),0,
IF(MATCH(R$6,'RFM input'!$H$60:$Q$60,0),INDEX('RFM input'!$T$7:$T$56,$A927,1,1))))</f>
        <v>0</v>
      </c>
      <c r="S928" s="1417">
        <f>IF(LEFT(S$6,4)&lt;=LEFT('RFM input'!$G$60,4),"enter input",IF(LEFT(S$6,4)&gt;LEFT('RFM input'!$Q$60,4),0,
IF(MATCH(S$6,'RFM input'!$H$60:$Q$60,0),INDEX('RFM input'!$T$7:$T$56,$A927,1,1))))</f>
        <v>0</v>
      </c>
      <c r="T928" s="1417">
        <f>IF(LEFT(T$6,4)&lt;=LEFT('RFM input'!$G$60,4),"enter input",IF(LEFT(T$6,4)&gt;LEFT('RFM input'!$Q$60,4),0,
IF(MATCH(T$6,'RFM input'!$H$60:$Q$60,0),INDEX('RFM input'!$T$7:$T$56,$A927,1,1))))</f>
        <v>0</v>
      </c>
      <c r="U928" s="1417">
        <f>IF(LEFT(U$6,4)&lt;=LEFT('RFM input'!$G$60,4),"enter input",IF(LEFT(U$6,4)&gt;LEFT('RFM input'!$Q$60,4),0,
IF(MATCH(U$6,'RFM input'!$H$60:$Q$60,0),INDEX('RFM input'!$T$7:$T$56,$A927,1,1))))</f>
        <v>0</v>
      </c>
      <c r="V928" s="1417">
        <f>IF(LEFT(V$6,4)&lt;=LEFT('RFM input'!$G$60,4),"enter input",IF(LEFT(V$6,4)&gt;LEFT('RFM input'!$Q$60,4),0,
IF(MATCH(V$6,'RFM input'!$H$60:$Q$60,0),INDEX('RFM input'!$T$7:$T$56,$A927,1,1))))</f>
        <v>0</v>
      </c>
      <c r="W928" s="1417">
        <f>IF(LEFT(W$6,4)&lt;=LEFT('RFM input'!$G$60,4),"enter input",IF(LEFT(W$6,4)&gt;LEFT('RFM input'!$Q$60,4),0,
IF(MATCH(W$6,'RFM input'!$H$60:$Q$60,0),INDEX('RFM input'!$T$7:$T$56,$A927,1,1))))</f>
        <v>0</v>
      </c>
      <c r="X928" s="152"/>
      <c r="Y928" s="152"/>
      <c r="Z928" s="152"/>
      <c r="AA928" s="152"/>
      <c r="AB928" s="152"/>
    </row>
    <row r="929" spans="1:28">
      <c r="A929" s="152"/>
      <c r="B929" s="193" t="s">
        <v>192</v>
      </c>
      <c r="C929" s="1419"/>
      <c r="D929" s="1420">
        <f ca="1">IF(LEFT(D$6,4)&lt;=LEFT('RFM input'!$G$60,4),"enter input",IF(LEFT(D$6,4)&gt;LEFT('RFM input'!$Q$60,4),0,
IF(D$6=(OFFSET('RFM input'!$G$60,0,'RFM input'!$V$7)),OFFSET('RFM input'!$H$411,$A927,0),0)))</f>
        <v>0</v>
      </c>
      <c r="E929" s="1417">
        <f ca="1">IF(LEFT(E$6,4)&lt;=LEFT('RFM input'!$G$60,4),"enter input",IF(LEFT(E$6,4)&gt;LEFT('RFM input'!$Q$60,4),0,
IF(E$6=(OFFSET('RFM input'!$G$60,0,'RFM input'!$V$7)),OFFSET('RFM input'!$H$411,$A927,0),0)))</f>
        <v>0</v>
      </c>
      <c r="F929" s="1417">
        <f ca="1">IF(LEFT(F$6,4)&lt;=LEFT('RFM input'!$G$60,4),"enter input",IF(LEFT(F$6,4)&gt;LEFT('RFM input'!$Q$60,4),0,
IF(F$6=(OFFSET('RFM input'!$G$60,0,'RFM input'!$V$7)),OFFSET('RFM input'!$H$411,$A927,0),0)))</f>
        <v>0</v>
      </c>
      <c r="G929" s="1417">
        <f ca="1">IF(LEFT(G$6,4)&lt;=LEFT('RFM input'!$G$60,4),"enter input",IF(LEFT(G$6,4)&gt;LEFT('RFM input'!$Q$60,4),0,
IF(G$6=(OFFSET('RFM input'!$G$60,0,'RFM input'!$V$7)),OFFSET('RFM input'!$H$411,$A927,0),0)))</f>
        <v>0</v>
      </c>
      <c r="H929" s="1417">
        <f ca="1">IF(LEFT(H$6,4)&lt;=LEFT('RFM input'!$G$60,4),"enter input",IF(LEFT(H$6,4)&gt;LEFT('RFM input'!$Q$60,4),0,
IF(H$6=(OFFSET('RFM input'!$G$60,0,'RFM input'!$V$7)),OFFSET('RFM input'!$H$411,$A927,0),0)))</f>
        <v>0</v>
      </c>
      <c r="I929" s="1417">
        <f ca="1">IF(LEFT(I$6,4)&lt;=LEFT('RFM input'!$G$60,4),"enter input",IF(LEFT(I$6,4)&gt;LEFT('RFM input'!$Q$60,4),0,
IF(I$6=(OFFSET('RFM input'!$G$60,0,'RFM input'!$V$7)),OFFSET('RFM input'!$H$411,$A927,0),0)))</f>
        <v>0</v>
      </c>
      <c r="J929" s="1417">
        <f ca="1">IF(LEFT(J$6,4)&lt;=LEFT('RFM input'!$G$60,4),"enter input",IF(LEFT(J$6,4)&gt;LEFT('RFM input'!$Q$60,4),0,
IF(J$6=(OFFSET('RFM input'!$G$60,0,'RFM input'!$V$7)),OFFSET('RFM input'!$H$411,$A927,0),0)))</f>
        <v>0</v>
      </c>
      <c r="K929" s="1417">
        <f ca="1">IF(LEFT(K$6,4)&lt;=LEFT('RFM input'!$G$60,4),"enter input",IF(LEFT(K$6,4)&gt;LEFT('RFM input'!$Q$60,4),0,
IF(K$6=(OFFSET('RFM input'!$G$60,0,'RFM input'!$V$7)),OFFSET('RFM input'!$H$411,$A927,0),0)))</f>
        <v>0</v>
      </c>
      <c r="L929" s="1417">
        <f ca="1">IF(LEFT(L$6,4)&lt;=LEFT('RFM input'!$G$60,4),"enter input",IF(LEFT(L$6,4)&gt;LEFT('RFM input'!$Q$60,4),0,
IF(L$6=(OFFSET('RFM input'!$G$60,0,'RFM input'!$V$7)),OFFSET('RFM input'!$H$411,$A927,0),0)))</f>
        <v>0</v>
      </c>
      <c r="M929" s="1417">
        <f ca="1">IF(LEFT(M$6,4)&lt;=LEFT('RFM input'!$G$60,4),"enter input",IF(LEFT(M$6,4)&gt;LEFT('RFM input'!$Q$60,4),0,
IF(M$6=(OFFSET('RFM input'!$G$60,0,'RFM input'!$V$7)),OFFSET('RFM input'!$H$411,$A927,0),0)))</f>
        <v>0</v>
      </c>
      <c r="N929" s="1417">
        <f ca="1">IF(LEFT(N$6,4)&lt;=LEFT('RFM input'!$G$60,4),"enter input",IF(LEFT(N$6,4)&gt;LEFT('RFM input'!$Q$60,4),0,
IF(N$6=(OFFSET('RFM input'!$G$60,0,'RFM input'!$V$7)),OFFSET('RFM input'!$H$411,$A927,0),0)))</f>
        <v>0</v>
      </c>
      <c r="O929" s="1417">
        <f ca="1">IF(LEFT(O$6,4)&lt;=LEFT('RFM input'!$G$60,4),"enter input",IF(LEFT(O$6,4)&gt;LEFT('RFM input'!$Q$60,4),0,
IF(O$6=(OFFSET('RFM input'!$G$60,0,'RFM input'!$V$7)),OFFSET('RFM input'!$H$411,$A927,0),0)))</f>
        <v>0</v>
      </c>
      <c r="P929" s="1417">
        <f ca="1">IF(LEFT(P$6,4)&lt;=LEFT('RFM input'!$G$60,4),"enter input",IF(LEFT(P$6,4)&gt;LEFT('RFM input'!$Q$60,4),0,
IF(P$6=(OFFSET('RFM input'!$G$60,0,'RFM input'!$V$7)),OFFSET('RFM input'!$H$411,$A927,0),0)))</f>
        <v>0</v>
      </c>
      <c r="Q929" s="1417">
        <f ca="1">IF(LEFT(Q$6,4)&lt;=LEFT('RFM input'!$G$60,4),"enter input",IF(LEFT(Q$6,4)&gt;LEFT('RFM input'!$Q$60,4),0,
IF(Q$6=(OFFSET('RFM input'!$G$60,0,'RFM input'!$V$7)),OFFSET('RFM input'!$H$411,$A927,0),0)))</f>
        <v>0</v>
      </c>
      <c r="R929" s="1417">
        <f ca="1">IF(LEFT(R$6,4)&lt;=LEFT('RFM input'!$G$60,4),"enter input",IF(LEFT(R$6,4)&gt;LEFT('RFM input'!$Q$60,4),0,
IF(R$6=(OFFSET('RFM input'!$G$60,0,'RFM input'!$V$7)),OFFSET('RFM input'!$H$411,$A927,0),0)))</f>
        <v>0</v>
      </c>
      <c r="S929" s="1417">
        <f ca="1">IF(LEFT(S$6,4)&lt;=LEFT('RFM input'!$G$60,4),"enter input",IF(LEFT(S$6,4)&gt;LEFT('RFM input'!$Q$60,4),0,
IF(S$6=(OFFSET('RFM input'!$G$60,0,'RFM input'!$V$7)),OFFSET('RFM input'!$H$411,$A927,0),0)))</f>
        <v>0</v>
      </c>
      <c r="T929" s="1417">
        <f ca="1">IF(LEFT(T$6,4)&lt;=LEFT('RFM input'!$G$60,4),"enter input",IF(LEFT(T$6,4)&gt;LEFT('RFM input'!$Q$60,4),0,
IF(T$6=(OFFSET('RFM input'!$G$60,0,'RFM input'!$V$7)),OFFSET('RFM input'!$H$411,$A927,0),0)))</f>
        <v>0</v>
      </c>
      <c r="U929" s="1417">
        <f ca="1">IF(LEFT(U$6,4)&lt;=LEFT('RFM input'!$G$60,4),"enter input",IF(LEFT(U$6,4)&gt;LEFT('RFM input'!$Q$60,4),0,
IF(U$6=(OFFSET('RFM input'!$G$60,0,'RFM input'!$V$7)),OFFSET('RFM input'!$H$411,$A927,0),0)))</f>
        <v>0</v>
      </c>
      <c r="V929" s="1417">
        <f ca="1">IF(LEFT(V$6,4)&lt;=LEFT('RFM input'!$G$60,4),"enter input",IF(LEFT(V$6,4)&gt;LEFT('RFM input'!$Q$60,4),0,
IF(V$6=(OFFSET('RFM input'!$G$60,0,'RFM input'!$V$7)),OFFSET('RFM input'!$H$411,$A927,0),0)))</f>
        <v>0</v>
      </c>
      <c r="W929" s="1417">
        <f ca="1">IF(LEFT(W$6,4)&lt;=LEFT('RFM input'!$G$60,4),"enter input",IF(LEFT(W$6,4)&gt;LEFT('RFM input'!$Q$60,4),0,
IF(W$6=(OFFSET('RFM input'!$G$60,0,'RFM input'!$V$7)),OFFSET('RFM input'!$H$411,$A927,0),0)))</f>
        <v>0</v>
      </c>
      <c r="X929" s="152"/>
      <c r="Y929" s="152"/>
      <c r="Z929" s="152"/>
      <c r="AA929" s="152"/>
      <c r="AB929" s="152"/>
    </row>
    <row r="930" spans="1:28">
      <c r="A930" s="152"/>
      <c r="B930" s="193" t="s">
        <v>200</v>
      </c>
      <c r="C930" s="1419"/>
      <c r="D930" s="1418">
        <f ca="1">IF(LEFT(D$6,4)&lt;=LEFT('RFM input'!$G$60,4),"enter input",IF(LEFT(D$6,4)&gt;LEFT('RFM input'!$Q$60,4),0,
IF(D$6=(OFFSET('RFM input'!$G$60,0,'RFM input'!$V$7)),OFFSET('RFM input'!$J$411,$A927,0),0)))</f>
        <v>0</v>
      </c>
      <c r="E930" s="1422">
        <f ca="1">IF(LEFT(E$6,4)&lt;=LEFT('RFM input'!$G$60,4),"enter input",IF(LEFT(E$6,4)&gt;LEFT('RFM input'!$Q$60,4),0,
IF(E$6=(OFFSET('RFM input'!$G$60,0,'RFM input'!$V$7)),OFFSET('RFM input'!$J$411,$A927,0),0)))</f>
        <v>0</v>
      </c>
      <c r="F930" s="1422">
        <f ca="1">IF(LEFT(F$6,4)&lt;=LEFT('RFM input'!$G$60,4),"enter input",IF(LEFT(F$6,4)&gt;LEFT('RFM input'!$Q$60,4),0,
IF(F$6=(OFFSET('RFM input'!$G$60,0,'RFM input'!$V$7)),OFFSET('RFM input'!$J$411,$A927,0),0)))</f>
        <v>0</v>
      </c>
      <c r="G930" s="1422">
        <f ca="1">IF(LEFT(G$6,4)&lt;=LEFT('RFM input'!$G$60,4),"enter input",IF(LEFT(G$6,4)&gt;LEFT('RFM input'!$Q$60,4),0,
IF(G$6=(OFFSET('RFM input'!$G$60,0,'RFM input'!$V$7)),OFFSET('RFM input'!$J$411,$A927,0),0)))</f>
        <v>0</v>
      </c>
      <c r="H930" s="1422">
        <f ca="1">IF(LEFT(H$6,4)&lt;=LEFT('RFM input'!$G$60,4),"enter input",IF(LEFT(H$6,4)&gt;LEFT('RFM input'!$Q$60,4),0,
IF(H$6=(OFFSET('RFM input'!$G$60,0,'RFM input'!$V$7)),OFFSET('RFM input'!$J$411,$A927,0),0)))</f>
        <v>0</v>
      </c>
      <c r="I930" s="1422">
        <f ca="1">IF(LEFT(I$6,4)&lt;=LEFT('RFM input'!$G$60,4),"enter input",IF(LEFT(I$6,4)&gt;LEFT('RFM input'!$Q$60,4),0,
IF(I$6=(OFFSET('RFM input'!$G$60,0,'RFM input'!$V$7)),OFFSET('RFM input'!$J$411,$A927,0),0)))</f>
        <v>0</v>
      </c>
      <c r="J930" s="1422">
        <f ca="1">IF(LEFT(J$6,4)&lt;=LEFT('RFM input'!$G$60,4),"enter input",IF(LEFT(J$6,4)&gt;LEFT('RFM input'!$Q$60,4),0,
IF(J$6=(OFFSET('RFM input'!$G$60,0,'RFM input'!$V$7)),OFFSET('RFM input'!$J$411,$A927,0),0)))</f>
        <v>0</v>
      </c>
      <c r="K930" s="1422">
        <f ca="1">IF(LEFT(K$6,4)&lt;=LEFT('RFM input'!$G$60,4),"enter input",IF(LEFT(K$6,4)&gt;LEFT('RFM input'!$Q$60,4),0,
IF(K$6=(OFFSET('RFM input'!$G$60,0,'RFM input'!$V$7)),OFFSET('RFM input'!$J$411,$A927,0),0)))</f>
        <v>0</v>
      </c>
      <c r="L930" s="1422">
        <f ca="1">IF(LEFT(L$6,4)&lt;=LEFT('RFM input'!$G$60,4),"enter input",IF(LEFT(L$6,4)&gt;LEFT('RFM input'!$Q$60,4),0,
IF(L$6=(OFFSET('RFM input'!$G$60,0,'RFM input'!$V$7)),OFFSET('RFM input'!$J$411,$A927,0),0)))</f>
        <v>0</v>
      </c>
      <c r="M930" s="1422">
        <f ca="1">IF(LEFT(M$6,4)&lt;=LEFT('RFM input'!$G$60,4),"enter input",IF(LEFT(M$6,4)&gt;LEFT('RFM input'!$Q$60,4),0,
IF(M$6=(OFFSET('RFM input'!$G$60,0,'RFM input'!$V$7)),OFFSET('RFM input'!$J$411,$A927,0),0)))</f>
        <v>0</v>
      </c>
      <c r="N930" s="1422">
        <f ca="1">IF(LEFT(N$6,4)&lt;=LEFT('RFM input'!$G$60,4),"enter input",IF(LEFT(N$6,4)&gt;LEFT('RFM input'!$Q$60,4),0,
IF(N$6=(OFFSET('RFM input'!$G$60,0,'RFM input'!$V$7)),OFFSET('RFM input'!$J$411,$A927,0),0)))</f>
        <v>0</v>
      </c>
      <c r="O930" s="1422">
        <f ca="1">IF(LEFT(O$6,4)&lt;=LEFT('RFM input'!$G$60,4),"enter input",IF(LEFT(O$6,4)&gt;LEFT('RFM input'!$Q$60,4),0,
IF(O$6=(OFFSET('RFM input'!$G$60,0,'RFM input'!$V$7)),OFFSET('RFM input'!$J$411,$A927,0),0)))</f>
        <v>0</v>
      </c>
      <c r="P930" s="1422">
        <f ca="1">IF(LEFT(P$6,4)&lt;=LEFT('RFM input'!$G$60,4),"enter input",IF(LEFT(P$6,4)&gt;LEFT('RFM input'!$Q$60,4),0,
IF(P$6=(OFFSET('RFM input'!$G$60,0,'RFM input'!$V$7)),OFFSET('RFM input'!$J$411,$A927,0),0)))</f>
        <v>0</v>
      </c>
      <c r="Q930" s="1422">
        <f ca="1">IF(LEFT(Q$6,4)&lt;=LEFT('RFM input'!$G$60,4),"enter input",IF(LEFT(Q$6,4)&gt;LEFT('RFM input'!$Q$60,4),0,
IF(Q$6=(OFFSET('RFM input'!$G$60,0,'RFM input'!$V$7)),OFFSET('RFM input'!$J$411,$A927,0),0)))</f>
        <v>0</v>
      </c>
      <c r="R930" s="1422">
        <f ca="1">IF(LEFT(R$6,4)&lt;=LEFT('RFM input'!$G$60,4),"enter input",IF(LEFT(R$6,4)&gt;LEFT('RFM input'!$Q$60,4),0,
IF(R$6=(OFFSET('RFM input'!$G$60,0,'RFM input'!$V$7)),OFFSET('RFM input'!$J$411,$A927,0),0)))</f>
        <v>0</v>
      </c>
      <c r="S930" s="1422">
        <f ca="1">IF(LEFT(S$6,4)&lt;=LEFT('RFM input'!$G$60,4),"enter input",IF(LEFT(S$6,4)&gt;LEFT('RFM input'!$Q$60,4),0,
IF(S$6=(OFFSET('RFM input'!$G$60,0,'RFM input'!$V$7)),OFFSET('RFM input'!$J$411,$A927,0),0)))</f>
        <v>0</v>
      </c>
      <c r="T930" s="1422">
        <f ca="1">IF(LEFT(T$6,4)&lt;=LEFT('RFM input'!$G$60,4),"enter input",IF(LEFT(T$6,4)&gt;LEFT('RFM input'!$Q$60,4),0,
IF(T$6=(OFFSET('RFM input'!$G$60,0,'RFM input'!$V$7)),OFFSET('RFM input'!$J$411,$A927,0),0)))</f>
        <v>0</v>
      </c>
      <c r="U930" s="1422">
        <f ca="1">IF(LEFT(U$6,4)&lt;=LEFT('RFM input'!$G$60,4),"enter input",IF(LEFT(U$6,4)&gt;LEFT('RFM input'!$Q$60,4),0,
IF(U$6=(OFFSET('RFM input'!$G$60,0,'RFM input'!$V$7)),OFFSET('RFM input'!$J$411,$A927,0),0)))</f>
        <v>0</v>
      </c>
      <c r="V930" s="1422">
        <f ca="1">IF(LEFT(V$6,4)&lt;=LEFT('RFM input'!$G$60,4),"enter input",IF(LEFT(V$6,4)&gt;LEFT('RFM input'!$Q$60,4),0,
IF(V$6=(OFFSET('RFM input'!$G$60,0,'RFM input'!$V$7)),OFFSET('RFM input'!$J$411,$A927,0),0)))</f>
        <v>0</v>
      </c>
      <c r="W930" s="1422">
        <f ca="1">IF(LEFT(W$6,4)&lt;=LEFT('RFM input'!$G$60,4),"enter input",IF(LEFT(W$6,4)&gt;LEFT('RFM input'!$Q$60,4),0,
IF(W$6=(OFFSET('RFM input'!$G$60,0,'RFM input'!$V$7)),OFFSET('RFM input'!$J$411,$A927,0),0)))</f>
        <v>0</v>
      </c>
      <c r="X930" s="152"/>
      <c r="Y930" s="152"/>
      <c r="Z930" s="152"/>
      <c r="AA930" s="152"/>
      <c r="AB930" s="152"/>
    </row>
    <row r="931" spans="1:28" hidden="1" outlineLevel="1">
      <c r="A931" s="235">
        <v>-1</v>
      </c>
      <c r="B931" s="190" t="s">
        <v>195</v>
      </c>
      <c r="C931" s="1423"/>
      <c r="D931" s="1423">
        <f t="shared" ref="D931" ca="1" si="1312">IF(AND(D929=0,C931=0),0,
IF(AND(D929&lt;&gt;0,C931=0),D929,
IF(AND(D930&lt;&gt;0,C931&lt;&gt;0),(C931-(C931/C955))+D929,
IF(C955&lt;1,0,(C931-(C931/C955))))))</f>
        <v>0</v>
      </c>
      <c r="E931" s="1423">
        <f t="shared" ref="E931" ca="1" si="1313">IF(AND(E929=0,D931=0),0,
IF(AND(E929&lt;&gt;0,D931=0),E929,
IF(AND(E930&lt;&gt;0,D931&lt;&gt;0),(D931-(D931/D955))+E929,
IF(D955&lt;1,0,(D931-(D931/D955))))))</f>
        <v>0</v>
      </c>
      <c r="F931" s="1423">
        <f t="shared" ref="F931" ca="1" si="1314">IF(AND(F929=0,E931=0),0,
IF(AND(F929&lt;&gt;0,E931=0),F929,
IF(AND(F930&lt;&gt;0,E931&lt;&gt;0),(E931-(E931/E955))+F929,
IF(E955&lt;1,0,(E931-(E931/E955))))))</f>
        <v>0</v>
      </c>
      <c r="G931" s="1423">
        <f t="shared" ref="G931" ca="1" si="1315">IF(AND(G929=0,F931=0),0,
IF(AND(G929&lt;&gt;0,F931=0),G929,
IF(AND(G930&lt;&gt;0,F931&lt;&gt;0),(F931-(F931/F955))+G929,
IF(F955&lt;1,0,(F931-(F931/F955))))))</f>
        <v>0</v>
      </c>
      <c r="H931" s="1423">
        <f ca="1">IF(AND(H929=0,G931=0),0,
IF(AND(H929&lt;&gt;0,G931=0),H929,
IF(AND(H930&lt;&gt;0,G931&lt;&gt;0),(G931-(G931/G955))+H929,
IF(G955&lt;1,0,(G931-(G931/G955))))))</f>
        <v>0</v>
      </c>
      <c r="I931" s="1423">
        <f t="shared" ref="I931" ca="1" si="1316">IF(AND(I929=0,H931=0),0,
IF(AND(I929&lt;&gt;0,H931=0),I929,
IF(AND(I930&lt;&gt;0,H931&lt;&gt;0),(H931-(H931/H955))+I929,
IF(H955&lt;1,0,(H931-(H931/H955))))))</f>
        <v>0</v>
      </c>
      <c r="J931" s="1423">
        <f t="shared" ref="J931" ca="1" si="1317">IF(AND(J929=0,I931=0),0,
IF(AND(J929&lt;&gt;0,I931=0),J929,
IF(AND(J930&lt;&gt;0,I931&lt;&gt;0),(I931-(I931/I955))+J929,
IF(I955&lt;1,0,(I931-(I931/I955))))))</f>
        <v>0</v>
      </c>
      <c r="K931" s="1423">
        <f t="shared" ref="K931" ca="1" si="1318">IF(AND(K929=0,J931=0),0,
IF(AND(K929&lt;&gt;0,J931=0),K929,
IF(AND(K930&lt;&gt;0,J931&lt;&gt;0),(J931-(J931/J955))+K929,
IF(J955&lt;1,0,(J931-(J931/J955))))))</f>
        <v>0</v>
      </c>
      <c r="L931" s="1423">
        <f t="shared" ref="L931" ca="1" si="1319">IF(AND(L929=0,K931=0),0,
IF(AND(L929&lt;&gt;0,K931=0),L929,
IF(AND(L930&lt;&gt;0,K931&lt;&gt;0),(K931-(K931/K955))+L929,
IF(K955&lt;1,0,(K931-(K931/K955))))))</f>
        <v>0</v>
      </c>
      <c r="M931" s="1423">
        <f t="shared" ref="M931" ca="1" si="1320">IF(AND(M929=0,L931=0),0,
IF(AND(M929&lt;&gt;0,L931=0),M929,
IF(AND(M930&lt;&gt;0,L931&lt;&gt;0),(L931-(L931/L955))+M929,
IF(L955&lt;1,0,(L931-(L931/L955))))))</f>
        <v>0</v>
      </c>
      <c r="N931" s="1423">
        <f t="shared" ref="N931" ca="1" si="1321">IF(AND(N929=0,M931=0),0,
IF(AND(N929&lt;&gt;0,M931=0),N929,
IF(AND(N930&lt;&gt;0,M931&lt;&gt;0),(M931-(M931/M955))+N929,
IF(M955&lt;1,0,(M931-(M931/M955))))))</f>
        <v>0</v>
      </c>
      <c r="O931" s="1423">
        <f t="shared" ref="O931" ca="1" si="1322">IF(AND(O929=0,N931=0),0,
IF(AND(O929&lt;&gt;0,N931=0),O929,
IF(AND(O930&lt;&gt;0,N931&lt;&gt;0),(N931-(N931/N955))+O929,
IF(N955&lt;1,0,(N931-(N931/N955))))))</f>
        <v>0</v>
      </c>
      <c r="P931" s="1423">
        <f t="shared" ref="P931" ca="1" si="1323">IF(AND(P929=0,O931=0),0,
IF(AND(P929&lt;&gt;0,O931=0),P929,
IF(AND(P930&lt;&gt;0,O931&lt;&gt;0),(O931-(O931/O955))+P929,
IF(O955&lt;1,0,(O931-(O931/O955))))))</f>
        <v>0</v>
      </c>
      <c r="Q931" s="1423">
        <f t="shared" ref="Q931" ca="1" si="1324">IF(AND(Q929=0,P931=0),0,
IF(AND(Q929&lt;&gt;0,P931=0),Q929,
IF(AND(Q930&lt;&gt;0,P931&lt;&gt;0),(P931-(P931/P955))+Q929,
IF(P955&lt;1,0,(P931-(P931/P955))))))</f>
        <v>0</v>
      </c>
      <c r="R931" s="1423">
        <f t="shared" ref="R931" ca="1" si="1325">IF(AND(R929=0,Q931=0),0,
IF(AND(R929&lt;&gt;0,Q931=0),R929,
IF(AND(R930&lt;&gt;0,Q931&lt;&gt;0),(Q931-(Q931/Q955))+R929,
IF(Q955&lt;1,0,(Q931-(Q931/Q955))))))</f>
        <v>0</v>
      </c>
      <c r="S931" s="1423">
        <f t="shared" ref="S931" ca="1" si="1326">IF(AND(S929=0,R931=0),0,
IF(AND(S929&lt;&gt;0,R931=0),S929,
IF(AND(S930&lt;&gt;0,R931&lt;&gt;0),(R931-(R931/R955))+S929,
IF(R955&lt;1,0,(R931-(R931/R955))))))</f>
        <v>0</v>
      </c>
      <c r="T931" s="1423">
        <f t="shared" ref="T931" ca="1" si="1327">IF(AND(T929=0,S931=0),0,
IF(AND(T929&lt;&gt;0,S931=0),T929,
IF(AND(T930&lt;&gt;0,S931&lt;&gt;0),(S931-(S931/S955))+T929,
IF(S955&lt;1,0,(S931-(S931/S955))))))</f>
        <v>0</v>
      </c>
      <c r="U931" s="1423">
        <f t="shared" ref="U931" ca="1" si="1328">IF(AND(U929=0,T931=0),0,
IF(AND(U929&lt;&gt;0,T931=0),U929,
IF(AND(U930&lt;&gt;0,T931&lt;&gt;0),(T931-(T931/T955))+U929,
IF(T955&lt;1,0,(T931-(T931/T955))))))</f>
        <v>0</v>
      </c>
      <c r="V931" s="1423">
        <f t="shared" ref="V931" ca="1" si="1329">IF(AND(V929=0,U931=0),0,
IF(AND(V929&lt;&gt;0,U931=0),V929,
IF(AND(V930&lt;&gt;0,U931&lt;&gt;0),(U931-(U931/U955))+V929,
IF(U955&lt;1,0,(U931-(U931/U955))))))</f>
        <v>0</v>
      </c>
      <c r="W931" s="1423">
        <f t="shared" ref="W931" ca="1" si="1330">IF(AND(W929=0,V931=0),0,
IF(AND(W929&lt;&gt;0,V931=0),W929,
IF(AND(W930&lt;&gt;0,V931&lt;&gt;0),(V931-(V931/V955))+W929,
IF(V955&lt;1,0,(V931-(V931/V955))))))</f>
        <v>0</v>
      </c>
      <c r="X931" s="152"/>
      <c r="Y931" s="152"/>
      <c r="Z931" s="152"/>
      <c r="AA931" s="152"/>
      <c r="AB931" s="152"/>
    </row>
    <row r="932" spans="1:28" hidden="1" outlineLevel="1">
      <c r="A932" s="199">
        <f>A931+1</f>
        <v>0</v>
      </c>
      <c r="B932" s="190" t="s">
        <v>527</v>
      </c>
      <c r="C932" s="1423">
        <f ca="1">C927</f>
        <v>0</v>
      </c>
      <c r="D932" s="1423">
        <f ca="1">IF(C956="n/a",C932,IFERROR(IF((OFFSET($C932,0,$A932))&lt;0,
MIN(0,C932-(OFFSET($C932,0,$A932)/(OFFSET($C927,-$A931,$A932)))),
MAX(0,C932-(OFFSET($C932,0,$A932)/(OFFSET($C927,-$A931,$A932))))),0))</f>
        <v>0</v>
      </c>
      <c r="E932" s="1423">
        <f t="shared" ref="E932" ca="1" si="1331">IF(D956="n/a",D932,IFERROR(IF((OFFSET($C932,0,$A932))&lt;0,
MIN(0,D932-(OFFSET($C932,0,$A932)/(OFFSET($C927,-$A931,$A932)))),
MAX(0,D932-(OFFSET($C932,0,$A932)/(OFFSET($C927,-$A931,$A932))))),0))</f>
        <v>0</v>
      </c>
      <c r="F932" s="1423">
        <f t="shared" ref="F932:F933" ca="1" si="1332">IF(E956="n/a",E932,IFERROR(IF((OFFSET($C932,0,$A932))&lt;0,
MIN(0,E932-(OFFSET($C932,0,$A932)/(OFFSET($C927,-$A931,$A932)))),
MAX(0,E932-(OFFSET($C932,0,$A932)/(OFFSET($C927,-$A931,$A932))))),0))</f>
        <v>0</v>
      </c>
      <c r="G932" s="1423">
        <f t="shared" ref="G932:G934" ca="1" si="1333">IF(F956="n/a",F932,IFERROR(IF((OFFSET($C932,0,$A932))&lt;0,
MIN(0,F932-(OFFSET($C932,0,$A932)/(OFFSET($C927,-$A931,$A932)))),
MAX(0,F932-(OFFSET($C932,0,$A932)/(OFFSET($C927,-$A931,$A932))))),0))</f>
        <v>0</v>
      </c>
      <c r="H932" s="1423">
        <f t="shared" ref="H932:H935" ca="1" si="1334">IF(G956="n/a",G932,IFERROR(IF((OFFSET($C932,0,$A932))&lt;0,
MIN(0,G932-(OFFSET($C932,0,$A932)/(OFFSET($C927,-$A931,$A932)))),
MAX(0,G932-(OFFSET($C932,0,$A932)/(OFFSET($C927,-$A931,$A932))))),0))</f>
        <v>0</v>
      </c>
      <c r="I932" s="1423">
        <f t="shared" ref="I932:I936" ca="1" si="1335">IF(H956="n/a",H932,IFERROR(IF((OFFSET($C932,0,$A932))&lt;0,
MIN(0,H932-(OFFSET($C932,0,$A932)/(OFFSET($C927,-$A931,$A932)))),
MAX(0,H932-(OFFSET($C932,0,$A932)/(OFFSET($C927,-$A931,$A932))))),0))</f>
        <v>0</v>
      </c>
      <c r="J932" s="1423">
        <f t="shared" ref="J932:J937" ca="1" si="1336">IF(I956="n/a",I932,IFERROR(IF((OFFSET($C932,0,$A932))&lt;0,
MIN(0,I932-(OFFSET($C932,0,$A932)/(OFFSET($C927,-$A931,$A932)))),
MAX(0,I932-(OFFSET($C932,0,$A932)/(OFFSET($C927,-$A931,$A932))))),0))</f>
        <v>0</v>
      </c>
      <c r="K932" s="1423">
        <f t="shared" ref="K932:K938" ca="1" si="1337">IF(J956="n/a",J932,IFERROR(IF((OFFSET($C932,0,$A932))&lt;0,
MIN(0,J932-(OFFSET($C932,0,$A932)/(OFFSET($C927,-$A931,$A932)))),
MAX(0,J932-(OFFSET($C932,0,$A932)/(OFFSET($C927,-$A931,$A932))))),0))</f>
        <v>0</v>
      </c>
      <c r="L932" s="1423">
        <f t="shared" ref="L932:L939" ca="1" si="1338">IF(K956="n/a",K932,IFERROR(IF((OFFSET($C932,0,$A932))&lt;0,
MIN(0,K932-(OFFSET($C932,0,$A932)/(OFFSET($C927,-$A931,$A932)))),
MAX(0,K932-(OFFSET($C932,0,$A932)/(OFFSET($C927,-$A931,$A932))))),0))</f>
        <v>0</v>
      </c>
      <c r="M932" s="1423">
        <f t="shared" ref="M932:M940" ca="1" si="1339">IF(L956="n/a",L932,IFERROR(IF((OFFSET($C932,0,$A932))&lt;0,
MIN(0,L932-(OFFSET($C932,0,$A932)/(OFFSET($C927,-$A931,$A932)))),
MAX(0,L932-(OFFSET($C932,0,$A932)/(OFFSET($C927,-$A931,$A932))))),0))</f>
        <v>0</v>
      </c>
      <c r="N932" s="1423">
        <f t="shared" ref="N932:N941" ca="1" si="1340">IF(M956="n/a",M932,IFERROR(IF((OFFSET($C932,0,$A932))&lt;0,
MIN(0,M932-(OFFSET($C932,0,$A932)/(OFFSET($C927,-$A931,$A932)))),
MAX(0,M932-(OFFSET($C932,0,$A932)/(OFFSET($C927,-$A931,$A932))))),0))</f>
        <v>0</v>
      </c>
      <c r="O932" s="1423">
        <f t="shared" ref="O932:O942" ca="1" si="1341">IF(N956="n/a",N932,IFERROR(IF((OFFSET($C932,0,$A932))&lt;0,
MIN(0,N932-(OFFSET($C932,0,$A932)/(OFFSET($C927,-$A931,$A932)))),
MAX(0,N932-(OFFSET($C932,0,$A932)/(OFFSET($C927,-$A931,$A932))))),0))</f>
        <v>0</v>
      </c>
      <c r="P932" s="1423">
        <f t="shared" ref="P932:P943" ca="1" si="1342">IF(O956="n/a",O932,IFERROR(IF((OFFSET($C932,0,$A932))&lt;0,
MIN(0,O932-(OFFSET($C932,0,$A932)/(OFFSET($C927,-$A931,$A932)))),
MAX(0,O932-(OFFSET($C932,0,$A932)/(OFFSET($C927,-$A931,$A932))))),0))</f>
        <v>0</v>
      </c>
      <c r="Q932" s="1423">
        <f t="shared" ref="Q932:Q944" ca="1" si="1343">IF(P956="n/a",P932,IFERROR(IF((OFFSET($C932,0,$A932))&lt;0,
MIN(0,P932-(OFFSET($C932,0,$A932)/(OFFSET($C927,-$A931,$A932)))),
MAX(0,P932-(OFFSET($C932,0,$A932)/(OFFSET($C927,-$A931,$A932))))),0))</f>
        <v>0</v>
      </c>
      <c r="R932" s="1423">
        <f t="shared" ref="R932:R945" ca="1" si="1344">IF(Q956="n/a",Q932,IFERROR(IF((OFFSET($C932,0,$A932))&lt;0,
MIN(0,Q932-(OFFSET($C932,0,$A932)/(OFFSET($C927,-$A931,$A932)))),
MAX(0,Q932-(OFFSET($C932,0,$A932)/(OFFSET($C927,-$A931,$A932))))),0))</f>
        <v>0</v>
      </c>
      <c r="S932" s="1423">
        <f t="shared" ref="S932:S946" ca="1" si="1345">IF(R956="n/a",R932,IFERROR(IF((OFFSET($C932,0,$A932))&lt;0,
MIN(0,R932-(OFFSET($C932,0,$A932)/(OFFSET($C927,-$A931,$A932)))),
MAX(0,R932-(OFFSET($C932,0,$A932)/(OFFSET($C927,-$A931,$A932))))),0))</f>
        <v>0</v>
      </c>
      <c r="T932" s="1423">
        <f t="shared" ref="T932:T947" ca="1" si="1346">IF(S956="n/a",S932,IFERROR(IF((OFFSET($C932,0,$A932))&lt;0,
MIN(0,S932-(OFFSET($C932,0,$A932)/(OFFSET($C927,-$A931,$A932)))),
MAX(0,S932-(OFFSET($C932,0,$A932)/(OFFSET($C927,-$A931,$A932))))),0))</f>
        <v>0</v>
      </c>
      <c r="U932" s="1423">
        <f t="shared" ref="U932:U948" ca="1" si="1347">IF(T956="n/a",T932,IFERROR(IF((OFFSET($C932,0,$A932))&lt;0,
MIN(0,T932-(OFFSET($C932,0,$A932)/(OFFSET($C927,-$A931,$A932)))),
MAX(0,T932-(OFFSET($C932,0,$A932)/(OFFSET($C927,-$A931,$A932))))),0))</f>
        <v>0</v>
      </c>
      <c r="V932" s="1423">
        <f t="shared" ref="V932:V949" ca="1" si="1348">IF(U956="n/a",U932,IFERROR(IF((OFFSET($C932,0,$A932))&lt;0,
MIN(0,U932-(OFFSET($C932,0,$A932)/(OFFSET($C927,-$A931,$A932)))),
MAX(0,U932-(OFFSET($C932,0,$A932)/(OFFSET($C927,-$A931,$A932))))),0))</f>
        <v>0</v>
      </c>
      <c r="W932" s="1423">
        <f t="shared" ref="W932:W950" ca="1" si="1349">IF(V956="n/a",V932,IFERROR(IF((OFFSET($C932,0,$A932))&lt;0,
MIN(0,V932-(OFFSET($C932,0,$A932)/(OFFSET($C927,-$A931,$A932)))),
MAX(0,V932-(OFFSET($C932,0,$A932)/(OFFSET($C927,-$A931,$A932))))),0))</f>
        <v>0</v>
      </c>
      <c r="X932" s="152"/>
      <c r="Y932" s="152"/>
      <c r="Z932" s="152"/>
      <c r="AA932" s="152"/>
      <c r="AB932" s="152"/>
    </row>
    <row r="933" spans="1:28" hidden="1" outlineLevel="1">
      <c r="A933" s="199">
        <f t="shared" ref="A933:A952" si="1350">A932+1</f>
        <v>1</v>
      </c>
      <c r="B933" s="190" t="str">
        <f t="shared" ref="B933:B952" ca="1" si="1351">"Depreciated Net Capex "&amp;OFFSET($C$6,0,A933)</f>
        <v>Depreciated Net Capex 2016-17</v>
      </c>
      <c r="C933" s="1424"/>
      <c r="D933" s="1425">
        <f>D927</f>
        <v>0</v>
      </c>
      <c r="E933" s="1423">
        <f ca="1">IF(D957="n/a",D933,IFERROR(IF((OFFSET($C933,0,$A933))&lt;0,
MIN(0,D933-(OFFSET($C933,0,$A933)/(OFFSET($C928,-$A932,$A933)))),
MAX(0,D933-(OFFSET($C933,0,$A933)/(OFFSET($C928,-$A932,$A933))))),0))</f>
        <v>0</v>
      </c>
      <c r="F933" s="1423">
        <f t="shared" ca="1" si="1332"/>
        <v>0</v>
      </c>
      <c r="G933" s="1423">
        <f t="shared" ca="1" si="1333"/>
        <v>0</v>
      </c>
      <c r="H933" s="1423">
        <f t="shared" ca="1" si="1334"/>
        <v>0</v>
      </c>
      <c r="I933" s="1423">
        <f t="shared" ca="1" si="1335"/>
        <v>0</v>
      </c>
      <c r="J933" s="1423">
        <f t="shared" ca="1" si="1336"/>
        <v>0</v>
      </c>
      <c r="K933" s="1423">
        <f t="shared" ca="1" si="1337"/>
        <v>0</v>
      </c>
      <c r="L933" s="1423">
        <f t="shared" ca="1" si="1338"/>
        <v>0</v>
      </c>
      <c r="M933" s="1423">
        <f t="shared" ca="1" si="1339"/>
        <v>0</v>
      </c>
      <c r="N933" s="1423">
        <f t="shared" ca="1" si="1340"/>
        <v>0</v>
      </c>
      <c r="O933" s="1423">
        <f t="shared" ca="1" si="1341"/>
        <v>0</v>
      </c>
      <c r="P933" s="1423">
        <f t="shared" ca="1" si="1342"/>
        <v>0</v>
      </c>
      <c r="Q933" s="1423">
        <f t="shared" ca="1" si="1343"/>
        <v>0</v>
      </c>
      <c r="R933" s="1423">
        <f t="shared" ca="1" si="1344"/>
        <v>0</v>
      </c>
      <c r="S933" s="1423">
        <f t="shared" ca="1" si="1345"/>
        <v>0</v>
      </c>
      <c r="T933" s="1423">
        <f t="shared" ca="1" si="1346"/>
        <v>0</v>
      </c>
      <c r="U933" s="1423">
        <f t="shared" ca="1" si="1347"/>
        <v>0</v>
      </c>
      <c r="V933" s="1423">
        <f t="shared" ca="1" si="1348"/>
        <v>0</v>
      </c>
      <c r="W933" s="1423">
        <f t="shared" ca="1" si="1349"/>
        <v>0</v>
      </c>
      <c r="X933" s="152"/>
      <c r="Y933" s="152"/>
      <c r="Z933" s="152"/>
      <c r="AA933" s="152"/>
      <c r="AB933" s="152"/>
    </row>
    <row r="934" spans="1:28" hidden="1" outlineLevel="1">
      <c r="A934" s="199">
        <f t="shared" si="1350"/>
        <v>2</v>
      </c>
      <c r="B934" s="190" t="str">
        <f t="shared" ca="1" si="1351"/>
        <v>Depreciated Net Capex 2017-18</v>
      </c>
      <c r="C934" s="1426"/>
      <c r="D934" s="1427"/>
      <c r="E934" s="1425">
        <f>E927</f>
        <v>0</v>
      </c>
      <c r="F934" s="1423">
        <f ca="1">IF(E958="n/a",E934,IFERROR(IF((OFFSET($C934,0,$A934))&lt;0,
MIN(0,E934-(OFFSET($C934,0,$A934)/(OFFSET($C929,-$A933,$A934)))),
MAX(0,E934-(OFFSET($C934,0,$A934)/(OFFSET($C929,-$A933,$A934))))),0))</f>
        <v>0</v>
      </c>
      <c r="G934" s="1423">
        <f t="shared" ca="1" si="1333"/>
        <v>0</v>
      </c>
      <c r="H934" s="1423">
        <f t="shared" ca="1" si="1334"/>
        <v>0</v>
      </c>
      <c r="I934" s="1423">
        <f t="shared" ca="1" si="1335"/>
        <v>0</v>
      </c>
      <c r="J934" s="1423">
        <f t="shared" ca="1" si="1336"/>
        <v>0</v>
      </c>
      <c r="K934" s="1423">
        <f t="shared" ca="1" si="1337"/>
        <v>0</v>
      </c>
      <c r="L934" s="1423">
        <f t="shared" ca="1" si="1338"/>
        <v>0</v>
      </c>
      <c r="M934" s="1423">
        <f t="shared" ca="1" si="1339"/>
        <v>0</v>
      </c>
      <c r="N934" s="1423">
        <f t="shared" ca="1" si="1340"/>
        <v>0</v>
      </c>
      <c r="O934" s="1423">
        <f t="shared" ca="1" si="1341"/>
        <v>0</v>
      </c>
      <c r="P934" s="1423">
        <f t="shared" ca="1" si="1342"/>
        <v>0</v>
      </c>
      <c r="Q934" s="1423">
        <f t="shared" ca="1" si="1343"/>
        <v>0</v>
      </c>
      <c r="R934" s="1423">
        <f t="shared" ca="1" si="1344"/>
        <v>0</v>
      </c>
      <c r="S934" s="1423">
        <f t="shared" ca="1" si="1345"/>
        <v>0</v>
      </c>
      <c r="T934" s="1423">
        <f t="shared" ca="1" si="1346"/>
        <v>0</v>
      </c>
      <c r="U934" s="1423">
        <f t="shared" ca="1" si="1347"/>
        <v>0</v>
      </c>
      <c r="V934" s="1423">
        <f t="shared" ca="1" si="1348"/>
        <v>0</v>
      </c>
      <c r="W934" s="1423">
        <f t="shared" ca="1" si="1349"/>
        <v>0</v>
      </c>
      <c r="X934" s="202"/>
      <c r="Y934" s="152"/>
      <c r="Z934" s="152"/>
      <c r="AA934" s="152"/>
      <c r="AB934" s="152"/>
    </row>
    <row r="935" spans="1:28" hidden="1" outlineLevel="1">
      <c r="A935" s="199">
        <f t="shared" si="1350"/>
        <v>3</v>
      </c>
      <c r="B935" s="190" t="str">
        <f t="shared" ca="1" si="1351"/>
        <v>Depreciated Net Capex 2018-19</v>
      </c>
      <c r="C935" s="1426"/>
      <c r="D935" s="1426"/>
      <c r="E935" s="1427"/>
      <c r="F935" s="1428">
        <f>F927</f>
        <v>0</v>
      </c>
      <c r="G935" s="1423">
        <f ca="1">IF(F959="n/a",F935,IFERROR(IF((OFFSET($C935,0,$A935))&lt;0,
MIN(0,F935-(OFFSET($C935,0,$A935)/(OFFSET($C930,-$A934,$A935)))),
MAX(0,F935-(OFFSET($C935,0,$A935)/(OFFSET($C930,-$A934,$A935))))),0))</f>
        <v>0</v>
      </c>
      <c r="H935" s="1423">
        <f t="shared" ca="1" si="1334"/>
        <v>0</v>
      </c>
      <c r="I935" s="1423">
        <f t="shared" ca="1" si="1335"/>
        <v>0</v>
      </c>
      <c r="J935" s="1423">
        <f t="shared" ca="1" si="1336"/>
        <v>0</v>
      </c>
      <c r="K935" s="1423">
        <f t="shared" ca="1" si="1337"/>
        <v>0</v>
      </c>
      <c r="L935" s="1423">
        <f t="shared" ca="1" si="1338"/>
        <v>0</v>
      </c>
      <c r="M935" s="1423">
        <f t="shared" ca="1" si="1339"/>
        <v>0</v>
      </c>
      <c r="N935" s="1423">
        <f t="shared" ca="1" si="1340"/>
        <v>0</v>
      </c>
      <c r="O935" s="1423">
        <f t="shared" ca="1" si="1341"/>
        <v>0</v>
      </c>
      <c r="P935" s="1423">
        <f t="shared" ca="1" si="1342"/>
        <v>0</v>
      </c>
      <c r="Q935" s="1423">
        <f t="shared" ca="1" si="1343"/>
        <v>0</v>
      </c>
      <c r="R935" s="1423">
        <f t="shared" ca="1" si="1344"/>
        <v>0</v>
      </c>
      <c r="S935" s="1423">
        <f t="shared" ca="1" si="1345"/>
        <v>0</v>
      </c>
      <c r="T935" s="1423">
        <f t="shared" ca="1" si="1346"/>
        <v>0</v>
      </c>
      <c r="U935" s="1423">
        <f t="shared" ca="1" si="1347"/>
        <v>0</v>
      </c>
      <c r="V935" s="1423">
        <f t="shared" ca="1" si="1348"/>
        <v>0</v>
      </c>
      <c r="W935" s="1423">
        <f t="shared" ca="1" si="1349"/>
        <v>0</v>
      </c>
      <c r="X935" s="202"/>
      <c r="Y935" s="202"/>
      <c r="Z935" s="152"/>
      <c r="AA935" s="152"/>
      <c r="AB935" s="152"/>
    </row>
    <row r="936" spans="1:28" hidden="1" outlineLevel="1">
      <c r="A936" s="199">
        <f t="shared" si="1350"/>
        <v>4</v>
      </c>
      <c r="B936" s="190" t="str">
        <f t="shared" ca="1" si="1351"/>
        <v>Depreciated Net Capex 2019-20</v>
      </c>
      <c r="C936" s="1426"/>
      <c r="D936" s="1426"/>
      <c r="E936" s="1426"/>
      <c r="F936" s="1427"/>
      <c r="G936" s="1428">
        <f>G927</f>
        <v>0</v>
      </c>
      <c r="H936" s="1423">
        <f ca="1">IF(G960="n/a",G936,IFERROR(IF((OFFSET($C936,0,$A936))&lt;0,
MIN(0,G936-(OFFSET($C936,0,$A936)/(OFFSET($C931,-$A935,$A936)))),
MAX(0,G936-(OFFSET($C936,0,$A936)/(OFFSET($C931,-$A935,$A936))))),0))</f>
        <v>0</v>
      </c>
      <c r="I936" s="1423">
        <f t="shared" ca="1" si="1335"/>
        <v>0</v>
      </c>
      <c r="J936" s="1423">
        <f t="shared" ca="1" si="1336"/>
        <v>0</v>
      </c>
      <c r="K936" s="1423">
        <f t="shared" ca="1" si="1337"/>
        <v>0</v>
      </c>
      <c r="L936" s="1423">
        <f t="shared" ca="1" si="1338"/>
        <v>0</v>
      </c>
      <c r="M936" s="1423">
        <f t="shared" ca="1" si="1339"/>
        <v>0</v>
      </c>
      <c r="N936" s="1423">
        <f t="shared" ca="1" si="1340"/>
        <v>0</v>
      </c>
      <c r="O936" s="1423">
        <f t="shared" ca="1" si="1341"/>
        <v>0</v>
      </c>
      <c r="P936" s="1423">
        <f t="shared" ca="1" si="1342"/>
        <v>0</v>
      </c>
      <c r="Q936" s="1423">
        <f t="shared" ca="1" si="1343"/>
        <v>0</v>
      </c>
      <c r="R936" s="1423">
        <f t="shared" ca="1" si="1344"/>
        <v>0</v>
      </c>
      <c r="S936" s="1423">
        <f t="shared" ca="1" si="1345"/>
        <v>0</v>
      </c>
      <c r="T936" s="1423">
        <f t="shared" ca="1" si="1346"/>
        <v>0</v>
      </c>
      <c r="U936" s="1423">
        <f t="shared" ca="1" si="1347"/>
        <v>0</v>
      </c>
      <c r="V936" s="1423">
        <f t="shared" ca="1" si="1348"/>
        <v>0</v>
      </c>
      <c r="W936" s="1423">
        <f t="shared" ca="1" si="1349"/>
        <v>0</v>
      </c>
      <c r="X936" s="202"/>
      <c r="Y936" s="202"/>
      <c r="Z936" s="202"/>
      <c r="AA936" s="152"/>
      <c r="AB936" s="152"/>
    </row>
    <row r="937" spans="1:28" hidden="1" outlineLevel="1">
      <c r="A937" s="199">
        <f t="shared" si="1350"/>
        <v>5</v>
      </c>
      <c r="B937" s="190" t="str">
        <f t="shared" ca="1" si="1351"/>
        <v>Depreciated Net Capex 2020-21</v>
      </c>
      <c r="C937" s="1426"/>
      <c r="D937" s="1426"/>
      <c r="E937" s="1426"/>
      <c r="F937" s="1426"/>
      <c r="G937" s="1427"/>
      <c r="H937" s="1428">
        <f>H927</f>
        <v>0</v>
      </c>
      <c r="I937" s="1423">
        <f ca="1">IF(H961="n/a",H937,IFERROR(IF((OFFSET($C937,0,$A937))&lt;0,
MIN(0,H937-(OFFSET($C937,0,$A937)/(OFFSET($C932,-$A936,$A937)))),
MAX(0,H937-(OFFSET($C937,0,$A937)/(OFFSET($C932,-$A936,$A937))))),0))</f>
        <v>0</v>
      </c>
      <c r="J937" s="1423">
        <f t="shared" ca="1" si="1336"/>
        <v>0</v>
      </c>
      <c r="K937" s="1423">
        <f t="shared" ca="1" si="1337"/>
        <v>0</v>
      </c>
      <c r="L937" s="1423">
        <f t="shared" ca="1" si="1338"/>
        <v>0</v>
      </c>
      <c r="M937" s="1423">
        <f t="shared" ca="1" si="1339"/>
        <v>0</v>
      </c>
      <c r="N937" s="1423">
        <f t="shared" ca="1" si="1340"/>
        <v>0</v>
      </c>
      <c r="O937" s="1423">
        <f t="shared" ca="1" si="1341"/>
        <v>0</v>
      </c>
      <c r="P937" s="1423">
        <f t="shared" ca="1" si="1342"/>
        <v>0</v>
      </c>
      <c r="Q937" s="1423">
        <f t="shared" ca="1" si="1343"/>
        <v>0</v>
      </c>
      <c r="R937" s="1423">
        <f t="shared" ca="1" si="1344"/>
        <v>0</v>
      </c>
      <c r="S937" s="1423">
        <f t="shared" ca="1" si="1345"/>
        <v>0</v>
      </c>
      <c r="T937" s="1423">
        <f t="shared" ca="1" si="1346"/>
        <v>0</v>
      </c>
      <c r="U937" s="1423">
        <f t="shared" ca="1" si="1347"/>
        <v>0</v>
      </c>
      <c r="V937" s="1423">
        <f t="shared" ca="1" si="1348"/>
        <v>0</v>
      </c>
      <c r="W937" s="1423">
        <f t="shared" ca="1" si="1349"/>
        <v>0</v>
      </c>
      <c r="X937" s="202"/>
      <c r="Y937" s="202"/>
      <c r="Z937" s="202"/>
      <c r="AA937" s="152"/>
      <c r="AB937" s="152"/>
    </row>
    <row r="938" spans="1:28" hidden="1" outlineLevel="1">
      <c r="A938" s="199">
        <f t="shared" si="1350"/>
        <v>6</v>
      </c>
      <c r="B938" s="190" t="str">
        <f t="shared" ca="1" si="1351"/>
        <v>Depreciated Net Capex 2021-22</v>
      </c>
      <c r="C938" s="1426"/>
      <c r="D938" s="1426"/>
      <c r="E938" s="1426"/>
      <c r="F938" s="1426"/>
      <c r="G938" s="1426"/>
      <c r="H938" s="1427"/>
      <c r="I938" s="1428">
        <f>I927</f>
        <v>0</v>
      </c>
      <c r="J938" s="1423">
        <f ca="1">IF(I962="n/a",I938,IFERROR(IF((OFFSET($C938,0,$A938))&lt;0,
MIN(0,I938-(OFFSET($C938,0,$A938)/(OFFSET($C933,-$A937,$A938)))),
MAX(0,I938-(OFFSET($C938,0,$A938)/(OFFSET($C933,-$A937,$A938))))),0))</f>
        <v>0</v>
      </c>
      <c r="K938" s="1423">
        <f t="shared" ca="1" si="1337"/>
        <v>0</v>
      </c>
      <c r="L938" s="1423">
        <f t="shared" ca="1" si="1338"/>
        <v>0</v>
      </c>
      <c r="M938" s="1423">
        <f t="shared" ca="1" si="1339"/>
        <v>0</v>
      </c>
      <c r="N938" s="1423">
        <f t="shared" ca="1" si="1340"/>
        <v>0</v>
      </c>
      <c r="O938" s="1423">
        <f t="shared" ca="1" si="1341"/>
        <v>0</v>
      </c>
      <c r="P938" s="1423">
        <f t="shared" ca="1" si="1342"/>
        <v>0</v>
      </c>
      <c r="Q938" s="1423">
        <f t="shared" ca="1" si="1343"/>
        <v>0</v>
      </c>
      <c r="R938" s="1423">
        <f t="shared" ca="1" si="1344"/>
        <v>0</v>
      </c>
      <c r="S938" s="1423">
        <f t="shared" ca="1" si="1345"/>
        <v>0</v>
      </c>
      <c r="T938" s="1423">
        <f t="shared" ca="1" si="1346"/>
        <v>0</v>
      </c>
      <c r="U938" s="1423">
        <f t="shared" ca="1" si="1347"/>
        <v>0</v>
      </c>
      <c r="V938" s="1423">
        <f t="shared" ca="1" si="1348"/>
        <v>0</v>
      </c>
      <c r="W938" s="1423">
        <f t="shared" ca="1" si="1349"/>
        <v>0</v>
      </c>
      <c r="X938" s="202"/>
      <c r="Y938" s="202"/>
      <c r="Z938" s="202"/>
      <c r="AA938" s="152"/>
      <c r="AB938" s="152"/>
    </row>
    <row r="939" spans="1:28" hidden="1" outlineLevel="1">
      <c r="A939" s="199">
        <f t="shared" si="1350"/>
        <v>7</v>
      </c>
      <c r="B939" s="190" t="str">
        <f t="shared" ca="1" si="1351"/>
        <v>Depreciated Net Capex 2022-23</v>
      </c>
      <c r="C939" s="1426"/>
      <c r="D939" s="1426"/>
      <c r="E939" s="1426"/>
      <c r="F939" s="1426"/>
      <c r="G939" s="1426"/>
      <c r="H939" s="1426"/>
      <c r="I939" s="1427"/>
      <c r="J939" s="1428">
        <f>J927</f>
        <v>0</v>
      </c>
      <c r="K939" s="1423">
        <f ca="1">IF(J963="n/a",J939,IFERROR(IF((OFFSET($C939,0,$A939))&lt;0,
MIN(0,J939-(OFFSET($C939,0,$A939)/(OFFSET($C934,-$A938,$A939)))),
MAX(0,J939-(OFFSET($C939,0,$A939)/(OFFSET($C934,-$A938,$A939))))),0))</f>
        <v>0</v>
      </c>
      <c r="L939" s="1423">
        <f t="shared" ca="1" si="1338"/>
        <v>0</v>
      </c>
      <c r="M939" s="1423">
        <f t="shared" ca="1" si="1339"/>
        <v>0</v>
      </c>
      <c r="N939" s="1423">
        <f t="shared" ca="1" si="1340"/>
        <v>0</v>
      </c>
      <c r="O939" s="1423">
        <f t="shared" ca="1" si="1341"/>
        <v>0</v>
      </c>
      <c r="P939" s="1423">
        <f t="shared" ca="1" si="1342"/>
        <v>0</v>
      </c>
      <c r="Q939" s="1423">
        <f t="shared" ca="1" si="1343"/>
        <v>0</v>
      </c>
      <c r="R939" s="1423">
        <f t="shared" ca="1" si="1344"/>
        <v>0</v>
      </c>
      <c r="S939" s="1423">
        <f t="shared" ca="1" si="1345"/>
        <v>0</v>
      </c>
      <c r="T939" s="1423">
        <f t="shared" ca="1" si="1346"/>
        <v>0</v>
      </c>
      <c r="U939" s="1423">
        <f t="shared" ca="1" si="1347"/>
        <v>0</v>
      </c>
      <c r="V939" s="1423">
        <f t="shared" ca="1" si="1348"/>
        <v>0</v>
      </c>
      <c r="W939" s="1423">
        <f t="shared" ca="1" si="1349"/>
        <v>0</v>
      </c>
      <c r="X939" s="202"/>
      <c r="Y939" s="202"/>
      <c r="Z939" s="202"/>
      <c r="AA939" s="152"/>
      <c r="AB939" s="152"/>
    </row>
    <row r="940" spans="1:28" hidden="1" outlineLevel="1">
      <c r="A940" s="199">
        <f t="shared" si="1350"/>
        <v>8</v>
      </c>
      <c r="B940" s="190" t="str">
        <f t="shared" ca="1" si="1351"/>
        <v>Depreciated Net Capex 2023-24</v>
      </c>
      <c r="C940" s="1426"/>
      <c r="D940" s="1426"/>
      <c r="E940" s="1426"/>
      <c r="F940" s="1426"/>
      <c r="G940" s="1426"/>
      <c r="H940" s="1426"/>
      <c r="I940" s="1426"/>
      <c r="J940" s="1427"/>
      <c r="K940" s="1428">
        <f>K927</f>
        <v>0</v>
      </c>
      <c r="L940" s="1423">
        <f ca="1">IF(K964="n/a",K940,IFERROR(IF((OFFSET($C940,0,$A940))&lt;0,
MIN(0,K940-(OFFSET($C940,0,$A940)/(OFFSET($C935,-$A939,$A940)))),
MAX(0,K940-(OFFSET($C940,0,$A940)/(OFFSET($C935,-$A939,$A940))))),0))</f>
        <v>0</v>
      </c>
      <c r="M940" s="1423">
        <f t="shared" ca="1" si="1339"/>
        <v>0</v>
      </c>
      <c r="N940" s="1423">
        <f t="shared" ca="1" si="1340"/>
        <v>0</v>
      </c>
      <c r="O940" s="1423">
        <f t="shared" ca="1" si="1341"/>
        <v>0</v>
      </c>
      <c r="P940" s="1423">
        <f t="shared" ca="1" si="1342"/>
        <v>0</v>
      </c>
      <c r="Q940" s="1423">
        <f t="shared" ca="1" si="1343"/>
        <v>0</v>
      </c>
      <c r="R940" s="1423">
        <f t="shared" ca="1" si="1344"/>
        <v>0</v>
      </c>
      <c r="S940" s="1423">
        <f t="shared" ca="1" si="1345"/>
        <v>0</v>
      </c>
      <c r="T940" s="1423">
        <f t="shared" ca="1" si="1346"/>
        <v>0</v>
      </c>
      <c r="U940" s="1423">
        <f t="shared" ca="1" si="1347"/>
        <v>0</v>
      </c>
      <c r="V940" s="1423">
        <f t="shared" ca="1" si="1348"/>
        <v>0</v>
      </c>
      <c r="W940" s="1423">
        <f t="shared" ca="1" si="1349"/>
        <v>0</v>
      </c>
      <c r="X940" s="202"/>
      <c r="Y940" s="202"/>
      <c r="Z940" s="202"/>
      <c r="AA940" s="152"/>
      <c r="AB940" s="152"/>
    </row>
    <row r="941" spans="1:28" hidden="1" outlineLevel="1">
      <c r="A941" s="199">
        <f t="shared" si="1350"/>
        <v>9</v>
      </c>
      <c r="B941" s="190" t="str">
        <f t="shared" ca="1" si="1351"/>
        <v>Depreciated Net Capex 2024-25</v>
      </c>
      <c r="C941" s="1426"/>
      <c r="D941" s="1426"/>
      <c r="E941" s="1426"/>
      <c r="F941" s="1426"/>
      <c r="G941" s="1426"/>
      <c r="H941" s="1426"/>
      <c r="I941" s="1426"/>
      <c r="J941" s="1426"/>
      <c r="K941" s="1427"/>
      <c r="L941" s="1428">
        <f>L927</f>
        <v>0</v>
      </c>
      <c r="M941" s="1423">
        <f ca="1">IF(L965="n/a",L941,IFERROR(IF((OFFSET($C941,0,$A941))&lt;0,
MIN(0,L941-(OFFSET($C941,0,$A941)/(OFFSET($C936,-$A940,$A941)))),
MAX(0,L941-(OFFSET($C941,0,$A941)/(OFFSET($C936,-$A940,$A941))))),0))</f>
        <v>0</v>
      </c>
      <c r="N941" s="1423">
        <f t="shared" ca="1" si="1340"/>
        <v>0</v>
      </c>
      <c r="O941" s="1423">
        <f t="shared" ca="1" si="1341"/>
        <v>0</v>
      </c>
      <c r="P941" s="1423">
        <f t="shared" ca="1" si="1342"/>
        <v>0</v>
      </c>
      <c r="Q941" s="1423">
        <f t="shared" ca="1" si="1343"/>
        <v>0</v>
      </c>
      <c r="R941" s="1423">
        <f t="shared" ca="1" si="1344"/>
        <v>0</v>
      </c>
      <c r="S941" s="1423">
        <f t="shared" ca="1" si="1345"/>
        <v>0</v>
      </c>
      <c r="T941" s="1423">
        <f t="shared" ca="1" si="1346"/>
        <v>0</v>
      </c>
      <c r="U941" s="1423">
        <f t="shared" ca="1" si="1347"/>
        <v>0</v>
      </c>
      <c r="V941" s="1423">
        <f t="shared" ca="1" si="1348"/>
        <v>0</v>
      </c>
      <c r="W941" s="1423">
        <f t="shared" ca="1" si="1349"/>
        <v>0</v>
      </c>
      <c r="X941" s="202"/>
      <c r="Y941" s="202"/>
      <c r="Z941" s="202"/>
      <c r="AA941" s="152"/>
      <c r="AB941" s="152"/>
    </row>
    <row r="942" spans="1:28" hidden="1" outlineLevel="1">
      <c r="A942" s="199">
        <f t="shared" si="1350"/>
        <v>10</v>
      </c>
      <c r="B942" s="190" t="str">
        <f t="shared" ca="1" si="1351"/>
        <v>Depreciated Net Capex 2025-26</v>
      </c>
      <c r="C942" s="1426"/>
      <c r="D942" s="1426"/>
      <c r="E942" s="1426"/>
      <c r="F942" s="1426"/>
      <c r="G942" s="1426"/>
      <c r="H942" s="1426"/>
      <c r="I942" s="1426"/>
      <c r="J942" s="1426"/>
      <c r="K942" s="1426"/>
      <c r="L942" s="1427"/>
      <c r="M942" s="1428">
        <f>M927</f>
        <v>0</v>
      </c>
      <c r="N942" s="1423">
        <f ca="1">IF(M966="n/a",M942,IFERROR(IF((OFFSET($C942,0,$A942))&lt;0,
MIN(0,M942-(OFFSET($C942,0,$A942)/(OFFSET($C937,-$A941,$A942)))),
MAX(0,M942-(OFFSET($C942,0,$A942)/(OFFSET($C937,-$A941,$A942))))),0))</f>
        <v>0</v>
      </c>
      <c r="O942" s="1423">
        <f t="shared" ca="1" si="1341"/>
        <v>0</v>
      </c>
      <c r="P942" s="1423">
        <f t="shared" ca="1" si="1342"/>
        <v>0</v>
      </c>
      <c r="Q942" s="1423">
        <f t="shared" ca="1" si="1343"/>
        <v>0</v>
      </c>
      <c r="R942" s="1423">
        <f t="shared" ca="1" si="1344"/>
        <v>0</v>
      </c>
      <c r="S942" s="1423">
        <f t="shared" ca="1" si="1345"/>
        <v>0</v>
      </c>
      <c r="T942" s="1423">
        <f t="shared" ca="1" si="1346"/>
        <v>0</v>
      </c>
      <c r="U942" s="1423">
        <f t="shared" ca="1" si="1347"/>
        <v>0</v>
      </c>
      <c r="V942" s="1423">
        <f t="shared" ca="1" si="1348"/>
        <v>0</v>
      </c>
      <c r="W942" s="1423">
        <f t="shared" ca="1" si="1349"/>
        <v>0</v>
      </c>
      <c r="X942" s="202"/>
      <c r="Y942" s="202"/>
      <c r="Z942" s="202"/>
      <c r="AA942" s="152"/>
      <c r="AB942" s="152"/>
    </row>
    <row r="943" spans="1:28" hidden="1" outlineLevel="1">
      <c r="A943" s="199">
        <f t="shared" si="1350"/>
        <v>11</v>
      </c>
      <c r="B943" s="190" t="str">
        <f t="shared" ca="1" si="1351"/>
        <v>Depreciated Net Capex 2026-27</v>
      </c>
      <c r="C943" s="1426"/>
      <c r="D943" s="1426"/>
      <c r="E943" s="1426"/>
      <c r="F943" s="1426"/>
      <c r="G943" s="1426"/>
      <c r="H943" s="1426"/>
      <c r="I943" s="1426"/>
      <c r="J943" s="1426"/>
      <c r="K943" s="1426"/>
      <c r="L943" s="1426"/>
      <c r="M943" s="1427"/>
      <c r="N943" s="1428">
        <f>N927</f>
        <v>0</v>
      </c>
      <c r="O943" s="1423">
        <f ca="1">IF(N967="n/a",N943,IFERROR(IF((OFFSET($C943,0,$A943))&lt;0,
MIN(0,N943-(OFFSET($C943,0,$A943)/(OFFSET($C938,-$A942,$A943)))),
MAX(0,N943-(OFFSET($C943,0,$A943)/(OFFSET($C938,-$A942,$A943))))),0))</f>
        <v>0</v>
      </c>
      <c r="P943" s="1423">
        <f t="shared" ca="1" si="1342"/>
        <v>0</v>
      </c>
      <c r="Q943" s="1423">
        <f t="shared" ca="1" si="1343"/>
        <v>0</v>
      </c>
      <c r="R943" s="1423">
        <f t="shared" ca="1" si="1344"/>
        <v>0</v>
      </c>
      <c r="S943" s="1423">
        <f t="shared" ca="1" si="1345"/>
        <v>0</v>
      </c>
      <c r="T943" s="1423">
        <f t="shared" ca="1" si="1346"/>
        <v>0</v>
      </c>
      <c r="U943" s="1423">
        <f t="shared" ca="1" si="1347"/>
        <v>0</v>
      </c>
      <c r="V943" s="1423">
        <f t="shared" ca="1" si="1348"/>
        <v>0</v>
      </c>
      <c r="W943" s="1423">
        <f t="shared" ca="1" si="1349"/>
        <v>0</v>
      </c>
      <c r="X943" s="202"/>
      <c r="Y943" s="202"/>
      <c r="Z943" s="202"/>
      <c r="AA943" s="152"/>
      <c r="AB943" s="152"/>
    </row>
    <row r="944" spans="1:28" hidden="1" outlineLevel="1">
      <c r="A944" s="199">
        <f t="shared" si="1350"/>
        <v>12</v>
      </c>
      <c r="B944" s="190" t="str">
        <f t="shared" ca="1" si="1351"/>
        <v>Depreciated Net Capex 2027-28</v>
      </c>
      <c r="C944" s="1426"/>
      <c r="D944" s="1426"/>
      <c r="E944" s="1426"/>
      <c r="F944" s="1426"/>
      <c r="G944" s="1426"/>
      <c r="H944" s="1426"/>
      <c r="I944" s="1426"/>
      <c r="J944" s="1426"/>
      <c r="K944" s="1426"/>
      <c r="L944" s="1426"/>
      <c r="M944" s="1426"/>
      <c r="N944" s="1427"/>
      <c r="O944" s="1428">
        <f>O927</f>
        <v>0</v>
      </c>
      <c r="P944" s="1423">
        <f ca="1">IF(O968="n/a",O944,IFERROR(IF((OFFSET($C944,0,$A944))&lt;0,
MIN(0,O944-(OFFSET($C944,0,$A944)/(OFFSET($C939,-$A943,$A944)))),
MAX(0,O944-(OFFSET($C944,0,$A944)/(OFFSET($C939,-$A943,$A944))))),0))</f>
        <v>0</v>
      </c>
      <c r="Q944" s="1423">
        <f t="shared" ca="1" si="1343"/>
        <v>0</v>
      </c>
      <c r="R944" s="1423">
        <f t="shared" ca="1" si="1344"/>
        <v>0</v>
      </c>
      <c r="S944" s="1423">
        <f t="shared" ca="1" si="1345"/>
        <v>0</v>
      </c>
      <c r="T944" s="1423">
        <f t="shared" ca="1" si="1346"/>
        <v>0</v>
      </c>
      <c r="U944" s="1423">
        <f t="shared" ca="1" si="1347"/>
        <v>0</v>
      </c>
      <c r="V944" s="1423">
        <f t="shared" ca="1" si="1348"/>
        <v>0</v>
      </c>
      <c r="W944" s="1423">
        <f t="shared" ca="1" si="1349"/>
        <v>0</v>
      </c>
      <c r="X944" s="202"/>
      <c r="Y944" s="202"/>
      <c r="Z944" s="202"/>
      <c r="AA944" s="152"/>
      <c r="AB944" s="152"/>
    </row>
    <row r="945" spans="1:28" hidden="1" outlineLevel="1">
      <c r="A945" s="199">
        <f t="shared" si="1350"/>
        <v>13</v>
      </c>
      <c r="B945" s="190" t="str">
        <f t="shared" ca="1" si="1351"/>
        <v>Depreciated Net Capex 2028-29</v>
      </c>
      <c r="C945" s="1426"/>
      <c r="D945" s="1426"/>
      <c r="E945" s="1426"/>
      <c r="F945" s="1426"/>
      <c r="G945" s="1426"/>
      <c r="H945" s="1426"/>
      <c r="I945" s="1426"/>
      <c r="J945" s="1426"/>
      <c r="K945" s="1426"/>
      <c r="L945" s="1426"/>
      <c r="M945" s="1426"/>
      <c r="N945" s="1426"/>
      <c r="O945" s="1427"/>
      <c r="P945" s="1428">
        <f>P927</f>
        <v>0</v>
      </c>
      <c r="Q945" s="1423">
        <f ca="1">IF(P969="n/a",P945,IFERROR(IF((OFFSET($C945,0,$A945))&lt;0,
MIN(0,P945-(OFFSET($C945,0,$A945)/(OFFSET($C940,-$A944,$A945)))),
MAX(0,P945-(OFFSET($C945,0,$A945)/(OFFSET($C940,-$A944,$A945))))),0))</f>
        <v>0</v>
      </c>
      <c r="R945" s="1423">
        <f t="shared" ca="1" si="1344"/>
        <v>0</v>
      </c>
      <c r="S945" s="1423">
        <f t="shared" ca="1" si="1345"/>
        <v>0</v>
      </c>
      <c r="T945" s="1423">
        <f t="shared" ca="1" si="1346"/>
        <v>0</v>
      </c>
      <c r="U945" s="1423">
        <f t="shared" ca="1" si="1347"/>
        <v>0</v>
      </c>
      <c r="V945" s="1423">
        <f t="shared" ca="1" si="1348"/>
        <v>0</v>
      </c>
      <c r="W945" s="1423">
        <f t="shared" ca="1" si="1349"/>
        <v>0</v>
      </c>
      <c r="X945" s="202"/>
      <c r="Y945" s="202"/>
      <c r="Z945" s="202"/>
      <c r="AA945" s="152"/>
      <c r="AB945" s="152"/>
    </row>
    <row r="946" spans="1:28" hidden="1" outlineLevel="1">
      <c r="A946" s="199">
        <f t="shared" si="1350"/>
        <v>14</v>
      </c>
      <c r="B946" s="190" t="str">
        <f t="shared" ca="1" si="1351"/>
        <v>Depreciated Net Capex 2029-30</v>
      </c>
      <c r="C946" s="1426"/>
      <c r="D946" s="1426"/>
      <c r="E946" s="1426"/>
      <c r="F946" s="1426"/>
      <c r="G946" s="1426"/>
      <c r="H946" s="1426"/>
      <c r="I946" s="1426"/>
      <c r="J946" s="1426"/>
      <c r="K946" s="1426"/>
      <c r="L946" s="1426"/>
      <c r="M946" s="1426"/>
      <c r="N946" s="1426"/>
      <c r="O946" s="1426"/>
      <c r="P946" s="1427"/>
      <c r="Q946" s="1428">
        <f>Q927</f>
        <v>0</v>
      </c>
      <c r="R946" s="1423">
        <f ca="1">IF(Q970="n/a",Q946,IFERROR(IF((OFFSET($C946,0,$A946))&lt;0,
MIN(0,Q946-(OFFSET($C946,0,$A946)/(OFFSET($C941,-$A945,$A946)))),
MAX(0,Q946-(OFFSET($C946,0,$A946)/(OFFSET($C941,-$A945,$A946))))),0))</f>
        <v>0</v>
      </c>
      <c r="S946" s="1423">
        <f t="shared" ca="1" si="1345"/>
        <v>0</v>
      </c>
      <c r="T946" s="1423">
        <f t="shared" ca="1" si="1346"/>
        <v>0</v>
      </c>
      <c r="U946" s="1423">
        <f t="shared" ca="1" si="1347"/>
        <v>0</v>
      </c>
      <c r="V946" s="1423">
        <f t="shared" ca="1" si="1348"/>
        <v>0</v>
      </c>
      <c r="W946" s="1423">
        <f t="shared" ca="1" si="1349"/>
        <v>0</v>
      </c>
      <c r="X946" s="202"/>
      <c r="Y946" s="202"/>
      <c r="Z946" s="202"/>
      <c r="AA946" s="152"/>
      <c r="AB946" s="152"/>
    </row>
    <row r="947" spans="1:28" hidden="1" outlineLevel="1">
      <c r="A947" s="199">
        <f t="shared" si="1350"/>
        <v>15</v>
      </c>
      <c r="B947" s="190" t="str">
        <f t="shared" ca="1" si="1351"/>
        <v>Depreciated Net Capex 2030-31</v>
      </c>
      <c r="C947" s="1426"/>
      <c r="D947" s="1426"/>
      <c r="E947" s="1426"/>
      <c r="F947" s="1426"/>
      <c r="G947" s="1426"/>
      <c r="H947" s="1426"/>
      <c r="I947" s="1426"/>
      <c r="J947" s="1426"/>
      <c r="K947" s="1426"/>
      <c r="L947" s="1426"/>
      <c r="M947" s="1426"/>
      <c r="N947" s="1426"/>
      <c r="O947" s="1426"/>
      <c r="P947" s="1426"/>
      <c r="Q947" s="1427"/>
      <c r="R947" s="1428">
        <f>R927</f>
        <v>0</v>
      </c>
      <c r="S947" s="1423">
        <f ca="1">IF(R971="n/a",R947,IFERROR(IF((OFFSET($C947,0,$A947))&lt;0,
MIN(0,R947-(OFFSET($C947,0,$A947)/(OFFSET($C942,-$A946,$A947)))),
MAX(0,R947-(OFFSET($C947,0,$A947)/(OFFSET($C942,-$A946,$A947))))),0))</f>
        <v>0</v>
      </c>
      <c r="T947" s="1423">
        <f t="shared" ca="1" si="1346"/>
        <v>0</v>
      </c>
      <c r="U947" s="1423">
        <f t="shared" ca="1" si="1347"/>
        <v>0</v>
      </c>
      <c r="V947" s="1423">
        <f t="shared" ca="1" si="1348"/>
        <v>0</v>
      </c>
      <c r="W947" s="1423">
        <f t="shared" ca="1" si="1349"/>
        <v>0</v>
      </c>
      <c r="X947" s="202"/>
      <c r="Y947" s="202"/>
      <c r="Z947" s="202"/>
      <c r="AA947" s="152"/>
      <c r="AB947" s="152"/>
    </row>
    <row r="948" spans="1:28" hidden="1" outlineLevel="1">
      <c r="A948" s="199">
        <f t="shared" si="1350"/>
        <v>16</v>
      </c>
      <c r="B948" s="190" t="str">
        <f t="shared" ca="1" si="1351"/>
        <v>Depreciated Net Capex 2031-32</v>
      </c>
      <c r="C948" s="1426"/>
      <c r="D948" s="1426"/>
      <c r="E948" s="1426"/>
      <c r="F948" s="1426"/>
      <c r="G948" s="1426"/>
      <c r="H948" s="1426"/>
      <c r="I948" s="1426"/>
      <c r="J948" s="1426"/>
      <c r="K948" s="1426"/>
      <c r="L948" s="1426"/>
      <c r="M948" s="1426"/>
      <c r="N948" s="1426"/>
      <c r="O948" s="1426"/>
      <c r="P948" s="1426"/>
      <c r="Q948" s="1426"/>
      <c r="R948" s="1427"/>
      <c r="S948" s="1428">
        <f>S927</f>
        <v>0</v>
      </c>
      <c r="T948" s="1423">
        <f ca="1">IF(S972="n/a",S948,IFERROR(IF((OFFSET($C948,0,$A948))&lt;0,
MIN(0,S948-(OFFSET($C948,0,$A948)/(OFFSET($C943,-$A947,$A948)))),
MAX(0,S948-(OFFSET($C948,0,$A948)/(OFFSET($C943,-$A947,$A948))))),0))</f>
        <v>0</v>
      </c>
      <c r="U948" s="1423">
        <f t="shared" ca="1" si="1347"/>
        <v>0</v>
      </c>
      <c r="V948" s="1423">
        <f t="shared" ca="1" si="1348"/>
        <v>0</v>
      </c>
      <c r="W948" s="1423">
        <f t="shared" ca="1" si="1349"/>
        <v>0</v>
      </c>
      <c r="X948" s="202"/>
      <c r="Y948" s="202"/>
      <c r="Z948" s="202"/>
      <c r="AA948" s="152"/>
      <c r="AB948" s="152"/>
    </row>
    <row r="949" spans="1:28" hidden="1" outlineLevel="1">
      <c r="A949" s="199">
        <f t="shared" si="1350"/>
        <v>17</v>
      </c>
      <c r="B949" s="190" t="str">
        <f t="shared" ca="1" si="1351"/>
        <v>Depreciated Net Capex 2032-33</v>
      </c>
      <c r="C949" s="1426"/>
      <c r="D949" s="1426"/>
      <c r="E949" s="1426"/>
      <c r="F949" s="1426"/>
      <c r="G949" s="1426"/>
      <c r="H949" s="1426"/>
      <c r="I949" s="1426"/>
      <c r="J949" s="1426"/>
      <c r="K949" s="1426"/>
      <c r="L949" s="1426"/>
      <c r="M949" s="1426"/>
      <c r="N949" s="1426"/>
      <c r="O949" s="1426"/>
      <c r="P949" s="1426"/>
      <c r="Q949" s="1426"/>
      <c r="R949" s="1426"/>
      <c r="S949" s="1427"/>
      <c r="T949" s="1428">
        <f>T927</f>
        <v>0</v>
      </c>
      <c r="U949" s="1423">
        <f ca="1">IF(T973="n/a",T949,IFERROR(IF((OFFSET($C949,0,$A949))&lt;0,
MIN(0,T949-(OFFSET($C949,0,$A949)/(OFFSET($C944,-$A948,$A949)))),
MAX(0,T949-(OFFSET($C949,0,$A949)/(OFFSET($C944,-$A948,$A949))))),0))</f>
        <v>0</v>
      </c>
      <c r="V949" s="1423">
        <f t="shared" ca="1" si="1348"/>
        <v>0</v>
      </c>
      <c r="W949" s="1423">
        <f t="shared" ca="1" si="1349"/>
        <v>0</v>
      </c>
      <c r="X949" s="202"/>
      <c r="Y949" s="202"/>
      <c r="Z949" s="202"/>
      <c r="AA949" s="152"/>
      <c r="AB949" s="152"/>
    </row>
    <row r="950" spans="1:28" hidden="1" outlineLevel="1">
      <c r="A950" s="199">
        <f t="shared" si="1350"/>
        <v>18</v>
      </c>
      <c r="B950" s="190" t="str">
        <f t="shared" ca="1" si="1351"/>
        <v>Depreciated Net Capex 2033-34</v>
      </c>
      <c r="C950" s="1426"/>
      <c r="D950" s="1426"/>
      <c r="E950" s="1426"/>
      <c r="F950" s="1426"/>
      <c r="G950" s="1426"/>
      <c r="H950" s="1426"/>
      <c r="I950" s="1426"/>
      <c r="J950" s="1426"/>
      <c r="K950" s="1426"/>
      <c r="L950" s="1426"/>
      <c r="M950" s="1426"/>
      <c r="N950" s="1426"/>
      <c r="O950" s="1426"/>
      <c r="P950" s="1426"/>
      <c r="Q950" s="1426"/>
      <c r="R950" s="1426"/>
      <c r="S950" s="1426"/>
      <c r="T950" s="1427"/>
      <c r="U950" s="1428">
        <f>U927</f>
        <v>0</v>
      </c>
      <c r="V950" s="1423">
        <f ca="1">IF(U974="n/a",U950,IFERROR(IF((OFFSET($C950,0,$A950))&lt;0,
MIN(0,U950-(OFFSET($C950,0,$A950)/(OFFSET($C945,-$A949,$A950)))),
MAX(0,U950-(OFFSET($C950,0,$A950)/(OFFSET($C945,-$A949,$A950))))),0))</f>
        <v>0</v>
      </c>
      <c r="W950" s="1423">
        <f t="shared" ca="1" si="1349"/>
        <v>0</v>
      </c>
      <c r="X950" s="202"/>
      <c r="Y950" s="202"/>
      <c r="Z950" s="202"/>
      <c r="AA950" s="152"/>
      <c r="AB950" s="152"/>
    </row>
    <row r="951" spans="1:28" hidden="1" outlineLevel="1">
      <c r="A951" s="199">
        <f t="shared" si="1350"/>
        <v>19</v>
      </c>
      <c r="B951" s="190" t="str">
        <f t="shared" ca="1" si="1351"/>
        <v>Depreciated Net Capex 2034-35</v>
      </c>
      <c r="C951" s="1426"/>
      <c r="D951" s="1426"/>
      <c r="E951" s="1426"/>
      <c r="F951" s="1426"/>
      <c r="G951" s="1426"/>
      <c r="H951" s="1426"/>
      <c r="I951" s="1426"/>
      <c r="J951" s="1426"/>
      <c r="K951" s="1426"/>
      <c r="L951" s="1426"/>
      <c r="M951" s="1426"/>
      <c r="N951" s="1426"/>
      <c r="O951" s="1426"/>
      <c r="P951" s="1426"/>
      <c r="Q951" s="1426"/>
      <c r="R951" s="1426"/>
      <c r="S951" s="1426"/>
      <c r="T951" s="1426"/>
      <c r="U951" s="1427"/>
      <c r="V951" s="1428">
        <f>V927</f>
        <v>0</v>
      </c>
      <c r="W951" s="1423">
        <f ca="1">IF(V975="n/a",V951,IFERROR(IF((OFFSET($C951,0,$A951))&lt;0,
MIN(0,V951-(OFFSET($C951,0,$A951)/(OFFSET($C946,-$A950,$A951)))),
MAX(0,V951-(OFFSET($C951,0,$A951)/(OFFSET($C946,-$A950,$A951))))),0))</f>
        <v>0</v>
      </c>
      <c r="X951" s="202"/>
      <c r="Y951" s="202"/>
      <c r="Z951" s="202"/>
      <c r="AA951" s="152"/>
      <c r="AB951" s="152"/>
    </row>
    <row r="952" spans="1:28" hidden="1" outlineLevel="1">
      <c r="A952" s="199">
        <f t="shared" si="1350"/>
        <v>20</v>
      </c>
      <c r="B952" s="190" t="str">
        <f t="shared" ca="1" si="1351"/>
        <v>Depreciated Net Capex 2035-36</v>
      </c>
      <c r="C952" s="1426"/>
      <c r="D952" s="1426"/>
      <c r="E952" s="1426"/>
      <c r="F952" s="1426"/>
      <c r="G952" s="1426"/>
      <c r="H952" s="1426"/>
      <c r="I952" s="1426"/>
      <c r="J952" s="1426"/>
      <c r="K952" s="1426"/>
      <c r="L952" s="1426"/>
      <c r="M952" s="1426"/>
      <c r="N952" s="1426"/>
      <c r="O952" s="1426"/>
      <c r="P952" s="1426"/>
      <c r="Q952" s="1426"/>
      <c r="R952" s="1426"/>
      <c r="S952" s="1426"/>
      <c r="T952" s="1426"/>
      <c r="U952" s="1426"/>
      <c r="V952" s="1427"/>
      <c r="W952" s="1423">
        <f>W927</f>
        <v>0</v>
      </c>
      <c r="X952" s="152"/>
      <c r="Y952" s="152"/>
      <c r="Z952" s="152"/>
      <c r="AA952" s="152"/>
      <c r="AB952" s="152"/>
    </row>
    <row r="953" spans="1:28" hidden="1" outlineLevel="1">
      <c r="A953" s="152"/>
      <c r="B953" s="200"/>
      <c r="C953" s="1423"/>
      <c r="D953" s="1423"/>
      <c r="E953" s="1423"/>
      <c r="F953" s="1423"/>
      <c r="G953" s="1423"/>
      <c r="H953" s="1423"/>
      <c r="I953" s="1423"/>
      <c r="J953" s="1423"/>
      <c r="K953" s="1423"/>
      <c r="L953" s="1423"/>
      <c r="M953" s="1423"/>
      <c r="N953" s="1423"/>
      <c r="O953" s="1423"/>
      <c r="P953" s="1423"/>
      <c r="Q953" s="1423"/>
      <c r="R953" s="1423"/>
      <c r="S953" s="1423"/>
      <c r="T953" s="1423"/>
      <c r="U953" s="1423"/>
      <c r="V953" s="1423"/>
      <c r="W953" s="1423"/>
      <c r="X953" s="152"/>
      <c r="Y953" s="152"/>
      <c r="Z953" s="152"/>
      <c r="AA953" s="152"/>
      <c r="AB953" s="152"/>
    </row>
    <row r="954" spans="1:28" hidden="1" outlineLevel="1">
      <c r="A954" s="152"/>
      <c r="B954" s="200"/>
      <c r="C954" s="1423"/>
      <c r="D954" s="1423"/>
      <c r="E954" s="1423"/>
      <c r="F954" s="1423"/>
      <c r="G954" s="1423"/>
      <c r="H954" s="1423"/>
      <c r="I954" s="1423"/>
      <c r="J954" s="1423"/>
      <c r="K954" s="1423"/>
      <c r="L954" s="1423"/>
      <c r="M954" s="1423"/>
      <c r="N954" s="1423"/>
      <c r="O954" s="1423"/>
      <c r="P954" s="1423"/>
      <c r="Q954" s="1423"/>
      <c r="R954" s="1423"/>
      <c r="S954" s="1423"/>
      <c r="T954" s="1423"/>
      <c r="U954" s="1423"/>
      <c r="V954" s="1423"/>
      <c r="W954" s="1423"/>
      <c r="X954" s="152"/>
      <c r="Y954" s="152"/>
      <c r="Z954" s="152"/>
      <c r="AA954" s="152"/>
      <c r="AB954" s="152"/>
    </row>
    <row r="955" spans="1:28" hidden="1" outlineLevel="1">
      <c r="A955" s="152"/>
      <c r="B955" s="190" t="s">
        <v>194</v>
      </c>
      <c r="C955" s="1423"/>
      <c r="D955" s="1423">
        <f t="shared" ref="D955" ca="1" si="1352">IF(AND(C955&lt;1,D929=0),0,
IF(D929=0,C955-1,
IF(C955&lt;1,D930,
(((C955-1)*(C931-(C931/(C955))))+(D929*D930))/(D931))))</f>
        <v>0</v>
      </c>
      <c r="E955" s="1423">
        <f t="shared" ref="E955" ca="1" si="1353">IF(AND(D955&lt;1,E929=0),0,
IF(E929=0,D955-1,
IF(D955&lt;1,E930,
(((D955-1)*(D931-(D931/(D955))))+(E929*E930))/(E931))))</f>
        <v>0</v>
      </c>
      <c r="F955" s="1423">
        <f t="shared" ref="F955" ca="1" si="1354">IF(AND(E955&lt;1,F929=0),0,
IF(F929=0,E955-1,
IF(E955&lt;1,F930,
(((E955-1)*(E931-(E931/(E955))))+(F929*F930))/(F931))))</f>
        <v>0</v>
      </c>
      <c r="G955" s="1423">
        <f t="shared" ref="G955" ca="1" si="1355">IF(AND(F955&lt;1,G929=0),0,
IF(G929=0,F955-1,
IF(F955&lt;1,G930,
(((F955-1)*(F931-(F931/(F955))))+(G929*G930))/(G931))))</f>
        <v>0</v>
      </c>
      <c r="H955" s="1423">
        <f ca="1">IF(AND(G955&lt;1,H929=0),0,
IF(H929=0,G955-1,
IF(G955&lt;1,H930,
(((G955-1)*(G931-(G931/(G955))))+(H929*H930))/(H931))))</f>
        <v>0</v>
      </c>
      <c r="I955" s="1423">
        <f t="shared" ref="I955" ca="1" si="1356">IF(AND(H955&lt;1,I929=0),0,
IF(I929=0,H955-1,
IF(H955&lt;1,I930,
(((H955-1)*(H931-(H931/(H955))))+(I929*I930))/(I931))))</f>
        <v>0</v>
      </c>
      <c r="J955" s="1423">
        <f t="shared" ref="J955" ca="1" si="1357">IF(AND(I955&lt;1,J929=0),0,
IF(J929=0,I955-1,
IF(I955&lt;1,J930,
(((I955-1)*(I931-(I931/(I955))))+(J929*J930))/(J931))))</f>
        <v>0</v>
      </c>
      <c r="K955" s="1423">
        <f t="shared" ref="K955" ca="1" si="1358">IF(AND(J955&lt;1,K929=0),0,
IF(K929=0,J955-1,
IF(J955&lt;1,K930,
(((J955-1)*(J931-(J931/(J955))))+(K929*K930))/(K931))))</f>
        <v>0</v>
      </c>
      <c r="L955" s="1423">
        <f t="shared" ref="L955" ca="1" si="1359">IF(AND(K955&lt;1,L929=0),0,
IF(L929=0,K955-1,
IF(K955&lt;1,L930,
(((K955-1)*(K931-(K931/(K955))))+(L929*L930))/(L931))))</f>
        <v>0</v>
      </c>
      <c r="M955" s="1423">
        <f ca="1">IF(AND(L955&lt;1,M929=0),0,
IF(M929=0,L955-1,
IF(L955&lt;1,M930,
(((L955-1)*(L931-(L931/(L955))))+(M929*M930))/(M931))))</f>
        <v>0</v>
      </c>
      <c r="N955" s="1423">
        <f t="shared" ref="N955" ca="1" si="1360">IF(AND(M955&lt;1,N929=0),0,
IF(N929=0,M955-1,
IF(M955&lt;1,N930,
(((M955-1)*(M931-(M931/(M955))))+(N929*N930))/(N931))))</f>
        <v>0</v>
      </c>
      <c r="O955" s="1423">
        <f t="shared" ref="O955" ca="1" si="1361">IF(AND(N955&lt;1,O929=0),0,
IF(O929=0,N955-1,
IF(N955&lt;1,O930,
(((N955-1)*(N931-(N931/(N955))))+(O929*O930))/(O931))))</f>
        <v>0</v>
      </c>
      <c r="P955" s="1423">
        <f t="shared" ref="P955" ca="1" si="1362">IF(AND(O955&lt;1,P929=0),0,
IF(P929=0,O955-1,
IF(O955&lt;1,P930,
(((O955-1)*(O931-(O931/(O955))))+(P929*P930))/(P931))))</f>
        <v>0</v>
      </c>
      <c r="Q955" s="1423">
        <f t="shared" ref="Q955" ca="1" si="1363">IF(AND(P955&lt;1,Q929=0),0,
IF(Q929=0,P955-1,
IF(P955&lt;1,Q930,
(((P955-1)*(P931-(P931/(P955))))+(Q929*Q930))/(Q931))))</f>
        <v>0</v>
      </c>
      <c r="R955" s="1423">
        <f t="shared" ref="R955" ca="1" si="1364">IF(AND(Q955&lt;1,R929=0),0,
IF(R929=0,Q955-1,
IF(Q955&lt;1,R930,
(((Q955-1)*(Q931-(Q931/(Q955))))+(R929*R930))/(R931))))</f>
        <v>0</v>
      </c>
      <c r="S955" s="1423">
        <f t="shared" ref="S955" ca="1" si="1365">IF(AND(R955&lt;1,S929=0),0,
IF(S929=0,R955-1,
IF(R955&lt;1,S930,
(((R955-1)*(R931-(R931/(R955))))+(S929*S930))/(S931))))</f>
        <v>0</v>
      </c>
      <c r="T955" s="1423">
        <f t="shared" ref="T955" ca="1" si="1366">IF(AND(S955&lt;1,T929=0),0,
IF(T929=0,S955-1,
IF(S955&lt;1,T930,
(((S955-1)*(S931-(S931/(S955))))+(T929*T930))/(T931))))</f>
        <v>0</v>
      </c>
      <c r="U955" s="1423">
        <f t="shared" ref="U955" ca="1" si="1367">IF(AND(T955&lt;1,U929=0),0,
IF(U929=0,T955-1,
IF(T955&lt;1,U930,
(((T955-1)*(T931-(T931/(T955))))+(U929*U930))/(U931))))</f>
        <v>0</v>
      </c>
      <c r="V955" s="1423">
        <f t="shared" ref="V955" ca="1" si="1368">IF(AND(U955&lt;1,V929=0),0,
IF(V929=0,U955-1,
IF(U955&lt;1,V930,
(((U955-1)*(U931-(U931/(U955))))+(V929*V930))/(V931))))</f>
        <v>0</v>
      </c>
      <c r="W955" s="1423">
        <f t="shared" ref="W955" ca="1" si="1369">IF(AND(V955&lt;1,W929=0),0,
IF(W929=0,V955-1,
IF(V955&lt;1,W930,
(((V955-1)*(V931-(V931/(V955))))+(W929*W930))/(W931))))</f>
        <v>0</v>
      </c>
      <c r="X955" s="152"/>
      <c r="Y955" s="152"/>
      <c r="Z955" s="152"/>
      <c r="AA955" s="152"/>
      <c r="AB955" s="152"/>
    </row>
    <row r="956" spans="1:28" hidden="1" outlineLevel="1">
      <c r="A956" s="152"/>
      <c r="B956" s="190" t="s">
        <v>193</v>
      </c>
      <c r="C956" s="1423">
        <f ca="1">C928</f>
        <v>0</v>
      </c>
      <c r="D956" s="1423">
        <f t="shared" ref="D956" ca="1" si="1370">IF(C956="n/a","n/a",MAX(0,C956-1))</f>
        <v>0</v>
      </c>
      <c r="E956" s="1423">
        <f t="shared" ref="E956:E957" ca="1" si="1371">IF(D956="n/a","n/a",MAX(0,D956-1))</f>
        <v>0</v>
      </c>
      <c r="F956" s="1423">
        <f t="shared" ref="F956:F958" ca="1" si="1372">IF(E956="n/a","n/a",MAX(0,E956-1))</f>
        <v>0</v>
      </c>
      <c r="G956" s="1423">
        <f t="shared" ref="G956:G959" ca="1" si="1373">IF(F956="n/a","n/a",MAX(0,F956-1))</f>
        <v>0</v>
      </c>
      <c r="H956" s="1423">
        <f t="shared" ref="H956:H960" ca="1" si="1374">IF(G956="n/a","n/a",MAX(0,G956-1))</f>
        <v>0</v>
      </c>
      <c r="I956" s="1423">
        <f t="shared" ref="I956:I961" ca="1" si="1375">IF(H956="n/a","n/a",MAX(0,H956-1))</f>
        <v>0</v>
      </c>
      <c r="J956" s="1423">
        <f t="shared" ref="J956:J962" ca="1" si="1376">IF(I956="n/a","n/a",MAX(0,I956-1))</f>
        <v>0</v>
      </c>
      <c r="K956" s="1423">
        <f t="shared" ref="K956:K963" ca="1" si="1377">IF(J956="n/a","n/a",MAX(0,J956-1))</f>
        <v>0</v>
      </c>
      <c r="L956" s="1423">
        <f t="shared" ref="L956:L964" ca="1" si="1378">IF(K956="n/a","n/a",MAX(0,K956-1))</f>
        <v>0</v>
      </c>
      <c r="M956" s="1423">
        <f t="shared" ref="M956:M965" ca="1" si="1379">IF(L956="n/a","n/a",MAX(0,L956-1))</f>
        <v>0</v>
      </c>
      <c r="N956" s="1423">
        <f t="shared" ref="N956:N966" ca="1" si="1380">IF(M956="n/a","n/a",MAX(0,M956-1))</f>
        <v>0</v>
      </c>
      <c r="O956" s="1423">
        <f t="shared" ref="O956:O967" ca="1" si="1381">IF(N956="n/a","n/a",MAX(0,N956-1))</f>
        <v>0</v>
      </c>
      <c r="P956" s="1423">
        <f t="shared" ref="P956:P968" ca="1" si="1382">IF(O956="n/a","n/a",MAX(0,O956-1))</f>
        <v>0</v>
      </c>
      <c r="Q956" s="1423">
        <f t="shared" ref="Q956:Q969" ca="1" si="1383">IF(P956="n/a","n/a",MAX(0,P956-1))</f>
        <v>0</v>
      </c>
      <c r="R956" s="1423">
        <f t="shared" ref="R956:R970" ca="1" si="1384">IF(Q956="n/a","n/a",MAX(0,Q956-1))</f>
        <v>0</v>
      </c>
      <c r="S956" s="1423">
        <f t="shared" ref="S956:S971" ca="1" si="1385">IF(R956="n/a","n/a",MAX(0,R956-1))</f>
        <v>0</v>
      </c>
      <c r="T956" s="1423">
        <f t="shared" ref="T956:T972" ca="1" si="1386">IF(S956="n/a","n/a",MAX(0,S956-1))</f>
        <v>0</v>
      </c>
      <c r="U956" s="1423">
        <f t="shared" ref="U956:U973" ca="1" si="1387">IF(T956="n/a","n/a",MAX(0,T956-1))</f>
        <v>0</v>
      </c>
      <c r="V956" s="1423">
        <f t="shared" ref="V956:V974" ca="1" si="1388">IF(U956="n/a","n/a",MAX(0,U956-1))</f>
        <v>0</v>
      </c>
      <c r="W956" s="1423">
        <f t="shared" ref="W956:W974" ca="1" si="1389">IF(V956="n/a","n/a",MAX(0,V956-1))</f>
        <v>0</v>
      </c>
      <c r="X956" s="152"/>
      <c r="Y956" s="152"/>
      <c r="Z956" s="152"/>
      <c r="AA956" s="152"/>
      <c r="AB956" s="152"/>
    </row>
    <row r="957" spans="1:28" hidden="1" outlineLevel="1">
      <c r="A957" s="152"/>
      <c r="B957" s="190" t="str">
        <f t="shared" ref="B957:B976" ca="1" si="1390">"RL Capex "&amp;OFFSET($C$6,0,A933)</f>
        <v>RL Capex 2016-17</v>
      </c>
      <c r="C957" s="1424"/>
      <c r="D957" s="1428">
        <f>D928</f>
        <v>0</v>
      </c>
      <c r="E957" s="1423">
        <f t="shared" si="1371"/>
        <v>0</v>
      </c>
      <c r="F957" s="1423">
        <f t="shared" si="1372"/>
        <v>0</v>
      </c>
      <c r="G957" s="1423">
        <f t="shared" si="1373"/>
        <v>0</v>
      </c>
      <c r="H957" s="1423">
        <f t="shared" si="1374"/>
        <v>0</v>
      </c>
      <c r="I957" s="1423">
        <f t="shared" si="1375"/>
        <v>0</v>
      </c>
      <c r="J957" s="1423">
        <f t="shared" si="1376"/>
        <v>0</v>
      </c>
      <c r="K957" s="1423">
        <f t="shared" si="1377"/>
        <v>0</v>
      </c>
      <c r="L957" s="1423">
        <f t="shared" si="1378"/>
        <v>0</v>
      </c>
      <c r="M957" s="1423">
        <f t="shared" si="1379"/>
        <v>0</v>
      </c>
      <c r="N957" s="1423">
        <f t="shared" si="1380"/>
        <v>0</v>
      </c>
      <c r="O957" s="1423">
        <f t="shared" si="1381"/>
        <v>0</v>
      </c>
      <c r="P957" s="1423">
        <f t="shared" si="1382"/>
        <v>0</v>
      </c>
      <c r="Q957" s="1423">
        <f t="shared" si="1383"/>
        <v>0</v>
      </c>
      <c r="R957" s="1423">
        <f t="shared" si="1384"/>
        <v>0</v>
      </c>
      <c r="S957" s="1423">
        <f t="shared" si="1385"/>
        <v>0</v>
      </c>
      <c r="T957" s="1423">
        <f t="shared" si="1386"/>
        <v>0</v>
      </c>
      <c r="U957" s="1423">
        <f t="shared" si="1387"/>
        <v>0</v>
      </c>
      <c r="V957" s="1423">
        <f t="shared" si="1388"/>
        <v>0</v>
      </c>
      <c r="W957" s="1423">
        <f t="shared" si="1389"/>
        <v>0</v>
      </c>
      <c r="X957" s="152"/>
      <c r="Y957" s="152"/>
      <c r="Z957" s="152"/>
      <c r="AA957" s="152"/>
      <c r="AB957" s="152"/>
    </row>
    <row r="958" spans="1:28" hidden="1" outlineLevel="1">
      <c r="A958" s="152"/>
      <c r="B958" s="190" t="str">
        <f t="shared" ca="1" si="1390"/>
        <v>RL Capex 2017-18</v>
      </c>
      <c r="C958" s="1429"/>
      <c r="D958" s="1424"/>
      <c r="E958" s="1428">
        <f>E928</f>
        <v>0</v>
      </c>
      <c r="F958" s="1423">
        <f t="shared" si="1372"/>
        <v>0</v>
      </c>
      <c r="G958" s="1423">
        <f t="shared" si="1373"/>
        <v>0</v>
      </c>
      <c r="H958" s="1423">
        <f t="shared" si="1374"/>
        <v>0</v>
      </c>
      <c r="I958" s="1423">
        <f t="shared" si="1375"/>
        <v>0</v>
      </c>
      <c r="J958" s="1423">
        <f t="shared" si="1376"/>
        <v>0</v>
      </c>
      <c r="K958" s="1423">
        <f t="shared" si="1377"/>
        <v>0</v>
      </c>
      <c r="L958" s="1423">
        <f t="shared" si="1378"/>
        <v>0</v>
      </c>
      <c r="M958" s="1423">
        <f t="shared" si="1379"/>
        <v>0</v>
      </c>
      <c r="N958" s="1423">
        <f t="shared" si="1380"/>
        <v>0</v>
      </c>
      <c r="O958" s="1423">
        <f t="shared" si="1381"/>
        <v>0</v>
      </c>
      <c r="P958" s="1423">
        <f t="shared" si="1382"/>
        <v>0</v>
      </c>
      <c r="Q958" s="1423">
        <f t="shared" si="1383"/>
        <v>0</v>
      </c>
      <c r="R958" s="1423">
        <f t="shared" si="1384"/>
        <v>0</v>
      </c>
      <c r="S958" s="1423">
        <f t="shared" si="1385"/>
        <v>0</v>
      </c>
      <c r="T958" s="1423">
        <f t="shared" si="1386"/>
        <v>0</v>
      </c>
      <c r="U958" s="1423">
        <f t="shared" si="1387"/>
        <v>0</v>
      </c>
      <c r="V958" s="1423">
        <f t="shared" si="1388"/>
        <v>0</v>
      </c>
      <c r="W958" s="1423">
        <f t="shared" si="1389"/>
        <v>0</v>
      </c>
      <c r="X958" s="152"/>
      <c r="Y958" s="152"/>
      <c r="Z958" s="152"/>
      <c r="AA958" s="152"/>
      <c r="AB958" s="152"/>
    </row>
    <row r="959" spans="1:28" hidden="1" outlineLevel="1">
      <c r="A959" s="152"/>
      <c r="B959" s="190" t="str">
        <f t="shared" ca="1" si="1390"/>
        <v>RL Capex 2018-19</v>
      </c>
      <c r="C959" s="1429"/>
      <c r="D959" s="1429"/>
      <c r="E959" s="1424"/>
      <c r="F959" s="1428">
        <f>F928</f>
        <v>0</v>
      </c>
      <c r="G959" s="1423">
        <f t="shared" si="1373"/>
        <v>0</v>
      </c>
      <c r="H959" s="1423">
        <f t="shared" si="1374"/>
        <v>0</v>
      </c>
      <c r="I959" s="1423">
        <f t="shared" si="1375"/>
        <v>0</v>
      </c>
      <c r="J959" s="1423">
        <f t="shared" si="1376"/>
        <v>0</v>
      </c>
      <c r="K959" s="1423">
        <f t="shared" si="1377"/>
        <v>0</v>
      </c>
      <c r="L959" s="1423">
        <f t="shared" si="1378"/>
        <v>0</v>
      </c>
      <c r="M959" s="1423">
        <f t="shared" si="1379"/>
        <v>0</v>
      </c>
      <c r="N959" s="1423">
        <f t="shared" si="1380"/>
        <v>0</v>
      </c>
      <c r="O959" s="1423">
        <f t="shared" si="1381"/>
        <v>0</v>
      </c>
      <c r="P959" s="1423">
        <f t="shared" si="1382"/>
        <v>0</v>
      </c>
      <c r="Q959" s="1423">
        <f t="shared" si="1383"/>
        <v>0</v>
      </c>
      <c r="R959" s="1423">
        <f t="shared" si="1384"/>
        <v>0</v>
      </c>
      <c r="S959" s="1423">
        <f t="shared" si="1385"/>
        <v>0</v>
      </c>
      <c r="T959" s="1423">
        <f t="shared" si="1386"/>
        <v>0</v>
      </c>
      <c r="U959" s="1423">
        <f t="shared" si="1387"/>
        <v>0</v>
      </c>
      <c r="V959" s="1423">
        <f t="shared" si="1388"/>
        <v>0</v>
      </c>
      <c r="W959" s="1423">
        <f t="shared" si="1389"/>
        <v>0</v>
      </c>
      <c r="X959" s="152"/>
      <c r="Y959" s="152"/>
      <c r="Z959" s="152"/>
      <c r="AA959" s="152"/>
      <c r="AB959" s="152"/>
    </row>
    <row r="960" spans="1:28" hidden="1" outlineLevel="1">
      <c r="A960" s="152"/>
      <c r="B960" s="190" t="str">
        <f t="shared" ca="1" si="1390"/>
        <v>RL Capex 2019-20</v>
      </c>
      <c r="C960" s="1429"/>
      <c r="D960" s="1429"/>
      <c r="E960" s="1429"/>
      <c r="F960" s="1424"/>
      <c r="G960" s="1428">
        <f>G928</f>
        <v>0</v>
      </c>
      <c r="H960" s="1423">
        <f t="shared" si="1374"/>
        <v>0</v>
      </c>
      <c r="I960" s="1423">
        <f t="shared" si="1375"/>
        <v>0</v>
      </c>
      <c r="J960" s="1423">
        <f t="shared" si="1376"/>
        <v>0</v>
      </c>
      <c r="K960" s="1423">
        <f t="shared" si="1377"/>
        <v>0</v>
      </c>
      <c r="L960" s="1423">
        <f t="shared" si="1378"/>
        <v>0</v>
      </c>
      <c r="M960" s="1423">
        <f t="shared" si="1379"/>
        <v>0</v>
      </c>
      <c r="N960" s="1423">
        <f t="shared" si="1380"/>
        <v>0</v>
      </c>
      <c r="O960" s="1423">
        <f t="shared" si="1381"/>
        <v>0</v>
      </c>
      <c r="P960" s="1423">
        <f t="shared" si="1382"/>
        <v>0</v>
      </c>
      <c r="Q960" s="1423">
        <f t="shared" si="1383"/>
        <v>0</v>
      </c>
      <c r="R960" s="1423">
        <f t="shared" si="1384"/>
        <v>0</v>
      </c>
      <c r="S960" s="1423">
        <f t="shared" si="1385"/>
        <v>0</v>
      </c>
      <c r="T960" s="1423">
        <f t="shared" si="1386"/>
        <v>0</v>
      </c>
      <c r="U960" s="1423">
        <f t="shared" si="1387"/>
        <v>0</v>
      </c>
      <c r="V960" s="1423">
        <f t="shared" si="1388"/>
        <v>0</v>
      </c>
      <c r="W960" s="1423">
        <f t="shared" si="1389"/>
        <v>0</v>
      </c>
      <c r="X960" s="152"/>
      <c r="Y960" s="152"/>
      <c r="Z960" s="152"/>
      <c r="AA960" s="152"/>
      <c r="AB960" s="152"/>
    </row>
    <row r="961" spans="1:28" hidden="1" outlineLevel="1">
      <c r="A961" s="152"/>
      <c r="B961" s="190" t="str">
        <f t="shared" ca="1" si="1390"/>
        <v>RL Capex 2020-21</v>
      </c>
      <c r="C961" s="1429"/>
      <c r="D961" s="1429"/>
      <c r="E961" s="1429"/>
      <c r="F961" s="1429"/>
      <c r="G961" s="1424"/>
      <c r="H961" s="1428">
        <f>H928</f>
        <v>0</v>
      </c>
      <c r="I961" s="1423">
        <f t="shared" si="1375"/>
        <v>0</v>
      </c>
      <c r="J961" s="1423">
        <f t="shared" si="1376"/>
        <v>0</v>
      </c>
      <c r="K961" s="1423">
        <f t="shared" si="1377"/>
        <v>0</v>
      </c>
      <c r="L961" s="1423">
        <f t="shared" si="1378"/>
        <v>0</v>
      </c>
      <c r="M961" s="1423">
        <f t="shared" si="1379"/>
        <v>0</v>
      </c>
      <c r="N961" s="1423">
        <f t="shared" si="1380"/>
        <v>0</v>
      </c>
      <c r="O961" s="1423">
        <f t="shared" si="1381"/>
        <v>0</v>
      </c>
      <c r="P961" s="1423">
        <f t="shared" si="1382"/>
        <v>0</v>
      </c>
      <c r="Q961" s="1423">
        <f t="shared" si="1383"/>
        <v>0</v>
      </c>
      <c r="R961" s="1423">
        <f t="shared" si="1384"/>
        <v>0</v>
      </c>
      <c r="S961" s="1423">
        <f t="shared" si="1385"/>
        <v>0</v>
      </c>
      <c r="T961" s="1423">
        <f t="shared" si="1386"/>
        <v>0</v>
      </c>
      <c r="U961" s="1423">
        <f t="shared" si="1387"/>
        <v>0</v>
      </c>
      <c r="V961" s="1423">
        <f t="shared" si="1388"/>
        <v>0</v>
      </c>
      <c r="W961" s="1423">
        <f t="shared" si="1389"/>
        <v>0</v>
      </c>
      <c r="X961" s="152"/>
      <c r="Y961" s="152"/>
      <c r="Z961" s="152"/>
      <c r="AA961" s="152"/>
      <c r="AB961" s="152"/>
    </row>
    <row r="962" spans="1:28" hidden="1" outlineLevel="1">
      <c r="A962" s="152"/>
      <c r="B962" s="190" t="str">
        <f t="shared" ca="1" si="1390"/>
        <v>RL Capex 2021-22</v>
      </c>
      <c r="C962" s="1429"/>
      <c r="D962" s="1429"/>
      <c r="E962" s="1429"/>
      <c r="F962" s="1429"/>
      <c r="G962" s="1429"/>
      <c r="H962" s="1424"/>
      <c r="I962" s="1428">
        <f>I928</f>
        <v>0</v>
      </c>
      <c r="J962" s="1423">
        <f t="shared" si="1376"/>
        <v>0</v>
      </c>
      <c r="K962" s="1423">
        <f t="shared" si="1377"/>
        <v>0</v>
      </c>
      <c r="L962" s="1423">
        <f t="shared" si="1378"/>
        <v>0</v>
      </c>
      <c r="M962" s="1423">
        <f t="shared" si="1379"/>
        <v>0</v>
      </c>
      <c r="N962" s="1423">
        <f t="shared" si="1380"/>
        <v>0</v>
      </c>
      <c r="O962" s="1423">
        <f t="shared" si="1381"/>
        <v>0</v>
      </c>
      <c r="P962" s="1423">
        <f t="shared" si="1382"/>
        <v>0</v>
      </c>
      <c r="Q962" s="1423">
        <f t="shared" si="1383"/>
        <v>0</v>
      </c>
      <c r="R962" s="1423">
        <f t="shared" si="1384"/>
        <v>0</v>
      </c>
      <c r="S962" s="1423">
        <f t="shared" si="1385"/>
        <v>0</v>
      </c>
      <c r="T962" s="1423">
        <f t="shared" si="1386"/>
        <v>0</v>
      </c>
      <c r="U962" s="1423">
        <f t="shared" si="1387"/>
        <v>0</v>
      </c>
      <c r="V962" s="1423">
        <f t="shared" si="1388"/>
        <v>0</v>
      </c>
      <c r="W962" s="1423">
        <f t="shared" si="1389"/>
        <v>0</v>
      </c>
      <c r="X962" s="152"/>
      <c r="Y962" s="152"/>
      <c r="Z962" s="152"/>
      <c r="AA962" s="152"/>
      <c r="AB962" s="152"/>
    </row>
    <row r="963" spans="1:28" hidden="1" outlineLevel="1">
      <c r="A963" s="152"/>
      <c r="B963" s="190" t="str">
        <f t="shared" ca="1" si="1390"/>
        <v>RL Capex 2022-23</v>
      </c>
      <c r="C963" s="1429"/>
      <c r="D963" s="1429"/>
      <c r="E963" s="1429"/>
      <c r="F963" s="1429"/>
      <c r="G963" s="1429"/>
      <c r="H963" s="1429"/>
      <c r="I963" s="1424"/>
      <c r="J963" s="1428">
        <f>J928</f>
        <v>0</v>
      </c>
      <c r="K963" s="1423">
        <f t="shared" si="1377"/>
        <v>0</v>
      </c>
      <c r="L963" s="1423">
        <f t="shared" si="1378"/>
        <v>0</v>
      </c>
      <c r="M963" s="1423">
        <f t="shared" si="1379"/>
        <v>0</v>
      </c>
      <c r="N963" s="1423">
        <f t="shared" si="1380"/>
        <v>0</v>
      </c>
      <c r="O963" s="1423">
        <f t="shared" si="1381"/>
        <v>0</v>
      </c>
      <c r="P963" s="1423">
        <f t="shared" si="1382"/>
        <v>0</v>
      </c>
      <c r="Q963" s="1423">
        <f t="shared" si="1383"/>
        <v>0</v>
      </c>
      <c r="R963" s="1423">
        <f t="shared" si="1384"/>
        <v>0</v>
      </c>
      <c r="S963" s="1423">
        <f t="shared" si="1385"/>
        <v>0</v>
      </c>
      <c r="T963" s="1423">
        <f t="shared" si="1386"/>
        <v>0</v>
      </c>
      <c r="U963" s="1423">
        <f t="shared" si="1387"/>
        <v>0</v>
      </c>
      <c r="V963" s="1423">
        <f t="shared" si="1388"/>
        <v>0</v>
      </c>
      <c r="W963" s="1423">
        <f t="shared" si="1389"/>
        <v>0</v>
      </c>
      <c r="X963" s="152"/>
      <c r="Y963" s="152"/>
      <c r="Z963" s="152"/>
      <c r="AA963" s="152"/>
      <c r="AB963" s="152"/>
    </row>
    <row r="964" spans="1:28" hidden="1" outlineLevel="1">
      <c r="A964" s="152"/>
      <c r="B964" s="190" t="str">
        <f t="shared" ca="1" si="1390"/>
        <v>RL Capex 2023-24</v>
      </c>
      <c r="C964" s="1429"/>
      <c r="D964" s="1429"/>
      <c r="E964" s="1429"/>
      <c r="F964" s="1429"/>
      <c r="G964" s="1429"/>
      <c r="H964" s="1429"/>
      <c r="I964" s="1429"/>
      <c r="J964" s="1424"/>
      <c r="K964" s="1428">
        <f>K928</f>
        <v>0</v>
      </c>
      <c r="L964" s="1423">
        <f t="shared" si="1378"/>
        <v>0</v>
      </c>
      <c r="M964" s="1423">
        <f t="shared" si="1379"/>
        <v>0</v>
      </c>
      <c r="N964" s="1423">
        <f t="shared" si="1380"/>
        <v>0</v>
      </c>
      <c r="O964" s="1423">
        <f t="shared" si="1381"/>
        <v>0</v>
      </c>
      <c r="P964" s="1423">
        <f t="shared" si="1382"/>
        <v>0</v>
      </c>
      <c r="Q964" s="1423">
        <f t="shared" si="1383"/>
        <v>0</v>
      </c>
      <c r="R964" s="1423">
        <f t="shared" si="1384"/>
        <v>0</v>
      </c>
      <c r="S964" s="1423">
        <f t="shared" si="1385"/>
        <v>0</v>
      </c>
      <c r="T964" s="1423">
        <f t="shared" si="1386"/>
        <v>0</v>
      </c>
      <c r="U964" s="1423">
        <f t="shared" si="1387"/>
        <v>0</v>
      </c>
      <c r="V964" s="1423">
        <f t="shared" si="1388"/>
        <v>0</v>
      </c>
      <c r="W964" s="1423">
        <f t="shared" si="1389"/>
        <v>0</v>
      </c>
      <c r="X964" s="152"/>
      <c r="Y964" s="152"/>
      <c r="Z964" s="152"/>
      <c r="AA964" s="152"/>
      <c r="AB964" s="152"/>
    </row>
    <row r="965" spans="1:28" hidden="1" outlineLevel="1">
      <c r="A965" s="152"/>
      <c r="B965" s="190" t="str">
        <f t="shared" ca="1" si="1390"/>
        <v>RL Capex 2024-25</v>
      </c>
      <c r="C965" s="1429"/>
      <c r="D965" s="1429"/>
      <c r="E965" s="1429"/>
      <c r="F965" s="1429"/>
      <c r="G965" s="1429"/>
      <c r="H965" s="1429"/>
      <c r="I965" s="1429"/>
      <c r="J965" s="1429"/>
      <c r="K965" s="1424"/>
      <c r="L965" s="1428">
        <f>L928</f>
        <v>0</v>
      </c>
      <c r="M965" s="1423">
        <f t="shared" si="1379"/>
        <v>0</v>
      </c>
      <c r="N965" s="1423">
        <f t="shared" si="1380"/>
        <v>0</v>
      </c>
      <c r="O965" s="1423">
        <f t="shared" si="1381"/>
        <v>0</v>
      </c>
      <c r="P965" s="1423">
        <f t="shared" si="1382"/>
        <v>0</v>
      </c>
      <c r="Q965" s="1423">
        <f t="shared" si="1383"/>
        <v>0</v>
      </c>
      <c r="R965" s="1423">
        <f t="shared" si="1384"/>
        <v>0</v>
      </c>
      <c r="S965" s="1423">
        <f t="shared" si="1385"/>
        <v>0</v>
      </c>
      <c r="T965" s="1423">
        <f t="shared" si="1386"/>
        <v>0</v>
      </c>
      <c r="U965" s="1423">
        <f t="shared" si="1387"/>
        <v>0</v>
      </c>
      <c r="V965" s="1423">
        <f t="shared" si="1388"/>
        <v>0</v>
      </c>
      <c r="W965" s="1423">
        <f t="shared" si="1389"/>
        <v>0</v>
      </c>
      <c r="X965" s="152"/>
      <c r="Y965" s="152"/>
      <c r="Z965" s="152"/>
      <c r="AA965" s="152"/>
      <c r="AB965" s="152"/>
    </row>
    <row r="966" spans="1:28" hidden="1" outlineLevel="1">
      <c r="A966" s="152"/>
      <c r="B966" s="190" t="str">
        <f t="shared" ca="1" si="1390"/>
        <v>RL Capex 2025-26</v>
      </c>
      <c r="C966" s="1429"/>
      <c r="D966" s="1429"/>
      <c r="E966" s="1429"/>
      <c r="F966" s="1429"/>
      <c r="G966" s="1429"/>
      <c r="H966" s="1429"/>
      <c r="I966" s="1429"/>
      <c r="J966" s="1429"/>
      <c r="K966" s="1429"/>
      <c r="L966" s="1424"/>
      <c r="M966" s="1428">
        <f>M928</f>
        <v>0</v>
      </c>
      <c r="N966" s="1423">
        <f t="shared" si="1380"/>
        <v>0</v>
      </c>
      <c r="O966" s="1423">
        <f t="shared" si="1381"/>
        <v>0</v>
      </c>
      <c r="P966" s="1423">
        <f t="shared" si="1382"/>
        <v>0</v>
      </c>
      <c r="Q966" s="1423">
        <f t="shared" si="1383"/>
        <v>0</v>
      </c>
      <c r="R966" s="1423">
        <f t="shared" si="1384"/>
        <v>0</v>
      </c>
      <c r="S966" s="1423">
        <f t="shared" si="1385"/>
        <v>0</v>
      </c>
      <c r="T966" s="1423">
        <f t="shared" si="1386"/>
        <v>0</v>
      </c>
      <c r="U966" s="1423">
        <f t="shared" si="1387"/>
        <v>0</v>
      </c>
      <c r="V966" s="1423">
        <f t="shared" si="1388"/>
        <v>0</v>
      </c>
      <c r="W966" s="1423">
        <f t="shared" si="1389"/>
        <v>0</v>
      </c>
      <c r="X966" s="152"/>
      <c r="Y966" s="152"/>
      <c r="Z966" s="152"/>
      <c r="AA966" s="152"/>
      <c r="AB966" s="152"/>
    </row>
    <row r="967" spans="1:28" hidden="1" outlineLevel="1">
      <c r="A967" s="152"/>
      <c r="B967" s="190" t="str">
        <f t="shared" ca="1" si="1390"/>
        <v>RL Capex 2026-27</v>
      </c>
      <c r="C967" s="1429"/>
      <c r="D967" s="1429"/>
      <c r="E967" s="1429"/>
      <c r="F967" s="1429"/>
      <c r="G967" s="1429"/>
      <c r="H967" s="1429"/>
      <c r="I967" s="1429"/>
      <c r="J967" s="1429"/>
      <c r="K967" s="1429"/>
      <c r="L967" s="1429"/>
      <c r="M967" s="1424"/>
      <c r="N967" s="1428">
        <f>N928</f>
        <v>0</v>
      </c>
      <c r="O967" s="1423">
        <f t="shared" si="1381"/>
        <v>0</v>
      </c>
      <c r="P967" s="1423">
        <f t="shared" si="1382"/>
        <v>0</v>
      </c>
      <c r="Q967" s="1423">
        <f t="shared" si="1383"/>
        <v>0</v>
      </c>
      <c r="R967" s="1423">
        <f t="shared" si="1384"/>
        <v>0</v>
      </c>
      <c r="S967" s="1423">
        <f t="shared" si="1385"/>
        <v>0</v>
      </c>
      <c r="T967" s="1423">
        <f t="shared" si="1386"/>
        <v>0</v>
      </c>
      <c r="U967" s="1423">
        <f t="shared" si="1387"/>
        <v>0</v>
      </c>
      <c r="V967" s="1423">
        <f t="shared" si="1388"/>
        <v>0</v>
      </c>
      <c r="W967" s="1423">
        <f t="shared" si="1389"/>
        <v>0</v>
      </c>
      <c r="X967" s="152"/>
      <c r="Y967" s="152"/>
      <c r="Z967" s="152"/>
      <c r="AA967" s="152"/>
      <c r="AB967" s="152"/>
    </row>
    <row r="968" spans="1:28" hidden="1" outlineLevel="1">
      <c r="A968" s="152"/>
      <c r="B968" s="190" t="str">
        <f t="shared" ca="1" si="1390"/>
        <v>RL Capex 2027-28</v>
      </c>
      <c r="C968" s="1429"/>
      <c r="D968" s="1429"/>
      <c r="E968" s="1429"/>
      <c r="F968" s="1429"/>
      <c r="G968" s="1429"/>
      <c r="H968" s="1429"/>
      <c r="I968" s="1429"/>
      <c r="J968" s="1429"/>
      <c r="K968" s="1429"/>
      <c r="L968" s="1429"/>
      <c r="M968" s="1429"/>
      <c r="N968" s="1424"/>
      <c r="O968" s="1428">
        <f>O928</f>
        <v>0</v>
      </c>
      <c r="P968" s="1423">
        <f t="shared" si="1382"/>
        <v>0</v>
      </c>
      <c r="Q968" s="1423">
        <f t="shared" si="1383"/>
        <v>0</v>
      </c>
      <c r="R968" s="1423">
        <f t="shared" si="1384"/>
        <v>0</v>
      </c>
      <c r="S968" s="1423">
        <f t="shared" si="1385"/>
        <v>0</v>
      </c>
      <c r="T968" s="1423">
        <f t="shared" si="1386"/>
        <v>0</v>
      </c>
      <c r="U968" s="1423">
        <f t="shared" si="1387"/>
        <v>0</v>
      </c>
      <c r="V968" s="1423">
        <f t="shared" si="1388"/>
        <v>0</v>
      </c>
      <c r="W968" s="1423">
        <f t="shared" si="1389"/>
        <v>0</v>
      </c>
      <c r="X968" s="152"/>
      <c r="Y968" s="152"/>
      <c r="Z968" s="152"/>
      <c r="AA968" s="152"/>
      <c r="AB968" s="152"/>
    </row>
    <row r="969" spans="1:28" hidden="1" outlineLevel="1">
      <c r="A969" s="152"/>
      <c r="B969" s="190" t="str">
        <f t="shared" ca="1" si="1390"/>
        <v>RL Capex 2028-29</v>
      </c>
      <c r="C969" s="1429"/>
      <c r="D969" s="1429"/>
      <c r="E969" s="1429"/>
      <c r="F969" s="1429"/>
      <c r="G969" s="1429"/>
      <c r="H969" s="1429"/>
      <c r="I969" s="1429"/>
      <c r="J969" s="1429"/>
      <c r="K969" s="1429"/>
      <c r="L969" s="1429"/>
      <c r="M969" s="1429"/>
      <c r="N969" s="1429"/>
      <c r="O969" s="1424"/>
      <c r="P969" s="1428">
        <f>P928</f>
        <v>0</v>
      </c>
      <c r="Q969" s="1423">
        <f t="shared" si="1383"/>
        <v>0</v>
      </c>
      <c r="R969" s="1423">
        <f t="shared" si="1384"/>
        <v>0</v>
      </c>
      <c r="S969" s="1423">
        <f t="shared" si="1385"/>
        <v>0</v>
      </c>
      <c r="T969" s="1423">
        <f t="shared" si="1386"/>
        <v>0</v>
      </c>
      <c r="U969" s="1423">
        <f t="shared" si="1387"/>
        <v>0</v>
      </c>
      <c r="V969" s="1423">
        <f t="shared" si="1388"/>
        <v>0</v>
      </c>
      <c r="W969" s="1423">
        <f t="shared" si="1389"/>
        <v>0</v>
      </c>
      <c r="X969" s="152"/>
      <c r="Y969" s="152"/>
      <c r="Z969" s="152"/>
      <c r="AA969" s="152"/>
      <c r="AB969" s="152"/>
    </row>
    <row r="970" spans="1:28" hidden="1" outlineLevel="1">
      <c r="A970" s="152"/>
      <c r="B970" s="190" t="str">
        <f t="shared" ca="1" si="1390"/>
        <v>RL Capex 2029-30</v>
      </c>
      <c r="C970" s="1429"/>
      <c r="D970" s="1429"/>
      <c r="E970" s="1429"/>
      <c r="F970" s="1429"/>
      <c r="G970" s="1429"/>
      <c r="H970" s="1429"/>
      <c r="I970" s="1429"/>
      <c r="J970" s="1429"/>
      <c r="K970" s="1429"/>
      <c r="L970" s="1429"/>
      <c r="M970" s="1429"/>
      <c r="N970" s="1429"/>
      <c r="O970" s="1429"/>
      <c r="P970" s="1424"/>
      <c r="Q970" s="1428">
        <f>Q928</f>
        <v>0</v>
      </c>
      <c r="R970" s="1423">
        <f t="shared" si="1384"/>
        <v>0</v>
      </c>
      <c r="S970" s="1423">
        <f t="shared" si="1385"/>
        <v>0</v>
      </c>
      <c r="T970" s="1423">
        <f t="shared" si="1386"/>
        <v>0</v>
      </c>
      <c r="U970" s="1423">
        <f t="shared" si="1387"/>
        <v>0</v>
      </c>
      <c r="V970" s="1423">
        <f t="shared" si="1388"/>
        <v>0</v>
      </c>
      <c r="W970" s="1423">
        <f t="shared" si="1389"/>
        <v>0</v>
      </c>
      <c r="X970" s="152"/>
      <c r="Y970" s="152"/>
      <c r="Z970" s="152"/>
      <c r="AA970" s="152"/>
      <c r="AB970" s="152"/>
    </row>
    <row r="971" spans="1:28" hidden="1" outlineLevel="1">
      <c r="A971" s="152"/>
      <c r="B971" s="190" t="str">
        <f t="shared" ca="1" si="1390"/>
        <v>RL Capex 2030-31</v>
      </c>
      <c r="C971" s="1429"/>
      <c r="D971" s="1429"/>
      <c r="E971" s="1429"/>
      <c r="F971" s="1429"/>
      <c r="G971" s="1429"/>
      <c r="H971" s="1429"/>
      <c r="I971" s="1429"/>
      <c r="J971" s="1429"/>
      <c r="K971" s="1429"/>
      <c r="L971" s="1429"/>
      <c r="M971" s="1429"/>
      <c r="N971" s="1429"/>
      <c r="O971" s="1429"/>
      <c r="P971" s="1429"/>
      <c r="Q971" s="1424"/>
      <c r="R971" s="1428">
        <f>R928</f>
        <v>0</v>
      </c>
      <c r="S971" s="1423">
        <f t="shared" si="1385"/>
        <v>0</v>
      </c>
      <c r="T971" s="1423">
        <f t="shared" si="1386"/>
        <v>0</v>
      </c>
      <c r="U971" s="1423">
        <f t="shared" si="1387"/>
        <v>0</v>
      </c>
      <c r="V971" s="1423">
        <f t="shared" si="1388"/>
        <v>0</v>
      </c>
      <c r="W971" s="1423">
        <f t="shared" si="1389"/>
        <v>0</v>
      </c>
      <c r="X971" s="152"/>
      <c r="Y971" s="152"/>
      <c r="Z971" s="152"/>
      <c r="AA971" s="152"/>
      <c r="AB971" s="152"/>
    </row>
    <row r="972" spans="1:28" hidden="1" outlineLevel="1">
      <c r="A972" s="152"/>
      <c r="B972" s="190" t="str">
        <f t="shared" ca="1" si="1390"/>
        <v>RL Capex 2031-32</v>
      </c>
      <c r="C972" s="1429"/>
      <c r="D972" s="1429"/>
      <c r="E972" s="1429"/>
      <c r="F972" s="1429"/>
      <c r="G972" s="1429"/>
      <c r="H972" s="1429"/>
      <c r="I972" s="1429"/>
      <c r="J972" s="1429"/>
      <c r="K972" s="1429"/>
      <c r="L972" s="1429"/>
      <c r="M972" s="1429"/>
      <c r="N972" s="1429"/>
      <c r="O972" s="1429"/>
      <c r="P972" s="1429"/>
      <c r="Q972" s="1429"/>
      <c r="R972" s="1424"/>
      <c r="S972" s="1428">
        <f>S928</f>
        <v>0</v>
      </c>
      <c r="T972" s="1423">
        <f t="shared" si="1386"/>
        <v>0</v>
      </c>
      <c r="U972" s="1423">
        <f t="shared" si="1387"/>
        <v>0</v>
      </c>
      <c r="V972" s="1423">
        <f t="shared" si="1388"/>
        <v>0</v>
      </c>
      <c r="W972" s="1423">
        <f t="shared" si="1389"/>
        <v>0</v>
      </c>
      <c r="X972" s="152"/>
      <c r="Y972" s="152"/>
      <c r="Z972" s="152"/>
      <c r="AA972" s="152"/>
      <c r="AB972" s="152"/>
    </row>
    <row r="973" spans="1:28" hidden="1" outlineLevel="1">
      <c r="A973" s="152"/>
      <c r="B973" s="190" t="str">
        <f t="shared" ca="1" si="1390"/>
        <v>RL Capex 2032-33</v>
      </c>
      <c r="C973" s="1429"/>
      <c r="D973" s="1429"/>
      <c r="E973" s="1429"/>
      <c r="F973" s="1429"/>
      <c r="G973" s="1429"/>
      <c r="H973" s="1429"/>
      <c r="I973" s="1429"/>
      <c r="J973" s="1429"/>
      <c r="K973" s="1429"/>
      <c r="L973" s="1429"/>
      <c r="M973" s="1429"/>
      <c r="N973" s="1429"/>
      <c r="O973" s="1429"/>
      <c r="P973" s="1429"/>
      <c r="Q973" s="1429"/>
      <c r="R973" s="1429"/>
      <c r="S973" s="1424"/>
      <c r="T973" s="1428">
        <f>T928</f>
        <v>0</v>
      </c>
      <c r="U973" s="1423">
        <f t="shared" si="1387"/>
        <v>0</v>
      </c>
      <c r="V973" s="1423">
        <f t="shared" si="1388"/>
        <v>0</v>
      </c>
      <c r="W973" s="1423">
        <f t="shared" si="1389"/>
        <v>0</v>
      </c>
      <c r="X973" s="152"/>
      <c r="Y973" s="152"/>
      <c r="Z973" s="152"/>
      <c r="AA973" s="152"/>
      <c r="AB973" s="152"/>
    </row>
    <row r="974" spans="1:28" hidden="1" outlineLevel="1">
      <c r="A974" s="152"/>
      <c r="B974" s="190" t="str">
        <f t="shared" ca="1" si="1390"/>
        <v>RL Capex 2033-34</v>
      </c>
      <c r="C974" s="1429"/>
      <c r="D974" s="1429"/>
      <c r="E974" s="1429"/>
      <c r="F974" s="1429"/>
      <c r="G974" s="1429"/>
      <c r="H974" s="1429"/>
      <c r="I974" s="1429"/>
      <c r="J974" s="1429"/>
      <c r="K974" s="1429"/>
      <c r="L974" s="1429"/>
      <c r="M974" s="1429"/>
      <c r="N974" s="1429"/>
      <c r="O974" s="1429"/>
      <c r="P974" s="1429"/>
      <c r="Q974" s="1429"/>
      <c r="R974" s="1429"/>
      <c r="S974" s="1429"/>
      <c r="T974" s="1424"/>
      <c r="U974" s="1428">
        <f>U928</f>
        <v>0</v>
      </c>
      <c r="V974" s="1423">
        <f t="shared" si="1388"/>
        <v>0</v>
      </c>
      <c r="W974" s="1423">
        <f t="shared" si="1389"/>
        <v>0</v>
      </c>
      <c r="X974" s="152"/>
      <c r="Y974" s="152"/>
      <c r="Z974" s="152"/>
      <c r="AA974" s="152"/>
      <c r="AB974" s="152"/>
    </row>
    <row r="975" spans="1:28" hidden="1" outlineLevel="1">
      <c r="A975" s="152"/>
      <c r="B975" s="190" t="str">
        <f t="shared" ca="1" si="1390"/>
        <v>RL Capex 2034-35</v>
      </c>
      <c r="C975" s="1429"/>
      <c r="D975" s="1429"/>
      <c r="E975" s="1429"/>
      <c r="F975" s="1429"/>
      <c r="G975" s="1429"/>
      <c r="H975" s="1429"/>
      <c r="I975" s="1429"/>
      <c r="J975" s="1429"/>
      <c r="K975" s="1429"/>
      <c r="L975" s="1429"/>
      <c r="M975" s="1429"/>
      <c r="N975" s="1429"/>
      <c r="O975" s="1429"/>
      <c r="P975" s="1429"/>
      <c r="Q975" s="1429"/>
      <c r="R975" s="1429"/>
      <c r="S975" s="1429"/>
      <c r="T975" s="1429"/>
      <c r="U975" s="1424"/>
      <c r="V975" s="1428">
        <f>V928</f>
        <v>0</v>
      </c>
      <c r="W975" s="1423">
        <f>IF(V975="n/a","n/a",MAX(0,V975-1))</f>
        <v>0</v>
      </c>
      <c r="X975" s="152"/>
      <c r="Y975" s="152"/>
      <c r="Z975" s="152"/>
      <c r="AA975" s="152"/>
      <c r="AB975" s="152"/>
    </row>
    <row r="976" spans="1:28" hidden="1" outlineLevel="1">
      <c r="A976" s="152"/>
      <c r="B976" s="190" t="str">
        <f t="shared" ca="1" si="1390"/>
        <v>RL Capex 2035-36</v>
      </c>
      <c r="C976" s="1429"/>
      <c r="D976" s="1429"/>
      <c r="E976" s="1429"/>
      <c r="F976" s="1429"/>
      <c r="G976" s="1429"/>
      <c r="H976" s="1429"/>
      <c r="I976" s="1429"/>
      <c r="J976" s="1429"/>
      <c r="K976" s="1429"/>
      <c r="L976" s="1429"/>
      <c r="M976" s="1429"/>
      <c r="N976" s="1429"/>
      <c r="O976" s="1429"/>
      <c r="P976" s="1429"/>
      <c r="Q976" s="1429"/>
      <c r="R976" s="1429"/>
      <c r="S976" s="1429"/>
      <c r="T976" s="1429"/>
      <c r="U976" s="1429"/>
      <c r="V976" s="1424"/>
      <c r="W976" s="1423">
        <f>W928</f>
        <v>0</v>
      </c>
      <c r="X976" s="152"/>
      <c r="Y976" s="152"/>
      <c r="Z976" s="152"/>
      <c r="AA976" s="152"/>
      <c r="AB976" s="152"/>
    </row>
    <row r="977" spans="1:28" hidden="1" outlineLevel="1">
      <c r="A977" s="152"/>
      <c r="B977" s="200"/>
      <c r="C977" s="1423"/>
      <c r="D977" s="1423"/>
      <c r="E977" s="1423"/>
      <c r="F977" s="1423"/>
      <c r="G977" s="1423"/>
      <c r="H977" s="1423"/>
      <c r="I977" s="1423"/>
      <c r="J977" s="1423"/>
      <c r="K977" s="1423"/>
      <c r="L977" s="1423"/>
      <c r="M977" s="1423"/>
      <c r="N977" s="1423"/>
      <c r="O977" s="1423"/>
      <c r="P977" s="1423"/>
      <c r="Q977" s="1423"/>
      <c r="R977" s="1423"/>
      <c r="S977" s="1423"/>
      <c r="T977" s="1423"/>
      <c r="U977" s="1423"/>
      <c r="V977" s="1423"/>
      <c r="W977" s="1423"/>
      <c r="X977" s="152"/>
      <c r="Y977" s="152"/>
      <c r="Z977" s="152"/>
      <c r="AA977" s="152"/>
      <c r="AB977" s="152"/>
    </row>
    <row r="978" spans="1:28" collapsed="1">
      <c r="A978" s="194"/>
      <c r="B978" s="204" t="s">
        <v>123</v>
      </c>
      <c r="C978" s="1430">
        <f ca="1">(IF(OR($C928&lt;&gt;"n/a",C928&lt;&gt;"n/a"),IF(SUM(C931:C953)=0,0,IF((SUMPRODUCT(C931:C953,C955:C977)/SUM(C931:C953))&lt;0,1,(SUMPRODUCT(C931:C953,C955:C977)/SUM(C931:C953)))),"n/a"))</f>
        <v>0</v>
      </c>
      <c r="D978" s="1430">
        <f ca="1">(IF(OR($C928&lt;&gt;"n/a",D928&lt;&gt;"n/a"),IF(SUM(D931:D953)=0,0,IF((SUMPRODUCT(D931:D953,D955:D977)/SUM(D931:D953))&lt;0,1,(SUMPRODUCT(D931:D953,D955:D977)/SUM(D931:D953)))),"n/a"))</f>
        <v>0</v>
      </c>
      <c r="E978" s="1430">
        <f t="shared" ref="E978:W978" ca="1" si="1391">(IF(OR($C928&lt;&gt;"n/a",E928&lt;&gt;"n/a"),IF(SUM(E931:E953)=0,0,IF((SUMPRODUCT(E931:E953,E955:E977)/SUM(E931:E953))&lt;0,1,(SUMPRODUCT(E931:E953,E955:E977)/SUM(E931:E953)))),"n/a"))</f>
        <v>0</v>
      </c>
      <c r="F978" s="1430">
        <f t="shared" ca="1" si="1391"/>
        <v>0</v>
      </c>
      <c r="G978" s="1430">
        <f t="shared" ca="1" si="1391"/>
        <v>0</v>
      </c>
      <c r="H978" s="1430">
        <f t="shared" ca="1" si="1391"/>
        <v>0</v>
      </c>
      <c r="I978" s="1430">
        <f t="shared" ca="1" si="1391"/>
        <v>0</v>
      </c>
      <c r="J978" s="1430">
        <f t="shared" ca="1" si="1391"/>
        <v>0</v>
      </c>
      <c r="K978" s="1430">
        <f t="shared" ca="1" si="1391"/>
        <v>0</v>
      </c>
      <c r="L978" s="1430">
        <f t="shared" ca="1" si="1391"/>
        <v>0</v>
      </c>
      <c r="M978" s="1430">
        <f t="shared" ca="1" si="1391"/>
        <v>0</v>
      </c>
      <c r="N978" s="1430">
        <f t="shared" ca="1" si="1391"/>
        <v>0</v>
      </c>
      <c r="O978" s="1430">
        <f t="shared" ca="1" si="1391"/>
        <v>0</v>
      </c>
      <c r="P978" s="1430">
        <f t="shared" ca="1" si="1391"/>
        <v>0</v>
      </c>
      <c r="Q978" s="1430">
        <f t="shared" ca="1" si="1391"/>
        <v>0</v>
      </c>
      <c r="R978" s="1430">
        <f t="shared" ca="1" si="1391"/>
        <v>0</v>
      </c>
      <c r="S978" s="1430">
        <f t="shared" ca="1" si="1391"/>
        <v>0</v>
      </c>
      <c r="T978" s="1430">
        <f t="shared" ca="1" si="1391"/>
        <v>0</v>
      </c>
      <c r="U978" s="1430">
        <f t="shared" ca="1" si="1391"/>
        <v>0</v>
      </c>
      <c r="V978" s="1430">
        <f t="shared" ca="1" si="1391"/>
        <v>0</v>
      </c>
      <c r="W978" s="1430">
        <f t="shared" ca="1" si="1391"/>
        <v>0</v>
      </c>
      <c r="X978" s="152"/>
      <c r="Y978" s="152"/>
      <c r="Z978" s="152"/>
      <c r="AA978" s="152"/>
      <c r="AB978" s="152"/>
    </row>
    <row r="979" spans="1:28">
      <c r="A979" s="152"/>
      <c r="B979" s="152"/>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52"/>
      <c r="Y979" s="152"/>
      <c r="Z979" s="152"/>
      <c r="AA979" s="152"/>
      <c r="AB979" s="152"/>
    </row>
    <row r="980" spans="1:28">
      <c r="A980" s="269" t="s">
        <v>20</v>
      </c>
      <c r="B980" s="270">
        <f>VLOOKUP($A980,'RFM input'!$E$7:$F$56,2,FALSE)</f>
        <v>0</v>
      </c>
      <c r="C980" s="1431"/>
      <c r="D980" s="1431"/>
      <c r="E980" s="1432"/>
      <c r="F980" s="1432"/>
      <c r="G980" s="1432"/>
      <c r="H980" s="1432"/>
      <c r="I980" s="1432"/>
      <c r="J980" s="1432"/>
      <c r="K980" s="1432"/>
      <c r="L980" s="1432"/>
      <c r="M980" s="1432"/>
      <c r="N980" s="1432"/>
      <c r="O980" s="1432"/>
      <c r="P980" s="1432"/>
      <c r="Q980" s="1432"/>
      <c r="R980" s="1432"/>
      <c r="S980" s="1432"/>
      <c r="T980" s="1432"/>
      <c r="U980" s="1432"/>
      <c r="V980" s="1432"/>
      <c r="W980" s="1432"/>
      <c r="X980" s="152"/>
      <c r="Y980" s="152"/>
      <c r="Z980" s="152"/>
      <c r="AA980" s="152"/>
      <c r="AB980" s="152"/>
    </row>
    <row r="981" spans="1:28">
      <c r="A981" s="215">
        <f>VALUE(REPLACE(A980,1,12,""))</f>
        <v>19</v>
      </c>
      <c r="B981" s="193" t="s">
        <v>126</v>
      </c>
      <c r="C981" s="1416">
        <f ca="1">IF($D$6='TAB roll forward'!$H$4,OFFSET('TAB roll forward'!$H$7,A981,0),"enter input")</f>
        <v>0</v>
      </c>
      <c r="D981" s="1417">
        <f>IF(LEFT(D$6,4)&lt;LEFT('RFM input'!$G$60,4),"enter input",IF(LEFT(D$6,4)&gt;LEFT('RFM input'!$Q$60,4),0,
INDEX('RFM input'!$G$61:$Q$110,$A981,MATCH(D$6,'RFM input'!$G$60:$Q$60,0))
   -INDEX('RFM input'!$G$115:$Q$164,$A981,MATCH(D$6,'RFM input'!$G$60:$Q$60,0))))</f>
        <v>0</v>
      </c>
      <c r="E981" s="1417">
        <f>IF(LEFT(E$6,4)&lt;LEFT('RFM input'!$G$60,4),"enter input",IF(LEFT(E$6,4)&gt;LEFT('RFM input'!$Q$60,4),0,
INDEX('RFM input'!$G$61:$Q$110,$A981,MATCH(E$6,'RFM input'!$G$60:$Q$60,0))
   -INDEX('RFM input'!$G$115:$Q$164,$A981,MATCH(E$6,'RFM input'!$G$60:$Q$60,0))))</f>
        <v>0</v>
      </c>
      <c r="F981" s="1417">
        <f>IF(LEFT(F$6,4)&lt;LEFT('RFM input'!$G$60,4),"enter input",IF(LEFT(F$6,4)&gt;LEFT('RFM input'!$Q$60,4),0,
INDEX('RFM input'!$G$61:$Q$110,$A981,MATCH(F$6,'RFM input'!$G$60:$Q$60,0))
   -INDEX('RFM input'!$G$115:$Q$164,$A981,MATCH(F$6,'RFM input'!$G$60:$Q$60,0))))</f>
        <v>0</v>
      </c>
      <c r="G981" s="1417">
        <f>IF(LEFT(G$6,4)&lt;LEFT('RFM input'!$G$60,4),"enter input",IF(LEFT(G$6,4)&gt;LEFT('RFM input'!$Q$60,4),0,
INDEX('RFM input'!$G$61:$Q$110,$A981,MATCH(G$6,'RFM input'!$G$60:$Q$60,0))
   -INDEX('RFM input'!$G$115:$Q$164,$A981,MATCH(G$6,'RFM input'!$G$60:$Q$60,0))))</f>
        <v>0</v>
      </c>
      <c r="H981" s="1417">
        <f>IF(LEFT(H$6,4)&lt;LEFT('RFM input'!$G$60,4),"enter input",IF(LEFT(H$6,4)&gt;LEFT('RFM input'!$Q$60,4),0,
INDEX('RFM input'!$G$61:$Q$110,$A981,MATCH(H$6,'RFM input'!$G$60:$Q$60,0))
   -INDEX('RFM input'!$G$115:$Q$164,$A981,MATCH(H$6,'RFM input'!$G$60:$Q$60,0))))</f>
        <v>0</v>
      </c>
      <c r="I981" s="1417">
        <f>IF(LEFT(I$6,4)&lt;LEFT('RFM input'!$G$60,4),"enter input",IF(LEFT(I$6,4)&gt;LEFT('RFM input'!$Q$60,4),0,
INDEX('RFM input'!$G$61:$Q$110,$A981,MATCH(I$6,'RFM input'!$G$60:$Q$60,0))
   -INDEX('RFM input'!$G$115:$Q$164,$A981,MATCH(I$6,'RFM input'!$G$60:$Q$60,0))))</f>
        <v>0</v>
      </c>
      <c r="J981" s="1417">
        <f>IF(LEFT(J$6,4)&lt;LEFT('RFM input'!$G$60,4),"enter input",IF(LEFT(J$6,4)&gt;LEFT('RFM input'!$Q$60,4),0,
INDEX('RFM input'!$G$61:$Q$110,$A981,MATCH(J$6,'RFM input'!$G$60:$Q$60,0))
   -INDEX('RFM input'!$G$115:$Q$164,$A981,MATCH(J$6,'RFM input'!$G$60:$Q$60,0))))</f>
        <v>0</v>
      </c>
      <c r="K981" s="1417">
        <f>IF(LEFT(K$6,4)&lt;LEFT('RFM input'!$G$60,4),"enter input",IF(LEFT(K$6,4)&gt;LEFT('RFM input'!$Q$60,4),0,
INDEX('RFM input'!$G$61:$Q$110,$A981,MATCH(K$6,'RFM input'!$G$60:$Q$60,0))
   -INDEX('RFM input'!$G$115:$Q$164,$A981,MATCH(K$6,'RFM input'!$G$60:$Q$60,0))))</f>
        <v>0</v>
      </c>
      <c r="L981" s="1417">
        <f>IF(LEFT(L$6,4)&lt;LEFT('RFM input'!$G$60,4),"enter input",IF(LEFT(L$6,4)&gt;LEFT('RFM input'!$Q$60,4),0,
INDEX('RFM input'!$G$61:$Q$110,$A981,MATCH(L$6,'RFM input'!$G$60:$Q$60,0))
   -INDEX('RFM input'!$G$115:$Q$164,$A981,MATCH(L$6,'RFM input'!$G$60:$Q$60,0))))</f>
        <v>0</v>
      </c>
      <c r="M981" s="1417">
        <f>IF(LEFT(M$6,4)&lt;LEFT('RFM input'!$G$60,4),"enter input",IF(LEFT(M$6,4)&gt;LEFT('RFM input'!$Q$60,4),0,
INDEX('RFM input'!$G$61:$Q$110,$A981,MATCH(M$6,'RFM input'!$G$60:$Q$60,0))
   -INDEX('RFM input'!$G$115:$Q$164,$A981,MATCH(M$6,'RFM input'!$G$60:$Q$60,0))))</f>
        <v>0</v>
      </c>
      <c r="N981" s="1417">
        <f>IF(LEFT(N$6,4)&lt;LEFT('RFM input'!$G$60,4),"enter input",IF(LEFT(N$6,4)&gt;LEFT('RFM input'!$Q$60,4),0,
INDEX('RFM input'!$G$61:$Q$110,$A981,MATCH(N$6,'RFM input'!$G$60:$Q$60,0))
   -INDEX('RFM input'!$G$115:$Q$164,$A981,MATCH(N$6,'RFM input'!$G$60:$Q$60,0))))</f>
        <v>0</v>
      </c>
      <c r="O981" s="1417">
        <f>IF(LEFT(O$6,4)&lt;LEFT('RFM input'!$G$60,4),"enter input",IF(LEFT(O$6,4)&gt;LEFT('RFM input'!$Q$60,4),0,
INDEX('RFM input'!$G$61:$Q$110,$A981,MATCH(O$6,'RFM input'!$G$60:$Q$60,0))
   -INDEX('RFM input'!$G$115:$Q$164,$A981,MATCH(O$6,'RFM input'!$G$60:$Q$60,0))))</f>
        <v>0</v>
      </c>
      <c r="P981" s="1417">
        <f>IF(LEFT(P$6,4)&lt;LEFT('RFM input'!$G$60,4),"enter input",IF(LEFT(P$6,4)&gt;LEFT('RFM input'!$Q$60,4),0,
INDEX('RFM input'!$G$61:$Q$110,$A981,MATCH(P$6,'RFM input'!$G$60:$Q$60,0))
   -INDEX('RFM input'!$G$115:$Q$164,$A981,MATCH(P$6,'RFM input'!$G$60:$Q$60,0))))</f>
        <v>0</v>
      </c>
      <c r="Q981" s="1417">
        <f>IF(LEFT(Q$6,4)&lt;LEFT('RFM input'!$G$60,4),"enter input",IF(LEFT(Q$6,4)&gt;LEFT('RFM input'!$Q$60,4),0,
INDEX('RFM input'!$G$61:$Q$110,$A981,MATCH(Q$6,'RFM input'!$G$60:$Q$60,0))
   -INDEX('RFM input'!$G$115:$Q$164,$A981,MATCH(Q$6,'RFM input'!$G$60:$Q$60,0))))</f>
        <v>0</v>
      </c>
      <c r="R981" s="1417">
        <f>IF(LEFT(R$6,4)&lt;LEFT('RFM input'!$G$60,4),"enter input",IF(LEFT(R$6,4)&gt;LEFT('RFM input'!$Q$60,4),0,
INDEX('RFM input'!$G$61:$Q$110,$A981,MATCH(R$6,'RFM input'!$G$60:$Q$60,0))
   -INDEX('RFM input'!$G$115:$Q$164,$A981,MATCH(R$6,'RFM input'!$G$60:$Q$60,0))))</f>
        <v>0</v>
      </c>
      <c r="S981" s="1417">
        <f>IF(LEFT(S$6,4)&lt;LEFT('RFM input'!$G$60,4),"enter input",IF(LEFT(S$6,4)&gt;LEFT('RFM input'!$Q$60,4),0,
INDEX('RFM input'!$G$61:$Q$110,$A981,MATCH(S$6,'RFM input'!$G$60:$Q$60,0))
   -INDEX('RFM input'!$G$115:$Q$164,$A981,MATCH(S$6,'RFM input'!$G$60:$Q$60,0))))</f>
        <v>0</v>
      </c>
      <c r="T981" s="1417">
        <f>IF(LEFT(T$6,4)&lt;LEFT('RFM input'!$G$60,4),"enter input",IF(LEFT(T$6,4)&gt;LEFT('RFM input'!$Q$60,4),0,
INDEX('RFM input'!$G$61:$Q$110,$A981,MATCH(T$6,'RFM input'!$G$60:$Q$60,0))
   -INDEX('RFM input'!$G$115:$Q$164,$A981,MATCH(T$6,'RFM input'!$G$60:$Q$60,0))))</f>
        <v>0</v>
      </c>
      <c r="U981" s="1417">
        <f>IF(LEFT(U$6,4)&lt;LEFT('RFM input'!$G$60,4),"enter input",IF(LEFT(U$6,4)&gt;LEFT('RFM input'!$Q$60,4),0,
INDEX('RFM input'!$G$61:$Q$110,$A981,MATCH(U$6,'RFM input'!$G$60:$Q$60,0))
   -INDEX('RFM input'!$G$115:$Q$164,$A981,MATCH(U$6,'RFM input'!$G$60:$Q$60,0))))</f>
        <v>0</v>
      </c>
      <c r="V981" s="1417">
        <f>IF(LEFT(V$6,4)&lt;LEFT('RFM input'!$G$60,4),"enter input",IF(LEFT(V$6,4)&gt;LEFT('RFM input'!$Q$60,4),0,
INDEX('RFM input'!$G$61:$Q$110,$A981,MATCH(V$6,'RFM input'!$G$60:$Q$60,0))
   -INDEX('RFM input'!$G$115:$Q$164,$A981,MATCH(V$6,'RFM input'!$G$60:$Q$60,0))))</f>
        <v>0</v>
      </c>
      <c r="W981" s="1417">
        <f>IF(LEFT(W$6,4)&lt;LEFT('RFM input'!$G$60,4),"enter input",IF(LEFT(W$6,4)&gt;LEFT('RFM input'!$Q$60,4),0,
INDEX('RFM input'!$G$61:$Q$110,$A981,MATCH(W$6,'RFM input'!$G$60:$Q$60,0))
   -INDEX('RFM input'!$G$115:$Q$164,$A981,MATCH(W$6,'RFM input'!$G$60:$Q$60,0))))</f>
        <v>0</v>
      </c>
      <c r="X981" s="152"/>
      <c r="Y981" s="152"/>
      <c r="Z981" s="152"/>
      <c r="AA981" s="152"/>
      <c r="AB981" s="152"/>
    </row>
    <row r="982" spans="1:28">
      <c r="A982" s="152"/>
      <c r="B982" s="152" t="s">
        <v>205</v>
      </c>
      <c r="C982" s="1418">
        <f ca="1">IF($D$6='TAB roll forward'!$H$4,OFFSET('RFM input'!$S$6,$A981,0),"enter input")</f>
        <v>0</v>
      </c>
      <c r="D982" s="1417">
        <f>IF(LEFT(D$6,4)&lt;=LEFT('RFM input'!$G$60,4),"enter input",IF(LEFT(D$6,4)&gt;LEFT('RFM input'!$Q$60,4),0,
IF(MATCH(D$6,'RFM input'!$H$60:$Q$60,0),INDEX('RFM input'!$T$7:$T$56,$A981,1,1))))</f>
        <v>0</v>
      </c>
      <c r="E982" s="1417">
        <f>IF(LEFT(E$6,4)&lt;=LEFT('RFM input'!$G$60,4),"enter input",IF(LEFT(E$6,4)&gt;LEFT('RFM input'!$Q$60,4),0,
IF(MATCH(E$6,'RFM input'!$H$60:$Q$60,0),INDEX('RFM input'!$T$7:$T$56,$A981,1,1))))</f>
        <v>0</v>
      </c>
      <c r="F982" s="1417">
        <f>IF(LEFT(F$6,4)&lt;=LEFT('RFM input'!$G$60,4),"enter input",IF(LEFT(F$6,4)&gt;LEFT('RFM input'!$Q$60,4),0,
IF(MATCH(F$6,'RFM input'!$H$60:$Q$60,0),INDEX('RFM input'!$T$7:$T$56,$A981,1,1))))</f>
        <v>0</v>
      </c>
      <c r="G982" s="1417">
        <f>IF(LEFT(G$6,4)&lt;=LEFT('RFM input'!$G$60,4),"enter input",IF(LEFT(G$6,4)&gt;LEFT('RFM input'!$Q$60,4),0,
IF(MATCH(G$6,'RFM input'!$H$60:$Q$60,0),INDEX('RFM input'!$T$7:$T$56,$A981,1,1))))</f>
        <v>0</v>
      </c>
      <c r="H982" s="1417">
        <f>IF(LEFT(H$6,4)&lt;=LEFT('RFM input'!$G$60,4),"enter input",IF(LEFT(H$6,4)&gt;LEFT('RFM input'!$Q$60,4),0,
IF(MATCH(H$6,'RFM input'!$H$60:$Q$60,0),INDEX('RFM input'!$T$7:$T$56,$A981,1,1))))</f>
        <v>0</v>
      </c>
      <c r="I982" s="1417">
        <f>IF(LEFT(I$6,4)&lt;=LEFT('RFM input'!$G$60,4),"enter input",IF(LEFT(I$6,4)&gt;LEFT('RFM input'!$Q$60,4),0,
IF(MATCH(I$6,'RFM input'!$H$60:$Q$60,0),INDEX('RFM input'!$T$7:$T$56,$A981,1,1))))</f>
        <v>0</v>
      </c>
      <c r="J982" s="1417">
        <f>IF(LEFT(J$6,4)&lt;=LEFT('RFM input'!$G$60,4),"enter input",IF(LEFT(J$6,4)&gt;LEFT('RFM input'!$Q$60,4),0,
IF(MATCH(J$6,'RFM input'!$H$60:$Q$60,0),INDEX('RFM input'!$T$7:$T$56,$A981,1,1))))</f>
        <v>0</v>
      </c>
      <c r="K982" s="1417">
        <f>IF(LEFT(K$6,4)&lt;=LEFT('RFM input'!$G$60,4),"enter input",IF(LEFT(K$6,4)&gt;LEFT('RFM input'!$Q$60,4),0,
IF(MATCH(K$6,'RFM input'!$H$60:$Q$60,0),INDEX('RFM input'!$T$7:$T$56,$A981,1,1))))</f>
        <v>0</v>
      </c>
      <c r="L982" s="1417">
        <f>IF(LEFT(L$6,4)&lt;=LEFT('RFM input'!$G$60,4),"enter input",IF(LEFT(L$6,4)&gt;LEFT('RFM input'!$Q$60,4),0,
IF(MATCH(L$6,'RFM input'!$H$60:$Q$60,0),INDEX('RFM input'!$T$7:$T$56,$A981,1,1))))</f>
        <v>0</v>
      </c>
      <c r="M982" s="1417">
        <f>IF(LEFT(M$6,4)&lt;=LEFT('RFM input'!$G$60,4),"enter input",IF(LEFT(M$6,4)&gt;LEFT('RFM input'!$Q$60,4),0,
IF(MATCH(M$6,'RFM input'!$H$60:$Q$60,0),INDEX('RFM input'!$T$7:$T$56,$A981,1,1))))</f>
        <v>0</v>
      </c>
      <c r="N982" s="1417">
        <f>IF(LEFT(N$6,4)&lt;=LEFT('RFM input'!$G$60,4),"enter input",IF(LEFT(N$6,4)&gt;LEFT('RFM input'!$Q$60,4),0,
IF(MATCH(N$6,'RFM input'!$H$60:$Q$60,0),INDEX('RFM input'!$T$7:$T$56,$A981,1,1))))</f>
        <v>0</v>
      </c>
      <c r="O982" s="1417">
        <f>IF(LEFT(O$6,4)&lt;=LEFT('RFM input'!$G$60,4),"enter input",IF(LEFT(O$6,4)&gt;LEFT('RFM input'!$Q$60,4),0,
IF(MATCH(O$6,'RFM input'!$H$60:$Q$60,0),INDEX('RFM input'!$T$7:$T$56,$A981,1,1))))</f>
        <v>0</v>
      </c>
      <c r="P982" s="1417">
        <f>IF(LEFT(P$6,4)&lt;=LEFT('RFM input'!$G$60,4),"enter input",IF(LEFT(P$6,4)&gt;LEFT('RFM input'!$Q$60,4),0,
IF(MATCH(P$6,'RFM input'!$H$60:$Q$60,0),INDEX('RFM input'!$T$7:$T$56,$A981,1,1))))</f>
        <v>0</v>
      </c>
      <c r="Q982" s="1417">
        <f>IF(LEFT(Q$6,4)&lt;=LEFT('RFM input'!$G$60,4),"enter input",IF(LEFT(Q$6,4)&gt;LEFT('RFM input'!$Q$60,4),0,
IF(MATCH(Q$6,'RFM input'!$H$60:$Q$60,0),INDEX('RFM input'!$T$7:$T$56,$A981,1,1))))</f>
        <v>0</v>
      </c>
      <c r="R982" s="1417">
        <f>IF(LEFT(R$6,4)&lt;=LEFT('RFM input'!$G$60,4),"enter input",IF(LEFT(R$6,4)&gt;LEFT('RFM input'!$Q$60,4),0,
IF(MATCH(R$6,'RFM input'!$H$60:$Q$60,0),INDEX('RFM input'!$T$7:$T$56,$A981,1,1))))</f>
        <v>0</v>
      </c>
      <c r="S982" s="1417">
        <f>IF(LEFT(S$6,4)&lt;=LEFT('RFM input'!$G$60,4),"enter input",IF(LEFT(S$6,4)&gt;LEFT('RFM input'!$Q$60,4),0,
IF(MATCH(S$6,'RFM input'!$H$60:$Q$60,0),INDEX('RFM input'!$T$7:$T$56,$A981,1,1))))</f>
        <v>0</v>
      </c>
      <c r="T982" s="1417">
        <f>IF(LEFT(T$6,4)&lt;=LEFT('RFM input'!$G$60,4),"enter input",IF(LEFT(T$6,4)&gt;LEFT('RFM input'!$Q$60,4),0,
IF(MATCH(T$6,'RFM input'!$H$60:$Q$60,0),INDEX('RFM input'!$T$7:$T$56,$A981,1,1))))</f>
        <v>0</v>
      </c>
      <c r="U982" s="1417">
        <f>IF(LEFT(U$6,4)&lt;=LEFT('RFM input'!$G$60,4),"enter input",IF(LEFT(U$6,4)&gt;LEFT('RFM input'!$Q$60,4),0,
IF(MATCH(U$6,'RFM input'!$H$60:$Q$60,0),INDEX('RFM input'!$T$7:$T$56,$A981,1,1))))</f>
        <v>0</v>
      </c>
      <c r="V982" s="1417">
        <f>IF(LEFT(V$6,4)&lt;=LEFT('RFM input'!$G$60,4),"enter input",IF(LEFT(V$6,4)&gt;LEFT('RFM input'!$Q$60,4),0,
IF(MATCH(V$6,'RFM input'!$H$60:$Q$60,0),INDEX('RFM input'!$T$7:$T$56,$A981,1,1))))</f>
        <v>0</v>
      </c>
      <c r="W982" s="1417">
        <f>IF(LEFT(W$6,4)&lt;=LEFT('RFM input'!$G$60,4),"enter input",IF(LEFT(W$6,4)&gt;LEFT('RFM input'!$Q$60,4),0,
IF(MATCH(W$6,'RFM input'!$H$60:$Q$60,0),INDEX('RFM input'!$T$7:$T$56,$A981,1,1))))</f>
        <v>0</v>
      </c>
      <c r="X982" s="152"/>
      <c r="Y982" s="152"/>
      <c r="Z982" s="152"/>
      <c r="AA982" s="152"/>
      <c r="AB982" s="152"/>
    </row>
    <row r="983" spans="1:28">
      <c r="A983" s="152"/>
      <c r="B983" s="193" t="s">
        <v>192</v>
      </c>
      <c r="C983" s="1419"/>
      <c r="D983" s="1420">
        <f ca="1">IF(LEFT(D$6,4)&lt;=LEFT('RFM input'!$G$60,4),"enter input",IF(LEFT(D$6,4)&gt;LEFT('RFM input'!$Q$60,4),0,
IF(D$6=(OFFSET('RFM input'!$G$60,0,'RFM input'!$V$7)),OFFSET('RFM input'!$H$411,$A981,0),0)))</f>
        <v>0</v>
      </c>
      <c r="E983" s="1417">
        <f ca="1">IF(LEFT(E$6,4)&lt;=LEFT('RFM input'!$G$60,4),"enter input",IF(LEFT(E$6,4)&gt;LEFT('RFM input'!$Q$60,4),0,
IF(E$6=(OFFSET('RFM input'!$G$60,0,'RFM input'!$V$7)),OFFSET('RFM input'!$H$411,$A981,0),0)))</f>
        <v>0</v>
      </c>
      <c r="F983" s="1417">
        <f ca="1">IF(LEFT(F$6,4)&lt;=LEFT('RFM input'!$G$60,4),"enter input",IF(LEFT(F$6,4)&gt;LEFT('RFM input'!$Q$60,4),0,
IF(F$6=(OFFSET('RFM input'!$G$60,0,'RFM input'!$V$7)),OFFSET('RFM input'!$H$411,$A981,0),0)))</f>
        <v>0</v>
      </c>
      <c r="G983" s="1417">
        <f ca="1">IF(LEFT(G$6,4)&lt;=LEFT('RFM input'!$G$60,4),"enter input",IF(LEFT(G$6,4)&gt;LEFT('RFM input'!$Q$60,4),0,
IF(G$6=(OFFSET('RFM input'!$G$60,0,'RFM input'!$V$7)),OFFSET('RFM input'!$H$411,$A981,0),0)))</f>
        <v>0</v>
      </c>
      <c r="H983" s="1417">
        <f ca="1">IF(LEFT(H$6,4)&lt;=LEFT('RFM input'!$G$60,4),"enter input",IF(LEFT(H$6,4)&gt;LEFT('RFM input'!$Q$60,4),0,
IF(H$6=(OFFSET('RFM input'!$G$60,0,'RFM input'!$V$7)),OFFSET('RFM input'!$H$411,$A981,0),0)))</f>
        <v>0</v>
      </c>
      <c r="I983" s="1417">
        <f ca="1">IF(LEFT(I$6,4)&lt;=LEFT('RFM input'!$G$60,4),"enter input",IF(LEFT(I$6,4)&gt;LEFT('RFM input'!$Q$60,4),0,
IF(I$6=(OFFSET('RFM input'!$G$60,0,'RFM input'!$V$7)),OFFSET('RFM input'!$H$411,$A981,0),0)))</f>
        <v>0</v>
      </c>
      <c r="J983" s="1417">
        <f ca="1">IF(LEFT(J$6,4)&lt;=LEFT('RFM input'!$G$60,4),"enter input",IF(LEFT(J$6,4)&gt;LEFT('RFM input'!$Q$60,4),0,
IF(J$6=(OFFSET('RFM input'!$G$60,0,'RFM input'!$V$7)),OFFSET('RFM input'!$H$411,$A981,0),0)))</f>
        <v>0</v>
      </c>
      <c r="K983" s="1417">
        <f ca="1">IF(LEFT(K$6,4)&lt;=LEFT('RFM input'!$G$60,4),"enter input",IF(LEFT(K$6,4)&gt;LEFT('RFM input'!$Q$60,4),0,
IF(K$6=(OFFSET('RFM input'!$G$60,0,'RFM input'!$V$7)),OFFSET('RFM input'!$H$411,$A981,0),0)))</f>
        <v>0</v>
      </c>
      <c r="L983" s="1417">
        <f ca="1">IF(LEFT(L$6,4)&lt;=LEFT('RFM input'!$G$60,4),"enter input",IF(LEFT(L$6,4)&gt;LEFT('RFM input'!$Q$60,4),0,
IF(L$6=(OFFSET('RFM input'!$G$60,0,'RFM input'!$V$7)),OFFSET('RFM input'!$H$411,$A981,0),0)))</f>
        <v>0</v>
      </c>
      <c r="M983" s="1417">
        <f ca="1">IF(LEFT(M$6,4)&lt;=LEFT('RFM input'!$G$60,4),"enter input",IF(LEFT(M$6,4)&gt;LEFT('RFM input'!$Q$60,4),0,
IF(M$6=(OFFSET('RFM input'!$G$60,0,'RFM input'!$V$7)),OFFSET('RFM input'!$H$411,$A981,0),0)))</f>
        <v>0</v>
      </c>
      <c r="N983" s="1417">
        <f ca="1">IF(LEFT(N$6,4)&lt;=LEFT('RFM input'!$G$60,4),"enter input",IF(LEFT(N$6,4)&gt;LEFT('RFM input'!$Q$60,4),0,
IF(N$6=(OFFSET('RFM input'!$G$60,0,'RFM input'!$V$7)),OFFSET('RFM input'!$H$411,$A981,0),0)))</f>
        <v>0</v>
      </c>
      <c r="O983" s="1417">
        <f ca="1">IF(LEFT(O$6,4)&lt;=LEFT('RFM input'!$G$60,4),"enter input",IF(LEFT(O$6,4)&gt;LEFT('RFM input'!$Q$60,4),0,
IF(O$6=(OFFSET('RFM input'!$G$60,0,'RFM input'!$V$7)),OFFSET('RFM input'!$H$411,$A981,0),0)))</f>
        <v>0</v>
      </c>
      <c r="P983" s="1417">
        <f ca="1">IF(LEFT(P$6,4)&lt;=LEFT('RFM input'!$G$60,4),"enter input",IF(LEFT(P$6,4)&gt;LEFT('RFM input'!$Q$60,4),0,
IF(P$6=(OFFSET('RFM input'!$G$60,0,'RFM input'!$V$7)),OFFSET('RFM input'!$H$411,$A981,0),0)))</f>
        <v>0</v>
      </c>
      <c r="Q983" s="1417">
        <f ca="1">IF(LEFT(Q$6,4)&lt;=LEFT('RFM input'!$G$60,4),"enter input",IF(LEFT(Q$6,4)&gt;LEFT('RFM input'!$Q$60,4),0,
IF(Q$6=(OFFSET('RFM input'!$G$60,0,'RFM input'!$V$7)),OFFSET('RFM input'!$H$411,$A981,0),0)))</f>
        <v>0</v>
      </c>
      <c r="R983" s="1417">
        <f ca="1">IF(LEFT(R$6,4)&lt;=LEFT('RFM input'!$G$60,4),"enter input",IF(LEFT(R$6,4)&gt;LEFT('RFM input'!$Q$60,4),0,
IF(R$6=(OFFSET('RFM input'!$G$60,0,'RFM input'!$V$7)),OFFSET('RFM input'!$H$411,$A981,0),0)))</f>
        <v>0</v>
      </c>
      <c r="S983" s="1417">
        <f ca="1">IF(LEFT(S$6,4)&lt;=LEFT('RFM input'!$G$60,4),"enter input",IF(LEFT(S$6,4)&gt;LEFT('RFM input'!$Q$60,4),0,
IF(S$6=(OFFSET('RFM input'!$G$60,0,'RFM input'!$V$7)),OFFSET('RFM input'!$H$411,$A981,0),0)))</f>
        <v>0</v>
      </c>
      <c r="T983" s="1417">
        <f ca="1">IF(LEFT(T$6,4)&lt;=LEFT('RFM input'!$G$60,4),"enter input",IF(LEFT(T$6,4)&gt;LEFT('RFM input'!$Q$60,4),0,
IF(T$6=(OFFSET('RFM input'!$G$60,0,'RFM input'!$V$7)),OFFSET('RFM input'!$H$411,$A981,0),0)))</f>
        <v>0</v>
      </c>
      <c r="U983" s="1417">
        <f ca="1">IF(LEFT(U$6,4)&lt;=LEFT('RFM input'!$G$60,4),"enter input",IF(LEFT(U$6,4)&gt;LEFT('RFM input'!$Q$60,4),0,
IF(U$6=(OFFSET('RFM input'!$G$60,0,'RFM input'!$V$7)),OFFSET('RFM input'!$H$411,$A981,0),0)))</f>
        <v>0</v>
      </c>
      <c r="V983" s="1417">
        <f ca="1">IF(LEFT(V$6,4)&lt;=LEFT('RFM input'!$G$60,4),"enter input",IF(LEFT(V$6,4)&gt;LEFT('RFM input'!$Q$60,4),0,
IF(V$6=(OFFSET('RFM input'!$G$60,0,'RFM input'!$V$7)),OFFSET('RFM input'!$H$411,$A981,0),0)))</f>
        <v>0</v>
      </c>
      <c r="W983" s="1417">
        <f ca="1">IF(LEFT(W$6,4)&lt;=LEFT('RFM input'!$G$60,4),"enter input",IF(LEFT(W$6,4)&gt;LEFT('RFM input'!$Q$60,4),0,
IF(W$6=(OFFSET('RFM input'!$G$60,0,'RFM input'!$V$7)),OFFSET('RFM input'!$H$411,$A981,0),0)))</f>
        <v>0</v>
      </c>
      <c r="X983" s="152"/>
      <c r="Y983" s="152"/>
      <c r="Z983" s="152"/>
      <c r="AA983" s="152"/>
      <c r="AB983" s="152"/>
    </row>
    <row r="984" spans="1:28">
      <c r="A984" s="152"/>
      <c r="B984" s="193" t="s">
        <v>200</v>
      </c>
      <c r="C984" s="1419"/>
      <c r="D984" s="1418">
        <f ca="1">IF(LEFT(D$6,4)&lt;=LEFT('RFM input'!$G$60,4),"enter input",IF(LEFT(D$6,4)&gt;LEFT('RFM input'!$Q$60,4),0,
IF(D$6=(OFFSET('RFM input'!$G$60,0,'RFM input'!$V$7)),OFFSET('RFM input'!$J$411,$A981,0),0)))</f>
        <v>0</v>
      </c>
      <c r="E984" s="1422">
        <f ca="1">IF(LEFT(E$6,4)&lt;=LEFT('RFM input'!$G$60,4),"enter input",IF(LEFT(E$6,4)&gt;LEFT('RFM input'!$Q$60,4),0,
IF(E$6=(OFFSET('RFM input'!$G$60,0,'RFM input'!$V$7)),OFFSET('RFM input'!$J$411,$A981,0),0)))</f>
        <v>0</v>
      </c>
      <c r="F984" s="1422">
        <f ca="1">IF(LEFT(F$6,4)&lt;=LEFT('RFM input'!$G$60,4),"enter input",IF(LEFT(F$6,4)&gt;LEFT('RFM input'!$Q$60,4),0,
IF(F$6=(OFFSET('RFM input'!$G$60,0,'RFM input'!$V$7)),OFFSET('RFM input'!$J$411,$A981,0),0)))</f>
        <v>0</v>
      </c>
      <c r="G984" s="1422">
        <f ca="1">IF(LEFT(G$6,4)&lt;=LEFT('RFM input'!$G$60,4),"enter input",IF(LEFT(G$6,4)&gt;LEFT('RFM input'!$Q$60,4),0,
IF(G$6=(OFFSET('RFM input'!$G$60,0,'RFM input'!$V$7)),OFFSET('RFM input'!$J$411,$A981,0),0)))</f>
        <v>0</v>
      </c>
      <c r="H984" s="1422">
        <f ca="1">IF(LEFT(H$6,4)&lt;=LEFT('RFM input'!$G$60,4),"enter input",IF(LEFT(H$6,4)&gt;LEFT('RFM input'!$Q$60,4),0,
IF(H$6=(OFFSET('RFM input'!$G$60,0,'RFM input'!$V$7)),OFFSET('RFM input'!$J$411,$A981,0),0)))</f>
        <v>0</v>
      </c>
      <c r="I984" s="1422">
        <f ca="1">IF(LEFT(I$6,4)&lt;=LEFT('RFM input'!$G$60,4),"enter input",IF(LEFT(I$6,4)&gt;LEFT('RFM input'!$Q$60,4),0,
IF(I$6=(OFFSET('RFM input'!$G$60,0,'RFM input'!$V$7)),OFFSET('RFM input'!$J$411,$A981,0),0)))</f>
        <v>0</v>
      </c>
      <c r="J984" s="1422">
        <f ca="1">IF(LEFT(J$6,4)&lt;=LEFT('RFM input'!$G$60,4),"enter input",IF(LEFT(J$6,4)&gt;LEFT('RFM input'!$Q$60,4),0,
IF(J$6=(OFFSET('RFM input'!$G$60,0,'RFM input'!$V$7)),OFFSET('RFM input'!$J$411,$A981,0),0)))</f>
        <v>0</v>
      </c>
      <c r="K984" s="1422">
        <f ca="1">IF(LEFT(K$6,4)&lt;=LEFT('RFM input'!$G$60,4),"enter input",IF(LEFT(K$6,4)&gt;LEFT('RFM input'!$Q$60,4),0,
IF(K$6=(OFFSET('RFM input'!$G$60,0,'RFM input'!$V$7)),OFFSET('RFM input'!$J$411,$A981,0),0)))</f>
        <v>0</v>
      </c>
      <c r="L984" s="1422">
        <f ca="1">IF(LEFT(L$6,4)&lt;=LEFT('RFM input'!$G$60,4),"enter input",IF(LEFT(L$6,4)&gt;LEFT('RFM input'!$Q$60,4),0,
IF(L$6=(OFFSET('RFM input'!$G$60,0,'RFM input'!$V$7)),OFFSET('RFM input'!$J$411,$A981,0),0)))</f>
        <v>0</v>
      </c>
      <c r="M984" s="1422">
        <f ca="1">IF(LEFT(M$6,4)&lt;=LEFT('RFM input'!$G$60,4),"enter input",IF(LEFT(M$6,4)&gt;LEFT('RFM input'!$Q$60,4),0,
IF(M$6=(OFFSET('RFM input'!$G$60,0,'RFM input'!$V$7)),OFFSET('RFM input'!$J$411,$A981,0),0)))</f>
        <v>0</v>
      </c>
      <c r="N984" s="1422">
        <f ca="1">IF(LEFT(N$6,4)&lt;=LEFT('RFM input'!$G$60,4),"enter input",IF(LEFT(N$6,4)&gt;LEFT('RFM input'!$Q$60,4),0,
IF(N$6=(OFFSET('RFM input'!$G$60,0,'RFM input'!$V$7)),OFFSET('RFM input'!$J$411,$A981,0),0)))</f>
        <v>0</v>
      </c>
      <c r="O984" s="1422">
        <f ca="1">IF(LEFT(O$6,4)&lt;=LEFT('RFM input'!$G$60,4),"enter input",IF(LEFT(O$6,4)&gt;LEFT('RFM input'!$Q$60,4),0,
IF(O$6=(OFFSET('RFM input'!$G$60,0,'RFM input'!$V$7)),OFFSET('RFM input'!$J$411,$A981,0),0)))</f>
        <v>0</v>
      </c>
      <c r="P984" s="1422">
        <f ca="1">IF(LEFT(P$6,4)&lt;=LEFT('RFM input'!$G$60,4),"enter input",IF(LEFT(P$6,4)&gt;LEFT('RFM input'!$Q$60,4),0,
IF(P$6=(OFFSET('RFM input'!$G$60,0,'RFM input'!$V$7)),OFFSET('RFM input'!$J$411,$A981,0),0)))</f>
        <v>0</v>
      </c>
      <c r="Q984" s="1422">
        <f ca="1">IF(LEFT(Q$6,4)&lt;=LEFT('RFM input'!$G$60,4),"enter input",IF(LEFT(Q$6,4)&gt;LEFT('RFM input'!$Q$60,4),0,
IF(Q$6=(OFFSET('RFM input'!$G$60,0,'RFM input'!$V$7)),OFFSET('RFM input'!$J$411,$A981,0),0)))</f>
        <v>0</v>
      </c>
      <c r="R984" s="1422">
        <f ca="1">IF(LEFT(R$6,4)&lt;=LEFT('RFM input'!$G$60,4),"enter input",IF(LEFT(R$6,4)&gt;LEFT('RFM input'!$Q$60,4),0,
IF(R$6=(OFFSET('RFM input'!$G$60,0,'RFM input'!$V$7)),OFFSET('RFM input'!$J$411,$A981,0),0)))</f>
        <v>0</v>
      </c>
      <c r="S984" s="1422">
        <f ca="1">IF(LEFT(S$6,4)&lt;=LEFT('RFM input'!$G$60,4),"enter input",IF(LEFT(S$6,4)&gt;LEFT('RFM input'!$Q$60,4),0,
IF(S$6=(OFFSET('RFM input'!$G$60,0,'RFM input'!$V$7)),OFFSET('RFM input'!$J$411,$A981,0),0)))</f>
        <v>0</v>
      </c>
      <c r="T984" s="1422">
        <f ca="1">IF(LEFT(T$6,4)&lt;=LEFT('RFM input'!$G$60,4),"enter input",IF(LEFT(T$6,4)&gt;LEFT('RFM input'!$Q$60,4),0,
IF(T$6=(OFFSET('RFM input'!$G$60,0,'RFM input'!$V$7)),OFFSET('RFM input'!$J$411,$A981,0),0)))</f>
        <v>0</v>
      </c>
      <c r="U984" s="1422">
        <f ca="1">IF(LEFT(U$6,4)&lt;=LEFT('RFM input'!$G$60,4),"enter input",IF(LEFT(U$6,4)&gt;LEFT('RFM input'!$Q$60,4),0,
IF(U$6=(OFFSET('RFM input'!$G$60,0,'RFM input'!$V$7)),OFFSET('RFM input'!$J$411,$A981,0),0)))</f>
        <v>0</v>
      </c>
      <c r="V984" s="1422">
        <f ca="1">IF(LEFT(V$6,4)&lt;=LEFT('RFM input'!$G$60,4),"enter input",IF(LEFT(V$6,4)&gt;LEFT('RFM input'!$Q$60,4),0,
IF(V$6=(OFFSET('RFM input'!$G$60,0,'RFM input'!$V$7)),OFFSET('RFM input'!$J$411,$A981,0),0)))</f>
        <v>0</v>
      </c>
      <c r="W984" s="1422">
        <f ca="1">IF(LEFT(W$6,4)&lt;=LEFT('RFM input'!$G$60,4),"enter input",IF(LEFT(W$6,4)&gt;LEFT('RFM input'!$Q$60,4),0,
IF(W$6=(OFFSET('RFM input'!$G$60,0,'RFM input'!$V$7)),OFFSET('RFM input'!$J$411,$A981,0),0)))</f>
        <v>0</v>
      </c>
      <c r="X984" s="152"/>
      <c r="Y984" s="152"/>
      <c r="Z984" s="152"/>
      <c r="AA984" s="152"/>
      <c r="AB984" s="152"/>
    </row>
    <row r="985" spans="1:28" hidden="1" outlineLevel="1">
      <c r="A985" s="235">
        <v>-1</v>
      </c>
      <c r="B985" s="190" t="s">
        <v>195</v>
      </c>
      <c r="C985" s="1423"/>
      <c r="D985" s="1423">
        <f t="shared" ref="D985" ca="1" si="1392">IF(AND(D983=0,C985=0),0,
IF(AND(D983&lt;&gt;0,C985=0),D983,
IF(AND(D984&lt;&gt;0,C985&lt;&gt;0),(C985-(C985/C1009))+D983,
IF(C1009&lt;1,0,(C985-(C985/C1009))))))</f>
        <v>0</v>
      </c>
      <c r="E985" s="1423">
        <f t="shared" ref="E985" ca="1" si="1393">IF(AND(E983=0,D985=0),0,
IF(AND(E983&lt;&gt;0,D985=0),E983,
IF(AND(E984&lt;&gt;0,D985&lt;&gt;0),(D985-(D985/D1009))+E983,
IF(D1009&lt;1,0,(D985-(D985/D1009))))))</f>
        <v>0</v>
      </c>
      <c r="F985" s="1423">
        <f t="shared" ref="F985" ca="1" si="1394">IF(AND(F983=0,E985=0),0,
IF(AND(F983&lt;&gt;0,E985=0),F983,
IF(AND(F984&lt;&gt;0,E985&lt;&gt;0),(E985-(E985/E1009))+F983,
IF(E1009&lt;1,0,(E985-(E985/E1009))))))</f>
        <v>0</v>
      </c>
      <c r="G985" s="1423">
        <f t="shared" ref="G985" ca="1" si="1395">IF(AND(G983=0,F985=0),0,
IF(AND(G983&lt;&gt;0,F985=0),G983,
IF(AND(G984&lt;&gt;0,F985&lt;&gt;0),(F985-(F985/F1009))+G983,
IF(F1009&lt;1,0,(F985-(F985/F1009))))))</f>
        <v>0</v>
      </c>
      <c r="H985" s="1423">
        <f ca="1">IF(AND(H983=0,G985=0),0,
IF(AND(H983&lt;&gt;0,G985=0),H983,
IF(AND(H984&lt;&gt;0,G985&lt;&gt;0),(G985-(G985/G1009))+H983,
IF(G1009&lt;1,0,(G985-(G985/G1009))))))</f>
        <v>0</v>
      </c>
      <c r="I985" s="1423">
        <f t="shared" ref="I985" ca="1" si="1396">IF(AND(I983=0,H985=0),0,
IF(AND(I983&lt;&gt;0,H985=0),I983,
IF(AND(I984&lt;&gt;0,H985&lt;&gt;0),(H985-(H985/H1009))+I983,
IF(H1009&lt;1,0,(H985-(H985/H1009))))))</f>
        <v>0</v>
      </c>
      <c r="J985" s="1423">
        <f t="shared" ref="J985" ca="1" si="1397">IF(AND(J983=0,I985=0),0,
IF(AND(J983&lt;&gt;0,I985=0),J983,
IF(AND(J984&lt;&gt;0,I985&lt;&gt;0),(I985-(I985/I1009))+J983,
IF(I1009&lt;1,0,(I985-(I985/I1009))))))</f>
        <v>0</v>
      </c>
      <c r="K985" s="1423">
        <f t="shared" ref="K985" ca="1" si="1398">IF(AND(K983=0,J985=0),0,
IF(AND(K983&lt;&gt;0,J985=0),K983,
IF(AND(K984&lt;&gt;0,J985&lt;&gt;0),(J985-(J985/J1009))+K983,
IF(J1009&lt;1,0,(J985-(J985/J1009))))))</f>
        <v>0</v>
      </c>
      <c r="L985" s="1423">
        <f t="shared" ref="L985" ca="1" si="1399">IF(AND(L983=0,K985=0),0,
IF(AND(L983&lt;&gt;0,K985=0),L983,
IF(AND(L984&lt;&gt;0,K985&lt;&gt;0),(K985-(K985/K1009))+L983,
IF(K1009&lt;1,0,(K985-(K985/K1009))))))</f>
        <v>0</v>
      </c>
      <c r="M985" s="1423">
        <f t="shared" ref="M985" ca="1" si="1400">IF(AND(M983=0,L985=0),0,
IF(AND(M983&lt;&gt;0,L985=0),M983,
IF(AND(M984&lt;&gt;0,L985&lt;&gt;0),(L985-(L985/L1009))+M983,
IF(L1009&lt;1,0,(L985-(L985/L1009))))))</f>
        <v>0</v>
      </c>
      <c r="N985" s="1423">
        <f t="shared" ref="N985" ca="1" si="1401">IF(AND(N983=0,M985=0),0,
IF(AND(N983&lt;&gt;0,M985=0),N983,
IF(AND(N984&lt;&gt;0,M985&lt;&gt;0),(M985-(M985/M1009))+N983,
IF(M1009&lt;1,0,(M985-(M985/M1009))))))</f>
        <v>0</v>
      </c>
      <c r="O985" s="1423">
        <f t="shared" ref="O985" ca="1" si="1402">IF(AND(O983=0,N985=0),0,
IF(AND(O983&lt;&gt;0,N985=0),O983,
IF(AND(O984&lt;&gt;0,N985&lt;&gt;0),(N985-(N985/N1009))+O983,
IF(N1009&lt;1,0,(N985-(N985/N1009))))))</f>
        <v>0</v>
      </c>
      <c r="P985" s="1423">
        <f t="shared" ref="P985" ca="1" si="1403">IF(AND(P983=0,O985=0),0,
IF(AND(P983&lt;&gt;0,O985=0),P983,
IF(AND(P984&lt;&gt;0,O985&lt;&gt;0),(O985-(O985/O1009))+P983,
IF(O1009&lt;1,0,(O985-(O985/O1009))))))</f>
        <v>0</v>
      </c>
      <c r="Q985" s="1423">
        <f t="shared" ref="Q985" ca="1" si="1404">IF(AND(Q983=0,P985=0),0,
IF(AND(Q983&lt;&gt;0,P985=0),Q983,
IF(AND(Q984&lt;&gt;0,P985&lt;&gt;0),(P985-(P985/P1009))+Q983,
IF(P1009&lt;1,0,(P985-(P985/P1009))))))</f>
        <v>0</v>
      </c>
      <c r="R985" s="1423">
        <f t="shared" ref="R985" ca="1" si="1405">IF(AND(R983=0,Q985=0),0,
IF(AND(R983&lt;&gt;0,Q985=0),R983,
IF(AND(R984&lt;&gt;0,Q985&lt;&gt;0),(Q985-(Q985/Q1009))+R983,
IF(Q1009&lt;1,0,(Q985-(Q985/Q1009))))))</f>
        <v>0</v>
      </c>
      <c r="S985" s="1423">
        <f t="shared" ref="S985" ca="1" si="1406">IF(AND(S983=0,R985=0),0,
IF(AND(S983&lt;&gt;0,R985=0),S983,
IF(AND(S984&lt;&gt;0,R985&lt;&gt;0),(R985-(R985/R1009))+S983,
IF(R1009&lt;1,0,(R985-(R985/R1009))))))</f>
        <v>0</v>
      </c>
      <c r="T985" s="1423">
        <f t="shared" ref="T985" ca="1" si="1407">IF(AND(T983=0,S985=0),0,
IF(AND(T983&lt;&gt;0,S985=0),T983,
IF(AND(T984&lt;&gt;0,S985&lt;&gt;0),(S985-(S985/S1009))+T983,
IF(S1009&lt;1,0,(S985-(S985/S1009))))))</f>
        <v>0</v>
      </c>
      <c r="U985" s="1423">
        <f t="shared" ref="U985" ca="1" si="1408">IF(AND(U983=0,T985=0),0,
IF(AND(U983&lt;&gt;0,T985=0),U983,
IF(AND(U984&lt;&gt;0,T985&lt;&gt;0),(T985-(T985/T1009))+U983,
IF(T1009&lt;1,0,(T985-(T985/T1009))))))</f>
        <v>0</v>
      </c>
      <c r="V985" s="1423">
        <f t="shared" ref="V985" ca="1" si="1409">IF(AND(V983=0,U985=0),0,
IF(AND(V983&lt;&gt;0,U985=0),V983,
IF(AND(V984&lt;&gt;0,U985&lt;&gt;0),(U985-(U985/U1009))+V983,
IF(U1009&lt;1,0,(U985-(U985/U1009))))))</f>
        <v>0</v>
      </c>
      <c r="W985" s="1423">
        <f t="shared" ref="W985" ca="1" si="1410">IF(AND(W983=0,V985=0),0,
IF(AND(W983&lt;&gt;0,V985=0),W983,
IF(AND(W984&lt;&gt;0,V985&lt;&gt;0),(V985-(V985/V1009))+W983,
IF(V1009&lt;1,0,(V985-(V985/V1009))))))</f>
        <v>0</v>
      </c>
      <c r="X985" s="152"/>
      <c r="Y985" s="152"/>
      <c r="Z985" s="152"/>
      <c r="AA985" s="152"/>
      <c r="AB985" s="152"/>
    </row>
    <row r="986" spans="1:28" hidden="1" outlineLevel="1">
      <c r="A986" s="199">
        <f>A985+1</f>
        <v>0</v>
      </c>
      <c r="B986" s="190" t="s">
        <v>527</v>
      </c>
      <c r="C986" s="1423">
        <f ca="1">C981</f>
        <v>0</v>
      </c>
      <c r="D986" s="1423">
        <f ca="1">IF(C1010="n/a",C986,IFERROR(IF((OFFSET($C986,0,$A986))&lt;0,
MIN(0,C986-(OFFSET($C986,0,$A986)/(OFFSET($C981,-$A985,$A986)))),
MAX(0,C986-(OFFSET($C986,0,$A986)/(OFFSET($C981,-$A985,$A986))))),0))</f>
        <v>0</v>
      </c>
      <c r="E986" s="1423">
        <f t="shared" ref="E986" ca="1" si="1411">IF(D1010="n/a",D986,IFERROR(IF((OFFSET($C986,0,$A986))&lt;0,
MIN(0,D986-(OFFSET($C986,0,$A986)/(OFFSET($C981,-$A985,$A986)))),
MAX(0,D986-(OFFSET($C986,0,$A986)/(OFFSET($C981,-$A985,$A986))))),0))</f>
        <v>0</v>
      </c>
      <c r="F986" s="1423">
        <f t="shared" ref="F986:F987" ca="1" si="1412">IF(E1010="n/a",E986,IFERROR(IF((OFFSET($C986,0,$A986))&lt;0,
MIN(0,E986-(OFFSET($C986,0,$A986)/(OFFSET($C981,-$A985,$A986)))),
MAX(0,E986-(OFFSET($C986,0,$A986)/(OFFSET($C981,-$A985,$A986))))),0))</f>
        <v>0</v>
      </c>
      <c r="G986" s="1423">
        <f t="shared" ref="G986:G988" ca="1" si="1413">IF(F1010="n/a",F986,IFERROR(IF((OFFSET($C986,0,$A986))&lt;0,
MIN(0,F986-(OFFSET($C986,0,$A986)/(OFFSET($C981,-$A985,$A986)))),
MAX(0,F986-(OFFSET($C986,0,$A986)/(OFFSET($C981,-$A985,$A986))))),0))</f>
        <v>0</v>
      </c>
      <c r="H986" s="1423">
        <f t="shared" ref="H986:H989" ca="1" si="1414">IF(G1010="n/a",G986,IFERROR(IF((OFFSET($C986,0,$A986))&lt;0,
MIN(0,G986-(OFFSET($C986,0,$A986)/(OFFSET($C981,-$A985,$A986)))),
MAX(0,G986-(OFFSET($C986,0,$A986)/(OFFSET($C981,-$A985,$A986))))),0))</f>
        <v>0</v>
      </c>
      <c r="I986" s="1423">
        <f t="shared" ref="I986:I990" ca="1" si="1415">IF(H1010="n/a",H986,IFERROR(IF((OFFSET($C986,0,$A986))&lt;0,
MIN(0,H986-(OFFSET($C986,0,$A986)/(OFFSET($C981,-$A985,$A986)))),
MAX(0,H986-(OFFSET($C986,0,$A986)/(OFFSET($C981,-$A985,$A986))))),0))</f>
        <v>0</v>
      </c>
      <c r="J986" s="1423">
        <f t="shared" ref="J986:J991" ca="1" si="1416">IF(I1010="n/a",I986,IFERROR(IF((OFFSET($C986,0,$A986))&lt;0,
MIN(0,I986-(OFFSET($C986,0,$A986)/(OFFSET($C981,-$A985,$A986)))),
MAX(0,I986-(OFFSET($C986,0,$A986)/(OFFSET($C981,-$A985,$A986))))),0))</f>
        <v>0</v>
      </c>
      <c r="K986" s="1423">
        <f t="shared" ref="K986:K992" ca="1" si="1417">IF(J1010="n/a",J986,IFERROR(IF((OFFSET($C986,0,$A986))&lt;0,
MIN(0,J986-(OFFSET($C986,0,$A986)/(OFFSET($C981,-$A985,$A986)))),
MAX(0,J986-(OFFSET($C986,0,$A986)/(OFFSET($C981,-$A985,$A986))))),0))</f>
        <v>0</v>
      </c>
      <c r="L986" s="1423">
        <f t="shared" ref="L986:L993" ca="1" si="1418">IF(K1010="n/a",K986,IFERROR(IF((OFFSET($C986,0,$A986))&lt;0,
MIN(0,K986-(OFFSET($C986,0,$A986)/(OFFSET($C981,-$A985,$A986)))),
MAX(0,K986-(OFFSET($C986,0,$A986)/(OFFSET($C981,-$A985,$A986))))),0))</f>
        <v>0</v>
      </c>
      <c r="M986" s="1423">
        <f t="shared" ref="M986:M994" ca="1" si="1419">IF(L1010="n/a",L986,IFERROR(IF((OFFSET($C986,0,$A986))&lt;0,
MIN(0,L986-(OFFSET($C986,0,$A986)/(OFFSET($C981,-$A985,$A986)))),
MAX(0,L986-(OFFSET($C986,0,$A986)/(OFFSET($C981,-$A985,$A986))))),0))</f>
        <v>0</v>
      </c>
      <c r="N986" s="1423">
        <f t="shared" ref="N986:N995" ca="1" si="1420">IF(M1010="n/a",M986,IFERROR(IF((OFFSET($C986,0,$A986))&lt;0,
MIN(0,M986-(OFFSET($C986,0,$A986)/(OFFSET($C981,-$A985,$A986)))),
MAX(0,M986-(OFFSET($C986,0,$A986)/(OFFSET($C981,-$A985,$A986))))),0))</f>
        <v>0</v>
      </c>
      <c r="O986" s="1423">
        <f t="shared" ref="O986:O996" ca="1" si="1421">IF(N1010="n/a",N986,IFERROR(IF((OFFSET($C986,0,$A986))&lt;0,
MIN(0,N986-(OFFSET($C986,0,$A986)/(OFFSET($C981,-$A985,$A986)))),
MAX(0,N986-(OFFSET($C986,0,$A986)/(OFFSET($C981,-$A985,$A986))))),0))</f>
        <v>0</v>
      </c>
      <c r="P986" s="1423">
        <f t="shared" ref="P986:P997" ca="1" si="1422">IF(O1010="n/a",O986,IFERROR(IF((OFFSET($C986,0,$A986))&lt;0,
MIN(0,O986-(OFFSET($C986,0,$A986)/(OFFSET($C981,-$A985,$A986)))),
MAX(0,O986-(OFFSET($C986,0,$A986)/(OFFSET($C981,-$A985,$A986))))),0))</f>
        <v>0</v>
      </c>
      <c r="Q986" s="1423">
        <f t="shared" ref="Q986:Q998" ca="1" si="1423">IF(P1010="n/a",P986,IFERROR(IF((OFFSET($C986,0,$A986))&lt;0,
MIN(0,P986-(OFFSET($C986,0,$A986)/(OFFSET($C981,-$A985,$A986)))),
MAX(0,P986-(OFFSET($C986,0,$A986)/(OFFSET($C981,-$A985,$A986))))),0))</f>
        <v>0</v>
      </c>
      <c r="R986" s="1423">
        <f t="shared" ref="R986:R999" ca="1" si="1424">IF(Q1010="n/a",Q986,IFERROR(IF((OFFSET($C986,0,$A986))&lt;0,
MIN(0,Q986-(OFFSET($C986,0,$A986)/(OFFSET($C981,-$A985,$A986)))),
MAX(0,Q986-(OFFSET($C986,0,$A986)/(OFFSET($C981,-$A985,$A986))))),0))</f>
        <v>0</v>
      </c>
      <c r="S986" s="1423">
        <f t="shared" ref="S986:S1000" ca="1" si="1425">IF(R1010="n/a",R986,IFERROR(IF((OFFSET($C986,0,$A986))&lt;0,
MIN(0,R986-(OFFSET($C986,0,$A986)/(OFFSET($C981,-$A985,$A986)))),
MAX(0,R986-(OFFSET($C986,0,$A986)/(OFFSET($C981,-$A985,$A986))))),0))</f>
        <v>0</v>
      </c>
      <c r="T986" s="1423">
        <f t="shared" ref="T986:T1001" ca="1" si="1426">IF(S1010="n/a",S986,IFERROR(IF((OFFSET($C986,0,$A986))&lt;0,
MIN(0,S986-(OFFSET($C986,0,$A986)/(OFFSET($C981,-$A985,$A986)))),
MAX(0,S986-(OFFSET($C986,0,$A986)/(OFFSET($C981,-$A985,$A986))))),0))</f>
        <v>0</v>
      </c>
      <c r="U986" s="1423">
        <f t="shared" ref="U986:U1002" ca="1" si="1427">IF(T1010="n/a",T986,IFERROR(IF((OFFSET($C986,0,$A986))&lt;0,
MIN(0,T986-(OFFSET($C986,0,$A986)/(OFFSET($C981,-$A985,$A986)))),
MAX(0,T986-(OFFSET($C986,0,$A986)/(OFFSET($C981,-$A985,$A986))))),0))</f>
        <v>0</v>
      </c>
      <c r="V986" s="1423">
        <f t="shared" ref="V986:V1003" ca="1" si="1428">IF(U1010="n/a",U986,IFERROR(IF((OFFSET($C986,0,$A986))&lt;0,
MIN(0,U986-(OFFSET($C986,0,$A986)/(OFFSET($C981,-$A985,$A986)))),
MAX(0,U986-(OFFSET($C986,0,$A986)/(OFFSET($C981,-$A985,$A986))))),0))</f>
        <v>0</v>
      </c>
      <c r="W986" s="1423">
        <f t="shared" ref="W986:W1004" ca="1" si="1429">IF(V1010="n/a",V986,IFERROR(IF((OFFSET($C986,0,$A986))&lt;0,
MIN(0,V986-(OFFSET($C986,0,$A986)/(OFFSET($C981,-$A985,$A986)))),
MAX(0,V986-(OFFSET($C986,0,$A986)/(OFFSET($C981,-$A985,$A986))))),0))</f>
        <v>0</v>
      </c>
      <c r="X986" s="152"/>
      <c r="Y986" s="152"/>
      <c r="Z986" s="152"/>
      <c r="AA986" s="152"/>
      <c r="AB986" s="152"/>
    </row>
    <row r="987" spans="1:28" hidden="1" outlineLevel="1">
      <c r="A987" s="199">
        <f t="shared" ref="A987:A1006" si="1430">A986+1</f>
        <v>1</v>
      </c>
      <c r="B987" s="190" t="str">
        <f t="shared" ref="B987:B1006" ca="1" si="1431">"Depreciated Net Capex "&amp;OFFSET($C$6,0,A987)</f>
        <v>Depreciated Net Capex 2016-17</v>
      </c>
      <c r="C987" s="1424"/>
      <c r="D987" s="1425">
        <f>D981</f>
        <v>0</v>
      </c>
      <c r="E987" s="1423">
        <f ca="1">IF(D1011="n/a",D987,IFERROR(IF((OFFSET($C987,0,$A987))&lt;0,
MIN(0,D987-(OFFSET($C987,0,$A987)/(OFFSET($C982,-$A986,$A987)))),
MAX(0,D987-(OFFSET($C987,0,$A987)/(OFFSET($C982,-$A986,$A987))))),0))</f>
        <v>0</v>
      </c>
      <c r="F987" s="1423">
        <f t="shared" ca="1" si="1412"/>
        <v>0</v>
      </c>
      <c r="G987" s="1423">
        <f t="shared" ca="1" si="1413"/>
        <v>0</v>
      </c>
      <c r="H987" s="1423">
        <f t="shared" ca="1" si="1414"/>
        <v>0</v>
      </c>
      <c r="I987" s="1423">
        <f t="shared" ca="1" si="1415"/>
        <v>0</v>
      </c>
      <c r="J987" s="1423">
        <f t="shared" ca="1" si="1416"/>
        <v>0</v>
      </c>
      <c r="K987" s="1423">
        <f t="shared" ca="1" si="1417"/>
        <v>0</v>
      </c>
      <c r="L987" s="1423">
        <f t="shared" ca="1" si="1418"/>
        <v>0</v>
      </c>
      <c r="M987" s="1423">
        <f t="shared" ca="1" si="1419"/>
        <v>0</v>
      </c>
      <c r="N987" s="1423">
        <f t="shared" ca="1" si="1420"/>
        <v>0</v>
      </c>
      <c r="O987" s="1423">
        <f t="shared" ca="1" si="1421"/>
        <v>0</v>
      </c>
      <c r="P987" s="1423">
        <f t="shared" ca="1" si="1422"/>
        <v>0</v>
      </c>
      <c r="Q987" s="1423">
        <f t="shared" ca="1" si="1423"/>
        <v>0</v>
      </c>
      <c r="R987" s="1423">
        <f t="shared" ca="1" si="1424"/>
        <v>0</v>
      </c>
      <c r="S987" s="1423">
        <f t="shared" ca="1" si="1425"/>
        <v>0</v>
      </c>
      <c r="T987" s="1423">
        <f t="shared" ca="1" si="1426"/>
        <v>0</v>
      </c>
      <c r="U987" s="1423">
        <f t="shared" ca="1" si="1427"/>
        <v>0</v>
      </c>
      <c r="V987" s="1423">
        <f t="shared" ca="1" si="1428"/>
        <v>0</v>
      </c>
      <c r="W987" s="1423">
        <f t="shared" ca="1" si="1429"/>
        <v>0</v>
      </c>
      <c r="X987" s="152"/>
      <c r="Y987" s="152"/>
      <c r="Z987" s="152"/>
      <c r="AA987" s="152"/>
      <c r="AB987" s="152"/>
    </row>
    <row r="988" spans="1:28" hidden="1" outlineLevel="1">
      <c r="A988" s="199">
        <f t="shared" si="1430"/>
        <v>2</v>
      </c>
      <c r="B988" s="190" t="str">
        <f t="shared" ca="1" si="1431"/>
        <v>Depreciated Net Capex 2017-18</v>
      </c>
      <c r="C988" s="1426"/>
      <c r="D988" s="1427"/>
      <c r="E988" s="1425">
        <f>E981</f>
        <v>0</v>
      </c>
      <c r="F988" s="1423">
        <f ca="1">IF(E1012="n/a",E988,IFERROR(IF((OFFSET($C988,0,$A988))&lt;0,
MIN(0,E988-(OFFSET($C988,0,$A988)/(OFFSET($C983,-$A987,$A988)))),
MAX(0,E988-(OFFSET($C988,0,$A988)/(OFFSET($C983,-$A987,$A988))))),0))</f>
        <v>0</v>
      </c>
      <c r="G988" s="1423">
        <f t="shared" ca="1" si="1413"/>
        <v>0</v>
      </c>
      <c r="H988" s="1423">
        <f t="shared" ca="1" si="1414"/>
        <v>0</v>
      </c>
      <c r="I988" s="1423">
        <f t="shared" ca="1" si="1415"/>
        <v>0</v>
      </c>
      <c r="J988" s="1423">
        <f t="shared" ca="1" si="1416"/>
        <v>0</v>
      </c>
      <c r="K988" s="1423">
        <f t="shared" ca="1" si="1417"/>
        <v>0</v>
      </c>
      <c r="L988" s="1423">
        <f t="shared" ca="1" si="1418"/>
        <v>0</v>
      </c>
      <c r="M988" s="1423">
        <f t="shared" ca="1" si="1419"/>
        <v>0</v>
      </c>
      <c r="N988" s="1423">
        <f t="shared" ca="1" si="1420"/>
        <v>0</v>
      </c>
      <c r="O988" s="1423">
        <f t="shared" ca="1" si="1421"/>
        <v>0</v>
      </c>
      <c r="P988" s="1423">
        <f t="shared" ca="1" si="1422"/>
        <v>0</v>
      </c>
      <c r="Q988" s="1423">
        <f t="shared" ca="1" si="1423"/>
        <v>0</v>
      </c>
      <c r="R988" s="1423">
        <f t="shared" ca="1" si="1424"/>
        <v>0</v>
      </c>
      <c r="S988" s="1423">
        <f t="shared" ca="1" si="1425"/>
        <v>0</v>
      </c>
      <c r="T988" s="1423">
        <f t="shared" ca="1" si="1426"/>
        <v>0</v>
      </c>
      <c r="U988" s="1423">
        <f t="shared" ca="1" si="1427"/>
        <v>0</v>
      </c>
      <c r="V988" s="1423">
        <f t="shared" ca="1" si="1428"/>
        <v>0</v>
      </c>
      <c r="W988" s="1423">
        <f t="shared" ca="1" si="1429"/>
        <v>0</v>
      </c>
      <c r="X988" s="202"/>
      <c r="Y988" s="152"/>
      <c r="Z988" s="152"/>
      <c r="AA988" s="152"/>
      <c r="AB988" s="152"/>
    </row>
    <row r="989" spans="1:28" hidden="1" outlineLevel="1">
      <c r="A989" s="199">
        <f t="shared" si="1430"/>
        <v>3</v>
      </c>
      <c r="B989" s="190" t="str">
        <f t="shared" ca="1" si="1431"/>
        <v>Depreciated Net Capex 2018-19</v>
      </c>
      <c r="C989" s="1426"/>
      <c r="D989" s="1426"/>
      <c r="E989" s="1427"/>
      <c r="F989" s="1428">
        <f>F981</f>
        <v>0</v>
      </c>
      <c r="G989" s="1423">
        <f ca="1">IF(F1013="n/a",F989,IFERROR(IF((OFFSET($C989,0,$A989))&lt;0,
MIN(0,F989-(OFFSET($C989,0,$A989)/(OFFSET($C984,-$A988,$A989)))),
MAX(0,F989-(OFFSET($C989,0,$A989)/(OFFSET($C984,-$A988,$A989))))),0))</f>
        <v>0</v>
      </c>
      <c r="H989" s="1423">
        <f t="shared" ca="1" si="1414"/>
        <v>0</v>
      </c>
      <c r="I989" s="1423">
        <f t="shared" ca="1" si="1415"/>
        <v>0</v>
      </c>
      <c r="J989" s="1423">
        <f t="shared" ca="1" si="1416"/>
        <v>0</v>
      </c>
      <c r="K989" s="1423">
        <f t="shared" ca="1" si="1417"/>
        <v>0</v>
      </c>
      <c r="L989" s="1423">
        <f t="shared" ca="1" si="1418"/>
        <v>0</v>
      </c>
      <c r="M989" s="1423">
        <f t="shared" ca="1" si="1419"/>
        <v>0</v>
      </c>
      <c r="N989" s="1423">
        <f t="shared" ca="1" si="1420"/>
        <v>0</v>
      </c>
      <c r="O989" s="1423">
        <f t="shared" ca="1" si="1421"/>
        <v>0</v>
      </c>
      <c r="P989" s="1423">
        <f t="shared" ca="1" si="1422"/>
        <v>0</v>
      </c>
      <c r="Q989" s="1423">
        <f t="shared" ca="1" si="1423"/>
        <v>0</v>
      </c>
      <c r="R989" s="1423">
        <f t="shared" ca="1" si="1424"/>
        <v>0</v>
      </c>
      <c r="S989" s="1423">
        <f t="shared" ca="1" si="1425"/>
        <v>0</v>
      </c>
      <c r="T989" s="1423">
        <f t="shared" ca="1" si="1426"/>
        <v>0</v>
      </c>
      <c r="U989" s="1423">
        <f t="shared" ca="1" si="1427"/>
        <v>0</v>
      </c>
      <c r="V989" s="1423">
        <f t="shared" ca="1" si="1428"/>
        <v>0</v>
      </c>
      <c r="W989" s="1423">
        <f t="shared" ca="1" si="1429"/>
        <v>0</v>
      </c>
      <c r="X989" s="202"/>
      <c r="Y989" s="202"/>
      <c r="Z989" s="152"/>
      <c r="AA989" s="152"/>
      <c r="AB989" s="152"/>
    </row>
    <row r="990" spans="1:28" hidden="1" outlineLevel="1">
      <c r="A990" s="199">
        <f t="shared" si="1430"/>
        <v>4</v>
      </c>
      <c r="B990" s="190" t="str">
        <f t="shared" ca="1" si="1431"/>
        <v>Depreciated Net Capex 2019-20</v>
      </c>
      <c r="C990" s="1426"/>
      <c r="D990" s="1426"/>
      <c r="E990" s="1426"/>
      <c r="F990" s="1427"/>
      <c r="G990" s="1428">
        <f>G981</f>
        <v>0</v>
      </c>
      <c r="H990" s="1423">
        <f ca="1">IF(G1014="n/a",G990,IFERROR(IF((OFFSET($C990,0,$A990))&lt;0,
MIN(0,G990-(OFFSET($C990,0,$A990)/(OFFSET($C985,-$A989,$A990)))),
MAX(0,G990-(OFFSET($C990,0,$A990)/(OFFSET($C985,-$A989,$A990))))),0))</f>
        <v>0</v>
      </c>
      <c r="I990" s="1423">
        <f t="shared" ca="1" si="1415"/>
        <v>0</v>
      </c>
      <c r="J990" s="1423">
        <f t="shared" ca="1" si="1416"/>
        <v>0</v>
      </c>
      <c r="K990" s="1423">
        <f t="shared" ca="1" si="1417"/>
        <v>0</v>
      </c>
      <c r="L990" s="1423">
        <f t="shared" ca="1" si="1418"/>
        <v>0</v>
      </c>
      <c r="M990" s="1423">
        <f t="shared" ca="1" si="1419"/>
        <v>0</v>
      </c>
      <c r="N990" s="1423">
        <f t="shared" ca="1" si="1420"/>
        <v>0</v>
      </c>
      <c r="O990" s="1423">
        <f t="shared" ca="1" si="1421"/>
        <v>0</v>
      </c>
      <c r="P990" s="1423">
        <f t="shared" ca="1" si="1422"/>
        <v>0</v>
      </c>
      <c r="Q990" s="1423">
        <f t="shared" ca="1" si="1423"/>
        <v>0</v>
      </c>
      <c r="R990" s="1423">
        <f t="shared" ca="1" si="1424"/>
        <v>0</v>
      </c>
      <c r="S990" s="1423">
        <f t="shared" ca="1" si="1425"/>
        <v>0</v>
      </c>
      <c r="T990" s="1423">
        <f t="shared" ca="1" si="1426"/>
        <v>0</v>
      </c>
      <c r="U990" s="1423">
        <f t="shared" ca="1" si="1427"/>
        <v>0</v>
      </c>
      <c r="V990" s="1423">
        <f t="shared" ca="1" si="1428"/>
        <v>0</v>
      </c>
      <c r="W990" s="1423">
        <f t="shared" ca="1" si="1429"/>
        <v>0</v>
      </c>
      <c r="X990" s="202"/>
      <c r="Y990" s="202"/>
      <c r="Z990" s="202"/>
      <c r="AA990" s="152"/>
      <c r="AB990" s="152"/>
    </row>
    <row r="991" spans="1:28" hidden="1" outlineLevel="1">
      <c r="A991" s="199">
        <f t="shared" si="1430"/>
        <v>5</v>
      </c>
      <c r="B991" s="190" t="str">
        <f t="shared" ca="1" si="1431"/>
        <v>Depreciated Net Capex 2020-21</v>
      </c>
      <c r="C991" s="1426"/>
      <c r="D991" s="1426"/>
      <c r="E991" s="1426"/>
      <c r="F991" s="1426"/>
      <c r="G991" s="1427"/>
      <c r="H991" s="1428">
        <f>H981</f>
        <v>0</v>
      </c>
      <c r="I991" s="1423">
        <f ca="1">IF(H1015="n/a",H991,IFERROR(IF((OFFSET($C991,0,$A991))&lt;0,
MIN(0,H991-(OFFSET($C991,0,$A991)/(OFFSET($C986,-$A990,$A991)))),
MAX(0,H991-(OFFSET($C991,0,$A991)/(OFFSET($C986,-$A990,$A991))))),0))</f>
        <v>0</v>
      </c>
      <c r="J991" s="1423">
        <f t="shared" ca="1" si="1416"/>
        <v>0</v>
      </c>
      <c r="K991" s="1423">
        <f t="shared" ca="1" si="1417"/>
        <v>0</v>
      </c>
      <c r="L991" s="1423">
        <f t="shared" ca="1" si="1418"/>
        <v>0</v>
      </c>
      <c r="M991" s="1423">
        <f t="shared" ca="1" si="1419"/>
        <v>0</v>
      </c>
      <c r="N991" s="1423">
        <f t="shared" ca="1" si="1420"/>
        <v>0</v>
      </c>
      <c r="O991" s="1423">
        <f t="shared" ca="1" si="1421"/>
        <v>0</v>
      </c>
      <c r="P991" s="1423">
        <f t="shared" ca="1" si="1422"/>
        <v>0</v>
      </c>
      <c r="Q991" s="1423">
        <f t="shared" ca="1" si="1423"/>
        <v>0</v>
      </c>
      <c r="R991" s="1423">
        <f t="shared" ca="1" si="1424"/>
        <v>0</v>
      </c>
      <c r="S991" s="1423">
        <f t="shared" ca="1" si="1425"/>
        <v>0</v>
      </c>
      <c r="T991" s="1423">
        <f t="shared" ca="1" si="1426"/>
        <v>0</v>
      </c>
      <c r="U991" s="1423">
        <f t="shared" ca="1" si="1427"/>
        <v>0</v>
      </c>
      <c r="V991" s="1423">
        <f t="shared" ca="1" si="1428"/>
        <v>0</v>
      </c>
      <c r="W991" s="1423">
        <f t="shared" ca="1" si="1429"/>
        <v>0</v>
      </c>
      <c r="X991" s="202"/>
      <c r="Y991" s="202"/>
      <c r="Z991" s="202"/>
      <c r="AA991" s="152"/>
      <c r="AB991" s="152"/>
    </row>
    <row r="992" spans="1:28" hidden="1" outlineLevel="1">
      <c r="A992" s="199">
        <f t="shared" si="1430"/>
        <v>6</v>
      </c>
      <c r="B992" s="190" t="str">
        <f t="shared" ca="1" si="1431"/>
        <v>Depreciated Net Capex 2021-22</v>
      </c>
      <c r="C992" s="1426"/>
      <c r="D992" s="1426"/>
      <c r="E992" s="1426"/>
      <c r="F992" s="1426"/>
      <c r="G992" s="1426"/>
      <c r="H992" s="1427"/>
      <c r="I992" s="1428">
        <f>I981</f>
        <v>0</v>
      </c>
      <c r="J992" s="1423">
        <f ca="1">IF(I1016="n/a",I992,IFERROR(IF((OFFSET($C992,0,$A992))&lt;0,
MIN(0,I992-(OFFSET($C992,0,$A992)/(OFFSET($C987,-$A991,$A992)))),
MAX(0,I992-(OFFSET($C992,0,$A992)/(OFFSET($C987,-$A991,$A992))))),0))</f>
        <v>0</v>
      </c>
      <c r="K992" s="1423">
        <f t="shared" ca="1" si="1417"/>
        <v>0</v>
      </c>
      <c r="L992" s="1423">
        <f t="shared" ca="1" si="1418"/>
        <v>0</v>
      </c>
      <c r="M992" s="1423">
        <f t="shared" ca="1" si="1419"/>
        <v>0</v>
      </c>
      <c r="N992" s="1423">
        <f t="shared" ca="1" si="1420"/>
        <v>0</v>
      </c>
      <c r="O992" s="1423">
        <f t="shared" ca="1" si="1421"/>
        <v>0</v>
      </c>
      <c r="P992" s="1423">
        <f t="shared" ca="1" si="1422"/>
        <v>0</v>
      </c>
      <c r="Q992" s="1423">
        <f t="shared" ca="1" si="1423"/>
        <v>0</v>
      </c>
      <c r="R992" s="1423">
        <f t="shared" ca="1" si="1424"/>
        <v>0</v>
      </c>
      <c r="S992" s="1423">
        <f t="shared" ca="1" si="1425"/>
        <v>0</v>
      </c>
      <c r="T992" s="1423">
        <f t="shared" ca="1" si="1426"/>
        <v>0</v>
      </c>
      <c r="U992" s="1423">
        <f t="shared" ca="1" si="1427"/>
        <v>0</v>
      </c>
      <c r="V992" s="1423">
        <f t="shared" ca="1" si="1428"/>
        <v>0</v>
      </c>
      <c r="W992" s="1423">
        <f t="shared" ca="1" si="1429"/>
        <v>0</v>
      </c>
      <c r="X992" s="202"/>
      <c r="Y992" s="202"/>
      <c r="Z992" s="202"/>
      <c r="AA992" s="152"/>
      <c r="AB992" s="152"/>
    </row>
    <row r="993" spans="1:28" hidden="1" outlineLevel="1">
      <c r="A993" s="199">
        <f t="shared" si="1430"/>
        <v>7</v>
      </c>
      <c r="B993" s="190" t="str">
        <f t="shared" ca="1" si="1431"/>
        <v>Depreciated Net Capex 2022-23</v>
      </c>
      <c r="C993" s="1426"/>
      <c r="D993" s="1426"/>
      <c r="E993" s="1426"/>
      <c r="F993" s="1426"/>
      <c r="G993" s="1426"/>
      <c r="H993" s="1426"/>
      <c r="I993" s="1427"/>
      <c r="J993" s="1428">
        <f>J981</f>
        <v>0</v>
      </c>
      <c r="K993" s="1423">
        <f ca="1">IF(J1017="n/a",J993,IFERROR(IF((OFFSET($C993,0,$A993))&lt;0,
MIN(0,J993-(OFFSET($C993,0,$A993)/(OFFSET($C988,-$A992,$A993)))),
MAX(0,J993-(OFFSET($C993,0,$A993)/(OFFSET($C988,-$A992,$A993))))),0))</f>
        <v>0</v>
      </c>
      <c r="L993" s="1423">
        <f t="shared" ca="1" si="1418"/>
        <v>0</v>
      </c>
      <c r="M993" s="1423">
        <f t="shared" ca="1" si="1419"/>
        <v>0</v>
      </c>
      <c r="N993" s="1423">
        <f t="shared" ca="1" si="1420"/>
        <v>0</v>
      </c>
      <c r="O993" s="1423">
        <f t="shared" ca="1" si="1421"/>
        <v>0</v>
      </c>
      <c r="P993" s="1423">
        <f t="shared" ca="1" si="1422"/>
        <v>0</v>
      </c>
      <c r="Q993" s="1423">
        <f t="shared" ca="1" si="1423"/>
        <v>0</v>
      </c>
      <c r="R993" s="1423">
        <f t="shared" ca="1" si="1424"/>
        <v>0</v>
      </c>
      <c r="S993" s="1423">
        <f t="shared" ca="1" si="1425"/>
        <v>0</v>
      </c>
      <c r="T993" s="1423">
        <f t="shared" ca="1" si="1426"/>
        <v>0</v>
      </c>
      <c r="U993" s="1423">
        <f t="shared" ca="1" si="1427"/>
        <v>0</v>
      </c>
      <c r="V993" s="1423">
        <f t="shared" ca="1" si="1428"/>
        <v>0</v>
      </c>
      <c r="W993" s="1423">
        <f t="shared" ca="1" si="1429"/>
        <v>0</v>
      </c>
      <c r="X993" s="202"/>
      <c r="Y993" s="202"/>
      <c r="Z993" s="202"/>
      <c r="AA993" s="152"/>
      <c r="AB993" s="152"/>
    </row>
    <row r="994" spans="1:28" hidden="1" outlineLevel="1">
      <c r="A994" s="199">
        <f t="shared" si="1430"/>
        <v>8</v>
      </c>
      <c r="B994" s="190" t="str">
        <f t="shared" ca="1" si="1431"/>
        <v>Depreciated Net Capex 2023-24</v>
      </c>
      <c r="C994" s="1426"/>
      <c r="D994" s="1426"/>
      <c r="E994" s="1426"/>
      <c r="F994" s="1426"/>
      <c r="G994" s="1426"/>
      <c r="H994" s="1426"/>
      <c r="I994" s="1426"/>
      <c r="J994" s="1427"/>
      <c r="K994" s="1428">
        <f>K981</f>
        <v>0</v>
      </c>
      <c r="L994" s="1423">
        <f ca="1">IF(K1018="n/a",K994,IFERROR(IF((OFFSET($C994,0,$A994))&lt;0,
MIN(0,K994-(OFFSET($C994,0,$A994)/(OFFSET($C989,-$A993,$A994)))),
MAX(0,K994-(OFFSET($C994,0,$A994)/(OFFSET($C989,-$A993,$A994))))),0))</f>
        <v>0</v>
      </c>
      <c r="M994" s="1423">
        <f t="shared" ca="1" si="1419"/>
        <v>0</v>
      </c>
      <c r="N994" s="1423">
        <f t="shared" ca="1" si="1420"/>
        <v>0</v>
      </c>
      <c r="O994" s="1423">
        <f t="shared" ca="1" si="1421"/>
        <v>0</v>
      </c>
      <c r="P994" s="1423">
        <f t="shared" ca="1" si="1422"/>
        <v>0</v>
      </c>
      <c r="Q994" s="1423">
        <f t="shared" ca="1" si="1423"/>
        <v>0</v>
      </c>
      <c r="R994" s="1423">
        <f t="shared" ca="1" si="1424"/>
        <v>0</v>
      </c>
      <c r="S994" s="1423">
        <f t="shared" ca="1" si="1425"/>
        <v>0</v>
      </c>
      <c r="T994" s="1423">
        <f t="shared" ca="1" si="1426"/>
        <v>0</v>
      </c>
      <c r="U994" s="1423">
        <f t="shared" ca="1" si="1427"/>
        <v>0</v>
      </c>
      <c r="V994" s="1423">
        <f t="shared" ca="1" si="1428"/>
        <v>0</v>
      </c>
      <c r="W994" s="1423">
        <f t="shared" ca="1" si="1429"/>
        <v>0</v>
      </c>
      <c r="X994" s="202"/>
      <c r="Y994" s="202"/>
      <c r="Z994" s="202"/>
      <c r="AA994" s="152"/>
      <c r="AB994" s="152"/>
    </row>
    <row r="995" spans="1:28" hidden="1" outlineLevel="1">
      <c r="A995" s="199">
        <f t="shared" si="1430"/>
        <v>9</v>
      </c>
      <c r="B995" s="190" t="str">
        <f t="shared" ca="1" si="1431"/>
        <v>Depreciated Net Capex 2024-25</v>
      </c>
      <c r="C995" s="1426"/>
      <c r="D995" s="1426"/>
      <c r="E995" s="1426"/>
      <c r="F995" s="1426"/>
      <c r="G995" s="1426"/>
      <c r="H995" s="1426"/>
      <c r="I995" s="1426"/>
      <c r="J995" s="1426"/>
      <c r="K995" s="1427"/>
      <c r="L995" s="1428">
        <f>L981</f>
        <v>0</v>
      </c>
      <c r="M995" s="1423">
        <f ca="1">IF(L1019="n/a",L995,IFERROR(IF((OFFSET($C995,0,$A995))&lt;0,
MIN(0,L995-(OFFSET($C995,0,$A995)/(OFFSET($C990,-$A994,$A995)))),
MAX(0,L995-(OFFSET($C995,0,$A995)/(OFFSET($C990,-$A994,$A995))))),0))</f>
        <v>0</v>
      </c>
      <c r="N995" s="1423">
        <f t="shared" ca="1" si="1420"/>
        <v>0</v>
      </c>
      <c r="O995" s="1423">
        <f t="shared" ca="1" si="1421"/>
        <v>0</v>
      </c>
      <c r="P995" s="1423">
        <f t="shared" ca="1" si="1422"/>
        <v>0</v>
      </c>
      <c r="Q995" s="1423">
        <f t="shared" ca="1" si="1423"/>
        <v>0</v>
      </c>
      <c r="R995" s="1423">
        <f t="shared" ca="1" si="1424"/>
        <v>0</v>
      </c>
      <c r="S995" s="1423">
        <f t="shared" ca="1" si="1425"/>
        <v>0</v>
      </c>
      <c r="T995" s="1423">
        <f t="shared" ca="1" si="1426"/>
        <v>0</v>
      </c>
      <c r="U995" s="1423">
        <f t="shared" ca="1" si="1427"/>
        <v>0</v>
      </c>
      <c r="V995" s="1423">
        <f t="shared" ca="1" si="1428"/>
        <v>0</v>
      </c>
      <c r="W995" s="1423">
        <f t="shared" ca="1" si="1429"/>
        <v>0</v>
      </c>
      <c r="X995" s="202"/>
      <c r="Y995" s="202"/>
      <c r="Z995" s="202"/>
      <c r="AA995" s="152"/>
      <c r="AB995" s="152"/>
    </row>
    <row r="996" spans="1:28" hidden="1" outlineLevel="1">
      <c r="A996" s="199">
        <f t="shared" si="1430"/>
        <v>10</v>
      </c>
      <c r="B996" s="190" t="str">
        <f t="shared" ca="1" si="1431"/>
        <v>Depreciated Net Capex 2025-26</v>
      </c>
      <c r="C996" s="1426"/>
      <c r="D996" s="1426"/>
      <c r="E996" s="1426"/>
      <c r="F996" s="1426"/>
      <c r="G996" s="1426"/>
      <c r="H996" s="1426"/>
      <c r="I996" s="1426"/>
      <c r="J996" s="1426"/>
      <c r="K996" s="1426"/>
      <c r="L996" s="1427"/>
      <c r="M996" s="1428">
        <f>M981</f>
        <v>0</v>
      </c>
      <c r="N996" s="1423">
        <f ca="1">IF(M1020="n/a",M996,IFERROR(IF((OFFSET($C996,0,$A996))&lt;0,
MIN(0,M996-(OFFSET($C996,0,$A996)/(OFFSET($C991,-$A995,$A996)))),
MAX(0,M996-(OFFSET($C996,0,$A996)/(OFFSET($C991,-$A995,$A996))))),0))</f>
        <v>0</v>
      </c>
      <c r="O996" s="1423">
        <f t="shared" ca="1" si="1421"/>
        <v>0</v>
      </c>
      <c r="P996" s="1423">
        <f t="shared" ca="1" si="1422"/>
        <v>0</v>
      </c>
      <c r="Q996" s="1423">
        <f t="shared" ca="1" si="1423"/>
        <v>0</v>
      </c>
      <c r="R996" s="1423">
        <f t="shared" ca="1" si="1424"/>
        <v>0</v>
      </c>
      <c r="S996" s="1423">
        <f t="shared" ca="1" si="1425"/>
        <v>0</v>
      </c>
      <c r="T996" s="1423">
        <f t="shared" ca="1" si="1426"/>
        <v>0</v>
      </c>
      <c r="U996" s="1423">
        <f t="shared" ca="1" si="1427"/>
        <v>0</v>
      </c>
      <c r="V996" s="1423">
        <f t="shared" ca="1" si="1428"/>
        <v>0</v>
      </c>
      <c r="W996" s="1423">
        <f t="shared" ca="1" si="1429"/>
        <v>0</v>
      </c>
      <c r="X996" s="202"/>
      <c r="Y996" s="202"/>
      <c r="Z996" s="202"/>
      <c r="AA996" s="152"/>
      <c r="AB996" s="152"/>
    </row>
    <row r="997" spans="1:28" hidden="1" outlineLevel="1">
      <c r="A997" s="199">
        <f t="shared" si="1430"/>
        <v>11</v>
      </c>
      <c r="B997" s="190" t="str">
        <f t="shared" ca="1" si="1431"/>
        <v>Depreciated Net Capex 2026-27</v>
      </c>
      <c r="C997" s="1426"/>
      <c r="D997" s="1426"/>
      <c r="E997" s="1426"/>
      <c r="F997" s="1426"/>
      <c r="G997" s="1426"/>
      <c r="H997" s="1426"/>
      <c r="I997" s="1426"/>
      <c r="J997" s="1426"/>
      <c r="K997" s="1426"/>
      <c r="L997" s="1426"/>
      <c r="M997" s="1427"/>
      <c r="N997" s="1428">
        <f>N981</f>
        <v>0</v>
      </c>
      <c r="O997" s="1423">
        <f ca="1">IF(N1021="n/a",N997,IFERROR(IF((OFFSET($C997,0,$A997))&lt;0,
MIN(0,N997-(OFFSET($C997,0,$A997)/(OFFSET($C992,-$A996,$A997)))),
MAX(0,N997-(OFFSET($C997,0,$A997)/(OFFSET($C992,-$A996,$A997))))),0))</f>
        <v>0</v>
      </c>
      <c r="P997" s="1423">
        <f t="shared" ca="1" si="1422"/>
        <v>0</v>
      </c>
      <c r="Q997" s="1423">
        <f t="shared" ca="1" si="1423"/>
        <v>0</v>
      </c>
      <c r="R997" s="1423">
        <f t="shared" ca="1" si="1424"/>
        <v>0</v>
      </c>
      <c r="S997" s="1423">
        <f t="shared" ca="1" si="1425"/>
        <v>0</v>
      </c>
      <c r="T997" s="1423">
        <f t="shared" ca="1" si="1426"/>
        <v>0</v>
      </c>
      <c r="U997" s="1423">
        <f t="shared" ca="1" si="1427"/>
        <v>0</v>
      </c>
      <c r="V997" s="1423">
        <f t="shared" ca="1" si="1428"/>
        <v>0</v>
      </c>
      <c r="W997" s="1423">
        <f t="shared" ca="1" si="1429"/>
        <v>0</v>
      </c>
      <c r="X997" s="202"/>
      <c r="Y997" s="202"/>
      <c r="Z997" s="202"/>
      <c r="AA997" s="152"/>
      <c r="AB997" s="152"/>
    </row>
    <row r="998" spans="1:28" hidden="1" outlineLevel="1">
      <c r="A998" s="199">
        <f t="shared" si="1430"/>
        <v>12</v>
      </c>
      <c r="B998" s="190" t="str">
        <f t="shared" ca="1" si="1431"/>
        <v>Depreciated Net Capex 2027-28</v>
      </c>
      <c r="C998" s="1426"/>
      <c r="D998" s="1426"/>
      <c r="E998" s="1426"/>
      <c r="F998" s="1426"/>
      <c r="G998" s="1426"/>
      <c r="H998" s="1426"/>
      <c r="I998" s="1426"/>
      <c r="J998" s="1426"/>
      <c r="K998" s="1426"/>
      <c r="L998" s="1426"/>
      <c r="M998" s="1426"/>
      <c r="N998" s="1427"/>
      <c r="O998" s="1428">
        <f>O981</f>
        <v>0</v>
      </c>
      <c r="P998" s="1423">
        <f ca="1">IF(O1022="n/a",O998,IFERROR(IF((OFFSET($C998,0,$A998))&lt;0,
MIN(0,O998-(OFFSET($C998,0,$A998)/(OFFSET($C993,-$A997,$A998)))),
MAX(0,O998-(OFFSET($C998,0,$A998)/(OFFSET($C993,-$A997,$A998))))),0))</f>
        <v>0</v>
      </c>
      <c r="Q998" s="1423">
        <f t="shared" ca="1" si="1423"/>
        <v>0</v>
      </c>
      <c r="R998" s="1423">
        <f t="shared" ca="1" si="1424"/>
        <v>0</v>
      </c>
      <c r="S998" s="1423">
        <f t="shared" ca="1" si="1425"/>
        <v>0</v>
      </c>
      <c r="T998" s="1423">
        <f t="shared" ca="1" si="1426"/>
        <v>0</v>
      </c>
      <c r="U998" s="1423">
        <f t="shared" ca="1" si="1427"/>
        <v>0</v>
      </c>
      <c r="V998" s="1423">
        <f t="shared" ca="1" si="1428"/>
        <v>0</v>
      </c>
      <c r="W998" s="1423">
        <f t="shared" ca="1" si="1429"/>
        <v>0</v>
      </c>
      <c r="X998" s="202"/>
      <c r="Y998" s="202"/>
      <c r="Z998" s="202"/>
      <c r="AA998" s="152"/>
      <c r="AB998" s="152"/>
    </row>
    <row r="999" spans="1:28" hidden="1" outlineLevel="1">
      <c r="A999" s="199">
        <f t="shared" si="1430"/>
        <v>13</v>
      </c>
      <c r="B999" s="190" t="str">
        <f t="shared" ca="1" si="1431"/>
        <v>Depreciated Net Capex 2028-29</v>
      </c>
      <c r="C999" s="1426"/>
      <c r="D999" s="1426"/>
      <c r="E999" s="1426"/>
      <c r="F999" s="1426"/>
      <c r="G999" s="1426"/>
      <c r="H999" s="1426"/>
      <c r="I999" s="1426"/>
      <c r="J999" s="1426"/>
      <c r="K999" s="1426"/>
      <c r="L999" s="1426"/>
      <c r="M999" s="1426"/>
      <c r="N999" s="1426"/>
      <c r="O999" s="1427"/>
      <c r="P999" s="1428">
        <f>P981</f>
        <v>0</v>
      </c>
      <c r="Q999" s="1423">
        <f ca="1">IF(P1023="n/a",P999,IFERROR(IF((OFFSET($C999,0,$A999))&lt;0,
MIN(0,P999-(OFFSET($C999,0,$A999)/(OFFSET($C994,-$A998,$A999)))),
MAX(0,P999-(OFFSET($C999,0,$A999)/(OFFSET($C994,-$A998,$A999))))),0))</f>
        <v>0</v>
      </c>
      <c r="R999" s="1423">
        <f t="shared" ca="1" si="1424"/>
        <v>0</v>
      </c>
      <c r="S999" s="1423">
        <f t="shared" ca="1" si="1425"/>
        <v>0</v>
      </c>
      <c r="T999" s="1423">
        <f t="shared" ca="1" si="1426"/>
        <v>0</v>
      </c>
      <c r="U999" s="1423">
        <f t="shared" ca="1" si="1427"/>
        <v>0</v>
      </c>
      <c r="V999" s="1423">
        <f t="shared" ca="1" si="1428"/>
        <v>0</v>
      </c>
      <c r="W999" s="1423">
        <f t="shared" ca="1" si="1429"/>
        <v>0</v>
      </c>
      <c r="X999" s="202"/>
      <c r="Y999" s="202"/>
      <c r="Z999" s="202"/>
      <c r="AA999" s="152"/>
      <c r="AB999" s="152"/>
    </row>
    <row r="1000" spans="1:28" hidden="1" outlineLevel="1">
      <c r="A1000" s="199">
        <f t="shared" si="1430"/>
        <v>14</v>
      </c>
      <c r="B1000" s="190" t="str">
        <f t="shared" ca="1" si="1431"/>
        <v>Depreciated Net Capex 2029-30</v>
      </c>
      <c r="C1000" s="1426"/>
      <c r="D1000" s="1426"/>
      <c r="E1000" s="1426"/>
      <c r="F1000" s="1426"/>
      <c r="G1000" s="1426"/>
      <c r="H1000" s="1426"/>
      <c r="I1000" s="1426"/>
      <c r="J1000" s="1426"/>
      <c r="K1000" s="1426"/>
      <c r="L1000" s="1426"/>
      <c r="M1000" s="1426"/>
      <c r="N1000" s="1426"/>
      <c r="O1000" s="1426"/>
      <c r="P1000" s="1427"/>
      <c r="Q1000" s="1428">
        <f>Q981</f>
        <v>0</v>
      </c>
      <c r="R1000" s="1423">
        <f ca="1">IF(Q1024="n/a",Q1000,IFERROR(IF((OFFSET($C1000,0,$A1000))&lt;0,
MIN(0,Q1000-(OFFSET($C1000,0,$A1000)/(OFFSET($C995,-$A999,$A1000)))),
MAX(0,Q1000-(OFFSET($C1000,0,$A1000)/(OFFSET($C995,-$A999,$A1000))))),0))</f>
        <v>0</v>
      </c>
      <c r="S1000" s="1423">
        <f t="shared" ca="1" si="1425"/>
        <v>0</v>
      </c>
      <c r="T1000" s="1423">
        <f t="shared" ca="1" si="1426"/>
        <v>0</v>
      </c>
      <c r="U1000" s="1423">
        <f t="shared" ca="1" si="1427"/>
        <v>0</v>
      </c>
      <c r="V1000" s="1423">
        <f t="shared" ca="1" si="1428"/>
        <v>0</v>
      </c>
      <c r="W1000" s="1423">
        <f t="shared" ca="1" si="1429"/>
        <v>0</v>
      </c>
      <c r="X1000" s="202"/>
      <c r="Y1000" s="202"/>
      <c r="Z1000" s="202"/>
      <c r="AA1000" s="152"/>
      <c r="AB1000" s="152"/>
    </row>
    <row r="1001" spans="1:28" hidden="1" outlineLevel="1">
      <c r="A1001" s="199">
        <f t="shared" si="1430"/>
        <v>15</v>
      </c>
      <c r="B1001" s="190" t="str">
        <f t="shared" ca="1" si="1431"/>
        <v>Depreciated Net Capex 2030-31</v>
      </c>
      <c r="C1001" s="1426"/>
      <c r="D1001" s="1426"/>
      <c r="E1001" s="1426"/>
      <c r="F1001" s="1426"/>
      <c r="G1001" s="1426"/>
      <c r="H1001" s="1426"/>
      <c r="I1001" s="1426"/>
      <c r="J1001" s="1426"/>
      <c r="K1001" s="1426"/>
      <c r="L1001" s="1426"/>
      <c r="M1001" s="1426"/>
      <c r="N1001" s="1426"/>
      <c r="O1001" s="1426"/>
      <c r="P1001" s="1426"/>
      <c r="Q1001" s="1427"/>
      <c r="R1001" s="1428">
        <f>R981</f>
        <v>0</v>
      </c>
      <c r="S1001" s="1423">
        <f ca="1">IF(R1025="n/a",R1001,IFERROR(IF((OFFSET($C1001,0,$A1001))&lt;0,
MIN(0,R1001-(OFFSET($C1001,0,$A1001)/(OFFSET($C996,-$A1000,$A1001)))),
MAX(0,R1001-(OFFSET($C1001,0,$A1001)/(OFFSET($C996,-$A1000,$A1001))))),0))</f>
        <v>0</v>
      </c>
      <c r="T1001" s="1423">
        <f t="shared" ca="1" si="1426"/>
        <v>0</v>
      </c>
      <c r="U1001" s="1423">
        <f t="shared" ca="1" si="1427"/>
        <v>0</v>
      </c>
      <c r="V1001" s="1423">
        <f t="shared" ca="1" si="1428"/>
        <v>0</v>
      </c>
      <c r="W1001" s="1423">
        <f t="shared" ca="1" si="1429"/>
        <v>0</v>
      </c>
      <c r="X1001" s="202"/>
      <c r="Y1001" s="202"/>
      <c r="Z1001" s="202"/>
      <c r="AA1001" s="152"/>
      <c r="AB1001" s="152"/>
    </row>
    <row r="1002" spans="1:28" hidden="1" outlineLevel="1">
      <c r="A1002" s="199">
        <f t="shared" si="1430"/>
        <v>16</v>
      </c>
      <c r="B1002" s="190" t="str">
        <f t="shared" ca="1" si="1431"/>
        <v>Depreciated Net Capex 2031-32</v>
      </c>
      <c r="C1002" s="1426"/>
      <c r="D1002" s="1426"/>
      <c r="E1002" s="1426"/>
      <c r="F1002" s="1426"/>
      <c r="G1002" s="1426"/>
      <c r="H1002" s="1426"/>
      <c r="I1002" s="1426"/>
      <c r="J1002" s="1426"/>
      <c r="K1002" s="1426"/>
      <c r="L1002" s="1426"/>
      <c r="M1002" s="1426"/>
      <c r="N1002" s="1426"/>
      <c r="O1002" s="1426"/>
      <c r="P1002" s="1426"/>
      <c r="Q1002" s="1426"/>
      <c r="R1002" s="1427"/>
      <c r="S1002" s="1428">
        <f>S981</f>
        <v>0</v>
      </c>
      <c r="T1002" s="1423">
        <f ca="1">IF(S1026="n/a",S1002,IFERROR(IF((OFFSET($C1002,0,$A1002))&lt;0,
MIN(0,S1002-(OFFSET($C1002,0,$A1002)/(OFFSET($C997,-$A1001,$A1002)))),
MAX(0,S1002-(OFFSET($C1002,0,$A1002)/(OFFSET($C997,-$A1001,$A1002))))),0))</f>
        <v>0</v>
      </c>
      <c r="U1002" s="1423">
        <f t="shared" ca="1" si="1427"/>
        <v>0</v>
      </c>
      <c r="V1002" s="1423">
        <f t="shared" ca="1" si="1428"/>
        <v>0</v>
      </c>
      <c r="W1002" s="1423">
        <f t="shared" ca="1" si="1429"/>
        <v>0</v>
      </c>
      <c r="X1002" s="202"/>
      <c r="Y1002" s="202"/>
      <c r="Z1002" s="202"/>
      <c r="AA1002" s="152"/>
      <c r="AB1002" s="152"/>
    </row>
    <row r="1003" spans="1:28" hidden="1" outlineLevel="1">
      <c r="A1003" s="199">
        <f t="shared" si="1430"/>
        <v>17</v>
      </c>
      <c r="B1003" s="190" t="str">
        <f t="shared" ca="1" si="1431"/>
        <v>Depreciated Net Capex 2032-33</v>
      </c>
      <c r="C1003" s="1426"/>
      <c r="D1003" s="1426"/>
      <c r="E1003" s="1426"/>
      <c r="F1003" s="1426"/>
      <c r="G1003" s="1426"/>
      <c r="H1003" s="1426"/>
      <c r="I1003" s="1426"/>
      <c r="J1003" s="1426"/>
      <c r="K1003" s="1426"/>
      <c r="L1003" s="1426"/>
      <c r="M1003" s="1426"/>
      <c r="N1003" s="1426"/>
      <c r="O1003" s="1426"/>
      <c r="P1003" s="1426"/>
      <c r="Q1003" s="1426"/>
      <c r="R1003" s="1426"/>
      <c r="S1003" s="1427"/>
      <c r="T1003" s="1428">
        <f>T981</f>
        <v>0</v>
      </c>
      <c r="U1003" s="1423">
        <f ca="1">IF(T1027="n/a",T1003,IFERROR(IF((OFFSET($C1003,0,$A1003))&lt;0,
MIN(0,T1003-(OFFSET($C1003,0,$A1003)/(OFFSET($C998,-$A1002,$A1003)))),
MAX(0,T1003-(OFFSET($C1003,0,$A1003)/(OFFSET($C998,-$A1002,$A1003))))),0))</f>
        <v>0</v>
      </c>
      <c r="V1003" s="1423">
        <f t="shared" ca="1" si="1428"/>
        <v>0</v>
      </c>
      <c r="W1003" s="1423">
        <f t="shared" ca="1" si="1429"/>
        <v>0</v>
      </c>
      <c r="X1003" s="202"/>
      <c r="Y1003" s="202"/>
      <c r="Z1003" s="202"/>
      <c r="AA1003" s="152"/>
      <c r="AB1003" s="152"/>
    </row>
    <row r="1004" spans="1:28" hidden="1" outlineLevel="1">
      <c r="A1004" s="199">
        <f t="shared" si="1430"/>
        <v>18</v>
      </c>
      <c r="B1004" s="190" t="str">
        <f t="shared" ca="1" si="1431"/>
        <v>Depreciated Net Capex 2033-34</v>
      </c>
      <c r="C1004" s="1426"/>
      <c r="D1004" s="1426"/>
      <c r="E1004" s="1426"/>
      <c r="F1004" s="1426"/>
      <c r="G1004" s="1426"/>
      <c r="H1004" s="1426"/>
      <c r="I1004" s="1426"/>
      <c r="J1004" s="1426"/>
      <c r="K1004" s="1426"/>
      <c r="L1004" s="1426"/>
      <c r="M1004" s="1426"/>
      <c r="N1004" s="1426"/>
      <c r="O1004" s="1426"/>
      <c r="P1004" s="1426"/>
      <c r="Q1004" s="1426"/>
      <c r="R1004" s="1426"/>
      <c r="S1004" s="1426"/>
      <c r="T1004" s="1427"/>
      <c r="U1004" s="1428">
        <f>U981</f>
        <v>0</v>
      </c>
      <c r="V1004" s="1423">
        <f ca="1">IF(U1028="n/a",U1004,IFERROR(IF((OFFSET($C1004,0,$A1004))&lt;0,
MIN(0,U1004-(OFFSET($C1004,0,$A1004)/(OFFSET($C999,-$A1003,$A1004)))),
MAX(0,U1004-(OFFSET($C1004,0,$A1004)/(OFFSET($C999,-$A1003,$A1004))))),0))</f>
        <v>0</v>
      </c>
      <c r="W1004" s="1423">
        <f t="shared" ca="1" si="1429"/>
        <v>0</v>
      </c>
      <c r="X1004" s="202"/>
      <c r="Y1004" s="202"/>
      <c r="Z1004" s="202"/>
      <c r="AA1004" s="152"/>
      <c r="AB1004" s="152"/>
    </row>
    <row r="1005" spans="1:28" hidden="1" outlineLevel="1">
      <c r="A1005" s="199">
        <f t="shared" si="1430"/>
        <v>19</v>
      </c>
      <c r="B1005" s="190" t="str">
        <f t="shared" ca="1" si="1431"/>
        <v>Depreciated Net Capex 2034-35</v>
      </c>
      <c r="C1005" s="1426"/>
      <c r="D1005" s="1426"/>
      <c r="E1005" s="1426"/>
      <c r="F1005" s="1426"/>
      <c r="G1005" s="1426"/>
      <c r="H1005" s="1426"/>
      <c r="I1005" s="1426"/>
      <c r="J1005" s="1426"/>
      <c r="K1005" s="1426"/>
      <c r="L1005" s="1426"/>
      <c r="M1005" s="1426"/>
      <c r="N1005" s="1426"/>
      <c r="O1005" s="1426"/>
      <c r="P1005" s="1426"/>
      <c r="Q1005" s="1426"/>
      <c r="R1005" s="1426"/>
      <c r="S1005" s="1426"/>
      <c r="T1005" s="1426"/>
      <c r="U1005" s="1427"/>
      <c r="V1005" s="1428">
        <f>V981</f>
        <v>0</v>
      </c>
      <c r="W1005" s="1423">
        <f ca="1">IF(V1029="n/a",V1005,IFERROR(IF((OFFSET($C1005,0,$A1005))&lt;0,
MIN(0,V1005-(OFFSET($C1005,0,$A1005)/(OFFSET($C1000,-$A1004,$A1005)))),
MAX(0,V1005-(OFFSET($C1005,0,$A1005)/(OFFSET($C1000,-$A1004,$A1005))))),0))</f>
        <v>0</v>
      </c>
      <c r="X1005" s="202"/>
      <c r="Y1005" s="202"/>
      <c r="Z1005" s="202"/>
      <c r="AA1005" s="152"/>
      <c r="AB1005" s="152"/>
    </row>
    <row r="1006" spans="1:28" hidden="1" outlineLevel="1">
      <c r="A1006" s="199">
        <f t="shared" si="1430"/>
        <v>20</v>
      </c>
      <c r="B1006" s="190" t="str">
        <f t="shared" ca="1" si="1431"/>
        <v>Depreciated Net Capex 2035-36</v>
      </c>
      <c r="C1006" s="1426"/>
      <c r="D1006" s="1426"/>
      <c r="E1006" s="1426"/>
      <c r="F1006" s="1426"/>
      <c r="G1006" s="1426"/>
      <c r="H1006" s="1426"/>
      <c r="I1006" s="1426"/>
      <c r="J1006" s="1426"/>
      <c r="K1006" s="1426"/>
      <c r="L1006" s="1426"/>
      <c r="M1006" s="1426"/>
      <c r="N1006" s="1426"/>
      <c r="O1006" s="1426"/>
      <c r="P1006" s="1426"/>
      <c r="Q1006" s="1426"/>
      <c r="R1006" s="1426"/>
      <c r="S1006" s="1426"/>
      <c r="T1006" s="1426"/>
      <c r="U1006" s="1426"/>
      <c r="V1006" s="1427"/>
      <c r="W1006" s="1423">
        <f>W981</f>
        <v>0</v>
      </c>
      <c r="X1006" s="152"/>
      <c r="Y1006" s="152"/>
      <c r="Z1006" s="152"/>
      <c r="AA1006" s="152"/>
      <c r="AB1006" s="152"/>
    </row>
    <row r="1007" spans="1:28" hidden="1" outlineLevel="1">
      <c r="A1007" s="152"/>
      <c r="B1007" s="200"/>
      <c r="C1007" s="1423"/>
      <c r="D1007" s="1423"/>
      <c r="E1007" s="1423"/>
      <c r="F1007" s="1423"/>
      <c r="G1007" s="1423"/>
      <c r="H1007" s="1423"/>
      <c r="I1007" s="1423"/>
      <c r="J1007" s="1423"/>
      <c r="K1007" s="1423"/>
      <c r="L1007" s="1423"/>
      <c r="M1007" s="1423"/>
      <c r="N1007" s="1423"/>
      <c r="O1007" s="1423"/>
      <c r="P1007" s="1423"/>
      <c r="Q1007" s="1423"/>
      <c r="R1007" s="1423"/>
      <c r="S1007" s="1423"/>
      <c r="T1007" s="1423"/>
      <c r="U1007" s="1423"/>
      <c r="V1007" s="1423"/>
      <c r="W1007" s="1423"/>
      <c r="X1007" s="152"/>
      <c r="Y1007" s="152"/>
      <c r="Z1007" s="152"/>
      <c r="AA1007" s="152"/>
      <c r="AB1007" s="152"/>
    </row>
    <row r="1008" spans="1:28" hidden="1" outlineLevel="1">
      <c r="A1008" s="152"/>
      <c r="B1008" s="200"/>
      <c r="C1008" s="1423"/>
      <c r="D1008" s="1423"/>
      <c r="E1008" s="1423"/>
      <c r="F1008" s="1423"/>
      <c r="G1008" s="1423"/>
      <c r="H1008" s="1423"/>
      <c r="I1008" s="1423"/>
      <c r="J1008" s="1423"/>
      <c r="K1008" s="1423"/>
      <c r="L1008" s="1423"/>
      <c r="M1008" s="1423"/>
      <c r="N1008" s="1423"/>
      <c r="O1008" s="1423"/>
      <c r="P1008" s="1423"/>
      <c r="Q1008" s="1423"/>
      <c r="R1008" s="1423"/>
      <c r="S1008" s="1423"/>
      <c r="T1008" s="1423"/>
      <c r="U1008" s="1423"/>
      <c r="V1008" s="1423"/>
      <c r="W1008" s="1423"/>
      <c r="X1008" s="152"/>
      <c r="Y1008" s="152"/>
      <c r="Z1008" s="152"/>
      <c r="AA1008" s="152"/>
      <c r="AB1008" s="152"/>
    </row>
    <row r="1009" spans="1:28" hidden="1" outlineLevel="1">
      <c r="A1009" s="152"/>
      <c r="B1009" s="190" t="s">
        <v>194</v>
      </c>
      <c r="C1009" s="1423"/>
      <c r="D1009" s="1423">
        <f t="shared" ref="D1009" ca="1" si="1432">IF(AND(C1009&lt;1,D983=0),0,
IF(D983=0,C1009-1,
IF(C1009&lt;1,D984,
(((C1009-1)*(C985-(C985/(C1009))))+(D983*D984))/(D985))))</f>
        <v>0</v>
      </c>
      <c r="E1009" s="1423">
        <f t="shared" ref="E1009" ca="1" si="1433">IF(AND(D1009&lt;1,E983=0),0,
IF(E983=0,D1009-1,
IF(D1009&lt;1,E984,
(((D1009-1)*(D985-(D985/(D1009))))+(E983*E984))/(E985))))</f>
        <v>0</v>
      </c>
      <c r="F1009" s="1423">
        <f t="shared" ref="F1009" ca="1" si="1434">IF(AND(E1009&lt;1,F983=0),0,
IF(F983=0,E1009-1,
IF(E1009&lt;1,F984,
(((E1009-1)*(E985-(E985/(E1009))))+(F983*F984))/(F985))))</f>
        <v>0</v>
      </c>
      <c r="G1009" s="1423">
        <f t="shared" ref="G1009" ca="1" si="1435">IF(AND(F1009&lt;1,G983=0),0,
IF(G983=0,F1009-1,
IF(F1009&lt;1,G984,
(((F1009-1)*(F985-(F985/(F1009))))+(G983*G984))/(G985))))</f>
        <v>0</v>
      </c>
      <c r="H1009" s="1423">
        <f ca="1">IF(AND(G1009&lt;1,H983=0),0,
IF(H983=0,G1009-1,
IF(G1009&lt;1,H984,
(((G1009-1)*(G985-(G985/(G1009))))+(H983*H984))/(H985))))</f>
        <v>0</v>
      </c>
      <c r="I1009" s="1423">
        <f t="shared" ref="I1009" ca="1" si="1436">IF(AND(H1009&lt;1,I983=0),0,
IF(I983=0,H1009-1,
IF(H1009&lt;1,I984,
(((H1009-1)*(H985-(H985/(H1009))))+(I983*I984))/(I985))))</f>
        <v>0</v>
      </c>
      <c r="J1009" s="1423">
        <f t="shared" ref="J1009" ca="1" si="1437">IF(AND(I1009&lt;1,J983=0),0,
IF(J983=0,I1009-1,
IF(I1009&lt;1,J984,
(((I1009-1)*(I985-(I985/(I1009))))+(J983*J984))/(J985))))</f>
        <v>0</v>
      </c>
      <c r="K1009" s="1423">
        <f t="shared" ref="K1009" ca="1" si="1438">IF(AND(J1009&lt;1,K983=0),0,
IF(K983=0,J1009-1,
IF(J1009&lt;1,K984,
(((J1009-1)*(J985-(J985/(J1009))))+(K983*K984))/(K985))))</f>
        <v>0</v>
      </c>
      <c r="L1009" s="1423">
        <f t="shared" ref="L1009" ca="1" si="1439">IF(AND(K1009&lt;1,L983=0),0,
IF(L983=0,K1009-1,
IF(K1009&lt;1,L984,
(((K1009-1)*(K985-(K985/(K1009))))+(L983*L984))/(L985))))</f>
        <v>0</v>
      </c>
      <c r="M1009" s="1423">
        <f ca="1">IF(AND(L1009&lt;1,M983=0),0,
IF(M983=0,L1009-1,
IF(L1009&lt;1,M984,
(((L1009-1)*(L985-(L985/(L1009))))+(M983*M984))/(M985))))</f>
        <v>0</v>
      </c>
      <c r="N1009" s="1423">
        <f t="shared" ref="N1009" ca="1" si="1440">IF(AND(M1009&lt;1,N983=0),0,
IF(N983=0,M1009-1,
IF(M1009&lt;1,N984,
(((M1009-1)*(M985-(M985/(M1009))))+(N983*N984))/(N985))))</f>
        <v>0</v>
      </c>
      <c r="O1009" s="1423">
        <f t="shared" ref="O1009" ca="1" si="1441">IF(AND(N1009&lt;1,O983=0),0,
IF(O983=0,N1009-1,
IF(N1009&lt;1,O984,
(((N1009-1)*(N985-(N985/(N1009))))+(O983*O984))/(O985))))</f>
        <v>0</v>
      </c>
      <c r="P1009" s="1423">
        <f t="shared" ref="P1009" ca="1" si="1442">IF(AND(O1009&lt;1,P983=0),0,
IF(P983=0,O1009-1,
IF(O1009&lt;1,P984,
(((O1009-1)*(O985-(O985/(O1009))))+(P983*P984))/(P985))))</f>
        <v>0</v>
      </c>
      <c r="Q1009" s="1423">
        <f t="shared" ref="Q1009" ca="1" si="1443">IF(AND(P1009&lt;1,Q983=0),0,
IF(Q983=0,P1009-1,
IF(P1009&lt;1,Q984,
(((P1009-1)*(P985-(P985/(P1009))))+(Q983*Q984))/(Q985))))</f>
        <v>0</v>
      </c>
      <c r="R1009" s="1423">
        <f t="shared" ref="R1009" ca="1" si="1444">IF(AND(Q1009&lt;1,R983=0),0,
IF(R983=0,Q1009-1,
IF(Q1009&lt;1,R984,
(((Q1009-1)*(Q985-(Q985/(Q1009))))+(R983*R984))/(R985))))</f>
        <v>0</v>
      </c>
      <c r="S1009" s="1423">
        <f t="shared" ref="S1009" ca="1" si="1445">IF(AND(R1009&lt;1,S983=0),0,
IF(S983=0,R1009-1,
IF(R1009&lt;1,S984,
(((R1009-1)*(R985-(R985/(R1009))))+(S983*S984))/(S985))))</f>
        <v>0</v>
      </c>
      <c r="T1009" s="1423">
        <f t="shared" ref="T1009" ca="1" si="1446">IF(AND(S1009&lt;1,T983=0),0,
IF(T983=0,S1009-1,
IF(S1009&lt;1,T984,
(((S1009-1)*(S985-(S985/(S1009))))+(T983*T984))/(T985))))</f>
        <v>0</v>
      </c>
      <c r="U1009" s="1423">
        <f t="shared" ref="U1009" ca="1" si="1447">IF(AND(T1009&lt;1,U983=0),0,
IF(U983=0,T1009-1,
IF(T1009&lt;1,U984,
(((T1009-1)*(T985-(T985/(T1009))))+(U983*U984))/(U985))))</f>
        <v>0</v>
      </c>
      <c r="V1009" s="1423">
        <f t="shared" ref="V1009" ca="1" si="1448">IF(AND(U1009&lt;1,V983=0),0,
IF(V983=0,U1009-1,
IF(U1009&lt;1,V984,
(((U1009-1)*(U985-(U985/(U1009))))+(V983*V984))/(V985))))</f>
        <v>0</v>
      </c>
      <c r="W1009" s="1423">
        <f t="shared" ref="W1009" ca="1" si="1449">IF(AND(V1009&lt;1,W983=0),0,
IF(W983=0,V1009-1,
IF(V1009&lt;1,W984,
(((V1009-1)*(V985-(V985/(V1009))))+(W983*W984))/(W985))))</f>
        <v>0</v>
      </c>
      <c r="X1009" s="152"/>
      <c r="Y1009" s="152"/>
      <c r="Z1009" s="152"/>
      <c r="AA1009" s="152"/>
      <c r="AB1009" s="152"/>
    </row>
    <row r="1010" spans="1:28" hidden="1" outlineLevel="1">
      <c r="A1010" s="152"/>
      <c r="B1010" s="190" t="s">
        <v>193</v>
      </c>
      <c r="C1010" s="1423">
        <f ca="1">C982</f>
        <v>0</v>
      </c>
      <c r="D1010" s="1423">
        <f t="shared" ref="D1010" ca="1" si="1450">IF(C1010="n/a","n/a",MAX(0,C1010-1))</f>
        <v>0</v>
      </c>
      <c r="E1010" s="1423">
        <f t="shared" ref="E1010:E1011" ca="1" si="1451">IF(D1010="n/a","n/a",MAX(0,D1010-1))</f>
        <v>0</v>
      </c>
      <c r="F1010" s="1423">
        <f t="shared" ref="F1010:F1012" ca="1" si="1452">IF(E1010="n/a","n/a",MAX(0,E1010-1))</f>
        <v>0</v>
      </c>
      <c r="G1010" s="1423">
        <f t="shared" ref="G1010:G1013" ca="1" si="1453">IF(F1010="n/a","n/a",MAX(0,F1010-1))</f>
        <v>0</v>
      </c>
      <c r="H1010" s="1423">
        <f t="shared" ref="H1010:H1014" ca="1" si="1454">IF(G1010="n/a","n/a",MAX(0,G1010-1))</f>
        <v>0</v>
      </c>
      <c r="I1010" s="1423">
        <f t="shared" ref="I1010:I1015" ca="1" si="1455">IF(H1010="n/a","n/a",MAX(0,H1010-1))</f>
        <v>0</v>
      </c>
      <c r="J1010" s="1423">
        <f t="shared" ref="J1010:J1016" ca="1" si="1456">IF(I1010="n/a","n/a",MAX(0,I1010-1))</f>
        <v>0</v>
      </c>
      <c r="K1010" s="1423">
        <f t="shared" ref="K1010:K1017" ca="1" si="1457">IF(J1010="n/a","n/a",MAX(0,J1010-1))</f>
        <v>0</v>
      </c>
      <c r="L1010" s="1423">
        <f t="shared" ref="L1010:L1018" ca="1" si="1458">IF(K1010="n/a","n/a",MAX(0,K1010-1))</f>
        <v>0</v>
      </c>
      <c r="M1010" s="1423">
        <f t="shared" ref="M1010:M1019" ca="1" si="1459">IF(L1010="n/a","n/a",MAX(0,L1010-1))</f>
        <v>0</v>
      </c>
      <c r="N1010" s="1423">
        <f t="shared" ref="N1010:N1020" ca="1" si="1460">IF(M1010="n/a","n/a",MAX(0,M1010-1))</f>
        <v>0</v>
      </c>
      <c r="O1010" s="1423">
        <f t="shared" ref="O1010:O1021" ca="1" si="1461">IF(N1010="n/a","n/a",MAX(0,N1010-1))</f>
        <v>0</v>
      </c>
      <c r="P1010" s="1423">
        <f t="shared" ref="P1010:P1022" ca="1" si="1462">IF(O1010="n/a","n/a",MAX(0,O1010-1))</f>
        <v>0</v>
      </c>
      <c r="Q1010" s="1423">
        <f t="shared" ref="Q1010:Q1023" ca="1" si="1463">IF(P1010="n/a","n/a",MAX(0,P1010-1))</f>
        <v>0</v>
      </c>
      <c r="R1010" s="1423">
        <f t="shared" ref="R1010:R1024" ca="1" si="1464">IF(Q1010="n/a","n/a",MAX(0,Q1010-1))</f>
        <v>0</v>
      </c>
      <c r="S1010" s="1423">
        <f t="shared" ref="S1010:S1025" ca="1" si="1465">IF(R1010="n/a","n/a",MAX(0,R1010-1))</f>
        <v>0</v>
      </c>
      <c r="T1010" s="1423">
        <f t="shared" ref="T1010:T1026" ca="1" si="1466">IF(S1010="n/a","n/a",MAX(0,S1010-1))</f>
        <v>0</v>
      </c>
      <c r="U1010" s="1423">
        <f t="shared" ref="U1010:U1027" ca="1" si="1467">IF(T1010="n/a","n/a",MAX(0,T1010-1))</f>
        <v>0</v>
      </c>
      <c r="V1010" s="1423">
        <f t="shared" ref="V1010:V1028" ca="1" si="1468">IF(U1010="n/a","n/a",MAX(0,U1010-1))</f>
        <v>0</v>
      </c>
      <c r="W1010" s="1423">
        <f t="shared" ref="W1010:W1028" ca="1" si="1469">IF(V1010="n/a","n/a",MAX(0,V1010-1))</f>
        <v>0</v>
      </c>
      <c r="X1010" s="152"/>
      <c r="Y1010" s="152"/>
      <c r="Z1010" s="152"/>
      <c r="AA1010" s="152"/>
      <c r="AB1010" s="152"/>
    </row>
    <row r="1011" spans="1:28" hidden="1" outlineLevel="1">
      <c r="A1011" s="152"/>
      <c r="B1011" s="190" t="str">
        <f t="shared" ref="B1011:B1030" ca="1" si="1470">"RL Capex "&amp;OFFSET($C$6,0,A987)</f>
        <v>RL Capex 2016-17</v>
      </c>
      <c r="C1011" s="1424"/>
      <c r="D1011" s="1428">
        <f>D982</f>
        <v>0</v>
      </c>
      <c r="E1011" s="1423">
        <f t="shared" si="1451"/>
        <v>0</v>
      </c>
      <c r="F1011" s="1423">
        <f t="shared" si="1452"/>
        <v>0</v>
      </c>
      <c r="G1011" s="1423">
        <f t="shared" si="1453"/>
        <v>0</v>
      </c>
      <c r="H1011" s="1423">
        <f t="shared" si="1454"/>
        <v>0</v>
      </c>
      <c r="I1011" s="1423">
        <f t="shared" si="1455"/>
        <v>0</v>
      </c>
      <c r="J1011" s="1423">
        <f t="shared" si="1456"/>
        <v>0</v>
      </c>
      <c r="K1011" s="1423">
        <f t="shared" si="1457"/>
        <v>0</v>
      </c>
      <c r="L1011" s="1423">
        <f t="shared" si="1458"/>
        <v>0</v>
      </c>
      <c r="M1011" s="1423">
        <f t="shared" si="1459"/>
        <v>0</v>
      </c>
      <c r="N1011" s="1423">
        <f t="shared" si="1460"/>
        <v>0</v>
      </c>
      <c r="O1011" s="1423">
        <f t="shared" si="1461"/>
        <v>0</v>
      </c>
      <c r="P1011" s="1423">
        <f t="shared" si="1462"/>
        <v>0</v>
      </c>
      <c r="Q1011" s="1423">
        <f t="shared" si="1463"/>
        <v>0</v>
      </c>
      <c r="R1011" s="1423">
        <f t="shared" si="1464"/>
        <v>0</v>
      </c>
      <c r="S1011" s="1423">
        <f t="shared" si="1465"/>
        <v>0</v>
      </c>
      <c r="T1011" s="1423">
        <f t="shared" si="1466"/>
        <v>0</v>
      </c>
      <c r="U1011" s="1423">
        <f t="shared" si="1467"/>
        <v>0</v>
      </c>
      <c r="V1011" s="1423">
        <f t="shared" si="1468"/>
        <v>0</v>
      </c>
      <c r="W1011" s="1423">
        <f t="shared" si="1469"/>
        <v>0</v>
      </c>
      <c r="X1011" s="152"/>
      <c r="Y1011" s="152"/>
      <c r="Z1011" s="152"/>
      <c r="AA1011" s="152"/>
      <c r="AB1011" s="152"/>
    </row>
    <row r="1012" spans="1:28" hidden="1" outlineLevel="1">
      <c r="A1012" s="152"/>
      <c r="B1012" s="190" t="str">
        <f t="shared" ca="1" si="1470"/>
        <v>RL Capex 2017-18</v>
      </c>
      <c r="C1012" s="1429"/>
      <c r="D1012" s="1424"/>
      <c r="E1012" s="1428">
        <f>E982</f>
        <v>0</v>
      </c>
      <c r="F1012" s="1423">
        <f t="shared" si="1452"/>
        <v>0</v>
      </c>
      <c r="G1012" s="1423">
        <f t="shared" si="1453"/>
        <v>0</v>
      </c>
      <c r="H1012" s="1423">
        <f t="shared" si="1454"/>
        <v>0</v>
      </c>
      <c r="I1012" s="1423">
        <f t="shared" si="1455"/>
        <v>0</v>
      </c>
      <c r="J1012" s="1423">
        <f t="shared" si="1456"/>
        <v>0</v>
      </c>
      <c r="K1012" s="1423">
        <f t="shared" si="1457"/>
        <v>0</v>
      </c>
      <c r="L1012" s="1423">
        <f t="shared" si="1458"/>
        <v>0</v>
      </c>
      <c r="M1012" s="1423">
        <f t="shared" si="1459"/>
        <v>0</v>
      </c>
      <c r="N1012" s="1423">
        <f t="shared" si="1460"/>
        <v>0</v>
      </c>
      <c r="O1012" s="1423">
        <f t="shared" si="1461"/>
        <v>0</v>
      </c>
      <c r="P1012" s="1423">
        <f t="shared" si="1462"/>
        <v>0</v>
      </c>
      <c r="Q1012" s="1423">
        <f t="shared" si="1463"/>
        <v>0</v>
      </c>
      <c r="R1012" s="1423">
        <f t="shared" si="1464"/>
        <v>0</v>
      </c>
      <c r="S1012" s="1423">
        <f t="shared" si="1465"/>
        <v>0</v>
      </c>
      <c r="T1012" s="1423">
        <f t="shared" si="1466"/>
        <v>0</v>
      </c>
      <c r="U1012" s="1423">
        <f t="shared" si="1467"/>
        <v>0</v>
      </c>
      <c r="V1012" s="1423">
        <f t="shared" si="1468"/>
        <v>0</v>
      </c>
      <c r="W1012" s="1423">
        <f t="shared" si="1469"/>
        <v>0</v>
      </c>
      <c r="X1012" s="152"/>
      <c r="Y1012" s="152"/>
      <c r="Z1012" s="152"/>
      <c r="AA1012" s="152"/>
      <c r="AB1012" s="152"/>
    </row>
    <row r="1013" spans="1:28" hidden="1" outlineLevel="1">
      <c r="A1013" s="152"/>
      <c r="B1013" s="190" t="str">
        <f t="shared" ca="1" si="1470"/>
        <v>RL Capex 2018-19</v>
      </c>
      <c r="C1013" s="1429"/>
      <c r="D1013" s="1429"/>
      <c r="E1013" s="1424"/>
      <c r="F1013" s="1428">
        <f>F982</f>
        <v>0</v>
      </c>
      <c r="G1013" s="1423">
        <f t="shared" si="1453"/>
        <v>0</v>
      </c>
      <c r="H1013" s="1423">
        <f t="shared" si="1454"/>
        <v>0</v>
      </c>
      <c r="I1013" s="1423">
        <f t="shared" si="1455"/>
        <v>0</v>
      </c>
      <c r="J1013" s="1423">
        <f t="shared" si="1456"/>
        <v>0</v>
      </c>
      <c r="K1013" s="1423">
        <f t="shared" si="1457"/>
        <v>0</v>
      </c>
      <c r="L1013" s="1423">
        <f t="shared" si="1458"/>
        <v>0</v>
      </c>
      <c r="M1013" s="1423">
        <f t="shared" si="1459"/>
        <v>0</v>
      </c>
      <c r="N1013" s="1423">
        <f t="shared" si="1460"/>
        <v>0</v>
      </c>
      <c r="O1013" s="1423">
        <f t="shared" si="1461"/>
        <v>0</v>
      </c>
      <c r="P1013" s="1423">
        <f t="shared" si="1462"/>
        <v>0</v>
      </c>
      <c r="Q1013" s="1423">
        <f t="shared" si="1463"/>
        <v>0</v>
      </c>
      <c r="R1013" s="1423">
        <f t="shared" si="1464"/>
        <v>0</v>
      </c>
      <c r="S1013" s="1423">
        <f t="shared" si="1465"/>
        <v>0</v>
      </c>
      <c r="T1013" s="1423">
        <f t="shared" si="1466"/>
        <v>0</v>
      </c>
      <c r="U1013" s="1423">
        <f t="shared" si="1467"/>
        <v>0</v>
      </c>
      <c r="V1013" s="1423">
        <f t="shared" si="1468"/>
        <v>0</v>
      </c>
      <c r="W1013" s="1423">
        <f t="shared" si="1469"/>
        <v>0</v>
      </c>
      <c r="X1013" s="152"/>
      <c r="Y1013" s="152"/>
      <c r="Z1013" s="152"/>
      <c r="AA1013" s="152"/>
      <c r="AB1013" s="152"/>
    </row>
    <row r="1014" spans="1:28" hidden="1" outlineLevel="1">
      <c r="A1014" s="152"/>
      <c r="B1014" s="190" t="str">
        <f t="shared" ca="1" si="1470"/>
        <v>RL Capex 2019-20</v>
      </c>
      <c r="C1014" s="1429"/>
      <c r="D1014" s="1429"/>
      <c r="E1014" s="1429"/>
      <c r="F1014" s="1424"/>
      <c r="G1014" s="1428">
        <f>G982</f>
        <v>0</v>
      </c>
      <c r="H1014" s="1423">
        <f t="shared" si="1454"/>
        <v>0</v>
      </c>
      <c r="I1014" s="1423">
        <f t="shared" si="1455"/>
        <v>0</v>
      </c>
      <c r="J1014" s="1423">
        <f t="shared" si="1456"/>
        <v>0</v>
      </c>
      <c r="K1014" s="1423">
        <f t="shared" si="1457"/>
        <v>0</v>
      </c>
      <c r="L1014" s="1423">
        <f t="shared" si="1458"/>
        <v>0</v>
      </c>
      <c r="M1014" s="1423">
        <f t="shared" si="1459"/>
        <v>0</v>
      </c>
      <c r="N1014" s="1423">
        <f t="shared" si="1460"/>
        <v>0</v>
      </c>
      <c r="O1014" s="1423">
        <f t="shared" si="1461"/>
        <v>0</v>
      </c>
      <c r="P1014" s="1423">
        <f t="shared" si="1462"/>
        <v>0</v>
      </c>
      <c r="Q1014" s="1423">
        <f t="shared" si="1463"/>
        <v>0</v>
      </c>
      <c r="R1014" s="1423">
        <f t="shared" si="1464"/>
        <v>0</v>
      </c>
      <c r="S1014" s="1423">
        <f t="shared" si="1465"/>
        <v>0</v>
      </c>
      <c r="T1014" s="1423">
        <f t="shared" si="1466"/>
        <v>0</v>
      </c>
      <c r="U1014" s="1423">
        <f t="shared" si="1467"/>
        <v>0</v>
      </c>
      <c r="V1014" s="1423">
        <f t="shared" si="1468"/>
        <v>0</v>
      </c>
      <c r="W1014" s="1423">
        <f t="shared" si="1469"/>
        <v>0</v>
      </c>
      <c r="X1014" s="152"/>
      <c r="Y1014" s="152"/>
      <c r="Z1014" s="152"/>
      <c r="AA1014" s="152"/>
      <c r="AB1014" s="152"/>
    </row>
    <row r="1015" spans="1:28" hidden="1" outlineLevel="1">
      <c r="A1015" s="152"/>
      <c r="B1015" s="190" t="str">
        <f t="shared" ca="1" si="1470"/>
        <v>RL Capex 2020-21</v>
      </c>
      <c r="C1015" s="1429"/>
      <c r="D1015" s="1429"/>
      <c r="E1015" s="1429"/>
      <c r="F1015" s="1429"/>
      <c r="G1015" s="1424"/>
      <c r="H1015" s="1428">
        <f>H982</f>
        <v>0</v>
      </c>
      <c r="I1015" s="1423">
        <f t="shared" si="1455"/>
        <v>0</v>
      </c>
      <c r="J1015" s="1423">
        <f t="shared" si="1456"/>
        <v>0</v>
      </c>
      <c r="K1015" s="1423">
        <f t="shared" si="1457"/>
        <v>0</v>
      </c>
      <c r="L1015" s="1423">
        <f t="shared" si="1458"/>
        <v>0</v>
      </c>
      <c r="M1015" s="1423">
        <f t="shared" si="1459"/>
        <v>0</v>
      </c>
      <c r="N1015" s="1423">
        <f t="shared" si="1460"/>
        <v>0</v>
      </c>
      <c r="O1015" s="1423">
        <f t="shared" si="1461"/>
        <v>0</v>
      </c>
      <c r="P1015" s="1423">
        <f t="shared" si="1462"/>
        <v>0</v>
      </c>
      <c r="Q1015" s="1423">
        <f t="shared" si="1463"/>
        <v>0</v>
      </c>
      <c r="R1015" s="1423">
        <f t="shared" si="1464"/>
        <v>0</v>
      </c>
      <c r="S1015" s="1423">
        <f t="shared" si="1465"/>
        <v>0</v>
      </c>
      <c r="T1015" s="1423">
        <f t="shared" si="1466"/>
        <v>0</v>
      </c>
      <c r="U1015" s="1423">
        <f t="shared" si="1467"/>
        <v>0</v>
      </c>
      <c r="V1015" s="1423">
        <f t="shared" si="1468"/>
        <v>0</v>
      </c>
      <c r="W1015" s="1423">
        <f t="shared" si="1469"/>
        <v>0</v>
      </c>
      <c r="X1015" s="152"/>
      <c r="Y1015" s="152"/>
      <c r="Z1015" s="152"/>
      <c r="AA1015" s="152"/>
      <c r="AB1015" s="152"/>
    </row>
    <row r="1016" spans="1:28" hidden="1" outlineLevel="1">
      <c r="A1016" s="152"/>
      <c r="B1016" s="190" t="str">
        <f t="shared" ca="1" si="1470"/>
        <v>RL Capex 2021-22</v>
      </c>
      <c r="C1016" s="1429"/>
      <c r="D1016" s="1429"/>
      <c r="E1016" s="1429"/>
      <c r="F1016" s="1429"/>
      <c r="G1016" s="1429"/>
      <c r="H1016" s="1424"/>
      <c r="I1016" s="1428">
        <f>I982</f>
        <v>0</v>
      </c>
      <c r="J1016" s="1423">
        <f t="shared" si="1456"/>
        <v>0</v>
      </c>
      <c r="K1016" s="1423">
        <f t="shared" si="1457"/>
        <v>0</v>
      </c>
      <c r="L1016" s="1423">
        <f t="shared" si="1458"/>
        <v>0</v>
      </c>
      <c r="M1016" s="1423">
        <f t="shared" si="1459"/>
        <v>0</v>
      </c>
      <c r="N1016" s="1423">
        <f t="shared" si="1460"/>
        <v>0</v>
      </c>
      <c r="O1016" s="1423">
        <f t="shared" si="1461"/>
        <v>0</v>
      </c>
      <c r="P1016" s="1423">
        <f t="shared" si="1462"/>
        <v>0</v>
      </c>
      <c r="Q1016" s="1423">
        <f t="shared" si="1463"/>
        <v>0</v>
      </c>
      <c r="R1016" s="1423">
        <f t="shared" si="1464"/>
        <v>0</v>
      </c>
      <c r="S1016" s="1423">
        <f t="shared" si="1465"/>
        <v>0</v>
      </c>
      <c r="T1016" s="1423">
        <f t="shared" si="1466"/>
        <v>0</v>
      </c>
      <c r="U1016" s="1423">
        <f t="shared" si="1467"/>
        <v>0</v>
      </c>
      <c r="V1016" s="1423">
        <f t="shared" si="1468"/>
        <v>0</v>
      </c>
      <c r="W1016" s="1423">
        <f t="shared" si="1469"/>
        <v>0</v>
      </c>
      <c r="X1016" s="152"/>
      <c r="Y1016" s="152"/>
      <c r="Z1016" s="152"/>
      <c r="AA1016" s="152"/>
      <c r="AB1016" s="152"/>
    </row>
    <row r="1017" spans="1:28" hidden="1" outlineLevel="1">
      <c r="A1017" s="152"/>
      <c r="B1017" s="190" t="str">
        <f t="shared" ca="1" si="1470"/>
        <v>RL Capex 2022-23</v>
      </c>
      <c r="C1017" s="1429"/>
      <c r="D1017" s="1429"/>
      <c r="E1017" s="1429"/>
      <c r="F1017" s="1429"/>
      <c r="G1017" s="1429"/>
      <c r="H1017" s="1429"/>
      <c r="I1017" s="1424"/>
      <c r="J1017" s="1428">
        <f>J982</f>
        <v>0</v>
      </c>
      <c r="K1017" s="1423">
        <f t="shared" si="1457"/>
        <v>0</v>
      </c>
      <c r="L1017" s="1423">
        <f t="shared" si="1458"/>
        <v>0</v>
      </c>
      <c r="M1017" s="1423">
        <f t="shared" si="1459"/>
        <v>0</v>
      </c>
      <c r="N1017" s="1423">
        <f t="shared" si="1460"/>
        <v>0</v>
      </c>
      <c r="O1017" s="1423">
        <f t="shared" si="1461"/>
        <v>0</v>
      </c>
      <c r="P1017" s="1423">
        <f t="shared" si="1462"/>
        <v>0</v>
      </c>
      <c r="Q1017" s="1423">
        <f t="shared" si="1463"/>
        <v>0</v>
      </c>
      <c r="R1017" s="1423">
        <f t="shared" si="1464"/>
        <v>0</v>
      </c>
      <c r="S1017" s="1423">
        <f t="shared" si="1465"/>
        <v>0</v>
      </c>
      <c r="T1017" s="1423">
        <f t="shared" si="1466"/>
        <v>0</v>
      </c>
      <c r="U1017" s="1423">
        <f t="shared" si="1467"/>
        <v>0</v>
      </c>
      <c r="V1017" s="1423">
        <f t="shared" si="1468"/>
        <v>0</v>
      </c>
      <c r="W1017" s="1423">
        <f t="shared" si="1469"/>
        <v>0</v>
      </c>
      <c r="X1017" s="152"/>
      <c r="Y1017" s="152"/>
      <c r="Z1017" s="152"/>
      <c r="AA1017" s="152"/>
      <c r="AB1017" s="152"/>
    </row>
    <row r="1018" spans="1:28" hidden="1" outlineLevel="1">
      <c r="A1018" s="152"/>
      <c r="B1018" s="190" t="str">
        <f t="shared" ca="1" si="1470"/>
        <v>RL Capex 2023-24</v>
      </c>
      <c r="C1018" s="1429"/>
      <c r="D1018" s="1429"/>
      <c r="E1018" s="1429"/>
      <c r="F1018" s="1429"/>
      <c r="G1018" s="1429"/>
      <c r="H1018" s="1429"/>
      <c r="I1018" s="1429"/>
      <c r="J1018" s="1424"/>
      <c r="K1018" s="1428">
        <f>K982</f>
        <v>0</v>
      </c>
      <c r="L1018" s="1423">
        <f t="shared" si="1458"/>
        <v>0</v>
      </c>
      <c r="M1018" s="1423">
        <f t="shared" si="1459"/>
        <v>0</v>
      </c>
      <c r="N1018" s="1423">
        <f t="shared" si="1460"/>
        <v>0</v>
      </c>
      <c r="O1018" s="1423">
        <f t="shared" si="1461"/>
        <v>0</v>
      </c>
      <c r="P1018" s="1423">
        <f t="shared" si="1462"/>
        <v>0</v>
      </c>
      <c r="Q1018" s="1423">
        <f t="shared" si="1463"/>
        <v>0</v>
      </c>
      <c r="R1018" s="1423">
        <f t="shared" si="1464"/>
        <v>0</v>
      </c>
      <c r="S1018" s="1423">
        <f t="shared" si="1465"/>
        <v>0</v>
      </c>
      <c r="T1018" s="1423">
        <f t="shared" si="1466"/>
        <v>0</v>
      </c>
      <c r="U1018" s="1423">
        <f t="shared" si="1467"/>
        <v>0</v>
      </c>
      <c r="V1018" s="1423">
        <f t="shared" si="1468"/>
        <v>0</v>
      </c>
      <c r="W1018" s="1423">
        <f t="shared" si="1469"/>
        <v>0</v>
      </c>
      <c r="X1018" s="152"/>
      <c r="Y1018" s="152"/>
      <c r="Z1018" s="152"/>
      <c r="AA1018" s="152"/>
      <c r="AB1018" s="152"/>
    </row>
    <row r="1019" spans="1:28" hidden="1" outlineLevel="1">
      <c r="A1019" s="152"/>
      <c r="B1019" s="190" t="str">
        <f t="shared" ca="1" si="1470"/>
        <v>RL Capex 2024-25</v>
      </c>
      <c r="C1019" s="1429"/>
      <c r="D1019" s="1429"/>
      <c r="E1019" s="1429"/>
      <c r="F1019" s="1429"/>
      <c r="G1019" s="1429"/>
      <c r="H1019" s="1429"/>
      <c r="I1019" s="1429"/>
      <c r="J1019" s="1429"/>
      <c r="K1019" s="1424"/>
      <c r="L1019" s="1428">
        <f>L982</f>
        <v>0</v>
      </c>
      <c r="M1019" s="1423">
        <f t="shared" si="1459"/>
        <v>0</v>
      </c>
      <c r="N1019" s="1423">
        <f t="shared" si="1460"/>
        <v>0</v>
      </c>
      <c r="O1019" s="1423">
        <f t="shared" si="1461"/>
        <v>0</v>
      </c>
      <c r="P1019" s="1423">
        <f t="shared" si="1462"/>
        <v>0</v>
      </c>
      <c r="Q1019" s="1423">
        <f t="shared" si="1463"/>
        <v>0</v>
      </c>
      <c r="R1019" s="1423">
        <f t="shared" si="1464"/>
        <v>0</v>
      </c>
      <c r="S1019" s="1423">
        <f t="shared" si="1465"/>
        <v>0</v>
      </c>
      <c r="T1019" s="1423">
        <f t="shared" si="1466"/>
        <v>0</v>
      </c>
      <c r="U1019" s="1423">
        <f t="shared" si="1467"/>
        <v>0</v>
      </c>
      <c r="V1019" s="1423">
        <f t="shared" si="1468"/>
        <v>0</v>
      </c>
      <c r="W1019" s="1423">
        <f t="shared" si="1469"/>
        <v>0</v>
      </c>
      <c r="X1019" s="152"/>
      <c r="Y1019" s="152"/>
      <c r="Z1019" s="152"/>
      <c r="AA1019" s="152"/>
      <c r="AB1019" s="152"/>
    </row>
    <row r="1020" spans="1:28" hidden="1" outlineLevel="1">
      <c r="A1020" s="152"/>
      <c r="B1020" s="190" t="str">
        <f t="shared" ca="1" si="1470"/>
        <v>RL Capex 2025-26</v>
      </c>
      <c r="C1020" s="1429"/>
      <c r="D1020" s="1429"/>
      <c r="E1020" s="1429"/>
      <c r="F1020" s="1429"/>
      <c r="G1020" s="1429"/>
      <c r="H1020" s="1429"/>
      <c r="I1020" s="1429"/>
      <c r="J1020" s="1429"/>
      <c r="K1020" s="1429"/>
      <c r="L1020" s="1424"/>
      <c r="M1020" s="1428">
        <f>M982</f>
        <v>0</v>
      </c>
      <c r="N1020" s="1423">
        <f t="shared" si="1460"/>
        <v>0</v>
      </c>
      <c r="O1020" s="1423">
        <f t="shared" si="1461"/>
        <v>0</v>
      </c>
      <c r="P1020" s="1423">
        <f t="shared" si="1462"/>
        <v>0</v>
      </c>
      <c r="Q1020" s="1423">
        <f t="shared" si="1463"/>
        <v>0</v>
      </c>
      <c r="R1020" s="1423">
        <f t="shared" si="1464"/>
        <v>0</v>
      </c>
      <c r="S1020" s="1423">
        <f t="shared" si="1465"/>
        <v>0</v>
      </c>
      <c r="T1020" s="1423">
        <f t="shared" si="1466"/>
        <v>0</v>
      </c>
      <c r="U1020" s="1423">
        <f t="shared" si="1467"/>
        <v>0</v>
      </c>
      <c r="V1020" s="1423">
        <f t="shared" si="1468"/>
        <v>0</v>
      </c>
      <c r="W1020" s="1423">
        <f t="shared" si="1469"/>
        <v>0</v>
      </c>
      <c r="X1020" s="152"/>
      <c r="Y1020" s="152"/>
      <c r="Z1020" s="152"/>
      <c r="AA1020" s="152"/>
      <c r="AB1020" s="152"/>
    </row>
    <row r="1021" spans="1:28" hidden="1" outlineLevel="1">
      <c r="A1021" s="152"/>
      <c r="B1021" s="190" t="str">
        <f t="shared" ca="1" si="1470"/>
        <v>RL Capex 2026-27</v>
      </c>
      <c r="C1021" s="1429"/>
      <c r="D1021" s="1429"/>
      <c r="E1021" s="1429"/>
      <c r="F1021" s="1429"/>
      <c r="G1021" s="1429"/>
      <c r="H1021" s="1429"/>
      <c r="I1021" s="1429"/>
      <c r="J1021" s="1429"/>
      <c r="K1021" s="1429"/>
      <c r="L1021" s="1429"/>
      <c r="M1021" s="1424"/>
      <c r="N1021" s="1428">
        <f>N982</f>
        <v>0</v>
      </c>
      <c r="O1021" s="1423">
        <f t="shared" si="1461"/>
        <v>0</v>
      </c>
      <c r="P1021" s="1423">
        <f t="shared" si="1462"/>
        <v>0</v>
      </c>
      <c r="Q1021" s="1423">
        <f t="shared" si="1463"/>
        <v>0</v>
      </c>
      <c r="R1021" s="1423">
        <f t="shared" si="1464"/>
        <v>0</v>
      </c>
      <c r="S1021" s="1423">
        <f t="shared" si="1465"/>
        <v>0</v>
      </c>
      <c r="T1021" s="1423">
        <f t="shared" si="1466"/>
        <v>0</v>
      </c>
      <c r="U1021" s="1423">
        <f t="shared" si="1467"/>
        <v>0</v>
      </c>
      <c r="V1021" s="1423">
        <f t="shared" si="1468"/>
        <v>0</v>
      </c>
      <c r="W1021" s="1423">
        <f t="shared" si="1469"/>
        <v>0</v>
      </c>
      <c r="X1021" s="152"/>
      <c r="Y1021" s="152"/>
      <c r="Z1021" s="152"/>
      <c r="AA1021" s="152"/>
      <c r="AB1021" s="152"/>
    </row>
    <row r="1022" spans="1:28" hidden="1" outlineLevel="1">
      <c r="A1022" s="152"/>
      <c r="B1022" s="190" t="str">
        <f t="shared" ca="1" si="1470"/>
        <v>RL Capex 2027-28</v>
      </c>
      <c r="C1022" s="1429"/>
      <c r="D1022" s="1429"/>
      <c r="E1022" s="1429"/>
      <c r="F1022" s="1429"/>
      <c r="G1022" s="1429"/>
      <c r="H1022" s="1429"/>
      <c r="I1022" s="1429"/>
      <c r="J1022" s="1429"/>
      <c r="K1022" s="1429"/>
      <c r="L1022" s="1429"/>
      <c r="M1022" s="1429"/>
      <c r="N1022" s="1424"/>
      <c r="O1022" s="1428">
        <f>O982</f>
        <v>0</v>
      </c>
      <c r="P1022" s="1423">
        <f t="shared" si="1462"/>
        <v>0</v>
      </c>
      <c r="Q1022" s="1423">
        <f t="shared" si="1463"/>
        <v>0</v>
      </c>
      <c r="R1022" s="1423">
        <f t="shared" si="1464"/>
        <v>0</v>
      </c>
      <c r="S1022" s="1423">
        <f t="shared" si="1465"/>
        <v>0</v>
      </c>
      <c r="T1022" s="1423">
        <f t="shared" si="1466"/>
        <v>0</v>
      </c>
      <c r="U1022" s="1423">
        <f t="shared" si="1467"/>
        <v>0</v>
      </c>
      <c r="V1022" s="1423">
        <f t="shared" si="1468"/>
        <v>0</v>
      </c>
      <c r="W1022" s="1423">
        <f t="shared" si="1469"/>
        <v>0</v>
      </c>
      <c r="X1022" s="152"/>
      <c r="Y1022" s="152"/>
      <c r="Z1022" s="152"/>
      <c r="AA1022" s="152"/>
      <c r="AB1022" s="152"/>
    </row>
    <row r="1023" spans="1:28" hidden="1" outlineLevel="1">
      <c r="A1023" s="152"/>
      <c r="B1023" s="190" t="str">
        <f t="shared" ca="1" si="1470"/>
        <v>RL Capex 2028-29</v>
      </c>
      <c r="C1023" s="1429"/>
      <c r="D1023" s="1429"/>
      <c r="E1023" s="1429"/>
      <c r="F1023" s="1429"/>
      <c r="G1023" s="1429"/>
      <c r="H1023" s="1429"/>
      <c r="I1023" s="1429"/>
      <c r="J1023" s="1429"/>
      <c r="K1023" s="1429"/>
      <c r="L1023" s="1429"/>
      <c r="M1023" s="1429"/>
      <c r="N1023" s="1429"/>
      <c r="O1023" s="1424"/>
      <c r="P1023" s="1428">
        <f>P982</f>
        <v>0</v>
      </c>
      <c r="Q1023" s="1423">
        <f t="shared" si="1463"/>
        <v>0</v>
      </c>
      <c r="R1023" s="1423">
        <f t="shared" si="1464"/>
        <v>0</v>
      </c>
      <c r="S1023" s="1423">
        <f t="shared" si="1465"/>
        <v>0</v>
      </c>
      <c r="T1023" s="1423">
        <f t="shared" si="1466"/>
        <v>0</v>
      </c>
      <c r="U1023" s="1423">
        <f t="shared" si="1467"/>
        <v>0</v>
      </c>
      <c r="V1023" s="1423">
        <f t="shared" si="1468"/>
        <v>0</v>
      </c>
      <c r="W1023" s="1423">
        <f t="shared" si="1469"/>
        <v>0</v>
      </c>
      <c r="X1023" s="152"/>
      <c r="Y1023" s="152"/>
      <c r="Z1023" s="152"/>
      <c r="AA1023" s="152"/>
      <c r="AB1023" s="152"/>
    </row>
    <row r="1024" spans="1:28" hidden="1" outlineLevel="1">
      <c r="A1024" s="152"/>
      <c r="B1024" s="190" t="str">
        <f t="shared" ca="1" si="1470"/>
        <v>RL Capex 2029-30</v>
      </c>
      <c r="C1024" s="1429"/>
      <c r="D1024" s="1429"/>
      <c r="E1024" s="1429"/>
      <c r="F1024" s="1429"/>
      <c r="G1024" s="1429"/>
      <c r="H1024" s="1429"/>
      <c r="I1024" s="1429"/>
      <c r="J1024" s="1429"/>
      <c r="K1024" s="1429"/>
      <c r="L1024" s="1429"/>
      <c r="M1024" s="1429"/>
      <c r="N1024" s="1429"/>
      <c r="O1024" s="1429"/>
      <c r="P1024" s="1424"/>
      <c r="Q1024" s="1428">
        <f>Q982</f>
        <v>0</v>
      </c>
      <c r="R1024" s="1423">
        <f t="shared" si="1464"/>
        <v>0</v>
      </c>
      <c r="S1024" s="1423">
        <f t="shared" si="1465"/>
        <v>0</v>
      </c>
      <c r="T1024" s="1423">
        <f t="shared" si="1466"/>
        <v>0</v>
      </c>
      <c r="U1024" s="1423">
        <f t="shared" si="1467"/>
        <v>0</v>
      </c>
      <c r="V1024" s="1423">
        <f t="shared" si="1468"/>
        <v>0</v>
      </c>
      <c r="W1024" s="1423">
        <f t="shared" si="1469"/>
        <v>0</v>
      </c>
      <c r="X1024" s="152"/>
      <c r="Y1024" s="152"/>
      <c r="Z1024" s="152"/>
      <c r="AA1024" s="152"/>
      <c r="AB1024" s="152"/>
    </row>
    <row r="1025" spans="1:28" hidden="1" outlineLevel="1">
      <c r="A1025" s="152"/>
      <c r="B1025" s="190" t="str">
        <f t="shared" ca="1" si="1470"/>
        <v>RL Capex 2030-31</v>
      </c>
      <c r="C1025" s="1429"/>
      <c r="D1025" s="1429"/>
      <c r="E1025" s="1429"/>
      <c r="F1025" s="1429"/>
      <c r="G1025" s="1429"/>
      <c r="H1025" s="1429"/>
      <c r="I1025" s="1429"/>
      <c r="J1025" s="1429"/>
      <c r="K1025" s="1429"/>
      <c r="L1025" s="1429"/>
      <c r="M1025" s="1429"/>
      <c r="N1025" s="1429"/>
      <c r="O1025" s="1429"/>
      <c r="P1025" s="1429"/>
      <c r="Q1025" s="1424"/>
      <c r="R1025" s="1428">
        <f>R982</f>
        <v>0</v>
      </c>
      <c r="S1025" s="1423">
        <f t="shared" si="1465"/>
        <v>0</v>
      </c>
      <c r="T1025" s="1423">
        <f t="shared" si="1466"/>
        <v>0</v>
      </c>
      <c r="U1025" s="1423">
        <f t="shared" si="1467"/>
        <v>0</v>
      </c>
      <c r="V1025" s="1423">
        <f t="shared" si="1468"/>
        <v>0</v>
      </c>
      <c r="W1025" s="1423">
        <f t="shared" si="1469"/>
        <v>0</v>
      </c>
      <c r="X1025" s="152"/>
      <c r="Y1025" s="152"/>
      <c r="Z1025" s="152"/>
      <c r="AA1025" s="152"/>
      <c r="AB1025" s="152"/>
    </row>
    <row r="1026" spans="1:28" hidden="1" outlineLevel="1">
      <c r="A1026" s="152"/>
      <c r="B1026" s="190" t="str">
        <f t="shared" ca="1" si="1470"/>
        <v>RL Capex 2031-32</v>
      </c>
      <c r="C1026" s="1429"/>
      <c r="D1026" s="1429"/>
      <c r="E1026" s="1429"/>
      <c r="F1026" s="1429"/>
      <c r="G1026" s="1429"/>
      <c r="H1026" s="1429"/>
      <c r="I1026" s="1429"/>
      <c r="J1026" s="1429"/>
      <c r="K1026" s="1429"/>
      <c r="L1026" s="1429"/>
      <c r="M1026" s="1429"/>
      <c r="N1026" s="1429"/>
      <c r="O1026" s="1429"/>
      <c r="P1026" s="1429"/>
      <c r="Q1026" s="1429"/>
      <c r="R1026" s="1424"/>
      <c r="S1026" s="1428">
        <f>S982</f>
        <v>0</v>
      </c>
      <c r="T1026" s="1423">
        <f t="shared" si="1466"/>
        <v>0</v>
      </c>
      <c r="U1026" s="1423">
        <f t="shared" si="1467"/>
        <v>0</v>
      </c>
      <c r="V1026" s="1423">
        <f t="shared" si="1468"/>
        <v>0</v>
      </c>
      <c r="W1026" s="1423">
        <f t="shared" si="1469"/>
        <v>0</v>
      </c>
      <c r="X1026" s="152"/>
      <c r="Y1026" s="152"/>
      <c r="Z1026" s="152"/>
      <c r="AA1026" s="152"/>
      <c r="AB1026" s="152"/>
    </row>
    <row r="1027" spans="1:28" hidden="1" outlineLevel="1">
      <c r="A1027" s="152"/>
      <c r="B1027" s="190" t="str">
        <f t="shared" ca="1" si="1470"/>
        <v>RL Capex 2032-33</v>
      </c>
      <c r="C1027" s="1429"/>
      <c r="D1027" s="1429"/>
      <c r="E1027" s="1429"/>
      <c r="F1027" s="1429"/>
      <c r="G1027" s="1429"/>
      <c r="H1027" s="1429"/>
      <c r="I1027" s="1429"/>
      <c r="J1027" s="1429"/>
      <c r="K1027" s="1429"/>
      <c r="L1027" s="1429"/>
      <c r="M1027" s="1429"/>
      <c r="N1027" s="1429"/>
      <c r="O1027" s="1429"/>
      <c r="P1027" s="1429"/>
      <c r="Q1027" s="1429"/>
      <c r="R1027" s="1429"/>
      <c r="S1027" s="1424"/>
      <c r="T1027" s="1428">
        <f>T982</f>
        <v>0</v>
      </c>
      <c r="U1027" s="1423">
        <f t="shared" si="1467"/>
        <v>0</v>
      </c>
      <c r="V1027" s="1423">
        <f t="shared" si="1468"/>
        <v>0</v>
      </c>
      <c r="W1027" s="1423">
        <f t="shared" si="1469"/>
        <v>0</v>
      </c>
      <c r="X1027" s="152"/>
      <c r="Y1027" s="152"/>
      <c r="Z1027" s="152"/>
      <c r="AA1027" s="152"/>
      <c r="AB1027" s="152"/>
    </row>
    <row r="1028" spans="1:28" hidden="1" outlineLevel="1">
      <c r="A1028" s="152"/>
      <c r="B1028" s="190" t="str">
        <f t="shared" ca="1" si="1470"/>
        <v>RL Capex 2033-34</v>
      </c>
      <c r="C1028" s="1429"/>
      <c r="D1028" s="1429"/>
      <c r="E1028" s="1429"/>
      <c r="F1028" s="1429"/>
      <c r="G1028" s="1429"/>
      <c r="H1028" s="1429"/>
      <c r="I1028" s="1429"/>
      <c r="J1028" s="1429"/>
      <c r="K1028" s="1429"/>
      <c r="L1028" s="1429"/>
      <c r="M1028" s="1429"/>
      <c r="N1028" s="1429"/>
      <c r="O1028" s="1429"/>
      <c r="P1028" s="1429"/>
      <c r="Q1028" s="1429"/>
      <c r="R1028" s="1429"/>
      <c r="S1028" s="1429"/>
      <c r="T1028" s="1424"/>
      <c r="U1028" s="1428">
        <f>U982</f>
        <v>0</v>
      </c>
      <c r="V1028" s="1423">
        <f t="shared" si="1468"/>
        <v>0</v>
      </c>
      <c r="W1028" s="1423">
        <f t="shared" si="1469"/>
        <v>0</v>
      </c>
      <c r="X1028" s="152"/>
      <c r="Y1028" s="152"/>
      <c r="Z1028" s="152"/>
      <c r="AA1028" s="152"/>
      <c r="AB1028" s="152"/>
    </row>
    <row r="1029" spans="1:28" hidden="1" outlineLevel="1">
      <c r="A1029" s="152"/>
      <c r="B1029" s="190" t="str">
        <f t="shared" ca="1" si="1470"/>
        <v>RL Capex 2034-35</v>
      </c>
      <c r="C1029" s="1429"/>
      <c r="D1029" s="1429"/>
      <c r="E1029" s="1429"/>
      <c r="F1029" s="1429"/>
      <c r="G1029" s="1429"/>
      <c r="H1029" s="1429"/>
      <c r="I1029" s="1429"/>
      <c r="J1029" s="1429"/>
      <c r="K1029" s="1429"/>
      <c r="L1029" s="1429"/>
      <c r="M1029" s="1429"/>
      <c r="N1029" s="1429"/>
      <c r="O1029" s="1429"/>
      <c r="P1029" s="1429"/>
      <c r="Q1029" s="1429"/>
      <c r="R1029" s="1429"/>
      <c r="S1029" s="1429"/>
      <c r="T1029" s="1429"/>
      <c r="U1029" s="1424"/>
      <c r="V1029" s="1428">
        <f>V982</f>
        <v>0</v>
      </c>
      <c r="W1029" s="1423">
        <f>IF(V1029="n/a","n/a",MAX(0,V1029-1))</f>
        <v>0</v>
      </c>
      <c r="X1029" s="152"/>
      <c r="Y1029" s="152"/>
      <c r="Z1029" s="152"/>
      <c r="AA1029" s="152"/>
      <c r="AB1029" s="152"/>
    </row>
    <row r="1030" spans="1:28" hidden="1" outlineLevel="1">
      <c r="A1030" s="152"/>
      <c r="B1030" s="190" t="str">
        <f t="shared" ca="1" si="1470"/>
        <v>RL Capex 2035-36</v>
      </c>
      <c r="C1030" s="1429"/>
      <c r="D1030" s="1429"/>
      <c r="E1030" s="1429"/>
      <c r="F1030" s="1429"/>
      <c r="G1030" s="1429"/>
      <c r="H1030" s="1429"/>
      <c r="I1030" s="1429"/>
      <c r="J1030" s="1429"/>
      <c r="K1030" s="1429"/>
      <c r="L1030" s="1429"/>
      <c r="M1030" s="1429"/>
      <c r="N1030" s="1429"/>
      <c r="O1030" s="1429"/>
      <c r="P1030" s="1429"/>
      <c r="Q1030" s="1429"/>
      <c r="R1030" s="1429"/>
      <c r="S1030" s="1429"/>
      <c r="T1030" s="1429"/>
      <c r="U1030" s="1429"/>
      <c r="V1030" s="1424"/>
      <c r="W1030" s="1423">
        <f>W982</f>
        <v>0</v>
      </c>
      <c r="X1030" s="152"/>
      <c r="Y1030" s="152"/>
      <c r="Z1030" s="152"/>
      <c r="AA1030" s="152"/>
      <c r="AB1030" s="152"/>
    </row>
    <row r="1031" spans="1:28" hidden="1" outlineLevel="1">
      <c r="A1031" s="152"/>
      <c r="B1031" s="200"/>
      <c r="C1031" s="1423"/>
      <c r="D1031" s="1423"/>
      <c r="E1031" s="1423"/>
      <c r="F1031" s="1423"/>
      <c r="G1031" s="1423"/>
      <c r="H1031" s="1423"/>
      <c r="I1031" s="1423"/>
      <c r="J1031" s="1423"/>
      <c r="K1031" s="1423"/>
      <c r="L1031" s="1423"/>
      <c r="M1031" s="1423"/>
      <c r="N1031" s="1423"/>
      <c r="O1031" s="1423"/>
      <c r="P1031" s="1423"/>
      <c r="Q1031" s="1423"/>
      <c r="R1031" s="1423"/>
      <c r="S1031" s="1423"/>
      <c r="T1031" s="1423"/>
      <c r="U1031" s="1423"/>
      <c r="V1031" s="1423"/>
      <c r="W1031" s="1423"/>
      <c r="X1031" s="152"/>
      <c r="Y1031" s="152"/>
      <c r="Z1031" s="152"/>
      <c r="AA1031" s="152"/>
      <c r="AB1031" s="152"/>
    </row>
    <row r="1032" spans="1:28" collapsed="1">
      <c r="A1032" s="194"/>
      <c r="B1032" s="204" t="s">
        <v>123</v>
      </c>
      <c r="C1032" s="1430">
        <f ca="1">(IF(OR($C982&lt;&gt;"n/a",C982&lt;&gt;"n/a"),IF(SUM(C985:C1007)=0,0,IF((SUMPRODUCT(C985:C1007,C1009:C1031)/SUM(C985:C1007))&lt;0,1,(SUMPRODUCT(C985:C1007,C1009:C1031)/SUM(C985:C1007)))),"n/a"))</f>
        <v>0</v>
      </c>
      <c r="D1032" s="1430">
        <f ca="1">(IF(OR($C982&lt;&gt;"n/a",D982&lt;&gt;"n/a"),IF(SUM(D985:D1007)=0,0,IF((SUMPRODUCT(D985:D1007,D1009:D1031)/SUM(D985:D1007))&lt;0,1,(SUMPRODUCT(D985:D1007,D1009:D1031)/SUM(D985:D1007)))),"n/a"))</f>
        <v>0</v>
      </c>
      <c r="E1032" s="1430">
        <f t="shared" ref="E1032:W1032" ca="1" si="1471">(IF(OR($C982&lt;&gt;"n/a",E982&lt;&gt;"n/a"),IF(SUM(E985:E1007)=0,0,IF((SUMPRODUCT(E985:E1007,E1009:E1031)/SUM(E985:E1007))&lt;0,1,(SUMPRODUCT(E985:E1007,E1009:E1031)/SUM(E985:E1007)))),"n/a"))</f>
        <v>0</v>
      </c>
      <c r="F1032" s="1430">
        <f t="shared" ca="1" si="1471"/>
        <v>0</v>
      </c>
      <c r="G1032" s="1430">
        <f t="shared" ca="1" si="1471"/>
        <v>0</v>
      </c>
      <c r="H1032" s="1430">
        <f t="shared" ca="1" si="1471"/>
        <v>0</v>
      </c>
      <c r="I1032" s="1430">
        <f t="shared" ca="1" si="1471"/>
        <v>0</v>
      </c>
      <c r="J1032" s="1430">
        <f t="shared" ca="1" si="1471"/>
        <v>0</v>
      </c>
      <c r="K1032" s="1430">
        <f t="shared" ca="1" si="1471"/>
        <v>0</v>
      </c>
      <c r="L1032" s="1430">
        <f t="shared" ca="1" si="1471"/>
        <v>0</v>
      </c>
      <c r="M1032" s="1430">
        <f t="shared" ca="1" si="1471"/>
        <v>0</v>
      </c>
      <c r="N1032" s="1430">
        <f t="shared" ca="1" si="1471"/>
        <v>0</v>
      </c>
      <c r="O1032" s="1430">
        <f t="shared" ca="1" si="1471"/>
        <v>0</v>
      </c>
      <c r="P1032" s="1430">
        <f t="shared" ca="1" si="1471"/>
        <v>0</v>
      </c>
      <c r="Q1032" s="1430">
        <f t="shared" ca="1" si="1471"/>
        <v>0</v>
      </c>
      <c r="R1032" s="1430">
        <f t="shared" ca="1" si="1471"/>
        <v>0</v>
      </c>
      <c r="S1032" s="1430">
        <f t="shared" ca="1" si="1471"/>
        <v>0</v>
      </c>
      <c r="T1032" s="1430">
        <f t="shared" ca="1" si="1471"/>
        <v>0</v>
      </c>
      <c r="U1032" s="1430">
        <f t="shared" ca="1" si="1471"/>
        <v>0</v>
      </c>
      <c r="V1032" s="1430">
        <f t="shared" ca="1" si="1471"/>
        <v>0</v>
      </c>
      <c r="W1032" s="1430">
        <f t="shared" ca="1" si="1471"/>
        <v>0</v>
      </c>
      <c r="X1032" s="152"/>
      <c r="Y1032" s="152"/>
      <c r="Z1032" s="152"/>
      <c r="AA1032" s="152"/>
      <c r="AB1032" s="152"/>
    </row>
    <row r="1033" spans="1:28">
      <c r="A1033" s="152"/>
      <c r="B1033" s="152"/>
      <c r="C1033" s="1423"/>
      <c r="D1033" s="1423"/>
      <c r="E1033" s="1423"/>
      <c r="F1033" s="1423"/>
      <c r="G1033" s="1423"/>
      <c r="H1033" s="1423"/>
      <c r="I1033" s="1423"/>
      <c r="J1033" s="1423"/>
      <c r="K1033" s="1423"/>
      <c r="L1033" s="1423"/>
      <c r="M1033" s="1423"/>
      <c r="N1033" s="1423"/>
      <c r="O1033" s="1423"/>
      <c r="P1033" s="1423"/>
      <c r="Q1033" s="1423"/>
      <c r="R1033" s="1423"/>
      <c r="S1033" s="1423"/>
      <c r="T1033" s="1423"/>
      <c r="U1033" s="1423"/>
      <c r="V1033" s="1423"/>
      <c r="W1033" s="1423"/>
      <c r="X1033" s="152"/>
      <c r="Y1033" s="152"/>
      <c r="Z1033" s="152"/>
      <c r="AA1033" s="152"/>
      <c r="AB1033" s="152"/>
    </row>
    <row r="1034" spans="1:28">
      <c r="A1034" s="269" t="s">
        <v>21</v>
      </c>
      <c r="B1034" s="270">
        <f>VLOOKUP($A1034,'RFM input'!$E$7:$F$56,2,FALSE)</f>
        <v>0</v>
      </c>
      <c r="C1034" s="1431"/>
      <c r="D1034" s="1431"/>
      <c r="E1034" s="1432"/>
      <c r="F1034" s="1432"/>
      <c r="G1034" s="1432"/>
      <c r="H1034" s="1432"/>
      <c r="I1034" s="1432"/>
      <c r="J1034" s="1432"/>
      <c r="K1034" s="1432"/>
      <c r="L1034" s="1432"/>
      <c r="M1034" s="1432"/>
      <c r="N1034" s="1432"/>
      <c r="O1034" s="1432"/>
      <c r="P1034" s="1432"/>
      <c r="Q1034" s="1432"/>
      <c r="R1034" s="1432"/>
      <c r="S1034" s="1432"/>
      <c r="T1034" s="1432"/>
      <c r="U1034" s="1432"/>
      <c r="V1034" s="1432"/>
      <c r="W1034" s="1432"/>
      <c r="X1034" s="152"/>
      <c r="Y1034" s="152"/>
      <c r="Z1034" s="152"/>
      <c r="AA1034" s="152"/>
      <c r="AB1034" s="152"/>
    </row>
    <row r="1035" spans="1:28">
      <c r="A1035" s="215">
        <f>VALUE(REPLACE(A1034,1,12,""))</f>
        <v>20</v>
      </c>
      <c r="B1035" s="193" t="s">
        <v>126</v>
      </c>
      <c r="C1035" s="1416">
        <f ca="1">IF($D$6='TAB roll forward'!$H$4,OFFSET('TAB roll forward'!$H$7,A1035,0),"enter input")</f>
        <v>0</v>
      </c>
      <c r="D1035" s="1417">
        <f>IF(LEFT(D$6,4)&lt;LEFT('RFM input'!$G$60,4),"enter input",IF(LEFT(D$6,4)&gt;LEFT('RFM input'!$Q$60,4),0,
INDEX('RFM input'!$G$61:$Q$110,$A1035,MATCH(D$6,'RFM input'!$G$60:$Q$60,0))
   -INDEX('RFM input'!$G$115:$Q$164,$A1035,MATCH(D$6,'RFM input'!$G$60:$Q$60,0))))</f>
        <v>0</v>
      </c>
      <c r="E1035" s="1417">
        <f>IF(LEFT(E$6,4)&lt;LEFT('RFM input'!$G$60,4),"enter input",IF(LEFT(E$6,4)&gt;LEFT('RFM input'!$Q$60,4),0,
INDEX('RFM input'!$G$61:$Q$110,$A1035,MATCH(E$6,'RFM input'!$G$60:$Q$60,0))
   -INDEX('RFM input'!$G$115:$Q$164,$A1035,MATCH(E$6,'RFM input'!$G$60:$Q$60,0))))</f>
        <v>0</v>
      </c>
      <c r="F1035" s="1417">
        <f>IF(LEFT(F$6,4)&lt;LEFT('RFM input'!$G$60,4),"enter input",IF(LEFT(F$6,4)&gt;LEFT('RFM input'!$Q$60,4),0,
INDEX('RFM input'!$G$61:$Q$110,$A1035,MATCH(F$6,'RFM input'!$G$60:$Q$60,0))
   -INDEX('RFM input'!$G$115:$Q$164,$A1035,MATCH(F$6,'RFM input'!$G$60:$Q$60,0))))</f>
        <v>0</v>
      </c>
      <c r="G1035" s="1417">
        <f>IF(LEFT(G$6,4)&lt;LEFT('RFM input'!$G$60,4),"enter input",IF(LEFT(G$6,4)&gt;LEFT('RFM input'!$Q$60,4),0,
INDEX('RFM input'!$G$61:$Q$110,$A1035,MATCH(G$6,'RFM input'!$G$60:$Q$60,0))
   -INDEX('RFM input'!$G$115:$Q$164,$A1035,MATCH(G$6,'RFM input'!$G$60:$Q$60,0))))</f>
        <v>0</v>
      </c>
      <c r="H1035" s="1417">
        <f>IF(LEFT(H$6,4)&lt;LEFT('RFM input'!$G$60,4),"enter input",IF(LEFT(H$6,4)&gt;LEFT('RFM input'!$Q$60,4),0,
INDEX('RFM input'!$G$61:$Q$110,$A1035,MATCH(H$6,'RFM input'!$G$60:$Q$60,0))
   -INDEX('RFM input'!$G$115:$Q$164,$A1035,MATCH(H$6,'RFM input'!$G$60:$Q$60,0))))</f>
        <v>0</v>
      </c>
      <c r="I1035" s="1417">
        <f>IF(LEFT(I$6,4)&lt;LEFT('RFM input'!$G$60,4),"enter input",IF(LEFT(I$6,4)&gt;LEFT('RFM input'!$Q$60,4),0,
INDEX('RFM input'!$G$61:$Q$110,$A1035,MATCH(I$6,'RFM input'!$G$60:$Q$60,0))
   -INDEX('RFM input'!$G$115:$Q$164,$A1035,MATCH(I$6,'RFM input'!$G$60:$Q$60,0))))</f>
        <v>0</v>
      </c>
      <c r="J1035" s="1417">
        <f>IF(LEFT(J$6,4)&lt;LEFT('RFM input'!$G$60,4),"enter input",IF(LEFT(J$6,4)&gt;LEFT('RFM input'!$Q$60,4),0,
INDEX('RFM input'!$G$61:$Q$110,$A1035,MATCH(J$6,'RFM input'!$G$60:$Q$60,0))
   -INDEX('RFM input'!$G$115:$Q$164,$A1035,MATCH(J$6,'RFM input'!$G$60:$Q$60,0))))</f>
        <v>0</v>
      </c>
      <c r="K1035" s="1417">
        <f>IF(LEFT(K$6,4)&lt;LEFT('RFM input'!$G$60,4),"enter input",IF(LEFT(K$6,4)&gt;LEFT('RFM input'!$Q$60,4),0,
INDEX('RFM input'!$G$61:$Q$110,$A1035,MATCH(K$6,'RFM input'!$G$60:$Q$60,0))
   -INDEX('RFM input'!$G$115:$Q$164,$A1035,MATCH(K$6,'RFM input'!$G$60:$Q$60,0))))</f>
        <v>0</v>
      </c>
      <c r="L1035" s="1417">
        <f>IF(LEFT(L$6,4)&lt;LEFT('RFM input'!$G$60,4),"enter input",IF(LEFT(L$6,4)&gt;LEFT('RFM input'!$Q$60,4),0,
INDEX('RFM input'!$G$61:$Q$110,$A1035,MATCH(L$6,'RFM input'!$G$60:$Q$60,0))
   -INDEX('RFM input'!$G$115:$Q$164,$A1035,MATCH(L$6,'RFM input'!$G$60:$Q$60,0))))</f>
        <v>0</v>
      </c>
      <c r="M1035" s="1417">
        <f>IF(LEFT(M$6,4)&lt;LEFT('RFM input'!$G$60,4),"enter input",IF(LEFT(M$6,4)&gt;LEFT('RFM input'!$Q$60,4),0,
INDEX('RFM input'!$G$61:$Q$110,$A1035,MATCH(M$6,'RFM input'!$G$60:$Q$60,0))
   -INDEX('RFM input'!$G$115:$Q$164,$A1035,MATCH(M$6,'RFM input'!$G$60:$Q$60,0))))</f>
        <v>0</v>
      </c>
      <c r="N1035" s="1417">
        <f>IF(LEFT(N$6,4)&lt;LEFT('RFM input'!$G$60,4),"enter input",IF(LEFT(N$6,4)&gt;LEFT('RFM input'!$Q$60,4),0,
INDEX('RFM input'!$G$61:$Q$110,$A1035,MATCH(N$6,'RFM input'!$G$60:$Q$60,0))
   -INDEX('RFM input'!$G$115:$Q$164,$A1035,MATCH(N$6,'RFM input'!$G$60:$Q$60,0))))</f>
        <v>0</v>
      </c>
      <c r="O1035" s="1417">
        <f>IF(LEFT(O$6,4)&lt;LEFT('RFM input'!$G$60,4),"enter input",IF(LEFT(O$6,4)&gt;LEFT('RFM input'!$Q$60,4),0,
INDEX('RFM input'!$G$61:$Q$110,$A1035,MATCH(O$6,'RFM input'!$G$60:$Q$60,0))
   -INDEX('RFM input'!$G$115:$Q$164,$A1035,MATCH(O$6,'RFM input'!$G$60:$Q$60,0))))</f>
        <v>0</v>
      </c>
      <c r="P1035" s="1417">
        <f>IF(LEFT(P$6,4)&lt;LEFT('RFM input'!$G$60,4),"enter input",IF(LEFT(P$6,4)&gt;LEFT('RFM input'!$Q$60,4),0,
INDEX('RFM input'!$G$61:$Q$110,$A1035,MATCH(P$6,'RFM input'!$G$60:$Q$60,0))
   -INDEX('RFM input'!$G$115:$Q$164,$A1035,MATCH(P$6,'RFM input'!$G$60:$Q$60,0))))</f>
        <v>0</v>
      </c>
      <c r="Q1035" s="1417">
        <f>IF(LEFT(Q$6,4)&lt;LEFT('RFM input'!$G$60,4),"enter input",IF(LEFT(Q$6,4)&gt;LEFT('RFM input'!$Q$60,4),0,
INDEX('RFM input'!$G$61:$Q$110,$A1035,MATCH(Q$6,'RFM input'!$G$60:$Q$60,0))
   -INDEX('RFM input'!$G$115:$Q$164,$A1035,MATCH(Q$6,'RFM input'!$G$60:$Q$60,0))))</f>
        <v>0</v>
      </c>
      <c r="R1035" s="1417">
        <f>IF(LEFT(R$6,4)&lt;LEFT('RFM input'!$G$60,4),"enter input",IF(LEFT(R$6,4)&gt;LEFT('RFM input'!$Q$60,4),0,
INDEX('RFM input'!$G$61:$Q$110,$A1035,MATCH(R$6,'RFM input'!$G$60:$Q$60,0))
   -INDEX('RFM input'!$G$115:$Q$164,$A1035,MATCH(R$6,'RFM input'!$G$60:$Q$60,0))))</f>
        <v>0</v>
      </c>
      <c r="S1035" s="1417">
        <f>IF(LEFT(S$6,4)&lt;LEFT('RFM input'!$G$60,4),"enter input",IF(LEFT(S$6,4)&gt;LEFT('RFM input'!$Q$60,4),0,
INDEX('RFM input'!$G$61:$Q$110,$A1035,MATCH(S$6,'RFM input'!$G$60:$Q$60,0))
   -INDEX('RFM input'!$G$115:$Q$164,$A1035,MATCH(S$6,'RFM input'!$G$60:$Q$60,0))))</f>
        <v>0</v>
      </c>
      <c r="T1035" s="1417">
        <f>IF(LEFT(T$6,4)&lt;LEFT('RFM input'!$G$60,4),"enter input",IF(LEFT(T$6,4)&gt;LEFT('RFM input'!$Q$60,4),0,
INDEX('RFM input'!$G$61:$Q$110,$A1035,MATCH(T$6,'RFM input'!$G$60:$Q$60,0))
   -INDEX('RFM input'!$G$115:$Q$164,$A1035,MATCH(T$6,'RFM input'!$G$60:$Q$60,0))))</f>
        <v>0</v>
      </c>
      <c r="U1035" s="1417">
        <f>IF(LEFT(U$6,4)&lt;LEFT('RFM input'!$G$60,4),"enter input",IF(LEFT(U$6,4)&gt;LEFT('RFM input'!$Q$60,4),0,
INDEX('RFM input'!$G$61:$Q$110,$A1035,MATCH(U$6,'RFM input'!$G$60:$Q$60,0))
   -INDEX('RFM input'!$G$115:$Q$164,$A1035,MATCH(U$6,'RFM input'!$G$60:$Q$60,0))))</f>
        <v>0</v>
      </c>
      <c r="V1035" s="1417">
        <f>IF(LEFT(V$6,4)&lt;LEFT('RFM input'!$G$60,4),"enter input",IF(LEFT(V$6,4)&gt;LEFT('RFM input'!$Q$60,4),0,
INDEX('RFM input'!$G$61:$Q$110,$A1035,MATCH(V$6,'RFM input'!$G$60:$Q$60,0))
   -INDEX('RFM input'!$G$115:$Q$164,$A1035,MATCH(V$6,'RFM input'!$G$60:$Q$60,0))))</f>
        <v>0</v>
      </c>
      <c r="W1035" s="1417">
        <f>IF(LEFT(W$6,4)&lt;LEFT('RFM input'!$G$60,4),"enter input",IF(LEFT(W$6,4)&gt;LEFT('RFM input'!$Q$60,4),0,
INDEX('RFM input'!$G$61:$Q$110,$A1035,MATCH(W$6,'RFM input'!$G$60:$Q$60,0))
   -INDEX('RFM input'!$G$115:$Q$164,$A1035,MATCH(W$6,'RFM input'!$G$60:$Q$60,0))))</f>
        <v>0</v>
      </c>
      <c r="X1035" s="152"/>
      <c r="Y1035" s="152"/>
      <c r="Z1035" s="152"/>
      <c r="AA1035" s="152"/>
      <c r="AB1035" s="152"/>
    </row>
    <row r="1036" spans="1:28">
      <c r="A1036" s="152"/>
      <c r="B1036" s="152" t="s">
        <v>205</v>
      </c>
      <c r="C1036" s="1418">
        <f ca="1">IF($D$6='TAB roll forward'!$H$4,OFFSET('RFM input'!$S$6,$A1035,0),"enter input")</f>
        <v>0</v>
      </c>
      <c r="D1036" s="1417">
        <f>IF(LEFT(D$6,4)&lt;=LEFT('RFM input'!$G$60,4),"enter input",IF(LEFT(D$6,4)&gt;LEFT('RFM input'!$Q$60,4),0,
IF(MATCH(D$6,'RFM input'!$H$60:$Q$60,0),INDEX('RFM input'!$T$7:$T$56,$A1035,1,1))))</f>
        <v>0</v>
      </c>
      <c r="E1036" s="1417">
        <f>IF(LEFT(E$6,4)&lt;=LEFT('RFM input'!$G$60,4),"enter input",IF(LEFT(E$6,4)&gt;LEFT('RFM input'!$Q$60,4),0,
IF(MATCH(E$6,'RFM input'!$H$60:$Q$60,0),INDEX('RFM input'!$T$7:$T$56,$A1035,1,1))))</f>
        <v>0</v>
      </c>
      <c r="F1036" s="1417">
        <f>IF(LEFT(F$6,4)&lt;=LEFT('RFM input'!$G$60,4),"enter input",IF(LEFT(F$6,4)&gt;LEFT('RFM input'!$Q$60,4),0,
IF(MATCH(F$6,'RFM input'!$H$60:$Q$60,0),INDEX('RFM input'!$T$7:$T$56,$A1035,1,1))))</f>
        <v>0</v>
      </c>
      <c r="G1036" s="1417">
        <f>IF(LEFT(G$6,4)&lt;=LEFT('RFM input'!$G$60,4),"enter input",IF(LEFT(G$6,4)&gt;LEFT('RFM input'!$Q$60,4),0,
IF(MATCH(G$6,'RFM input'!$H$60:$Q$60,0),INDEX('RFM input'!$T$7:$T$56,$A1035,1,1))))</f>
        <v>0</v>
      </c>
      <c r="H1036" s="1417">
        <f>IF(LEFT(H$6,4)&lt;=LEFT('RFM input'!$G$60,4),"enter input",IF(LEFT(H$6,4)&gt;LEFT('RFM input'!$Q$60,4),0,
IF(MATCH(H$6,'RFM input'!$H$60:$Q$60,0),INDEX('RFM input'!$T$7:$T$56,$A1035,1,1))))</f>
        <v>0</v>
      </c>
      <c r="I1036" s="1417">
        <f>IF(LEFT(I$6,4)&lt;=LEFT('RFM input'!$G$60,4),"enter input",IF(LEFT(I$6,4)&gt;LEFT('RFM input'!$Q$60,4),0,
IF(MATCH(I$6,'RFM input'!$H$60:$Q$60,0),INDEX('RFM input'!$T$7:$T$56,$A1035,1,1))))</f>
        <v>0</v>
      </c>
      <c r="J1036" s="1417">
        <f>IF(LEFT(J$6,4)&lt;=LEFT('RFM input'!$G$60,4),"enter input",IF(LEFT(J$6,4)&gt;LEFT('RFM input'!$Q$60,4),0,
IF(MATCH(J$6,'RFM input'!$H$60:$Q$60,0),INDEX('RFM input'!$T$7:$T$56,$A1035,1,1))))</f>
        <v>0</v>
      </c>
      <c r="K1036" s="1417">
        <f>IF(LEFT(K$6,4)&lt;=LEFT('RFM input'!$G$60,4),"enter input",IF(LEFT(K$6,4)&gt;LEFT('RFM input'!$Q$60,4),0,
IF(MATCH(K$6,'RFM input'!$H$60:$Q$60,0),INDEX('RFM input'!$T$7:$T$56,$A1035,1,1))))</f>
        <v>0</v>
      </c>
      <c r="L1036" s="1417">
        <f>IF(LEFT(L$6,4)&lt;=LEFT('RFM input'!$G$60,4),"enter input",IF(LEFT(L$6,4)&gt;LEFT('RFM input'!$Q$60,4),0,
IF(MATCH(L$6,'RFM input'!$H$60:$Q$60,0),INDEX('RFM input'!$T$7:$T$56,$A1035,1,1))))</f>
        <v>0</v>
      </c>
      <c r="M1036" s="1417">
        <f>IF(LEFT(M$6,4)&lt;=LEFT('RFM input'!$G$60,4),"enter input",IF(LEFT(M$6,4)&gt;LEFT('RFM input'!$Q$60,4),0,
IF(MATCH(M$6,'RFM input'!$H$60:$Q$60,0),INDEX('RFM input'!$T$7:$T$56,$A1035,1,1))))</f>
        <v>0</v>
      </c>
      <c r="N1036" s="1417">
        <f>IF(LEFT(N$6,4)&lt;=LEFT('RFM input'!$G$60,4),"enter input",IF(LEFT(N$6,4)&gt;LEFT('RFM input'!$Q$60,4),0,
IF(MATCH(N$6,'RFM input'!$H$60:$Q$60,0),INDEX('RFM input'!$T$7:$T$56,$A1035,1,1))))</f>
        <v>0</v>
      </c>
      <c r="O1036" s="1417">
        <f>IF(LEFT(O$6,4)&lt;=LEFT('RFM input'!$G$60,4),"enter input",IF(LEFT(O$6,4)&gt;LEFT('RFM input'!$Q$60,4),0,
IF(MATCH(O$6,'RFM input'!$H$60:$Q$60,0),INDEX('RFM input'!$T$7:$T$56,$A1035,1,1))))</f>
        <v>0</v>
      </c>
      <c r="P1036" s="1417">
        <f>IF(LEFT(P$6,4)&lt;=LEFT('RFM input'!$G$60,4),"enter input",IF(LEFT(P$6,4)&gt;LEFT('RFM input'!$Q$60,4),0,
IF(MATCH(P$6,'RFM input'!$H$60:$Q$60,0),INDEX('RFM input'!$T$7:$T$56,$A1035,1,1))))</f>
        <v>0</v>
      </c>
      <c r="Q1036" s="1417">
        <f>IF(LEFT(Q$6,4)&lt;=LEFT('RFM input'!$G$60,4),"enter input",IF(LEFT(Q$6,4)&gt;LEFT('RFM input'!$Q$60,4),0,
IF(MATCH(Q$6,'RFM input'!$H$60:$Q$60,0),INDEX('RFM input'!$T$7:$T$56,$A1035,1,1))))</f>
        <v>0</v>
      </c>
      <c r="R1036" s="1417">
        <f>IF(LEFT(R$6,4)&lt;=LEFT('RFM input'!$G$60,4),"enter input",IF(LEFT(R$6,4)&gt;LEFT('RFM input'!$Q$60,4),0,
IF(MATCH(R$6,'RFM input'!$H$60:$Q$60,0),INDEX('RFM input'!$T$7:$T$56,$A1035,1,1))))</f>
        <v>0</v>
      </c>
      <c r="S1036" s="1417">
        <f>IF(LEFT(S$6,4)&lt;=LEFT('RFM input'!$G$60,4),"enter input",IF(LEFT(S$6,4)&gt;LEFT('RFM input'!$Q$60,4),0,
IF(MATCH(S$6,'RFM input'!$H$60:$Q$60,0),INDEX('RFM input'!$T$7:$T$56,$A1035,1,1))))</f>
        <v>0</v>
      </c>
      <c r="T1036" s="1417">
        <f>IF(LEFT(T$6,4)&lt;=LEFT('RFM input'!$G$60,4),"enter input",IF(LEFT(T$6,4)&gt;LEFT('RFM input'!$Q$60,4),0,
IF(MATCH(T$6,'RFM input'!$H$60:$Q$60,0),INDEX('RFM input'!$T$7:$T$56,$A1035,1,1))))</f>
        <v>0</v>
      </c>
      <c r="U1036" s="1417">
        <f>IF(LEFT(U$6,4)&lt;=LEFT('RFM input'!$G$60,4),"enter input",IF(LEFT(U$6,4)&gt;LEFT('RFM input'!$Q$60,4),0,
IF(MATCH(U$6,'RFM input'!$H$60:$Q$60,0),INDEX('RFM input'!$T$7:$T$56,$A1035,1,1))))</f>
        <v>0</v>
      </c>
      <c r="V1036" s="1417">
        <f>IF(LEFT(V$6,4)&lt;=LEFT('RFM input'!$G$60,4),"enter input",IF(LEFT(V$6,4)&gt;LEFT('RFM input'!$Q$60,4),0,
IF(MATCH(V$6,'RFM input'!$H$60:$Q$60,0),INDEX('RFM input'!$T$7:$T$56,$A1035,1,1))))</f>
        <v>0</v>
      </c>
      <c r="W1036" s="1417">
        <f>IF(LEFT(W$6,4)&lt;=LEFT('RFM input'!$G$60,4),"enter input",IF(LEFT(W$6,4)&gt;LEFT('RFM input'!$Q$60,4),0,
IF(MATCH(W$6,'RFM input'!$H$60:$Q$60,0),INDEX('RFM input'!$T$7:$T$56,$A1035,1,1))))</f>
        <v>0</v>
      </c>
      <c r="X1036" s="152"/>
      <c r="Y1036" s="152"/>
      <c r="Z1036" s="152"/>
      <c r="AA1036" s="152"/>
      <c r="AB1036" s="152"/>
    </row>
    <row r="1037" spans="1:28">
      <c r="A1037" s="152"/>
      <c r="B1037" s="193" t="s">
        <v>192</v>
      </c>
      <c r="C1037" s="1419"/>
      <c r="D1037" s="1420">
        <f ca="1">IF(LEFT(D$6,4)&lt;=LEFT('RFM input'!$G$60,4),"enter input",IF(LEFT(D$6,4)&gt;LEFT('RFM input'!$Q$60,4),0,
IF(D$6=(OFFSET('RFM input'!$G$60,0,'RFM input'!$V$7)),OFFSET('RFM input'!$H$411,$A1035,0),0)))</f>
        <v>0</v>
      </c>
      <c r="E1037" s="1417">
        <f ca="1">IF(LEFT(E$6,4)&lt;=LEFT('RFM input'!$G$60,4),"enter input",IF(LEFT(E$6,4)&gt;LEFT('RFM input'!$Q$60,4),0,
IF(E$6=(OFFSET('RFM input'!$G$60,0,'RFM input'!$V$7)),OFFSET('RFM input'!$H$411,$A1035,0),0)))</f>
        <v>0</v>
      </c>
      <c r="F1037" s="1417">
        <f ca="1">IF(LEFT(F$6,4)&lt;=LEFT('RFM input'!$G$60,4),"enter input",IF(LEFT(F$6,4)&gt;LEFT('RFM input'!$Q$60,4),0,
IF(F$6=(OFFSET('RFM input'!$G$60,0,'RFM input'!$V$7)),OFFSET('RFM input'!$H$411,$A1035,0),0)))</f>
        <v>0</v>
      </c>
      <c r="G1037" s="1417">
        <f ca="1">IF(LEFT(G$6,4)&lt;=LEFT('RFM input'!$G$60,4),"enter input",IF(LEFT(G$6,4)&gt;LEFT('RFM input'!$Q$60,4),0,
IF(G$6=(OFFSET('RFM input'!$G$60,0,'RFM input'!$V$7)),OFFSET('RFM input'!$H$411,$A1035,0),0)))</f>
        <v>0</v>
      </c>
      <c r="H1037" s="1417">
        <f ca="1">IF(LEFT(H$6,4)&lt;=LEFT('RFM input'!$G$60,4),"enter input",IF(LEFT(H$6,4)&gt;LEFT('RFM input'!$Q$60,4),0,
IF(H$6=(OFFSET('RFM input'!$G$60,0,'RFM input'!$V$7)),OFFSET('RFM input'!$H$411,$A1035,0),0)))</f>
        <v>0</v>
      </c>
      <c r="I1037" s="1417">
        <f ca="1">IF(LEFT(I$6,4)&lt;=LEFT('RFM input'!$G$60,4),"enter input",IF(LEFT(I$6,4)&gt;LEFT('RFM input'!$Q$60,4),0,
IF(I$6=(OFFSET('RFM input'!$G$60,0,'RFM input'!$V$7)),OFFSET('RFM input'!$H$411,$A1035,0),0)))</f>
        <v>0</v>
      </c>
      <c r="J1037" s="1417">
        <f ca="1">IF(LEFT(J$6,4)&lt;=LEFT('RFM input'!$G$60,4),"enter input",IF(LEFT(J$6,4)&gt;LEFT('RFM input'!$Q$60,4),0,
IF(J$6=(OFFSET('RFM input'!$G$60,0,'RFM input'!$V$7)),OFFSET('RFM input'!$H$411,$A1035,0),0)))</f>
        <v>0</v>
      </c>
      <c r="K1037" s="1417">
        <f ca="1">IF(LEFT(K$6,4)&lt;=LEFT('RFM input'!$G$60,4),"enter input",IF(LEFT(K$6,4)&gt;LEFT('RFM input'!$Q$60,4),0,
IF(K$6=(OFFSET('RFM input'!$G$60,0,'RFM input'!$V$7)),OFFSET('RFM input'!$H$411,$A1035,0),0)))</f>
        <v>0</v>
      </c>
      <c r="L1037" s="1417">
        <f ca="1">IF(LEFT(L$6,4)&lt;=LEFT('RFM input'!$G$60,4),"enter input",IF(LEFT(L$6,4)&gt;LEFT('RFM input'!$Q$60,4),0,
IF(L$6=(OFFSET('RFM input'!$G$60,0,'RFM input'!$V$7)),OFFSET('RFM input'!$H$411,$A1035,0),0)))</f>
        <v>0</v>
      </c>
      <c r="M1037" s="1417">
        <f ca="1">IF(LEFT(M$6,4)&lt;=LEFT('RFM input'!$G$60,4),"enter input",IF(LEFT(M$6,4)&gt;LEFT('RFM input'!$Q$60,4),0,
IF(M$6=(OFFSET('RFM input'!$G$60,0,'RFM input'!$V$7)),OFFSET('RFM input'!$H$411,$A1035,0),0)))</f>
        <v>0</v>
      </c>
      <c r="N1037" s="1417">
        <f ca="1">IF(LEFT(N$6,4)&lt;=LEFT('RFM input'!$G$60,4),"enter input",IF(LEFT(N$6,4)&gt;LEFT('RFM input'!$Q$60,4),0,
IF(N$6=(OFFSET('RFM input'!$G$60,0,'RFM input'!$V$7)),OFFSET('RFM input'!$H$411,$A1035,0),0)))</f>
        <v>0</v>
      </c>
      <c r="O1037" s="1417">
        <f ca="1">IF(LEFT(O$6,4)&lt;=LEFT('RFM input'!$G$60,4),"enter input",IF(LEFT(O$6,4)&gt;LEFT('RFM input'!$Q$60,4),0,
IF(O$6=(OFFSET('RFM input'!$G$60,0,'RFM input'!$V$7)),OFFSET('RFM input'!$H$411,$A1035,0),0)))</f>
        <v>0</v>
      </c>
      <c r="P1037" s="1417">
        <f ca="1">IF(LEFT(P$6,4)&lt;=LEFT('RFM input'!$G$60,4),"enter input",IF(LEFT(P$6,4)&gt;LEFT('RFM input'!$Q$60,4),0,
IF(P$6=(OFFSET('RFM input'!$G$60,0,'RFM input'!$V$7)),OFFSET('RFM input'!$H$411,$A1035,0),0)))</f>
        <v>0</v>
      </c>
      <c r="Q1037" s="1417">
        <f ca="1">IF(LEFT(Q$6,4)&lt;=LEFT('RFM input'!$G$60,4),"enter input",IF(LEFT(Q$6,4)&gt;LEFT('RFM input'!$Q$60,4),0,
IF(Q$6=(OFFSET('RFM input'!$G$60,0,'RFM input'!$V$7)),OFFSET('RFM input'!$H$411,$A1035,0),0)))</f>
        <v>0</v>
      </c>
      <c r="R1037" s="1417">
        <f ca="1">IF(LEFT(R$6,4)&lt;=LEFT('RFM input'!$G$60,4),"enter input",IF(LEFT(R$6,4)&gt;LEFT('RFM input'!$Q$60,4),0,
IF(R$6=(OFFSET('RFM input'!$G$60,0,'RFM input'!$V$7)),OFFSET('RFM input'!$H$411,$A1035,0),0)))</f>
        <v>0</v>
      </c>
      <c r="S1037" s="1417">
        <f ca="1">IF(LEFT(S$6,4)&lt;=LEFT('RFM input'!$G$60,4),"enter input",IF(LEFT(S$6,4)&gt;LEFT('RFM input'!$Q$60,4),0,
IF(S$6=(OFFSET('RFM input'!$G$60,0,'RFM input'!$V$7)),OFFSET('RFM input'!$H$411,$A1035,0),0)))</f>
        <v>0</v>
      </c>
      <c r="T1037" s="1417">
        <f ca="1">IF(LEFT(T$6,4)&lt;=LEFT('RFM input'!$G$60,4),"enter input",IF(LEFT(T$6,4)&gt;LEFT('RFM input'!$Q$60,4),0,
IF(T$6=(OFFSET('RFM input'!$G$60,0,'RFM input'!$V$7)),OFFSET('RFM input'!$H$411,$A1035,0),0)))</f>
        <v>0</v>
      </c>
      <c r="U1037" s="1417">
        <f ca="1">IF(LEFT(U$6,4)&lt;=LEFT('RFM input'!$G$60,4),"enter input",IF(LEFT(U$6,4)&gt;LEFT('RFM input'!$Q$60,4),0,
IF(U$6=(OFFSET('RFM input'!$G$60,0,'RFM input'!$V$7)),OFFSET('RFM input'!$H$411,$A1035,0),0)))</f>
        <v>0</v>
      </c>
      <c r="V1037" s="1417">
        <f ca="1">IF(LEFT(V$6,4)&lt;=LEFT('RFM input'!$G$60,4),"enter input",IF(LEFT(V$6,4)&gt;LEFT('RFM input'!$Q$60,4),0,
IF(V$6=(OFFSET('RFM input'!$G$60,0,'RFM input'!$V$7)),OFFSET('RFM input'!$H$411,$A1035,0),0)))</f>
        <v>0</v>
      </c>
      <c r="W1037" s="1417">
        <f ca="1">IF(LEFT(W$6,4)&lt;=LEFT('RFM input'!$G$60,4),"enter input",IF(LEFT(W$6,4)&gt;LEFT('RFM input'!$Q$60,4),0,
IF(W$6=(OFFSET('RFM input'!$G$60,0,'RFM input'!$V$7)),OFFSET('RFM input'!$H$411,$A1035,0),0)))</f>
        <v>0</v>
      </c>
      <c r="X1037" s="152"/>
      <c r="Y1037" s="152"/>
      <c r="Z1037" s="152"/>
      <c r="AA1037" s="152"/>
      <c r="AB1037" s="152"/>
    </row>
    <row r="1038" spans="1:28">
      <c r="A1038" s="152"/>
      <c r="B1038" s="193" t="s">
        <v>200</v>
      </c>
      <c r="C1038" s="1419"/>
      <c r="D1038" s="1418">
        <f ca="1">IF(LEFT(D$6,4)&lt;=LEFT('RFM input'!$G$60,4),"enter input",IF(LEFT(D$6,4)&gt;LEFT('RFM input'!$Q$60,4),0,
IF(D$6=(OFFSET('RFM input'!$G$60,0,'RFM input'!$V$7)),OFFSET('RFM input'!$J$411,$A1035,0),0)))</f>
        <v>0</v>
      </c>
      <c r="E1038" s="1422">
        <f ca="1">IF(LEFT(E$6,4)&lt;=LEFT('RFM input'!$G$60,4),"enter input",IF(LEFT(E$6,4)&gt;LEFT('RFM input'!$Q$60,4),0,
IF(E$6=(OFFSET('RFM input'!$G$60,0,'RFM input'!$V$7)),OFFSET('RFM input'!$J$411,$A1035,0),0)))</f>
        <v>0</v>
      </c>
      <c r="F1038" s="1422">
        <f ca="1">IF(LEFT(F$6,4)&lt;=LEFT('RFM input'!$G$60,4),"enter input",IF(LEFT(F$6,4)&gt;LEFT('RFM input'!$Q$60,4),0,
IF(F$6=(OFFSET('RFM input'!$G$60,0,'RFM input'!$V$7)),OFFSET('RFM input'!$J$411,$A1035,0),0)))</f>
        <v>0</v>
      </c>
      <c r="G1038" s="1422">
        <f ca="1">IF(LEFT(G$6,4)&lt;=LEFT('RFM input'!$G$60,4),"enter input",IF(LEFT(G$6,4)&gt;LEFT('RFM input'!$Q$60,4),0,
IF(G$6=(OFFSET('RFM input'!$G$60,0,'RFM input'!$V$7)),OFFSET('RFM input'!$J$411,$A1035,0),0)))</f>
        <v>0</v>
      </c>
      <c r="H1038" s="1422">
        <f ca="1">IF(LEFT(H$6,4)&lt;=LEFT('RFM input'!$G$60,4),"enter input",IF(LEFT(H$6,4)&gt;LEFT('RFM input'!$Q$60,4),0,
IF(H$6=(OFFSET('RFM input'!$G$60,0,'RFM input'!$V$7)),OFFSET('RFM input'!$J$411,$A1035,0),0)))</f>
        <v>0</v>
      </c>
      <c r="I1038" s="1422">
        <f ca="1">IF(LEFT(I$6,4)&lt;=LEFT('RFM input'!$G$60,4),"enter input",IF(LEFT(I$6,4)&gt;LEFT('RFM input'!$Q$60,4),0,
IF(I$6=(OFFSET('RFM input'!$G$60,0,'RFM input'!$V$7)),OFFSET('RFM input'!$J$411,$A1035,0),0)))</f>
        <v>0</v>
      </c>
      <c r="J1038" s="1422">
        <f ca="1">IF(LEFT(J$6,4)&lt;=LEFT('RFM input'!$G$60,4),"enter input",IF(LEFT(J$6,4)&gt;LEFT('RFM input'!$Q$60,4),0,
IF(J$6=(OFFSET('RFM input'!$G$60,0,'RFM input'!$V$7)),OFFSET('RFM input'!$J$411,$A1035,0),0)))</f>
        <v>0</v>
      </c>
      <c r="K1038" s="1422">
        <f ca="1">IF(LEFT(K$6,4)&lt;=LEFT('RFM input'!$G$60,4),"enter input",IF(LEFT(K$6,4)&gt;LEFT('RFM input'!$Q$60,4),0,
IF(K$6=(OFFSET('RFM input'!$G$60,0,'RFM input'!$V$7)),OFFSET('RFM input'!$J$411,$A1035,0),0)))</f>
        <v>0</v>
      </c>
      <c r="L1038" s="1422">
        <f ca="1">IF(LEFT(L$6,4)&lt;=LEFT('RFM input'!$G$60,4),"enter input",IF(LEFT(L$6,4)&gt;LEFT('RFM input'!$Q$60,4),0,
IF(L$6=(OFFSET('RFM input'!$G$60,0,'RFM input'!$V$7)),OFFSET('RFM input'!$J$411,$A1035,0),0)))</f>
        <v>0</v>
      </c>
      <c r="M1038" s="1422">
        <f ca="1">IF(LEFT(M$6,4)&lt;=LEFT('RFM input'!$G$60,4),"enter input",IF(LEFT(M$6,4)&gt;LEFT('RFM input'!$Q$60,4),0,
IF(M$6=(OFFSET('RFM input'!$G$60,0,'RFM input'!$V$7)),OFFSET('RFM input'!$J$411,$A1035,0),0)))</f>
        <v>0</v>
      </c>
      <c r="N1038" s="1422">
        <f ca="1">IF(LEFT(N$6,4)&lt;=LEFT('RFM input'!$G$60,4),"enter input",IF(LEFT(N$6,4)&gt;LEFT('RFM input'!$Q$60,4),0,
IF(N$6=(OFFSET('RFM input'!$G$60,0,'RFM input'!$V$7)),OFFSET('RFM input'!$J$411,$A1035,0),0)))</f>
        <v>0</v>
      </c>
      <c r="O1038" s="1422">
        <f ca="1">IF(LEFT(O$6,4)&lt;=LEFT('RFM input'!$G$60,4),"enter input",IF(LEFT(O$6,4)&gt;LEFT('RFM input'!$Q$60,4),0,
IF(O$6=(OFFSET('RFM input'!$G$60,0,'RFM input'!$V$7)),OFFSET('RFM input'!$J$411,$A1035,0),0)))</f>
        <v>0</v>
      </c>
      <c r="P1038" s="1422">
        <f ca="1">IF(LEFT(P$6,4)&lt;=LEFT('RFM input'!$G$60,4),"enter input",IF(LEFT(P$6,4)&gt;LEFT('RFM input'!$Q$60,4),0,
IF(P$6=(OFFSET('RFM input'!$G$60,0,'RFM input'!$V$7)),OFFSET('RFM input'!$J$411,$A1035,0),0)))</f>
        <v>0</v>
      </c>
      <c r="Q1038" s="1422">
        <f ca="1">IF(LEFT(Q$6,4)&lt;=LEFT('RFM input'!$G$60,4),"enter input",IF(LEFT(Q$6,4)&gt;LEFT('RFM input'!$Q$60,4),0,
IF(Q$6=(OFFSET('RFM input'!$G$60,0,'RFM input'!$V$7)),OFFSET('RFM input'!$J$411,$A1035,0),0)))</f>
        <v>0</v>
      </c>
      <c r="R1038" s="1422">
        <f ca="1">IF(LEFT(R$6,4)&lt;=LEFT('RFM input'!$G$60,4),"enter input",IF(LEFT(R$6,4)&gt;LEFT('RFM input'!$Q$60,4),0,
IF(R$6=(OFFSET('RFM input'!$G$60,0,'RFM input'!$V$7)),OFFSET('RFM input'!$J$411,$A1035,0),0)))</f>
        <v>0</v>
      </c>
      <c r="S1038" s="1422">
        <f ca="1">IF(LEFT(S$6,4)&lt;=LEFT('RFM input'!$G$60,4),"enter input",IF(LEFT(S$6,4)&gt;LEFT('RFM input'!$Q$60,4),0,
IF(S$6=(OFFSET('RFM input'!$G$60,0,'RFM input'!$V$7)),OFFSET('RFM input'!$J$411,$A1035,0),0)))</f>
        <v>0</v>
      </c>
      <c r="T1038" s="1422">
        <f ca="1">IF(LEFT(T$6,4)&lt;=LEFT('RFM input'!$G$60,4),"enter input",IF(LEFT(T$6,4)&gt;LEFT('RFM input'!$Q$60,4),0,
IF(T$6=(OFFSET('RFM input'!$G$60,0,'RFM input'!$V$7)),OFFSET('RFM input'!$J$411,$A1035,0),0)))</f>
        <v>0</v>
      </c>
      <c r="U1038" s="1422">
        <f ca="1">IF(LEFT(U$6,4)&lt;=LEFT('RFM input'!$G$60,4),"enter input",IF(LEFT(U$6,4)&gt;LEFT('RFM input'!$Q$60,4),0,
IF(U$6=(OFFSET('RFM input'!$G$60,0,'RFM input'!$V$7)),OFFSET('RFM input'!$J$411,$A1035,0),0)))</f>
        <v>0</v>
      </c>
      <c r="V1038" s="1422">
        <f ca="1">IF(LEFT(V$6,4)&lt;=LEFT('RFM input'!$G$60,4),"enter input",IF(LEFT(V$6,4)&gt;LEFT('RFM input'!$Q$60,4),0,
IF(V$6=(OFFSET('RFM input'!$G$60,0,'RFM input'!$V$7)),OFFSET('RFM input'!$J$411,$A1035,0),0)))</f>
        <v>0</v>
      </c>
      <c r="W1038" s="1422">
        <f ca="1">IF(LEFT(W$6,4)&lt;=LEFT('RFM input'!$G$60,4),"enter input",IF(LEFT(W$6,4)&gt;LEFT('RFM input'!$Q$60,4),0,
IF(W$6=(OFFSET('RFM input'!$G$60,0,'RFM input'!$V$7)),OFFSET('RFM input'!$J$411,$A1035,0),0)))</f>
        <v>0</v>
      </c>
      <c r="X1038" s="152"/>
      <c r="Y1038" s="152"/>
      <c r="Z1038" s="152"/>
      <c r="AA1038" s="152"/>
      <c r="AB1038" s="152"/>
    </row>
    <row r="1039" spans="1:28" hidden="1" outlineLevel="1">
      <c r="A1039" s="235">
        <v>-1</v>
      </c>
      <c r="B1039" s="190" t="s">
        <v>195</v>
      </c>
      <c r="C1039" s="1423"/>
      <c r="D1039" s="1423">
        <f t="shared" ref="D1039" ca="1" si="1472">IF(AND(D1037=0,C1039=0),0,
IF(AND(D1037&lt;&gt;0,C1039=0),D1037,
IF(AND(D1038&lt;&gt;0,C1039&lt;&gt;0),(C1039-(C1039/C1063))+D1037,
IF(C1063&lt;1,0,(C1039-(C1039/C1063))))))</f>
        <v>0</v>
      </c>
      <c r="E1039" s="1423">
        <f t="shared" ref="E1039" ca="1" si="1473">IF(AND(E1037=0,D1039=0),0,
IF(AND(E1037&lt;&gt;0,D1039=0),E1037,
IF(AND(E1038&lt;&gt;0,D1039&lt;&gt;0),(D1039-(D1039/D1063))+E1037,
IF(D1063&lt;1,0,(D1039-(D1039/D1063))))))</f>
        <v>0</v>
      </c>
      <c r="F1039" s="1423">
        <f t="shared" ref="F1039" ca="1" si="1474">IF(AND(F1037=0,E1039=0),0,
IF(AND(F1037&lt;&gt;0,E1039=0),F1037,
IF(AND(F1038&lt;&gt;0,E1039&lt;&gt;0),(E1039-(E1039/E1063))+F1037,
IF(E1063&lt;1,0,(E1039-(E1039/E1063))))))</f>
        <v>0</v>
      </c>
      <c r="G1039" s="1423">
        <f t="shared" ref="G1039" ca="1" si="1475">IF(AND(G1037=0,F1039=0),0,
IF(AND(G1037&lt;&gt;0,F1039=0),G1037,
IF(AND(G1038&lt;&gt;0,F1039&lt;&gt;0),(F1039-(F1039/F1063))+G1037,
IF(F1063&lt;1,0,(F1039-(F1039/F1063))))))</f>
        <v>0</v>
      </c>
      <c r="H1039" s="1423">
        <f ca="1">IF(AND(H1037=0,G1039=0),0,
IF(AND(H1037&lt;&gt;0,G1039=0),H1037,
IF(AND(H1038&lt;&gt;0,G1039&lt;&gt;0),(G1039-(G1039/G1063))+H1037,
IF(G1063&lt;1,0,(G1039-(G1039/G1063))))))</f>
        <v>0</v>
      </c>
      <c r="I1039" s="1423">
        <f t="shared" ref="I1039" ca="1" si="1476">IF(AND(I1037=0,H1039=0),0,
IF(AND(I1037&lt;&gt;0,H1039=0),I1037,
IF(AND(I1038&lt;&gt;0,H1039&lt;&gt;0),(H1039-(H1039/H1063))+I1037,
IF(H1063&lt;1,0,(H1039-(H1039/H1063))))))</f>
        <v>0</v>
      </c>
      <c r="J1039" s="1423">
        <f t="shared" ref="J1039" ca="1" si="1477">IF(AND(J1037=0,I1039=0),0,
IF(AND(J1037&lt;&gt;0,I1039=0),J1037,
IF(AND(J1038&lt;&gt;0,I1039&lt;&gt;0),(I1039-(I1039/I1063))+J1037,
IF(I1063&lt;1,0,(I1039-(I1039/I1063))))))</f>
        <v>0</v>
      </c>
      <c r="K1039" s="1423">
        <f t="shared" ref="K1039" ca="1" si="1478">IF(AND(K1037=0,J1039=0),0,
IF(AND(K1037&lt;&gt;0,J1039=0),K1037,
IF(AND(K1038&lt;&gt;0,J1039&lt;&gt;0),(J1039-(J1039/J1063))+K1037,
IF(J1063&lt;1,0,(J1039-(J1039/J1063))))))</f>
        <v>0</v>
      </c>
      <c r="L1039" s="1423">
        <f t="shared" ref="L1039" ca="1" si="1479">IF(AND(L1037=0,K1039=0),0,
IF(AND(L1037&lt;&gt;0,K1039=0),L1037,
IF(AND(L1038&lt;&gt;0,K1039&lt;&gt;0),(K1039-(K1039/K1063))+L1037,
IF(K1063&lt;1,0,(K1039-(K1039/K1063))))))</f>
        <v>0</v>
      </c>
      <c r="M1039" s="1423">
        <f t="shared" ref="M1039" ca="1" si="1480">IF(AND(M1037=0,L1039=0),0,
IF(AND(M1037&lt;&gt;0,L1039=0),M1037,
IF(AND(M1038&lt;&gt;0,L1039&lt;&gt;0),(L1039-(L1039/L1063))+M1037,
IF(L1063&lt;1,0,(L1039-(L1039/L1063))))))</f>
        <v>0</v>
      </c>
      <c r="N1039" s="1423">
        <f t="shared" ref="N1039" ca="1" si="1481">IF(AND(N1037=0,M1039=0),0,
IF(AND(N1037&lt;&gt;0,M1039=0),N1037,
IF(AND(N1038&lt;&gt;0,M1039&lt;&gt;0),(M1039-(M1039/M1063))+N1037,
IF(M1063&lt;1,0,(M1039-(M1039/M1063))))))</f>
        <v>0</v>
      </c>
      <c r="O1039" s="1423">
        <f t="shared" ref="O1039" ca="1" si="1482">IF(AND(O1037=0,N1039=0),0,
IF(AND(O1037&lt;&gt;0,N1039=0),O1037,
IF(AND(O1038&lt;&gt;0,N1039&lt;&gt;0),(N1039-(N1039/N1063))+O1037,
IF(N1063&lt;1,0,(N1039-(N1039/N1063))))))</f>
        <v>0</v>
      </c>
      <c r="P1039" s="1423">
        <f t="shared" ref="P1039" ca="1" si="1483">IF(AND(P1037=0,O1039=0),0,
IF(AND(P1037&lt;&gt;0,O1039=0),P1037,
IF(AND(P1038&lt;&gt;0,O1039&lt;&gt;0),(O1039-(O1039/O1063))+P1037,
IF(O1063&lt;1,0,(O1039-(O1039/O1063))))))</f>
        <v>0</v>
      </c>
      <c r="Q1039" s="1423">
        <f t="shared" ref="Q1039" ca="1" si="1484">IF(AND(Q1037=0,P1039=0),0,
IF(AND(Q1037&lt;&gt;0,P1039=0),Q1037,
IF(AND(Q1038&lt;&gt;0,P1039&lt;&gt;0),(P1039-(P1039/P1063))+Q1037,
IF(P1063&lt;1,0,(P1039-(P1039/P1063))))))</f>
        <v>0</v>
      </c>
      <c r="R1039" s="1423">
        <f t="shared" ref="R1039" ca="1" si="1485">IF(AND(R1037=0,Q1039=0),0,
IF(AND(R1037&lt;&gt;0,Q1039=0),R1037,
IF(AND(R1038&lt;&gt;0,Q1039&lt;&gt;0),(Q1039-(Q1039/Q1063))+R1037,
IF(Q1063&lt;1,0,(Q1039-(Q1039/Q1063))))))</f>
        <v>0</v>
      </c>
      <c r="S1039" s="1423">
        <f t="shared" ref="S1039" ca="1" si="1486">IF(AND(S1037=0,R1039=0),0,
IF(AND(S1037&lt;&gt;0,R1039=0),S1037,
IF(AND(S1038&lt;&gt;0,R1039&lt;&gt;0),(R1039-(R1039/R1063))+S1037,
IF(R1063&lt;1,0,(R1039-(R1039/R1063))))))</f>
        <v>0</v>
      </c>
      <c r="T1039" s="1423">
        <f t="shared" ref="T1039" ca="1" si="1487">IF(AND(T1037=0,S1039=0),0,
IF(AND(T1037&lt;&gt;0,S1039=0),T1037,
IF(AND(T1038&lt;&gt;0,S1039&lt;&gt;0),(S1039-(S1039/S1063))+T1037,
IF(S1063&lt;1,0,(S1039-(S1039/S1063))))))</f>
        <v>0</v>
      </c>
      <c r="U1039" s="1423">
        <f t="shared" ref="U1039" ca="1" si="1488">IF(AND(U1037=0,T1039=0),0,
IF(AND(U1037&lt;&gt;0,T1039=0),U1037,
IF(AND(U1038&lt;&gt;0,T1039&lt;&gt;0),(T1039-(T1039/T1063))+U1037,
IF(T1063&lt;1,0,(T1039-(T1039/T1063))))))</f>
        <v>0</v>
      </c>
      <c r="V1039" s="1423">
        <f t="shared" ref="V1039" ca="1" si="1489">IF(AND(V1037=0,U1039=0),0,
IF(AND(V1037&lt;&gt;0,U1039=0),V1037,
IF(AND(V1038&lt;&gt;0,U1039&lt;&gt;0),(U1039-(U1039/U1063))+V1037,
IF(U1063&lt;1,0,(U1039-(U1039/U1063))))))</f>
        <v>0</v>
      </c>
      <c r="W1039" s="1423">
        <f t="shared" ref="W1039" ca="1" si="1490">IF(AND(W1037=0,V1039=0),0,
IF(AND(W1037&lt;&gt;0,V1039=0),W1037,
IF(AND(W1038&lt;&gt;0,V1039&lt;&gt;0),(V1039-(V1039/V1063))+W1037,
IF(V1063&lt;1,0,(V1039-(V1039/V1063))))))</f>
        <v>0</v>
      </c>
      <c r="X1039" s="152"/>
      <c r="Y1039" s="152"/>
      <c r="Z1039" s="152"/>
      <c r="AA1039" s="152"/>
      <c r="AB1039" s="152"/>
    </row>
    <row r="1040" spans="1:28" hidden="1" outlineLevel="1">
      <c r="A1040" s="199">
        <f>A1039+1</f>
        <v>0</v>
      </c>
      <c r="B1040" s="190" t="s">
        <v>527</v>
      </c>
      <c r="C1040" s="1423">
        <f ca="1">C1035</f>
        <v>0</v>
      </c>
      <c r="D1040" s="1423">
        <f ca="1">IF(C1064="n/a",C1040,IFERROR(IF((OFFSET($C1040,0,$A1040))&lt;0,
MIN(0,C1040-(OFFSET($C1040,0,$A1040)/(OFFSET($C1035,-$A1039,$A1040)))),
MAX(0,C1040-(OFFSET($C1040,0,$A1040)/(OFFSET($C1035,-$A1039,$A1040))))),0))</f>
        <v>0</v>
      </c>
      <c r="E1040" s="1423">
        <f t="shared" ref="E1040" ca="1" si="1491">IF(D1064="n/a",D1040,IFERROR(IF((OFFSET($C1040,0,$A1040))&lt;0,
MIN(0,D1040-(OFFSET($C1040,0,$A1040)/(OFFSET($C1035,-$A1039,$A1040)))),
MAX(0,D1040-(OFFSET($C1040,0,$A1040)/(OFFSET($C1035,-$A1039,$A1040))))),0))</f>
        <v>0</v>
      </c>
      <c r="F1040" s="1423">
        <f t="shared" ref="F1040:F1041" ca="1" si="1492">IF(E1064="n/a",E1040,IFERROR(IF((OFFSET($C1040,0,$A1040))&lt;0,
MIN(0,E1040-(OFFSET($C1040,0,$A1040)/(OFFSET($C1035,-$A1039,$A1040)))),
MAX(0,E1040-(OFFSET($C1040,0,$A1040)/(OFFSET($C1035,-$A1039,$A1040))))),0))</f>
        <v>0</v>
      </c>
      <c r="G1040" s="1423">
        <f t="shared" ref="G1040:G1042" ca="1" si="1493">IF(F1064="n/a",F1040,IFERROR(IF((OFFSET($C1040,0,$A1040))&lt;0,
MIN(0,F1040-(OFFSET($C1040,0,$A1040)/(OFFSET($C1035,-$A1039,$A1040)))),
MAX(0,F1040-(OFFSET($C1040,0,$A1040)/(OFFSET($C1035,-$A1039,$A1040))))),0))</f>
        <v>0</v>
      </c>
      <c r="H1040" s="1423">
        <f t="shared" ref="H1040:H1043" ca="1" si="1494">IF(G1064="n/a",G1040,IFERROR(IF((OFFSET($C1040,0,$A1040))&lt;0,
MIN(0,G1040-(OFFSET($C1040,0,$A1040)/(OFFSET($C1035,-$A1039,$A1040)))),
MAX(0,G1040-(OFFSET($C1040,0,$A1040)/(OFFSET($C1035,-$A1039,$A1040))))),0))</f>
        <v>0</v>
      </c>
      <c r="I1040" s="1423">
        <f t="shared" ref="I1040:I1044" ca="1" si="1495">IF(H1064="n/a",H1040,IFERROR(IF((OFFSET($C1040,0,$A1040))&lt;0,
MIN(0,H1040-(OFFSET($C1040,0,$A1040)/(OFFSET($C1035,-$A1039,$A1040)))),
MAX(0,H1040-(OFFSET($C1040,0,$A1040)/(OFFSET($C1035,-$A1039,$A1040))))),0))</f>
        <v>0</v>
      </c>
      <c r="J1040" s="1423">
        <f t="shared" ref="J1040:J1045" ca="1" si="1496">IF(I1064="n/a",I1040,IFERROR(IF((OFFSET($C1040,0,$A1040))&lt;0,
MIN(0,I1040-(OFFSET($C1040,0,$A1040)/(OFFSET($C1035,-$A1039,$A1040)))),
MAX(0,I1040-(OFFSET($C1040,0,$A1040)/(OFFSET($C1035,-$A1039,$A1040))))),0))</f>
        <v>0</v>
      </c>
      <c r="K1040" s="1423">
        <f t="shared" ref="K1040:K1046" ca="1" si="1497">IF(J1064="n/a",J1040,IFERROR(IF((OFFSET($C1040,0,$A1040))&lt;0,
MIN(0,J1040-(OFFSET($C1040,0,$A1040)/(OFFSET($C1035,-$A1039,$A1040)))),
MAX(0,J1040-(OFFSET($C1040,0,$A1040)/(OFFSET($C1035,-$A1039,$A1040))))),0))</f>
        <v>0</v>
      </c>
      <c r="L1040" s="1423">
        <f t="shared" ref="L1040:L1047" ca="1" si="1498">IF(K1064="n/a",K1040,IFERROR(IF((OFFSET($C1040,0,$A1040))&lt;0,
MIN(0,K1040-(OFFSET($C1040,0,$A1040)/(OFFSET($C1035,-$A1039,$A1040)))),
MAX(0,K1040-(OFFSET($C1040,0,$A1040)/(OFFSET($C1035,-$A1039,$A1040))))),0))</f>
        <v>0</v>
      </c>
      <c r="M1040" s="1423">
        <f t="shared" ref="M1040:M1048" ca="1" si="1499">IF(L1064="n/a",L1040,IFERROR(IF((OFFSET($C1040,0,$A1040))&lt;0,
MIN(0,L1040-(OFFSET($C1040,0,$A1040)/(OFFSET($C1035,-$A1039,$A1040)))),
MAX(0,L1040-(OFFSET($C1040,0,$A1040)/(OFFSET($C1035,-$A1039,$A1040))))),0))</f>
        <v>0</v>
      </c>
      <c r="N1040" s="1423">
        <f t="shared" ref="N1040:N1049" ca="1" si="1500">IF(M1064="n/a",M1040,IFERROR(IF((OFFSET($C1040,0,$A1040))&lt;0,
MIN(0,M1040-(OFFSET($C1040,0,$A1040)/(OFFSET($C1035,-$A1039,$A1040)))),
MAX(0,M1040-(OFFSET($C1040,0,$A1040)/(OFFSET($C1035,-$A1039,$A1040))))),0))</f>
        <v>0</v>
      </c>
      <c r="O1040" s="1423">
        <f t="shared" ref="O1040:O1050" ca="1" si="1501">IF(N1064="n/a",N1040,IFERROR(IF((OFFSET($C1040,0,$A1040))&lt;0,
MIN(0,N1040-(OFFSET($C1040,0,$A1040)/(OFFSET($C1035,-$A1039,$A1040)))),
MAX(0,N1040-(OFFSET($C1040,0,$A1040)/(OFFSET($C1035,-$A1039,$A1040))))),0))</f>
        <v>0</v>
      </c>
      <c r="P1040" s="1423">
        <f t="shared" ref="P1040:P1051" ca="1" si="1502">IF(O1064="n/a",O1040,IFERROR(IF((OFFSET($C1040,0,$A1040))&lt;0,
MIN(0,O1040-(OFFSET($C1040,0,$A1040)/(OFFSET($C1035,-$A1039,$A1040)))),
MAX(0,O1040-(OFFSET($C1040,0,$A1040)/(OFFSET($C1035,-$A1039,$A1040))))),0))</f>
        <v>0</v>
      </c>
      <c r="Q1040" s="1423">
        <f t="shared" ref="Q1040:Q1052" ca="1" si="1503">IF(P1064="n/a",P1040,IFERROR(IF((OFFSET($C1040,0,$A1040))&lt;0,
MIN(0,P1040-(OFFSET($C1040,0,$A1040)/(OFFSET($C1035,-$A1039,$A1040)))),
MAX(0,P1040-(OFFSET($C1040,0,$A1040)/(OFFSET($C1035,-$A1039,$A1040))))),0))</f>
        <v>0</v>
      </c>
      <c r="R1040" s="1423">
        <f t="shared" ref="R1040:R1053" ca="1" si="1504">IF(Q1064="n/a",Q1040,IFERROR(IF((OFFSET($C1040,0,$A1040))&lt;0,
MIN(0,Q1040-(OFFSET($C1040,0,$A1040)/(OFFSET($C1035,-$A1039,$A1040)))),
MAX(0,Q1040-(OFFSET($C1040,0,$A1040)/(OFFSET($C1035,-$A1039,$A1040))))),0))</f>
        <v>0</v>
      </c>
      <c r="S1040" s="1423">
        <f t="shared" ref="S1040:S1054" ca="1" si="1505">IF(R1064="n/a",R1040,IFERROR(IF((OFFSET($C1040,0,$A1040))&lt;0,
MIN(0,R1040-(OFFSET($C1040,0,$A1040)/(OFFSET($C1035,-$A1039,$A1040)))),
MAX(0,R1040-(OFFSET($C1040,0,$A1040)/(OFFSET($C1035,-$A1039,$A1040))))),0))</f>
        <v>0</v>
      </c>
      <c r="T1040" s="1423">
        <f t="shared" ref="T1040:T1055" ca="1" si="1506">IF(S1064="n/a",S1040,IFERROR(IF((OFFSET($C1040,0,$A1040))&lt;0,
MIN(0,S1040-(OFFSET($C1040,0,$A1040)/(OFFSET($C1035,-$A1039,$A1040)))),
MAX(0,S1040-(OFFSET($C1040,0,$A1040)/(OFFSET($C1035,-$A1039,$A1040))))),0))</f>
        <v>0</v>
      </c>
      <c r="U1040" s="1423">
        <f t="shared" ref="U1040:U1056" ca="1" si="1507">IF(T1064="n/a",T1040,IFERROR(IF((OFFSET($C1040,0,$A1040))&lt;0,
MIN(0,T1040-(OFFSET($C1040,0,$A1040)/(OFFSET($C1035,-$A1039,$A1040)))),
MAX(0,T1040-(OFFSET($C1040,0,$A1040)/(OFFSET($C1035,-$A1039,$A1040))))),0))</f>
        <v>0</v>
      </c>
      <c r="V1040" s="1423">
        <f t="shared" ref="V1040:V1057" ca="1" si="1508">IF(U1064="n/a",U1040,IFERROR(IF((OFFSET($C1040,0,$A1040))&lt;0,
MIN(0,U1040-(OFFSET($C1040,0,$A1040)/(OFFSET($C1035,-$A1039,$A1040)))),
MAX(0,U1040-(OFFSET($C1040,0,$A1040)/(OFFSET($C1035,-$A1039,$A1040))))),0))</f>
        <v>0</v>
      </c>
      <c r="W1040" s="1423">
        <f t="shared" ref="W1040:W1058" ca="1" si="1509">IF(V1064="n/a",V1040,IFERROR(IF((OFFSET($C1040,0,$A1040))&lt;0,
MIN(0,V1040-(OFFSET($C1040,0,$A1040)/(OFFSET($C1035,-$A1039,$A1040)))),
MAX(0,V1040-(OFFSET($C1040,0,$A1040)/(OFFSET($C1035,-$A1039,$A1040))))),0))</f>
        <v>0</v>
      </c>
      <c r="X1040" s="152"/>
      <c r="Y1040" s="152"/>
      <c r="Z1040" s="152"/>
      <c r="AA1040" s="152"/>
      <c r="AB1040" s="152"/>
    </row>
    <row r="1041" spans="1:28" hidden="1" outlineLevel="1">
      <c r="A1041" s="199">
        <f t="shared" ref="A1041:A1060" si="1510">A1040+1</f>
        <v>1</v>
      </c>
      <c r="B1041" s="190" t="str">
        <f t="shared" ref="B1041:B1060" ca="1" si="1511">"Depreciated Net Capex "&amp;OFFSET($C$6,0,A1041)</f>
        <v>Depreciated Net Capex 2016-17</v>
      </c>
      <c r="C1041" s="1424"/>
      <c r="D1041" s="1425">
        <f>D1035</f>
        <v>0</v>
      </c>
      <c r="E1041" s="1423">
        <f ca="1">IF(D1065="n/a",D1041,IFERROR(IF((OFFSET($C1041,0,$A1041))&lt;0,
MIN(0,D1041-(OFFSET($C1041,0,$A1041)/(OFFSET($C1036,-$A1040,$A1041)))),
MAX(0,D1041-(OFFSET($C1041,0,$A1041)/(OFFSET($C1036,-$A1040,$A1041))))),0))</f>
        <v>0</v>
      </c>
      <c r="F1041" s="1423">
        <f t="shared" ca="1" si="1492"/>
        <v>0</v>
      </c>
      <c r="G1041" s="1423">
        <f t="shared" ca="1" si="1493"/>
        <v>0</v>
      </c>
      <c r="H1041" s="1423">
        <f t="shared" ca="1" si="1494"/>
        <v>0</v>
      </c>
      <c r="I1041" s="1423">
        <f t="shared" ca="1" si="1495"/>
        <v>0</v>
      </c>
      <c r="J1041" s="1423">
        <f t="shared" ca="1" si="1496"/>
        <v>0</v>
      </c>
      <c r="K1041" s="1423">
        <f t="shared" ca="1" si="1497"/>
        <v>0</v>
      </c>
      <c r="L1041" s="1423">
        <f t="shared" ca="1" si="1498"/>
        <v>0</v>
      </c>
      <c r="M1041" s="1423">
        <f t="shared" ca="1" si="1499"/>
        <v>0</v>
      </c>
      <c r="N1041" s="1423">
        <f t="shared" ca="1" si="1500"/>
        <v>0</v>
      </c>
      <c r="O1041" s="1423">
        <f t="shared" ca="1" si="1501"/>
        <v>0</v>
      </c>
      <c r="P1041" s="1423">
        <f t="shared" ca="1" si="1502"/>
        <v>0</v>
      </c>
      <c r="Q1041" s="1423">
        <f t="shared" ca="1" si="1503"/>
        <v>0</v>
      </c>
      <c r="R1041" s="1423">
        <f t="shared" ca="1" si="1504"/>
        <v>0</v>
      </c>
      <c r="S1041" s="1423">
        <f t="shared" ca="1" si="1505"/>
        <v>0</v>
      </c>
      <c r="T1041" s="1423">
        <f t="shared" ca="1" si="1506"/>
        <v>0</v>
      </c>
      <c r="U1041" s="1423">
        <f t="shared" ca="1" si="1507"/>
        <v>0</v>
      </c>
      <c r="V1041" s="1423">
        <f t="shared" ca="1" si="1508"/>
        <v>0</v>
      </c>
      <c r="W1041" s="1423">
        <f t="shared" ca="1" si="1509"/>
        <v>0</v>
      </c>
      <c r="X1041" s="152"/>
      <c r="Y1041" s="152"/>
      <c r="Z1041" s="152"/>
      <c r="AA1041" s="152"/>
      <c r="AB1041" s="152"/>
    </row>
    <row r="1042" spans="1:28" hidden="1" outlineLevel="1">
      <c r="A1042" s="199">
        <f t="shared" si="1510"/>
        <v>2</v>
      </c>
      <c r="B1042" s="190" t="str">
        <f t="shared" ca="1" si="1511"/>
        <v>Depreciated Net Capex 2017-18</v>
      </c>
      <c r="C1042" s="1426"/>
      <c r="D1042" s="1427"/>
      <c r="E1042" s="1425">
        <f>E1035</f>
        <v>0</v>
      </c>
      <c r="F1042" s="1423">
        <f ca="1">IF(E1066="n/a",E1042,IFERROR(IF((OFFSET($C1042,0,$A1042))&lt;0,
MIN(0,E1042-(OFFSET($C1042,0,$A1042)/(OFFSET($C1037,-$A1041,$A1042)))),
MAX(0,E1042-(OFFSET($C1042,0,$A1042)/(OFFSET($C1037,-$A1041,$A1042))))),0))</f>
        <v>0</v>
      </c>
      <c r="G1042" s="1423">
        <f t="shared" ca="1" si="1493"/>
        <v>0</v>
      </c>
      <c r="H1042" s="1423">
        <f t="shared" ca="1" si="1494"/>
        <v>0</v>
      </c>
      <c r="I1042" s="1423">
        <f t="shared" ca="1" si="1495"/>
        <v>0</v>
      </c>
      <c r="J1042" s="1423">
        <f t="shared" ca="1" si="1496"/>
        <v>0</v>
      </c>
      <c r="K1042" s="1423">
        <f t="shared" ca="1" si="1497"/>
        <v>0</v>
      </c>
      <c r="L1042" s="1423">
        <f t="shared" ca="1" si="1498"/>
        <v>0</v>
      </c>
      <c r="M1042" s="1423">
        <f t="shared" ca="1" si="1499"/>
        <v>0</v>
      </c>
      <c r="N1042" s="1423">
        <f t="shared" ca="1" si="1500"/>
        <v>0</v>
      </c>
      <c r="O1042" s="1423">
        <f t="shared" ca="1" si="1501"/>
        <v>0</v>
      </c>
      <c r="P1042" s="1423">
        <f t="shared" ca="1" si="1502"/>
        <v>0</v>
      </c>
      <c r="Q1042" s="1423">
        <f t="shared" ca="1" si="1503"/>
        <v>0</v>
      </c>
      <c r="R1042" s="1423">
        <f t="shared" ca="1" si="1504"/>
        <v>0</v>
      </c>
      <c r="S1042" s="1423">
        <f t="shared" ca="1" si="1505"/>
        <v>0</v>
      </c>
      <c r="T1042" s="1423">
        <f t="shared" ca="1" si="1506"/>
        <v>0</v>
      </c>
      <c r="U1042" s="1423">
        <f t="shared" ca="1" si="1507"/>
        <v>0</v>
      </c>
      <c r="V1042" s="1423">
        <f t="shared" ca="1" si="1508"/>
        <v>0</v>
      </c>
      <c r="W1042" s="1423">
        <f t="shared" ca="1" si="1509"/>
        <v>0</v>
      </c>
      <c r="X1042" s="202"/>
      <c r="Y1042" s="152"/>
      <c r="Z1042" s="152"/>
      <c r="AA1042" s="152"/>
      <c r="AB1042" s="152"/>
    </row>
    <row r="1043" spans="1:28" hidden="1" outlineLevel="1">
      <c r="A1043" s="199">
        <f t="shared" si="1510"/>
        <v>3</v>
      </c>
      <c r="B1043" s="190" t="str">
        <f t="shared" ca="1" si="1511"/>
        <v>Depreciated Net Capex 2018-19</v>
      </c>
      <c r="C1043" s="1426"/>
      <c r="D1043" s="1426"/>
      <c r="E1043" s="1427"/>
      <c r="F1043" s="1428">
        <f>F1035</f>
        <v>0</v>
      </c>
      <c r="G1043" s="1423">
        <f ca="1">IF(F1067="n/a",F1043,IFERROR(IF((OFFSET($C1043,0,$A1043))&lt;0,
MIN(0,F1043-(OFFSET($C1043,0,$A1043)/(OFFSET($C1038,-$A1042,$A1043)))),
MAX(0,F1043-(OFFSET($C1043,0,$A1043)/(OFFSET($C1038,-$A1042,$A1043))))),0))</f>
        <v>0</v>
      </c>
      <c r="H1043" s="1423">
        <f t="shared" ca="1" si="1494"/>
        <v>0</v>
      </c>
      <c r="I1043" s="1423">
        <f t="shared" ca="1" si="1495"/>
        <v>0</v>
      </c>
      <c r="J1043" s="1423">
        <f t="shared" ca="1" si="1496"/>
        <v>0</v>
      </c>
      <c r="K1043" s="1423">
        <f t="shared" ca="1" si="1497"/>
        <v>0</v>
      </c>
      <c r="L1043" s="1423">
        <f t="shared" ca="1" si="1498"/>
        <v>0</v>
      </c>
      <c r="M1043" s="1423">
        <f t="shared" ca="1" si="1499"/>
        <v>0</v>
      </c>
      <c r="N1043" s="1423">
        <f t="shared" ca="1" si="1500"/>
        <v>0</v>
      </c>
      <c r="O1043" s="1423">
        <f t="shared" ca="1" si="1501"/>
        <v>0</v>
      </c>
      <c r="P1043" s="1423">
        <f t="shared" ca="1" si="1502"/>
        <v>0</v>
      </c>
      <c r="Q1043" s="1423">
        <f t="shared" ca="1" si="1503"/>
        <v>0</v>
      </c>
      <c r="R1043" s="1423">
        <f t="shared" ca="1" si="1504"/>
        <v>0</v>
      </c>
      <c r="S1043" s="1423">
        <f t="shared" ca="1" si="1505"/>
        <v>0</v>
      </c>
      <c r="T1043" s="1423">
        <f t="shared" ca="1" si="1506"/>
        <v>0</v>
      </c>
      <c r="U1043" s="1423">
        <f t="shared" ca="1" si="1507"/>
        <v>0</v>
      </c>
      <c r="V1043" s="1423">
        <f t="shared" ca="1" si="1508"/>
        <v>0</v>
      </c>
      <c r="W1043" s="1423">
        <f t="shared" ca="1" si="1509"/>
        <v>0</v>
      </c>
      <c r="X1043" s="202"/>
      <c r="Y1043" s="202"/>
      <c r="Z1043" s="152"/>
      <c r="AA1043" s="152"/>
      <c r="AB1043" s="152"/>
    </row>
    <row r="1044" spans="1:28" hidden="1" outlineLevel="1">
      <c r="A1044" s="199">
        <f t="shared" si="1510"/>
        <v>4</v>
      </c>
      <c r="B1044" s="190" t="str">
        <f t="shared" ca="1" si="1511"/>
        <v>Depreciated Net Capex 2019-20</v>
      </c>
      <c r="C1044" s="1426"/>
      <c r="D1044" s="1426"/>
      <c r="E1044" s="1426"/>
      <c r="F1044" s="1427"/>
      <c r="G1044" s="1428">
        <f>G1035</f>
        <v>0</v>
      </c>
      <c r="H1044" s="1423">
        <f ca="1">IF(G1068="n/a",G1044,IFERROR(IF((OFFSET($C1044,0,$A1044))&lt;0,
MIN(0,G1044-(OFFSET($C1044,0,$A1044)/(OFFSET($C1039,-$A1043,$A1044)))),
MAX(0,G1044-(OFFSET($C1044,0,$A1044)/(OFFSET($C1039,-$A1043,$A1044))))),0))</f>
        <v>0</v>
      </c>
      <c r="I1044" s="1423">
        <f t="shared" ca="1" si="1495"/>
        <v>0</v>
      </c>
      <c r="J1044" s="1423">
        <f t="shared" ca="1" si="1496"/>
        <v>0</v>
      </c>
      <c r="K1044" s="1423">
        <f t="shared" ca="1" si="1497"/>
        <v>0</v>
      </c>
      <c r="L1044" s="1423">
        <f t="shared" ca="1" si="1498"/>
        <v>0</v>
      </c>
      <c r="M1044" s="1423">
        <f t="shared" ca="1" si="1499"/>
        <v>0</v>
      </c>
      <c r="N1044" s="1423">
        <f t="shared" ca="1" si="1500"/>
        <v>0</v>
      </c>
      <c r="O1044" s="1423">
        <f t="shared" ca="1" si="1501"/>
        <v>0</v>
      </c>
      <c r="P1044" s="1423">
        <f t="shared" ca="1" si="1502"/>
        <v>0</v>
      </c>
      <c r="Q1044" s="1423">
        <f t="shared" ca="1" si="1503"/>
        <v>0</v>
      </c>
      <c r="R1044" s="1423">
        <f t="shared" ca="1" si="1504"/>
        <v>0</v>
      </c>
      <c r="S1044" s="1423">
        <f t="shared" ca="1" si="1505"/>
        <v>0</v>
      </c>
      <c r="T1044" s="1423">
        <f t="shared" ca="1" si="1506"/>
        <v>0</v>
      </c>
      <c r="U1044" s="1423">
        <f t="shared" ca="1" si="1507"/>
        <v>0</v>
      </c>
      <c r="V1044" s="1423">
        <f t="shared" ca="1" si="1508"/>
        <v>0</v>
      </c>
      <c r="W1044" s="1423">
        <f t="shared" ca="1" si="1509"/>
        <v>0</v>
      </c>
      <c r="X1044" s="202"/>
      <c r="Y1044" s="202"/>
      <c r="Z1044" s="202"/>
      <c r="AA1044" s="152"/>
      <c r="AB1044" s="152"/>
    </row>
    <row r="1045" spans="1:28" hidden="1" outlineLevel="1">
      <c r="A1045" s="199">
        <f t="shared" si="1510"/>
        <v>5</v>
      </c>
      <c r="B1045" s="190" t="str">
        <f t="shared" ca="1" si="1511"/>
        <v>Depreciated Net Capex 2020-21</v>
      </c>
      <c r="C1045" s="1426"/>
      <c r="D1045" s="1426"/>
      <c r="E1045" s="1426"/>
      <c r="F1045" s="1426"/>
      <c r="G1045" s="1427"/>
      <c r="H1045" s="1428">
        <f>H1035</f>
        <v>0</v>
      </c>
      <c r="I1045" s="1423">
        <f ca="1">IF(H1069="n/a",H1045,IFERROR(IF((OFFSET($C1045,0,$A1045))&lt;0,
MIN(0,H1045-(OFFSET($C1045,0,$A1045)/(OFFSET($C1040,-$A1044,$A1045)))),
MAX(0,H1045-(OFFSET($C1045,0,$A1045)/(OFFSET($C1040,-$A1044,$A1045))))),0))</f>
        <v>0</v>
      </c>
      <c r="J1045" s="1423">
        <f t="shared" ca="1" si="1496"/>
        <v>0</v>
      </c>
      <c r="K1045" s="1423">
        <f t="shared" ca="1" si="1497"/>
        <v>0</v>
      </c>
      <c r="L1045" s="1423">
        <f t="shared" ca="1" si="1498"/>
        <v>0</v>
      </c>
      <c r="M1045" s="1423">
        <f t="shared" ca="1" si="1499"/>
        <v>0</v>
      </c>
      <c r="N1045" s="1423">
        <f t="shared" ca="1" si="1500"/>
        <v>0</v>
      </c>
      <c r="O1045" s="1423">
        <f t="shared" ca="1" si="1501"/>
        <v>0</v>
      </c>
      <c r="P1045" s="1423">
        <f t="shared" ca="1" si="1502"/>
        <v>0</v>
      </c>
      <c r="Q1045" s="1423">
        <f t="shared" ca="1" si="1503"/>
        <v>0</v>
      </c>
      <c r="R1045" s="1423">
        <f t="shared" ca="1" si="1504"/>
        <v>0</v>
      </c>
      <c r="S1045" s="1423">
        <f t="shared" ca="1" si="1505"/>
        <v>0</v>
      </c>
      <c r="T1045" s="1423">
        <f t="shared" ca="1" si="1506"/>
        <v>0</v>
      </c>
      <c r="U1045" s="1423">
        <f t="shared" ca="1" si="1507"/>
        <v>0</v>
      </c>
      <c r="V1045" s="1423">
        <f t="shared" ca="1" si="1508"/>
        <v>0</v>
      </c>
      <c r="W1045" s="1423">
        <f t="shared" ca="1" si="1509"/>
        <v>0</v>
      </c>
      <c r="X1045" s="202"/>
      <c r="Y1045" s="202"/>
      <c r="Z1045" s="202"/>
      <c r="AA1045" s="152"/>
      <c r="AB1045" s="152"/>
    </row>
    <row r="1046" spans="1:28" hidden="1" outlineLevel="1">
      <c r="A1046" s="199">
        <f t="shared" si="1510"/>
        <v>6</v>
      </c>
      <c r="B1046" s="190" t="str">
        <f t="shared" ca="1" si="1511"/>
        <v>Depreciated Net Capex 2021-22</v>
      </c>
      <c r="C1046" s="1426"/>
      <c r="D1046" s="1426"/>
      <c r="E1046" s="1426"/>
      <c r="F1046" s="1426"/>
      <c r="G1046" s="1426"/>
      <c r="H1046" s="1427"/>
      <c r="I1046" s="1428">
        <f>I1035</f>
        <v>0</v>
      </c>
      <c r="J1046" s="1423">
        <f ca="1">IF(I1070="n/a",I1046,IFERROR(IF((OFFSET($C1046,0,$A1046))&lt;0,
MIN(0,I1046-(OFFSET($C1046,0,$A1046)/(OFFSET($C1041,-$A1045,$A1046)))),
MAX(0,I1046-(OFFSET($C1046,0,$A1046)/(OFFSET($C1041,-$A1045,$A1046))))),0))</f>
        <v>0</v>
      </c>
      <c r="K1046" s="1423">
        <f t="shared" ca="1" si="1497"/>
        <v>0</v>
      </c>
      <c r="L1046" s="1423">
        <f t="shared" ca="1" si="1498"/>
        <v>0</v>
      </c>
      <c r="M1046" s="1423">
        <f t="shared" ca="1" si="1499"/>
        <v>0</v>
      </c>
      <c r="N1046" s="1423">
        <f t="shared" ca="1" si="1500"/>
        <v>0</v>
      </c>
      <c r="O1046" s="1423">
        <f t="shared" ca="1" si="1501"/>
        <v>0</v>
      </c>
      <c r="P1046" s="1423">
        <f t="shared" ca="1" si="1502"/>
        <v>0</v>
      </c>
      <c r="Q1046" s="1423">
        <f t="shared" ca="1" si="1503"/>
        <v>0</v>
      </c>
      <c r="R1046" s="1423">
        <f t="shared" ca="1" si="1504"/>
        <v>0</v>
      </c>
      <c r="S1046" s="1423">
        <f t="shared" ca="1" si="1505"/>
        <v>0</v>
      </c>
      <c r="T1046" s="1423">
        <f t="shared" ca="1" si="1506"/>
        <v>0</v>
      </c>
      <c r="U1046" s="1423">
        <f t="shared" ca="1" si="1507"/>
        <v>0</v>
      </c>
      <c r="V1046" s="1423">
        <f t="shared" ca="1" si="1508"/>
        <v>0</v>
      </c>
      <c r="W1046" s="1423">
        <f t="shared" ca="1" si="1509"/>
        <v>0</v>
      </c>
      <c r="X1046" s="202"/>
      <c r="Y1046" s="202"/>
      <c r="Z1046" s="202"/>
      <c r="AA1046" s="152"/>
      <c r="AB1046" s="152"/>
    </row>
    <row r="1047" spans="1:28" hidden="1" outlineLevel="1">
      <c r="A1047" s="199">
        <f t="shared" si="1510"/>
        <v>7</v>
      </c>
      <c r="B1047" s="190" t="str">
        <f t="shared" ca="1" si="1511"/>
        <v>Depreciated Net Capex 2022-23</v>
      </c>
      <c r="C1047" s="1426"/>
      <c r="D1047" s="1426"/>
      <c r="E1047" s="1426"/>
      <c r="F1047" s="1426"/>
      <c r="G1047" s="1426"/>
      <c r="H1047" s="1426"/>
      <c r="I1047" s="1427"/>
      <c r="J1047" s="1428">
        <f>J1035</f>
        <v>0</v>
      </c>
      <c r="K1047" s="1423">
        <f ca="1">IF(J1071="n/a",J1047,IFERROR(IF((OFFSET($C1047,0,$A1047))&lt;0,
MIN(0,J1047-(OFFSET($C1047,0,$A1047)/(OFFSET($C1042,-$A1046,$A1047)))),
MAX(0,J1047-(OFFSET($C1047,0,$A1047)/(OFFSET($C1042,-$A1046,$A1047))))),0))</f>
        <v>0</v>
      </c>
      <c r="L1047" s="1423">
        <f t="shared" ca="1" si="1498"/>
        <v>0</v>
      </c>
      <c r="M1047" s="1423">
        <f t="shared" ca="1" si="1499"/>
        <v>0</v>
      </c>
      <c r="N1047" s="1423">
        <f t="shared" ca="1" si="1500"/>
        <v>0</v>
      </c>
      <c r="O1047" s="1423">
        <f t="shared" ca="1" si="1501"/>
        <v>0</v>
      </c>
      <c r="P1047" s="1423">
        <f t="shared" ca="1" si="1502"/>
        <v>0</v>
      </c>
      <c r="Q1047" s="1423">
        <f t="shared" ca="1" si="1503"/>
        <v>0</v>
      </c>
      <c r="R1047" s="1423">
        <f t="shared" ca="1" si="1504"/>
        <v>0</v>
      </c>
      <c r="S1047" s="1423">
        <f t="shared" ca="1" si="1505"/>
        <v>0</v>
      </c>
      <c r="T1047" s="1423">
        <f t="shared" ca="1" si="1506"/>
        <v>0</v>
      </c>
      <c r="U1047" s="1423">
        <f t="shared" ca="1" si="1507"/>
        <v>0</v>
      </c>
      <c r="V1047" s="1423">
        <f t="shared" ca="1" si="1508"/>
        <v>0</v>
      </c>
      <c r="W1047" s="1423">
        <f t="shared" ca="1" si="1509"/>
        <v>0</v>
      </c>
      <c r="X1047" s="202"/>
      <c r="Y1047" s="202"/>
      <c r="Z1047" s="202"/>
      <c r="AA1047" s="152"/>
      <c r="AB1047" s="152"/>
    </row>
    <row r="1048" spans="1:28" hidden="1" outlineLevel="1">
      <c r="A1048" s="199">
        <f t="shared" si="1510"/>
        <v>8</v>
      </c>
      <c r="B1048" s="190" t="str">
        <f t="shared" ca="1" si="1511"/>
        <v>Depreciated Net Capex 2023-24</v>
      </c>
      <c r="C1048" s="1426"/>
      <c r="D1048" s="1426"/>
      <c r="E1048" s="1426"/>
      <c r="F1048" s="1426"/>
      <c r="G1048" s="1426"/>
      <c r="H1048" s="1426"/>
      <c r="I1048" s="1426"/>
      <c r="J1048" s="1427"/>
      <c r="K1048" s="1428">
        <f>K1035</f>
        <v>0</v>
      </c>
      <c r="L1048" s="1423">
        <f ca="1">IF(K1072="n/a",K1048,IFERROR(IF((OFFSET($C1048,0,$A1048))&lt;0,
MIN(0,K1048-(OFFSET($C1048,0,$A1048)/(OFFSET($C1043,-$A1047,$A1048)))),
MAX(0,K1048-(OFFSET($C1048,0,$A1048)/(OFFSET($C1043,-$A1047,$A1048))))),0))</f>
        <v>0</v>
      </c>
      <c r="M1048" s="1423">
        <f t="shared" ca="1" si="1499"/>
        <v>0</v>
      </c>
      <c r="N1048" s="1423">
        <f t="shared" ca="1" si="1500"/>
        <v>0</v>
      </c>
      <c r="O1048" s="1423">
        <f t="shared" ca="1" si="1501"/>
        <v>0</v>
      </c>
      <c r="P1048" s="1423">
        <f t="shared" ca="1" si="1502"/>
        <v>0</v>
      </c>
      <c r="Q1048" s="1423">
        <f t="shared" ca="1" si="1503"/>
        <v>0</v>
      </c>
      <c r="R1048" s="1423">
        <f t="shared" ca="1" si="1504"/>
        <v>0</v>
      </c>
      <c r="S1048" s="1423">
        <f t="shared" ca="1" si="1505"/>
        <v>0</v>
      </c>
      <c r="T1048" s="1423">
        <f t="shared" ca="1" si="1506"/>
        <v>0</v>
      </c>
      <c r="U1048" s="1423">
        <f t="shared" ca="1" si="1507"/>
        <v>0</v>
      </c>
      <c r="V1048" s="1423">
        <f t="shared" ca="1" si="1508"/>
        <v>0</v>
      </c>
      <c r="W1048" s="1423">
        <f t="shared" ca="1" si="1509"/>
        <v>0</v>
      </c>
      <c r="X1048" s="202"/>
      <c r="Y1048" s="202"/>
      <c r="Z1048" s="202"/>
      <c r="AA1048" s="152"/>
      <c r="AB1048" s="152"/>
    </row>
    <row r="1049" spans="1:28" hidden="1" outlineLevel="1">
      <c r="A1049" s="199">
        <f t="shared" si="1510"/>
        <v>9</v>
      </c>
      <c r="B1049" s="190" t="str">
        <f t="shared" ca="1" si="1511"/>
        <v>Depreciated Net Capex 2024-25</v>
      </c>
      <c r="C1049" s="1426"/>
      <c r="D1049" s="1426"/>
      <c r="E1049" s="1426"/>
      <c r="F1049" s="1426"/>
      <c r="G1049" s="1426"/>
      <c r="H1049" s="1426"/>
      <c r="I1049" s="1426"/>
      <c r="J1049" s="1426"/>
      <c r="K1049" s="1427"/>
      <c r="L1049" s="1428">
        <f>L1035</f>
        <v>0</v>
      </c>
      <c r="M1049" s="1423">
        <f ca="1">IF(L1073="n/a",L1049,IFERROR(IF((OFFSET($C1049,0,$A1049))&lt;0,
MIN(0,L1049-(OFFSET($C1049,0,$A1049)/(OFFSET($C1044,-$A1048,$A1049)))),
MAX(0,L1049-(OFFSET($C1049,0,$A1049)/(OFFSET($C1044,-$A1048,$A1049))))),0))</f>
        <v>0</v>
      </c>
      <c r="N1049" s="1423">
        <f t="shared" ca="1" si="1500"/>
        <v>0</v>
      </c>
      <c r="O1049" s="1423">
        <f t="shared" ca="1" si="1501"/>
        <v>0</v>
      </c>
      <c r="P1049" s="1423">
        <f t="shared" ca="1" si="1502"/>
        <v>0</v>
      </c>
      <c r="Q1049" s="1423">
        <f t="shared" ca="1" si="1503"/>
        <v>0</v>
      </c>
      <c r="R1049" s="1423">
        <f t="shared" ca="1" si="1504"/>
        <v>0</v>
      </c>
      <c r="S1049" s="1423">
        <f t="shared" ca="1" si="1505"/>
        <v>0</v>
      </c>
      <c r="T1049" s="1423">
        <f t="shared" ca="1" si="1506"/>
        <v>0</v>
      </c>
      <c r="U1049" s="1423">
        <f t="shared" ca="1" si="1507"/>
        <v>0</v>
      </c>
      <c r="V1049" s="1423">
        <f t="shared" ca="1" si="1508"/>
        <v>0</v>
      </c>
      <c r="W1049" s="1423">
        <f t="shared" ca="1" si="1509"/>
        <v>0</v>
      </c>
      <c r="X1049" s="202"/>
      <c r="Y1049" s="202"/>
      <c r="Z1049" s="202"/>
      <c r="AA1049" s="152"/>
      <c r="AB1049" s="152"/>
    </row>
    <row r="1050" spans="1:28" hidden="1" outlineLevel="1">
      <c r="A1050" s="199">
        <f t="shared" si="1510"/>
        <v>10</v>
      </c>
      <c r="B1050" s="190" t="str">
        <f t="shared" ca="1" si="1511"/>
        <v>Depreciated Net Capex 2025-26</v>
      </c>
      <c r="C1050" s="1426"/>
      <c r="D1050" s="1426"/>
      <c r="E1050" s="1426"/>
      <c r="F1050" s="1426"/>
      <c r="G1050" s="1426"/>
      <c r="H1050" s="1426"/>
      <c r="I1050" s="1426"/>
      <c r="J1050" s="1426"/>
      <c r="K1050" s="1426"/>
      <c r="L1050" s="1427"/>
      <c r="M1050" s="1428">
        <f>M1035</f>
        <v>0</v>
      </c>
      <c r="N1050" s="1423">
        <f ca="1">IF(M1074="n/a",M1050,IFERROR(IF((OFFSET($C1050,0,$A1050))&lt;0,
MIN(0,M1050-(OFFSET($C1050,0,$A1050)/(OFFSET($C1045,-$A1049,$A1050)))),
MAX(0,M1050-(OFFSET($C1050,0,$A1050)/(OFFSET($C1045,-$A1049,$A1050))))),0))</f>
        <v>0</v>
      </c>
      <c r="O1050" s="1423">
        <f t="shared" ca="1" si="1501"/>
        <v>0</v>
      </c>
      <c r="P1050" s="1423">
        <f t="shared" ca="1" si="1502"/>
        <v>0</v>
      </c>
      <c r="Q1050" s="1423">
        <f t="shared" ca="1" si="1503"/>
        <v>0</v>
      </c>
      <c r="R1050" s="1423">
        <f t="shared" ca="1" si="1504"/>
        <v>0</v>
      </c>
      <c r="S1050" s="1423">
        <f t="shared" ca="1" si="1505"/>
        <v>0</v>
      </c>
      <c r="T1050" s="1423">
        <f t="shared" ca="1" si="1506"/>
        <v>0</v>
      </c>
      <c r="U1050" s="1423">
        <f t="shared" ca="1" si="1507"/>
        <v>0</v>
      </c>
      <c r="V1050" s="1423">
        <f t="shared" ca="1" si="1508"/>
        <v>0</v>
      </c>
      <c r="W1050" s="1423">
        <f t="shared" ca="1" si="1509"/>
        <v>0</v>
      </c>
      <c r="X1050" s="202"/>
      <c r="Y1050" s="202"/>
      <c r="Z1050" s="202"/>
      <c r="AA1050" s="152"/>
      <c r="AB1050" s="152"/>
    </row>
    <row r="1051" spans="1:28" hidden="1" outlineLevel="1">
      <c r="A1051" s="199">
        <f t="shared" si="1510"/>
        <v>11</v>
      </c>
      <c r="B1051" s="190" t="str">
        <f t="shared" ca="1" si="1511"/>
        <v>Depreciated Net Capex 2026-27</v>
      </c>
      <c r="C1051" s="1426"/>
      <c r="D1051" s="1426"/>
      <c r="E1051" s="1426"/>
      <c r="F1051" s="1426"/>
      <c r="G1051" s="1426"/>
      <c r="H1051" s="1426"/>
      <c r="I1051" s="1426"/>
      <c r="J1051" s="1426"/>
      <c r="K1051" s="1426"/>
      <c r="L1051" s="1426"/>
      <c r="M1051" s="1427"/>
      <c r="N1051" s="1428">
        <f>N1035</f>
        <v>0</v>
      </c>
      <c r="O1051" s="1423">
        <f ca="1">IF(N1075="n/a",N1051,IFERROR(IF((OFFSET($C1051,0,$A1051))&lt;0,
MIN(0,N1051-(OFFSET($C1051,0,$A1051)/(OFFSET($C1046,-$A1050,$A1051)))),
MAX(0,N1051-(OFFSET($C1051,0,$A1051)/(OFFSET($C1046,-$A1050,$A1051))))),0))</f>
        <v>0</v>
      </c>
      <c r="P1051" s="1423">
        <f t="shared" ca="1" si="1502"/>
        <v>0</v>
      </c>
      <c r="Q1051" s="1423">
        <f t="shared" ca="1" si="1503"/>
        <v>0</v>
      </c>
      <c r="R1051" s="1423">
        <f t="shared" ca="1" si="1504"/>
        <v>0</v>
      </c>
      <c r="S1051" s="1423">
        <f t="shared" ca="1" si="1505"/>
        <v>0</v>
      </c>
      <c r="T1051" s="1423">
        <f t="shared" ca="1" si="1506"/>
        <v>0</v>
      </c>
      <c r="U1051" s="1423">
        <f t="shared" ca="1" si="1507"/>
        <v>0</v>
      </c>
      <c r="V1051" s="1423">
        <f t="shared" ca="1" si="1508"/>
        <v>0</v>
      </c>
      <c r="W1051" s="1423">
        <f t="shared" ca="1" si="1509"/>
        <v>0</v>
      </c>
      <c r="X1051" s="202"/>
      <c r="Y1051" s="202"/>
      <c r="Z1051" s="202"/>
      <c r="AA1051" s="152"/>
      <c r="AB1051" s="152"/>
    </row>
    <row r="1052" spans="1:28" hidden="1" outlineLevel="1">
      <c r="A1052" s="199">
        <f t="shared" si="1510"/>
        <v>12</v>
      </c>
      <c r="B1052" s="190" t="str">
        <f t="shared" ca="1" si="1511"/>
        <v>Depreciated Net Capex 2027-28</v>
      </c>
      <c r="C1052" s="1426"/>
      <c r="D1052" s="1426"/>
      <c r="E1052" s="1426"/>
      <c r="F1052" s="1426"/>
      <c r="G1052" s="1426"/>
      <c r="H1052" s="1426"/>
      <c r="I1052" s="1426"/>
      <c r="J1052" s="1426"/>
      <c r="K1052" s="1426"/>
      <c r="L1052" s="1426"/>
      <c r="M1052" s="1426"/>
      <c r="N1052" s="1427"/>
      <c r="O1052" s="1428">
        <f>O1035</f>
        <v>0</v>
      </c>
      <c r="P1052" s="1423">
        <f ca="1">IF(O1076="n/a",O1052,IFERROR(IF((OFFSET($C1052,0,$A1052))&lt;0,
MIN(0,O1052-(OFFSET($C1052,0,$A1052)/(OFFSET($C1047,-$A1051,$A1052)))),
MAX(0,O1052-(OFFSET($C1052,0,$A1052)/(OFFSET($C1047,-$A1051,$A1052))))),0))</f>
        <v>0</v>
      </c>
      <c r="Q1052" s="1423">
        <f t="shared" ca="1" si="1503"/>
        <v>0</v>
      </c>
      <c r="R1052" s="1423">
        <f t="shared" ca="1" si="1504"/>
        <v>0</v>
      </c>
      <c r="S1052" s="1423">
        <f t="shared" ca="1" si="1505"/>
        <v>0</v>
      </c>
      <c r="T1052" s="1423">
        <f t="shared" ca="1" si="1506"/>
        <v>0</v>
      </c>
      <c r="U1052" s="1423">
        <f t="shared" ca="1" si="1507"/>
        <v>0</v>
      </c>
      <c r="V1052" s="1423">
        <f t="shared" ca="1" si="1508"/>
        <v>0</v>
      </c>
      <c r="W1052" s="1423">
        <f t="shared" ca="1" si="1509"/>
        <v>0</v>
      </c>
      <c r="X1052" s="202"/>
      <c r="Y1052" s="202"/>
      <c r="Z1052" s="202"/>
      <c r="AA1052" s="152"/>
      <c r="AB1052" s="152"/>
    </row>
    <row r="1053" spans="1:28" hidden="1" outlineLevel="1">
      <c r="A1053" s="199">
        <f t="shared" si="1510"/>
        <v>13</v>
      </c>
      <c r="B1053" s="190" t="str">
        <f t="shared" ca="1" si="1511"/>
        <v>Depreciated Net Capex 2028-29</v>
      </c>
      <c r="C1053" s="1426"/>
      <c r="D1053" s="1426"/>
      <c r="E1053" s="1426"/>
      <c r="F1053" s="1426"/>
      <c r="G1053" s="1426"/>
      <c r="H1053" s="1426"/>
      <c r="I1053" s="1426"/>
      <c r="J1053" s="1426"/>
      <c r="K1053" s="1426"/>
      <c r="L1053" s="1426"/>
      <c r="M1053" s="1426"/>
      <c r="N1053" s="1426"/>
      <c r="O1053" s="1427"/>
      <c r="P1053" s="1428">
        <f>P1035</f>
        <v>0</v>
      </c>
      <c r="Q1053" s="1423">
        <f ca="1">IF(P1077="n/a",P1053,IFERROR(IF((OFFSET($C1053,0,$A1053))&lt;0,
MIN(0,P1053-(OFFSET($C1053,0,$A1053)/(OFFSET($C1048,-$A1052,$A1053)))),
MAX(0,P1053-(OFFSET($C1053,0,$A1053)/(OFFSET($C1048,-$A1052,$A1053))))),0))</f>
        <v>0</v>
      </c>
      <c r="R1053" s="1423">
        <f t="shared" ca="1" si="1504"/>
        <v>0</v>
      </c>
      <c r="S1053" s="1423">
        <f t="shared" ca="1" si="1505"/>
        <v>0</v>
      </c>
      <c r="T1053" s="1423">
        <f t="shared" ca="1" si="1506"/>
        <v>0</v>
      </c>
      <c r="U1053" s="1423">
        <f t="shared" ca="1" si="1507"/>
        <v>0</v>
      </c>
      <c r="V1053" s="1423">
        <f t="shared" ca="1" si="1508"/>
        <v>0</v>
      </c>
      <c r="W1053" s="1423">
        <f t="shared" ca="1" si="1509"/>
        <v>0</v>
      </c>
      <c r="X1053" s="202"/>
      <c r="Y1053" s="202"/>
      <c r="Z1053" s="202"/>
      <c r="AA1053" s="152"/>
      <c r="AB1053" s="152"/>
    </row>
    <row r="1054" spans="1:28" hidden="1" outlineLevel="1">
      <c r="A1054" s="199">
        <f t="shared" si="1510"/>
        <v>14</v>
      </c>
      <c r="B1054" s="190" t="str">
        <f t="shared" ca="1" si="1511"/>
        <v>Depreciated Net Capex 2029-30</v>
      </c>
      <c r="C1054" s="1426"/>
      <c r="D1054" s="1426"/>
      <c r="E1054" s="1426"/>
      <c r="F1054" s="1426"/>
      <c r="G1054" s="1426"/>
      <c r="H1054" s="1426"/>
      <c r="I1054" s="1426"/>
      <c r="J1054" s="1426"/>
      <c r="K1054" s="1426"/>
      <c r="L1054" s="1426"/>
      <c r="M1054" s="1426"/>
      <c r="N1054" s="1426"/>
      <c r="O1054" s="1426"/>
      <c r="P1054" s="1427"/>
      <c r="Q1054" s="1428">
        <f>Q1035</f>
        <v>0</v>
      </c>
      <c r="R1054" s="1423">
        <f ca="1">IF(Q1078="n/a",Q1054,IFERROR(IF((OFFSET($C1054,0,$A1054))&lt;0,
MIN(0,Q1054-(OFFSET($C1054,0,$A1054)/(OFFSET($C1049,-$A1053,$A1054)))),
MAX(0,Q1054-(OFFSET($C1054,0,$A1054)/(OFFSET($C1049,-$A1053,$A1054))))),0))</f>
        <v>0</v>
      </c>
      <c r="S1054" s="1423">
        <f t="shared" ca="1" si="1505"/>
        <v>0</v>
      </c>
      <c r="T1054" s="1423">
        <f t="shared" ca="1" si="1506"/>
        <v>0</v>
      </c>
      <c r="U1054" s="1423">
        <f t="shared" ca="1" si="1507"/>
        <v>0</v>
      </c>
      <c r="V1054" s="1423">
        <f t="shared" ca="1" si="1508"/>
        <v>0</v>
      </c>
      <c r="W1054" s="1423">
        <f t="shared" ca="1" si="1509"/>
        <v>0</v>
      </c>
      <c r="X1054" s="202"/>
      <c r="Y1054" s="202"/>
      <c r="Z1054" s="202"/>
      <c r="AA1054" s="152"/>
      <c r="AB1054" s="152"/>
    </row>
    <row r="1055" spans="1:28" hidden="1" outlineLevel="1">
      <c r="A1055" s="199">
        <f t="shared" si="1510"/>
        <v>15</v>
      </c>
      <c r="B1055" s="190" t="str">
        <f t="shared" ca="1" si="1511"/>
        <v>Depreciated Net Capex 2030-31</v>
      </c>
      <c r="C1055" s="1426"/>
      <c r="D1055" s="1426"/>
      <c r="E1055" s="1426"/>
      <c r="F1055" s="1426"/>
      <c r="G1055" s="1426"/>
      <c r="H1055" s="1426"/>
      <c r="I1055" s="1426"/>
      <c r="J1055" s="1426"/>
      <c r="K1055" s="1426"/>
      <c r="L1055" s="1426"/>
      <c r="M1055" s="1426"/>
      <c r="N1055" s="1426"/>
      <c r="O1055" s="1426"/>
      <c r="P1055" s="1426"/>
      <c r="Q1055" s="1427"/>
      <c r="R1055" s="1428">
        <f>R1035</f>
        <v>0</v>
      </c>
      <c r="S1055" s="1423">
        <f ca="1">IF(R1079="n/a",R1055,IFERROR(IF((OFFSET($C1055,0,$A1055))&lt;0,
MIN(0,R1055-(OFFSET($C1055,0,$A1055)/(OFFSET($C1050,-$A1054,$A1055)))),
MAX(0,R1055-(OFFSET($C1055,0,$A1055)/(OFFSET($C1050,-$A1054,$A1055))))),0))</f>
        <v>0</v>
      </c>
      <c r="T1055" s="1423">
        <f t="shared" ca="1" si="1506"/>
        <v>0</v>
      </c>
      <c r="U1055" s="1423">
        <f t="shared" ca="1" si="1507"/>
        <v>0</v>
      </c>
      <c r="V1055" s="1423">
        <f t="shared" ca="1" si="1508"/>
        <v>0</v>
      </c>
      <c r="W1055" s="1423">
        <f t="shared" ca="1" si="1509"/>
        <v>0</v>
      </c>
      <c r="X1055" s="202"/>
      <c r="Y1055" s="202"/>
      <c r="Z1055" s="202"/>
      <c r="AA1055" s="152"/>
      <c r="AB1055" s="152"/>
    </row>
    <row r="1056" spans="1:28" hidden="1" outlineLevel="1">
      <c r="A1056" s="199">
        <f t="shared" si="1510"/>
        <v>16</v>
      </c>
      <c r="B1056" s="190" t="str">
        <f t="shared" ca="1" si="1511"/>
        <v>Depreciated Net Capex 2031-32</v>
      </c>
      <c r="C1056" s="1426"/>
      <c r="D1056" s="1426"/>
      <c r="E1056" s="1426"/>
      <c r="F1056" s="1426"/>
      <c r="G1056" s="1426"/>
      <c r="H1056" s="1426"/>
      <c r="I1056" s="1426"/>
      <c r="J1056" s="1426"/>
      <c r="K1056" s="1426"/>
      <c r="L1056" s="1426"/>
      <c r="M1056" s="1426"/>
      <c r="N1056" s="1426"/>
      <c r="O1056" s="1426"/>
      <c r="P1056" s="1426"/>
      <c r="Q1056" s="1426"/>
      <c r="R1056" s="1427"/>
      <c r="S1056" s="1428">
        <f>S1035</f>
        <v>0</v>
      </c>
      <c r="T1056" s="1423">
        <f ca="1">IF(S1080="n/a",S1056,IFERROR(IF((OFFSET($C1056,0,$A1056))&lt;0,
MIN(0,S1056-(OFFSET($C1056,0,$A1056)/(OFFSET($C1051,-$A1055,$A1056)))),
MAX(0,S1056-(OFFSET($C1056,0,$A1056)/(OFFSET($C1051,-$A1055,$A1056))))),0))</f>
        <v>0</v>
      </c>
      <c r="U1056" s="1423">
        <f t="shared" ca="1" si="1507"/>
        <v>0</v>
      </c>
      <c r="V1056" s="1423">
        <f t="shared" ca="1" si="1508"/>
        <v>0</v>
      </c>
      <c r="W1056" s="1423">
        <f t="shared" ca="1" si="1509"/>
        <v>0</v>
      </c>
      <c r="X1056" s="202"/>
      <c r="Y1056" s="202"/>
      <c r="Z1056" s="202"/>
      <c r="AA1056" s="152"/>
      <c r="AB1056" s="152"/>
    </row>
    <row r="1057" spans="1:28" hidden="1" outlineLevel="1">
      <c r="A1057" s="199">
        <f t="shared" si="1510"/>
        <v>17</v>
      </c>
      <c r="B1057" s="190" t="str">
        <f t="shared" ca="1" si="1511"/>
        <v>Depreciated Net Capex 2032-33</v>
      </c>
      <c r="C1057" s="1426"/>
      <c r="D1057" s="1426"/>
      <c r="E1057" s="1426"/>
      <c r="F1057" s="1426"/>
      <c r="G1057" s="1426"/>
      <c r="H1057" s="1426"/>
      <c r="I1057" s="1426"/>
      <c r="J1057" s="1426"/>
      <c r="K1057" s="1426"/>
      <c r="L1057" s="1426"/>
      <c r="M1057" s="1426"/>
      <c r="N1057" s="1426"/>
      <c r="O1057" s="1426"/>
      <c r="P1057" s="1426"/>
      <c r="Q1057" s="1426"/>
      <c r="R1057" s="1426"/>
      <c r="S1057" s="1427"/>
      <c r="T1057" s="1428">
        <f>T1035</f>
        <v>0</v>
      </c>
      <c r="U1057" s="1423">
        <f ca="1">IF(T1081="n/a",T1057,IFERROR(IF((OFFSET($C1057,0,$A1057))&lt;0,
MIN(0,T1057-(OFFSET($C1057,0,$A1057)/(OFFSET($C1052,-$A1056,$A1057)))),
MAX(0,T1057-(OFFSET($C1057,0,$A1057)/(OFFSET($C1052,-$A1056,$A1057))))),0))</f>
        <v>0</v>
      </c>
      <c r="V1057" s="1423">
        <f t="shared" ca="1" si="1508"/>
        <v>0</v>
      </c>
      <c r="W1057" s="1423">
        <f t="shared" ca="1" si="1509"/>
        <v>0</v>
      </c>
      <c r="X1057" s="202"/>
      <c r="Y1057" s="202"/>
      <c r="Z1057" s="202"/>
      <c r="AA1057" s="152"/>
      <c r="AB1057" s="152"/>
    </row>
    <row r="1058" spans="1:28" hidden="1" outlineLevel="1">
      <c r="A1058" s="199">
        <f t="shared" si="1510"/>
        <v>18</v>
      </c>
      <c r="B1058" s="190" t="str">
        <f t="shared" ca="1" si="1511"/>
        <v>Depreciated Net Capex 2033-34</v>
      </c>
      <c r="C1058" s="1426"/>
      <c r="D1058" s="1426"/>
      <c r="E1058" s="1426"/>
      <c r="F1058" s="1426"/>
      <c r="G1058" s="1426"/>
      <c r="H1058" s="1426"/>
      <c r="I1058" s="1426"/>
      <c r="J1058" s="1426"/>
      <c r="K1058" s="1426"/>
      <c r="L1058" s="1426"/>
      <c r="M1058" s="1426"/>
      <c r="N1058" s="1426"/>
      <c r="O1058" s="1426"/>
      <c r="P1058" s="1426"/>
      <c r="Q1058" s="1426"/>
      <c r="R1058" s="1426"/>
      <c r="S1058" s="1426"/>
      <c r="T1058" s="1427"/>
      <c r="U1058" s="1428">
        <f>U1035</f>
        <v>0</v>
      </c>
      <c r="V1058" s="1423">
        <f ca="1">IF(U1082="n/a",U1058,IFERROR(IF((OFFSET($C1058,0,$A1058))&lt;0,
MIN(0,U1058-(OFFSET($C1058,0,$A1058)/(OFFSET($C1053,-$A1057,$A1058)))),
MAX(0,U1058-(OFFSET($C1058,0,$A1058)/(OFFSET($C1053,-$A1057,$A1058))))),0))</f>
        <v>0</v>
      </c>
      <c r="W1058" s="1423">
        <f t="shared" ca="1" si="1509"/>
        <v>0</v>
      </c>
      <c r="X1058" s="202"/>
      <c r="Y1058" s="202"/>
      <c r="Z1058" s="202"/>
      <c r="AA1058" s="152"/>
      <c r="AB1058" s="152"/>
    </row>
    <row r="1059" spans="1:28" hidden="1" outlineLevel="1">
      <c r="A1059" s="199">
        <f t="shared" si="1510"/>
        <v>19</v>
      </c>
      <c r="B1059" s="190" t="str">
        <f t="shared" ca="1" si="1511"/>
        <v>Depreciated Net Capex 2034-35</v>
      </c>
      <c r="C1059" s="1426"/>
      <c r="D1059" s="1426"/>
      <c r="E1059" s="1426"/>
      <c r="F1059" s="1426"/>
      <c r="G1059" s="1426"/>
      <c r="H1059" s="1426"/>
      <c r="I1059" s="1426"/>
      <c r="J1059" s="1426"/>
      <c r="K1059" s="1426"/>
      <c r="L1059" s="1426"/>
      <c r="M1059" s="1426"/>
      <c r="N1059" s="1426"/>
      <c r="O1059" s="1426"/>
      <c r="P1059" s="1426"/>
      <c r="Q1059" s="1426"/>
      <c r="R1059" s="1426"/>
      <c r="S1059" s="1426"/>
      <c r="T1059" s="1426"/>
      <c r="U1059" s="1427"/>
      <c r="V1059" s="1428">
        <f>V1035</f>
        <v>0</v>
      </c>
      <c r="W1059" s="1423">
        <f ca="1">IF(V1083="n/a",V1059,IFERROR(IF((OFFSET($C1059,0,$A1059))&lt;0,
MIN(0,V1059-(OFFSET($C1059,0,$A1059)/(OFFSET($C1054,-$A1058,$A1059)))),
MAX(0,V1059-(OFFSET($C1059,0,$A1059)/(OFFSET($C1054,-$A1058,$A1059))))),0))</f>
        <v>0</v>
      </c>
      <c r="X1059" s="202"/>
      <c r="Y1059" s="202"/>
      <c r="Z1059" s="202"/>
      <c r="AA1059" s="152"/>
      <c r="AB1059" s="152"/>
    </row>
    <row r="1060" spans="1:28" hidden="1" outlineLevel="1">
      <c r="A1060" s="199">
        <f t="shared" si="1510"/>
        <v>20</v>
      </c>
      <c r="B1060" s="190" t="str">
        <f t="shared" ca="1" si="1511"/>
        <v>Depreciated Net Capex 2035-36</v>
      </c>
      <c r="C1060" s="1426"/>
      <c r="D1060" s="1426"/>
      <c r="E1060" s="1426"/>
      <c r="F1060" s="1426"/>
      <c r="G1060" s="1426"/>
      <c r="H1060" s="1426"/>
      <c r="I1060" s="1426"/>
      <c r="J1060" s="1426"/>
      <c r="K1060" s="1426"/>
      <c r="L1060" s="1426"/>
      <c r="M1060" s="1426"/>
      <c r="N1060" s="1426"/>
      <c r="O1060" s="1426"/>
      <c r="P1060" s="1426"/>
      <c r="Q1060" s="1426"/>
      <c r="R1060" s="1426"/>
      <c r="S1060" s="1426"/>
      <c r="T1060" s="1426"/>
      <c r="U1060" s="1426"/>
      <c r="V1060" s="1427"/>
      <c r="W1060" s="1423">
        <f>W1035</f>
        <v>0</v>
      </c>
      <c r="X1060" s="152"/>
      <c r="Y1060" s="152"/>
      <c r="Z1060" s="152"/>
      <c r="AA1060" s="152"/>
      <c r="AB1060" s="152"/>
    </row>
    <row r="1061" spans="1:28" hidden="1" outlineLevel="1">
      <c r="A1061" s="152"/>
      <c r="B1061" s="200"/>
      <c r="C1061" s="1423"/>
      <c r="D1061" s="1423"/>
      <c r="E1061" s="1423"/>
      <c r="F1061" s="1423"/>
      <c r="G1061" s="1423"/>
      <c r="H1061" s="1423"/>
      <c r="I1061" s="1423"/>
      <c r="J1061" s="1423"/>
      <c r="K1061" s="1423"/>
      <c r="L1061" s="1423"/>
      <c r="M1061" s="1423"/>
      <c r="N1061" s="1423"/>
      <c r="O1061" s="1423"/>
      <c r="P1061" s="1423"/>
      <c r="Q1061" s="1423"/>
      <c r="R1061" s="1423"/>
      <c r="S1061" s="1423"/>
      <c r="T1061" s="1423"/>
      <c r="U1061" s="1423"/>
      <c r="V1061" s="1423"/>
      <c r="W1061" s="1423"/>
      <c r="X1061" s="152"/>
      <c r="Y1061" s="152"/>
      <c r="Z1061" s="152"/>
      <c r="AA1061" s="152"/>
      <c r="AB1061" s="152"/>
    </row>
    <row r="1062" spans="1:28" hidden="1" outlineLevel="1">
      <c r="A1062" s="152"/>
      <c r="B1062" s="200"/>
      <c r="C1062" s="1423"/>
      <c r="D1062" s="1423"/>
      <c r="E1062" s="1423"/>
      <c r="F1062" s="1423"/>
      <c r="G1062" s="1423"/>
      <c r="H1062" s="1423"/>
      <c r="I1062" s="1423"/>
      <c r="J1062" s="1423"/>
      <c r="K1062" s="1423"/>
      <c r="L1062" s="1423"/>
      <c r="M1062" s="1423"/>
      <c r="N1062" s="1423"/>
      <c r="O1062" s="1423"/>
      <c r="P1062" s="1423"/>
      <c r="Q1062" s="1423"/>
      <c r="R1062" s="1423"/>
      <c r="S1062" s="1423"/>
      <c r="T1062" s="1423"/>
      <c r="U1062" s="1423"/>
      <c r="V1062" s="1423"/>
      <c r="W1062" s="1423"/>
      <c r="X1062" s="152"/>
      <c r="Y1062" s="152"/>
      <c r="Z1062" s="152"/>
      <c r="AA1062" s="152"/>
      <c r="AB1062" s="152"/>
    </row>
    <row r="1063" spans="1:28" hidden="1" outlineLevel="1">
      <c r="A1063" s="152"/>
      <c r="B1063" s="190" t="s">
        <v>194</v>
      </c>
      <c r="C1063" s="1423"/>
      <c r="D1063" s="1423">
        <f t="shared" ref="D1063" ca="1" si="1512">IF(AND(C1063&lt;1,D1037=0),0,
IF(D1037=0,C1063-1,
IF(C1063&lt;1,D1038,
(((C1063-1)*(C1039-(C1039/(C1063))))+(D1037*D1038))/(D1039))))</f>
        <v>0</v>
      </c>
      <c r="E1063" s="1423">
        <f t="shared" ref="E1063" ca="1" si="1513">IF(AND(D1063&lt;1,E1037=0),0,
IF(E1037=0,D1063-1,
IF(D1063&lt;1,E1038,
(((D1063-1)*(D1039-(D1039/(D1063))))+(E1037*E1038))/(E1039))))</f>
        <v>0</v>
      </c>
      <c r="F1063" s="1423">
        <f t="shared" ref="F1063" ca="1" si="1514">IF(AND(E1063&lt;1,F1037=0),0,
IF(F1037=0,E1063-1,
IF(E1063&lt;1,F1038,
(((E1063-1)*(E1039-(E1039/(E1063))))+(F1037*F1038))/(F1039))))</f>
        <v>0</v>
      </c>
      <c r="G1063" s="1423">
        <f t="shared" ref="G1063" ca="1" si="1515">IF(AND(F1063&lt;1,G1037=0),0,
IF(G1037=0,F1063-1,
IF(F1063&lt;1,G1038,
(((F1063-1)*(F1039-(F1039/(F1063))))+(G1037*G1038))/(G1039))))</f>
        <v>0</v>
      </c>
      <c r="H1063" s="1423">
        <f ca="1">IF(AND(G1063&lt;1,H1037=0),0,
IF(H1037=0,G1063-1,
IF(G1063&lt;1,H1038,
(((G1063-1)*(G1039-(G1039/(G1063))))+(H1037*H1038))/(H1039))))</f>
        <v>0</v>
      </c>
      <c r="I1063" s="1423">
        <f t="shared" ref="I1063" ca="1" si="1516">IF(AND(H1063&lt;1,I1037=0),0,
IF(I1037=0,H1063-1,
IF(H1063&lt;1,I1038,
(((H1063-1)*(H1039-(H1039/(H1063))))+(I1037*I1038))/(I1039))))</f>
        <v>0</v>
      </c>
      <c r="J1063" s="1423">
        <f t="shared" ref="J1063" ca="1" si="1517">IF(AND(I1063&lt;1,J1037=0),0,
IF(J1037=0,I1063-1,
IF(I1063&lt;1,J1038,
(((I1063-1)*(I1039-(I1039/(I1063))))+(J1037*J1038))/(J1039))))</f>
        <v>0</v>
      </c>
      <c r="K1063" s="1423">
        <f t="shared" ref="K1063" ca="1" si="1518">IF(AND(J1063&lt;1,K1037=0),0,
IF(K1037=0,J1063-1,
IF(J1063&lt;1,K1038,
(((J1063-1)*(J1039-(J1039/(J1063))))+(K1037*K1038))/(K1039))))</f>
        <v>0</v>
      </c>
      <c r="L1063" s="1423">
        <f t="shared" ref="L1063" ca="1" si="1519">IF(AND(K1063&lt;1,L1037=0),0,
IF(L1037=0,K1063-1,
IF(K1063&lt;1,L1038,
(((K1063-1)*(K1039-(K1039/(K1063))))+(L1037*L1038))/(L1039))))</f>
        <v>0</v>
      </c>
      <c r="M1063" s="1423">
        <f ca="1">IF(AND(L1063&lt;1,M1037=0),0,
IF(M1037=0,L1063-1,
IF(L1063&lt;1,M1038,
(((L1063-1)*(L1039-(L1039/(L1063))))+(M1037*M1038))/(M1039))))</f>
        <v>0</v>
      </c>
      <c r="N1063" s="1423">
        <f t="shared" ref="N1063" ca="1" si="1520">IF(AND(M1063&lt;1,N1037=0),0,
IF(N1037=0,M1063-1,
IF(M1063&lt;1,N1038,
(((M1063-1)*(M1039-(M1039/(M1063))))+(N1037*N1038))/(N1039))))</f>
        <v>0</v>
      </c>
      <c r="O1063" s="1423">
        <f t="shared" ref="O1063" ca="1" si="1521">IF(AND(N1063&lt;1,O1037=0),0,
IF(O1037=0,N1063-1,
IF(N1063&lt;1,O1038,
(((N1063-1)*(N1039-(N1039/(N1063))))+(O1037*O1038))/(O1039))))</f>
        <v>0</v>
      </c>
      <c r="P1063" s="1423">
        <f t="shared" ref="P1063" ca="1" si="1522">IF(AND(O1063&lt;1,P1037=0),0,
IF(P1037=0,O1063-1,
IF(O1063&lt;1,P1038,
(((O1063-1)*(O1039-(O1039/(O1063))))+(P1037*P1038))/(P1039))))</f>
        <v>0</v>
      </c>
      <c r="Q1063" s="1423">
        <f t="shared" ref="Q1063" ca="1" si="1523">IF(AND(P1063&lt;1,Q1037=0),0,
IF(Q1037=0,P1063-1,
IF(P1063&lt;1,Q1038,
(((P1063-1)*(P1039-(P1039/(P1063))))+(Q1037*Q1038))/(Q1039))))</f>
        <v>0</v>
      </c>
      <c r="R1063" s="1423">
        <f t="shared" ref="R1063" ca="1" si="1524">IF(AND(Q1063&lt;1,R1037=0),0,
IF(R1037=0,Q1063-1,
IF(Q1063&lt;1,R1038,
(((Q1063-1)*(Q1039-(Q1039/(Q1063))))+(R1037*R1038))/(R1039))))</f>
        <v>0</v>
      </c>
      <c r="S1063" s="1423">
        <f t="shared" ref="S1063" ca="1" si="1525">IF(AND(R1063&lt;1,S1037=0),0,
IF(S1037=0,R1063-1,
IF(R1063&lt;1,S1038,
(((R1063-1)*(R1039-(R1039/(R1063))))+(S1037*S1038))/(S1039))))</f>
        <v>0</v>
      </c>
      <c r="T1063" s="1423">
        <f t="shared" ref="T1063" ca="1" si="1526">IF(AND(S1063&lt;1,T1037=0),0,
IF(T1037=0,S1063-1,
IF(S1063&lt;1,T1038,
(((S1063-1)*(S1039-(S1039/(S1063))))+(T1037*T1038))/(T1039))))</f>
        <v>0</v>
      </c>
      <c r="U1063" s="1423">
        <f t="shared" ref="U1063" ca="1" si="1527">IF(AND(T1063&lt;1,U1037=0),0,
IF(U1037=0,T1063-1,
IF(T1063&lt;1,U1038,
(((T1063-1)*(T1039-(T1039/(T1063))))+(U1037*U1038))/(U1039))))</f>
        <v>0</v>
      </c>
      <c r="V1063" s="1423">
        <f t="shared" ref="V1063" ca="1" si="1528">IF(AND(U1063&lt;1,V1037=0),0,
IF(V1037=0,U1063-1,
IF(U1063&lt;1,V1038,
(((U1063-1)*(U1039-(U1039/(U1063))))+(V1037*V1038))/(V1039))))</f>
        <v>0</v>
      </c>
      <c r="W1063" s="1423">
        <f t="shared" ref="W1063" ca="1" si="1529">IF(AND(V1063&lt;1,W1037=0),0,
IF(W1037=0,V1063-1,
IF(V1063&lt;1,W1038,
(((V1063-1)*(V1039-(V1039/(V1063))))+(W1037*W1038))/(W1039))))</f>
        <v>0</v>
      </c>
      <c r="X1063" s="152"/>
      <c r="Y1063" s="152"/>
      <c r="Z1063" s="152"/>
      <c r="AA1063" s="152"/>
      <c r="AB1063" s="152"/>
    </row>
    <row r="1064" spans="1:28" hidden="1" outlineLevel="1">
      <c r="A1064" s="152"/>
      <c r="B1064" s="190" t="s">
        <v>193</v>
      </c>
      <c r="C1064" s="1423">
        <f ca="1">C1036</f>
        <v>0</v>
      </c>
      <c r="D1064" s="1423">
        <f t="shared" ref="D1064" ca="1" si="1530">IF(C1064="n/a","n/a",MAX(0,C1064-1))</f>
        <v>0</v>
      </c>
      <c r="E1064" s="1423">
        <f t="shared" ref="E1064:E1065" ca="1" si="1531">IF(D1064="n/a","n/a",MAX(0,D1064-1))</f>
        <v>0</v>
      </c>
      <c r="F1064" s="1423">
        <f t="shared" ref="F1064:F1066" ca="1" si="1532">IF(E1064="n/a","n/a",MAX(0,E1064-1))</f>
        <v>0</v>
      </c>
      <c r="G1064" s="1423">
        <f t="shared" ref="G1064:G1067" ca="1" si="1533">IF(F1064="n/a","n/a",MAX(0,F1064-1))</f>
        <v>0</v>
      </c>
      <c r="H1064" s="1423">
        <f t="shared" ref="H1064:H1068" ca="1" si="1534">IF(G1064="n/a","n/a",MAX(0,G1064-1))</f>
        <v>0</v>
      </c>
      <c r="I1064" s="1423">
        <f t="shared" ref="I1064:I1069" ca="1" si="1535">IF(H1064="n/a","n/a",MAX(0,H1064-1))</f>
        <v>0</v>
      </c>
      <c r="J1064" s="1423">
        <f t="shared" ref="J1064:J1070" ca="1" si="1536">IF(I1064="n/a","n/a",MAX(0,I1064-1))</f>
        <v>0</v>
      </c>
      <c r="K1064" s="1423">
        <f t="shared" ref="K1064:K1071" ca="1" si="1537">IF(J1064="n/a","n/a",MAX(0,J1064-1))</f>
        <v>0</v>
      </c>
      <c r="L1064" s="1423">
        <f t="shared" ref="L1064:L1072" ca="1" si="1538">IF(K1064="n/a","n/a",MAX(0,K1064-1))</f>
        <v>0</v>
      </c>
      <c r="M1064" s="1423">
        <f t="shared" ref="M1064:M1073" ca="1" si="1539">IF(L1064="n/a","n/a",MAX(0,L1064-1))</f>
        <v>0</v>
      </c>
      <c r="N1064" s="1423">
        <f t="shared" ref="N1064:N1074" ca="1" si="1540">IF(M1064="n/a","n/a",MAX(0,M1064-1))</f>
        <v>0</v>
      </c>
      <c r="O1064" s="1423">
        <f t="shared" ref="O1064:O1075" ca="1" si="1541">IF(N1064="n/a","n/a",MAX(0,N1064-1))</f>
        <v>0</v>
      </c>
      <c r="P1064" s="1423">
        <f t="shared" ref="P1064:P1076" ca="1" si="1542">IF(O1064="n/a","n/a",MAX(0,O1064-1))</f>
        <v>0</v>
      </c>
      <c r="Q1064" s="1423">
        <f t="shared" ref="Q1064:Q1077" ca="1" si="1543">IF(P1064="n/a","n/a",MAX(0,P1064-1))</f>
        <v>0</v>
      </c>
      <c r="R1064" s="1423">
        <f t="shared" ref="R1064:R1078" ca="1" si="1544">IF(Q1064="n/a","n/a",MAX(0,Q1064-1))</f>
        <v>0</v>
      </c>
      <c r="S1064" s="1423">
        <f t="shared" ref="S1064:S1079" ca="1" si="1545">IF(R1064="n/a","n/a",MAX(0,R1064-1))</f>
        <v>0</v>
      </c>
      <c r="T1064" s="1423">
        <f t="shared" ref="T1064:T1080" ca="1" si="1546">IF(S1064="n/a","n/a",MAX(0,S1064-1))</f>
        <v>0</v>
      </c>
      <c r="U1064" s="1423">
        <f t="shared" ref="U1064:U1081" ca="1" si="1547">IF(T1064="n/a","n/a",MAX(0,T1064-1))</f>
        <v>0</v>
      </c>
      <c r="V1064" s="1423">
        <f t="shared" ref="V1064:V1082" ca="1" si="1548">IF(U1064="n/a","n/a",MAX(0,U1064-1))</f>
        <v>0</v>
      </c>
      <c r="W1064" s="1423">
        <f t="shared" ref="W1064:W1082" ca="1" si="1549">IF(V1064="n/a","n/a",MAX(0,V1064-1))</f>
        <v>0</v>
      </c>
      <c r="X1064" s="152"/>
      <c r="Y1064" s="152"/>
      <c r="Z1064" s="152"/>
      <c r="AA1064" s="152"/>
      <c r="AB1064" s="152"/>
    </row>
    <row r="1065" spans="1:28" hidden="1" outlineLevel="1">
      <c r="A1065" s="152"/>
      <c r="B1065" s="190" t="str">
        <f t="shared" ref="B1065:B1084" ca="1" si="1550">"RL Capex "&amp;OFFSET($C$6,0,A1041)</f>
        <v>RL Capex 2016-17</v>
      </c>
      <c r="C1065" s="1424"/>
      <c r="D1065" s="1428">
        <f>D1036</f>
        <v>0</v>
      </c>
      <c r="E1065" s="1423">
        <f t="shared" si="1531"/>
        <v>0</v>
      </c>
      <c r="F1065" s="1423">
        <f t="shared" si="1532"/>
        <v>0</v>
      </c>
      <c r="G1065" s="1423">
        <f t="shared" si="1533"/>
        <v>0</v>
      </c>
      <c r="H1065" s="1423">
        <f t="shared" si="1534"/>
        <v>0</v>
      </c>
      <c r="I1065" s="1423">
        <f t="shared" si="1535"/>
        <v>0</v>
      </c>
      <c r="J1065" s="1423">
        <f t="shared" si="1536"/>
        <v>0</v>
      </c>
      <c r="K1065" s="1423">
        <f t="shared" si="1537"/>
        <v>0</v>
      </c>
      <c r="L1065" s="1423">
        <f t="shared" si="1538"/>
        <v>0</v>
      </c>
      <c r="M1065" s="1423">
        <f t="shared" si="1539"/>
        <v>0</v>
      </c>
      <c r="N1065" s="1423">
        <f t="shared" si="1540"/>
        <v>0</v>
      </c>
      <c r="O1065" s="1423">
        <f t="shared" si="1541"/>
        <v>0</v>
      </c>
      <c r="P1065" s="1423">
        <f t="shared" si="1542"/>
        <v>0</v>
      </c>
      <c r="Q1065" s="1423">
        <f t="shared" si="1543"/>
        <v>0</v>
      </c>
      <c r="R1065" s="1423">
        <f t="shared" si="1544"/>
        <v>0</v>
      </c>
      <c r="S1065" s="1423">
        <f t="shared" si="1545"/>
        <v>0</v>
      </c>
      <c r="T1065" s="1423">
        <f t="shared" si="1546"/>
        <v>0</v>
      </c>
      <c r="U1065" s="1423">
        <f t="shared" si="1547"/>
        <v>0</v>
      </c>
      <c r="V1065" s="1423">
        <f t="shared" si="1548"/>
        <v>0</v>
      </c>
      <c r="W1065" s="1423">
        <f t="shared" si="1549"/>
        <v>0</v>
      </c>
      <c r="X1065" s="152"/>
      <c r="Y1065" s="152"/>
      <c r="Z1065" s="152"/>
      <c r="AA1065" s="152"/>
      <c r="AB1065" s="152"/>
    </row>
    <row r="1066" spans="1:28" hidden="1" outlineLevel="1">
      <c r="A1066" s="152"/>
      <c r="B1066" s="190" t="str">
        <f t="shared" ca="1" si="1550"/>
        <v>RL Capex 2017-18</v>
      </c>
      <c r="C1066" s="1429"/>
      <c r="D1066" s="1424"/>
      <c r="E1066" s="1428">
        <f>E1036</f>
        <v>0</v>
      </c>
      <c r="F1066" s="1423">
        <f t="shared" si="1532"/>
        <v>0</v>
      </c>
      <c r="G1066" s="1423">
        <f t="shared" si="1533"/>
        <v>0</v>
      </c>
      <c r="H1066" s="1423">
        <f t="shared" si="1534"/>
        <v>0</v>
      </c>
      <c r="I1066" s="1423">
        <f t="shared" si="1535"/>
        <v>0</v>
      </c>
      <c r="J1066" s="1423">
        <f t="shared" si="1536"/>
        <v>0</v>
      </c>
      <c r="K1066" s="1423">
        <f t="shared" si="1537"/>
        <v>0</v>
      </c>
      <c r="L1066" s="1423">
        <f t="shared" si="1538"/>
        <v>0</v>
      </c>
      <c r="M1066" s="1423">
        <f t="shared" si="1539"/>
        <v>0</v>
      </c>
      <c r="N1066" s="1423">
        <f t="shared" si="1540"/>
        <v>0</v>
      </c>
      <c r="O1066" s="1423">
        <f t="shared" si="1541"/>
        <v>0</v>
      </c>
      <c r="P1066" s="1423">
        <f t="shared" si="1542"/>
        <v>0</v>
      </c>
      <c r="Q1066" s="1423">
        <f t="shared" si="1543"/>
        <v>0</v>
      </c>
      <c r="R1066" s="1423">
        <f t="shared" si="1544"/>
        <v>0</v>
      </c>
      <c r="S1066" s="1423">
        <f t="shared" si="1545"/>
        <v>0</v>
      </c>
      <c r="T1066" s="1423">
        <f t="shared" si="1546"/>
        <v>0</v>
      </c>
      <c r="U1066" s="1423">
        <f t="shared" si="1547"/>
        <v>0</v>
      </c>
      <c r="V1066" s="1423">
        <f t="shared" si="1548"/>
        <v>0</v>
      </c>
      <c r="W1066" s="1423">
        <f t="shared" si="1549"/>
        <v>0</v>
      </c>
      <c r="X1066" s="152"/>
      <c r="Y1066" s="152"/>
      <c r="Z1066" s="152"/>
      <c r="AA1066" s="152"/>
      <c r="AB1066" s="152"/>
    </row>
    <row r="1067" spans="1:28" hidden="1" outlineLevel="1">
      <c r="A1067" s="152"/>
      <c r="B1067" s="190" t="str">
        <f t="shared" ca="1" si="1550"/>
        <v>RL Capex 2018-19</v>
      </c>
      <c r="C1067" s="1429"/>
      <c r="D1067" s="1429"/>
      <c r="E1067" s="1424"/>
      <c r="F1067" s="1428">
        <f>F1036</f>
        <v>0</v>
      </c>
      <c r="G1067" s="1423">
        <f t="shared" si="1533"/>
        <v>0</v>
      </c>
      <c r="H1067" s="1423">
        <f t="shared" si="1534"/>
        <v>0</v>
      </c>
      <c r="I1067" s="1423">
        <f t="shared" si="1535"/>
        <v>0</v>
      </c>
      <c r="J1067" s="1423">
        <f t="shared" si="1536"/>
        <v>0</v>
      </c>
      <c r="K1067" s="1423">
        <f t="shared" si="1537"/>
        <v>0</v>
      </c>
      <c r="L1067" s="1423">
        <f t="shared" si="1538"/>
        <v>0</v>
      </c>
      <c r="M1067" s="1423">
        <f t="shared" si="1539"/>
        <v>0</v>
      </c>
      <c r="N1067" s="1423">
        <f t="shared" si="1540"/>
        <v>0</v>
      </c>
      <c r="O1067" s="1423">
        <f t="shared" si="1541"/>
        <v>0</v>
      </c>
      <c r="P1067" s="1423">
        <f t="shared" si="1542"/>
        <v>0</v>
      </c>
      <c r="Q1067" s="1423">
        <f t="shared" si="1543"/>
        <v>0</v>
      </c>
      <c r="R1067" s="1423">
        <f t="shared" si="1544"/>
        <v>0</v>
      </c>
      <c r="S1067" s="1423">
        <f t="shared" si="1545"/>
        <v>0</v>
      </c>
      <c r="T1067" s="1423">
        <f t="shared" si="1546"/>
        <v>0</v>
      </c>
      <c r="U1067" s="1423">
        <f t="shared" si="1547"/>
        <v>0</v>
      </c>
      <c r="V1067" s="1423">
        <f t="shared" si="1548"/>
        <v>0</v>
      </c>
      <c r="W1067" s="1423">
        <f t="shared" si="1549"/>
        <v>0</v>
      </c>
      <c r="X1067" s="152"/>
      <c r="Y1067" s="152"/>
      <c r="Z1067" s="152"/>
      <c r="AA1067" s="152"/>
      <c r="AB1067" s="152"/>
    </row>
    <row r="1068" spans="1:28" hidden="1" outlineLevel="1">
      <c r="A1068" s="152"/>
      <c r="B1068" s="190" t="str">
        <f t="shared" ca="1" si="1550"/>
        <v>RL Capex 2019-20</v>
      </c>
      <c r="C1068" s="1429"/>
      <c r="D1068" s="1429"/>
      <c r="E1068" s="1429"/>
      <c r="F1068" s="1424"/>
      <c r="G1068" s="1428">
        <f>G1036</f>
        <v>0</v>
      </c>
      <c r="H1068" s="1423">
        <f t="shared" si="1534"/>
        <v>0</v>
      </c>
      <c r="I1068" s="1423">
        <f t="shared" si="1535"/>
        <v>0</v>
      </c>
      <c r="J1068" s="1423">
        <f t="shared" si="1536"/>
        <v>0</v>
      </c>
      <c r="K1068" s="1423">
        <f t="shared" si="1537"/>
        <v>0</v>
      </c>
      <c r="L1068" s="1423">
        <f t="shared" si="1538"/>
        <v>0</v>
      </c>
      <c r="M1068" s="1423">
        <f t="shared" si="1539"/>
        <v>0</v>
      </c>
      <c r="N1068" s="1423">
        <f t="shared" si="1540"/>
        <v>0</v>
      </c>
      <c r="O1068" s="1423">
        <f t="shared" si="1541"/>
        <v>0</v>
      </c>
      <c r="P1068" s="1423">
        <f t="shared" si="1542"/>
        <v>0</v>
      </c>
      <c r="Q1068" s="1423">
        <f t="shared" si="1543"/>
        <v>0</v>
      </c>
      <c r="R1068" s="1423">
        <f t="shared" si="1544"/>
        <v>0</v>
      </c>
      <c r="S1068" s="1423">
        <f t="shared" si="1545"/>
        <v>0</v>
      </c>
      <c r="T1068" s="1423">
        <f t="shared" si="1546"/>
        <v>0</v>
      </c>
      <c r="U1068" s="1423">
        <f t="shared" si="1547"/>
        <v>0</v>
      </c>
      <c r="V1068" s="1423">
        <f t="shared" si="1548"/>
        <v>0</v>
      </c>
      <c r="W1068" s="1423">
        <f t="shared" si="1549"/>
        <v>0</v>
      </c>
      <c r="X1068" s="152"/>
      <c r="Y1068" s="152"/>
      <c r="Z1068" s="152"/>
      <c r="AA1068" s="152"/>
      <c r="AB1068" s="152"/>
    </row>
    <row r="1069" spans="1:28" hidden="1" outlineLevel="1">
      <c r="A1069" s="152"/>
      <c r="B1069" s="190" t="str">
        <f t="shared" ca="1" si="1550"/>
        <v>RL Capex 2020-21</v>
      </c>
      <c r="C1069" s="1429"/>
      <c r="D1069" s="1429"/>
      <c r="E1069" s="1429"/>
      <c r="F1069" s="1429"/>
      <c r="G1069" s="1424"/>
      <c r="H1069" s="1428">
        <f>H1036</f>
        <v>0</v>
      </c>
      <c r="I1069" s="1423">
        <f t="shared" si="1535"/>
        <v>0</v>
      </c>
      <c r="J1069" s="1423">
        <f t="shared" si="1536"/>
        <v>0</v>
      </c>
      <c r="K1069" s="1423">
        <f t="shared" si="1537"/>
        <v>0</v>
      </c>
      <c r="L1069" s="1423">
        <f t="shared" si="1538"/>
        <v>0</v>
      </c>
      <c r="M1069" s="1423">
        <f t="shared" si="1539"/>
        <v>0</v>
      </c>
      <c r="N1069" s="1423">
        <f t="shared" si="1540"/>
        <v>0</v>
      </c>
      <c r="O1069" s="1423">
        <f t="shared" si="1541"/>
        <v>0</v>
      </c>
      <c r="P1069" s="1423">
        <f t="shared" si="1542"/>
        <v>0</v>
      </c>
      <c r="Q1069" s="1423">
        <f t="shared" si="1543"/>
        <v>0</v>
      </c>
      <c r="R1069" s="1423">
        <f t="shared" si="1544"/>
        <v>0</v>
      </c>
      <c r="S1069" s="1423">
        <f t="shared" si="1545"/>
        <v>0</v>
      </c>
      <c r="T1069" s="1423">
        <f t="shared" si="1546"/>
        <v>0</v>
      </c>
      <c r="U1069" s="1423">
        <f t="shared" si="1547"/>
        <v>0</v>
      </c>
      <c r="V1069" s="1423">
        <f t="shared" si="1548"/>
        <v>0</v>
      </c>
      <c r="W1069" s="1423">
        <f t="shared" si="1549"/>
        <v>0</v>
      </c>
      <c r="X1069" s="152"/>
      <c r="Y1069" s="152"/>
      <c r="Z1069" s="152"/>
      <c r="AA1069" s="152"/>
      <c r="AB1069" s="152"/>
    </row>
    <row r="1070" spans="1:28" hidden="1" outlineLevel="1">
      <c r="A1070" s="152"/>
      <c r="B1070" s="190" t="str">
        <f t="shared" ca="1" si="1550"/>
        <v>RL Capex 2021-22</v>
      </c>
      <c r="C1070" s="1429"/>
      <c r="D1070" s="1429"/>
      <c r="E1070" s="1429"/>
      <c r="F1070" s="1429"/>
      <c r="G1070" s="1429"/>
      <c r="H1070" s="1424"/>
      <c r="I1070" s="1428">
        <f>I1036</f>
        <v>0</v>
      </c>
      <c r="J1070" s="1423">
        <f t="shared" si="1536"/>
        <v>0</v>
      </c>
      <c r="K1070" s="1423">
        <f t="shared" si="1537"/>
        <v>0</v>
      </c>
      <c r="L1070" s="1423">
        <f t="shared" si="1538"/>
        <v>0</v>
      </c>
      <c r="M1070" s="1423">
        <f t="shared" si="1539"/>
        <v>0</v>
      </c>
      <c r="N1070" s="1423">
        <f t="shared" si="1540"/>
        <v>0</v>
      </c>
      <c r="O1070" s="1423">
        <f t="shared" si="1541"/>
        <v>0</v>
      </c>
      <c r="P1070" s="1423">
        <f t="shared" si="1542"/>
        <v>0</v>
      </c>
      <c r="Q1070" s="1423">
        <f t="shared" si="1543"/>
        <v>0</v>
      </c>
      <c r="R1070" s="1423">
        <f t="shared" si="1544"/>
        <v>0</v>
      </c>
      <c r="S1070" s="1423">
        <f t="shared" si="1545"/>
        <v>0</v>
      </c>
      <c r="T1070" s="1423">
        <f t="shared" si="1546"/>
        <v>0</v>
      </c>
      <c r="U1070" s="1423">
        <f t="shared" si="1547"/>
        <v>0</v>
      </c>
      <c r="V1070" s="1423">
        <f t="shared" si="1548"/>
        <v>0</v>
      </c>
      <c r="W1070" s="1423">
        <f t="shared" si="1549"/>
        <v>0</v>
      </c>
      <c r="X1070" s="152"/>
      <c r="Y1070" s="152"/>
      <c r="Z1070" s="152"/>
      <c r="AA1070" s="152"/>
      <c r="AB1070" s="152"/>
    </row>
    <row r="1071" spans="1:28" hidden="1" outlineLevel="1">
      <c r="A1071" s="152"/>
      <c r="B1071" s="190" t="str">
        <f t="shared" ca="1" si="1550"/>
        <v>RL Capex 2022-23</v>
      </c>
      <c r="C1071" s="1429"/>
      <c r="D1071" s="1429"/>
      <c r="E1071" s="1429"/>
      <c r="F1071" s="1429"/>
      <c r="G1071" s="1429"/>
      <c r="H1071" s="1429"/>
      <c r="I1071" s="1424"/>
      <c r="J1071" s="1428">
        <f>J1036</f>
        <v>0</v>
      </c>
      <c r="K1071" s="1423">
        <f t="shared" si="1537"/>
        <v>0</v>
      </c>
      <c r="L1071" s="1423">
        <f t="shared" si="1538"/>
        <v>0</v>
      </c>
      <c r="M1071" s="1423">
        <f t="shared" si="1539"/>
        <v>0</v>
      </c>
      <c r="N1071" s="1423">
        <f t="shared" si="1540"/>
        <v>0</v>
      </c>
      <c r="O1071" s="1423">
        <f t="shared" si="1541"/>
        <v>0</v>
      </c>
      <c r="P1071" s="1423">
        <f t="shared" si="1542"/>
        <v>0</v>
      </c>
      <c r="Q1071" s="1423">
        <f t="shared" si="1543"/>
        <v>0</v>
      </c>
      <c r="R1071" s="1423">
        <f t="shared" si="1544"/>
        <v>0</v>
      </c>
      <c r="S1071" s="1423">
        <f t="shared" si="1545"/>
        <v>0</v>
      </c>
      <c r="T1071" s="1423">
        <f t="shared" si="1546"/>
        <v>0</v>
      </c>
      <c r="U1071" s="1423">
        <f t="shared" si="1547"/>
        <v>0</v>
      </c>
      <c r="V1071" s="1423">
        <f t="shared" si="1548"/>
        <v>0</v>
      </c>
      <c r="W1071" s="1423">
        <f t="shared" si="1549"/>
        <v>0</v>
      </c>
      <c r="X1071" s="152"/>
      <c r="Y1071" s="152"/>
      <c r="Z1071" s="152"/>
      <c r="AA1071" s="152"/>
      <c r="AB1071" s="152"/>
    </row>
    <row r="1072" spans="1:28" hidden="1" outlineLevel="1">
      <c r="A1072" s="152"/>
      <c r="B1072" s="190" t="str">
        <f t="shared" ca="1" si="1550"/>
        <v>RL Capex 2023-24</v>
      </c>
      <c r="C1072" s="1429"/>
      <c r="D1072" s="1429"/>
      <c r="E1072" s="1429"/>
      <c r="F1072" s="1429"/>
      <c r="G1072" s="1429"/>
      <c r="H1072" s="1429"/>
      <c r="I1072" s="1429"/>
      <c r="J1072" s="1424"/>
      <c r="K1072" s="1428">
        <f>K1036</f>
        <v>0</v>
      </c>
      <c r="L1072" s="1423">
        <f t="shared" si="1538"/>
        <v>0</v>
      </c>
      <c r="M1072" s="1423">
        <f t="shared" si="1539"/>
        <v>0</v>
      </c>
      <c r="N1072" s="1423">
        <f t="shared" si="1540"/>
        <v>0</v>
      </c>
      <c r="O1072" s="1423">
        <f t="shared" si="1541"/>
        <v>0</v>
      </c>
      <c r="P1072" s="1423">
        <f t="shared" si="1542"/>
        <v>0</v>
      </c>
      <c r="Q1072" s="1423">
        <f t="shared" si="1543"/>
        <v>0</v>
      </c>
      <c r="R1072" s="1423">
        <f t="shared" si="1544"/>
        <v>0</v>
      </c>
      <c r="S1072" s="1423">
        <f t="shared" si="1545"/>
        <v>0</v>
      </c>
      <c r="T1072" s="1423">
        <f t="shared" si="1546"/>
        <v>0</v>
      </c>
      <c r="U1072" s="1423">
        <f t="shared" si="1547"/>
        <v>0</v>
      </c>
      <c r="V1072" s="1423">
        <f t="shared" si="1548"/>
        <v>0</v>
      </c>
      <c r="W1072" s="1423">
        <f t="shared" si="1549"/>
        <v>0</v>
      </c>
      <c r="X1072" s="152"/>
      <c r="Y1072" s="152"/>
      <c r="Z1072" s="152"/>
      <c r="AA1072" s="152"/>
      <c r="AB1072" s="152"/>
    </row>
    <row r="1073" spans="1:28" hidden="1" outlineLevel="1">
      <c r="A1073" s="152"/>
      <c r="B1073" s="190" t="str">
        <f t="shared" ca="1" si="1550"/>
        <v>RL Capex 2024-25</v>
      </c>
      <c r="C1073" s="1429"/>
      <c r="D1073" s="1429"/>
      <c r="E1073" s="1429"/>
      <c r="F1073" s="1429"/>
      <c r="G1073" s="1429"/>
      <c r="H1073" s="1429"/>
      <c r="I1073" s="1429"/>
      <c r="J1073" s="1429"/>
      <c r="K1073" s="1424"/>
      <c r="L1073" s="1428">
        <f>L1036</f>
        <v>0</v>
      </c>
      <c r="M1073" s="1423">
        <f t="shared" si="1539"/>
        <v>0</v>
      </c>
      <c r="N1073" s="1423">
        <f t="shared" si="1540"/>
        <v>0</v>
      </c>
      <c r="O1073" s="1423">
        <f t="shared" si="1541"/>
        <v>0</v>
      </c>
      <c r="P1073" s="1423">
        <f t="shared" si="1542"/>
        <v>0</v>
      </c>
      <c r="Q1073" s="1423">
        <f t="shared" si="1543"/>
        <v>0</v>
      </c>
      <c r="R1073" s="1423">
        <f t="shared" si="1544"/>
        <v>0</v>
      </c>
      <c r="S1073" s="1423">
        <f t="shared" si="1545"/>
        <v>0</v>
      </c>
      <c r="T1073" s="1423">
        <f t="shared" si="1546"/>
        <v>0</v>
      </c>
      <c r="U1073" s="1423">
        <f t="shared" si="1547"/>
        <v>0</v>
      </c>
      <c r="V1073" s="1423">
        <f t="shared" si="1548"/>
        <v>0</v>
      </c>
      <c r="W1073" s="1423">
        <f t="shared" si="1549"/>
        <v>0</v>
      </c>
      <c r="X1073" s="152"/>
      <c r="Y1073" s="152"/>
      <c r="Z1073" s="152"/>
      <c r="AA1073" s="152"/>
      <c r="AB1073" s="152"/>
    </row>
    <row r="1074" spans="1:28" hidden="1" outlineLevel="1">
      <c r="A1074" s="152"/>
      <c r="B1074" s="190" t="str">
        <f t="shared" ca="1" si="1550"/>
        <v>RL Capex 2025-26</v>
      </c>
      <c r="C1074" s="1429"/>
      <c r="D1074" s="1429"/>
      <c r="E1074" s="1429"/>
      <c r="F1074" s="1429"/>
      <c r="G1074" s="1429"/>
      <c r="H1074" s="1429"/>
      <c r="I1074" s="1429"/>
      <c r="J1074" s="1429"/>
      <c r="K1074" s="1429"/>
      <c r="L1074" s="1424"/>
      <c r="M1074" s="1428">
        <f>M1036</f>
        <v>0</v>
      </c>
      <c r="N1074" s="1423">
        <f t="shared" si="1540"/>
        <v>0</v>
      </c>
      <c r="O1074" s="1423">
        <f t="shared" si="1541"/>
        <v>0</v>
      </c>
      <c r="P1074" s="1423">
        <f t="shared" si="1542"/>
        <v>0</v>
      </c>
      <c r="Q1074" s="1423">
        <f t="shared" si="1543"/>
        <v>0</v>
      </c>
      <c r="R1074" s="1423">
        <f t="shared" si="1544"/>
        <v>0</v>
      </c>
      <c r="S1074" s="1423">
        <f t="shared" si="1545"/>
        <v>0</v>
      </c>
      <c r="T1074" s="1423">
        <f t="shared" si="1546"/>
        <v>0</v>
      </c>
      <c r="U1074" s="1423">
        <f t="shared" si="1547"/>
        <v>0</v>
      </c>
      <c r="V1074" s="1423">
        <f t="shared" si="1548"/>
        <v>0</v>
      </c>
      <c r="W1074" s="1423">
        <f t="shared" si="1549"/>
        <v>0</v>
      </c>
      <c r="X1074" s="152"/>
      <c r="Y1074" s="152"/>
      <c r="Z1074" s="152"/>
      <c r="AA1074" s="152"/>
      <c r="AB1074" s="152"/>
    </row>
    <row r="1075" spans="1:28" hidden="1" outlineLevel="1">
      <c r="A1075" s="152"/>
      <c r="B1075" s="190" t="str">
        <f t="shared" ca="1" si="1550"/>
        <v>RL Capex 2026-27</v>
      </c>
      <c r="C1075" s="1429"/>
      <c r="D1075" s="1429"/>
      <c r="E1075" s="1429"/>
      <c r="F1075" s="1429"/>
      <c r="G1075" s="1429"/>
      <c r="H1075" s="1429"/>
      <c r="I1075" s="1429"/>
      <c r="J1075" s="1429"/>
      <c r="K1075" s="1429"/>
      <c r="L1075" s="1429"/>
      <c r="M1075" s="1424"/>
      <c r="N1075" s="1428">
        <f>N1036</f>
        <v>0</v>
      </c>
      <c r="O1075" s="1423">
        <f t="shared" si="1541"/>
        <v>0</v>
      </c>
      <c r="P1075" s="1423">
        <f t="shared" si="1542"/>
        <v>0</v>
      </c>
      <c r="Q1075" s="1423">
        <f t="shared" si="1543"/>
        <v>0</v>
      </c>
      <c r="R1075" s="1423">
        <f t="shared" si="1544"/>
        <v>0</v>
      </c>
      <c r="S1075" s="1423">
        <f t="shared" si="1545"/>
        <v>0</v>
      </c>
      <c r="T1075" s="1423">
        <f t="shared" si="1546"/>
        <v>0</v>
      </c>
      <c r="U1075" s="1423">
        <f t="shared" si="1547"/>
        <v>0</v>
      </c>
      <c r="V1075" s="1423">
        <f t="shared" si="1548"/>
        <v>0</v>
      </c>
      <c r="W1075" s="1423">
        <f t="shared" si="1549"/>
        <v>0</v>
      </c>
      <c r="X1075" s="152"/>
      <c r="Y1075" s="152"/>
      <c r="Z1075" s="152"/>
      <c r="AA1075" s="152"/>
      <c r="AB1075" s="152"/>
    </row>
    <row r="1076" spans="1:28" hidden="1" outlineLevel="1">
      <c r="A1076" s="152"/>
      <c r="B1076" s="190" t="str">
        <f t="shared" ca="1" si="1550"/>
        <v>RL Capex 2027-28</v>
      </c>
      <c r="C1076" s="1429"/>
      <c r="D1076" s="1429"/>
      <c r="E1076" s="1429"/>
      <c r="F1076" s="1429"/>
      <c r="G1076" s="1429"/>
      <c r="H1076" s="1429"/>
      <c r="I1076" s="1429"/>
      <c r="J1076" s="1429"/>
      <c r="K1076" s="1429"/>
      <c r="L1076" s="1429"/>
      <c r="M1076" s="1429"/>
      <c r="N1076" s="1424"/>
      <c r="O1076" s="1428">
        <f>O1036</f>
        <v>0</v>
      </c>
      <c r="P1076" s="1423">
        <f t="shared" si="1542"/>
        <v>0</v>
      </c>
      <c r="Q1076" s="1423">
        <f t="shared" si="1543"/>
        <v>0</v>
      </c>
      <c r="R1076" s="1423">
        <f t="shared" si="1544"/>
        <v>0</v>
      </c>
      <c r="S1076" s="1423">
        <f t="shared" si="1545"/>
        <v>0</v>
      </c>
      <c r="T1076" s="1423">
        <f t="shared" si="1546"/>
        <v>0</v>
      </c>
      <c r="U1076" s="1423">
        <f t="shared" si="1547"/>
        <v>0</v>
      </c>
      <c r="V1076" s="1423">
        <f t="shared" si="1548"/>
        <v>0</v>
      </c>
      <c r="W1076" s="1423">
        <f t="shared" si="1549"/>
        <v>0</v>
      </c>
      <c r="X1076" s="152"/>
      <c r="Y1076" s="152"/>
      <c r="Z1076" s="152"/>
      <c r="AA1076" s="152"/>
      <c r="AB1076" s="152"/>
    </row>
    <row r="1077" spans="1:28" hidden="1" outlineLevel="1">
      <c r="A1077" s="152"/>
      <c r="B1077" s="190" t="str">
        <f t="shared" ca="1" si="1550"/>
        <v>RL Capex 2028-29</v>
      </c>
      <c r="C1077" s="1429"/>
      <c r="D1077" s="1429"/>
      <c r="E1077" s="1429"/>
      <c r="F1077" s="1429"/>
      <c r="G1077" s="1429"/>
      <c r="H1077" s="1429"/>
      <c r="I1077" s="1429"/>
      <c r="J1077" s="1429"/>
      <c r="K1077" s="1429"/>
      <c r="L1077" s="1429"/>
      <c r="M1077" s="1429"/>
      <c r="N1077" s="1429"/>
      <c r="O1077" s="1424"/>
      <c r="P1077" s="1428">
        <f>P1036</f>
        <v>0</v>
      </c>
      <c r="Q1077" s="1423">
        <f t="shared" si="1543"/>
        <v>0</v>
      </c>
      <c r="R1077" s="1423">
        <f t="shared" si="1544"/>
        <v>0</v>
      </c>
      <c r="S1077" s="1423">
        <f t="shared" si="1545"/>
        <v>0</v>
      </c>
      <c r="T1077" s="1423">
        <f t="shared" si="1546"/>
        <v>0</v>
      </c>
      <c r="U1077" s="1423">
        <f t="shared" si="1547"/>
        <v>0</v>
      </c>
      <c r="V1077" s="1423">
        <f t="shared" si="1548"/>
        <v>0</v>
      </c>
      <c r="W1077" s="1423">
        <f t="shared" si="1549"/>
        <v>0</v>
      </c>
      <c r="X1077" s="152"/>
      <c r="Y1077" s="152"/>
      <c r="Z1077" s="152"/>
      <c r="AA1077" s="152"/>
      <c r="AB1077" s="152"/>
    </row>
    <row r="1078" spans="1:28" hidden="1" outlineLevel="1">
      <c r="A1078" s="152"/>
      <c r="B1078" s="190" t="str">
        <f t="shared" ca="1" si="1550"/>
        <v>RL Capex 2029-30</v>
      </c>
      <c r="C1078" s="1429"/>
      <c r="D1078" s="1429"/>
      <c r="E1078" s="1429"/>
      <c r="F1078" s="1429"/>
      <c r="G1078" s="1429"/>
      <c r="H1078" s="1429"/>
      <c r="I1078" s="1429"/>
      <c r="J1078" s="1429"/>
      <c r="K1078" s="1429"/>
      <c r="L1078" s="1429"/>
      <c r="M1078" s="1429"/>
      <c r="N1078" s="1429"/>
      <c r="O1078" s="1429"/>
      <c r="P1078" s="1424"/>
      <c r="Q1078" s="1428">
        <f>Q1036</f>
        <v>0</v>
      </c>
      <c r="R1078" s="1423">
        <f t="shared" si="1544"/>
        <v>0</v>
      </c>
      <c r="S1078" s="1423">
        <f t="shared" si="1545"/>
        <v>0</v>
      </c>
      <c r="T1078" s="1423">
        <f t="shared" si="1546"/>
        <v>0</v>
      </c>
      <c r="U1078" s="1423">
        <f t="shared" si="1547"/>
        <v>0</v>
      </c>
      <c r="V1078" s="1423">
        <f t="shared" si="1548"/>
        <v>0</v>
      </c>
      <c r="W1078" s="1423">
        <f t="shared" si="1549"/>
        <v>0</v>
      </c>
      <c r="X1078" s="152"/>
      <c r="Y1078" s="152"/>
      <c r="Z1078" s="152"/>
      <c r="AA1078" s="152"/>
      <c r="AB1078" s="152"/>
    </row>
    <row r="1079" spans="1:28" hidden="1" outlineLevel="1">
      <c r="A1079" s="152"/>
      <c r="B1079" s="190" t="str">
        <f t="shared" ca="1" si="1550"/>
        <v>RL Capex 2030-31</v>
      </c>
      <c r="C1079" s="1429"/>
      <c r="D1079" s="1429"/>
      <c r="E1079" s="1429"/>
      <c r="F1079" s="1429"/>
      <c r="G1079" s="1429"/>
      <c r="H1079" s="1429"/>
      <c r="I1079" s="1429"/>
      <c r="J1079" s="1429"/>
      <c r="K1079" s="1429"/>
      <c r="L1079" s="1429"/>
      <c r="M1079" s="1429"/>
      <c r="N1079" s="1429"/>
      <c r="O1079" s="1429"/>
      <c r="P1079" s="1429"/>
      <c r="Q1079" s="1424"/>
      <c r="R1079" s="1428">
        <f>R1036</f>
        <v>0</v>
      </c>
      <c r="S1079" s="1423">
        <f t="shared" si="1545"/>
        <v>0</v>
      </c>
      <c r="T1079" s="1423">
        <f t="shared" si="1546"/>
        <v>0</v>
      </c>
      <c r="U1079" s="1423">
        <f t="shared" si="1547"/>
        <v>0</v>
      </c>
      <c r="V1079" s="1423">
        <f t="shared" si="1548"/>
        <v>0</v>
      </c>
      <c r="W1079" s="1423">
        <f t="shared" si="1549"/>
        <v>0</v>
      </c>
      <c r="X1079" s="152"/>
      <c r="Y1079" s="152"/>
      <c r="Z1079" s="152"/>
      <c r="AA1079" s="152"/>
      <c r="AB1079" s="152"/>
    </row>
    <row r="1080" spans="1:28" hidden="1" outlineLevel="1">
      <c r="A1080" s="152"/>
      <c r="B1080" s="190" t="str">
        <f t="shared" ca="1" si="1550"/>
        <v>RL Capex 2031-32</v>
      </c>
      <c r="C1080" s="1429"/>
      <c r="D1080" s="1429"/>
      <c r="E1080" s="1429"/>
      <c r="F1080" s="1429"/>
      <c r="G1080" s="1429"/>
      <c r="H1080" s="1429"/>
      <c r="I1080" s="1429"/>
      <c r="J1080" s="1429"/>
      <c r="K1080" s="1429"/>
      <c r="L1080" s="1429"/>
      <c r="M1080" s="1429"/>
      <c r="N1080" s="1429"/>
      <c r="O1080" s="1429"/>
      <c r="P1080" s="1429"/>
      <c r="Q1080" s="1429"/>
      <c r="R1080" s="1424"/>
      <c r="S1080" s="1428">
        <f>S1036</f>
        <v>0</v>
      </c>
      <c r="T1080" s="1423">
        <f t="shared" si="1546"/>
        <v>0</v>
      </c>
      <c r="U1080" s="1423">
        <f t="shared" si="1547"/>
        <v>0</v>
      </c>
      <c r="V1080" s="1423">
        <f t="shared" si="1548"/>
        <v>0</v>
      </c>
      <c r="W1080" s="1423">
        <f t="shared" si="1549"/>
        <v>0</v>
      </c>
      <c r="X1080" s="152"/>
      <c r="Y1080" s="152"/>
      <c r="Z1080" s="152"/>
      <c r="AA1080" s="152"/>
      <c r="AB1080" s="152"/>
    </row>
    <row r="1081" spans="1:28" hidden="1" outlineLevel="1">
      <c r="A1081" s="152"/>
      <c r="B1081" s="190" t="str">
        <f t="shared" ca="1" si="1550"/>
        <v>RL Capex 2032-33</v>
      </c>
      <c r="C1081" s="1429"/>
      <c r="D1081" s="1429"/>
      <c r="E1081" s="1429"/>
      <c r="F1081" s="1429"/>
      <c r="G1081" s="1429"/>
      <c r="H1081" s="1429"/>
      <c r="I1081" s="1429"/>
      <c r="J1081" s="1429"/>
      <c r="K1081" s="1429"/>
      <c r="L1081" s="1429"/>
      <c r="M1081" s="1429"/>
      <c r="N1081" s="1429"/>
      <c r="O1081" s="1429"/>
      <c r="P1081" s="1429"/>
      <c r="Q1081" s="1429"/>
      <c r="R1081" s="1429"/>
      <c r="S1081" s="1424"/>
      <c r="T1081" s="1428">
        <f>T1036</f>
        <v>0</v>
      </c>
      <c r="U1081" s="1423">
        <f t="shared" si="1547"/>
        <v>0</v>
      </c>
      <c r="V1081" s="1423">
        <f t="shared" si="1548"/>
        <v>0</v>
      </c>
      <c r="W1081" s="1423">
        <f t="shared" si="1549"/>
        <v>0</v>
      </c>
      <c r="X1081" s="152"/>
      <c r="Y1081" s="152"/>
      <c r="Z1081" s="152"/>
      <c r="AA1081" s="152"/>
      <c r="AB1081" s="152"/>
    </row>
    <row r="1082" spans="1:28" hidden="1" outlineLevel="1">
      <c r="A1082" s="152"/>
      <c r="B1082" s="190" t="str">
        <f t="shared" ca="1" si="1550"/>
        <v>RL Capex 2033-34</v>
      </c>
      <c r="C1082" s="1429"/>
      <c r="D1082" s="1429"/>
      <c r="E1082" s="1429"/>
      <c r="F1082" s="1429"/>
      <c r="G1082" s="1429"/>
      <c r="H1082" s="1429"/>
      <c r="I1082" s="1429"/>
      <c r="J1082" s="1429"/>
      <c r="K1082" s="1429"/>
      <c r="L1082" s="1429"/>
      <c r="M1082" s="1429"/>
      <c r="N1082" s="1429"/>
      <c r="O1082" s="1429"/>
      <c r="P1082" s="1429"/>
      <c r="Q1082" s="1429"/>
      <c r="R1082" s="1429"/>
      <c r="S1082" s="1429"/>
      <c r="T1082" s="1424"/>
      <c r="U1082" s="1428">
        <f>U1036</f>
        <v>0</v>
      </c>
      <c r="V1082" s="1423">
        <f t="shared" si="1548"/>
        <v>0</v>
      </c>
      <c r="W1082" s="1423">
        <f t="shared" si="1549"/>
        <v>0</v>
      </c>
      <c r="X1082" s="152"/>
      <c r="Y1082" s="152"/>
      <c r="Z1082" s="152"/>
      <c r="AA1082" s="152"/>
      <c r="AB1082" s="152"/>
    </row>
    <row r="1083" spans="1:28" hidden="1" outlineLevel="1">
      <c r="A1083" s="152"/>
      <c r="B1083" s="190" t="str">
        <f t="shared" ca="1" si="1550"/>
        <v>RL Capex 2034-35</v>
      </c>
      <c r="C1083" s="1429"/>
      <c r="D1083" s="1429"/>
      <c r="E1083" s="1429"/>
      <c r="F1083" s="1429"/>
      <c r="G1083" s="1429"/>
      <c r="H1083" s="1429"/>
      <c r="I1083" s="1429"/>
      <c r="J1083" s="1429"/>
      <c r="K1083" s="1429"/>
      <c r="L1083" s="1429"/>
      <c r="M1083" s="1429"/>
      <c r="N1083" s="1429"/>
      <c r="O1083" s="1429"/>
      <c r="P1083" s="1429"/>
      <c r="Q1083" s="1429"/>
      <c r="R1083" s="1429"/>
      <c r="S1083" s="1429"/>
      <c r="T1083" s="1429"/>
      <c r="U1083" s="1424"/>
      <c r="V1083" s="1428">
        <f>V1036</f>
        <v>0</v>
      </c>
      <c r="W1083" s="1423">
        <f>IF(V1083="n/a","n/a",MAX(0,V1083-1))</f>
        <v>0</v>
      </c>
      <c r="X1083" s="152"/>
      <c r="Y1083" s="152"/>
      <c r="Z1083" s="152"/>
      <c r="AA1083" s="152"/>
      <c r="AB1083" s="152"/>
    </row>
    <row r="1084" spans="1:28" hidden="1" outlineLevel="1">
      <c r="A1084" s="152"/>
      <c r="B1084" s="190" t="str">
        <f t="shared" ca="1" si="1550"/>
        <v>RL Capex 2035-36</v>
      </c>
      <c r="C1084" s="1429"/>
      <c r="D1084" s="1429"/>
      <c r="E1084" s="1429"/>
      <c r="F1084" s="1429"/>
      <c r="G1084" s="1429"/>
      <c r="H1084" s="1429"/>
      <c r="I1084" s="1429"/>
      <c r="J1084" s="1429"/>
      <c r="K1084" s="1429"/>
      <c r="L1084" s="1429"/>
      <c r="M1084" s="1429"/>
      <c r="N1084" s="1429"/>
      <c r="O1084" s="1429"/>
      <c r="P1084" s="1429"/>
      <c r="Q1084" s="1429"/>
      <c r="R1084" s="1429"/>
      <c r="S1084" s="1429"/>
      <c r="T1084" s="1429"/>
      <c r="U1084" s="1429"/>
      <c r="V1084" s="1424"/>
      <c r="W1084" s="1423">
        <f>W1036</f>
        <v>0</v>
      </c>
      <c r="X1084" s="152"/>
      <c r="Y1084" s="152"/>
      <c r="Z1084" s="152"/>
      <c r="AA1084" s="152"/>
      <c r="AB1084" s="152"/>
    </row>
    <row r="1085" spans="1:28" hidden="1" outlineLevel="1">
      <c r="A1085" s="152"/>
      <c r="B1085" s="200"/>
      <c r="C1085" s="1423"/>
      <c r="D1085" s="1423"/>
      <c r="E1085" s="1423"/>
      <c r="F1085" s="1423"/>
      <c r="G1085" s="1423"/>
      <c r="H1085" s="1423"/>
      <c r="I1085" s="1423"/>
      <c r="J1085" s="1423"/>
      <c r="K1085" s="1423"/>
      <c r="L1085" s="1423"/>
      <c r="M1085" s="1423"/>
      <c r="N1085" s="1423"/>
      <c r="O1085" s="1423"/>
      <c r="P1085" s="1423"/>
      <c r="Q1085" s="1423"/>
      <c r="R1085" s="1423"/>
      <c r="S1085" s="1423"/>
      <c r="T1085" s="1423"/>
      <c r="U1085" s="1423"/>
      <c r="V1085" s="1423"/>
      <c r="W1085" s="1423"/>
      <c r="X1085" s="152"/>
      <c r="Y1085" s="152"/>
      <c r="Z1085" s="152"/>
      <c r="AA1085" s="152"/>
      <c r="AB1085" s="152"/>
    </row>
    <row r="1086" spans="1:28" collapsed="1">
      <c r="A1086" s="194"/>
      <c r="B1086" s="204" t="s">
        <v>123</v>
      </c>
      <c r="C1086" s="1430">
        <f ca="1">(IF(OR($C1036&lt;&gt;"n/a",C1036&lt;&gt;"n/a"),IF(SUM(C1039:C1061)=0,0,IF((SUMPRODUCT(C1039:C1061,C1063:C1085)/SUM(C1039:C1061))&lt;0,1,(SUMPRODUCT(C1039:C1061,C1063:C1085)/SUM(C1039:C1061)))),"n/a"))</f>
        <v>0</v>
      </c>
      <c r="D1086" s="1430">
        <f ca="1">(IF(OR($C1036&lt;&gt;"n/a",D1036&lt;&gt;"n/a"),IF(SUM(D1039:D1061)=0,0,IF((SUMPRODUCT(D1039:D1061,D1063:D1085)/SUM(D1039:D1061))&lt;0,1,(SUMPRODUCT(D1039:D1061,D1063:D1085)/SUM(D1039:D1061)))),"n/a"))</f>
        <v>0</v>
      </c>
      <c r="E1086" s="1430">
        <f t="shared" ref="E1086:W1086" ca="1" si="1551">(IF(OR($C1036&lt;&gt;"n/a",E1036&lt;&gt;"n/a"),IF(SUM(E1039:E1061)=0,0,IF((SUMPRODUCT(E1039:E1061,E1063:E1085)/SUM(E1039:E1061))&lt;0,1,(SUMPRODUCT(E1039:E1061,E1063:E1085)/SUM(E1039:E1061)))),"n/a"))</f>
        <v>0</v>
      </c>
      <c r="F1086" s="1430">
        <f t="shared" ca="1" si="1551"/>
        <v>0</v>
      </c>
      <c r="G1086" s="1430">
        <f t="shared" ca="1" si="1551"/>
        <v>0</v>
      </c>
      <c r="H1086" s="1430">
        <f t="shared" ca="1" si="1551"/>
        <v>0</v>
      </c>
      <c r="I1086" s="1430">
        <f t="shared" ca="1" si="1551"/>
        <v>0</v>
      </c>
      <c r="J1086" s="1430">
        <f t="shared" ca="1" si="1551"/>
        <v>0</v>
      </c>
      <c r="K1086" s="1430">
        <f t="shared" ca="1" si="1551"/>
        <v>0</v>
      </c>
      <c r="L1086" s="1430">
        <f t="shared" ca="1" si="1551"/>
        <v>0</v>
      </c>
      <c r="M1086" s="1430">
        <f t="shared" ca="1" si="1551"/>
        <v>0</v>
      </c>
      <c r="N1086" s="1430">
        <f t="shared" ca="1" si="1551"/>
        <v>0</v>
      </c>
      <c r="O1086" s="1430">
        <f t="shared" ca="1" si="1551"/>
        <v>0</v>
      </c>
      <c r="P1086" s="1430">
        <f t="shared" ca="1" si="1551"/>
        <v>0</v>
      </c>
      <c r="Q1086" s="1430">
        <f t="shared" ca="1" si="1551"/>
        <v>0</v>
      </c>
      <c r="R1086" s="1430">
        <f t="shared" ca="1" si="1551"/>
        <v>0</v>
      </c>
      <c r="S1086" s="1430">
        <f t="shared" ca="1" si="1551"/>
        <v>0</v>
      </c>
      <c r="T1086" s="1430">
        <f t="shared" ca="1" si="1551"/>
        <v>0</v>
      </c>
      <c r="U1086" s="1430">
        <f t="shared" ca="1" si="1551"/>
        <v>0</v>
      </c>
      <c r="V1086" s="1430">
        <f t="shared" ca="1" si="1551"/>
        <v>0</v>
      </c>
      <c r="W1086" s="1430">
        <f t="shared" ca="1" si="1551"/>
        <v>0</v>
      </c>
      <c r="X1086" s="152"/>
      <c r="Y1086" s="152"/>
      <c r="Z1086" s="152"/>
      <c r="AA1086" s="152"/>
      <c r="AB1086" s="152"/>
    </row>
    <row r="1087" spans="1:28">
      <c r="A1087" s="152"/>
      <c r="B1087" s="152"/>
      <c r="C1087" s="1423"/>
      <c r="D1087" s="1423"/>
      <c r="E1087" s="1423"/>
      <c r="F1087" s="1423"/>
      <c r="G1087" s="1423"/>
      <c r="H1087" s="1423"/>
      <c r="I1087" s="1423"/>
      <c r="J1087" s="1423"/>
      <c r="K1087" s="1423"/>
      <c r="L1087" s="1423"/>
      <c r="M1087" s="1423"/>
      <c r="N1087" s="1423"/>
      <c r="O1087" s="1423"/>
      <c r="P1087" s="1423"/>
      <c r="Q1087" s="1423"/>
      <c r="R1087" s="1423"/>
      <c r="S1087" s="1423"/>
      <c r="T1087" s="1423"/>
      <c r="U1087" s="1423"/>
      <c r="V1087" s="1423"/>
      <c r="W1087" s="1423"/>
      <c r="X1087" s="152"/>
      <c r="Y1087" s="152"/>
      <c r="Z1087" s="152"/>
      <c r="AA1087" s="152"/>
      <c r="AB1087" s="152"/>
    </row>
    <row r="1088" spans="1:28">
      <c r="A1088" s="269" t="s">
        <v>55</v>
      </c>
      <c r="B1088" s="270">
        <f>VLOOKUP($A1088,'RFM input'!$E$7:$F$56,2,FALSE)</f>
        <v>0</v>
      </c>
      <c r="C1088" s="1431"/>
      <c r="D1088" s="1431"/>
      <c r="E1088" s="1432"/>
      <c r="F1088" s="1432"/>
      <c r="G1088" s="1432"/>
      <c r="H1088" s="1432"/>
      <c r="I1088" s="1432"/>
      <c r="J1088" s="1432"/>
      <c r="K1088" s="1432"/>
      <c r="L1088" s="1432"/>
      <c r="M1088" s="1432"/>
      <c r="N1088" s="1432"/>
      <c r="O1088" s="1432"/>
      <c r="P1088" s="1432"/>
      <c r="Q1088" s="1432"/>
      <c r="R1088" s="1432"/>
      <c r="S1088" s="1432"/>
      <c r="T1088" s="1432"/>
      <c r="U1088" s="1432"/>
      <c r="V1088" s="1432"/>
      <c r="W1088" s="1432"/>
      <c r="X1088" s="152"/>
      <c r="Y1088" s="152"/>
      <c r="Z1088" s="152"/>
      <c r="AA1088" s="152"/>
      <c r="AB1088" s="152"/>
    </row>
    <row r="1089" spans="1:28">
      <c r="A1089" s="215">
        <f>VALUE(REPLACE(A1088,1,12,""))</f>
        <v>21</v>
      </c>
      <c r="B1089" s="193" t="s">
        <v>126</v>
      </c>
      <c r="C1089" s="1416">
        <f ca="1">IF($D$6='TAB roll forward'!$H$4,OFFSET('TAB roll forward'!$H$7,A1089,0),"enter input")</f>
        <v>0</v>
      </c>
      <c r="D1089" s="1417">
        <f>IF(LEFT(D$6,4)&lt;LEFT('RFM input'!$G$60,4),"enter input",IF(LEFT(D$6,4)&gt;LEFT('RFM input'!$Q$60,4),0,
INDEX('RFM input'!$G$61:$Q$110,$A1089,MATCH(D$6,'RFM input'!$G$60:$Q$60,0))
   -INDEX('RFM input'!$G$115:$Q$164,$A1089,MATCH(D$6,'RFM input'!$G$60:$Q$60,0))))</f>
        <v>0</v>
      </c>
      <c r="E1089" s="1417">
        <f>IF(LEFT(E$6,4)&lt;LEFT('RFM input'!$G$60,4),"enter input",IF(LEFT(E$6,4)&gt;LEFT('RFM input'!$Q$60,4),0,
INDEX('RFM input'!$G$61:$Q$110,$A1089,MATCH(E$6,'RFM input'!$G$60:$Q$60,0))
   -INDEX('RFM input'!$G$115:$Q$164,$A1089,MATCH(E$6,'RFM input'!$G$60:$Q$60,0))))</f>
        <v>0</v>
      </c>
      <c r="F1089" s="1417">
        <f>IF(LEFT(F$6,4)&lt;LEFT('RFM input'!$G$60,4),"enter input",IF(LEFT(F$6,4)&gt;LEFT('RFM input'!$Q$60,4),0,
INDEX('RFM input'!$G$61:$Q$110,$A1089,MATCH(F$6,'RFM input'!$G$60:$Q$60,0))
   -INDEX('RFM input'!$G$115:$Q$164,$A1089,MATCH(F$6,'RFM input'!$G$60:$Q$60,0))))</f>
        <v>0</v>
      </c>
      <c r="G1089" s="1417">
        <f>IF(LEFT(G$6,4)&lt;LEFT('RFM input'!$G$60,4),"enter input",IF(LEFT(G$6,4)&gt;LEFT('RFM input'!$Q$60,4),0,
INDEX('RFM input'!$G$61:$Q$110,$A1089,MATCH(G$6,'RFM input'!$G$60:$Q$60,0))
   -INDEX('RFM input'!$G$115:$Q$164,$A1089,MATCH(G$6,'RFM input'!$G$60:$Q$60,0))))</f>
        <v>0</v>
      </c>
      <c r="H1089" s="1417">
        <f>IF(LEFT(H$6,4)&lt;LEFT('RFM input'!$G$60,4),"enter input",IF(LEFT(H$6,4)&gt;LEFT('RFM input'!$Q$60,4),0,
INDEX('RFM input'!$G$61:$Q$110,$A1089,MATCH(H$6,'RFM input'!$G$60:$Q$60,0))
   -INDEX('RFM input'!$G$115:$Q$164,$A1089,MATCH(H$6,'RFM input'!$G$60:$Q$60,0))))</f>
        <v>0</v>
      </c>
      <c r="I1089" s="1417">
        <f>IF(LEFT(I$6,4)&lt;LEFT('RFM input'!$G$60,4),"enter input",IF(LEFT(I$6,4)&gt;LEFT('RFM input'!$Q$60,4),0,
INDEX('RFM input'!$G$61:$Q$110,$A1089,MATCH(I$6,'RFM input'!$G$60:$Q$60,0))
   -INDEX('RFM input'!$G$115:$Q$164,$A1089,MATCH(I$6,'RFM input'!$G$60:$Q$60,0))))</f>
        <v>0</v>
      </c>
      <c r="J1089" s="1417">
        <f>IF(LEFT(J$6,4)&lt;LEFT('RFM input'!$G$60,4),"enter input",IF(LEFT(J$6,4)&gt;LEFT('RFM input'!$Q$60,4),0,
INDEX('RFM input'!$G$61:$Q$110,$A1089,MATCH(J$6,'RFM input'!$G$60:$Q$60,0))
   -INDEX('RFM input'!$G$115:$Q$164,$A1089,MATCH(J$6,'RFM input'!$G$60:$Q$60,0))))</f>
        <v>0</v>
      </c>
      <c r="K1089" s="1417">
        <f>IF(LEFT(K$6,4)&lt;LEFT('RFM input'!$G$60,4),"enter input",IF(LEFT(K$6,4)&gt;LEFT('RFM input'!$Q$60,4),0,
INDEX('RFM input'!$G$61:$Q$110,$A1089,MATCH(K$6,'RFM input'!$G$60:$Q$60,0))
   -INDEX('RFM input'!$G$115:$Q$164,$A1089,MATCH(K$6,'RFM input'!$G$60:$Q$60,0))))</f>
        <v>0</v>
      </c>
      <c r="L1089" s="1417">
        <f>IF(LEFT(L$6,4)&lt;LEFT('RFM input'!$G$60,4),"enter input",IF(LEFT(L$6,4)&gt;LEFT('RFM input'!$Q$60,4),0,
INDEX('RFM input'!$G$61:$Q$110,$A1089,MATCH(L$6,'RFM input'!$G$60:$Q$60,0))
   -INDEX('RFM input'!$G$115:$Q$164,$A1089,MATCH(L$6,'RFM input'!$G$60:$Q$60,0))))</f>
        <v>0</v>
      </c>
      <c r="M1089" s="1417">
        <f>IF(LEFT(M$6,4)&lt;LEFT('RFM input'!$G$60,4),"enter input",IF(LEFT(M$6,4)&gt;LEFT('RFM input'!$Q$60,4),0,
INDEX('RFM input'!$G$61:$Q$110,$A1089,MATCH(M$6,'RFM input'!$G$60:$Q$60,0))
   -INDEX('RFM input'!$G$115:$Q$164,$A1089,MATCH(M$6,'RFM input'!$G$60:$Q$60,0))))</f>
        <v>0</v>
      </c>
      <c r="N1089" s="1417">
        <f>IF(LEFT(N$6,4)&lt;LEFT('RFM input'!$G$60,4),"enter input",IF(LEFT(N$6,4)&gt;LEFT('RFM input'!$Q$60,4),0,
INDEX('RFM input'!$G$61:$Q$110,$A1089,MATCH(N$6,'RFM input'!$G$60:$Q$60,0))
   -INDEX('RFM input'!$G$115:$Q$164,$A1089,MATCH(N$6,'RFM input'!$G$60:$Q$60,0))))</f>
        <v>0</v>
      </c>
      <c r="O1089" s="1417">
        <f>IF(LEFT(O$6,4)&lt;LEFT('RFM input'!$G$60,4),"enter input",IF(LEFT(O$6,4)&gt;LEFT('RFM input'!$Q$60,4),0,
INDEX('RFM input'!$G$61:$Q$110,$A1089,MATCH(O$6,'RFM input'!$G$60:$Q$60,0))
   -INDEX('RFM input'!$G$115:$Q$164,$A1089,MATCH(O$6,'RFM input'!$G$60:$Q$60,0))))</f>
        <v>0</v>
      </c>
      <c r="P1089" s="1417">
        <f>IF(LEFT(P$6,4)&lt;LEFT('RFM input'!$G$60,4),"enter input",IF(LEFT(P$6,4)&gt;LEFT('RFM input'!$Q$60,4),0,
INDEX('RFM input'!$G$61:$Q$110,$A1089,MATCH(P$6,'RFM input'!$G$60:$Q$60,0))
   -INDEX('RFM input'!$G$115:$Q$164,$A1089,MATCH(P$6,'RFM input'!$G$60:$Q$60,0))))</f>
        <v>0</v>
      </c>
      <c r="Q1089" s="1417">
        <f>IF(LEFT(Q$6,4)&lt;LEFT('RFM input'!$G$60,4),"enter input",IF(LEFT(Q$6,4)&gt;LEFT('RFM input'!$Q$60,4),0,
INDEX('RFM input'!$G$61:$Q$110,$A1089,MATCH(Q$6,'RFM input'!$G$60:$Q$60,0))
   -INDEX('RFM input'!$G$115:$Q$164,$A1089,MATCH(Q$6,'RFM input'!$G$60:$Q$60,0))))</f>
        <v>0</v>
      </c>
      <c r="R1089" s="1417">
        <f>IF(LEFT(R$6,4)&lt;LEFT('RFM input'!$G$60,4),"enter input",IF(LEFT(R$6,4)&gt;LEFT('RFM input'!$Q$60,4),0,
INDEX('RFM input'!$G$61:$Q$110,$A1089,MATCH(R$6,'RFM input'!$G$60:$Q$60,0))
   -INDEX('RFM input'!$G$115:$Q$164,$A1089,MATCH(R$6,'RFM input'!$G$60:$Q$60,0))))</f>
        <v>0</v>
      </c>
      <c r="S1089" s="1417">
        <f>IF(LEFT(S$6,4)&lt;LEFT('RFM input'!$G$60,4),"enter input",IF(LEFT(S$6,4)&gt;LEFT('RFM input'!$Q$60,4),0,
INDEX('RFM input'!$G$61:$Q$110,$A1089,MATCH(S$6,'RFM input'!$G$60:$Q$60,0))
   -INDEX('RFM input'!$G$115:$Q$164,$A1089,MATCH(S$6,'RFM input'!$G$60:$Q$60,0))))</f>
        <v>0</v>
      </c>
      <c r="T1089" s="1417">
        <f>IF(LEFT(T$6,4)&lt;LEFT('RFM input'!$G$60,4),"enter input",IF(LEFT(T$6,4)&gt;LEFT('RFM input'!$Q$60,4),0,
INDEX('RFM input'!$G$61:$Q$110,$A1089,MATCH(T$6,'RFM input'!$G$60:$Q$60,0))
   -INDEX('RFM input'!$G$115:$Q$164,$A1089,MATCH(T$6,'RFM input'!$G$60:$Q$60,0))))</f>
        <v>0</v>
      </c>
      <c r="U1089" s="1417">
        <f>IF(LEFT(U$6,4)&lt;LEFT('RFM input'!$G$60,4),"enter input",IF(LEFT(U$6,4)&gt;LEFT('RFM input'!$Q$60,4),0,
INDEX('RFM input'!$G$61:$Q$110,$A1089,MATCH(U$6,'RFM input'!$G$60:$Q$60,0))
   -INDEX('RFM input'!$G$115:$Q$164,$A1089,MATCH(U$6,'RFM input'!$G$60:$Q$60,0))))</f>
        <v>0</v>
      </c>
      <c r="V1089" s="1417">
        <f>IF(LEFT(V$6,4)&lt;LEFT('RFM input'!$G$60,4),"enter input",IF(LEFT(V$6,4)&gt;LEFT('RFM input'!$Q$60,4),0,
INDEX('RFM input'!$G$61:$Q$110,$A1089,MATCH(V$6,'RFM input'!$G$60:$Q$60,0))
   -INDEX('RFM input'!$G$115:$Q$164,$A1089,MATCH(V$6,'RFM input'!$G$60:$Q$60,0))))</f>
        <v>0</v>
      </c>
      <c r="W1089" s="1417">
        <f>IF(LEFT(W$6,4)&lt;LEFT('RFM input'!$G$60,4),"enter input",IF(LEFT(W$6,4)&gt;LEFT('RFM input'!$Q$60,4),0,
INDEX('RFM input'!$G$61:$Q$110,$A1089,MATCH(W$6,'RFM input'!$G$60:$Q$60,0))
   -INDEX('RFM input'!$G$115:$Q$164,$A1089,MATCH(W$6,'RFM input'!$G$60:$Q$60,0))))</f>
        <v>0</v>
      </c>
      <c r="X1089" s="152"/>
      <c r="Y1089" s="152"/>
      <c r="Z1089" s="152"/>
      <c r="AA1089" s="152"/>
      <c r="AB1089" s="152"/>
    </row>
    <row r="1090" spans="1:28">
      <c r="A1090" s="152"/>
      <c r="B1090" s="152" t="s">
        <v>205</v>
      </c>
      <c r="C1090" s="1418">
        <f ca="1">IF($D$6='TAB roll forward'!$H$4,OFFSET('RFM input'!$S$6,$A1089,0),"enter input")</f>
        <v>0</v>
      </c>
      <c r="D1090" s="1417">
        <f>IF(LEFT(D$6,4)&lt;=LEFT('RFM input'!$G$60,4),"enter input",IF(LEFT(D$6,4)&gt;LEFT('RFM input'!$Q$60,4),0,
IF(MATCH(D$6,'RFM input'!$H$60:$Q$60,0),INDEX('RFM input'!$T$7:$T$56,$A1089,1,1))))</f>
        <v>0</v>
      </c>
      <c r="E1090" s="1417">
        <f>IF(LEFT(E$6,4)&lt;=LEFT('RFM input'!$G$60,4),"enter input",IF(LEFT(E$6,4)&gt;LEFT('RFM input'!$Q$60,4),0,
IF(MATCH(E$6,'RFM input'!$H$60:$Q$60,0),INDEX('RFM input'!$T$7:$T$56,$A1089,1,1))))</f>
        <v>0</v>
      </c>
      <c r="F1090" s="1417">
        <f>IF(LEFT(F$6,4)&lt;=LEFT('RFM input'!$G$60,4),"enter input",IF(LEFT(F$6,4)&gt;LEFT('RFM input'!$Q$60,4),0,
IF(MATCH(F$6,'RFM input'!$H$60:$Q$60,0),INDEX('RFM input'!$T$7:$T$56,$A1089,1,1))))</f>
        <v>0</v>
      </c>
      <c r="G1090" s="1417">
        <f>IF(LEFT(G$6,4)&lt;=LEFT('RFM input'!$G$60,4),"enter input",IF(LEFT(G$6,4)&gt;LEFT('RFM input'!$Q$60,4),0,
IF(MATCH(G$6,'RFM input'!$H$60:$Q$60,0),INDEX('RFM input'!$T$7:$T$56,$A1089,1,1))))</f>
        <v>0</v>
      </c>
      <c r="H1090" s="1417">
        <f>IF(LEFT(H$6,4)&lt;=LEFT('RFM input'!$G$60,4),"enter input",IF(LEFT(H$6,4)&gt;LEFT('RFM input'!$Q$60,4),0,
IF(MATCH(H$6,'RFM input'!$H$60:$Q$60,0),INDEX('RFM input'!$T$7:$T$56,$A1089,1,1))))</f>
        <v>0</v>
      </c>
      <c r="I1090" s="1417">
        <f>IF(LEFT(I$6,4)&lt;=LEFT('RFM input'!$G$60,4),"enter input",IF(LEFT(I$6,4)&gt;LEFT('RFM input'!$Q$60,4),0,
IF(MATCH(I$6,'RFM input'!$H$60:$Q$60,0),INDEX('RFM input'!$T$7:$T$56,$A1089,1,1))))</f>
        <v>0</v>
      </c>
      <c r="J1090" s="1417">
        <f>IF(LEFT(J$6,4)&lt;=LEFT('RFM input'!$G$60,4),"enter input",IF(LEFT(J$6,4)&gt;LEFT('RFM input'!$Q$60,4),0,
IF(MATCH(J$6,'RFM input'!$H$60:$Q$60,0),INDEX('RFM input'!$T$7:$T$56,$A1089,1,1))))</f>
        <v>0</v>
      </c>
      <c r="K1090" s="1417">
        <f>IF(LEFT(K$6,4)&lt;=LEFT('RFM input'!$G$60,4),"enter input",IF(LEFT(K$6,4)&gt;LEFT('RFM input'!$Q$60,4),0,
IF(MATCH(K$6,'RFM input'!$H$60:$Q$60,0),INDEX('RFM input'!$T$7:$T$56,$A1089,1,1))))</f>
        <v>0</v>
      </c>
      <c r="L1090" s="1417">
        <f>IF(LEFT(L$6,4)&lt;=LEFT('RFM input'!$G$60,4),"enter input",IF(LEFT(L$6,4)&gt;LEFT('RFM input'!$Q$60,4),0,
IF(MATCH(L$6,'RFM input'!$H$60:$Q$60,0),INDEX('RFM input'!$T$7:$T$56,$A1089,1,1))))</f>
        <v>0</v>
      </c>
      <c r="M1090" s="1417">
        <f>IF(LEFT(M$6,4)&lt;=LEFT('RFM input'!$G$60,4),"enter input",IF(LEFT(M$6,4)&gt;LEFT('RFM input'!$Q$60,4),0,
IF(MATCH(M$6,'RFM input'!$H$60:$Q$60,0),INDEX('RFM input'!$T$7:$T$56,$A1089,1,1))))</f>
        <v>0</v>
      </c>
      <c r="N1090" s="1417">
        <f>IF(LEFT(N$6,4)&lt;=LEFT('RFM input'!$G$60,4),"enter input",IF(LEFT(N$6,4)&gt;LEFT('RFM input'!$Q$60,4),0,
IF(MATCH(N$6,'RFM input'!$H$60:$Q$60,0),INDEX('RFM input'!$T$7:$T$56,$A1089,1,1))))</f>
        <v>0</v>
      </c>
      <c r="O1090" s="1417">
        <f>IF(LEFT(O$6,4)&lt;=LEFT('RFM input'!$G$60,4),"enter input",IF(LEFT(O$6,4)&gt;LEFT('RFM input'!$Q$60,4),0,
IF(MATCH(O$6,'RFM input'!$H$60:$Q$60,0),INDEX('RFM input'!$T$7:$T$56,$A1089,1,1))))</f>
        <v>0</v>
      </c>
      <c r="P1090" s="1417">
        <f>IF(LEFT(P$6,4)&lt;=LEFT('RFM input'!$G$60,4),"enter input",IF(LEFT(P$6,4)&gt;LEFT('RFM input'!$Q$60,4),0,
IF(MATCH(P$6,'RFM input'!$H$60:$Q$60,0),INDEX('RFM input'!$T$7:$T$56,$A1089,1,1))))</f>
        <v>0</v>
      </c>
      <c r="Q1090" s="1417">
        <f>IF(LEFT(Q$6,4)&lt;=LEFT('RFM input'!$G$60,4),"enter input",IF(LEFT(Q$6,4)&gt;LEFT('RFM input'!$Q$60,4),0,
IF(MATCH(Q$6,'RFM input'!$H$60:$Q$60,0),INDEX('RFM input'!$T$7:$T$56,$A1089,1,1))))</f>
        <v>0</v>
      </c>
      <c r="R1090" s="1417">
        <f>IF(LEFT(R$6,4)&lt;=LEFT('RFM input'!$G$60,4),"enter input",IF(LEFT(R$6,4)&gt;LEFT('RFM input'!$Q$60,4),0,
IF(MATCH(R$6,'RFM input'!$H$60:$Q$60,0),INDEX('RFM input'!$T$7:$T$56,$A1089,1,1))))</f>
        <v>0</v>
      </c>
      <c r="S1090" s="1417">
        <f>IF(LEFT(S$6,4)&lt;=LEFT('RFM input'!$G$60,4),"enter input",IF(LEFT(S$6,4)&gt;LEFT('RFM input'!$Q$60,4),0,
IF(MATCH(S$6,'RFM input'!$H$60:$Q$60,0),INDEX('RFM input'!$T$7:$T$56,$A1089,1,1))))</f>
        <v>0</v>
      </c>
      <c r="T1090" s="1417">
        <f>IF(LEFT(T$6,4)&lt;=LEFT('RFM input'!$G$60,4),"enter input",IF(LEFT(T$6,4)&gt;LEFT('RFM input'!$Q$60,4),0,
IF(MATCH(T$6,'RFM input'!$H$60:$Q$60,0),INDEX('RFM input'!$T$7:$T$56,$A1089,1,1))))</f>
        <v>0</v>
      </c>
      <c r="U1090" s="1417">
        <f>IF(LEFT(U$6,4)&lt;=LEFT('RFM input'!$G$60,4),"enter input",IF(LEFT(U$6,4)&gt;LEFT('RFM input'!$Q$60,4),0,
IF(MATCH(U$6,'RFM input'!$H$60:$Q$60,0),INDEX('RFM input'!$T$7:$T$56,$A1089,1,1))))</f>
        <v>0</v>
      </c>
      <c r="V1090" s="1417">
        <f>IF(LEFT(V$6,4)&lt;=LEFT('RFM input'!$G$60,4),"enter input",IF(LEFT(V$6,4)&gt;LEFT('RFM input'!$Q$60,4),0,
IF(MATCH(V$6,'RFM input'!$H$60:$Q$60,0),INDEX('RFM input'!$T$7:$T$56,$A1089,1,1))))</f>
        <v>0</v>
      </c>
      <c r="W1090" s="1417">
        <f>IF(LEFT(W$6,4)&lt;=LEFT('RFM input'!$G$60,4),"enter input",IF(LEFT(W$6,4)&gt;LEFT('RFM input'!$Q$60,4),0,
IF(MATCH(W$6,'RFM input'!$H$60:$Q$60,0),INDEX('RFM input'!$T$7:$T$56,$A1089,1,1))))</f>
        <v>0</v>
      </c>
      <c r="X1090" s="152"/>
      <c r="Y1090" s="152"/>
      <c r="Z1090" s="152"/>
      <c r="AA1090" s="152"/>
      <c r="AB1090" s="152"/>
    </row>
    <row r="1091" spans="1:28">
      <c r="A1091" s="152"/>
      <c r="B1091" s="193" t="s">
        <v>192</v>
      </c>
      <c r="C1091" s="1419"/>
      <c r="D1091" s="1420">
        <f ca="1">IF(LEFT(D$6,4)&lt;=LEFT('RFM input'!$G$60,4),"enter input",IF(LEFT(D$6,4)&gt;LEFT('RFM input'!$Q$60,4),0,
IF(D$6=(OFFSET('RFM input'!$G$60,0,'RFM input'!$V$7)),OFFSET('RFM input'!$H$411,$A1089,0),0)))</f>
        <v>0</v>
      </c>
      <c r="E1091" s="1417">
        <f ca="1">IF(LEFT(E$6,4)&lt;=LEFT('RFM input'!$G$60,4),"enter input",IF(LEFT(E$6,4)&gt;LEFT('RFM input'!$Q$60,4),0,
IF(E$6=(OFFSET('RFM input'!$G$60,0,'RFM input'!$V$7)),OFFSET('RFM input'!$H$411,$A1089,0),0)))</f>
        <v>0</v>
      </c>
      <c r="F1091" s="1417">
        <f ca="1">IF(LEFT(F$6,4)&lt;=LEFT('RFM input'!$G$60,4),"enter input",IF(LEFT(F$6,4)&gt;LEFT('RFM input'!$Q$60,4),0,
IF(F$6=(OFFSET('RFM input'!$G$60,0,'RFM input'!$V$7)),OFFSET('RFM input'!$H$411,$A1089,0),0)))</f>
        <v>0</v>
      </c>
      <c r="G1091" s="1417">
        <f ca="1">IF(LEFT(G$6,4)&lt;=LEFT('RFM input'!$G$60,4),"enter input",IF(LEFT(G$6,4)&gt;LEFT('RFM input'!$Q$60,4),0,
IF(G$6=(OFFSET('RFM input'!$G$60,0,'RFM input'!$V$7)),OFFSET('RFM input'!$H$411,$A1089,0),0)))</f>
        <v>0</v>
      </c>
      <c r="H1091" s="1417">
        <f ca="1">IF(LEFT(H$6,4)&lt;=LEFT('RFM input'!$G$60,4),"enter input",IF(LEFT(H$6,4)&gt;LEFT('RFM input'!$Q$60,4),0,
IF(H$6=(OFFSET('RFM input'!$G$60,0,'RFM input'!$V$7)),OFFSET('RFM input'!$H$411,$A1089,0),0)))</f>
        <v>0</v>
      </c>
      <c r="I1091" s="1417">
        <f ca="1">IF(LEFT(I$6,4)&lt;=LEFT('RFM input'!$G$60,4),"enter input",IF(LEFT(I$6,4)&gt;LEFT('RFM input'!$Q$60,4),0,
IF(I$6=(OFFSET('RFM input'!$G$60,0,'RFM input'!$V$7)),OFFSET('RFM input'!$H$411,$A1089,0),0)))</f>
        <v>0</v>
      </c>
      <c r="J1091" s="1417">
        <f ca="1">IF(LEFT(J$6,4)&lt;=LEFT('RFM input'!$G$60,4),"enter input",IF(LEFT(J$6,4)&gt;LEFT('RFM input'!$Q$60,4),0,
IF(J$6=(OFFSET('RFM input'!$G$60,0,'RFM input'!$V$7)),OFFSET('RFM input'!$H$411,$A1089,0),0)))</f>
        <v>0</v>
      </c>
      <c r="K1091" s="1417">
        <f ca="1">IF(LEFT(K$6,4)&lt;=LEFT('RFM input'!$G$60,4),"enter input",IF(LEFT(K$6,4)&gt;LEFT('RFM input'!$Q$60,4),0,
IF(K$6=(OFFSET('RFM input'!$G$60,0,'RFM input'!$V$7)),OFFSET('RFM input'!$H$411,$A1089,0),0)))</f>
        <v>0</v>
      </c>
      <c r="L1091" s="1417">
        <f ca="1">IF(LEFT(L$6,4)&lt;=LEFT('RFM input'!$G$60,4),"enter input",IF(LEFT(L$6,4)&gt;LEFT('RFM input'!$Q$60,4),0,
IF(L$6=(OFFSET('RFM input'!$G$60,0,'RFM input'!$V$7)),OFFSET('RFM input'!$H$411,$A1089,0),0)))</f>
        <v>0</v>
      </c>
      <c r="M1091" s="1417">
        <f ca="1">IF(LEFT(M$6,4)&lt;=LEFT('RFM input'!$G$60,4),"enter input",IF(LEFT(M$6,4)&gt;LEFT('RFM input'!$Q$60,4),0,
IF(M$6=(OFFSET('RFM input'!$G$60,0,'RFM input'!$V$7)),OFFSET('RFM input'!$H$411,$A1089,0),0)))</f>
        <v>0</v>
      </c>
      <c r="N1091" s="1417">
        <f ca="1">IF(LEFT(N$6,4)&lt;=LEFT('RFM input'!$G$60,4),"enter input",IF(LEFT(N$6,4)&gt;LEFT('RFM input'!$Q$60,4),0,
IF(N$6=(OFFSET('RFM input'!$G$60,0,'RFM input'!$V$7)),OFFSET('RFM input'!$H$411,$A1089,0),0)))</f>
        <v>0</v>
      </c>
      <c r="O1091" s="1417">
        <f ca="1">IF(LEFT(O$6,4)&lt;=LEFT('RFM input'!$G$60,4),"enter input",IF(LEFT(O$6,4)&gt;LEFT('RFM input'!$Q$60,4),0,
IF(O$6=(OFFSET('RFM input'!$G$60,0,'RFM input'!$V$7)),OFFSET('RFM input'!$H$411,$A1089,0),0)))</f>
        <v>0</v>
      </c>
      <c r="P1091" s="1417">
        <f ca="1">IF(LEFT(P$6,4)&lt;=LEFT('RFM input'!$G$60,4),"enter input",IF(LEFT(P$6,4)&gt;LEFT('RFM input'!$Q$60,4),0,
IF(P$6=(OFFSET('RFM input'!$G$60,0,'RFM input'!$V$7)),OFFSET('RFM input'!$H$411,$A1089,0),0)))</f>
        <v>0</v>
      </c>
      <c r="Q1091" s="1417">
        <f ca="1">IF(LEFT(Q$6,4)&lt;=LEFT('RFM input'!$G$60,4),"enter input",IF(LEFT(Q$6,4)&gt;LEFT('RFM input'!$Q$60,4),0,
IF(Q$6=(OFFSET('RFM input'!$G$60,0,'RFM input'!$V$7)),OFFSET('RFM input'!$H$411,$A1089,0),0)))</f>
        <v>0</v>
      </c>
      <c r="R1091" s="1417">
        <f ca="1">IF(LEFT(R$6,4)&lt;=LEFT('RFM input'!$G$60,4),"enter input",IF(LEFT(R$6,4)&gt;LEFT('RFM input'!$Q$60,4),0,
IF(R$6=(OFFSET('RFM input'!$G$60,0,'RFM input'!$V$7)),OFFSET('RFM input'!$H$411,$A1089,0),0)))</f>
        <v>0</v>
      </c>
      <c r="S1091" s="1417">
        <f ca="1">IF(LEFT(S$6,4)&lt;=LEFT('RFM input'!$G$60,4),"enter input",IF(LEFT(S$6,4)&gt;LEFT('RFM input'!$Q$60,4),0,
IF(S$6=(OFFSET('RFM input'!$G$60,0,'RFM input'!$V$7)),OFFSET('RFM input'!$H$411,$A1089,0),0)))</f>
        <v>0</v>
      </c>
      <c r="T1091" s="1417">
        <f ca="1">IF(LEFT(T$6,4)&lt;=LEFT('RFM input'!$G$60,4),"enter input",IF(LEFT(T$6,4)&gt;LEFT('RFM input'!$Q$60,4),0,
IF(T$6=(OFFSET('RFM input'!$G$60,0,'RFM input'!$V$7)),OFFSET('RFM input'!$H$411,$A1089,0),0)))</f>
        <v>0</v>
      </c>
      <c r="U1091" s="1417">
        <f ca="1">IF(LEFT(U$6,4)&lt;=LEFT('RFM input'!$G$60,4),"enter input",IF(LEFT(U$6,4)&gt;LEFT('RFM input'!$Q$60,4),0,
IF(U$6=(OFFSET('RFM input'!$G$60,0,'RFM input'!$V$7)),OFFSET('RFM input'!$H$411,$A1089,0),0)))</f>
        <v>0</v>
      </c>
      <c r="V1091" s="1417">
        <f ca="1">IF(LEFT(V$6,4)&lt;=LEFT('RFM input'!$G$60,4),"enter input",IF(LEFT(V$6,4)&gt;LEFT('RFM input'!$Q$60,4),0,
IF(V$6=(OFFSET('RFM input'!$G$60,0,'RFM input'!$V$7)),OFFSET('RFM input'!$H$411,$A1089,0),0)))</f>
        <v>0</v>
      </c>
      <c r="W1091" s="1417">
        <f ca="1">IF(LEFT(W$6,4)&lt;=LEFT('RFM input'!$G$60,4),"enter input",IF(LEFT(W$6,4)&gt;LEFT('RFM input'!$Q$60,4),0,
IF(W$6=(OFFSET('RFM input'!$G$60,0,'RFM input'!$V$7)),OFFSET('RFM input'!$H$411,$A1089,0),0)))</f>
        <v>0</v>
      </c>
      <c r="X1091" s="152"/>
      <c r="Y1091" s="152"/>
      <c r="Z1091" s="152"/>
      <c r="AA1091" s="152"/>
      <c r="AB1091" s="152"/>
    </row>
    <row r="1092" spans="1:28">
      <c r="A1092" s="152"/>
      <c r="B1092" s="193" t="s">
        <v>200</v>
      </c>
      <c r="C1092" s="1419"/>
      <c r="D1092" s="1418">
        <f ca="1">IF(LEFT(D$6,4)&lt;=LEFT('RFM input'!$G$60,4),"enter input",IF(LEFT(D$6,4)&gt;LEFT('RFM input'!$Q$60,4),0,
IF(D$6=(OFFSET('RFM input'!$G$60,0,'RFM input'!$V$7)),OFFSET('RFM input'!$J$411,$A1089,0),0)))</f>
        <v>0</v>
      </c>
      <c r="E1092" s="1422">
        <f ca="1">IF(LEFT(E$6,4)&lt;=LEFT('RFM input'!$G$60,4),"enter input",IF(LEFT(E$6,4)&gt;LEFT('RFM input'!$Q$60,4),0,
IF(E$6=(OFFSET('RFM input'!$G$60,0,'RFM input'!$V$7)),OFFSET('RFM input'!$J$411,$A1089,0),0)))</f>
        <v>0</v>
      </c>
      <c r="F1092" s="1422">
        <f ca="1">IF(LEFT(F$6,4)&lt;=LEFT('RFM input'!$G$60,4),"enter input",IF(LEFT(F$6,4)&gt;LEFT('RFM input'!$Q$60,4),0,
IF(F$6=(OFFSET('RFM input'!$G$60,0,'RFM input'!$V$7)),OFFSET('RFM input'!$J$411,$A1089,0),0)))</f>
        <v>0</v>
      </c>
      <c r="G1092" s="1422">
        <f ca="1">IF(LEFT(G$6,4)&lt;=LEFT('RFM input'!$G$60,4),"enter input",IF(LEFT(G$6,4)&gt;LEFT('RFM input'!$Q$60,4),0,
IF(G$6=(OFFSET('RFM input'!$G$60,0,'RFM input'!$V$7)),OFFSET('RFM input'!$J$411,$A1089,0),0)))</f>
        <v>0</v>
      </c>
      <c r="H1092" s="1422">
        <f ca="1">IF(LEFT(H$6,4)&lt;=LEFT('RFM input'!$G$60,4),"enter input",IF(LEFT(H$6,4)&gt;LEFT('RFM input'!$Q$60,4),0,
IF(H$6=(OFFSET('RFM input'!$G$60,0,'RFM input'!$V$7)),OFFSET('RFM input'!$J$411,$A1089,0),0)))</f>
        <v>0</v>
      </c>
      <c r="I1092" s="1422">
        <f ca="1">IF(LEFT(I$6,4)&lt;=LEFT('RFM input'!$G$60,4),"enter input",IF(LEFT(I$6,4)&gt;LEFT('RFM input'!$Q$60,4),0,
IF(I$6=(OFFSET('RFM input'!$G$60,0,'RFM input'!$V$7)),OFFSET('RFM input'!$J$411,$A1089,0),0)))</f>
        <v>0</v>
      </c>
      <c r="J1092" s="1422">
        <f ca="1">IF(LEFT(J$6,4)&lt;=LEFT('RFM input'!$G$60,4),"enter input",IF(LEFT(J$6,4)&gt;LEFT('RFM input'!$Q$60,4),0,
IF(J$6=(OFFSET('RFM input'!$G$60,0,'RFM input'!$V$7)),OFFSET('RFM input'!$J$411,$A1089,0),0)))</f>
        <v>0</v>
      </c>
      <c r="K1092" s="1422">
        <f ca="1">IF(LEFT(K$6,4)&lt;=LEFT('RFM input'!$G$60,4),"enter input",IF(LEFT(K$6,4)&gt;LEFT('RFM input'!$Q$60,4),0,
IF(K$6=(OFFSET('RFM input'!$G$60,0,'RFM input'!$V$7)),OFFSET('RFM input'!$J$411,$A1089,0),0)))</f>
        <v>0</v>
      </c>
      <c r="L1092" s="1422">
        <f ca="1">IF(LEFT(L$6,4)&lt;=LEFT('RFM input'!$G$60,4),"enter input",IF(LEFT(L$6,4)&gt;LEFT('RFM input'!$Q$60,4),0,
IF(L$6=(OFFSET('RFM input'!$G$60,0,'RFM input'!$V$7)),OFFSET('RFM input'!$J$411,$A1089,0),0)))</f>
        <v>0</v>
      </c>
      <c r="M1092" s="1422">
        <f ca="1">IF(LEFT(M$6,4)&lt;=LEFT('RFM input'!$G$60,4),"enter input",IF(LEFT(M$6,4)&gt;LEFT('RFM input'!$Q$60,4),0,
IF(M$6=(OFFSET('RFM input'!$G$60,0,'RFM input'!$V$7)),OFFSET('RFM input'!$J$411,$A1089,0),0)))</f>
        <v>0</v>
      </c>
      <c r="N1092" s="1422">
        <f ca="1">IF(LEFT(N$6,4)&lt;=LEFT('RFM input'!$G$60,4),"enter input",IF(LEFT(N$6,4)&gt;LEFT('RFM input'!$Q$60,4),0,
IF(N$6=(OFFSET('RFM input'!$G$60,0,'RFM input'!$V$7)),OFFSET('RFM input'!$J$411,$A1089,0),0)))</f>
        <v>0</v>
      </c>
      <c r="O1092" s="1422">
        <f ca="1">IF(LEFT(O$6,4)&lt;=LEFT('RFM input'!$G$60,4),"enter input",IF(LEFT(O$6,4)&gt;LEFT('RFM input'!$Q$60,4),0,
IF(O$6=(OFFSET('RFM input'!$G$60,0,'RFM input'!$V$7)),OFFSET('RFM input'!$J$411,$A1089,0),0)))</f>
        <v>0</v>
      </c>
      <c r="P1092" s="1422">
        <f ca="1">IF(LEFT(P$6,4)&lt;=LEFT('RFM input'!$G$60,4),"enter input",IF(LEFT(P$6,4)&gt;LEFT('RFM input'!$Q$60,4),0,
IF(P$6=(OFFSET('RFM input'!$G$60,0,'RFM input'!$V$7)),OFFSET('RFM input'!$J$411,$A1089,0),0)))</f>
        <v>0</v>
      </c>
      <c r="Q1092" s="1422">
        <f ca="1">IF(LEFT(Q$6,4)&lt;=LEFT('RFM input'!$G$60,4),"enter input",IF(LEFT(Q$6,4)&gt;LEFT('RFM input'!$Q$60,4),0,
IF(Q$6=(OFFSET('RFM input'!$G$60,0,'RFM input'!$V$7)),OFFSET('RFM input'!$J$411,$A1089,0),0)))</f>
        <v>0</v>
      </c>
      <c r="R1092" s="1422">
        <f ca="1">IF(LEFT(R$6,4)&lt;=LEFT('RFM input'!$G$60,4),"enter input",IF(LEFT(R$6,4)&gt;LEFT('RFM input'!$Q$60,4),0,
IF(R$6=(OFFSET('RFM input'!$G$60,0,'RFM input'!$V$7)),OFFSET('RFM input'!$J$411,$A1089,0),0)))</f>
        <v>0</v>
      </c>
      <c r="S1092" s="1422">
        <f ca="1">IF(LEFT(S$6,4)&lt;=LEFT('RFM input'!$G$60,4),"enter input",IF(LEFT(S$6,4)&gt;LEFT('RFM input'!$Q$60,4),0,
IF(S$6=(OFFSET('RFM input'!$G$60,0,'RFM input'!$V$7)),OFFSET('RFM input'!$J$411,$A1089,0),0)))</f>
        <v>0</v>
      </c>
      <c r="T1092" s="1422">
        <f ca="1">IF(LEFT(T$6,4)&lt;=LEFT('RFM input'!$G$60,4),"enter input",IF(LEFT(T$6,4)&gt;LEFT('RFM input'!$Q$60,4),0,
IF(T$6=(OFFSET('RFM input'!$G$60,0,'RFM input'!$V$7)),OFFSET('RFM input'!$J$411,$A1089,0),0)))</f>
        <v>0</v>
      </c>
      <c r="U1092" s="1422">
        <f ca="1">IF(LEFT(U$6,4)&lt;=LEFT('RFM input'!$G$60,4),"enter input",IF(LEFT(U$6,4)&gt;LEFT('RFM input'!$Q$60,4),0,
IF(U$6=(OFFSET('RFM input'!$G$60,0,'RFM input'!$V$7)),OFFSET('RFM input'!$J$411,$A1089,0),0)))</f>
        <v>0</v>
      </c>
      <c r="V1092" s="1422">
        <f ca="1">IF(LEFT(V$6,4)&lt;=LEFT('RFM input'!$G$60,4),"enter input",IF(LEFT(V$6,4)&gt;LEFT('RFM input'!$Q$60,4),0,
IF(V$6=(OFFSET('RFM input'!$G$60,0,'RFM input'!$V$7)),OFFSET('RFM input'!$J$411,$A1089,0),0)))</f>
        <v>0</v>
      </c>
      <c r="W1092" s="1422">
        <f ca="1">IF(LEFT(W$6,4)&lt;=LEFT('RFM input'!$G$60,4),"enter input",IF(LEFT(W$6,4)&gt;LEFT('RFM input'!$Q$60,4),0,
IF(W$6=(OFFSET('RFM input'!$G$60,0,'RFM input'!$V$7)),OFFSET('RFM input'!$J$411,$A1089,0),0)))</f>
        <v>0</v>
      </c>
      <c r="X1092" s="152"/>
      <c r="Y1092" s="152"/>
      <c r="Z1092" s="152"/>
      <c r="AA1092" s="152"/>
      <c r="AB1092" s="152"/>
    </row>
    <row r="1093" spans="1:28" hidden="1" outlineLevel="1">
      <c r="A1093" s="235">
        <v>-1</v>
      </c>
      <c r="B1093" s="190" t="s">
        <v>195</v>
      </c>
      <c r="C1093" s="1423"/>
      <c r="D1093" s="1423">
        <f t="shared" ref="D1093" ca="1" si="1552">IF(AND(D1091=0,C1093=0),0,
IF(AND(D1091&lt;&gt;0,C1093=0),D1091,
IF(AND(D1092&lt;&gt;0,C1093&lt;&gt;0),(C1093-(C1093/C1117))+D1091,
IF(C1117&lt;1,0,(C1093-(C1093/C1117))))))</f>
        <v>0</v>
      </c>
      <c r="E1093" s="1423">
        <f t="shared" ref="E1093" ca="1" si="1553">IF(AND(E1091=0,D1093=0),0,
IF(AND(E1091&lt;&gt;0,D1093=0),E1091,
IF(AND(E1092&lt;&gt;0,D1093&lt;&gt;0),(D1093-(D1093/D1117))+E1091,
IF(D1117&lt;1,0,(D1093-(D1093/D1117))))))</f>
        <v>0</v>
      </c>
      <c r="F1093" s="1423">
        <f t="shared" ref="F1093" ca="1" si="1554">IF(AND(F1091=0,E1093=0),0,
IF(AND(F1091&lt;&gt;0,E1093=0),F1091,
IF(AND(F1092&lt;&gt;0,E1093&lt;&gt;0),(E1093-(E1093/E1117))+F1091,
IF(E1117&lt;1,0,(E1093-(E1093/E1117))))))</f>
        <v>0</v>
      </c>
      <c r="G1093" s="1423">
        <f t="shared" ref="G1093" ca="1" si="1555">IF(AND(G1091=0,F1093=0),0,
IF(AND(G1091&lt;&gt;0,F1093=0),G1091,
IF(AND(G1092&lt;&gt;0,F1093&lt;&gt;0),(F1093-(F1093/F1117))+G1091,
IF(F1117&lt;1,0,(F1093-(F1093/F1117))))))</f>
        <v>0</v>
      </c>
      <c r="H1093" s="1423">
        <f ca="1">IF(AND(H1091=0,G1093=0),0,
IF(AND(H1091&lt;&gt;0,G1093=0),H1091,
IF(AND(H1092&lt;&gt;0,G1093&lt;&gt;0),(G1093-(G1093/G1117))+H1091,
IF(G1117&lt;1,0,(G1093-(G1093/G1117))))))</f>
        <v>0</v>
      </c>
      <c r="I1093" s="1423">
        <f t="shared" ref="I1093" ca="1" si="1556">IF(AND(I1091=0,H1093=0),0,
IF(AND(I1091&lt;&gt;0,H1093=0),I1091,
IF(AND(I1092&lt;&gt;0,H1093&lt;&gt;0),(H1093-(H1093/H1117))+I1091,
IF(H1117&lt;1,0,(H1093-(H1093/H1117))))))</f>
        <v>0</v>
      </c>
      <c r="J1093" s="1423">
        <f t="shared" ref="J1093" ca="1" si="1557">IF(AND(J1091=0,I1093=0),0,
IF(AND(J1091&lt;&gt;0,I1093=0),J1091,
IF(AND(J1092&lt;&gt;0,I1093&lt;&gt;0),(I1093-(I1093/I1117))+J1091,
IF(I1117&lt;1,0,(I1093-(I1093/I1117))))))</f>
        <v>0</v>
      </c>
      <c r="K1093" s="1423">
        <f t="shared" ref="K1093" ca="1" si="1558">IF(AND(K1091=0,J1093=0),0,
IF(AND(K1091&lt;&gt;0,J1093=0),K1091,
IF(AND(K1092&lt;&gt;0,J1093&lt;&gt;0),(J1093-(J1093/J1117))+K1091,
IF(J1117&lt;1,0,(J1093-(J1093/J1117))))))</f>
        <v>0</v>
      </c>
      <c r="L1093" s="1423">
        <f t="shared" ref="L1093" ca="1" si="1559">IF(AND(L1091=0,K1093=0),0,
IF(AND(L1091&lt;&gt;0,K1093=0),L1091,
IF(AND(L1092&lt;&gt;0,K1093&lt;&gt;0),(K1093-(K1093/K1117))+L1091,
IF(K1117&lt;1,0,(K1093-(K1093/K1117))))))</f>
        <v>0</v>
      </c>
      <c r="M1093" s="1423">
        <f t="shared" ref="M1093" ca="1" si="1560">IF(AND(M1091=0,L1093=0),0,
IF(AND(M1091&lt;&gt;0,L1093=0),M1091,
IF(AND(M1092&lt;&gt;0,L1093&lt;&gt;0),(L1093-(L1093/L1117))+M1091,
IF(L1117&lt;1,0,(L1093-(L1093/L1117))))))</f>
        <v>0</v>
      </c>
      <c r="N1093" s="1423">
        <f t="shared" ref="N1093" ca="1" si="1561">IF(AND(N1091=0,M1093=0),0,
IF(AND(N1091&lt;&gt;0,M1093=0),N1091,
IF(AND(N1092&lt;&gt;0,M1093&lt;&gt;0),(M1093-(M1093/M1117))+N1091,
IF(M1117&lt;1,0,(M1093-(M1093/M1117))))))</f>
        <v>0</v>
      </c>
      <c r="O1093" s="1423">
        <f t="shared" ref="O1093" ca="1" si="1562">IF(AND(O1091=0,N1093=0),0,
IF(AND(O1091&lt;&gt;0,N1093=0),O1091,
IF(AND(O1092&lt;&gt;0,N1093&lt;&gt;0),(N1093-(N1093/N1117))+O1091,
IF(N1117&lt;1,0,(N1093-(N1093/N1117))))))</f>
        <v>0</v>
      </c>
      <c r="P1093" s="1423">
        <f t="shared" ref="P1093" ca="1" si="1563">IF(AND(P1091=0,O1093=0),0,
IF(AND(P1091&lt;&gt;0,O1093=0),P1091,
IF(AND(P1092&lt;&gt;0,O1093&lt;&gt;0),(O1093-(O1093/O1117))+P1091,
IF(O1117&lt;1,0,(O1093-(O1093/O1117))))))</f>
        <v>0</v>
      </c>
      <c r="Q1093" s="1423">
        <f t="shared" ref="Q1093" ca="1" si="1564">IF(AND(Q1091=0,P1093=0),0,
IF(AND(Q1091&lt;&gt;0,P1093=0),Q1091,
IF(AND(Q1092&lt;&gt;0,P1093&lt;&gt;0),(P1093-(P1093/P1117))+Q1091,
IF(P1117&lt;1,0,(P1093-(P1093/P1117))))))</f>
        <v>0</v>
      </c>
      <c r="R1093" s="1423">
        <f t="shared" ref="R1093" ca="1" si="1565">IF(AND(R1091=0,Q1093=0),0,
IF(AND(R1091&lt;&gt;0,Q1093=0),R1091,
IF(AND(R1092&lt;&gt;0,Q1093&lt;&gt;0),(Q1093-(Q1093/Q1117))+R1091,
IF(Q1117&lt;1,0,(Q1093-(Q1093/Q1117))))))</f>
        <v>0</v>
      </c>
      <c r="S1093" s="1423">
        <f t="shared" ref="S1093" ca="1" si="1566">IF(AND(S1091=0,R1093=0),0,
IF(AND(S1091&lt;&gt;0,R1093=0),S1091,
IF(AND(S1092&lt;&gt;0,R1093&lt;&gt;0),(R1093-(R1093/R1117))+S1091,
IF(R1117&lt;1,0,(R1093-(R1093/R1117))))))</f>
        <v>0</v>
      </c>
      <c r="T1093" s="1423">
        <f t="shared" ref="T1093" ca="1" si="1567">IF(AND(T1091=0,S1093=0),0,
IF(AND(T1091&lt;&gt;0,S1093=0),T1091,
IF(AND(T1092&lt;&gt;0,S1093&lt;&gt;0),(S1093-(S1093/S1117))+T1091,
IF(S1117&lt;1,0,(S1093-(S1093/S1117))))))</f>
        <v>0</v>
      </c>
      <c r="U1093" s="1423">
        <f t="shared" ref="U1093" ca="1" si="1568">IF(AND(U1091=0,T1093=0),0,
IF(AND(U1091&lt;&gt;0,T1093=0),U1091,
IF(AND(U1092&lt;&gt;0,T1093&lt;&gt;0),(T1093-(T1093/T1117))+U1091,
IF(T1117&lt;1,0,(T1093-(T1093/T1117))))))</f>
        <v>0</v>
      </c>
      <c r="V1093" s="1423">
        <f t="shared" ref="V1093" ca="1" si="1569">IF(AND(V1091=0,U1093=0),0,
IF(AND(V1091&lt;&gt;0,U1093=0),V1091,
IF(AND(V1092&lt;&gt;0,U1093&lt;&gt;0),(U1093-(U1093/U1117))+V1091,
IF(U1117&lt;1,0,(U1093-(U1093/U1117))))))</f>
        <v>0</v>
      </c>
      <c r="W1093" s="1423">
        <f t="shared" ref="W1093" ca="1" si="1570">IF(AND(W1091=0,V1093=0),0,
IF(AND(W1091&lt;&gt;0,V1093=0),W1091,
IF(AND(W1092&lt;&gt;0,V1093&lt;&gt;0),(V1093-(V1093/V1117))+W1091,
IF(V1117&lt;1,0,(V1093-(V1093/V1117))))))</f>
        <v>0</v>
      </c>
      <c r="X1093" s="152"/>
      <c r="Y1093" s="152"/>
      <c r="Z1093" s="152"/>
      <c r="AA1093" s="152"/>
      <c r="AB1093" s="152"/>
    </row>
    <row r="1094" spans="1:28" hidden="1" outlineLevel="1">
      <c r="A1094" s="199">
        <f>A1093+1</f>
        <v>0</v>
      </c>
      <c r="B1094" s="190" t="s">
        <v>527</v>
      </c>
      <c r="C1094" s="1423">
        <f ca="1">C1089</f>
        <v>0</v>
      </c>
      <c r="D1094" s="1423">
        <f ca="1">IF(C1118="n/a",C1094,IFERROR(IF((OFFSET($C1094,0,$A1094))&lt;0,
MIN(0,C1094-(OFFSET($C1094,0,$A1094)/(OFFSET($C1089,-$A1093,$A1094)))),
MAX(0,C1094-(OFFSET($C1094,0,$A1094)/(OFFSET($C1089,-$A1093,$A1094))))),0))</f>
        <v>0</v>
      </c>
      <c r="E1094" s="1423">
        <f t="shared" ref="E1094" ca="1" si="1571">IF(D1118="n/a",D1094,IFERROR(IF((OFFSET($C1094,0,$A1094))&lt;0,
MIN(0,D1094-(OFFSET($C1094,0,$A1094)/(OFFSET($C1089,-$A1093,$A1094)))),
MAX(0,D1094-(OFFSET($C1094,0,$A1094)/(OFFSET($C1089,-$A1093,$A1094))))),0))</f>
        <v>0</v>
      </c>
      <c r="F1094" s="1423">
        <f t="shared" ref="F1094:F1095" ca="1" si="1572">IF(E1118="n/a",E1094,IFERROR(IF((OFFSET($C1094,0,$A1094))&lt;0,
MIN(0,E1094-(OFFSET($C1094,0,$A1094)/(OFFSET($C1089,-$A1093,$A1094)))),
MAX(0,E1094-(OFFSET($C1094,0,$A1094)/(OFFSET($C1089,-$A1093,$A1094))))),0))</f>
        <v>0</v>
      </c>
      <c r="G1094" s="1423">
        <f t="shared" ref="G1094:G1096" ca="1" si="1573">IF(F1118="n/a",F1094,IFERROR(IF((OFFSET($C1094,0,$A1094))&lt;0,
MIN(0,F1094-(OFFSET($C1094,0,$A1094)/(OFFSET($C1089,-$A1093,$A1094)))),
MAX(0,F1094-(OFFSET($C1094,0,$A1094)/(OFFSET($C1089,-$A1093,$A1094))))),0))</f>
        <v>0</v>
      </c>
      <c r="H1094" s="1423">
        <f t="shared" ref="H1094:H1097" ca="1" si="1574">IF(G1118="n/a",G1094,IFERROR(IF((OFFSET($C1094,0,$A1094))&lt;0,
MIN(0,G1094-(OFFSET($C1094,0,$A1094)/(OFFSET($C1089,-$A1093,$A1094)))),
MAX(0,G1094-(OFFSET($C1094,0,$A1094)/(OFFSET($C1089,-$A1093,$A1094))))),0))</f>
        <v>0</v>
      </c>
      <c r="I1094" s="1423">
        <f t="shared" ref="I1094:I1098" ca="1" si="1575">IF(H1118="n/a",H1094,IFERROR(IF((OFFSET($C1094,0,$A1094))&lt;0,
MIN(0,H1094-(OFFSET($C1094,0,$A1094)/(OFFSET($C1089,-$A1093,$A1094)))),
MAX(0,H1094-(OFFSET($C1094,0,$A1094)/(OFFSET($C1089,-$A1093,$A1094))))),0))</f>
        <v>0</v>
      </c>
      <c r="J1094" s="1423">
        <f t="shared" ref="J1094:J1099" ca="1" si="1576">IF(I1118="n/a",I1094,IFERROR(IF((OFFSET($C1094,0,$A1094))&lt;0,
MIN(0,I1094-(OFFSET($C1094,0,$A1094)/(OFFSET($C1089,-$A1093,$A1094)))),
MAX(0,I1094-(OFFSET($C1094,0,$A1094)/(OFFSET($C1089,-$A1093,$A1094))))),0))</f>
        <v>0</v>
      </c>
      <c r="K1094" s="1423">
        <f t="shared" ref="K1094:K1100" ca="1" si="1577">IF(J1118="n/a",J1094,IFERROR(IF((OFFSET($C1094,0,$A1094))&lt;0,
MIN(0,J1094-(OFFSET($C1094,0,$A1094)/(OFFSET($C1089,-$A1093,$A1094)))),
MAX(0,J1094-(OFFSET($C1094,0,$A1094)/(OFFSET($C1089,-$A1093,$A1094))))),0))</f>
        <v>0</v>
      </c>
      <c r="L1094" s="1423">
        <f t="shared" ref="L1094:L1101" ca="1" si="1578">IF(K1118="n/a",K1094,IFERROR(IF((OFFSET($C1094,0,$A1094))&lt;0,
MIN(0,K1094-(OFFSET($C1094,0,$A1094)/(OFFSET($C1089,-$A1093,$A1094)))),
MAX(0,K1094-(OFFSET($C1094,0,$A1094)/(OFFSET($C1089,-$A1093,$A1094))))),0))</f>
        <v>0</v>
      </c>
      <c r="M1094" s="1423">
        <f t="shared" ref="M1094:M1102" ca="1" si="1579">IF(L1118="n/a",L1094,IFERROR(IF((OFFSET($C1094,0,$A1094))&lt;0,
MIN(0,L1094-(OFFSET($C1094,0,$A1094)/(OFFSET($C1089,-$A1093,$A1094)))),
MAX(0,L1094-(OFFSET($C1094,0,$A1094)/(OFFSET($C1089,-$A1093,$A1094))))),0))</f>
        <v>0</v>
      </c>
      <c r="N1094" s="1423">
        <f t="shared" ref="N1094:N1103" ca="1" si="1580">IF(M1118="n/a",M1094,IFERROR(IF((OFFSET($C1094,0,$A1094))&lt;0,
MIN(0,M1094-(OFFSET($C1094,0,$A1094)/(OFFSET($C1089,-$A1093,$A1094)))),
MAX(0,M1094-(OFFSET($C1094,0,$A1094)/(OFFSET($C1089,-$A1093,$A1094))))),0))</f>
        <v>0</v>
      </c>
      <c r="O1094" s="1423">
        <f t="shared" ref="O1094:O1104" ca="1" si="1581">IF(N1118="n/a",N1094,IFERROR(IF((OFFSET($C1094,0,$A1094))&lt;0,
MIN(0,N1094-(OFFSET($C1094,0,$A1094)/(OFFSET($C1089,-$A1093,$A1094)))),
MAX(0,N1094-(OFFSET($C1094,0,$A1094)/(OFFSET($C1089,-$A1093,$A1094))))),0))</f>
        <v>0</v>
      </c>
      <c r="P1094" s="1423">
        <f t="shared" ref="P1094:P1105" ca="1" si="1582">IF(O1118="n/a",O1094,IFERROR(IF((OFFSET($C1094,0,$A1094))&lt;0,
MIN(0,O1094-(OFFSET($C1094,0,$A1094)/(OFFSET($C1089,-$A1093,$A1094)))),
MAX(0,O1094-(OFFSET($C1094,0,$A1094)/(OFFSET($C1089,-$A1093,$A1094))))),0))</f>
        <v>0</v>
      </c>
      <c r="Q1094" s="1423">
        <f t="shared" ref="Q1094:Q1106" ca="1" si="1583">IF(P1118="n/a",P1094,IFERROR(IF((OFFSET($C1094,0,$A1094))&lt;0,
MIN(0,P1094-(OFFSET($C1094,0,$A1094)/(OFFSET($C1089,-$A1093,$A1094)))),
MAX(0,P1094-(OFFSET($C1094,0,$A1094)/(OFFSET($C1089,-$A1093,$A1094))))),0))</f>
        <v>0</v>
      </c>
      <c r="R1094" s="1423">
        <f t="shared" ref="R1094:R1107" ca="1" si="1584">IF(Q1118="n/a",Q1094,IFERROR(IF((OFFSET($C1094,0,$A1094))&lt;0,
MIN(0,Q1094-(OFFSET($C1094,0,$A1094)/(OFFSET($C1089,-$A1093,$A1094)))),
MAX(0,Q1094-(OFFSET($C1094,0,$A1094)/(OFFSET($C1089,-$A1093,$A1094))))),0))</f>
        <v>0</v>
      </c>
      <c r="S1094" s="1423">
        <f t="shared" ref="S1094:S1108" ca="1" si="1585">IF(R1118="n/a",R1094,IFERROR(IF((OFFSET($C1094,0,$A1094))&lt;0,
MIN(0,R1094-(OFFSET($C1094,0,$A1094)/(OFFSET($C1089,-$A1093,$A1094)))),
MAX(0,R1094-(OFFSET($C1094,0,$A1094)/(OFFSET($C1089,-$A1093,$A1094))))),0))</f>
        <v>0</v>
      </c>
      <c r="T1094" s="1423">
        <f t="shared" ref="T1094:T1109" ca="1" si="1586">IF(S1118="n/a",S1094,IFERROR(IF((OFFSET($C1094,0,$A1094))&lt;0,
MIN(0,S1094-(OFFSET($C1094,0,$A1094)/(OFFSET($C1089,-$A1093,$A1094)))),
MAX(0,S1094-(OFFSET($C1094,0,$A1094)/(OFFSET($C1089,-$A1093,$A1094))))),0))</f>
        <v>0</v>
      </c>
      <c r="U1094" s="1423">
        <f t="shared" ref="U1094:U1110" ca="1" si="1587">IF(T1118="n/a",T1094,IFERROR(IF((OFFSET($C1094,0,$A1094))&lt;0,
MIN(0,T1094-(OFFSET($C1094,0,$A1094)/(OFFSET($C1089,-$A1093,$A1094)))),
MAX(0,T1094-(OFFSET($C1094,0,$A1094)/(OFFSET($C1089,-$A1093,$A1094))))),0))</f>
        <v>0</v>
      </c>
      <c r="V1094" s="1423">
        <f t="shared" ref="V1094:V1111" ca="1" si="1588">IF(U1118="n/a",U1094,IFERROR(IF((OFFSET($C1094,0,$A1094))&lt;0,
MIN(0,U1094-(OFFSET($C1094,0,$A1094)/(OFFSET($C1089,-$A1093,$A1094)))),
MAX(0,U1094-(OFFSET($C1094,0,$A1094)/(OFFSET($C1089,-$A1093,$A1094))))),0))</f>
        <v>0</v>
      </c>
      <c r="W1094" s="1423">
        <f t="shared" ref="W1094:W1112" ca="1" si="1589">IF(V1118="n/a",V1094,IFERROR(IF((OFFSET($C1094,0,$A1094))&lt;0,
MIN(0,V1094-(OFFSET($C1094,0,$A1094)/(OFFSET($C1089,-$A1093,$A1094)))),
MAX(0,V1094-(OFFSET($C1094,0,$A1094)/(OFFSET($C1089,-$A1093,$A1094))))),0))</f>
        <v>0</v>
      </c>
      <c r="X1094" s="152"/>
      <c r="Y1094" s="152"/>
      <c r="Z1094" s="152"/>
      <c r="AA1094" s="152"/>
      <c r="AB1094" s="152"/>
    </row>
    <row r="1095" spans="1:28" hidden="1" outlineLevel="1">
      <c r="A1095" s="199">
        <f t="shared" ref="A1095:A1114" si="1590">A1094+1</f>
        <v>1</v>
      </c>
      <c r="B1095" s="190" t="str">
        <f t="shared" ref="B1095:B1114" ca="1" si="1591">"Depreciated Net Capex "&amp;OFFSET($C$6,0,A1095)</f>
        <v>Depreciated Net Capex 2016-17</v>
      </c>
      <c r="C1095" s="1424"/>
      <c r="D1095" s="1425">
        <f>D1089</f>
        <v>0</v>
      </c>
      <c r="E1095" s="1423">
        <f ca="1">IF(D1119="n/a",D1095,IFERROR(IF((OFFSET($C1095,0,$A1095))&lt;0,
MIN(0,D1095-(OFFSET($C1095,0,$A1095)/(OFFSET($C1090,-$A1094,$A1095)))),
MAX(0,D1095-(OFFSET($C1095,0,$A1095)/(OFFSET($C1090,-$A1094,$A1095))))),0))</f>
        <v>0</v>
      </c>
      <c r="F1095" s="1423">
        <f t="shared" ca="1" si="1572"/>
        <v>0</v>
      </c>
      <c r="G1095" s="1423">
        <f t="shared" ca="1" si="1573"/>
        <v>0</v>
      </c>
      <c r="H1095" s="1423">
        <f t="shared" ca="1" si="1574"/>
        <v>0</v>
      </c>
      <c r="I1095" s="1423">
        <f t="shared" ca="1" si="1575"/>
        <v>0</v>
      </c>
      <c r="J1095" s="1423">
        <f t="shared" ca="1" si="1576"/>
        <v>0</v>
      </c>
      <c r="K1095" s="1423">
        <f t="shared" ca="1" si="1577"/>
        <v>0</v>
      </c>
      <c r="L1095" s="1423">
        <f t="shared" ca="1" si="1578"/>
        <v>0</v>
      </c>
      <c r="M1095" s="1423">
        <f t="shared" ca="1" si="1579"/>
        <v>0</v>
      </c>
      <c r="N1095" s="1423">
        <f t="shared" ca="1" si="1580"/>
        <v>0</v>
      </c>
      <c r="O1095" s="1423">
        <f t="shared" ca="1" si="1581"/>
        <v>0</v>
      </c>
      <c r="P1095" s="1423">
        <f t="shared" ca="1" si="1582"/>
        <v>0</v>
      </c>
      <c r="Q1095" s="1423">
        <f t="shared" ca="1" si="1583"/>
        <v>0</v>
      </c>
      <c r="R1095" s="1423">
        <f t="shared" ca="1" si="1584"/>
        <v>0</v>
      </c>
      <c r="S1095" s="1423">
        <f t="shared" ca="1" si="1585"/>
        <v>0</v>
      </c>
      <c r="T1095" s="1423">
        <f t="shared" ca="1" si="1586"/>
        <v>0</v>
      </c>
      <c r="U1095" s="1423">
        <f t="shared" ca="1" si="1587"/>
        <v>0</v>
      </c>
      <c r="V1095" s="1423">
        <f t="shared" ca="1" si="1588"/>
        <v>0</v>
      </c>
      <c r="W1095" s="1423">
        <f t="shared" ca="1" si="1589"/>
        <v>0</v>
      </c>
      <c r="X1095" s="152"/>
      <c r="Y1095" s="152"/>
      <c r="Z1095" s="152"/>
      <c r="AA1095" s="152"/>
      <c r="AB1095" s="152"/>
    </row>
    <row r="1096" spans="1:28" hidden="1" outlineLevel="1">
      <c r="A1096" s="199">
        <f t="shared" si="1590"/>
        <v>2</v>
      </c>
      <c r="B1096" s="190" t="str">
        <f t="shared" ca="1" si="1591"/>
        <v>Depreciated Net Capex 2017-18</v>
      </c>
      <c r="C1096" s="1426"/>
      <c r="D1096" s="1427"/>
      <c r="E1096" s="1425">
        <f>E1089</f>
        <v>0</v>
      </c>
      <c r="F1096" s="1423">
        <f ca="1">IF(E1120="n/a",E1096,IFERROR(IF((OFFSET($C1096,0,$A1096))&lt;0,
MIN(0,E1096-(OFFSET($C1096,0,$A1096)/(OFFSET($C1091,-$A1095,$A1096)))),
MAX(0,E1096-(OFFSET($C1096,0,$A1096)/(OFFSET($C1091,-$A1095,$A1096))))),0))</f>
        <v>0</v>
      </c>
      <c r="G1096" s="1423">
        <f t="shared" ca="1" si="1573"/>
        <v>0</v>
      </c>
      <c r="H1096" s="1423">
        <f t="shared" ca="1" si="1574"/>
        <v>0</v>
      </c>
      <c r="I1096" s="1423">
        <f t="shared" ca="1" si="1575"/>
        <v>0</v>
      </c>
      <c r="J1096" s="1423">
        <f t="shared" ca="1" si="1576"/>
        <v>0</v>
      </c>
      <c r="K1096" s="1423">
        <f t="shared" ca="1" si="1577"/>
        <v>0</v>
      </c>
      <c r="L1096" s="1423">
        <f t="shared" ca="1" si="1578"/>
        <v>0</v>
      </c>
      <c r="M1096" s="1423">
        <f t="shared" ca="1" si="1579"/>
        <v>0</v>
      </c>
      <c r="N1096" s="1423">
        <f t="shared" ca="1" si="1580"/>
        <v>0</v>
      </c>
      <c r="O1096" s="1423">
        <f t="shared" ca="1" si="1581"/>
        <v>0</v>
      </c>
      <c r="P1096" s="1423">
        <f t="shared" ca="1" si="1582"/>
        <v>0</v>
      </c>
      <c r="Q1096" s="1423">
        <f t="shared" ca="1" si="1583"/>
        <v>0</v>
      </c>
      <c r="R1096" s="1423">
        <f t="shared" ca="1" si="1584"/>
        <v>0</v>
      </c>
      <c r="S1096" s="1423">
        <f t="shared" ca="1" si="1585"/>
        <v>0</v>
      </c>
      <c r="T1096" s="1423">
        <f t="shared" ca="1" si="1586"/>
        <v>0</v>
      </c>
      <c r="U1096" s="1423">
        <f t="shared" ca="1" si="1587"/>
        <v>0</v>
      </c>
      <c r="V1096" s="1423">
        <f t="shared" ca="1" si="1588"/>
        <v>0</v>
      </c>
      <c r="W1096" s="1423">
        <f t="shared" ca="1" si="1589"/>
        <v>0</v>
      </c>
      <c r="X1096" s="202"/>
      <c r="Y1096" s="152"/>
      <c r="Z1096" s="152"/>
      <c r="AA1096" s="152"/>
      <c r="AB1096" s="152"/>
    </row>
    <row r="1097" spans="1:28" hidden="1" outlineLevel="1">
      <c r="A1097" s="199">
        <f t="shared" si="1590"/>
        <v>3</v>
      </c>
      <c r="B1097" s="190" t="str">
        <f t="shared" ca="1" si="1591"/>
        <v>Depreciated Net Capex 2018-19</v>
      </c>
      <c r="C1097" s="1426"/>
      <c r="D1097" s="1426"/>
      <c r="E1097" s="1427"/>
      <c r="F1097" s="1428">
        <f>F1089</f>
        <v>0</v>
      </c>
      <c r="G1097" s="1423">
        <f ca="1">IF(F1121="n/a",F1097,IFERROR(IF((OFFSET($C1097,0,$A1097))&lt;0,
MIN(0,F1097-(OFFSET($C1097,0,$A1097)/(OFFSET($C1092,-$A1096,$A1097)))),
MAX(0,F1097-(OFFSET($C1097,0,$A1097)/(OFFSET($C1092,-$A1096,$A1097))))),0))</f>
        <v>0</v>
      </c>
      <c r="H1097" s="1423">
        <f t="shared" ca="1" si="1574"/>
        <v>0</v>
      </c>
      <c r="I1097" s="1423">
        <f t="shared" ca="1" si="1575"/>
        <v>0</v>
      </c>
      <c r="J1097" s="1423">
        <f t="shared" ca="1" si="1576"/>
        <v>0</v>
      </c>
      <c r="K1097" s="1423">
        <f t="shared" ca="1" si="1577"/>
        <v>0</v>
      </c>
      <c r="L1097" s="1423">
        <f t="shared" ca="1" si="1578"/>
        <v>0</v>
      </c>
      <c r="M1097" s="1423">
        <f t="shared" ca="1" si="1579"/>
        <v>0</v>
      </c>
      <c r="N1097" s="1423">
        <f t="shared" ca="1" si="1580"/>
        <v>0</v>
      </c>
      <c r="O1097" s="1423">
        <f t="shared" ca="1" si="1581"/>
        <v>0</v>
      </c>
      <c r="P1097" s="1423">
        <f t="shared" ca="1" si="1582"/>
        <v>0</v>
      </c>
      <c r="Q1097" s="1423">
        <f t="shared" ca="1" si="1583"/>
        <v>0</v>
      </c>
      <c r="R1097" s="1423">
        <f t="shared" ca="1" si="1584"/>
        <v>0</v>
      </c>
      <c r="S1097" s="1423">
        <f t="shared" ca="1" si="1585"/>
        <v>0</v>
      </c>
      <c r="T1097" s="1423">
        <f t="shared" ca="1" si="1586"/>
        <v>0</v>
      </c>
      <c r="U1097" s="1423">
        <f t="shared" ca="1" si="1587"/>
        <v>0</v>
      </c>
      <c r="V1097" s="1423">
        <f t="shared" ca="1" si="1588"/>
        <v>0</v>
      </c>
      <c r="W1097" s="1423">
        <f t="shared" ca="1" si="1589"/>
        <v>0</v>
      </c>
      <c r="X1097" s="202"/>
      <c r="Y1097" s="202"/>
      <c r="Z1097" s="152"/>
      <c r="AA1097" s="152"/>
      <c r="AB1097" s="152"/>
    </row>
    <row r="1098" spans="1:28" hidden="1" outlineLevel="1">
      <c r="A1098" s="199">
        <f t="shared" si="1590"/>
        <v>4</v>
      </c>
      <c r="B1098" s="190" t="str">
        <f t="shared" ca="1" si="1591"/>
        <v>Depreciated Net Capex 2019-20</v>
      </c>
      <c r="C1098" s="1426"/>
      <c r="D1098" s="1426"/>
      <c r="E1098" s="1426"/>
      <c r="F1098" s="1427"/>
      <c r="G1098" s="1428">
        <f>G1089</f>
        <v>0</v>
      </c>
      <c r="H1098" s="1423">
        <f ca="1">IF(G1122="n/a",G1098,IFERROR(IF((OFFSET($C1098,0,$A1098))&lt;0,
MIN(0,G1098-(OFFSET($C1098,0,$A1098)/(OFFSET($C1093,-$A1097,$A1098)))),
MAX(0,G1098-(OFFSET($C1098,0,$A1098)/(OFFSET($C1093,-$A1097,$A1098))))),0))</f>
        <v>0</v>
      </c>
      <c r="I1098" s="1423">
        <f t="shared" ca="1" si="1575"/>
        <v>0</v>
      </c>
      <c r="J1098" s="1423">
        <f t="shared" ca="1" si="1576"/>
        <v>0</v>
      </c>
      <c r="K1098" s="1423">
        <f t="shared" ca="1" si="1577"/>
        <v>0</v>
      </c>
      <c r="L1098" s="1423">
        <f t="shared" ca="1" si="1578"/>
        <v>0</v>
      </c>
      <c r="M1098" s="1423">
        <f t="shared" ca="1" si="1579"/>
        <v>0</v>
      </c>
      <c r="N1098" s="1423">
        <f t="shared" ca="1" si="1580"/>
        <v>0</v>
      </c>
      <c r="O1098" s="1423">
        <f t="shared" ca="1" si="1581"/>
        <v>0</v>
      </c>
      <c r="P1098" s="1423">
        <f t="shared" ca="1" si="1582"/>
        <v>0</v>
      </c>
      <c r="Q1098" s="1423">
        <f t="shared" ca="1" si="1583"/>
        <v>0</v>
      </c>
      <c r="R1098" s="1423">
        <f t="shared" ca="1" si="1584"/>
        <v>0</v>
      </c>
      <c r="S1098" s="1423">
        <f t="shared" ca="1" si="1585"/>
        <v>0</v>
      </c>
      <c r="T1098" s="1423">
        <f t="shared" ca="1" si="1586"/>
        <v>0</v>
      </c>
      <c r="U1098" s="1423">
        <f t="shared" ca="1" si="1587"/>
        <v>0</v>
      </c>
      <c r="V1098" s="1423">
        <f t="shared" ca="1" si="1588"/>
        <v>0</v>
      </c>
      <c r="W1098" s="1423">
        <f t="shared" ca="1" si="1589"/>
        <v>0</v>
      </c>
      <c r="X1098" s="202"/>
      <c r="Y1098" s="202"/>
      <c r="Z1098" s="202"/>
      <c r="AA1098" s="152"/>
      <c r="AB1098" s="152"/>
    </row>
    <row r="1099" spans="1:28" hidden="1" outlineLevel="1">
      <c r="A1099" s="199">
        <f t="shared" si="1590"/>
        <v>5</v>
      </c>
      <c r="B1099" s="190" t="str">
        <f t="shared" ca="1" si="1591"/>
        <v>Depreciated Net Capex 2020-21</v>
      </c>
      <c r="C1099" s="1426"/>
      <c r="D1099" s="1426"/>
      <c r="E1099" s="1426"/>
      <c r="F1099" s="1426"/>
      <c r="G1099" s="1427"/>
      <c r="H1099" s="1428">
        <f>H1089</f>
        <v>0</v>
      </c>
      <c r="I1099" s="1423">
        <f ca="1">IF(H1123="n/a",H1099,IFERROR(IF((OFFSET($C1099,0,$A1099))&lt;0,
MIN(0,H1099-(OFFSET($C1099,0,$A1099)/(OFFSET($C1094,-$A1098,$A1099)))),
MAX(0,H1099-(OFFSET($C1099,0,$A1099)/(OFFSET($C1094,-$A1098,$A1099))))),0))</f>
        <v>0</v>
      </c>
      <c r="J1099" s="1423">
        <f t="shared" ca="1" si="1576"/>
        <v>0</v>
      </c>
      <c r="K1099" s="1423">
        <f t="shared" ca="1" si="1577"/>
        <v>0</v>
      </c>
      <c r="L1099" s="1423">
        <f t="shared" ca="1" si="1578"/>
        <v>0</v>
      </c>
      <c r="M1099" s="1423">
        <f t="shared" ca="1" si="1579"/>
        <v>0</v>
      </c>
      <c r="N1099" s="1423">
        <f t="shared" ca="1" si="1580"/>
        <v>0</v>
      </c>
      <c r="O1099" s="1423">
        <f t="shared" ca="1" si="1581"/>
        <v>0</v>
      </c>
      <c r="P1099" s="1423">
        <f t="shared" ca="1" si="1582"/>
        <v>0</v>
      </c>
      <c r="Q1099" s="1423">
        <f t="shared" ca="1" si="1583"/>
        <v>0</v>
      </c>
      <c r="R1099" s="1423">
        <f t="shared" ca="1" si="1584"/>
        <v>0</v>
      </c>
      <c r="S1099" s="1423">
        <f t="shared" ca="1" si="1585"/>
        <v>0</v>
      </c>
      <c r="T1099" s="1423">
        <f t="shared" ca="1" si="1586"/>
        <v>0</v>
      </c>
      <c r="U1099" s="1423">
        <f t="shared" ca="1" si="1587"/>
        <v>0</v>
      </c>
      <c r="V1099" s="1423">
        <f t="shared" ca="1" si="1588"/>
        <v>0</v>
      </c>
      <c r="W1099" s="1423">
        <f t="shared" ca="1" si="1589"/>
        <v>0</v>
      </c>
      <c r="X1099" s="202"/>
      <c r="Y1099" s="202"/>
      <c r="Z1099" s="202"/>
      <c r="AA1099" s="152"/>
      <c r="AB1099" s="152"/>
    </row>
    <row r="1100" spans="1:28" hidden="1" outlineLevel="1">
      <c r="A1100" s="199">
        <f t="shared" si="1590"/>
        <v>6</v>
      </c>
      <c r="B1100" s="190" t="str">
        <f t="shared" ca="1" si="1591"/>
        <v>Depreciated Net Capex 2021-22</v>
      </c>
      <c r="C1100" s="1426"/>
      <c r="D1100" s="1426"/>
      <c r="E1100" s="1426"/>
      <c r="F1100" s="1426"/>
      <c r="G1100" s="1426"/>
      <c r="H1100" s="1427"/>
      <c r="I1100" s="1428">
        <f>I1089</f>
        <v>0</v>
      </c>
      <c r="J1100" s="1423">
        <f ca="1">IF(I1124="n/a",I1100,IFERROR(IF((OFFSET($C1100,0,$A1100))&lt;0,
MIN(0,I1100-(OFFSET($C1100,0,$A1100)/(OFFSET($C1095,-$A1099,$A1100)))),
MAX(0,I1100-(OFFSET($C1100,0,$A1100)/(OFFSET($C1095,-$A1099,$A1100))))),0))</f>
        <v>0</v>
      </c>
      <c r="K1100" s="1423">
        <f t="shared" ca="1" si="1577"/>
        <v>0</v>
      </c>
      <c r="L1100" s="1423">
        <f t="shared" ca="1" si="1578"/>
        <v>0</v>
      </c>
      <c r="M1100" s="1423">
        <f t="shared" ca="1" si="1579"/>
        <v>0</v>
      </c>
      <c r="N1100" s="1423">
        <f t="shared" ca="1" si="1580"/>
        <v>0</v>
      </c>
      <c r="O1100" s="1423">
        <f t="shared" ca="1" si="1581"/>
        <v>0</v>
      </c>
      <c r="P1100" s="1423">
        <f t="shared" ca="1" si="1582"/>
        <v>0</v>
      </c>
      <c r="Q1100" s="1423">
        <f t="shared" ca="1" si="1583"/>
        <v>0</v>
      </c>
      <c r="R1100" s="1423">
        <f t="shared" ca="1" si="1584"/>
        <v>0</v>
      </c>
      <c r="S1100" s="1423">
        <f t="shared" ca="1" si="1585"/>
        <v>0</v>
      </c>
      <c r="T1100" s="1423">
        <f t="shared" ca="1" si="1586"/>
        <v>0</v>
      </c>
      <c r="U1100" s="1423">
        <f t="shared" ca="1" si="1587"/>
        <v>0</v>
      </c>
      <c r="V1100" s="1423">
        <f t="shared" ca="1" si="1588"/>
        <v>0</v>
      </c>
      <c r="W1100" s="1423">
        <f t="shared" ca="1" si="1589"/>
        <v>0</v>
      </c>
      <c r="X1100" s="202"/>
      <c r="Y1100" s="202"/>
      <c r="Z1100" s="202"/>
      <c r="AA1100" s="152"/>
      <c r="AB1100" s="152"/>
    </row>
    <row r="1101" spans="1:28" hidden="1" outlineLevel="1">
      <c r="A1101" s="199">
        <f t="shared" si="1590"/>
        <v>7</v>
      </c>
      <c r="B1101" s="190" t="str">
        <f t="shared" ca="1" si="1591"/>
        <v>Depreciated Net Capex 2022-23</v>
      </c>
      <c r="C1101" s="1426"/>
      <c r="D1101" s="1426"/>
      <c r="E1101" s="1426"/>
      <c r="F1101" s="1426"/>
      <c r="G1101" s="1426"/>
      <c r="H1101" s="1426"/>
      <c r="I1101" s="1427"/>
      <c r="J1101" s="1428">
        <f>J1089</f>
        <v>0</v>
      </c>
      <c r="K1101" s="1423">
        <f ca="1">IF(J1125="n/a",J1101,IFERROR(IF((OFFSET($C1101,0,$A1101))&lt;0,
MIN(0,J1101-(OFFSET($C1101,0,$A1101)/(OFFSET($C1096,-$A1100,$A1101)))),
MAX(0,J1101-(OFFSET($C1101,0,$A1101)/(OFFSET($C1096,-$A1100,$A1101))))),0))</f>
        <v>0</v>
      </c>
      <c r="L1101" s="1423">
        <f t="shared" ca="1" si="1578"/>
        <v>0</v>
      </c>
      <c r="M1101" s="1423">
        <f t="shared" ca="1" si="1579"/>
        <v>0</v>
      </c>
      <c r="N1101" s="1423">
        <f t="shared" ca="1" si="1580"/>
        <v>0</v>
      </c>
      <c r="O1101" s="1423">
        <f t="shared" ca="1" si="1581"/>
        <v>0</v>
      </c>
      <c r="P1101" s="1423">
        <f t="shared" ca="1" si="1582"/>
        <v>0</v>
      </c>
      <c r="Q1101" s="1423">
        <f t="shared" ca="1" si="1583"/>
        <v>0</v>
      </c>
      <c r="R1101" s="1423">
        <f t="shared" ca="1" si="1584"/>
        <v>0</v>
      </c>
      <c r="S1101" s="1423">
        <f t="shared" ca="1" si="1585"/>
        <v>0</v>
      </c>
      <c r="T1101" s="1423">
        <f t="shared" ca="1" si="1586"/>
        <v>0</v>
      </c>
      <c r="U1101" s="1423">
        <f t="shared" ca="1" si="1587"/>
        <v>0</v>
      </c>
      <c r="V1101" s="1423">
        <f t="shared" ca="1" si="1588"/>
        <v>0</v>
      </c>
      <c r="W1101" s="1423">
        <f t="shared" ca="1" si="1589"/>
        <v>0</v>
      </c>
      <c r="X1101" s="202"/>
      <c r="Y1101" s="202"/>
      <c r="Z1101" s="202"/>
      <c r="AA1101" s="152"/>
      <c r="AB1101" s="152"/>
    </row>
    <row r="1102" spans="1:28" hidden="1" outlineLevel="1">
      <c r="A1102" s="199">
        <f t="shared" si="1590"/>
        <v>8</v>
      </c>
      <c r="B1102" s="190" t="str">
        <f t="shared" ca="1" si="1591"/>
        <v>Depreciated Net Capex 2023-24</v>
      </c>
      <c r="C1102" s="1426"/>
      <c r="D1102" s="1426"/>
      <c r="E1102" s="1426"/>
      <c r="F1102" s="1426"/>
      <c r="G1102" s="1426"/>
      <c r="H1102" s="1426"/>
      <c r="I1102" s="1426"/>
      <c r="J1102" s="1427"/>
      <c r="K1102" s="1428">
        <f>K1089</f>
        <v>0</v>
      </c>
      <c r="L1102" s="1423">
        <f ca="1">IF(K1126="n/a",K1102,IFERROR(IF((OFFSET($C1102,0,$A1102))&lt;0,
MIN(0,K1102-(OFFSET($C1102,0,$A1102)/(OFFSET($C1097,-$A1101,$A1102)))),
MAX(0,K1102-(OFFSET($C1102,0,$A1102)/(OFFSET($C1097,-$A1101,$A1102))))),0))</f>
        <v>0</v>
      </c>
      <c r="M1102" s="1423">
        <f t="shared" ca="1" si="1579"/>
        <v>0</v>
      </c>
      <c r="N1102" s="1423">
        <f t="shared" ca="1" si="1580"/>
        <v>0</v>
      </c>
      <c r="O1102" s="1423">
        <f t="shared" ca="1" si="1581"/>
        <v>0</v>
      </c>
      <c r="P1102" s="1423">
        <f t="shared" ca="1" si="1582"/>
        <v>0</v>
      </c>
      <c r="Q1102" s="1423">
        <f t="shared" ca="1" si="1583"/>
        <v>0</v>
      </c>
      <c r="R1102" s="1423">
        <f t="shared" ca="1" si="1584"/>
        <v>0</v>
      </c>
      <c r="S1102" s="1423">
        <f t="shared" ca="1" si="1585"/>
        <v>0</v>
      </c>
      <c r="T1102" s="1423">
        <f t="shared" ca="1" si="1586"/>
        <v>0</v>
      </c>
      <c r="U1102" s="1423">
        <f t="shared" ca="1" si="1587"/>
        <v>0</v>
      </c>
      <c r="V1102" s="1423">
        <f t="shared" ca="1" si="1588"/>
        <v>0</v>
      </c>
      <c r="W1102" s="1423">
        <f t="shared" ca="1" si="1589"/>
        <v>0</v>
      </c>
      <c r="X1102" s="202"/>
      <c r="Y1102" s="202"/>
      <c r="Z1102" s="202"/>
      <c r="AA1102" s="152"/>
      <c r="AB1102" s="152"/>
    </row>
    <row r="1103" spans="1:28" hidden="1" outlineLevel="1">
      <c r="A1103" s="199">
        <f t="shared" si="1590"/>
        <v>9</v>
      </c>
      <c r="B1103" s="190" t="str">
        <f t="shared" ca="1" si="1591"/>
        <v>Depreciated Net Capex 2024-25</v>
      </c>
      <c r="C1103" s="1426"/>
      <c r="D1103" s="1426"/>
      <c r="E1103" s="1426"/>
      <c r="F1103" s="1426"/>
      <c r="G1103" s="1426"/>
      <c r="H1103" s="1426"/>
      <c r="I1103" s="1426"/>
      <c r="J1103" s="1426"/>
      <c r="K1103" s="1427"/>
      <c r="L1103" s="1428">
        <f>L1089</f>
        <v>0</v>
      </c>
      <c r="M1103" s="1423">
        <f ca="1">IF(L1127="n/a",L1103,IFERROR(IF((OFFSET($C1103,0,$A1103))&lt;0,
MIN(0,L1103-(OFFSET($C1103,0,$A1103)/(OFFSET($C1098,-$A1102,$A1103)))),
MAX(0,L1103-(OFFSET($C1103,0,$A1103)/(OFFSET($C1098,-$A1102,$A1103))))),0))</f>
        <v>0</v>
      </c>
      <c r="N1103" s="1423">
        <f t="shared" ca="1" si="1580"/>
        <v>0</v>
      </c>
      <c r="O1103" s="1423">
        <f t="shared" ca="1" si="1581"/>
        <v>0</v>
      </c>
      <c r="P1103" s="1423">
        <f t="shared" ca="1" si="1582"/>
        <v>0</v>
      </c>
      <c r="Q1103" s="1423">
        <f t="shared" ca="1" si="1583"/>
        <v>0</v>
      </c>
      <c r="R1103" s="1423">
        <f t="shared" ca="1" si="1584"/>
        <v>0</v>
      </c>
      <c r="S1103" s="1423">
        <f t="shared" ca="1" si="1585"/>
        <v>0</v>
      </c>
      <c r="T1103" s="1423">
        <f t="shared" ca="1" si="1586"/>
        <v>0</v>
      </c>
      <c r="U1103" s="1423">
        <f t="shared" ca="1" si="1587"/>
        <v>0</v>
      </c>
      <c r="V1103" s="1423">
        <f t="shared" ca="1" si="1588"/>
        <v>0</v>
      </c>
      <c r="W1103" s="1423">
        <f t="shared" ca="1" si="1589"/>
        <v>0</v>
      </c>
      <c r="X1103" s="202"/>
      <c r="Y1103" s="202"/>
      <c r="Z1103" s="202"/>
      <c r="AA1103" s="152"/>
      <c r="AB1103" s="152"/>
    </row>
    <row r="1104" spans="1:28" hidden="1" outlineLevel="1">
      <c r="A1104" s="199">
        <f t="shared" si="1590"/>
        <v>10</v>
      </c>
      <c r="B1104" s="190" t="str">
        <f t="shared" ca="1" si="1591"/>
        <v>Depreciated Net Capex 2025-26</v>
      </c>
      <c r="C1104" s="1426"/>
      <c r="D1104" s="1426"/>
      <c r="E1104" s="1426"/>
      <c r="F1104" s="1426"/>
      <c r="G1104" s="1426"/>
      <c r="H1104" s="1426"/>
      <c r="I1104" s="1426"/>
      <c r="J1104" s="1426"/>
      <c r="K1104" s="1426"/>
      <c r="L1104" s="1427"/>
      <c r="M1104" s="1428">
        <f>M1089</f>
        <v>0</v>
      </c>
      <c r="N1104" s="1423">
        <f ca="1">IF(M1128="n/a",M1104,IFERROR(IF((OFFSET($C1104,0,$A1104))&lt;0,
MIN(0,M1104-(OFFSET($C1104,0,$A1104)/(OFFSET($C1099,-$A1103,$A1104)))),
MAX(0,M1104-(OFFSET($C1104,0,$A1104)/(OFFSET($C1099,-$A1103,$A1104))))),0))</f>
        <v>0</v>
      </c>
      <c r="O1104" s="1423">
        <f t="shared" ca="1" si="1581"/>
        <v>0</v>
      </c>
      <c r="P1104" s="1423">
        <f t="shared" ca="1" si="1582"/>
        <v>0</v>
      </c>
      <c r="Q1104" s="1423">
        <f t="shared" ca="1" si="1583"/>
        <v>0</v>
      </c>
      <c r="R1104" s="1423">
        <f t="shared" ca="1" si="1584"/>
        <v>0</v>
      </c>
      <c r="S1104" s="1423">
        <f t="shared" ca="1" si="1585"/>
        <v>0</v>
      </c>
      <c r="T1104" s="1423">
        <f t="shared" ca="1" si="1586"/>
        <v>0</v>
      </c>
      <c r="U1104" s="1423">
        <f t="shared" ca="1" si="1587"/>
        <v>0</v>
      </c>
      <c r="V1104" s="1423">
        <f t="shared" ca="1" si="1588"/>
        <v>0</v>
      </c>
      <c r="W1104" s="1423">
        <f t="shared" ca="1" si="1589"/>
        <v>0</v>
      </c>
      <c r="X1104" s="202"/>
      <c r="Y1104" s="202"/>
      <c r="Z1104" s="202"/>
      <c r="AA1104" s="152"/>
      <c r="AB1104" s="152"/>
    </row>
    <row r="1105" spans="1:28" hidden="1" outlineLevel="1">
      <c r="A1105" s="199">
        <f t="shared" si="1590"/>
        <v>11</v>
      </c>
      <c r="B1105" s="190" t="str">
        <f t="shared" ca="1" si="1591"/>
        <v>Depreciated Net Capex 2026-27</v>
      </c>
      <c r="C1105" s="1426"/>
      <c r="D1105" s="1426"/>
      <c r="E1105" s="1426"/>
      <c r="F1105" s="1426"/>
      <c r="G1105" s="1426"/>
      <c r="H1105" s="1426"/>
      <c r="I1105" s="1426"/>
      <c r="J1105" s="1426"/>
      <c r="K1105" s="1426"/>
      <c r="L1105" s="1426"/>
      <c r="M1105" s="1427"/>
      <c r="N1105" s="1428">
        <f>N1089</f>
        <v>0</v>
      </c>
      <c r="O1105" s="1423">
        <f ca="1">IF(N1129="n/a",N1105,IFERROR(IF((OFFSET($C1105,0,$A1105))&lt;0,
MIN(0,N1105-(OFFSET($C1105,0,$A1105)/(OFFSET($C1100,-$A1104,$A1105)))),
MAX(0,N1105-(OFFSET($C1105,0,$A1105)/(OFFSET($C1100,-$A1104,$A1105))))),0))</f>
        <v>0</v>
      </c>
      <c r="P1105" s="1423">
        <f t="shared" ca="1" si="1582"/>
        <v>0</v>
      </c>
      <c r="Q1105" s="1423">
        <f t="shared" ca="1" si="1583"/>
        <v>0</v>
      </c>
      <c r="R1105" s="1423">
        <f t="shared" ca="1" si="1584"/>
        <v>0</v>
      </c>
      <c r="S1105" s="1423">
        <f t="shared" ca="1" si="1585"/>
        <v>0</v>
      </c>
      <c r="T1105" s="1423">
        <f t="shared" ca="1" si="1586"/>
        <v>0</v>
      </c>
      <c r="U1105" s="1423">
        <f t="shared" ca="1" si="1587"/>
        <v>0</v>
      </c>
      <c r="V1105" s="1423">
        <f t="shared" ca="1" si="1588"/>
        <v>0</v>
      </c>
      <c r="W1105" s="1423">
        <f t="shared" ca="1" si="1589"/>
        <v>0</v>
      </c>
      <c r="X1105" s="202"/>
      <c r="Y1105" s="202"/>
      <c r="Z1105" s="202"/>
      <c r="AA1105" s="152"/>
      <c r="AB1105" s="152"/>
    </row>
    <row r="1106" spans="1:28" hidden="1" outlineLevel="1">
      <c r="A1106" s="199">
        <f t="shared" si="1590"/>
        <v>12</v>
      </c>
      <c r="B1106" s="190" t="str">
        <f t="shared" ca="1" si="1591"/>
        <v>Depreciated Net Capex 2027-28</v>
      </c>
      <c r="C1106" s="1426"/>
      <c r="D1106" s="1426"/>
      <c r="E1106" s="1426"/>
      <c r="F1106" s="1426"/>
      <c r="G1106" s="1426"/>
      <c r="H1106" s="1426"/>
      <c r="I1106" s="1426"/>
      <c r="J1106" s="1426"/>
      <c r="K1106" s="1426"/>
      <c r="L1106" s="1426"/>
      <c r="M1106" s="1426"/>
      <c r="N1106" s="1427"/>
      <c r="O1106" s="1428">
        <f>O1089</f>
        <v>0</v>
      </c>
      <c r="P1106" s="1423">
        <f ca="1">IF(O1130="n/a",O1106,IFERROR(IF((OFFSET($C1106,0,$A1106))&lt;0,
MIN(0,O1106-(OFFSET($C1106,0,$A1106)/(OFFSET($C1101,-$A1105,$A1106)))),
MAX(0,O1106-(OFFSET($C1106,0,$A1106)/(OFFSET($C1101,-$A1105,$A1106))))),0))</f>
        <v>0</v>
      </c>
      <c r="Q1106" s="1423">
        <f t="shared" ca="1" si="1583"/>
        <v>0</v>
      </c>
      <c r="R1106" s="1423">
        <f t="shared" ca="1" si="1584"/>
        <v>0</v>
      </c>
      <c r="S1106" s="1423">
        <f t="shared" ca="1" si="1585"/>
        <v>0</v>
      </c>
      <c r="T1106" s="1423">
        <f t="shared" ca="1" si="1586"/>
        <v>0</v>
      </c>
      <c r="U1106" s="1423">
        <f t="shared" ca="1" si="1587"/>
        <v>0</v>
      </c>
      <c r="V1106" s="1423">
        <f t="shared" ca="1" si="1588"/>
        <v>0</v>
      </c>
      <c r="W1106" s="1423">
        <f t="shared" ca="1" si="1589"/>
        <v>0</v>
      </c>
      <c r="X1106" s="202"/>
      <c r="Y1106" s="202"/>
      <c r="Z1106" s="202"/>
      <c r="AA1106" s="152"/>
      <c r="AB1106" s="152"/>
    </row>
    <row r="1107" spans="1:28" hidden="1" outlineLevel="1">
      <c r="A1107" s="199">
        <f t="shared" si="1590"/>
        <v>13</v>
      </c>
      <c r="B1107" s="190" t="str">
        <f t="shared" ca="1" si="1591"/>
        <v>Depreciated Net Capex 2028-29</v>
      </c>
      <c r="C1107" s="1426"/>
      <c r="D1107" s="1426"/>
      <c r="E1107" s="1426"/>
      <c r="F1107" s="1426"/>
      <c r="G1107" s="1426"/>
      <c r="H1107" s="1426"/>
      <c r="I1107" s="1426"/>
      <c r="J1107" s="1426"/>
      <c r="K1107" s="1426"/>
      <c r="L1107" s="1426"/>
      <c r="M1107" s="1426"/>
      <c r="N1107" s="1426"/>
      <c r="O1107" s="1427"/>
      <c r="P1107" s="1428">
        <f>P1089</f>
        <v>0</v>
      </c>
      <c r="Q1107" s="1423">
        <f ca="1">IF(P1131="n/a",P1107,IFERROR(IF((OFFSET($C1107,0,$A1107))&lt;0,
MIN(0,P1107-(OFFSET($C1107,0,$A1107)/(OFFSET($C1102,-$A1106,$A1107)))),
MAX(0,P1107-(OFFSET($C1107,0,$A1107)/(OFFSET($C1102,-$A1106,$A1107))))),0))</f>
        <v>0</v>
      </c>
      <c r="R1107" s="1423">
        <f t="shared" ca="1" si="1584"/>
        <v>0</v>
      </c>
      <c r="S1107" s="1423">
        <f t="shared" ca="1" si="1585"/>
        <v>0</v>
      </c>
      <c r="T1107" s="1423">
        <f t="shared" ca="1" si="1586"/>
        <v>0</v>
      </c>
      <c r="U1107" s="1423">
        <f t="shared" ca="1" si="1587"/>
        <v>0</v>
      </c>
      <c r="V1107" s="1423">
        <f t="shared" ca="1" si="1588"/>
        <v>0</v>
      </c>
      <c r="W1107" s="1423">
        <f t="shared" ca="1" si="1589"/>
        <v>0</v>
      </c>
      <c r="X1107" s="202"/>
      <c r="Y1107" s="202"/>
      <c r="Z1107" s="202"/>
      <c r="AA1107" s="152"/>
      <c r="AB1107" s="152"/>
    </row>
    <row r="1108" spans="1:28" hidden="1" outlineLevel="1">
      <c r="A1108" s="199">
        <f t="shared" si="1590"/>
        <v>14</v>
      </c>
      <c r="B1108" s="190" t="str">
        <f t="shared" ca="1" si="1591"/>
        <v>Depreciated Net Capex 2029-30</v>
      </c>
      <c r="C1108" s="1426"/>
      <c r="D1108" s="1426"/>
      <c r="E1108" s="1426"/>
      <c r="F1108" s="1426"/>
      <c r="G1108" s="1426"/>
      <c r="H1108" s="1426"/>
      <c r="I1108" s="1426"/>
      <c r="J1108" s="1426"/>
      <c r="K1108" s="1426"/>
      <c r="L1108" s="1426"/>
      <c r="M1108" s="1426"/>
      <c r="N1108" s="1426"/>
      <c r="O1108" s="1426"/>
      <c r="P1108" s="1427"/>
      <c r="Q1108" s="1428">
        <f>Q1089</f>
        <v>0</v>
      </c>
      <c r="R1108" s="1423">
        <f ca="1">IF(Q1132="n/a",Q1108,IFERROR(IF((OFFSET($C1108,0,$A1108))&lt;0,
MIN(0,Q1108-(OFFSET($C1108,0,$A1108)/(OFFSET($C1103,-$A1107,$A1108)))),
MAX(0,Q1108-(OFFSET($C1108,0,$A1108)/(OFFSET($C1103,-$A1107,$A1108))))),0))</f>
        <v>0</v>
      </c>
      <c r="S1108" s="1423">
        <f t="shared" ca="1" si="1585"/>
        <v>0</v>
      </c>
      <c r="T1108" s="1423">
        <f t="shared" ca="1" si="1586"/>
        <v>0</v>
      </c>
      <c r="U1108" s="1423">
        <f t="shared" ca="1" si="1587"/>
        <v>0</v>
      </c>
      <c r="V1108" s="1423">
        <f t="shared" ca="1" si="1588"/>
        <v>0</v>
      </c>
      <c r="W1108" s="1423">
        <f t="shared" ca="1" si="1589"/>
        <v>0</v>
      </c>
      <c r="X1108" s="202"/>
      <c r="Y1108" s="202"/>
      <c r="Z1108" s="202"/>
      <c r="AA1108" s="152"/>
      <c r="AB1108" s="152"/>
    </row>
    <row r="1109" spans="1:28" hidden="1" outlineLevel="1">
      <c r="A1109" s="199">
        <f t="shared" si="1590"/>
        <v>15</v>
      </c>
      <c r="B1109" s="190" t="str">
        <f t="shared" ca="1" si="1591"/>
        <v>Depreciated Net Capex 2030-31</v>
      </c>
      <c r="C1109" s="1426"/>
      <c r="D1109" s="1426"/>
      <c r="E1109" s="1426"/>
      <c r="F1109" s="1426"/>
      <c r="G1109" s="1426"/>
      <c r="H1109" s="1426"/>
      <c r="I1109" s="1426"/>
      <c r="J1109" s="1426"/>
      <c r="K1109" s="1426"/>
      <c r="L1109" s="1426"/>
      <c r="M1109" s="1426"/>
      <c r="N1109" s="1426"/>
      <c r="O1109" s="1426"/>
      <c r="P1109" s="1426"/>
      <c r="Q1109" s="1427"/>
      <c r="R1109" s="1428">
        <f>R1089</f>
        <v>0</v>
      </c>
      <c r="S1109" s="1423">
        <f ca="1">IF(R1133="n/a",R1109,IFERROR(IF((OFFSET($C1109,0,$A1109))&lt;0,
MIN(0,R1109-(OFFSET($C1109,0,$A1109)/(OFFSET($C1104,-$A1108,$A1109)))),
MAX(0,R1109-(OFFSET($C1109,0,$A1109)/(OFFSET($C1104,-$A1108,$A1109))))),0))</f>
        <v>0</v>
      </c>
      <c r="T1109" s="1423">
        <f t="shared" ca="1" si="1586"/>
        <v>0</v>
      </c>
      <c r="U1109" s="1423">
        <f t="shared" ca="1" si="1587"/>
        <v>0</v>
      </c>
      <c r="V1109" s="1423">
        <f t="shared" ca="1" si="1588"/>
        <v>0</v>
      </c>
      <c r="W1109" s="1423">
        <f t="shared" ca="1" si="1589"/>
        <v>0</v>
      </c>
      <c r="X1109" s="202"/>
      <c r="Y1109" s="202"/>
      <c r="Z1109" s="202"/>
      <c r="AA1109" s="152"/>
      <c r="AB1109" s="152"/>
    </row>
    <row r="1110" spans="1:28" hidden="1" outlineLevel="1">
      <c r="A1110" s="199">
        <f t="shared" si="1590"/>
        <v>16</v>
      </c>
      <c r="B1110" s="190" t="str">
        <f t="shared" ca="1" si="1591"/>
        <v>Depreciated Net Capex 2031-32</v>
      </c>
      <c r="C1110" s="1426"/>
      <c r="D1110" s="1426"/>
      <c r="E1110" s="1426"/>
      <c r="F1110" s="1426"/>
      <c r="G1110" s="1426"/>
      <c r="H1110" s="1426"/>
      <c r="I1110" s="1426"/>
      <c r="J1110" s="1426"/>
      <c r="K1110" s="1426"/>
      <c r="L1110" s="1426"/>
      <c r="M1110" s="1426"/>
      <c r="N1110" s="1426"/>
      <c r="O1110" s="1426"/>
      <c r="P1110" s="1426"/>
      <c r="Q1110" s="1426"/>
      <c r="R1110" s="1427"/>
      <c r="S1110" s="1428">
        <f>S1089</f>
        <v>0</v>
      </c>
      <c r="T1110" s="1423">
        <f ca="1">IF(S1134="n/a",S1110,IFERROR(IF((OFFSET($C1110,0,$A1110))&lt;0,
MIN(0,S1110-(OFFSET($C1110,0,$A1110)/(OFFSET($C1105,-$A1109,$A1110)))),
MAX(0,S1110-(OFFSET($C1110,0,$A1110)/(OFFSET($C1105,-$A1109,$A1110))))),0))</f>
        <v>0</v>
      </c>
      <c r="U1110" s="1423">
        <f t="shared" ca="1" si="1587"/>
        <v>0</v>
      </c>
      <c r="V1110" s="1423">
        <f t="shared" ca="1" si="1588"/>
        <v>0</v>
      </c>
      <c r="W1110" s="1423">
        <f t="shared" ca="1" si="1589"/>
        <v>0</v>
      </c>
      <c r="X1110" s="202"/>
      <c r="Y1110" s="202"/>
      <c r="Z1110" s="202"/>
      <c r="AA1110" s="152"/>
      <c r="AB1110" s="152"/>
    </row>
    <row r="1111" spans="1:28" hidden="1" outlineLevel="1">
      <c r="A1111" s="199">
        <f t="shared" si="1590"/>
        <v>17</v>
      </c>
      <c r="B1111" s="190" t="str">
        <f t="shared" ca="1" si="1591"/>
        <v>Depreciated Net Capex 2032-33</v>
      </c>
      <c r="C1111" s="1426"/>
      <c r="D1111" s="1426"/>
      <c r="E1111" s="1426"/>
      <c r="F1111" s="1426"/>
      <c r="G1111" s="1426"/>
      <c r="H1111" s="1426"/>
      <c r="I1111" s="1426"/>
      <c r="J1111" s="1426"/>
      <c r="K1111" s="1426"/>
      <c r="L1111" s="1426"/>
      <c r="M1111" s="1426"/>
      <c r="N1111" s="1426"/>
      <c r="O1111" s="1426"/>
      <c r="P1111" s="1426"/>
      <c r="Q1111" s="1426"/>
      <c r="R1111" s="1426"/>
      <c r="S1111" s="1427"/>
      <c r="T1111" s="1428">
        <f>T1089</f>
        <v>0</v>
      </c>
      <c r="U1111" s="1423">
        <f ca="1">IF(T1135="n/a",T1111,IFERROR(IF((OFFSET($C1111,0,$A1111))&lt;0,
MIN(0,T1111-(OFFSET($C1111,0,$A1111)/(OFFSET($C1106,-$A1110,$A1111)))),
MAX(0,T1111-(OFFSET($C1111,0,$A1111)/(OFFSET($C1106,-$A1110,$A1111))))),0))</f>
        <v>0</v>
      </c>
      <c r="V1111" s="1423">
        <f t="shared" ca="1" si="1588"/>
        <v>0</v>
      </c>
      <c r="W1111" s="1423">
        <f t="shared" ca="1" si="1589"/>
        <v>0</v>
      </c>
      <c r="X1111" s="202"/>
      <c r="Y1111" s="202"/>
      <c r="Z1111" s="202"/>
      <c r="AA1111" s="152"/>
      <c r="AB1111" s="152"/>
    </row>
    <row r="1112" spans="1:28" hidden="1" outlineLevel="1">
      <c r="A1112" s="199">
        <f t="shared" si="1590"/>
        <v>18</v>
      </c>
      <c r="B1112" s="190" t="str">
        <f t="shared" ca="1" si="1591"/>
        <v>Depreciated Net Capex 2033-34</v>
      </c>
      <c r="C1112" s="1426"/>
      <c r="D1112" s="1426"/>
      <c r="E1112" s="1426"/>
      <c r="F1112" s="1426"/>
      <c r="G1112" s="1426"/>
      <c r="H1112" s="1426"/>
      <c r="I1112" s="1426"/>
      <c r="J1112" s="1426"/>
      <c r="K1112" s="1426"/>
      <c r="L1112" s="1426"/>
      <c r="M1112" s="1426"/>
      <c r="N1112" s="1426"/>
      <c r="O1112" s="1426"/>
      <c r="P1112" s="1426"/>
      <c r="Q1112" s="1426"/>
      <c r="R1112" s="1426"/>
      <c r="S1112" s="1426"/>
      <c r="T1112" s="1427"/>
      <c r="U1112" s="1428">
        <f>U1089</f>
        <v>0</v>
      </c>
      <c r="V1112" s="1423">
        <f ca="1">IF(U1136="n/a",U1112,IFERROR(IF((OFFSET($C1112,0,$A1112))&lt;0,
MIN(0,U1112-(OFFSET($C1112,0,$A1112)/(OFFSET($C1107,-$A1111,$A1112)))),
MAX(0,U1112-(OFFSET($C1112,0,$A1112)/(OFFSET($C1107,-$A1111,$A1112))))),0))</f>
        <v>0</v>
      </c>
      <c r="W1112" s="1423">
        <f t="shared" ca="1" si="1589"/>
        <v>0</v>
      </c>
      <c r="X1112" s="202"/>
      <c r="Y1112" s="202"/>
      <c r="Z1112" s="202"/>
      <c r="AA1112" s="152"/>
      <c r="AB1112" s="152"/>
    </row>
    <row r="1113" spans="1:28" hidden="1" outlineLevel="1">
      <c r="A1113" s="199">
        <f t="shared" si="1590"/>
        <v>19</v>
      </c>
      <c r="B1113" s="190" t="str">
        <f t="shared" ca="1" si="1591"/>
        <v>Depreciated Net Capex 2034-35</v>
      </c>
      <c r="C1113" s="1426"/>
      <c r="D1113" s="1426"/>
      <c r="E1113" s="1426"/>
      <c r="F1113" s="1426"/>
      <c r="G1113" s="1426"/>
      <c r="H1113" s="1426"/>
      <c r="I1113" s="1426"/>
      <c r="J1113" s="1426"/>
      <c r="K1113" s="1426"/>
      <c r="L1113" s="1426"/>
      <c r="M1113" s="1426"/>
      <c r="N1113" s="1426"/>
      <c r="O1113" s="1426"/>
      <c r="P1113" s="1426"/>
      <c r="Q1113" s="1426"/>
      <c r="R1113" s="1426"/>
      <c r="S1113" s="1426"/>
      <c r="T1113" s="1426"/>
      <c r="U1113" s="1427"/>
      <c r="V1113" s="1428">
        <f>V1089</f>
        <v>0</v>
      </c>
      <c r="W1113" s="1423">
        <f ca="1">IF(V1137="n/a",V1113,IFERROR(IF((OFFSET($C1113,0,$A1113))&lt;0,
MIN(0,V1113-(OFFSET($C1113,0,$A1113)/(OFFSET($C1108,-$A1112,$A1113)))),
MAX(0,V1113-(OFFSET($C1113,0,$A1113)/(OFFSET($C1108,-$A1112,$A1113))))),0))</f>
        <v>0</v>
      </c>
      <c r="X1113" s="202"/>
      <c r="Y1113" s="202"/>
      <c r="Z1113" s="202"/>
      <c r="AA1113" s="152"/>
      <c r="AB1113" s="152"/>
    </row>
    <row r="1114" spans="1:28" hidden="1" outlineLevel="1">
      <c r="A1114" s="199">
        <f t="shared" si="1590"/>
        <v>20</v>
      </c>
      <c r="B1114" s="190" t="str">
        <f t="shared" ca="1" si="1591"/>
        <v>Depreciated Net Capex 2035-36</v>
      </c>
      <c r="C1114" s="1426"/>
      <c r="D1114" s="1426"/>
      <c r="E1114" s="1426"/>
      <c r="F1114" s="1426"/>
      <c r="G1114" s="1426"/>
      <c r="H1114" s="1426"/>
      <c r="I1114" s="1426"/>
      <c r="J1114" s="1426"/>
      <c r="K1114" s="1426"/>
      <c r="L1114" s="1426"/>
      <c r="M1114" s="1426"/>
      <c r="N1114" s="1426"/>
      <c r="O1114" s="1426"/>
      <c r="P1114" s="1426"/>
      <c r="Q1114" s="1426"/>
      <c r="R1114" s="1426"/>
      <c r="S1114" s="1426"/>
      <c r="T1114" s="1426"/>
      <c r="U1114" s="1426"/>
      <c r="V1114" s="1427"/>
      <c r="W1114" s="1423">
        <f>W1089</f>
        <v>0</v>
      </c>
      <c r="X1114" s="152"/>
      <c r="Y1114" s="152"/>
      <c r="Z1114" s="152"/>
      <c r="AA1114" s="152"/>
      <c r="AB1114" s="152"/>
    </row>
    <row r="1115" spans="1:28" hidden="1" outlineLevel="1">
      <c r="A1115" s="152"/>
      <c r="B1115" s="200"/>
      <c r="C1115" s="1423"/>
      <c r="D1115" s="1423"/>
      <c r="E1115" s="1423"/>
      <c r="F1115" s="1423"/>
      <c r="G1115" s="1423"/>
      <c r="H1115" s="1423"/>
      <c r="I1115" s="1423"/>
      <c r="J1115" s="1423"/>
      <c r="K1115" s="1423"/>
      <c r="L1115" s="1423"/>
      <c r="M1115" s="1423"/>
      <c r="N1115" s="1423"/>
      <c r="O1115" s="1423"/>
      <c r="P1115" s="1423"/>
      <c r="Q1115" s="1423"/>
      <c r="R1115" s="1423"/>
      <c r="S1115" s="1423"/>
      <c r="T1115" s="1423"/>
      <c r="U1115" s="1423"/>
      <c r="V1115" s="1423"/>
      <c r="W1115" s="1423"/>
      <c r="X1115" s="152"/>
      <c r="Y1115" s="152"/>
      <c r="Z1115" s="152"/>
      <c r="AA1115" s="152"/>
      <c r="AB1115" s="152"/>
    </row>
    <row r="1116" spans="1:28" hidden="1" outlineLevel="1">
      <c r="A1116" s="152"/>
      <c r="B1116" s="200"/>
      <c r="C1116" s="1423"/>
      <c r="D1116" s="1423"/>
      <c r="E1116" s="1423"/>
      <c r="F1116" s="1423"/>
      <c r="G1116" s="1423"/>
      <c r="H1116" s="1423"/>
      <c r="I1116" s="1423"/>
      <c r="J1116" s="1423"/>
      <c r="K1116" s="1423"/>
      <c r="L1116" s="1423"/>
      <c r="M1116" s="1423"/>
      <c r="N1116" s="1423"/>
      <c r="O1116" s="1423"/>
      <c r="P1116" s="1423"/>
      <c r="Q1116" s="1423"/>
      <c r="R1116" s="1423"/>
      <c r="S1116" s="1423"/>
      <c r="T1116" s="1423"/>
      <c r="U1116" s="1423"/>
      <c r="V1116" s="1423"/>
      <c r="W1116" s="1423"/>
      <c r="X1116" s="152"/>
      <c r="Y1116" s="152"/>
      <c r="Z1116" s="152"/>
      <c r="AA1116" s="152"/>
      <c r="AB1116" s="152"/>
    </row>
    <row r="1117" spans="1:28" hidden="1" outlineLevel="1">
      <c r="A1117" s="152"/>
      <c r="B1117" s="190" t="s">
        <v>194</v>
      </c>
      <c r="C1117" s="1423"/>
      <c r="D1117" s="1423">
        <f t="shared" ref="D1117" ca="1" si="1592">IF(AND(C1117&lt;1,D1091=0),0,
IF(D1091=0,C1117-1,
IF(C1117&lt;1,D1092,
(((C1117-1)*(C1093-(C1093/(C1117))))+(D1091*D1092))/(D1093))))</f>
        <v>0</v>
      </c>
      <c r="E1117" s="1423">
        <f t="shared" ref="E1117" ca="1" si="1593">IF(AND(D1117&lt;1,E1091=0),0,
IF(E1091=0,D1117-1,
IF(D1117&lt;1,E1092,
(((D1117-1)*(D1093-(D1093/(D1117))))+(E1091*E1092))/(E1093))))</f>
        <v>0</v>
      </c>
      <c r="F1117" s="1423">
        <f t="shared" ref="F1117" ca="1" si="1594">IF(AND(E1117&lt;1,F1091=0),0,
IF(F1091=0,E1117-1,
IF(E1117&lt;1,F1092,
(((E1117-1)*(E1093-(E1093/(E1117))))+(F1091*F1092))/(F1093))))</f>
        <v>0</v>
      </c>
      <c r="G1117" s="1423">
        <f t="shared" ref="G1117" ca="1" si="1595">IF(AND(F1117&lt;1,G1091=0),0,
IF(G1091=0,F1117-1,
IF(F1117&lt;1,G1092,
(((F1117-1)*(F1093-(F1093/(F1117))))+(G1091*G1092))/(G1093))))</f>
        <v>0</v>
      </c>
      <c r="H1117" s="1423">
        <f ca="1">IF(AND(G1117&lt;1,H1091=0),0,
IF(H1091=0,G1117-1,
IF(G1117&lt;1,H1092,
(((G1117-1)*(G1093-(G1093/(G1117))))+(H1091*H1092))/(H1093))))</f>
        <v>0</v>
      </c>
      <c r="I1117" s="1423">
        <f t="shared" ref="I1117" ca="1" si="1596">IF(AND(H1117&lt;1,I1091=0),0,
IF(I1091=0,H1117-1,
IF(H1117&lt;1,I1092,
(((H1117-1)*(H1093-(H1093/(H1117))))+(I1091*I1092))/(I1093))))</f>
        <v>0</v>
      </c>
      <c r="J1117" s="1423">
        <f t="shared" ref="J1117" ca="1" si="1597">IF(AND(I1117&lt;1,J1091=0),0,
IF(J1091=0,I1117-1,
IF(I1117&lt;1,J1092,
(((I1117-1)*(I1093-(I1093/(I1117))))+(J1091*J1092))/(J1093))))</f>
        <v>0</v>
      </c>
      <c r="K1117" s="1423">
        <f t="shared" ref="K1117" ca="1" si="1598">IF(AND(J1117&lt;1,K1091=0),0,
IF(K1091=0,J1117-1,
IF(J1117&lt;1,K1092,
(((J1117-1)*(J1093-(J1093/(J1117))))+(K1091*K1092))/(K1093))))</f>
        <v>0</v>
      </c>
      <c r="L1117" s="1423">
        <f t="shared" ref="L1117" ca="1" si="1599">IF(AND(K1117&lt;1,L1091=0),0,
IF(L1091=0,K1117-1,
IF(K1117&lt;1,L1092,
(((K1117-1)*(K1093-(K1093/(K1117))))+(L1091*L1092))/(L1093))))</f>
        <v>0</v>
      </c>
      <c r="M1117" s="1423">
        <f ca="1">IF(AND(L1117&lt;1,M1091=0),0,
IF(M1091=0,L1117-1,
IF(L1117&lt;1,M1092,
(((L1117-1)*(L1093-(L1093/(L1117))))+(M1091*M1092))/(M1093))))</f>
        <v>0</v>
      </c>
      <c r="N1117" s="1423">
        <f t="shared" ref="N1117" ca="1" si="1600">IF(AND(M1117&lt;1,N1091=0),0,
IF(N1091=0,M1117-1,
IF(M1117&lt;1,N1092,
(((M1117-1)*(M1093-(M1093/(M1117))))+(N1091*N1092))/(N1093))))</f>
        <v>0</v>
      </c>
      <c r="O1117" s="1423">
        <f t="shared" ref="O1117" ca="1" si="1601">IF(AND(N1117&lt;1,O1091=0),0,
IF(O1091=0,N1117-1,
IF(N1117&lt;1,O1092,
(((N1117-1)*(N1093-(N1093/(N1117))))+(O1091*O1092))/(O1093))))</f>
        <v>0</v>
      </c>
      <c r="P1117" s="1423">
        <f t="shared" ref="P1117" ca="1" si="1602">IF(AND(O1117&lt;1,P1091=0),0,
IF(P1091=0,O1117-1,
IF(O1117&lt;1,P1092,
(((O1117-1)*(O1093-(O1093/(O1117))))+(P1091*P1092))/(P1093))))</f>
        <v>0</v>
      </c>
      <c r="Q1117" s="1423">
        <f t="shared" ref="Q1117" ca="1" si="1603">IF(AND(P1117&lt;1,Q1091=0),0,
IF(Q1091=0,P1117-1,
IF(P1117&lt;1,Q1092,
(((P1117-1)*(P1093-(P1093/(P1117))))+(Q1091*Q1092))/(Q1093))))</f>
        <v>0</v>
      </c>
      <c r="R1117" s="1423">
        <f t="shared" ref="R1117" ca="1" si="1604">IF(AND(Q1117&lt;1,R1091=0),0,
IF(R1091=0,Q1117-1,
IF(Q1117&lt;1,R1092,
(((Q1117-1)*(Q1093-(Q1093/(Q1117))))+(R1091*R1092))/(R1093))))</f>
        <v>0</v>
      </c>
      <c r="S1117" s="1423">
        <f t="shared" ref="S1117" ca="1" si="1605">IF(AND(R1117&lt;1,S1091=0),0,
IF(S1091=0,R1117-1,
IF(R1117&lt;1,S1092,
(((R1117-1)*(R1093-(R1093/(R1117))))+(S1091*S1092))/(S1093))))</f>
        <v>0</v>
      </c>
      <c r="T1117" s="1423">
        <f t="shared" ref="T1117" ca="1" si="1606">IF(AND(S1117&lt;1,T1091=0),0,
IF(T1091=0,S1117-1,
IF(S1117&lt;1,T1092,
(((S1117-1)*(S1093-(S1093/(S1117))))+(T1091*T1092))/(T1093))))</f>
        <v>0</v>
      </c>
      <c r="U1117" s="1423">
        <f t="shared" ref="U1117" ca="1" si="1607">IF(AND(T1117&lt;1,U1091=0),0,
IF(U1091=0,T1117-1,
IF(T1117&lt;1,U1092,
(((T1117-1)*(T1093-(T1093/(T1117))))+(U1091*U1092))/(U1093))))</f>
        <v>0</v>
      </c>
      <c r="V1117" s="1423">
        <f t="shared" ref="V1117" ca="1" si="1608">IF(AND(U1117&lt;1,V1091=0),0,
IF(V1091=0,U1117-1,
IF(U1117&lt;1,V1092,
(((U1117-1)*(U1093-(U1093/(U1117))))+(V1091*V1092))/(V1093))))</f>
        <v>0</v>
      </c>
      <c r="W1117" s="1423">
        <f t="shared" ref="W1117" ca="1" si="1609">IF(AND(V1117&lt;1,W1091=0),0,
IF(W1091=0,V1117-1,
IF(V1117&lt;1,W1092,
(((V1117-1)*(V1093-(V1093/(V1117))))+(W1091*W1092))/(W1093))))</f>
        <v>0</v>
      </c>
      <c r="X1117" s="152"/>
      <c r="Y1117" s="152"/>
      <c r="Z1117" s="152"/>
      <c r="AA1117" s="152"/>
      <c r="AB1117" s="152"/>
    </row>
    <row r="1118" spans="1:28" hidden="1" outlineLevel="1">
      <c r="A1118" s="152"/>
      <c r="B1118" s="190" t="s">
        <v>193</v>
      </c>
      <c r="C1118" s="1423">
        <f ca="1">C1090</f>
        <v>0</v>
      </c>
      <c r="D1118" s="1423">
        <f t="shared" ref="D1118" ca="1" si="1610">IF(C1118="n/a","n/a",MAX(0,C1118-1))</f>
        <v>0</v>
      </c>
      <c r="E1118" s="1423">
        <f t="shared" ref="E1118:E1119" ca="1" si="1611">IF(D1118="n/a","n/a",MAX(0,D1118-1))</f>
        <v>0</v>
      </c>
      <c r="F1118" s="1423">
        <f t="shared" ref="F1118:F1120" ca="1" si="1612">IF(E1118="n/a","n/a",MAX(0,E1118-1))</f>
        <v>0</v>
      </c>
      <c r="G1118" s="1423">
        <f t="shared" ref="G1118:G1121" ca="1" si="1613">IF(F1118="n/a","n/a",MAX(0,F1118-1))</f>
        <v>0</v>
      </c>
      <c r="H1118" s="1423">
        <f t="shared" ref="H1118:H1122" ca="1" si="1614">IF(G1118="n/a","n/a",MAX(0,G1118-1))</f>
        <v>0</v>
      </c>
      <c r="I1118" s="1423">
        <f t="shared" ref="I1118:I1123" ca="1" si="1615">IF(H1118="n/a","n/a",MAX(0,H1118-1))</f>
        <v>0</v>
      </c>
      <c r="J1118" s="1423">
        <f t="shared" ref="J1118:J1124" ca="1" si="1616">IF(I1118="n/a","n/a",MAX(0,I1118-1))</f>
        <v>0</v>
      </c>
      <c r="K1118" s="1423">
        <f t="shared" ref="K1118:K1125" ca="1" si="1617">IF(J1118="n/a","n/a",MAX(0,J1118-1))</f>
        <v>0</v>
      </c>
      <c r="L1118" s="1423">
        <f t="shared" ref="L1118:L1126" ca="1" si="1618">IF(K1118="n/a","n/a",MAX(0,K1118-1))</f>
        <v>0</v>
      </c>
      <c r="M1118" s="1423">
        <f t="shared" ref="M1118:M1127" ca="1" si="1619">IF(L1118="n/a","n/a",MAX(0,L1118-1))</f>
        <v>0</v>
      </c>
      <c r="N1118" s="1423">
        <f t="shared" ref="N1118:N1128" ca="1" si="1620">IF(M1118="n/a","n/a",MAX(0,M1118-1))</f>
        <v>0</v>
      </c>
      <c r="O1118" s="1423">
        <f t="shared" ref="O1118:O1129" ca="1" si="1621">IF(N1118="n/a","n/a",MAX(0,N1118-1))</f>
        <v>0</v>
      </c>
      <c r="P1118" s="1423">
        <f t="shared" ref="P1118:P1130" ca="1" si="1622">IF(O1118="n/a","n/a",MAX(0,O1118-1))</f>
        <v>0</v>
      </c>
      <c r="Q1118" s="1423">
        <f t="shared" ref="Q1118:Q1131" ca="1" si="1623">IF(P1118="n/a","n/a",MAX(0,P1118-1))</f>
        <v>0</v>
      </c>
      <c r="R1118" s="1423">
        <f t="shared" ref="R1118:R1132" ca="1" si="1624">IF(Q1118="n/a","n/a",MAX(0,Q1118-1))</f>
        <v>0</v>
      </c>
      <c r="S1118" s="1423">
        <f t="shared" ref="S1118:S1133" ca="1" si="1625">IF(R1118="n/a","n/a",MAX(0,R1118-1))</f>
        <v>0</v>
      </c>
      <c r="T1118" s="1423">
        <f t="shared" ref="T1118:T1134" ca="1" si="1626">IF(S1118="n/a","n/a",MAX(0,S1118-1))</f>
        <v>0</v>
      </c>
      <c r="U1118" s="1423">
        <f t="shared" ref="U1118:U1135" ca="1" si="1627">IF(T1118="n/a","n/a",MAX(0,T1118-1))</f>
        <v>0</v>
      </c>
      <c r="V1118" s="1423">
        <f t="shared" ref="V1118:V1136" ca="1" si="1628">IF(U1118="n/a","n/a",MAX(0,U1118-1))</f>
        <v>0</v>
      </c>
      <c r="W1118" s="1423">
        <f t="shared" ref="W1118:W1136" ca="1" si="1629">IF(V1118="n/a","n/a",MAX(0,V1118-1))</f>
        <v>0</v>
      </c>
      <c r="X1118" s="152"/>
      <c r="Y1118" s="152"/>
      <c r="Z1118" s="152"/>
      <c r="AA1118" s="152"/>
      <c r="AB1118" s="152"/>
    </row>
    <row r="1119" spans="1:28" hidden="1" outlineLevel="1">
      <c r="A1119" s="152"/>
      <c r="B1119" s="190" t="str">
        <f t="shared" ref="B1119:B1138" ca="1" si="1630">"RL Capex "&amp;OFFSET($C$6,0,A1095)</f>
        <v>RL Capex 2016-17</v>
      </c>
      <c r="C1119" s="1424"/>
      <c r="D1119" s="1428">
        <f>D1090</f>
        <v>0</v>
      </c>
      <c r="E1119" s="1423">
        <f t="shared" si="1611"/>
        <v>0</v>
      </c>
      <c r="F1119" s="1423">
        <f t="shared" si="1612"/>
        <v>0</v>
      </c>
      <c r="G1119" s="1423">
        <f t="shared" si="1613"/>
        <v>0</v>
      </c>
      <c r="H1119" s="1423">
        <f t="shared" si="1614"/>
        <v>0</v>
      </c>
      <c r="I1119" s="1423">
        <f t="shared" si="1615"/>
        <v>0</v>
      </c>
      <c r="J1119" s="1423">
        <f t="shared" si="1616"/>
        <v>0</v>
      </c>
      <c r="K1119" s="1423">
        <f t="shared" si="1617"/>
        <v>0</v>
      </c>
      <c r="L1119" s="1423">
        <f t="shared" si="1618"/>
        <v>0</v>
      </c>
      <c r="M1119" s="1423">
        <f t="shared" si="1619"/>
        <v>0</v>
      </c>
      <c r="N1119" s="1423">
        <f t="shared" si="1620"/>
        <v>0</v>
      </c>
      <c r="O1119" s="1423">
        <f t="shared" si="1621"/>
        <v>0</v>
      </c>
      <c r="P1119" s="1423">
        <f t="shared" si="1622"/>
        <v>0</v>
      </c>
      <c r="Q1119" s="1423">
        <f t="shared" si="1623"/>
        <v>0</v>
      </c>
      <c r="R1119" s="1423">
        <f t="shared" si="1624"/>
        <v>0</v>
      </c>
      <c r="S1119" s="1423">
        <f t="shared" si="1625"/>
        <v>0</v>
      </c>
      <c r="T1119" s="1423">
        <f t="shared" si="1626"/>
        <v>0</v>
      </c>
      <c r="U1119" s="1423">
        <f t="shared" si="1627"/>
        <v>0</v>
      </c>
      <c r="V1119" s="1423">
        <f t="shared" si="1628"/>
        <v>0</v>
      </c>
      <c r="W1119" s="1423">
        <f t="shared" si="1629"/>
        <v>0</v>
      </c>
      <c r="X1119" s="152"/>
      <c r="Y1119" s="152"/>
      <c r="Z1119" s="152"/>
      <c r="AA1119" s="152"/>
      <c r="AB1119" s="152"/>
    </row>
    <row r="1120" spans="1:28" hidden="1" outlineLevel="1">
      <c r="A1120" s="152"/>
      <c r="B1120" s="190" t="str">
        <f t="shared" ca="1" si="1630"/>
        <v>RL Capex 2017-18</v>
      </c>
      <c r="C1120" s="1429"/>
      <c r="D1120" s="1424"/>
      <c r="E1120" s="1428">
        <f>E1090</f>
        <v>0</v>
      </c>
      <c r="F1120" s="1423">
        <f t="shared" si="1612"/>
        <v>0</v>
      </c>
      <c r="G1120" s="1423">
        <f t="shared" si="1613"/>
        <v>0</v>
      </c>
      <c r="H1120" s="1423">
        <f t="shared" si="1614"/>
        <v>0</v>
      </c>
      <c r="I1120" s="1423">
        <f t="shared" si="1615"/>
        <v>0</v>
      </c>
      <c r="J1120" s="1423">
        <f t="shared" si="1616"/>
        <v>0</v>
      </c>
      <c r="K1120" s="1423">
        <f t="shared" si="1617"/>
        <v>0</v>
      </c>
      <c r="L1120" s="1423">
        <f t="shared" si="1618"/>
        <v>0</v>
      </c>
      <c r="M1120" s="1423">
        <f t="shared" si="1619"/>
        <v>0</v>
      </c>
      <c r="N1120" s="1423">
        <f t="shared" si="1620"/>
        <v>0</v>
      </c>
      <c r="O1120" s="1423">
        <f t="shared" si="1621"/>
        <v>0</v>
      </c>
      <c r="P1120" s="1423">
        <f t="shared" si="1622"/>
        <v>0</v>
      </c>
      <c r="Q1120" s="1423">
        <f t="shared" si="1623"/>
        <v>0</v>
      </c>
      <c r="R1120" s="1423">
        <f t="shared" si="1624"/>
        <v>0</v>
      </c>
      <c r="S1120" s="1423">
        <f t="shared" si="1625"/>
        <v>0</v>
      </c>
      <c r="T1120" s="1423">
        <f t="shared" si="1626"/>
        <v>0</v>
      </c>
      <c r="U1120" s="1423">
        <f t="shared" si="1627"/>
        <v>0</v>
      </c>
      <c r="V1120" s="1423">
        <f t="shared" si="1628"/>
        <v>0</v>
      </c>
      <c r="W1120" s="1423">
        <f t="shared" si="1629"/>
        <v>0</v>
      </c>
      <c r="X1120" s="152"/>
      <c r="Y1120" s="152"/>
      <c r="Z1120" s="152"/>
      <c r="AA1120" s="152"/>
      <c r="AB1120" s="152"/>
    </row>
    <row r="1121" spans="1:28" hidden="1" outlineLevel="1">
      <c r="A1121" s="152"/>
      <c r="B1121" s="190" t="str">
        <f t="shared" ca="1" si="1630"/>
        <v>RL Capex 2018-19</v>
      </c>
      <c r="C1121" s="1429"/>
      <c r="D1121" s="1429"/>
      <c r="E1121" s="1424"/>
      <c r="F1121" s="1428">
        <f>F1090</f>
        <v>0</v>
      </c>
      <c r="G1121" s="1423">
        <f t="shared" si="1613"/>
        <v>0</v>
      </c>
      <c r="H1121" s="1423">
        <f t="shared" si="1614"/>
        <v>0</v>
      </c>
      <c r="I1121" s="1423">
        <f t="shared" si="1615"/>
        <v>0</v>
      </c>
      <c r="J1121" s="1423">
        <f t="shared" si="1616"/>
        <v>0</v>
      </c>
      <c r="K1121" s="1423">
        <f t="shared" si="1617"/>
        <v>0</v>
      </c>
      <c r="L1121" s="1423">
        <f t="shared" si="1618"/>
        <v>0</v>
      </c>
      <c r="M1121" s="1423">
        <f t="shared" si="1619"/>
        <v>0</v>
      </c>
      <c r="N1121" s="1423">
        <f t="shared" si="1620"/>
        <v>0</v>
      </c>
      <c r="O1121" s="1423">
        <f t="shared" si="1621"/>
        <v>0</v>
      </c>
      <c r="P1121" s="1423">
        <f t="shared" si="1622"/>
        <v>0</v>
      </c>
      <c r="Q1121" s="1423">
        <f t="shared" si="1623"/>
        <v>0</v>
      </c>
      <c r="R1121" s="1423">
        <f t="shared" si="1624"/>
        <v>0</v>
      </c>
      <c r="S1121" s="1423">
        <f t="shared" si="1625"/>
        <v>0</v>
      </c>
      <c r="T1121" s="1423">
        <f t="shared" si="1626"/>
        <v>0</v>
      </c>
      <c r="U1121" s="1423">
        <f t="shared" si="1627"/>
        <v>0</v>
      </c>
      <c r="V1121" s="1423">
        <f t="shared" si="1628"/>
        <v>0</v>
      </c>
      <c r="W1121" s="1423">
        <f t="shared" si="1629"/>
        <v>0</v>
      </c>
      <c r="X1121" s="152"/>
      <c r="Y1121" s="152"/>
      <c r="Z1121" s="152"/>
      <c r="AA1121" s="152"/>
      <c r="AB1121" s="152"/>
    </row>
    <row r="1122" spans="1:28" hidden="1" outlineLevel="1">
      <c r="A1122" s="152"/>
      <c r="B1122" s="190" t="str">
        <f t="shared" ca="1" si="1630"/>
        <v>RL Capex 2019-20</v>
      </c>
      <c r="C1122" s="1429"/>
      <c r="D1122" s="1429"/>
      <c r="E1122" s="1429"/>
      <c r="F1122" s="1424"/>
      <c r="G1122" s="1428">
        <f>G1090</f>
        <v>0</v>
      </c>
      <c r="H1122" s="1423">
        <f t="shared" si="1614"/>
        <v>0</v>
      </c>
      <c r="I1122" s="1423">
        <f t="shared" si="1615"/>
        <v>0</v>
      </c>
      <c r="J1122" s="1423">
        <f t="shared" si="1616"/>
        <v>0</v>
      </c>
      <c r="K1122" s="1423">
        <f t="shared" si="1617"/>
        <v>0</v>
      </c>
      <c r="L1122" s="1423">
        <f t="shared" si="1618"/>
        <v>0</v>
      </c>
      <c r="M1122" s="1423">
        <f t="shared" si="1619"/>
        <v>0</v>
      </c>
      <c r="N1122" s="1423">
        <f t="shared" si="1620"/>
        <v>0</v>
      </c>
      <c r="O1122" s="1423">
        <f t="shared" si="1621"/>
        <v>0</v>
      </c>
      <c r="P1122" s="1423">
        <f t="shared" si="1622"/>
        <v>0</v>
      </c>
      <c r="Q1122" s="1423">
        <f t="shared" si="1623"/>
        <v>0</v>
      </c>
      <c r="R1122" s="1423">
        <f t="shared" si="1624"/>
        <v>0</v>
      </c>
      <c r="S1122" s="1423">
        <f t="shared" si="1625"/>
        <v>0</v>
      </c>
      <c r="T1122" s="1423">
        <f t="shared" si="1626"/>
        <v>0</v>
      </c>
      <c r="U1122" s="1423">
        <f t="shared" si="1627"/>
        <v>0</v>
      </c>
      <c r="V1122" s="1423">
        <f t="shared" si="1628"/>
        <v>0</v>
      </c>
      <c r="W1122" s="1423">
        <f t="shared" si="1629"/>
        <v>0</v>
      </c>
      <c r="X1122" s="152"/>
      <c r="Y1122" s="152"/>
      <c r="Z1122" s="152"/>
      <c r="AA1122" s="152"/>
      <c r="AB1122" s="152"/>
    </row>
    <row r="1123" spans="1:28" hidden="1" outlineLevel="1">
      <c r="A1123" s="152"/>
      <c r="B1123" s="190" t="str">
        <f t="shared" ca="1" si="1630"/>
        <v>RL Capex 2020-21</v>
      </c>
      <c r="C1123" s="1429"/>
      <c r="D1123" s="1429"/>
      <c r="E1123" s="1429"/>
      <c r="F1123" s="1429"/>
      <c r="G1123" s="1424"/>
      <c r="H1123" s="1428">
        <f>H1090</f>
        <v>0</v>
      </c>
      <c r="I1123" s="1423">
        <f t="shared" si="1615"/>
        <v>0</v>
      </c>
      <c r="J1123" s="1423">
        <f t="shared" si="1616"/>
        <v>0</v>
      </c>
      <c r="K1123" s="1423">
        <f t="shared" si="1617"/>
        <v>0</v>
      </c>
      <c r="L1123" s="1423">
        <f t="shared" si="1618"/>
        <v>0</v>
      </c>
      <c r="M1123" s="1423">
        <f t="shared" si="1619"/>
        <v>0</v>
      </c>
      <c r="N1123" s="1423">
        <f t="shared" si="1620"/>
        <v>0</v>
      </c>
      <c r="O1123" s="1423">
        <f t="shared" si="1621"/>
        <v>0</v>
      </c>
      <c r="P1123" s="1423">
        <f t="shared" si="1622"/>
        <v>0</v>
      </c>
      <c r="Q1123" s="1423">
        <f t="shared" si="1623"/>
        <v>0</v>
      </c>
      <c r="R1123" s="1423">
        <f t="shared" si="1624"/>
        <v>0</v>
      </c>
      <c r="S1123" s="1423">
        <f t="shared" si="1625"/>
        <v>0</v>
      </c>
      <c r="T1123" s="1423">
        <f t="shared" si="1626"/>
        <v>0</v>
      </c>
      <c r="U1123" s="1423">
        <f t="shared" si="1627"/>
        <v>0</v>
      </c>
      <c r="V1123" s="1423">
        <f t="shared" si="1628"/>
        <v>0</v>
      </c>
      <c r="W1123" s="1423">
        <f t="shared" si="1629"/>
        <v>0</v>
      </c>
      <c r="X1123" s="152"/>
      <c r="Y1123" s="152"/>
      <c r="Z1123" s="152"/>
      <c r="AA1123" s="152"/>
      <c r="AB1123" s="152"/>
    </row>
    <row r="1124" spans="1:28" hidden="1" outlineLevel="1">
      <c r="A1124" s="152"/>
      <c r="B1124" s="190" t="str">
        <f t="shared" ca="1" si="1630"/>
        <v>RL Capex 2021-22</v>
      </c>
      <c r="C1124" s="1429"/>
      <c r="D1124" s="1429"/>
      <c r="E1124" s="1429"/>
      <c r="F1124" s="1429"/>
      <c r="G1124" s="1429"/>
      <c r="H1124" s="1424"/>
      <c r="I1124" s="1428">
        <f>I1090</f>
        <v>0</v>
      </c>
      <c r="J1124" s="1423">
        <f t="shared" si="1616"/>
        <v>0</v>
      </c>
      <c r="K1124" s="1423">
        <f t="shared" si="1617"/>
        <v>0</v>
      </c>
      <c r="L1124" s="1423">
        <f t="shared" si="1618"/>
        <v>0</v>
      </c>
      <c r="M1124" s="1423">
        <f t="shared" si="1619"/>
        <v>0</v>
      </c>
      <c r="N1124" s="1423">
        <f t="shared" si="1620"/>
        <v>0</v>
      </c>
      <c r="O1124" s="1423">
        <f t="shared" si="1621"/>
        <v>0</v>
      </c>
      <c r="P1124" s="1423">
        <f t="shared" si="1622"/>
        <v>0</v>
      </c>
      <c r="Q1124" s="1423">
        <f t="shared" si="1623"/>
        <v>0</v>
      </c>
      <c r="R1124" s="1423">
        <f t="shared" si="1624"/>
        <v>0</v>
      </c>
      <c r="S1124" s="1423">
        <f t="shared" si="1625"/>
        <v>0</v>
      </c>
      <c r="T1124" s="1423">
        <f t="shared" si="1626"/>
        <v>0</v>
      </c>
      <c r="U1124" s="1423">
        <f t="shared" si="1627"/>
        <v>0</v>
      </c>
      <c r="V1124" s="1423">
        <f t="shared" si="1628"/>
        <v>0</v>
      </c>
      <c r="W1124" s="1423">
        <f t="shared" si="1629"/>
        <v>0</v>
      </c>
      <c r="X1124" s="152"/>
      <c r="Y1124" s="152"/>
      <c r="Z1124" s="152"/>
      <c r="AA1124" s="152"/>
      <c r="AB1124" s="152"/>
    </row>
    <row r="1125" spans="1:28" hidden="1" outlineLevel="1">
      <c r="A1125" s="152"/>
      <c r="B1125" s="190" t="str">
        <f t="shared" ca="1" si="1630"/>
        <v>RL Capex 2022-23</v>
      </c>
      <c r="C1125" s="1429"/>
      <c r="D1125" s="1429"/>
      <c r="E1125" s="1429"/>
      <c r="F1125" s="1429"/>
      <c r="G1125" s="1429"/>
      <c r="H1125" s="1429"/>
      <c r="I1125" s="1424"/>
      <c r="J1125" s="1428">
        <f>J1090</f>
        <v>0</v>
      </c>
      <c r="K1125" s="1423">
        <f t="shared" si="1617"/>
        <v>0</v>
      </c>
      <c r="L1125" s="1423">
        <f t="shared" si="1618"/>
        <v>0</v>
      </c>
      <c r="M1125" s="1423">
        <f t="shared" si="1619"/>
        <v>0</v>
      </c>
      <c r="N1125" s="1423">
        <f t="shared" si="1620"/>
        <v>0</v>
      </c>
      <c r="O1125" s="1423">
        <f t="shared" si="1621"/>
        <v>0</v>
      </c>
      <c r="P1125" s="1423">
        <f t="shared" si="1622"/>
        <v>0</v>
      </c>
      <c r="Q1125" s="1423">
        <f t="shared" si="1623"/>
        <v>0</v>
      </c>
      <c r="R1125" s="1423">
        <f t="shared" si="1624"/>
        <v>0</v>
      </c>
      <c r="S1125" s="1423">
        <f t="shared" si="1625"/>
        <v>0</v>
      </c>
      <c r="T1125" s="1423">
        <f t="shared" si="1626"/>
        <v>0</v>
      </c>
      <c r="U1125" s="1423">
        <f t="shared" si="1627"/>
        <v>0</v>
      </c>
      <c r="V1125" s="1423">
        <f t="shared" si="1628"/>
        <v>0</v>
      </c>
      <c r="W1125" s="1423">
        <f t="shared" si="1629"/>
        <v>0</v>
      </c>
      <c r="X1125" s="152"/>
      <c r="Y1125" s="152"/>
      <c r="Z1125" s="152"/>
      <c r="AA1125" s="152"/>
      <c r="AB1125" s="152"/>
    </row>
    <row r="1126" spans="1:28" hidden="1" outlineLevel="1">
      <c r="A1126" s="152"/>
      <c r="B1126" s="190" t="str">
        <f t="shared" ca="1" si="1630"/>
        <v>RL Capex 2023-24</v>
      </c>
      <c r="C1126" s="1429"/>
      <c r="D1126" s="1429"/>
      <c r="E1126" s="1429"/>
      <c r="F1126" s="1429"/>
      <c r="G1126" s="1429"/>
      <c r="H1126" s="1429"/>
      <c r="I1126" s="1429"/>
      <c r="J1126" s="1424"/>
      <c r="K1126" s="1428">
        <f>K1090</f>
        <v>0</v>
      </c>
      <c r="L1126" s="1423">
        <f t="shared" si="1618"/>
        <v>0</v>
      </c>
      <c r="M1126" s="1423">
        <f t="shared" si="1619"/>
        <v>0</v>
      </c>
      <c r="N1126" s="1423">
        <f t="shared" si="1620"/>
        <v>0</v>
      </c>
      <c r="O1126" s="1423">
        <f t="shared" si="1621"/>
        <v>0</v>
      </c>
      <c r="P1126" s="1423">
        <f t="shared" si="1622"/>
        <v>0</v>
      </c>
      <c r="Q1126" s="1423">
        <f t="shared" si="1623"/>
        <v>0</v>
      </c>
      <c r="R1126" s="1423">
        <f t="shared" si="1624"/>
        <v>0</v>
      </c>
      <c r="S1126" s="1423">
        <f t="shared" si="1625"/>
        <v>0</v>
      </c>
      <c r="T1126" s="1423">
        <f t="shared" si="1626"/>
        <v>0</v>
      </c>
      <c r="U1126" s="1423">
        <f t="shared" si="1627"/>
        <v>0</v>
      </c>
      <c r="V1126" s="1423">
        <f t="shared" si="1628"/>
        <v>0</v>
      </c>
      <c r="W1126" s="1423">
        <f t="shared" si="1629"/>
        <v>0</v>
      </c>
      <c r="X1126" s="152"/>
      <c r="Y1126" s="152"/>
      <c r="Z1126" s="152"/>
      <c r="AA1126" s="152"/>
      <c r="AB1126" s="152"/>
    </row>
    <row r="1127" spans="1:28" hidden="1" outlineLevel="1">
      <c r="A1127" s="152"/>
      <c r="B1127" s="190" t="str">
        <f t="shared" ca="1" si="1630"/>
        <v>RL Capex 2024-25</v>
      </c>
      <c r="C1127" s="1429"/>
      <c r="D1127" s="1429"/>
      <c r="E1127" s="1429"/>
      <c r="F1127" s="1429"/>
      <c r="G1127" s="1429"/>
      <c r="H1127" s="1429"/>
      <c r="I1127" s="1429"/>
      <c r="J1127" s="1429"/>
      <c r="K1127" s="1424"/>
      <c r="L1127" s="1428">
        <f>L1090</f>
        <v>0</v>
      </c>
      <c r="M1127" s="1423">
        <f t="shared" si="1619"/>
        <v>0</v>
      </c>
      <c r="N1127" s="1423">
        <f t="shared" si="1620"/>
        <v>0</v>
      </c>
      <c r="O1127" s="1423">
        <f t="shared" si="1621"/>
        <v>0</v>
      </c>
      <c r="P1127" s="1423">
        <f t="shared" si="1622"/>
        <v>0</v>
      </c>
      <c r="Q1127" s="1423">
        <f t="shared" si="1623"/>
        <v>0</v>
      </c>
      <c r="R1127" s="1423">
        <f t="shared" si="1624"/>
        <v>0</v>
      </c>
      <c r="S1127" s="1423">
        <f t="shared" si="1625"/>
        <v>0</v>
      </c>
      <c r="T1127" s="1423">
        <f t="shared" si="1626"/>
        <v>0</v>
      </c>
      <c r="U1127" s="1423">
        <f t="shared" si="1627"/>
        <v>0</v>
      </c>
      <c r="V1127" s="1423">
        <f t="shared" si="1628"/>
        <v>0</v>
      </c>
      <c r="W1127" s="1423">
        <f t="shared" si="1629"/>
        <v>0</v>
      </c>
      <c r="X1127" s="152"/>
      <c r="Y1127" s="152"/>
      <c r="Z1127" s="152"/>
      <c r="AA1127" s="152"/>
      <c r="AB1127" s="152"/>
    </row>
    <row r="1128" spans="1:28" hidden="1" outlineLevel="1">
      <c r="A1128" s="152"/>
      <c r="B1128" s="190" t="str">
        <f t="shared" ca="1" si="1630"/>
        <v>RL Capex 2025-26</v>
      </c>
      <c r="C1128" s="1429"/>
      <c r="D1128" s="1429"/>
      <c r="E1128" s="1429"/>
      <c r="F1128" s="1429"/>
      <c r="G1128" s="1429"/>
      <c r="H1128" s="1429"/>
      <c r="I1128" s="1429"/>
      <c r="J1128" s="1429"/>
      <c r="K1128" s="1429"/>
      <c r="L1128" s="1424"/>
      <c r="M1128" s="1428">
        <f>M1090</f>
        <v>0</v>
      </c>
      <c r="N1128" s="1423">
        <f t="shared" si="1620"/>
        <v>0</v>
      </c>
      <c r="O1128" s="1423">
        <f t="shared" si="1621"/>
        <v>0</v>
      </c>
      <c r="P1128" s="1423">
        <f t="shared" si="1622"/>
        <v>0</v>
      </c>
      <c r="Q1128" s="1423">
        <f t="shared" si="1623"/>
        <v>0</v>
      </c>
      <c r="R1128" s="1423">
        <f t="shared" si="1624"/>
        <v>0</v>
      </c>
      <c r="S1128" s="1423">
        <f t="shared" si="1625"/>
        <v>0</v>
      </c>
      <c r="T1128" s="1423">
        <f t="shared" si="1626"/>
        <v>0</v>
      </c>
      <c r="U1128" s="1423">
        <f t="shared" si="1627"/>
        <v>0</v>
      </c>
      <c r="V1128" s="1423">
        <f t="shared" si="1628"/>
        <v>0</v>
      </c>
      <c r="W1128" s="1423">
        <f t="shared" si="1629"/>
        <v>0</v>
      </c>
      <c r="X1128" s="152"/>
      <c r="Y1128" s="152"/>
      <c r="Z1128" s="152"/>
      <c r="AA1128" s="152"/>
      <c r="AB1128" s="152"/>
    </row>
    <row r="1129" spans="1:28" hidden="1" outlineLevel="1">
      <c r="A1129" s="152"/>
      <c r="B1129" s="190" t="str">
        <f t="shared" ca="1" si="1630"/>
        <v>RL Capex 2026-27</v>
      </c>
      <c r="C1129" s="1429"/>
      <c r="D1129" s="1429"/>
      <c r="E1129" s="1429"/>
      <c r="F1129" s="1429"/>
      <c r="G1129" s="1429"/>
      <c r="H1129" s="1429"/>
      <c r="I1129" s="1429"/>
      <c r="J1129" s="1429"/>
      <c r="K1129" s="1429"/>
      <c r="L1129" s="1429"/>
      <c r="M1129" s="1424"/>
      <c r="N1129" s="1428">
        <f>N1090</f>
        <v>0</v>
      </c>
      <c r="O1129" s="1423">
        <f t="shared" si="1621"/>
        <v>0</v>
      </c>
      <c r="P1129" s="1423">
        <f t="shared" si="1622"/>
        <v>0</v>
      </c>
      <c r="Q1129" s="1423">
        <f t="shared" si="1623"/>
        <v>0</v>
      </c>
      <c r="R1129" s="1423">
        <f t="shared" si="1624"/>
        <v>0</v>
      </c>
      <c r="S1129" s="1423">
        <f t="shared" si="1625"/>
        <v>0</v>
      </c>
      <c r="T1129" s="1423">
        <f t="shared" si="1626"/>
        <v>0</v>
      </c>
      <c r="U1129" s="1423">
        <f t="shared" si="1627"/>
        <v>0</v>
      </c>
      <c r="V1129" s="1423">
        <f t="shared" si="1628"/>
        <v>0</v>
      </c>
      <c r="W1129" s="1423">
        <f t="shared" si="1629"/>
        <v>0</v>
      </c>
      <c r="X1129" s="152"/>
      <c r="Y1129" s="152"/>
      <c r="Z1129" s="152"/>
      <c r="AA1129" s="152"/>
      <c r="AB1129" s="152"/>
    </row>
    <row r="1130" spans="1:28" hidden="1" outlineLevel="1">
      <c r="A1130" s="152"/>
      <c r="B1130" s="190" t="str">
        <f t="shared" ca="1" si="1630"/>
        <v>RL Capex 2027-28</v>
      </c>
      <c r="C1130" s="1429"/>
      <c r="D1130" s="1429"/>
      <c r="E1130" s="1429"/>
      <c r="F1130" s="1429"/>
      <c r="G1130" s="1429"/>
      <c r="H1130" s="1429"/>
      <c r="I1130" s="1429"/>
      <c r="J1130" s="1429"/>
      <c r="K1130" s="1429"/>
      <c r="L1130" s="1429"/>
      <c r="M1130" s="1429"/>
      <c r="N1130" s="1424"/>
      <c r="O1130" s="1428">
        <f>O1090</f>
        <v>0</v>
      </c>
      <c r="P1130" s="1423">
        <f t="shared" si="1622"/>
        <v>0</v>
      </c>
      <c r="Q1130" s="1423">
        <f t="shared" si="1623"/>
        <v>0</v>
      </c>
      <c r="R1130" s="1423">
        <f t="shared" si="1624"/>
        <v>0</v>
      </c>
      <c r="S1130" s="1423">
        <f t="shared" si="1625"/>
        <v>0</v>
      </c>
      <c r="T1130" s="1423">
        <f t="shared" si="1626"/>
        <v>0</v>
      </c>
      <c r="U1130" s="1423">
        <f t="shared" si="1627"/>
        <v>0</v>
      </c>
      <c r="V1130" s="1423">
        <f t="shared" si="1628"/>
        <v>0</v>
      </c>
      <c r="W1130" s="1423">
        <f t="shared" si="1629"/>
        <v>0</v>
      </c>
      <c r="X1130" s="152"/>
      <c r="Y1130" s="152"/>
      <c r="Z1130" s="152"/>
      <c r="AA1130" s="152"/>
      <c r="AB1130" s="152"/>
    </row>
    <row r="1131" spans="1:28" hidden="1" outlineLevel="1">
      <c r="A1131" s="152"/>
      <c r="B1131" s="190" t="str">
        <f t="shared" ca="1" si="1630"/>
        <v>RL Capex 2028-29</v>
      </c>
      <c r="C1131" s="1429"/>
      <c r="D1131" s="1429"/>
      <c r="E1131" s="1429"/>
      <c r="F1131" s="1429"/>
      <c r="G1131" s="1429"/>
      <c r="H1131" s="1429"/>
      <c r="I1131" s="1429"/>
      <c r="J1131" s="1429"/>
      <c r="K1131" s="1429"/>
      <c r="L1131" s="1429"/>
      <c r="M1131" s="1429"/>
      <c r="N1131" s="1429"/>
      <c r="O1131" s="1424"/>
      <c r="P1131" s="1428">
        <f>P1090</f>
        <v>0</v>
      </c>
      <c r="Q1131" s="1423">
        <f t="shared" si="1623"/>
        <v>0</v>
      </c>
      <c r="R1131" s="1423">
        <f t="shared" si="1624"/>
        <v>0</v>
      </c>
      <c r="S1131" s="1423">
        <f t="shared" si="1625"/>
        <v>0</v>
      </c>
      <c r="T1131" s="1423">
        <f t="shared" si="1626"/>
        <v>0</v>
      </c>
      <c r="U1131" s="1423">
        <f t="shared" si="1627"/>
        <v>0</v>
      </c>
      <c r="V1131" s="1423">
        <f t="shared" si="1628"/>
        <v>0</v>
      </c>
      <c r="W1131" s="1423">
        <f t="shared" si="1629"/>
        <v>0</v>
      </c>
      <c r="X1131" s="152"/>
      <c r="Y1131" s="152"/>
      <c r="Z1131" s="152"/>
      <c r="AA1131" s="152"/>
      <c r="AB1131" s="152"/>
    </row>
    <row r="1132" spans="1:28" hidden="1" outlineLevel="1">
      <c r="A1132" s="152"/>
      <c r="B1132" s="190" t="str">
        <f t="shared" ca="1" si="1630"/>
        <v>RL Capex 2029-30</v>
      </c>
      <c r="C1132" s="1429"/>
      <c r="D1132" s="1429"/>
      <c r="E1132" s="1429"/>
      <c r="F1132" s="1429"/>
      <c r="G1132" s="1429"/>
      <c r="H1132" s="1429"/>
      <c r="I1132" s="1429"/>
      <c r="J1132" s="1429"/>
      <c r="K1132" s="1429"/>
      <c r="L1132" s="1429"/>
      <c r="M1132" s="1429"/>
      <c r="N1132" s="1429"/>
      <c r="O1132" s="1429"/>
      <c r="P1132" s="1424"/>
      <c r="Q1132" s="1428">
        <f>Q1090</f>
        <v>0</v>
      </c>
      <c r="R1132" s="1423">
        <f t="shared" si="1624"/>
        <v>0</v>
      </c>
      <c r="S1132" s="1423">
        <f t="shared" si="1625"/>
        <v>0</v>
      </c>
      <c r="T1132" s="1423">
        <f t="shared" si="1626"/>
        <v>0</v>
      </c>
      <c r="U1132" s="1423">
        <f t="shared" si="1627"/>
        <v>0</v>
      </c>
      <c r="V1132" s="1423">
        <f t="shared" si="1628"/>
        <v>0</v>
      </c>
      <c r="W1132" s="1423">
        <f t="shared" si="1629"/>
        <v>0</v>
      </c>
      <c r="X1132" s="152"/>
      <c r="Y1132" s="152"/>
      <c r="Z1132" s="152"/>
      <c r="AA1132" s="152"/>
      <c r="AB1132" s="152"/>
    </row>
    <row r="1133" spans="1:28" hidden="1" outlineLevel="1">
      <c r="A1133" s="152"/>
      <c r="B1133" s="190" t="str">
        <f t="shared" ca="1" si="1630"/>
        <v>RL Capex 2030-31</v>
      </c>
      <c r="C1133" s="1429"/>
      <c r="D1133" s="1429"/>
      <c r="E1133" s="1429"/>
      <c r="F1133" s="1429"/>
      <c r="G1133" s="1429"/>
      <c r="H1133" s="1429"/>
      <c r="I1133" s="1429"/>
      <c r="J1133" s="1429"/>
      <c r="K1133" s="1429"/>
      <c r="L1133" s="1429"/>
      <c r="M1133" s="1429"/>
      <c r="N1133" s="1429"/>
      <c r="O1133" s="1429"/>
      <c r="P1133" s="1429"/>
      <c r="Q1133" s="1424"/>
      <c r="R1133" s="1428">
        <f>R1090</f>
        <v>0</v>
      </c>
      <c r="S1133" s="1423">
        <f t="shared" si="1625"/>
        <v>0</v>
      </c>
      <c r="T1133" s="1423">
        <f t="shared" si="1626"/>
        <v>0</v>
      </c>
      <c r="U1133" s="1423">
        <f t="shared" si="1627"/>
        <v>0</v>
      </c>
      <c r="V1133" s="1423">
        <f t="shared" si="1628"/>
        <v>0</v>
      </c>
      <c r="W1133" s="1423">
        <f t="shared" si="1629"/>
        <v>0</v>
      </c>
      <c r="X1133" s="152"/>
      <c r="Y1133" s="152"/>
      <c r="Z1133" s="152"/>
      <c r="AA1133" s="152"/>
      <c r="AB1133" s="152"/>
    </row>
    <row r="1134" spans="1:28" hidden="1" outlineLevel="1">
      <c r="A1134" s="152"/>
      <c r="B1134" s="190" t="str">
        <f t="shared" ca="1" si="1630"/>
        <v>RL Capex 2031-32</v>
      </c>
      <c r="C1134" s="1429"/>
      <c r="D1134" s="1429"/>
      <c r="E1134" s="1429"/>
      <c r="F1134" s="1429"/>
      <c r="G1134" s="1429"/>
      <c r="H1134" s="1429"/>
      <c r="I1134" s="1429"/>
      <c r="J1134" s="1429"/>
      <c r="K1134" s="1429"/>
      <c r="L1134" s="1429"/>
      <c r="M1134" s="1429"/>
      <c r="N1134" s="1429"/>
      <c r="O1134" s="1429"/>
      <c r="P1134" s="1429"/>
      <c r="Q1134" s="1429"/>
      <c r="R1134" s="1424"/>
      <c r="S1134" s="1428">
        <f>S1090</f>
        <v>0</v>
      </c>
      <c r="T1134" s="1423">
        <f t="shared" si="1626"/>
        <v>0</v>
      </c>
      <c r="U1134" s="1423">
        <f t="shared" si="1627"/>
        <v>0</v>
      </c>
      <c r="V1134" s="1423">
        <f t="shared" si="1628"/>
        <v>0</v>
      </c>
      <c r="W1134" s="1423">
        <f t="shared" si="1629"/>
        <v>0</v>
      </c>
      <c r="X1134" s="152"/>
      <c r="Y1134" s="152"/>
      <c r="Z1134" s="152"/>
      <c r="AA1134" s="152"/>
      <c r="AB1134" s="152"/>
    </row>
    <row r="1135" spans="1:28" hidden="1" outlineLevel="1">
      <c r="A1135" s="152"/>
      <c r="B1135" s="190" t="str">
        <f t="shared" ca="1" si="1630"/>
        <v>RL Capex 2032-33</v>
      </c>
      <c r="C1135" s="1429"/>
      <c r="D1135" s="1429"/>
      <c r="E1135" s="1429"/>
      <c r="F1135" s="1429"/>
      <c r="G1135" s="1429"/>
      <c r="H1135" s="1429"/>
      <c r="I1135" s="1429"/>
      <c r="J1135" s="1429"/>
      <c r="K1135" s="1429"/>
      <c r="L1135" s="1429"/>
      <c r="M1135" s="1429"/>
      <c r="N1135" s="1429"/>
      <c r="O1135" s="1429"/>
      <c r="P1135" s="1429"/>
      <c r="Q1135" s="1429"/>
      <c r="R1135" s="1429"/>
      <c r="S1135" s="1424"/>
      <c r="T1135" s="1428">
        <f>T1090</f>
        <v>0</v>
      </c>
      <c r="U1135" s="1423">
        <f t="shared" si="1627"/>
        <v>0</v>
      </c>
      <c r="V1135" s="1423">
        <f t="shared" si="1628"/>
        <v>0</v>
      </c>
      <c r="W1135" s="1423">
        <f t="shared" si="1629"/>
        <v>0</v>
      </c>
      <c r="X1135" s="152"/>
      <c r="Y1135" s="152"/>
      <c r="Z1135" s="152"/>
      <c r="AA1135" s="152"/>
      <c r="AB1135" s="152"/>
    </row>
    <row r="1136" spans="1:28" hidden="1" outlineLevel="1">
      <c r="A1136" s="152"/>
      <c r="B1136" s="190" t="str">
        <f t="shared" ca="1" si="1630"/>
        <v>RL Capex 2033-34</v>
      </c>
      <c r="C1136" s="1429"/>
      <c r="D1136" s="1429"/>
      <c r="E1136" s="1429"/>
      <c r="F1136" s="1429"/>
      <c r="G1136" s="1429"/>
      <c r="H1136" s="1429"/>
      <c r="I1136" s="1429"/>
      <c r="J1136" s="1429"/>
      <c r="K1136" s="1429"/>
      <c r="L1136" s="1429"/>
      <c r="M1136" s="1429"/>
      <c r="N1136" s="1429"/>
      <c r="O1136" s="1429"/>
      <c r="P1136" s="1429"/>
      <c r="Q1136" s="1429"/>
      <c r="R1136" s="1429"/>
      <c r="S1136" s="1429"/>
      <c r="T1136" s="1424"/>
      <c r="U1136" s="1428">
        <f>U1090</f>
        <v>0</v>
      </c>
      <c r="V1136" s="1423">
        <f t="shared" si="1628"/>
        <v>0</v>
      </c>
      <c r="W1136" s="1423">
        <f t="shared" si="1629"/>
        <v>0</v>
      </c>
      <c r="X1136" s="152"/>
      <c r="Y1136" s="152"/>
      <c r="Z1136" s="152"/>
      <c r="AA1136" s="152"/>
      <c r="AB1136" s="152"/>
    </row>
    <row r="1137" spans="1:28" hidden="1" outlineLevel="1">
      <c r="A1137" s="152"/>
      <c r="B1137" s="190" t="str">
        <f t="shared" ca="1" si="1630"/>
        <v>RL Capex 2034-35</v>
      </c>
      <c r="C1137" s="1429"/>
      <c r="D1137" s="1429"/>
      <c r="E1137" s="1429"/>
      <c r="F1137" s="1429"/>
      <c r="G1137" s="1429"/>
      <c r="H1137" s="1429"/>
      <c r="I1137" s="1429"/>
      <c r="J1137" s="1429"/>
      <c r="K1137" s="1429"/>
      <c r="L1137" s="1429"/>
      <c r="M1137" s="1429"/>
      <c r="N1137" s="1429"/>
      <c r="O1137" s="1429"/>
      <c r="P1137" s="1429"/>
      <c r="Q1137" s="1429"/>
      <c r="R1137" s="1429"/>
      <c r="S1137" s="1429"/>
      <c r="T1137" s="1429"/>
      <c r="U1137" s="1424"/>
      <c r="V1137" s="1428">
        <f>V1090</f>
        <v>0</v>
      </c>
      <c r="W1137" s="1423">
        <f>IF(V1137="n/a","n/a",MAX(0,V1137-1))</f>
        <v>0</v>
      </c>
      <c r="X1137" s="152"/>
      <c r="Y1137" s="152"/>
      <c r="Z1137" s="152"/>
      <c r="AA1137" s="152"/>
      <c r="AB1137" s="152"/>
    </row>
    <row r="1138" spans="1:28" hidden="1" outlineLevel="1">
      <c r="A1138" s="152"/>
      <c r="B1138" s="190" t="str">
        <f t="shared" ca="1" si="1630"/>
        <v>RL Capex 2035-36</v>
      </c>
      <c r="C1138" s="1429"/>
      <c r="D1138" s="1429"/>
      <c r="E1138" s="1429"/>
      <c r="F1138" s="1429"/>
      <c r="G1138" s="1429"/>
      <c r="H1138" s="1429"/>
      <c r="I1138" s="1429"/>
      <c r="J1138" s="1429"/>
      <c r="K1138" s="1429"/>
      <c r="L1138" s="1429"/>
      <c r="M1138" s="1429"/>
      <c r="N1138" s="1429"/>
      <c r="O1138" s="1429"/>
      <c r="P1138" s="1429"/>
      <c r="Q1138" s="1429"/>
      <c r="R1138" s="1429"/>
      <c r="S1138" s="1429"/>
      <c r="T1138" s="1429"/>
      <c r="U1138" s="1429"/>
      <c r="V1138" s="1424"/>
      <c r="W1138" s="1423">
        <f>W1090</f>
        <v>0</v>
      </c>
      <c r="X1138" s="152"/>
      <c r="Y1138" s="152"/>
      <c r="Z1138" s="152"/>
      <c r="AA1138" s="152"/>
      <c r="AB1138" s="152"/>
    </row>
    <row r="1139" spans="1:28" hidden="1" outlineLevel="1">
      <c r="A1139" s="152"/>
      <c r="B1139" s="200"/>
      <c r="C1139" s="1423"/>
      <c r="D1139" s="1423"/>
      <c r="E1139" s="1423"/>
      <c r="F1139" s="1423"/>
      <c r="G1139" s="1423"/>
      <c r="H1139" s="1423"/>
      <c r="I1139" s="1423"/>
      <c r="J1139" s="1423"/>
      <c r="K1139" s="1423"/>
      <c r="L1139" s="1423"/>
      <c r="M1139" s="1423"/>
      <c r="N1139" s="1423"/>
      <c r="O1139" s="1423"/>
      <c r="P1139" s="1423"/>
      <c r="Q1139" s="1423"/>
      <c r="R1139" s="1423"/>
      <c r="S1139" s="1423"/>
      <c r="T1139" s="1423"/>
      <c r="U1139" s="1423"/>
      <c r="V1139" s="1423"/>
      <c r="W1139" s="1423"/>
      <c r="X1139" s="152"/>
      <c r="Y1139" s="152"/>
      <c r="Z1139" s="152"/>
      <c r="AA1139" s="152"/>
      <c r="AB1139" s="152"/>
    </row>
    <row r="1140" spans="1:28" collapsed="1">
      <c r="A1140" s="194"/>
      <c r="B1140" s="204" t="s">
        <v>123</v>
      </c>
      <c r="C1140" s="1430">
        <f ca="1">(IF(OR($C1090&lt;&gt;"n/a",C1090&lt;&gt;"n/a"),IF(SUM(C1093:C1115)=0,0,IF((SUMPRODUCT(C1093:C1115,C1117:C1139)/SUM(C1093:C1115))&lt;0,1,(SUMPRODUCT(C1093:C1115,C1117:C1139)/SUM(C1093:C1115)))),"n/a"))</f>
        <v>0</v>
      </c>
      <c r="D1140" s="1430">
        <f ca="1">(IF(OR($C1090&lt;&gt;"n/a",D1090&lt;&gt;"n/a"),IF(SUM(D1093:D1115)=0,0,IF((SUMPRODUCT(D1093:D1115,D1117:D1139)/SUM(D1093:D1115))&lt;0,1,(SUMPRODUCT(D1093:D1115,D1117:D1139)/SUM(D1093:D1115)))),"n/a"))</f>
        <v>0</v>
      </c>
      <c r="E1140" s="1430">
        <f t="shared" ref="E1140:W1140" ca="1" si="1631">(IF(OR($C1090&lt;&gt;"n/a",E1090&lt;&gt;"n/a"),IF(SUM(E1093:E1115)=0,0,IF((SUMPRODUCT(E1093:E1115,E1117:E1139)/SUM(E1093:E1115))&lt;0,1,(SUMPRODUCT(E1093:E1115,E1117:E1139)/SUM(E1093:E1115)))),"n/a"))</f>
        <v>0</v>
      </c>
      <c r="F1140" s="1430">
        <f t="shared" ca="1" si="1631"/>
        <v>0</v>
      </c>
      <c r="G1140" s="1430">
        <f t="shared" ca="1" si="1631"/>
        <v>0</v>
      </c>
      <c r="H1140" s="1430">
        <f t="shared" ca="1" si="1631"/>
        <v>0</v>
      </c>
      <c r="I1140" s="1430">
        <f t="shared" ca="1" si="1631"/>
        <v>0</v>
      </c>
      <c r="J1140" s="1430">
        <f t="shared" ca="1" si="1631"/>
        <v>0</v>
      </c>
      <c r="K1140" s="1430">
        <f t="shared" ca="1" si="1631"/>
        <v>0</v>
      </c>
      <c r="L1140" s="1430">
        <f t="shared" ca="1" si="1631"/>
        <v>0</v>
      </c>
      <c r="M1140" s="1430">
        <f t="shared" ca="1" si="1631"/>
        <v>0</v>
      </c>
      <c r="N1140" s="1430">
        <f t="shared" ca="1" si="1631"/>
        <v>0</v>
      </c>
      <c r="O1140" s="1430">
        <f t="shared" ca="1" si="1631"/>
        <v>0</v>
      </c>
      <c r="P1140" s="1430">
        <f t="shared" ca="1" si="1631"/>
        <v>0</v>
      </c>
      <c r="Q1140" s="1430">
        <f t="shared" ca="1" si="1631"/>
        <v>0</v>
      </c>
      <c r="R1140" s="1430">
        <f t="shared" ca="1" si="1631"/>
        <v>0</v>
      </c>
      <c r="S1140" s="1430">
        <f t="shared" ca="1" si="1631"/>
        <v>0</v>
      </c>
      <c r="T1140" s="1430">
        <f t="shared" ca="1" si="1631"/>
        <v>0</v>
      </c>
      <c r="U1140" s="1430">
        <f t="shared" ca="1" si="1631"/>
        <v>0</v>
      </c>
      <c r="V1140" s="1430">
        <f t="shared" ca="1" si="1631"/>
        <v>0</v>
      </c>
      <c r="W1140" s="1430">
        <f t="shared" ca="1" si="1631"/>
        <v>0</v>
      </c>
      <c r="X1140" s="152"/>
      <c r="Y1140" s="152"/>
      <c r="Z1140" s="152"/>
      <c r="AA1140" s="152"/>
      <c r="AB1140" s="152"/>
    </row>
    <row r="1141" spans="1:28">
      <c r="A1141" s="152"/>
      <c r="B1141" s="152"/>
      <c r="C1141" s="1423"/>
      <c r="D1141" s="1423"/>
      <c r="E1141" s="1423"/>
      <c r="F1141" s="1423"/>
      <c r="G1141" s="1423"/>
      <c r="H1141" s="1423"/>
      <c r="I1141" s="1423"/>
      <c r="J1141" s="1423"/>
      <c r="K1141" s="1423"/>
      <c r="L1141" s="1423"/>
      <c r="M1141" s="1423"/>
      <c r="N1141" s="1423"/>
      <c r="O1141" s="1423"/>
      <c r="P1141" s="1423"/>
      <c r="Q1141" s="1423"/>
      <c r="R1141" s="1423"/>
      <c r="S1141" s="1423"/>
      <c r="T1141" s="1423"/>
      <c r="U1141" s="1423"/>
      <c r="V1141" s="1423"/>
      <c r="W1141" s="1423"/>
      <c r="X1141" s="152"/>
      <c r="Y1141" s="152"/>
      <c r="Z1141" s="152"/>
      <c r="AA1141" s="152"/>
      <c r="AB1141" s="152"/>
    </row>
    <row r="1142" spans="1:28">
      <c r="A1142" s="269" t="s">
        <v>56</v>
      </c>
      <c r="B1142" s="270">
        <f>VLOOKUP($A1142,'RFM input'!$E$7:$F$56,2,FALSE)</f>
        <v>0</v>
      </c>
      <c r="C1142" s="1431"/>
      <c r="D1142" s="1431"/>
      <c r="E1142" s="1432"/>
      <c r="F1142" s="1432"/>
      <c r="G1142" s="1432"/>
      <c r="H1142" s="1432"/>
      <c r="I1142" s="1432"/>
      <c r="J1142" s="1432"/>
      <c r="K1142" s="1432"/>
      <c r="L1142" s="1432"/>
      <c r="M1142" s="1432"/>
      <c r="N1142" s="1432"/>
      <c r="O1142" s="1432"/>
      <c r="P1142" s="1432"/>
      <c r="Q1142" s="1432"/>
      <c r="R1142" s="1432"/>
      <c r="S1142" s="1432"/>
      <c r="T1142" s="1432"/>
      <c r="U1142" s="1432"/>
      <c r="V1142" s="1432"/>
      <c r="W1142" s="1432"/>
      <c r="X1142" s="152"/>
      <c r="Y1142" s="152"/>
      <c r="Z1142" s="152"/>
      <c r="AA1142" s="152"/>
      <c r="AB1142" s="152"/>
    </row>
    <row r="1143" spans="1:28">
      <c r="A1143" s="215">
        <f>VALUE(REPLACE(A1142,1,12,""))</f>
        <v>22</v>
      </c>
      <c r="B1143" s="193" t="s">
        <v>126</v>
      </c>
      <c r="C1143" s="1416">
        <f ca="1">IF($D$6='TAB roll forward'!$H$4,OFFSET('TAB roll forward'!$H$7,A1143,0),"enter input")</f>
        <v>0</v>
      </c>
      <c r="D1143" s="1417">
        <f>IF(LEFT(D$6,4)&lt;LEFT('RFM input'!$G$60,4),"enter input",IF(LEFT(D$6,4)&gt;LEFT('RFM input'!$Q$60,4),0,
INDEX('RFM input'!$G$61:$Q$110,$A1143,MATCH(D$6,'RFM input'!$G$60:$Q$60,0))
   -INDEX('RFM input'!$G$115:$Q$164,$A1143,MATCH(D$6,'RFM input'!$G$60:$Q$60,0))))</f>
        <v>0</v>
      </c>
      <c r="E1143" s="1417">
        <f>IF(LEFT(E$6,4)&lt;LEFT('RFM input'!$G$60,4),"enter input",IF(LEFT(E$6,4)&gt;LEFT('RFM input'!$Q$60,4),0,
INDEX('RFM input'!$G$61:$Q$110,$A1143,MATCH(E$6,'RFM input'!$G$60:$Q$60,0))
   -INDEX('RFM input'!$G$115:$Q$164,$A1143,MATCH(E$6,'RFM input'!$G$60:$Q$60,0))))</f>
        <v>0</v>
      </c>
      <c r="F1143" s="1417">
        <f>IF(LEFT(F$6,4)&lt;LEFT('RFM input'!$G$60,4),"enter input",IF(LEFT(F$6,4)&gt;LEFT('RFM input'!$Q$60,4),0,
INDEX('RFM input'!$G$61:$Q$110,$A1143,MATCH(F$6,'RFM input'!$G$60:$Q$60,0))
   -INDEX('RFM input'!$G$115:$Q$164,$A1143,MATCH(F$6,'RFM input'!$G$60:$Q$60,0))))</f>
        <v>0</v>
      </c>
      <c r="G1143" s="1417">
        <f>IF(LEFT(G$6,4)&lt;LEFT('RFM input'!$G$60,4),"enter input",IF(LEFT(G$6,4)&gt;LEFT('RFM input'!$Q$60,4),0,
INDEX('RFM input'!$G$61:$Q$110,$A1143,MATCH(G$6,'RFM input'!$G$60:$Q$60,0))
   -INDEX('RFM input'!$G$115:$Q$164,$A1143,MATCH(G$6,'RFM input'!$G$60:$Q$60,0))))</f>
        <v>0</v>
      </c>
      <c r="H1143" s="1417">
        <f>IF(LEFT(H$6,4)&lt;LEFT('RFM input'!$G$60,4),"enter input",IF(LEFT(H$6,4)&gt;LEFT('RFM input'!$Q$60,4),0,
INDEX('RFM input'!$G$61:$Q$110,$A1143,MATCH(H$6,'RFM input'!$G$60:$Q$60,0))
   -INDEX('RFM input'!$G$115:$Q$164,$A1143,MATCH(H$6,'RFM input'!$G$60:$Q$60,0))))</f>
        <v>0</v>
      </c>
      <c r="I1143" s="1417">
        <f>IF(LEFT(I$6,4)&lt;LEFT('RFM input'!$G$60,4),"enter input",IF(LEFT(I$6,4)&gt;LEFT('RFM input'!$Q$60,4),0,
INDEX('RFM input'!$G$61:$Q$110,$A1143,MATCH(I$6,'RFM input'!$G$60:$Q$60,0))
   -INDEX('RFM input'!$G$115:$Q$164,$A1143,MATCH(I$6,'RFM input'!$G$60:$Q$60,0))))</f>
        <v>0</v>
      </c>
      <c r="J1143" s="1417">
        <f>IF(LEFT(J$6,4)&lt;LEFT('RFM input'!$G$60,4),"enter input",IF(LEFT(J$6,4)&gt;LEFT('RFM input'!$Q$60,4),0,
INDEX('RFM input'!$G$61:$Q$110,$A1143,MATCH(J$6,'RFM input'!$G$60:$Q$60,0))
   -INDEX('RFM input'!$G$115:$Q$164,$A1143,MATCH(J$6,'RFM input'!$G$60:$Q$60,0))))</f>
        <v>0</v>
      </c>
      <c r="K1143" s="1417">
        <f>IF(LEFT(K$6,4)&lt;LEFT('RFM input'!$G$60,4),"enter input",IF(LEFT(K$6,4)&gt;LEFT('RFM input'!$Q$60,4),0,
INDEX('RFM input'!$G$61:$Q$110,$A1143,MATCH(K$6,'RFM input'!$G$60:$Q$60,0))
   -INDEX('RFM input'!$G$115:$Q$164,$A1143,MATCH(K$6,'RFM input'!$G$60:$Q$60,0))))</f>
        <v>0</v>
      </c>
      <c r="L1143" s="1417">
        <f>IF(LEFT(L$6,4)&lt;LEFT('RFM input'!$G$60,4),"enter input",IF(LEFT(L$6,4)&gt;LEFT('RFM input'!$Q$60,4),0,
INDEX('RFM input'!$G$61:$Q$110,$A1143,MATCH(L$6,'RFM input'!$G$60:$Q$60,0))
   -INDEX('RFM input'!$G$115:$Q$164,$A1143,MATCH(L$6,'RFM input'!$G$60:$Q$60,0))))</f>
        <v>0</v>
      </c>
      <c r="M1143" s="1417">
        <f>IF(LEFT(M$6,4)&lt;LEFT('RFM input'!$G$60,4),"enter input",IF(LEFT(M$6,4)&gt;LEFT('RFM input'!$Q$60,4),0,
INDEX('RFM input'!$G$61:$Q$110,$A1143,MATCH(M$6,'RFM input'!$G$60:$Q$60,0))
   -INDEX('RFM input'!$G$115:$Q$164,$A1143,MATCH(M$6,'RFM input'!$G$60:$Q$60,0))))</f>
        <v>0</v>
      </c>
      <c r="N1143" s="1417">
        <f>IF(LEFT(N$6,4)&lt;LEFT('RFM input'!$G$60,4),"enter input",IF(LEFT(N$6,4)&gt;LEFT('RFM input'!$Q$60,4),0,
INDEX('RFM input'!$G$61:$Q$110,$A1143,MATCH(N$6,'RFM input'!$G$60:$Q$60,0))
   -INDEX('RFM input'!$G$115:$Q$164,$A1143,MATCH(N$6,'RFM input'!$G$60:$Q$60,0))))</f>
        <v>0</v>
      </c>
      <c r="O1143" s="1417">
        <f>IF(LEFT(O$6,4)&lt;LEFT('RFM input'!$G$60,4),"enter input",IF(LEFT(O$6,4)&gt;LEFT('RFM input'!$Q$60,4),0,
INDEX('RFM input'!$G$61:$Q$110,$A1143,MATCH(O$6,'RFM input'!$G$60:$Q$60,0))
   -INDEX('RFM input'!$G$115:$Q$164,$A1143,MATCH(O$6,'RFM input'!$G$60:$Q$60,0))))</f>
        <v>0</v>
      </c>
      <c r="P1143" s="1417">
        <f>IF(LEFT(P$6,4)&lt;LEFT('RFM input'!$G$60,4),"enter input",IF(LEFT(P$6,4)&gt;LEFT('RFM input'!$Q$60,4),0,
INDEX('RFM input'!$G$61:$Q$110,$A1143,MATCH(P$6,'RFM input'!$G$60:$Q$60,0))
   -INDEX('RFM input'!$G$115:$Q$164,$A1143,MATCH(P$6,'RFM input'!$G$60:$Q$60,0))))</f>
        <v>0</v>
      </c>
      <c r="Q1143" s="1417">
        <f>IF(LEFT(Q$6,4)&lt;LEFT('RFM input'!$G$60,4),"enter input",IF(LEFT(Q$6,4)&gt;LEFT('RFM input'!$Q$60,4),0,
INDEX('RFM input'!$G$61:$Q$110,$A1143,MATCH(Q$6,'RFM input'!$G$60:$Q$60,0))
   -INDEX('RFM input'!$G$115:$Q$164,$A1143,MATCH(Q$6,'RFM input'!$G$60:$Q$60,0))))</f>
        <v>0</v>
      </c>
      <c r="R1143" s="1417">
        <f>IF(LEFT(R$6,4)&lt;LEFT('RFM input'!$G$60,4),"enter input",IF(LEFT(R$6,4)&gt;LEFT('RFM input'!$Q$60,4),0,
INDEX('RFM input'!$G$61:$Q$110,$A1143,MATCH(R$6,'RFM input'!$G$60:$Q$60,0))
   -INDEX('RFM input'!$G$115:$Q$164,$A1143,MATCH(R$6,'RFM input'!$G$60:$Q$60,0))))</f>
        <v>0</v>
      </c>
      <c r="S1143" s="1417">
        <f>IF(LEFT(S$6,4)&lt;LEFT('RFM input'!$G$60,4),"enter input",IF(LEFT(S$6,4)&gt;LEFT('RFM input'!$Q$60,4),0,
INDEX('RFM input'!$G$61:$Q$110,$A1143,MATCH(S$6,'RFM input'!$G$60:$Q$60,0))
   -INDEX('RFM input'!$G$115:$Q$164,$A1143,MATCH(S$6,'RFM input'!$G$60:$Q$60,0))))</f>
        <v>0</v>
      </c>
      <c r="T1143" s="1417">
        <f>IF(LEFT(T$6,4)&lt;LEFT('RFM input'!$G$60,4),"enter input",IF(LEFT(T$6,4)&gt;LEFT('RFM input'!$Q$60,4),0,
INDEX('RFM input'!$G$61:$Q$110,$A1143,MATCH(T$6,'RFM input'!$G$60:$Q$60,0))
   -INDEX('RFM input'!$G$115:$Q$164,$A1143,MATCH(T$6,'RFM input'!$G$60:$Q$60,0))))</f>
        <v>0</v>
      </c>
      <c r="U1143" s="1417">
        <f>IF(LEFT(U$6,4)&lt;LEFT('RFM input'!$G$60,4),"enter input",IF(LEFT(U$6,4)&gt;LEFT('RFM input'!$Q$60,4),0,
INDEX('RFM input'!$G$61:$Q$110,$A1143,MATCH(U$6,'RFM input'!$G$60:$Q$60,0))
   -INDEX('RFM input'!$G$115:$Q$164,$A1143,MATCH(U$6,'RFM input'!$G$60:$Q$60,0))))</f>
        <v>0</v>
      </c>
      <c r="V1143" s="1417">
        <f>IF(LEFT(V$6,4)&lt;LEFT('RFM input'!$G$60,4),"enter input",IF(LEFT(V$6,4)&gt;LEFT('RFM input'!$Q$60,4),0,
INDEX('RFM input'!$G$61:$Q$110,$A1143,MATCH(V$6,'RFM input'!$G$60:$Q$60,0))
   -INDEX('RFM input'!$G$115:$Q$164,$A1143,MATCH(V$6,'RFM input'!$G$60:$Q$60,0))))</f>
        <v>0</v>
      </c>
      <c r="W1143" s="1417">
        <f>IF(LEFT(W$6,4)&lt;LEFT('RFM input'!$G$60,4),"enter input",IF(LEFT(W$6,4)&gt;LEFT('RFM input'!$Q$60,4),0,
INDEX('RFM input'!$G$61:$Q$110,$A1143,MATCH(W$6,'RFM input'!$G$60:$Q$60,0))
   -INDEX('RFM input'!$G$115:$Q$164,$A1143,MATCH(W$6,'RFM input'!$G$60:$Q$60,0))))</f>
        <v>0</v>
      </c>
      <c r="X1143" s="152"/>
      <c r="Y1143" s="152"/>
      <c r="Z1143" s="152"/>
      <c r="AA1143" s="152"/>
      <c r="AB1143" s="152"/>
    </row>
    <row r="1144" spans="1:28">
      <c r="A1144" s="152"/>
      <c r="B1144" s="152" t="s">
        <v>205</v>
      </c>
      <c r="C1144" s="1418">
        <f ca="1">IF($D$6='TAB roll forward'!$H$4,OFFSET('RFM input'!$S$6,$A1143,0),"enter input")</f>
        <v>0</v>
      </c>
      <c r="D1144" s="1417">
        <f>IF(LEFT(D$6,4)&lt;=LEFT('RFM input'!$G$60,4),"enter input",IF(LEFT(D$6,4)&gt;LEFT('RFM input'!$Q$60,4),0,
IF(MATCH(D$6,'RFM input'!$H$60:$Q$60,0),INDEX('RFM input'!$T$7:$T$56,$A1143,1,1))))</f>
        <v>0</v>
      </c>
      <c r="E1144" s="1417">
        <f>IF(LEFT(E$6,4)&lt;=LEFT('RFM input'!$G$60,4),"enter input",IF(LEFT(E$6,4)&gt;LEFT('RFM input'!$Q$60,4),0,
IF(MATCH(E$6,'RFM input'!$H$60:$Q$60,0),INDEX('RFM input'!$T$7:$T$56,$A1143,1,1))))</f>
        <v>0</v>
      </c>
      <c r="F1144" s="1417">
        <f>IF(LEFT(F$6,4)&lt;=LEFT('RFM input'!$G$60,4),"enter input",IF(LEFT(F$6,4)&gt;LEFT('RFM input'!$Q$60,4),0,
IF(MATCH(F$6,'RFM input'!$H$60:$Q$60,0),INDEX('RFM input'!$T$7:$T$56,$A1143,1,1))))</f>
        <v>0</v>
      </c>
      <c r="G1144" s="1417">
        <f>IF(LEFT(G$6,4)&lt;=LEFT('RFM input'!$G$60,4),"enter input",IF(LEFT(G$6,4)&gt;LEFT('RFM input'!$Q$60,4),0,
IF(MATCH(G$6,'RFM input'!$H$60:$Q$60,0),INDEX('RFM input'!$T$7:$T$56,$A1143,1,1))))</f>
        <v>0</v>
      </c>
      <c r="H1144" s="1417">
        <f>IF(LEFT(H$6,4)&lt;=LEFT('RFM input'!$G$60,4),"enter input",IF(LEFT(H$6,4)&gt;LEFT('RFM input'!$Q$60,4),0,
IF(MATCH(H$6,'RFM input'!$H$60:$Q$60,0),INDEX('RFM input'!$T$7:$T$56,$A1143,1,1))))</f>
        <v>0</v>
      </c>
      <c r="I1144" s="1417">
        <f>IF(LEFT(I$6,4)&lt;=LEFT('RFM input'!$G$60,4),"enter input",IF(LEFT(I$6,4)&gt;LEFT('RFM input'!$Q$60,4),0,
IF(MATCH(I$6,'RFM input'!$H$60:$Q$60,0),INDEX('RFM input'!$T$7:$T$56,$A1143,1,1))))</f>
        <v>0</v>
      </c>
      <c r="J1144" s="1417">
        <f>IF(LEFT(J$6,4)&lt;=LEFT('RFM input'!$G$60,4),"enter input",IF(LEFT(J$6,4)&gt;LEFT('RFM input'!$Q$60,4),0,
IF(MATCH(J$6,'RFM input'!$H$60:$Q$60,0),INDEX('RFM input'!$T$7:$T$56,$A1143,1,1))))</f>
        <v>0</v>
      </c>
      <c r="K1144" s="1417">
        <f>IF(LEFT(K$6,4)&lt;=LEFT('RFM input'!$G$60,4),"enter input",IF(LEFT(K$6,4)&gt;LEFT('RFM input'!$Q$60,4),0,
IF(MATCH(K$6,'RFM input'!$H$60:$Q$60,0),INDEX('RFM input'!$T$7:$T$56,$A1143,1,1))))</f>
        <v>0</v>
      </c>
      <c r="L1144" s="1417">
        <f>IF(LEFT(L$6,4)&lt;=LEFT('RFM input'!$G$60,4),"enter input",IF(LEFT(L$6,4)&gt;LEFT('RFM input'!$Q$60,4),0,
IF(MATCH(L$6,'RFM input'!$H$60:$Q$60,0),INDEX('RFM input'!$T$7:$T$56,$A1143,1,1))))</f>
        <v>0</v>
      </c>
      <c r="M1144" s="1417">
        <f>IF(LEFT(M$6,4)&lt;=LEFT('RFM input'!$G$60,4),"enter input",IF(LEFT(M$6,4)&gt;LEFT('RFM input'!$Q$60,4),0,
IF(MATCH(M$6,'RFM input'!$H$60:$Q$60,0),INDEX('RFM input'!$T$7:$T$56,$A1143,1,1))))</f>
        <v>0</v>
      </c>
      <c r="N1144" s="1417">
        <f>IF(LEFT(N$6,4)&lt;=LEFT('RFM input'!$G$60,4),"enter input",IF(LEFT(N$6,4)&gt;LEFT('RFM input'!$Q$60,4),0,
IF(MATCH(N$6,'RFM input'!$H$60:$Q$60,0),INDEX('RFM input'!$T$7:$T$56,$A1143,1,1))))</f>
        <v>0</v>
      </c>
      <c r="O1144" s="1417">
        <f>IF(LEFT(O$6,4)&lt;=LEFT('RFM input'!$G$60,4),"enter input",IF(LEFT(O$6,4)&gt;LEFT('RFM input'!$Q$60,4),0,
IF(MATCH(O$6,'RFM input'!$H$60:$Q$60,0),INDEX('RFM input'!$T$7:$T$56,$A1143,1,1))))</f>
        <v>0</v>
      </c>
      <c r="P1144" s="1417">
        <f>IF(LEFT(P$6,4)&lt;=LEFT('RFM input'!$G$60,4),"enter input",IF(LEFT(P$6,4)&gt;LEFT('RFM input'!$Q$60,4),0,
IF(MATCH(P$6,'RFM input'!$H$60:$Q$60,0),INDEX('RFM input'!$T$7:$T$56,$A1143,1,1))))</f>
        <v>0</v>
      </c>
      <c r="Q1144" s="1417">
        <f>IF(LEFT(Q$6,4)&lt;=LEFT('RFM input'!$G$60,4),"enter input",IF(LEFT(Q$6,4)&gt;LEFT('RFM input'!$Q$60,4),0,
IF(MATCH(Q$6,'RFM input'!$H$60:$Q$60,0),INDEX('RFM input'!$T$7:$T$56,$A1143,1,1))))</f>
        <v>0</v>
      </c>
      <c r="R1144" s="1417">
        <f>IF(LEFT(R$6,4)&lt;=LEFT('RFM input'!$G$60,4),"enter input",IF(LEFT(R$6,4)&gt;LEFT('RFM input'!$Q$60,4),0,
IF(MATCH(R$6,'RFM input'!$H$60:$Q$60,0),INDEX('RFM input'!$T$7:$T$56,$A1143,1,1))))</f>
        <v>0</v>
      </c>
      <c r="S1144" s="1417">
        <f>IF(LEFT(S$6,4)&lt;=LEFT('RFM input'!$G$60,4),"enter input",IF(LEFT(S$6,4)&gt;LEFT('RFM input'!$Q$60,4),0,
IF(MATCH(S$6,'RFM input'!$H$60:$Q$60,0),INDEX('RFM input'!$T$7:$T$56,$A1143,1,1))))</f>
        <v>0</v>
      </c>
      <c r="T1144" s="1417">
        <f>IF(LEFT(T$6,4)&lt;=LEFT('RFM input'!$G$60,4),"enter input",IF(LEFT(T$6,4)&gt;LEFT('RFM input'!$Q$60,4),0,
IF(MATCH(T$6,'RFM input'!$H$60:$Q$60,0),INDEX('RFM input'!$T$7:$T$56,$A1143,1,1))))</f>
        <v>0</v>
      </c>
      <c r="U1144" s="1417">
        <f>IF(LEFT(U$6,4)&lt;=LEFT('RFM input'!$G$60,4),"enter input",IF(LEFT(U$6,4)&gt;LEFT('RFM input'!$Q$60,4),0,
IF(MATCH(U$6,'RFM input'!$H$60:$Q$60,0),INDEX('RFM input'!$T$7:$T$56,$A1143,1,1))))</f>
        <v>0</v>
      </c>
      <c r="V1144" s="1417">
        <f>IF(LEFT(V$6,4)&lt;=LEFT('RFM input'!$G$60,4),"enter input",IF(LEFT(V$6,4)&gt;LEFT('RFM input'!$Q$60,4),0,
IF(MATCH(V$6,'RFM input'!$H$60:$Q$60,0),INDEX('RFM input'!$T$7:$T$56,$A1143,1,1))))</f>
        <v>0</v>
      </c>
      <c r="W1144" s="1417">
        <f>IF(LEFT(W$6,4)&lt;=LEFT('RFM input'!$G$60,4),"enter input",IF(LEFT(W$6,4)&gt;LEFT('RFM input'!$Q$60,4),0,
IF(MATCH(W$6,'RFM input'!$H$60:$Q$60,0),INDEX('RFM input'!$T$7:$T$56,$A1143,1,1))))</f>
        <v>0</v>
      </c>
      <c r="X1144" s="152"/>
      <c r="Y1144" s="152"/>
      <c r="Z1144" s="152"/>
      <c r="AA1144" s="152"/>
      <c r="AB1144" s="152"/>
    </row>
    <row r="1145" spans="1:28">
      <c r="A1145" s="152"/>
      <c r="B1145" s="193" t="s">
        <v>192</v>
      </c>
      <c r="C1145" s="1419"/>
      <c r="D1145" s="1420">
        <f ca="1">IF(LEFT(D$6,4)&lt;=LEFT('RFM input'!$G$60,4),"enter input",IF(LEFT(D$6,4)&gt;LEFT('RFM input'!$Q$60,4),0,
IF(D$6=(OFFSET('RFM input'!$G$60,0,'RFM input'!$V$7)),OFFSET('RFM input'!$H$411,$A1143,0),0)))</f>
        <v>0</v>
      </c>
      <c r="E1145" s="1417">
        <f ca="1">IF(LEFT(E$6,4)&lt;=LEFT('RFM input'!$G$60,4),"enter input",IF(LEFT(E$6,4)&gt;LEFT('RFM input'!$Q$60,4),0,
IF(E$6=(OFFSET('RFM input'!$G$60,0,'RFM input'!$V$7)),OFFSET('RFM input'!$H$411,$A1143,0),0)))</f>
        <v>0</v>
      </c>
      <c r="F1145" s="1417">
        <f ca="1">IF(LEFT(F$6,4)&lt;=LEFT('RFM input'!$G$60,4),"enter input",IF(LEFT(F$6,4)&gt;LEFT('RFM input'!$Q$60,4),0,
IF(F$6=(OFFSET('RFM input'!$G$60,0,'RFM input'!$V$7)),OFFSET('RFM input'!$H$411,$A1143,0),0)))</f>
        <v>0</v>
      </c>
      <c r="G1145" s="1417">
        <f ca="1">IF(LEFT(G$6,4)&lt;=LEFT('RFM input'!$G$60,4),"enter input",IF(LEFT(G$6,4)&gt;LEFT('RFM input'!$Q$60,4),0,
IF(G$6=(OFFSET('RFM input'!$G$60,0,'RFM input'!$V$7)),OFFSET('RFM input'!$H$411,$A1143,0),0)))</f>
        <v>0</v>
      </c>
      <c r="H1145" s="1417">
        <f ca="1">IF(LEFT(H$6,4)&lt;=LEFT('RFM input'!$G$60,4),"enter input",IF(LEFT(H$6,4)&gt;LEFT('RFM input'!$Q$60,4),0,
IF(H$6=(OFFSET('RFM input'!$G$60,0,'RFM input'!$V$7)),OFFSET('RFM input'!$H$411,$A1143,0),0)))</f>
        <v>0</v>
      </c>
      <c r="I1145" s="1417">
        <f ca="1">IF(LEFT(I$6,4)&lt;=LEFT('RFM input'!$G$60,4),"enter input",IF(LEFT(I$6,4)&gt;LEFT('RFM input'!$Q$60,4),0,
IF(I$6=(OFFSET('RFM input'!$G$60,0,'RFM input'!$V$7)),OFFSET('RFM input'!$H$411,$A1143,0),0)))</f>
        <v>0</v>
      </c>
      <c r="J1145" s="1417">
        <f ca="1">IF(LEFT(J$6,4)&lt;=LEFT('RFM input'!$G$60,4),"enter input",IF(LEFT(J$6,4)&gt;LEFT('RFM input'!$Q$60,4),0,
IF(J$6=(OFFSET('RFM input'!$G$60,0,'RFM input'!$V$7)),OFFSET('RFM input'!$H$411,$A1143,0),0)))</f>
        <v>0</v>
      </c>
      <c r="K1145" s="1417">
        <f ca="1">IF(LEFT(K$6,4)&lt;=LEFT('RFM input'!$G$60,4),"enter input",IF(LEFT(K$6,4)&gt;LEFT('RFM input'!$Q$60,4),0,
IF(K$6=(OFFSET('RFM input'!$G$60,0,'RFM input'!$V$7)),OFFSET('RFM input'!$H$411,$A1143,0),0)))</f>
        <v>0</v>
      </c>
      <c r="L1145" s="1417">
        <f ca="1">IF(LEFT(L$6,4)&lt;=LEFT('RFM input'!$G$60,4),"enter input",IF(LEFT(L$6,4)&gt;LEFT('RFM input'!$Q$60,4),0,
IF(L$6=(OFFSET('RFM input'!$G$60,0,'RFM input'!$V$7)),OFFSET('RFM input'!$H$411,$A1143,0),0)))</f>
        <v>0</v>
      </c>
      <c r="M1145" s="1417">
        <f ca="1">IF(LEFT(M$6,4)&lt;=LEFT('RFM input'!$G$60,4),"enter input",IF(LEFT(M$6,4)&gt;LEFT('RFM input'!$Q$60,4),0,
IF(M$6=(OFFSET('RFM input'!$G$60,0,'RFM input'!$V$7)),OFFSET('RFM input'!$H$411,$A1143,0),0)))</f>
        <v>0</v>
      </c>
      <c r="N1145" s="1417">
        <f ca="1">IF(LEFT(N$6,4)&lt;=LEFT('RFM input'!$G$60,4),"enter input",IF(LEFT(N$6,4)&gt;LEFT('RFM input'!$Q$60,4),0,
IF(N$6=(OFFSET('RFM input'!$G$60,0,'RFM input'!$V$7)),OFFSET('RFM input'!$H$411,$A1143,0),0)))</f>
        <v>0</v>
      </c>
      <c r="O1145" s="1417">
        <f ca="1">IF(LEFT(O$6,4)&lt;=LEFT('RFM input'!$G$60,4),"enter input",IF(LEFT(O$6,4)&gt;LEFT('RFM input'!$Q$60,4),0,
IF(O$6=(OFFSET('RFM input'!$G$60,0,'RFM input'!$V$7)),OFFSET('RFM input'!$H$411,$A1143,0),0)))</f>
        <v>0</v>
      </c>
      <c r="P1145" s="1417">
        <f ca="1">IF(LEFT(P$6,4)&lt;=LEFT('RFM input'!$G$60,4),"enter input",IF(LEFT(P$6,4)&gt;LEFT('RFM input'!$Q$60,4),0,
IF(P$6=(OFFSET('RFM input'!$G$60,0,'RFM input'!$V$7)),OFFSET('RFM input'!$H$411,$A1143,0),0)))</f>
        <v>0</v>
      </c>
      <c r="Q1145" s="1417">
        <f ca="1">IF(LEFT(Q$6,4)&lt;=LEFT('RFM input'!$G$60,4),"enter input",IF(LEFT(Q$6,4)&gt;LEFT('RFM input'!$Q$60,4),0,
IF(Q$6=(OFFSET('RFM input'!$G$60,0,'RFM input'!$V$7)),OFFSET('RFM input'!$H$411,$A1143,0),0)))</f>
        <v>0</v>
      </c>
      <c r="R1145" s="1417">
        <f ca="1">IF(LEFT(R$6,4)&lt;=LEFT('RFM input'!$G$60,4),"enter input",IF(LEFT(R$6,4)&gt;LEFT('RFM input'!$Q$60,4),0,
IF(R$6=(OFFSET('RFM input'!$G$60,0,'RFM input'!$V$7)),OFFSET('RFM input'!$H$411,$A1143,0),0)))</f>
        <v>0</v>
      </c>
      <c r="S1145" s="1417">
        <f ca="1">IF(LEFT(S$6,4)&lt;=LEFT('RFM input'!$G$60,4),"enter input",IF(LEFT(S$6,4)&gt;LEFT('RFM input'!$Q$60,4),0,
IF(S$6=(OFFSET('RFM input'!$G$60,0,'RFM input'!$V$7)),OFFSET('RFM input'!$H$411,$A1143,0),0)))</f>
        <v>0</v>
      </c>
      <c r="T1145" s="1417">
        <f ca="1">IF(LEFT(T$6,4)&lt;=LEFT('RFM input'!$G$60,4),"enter input",IF(LEFT(T$6,4)&gt;LEFT('RFM input'!$Q$60,4),0,
IF(T$6=(OFFSET('RFM input'!$G$60,0,'RFM input'!$V$7)),OFFSET('RFM input'!$H$411,$A1143,0),0)))</f>
        <v>0</v>
      </c>
      <c r="U1145" s="1417">
        <f ca="1">IF(LEFT(U$6,4)&lt;=LEFT('RFM input'!$G$60,4),"enter input",IF(LEFT(U$6,4)&gt;LEFT('RFM input'!$Q$60,4),0,
IF(U$6=(OFFSET('RFM input'!$G$60,0,'RFM input'!$V$7)),OFFSET('RFM input'!$H$411,$A1143,0),0)))</f>
        <v>0</v>
      </c>
      <c r="V1145" s="1417">
        <f ca="1">IF(LEFT(V$6,4)&lt;=LEFT('RFM input'!$G$60,4),"enter input",IF(LEFT(V$6,4)&gt;LEFT('RFM input'!$Q$60,4),0,
IF(V$6=(OFFSET('RFM input'!$G$60,0,'RFM input'!$V$7)),OFFSET('RFM input'!$H$411,$A1143,0),0)))</f>
        <v>0</v>
      </c>
      <c r="W1145" s="1417">
        <f ca="1">IF(LEFT(W$6,4)&lt;=LEFT('RFM input'!$G$60,4),"enter input",IF(LEFT(W$6,4)&gt;LEFT('RFM input'!$Q$60,4),0,
IF(W$6=(OFFSET('RFM input'!$G$60,0,'RFM input'!$V$7)),OFFSET('RFM input'!$H$411,$A1143,0),0)))</f>
        <v>0</v>
      </c>
      <c r="X1145" s="152"/>
      <c r="Y1145" s="152"/>
      <c r="Z1145" s="152"/>
      <c r="AA1145" s="152"/>
      <c r="AB1145" s="152"/>
    </row>
    <row r="1146" spans="1:28">
      <c r="A1146" s="152"/>
      <c r="B1146" s="193" t="s">
        <v>200</v>
      </c>
      <c r="C1146" s="1419"/>
      <c r="D1146" s="1418">
        <f ca="1">IF(LEFT(D$6,4)&lt;=LEFT('RFM input'!$G$60,4),"enter input",IF(LEFT(D$6,4)&gt;LEFT('RFM input'!$Q$60,4),0,
IF(D$6=(OFFSET('RFM input'!$G$60,0,'RFM input'!$V$7)),OFFSET('RFM input'!$J$411,$A1143,0),0)))</f>
        <v>0</v>
      </c>
      <c r="E1146" s="1422">
        <f ca="1">IF(LEFT(E$6,4)&lt;=LEFT('RFM input'!$G$60,4),"enter input",IF(LEFT(E$6,4)&gt;LEFT('RFM input'!$Q$60,4),0,
IF(E$6=(OFFSET('RFM input'!$G$60,0,'RFM input'!$V$7)),OFFSET('RFM input'!$J$411,$A1143,0),0)))</f>
        <v>0</v>
      </c>
      <c r="F1146" s="1422">
        <f ca="1">IF(LEFT(F$6,4)&lt;=LEFT('RFM input'!$G$60,4),"enter input",IF(LEFT(F$6,4)&gt;LEFT('RFM input'!$Q$60,4),0,
IF(F$6=(OFFSET('RFM input'!$G$60,0,'RFM input'!$V$7)),OFFSET('RFM input'!$J$411,$A1143,0),0)))</f>
        <v>0</v>
      </c>
      <c r="G1146" s="1422">
        <f ca="1">IF(LEFT(G$6,4)&lt;=LEFT('RFM input'!$G$60,4),"enter input",IF(LEFT(G$6,4)&gt;LEFT('RFM input'!$Q$60,4),0,
IF(G$6=(OFFSET('RFM input'!$G$60,0,'RFM input'!$V$7)),OFFSET('RFM input'!$J$411,$A1143,0),0)))</f>
        <v>0</v>
      </c>
      <c r="H1146" s="1422">
        <f ca="1">IF(LEFT(H$6,4)&lt;=LEFT('RFM input'!$G$60,4),"enter input",IF(LEFT(H$6,4)&gt;LEFT('RFM input'!$Q$60,4),0,
IF(H$6=(OFFSET('RFM input'!$G$60,0,'RFM input'!$V$7)),OFFSET('RFM input'!$J$411,$A1143,0),0)))</f>
        <v>0</v>
      </c>
      <c r="I1146" s="1422">
        <f ca="1">IF(LEFT(I$6,4)&lt;=LEFT('RFM input'!$G$60,4),"enter input",IF(LEFT(I$6,4)&gt;LEFT('RFM input'!$Q$60,4),0,
IF(I$6=(OFFSET('RFM input'!$G$60,0,'RFM input'!$V$7)),OFFSET('RFM input'!$J$411,$A1143,0),0)))</f>
        <v>0</v>
      </c>
      <c r="J1146" s="1422">
        <f ca="1">IF(LEFT(J$6,4)&lt;=LEFT('RFM input'!$G$60,4),"enter input",IF(LEFT(J$6,4)&gt;LEFT('RFM input'!$Q$60,4),0,
IF(J$6=(OFFSET('RFM input'!$G$60,0,'RFM input'!$V$7)),OFFSET('RFM input'!$J$411,$A1143,0),0)))</f>
        <v>0</v>
      </c>
      <c r="K1146" s="1422">
        <f ca="1">IF(LEFT(K$6,4)&lt;=LEFT('RFM input'!$G$60,4),"enter input",IF(LEFT(K$6,4)&gt;LEFT('RFM input'!$Q$60,4),0,
IF(K$6=(OFFSET('RFM input'!$G$60,0,'RFM input'!$V$7)),OFFSET('RFM input'!$J$411,$A1143,0),0)))</f>
        <v>0</v>
      </c>
      <c r="L1146" s="1422">
        <f ca="1">IF(LEFT(L$6,4)&lt;=LEFT('RFM input'!$G$60,4),"enter input",IF(LEFT(L$6,4)&gt;LEFT('RFM input'!$Q$60,4),0,
IF(L$6=(OFFSET('RFM input'!$G$60,0,'RFM input'!$V$7)),OFFSET('RFM input'!$J$411,$A1143,0),0)))</f>
        <v>0</v>
      </c>
      <c r="M1146" s="1422">
        <f ca="1">IF(LEFT(M$6,4)&lt;=LEFT('RFM input'!$G$60,4),"enter input",IF(LEFT(M$6,4)&gt;LEFT('RFM input'!$Q$60,4),0,
IF(M$6=(OFFSET('RFM input'!$G$60,0,'RFM input'!$V$7)),OFFSET('RFM input'!$J$411,$A1143,0),0)))</f>
        <v>0</v>
      </c>
      <c r="N1146" s="1422">
        <f ca="1">IF(LEFT(N$6,4)&lt;=LEFT('RFM input'!$G$60,4),"enter input",IF(LEFT(N$6,4)&gt;LEFT('RFM input'!$Q$60,4),0,
IF(N$6=(OFFSET('RFM input'!$G$60,0,'RFM input'!$V$7)),OFFSET('RFM input'!$J$411,$A1143,0),0)))</f>
        <v>0</v>
      </c>
      <c r="O1146" s="1422">
        <f ca="1">IF(LEFT(O$6,4)&lt;=LEFT('RFM input'!$G$60,4),"enter input",IF(LEFT(O$6,4)&gt;LEFT('RFM input'!$Q$60,4),0,
IF(O$6=(OFFSET('RFM input'!$G$60,0,'RFM input'!$V$7)),OFFSET('RFM input'!$J$411,$A1143,0),0)))</f>
        <v>0</v>
      </c>
      <c r="P1146" s="1422">
        <f ca="1">IF(LEFT(P$6,4)&lt;=LEFT('RFM input'!$G$60,4),"enter input",IF(LEFT(P$6,4)&gt;LEFT('RFM input'!$Q$60,4),0,
IF(P$6=(OFFSET('RFM input'!$G$60,0,'RFM input'!$V$7)),OFFSET('RFM input'!$J$411,$A1143,0),0)))</f>
        <v>0</v>
      </c>
      <c r="Q1146" s="1422">
        <f ca="1">IF(LEFT(Q$6,4)&lt;=LEFT('RFM input'!$G$60,4),"enter input",IF(LEFT(Q$6,4)&gt;LEFT('RFM input'!$Q$60,4),0,
IF(Q$6=(OFFSET('RFM input'!$G$60,0,'RFM input'!$V$7)),OFFSET('RFM input'!$J$411,$A1143,0),0)))</f>
        <v>0</v>
      </c>
      <c r="R1146" s="1422">
        <f ca="1">IF(LEFT(R$6,4)&lt;=LEFT('RFM input'!$G$60,4),"enter input",IF(LEFT(R$6,4)&gt;LEFT('RFM input'!$Q$60,4),0,
IF(R$6=(OFFSET('RFM input'!$G$60,0,'RFM input'!$V$7)),OFFSET('RFM input'!$J$411,$A1143,0),0)))</f>
        <v>0</v>
      </c>
      <c r="S1146" s="1422">
        <f ca="1">IF(LEFT(S$6,4)&lt;=LEFT('RFM input'!$G$60,4),"enter input",IF(LEFT(S$6,4)&gt;LEFT('RFM input'!$Q$60,4),0,
IF(S$6=(OFFSET('RFM input'!$G$60,0,'RFM input'!$V$7)),OFFSET('RFM input'!$J$411,$A1143,0),0)))</f>
        <v>0</v>
      </c>
      <c r="T1146" s="1422">
        <f ca="1">IF(LEFT(T$6,4)&lt;=LEFT('RFM input'!$G$60,4),"enter input",IF(LEFT(T$6,4)&gt;LEFT('RFM input'!$Q$60,4),0,
IF(T$6=(OFFSET('RFM input'!$G$60,0,'RFM input'!$V$7)),OFFSET('RFM input'!$J$411,$A1143,0),0)))</f>
        <v>0</v>
      </c>
      <c r="U1146" s="1422">
        <f ca="1">IF(LEFT(U$6,4)&lt;=LEFT('RFM input'!$G$60,4),"enter input",IF(LEFT(U$6,4)&gt;LEFT('RFM input'!$Q$60,4),0,
IF(U$6=(OFFSET('RFM input'!$G$60,0,'RFM input'!$V$7)),OFFSET('RFM input'!$J$411,$A1143,0),0)))</f>
        <v>0</v>
      </c>
      <c r="V1146" s="1422">
        <f ca="1">IF(LEFT(V$6,4)&lt;=LEFT('RFM input'!$G$60,4),"enter input",IF(LEFT(V$6,4)&gt;LEFT('RFM input'!$Q$60,4),0,
IF(V$6=(OFFSET('RFM input'!$G$60,0,'RFM input'!$V$7)),OFFSET('RFM input'!$J$411,$A1143,0),0)))</f>
        <v>0</v>
      </c>
      <c r="W1146" s="1422">
        <f ca="1">IF(LEFT(W$6,4)&lt;=LEFT('RFM input'!$G$60,4),"enter input",IF(LEFT(W$6,4)&gt;LEFT('RFM input'!$Q$60,4),0,
IF(W$6=(OFFSET('RFM input'!$G$60,0,'RFM input'!$V$7)),OFFSET('RFM input'!$J$411,$A1143,0),0)))</f>
        <v>0</v>
      </c>
      <c r="X1146" s="152"/>
      <c r="Y1146" s="152"/>
      <c r="Z1146" s="152"/>
      <c r="AA1146" s="152"/>
      <c r="AB1146" s="152"/>
    </row>
    <row r="1147" spans="1:28" hidden="1" outlineLevel="1">
      <c r="A1147" s="235">
        <v>-1</v>
      </c>
      <c r="B1147" s="190" t="s">
        <v>195</v>
      </c>
      <c r="C1147" s="1423"/>
      <c r="D1147" s="1423">
        <f t="shared" ref="D1147" ca="1" si="1632">IF(AND(D1145=0,C1147=0),0,
IF(AND(D1145&lt;&gt;0,C1147=0),D1145,
IF(AND(D1146&lt;&gt;0,C1147&lt;&gt;0),(C1147-(C1147/C1171))+D1145,
IF(C1171&lt;1,0,(C1147-(C1147/C1171))))))</f>
        <v>0</v>
      </c>
      <c r="E1147" s="1423">
        <f t="shared" ref="E1147" ca="1" si="1633">IF(AND(E1145=0,D1147=0),0,
IF(AND(E1145&lt;&gt;0,D1147=0),E1145,
IF(AND(E1146&lt;&gt;0,D1147&lt;&gt;0),(D1147-(D1147/D1171))+E1145,
IF(D1171&lt;1,0,(D1147-(D1147/D1171))))))</f>
        <v>0</v>
      </c>
      <c r="F1147" s="1423">
        <f t="shared" ref="F1147" ca="1" si="1634">IF(AND(F1145=0,E1147=0),0,
IF(AND(F1145&lt;&gt;0,E1147=0),F1145,
IF(AND(F1146&lt;&gt;0,E1147&lt;&gt;0),(E1147-(E1147/E1171))+F1145,
IF(E1171&lt;1,0,(E1147-(E1147/E1171))))))</f>
        <v>0</v>
      </c>
      <c r="G1147" s="1423">
        <f t="shared" ref="G1147" ca="1" si="1635">IF(AND(G1145=0,F1147=0),0,
IF(AND(G1145&lt;&gt;0,F1147=0),G1145,
IF(AND(G1146&lt;&gt;0,F1147&lt;&gt;0),(F1147-(F1147/F1171))+G1145,
IF(F1171&lt;1,0,(F1147-(F1147/F1171))))))</f>
        <v>0</v>
      </c>
      <c r="H1147" s="1423">
        <f ca="1">IF(AND(H1145=0,G1147=0),0,
IF(AND(H1145&lt;&gt;0,G1147=0),H1145,
IF(AND(H1146&lt;&gt;0,G1147&lt;&gt;0),(G1147-(G1147/G1171))+H1145,
IF(G1171&lt;1,0,(G1147-(G1147/G1171))))))</f>
        <v>0</v>
      </c>
      <c r="I1147" s="1423">
        <f t="shared" ref="I1147" ca="1" si="1636">IF(AND(I1145=0,H1147=0),0,
IF(AND(I1145&lt;&gt;0,H1147=0),I1145,
IF(AND(I1146&lt;&gt;0,H1147&lt;&gt;0),(H1147-(H1147/H1171))+I1145,
IF(H1171&lt;1,0,(H1147-(H1147/H1171))))))</f>
        <v>0</v>
      </c>
      <c r="J1147" s="1423">
        <f t="shared" ref="J1147" ca="1" si="1637">IF(AND(J1145=0,I1147=0),0,
IF(AND(J1145&lt;&gt;0,I1147=0),J1145,
IF(AND(J1146&lt;&gt;0,I1147&lt;&gt;0),(I1147-(I1147/I1171))+J1145,
IF(I1171&lt;1,0,(I1147-(I1147/I1171))))))</f>
        <v>0</v>
      </c>
      <c r="K1147" s="1423">
        <f t="shared" ref="K1147" ca="1" si="1638">IF(AND(K1145=0,J1147=0),0,
IF(AND(K1145&lt;&gt;0,J1147=0),K1145,
IF(AND(K1146&lt;&gt;0,J1147&lt;&gt;0),(J1147-(J1147/J1171))+K1145,
IF(J1171&lt;1,0,(J1147-(J1147/J1171))))))</f>
        <v>0</v>
      </c>
      <c r="L1147" s="1423">
        <f t="shared" ref="L1147" ca="1" si="1639">IF(AND(L1145=0,K1147=0),0,
IF(AND(L1145&lt;&gt;0,K1147=0),L1145,
IF(AND(L1146&lt;&gt;0,K1147&lt;&gt;0),(K1147-(K1147/K1171))+L1145,
IF(K1171&lt;1,0,(K1147-(K1147/K1171))))))</f>
        <v>0</v>
      </c>
      <c r="M1147" s="1423">
        <f t="shared" ref="M1147" ca="1" si="1640">IF(AND(M1145=0,L1147=0),0,
IF(AND(M1145&lt;&gt;0,L1147=0),M1145,
IF(AND(M1146&lt;&gt;0,L1147&lt;&gt;0),(L1147-(L1147/L1171))+M1145,
IF(L1171&lt;1,0,(L1147-(L1147/L1171))))))</f>
        <v>0</v>
      </c>
      <c r="N1147" s="1423">
        <f t="shared" ref="N1147" ca="1" si="1641">IF(AND(N1145=0,M1147=0),0,
IF(AND(N1145&lt;&gt;0,M1147=0),N1145,
IF(AND(N1146&lt;&gt;0,M1147&lt;&gt;0),(M1147-(M1147/M1171))+N1145,
IF(M1171&lt;1,0,(M1147-(M1147/M1171))))))</f>
        <v>0</v>
      </c>
      <c r="O1147" s="1423">
        <f t="shared" ref="O1147" ca="1" si="1642">IF(AND(O1145=0,N1147=0),0,
IF(AND(O1145&lt;&gt;0,N1147=0),O1145,
IF(AND(O1146&lt;&gt;0,N1147&lt;&gt;0),(N1147-(N1147/N1171))+O1145,
IF(N1171&lt;1,0,(N1147-(N1147/N1171))))))</f>
        <v>0</v>
      </c>
      <c r="P1147" s="1423">
        <f t="shared" ref="P1147" ca="1" si="1643">IF(AND(P1145=0,O1147=0),0,
IF(AND(P1145&lt;&gt;0,O1147=0),P1145,
IF(AND(P1146&lt;&gt;0,O1147&lt;&gt;0),(O1147-(O1147/O1171))+P1145,
IF(O1171&lt;1,0,(O1147-(O1147/O1171))))))</f>
        <v>0</v>
      </c>
      <c r="Q1147" s="1423">
        <f t="shared" ref="Q1147" ca="1" si="1644">IF(AND(Q1145=0,P1147=0),0,
IF(AND(Q1145&lt;&gt;0,P1147=0),Q1145,
IF(AND(Q1146&lt;&gt;0,P1147&lt;&gt;0),(P1147-(P1147/P1171))+Q1145,
IF(P1171&lt;1,0,(P1147-(P1147/P1171))))))</f>
        <v>0</v>
      </c>
      <c r="R1147" s="1423">
        <f t="shared" ref="R1147" ca="1" si="1645">IF(AND(R1145=0,Q1147=0),0,
IF(AND(R1145&lt;&gt;0,Q1147=0),R1145,
IF(AND(R1146&lt;&gt;0,Q1147&lt;&gt;0),(Q1147-(Q1147/Q1171))+R1145,
IF(Q1171&lt;1,0,(Q1147-(Q1147/Q1171))))))</f>
        <v>0</v>
      </c>
      <c r="S1147" s="1423">
        <f t="shared" ref="S1147" ca="1" si="1646">IF(AND(S1145=0,R1147=0),0,
IF(AND(S1145&lt;&gt;0,R1147=0),S1145,
IF(AND(S1146&lt;&gt;0,R1147&lt;&gt;0),(R1147-(R1147/R1171))+S1145,
IF(R1171&lt;1,0,(R1147-(R1147/R1171))))))</f>
        <v>0</v>
      </c>
      <c r="T1147" s="1423">
        <f t="shared" ref="T1147" ca="1" si="1647">IF(AND(T1145=0,S1147=0),0,
IF(AND(T1145&lt;&gt;0,S1147=0),T1145,
IF(AND(T1146&lt;&gt;0,S1147&lt;&gt;0),(S1147-(S1147/S1171))+T1145,
IF(S1171&lt;1,0,(S1147-(S1147/S1171))))))</f>
        <v>0</v>
      </c>
      <c r="U1147" s="1423">
        <f t="shared" ref="U1147" ca="1" si="1648">IF(AND(U1145=0,T1147=0),0,
IF(AND(U1145&lt;&gt;0,T1147=0),U1145,
IF(AND(U1146&lt;&gt;0,T1147&lt;&gt;0),(T1147-(T1147/T1171))+U1145,
IF(T1171&lt;1,0,(T1147-(T1147/T1171))))))</f>
        <v>0</v>
      </c>
      <c r="V1147" s="1423">
        <f t="shared" ref="V1147" ca="1" si="1649">IF(AND(V1145=0,U1147=0),0,
IF(AND(V1145&lt;&gt;0,U1147=0),V1145,
IF(AND(V1146&lt;&gt;0,U1147&lt;&gt;0),(U1147-(U1147/U1171))+V1145,
IF(U1171&lt;1,0,(U1147-(U1147/U1171))))))</f>
        <v>0</v>
      </c>
      <c r="W1147" s="1423">
        <f t="shared" ref="W1147" ca="1" si="1650">IF(AND(W1145=0,V1147=0),0,
IF(AND(W1145&lt;&gt;0,V1147=0),W1145,
IF(AND(W1146&lt;&gt;0,V1147&lt;&gt;0),(V1147-(V1147/V1171))+W1145,
IF(V1171&lt;1,0,(V1147-(V1147/V1171))))))</f>
        <v>0</v>
      </c>
      <c r="X1147" s="152"/>
      <c r="Y1147" s="152"/>
      <c r="Z1147" s="152"/>
      <c r="AA1147" s="152"/>
      <c r="AB1147" s="152"/>
    </row>
    <row r="1148" spans="1:28" hidden="1" outlineLevel="1">
      <c r="A1148" s="199">
        <f>A1147+1</f>
        <v>0</v>
      </c>
      <c r="B1148" s="190" t="s">
        <v>527</v>
      </c>
      <c r="C1148" s="1423">
        <f ca="1">C1143</f>
        <v>0</v>
      </c>
      <c r="D1148" s="1423">
        <f ca="1">IF(C1172="n/a",C1148,IFERROR(IF((OFFSET($C1148,0,$A1148))&lt;0,
MIN(0,C1148-(OFFSET($C1148,0,$A1148)/(OFFSET($C1143,-$A1147,$A1148)))),
MAX(0,C1148-(OFFSET($C1148,0,$A1148)/(OFFSET($C1143,-$A1147,$A1148))))),0))</f>
        <v>0</v>
      </c>
      <c r="E1148" s="1423">
        <f t="shared" ref="E1148" ca="1" si="1651">IF(D1172="n/a",D1148,IFERROR(IF((OFFSET($C1148,0,$A1148))&lt;0,
MIN(0,D1148-(OFFSET($C1148,0,$A1148)/(OFFSET($C1143,-$A1147,$A1148)))),
MAX(0,D1148-(OFFSET($C1148,0,$A1148)/(OFFSET($C1143,-$A1147,$A1148))))),0))</f>
        <v>0</v>
      </c>
      <c r="F1148" s="1423">
        <f t="shared" ref="F1148:F1149" ca="1" si="1652">IF(E1172="n/a",E1148,IFERROR(IF((OFFSET($C1148,0,$A1148))&lt;0,
MIN(0,E1148-(OFFSET($C1148,0,$A1148)/(OFFSET($C1143,-$A1147,$A1148)))),
MAX(0,E1148-(OFFSET($C1148,0,$A1148)/(OFFSET($C1143,-$A1147,$A1148))))),0))</f>
        <v>0</v>
      </c>
      <c r="G1148" s="1423">
        <f t="shared" ref="G1148:G1150" ca="1" si="1653">IF(F1172="n/a",F1148,IFERROR(IF((OFFSET($C1148,0,$A1148))&lt;0,
MIN(0,F1148-(OFFSET($C1148,0,$A1148)/(OFFSET($C1143,-$A1147,$A1148)))),
MAX(0,F1148-(OFFSET($C1148,0,$A1148)/(OFFSET($C1143,-$A1147,$A1148))))),0))</f>
        <v>0</v>
      </c>
      <c r="H1148" s="1423">
        <f t="shared" ref="H1148:H1151" ca="1" si="1654">IF(G1172="n/a",G1148,IFERROR(IF((OFFSET($C1148,0,$A1148))&lt;0,
MIN(0,G1148-(OFFSET($C1148,0,$A1148)/(OFFSET($C1143,-$A1147,$A1148)))),
MAX(0,G1148-(OFFSET($C1148,0,$A1148)/(OFFSET($C1143,-$A1147,$A1148))))),0))</f>
        <v>0</v>
      </c>
      <c r="I1148" s="1423">
        <f t="shared" ref="I1148:I1152" ca="1" si="1655">IF(H1172="n/a",H1148,IFERROR(IF((OFFSET($C1148,0,$A1148))&lt;0,
MIN(0,H1148-(OFFSET($C1148,0,$A1148)/(OFFSET($C1143,-$A1147,$A1148)))),
MAX(0,H1148-(OFFSET($C1148,0,$A1148)/(OFFSET($C1143,-$A1147,$A1148))))),0))</f>
        <v>0</v>
      </c>
      <c r="J1148" s="1423">
        <f t="shared" ref="J1148:J1153" ca="1" si="1656">IF(I1172="n/a",I1148,IFERROR(IF((OFFSET($C1148,0,$A1148))&lt;0,
MIN(0,I1148-(OFFSET($C1148,0,$A1148)/(OFFSET($C1143,-$A1147,$A1148)))),
MAX(0,I1148-(OFFSET($C1148,0,$A1148)/(OFFSET($C1143,-$A1147,$A1148))))),0))</f>
        <v>0</v>
      </c>
      <c r="K1148" s="1423">
        <f t="shared" ref="K1148:K1154" ca="1" si="1657">IF(J1172="n/a",J1148,IFERROR(IF((OFFSET($C1148,0,$A1148))&lt;0,
MIN(0,J1148-(OFFSET($C1148,0,$A1148)/(OFFSET($C1143,-$A1147,$A1148)))),
MAX(0,J1148-(OFFSET($C1148,0,$A1148)/(OFFSET($C1143,-$A1147,$A1148))))),0))</f>
        <v>0</v>
      </c>
      <c r="L1148" s="1423">
        <f t="shared" ref="L1148:L1155" ca="1" si="1658">IF(K1172="n/a",K1148,IFERROR(IF((OFFSET($C1148,0,$A1148))&lt;0,
MIN(0,K1148-(OFFSET($C1148,0,$A1148)/(OFFSET($C1143,-$A1147,$A1148)))),
MAX(0,K1148-(OFFSET($C1148,0,$A1148)/(OFFSET($C1143,-$A1147,$A1148))))),0))</f>
        <v>0</v>
      </c>
      <c r="M1148" s="1423">
        <f t="shared" ref="M1148:M1156" ca="1" si="1659">IF(L1172="n/a",L1148,IFERROR(IF((OFFSET($C1148,0,$A1148))&lt;0,
MIN(0,L1148-(OFFSET($C1148,0,$A1148)/(OFFSET($C1143,-$A1147,$A1148)))),
MAX(0,L1148-(OFFSET($C1148,0,$A1148)/(OFFSET($C1143,-$A1147,$A1148))))),0))</f>
        <v>0</v>
      </c>
      <c r="N1148" s="1423">
        <f t="shared" ref="N1148:N1157" ca="1" si="1660">IF(M1172="n/a",M1148,IFERROR(IF((OFFSET($C1148,0,$A1148))&lt;0,
MIN(0,M1148-(OFFSET($C1148,0,$A1148)/(OFFSET($C1143,-$A1147,$A1148)))),
MAX(0,M1148-(OFFSET($C1148,0,$A1148)/(OFFSET($C1143,-$A1147,$A1148))))),0))</f>
        <v>0</v>
      </c>
      <c r="O1148" s="1423">
        <f t="shared" ref="O1148:O1158" ca="1" si="1661">IF(N1172="n/a",N1148,IFERROR(IF((OFFSET($C1148,0,$A1148))&lt;0,
MIN(0,N1148-(OFFSET($C1148,0,$A1148)/(OFFSET($C1143,-$A1147,$A1148)))),
MAX(0,N1148-(OFFSET($C1148,0,$A1148)/(OFFSET($C1143,-$A1147,$A1148))))),0))</f>
        <v>0</v>
      </c>
      <c r="P1148" s="1423">
        <f t="shared" ref="P1148:P1159" ca="1" si="1662">IF(O1172="n/a",O1148,IFERROR(IF((OFFSET($C1148,0,$A1148))&lt;0,
MIN(0,O1148-(OFFSET($C1148,0,$A1148)/(OFFSET($C1143,-$A1147,$A1148)))),
MAX(0,O1148-(OFFSET($C1148,0,$A1148)/(OFFSET($C1143,-$A1147,$A1148))))),0))</f>
        <v>0</v>
      </c>
      <c r="Q1148" s="1423">
        <f t="shared" ref="Q1148:Q1160" ca="1" si="1663">IF(P1172="n/a",P1148,IFERROR(IF((OFFSET($C1148,0,$A1148))&lt;0,
MIN(0,P1148-(OFFSET($C1148,0,$A1148)/(OFFSET($C1143,-$A1147,$A1148)))),
MAX(0,P1148-(OFFSET($C1148,0,$A1148)/(OFFSET($C1143,-$A1147,$A1148))))),0))</f>
        <v>0</v>
      </c>
      <c r="R1148" s="1423">
        <f t="shared" ref="R1148:R1161" ca="1" si="1664">IF(Q1172="n/a",Q1148,IFERROR(IF((OFFSET($C1148,0,$A1148))&lt;0,
MIN(0,Q1148-(OFFSET($C1148,0,$A1148)/(OFFSET($C1143,-$A1147,$A1148)))),
MAX(0,Q1148-(OFFSET($C1148,0,$A1148)/(OFFSET($C1143,-$A1147,$A1148))))),0))</f>
        <v>0</v>
      </c>
      <c r="S1148" s="1423">
        <f t="shared" ref="S1148:S1162" ca="1" si="1665">IF(R1172="n/a",R1148,IFERROR(IF((OFFSET($C1148,0,$A1148))&lt;0,
MIN(0,R1148-(OFFSET($C1148,0,$A1148)/(OFFSET($C1143,-$A1147,$A1148)))),
MAX(0,R1148-(OFFSET($C1148,0,$A1148)/(OFFSET($C1143,-$A1147,$A1148))))),0))</f>
        <v>0</v>
      </c>
      <c r="T1148" s="1423">
        <f t="shared" ref="T1148:T1163" ca="1" si="1666">IF(S1172="n/a",S1148,IFERROR(IF((OFFSET($C1148,0,$A1148))&lt;0,
MIN(0,S1148-(OFFSET($C1148,0,$A1148)/(OFFSET($C1143,-$A1147,$A1148)))),
MAX(0,S1148-(OFFSET($C1148,0,$A1148)/(OFFSET($C1143,-$A1147,$A1148))))),0))</f>
        <v>0</v>
      </c>
      <c r="U1148" s="1423">
        <f t="shared" ref="U1148:U1164" ca="1" si="1667">IF(T1172="n/a",T1148,IFERROR(IF((OFFSET($C1148,0,$A1148))&lt;0,
MIN(0,T1148-(OFFSET($C1148,0,$A1148)/(OFFSET($C1143,-$A1147,$A1148)))),
MAX(0,T1148-(OFFSET($C1148,0,$A1148)/(OFFSET($C1143,-$A1147,$A1148))))),0))</f>
        <v>0</v>
      </c>
      <c r="V1148" s="1423">
        <f t="shared" ref="V1148:V1165" ca="1" si="1668">IF(U1172="n/a",U1148,IFERROR(IF((OFFSET($C1148,0,$A1148))&lt;0,
MIN(0,U1148-(OFFSET($C1148,0,$A1148)/(OFFSET($C1143,-$A1147,$A1148)))),
MAX(0,U1148-(OFFSET($C1148,0,$A1148)/(OFFSET($C1143,-$A1147,$A1148))))),0))</f>
        <v>0</v>
      </c>
      <c r="W1148" s="1423">
        <f t="shared" ref="W1148:W1166" ca="1" si="1669">IF(V1172="n/a",V1148,IFERROR(IF((OFFSET($C1148,0,$A1148))&lt;0,
MIN(0,V1148-(OFFSET($C1148,0,$A1148)/(OFFSET($C1143,-$A1147,$A1148)))),
MAX(0,V1148-(OFFSET($C1148,0,$A1148)/(OFFSET($C1143,-$A1147,$A1148))))),0))</f>
        <v>0</v>
      </c>
      <c r="X1148" s="152"/>
      <c r="Y1148" s="152"/>
      <c r="Z1148" s="152"/>
      <c r="AA1148" s="152"/>
      <c r="AB1148" s="152"/>
    </row>
    <row r="1149" spans="1:28" hidden="1" outlineLevel="1">
      <c r="A1149" s="199">
        <f t="shared" ref="A1149:A1168" si="1670">A1148+1</f>
        <v>1</v>
      </c>
      <c r="B1149" s="190" t="str">
        <f t="shared" ref="B1149:B1168" ca="1" si="1671">"Depreciated Net Capex "&amp;OFFSET($C$6,0,A1149)</f>
        <v>Depreciated Net Capex 2016-17</v>
      </c>
      <c r="C1149" s="1424"/>
      <c r="D1149" s="1425">
        <f>D1143</f>
        <v>0</v>
      </c>
      <c r="E1149" s="1423">
        <f ca="1">IF(D1173="n/a",D1149,IFERROR(IF((OFFSET($C1149,0,$A1149))&lt;0,
MIN(0,D1149-(OFFSET($C1149,0,$A1149)/(OFFSET($C1144,-$A1148,$A1149)))),
MAX(0,D1149-(OFFSET($C1149,0,$A1149)/(OFFSET($C1144,-$A1148,$A1149))))),0))</f>
        <v>0</v>
      </c>
      <c r="F1149" s="1423">
        <f t="shared" ca="1" si="1652"/>
        <v>0</v>
      </c>
      <c r="G1149" s="1423">
        <f t="shared" ca="1" si="1653"/>
        <v>0</v>
      </c>
      <c r="H1149" s="1423">
        <f t="shared" ca="1" si="1654"/>
        <v>0</v>
      </c>
      <c r="I1149" s="1423">
        <f t="shared" ca="1" si="1655"/>
        <v>0</v>
      </c>
      <c r="J1149" s="1423">
        <f t="shared" ca="1" si="1656"/>
        <v>0</v>
      </c>
      <c r="K1149" s="1423">
        <f t="shared" ca="1" si="1657"/>
        <v>0</v>
      </c>
      <c r="L1149" s="1423">
        <f t="shared" ca="1" si="1658"/>
        <v>0</v>
      </c>
      <c r="M1149" s="1423">
        <f t="shared" ca="1" si="1659"/>
        <v>0</v>
      </c>
      <c r="N1149" s="1423">
        <f t="shared" ca="1" si="1660"/>
        <v>0</v>
      </c>
      <c r="O1149" s="1423">
        <f t="shared" ca="1" si="1661"/>
        <v>0</v>
      </c>
      <c r="P1149" s="1423">
        <f t="shared" ca="1" si="1662"/>
        <v>0</v>
      </c>
      <c r="Q1149" s="1423">
        <f t="shared" ca="1" si="1663"/>
        <v>0</v>
      </c>
      <c r="R1149" s="1423">
        <f t="shared" ca="1" si="1664"/>
        <v>0</v>
      </c>
      <c r="S1149" s="1423">
        <f t="shared" ca="1" si="1665"/>
        <v>0</v>
      </c>
      <c r="T1149" s="1423">
        <f t="shared" ca="1" si="1666"/>
        <v>0</v>
      </c>
      <c r="U1149" s="1423">
        <f t="shared" ca="1" si="1667"/>
        <v>0</v>
      </c>
      <c r="V1149" s="1423">
        <f t="shared" ca="1" si="1668"/>
        <v>0</v>
      </c>
      <c r="W1149" s="1423">
        <f t="shared" ca="1" si="1669"/>
        <v>0</v>
      </c>
      <c r="X1149" s="152"/>
      <c r="Y1149" s="152"/>
      <c r="Z1149" s="152"/>
      <c r="AA1149" s="152"/>
      <c r="AB1149" s="152"/>
    </row>
    <row r="1150" spans="1:28" hidden="1" outlineLevel="1">
      <c r="A1150" s="199">
        <f t="shared" si="1670"/>
        <v>2</v>
      </c>
      <c r="B1150" s="190" t="str">
        <f t="shared" ca="1" si="1671"/>
        <v>Depreciated Net Capex 2017-18</v>
      </c>
      <c r="C1150" s="1426"/>
      <c r="D1150" s="1427"/>
      <c r="E1150" s="1425">
        <f>E1143</f>
        <v>0</v>
      </c>
      <c r="F1150" s="1423">
        <f ca="1">IF(E1174="n/a",E1150,IFERROR(IF((OFFSET($C1150,0,$A1150))&lt;0,
MIN(0,E1150-(OFFSET($C1150,0,$A1150)/(OFFSET($C1145,-$A1149,$A1150)))),
MAX(0,E1150-(OFFSET($C1150,0,$A1150)/(OFFSET($C1145,-$A1149,$A1150))))),0))</f>
        <v>0</v>
      </c>
      <c r="G1150" s="1423">
        <f t="shared" ca="1" si="1653"/>
        <v>0</v>
      </c>
      <c r="H1150" s="1423">
        <f t="shared" ca="1" si="1654"/>
        <v>0</v>
      </c>
      <c r="I1150" s="1423">
        <f t="shared" ca="1" si="1655"/>
        <v>0</v>
      </c>
      <c r="J1150" s="1423">
        <f t="shared" ca="1" si="1656"/>
        <v>0</v>
      </c>
      <c r="K1150" s="1423">
        <f t="shared" ca="1" si="1657"/>
        <v>0</v>
      </c>
      <c r="L1150" s="1423">
        <f t="shared" ca="1" si="1658"/>
        <v>0</v>
      </c>
      <c r="M1150" s="1423">
        <f t="shared" ca="1" si="1659"/>
        <v>0</v>
      </c>
      <c r="N1150" s="1423">
        <f t="shared" ca="1" si="1660"/>
        <v>0</v>
      </c>
      <c r="O1150" s="1423">
        <f t="shared" ca="1" si="1661"/>
        <v>0</v>
      </c>
      <c r="P1150" s="1423">
        <f t="shared" ca="1" si="1662"/>
        <v>0</v>
      </c>
      <c r="Q1150" s="1423">
        <f t="shared" ca="1" si="1663"/>
        <v>0</v>
      </c>
      <c r="R1150" s="1423">
        <f t="shared" ca="1" si="1664"/>
        <v>0</v>
      </c>
      <c r="S1150" s="1423">
        <f t="shared" ca="1" si="1665"/>
        <v>0</v>
      </c>
      <c r="T1150" s="1423">
        <f t="shared" ca="1" si="1666"/>
        <v>0</v>
      </c>
      <c r="U1150" s="1423">
        <f t="shared" ca="1" si="1667"/>
        <v>0</v>
      </c>
      <c r="V1150" s="1423">
        <f t="shared" ca="1" si="1668"/>
        <v>0</v>
      </c>
      <c r="W1150" s="1423">
        <f t="shared" ca="1" si="1669"/>
        <v>0</v>
      </c>
      <c r="X1150" s="202"/>
      <c r="Y1150" s="152"/>
      <c r="Z1150" s="152"/>
      <c r="AA1150" s="152"/>
      <c r="AB1150" s="152"/>
    </row>
    <row r="1151" spans="1:28" hidden="1" outlineLevel="1">
      <c r="A1151" s="199">
        <f t="shared" si="1670"/>
        <v>3</v>
      </c>
      <c r="B1151" s="190" t="str">
        <f t="shared" ca="1" si="1671"/>
        <v>Depreciated Net Capex 2018-19</v>
      </c>
      <c r="C1151" s="1426"/>
      <c r="D1151" s="1426"/>
      <c r="E1151" s="1427"/>
      <c r="F1151" s="1428">
        <f>F1143</f>
        <v>0</v>
      </c>
      <c r="G1151" s="1423">
        <f ca="1">IF(F1175="n/a",F1151,IFERROR(IF((OFFSET($C1151,0,$A1151))&lt;0,
MIN(0,F1151-(OFFSET($C1151,0,$A1151)/(OFFSET($C1146,-$A1150,$A1151)))),
MAX(0,F1151-(OFFSET($C1151,0,$A1151)/(OFFSET($C1146,-$A1150,$A1151))))),0))</f>
        <v>0</v>
      </c>
      <c r="H1151" s="1423">
        <f t="shared" ca="1" si="1654"/>
        <v>0</v>
      </c>
      <c r="I1151" s="1423">
        <f t="shared" ca="1" si="1655"/>
        <v>0</v>
      </c>
      <c r="J1151" s="1423">
        <f t="shared" ca="1" si="1656"/>
        <v>0</v>
      </c>
      <c r="K1151" s="1423">
        <f t="shared" ca="1" si="1657"/>
        <v>0</v>
      </c>
      <c r="L1151" s="1423">
        <f t="shared" ca="1" si="1658"/>
        <v>0</v>
      </c>
      <c r="M1151" s="1423">
        <f t="shared" ca="1" si="1659"/>
        <v>0</v>
      </c>
      <c r="N1151" s="1423">
        <f t="shared" ca="1" si="1660"/>
        <v>0</v>
      </c>
      <c r="O1151" s="1423">
        <f t="shared" ca="1" si="1661"/>
        <v>0</v>
      </c>
      <c r="P1151" s="1423">
        <f t="shared" ca="1" si="1662"/>
        <v>0</v>
      </c>
      <c r="Q1151" s="1423">
        <f t="shared" ca="1" si="1663"/>
        <v>0</v>
      </c>
      <c r="R1151" s="1423">
        <f t="shared" ca="1" si="1664"/>
        <v>0</v>
      </c>
      <c r="S1151" s="1423">
        <f t="shared" ca="1" si="1665"/>
        <v>0</v>
      </c>
      <c r="T1151" s="1423">
        <f t="shared" ca="1" si="1666"/>
        <v>0</v>
      </c>
      <c r="U1151" s="1423">
        <f t="shared" ca="1" si="1667"/>
        <v>0</v>
      </c>
      <c r="V1151" s="1423">
        <f t="shared" ca="1" si="1668"/>
        <v>0</v>
      </c>
      <c r="W1151" s="1423">
        <f t="shared" ca="1" si="1669"/>
        <v>0</v>
      </c>
      <c r="X1151" s="202"/>
      <c r="Y1151" s="202"/>
      <c r="Z1151" s="152"/>
      <c r="AA1151" s="152"/>
      <c r="AB1151" s="152"/>
    </row>
    <row r="1152" spans="1:28" hidden="1" outlineLevel="1">
      <c r="A1152" s="199">
        <f t="shared" si="1670"/>
        <v>4</v>
      </c>
      <c r="B1152" s="190" t="str">
        <f t="shared" ca="1" si="1671"/>
        <v>Depreciated Net Capex 2019-20</v>
      </c>
      <c r="C1152" s="1426"/>
      <c r="D1152" s="1426"/>
      <c r="E1152" s="1426"/>
      <c r="F1152" s="1427"/>
      <c r="G1152" s="1428">
        <f>G1143</f>
        <v>0</v>
      </c>
      <c r="H1152" s="1423">
        <f ca="1">IF(G1176="n/a",G1152,IFERROR(IF((OFFSET($C1152,0,$A1152))&lt;0,
MIN(0,G1152-(OFFSET($C1152,0,$A1152)/(OFFSET($C1147,-$A1151,$A1152)))),
MAX(0,G1152-(OFFSET($C1152,0,$A1152)/(OFFSET($C1147,-$A1151,$A1152))))),0))</f>
        <v>0</v>
      </c>
      <c r="I1152" s="1423">
        <f t="shared" ca="1" si="1655"/>
        <v>0</v>
      </c>
      <c r="J1152" s="1423">
        <f t="shared" ca="1" si="1656"/>
        <v>0</v>
      </c>
      <c r="K1152" s="1423">
        <f t="shared" ca="1" si="1657"/>
        <v>0</v>
      </c>
      <c r="L1152" s="1423">
        <f t="shared" ca="1" si="1658"/>
        <v>0</v>
      </c>
      <c r="M1152" s="1423">
        <f t="shared" ca="1" si="1659"/>
        <v>0</v>
      </c>
      <c r="N1152" s="1423">
        <f t="shared" ca="1" si="1660"/>
        <v>0</v>
      </c>
      <c r="O1152" s="1423">
        <f t="shared" ca="1" si="1661"/>
        <v>0</v>
      </c>
      <c r="P1152" s="1423">
        <f t="shared" ca="1" si="1662"/>
        <v>0</v>
      </c>
      <c r="Q1152" s="1423">
        <f t="shared" ca="1" si="1663"/>
        <v>0</v>
      </c>
      <c r="R1152" s="1423">
        <f t="shared" ca="1" si="1664"/>
        <v>0</v>
      </c>
      <c r="S1152" s="1423">
        <f t="shared" ca="1" si="1665"/>
        <v>0</v>
      </c>
      <c r="T1152" s="1423">
        <f t="shared" ca="1" si="1666"/>
        <v>0</v>
      </c>
      <c r="U1152" s="1423">
        <f t="shared" ca="1" si="1667"/>
        <v>0</v>
      </c>
      <c r="V1152" s="1423">
        <f t="shared" ca="1" si="1668"/>
        <v>0</v>
      </c>
      <c r="W1152" s="1423">
        <f t="shared" ca="1" si="1669"/>
        <v>0</v>
      </c>
      <c r="X1152" s="202"/>
      <c r="Y1152" s="202"/>
      <c r="Z1152" s="202"/>
      <c r="AA1152" s="152"/>
      <c r="AB1152" s="152"/>
    </row>
    <row r="1153" spans="1:28" hidden="1" outlineLevel="1">
      <c r="A1153" s="199">
        <f t="shared" si="1670"/>
        <v>5</v>
      </c>
      <c r="B1153" s="190" t="str">
        <f t="shared" ca="1" si="1671"/>
        <v>Depreciated Net Capex 2020-21</v>
      </c>
      <c r="C1153" s="1426"/>
      <c r="D1153" s="1426"/>
      <c r="E1153" s="1426"/>
      <c r="F1153" s="1426"/>
      <c r="G1153" s="1427"/>
      <c r="H1153" s="1428">
        <f>H1143</f>
        <v>0</v>
      </c>
      <c r="I1153" s="1423">
        <f ca="1">IF(H1177="n/a",H1153,IFERROR(IF((OFFSET($C1153,0,$A1153))&lt;0,
MIN(0,H1153-(OFFSET($C1153,0,$A1153)/(OFFSET($C1148,-$A1152,$A1153)))),
MAX(0,H1153-(OFFSET($C1153,0,$A1153)/(OFFSET($C1148,-$A1152,$A1153))))),0))</f>
        <v>0</v>
      </c>
      <c r="J1153" s="1423">
        <f t="shared" ca="1" si="1656"/>
        <v>0</v>
      </c>
      <c r="K1153" s="1423">
        <f t="shared" ca="1" si="1657"/>
        <v>0</v>
      </c>
      <c r="L1153" s="1423">
        <f t="shared" ca="1" si="1658"/>
        <v>0</v>
      </c>
      <c r="M1153" s="1423">
        <f t="shared" ca="1" si="1659"/>
        <v>0</v>
      </c>
      <c r="N1153" s="1423">
        <f t="shared" ca="1" si="1660"/>
        <v>0</v>
      </c>
      <c r="O1153" s="1423">
        <f t="shared" ca="1" si="1661"/>
        <v>0</v>
      </c>
      <c r="P1153" s="1423">
        <f t="shared" ca="1" si="1662"/>
        <v>0</v>
      </c>
      <c r="Q1153" s="1423">
        <f t="shared" ca="1" si="1663"/>
        <v>0</v>
      </c>
      <c r="R1153" s="1423">
        <f t="shared" ca="1" si="1664"/>
        <v>0</v>
      </c>
      <c r="S1153" s="1423">
        <f t="shared" ca="1" si="1665"/>
        <v>0</v>
      </c>
      <c r="T1153" s="1423">
        <f t="shared" ca="1" si="1666"/>
        <v>0</v>
      </c>
      <c r="U1153" s="1423">
        <f t="shared" ca="1" si="1667"/>
        <v>0</v>
      </c>
      <c r="V1153" s="1423">
        <f t="shared" ca="1" si="1668"/>
        <v>0</v>
      </c>
      <c r="W1153" s="1423">
        <f t="shared" ca="1" si="1669"/>
        <v>0</v>
      </c>
      <c r="X1153" s="202"/>
      <c r="Y1153" s="202"/>
      <c r="Z1153" s="202"/>
      <c r="AA1153" s="152"/>
      <c r="AB1153" s="152"/>
    </row>
    <row r="1154" spans="1:28" hidden="1" outlineLevel="1">
      <c r="A1154" s="199">
        <f t="shared" si="1670"/>
        <v>6</v>
      </c>
      <c r="B1154" s="190" t="str">
        <f t="shared" ca="1" si="1671"/>
        <v>Depreciated Net Capex 2021-22</v>
      </c>
      <c r="C1154" s="1426"/>
      <c r="D1154" s="1426"/>
      <c r="E1154" s="1426"/>
      <c r="F1154" s="1426"/>
      <c r="G1154" s="1426"/>
      <c r="H1154" s="1427"/>
      <c r="I1154" s="1428">
        <f>I1143</f>
        <v>0</v>
      </c>
      <c r="J1154" s="1423">
        <f ca="1">IF(I1178="n/a",I1154,IFERROR(IF((OFFSET($C1154,0,$A1154))&lt;0,
MIN(0,I1154-(OFFSET($C1154,0,$A1154)/(OFFSET($C1149,-$A1153,$A1154)))),
MAX(0,I1154-(OFFSET($C1154,0,$A1154)/(OFFSET($C1149,-$A1153,$A1154))))),0))</f>
        <v>0</v>
      </c>
      <c r="K1154" s="1423">
        <f t="shared" ca="1" si="1657"/>
        <v>0</v>
      </c>
      <c r="L1154" s="1423">
        <f t="shared" ca="1" si="1658"/>
        <v>0</v>
      </c>
      <c r="M1154" s="1423">
        <f t="shared" ca="1" si="1659"/>
        <v>0</v>
      </c>
      <c r="N1154" s="1423">
        <f t="shared" ca="1" si="1660"/>
        <v>0</v>
      </c>
      <c r="O1154" s="1423">
        <f t="shared" ca="1" si="1661"/>
        <v>0</v>
      </c>
      <c r="P1154" s="1423">
        <f t="shared" ca="1" si="1662"/>
        <v>0</v>
      </c>
      <c r="Q1154" s="1423">
        <f t="shared" ca="1" si="1663"/>
        <v>0</v>
      </c>
      <c r="R1154" s="1423">
        <f t="shared" ca="1" si="1664"/>
        <v>0</v>
      </c>
      <c r="S1154" s="1423">
        <f t="shared" ca="1" si="1665"/>
        <v>0</v>
      </c>
      <c r="T1154" s="1423">
        <f t="shared" ca="1" si="1666"/>
        <v>0</v>
      </c>
      <c r="U1154" s="1423">
        <f t="shared" ca="1" si="1667"/>
        <v>0</v>
      </c>
      <c r="V1154" s="1423">
        <f t="shared" ca="1" si="1668"/>
        <v>0</v>
      </c>
      <c r="W1154" s="1423">
        <f t="shared" ca="1" si="1669"/>
        <v>0</v>
      </c>
      <c r="X1154" s="202"/>
      <c r="Y1154" s="202"/>
      <c r="Z1154" s="202"/>
      <c r="AA1154" s="152"/>
      <c r="AB1154" s="152"/>
    </row>
    <row r="1155" spans="1:28" hidden="1" outlineLevel="1">
      <c r="A1155" s="199">
        <f t="shared" si="1670"/>
        <v>7</v>
      </c>
      <c r="B1155" s="190" t="str">
        <f t="shared" ca="1" si="1671"/>
        <v>Depreciated Net Capex 2022-23</v>
      </c>
      <c r="C1155" s="1426"/>
      <c r="D1155" s="1426"/>
      <c r="E1155" s="1426"/>
      <c r="F1155" s="1426"/>
      <c r="G1155" s="1426"/>
      <c r="H1155" s="1426"/>
      <c r="I1155" s="1427"/>
      <c r="J1155" s="1428">
        <f>J1143</f>
        <v>0</v>
      </c>
      <c r="K1155" s="1423">
        <f ca="1">IF(J1179="n/a",J1155,IFERROR(IF((OFFSET($C1155,0,$A1155))&lt;0,
MIN(0,J1155-(OFFSET($C1155,0,$A1155)/(OFFSET($C1150,-$A1154,$A1155)))),
MAX(0,J1155-(OFFSET($C1155,0,$A1155)/(OFFSET($C1150,-$A1154,$A1155))))),0))</f>
        <v>0</v>
      </c>
      <c r="L1155" s="1423">
        <f t="shared" ca="1" si="1658"/>
        <v>0</v>
      </c>
      <c r="M1155" s="1423">
        <f t="shared" ca="1" si="1659"/>
        <v>0</v>
      </c>
      <c r="N1155" s="1423">
        <f t="shared" ca="1" si="1660"/>
        <v>0</v>
      </c>
      <c r="O1155" s="1423">
        <f t="shared" ca="1" si="1661"/>
        <v>0</v>
      </c>
      <c r="P1155" s="1423">
        <f t="shared" ca="1" si="1662"/>
        <v>0</v>
      </c>
      <c r="Q1155" s="1423">
        <f t="shared" ca="1" si="1663"/>
        <v>0</v>
      </c>
      <c r="R1155" s="1423">
        <f t="shared" ca="1" si="1664"/>
        <v>0</v>
      </c>
      <c r="S1155" s="1423">
        <f t="shared" ca="1" si="1665"/>
        <v>0</v>
      </c>
      <c r="T1155" s="1423">
        <f t="shared" ca="1" si="1666"/>
        <v>0</v>
      </c>
      <c r="U1155" s="1423">
        <f t="shared" ca="1" si="1667"/>
        <v>0</v>
      </c>
      <c r="V1155" s="1423">
        <f t="shared" ca="1" si="1668"/>
        <v>0</v>
      </c>
      <c r="W1155" s="1423">
        <f t="shared" ca="1" si="1669"/>
        <v>0</v>
      </c>
      <c r="X1155" s="202"/>
      <c r="Y1155" s="202"/>
      <c r="Z1155" s="202"/>
      <c r="AA1155" s="152"/>
      <c r="AB1155" s="152"/>
    </row>
    <row r="1156" spans="1:28" hidden="1" outlineLevel="1">
      <c r="A1156" s="199">
        <f t="shared" si="1670"/>
        <v>8</v>
      </c>
      <c r="B1156" s="190" t="str">
        <f t="shared" ca="1" si="1671"/>
        <v>Depreciated Net Capex 2023-24</v>
      </c>
      <c r="C1156" s="1426"/>
      <c r="D1156" s="1426"/>
      <c r="E1156" s="1426"/>
      <c r="F1156" s="1426"/>
      <c r="G1156" s="1426"/>
      <c r="H1156" s="1426"/>
      <c r="I1156" s="1426"/>
      <c r="J1156" s="1427"/>
      <c r="K1156" s="1428">
        <f>K1143</f>
        <v>0</v>
      </c>
      <c r="L1156" s="1423">
        <f ca="1">IF(K1180="n/a",K1156,IFERROR(IF((OFFSET($C1156,0,$A1156))&lt;0,
MIN(0,K1156-(OFFSET($C1156,0,$A1156)/(OFFSET($C1151,-$A1155,$A1156)))),
MAX(0,K1156-(OFFSET($C1156,0,$A1156)/(OFFSET($C1151,-$A1155,$A1156))))),0))</f>
        <v>0</v>
      </c>
      <c r="M1156" s="1423">
        <f t="shared" ca="1" si="1659"/>
        <v>0</v>
      </c>
      <c r="N1156" s="1423">
        <f t="shared" ca="1" si="1660"/>
        <v>0</v>
      </c>
      <c r="O1156" s="1423">
        <f t="shared" ca="1" si="1661"/>
        <v>0</v>
      </c>
      <c r="P1156" s="1423">
        <f t="shared" ca="1" si="1662"/>
        <v>0</v>
      </c>
      <c r="Q1156" s="1423">
        <f t="shared" ca="1" si="1663"/>
        <v>0</v>
      </c>
      <c r="R1156" s="1423">
        <f t="shared" ca="1" si="1664"/>
        <v>0</v>
      </c>
      <c r="S1156" s="1423">
        <f t="shared" ca="1" si="1665"/>
        <v>0</v>
      </c>
      <c r="T1156" s="1423">
        <f t="shared" ca="1" si="1666"/>
        <v>0</v>
      </c>
      <c r="U1156" s="1423">
        <f t="shared" ca="1" si="1667"/>
        <v>0</v>
      </c>
      <c r="V1156" s="1423">
        <f t="shared" ca="1" si="1668"/>
        <v>0</v>
      </c>
      <c r="W1156" s="1423">
        <f t="shared" ca="1" si="1669"/>
        <v>0</v>
      </c>
      <c r="X1156" s="202"/>
      <c r="Y1156" s="202"/>
      <c r="Z1156" s="202"/>
      <c r="AA1156" s="152"/>
      <c r="AB1156" s="152"/>
    </row>
    <row r="1157" spans="1:28" hidden="1" outlineLevel="1">
      <c r="A1157" s="199">
        <f t="shared" si="1670"/>
        <v>9</v>
      </c>
      <c r="B1157" s="190" t="str">
        <f t="shared" ca="1" si="1671"/>
        <v>Depreciated Net Capex 2024-25</v>
      </c>
      <c r="C1157" s="1426"/>
      <c r="D1157" s="1426"/>
      <c r="E1157" s="1426"/>
      <c r="F1157" s="1426"/>
      <c r="G1157" s="1426"/>
      <c r="H1157" s="1426"/>
      <c r="I1157" s="1426"/>
      <c r="J1157" s="1426"/>
      <c r="K1157" s="1427"/>
      <c r="L1157" s="1428">
        <f>L1143</f>
        <v>0</v>
      </c>
      <c r="M1157" s="1423">
        <f ca="1">IF(L1181="n/a",L1157,IFERROR(IF((OFFSET($C1157,0,$A1157))&lt;0,
MIN(0,L1157-(OFFSET($C1157,0,$A1157)/(OFFSET($C1152,-$A1156,$A1157)))),
MAX(0,L1157-(OFFSET($C1157,0,$A1157)/(OFFSET($C1152,-$A1156,$A1157))))),0))</f>
        <v>0</v>
      </c>
      <c r="N1157" s="1423">
        <f t="shared" ca="1" si="1660"/>
        <v>0</v>
      </c>
      <c r="O1157" s="1423">
        <f t="shared" ca="1" si="1661"/>
        <v>0</v>
      </c>
      <c r="P1157" s="1423">
        <f t="shared" ca="1" si="1662"/>
        <v>0</v>
      </c>
      <c r="Q1157" s="1423">
        <f t="shared" ca="1" si="1663"/>
        <v>0</v>
      </c>
      <c r="R1157" s="1423">
        <f t="shared" ca="1" si="1664"/>
        <v>0</v>
      </c>
      <c r="S1157" s="1423">
        <f t="shared" ca="1" si="1665"/>
        <v>0</v>
      </c>
      <c r="T1157" s="1423">
        <f t="shared" ca="1" si="1666"/>
        <v>0</v>
      </c>
      <c r="U1157" s="1423">
        <f t="shared" ca="1" si="1667"/>
        <v>0</v>
      </c>
      <c r="V1157" s="1423">
        <f t="shared" ca="1" si="1668"/>
        <v>0</v>
      </c>
      <c r="W1157" s="1423">
        <f t="shared" ca="1" si="1669"/>
        <v>0</v>
      </c>
      <c r="X1157" s="202"/>
      <c r="Y1157" s="202"/>
      <c r="Z1157" s="202"/>
      <c r="AA1157" s="152"/>
      <c r="AB1157" s="152"/>
    </row>
    <row r="1158" spans="1:28" hidden="1" outlineLevel="1">
      <c r="A1158" s="199">
        <f t="shared" si="1670"/>
        <v>10</v>
      </c>
      <c r="B1158" s="190" t="str">
        <f t="shared" ca="1" si="1671"/>
        <v>Depreciated Net Capex 2025-26</v>
      </c>
      <c r="C1158" s="1426"/>
      <c r="D1158" s="1426"/>
      <c r="E1158" s="1426"/>
      <c r="F1158" s="1426"/>
      <c r="G1158" s="1426"/>
      <c r="H1158" s="1426"/>
      <c r="I1158" s="1426"/>
      <c r="J1158" s="1426"/>
      <c r="K1158" s="1426"/>
      <c r="L1158" s="1427"/>
      <c r="M1158" s="1428">
        <f>M1143</f>
        <v>0</v>
      </c>
      <c r="N1158" s="1423">
        <f ca="1">IF(M1182="n/a",M1158,IFERROR(IF((OFFSET($C1158,0,$A1158))&lt;0,
MIN(0,M1158-(OFFSET($C1158,0,$A1158)/(OFFSET($C1153,-$A1157,$A1158)))),
MAX(0,M1158-(OFFSET($C1158,0,$A1158)/(OFFSET($C1153,-$A1157,$A1158))))),0))</f>
        <v>0</v>
      </c>
      <c r="O1158" s="1423">
        <f t="shared" ca="1" si="1661"/>
        <v>0</v>
      </c>
      <c r="P1158" s="1423">
        <f t="shared" ca="1" si="1662"/>
        <v>0</v>
      </c>
      <c r="Q1158" s="1423">
        <f t="shared" ca="1" si="1663"/>
        <v>0</v>
      </c>
      <c r="R1158" s="1423">
        <f t="shared" ca="1" si="1664"/>
        <v>0</v>
      </c>
      <c r="S1158" s="1423">
        <f t="shared" ca="1" si="1665"/>
        <v>0</v>
      </c>
      <c r="T1158" s="1423">
        <f t="shared" ca="1" si="1666"/>
        <v>0</v>
      </c>
      <c r="U1158" s="1423">
        <f t="shared" ca="1" si="1667"/>
        <v>0</v>
      </c>
      <c r="V1158" s="1423">
        <f t="shared" ca="1" si="1668"/>
        <v>0</v>
      </c>
      <c r="W1158" s="1423">
        <f t="shared" ca="1" si="1669"/>
        <v>0</v>
      </c>
      <c r="X1158" s="202"/>
      <c r="Y1158" s="202"/>
      <c r="Z1158" s="202"/>
      <c r="AA1158" s="152"/>
      <c r="AB1158" s="152"/>
    </row>
    <row r="1159" spans="1:28" hidden="1" outlineLevel="1">
      <c r="A1159" s="199">
        <f t="shared" si="1670"/>
        <v>11</v>
      </c>
      <c r="B1159" s="190" t="str">
        <f t="shared" ca="1" si="1671"/>
        <v>Depreciated Net Capex 2026-27</v>
      </c>
      <c r="C1159" s="1426"/>
      <c r="D1159" s="1426"/>
      <c r="E1159" s="1426"/>
      <c r="F1159" s="1426"/>
      <c r="G1159" s="1426"/>
      <c r="H1159" s="1426"/>
      <c r="I1159" s="1426"/>
      <c r="J1159" s="1426"/>
      <c r="K1159" s="1426"/>
      <c r="L1159" s="1426"/>
      <c r="M1159" s="1427"/>
      <c r="N1159" s="1428">
        <f>N1143</f>
        <v>0</v>
      </c>
      <c r="O1159" s="1423">
        <f ca="1">IF(N1183="n/a",N1159,IFERROR(IF((OFFSET($C1159,0,$A1159))&lt;0,
MIN(0,N1159-(OFFSET($C1159,0,$A1159)/(OFFSET($C1154,-$A1158,$A1159)))),
MAX(0,N1159-(OFFSET($C1159,0,$A1159)/(OFFSET($C1154,-$A1158,$A1159))))),0))</f>
        <v>0</v>
      </c>
      <c r="P1159" s="1423">
        <f t="shared" ca="1" si="1662"/>
        <v>0</v>
      </c>
      <c r="Q1159" s="1423">
        <f t="shared" ca="1" si="1663"/>
        <v>0</v>
      </c>
      <c r="R1159" s="1423">
        <f t="shared" ca="1" si="1664"/>
        <v>0</v>
      </c>
      <c r="S1159" s="1423">
        <f t="shared" ca="1" si="1665"/>
        <v>0</v>
      </c>
      <c r="T1159" s="1423">
        <f t="shared" ca="1" si="1666"/>
        <v>0</v>
      </c>
      <c r="U1159" s="1423">
        <f t="shared" ca="1" si="1667"/>
        <v>0</v>
      </c>
      <c r="V1159" s="1423">
        <f t="shared" ca="1" si="1668"/>
        <v>0</v>
      </c>
      <c r="W1159" s="1423">
        <f t="shared" ca="1" si="1669"/>
        <v>0</v>
      </c>
      <c r="X1159" s="202"/>
      <c r="Y1159" s="202"/>
      <c r="Z1159" s="202"/>
      <c r="AA1159" s="152"/>
      <c r="AB1159" s="152"/>
    </row>
    <row r="1160" spans="1:28" hidden="1" outlineLevel="1">
      <c r="A1160" s="199">
        <f t="shared" si="1670"/>
        <v>12</v>
      </c>
      <c r="B1160" s="190" t="str">
        <f t="shared" ca="1" si="1671"/>
        <v>Depreciated Net Capex 2027-28</v>
      </c>
      <c r="C1160" s="1426"/>
      <c r="D1160" s="1426"/>
      <c r="E1160" s="1426"/>
      <c r="F1160" s="1426"/>
      <c r="G1160" s="1426"/>
      <c r="H1160" s="1426"/>
      <c r="I1160" s="1426"/>
      <c r="J1160" s="1426"/>
      <c r="K1160" s="1426"/>
      <c r="L1160" s="1426"/>
      <c r="M1160" s="1426"/>
      <c r="N1160" s="1427"/>
      <c r="O1160" s="1428">
        <f>O1143</f>
        <v>0</v>
      </c>
      <c r="P1160" s="1423">
        <f ca="1">IF(O1184="n/a",O1160,IFERROR(IF((OFFSET($C1160,0,$A1160))&lt;0,
MIN(0,O1160-(OFFSET($C1160,0,$A1160)/(OFFSET($C1155,-$A1159,$A1160)))),
MAX(0,O1160-(OFFSET($C1160,0,$A1160)/(OFFSET($C1155,-$A1159,$A1160))))),0))</f>
        <v>0</v>
      </c>
      <c r="Q1160" s="1423">
        <f t="shared" ca="1" si="1663"/>
        <v>0</v>
      </c>
      <c r="R1160" s="1423">
        <f t="shared" ca="1" si="1664"/>
        <v>0</v>
      </c>
      <c r="S1160" s="1423">
        <f t="shared" ca="1" si="1665"/>
        <v>0</v>
      </c>
      <c r="T1160" s="1423">
        <f t="shared" ca="1" si="1666"/>
        <v>0</v>
      </c>
      <c r="U1160" s="1423">
        <f t="shared" ca="1" si="1667"/>
        <v>0</v>
      </c>
      <c r="V1160" s="1423">
        <f t="shared" ca="1" si="1668"/>
        <v>0</v>
      </c>
      <c r="W1160" s="1423">
        <f t="shared" ca="1" si="1669"/>
        <v>0</v>
      </c>
      <c r="X1160" s="202"/>
      <c r="Y1160" s="202"/>
      <c r="Z1160" s="202"/>
      <c r="AA1160" s="152"/>
      <c r="AB1160" s="152"/>
    </row>
    <row r="1161" spans="1:28" hidden="1" outlineLevel="1">
      <c r="A1161" s="199">
        <f t="shared" si="1670"/>
        <v>13</v>
      </c>
      <c r="B1161" s="190" t="str">
        <f t="shared" ca="1" si="1671"/>
        <v>Depreciated Net Capex 2028-29</v>
      </c>
      <c r="C1161" s="1426"/>
      <c r="D1161" s="1426"/>
      <c r="E1161" s="1426"/>
      <c r="F1161" s="1426"/>
      <c r="G1161" s="1426"/>
      <c r="H1161" s="1426"/>
      <c r="I1161" s="1426"/>
      <c r="J1161" s="1426"/>
      <c r="K1161" s="1426"/>
      <c r="L1161" s="1426"/>
      <c r="M1161" s="1426"/>
      <c r="N1161" s="1426"/>
      <c r="O1161" s="1427"/>
      <c r="P1161" s="1428">
        <f>P1143</f>
        <v>0</v>
      </c>
      <c r="Q1161" s="1423">
        <f ca="1">IF(P1185="n/a",P1161,IFERROR(IF((OFFSET($C1161,0,$A1161))&lt;0,
MIN(0,P1161-(OFFSET($C1161,0,$A1161)/(OFFSET($C1156,-$A1160,$A1161)))),
MAX(0,P1161-(OFFSET($C1161,0,$A1161)/(OFFSET($C1156,-$A1160,$A1161))))),0))</f>
        <v>0</v>
      </c>
      <c r="R1161" s="1423">
        <f t="shared" ca="1" si="1664"/>
        <v>0</v>
      </c>
      <c r="S1161" s="1423">
        <f t="shared" ca="1" si="1665"/>
        <v>0</v>
      </c>
      <c r="T1161" s="1423">
        <f t="shared" ca="1" si="1666"/>
        <v>0</v>
      </c>
      <c r="U1161" s="1423">
        <f t="shared" ca="1" si="1667"/>
        <v>0</v>
      </c>
      <c r="V1161" s="1423">
        <f t="shared" ca="1" si="1668"/>
        <v>0</v>
      </c>
      <c r="W1161" s="1423">
        <f t="shared" ca="1" si="1669"/>
        <v>0</v>
      </c>
      <c r="X1161" s="202"/>
      <c r="Y1161" s="202"/>
      <c r="Z1161" s="202"/>
      <c r="AA1161" s="152"/>
      <c r="AB1161" s="152"/>
    </row>
    <row r="1162" spans="1:28" hidden="1" outlineLevel="1">
      <c r="A1162" s="199">
        <f t="shared" si="1670"/>
        <v>14</v>
      </c>
      <c r="B1162" s="190" t="str">
        <f t="shared" ca="1" si="1671"/>
        <v>Depreciated Net Capex 2029-30</v>
      </c>
      <c r="C1162" s="1426"/>
      <c r="D1162" s="1426"/>
      <c r="E1162" s="1426"/>
      <c r="F1162" s="1426"/>
      <c r="G1162" s="1426"/>
      <c r="H1162" s="1426"/>
      <c r="I1162" s="1426"/>
      <c r="J1162" s="1426"/>
      <c r="K1162" s="1426"/>
      <c r="L1162" s="1426"/>
      <c r="M1162" s="1426"/>
      <c r="N1162" s="1426"/>
      <c r="O1162" s="1426"/>
      <c r="P1162" s="1427"/>
      <c r="Q1162" s="1428">
        <f>Q1143</f>
        <v>0</v>
      </c>
      <c r="R1162" s="1423">
        <f ca="1">IF(Q1186="n/a",Q1162,IFERROR(IF((OFFSET($C1162,0,$A1162))&lt;0,
MIN(0,Q1162-(OFFSET($C1162,0,$A1162)/(OFFSET($C1157,-$A1161,$A1162)))),
MAX(0,Q1162-(OFFSET($C1162,0,$A1162)/(OFFSET($C1157,-$A1161,$A1162))))),0))</f>
        <v>0</v>
      </c>
      <c r="S1162" s="1423">
        <f t="shared" ca="1" si="1665"/>
        <v>0</v>
      </c>
      <c r="T1162" s="1423">
        <f t="shared" ca="1" si="1666"/>
        <v>0</v>
      </c>
      <c r="U1162" s="1423">
        <f t="shared" ca="1" si="1667"/>
        <v>0</v>
      </c>
      <c r="V1162" s="1423">
        <f t="shared" ca="1" si="1668"/>
        <v>0</v>
      </c>
      <c r="W1162" s="1423">
        <f t="shared" ca="1" si="1669"/>
        <v>0</v>
      </c>
      <c r="X1162" s="202"/>
      <c r="Y1162" s="202"/>
      <c r="Z1162" s="202"/>
      <c r="AA1162" s="152"/>
      <c r="AB1162" s="152"/>
    </row>
    <row r="1163" spans="1:28" hidden="1" outlineLevel="1">
      <c r="A1163" s="199">
        <f t="shared" si="1670"/>
        <v>15</v>
      </c>
      <c r="B1163" s="190" t="str">
        <f t="shared" ca="1" si="1671"/>
        <v>Depreciated Net Capex 2030-31</v>
      </c>
      <c r="C1163" s="1426"/>
      <c r="D1163" s="1426"/>
      <c r="E1163" s="1426"/>
      <c r="F1163" s="1426"/>
      <c r="G1163" s="1426"/>
      <c r="H1163" s="1426"/>
      <c r="I1163" s="1426"/>
      <c r="J1163" s="1426"/>
      <c r="K1163" s="1426"/>
      <c r="L1163" s="1426"/>
      <c r="M1163" s="1426"/>
      <c r="N1163" s="1426"/>
      <c r="O1163" s="1426"/>
      <c r="P1163" s="1426"/>
      <c r="Q1163" s="1427"/>
      <c r="R1163" s="1428">
        <f>R1143</f>
        <v>0</v>
      </c>
      <c r="S1163" s="1423">
        <f ca="1">IF(R1187="n/a",R1163,IFERROR(IF((OFFSET($C1163,0,$A1163))&lt;0,
MIN(0,R1163-(OFFSET($C1163,0,$A1163)/(OFFSET($C1158,-$A1162,$A1163)))),
MAX(0,R1163-(OFFSET($C1163,0,$A1163)/(OFFSET($C1158,-$A1162,$A1163))))),0))</f>
        <v>0</v>
      </c>
      <c r="T1163" s="1423">
        <f t="shared" ca="1" si="1666"/>
        <v>0</v>
      </c>
      <c r="U1163" s="1423">
        <f t="shared" ca="1" si="1667"/>
        <v>0</v>
      </c>
      <c r="V1163" s="1423">
        <f t="shared" ca="1" si="1668"/>
        <v>0</v>
      </c>
      <c r="W1163" s="1423">
        <f t="shared" ca="1" si="1669"/>
        <v>0</v>
      </c>
      <c r="X1163" s="202"/>
      <c r="Y1163" s="202"/>
      <c r="Z1163" s="202"/>
      <c r="AA1163" s="152"/>
      <c r="AB1163" s="152"/>
    </row>
    <row r="1164" spans="1:28" hidden="1" outlineLevel="1">
      <c r="A1164" s="199">
        <f t="shared" si="1670"/>
        <v>16</v>
      </c>
      <c r="B1164" s="190" t="str">
        <f t="shared" ca="1" si="1671"/>
        <v>Depreciated Net Capex 2031-32</v>
      </c>
      <c r="C1164" s="1426"/>
      <c r="D1164" s="1426"/>
      <c r="E1164" s="1426"/>
      <c r="F1164" s="1426"/>
      <c r="G1164" s="1426"/>
      <c r="H1164" s="1426"/>
      <c r="I1164" s="1426"/>
      <c r="J1164" s="1426"/>
      <c r="K1164" s="1426"/>
      <c r="L1164" s="1426"/>
      <c r="M1164" s="1426"/>
      <c r="N1164" s="1426"/>
      <c r="O1164" s="1426"/>
      <c r="P1164" s="1426"/>
      <c r="Q1164" s="1426"/>
      <c r="R1164" s="1427"/>
      <c r="S1164" s="1428">
        <f>S1143</f>
        <v>0</v>
      </c>
      <c r="T1164" s="1423">
        <f ca="1">IF(S1188="n/a",S1164,IFERROR(IF((OFFSET($C1164,0,$A1164))&lt;0,
MIN(0,S1164-(OFFSET($C1164,0,$A1164)/(OFFSET($C1159,-$A1163,$A1164)))),
MAX(0,S1164-(OFFSET($C1164,0,$A1164)/(OFFSET($C1159,-$A1163,$A1164))))),0))</f>
        <v>0</v>
      </c>
      <c r="U1164" s="1423">
        <f t="shared" ca="1" si="1667"/>
        <v>0</v>
      </c>
      <c r="V1164" s="1423">
        <f t="shared" ca="1" si="1668"/>
        <v>0</v>
      </c>
      <c r="W1164" s="1423">
        <f t="shared" ca="1" si="1669"/>
        <v>0</v>
      </c>
      <c r="X1164" s="202"/>
      <c r="Y1164" s="202"/>
      <c r="Z1164" s="202"/>
      <c r="AA1164" s="152"/>
      <c r="AB1164" s="152"/>
    </row>
    <row r="1165" spans="1:28" hidden="1" outlineLevel="1">
      <c r="A1165" s="199">
        <f t="shared" si="1670"/>
        <v>17</v>
      </c>
      <c r="B1165" s="190" t="str">
        <f t="shared" ca="1" si="1671"/>
        <v>Depreciated Net Capex 2032-33</v>
      </c>
      <c r="C1165" s="1426"/>
      <c r="D1165" s="1426"/>
      <c r="E1165" s="1426"/>
      <c r="F1165" s="1426"/>
      <c r="G1165" s="1426"/>
      <c r="H1165" s="1426"/>
      <c r="I1165" s="1426"/>
      <c r="J1165" s="1426"/>
      <c r="K1165" s="1426"/>
      <c r="L1165" s="1426"/>
      <c r="M1165" s="1426"/>
      <c r="N1165" s="1426"/>
      <c r="O1165" s="1426"/>
      <c r="P1165" s="1426"/>
      <c r="Q1165" s="1426"/>
      <c r="R1165" s="1426"/>
      <c r="S1165" s="1427"/>
      <c r="T1165" s="1428">
        <f>T1143</f>
        <v>0</v>
      </c>
      <c r="U1165" s="1423">
        <f ca="1">IF(T1189="n/a",T1165,IFERROR(IF((OFFSET($C1165,0,$A1165))&lt;0,
MIN(0,T1165-(OFFSET($C1165,0,$A1165)/(OFFSET($C1160,-$A1164,$A1165)))),
MAX(0,T1165-(OFFSET($C1165,0,$A1165)/(OFFSET($C1160,-$A1164,$A1165))))),0))</f>
        <v>0</v>
      </c>
      <c r="V1165" s="1423">
        <f t="shared" ca="1" si="1668"/>
        <v>0</v>
      </c>
      <c r="W1165" s="1423">
        <f t="shared" ca="1" si="1669"/>
        <v>0</v>
      </c>
      <c r="X1165" s="202"/>
      <c r="Y1165" s="202"/>
      <c r="Z1165" s="202"/>
      <c r="AA1165" s="152"/>
      <c r="AB1165" s="152"/>
    </row>
    <row r="1166" spans="1:28" hidden="1" outlineLevel="1">
      <c r="A1166" s="199">
        <f t="shared" si="1670"/>
        <v>18</v>
      </c>
      <c r="B1166" s="190" t="str">
        <f t="shared" ca="1" si="1671"/>
        <v>Depreciated Net Capex 2033-34</v>
      </c>
      <c r="C1166" s="1426"/>
      <c r="D1166" s="1426"/>
      <c r="E1166" s="1426"/>
      <c r="F1166" s="1426"/>
      <c r="G1166" s="1426"/>
      <c r="H1166" s="1426"/>
      <c r="I1166" s="1426"/>
      <c r="J1166" s="1426"/>
      <c r="K1166" s="1426"/>
      <c r="L1166" s="1426"/>
      <c r="M1166" s="1426"/>
      <c r="N1166" s="1426"/>
      <c r="O1166" s="1426"/>
      <c r="P1166" s="1426"/>
      <c r="Q1166" s="1426"/>
      <c r="R1166" s="1426"/>
      <c r="S1166" s="1426"/>
      <c r="T1166" s="1427"/>
      <c r="U1166" s="1428">
        <f>U1143</f>
        <v>0</v>
      </c>
      <c r="V1166" s="1423">
        <f ca="1">IF(U1190="n/a",U1166,IFERROR(IF((OFFSET($C1166,0,$A1166))&lt;0,
MIN(0,U1166-(OFFSET($C1166,0,$A1166)/(OFFSET($C1161,-$A1165,$A1166)))),
MAX(0,U1166-(OFFSET($C1166,0,$A1166)/(OFFSET($C1161,-$A1165,$A1166))))),0))</f>
        <v>0</v>
      </c>
      <c r="W1166" s="1423">
        <f t="shared" ca="1" si="1669"/>
        <v>0</v>
      </c>
      <c r="X1166" s="202"/>
      <c r="Y1166" s="202"/>
      <c r="Z1166" s="202"/>
      <c r="AA1166" s="152"/>
      <c r="AB1166" s="152"/>
    </row>
    <row r="1167" spans="1:28" hidden="1" outlineLevel="1">
      <c r="A1167" s="199">
        <f t="shared" si="1670"/>
        <v>19</v>
      </c>
      <c r="B1167" s="190" t="str">
        <f t="shared" ca="1" si="1671"/>
        <v>Depreciated Net Capex 2034-35</v>
      </c>
      <c r="C1167" s="1426"/>
      <c r="D1167" s="1426"/>
      <c r="E1167" s="1426"/>
      <c r="F1167" s="1426"/>
      <c r="G1167" s="1426"/>
      <c r="H1167" s="1426"/>
      <c r="I1167" s="1426"/>
      <c r="J1167" s="1426"/>
      <c r="K1167" s="1426"/>
      <c r="L1167" s="1426"/>
      <c r="M1167" s="1426"/>
      <c r="N1167" s="1426"/>
      <c r="O1167" s="1426"/>
      <c r="P1167" s="1426"/>
      <c r="Q1167" s="1426"/>
      <c r="R1167" s="1426"/>
      <c r="S1167" s="1426"/>
      <c r="T1167" s="1426"/>
      <c r="U1167" s="1427"/>
      <c r="V1167" s="1428">
        <f>V1143</f>
        <v>0</v>
      </c>
      <c r="W1167" s="1423">
        <f ca="1">IF(V1191="n/a",V1167,IFERROR(IF((OFFSET($C1167,0,$A1167))&lt;0,
MIN(0,V1167-(OFFSET($C1167,0,$A1167)/(OFFSET($C1162,-$A1166,$A1167)))),
MAX(0,V1167-(OFFSET($C1167,0,$A1167)/(OFFSET($C1162,-$A1166,$A1167))))),0))</f>
        <v>0</v>
      </c>
      <c r="X1167" s="202"/>
      <c r="Y1167" s="202"/>
      <c r="Z1167" s="202"/>
      <c r="AA1167" s="152"/>
      <c r="AB1167" s="152"/>
    </row>
    <row r="1168" spans="1:28" hidden="1" outlineLevel="1">
      <c r="A1168" s="199">
        <f t="shared" si="1670"/>
        <v>20</v>
      </c>
      <c r="B1168" s="190" t="str">
        <f t="shared" ca="1" si="1671"/>
        <v>Depreciated Net Capex 2035-36</v>
      </c>
      <c r="C1168" s="1426"/>
      <c r="D1168" s="1426"/>
      <c r="E1168" s="1426"/>
      <c r="F1168" s="1426"/>
      <c r="G1168" s="1426"/>
      <c r="H1168" s="1426"/>
      <c r="I1168" s="1426"/>
      <c r="J1168" s="1426"/>
      <c r="K1168" s="1426"/>
      <c r="L1168" s="1426"/>
      <c r="M1168" s="1426"/>
      <c r="N1168" s="1426"/>
      <c r="O1168" s="1426"/>
      <c r="P1168" s="1426"/>
      <c r="Q1168" s="1426"/>
      <c r="R1168" s="1426"/>
      <c r="S1168" s="1426"/>
      <c r="T1168" s="1426"/>
      <c r="U1168" s="1426"/>
      <c r="V1168" s="1427"/>
      <c r="W1168" s="1423">
        <f>W1143</f>
        <v>0</v>
      </c>
      <c r="X1168" s="152"/>
      <c r="Y1168" s="152"/>
      <c r="Z1168" s="152"/>
      <c r="AA1168" s="152"/>
      <c r="AB1168" s="152"/>
    </row>
    <row r="1169" spans="1:28" hidden="1" outlineLevel="1">
      <c r="A1169" s="152"/>
      <c r="B1169" s="200"/>
      <c r="C1169" s="1423"/>
      <c r="D1169" s="1423"/>
      <c r="E1169" s="1423"/>
      <c r="F1169" s="1423"/>
      <c r="G1169" s="1423"/>
      <c r="H1169" s="1423"/>
      <c r="I1169" s="1423"/>
      <c r="J1169" s="1423"/>
      <c r="K1169" s="1423"/>
      <c r="L1169" s="1423"/>
      <c r="M1169" s="1423"/>
      <c r="N1169" s="1423"/>
      <c r="O1169" s="1423"/>
      <c r="P1169" s="1423"/>
      <c r="Q1169" s="1423"/>
      <c r="R1169" s="1423"/>
      <c r="S1169" s="1423"/>
      <c r="T1169" s="1423"/>
      <c r="U1169" s="1423"/>
      <c r="V1169" s="1423"/>
      <c r="W1169" s="1423"/>
      <c r="X1169" s="152"/>
      <c r="Y1169" s="152"/>
      <c r="Z1169" s="152"/>
      <c r="AA1169" s="152"/>
      <c r="AB1169" s="152"/>
    </row>
    <row r="1170" spans="1:28" hidden="1" outlineLevel="1">
      <c r="A1170" s="152"/>
      <c r="B1170" s="200"/>
      <c r="C1170" s="1423"/>
      <c r="D1170" s="1423"/>
      <c r="E1170" s="1423"/>
      <c r="F1170" s="1423"/>
      <c r="G1170" s="1423"/>
      <c r="H1170" s="1423"/>
      <c r="I1170" s="1423"/>
      <c r="J1170" s="1423"/>
      <c r="K1170" s="1423"/>
      <c r="L1170" s="1423"/>
      <c r="M1170" s="1423"/>
      <c r="N1170" s="1423"/>
      <c r="O1170" s="1423"/>
      <c r="P1170" s="1423"/>
      <c r="Q1170" s="1423"/>
      <c r="R1170" s="1423"/>
      <c r="S1170" s="1423"/>
      <c r="T1170" s="1423"/>
      <c r="U1170" s="1423"/>
      <c r="V1170" s="1423"/>
      <c r="W1170" s="1423"/>
      <c r="X1170" s="152"/>
      <c r="Y1170" s="152"/>
      <c r="Z1170" s="152"/>
      <c r="AA1170" s="152"/>
      <c r="AB1170" s="152"/>
    </row>
    <row r="1171" spans="1:28" hidden="1" outlineLevel="1">
      <c r="A1171" s="152"/>
      <c r="B1171" s="190" t="s">
        <v>194</v>
      </c>
      <c r="C1171" s="1423"/>
      <c r="D1171" s="1423">
        <f t="shared" ref="D1171" ca="1" si="1672">IF(AND(C1171&lt;1,D1145=0),0,
IF(D1145=0,C1171-1,
IF(C1171&lt;1,D1146,
(((C1171-1)*(C1147-(C1147/(C1171))))+(D1145*D1146))/(D1147))))</f>
        <v>0</v>
      </c>
      <c r="E1171" s="1423">
        <f t="shared" ref="E1171" ca="1" si="1673">IF(AND(D1171&lt;1,E1145=0),0,
IF(E1145=0,D1171-1,
IF(D1171&lt;1,E1146,
(((D1171-1)*(D1147-(D1147/(D1171))))+(E1145*E1146))/(E1147))))</f>
        <v>0</v>
      </c>
      <c r="F1171" s="1423">
        <f t="shared" ref="F1171" ca="1" si="1674">IF(AND(E1171&lt;1,F1145=0),0,
IF(F1145=0,E1171-1,
IF(E1171&lt;1,F1146,
(((E1171-1)*(E1147-(E1147/(E1171))))+(F1145*F1146))/(F1147))))</f>
        <v>0</v>
      </c>
      <c r="G1171" s="1423">
        <f t="shared" ref="G1171" ca="1" si="1675">IF(AND(F1171&lt;1,G1145=0),0,
IF(G1145=0,F1171-1,
IF(F1171&lt;1,G1146,
(((F1171-1)*(F1147-(F1147/(F1171))))+(G1145*G1146))/(G1147))))</f>
        <v>0</v>
      </c>
      <c r="H1171" s="1423">
        <f ca="1">IF(AND(G1171&lt;1,H1145=0),0,
IF(H1145=0,G1171-1,
IF(G1171&lt;1,H1146,
(((G1171-1)*(G1147-(G1147/(G1171))))+(H1145*H1146))/(H1147))))</f>
        <v>0</v>
      </c>
      <c r="I1171" s="1423">
        <f t="shared" ref="I1171" ca="1" si="1676">IF(AND(H1171&lt;1,I1145=0),0,
IF(I1145=0,H1171-1,
IF(H1171&lt;1,I1146,
(((H1171-1)*(H1147-(H1147/(H1171))))+(I1145*I1146))/(I1147))))</f>
        <v>0</v>
      </c>
      <c r="J1171" s="1423">
        <f t="shared" ref="J1171" ca="1" si="1677">IF(AND(I1171&lt;1,J1145=0),0,
IF(J1145=0,I1171-1,
IF(I1171&lt;1,J1146,
(((I1171-1)*(I1147-(I1147/(I1171))))+(J1145*J1146))/(J1147))))</f>
        <v>0</v>
      </c>
      <c r="K1171" s="1423">
        <f t="shared" ref="K1171" ca="1" si="1678">IF(AND(J1171&lt;1,K1145=0),0,
IF(K1145=0,J1171-1,
IF(J1171&lt;1,K1146,
(((J1171-1)*(J1147-(J1147/(J1171))))+(K1145*K1146))/(K1147))))</f>
        <v>0</v>
      </c>
      <c r="L1171" s="1423">
        <f t="shared" ref="L1171" ca="1" si="1679">IF(AND(K1171&lt;1,L1145=0),0,
IF(L1145=0,K1171-1,
IF(K1171&lt;1,L1146,
(((K1171-1)*(K1147-(K1147/(K1171))))+(L1145*L1146))/(L1147))))</f>
        <v>0</v>
      </c>
      <c r="M1171" s="1423">
        <f ca="1">IF(AND(L1171&lt;1,M1145=0),0,
IF(M1145=0,L1171-1,
IF(L1171&lt;1,M1146,
(((L1171-1)*(L1147-(L1147/(L1171))))+(M1145*M1146))/(M1147))))</f>
        <v>0</v>
      </c>
      <c r="N1171" s="1423">
        <f t="shared" ref="N1171" ca="1" si="1680">IF(AND(M1171&lt;1,N1145=0),0,
IF(N1145=0,M1171-1,
IF(M1171&lt;1,N1146,
(((M1171-1)*(M1147-(M1147/(M1171))))+(N1145*N1146))/(N1147))))</f>
        <v>0</v>
      </c>
      <c r="O1171" s="1423">
        <f t="shared" ref="O1171" ca="1" si="1681">IF(AND(N1171&lt;1,O1145=0),0,
IF(O1145=0,N1171-1,
IF(N1171&lt;1,O1146,
(((N1171-1)*(N1147-(N1147/(N1171))))+(O1145*O1146))/(O1147))))</f>
        <v>0</v>
      </c>
      <c r="P1171" s="1423">
        <f t="shared" ref="P1171" ca="1" si="1682">IF(AND(O1171&lt;1,P1145=0),0,
IF(P1145=0,O1171-1,
IF(O1171&lt;1,P1146,
(((O1171-1)*(O1147-(O1147/(O1171))))+(P1145*P1146))/(P1147))))</f>
        <v>0</v>
      </c>
      <c r="Q1171" s="1423">
        <f t="shared" ref="Q1171" ca="1" si="1683">IF(AND(P1171&lt;1,Q1145=0),0,
IF(Q1145=0,P1171-1,
IF(P1171&lt;1,Q1146,
(((P1171-1)*(P1147-(P1147/(P1171))))+(Q1145*Q1146))/(Q1147))))</f>
        <v>0</v>
      </c>
      <c r="R1171" s="1423">
        <f t="shared" ref="R1171" ca="1" si="1684">IF(AND(Q1171&lt;1,R1145=0),0,
IF(R1145=0,Q1171-1,
IF(Q1171&lt;1,R1146,
(((Q1171-1)*(Q1147-(Q1147/(Q1171))))+(R1145*R1146))/(R1147))))</f>
        <v>0</v>
      </c>
      <c r="S1171" s="1423">
        <f t="shared" ref="S1171" ca="1" si="1685">IF(AND(R1171&lt;1,S1145=0),0,
IF(S1145=0,R1171-1,
IF(R1171&lt;1,S1146,
(((R1171-1)*(R1147-(R1147/(R1171))))+(S1145*S1146))/(S1147))))</f>
        <v>0</v>
      </c>
      <c r="T1171" s="1423">
        <f t="shared" ref="T1171" ca="1" si="1686">IF(AND(S1171&lt;1,T1145=0),0,
IF(T1145=0,S1171-1,
IF(S1171&lt;1,T1146,
(((S1171-1)*(S1147-(S1147/(S1171))))+(T1145*T1146))/(T1147))))</f>
        <v>0</v>
      </c>
      <c r="U1171" s="1423">
        <f t="shared" ref="U1171" ca="1" si="1687">IF(AND(T1171&lt;1,U1145=0),0,
IF(U1145=0,T1171-1,
IF(T1171&lt;1,U1146,
(((T1171-1)*(T1147-(T1147/(T1171))))+(U1145*U1146))/(U1147))))</f>
        <v>0</v>
      </c>
      <c r="V1171" s="1423">
        <f t="shared" ref="V1171" ca="1" si="1688">IF(AND(U1171&lt;1,V1145=0),0,
IF(V1145=0,U1171-1,
IF(U1171&lt;1,V1146,
(((U1171-1)*(U1147-(U1147/(U1171))))+(V1145*V1146))/(V1147))))</f>
        <v>0</v>
      </c>
      <c r="W1171" s="1423">
        <f t="shared" ref="W1171" ca="1" si="1689">IF(AND(V1171&lt;1,W1145=0),0,
IF(W1145=0,V1171-1,
IF(V1171&lt;1,W1146,
(((V1171-1)*(V1147-(V1147/(V1171))))+(W1145*W1146))/(W1147))))</f>
        <v>0</v>
      </c>
      <c r="X1171" s="152"/>
      <c r="Y1171" s="152"/>
      <c r="Z1171" s="152"/>
      <c r="AA1171" s="152"/>
      <c r="AB1171" s="152"/>
    </row>
    <row r="1172" spans="1:28" hidden="1" outlineLevel="1">
      <c r="A1172" s="152"/>
      <c r="B1172" s="190" t="s">
        <v>193</v>
      </c>
      <c r="C1172" s="1423">
        <f ca="1">C1144</f>
        <v>0</v>
      </c>
      <c r="D1172" s="1423">
        <f t="shared" ref="D1172" ca="1" si="1690">IF(C1172="n/a","n/a",MAX(0,C1172-1))</f>
        <v>0</v>
      </c>
      <c r="E1172" s="1423">
        <f t="shared" ref="E1172:E1173" ca="1" si="1691">IF(D1172="n/a","n/a",MAX(0,D1172-1))</f>
        <v>0</v>
      </c>
      <c r="F1172" s="1423">
        <f t="shared" ref="F1172:F1174" ca="1" si="1692">IF(E1172="n/a","n/a",MAX(0,E1172-1))</f>
        <v>0</v>
      </c>
      <c r="G1172" s="1423">
        <f t="shared" ref="G1172:G1175" ca="1" si="1693">IF(F1172="n/a","n/a",MAX(0,F1172-1))</f>
        <v>0</v>
      </c>
      <c r="H1172" s="1423">
        <f t="shared" ref="H1172:H1176" ca="1" si="1694">IF(G1172="n/a","n/a",MAX(0,G1172-1))</f>
        <v>0</v>
      </c>
      <c r="I1172" s="1423">
        <f t="shared" ref="I1172:I1177" ca="1" si="1695">IF(H1172="n/a","n/a",MAX(0,H1172-1))</f>
        <v>0</v>
      </c>
      <c r="J1172" s="1423">
        <f t="shared" ref="J1172:J1178" ca="1" si="1696">IF(I1172="n/a","n/a",MAX(0,I1172-1))</f>
        <v>0</v>
      </c>
      <c r="K1172" s="1423">
        <f t="shared" ref="K1172:K1179" ca="1" si="1697">IF(J1172="n/a","n/a",MAX(0,J1172-1))</f>
        <v>0</v>
      </c>
      <c r="L1172" s="1423">
        <f t="shared" ref="L1172:L1180" ca="1" si="1698">IF(K1172="n/a","n/a",MAX(0,K1172-1))</f>
        <v>0</v>
      </c>
      <c r="M1172" s="1423">
        <f t="shared" ref="M1172:M1181" ca="1" si="1699">IF(L1172="n/a","n/a",MAX(0,L1172-1))</f>
        <v>0</v>
      </c>
      <c r="N1172" s="1423">
        <f t="shared" ref="N1172:N1182" ca="1" si="1700">IF(M1172="n/a","n/a",MAX(0,M1172-1))</f>
        <v>0</v>
      </c>
      <c r="O1172" s="1423">
        <f t="shared" ref="O1172:O1183" ca="1" si="1701">IF(N1172="n/a","n/a",MAX(0,N1172-1))</f>
        <v>0</v>
      </c>
      <c r="P1172" s="1423">
        <f t="shared" ref="P1172:P1184" ca="1" si="1702">IF(O1172="n/a","n/a",MAX(0,O1172-1))</f>
        <v>0</v>
      </c>
      <c r="Q1172" s="1423">
        <f t="shared" ref="Q1172:Q1185" ca="1" si="1703">IF(P1172="n/a","n/a",MAX(0,P1172-1))</f>
        <v>0</v>
      </c>
      <c r="R1172" s="1423">
        <f t="shared" ref="R1172:R1186" ca="1" si="1704">IF(Q1172="n/a","n/a",MAX(0,Q1172-1))</f>
        <v>0</v>
      </c>
      <c r="S1172" s="1423">
        <f t="shared" ref="S1172:S1187" ca="1" si="1705">IF(R1172="n/a","n/a",MAX(0,R1172-1))</f>
        <v>0</v>
      </c>
      <c r="T1172" s="1423">
        <f t="shared" ref="T1172:T1188" ca="1" si="1706">IF(S1172="n/a","n/a",MAX(0,S1172-1))</f>
        <v>0</v>
      </c>
      <c r="U1172" s="1423">
        <f t="shared" ref="U1172:U1189" ca="1" si="1707">IF(T1172="n/a","n/a",MAX(0,T1172-1))</f>
        <v>0</v>
      </c>
      <c r="V1172" s="1423">
        <f t="shared" ref="V1172:V1190" ca="1" si="1708">IF(U1172="n/a","n/a",MAX(0,U1172-1))</f>
        <v>0</v>
      </c>
      <c r="W1172" s="1423">
        <f t="shared" ref="W1172:W1190" ca="1" si="1709">IF(V1172="n/a","n/a",MAX(0,V1172-1))</f>
        <v>0</v>
      </c>
      <c r="X1172" s="152"/>
      <c r="Y1172" s="152"/>
      <c r="Z1172" s="152"/>
      <c r="AA1172" s="152"/>
      <c r="AB1172" s="152"/>
    </row>
    <row r="1173" spans="1:28" hidden="1" outlineLevel="1">
      <c r="A1173" s="152"/>
      <c r="B1173" s="190" t="str">
        <f t="shared" ref="B1173:B1192" ca="1" si="1710">"RL Capex "&amp;OFFSET($C$6,0,A1149)</f>
        <v>RL Capex 2016-17</v>
      </c>
      <c r="C1173" s="1424"/>
      <c r="D1173" s="1428">
        <f>D1144</f>
        <v>0</v>
      </c>
      <c r="E1173" s="1423">
        <f t="shared" si="1691"/>
        <v>0</v>
      </c>
      <c r="F1173" s="1423">
        <f t="shared" si="1692"/>
        <v>0</v>
      </c>
      <c r="G1173" s="1423">
        <f t="shared" si="1693"/>
        <v>0</v>
      </c>
      <c r="H1173" s="1423">
        <f t="shared" si="1694"/>
        <v>0</v>
      </c>
      <c r="I1173" s="1423">
        <f t="shared" si="1695"/>
        <v>0</v>
      </c>
      <c r="J1173" s="1423">
        <f t="shared" si="1696"/>
        <v>0</v>
      </c>
      <c r="K1173" s="1423">
        <f t="shared" si="1697"/>
        <v>0</v>
      </c>
      <c r="L1173" s="1423">
        <f t="shared" si="1698"/>
        <v>0</v>
      </c>
      <c r="M1173" s="1423">
        <f t="shared" si="1699"/>
        <v>0</v>
      </c>
      <c r="N1173" s="1423">
        <f t="shared" si="1700"/>
        <v>0</v>
      </c>
      <c r="O1173" s="1423">
        <f t="shared" si="1701"/>
        <v>0</v>
      </c>
      <c r="P1173" s="1423">
        <f t="shared" si="1702"/>
        <v>0</v>
      </c>
      <c r="Q1173" s="1423">
        <f t="shared" si="1703"/>
        <v>0</v>
      </c>
      <c r="R1173" s="1423">
        <f t="shared" si="1704"/>
        <v>0</v>
      </c>
      <c r="S1173" s="1423">
        <f t="shared" si="1705"/>
        <v>0</v>
      </c>
      <c r="T1173" s="1423">
        <f t="shared" si="1706"/>
        <v>0</v>
      </c>
      <c r="U1173" s="1423">
        <f t="shared" si="1707"/>
        <v>0</v>
      </c>
      <c r="V1173" s="1423">
        <f t="shared" si="1708"/>
        <v>0</v>
      </c>
      <c r="W1173" s="1423">
        <f t="shared" si="1709"/>
        <v>0</v>
      </c>
      <c r="X1173" s="152"/>
      <c r="Y1173" s="152"/>
      <c r="Z1173" s="152"/>
      <c r="AA1173" s="152"/>
      <c r="AB1173" s="152"/>
    </row>
    <row r="1174" spans="1:28" hidden="1" outlineLevel="1">
      <c r="A1174" s="152"/>
      <c r="B1174" s="190" t="str">
        <f t="shared" ca="1" si="1710"/>
        <v>RL Capex 2017-18</v>
      </c>
      <c r="C1174" s="1429"/>
      <c r="D1174" s="1424"/>
      <c r="E1174" s="1428">
        <f>E1144</f>
        <v>0</v>
      </c>
      <c r="F1174" s="1423">
        <f t="shared" si="1692"/>
        <v>0</v>
      </c>
      <c r="G1174" s="1423">
        <f t="shared" si="1693"/>
        <v>0</v>
      </c>
      <c r="H1174" s="1423">
        <f t="shared" si="1694"/>
        <v>0</v>
      </c>
      <c r="I1174" s="1423">
        <f t="shared" si="1695"/>
        <v>0</v>
      </c>
      <c r="J1174" s="1423">
        <f t="shared" si="1696"/>
        <v>0</v>
      </c>
      <c r="K1174" s="1423">
        <f t="shared" si="1697"/>
        <v>0</v>
      </c>
      <c r="L1174" s="1423">
        <f t="shared" si="1698"/>
        <v>0</v>
      </c>
      <c r="M1174" s="1423">
        <f t="shared" si="1699"/>
        <v>0</v>
      </c>
      <c r="N1174" s="1423">
        <f t="shared" si="1700"/>
        <v>0</v>
      </c>
      <c r="O1174" s="1423">
        <f t="shared" si="1701"/>
        <v>0</v>
      </c>
      <c r="P1174" s="1423">
        <f t="shared" si="1702"/>
        <v>0</v>
      </c>
      <c r="Q1174" s="1423">
        <f t="shared" si="1703"/>
        <v>0</v>
      </c>
      <c r="R1174" s="1423">
        <f t="shared" si="1704"/>
        <v>0</v>
      </c>
      <c r="S1174" s="1423">
        <f t="shared" si="1705"/>
        <v>0</v>
      </c>
      <c r="T1174" s="1423">
        <f t="shared" si="1706"/>
        <v>0</v>
      </c>
      <c r="U1174" s="1423">
        <f t="shared" si="1707"/>
        <v>0</v>
      </c>
      <c r="V1174" s="1423">
        <f t="shared" si="1708"/>
        <v>0</v>
      </c>
      <c r="W1174" s="1423">
        <f t="shared" si="1709"/>
        <v>0</v>
      </c>
      <c r="X1174" s="152"/>
      <c r="Y1174" s="152"/>
      <c r="Z1174" s="152"/>
      <c r="AA1174" s="152"/>
      <c r="AB1174" s="152"/>
    </row>
    <row r="1175" spans="1:28" hidden="1" outlineLevel="1">
      <c r="A1175" s="152"/>
      <c r="B1175" s="190" t="str">
        <f t="shared" ca="1" si="1710"/>
        <v>RL Capex 2018-19</v>
      </c>
      <c r="C1175" s="1429"/>
      <c r="D1175" s="1429"/>
      <c r="E1175" s="1424"/>
      <c r="F1175" s="1428">
        <f>F1144</f>
        <v>0</v>
      </c>
      <c r="G1175" s="1423">
        <f t="shared" si="1693"/>
        <v>0</v>
      </c>
      <c r="H1175" s="1423">
        <f t="shared" si="1694"/>
        <v>0</v>
      </c>
      <c r="I1175" s="1423">
        <f t="shared" si="1695"/>
        <v>0</v>
      </c>
      <c r="J1175" s="1423">
        <f t="shared" si="1696"/>
        <v>0</v>
      </c>
      <c r="K1175" s="1423">
        <f t="shared" si="1697"/>
        <v>0</v>
      </c>
      <c r="L1175" s="1423">
        <f t="shared" si="1698"/>
        <v>0</v>
      </c>
      <c r="M1175" s="1423">
        <f t="shared" si="1699"/>
        <v>0</v>
      </c>
      <c r="N1175" s="1423">
        <f t="shared" si="1700"/>
        <v>0</v>
      </c>
      <c r="O1175" s="1423">
        <f t="shared" si="1701"/>
        <v>0</v>
      </c>
      <c r="P1175" s="1423">
        <f t="shared" si="1702"/>
        <v>0</v>
      </c>
      <c r="Q1175" s="1423">
        <f t="shared" si="1703"/>
        <v>0</v>
      </c>
      <c r="R1175" s="1423">
        <f t="shared" si="1704"/>
        <v>0</v>
      </c>
      <c r="S1175" s="1423">
        <f t="shared" si="1705"/>
        <v>0</v>
      </c>
      <c r="T1175" s="1423">
        <f t="shared" si="1706"/>
        <v>0</v>
      </c>
      <c r="U1175" s="1423">
        <f t="shared" si="1707"/>
        <v>0</v>
      </c>
      <c r="V1175" s="1423">
        <f t="shared" si="1708"/>
        <v>0</v>
      </c>
      <c r="W1175" s="1423">
        <f t="shared" si="1709"/>
        <v>0</v>
      </c>
      <c r="X1175" s="152"/>
      <c r="Y1175" s="152"/>
      <c r="Z1175" s="152"/>
      <c r="AA1175" s="152"/>
      <c r="AB1175" s="152"/>
    </row>
    <row r="1176" spans="1:28" hidden="1" outlineLevel="1">
      <c r="A1176" s="152"/>
      <c r="B1176" s="190" t="str">
        <f t="shared" ca="1" si="1710"/>
        <v>RL Capex 2019-20</v>
      </c>
      <c r="C1176" s="1429"/>
      <c r="D1176" s="1429"/>
      <c r="E1176" s="1429"/>
      <c r="F1176" s="1424"/>
      <c r="G1176" s="1428">
        <f>G1144</f>
        <v>0</v>
      </c>
      <c r="H1176" s="1423">
        <f t="shared" si="1694"/>
        <v>0</v>
      </c>
      <c r="I1176" s="1423">
        <f t="shared" si="1695"/>
        <v>0</v>
      </c>
      <c r="J1176" s="1423">
        <f t="shared" si="1696"/>
        <v>0</v>
      </c>
      <c r="K1176" s="1423">
        <f t="shared" si="1697"/>
        <v>0</v>
      </c>
      <c r="L1176" s="1423">
        <f t="shared" si="1698"/>
        <v>0</v>
      </c>
      <c r="M1176" s="1423">
        <f t="shared" si="1699"/>
        <v>0</v>
      </c>
      <c r="N1176" s="1423">
        <f t="shared" si="1700"/>
        <v>0</v>
      </c>
      <c r="O1176" s="1423">
        <f t="shared" si="1701"/>
        <v>0</v>
      </c>
      <c r="P1176" s="1423">
        <f t="shared" si="1702"/>
        <v>0</v>
      </c>
      <c r="Q1176" s="1423">
        <f t="shared" si="1703"/>
        <v>0</v>
      </c>
      <c r="R1176" s="1423">
        <f t="shared" si="1704"/>
        <v>0</v>
      </c>
      <c r="S1176" s="1423">
        <f t="shared" si="1705"/>
        <v>0</v>
      </c>
      <c r="T1176" s="1423">
        <f t="shared" si="1706"/>
        <v>0</v>
      </c>
      <c r="U1176" s="1423">
        <f t="shared" si="1707"/>
        <v>0</v>
      </c>
      <c r="V1176" s="1423">
        <f t="shared" si="1708"/>
        <v>0</v>
      </c>
      <c r="W1176" s="1423">
        <f t="shared" si="1709"/>
        <v>0</v>
      </c>
      <c r="X1176" s="152"/>
      <c r="Y1176" s="152"/>
      <c r="Z1176" s="152"/>
      <c r="AA1176" s="152"/>
      <c r="AB1176" s="152"/>
    </row>
    <row r="1177" spans="1:28" hidden="1" outlineLevel="1">
      <c r="A1177" s="152"/>
      <c r="B1177" s="190" t="str">
        <f t="shared" ca="1" si="1710"/>
        <v>RL Capex 2020-21</v>
      </c>
      <c r="C1177" s="1429"/>
      <c r="D1177" s="1429"/>
      <c r="E1177" s="1429"/>
      <c r="F1177" s="1429"/>
      <c r="G1177" s="1424"/>
      <c r="H1177" s="1428">
        <f>H1144</f>
        <v>0</v>
      </c>
      <c r="I1177" s="1423">
        <f t="shared" si="1695"/>
        <v>0</v>
      </c>
      <c r="J1177" s="1423">
        <f t="shared" si="1696"/>
        <v>0</v>
      </c>
      <c r="K1177" s="1423">
        <f t="shared" si="1697"/>
        <v>0</v>
      </c>
      <c r="L1177" s="1423">
        <f t="shared" si="1698"/>
        <v>0</v>
      </c>
      <c r="M1177" s="1423">
        <f t="shared" si="1699"/>
        <v>0</v>
      </c>
      <c r="N1177" s="1423">
        <f t="shared" si="1700"/>
        <v>0</v>
      </c>
      <c r="O1177" s="1423">
        <f t="shared" si="1701"/>
        <v>0</v>
      </c>
      <c r="P1177" s="1423">
        <f t="shared" si="1702"/>
        <v>0</v>
      </c>
      <c r="Q1177" s="1423">
        <f t="shared" si="1703"/>
        <v>0</v>
      </c>
      <c r="R1177" s="1423">
        <f t="shared" si="1704"/>
        <v>0</v>
      </c>
      <c r="S1177" s="1423">
        <f t="shared" si="1705"/>
        <v>0</v>
      </c>
      <c r="T1177" s="1423">
        <f t="shared" si="1706"/>
        <v>0</v>
      </c>
      <c r="U1177" s="1423">
        <f t="shared" si="1707"/>
        <v>0</v>
      </c>
      <c r="V1177" s="1423">
        <f t="shared" si="1708"/>
        <v>0</v>
      </c>
      <c r="W1177" s="1423">
        <f t="shared" si="1709"/>
        <v>0</v>
      </c>
      <c r="X1177" s="152"/>
      <c r="Y1177" s="152"/>
      <c r="Z1177" s="152"/>
      <c r="AA1177" s="152"/>
      <c r="AB1177" s="152"/>
    </row>
    <row r="1178" spans="1:28" hidden="1" outlineLevel="1">
      <c r="A1178" s="152"/>
      <c r="B1178" s="190" t="str">
        <f t="shared" ca="1" si="1710"/>
        <v>RL Capex 2021-22</v>
      </c>
      <c r="C1178" s="1429"/>
      <c r="D1178" s="1429"/>
      <c r="E1178" s="1429"/>
      <c r="F1178" s="1429"/>
      <c r="G1178" s="1429"/>
      <c r="H1178" s="1424"/>
      <c r="I1178" s="1428">
        <f>I1144</f>
        <v>0</v>
      </c>
      <c r="J1178" s="1423">
        <f t="shared" si="1696"/>
        <v>0</v>
      </c>
      <c r="K1178" s="1423">
        <f t="shared" si="1697"/>
        <v>0</v>
      </c>
      <c r="L1178" s="1423">
        <f t="shared" si="1698"/>
        <v>0</v>
      </c>
      <c r="M1178" s="1423">
        <f t="shared" si="1699"/>
        <v>0</v>
      </c>
      <c r="N1178" s="1423">
        <f t="shared" si="1700"/>
        <v>0</v>
      </c>
      <c r="O1178" s="1423">
        <f t="shared" si="1701"/>
        <v>0</v>
      </c>
      <c r="P1178" s="1423">
        <f t="shared" si="1702"/>
        <v>0</v>
      </c>
      <c r="Q1178" s="1423">
        <f t="shared" si="1703"/>
        <v>0</v>
      </c>
      <c r="R1178" s="1423">
        <f t="shared" si="1704"/>
        <v>0</v>
      </c>
      <c r="S1178" s="1423">
        <f t="shared" si="1705"/>
        <v>0</v>
      </c>
      <c r="T1178" s="1423">
        <f t="shared" si="1706"/>
        <v>0</v>
      </c>
      <c r="U1178" s="1423">
        <f t="shared" si="1707"/>
        <v>0</v>
      </c>
      <c r="V1178" s="1423">
        <f t="shared" si="1708"/>
        <v>0</v>
      </c>
      <c r="W1178" s="1423">
        <f t="shared" si="1709"/>
        <v>0</v>
      </c>
      <c r="X1178" s="152"/>
      <c r="Y1178" s="152"/>
      <c r="Z1178" s="152"/>
      <c r="AA1178" s="152"/>
      <c r="AB1178" s="152"/>
    </row>
    <row r="1179" spans="1:28" hidden="1" outlineLevel="1">
      <c r="A1179" s="152"/>
      <c r="B1179" s="190" t="str">
        <f t="shared" ca="1" si="1710"/>
        <v>RL Capex 2022-23</v>
      </c>
      <c r="C1179" s="1429"/>
      <c r="D1179" s="1429"/>
      <c r="E1179" s="1429"/>
      <c r="F1179" s="1429"/>
      <c r="G1179" s="1429"/>
      <c r="H1179" s="1429"/>
      <c r="I1179" s="1424"/>
      <c r="J1179" s="1428">
        <f>J1144</f>
        <v>0</v>
      </c>
      <c r="K1179" s="1423">
        <f t="shared" si="1697"/>
        <v>0</v>
      </c>
      <c r="L1179" s="1423">
        <f t="shared" si="1698"/>
        <v>0</v>
      </c>
      <c r="M1179" s="1423">
        <f t="shared" si="1699"/>
        <v>0</v>
      </c>
      <c r="N1179" s="1423">
        <f t="shared" si="1700"/>
        <v>0</v>
      </c>
      <c r="O1179" s="1423">
        <f t="shared" si="1701"/>
        <v>0</v>
      </c>
      <c r="P1179" s="1423">
        <f t="shared" si="1702"/>
        <v>0</v>
      </c>
      <c r="Q1179" s="1423">
        <f t="shared" si="1703"/>
        <v>0</v>
      </c>
      <c r="R1179" s="1423">
        <f t="shared" si="1704"/>
        <v>0</v>
      </c>
      <c r="S1179" s="1423">
        <f t="shared" si="1705"/>
        <v>0</v>
      </c>
      <c r="T1179" s="1423">
        <f t="shared" si="1706"/>
        <v>0</v>
      </c>
      <c r="U1179" s="1423">
        <f t="shared" si="1707"/>
        <v>0</v>
      </c>
      <c r="V1179" s="1423">
        <f t="shared" si="1708"/>
        <v>0</v>
      </c>
      <c r="W1179" s="1423">
        <f t="shared" si="1709"/>
        <v>0</v>
      </c>
      <c r="X1179" s="152"/>
      <c r="Y1179" s="152"/>
      <c r="Z1179" s="152"/>
      <c r="AA1179" s="152"/>
      <c r="AB1179" s="152"/>
    </row>
    <row r="1180" spans="1:28" hidden="1" outlineLevel="1">
      <c r="A1180" s="152"/>
      <c r="B1180" s="190" t="str">
        <f t="shared" ca="1" si="1710"/>
        <v>RL Capex 2023-24</v>
      </c>
      <c r="C1180" s="1429"/>
      <c r="D1180" s="1429"/>
      <c r="E1180" s="1429"/>
      <c r="F1180" s="1429"/>
      <c r="G1180" s="1429"/>
      <c r="H1180" s="1429"/>
      <c r="I1180" s="1429"/>
      <c r="J1180" s="1424"/>
      <c r="K1180" s="1428">
        <f>K1144</f>
        <v>0</v>
      </c>
      <c r="L1180" s="1423">
        <f t="shared" si="1698"/>
        <v>0</v>
      </c>
      <c r="M1180" s="1423">
        <f t="shared" si="1699"/>
        <v>0</v>
      </c>
      <c r="N1180" s="1423">
        <f t="shared" si="1700"/>
        <v>0</v>
      </c>
      <c r="O1180" s="1423">
        <f t="shared" si="1701"/>
        <v>0</v>
      </c>
      <c r="P1180" s="1423">
        <f t="shared" si="1702"/>
        <v>0</v>
      </c>
      <c r="Q1180" s="1423">
        <f t="shared" si="1703"/>
        <v>0</v>
      </c>
      <c r="R1180" s="1423">
        <f t="shared" si="1704"/>
        <v>0</v>
      </c>
      <c r="S1180" s="1423">
        <f t="shared" si="1705"/>
        <v>0</v>
      </c>
      <c r="T1180" s="1423">
        <f t="shared" si="1706"/>
        <v>0</v>
      </c>
      <c r="U1180" s="1423">
        <f t="shared" si="1707"/>
        <v>0</v>
      </c>
      <c r="V1180" s="1423">
        <f t="shared" si="1708"/>
        <v>0</v>
      </c>
      <c r="W1180" s="1423">
        <f t="shared" si="1709"/>
        <v>0</v>
      </c>
      <c r="X1180" s="152"/>
      <c r="Y1180" s="152"/>
      <c r="Z1180" s="152"/>
      <c r="AA1180" s="152"/>
      <c r="AB1180" s="152"/>
    </row>
    <row r="1181" spans="1:28" hidden="1" outlineLevel="1">
      <c r="A1181" s="152"/>
      <c r="B1181" s="190" t="str">
        <f t="shared" ca="1" si="1710"/>
        <v>RL Capex 2024-25</v>
      </c>
      <c r="C1181" s="1429"/>
      <c r="D1181" s="1429"/>
      <c r="E1181" s="1429"/>
      <c r="F1181" s="1429"/>
      <c r="G1181" s="1429"/>
      <c r="H1181" s="1429"/>
      <c r="I1181" s="1429"/>
      <c r="J1181" s="1429"/>
      <c r="K1181" s="1424"/>
      <c r="L1181" s="1428">
        <f>L1144</f>
        <v>0</v>
      </c>
      <c r="M1181" s="1423">
        <f t="shared" si="1699"/>
        <v>0</v>
      </c>
      <c r="N1181" s="1423">
        <f t="shared" si="1700"/>
        <v>0</v>
      </c>
      <c r="O1181" s="1423">
        <f t="shared" si="1701"/>
        <v>0</v>
      </c>
      <c r="P1181" s="1423">
        <f t="shared" si="1702"/>
        <v>0</v>
      </c>
      <c r="Q1181" s="1423">
        <f t="shared" si="1703"/>
        <v>0</v>
      </c>
      <c r="R1181" s="1423">
        <f t="shared" si="1704"/>
        <v>0</v>
      </c>
      <c r="S1181" s="1423">
        <f t="shared" si="1705"/>
        <v>0</v>
      </c>
      <c r="T1181" s="1423">
        <f t="shared" si="1706"/>
        <v>0</v>
      </c>
      <c r="U1181" s="1423">
        <f t="shared" si="1707"/>
        <v>0</v>
      </c>
      <c r="V1181" s="1423">
        <f t="shared" si="1708"/>
        <v>0</v>
      </c>
      <c r="W1181" s="1423">
        <f t="shared" si="1709"/>
        <v>0</v>
      </c>
      <c r="X1181" s="152"/>
      <c r="Y1181" s="152"/>
      <c r="Z1181" s="152"/>
      <c r="AA1181" s="152"/>
      <c r="AB1181" s="152"/>
    </row>
    <row r="1182" spans="1:28" hidden="1" outlineLevel="1">
      <c r="A1182" s="152"/>
      <c r="B1182" s="190" t="str">
        <f t="shared" ca="1" si="1710"/>
        <v>RL Capex 2025-26</v>
      </c>
      <c r="C1182" s="1429"/>
      <c r="D1182" s="1429"/>
      <c r="E1182" s="1429"/>
      <c r="F1182" s="1429"/>
      <c r="G1182" s="1429"/>
      <c r="H1182" s="1429"/>
      <c r="I1182" s="1429"/>
      <c r="J1182" s="1429"/>
      <c r="K1182" s="1429"/>
      <c r="L1182" s="1424"/>
      <c r="M1182" s="1428">
        <f>M1144</f>
        <v>0</v>
      </c>
      <c r="N1182" s="1423">
        <f t="shared" si="1700"/>
        <v>0</v>
      </c>
      <c r="O1182" s="1423">
        <f t="shared" si="1701"/>
        <v>0</v>
      </c>
      <c r="P1182" s="1423">
        <f t="shared" si="1702"/>
        <v>0</v>
      </c>
      <c r="Q1182" s="1423">
        <f t="shared" si="1703"/>
        <v>0</v>
      </c>
      <c r="R1182" s="1423">
        <f t="shared" si="1704"/>
        <v>0</v>
      </c>
      <c r="S1182" s="1423">
        <f t="shared" si="1705"/>
        <v>0</v>
      </c>
      <c r="T1182" s="1423">
        <f t="shared" si="1706"/>
        <v>0</v>
      </c>
      <c r="U1182" s="1423">
        <f t="shared" si="1707"/>
        <v>0</v>
      </c>
      <c r="V1182" s="1423">
        <f t="shared" si="1708"/>
        <v>0</v>
      </c>
      <c r="W1182" s="1423">
        <f t="shared" si="1709"/>
        <v>0</v>
      </c>
      <c r="X1182" s="152"/>
      <c r="Y1182" s="152"/>
      <c r="Z1182" s="152"/>
      <c r="AA1182" s="152"/>
      <c r="AB1182" s="152"/>
    </row>
    <row r="1183" spans="1:28" hidden="1" outlineLevel="1">
      <c r="A1183" s="152"/>
      <c r="B1183" s="190" t="str">
        <f t="shared" ca="1" si="1710"/>
        <v>RL Capex 2026-27</v>
      </c>
      <c r="C1183" s="1429"/>
      <c r="D1183" s="1429"/>
      <c r="E1183" s="1429"/>
      <c r="F1183" s="1429"/>
      <c r="G1183" s="1429"/>
      <c r="H1183" s="1429"/>
      <c r="I1183" s="1429"/>
      <c r="J1183" s="1429"/>
      <c r="K1183" s="1429"/>
      <c r="L1183" s="1429"/>
      <c r="M1183" s="1424"/>
      <c r="N1183" s="1428">
        <f>N1144</f>
        <v>0</v>
      </c>
      <c r="O1183" s="1423">
        <f t="shared" si="1701"/>
        <v>0</v>
      </c>
      <c r="P1183" s="1423">
        <f t="shared" si="1702"/>
        <v>0</v>
      </c>
      <c r="Q1183" s="1423">
        <f t="shared" si="1703"/>
        <v>0</v>
      </c>
      <c r="R1183" s="1423">
        <f t="shared" si="1704"/>
        <v>0</v>
      </c>
      <c r="S1183" s="1423">
        <f t="shared" si="1705"/>
        <v>0</v>
      </c>
      <c r="T1183" s="1423">
        <f t="shared" si="1706"/>
        <v>0</v>
      </c>
      <c r="U1183" s="1423">
        <f t="shared" si="1707"/>
        <v>0</v>
      </c>
      <c r="V1183" s="1423">
        <f t="shared" si="1708"/>
        <v>0</v>
      </c>
      <c r="W1183" s="1423">
        <f t="shared" si="1709"/>
        <v>0</v>
      </c>
      <c r="X1183" s="152"/>
      <c r="Y1183" s="152"/>
      <c r="Z1183" s="152"/>
      <c r="AA1183" s="152"/>
      <c r="AB1183" s="152"/>
    </row>
    <row r="1184" spans="1:28" hidden="1" outlineLevel="1">
      <c r="A1184" s="152"/>
      <c r="B1184" s="190" t="str">
        <f t="shared" ca="1" si="1710"/>
        <v>RL Capex 2027-28</v>
      </c>
      <c r="C1184" s="1429"/>
      <c r="D1184" s="1429"/>
      <c r="E1184" s="1429"/>
      <c r="F1184" s="1429"/>
      <c r="G1184" s="1429"/>
      <c r="H1184" s="1429"/>
      <c r="I1184" s="1429"/>
      <c r="J1184" s="1429"/>
      <c r="K1184" s="1429"/>
      <c r="L1184" s="1429"/>
      <c r="M1184" s="1429"/>
      <c r="N1184" s="1424"/>
      <c r="O1184" s="1428">
        <f>O1144</f>
        <v>0</v>
      </c>
      <c r="P1184" s="1423">
        <f t="shared" si="1702"/>
        <v>0</v>
      </c>
      <c r="Q1184" s="1423">
        <f t="shared" si="1703"/>
        <v>0</v>
      </c>
      <c r="R1184" s="1423">
        <f t="shared" si="1704"/>
        <v>0</v>
      </c>
      <c r="S1184" s="1423">
        <f t="shared" si="1705"/>
        <v>0</v>
      </c>
      <c r="T1184" s="1423">
        <f t="shared" si="1706"/>
        <v>0</v>
      </c>
      <c r="U1184" s="1423">
        <f t="shared" si="1707"/>
        <v>0</v>
      </c>
      <c r="V1184" s="1423">
        <f t="shared" si="1708"/>
        <v>0</v>
      </c>
      <c r="W1184" s="1423">
        <f t="shared" si="1709"/>
        <v>0</v>
      </c>
      <c r="X1184" s="152"/>
      <c r="Y1184" s="152"/>
      <c r="Z1184" s="152"/>
      <c r="AA1184" s="152"/>
      <c r="AB1184" s="152"/>
    </row>
    <row r="1185" spans="1:28" hidden="1" outlineLevel="1">
      <c r="A1185" s="152"/>
      <c r="B1185" s="190" t="str">
        <f t="shared" ca="1" si="1710"/>
        <v>RL Capex 2028-29</v>
      </c>
      <c r="C1185" s="1429"/>
      <c r="D1185" s="1429"/>
      <c r="E1185" s="1429"/>
      <c r="F1185" s="1429"/>
      <c r="G1185" s="1429"/>
      <c r="H1185" s="1429"/>
      <c r="I1185" s="1429"/>
      <c r="J1185" s="1429"/>
      <c r="K1185" s="1429"/>
      <c r="L1185" s="1429"/>
      <c r="M1185" s="1429"/>
      <c r="N1185" s="1429"/>
      <c r="O1185" s="1424"/>
      <c r="P1185" s="1428">
        <f>P1144</f>
        <v>0</v>
      </c>
      <c r="Q1185" s="1423">
        <f t="shared" si="1703"/>
        <v>0</v>
      </c>
      <c r="R1185" s="1423">
        <f t="shared" si="1704"/>
        <v>0</v>
      </c>
      <c r="S1185" s="1423">
        <f t="shared" si="1705"/>
        <v>0</v>
      </c>
      <c r="T1185" s="1423">
        <f t="shared" si="1706"/>
        <v>0</v>
      </c>
      <c r="U1185" s="1423">
        <f t="shared" si="1707"/>
        <v>0</v>
      </c>
      <c r="V1185" s="1423">
        <f t="shared" si="1708"/>
        <v>0</v>
      </c>
      <c r="W1185" s="1423">
        <f t="shared" si="1709"/>
        <v>0</v>
      </c>
      <c r="X1185" s="152"/>
      <c r="Y1185" s="152"/>
      <c r="Z1185" s="152"/>
      <c r="AA1185" s="152"/>
      <c r="AB1185" s="152"/>
    </row>
    <row r="1186" spans="1:28" hidden="1" outlineLevel="1">
      <c r="A1186" s="152"/>
      <c r="B1186" s="190" t="str">
        <f t="shared" ca="1" si="1710"/>
        <v>RL Capex 2029-30</v>
      </c>
      <c r="C1186" s="1429"/>
      <c r="D1186" s="1429"/>
      <c r="E1186" s="1429"/>
      <c r="F1186" s="1429"/>
      <c r="G1186" s="1429"/>
      <c r="H1186" s="1429"/>
      <c r="I1186" s="1429"/>
      <c r="J1186" s="1429"/>
      <c r="K1186" s="1429"/>
      <c r="L1186" s="1429"/>
      <c r="M1186" s="1429"/>
      <c r="N1186" s="1429"/>
      <c r="O1186" s="1429"/>
      <c r="P1186" s="1424"/>
      <c r="Q1186" s="1428">
        <f>Q1144</f>
        <v>0</v>
      </c>
      <c r="R1186" s="1423">
        <f t="shared" si="1704"/>
        <v>0</v>
      </c>
      <c r="S1186" s="1423">
        <f t="shared" si="1705"/>
        <v>0</v>
      </c>
      <c r="T1186" s="1423">
        <f t="shared" si="1706"/>
        <v>0</v>
      </c>
      <c r="U1186" s="1423">
        <f t="shared" si="1707"/>
        <v>0</v>
      </c>
      <c r="V1186" s="1423">
        <f t="shared" si="1708"/>
        <v>0</v>
      </c>
      <c r="W1186" s="1423">
        <f t="shared" si="1709"/>
        <v>0</v>
      </c>
      <c r="X1186" s="152"/>
      <c r="Y1186" s="152"/>
      <c r="Z1186" s="152"/>
      <c r="AA1186" s="152"/>
      <c r="AB1186" s="152"/>
    </row>
    <row r="1187" spans="1:28" hidden="1" outlineLevel="1">
      <c r="A1187" s="152"/>
      <c r="B1187" s="190" t="str">
        <f t="shared" ca="1" si="1710"/>
        <v>RL Capex 2030-31</v>
      </c>
      <c r="C1187" s="1429"/>
      <c r="D1187" s="1429"/>
      <c r="E1187" s="1429"/>
      <c r="F1187" s="1429"/>
      <c r="G1187" s="1429"/>
      <c r="H1187" s="1429"/>
      <c r="I1187" s="1429"/>
      <c r="J1187" s="1429"/>
      <c r="K1187" s="1429"/>
      <c r="L1187" s="1429"/>
      <c r="M1187" s="1429"/>
      <c r="N1187" s="1429"/>
      <c r="O1187" s="1429"/>
      <c r="P1187" s="1429"/>
      <c r="Q1187" s="1424"/>
      <c r="R1187" s="1428">
        <f>R1144</f>
        <v>0</v>
      </c>
      <c r="S1187" s="1423">
        <f t="shared" si="1705"/>
        <v>0</v>
      </c>
      <c r="T1187" s="1423">
        <f t="shared" si="1706"/>
        <v>0</v>
      </c>
      <c r="U1187" s="1423">
        <f t="shared" si="1707"/>
        <v>0</v>
      </c>
      <c r="V1187" s="1423">
        <f t="shared" si="1708"/>
        <v>0</v>
      </c>
      <c r="W1187" s="1423">
        <f t="shared" si="1709"/>
        <v>0</v>
      </c>
      <c r="X1187" s="152"/>
      <c r="Y1187" s="152"/>
      <c r="Z1187" s="152"/>
      <c r="AA1187" s="152"/>
      <c r="AB1187" s="152"/>
    </row>
    <row r="1188" spans="1:28" hidden="1" outlineLevel="1">
      <c r="A1188" s="152"/>
      <c r="B1188" s="190" t="str">
        <f t="shared" ca="1" si="1710"/>
        <v>RL Capex 2031-32</v>
      </c>
      <c r="C1188" s="1429"/>
      <c r="D1188" s="1429"/>
      <c r="E1188" s="1429"/>
      <c r="F1188" s="1429"/>
      <c r="G1188" s="1429"/>
      <c r="H1188" s="1429"/>
      <c r="I1188" s="1429"/>
      <c r="J1188" s="1429"/>
      <c r="K1188" s="1429"/>
      <c r="L1188" s="1429"/>
      <c r="M1188" s="1429"/>
      <c r="N1188" s="1429"/>
      <c r="O1188" s="1429"/>
      <c r="P1188" s="1429"/>
      <c r="Q1188" s="1429"/>
      <c r="R1188" s="1424"/>
      <c r="S1188" s="1428">
        <f>S1144</f>
        <v>0</v>
      </c>
      <c r="T1188" s="1423">
        <f t="shared" si="1706"/>
        <v>0</v>
      </c>
      <c r="U1188" s="1423">
        <f t="shared" si="1707"/>
        <v>0</v>
      </c>
      <c r="V1188" s="1423">
        <f t="shared" si="1708"/>
        <v>0</v>
      </c>
      <c r="W1188" s="1423">
        <f t="shared" si="1709"/>
        <v>0</v>
      </c>
      <c r="X1188" s="152"/>
      <c r="Y1188" s="152"/>
      <c r="Z1188" s="152"/>
      <c r="AA1188" s="152"/>
      <c r="AB1188" s="152"/>
    </row>
    <row r="1189" spans="1:28" hidden="1" outlineLevel="1">
      <c r="A1189" s="152"/>
      <c r="B1189" s="190" t="str">
        <f t="shared" ca="1" si="1710"/>
        <v>RL Capex 2032-33</v>
      </c>
      <c r="C1189" s="1429"/>
      <c r="D1189" s="1429"/>
      <c r="E1189" s="1429"/>
      <c r="F1189" s="1429"/>
      <c r="G1189" s="1429"/>
      <c r="H1189" s="1429"/>
      <c r="I1189" s="1429"/>
      <c r="J1189" s="1429"/>
      <c r="K1189" s="1429"/>
      <c r="L1189" s="1429"/>
      <c r="M1189" s="1429"/>
      <c r="N1189" s="1429"/>
      <c r="O1189" s="1429"/>
      <c r="P1189" s="1429"/>
      <c r="Q1189" s="1429"/>
      <c r="R1189" s="1429"/>
      <c r="S1189" s="1424"/>
      <c r="T1189" s="1428">
        <f>T1144</f>
        <v>0</v>
      </c>
      <c r="U1189" s="1423">
        <f t="shared" si="1707"/>
        <v>0</v>
      </c>
      <c r="V1189" s="1423">
        <f t="shared" si="1708"/>
        <v>0</v>
      </c>
      <c r="W1189" s="1423">
        <f t="shared" si="1709"/>
        <v>0</v>
      </c>
      <c r="X1189" s="152"/>
      <c r="Y1189" s="152"/>
      <c r="Z1189" s="152"/>
      <c r="AA1189" s="152"/>
      <c r="AB1189" s="152"/>
    </row>
    <row r="1190" spans="1:28" hidden="1" outlineLevel="1">
      <c r="A1190" s="152"/>
      <c r="B1190" s="190" t="str">
        <f t="shared" ca="1" si="1710"/>
        <v>RL Capex 2033-34</v>
      </c>
      <c r="C1190" s="1429"/>
      <c r="D1190" s="1429"/>
      <c r="E1190" s="1429"/>
      <c r="F1190" s="1429"/>
      <c r="G1190" s="1429"/>
      <c r="H1190" s="1429"/>
      <c r="I1190" s="1429"/>
      <c r="J1190" s="1429"/>
      <c r="K1190" s="1429"/>
      <c r="L1190" s="1429"/>
      <c r="M1190" s="1429"/>
      <c r="N1190" s="1429"/>
      <c r="O1190" s="1429"/>
      <c r="P1190" s="1429"/>
      <c r="Q1190" s="1429"/>
      <c r="R1190" s="1429"/>
      <c r="S1190" s="1429"/>
      <c r="T1190" s="1424"/>
      <c r="U1190" s="1428">
        <f>U1144</f>
        <v>0</v>
      </c>
      <c r="V1190" s="1423">
        <f t="shared" si="1708"/>
        <v>0</v>
      </c>
      <c r="W1190" s="1423">
        <f t="shared" si="1709"/>
        <v>0</v>
      </c>
      <c r="X1190" s="152"/>
      <c r="Y1190" s="152"/>
      <c r="Z1190" s="152"/>
      <c r="AA1190" s="152"/>
      <c r="AB1190" s="152"/>
    </row>
    <row r="1191" spans="1:28" hidden="1" outlineLevel="1">
      <c r="A1191" s="152"/>
      <c r="B1191" s="190" t="str">
        <f t="shared" ca="1" si="1710"/>
        <v>RL Capex 2034-35</v>
      </c>
      <c r="C1191" s="1429"/>
      <c r="D1191" s="1429"/>
      <c r="E1191" s="1429"/>
      <c r="F1191" s="1429"/>
      <c r="G1191" s="1429"/>
      <c r="H1191" s="1429"/>
      <c r="I1191" s="1429"/>
      <c r="J1191" s="1429"/>
      <c r="K1191" s="1429"/>
      <c r="L1191" s="1429"/>
      <c r="M1191" s="1429"/>
      <c r="N1191" s="1429"/>
      <c r="O1191" s="1429"/>
      <c r="P1191" s="1429"/>
      <c r="Q1191" s="1429"/>
      <c r="R1191" s="1429"/>
      <c r="S1191" s="1429"/>
      <c r="T1191" s="1429"/>
      <c r="U1191" s="1424"/>
      <c r="V1191" s="1428">
        <f>V1144</f>
        <v>0</v>
      </c>
      <c r="W1191" s="1423">
        <f>IF(V1191="n/a","n/a",MAX(0,V1191-1))</f>
        <v>0</v>
      </c>
      <c r="X1191" s="152"/>
      <c r="Y1191" s="152"/>
      <c r="Z1191" s="152"/>
      <c r="AA1191" s="152"/>
      <c r="AB1191" s="152"/>
    </row>
    <row r="1192" spans="1:28" hidden="1" outlineLevel="1">
      <c r="A1192" s="152"/>
      <c r="B1192" s="190" t="str">
        <f t="shared" ca="1" si="1710"/>
        <v>RL Capex 2035-36</v>
      </c>
      <c r="C1192" s="1429"/>
      <c r="D1192" s="1429"/>
      <c r="E1192" s="1429"/>
      <c r="F1192" s="1429"/>
      <c r="G1192" s="1429"/>
      <c r="H1192" s="1429"/>
      <c r="I1192" s="1429"/>
      <c r="J1192" s="1429"/>
      <c r="K1192" s="1429"/>
      <c r="L1192" s="1429"/>
      <c r="M1192" s="1429"/>
      <c r="N1192" s="1429"/>
      <c r="O1192" s="1429"/>
      <c r="P1192" s="1429"/>
      <c r="Q1192" s="1429"/>
      <c r="R1192" s="1429"/>
      <c r="S1192" s="1429"/>
      <c r="T1192" s="1429"/>
      <c r="U1192" s="1429"/>
      <c r="V1192" s="1424"/>
      <c r="W1192" s="1423">
        <f>W1144</f>
        <v>0</v>
      </c>
      <c r="X1192" s="152"/>
      <c r="Y1192" s="152"/>
      <c r="Z1192" s="152"/>
      <c r="AA1192" s="152"/>
      <c r="AB1192" s="152"/>
    </row>
    <row r="1193" spans="1:28" hidden="1" outlineLevel="1">
      <c r="A1193" s="152"/>
      <c r="B1193" s="200"/>
      <c r="C1193" s="1423"/>
      <c r="D1193" s="1423"/>
      <c r="E1193" s="1423"/>
      <c r="F1193" s="1423"/>
      <c r="G1193" s="1423"/>
      <c r="H1193" s="1423"/>
      <c r="I1193" s="1423"/>
      <c r="J1193" s="1423"/>
      <c r="K1193" s="1423"/>
      <c r="L1193" s="1423"/>
      <c r="M1193" s="1423"/>
      <c r="N1193" s="1423"/>
      <c r="O1193" s="1423"/>
      <c r="P1193" s="1423"/>
      <c r="Q1193" s="1423"/>
      <c r="R1193" s="1423"/>
      <c r="S1193" s="1423"/>
      <c r="T1193" s="1423"/>
      <c r="U1193" s="1423"/>
      <c r="V1193" s="1423"/>
      <c r="W1193" s="1423"/>
      <c r="X1193" s="152"/>
      <c r="Y1193" s="152"/>
      <c r="Z1193" s="152"/>
      <c r="AA1193" s="152"/>
      <c r="AB1193" s="152"/>
    </row>
    <row r="1194" spans="1:28" collapsed="1">
      <c r="A1194" s="194"/>
      <c r="B1194" s="204" t="s">
        <v>123</v>
      </c>
      <c r="C1194" s="1430">
        <f ca="1">(IF(OR($C1144&lt;&gt;"n/a",C1144&lt;&gt;"n/a"),IF(SUM(C1147:C1169)=0,0,IF((SUMPRODUCT(C1147:C1169,C1171:C1193)/SUM(C1147:C1169))&lt;0,1,(SUMPRODUCT(C1147:C1169,C1171:C1193)/SUM(C1147:C1169)))),"n/a"))</f>
        <v>0</v>
      </c>
      <c r="D1194" s="1430">
        <f ca="1">(IF(OR($C1144&lt;&gt;"n/a",D1144&lt;&gt;"n/a"),IF(SUM(D1147:D1169)=0,0,IF((SUMPRODUCT(D1147:D1169,D1171:D1193)/SUM(D1147:D1169))&lt;0,1,(SUMPRODUCT(D1147:D1169,D1171:D1193)/SUM(D1147:D1169)))),"n/a"))</f>
        <v>0</v>
      </c>
      <c r="E1194" s="1430">
        <f t="shared" ref="E1194:W1194" ca="1" si="1711">(IF(OR($C1144&lt;&gt;"n/a",E1144&lt;&gt;"n/a"),IF(SUM(E1147:E1169)=0,0,IF((SUMPRODUCT(E1147:E1169,E1171:E1193)/SUM(E1147:E1169))&lt;0,1,(SUMPRODUCT(E1147:E1169,E1171:E1193)/SUM(E1147:E1169)))),"n/a"))</f>
        <v>0</v>
      </c>
      <c r="F1194" s="1430">
        <f t="shared" ca="1" si="1711"/>
        <v>0</v>
      </c>
      <c r="G1194" s="1430">
        <f t="shared" ca="1" si="1711"/>
        <v>0</v>
      </c>
      <c r="H1194" s="1430">
        <f t="shared" ca="1" si="1711"/>
        <v>0</v>
      </c>
      <c r="I1194" s="1430">
        <f t="shared" ca="1" si="1711"/>
        <v>0</v>
      </c>
      <c r="J1194" s="1430">
        <f t="shared" ca="1" si="1711"/>
        <v>0</v>
      </c>
      <c r="K1194" s="1430">
        <f t="shared" ca="1" si="1711"/>
        <v>0</v>
      </c>
      <c r="L1194" s="1430">
        <f t="shared" ca="1" si="1711"/>
        <v>0</v>
      </c>
      <c r="M1194" s="1430">
        <f t="shared" ca="1" si="1711"/>
        <v>0</v>
      </c>
      <c r="N1194" s="1430">
        <f t="shared" ca="1" si="1711"/>
        <v>0</v>
      </c>
      <c r="O1194" s="1430">
        <f t="shared" ca="1" si="1711"/>
        <v>0</v>
      </c>
      <c r="P1194" s="1430">
        <f t="shared" ca="1" si="1711"/>
        <v>0</v>
      </c>
      <c r="Q1194" s="1430">
        <f t="shared" ca="1" si="1711"/>
        <v>0</v>
      </c>
      <c r="R1194" s="1430">
        <f t="shared" ca="1" si="1711"/>
        <v>0</v>
      </c>
      <c r="S1194" s="1430">
        <f t="shared" ca="1" si="1711"/>
        <v>0</v>
      </c>
      <c r="T1194" s="1430">
        <f t="shared" ca="1" si="1711"/>
        <v>0</v>
      </c>
      <c r="U1194" s="1430">
        <f t="shared" ca="1" si="1711"/>
        <v>0</v>
      </c>
      <c r="V1194" s="1430">
        <f t="shared" ca="1" si="1711"/>
        <v>0</v>
      </c>
      <c r="W1194" s="1430">
        <f t="shared" ca="1" si="1711"/>
        <v>0</v>
      </c>
      <c r="X1194" s="152"/>
      <c r="Y1194" s="152"/>
      <c r="Z1194" s="152"/>
      <c r="AA1194" s="152"/>
      <c r="AB1194" s="152"/>
    </row>
    <row r="1195" spans="1:28">
      <c r="A1195" s="152"/>
      <c r="B1195" s="152"/>
      <c r="C1195" s="1423"/>
      <c r="D1195" s="1423"/>
      <c r="E1195" s="1423"/>
      <c r="F1195" s="1423"/>
      <c r="G1195" s="1423"/>
      <c r="H1195" s="1423"/>
      <c r="I1195" s="1423"/>
      <c r="J1195" s="1423"/>
      <c r="K1195" s="1423"/>
      <c r="L1195" s="1423"/>
      <c r="M1195" s="1423"/>
      <c r="N1195" s="1423"/>
      <c r="O1195" s="1423"/>
      <c r="P1195" s="1423"/>
      <c r="Q1195" s="1423"/>
      <c r="R1195" s="1423"/>
      <c r="S1195" s="1423"/>
      <c r="T1195" s="1423"/>
      <c r="U1195" s="1423"/>
      <c r="V1195" s="1423"/>
      <c r="W1195" s="1423"/>
      <c r="X1195" s="152"/>
      <c r="Y1195" s="152"/>
      <c r="Z1195" s="152"/>
      <c r="AA1195" s="152"/>
      <c r="AB1195" s="152"/>
    </row>
    <row r="1196" spans="1:28">
      <c r="A1196" s="269" t="s">
        <v>57</v>
      </c>
      <c r="B1196" s="270">
        <f>VLOOKUP($A1196,'RFM input'!$E$7:$F$56,2,FALSE)</f>
        <v>0</v>
      </c>
      <c r="C1196" s="1431"/>
      <c r="D1196" s="1431"/>
      <c r="E1196" s="1432"/>
      <c r="F1196" s="1432"/>
      <c r="G1196" s="1432"/>
      <c r="H1196" s="1432"/>
      <c r="I1196" s="1432"/>
      <c r="J1196" s="1432"/>
      <c r="K1196" s="1432"/>
      <c r="L1196" s="1432"/>
      <c r="M1196" s="1432"/>
      <c r="N1196" s="1432"/>
      <c r="O1196" s="1432"/>
      <c r="P1196" s="1432"/>
      <c r="Q1196" s="1432"/>
      <c r="R1196" s="1432"/>
      <c r="S1196" s="1432"/>
      <c r="T1196" s="1432"/>
      <c r="U1196" s="1432"/>
      <c r="V1196" s="1432"/>
      <c r="W1196" s="1432"/>
      <c r="X1196" s="152"/>
      <c r="Y1196" s="152"/>
      <c r="Z1196" s="152"/>
      <c r="AA1196" s="152"/>
      <c r="AB1196" s="152"/>
    </row>
    <row r="1197" spans="1:28">
      <c r="A1197" s="215">
        <f>VALUE(REPLACE(A1196,1,12,""))</f>
        <v>23</v>
      </c>
      <c r="B1197" s="193" t="s">
        <v>126</v>
      </c>
      <c r="C1197" s="1416">
        <f ca="1">IF($D$6='TAB roll forward'!$H$4,OFFSET('TAB roll forward'!$H$7,A1197,0),"enter input")</f>
        <v>0</v>
      </c>
      <c r="D1197" s="1417">
        <f>IF(LEFT(D$6,4)&lt;LEFT('RFM input'!$G$60,4),"enter input",IF(LEFT(D$6,4)&gt;LEFT('RFM input'!$Q$60,4),0,
INDEX('RFM input'!$G$61:$Q$110,$A1197,MATCH(D$6,'RFM input'!$G$60:$Q$60,0))
   -INDEX('RFM input'!$G$115:$Q$164,$A1197,MATCH(D$6,'RFM input'!$G$60:$Q$60,0))))</f>
        <v>0</v>
      </c>
      <c r="E1197" s="1417">
        <f>IF(LEFT(E$6,4)&lt;LEFT('RFM input'!$G$60,4),"enter input",IF(LEFT(E$6,4)&gt;LEFT('RFM input'!$Q$60,4),0,
INDEX('RFM input'!$G$61:$Q$110,$A1197,MATCH(E$6,'RFM input'!$G$60:$Q$60,0))
   -INDEX('RFM input'!$G$115:$Q$164,$A1197,MATCH(E$6,'RFM input'!$G$60:$Q$60,0))))</f>
        <v>0</v>
      </c>
      <c r="F1197" s="1417">
        <f>IF(LEFT(F$6,4)&lt;LEFT('RFM input'!$G$60,4),"enter input",IF(LEFT(F$6,4)&gt;LEFT('RFM input'!$Q$60,4),0,
INDEX('RFM input'!$G$61:$Q$110,$A1197,MATCH(F$6,'RFM input'!$G$60:$Q$60,0))
   -INDEX('RFM input'!$G$115:$Q$164,$A1197,MATCH(F$6,'RFM input'!$G$60:$Q$60,0))))</f>
        <v>0</v>
      </c>
      <c r="G1197" s="1417">
        <f>IF(LEFT(G$6,4)&lt;LEFT('RFM input'!$G$60,4),"enter input",IF(LEFT(G$6,4)&gt;LEFT('RFM input'!$Q$60,4),0,
INDEX('RFM input'!$G$61:$Q$110,$A1197,MATCH(G$6,'RFM input'!$G$60:$Q$60,0))
   -INDEX('RFM input'!$G$115:$Q$164,$A1197,MATCH(G$6,'RFM input'!$G$60:$Q$60,0))))</f>
        <v>0</v>
      </c>
      <c r="H1197" s="1417">
        <f>IF(LEFT(H$6,4)&lt;LEFT('RFM input'!$G$60,4),"enter input",IF(LEFT(H$6,4)&gt;LEFT('RFM input'!$Q$60,4),0,
INDEX('RFM input'!$G$61:$Q$110,$A1197,MATCH(H$6,'RFM input'!$G$60:$Q$60,0))
   -INDEX('RFM input'!$G$115:$Q$164,$A1197,MATCH(H$6,'RFM input'!$G$60:$Q$60,0))))</f>
        <v>0</v>
      </c>
      <c r="I1197" s="1417">
        <f>IF(LEFT(I$6,4)&lt;LEFT('RFM input'!$G$60,4),"enter input",IF(LEFT(I$6,4)&gt;LEFT('RFM input'!$Q$60,4),0,
INDEX('RFM input'!$G$61:$Q$110,$A1197,MATCH(I$6,'RFM input'!$G$60:$Q$60,0))
   -INDEX('RFM input'!$G$115:$Q$164,$A1197,MATCH(I$6,'RFM input'!$G$60:$Q$60,0))))</f>
        <v>0</v>
      </c>
      <c r="J1197" s="1417">
        <f>IF(LEFT(J$6,4)&lt;LEFT('RFM input'!$G$60,4),"enter input",IF(LEFT(J$6,4)&gt;LEFT('RFM input'!$Q$60,4),0,
INDEX('RFM input'!$G$61:$Q$110,$A1197,MATCH(J$6,'RFM input'!$G$60:$Q$60,0))
   -INDEX('RFM input'!$G$115:$Q$164,$A1197,MATCH(J$6,'RFM input'!$G$60:$Q$60,0))))</f>
        <v>0</v>
      </c>
      <c r="K1197" s="1417">
        <f>IF(LEFT(K$6,4)&lt;LEFT('RFM input'!$G$60,4),"enter input",IF(LEFT(K$6,4)&gt;LEFT('RFM input'!$Q$60,4),0,
INDEX('RFM input'!$G$61:$Q$110,$A1197,MATCH(K$6,'RFM input'!$G$60:$Q$60,0))
   -INDEX('RFM input'!$G$115:$Q$164,$A1197,MATCH(K$6,'RFM input'!$G$60:$Q$60,0))))</f>
        <v>0</v>
      </c>
      <c r="L1197" s="1417">
        <f>IF(LEFT(L$6,4)&lt;LEFT('RFM input'!$G$60,4),"enter input",IF(LEFT(L$6,4)&gt;LEFT('RFM input'!$Q$60,4),0,
INDEX('RFM input'!$G$61:$Q$110,$A1197,MATCH(L$6,'RFM input'!$G$60:$Q$60,0))
   -INDEX('RFM input'!$G$115:$Q$164,$A1197,MATCH(L$6,'RFM input'!$G$60:$Q$60,0))))</f>
        <v>0</v>
      </c>
      <c r="M1197" s="1417">
        <f>IF(LEFT(M$6,4)&lt;LEFT('RFM input'!$G$60,4),"enter input",IF(LEFT(M$6,4)&gt;LEFT('RFM input'!$Q$60,4),0,
INDEX('RFM input'!$G$61:$Q$110,$A1197,MATCH(M$6,'RFM input'!$G$60:$Q$60,0))
   -INDEX('RFM input'!$G$115:$Q$164,$A1197,MATCH(M$6,'RFM input'!$G$60:$Q$60,0))))</f>
        <v>0</v>
      </c>
      <c r="N1197" s="1417">
        <f>IF(LEFT(N$6,4)&lt;LEFT('RFM input'!$G$60,4),"enter input",IF(LEFT(N$6,4)&gt;LEFT('RFM input'!$Q$60,4),0,
INDEX('RFM input'!$G$61:$Q$110,$A1197,MATCH(N$6,'RFM input'!$G$60:$Q$60,0))
   -INDEX('RFM input'!$G$115:$Q$164,$A1197,MATCH(N$6,'RFM input'!$G$60:$Q$60,0))))</f>
        <v>0</v>
      </c>
      <c r="O1197" s="1417">
        <f>IF(LEFT(O$6,4)&lt;LEFT('RFM input'!$G$60,4),"enter input",IF(LEFT(O$6,4)&gt;LEFT('RFM input'!$Q$60,4),0,
INDEX('RFM input'!$G$61:$Q$110,$A1197,MATCH(O$6,'RFM input'!$G$60:$Q$60,0))
   -INDEX('RFM input'!$G$115:$Q$164,$A1197,MATCH(O$6,'RFM input'!$G$60:$Q$60,0))))</f>
        <v>0</v>
      </c>
      <c r="P1197" s="1417">
        <f>IF(LEFT(P$6,4)&lt;LEFT('RFM input'!$G$60,4),"enter input",IF(LEFT(P$6,4)&gt;LEFT('RFM input'!$Q$60,4),0,
INDEX('RFM input'!$G$61:$Q$110,$A1197,MATCH(P$6,'RFM input'!$G$60:$Q$60,0))
   -INDEX('RFM input'!$G$115:$Q$164,$A1197,MATCH(P$6,'RFM input'!$G$60:$Q$60,0))))</f>
        <v>0</v>
      </c>
      <c r="Q1197" s="1417">
        <f>IF(LEFT(Q$6,4)&lt;LEFT('RFM input'!$G$60,4),"enter input",IF(LEFT(Q$6,4)&gt;LEFT('RFM input'!$Q$60,4),0,
INDEX('RFM input'!$G$61:$Q$110,$A1197,MATCH(Q$6,'RFM input'!$G$60:$Q$60,0))
   -INDEX('RFM input'!$G$115:$Q$164,$A1197,MATCH(Q$6,'RFM input'!$G$60:$Q$60,0))))</f>
        <v>0</v>
      </c>
      <c r="R1197" s="1417">
        <f>IF(LEFT(R$6,4)&lt;LEFT('RFM input'!$G$60,4),"enter input",IF(LEFT(R$6,4)&gt;LEFT('RFM input'!$Q$60,4),0,
INDEX('RFM input'!$G$61:$Q$110,$A1197,MATCH(R$6,'RFM input'!$G$60:$Q$60,0))
   -INDEX('RFM input'!$G$115:$Q$164,$A1197,MATCH(R$6,'RFM input'!$G$60:$Q$60,0))))</f>
        <v>0</v>
      </c>
      <c r="S1197" s="1417">
        <f>IF(LEFT(S$6,4)&lt;LEFT('RFM input'!$G$60,4),"enter input",IF(LEFT(S$6,4)&gt;LEFT('RFM input'!$Q$60,4),0,
INDEX('RFM input'!$G$61:$Q$110,$A1197,MATCH(S$6,'RFM input'!$G$60:$Q$60,0))
   -INDEX('RFM input'!$G$115:$Q$164,$A1197,MATCH(S$6,'RFM input'!$G$60:$Q$60,0))))</f>
        <v>0</v>
      </c>
      <c r="T1197" s="1417">
        <f>IF(LEFT(T$6,4)&lt;LEFT('RFM input'!$G$60,4),"enter input",IF(LEFT(T$6,4)&gt;LEFT('RFM input'!$Q$60,4),0,
INDEX('RFM input'!$G$61:$Q$110,$A1197,MATCH(T$6,'RFM input'!$G$60:$Q$60,0))
   -INDEX('RFM input'!$G$115:$Q$164,$A1197,MATCH(T$6,'RFM input'!$G$60:$Q$60,0))))</f>
        <v>0</v>
      </c>
      <c r="U1197" s="1417">
        <f>IF(LEFT(U$6,4)&lt;LEFT('RFM input'!$G$60,4),"enter input",IF(LEFT(U$6,4)&gt;LEFT('RFM input'!$Q$60,4),0,
INDEX('RFM input'!$G$61:$Q$110,$A1197,MATCH(U$6,'RFM input'!$G$60:$Q$60,0))
   -INDEX('RFM input'!$G$115:$Q$164,$A1197,MATCH(U$6,'RFM input'!$G$60:$Q$60,0))))</f>
        <v>0</v>
      </c>
      <c r="V1197" s="1417">
        <f>IF(LEFT(V$6,4)&lt;LEFT('RFM input'!$G$60,4),"enter input",IF(LEFT(V$6,4)&gt;LEFT('RFM input'!$Q$60,4),0,
INDEX('RFM input'!$G$61:$Q$110,$A1197,MATCH(V$6,'RFM input'!$G$60:$Q$60,0))
   -INDEX('RFM input'!$G$115:$Q$164,$A1197,MATCH(V$6,'RFM input'!$G$60:$Q$60,0))))</f>
        <v>0</v>
      </c>
      <c r="W1197" s="1417">
        <f>IF(LEFT(W$6,4)&lt;LEFT('RFM input'!$G$60,4),"enter input",IF(LEFT(W$6,4)&gt;LEFT('RFM input'!$Q$60,4),0,
INDEX('RFM input'!$G$61:$Q$110,$A1197,MATCH(W$6,'RFM input'!$G$60:$Q$60,0))
   -INDEX('RFM input'!$G$115:$Q$164,$A1197,MATCH(W$6,'RFM input'!$G$60:$Q$60,0))))</f>
        <v>0</v>
      </c>
      <c r="X1197" s="152"/>
      <c r="Y1197" s="152"/>
      <c r="Z1197" s="152"/>
      <c r="AA1197" s="152"/>
      <c r="AB1197" s="152"/>
    </row>
    <row r="1198" spans="1:28">
      <c r="A1198" s="152"/>
      <c r="B1198" s="152" t="s">
        <v>205</v>
      </c>
      <c r="C1198" s="1418">
        <f ca="1">IF($D$6='TAB roll forward'!$H$4,OFFSET('RFM input'!$S$6,$A1197,0),"enter input")</f>
        <v>0</v>
      </c>
      <c r="D1198" s="1417">
        <f>IF(LEFT(D$6,4)&lt;=LEFT('RFM input'!$G$60,4),"enter input",IF(LEFT(D$6,4)&gt;LEFT('RFM input'!$Q$60,4),0,
IF(MATCH(D$6,'RFM input'!$H$60:$Q$60,0),INDEX('RFM input'!$T$7:$T$56,$A1197,1,1))))</f>
        <v>0</v>
      </c>
      <c r="E1198" s="1417">
        <f>IF(LEFT(E$6,4)&lt;=LEFT('RFM input'!$G$60,4),"enter input",IF(LEFT(E$6,4)&gt;LEFT('RFM input'!$Q$60,4),0,
IF(MATCH(E$6,'RFM input'!$H$60:$Q$60,0),INDEX('RFM input'!$T$7:$T$56,$A1197,1,1))))</f>
        <v>0</v>
      </c>
      <c r="F1198" s="1417">
        <f>IF(LEFT(F$6,4)&lt;=LEFT('RFM input'!$G$60,4),"enter input",IF(LEFT(F$6,4)&gt;LEFT('RFM input'!$Q$60,4),0,
IF(MATCH(F$6,'RFM input'!$H$60:$Q$60,0),INDEX('RFM input'!$T$7:$T$56,$A1197,1,1))))</f>
        <v>0</v>
      </c>
      <c r="G1198" s="1417">
        <f>IF(LEFT(G$6,4)&lt;=LEFT('RFM input'!$G$60,4),"enter input",IF(LEFT(G$6,4)&gt;LEFT('RFM input'!$Q$60,4),0,
IF(MATCH(G$6,'RFM input'!$H$60:$Q$60,0),INDEX('RFM input'!$T$7:$T$56,$A1197,1,1))))</f>
        <v>0</v>
      </c>
      <c r="H1198" s="1417">
        <f>IF(LEFT(H$6,4)&lt;=LEFT('RFM input'!$G$60,4),"enter input",IF(LEFT(H$6,4)&gt;LEFT('RFM input'!$Q$60,4),0,
IF(MATCH(H$6,'RFM input'!$H$60:$Q$60,0),INDEX('RFM input'!$T$7:$T$56,$A1197,1,1))))</f>
        <v>0</v>
      </c>
      <c r="I1198" s="1417">
        <f>IF(LEFT(I$6,4)&lt;=LEFT('RFM input'!$G$60,4),"enter input",IF(LEFT(I$6,4)&gt;LEFT('RFM input'!$Q$60,4),0,
IF(MATCH(I$6,'RFM input'!$H$60:$Q$60,0),INDEX('RFM input'!$T$7:$T$56,$A1197,1,1))))</f>
        <v>0</v>
      </c>
      <c r="J1198" s="1417">
        <f>IF(LEFT(J$6,4)&lt;=LEFT('RFM input'!$G$60,4),"enter input",IF(LEFT(J$6,4)&gt;LEFT('RFM input'!$Q$60,4),0,
IF(MATCH(J$6,'RFM input'!$H$60:$Q$60,0),INDEX('RFM input'!$T$7:$T$56,$A1197,1,1))))</f>
        <v>0</v>
      </c>
      <c r="K1198" s="1417">
        <f>IF(LEFT(K$6,4)&lt;=LEFT('RFM input'!$G$60,4),"enter input",IF(LEFT(K$6,4)&gt;LEFT('RFM input'!$Q$60,4),0,
IF(MATCH(K$6,'RFM input'!$H$60:$Q$60,0),INDEX('RFM input'!$T$7:$T$56,$A1197,1,1))))</f>
        <v>0</v>
      </c>
      <c r="L1198" s="1417">
        <f>IF(LEFT(L$6,4)&lt;=LEFT('RFM input'!$G$60,4),"enter input",IF(LEFT(L$6,4)&gt;LEFT('RFM input'!$Q$60,4),0,
IF(MATCH(L$6,'RFM input'!$H$60:$Q$60,0),INDEX('RFM input'!$T$7:$T$56,$A1197,1,1))))</f>
        <v>0</v>
      </c>
      <c r="M1198" s="1417">
        <f>IF(LEFT(M$6,4)&lt;=LEFT('RFM input'!$G$60,4),"enter input",IF(LEFT(M$6,4)&gt;LEFT('RFM input'!$Q$60,4),0,
IF(MATCH(M$6,'RFM input'!$H$60:$Q$60,0),INDEX('RFM input'!$T$7:$T$56,$A1197,1,1))))</f>
        <v>0</v>
      </c>
      <c r="N1198" s="1417">
        <f>IF(LEFT(N$6,4)&lt;=LEFT('RFM input'!$G$60,4),"enter input",IF(LEFT(N$6,4)&gt;LEFT('RFM input'!$Q$60,4),0,
IF(MATCH(N$6,'RFM input'!$H$60:$Q$60,0),INDEX('RFM input'!$T$7:$T$56,$A1197,1,1))))</f>
        <v>0</v>
      </c>
      <c r="O1198" s="1417">
        <f>IF(LEFT(O$6,4)&lt;=LEFT('RFM input'!$G$60,4),"enter input",IF(LEFT(O$6,4)&gt;LEFT('RFM input'!$Q$60,4),0,
IF(MATCH(O$6,'RFM input'!$H$60:$Q$60,0),INDEX('RFM input'!$T$7:$T$56,$A1197,1,1))))</f>
        <v>0</v>
      </c>
      <c r="P1198" s="1417">
        <f>IF(LEFT(P$6,4)&lt;=LEFT('RFM input'!$G$60,4),"enter input",IF(LEFT(P$6,4)&gt;LEFT('RFM input'!$Q$60,4),0,
IF(MATCH(P$6,'RFM input'!$H$60:$Q$60,0),INDEX('RFM input'!$T$7:$T$56,$A1197,1,1))))</f>
        <v>0</v>
      </c>
      <c r="Q1198" s="1417">
        <f>IF(LEFT(Q$6,4)&lt;=LEFT('RFM input'!$G$60,4),"enter input",IF(LEFT(Q$6,4)&gt;LEFT('RFM input'!$Q$60,4),0,
IF(MATCH(Q$6,'RFM input'!$H$60:$Q$60,0),INDEX('RFM input'!$T$7:$T$56,$A1197,1,1))))</f>
        <v>0</v>
      </c>
      <c r="R1198" s="1417">
        <f>IF(LEFT(R$6,4)&lt;=LEFT('RFM input'!$G$60,4),"enter input",IF(LEFT(R$6,4)&gt;LEFT('RFM input'!$Q$60,4),0,
IF(MATCH(R$6,'RFM input'!$H$60:$Q$60,0),INDEX('RFM input'!$T$7:$T$56,$A1197,1,1))))</f>
        <v>0</v>
      </c>
      <c r="S1198" s="1417">
        <f>IF(LEFT(S$6,4)&lt;=LEFT('RFM input'!$G$60,4),"enter input",IF(LEFT(S$6,4)&gt;LEFT('RFM input'!$Q$60,4),0,
IF(MATCH(S$6,'RFM input'!$H$60:$Q$60,0),INDEX('RFM input'!$T$7:$T$56,$A1197,1,1))))</f>
        <v>0</v>
      </c>
      <c r="T1198" s="1417">
        <f>IF(LEFT(T$6,4)&lt;=LEFT('RFM input'!$G$60,4),"enter input",IF(LEFT(T$6,4)&gt;LEFT('RFM input'!$Q$60,4),0,
IF(MATCH(T$6,'RFM input'!$H$60:$Q$60,0),INDEX('RFM input'!$T$7:$T$56,$A1197,1,1))))</f>
        <v>0</v>
      </c>
      <c r="U1198" s="1417">
        <f>IF(LEFT(U$6,4)&lt;=LEFT('RFM input'!$G$60,4),"enter input",IF(LEFT(U$6,4)&gt;LEFT('RFM input'!$Q$60,4),0,
IF(MATCH(U$6,'RFM input'!$H$60:$Q$60,0),INDEX('RFM input'!$T$7:$T$56,$A1197,1,1))))</f>
        <v>0</v>
      </c>
      <c r="V1198" s="1417">
        <f>IF(LEFT(V$6,4)&lt;=LEFT('RFM input'!$G$60,4),"enter input",IF(LEFT(V$6,4)&gt;LEFT('RFM input'!$Q$60,4),0,
IF(MATCH(V$6,'RFM input'!$H$60:$Q$60,0),INDEX('RFM input'!$T$7:$T$56,$A1197,1,1))))</f>
        <v>0</v>
      </c>
      <c r="W1198" s="1417">
        <f>IF(LEFT(W$6,4)&lt;=LEFT('RFM input'!$G$60,4),"enter input",IF(LEFT(W$6,4)&gt;LEFT('RFM input'!$Q$60,4),0,
IF(MATCH(W$6,'RFM input'!$H$60:$Q$60,0),INDEX('RFM input'!$T$7:$T$56,$A1197,1,1))))</f>
        <v>0</v>
      </c>
      <c r="X1198" s="152"/>
      <c r="Y1198" s="152"/>
      <c r="Z1198" s="152"/>
      <c r="AA1198" s="152"/>
      <c r="AB1198" s="152"/>
    </row>
    <row r="1199" spans="1:28">
      <c r="A1199" s="152"/>
      <c r="B1199" s="193" t="s">
        <v>192</v>
      </c>
      <c r="C1199" s="1419"/>
      <c r="D1199" s="1420">
        <f ca="1">IF(LEFT(D$6,4)&lt;=LEFT('RFM input'!$G$60,4),"enter input",IF(LEFT(D$6,4)&gt;LEFT('RFM input'!$Q$60,4),0,
IF(D$6=(OFFSET('RFM input'!$G$60,0,'RFM input'!$V$7)),OFFSET('RFM input'!$H$411,$A1197,0),0)))</f>
        <v>0</v>
      </c>
      <c r="E1199" s="1417">
        <f ca="1">IF(LEFT(E$6,4)&lt;=LEFT('RFM input'!$G$60,4),"enter input",IF(LEFT(E$6,4)&gt;LEFT('RFM input'!$Q$60,4),0,
IF(E$6=(OFFSET('RFM input'!$G$60,0,'RFM input'!$V$7)),OFFSET('RFM input'!$H$411,$A1197,0),0)))</f>
        <v>0</v>
      </c>
      <c r="F1199" s="1417">
        <f ca="1">IF(LEFT(F$6,4)&lt;=LEFT('RFM input'!$G$60,4),"enter input",IF(LEFT(F$6,4)&gt;LEFT('RFM input'!$Q$60,4),0,
IF(F$6=(OFFSET('RFM input'!$G$60,0,'RFM input'!$V$7)),OFFSET('RFM input'!$H$411,$A1197,0),0)))</f>
        <v>0</v>
      </c>
      <c r="G1199" s="1417">
        <f ca="1">IF(LEFT(G$6,4)&lt;=LEFT('RFM input'!$G$60,4),"enter input",IF(LEFT(G$6,4)&gt;LEFT('RFM input'!$Q$60,4),0,
IF(G$6=(OFFSET('RFM input'!$G$60,0,'RFM input'!$V$7)),OFFSET('RFM input'!$H$411,$A1197,0),0)))</f>
        <v>0</v>
      </c>
      <c r="H1199" s="1417">
        <f ca="1">IF(LEFT(H$6,4)&lt;=LEFT('RFM input'!$G$60,4),"enter input",IF(LEFT(H$6,4)&gt;LEFT('RFM input'!$Q$60,4),0,
IF(H$6=(OFFSET('RFM input'!$G$60,0,'RFM input'!$V$7)),OFFSET('RFM input'!$H$411,$A1197,0),0)))</f>
        <v>0</v>
      </c>
      <c r="I1199" s="1417">
        <f ca="1">IF(LEFT(I$6,4)&lt;=LEFT('RFM input'!$G$60,4),"enter input",IF(LEFT(I$6,4)&gt;LEFT('RFM input'!$Q$60,4),0,
IF(I$6=(OFFSET('RFM input'!$G$60,0,'RFM input'!$V$7)),OFFSET('RFM input'!$H$411,$A1197,0),0)))</f>
        <v>0</v>
      </c>
      <c r="J1199" s="1417">
        <f ca="1">IF(LEFT(J$6,4)&lt;=LEFT('RFM input'!$G$60,4),"enter input",IF(LEFT(J$6,4)&gt;LEFT('RFM input'!$Q$60,4),0,
IF(J$6=(OFFSET('RFM input'!$G$60,0,'RFM input'!$V$7)),OFFSET('RFM input'!$H$411,$A1197,0),0)))</f>
        <v>0</v>
      </c>
      <c r="K1199" s="1417">
        <f ca="1">IF(LEFT(K$6,4)&lt;=LEFT('RFM input'!$G$60,4),"enter input",IF(LEFT(K$6,4)&gt;LEFT('RFM input'!$Q$60,4),0,
IF(K$6=(OFFSET('RFM input'!$G$60,0,'RFM input'!$V$7)),OFFSET('RFM input'!$H$411,$A1197,0),0)))</f>
        <v>0</v>
      </c>
      <c r="L1199" s="1417">
        <f ca="1">IF(LEFT(L$6,4)&lt;=LEFT('RFM input'!$G$60,4),"enter input",IF(LEFT(L$6,4)&gt;LEFT('RFM input'!$Q$60,4),0,
IF(L$6=(OFFSET('RFM input'!$G$60,0,'RFM input'!$V$7)),OFFSET('RFM input'!$H$411,$A1197,0),0)))</f>
        <v>0</v>
      </c>
      <c r="M1199" s="1417">
        <f ca="1">IF(LEFT(M$6,4)&lt;=LEFT('RFM input'!$G$60,4),"enter input",IF(LEFT(M$6,4)&gt;LEFT('RFM input'!$Q$60,4),0,
IF(M$6=(OFFSET('RFM input'!$G$60,0,'RFM input'!$V$7)),OFFSET('RFM input'!$H$411,$A1197,0),0)))</f>
        <v>0</v>
      </c>
      <c r="N1199" s="1417">
        <f ca="1">IF(LEFT(N$6,4)&lt;=LEFT('RFM input'!$G$60,4),"enter input",IF(LEFT(N$6,4)&gt;LEFT('RFM input'!$Q$60,4),0,
IF(N$6=(OFFSET('RFM input'!$G$60,0,'RFM input'!$V$7)),OFFSET('RFM input'!$H$411,$A1197,0),0)))</f>
        <v>0</v>
      </c>
      <c r="O1199" s="1417">
        <f ca="1">IF(LEFT(O$6,4)&lt;=LEFT('RFM input'!$G$60,4),"enter input",IF(LEFT(O$6,4)&gt;LEFT('RFM input'!$Q$60,4),0,
IF(O$6=(OFFSET('RFM input'!$G$60,0,'RFM input'!$V$7)),OFFSET('RFM input'!$H$411,$A1197,0),0)))</f>
        <v>0</v>
      </c>
      <c r="P1199" s="1417">
        <f ca="1">IF(LEFT(P$6,4)&lt;=LEFT('RFM input'!$G$60,4),"enter input",IF(LEFT(P$6,4)&gt;LEFT('RFM input'!$Q$60,4),0,
IF(P$6=(OFFSET('RFM input'!$G$60,0,'RFM input'!$V$7)),OFFSET('RFM input'!$H$411,$A1197,0),0)))</f>
        <v>0</v>
      </c>
      <c r="Q1199" s="1417">
        <f ca="1">IF(LEFT(Q$6,4)&lt;=LEFT('RFM input'!$G$60,4),"enter input",IF(LEFT(Q$6,4)&gt;LEFT('RFM input'!$Q$60,4),0,
IF(Q$6=(OFFSET('RFM input'!$G$60,0,'RFM input'!$V$7)),OFFSET('RFM input'!$H$411,$A1197,0),0)))</f>
        <v>0</v>
      </c>
      <c r="R1199" s="1417">
        <f ca="1">IF(LEFT(R$6,4)&lt;=LEFT('RFM input'!$G$60,4),"enter input",IF(LEFT(R$6,4)&gt;LEFT('RFM input'!$Q$60,4),0,
IF(R$6=(OFFSET('RFM input'!$G$60,0,'RFM input'!$V$7)),OFFSET('RFM input'!$H$411,$A1197,0),0)))</f>
        <v>0</v>
      </c>
      <c r="S1199" s="1417">
        <f ca="1">IF(LEFT(S$6,4)&lt;=LEFT('RFM input'!$G$60,4),"enter input",IF(LEFT(S$6,4)&gt;LEFT('RFM input'!$Q$60,4),0,
IF(S$6=(OFFSET('RFM input'!$G$60,0,'RFM input'!$V$7)),OFFSET('RFM input'!$H$411,$A1197,0),0)))</f>
        <v>0</v>
      </c>
      <c r="T1199" s="1417">
        <f ca="1">IF(LEFT(T$6,4)&lt;=LEFT('RFM input'!$G$60,4),"enter input",IF(LEFT(T$6,4)&gt;LEFT('RFM input'!$Q$60,4),0,
IF(T$6=(OFFSET('RFM input'!$G$60,0,'RFM input'!$V$7)),OFFSET('RFM input'!$H$411,$A1197,0),0)))</f>
        <v>0</v>
      </c>
      <c r="U1199" s="1417">
        <f ca="1">IF(LEFT(U$6,4)&lt;=LEFT('RFM input'!$G$60,4),"enter input",IF(LEFT(U$6,4)&gt;LEFT('RFM input'!$Q$60,4),0,
IF(U$6=(OFFSET('RFM input'!$G$60,0,'RFM input'!$V$7)),OFFSET('RFM input'!$H$411,$A1197,0),0)))</f>
        <v>0</v>
      </c>
      <c r="V1199" s="1417">
        <f ca="1">IF(LEFT(V$6,4)&lt;=LEFT('RFM input'!$G$60,4),"enter input",IF(LEFT(V$6,4)&gt;LEFT('RFM input'!$Q$60,4),0,
IF(V$6=(OFFSET('RFM input'!$G$60,0,'RFM input'!$V$7)),OFFSET('RFM input'!$H$411,$A1197,0),0)))</f>
        <v>0</v>
      </c>
      <c r="W1199" s="1417">
        <f ca="1">IF(LEFT(W$6,4)&lt;=LEFT('RFM input'!$G$60,4),"enter input",IF(LEFT(W$6,4)&gt;LEFT('RFM input'!$Q$60,4),0,
IF(W$6=(OFFSET('RFM input'!$G$60,0,'RFM input'!$V$7)),OFFSET('RFM input'!$H$411,$A1197,0),0)))</f>
        <v>0</v>
      </c>
      <c r="X1199" s="152"/>
      <c r="Y1199" s="152"/>
      <c r="Z1199" s="152"/>
      <c r="AA1199" s="152"/>
      <c r="AB1199" s="152"/>
    </row>
    <row r="1200" spans="1:28">
      <c r="A1200" s="152"/>
      <c r="B1200" s="193" t="s">
        <v>200</v>
      </c>
      <c r="C1200" s="1419"/>
      <c r="D1200" s="1418">
        <f ca="1">IF(LEFT(D$6,4)&lt;=LEFT('RFM input'!$G$60,4),"enter input",IF(LEFT(D$6,4)&gt;LEFT('RFM input'!$Q$60,4),0,
IF(D$6=(OFFSET('RFM input'!$G$60,0,'RFM input'!$V$7)),OFFSET('RFM input'!$J$411,$A1197,0),0)))</f>
        <v>0</v>
      </c>
      <c r="E1200" s="1422">
        <f ca="1">IF(LEFT(E$6,4)&lt;=LEFT('RFM input'!$G$60,4),"enter input",IF(LEFT(E$6,4)&gt;LEFT('RFM input'!$Q$60,4),0,
IF(E$6=(OFFSET('RFM input'!$G$60,0,'RFM input'!$V$7)),OFFSET('RFM input'!$J$411,$A1197,0),0)))</f>
        <v>0</v>
      </c>
      <c r="F1200" s="1422">
        <f ca="1">IF(LEFT(F$6,4)&lt;=LEFT('RFM input'!$G$60,4),"enter input",IF(LEFT(F$6,4)&gt;LEFT('RFM input'!$Q$60,4),0,
IF(F$6=(OFFSET('RFM input'!$G$60,0,'RFM input'!$V$7)),OFFSET('RFM input'!$J$411,$A1197,0),0)))</f>
        <v>0</v>
      </c>
      <c r="G1200" s="1422">
        <f ca="1">IF(LEFT(G$6,4)&lt;=LEFT('RFM input'!$G$60,4),"enter input",IF(LEFT(G$6,4)&gt;LEFT('RFM input'!$Q$60,4),0,
IF(G$6=(OFFSET('RFM input'!$G$60,0,'RFM input'!$V$7)),OFFSET('RFM input'!$J$411,$A1197,0),0)))</f>
        <v>0</v>
      </c>
      <c r="H1200" s="1422">
        <f ca="1">IF(LEFT(H$6,4)&lt;=LEFT('RFM input'!$G$60,4),"enter input",IF(LEFT(H$6,4)&gt;LEFT('RFM input'!$Q$60,4),0,
IF(H$6=(OFFSET('RFM input'!$G$60,0,'RFM input'!$V$7)),OFFSET('RFM input'!$J$411,$A1197,0),0)))</f>
        <v>0</v>
      </c>
      <c r="I1200" s="1422">
        <f ca="1">IF(LEFT(I$6,4)&lt;=LEFT('RFM input'!$G$60,4),"enter input",IF(LEFT(I$6,4)&gt;LEFT('RFM input'!$Q$60,4),0,
IF(I$6=(OFFSET('RFM input'!$G$60,0,'RFM input'!$V$7)),OFFSET('RFM input'!$J$411,$A1197,0),0)))</f>
        <v>0</v>
      </c>
      <c r="J1200" s="1422">
        <f ca="1">IF(LEFT(J$6,4)&lt;=LEFT('RFM input'!$G$60,4),"enter input",IF(LEFT(J$6,4)&gt;LEFT('RFM input'!$Q$60,4),0,
IF(J$6=(OFFSET('RFM input'!$G$60,0,'RFM input'!$V$7)),OFFSET('RFM input'!$J$411,$A1197,0),0)))</f>
        <v>0</v>
      </c>
      <c r="K1200" s="1422">
        <f ca="1">IF(LEFT(K$6,4)&lt;=LEFT('RFM input'!$G$60,4),"enter input",IF(LEFT(K$6,4)&gt;LEFT('RFM input'!$Q$60,4),0,
IF(K$6=(OFFSET('RFM input'!$G$60,0,'RFM input'!$V$7)),OFFSET('RFM input'!$J$411,$A1197,0),0)))</f>
        <v>0</v>
      </c>
      <c r="L1200" s="1422">
        <f ca="1">IF(LEFT(L$6,4)&lt;=LEFT('RFM input'!$G$60,4),"enter input",IF(LEFT(L$6,4)&gt;LEFT('RFM input'!$Q$60,4),0,
IF(L$6=(OFFSET('RFM input'!$G$60,0,'RFM input'!$V$7)),OFFSET('RFM input'!$J$411,$A1197,0),0)))</f>
        <v>0</v>
      </c>
      <c r="M1200" s="1422">
        <f ca="1">IF(LEFT(M$6,4)&lt;=LEFT('RFM input'!$G$60,4),"enter input",IF(LEFT(M$6,4)&gt;LEFT('RFM input'!$Q$60,4),0,
IF(M$6=(OFFSET('RFM input'!$G$60,0,'RFM input'!$V$7)),OFFSET('RFM input'!$J$411,$A1197,0),0)))</f>
        <v>0</v>
      </c>
      <c r="N1200" s="1422">
        <f ca="1">IF(LEFT(N$6,4)&lt;=LEFT('RFM input'!$G$60,4),"enter input",IF(LEFT(N$6,4)&gt;LEFT('RFM input'!$Q$60,4),0,
IF(N$6=(OFFSET('RFM input'!$G$60,0,'RFM input'!$V$7)),OFFSET('RFM input'!$J$411,$A1197,0),0)))</f>
        <v>0</v>
      </c>
      <c r="O1200" s="1422">
        <f ca="1">IF(LEFT(O$6,4)&lt;=LEFT('RFM input'!$G$60,4),"enter input",IF(LEFT(O$6,4)&gt;LEFT('RFM input'!$Q$60,4),0,
IF(O$6=(OFFSET('RFM input'!$G$60,0,'RFM input'!$V$7)),OFFSET('RFM input'!$J$411,$A1197,0),0)))</f>
        <v>0</v>
      </c>
      <c r="P1200" s="1422">
        <f ca="1">IF(LEFT(P$6,4)&lt;=LEFT('RFM input'!$G$60,4),"enter input",IF(LEFT(P$6,4)&gt;LEFT('RFM input'!$Q$60,4),0,
IF(P$6=(OFFSET('RFM input'!$G$60,0,'RFM input'!$V$7)),OFFSET('RFM input'!$J$411,$A1197,0),0)))</f>
        <v>0</v>
      </c>
      <c r="Q1200" s="1422">
        <f ca="1">IF(LEFT(Q$6,4)&lt;=LEFT('RFM input'!$G$60,4),"enter input",IF(LEFT(Q$6,4)&gt;LEFT('RFM input'!$Q$60,4),0,
IF(Q$6=(OFFSET('RFM input'!$G$60,0,'RFM input'!$V$7)),OFFSET('RFM input'!$J$411,$A1197,0),0)))</f>
        <v>0</v>
      </c>
      <c r="R1200" s="1422">
        <f ca="1">IF(LEFT(R$6,4)&lt;=LEFT('RFM input'!$G$60,4),"enter input",IF(LEFT(R$6,4)&gt;LEFT('RFM input'!$Q$60,4),0,
IF(R$6=(OFFSET('RFM input'!$G$60,0,'RFM input'!$V$7)),OFFSET('RFM input'!$J$411,$A1197,0),0)))</f>
        <v>0</v>
      </c>
      <c r="S1200" s="1422">
        <f ca="1">IF(LEFT(S$6,4)&lt;=LEFT('RFM input'!$G$60,4),"enter input",IF(LEFT(S$6,4)&gt;LEFT('RFM input'!$Q$60,4),0,
IF(S$6=(OFFSET('RFM input'!$G$60,0,'RFM input'!$V$7)),OFFSET('RFM input'!$J$411,$A1197,0),0)))</f>
        <v>0</v>
      </c>
      <c r="T1200" s="1422">
        <f ca="1">IF(LEFT(T$6,4)&lt;=LEFT('RFM input'!$G$60,4),"enter input",IF(LEFT(T$6,4)&gt;LEFT('RFM input'!$Q$60,4),0,
IF(T$6=(OFFSET('RFM input'!$G$60,0,'RFM input'!$V$7)),OFFSET('RFM input'!$J$411,$A1197,0),0)))</f>
        <v>0</v>
      </c>
      <c r="U1200" s="1422">
        <f ca="1">IF(LEFT(U$6,4)&lt;=LEFT('RFM input'!$G$60,4),"enter input",IF(LEFT(U$6,4)&gt;LEFT('RFM input'!$Q$60,4),0,
IF(U$6=(OFFSET('RFM input'!$G$60,0,'RFM input'!$V$7)),OFFSET('RFM input'!$J$411,$A1197,0),0)))</f>
        <v>0</v>
      </c>
      <c r="V1200" s="1422">
        <f ca="1">IF(LEFT(V$6,4)&lt;=LEFT('RFM input'!$G$60,4),"enter input",IF(LEFT(V$6,4)&gt;LEFT('RFM input'!$Q$60,4),0,
IF(V$6=(OFFSET('RFM input'!$G$60,0,'RFM input'!$V$7)),OFFSET('RFM input'!$J$411,$A1197,0),0)))</f>
        <v>0</v>
      </c>
      <c r="W1200" s="1422">
        <f ca="1">IF(LEFT(W$6,4)&lt;=LEFT('RFM input'!$G$60,4),"enter input",IF(LEFT(W$6,4)&gt;LEFT('RFM input'!$Q$60,4),0,
IF(W$6=(OFFSET('RFM input'!$G$60,0,'RFM input'!$V$7)),OFFSET('RFM input'!$J$411,$A1197,0),0)))</f>
        <v>0</v>
      </c>
      <c r="X1200" s="152"/>
      <c r="Y1200" s="152"/>
      <c r="Z1200" s="152"/>
      <c r="AA1200" s="152"/>
      <c r="AB1200" s="152"/>
    </row>
    <row r="1201" spans="1:28" hidden="1" outlineLevel="1">
      <c r="A1201" s="235">
        <v>-1</v>
      </c>
      <c r="B1201" s="190" t="s">
        <v>195</v>
      </c>
      <c r="C1201" s="1423"/>
      <c r="D1201" s="1423">
        <f t="shared" ref="D1201" ca="1" si="1712">IF(AND(D1199=0,C1201=0),0,
IF(AND(D1199&lt;&gt;0,C1201=0),D1199,
IF(AND(D1200&lt;&gt;0,C1201&lt;&gt;0),(C1201-(C1201/C1225))+D1199,
IF(C1225&lt;1,0,(C1201-(C1201/C1225))))))</f>
        <v>0</v>
      </c>
      <c r="E1201" s="1423">
        <f t="shared" ref="E1201" ca="1" si="1713">IF(AND(E1199=0,D1201=0),0,
IF(AND(E1199&lt;&gt;0,D1201=0),E1199,
IF(AND(E1200&lt;&gt;0,D1201&lt;&gt;0),(D1201-(D1201/D1225))+E1199,
IF(D1225&lt;1,0,(D1201-(D1201/D1225))))))</f>
        <v>0</v>
      </c>
      <c r="F1201" s="1423">
        <f t="shared" ref="F1201" ca="1" si="1714">IF(AND(F1199=0,E1201=0),0,
IF(AND(F1199&lt;&gt;0,E1201=0),F1199,
IF(AND(F1200&lt;&gt;0,E1201&lt;&gt;0),(E1201-(E1201/E1225))+F1199,
IF(E1225&lt;1,0,(E1201-(E1201/E1225))))))</f>
        <v>0</v>
      </c>
      <c r="G1201" s="1423">
        <f t="shared" ref="G1201" ca="1" si="1715">IF(AND(G1199=0,F1201=0),0,
IF(AND(G1199&lt;&gt;0,F1201=0),G1199,
IF(AND(G1200&lt;&gt;0,F1201&lt;&gt;0),(F1201-(F1201/F1225))+G1199,
IF(F1225&lt;1,0,(F1201-(F1201/F1225))))))</f>
        <v>0</v>
      </c>
      <c r="H1201" s="1423">
        <f ca="1">IF(AND(H1199=0,G1201=0),0,
IF(AND(H1199&lt;&gt;0,G1201=0),H1199,
IF(AND(H1200&lt;&gt;0,G1201&lt;&gt;0),(G1201-(G1201/G1225))+H1199,
IF(G1225&lt;1,0,(G1201-(G1201/G1225))))))</f>
        <v>0</v>
      </c>
      <c r="I1201" s="1423">
        <f t="shared" ref="I1201" ca="1" si="1716">IF(AND(I1199=0,H1201=0),0,
IF(AND(I1199&lt;&gt;0,H1201=0),I1199,
IF(AND(I1200&lt;&gt;0,H1201&lt;&gt;0),(H1201-(H1201/H1225))+I1199,
IF(H1225&lt;1,0,(H1201-(H1201/H1225))))))</f>
        <v>0</v>
      </c>
      <c r="J1201" s="1423">
        <f t="shared" ref="J1201" ca="1" si="1717">IF(AND(J1199=0,I1201=0),0,
IF(AND(J1199&lt;&gt;0,I1201=0),J1199,
IF(AND(J1200&lt;&gt;0,I1201&lt;&gt;0),(I1201-(I1201/I1225))+J1199,
IF(I1225&lt;1,0,(I1201-(I1201/I1225))))))</f>
        <v>0</v>
      </c>
      <c r="K1201" s="1423">
        <f t="shared" ref="K1201" ca="1" si="1718">IF(AND(K1199=0,J1201=0),0,
IF(AND(K1199&lt;&gt;0,J1201=0),K1199,
IF(AND(K1200&lt;&gt;0,J1201&lt;&gt;0),(J1201-(J1201/J1225))+K1199,
IF(J1225&lt;1,0,(J1201-(J1201/J1225))))))</f>
        <v>0</v>
      </c>
      <c r="L1201" s="1423">
        <f t="shared" ref="L1201" ca="1" si="1719">IF(AND(L1199=0,K1201=0),0,
IF(AND(L1199&lt;&gt;0,K1201=0),L1199,
IF(AND(L1200&lt;&gt;0,K1201&lt;&gt;0),(K1201-(K1201/K1225))+L1199,
IF(K1225&lt;1,0,(K1201-(K1201/K1225))))))</f>
        <v>0</v>
      </c>
      <c r="M1201" s="1423">
        <f t="shared" ref="M1201" ca="1" si="1720">IF(AND(M1199=0,L1201=0),0,
IF(AND(M1199&lt;&gt;0,L1201=0),M1199,
IF(AND(M1200&lt;&gt;0,L1201&lt;&gt;0),(L1201-(L1201/L1225))+M1199,
IF(L1225&lt;1,0,(L1201-(L1201/L1225))))))</f>
        <v>0</v>
      </c>
      <c r="N1201" s="1423">
        <f t="shared" ref="N1201" ca="1" si="1721">IF(AND(N1199=0,M1201=0),0,
IF(AND(N1199&lt;&gt;0,M1201=0),N1199,
IF(AND(N1200&lt;&gt;0,M1201&lt;&gt;0),(M1201-(M1201/M1225))+N1199,
IF(M1225&lt;1,0,(M1201-(M1201/M1225))))))</f>
        <v>0</v>
      </c>
      <c r="O1201" s="1423">
        <f t="shared" ref="O1201" ca="1" si="1722">IF(AND(O1199=0,N1201=0),0,
IF(AND(O1199&lt;&gt;0,N1201=0),O1199,
IF(AND(O1200&lt;&gt;0,N1201&lt;&gt;0),(N1201-(N1201/N1225))+O1199,
IF(N1225&lt;1,0,(N1201-(N1201/N1225))))))</f>
        <v>0</v>
      </c>
      <c r="P1201" s="1423">
        <f t="shared" ref="P1201" ca="1" si="1723">IF(AND(P1199=0,O1201=0),0,
IF(AND(P1199&lt;&gt;0,O1201=0),P1199,
IF(AND(P1200&lt;&gt;0,O1201&lt;&gt;0),(O1201-(O1201/O1225))+P1199,
IF(O1225&lt;1,0,(O1201-(O1201/O1225))))))</f>
        <v>0</v>
      </c>
      <c r="Q1201" s="1423">
        <f t="shared" ref="Q1201" ca="1" si="1724">IF(AND(Q1199=0,P1201=0),0,
IF(AND(Q1199&lt;&gt;0,P1201=0),Q1199,
IF(AND(Q1200&lt;&gt;0,P1201&lt;&gt;0),(P1201-(P1201/P1225))+Q1199,
IF(P1225&lt;1,0,(P1201-(P1201/P1225))))))</f>
        <v>0</v>
      </c>
      <c r="R1201" s="1423">
        <f t="shared" ref="R1201" ca="1" si="1725">IF(AND(R1199=0,Q1201=0),0,
IF(AND(R1199&lt;&gt;0,Q1201=0),R1199,
IF(AND(R1200&lt;&gt;0,Q1201&lt;&gt;0),(Q1201-(Q1201/Q1225))+R1199,
IF(Q1225&lt;1,0,(Q1201-(Q1201/Q1225))))))</f>
        <v>0</v>
      </c>
      <c r="S1201" s="1423">
        <f t="shared" ref="S1201" ca="1" si="1726">IF(AND(S1199=0,R1201=0),0,
IF(AND(S1199&lt;&gt;0,R1201=0),S1199,
IF(AND(S1200&lt;&gt;0,R1201&lt;&gt;0),(R1201-(R1201/R1225))+S1199,
IF(R1225&lt;1,0,(R1201-(R1201/R1225))))))</f>
        <v>0</v>
      </c>
      <c r="T1201" s="1423">
        <f t="shared" ref="T1201" ca="1" si="1727">IF(AND(T1199=0,S1201=0),0,
IF(AND(T1199&lt;&gt;0,S1201=0),T1199,
IF(AND(T1200&lt;&gt;0,S1201&lt;&gt;0),(S1201-(S1201/S1225))+T1199,
IF(S1225&lt;1,0,(S1201-(S1201/S1225))))))</f>
        <v>0</v>
      </c>
      <c r="U1201" s="1423">
        <f t="shared" ref="U1201" ca="1" si="1728">IF(AND(U1199=0,T1201=0),0,
IF(AND(U1199&lt;&gt;0,T1201=0),U1199,
IF(AND(U1200&lt;&gt;0,T1201&lt;&gt;0),(T1201-(T1201/T1225))+U1199,
IF(T1225&lt;1,0,(T1201-(T1201/T1225))))))</f>
        <v>0</v>
      </c>
      <c r="V1201" s="1423">
        <f t="shared" ref="V1201" ca="1" si="1729">IF(AND(V1199=0,U1201=0),0,
IF(AND(V1199&lt;&gt;0,U1201=0),V1199,
IF(AND(V1200&lt;&gt;0,U1201&lt;&gt;0),(U1201-(U1201/U1225))+V1199,
IF(U1225&lt;1,0,(U1201-(U1201/U1225))))))</f>
        <v>0</v>
      </c>
      <c r="W1201" s="1423">
        <f t="shared" ref="W1201" ca="1" si="1730">IF(AND(W1199=0,V1201=0),0,
IF(AND(W1199&lt;&gt;0,V1201=0),W1199,
IF(AND(W1200&lt;&gt;0,V1201&lt;&gt;0),(V1201-(V1201/V1225))+W1199,
IF(V1225&lt;1,0,(V1201-(V1201/V1225))))))</f>
        <v>0</v>
      </c>
      <c r="X1201" s="152"/>
      <c r="Y1201" s="152"/>
      <c r="Z1201" s="152"/>
      <c r="AA1201" s="152"/>
      <c r="AB1201" s="152"/>
    </row>
    <row r="1202" spans="1:28" hidden="1" outlineLevel="1">
      <c r="A1202" s="199">
        <f>A1201+1</f>
        <v>0</v>
      </c>
      <c r="B1202" s="190" t="s">
        <v>527</v>
      </c>
      <c r="C1202" s="1423">
        <f ca="1">C1197</f>
        <v>0</v>
      </c>
      <c r="D1202" s="1423">
        <f ca="1">IF(C1226="n/a",C1202,IFERROR(IF((OFFSET($C1202,0,$A1202))&lt;0,
MIN(0,C1202-(OFFSET($C1202,0,$A1202)/(OFFSET($C1197,-$A1201,$A1202)))),
MAX(0,C1202-(OFFSET($C1202,0,$A1202)/(OFFSET($C1197,-$A1201,$A1202))))),0))</f>
        <v>0</v>
      </c>
      <c r="E1202" s="1423">
        <f t="shared" ref="E1202" ca="1" si="1731">IF(D1226="n/a",D1202,IFERROR(IF((OFFSET($C1202,0,$A1202))&lt;0,
MIN(0,D1202-(OFFSET($C1202,0,$A1202)/(OFFSET($C1197,-$A1201,$A1202)))),
MAX(0,D1202-(OFFSET($C1202,0,$A1202)/(OFFSET($C1197,-$A1201,$A1202))))),0))</f>
        <v>0</v>
      </c>
      <c r="F1202" s="1423">
        <f t="shared" ref="F1202:F1203" ca="1" si="1732">IF(E1226="n/a",E1202,IFERROR(IF((OFFSET($C1202,0,$A1202))&lt;0,
MIN(0,E1202-(OFFSET($C1202,0,$A1202)/(OFFSET($C1197,-$A1201,$A1202)))),
MAX(0,E1202-(OFFSET($C1202,0,$A1202)/(OFFSET($C1197,-$A1201,$A1202))))),0))</f>
        <v>0</v>
      </c>
      <c r="G1202" s="1423">
        <f t="shared" ref="G1202:G1204" ca="1" si="1733">IF(F1226="n/a",F1202,IFERROR(IF((OFFSET($C1202,0,$A1202))&lt;0,
MIN(0,F1202-(OFFSET($C1202,0,$A1202)/(OFFSET($C1197,-$A1201,$A1202)))),
MAX(0,F1202-(OFFSET($C1202,0,$A1202)/(OFFSET($C1197,-$A1201,$A1202))))),0))</f>
        <v>0</v>
      </c>
      <c r="H1202" s="1423">
        <f t="shared" ref="H1202:H1205" ca="1" si="1734">IF(G1226="n/a",G1202,IFERROR(IF((OFFSET($C1202,0,$A1202))&lt;0,
MIN(0,G1202-(OFFSET($C1202,0,$A1202)/(OFFSET($C1197,-$A1201,$A1202)))),
MAX(0,G1202-(OFFSET($C1202,0,$A1202)/(OFFSET($C1197,-$A1201,$A1202))))),0))</f>
        <v>0</v>
      </c>
      <c r="I1202" s="1423">
        <f t="shared" ref="I1202:I1206" ca="1" si="1735">IF(H1226="n/a",H1202,IFERROR(IF((OFFSET($C1202,0,$A1202))&lt;0,
MIN(0,H1202-(OFFSET($C1202,0,$A1202)/(OFFSET($C1197,-$A1201,$A1202)))),
MAX(0,H1202-(OFFSET($C1202,0,$A1202)/(OFFSET($C1197,-$A1201,$A1202))))),0))</f>
        <v>0</v>
      </c>
      <c r="J1202" s="1423">
        <f t="shared" ref="J1202:J1207" ca="1" si="1736">IF(I1226="n/a",I1202,IFERROR(IF((OFFSET($C1202,0,$A1202))&lt;0,
MIN(0,I1202-(OFFSET($C1202,0,$A1202)/(OFFSET($C1197,-$A1201,$A1202)))),
MAX(0,I1202-(OFFSET($C1202,0,$A1202)/(OFFSET($C1197,-$A1201,$A1202))))),0))</f>
        <v>0</v>
      </c>
      <c r="K1202" s="1423">
        <f t="shared" ref="K1202:K1208" ca="1" si="1737">IF(J1226="n/a",J1202,IFERROR(IF((OFFSET($C1202,0,$A1202))&lt;0,
MIN(0,J1202-(OFFSET($C1202,0,$A1202)/(OFFSET($C1197,-$A1201,$A1202)))),
MAX(0,J1202-(OFFSET($C1202,0,$A1202)/(OFFSET($C1197,-$A1201,$A1202))))),0))</f>
        <v>0</v>
      </c>
      <c r="L1202" s="1423">
        <f t="shared" ref="L1202:L1209" ca="1" si="1738">IF(K1226="n/a",K1202,IFERROR(IF((OFFSET($C1202,0,$A1202))&lt;0,
MIN(0,K1202-(OFFSET($C1202,0,$A1202)/(OFFSET($C1197,-$A1201,$A1202)))),
MAX(0,K1202-(OFFSET($C1202,0,$A1202)/(OFFSET($C1197,-$A1201,$A1202))))),0))</f>
        <v>0</v>
      </c>
      <c r="M1202" s="1423">
        <f t="shared" ref="M1202:M1210" ca="1" si="1739">IF(L1226="n/a",L1202,IFERROR(IF((OFFSET($C1202,0,$A1202))&lt;0,
MIN(0,L1202-(OFFSET($C1202,0,$A1202)/(OFFSET($C1197,-$A1201,$A1202)))),
MAX(0,L1202-(OFFSET($C1202,0,$A1202)/(OFFSET($C1197,-$A1201,$A1202))))),0))</f>
        <v>0</v>
      </c>
      <c r="N1202" s="1423">
        <f t="shared" ref="N1202:N1211" ca="1" si="1740">IF(M1226="n/a",M1202,IFERROR(IF((OFFSET($C1202,0,$A1202))&lt;0,
MIN(0,M1202-(OFFSET($C1202,0,$A1202)/(OFFSET($C1197,-$A1201,$A1202)))),
MAX(0,M1202-(OFFSET($C1202,0,$A1202)/(OFFSET($C1197,-$A1201,$A1202))))),0))</f>
        <v>0</v>
      </c>
      <c r="O1202" s="1423">
        <f t="shared" ref="O1202:O1212" ca="1" si="1741">IF(N1226="n/a",N1202,IFERROR(IF((OFFSET($C1202,0,$A1202))&lt;0,
MIN(0,N1202-(OFFSET($C1202,0,$A1202)/(OFFSET($C1197,-$A1201,$A1202)))),
MAX(0,N1202-(OFFSET($C1202,0,$A1202)/(OFFSET($C1197,-$A1201,$A1202))))),0))</f>
        <v>0</v>
      </c>
      <c r="P1202" s="1423">
        <f t="shared" ref="P1202:P1213" ca="1" si="1742">IF(O1226="n/a",O1202,IFERROR(IF((OFFSET($C1202,0,$A1202))&lt;0,
MIN(0,O1202-(OFFSET($C1202,0,$A1202)/(OFFSET($C1197,-$A1201,$A1202)))),
MAX(0,O1202-(OFFSET($C1202,0,$A1202)/(OFFSET($C1197,-$A1201,$A1202))))),0))</f>
        <v>0</v>
      </c>
      <c r="Q1202" s="1423">
        <f t="shared" ref="Q1202:Q1214" ca="1" si="1743">IF(P1226="n/a",P1202,IFERROR(IF((OFFSET($C1202,0,$A1202))&lt;0,
MIN(0,P1202-(OFFSET($C1202,0,$A1202)/(OFFSET($C1197,-$A1201,$A1202)))),
MAX(0,P1202-(OFFSET($C1202,0,$A1202)/(OFFSET($C1197,-$A1201,$A1202))))),0))</f>
        <v>0</v>
      </c>
      <c r="R1202" s="1423">
        <f t="shared" ref="R1202:R1215" ca="1" si="1744">IF(Q1226="n/a",Q1202,IFERROR(IF((OFFSET($C1202,0,$A1202))&lt;0,
MIN(0,Q1202-(OFFSET($C1202,0,$A1202)/(OFFSET($C1197,-$A1201,$A1202)))),
MAX(0,Q1202-(OFFSET($C1202,0,$A1202)/(OFFSET($C1197,-$A1201,$A1202))))),0))</f>
        <v>0</v>
      </c>
      <c r="S1202" s="1423">
        <f t="shared" ref="S1202:S1216" ca="1" si="1745">IF(R1226="n/a",R1202,IFERROR(IF((OFFSET($C1202,0,$A1202))&lt;0,
MIN(0,R1202-(OFFSET($C1202,0,$A1202)/(OFFSET($C1197,-$A1201,$A1202)))),
MAX(0,R1202-(OFFSET($C1202,0,$A1202)/(OFFSET($C1197,-$A1201,$A1202))))),0))</f>
        <v>0</v>
      </c>
      <c r="T1202" s="1423">
        <f t="shared" ref="T1202:T1217" ca="1" si="1746">IF(S1226="n/a",S1202,IFERROR(IF((OFFSET($C1202,0,$A1202))&lt;0,
MIN(0,S1202-(OFFSET($C1202,0,$A1202)/(OFFSET($C1197,-$A1201,$A1202)))),
MAX(0,S1202-(OFFSET($C1202,0,$A1202)/(OFFSET($C1197,-$A1201,$A1202))))),0))</f>
        <v>0</v>
      </c>
      <c r="U1202" s="1423">
        <f t="shared" ref="U1202:U1218" ca="1" si="1747">IF(T1226="n/a",T1202,IFERROR(IF((OFFSET($C1202,0,$A1202))&lt;0,
MIN(0,T1202-(OFFSET($C1202,0,$A1202)/(OFFSET($C1197,-$A1201,$A1202)))),
MAX(0,T1202-(OFFSET($C1202,0,$A1202)/(OFFSET($C1197,-$A1201,$A1202))))),0))</f>
        <v>0</v>
      </c>
      <c r="V1202" s="1423">
        <f t="shared" ref="V1202:V1219" ca="1" si="1748">IF(U1226="n/a",U1202,IFERROR(IF((OFFSET($C1202,0,$A1202))&lt;0,
MIN(0,U1202-(OFFSET($C1202,0,$A1202)/(OFFSET($C1197,-$A1201,$A1202)))),
MAX(0,U1202-(OFFSET($C1202,0,$A1202)/(OFFSET($C1197,-$A1201,$A1202))))),0))</f>
        <v>0</v>
      </c>
      <c r="W1202" s="1423">
        <f t="shared" ref="W1202:W1220" ca="1" si="1749">IF(V1226="n/a",V1202,IFERROR(IF((OFFSET($C1202,0,$A1202))&lt;0,
MIN(0,V1202-(OFFSET($C1202,0,$A1202)/(OFFSET($C1197,-$A1201,$A1202)))),
MAX(0,V1202-(OFFSET($C1202,0,$A1202)/(OFFSET($C1197,-$A1201,$A1202))))),0))</f>
        <v>0</v>
      </c>
      <c r="X1202" s="152"/>
      <c r="Y1202" s="152"/>
      <c r="Z1202" s="152"/>
      <c r="AA1202" s="152"/>
      <c r="AB1202" s="152"/>
    </row>
    <row r="1203" spans="1:28" hidden="1" outlineLevel="1">
      <c r="A1203" s="199">
        <f t="shared" ref="A1203:A1222" si="1750">A1202+1</f>
        <v>1</v>
      </c>
      <c r="B1203" s="190" t="str">
        <f t="shared" ref="B1203:B1222" ca="1" si="1751">"Depreciated Net Capex "&amp;OFFSET($C$6,0,A1203)</f>
        <v>Depreciated Net Capex 2016-17</v>
      </c>
      <c r="C1203" s="1424"/>
      <c r="D1203" s="1425">
        <f>D1197</f>
        <v>0</v>
      </c>
      <c r="E1203" s="1423">
        <f ca="1">IF(D1227="n/a",D1203,IFERROR(IF((OFFSET($C1203,0,$A1203))&lt;0,
MIN(0,D1203-(OFFSET($C1203,0,$A1203)/(OFFSET($C1198,-$A1202,$A1203)))),
MAX(0,D1203-(OFFSET($C1203,0,$A1203)/(OFFSET($C1198,-$A1202,$A1203))))),0))</f>
        <v>0</v>
      </c>
      <c r="F1203" s="1423">
        <f t="shared" ca="1" si="1732"/>
        <v>0</v>
      </c>
      <c r="G1203" s="1423">
        <f t="shared" ca="1" si="1733"/>
        <v>0</v>
      </c>
      <c r="H1203" s="1423">
        <f t="shared" ca="1" si="1734"/>
        <v>0</v>
      </c>
      <c r="I1203" s="1423">
        <f t="shared" ca="1" si="1735"/>
        <v>0</v>
      </c>
      <c r="J1203" s="1423">
        <f t="shared" ca="1" si="1736"/>
        <v>0</v>
      </c>
      <c r="K1203" s="1423">
        <f t="shared" ca="1" si="1737"/>
        <v>0</v>
      </c>
      <c r="L1203" s="1423">
        <f t="shared" ca="1" si="1738"/>
        <v>0</v>
      </c>
      <c r="M1203" s="1423">
        <f t="shared" ca="1" si="1739"/>
        <v>0</v>
      </c>
      <c r="N1203" s="1423">
        <f t="shared" ca="1" si="1740"/>
        <v>0</v>
      </c>
      <c r="O1203" s="1423">
        <f t="shared" ca="1" si="1741"/>
        <v>0</v>
      </c>
      <c r="P1203" s="1423">
        <f t="shared" ca="1" si="1742"/>
        <v>0</v>
      </c>
      <c r="Q1203" s="1423">
        <f t="shared" ca="1" si="1743"/>
        <v>0</v>
      </c>
      <c r="R1203" s="1423">
        <f t="shared" ca="1" si="1744"/>
        <v>0</v>
      </c>
      <c r="S1203" s="1423">
        <f t="shared" ca="1" si="1745"/>
        <v>0</v>
      </c>
      <c r="T1203" s="1423">
        <f t="shared" ca="1" si="1746"/>
        <v>0</v>
      </c>
      <c r="U1203" s="1423">
        <f t="shared" ca="1" si="1747"/>
        <v>0</v>
      </c>
      <c r="V1203" s="1423">
        <f t="shared" ca="1" si="1748"/>
        <v>0</v>
      </c>
      <c r="W1203" s="1423">
        <f t="shared" ca="1" si="1749"/>
        <v>0</v>
      </c>
      <c r="X1203" s="152"/>
      <c r="Y1203" s="152"/>
      <c r="Z1203" s="152"/>
      <c r="AA1203" s="152"/>
      <c r="AB1203" s="152"/>
    </row>
    <row r="1204" spans="1:28" hidden="1" outlineLevel="1">
      <c r="A1204" s="199">
        <f t="shared" si="1750"/>
        <v>2</v>
      </c>
      <c r="B1204" s="190" t="str">
        <f t="shared" ca="1" si="1751"/>
        <v>Depreciated Net Capex 2017-18</v>
      </c>
      <c r="C1204" s="1426"/>
      <c r="D1204" s="1427"/>
      <c r="E1204" s="1425">
        <f>E1197</f>
        <v>0</v>
      </c>
      <c r="F1204" s="1423">
        <f ca="1">IF(E1228="n/a",E1204,IFERROR(IF((OFFSET($C1204,0,$A1204))&lt;0,
MIN(0,E1204-(OFFSET($C1204,0,$A1204)/(OFFSET($C1199,-$A1203,$A1204)))),
MAX(0,E1204-(OFFSET($C1204,0,$A1204)/(OFFSET($C1199,-$A1203,$A1204))))),0))</f>
        <v>0</v>
      </c>
      <c r="G1204" s="1423">
        <f t="shared" ca="1" si="1733"/>
        <v>0</v>
      </c>
      <c r="H1204" s="1423">
        <f t="shared" ca="1" si="1734"/>
        <v>0</v>
      </c>
      <c r="I1204" s="1423">
        <f t="shared" ca="1" si="1735"/>
        <v>0</v>
      </c>
      <c r="J1204" s="1423">
        <f t="shared" ca="1" si="1736"/>
        <v>0</v>
      </c>
      <c r="K1204" s="1423">
        <f t="shared" ca="1" si="1737"/>
        <v>0</v>
      </c>
      <c r="L1204" s="1423">
        <f t="shared" ca="1" si="1738"/>
        <v>0</v>
      </c>
      <c r="M1204" s="1423">
        <f t="shared" ca="1" si="1739"/>
        <v>0</v>
      </c>
      <c r="N1204" s="1423">
        <f t="shared" ca="1" si="1740"/>
        <v>0</v>
      </c>
      <c r="O1204" s="1423">
        <f t="shared" ca="1" si="1741"/>
        <v>0</v>
      </c>
      <c r="P1204" s="1423">
        <f t="shared" ca="1" si="1742"/>
        <v>0</v>
      </c>
      <c r="Q1204" s="1423">
        <f t="shared" ca="1" si="1743"/>
        <v>0</v>
      </c>
      <c r="R1204" s="1423">
        <f t="shared" ca="1" si="1744"/>
        <v>0</v>
      </c>
      <c r="S1204" s="1423">
        <f t="shared" ca="1" si="1745"/>
        <v>0</v>
      </c>
      <c r="T1204" s="1423">
        <f t="shared" ca="1" si="1746"/>
        <v>0</v>
      </c>
      <c r="U1204" s="1423">
        <f t="shared" ca="1" si="1747"/>
        <v>0</v>
      </c>
      <c r="V1204" s="1423">
        <f t="shared" ca="1" si="1748"/>
        <v>0</v>
      </c>
      <c r="W1204" s="1423">
        <f t="shared" ca="1" si="1749"/>
        <v>0</v>
      </c>
      <c r="X1204" s="202"/>
      <c r="Y1204" s="152"/>
      <c r="Z1204" s="152"/>
      <c r="AA1204" s="152"/>
      <c r="AB1204" s="152"/>
    </row>
    <row r="1205" spans="1:28" hidden="1" outlineLevel="1">
      <c r="A1205" s="199">
        <f t="shared" si="1750"/>
        <v>3</v>
      </c>
      <c r="B1205" s="190" t="str">
        <f t="shared" ca="1" si="1751"/>
        <v>Depreciated Net Capex 2018-19</v>
      </c>
      <c r="C1205" s="1426"/>
      <c r="D1205" s="1426"/>
      <c r="E1205" s="1427"/>
      <c r="F1205" s="1428">
        <f>F1197</f>
        <v>0</v>
      </c>
      <c r="G1205" s="1423">
        <f ca="1">IF(F1229="n/a",F1205,IFERROR(IF((OFFSET($C1205,0,$A1205))&lt;0,
MIN(0,F1205-(OFFSET($C1205,0,$A1205)/(OFFSET($C1200,-$A1204,$A1205)))),
MAX(0,F1205-(OFFSET($C1205,0,$A1205)/(OFFSET($C1200,-$A1204,$A1205))))),0))</f>
        <v>0</v>
      </c>
      <c r="H1205" s="1423">
        <f t="shared" ca="1" si="1734"/>
        <v>0</v>
      </c>
      <c r="I1205" s="1423">
        <f t="shared" ca="1" si="1735"/>
        <v>0</v>
      </c>
      <c r="J1205" s="1423">
        <f t="shared" ca="1" si="1736"/>
        <v>0</v>
      </c>
      <c r="K1205" s="1423">
        <f t="shared" ca="1" si="1737"/>
        <v>0</v>
      </c>
      <c r="L1205" s="1423">
        <f t="shared" ca="1" si="1738"/>
        <v>0</v>
      </c>
      <c r="M1205" s="1423">
        <f t="shared" ca="1" si="1739"/>
        <v>0</v>
      </c>
      <c r="N1205" s="1423">
        <f t="shared" ca="1" si="1740"/>
        <v>0</v>
      </c>
      <c r="O1205" s="1423">
        <f t="shared" ca="1" si="1741"/>
        <v>0</v>
      </c>
      <c r="P1205" s="1423">
        <f t="shared" ca="1" si="1742"/>
        <v>0</v>
      </c>
      <c r="Q1205" s="1423">
        <f t="shared" ca="1" si="1743"/>
        <v>0</v>
      </c>
      <c r="R1205" s="1423">
        <f t="shared" ca="1" si="1744"/>
        <v>0</v>
      </c>
      <c r="S1205" s="1423">
        <f t="shared" ca="1" si="1745"/>
        <v>0</v>
      </c>
      <c r="T1205" s="1423">
        <f t="shared" ca="1" si="1746"/>
        <v>0</v>
      </c>
      <c r="U1205" s="1423">
        <f t="shared" ca="1" si="1747"/>
        <v>0</v>
      </c>
      <c r="V1205" s="1423">
        <f t="shared" ca="1" si="1748"/>
        <v>0</v>
      </c>
      <c r="W1205" s="1423">
        <f t="shared" ca="1" si="1749"/>
        <v>0</v>
      </c>
      <c r="X1205" s="202"/>
      <c r="Y1205" s="202"/>
      <c r="Z1205" s="152"/>
      <c r="AA1205" s="152"/>
      <c r="AB1205" s="152"/>
    </row>
    <row r="1206" spans="1:28" hidden="1" outlineLevel="1">
      <c r="A1206" s="199">
        <f t="shared" si="1750"/>
        <v>4</v>
      </c>
      <c r="B1206" s="190" t="str">
        <f t="shared" ca="1" si="1751"/>
        <v>Depreciated Net Capex 2019-20</v>
      </c>
      <c r="C1206" s="1426"/>
      <c r="D1206" s="1426"/>
      <c r="E1206" s="1426"/>
      <c r="F1206" s="1427"/>
      <c r="G1206" s="1428">
        <f>G1197</f>
        <v>0</v>
      </c>
      <c r="H1206" s="1423">
        <f ca="1">IF(G1230="n/a",G1206,IFERROR(IF((OFFSET($C1206,0,$A1206))&lt;0,
MIN(0,G1206-(OFFSET($C1206,0,$A1206)/(OFFSET($C1201,-$A1205,$A1206)))),
MAX(0,G1206-(OFFSET($C1206,0,$A1206)/(OFFSET($C1201,-$A1205,$A1206))))),0))</f>
        <v>0</v>
      </c>
      <c r="I1206" s="1423">
        <f t="shared" ca="1" si="1735"/>
        <v>0</v>
      </c>
      <c r="J1206" s="1423">
        <f t="shared" ca="1" si="1736"/>
        <v>0</v>
      </c>
      <c r="K1206" s="1423">
        <f t="shared" ca="1" si="1737"/>
        <v>0</v>
      </c>
      <c r="L1206" s="1423">
        <f t="shared" ca="1" si="1738"/>
        <v>0</v>
      </c>
      <c r="M1206" s="1423">
        <f t="shared" ca="1" si="1739"/>
        <v>0</v>
      </c>
      <c r="N1206" s="1423">
        <f t="shared" ca="1" si="1740"/>
        <v>0</v>
      </c>
      <c r="O1206" s="1423">
        <f t="shared" ca="1" si="1741"/>
        <v>0</v>
      </c>
      <c r="P1206" s="1423">
        <f t="shared" ca="1" si="1742"/>
        <v>0</v>
      </c>
      <c r="Q1206" s="1423">
        <f t="shared" ca="1" si="1743"/>
        <v>0</v>
      </c>
      <c r="R1206" s="1423">
        <f t="shared" ca="1" si="1744"/>
        <v>0</v>
      </c>
      <c r="S1206" s="1423">
        <f t="shared" ca="1" si="1745"/>
        <v>0</v>
      </c>
      <c r="T1206" s="1423">
        <f t="shared" ca="1" si="1746"/>
        <v>0</v>
      </c>
      <c r="U1206" s="1423">
        <f t="shared" ca="1" si="1747"/>
        <v>0</v>
      </c>
      <c r="V1206" s="1423">
        <f t="shared" ca="1" si="1748"/>
        <v>0</v>
      </c>
      <c r="W1206" s="1423">
        <f t="shared" ca="1" si="1749"/>
        <v>0</v>
      </c>
      <c r="X1206" s="202"/>
      <c r="Y1206" s="202"/>
      <c r="Z1206" s="202"/>
      <c r="AA1206" s="152"/>
      <c r="AB1206" s="152"/>
    </row>
    <row r="1207" spans="1:28" hidden="1" outlineLevel="1">
      <c r="A1207" s="199">
        <f t="shared" si="1750"/>
        <v>5</v>
      </c>
      <c r="B1207" s="190" t="str">
        <f t="shared" ca="1" si="1751"/>
        <v>Depreciated Net Capex 2020-21</v>
      </c>
      <c r="C1207" s="1426"/>
      <c r="D1207" s="1426"/>
      <c r="E1207" s="1426"/>
      <c r="F1207" s="1426"/>
      <c r="G1207" s="1427"/>
      <c r="H1207" s="1428">
        <f>H1197</f>
        <v>0</v>
      </c>
      <c r="I1207" s="1423">
        <f ca="1">IF(H1231="n/a",H1207,IFERROR(IF((OFFSET($C1207,0,$A1207))&lt;0,
MIN(0,H1207-(OFFSET($C1207,0,$A1207)/(OFFSET($C1202,-$A1206,$A1207)))),
MAX(0,H1207-(OFFSET($C1207,0,$A1207)/(OFFSET($C1202,-$A1206,$A1207))))),0))</f>
        <v>0</v>
      </c>
      <c r="J1207" s="1423">
        <f t="shared" ca="1" si="1736"/>
        <v>0</v>
      </c>
      <c r="K1207" s="1423">
        <f t="shared" ca="1" si="1737"/>
        <v>0</v>
      </c>
      <c r="L1207" s="1423">
        <f t="shared" ca="1" si="1738"/>
        <v>0</v>
      </c>
      <c r="M1207" s="1423">
        <f t="shared" ca="1" si="1739"/>
        <v>0</v>
      </c>
      <c r="N1207" s="1423">
        <f t="shared" ca="1" si="1740"/>
        <v>0</v>
      </c>
      <c r="O1207" s="1423">
        <f t="shared" ca="1" si="1741"/>
        <v>0</v>
      </c>
      <c r="P1207" s="1423">
        <f t="shared" ca="1" si="1742"/>
        <v>0</v>
      </c>
      <c r="Q1207" s="1423">
        <f t="shared" ca="1" si="1743"/>
        <v>0</v>
      </c>
      <c r="R1207" s="1423">
        <f t="shared" ca="1" si="1744"/>
        <v>0</v>
      </c>
      <c r="S1207" s="1423">
        <f t="shared" ca="1" si="1745"/>
        <v>0</v>
      </c>
      <c r="T1207" s="1423">
        <f t="shared" ca="1" si="1746"/>
        <v>0</v>
      </c>
      <c r="U1207" s="1423">
        <f t="shared" ca="1" si="1747"/>
        <v>0</v>
      </c>
      <c r="V1207" s="1423">
        <f t="shared" ca="1" si="1748"/>
        <v>0</v>
      </c>
      <c r="W1207" s="1423">
        <f t="shared" ca="1" si="1749"/>
        <v>0</v>
      </c>
      <c r="X1207" s="202"/>
      <c r="Y1207" s="202"/>
      <c r="Z1207" s="202"/>
      <c r="AA1207" s="152"/>
      <c r="AB1207" s="152"/>
    </row>
    <row r="1208" spans="1:28" hidden="1" outlineLevel="1">
      <c r="A1208" s="199">
        <f t="shared" si="1750"/>
        <v>6</v>
      </c>
      <c r="B1208" s="190" t="str">
        <f t="shared" ca="1" si="1751"/>
        <v>Depreciated Net Capex 2021-22</v>
      </c>
      <c r="C1208" s="1426"/>
      <c r="D1208" s="1426"/>
      <c r="E1208" s="1426"/>
      <c r="F1208" s="1426"/>
      <c r="G1208" s="1426"/>
      <c r="H1208" s="1427"/>
      <c r="I1208" s="1428">
        <f>I1197</f>
        <v>0</v>
      </c>
      <c r="J1208" s="1423">
        <f ca="1">IF(I1232="n/a",I1208,IFERROR(IF((OFFSET($C1208,0,$A1208))&lt;0,
MIN(0,I1208-(OFFSET($C1208,0,$A1208)/(OFFSET($C1203,-$A1207,$A1208)))),
MAX(0,I1208-(OFFSET($C1208,0,$A1208)/(OFFSET($C1203,-$A1207,$A1208))))),0))</f>
        <v>0</v>
      </c>
      <c r="K1208" s="1423">
        <f t="shared" ca="1" si="1737"/>
        <v>0</v>
      </c>
      <c r="L1208" s="1423">
        <f t="shared" ca="1" si="1738"/>
        <v>0</v>
      </c>
      <c r="M1208" s="1423">
        <f t="shared" ca="1" si="1739"/>
        <v>0</v>
      </c>
      <c r="N1208" s="1423">
        <f t="shared" ca="1" si="1740"/>
        <v>0</v>
      </c>
      <c r="O1208" s="1423">
        <f t="shared" ca="1" si="1741"/>
        <v>0</v>
      </c>
      <c r="P1208" s="1423">
        <f t="shared" ca="1" si="1742"/>
        <v>0</v>
      </c>
      <c r="Q1208" s="1423">
        <f t="shared" ca="1" si="1743"/>
        <v>0</v>
      </c>
      <c r="R1208" s="1423">
        <f t="shared" ca="1" si="1744"/>
        <v>0</v>
      </c>
      <c r="S1208" s="1423">
        <f t="shared" ca="1" si="1745"/>
        <v>0</v>
      </c>
      <c r="T1208" s="1423">
        <f t="shared" ca="1" si="1746"/>
        <v>0</v>
      </c>
      <c r="U1208" s="1423">
        <f t="shared" ca="1" si="1747"/>
        <v>0</v>
      </c>
      <c r="V1208" s="1423">
        <f t="shared" ca="1" si="1748"/>
        <v>0</v>
      </c>
      <c r="W1208" s="1423">
        <f t="shared" ca="1" si="1749"/>
        <v>0</v>
      </c>
      <c r="X1208" s="202"/>
      <c r="Y1208" s="202"/>
      <c r="Z1208" s="202"/>
      <c r="AA1208" s="152"/>
      <c r="AB1208" s="152"/>
    </row>
    <row r="1209" spans="1:28" hidden="1" outlineLevel="1">
      <c r="A1209" s="199">
        <f t="shared" si="1750"/>
        <v>7</v>
      </c>
      <c r="B1209" s="190" t="str">
        <f t="shared" ca="1" si="1751"/>
        <v>Depreciated Net Capex 2022-23</v>
      </c>
      <c r="C1209" s="1426"/>
      <c r="D1209" s="1426"/>
      <c r="E1209" s="1426"/>
      <c r="F1209" s="1426"/>
      <c r="G1209" s="1426"/>
      <c r="H1209" s="1426"/>
      <c r="I1209" s="1427"/>
      <c r="J1209" s="1428">
        <f>J1197</f>
        <v>0</v>
      </c>
      <c r="K1209" s="1423">
        <f ca="1">IF(J1233="n/a",J1209,IFERROR(IF((OFFSET($C1209,0,$A1209))&lt;0,
MIN(0,J1209-(OFFSET($C1209,0,$A1209)/(OFFSET($C1204,-$A1208,$A1209)))),
MAX(0,J1209-(OFFSET($C1209,0,$A1209)/(OFFSET($C1204,-$A1208,$A1209))))),0))</f>
        <v>0</v>
      </c>
      <c r="L1209" s="1423">
        <f t="shared" ca="1" si="1738"/>
        <v>0</v>
      </c>
      <c r="M1209" s="1423">
        <f t="shared" ca="1" si="1739"/>
        <v>0</v>
      </c>
      <c r="N1209" s="1423">
        <f t="shared" ca="1" si="1740"/>
        <v>0</v>
      </c>
      <c r="O1209" s="1423">
        <f t="shared" ca="1" si="1741"/>
        <v>0</v>
      </c>
      <c r="P1209" s="1423">
        <f t="shared" ca="1" si="1742"/>
        <v>0</v>
      </c>
      <c r="Q1209" s="1423">
        <f t="shared" ca="1" si="1743"/>
        <v>0</v>
      </c>
      <c r="R1209" s="1423">
        <f t="shared" ca="1" si="1744"/>
        <v>0</v>
      </c>
      <c r="S1209" s="1423">
        <f t="shared" ca="1" si="1745"/>
        <v>0</v>
      </c>
      <c r="T1209" s="1423">
        <f t="shared" ca="1" si="1746"/>
        <v>0</v>
      </c>
      <c r="U1209" s="1423">
        <f t="shared" ca="1" si="1747"/>
        <v>0</v>
      </c>
      <c r="V1209" s="1423">
        <f t="shared" ca="1" si="1748"/>
        <v>0</v>
      </c>
      <c r="W1209" s="1423">
        <f t="shared" ca="1" si="1749"/>
        <v>0</v>
      </c>
      <c r="X1209" s="202"/>
      <c r="Y1209" s="202"/>
      <c r="Z1209" s="202"/>
      <c r="AA1209" s="152"/>
      <c r="AB1209" s="152"/>
    </row>
    <row r="1210" spans="1:28" hidden="1" outlineLevel="1">
      <c r="A1210" s="199">
        <f t="shared" si="1750"/>
        <v>8</v>
      </c>
      <c r="B1210" s="190" t="str">
        <f t="shared" ca="1" si="1751"/>
        <v>Depreciated Net Capex 2023-24</v>
      </c>
      <c r="C1210" s="1426"/>
      <c r="D1210" s="1426"/>
      <c r="E1210" s="1426"/>
      <c r="F1210" s="1426"/>
      <c r="G1210" s="1426"/>
      <c r="H1210" s="1426"/>
      <c r="I1210" s="1426"/>
      <c r="J1210" s="1427"/>
      <c r="K1210" s="1428">
        <f>K1197</f>
        <v>0</v>
      </c>
      <c r="L1210" s="1423">
        <f ca="1">IF(K1234="n/a",K1210,IFERROR(IF((OFFSET($C1210,0,$A1210))&lt;0,
MIN(0,K1210-(OFFSET($C1210,0,$A1210)/(OFFSET($C1205,-$A1209,$A1210)))),
MAX(0,K1210-(OFFSET($C1210,0,$A1210)/(OFFSET($C1205,-$A1209,$A1210))))),0))</f>
        <v>0</v>
      </c>
      <c r="M1210" s="1423">
        <f t="shared" ca="1" si="1739"/>
        <v>0</v>
      </c>
      <c r="N1210" s="1423">
        <f t="shared" ca="1" si="1740"/>
        <v>0</v>
      </c>
      <c r="O1210" s="1423">
        <f t="shared" ca="1" si="1741"/>
        <v>0</v>
      </c>
      <c r="P1210" s="1423">
        <f t="shared" ca="1" si="1742"/>
        <v>0</v>
      </c>
      <c r="Q1210" s="1423">
        <f t="shared" ca="1" si="1743"/>
        <v>0</v>
      </c>
      <c r="R1210" s="1423">
        <f t="shared" ca="1" si="1744"/>
        <v>0</v>
      </c>
      <c r="S1210" s="1423">
        <f t="shared" ca="1" si="1745"/>
        <v>0</v>
      </c>
      <c r="T1210" s="1423">
        <f t="shared" ca="1" si="1746"/>
        <v>0</v>
      </c>
      <c r="U1210" s="1423">
        <f t="shared" ca="1" si="1747"/>
        <v>0</v>
      </c>
      <c r="V1210" s="1423">
        <f t="shared" ca="1" si="1748"/>
        <v>0</v>
      </c>
      <c r="W1210" s="1423">
        <f t="shared" ca="1" si="1749"/>
        <v>0</v>
      </c>
      <c r="X1210" s="202"/>
      <c r="Y1210" s="202"/>
      <c r="Z1210" s="202"/>
      <c r="AA1210" s="152"/>
      <c r="AB1210" s="152"/>
    </row>
    <row r="1211" spans="1:28" hidden="1" outlineLevel="1">
      <c r="A1211" s="199">
        <f t="shared" si="1750"/>
        <v>9</v>
      </c>
      <c r="B1211" s="190" t="str">
        <f t="shared" ca="1" si="1751"/>
        <v>Depreciated Net Capex 2024-25</v>
      </c>
      <c r="C1211" s="1426"/>
      <c r="D1211" s="1426"/>
      <c r="E1211" s="1426"/>
      <c r="F1211" s="1426"/>
      <c r="G1211" s="1426"/>
      <c r="H1211" s="1426"/>
      <c r="I1211" s="1426"/>
      <c r="J1211" s="1426"/>
      <c r="K1211" s="1427"/>
      <c r="L1211" s="1428">
        <f>L1197</f>
        <v>0</v>
      </c>
      <c r="M1211" s="1423">
        <f ca="1">IF(L1235="n/a",L1211,IFERROR(IF((OFFSET($C1211,0,$A1211))&lt;0,
MIN(0,L1211-(OFFSET($C1211,0,$A1211)/(OFFSET($C1206,-$A1210,$A1211)))),
MAX(0,L1211-(OFFSET($C1211,0,$A1211)/(OFFSET($C1206,-$A1210,$A1211))))),0))</f>
        <v>0</v>
      </c>
      <c r="N1211" s="1423">
        <f t="shared" ca="1" si="1740"/>
        <v>0</v>
      </c>
      <c r="O1211" s="1423">
        <f t="shared" ca="1" si="1741"/>
        <v>0</v>
      </c>
      <c r="P1211" s="1423">
        <f t="shared" ca="1" si="1742"/>
        <v>0</v>
      </c>
      <c r="Q1211" s="1423">
        <f t="shared" ca="1" si="1743"/>
        <v>0</v>
      </c>
      <c r="R1211" s="1423">
        <f t="shared" ca="1" si="1744"/>
        <v>0</v>
      </c>
      <c r="S1211" s="1423">
        <f t="shared" ca="1" si="1745"/>
        <v>0</v>
      </c>
      <c r="T1211" s="1423">
        <f t="shared" ca="1" si="1746"/>
        <v>0</v>
      </c>
      <c r="U1211" s="1423">
        <f t="shared" ca="1" si="1747"/>
        <v>0</v>
      </c>
      <c r="V1211" s="1423">
        <f t="shared" ca="1" si="1748"/>
        <v>0</v>
      </c>
      <c r="W1211" s="1423">
        <f t="shared" ca="1" si="1749"/>
        <v>0</v>
      </c>
      <c r="X1211" s="202"/>
      <c r="Y1211" s="202"/>
      <c r="Z1211" s="202"/>
      <c r="AA1211" s="152"/>
      <c r="AB1211" s="152"/>
    </row>
    <row r="1212" spans="1:28" hidden="1" outlineLevel="1">
      <c r="A1212" s="199">
        <f t="shared" si="1750"/>
        <v>10</v>
      </c>
      <c r="B1212" s="190" t="str">
        <f t="shared" ca="1" si="1751"/>
        <v>Depreciated Net Capex 2025-26</v>
      </c>
      <c r="C1212" s="1426"/>
      <c r="D1212" s="1426"/>
      <c r="E1212" s="1426"/>
      <c r="F1212" s="1426"/>
      <c r="G1212" s="1426"/>
      <c r="H1212" s="1426"/>
      <c r="I1212" s="1426"/>
      <c r="J1212" s="1426"/>
      <c r="K1212" s="1426"/>
      <c r="L1212" s="1427"/>
      <c r="M1212" s="1428">
        <f>M1197</f>
        <v>0</v>
      </c>
      <c r="N1212" s="1423">
        <f ca="1">IF(M1236="n/a",M1212,IFERROR(IF((OFFSET($C1212,0,$A1212))&lt;0,
MIN(0,M1212-(OFFSET($C1212,0,$A1212)/(OFFSET($C1207,-$A1211,$A1212)))),
MAX(0,M1212-(OFFSET($C1212,0,$A1212)/(OFFSET($C1207,-$A1211,$A1212))))),0))</f>
        <v>0</v>
      </c>
      <c r="O1212" s="1423">
        <f t="shared" ca="1" si="1741"/>
        <v>0</v>
      </c>
      <c r="P1212" s="1423">
        <f t="shared" ca="1" si="1742"/>
        <v>0</v>
      </c>
      <c r="Q1212" s="1423">
        <f t="shared" ca="1" si="1743"/>
        <v>0</v>
      </c>
      <c r="R1212" s="1423">
        <f t="shared" ca="1" si="1744"/>
        <v>0</v>
      </c>
      <c r="S1212" s="1423">
        <f t="shared" ca="1" si="1745"/>
        <v>0</v>
      </c>
      <c r="T1212" s="1423">
        <f t="shared" ca="1" si="1746"/>
        <v>0</v>
      </c>
      <c r="U1212" s="1423">
        <f t="shared" ca="1" si="1747"/>
        <v>0</v>
      </c>
      <c r="V1212" s="1423">
        <f t="shared" ca="1" si="1748"/>
        <v>0</v>
      </c>
      <c r="W1212" s="1423">
        <f t="shared" ca="1" si="1749"/>
        <v>0</v>
      </c>
      <c r="X1212" s="202"/>
      <c r="Y1212" s="202"/>
      <c r="Z1212" s="202"/>
      <c r="AA1212" s="152"/>
      <c r="AB1212" s="152"/>
    </row>
    <row r="1213" spans="1:28" hidden="1" outlineLevel="1">
      <c r="A1213" s="199">
        <f t="shared" si="1750"/>
        <v>11</v>
      </c>
      <c r="B1213" s="190" t="str">
        <f t="shared" ca="1" si="1751"/>
        <v>Depreciated Net Capex 2026-27</v>
      </c>
      <c r="C1213" s="1426"/>
      <c r="D1213" s="1426"/>
      <c r="E1213" s="1426"/>
      <c r="F1213" s="1426"/>
      <c r="G1213" s="1426"/>
      <c r="H1213" s="1426"/>
      <c r="I1213" s="1426"/>
      <c r="J1213" s="1426"/>
      <c r="K1213" s="1426"/>
      <c r="L1213" s="1426"/>
      <c r="M1213" s="1427"/>
      <c r="N1213" s="1428">
        <f>N1197</f>
        <v>0</v>
      </c>
      <c r="O1213" s="1423">
        <f ca="1">IF(N1237="n/a",N1213,IFERROR(IF((OFFSET($C1213,0,$A1213))&lt;0,
MIN(0,N1213-(OFFSET($C1213,0,$A1213)/(OFFSET($C1208,-$A1212,$A1213)))),
MAX(0,N1213-(OFFSET($C1213,0,$A1213)/(OFFSET($C1208,-$A1212,$A1213))))),0))</f>
        <v>0</v>
      </c>
      <c r="P1213" s="1423">
        <f t="shared" ca="1" si="1742"/>
        <v>0</v>
      </c>
      <c r="Q1213" s="1423">
        <f t="shared" ca="1" si="1743"/>
        <v>0</v>
      </c>
      <c r="R1213" s="1423">
        <f t="shared" ca="1" si="1744"/>
        <v>0</v>
      </c>
      <c r="S1213" s="1423">
        <f t="shared" ca="1" si="1745"/>
        <v>0</v>
      </c>
      <c r="T1213" s="1423">
        <f t="shared" ca="1" si="1746"/>
        <v>0</v>
      </c>
      <c r="U1213" s="1423">
        <f t="shared" ca="1" si="1747"/>
        <v>0</v>
      </c>
      <c r="V1213" s="1423">
        <f t="shared" ca="1" si="1748"/>
        <v>0</v>
      </c>
      <c r="W1213" s="1423">
        <f t="shared" ca="1" si="1749"/>
        <v>0</v>
      </c>
      <c r="X1213" s="202"/>
      <c r="Y1213" s="202"/>
      <c r="Z1213" s="202"/>
      <c r="AA1213" s="152"/>
      <c r="AB1213" s="152"/>
    </row>
    <row r="1214" spans="1:28" hidden="1" outlineLevel="1">
      <c r="A1214" s="199">
        <f t="shared" si="1750"/>
        <v>12</v>
      </c>
      <c r="B1214" s="190" t="str">
        <f t="shared" ca="1" si="1751"/>
        <v>Depreciated Net Capex 2027-28</v>
      </c>
      <c r="C1214" s="1426"/>
      <c r="D1214" s="1426"/>
      <c r="E1214" s="1426"/>
      <c r="F1214" s="1426"/>
      <c r="G1214" s="1426"/>
      <c r="H1214" s="1426"/>
      <c r="I1214" s="1426"/>
      <c r="J1214" s="1426"/>
      <c r="K1214" s="1426"/>
      <c r="L1214" s="1426"/>
      <c r="M1214" s="1426"/>
      <c r="N1214" s="1427"/>
      <c r="O1214" s="1428">
        <f>O1197</f>
        <v>0</v>
      </c>
      <c r="P1214" s="1423">
        <f ca="1">IF(O1238="n/a",O1214,IFERROR(IF((OFFSET($C1214,0,$A1214))&lt;0,
MIN(0,O1214-(OFFSET($C1214,0,$A1214)/(OFFSET($C1209,-$A1213,$A1214)))),
MAX(0,O1214-(OFFSET($C1214,0,$A1214)/(OFFSET($C1209,-$A1213,$A1214))))),0))</f>
        <v>0</v>
      </c>
      <c r="Q1214" s="1423">
        <f t="shared" ca="1" si="1743"/>
        <v>0</v>
      </c>
      <c r="R1214" s="1423">
        <f t="shared" ca="1" si="1744"/>
        <v>0</v>
      </c>
      <c r="S1214" s="1423">
        <f t="shared" ca="1" si="1745"/>
        <v>0</v>
      </c>
      <c r="T1214" s="1423">
        <f t="shared" ca="1" si="1746"/>
        <v>0</v>
      </c>
      <c r="U1214" s="1423">
        <f t="shared" ca="1" si="1747"/>
        <v>0</v>
      </c>
      <c r="V1214" s="1423">
        <f t="shared" ca="1" si="1748"/>
        <v>0</v>
      </c>
      <c r="W1214" s="1423">
        <f t="shared" ca="1" si="1749"/>
        <v>0</v>
      </c>
      <c r="X1214" s="202"/>
      <c r="Y1214" s="202"/>
      <c r="Z1214" s="202"/>
      <c r="AA1214" s="152"/>
      <c r="AB1214" s="152"/>
    </row>
    <row r="1215" spans="1:28" hidden="1" outlineLevel="1">
      <c r="A1215" s="199">
        <f t="shared" si="1750"/>
        <v>13</v>
      </c>
      <c r="B1215" s="190" t="str">
        <f t="shared" ca="1" si="1751"/>
        <v>Depreciated Net Capex 2028-29</v>
      </c>
      <c r="C1215" s="1426"/>
      <c r="D1215" s="1426"/>
      <c r="E1215" s="1426"/>
      <c r="F1215" s="1426"/>
      <c r="G1215" s="1426"/>
      <c r="H1215" s="1426"/>
      <c r="I1215" s="1426"/>
      <c r="J1215" s="1426"/>
      <c r="K1215" s="1426"/>
      <c r="L1215" s="1426"/>
      <c r="M1215" s="1426"/>
      <c r="N1215" s="1426"/>
      <c r="O1215" s="1427"/>
      <c r="P1215" s="1428">
        <f>P1197</f>
        <v>0</v>
      </c>
      <c r="Q1215" s="1423">
        <f ca="1">IF(P1239="n/a",P1215,IFERROR(IF((OFFSET($C1215,0,$A1215))&lt;0,
MIN(0,P1215-(OFFSET($C1215,0,$A1215)/(OFFSET($C1210,-$A1214,$A1215)))),
MAX(0,P1215-(OFFSET($C1215,0,$A1215)/(OFFSET($C1210,-$A1214,$A1215))))),0))</f>
        <v>0</v>
      </c>
      <c r="R1215" s="1423">
        <f t="shared" ca="1" si="1744"/>
        <v>0</v>
      </c>
      <c r="S1215" s="1423">
        <f t="shared" ca="1" si="1745"/>
        <v>0</v>
      </c>
      <c r="T1215" s="1423">
        <f t="shared" ca="1" si="1746"/>
        <v>0</v>
      </c>
      <c r="U1215" s="1423">
        <f t="shared" ca="1" si="1747"/>
        <v>0</v>
      </c>
      <c r="V1215" s="1423">
        <f t="shared" ca="1" si="1748"/>
        <v>0</v>
      </c>
      <c r="W1215" s="1423">
        <f t="shared" ca="1" si="1749"/>
        <v>0</v>
      </c>
      <c r="X1215" s="202"/>
      <c r="Y1215" s="202"/>
      <c r="Z1215" s="202"/>
      <c r="AA1215" s="152"/>
      <c r="AB1215" s="152"/>
    </row>
    <row r="1216" spans="1:28" hidden="1" outlineLevel="1">
      <c r="A1216" s="199">
        <f t="shared" si="1750"/>
        <v>14</v>
      </c>
      <c r="B1216" s="190" t="str">
        <f t="shared" ca="1" si="1751"/>
        <v>Depreciated Net Capex 2029-30</v>
      </c>
      <c r="C1216" s="1426"/>
      <c r="D1216" s="1426"/>
      <c r="E1216" s="1426"/>
      <c r="F1216" s="1426"/>
      <c r="G1216" s="1426"/>
      <c r="H1216" s="1426"/>
      <c r="I1216" s="1426"/>
      <c r="J1216" s="1426"/>
      <c r="K1216" s="1426"/>
      <c r="L1216" s="1426"/>
      <c r="M1216" s="1426"/>
      <c r="N1216" s="1426"/>
      <c r="O1216" s="1426"/>
      <c r="P1216" s="1427"/>
      <c r="Q1216" s="1428">
        <f>Q1197</f>
        <v>0</v>
      </c>
      <c r="R1216" s="1423">
        <f ca="1">IF(Q1240="n/a",Q1216,IFERROR(IF((OFFSET($C1216,0,$A1216))&lt;0,
MIN(0,Q1216-(OFFSET($C1216,0,$A1216)/(OFFSET($C1211,-$A1215,$A1216)))),
MAX(0,Q1216-(OFFSET($C1216,0,$A1216)/(OFFSET($C1211,-$A1215,$A1216))))),0))</f>
        <v>0</v>
      </c>
      <c r="S1216" s="1423">
        <f t="shared" ca="1" si="1745"/>
        <v>0</v>
      </c>
      <c r="T1216" s="1423">
        <f t="shared" ca="1" si="1746"/>
        <v>0</v>
      </c>
      <c r="U1216" s="1423">
        <f t="shared" ca="1" si="1747"/>
        <v>0</v>
      </c>
      <c r="V1216" s="1423">
        <f t="shared" ca="1" si="1748"/>
        <v>0</v>
      </c>
      <c r="W1216" s="1423">
        <f t="shared" ca="1" si="1749"/>
        <v>0</v>
      </c>
      <c r="X1216" s="202"/>
      <c r="Y1216" s="202"/>
      <c r="Z1216" s="202"/>
      <c r="AA1216" s="152"/>
      <c r="AB1216" s="152"/>
    </row>
    <row r="1217" spans="1:28" hidden="1" outlineLevel="1">
      <c r="A1217" s="199">
        <f t="shared" si="1750"/>
        <v>15</v>
      </c>
      <c r="B1217" s="190" t="str">
        <f t="shared" ca="1" si="1751"/>
        <v>Depreciated Net Capex 2030-31</v>
      </c>
      <c r="C1217" s="1426"/>
      <c r="D1217" s="1426"/>
      <c r="E1217" s="1426"/>
      <c r="F1217" s="1426"/>
      <c r="G1217" s="1426"/>
      <c r="H1217" s="1426"/>
      <c r="I1217" s="1426"/>
      <c r="J1217" s="1426"/>
      <c r="K1217" s="1426"/>
      <c r="L1217" s="1426"/>
      <c r="M1217" s="1426"/>
      <c r="N1217" s="1426"/>
      <c r="O1217" s="1426"/>
      <c r="P1217" s="1426"/>
      <c r="Q1217" s="1427"/>
      <c r="R1217" s="1428">
        <f>R1197</f>
        <v>0</v>
      </c>
      <c r="S1217" s="1423">
        <f ca="1">IF(R1241="n/a",R1217,IFERROR(IF((OFFSET($C1217,0,$A1217))&lt;0,
MIN(0,R1217-(OFFSET($C1217,0,$A1217)/(OFFSET($C1212,-$A1216,$A1217)))),
MAX(0,R1217-(OFFSET($C1217,0,$A1217)/(OFFSET($C1212,-$A1216,$A1217))))),0))</f>
        <v>0</v>
      </c>
      <c r="T1217" s="1423">
        <f t="shared" ca="1" si="1746"/>
        <v>0</v>
      </c>
      <c r="U1217" s="1423">
        <f t="shared" ca="1" si="1747"/>
        <v>0</v>
      </c>
      <c r="V1217" s="1423">
        <f t="shared" ca="1" si="1748"/>
        <v>0</v>
      </c>
      <c r="W1217" s="1423">
        <f t="shared" ca="1" si="1749"/>
        <v>0</v>
      </c>
      <c r="X1217" s="202"/>
      <c r="Y1217" s="202"/>
      <c r="Z1217" s="202"/>
      <c r="AA1217" s="152"/>
      <c r="AB1217" s="152"/>
    </row>
    <row r="1218" spans="1:28" hidden="1" outlineLevel="1">
      <c r="A1218" s="199">
        <f t="shared" si="1750"/>
        <v>16</v>
      </c>
      <c r="B1218" s="190" t="str">
        <f t="shared" ca="1" si="1751"/>
        <v>Depreciated Net Capex 2031-32</v>
      </c>
      <c r="C1218" s="1426"/>
      <c r="D1218" s="1426"/>
      <c r="E1218" s="1426"/>
      <c r="F1218" s="1426"/>
      <c r="G1218" s="1426"/>
      <c r="H1218" s="1426"/>
      <c r="I1218" s="1426"/>
      <c r="J1218" s="1426"/>
      <c r="K1218" s="1426"/>
      <c r="L1218" s="1426"/>
      <c r="M1218" s="1426"/>
      <c r="N1218" s="1426"/>
      <c r="O1218" s="1426"/>
      <c r="P1218" s="1426"/>
      <c r="Q1218" s="1426"/>
      <c r="R1218" s="1427"/>
      <c r="S1218" s="1428">
        <f>S1197</f>
        <v>0</v>
      </c>
      <c r="T1218" s="1423">
        <f ca="1">IF(S1242="n/a",S1218,IFERROR(IF((OFFSET($C1218,0,$A1218))&lt;0,
MIN(0,S1218-(OFFSET($C1218,0,$A1218)/(OFFSET($C1213,-$A1217,$A1218)))),
MAX(0,S1218-(OFFSET($C1218,0,$A1218)/(OFFSET($C1213,-$A1217,$A1218))))),0))</f>
        <v>0</v>
      </c>
      <c r="U1218" s="1423">
        <f t="shared" ca="1" si="1747"/>
        <v>0</v>
      </c>
      <c r="V1218" s="1423">
        <f t="shared" ca="1" si="1748"/>
        <v>0</v>
      </c>
      <c r="W1218" s="1423">
        <f t="shared" ca="1" si="1749"/>
        <v>0</v>
      </c>
      <c r="X1218" s="202"/>
      <c r="Y1218" s="202"/>
      <c r="Z1218" s="202"/>
      <c r="AA1218" s="152"/>
      <c r="AB1218" s="152"/>
    </row>
    <row r="1219" spans="1:28" hidden="1" outlineLevel="1">
      <c r="A1219" s="199">
        <f t="shared" si="1750"/>
        <v>17</v>
      </c>
      <c r="B1219" s="190" t="str">
        <f t="shared" ca="1" si="1751"/>
        <v>Depreciated Net Capex 2032-33</v>
      </c>
      <c r="C1219" s="1426"/>
      <c r="D1219" s="1426"/>
      <c r="E1219" s="1426"/>
      <c r="F1219" s="1426"/>
      <c r="G1219" s="1426"/>
      <c r="H1219" s="1426"/>
      <c r="I1219" s="1426"/>
      <c r="J1219" s="1426"/>
      <c r="K1219" s="1426"/>
      <c r="L1219" s="1426"/>
      <c r="M1219" s="1426"/>
      <c r="N1219" s="1426"/>
      <c r="O1219" s="1426"/>
      <c r="P1219" s="1426"/>
      <c r="Q1219" s="1426"/>
      <c r="R1219" s="1426"/>
      <c r="S1219" s="1427"/>
      <c r="T1219" s="1428">
        <f>T1197</f>
        <v>0</v>
      </c>
      <c r="U1219" s="1423">
        <f ca="1">IF(T1243="n/a",T1219,IFERROR(IF((OFFSET($C1219,0,$A1219))&lt;0,
MIN(0,T1219-(OFFSET($C1219,0,$A1219)/(OFFSET($C1214,-$A1218,$A1219)))),
MAX(0,T1219-(OFFSET($C1219,0,$A1219)/(OFFSET($C1214,-$A1218,$A1219))))),0))</f>
        <v>0</v>
      </c>
      <c r="V1219" s="1423">
        <f t="shared" ca="1" si="1748"/>
        <v>0</v>
      </c>
      <c r="W1219" s="1423">
        <f t="shared" ca="1" si="1749"/>
        <v>0</v>
      </c>
      <c r="X1219" s="202"/>
      <c r="Y1219" s="202"/>
      <c r="Z1219" s="202"/>
      <c r="AA1219" s="152"/>
      <c r="AB1219" s="152"/>
    </row>
    <row r="1220" spans="1:28" hidden="1" outlineLevel="1">
      <c r="A1220" s="199">
        <f t="shared" si="1750"/>
        <v>18</v>
      </c>
      <c r="B1220" s="190" t="str">
        <f t="shared" ca="1" si="1751"/>
        <v>Depreciated Net Capex 2033-34</v>
      </c>
      <c r="C1220" s="1426"/>
      <c r="D1220" s="1426"/>
      <c r="E1220" s="1426"/>
      <c r="F1220" s="1426"/>
      <c r="G1220" s="1426"/>
      <c r="H1220" s="1426"/>
      <c r="I1220" s="1426"/>
      <c r="J1220" s="1426"/>
      <c r="K1220" s="1426"/>
      <c r="L1220" s="1426"/>
      <c r="M1220" s="1426"/>
      <c r="N1220" s="1426"/>
      <c r="O1220" s="1426"/>
      <c r="P1220" s="1426"/>
      <c r="Q1220" s="1426"/>
      <c r="R1220" s="1426"/>
      <c r="S1220" s="1426"/>
      <c r="T1220" s="1427"/>
      <c r="U1220" s="1428">
        <f>U1197</f>
        <v>0</v>
      </c>
      <c r="V1220" s="1423">
        <f ca="1">IF(U1244="n/a",U1220,IFERROR(IF((OFFSET($C1220,0,$A1220))&lt;0,
MIN(0,U1220-(OFFSET($C1220,0,$A1220)/(OFFSET($C1215,-$A1219,$A1220)))),
MAX(0,U1220-(OFFSET($C1220,0,$A1220)/(OFFSET($C1215,-$A1219,$A1220))))),0))</f>
        <v>0</v>
      </c>
      <c r="W1220" s="1423">
        <f t="shared" ca="1" si="1749"/>
        <v>0</v>
      </c>
      <c r="X1220" s="202"/>
      <c r="Y1220" s="202"/>
      <c r="Z1220" s="202"/>
      <c r="AA1220" s="152"/>
      <c r="AB1220" s="152"/>
    </row>
    <row r="1221" spans="1:28" hidden="1" outlineLevel="1">
      <c r="A1221" s="199">
        <f t="shared" si="1750"/>
        <v>19</v>
      </c>
      <c r="B1221" s="190" t="str">
        <f t="shared" ca="1" si="1751"/>
        <v>Depreciated Net Capex 2034-35</v>
      </c>
      <c r="C1221" s="1426"/>
      <c r="D1221" s="1426"/>
      <c r="E1221" s="1426"/>
      <c r="F1221" s="1426"/>
      <c r="G1221" s="1426"/>
      <c r="H1221" s="1426"/>
      <c r="I1221" s="1426"/>
      <c r="J1221" s="1426"/>
      <c r="K1221" s="1426"/>
      <c r="L1221" s="1426"/>
      <c r="M1221" s="1426"/>
      <c r="N1221" s="1426"/>
      <c r="O1221" s="1426"/>
      <c r="P1221" s="1426"/>
      <c r="Q1221" s="1426"/>
      <c r="R1221" s="1426"/>
      <c r="S1221" s="1426"/>
      <c r="T1221" s="1426"/>
      <c r="U1221" s="1427"/>
      <c r="V1221" s="1428">
        <f>V1197</f>
        <v>0</v>
      </c>
      <c r="W1221" s="1423">
        <f ca="1">IF(V1245="n/a",V1221,IFERROR(IF((OFFSET($C1221,0,$A1221))&lt;0,
MIN(0,V1221-(OFFSET($C1221,0,$A1221)/(OFFSET($C1216,-$A1220,$A1221)))),
MAX(0,V1221-(OFFSET($C1221,0,$A1221)/(OFFSET($C1216,-$A1220,$A1221))))),0))</f>
        <v>0</v>
      </c>
      <c r="X1221" s="202"/>
      <c r="Y1221" s="202"/>
      <c r="Z1221" s="202"/>
      <c r="AA1221" s="152"/>
      <c r="AB1221" s="152"/>
    </row>
    <row r="1222" spans="1:28" hidden="1" outlineLevel="1">
      <c r="A1222" s="199">
        <f t="shared" si="1750"/>
        <v>20</v>
      </c>
      <c r="B1222" s="190" t="str">
        <f t="shared" ca="1" si="1751"/>
        <v>Depreciated Net Capex 2035-36</v>
      </c>
      <c r="C1222" s="1426"/>
      <c r="D1222" s="1426"/>
      <c r="E1222" s="1426"/>
      <c r="F1222" s="1426"/>
      <c r="G1222" s="1426"/>
      <c r="H1222" s="1426"/>
      <c r="I1222" s="1426"/>
      <c r="J1222" s="1426"/>
      <c r="K1222" s="1426"/>
      <c r="L1222" s="1426"/>
      <c r="M1222" s="1426"/>
      <c r="N1222" s="1426"/>
      <c r="O1222" s="1426"/>
      <c r="P1222" s="1426"/>
      <c r="Q1222" s="1426"/>
      <c r="R1222" s="1426"/>
      <c r="S1222" s="1426"/>
      <c r="T1222" s="1426"/>
      <c r="U1222" s="1426"/>
      <c r="V1222" s="1427"/>
      <c r="W1222" s="1423">
        <f>W1197</f>
        <v>0</v>
      </c>
      <c r="X1222" s="152"/>
      <c r="Y1222" s="152"/>
      <c r="Z1222" s="152"/>
      <c r="AA1222" s="152"/>
      <c r="AB1222" s="152"/>
    </row>
    <row r="1223" spans="1:28" hidden="1" outlineLevel="1">
      <c r="A1223" s="152"/>
      <c r="B1223" s="200"/>
      <c r="C1223" s="1423"/>
      <c r="D1223" s="1423"/>
      <c r="E1223" s="1423"/>
      <c r="F1223" s="1423"/>
      <c r="G1223" s="1423"/>
      <c r="H1223" s="1423"/>
      <c r="I1223" s="1423"/>
      <c r="J1223" s="1423"/>
      <c r="K1223" s="1423"/>
      <c r="L1223" s="1423"/>
      <c r="M1223" s="1423"/>
      <c r="N1223" s="1423"/>
      <c r="O1223" s="1423"/>
      <c r="P1223" s="1423"/>
      <c r="Q1223" s="1423"/>
      <c r="R1223" s="1423"/>
      <c r="S1223" s="1423"/>
      <c r="T1223" s="1423"/>
      <c r="U1223" s="1423"/>
      <c r="V1223" s="1423"/>
      <c r="W1223" s="1423"/>
      <c r="X1223" s="152"/>
      <c r="Y1223" s="152"/>
      <c r="Z1223" s="152"/>
      <c r="AA1223" s="152"/>
      <c r="AB1223" s="152"/>
    </row>
    <row r="1224" spans="1:28" hidden="1" outlineLevel="1">
      <c r="A1224" s="152"/>
      <c r="B1224" s="200"/>
      <c r="C1224" s="1423"/>
      <c r="D1224" s="1423"/>
      <c r="E1224" s="1423"/>
      <c r="F1224" s="1423"/>
      <c r="G1224" s="1423"/>
      <c r="H1224" s="1423"/>
      <c r="I1224" s="1423"/>
      <c r="J1224" s="1423"/>
      <c r="K1224" s="1423"/>
      <c r="L1224" s="1423"/>
      <c r="M1224" s="1423"/>
      <c r="N1224" s="1423"/>
      <c r="O1224" s="1423"/>
      <c r="P1224" s="1423"/>
      <c r="Q1224" s="1423"/>
      <c r="R1224" s="1423"/>
      <c r="S1224" s="1423"/>
      <c r="T1224" s="1423"/>
      <c r="U1224" s="1423"/>
      <c r="V1224" s="1423"/>
      <c r="W1224" s="1423"/>
      <c r="X1224" s="152"/>
      <c r="Y1224" s="152"/>
      <c r="Z1224" s="152"/>
      <c r="AA1224" s="152"/>
      <c r="AB1224" s="152"/>
    </row>
    <row r="1225" spans="1:28" hidden="1" outlineLevel="1">
      <c r="A1225" s="152"/>
      <c r="B1225" s="190" t="s">
        <v>194</v>
      </c>
      <c r="C1225" s="1423"/>
      <c r="D1225" s="1423">
        <f t="shared" ref="D1225" ca="1" si="1752">IF(AND(C1225&lt;1,D1199=0),0,
IF(D1199=0,C1225-1,
IF(C1225&lt;1,D1200,
(((C1225-1)*(C1201-(C1201/(C1225))))+(D1199*D1200))/(D1201))))</f>
        <v>0</v>
      </c>
      <c r="E1225" s="1423">
        <f t="shared" ref="E1225" ca="1" si="1753">IF(AND(D1225&lt;1,E1199=0),0,
IF(E1199=0,D1225-1,
IF(D1225&lt;1,E1200,
(((D1225-1)*(D1201-(D1201/(D1225))))+(E1199*E1200))/(E1201))))</f>
        <v>0</v>
      </c>
      <c r="F1225" s="1423">
        <f t="shared" ref="F1225" ca="1" si="1754">IF(AND(E1225&lt;1,F1199=0),0,
IF(F1199=0,E1225-1,
IF(E1225&lt;1,F1200,
(((E1225-1)*(E1201-(E1201/(E1225))))+(F1199*F1200))/(F1201))))</f>
        <v>0</v>
      </c>
      <c r="G1225" s="1423">
        <f t="shared" ref="G1225" ca="1" si="1755">IF(AND(F1225&lt;1,G1199=0),0,
IF(G1199=0,F1225-1,
IF(F1225&lt;1,G1200,
(((F1225-1)*(F1201-(F1201/(F1225))))+(G1199*G1200))/(G1201))))</f>
        <v>0</v>
      </c>
      <c r="H1225" s="1423">
        <f ca="1">IF(AND(G1225&lt;1,H1199=0),0,
IF(H1199=0,G1225-1,
IF(G1225&lt;1,H1200,
(((G1225-1)*(G1201-(G1201/(G1225))))+(H1199*H1200))/(H1201))))</f>
        <v>0</v>
      </c>
      <c r="I1225" s="1423">
        <f t="shared" ref="I1225" ca="1" si="1756">IF(AND(H1225&lt;1,I1199=0),0,
IF(I1199=0,H1225-1,
IF(H1225&lt;1,I1200,
(((H1225-1)*(H1201-(H1201/(H1225))))+(I1199*I1200))/(I1201))))</f>
        <v>0</v>
      </c>
      <c r="J1225" s="1423">
        <f t="shared" ref="J1225" ca="1" si="1757">IF(AND(I1225&lt;1,J1199=0),0,
IF(J1199=0,I1225-1,
IF(I1225&lt;1,J1200,
(((I1225-1)*(I1201-(I1201/(I1225))))+(J1199*J1200))/(J1201))))</f>
        <v>0</v>
      </c>
      <c r="K1225" s="1423">
        <f t="shared" ref="K1225" ca="1" si="1758">IF(AND(J1225&lt;1,K1199=0),0,
IF(K1199=0,J1225-1,
IF(J1225&lt;1,K1200,
(((J1225-1)*(J1201-(J1201/(J1225))))+(K1199*K1200))/(K1201))))</f>
        <v>0</v>
      </c>
      <c r="L1225" s="1423">
        <f t="shared" ref="L1225" ca="1" si="1759">IF(AND(K1225&lt;1,L1199=0),0,
IF(L1199=0,K1225-1,
IF(K1225&lt;1,L1200,
(((K1225-1)*(K1201-(K1201/(K1225))))+(L1199*L1200))/(L1201))))</f>
        <v>0</v>
      </c>
      <c r="M1225" s="1423">
        <f ca="1">IF(AND(L1225&lt;1,M1199=0),0,
IF(M1199=0,L1225-1,
IF(L1225&lt;1,M1200,
(((L1225-1)*(L1201-(L1201/(L1225))))+(M1199*M1200))/(M1201))))</f>
        <v>0</v>
      </c>
      <c r="N1225" s="1423">
        <f t="shared" ref="N1225" ca="1" si="1760">IF(AND(M1225&lt;1,N1199=0),0,
IF(N1199=0,M1225-1,
IF(M1225&lt;1,N1200,
(((M1225-1)*(M1201-(M1201/(M1225))))+(N1199*N1200))/(N1201))))</f>
        <v>0</v>
      </c>
      <c r="O1225" s="1423">
        <f t="shared" ref="O1225" ca="1" si="1761">IF(AND(N1225&lt;1,O1199=0),0,
IF(O1199=0,N1225-1,
IF(N1225&lt;1,O1200,
(((N1225-1)*(N1201-(N1201/(N1225))))+(O1199*O1200))/(O1201))))</f>
        <v>0</v>
      </c>
      <c r="P1225" s="1423">
        <f t="shared" ref="P1225" ca="1" si="1762">IF(AND(O1225&lt;1,P1199=0),0,
IF(P1199=0,O1225-1,
IF(O1225&lt;1,P1200,
(((O1225-1)*(O1201-(O1201/(O1225))))+(P1199*P1200))/(P1201))))</f>
        <v>0</v>
      </c>
      <c r="Q1225" s="1423">
        <f t="shared" ref="Q1225" ca="1" si="1763">IF(AND(P1225&lt;1,Q1199=0),0,
IF(Q1199=0,P1225-1,
IF(P1225&lt;1,Q1200,
(((P1225-1)*(P1201-(P1201/(P1225))))+(Q1199*Q1200))/(Q1201))))</f>
        <v>0</v>
      </c>
      <c r="R1225" s="1423">
        <f t="shared" ref="R1225" ca="1" si="1764">IF(AND(Q1225&lt;1,R1199=0),0,
IF(R1199=0,Q1225-1,
IF(Q1225&lt;1,R1200,
(((Q1225-1)*(Q1201-(Q1201/(Q1225))))+(R1199*R1200))/(R1201))))</f>
        <v>0</v>
      </c>
      <c r="S1225" s="1423">
        <f t="shared" ref="S1225" ca="1" si="1765">IF(AND(R1225&lt;1,S1199=0),0,
IF(S1199=0,R1225-1,
IF(R1225&lt;1,S1200,
(((R1225-1)*(R1201-(R1201/(R1225))))+(S1199*S1200))/(S1201))))</f>
        <v>0</v>
      </c>
      <c r="T1225" s="1423">
        <f t="shared" ref="T1225" ca="1" si="1766">IF(AND(S1225&lt;1,T1199=0),0,
IF(T1199=0,S1225-1,
IF(S1225&lt;1,T1200,
(((S1225-1)*(S1201-(S1201/(S1225))))+(T1199*T1200))/(T1201))))</f>
        <v>0</v>
      </c>
      <c r="U1225" s="1423">
        <f t="shared" ref="U1225" ca="1" si="1767">IF(AND(T1225&lt;1,U1199=0),0,
IF(U1199=0,T1225-1,
IF(T1225&lt;1,U1200,
(((T1225-1)*(T1201-(T1201/(T1225))))+(U1199*U1200))/(U1201))))</f>
        <v>0</v>
      </c>
      <c r="V1225" s="1423">
        <f t="shared" ref="V1225" ca="1" si="1768">IF(AND(U1225&lt;1,V1199=0),0,
IF(V1199=0,U1225-1,
IF(U1225&lt;1,V1200,
(((U1225-1)*(U1201-(U1201/(U1225))))+(V1199*V1200))/(V1201))))</f>
        <v>0</v>
      </c>
      <c r="W1225" s="1423">
        <f t="shared" ref="W1225" ca="1" si="1769">IF(AND(V1225&lt;1,W1199=0),0,
IF(W1199=0,V1225-1,
IF(V1225&lt;1,W1200,
(((V1225-1)*(V1201-(V1201/(V1225))))+(W1199*W1200))/(W1201))))</f>
        <v>0</v>
      </c>
      <c r="X1225" s="152"/>
      <c r="Y1225" s="152"/>
      <c r="Z1225" s="152"/>
      <c r="AA1225" s="152"/>
      <c r="AB1225" s="152"/>
    </row>
    <row r="1226" spans="1:28" hidden="1" outlineLevel="1">
      <c r="A1226" s="152"/>
      <c r="B1226" s="190" t="s">
        <v>193</v>
      </c>
      <c r="C1226" s="1423">
        <f ca="1">C1198</f>
        <v>0</v>
      </c>
      <c r="D1226" s="1423">
        <f t="shared" ref="D1226" ca="1" si="1770">IF(C1226="n/a","n/a",MAX(0,C1226-1))</f>
        <v>0</v>
      </c>
      <c r="E1226" s="1423">
        <f t="shared" ref="E1226:E1227" ca="1" si="1771">IF(D1226="n/a","n/a",MAX(0,D1226-1))</f>
        <v>0</v>
      </c>
      <c r="F1226" s="1423">
        <f t="shared" ref="F1226:F1228" ca="1" si="1772">IF(E1226="n/a","n/a",MAX(0,E1226-1))</f>
        <v>0</v>
      </c>
      <c r="G1226" s="1423">
        <f t="shared" ref="G1226:G1229" ca="1" si="1773">IF(F1226="n/a","n/a",MAX(0,F1226-1))</f>
        <v>0</v>
      </c>
      <c r="H1226" s="1423">
        <f t="shared" ref="H1226:H1230" ca="1" si="1774">IF(G1226="n/a","n/a",MAX(0,G1226-1))</f>
        <v>0</v>
      </c>
      <c r="I1226" s="1423">
        <f t="shared" ref="I1226:I1231" ca="1" si="1775">IF(H1226="n/a","n/a",MAX(0,H1226-1))</f>
        <v>0</v>
      </c>
      <c r="J1226" s="1423">
        <f t="shared" ref="J1226:J1232" ca="1" si="1776">IF(I1226="n/a","n/a",MAX(0,I1226-1))</f>
        <v>0</v>
      </c>
      <c r="K1226" s="1423">
        <f t="shared" ref="K1226:K1233" ca="1" si="1777">IF(J1226="n/a","n/a",MAX(0,J1226-1))</f>
        <v>0</v>
      </c>
      <c r="L1226" s="1423">
        <f t="shared" ref="L1226:L1234" ca="1" si="1778">IF(K1226="n/a","n/a",MAX(0,K1226-1))</f>
        <v>0</v>
      </c>
      <c r="M1226" s="1423">
        <f t="shared" ref="M1226:M1235" ca="1" si="1779">IF(L1226="n/a","n/a",MAX(0,L1226-1))</f>
        <v>0</v>
      </c>
      <c r="N1226" s="1423">
        <f t="shared" ref="N1226:N1236" ca="1" si="1780">IF(M1226="n/a","n/a",MAX(0,M1226-1))</f>
        <v>0</v>
      </c>
      <c r="O1226" s="1423">
        <f t="shared" ref="O1226:O1237" ca="1" si="1781">IF(N1226="n/a","n/a",MAX(0,N1226-1))</f>
        <v>0</v>
      </c>
      <c r="P1226" s="1423">
        <f t="shared" ref="P1226:P1238" ca="1" si="1782">IF(O1226="n/a","n/a",MAX(0,O1226-1))</f>
        <v>0</v>
      </c>
      <c r="Q1226" s="1423">
        <f t="shared" ref="Q1226:Q1239" ca="1" si="1783">IF(P1226="n/a","n/a",MAX(0,P1226-1))</f>
        <v>0</v>
      </c>
      <c r="R1226" s="1423">
        <f t="shared" ref="R1226:R1240" ca="1" si="1784">IF(Q1226="n/a","n/a",MAX(0,Q1226-1))</f>
        <v>0</v>
      </c>
      <c r="S1226" s="1423">
        <f t="shared" ref="S1226:S1241" ca="1" si="1785">IF(R1226="n/a","n/a",MAX(0,R1226-1))</f>
        <v>0</v>
      </c>
      <c r="T1226" s="1423">
        <f t="shared" ref="T1226:T1242" ca="1" si="1786">IF(S1226="n/a","n/a",MAX(0,S1226-1))</f>
        <v>0</v>
      </c>
      <c r="U1226" s="1423">
        <f t="shared" ref="U1226:U1243" ca="1" si="1787">IF(T1226="n/a","n/a",MAX(0,T1226-1))</f>
        <v>0</v>
      </c>
      <c r="V1226" s="1423">
        <f t="shared" ref="V1226:V1244" ca="1" si="1788">IF(U1226="n/a","n/a",MAX(0,U1226-1))</f>
        <v>0</v>
      </c>
      <c r="W1226" s="1423">
        <f t="shared" ref="W1226:W1244" ca="1" si="1789">IF(V1226="n/a","n/a",MAX(0,V1226-1))</f>
        <v>0</v>
      </c>
      <c r="X1226" s="152"/>
      <c r="Y1226" s="152"/>
      <c r="Z1226" s="152"/>
      <c r="AA1226" s="152"/>
      <c r="AB1226" s="152"/>
    </row>
    <row r="1227" spans="1:28" hidden="1" outlineLevel="1">
      <c r="A1227" s="152"/>
      <c r="B1227" s="190" t="str">
        <f t="shared" ref="B1227:B1246" ca="1" si="1790">"RL Capex "&amp;OFFSET($C$6,0,A1203)</f>
        <v>RL Capex 2016-17</v>
      </c>
      <c r="C1227" s="1424"/>
      <c r="D1227" s="1428">
        <f>D1198</f>
        <v>0</v>
      </c>
      <c r="E1227" s="1423">
        <f t="shared" si="1771"/>
        <v>0</v>
      </c>
      <c r="F1227" s="1423">
        <f t="shared" si="1772"/>
        <v>0</v>
      </c>
      <c r="G1227" s="1423">
        <f t="shared" si="1773"/>
        <v>0</v>
      </c>
      <c r="H1227" s="1423">
        <f t="shared" si="1774"/>
        <v>0</v>
      </c>
      <c r="I1227" s="1423">
        <f t="shared" si="1775"/>
        <v>0</v>
      </c>
      <c r="J1227" s="1423">
        <f t="shared" si="1776"/>
        <v>0</v>
      </c>
      <c r="K1227" s="1423">
        <f t="shared" si="1777"/>
        <v>0</v>
      </c>
      <c r="L1227" s="1423">
        <f t="shared" si="1778"/>
        <v>0</v>
      </c>
      <c r="M1227" s="1423">
        <f t="shared" si="1779"/>
        <v>0</v>
      </c>
      <c r="N1227" s="1423">
        <f t="shared" si="1780"/>
        <v>0</v>
      </c>
      <c r="O1227" s="1423">
        <f t="shared" si="1781"/>
        <v>0</v>
      </c>
      <c r="P1227" s="1423">
        <f t="shared" si="1782"/>
        <v>0</v>
      </c>
      <c r="Q1227" s="1423">
        <f t="shared" si="1783"/>
        <v>0</v>
      </c>
      <c r="R1227" s="1423">
        <f t="shared" si="1784"/>
        <v>0</v>
      </c>
      <c r="S1227" s="1423">
        <f t="shared" si="1785"/>
        <v>0</v>
      </c>
      <c r="T1227" s="1423">
        <f t="shared" si="1786"/>
        <v>0</v>
      </c>
      <c r="U1227" s="1423">
        <f t="shared" si="1787"/>
        <v>0</v>
      </c>
      <c r="V1227" s="1423">
        <f t="shared" si="1788"/>
        <v>0</v>
      </c>
      <c r="W1227" s="1423">
        <f t="shared" si="1789"/>
        <v>0</v>
      </c>
      <c r="X1227" s="152"/>
      <c r="Y1227" s="152"/>
      <c r="Z1227" s="152"/>
      <c r="AA1227" s="152"/>
      <c r="AB1227" s="152"/>
    </row>
    <row r="1228" spans="1:28" hidden="1" outlineLevel="1">
      <c r="A1228" s="152"/>
      <c r="B1228" s="190" t="str">
        <f t="shared" ca="1" si="1790"/>
        <v>RL Capex 2017-18</v>
      </c>
      <c r="C1228" s="1429"/>
      <c r="D1228" s="1424"/>
      <c r="E1228" s="1428">
        <f>E1198</f>
        <v>0</v>
      </c>
      <c r="F1228" s="1423">
        <f t="shared" si="1772"/>
        <v>0</v>
      </c>
      <c r="G1228" s="1423">
        <f t="shared" si="1773"/>
        <v>0</v>
      </c>
      <c r="H1228" s="1423">
        <f t="shared" si="1774"/>
        <v>0</v>
      </c>
      <c r="I1228" s="1423">
        <f t="shared" si="1775"/>
        <v>0</v>
      </c>
      <c r="J1228" s="1423">
        <f t="shared" si="1776"/>
        <v>0</v>
      </c>
      <c r="K1228" s="1423">
        <f t="shared" si="1777"/>
        <v>0</v>
      </c>
      <c r="L1228" s="1423">
        <f t="shared" si="1778"/>
        <v>0</v>
      </c>
      <c r="M1228" s="1423">
        <f t="shared" si="1779"/>
        <v>0</v>
      </c>
      <c r="N1228" s="1423">
        <f t="shared" si="1780"/>
        <v>0</v>
      </c>
      <c r="O1228" s="1423">
        <f t="shared" si="1781"/>
        <v>0</v>
      </c>
      <c r="P1228" s="1423">
        <f t="shared" si="1782"/>
        <v>0</v>
      </c>
      <c r="Q1228" s="1423">
        <f t="shared" si="1783"/>
        <v>0</v>
      </c>
      <c r="R1228" s="1423">
        <f t="shared" si="1784"/>
        <v>0</v>
      </c>
      <c r="S1228" s="1423">
        <f t="shared" si="1785"/>
        <v>0</v>
      </c>
      <c r="T1228" s="1423">
        <f t="shared" si="1786"/>
        <v>0</v>
      </c>
      <c r="U1228" s="1423">
        <f t="shared" si="1787"/>
        <v>0</v>
      </c>
      <c r="V1228" s="1423">
        <f t="shared" si="1788"/>
        <v>0</v>
      </c>
      <c r="W1228" s="1423">
        <f t="shared" si="1789"/>
        <v>0</v>
      </c>
      <c r="X1228" s="152"/>
      <c r="Y1228" s="152"/>
      <c r="Z1228" s="152"/>
      <c r="AA1228" s="152"/>
      <c r="AB1228" s="152"/>
    </row>
    <row r="1229" spans="1:28" hidden="1" outlineLevel="1">
      <c r="A1229" s="152"/>
      <c r="B1229" s="190" t="str">
        <f t="shared" ca="1" si="1790"/>
        <v>RL Capex 2018-19</v>
      </c>
      <c r="C1229" s="1429"/>
      <c r="D1229" s="1429"/>
      <c r="E1229" s="1424"/>
      <c r="F1229" s="1428">
        <f>F1198</f>
        <v>0</v>
      </c>
      <c r="G1229" s="1423">
        <f t="shared" si="1773"/>
        <v>0</v>
      </c>
      <c r="H1229" s="1423">
        <f t="shared" si="1774"/>
        <v>0</v>
      </c>
      <c r="I1229" s="1423">
        <f t="shared" si="1775"/>
        <v>0</v>
      </c>
      <c r="J1229" s="1423">
        <f t="shared" si="1776"/>
        <v>0</v>
      </c>
      <c r="K1229" s="1423">
        <f t="shared" si="1777"/>
        <v>0</v>
      </c>
      <c r="L1229" s="1423">
        <f t="shared" si="1778"/>
        <v>0</v>
      </c>
      <c r="M1229" s="1423">
        <f t="shared" si="1779"/>
        <v>0</v>
      </c>
      <c r="N1229" s="1423">
        <f t="shared" si="1780"/>
        <v>0</v>
      </c>
      <c r="O1229" s="1423">
        <f t="shared" si="1781"/>
        <v>0</v>
      </c>
      <c r="P1229" s="1423">
        <f t="shared" si="1782"/>
        <v>0</v>
      </c>
      <c r="Q1229" s="1423">
        <f t="shared" si="1783"/>
        <v>0</v>
      </c>
      <c r="R1229" s="1423">
        <f t="shared" si="1784"/>
        <v>0</v>
      </c>
      <c r="S1229" s="1423">
        <f t="shared" si="1785"/>
        <v>0</v>
      </c>
      <c r="T1229" s="1423">
        <f t="shared" si="1786"/>
        <v>0</v>
      </c>
      <c r="U1229" s="1423">
        <f t="shared" si="1787"/>
        <v>0</v>
      </c>
      <c r="V1229" s="1423">
        <f t="shared" si="1788"/>
        <v>0</v>
      </c>
      <c r="W1229" s="1423">
        <f t="shared" si="1789"/>
        <v>0</v>
      </c>
      <c r="X1229" s="152"/>
      <c r="Y1229" s="152"/>
      <c r="Z1229" s="152"/>
      <c r="AA1229" s="152"/>
      <c r="AB1229" s="152"/>
    </row>
    <row r="1230" spans="1:28" hidden="1" outlineLevel="1">
      <c r="A1230" s="152"/>
      <c r="B1230" s="190" t="str">
        <f t="shared" ca="1" si="1790"/>
        <v>RL Capex 2019-20</v>
      </c>
      <c r="C1230" s="1429"/>
      <c r="D1230" s="1429"/>
      <c r="E1230" s="1429"/>
      <c r="F1230" s="1424"/>
      <c r="G1230" s="1428">
        <f>G1198</f>
        <v>0</v>
      </c>
      <c r="H1230" s="1423">
        <f t="shared" si="1774"/>
        <v>0</v>
      </c>
      <c r="I1230" s="1423">
        <f t="shared" si="1775"/>
        <v>0</v>
      </c>
      <c r="J1230" s="1423">
        <f t="shared" si="1776"/>
        <v>0</v>
      </c>
      <c r="K1230" s="1423">
        <f t="shared" si="1777"/>
        <v>0</v>
      </c>
      <c r="L1230" s="1423">
        <f t="shared" si="1778"/>
        <v>0</v>
      </c>
      <c r="M1230" s="1423">
        <f t="shared" si="1779"/>
        <v>0</v>
      </c>
      <c r="N1230" s="1423">
        <f t="shared" si="1780"/>
        <v>0</v>
      </c>
      <c r="O1230" s="1423">
        <f t="shared" si="1781"/>
        <v>0</v>
      </c>
      <c r="P1230" s="1423">
        <f t="shared" si="1782"/>
        <v>0</v>
      </c>
      <c r="Q1230" s="1423">
        <f t="shared" si="1783"/>
        <v>0</v>
      </c>
      <c r="R1230" s="1423">
        <f t="shared" si="1784"/>
        <v>0</v>
      </c>
      <c r="S1230" s="1423">
        <f t="shared" si="1785"/>
        <v>0</v>
      </c>
      <c r="T1230" s="1423">
        <f t="shared" si="1786"/>
        <v>0</v>
      </c>
      <c r="U1230" s="1423">
        <f t="shared" si="1787"/>
        <v>0</v>
      </c>
      <c r="V1230" s="1423">
        <f t="shared" si="1788"/>
        <v>0</v>
      </c>
      <c r="W1230" s="1423">
        <f t="shared" si="1789"/>
        <v>0</v>
      </c>
      <c r="X1230" s="152"/>
      <c r="Y1230" s="152"/>
      <c r="Z1230" s="152"/>
      <c r="AA1230" s="152"/>
      <c r="AB1230" s="152"/>
    </row>
    <row r="1231" spans="1:28" hidden="1" outlineLevel="1">
      <c r="A1231" s="152"/>
      <c r="B1231" s="190" t="str">
        <f t="shared" ca="1" si="1790"/>
        <v>RL Capex 2020-21</v>
      </c>
      <c r="C1231" s="1429"/>
      <c r="D1231" s="1429"/>
      <c r="E1231" s="1429"/>
      <c r="F1231" s="1429"/>
      <c r="G1231" s="1424"/>
      <c r="H1231" s="1428">
        <f>H1198</f>
        <v>0</v>
      </c>
      <c r="I1231" s="1423">
        <f t="shared" si="1775"/>
        <v>0</v>
      </c>
      <c r="J1231" s="1423">
        <f t="shared" si="1776"/>
        <v>0</v>
      </c>
      <c r="K1231" s="1423">
        <f t="shared" si="1777"/>
        <v>0</v>
      </c>
      <c r="L1231" s="1423">
        <f t="shared" si="1778"/>
        <v>0</v>
      </c>
      <c r="M1231" s="1423">
        <f t="shared" si="1779"/>
        <v>0</v>
      </c>
      <c r="N1231" s="1423">
        <f t="shared" si="1780"/>
        <v>0</v>
      </c>
      <c r="O1231" s="1423">
        <f t="shared" si="1781"/>
        <v>0</v>
      </c>
      <c r="P1231" s="1423">
        <f t="shared" si="1782"/>
        <v>0</v>
      </c>
      <c r="Q1231" s="1423">
        <f t="shared" si="1783"/>
        <v>0</v>
      </c>
      <c r="R1231" s="1423">
        <f t="shared" si="1784"/>
        <v>0</v>
      </c>
      <c r="S1231" s="1423">
        <f t="shared" si="1785"/>
        <v>0</v>
      </c>
      <c r="T1231" s="1423">
        <f t="shared" si="1786"/>
        <v>0</v>
      </c>
      <c r="U1231" s="1423">
        <f t="shared" si="1787"/>
        <v>0</v>
      </c>
      <c r="V1231" s="1423">
        <f t="shared" si="1788"/>
        <v>0</v>
      </c>
      <c r="W1231" s="1423">
        <f t="shared" si="1789"/>
        <v>0</v>
      </c>
      <c r="X1231" s="152"/>
      <c r="Y1231" s="152"/>
      <c r="Z1231" s="152"/>
      <c r="AA1231" s="152"/>
      <c r="AB1231" s="152"/>
    </row>
    <row r="1232" spans="1:28" hidden="1" outlineLevel="1">
      <c r="A1232" s="152"/>
      <c r="B1232" s="190" t="str">
        <f t="shared" ca="1" si="1790"/>
        <v>RL Capex 2021-22</v>
      </c>
      <c r="C1232" s="1429"/>
      <c r="D1232" s="1429"/>
      <c r="E1232" s="1429"/>
      <c r="F1232" s="1429"/>
      <c r="G1232" s="1429"/>
      <c r="H1232" s="1424"/>
      <c r="I1232" s="1428">
        <f>I1198</f>
        <v>0</v>
      </c>
      <c r="J1232" s="1423">
        <f t="shared" si="1776"/>
        <v>0</v>
      </c>
      <c r="K1232" s="1423">
        <f t="shared" si="1777"/>
        <v>0</v>
      </c>
      <c r="L1232" s="1423">
        <f t="shared" si="1778"/>
        <v>0</v>
      </c>
      <c r="M1232" s="1423">
        <f t="shared" si="1779"/>
        <v>0</v>
      </c>
      <c r="N1232" s="1423">
        <f t="shared" si="1780"/>
        <v>0</v>
      </c>
      <c r="O1232" s="1423">
        <f t="shared" si="1781"/>
        <v>0</v>
      </c>
      <c r="P1232" s="1423">
        <f t="shared" si="1782"/>
        <v>0</v>
      </c>
      <c r="Q1232" s="1423">
        <f t="shared" si="1783"/>
        <v>0</v>
      </c>
      <c r="R1232" s="1423">
        <f t="shared" si="1784"/>
        <v>0</v>
      </c>
      <c r="S1232" s="1423">
        <f t="shared" si="1785"/>
        <v>0</v>
      </c>
      <c r="T1232" s="1423">
        <f t="shared" si="1786"/>
        <v>0</v>
      </c>
      <c r="U1232" s="1423">
        <f t="shared" si="1787"/>
        <v>0</v>
      </c>
      <c r="V1232" s="1423">
        <f t="shared" si="1788"/>
        <v>0</v>
      </c>
      <c r="W1232" s="1423">
        <f t="shared" si="1789"/>
        <v>0</v>
      </c>
      <c r="X1232" s="152"/>
      <c r="Y1232" s="152"/>
      <c r="Z1232" s="152"/>
      <c r="AA1232" s="152"/>
      <c r="AB1232" s="152"/>
    </row>
    <row r="1233" spans="1:28" hidden="1" outlineLevel="1">
      <c r="A1233" s="152"/>
      <c r="B1233" s="190" t="str">
        <f t="shared" ca="1" si="1790"/>
        <v>RL Capex 2022-23</v>
      </c>
      <c r="C1233" s="1429"/>
      <c r="D1233" s="1429"/>
      <c r="E1233" s="1429"/>
      <c r="F1233" s="1429"/>
      <c r="G1233" s="1429"/>
      <c r="H1233" s="1429"/>
      <c r="I1233" s="1424"/>
      <c r="J1233" s="1428">
        <f>J1198</f>
        <v>0</v>
      </c>
      <c r="K1233" s="1423">
        <f t="shared" si="1777"/>
        <v>0</v>
      </c>
      <c r="L1233" s="1423">
        <f t="shared" si="1778"/>
        <v>0</v>
      </c>
      <c r="M1233" s="1423">
        <f t="shared" si="1779"/>
        <v>0</v>
      </c>
      <c r="N1233" s="1423">
        <f t="shared" si="1780"/>
        <v>0</v>
      </c>
      <c r="O1233" s="1423">
        <f t="shared" si="1781"/>
        <v>0</v>
      </c>
      <c r="P1233" s="1423">
        <f t="shared" si="1782"/>
        <v>0</v>
      </c>
      <c r="Q1233" s="1423">
        <f t="shared" si="1783"/>
        <v>0</v>
      </c>
      <c r="R1233" s="1423">
        <f t="shared" si="1784"/>
        <v>0</v>
      </c>
      <c r="S1233" s="1423">
        <f t="shared" si="1785"/>
        <v>0</v>
      </c>
      <c r="T1233" s="1423">
        <f t="shared" si="1786"/>
        <v>0</v>
      </c>
      <c r="U1233" s="1423">
        <f t="shared" si="1787"/>
        <v>0</v>
      </c>
      <c r="V1233" s="1423">
        <f t="shared" si="1788"/>
        <v>0</v>
      </c>
      <c r="W1233" s="1423">
        <f t="shared" si="1789"/>
        <v>0</v>
      </c>
      <c r="X1233" s="152"/>
      <c r="Y1233" s="152"/>
      <c r="Z1233" s="152"/>
      <c r="AA1233" s="152"/>
      <c r="AB1233" s="152"/>
    </row>
    <row r="1234" spans="1:28" hidden="1" outlineLevel="1">
      <c r="A1234" s="152"/>
      <c r="B1234" s="190" t="str">
        <f t="shared" ca="1" si="1790"/>
        <v>RL Capex 2023-24</v>
      </c>
      <c r="C1234" s="1429"/>
      <c r="D1234" s="1429"/>
      <c r="E1234" s="1429"/>
      <c r="F1234" s="1429"/>
      <c r="G1234" s="1429"/>
      <c r="H1234" s="1429"/>
      <c r="I1234" s="1429"/>
      <c r="J1234" s="1424"/>
      <c r="K1234" s="1428">
        <f>K1198</f>
        <v>0</v>
      </c>
      <c r="L1234" s="1423">
        <f t="shared" si="1778"/>
        <v>0</v>
      </c>
      <c r="M1234" s="1423">
        <f t="shared" si="1779"/>
        <v>0</v>
      </c>
      <c r="N1234" s="1423">
        <f t="shared" si="1780"/>
        <v>0</v>
      </c>
      <c r="O1234" s="1423">
        <f t="shared" si="1781"/>
        <v>0</v>
      </c>
      <c r="P1234" s="1423">
        <f t="shared" si="1782"/>
        <v>0</v>
      </c>
      <c r="Q1234" s="1423">
        <f t="shared" si="1783"/>
        <v>0</v>
      </c>
      <c r="R1234" s="1423">
        <f t="shared" si="1784"/>
        <v>0</v>
      </c>
      <c r="S1234" s="1423">
        <f t="shared" si="1785"/>
        <v>0</v>
      </c>
      <c r="T1234" s="1423">
        <f t="shared" si="1786"/>
        <v>0</v>
      </c>
      <c r="U1234" s="1423">
        <f t="shared" si="1787"/>
        <v>0</v>
      </c>
      <c r="V1234" s="1423">
        <f t="shared" si="1788"/>
        <v>0</v>
      </c>
      <c r="W1234" s="1423">
        <f t="shared" si="1789"/>
        <v>0</v>
      </c>
      <c r="X1234" s="152"/>
      <c r="Y1234" s="152"/>
      <c r="Z1234" s="152"/>
      <c r="AA1234" s="152"/>
      <c r="AB1234" s="152"/>
    </row>
    <row r="1235" spans="1:28" hidden="1" outlineLevel="1">
      <c r="A1235" s="152"/>
      <c r="B1235" s="190" t="str">
        <f t="shared" ca="1" si="1790"/>
        <v>RL Capex 2024-25</v>
      </c>
      <c r="C1235" s="1429"/>
      <c r="D1235" s="1429"/>
      <c r="E1235" s="1429"/>
      <c r="F1235" s="1429"/>
      <c r="G1235" s="1429"/>
      <c r="H1235" s="1429"/>
      <c r="I1235" s="1429"/>
      <c r="J1235" s="1429"/>
      <c r="K1235" s="1424"/>
      <c r="L1235" s="1428">
        <f>L1198</f>
        <v>0</v>
      </c>
      <c r="M1235" s="1423">
        <f t="shared" si="1779"/>
        <v>0</v>
      </c>
      <c r="N1235" s="1423">
        <f t="shared" si="1780"/>
        <v>0</v>
      </c>
      <c r="O1235" s="1423">
        <f t="shared" si="1781"/>
        <v>0</v>
      </c>
      <c r="P1235" s="1423">
        <f t="shared" si="1782"/>
        <v>0</v>
      </c>
      <c r="Q1235" s="1423">
        <f t="shared" si="1783"/>
        <v>0</v>
      </c>
      <c r="R1235" s="1423">
        <f t="shared" si="1784"/>
        <v>0</v>
      </c>
      <c r="S1235" s="1423">
        <f t="shared" si="1785"/>
        <v>0</v>
      </c>
      <c r="T1235" s="1423">
        <f t="shared" si="1786"/>
        <v>0</v>
      </c>
      <c r="U1235" s="1423">
        <f t="shared" si="1787"/>
        <v>0</v>
      </c>
      <c r="V1235" s="1423">
        <f t="shared" si="1788"/>
        <v>0</v>
      </c>
      <c r="W1235" s="1423">
        <f t="shared" si="1789"/>
        <v>0</v>
      </c>
      <c r="X1235" s="152"/>
      <c r="Y1235" s="152"/>
      <c r="Z1235" s="152"/>
      <c r="AA1235" s="152"/>
      <c r="AB1235" s="152"/>
    </row>
    <row r="1236" spans="1:28" hidden="1" outlineLevel="1">
      <c r="A1236" s="152"/>
      <c r="B1236" s="190" t="str">
        <f t="shared" ca="1" si="1790"/>
        <v>RL Capex 2025-26</v>
      </c>
      <c r="C1236" s="1429"/>
      <c r="D1236" s="1429"/>
      <c r="E1236" s="1429"/>
      <c r="F1236" s="1429"/>
      <c r="G1236" s="1429"/>
      <c r="H1236" s="1429"/>
      <c r="I1236" s="1429"/>
      <c r="J1236" s="1429"/>
      <c r="K1236" s="1429"/>
      <c r="L1236" s="1424"/>
      <c r="M1236" s="1428">
        <f>M1198</f>
        <v>0</v>
      </c>
      <c r="N1236" s="1423">
        <f t="shared" si="1780"/>
        <v>0</v>
      </c>
      <c r="O1236" s="1423">
        <f t="shared" si="1781"/>
        <v>0</v>
      </c>
      <c r="P1236" s="1423">
        <f t="shared" si="1782"/>
        <v>0</v>
      </c>
      <c r="Q1236" s="1423">
        <f t="shared" si="1783"/>
        <v>0</v>
      </c>
      <c r="R1236" s="1423">
        <f t="shared" si="1784"/>
        <v>0</v>
      </c>
      <c r="S1236" s="1423">
        <f t="shared" si="1785"/>
        <v>0</v>
      </c>
      <c r="T1236" s="1423">
        <f t="shared" si="1786"/>
        <v>0</v>
      </c>
      <c r="U1236" s="1423">
        <f t="shared" si="1787"/>
        <v>0</v>
      </c>
      <c r="V1236" s="1423">
        <f t="shared" si="1788"/>
        <v>0</v>
      </c>
      <c r="W1236" s="1423">
        <f t="shared" si="1789"/>
        <v>0</v>
      </c>
      <c r="X1236" s="152"/>
      <c r="Y1236" s="152"/>
      <c r="Z1236" s="152"/>
      <c r="AA1236" s="152"/>
      <c r="AB1236" s="152"/>
    </row>
    <row r="1237" spans="1:28" hidden="1" outlineLevel="1">
      <c r="A1237" s="152"/>
      <c r="B1237" s="190" t="str">
        <f t="shared" ca="1" si="1790"/>
        <v>RL Capex 2026-27</v>
      </c>
      <c r="C1237" s="1429"/>
      <c r="D1237" s="1429"/>
      <c r="E1237" s="1429"/>
      <c r="F1237" s="1429"/>
      <c r="G1237" s="1429"/>
      <c r="H1237" s="1429"/>
      <c r="I1237" s="1429"/>
      <c r="J1237" s="1429"/>
      <c r="K1237" s="1429"/>
      <c r="L1237" s="1429"/>
      <c r="M1237" s="1424"/>
      <c r="N1237" s="1428">
        <f>N1198</f>
        <v>0</v>
      </c>
      <c r="O1237" s="1423">
        <f t="shared" si="1781"/>
        <v>0</v>
      </c>
      <c r="P1237" s="1423">
        <f t="shared" si="1782"/>
        <v>0</v>
      </c>
      <c r="Q1237" s="1423">
        <f t="shared" si="1783"/>
        <v>0</v>
      </c>
      <c r="R1237" s="1423">
        <f t="shared" si="1784"/>
        <v>0</v>
      </c>
      <c r="S1237" s="1423">
        <f t="shared" si="1785"/>
        <v>0</v>
      </c>
      <c r="T1237" s="1423">
        <f t="shared" si="1786"/>
        <v>0</v>
      </c>
      <c r="U1237" s="1423">
        <f t="shared" si="1787"/>
        <v>0</v>
      </c>
      <c r="V1237" s="1423">
        <f t="shared" si="1788"/>
        <v>0</v>
      </c>
      <c r="W1237" s="1423">
        <f t="shared" si="1789"/>
        <v>0</v>
      </c>
      <c r="X1237" s="152"/>
      <c r="Y1237" s="152"/>
      <c r="Z1237" s="152"/>
      <c r="AA1237" s="152"/>
      <c r="AB1237" s="152"/>
    </row>
    <row r="1238" spans="1:28" hidden="1" outlineLevel="1">
      <c r="A1238" s="152"/>
      <c r="B1238" s="190" t="str">
        <f t="shared" ca="1" si="1790"/>
        <v>RL Capex 2027-28</v>
      </c>
      <c r="C1238" s="1429"/>
      <c r="D1238" s="1429"/>
      <c r="E1238" s="1429"/>
      <c r="F1238" s="1429"/>
      <c r="G1238" s="1429"/>
      <c r="H1238" s="1429"/>
      <c r="I1238" s="1429"/>
      <c r="J1238" s="1429"/>
      <c r="K1238" s="1429"/>
      <c r="L1238" s="1429"/>
      <c r="M1238" s="1429"/>
      <c r="N1238" s="1424"/>
      <c r="O1238" s="1428">
        <f>O1198</f>
        <v>0</v>
      </c>
      <c r="P1238" s="1423">
        <f t="shared" si="1782"/>
        <v>0</v>
      </c>
      <c r="Q1238" s="1423">
        <f t="shared" si="1783"/>
        <v>0</v>
      </c>
      <c r="R1238" s="1423">
        <f t="shared" si="1784"/>
        <v>0</v>
      </c>
      <c r="S1238" s="1423">
        <f t="shared" si="1785"/>
        <v>0</v>
      </c>
      <c r="T1238" s="1423">
        <f t="shared" si="1786"/>
        <v>0</v>
      </c>
      <c r="U1238" s="1423">
        <f t="shared" si="1787"/>
        <v>0</v>
      </c>
      <c r="V1238" s="1423">
        <f t="shared" si="1788"/>
        <v>0</v>
      </c>
      <c r="W1238" s="1423">
        <f t="shared" si="1789"/>
        <v>0</v>
      </c>
      <c r="X1238" s="152"/>
      <c r="Y1238" s="152"/>
      <c r="Z1238" s="152"/>
      <c r="AA1238" s="152"/>
      <c r="AB1238" s="152"/>
    </row>
    <row r="1239" spans="1:28" hidden="1" outlineLevel="1">
      <c r="A1239" s="152"/>
      <c r="B1239" s="190" t="str">
        <f t="shared" ca="1" si="1790"/>
        <v>RL Capex 2028-29</v>
      </c>
      <c r="C1239" s="1429"/>
      <c r="D1239" s="1429"/>
      <c r="E1239" s="1429"/>
      <c r="F1239" s="1429"/>
      <c r="G1239" s="1429"/>
      <c r="H1239" s="1429"/>
      <c r="I1239" s="1429"/>
      <c r="J1239" s="1429"/>
      <c r="K1239" s="1429"/>
      <c r="L1239" s="1429"/>
      <c r="M1239" s="1429"/>
      <c r="N1239" s="1429"/>
      <c r="O1239" s="1424"/>
      <c r="P1239" s="1428">
        <f>P1198</f>
        <v>0</v>
      </c>
      <c r="Q1239" s="1423">
        <f t="shared" si="1783"/>
        <v>0</v>
      </c>
      <c r="R1239" s="1423">
        <f t="shared" si="1784"/>
        <v>0</v>
      </c>
      <c r="S1239" s="1423">
        <f t="shared" si="1785"/>
        <v>0</v>
      </c>
      <c r="T1239" s="1423">
        <f t="shared" si="1786"/>
        <v>0</v>
      </c>
      <c r="U1239" s="1423">
        <f t="shared" si="1787"/>
        <v>0</v>
      </c>
      <c r="V1239" s="1423">
        <f t="shared" si="1788"/>
        <v>0</v>
      </c>
      <c r="W1239" s="1423">
        <f t="shared" si="1789"/>
        <v>0</v>
      </c>
      <c r="X1239" s="152"/>
      <c r="Y1239" s="152"/>
      <c r="Z1239" s="152"/>
      <c r="AA1239" s="152"/>
      <c r="AB1239" s="152"/>
    </row>
    <row r="1240" spans="1:28" hidden="1" outlineLevel="1">
      <c r="A1240" s="152"/>
      <c r="B1240" s="190" t="str">
        <f t="shared" ca="1" si="1790"/>
        <v>RL Capex 2029-30</v>
      </c>
      <c r="C1240" s="1429"/>
      <c r="D1240" s="1429"/>
      <c r="E1240" s="1429"/>
      <c r="F1240" s="1429"/>
      <c r="G1240" s="1429"/>
      <c r="H1240" s="1429"/>
      <c r="I1240" s="1429"/>
      <c r="J1240" s="1429"/>
      <c r="K1240" s="1429"/>
      <c r="L1240" s="1429"/>
      <c r="M1240" s="1429"/>
      <c r="N1240" s="1429"/>
      <c r="O1240" s="1429"/>
      <c r="P1240" s="1424"/>
      <c r="Q1240" s="1428">
        <f>Q1198</f>
        <v>0</v>
      </c>
      <c r="R1240" s="1423">
        <f t="shared" si="1784"/>
        <v>0</v>
      </c>
      <c r="S1240" s="1423">
        <f t="shared" si="1785"/>
        <v>0</v>
      </c>
      <c r="T1240" s="1423">
        <f t="shared" si="1786"/>
        <v>0</v>
      </c>
      <c r="U1240" s="1423">
        <f t="shared" si="1787"/>
        <v>0</v>
      </c>
      <c r="V1240" s="1423">
        <f t="shared" si="1788"/>
        <v>0</v>
      </c>
      <c r="W1240" s="1423">
        <f t="shared" si="1789"/>
        <v>0</v>
      </c>
      <c r="X1240" s="152"/>
      <c r="Y1240" s="152"/>
      <c r="Z1240" s="152"/>
      <c r="AA1240" s="152"/>
      <c r="AB1240" s="152"/>
    </row>
    <row r="1241" spans="1:28" hidden="1" outlineLevel="1">
      <c r="A1241" s="152"/>
      <c r="B1241" s="190" t="str">
        <f t="shared" ca="1" si="1790"/>
        <v>RL Capex 2030-31</v>
      </c>
      <c r="C1241" s="1429"/>
      <c r="D1241" s="1429"/>
      <c r="E1241" s="1429"/>
      <c r="F1241" s="1429"/>
      <c r="G1241" s="1429"/>
      <c r="H1241" s="1429"/>
      <c r="I1241" s="1429"/>
      <c r="J1241" s="1429"/>
      <c r="K1241" s="1429"/>
      <c r="L1241" s="1429"/>
      <c r="M1241" s="1429"/>
      <c r="N1241" s="1429"/>
      <c r="O1241" s="1429"/>
      <c r="P1241" s="1429"/>
      <c r="Q1241" s="1424"/>
      <c r="R1241" s="1428">
        <f>R1198</f>
        <v>0</v>
      </c>
      <c r="S1241" s="1423">
        <f t="shared" si="1785"/>
        <v>0</v>
      </c>
      <c r="T1241" s="1423">
        <f t="shared" si="1786"/>
        <v>0</v>
      </c>
      <c r="U1241" s="1423">
        <f t="shared" si="1787"/>
        <v>0</v>
      </c>
      <c r="V1241" s="1423">
        <f t="shared" si="1788"/>
        <v>0</v>
      </c>
      <c r="W1241" s="1423">
        <f t="shared" si="1789"/>
        <v>0</v>
      </c>
      <c r="X1241" s="152"/>
      <c r="Y1241" s="152"/>
      <c r="Z1241" s="152"/>
      <c r="AA1241" s="152"/>
      <c r="AB1241" s="152"/>
    </row>
    <row r="1242" spans="1:28" hidden="1" outlineLevel="1">
      <c r="A1242" s="152"/>
      <c r="B1242" s="190" t="str">
        <f t="shared" ca="1" si="1790"/>
        <v>RL Capex 2031-32</v>
      </c>
      <c r="C1242" s="1429"/>
      <c r="D1242" s="1429"/>
      <c r="E1242" s="1429"/>
      <c r="F1242" s="1429"/>
      <c r="G1242" s="1429"/>
      <c r="H1242" s="1429"/>
      <c r="I1242" s="1429"/>
      <c r="J1242" s="1429"/>
      <c r="K1242" s="1429"/>
      <c r="L1242" s="1429"/>
      <c r="M1242" s="1429"/>
      <c r="N1242" s="1429"/>
      <c r="O1242" s="1429"/>
      <c r="P1242" s="1429"/>
      <c r="Q1242" s="1429"/>
      <c r="R1242" s="1424"/>
      <c r="S1242" s="1428">
        <f>S1198</f>
        <v>0</v>
      </c>
      <c r="T1242" s="1423">
        <f t="shared" si="1786"/>
        <v>0</v>
      </c>
      <c r="U1242" s="1423">
        <f t="shared" si="1787"/>
        <v>0</v>
      </c>
      <c r="V1242" s="1423">
        <f t="shared" si="1788"/>
        <v>0</v>
      </c>
      <c r="W1242" s="1423">
        <f t="shared" si="1789"/>
        <v>0</v>
      </c>
      <c r="X1242" s="152"/>
      <c r="Y1242" s="152"/>
      <c r="Z1242" s="152"/>
      <c r="AA1242" s="152"/>
      <c r="AB1242" s="152"/>
    </row>
    <row r="1243" spans="1:28" hidden="1" outlineLevel="1">
      <c r="A1243" s="152"/>
      <c r="B1243" s="190" t="str">
        <f t="shared" ca="1" si="1790"/>
        <v>RL Capex 2032-33</v>
      </c>
      <c r="C1243" s="1429"/>
      <c r="D1243" s="1429"/>
      <c r="E1243" s="1429"/>
      <c r="F1243" s="1429"/>
      <c r="G1243" s="1429"/>
      <c r="H1243" s="1429"/>
      <c r="I1243" s="1429"/>
      <c r="J1243" s="1429"/>
      <c r="K1243" s="1429"/>
      <c r="L1243" s="1429"/>
      <c r="M1243" s="1429"/>
      <c r="N1243" s="1429"/>
      <c r="O1243" s="1429"/>
      <c r="P1243" s="1429"/>
      <c r="Q1243" s="1429"/>
      <c r="R1243" s="1429"/>
      <c r="S1243" s="1424"/>
      <c r="T1243" s="1428">
        <f>T1198</f>
        <v>0</v>
      </c>
      <c r="U1243" s="1423">
        <f t="shared" si="1787"/>
        <v>0</v>
      </c>
      <c r="V1243" s="1423">
        <f t="shared" si="1788"/>
        <v>0</v>
      </c>
      <c r="W1243" s="1423">
        <f t="shared" si="1789"/>
        <v>0</v>
      </c>
      <c r="X1243" s="152"/>
      <c r="Y1243" s="152"/>
      <c r="Z1243" s="152"/>
      <c r="AA1243" s="152"/>
      <c r="AB1243" s="152"/>
    </row>
    <row r="1244" spans="1:28" hidden="1" outlineLevel="1">
      <c r="A1244" s="152"/>
      <c r="B1244" s="190" t="str">
        <f t="shared" ca="1" si="1790"/>
        <v>RL Capex 2033-34</v>
      </c>
      <c r="C1244" s="1429"/>
      <c r="D1244" s="1429"/>
      <c r="E1244" s="1429"/>
      <c r="F1244" s="1429"/>
      <c r="G1244" s="1429"/>
      <c r="H1244" s="1429"/>
      <c r="I1244" s="1429"/>
      <c r="J1244" s="1429"/>
      <c r="K1244" s="1429"/>
      <c r="L1244" s="1429"/>
      <c r="M1244" s="1429"/>
      <c r="N1244" s="1429"/>
      <c r="O1244" s="1429"/>
      <c r="P1244" s="1429"/>
      <c r="Q1244" s="1429"/>
      <c r="R1244" s="1429"/>
      <c r="S1244" s="1429"/>
      <c r="T1244" s="1424"/>
      <c r="U1244" s="1428">
        <f>U1198</f>
        <v>0</v>
      </c>
      <c r="V1244" s="1423">
        <f t="shared" si="1788"/>
        <v>0</v>
      </c>
      <c r="W1244" s="1423">
        <f t="shared" si="1789"/>
        <v>0</v>
      </c>
      <c r="X1244" s="152"/>
      <c r="Y1244" s="152"/>
      <c r="Z1244" s="152"/>
      <c r="AA1244" s="152"/>
      <c r="AB1244" s="152"/>
    </row>
    <row r="1245" spans="1:28" hidden="1" outlineLevel="1">
      <c r="A1245" s="152"/>
      <c r="B1245" s="190" t="str">
        <f t="shared" ca="1" si="1790"/>
        <v>RL Capex 2034-35</v>
      </c>
      <c r="C1245" s="1429"/>
      <c r="D1245" s="1429"/>
      <c r="E1245" s="1429"/>
      <c r="F1245" s="1429"/>
      <c r="G1245" s="1429"/>
      <c r="H1245" s="1429"/>
      <c r="I1245" s="1429"/>
      <c r="J1245" s="1429"/>
      <c r="K1245" s="1429"/>
      <c r="L1245" s="1429"/>
      <c r="M1245" s="1429"/>
      <c r="N1245" s="1429"/>
      <c r="O1245" s="1429"/>
      <c r="P1245" s="1429"/>
      <c r="Q1245" s="1429"/>
      <c r="R1245" s="1429"/>
      <c r="S1245" s="1429"/>
      <c r="T1245" s="1429"/>
      <c r="U1245" s="1424"/>
      <c r="V1245" s="1428">
        <f>V1198</f>
        <v>0</v>
      </c>
      <c r="W1245" s="1423">
        <f>IF(V1245="n/a","n/a",MAX(0,V1245-1))</f>
        <v>0</v>
      </c>
      <c r="X1245" s="152"/>
      <c r="Y1245" s="152"/>
      <c r="Z1245" s="152"/>
      <c r="AA1245" s="152"/>
      <c r="AB1245" s="152"/>
    </row>
    <row r="1246" spans="1:28" hidden="1" outlineLevel="1">
      <c r="A1246" s="152"/>
      <c r="B1246" s="190" t="str">
        <f t="shared" ca="1" si="1790"/>
        <v>RL Capex 2035-36</v>
      </c>
      <c r="C1246" s="1429"/>
      <c r="D1246" s="1429"/>
      <c r="E1246" s="1429"/>
      <c r="F1246" s="1429"/>
      <c r="G1246" s="1429"/>
      <c r="H1246" s="1429"/>
      <c r="I1246" s="1429"/>
      <c r="J1246" s="1429"/>
      <c r="K1246" s="1429"/>
      <c r="L1246" s="1429"/>
      <c r="M1246" s="1429"/>
      <c r="N1246" s="1429"/>
      <c r="O1246" s="1429"/>
      <c r="P1246" s="1429"/>
      <c r="Q1246" s="1429"/>
      <c r="R1246" s="1429"/>
      <c r="S1246" s="1429"/>
      <c r="T1246" s="1429"/>
      <c r="U1246" s="1429"/>
      <c r="V1246" s="1424"/>
      <c r="W1246" s="1423">
        <f>W1198</f>
        <v>0</v>
      </c>
      <c r="X1246" s="152"/>
      <c r="Y1246" s="152"/>
      <c r="Z1246" s="152"/>
      <c r="AA1246" s="152"/>
      <c r="AB1246" s="152"/>
    </row>
    <row r="1247" spans="1:28" hidden="1" outlineLevel="1">
      <c r="A1247" s="152"/>
      <c r="B1247" s="200"/>
      <c r="C1247" s="1423"/>
      <c r="D1247" s="1423"/>
      <c r="E1247" s="1423"/>
      <c r="F1247" s="1423"/>
      <c r="G1247" s="1423"/>
      <c r="H1247" s="1423"/>
      <c r="I1247" s="1423"/>
      <c r="J1247" s="1423"/>
      <c r="K1247" s="1423"/>
      <c r="L1247" s="1423"/>
      <c r="M1247" s="1423"/>
      <c r="N1247" s="1423"/>
      <c r="O1247" s="1423"/>
      <c r="P1247" s="1423"/>
      <c r="Q1247" s="1423"/>
      <c r="R1247" s="1423"/>
      <c r="S1247" s="1423"/>
      <c r="T1247" s="1423"/>
      <c r="U1247" s="1423"/>
      <c r="V1247" s="1423"/>
      <c r="W1247" s="1423"/>
      <c r="X1247" s="152"/>
      <c r="Y1247" s="152"/>
      <c r="Z1247" s="152"/>
      <c r="AA1247" s="152"/>
      <c r="AB1247" s="152"/>
    </row>
    <row r="1248" spans="1:28" collapsed="1">
      <c r="A1248" s="194"/>
      <c r="B1248" s="204" t="s">
        <v>123</v>
      </c>
      <c r="C1248" s="1430">
        <f ca="1">(IF(OR($C1198&lt;&gt;"n/a",C1198&lt;&gt;"n/a"),IF(SUM(C1201:C1223)=0,0,IF((SUMPRODUCT(C1201:C1223,C1225:C1247)/SUM(C1201:C1223))&lt;0,1,(SUMPRODUCT(C1201:C1223,C1225:C1247)/SUM(C1201:C1223)))),"n/a"))</f>
        <v>0</v>
      </c>
      <c r="D1248" s="1430">
        <f ca="1">(IF(OR($C1198&lt;&gt;"n/a",D1198&lt;&gt;"n/a"),IF(SUM(D1201:D1223)=0,0,IF((SUMPRODUCT(D1201:D1223,D1225:D1247)/SUM(D1201:D1223))&lt;0,1,(SUMPRODUCT(D1201:D1223,D1225:D1247)/SUM(D1201:D1223)))),"n/a"))</f>
        <v>0</v>
      </c>
      <c r="E1248" s="1430">
        <f t="shared" ref="E1248:W1248" ca="1" si="1791">(IF(OR($C1198&lt;&gt;"n/a",E1198&lt;&gt;"n/a"),IF(SUM(E1201:E1223)=0,0,IF((SUMPRODUCT(E1201:E1223,E1225:E1247)/SUM(E1201:E1223))&lt;0,1,(SUMPRODUCT(E1201:E1223,E1225:E1247)/SUM(E1201:E1223)))),"n/a"))</f>
        <v>0</v>
      </c>
      <c r="F1248" s="1430">
        <f t="shared" ca="1" si="1791"/>
        <v>0</v>
      </c>
      <c r="G1248" s="1430">
        <f t="shared" ca="1" si="1791"/>
        <v>0</v>
      </c>
      <c r="H1248" s="1430">
        <f t="shared" ca="1" si="1791"/>
        <v>0</v>
      </c>
      <c r="I1248" s="1430">
        <f t="shared" ca="1" si="1791"/>
        <v>0</v>
      </c>
      <c r="J1248" s="1430">
        <f t="shared" ca="1" si="1791"/>
        <v>0</v>
      </c>
      <c r="K1248" s="1430">
        <f t="shared" ca="1" si="1791"/>
        <v>0</v>
      </c>
      <c r="L1248" s="1430">
        <f t="shared" ca="1" si="1791"/>
        <v>0</v>
      </c>
      <c r="M1248" s="1430">
        <f t="shared" ca="1" si="1791"/>
        <v>0</v>
      </c>
      <c r="N1248" s="1430">
        <f t="shared" ca="1" si="1791"/>
        <v>0</v>
      </c>
      <c r="O1248" s="1430">
        <f t="shared" ca="1" si="1791"/>
        <v>0</v>
      </c>
      <c r="P1248" s="1430">
        <f t="shared" ca="1" si="1791"/>
        <v>0</v>
      </c>
      <c r="Q1248" s="1430">
        <f t="shared" ca="1" si="1791"/>
        <v>0</v>
      </c>
      <c r="R1248" s="1430">
        <f t="shared" ca="1" si="1791"/>
        <v>0</v>
      </c>
      <c r="S1248" s="1430">
        <f t="shared" ca="1" si="1791"/>
        <v>0</v>
      </c>
      <c r="T1248" s="1430">
        <f t="shared" ca="1" si="1791"/>
        <v>0</v>
      </c>
      <c r="U1248" s="1430">
        <f t="shared" ca="1" si="1791"/>
        <v>0</v>
      </c>
      <c r="V1248" s="1430">
        <f t="shared" ca="1" si="1791"/>
        <v>0</v>
      </c>
      <c r="W1248" s="1430">
        <f t="shared" ca="1" si="1791"/>
        <v>0</v>
      </c>
      <c r="X1248" s="152"/>
      <c r="Y1248" s="152"/>
      <c r="Z1248" s="152"/>
      <c r="AA1248" s="152"/>
      <c r="AB1248" s="152"/>
    </row>
    <row r="1249" spans="1:28">
      <c r="A1249" s="152"/>
      <c r="B1249" s="152"/>
      <c r="C1249" s="1423"/>
      <c r="D1249" s="1423"/>
      <c r="E1249" s="1423"/>
      <c r="F1249" s="1423"/>
      <c r="G1249" s="1423"/>
      <c r="H1249" s="1423"/>
      <c r="I1249" s="1423"/>
      <c r="J1249" s="1423"/>
      <c r="K1249" s="1423"/>
      <c r="L1249" s="1423"/>
      <c r="M1249" s="1423"/>
      <c r="N1249" s="1423"/>
      <c r="O1249" s="1423"/>
      <c r="P1249" s="1423"/>
      <c r="Q1249" s="1423"/>
      <c r="R1249" s="1423"/>
      <c r="S1249" s="1423"/>
      <c r="T1249" s="1423"/>
      <c r="U1249" s="1423"/>
      <c r="V1249" s="1423"/>
      <c r="W1249" s="1423"/>
      <c r="X1249" s="152"/>
      <c r="Y1249" s="152"/>
      <c r="Z1249" s="152"/>
      <c r="AA1249" s="152"/>
      <c r="AB1249" s="152"/>
    </row>
    <row r="1250" spans="1:28">
      <c r="A1250" s="269" t="s">
        <v>58</v>
      </c>
      <c r="B1250" s="270">
        <f>VLOOKUP($A1250,'RFM input'!$E$7:$F$56,2,FALSE)</f>
        <v>0</v>
      </c>
      <c r="C1250" s="1431"/>
      <c r="D1250" s="1431"/>
      <c r="E1250" s="1432"/>
      <c r="F1250" s="1432"/>
      <c r="G1250" s="1432"/>
      <c r="H1250" s="1432"/>
      <c r="I1250" s="1432"/>
      <c r="J1250" s="1432"/>
      <c r="K1250" s="1432"/>
      <c r="L1250" s="1432"/>
      <c r="M1250" s="1432"/>
      <c r="N1250" s="1432"/>
      <c r="O1250" s="1432"/>
      <c r="P1250" s="1432"/>
      <c r="Q1250" s="1432"/>
      <c r="R1250" s="1432"/>
      <c r="S1250" s="1432"/>
      <c r="T1250" s="1432"/>
      <c r="U1250" s="1432"/>
      <c r="V1250" s="1432"/>
      <c r="W1250" s="1432"/>
      <c r="X1250" s="152"/>
      <c r="Y1250" s="152"/>
      <c r="Z1250" s="152"/>
      <c r="AA1250" s="152"/>
      <c r="AB1250" s="152"/>
    </row>
    <row r="1251" spans="1:28">
      <c r="A1251" s="215">
        <f>VALUE(REPLACE(A1250,1,12,""))</f>
        <v>24</v>
      </c>
      <c r="B1251" s="193" t="s">
        <v>126</v>
      </c>
      <c r="C1251" s="1416">
        <f ca="1">IF($D$6='TAB roll forward'!$H$4,OFFSET('TAB roll forward'!$H$7,A1251,0),"enter input")</f>
        <v>0</v>
      </c>
      <c r="D1251" s="1417">
        <f>IF(LEFT(D$6,4)&lt;LEFT('RFM input'!$G$60,4),"enter input",IF(LEFT(D$6,4)&gt;LEFT('RFM input'!$Q$60,4),0,
INDEX('RFM input'!$G$61:$Q$110,$A1251,MATCH(D$6,'RFM input'!$G$60:$Q$60,0))
   -INDEX('RFM input'!$G$115:$Q$164,$A1251,MATCH(D$6,'RFM input'!$G$60:$Q$60,0))))</f>
        <v>0</v>
      </c>
      <c r="E1251" s="1417">
        <f>IF(LEFT(E$6,4)&lt;LEFT('RFM input'!$G$60,4),"enter input",IF(LEFT(E$6,4)&gt;LEFT('RFM input'!$Q$60,4),0,
INDEX('RFM input'!$G$61:$Q$110,$A1251,MATCH(E$6,'RFM input'!$G$60:$Q$60,0))
   -INDEX('RFM input'!$G$115:$Q$164,$A1251,MATCH(E$6,'RFM input'!$G$60:$Q$60,0))))</f>
        <v>0</v>
      </c>
      <c r="F1251" s="1417">
        <f>IF(LEFT(F$6,4)&lt;LEFT('RFM input'!$G$60,4),"enter input",IF(LEFT(F$6,4)&gt;LEFT('RFM input'!$Q$60,4),0,
INDEX('RFM input'!$G$61:$Q$110,$A1251,MATCH(F$6,'RFM input'!$G$60:$Q$60,0))
   -INDEX('RFM input'!$G$115:$Q$164,$A1251,MATCH(F$6,'RFM input'!$G$60:$Q$60,0))))</f>
        <v>0</v>
      </c>
      <c r="G1251" s="1417">
        <f>IF(LEFT(G$6,4)&lt;LEFT('RFM input'!$G$60,4),"enter input",IF(LEFT(G$6,4)&gt;LEFT('RFM input'!$Q$60,4),0,
INDEX('RFM input'!$G$61:$Q$110,$A1251,MATCH(G$6,'RFM input'!$G$60:$Q$60,0))
   -INDEX('RFM input'!$G$115:$Q$164,$A1251,MATCH(G$6,'RFM input'!$G$60:$Q$60,0))))</f>
        <v>0</v>
      </c>
      <c r="H1251" s="1417">
        <f>IF(LEFT(H$6,4)&lt;LEFT('RFM input'!$G$60,4),"enter input",IF(LEFT(H$6,4)&gt;LEFT('RFM input'!$Q$60,4),0,
INDEX('RFM input'!$G$61:$Q$110,$A1251,MATCH(H$6,'RFM input'!$G$60:$Q$60,0))
   -INDEX('RFM input'!$G$115:$Q$164,$A1251,MATCH(H$6,'RFM input'!$G$60:$Q$60,0))))</f>
        <v>0</v>
      </c>
      <c r="I1251" s="1417">
        <f>IF(LEFT(I$6,4)&lt;LEFT('RFM input'!$G$60,4),"enter input",IF(LEFT(I$6,4)&gt;LEFT('RFM input'!$Q$60,4),0,
INDEX('RFM input'!$G$61:$Q$110,$A1251,MATCH(I$6,'RFM input'!$G$60:$Q$60,0))
   -INDEX('RFM input'!$G$115:$Q$164,$A1251,MATCH(I$6,'RFM input'!$G$60:$Q$60,0))))</f>
        <v>0</v>
      </c>
      <c r="J1251" s="1417">
        <f>IF(LEFT(J$6,4)&lt;LEFT('RFM input'!$G$60,4),"enter input",IF(LEFT(J$6,4)&gt;LEFT('RFM input'!$Q$60,4),0,
INDEX('RFM input'!$G$61:$Q$110,$A1251,MATCH(J$6,'RFM input'!$G$60:$Q$60,0))
   -INDEX('RFM input'!$G$115:$Q$164,$A1251,MATCH(J$6,'RFM input'!$G$60:$Q$60,0))))</f>
        <v>0</v>
      </c>
      <c r="K1251" s="1417">
        <f>IF(LEFT(K$6,4)&lt;LEFT('RFM input'!$G$60,4),"enter input",IF(LEFT(K$6,4)&gt;LEFT('RFM input'!$Q$60,4),0,
INDEX('RFM input'!$G$61:$Q$110,$A1251,MATCH(K$6,'RFM input'!$G$60:$Q$60,0))
   -INDEX('RFM input'!$G$115:$Q$164,$A1251,MATCH(K$6,'RFM input'!$G$60:$Q$60,0))))</f>
        <v>0</v>
      </c>
      <c r="L1251" s="1417">
        <f>IF(LEFT(L$6,4)&lt;LEFT('RFM input'!$G$60,4),"enter input",IF(LEFT(L$6,4)&gt;LEFT('RFM input'!$Q$60,4),0,
INDEX('RFM input'!$G$61:$Q$110,$A1251,MATCH(L$6,'RFM input'!$G$60:$Q$60,0))
   -INDEX('RFM input'!$G$115:$Q$164,$A1251,MATCH(L$6,'RFM input'!$G$60:$Q$60,0))))</f>
        <v>0</v>
      </c>
      <c r="M1251" s="1417">
        <f>IF(LEFT(M$6,4)&lt;LEFT('RFM input'!$G$60,4),"enter input",IF(LEFT(M$6,4)&gt;LEFT('RFM input'!$Q$60,4),0,
INDEX('RFM input'!$G$61:$Q$110,$A1251,MATCH(M$6,'RFM input'!$G$60:$Q$60,0))
   -INDEX('RFM input'!$G$115:$Q$164,$A1251,MATCH(M$6,'RFM input'!$G$60:$Q$60,0))))</f>
        <v>0</v>
      </c>
      <c r="N1251" s="1417">
        <f>IF(LEFT(N$6,4)&lt;LEFT('RFM input'!$G$60,4),"enter input",IF(LEFT(N$6,4)&gt;LEFT('RFM input'!$Q$60,4),0,
INDEX('RFM input'!$G$61:$Q$110,$A1251,MATCH(N$6,'RFM input'!$G$60:$Q$60,0))
   -INDEX('RFM input'!$G$115:$Q$164,$A1251,MATCH(N$6,'RFM input'!$G$60:$Q$60,0))))</f>
        <v>0</v>
      </c>
      <c r="O1251" s="1417">
        <f>IF(LEFT(O$6,4)&lt;LEFT('RFM input'!$G$60,4),"enter input",IF(LEFT(O$6,4)&gt;LEFT('RFM input'!$Q$60,4),0,
INDEX('RFM input'!$G$61:$Q$110,$A1251,MATCH(O$6,'RFM input'!$G$60:$Q$60,0))
   -INDEX('RFM input'!$G$115:$Q$164,$A1251,MATCH(O$6,'RFM input'!$G$60:$Q$60,0))))</f>
        <v>0</v>
      </c>
      <c r="P1251" s="1417">
        <f>IF(LEFT(P$6,4)&lt;LEFT('RFM input'!$G$60,4),"enter input",IF(LEFT(P$6,4)&gt;LEFT('RFM input'!$Q$60,4),0,
INDEX('RFM input'!$G$61:$Q$110,$A1251,MATCH(P$6,'RFM input'!$G$60:$Q$60,0))
   -INDEX('RFM input'!$G$115:$Q$164,$A1251,MATCH(P$6,'RFM input'!$G$60:$Q$60,0))))</f>
        <v>0</v>
      </c>
      <c r="Q1251" s="1417">
        <f>IF(LEFT(Q$6,4)&lt;LEFT('RFM input'!$G$60,4),"enter input",IF(LEFT(Q$6,4)&gt;LEFT('RFM input'!$Q$60,4),0,
INDEX('RFM input'!$G$61:$Q$110,$A1251,MATCH(Q$6,'RFM input'!$G$60:$Q$60,0))
   -INDEX('RFM input'!$G$115:$Q$164,$A1251,MATCH(Q$6,'RFM input'!$G$60:$Q$60,0))))</f>
        <v>0</v>
      </c>
      <c r="R1251" s="1417">
        <f>IF(LEFT(R$6,4)&lt;LEFT('RFM input'!$G$60,4),"enter input",IF(LEFT(R$6,4)&gt;LEFT('RFM input'!$Q$60,4),0,
INDEX('RFM input'!$G$61:$Q$110,$A1251,MATCH(R$6,'RFM input'!$G$60:$Q$60,0))
   -INDEX('RFM input'!$G$115:$Q$164,$A1251,MATCH(R$6,'RFM input'!$G$60:$Q$60,0))))</f>
        <v>0</v>
      </c>
      <c r="S1251" s="1417">
        <f>IF(LEFT(S$6,4)&lt;LEFT('RFM input'!$G$60,4),"enter input",IF(LEFT(S$6,4)&gt;LEFT('RFM input'!$Q$60,4),0,
INDEX('RFM input'!$G$61:$Q$110,$A1251,MATCH(S$6,'RFM input'!$G$60:$Q$60,0))
   -INDEX('RFM input'!$G$115:$Q$164,$A1251,MATCH(S$6,'RFM input'!$G$60:$Q$60,0))))</f>
        <v>0</v>
      </c>
      <c r="T1251" s="1417">
        <f>IF(LEFT(T$6,4)&lt;LEFT('RFM input'!$G$60,4),"enter input",IF(LEFT(T$6,4)&gt;LEFT('RFM input'!$Q$60,4),0,
INDEX('RFM input'!$G$61:$Q$110,$A1251,MATCH(T$6,'RFM input'!$G$60:$Q$60,0))
   -INDEX('RFM input'!$G$115:$Q$164,$A1251,MATCH(T$6,'RFM input'!$G$60:$Q$60,0))))</f>
        <v>0</v>
      </c>
      <c r="U1251" s="1417">
        <f>IF(LEFT(U$6,4)&lt;LEFT('RFM input'!$G$60,4),"enter input",IF(LEFT(U$6,4)&gt;LEFT('RFM input'!$Q$60,4),0,
INDEX('RFM input'!$G$61:$Q$110,$A1251,MATCH(U$6,'RFM input'!$G$60:$Q$60,0))
   -INDEX('RFM input'!$G$115:$Q$164,$A1251,MATCH(U$6,'RFM input'!$G$60:$Q$60,0))))</f>
        <v>0</v>
      </c>
      <c r="V1251" s="1417">
        <f>IF(LEFT(V$6,4)&lt;LEFT('RFM input'!$G$60,4),"enter input",IF(LEFT(V$6,4)&gt;LEFT('RFM input'!$Q$60,4),0,
INDEX('RFM input'!$G$61:$Q$110,$A1251,MATCH(V$6,'RFM input'!$G$60:$Q$60,0))
   -INDEX('RFM input'!$G$115:$Q$164,$A1251,MATCH(V$6,'RFM input'!$G$60:$Q$60,0))))</f>
        <v>0</v>
      </c>
      <c r="W1251" s="1417">
        <f>IF(LEFT(W$6,4)&lt;LEFT('RFM input'!$G$60,4),"enter input",IF(LEFT(W$6,4)&gt;LEFT('RFM input'!$Q$60,4),0,
INDEX('RFM input'!$G$61:$Q$110,$A1251,MATCH(W$6,'RFM input'!$G$60:$Q$60,0))
   -INDEX('RFM input'!$G$115:$Q$164,$A1251,MATCH(W$6,'RFM input'!$G$60:$Q$60,0))))</f>
        <v>0</v>
      </c>
      <c r="X1251" s="152"/>
      <c r="Y1251" s="152"/>
      <c r="Z1251" s="152"/>
      <c r="AA1251" s="152"/>
      <c r="AB1251" s="152"/>
    </row>
    <row r="1252" spans="1:28">
      <c r="A1252" s="152"/>
      <c r="B1252" s="152" t="s">
        <v>205</v>
      </c>
      <c r="C1252" s="1418">
        <f ca="1">IF($D$6='TAB roll forward'!$H$4,OFFSET('RFM input'!$S$6,$A1251,0),"enter input")</f>
        <v>0</v>
      </c>
      <c r="D1252" s="1417">
        <f>IF(LEFT(D$6,4)&lt;=LEFT('RFM input'!$G$60,4),"enter input",IF(LEFT(D$6,4)&gt;LEFT('RFM input'!$Q$60,4),0,
IF(MATCH(D$6,'RFM input'!$H$60:$Q$60,0),INDEX('RFM input'!$T$7:$T$56,$A1251,1,1))))</f>
        <v>0</v>
      </c>
      <c r="E1252" s="1417">
        <f>IF(LEFT(E$6,4)&lt;=LEFT('RFM input'!$G$60,4),"enter input",IF(LEFT(E$6,4)&gt;LEFT('RFM input'!$Q$60,4),0,
IF(MATCH(E$6,'RFM input'!$H$60:$Q$60,0),INDEX('RFM input'!$T$7:$T$56,$A1251,1,1))))</f>
        <v>0</v>
      </c>
      <c r="F1252" s="1417">
        <f>IF(LEFT(F$6,4)&lt;=LEFT('RFM input'!$G$60,4),"enter input",IF(LEFT(F$6,4)&gt;LEFT('RFM input'!$Q$60,4),0,
IF(MATCH(F$6,'RFM input'!$H$60:$Q$60,0),INDEX('RFM input'!$T$7:$T$56,$A1251,1,1))))</f>
        <v>0</v>
      </c>
      <c r="G1252" s="1417">
        <f>IF(LEFT(G$6,4)&lt;=LEFT('RFM input'!$G$60,4),"enter input",IF(LEFT(G$6,4)&gt;LEFT('RFM input'!$Q$60,4),0,
IF(MATCH(G$6,'RFM input'!$H$60:$Q$60,0),INDEX('RFM input'!$T$7:$T$56,$A1251,1,1))))</f>
        <v>0</v>
      </c>
      <c r="H1252" s="1417">
        <f>IF(LEFT(H$6,4)&lt;=LEFT('RFM input'!$G$60,4),"enter input",IF(LEFT(H$6,4)&gt;LEFT('RFM input'!$Q$60,4),0,
IF(MATCH(H$6,'RFM input'!$H$60:$Q$60,0),INDEX('RFM input'!$T$7:$T$56,$A1251,1,1))))</f>
        <v>0</v>
      </c>
      <c r="I1252" s="1417">
        <f>IF(LEFT(I$6,4)&lt;=LEFT('RFM input'!$G$60,4),"enter input",IF(LEFT(I$6,4)&gt;LEFT('RFM input'!$Q$60,4),0,
IF(MATCH(I$6,'RFM input'!$H$60:$Q$60,0),INDEX('RFM input'!$T$7:$T$56,$A1251,1,1))))</f>
        <v>0</v>
      </c>
      <c r="J1252" s="1417">
        <f>IF(LEFT(J$6,4)&lt;=LEFT('RFM input'!$G$60,4),"enter input",IF(LEFT(J$6,4)&gt;LEFT('RFM input'!$Q$60,4),0,
IF(MATCH(J$6,'RFM input'!$H$60:$Q$60,0),INDEX('RFM input'!$T$7:$T$56,$A1251,1,1))))</f>
        <v>0</v>
      </c>
      <c r="K1252" s="1417">
        <f>IF(LEFT(K$6,4)&lt;=LEFT('RFM input'!$G$60,4),"enter input",IF(LEFT(K$6,4)&gt;LEFT('RFM input'!$Q$60,4),0,
IF(MATCH(K$6,'RFM input'!$H$60:$Q$60,0),INDEX('RFM input'!$T$7:$T$56,$A1251,1,1))))</f>
        <v>0</v>
      </c>
      <c r="L1252" s="1417">
        <f>IF(LEFT(L$6,4)&lt;=LEFT('RFM input'!$G$60,4),"enter input",IF(LEFT(L$6,4)&gt;LEFT('RFM input'!$Q$60,4),0,
IF(MATCH(L$6,'RFM input'!$H$60:$Q$60,0),INDEX('RFM input'!$T$7:$T$56,$A1251,1,1))))</f>
        <v>0</v>
      </c>
      <c r="M1252" s="1417">
        <f>IF(LEFT(M$6,4)&lt;=LEFT('RFM input'!$G$60,4),"enter input",IF(LEFT(M$6,4)&gt;LEFT('RFM input'!$Q$60,4),0,
IF(MATCH(M$6,'RFM input'!$H$60:$Q$60,0),INDEX('RFM input'!$T$7:$T$56,$A1251,1,1))))</f>
        <v>0</v>
      </c>
      <c r="N1252" s="1417">
        <f>IF(LEFT(N$6,4)&lt;=LEFT('RFM input'!$G$60,4),"enter input",IF(LEFT(N$6,4)&gt;LEFT('RFM input'!$Q$60,4),0,
IF(MATCH(N$6,'RFM input'!$H$60:$Q$60,0),INDEX('RFM input'!$T$7:$T$56,$A1251,1,1))))</f>
        <v>0</v>
      </c>
      <c r="O1252" s="1417">
        <f>IF(LEFT(O$6,4)&lt;=LEFT('RFM input'!$G$60,4),"enter input",IF(LEFT(O$6,4)&gt;LEFT('RFM input'!$Q$60,4),0,
IF(MATCH(O$6,'RFM input'!$H$60:$Q$60,0),INDEX('RFM input'!$T$7:$T$56,$A1251,1,1))))</f>
        <v>0</v>
      </c>
      <c r="P1252" s="1417">
        <f>IF(LEFT(P$6,4)&lt;=LEFT('RFM input'!$G$60,4),"enter input",IF(LEFT(P$6,4)&gt;LEFT('RFM input'!$Q$60,4),0,
IF(MATCH(P$6,'RFM input'!$H$60:$Q$60,0),INDEX('RFM input'!$T$7:$T$56,$A1251,1,1))))</f>
        <v>0</v>
      </c>
      <c r="Q1252" s="1417">
        <f>IF(LEFT(Q$6,4)&lt;=LEFT('RFM input'!$G$60,4),"enter input",IF(LEFT(Q$6,4)&gt;LEFT('RFM input'!$Q$60,4),0,
IF(MATCH(Q$6,'RFM input'!$H$60:$Q$60,0),INDEX('RFM input'!$T$7:$T$56,$A1251,1,1))))</f>
        <v>0</v>
      </c>
      <c r="R1252" s="1417">
        <f>IF(LEFT(R$6,4)&lt;=LEFT('RFM input'!$G$60,4),"enter input",IF(LEFT(R$6,4)&gt;LEFT('RFM input'!$Q$60,4),0,
IF(MATCH(R$6,'RFM input'!$H$60:$Q$60,0),INDEX('RFM input'!$T$7:$T$56,$A1251,1,1))))</f>
        <v>0</v>
      </c>
      <c r="S1252" s="1417">
        <f>IF(LEFT(S$6,4)&lt;=LEFT('RFM input'!$G$60,4),"enter input",IF(LEFT(S$6,4)&gt;LEFT('RFM input'!$Q$60,4),0,
IF(MATCH(S$6,'RFM input'!$H$60:$Q$60,0),INDEX('RFM input'!$T$7:$T$56,$A1251,1,1))))</f>
        <v>0</v>
      </c>
      <c r="T1252" s="1417">
        <f>IF(LEFT(T$6,4)&lt;=LEFT('RFM input'!$G$60,4),"enter input",IF(LEFT(T$6,4)&gt;LEFT('RFM input'!$Q$60,4),0,
IF(MATCH(T$6,'RFM input'!$H$60:$Q$60,0),INDEX('RFM input'!$T$7:$T$56,$A1251,1,1))))</f>
        <v>0</v>
      </c>
      <c r="U1252" s="1417">
        <f>IF(LEFT(U$6,4)&lt;=LEFT('RFM input'!$G$60,4),"enter input",IF(LEFT(U$6,4)&gt;LEFT('RFM input'!$Q$60,4),0,
IF(MATCH(U$6,'RFM input'!$H$60:$Q$60,0),INDEX('RFM input'!$T$7:$T$56,$A1251,1,1))))</f>
        <v>0</v>
      </c>
      <c r="V1252" s="1417">
        <f>IF(LEFT(V$6,4)&lt;=LEFT('RFM input'!$G$60,4),"enter input",IF(LEFT(V$6,4)&gt;LEFT('RFM input'!$Q$60,4),0,
IF(MATCH(V$6,'RFM input'!$H$60:$Q$60,0),INDEX('RFM input'!$T$7:$T$56,$A1251,1,1))))</f>
        <v>0</v>
      </c>
      <c r="W1252" s="1417">
        <f>IF(LEFT(W$6,4)&lt;=LEFT('RFM input'!$G$60,4),"enter input",IF(LEFT(W$6,4)&gt;LEFT('RFM input'!$Q$60,4),0,
IF(MATCH(W$6,'RFM input'!$H$60:$Q$60,0),INDEX('RFM input'!$T$7:$T$56,$A1251,1,1))))</f>
        <v>0</v>
      </c>
      <c r="X1252" s="152"/>
      <c r="Y1252" s="152"/>
      <c r="Z1252" s="152"/>
      <c r="AA1252" s="152"/>
      <c r="AB1252" s="152"/>
    </row>
    <row r="1253" spans="1:28">
      <c r="A1253" s="152"/>
      <c r="B1253" s="193" t="s">
        <v>192</v>
      </c>
      <c r="C1253" s="1419"/>
      <c r="D1253" s="1420">
        <f ca="1">IF(LEFT(D$6,4)&lt;=LEFT('RFM input'!$G$60,4),"enter input",IF(LEFT(D$6,4)&gt;LEFT('RFM input'!$Q$60,4),0,
IF(D$6=(OFFSET('RFM input'!$G$60,0,'RFM input'!$V$7)),OFFSET('RFM input'!$H$411,$A1251,0),0)))</f>
        <v>0</v>
      </c>
      <c r="E1253" s="1417">
        <f ca="1">IF(LEFT(E$6,4)&lt;=LEFT('RFM input'!$G$60,4),"enter input",IF(LEFT(E$6,4)&gt;LEFT('RFM input'!$Q$60,4),0,
IF(E$6=(OFFSET('RFM input'!$G$60,0,'RFM input'!$V$7)),OFFSET('RFM input'!$H$411,$A1251,0),0)))</f>
        <v>0</v>
      </c>
      <c r="F1253" s="1417">
        <f ca="1">IF(LEFT(F$6,4)&lt;=LEFT('RFM input'!$G$60,4),"enter input",IF(LEFT(F$6,4)&gt;LEFT('RFM input'!$Q$60,4),0,
IF(F$6=(OFFSET('RFM input'!$G$60,0,'RFM input'!$V$7)),OFFSET('RFM input'!$H$411,$A1251,0),0)))</f>
        <v>0</v>
      </c>
      <c r="G1253" s="1417">
        <f ca="1">IF(LEFT(G$6,4)&lt;=LEFT('RFM input'!$G$60,4),"enter input",IF(LEFT(G$6,4)&gt;LEFT('RFM input'!$Q$60,4),0,
IF(G$6=(OFFSET('RFM input'!$G$60,0,'RFM input'!$V$7)),OFFSET('RFM input'!$H$411,$A1251,0),0)))</f>
        <v>0</v>
      </c>
      <c r="H1253" s="1417">
        <f ca="1">IF(LEFT(H$6,4)&lt;=LEFT('RFM input'!$G$60,4),"enter input",IF(LEFT(H$6,4)&gt;LEFT('RFM input'!$Q$60,4),0,
IF(H$6=(OFFSET('RFM input'!$G$60,0,'RFM input'!$V$7)),OFFSET('RFM input'!$H$411,$A1251,0),0)))</f>
        <v>0</v>
      </c>
      <c r="I1253" s="1417">
        <f ca="1">IF(LEFT(I$6,4)&lt;=LEFT('RFM input'!$G$60,4),"enter input",IF(LEFT(I$6,4)&gt;LEFT('RFM input'!$Q$60,4),0,
IF(I$6=(OFFSET('RFM input'!$G$60,0,'RFM input'!$V$7)),OFFSET('RFM input'!$H$411,$A1251,0),0)))</f>
        <v>0</v>
      </c>
      <c r="J1253" s="1417">
        <f ca="1">IF(LEFT(J$6,4)&lt;=LEFT('RFM input'!$G$60,4),"enter input",IF(LEFT(J$6,4)&gt;LEFT('RFM input'!$Q$60,4),0,
IF(J$6=(OFFSET('RFM input'!$G$60,0,'RFM input'!$V$7)),OFFSET('RFM input'!$H$411,$A1251,0),0)))</f>
        <v>0</v>
      </c>
      <c r="K1253" s="1417">
        <f ca="1">IF(LEFT(K$6,4)&lt;=LEFT('RFM input'!$G$60,4),"enter input",IF(LEFT(K$6,4)&gt;LEFT('RFM input'!$Q$60,4),0,
IF(K$6=(OFFSET('RFM input'!$G$60,0,'RFM input'!$V$7)),OFFSET('RFM input'!$H$411,$A1251,0),0)))</f>
        <v>0</v>
      </c>
      <c r="L1253" s="1417">
        <f ca="1">IF(LEFT(L$6,4)&lt;=LEFT('RFM input'!$G$60,4),"enter input",IF(LEFT(L$6,4)&gt;LEFT('RFM input'!$Q$60,4),0,
IF(L$6=(OFFSET('RFM input'!$G$60,0,'RFM input'!$V$7)),OFFSET('RFM input'!$H$411,$A1251,0),0)))</f>
        <v>0</v>
      </c>
      <c r="M1253" s="1417">
        <f ca="1">IF(LEFT(M$6,4)&lt;=LEFT('RFM input'!$G$60,4),"enter input",IF(LEFT(M$6,4)&gt;LEFT('RFM input'!$Q$60,4),0,
IF(M$6=(OFFSET('RFM input'!$G$60,0,'RFM input'!$V$7)),OFFSET('RFM input'!$H$411,$A1251,0),0)))</f>
        <v>0</v>
      </c>
      <c r="N1253" s="1417">
        <f ca="1">IF(LEFT(N$6,4)&lt;=LEFT('RFM input'!$G$60,4),"enter input",IF(LEFT(N$6,4)&gt;LEFT('RFM input'!$Q$60,4),0,
IF(N$6=(OFFSET('RFM input'!$G$60,0,'RFM input'!$V$7)),OFFSET('RFM input'!$H$411,$A1251,0),0)))</f>
        <v>0</v>
      </c>
      <c r="O1253" s="1417">
        <f ca="1">IF(LEFT(O$6,4)&lt;=LEFT('RFM input'!$G$60,4),"enter input",IF(LEFT(O$6,4)&gt;LEFT('RFM input'!$Q$60,4),0,
IF(O$6=(OFFSET('RFM input'!$G$60,0,'RFM input'!$V$7)),OFFSET('RFM input'!$H$411,$A1251,0),0)))</f>
        <v>0</v>
      </c>
      <c r="P1253" s="1417">
        <f ca="1">IF(LEFT(P$6,4)&lt;=LEFT('RFM input'!$G$60,4),"enter input",IF(LEFT(P$6,4)&gt;LEFT('RFM input'!$Q$60,4),0,
IF(P$6=(OFFSET('RFM input'!$G$60,0,'RFM input'!$V$7)),OFFSET('RFM input'!$H$411,$A1251,0),0)))</f>
        <v>0</v>
      </c>
      <c r="Q1253" s="1417">
        <f ca="1">IF(LEFT(Q$6,4)&lt;=LEFT('RFM input'!$G$60,4),"enter input",IF(LEFT(Q$6,4)&gt;LEFT('RFM input'!$Q$60,4),0,
IF(Q$6=(OFFSET('RFM input'!$G$60,0,'RFM input'!$V$7)),OFFSET('RFM input'!$H$411,$A1251,0),0)))</f>
        <v>0</v>
      </c>
      <c r="R1253" s="1417">
        <f ca="1">IF(LEFT(R$6,4)&lt;=LEFT('RFM input'!$G$60,4),"enter input",IF(LEFT(R$6,4)&gt;LEFT('RFM input'!$Q$60,4),0,
IF(R$6=(OFFSET('RFM input'!$G$60,0,'RFM input'!$V$7)),OFFSET('RFM input'!$H$411,$A1251,0),0)))</f>
        <v>0</v>
      </c>
      <c r="S1253" s="1417">
        <f ca="1">IF(LEFT(S$6,4)&lt;=LEFT('RFM input'!$G$60,4),"enter input",IF(LEFT(S$6,4)&gt;LEFT('RFM input'!$Q$60,4),0,
IF(S$6=(OFFSET('RFM input'!$G$60,0,'RFM input'!$V$7)),OFFSET('RFM input'!$H$411,$A1251,0),0)))</f>
        <v>0</v>
      </c>
      <c r="T1253" s="1417">
        <f ca="1">IF(LEFT(T$6,4)&lt;=LEFT('RFM input'!$G$60,4),"enter input",IF(LEFT(T$6,4)&gt;LEFT('RFM input'!$Q$60,4),0,
IF(T$6=(OFFSET('RFM input'!$G$60,0,'RFM input'!$V$7)),OFFSET('RFM input'!$H$411,$A1251,0),0)))</f>
        <v>0</v>
      </c>
      <c r="U1253" s="1417">
        <f ca="1">IF(LEFT(U$6,4)&lt;=LEFT('RFM input'!$G$60,4),"enter input",IF(LEFT(U$6,4)&gt;LEFT('RFM input'!$Q$60,4),0,
IF(U$6=(OFFSET('RFM input'!$G$60,0,'RFM input'!$V$7)),OFFSET('RFM input'!$H$411,$A1251,0),0)))</f>
        <v>0</v>
      </c>
      <c r="V1253" s="1417">
        <f ca="1">IF(LEFT(V$6,4)&lt;=LEFT('RFM input'!$G$60,4),"enter input",IF(LEFT(V$6,4)&gt;LEFT('RFM input'!$Q$60,4),0,
IF(V$6=(OFFSET('RFM input'!$G$60,0,'RFM input'!$V$7)),OFFSET('RFM input'!$H$411,$A1251,0),0)))</f>
        <v>0</v>
      </c>
      <c r="W1253" s="1417">
        <f ca="1">IF(LEFT(W$6,4)&lt;=LEFT('RFM input'!$G$60,4),"enter input",IF(LEFT(W$6,4)&gt;LEFT('RFM input'!$Q$60,4),0,
IF(W$6=(OFFSET('RFM input'!$G$60,0,'RFM input'!$V$7)),OFFSET('RFM input'!$H$411,$A1251,0),0)))</f>
        <v>0</v>
      </c>
      <c r="X1253" s="152"/>
      <c r="Y1253" s="152"/>
      <c r="Z1253" s="152"/>
      <c r="AA1253" s="152"/>
      <c r="AB1253" s="152"/>
    </row>
    <row r="1254" spans="1:28">
      <c r="A1254" s="152"/>
      <c r="B1254" s="193" t="s">
        <v>200</v>
      </c>
      <c r="C1254" s="1419"/>
      <c r="D1254" s="1418">
        <f ca="1">IF(LEFT(D$6,4)&lt;=LEFT('RFM input'!$G$60,4),"enter input",IF(LEFT(D$6,4)&gt;LEFT('RFM input'!$Q$60,4),0,
IF(D$6=(OFFSET('RFM input'!$G$60,0,'RFM input'!$V$7)),OFFSET('RFM input'!$J$411,$A1251,0),0)))</f>
        <v>0</v>
      </c>
      <c r="E1254" s="1422">
        <f ca="1">IF(LEFT(E$6,4)&lt;=LEFT('RFM input'!$G$60,4),"enter input",IF(LEFT(E$6,4)&gt;LEFT('RFM input'!$Q$60,4),0,
IF(E$6=(OFFSET('RFM input'!$G$60,0,'RFM input'!$V$7)),OFFSET('RFM input'!$J$411,$A1251,0),0)))</f>
        <v>0</v>
      </c>
      <c r="F1254" s="1422">
        <f ca="1">IF(LEFT(F$6,4)&lt;=LEFT('RFM input'!$G$60,4),"enter input",IF(LEFT(F$6,4)&gt;LEFT('RFM input'!$Q$60,4),0,
IF(F$6=(OFFSET('RFM input'!$G$60,0,'RFM input'!$V$7)),OFFSET('RFM input'!$J$411,$A1251,0),0)))</f>
        <v>0</v>
      </c>
      <c r="G1254" s="1422">
        <f ca="1">IF(LEFT(G$6,4)&lt;=LEFT('RFM input'!$G$60,4),"enter input",IF(LEFT(G$6,4)&gt;LEFT('RFM input'!$Q$60,4),0,
IF(G$6=(OFFSET('RFM input'!$G$60,0,'RFM input'!$V$7)),OFFSET('RFM input'!$J$411,$A1251,0),0)))</f>
        <v>0</v>
      </c>
      <c r="H1254" s="1422">
        <f ca="1">IF(LEFT(H$6,4)&lt;=LEFT('RFM input'!$G$60,4),"enter input",IF(LEFT(H$6,4)&gt;LEFT('RFM input'!$Q$60,4),0,
IF(H$6=(OFFSET('RFM input'!$G$60,0,'RFM input'!$V$7)),OFFSET('RFM input'!$J$411,$A1251,0),0)))</f>
        <v>0</v>
      </c>
      <c r="I1254" s="1422">
        <f ca="1">IF(LEFT(I$6,4)&lt;=LEFT('RFM input'!$G$60,4),"enter input",IF(LEFT(I$6,4)&gt;LEFT('RFM input'!$Q$60,4),0,
IF(I$6=(OFFSET('RFM input'!$G$60,0,'RFM input'!$V$7)),OFFSET('RFM input'!$J$411,$A1251,0),0)))</f>
        <v>0</v>
      </c>
      <c r="J1254" s="1422">
        <f ca="1">IF(LEFT(J$6,4)&lt;=LEFT('RFM input'!$G$60,4),"enter input",IF(LEFT(J$6,4)&gt;LEFT('RFM input'!$Q$60,4),0,
IF(J$6=(OFFSET('RFM input'!$G$60,0,'RFM input'!$V$7)),OFFSET('RFM input'!$J$411,$A1251,0),0)))</f>
        <v>0</v>
      </c>
      <c r="K1254" s="1422">
        <f ca="1">IF(LEFT(K$6,4)&lt;=LEFT('RFM input'!$G$60,4),"enter input",IF(LEFT(K$6,4)&gt;LEFT('RFM input'!$Q$60,4),0,
IF(K$6=(OFFSET('RFM input'!$G$60,0,'RFM input'!$V$7)),OFFSET('RFM input'!$J$411,$A1251,0),0)))</f>
        <v>0</v>
      </c>
      <c r="L1254" s="1422">
        <f ca="1">IF(LEFT(L$6,4)&lt;=LEFT('RFM input'!$G$60,4),"enter input",IF(LEFT(L$6,4)&gt;LEFT('RFM input'!$Q$60,4),0,
IF(L$6=(OFFSET('RFM input'!$G$60,0,'RFM input'!$V$7)),OFFSET('RFM input'!$J$411,$A1251,0),0)))</f>
        <v>0</v>
      </c>
      <c r="M1254" s="1422">
        <f ca="1">IF(LEFT(M$6,4)&lt;=LEFT('RFM input'!$G$60,4),"enter input",IF(LEFT(M$6,4)&gt;LEFT('RFM input'!$Q$60,4),0,
IF(M$6=(OFFSET('RFM input'!$G$60,0,'RFM input'!$V$7)),OFFSET('RFM input'!$J$411,$A1251,0),0)))</f>
        <v>0</v>
      </c>
      <c r="N1254" s="1422">
        <f ca="1">IF(LEFT(N$6,4)&lt;=LEFT('RFM input'!$G$60,4),"enter input",IF(LEFT(N$6,4)&gt;LEFT('RFM input'!$Q$60,4),0,
IF(N$6=(OFFSET('RFM input'!$G$60,0,'RFM input'!$V$7)),OFFSET('RFM input'!$J$411,$A1251,0),0)))</f>
        <v>0</v>
      </c>
      <c r="O1254" s="1422">
        <f ca="1">IF(LEFT(O$6,4)&lt;=LEFT('RFM input'!$G$60,4),"enter input",IF(LEFT(O$6,4)&gt;LEFT('RFM input'!$Q$60,4),0,
IF(O$6=(OFFSET('RFM input'!$G$60,0,'RFM input'!$V$7)),OFFSET('RFM input'!$J$411,$A1251,0),0)))</f>
        <v>0</v>
      </c>
      <c r="P1254" s="1422">
        <f ca="1">IF(LEFT(P$6,4)&lt;=LEFT('RFM input'!$G$60,4),"enter input",IF(LEFT(P$6,4)&gt;LEFT('RFM input'!$Q$60,4),0,
IF(P$6=(OFFSET('RFM input'!$G$60,0,'RFM input'!$V$7)),OFFSET('RFM input'!$J$411,$A1251,0),0)))</f>
        <v>0</v>
      </c>
      <c r="Q1254" s="1422">
        <f ca="1">IF(LEFT(Q$6,4)&lt;=LEFT('RFM input'!$G$60,4),"enter input",IF(LEFT(Q$6,4)&gt;LEFT('RFM input'!$Q$60,4),0,
IF(Q$6=(OFFSET('RFM input'!$G$60,0,'RFM input'!$V$7)),OFFSET('RFM input'!$J$411,$A1251,0),0)))</f>
        <v>0</v>
      </c>
      <c r="R1254" s="1422">
        <f ca="1">IF(LEFT(R$6,4)&lt;=LEFT('RFM input'!$G$60,4),"enter input",IF(LEFT(R$6,4)&gt;LEFT('RFM input'!$Q$60,4),0,
IF(R$6=(OFFSET('RFM input'!$G$60,0,'RFM input'!$V$7)),OFFSET('RFM input'!$J$411,$A1251,0),0)))</f>
        <v>0</v>
      </c>
      <c r="S1254" s="1422">
        <f ca="1">IF(LEFT(S$6,4)&lt;=LEFT('RFM input'!$G$60,4),"enter input",IF(LEFT(S$6,4)&gt;LEFT('RFM input'!$Q$60,4),0,
IF(S$6=(OFFSET('RFM input'!$G$60,0,'RFM input'!$V$7)),OFFSET('RFM input'!$J$411,$A1251,0),0)))</f>
        <v>0</v>
      </c>
      <c r="T1254" s="1422">
        <f ca="1">IF(LEFT(T$6,4)&lt;=LEFT('RFM input'!$G$60,4),"enter input",IF(LEFT(T$6,4)&gt;LEFT('RFM input'!$Q$60,4),0,
IF(T$6=(OFFSET('RFM input'!$G$60,0,'RFM input'!$V$7)),OFFSET('RFM input'!$J$411,$A1251,0),0)))</f>
        <v>0</v>
      </c>
      <c r="U1254" s="1422">
        <f ca="1">IF(LEFT(U$6,4)&lt;=LEFT('RFM input'!$G$60,4),"enter input",IF(LEFT(U$6,4)&gt;LEFT('RFM input'!$Q$60,4),0,
IF(U$6=(OFFSET('RFM input'!$G$60,0,'RFM input'!$V$7)),OFFSET('RFM input'!$J$411,$A1251,0),0)))</f>
        <v>0</v>
      </c>
      <c r="V1254" s="1422">
        <f ca="1">IF(LEFT(V$6,4)&lt;=LEFT('RFM input'!$G$60,4),"enter input",IF(LEFT(V$6,4)&gt;LEFT('RFM input'!$Q$60,4),0,
IF(V$6=(OFFSET('RFM input'!$G$60,0,'RFM input'!$V$7)),OFFSET('RFM input'!$J$411,$A1251,0),0)))</f>
        <v>0</v>
      </c>
      <c r="W1254" s="1422">
        <f ca="1">IF(LEFT(W$6,4)&lt;=LEFT('RFM input'!$G$60,4),"enter input",IF(LEFT(W$6,4)&gt;LEFT('RFM input'!$Q$60,4),0,
IF(W$6=(OFFSET('RFM input'!$G$60,0,'RFM input'!$V$7)),OFFSET('RFM input'!$J$411,$A1251,0),0)))</f>
        <v>0</v>
      </c>
      <c r="X1254" s="152"/>
      <c r="Y1254" s="152"/>
      <c r="Z1254" s="152"/>
      <c r="AA1254" s="152"/>
      <c r="AB1254" s="152"/>
    </row>
    <row r="1255" spans="1:28" hidden="1" outlineLevel="1">
      <c r="A1255" s="235">
        <v>-1</v>
      </c>
      <c r="B1255" s="190" t="s">
        <v>195</v>
      </c>
      <c r="C1255" s="1423"/>
      <c r="D1255" s="1423">
        <f t="shared" ref="D1255" ca="1" si="1792">IF(AND(D1253=0,C1255=0),0,
IF(AND(D1253&lt;&gt;0,C1255=0),D1253,
IF(AND(D1254&lt;&gt;0,C1255&lt;&gt;0),(C1255-(C1255/C1279))+D1253,
IF(C1279&lt;1,0,(C1255-(C1255/C1279))))))</f>
        <v>0</v>
      </c>
      <c r="E1255" s="1423">
        <f t="shared" ref="E1255" ca="1" si="1793">IF(AND(E1253=0,D1255=0),0,
IF(AND(E1253&lt;&gt;0,D1255=0),E1253,
IF(AND(E1254&lt;&gt;0,D1255&lt;&gt;0),(D1255-(D1255/D1279))+E1253,
IF(D1279&lt;1,0,(D1255-(D1255/D1279))))))</f>
        <v>0</v>
      </c>
      <c r="F1255" s="1423">
        <f t="shared" ref="F1255" ca="1" si="1794">IF(AND(F1253=0,E1255=0),0,
IF(AND(F1253&lt;&gt;0,E1255=0),F1253,
IF(AND(F1254&lt;&gt;0,E1255&lt;&gt;0),(E1255-(E1255/E1279))+F1253,
IF(E1279&lt;1,0,(E1255-(E1255/E1279))))))</f>
        <v>0</v>
      </c>
      <c r="G1255" s="1423">
        <f t="shared" ref="G1255" ca="1" si="1795">IF(AND(G1253=0,F1255=0),0,
IF(AND(G1253&lt;&gt;0,F1255=0),G1253,
IF(AND(G1254&lt;&gt;0,F1255&lt;&gt;0),(F1255-(F1255/F1279))+G1253,
IF(F1279&lt;1,0,(F1255-(F1255/F1279))))))</f>
        <v>0</v>
      </c>
      <c r="H1255" s="1423">
        <f ca="1">IF(AND(H1253=0,G1255=0),0,
IF(AND(H1253&lt;&gt;0,G1255=0),H1253,
IF(AND(H1254&lt;&gt;0,G1255&lt;&gt;0),(G1255-(G1255/G1279))+H1253,
IF(G1279&lt;1,0,(G1255-(G1255/G1279))))))</f>
        <v>0</v>
      </c>
      <c r="I1255" s="1423">
        <f t="shared" ref="I1255" ca="1" si="1796">IF(AND(I1253=0,H1255=0),0,
IF(AND(I1253&lt;&gt;0,H1255=0),I1253,
IF(AND(I1254&lt;&gt;0,H1255&lt;&gt;0),(H1255-(H1255/H1279))+I1253,
IF(H1279&lt;1,0,(H1255-(H1255/H1279))))))</f>
        <v>0</v>
      </c>
      <c r="J1255" s="1423">
        <f t="shared" ref="J1255" ca="1" si="1797">IF(AND(J1253=0,I1255=0),0,
IF(AND(J1253&lt;&gt;0,I1255=0),J1253,
IF(AND(J1254&lt;&gt;0,I1255&lt;&gt;0),(I1255-(I1255/I1279))+J1253,
IF(I1279&lt;1,0,(I1255-(I1255/I1279))))))</f>
        <v>0</v>
      </c>
      <c r="K1255" s="1423">
        <f t="shared" ref="K1255" ca="1" si="1798">IF(AND(K1253=0,J1255=0),0,
IF(AND(K1253&lt;&gt;0,J1255=0),K1253,
IF(AND(K1254&lt;&gt;0,J1255&lt;&gt;0),(J1255-(J1255/J1279))+K1253,
IF(J1279&lt;1,0,(J1255-(J1255/J1279))))))</f>
        <v>0</v>
      </c>
      <c r="L1255" s="1423">
        <f t="shared" ref="L1255" ca="1" si="1799">IF(AND(L1253=0,K1255=0),0,
IF(AND(L1253&lt;&gt;0,K1255=0),L1253,
IF(AND(L1254&lt;&gt;0,K1255&lt;&gt;0),(K1255-(K1255/K1279))+L1253,
IF(K1279&lt;1,0,(K1255-(K1255/K1279))))))</f>
        <v>0</v>
      </c>
      <c r="M1255" s="1423">
        <f t="shared" ref="M1255" ca="1" si="1800">IF(AND(M1253=0,L1255=0),0,
IF(AND(M1253&lt;&gt;0,L1255=0),M1253,
IF(AND(M1254&lt;&gt;0,L1255&lt;&gt;0),(L1255-(L1255/L1279))+M1253,
IF(L1279&lt;1,0,(L1255-(L1255/L1279))))))</f>
        <v>0</v>
      </c>
      <c r="N1255" s="1423">
        <f t="shared" ref="N1255" ca="1" si="1801">IF(AND(N1253=0,M1255=0),0,
IF(AND(N1253&lt;&gt;0,M1255=0),N1253,
IF(AND(N1254&lt;&gt;0,M1255&lt;&gt;0),(M1255-(M1255/M1279))+N1253,
IF(M1279&lt;1,0,(M1255-(M1255/M1279))))))</f>
        <v>0</v>
      </c>
      <c r="O1255" s="1423">
        <f t="shared" ref="O1255" ca="1" si="1802">IF(AND(O1253=0,N1255=0),0,
IF(AND(O1253&lt;&gt;0,N1255=0),O1253,
IF(AND(O1254&lt;&gt;0,N1255&lt;&gt;0),(N1255-(N1255/N1279))+O1253,
IF(N1279&lt;1,0,(N1255-(N1255/N1279))))))</f>
        <v>0</v>
      </c>
      <c r="P1255" s="1423">
        <f t="shared" ref="P1255" ca="1" si="1803">IF(AND(P1253=0,O1255=0),0,
IF(AND(P1253&lt;&gt;0,O1255=0),P1253,
IF(AND(P1254&lt;&gt;0,O1255&lt;&gt;0),(O1255-(O1255/O1279))+P1253,
IF(O1279&lt;1,0,(O1255-(O1255/O1279))))))</f>
        <v>0</v>
      </c>
      <c r="Q1255" s="1423">
        <f t="shared" ref="Q1255" ca="1" si="1804">IF(AND(Q1253=0,P1255=0),0,
IF(AND(Q1253&lt;&gt;0,P1255=0),Q1253,
IF(AND(Q1254&lt;&gt;0,P1255&lt;&gt;0),(P1255-(P1255/P1279))+Q1253,
IF(P1279&lt;1,0,(P1255-(P1255/P1279))))))</f>
        <v>0</v>
      </c>
      <c r="R1255" s="1423">
        <f t="shared" ref="R1255" ca="1" si="1805">IF(AND(R1253=0,Q1255=0),0,
IF(AND(R1253&lt;&gt;0,Q1255=0),R1253,
IF(AND(R1254&lt;&gt;0,Q1255&lt;&gt;0),(Q1255-(Q1255/Q1279))+R1253,
IF(Q1279&lt;1,0,(Q1255-(Q1255/Q1279))))))</f>
        <v>0</v>
      </c>
      <c r="S1255" s="1423">
        <f t="shared" ref="S1255" ca="1" si="1806">IF(AND(S1253=0,R1255=0),0,
IF(AND(S1253&lt;&gt;0,R1255=0),S1253,
IF(AND(S1254&lt;&gt;0,R1255&lt;&gt;0),(R1255-(R1255/R1279))+S1253,
IF(R1279&lt;1,0,(R1255-(R1255/R1279))))))</f>
        <v>0</v>
      </c>
      <c r="T1255" s="1423">
        <f t="shared" ref="T1255" ca="1" si="1807">IF(AND(T1253=0,S1255=0),0,
IF(AND(T1253&lt;&gt;0,S1255=0),T1253,
IF(AND(T1254&lt;&gt;0,S1255&lt;&gt;0),(S1255-(S1255/S1279))+T1253,
IF(S1279&lt;1,0,(S1255-(S1255/S1279))))))</f>
        <v>0</v>
      </c>
      <c r="U1255" s="1423">
        <f t="shared" ref="U1255" ca="1" si="1808">IF(AND(U1253=0,T1255=0),0,
IF(AND(U1253&lt;&gt;0,T1255=0),U1253,
IF(AND(U1254&lt;&gt;0,T1255&lt;&gt;0),(T1255-(T1255/T1279))+U1253,
IF(T1279&lt;1,0,(T1255-(T1255/T1279))))))</f>
        <v>0</v>
      </c>
      <c r="V1255" s="1423">
        <f t="shared" ref="V1255" ca="1" si="1809">IF(AND(V1253=0,U1255=0),0,
IF(AND(V1253&lt;&gt;0,U1255=0),V1253,
IF(AND(V1254&lt;&gt;0,U1255&lt;&gt;0),(U1255-(U1255/U1279))+V1253,
IF(U1279&lt;1,0,(U1255-(U1255/U1279))))))</f>
        <v>0</v>
      </c>
      <c r="W1255" s="1423">
        <f t="shared" ref="W1255" ca="1" si="1810">IF(AND(W1253=0,V1255=0),0,
IF(AND(W1253&lt;&gt;0,V1255=0),W1253,
IF(AND(W1254&lt;&gt;0,V1255&lt;&gt;0),(V1255-(V1255/V1279))+W1253,
IF(V1279&lt;1,0,(V1255-(V1255/V1279))))))</f>
        <v>0</v>
      </c>
      <c r="X1255" s="152"/>
      <c r="Y1255" s="152"/>
      <c r="Z1255" s="152"/>
      <c r="AA1255" s="152"/>
      <c r="AB1255" s="152"/>
    </row>
    <row r="1256" spans="1:28" hidden="1" outlineLevel="1">
      <c r="A1256" s="199">
        <f>A1255+1</f>
        <v>0</v>
      </c>
      <c r="B1256" s="190" t="s">
        <v>527</v>
      </c>
      <c r="C1256" s="1423">
        <f ca="1">C1251</f>
        <v>0</v>
      </c>
      <c r="D1256" s="1423">
        <f ca="1">IF(C1280="n/a",C1256,IFERROR(IF((OFFSET($C1256,0,$A1256))&lt;0,
MIN(0,C1256-(OFFSET($C1256,0,$A1256)/(OFFSET($C1251,-$A1255,$A1256)))),
MAX(0,C1256-(OFFSET($C1256,0,$A1256)/(OFFSET($C1251,-$A1255,$A1256))))),0))</f>
        <v>0</v>
      </c>
      <c r="E1256" s="1423">
        <f t="shared" ref="E1256" ca="1" si="1811">IF(D1280="n/a",D1256,IFERROR(IF((OFFSET($C1256,0,$A1256))&lt;0,
MIN(0,D1256-(OFFSET($C1256,0,$A1256)/(OFFSET($C1251,-$A1255,$A1256)))),
MAX(0,D1256-(OFFSET($C1256,0,$A1256)/(OFFSET($C1251,-$A1255,$A1256))))),0))</f>
        <v>0</v>
      </c>
      <c r="F1256" s="1423">
        <f t="shared" ref="F1256:F1257" ca="1" si="1812">IF(E1280="n/a",E1256,IFERROR(IF((OFFSET($C1256,0,$A1256))&lt;0,
MIN(0,E1256-(OFFSET($C1256,0,$A1256)/(OFFSET($C1251,-$A1255,$A1256)))),
MAX(0,E1256-(OFFSET($C1256,0,$A1256)/(OFFSET($C1251,-$A1255,$A1256))))),0))</f>
        <v>0</v>
      </c>
      <c r="G1256" s="1423">
        <f t="shared" ref="G1256:G1258" ca="1" si="1813">IF(F1280="n/a",F1256,IFERROR(IF((OFFSET($C1256,0,$A1256))&lt;0,
MIN(0,F1256-(OFFSET($C1256,0,$A1256)/(OFFSET($C1251,-$A1255,$A1256)))),
MAX(0,F1256-(OFFSET($C1256,0,$A1256)/(OFFSET($C1251,-$A1255,$A1256))))),0))</f>
        <v>0</v>
      </c>
      <c r="H1256" s="1423">
        <f t="shared" ref="H1256:H1259" ca="1" si="1814">IF(G1280="n/a",G1256,IFERROR(IF((OFFSET($C1256,0,$A1256))&lt;0,
MIN(0,G1256-(OFFSET($C1256,0,$A1256)/(OFFSET($C1251,-$A1255,$A1256)))),
MAX(0,G1256-(OFFSET($C1256,0,$A1256)/(OFFSET($C1251,-$A1255,$A1256))))),0))</f>
        <v>0</v>
      </c>
      <c r="I1256" s="1423">
        <f t="shared" ref="I1256:I1260" ca="1" si="1815">IF(H1280="n/a",H1256,IFERROR(IF((OFFSET($C1256,0,$A1256))&lt;0,
MIN(0,H1256-(OFFSET($C1256,0,$A1256)/(OFFSET($C1251,-$A1255,$A1256)))),
MAX(0,H1256-(OFFSET($C1256,0,$A1256)/(OFFSET($C1251,-$A1255,$A1256))))),0))</f>
        <v>0</v>
      </c>
      <c r="J1256" s="1423">
        <f t="shared" ref="J1256:J1261" ca="1" si="1816">IF(I1280="n/a",I1256,IFERROR(IF((OFFSET($C1256,0,$A1256))&lt;0,
MIN(0,I1256-(OFFSET($C1256,0,$A1256)/(OFFSET($C1251,-$A1255,$A1256)))),
MAX(0,I1256-(OFFSET($C1256,0,$A1256)/(OFFSET($C1251,-$A1255,$A1256))))),0))</f>
        <v>0</v>
      </c>
      <c r="K1256" s="1423">
        <f t="shared" ref="K1256:K1262" ca="1" si="1817">IF(J1280="n/a",J1256,IFERROR(IF((OFFSET($C1256,0,$A1256))&lt;0,
MIN(0,J1256-(OFFSET($C1256,0,$A1256)/(OFFSET($C1251,-$A1255,$A1256)))),
MAX(0,J1256-(OFFSET($C1256,0,$A1256)/(OFFSET($C1251,-$A1255,$A1256))))),0))</f>
        <v>0</v>
      </c>
      <c r="L1256" s="1423">
        <f t="shared" ref="L1256:L1263" ca="1" si="1818">IF(K1280="n/a",K1256,IFERROR(IF((OFFSET($C1256,0,$A1256))&lt;0,
MIN(0,K1256-(OFFSET($C1256,0,$A1256)/(OFFSET($C1251,-$A1255,$A1256)))),
MAX(0,K1256-(OFFSET($C1256,0,$A1256)/(OFFSET($C1251,-$A1255,$A1256))))),0))</f>
        <v>0</v>
      </c>
      <c r="M1256" s="1423">
        <f t="shared" ref="M1256:M1264" ca="1" si="1819">IF(L1280="n/a",L1256,IFERROR(IF((OFFSET($C1256,0,$A1256))&lt;0,
MIN(0,L1256-(OFFSET($C1256,0,$A1256)/(OFFSET($C1251,-$A1255,$A1256)))),
MAX(0,L1256-(OFFSET($C1256,0,$A1256)/(OFFSET($C1251,-$A1255,$A1256))))),0))</f>
        <v>0</v>
      </c>
      <c r="N1256" s="1423">
        <f t="shared" ref="N1256:N1265" ca="1" si="1820">IF(M1280="n/a",M1256,IFERROR(IF((OFFSET($C1256,0,$A1256))&lt;0,
MIN(0,M1256-(OFFSET($C1256,0,$A1256)/(OFFSET($C1251,-$A1255,$A1256)))),
MAX(0,M1256-(OFFSET($C1256,0,$A1256)/(OFFSET($C1251,-$A1255,$A1256))))),0))</f>
        <v>0</v>
      </c>
      <c r="O1256" s="1423">
        <f t="shared" ref="O1256:O1266" ca="1" si="1821">IF(N1280="n/a",N1256,IFERROR(IF((OFFSET($C1256,0,$A1256))&lt;0,
MIN(0,N1256-(OFFSET($C1256,0,$A1256)/(OFFSET($C1251,-$A1255,$A1256)))),
MAX(0,N1256-(OFFSET($C1256,0,$A1256)/(OFFSET($C1251,-$A1255,$A1256))))),0))</f>
        <v>0</v>
      </c>
      <c r="P1256" s="1423">
        <f t="shared" ref="P1256:P1267" ca="1" si="1822">IF(O1280="n/a",O1256,IFERROR(IF((OFFSET($C1256,0,$A1256))&lt;0,
MIN(0,O1256-(OFFSET($C1256,0,$A1256)/(OFFSET($C1251,-$A1255,$A1256)))),
MAX(0,O1256-(OFFSET($C1256,0,$A1256)/(OFFSET($C1251,-$A1255,$A1256))))),0))</f>
        <v>0</v>
      </c>
      <c r="Q1256" s="1423">
        <f t="shared" ref="Q1256:Q1268" ca="1" si="1823">IF(P1280="n/a",P1256,IFERROR(IF((OFFSET($C1256,0,$A1256))&lt;0,
MIN(0,P1256-(OFFSET($C1256,0,$A1256)/(OFFSET($C1251,-$A1255,$A1256)))),
MAX(0,P1256-(OFFSET($C1256,0,$A1256)/(OFFSET($C1251,-$A1255,$A1256))))),0))</f>
        <v>0</v>
      </c>
      <c r="R1256" s="1423">
        <f t="shared" ref="R1256:R1269" ca="1" si="1824">IF(Q1280="n/a",Q1256,IFERROR(IF((OFFSET($C1256,0,$A1256))&lt;0,
MIN(0,Q1256-(OFFSET($C1256,0,$A1256)/(OFFSET($C1251,-$A1255,$A1256)))),
MAX(0,Q1256-(OFFSET($C1256,0,$A1256)/(OFFSET($C1251,-$A1255,$A1256))))),0))</f>
        <v>0</v>
      </c>
      <c r="S1256" s="1423">
        <f t="shared" ref="S1256:S1270" ca="1" si="1825">IF(R1280="n/a",R1256,IFERROR(IF((OFFSET($C1256,0,$A1256))&lt;0,
MIN(0,R1256-(OFFSET($C1256,0,$A1256)/(OFFSET($C1251,-$A1255,$A1256)))),
MAX(0,R1256-(OFFSET($C1256,0,$A1256)/(OFFSET($C1251,-$A1255,$A1256))))),0))</f>
        <v>0</v>
      </c>
      <c r="T1256" s="1423">
        <f t="shared" ref="T1256:T1271" ca="1" si="1826">IF(S1280="n/a",S1256,IFERROR(IF((OFFSET($C1256,0,$A1256))&lt;0,
MIN(0,S1256-(OFFSET($C1256,0,$A1256)/(OFFSET($C1251,-$A1255,$A1256)))),
MAX(0,S1256-(OFFSET($C1256,0,$A1256)/(OFFSET($C1251,-$A1255,$A1256))))),0))</f>
        <v>0</v>
      </c>
      <c r="U1256" s="1423">
        <f t="shared" ref="U1256:U1272" ca="1" si="1827">IF(T1280="n/a",T1256,IFERROR(IF((OFFSET($C1256,0,$A1256))&lt;0,
MIN(0,T1256-(OFFSET($C1256,0,$A1256)/(OFFSET($C1251,-$A1255,$A1256)))),
MAX(0,T1256-(OFFSET($C1256,0,$A1256)/(OFFSET($C1251,-$A1255,$A1256))))),0))</f>
        <v>0</v>
      </c>
      <c r="V1256" s="1423">
        <f t="shared" ref="V1256:V1273" ca="1" si="1828">IF(U1280="n/a",U1256,IFERROR(IF((OFFSET($C1256,0,$A1256))&lt;0,
MIN(0,U1256-(OFFSET($C1256,0,$A1256)/(OFFSET($C1251,-$A1255,$A1256)))),
MAX(0,U1256-(OFFSET($C1256,0,$A1256)/(OFFSET($C1251,-$A1255,$A1256))))),0))</f>
        <v>0</v>
      </c>
      <c r="W1256" s="1423">
        <f t="shared" ref="W1256:W1274" ca="1" si="1829">IF(V1280="n/a",V1256,IFERROR(IF((OFFSET($C1256,0,$A1256))&lt;0,
MIN(0,V1256-(OFFSET($C1256,0,$A1256)/(OFFSET($C1251,-$A1255,$A1256)))),
MAX(0,V1256-(OFFSET($C1256,0,$A1256)/(OFFSET($C1251,-$A1255,$A1256))))),0))</f>
        <v>0</v>
      </c>
      <c r="X1256" s="152"/>
      <c r="Y1256" s="152"/>
      <c r="Z1256" s="152"/>
      <c r="AA1256" s="152"/>
      <c r="AB1256" s="152"/>
    </row>
    <row r="1257" spans="1:28" hidden="1" outlineLevel="1">
      <c r="A1257" s="199">
        <f t="shared" ref="A1257:A1276" si="1830">A1256+1</f>
        <v>1</v>
      </c>
      <c r="B1257" s="190" t="str">
        <f t="shared" ref="B1257:B1276" ca="1" si="1831">"Depreciated Net Capex "&amp;OFFSET($C$6,0,A1257)</f>
        <v>Depreciated Net Capex 2016-17</v>
      </c>
      <c r="C1257" s="1424"/>
      <c r="D1257" s="1425">
        <f>D1251</f>
        <v>0</v>
      </c>
      <c r="E1257" s="1423">
        <f ca="1">IF(D1281="n/a",D1257,IFERROR(IF((OFFSET($C1257,0,$A1257))&lt;0,
MIN(0,D1257-(OFFSET($C1257,0,$A1257)/(OFFSET($C1252,-$A1256,$A1257)))),
MAX(0,D1257-(OFFSET($C1257,0,$A1257)/(OFFSET($C1252,-$A1256,$A1257))))),0))</f>
        <v>0</v>
      </c>
      <c r="F1257" s="1423">
        <f t="shared" ca="1" si="1812"/>
        <v>0</v>
      </c>
      <c r="G1257" s="1423">
        <f t="shared" ca="1" si="1813"/>
        <v>0</v>
      </c>
      <c r="H1257" s="1423">
        <f t="shared" ca="1" si="1814"/>
        <v>0</v>
      </c>
      <c r="I1257" s="1423">
        <f t="shared" ca="1" si="1815"/>
        <v>0</v>
      </c>
      <c r="J1257" s="1423">
        <f t="shared" ca="1" si="1816"/>
        <v>0</v>
      </c>
      <c r="K1257" s="1423">
        <f t="shared" ca="1" si="1817"/>
        <v>0</v>
      </c>
      <c r="L1257" s="1423">
        <f t="shared" ca="1" si="1818"/>
        <v>0</v>
      </c>
      <c r="M1257" s="1423">
        <f t="shared" ca="1" si="1819"/>
        <v>0</v>
      </c>
      <c r="N1257" s="1423">
        <f t="shared" ca="1" si="1820"/>
        <v>0</v>
      </c>
      <c r="O1257" s="1423">
        <f t="shared" ca="1" si="1821"/>
        <v>0</v>
      </c>
      <c r="P1257" s="1423">
        <f t="shared" ca="1" si="1822"/>
        <v>0</v>
      </c>
      <c r="Q1257" s="1423">
        <f t="shared" ca="1" si="1823"/>
        <v>0</v>
      </c>
      <c r="R1257" s="1423">
        <f t="shared" ca="1" si="1824"/>
        <v>0</v>
      </c>
      <c r="S1257" s="1423">
        <f t="shared" ca="1" si="1825"/>
        <v>0</v>
      </c>
      <c r="T1257" s="1423">
        <f t="shared" ca="1" si="1826"/>
        <v>0</v>
      </c>
      <c r="U1257" s="1423">
        <f t="shared" ca="1" si="1827"/>
        <v>0</v>
      </c>
      <c r="V1257" s="1423">
        <f t="shared" ca="1" si="1828"/>
        <v>0</v>
      </c>
      <c r="W1257" s="1423">
        <f t="shared" ca="1" si="1829"/>
        <v>0</v>
      </c>
      <c r="X1257" s="152"/>
      <c r="Y1257" s="152"/>
      <c r="Z1257" s="152"/>
      <c r="AA1257" s="152"/>
      <c r="AB1257" s="152"/>
    </row>
    <row r="1258" spans="1:28" hidden="1" outlineLevel="1">
      <c r="A1258" s="199">
        <f t="shared" si="1830"/>
        <v>2</v>
      </c>
      <c r="B1258" s="190" t="str">
        <f t="shared" ca="1" si="1831"/>
        <v>Depreciated Net Capex 2017-18</v>
      </c>
      <c r="C1258" s="1426"/>
      <c r="D1258" s="1427"/>
      <c r="E1258" s="1425">
        <f>E1251</f>
        <v>0</v>
      </c>
      <c r="F1258" s="1423">
        <f ca="1">IF(E1282="n/a",E1258,IFERROR(IF((OFFSET($C1258,0,$A1258))&lt;0,
MIN(0,E1258-(OFFSET($C1258,0,$A1258)/(OFFSET($C1253,-$A1257,$A1258)))),
MAX(0,E1258-(OFFSET($C1258,0,$A1258)/(OFFSET($C1253,-$A1257,$A1258))))),0))</f>
        <v>0</v>
      </c>
      <c r="G1258" s="1423">
        <f t="shared" ca="1" si="1813"/>
        <v>0</v>
      </c>
      <c r="H1258" s="1423">
        <f t="shared" ca="1" si="1814"/>
        <v>0</v>
      </c>
      <c r="I1258" s="1423">
        <f t="shared" ca="1" si="1815"/>
        <v>0</v>
      </c>
      <c r="J1258" s="1423">
        <f t="shared" ca="1" si="1816"/>
        <v>0</v>
      </c>
      <c r="K1258" s="1423">
        <f t="shared" ca="1" si="1817"/>
        <v>0</v>
      </c>
      <c r="L1258" s="1423">
        <f t="shared" ca="1" si="1818"/>
        <v>0</v>
      </c>
      <c r="M1258" s="1423">
        <f t="shared" ca="1" si="1819"/>
        <v>0</v>
      </c>
      <c r="N1258" s="1423">
        <f t="shared" ca="1" si="1820"/>
        <v>0</v>
      </c>
      <c r="O1258" s="1423">
        <f t="shared" ca="1" si="1821"/>
        <v>0</v>
      </c>
      <c r="P1258" s="1423">
        <f t="shared" ca="1" si="1822"/>
        <v>0</v>
      </c>
      <c r="Q1258" s="1423">
        <f t="shared" ca="1" si="1823"/>
        <v>0</v>
      </c>
      <c r="R1258" s="1423">
        <f t="shared" ca="1" si="1824"/>
        <v>0</v>
      </c>
      <c r="S1258" s="1423">
        <f t="shared" ca="1" si="1825"/>
        <v>0</v>
      </c>
      <c r="T1258" s="1423">
        <f t="shared" ca="1" si="1826"/>
        <v>0</v>
      </c>
      <c r="U1258" s="1423">
        <f t="shared" ca="1" si="1827"/>
        <v>0</v>
      </c>
      <c r="V1258" s="1423">
        <f t="shared" ca="1" si="1828"/>
        <v>0</v>
      </c>
      <c r="W1258" s="1423">
        <f t="shared" ca="1" si="1829"/>
        <v>0</v>
      </c>
      <c r="X1258" s="202"/>
      <c r="Y1258" s="152"/>
      <c r="Z1258" s="152"/>
      <c r="AA1258" s="152"/>
      <c r="AB1258" s="152"/>
    </row>
    <row r="1259" spans="1:28" hidden="1" outlineLevel="1">
      <c r="A1259" s="199">
        <f t="shared" si="1830"/>
        <v>3</v>
      </c>
      <c r="B1259" s="190" t="str">
        <f t="shared" ca="1" si="1831"/>
        <v>Depreciated Net Capex 2018-19</v>
      </c>
      <c r="C1259" s="1426"/>
      <c r="D1259" s="1426"/>
      <c r="E1259" s="1427"/>
      <c r="F1259" s="1428">
        <f>F1251</f>
        <v>0</v>
      </c>
      <c r="G1259" s="1423">
        <f ca="1">IF(F1283="n/a",F1259,IFERROR(IF((OFFSET($C1259,0,$A1259))&lt;0,
MIN(0,F1259-(OFFSET($C1259,0,$A1259)/(OFFSET($C1254,-$A1258,$A1259)))),
MAX(0,F1259-(OFFSET($C1259,0,$A1259)/(OFFSET($C1254,-$A1258,$A1259))))),0))</f>
        <v>0</v>
      </c>
      <c r="H1259" s="1423">
        <f t="shared" ca="1" si="1814"/>
        <v>0</v>
      </c>
      <c r="I1259" s="1423">
        <f t="shared" ca="1" si="1815"/>
        <v>0</v>
      </c>
      <c r="J1259" s="1423">
        <f t="shared" ca="1" si="1816"/>
        <v>0</v>
      </c>
      <c r="K1259" s="1423">
        <f t="shared" ca="1" si="1817"/>
        <v>0</v>
      </c>
      <c r="L1259" s="1423">
        <f t="shared" ca="1" si="1818"/>
        <v>0</v>
      </c>
      <c r="M1259" s="1423">
        <f t="shared" ca="1" si="1819"/>
        <v>0</v>
      </c>
      <c r="N1259" s="1423">
        <f t="shared" ca="1" si="1820"/>
        <v>0</v>
      </c>
      <c r="O1259" s="1423">
        <f t="shared" ca="1" si="1821"/>
        <v>0</v>
      </c>
      <c r="P1259" s="1423">
        <f t="shared" ca="1" si="1822"/>
        <v>0</v>
      </c>
      <c r="Q1259" s="1423">
        <f t="shared" ca="1" si="1823"/>
        <v>0</v>
      </c>
      <c r="R1259" s="1423">
        <f t="shared" ca="1" si="1824"/>
        <v>0</v>
      </c>
      <c r="S1259" s="1423">
        <f t="shared" ca="1" si="1825"/>
        <v>0</v>
      </c>
      <c r="T1259" s="1423">
        <f t="shared" ca="1" si="1826"/>
        <v>0</v>
      </c>
      <c r="U1259" s="1423">
        <f t="shared" ca="1" si="1827"/>
        <v>0</v>
      </c>
      <c r="V1259" s="1423">
        <f t="shared" ca="1" si="1828"/>
        <v>0</v>
      </c>
      <c r="W1259" s="1423">
        <f t="shared" ca="1" si="1829"/>
        <v>0</v>
      </c>
      <c r="X1259" s="202"/>
      <c r="Y1259" s="202"/>
      <c r="Z1259" s="152"/>
      <c r="AA1259" s="152"/>
      <c r="AB1259" s="152"/>
    </row>
    <row r="1260" spans="1:28" hidden="1" outlineLevel="1">
      <c r="A1260" s="199">
        <f t="shared" si="1830"/>
        <v>4</v>
      </c>
      <c r="B1260" s="190" t="str">
        <f t="shared" ca="1" si="1831"/>
        <v>Depreciated Net Capex 2019-20</v>
      </c>
      <c r="C1260" s="1426"/>
      <c r="D1260" s="1426"/>
      <c r="E1260" s="1426"/>
      <c r="F1260" s="1427"/>
      <c r="G1260" s="1428">
        <f>G1251</f>
        <v>0</v>
      </c>
      <c r="H1260" s="1423">
        <f ca="1">IF(G1284="n/a",G1260,IFERROR(IF((OFFSET($C1260,0,$A1260))&lt;0,
MIN(0,G1260-(OFFSET($C1260,0,$A1260)/(OFFSET($C1255,-$A1259,$A1260)))),
MAX(0,G1260-(OFFSET($C1260,0,$A1260)/(OFFSET($C1255,-$A1259,$A1260))))),0))</f>
        <v>0</v>
      </c>
      <c r="I1260" s="1423">
        <f t="shared" ca="1" si="1815"/>
        <v>0</v>
      </c>
      <c r="J1260" s="1423">
        <f t="shared" ca="1" si="1816"/>
        <v>0</v>
      </c>
      <c r="K1260" s="1423">
        <f t="shared" ca="1" si="1817"/>
        <v>0</v>
      </c>
      <c r="L1260" s="1423">
        <f t="shared" ca="1" si="1818"/>
        <v>0</v>
      </c>
      <c r="M1260" s="1423">
        <f t="shared" ca="1" si="1819"/>
        <v>0</v>
      </c>
      <c r="N1260" s="1423">
        <f t="shared" ca="1" si="1820"/>
        <v>0</v>
      </c>
      <c r="O1260" s="1423">
        <f t="shared" ca="1" si="1821"/>
        <v>0</v>
      </c>
      <c r="P1260" s="1423">
        <f t="shared" ca="1" si="1822"/>
        <v>0</v>
      </c>
      <c r="Q1260" s="1423">
        <f t="shared" ca="1" si="1823"/>
        <v>0</v>
      </c>
      <c r="R1260" s="1423">
        <f t="shared" ca="1" si="1824"/>
        <v>0</v>
      </c>
      <c r="S1260" s="1423">
        <f t="shared" ca="1" si="1825"/>
        <v>0</v>
      </c>
      <c r="T1260" s="1423">
        <f t="shared" ca="1" si="1826"/>
        <v>0</v>
      </c>
      <c r="U1260" s="1423">
        <f t="shared" ca="1" si="1827"/>
        <v>0</v>
      </c>
      <c r="V1260" s="1423">
        <f t="shared" ca="1" si="1828"/>
        <v>0</v>
      </c>
      <c r="W1260" s="1423">
        <f t="shared" ca="1" si="1829"/>
        <v>0</v>
      </c>
      <c r="X1260" s="202"/>
      <c r="Y1260" s="202"/>
      <c r="Z1260" s="202"/>
      <c r="AA1260" s="152"/>
      <c r="AB1260" s="152"/>
    </row>
    <row r="1261" spans="1:28" hidden="1" outlineLevel="1">
      <c r="A1261" s="199">
        <f t="shared" si="1830"/>
        <v>5</v>
      </c>
      <c r="B1261" s="190" t="str">
        <f t="shared" ca="1" si="1831"/>
        <v>Depreciated Net Capex 2020-21</v>
      </c>
      <c r="C1261" s="1426"/>
      <c r="D1261" s="1426"/>
      <c r="E1261" s="1426"/>
      <c r="F1261" s="1426"/>
      <c r="G1261" s="1427"/>
      <c r="H1261" s="1428">
        <f>H1251</f>
        <v>0</v>
      </c>
      <c r="I1261" s="1423">
        <f ca="1">IF(H1285="n/a",H1261,IFERROR(IF((OFFSET($C1261,0,$A1261))&lt;0,
MIN(0,H1261-(OFFSET($C1261,0,$A1261)/(OFFSET($C1256,-$A1260,$A1261)))),
MAX(0,H1261-(OFFSET($C1261,0,$A1261)/(OFFSET($C1256,-$A1260,$A1261))))),0))</f>
        <v>0</v>
      </c>
      <c r="J1261" s="1423">
        <f t="shared" ca="1" si="1816"/>
        <v>0</v>
      </c>
      <c r="K1261" s="1423">
        <f t="shared" ca="1" si="1817"/>
        <v>0</v>
      </c>
      <c r="L1261" s="1423">
        <f t="shared" ca="1" si="1818"/>
        <v>0</v>
      </c>
      <c r="M1261" s="1423">
        <f t="shared" ca="1" si="1819"/>
        <v>0</v>
      </c>
      <c r="N1261" s="1423">
        <f t="shared" ca="1" si="1820"/>
        <v>0</v>
      </c>
      <c r="O1261" s="1423">
        <f t="shared" ca="1" si="1821"/>
        <v>0</v>
      </c>
      <c r="P1261" s="1423">
        <f t="shared" ca="1" si="1822"/>
        <v>0</v>
      </c>
      <c r="Q1261" s="1423">
        <f t="shared" ca="1" si="1823"/>
        <v>0</v>
      </c>
      <c r="R1261" s="1423">
        <f t="shared" ca="1" si="1824"/>
        <v>0</v>
      </c>
      <c r="S1261" s="1423">
        <f t="shared" ca="1" si="1825"/>
        <v>0</v>
      </c>
      <c r="T1261" s="1423">
        <f t="shared" ca="1" si="1826"/>
        <v>0</v>
      </c>
      <c r="U1261" s="1423">
        <f t="shared" ca="1" si="1827"/>
        <v>0</v>
      </c>
      <c r="V1261" s="1423">
        <f t="shared" ca="1" si="1828"/>
        <v>0</v>
      </c>
      <c r="W1261" s="1423">
        <f t="shared" ca="1" si="1829"/>
        <v>0</v>
      </c>
      <c r="X1261" s="202"/>
      <c r="Y1261" s="202"/>
      <c r="Z1261" s="202"/>
      <c r="AA1261" s="152"/>
      <c r="AB1261" s="152"/>
    </row>
    <row r="1262" spans="1:28" hidden="1" outlineLevel="1">
      <c r="A1262" s="199">
        <f t="shared" si="1830"/>
        <v>6</v>
      </c>
      <c r="B1262" s="190" t="str">
        <f t="shared" ca="1" si="1831"/>
        <v>Depreciated Net Capex 2021-22</v>
      </c>
      <c r="C1262" s="1426"/>
      <c r="D1262" s="1426"/>
      <c r="E1262" s="1426"/>
      <c r="F1262" s="1426"/>
      <c r="G1262" s="1426"/>
      <c r="H1262" s="1427"/>
      <c r="I1262" s="1428">
        <f>I1251</f>
        <v>0</v>
      </c>
      <c r="J1262" s="1423">
        <f ca="1">IF(I1286="n/a",I1262,IFERROR(IF((OFFSET($C1262,0,$A1262))&lt;0,
MIN(0,I1262-(OFFSET($C1262,0,$A1262)/(OFFSET($C1257,-$A1261,$A1262)))),
MAX(0,I1262-(OFFSET($C1262,0,$A1262)/(OFFSET($C1257,-$A1261,$A1262))))),0))</f>
        <v>0</v>
      </c>
      <c r="K1262" s="1423">
        <f t="shared" ca="1" si="1817"/>
        <v>0</v>
      </c>
      <c r="L1262" s="1423">
        <f t="shared" ca="1" si="1818"/>
        <v>0</v>
      </c>
      <c r="M1262" s="1423">
        <f t="shared" ca="1" si="1819"/>
        <v>0</v>
      </c>
      <c r="N1262" s="1423">
        <f t="shared" ca="1" si="1820"/>
        <v>0</v>
      </c>
      <c r="O1262" s="1423">
        <f t="shared" ca="1" si="1821"/>
        <v>0</v>
      </c>
      <c r="P1262" s="1423">
        <f t="shared" ca="1" si="1822"/>
        <v>0</v>
      </c>
      <c r="Q1262" s="1423">
        <f t="shared" ca="1" si="1823"/>
        <v>0</v>
      </c>
      <c r="R1262" s="1423">
        <f t="shared" ca="1" si="1824"/>
        <v>0</v>
      </c>
      <c r="S1262" s="1423">
        <f t="shared" ca="1" si="1825"/>
        <v>0</v>
      </c>
      <c r="T1262" s="1423">
        <f t="shared" ca="1" si="1826"/>
        <v>0</v>
      </c>
      <c r="U1262" s="1423">
        <f t="shared" ca="1" si="1827"/>
        <v>0</v>
      </c>
      <c r="V1262" s="1423">
        <f t="shared" ca="1" si="1828"/>
        <v>0</v>
      </c>
      <c r="W1262" s="1423">
        <f t="shared" ca="1" si="1829"/>
        <v>0</v>
      </c>
      <c r="X1262" s="202"/>
      <c r="Y1262" s="202"/>
      <c r="Z1262" s="202"/>
      <c r="AA1262" s="152"/>
      <c r="AB1262" s="152"/>
    </row>
    <row r="1263" spans="1:28" hidden="1" outlineLevel="1">
      <c r="A1263" s="199">
        <f t="shared" si="1830"/>
        <v>7</v>
      </c>
      <c r="B1263" s="190" t="str">
        <f t="shared" ca="1" si="1831"/>
        <v>Depreciated Net Capex 2022-23</v>
      </c>
      <c r="C1263" s="1426"/>
      <c r="D1263" s="1426"/>
      <c r="E1263" s="1426"/>
      <c r="F1263" s="1426"/>
      <c r="G1263" s="1426"/>
      <c r="H1263" s="1426"/>
      <c r="I1263" s="1427"/>
      <c r="J1263" s="1428">
        <f>J1251</f>
        <v>0</v>
      </c>
      <c r="K1263" s="1423">
        <f ca="1">IF(J1287="n/a",J1263,IFERROR(IF((OFFSET($C1263,0,$A1263))&lt;0,
MIN(0,J1263-(OFFSET($C1263,0,$A1263)/(OFFSET($C1258,-$A1262,$A1263)))),
MAX(0,J1263-(OFFSET($C1263,0,$A1263)/(OFFSET($C1258,-$A1262,$A1263))))),0))</f>
        <v>0</v>
      </c>
      <c r="L1263" s="1423">
        <f t="shared" ca="1" si="1818"/>
        <v>0</v>
      </c>
      <c r="M1263" s="1423">
        <f t="shared" ca="1" si="1819"/>
        <v>0</v>
      </c>
      <c r="N1263" s="1423">
        <f t="shared" ca="1" si="1820"/>
        <v>0</v>
      </c>
      <c r="O1263" s="1423">
        <f t="shared" ca="1" si="1821"/>
        <v>0</v>
      </c>
      <c r="P1263" s="1423">
        <f t="shared" ca="1" si="1822"/>
        <v>0</v>
      </c>
      <c r="Q1263" s="1423">
        <f t="shared" ca="1" si="1823"/>
        <v>0</v>
      </c>
      <c r="R1263" s="1423">
        <f t="shared" ca="1" si="1824"/>
        <v>0</v>
      </c>
      <c r="S1263" s="1423">
        <f t="shared" ca="1" si="1825"/>
        <v>0</v>
      </c>
      <c r="T1263" s="1423">
        <f t="shared" ca="1" si="1826"/>
        <v>0</v>
      </c>
      <c r="U1263" s="1423">
        <f t="shared" ca="1" si="1827"/>
        <v>0</v>
      </c>
      <c r="V1263" s="1423">
        <f t="shared" ca="1" si="1828"/>
        <v>0</v>
      </c>
      <c r="W1263" s="1423">
        <f t="shared" ca="1" si="1829"/>
        <v>0</v>
      </c>
      <c r="X1263" s="202"/>
      <c r="Y1263" s="202"/>
      <c r="Z1263" s="202"/>
      <c r="AA1263" s="152"/>
      <c r="AB1263" s="152"/>
    </row>
    <row r="1264" spans="1:28" hidden="1" outlineLevel="1">
      <c r="A1264" s="199">
        <f t="shared" si="1830"/>
        <v>8</v>
      </c>
      <c r="B1264" s="190" t="str">
        <f t="shared" ca="1" si="1831"/>
        <v>Depreciated Net Capex 2023-24</v>
      </c>
      <c r="C1264" s="1426"/>
      <c r="D1264" s="1426"/>
      <c r="E1264" s="1426"/>
      <c r="F1264" s="1426"/>
      <c r="G1264" s="1426"/>
      <c r="H1264" s="1426"/>
      <c r="I1264" s="1426"/>
      <c r="J1264" s="1427"/>
      <c r="K1264" s="1428">
        <f>K1251</f>
        <v>0</v>
      </c>
      <c r="L1264" s="1423">
        <f ca="1">IF(K1288="n/a",K1264,IFERROR(IF((OFFSET($C1264,0,$A1264))&lt;0,
MIN(0,K1264-(OFFSET($C1264,0,$A1264)/(OFFSET($C1259,-$A1263,$A1264)))),
MAX(0,K1264-(OFFSET($C1264,0,$A1264)/(OFFSET($C1259,-$A1263,$A1264))))),0))</f>
        <v>0</v>
      </c>
      <c r="M1264" s="1423">
        <f t="shared" ca="1" si="1819"/>
        <v>0</v>
      </c>
      <c r="N1264" s="1423">
        <f t="shared" ca="1" si="1820"/>
        <v>0</v>
      </c>
      <c r="O1264" s="1423">
        <f t="shared" ca="1" si="1821"/>
        <v>0</v>
      </c>
      <c r="P1264" s="1423">
        <f t="shared" ca="1" si="1822"/>
        <v>0</v>
      </c>
      <c r="Q1264" s="1423">
        <f t="shared" ca="1" si="1823"/>
        <v>0</v>
      </c>
      <c r="R1264" s="1423">
        <f t="shared" ca="1" si="1824"/>
        <v>0</v>
      </c>
      <c r="S1264" s="1423">
        <f t="shared" ca="1" si="1825"/>
        <v>0</v>
      </c>
      <c r="T1264" s="1423">
        <f t="shared" ca="1" si="1826"/>
        <v>0</v>
      </c>
      <c r="U1264" s="1423">
        <f t="shared" ca="1" si="1827"/>
        <v>0</v>
      </c>
      <c r="V1264" s="1423">
        <f t="shared" ca="1" si="1828"/>
        <v>0</v>
      </c>
      <c r="W1264" s="1423">
        <f t="shared" ca="1" si="1829"/>
        <v>0</v>
      </c>
      <c r="X1264" s="202"/>
      <c r="Y1264" s="202"/>
      <c r="Z1264" s="202"/>
      <c r="AA1264" s="152"/>
      <c r="AB1264" s="152"/>
    </row>
    <row r="1265" spans="1:28" hidden="1" outlineLevel="1">
      <c r="A1265" s="199">
        <f t="shared" si="1830"/>
        <v>9</v>
      </c>
      <c r="B1265" s="190" t="str">
        <f t="shared" ca="1" si="1831"/>
        <v>Depreciated Net Capex 2024-25</v>
      </c>
      <c r="C1265" s="1426"/>
      <c r="D1265" s="1426"/>
      <c r="E1265" s="1426"/>
      <c r="F1265" s="1426"/>
      <c r="G1265" s="1426"/>
      <c r="H1265" s="1426"/>
      <c r="I1265" s="1426"/>
      <c r="J1265" s="1426"/>
      <c r="K1265" s="1427"/>
      <c r="L1265" s="1428">
        <f>L1251</f>
        <v>0</v>
      </c>
      <c r="M1265" s="1423">
        <f ca="1">IF(L1289="n/a",L1265,IFERROR(IF((OFFSET($C1265,0,$A1265))&lt;0,
MIN(0,L1265-(OFFSET($C1265,0,$A1265)/(OFFSET($C1260,-$A1264,$A1265)))),
MAX(0,L1265-(OFFSET($C1265,0,$A1265)/(OFFSET($C1260,-$A1264,$A1265))))),0))</f>
        <v>0</v>
      </c>
      <c r="N1265" s="1423">
        <f t="shared" ca="1" si="1820"/>
        <v>0</v>
      </c>
      <c r="O1265" s="1423">
        <f t="shared" ca="1" si="1821"/>
        <v>0</v>
      </c>
      <c r="P1265" s="1423">
        <f t="shared" ca="1" si="1822"/>
        <v>0</v>
      </c>
      <c r="Q1265" s="1423">
        <f t="shared" ca="1" si="1823"/>
        <v>0</v>
      </c>
      <c r="R1265" s="1423">
        <f t="shared" ca="1" si="1824"/>
        <v>0</v>
      </c>
      <c r="S1265" s="1423">
        <f t="shared" ca="1" si="1825"/>
        <v>0</v>
      </c>
      <c r="T1265" s="1423">
        <f t="shared" ca="1" si="1826"/>
        <v>0</v>
      </c>
      <c r="U1265" s="1423">
        <f t="shared" ca="1" si="1827"/>
        <v>0</v>
      </c>
      <c r="V1265" s="1423">
        <f t="shared" ca="1" si="1828"/>
        <v>0</v>
      </c>
      <c r="W1265" s="1423">
        <f t="shared" ca="1" si="1829"/>
        <v>0</v>
      </c>
      <c r="X1265" s="202"/>
      <c r="Y1265" s="202"/>
      <c r="Z1265" s="202"/>
      <c r="AA1265" s="152"/>
      <c r="AB1265" s="152"/>
    </row>
    <row r="1266" spans="1:28" hidden="1" outlineLevel="1">
      <c r="A1266" s="199">
        <f t="shared" si="1830"/>
        <v>10</v>
      </c>
      <c r="B1266" s="190" t="str">
        <f t="shared" ca="1" si="1831"/>
        <v>Depreciated Net Capex 2025-26</v>
      </c>
      <c r="C1266" s="1426"/>
      <c r="D1266" s="1426"/>
      <c r="E1266" s="1426"/>
      <c r="F1266" s="1426"/>
      <c r="G1266" s="1426"/>
      <c r="H1266" s="1426"/>
      <c r="I1266" s="1426"/>
      <c r="J1266" s="1426"/>
      <c r="K1266" s="1426"/>
      <c r="L1266" s="1427"/>
      <c r="M1266" s="1428">
        <f>M1251</f>
        <v>0</v>
      </c>
      <c r="N1266" s="1423">
        <f ca="1">IF(M1290="n/a",M1266,IFERROR(IF((OFFSET($C1266,0,$A1266))&lt;0,
MIN(0,M1266-(OFFSET($C1266,0,$A1266)/(OFFSET($C1261,-$A1265,$A1266)))),
MAX(0,M1266-(OFFSET($C1266,0,$A1266)/(OFFSET($C1261,-$A1265,$A1266))))),0))</f>
        <v>0</v>
      </c>
      <c r="O1266" s="1423">
        <f t="shared" ca="1" si="1821"/>
        <v>0</v>
      </c>
      <c r="P1266" s="1423">
        <f t="shared" ca="1" si="1822"/>
        <v>0</v>
      </c>
      <c r="Q1266" s="1423">
        <f t="shared" ca="1" si="1823"/>
        <v>0</v>
      </c>
      <c r="R1266" s="1423">
        <f t="shared" ca="1" si="1824"/>
        <v>0</v>
      </c>
      <c r="S1266" s="1423">
        <f t="shared" ca="1" si="1825"/>
        <v>0</v>
      </c>
      <c r="T1266" s="1423">
        <f t="shared" ca="1" si="1826"/>
        <v>0</v>
      </c>
      <c r="U1266" s="1423">
        <f t="shared" ca="1" si="1827"/>
        <v>0</v>
      </c>
      <c r="V1266" s="1423">
        <f t="shared" ca="1" si="1828"/>
        <v>0</v>
      </c>
      <c r="W1266" s="1423">
        <f t="shared" ca="1" si="1829"/>
        <v>0</v>
      </c>
      <c r="X1266" s="202"/>
      <c r="Y1266" s="202"/>
      <c r="Z1266" s="202"/>
      <c r="AA1266" s="152"/>
      <c r="AB1266" s="152"/>
    </row>
    <row r="1267" spans="1:28" hidden="1" outlineLevel="1">
      <c r="A1267" s="199">
        <f t="shared" si="1830"/>
        <v>11</v>
      </c>
      <c r="B1267" s="190" t="str">
        <f t="shared" ca="1" si="1831"/>
        <v>Depreciated Net Capex 2026-27</v>
      </c>
      <c r="C1267" s="1426"/>
      <c r="D1267" s="1426"/>
      <c r="E1267" s="1426"/>
      <c r="F1267" s="1426"/>
      <c r="G1267" s="1426"/>
      <c r="H1267" s="1426"/>
      <c r="I1267" s="1426"/>
      <c r="J1267" s="1426"/>
      <c r="K1267" s="1426"/>
      <c r="L1267" s="1426"/>
      <c r="M1267" s="1427"/>
      <c r="N1267" s="1428">
        <f>N1251</f>
        <v>0</v>
      </c>
      <c r="O1267" s="1423">
        <f ca="1">IF(N1291="n/a",N1267,IFERROR(IF((OFFSET($C1267,0,$A1267))&lt;0,
MIN(0,N1267-(OFFSET($C1267,0,$A1267)/(OFFSET($C1262,-$A1266,$A1267)))),
MAX(0,N1267-(OFFSET($C1267,0,$A1267)/(OFFSET($C1262,-$A1266,$A1267))))),0))</f>
        <v>0</v>
      </c>
      <c r="P1267" s="1423">
        <f t="shared" ca="1" si="1822"/>
        <v>0</v>
      </c>
      <c r="Q1267" s="1423">
        <f t="shared" ca="1" si="1823"/>
        <v>0</v>
      </c>
      <c r="R1267" s="1423">
        <f t="shared" ca="1" si="1824"/>
        <v>0</v>
      </c>
      <c r="S1267" s="1423">
        <f t="shared" ca="1" si="1825"/>
        <v>0</v>
      </c>
      <c r="T1267" s="1423">
        <f t="shared" ca="1" si="1826"/>
        <v>0</v>
      </c>
      <c r="U1267" s="1423">
        <f t="shared" ca="1" si="1827"/>
        <v>0</v>
      </c>
      <c r="V1267" s="1423">
        <f t="shared" ca="1" si="1828"/>
        <v>0</v>
      </c>
      <c r="W1267" s="1423">
        <f t="shared" ca="1" si="1829"/>
        <v>0</v>
      </c>
      <c r="X1267" s="202"/>
      <c r="Y1267" s="202"/>
      <c r="Z1267" s="202"/>
      <c r="AA1267" s="152"/>
      <c r="AB1267" s="152"/>
    </row>
    <row r="1268" spans="1:28" hidden="1" outlineLevel="1">
      <c r="A1268" s="199">
        <f t="shared" si="1830"/>
        <v>12</v>
      </c>
      <c r="B1268" s="190" t="str">
        <f t="shared" ca="1" si="1831"/>
        <v>Depreciated Net Capex 2027-28</v>
      </c>
      <c r="C1268" s="1426"/>
      <c r="D1268" s="1426"/>
      <c r="E1268" s="1426"/>
      <c r="F1268" s="1426"/>
      <c r="G1268" s="1426"/>
      <c r="H1268" s="1426"/>
      <c r="I1268" s="1426"/>
      <c r="J1268" s="1426"/>
      <c r="K1268" s="1426"/>
      <c r="L1268" s="1426"/>
      <c r="M1268" s="1426"/>
      <c r="N1268" s="1427"/>
      <c r="O1268" s="1428">
        <f>O1251</f>
        <v>0</v>
      </c>
      <c r="P1268" s="1423">
        <f ca="1">IF(O1292="n/a",O1268,IFERROR(IF((OFFSET($C1268,0,$A1268))&lt;0,
MIN(0,O1268-(OFFSET($C1268,0,$A1268)/(OFFSET($C1263,-$A1267,$A1268)))),
MAX(0,O1268-(OFFSET($C1268,0,$A1268)/(OFFSET($C1263,-$A1267,$A1268))))),0))</f>
        <v>0</v>
      </c>
      <c r="Q1268" s="1423">
        <f t="shared" ca="1" si="1823"/>
        <v>0</v>
      </c>
      <c r="R1268" s="1423">
        <f t="shared" ca="1" si="1824"/>
        <v>0</v>
      </c>
      <c r="S1268" s="1423">
        <f t="shared" ca="1" si="1825"/>
        <v>0</v>
      </c>
      <c r="T1268" s="1423">
        <f t="shared" ca="1" si="1826"/>
        <v>0</v>
      </c>
      <c r="U1268" s="1423">
        <f t="shared" ca="1" si="1827"/>
        <v>0</v>
      </c>
      <c r="V1268" s="1423">
        <f t="shared" ca="1" si="1828"/>
        <v>0</v>
      </c>
      <c r="W1268" s="1423">
        <f t="shared" ca="1" si="1829"/>
        <v>0</v>
      </c>
      <c r="X1268" s="202"/>
      <c r="Y1268" s="202"/>
      <c r="Z1268" s="202"/>
      <c r="AA1268" s="152"/>
      <c r="AB1268" s="152"/>
    </row>
    <row r="1269" spans="1:28" hidden="1" outlineLevel="1">
      <c r="A1269" s="199">
        <f t="shared" si="1830"/>
        <v>13</v>
      </c>
      <c r="B1269" s="190" t="str">
        <f t="shared" ca="1" si="1831"/>
        <v>Depreciated Net Capex 2028-29</v>
      </c>
      <c r="C1269" s="1426"/>
      <c r="D1269" s="1426"/>
      <c r="E1269" s="1426"/>
      <c r="F1269" s="1426"/>
      <c r="G1269" s="1426"/>
      <c r="H1269" s="1426"/>
      <c r="I1269" s="1426"/>
      <c r="J1269" s="1426"/>
      <c r="K1269" s="1426"/>
      <c r="L1269" s="1426"/>
      <c r="M1269" s="1426"/>
      <c r="N1269" s="1426"/>
      <c r="O1269" s="1427"/>
      <c r="P1269" s="1428">
        <f>P1251</f>
        <v>0</v>
      </c>
      <c r="Q1269" s="1423">
        <f ca="1">IF(P1293="n/a",P1269,IFERROR(IF((OFFSET($C1269,0,$A1269))&lt;0,
MIN(0,P1269-(OFFSET($C1269,0,$A1269)/(OFFSET($C1264,-$A1268,$A1269)))),
MAX(0,P1269-(OFFSET($C1269,0,$A1269)/(OFFSET($C1264,-$A1268,$A1269))))),0))</f>
        <v>0</v>
      </c>
      <c r="R1269" s="1423">
        <f t="shared" ca="1" si="1824"/>
        <v>0</v>
      </c>
      <c r="S1269" s="1423">
        <f t="shared" ca="1" si="1825"/>
        <v>0</v>
      </c>
      <c r="T1269" s="1423">
        <f t="shared" ca="1" si="1826"/>
        <v>0</v>
      </c>
      <c r="U1269" s="1423">
        <f t="shared" ca="1" si="1827"/>
        <v>0</v>
      </c>
      <c r="V1269" s="1423">
        <f t="shared" ca="1" si="1828"/>
        <v>0</v>
      </c>
      <c r="W1269" s="1423">
        <f t="shared" ca="1" si="1829"/>
        <v>0</v>
      </c>
      <c r="X1269" s="202"/>
      <c r="Y1269" s="202"/>
      <c r="Z1269" s="202"/>
      <c r="AA1269" s="152"/>
      <c r="AB1269" s="152"/>
    </row>
    <row r="1270" spans="1:28" hidden="1" outlineLevel="1">
      <c r="A1270" s="199">
        <f t="shared" si="1830"/>
        <v>14</v>
      </c>
      <c r="B1270" s="190" t="str">
        <f t="shared" ca="1" si="1831"/>
        <v>Depreciated Net Capex 2029-30</v>
      </c>
      <c r="C1270" s="1426"/>
      <c r="D1270" s="1426"/>
      <c r="E1270" s="1426"/>
      <c r="F1270" s="1426"/>
      <c r="G1270" s="1426"/>
      <c r="H1270" s="1426"/>
      <c r="I1270" s="1426"/>
      <c r="J1270" s="1426"/>
      <c r="K1270" s="1426"/>
      <c r="L1270" s="1426"/>
      <c r="M1270" s="1426"/>
      <c r="N1270" s="1426"/>
      <c r="O1270" s="1426"/>
      <c r="P1270" s="1427"/>
      <c r="Q1270" s="1428">
        <f>Q1251</f>
        <v>0</v>
      </c>
      <c r="R1270" s="1423">
        <f ca="1">IF(Q1294="n/a",Q1270,IFERROR(IF((OFFSET($C1270,0,$A1270))&lt;0,
MIN(0,Q1270-(OFFSET($C1270,0,$A1270)/(OFFSET($C1265,-$A1269,$A1270)))),
MAX(0,Q1270-(OFFSET($C1270,0,$A1270)/(OFFSET($C1265,-$A1269,$A1270))))),0))</f>
        <v>0</v>
      </c>
      <c r="S1270" s="1423">
        <f t="shared" ca="1" si="1825"/>
        <v>0</v>
      </c>
      <c r="T1270" s="1423">
        <f t="shared" ca="1" si="1826"/>
        <v>0</v>
      </c>
      <c r="U1270" s="1423">
        <f t="shared" ca="1" si="1827"/>
        <v>0</v>
      </c>
      <c r="V1270" s="1423">
        <f t="shared" ca="1" si="1828"/>
        <v>0</v>
      </c>
      <c r="W1270" s="1423">
        <f t="shared" ca="1" si="1829"/>
        <v>0</v>
      </c>
      <c r="X1270" s="202"/>
      <c r="Y1270" s="202"/>
      <c r="Z1270" s="202"/>
      <c r="AA1270" s="152"/>
      <c r="AB1270" s="152"/>
    </row>
    <row r="1271" spans="1:28" hidden="1" outlineLevel="1">
      <c r="A1271" s="199">
        <f t="shared" si="1830"/>
        <v>15</v>
      </c>
      <c r="B1271" s="190" t="str">
        <f t="shared" ca="1" si="1831"/>
        <v>Depreciated Net Capex 2030-31</v>
      </c>
      <c r="C1271" s="1426"/>
      <c r="D1271" s="1426"/>
      <c r="E1271" s="1426"/>
      <c r="F1271" s="1426"/>
      <c r="G1271" s="1426"/>
      <c r="H1271" s="1426"/>
      <c r="I1271" s="1426"/>
      <c r="J1271" s="1426"/>
      <c r="K1271" s="1426"/>
      <c r="L1271" s="1426"/>
      <c r="M1271" s="1426"/>
      <c r="N1271" s="1426"/>
      <c r="O1271" s="1426"/>
      <c r="P1271" s="1426"/>
      <c r="Q1271" s="1427"/>
      <c r="R1271" s="1428">
        <f>R1251</f>
        <v>0</v>
      </c>
      <c r="S1271" s="1423">
        <f ca="1">IF(R1295="n/a",R1271,IFERROR(IF((OFFSET($C1271,0,$A1271))&lt;0,
MIN(0,R1271-(OFFSET($C1271,0,$A1271)/(OFFSET($C1266,-$A1270,$A1271)))),
MAX(0,R1271-(OFFSET($C1271,0,$A1271)/(OFFSET($C1266,-$A1270,$A1271))))),0))</f>
        <v>0</v>
      </c>
      <c r="T1271" s="1423">
        <f t="shared" ca="1" si="1826"/>
        <v>0</v>
      </c>
      <c r="U1271" s="1423">
        <f t="shared" ca="1" si="1827"/>
        <v>0</v>
      </c>
      <c r="V1271" s="1423">
        <f t="shared" ca="1" si="1828"/>
        <v>0</v>
      </c>
      <c r="W1271" s="1423">
        <f t="shared" ca="1" si="1829"/>
        <v>0</v>
      </c>
      <c r="X1271" s="202"/>
      <c r="Y1271" s="202"/>
      <c r="Z1271" s="202"/>
      <c r="AA1271" s="152"/>
      <c r="AB1271" s="152"/>
    </row>
    <row r="1272" spans="1:28" hidden="1" outlineLevel="1">
      <c r="A1272" s="199">
        <f t="shared" si="1830"/>
        <v>16</v>
      </c>
      <c r="B1272" s="190" t="str">
        <f t="shared" ca="1" si="1831"/>
        <v>Depreciated Net Capex 2031-32</v>
      </c>
      <c r="C1272" s="1426"/>
      <c r="D1272" s="1426"/>
      <c r="E1272" s="1426"/>
      <c r="F1272" s="1426"/>
      <c r="G1272" s="1426"/>
      <c r="H1272" s="1426"/>
      <c r="I1272" s="1426"/>
      <c r="J1272" s="1426"/>
      <c r="K1272" s="1426"/>
      <c r="L1272" s="1426"/>
      <c r="M1272" s="1426"/>
      <c r="N1272" s="1426"/>
      <c r="O1272" s="1426"/>
      <c r="P1272" s="1426"/>
      <c r="Q1272" s="1426"/>
      <c r="R1272" s="1427"/>
      <c r="S1272" s="1428">
        <f>S1251</f>
        <v>0</v>
      </c>
      <c r="T1272" s="1423">
        <f ca="1">IF(S1296="n/a",S1272,IFERROR(IF((OFFSET($C1272,0,$A1272))&lt;0,
MIN(0,S1272-(OFFSET($C1272,0,$A1272)/(OFFSET($C1267,-$A1271,$A1272)))),
MAX(0,S1272-(OFFSET($C1272,0,$A1272)/(OFFSET($C1267,-$A1271,$A1272))))),0))</f>
        <v>0</v>
      </c>
      <c r="U1272" s="1423">
        <f t="shared" ca="1" si="1827"/>
        <v>0</v>
      </c>
      <c r="V1272" s="1423">
        <f t="shared" ca="1" si="1828"/>
        <v>0</v>
      </c>
      <c r="W1272" s="1423">
        <f t="shared" ca="1" si="1829"/>
        <v>0</v>
      </c>
      <c r="X1272" s="202"/>
      <c r="Y1272" s="202"/>
      <c r="Z1272" s="202"/>
      <c r="AA1272" s="152"/>
      <c r="AB1272" s="152"/>
    </row>
    <row r="1273" spans="1:28" hidden="1" outlineLevel="1">
      <c r="A1273" s="199">
        <f t="shared" si="1830"/>
        <v>17</v>
      </c>
      <c r="B1273" s="190" t="str">
        <f t="shared" ca="1" si="1831"/>
        <v>Depreciated Net Capex 2032-33</v>
      </c>
      <c r="C1273" s="1426"/>
      <c r="D1273" s="1426"/>
      <c r="E1273" s="1426"/>
      <c r="F1273" s="1426"/>
      <c r="G1273" s="1426"/>
      <c r="H1273" s="1426"/>
      <c r="I1273" s="1426"/>
      <c r="J1273" s="1426"/>
      <c r="K1273" s="1426"/>
      <c r="L1273" s="1426"/>
      <c r="M1273" s="1426"/>
      <c r="N1273" s="1426"/>
      <c r="O1273" s="1426"/>
      <c r="P1273" s="1426"/>
      <c r="Q1273" s="1426"/>
      <c r="R1273" s="1426"/>
      <c r="S1273" s="1427"/>
      <c r="T1273" s="1428">
        <f>T1251</f>
        <v>0</v>
      </c>
      <c r="U1273" s="1423">
        <f ca="1">IF(T1297="n/a",T1273,IFERROR(IF((OFFSET($C1273,0,$A1273))&lt;0,
MIN(0,T1273-(OFFSET($C1273,0,$A1273)/(OFFSET($C1268,-$A1272,$A1273)))),
MAX(0,T1273-(OFFSET($C1273,0,$A1273)/(OFFSET($C1268,-$A1272,$A1273))))),0))</f>
        <v>0</v>
      </c>
      <c r="V1273" s="1423">
        <f t="shared" ca="1" si="1828"/>
        <v>0</v>
      </c>
      <c r="W1273" s="1423">
        <f t="shared" ca="1" si="1829"/>
        <v>0</v>
      </c>
      <c r="X1273" s="202"/>
      <c r="Y1273" s="202"/>
      <c r="Z1273" s="202"/>
      <c r="AA1273" s="152"/>
      <c r="AB1273" s="152"/>
    </row>
    <row r="1274" spans="1:28" hidden="1" outlineLevel="1">
      <c r="A1274" s="199">
        <f t="shared" si="1830"/>
        <v>18</v>
      </c>
      <c r="B1274" s="190" t="str">
        <f t="shared" ca="1" si="1831"/>
        <v>Depreciated Net Capex 2033-34</v>
      </c>
      <c r="C1274" s="1426"/>
      <c r="D1274" s="1426"/>
      <c r="E1274" s="1426"/>
      <c r="F1274" s="1426"/>
      <c r="G1274" s="1426"/>
      <c r="H1274" s="1426"/>
      <c r="I1274" s="1426"/>
      <c r="J1274" s="1426"/>
      <c r="K1274" s="1426"/>
      <c r="L1274" s="1426"/>
      <c r="M1274" s="1426"/>
      <c r="N1274" s="1426"/>
      <c r="O1274" s="1426"/>
      <c r="P1274" s="1426"/>
      <c r="Q1274" s="1426"/>
      <c r="R1274" s="1426"/>
      <c r="S1274" s="1426"/>
      <c r="T1274" s="1427"/>
      <c r="U1274" s="1428">
        <f>U1251</f>
        <v>0</v>
      </c>
      <c r="V1274" s="1423">
        <f ca="1">IF(U1298="n/a",U1274,IFERROR(IF((OFFSET($C1274,0,$A1274))&lt;0,
MIN(0,U1274-(OFFSET($C1274,0,$A1274)/(OFFSET($C1269,-$A1273,$A1274)))),
MAX(0,U1274-(OFFSET($C1274,0,$A1274)/(OFFSET($C1269,-$A1273,$A1274))))),0))</f>
        <v>0</v>
      </c>
      <c r="W1274" s="1423">
        <f t="shared" ca="1" si="1829"/>
        <v>0</v>
      </c>
      <c r="X1274" s="202"/>
      <c r="Y1274" s="202"/>
      <c r="Z1274" s="202"/>
      <c r="AA1274" s="152"/>
      <c r="AB1274" s="152"/>
    </row>
    <row r="1275" spans="1:28" hidden="1" outlineLevel="1">
      <c r="A1275" s="199">
        <f t="shared" si="1830"/>
        <v>19</v>
      </c>
      <c r="B1275" s="190" t="str">
        <f t="shared" ca="1" si="1831"/>
        <v>Depreciated Net Capex 2034-35</v>
      </c>
      <c r="C1275" s="1426"/>
      <c r="D1275" s="1426"/>
      <c r="E1275" s="1426"/>
      <c r="F1275" s="1426"/>
      <c r="G1275" s="1426"/>
      <c r="H1275" s="1426"/>
      <c r="I1275" s="1426"/>
      <c r="J1275" s="1426"/>
      <c r="K1275" s="1426"/>
      <c r="L1275" s="1426"/>
      <c r="M1275" s="1426"/>
      <c r="N1275" s="1426"/>
      <c r="O1275" s="1426"/>
      <c r="P1275" s="1426"/>
      <c r="Q1275" s="1426"/>
      <c r="R1275" s="1426"/>
      <c r="S1275" s="1426"/>
      <c r="T1275" s="1426"/>
      <c r="U1275" s="1427"/>
      <c r="V1275" s="1428">
        <f>V1251</f>
        <v>0</v>
      </c>
      <c r="W1275" s="1423">
        <f ca="1">IF(V1299="n/a",V1275,IFERROR(IF((OFFSET($C1275,0,$A1275))&lt;0,
MIN(0,V1275-(OFFSET($C1275,0,$A1275)/(OFFSET($C1270,-$A1274,$A1275)))),
MAX(0,V1275-(OFFSET($C1275,0,$A1275)/(OFFSET($C1270,-$A1274,$A1275))))),0))</f>
        <v>0</v>
      </c>
      <c r="X1275" s="202"/>
      <c r="Y1275" s="202"/>
      <c r="Z1275" s="202"/>
      <c r="AA1275" s="152"/>
      <c r="AB1275" s="152"/>
    </row>
    <row r="1276" spans="1:28" hidden="1" outlineLevel="1">
      <c r="A1276" s="199">
        <f t="shared" si="1830"/>
        <v>20</v>
      </c>
      <c r="B1276" s="190" t="str">
        <f t="shared" ca="1" si="1831"/>
        <v>Depreciated Net Capex 2035-36</v>
      </c>
      <c r="C1276" s="1426"/>
      <c r="D1276" s="1426"/>
      <c r="E1276" s="1426"/>
      <c r="F1276" s="1426"/>
      <c r="G1276" s="1426"/>
      <c r="H1276" s="1426"/>
      <c r="I1276" s="1426"/>
      <c r="J1276" s="1426"/>
      <c r="K1276" s="1426"/>
      <c r="L1276" s="1426"/>
      <c r="M1276" s="1426"/>
      <c r="N1276" s="1426"/>
      <c r="O1276" s="1426"/>
      <c r="P1276" s="1426"/>
      <c r="Q1276" s="1426"/>
      <c r="R1276" s="1426"/>
      <c r="S1276" s="1426"/>
      <c r="T1276" s="1426"/>
      <c r="U1276" s="1426"/>
      <c r="V1276" s="1427"/>
      <c r="W1276" s="1423">
        <f>W1251</f>
        <v>0</v>
      </c>
      <c r="X1276" s="152"/>
      <c r="Y1276" s="152"/>
      <c r="Z1276" s="152"/>
      <c r="AA1276" s="152"/>
      <c r="AB1276" s="152"/>
    </row>
    <row r="1277" spans="1:28" hidden="1" outlineLevel="1">
      <c r="A1277" s="152"/>
      <c r="B1277" s="200"/>
      <c r="C1277" s="1423"/>
      <c r="D1277" s="1423"/>
      <c r="E1277" s="1423"/>
      <c r="F1277" s="1423"/>
      <c r="G1277" s="1423"/>
      <c r="H1277" s="1423"/>
      <c r="I1277" s="1423"/>
      <c r="J1277" s="1423"/>
      <c r="K1277" s="1423"/>
      <c r="L1277" s="1423"/>
      <c r="M1277" s="1423"/>
      <c r="N1277" s="1423"/>
      <c r="O1277" s="1423"/>
      <c r="P1277" s="1423"/>
      <c r="Q1277" s="1423"/>
      <c r="R1277" s="1423"/>
      <c r="S1277" s="1423"/>
      <c r="T1277" s="1423"/>
      <c r="U1277" s="1423"/>
      <c r="V1277" s="1423"/>
      <c r="W1277" s="1423"/>
      <c r="X1277" s="152"/>
      <c r="Y1277" s="152"/>
      <c r="Z1277" s="152"/>
      <c r="AA1277" s="152"/>
      <c r="AB1277" s="152"/>
    </row>
    <row r="1278" spans="1:28" hidden="1" outlineLevel="1">
      <c r="A1278" s="152"/>
      <c r="B1278" s="200"/>
      <c r="C1278" s="1423"/>
      <c r="D1278" s="1423"/>
      <c r="E1278" s="1423"/>
      <c r="F1278" s="1423"/>
      <c r="G1278" s="1423"/>
      <c r="H1278" s="1423"/>
      <c r="I1278" s="1423"/>
      <c r="J1278" s="1423"/>
      <c r="K1278" s="1423"/>
      <c r="L1278" s="1423"/>
      <c r="M1278" s="1423"/>
      <c r="N1278" s="1423"/>
      <c r="O1278" s="1423"/>
      <c r="P1278" s="1423"/>
      <c r="Q1278" s="1423"/>
      <c r="R1278" s="1423"/>
      <c r="S1278" s="1423"/>
      <c r="T1278" s="1423"/>
      <c r="U1278" s="1423"/>
      <c r="V1278" s="1423"/>
      <c r="W1278" s="1423"/>
      <c r="X1278" s="152"/>
      <c r="Y1278" s="152"/>
      <c r="Z1278" s="152"/>
      <c r="AA1278" s="152"/>
      <c r="AB1278" s="152"/>
    </row>
    <row r="1279" spans="1:28" hidden="1" outlineLevel="1">
      <c r="A1279" s="152"/>
      <c r="B1279" s="190" t="s">
        <v>194</v>
      </c>
      <c r="C1279" s="1423"/>
      <c r="D1279" s="1423">
        <f t="shared" ref="D1279" ca="1" si="1832">IF(AND(C1279&lt;1,D1253=0),0,
IF(D1253=0,C1279-1,
IF(C1279&lt;1,D1254,
(((C1279-1)*(C1255-(C1255/(C1279))))+(D1253*D1254))/(D1255))))</f>
        <v>0</v>
      </c>
      <c r="E1279" s="1423">
        <f t="shared" ref="E1279" ca="1" si="1833">IF(AND(D1279&lt;1,E1253=0),0,
IF(E1253=0,D1279-1,
IF(D1279&lt;1,E1254,
(((D1279-1)*(D1255-(D1255/(D1279))))+(E1253*E1254))/(E1255))))</f>
        <v>0</v>
      </c>
      <c r="F1279" s="1423">
        <f t="shared" ref="F1279" ca="1" si="1834">IF(AND(E1279&lt;1,F1253=0),0,
IF(F1253=0,E1279-1,
IF(E1279&lt;1,F1254,
(((E1279-1)*(E1255-(E1255/(E1279))))+(F1253*F1254))/(F1255))))</f>
        <v>0</v>
      </c>
      <c r="G1279" s="1423">
        <f t="shared" ref="G1279" ca="1" si="1835">IF(AND(F1279&lt;1,G1253=0),0,
IF(G1253=0,F1279-1,
IF(F1279&lt;1,G1254,
(((F1279-1)*(F1255-(F1255/(F1279))))+(G1253*G1254))/(G1255))))</f>
        <v>0</v>
      </c>
      <c r="H1279" s="1423">
        <f ca="1">IF(AND(G1279&lt;1,H1253=0),0,
IF(H1253=0,G1279-1,
IF(G1279&lt;1,H1254,
(((G1279-1)*(G1255-(G1255/(G1279))))+(H1253*H1254))/(H1255))))</f>
        <v>0</v>
      </c>
      <c r="I1279" s="1423">
        <f t="shared" ref="I1279" ca="1" si="1836">IF(AND(H1279&lt;1,I1253=0),0,
IF(I1253=0,H1279-1,
IF(H1279&lt;1,I1254,
(((H1279-1)*(H1255-(H1255/(H1279))))+(I1253*I1254))/(I1255))))</f>
        <v>0</v>
      </c>
      <c r="J1279" s="1423">
        <f t="shared" ref="J1279" ca="1" si="1837">IF(AND(I1279&lt;1,J1253=0),0,
IF(J1253=0,I1279-1,
IF(I1279&lt;1,J1254,
(((I1279-1)*(I1255-(I1255/(I1279))))+(J1253*J1254))/(J1255))))</f>
        <v>0</v>
      </c>
      <c r="K1279" s="1423">
        <f t="shared" ref="K1279" ca="1" si="1838">IF(AND(J1279&lt;1,K1253=0),0,
IF(K1253=0,J1279-1,
IF(J1279&lt;1,K1254,
(((J1279-1)*(J1255-(J1255/(J1279))))+(K1253*K1254))/(K1255))))</f>
        <v>0</v>
      </c>
      <c r="L1279" s="1423">
        <f t="shared" ref="L1279" ca="1" si="1839">IF(AND(K1279&lt;1,L1253=0),0,
IF(L1253=0,K1279-1,
IF(K1279&lt;1,L1254,
(((K1279-1)*(K1255-(K1255/(K1279))))+(L1253*L1254))/(L1255))))</f>
        <v>0</v>
      </c>
      <c r="M1279" s="1423">
        <f ca="1">IF(AND(L1279&lt;1,M1253=0),0,
IF(M1253=0,L1279-1,
IF(L1279&lt;1,M1254,
(((L1279-1)*(L1255-(L1255/(L1279))))+(M1253*M1254))/(M1255))))</f>
        <v>0</v>
      </c>
      <c r="N1279" s="1423">
        <f t="shared" ref="N1279" ca="1" si="1840">IF(AND(M1279&lt;1,N1253=0),0,
IF(N1253=0,M1279-1,
IF(M1279&lt;1,N1254,
(((M1279-1)*(M1255-(M1255/(M1279))))+(N1253*N1254))/(N1255))))</f>
        <v>0</v>
      </c>
      <c r="O1279" s="1423">
        <f t="shared" ref="O1279" ca="1" si="1841">IF(AND(N1279&lt;1,O1253=0),0,
IF(O1253=0,N1279-1,
IF(N1279&lt;1,O1254,
(((N1279-1)*(N1255-(N1255/(N1279))))+(O1253*O1254))/(O1255))))</f>
        <v>0</v>
      </c>
      <c r="P1279" s="1423">
        <f t="shared" ref="P1279" ca="1" si="1842">IF(AND(O1279&lt;1,P1253=0),0,
IF(P1253=0,O1279-1,
IF(O1279&lt;1,P1254,
(((O1279-1)*(O1255-(O1255/(O1279))))+(P1253*P1254))/(P1255))))</f>
        <v>0</v>
      </c>
      <c r="Q1279" s="1423">
        <f t="shared" ref="Q1279" ca="1" si="1843">IF(AND(P1279&lt;1,Q1253=0),0,
IF(Q1253=0,P1279-1,
IF(P1279&lt;1,Q1254,
(((P1279-1)*(P1255-(P1255/(P1279))))+(Q1253*Q1254))/(Q1255))))</f>
        <v>0</v>
      </c>
      <c r="R1279" s="1423">
        <f t="shared" ref="R1279" ca="1" si="1844">IF(AND(Q1279&lt;1,R1253=0),0,
IF(R1253=0,Q1279-1,
IF(Q1279&lt;1,R1254,
(((Q1279-1)*(Q1255-(Q1255/(Q1279))))+(R1253*R1254))/(R1255))))</f>
        <v>0</v>
      </c>
      <c r="S1279" s="1423">
        <f t="shared" ref="S1279" ca="1" si="1845">IF(AND(R1279&lt;1,S1253=0),0,
IF(S1253=0,R1279-1,
IF(R1279&lt;1,S1254,
(((R1279-1)*(R1255-(R1255/(R1279))))+(S1253*S1254))/(S1255))))</f>
        <v>0</v>
      </c>
      <c r="T1279" s="1423">
        <f t="shared" ref="T1279" ca="1" si="1846">IF(AND(S1279&lt;1,T1253=0),0,
IF(T1253=0,S1279-1,
IF(S1279&lt;1,T1254,
(((S1279-1)*(S1255-(S1255/(S1279))))+(T1253*T1254))/(T1255))))</f>
        <v>0</v>
      </c>
      <c r="U1279" s="1423">
        <f t="shared" ref="U1279" ca="1" si="1847">IF(AND(T1279&lt;1,U1253=0),0,
IF(U1253=0,T1279-1,
IF(T1279&lt;1,U1254,
(((T1279-1)*(T1255-(T1255/(T1279))))+(U1253*U1254))/(U1255))))</f>
        <v>0</v>
      </c>
      <c r="V1279" s="1423">
        <f t="shared" ref="V1279" ca="1" si="1848">IF(AND(U1279&lt;1,V1253=0),0,
IF(V1253=0,U1279-1,
IF(U1279&lt;1,V1254,
(((U1279-1)*(U1255-(U1255/(U1279))))+(V1253*V1254))/(V1255))))</f>
        <v>0</v>
      </c>
      <c r="W1279" s="1423">
        <f t="shared" ref="W1279" ca="1" si="1849">IF(AND(V1279&lt;1,W1253=0),0,
IF(W1253=0,V1279-1,
IF(V1279&lt;1,W1254,
(((V1279-1)*(V1255-(V1255/(V1279))))+(W1253*W1254))/(W1255))))</f>
        <v>0</v>
      </c>
      <c r="X1279" s="152"/>
      <c r="Y1279" s="152"/>
      <c r="Z1279" s="152"/>
      <c r="AA1279" s="152"/>
      <c r="AB1279" s="152"/>
    </row>
    <row r="1280" spans="1:28" hidden="1" outlineLevel="1">
      <c r="A1280" s="152"/>
      <c r="B1280" s="190" t="s">
        <v>193</v>
      </c>
      <c r="C1280" s="1423">
        <f ca="1">C1252</f>
        <v>0</v>
      </c>
      <c r="D1280" s="1423">
        <f t="shared" ref="D1280" ca="1" si="1850">IF(C1280="n/a","n/a",MAX(0,C1280-1))</f>
        <v>0</v>
      </c>
      <c r="E1280" s="1423">
        <f t="shared" ref="E1280:E1281" ca="1" si="1851">IF(D1280="n/a","n/a",MAX(0,D1280-1))</f>
        <v>0</v>
      </c>
      <c r="F1280" s="1423">
        <f t="shared" ref="F1280:F1282" ca="1" si="1852">IF(E1280="n/a","n/a",MAX(0,E1280-1))</f>
        <v>0</v>
      </c>
      <c r="G1280" s="1423">
        <f t="shared" ref="G1280:G1283" ca="1" si="1853">IF(F1280="n/a","n/a",MAX(0,F1280-1))</f>
        <v>0</v>
      </c>
      <c r="H1280" s="1423">
        <f t="shared" ref="H1280:H1284" ca="1" si="1854">IF(G1280="n/a","n/a",MAX(0,G1280-1))</f>
        <v>0</v>
      </c>
      <c r="I1280" s="1423">
        <f t="shared" ref="I1280:I1285" ca="1" si="1855">IF(H1280="n/a","n/a",MAX(0,H1280-1))</f>
        <v>0</v>
      </c>
      <c r="J1280" s="1423">
        <f t="shared" ref="J1280:J1286" ca="1" si="1856">IF(I1280="n/a","n/a",MAX(0,I1280-1))</f>
        <v>0</v>
      </c>
      <c r="K1280" s="1423">
        <f t="shared" ref="K1280:K1287" ca="1" si="1857">IF(J1280="n/a","n/a",MAX(0,J1280-1))</f>
        <v>0</v>
      </c>
      <c r="L1280" s="1423">
        <f t="shared" ref="L1280:L1288" ca="1" si="1858">IF(K1280="n/a","n/a",MAX(0,K1280-1))</f>
        <v>0</v>
      </c>
      <c r="M1280" s="1423">
        <f t="shared" ref="M1280:M1289" ca="1" si="1859">IF(L1280="n/a","n/a",MAX(0,L1280-1))</f>
        <v>0</v>
      </c>
      <c r="N1280" s="1423">
        <f t="shared" ref="N1280:N1290" ca="1" si="1860">IF(M1280="n/a","n/a",MAX(0,M1280-1))</f>
        <v>0</v>
      </c>
      <c r="O1280" s="1423">
        <f t="shared" ref="O1280:O1291" ca="1" si="1861">IF(N1280="n/a","n/a",MAX(0,N1280-1))</f>
        <v>0</v>
      </c>
      <c r="P1280" s="1423">
        <f t="shared" ref="P1280:P1292" ca="1" si="1862">IF(O1280="n/a","n/a",MAX(0,O1280-1))</f>
        <v>0</v>
      </c>
      <c r="Q1280" s="1423">
        <f t="shared" ref="Q1280:Q1293" ca="1" si="1863">IF(P1280="n/a","n/a",MAX(0,P1280-1))</f>
        <v>0</v>
      </c>
      <c r="R1280" s="1423">
        <f t="shared" ref="R1280:R1294" ca="1" si="1864">IF(Q1280="n/a","n/a",MAX(0,Q1280-1))</f>
        <v>0</v>
      </c>
      <c r="S1280" s="1423">
        <f t="shared" ref="S1280:S1295" ca="1" si="1865">IF(R1280="n/a","n/a",MAX(0,R1280-1))</f>
        <v>0</v>
      </c>
      <c r="T1280" s="1423">
        <f t="shared" ref="T1280:T1296" ca="1" si="1866">IF(S1280="n/a","n/a",MAX(0,S1280-1))</f>
        <v>0</v>
      </c>
      <c r="U1280" s="1423">
        <f t="shared" ref="U1280:U1297" ca="1" si="1867">IF(T1280="n/a","n/a",MAX(0,T1280-1))</f>
        <v>0</v>
      </c>
      <c r="V1280" s="1423">
        <f t="shared" ref="V1280:V1298" ca="1" si="1868">IF(U1280="n/a","n/a",MAX(0,U1280-1))</f>
        <v>0</v>
      </c>
      <c r="W1280" s="1423">
        <f t="shared" ref="W1280:W1298" ca="1" si="1869">IF(V1280="n/a","n/a",MAX(0,V1280-1))</f>
        <v>0</v>
      </c>
      <c r="X1280" s="152"/>
      <c r="Y1280" s="152"/>
      <c r="Z1280" s="152"/>
      <c r="AA1280" s="152"/>
      <c r="AB1280" s="152"/>
    </row>
    <row r="1281" spans="1:28" hidden="1" outlineLevel="1">
      <c r="A1281" s="152"/>
      <c r="B1281" s="190" t="str">
        <f t="shared" ref="B1281:B1300" ca="1" si="1870">"RL Capex "&amp;OFFSET($C$6,0,A1257)</f>
        <v>RL Capex 2016-17</v>
      </c>
      <c r="C1281" s="1424"/>
      <c r="D1281" s="1428">
        <f>D1252</f>
        <v>0</v>
      </c>
      <c r="E1281" s="1423">
        <f t="shared" si="1851"/>
        <v>0</v>
      </c>
      <c r="F1281" s="1423">
        <f t="shared" si="1852"/>
        <v>0</v>
      </c>
      <c r="G1281" s="1423">
        <f t="shared" si="1853"/>
        <v>0</v>
      </c>
      <c r="H1281" s="1423">
        <f t="shared" si="1854"/>
        <v>0</v>
      </c>
      <c r="I1281" s="1423">
        <f t="shared" si="1855"/>
        <v>0</v>
      </c>
      <c r="J1281" s="1423">
        <f t="shared" si="1856"/>
        <v>0</v>
      </c>
      <c r="K1281" s="1423">
        <f t="shared" si="1857"/>
        <v>0</v>
      </c>
      <c r="L1281" s="1423">
        <f t="shared" si="1858"/>
        <v>0</v>
      </c>
      <c r="M1281" s="1423">
        <f t="shared" si="1859"/>
        <v>0</v>
      </c>
      <c r="N1281" s="1423">
        <f t="shared" si="1860"/>
        <v>0</v>
      </c>
      <c r="O1281" s="1423">
        <f t="shared" si="1861"/>
        <v>0</v>
      </c>
      <c r="P1281" s="1423">
        <f t="shared" si="1862"/>
        <v>0</v>
      </c>
      <c r="Q1281" s="1423">
        <f t="shared" si="1863"/>
        <v>0</v>
      </c>
      <c r="R1281" s="1423">
        <f t="shared" si="1864"/>
        <v>0</v>
      </c>
      <c r="S1281" s="1423">
        <f t="shared" si="1865"/>
        <v>0</v>
      </c>
      <c r="T1281" s="1423">
        <f t="shared" si="1866"/>
        <v>0</v>
      </c>
      <c r="U1281" s="1423">
        <f t="shared" si="1867"/>
        <v>0</v>
      </c>
      <c r="V1281" s="1423">
        <f t="shared" si="1868"/>
        <v>0</v>
      </c>
      <c r="W1281" s="1423">
        <f t="shared" si="1869"/>
        <v>0</v>
      </c>
      <c r="X1281" s="152"/>
      <c r="Y1281" s="152"/>
      <c r="Z1281" s="152"/>
      <c r="AA1281" s="152"/>
      <c r="AB1281" s="152"/>
    </row>
    <row r="1282" spans="1:28" hidden="1" outlineLevel="1">
      <c r="A1282" s="152"/>
      <c r="B1282" s="190" t="str">
        <f t="shared" ca="1" si="1870"/>
        <v>RL Capex 2017-18</v>
      </c>
      <c r="C1282" s="1429"/>
      <c r="D1282" s="1424"/>
      <c r="E1282" s="1428">
        <f>E1252</f>
        <v>0</v>
      </c>
      <c r="F1282" s="1423">
        <f t="shared" si="1852"/>
        <v>0</v>
      </c>
      <c r="G1282" s="1423">
        <f t="shared" si="1853"/>
        <v>0</v>
      </c>
      <c r="H1282" s="1423">
        <f t="shared" si="1854"/>
        <v>0</v>
      </c>
      <c r="I1282" s="1423">
        <f t="shared" si="1855"/>
        <v>0</v>
      </c>
      <c r="J1282" s="1423">
        <f t="shared" si="1856"/>
        <v>0</v>
      </c>
      <c r="K1282" s="1423">
        <f t="shared" si="1857"/>
        <v>0</v>
      </c>
      <c r="L1282" s="1423">
        <f t="shared" si="1858"/>
        <v>0</v>
      </c>
      <c r="M1282" s="1423">
        <f t="shared" si="1859"/>
        <v>0</v>
      </c>
      <c r="N1282" s="1423">
        <f t="shared" si="1860"/>
        <v>0</v>
      </c>
      <c r="O1282" s="1423">
        <f t="shared" si="1861"/>
        <v>0</v>
      </c>
      <c r="P1282" s="1423">
        <f t="shared" si="1862"/>
        <v>0</v>
      </c>
      <c r="Q1282" s="1423">
        <f t="shared" si="1863"/>
        <v>0</v>
      </c>
      <c r="R1282" s="1423">
        <f t="shared" si="1864"/>
        <v>0</v>
      </c>
      <c r="S1282" s="1423">
        <f t="shared" si="1865"/>
        <v>0</v>
      </c>
      <c r="T1282" s="1423">
        <f t="shared" si="1866"/>
        <v>0</v>
      </c>
      <c r="U1282" s="1423">
        <f t="shared" si="1867"/>
        <v>0</v>
      </c>
      <c r="V1282" s="1423">
        <f t="shared" si="1868"/>
        <v>0</v>
      </c>
      <c r="W1282" s="1423">
        <f t="shared" si="1869"/>
        <v>0</v>
      </c>
      <c r="X1282" s="152"/>
      <c r="Y1282" s="152"/>
      <c r="Z1282" s="152"/>
      <c r="AA1282" s="152"/>
      <c r="AB1282" s="152"/>
    </row>
    <row r="1283" spans="1:28" hidden="1" outlineLevel="1">
      <c r="A1283" s="152"/>
      <c r="B1283" s="190" t="str">
        <f t="shared" ca="1" si="1870"/>
        <v>RL Capex 2018-19</v>
      </c>
      <c r="C1283" s="1429"/>
      <c r="D1283" s="1429"/>
      <c r="E1283" s="1424"/>
      <c r="F1283" s="1428">
        <f>F1252</f>
        <v>0</v>
      </c>
      <c r="G1283" s="1423">
        <f t="shared" si="1853"/>
        <v>0</v>
      </c>
      <c r="H1283" s="1423">
        <f t="shared" si="1854"/>
        <v>0</v>
      </c>
      <c r="I1283" s="1423">
        <f t="shared" si="1855"/>
        <v>0</v>
      </c>
      <c r="J1283" s="1423">
        <f t="shared" si="1856"/>
        <v>0</v>
      </c>
      <c r="K1283" s="1423">
        <f t="shared" si="1857"/>
        <v>0</v>
      </c>
      <c r="L1283" s="1423">
        <f t="shared" si="1858"/>
        <v>0</v>
      </c>
      <c r="M1283" s="1423">
        <f t="shared" si="1859"/>
        <v>0</v>
      </c>
      <c r="N1283" s="1423">
        <f t="shared" si="1860"/>
        <v>0</v>
      </c>
      <c r="O1283" s="1423">
        <f t="shared" si="1861"/>
        <v>0</v>
      </c>
      <c r="P1283" s="1423">
        <f t="shared" si="1862"/>
        <v>0</v>
      </c>
      <c r="Q1283" s="1423">
        <f t="shared" si="1863"/>
        <v>0</v>
      </c>
      <c r="R1283" s="1423">
        <f t="shared" si="1864"/>
        <v>0</v>
      </c>
      <c r="S1283" s="1423">
        <f t="shared" si="1865"/>
        <v>0</v>
      </c>
      <c r="T1283" s="1423">
        <f t="shared" si="1866"/>
        <v>0</v>
      </c>
      <c r="U1283" s="1423">
        <f t="shared" si="1867"/>
        <v>0</v>
      </c>
      <c r="V1283" s="1423">
        <f t="shared" si="1868"/>
        <v>0</v>
      </c>
      <c r="W1283" s="1423">
        <f t="shared" si="1869"/>
        <v>0</v>
      </c>
      <c r="X1283" s="152"/>
      <c r="Y1283" s="152"/>
      <c r="Z1283" s="152"/>
      <c r="AA1283" s="152"/>
      <c r="AB1283" s="152"/>
    </row>
    <row r="1284" spans="1:28" hidden="1" outlineLevel="1">
      <c r="A1284" s="152"/>
      <c r="B1284" s="190" t="str">
        <f t="shared" ca="1" si="1870"/>
        <v>RL Capex 2019-20</v>
      </c>
      <c r="C1284" s="1429"/>
      <c r="D1284" s="1429"/>
      <c r="E1284" s="1429"/>
      <c r="F1284" s="1424"/>
      <c r="G1284" s="1428">
        <f>G1252</f>
        <v>0</v>
      </c>
      <c r="H1284" s="1423">
        <f t="shared" si="1854"/>
        <v>0</v>
      </c>
      <c r="I1284" s="1423">
        <f t="shared" si="1855"/>
        <v>0</v>
      </c>
      <c r="J1284" s="1423">
        <f t="shared" si="1856"/>
        <v>0</v>
      </c>
      <c r="K1284" s="1423">
        <f t="shared" si="1857"/>
        <v>0</v>
      </c>
      <c r="L1284" s="1423">
        <f t="shared" si="1858"/>
        <v>0</v>
      </c>
      <c r="M1284" s="1423">
        <f t="shared" si="1859"/>
        <v>0</v>
      </c>
      <c r="N1284" s="1423">
        <f t="shared" si="1860"/>
        <v>0</v>
      </c>
      <c r="O1284" s="1423">
        <f t="shared" si="1861"/>
        <v>0</v>
      </c>
      <c r="P1284" s="1423">
        <f t="shared" si="1862"/>
        <v>0</v>
      </c>
      <c r="Q1284" s="1423">
        <f t="shared" si="1863"/>
        <v>0</v>
      </c>
      <c r="R1284" s="1423">
        <f t="shared" si="1864"/>
        <v>0</v>
      </c>
      <c r="S1284" s="1423">
        <f t="shared" si="1865"/>
        <v>0</v>
      </c>
      <c r="T1284" s="1423">
        <f t="shared" si="1866"/>
        <v>0</v>
      </c>
      <c r="U1284" s="1423">
        <f t="shared" si="1867"/>
        <v>0</v>
      </c>
      <c r="V1284" s="1423">
        <f t="shared" si="1868"/>
        <v>0</v>
      </c>
      <c r="W1284" s="1423">
        <f t="shared" si="1869"/>
        <v>0</v>
      </c>
      <c r="X1284" s="152"/>
      <c r="Y1284" s="152"/>
      <c r="Z1284" s="152"/>
      <c r="AA1284" s="152"/>
      <c r="AB1284" s="152"/>
    </row>
    <row r="1285" spans="1:28" hidden="1" outlineLevel="1">
      <c r="A1285" s="152"/>
      <c r="B1285" s="190" t="str">
        <f t="shared" ca="1" si="1870"/>
        <v>RL Capex 2020-21</v>
      </c>
      <c r="C1285" s="1429"/>
      <c r="D1285" s="1429"/>
      <c r="E1285" s="1429"/>
      <c r="F1285" s="1429"/>
      <c r="G1285" s="1424"/>
      <c r="H1285" s="1428">
        <f>H1252</f>
        <v>0</v>
      </c>
      <c r="I1285" s="1423">
        <f t="shared" si="1855"/>
        <v>0</v>
      </c>
      <c r="J1285" s="1423">
        <f t="shared" si="1856"/>
        <v>0</v>
      </c>
      <c r="K1285" s="1423">
        <f t="shared" si="1857"/>
        <v>0</v>
      </c>
      <c r="L1285" s="1423">
        <f t="shared" si="1858"/>
        <v>0</v>
      </c>
      <c r="M1285" s="1423">
        <f t="shared" si="1859"/>
        <v>0</v>
      </c>
      <c r="N1285" s="1423">
        <f t="shared" si="1860"/>
        <v>0</v>
      </c>
      <c r="O1285" s="1423">
        <f t="shared" si="1861"/>
        <v>0</v>
      </c>
      <c r="P1285" s="1423">
        <f t="shared" si="1862"/>
        <v>0</v>
      </c>
      <c r="Q1285" s="1423">
        <f t="shared" si="1863"/>
        <v>0</v>
      </c>
      <c r="R1285" s="1423">
        <f t="shared" si="1864"/>
        <v>0</v>
      </c>
      <c r="S1285" s="1423">
        <f t="shared" si="1865"/>
        <v>0</v>
      </c>
      <c r="T1285" s="1423">
        <f t="shared" si="1866"/>
        <v>0</v>
      </c>
      <c r="U1285" s="1423">
        <f t="shared" si="1867"/>
        <v>0</v>
      </c>
      <c r="V1285" s="1423">
        <f t="shared" si="1868"/>
        <v>0</v>
      </c>
      <c r="W1285" s="1423">
        <f t="shared" si="1869"/>
        <v>0</v>
      </c>
      <c r="X1285" s="152"/>
      <c r="Y1285" s="152"/>
      <c r="Z1285" s="152"/>
      <c r="AA1285" s="152"/>
      <c r="AB1285" s="152"/>
    </row>
    <row r="1286" spans="1:28" hidden="1" outlineLevel="1">
      <c r="A1286" s="152"/>
      <c r="B1286" s="190" t="str">
        <f t="shared" ca="1" si="1870"/>
        <v>RL Capex 2021-22</v>
      </c>
      <c r="C1286" s="1429"/>
      <c r="D1286" s="1429"/>
      <c r="E1286" s="1429"/>
      <c r="F1286" s="1429"/>
      <c r="G1286" s="1429"/>
      <c r="H1286" s="1424"/>
      <c r="I1286" s="1428">
        <f>I1252</f>
        <v>0</v>
      </c>
      <c r="J1286" s="1423">
        <f t="shared" si="1856"/>
        <v>0</v>
      </c>
      <c r="K1286" s="1423">
        <f t="shared" si="1857"/>
        <v>0</v>
      </c>
      <c r="L1286" s="1423">
        <f t="shared" si="1858"/>
        <v>0</v>
      </c>
      <c r="M1286" s="1423">
        <f t="shared" si="1859"/>
        <v>0</v>
      </c>
      <c r="N1286" s="1423">
        <f t="shared" si="1860"/>
        <v>0</v>
      </c>
      <c r="O1286" s="1423">
        <f t="shared" si="1861"/>
        <v>0</v>
      </c>
      <c r="P1286" s="1423">
        <f t="shared" si="1862"/>
        <v>0</v>
      </c>
      <c r="Q1286" s="1423">
        <f t="shared" si="1863"/>
        <v>0</v>
      </c>
      <c r="R1286" s="1423">
        <f t="shared" si="1864"/>
        <v>0</v>
      </c>
      <c r="S1286" s="1423">
        <f t="shared" si="1865"/>
        <v>0</v>
      </c>
      <c r="T1286" s="1423">
        <f t="shared" si="1866"/>
        <v>0</v>
      </c>
      <c r="U1286" s="1423">
        <f t="shared" si="1867"/>
        <v>0</v>
      </c>
      <c r="V1286" s="1423">
        <f t="shared" si="1868"/>
        <v>0</v>
      </c>
      <c r="W1286" s="1423">
        <f t="shared" si="1869"/>
        <v>0</v>
      </c>
      <c r="X1286" s="152"/>
      <c r="Y1286" s="152"/>
      <c r="Z1286" s="152"/>
      <c r="AA1286" s="152"/>
      <c r="AB1286" s="152"/>
    </row>
    <row r="1287" spans="1:28" hidden="1" outlineLevel="1">
      <c r="A1287" s="152"/>
      <c r="B1287" s="190" t="str">
        <f t="shared" ca="1" si="1870"/>
        <v>RL Capex 2022-23</v>
      </c>
      <c r="C1287" s="1429"/>
      <c r="D1287" s="1429"/>
      <c r="E1287" s="1429"/>
      <c r="F1287" s="1429"/>
      <c r="G1287" s="1429"/>
      <c r="H1287" s="1429"/>
      <c r="I1287" s="1424"/>
      <c r="J1287" s="1428">
        <f>J1252</f>
        <v>0</v>
      </c>
      <c r="K1287" s="1423">
        <f t="shared" si="1857"/>
        <v>0</v>
      </c>
      <c r="L1287" s="1423">
        <f t="shared" si="1858"/>
        <v>0</v>
      </c>
      <c r="M1287" s="1423">
        <f t="shared" si="1859"/>
        <v>0</v>
      </c>
      <c r="N1287" s="1423">
        <f t="shared" si="1860"/>
        <v>0</v>
      </c>
      <c r="O1287" s="1423">
        <f t="shared" si="1861"/>
        <v>0</v>
      </c>
      <c r="P1287" s="1423">
        <f t="shared" si="1862"/>
        <v>0</v>
      </c>
      <c r="Q1287" s="1423">
        <f t="shared" si="1863"/>
        <v>0</v>
      </c>
      <c r="R1287" s="1423">
        <f t="shared" si="1864"/>
        <v>0</v>
      </c>
      <c r="S1287" s="1423">
        <f t="shared" si="1865"/>
        <v>0</v>
      </c>
      <c r="T1287" s="1423">
        <f t="shared" si="1866"/>
        <v>0</v>
      </c>
      <c r="U1287" s="1423">
        <f t="shared" si="1867"/>
        <v>0</v>
      </c>
      <c r="V1287" s="1423">
        <f t="shared" si="1868"/>
        <v>0</v>
      </c>
      <c r="W1287" s="1423">
        <f t="shared" si="1869"/>
        <v>0</v>
      </c>
      <c r="X1287" s="152"/>
      <c r="Y1287" s="152"/>
      <c r="Z1287" s="152"/>
      <c r="AA1287" s="152"/>
      <c r="AB1287" s="152"/>
    </row>
    <row r="1288" spans="1:28" hidden="1" outlineLevel="1">
      <c r="A1288" s="152"/>
      <c r="B1288" s="190" t="str">
        <f t="shared" ca="1" si="1870"/>
        <v>RL Capex 2023-24</v>
      </c>
      <c r="C1288" s="1429"/>
      <c r="D1288" s="1429"/>
      <c r="E1288" s="1429"/>
      <c r="F1288" s="1429"/>
      <c r="G1288" s="1429"/>
      <c r="H1288" s="1429"/>
      <c r="I1288" s="1429"/>
      <c r="J1288" s="1424"/>
      <c r="K1288" s="1428">
        <f>K1252</f>
        <v>0</v>
      </c>
      <c r="L1288" s="1423">
        <f t="shared" si="1858"/>
        <v>0</v>
      </c>
      <c r="M1288" s="1423">
        <f t="shared" si="1859"/>
        <v>0</v>
      </c>
      <c r="N1288" s="1423">
        <f t="shared" si="1860"/>
        <v>0</v>
      </c>
      <c r="O1288" s="1423">
        <f t="shared" si="1861"/>
        <v>0</v>
      </c>
      <c r="P1288" s="1423">
        <f t="shared" si="1862"/>
        <v>0</v>
      </c>
      <c r="Q1288" s="1423">
        <f t="shared" si="1863"/>
        <v>0</v>
      </c>
      <c r="R1288" s="1423">
        <f t="shared" si="1864"/>
        <v>0</v>
      </c>
      <c r="S1288" s="1423">
        <f t="shared" si="1865"/>
        <v>0</v>
      </c>
      <c r="T1288" s="1423">
        <f t="shared" si="1866"/>
        <v>0</v>
      </c>
      <c r="U1288" s="1423">
        <f t="shared" si="1867"/>
        <v>0</v>
      </c>
      <c r="V1288" s="1423">
        <f t="shared" si="1868"/>
        <v>0</v>
      </c>
      <c r="W1288" s="1423">
        <f t="shared" si="1869"/>
        <v>0</v>
      </c>
      <c r="X1288" s="152"/>
      <c r="Y1288" s="152"/>
      <c r="Z1288" s="152"/>
      <c r="AA1288" s="152"/>
      <c r="AB1288" s="152"/>
    </row>
    <row r="1289" spans="1:28" hidden="1" outlineLevel="1">
      <c r="A1289" s="152"/>
      <c r="B1289" s="190" t="str">
        <f t="shared" ca="1" si="1870"/>
        <v>RL Capex 2024-25</v>
      </c>
      <c r="C1289" s="1429"/>
      <c r="D1289" s="1429"/>
      <c r="E1289" s="1429"/>
      <c r="F1289" s="1429"/>
      <c r="G1289" s="1429"/>
      <c r="H1289" s="1429"/>
      <c r="I1289" s="1429"/>
      <c r="J1289" s="1429"/>
      <c r="K1289" s="1424"/>
      <c r="L1289" s="1428">
        <f>L1252</f>
        <v>0</v>
      </c>
      <c r="M1289" s="1423">
        <f t="shared" si="1859"/>
        <v>0</v>
      </c>
      <c r="N1289" s="1423">
        <f t="shared" si="1860"/>
        <v>0</v>
      </c>
      <c r="O1289" s="1423">
        <f t="shared" si="1861"/>
        <v>0</v>
      </c>
      <c r="P1289" s="1423">
        <f t="shared" si="1862"/>
        <v>0</v>
      </c>
      <c r="Q1289" s="1423">
        <f t="shared" si="1863"/>
        <v>0</v>
      </c>
      <c r="R1289" s="1423">
        <f t="shared" si="1864"/>
        <v>0</v>
      </c>
      <c r="S1289" s="1423">
        <f t="shared" si="1865"/>
        <v>0</v>
      </c>
      <c r="T1289" s="1423">
        <f t="shared" si="1866"/>
        <v>0</v>
      </c>
      <c r="U1289" s="1423">
        <f t="shared" si="1867"/>
        <v>0</v>
      </c>
      <c r="V1289" s="1423">
        <f t="shared" si="1868"/>
        <v>0</v>
      </c>
      <c r="W1289" s="1423">
        <f t="shared" si="1869"/>
        <v>0</v>
      </c>
      <c r="X1289" s="152"/>
      <c r="Y1289" s="152"/>
      <c r="Z1289" s="152"/>
      <c r="AA1289" s="152"/>
      <c r="AB1289" s="152"/>
    </row>
    <row r="1290" spans="1:28" hidden="1" outlineLevel="1">
      <c r="A1290" s="152"/>
      <c r="B1290" s="190" t="str">
        <f t="shared" ca="1" si="1870"/>
        <v>RL Capex 2025-26</v>
      </c>
      <c r="C1290" s="1429"/>
      <c r="D1290" s="1429"/>
      <c r="E1290" s="1429"/>
      <c r="F1290" s="1429"/>
      <c r="G1290" s="1429"/>
      <c r="H1290" s="1429"/>
      <c r="I1290" s="1429"/>
      <c r="J1290" s="1429"/>
      <c r="K1290" s="1429"/>
      <c r="L1290" s="1424"/>
      <c r="M1290" s="1428">
        <f>M1252</f>
        <v>0</v>
      </c>
      <c r="N1290" s="1423">
        <f t="shared" si="1860"/>
        <v>0</v>
      </c>
      <c r="O1290" s="1423">
        <f t="shared" si="1861"/>
        <v>0</v>
      </c>
      <c r="P1290" s="1423">
        <f t="shared" si="1862"/>
        <v>0</v>
      </c>
      <c r="Q1290" s="1423">
        <f t="shared" si="1863"/>
        <v>0</v>
      </c>
      <c r="R1290" s="1423">
        <f t="shared" si="1864"/>
        <v>0</v>
      </c>
      <c r="S1290" s="1423">
        <f t="shared" si="1865"/>
        <v>0</v>
      </c>
      <c r="T1290" s="1423">
        <f t="shared" si="1866"/>
        <v>0</v>
      </c>
      <c r="U1290" s="1423">
        <f t="shared" si="1867"/>
        <v>0</v>
      </c>
      <c r="V1290" s="1423">
        <f t="shared" si="1868"/>
        <v>0</v>
      </c>
      <c r="W1290" s="1423">
        <f t="shared" si="1869"/>
        <v>0</v>
      </c>
      <c r="X1290" s="152"/>
      <c r="Y1290" s="152"/>
      <c r="Z1290" s="152"/>
      <c r="AA1290" s="152"/>
      <c r="AB1290" s="152"/>
    </row>
    <row r="1291" spans="1:28" hidden="1" outlineLevel="1">
      <c r="A1291" s="152"/>
      <c r="B1291" s="190" t="str">
        <f t="shared" ca="1" si="1870"/>
        <v>RL Capex 2026-27</v>
      </c>
      <c r="C1291" s="1429"/>
      <c r="D1291" s="1429"/>
      <c r="E1291" s="1429"/>
      <c r="F1291" s="1429"/>
      <c r="G1291" s="1429"/>
      <c r="H1291" s="1429"/>
      <c r="I1291" s="1429"/>
      <c r="J1291" s="1429"/>
      <c r="K1291" s="1429"/>
      <c r="L1291" s="1429"/>
      <c r="M1291" s="1424"/>
      <c r="N1291" s="1428">
        <f>N1252</f>
        <v>0</v>
      </c>
      <c r="O1291" s="1423">
        <f t="shared" si="1861"/>
        <v>0</v>
      </c>
      <c r="P1291" s="1423">
        <f t="shared" si="1862"/>
        <v>0</v>
      </c>
      <c r="Q1291" s="1423">
        <f t="shared" si="1863"/>
        <v>0</v>
      </c>
      <c r="R1291" s="1423">
        <f t="shared" si="1864"/>
        <v>0</v>
      </c>
      <c r="S1291" s="1423">
        <f t="shared" si="1865"/>
        <v>0</v>
      </c>
      <c r="T1291" s="1423">
        <f t="shared" si="1866"/>
        <v>0</v>
      </c>
      <c r="U1291" s="1423">
        <f t="shared" si="1867"/>
        <v>0</v>
      </c>
      <c r="V1291" s="1423">
        <f t="shared" si="1868"/>
        <v>0</v>
      </c>
      <c r="W1291" s="1423">
        <f t="shared" si="1869"/>
        <v>0</v>
      </c>
      <c r="X1291" s="152"/>
      <c r="Y1291" s="152"/>
      <c r="Z1291" s="152"/>
      <c r="AA1291" s="152"/>
      <c r="AB1291" s="152"/>
    </row>
    <row r="1292" spans="1:28" hidden="1" outlineLevel="1">
      <c r="A1292" s="152"/>
      <c r="B1292" s="190" t="str">
        <f t="shared" ca="1" si="1870"/>
        <v>RL Capex 2027-28</v>
      </c>
      <c r="C1292" s="1429"/>
      <c r="D1292" s="1429"/>
      <c r="E1292" s="1429"/>
      <c r="F1292" s="1429"/>
      <c r="G1292" s="1429"/>
      <c r="H1292" s="1429"/>
      <c r="I1292" s="1429"/>
      <c r="J1292" s="1429"/>
      <c r="K1292" s="1429"/>
      <c r="L1292" s="1429"/>
      <c r="M1292" s="1429"/>
      <c r="N1292" s="1424"/>
      <c r="O1292" s="1428">
        <f>O1252</f>
        <v>0</v>
      </c>
      <c r="P1292" s="1423">
        <f t="shared" si="1862"/>
        <v>0</v>
      </c>
      <c r="Q1292" s="1423">
        <f t="shared" si="1863"/>
        <v>0</v>
      </c>
      <c r="R1292" s="1423">
        <f t="shared" si="1864"/>
        <v>0</v>
      </c>
      <c r="S1292" s="1423">
        <f t="shared" si="1865"/>
        <v>0</v>
      </c>
      <c r="T1292" s="1423">
        <f t="shared" si="1866"/>
        <v>0</v>
      </c>
      <c r="U1292" s="1423">
        <f t="shared" si="1867"/>
        <v>0</v>
      </c>
      <c r="V1292" s="1423">
        <f t="shared" si="1868"/>
        <v>0</v>
      </c>
      <c r="W1292" s="1423">
        <f t="shared" si="1869"/>
        <v>0</v>
      </c>
      <c r="X1292" s="152"/>
      <c r="Y1292" s="152"/>
      <c r="Z1292" s="152"/>
      <c r="AA1292" s="152"/>
      <c r="AB1292" s="152"/>
    </row>
    <row r="1293" spans="1:28" hidden="1" outlineLevel="1">
      <c r="A1293" s="152"/>
      <c r="B1293" s="190" t="str">
        <f t="shared" ca="1" si="1870"/>
        <v>RL Capex 2028-29</v>
      </c>
      <c r="C1293" s="1429"/>
      <c r="D1293" s="1429"/>
      <c r="E1293" s="1429"/>
      <c r="F1293" s="1429"/>
      <c r="G1293" s="1429"/>
      <c r="H1293" s="1429"/>
      <c r="I1293" s="1429"/>
      <c r="J1293" s="1429"/>
      <c r="K1293" s="1429"/>
      <c r="L1293" s="1429"/>
      <c r="M1293" s="1429"/>
      <c r="N1293" s="1429"/>
      <c r="O1293" s="1424"/>
      <c r="P1293" s="1428">
        <f>P1252</f>
        <v>0</v>
      </c>
      <c r="Q1293" s="1423">
        <f t="shared" si="1863"/>
        <v>0</v>
      </c>
      <c r="R1293" s="1423">
        <f t="shared" si="1864"/>
        <v>0</v>
      </c>
      <c r="S1293" s="1423">
        <f t="shared" si="1865"/>
        <v>0</v>
      </c>
      <c r="T1293" s="1423">
        <f t="shared" si="1866"/>
        <v>0</v>
      </c>
      <c r="U1293" s="1423">
        <f t="shared" si="1867"/>
        <v>0</v>
      </c>
      <c r="V1293" s="1423">
        <f t="shared" si="1868"/>
        <v>0</v>
      </c>
      <c r="W1293" s="1423">
        <f t="shared" si="1869"/>
        <v>0</v>
      </c>
      <c r="X1293" s="152"/>
      <c r="Y1293" s="152"/>
      <c r="Z1293" s="152"/>
      <c r="AA1293" s="152"/>
      <c r="AB1293" s="152"/>
    </row>
    <row r="1294" spans="1:28" hidden="1" outlineLevel="1">
      <c r="A1294" s="152"/>
      <c r="B1294" s="190" t="str">
        <f t="shared" ca="1" si="1870"/>
        <v>RL Capex 2029-30</v>
      </c>
      <c r="C1294" s="1429"/>
      <c r="D1294" s="1429"/>
      <c r="E1294" s="1429"/>
      <c r="F1294" s="1429"/>
      <c r="G1294" s="1429"/>
      <c r="H1294" s="1429"/>
      <c r="I1294" s="1429"/>
      <c r="J1294" s="1429"/>
      <c r="K1294" s="1429"/>
      <c r="L1294" s="1429"/>
      <c r="M1294" s="1429"/>
      <c r="N1294" s="1429"/>
      <c r="O1294" s="1429"/>
      <c r="P1294" s="1424"/>
      <c r="Q1294" s="1428">
        <f>Q1252</f>
        <v>0</v>
      </c>
      <c r="R1294" s="1423">
        <f t="shared" si="1864"/>
        <v>0</v>
      </c>
      <c r="S1294" s="1423">
        <f t="shared" si="1865"/>
        <v>0</v>
      </c>
      <c r="T1294" s="1423">
        <f t="shared" si="1866"/>
        <v>0</v>
      </c>
      <c r="U1294" s="1423">
        <f t="shared" si="1867"/>
        <v>0</v>
      </c>
      <c r="V1294" s="1423">
        <f t="shared" si="1868"/>
        <v>0</v>
      </c>
      <c r="W1294" s="1423">
        <f t="shared" si="1869"/>
        <v>0</v>
      </c>
      <c r="X1294" s="152"/>
      <c r="Y1294" s="152"/>
      <c r="Z1294" s="152"/>
      <c r="AA1294" s="152"/>
      <c r="AB1294" s="152"/>
    </row>
    <row r="1295" spans="1:28" hidden="1" outlineLevel="1">
      <c r="A1295" s="152"/>
      <c r="B1295" s="190" t="str">
        <f t="shared" ca="1" si="1870"/>
        <v>RL Capex 2030-31</v>
      </c>
      <c r="C1295" s="1429"/>
      <c r="D1295" s="1429"/>
      <c r="E1295" s="1429"/>
      <c r="F1295" s="1429"/>
      <c r="G1295" s="1429"/>
      <c r="H1295" s="1429"/>
      <c r="I1295" s="1429"/>
      <c r="J1295" s="1429"/>
      <c r="K1295" s="1429"/>
      <c r="L1295" s="1429"/>
      <c r="M1295" s="1429"/>
      <c r="N1295" s="1429"/>
      <c r="O1295" s="1429"/>
      <c r="P1295" s="1429"/>
      <c r="Q1295" s="1424"/>
      <c r="R1295" s="1428">
        <f>R1252</f>
        <v>0</v>
      </c>
      <c r="S1295" s="1423">
        <f t="shared" si="1865"/>
        <v>0</v>
      </c>
      <c r="T1295" s="1423">
        <f t="shared" si="1866"/>
        <v>0</v>
      </c>
      <c r="U1295" s="1423">
        <f t="shared" si="1867"/>
        <v>0</v>
      </c>
      <c r="V1295" s="1423">
        <f t="shared" si="1868"/>
        <v>0</v>
      </c>
      <c r="W1295" s="1423">
        <f t="shared" si="1869"/>
        <v>0</v>
      </c>
      <c r="X1295" s="152"/>
      <c r="Y1295" s="152"/>
      <c r="Z1295" s="152"/>
      <c r="AA1295" s="152"/>
      <c r="AB1295" s="152"/>
    </row>
    <row r="1296" spans="1:28" hidden="1" outlineLevel="1">
      <c r="A1296" s="152"/>
      <c r="B1296" s="190" t="str">
        <f t="shared" ca="1" si="1870"/>
        <v>RL Capex 2031-32</v>
      </c>
      <c r="C1296" s="1429"/>
      <c r="D1296" s="1429"/>
      <c r="E1296" s="1429"/>
      <c r="F1296" s="1429"/>
      <c r="G1296" s="1429"/>
      <c r="H1296" s="1429"/>
      <c r="I1296" s="1429"/>
      <c r="J1296" s="1429"/>
      <c r="K1296" s="1429"/>
      <c r="L1296" s="1429"/>
      <c r="M1296" s="1429"/>
      <c r="N1296" s="1429"/>
      <c r="O1296" s="1429"/>
      <c r="P1296" s="1429"/>
      <c r="Q1296" s="1429"/>
      <c r="R1296" s="1424"/>
      <c r="S1296" s="1428">
        <f>S1252</f>
        <v>0</v>
      </c>
      <c r="T1296" s="1423">
        <f t="shared" si="1866"/>
        <v>0</v>
      </c>
      <c r="U1296" s="1423">
        <f t="shared" si="1867"/>
        <v>0</v>
      </c>
      <c r="V1296" s="1423">
        <f t="shared" si="1868"/>
        <v>0</v>
      </c>
      <c r="W1296" s="1423">
        <f t="shared" si="1869"/>
        <v>0</v>
      </c>
      <c r="X1296" s="152"/>
      <c r="Y1296" s="152"/>
      <c r="Z1296" s="152"/>
      <c r="AA1296" s="152"/>
      <c r="AB1296" s="152"/>
    </row>
    <row r="1297" spans="1:28" hidden="1" outlineLevel="1">
      <c r="A1297" s="152"/>
      <c r="B1297" s="190" t="str">
        <f t="shared" ca="1" si="1870"/>
        <v>RL Capex 2032-33</v>
      </c>
      <c r="C1297" s="1429"/>
      <c r="D1297" s="1429"/>
      <c r="E1297" s="1429"/>
      <c r="F1297" s="1429"/>
      <c r="G1297" s="1429"/>
      <c r="H1297" s="1429"/>
      <c r="I1297" s="1429"/>
      <c r="J1297" s="1429"/>
      <c r="K1297" s="1429"/>
      <c r="L1297" s="1429"/>
      <c r="M1297" s="1429"/>
      <c r="N1297" s="1429"/>
      <c r="O1297" s="1429"/>
      <c r="P1297" s="1429"/>
      <c r="Q1297" s="1429"/>
      <c r="R1297" s="1429"/>
      <c r="S1297" s="1424"/>
      <c r="T1297" s="1428">
        <f>T1252</f>
        <v>0</v>
      </c>
      <c r="U1297" s="1423">
        <f t="shared" si="1867"/>
        <v>0</v>
      </c>
      <c r="V1297" s="1423">
        <f t="shared" si="1868"/>
        <v>0</v>
      </c>
      <c r="W1297" s="1423">
        <f t="shared" si="1869"/>
        <v>0</v>
      </c>
      <c r="X1297" s="152"/>
      <c r="Y1297" s="152"/>
      <c r="Z1297" s="152"/>
      <c r="AA1297" s="152"/>
      <c r="AB1297" s="152"/>
    </row>
    <row r="1298" spans="1:28" hidden="1" outlineLevel="1">
      <c r="A1298" s="152"/>
      <c r="B1298" s="190" t="str">
        <f t="shared" ca="1" si="1870"/>
        <v>RL Capex 2033-34</v>
      </c>
      <c r="C1298" s="1429"/>
      <c r="D1298" s="1429"/>
      <c r="E1298" s="1429"/>
      <c r="F1298" s="1429"/>
      <c r="G1298" s="1429"/>
      <c r="H1298" s="1429"/>
      <c r="I1298" s="1429"/>
      <c r="J1298" s="1429"/>
      <c r="K1298" s="1429"/>
      <c r="L1298" s="1429"/>
      <c r="M1298" s="1429"/>
      <c r="N1298" s="1429"/>
      <c r="O1298" s="1429"/>
      <c r="P1298" s="1429"/>
      <c r="Q1298" s="1429"/>
      <c r="R1298" s="1429"/>
      <c r="S1298" s="1429"/>
      <c r="T1298" s="1424"/>
      <c r="U1298" s="1428">
        <f>U1252</f>
        <v>0</v>
      </c>
      <c r="V1298" s="1423">
        <f t="shared" si="1868"/>
        <v>0</v>
      </c>
      <c r="W1298" s="1423">
        <f t="shared" si="1869"/>
        <v>0</v>
      </c>
      <c r="X1298" s="152"/>
      <c r="Y1298" s="152"/>
      <c r="Z1298" s="152"/>
      <c r="AA1298" s="152"/>
      <c r="AB1298" s="152"/>
    </row>
    <row r="1299" spans="1:28" hidden="1" outlineLevel="1">
      <c r="A1299" s="152"/>
      <c r="B1299" s="190" t="str">
        <f t="shared" ca="1" si="1870"/>
        <v>RL Capex 2034-35</v>
      </c>
      <c r="C1299" s="1429"/>
      <c r="D1299" s="1429"/>
      <c r="E1299" s="1429"/>
      <c r="F1299" s="1429"/>
      <c r="G1299" s="1429"/>
      <c r="H1299" s="1429"/>
      <c r="I1299" s="1429"/>
      <c r="J1299" s="1429"/>
      <c r="K1299" s="1429"/>
      <c r="L1299" s="1429"/>
      <c r="M1299" s="1429"/>
      <c r="N1299" s="1429"/>
      <c r="O1299" s="1429"/>
      <c r="P1299" s="1429"/>
      <c r="Q1299" s="1429"/>
      <c r="R1299" s="1429"/>
      <c r="S1299" s="1429"/>
      <c r="T1299" s="1429"/>
      <c r="U1299" s="1424"/>
      <c r="V1299" s="1428">
        <f>V1252</f>
        <v>0</v>
      </c>
      <c r="W1299" s="1423">
        <f>IF(V1299="n/a","n/a",MAX(0,V1299-1))</f>
        <v>0</v>
      </c>
      <c r="X1299" s="152"/>
      <c r="Y1299" s="152"/>
      <c r="Z1299" s="152"/>
      <c r="AA1299" s="152"/>
      <c r="AB1299" s="152"/>
    </row>
    <row r="1300" spans="1:28" hidden="1" outlineLevel="1">
      <c r="A1300" s="152"/>
      <c r="B1300" s="190" t="str">
        <f t="shared" ca="1" si="1870"/>
        <v>RL Capex 2035-36</v>
      </c>
      <c r="C1300" s="1429"/>
      <c r="D1300" s="1429"/>
      <c r="E1300" s="1429"/>
      <c r="F1300" s="1429"/>
      <c r="G1300" s="1429"/>
      <c r="H1300" s="1429"/>
      <c r="I1300" s="1429"/>
      <c r="J1300" s="1429"/>
      <c r="K1300" s="1429"/>
      <c r="L1300" s="1429"/>
      <c r="M1300" s="1429"/>
      <c r="N1300" s="1429"/>
      <c r="O1300" s="1429"/>
      <c r="P1300" s="1429"/>
      <c r="Q1300" s="1429"/>
      <c r="R1300" s="1429"/>
      <c r="S1300" s="1429"/>
      <c r="T1300" s="1429"/>
      <c r="U1300" s="1429"/>
      <c r="V1300" s="1424"/>
      <c r="W1300" s="1423">
        <f>W1252</f>
        <v>0</v>
      </c>
      <c r="X1300" s="152"/>
      <c r="Y1300" s="152"/>
      <c r="Z1300" s="152"/>
      <c r="AA1300" s="152"/>
      <c r="AB1300" s="152"/>
    </row>
    <row r="1301" spans="1:28" hidden="1" outlineLevel="1">
      <c r="A1301" s="152"/>
      <c r="B1301" s="200"/>
      <c r="C1301" s="1423"/>
      <c r="D1301" s="1423"/>
      <c r="E1301" s="1423"/>
      <c r="F1301" s="1423"/>
      <c r="G1301" s="1423"/>
      <c r="H1301" s="1423"/>
      <c r="I1301" s="1423"/>
      <c r="J1301" s="1423"/>
      <c r="K1301" s="1423"/>
      <c r="L1301" s="1423"/>
      <c r="M1301" s="1423"/>
      <c r="N1301" s="1423"/>
      <c r="O1301" s="1423"/>
      <c r="P1301" s="1423"/>
      <c r="Q1301" s="1423"/>
      <c r="R1301" s="1423"/>
      <c r="S1301" s="1423"/>
      <c r="T1301" s="1423"/>
      <c r="U1301" s="1423"/>
      <c r="V1301" s="1423"/>
      <c r="W1301" s="1423"/>
      <c r="X1301" s="152"/>
      <c r="Y1301" s="152"/>
      <c r="Z1301" s="152"/>
      <c r="AA1301" s="152"/>
      <c r="AB1301" s="152"/>
    </row>
    <row r="1302" spans="1:28" collapsed="1">
      <c r="A1302" s="194"/>
      <c r="B1302" s="204" t="s">
        <v>123</v>
      </c>
      <c r="C1302" s="1430">
        <f ca="1">(IF(OR($C1252&lt;&gt;"n/a",C1252&lt;&gt;"n/a"),IF(SUM(C1255:C1277)=0,0,IF((SUMPRODUCT(C1255:C1277,C1279:C1301)/SUM(C1255:C1277))&lt;0,1,(SUMPRODUCT(C1255:C1277,C1279:C1301)/SUM(C1255:C1277)))),"n/a"))</f>
        <v>0</v>
      </c>
      <c r="D1302" s="1430">
        <f ca="1">(IF(OR($C1252&lt;&gt;"n/a",D1252&lt;&gt;"n/a"),IF(SUM(D1255:D1277)=0,0,IF((SUMPRODUCT(D1255:D1277,D1279:D1301)/SUM(D1255:D1277))&lt;0,1,(SUMPRODUCT(D1255:D1277,D1279:D1301)/SUM(D1255:D1277)))),"n/a"))</f>
        <v>0</v>
      </c>
      <c r="E1302" s="1430">
        <f t="shared" ref="E1302:W1302" ca="1" si="1871">(IF(OR($C1252&lt;&gt;"n/a",E1252&lt;&gt;"n/a"),IF(SUM(E1255:E1277)=0,0,IF((SUMPRODUCT(E1255:E1277,E1279:E1301)/SUM(E1255:E1277))&lt;0,1,(SUMPRODUCT(E1255:E1277,E1279:E1301)/SUM(E1255:E1277)))),"n/a"))</f>
        <v>0</v>
      </c>
      <c r="F1302" s="1430">
        <f t="shared" ca="1" si="1871"/>
        <v>0</v>
      </c>
      <c r="G1302" s="1430">
        <f t="shared" ca="1" si="1871"/>
        <v>0</v>
      </c>
      <c r="H1302" s="1430">
        <f t="shared" ca="1" si="1871"/>
        <v>0</v>
      </c>
      <c r="I1302" s="1430">
        <f t="shared" ca="1" si="1871"/>
        <v>0</v>
      </c>
      <c r="J1302" s="1430">
        <f t="shared" ca="1" si="1871"/>
        <v>0</v>
      </c>
      <c r="K1302" s="1430">
        <f t="shared" ca="1" si="1871"/>
        <v>0</v>
      </c>
      <c r="L1302" s="1430">
        <f t="shared" ca="1" si="1871"/>
        <v>0</v>
      </c>
      <c r="M1302" s="1430">
        <f t="shared" ca="1" si="1871"/>
        <v>0</v>
      </c>
      <c r="N1302" s="1430">
        <f t="shared" ca="1" si="1871"/>
        <v>0</v>
      </c>
      <c r="O1302" s="1430">
        <f t="shared" ca="1" si="1871"/>
        <v>0</v>
      </c>
      <c r="P1302" s="1430">
        <f t="shared" ca="1" si="1871"/>
        <v>0</v>
      </c>
      <c r="Q1302" s="1430">
        <f t="shared" ca="1" si="1871"/>
        <v>0</v>
      </c>
      <c r="R1302" s="1430">
        <f t="shared" ca="1" si="1871"/>
        <v>0</v>
      </c>
      <c r="S1302" s="1430">
        <f t="shared" ca="1" si="1871"/>
        <v>0</v>
      </c>
      <c r="T1302" s="1430">
        <f t="shared" ca="1" si="1871"/>
        <v>0</v>
      </c>
      <c r="U1302" s="1430">
        <f t="shared" ca="1" si="1871"/>
        <v>0</v>
      </c>
      <c r="V1302" s="1430">
        <f t="shared" ca="1" si="1871"/>
        <v>0</v>
      </c>
      <c r="W1302" s="1430">
        <f t="shared" ca="1" si="1871"/>
        <v>0</v>
      </c>
      <c r="X1302" s="152"/>
      <c r="Y1302" s="152"/>
      <c r="Z1302" s="152"/>
      <c r="AA1302" s="152"/>
      <c r="AB1302" s="152"/>
    </row>
    <row r="1303" spans="1:28">
      <c r="A1303" s="152"/>
      <c r="B1303" s="152"/>
      <c r="C1303" s="1423"/>
      <c r="D1303" s="1423"/>
      <c r="E1303" s="1423"/>
      <c r="F1303" s="1423"/>
      <c r="G1303" s="1423"/>
      <c r="H1303" s="1423"/>
      <c r="I1303" s="1423"/>
      <c r="J1303" s="1423"/>
      <c r="K1303" s="1423"/>
      <c r="L1303" s="1423"/>
      <c r="M1303" s="1423"/>
      <c r="N1303" s="1423"/>
      <c r="O1303" s="1423"/>
      <c r="P1303" s="1423"/>
      <c r="Q1303" s="1423"/>
      <c r="R1303" s="1423"/>
      <c r="S1303" s="1423"/>
      <c r="T1303" s="1423"/>
      <c r="U1303" s="1423"/>
      <c r="V1303" s="1423"/>
      <c r="W1303" s="1423"/>
      <c r="X1303" s="152"/>
      <c r="Y1303" s="152"/>
      <c r="Z1303" s="152"/>
      <c r="AA1303" s="152"/>
      <c r="AB1303" s="152"/>
    </row>
    <row r="1304" spans="1:28">
      <c r="A1304" s="269" t="s">
        <v>59</v>
      </c>
      <c r="B1304" s="270">
        <f>VLOOKUP($A1304,'RFM input'!$E$7:$F$56,2,FALSE)</f>
        <v>0</v>
      </c>
      <c r="C1304" s="1431"/>
      <c r="D1304" s="1431"/>
      <c r="E1304" s="1432"/>
      <c r="F1304" s="1432"/>
      <c r="G1304" s="1432"/>
      <c r="H1304" s="1432"/>
      <c r="I1304" s="1432"/>
      <c r="J1304" s="1432"/>
      <c r="K1304" s="1432"/>
      <c r="L1304" s="1432"/>
      <c r="M1304" s="1432"/>
      <c r="N1304" s="1432"/>
      <c r="O1304" s="1432"/>
      <c r="P1304" s="1432"/>
      <c r="Q1304" s="1432"/>
      <c r="R1304" s="1432"/>
      <c r="S1304" s="1432"/>
      <c r="T1304" s="1432"/>
      <c r="U1304" s="1432"/>
      <c r="V1304" s="1432"/>
      <c r="W1304" s="1432"/>
      <c r="X1304" s="152"/>
      <c r="Y1304" s="152"/>
      <c r="Z1304" s="152"/>
      <c r="AA1304" s="152"/>
      <c r="AB1304" s="152"/>
    </row>
    <row r="1305" spans="1:28">
      <c r="A1305" s="215">
        <f>VALUE(REPLACE(A1304,1,12,""))</f>
        <v>25</v>
      </c>
      <c r="B1305" s="193" t="s">
        <v>126</v>
      </c>
      <c r="C1305" s="1416">
        <f ca="1">IF($D$6='TAB roll forward'!$H$4,OFFSET('TAB roll forward'!$H$7,A1305,0),"enter input")</f>
        <v>0</v>
      </c>
      <c r="D1305" s="1417">
        <f>IF(LEFT(D$6,4)&lt;LEFT('RFM input'!$G$60,4),"enter input",IF(LEFT(D$6,4)&gt;LEFT('RFM input'!$Q$60,4),0,
INDEX('RFM input'!$G$61:$Q$110,$A1305,MATCH(D$6,'RFM input'!$G$60:$Q$60,0))
   -INDEX('RFM input'!$G$115:$Q$164,$A1305,MATCH(D$6,'RFM input'!$G$60:$Q$60,0))))</f>
        <v>0</v>
      </c>
      <c r="E1305" s="1417">
        <f>IF(LEFT(E$6,4)&lt;LEFT('RFM input'!$G$60,4),"enter input",IF(LEFT(E$6,4)&gt;LEFT('RFM input'!$Q$60,4),0,
INDEX('RFM input'!$G$61:$Q$110,$A1305,MATCH(E$6,'RFM input'!$G$60:$Q$60,0))
   -INDEX('RFM input'!$G$115:$Q$164,$A1305,MATCH(E$6,'RFM input'!$G$60:$Q$60,0))))</f>
        <v>0</v>
      </c>
      <c r="F1305" s="1417">
        <f>IF(LEFT(F$6,4)&lt;LEFT('RFM input'!$G$60,4),"enter input",IF(LEFT(F$6,4)&gt;LEFT('RFM input'!$Q$60,4),0,
INDEX('RFM input'!$G$61:$Q$110,$A1305,MATCH(F$6,'RFM input'!$G$60:$Q$60,0))
   -INDEX('RFM input'!$G$115:$Q$164,$A1305,MATCH(F$6,'RFM input'!$G$60:$Q$60,0))))</f>
        <v>0</v>
      </c>
      <c r="G1305" s="1417">
        <f>IF(LEFT(G$6,4)&lt;LEFT('RFM input'!$G$60,4),"enter input",IF(LEFT(G$6,4)&gt;LEFT('RFM input'!$Q$60,4),0,
INDEX('RFM input'!$G$61:$Q$110,$A1305,MATCH(G$6,'RFM input'!$G$60:$Q$60,0))
   -INDEX('RFM input'!$G$115:$Q$164,$A1305,MATCH(G$6,'RFM input'!$G$60:$Q$60,0))))</f>
        <v>0</v>
      </c>
      <c r="H1305" s="1417">
        <f>IF(LEFT(H$6,4)&lt;LEFT('RFM input'!$G$60,4),"enter input",IF(LEFT(H$6,4)&gt;LEFT('RFM input'!$Q$60,4),0,
INDEX('RFM input'!$G$61:$Q$110,$A1305,MATCH(H$6,'RFM input'!$G$60:$Q$60,0))
   -INDEX('RFM input'!$G$115:$Q$164,$A1305,MATCH(H$6,'RFM input'!$G$60:$Q$60,0))))</f>
        <v>0</v>
      </c>
      <c r="I1305" s="1417">
        <f>IF(LEFT(I$6,4)&lt;LEFT('RFM input'!$G$60,4),"enter input",IF(LEFT(I$6,4)&gt;LEFT('RFM input'!$Q$60,4),0,
INDEX('RFM input'!$G$61:$Q$110,$A1305,MATCH(I$6,'RFM input'!$G$60:$Q$60,0))
   -INDEX('RFM input'!$G$115:$Q$164,$A1305,MATCH(I$6,'RFM input'!$G$60:$Q$60,0))))</f>
        <v>0</v>
      </c>
      <c r="J1305" s="1417">
        <f>IF(LEFT(J$6,4)&lt;LEFT('RFM input'!$G$60,4),"enter input",IF(LEFT(J$6,4)&gt;LEFT('RFM input'!$Q$60,4),0,
INDEX('RFM input'!$G$61:$Q$110,$A1305,MATCH(J$6,'RFM input'!$G$60:$Q$60,0))
   -INDEX('RFM input'!$G$115:$Q$164,$A1305,MATCH(J$6,'RFM input'!$G$60:$Q$60,0))))</f>
        <v>0</v>
      </c>
      <c r="K1305" s="1417">
        <f>IF(LEFT(K$6,4)&lt;LEFT('RFM input'!$G$60,4),"enter input",IF(LEFT(K$6,4)&gt;LEFT('RFM input'!$Q$60,4),0,
INDEX('RFM input'!$G$61:$Q$110,$A1305,MATCH(K$6,'RFM input'!$G$60:$Q$60,0))
   -INDEX('RFM input'!$G$115:$Q$164,$A1305,MATCH(K$6,'RFM input'!$G$60:$Q$60,0))))</f>
        <v>0</v>
      </c>
      <c r="L1305" s="1417">
        <f>IF(LEFT(L$6,4)&lt;LEFT('RFM input'!$G$60,4),"enter input",IF(LEFT(L$6,4)&gt;LEFT('RFM input'!$Q$60,4),0,
INDEX('RFM input'!$G$61:$Q$110,$A1305,MATCH(L$6,'RFM input'!$G$60:$Q$60,0))
   -INDEX('RFM input'!$G$115:$Q$164,$A1305,MATCH(L$6,'RFM input'!$G$60:$Q$60,0))))</f>
        <v>0</v>
      </c>
      <c r="M1305" s="1417">
        <f>IF(LEFT(M$6,4)&lt;LEFT('RFM input'!$G$60,4),"enter input",IF(LEFT(M$6,4)&gt;LEFT('RFM input'!$Q$60,4),0,
INDEX('RFM input'!$G$61:$Q$110,$A1305,MATCH(M$6,'RFM input'!$G$60:$Q$60,0))
   -INDEX('RFM input'!$G$115:$Q$164,$A1305,MATCH(M$6,'RFM input'!$G$60:$Q$60,0))))</f>
        <v>0</v>
      </c>
      <c r="N1305" s="1417">
        <f>IF(LEFT(N$6,4)&lt;LEFT('RFM input'!$G$60,4),"enter input",IF(LEFT(N$6,4)&gt;LEFT('RFM input'!$Q$60,4),0,
INDEX('RFM input'!$G$61:$Q$110,$A1305,MATCH(N$6,'RFM input'!$G$60:$Q$60,0))
   -INDEX('RFM input'!$G$115:$Q$164,$A1305,MATCH(N$6,'RFM input'!$G$60:$Q$60,0))))</f>
        <v>0</v>
      </c>
      <c r="O1305" s="1417">
        <f>IF(LEFT(O$6,4)&lt;LEFT('RFM input'!$G$60,4),"enter input",IF(LEFT(O$6,4)&gt;LEFT('RFM input'!$Q$60,4),0,
INDEX('RFM input'!$G$61:$Q$110,$A1305,MATCH(O$6,'RFM input'!$G$60:$Q$60,0))
   -INDEX('RFM input'!$G$115:$Q$164,$A1305,MATCH(O$6,'RFM input'!$G$60:$Q$60,0))))</f>
        <v>0</v>
      </c>
      <c r="P1305" s="1417">
        <f>IF(LEFT(P$6,4)&lt;LEFT('RFM input'!$G$60,4),"enter input",IF(LEFT(P$6,4)&gt;LEFT('RFM input'!$Q$60,4),0,
INDEX('RFM input'!$G$61:$Q$110,$A1305,MATCH(P$6,'RFM input'!$G$60:$Q$60,0))
   -INDEX('RFM input'!$G$115:$Q$164,$A1305,MATCH(P$6,'RFM input'!$G$60:$Q$60,0))))</f>
        <v>0</v>
      </c>
      <c r="Q1305" s="1417">
        <f>IF(LEFT(Q$6,4)&lt;LEFT('RFM input'!$G$60,4),"enter input",IF(LEFT(Q$6,4)&gt;LEFT('RFM input'!$Q$60,4),0,
INDEX('RFM input'!$G$61:$Q$110,$A1305,MATCH(Q$6,'RFM input'!$G$60:$Q$60,0))
   -INDEX('RFM input'!$G$115:$Q$164,$A1305,MATCH(Q$6,'RFM input'!$G$60:$Q$60,0))))</f>
        <v>0</v>
      </c>
      <c r="R1305" s="1417">
        <f>IF(LEFT(R$6,4)&lt;LEFT('RFM input'!$G$60,4),"enter input",IF(LEFT(R$6,4)&gt;LEFT('RFM input'!$Q$60,4),0,
INDEX('RFM input'!$G$61:$Q$110,$A1305,MATCH(R$6,'RFM input'!$G$60:$Q$60,0))
   -INDEX('RFM input'!$G$115:$Q$164,$A1305,MATCH(R$6,'RFM input'!$G$60:$Q$60,0))))</f>
        <v>0</v>
      </c>
      <c r="S1305" s="1417">
        <f>IF(LEFT(S$6,4)&lt;LEFT('RFM input'!$G$60,4),"enter input",IF(LEFT(S$6,4)&gt;LEFT('RFM input'!$Q$60,4),0,
INDEX('RFM input'!$G$61:$Q$110,$A1305,MATCH(S$6,'RFM input'!$G$60:$Q$60,0))
   -INDEX('RFM input'!$G$115:$Q$164,$A1305,MATCH(S$6,'RFM input'!$G$60:$Q$60,0))))</f>
        <v>0</v>
      </c>
      <c r="T1305" s="1417">
        <f>IF(LEFT(T$6,4)&lt;LEFT('RFM input'!$G$60,4),"enter input",IF(LEFT(T$6,4)&gt;LEFT('RFM input'!$Q$60,4),0,
INDEX('RFM input'!$G$61:$Q$110,$A1305,MATCH(T$6,'RFM input'!$G$60:$Q$60,0))
   -INDEX('RFM input'!$G$115:$Q$164,$A1305,MATCH(T$6,'RFM input'!$G$60:$Q$60,0))))</f>
        <v>0</v>
      </c>
      <c r="U1305" s="1417">
        <f>IF(LEFT(U$6,4)&lt;LEFT('RFM input'!$G$60,4),"enter input",IF(LEFT(U$6,4)&gt;LEFT('RFM input'!$Q$60,4),0,
INDEX('RFM input'!$G$61:$Q$110,$A1305,MATCH(U$6,'RFM input'!$G$60:$Q$60,0))
   -INDEX('RFM input'!$G$115:$Q$164,$A1305,MATCH(U$6,'RFM input'!$G$60:$Q$60,0))))</f>
        <v>0</v>
      </c>
      <c r="V1305" s="1417">
        <f>IF(LEFT(V$6,4)&lt;LEFT('RFM input'!$G$60,4),"enter input",IF(LEFT(V$6,4)&gt;LEFT('RFM input'!$Q$60,4),0,
INDEX('RFM input'!$G$61:$Q$110,$A1305,MATCH(V$6,'RFM input'!$G$60:$Q$60,0))
   -INDEX('RFM input'!$G$115:$Q$164,$A1305,MATCH(V$6,'RFM input'!$G$60:$Q$60,0))))</f>
        <v>0</v>
      </c>
      <c r="W1305" s="1417">
        <f>IF(LEFT(W$6,4)&lt;LEFT('RFM input'!$G$60,4),"enter input",IF(LEFT(W$6,4)&gt;LEFT('RFM input'!$Q$60,4),0,
INDEX('RFM input'!$G$61:$Q$110,$A1305,MATCH(W$6,'RFM input'!$G$60:$Q$60,0))
   -INDEX('RFM input'!$G$115:$Q$164,$A1305,MATCH(W$6,'RFM input'!$G$60:$Q$60,0))))</f>
        <v>0</v>
      </c>
      <c r="X1305" s="152"/>
      <c r="Y1305" s="152"/>
      <c r="Z1305" s="152"/>
      <c r="AA1305" s="152"/>
      <c r="AB1305" s="152"/>
    </row>
    <row r="1306" spans="1:28">
      <c r="A1306" s="152"/>
      <c r="B1306" s="152" t="s">
        <v>205</v>
      </c>
      <c r="C1306" s="1418">
        <f ca="1">IF($D$6='TAB roll forward'!$H$4,OFFSET('RFM input'!$S$6,$A1305,0),"enter input")</f>
        <v>0</v>
      </c>
      <c r="D1306" s="1417">
        <f>IF(LEFT(D$6,4)&lt;=LEFT('RFM input'!$G$60,4),"enter input",IF(LEFT(D$6,4)&gt;LEFT('RFM input'!$Q$60,4),0,
IF(MATCH(D$6,'RFM input'!$H$60:$Q$60,0),INDEX('RFM input'!$T$7:$T$56,$A1305,1,1))))</f>
        <v>0</v>
      </c>
      <c r="E1306" s="1417">
        <f>IF(LEFT(E$6,4)&lt;=LEFT('RFM input'!$G$60,4),"enter input",IF(LEFT(E$6,4)&gt;LEFT('RFM input'!$Q$60,4),0,
IF(MATCH(E$6,'RFM input'!$H$60:$Q$60,0),INDEX('RFM input'!$T$7:$T$56,$A1305,1,1))))</f>
        <v>0</v>
      </c>
      <c r="F1306" s="1417">
        <f>IF(LEFT(F$6,4)&lt;=LEFT('RFM input'!$G$60,4),"enter input",IF(LEFT(F$6,4)&gt;LEFT('RFM input'!$Q$60,4),0,
IF(MATCH(F$6,'RFM input'!$H$60:$Q$60,0),INDEX('RFM input'!$T$7:$T$56,$A1305,1,1))))</f>
        <v>0</v>
      </c>
      <c r="G1306" s="1417">
        <f>IF(LEFT(G$6,4)&lt;=LEFT('RFM input'!$G$60,4),"enter input",IF(LEFT(G$6,4)&gt;LEFT('RFM input'!$Q$60,4),0,
IF(MATCH(G$6,'RFM input'!$H$60:$Q$60,0),INDEX('RFM input'!$T$7:$T$56,$A1305,1,1))))</f>
        <v>0</v>
      </c>
      <c r="H1306" s="1417">
        <f>IF(LEFT(H$6,4)&lt;=LEFT('RFM input'!$G$60,4),"enter input",IF(LEFT(H$6,4)&gt;LEFT('RFM input'!$Q$60,4),0,
IF(MATCH(H$6,'RFM input'!$H$60:$Q$60,0),INDEX('RFM input'!$T$7:$T$56,$A1305,1,1))))</f>
        <v>0</v>
      </c>
      <c r="I1306" s="1417">
        <f>IF(LEFT(I$6,4)&lt;=LEFT('RFM input'!$G$60,4),"enter input",IF(LEFT(I$6,4)&gt;LEFT('RFM input'!$Q$60,4),0,
IF(MATCH(I$6,'RFM input'!$H$60:$Q$60,0),INDEX('RFM input'!$T$7:$T$56,$A1305,1,1))))</f>
        <v>0</v>
      </c>
      <c r="J1306" s="1417">
        <f>IF(LEFT(J$6,4)&lt;=LEFT('RFM input'!$G$60,4),"enter input",IF(LEFT(J$6,4)&gt;LEFT('RFM input'!$Q$60,4),0,
IF(MATCH(J$6,'RFM input'!$H$60:$Q$60,0),INDEX('RFM input'!$T$7:$T$56,$A1305,1,1))))</f>
        <v>0</v>
      </c>
      <c r="K1306" s="1417">
        <f>IF(LEFT(K$6,4)&lt;=LEFT('RFM input'!$G$60,4),"enter input",IF(LEFT(K$6,4)&gt;LEFT('RFM input'!$Q$60,4),0,
IF(MATCH(K$6,'RFM input'!$H$60:$Q$60,0),INDEX('RFM input'!$T$7:$T$56,$A1305,1,1))))</f>
        <v>0</v>
      </c>
      <c r="L1306" s="1417">
        <f>IF(LEFT(L$6,4)&lt;=LEFT('RFM input'!$G$60,4),"enter input",IF(LEFT(L$6,4)&gt;LEFT('RFM input'!$Q$60,4),0,
IF(MATCH(L$6,'RFM input'!$H$60:$Q$60,0),INDEX('RFM input'!$T$7:$T$56,$A1305,1,1))))</f>
        <v>0</v>
      </c>
      <c r="M1306" s="1417">
        <f>IF(LEFT(M$6,4)&lt;=LEFT('RFM input'!$G$60,4),"enter input",IF(LEFT(M$6,4)&gt;LEFT('RFM input'!$Q$60,4),0,
IF(MATCH(M$6,'RFM input'!$H$60:$Q$60,0),INDEX('RFM input'!$T$7:$T$56,$A1305,1,1))))</f>
        <v>0</v>
      </c>
      <c r="N1306" s="1417">
        <f>IF(LEFT(N$6,4)&lt;=LEFT('RFM input'!$G$60,4),"enter input",IF(LEFT(N$6,4)&gt;LEFT('RFM input'!$Q$60,4),0,
IF(MATCH(N$6,'RFM input'!$H$60:$Q$60,0),INDEX('RFM input'!$T$7:$T$56,$A1305,1,1))))</f>
        <v>0</v>
      </c>
      <c r="O1306" s="1417">
        <f>IF(LEFT(O$6,4)&lt;=LEFT('RFM input'!$G$60,4),"enter input",IF(LEFT(O$6,4)&gt;LEFT('RFM input'!$Q$60,4),0,
IF(MATCH(O$6,'RFM input'!$H$60:$Q$60,0),INDEX('RFM input'!$T$7:$T$56,$A1305,1,1))))</f>
        <v>0</v>
      </c>
      <c r="P1306" s="1417">
        <f>IF(LEFT(P$6,4)&lt;=LEFT('RFM input'!$G$60,4),"enter input",IF(LEFT(P$6,4)&gt;LEFT('RFM input'!$Q$60,4),0,
IF(MATCH(P$6,'RFM input'!$H$60:$Q$60,0),INDEX('RFM input'!$T$7:$T$56,$A1305,1,1))))</f>
        <v>0</v>
      </c>
      <c r="Q1306" s="1417">
        <f>IF(LEFT(Q$6,4)&lt;=LEFT('RFM input'!$G$60,4),"enter input",IF(LEFT(Q$6,4)&gt;LEFT('RFM input'!$Q$60,4),0,
IF(MATCH(Q$6,'RFM input'!$H$60:$Q$60,0),INDEX('RFM input'!$T$7:$T$56,$A1305,1,1))))</f>
        <v>0</v>
      </c>
      <c r="R1306" s="1417">
        <f>IF(LEFT(R$6,4)&lt;=LEFT('RFM input'!$G$60,4),"enter input",IF(LEFT(R$6,4)&gt;LEFT('RFM input'!$Q$60,4),0,
IF(MATCH(R$6,'RFM input'!$H$60:$Q$60,0),INDEX('RFM input'!$T$7:$T$56,$A1305,1,1))))</f>
        <v>0</v>
      </c>
      <c r="S1306" s="1417">
        <f>IF(LEFT(S$6,4)&lt;=LEFT('RFM input'!$G$60,4),"enter input",IF(LEFT(S$6,4)&gt;LEFT('RFM input'!$Q$60,4),0,
IF(MATCH(S$6,'RFM input'!$H$60:$Q$60,0),INDEX('RFM input'!$T$7:$T$56,$A1305,1,1))))</f>
        <v>0</v>
      </c>
      <c r="T1306" s="1417">
        <f>IF(LEFT(T$6,4)&lt;=LEFT('RFM input'!$G$60,4),"enter input",IF(LEFT(T$6,4)&gt;LEFT('RFM input'!$Q$60,4),0,
IF(MATCH(T$6,'RFM input'!$H$60:$Q$60,0),INDEX('RFM input'!$T$7:$T$56,$A1305,1,1))))</f>
        <v>0</v>
      </c>
      <c r="U1306" s="1417">
        <f>IF(LEFT(U$6,4)&lt;=LEFT('RFM input'!$G$60,4),"enter input",IF(LEFT(U$6,4)&gt;LEFT('RFM input'!$Q$60,4),0,
IF(MATCH(U$6,'RFM input'!$H$60:$Q$60,0),INDEX('RFM input'!$T$7:$T$56,$A1305,1,1))))</f>
        <v>0</v>
      </c>
      <c r="V1306" s="1417">
        <f>IF(LEFT(V$6,4)&lt;=LEFT('RFM input'!$G$60,4),"enter input",IF(LEFT(V$6,4)&gt;LEFT('RFM input'!$Q$60,4),0,
IF(MATCH(V$6,'RFM input'!$H$60:$Q$60,0),INDEX('RFM input'!$T$7:$T$56,$A1305,1,1))))</f>
        <v>0</v>
      </c>
      <c r="W1306" s="1417">
        <f>IF(LEFT(W$6,4)&lt;=LEFT('RFM input'!$G$60,4),"enter input",IF(LEFT(W$6,4)&gt;LEFT('RFM input'!$Q$60,4),0,
IF(MATCH(W$6,'RFM input'!$H$60:$Q$60,0),INDEX('RFM input'!$T$7:$T$56,$A1305,1,1))))</f>
        <v>0</v>
      </c>
      <c r="X1306" s="152"/>
      <c r="Y1306" s="152"/>
      <c r="Z1306" s="152"/>
      <c r="AA1306" s="152"/>
      <c r="AB1306" s="152"/>
    </row>
    <row r="1307" spans="1:28">
      <c r="A1307" s="152"/>
      <c r="B1307" s="193" t="s">
        <v>192</v>
      </c>
      <c r="C1307" s="1419"/>
      <c r="D1307" s="1420">
        <f ca="1">IF(LEFT(D$6,4)&lt;=LEFT('RFM input'!$G$60,4),"enter input",IF(LEFT(D$6,4)&gt;LEFT('RFM input'!$Q$60,4),0,
IF(D$6=(OFFSET('RFM input'!$G$60,0,'RFM input'!$V$7)),OFFSET('RFM input'!$H$411,$A1305,0),0)))</f>
        <v>0</v>
      </c>
      <c r="E1307" s="1417">
        <f ca="1">IF(LEFT(E$6,4)&lt;=LEFT('RFM input'!$G$60,4),"enter input",IF(LEFT(E$6,4)&gt;LEFT('RFM input'!$Q$60,4),0,
IF(E$6=(OFFSET('RFM input'!$G$60,0,'RFM input'!$V$7)),OFFSET('RFM input'!$H$411,$A1305,0),0)))</f>
        <v>0</v>
      </c>
      <c r="F1307" s="1417">
        <f ca="1">IF(LEFT(F$6,4)&lt;=LEFT('RFM input'!$G$60,4),"enter input",IF(LEFT(F$6,4)&gt;LEFT('RFM input'!$Q$60,4),0,
IF(F$6=(OFFSET('RFM input'!$G$60,0,'RFM input'!$V$7)),OFFSET('RFM input'!$H$411,$A1305,0),0)))</f>
        <v>0</v>
      </c>
      <c r="G1307" s="1417">
        <f ca="1">IF(LEFT(G$6,4)&lt;=LEFT('RFM input'!$G$60,4),"enter input",IF(LEFT(G$6,4)&gt;LEFT('RFM input'!$Q$60,4),0,
IF(G$6=(OFFSET('RFM input'!$G$60,0,'RFM input'!$V$7)),OFFSET('RFM input'!$H$411,$A1305,0),0)))</f>
        <v>0</v>
      </c>
      <c r="H1307" s="1417">
        <f ca="1">IF(LEFT(H$6,4)&lt;=LEFT('RFM input'!$G$60,4),"enter input",IF(LEFT(H$6,4)&gt;LEFT('RFM input'!$Q$60,4),0,
IF(H$6=(OFFSET('RFM input'!$G$60,0,'RFM input'!$V$7)),OFFSET('RFM input'!$H$411,$A1305,0),0)))</f>
        <v>0</v>
      </c>
      <c r="I1307" s="1417">
        <f ca="1">IF(LEFT(I$6,4)&lt;=LEFT('RFM input'!$G$60,4),"enter input",IF(LEFT(I$6,4)&gt;LEFT('RFM input'!$Q$60,4),0,
IF(I$6=(OFFSET('RFM input'!$G$60,0,'RFM input'!$V$7)),OFFSET('RFM input'!$H$411,$A1305,0),0)))</f>
        <v>0</v>
      </c>
      <c r="J1307" s="1417">
        <f ca="1">IF(LEFT(J$6,4)&lt;=LEFT('RFM input'!$G$60,4),"enter input",IF(LEFT(J$6,4)&gt;LEFT('RFM input'!$Q$60,4),0,
IF(J$6=(OFFSET('RFM input'!$G$60,0,'RFM input'!$V$7)),OFFSET('RFM input'!$H$411,$A1305,0),0)))</f>
        <v>0</v>
      </c>
      <c r="K1307" s="1417">
        <f ca="1">IF(LEFT(K$6,4)&lt;=LEFT('RFM input'!$G$60,4),"enter input",IF(LEFT(K$6,4)&gt;LEFT('RFM input'!$Q$60,4),0,
IF(K$6=(OFFSET('RFM input'!$G$60,0,'RFM input'!$V$7)),OFFSET('RFM input'!$H$411,$A1305,0),0)))</f>
        <v>0</v>
      </c>
      <c r="L1307" s="1417">
        <f ca="1">IF(LEFT(L$6,4)&lt;=LEFT('RFM input'!$G$60,4),"enter input",IF(LEFT(L$6,4)&gt;LEFT('RFM input'!$Q$60,4),0,
IF(L$6=(OFFSET('RFM input'!$G$60,0,'RFM input'!$V$7)),OFFSET('RFM input'!$H$411,$A1305,0),0)))</f>
        <v>0</v>
      </c>
      <c r="M1307" s="1417">
        <f ca="1">IF(LEFT(M$6,4)&lt;=LEFT('RFM input'!$G$60,4),"enter input",IF(LEFT(M$6,4)&gt;LEFT('RFM input'!$Q$60,4),0,
IF(M$6=(OFFSET('RFM input'!$G$60,0,'RFM input'!$V$7)),OFFSET('RFM input'!$H$411,$A1305,0),0)))</f>
        <v>0</v>
      </c>
      <c r="N1307" s="1417">
        <f ca="1">IF(LEFT(N$6,4)&lt;=LEFT('RFM input'!$G$60,4),"enter input",IF(LEFT(N$6,4)&gt;LEFT('RFM input'!$Q$60,4),0,
IF(N$6=(OFFSET('RFM input'!$G$60,0,'RFM input'!$V$7)),OFFSET('RFM input'!$H$411,$A1305,0),0)))</f>
        <v>0</v>
      </c>
      <c r="O1307" s="1417">
        <f ca="1">IF(LEFT(O$6,4)&lt;=LEFT('RFM input'!$G$60,4),"enter input",IF(LEFT(O$6,4)&gt;LEFT('RFM input'!$Q$60,4),0,
IF(O$6=(OFFSET('RFM input'!$G$60,0,'RFM input'!$V$7)),OFFSET('RFM input'!$H$411,$A1305,0),0)))</f>
        <v>0</v>
      </c>
      <c r="P1307" s="1417">
        <f ca="1">IF(LEFT(P$6,4)&lt;=LEFT('RFM input'!$G$60,4),"enter input",IF(LEFT(P$6,4)&gt;LEFT('RFM input'!$Q$60,4),0,
IF(P$6=(OFFSET('RFM input'!$G$60,0,'RFM input'!$V$7)),OFFSET('RFM input'!$H$411,$A1305,0),0)))</f>
        <v>0</v>
      </c>
      <c r="Q1307" s="1417">
        <f ca="1">IF(LEFT(Q$6,4)&lt;=LEFT('RFM input'!$G$60,4),"enter input",IF(LEFT(Q$6,4)&gt;LEFT('RFM input'!$Q$60,4),0,
IF(Q$6=(OFFSET('RFM input'!$G$60,0,'RFM input'!$V$7)),OFFSET('RFM input'!$H$411,$A1305,0),0)))</f>
        <v>0</v>
      </c>
      <c r="R1307" s="1417">
        <f ca="1">IF(LEFT(R$6,4)&lt;=LEFT('RFM input'!$G$60,4),"enter input",IF(LEFT(R$6,4)&gt;LEFT('RFM input'!$Q$60,4),0,
IF(R$6=(OFFSET('RFM input'!$G$60,0,'RFM input'!$V$7)),OFFSET('RFM input'!$H$411,$A1305,0),0)))</f>
        <v>0</v>
      </c>
      <c r="S1307" s="1417">
        <f ca="1">IF(LEFT(S$6,4)&lt;=LEFT('RFM input'!$G$60,4),"enter input",IF(LEFT(S$6,4)&gt;LEFT('RFM input'!$Q$60,4),0,
IF(S$6=(OFFSET('RFM input'!$G$60,0,'RFM input'!$V$7)),OFFSET('RFM input'!$H$411,$A1305,0),0)))</f>
        <v>0</v>
      </c>
      <c r="T1307" s="1417">
        <f ca="1">IF(LEFT(T$6,4)&lt;=LEFT('RFM input'!$G$60,4),"enter input",IF(LEFT(T$6,4)&gt;LEFT('RFM input'!$Q$60,4),0,
IF(T$6=(OFFSET('RFM input'!$G$60,0,'RFM input'!$V$7)),OFFSET('RFM input'!$H$411,$A1305,0),0)))</f>
        <v>0</v>
      </c>
      <c r="U1307" s="1417">
        <f ca="1">IF(LEFT(U$6,4)&lt;=LEFT('RFM input'!$G$60,4),"enter input",IF(LEFT(U$6,4)&gt;LEFT('RFM input'!$Q$60,4),0,
IF(U$6=(OFFSET('RFM input'!$G$60,0,'RFM input'!$V$7)),OFFSET('RFM input'!$H$411,$A1305,0),0)))</f>
        <v>0</v>
      </c>
      <c r="V1307" s="1417">
        <f ca="1">IF(LEFT(V$6,4)&lt;=LEFT('RFM input'!$G$60,4),"enter input",IF(LEFT(V$6,4)&gt;LEFT('RFM input'!$Q$60,4),0,
IF(V$6=(OFFSET('RFM input'!$G$60,0,'RFM input'!$V$7)),OFFSET('RFM input'!$H$411,$A1305,0),0)))</f>
        <v>0</v>
      </c>
      <c r="W1307" s="1417">
        <f ca="1">IF(LEFT(W$6,4)&lt;=LEFT('RFM input'!$G$60,4),"enter input",IF(LEFT(W$6,4)&gt;LEFT('RFM input'!$Q$60,4),0,
IF(W$6=(OFFSET('RFM input'!$G$60,0,'RFM input'!$V$7)),OFFSET('RFM input'!$H$411,$A1305,0),0)))</f>
        <v>0</v>
      </c>
      <c r="X1307" s="152"/>
      <c r="Y1307" s="152"/>
      <c r="Z1307" s="152"/>
      <c r="AA1307" s="152"/>
      <c r="AB1307" s="152"/>
    </row>
    <row r="1308" spans="1:28">
      <c r="A1308" s="152"/>
      <c r="B1308" s="193" t="s">
        <v>200</v>
      </c>
      <c r="C1308" s="1419"/>
      <c r="D1308" s="1418">
        <f ca="1">IF(LEFT(D$6,4)&lt;=LEFT('RFM input'!$G$60,4),"enter input",IF(LEFT(D$6,4)&gt;LEFT('RFM input'!$Q$60,4),0,
IF(D$6=(OFFSET('RFM input'!$G$60,0,'RFM input'!$V$7)),OFFSET('RFM input'!$J$411,$A1305,0),0)))</f>
        <v>0</v>
      </c>
      <c r="E1308" s="1422">
        <f ca="1">IF(LEFT(E$6,4)&lt;=LEFT('RFM input'!$G$60,4),"enter input",IF(LEFT(E$6,4)&gt;LEFT('RFM input'!$Q$60,4),0,
IF(E$6=(OFFSET('RFM input'!$G$60,0,'RFM input'!$V$7)),OFFSET('RFM input'!$J$411,$A1305,0),0)))</f>
        <v>0</v>
      </c>
      <c r="F1308" s="1422">
        <f ca="1">IF(LEFT(F$6,4)&lt;=LEFT('RFM input'!$G$60,4),"enter input",IF(LEFT(F$6,4)&gt;LEFT('RFM input'!$Q$60,4),0,
IF(F$6=(OFFSET('RFM input'!$G$60,0,'RFM input'!$V$7)),OFFSET('RFM input'!$J$411,$A1305,0),0)))</f>
        <v>0</v>
      </c>
      <c r="G1308" s="1422">
        <f ca="1">IF(LEFT(G$6,4)&lt;=LEFT('RFM input'!$G$60,4),"enter input",IF(LEFT(G$6,4)&gt;LEFT('RFM input'!$Q$60,4),0,
IF(G$6=(OFFSET('RFM input'!$G$60,0,'RFM input'!$V$7)),OFFSET('RFM input'!$J$411,$A1305,0),0)))</f>
        <v>0</v>
      </c>
      <c r="H1308" s="1422">
        <f ca="1">IF(LEFT(H$6,4)&lt;=LEFT('RFM input'!$G$60,4),"enter input",IF(LEFT(H$6,4)&gt;LEFT('RFM input'!$Q$60,4),0,
IF(H$6=(OFFSET('RFM input'!$G$60,0,'RFM input'!$V$7)),OFFSET('RFM input'!$J$411,$A1305,0),0)))</f>
        <v>0</v>
      </c>
      <c r="I1308" s="1422">
        <f ca="1">IF(LEFT(I$6,4)&lt;=LEFT('RFM input'!$G$60,4),"enter input",IF(LEFT(I$6,4)&gt;LEFT('RFM input'!$Q$60,4),0,
IF(I$6=(OFFSET('RFM input'!$G$60,0,'RFM input'!$V$7)),OFFSET('RFM input'!$J$411,$A1305,0),0)))</f>
        <v>0</v>
      </c>
      <c r="J1308" s="1422">
        <f ca="1">IF(LEFT(J$6,4)&lt;=LEFT('RFM input'!$G$60,4),"enter input",IF(LEFT(J$6,4)&gt;LEFT('RFM input'!$Q$60,4),0,
IF(J$6=(OFFSET('RFM input'!$G$60,0,'RFM input'!$V$7)),OFFSET('RFM input'!$J$411,$A1305,0),0)))</f>
        <v>0</v>
      </c>
      <c r="K1308" s="1422">
        <f ca="1">IF(LEFT(K$6,4)&lt;=LEFT('RFM input'!$G$60,4),"enter input",IF(LEFT(K$6,4)&gt;LEFT('RFM input'!$Q$60,4),0,
IF(K$6=(OFFSET('RFM input'!$G$60,0,'RFM input'!$V$7)),OFFSET('RFM input'!$J$411,$A1305,0),0)))</f>
        <v>0</v>
      </c>
      <c r="L1308" s="1422">
        <f ca="1">IF(LEFT(L$6,4)&lt;=LEFT('RFM input'!$G$60,4),"enter input",IF(LEFT(L$6,4)&gt;LEFT('RFM input'!$Q$60,4),0,
IF(L$6=(OFFSET('RFM input'!$G$60,0,'RFM input'!$V$7)),OFFSET('RFM input'!$J$411,$A1305,0),0)))</f>
        <v>0</v>
      </c>
      <c r="M1308" s="1422">
        <f ca="1">IF(LEFT(M$6,4)&lt;=LEFT('RFM input'!$G$60,4),"enter input",IF(LEFT(M$6,4)&gt;LEFT('RFM input'!$Q$60,4),0,
IF(M$6=(OFFSET('RFM input'!$G$60,0,'RFM input'!$V$7)),OFFSET('RFM input'!$J$411,$A1305,0),0)))</f>
        <v>0</v>
      </c>
      <c r="N1308" s="1422">
        <f ca="1">IF(LEFT(N$6,4)&lt;=LEFT('RFM input'!$G$60,4),"enter input",IF(LEFT(N$6,4)&gt;LEFT('RFM input'!$Q$60,4),0,
IF(N$6=(OFFSET('RFM input'!$G$60,0,'RFM input'!$V$7)),OFFSET('RFM input'!$J$411,$A1305,0),0)))</f>
        <v>0</v>
      </c>
      <c r="O1308" s="1422">
        <f ca="1">IF(LEFT(O$6,4)&lt;=LEFT('RFM input'!$G$60,4),"enter input",IF(LEFT(O$6,4)&gt;LEFT('RFM input'!$Q$60,4),0,
IF(O$6=(OFFSET('RFM input'!$G$60,0,'RFM input'!$V$7)),OFFSET('RFM input'!$J$411,$A1305,0),0)))</f>
        <v>0</v>
      </c>
      <c r="P1308" s="1422">
        <f ca="1">IF(LEFT(P$6,4)&lt;=LEFT('RFM input'!$G$60,4),"enter input",IF(LEFT(P$6,4)&gt;LEFT('RFM input'!$Q$60,4),0,
IF(P$6=(OFFSET('RFM input'!$G$60,0,'RFM input'!$V$7)),OFFSET('RFM input'!$J$411,$A1305,0),0)))</f>
        <v>0</v>
      </c>
      <c r="Q1308" s="1422">
        <f ca="1">IF(LEFT(Q$6,4)&lt;=LEFT('RFM input'!$G$60,4),"enter input",IF(LEFT(Q$6,4)&gt;LEFT('RFM input'!$Q$60,4),0,
IF(Q$6=(OFFSET('RFM input'!$G$60,0,'RFM input'!$V$7)),OFFSET('RFM input'!$J$411,$A1305,0),0)))</f>
        <v>0</v>
      </c>
      <c r="R1308" s="1422">
        <f ca="1">IF(LEFT(R$6,4)&lt;=LEFT('RFM input'!$G$60,4),"enter input",IF(LEFT(R$6,4)&gt;LEFT('RFM input'!$Q$60,4),0,
IF(R$6=(OFFSET('RFM input'!$G$60,0,'RFM input'!$V$7)),OFFSET('RFM input'!$J$411,$A1305,0),0)))</f>
        <v>0</v>
      </c>
      <c r="S1308" s="1422">
        <f ca="1">IF(LEFT(S$6,4)&lt;=LEFT('RFM input'!$G$60,4),"enter input",IF(LEFT(S$6,4)&gt;LEFT('RFM input'!$Q$60,4),0,
IF(S$6=(OFFSET('RFM input'!$G$60,0,'RFM input'!$V$7)),OFFSET('RFM input'!$J$411,$A1305,0),0)))</f>
        <v>0</v>
      </c>
      <c r="T1308" s="1422">
        <f ca="1">IF(LEFT(T$6,4)&lt;=LEFT('RFM input'!$G$60,4),"enter input",IF(LEFT(T$6,4)&gt;LEFT('RFM input'!$Q$60,4),0,
IF(T$6=(OFFSET('RFM input'!$G$60,0,'RFM input'!$V$7)),OFFSET('RFM input'!$J$411,$A1305,0),0)))</f>
        <v>0</v>
      </c>
      <c r="U1308" s="1422">
        <f ca="1">IF(LEFT(U$6,4)&lt;=LEFT('RFM input'!$G$60,4),"enter input",IF(LEFT(U$6,4)&gt;LEFT('RFM input'!$Q$60,4),0,
IF(U$6=(OFFSET('RFM input'!$G$60,0,'RFM input'!$V$7)),OFFSET('RFM input'!$J$411,$A1305,0),0)))</f>
        <v>0</v>
      </c>
      <c r="V1308" s="1422">
        <f ca="1">IF(LEFT(V$6,4)&lt;=LEFT('RFM input'!$G$60,4),"enter input",IF(LEFT(V$6,4)&gt;LEFT('RFM input'!$Q$60,4),0,
IF(V$6=(OFFSET('RFM input'!$G$60,0,'RFM input'!$V$7)),OFFSET('RFM input'!$J$411,$A1305,0),0)))</f>
        <v>0</v>
      </c>
      <c r="W1308" s="1422">
        <f ca="1">IF(LEFT(W$6,4)&lt;=LEFT('RFM input'!$G$60,4),"enter input",IF(LEFT(W$6,4)&gt;LEFT('RFM input'!$Q$60,4),0,
IF(W$6=(OFFSET('RFM input'!$G$60,0,'RFM input'!$V$7)),OFFSET('RFM input'!$J$411,$A1305,0),0)))</f>
        <v>0</v>
      </c>
      <c r="X1308" s="152"/>
      <c r="Y1308" s="152"/>
      <c r="Z1308" s="152"/>
      <c r="AA1308" s="152"/>
      <c r="AB1308" s="152"/>
    </row>
    <row r="1309" spans="1:28" hidden="1" outlineLevel="1">
      <c r="A1309" s="235">
        <v>-1</v>
      </c>
      <c r="B1309" s="190" t="s">
        <v>195</v>
      </c>
      <c r="C1309" s="1423"/>
      <c r="D1309" s="1423">
        <f t="shared" ref="D1309" ca="1" si="1872">IF(AND(D1307=0,C1309=0),0,
IF(AND(D1307&lt;&gt;0,C1309=0),D1307,
IF(AND(D1308&lt;&gt;0,C1309&lt;&gt;0),(C1309-(C1309/C1333))+D1307,
IF(C1333&lt;1,0,(C1309-(C1309/C1333))))))</f>
        <v>0</v>
      </c>
      <c r="E1309" s="1423">
        <f t="shared" ref="E1309" ca="1" si="1873">IF(AND(E1307=0,D1309=0),0,
IF(AND(E1307&lt;&gt;0,D1309=0),E1307,
IF(AND(E1308&lt;&gt;0,D1309&lt;&gt;0),(D1309-(D1309/D1333))+E1307,
IF(D1333&lt;1,0,(D1309-(D1309/D1333))))))</f>
        <v>0</v>
      </c>
      <c r="F1309" s="1423">
        <f t="shared" ref="F1309" ca="1" si="1874">IF(AND(F1307=0,E1309=0),0,
IF(AND(F1307&lt;&gt;0,E1309=0),F1307,
IF(AND(F1308&lt;&gt;0,E1309&lt;&gt;0),(E1309-(E1309/E1333))+F1307,
IF(E1333&lt;1,0,(E1309-(E1309/E1333))))))</f>
        <v>0</v>
      </c>
      <c r="G1309" s="1423">
        <f t="shared" ref="G1309" ca="1" si="1875">IF(AND(G1307=0,F1309=0),0,
IF(AND(G1307&lt;&gt;0,F1309=0),G1307,
IF(AND(G1308&lt;&gt;0,F1309&lt;&gt;0),(F1309-(F1309/F1333))+G1307,
IF(F1333&lt;1,0,(F1309-(F1309/F1333))))))</f>
        <v>0</v>
      </c>
      <c r="H1309" s="1423">
        <f ca="1">IF(AND(H1307=0,G1309=0),0,
IF(AND(H1307&lt;&gt;0,G1309=0),H1307,
IF(AND(H1308&lt;&gt;0,G1309&lt;&gt;0),(G1309-(G1309/G1333))+H1307,
IF(G1333&lt;1,0,(G1309-(G1309/G1333))))))</f>
        <v>0</v>
      </c>
      <c r="I1309" s="1423">
        <f t="shared" ref="I1309" ca="1" si="1876">IF(AND(I1307=0,H1309=0),0,
IF(AND(I1307&lt;&gt;0,H1309=0),I1307,
IF(AND(I1308&lt;&gt;0,H1309&lt;&gt;0),(H1309-(H1309/H1333))+I1307,
IF(H1333&lt;1,0,(H1309-(H1309/H1333))))))</f>
        <v>0</v>
      </c>
      <c r="J1309" s="1423">
        <f t="shared" ref="J1309" ca="1" si="1877">IF(AND(J1307=0,I1309=0),0,
IF(AND(J1307&lt;&gt;0,I1309=0),J1307,
IF(AND(J1308&lt;&gt;0,I1309&lt;&gt;0),(I1309-(I1309/I1333))+J1307,
IF(I1333&lt;1,0,(I1309-(I1309/I1333))))))</f>
        <v>0</v>
      </c>
      <c r="K1309" s="1423">
        <f t="shared" ref="K1309" ca="1" si="1878">IF(AND(K1307=0,J1309=0),0,
IF(AND(K1307&lt;&gt;0,J1309=0),K1307,
IF(AND(K1308&lt;&gt;0,J1309&lt;&gt;0),(J1309-(J1309/J1333))+K1307,
IF(J1333&lt;1,0,(J1309-(J1309/J1333))))))</f>
        <v>0</v>
      </c>
      <c r="L1309" s="1423">
        <f t="shared" ref="L1309" ca="1" si="1879">IF(AND(L1307=0,K1309=0),0,
IF(AND(L1307&lt;&gt;0,K1309=0),L1307,
IF(AND(L1308&lt;&gt;0,K1309&lt;&gt;0),(K1309-(K1309/K1333))+L1307,
IF(K1333&lt;1,0,(K1309-(K1309/K1333))))))</f>
        <v>0</v>
      </c>
      <c r="M1309" s="1423">
        <f t="shared" ref="M1309" ca="1" si="1880">IF(AND(M1307=0,L1309=0),0,
IF(AND(M1307&lt;&gt;0,L1309=0),M1307,
IF(AND(M1308&lt;&gt;0,L1309&lt;&gt;0),(L1309-(L1309/L1333))+M1307,
IF(L1333&lt;1,0,(L1309-(L1309/L1333))))))</f>
        <v>0</v>
      </c>
      <c r="N1309" s="1423">
        <f t="shared" ref="N1309" ca="1" si="1881">IF(AND(N1307=0,M1309=0),0,
IF(AND(N1307&lt;&gt;0,M1309=0),N1307,
IF(AND(N1308&lt;&gt;0,M1309&lt;&gt;0),(M1309-(M1309/M1333))+N1307,
IF(M1333&lt;1,0,(M1309-(M1309/M1333))))))</f>
        <v>0</v>
      </c>
      <c r="O1309" s="1423">
        <f t="shared" ref="O1309" ca="1" si="1882">IF(AND(O1307=0,N1309=0),0,
IF(AND(O1307&lt;&gt;0,N1309=0),O1307,
IF(AND(O1308&lt;&gt;0,N1309&lt;&gt;0),(N1309-(N1309/N1333))+O1307,
IF(N1333&lt;1,0,(N1309-(N1309/N1333))))))</f>
        <v>0</v>
      </c>
      <c r="P1309" s="1423">
        <f t="shared" ref="P1309" ca="1" si="1883">IF(AND(P1307=0,O1309=0),0,
IF(AND(P1307&lt;&gt;0,O1309=0),P1307,
IF(AND(P1308&lt;&gt;0,O1309&lt;&gt;0),(O1309-(O1309/O1333))+P1307,
IF(O1333&lt;1,0,(O1309-(O1309/O1333))))))</f>
        <v>0</v>
      </c>
      <c r="Q1309" s="1423">
        <f t="shared" ref="Q1309" ca="1" si="1884">IF(AND(Q1307=0,P1309=0),0,
IF(AND(Q1307&lt;&gt;0,P1309=0),Q1307,
IF(AND(Q1308&lt;&gt;0,P1309&lt;&gt;0),(P1309-(P1309/P1333))+Q1307,
IF(P1333&lt;1,0,(P1309-(P1309/P1333))))))</f>
        <v>0</v>
      </c>
      <c r="R1309" s="1423">
        <f t="shared" ref="R1309" ca="1" si="1885">IF(AND(R1307=0,Q1309=0),0,
IF(AND(R1307&lt;&gt;0,Q1309=0),R1307,
IF(AND(R1308&lt;&gt;0,Q1309&lt;&gt;0),(Q1309-(Q1309/Q1333))+R1307,
IF(Q1333&lt;1,0,(Q1309-(Q1309/Q1333))))))</f>
        <v>0</v>
      </c>
      <c r="S1309" s="1423">
        <f t="shared" ref="S1309" ca="1" si="1886">IF(AND(S1307=0,R1309=0),0,
IF(AND(S1307&lt;&gt;0,R1309=0),S1307,
IF(AND(S1308&lt;&gt;0,R1309&lt;&gt;0),(R1309-(R1309/R1333))+S1307,
IF(R1333&lt;1,0,(R1309-(R1309/R1333))))))</f>
        <v>0</v>
      </c>
      <c r="T1309" s="1423">
        <f t="shared" ref="T1309" ca="1" si="1887">IF(AND(T1307=0,S1309=0),0,
IF(AND(T1307&lt;&gt;0,S1309=0),T1307,
IF(AND(T1308&lt;&gt;0,S1309&lt;&gt;0),(S1309-(S1309/S1333))+T1307,
IF(S1333&lt;1,0,(S1309-(S1309/S1333))))))</f>
        <v>0</v>
      </c>
      <c r="U1309" s="1423">
        <f t="shared" ref="U1309" ca="1" si="1888">IF(AND(U1307=0,T1309=0),0,
IF(AND(U1307&lt;&gt;0,T1309=0),U1307,
IF(AND(U1308&lt;&gt;0,T1309&lt;&gt;0),(T1309-(T1309/T1333))+U1307,
IF(T1333&lt;1,0,(T1309-(T1309/T1333))))))</f>
        <v>0</v>
      </c>
      <c r="V1309" s="1423">
        <f t="shared" ref="V1309" ca="1" si="1889">IF(AND(V1307=0,U1309=0),0,
IF(AND(V1307&lt;&gt;0,U1309=0),V1307,
IF(AND(V1308&lt;&gt;0,U1309&lt;&gt;0),(U1309-(U1309/U1333))+V1307,
IF(U1333&lt;1,0,(U1309-(U1309/U1333))))))</f>
        <v>0</v>
      </c>
      <c r="W1309" s="1423">
        <f t="shared" ref="W1309" ca="1" si="1890">IF(AND(W1307=0,V1309=0),0,
IF(AND(W1307&lt;&gt;0,V1309=0),W1307,
IF(AND(W1308&lt;&gt;0,V1309&lt;&gt;0),(V1309-(V1309/V1333))+W1307,
IF(V1333&lt;1,0,(V1309-(V1309/V1333))))))</f>
        <v>0</v>
      </c>
      <c r="X1309" s="152"/>
      <c r="Y1309" s="152"/>
      <c r="Z1309" s="152"/>
      <c r="AA1309" s="152"/>
      <c r="AB1309" s="152"/>
    </row>
    <row r="1310" spans="1:28" hidden="1" outlineLevel="1">
      <c r="A1310" s="199">
        <f>A1309+1</f>
        <v>0</v>
      </c>
      <c r="B1310" s="190" t="s">
        <v>527</v>
      </c>
      <c r="C1310" s="1423">
        <f ca="1">C1305</f>
        <v>0</v>
      </c>
      <c r="D1310" s="1423">
        <f ca="1">IF(C1334="n/a",C1310,IFERROR(IF((OFFSET($C1310,0,$A1310))&lt;0,
MIN(0,C1310-(OFFSET($C1310,0,$A1310)/(OFFSET($C1305,-$A1309,$A1310)))),
MAX(0,C1310-(OFFSET($C1310,0,$A1310)/(OFFSET($C1305,-$A1309,$A1310))))),0))</f>
        <v>0</v>
      </c>
      <c r="E1310" s="1423">
        <f t="shared" ref="E1310" ca="1" si="1891">IF(D1334="n/a",D1310,IFERROR(IF((OFFSET($C1310,0,$A1310))&lt;0,
MIN(0,D1310-(OFFSET($C1310,0,$A1310)/(OFFSET($C1305,-$A1309,$A1310)))),
MAX(0,D1310-(OFFSET($C1310,0,$A1310)/(OFFSET($C1305,-$A1309,$A1310))))),0))</f>
        <v>0</v>
      </c>
      <c r="F1310" s="1423">
        <f t="shared" ref="F1310:F1311" ca="1" si="1892">IF(E1334="n/a",E1310,IFERROR(IF((OFFSET($C1310,0,$A1310))&lt;0,
MIN(0,E1310-(OFFSET($C1310,0,$A1310)/(OFFSET($C1305,-$A1309,$A1310)))),
MAX(0,E1310-(OFFSET($C1310,0,$A1310)/(OFFSET($C1305,-$A1309,$A1310))))),0))</f>
        <v>0</v>
      </c>
      <c r="G1310" s="1423">
        <f t="shared" ref="G1310:G1312" ca="1" si="1893">IF(F1334="n/a",F1310,IFERROR(IF((OFFSET($C1310,0,$A1310))&lt;0,
MIN(0,F1310-(OFFSET($C1310,0,$A1310)/(OFFSET($C1305,-$A1309,$A1310)))),
MAX(0,F1310-(OFFSET($C1310,0,$A1310)/(OFFSET($C1305,-$A1309,$A1310))))),0))</f>
        <v>0</v>
      </c>
      <c r="H1310" s="1423">
        <f t="shared" ref="H1310:H1313" ca="1" si="1894">IF(G1334="n/a",G1310,IFERROR(IF((OFFSET($C1310,0,$A1310))&lt;0,
MIN(0,G1310-(OFFSET($C1310,0,$A1310)/(OFFSET($C1305,-$A1309,$A1310)))),
MAX(0,G1310-(OFFSET($C1310,0,$A1310)/(OFFSET($C1305,-$A1309,$A1310))))),0))</f>
        <v>0</v>
      </c>
      <c r="I1310" s="1423">
        <f t="shared" ref="I1310:I1314" ca="1" si="1895">IF(H1334="n/a",H1310,IFERROR(IF((OFFSET($C1310,0,$A1310))&lt;0,
MIN(0,H1310-(OFFSET($C1310,0,$A1310)/(OFFSET($C1305,-$A1309,$A1310)))),
MAX(0,H1310-(OFFSET($C1310,0,$A1310)/(OFFSET($C1305,-$A1309,$A1310))))),0))</f>
        <v>0</v>
      </c>
      <c r="J1310" s="1423">
        <f t="shared" ref="J1310:J1315" ca="1" si="1896">IF(I1334="n/a",I1310,IFERROR(IF((OFFSET($C1310,0,$A1310))&lt;0,
MIN(0,I1310-(OFFSET($C1310,0,$A1310)/(OFFSET($C1305,-$A1309,$A1310)))),
MAX(0,I1310-(OFFSET($C1310,0,$A1310)/(OFFSET($C1305,-$A1309,$A1310))))),0))</f>
        <v>0</v>
      </c>
      <c r="K1310" s="1423">
        <f t="shared" ref="K1310:K1316" ca="1" si="1897">IF(J1334="n/a",J1310,IFERROR(IF((OFFSET($C1310,0,$A1310))&lt;0,
MIN(0,J1310-(OFFSET($C1310,0,$A1310)/(OFFSET($C1305,-$A1309,$A1310)))),
MAX(0,J1310-(OFFSET($C1310,0,$A1310)/(OFFSET($C1305,-$A1309,$A1310))))),0))</f>
        <v>0</v>
      </c>
      <c r="L1310" s="1423">
        <f t="shared" ref="L1310:L1317" ca="1" si="1898">IF(K1334="n/a",K1310,IFERROR(IF((OFFSET($C1310,0,$A1310))&lt;0,
MIN(0,K1310-(OFFSET($C1310,0,$A1310)/(OFFSET($C1305,-$A1309,$A1310)))),
MAX(0,K1310-(OFFSET($C1310,0,$A1310)/(OFFSET($C1305,-$A1309,$A1310))))),0))</f>
        <v>0</v>
      </c>
      <c r="M1310" s="1423">
        <f t="shared" ref="M1310:M1318" ca="1" si="1899">IF(L1334="n/a",L1310,IFERROR(IF((OFFSET($C1310,0,$A1310))&lt;0,
MIN(0,L1310-(OFFSET($C1310,0,$A1310)/(OFFSET($C1305,-$A1309,$A1310)))),
MAX(0,L1310-(OFFSET($C1310,0,$A1310)/(OFFSET($C1305,-$A1309,$A1310))))),0))</f>
        <v>0</v>
      </c>
      <c r="N1310" s="1423">
        <f t="shared" ref="N1310:N1319" ca="1" si="1900">IF(M1334="n/a",M1310,IFERROR(IF((OFFSET($C1310,0,$A1310))&lt;0,
MIN(0,M1310-(OFFSET($C1310,0,$A1310)/(OFFSET($C1305,-$A1309,$A1310)))),
MAX(0,M1310-(OFFSET($C1310,0,$A1310)/(OFFSET($C1305,-$A1309,$A1310))))),0))</f>
        <v>0</v>
      </c>
      <c r="O1310" s="1423">
        <f t="shared" ref="O1310:O1320" ca="1" si="1901">IF(N1334="n/a",N1310,IFERROR(IF((OFFSET($C1310,0,$A1310))&lt;0,
MIN(0,N1310-(OFFSET($C1310,0,$A1310)/(OFFSET($C1305,-$A1309,$A1310)))),
MAX(0,N1310-(OFFSET($C1310,0,$A1310)/(OFFSET($C1305,-$A1309,$A1310))))),0))</f>
        <v>0</v>
      </c>
      <c r="P1310" s="1423">
        <f t="shared" ref="P1310:P1321" ca="1" si="1902">IF(O1334="n/a",O1310,IFERROR(IF((OFFSET($C1310,0,$A1310))&lt;0,
MIN(0,O1310-(OFFSET($C1310,0,$A1310)/(OFFSET($C1305,-$A1309,$A1310)))),
MAX(0,O1310-(OFFSET($C1310,0,$A1310)/(OFFSET($C1305,-$A1309,$A1310))))),0))</f>
        <v>0</v>
      </c>
      <c r="Q1310" s="1423">
        <f t="shared" ref="Q1310:Q1322" ca="1" si="1903">IF(P1334="n/a",P1310,IFERROR(IF((OFFSET($C1310,0,$A1310))&lt;0,
MIN(0,P1310-(OFFSET($C1310,0,$A1310)/(OFFSET($C1305,-$A1309,$A1310)))),
MAX(0,P1310-(OFFSET($C1310,0,$A1310)/(OFFSET($C1305,-$A1309,$A1310))))),0))</f>
        <v>0</v>
      </c>
      <c r="R1310" s="1423">
        <f t="shared" ref="R1310:R1323" ca="1" si="1904">IF(Q1334="n/a",Q1310,IFERROR(IF((OFFSET($C1310,0,$A1310))&lt;0,
MIN(0,Q1310-(OFFSET($C1310,0,$A1310)/(OFFSET($C1305,-$A1309,$A1310)))),
MAX(0,Q1310-(OFFSET($C1310,0,$A1310)/(OFFSET($C1305,-$A1309,$A1310))))),0))</f>
        <v>0</v>
      </c>
      <c r="S1310" s="1423">
        <f t="shared" ref="S1310:S1324" ca="1" si="1905">IF(R1334="n/a",R1310,IFERROR(IF((OFFSET($C1310,0,$A1310))&lt;0,
MIN(0,R1310-(OFFSET($C1310,0,$A1310)/(OFFSET($C1305,-$A1309,$A1310)))),
MAX(0,R1310-(OFFSET($C1310,0,$A1310)/(OFFSET($C1305,-$A1309,$A1310))))),0))</f>
        <v>0</v>
      </c>
      <c r="T1310" s="1423">
        <f t="shared" ref="T1310:T1325" ca="1" si="1906">IF(S1334="n/a",S1310,IFERROR(IF((OFFSET($C1310,0,$A1310))&lt;0,
MIN(0,S1310-(OFFSET($C1310,0,$A1310)/(OFFSET($C1305,-$A1309,$A1310)))),
MAX(0,S1310-(OFFSET($C1310,0,$A1310)/(OFFSET($C1305,-$A1309,$A1310))))),0))</f>
        <v>0</v>
      </c>
      <c r="U1310" s="1423">
        <f t="shared" ref="U1310:U1326" ca="1" si="1907">IF(T1334="n/a",T1310,IFERROR(IF((OFFSET($C1310,0,$A1310))&lt;0,
MIN(0,T1310-(OFFSET($C1310,0,$A1310)/(OFFSET($C1305,-$A1309,$A1310)))),
MAX(0,T1310-(OFFSET($C1310,0,$A1310)/(OFFSET($C1305,-$A1309,$A1310))))),0))</f>
        <v>0</v>
      </c>
      <c r="V1310" s="1423">
        <f t="shared" ref="V1310:V1327" ca="1" si="1908">IF(U1334="n/a",U1310,IFERROR(IF((OFFSET($C1310,0,$A1310))&lt;0,
MIN(0,U1310-(OFFSET($C1310,0,$A1310)/(OFFSET($C1305,-$A1309,$A1310)))),
MAX(0,U1310-(OFFSET($C1310,0,$A1310)/(OFFSET($C1305,-$A1309,$A1310))))),0))</f>
        <v>0</v>
      </c>
      <c r="W1310" s="1423">
        <f t="shared" ref="W1310:W1328" ca="1" si="1909">IF(V1334="n/a",V1310,IFERROR(IF((OFFSET($C1310,0,$A1310))&lt;0,
MIN(0,V1310-(OFFSET($C1310,0,$A1310)/(OFFSET($C1305,-$A1309,$A1310)))),
MAX(0,V1310-(OFFSET($C1310,0,$A1310)/(OFFSET($C1305,-$A1309,$A1310))))),0))</f>
        <v>0</v>
      </c>
      <c r="X1310" s="152"/>
      <c r="Y1310" s="152"/>
      <c r="Z1310" s="152"/>
      <c r="AA1310" s="152"/>
      <c r="AB1310" s="152"/>
    </row>
    <row r="1311" spans="1:28" hidden="1" outlineLevel="1">
      <c r="A1311" s="199">
        <f t="shared" ref="A1311:A1330" si="1910">A1310+1</f>
        <v>1</v>
      </c>
      <c r="B1311" s="190" t="str">
        <f t="shared" ref="B1311:B1330" ca="1" si="1911">"Depreciated Net Capex "&amp;OFFSET($C$6,0,A1311)</f>
        <v>Depreciated Net Capex 2016-17</v>
      </c>
      <c r="C1311" s="1424"/>
      <c r="D1311" s="1425">
        <f>D1305</f>
        <v>0</v>
      </c>
      <c r="E1311" s="1423">
        <f ca="1">IF(D1335="n/a",D1311,IFERROR(IF((OFFSET($C1311,0,$A1311))&lt;0,
MIN(0,D1311-(OFFSET($C1311,0,$A1311)/(OFFSET($C1306,-$A1310,$A1311)))),
MAX(0,D1311-(OFFSET($C1311,0,$A1311)/(OFFSET($C1306,-$A1310,$A1311))))),0))</f>
        <v>0</v>
      </c>
      <c r="F1311" s="1423">
        <f t="shared" ca="1" si="1892"/>
        <v>0</v>
      </c>
      <c r="G1311" s="1423">
        <f t="shared" ca="1" si="1893"/>
        <v>0</v>
      </c>
      <c r="H1311" s="1423">
        <f t="shared" ca="1" si="1894"/>
        <v>0</v>
      </c>
      <c r="I1311" s="1423">
        <f t="shared" ca="1" si="1895"/>
        <v>0</v>
      </c>
      <c r="J1311" s="1423">
        <f t="shared" ca="1" si="1896"/>
        <v>0</v>
      </c>
      <c r="K1311" s="1423">
        <f t="shared" ca="1" si="1897"/>
        <v>0</v>
      </c>
      <c r="L1311" s="1423">
        <f t="shared" ca="1" si="1898"/>
        <v>0</v>
      </c>
      <c r="M1311" s="1423">
        <f t="shared" ca="1" si="1899"/>
        <v>0</v>
      </c>
      <c r="N1311" s="1423">
        <f t="shared" ca="1" si="1900"/>
        <v>0</v>
      </c>
      <c r="O1311" s="1423">
        <f t="shared" ca="1" si="1901"/>
        <v>0</v>
      </c>
      <c r="P1311" s="1423">
        <f t="shared" ca="1" si="1902"/>
        <v>0</v>
      </c>
      <c r="Q1311" s="1423">
        <f t="shared" ca="1" si="1903"/>
        <v>0</v>
      </c>
      <c r="R1311" s="1423">
        <f t="shared" ca="1" si="1904"/>
        <v>0</v>
      </c>
      <c r="S1311" s="1423">
        <f t="shared" ca="1" si="1905"/>
        <v>0</v>
      </c>
      <c r="T1311" s="1423">
        <f t="shared" ca="1" si="1906"/>
        <v>0</v>
      </c>
      <c r="U1311" s="1423">
        <f t="shared" ca="1" si="1907"/>
        <v>0</v>
      </c>
      <c r="V1311" s="1423">
        <f t="shared" ca="1" si="1908"/>
        <v>0</v>
      </c>
      <c r="W1311" s="1423">
        <f t="shared" ca="1" si="1909"/>
        <v>0</v>
      </c>
      <c r="X1311" s="152"/>
      <c r="Y1311" s="152"/>
      <c r="Z1311" s="152"/>
      <c r="AA1311" s="152"/>
      <c r="AB1311" s="152"/>
    </row>
    <row r="1312" spans="1:28" hidden="1" outlineLevel="1">
      <c r="A1312" s="199">
        <f t="shared" si="1910"/>
        <v>2</v>
      </c>
      <c r="B1312" s="190" t="str">
        <f t="shared" ca="1" si="1911"/>
        <v>Depreciated Net Capex 2017-18</v>
      </c>
      <c r="C1312" s="1426"/>
      <c r="D1312" s="1427"/>
      <c r="E1312" s="1425">
        <f>E1305</f>
        <v>0</v>
      </c>
      <c r="F1312" s="1423">
        <f ca="1">IF(E1336="n/a",E1312,IFERROR(IF((OFFSET($C1312,0,$A1312))&lt;0,
MIN(0,E1312-(OFFSET($C1312,0,$A1312)/(OFFSET($C1307,-$A1311,$A1312)))),
MAX(0,E1312-(OFFSET($C1312,0,$A1312)/(OFFSET($C1307,-$A1311,$A1312))))),0))</f>
        <v>0</v>
      </c>
      <c r="G1312" s="1423">
        <f t="shared" ca="1" si="1893"/>
        <v>0</v>
      </c>
      <c r="H1312" s="1423">
        <f t="shared" ca="1" si="1894"/>
        <v>0</v>
      </c>
      <c r="I1312" s="1423">
        <f t="shared" ca="1" si="1895"/>
        <v>0</v>
      </c>
      <c r="J1312" s="1423">
        <f t="shared" ca="1" si="1896"/>
        <v>0</v>
      </c>
      <c r="K1312" s="1423">
        <f t="shared" ca="1" si="1897"/>
        <v>0</v>
      </c>
      <c r="L1312" s="1423">
        <f t="shared" ca="1" si="1898"/>
        <v>0</v>
      </c>
      <c r="M1312" s="1423">
        <f t="shared" ca="1" si="1899"/>
        <v>0</v>
      </c>
      <c r="N1312" s="1423">
        <f t="shared" ca="1" si="1900"/>
        <v>0</v>
      </c>
      <c r="O1312" s="1423">
        <f t="shared" ca="1" si="1901"/>
        <v>0</v>
      </c>
      <c r="P1312" s="1423">
        <f t="shared" ca="1" si="1902"/>
        <v>0</v>
      </c>
      <c r="Q1312" s="1423">
        <f t="shared" ca="1" si="1903"/>
        <v>0</v>
      </c>
      <c r="R1312" s="1423">
        <f t="shared" ca="1" si="1904"/>
        <v>0</v>
      </c>
      <c r="S1312" s="1423">
        <f t="shared" ca="1" si="1905"/>
        <v>0</v>
      </c>
      <c r="T1312" s="1423">
        <f t="shared" ca="1" si="1906"/>
        <v>0</v>
      </c>
      <c r="U1312" s="1423">
        <f t="shared" ca="1" si="1907"/>
        <v>0</v>
      </c>
      <c r="V1312" s="1423">
        <f t="shared" ca="1" si="1908"/>
        <v>0</v>
      </c>
      <c r="W1312" s="1423">
        <f t="shared" ca="1" si="1909"/>
        <v>0</v>
      </c>
      <c r="X1312" s="202"/>
      <c r="Y1312" s="152"/>
      <c r="Z1312" s="152"/>
      <c r="AA1312" s="152"/>
      <c r="AB1312" s="152"/>
    </row>
    <row r="1313" spans="1:28" hidden="1" outlineLevel="1">
      <c r="A1313" s="199">
        <f t="shared" si="1910"/>
        <v>3</v>
      </c>
      <c r="B1313" s="190" t="str">
        <f t="shared" ca="1" si="1911"/>
        <v>Depreciated Net Capex 2018-19</v>
      </c>
      <c r="C1313" s="1426"/>
      <c r="D1313" s="1426"/>
      <c r="E1313" s="1427"/>
      <c r="F1313" s="1428">
        <f>F1305</f>
        <v>0</v>
      </c>
      <c r="G1313" s="1423">
        <f ca="1">IF(F1337="n/a",F1313,IFERROR(IF((OFFSET($C1313,0,$A1313))&lt;0,
MIN(0,F1313-(OFFSET($C1313,0,$A1313)/(OFFSET($C1308,-$A1312,$A1313)))),
MAX(0,F1313-(OFFSET($C1313,0,$A1313)/(OFFSET($C1308,-$A1312,$A1313))))),0))</f>
        <v>0</v>
      </c>
      <c r="H1313" s="1423">
        <f t="shared" ca="1" si="1894"/>
        <v>0</v>
      </c>
      <c r="I1313" s="1423">
        <f t="shared" ca="1" si="1895"/>
        <v>0</v>
      </c>
      <c r="J1313" s="1423">
        <f t="shared" ca="1" si="1896"/>
        <v>0</v>
      </c>
      <c r="K1313" s="1423">
        <f t="shared" ca="1" si="1897"/>
        <v>0</v>
      </c>
      <c r="L1313" s="1423">
        <f t="shared" ca="1" si="1898"/>
        <v>0</v>
      </c>
      <c r="M1313" s="1423">
        <f t="shared" ca="1" si="1899"/>
        <v>0</v>
      </c>
      <c r="N1313" s="1423">
        <f t="shared" ca="1" si="1900"/>
        <v>0</v>
      </c>
      <c r="O1313" s="1423">
        <f t="shared" ca="1" si="1901"/>
        <v>0</v>
      </c>
      <c r="P1313" s="1423">
        <f t="shared" ca="1" si="1902"/>
        <v>0</v>
      </c>
      <c r="Q1313" s="1423">
        <f t="shared" ca="1" si="1903"/>
        <v>0</v>
      </c>
      <c r="R1313" s="1423">
        <f t="shared" ca="1" si="1904"/>
        <v>0</v>
      </c>
      <c r="S1313" s="1423">
        <f t="shared" ca="1" si="1905"/>
        <v>0</v>
      </c>
      <c r="T1313" s="1423">
        <f t="shared" ca="1" si="1906"/>
        <v>0</v>
      </c>
      <c r="U1313" s="1423">
        <f t="shared" ca="1" si="1907"/>
        <v>0</v>
      </c>
      <c r="V1313" s="1423">
        <f t="shared" ca="1" si="1908"/>
        <v>0</v>
      </c>
      <c r="W1313" s="1423">
        <f t="shared" ca="1" si="1909"/>
        <v>0</v>
      </c>
      <c r="X1313" s="202"/>
      <c r="Y1313" s="202"/>
      <c r="Z1313" s="152"/>
      <c r="AA1313" s="152"/>
      <c r="AB1313" s="152"/>
    </row>
    <row r="1314" spans="1:28" hidden="1" outlineLevel="1">
      <c r="A1314" s="199">
        <f t="shared" si="1910"/>
        <v>4</v>
      </c>
      <c r="B1314" s="190" t="str">
        <f t="shared" ca="1" si="1911"/>
        <v>Depreciated Net Capex 2019-20</v>
      </c>
      <c r="C1314" s="1426"/>
      <c r="D1314" s="1426"/>
      <c r="E1314" s="1426"/>
      <c r="F1314" s="1427"/>
      <c r="G1314" s="1428">
        <f>G1305</f>
        <v>0</v>
      </c>
      <c r="H1314" s="1423">
        <f ca="1">IF(G1338="n/a",G1314,IFERROR(IF((OFFSET($C1314,0,$A1314))&lt;0,
MIN(0,G1314-(OFFSET($C1314,0,$A1314)/(OFFSET($C1309,-$A1313,$A1314)))),
MAX(0,G1314-(OFFSET($C1314,0,$A1314)/(OFFSET($C1309,-$A1313,$A1314))))),0))</f>
        <v>0</v>
      </c>
      <c r="I1314" s="1423">
        <f t="shared" ca="1" si="1895"/>
        <v>0</v>
      </c>
      <c r="J1314" s="1423">
        <f t="shared" ca="1" si="1896"/>
        <v>0</v>
      </c>
      <c r="K1314" s="1423">
        <f t="shared" ca="1" si="1897"/>
        <v>0</v>
      </c>
      <c r="L1314" s="1423">
        <f t="shared" ca="1" si="1898"/>
        <v>0</v>
      </c>
      <c r="M1314" s="1423">
        <f t="shared" ca="1" si="1899"/>
        <v>0</v>
      </c>
      <c r="N1314" s="1423">
        <f t="shared" ca="1" si="1900"/>
        <v>0</v>
      </c>
      <c r="O1314" s="1423">
        <f t="shared" ca="1" si="1901"/>
        <v>0</v>
      </c>
      <c r="P1314" s="1423">
        <f t="shared" ca="1" si="1902"/>
        <v>0</v>
      </c>
      <c r="Q1314" s="1423">
        <f t="shared" ca="1" si="1903"/>
        <v>0</v>
      </c>
      <c r="R1314" s="1423">
        <f t="shared" ca="1" si="1904"/>
        <v>0</v>
      </c>
      <c r="S1314" s="1423">
        <f t="shared" ca="1" si="1905"/>
        <v>0</v>
      </c>
      <c r="T1314" s="1423">
        <f t="shared" ca="1" si="1906"/>
        <v>0</v>
      </c>
      <c r="U1314" s="1423">
        <f t="shared" ca="1" si="1907"/>
        <v>0</v>
      </c>
      <c r="V1314" s="1423">
        <f t="shared" ca="1" si="1908"/>
        <v>0</v>
      </c>
      <c r="W1314" s="1423">
        <f t="shared" ca="1" si="1909"/>
        <v>0</v>
      </c>
      <c r="X1314" s="202"/>
      <c r="Y1314" s="202"/>
      <c r="Z1314" s="202"/>
      <c r="AA1314" s="152"/>
      <c r="AB1314" s="152"/>
    </row>
    <row r="1315" spans="1:28" hidden="1" outlineLevel="1">
      <c r="A1315" s="199">
        <f t="shared" si="1910"/>
        <v>5</v>
      </c>
      <c r="B1315" s="190" t="str">
        <f t="shared" ca="1" si="1911"/>
        <v>Depreciated Net Capex 2020-21</v>
      </c>
      <c r="C1315" s="1426"/>
      <c r="D1315" s="1426"/>
      <c r="E1315" s="1426"/>
      <c r="F1315" s="1426"/>
      <c r="G1315" s="1427"/>
      <c r="H1315" s="1428">
        <f>H1305</f>
        <v>0</v>
      </c>
      <c r="I1315" s="1423">
        <f ca="1">IF(H1339="n/a",H1315,IFERROR(IF((OFFSET($C1315,0,$A1315))&lt;0,
MIN(0,H1315-(OFFSET($C1315,0,$A1315)/(OFFSET($C1310,-$A1314,$A1315)))),
MAX(0,H1315-(OFFSET($C1315,0,$A1315)/(OFFSET($C1310,-$A1314,$A1315))))),0))</f>
        <v>0</v>
      </c>
      <c r="J1315" s="1423">
        <f t="shared" ca="1" si="1896"/>
        <v>0</v>
      </c>
      <c r="K1315" s="1423">
        <f t="shared" ca="1" si="1897"/>
        <v>0</v>
      </c>
      <c r="L1315" s="1423">
        <f t="shared" ca="1" si="1898"/>
        <v>0</v>
      </c>
      <c r="M1315" s="1423">
        <f t="shared" ca="1" si="1899"/>
        <v>0</v>
      </c>
      <c r="N1315" s="1423">
        <f t="shared" ca="1" si="1900"/>
        <v>0</v>
      </c>
      <c r="O1315" s="1423">
        <f t="shared" ca="1" si="1901"/>
        <v>0</v>
      </c>
      <c r="P1315" s="1423">
        <f t="shared" ca="1" si="1902"/>
        <v>0</v>
      </c>
      <c r="Q1315" s="1423">
        <f t="shared" ca="1" si="1903"/>
        <v>0</v>
      </c>
      <c r="R1315" s="1423">
        <f t="shared" ca="1" si="1904"/>
        <v>0</v>
      </c>
      <c r="S1315" s="1423">
        <f t="shared" ca="1" si="1905"/>
        <v>0</v>
      </c>
      <c r="T1315" s="1423">
        <f t="shared" ca="1" si="1906"/>
        <v>0</v>
      </c>
      <c r="U1315" s="1423">
        <f t="shared" ca="1" si="1907"/>
        <v>0</v>
      </c>
      <c r="V1315" s="1423">
        <f t="shared" ca="1" si="1908"/>
        <v>0</v>
      </c>
      <c r="W1315" s="1423">
        <f t="shared" ca="1" si="1909"/>
        <v>0</v>
      </c>
      <c r="X1315" s="202"/>
      <c r="Y1315" s="202"/>
      <c r="Z1315" s="202"/>
      <c r="AA1315" s="152"/>
      <c r="AB1315" s="152"/>
    </row>
    <row r="1316" spans="1:28" hidden="1" outlineLevel="1">
      <c r="A1316" s="199">
        <f t="shared" si="1910"/>
        <v>6</v>
      </c>
      <c r="B1316" s="190" t="str">
        <f t="shared" ca="1" si="1911"/>
        <v>Depreciated Net Capex 2021-22</v>
      </c>
      <c r="C1316" s="1426"/>
      <c r="D1316" s="1426"/>
      <c r="E1316" s="1426"/>
      <c r="F1316" s="1426"/>
      <c r="G1316" s="1426"/>
      <c r="H1316" s="1427"/>
      <c r="I1316" s="1428">
        <f>I1305</f>
        <v>0</v>
      </c>
      <c r="J1316" s="1423">
        <f ca="1">IF(I1340="n/a",I1316,IFERROR(IF((OFFSET($C1316,0,$A1316))&lt;0,
MIN(0,I1316-(OFFSET($C1316,0,$A1316)/(OFFSET($C1311,-$A1315,$A1316)))),
MAX(0,I1316-(OFFSET($C1316,0,$A1316)/(OFFSET($C1311,-$A1315,$A1316))))),0))</f>
        <v>0</v>
      </c>
      <c r="K1316" s="1423">
        <f t="shared" ca="1" si="1897"/>
        <v>0</v>
      </c>
      <c r="L1316" s="1423">
        <f t="shared" ca="1" si="1898"/>
        <v>0</v>
      </c>
      <c r="M1316" s="1423">
        <f t="shared" ca="1" si="1899"/>
        <v>0</v>
      </c>
      <c r="N1316" s="1423">
        <f t="shared" ca="1" si="1900"/>
        <v>0</v>
      </c>
      <c r="O1316" s="1423">
        <f t="shared" ca="1" si="1901"/>
        <v>0</v>
      </c>
      <c r="P1316" s="1423">
        <f t="shared" ca="1" si="1902"/>
        <v>0</v>
      </c>
      <c r="Q1316" s="1423">
        <f t="shared" ca="1" si="1903"/>
        <v>0</v>
      </c>
      <c r="R1316" s="1423">
        <f t="shared" ca="1" si="1904"/>
        <v>0</v>
      </c>
      <c r="S1316" s="1423">
        <f t="shared" ca="1" si="1905"/>
        <v>0</v>
      </c>
      <c r="T1316" s="1423">
        <f t="shared" ca="1" si="1906"/>
        <v>0</v>
      </c>
      <c r="U1316" s="1423">
        <f t="shared" ca="1" si="1907"/>
        <v>0</v>
      </c>
      <c r="V1316" s="1423">
        <f t="shared" ca="1" si="1908"/>
        <v>0</v>
      </c>
      <c r="W1316" s="1423">
        <f t="shared" ca="1" si="1909"/>
        <v>0</v>
      </c>
      <c r="X1316" s="202"/>
      <c r="Y1316" s="202"/>
      <c r="Z1316" s="202"/>
      <c r="AA1316" s="152"/>
      <c r="AB1316" s="152"/>
    </row>
    <row r="1317" spans="1:28" hidden="1" outlineLevel="1">
      <c r="A1317" s="199">
        <f t="shared" si="1910"/>
        <v>7</v>
      </c>
      <c r="B1317" s="190" t="str">
        <f t="shared" ca="1" si="1911"/>
        <v>Depreciated Net Capex 2022-23</v>
      </c>
      <c r="C1317" s="1426"/>
      <c r="D1317" s="1426"/>
      <c r="E1317" s="1426"/>
      <c r="F1317" s="1426"/>
      <c r="G1317" s="1426"/>
      <c r="H1317" s="1426"/>
      <c r="I1317" s="1427"/>
      <c r="J1317" s="1428">
        <f>J1305</f>
        <v>0</v>
      </c>
      <c r="K1317" s="1423">
        <f ca="1">IF(J1341="n/a",J1317,IFERROR(IF((OFFSET($C1317,0,$A1317))&lt;0,
MIN(0,J1317-(OFFSET($C1317,0,$A1317)/(OFFSET($C1312,-$A1316,$A1317)))),
MAX(0,J1317-(OFFSET($C1317,0,$A1317)/(OFFSET($C1312,-$A1316,$A1317))))),0))</f>
        <v>0</v>
      </c>
      <c r="L1317" s="1423">
        <f t="shared" ca="1" si="1898"/>
        <v>0</v>
      </c>
      <c r="M1317" s="1423">
        <f t="shared" ca="1" si="1899"/>
        <v>0</v>
      </c>
      <c r="N1317" s="1423">
        <f t="shared" ca="1" si="1900"/>
        <v>0</v>
      </c>
      <c r="O1317" s="1423">
        <f t="shared" ca="1" si="1901"/>
        <v>0</v>
      </c>
      <c r="P1317" s="1423">
        <f t="shared" ca="1" si="1902"/>
        <v>0</v>
      </c>
      <c r="Q1317" s="1423">
        <f t="shared" ca="1" si="1903"/>
        <v>0</v>
      </c>
      <c r="R1317" s="1423">
        <f t="shared" ca="1" si="1904"/>
        <v>0</v>
      </c>
      <c r="S1317" s="1423">
        <f t="shared" ca="1" si="1905"/>
        <v>0</v>
      </c>
      <c r="T1317" s="1423">
        <f t="shared" ca="1" si="1906"/>
        <v>0</v>
      </c>
      <c r="U1317" s="1423">
        <f t="shared" ca="1" si="1907"/>
        <v>0</v>
      </c>
      <c r="V1317" s="1423">
        <f t="shared" ca="1" si="1908"/>
        <v>0</v>
      </c>
      <c r="W1317" s="1423">
        <f t="shared" ca="1" si="1909"/>
        <v>0</v>
      </c>
      <c r="X1317" s="202"/>
      <c r="Y1317" s="202"/>
      <c r="Z1317" s="202"/>
      <c r="AA1317" s="152"/>
      <c r="AB1317" s="152"/>
    </row>
    <row r="1318" spans="1:28" hidden="1" outlineLevel="1">
      <c r="A1318" s="199">
        <f t="shared" si="1910"/>
        <v>8</v>
      </c>
      <c r="B1318" s="190" t="str">
        <f t="shared" ca="1" si="1911"/>
        <v>Depreciated Net Capex 2023-24</v>
      </c>
      <c r="C1318" s="1426"/>
      <c r="D1318" s="1426"/>
      <c r="E1318" s="1426"/>
      <c r="F1318" s="1426"/>
      <c r="G1318" s="1426"/>
      <c r="H1318" s="1426"/>
      <c r="I1318" s="1426"/>
      <c r="J1318" s="1427"/>
      <c r="K1318" s="1428">
        <f>K1305</f>
        <v>0</v>
      </c>
      <c r="L1318" s="1423">
        <f ca="1">IF(K1342="n/a",K1318,IFERROR(IF((OFFSET($C1318,0,$A1318))&lt;0,
MIN(0,K1318-(OFFSET($C1318,0,$A1318)/(OFFSET($C1313,-$A1317,$A1318)))),
MAX(0,K1318-(OFFSET($C1318,0,$A1318)/(OFFSET($C1313,-$A1317,$A1318))))),0))</f>
        <v>0</v>
      </c>
      <c r="M1318" s="1423">
        <f t="shared" ca="1" si="1899"/>
        <v>0</v>
      </c>
      <c r="N1318" s="1423">
        <f t="shared" ca="1" si="1900"/>
        <v>0</v>
      </c>
      <c r="O1318" s="1423">
        <f t="shared" ca="1" si="1901"/>
        <v>0</v>
      </c>
      <c r="P1318" s="1423">
        <f t="shared" ca="1" si="1902"/>
        <v>0</v>
      </c>
      <c r="Q1318" s="1423">
        <f t="shared" ca="1" si="1903"/>
        <v>0</v>
      </c>
      <c r="R1318" s="1423">
        <f t="shared" ca="1" si="1904"/>
        <v>0</v>
      </c>
      <c r="S1318" s="1423">
        <f t="shared" ca="1" si="1905"/>
        <v>0</v>
      </c>
      <c r="T1318" s="1423">
        <f t="shared" ca="1" si="1906"/>
        <v>0</v>
      </c>
      <c r="U1318" s="1423">
        <f t="shared" ca="1" si="1907"/>
        <v>0</v>
      </c>
      <c r="V1318" s="1423">
        <f t="shared" ca="1" si="1908"/>
        <v>0</v>
      </c>
      <c r="W1318" s="1423">
        <f t="shared" ca="1" si="1909"/>
        <v>0</v>
      </c>
      <c r="X1318" s="202"/>
      <c r="Y1318" s="202"/>
      <c r="Z1318" s="202"/>
      <c r="AA1318" s="152"/>
      <c r="AB1318" s="152"/>
    </row>
    <row r="1319" spans="1:28" hidden="1" outlineLevel="1">
      <c r="A1319" s="199">
        <f t="shared" si="1910"/>
        <v>9</v>
      </c>
      <c r="B1319" s="190" t="str">
        <f t="shared" ca="1" si="1911"/>
        <v>Depreciated Net Capex 2024-25</v>
      </c>
      <c r="C1319" s="1426"/>
      <c r="D1319" s="1426"/>
      <c r="E1319" s="1426"/>
      <c r="F1319" s="1426"/>
      <c r="G1319" s="1426"/>
      <c r="H1319" s="1426"/>
      <c r="I1319" s="1426"/>
      <c r="J1319" s="1426"/>
      <c r="K1319" s="1427"/>
      <c r="L1319" s="1428">
        <f>L1305</f>
        <v>0</v>
      </c>
      <c r="M1319" s="1423">
        <f ca="1">IF(L1343="n/a",L1319,IFERROR(IF((OFFSET($C1319,0,$A1319))&lt;0,
MIN(0,L1319-(OFFSET($C1319,0,$A1319)/(OFFSET($C1314,-$A1318,$A1319)))),
MAX(0,L1319-(OFFSET($C1319,0,$A1319)/(OFFSET($C1314,-$A1318,$A1319))))),0))</f>
        <v>0</v>
      </c>
      <c r="N1319" s="1423">
        <f t="shared" ca="1" si="1900"/>
        <v>0</v>
      </c>
      <c r="O1319" s="1423">
        <f t="shared" ca="1" si="1901"/>
        <v>0</v>
      </c>
      <c r="P1319" s="1423">
        <f t="shared" ca="1" si="1902"/>
        <v>0</v>
      </c>
      <c r="Q1319" s="1423">
        <f t="shared" ca="1" si="1903"/>
        <v>0</v>
      </c>
      <c r="R1319" s="1423">
        <f t="shared" ca="1" si="1904"/>
        <v>0</v>
      </c>
      <c r="S1319" s="1423">
        <f t="shared" ca="1" si="1905"/>
        <v>0</v>
      </c>
      <c r="T1319" s="1423">
        <f t="shared" ca="1" si="1906"/>
        <v>0</v>
      </c>
      <c r="U1319" s="1423">
        <f t="shared" ca="1" si="1907"/>
        <v>0</v>
      </c>
      <c r="V1319" s="1423">
        <f t="shared" ca="1" si="1908"/>
        <v>0</v>
      </c>
      <c r="W1319" s="1423">
        <f t="shared" ca="1" si="1909"/>
        <v>0</v>
      </c>
      <c r="X1319" s="202"/>
      <c r="Y1319" s="202"/>
      <c r="Z1319" s="202"/>
      <c r="AA1319" s="152"/>
      <c r="AB1319" s="152"/>
    </row>
    <row r="1320" spans="1:28" hidden="1" outlineLevel="1">
      <c r="A1320" s="199">
        <f t="shared" si="1910"/>
        <v>10</v>
      </c>
      <c r="B1320" s="190" t="str">
        <f t="shared" ca="1" si="1911"/>
        <v>Depreciated Net Capex 2025-26</v>
      </c>
      <c r="C1320" s="1426"/>
      <c r="D1320" s="1426"/>
      <c r="E1320" s="1426"/>
      <c r="F1320" s="1426"/>
      <c r="G1320" s="1426"/>
      <c r="H1320" s="1426"/>
      <c r="I1320" s="1426"/>
      <c r="J1320" s="1426"/>
      <c r="K1320" s="1426"/>
      <c r="L1320" s="1427"/>
      <c r="M1320" s="1428">
        <f>M1305</f>
        <v>0</v>
      </c>
      <c r="N1320" s="1423">
        <f ca="1">IF(M1344="n/a",M1320,IFERROR(IF((OFFSET($C1320,0,$A1320))&lt;0,
MIN(0,M1320-(OFFSET($C1320,0,$A1320)/(OFFSET($C1315,-$A1319,$A1320)))),
MAX(0,M1320-(OFFSET($C1320,0,$A1320)/(OFFSET($C1315,-$A1319,$A1320))))),0))</f>
        <v>0</v>
      </c>
      <c r="O1320" s="1423">
        <f t="shared" ca="1" si="1901"/>
        <v>0</v>
      </c>
      <c r="P1320" s="1423">
        <f t="shared" ca="1" si="1902"/>
        <v>0</v>
      </c>
      <c r="Q1320" s="1423">
        <f t="shared" ca="1" si="1903"/>
        <v>0</v>
      </c>
      <c r="R1320" s="1423">
        <f t="shared" ca="1" si="1904"/>
        <v>0</v>
      </c>
      <c r="S1320" s="1423">
        <f t="shared" ca="1" si="1905"/>
        <v>0</v>
      </c>
      <c r="T1320" s="1423">
        <f t="shared" ca="1" si="1906"/>
        <v>0</v>
      </c>
      <c r="U1320" s="1423">
        <f t="shared" ca="1" si="1907"/>
        <v>0</v>
      </c>
      <c r="V1320" s="1423">
        <f t="shared" ca="1" si="1908"/>
        <v>0</v>
      </c>
      <c r="W1320" s="1423">
        <f t="shared" ca="1" si="1909"/>
        <v>0</v>
      </c>
      <c r="X1320" s="202"/>
      <c r="Y1320" s="202"/>
      <c r="Z1320" s="202"/>
      <c r="AA1320" s="152"/>
      <c r="AB1320" s="152"/>
    </row>
    <row r="1321" spans="1:28" hidden="1" outlineLevel="1">
      <c r="A1321" s="199">
        <f t="shared" si="1910"/>
        <v>11</v>
      </c>
      <c r="B1321" s="190" t="str">
        <f t="shared" ca="1" si="1911"/>
        <v>Depreciated Net Capex 2026-27</v>
      </c>
      <c r="C1321" s="1426"/>
      <c r="D1321" s="1426"/>
      <c r="E1321" s="1426"/>
      <c r="F1321" s="1426"/>
      <c r="G1321" s="1426"/>
      <c r="H1321" s="1426"/>
      <c r="I1321" s="1426"/>
      <c r="J1321" s="1426"/>
      <c r="K1321" s="1426"/>
      <c r="L1321" s="1426"/>
      <c r="M1321" s="1427"/>
      <c r="N1321" s="1428">
        <f>N1305</f>
        <v>0</v>
      </c>
      <c r="O1321" s="1423">
        <f ca="1">IF(N1345="n/a",N1321,IFERROR(IF((OFFSET($C1321,0,$A1321))&lt;0,
MIN(0,N1321-(OFFSET($C1321,0,$A1321)/(OFFSET($C1316,-$A1320,$A1321)))),
MAX(0,N1321-(OFFSET($C1321,0,$A1321)/(OFFSET($C1316,-$A1320,$A1321))))),0))</f>
        <v>0</v>
      </c>
      <c r="P1321" s="1423">
        <f t="shared" ca="1" si="1902"/>
        <v>0</v>
      </c>
      <c r="Q1321" s="1423">
        <f t="shared" ca="1" si="1903"/>
        <v>0</v>
      </c>
      <c r="R1321" s="1423">
        <f t="shared" ca="1" si="1904"/>
        <v>0</v>
      </c>
      <c r="S1321" s="1423">
        <f t="shared" ca="1" si="1905"/>
        <v>0</v>
      </c>
      <c r="T1321" s="1423">
        <f t="shared" ca="1" si="1906"/>
        <v>0</v>
      </c>
      <c r="U1321" s="1423">
        <f t="shared" ca="1" si="1907"/>
        <v>0</v>
      </c>
      <c r="V1321" s="1423">
        <f t="shared" ca="1" si="1908"/>
        <v>0</v>
      </c>
      <c r="W1321" s="1423">
        <f t="shared" ca="1" si="1909"/>
        <v>0</v>
      </c>
      <c r="X1321" s="202"/>
      <c r="Y1321" s="202"/>
      <c r="Z1321" s="202"/>
      <c r="AA1321" s="152"/>
      <c r="AB1321" s="152"/>
    </row>
    <row r="1322" spans="1:28" hidden="1" outlineLevel="1">
      <c r="A1322" s="199">
        <f t="shared" si="1910"/>
        <v>12</v>
      </c>
      <c r="B1322" s="190" t="str">
        <f t="shared" ca="1" si="1911"/>
        <v>Depreciated Net Capex 2027-28</v>
      </c>
      <c r="C1322" s="1426"/>
      <c r="D1322" s="1426"/>
      <c r="E1322" s="1426"/>
      <c r="F1322" s="1426"/>
      <c r="G1322" s="1426"/>
      <c r="H1322" s="1426"/>
      <c r="I1322" s="1426"/>
      <c r="J1322" s="1426"/>
      <c r="K1322" s="1426"/>
      <c r="L1322" s="1426"/>
      <c r="M1322" s="1426"/>
      <c r="N1322" s="1427"/>
      <c r="O1322" s="1428">
        <f>O1305</f>
        <v>0</v>
      </c>
      <c r="P1322" s="1423">
        <f ca="1">IF(O1346="n/a",O1322,IFERROR(IF((OFFSET($C1322,0,$A1322))&lt;0,
MIN(0,O1322-(OFFSET($C1322,0,$A1322)/(OFFSET($C1317,-$A1321,$A1322)))),
MAX(0,O1322-(OFFSET($C1322,0,$A1322)/(OFFSET($C1317,-$A1321,$A1322))))),0))</f>
        <v>0</v>
      </c>
      <c r="Q1322" s="1423">
        <f t="shared" ca="1" si="1903"/>
        <v>0</v>
      </c>
      <c r="R1322" s="1423">
        <f t="shared" ca="1" si="1904"/>
        <v>0</v>
      </c>
      <c r="S1322" s="1423">
        <f t="shared" ca="1" si="1905"/>
        <v>0</v>
      </c>
      <c r="T1322" s="1423">
        <f t="shared" ca="1" si="1906"/>
        <v>0</v>
      </c>
      <c r="U1322" s="1423">
        <f t="shared" ca="1" si="1907"/>
        <v>0</v>
      </c>
      <c r="V1322" s="1423">
        <f t="shared" ca="1" si="1908"/>
        <v>0</v>
      </c>
      <c r="W1322" s="1423">
        <f t="shared" ca="1" si="1909"/>
        <v>0</v>
      </c>
      <c r="X1322" s="202"/>
      <c r="Y1322" s="202"/>
      <c r="Z1322" s="202"/>
      <c r="AA1322" s="152"/>
      <c r="AB1322" s="152"/>
    </row>
    <row r="1323" spans="1:28" hidden="1" outlineLevel="1">
      <c r="A1323" s="199">
        <f t="shared" si="1910"/>
        <v>13</v>
      </c>
      <c r="B1323" s="190" t="str">
        <f t="shared" ca="1" si="1911"/>
        <v>Depreciated Net Capex 2028-29</v>
      </c>
      <c r="C1323" s="1426"/>
      <c r="D1323" s="1426"/>
      <c r="E1323" s="1426"/>
      <c r="F1323" s="1426"/>
      <c r="G1323" s="1426"/>
      <c r="H1323" s="1426"/>
      <c r="I1323" s="1426"/>
      <c r="J1323" s="1426"/>
      <c r="K1323" s="1426"/>
      <c r="L1323" s="1426"/>
      <c r="M1323" s="1426"/>
      <c r="N1323" s="1426"/>
      <c r="O1323" s="1427"/>
      <c r="P1323" s="1428">
        <f>P1305</f>
        <v>0</v>
      </c>
      <c r="Q1323" s="1423">
        <f ca="1">IF(P1347="n/a",P1323,IFERROR(IF((OFFSET($C1323,0,$A1323))&lt;0,
MIN(0,P1323-(OFFSET($C1323,0,$A1323)/(OFFSET($C1318,-$A1322,$A1323)))),
MAX(0,P1323-(OFFSET($C1323,0,$A1323)/(OFFSET($C1318,-$A1322,$A1323))))),0))</f>
        <v>0</v>
      </c>
      <c r="R1323" s="1423">
        <f t="shared" ca="1" si="1904"/>
        <v>0</v>
      </c>
      <c r="S1323" s="1423">
        <f t="shared" ca="1" si="1905"/>
        <v>0</v>
      </c>
      <c r="T1323" s="1423">
        <f t="shared" ca="1" si="1906"/>
        <v>0</v>
      </c>
      <c r="U1323" s="1423">
        <f t="shared" ca="1" si="1907"/>
        <v>0</v>
      </c>
      <c r="V1323" s="1423">
        <f t="shared" ca="1" si="1908"/>
        <v>0</v>
      </c>
      <c r="W1323" s="1423">
        <f t="shared" ca="1" si="1909"/>
        <v>0</v>
      </c>
      <c r="X1323" s="202"/>
      <c r="Y1323" s="202"/>
      <c r="Z1323" s="202"/>
      <c r="AA1323" s="152"/>
      <c r="AB1323" s="152"/>
    </row>
    <row r="1324" spans="1:28" hidden="1" outlineLevel="1">
      <c r="A1324" s="199">
        <f t="shared" si="1910"/>
        <v>14</v>
      </c>
      <c r="B1324" s="190" t="str">
        <f t="shared" ca="1" si="1911"/>
        <v>Depreciated Net Capex 2029-30</v>
      </c>
      <c r="C1324" s="1426"/>
      <c r="D1324" s="1426"/>
      <c r="E1324" s="1426"/>
      <c r="F1324" s="1426"/>
      <c r="G1324" s="1426"/>
      <c r="H1324" s="1426"/>
      <c r="I1324" s="1426"/>
      <c r="J1324" s="1426"/>
      <c r="K1324" s="1426"/>
      <c r="L1324" s="1426"/>
      <c r="M1324" s="1426"/>
      <c r="N1324" s="1426"/>
      <c r="O1324" s="1426"/>
      <c r="P1324" s="1427"/>
      <c r="Q1324" s="1428">
        <f>Q1305</f>
        <v>0</v>
      </c>
      <c r="R1324" s="1423">
        <f ca="1">IF(Q1348="n/a",Q1324,IFERROR(IF((OFFSET($C1324,0,$A1324))&lt;0,
MIN(0,Q1324-(OFFSET($C1324,0,$A1324)/(OFFSET($C1319,-$A1323,$A1324)))),
MAX(0,Q1324-(OFFSET($C1324,0,$A1324)/(OFFSET($C1319,-$A1323,$A1324))))),0))</f>
        <v>0</v>
      </c>
      <c r="S1324" s="1423">
        <f t="shared" ca="1" si="1905"/>
        <v>0</v>
      </c>
      <c r="T1324" s="1423">
        <f t="shared" ca="1" si="1906"/>
        <v>0</v>
      </c>
      <c r="U1324" s="1423">
        <f t="shared" ca="1" si="1907"/>
        <v>0</v>
      </c>
      <c r="V1324" s="1423">
        <f t="shared" ca="1" si="1908"/>
        <v>0</v>
      </c>
      <c r="W1324" s="1423">
        <f t="shared" ca="1" si="1909"/>
        <v>0</v>
      </c>
      <c r="X1324" s="202"/>
      <c r="Y1324" s="202"/>
      <c r="Z1324" s="202"/>
      <c r="AA1324" s="152"/>
      <c r="AB1324" s="152"/>
    </row>
    <row r="1325" spans="1:28" hidden="1" outlineLevel="1">
      <c r="A1325" s="199">
        <f t="shared" si="1910"/>
        <v>15</v>
      </c>
      <c r="B1325" s="190" t="str">
        <f t="shared" ca="1" si="1911"/>
        <v>Depreciated Net Capex 2030-31</v>
      </c>
      <c r="C1325" s="1426"/>
      <c r="D1325" s="1426"/>
      <c r="E1325" s="1426"/>
      <c r="F1325" s="1426"/>
      <c r="G1325" s="1426"/>
      <c r="H1325" s="1426"/>
      <c r="I1325" s="1426"/>
      <c r="J1325" s="1426"/>
      <c r="K1325" s="1426"/>
      <c r="L1325" s="1426"/>
      <c r="M1325" s="1426"/>
      <c r="N1325" s="1426"/>
      <c r="O1325" s="1426"/>
      <c r="P1325" s="1426"/>
      <c r="Q1325" s="1427"/>
      <c r="R1325" s="1428">
        <f>R1305</f>
        <v>0</v>
      </c>
      <c r="S1325" s="1423">
        <f ca="1">IF(R1349="n/a",R1325,IFERROR(IF((OFFSET($C1325,0,$A1325))&lt;0,
MIN(0,R1325-(OFFSET($C1325,0,$A1325)/(OFFSET($C1320,-$A1324,$A1325)))),
MAX(0,R1325-(OFFSET($C1325,0,$A1325)/(OFFSET($C1320,-$A1324,$A1325))))),0))</f>
        <v>0</v>
      </c>
      <c r="T1325" s="1423">
        <f t="shared" ca="1" si="1906"/>
        <v>0</v>
      </c>
      <c r="U1325" s="1423">
        <f t="shared" ca="1" si="1907"/>
        <v>0</v>
      </c>
      <c r="V1325" s="1423">
        <f t="shared" ca="1" si="1908"/>
        <v>0</v>
      </c>
      <c r="W1325" s="1423">
        <f t="shared" ca="1" si="1909"/>
        <v>0</v>
      </c>
      <c r="X1325" s="202"/>
      <c r="Y1325" s="202"/>
      <c r="Z1325" s="202"/>
      <c r="AA1325" s="152"/>
      <c r="AB1325" s="152"/>
    </row>
    <row r="1326" spans="1:28" hidden="1" outlineLevel="1">
      <c r="A1326" s="199">
        <f t="shared" si="1910"/>
        <v>16</v>
      </c>
      <c r="B1326" s="190" t="str">
        <f t="shared" ca="1" si="1911"/>
        <v>Depreciated Net Capex 2031-32</v>
      </c>
      <c r="C1326" s="1426"/>
      <c r="D1326" s="1426"/>
      <c r="E1326" s="1426"/>
      <c r="F1326" s="1426"/>
      <c r="G1326" s="1426"/>
      <c r="H1326" s="1426"/>
      <c r="I1326" s="1426"/>
      <c r="J1326" s="1426"/>
      <c r="K1326" s="1426"/>
      <c r="L1326" s="1426"/>
      <c r="M1326" s="1426"/>
      <c r="N1326" s="1426"/>
      <c r="O1326" s="1426"/>
      <c r="P1326" s="1426"/>
      <c r="Q1326" s="1426"/>
      <c r="R1326" s="1427"/>
      <c r="S1326" s="1428">
        <f>S1305</f>
        <v>0</v>
      </c>
      <c r="T1326" s="1423">
        <f ca="1">IF(S1350="n/a",S1326,IFERROR(IF((OFFSET($C1326,0,$A1326))&lt;0,
MIN(0,S1326-(OFFSET($C1326,0,$A1326)/(OFFSET($C1321,-$A1325,$A1326)))),
MAX(0,S1326-(OFFSET($C1326,0,$A1326)/(OFFSET($C1321,-$A1325,$A1326))))),0))</f>
        <v>0</v>
      </c>
      <c r="U1326" s="1423">
        <f t="shared" ca="1" si="1907"/>
        <v>0</v>
      </c>
      <c r="V1326" s="1423">
        <f t="shared" ca="1" si="1908"/>
        <v>0</v>
      </c>
      <c r="W1326" s="1423">
        <f t="shared" ca="1" si="1909"/>
        <v>0</v>
      </c>
      <c r="X1326" s="202"/>
      <c r="Y1326" s="202"/>
      <c r="Z1326" s="202"/>
      <c r="AA1326" s="152"/>
      <c r="AB1326" s="152"/>
    </row>
    <row r="1327" spans="1:28" hidden="1" outlineLevel="1">
      <c r="A1327" s="199">
        <f t="shared" si="1910"/>
        <v>17</v>
      </c>
      <c r="B1327" s="190" t="str">
        <f t="shared" ca="1" si="1911"/>
        <v>Depreciated Net Capex 2032-33</v>
      </c>
      <c r="C1327" s="1426"/>
      <c r="D1327" s="1426"/>
      <c r="E1327" s="1426"/>
      <c r="F1327" s="1426"/>
      <c r="G1327" s="1426"/>
      <c r="H1327" s="1426"/>
      <c r="I1327" s="1426"/>
      <c r="J1327" s="1426"/>
      <c r="K1327" s="1426"/>
      <c r="L1327" s="1426"/>
      <c r="M1327" s="1426"/>
      <c r="N1327" s="1426"/>
      <c r="O1327" s="1426"/>
      <c r="P1327" s="1426"/>
      <c r="Q1327" s="1426"/>
      <c r="R1327" s="1426"/>
      <c r="S1327" s="1427"/>
      <c r="T1327" s="1428">
        <f>T1305</f>
        <v>0</v>
      </c>
      <c r="U1327" s="1423">
        <f ca="1">IF(T1351="n/a",T1327,IFERROR(IF((OFFSET($C1327,0,$A1327))&lt;0,
MIN(0,T1327-(OFFSET($C1327,0,$A1327)/(OFFSET($C1322,-$A1326,$A1327)))),
MAX(0,T1327-(OFFSET($C1327,0,$A1327)/(OFFSET($C1322,-$A1326,$A1327))))),0))</f>
        <v>0</v>
      </c>
      <c r="V1327" s="1423">
        <f t="shared" ca="1" si="1908"/>
        <v>0</v>
      </c>
      <c r="W1327" s="1423">
        <f t="shared" ca="1" si="1909"/>
        <v>0</v>
      </c>
      <c r="X1327" s="202"/>
      <c r="Y1327" s="202"/>
      <c r="Z1327" s="202"/>
      <c r="AA1327" s="152"/>
      <c r="AB1327" s="152"/>
    </row>
    <row r="1328" spans="1:28" hidden="1" outlineLevel="1">
      <c r="A1328" s="199">
        <f t="shared" si="1910"/>
        <v>18</v>
      </c>
      <c r="B1328" s="190" t="str">
        <f t="shared" ca="1" si="1911"/>
        <v>Depreciated Net Capex 2033-34</v>
      </c>
      <c r="C1328" s="1426"/>
      <c r="D1328" s="1426"/>
      <c r="E1328" s="1426"/>
      <c r="F1328" s="1426"/>
      <c r="G1328" s="1426"/>
      <c r="H1328" s="1426"/>
      <c r="I1328" s="1426"/>
      <c r="J1328" s="1426"/>
      <c r="K1328" s="1426"/>
      <c r="L1328" s="1426"/>
      <c r="M1328" s="1426"/>
      <c r="N1328" s="1426"/>
      <c r="O1328" s="1426"/>
      <c r="P1328" s="1426"/>
      <c r="Q1328" s="1426"/>
      <c r="R1328" s="1426"/>
      <c r="S1328" s="1426"/>
      <c r="T1328" s="1427"/>
      <c r="U1328" s="1428">
        <f>U1305</f>
        <v>0</v>
      </c>
      <c r="V1328" s="1423">
        <f ca="1">IF(U1352="n/a",U1328,IFERROR(IF((OFFSET($C1328,0,$A1328))&lt;0,
MIN(0,U1328-(OFFSET($C1328,0,$A1328)/(OFFSET($C1323,-$A1327,$A1328)))),
MAX(0,U1328-(OFFSET($C1328,0,$A1328)/(OFFSET($C1323,-$A1327,$A1328))))),0))</f>
        <v>0</v>
      </c>
      <c r="W1328" s="1423">
        <f t="shared" ca="1" si="1909"/>
        <v>0</v>
      </c>
      <c r="X1328" s="202"/>
      <c r="Y1328" s="202"/>
      <c r="Z1328" s="202"/>
      <c r="AA1328" s="152"/>
      <c r="AB1328" s="152"/>
    </row>
    <row r="1329" spans="1:28" hidden="1" outlineLevel="1">
      <c r="A1329" s="199">
        <f t="shared" si="1910"/>
        <v>19</v>
      </c>
      <c r="B1329" s="190" t="str">
        <f t="shared" ca="1" si="1911"/>
        <v>Depreciated Net Capex 2034-35</v>
      </c>
      <c r="C1329" s="1426"/>
      <c r="D1329" s="1426"/>
      <c r="E1329" s="1426"/>
      <c r="F1329" s="1426"/>
      <c r="G1329" s="1426"/>
      <c r="H1329" s="1426"/>
      <c r="I1329" s="1426"/>
      <c r="J1329" s="1426"/>
      <c r="K1329" s="1426"/>
      <c r="L1329" s="1426"/>
      <c r="M1329" s="1426"/>
      <c r="N1329" s="1426"/>
      <c r="O1329" s="1426"/>
      <c r="P1329" s="1426"/>
      <c r="Q1329" s="1426"/>
      <c r="R1329" s="1426"/>
      <c r="S1329" s="1426"/>
      <c r="T1329" s="1426"/>
      <c r="U1329" s="1427"/>
      <c r="V1329" s="1428">
        <f>V1305</f>
        <v>0</v>
      </c>
      <c r="W1329" s="1423">
        <f ca="1">IF(V1353="n/a",V1329,IFERROR(IF((OFFSET($C1329,0,$A1329))&lt;0,
MIN(0,V1329-(OFFSET($C1329,0,$A1329)/(OFFSET($C1324,-$A1328,$A1329)))),
MAX(0,V1329-(OFFSET($C1329,0,$A1329)/(OFFSET($C1324,-$A1328,$A1329))))),0))</f>
        <v>0</v>
      </c>
      <c r="X1329" s="202"/>
      <c r="Y1329" s="202"/>
      <c r="Z1329" s="202"/>
      <c r="AA1329" s="152"/>
      <c r="AB1329" s="152"/>
    </row>
    <row r="1330" spans="1:28" hidden="1" outlineLevel="1">
      <c r="A1330" s="199">
        <f t="shared" si="1910"/>
        <v>20</v>
      </c>
      <c r="B1330" s="190" t="str">
        <f t="shared" ca="1" si="1911"/>
        <v>Depreciated Net Capex 2035-36</v>
      </c>
      <c r="C1330" s="1426"/>
      <c r="D1330" s="1426"/>
      <c r="E1330" s="1426"/>
      <c r="F1330" s="1426"/>
      <c r="G1330" s="1426"/>
      <c r="H1330" s="1426"/>
      <c r="I1330" s="1426"/>
      <c r="J1330" s="1426"/>
      <c r="K1330" s="1426"/>
      <c r="L1330" s="1426"/>
      <c r="M1330" s="1426"/>
      <c r="N1330" s="1426"/>
      <c r="O1330" s="1426"/>
      <c r="P1330" s="1426"/>
      <c r="Q1330" s="1426"/>
      <c r="R1330" s="1426"/>
      <c r="S1330" s="1426"/>
      <c r="T1330" s="1426"/>
      <c r="U1330" s="1426"/>
      <c r="V1330" s="1427"/>
      <c r="W1330" s="1423">
        <f>W1305</f>
        <v>0</v>
      </c>
      <c r="X1330" s="152"/>
      <c r="Y1330" s="152"/>
      <c r="Z1330" s="152"/>
      <c r="AA1330" s="152"/>
      <c r="AB1330" s="152"/>
    </row>
    <row r="1331" spans="1:28" hidden="1" outlineLevel="1">
      <c r="A1331" s="152"/>
      <c r="B1331" s="200"/>
      <c r="C1331" s="1423"/>
      <c r="D1331" s="1423"/>
      <c r="E1331" s="1423"/>
      <c r="F1331" s="1423"/>
      <c r="G1331" s="1423"/>
      <c r="H1331" s="1423"/>
      <c r="I1331" s="1423"/>
      <c r="J1331" s="1423"/>
      <c r="K1331" s="1423"/>
      <c r="L1331" s="1423"/>
      <c r="M1331" s="1423"/>
      <c r="N1331" s="1423"/>
      <c r="O1331" s="1423"/>
      <c r="P1331" s="1423"/>
      <c r="Q1331" s="1423"/>
      <c r="R1331" s="1423"/>
      <c r="S1331" s="1423"/>
      <c r="T1331" s="1423"/>
      <c r="U1331" s="1423"/>
      <c r="V1331" s="1423"/>
      <c r="W1331" s="1423"/>
      <c r="X1331" s="152"/>
      <c r="Y1331" s="152"/>
      <c r="Z1331" s="152"/>
      <c r="AA1331" s="152"/>
      <c r="AB1331" s="152"/>
    </row>
    <row r="1332" spans="1:28" hidden="1" outlineLevel="1">
      <c r="A1332" s="152"/>
      <c r="B1332" s="200"/>
      <c r="C1332" s="1423"/>
      <c r="D1332" s="1423"/>
      <c r="E1332" s="1423"/>
      <c r="F1332" s="1423"/>
      <c r="G1332" s="1423"/>
      <c r="H1332" s="1423"/>
      <c r="I1332" s="1423"/>
      <c r="J1332" s="1423"/>
      <c r="K1332" s="1423"/>
      <c r="L1332" s="1423"/>
      <c r="M1332" s="1423"/>
      <c r="N1332" s="1423"/>
      <c r="O1332" s="1423"/>
      <c r="P1332" s="1423"/>
      <c r="Q1332" s="1423"/>
      <c r="R1332" s="1423"/>
      <c r="S1332" s="1423"/>
      <c r="T1332" s="1423"/>
      <c r="U1332" s="1423"/>
      <c r="V1332" s="1423"/>
      <c r="W1332" s="1423"/>
      <c r="X1332" s="152"/>
      <c r="Y1332" s="152"/>
      <c r="Z1332" s="152"/>
      <c r="AA1332" s="152"/>
      <c r="AB1332" s="152"/>
    </row>
    <row r="1333" spans="1:28" hidden="1" outlineLevel="1">
      <c r="A1333" s="152"/>
      <c r="B1333" s="190" t="s">
        <v>194</v>
      </c>
      <c r="C1333" s="1423"/>
      <c r="D1333" s="1423">
        <f t="shared" ref="D1333" ca="1" si="1912">IF(AND(C1333&lt;1,D1307=0),0,
IF(D1307=0,C1333-1,
IF(C1333&lt;1,D1308,
(((C1333-1)*(C1309-(C1309/(C1333))))+(D1307*D1308))/(D1309))))</f>
        <v>0</v>
      </c>
      <c r="E1333" s="1423">
        <f t="shared" ref="E1333" ca="1" si="1913">IF(AND(D1333&lt;1,E1307=0),0,
IF(E1307=0,D1333-1,
IF(D1333&lt;1,E1308,
(((D1333-1)*(D1309-(D1309/(D1333))))+(E1307*E1308))/(E1309))))</f>
        <v>0</v>
      </c>
      <c r="F1333" s="1423">
        <f t="shared" ref="F1333" ca="1" si="1914">IF(AND(E1333&lt;1,F1307=0),0,
IF(F1307=0,E1333-1,
IF(E1333&lt;1,F1308,
(((E1333-1)*(E1309-(E1309/(E1333))))+(F1307*F1308))/(F1309))))</f>
        <v>0</v>
      </c>
      <c r="G1333" s="1423">
        <f t="shared" ref="G1333" ca="1" si="1915">IF(AND(F1333&lt;1,G1307=0),0,
IF(G1307=0,F1333-1,
IF(F1333&lt;1,G1308,
(((F1333-1)*(F1309-(F1309/(F1333))))+(G1307*G1308))/(G1309))))</f>
        <v>0</v>
      </c>
      <c r="H1333" s="1423">
        <f ca="1">IF(AND(G1333&lt;1,H1307=0),0,
IF(H1307=0,G1333-1,
IF(G1333&lt;1,H1308,
(((G1333-1)*(G1309-(G1309/(G1333))))+(H1307*H1308))/(H1309))))</f>
        <v>0</v>
      </c>
      <c r="I1333" s="1423">
        <f t="shared" ref="I1333" ca="1" si="1916">IF(AND(H1333&lt;1,I1307=0),0,
IF(I1307=0,H1333-1,
IF(H1333&lt;1,I1308,
(((H1333-1)*(H1309-(H1309/(H1333))))+(I1307*I1308))/(I1309))))</f>
        <v>0</v>
      </c>
      <c r="J1333" s="1423">
        <f t="shared" ref="J1333" ca="1" si="1917">IF(AND(I1333&lt;1,J1307=0),0,
IF(J1307=0,I1333-1,
IF(I1333&lt;1,J1308,
(((I1333-1)*(I1309-(I1309/(I1333))))+(J1307*J1308))/(J1309))))</f>
        <v>0</v>
      </c>
      <c r="K1333" s="1423">
        <f t="shared" ref="K1333" ca="1" si="1918">IF(AND(J1333&lt;1,K1307=0),0,
IF(K1307=0,J1333-1,
IF(J1333&lt;1,K1308,
(((J1333-1)*(J1309-(J1309/(J1333))))+(K1307*K1308))/(K1309))))</f>
        <v>0</v>
      </c>
      <c r="L1333" s="1423">
        <f t="shared" ref="L1333" ca="1" si="1919">IF(AND(K1333&lt;1,L1307=0),0,
IF(L1307=0,K1333-1,
IF(K1333&lt;1,L1308,
(((K1333-1)*(K1309-(K1309/(K1333))))+(L1307*L1308))/(L1309))))</f>
        <v>0</v>
      </c>
      <c r="M1333" s="1423">
        <f ca="1">IF(AND(L1333&lt;1,M1307=0),0,
IF(M1307=0,L1333-1,
IF(L1333&lt;1,M1308,
(((L1333-1)*(L1309-(L1309/(L1333))))+(M1307*M1308))/(M1309))))</f>
        <v>0</v>
      </c>
      <c r="N1333" s="1423">
        <f t="shared" ref="N1333" ca="1" si="1920">IF(AND(M1333&lt;1,N1307=0),0,
IF(N1307=0,M1333-1,
IF(M1333&lt;1,N1308,
(((M1333-1)*(M1309-(M1309/(M1333))))+(N1307*N1308))/(N1309))))</f>
        <v>0</v>
      </c>
      <c r="O1333" s="1423">
        <f t="shared" ref="O1333" ca="1" si="1921">IF(AND(N1333&lt;1,O1307=0),0,
IF(O1307=0,N1333-1,
IF(N1333&lt;1,O1308,
(((N1333-1)*(N1309-(N1309/(N1333))))+(O1307*O1308))/(O1309))))</f>
        <v>0</v>
      </c>
      <c r="P1333" s="1423">
        <f t="shared" ref="P1333" ca="1" si="1922">IF(AND(O1333&lt;1,P1307=0),0,
IF(P1307=0,O1333-1,
IF(O1333&lt;1,P1308,
(((O1333-1)*(O1309-(O1309/(O1333))))+(P1307*P1308))/(P1309))))</f>
        <v>0</v>
      </c>
      <c r="Q1333" s="1423">
        <f t="shared" ref="Q1333" ca="1" si="1923">IF(AND(P1333&lt;1,Q1307=0),0,
IF(Q1307=0,P1333-1,
IF(P1333&lt;1,Q1308,
(((P1333-1)*(P1309-(P1309/(P1333))))+(Q1307*Q1308))/(Q1309))))</f>
        <v>0</v>
      </c>
      <c r="R1333" s="1423">
        <f t="shared" ref="R1333" ca="1" si="1924">IF(AND(Q1333&lt;1,R1307=0),0,
IF(R1307=0,Q1333-1,
IF(Q1333&lt;1,R1308,
(((Q1333-1)*(Q1309-(Q1309/(Q1333))))+(R1307*R1308))/(R1309))))</f>
        <v>0</v>
      </c>
      <c r="S1333" s="1423">
        <f t="shared" ref="S1333" ca="1" si="1925">IF(AND(R1333&lt;1,S1307=0),0,
IF(S1307=0,R1333-1,
IF(R1333&lt;1,S1308,
(((R1333-1)*(R1309-(R1309/(R1333))))+(S1307*S1308))/(S1309))))</f>
        <v>0</v>
      </c>
      <c r="T1333" s="1423">
        <f t="shared" ref="T1333" ca="1" si="1926">IF(AND(S1333&lt;1,T1307=0),0,
IF(T1307=0,S1333-1,
IF(S1333&lt;1,T1308,
(((S1333-1)*(S1309-(S1309/(S1333))))+(T1307*T1308))/(T1309))))</f>
        <v>0</v>
      </c>
      <c r="U1333" s="1423">
        <f t="shared" ref="U1333" ca="1" si="1927">IF(AND(T1333&lt;1,U1307=0),0,
IF(U1307=0,T1333-1,
IF(T1333&lt;1,U1308,
(((T1333-1)*(T1309-(T1309/(T1333))))+(U1307*U1308))/(U1309))))</f>
        <v>0</v>
      </c>
      <c r="V1333" s="1423">
        <f t="shared" ref="V1333" ca="1" si="1928">IF(AND(U1333&lt;1,V1307=0),0,
IF(V1307=0,U1333-1,
IF(U1333&lt;1,V1308,
(((U1333-1)*(U1309-(U1309/(U1333))))+(V1307*V1308))/(V1309))))</f>
        <v>0</v>
      </c>
      <c r="W1333" s="1423">
        <f t="shared" ref="W1333" ca="1" si="1929">IF(AND(V1333&lt;1,W1307=0),0,
IF(W1307=0,V1333-1,
IF(V1333&lt;1,W1308,
(((V1333-1)*(V1309-(V1309/(V1333))))+(W1307*W1308))/(W1309))))</f>
        <v>0</v>
      </c>
      <c r="X1333" s="152"/>
      <c r="Y1333" s="152"/>
      <c r="Z1333" s="152"/>
      <c r="AA1333" s="152"/>
      <c r="AB1333" s="152"/>
    </row>
    <row r="1334" spans="1:28" hidden="1" outlineLevel="1">
      <c r="A1334" s="152"/>
      <c r="B1334" s="190" t="s">
        <v>193</v>
      </c>
      <c r="C1334" s="1423">
        <f ca="1">C1306</f>
        <v>0</v>
      </c>
      <c r="D1334" s="1423">
        <f t="shared" ref="D1334" ca="1" si="1930">IF(C1334="n/a","n/a",MAX(0,C1334-1))</f>
        <v>0</v>
      </c>
      <c r="E1334" s="1423">
        <f t="shared" ref="E1334:E1335" ca="1" si="1931">IF(D1334="n/a","n/a",MAX(0,D1334-1))</f>
        <v>0</v>
      </c>
      <c r="F1334" s="1423">
        <f t="shared" ref="F1334:F1336" ca="1" si="1932">IF(E1334="n/a","n/a",MAX(0,E1334-1))</f>
        <v>0</v>
      </c>
      <c r="G1334" s="1423">
        <f t="shared" ref="G1334:G1337" ca="1" si="1933">IF(F1334="n/a","n/a",MAX(0,F1334-1))</f>
        <v>0</v>
      </c>
      <c r="H1334" s="1423">
        <f t="shared" ref="H1334:H1338" ca="1" si="1934">IF(G1334="n/a","n/a",MAX(0,G1334-1))</f>
        <v>0</v>
      </c>
      <c r="I1334" s="1423">
        <f t="shared" ref="I1334:I1339" ca="1" si="1935">IF(H1334="n/a","n/a",MAX(0,H1334-1))</f>
        <v>0</v>
      </c>
      <c r="J1334" s="1423">
        <f t="shared" ref="J1334:J1340" ca="1" si="1936">IF(I1334="n/a","n/a",MAX(0,I1334-1))</f>
        <v>0</v>
      </c>
      <c r="K1334" s="1423">
        <f t="shared" ref="K1334:K1341" ca="1" si="1937">IF(J1334="n/a","n/a",MAX(0,J1334-1))</f>
        <v>0</v>
      </c>
      <c r="L1334" s="1423">
        <f t="shared" ref="L1334:L1342" ca="1" si="1938">IF(K1334="n/a","n/a",MAX(0,K1334-1))</f>
        <v>0</v>
      </c>
      <c r="M1334" s="1423">
        <f t="shared" ref="M1334:M1343" ca="1" si="1939">IF(L1334="n/a","n/a",MAX(0,L1334-1))</f>
        <v>0</v>
      </c>
      <c r="N1334" s="1423">
        <f t="shared" ref="N1334:N1344" ca="1" si="1940">IF(M1334="n/a","n/a",MAX(0,M1334-1))</f>
        <v>0</v>
      </c>
      <c r="O1334" s="1423">
        <f t="shared" ref="O1334:O1345" ca="1" si="1941">IF(N1334="n/a","n/a",MAX(0,N1334-1))</f>
        <v>0</v>
      </c>
      <c r="P1334" s="1423">
        <f t="shared" ref="P1334:P1346" ca="1" si="1942">IF(O1334="n/a","n/a",MAX(0,O1334-1))</f>
        <v>0</v>
      </c>
      <c r="Q1334" s="1423">
        <f t="shared" ref="Q1334:Q1347" ca="1" si="1943">IF(P1334="n/a","n/a",MAX(0,P1334-1))</f>
        <v>0</v>
      </c>
      <c r="R1334" s="1423">
        <f t="shared" ref="R1334:R1348" ca="1" si="1944">IF(Q1334="n/a","n/a",MAX(0,Q1334-1))</f>
        <v>0</v>
      </c>
      <c r="S1334" s="1423">
        <f t="shared" ref="S1334:S1349" ca="1" si="1945">IF(R1334="n/a","n/a",MAX(0,R1334-1))</f>
        <v>0</v>
      </c>
      <c r="T1334" s="1423">
        <f t="shared" ref="T1334:T1350" ca="1" si="1946">IF(S1334="n/a","n/a",MAX(0,S1334-1))</f>
        <v>0</v>
      </c>
      <c r="U1334" s="1423">
        <f t="shared" ref="U1334:U1351" ca="1" si="1947">IF(T1334="n/a","n/a",MAX(0,T1334-1))</f>
        <v>0</v>
      </c>
      <c r="V1334" s="1423">
        <f t="shared" ref="V1334:V1352" ca="1" si="1948">IF(U1334="n/a","n/a",MAX(0,U1334-1))</f>
        <v>0</v>
      </c>
      <c r="W1334" s="1423">
        <f t="shared" ref="W1334:W1352" ca="1" si="1949">IF(V1334="n/a","n/a",MAX(0,V1334-1))</f>
        <v>0</v>
      </c>
      <c r="X1334" s="152"/>
      <c r="Y1334" s="152"/>
      <c r="Z1334" s="152"/>
      <c r="AA1334" s="152"/>
      <c r="AB1334" s="152"/>
    </row>
    <row r="1335" spans="1:28" hidden="1" outlineLevel="1">
      <c r="A1335" s="152"/>
      <c r="B1335" s="190" t="str">
        <f t="shared" ref="B1335:B1354" ca="1" si="1950">"RL Capex "&amp;OFFSET($C$6,0,A1311)</f>
        <v>RL Capex 2016-17</v>
      </c>
      <c r="C1335" s="1424"/>
      <c r="D1335" s="1428">
        <f>D1306</f>
        <v>0</v>
      </c>
      <c r="E1335" s="1423">
        <f t="shared" si="1931"/>
        <v>0</v>
      </c>
      <c r="F1335" s="1423">
        <f t="shared" si="1932"/>
        <v>0</v>
      </c>
      <c r="G1335" s="1423">
        <f t="shared" si="1933"/>
        <v>0</v>
      </c>
      <c r="H1335" s="1423">
        <f t="shared" si="1934"/>
        <v>0</v>
      </c>
      <c r="I1335" s="1423">
        <f t="shared" si="1935"/>
        <v>0</v>
      </c>
      <c r="J1335" s="1423">
        <f t="shared" si="1936"/>
        <v>0</v>
      </c>
      <c r="K1335" s="1423">
        <f t="shared" si="1937"/>
        <v>0</v>
      </c>
      <c r="L1335" s="1423">
        <f t="shared" si="1938"/>
        <v>0</v>
      </c>
      <c r="M1335" s="1423">
        <f t="shared" si="1939"/>
        <v>0</v>
      </c>
      <c r="N1335" s="1423">
        <f t="shared" si="1940"/>
        <v>0</v>
      </c>
      <c r="O1335" s="1423">
        <f t="shared" si="1941"/>
        <v>0</v>
      </c>
      <c r="P1335" s="1423">
        <f t="shared" si="1942"/>
        <v>0</v>
      </c>
      <c r="Q1335" s="1423">
        <f t="shared" si="1943"/>
        <v>0</v>
      </c>
      <c r="R1335" s="1423">
        <f t="shared" si="1944"/>
        <v>0</v>
      </c>
      <c r="S1335" s="1423">
        <f t="shared" si="1945"/>
        <v>0</v>
      </c>
      <c r="T1335" s="1423">
        <f t="shared" si="1946"/>
        <v>0</v>
      </c>
      <c r="U1335" s="1423">
        <f t="shared" si="1947"/>
        <v>0</v>
      </c>
      <c r="V1335" s="1423">
        <f t="shared" si="1948"/>
        <v>0</v>
      </c>
      <c r="W1335" s="1423">
        <f t="shared" si="1949"/>
        <v>0</v>
      </c>
      <c r="X1335" s="152"/>
      <c r="Y1335" s="152"/>
      <c r="Z1335" s="152"/>
      <c r="AA1335" s="152"/>
      <c r="AB1335" s="152"/>
    </row>
    <row r="1336" spans="1:28" hidden="1" outlineLevel="1">
      <c r="A1336" s="152"/>
      <c r="B1336" s="190" t="str">
        <f t="shared" ca="1" si="1950"/>
        <v>RL Capex 2017-18</v>
      </c>
      <c r="C1336" s="1429"/>
      <c r="D1336" s="1424"/>
      <c r="E1336" s="1428">
        <f>E1306</f>
        <v>0</v>
      </c>
      <c r="F1336" s="1423">
        <f t="shared" si="1932"/>
        <v>0</v>
      </c>
      <c r="G1336" s="1423">
        <f t="shared" si="1933"/>
        <v>0</v>
      </c>
      <c r="H1336" s="1423">
        <f t="shared" si="1934"/>
        <v>0</v>
      </c>
      <c r="I1336" s="1423">
        <f t="shared" si="1935"/>
        <v>0</v>
      </c>
      <c r="J1336" s="1423">
        <f t="shared" si="1936"/>
        <v>0</v>
      </c>
      <c r="K1336" s="1423">
        <f t="shared" si="1937"/>
        <v>0</v>
      </c>
      <c r="L1336" s="1423">
        <f t="shared" si="1938"/>
        <v>0</v>
      </c>
      <c r="M1336" s="1423">
        <f t="shared" si="1939"/>
        <v>0</v>
      </c>
      <c r="N1336" s="1423">
        <f t="shared" si="1940"/>
        <v>0</v>
      </c>
      <c r="O1336" s="1423">
        <f t="shared" si="1941"/>
        <v>0</v>
      </c>
      <c r="P1336" s="1423">
        <f t="shared" si="1942"/>
        <v>0</v>
      </c>
      <c r="Q1336" s="1423">
        <f t="shared" si="1943"/>
        <v>0</v>
      </c>
      <c r="R1336" s="1423">
        <f t="shared" si="1944"/>
        <v>0</v>
      </c>
      <c r="S1336" s="1423">
        <f t="shared" si="1945"/>
        <v>0</v>
      </c>
      <c r="T1336" s="1423">
        <f t="shared" si="1946"/>
        <v>0</v>
      </c>
      <c r="U1336" s="1423">
        <f t="shared" si="1947"/>
        <v>0</v>
      </c>
      <c r="V1336" s="1423">
        <f t="shared" si="1948"/>
        <v>0</v>
      </c>
      <c r="W1336" s="1423">
        <f t="shared" si="1949"/>
        <v>0</v>
      </c>
      <c r="X1336" s="152"/>
      <c r="Y1336" s="152"/>
      <c r="Z1336" s="152"/>
      <c r="AA1336" s="152"/>
      <c r="AB1336" s="152"/>
    </row>
    <row r="1337" spans="1:28" hidden="1" outlineLevel="1">
      <c r="A1337" s="152"/>
      <c r="B1337" s="190" t="str">
        <f t="shared" ca="1" si="1950"/>
        <v>RL Capex 2018-19</v>
      </c>
      <c r="C1337" s="1429"/>
      <c r="D1337" s="1429"/>
      <c r="E1337" s="1424"/>
      <c r="F1337" s="1428">
        <f>F1306</f>
        <v>0</v>
      </c>
      <c r="G1337" s="1423">
        <f t="shared" si="1933"/>
        <v>0</v>
      </c>
      <c r="H1337" s="1423">
        <f t="shared" si="1934"/>
        <v>0</v>
      </c>
      <c r="I1337" s="1423">
        <f t="shared" si="1935"/>
        <v>0</v>
      </c>
      <c r="J1337" s="1423">
        <f t="shared" si="1936"/>
        <v>0</v>
      </c>
      <c r="K1337" s="1423">
        <f t="shared" si="1937"/>
        <v>0</v>
      </c>
      <c r="L1337" s="1423">
        <f t="shared" si="1938"/>
        <v>0</v>
      </c>
      <c r="M1337" s="1423">
        <f t="shared" si="1939"/>
        <v>0</v>
      </c>
      <c r="N1337" s="1423">
        <f t="shared" si="1940"/>
        <v>0</v>
      </c>
      <c r="O1337" s="1423">
        <f t="shared" si="1941"/>
        <v>0</v>
      </c>
      <c r="P1337" s="1423">
        <f t="shared" si="1942"/>
        <v>0</v>
      </c>
      <c r="Q1337" s="1423">
        <f t="shared" si="1943"/>
        <v>0</v>
      </c>
      <c r="R1337" s="1423">
        <f t="shared" si="1944"/>
        <v>0</v>
      </c>
      <c r="S1337" s="1423">
        <f t="shared" si="1945"/>
        <v>0</v>
      </c>
      <c r="T1337" s="1423">
        <f t="shared" si="1946"/>
        <v>0</v>
      </c>
      <c r="U1337" s="1423">
        <f t="shared" si="1947"/>
        <v>0</v>
      </c>
      <c r="V1337" s="1423">
        <f t="shared" si="1948"/>
        <v>0</v>
      </c>
      <c r="W1337" s="1423">
        <f t="shared" si="1949"/>
        <v>0</v>
      </c>
      <c r="X1337" s="152"/>
      <c r="Y1337" s="152"/>
      <c r="Z1337" s="152"/>
      <c r="AA1337" s="152"/>
      <c r="AB1337" s="152"/>
    </row>
    <row r="1338" spans="1:28" hidden="1" outlineLevel="1">
      <c r="A1338" s="152"/>
      <c r="B1338" s="190" t="str">
        <f t="shared" ca="1" si="1950"/>
        <v>RL Capex 2019-20</v>
      </c>
      <c r="C1338" s="1429"/>
      <c r="D1338" s="1429"/>
      <c r="E1338" s="1429"/>
      <c r="F1338" s="1424"/>
      <c r="G1338" s="1428">
        <f>G1306</f>
        <v>0</v>
      </c>
      <c r="H1338" s="1423">
        <f t="shared" si="1934"/>
        <v>0</v>
      </c>
      <c r="I1338" s="1423">
        <f t="shared" si="1935"/>
        <v>0</v>
      </c>
      <c r="J1338" s="1423">
        <f t="shared" si="1936"/>
        <v>0</v>
      </c>
      <c r="K1338" s="1423">
        <f t="shared" si="1937"/>
        <v>0</v>
      </c>
      <c r="L1338" s="1423">
        <f t="shared" si="1938"/>
        <v>0</v>
      </c>
      <c r="M1338" s="1423">
        <f t="shared" si="1939"/>
        <v>0</v>
      </c>
      <c r="N1338" s="1423">
        <f t="shared" si="1940"/>
        <v>0</v>
      </c>
      <c r="O1338" s="1423">
        <f t="shared" si="1941"/>
        <v>0</v>
      </c>
      <c r="P1338" s="1423">
        <f t="shared" si="1942"/>
        <v>0</v>
      </c>
      <c r="Q1338" s="1423">
        <f t="shared" si="1943"/>
        <v>0</v>
      </c>
      <c r="R1338" s="1423">
        <f t="shared" si="1944"/>
        <v>0</v>
      </c>
      <c r="S1338" s="1423">
        <f t="shared" si="1945"/>
        <v>0</v>
      </c>
      <c r="T1338" s="1423">
        <f t="shared" si="1946"/>
        <v>0</v>
      </c>
      <c r="U1338" s="1423">
        <f t="shared" si="1947"/>
        <v>0</v>
      </c>
      <c r="V1338" s="1423">
        <f t="shared" si="1948"/>
        <v>0</v>
      </c>
      <c r="W1338" s="1423">
        <f t="shared" si="1949"/>
        <v>0</v>
      </c>
      <c r="X1338" s="152"/>
      <c r="Y1338" s="152"/>
      <c r="Z1338" s="152"/>
      <c r="AA1338" s="152"/>
      <c r="AB1338" s="152"/>
    </row>
    <row r="1339" spans="1:28" hidden="1" outlineLevel="1">
      <c r="A1339" s="152"/>
      <c r="B1339" s="190" t="str">
        <f t="shared" ca="1" si="1950"/>
        <v>RL Capex 2020-21</v>
      </c>
      <c r="C1339" s="1429"/>
      <c r="D1339" s="1429"/>
      <c r="E1339" s="1429"/>
      <c r="F1339" s="1429"/>
      <c r="G1339" s="1424"/>
      <c r="H1339" s="1428">
        <f>H1306</f>
        <v>0</v>
      </c>
      <c r="I1339" s="1423">
        <f t="shared" si="1935"/>
        <v>0</v>
      </c>
      <c r="J1339" s="1423">
        <f t="shared" si="1936"/>
        <v>0</v>
      </c>
      <c r="K1339" s="1423">
        <f t="shared" si="1937"/>
        <v>0</v>
      </c>
      <c r="L1339" s="1423">
        <f t="shared" si="1938"/>
        <v>0</v>
      </c>
      <c r="M1339" s="1423">
        <f t="shared" si="1939"/>
        <v>0</v>
      </c>
      <c r="N1339" s="1423">
        <f t="shared" si="1940"/>
        <v>0</v>
      </c>
      <c r="O1339" s="1423">
        <f t="shared" si="1941"/>
        <v>0</v>
      </c>
      <c r="P1339" s="1423">
        <f t="shared" si="1942"/>
        <v>0</v>
      </c>
      <c r="Q1339" s="1423">
        <f t="shared" si="1943"/>
        <v>0</v>
      </c>
      <c r="R1339" s="1423">
        <f t="shared" si="1944"/>
        <v>0</v>
      </c>
      <c r="S1339" s="1423">
        <f t="shared" si="1945"/>
        <v>0</v>
      </c>
      <c r="T1339" s="1423">
        <f t="shared" si="1946"/>
        <v>0</v>
      </c>
      <c r="U1339" s="1423">
        <f t="shared" si="1947"/>
        <v>0</v>
      </c>
      <c r="V1339" s="1423">
        <f t="shared" si="1948"/>
        <v>0</v>
      </c>
      <c r="W1339" s="1423">
        <f t="shared" si="1949"/>
        <v>0</v>
      </c>
      <c r="X1339" s="152"/>
      <c r="Y1339" s="152"/>
      <c r="Z1339" s="152"/>
      <c r="AA1339" s="152"/>
      <c r="AB1339" s="152"/>
    </row>
    <row r="1340" spans="1:28" hidden="1" outlineLevel="1">
      <c r="A1340" s="152"/>
      <c r="B1340" s="190" t="str">
        <f t="shared" ca="1" si="1950"/>
        <v>RL Capex 2021-22</v>
      </c>
      <c r="C1340" s="1429"/>
      <c r="D1340" s="1429"/>
      <c r="E1340" s="1429"/>
      <c r="F1340" s="1429"/>
      <c r="G1340" s="1429"/>
      <c r="H1340" s="1424"/>
      <c r="I1340" s="1428">
        <f>I1306</f>
        <v>0</v>
      </c>
      <c r="J1340" s="1423">
        <f t="shared" si="1936"/>
        <v>0</v>
      </c>
      <c r="K1340" s="1423">
        <f t="shared" si="1937"/>
        <v>0</v>
      </c>
      <c r="L1340" s="1423">
        <f t="shared" si="1938"/>
        <v>0</v>
      </c>
      <c r="M1340" s="1423">
        <f t="shared" si="1939"/>
        <v>0</v>
      </c>
      <c r="N1340" s="1423">
        <f t="shared" si="1940"/>
        <v>0</v>
      </c>
      <c r="O1340" s="1423">
        <f t="shared" si="1941"/>
        <v>0</v>
      </c>
      <c r="P1340" s="1423">
        <f t="shared" si="1942"/>
        <v>0</v>
      </c>
      <c r="Q1340" s="1423">
        <f t="shared" si="1943"/>
        <v>0</v>
      </c>
      <c r="R1340" s="1423">
        <f t="shared" si="1944"/>
        <v>0</v>
      </c>
      <c r="S1340" s="1423">
        <f t="shared" si="1945"/>
        <v>0</v>
      </c>
      <c r="T1340" s="1423">
        <f t="shared" si="1946"/>
        <v>0</v>
      </c>
      <c r="U1340" s="1423">
        <f t="shared" si="1947"/>
        <v>0</v>
      </c>
      <c r="V1340" s="1423">
        <f t="shared" si="1948"/>
        <v>0</v>
      </c>
      <c r="W1340" s="1423">
        <f t="shared" si="1949"/>
        <v>0</v>
      </c>
      <c r="X1340" s="152"/>
      <c r="Y1340" s="152"/>
      <c r="Z1340" s="152"/>
      <c r="AA1340" s="152"/>
      <c r="AB1340" s="152"/>
    </row>
    <row r="1341" spans="1:28" hidden="1" outlineLevel="1">
      <c r="A1341" s="152"/>
      <c r="B1341" s="190" t="str">
        <f t="shared" ca="1" si="1950"/>
        <v>RL Capex 2022-23</v>
      </c>
      <c r="C1341" s="1429"/>
      <c r="D1341" s="1429"/>
      <c r="E1341" s="1429"/>
      <c r="F1341" s="1429"/>
      <c r="G1341" s="1429"/>
      <c r="H1341" s="1429"/>
      <c r="I1341" s="1424"/>
      <c r="J1341" s="1428">
        <f>J1306</f>
        <v>0</v>
      </c>
      <c r="K1341" s="1423">
        <f t="shared" si="1937"/>
        <v>0</v>
      </c>
      <c r="L1341" s="1423">
        <f t="shared" si="1938"/>
        <v>0</v>
      </c>
      <c r="M1341" s="1423">
        <f t="shared" si="1939"/>
        <v>0</v>
      </c>
      <c r="N1341" s="1423">
        <f t="shared" si="1940"/>
        <v>0</v>
      </c>
      <c r="O1341" s="1423">
        <f t="shared" si="1941"/>
        <v>0</v>
      </c>
      <c r="P1341" s="1423">
        <f t="shared" si="1942"/>
        <v>0</v>
      </c>
      <c r="Q1341" s="1423">
        <f t="shared" si="1943"/>
        <v>0</v>
      </c>
      <c r="R1341" s="1423">
        <f t="shared" si="1944"/>
        <v>0</v>
      </c>
      <c r="S1341" s="1423">
        <f t="shared" si="1945"/>
        <v>0</v>
      </c>
      <c r="T1341" s="1423">
        <f t="shared" si="1946"/>
        <v>0</v>
      </c>
      <c r="U1341" s="1423">
        <f t="shared" si="1947"/>
        <v>0</v>
      </c>
      <c r="V1341" s="1423">
        <f t="shared" si="1948"/>
        <v>0</v>
      </c>
      <c r="W1341" s="1423">
        <f t="shared" si="1949"/>
        <v>0</v>
      </c>
      <c r="X1341" s="152"/>
      <c r="Y1341" s="152"/>
      <c r="Z1341" s="152"/>
      <c r="AA1341" s="152"/>
      <c r="AB1341" s="152"/>
    </row>
    <row r="1342" spans="1:28" hidden="1" outlineLevel="1">
      <c r="A1342" s="152"/>
      <c r="B1342" s="190" t="str">
        <f t="shared" ca="1" si="1950"/>
        <v>RL Capex 2023-24</v>
      </c>
      <c r="C1342" s="1429"/>
      <c r="D1342" s="1429"/>
      <c r="E1342" s="1429"/>
      <c r="F1342" s="1429"/>
      <c r="G1342" s="1429"/>
      <c r="H1342" s="1429"/>
      <c r="I1342" s="1429"/>
      <c r="J1342" s="1424"/>
      <c r="K1342" s="1428">
        <f>K1306</f>
        <v>0</v>
      </c>
      <c r="L1342" s="1423">
        <f t="shared" si="1938"/>
        <v>0</v>
      </c>
      <c r="M1342" s="1423">
        <f t="shared" si="1939"/>
        <v>0</v>
      </c>
      <c r="N1342" s="1423">
        <f t="shared" si="1940"/>
        <v>0</v>
      </c>
      <c r="O1342" s="1423">
        <f t="shared" si="1941"/>
        <v>0</v>
      </c>
      <c r="P1342" s="1423">
        <f t="shared" si="1942"/>
        <v>0</v>
      </c>
      <c r="Q1342" s="1423">
        <f t="shared" si="1943"/>
        <v>0</v>
      </c>
      <c r="R1342" s="1423">
        <f t="shared" si="1944"/>
        <v>0</v>
      </c>
      <c r="S1342" s="1423">
        <f t="shared" si="1945"/>
        <v>0</v>
      </c>
      <c r="T1342" s="1423">
        <f t="shared" si="1946"/>
        <v>0</v>
      </c>
      <c r="U1342" s="1423">
        <f t="shared" si="1947"/>
        <v>0</v>
      </c>
      <c r="V1342" s="1423">
        <f t="shared" si="1948"/>
        <v>0</v>
      </c>
      <c r="W1342" s="1423">
        <f t="shared" si="1949"/>
        <v>0</v>
      </c>
      <c r="X1342" s="152"/>
      <c r="Y1342" s="152"/>
      <c r="Z1342" s="152"/>
      <c r="AA1342" s="152"/>
      <c r="AB1342" s="152"/>
    </row>
    <row r="1343" spans="1:28" hidden="1" outlineLevel="1">
      <c r="A1343" s="152"/>
      <c r="B1343" s="190" t="str">
        <f t="shared" ca="1" si="1950"/>
        <v>RL Capex 2024-25</v>
      </c>
      <c r="C1343" s="1429"/>
      <c r="D1343" s="1429"/>
      <c r="E1343" s="1429"/>
      <c r="F1343" s="1429"/>
      <c r="G1343" s="1429"/>
      <c r="H1343" s="1429"/>
      <c r="I1343" s="1429"/>
      <c r="J1343" s="1429"/>
      <c r="K1343" s="1424"/>
      <c r="L1343" s="1428">
        <f>L1306</f>
        <v>0</v>
      </c>
      <c r="M1343" s="1423">
        <f t="shared" si="1939"/>
        <v>0</v>
      </c>
      <c r="N1343" s="1423">
        <f t="shared" si="1940"/>
        <v>0</v>
      </c>
      <c r="O1343" s="1423">
        <f t="shared" si="1941"/>
        <v>0</v>
      </c>
      <c r="P1343" s="1423">
        <f t="shared" si="1942"/>
        <v>0</v>
      </c>
      <c r="Q1343" s="1423">
        <f t="shared" si="1943"/>
        <v>0</v>
      </c>
      <c r="R1343" s="1423">
        <f t="shared" si="1944"/>
        <v>0</v>
      </c>
      <c r="S1343" s="1423">
        <f t="shared" si="1945"/>
        <v>0</v>
      </c>
      <c r="T1343" s="1423">
        <f t="shared" si="1946"/>
        <v>0</v>
      </c>
      <c r="U1343" s="1423">
        <f t="shared" si="1947"/>
        <v>0</v>
      </c>
      <c r="V1343" s="1423">
        <f t="shared" si="1948"/>
        <v>0</v>
      </c>
      <c r="W1343" s="1423">
        <f t="shared" si="1949"/>
        <v>0</v>
      </c>
      <c r="X1343" s="152"/>
      <c r="Y1343" s="152"/>
      <c r="Z1343" s="152"/>
      <c r="AA1343" s="152"/>
      <c r="AB1343" s="152"/>
    </row>
    <row r="1344" spans="1:28" hidden="1" outlineLevel="1">
      <c r="A1344" s="152"/>
      <c r="B1344" s="190" t="str">
        <f t="shared" ca="1" si="1950"/>
        <v>RL Capex 2025-26</v>
      </c>
      <c r="C1344" s="1429"/>
      <c r="D1344" s="1429"/>
      <c r="E1344" s="1429"/>
      <c r="F1344" s="1429"/>
      <c r="G1344" s="1429"/>
      <c r="H1344" s="1429"/>
      <c r="I1344" s="1429"/>
      <c r="J1344" s="1429"/>
      <c r="K1344" s="1429"/>
      <c r="L1344" s="1424"/>
      <c r="M1344" s="1428">
        <f>M1306</f>
        <v>0</v>
      </c>
      <c r="N1344" s="1423">
        <f t="shared" si="1940"/>
        <v>0</v>
      </c>
      <c r="O1344" s="1423">
        <f t="shared" si="1941"/>
        <v>0</v>
      </c>
      <c r="P1344" s="1423">
        <f t="shared" si="1942"/>
        <v>0</v>
      </c>
      <c r="Q1344" s="1423">
        <f t="shared" si="1943"/>
        <v>0</v>
      </c>
      <c r="R1344" s="1423">
        <f t="shared" si="1944"/>
        <v>0</v>
      </c>
      <c r="S1344" s="1423">
        <f t="shared" si="1945"/>
        <v>0</v>
      </c>
      <c r="T1344" s="1423">
        <f t="shared" si="1946"/>
        <v>0</v>
      </c>
      <c r="U1344" s="1423">
        <f t="shared" si="1947"/>
        <v>0</v>
      </c>
      <c r="V1344" s="1423">
        <f t="shared" si="1948"/>
        <v>0</v>
      </c>
      <c r="W1344" s="1423">
        <f t="shared" si="1949"/>
        <v>0</v>
      </c>
      <c r="X1344" s="152"/>
      <c r="Y1344" s="152"/>
      <c r="Z1344" s="152"/>
      <c r="AA1344" s="152"/>
      <c r="AB1344" s="152"/>
    </row>
    <row r="1345" spans="1:28" hidden="1" outlineLevel="1">
      <c r="A1345" s="152"/>
      <c r="B1345" s="190" t="str">
        <f t="shared" ca="1" si="1950"/>
        <v>RL Capex 2026-27</v>
      </c>
      <c r="C1345" s="1429"/>
      <c r="D1345" s="1429"/>
      <c r="E1345" s="1429"/>
      <c r="F1345" s="1429"/>
      <c r="G1345" s="1429"/>
      <c r="H1345" s="1429"/>
      <c r="I1345" s="1429"/>
      <c r="J1345" s="1429"/>
      <c r="K1345" s="1429"/>
      <c r="L1345" s="1429"/>
      <c r="M1345" s="1424"/>
      <c r="N1345" s="1428">
        <f>N1306</f>
        <v>0</v>
      </c>
      <c r="O1345" s="1423">
        <f t="shared" si="1941"/>
        <v>0</v>
      </c>
      <c r="P1345" s="1423">
        <f t="shared" si="1942"/>
        <v>0</v>
      </c>
      <c r="Q1345" s="1423">
        <f t="shared" si="1943"/>
        <v>0</v>
      </c>
      <c r="R1345" s="1423">
        <f t="shared" si="1944"/>
        <v>0</v>
      </c>
      <c r="S1345" s="1423">
        <f t="shared" si="1945"/>
        <v>0</v>
      </c>
      <c r="T1345" s="1423">
        <f t="shared" si="1946"/>
        <v>0</v>
      </c>
      <c r="U1345" s="1423">
        <f t="shared" si="1947"/>
        <v>0</v>
      </c>
      <c r="V1345" s="1423">
        <f t="shared" si="1948"/>
        <v>0</v>
      </c>
      <c r="W1345" s="1423">
        <f t="shared" si="1949"/>
        <v>0</v>
      </c>
      <c r="X1345" s="152"/>
      <c r="Y1345" s="152"/>
      <c r="Z1345" s="152"/>
      <c r="AA1345" s="152"/>
      <c r="AB1345" s="152"/>
    </row>
    <row r="1346" spans="1:28" hidden="1" outlineLevel="1">
      <c r="A1346" s="152"/>
      <c r="B1346" s="190" t="str">
        <f t="shared" ca="1" si="1950"/>
        <v>RL Capex 2027-28</v>
      </c>
      <c r="C1346" s="1429"/>
      <c r="D1346" s="1429"/>
      <c r="E1346" s="1429"/>
      <c r="F1346" s="1429"/>
      <c r="G1346" s="1429"/>
      <c r="H1346" s="1429"/>
      <c r="I1346" s="1429"/>
      <c r="J1346" s="1429"/>
      <c r="K1346" s="1429"/>
      <c r="L1346" s="1429"/>
      <c r="M1346" s="1429"/>
      <c r="N1346" s="1424"/>
      <c r="O1346" s="1428">
        <f>O1306</f>
        <v>0</v>
      </c>
      <c r="P1346" s="1423">
        <f t="shared" si="1942"/>
        <v>0</v>
      </c>
      <c r="Q1346" s="1423">
        <f t="shared" si="1943"/>
        <v>0</v>
      </c>
      <c r="R1346" s="1423">
        <f t="shared" si="1944"/>
        <v>0</v>
      </c>
      <c r="S1346" s="1423">
        <f t="shared" si="1945"/>
        <v>0</v>
      </c>
      <c r="T1346" s="1423">
        <f t="shared" si="1946"/>
        <v>0</v>
      </c>
      <c r="U1346" s="1423">
        <f t="shared" si="1947"/>
        <v>0</v>
      </c>
      <c r="V1346" s="1423">
        <f t="shared" si="1948"/>
        <v>0</v>
      </c>
      <c r="W1346" s="1423">
        <f t="shared" si="1949"/>
        <v>0</v>
      </c>
      <c r="X1346" s="152"/>
      <c r="Y1346" s="152"/>
      <c r="Z1346" s="152"/>
      <c r="AA1346" s="152"/>
      <c r="AB1346" s="152"/>
    </row>
    <row r="1347" spans="1:28" hidden="1" outlineLevel="1">
      <c r="A1347" s="152"/>
      <c r="B1347" s="190" t="str">
        <f t="shared" ca="1" si="1950"/>
        <v>RL Capex 2028-29</v>
      </c>
      <c r="C1347" s="1429"/>
      <c r="D1347" s="1429"/>
      <c r="E1347" s="1429"/>
      <c r="F1347" s="1429"/>
      <c r="G1347" s="1429"/>
      <c r="H1347" s="1429"/>
      <c r="I1347" s="1429"/>
      <c r="J1347" s="1429"/>
      <c r="K1347" s="1429"/>
      <c r="L1347" s="1429"/>
      <c r="M1347" s="1429"/>
      <c r="N1347" s="1429"/>
      <c r="O1347" s="1424"/>
      <c r="P1347" s="1428">
        <f>P1306</f>
        <v>0</v>
      </c>
      <c r="Q1347" s="1423">
        <f t="shared" si="1943"/>
        <v>0</v>
      </c>
      <c r="R1347" s="1423">
        <f t="shared" si="1944"/>
        <v>0</v>
      </c>
      <c r="S1347" s="1423">
        <f t="shared" si="1945"/>
        <v>0</v>
      </c>
      <c r="T1347" s="1423">
        <f t="shared" si="1946"/>
        <v>0</v>
      </c>
      <c r="U1347" s="1423">
        <f t="shared" si="1947"/>
        <v>0</v>
      </c>
      <c r="V1347" s="1423">
        <f t="shared" si="1948"/>
        <v>0</v>
      </c>
      <c r="W1347" s="1423">
        <f t="shared" si="1949"/>
        <v>0</v>
      </c>
      <c r="X1347" s="152"/>
      <c r="Y1347" s="152"/>
      <c r="Z1347" s="152"/>
      <c r="AA1347" s="152"/>
      <c r="AB1347" s="152"/>
    </row>
    <row r="1348" spans="1:28" hidden="1" outlineLevel="1">
      <c r="A1348" s="152"/>
      <c r="B1348" s="190" t="str">
        <f t="shared" ca="1" si="1950"/>
        <v>RL Capex 2029-30</v>
      </c>
      <c r="C1348" s="1429"/>
      <c r="D1348" s="1429"/>
      <c r="E1348" s="1429"/>
      <c r="F1348" s="1429"/>
      <c r="G1348" s="1429"/>
      <c r="H1348" s="1429"/>
      <c r="I1348" s="1429"/>
      <c r="J1348" s="1429"/>
      <c r="K1348" s="1429"/>
      <c r="L1348" s="1429"/>
      <c r="M1348" s="1429"/>
      <c r="N1348" s="1429"/>
      <c r="O1348" s="1429"/>
      <c r="P1348" s="1424"/>
      <c r="Q1348" s="1428">
        <f>Q1306</f>
        <v>0</v>
      </c>
      <c r="R1348" s="1423">
        <f t="shared" si="1944"/>
        <v>0</v>
      </c>
      <c r="S1348" s="1423">
        <f t="shared" si="1945"/>
        <v>0</v>
      </c>
      <c r="T1348" s="1423">
        <f t="shared" si="1946"/>
        <v>0</v>
      </c>
      <c r="U1348" s="1423">
        <f t="shared" si="1947"/>
        <v>0</v>
      </c>
      <c r="V1348" s="1423">
        <f t="shared" si="1948"/>
        <v>0</v>
      </c>
      <c r="W1348" s="1423">
        <f t="shared" si="1949"/>
        <v>0</v>
      </c>
      <c r="X1348" s="152"/>
      <c r="Y1348" s="152"/>
      <c r="Z1348" s="152"/>
      <c r="AA1348" s="152"/>
      <c r="AB1348" s="152"/>
    </row>
    <row r="1349" spans="1:28" hidden="1" outlineLevel="1">
      <c r="A1349" s="152"/>
      <c r="B1349" s="190" t="str">
        <f t="shared" ca="1" si="1950"/>
        <v>RL Capex 2030-31</v>
      </c>
      <c r="C1349" s="1429"/>
      <c r="D1349" s="1429"/>
      <c r="E1349" s="1429"/>
      <c r="F1349" s="1429"/>
      <c r="G1349" s="1429"/>
      <c r="H1349" s="1429"/>
      <c r="I1349" s="1429"/>
      <c r="J1349" s="1429"/>
      <c r="K1349" s="1429"/>
      <c r="L1349" s="1429"/>
      <c r="M1349" s="1429"/>
      <c r="N1349" s="1429"/>
      <c r="O1349" s="1429"/>
      <c r="P1349" s="1429"/>
      <c r="Q1349" s="1424"/>
      <c r="R1349" s="1428">
        <f>R1306</f>
        <v>0</v>
      </c>
      <c r="S1349" s="1423">
        <f t="shared" si="1945"/>
        <v>0</v>
      </c>
      <c r="T1349" s="1423">
        <f t="shared" si="1946"/>
        <v>0</v>
      </c>
      <c r="U1349" s="1423">
        <f t="shared" si="1947"/>
        <v>0</v>
      </c>
      <c r="V1349" s="1423">
        <f t="shared" si="1948"/>
        <v>0</v>
      </c>
      <c r="W1349" s="1423">
        <f t="shared" si="1949"/>
        <v>0</v>
      </c>
      <c r="X1349" s="152"/>
      <c r="Y1349" s="152"/>
      <c r="Z1349" s="152"/>
      <c r="AA1349" s="152"/>
      <c r="AB1349" s="152"/>
    </row>
    <row r="1350" spans="1:28" hidden="1" outlineLevel="1">
      <c r="A1350" s="152"/>
      <c r="B1350" s="190" t="str">
        <f t="shared" ca="1" si="1950"/>
        <v>RL Capex 2031-32</v>
      </c>
      <c r="C1350" s="1429"/>
      <c r="D1350" s="1429"/>
      <c r="E1350" s="1429"/>
      <c r="F1350" s="1429"/>
      <c r="G1350" s="1429"/>
      <c r="H1350" s="1429"/>
      <c r="I1350" s="1429"/>
      <c r="J1350" s="1429"/>
      <c r="K1350" s="1429"/>
      <c r="L1350" s="1429"/>
      <c r="M1350" s="1429"/>
      <c r="N1350" s="1429"/>
      <c r="O1350" s="1429"/>
      <c r="P1350" s="1429"/>
      <c r="Q1350" s="1429"/>
      <c r="R1350" s="1424"/>
      <c r="S1350" s="1428">
        <f>S1306</f>
        <v>0</v>
      </c>
      <c r="T1350" s="1423">
        <f t="shared" si="1946"/>
        <v>0</v>
      </c>
      <c r="U1350" s="1423">
        <f t="shared" si="1947"/>
        <v>0</v>
      </c>
      <c r="V1350" s="1423">
        <f t="shared" si="1948"/>
        <v>0</v>
      </c>
      <c r="W1350" s="1423">
        <f t="shared" si="1949"/>
        <v>0</v>
      </c>
      <c r="X1350" s="152"/>
      <c r="Y1350" s="152"/>
      <c r="Z1350" s="152"/>
      <c r="AA1350" s="152"/>
      <c r="AB1350" s="152"/>
    </row>
    <row r="1351" spans="1:28" hidden="1" outlineLevel="1">
      <c r="A1351" s="152"/>
      <c r="B1351" s="190" t="str">
        <f t="shared" ca="1" si="1950"/>
        <v>RL Capex 2032-33</v>
      </c>
      <c r="C1351" s="1429"/>
      <c r="D1351" s="1429"/>
      <c r="E1351" s="1429"/>
      <c r="F1351" s="1429"/>
      <c r="G1351" s="1429"/>
      <c r="H1351" s="1429"/>
      <c r="I1351" s="1429"/>
      <c r="J1351" s="1429"/>
      <c r="K1351" s="1429"/>
      <c r="L1351" s="1429"/>
      <c r="M1351" s="1429"/>
      <c r="N1351" s="1429"/>
      <c r="O1351" s="1429"/>
      <c r="P1351" s="1429"/>
      <c r="Q1351" s="1429"/>
      <c r="R1351" s="1429"/>
      <c r="S1351" s="1424"/>
      <c r="T1351" s="1428">
        <f>T1306</f>
        <v>0</v>
      </c>
      <c r="U1351" s="1423">
        <f t="shared" si="1947"/>
        <v>0</v>
      </c>
      <c r="V1351" s="1423">
        <f t="shared" si="1948"/>
        <v>0</v>
      </c>
      <c r="W1351" s="1423">
        <f t="shared" si="1949"/>
        <v>0</v>
      </c>
      <c r="X1351" s="152"/>
      <c r="Y1351" s="152"/>
      <c r="Z1351" s="152"/>
      <c r="AA1351" s="152"/>
      <c r="AB1351" s="152"/>
    </row>
    <row r="1352" spans="1:28" hidden="1" outlineLevel="1">
      <c r="A1352" s="152"/>
      <c r="B1352" s="190" t="str">
        <f t="shared" ca="1" si="1950"/>
        <v>RL Capex 2033-34</v>
      </c>
      <c r="C1352" s="1429"/>
      <c r="D1352" s="1429"/>
      <c r="E1352" s="1429"/>
      <c r="F1352" s="1429"/>
      <c r="G1352" s="1429"/>
      <c r="H1352" s="1429"/>
      <c r="I1352" s="1429"/>
      <c r="J1352" s="1429"/>
      <c r="K1352" s="1429"/>
      <c r="L1352" s="1429"/>
      <c r="M1352" s="1429"/>
      <c r="N1352" s="1429"/>
      <c r="O1352" s="1429"/>
      <c r="P1352" s="1429"/>
      <c r="Q1352" s="1429"/>
      <c r="R1352" s="1429"/>
      <c r="S1352" s="1429"/>
      <c r="T1352" s="1424"/>
      <c r="U1352" s="1428">
        <f>U1306</f>
        <v>0</v>
      </c>
      <c r="V1352" s="1423">
        <f t="shared" si="1948"/>
        <v>0</v>
      </c>
      <c r="W1352" s="1423">
        <f t="shared" si="1949"/>
        <v>0</v>
      </c>
      <c r="X1352" s="152"/>
      <c r="Y1352" s="152"/>
      <c r="Z1352" s="152"/>
      <c r="AA1352" s="152"/>
      <c r="AB1352" s="152"/>
    </row>
    <row r="1353" spans="1:28" hidden="1" outlineLevel="1">
      <c r="A1353" s="152"/>
      <c r="B1353" s="190" t="str">
        <f t="shared" ca="1" si="1950"/>
        <v>RL Capex 2034-35</v>
      </c>
      <c r="C1353" s="1429"/>
      <c r="D1353" s="1429"/>
      <c r="E1353" s="1429"/>
      <c r="F1353" s="1429"/>
      <c r="G1353" s="1429"/>
      <c r="H1353" s="1429"/>
      <c r="I1353" s="1429"/>
      <c r="J1353" s="1429"/>
      <c r="K1353" s="1429"/>
      <c r="L1353" s="1429"/>
      <c r="M1353" s="1429"/>
      <c r="N1353" s="1429"/>
      <c r="O1353" s="1429"/>
      <c r="P1353" s="1429"/>
      <c r="Q1353" s="1429"/>
      <c r="R1353" s="1429"/>
      <c r="S1353" s="1429"/>
      <c r="T1353" s="1429"/>
      <c r="U1353" s="1424"/>
      <c r="V1353" s="1428">
        <f>V1306</f>
        <v>0</v>
      </c>
      <c r="W1353" s="1423">
        <f>IF(V1353="n/a","n/a",MAX(0,V1353-1))</f>
        <v>0</v>
      </c>
      <c r="X1353" s="152"/>
      <c r="Y1353" s="152"/>
      <c r="Z1353" s="152"/>
      <c r="AA1353" s="152"/>
      <c r="AB1353" s="152"/>
    </row>
    <row r="1354" spans="1:28" hidden="1" outlineLevel="1">
      <c r="A1354" s="152"/>
      <c r="B1354" s="190" t="str">
        <f t="shared" ca="1" si="1950"/>
        <v>RL Capex 2035-36</v>
      </c>
      <c r="C1354" s="1429"/>
      <c r="D1354" s="1429"/>
      <c r="E1354" s="1429"/>
      <c r="F1354" s="1429"/>
      <c r="G1354" s="1429"/>
      <c r="H1354" s="1429"/>
      <c r="I1354" s="1429"/>
      <c r="J1354" s="1429"/>
      <c r="K1354" s="1429"/>
      <c r="L1354" s="1429"/>
      <c r="M1354" s="1429"/>
      <c r="N1354" s="1429"/>
      <c r="O1354" s="1429"/>
      <c r="P1354" s="1429"/>
      <c r="Q1354" s="1429"/>
      <c r="R1354" s="1429"/>
      <c r="S1354" s="1429"/>
      <c r="T1354" s="1429"/>
      <c r="U1354" s="1429"/>
      <c r="V1354" s="1424"/>
      <c r="W1354" s="1423">
        <f>W1306</f>
        <v>0</v>
      </c>
      <c r="X1354" s="152"/>
      <c r="Y1354" s="152"/>
      <c r="Z1354" s="152"/>
      <c r="AA1354" s="152"/>
      <c r="AB1354" s="152"/>
    </row>
    <row r="1355" spans="1:28" hidden="1" outlineLevel="1">
      <c r="A1355" s="152"/>
      <c r="B1355" s="200"/>
      <c r="C1355" s="1423"/>
      <c r="D1355" s="1423"/>
      <c r="E1355" s="1423"/>
      <c r="F1355" s="1423"/>
      <c r="G1355" s="1423"/>
      <c r="H1355" s="1423"/>
      <c r="I1355" s="1423"/>
      <c r="J1355" s="1423"/>
      <c r="K1355" s="1423"/>
      <c r="L1355" s="1423"/>
      <c r="M1355" s="1423"/>
      <c r="N1355" s="1423"/>
      <c r="O1355" s="1423"/>
      <c r="P1355" s="1423"/>
      <c r="Q1355" s="1423"/>
      <c r="R1355" s="1423"/>
      <c r="S1355" s="1423"/>
      <c r="T1355" s="1423"/>
      <c r="U1355" s="1423"/>
      <c r="V1355" s="1423"/>
      <c r="W1355" s="1423"/>
      <c r="X1355" s="152"/>
      <c r="Y1355" s="152"/>
      <c r="Z1355" s="152"/>
      <c r="AA1355" s="152"/>
      <c r="AB1355" s="152"/>
    </row>
    <row r="1356" spans="1:28" collapsed="1">
      <c r="A1356" s="194"/>
      <c r="B1356" s="204" t="s">
        <v>123</v>
      </c>
      <c r="C1356" s="1430">
        <f ca="1">(IF(OR($C1306&lt;&gt;"n/a",C1306&lt;&gt;"n/a"),IF(SUM(C1309:C1331)=0,0,IF((SUMPRODUCT(C1309:C1331,C1333:C1355)/SUM(C1309:C1331))&lt;0,1,(SUMPRODUCT(C1309:C1331,C1333:C1355)/SUM(C1309:C1331)))),"n/a"))</f>
        <v>0</v>
      </c>
      <c r="D1356" s="1430">
        <f ca="1">(IF(OR($C1306&lt;&gt;"n/a",D1306&lt;&gt;"n/a"),IF(SUM(D1309:D1331)=0,0,IF((SUMPRODUCT(D1309:D1331,D1333:D1355)/SUM(D1309:D1331))&lt;0,1,(SUMPRODUCT(D1309:D1331,D1333:D1355)/SUM(D1309:D1331)))),"n/a"))</f>
        <v>0</v>
      </c>
      <c r="E1356" s="1430">
        <f t="shared" ref="E1356:W1356" ca="1" si="1951">(IF(OR($C1306&lt;&gt;"n/a",E1306&lt;&gt;"n/a"),IF(SUM(E1309:E1331)=0,0,IF((SUMPRODUCT(E1309:E1331,E1333:E1355)/SUM(E1309:E1331))&lt;0,1,(SUMPRODUCT(E1309:E1331,E1333:E1355)/SUM(E1309:E1331)))),"n/a"))</f>
        <v>0</v>
      </c>
      <c r="F1356" s="1430">
        <f t="shared" ca="1" si="1951"/>
        <v>0</v>
      </c>
      <c r="G1356" s="1430">
        <f t="shared" ca="1" si="1951"/>
        <v>0</v>
      </c>
      <c r="H1356" s="1430">
        <f t="shared" ca="1" si="1951"/>
        <v>0</v>
      </c>
      <c r="I1356" s="1430">
        <f t="shared" ca="1" si="1951"/>
        <v>0</v>
      </c>
      <c r="J1356" s="1430">
        <f t="shared" ca="1" si="1951"/>
        <v>0</v>
      </c>
      <c r="K1356" s="1430">
        <f t="shared" ca="1" si="1951"/>
        <v>0</v>
      </c>
      <c r="L1356" s="1430">
        <f t="shared" ca="1" si="1951"/>
        <v>0</v>
      </c>
      <c r="M1356" s="1430">
        <f t="shared" ca="1" si="1951"/>
        <v>0</v>
      </c>
      <c r="N1356" s="1430">
        <f t="shared" ca="1" si="1951"/>
        <v>0</v>
      </c>
      <c r="O1356" s="1430">
        <f t="shared" ca="1" si="1951"/>
        <v>0</v>
      </c>
      <c r="P1356" s="1430">
        <f t="shared" ca="1" si="1951"/>
        <v>0</v>
      </c>
      <c r="Q1356" s="1430">
        <f t="shared" ca="1" si="1951"/>
        <v>0</v>
      </c>
      <c r="R1356" s="1430">
        <f t="shared" ca="1" si="1951"/>
        <v>0</v>
      </c>
      <c r="S1356" s="1430">
        <f t="shared" ca="1" si="1951"/>
        <v>0</v>
      </c>
      <c r="T1356" s="1430">
        <f t="shared" ca="1" si="1951"/>
        <v>0</v>
      </c>
      <c r="U1356" s="1430">
        <f t="shared" ca="1" si="1951"/>
        <v>0</v>
      </c>
      <c r="V1356" s="1430">
        <f t="shared" ca="1" si="1951"/>
        <v>0</v>
      </c>
      <c r="W1356" s="1430">
        <f t="shared" ca="1" si="1951"/>
        <v>0</v>
      </c>
      <c r="X1356" s="152"/>
      <c r="Y1356" s="152"/>
      <c r="Z1356" s="152"/>
      <c r="AA1356" s="152"/>
      <c r="AB1356" s="152"/>
    </row>
    <row r="1357" spans="1:28">
      <c r="A1357" s="152"/>
      <c r="B1357" s="152"/>
      <c r="C1357" s="1423"/>
      <c r="D1357" s="1423"/>
      <c r="E1357" s="1423"/>
      <c r="F1357" s="1423"/>
      <c r="G1357" s="1423"/>
      <c r="H1357" s="1423"/>
      <c r="I1357" s="1423"/>
      <c r="J1357" s="1423"/>
      <c r="K1357" s="1423"/>
      <c r="L1357" s="1423"/>
      <c r="M1357" s="1423"/>
      <c r="N1357" s="1423"/>
      <c r="O1357" s="1423"/>
      <c r="P1357" s="1423"/>
      <c r="Q1357" s="1423"/>
      <c r="R1357" s="1423"/>
      <c r="S1357" s="1423"/>
      <c r="T1357" s="1423"/>
      <c r="U1357" s="1423"/>
      <c r="V1357" s="1423"/>
      <c r="W1357" s="1423"/>
      <c r="X1357" s="152"/>
      <c r="Y1357" s="152"/>
      <c r="Z1357" s="152"/>
      <c r="AA1357" s="152"/>
      <c r="AB1357" s="152"/>
    </row>
    <row r="1358" spans="1:28">
      <c r="A1358" s="269" t="s">
        <v>60</v>
      </c>
      <c r="B1358" s="270">
        <f>VLOOKUP($A1358,'RFM input'!$E$7:$F$56,2,FALSE)</f>
        <v>0</v>
      </c>
      <c r="C1358" s="1431"/>
      <c r="D1358" s="1431"/>
      <c r="E1358" s="1432"/>
      <c r="F1358" s="1432"/>
      <c r="G1358" s="1432"/>
      <c r="H1358" s="1432"/>
      <c r="I1358" s="1432"/>
      <c r="J1358" s="1432"/>
      <c r="K1358" s="1432"/>
      <c r="L1358" s="1432"/>
      <c r="M1358" s="1432"/>
      <c r="N1358" s="1432"/>
      <c r="O1358" s="1432"/>
      <c r="P1358" s="1432"/>
      <c r="Q1358" s="1432"/>
      <c r="R1358" s="1432"/>
      <c r="S1358" s="1432"/>
      <c r="T1358" s="1432"/>
      <c r="U1358" s="1432"/>
      <c r="V1358" s="1432"/>
      <c r="W1358" s="1432"/>
      <c r="X1358" s="152"/>
      <c r="Y1358" s="152"/>
      <c r="Z1358" s="152"/>
      <c r="AA1358" s="152"/>
      <c r="AB1358" s="152"/>
    </row>
    <row r="1359" spans="1:28">
      <c r="A1359" s="215">
        <f>VALUE(REPLACE(A1358,1,12,""))</f>
        <v>26</v>
      </c>
      <c r="B1359" s="193" t="s">
        <v>126</v>
      </c>
      <c r="C1359" s="1416">
        <f ca="1">IF($D$6='TAB roll forward'!$H$4,OFFSET('TAB roll forward'!$H$7,A1359,0),"enter input")</f>
        <v>0</v>
      </c>
      <c r="D1359" s="1417">
        <f>IF(LEFT(D$6,4)&lt;LEFT('RFM input'!$G$60,4),"enter input",IF(LEFT(D$6,4)&gt;LEFT('RFM input'!$Q$60,4),0,
INDEX('RFM input'!$G$61:$Q$110,$A1359,MATCH(D$6,'RFM input'!$G$60:$Q$60,0))
   -INDEX('RFM input'!$G$115:$Q$164,$A1359,MATCH(D$6,'RFM input'!$G$60:$Q$60,0))))</f>
        <v>0</v>
      </c>
      <c r="E1359" s="1417">
        <f>IF(LEFT(E$6,4)&lt;LEFT('RFM input'!$G$60,4),"enter input",IF(LEFT(E$6,4)&gt;LEFT('RFM input'!$Q$60,4),0,
INDEX('RFM input'!$G$61:$Q$110,$A1359,MATCH(E$6,'RFM input'!$G$60:$Q$60,0))
   -INDEX('RFM input'!$G$115:$Q$164,$A1359,MATCH(E$6,'RFM input'!$G$60:$Q$60,0))))</f>
        <v>0</v>
      </c>
      <c r="F1359" s="1417">
        <f>IF(LEFT(F$6,4)&lt;LEFT('RFM input'!$G$60,4),"enter input",IF(LEFT(F$6,4)&gt;LEFT('RFM input'!$Q$60,4),0,
INDEX('RFM input'!$G$61:$Q$110,$A1359,MATCH(F$6,'RFM input'!$G$60:$Q$60,0))
   -INDEX('RFM input'!$G$115:$Q$164,$A1359,MATCH(F$6,'RFM input'!$G$60:$Q$60,0))))</f>
        <v>0</v>
      </c>
      <c r="G1359" s="1417">
        <f>IF(LEFT(G$6,4)&lt;LEFT('RFM input'!$G$60,4),"enter input",IF(LEFT(G$6,4)&gt;LEFT('RFM input'!$Q$60,4),0,
INDEX('RFM input'!$G$61:$Q$110,$A1359,MATCH(G$6,'RFM input'!$G$60:$Q$60,0))
   -INDEX('RFM input'!$G$115:$Q$164,$A1359,MATCH(G$6,'RFM input'!$G$60:$Q$60,0))))</f>
        <v>0</v>
      </c>
      <c r="H1359" s="1417">
        <f>IF(LEFT(H$6,4)&lt;LEFT('RFM input'!$G$60,4),"enter input",IF(LEFT(H$6,4)&gt;LEFT('RFM input'!$Q$60,4),0,
INDEX('RFM input'!$G$61:$Q$110,$A1359,MATCH(H$6,'RFM input'!$G$60:$Q$60,0))
   -INDEX('RFM input'!$G$115:$Q$164,$A1359,MATCH(H$6,'RFM input'!$G$60:$Q$60,0))))</f>
        <v>0</v>
      </c>
      <c r="I1359" s="1417">
        <f>IF(LEFT(I$6,4)&lt;LEFT('RFM input'!$G$60,4),"enter input",IF(LEFT(I$6,4)&gt;LEFT('RFM input'!$Q$60,4),0,
INDEX('RFM input'!$G$61:$Q$110,$A1359,MATCH(I$6,'RFM input'!$G$60:$Q$60,0))
   -INDEX('RFM input'!$G$115:$Q$164,$A1359,MATCH(I$6,'RFM input'!$G$60:$Q$60,0))))</f>
        <v>0</v>
      </c>
      <c r="J1359" s="1417">
        <f>IF(LEFT(J$6,4)&lt;LEFT('RFM input'!$G$60,4),"enter input",IF(LEFT(J$6,4)&gt;LEFT('RFM input'!$Q$60,4),0,
INDEX('RFM input'!$G$61:$Q$110,$A1359,MATCH(J$6,'RFM input'!$G$60:$Q$60,0))
   -INDEX('RFM input'!$G$115:$Q$164,$A1359,MATCH(J$6,'RFM input'!$G$60:$Q$60,0))))</f>
        <v>0</v>
      </c>
      <c r="K1359" s="1417">
        <f>IF(LEFT(K$6,4)&lt;LEFT('RFM input'!$G$60,4),"enter input",IF(LEFT(K$6,4)&gt;LEFT('RFM input'!$Q$60,4),0,
INDEX('RFM input'!$G$61:$Q$110,$A1359,MATCH(K$6,'RFM input'!$G$60:$Q$60,0))
   -INDEX('RFM input'!$G$115:$Q$164,$A1359,MATCH(K$6,'RFM input'!$G$60:$Q$60,0))))</f>
        <v>0</v>
      </c>
      <c r="L1359" s="1417">
        <f>IF(LEFT(L$6,4)&lt;LEFT('RFM input'!$G$60,4),"enter input",IF(LEFT(L$6,4)&gt;LEFT('RFM input'!$Q$60,4),0,
INDEX('RFM input'!$G$61:$Q$110,$A1359,MATCH(L$6,'RFM input'!$G$60:$Q$60,0))
   -INDEX('RFM input'!$G$115:$Q$164,$A1359,MATCH(L$6,'RFM input'!$G$60:$Q$60,0))))</f>
        <v>0</v>
      </c>
      <c r="M1359" s="1417">
        <f>IF(LEFT(M$6,4)&lt;LEFT('RFM input'!$G$60,4),"enter input",IF(LEFT(M$6,4)&gt;LEFT('RFM input'!$Q$60,4),0,
INDEX('RFM input'!$G$61:$Q$110,$A1359,MATCH(M$6,'RFM input'!$G$60:$Q$60,0))
   -INDEX('RFM input'!$G$115:$Q$164,$A1359,MATCH(M$6,'RFM input'!$G$60:$Q$60,0))))</f>
        <v>0</v>
      </c>
      <c r="N1359" s="1417">
        <f>IF(LEFT(N$6,4)&lt;LEFT('RFM input'!$G$60,4),"enter input",IF(LEFT(N$6,4)&gt;LEFT('RFM input'!$Q$60,4),0,
INDEX('RFM input'!$G$61:$Q$110,$A1359,MATCH(N$6,'RFM input'!$G$60:$Q$60,0))
   -INDEX('RFM input'!$G$115:$Q$164,$A1359,MATCH(N$6,'RFM input'!$G$60:$Q$60,0))))</f>
        <v>0</v>
      </c>
      <c r="O1359" s="1417">
        <f>IF(LEFT(O$6,4)&lt;LEFT('RFM input'!$G$60,4),"enter input",IF(LEFT(O$6,4)&gt;LEFT('RFM input'!$Q$60,4),0,
INDEX('RFM input'!$G$61:$Q$110,$A1359,MATCH(O$6,'RFM input'!$G$60:$Q$60,0))
   -INDEX('RFM input'!$G$115:$Q$164,$A1359,MATCH(O$6,'RFM input'!$G$60:$Q$60,0))))</f>
        <v>0</v>
      </c>
      <c r="P1359" s="1417">
        <f>IF(LEFT(P$6,4)&lt;LEFT('RFM input'!$G$60,4),"enter input",IF(LEFT(P$6,4)&gt;LEFT('RFM input'!$Q$60,4),0,
INDEX('RFM input'!$G$61:$Q$110,$A1359,MATCH(P$6,'RFM input'!$G$60:$Q$60,0))
   -INDEX('RFM input'!$G$115:$Q$164,$A1359,MATCH(P$6,'RFM input'!$G$60:$Q$60,0))))</f>
        <v>0</v>
      </c>
      <c r="Q1359" s="1417">
        <f>IF(LEFT(Q$6,4)&lt;LEFT('RFM input'!$G$60,4),"enter input",IF(LEFT(Q$6,4)&gt;LEFT('RFM input'!$Q$60,4),0,
INDEX('RFM input'!$G$61:$Q$110,$A1359,MATCH(Q$6,'RFM input'!$G$60:$Q$60,0))
   -INDEX('RFM input'!$G$115:$Q$164,$A1359,MATCH(Q$6,'RFM input'!$G$60:$Q$60,0))))</f>
        <v>0</v>
      </c>
      <c r="R1359" s="1417">
        <f>IF(LEFT(R$6,4)&lt;LEFT('RFM input'!$G$60,4),"enter input",IF(LEFT(R$6,4)&gt;LEFT('RFM input'!$Q$60,4),0,
INDEX('RFM input'!$G$61:$Q$110,$A1359,MATCH(R$6,'RFM input'!$G$60:$Q$60,0))
   -INDEX('RFM input'!$G$115:$Q$164,$A1359,MATCH(R$6,'RFM input'!$G$60:$Q$60,0))))</f>
        <v>0</v>
      </c>
      <c r="S1359" s="1417">
        <f>IF(LEFT(S$6,4)&lt;LEFT('RFM input'!$G$60,4),"enter input",IF(LEFT(S$6,4)&gt;LEFT('RFM input'!$Q$60,4),0,
INDEX('RFM input'!$G$61:$Q$110,$A1359,MATCH(S$6,'RFM input'!$G$60:$Q$60,0))
   -INDEX('RFM input'!$G$115:$Q$164,$A1359,MATCH(S$6,'RFM input'!$G$60:$Q$60,0))))</f>
        <v>0</v>
      </c>
      <c r="T1359" s="1417">
        <f>IF(LEFT(T$6,4)&lt;LEFT('RFM input'!$G$60,4),"enter input",IF(LEFT(T$6,4)&gt;LEFT('RFM input'!$Q$60,4),0,
INDEX('RFM input'!$G$61:$Q$110,$A1359,MATCH(T$6,'RFM input'!$G$60:$Q$60,0))
   -INDEX('RFM input'!$G$115:$Q$164,$A1359,MATCH(T$6,'RFM input'!$G$60:$Q$60,0))))</f>
        <v>0</v>
      </c>
      <c r="U1359" s="1417">
        <f>IF(LEFT(U$6,4)&lt;LEFT('RFM input'!$G$60,4),"enter input",IF(LEFT(U$6,4)&gt;LEFT('RFM input'!$Q$60,4),0,
INDEX('RFM input'!$G$61:$Q$110,$A1359,MATCH(U$6,'RFM input'!$G$60:$Q$60,0))
   -INDEX('RFM input'!$G$115:$Q$164,$A1359,MATCH(U$6,'RFM input'!$G$60:$Q$60,0))))</f>
        <v>0</v>
      </c>
      <c r="V1359" s="1417">
        <f>IF(LEFT(V$6,4)&lt;LEFT('RFM input'!$G$60,4),"enter input",IF(LEFT(V$6,4)&gt;LEFT('RFM input'!$Q$60,4),0,
INDEX('RFM input'!$G$61:$Q$110,$A1359,MATCH(V$6,'RFM input'!$G$60:$Q$60,0))
   -INDEX('RFM input'!$G$115:$Q$164,$A1359,MATCH(V$6,'RFM input'!$G$60:$Q$60,0))))</f>
        <v>0</v>
      </c>
      <c r="W1359" s="1417">
        <f>IF(LEFT(W$6,4)&lt;LEFT('RFM input'!$G$60,4),"enter input",IF(LEFT(W$6,4)&gt;LEFT('RFM input'!$Q$60,4),0,
INDEX('RFM input'!$G$61:$Q$110,$A1359,MATCH(W$6,'RFM input'!$G$60:$Q$60,0))
   -INDEX('RFM input'!$G$115:$Q$164,$A1359,MATCH(W$6,'RFM input'!$G$60:$Q$60,0))))</f>
        <v>0</v>
      </c>
      <c r="X1359" s="152"/>
      <c r="Y1359" s="152"/>
      <c r="Z1359" s="152"/>
      <c r="AA1359" s="152"/>
      <c r="AB1359" s="152"/>
    </row>
    <row r="1360" spans="1:28">
      <c r="A1360" s="152"/>
      <c r="B1360" s="152" t="s">
        <v>205</v>
      </c>
      <c r="C1360" s="1418">
        <f ca="1">IF($D$6='TAB roll forward'!$H$4,OFFSET('RFM input'!$S$6,$A1359,0),"enter input")</f>
        <v>0</v>
      </c>
      <c r="D1360" s="1417">
        <f>IF(LEFT(D$6,4)&lt;=LEFT('RFM input'!$G$60,4),"enter input",IF(LEFT(D$6,4)&gt;LEFT('RFM input'!$Q$60,4),0,
IF(MATCH(D$6,'RFM input'!$H$60:$Q$60,0),INDEX('RFM input'!$T$7:$T$56,$A1359,1,1))))</f>
        <v>0</v>
      </c>
      <c r="E1360" s="1417">
        <f>IF(LEFT(E$6,4)&lt;=LEFT('RFM input'!$G$60,4),"enter input",IF(LEFT(E$6,4)&gt;LEFT('RFM input'!$Q$60,4),0,
IF(MATCH(E$6,'RFM input'!$H$60:$Q$60,0),INDEX('RFM input'!$T$7:$T$56,$A1359,1,1))))</f>
        <v>0</v>
      </c>
      <c r="F1360" s="1417">
        <f>IF(LEFT(F$6,4)&lt;=LEFT('RFM input'!$G$60,4),"enter input",IF(LEFT(F$6,4)&gt;LEFT('RFM input'!$Q$60,4),0,
IF(MATCH(F$6,'RFM input'!$H$60:$Q$60,0),INDEX('RFM input'!$T$7:$T$56,$A1359,1,1))))</f>
        <v>0</v>
      </c>
      <c r="G1360" s="1417">
        <f>IF(LEFT(G$6,4)&lt;=LEFT('RFM input'!$G$60,4),"enter input",IF(LEFT(G$6,4)&gt;LEFT('RFM input'!$Q$60,4),0,
IF(MATCH(G$6,'RFM input'!$H$60:$Q$60,0),INDEX('RFM input'!$T$7:$T$56,$A1359,1,1))))</f>
        <v>0</v>
      </c>
      <c r="H1360" s="1417">
        <f>IF(LEFT(H$6,4)&lt;=LEFT('RFM input'!$G$60,4),"enter input",IF(LEFT(H$6,4)&gt;LEFT('RFM input'!$Q$60,4),0,
IF(MATCH(H$6,'RFM input'!$H$60:$Q$60,0),INDEX('RFM input'!$T$7:$T$56,$A1359,1,1))))</f>
        <v>0</v>
      </c>
      <c r="I1360" s="1417">
        <f>IF(LEFT(I$6,4)&lt;=LEFT('RFM input'!$G$60,4),"enter input",IF(LEFT(I$6,4)&gt;LEFT('RFM input'!$Q$60,4),0,
IF(MATCH(I$6,'RFM input'!$H$60:$Q$60,0),INDEX('RFM input'!$T$7:$T$56,$A1359,1,1))))</f>
        <v>0</v>
      </c>
      <c r="J1360" s="1417">
        <f>IF(LEFT(J$6,4)&lt;=LEFT('RFM input'!$G$60,4),"enter input",IF(LEFT(J$6,4)&gt;LEFT('RFM input'!$Q$60,4),0,
IF(MATCH(J$6,'RFM input'!$H$60:$Q$60,0),INDEX('RFM input'!$T$7:$T$56,$A1359,1,1))))</f>
        <v>0</v>
      </c>
      <c r="K1360" s="1417">
        <f>IF(LEFT(K$6,4)&lt;=LEFT('RFM input'!$G$60,4),"enter input",IF(LEFT(K$6,4)&gt;LEFT('RFM input'!$Q$60,4),0,
IF(MATCH(K$6,'RFM input'!$H$60:$Q$60,0),INDEX('RFM input'!$T$7:$T$56,$A1359,1,1))))</f>
        <v>0</v>
      </c>
      <c r="L1360" s="1417">
        <f>IF(LEFT(L$6,4)&lt;=LEFT('RFM input'!$G$60,4),"enter input",IF(LEFT(L$6,4)&gt;LEFT('RFM input'!$Q$60,4),0,
IF(MATCH(L$6,'RFM input'!$H$60:$Q$60,0),INDEX('RFM input'!$T$7:$T$56,$A1359,1,1))))</f>
        <v>0</v>
      </c>
      <c r="M1360" s="1417">
        <f>IF(LEFT(M$6,4)&lt;=LEFT('RFM input'!$G$60,4),"enter input",IF(LEFT(M$6,4)&gt;LEFT('RFM input'!$Q$60,4),0,
IF(MATCH(M$6,'RFM input'!$H$60:$Q$60,0),INDEX('RFM input'!$T$7:$T$56,$A1359,1,1))))</f>
        <v>0</v>
      </c>
      <c r="N1360" s="1417">
        <f>IF(LEFT(N$6,4)&lt;=LEFT('RFM input'!$G$60,4),"enter input",IF(LEFT(N$6,4)&gt;LEFT('RFM input'!$Q$60,4),0,
IF(MATCH(N$6,'RFM input'!$H$60:$Q$60,0),INDEX('RFM input'!$T$7:$T$56,$A1359,1,1))))</f>
        <v>0</v>
      </c>
      <c r="O1360" s="1417">
        <f>IF(LEFT(O$6,4)&lt;=LEFT('RFM input'!$G$60,4),"enter input",IF(LEFT(O$6,4)&gt;LEFT('RFM input'!$Q$60,4),0,
IF(MATCH(O$6,'RFM input'!$H$60:$Q$60,0),INDEX('RFM input'!$T$7:$T$56,$A1359,1,1))))</f>
        <v>0</v>
      </c>
      <c r="P1360" s="1417">
        <f>IF(LEFT(P$6,4)&lt;=LEFT('RFM input'!$G$60,4),"enter input",IF(LEFT(P$6,4)&gt;LEFT('RFM input'!$Q$60,4),0,
IF(MATCH(P$6,'RFM input'!$H$60:$Q$60,0),INDEX('RFM input'!$T$7:$T$56,$A1359,1,1))))</f>
        <v>0</v>
      </c>
      <c r="Q1360" s="1417">
        <f>IF(LEFT(Q$6,4)&lt;=LEFT('RFM input'!$G$60,4),"enter input",IF(LEFT(Q$6,4)&gt;LEFT('RFM input'!$Q$60,4),0,
IF(MATCH(Q$6,'RFM input'!$H$60:$Q$60,0),INDEX('RFM input'!$T$7:$T$56,$A1359,1,1))))</f>
        <v>0</v>
      </c>
      <c r="R1360" s="1417">
        <f>IF(LEFT(R$6,4)&lt;=LEFT('RFM input'!$G$60,4),"enter input",IF(LEFT(R$6,4)&gt;LEFT('RFM input'!$Q$60,4),0,
IF(MATCH(R$6,'RFM input'!$H$60:$Q$60,0),INDEX('RFM input'!$T$7:$T$56,$A1359,1,1))))</f>
        <v>0</v>
      </c>
      <c r="S1360" s="1417">
        <f>IF(LEFT(S$6,4)&lt;=LEFT('RFM input'!$G$60,4),"enter input",IF(LEFT(S$6,4)&gt;LEFT('RFM input'!$Q$60,4),0,
IF(MATCH(S$6,'RFM input'!$H$60:$Q$60,0),INDEX('RFM input'!$T$7:$T$56,$A1359,1,1))))</f>
        <v>0</v>
      </c>
      <c r="T1360" s="1417">
        <f>IF(LEFT(T$6,4)&lt;=LEFT('RFM input'!$G$60,4),"enter input",IF(LEFT(T$6,4)&gt;LEFT('RFM input'!$Q$60,4),0,
IF(MATCH(T$6,'RFM input'!$H$60:$Q$60,0),INDEX('RFM input'!$T$7:$T$56,$A1359,1,1))))</f>
        <v>0</v>
      </c>
      <c r="U1360" s="1417">
        <f>IF(LEFT(U$6,4)&lt;=LEFT('RFM input'!$G$60,4),"enter input",IF(LEFT(U$6,4)&gt;LEFT('RFM input'!$Q$60,4),0,
IF(MATCH(U$6,'RFM input'!$H$60:$Q$60,0),INDEX('RFM input'!$T$7:$T$56,$A1359,1,1))))</f>
        <v>0</v>
      </c>
      <c r="V1360" s="1417">
        <f>IF(LEFT(V$6,4)&lt;=LEFT('RFM input'!$G$60,4),"enter input",IF(LEFT(V$6,4)&gt;LEFT('RFM input'!$Q$60,4),0,
IF(MATCH(V$6,'RFM input'!$H$60:$Q$60,0),INDEX('RFM input'!$T$7:$T$56,$A1359,1,1))))</f>
        <v>0</v>
      </c>
      <c r="W1360" s="1417">
        <f>IF(LEFT(W$6,4)&lt;=LEFT('RFM input'!$G$60,4),"enter input",IF(LEFT(W$6,4)&gt;LEFT('RFM input'!$Q$60,4),0,
IF(MATCH(W$6,'RFM input'!$H$60:$Q$60,0),INDEX('RFM input'!$T$7:$T$56,$A1359,1,1))))</f>
        <v>0</v>
      </c>
      <c r="X1360" s="152"/>
      <c r="Y1360" s="152"/>
      <c r="Z1360" s="152"/>
      <c r="AA1360" s="152"/>
      <c r="AB1360" s="152"/>
    </row>
    <row r="1361" spans="1:28">
      <c r="A1361" s="152"/>
      <c r="B1361" s="193" t="s">
        <v>192</v>
      </c>
      <c r="C1361" s="1419"/>
      <c r="D1361" s="1420">
        <f ca="1">IF(LEFT(D$6,4)&lt;=LEFT('RFM input'!$G$60,4),"enter input",IF(LEFT(D$6,4)&gt;LEFT('RFM input'!$Q$60,4),0,
IF(D$6=(OFFSET('RFM input'!$G$60,0,'RFM input'!$V$7)),OFFSET('RFM input'!$H$411,$A1359,0),0)))</f>
        <v>0</v>
      </c>
      <c r="E1361" s="1417">
        <f ca="1">IF(LEFT(E$6,4)&lt;=LEFT('RFM input'!$G$60,4),"enter input",IF(LEFT(E$6,4)&gt;LEFT('RFM input'!$Q$60,4),0,
IF(E$6=(OFFSET('RFM input'!$G$60,0,'RFM input'!$V$7)),OFFSET('RFM input'!$H$411,$A1359,0),0)))</f>
        <v>0</v>
      </c>
      <c r="F1361" s="1417">
        <f ca="1">IF(LEFT(F$6,4)&lt;=LEFT('RFM input'!$G$60,4),"enter input",IF(LEFT(F$6,4)&gt;LEFT('RFM input'!$Q$60,4),0,
IF(F$6=(OFFSET('RFM input'!$G$60,0,'RFM input'!$V$7)),OFFSET('RFM input'!$H$411,$A1359,0),0)))</f>
        <v>0</v>
      </c>
      <c r="G1361" s="1417">
        <f ca="1">IF(LEFT(G$6,4)&lt;=LEFT('RFM input'!$G$60,4),"enter input",IF(LEFT(G$6,4)&gt;LEFT('RFM input'!$Q$60,4),0,
IF(G$6=(OFFSET('RFM input'!$G$60,0,'RFM input'!$V$7)),OFFSET('RFM input'!$H$411,$A1359,0),0)))</f>
        <v>0</v>
      </c>
      <c r="H1361" s="1417">
        <f ca="1">IF(LEFT(H$6,4)&lt;=LEFT('RFM input'!$G$60,4),"enter input",IF(LEFT(H$6,4)&gt;LEFT('RFM input'!$Q$60,4),0,
IF(H$6=(OFFSET('RFM input'!$G$60,0,'RFM input'!$V$7)),OFFSET('RFM input'!$H$411,$A1359,0),0)))</f>
        <v>0</v>
      </c>
      <c r="I1361" s="1417">
        <f ca="1">IF(LEFT(I$6,4)&lt;=LEFT('RFM input'!$G$60,4),"enter input",IF(LEFT(I$6,4)&gt;LEFT('RFM input'!$Q$60,4),0,
IF(I$6=(OFFSET('RFM input'!$G$60,0,'RFM input'!$V$7)),OFFSET('RFM input'!$H$411,$A1359,0),0)))</f>
        <v>0</v>
      </c>
      <c r="J1361" s="1417">
        <f ca="1">IF(LEFT(J$6,4)&lt;=LEFT('RFM input'!$G$60,4),"enter input",IF(LEFT(J$6,4)&gt;LEFT('RFM input'!$Q$60,4),0,
IF(J$6=(OFFSET('RFM input'!$G$60,0,'RFM input'!$V$7)),OFFSET('RFM input'!$H$411,$A1359,0),0)))</f>
        <v>0</v>
      </c>
      <c r="K1361" s="1417">
        <f ca="1">IF(LEFT(K$6,4)&lt;=LEFT('RFM input'!$G$60,4),"enter input",IF(LEFT(K$6,4)&gt;LEFT('RFM input'!$Q$60,4),0,
IF(K$6=(OFFSET('RFM input'!$G$60,0,'RFM input'!$V$7)),OFFSET('RFM input'!$H$411,$A1359,0),0)))</f>
        <v>0</v>
      </c>
      <c r="L1361" s="1417">
        <f ca="1">IF(LEFT(L$6,4)&lt;=LEFT('RFM input'!$G$60,4),"enter input",IF(LEFT(L$6,4)&gt;LEFT('RFM input'!$Q$60,4),0,
IF(L$6=(OFFSET('RFM input'!$G$60,0,'RFM input'!$V$7)),OFFSET('RFM input'!$H$411,$A1359,0),0)))</f>
        <v>0</v>
      </c>
      <c r="M1361" s="1417">
        <f ca="1">IF(LEFT(M$6,4)&lt;=LEFT('RFM input'!$G$60,4),"enter input",IF(LEFT(M$6,4)&gt;LEFT('RFM input'!$Q$60,4),0,
IF(M$6=(OFFSET('RFM input'!$G$60,0,'RFM input'!$V$7)),OFFSET('RFM input'!$H$411,$A1359,0),0)))</f>
        <v>0</v>
      </c>
      <c r="N1361" s="1417">
        <f ca="1">IF(LEFT(N$6,4)&lt;=LEFT('RFM input'!$G$60,4),"enter input",IF(LEFT(N$6,4)&gt;LEFT('RFM input'!$Q$60,4),0,
IF(N$6=(OFFSET('RFM input'!$G$60,0,'RFM input'!$V$7)),OFFSET('RFM input'!$H$411,$A1359,0),0)))</f>
        <v>0</v>
      </c>
      <c r="O1361" s="1417">
        <f ca="1">IF(LEFT(O$6,4)&lt;=LEFT('RFM input'!$G$60,4),"enter input",IF(LEFT(O$6,4)&gt;LEFT('RFM input'!$Q$60,4),0,
IF(O$6=(OFFSET('RFM input'!$G$60,0,'RFM input'!$V$7)),OFFSET('RFM input'!$H$411,$A1359,0),0)))</f>
        <v>0</v>
      </c>
      <c r="P1361" s="1417">
        <f ca="1">IF(LEFT(P$6,4)&lt;=LEFT('RFM input'!$G$60,4),"enter input",IF(LEFT(P$6,4)&gt;LEFT('RFM input'!$Q$60,4),0,
IF(P$6=(OFFSET('RFM input'!$G$60,0,'RFM input'!$V$7)),OFFSET('RFM input'!$H$411,$A1359,0),0)))</f>
        <v>0</v>
      </c>
      <c r="Q1361" s="1417">
        <f ca="1">IF(LEFT(Q$6,4)&lt;=LEFT('RFM input'!$G$60,4),"enter input",IF(LEFT(Q$6,4)&gt;LEFT('RFM input'!$Q$60,4),0,
IF(Q$6=(OFFSET('RFM input'!$G$60,0,'RFM input'!$V$7)),OFFSET('RFM input'!$H$411,$A1359,0),0)))</f>
        <v>0</v>
      </c>
      <c r="R1361" s="1417">
        <f ca="1">IF(LEFT(R$6,4)&lt;=LEFT('RFM input'!$G$60,4),"enter input",IF(LEFT(R$6,4)&gt;LEFT('RFM input'!$Q$60,4),0,
IF(R$6=(OFFSET('RFM input'!$G$60,0,'RFM input'!$V$7)),OFFSET('RFM input'!$H$411,$A1359,0),0)))</f>
        <v>0</v>
      </c>
      <c r="S1361" s="1417">
        <f ca="1">IF(LEFT(S$6,4)&lt;=LEFT('RFM input'!$G$60,4),"enter input",IF(LEFT(S$6,4)&gt;LEFT('RFM input'!$Q$60,4),0,
IF(S$6=(OFFSET('RFM input'!$G$60,0,'RFM input'!$V$7)),OFFSET('RFM input'!$H$411,$A1359,0),0)))</f>
        <v>0</v>
      </c>
      <c r="T1361" s="1417">
        <f ca="1">IF(LEFT(T$6,4)&lt;=LEFT('RFM input'!$G$60,4),"enter input",IF(LEFT(T$6,4)&gt;LEFT('RFM input'!$Q$60,4),0,
IF(T$6=(OFFSET('RFM input'!$G$60,0,'RFM input'!$V$7)),OFFSET('RFM input'!$H$411,$A1359,0),0)))</f>
        <v>0</v>
      </c>
      <c r="U1361" s="1417">
        <f ca="1">IF(LEFT(U$6,4)&lt;=LEFT('RFM input'!$G$60,4),"enter input",IF(LEFT(U$6,4)&gt;LEFT('RFM input'!$Q$60,4),0,
IF(U$6=(OFFSET('RFM input'!$G$60,0,'RFM input'!$V$7)),OFFSET('RFM input'!$H$411,$A1359,0),0)))</f>
        <v>0</v>
      </c>
      <c r="V1361" s="1417">
        <f ca="1">IF(LEFT(V$6,4)&lt;=LEFT('RFM input'!$G$60,4),"enter input",IF(LEFT(V$6,4)&gt;LEFT('RFM input'!$Q$60,4),0,
IF(V$6=(OFFSET('RFM input'!$G$60,0,'RFM input'!$V$7)),OFFSET('RFM input'!$H$411,$A1359,0),0)))</f>
        <v>0</v>
      </c>
      <c r="W1361" s="1417">
        <f ca="1">IF(LEFT(W$6,4)&lt;=LEFT('RFM input'!$G$60,4),"enter input",IF(LEFT(W$6,4)&gt;LEFT('RFM input'!$Q$60,4),0,
IF(W$6=(OFFSET('RFM input'!$G$60,0,'RFM input'!$V$7)),OFFSET('RFM input'!$H$411,$A1359,0),0)))</f>
        <v>0</v>
      </c>
      <c r="X1361" s="152"/>
      <c r="Y1361" s="152"/>
      <c r="Z1361" s="152"/>
      <c r="AA1361" s="152"/>
      <c r="AB1361" s="152"/>
    </row>
    <row r="1362" spans="1:28">
      <c r="A1362" s="152"/>
      <c r="B1362" s="193" t="s">
        <v>200</v>
      </c>
      <c r="C1362" s="1419"/>
      <c r="D1362" s="1418">
        <f ca="1">IF(LEFT(D$6,4)&lt;=LEFT('RFM input'!$G$60,4),"enter input",IF(LEFT(D$6,4)&gt;LEFT('RFM input'!$Q$60,4),0,
IF(D$6=(OFFSET('RFM input'!$G$60,0,'RFM input'!$V$7)),OFFSET('RFM input'!$J$411,$A1359,0),0)))</f>
        <v>0</v>
      </c>
      <c r="E1362" s="1422">
        <f ca="1">IF(LEFT(E$6,4)&lt;=LEFT('RFM input'!$G$60,4),"enter input",IF(LEFT(E$6,4)&gt;LEFT('RFM input'!$Q$60,4),0,
IF(E$6=(OFFSET('RFM input'!$G$60,0,'RFM input'!$V$7)),OFFSET('RFM input'!$J$411,$A1359,0),0)))</f>
        <v>0</v>
      </c>
      <c r="F1362" s="1422">
        <f ca="1">IF(LEFT(F$6,4)&lt;=LEFT('RFM input'!$G$60,4),"enter input",IF(LEFT(F$6,4)&gt;LEFT('RFM input'!$Q$60,4),0,
IF(F$6=(OFFSET('RFM input'!$G$60,0,'RFM input'!$V$7)),OFFSET('RFM input'!$J$411,$A1359,0),0)))</f>
        <v>0</v>
      </c>
      <c r="G1362" s="1422">
        <f ca="1">IF(LEFT(G$6,4)&lt;=LEFT('RFM input'!$G$60,4),"enter input",IF(LEFT(G$6,4)&gt;LEFT('RFM input'!$Q$60,4),0,
IF(G$6=(OFFSET('RFM input'!$G$60,0,'RFM input'!$V$7)),OFFSET('RFM input'!$J$411,$A1359,0),0)))</f>
        <v>0</v>
      </c>
      <c r="H1362" s="1422">
        <f ca="1">IF(LEFT(H$6,4)&lt;=LEFT('RFM input'!$G$60,4),"enter input",IF(LEFT(H$6,4)&gt;LEFT('RFM input'!$Q$60,4),0,
IF(H$6=(OFFSET('RFM input'!$G$60,0,'RFM input'!$V$7)),OFFSET('RFM input'!$J$411,$A1359,0),0)))</f>
        <v>0</v>
      </c>
      <c r="I1362" s="1422">
        <f ca="1">IF(LEFT(I$6,4)&lt;=LEFT('RFM input'!$G$60,4),"enter input",IF(LEFT(I$6,4)&gt;LEFT('RFM input'!$Q$60,4),0,
IF(I$6=(OFFSET('RFM input'!$G$60,0,'RFM input'!$V$7)),OFFSET('RFM input'!$J$411,$A1359,0),0)))</f>
        <v>0</v>
      </c>
      <c r="J1362" s="1422">
        <f ca="1">IF(LEFT(J$6,4)&lt;=LEFT('RFM input'!$G$60,4),"enter input",IF(LEFT(J$6,4)&gt;LEFT('RFM input'!$Q$60,4),0,
IF(J$6=(OFFSET('RFM input'!$G$60,0,'RFM input'!$V$7)),OFFSET('RFM input'!$J$411,$A1359,0),0)))</f>
        <v>0</v>
      </c>
      <c r="K1362" s="1422">
        <f ca="1">IF(LEFT(K$6,4)&lt;=LEFT('RFM input'!$G$60,4),"enter input",IF(LEFT(K$6,4)&gt;LEFT('RFM input'!$Q$60,4),0,
IF(K$6=(OFFSET('RFM input'!$G$60,0,'RFM input'!$V$7)),OFFSET('RFM input'!$J$411,$A1359,0),0)))</f>
        <v>0</v>
      </c>
      <c r="L1362" s="1422">
        <f ca="1">IF(LEFT(L$6,4)&lt;=LEFT('RFM input'!$G$60,4),"enter input",IF(LEFT(L$6,4)&gt;LEFT('RFM input'!$Q$60,4),0,
IF(L$6=(OFFSET('RFM input'!$G$60,0,'RFM input'!$V$7)),OFFSET('RFM input'!$J$411,$A1359,0),0)))</f>
        <v>0</v>
      </c>
      <c r="M1362" s="1422">
        <f ca="1">IF(LEFT(M$6,4)&lt;=LEFT('RFM input'!$G$60,4),"enter input",IF(LEFT(M$6,4)&gt;LEFT('RFM input'!$Q$60,4),0,
IF(M$6=(OFFSET('RFM input'!$G$60,0,'RFM input'!$V$7)),OFFSET('RFM input'!$J$411,$A1359,0),0)))</f>
        <v>0</v>
      </c>
      <c r="N1362" s="1422">
        <f ca="1">IF(LEFT(N$6,4)&lt;=LEFT('RFM input'!$G$60,4),"enter input",IF(LEFT(N$6,4)&gt;LEFT('RFM input'!$Q$60,4),0,
IF(N$6=(OFFSET('RFM input'!$G$60,0,'RFM input'!$V$7)),OFFSET('RFM input'!$J$411,$A1359,0),0)))</f>
        <v>0</v>
      </c>
      <c r="O1362" s="1422">
        <f ca="1">IF(LEFT(O$6,4)&lt;=LEFT('RFM input'!$G$60,4),"enter input",IF(LEFT(O$6,4)&gt;LEFT('RFM input'!$Q$60,4),0,
IF(O$6=(OFFSET('RFM input'!$G$60,0,'RFM input'!$V$7)),OFFSET('RFM input'!$J$411,$A1359,0),0)))</f>
        <v>0</v>
      </c>
      <c r="P1362" s="1422">
        <f ca="1">IF(LEFT(P$6,4)&lt;=LEFT('RFM input'!$G$60,4),"enter input",IF(LEFT(P$6,4)&gt;LEFT('RFM input'!$Q$60,4),0,
IF(P$6=(OFFSET('RFM input'!$G$60,0,'RFM input'!$V$7)),OFFSET('RFM input'!$J$411,$A1359,0),0)))</f>
        <v>0</v>
      </c>
      <c r="Q1362" s="1422">
        <f ca="1">IF(LEFT(Q$6,4)&lt;=LEFT('RFM input'!$G$60,4),"enter input",IF(LEFT(Q$6,4)&gt;LEFT('RFM input'!$Q$60,4),0,
IF(Q$6=(OFFSET('RFM input'!$G$60,0,'RFM input'!$V$7)),OFFSET('RFM input'!$J$411,$A1359,0),0)))</f>
        <v>0</v>
      </c>
      <c r="R1362" s="1422">
        <f ca="1">IF(LEFT(R$6,4)&lt;=LEFT('RFM input'!$G$60,4),"enter input",IF(LEFT(R$6,4)&gt;LEFT('RFM input'!$Q$60,4),0,
IF(R$6=(OFFSET('RFM input'!$G$60,0,'RFM input'!$V$7)),OFFSET('RFM input'!$J$411,$A1359,0),0)))</f>
        <v>0</v>
      </c>
      <c r="S1362" s="1422">
        <f ca="1">IF(LEFT(S$6,4)&lt;=LEFT('RFM input'!$G$60,4),"enter input",IF(LEFT(S$6,4)&gt;LEFT('RFM input'!$Q$60,4),0,
IF(S$6=(OFFSET('RFM input'!$G$60,0,'RFM input'!$V$7)),OFFSET('RFM input'!$J$411,$A1359,0),0)))</f>
        <v>0</v>
      </c>
      <c r="T1362" s="1422">
        <f ca="1">IF(LEFT(T$6,4)&lt;=LEFT('RFM input'!$G$60,4),"enter input",IF(LEFT(T$6,4)&gt;LEFT('RFM input'!$Q$60,4),0,
IF(T$6=(OFFSET('RFM input'!$G$60,0,'RFM input'!$V$7)),OFFSET('RFM input'!$J$411,$A1359,0),0)))</f>
        <v>0</v>
      </c>
      <c r="U1362" s="1422">
        <f ca="1">IF(LEFT(U$6,4)&lt;=LEFT('RFM input'!$G$60,4),"enter input",IF(LEFT(U$6,4)&gt;LEFT('RFM input'!$Q$60,4),0,
IF(U$6=(OFFSET('RFM input'!$G$60,0,'RFM input'!$V$7)),OFFSET('RFM input'!$J$411,$A1359,0),0)))</f>
        <v>0</v>
      </c>
      <c r="V1362" s="1422">
        <f ca="1">IF(LEFT(V$6,4)&lt;=LEFT('RFM input'!$G$60,4),"enter input",IF(LEFT(V$6,4)&gt;LEFT('RFM input'!$Q$60,4),0,
IF(V$6=(OFFSET('RFM input'!$G$60,0,'RFM input'!$V$7)),OFFSET('RFM input'!$J$411,$A1359,0),0)))</f>
        <v>0</v>
      </c>
      <c r="W1362" s="1422">
        <f ca="1">IF(LEFT(W$6,4)&lt;=LEFT('RFM input'!$G$60,4),"enter input",IF(LEFT(W$6,4)&gt;LEFT('RFM input'!$Q$60,4),0,
IF(W$6=(OFFSET('RFM input'!$G$60,0,'RFM input'!$V$7)),OFFSET('RFM input'!$J$411,$A1359,0),0)))</f>
        <v>0</v>
      </c>
      <c r="X1362" s="152"/>
      <c r="Y1362" s="152"/>
      <c r="Z1362" s="152"/>
      <c r="AA1362" s="152"/>
      <c r="AB1362" s="152"/>
    </row>
    <row r="1363" spans="1:28" hidden="1" outlineLevel="1">
      <c r="A1363" s="235">
        <v>-1</v>
      </c>
      <c r="B1363" s="190" t="s">
        <v>195</v>
      </c>
      <c r="C1363" s="1423"/>
      <c r="D1363" s="1423">
        <f t="shared" ref="D1363" ca="1" si="1952">IF(AND(D1361=0,C1363=0),0,
IF(AND(D1361&lt;&gt;0,C1363=0),D1361,
IF(AND(D1362&lt;&gt;0,C1363&lt;&gt;0),(C1363-(C1363/C1387))+D1361,
IF(C1387&lt;1,0,(C1363-(C1363/C1387))))))</f>
        <v>0</v>
      </c>
      <c r="E1363" s="1423">
        <f t="shared" ref="E1363" ca="1" si="1953">IF(AND(E1361=0,D1363=0),0,
IF(AND(E1361&lt;&gt;0,D1363=0),E1361,
IF(AND(E1362&lt;&gt;0,D1363&lt;&gt;0),(D1363-(D1363/D1387))+E1361,
IF(D1387&lt;1,0,(D1363-(D1363/D1387))))))</f>
        <v>0</v>
      </c>
      <c r="F1363" s="1423">
        <f t="shared" ref="F1363" ca="1" si="1954">IF(AND(F1361=0,E1363=0),0,
IF(AND(F1361&lt;&gt;0,E1363=0),F1361,
IF(AND(F1362&lt;&gt;0,E1363&lt;&gt;0),(E1363-(E1363/E1387))+F1361,
IF(E1387&lt;1,0,(E1363-(E1363/E1387))))))</f>
        <v>0</v>
      </c>
      <c r="G1363" s="1423">
        <f t="shared" ref="G1363" ca="1" si="1955">IF(AND(G1361=0,F1363=0),0,
IF(AND(G1361&lt;&gt;0,F1363=0),G1361,
IF(AND(G1362&lt;&gt;0,F1363&lt;&gt;0),(F1363-(F1363/F1387))+G1361,
IF(F1387&lt;1,0,(F1363-(F1363/F1387))))))</f>
        <v>0</v>
      </c>
      <c r="H1363" s="1423">
        <f ca="1">IF(AND(H1361=0,G1363=0),0,
IF(AND(H1361&lt;&gt;0,G1363=0),H1361,
IF(AND(H1362&lt;&gt;0,G1363&lt;&gt;0),(G1363-(G1363/G1387))+H1361,
IF(G1387&lt;1,0,(G1363-(G1363/G1387))))))</f>
        <v>0</v>
      </c>
      <c r="I1363" s="1423">
        <f t="shared" ref="I1363" ca="1" si="1956">IF(AND(I1361=0,H1363=0),0,
IF(AND(I1361&lt;&gt;0,H1363=0),I1361,
IF(AND(I1362&lt;&gt;0,H1363&lt;&gt;0),(H1363-(H1363/H1387))+I1361,
IF(H1387&lt;1,0,(H1363-(H1363/H1387))))))</f>
        <v>0</v>
      </c>
      <c r="J1363" s="1423">
        <f t="shared" ref="J1363" ca="1" si="1957">IF(AND(J1361=0,I1363=0),0,
IF(AND(J1361&lt;&gt;0,I1363=0),J1361,
IF(AND(J1362&lt;&gt;0,I1363&lt;&gt;0),(I1363-(I1363/I1387))+J1361,
IF(I1387&lt;1,0,(I1363-(I1363/I1387))))))</f>
        <v>0</v>
      </c>
      <c r="K1363" s="1423">
        <f t="shared" ref="K1363" ca="1" si="1958">IF(AND(K1361=0,J1363=0),0,
IF(AND(K1361&lt;&gt;0,J1363=0),K1361,
IF(AND(K1362&lt;&gt;0,J1363&lt;&gt;0),(J1363-(J1363/J1387))+K1361,
IF(J1387&lt;1,0,(J1363-(J1363/J1387))))))</f>
        <v>0</v>
      </c>
      <c r="L1363" s="1423">
        <f t="shared" ref="L1363" ca="1" si="1959">IF(AND(L1361=0,K1363=0),0,
IF(AND(L1361&lt;&gt;0,K1363=0),L1361,
IF(AND(L1362&lt;&gt;0,K1363&lt;&gt;0),(K1363-(K1363/K1387))+L1361,
IF(K1387&lt;1,0,(K1363-(K1363/K1387))))))</f>
        <v>0</v>
      </c>
      <c r="M1363" s="1423">
        <f t="shared" ref="M1363" ca="1" si="1960">IF(AND(M1361=0,L1363=0),0,
IF(AND(M1361&lt;&gt;0,L1363=0),M1361,
IF(AND(M1362&lt;&gt;0,L1363&lt;&gt;0),(L1363-(L1363/L1387))+M1361,
IF(L1387&lt;1,0,(L1363-(L1363/L1387))))))</f>
        <v>0</v>
      </c>
      <c r="N1363" s="1423">
        <f t="shared" ref="N1363" ca="1" si="1961">IF(AND(N1361=0,M1363=0),0,
IF(AND(N1361&lt;&gt;0,M1363=0),N1361,
IF(AND(N1362&lt;&gt;0,M1363&lt;&gt;0),(M1363-(M1363/M1387))+N1361,
IF(M1387&lt;1,0,(M1363-(M1363/M1387))))))</f>
        <v>0</v>
      </c>
      <c r="O1363" s="1423">
        <f t="shared" ref="O1363" ca="1" si="1962">IF(AND(O1361=0,N1363=0),0,
IF(AND(O1361&lt;&gt;0,N1363=0),O1361,
IF(AND(O1362&lt;&gt;0,N1363&lt;&gt;0),(N1363-(N1363/N1387))+O1361,
IF(N1387&lt;1,0,(N1363-(N1363/N1387))))))</f>
        <v>0</v>
      </c>
      <c r="P1363" s="1423">
        <f t="shared" ref="P1363" ca="1" si="1963">IF(AND(P1361=0,O1363=0),0,
IF(AND(P1361&lt;&gt;0,O1363=0),P1361,
IF(AND(P1362&lt;&gt;0,O1363&lt;&gt;0),(O1363-(O1363/O1387))+P1361,
IF(O1387&lt;1,0,(O1363-(O1363/O1387))))))</f>
        <v>0</v>
      </c>
      <c r="Q1363" s="1423">
        <f t="shared" ref="Q1363" ca="1" si="1964">IF(AND(Q1361=0,P1363=0),0,
IF(AND(Q1361&lt;&gt;0,P1363=0),Q1361,
IF(AND(Q1362&lt;&gt;0,P1363&lt;&gt;0),(P1363-(P1363/P1387))+Q1361,
IF(P1387&lt;1,0,(P1363-(P1363/P1387))))))</f>
        <v>0</v>
      </c>
      <c r="R1363" s="1423">
        <f t="shared" ref="R1363" ca="1" si="1965">IF(AND(R1361=0,Q1363=0),0,
IF(AND(R1361&lt;&gt;0,Q1363=0),R1361,
IF(AND(R1362&lt;&gt;0,Q1363&lt;&gt;0),(Q1363-(Q1363/Q1387))+R1361,
IF(Q1387&lt;1,0,(Q1363-(Q1363/Q1387))))))</f>
        <v>0</v>
      </c>
      <c r="S1363" s="1423">
        <f t="shared" ref="S1363" ca="1" si="1966">IF(AND(S1361=0,R1363=0),0,
IF(AND(S1361&lt;&gt;0,R1363=0),S1361,
IF(AND(S1362&lt;&gt;0,R1363&lt;&gt;0),(R1363-(R1363/R1387))+S1361,
IF(R1387&lt;1,0,(R1363-(R1363/R1387))))))</f>
        <v>0</v>
      </c>
      <c r="T1363" s="1423">
        <f t="shared" ref="T1363" ca="1" si="1967">IF(AND(T1361=0,S1363=0),0,
IF(AND(T1361&lt;&gt;0,S1363=0),T1361,
IF(AND(T1362&lt;&gt;0,S1363&lt;&gt;0),(S1363-(S1363/S1387))+T1361,
IF(S1387&lt;1,0,(S1363-(S1363/S1387))))))</f>
        <v>0</v>
      </c>
      <c r="U1363" s="1423">
        <f t="shared" ref="U1363" ca="1" si="1968">IF(AND(U1361=0,T1363=0),0,
IF(AND(U1361&lt;&gt;0,T1363=0),U1361,
IF(AND(U1362&lt;&gt;0,T1363&lt;&gt;0),(T1363-(T1363/T1387))+U1361,
IF(T1387&lt;1,0,(T1363-(T1363/T1387))))))</f>
        <v>0</v>
      </c>
      <c r="V1363" s="1423">
        <f t="shared" ref="V1363" ca="1" si="1969">IF(AND(V1361=0,U1363=0),0,
IF(AND(V1361&lt;&gt;0,U1363=0),V1361,
IF(AND(V1362&lt;&gt;0,U1363&lt;&gt;0),(U1363-(U1363/U1387))+V1361,
IF(U1387&lt;1,0,(U1363-(U1363/U1387))))))</f>
        <v>0</v>
      </c>
      <c r="W1363" s="1423">
        <f t="shared" ref="W1363" ca="1" si="1970">IF(AND(W1361=0,V1363=0),0,
IF(AND(W1361&lt;&gt;0,V1363=0),W1361,
IF(AND(W1362&lt;&gt;0,V1363&lt;&gt;0),(V1363-(V1363/V1387))+W1361,
IF(V1387&lt;1,0,(V1363-(V1363/V1387))))))</f>
        <v>0</v>
      </c>
      <c r="X1363" s="152"/>
      <c r="Y1363" s="152"/>
      <c r="Z1363" s="152"/>
      <c r="AA1363" s="152"/>
      <c r="AB1363" s="152"/>
    </row>
    <row r="1364" spans="1:28" hidden="1" outlineLevel="1">
      <c r="A1364" s="199">
        <f>A1363+1</f>
        <v>0</v>
      </c>
      <c r="B1364" s="190" t="s">
        <v>527</v>
      </c>
      <c r="C1364" s="1423">
        <f ca="1">C1359</f>
        <v>0</v>
      </c>
      <c r="D1364" s="1423">
        <f ca="1">IF(C1388="n/a",C1364,IFERROR(IF((OFFSET($C1364,0,$A1364))&lt;0,
MIN(0,C1364-(OFFSET($C1364,0,$A1364)/(OFFSET($C1359,-$A1363,$A1364)))),
MAX(0,C1364-(OFFSET($C1364,0,$A1364)/(OFFSET($C1359,-$A1363,$A1364))))),0))</f>
        <v>0</v>
      </c>
      <c r="E1364" s="1423">
        <f t="shared" ref="E1364" ca="1" si="1971">IF(D1388="n/a",D1364,IFERROR(IF((OFFSET($C1364,0,$A1364))&lt;0,
MIN(0,D1364-(OFFSET($C1364,0,$A1364)/(OFFSET($C1359,-$A1363,$A1364)))),
MAX(0,D1364-(OFFSET($C1364,0,$A1364)/(OFFSET($C1359,-$A1363,$A1364))))),0))</f>
        <v>0</v>
      </c>
      <c r="F1364" s="1423">
        <f t="shared" ref="F1364:F1365" ca="1" si="1972">IF(E1388="n/a",E1364,IFERROR(IF((OFFSET($C1364,0,$A1364))&lt;0,
MIN(0,E1364-(OFFSET($C1364,0,$A1364)/(OFFSET($C1359,-$A1363,$A1364)))),
MAX(0,E1364-(OFFSET($C1364,0,$A1364)/(OFFSET($C1359,-$A1363,$A1364))))),0))</f>
        <v>0</v>
      </c>
      <c r="G1364" s="1423">
        <f t="shared" ref="G1364:G1366" ca="1" si="1973">IF(F1388="n/a",F1364,IFERROR(IF((OFFSET($C1364,0,$A1364))&lt;0,
MIN(0,F1364-(OFFSET($C1364,0,$A1364)/(OFFSET($C1359,-$A1363,$A1364)))),
MAX(0,F1364-(OFFSET($C1364,0,$A1364)/(OFFSET($C1359,-$A1363,$A1364))))),0))</f>
        <v>0</v>
      </c>
      <c r="H1364" s="1423">
        <f t="shared" ref="H1364:H1367" ca="1" si="1974">IF(G1388="n/a",G1364,IFERROR(IF((OFFSET($C1364,0,$A1364))&lt;0,
MIN(0,G1364-(OFFSET($C1364,0,$A1364)/(OFFSET($C1359,-$A1363,$A1364)))),
MAX(0,G1364-(OFFSET($C1364,0,$A1364)/(OFFSET($C1359,-$A1363,$A1364))))),0))</f>
        <v>0</v>
      </c>
      <c r="I1364" s="1423">
        <f t="shared" ref="I1364:I1368" ca="1" si="1975">IF(H1388="n/a",H1364,IFERROR(IF((OFFSET($C1364,0,$A1364))&lt;0,
MIN(0,H1364-(OFFSET($C1364,0,$A1364)/(OFFSET($C1359,-$A1363,$A1364)))),
MAX(0,H1364-(OFFSET($C1364,0,$A1364)/(OFFSET($C1359,-$A1363,$A1364))))),0))</f>
        <v>0</v>
      </c>
      <c r="J1364" s="1423">
        <f t="shared" ref="J1364:J1369" ca="1" si="1976">IF(I1388="n/a",I1364,IFERROR(IF((OFFSET($C1364,0,$A1364))&lt;0,
MIN(0,I1364-(OFFSET($C1364,0,$A1364)/(OFFSET($C1359,-$A1363,$A1364)))),
MAX(0,I1364-(OFFSET($C1364,0,$A1364)/(OFFSET($C1359,-$A1363,$A1364))))),0))</f>
        <v>0</v>
      </c>
      <c r="K1364" s="1423">
        <f t="shared" ref="K1364:K1370" ca="1" si="1977">IF(J1388="n/a",J1364,IFERROR(IF((OFFSET($C1364,0,$A1364))&lt;0,
MIN(0,J1364-(OFFSET($C1364,0,$A1364)/(OFFSET($C1359,-$A1363,$A1364)))),
MAX(0,J1364-(OFFSET($C1364,0,$A1364)/(OFFSET($C1359,-$A1363,$A1364))))),0))</f>
        <v>0</v>
      </c>
      <c r="L1364" s="1423">
        <f t="shared" ref="L1364:L1371" ca="1" si="1978">IF(K1388="n/a",K1364,IFERROR(IF((OFFSET($C1364,0,$A1364))&lt;0,
MIN(0,K1364-(OFFSET($C1364,0,$A1364)/(OFFSET($C1359,-$A1363,$A1364)))),
MAX(0,K1364-(OFFSET($C1364,0,$A1364)/(OFFSET($C1359,-$A1363,$A1364))))),0))</f>
        <v>0</v>
      </c>
      <c r="M1364" s="1423">
        <f t="shared" ref="M1364:M1372" ca="1" si="1979">IF(L1388="n/a",L1364,IFERROR(IF((OFFSET($C1364,0,$A1364))&lt;0,
MIN(0,L1364-(OFFSET($C1364,0,$A1364)/(OFFSET($C1359,-$A1363,$A1364)))),
MAX(0,L1364-(OFFSET($C1364,0,$A1364)/(OFFSET($C1359,-$A1363,$A1364))))),0))</f>
        <v>0</v>
      </c>
      <c r="N1364" s="1423">
        <f t="shared" ref="N1364:N1373" ca="1" si="1980">IF(M1388="n/a",M1364,IFERROR(IF((OFFSET($C1364,0,$A1364))&lt;0,
MIN(0,M1364-(OFFSET($C1364,0,$A1364)/(OFFSET($C1359,-$A1363,$A1364)))),
MAX(0,M1364-(OFFSET($C1364,0,$A1364)/(OFFSET($C1359,-$A1363,$A1364))))),0))</f>
        <v>0</v>
      </c>
      <c r="O1364" s="1423">
        <f t="shared" ref="O1364:O1374" ca="1" si="1981">IF(N1388="n/a",N1364,IFERROR(IF((OFFSET($C1364,0,$A1364))&lt;0,
MIN(0,N1364-(OFFSET($C1364,0,$A1364)/(OFFSET($C1359,-$A1363,$A1364)))),
MAX(0,N1364-(OFFSET($C1364,0,$A1364)/(OFFSET($C1359,-$A1363,$A1364))))),0))</f>
        <v>0</v>
      </c>
      <c r="P1364" s="1423">
        <f t="shared" ref="P1364:P1375" ca="1" si="1982">IF(O1388="n/a",O1364,IFERROR(IF((OFFSET($C1364,0,$A1364))&lt;0,
MIN(0,O1364-(OFFSET($C1364,0,$A1364)/(OFFSET($C1359,-$A1363,$A1364)))),
MAX(0,O1364-(OFFSET($C1364,0,$A1364)/(OFFSET($C1359,-$A1363,$A1364))))),0))</f>
        <v>0</v>
      </c>
      <c r="Q1364" s="1423">
        <f t="shared" ref="Q1364:Q1376" ca="1" si="1983">IF(P1388="n/a",P1364,IFERROR(IF((OFFSET($C1364,0,$A1364))&lt;0,
MIN(0,P1364-(OFFSET($C1364,0,$A1364)/(OFFSET($C1359,-$A1363,$A1364)))),
MAX(0,P1364-(OFFSET($C1364,0,$A1364)/(OFFSET($C1359,-$A1363,$A1364))))),0))</f>
        <v>0</v>
      </c>
      <c r="R1364" s="1423">
        <f t="shared" ref="R1364:R1377" ca="1" si="1984">IF(Q1388="n/a",Q1364,IFERROR(IF((OFFSET($C1364,0,$A1364))&lt;0,
MIN(0,Q1364-(OFFSET($C1364,0,$A1364)/(OFFSET($C1359,-$A1363,$A1364)))),
MAX(0,Q1364-(OFFSET($C1364,0,$A1364)/(OFFSET($C1359,-$A1363,$A1364))))),0))</f>
        <v>0</v>
      </c>
      <c r="S1364" s="1423">
        <f t="shared" ref="S1364:S1378" ca="1" si="1985">IF(R1388="n/a",R1364,IFERROR(IF((OFFSET($C1364,0,$A1364))&lt;0,
MIN(0,R1364-(OFFSET($C1364,0,$A1364)/(OFFSET($C1359,-$A1363,$A1364)))),
MAX(0,R1364-(OFFSET($C1364,0,$A1364)/(OFFSET($C1359,-$A1363,$A1364))))),0))</f>
        <v>0</v>
      </c>
      <c r="T1364" s="1423">
        <f t="shared" ref="T1364:T1379" ca="1" si="1986">IF(S1388="n/a",S1364,IFERROR(IF((OFFSET($C1364,0,$A1364))&lt;0,
MIN(0,S1364-(OFFSET($C1364,0,$A1364)/(OFFSET($C1359,-$A1363,$A1364)))),
MAX(0,S1364-(OFFSET($C1364,0,$A1364)/(OFFSET($C1359,-$A1363,$A1364))))),0))</f>
        <v>0</v>
      </c>
      <c r="U1364" s="1423">
        <f t="shared" ref="U1364:U1380" ca="1" si="1987">IF(T1388="n/a",T1364,IFERROR(IF((OFFSET($C1364,0,$A1364))&lt;0,
MIN(0,T1364-(OFFSET($C1364,0,$A1364)/(OFFSET($C1359,-$A1363,$A1364)))),
MAX(0,T1364-(OFFSET($C1364,0,$A1364)/(OFFSET($C1359,-$A1363,$A1364))))),0))</f>
        <v>0</v>
      </c>
      <c r="V1364" s="1423">
        <f t="shared" ref="V1364:V1381" ca="1" si="1988">IF(U1388="n/a",U1364,IFERROR(IF((OFFSET($C1364,0,$A1364))&lt;0,
MIN(0,U1364-(OFFSET($C1364,0,$A1364)/(OFFSET($C1359,-$A1363,$A1364)))),
MAX(0,U1364-(OFFSET($C1364,0,$A1364)/(OFFSET($C1359,-$A1363,$A1364))))),0))</f>
        <v>0</v>
      </c>
      <c r="W1364" s="1423">
        <f t="shared" ref="W1364:W1382" ca="1" si="1989">IF(V1388="n/a",V1364,IFERROR(IF((OFFSET($C1364,0,$A1364))&lt;0,
MIN(0,V1364-(OFFSET($C1364,0,$A1364)/(OFFSET($C1359,-$A1363,$A1364)))),
MAX(0,V1364-(OFFSET($C1364,0,$A1364)/(OFFSET($C1359,-$A1363,$A1364))))),0))</f>
        <v>0</v>
      </c>
      <c r="X1364" s="152"/>
      <c r="Y1364" s="152"/>
      <c r="Z1364" s="152"/>
      <c r="AA1364" s="152"/>
      <c r="AB1364" s="152"/>
    </row>
    <row r="1365" spans="1:28" hidden="1" outlineLevel="1">
      <c r="A1365" s="199">
        <f t="shared" ref="A1365:A1384" si="1990">A1364+1</f>
        <v>1</v>
      </c>
      <c r="B1365" s="190" t="str">
        <f t="shared" ref="B1365:B1384" ca="1" si="1991">"Depreciated Net Capex "&amp;OFFSET($C$6,0,A1365)</f>
        <v>Depreciated Net Capex 2016-17</v>
      </c>
      <c r="C1365" s="1424"/>
      <c r="D1365" s="1425">
        <f>D1359</f>
        <v>0</v>
      </c>
      <c r="E1365" s="1423">
        <f ca="1">IF(D1389="n/a",D1365,IFERROR(IF((OFFSET($C1365,0,$A1365))&lt;0,
MIN(0,D1365-(OFFSET($C1365,0,$A1365)/(OFFSET($C1360,-$A1364,$A1365)))),
MAX(0,D1365-(OFFSET($C1365,0,$A1365)/(OFFSET($C1360,-$A1364,$A1365))))),0))</f>
        <v>0</v>
      </c>
      <c r="F1365" s="1423">
        <f t="shared" ca="1" si="1972"/>
        <v>0</v>
      </c>
      <c r="G1365" s="1423">
        <f t="shared" ca="1" si="1973"/>
        <v>0</v>
      </c>
      <c r="H1365" s="1423">
        <f t="shared" ca="1" si="1974"/>
        <v>0</v>
      </c>
      <c r="I1365" s="1423">
        <f t="shared" ca="1" si="1975"/>
        <v>0</v>
      </c>
      <c r="J1365" s="1423">
        <f t="shared" ca="1" si="1976"/>
        <v>0</v>
      </c>
      <c r="K1365" s="1423">
        <f t="shared" ca="1" si="1977"/>
        <v>0</v>
      </c>
      <c r="L1365" s="1423">
        <f t="shared" ca="1" si="1978"/>
        <v>0</v>
      </c>
      <c r="M1365" s="1423">
        <f t="shared" ca="1" si="1979"/>
        <v>0</v>
      </c>
      <c r="N1365" s="1423">
        <f t="shared" ca="1" si="1980"/>
        <v>0</v>
      </c>
      <c r="O1365" s="1423">
        <f t="shared" ca="1" si="1981"/>
        <v>0</v>
      </c>
      <c r="P1365" s="1423">
        <f t="shared" ca="1" si="1982"/>
        <v>0</v>
      </c>
      <c r="Q1365" s="1423">
        <f t="shared" ca="1" si="1983"/>
        <v>0</v>
      </c>
      <c r="R1365" s="1423">
        <f t="shared" ca="1" si="1984"/>
        <v>0</v>
      </c>
      <c r="S1365" s="1423">
        <f t="shared" ca="1" si="1985"/>
        <v>0</v>
      </c>
      <c r="T1365" s="1423">
        <f t="shared" ca="1" si="1986"/>
        <v>0</v>
      </c>
      <c r="U1365" s="1423">
        <f t="shared" ca="1" si="1987"/>
        <v>0</v>
      </c>
      <c r="V1365" s="1423">
        <f t="shared" ca="1" si="1988"/>
        <v>0</v>
      </c>
      <c r="W1365" s="1423">
        <f t="shared" ca="1" si="1989"/>
        <v>0</v>
      </c>
      <c r="X1365" s="152"/>
      <c r="Y1365" s="152"/>
      <c r="Z1365" s="152"/>
      <c r="AA1365" s="152"/>
      <c r="AB1365" s="152"/>
    </row>
    <row r="1366" spans="1:28" hidden="1" outlineLevel="1">
      <c r="A1366" s="199">
        <f t="shared" si="1990"/>
        <v>2</v>
      </c>
      <c r="B1366" s="190" t="str">
        <f t="shared" ca="1" si="1991"/>
        <v>Depreciated Net Capex 2017-18</v>
      </c>
      <c r="C1366" s="1426"/>
      <c r="D1366" s="1427"/>
      <c r="E1366" s="1425">
        <f>E1359</f>
        <v>0</v>
      </c>
      <c r="F1366" s="1423">
        <f ca="1">IF(E1390="n/a",E1366,IFERROR(IF((OFFSET($C1366,0,$A1366))&lt;0,
MIN(0,E1366-(OFFSET($C1366,0,$A1366)/(OFFSET($C1361,-$A1365,$A1366)))),
MAX(0,E1366-(OFFSET($C1366,0,$A1366)/(OFFSET($C1361,-$A1365,$A1366))))),0))</f>
        <v>0</v>
      </c>
      <c r="G1366" s="1423">
        <f t="shared" ca="1" si="1973"/>
        <v>0</v>
      </c>
      <c r="H1366" s="1423">
        <f t="shared" ca="1" si="1974"/>
        <v>0</v>
      </c>
      <c r="I1366" s="1423">
        <f t="shared" ca="1" si="1975"/>
        <v>0</v>
      </c>
      <c r="J1366" s="1423">
        <f t="shared" ca="1" si="1976"/>
        <v>0</v>
      </c>
      <c r="K1366" s="1423">
        <f t="shared" ca="1" si="1977"/>
        <v>0</v>
      </c>
      <c r="L1366" s="1423">
        <f t="shared" ca="1" si="1978"/>
        <v>0</v>
      </c>
      <c r="M1366" s="1423">
        <f t="shared" ca="1" si="1979"/>
        <v>0</v>
      </c>
      <c r="N1366" s="1423">
        <f t="shared" ca="1" si="1980"/>
        <v>0</v>
      </c>
      <c r="O1366" s="1423">
        <f t="shared" ca="1" si="1981"/>
        <v>0</v>
      </c>
      <c r="P1366" s="1423">
        <f t="shared" ca="1" si="1982"/>
        <v>0</v>
      </c>
      <c r="Q1366" s="1423">
        <f t="shared" ca="1" si="1983"/>
        <v>0</v>
      </c>
      <c r="R1366" s="1423">
        <f t="shared" ca="1" si="1984"/>
        <v>0</v>
      </c>
      <c r="S1366" s="1423">
        <f t="shared" ca="1" si="1985"/>
        <v>0</v>
      </c>
      <c r="T1366" s="1423">
        <f t="shared" ca="1" si="1986"/>
        <v>0</v>
      </c>
      <c r="U1366" s="1423">
        <f t="shared" ca="1" si="1987"/>
        <v>0</v>
      </c>
      <c r="V1366" s="1423">
        <f t="shared" ca="1" si="1988"/>
        <v>0</v>
      </c>
      <c r="W1366" s="1423">
        <f t="shared" ca="1" si="1989"/>
        <v>0</v>
      </c>
      <c r="X1366" s="202"/>
      <c r="Y1366" s="152"/>
      <c r="Z1366" s="152"/>
      <c r="AA1366" s="152"/>
      <c r="AB1366" s="152"/>
    </row>
    <row r="1367" spans="1:28" hidden="1" outlineLevel="1">
      <c r="A1367" s="199">
        <f t="shared" si="1990"/>
        <v>3</v>
      </c>
      <c r="B1367" s="190" t="str">
        <f t="shared" ca="1" si="1991"/>
        <v>Depreciated Net Capex 2018-19</v>
      </c>
      <c r="C1367" s="1426"/>
      <c r="D1367" s="1426"/>
      <c r="E1367" s="1427"/>
      <c r="F1367" s="1428">
        <f>F1359</f>
        <v>0</v>
      </c>
      <c r="G1367" s="1423">
        <f ca="1">IF(F1391="n/a",F1367,IFERROR(IF((OFFSET($C1367,0,$A1367))&lt;0,
MIN(0,F1367-(OFFSET($C1367,0,$A1367)/(OFFSET($C1362,-$A1366,$A1367)))),
MAX(0,F1367-(OFFSET($C1367,0,$A1367)/(OFFSET($C1362,-$A1366,$A1367))))),0))</f>
        <v>0</v>
      </c>
      <c r="H1367" s="1423">
        <f t="shared" ca="1" si="1974"/>
        <v>0</v>
      </c>
      <c r="I1367" s="1423">
        <f t="shared" ca="1" si="1975"/>
        <v>0</v>
      </c>
      <c r="J1367" s="1423">
        <f t="shared" ca="1" si="1976"/>
        <v>0</v>
      </c>
      <c r="K1367" s="1423">
        <f t="shared" ca="1" si="1977"/>
        <v>0</v>
      </c>
      <c r="L1367" s="1423">
        <f t="shared" ca="1" si="1978"/>
        <v>0</v>
      </c>
      <c r="M1367" s="1423">
        <f t="shared" ca="1" si="1979"/>
        <v>0</v>
      </c>
      <c r="N1367" s="1423">
        <f t="shared" ca="1" si="1980"/>
        <v>0</v>
      </c>
      <c r="O1367" s="1423">
        <f t="shared" ca="1" si="1981"/>
        <v>0</v>
      </c>
      <c r="P1367" s="1423">
        <f t="shared" ca="1" si="1982"/>
        <v>0</v>
      </c>
      <c r="Q1367" s="1423">
        <f t="shared" ca="1" si="1983"/>
        <v>0</v>
      </c>
      <c r="R1367" s="1423">
        <f t="shared" ca="1" si="1984"/>
        <v>0</v>
      </c>
      <c r="S1367" s="1423">
        <f t="shared" ca="1" si="1985"/>
        <v>0</v>
      </c>
      <c r="T1367" s="1423">
        <f t="shared" ca="1" si="1986"/>
        <v>0</v>
      </c>
      <c r="U1367" s="1423">
        <f t="shared" ca="1" si="1987"/>
        <v>0</v>
      </c>
      <c r="V1367" s="1423">
        <f t="shared" ca="1" si="1988"/>
        <v>0</v>
      </c>
      <c r="W1367" s="1423">
        <f t="shared" ca="1" si="1989"/>
        <v>0</v>
      </c>
      <c r="X1367" s="202"/>
      <c r="Y1367" s="202"/>
      <c r="Z1367" s="152"/>
      <c r="AA1367" s="152"/>
      <c r="AB1367" s="152"/>
    </row>
    <row r="1368" spans="1:28" hidden="1" outlineLevel="1">
      <c r="A1368" s="199">
        <f t="shared" si="1990"/>
        <v>4</v>
      </c>
      <c r="B1368" s="190" t="str">
        <f t="shared" ca="1" si="1991"/>
        <v>Depreciated Net Capex 2019-20</v>
      </c>
      <c r="C1368" s="1426"/>
      <c r="D1368" s="1426"/>
      <c r="E1368" s="1426"/>
      <c r="F1368" s="1427"/>
      <c r="G1368" s="1428">
        <f>G1359</f>
        <v>0</v>
      </c>
      <c r="H1368" s="1423">
        <f ca="1">IF(G1392="n/a",G1368,IFERROR(IF((OFFSET($C1368,0,$A1368))&lt;0,
MIN(0,G1368-(OFFSET($C1368,0,$A1368)/(OFFSET($C1363,-$A1367,$A1368)))),
MAX(0,G1368-(OFFSET($C1368,0,$A1368)/(OFFSET($C1363,-$A1367,$A1368))))),0))</f>
        <v>0</v>
      </c>
      <c r="I1368" s="1423">
        <f t="shared" ca="1" si="1975"/>
        <v>0</v>
      </c>
      <c r="J1368" s="1423">
        <f t="shared" ca="1" si="1976"/>
        <v>0</v>
      </c>
      <c r="K1368" s="1423">
        <f t="shared" ca="1" si="1977"/>
        <v>0</v>
      </c>
      <c r="L1368" s="1423">
        <f t="shared" ca="1" si="1978"/>
        <v>0</v>
      </c>
      <c r="M1368" s="1423">
        <f t="shared" ca="1" si="1979"/>
        <v>0</v>
      </c>
      <c r="N1368" s="1423">
        <f t="shared" ca="1" si="1980"/>
        <v>0</v>
      </c>
      <c r="O1368" s="1423">
        <f t="shared" ca="1" si="1981"/>
        <v>0</v>
      </c>
      <c r="P1368" s="1423">
        <f t="shared" ca="1" si="1982"/>
        <v>0</v>
      </c>
      <c r="Q1368" s="1423">
        <f t="shared" ca="1" si="1983"/>
        <v>0</v>
      </c>
      <c r="R1368" s="1423">
        <f t="shared" ca="1" si="1984"/>
        <v>0</v>
      </c>
      <c r="S1368" s="1423">
        <f t="shared" ca="1" si="1985"/>
        <v>0</v>
      </c>
      <c r="T1368" s="1423">
        <f t="shared" ca="1" si="1986"/>
        <v>0</v>
      </c>
      <c r="U1368" s="1423">
        <f t="shared" ca="1" si="1987"/>
        <v>0</v>
      </c>
      <c r="V1368" s="1423">
        <f t="shared" ca="1" si="1988"/>
        <v>0</v>
      </c>
      <c r="W1368" s="1423">
        <f t="shared" ca="1" si="1989"/>
        <v>0</v>
      </c>
      <c r="X1368" s="202"/>
      <c r="Y1368" s="202"/>
      <c r="Z1368" s="202"/>
      <c r="AA1368" s="152"/>
      <c r="AB1368" s="152"/>
    </row>
    <row r="1369" spans="1:28" hidden="1" outlineLevel="1">
      <c r="A1369" s="199">
        <f t="shared" si="1990"/>
        <v>5</v>
      </c>
      <c r="B1369" s="190" t="str">
        <f t="shared" ca="1" si="1991"/>
        <v>Depreciated Net Capex 2020-21</v>
      </c>
      <c r="C1369" s="1426"/>
      <c r="D1369" s="1426"/>
      <c r="E1369" s="1426"/>
      <c r="F1369" s="1426"/>
      <c r="G1369" s="1427"/>
      <c r="H1369" s="1428">
        <f>H1359</f>
        <v>0</v>
      </c>
      <c r="I1369" s="1423">
        <f ca="1">IF(H1393="n/a",H1369,IFERROR(IF((OFFSET($C1369,0,$A1369))&lt;0,
MIN(0,H1369-(OFFSET($C1369,0,$A1369)/(OFFSET($C1364,-$A1368,$A1369)))),
MAX(0,H1369-(OFFSET($C1369,0,$A1369)/(OFFSET($C1364,-$A1368,$A1369))))),0))</f>
        <v>0</v>
      </c>
      <c r="J1369" s="1423">
        <f t="shared" ca="1" si="1976"/>
        <v>0</v>
      </c>
      <c r="K1369" s="1423">
        <f t="shared" ca="1" si="1977"/>
        <v>0</v>
      </c>
      <c r="L1369" s="1423">
        <f t="shared" ca="1" si="1978"/>
        <v>0</v>
      </c>
      <c r="M1369" s="1423">
        <f t="shared" ca="1" si="1979"/>
        <v>0</v>
      </c>
      <c r="N1369" s="1423">
        <f t="shared" ca="1" si="1980"/>
        <v>0</v>
      </c>
      <c r="O1369" s="1423">
        <f t="shared" ca="1" si="1981"/>
        <v>0</v>
      </c>
      <c r="P1369" s="1423">
        <f t="shared" ca="1" si="1982"/>
        <v>0</v>
      </c>
      <c r="Q1369" s="1423">
        <f t="shared" ca="1" si="1983"/>
        <v>0</v>
      </c>
      <c r="R1369" s="1423">
        <f t="shared" ca="1" si="1984"/>
        <v>0</v>
      </c>
      <c r="S1369" s="1423">
        <f t="shared" ca="1" si="1985"/>
        <v>0</v>
      </c>
      <c r="T1369" s="1423">
        <f t="shared" ca="1" si="1986"/>
        <v>0</v>
      </c>
      <c r="U1369" s="1423">
        <f t="shared" ca="1" si="1987"/>
        <v>0</v>
      </c>
      <c r="V1369" s="1423">
        <f t="shared" ca="1" si="1988"/>
        <v>0</v>
      </c>
      <c r="W1369" s="1423">
        <f t="shared" ca="1" si="1989"/>
        <v>0</v>
      </c>
      <c r="X1369" s="202"/>
      <c r="Y1369" s="202"/>
      <c r="Z1369" s="202"/>
      <c r="AA1369" s="152"/>
      <c r="AB1369" s="152"/>
    </row>
    <row r="1370" spans="1:28" hidden="1" outlineLevel="1">
      <c r="A1370" s="199">
        <f t="shared" si="1990"/>
        <v>6</v>
      </c>
      <c r="B1370" s="190" t="str">
        <f t="shared" ca="1" si="1991"/>
        <v>Depreciated Net Capex 2021-22</v>
      </c>
      <c r="C1370" s="1426"/>
      <c r="D1370" s="1426"/>
      <c r="E1370" s="1426"/>
      <c r="F1370" s="1426"/>
      <c r="G1370" s="1426"/>
      <c r="H1370" s="1427"/>
      <c r="I1370" s="1428">
        <f>I1359</f>
        <v>0</v>
      </c>
      <c r="J1370" s="1423">
        <f ca="1">IF(I1394="n/a",I1370,IFERROR(IF((OFFSET($C1370,0,$A1370))&lt;0,
MIN(0,I1370-(OFFSET($C1370,0,$A1370)/(OFFSET($C1365,-$A1369,$A1370)))),
MAX(0,I1370-(OFFSET($C1370,0,$A1370)/(OFFSET($C1365,-$A1369,$A1370))))),0))</f>
        <v>0</v>
      </c>
      <c r="K1370" s="1423">
        <f t="shared" ca="1" si="1977"/>
        <v>0</v>
      </c>
      <c r="L1370" s="1423">
        <f t="shared" ca="1" si="1978"/>
        <v>0</v>
      </c>
      <c r="M1370" s="1423">
        <f t="shared" ca="1" si="1979"/>
        <v>0</v>
      </c>
      <c r="N1370" s="1423">
        <f t="shared" ca="1" si="1980"/>
        <v>0</v>
      </c>
      <c r="O1370" s="1423">
        <f t="shared" ca="1" si="1981"/>
        <v>0</v>
      </c>
      <c r="P1370" s="1423">
        <f t="shared" ca="1" si="1982"/>
        <v>0</v>
      </c>
      <c r="Q1370" s="1423">
        <f t="shared" ca="1" si="1983"/>
        <v>0</v>
      </c>
      <c r="R1370" s="1423">
        <f t="shared" ca="1" si="1984"/>
        <v>0</v>
      </c>
      <c r="S1370" s="1423">
        <f t="shared" ca="1" si="1985"/>
        <v>0</v>
      </c>
      <c r="T1370" s="1423">
        <f t="shared" ca="1" si="1986"/>
        <v>0</v>
      </c>
      <c r="U1370" s="1423">
        <f t="shared" ca="1" si="1987"/>
        <v>0</v>
      </c>
      <c r="V1370" s="1423">
        <f t="shared" ca="1" si="1988"/>
        <v>0</v>
      </c>
      <c r="W1370" s="1423">
        <f t="shared" ca="1" si="1989"/>
        <v>0</v>
      </c>
      <c r="X1370" s="202"/>
      <c r="Y1370" s="202"/>
      <c r="Z1370" s="202"/>
      <c r="AA1370" s="152"/>
      <c r="AB1370" s="152"/>
    </row>
    <row r="1371" spans="1:28" hidden="1" outlineLevel="1">
      <c r="A1371" s="199">
        <f t="shared" si="1990"/>
        <v>7</v>
      </c>
      <c r="B1371" s="190" t="str">
        <f t="shared" ca="1" si="1991"/>
        <v>Depreciated Net Capex 2022-23</v>
      </c>
      <c r="C1371" s="1426"/>
      <c r="D1371" s="1426"/>
      <c r="E1371" s="1426"/>
      <c r="F1371" s="1426"/>
      <c r="G1371" s="1426"/>
      <c r="H1371" s="1426"/>
      <c r="I1371" s="1427"/>
      <c r="J1371" s="1428">
        <f>J1359</f>
        <v>0</v>
      </c>
      <c r="K1371" s="1423">
        <f ca="1">IF(J1395="n/a",J1371,IFERROR(IF((OFFSET($C1371,0,$A1371))&lt;0,
MIN(0,J1371-(OFFSET($C1371,0,$A1371)/(OFFSET($C1366,-$A1370,$A1371)))),
MAX(0,J1371-(OFFSET($C1371,0,$A1371)/(OFFSET($C1366,-$A1370,$A1371))))),0))</f>
        <v>0</v>
      </c>
      <c r="L1371" s="1423">
        <f t="shared" ca="1" si="1978"/>
        <v>0</v>
      </c>
      <c r="M1371" s="1423">
        <f t="shared" ca="1" si="1979"/>
        <v>0</v>
      </c>
      <c r="N1371" s="1423">
        <f t="shared" ca="1" si="1980"/>
        <v>0</v>
      </c>
      <c r="O1371" s="1423">
        <f t="shared" ca="1" si="1981"/>
        <v>0</v>
      </c>
      <c r="P1371" s="1423">
        <f t="shared" ca="1" si="1982"/>
        <v>0</v>
      </c>
      <c r="Q1371" s="1423">
        <f t="shared" ca="1" si="1983"/>
        <v>0</v>
      </c>
      <c r="R1371" s="1423">
        <f t="shared" ca="1" si="1984"/>
        <v>0</v>
      </c>
      <c r="S1371" s="1423">
        <f t="shared" ca="1" si="1985"/>
        <v>0</v>
      </c>
      <c r="T1371" s="1423">
        <f t="shared" ca="1" si="1986"/>
        <v>0</v>
      </c>
      <c r="U1371" s="1423">
        <f t="shared" ca="1" si="1987"/>
        <v>0</v>
      </c>
      <c r="V1371" s="1423">
        <f t="shared" ca="1" si="1988"/>
        <v>0</v>
      </c>
      <c r="W1371" s="1423">
        <f t="shared" ca="1" si="1989"/>
        <v>0</v>
      </c>
      <c r="X1371" s="202"/>
      <c r="Y1371" s="202"/>
      <c r="Z1371" s="202"/>
      <c r="AA1371" s="152"/>
      <c r="AB1371" s="152"/>
    </row>
    <row r="1372" spans="1:28" hidden="1" outlineLevel="1">
      <c r="A1372" s="199">
        <f t="shared" si="1990"/>
        <v>8</v>
      </c>
      <c r="B1372" s="190" t="str">
        <f t="shared" ca="1" si="1991"/>
        <v>Depreciated Net Capex 2023-24</v>
      </c>
      <c r="C1372" s="1426"/>
      <c r="D1372" s="1426"/>
      <c r="E1372" s="1426"/>
      <c r="F1372" s="1426"/>
      <c r="G1372" s="1426"/>
      <c r="H1372" s="1426"/>
      <c r="I1372" s="1426"/>
      <c r="J1372" s="1427"/>
      <c r="K1372" s="1428">
        <f>K1359</f>
        <v>0</v>
      </c>
      <c r="L1372" s="1423">
        <f ca="1">IF(K1396="n/a",K1372,IFERROR(IF((OFFSET($C1372,0,$A1372))&lt;0,
MIN(0,K1372-(OFFSET($C1372,0,$A1372)/(OFFSET($C1367,-$A1371,$A1372)))),
MAX(0,K1372-(OFFSET($C1372,0,$A1372)/(OFFSET($C1367,-$A1371,$A1372))))),0))</f>
        <v>0</v>
      </c>
      <c r="M1372" s="1423">
        <f t="shared" ca="1" si="1979"/>
        <v>0</v>
      </c>
      <c r="N1372" s="1423">
        <f t="shared" ca="1" si="1980"/>
        <v>0</v>
      </c>
      <c r="O1372" s="1423">
        <f t="shared" ca="1" si="1981"/>
        <v>0</v>
      </c>
      <c r="P1372" s="1423">
        <f t="shared" ca="1" si="1982"/>
        <v>0</v>
      </c>
      <c r="Q1372" s="1423">
        <f t="shared" ca="1" si="1983"/>
        <v>0</v>
      </c>
      <c r="R1372" s="1423">
        <f t="shared" ca="1" si="1984"/>
        <v>0</v>
      </c>
      <c r="S1372" s="1423">
        <f t="shared" ca="1" si="1985"/>
        <v>0</v>
      </c>
      <c r="T1372" s="1423">
        <f t="shared" ca="1" si="1986"/>
        <v>0</v>
      </c>
      <c r="U1372" s="1423">
        <f t="shared" ca="1" si="1987"/>
        <v>0</v>
      </c>
      <c r="V1372" s="1423">
        <f t="shared" ca="1" si="1988"/>
        <v>0</v>
      </c>
      <c r="W1372" s="1423">
        <f t="shared" ca="1" si="1989"/>
        <v>0</v>
      </c>
      <c r="X1372" s="202"/>
      <c r="Y1372" s="202"/>
      <c r="Z1372" s="202"/>
      <c r="AA1372" s="152"/>
      <c r="AB1372" s="152"/>
    </row>
    <row r="1373" spans="1:28" hidden="1" outlineLevel="1">
      <c r="A1373" s="199">
        <f t="shared" si="1990"/>
        <v>9</v>
      </c>
      <c r="B1373" s="190" t="str">
        <f t="shared" ca="1" si="1991"/>
        <v>Depreciated Net Capex 2024-25</v>
      </c>
      <c r="C1373" s="1426"/>
      <c r="D1373" s="1426"/>
      <c r="E1373" s="1426"/>
      <c r="F1373" s="1426"/>
      <c r="G1373" s="1426"/>
      <c r="H1373" s="1426"/>
      <c r="I1373" s="1426"/>
      <c r="J1373" s="1426"/>
      <c r="K1373" s="1427"/>
      <c r="L1373" s="1428">
        <f>L1359</f>
        <v>0</v>
      </c>
      <c r="M1373" s="1423">
        <f ca="1">IF(L1397="n/a",L1373,IFERROR(IF((OFFSET($C1373,0,$A1373))&lt;0,
MIN(0,L1373-(OFFSET($C1373,0,$A1373)/(OFFSET($C1368,-$A1372,$A1373)))),
MAX(0,L1373-(OFFSET($C1373,0,$A1373)/(OFFSET($C1368,-$A1372,$A1373))))),0))</f>
        <v>0</v>
      </c>
      <c r="N1373" s="1423">
        <f t="shared" ca="1" si="1980"/>
        <v>0</v>
      </c>
      <c r="O1373" s="1423">
        <f t="shared" ca="1" si="1981"/>
        <v>0</v>
      </c>
      <c r="P1373" s="1423">
        <f t="shared" ca="1" si="1982"/>
        <v>0</v>
      </c>
      <c r="Q1373" s="1423">
        <f t="shared" ca="1" si="1983"/>
        <v>0</v>
      </c>
      <c r="R1373" s="1423">
        <f t="shared" ca="1" si="1984"/>
        <v>0</v>
      </c>
      <c r="S1373" s="1423">
        <f t="shared" ca="1" si="1985"/>
        <v>0</v>
      </c>
      <c r="T1373" s="1423">
        <f t="shared" ca="1" si="1986"/>
        <v>0</v>
      </c>
      <c r="U1373" s="1423">
        <f t="shared" ca="1" si="1987"/>
        <v>0</v>
      </c>
      <c r="V1373" s="1423">
        <f t="shared" ca="1" si="1988"/>
        <v>0</v>
      </c>
      <c r="W1373" s="1423">
        <f t="shared" ca="1" si="1989"/>
        <v>0</v>
      </c>
      <c r="X1373" s="202"/>
      <c r="Y1373" s="202"/>
      <c r="Z1373" s="202"/>
      <c r="AA1373" s="152"/>
      <c r="AB1373" s="152"/>
    </row>
    <row r="1374" spans="1:28" hidden="1" outlineLevel="1">
      <c r="A1374" s="199">
        <f t="shared" si="1990"/>
        <v>10</v>
      </c>
      <c r="B1374" s="190" t="str">
        <f t="shared" ca="1" si="1991"/>
        <v>Depreciated Net Capex 2025-26</v>
      </c>
      <c r="C1374" s="1426"/>
      <c r="D1374" s="1426"/>
      <c r="E1374" s="1426"/>
      <c r="F1374" s="1426"/>
      <c r="G1374" s="1426"/>
      <c r="H1374" s="1426"/>
      <c r="I1374" s="1426"/>
      <c r="J1374" s="1426"/>
      <c r="K1374" s="1426"/>
      <c r="L1374" s="1427"/>
      <c r="M1374" s="1428">
        <f>M1359</f>
        <v>0</v>
      </c>
      <c r="N1374" s="1423">
        <f ca="1">IF(M1398="n/a",M1374,IFERROR(IF((OFFSET($C1374,0,$A1374))&lt;0,
MIN(0,M1374-(OFFSET($C1374,0,$A1374)/(OFFSET($C1369,-$A1373,$A1374)))),
MAX(0,M1374-(OFFSET($C1374,0,$A1374)/(OFFSET($C1369,-$A1373,$A1374))))),0))</f>
        <v>0</v>
      </c>
      <c r="O1374" s="1423">
        <f t="shared" ca="1" si="1981"/>
        <v>0</v>
      </c>
      <c r="P1374" s="1423">
        <f t="shared" ca="1" si="1982"/>
        <v>0</v>
      </c>
      <c r="Q1374" s="1423">
        <f t="shared" ca="1" si="1983"/>
        <v>0</v>
      </c>
      <c r="R1374" s="1423">
        <f t="shared" ca="1" si="1984"/>
        <v>0</v>
      </c>
      <c r="S1374" s="1423">
        <f t="shared" ca="1" si="1985"/>
        <v>0</v>
      </c>
      <c r="T1374" s="1423">
        <f t="shared" ca="1" si="1986"/>
        <v>0</v>
      </c>
      <c r="U1374" s="1423">
        <f t="shared" ca="1" si="1987"/>
        <v>0</v>
      </c>
      <c r="V1374" s="1423">
        <f t="shared" ca="1" si="1988"/>
        <v>0</v>
      </c>
      <c r="W1374" s="1423">
        <f t="shared" ca="1" si="1989"/>
        <v>0</v>
      </c>
      <c r="X1374" s="202"/>
      <c r="Y1374" s="202"/>
      <c r="Z1374" s="202"/>
      <c r="AA1374" s="152"/>
      <c r="AB1374" s="152"/>
    </row>
    <row r="1375" spans="1:28" hidden="1" outlineLevel="1">
      <c r="A1375" s="199">
        <f t="shared" si="1990"/>
        <v>11</v>
      </c>
      <c r="B1375" s="190" t="str">
        <f t="shared" ca="1" si="1991"/>
        <v>Depreciated Net Capex 2026-27</v>
      </c>
      <c r="C1375" s="1426"/>
      <c r="D1375" s="1426"/>
      <c r="E1375" s="1426"/>
      <c r="F1375" s="1426"/>
      <c r="G1375" s="1426"/>
      <c r="H1375" s="1426"/>
      <c r="I1375" s="1426"/>
      <c r="J1375" s="1426"/>
      <c r="K1375" s="1426"/>
      <c r="L1375" s="1426"/>
      <c r="M1375" s="1427"/>
      <c r="N1375" s="1428">
        <f>N1359</f>
        <v>0</v>
      </c>
      <c r="O1375" s="1423">
        <f ca="1">IF(N1399="n/a",N1375,IFERROR(IF((OFFSET($C1375,0,$A1375))&lt;0,
MIN(0,N1375-(OFFSET($C1375,0,$A1375)/(OFFSET($C1370,-$A1374,$A1375)))),
MAX(0,N1375-(OFFSET($C1375,0,$A1375)/(OFFSET($C1370,-$A1374,$A1375))))),0))</f>
        <v>0</v>
      </c>
      <c r="P1375" s="1423">
        <f t="shared" ca="1" si="1982"/>
        <v>0</v>
      </c>
      <c r="Q1375" s="1423">
        <f t="shared" ca="1" si="1983"/>
        <v>0</v>
      </c>
      <c r="R1375" s="1423">
        <f t="shared" ca="1" si="1984"/>
        <v>0</v>
      </c>
      <c r="S1375" s="1423">
        <f t="shared" ca="1" si="1985"/>
        <v>0</v>
      </c>
      <c r="T1375" s="1423">
        <f t="shared" ca="1" si="1986"/>
        <v>0</v>
      </c>
      <c r="U1375" s="1423">
        <f t="shared" ca="1" si="1987"/>
        <v>0</v>
      </c>
      <c r="V1375" s="1423">
        <f t="shared" ca="1" si="1988"/>
        <v>0</v>
      </c>
      <c r="W1375" s="1423">
        <f t="shared" ca="1" si="1989"/>
        <v>0</v>
      </c>
      <c r="X1375" s="202"/>
      <c r="Y1375" s="202"/>
      <c r="Z1375" s="202"/>
      <c r="AA1375" s="152"/>
      <c r="AB1375" s="152"/>
    </row>
    <row r="1376" spans="1:28" hidden="1" outlineLevel="1">
      <c r="A1376" s="199">
        <f t="shared" si="1990"/>
        <v>12</v>
      </c>
      <c r="B1376" s="190" t="str">
        <f t="shared" ca="1" si="1991"/>
        <v>Depreciated Net Capex 2027-28</v>
      </c>
      <c r="C1376" s="1426"/>
      <c r="D1376" s="1426"/>
      <c r="E1376" s="1426"/>
      <c r="F1376" s="1426"/>
      <c r="G1376" s="1426"/>
      <c r="H1376" s="1426"/>
      <c r="I1376" s="1426"/>
      <c r="J1376" s="1426"/>
      <c r="K1376" s="1426"/>
      <c r="L1376" s="1426"/>
      <c r="M1376" s="1426"/>
      <c r="N1376" s="1427"/>
      <c r="O1376" s="1428">
        <f>O1359</f>
        <v>0</v>
      </c>
      <c r="P1376" s="1423">
        <f ca="1">IF(O1400="n/a",O1376,IFERROR(IF((OFFSET($C1376,0,$A1376))&lt;0,
MIN(0,O1376-(OFFSET($C1376,0,$A1376)/(OFFSET($C1371,-$A1375,$A1376)))),
MAX(0,O1376-(OFFSET($C1376,0,$A1376)/(OFFSET($C1371,-$A1375,$A1376))))),0))</f>
        <v>0</v>
      </c>
      <c r="Q1376" s="1423">
        <f t="shared" ca="1" si="1983"/>
        <v>0</v>
      </c>
      <c r="R1376" s="1423">
        <f t="shared" ca="1" si="1984"/>
        <v>0</v>
      </c>
      <c r="S1376" s="1423">
        <f t="shared" ca="1" si="1985"/>
        <v>0</v>
      </c>
      <c r="T1376" s="1423">
        <f t="shared" ca="1" si="1986"/>
        <v>0</v>
      </c>
      <c r="U1376" s="1423">
        <f t="shared" ca="1" si="1987"/>
        <v>0</v>
      </c>
      <c r="V1376" s="1423">
        <f t="shared" ca="1" si="1988"/>
        <v>0</v>
      </c>
      <c r="W1376" s="1423">
        <f t="shared" ca="1" si="1989"/>
        <v>0</v>
      </c>
      <c r="X1376" s="202"/>
      <c r="Y1376" s="202"/>
      <c r="Z1376" s="202"/>
      <c r="AA1376" s="152"/>
      <c r="AB1376" s="152"/>
    </row>
    <row r="1377" spans="1:28" hidden="1" outlineLevel="1">
      <c r="A1377" s="199">
        <f t="shared" si="1990"/>
        <v>13</v>
      </c>
      <c r="B1377" s="190" t="str">
        <f t="shared" ca="1" si="1991"/>
        <v>Depreciated Net Capex 2028-29</v>
      </c>
      <c r="C1377" s="1426"/>
      <c r="D1377" s="1426"/>
      <c r="E1377" s="1426"/>
      <c r="F1377" s="1426"/>
      <c r="G1377" s="1426"/>
      <c r="H1377" s="1426"/>
      <c r="I1377" s="1426"/>
      <c r="J1377" s="1426"/>
      <c r="K1377" s="1426"/>
      <c r="L1377" s="1426"/>
      <c r="M1377" s="1426"/>
      <c r="N1377" s="1426"/>
      <c r="O1377" s="1427"/>
      <c r="P1377" s="1428">
        <f>P1359</f>
        <v>0</v>
      </c>
      <c r="Q1377" s="1423">
        <f ca="1">IF(P1401="n/a",P1377,IFERROR(IF((OFFSET($C1377,0,$A1377))&lt;0,
MIN(0,P1377-(OFFSET($C1377,0,$A1377)/(OFFSET($C1372,-$A1376,$A1377)))),
MAX(0,P1377-(OFFSET($C1377,0,$A1377)/(OFFSET($C1372,-$A1376,$A1377))))),0))</f>
        <v>0</v>
      </c>
      <c r="R1377" s="1423">
        <f t="shared" ca="1" si="1984"/>
        <v>0</v>
      </c>
      <c r="S1377" s="1423">
        <f t="shared" ca="1" si="1985"/>
        <v>0</v>
      </c>
      <c r="T1377" s="1423">
        <f t="shared" ca="1" si="1986"/>
        <v>0</v>
      </c>
      <c r="U1377" s="1423">
        <f t="shared" ca="1" si="1987"/>
        <v>0</v>
      </c>
      <c r="V1377" s="1423">
        <f t="shared" ca="1" si="1988"/>
        <v>0</v>
      </c>
      <c r="W1377" s="1423">
        <f t="shared" ca="1" si="1989"/>
        <v>0</v>
      </c>
      <c r="X1377" s="202"/>
      <c r="Y1377" s="202"/>
      <c r="Z1377" s="202"/>
      <c r="AA1377" s="152"/>
      <c r="AB1377" s="152"/>
    </row>
    <row r="1378" spans="1:28" hidden="1" outlineLevel="1">
      <c r="A1378" s="199">
        <f t="shared" si="1990"/>
        <v>14</v>
      </c>
      <c r="B1378" s="190" t="str">
        <f t="shared" ca="1" si="1991"/>
        <v>Depreciated Net Capex 2029-30</v>
      </c>
      <c r="C1378" s="1426"/>
      <c r="D1378" s="1426"/>
      <c r="E1378" s="1426"/>
      <c r="F1378" s="1426"/>
      <c r="G1378" s="1426"/>
      <c r="H1378" s="1426"/>
      <c r="I1378" s="1426"/>
      <c r="J1378" s="1426"/>
      <c r="K1378" s="1426"/>
      <c r="L1378" s="1426"/>
      <c r="M1378" s="1426"/>
      <c r="N1378" s="1426"/>
      <c r="O1378" s="1426"/>
      <c r="P1378" s="1427"/>
      <c r="Q1378" s="1428">
        <f>Q1359</f>
        <v>0</v>
      </c>
      <c r="R1378" s="1423">
        <f ca="1">IF(Q1402="n/a",Q1378,IFERROR(IF((OFFSET($C1378,0,$A1378))&lt;0,
MIN(0,Q1378-(OFFSET($C1378,0,$A1378)/(OFFSET($C1373,-$A1377,$A1378)))),
MAX(0,Q1378-(OFFSET($C1378,0,$A1378)/(OFFSET($C1373,-$A1377,$A1378))))),0))</f>
        <v>0</v>
      </c>
      <c r="S1378" s="1423">
        <f t="shared" ca="1" si="1985"/>
        <v>0</v>
      </c>
      <c r="T1378" s="1423">
        <f t="shared" ca="1" si="1986"/>
        <v>0</v>
      </c>
      <c r="U1378" s="1423">
        <f t="shared" ca="1" si="1987"/>
        <v>0</v>
      </c>
      <c r="V1378" s="1423">
        <f t="shared" ca="1" si="1988"/>
        <v>0</v>
      </c>
      <c r="W1378" s="1423">
        <f t="shared" ca="1" si="1989"/>
        <v>0</v>
      </c>
      <c r="X1378" s="202"/>
      <c r="Y1378" s="202"/>
      <c r="Z1378" s="202"/>
      <c r="AA1378" s="152"/>
      <c r="AB1378" s="152"/>
    </row>
    <row r="1379" spans="1:28" hidden="1" outlineLevel="1">
      <c r="A1379" s="199">
        <f t="shared" si="1990"/>
        <v>15</v>
      </c>
      <c r="B1379" s="190" t="str">
        <f t="shared" ca="1" si="1991"/>
        <v>Depreciated Net Capex 2030-31</v>
      </c>
      <c r="C1379" s="1426"/>
      <c r="D1379" s="1426"/>
      <c r="E1379" s="1426"/>
      <c r="F1379" s="1426"/>
      <c r="G1379" s="1426"/>
      <c r="H1379" s="1426"/>
      <c r="I1379" s="1426"/>
      <c r="J1379" s="1426"/>
      <c r="K1379" s="1426"/>
      <c r="L1379" s="1426"/>
      <c r="M1379" s="1426"/>
      <c r="N1379" s="1426"/>
      <c r="O1379" s="1426"/>
      <c r="P1379" s="1426"/>
      <c r="Q1379" s="1427"/>
      <c r="R1379" s="1428">
        <f>R1359</f>
        <v>0</v>
      </c>
      <c r="S1379" s="1423">
        <f ca="1">IF(R1403="n/a",R1379,IFERROR(IF((OFFSET($C1379,0,$A1379))&lt;0,
MIN(0,R1379-(OFFSET($C1379,0,$A1379)/(OFFSET($C1374,-$A1378,$A1379)))),
MAX(0,R1379-(OFFSET($C1379,0,$A1379)/(OFFSET($C1374,-$A1378,$A1379))))),0))</f>
        <v>0</v>
      </c>
      <c r="T1379" s="1423">
        <f t="shared" ca="1" si="1986"/>
        <v>0</v>
      </c>
      <c r="U1379" s="1423">
        <f t="shared" ca="1" si="1987"/>
        <v>0</v>
      </c>
      <c r="V1379" s="1423">
        <f t="shared" ca="1" si="1988"/>
        <v>0</v>
      </c>
      <c r="W1379" s="1423">
        <f t="shared" ca="1" si="1989"/>
        <v>0</v>
      </c>
      <c r="X1379" s="202"/>
      <c r="Y1379" s="202"/>
      <c r="Z1379" s="202"/>
      <c r="AA1379" s="152"/>
      <c r="AB1379" s="152"/>
    </row>
    <row r="1380" spans="1:28" hidden="1" outlineLevel="1">
      <c r="A1380" s="199">
        <f t="shared" si="1990"/>
        <v>16</v>
      </c>
      <c r="B1380" s="190" t="str">
        <f t="shared" ca="1" si="1991"/>
        <v>Depreciated Net Capex 2031-32</v>
      </c>
      <c r="C1380" s="1426"/>
      <c r="D1380" s="1426"/>
      <c r="E1380" s="1426"/>
      <c r="F1380" s="1426"/>
      <c r="G1380" s="1426"/>
      <c r="H1380" s="1426"/>
      <c r="I1380" s="1426"/>
      <c r="J1380" s="1426"/>
      <c r="K1380" s="1426"/>
      <c r="L1380" s="1426"/>
      <c r="M1380" s="1426"/>
      <c r="N1380" s="1426"/>
      <c r="O1380" s="1426"/>
      <c r="P1380" s="1426"/>
      <c r="Q1380" s="1426"/>
      <c r="R1380" s="1427"/>
      <c r="S1380" s="1428">
        <f>S1359</f>
        <v>0</v>
      </c>
      <c r="T1380" s="1423">
        <f ca="1">IF(S1404="n/a",S1380,IFERROR(IF((OFFSET($C1380,0,$A1380))&lt;0,
MIN(0,S1380-(OFFSET($C1380,0,$A1380)/(OFFSET($C1375,-$A1379,$A1380)))),
MAX(0,S1380-(OFFSET($C1380,0,$A1380)/(OFFSET($C1375,-$A1379,$A1380))))),0))</f>
        <v>0</v>
      </c>
      <c r="U1380" s="1423">
        <f t="shared" ca="1" si="1987"/>
        <v>0</v>
      </c>
      <c r="V1380" s="1423">
        <f t="shared" ca="1" si="1988"/>
        <v>0</v>
      </c>
      <c r="W1380" s="1423">
        <f t="shared" ca="1" si="1989"/>
        <v>0</v>
      </c>
      <c r="X1380" s="202"/>
      <c r="Y1380" s="202"/>
      <c r="Z1380" s="202"/>
      <c r="AA1380" s="152"/>
      <c r="AB1380" s="152"/>
    </row>
    <row r="1381" spans="1:28" hidden="1" outlineLevel="1">
      <c r="A1381" s="199">
        <f t="shared" si="1990"/>
        <v>17</v>
      </c>
      <c r="B1381" s="190" t="str">
        <f t="shared" ca="1" si="1991"/>
        <v>Depreciated Net Capex 2032-33</v>
      </c>
      <c r="C1381" s="1426"/>
      <c r="D1381" s="1426"/>
      <c r="E1381" s="1426"/>
      <c r="F1381" s="1426"/>
      <c r="G1381" s="1426"/>
      <c r="H1381" s="1426"/>
      <c r="I1381" s="1426"/>
      <c r="J1381" s="1426"/>
      <c r="K1381" s="1426"/>
      <c r="L1381" s="1426"/>
      <c r="M1381" s="1426"/>
      <c r="N1381" s="1426"/>
      <c r="O1381" s="1426"/>
      <c r="P1381" s="1426"/>
      <c r="Q1381" s="1426"/>
      <c r="R1381" s="1426"/>
      <c r="S1381" s="1427"/>
      <c r="T1381" s="1428">
        <f>T1359</f>
        <v>0</v>
      </c>
      <c r="U1381" s="1423">
        <f ca="1">IF(T1405="n/a",T1381,IFERROR(IF((OFFSET($C1381,0,$A1381))&lt;0,
MIN(0,T1381-(OFFSET($C1381,0,$A1381)/(OFFSET($C1376,-$A1380,$A1381)))),
MAX(0,T1381-(OFFSET($C1381,0,$A1381)/(OFFSET($C1376,-$A1380,$A1381))))),0))</f>
        <v>0</v>
      </c>
      <c r="V1381" s="1423">
        <f t="shared" ca="1" si="1988"/>
        <v>0</v>
      </c>
      <c r="W1381" s="1423">
        <f t="shared" ca="1" si="1989"/>
        <v>0</v>
      </c>
      <c r="X1381" s="202"/>
      <c r="Y1381" s="202"/>
      <c r="Z1381" s="202"/>
      <c r="AA1381" s="152"/>
      <c r="AB1381" s="152"/>
    </row>
    <row r="1382" spans="1:28" hidden="1" outlineLevel="1">
      <c r="A1382" s="199">
        <f t="shared" si="1990"/>
        <v>18</v>
      </c>
      <c r="B1382" s="190" t="str">
        <f t="shared" ca="1" si="1991"/>
        <v>Depreciated Net Capex 2033-34</v>
      </c>
      <c r="C1382" s="1426"/>
      <c r="D1382" s="1426"/>
      <c r="E1382" s="1426"/>
      <c r="F1382" s="1426"/>
      <c r="G1382" s="1426"/>
      <c r="H1382" s="1426"/>
      <c r="I1382" s="1426"/>
      <c r="J1382" s="1426"/>
      <c r="K1382" s="1426"/>
      <c r="L1382" s="1426"/>
      <c r="M1382" s="1426"/>
      <c r="N1382" s="1426"/>
      <c r="O1382" s="1426"/>
      <c r="P1382" s="1426"/>
      <c r="Q1382" s="1426"/>
      <c r="R1382" s="1426"/>
      <c r="S1382" s="1426"/>
      <c r="T1382" s="1427"/>
      <c r="U1382" s="1428">
        <f>U1359</f>
        <v>0</v>
      </c>
      <c r="V1382" s="1423">
        <f ca="1">IF(U1406="n/a",U1382,IFERROR(IF((OFFSET($C1382,0,$A1382))&lt;0,
MIN(0,U1382-(OFFSET($C1382,0,$A1382)/(OFFSET($C1377,-$A1381,$A1382)))),
MAX(0,U1382-(OFFSET($C1382,0,$A1382)/(OFFSET($C1377,-$A1381,$A1382))))),0))</f>
        <v>0</v>
      </c>
      <c r="W1382" s="1423">
        <f t="shared" ca="1" si="1989"/>
        <v>0</v>
      </c>
      <c r="X1382" s="202"/>
      <c r="Y1382" s="202"/>
      <c r="Z1382" s="202"/>
      <c r="AA1382" s="152"/>
      <c r="AB1382" s="152"/>
    </row>
    <row r="1383" spans="1:28" hidden="1" outlineLevel="1">
      <c r="A1383" s="199">
        <f t="shared" si="1990"/>
        <v>19</v>
      </c>
      <c r="B1383" s="190" t="str">
        <f t="shared" ca="1" si="1991"/>
        <v>Depreciated Net Capex 2034-35</v>
      </c>
      <c r="C1383" s="1426"/>
      <c r="D1383" s="1426"/>
      <c r="E1383" s="1426"/>
      <c r="F1383" s="1426"/>
      <c r="G1383" s="1426"/>
      <c r="H1383" s="1426"/>
      <c r="I1383" s="1426"/>
      <c r="J1383" s="1426"/>
      <c r="K1383" s="1426"/>
      <c r="L1383" s="1426"/>
      <c r="M1383" s="1426"/>
      <c r="N1383" s="1426"/>
      <c r="O1383" s="1426"/>
      <c r="P1383" s="1426"/>
      <c r="Q1383" s="1426"/>
      <c r="R1383" s="1426"/>
      <c r="S1383" s="1426"/>
      <c r="T1383" s="1426"/>
      <c r="U1383" s="1427"/>
      <c r="V1383" s="1428">
        <f>V1359</f>
        <v>0</v>
      </c>
      <c r="W1383" s="1423">
        <f ca="1">IF(V1407="n/a",V1383,IFERROR(IF((OFFSET($C1383,0,$A1383))&lt;0,
MIN(0,V1383-(OFFSET($C1383,0,$A1383)/(OFFSET($C1378,-$A1382,$A1383)))),
MAX(0,V1383-(OFFSET($C1383,0,$A1383)/(OFFSET($C1378,-$A1382,$A1383))))),0))</f>
        <v>0</v>
      </c>
      <c r="X1383" s="202"/>
      <c r="Y1383" s="202"/>
      <c r="Z1383" s="202"/>
      <c r="AA1383" s="152"/>
      <c r="AB1383" s="152"/>
    </row>
    <row r="1384" spans="1:28" hidden="1" outlineLevel="1">
      <c r="A1384" s="199">
        <f t="shared" si="1990"/>
        <v>20</v>
      </c>
      <c r="B1384" s="190" t="str">
        <f t="shared" ca="1" si="1991"/>
        <v>Depreciated Net Capex 2035-36</v>
      </c>
      <c r="C1384" s="1426"/>
      <c r="D1384" s="1426"/>
      <c r="E1384" s="1426"/>
      <c r="F1384" s="1426"/>
      <c r="G1384" s="1426"/>
      <c r="H1384" s="1426"/>
      <c r="I1384" s="1426"/>
      <c r="J1384" s="1426"/>
      <c r="K1384" s="1426"/>
      <c r="L1384" s="1426"/>
      <c r="M1384" s="1426"/>
      <c r="N1384" s="1426"/>
      <c r="O1384" s="1426"/>
      <c r="P1384" s="1426"/>
      <c r="Q1384" s="1426"/>
      <c r="R1384" s="1426"/>
      <c r="S1384" s="1426"/>
      <c r="T1384" s="1426"/>
      <c r="U1384" s="1426"/>
      <c r="V1384" s="1427"/>
      <c r="W1384" s="1423">
        <f>W1359</f>
        <v>0</v>
      </c>
      <c r="X1384" s="152"/>
      <c r="Y1384" s="152"/>
      <c r="Z1384" s="152"/>
      <c r="AA1384" s="152"/>
      <c r="AB1384" s="152"/>
    </row>
    <row r="1385" spans="1:28" hidden="1" outlineLevel="1">
      <c r="A1385" s="152"/>
      <c r="B1385" s="200"/>
      <c r="C1385" s="1423"/>
      <c r="D1385" s="1423"/>
      <c r="E1385" s="1423"/>
      <c r="F1385" s="1423"/>
      <c r="G1385" s="1423"/>
      <c r="H1385" s="1423"/>
      <c r="I1385" s="1423"/>
      <c r="J1385" s="1423"/>
      <c r="K1385" s="1423"/>
      <c r="L1385" s="1423"/>
      <c r="M1385" s="1423"/>
      <c r="N1385" s="1423"/>
      <c r="O1385" s="1423"/>
      <c r="P1385" s="1423"/>
      <c r="Q1385" s="1423"/>
      <c r="R1385" s="1423"/>
      <c r="S1385" s="1423"/>
      <c r="T1385" s="1423"/>
      <c r="U1385" s="1423"/>
      <c r="V1385" s="1423"/>
      <c r="W1385" s="1423"/>
      <c r="X1385" s="152"/>
      <c r="Y1385" s="152"/>
      <c r="Z1385" s="152"/>
      <c r="AA1385" s="152"/>
      <c r="AB1385" s="152"/>
    </row>
    <row r="1386" spans="1:28" hidden="1" outlineLevel="1">
      <c r="A1386" s="152"/>
      <c r="B1386" s="200"/>
      <c r="C1386" s="1423"/>
      <c r="D1386" s="1423"/>
      <c r="E1386" s="1423"/>
      <c r="F1386" s="1423"/>
      <c r="G1386" s="1423"/>
      <c r="H1386" s="1423"/>
      <c r="I1386" s="1423"/>
      <c r="J1386" s="1423"/>
      <c r="K1386" s="1423"/>
      <c r="L1386" s="1423"/>
      <c r="M1386" s="1423"/>
      <c r="N1386" s="1423"/>
      <c r="O1386" s="1423"/>
      <c r="P1386" s="1423"/>
      <c r="Q1386" s="1423"/>
      <c r="R1386" s="1423"/>
      <c r="S1386" s="1423"/>
      <c r="T1386" s="1423"/>
      <c r="U1386" s="1423"/>
      <c r="V1386" s="1423"/>
      <c r="W1386" s="1423"/>
      <c r="X1386" s="152"/>
      <c r="Y1386" s="152"/>
      <c r="Z1386" s="152"/>
      <c r="AA1386" s="152"/>
      <c r="AB1386" s="152"/>
    </row>
    <row r="1387" spans="1:28" hidden="1" outlineLevel="1">
      <c r="A1387" s="152"/>
      <c r="B1387" s="190" t="s">
        <v>194</v>
      </c>
      <c r="C1387" s="1423"/>
      <c r="D1387" s="1423">
        <f t="shared" ref="D1387" ca="1" si="1992">IF(AND(C1387&lt;1,D1361=0),0,
IF(D1361=0,C1387-1,
IF(C1387&lt;1,D1362,
(((C1387-1)*(C1363-(C1363/(C1387))))+(D1361*D1362))/(D1363))))</f>
        <v>0</v>
      </c>
      <c r="E1387" s="1423">
        <f t="shared" ref="E1387" ca="1" si="1993">IF(AND(D1387&lt;1,E1361=0),0,
IF(E1361=0,D1387-1,
IF(D1387&lt;1,E1362,
(((D1387-1)*(D1363-(D1363/(D1387))))+(E1361*E1362))/(E1363))))</f>
        <v>0</v>
      </c>
      <c r="F1387" s="1423">
        <f t="shared" ref="F1387" ca="1" si="1994">IF(AND(E1387&lt;1,F1361=0),0,
IF(F1361=0,E1387-1,
IF(E1387&lt;1,F1362,
(((E1387-1)*(E1363-(E1363/(E1387))))+(F1361*F1362))/(F1363))))</f>
        <v>0</v>
      </c>
      <c r="G1387" s="1423">
        <f t="shared" ref="G1387" ca="1" si="1995">IF(AND(F1387&lt;1,G1361=0),0,
IF(G1361=0,F1387-1,
IF(F1387&lt;1,G1362,
(((F1387-1)*(F1363-(F1363/(F1387))))+(G1361*G1362))/(G1363))))</f>
        <v>0</v>
      </c>
      <c r="H1387" s="1423">
        <f ca="1">IF(AND(G1387&lt;1,H1361=0),0,
IF(H1361=0,G1387-1,
IF(G1387&lt;1,H1362,
(((G1387-1)*(G1363-(G1363/(G1387))))+(H1361*H1362))/(H1363))))</f>
        <v>0</v>
      </c>
      <c r="I1387" s="1423">
        <f t="shared" ref="I1387" ca="1" si="1996">IF(AND(H1387&lt;1,I1361=0),0,
IF(I1361=0,H1387-1,
IF(H1387&lt;1,I1362,
(((H1387-1)*(H1363-(H1363/(H1387))))+(I1361*I1362))/(I1363))))</f>
        <v>0</v>
      </c>
      <c r="J1387" s="1423">
        <f t="shared" ref="J1387" ca="1" si="1997">IF(AND(I1387&lt;1,J1361=0),0,
IF(J1361=0,I1387-1,
IF(I1387&lt;1,J1362,
(((I1387-1)*(I1363-(I1363/(I1387))))+(J1361*J1362))/(J1363))))</f>
        <v>0</v>
      </c>
      <c r="K1387" s="1423">
        <f t="shared" ref="K1387" ca="1" si="1998">IF(AND(J1387&lt;1,K1361=0),0,
IF(K1361=0,J1387-1,
IF(J1387&lt;1,K1362,
(((J1387-1)*(J1363-(J1363/(J1387))))+(K1361*K1362))/(K1363))))</f>
        <v>0</v>
      </c>
      <c r="L1387" s="1423">
        <f t="shared" ref="L1387" ca="1" si="1999">IF(AND(K1387&lt;1,L1361=0),0,
IF(L1361=0,K1387-1,
IF(K1387&lt;1,L1362,
(((K1387-1)*(K1363-(K1363/(K1387))))+(L1361*L1362))/(L1363))))</f>
        <v>0</v>
      </c>
      <c r="M1387" s="1423">
        <f ca="1">IF(AND(L1387&lt;1,M1361=0),0,
IF(M1361=0,L1387-1,
IF(L1387&lt;1,M1362,
(((L1387-1)*(L1363-(L1363/(L1387))))+(M1361*M1362))/(M1363))))</f>
        <v>0</v>
      </c>
      <c r="N1387" s="1423">
        <f t="shared" ref="N1387" ca="1" si="2000">IF(AND(M1387&lt;1,N1361=0),0,
IF(N1361=0,M1387-1,
IF(M1387&lt;1,N1362,
(((M1387-1)*(M1363-(M1363/(M1387))))+(N1361*N1362))/(N1363))))</f>
        <v>0</v>
      </c>
      <c r="O1387" s="1423">
        <f t="shared" ref="O1387" ca="1" si="2001">IF(AND(N1387&lt;1,O1361=0),0,
IF(O1361=0,N1387-1,
IF(N1387&lt;1,O1362,
(((N1387-1)*(N1363-(N1363/(N1387))))+(O1361*O1362))/(O1363))))</f>
        <v>0</v>
      </c>
      <c r="P1387" s="1423">
        <f t="shared" ref="P1387" ca="1" si="2002">IF(AND(O1387&lt;1,P1361=0),0,
IF(P1361=0,O1387-1,
IF(O1387&lt;1,P1362,
(((O1387-1)*(O1363-(O1363/(O1387))))+(P1361*P1362))/(P1363))))</f>
        <v>0</v>
      </c>
      <c r="Q1387" s="1423">
        <f t="shared" ref="Q1387" ca="1" si="2003">IF(AND(P1387&lt;1,Q1361=0),0,
IF(Q1361=0,P1387-1,
IF(P1387&lt;1,Q1362,
(((P1387-1)*(P1363-(P1363/(P1387))))+(Q1361*Q1362))/(Q1363))))</f>
        <v>0</v>
      </c>
      <c r="R1387" s="1423">
        <f t="shared" ref="R1387" ca="1" si="2004">IF(AND(Q1387&lt;1,R1361=0),0,
IF(R1361=0,Q1387-1,
IF(Q1387&lt;1,R1362,
(((Q1387-1)*(Q1363-(Q1363/(Q1387))))+(R1361*R1362))/(R1363))))</f>
        <v>0</v>
      </c>
      <c r="S1387" s="1423">
        <f t="shared" ref="S1387" ca="1" si="2005">IF(AND(R1387&lt;1,S1361=0),0,
IF(S1361=0,R1387-1,
IF(R1387&lt;1,S1362,
(((R1387-1)*(R1363-(R1363/(R1387))))+(S1361*S1362))/(S1363))))</f>
        <v>0</v>
      </c>
      <c r="T1387" s="1423">
        <f t="shared" ref="T1387" ca="1" si="2006">IF(AND(S1387&lt;1,T1361=0),0,
IF(T1361=0,S1387-1,
IF(S1387&lt;1,T1362,
(((S1387-1)*(S1363-(S1363/(S1387))))+(T1361*T1362))/(T1363))))</f>
        <v>0</v>
      </c>
      <c r="U1387" s="1423">
        <f t="shared" ref="U1387" ca="1" si="2007">IF(AND(T1387&lt;1,U1361=0),0,
IF(U1361=0,T1387-1,
IF(T1387&lt;1,U1362,
(((T1387-1)*(T1363-(T1363/(T1387))))+(U1361*U1362))/(U1363))))</f>
        <v>0</v>
      </c>
      <c r="V1387" s="1423">
        <f t="shared" ref="V1387" ca="1" si="2008">IF(AND(U1387&lt;1,V1361=0),0,
IF(V1361=0,U1387-1,
IF(U1387&lt;1,V1362,
(((U1387-1)*(U1363-(U1363/(U1387))))+(V1361*V1362))/(V1363))))</f>
        <v>0</v>
      </c>
      <c r="W1387" s="1423">
        <f t="shared" ref="W1387" ca="1" si="2009">IF(AND(V1387&lt;1,W1361=0),0,
IF(W1361=0,V1387-1,
IF(V1387&lt;1,W1362,
(((V1387-1)*(V1363-(V1363/(V1387))))+(W1361*W1362))/(W1363))))</f>
        <v>0</v>
      </c>
      <c r="X1387" s="152"/>
      <c r="Y1387" s="152"/>
      <c r="Z1387" s="152"/>
      <c r="AA1387" s="152"/>
      <c r="AB1387" s="152"/>
    </row>
    <row r="1388" spans="1:28" hidden="1" outlineLevel="1">
      <c r="A1388" s="152"/>
      <c r="B1388" s="190" t="s">
        <v>193</v>
      </c>
      <c r="C1388" s="1423">
        <f ca="1">C1360</f>
        <v>0</v>
      </c>
      <c r="D1388" s="1423">
        <f t="shared" ref="D1388" ca="1" si="2010">IF(C1388="n/a","n/a",MAX(0,C1388-1))</f>
        <v>0</v>
      </c>
      <c r="E1388" s="1423">
        <f t="shared" ref="E1388:E1389" ca="1" si="2011">IF(D1388="n/a","n/a",MAX(0,D1388-1))</f>
        <v>0</v>
      </c>
      <c r="F1388" s="1423">
        <f t="shared" ref="F1388:F1390" ca="1" si="2012">IF(E1388="n/a","n/a",MAX(0,E1388-1))</f>
        <v>0</v>
      </c>
      <c r="G1388" s="1423">
        <f t="shared" ref="G1388:G1391" ca="1" si="2013">IF(F1388="n/a","n/a",MAX(0,F1388-1))</f>
        <v>0</v>
      </c>
      <c r="H1388" s="1423">
        <f t="shared" ref="H1388:H1392" ca="1" si="2014">IF(G1388="n/a","n/a",MAX(0,G1388-1))</f>
        <v>0</v>
      </c>
      <c r="I1388" s="1423">
        <f t="shared" ref="I1388:I1393" ca="1" si="2015">IF(H1388="n/a","n/a",MAX(0,H1388-1))</f>
        <v>0</v>
      </c>
      <c r="J1388" s="1423">
        <f t="shared" ref="J1388:J1394" ca="1" si="2016">IF(I1388="n/a","n/a",MAX(0,I1388-1))</f>
        <v>0</v>
      </c>
      <c r="K1388" s="1423">
        <f t="shared" ref="K1388:K1395" ca="1" si="2017">IF(J1388="n/a","n/a",MAX(0,J1388-1))</f>
        <v>0</v>
      </c>
      <c r="L1388" s="1423">
        <f t="shared" ref="L1388:L1396" ca="1" si="2018">IF(K1388="n/a","n/a",MAX(0,K1388-1))</f>
        <v>0</v>
      </c>
      <c r="M1388" s="1423">
        <f t="shared" ref="M1388:M1397" ca="1" si="2019">IF(L1388="n/a","n/a",MAX(0,L1388-1))</f>
        <v>0</v>
      </c>
      <c r="N1388" s="1423">
        <f t="shared" ref="N1388:N1398" ca="1" si="2020">IF(M1388="n/a","n/a",MAX(0,M1388-1))</f>
        <v>0</v>
      </c>
      <c r="O1388" s="1423">
        <f t="shared" ref="O1388:O1399" ca="1" si="2021">IF(N1388="n/a","n/a",MAX(0,N1388-1))</f>
        <v>0</v>
      </c>
      <c r="P1388" s="1423">
        <f t="shared" ref="P1388:P1400" ca="1" si="2022">IF(O1388="n/a","n/a",MAX(0,O1388-1))</f>
        <v>0</v>
      </c>
      <c r="Q1388" s="1423">
        <f t="shared" ref="Q1388:Q1401" ca="1" si="2023">IF(P1388="n/a","n/a",MAX(0,P1388-1))</f>
        <v>0</v>
      </c>
      <c r="R1388" s="1423">
        <f t="shared" ref="R1388:R1402" ca="1" si="2024">IF(Q1388="n/a","n/a",MAX(0,Q1388-1))</f>
        <v>0</v>
      </c>
      <c r="S1388" s="1423">
        <f t="shared" ref="S1388:S1403" ca="1" si="2025">IF(R1388="n/a","n/a",MAX(0,R1388-1))</f>
        <v>0</v>
      </c>
      <c r="T1388" s="1423">
        <f t="shared" ref="T1388:T1404" ca="1" si="2026">IF(S1388="n/a","n/a",MAX(0,S1388-1))</f>
        <v>0</v>
      </c>
      <c r="U1388" s="1423">
        <f t="shared" ref="U1388:U1405" ca="1" si="2027">IF(T1388="n/a","n/a",MAX(0,T1388-1))</f>
        <v>0</v>
      </c>
      <c r="V1388" s="1423">
        <f t="shared" ref="V1388:V1406" ca="1" si="2028">IF(U1388="n/a","n/a",MAX(0,U1388-1))</f>
        <v>0</v>
      </c>
      <c r="W1388" s="1423">
        <f t="shared" ref="W1388:W1406" ca="1" si="2029">IF(V1388="n/a","n/a",MAX(0,V1388-1))</f>
        <v>0</v>
      </c>
      <c r="X1388" s="152"/>
      <c r="Y1388" s="152"/>
      <c r="Z1388" s="152"/>
      <c r="AA1388" s="152"/>
      <c r="AB1388" s="152"/>
    </row>
    <row r="1389" spans="1:28" hidden="1" outlineLevel="1">
      <c r="A1389" s="152"/>
      <c r="B1389" s="190" t="str">
        <f t="shared" ref="B1389:B1408" ca="1" si="2030">"RL Capex "&amp;OFFSET($C$6,0,A1365)</f>
        <v>RL Capex 2016-17</v>
      </c>
      <c r="C1389" s="1424"/>
      <c r="D1389" s="1428">
        <f>D1360</f>
        <v>0</v>
      </c>
      <c r="E1389" s="1423">
        <f t="shared" si="2011"/>
        <v>0</v>
      </c>
      <c r="F1389" s="1423">
        <f t="shared" si="2012"/>
        <v>0</v>
      </c>
      <c r="G1389" s="1423">
        <f t="shared" si="2013"/>
        <v>0</v>
      </c>
      <c r="H1389" s="1423">
        <f t="shared" si="2014"/>
        <v>0</v>
      </c>
      <c r="I1389" s="1423">
        <f t="shared" si="2015"/>
        <v>0</v>
      </c>
      <c r="J1389" s="1423">
        <f t="shared" si="2016"/>
        <v>0</v>
      </c>
      <c r="K1389" s="1423">
        <f t="shared" si="2017"/>
        <v>0</v>
      </c>
      <c r="L1389" s="1423">
        <f t="shared" si="2018"/>
        <v>0</v>
      </c>
      <c r="M1389" s="1423">
        <f t="shared" si="2019"/>
        <v>0</v>
      </c>
      <c r="N1389" s="1423">
        <f t="shared" si="2020"/>
        <v>0</v>
      </c>
      <c r="O1389" s="1423">
        <f t="shared" si="2021"/>
        <v>0</v>
      </c>
      <c r="P1389" s="1423">
        <f t="shared" si="2022"/>
        <v>0</v>
      </c>
      <c r="Q1389" s="1423">
        <f t="shared" si="2023"/>
        <v>0</v>
      </c>
      <c r="R1389" s="1423">
        <f t="shared" si="2024"/>
        <v>0</v>
      </c>
      <c r="S1389" s="1423">
        <f t="shared" si="2025"/>
        <v>0</v>
      </c>
      <c r="T1389" s="1423">
        <f t="shared" si="2026"/>
        <v>0</v>
      </c>
      <c r="U1389" s="1423">
        <f t="shared" si="2027"/>
        <v>0</v>
      </c>
      <c r="V1389" s="1423">
        <f t="shared" si="2028"/>
        <v>0</v>
      </c>
      <c r="W1389" s="1423">
        <f t="shared" si="2029"/>
        <v>0</v>
      </c>
      <c r="X1389" s="152"/>
      <c r="Y1389" s="152"/>
      <c r="Z1389" s="152"/>
      <c r="AA1389" s="152"/>
      <c r="AB1389" s="152"/>
    </row>
    <row r="1390" spans="1:28" hidden="1" outlineLevel="1">
      <c r="A1390" s="152"/>
      <c r="B1390" s="190" t="str">
        <f t="shared" ca="1" si="2030"/>
        <v>RL Capex 2017-18</v>
      </c>
      <c r="C1390" s="1429"/>
      <c r="D1390" s="1424"/>
      <c r="E1390" s="1428">
        <f>E1360</f>
        <v>0</v>
      </c>
      <c r="F1390" s="1423">
        <f t="shared" si="2012"/>
        <v>0</v>
      </c>
      <c r="G1390" s="1423">
        <f t="shared" si="2013"/>
        <v>0</v>
      </c>
      <c r="H1390" s="1423">
        <f t="shared" si="2014"/>
        <v>0</v>
      </c>
      <c r="I1390" s="1423">
        <f t="shared" si="2015"/>
        <v>0</v>
      </c>
      <c r="J1390" s="1423">
        <f t="shared" si="2016"/>
        <v>0</v>
      </c>
      <c r="K1390" s="1423">
        <f t="shared" si="2017"/>
        <v>0</v>
      </c>
      <c r="L1390" s="1423">
        <f t="shared" si="2018"/>
        <v>0</v>
      </c>
      <c r="M1390" s="1423">
        <f t="shared" si="2019"/>
        <v>0</v>
      </c>
      <c r="N1390" s="1423">
        <f t="shared" si="2020"/>
        <v>0</v>
      </c>
      <c r="O1390" s="1423">
        <f t="shared" si="2021"/>
        <v>0</v>
      </c>
      <c r="P1390" s="1423">
        <f t="shared" si="2022"/>
        <v>0</v>
      </c>
      <c r="Q1390" s="1423">
        <f t="shared" si="2023"/>
        <v>0</v>
      </c>
      <c r="R1390" s="1423">
        <f t="shared" si="2024"/>
        <v>0</v>
      </c>
      <c r="S1390" s="1423">
        <f t="shared" si="2025"/>
        <v>0</v>
      </c>
      <c r="T1390" s="1423">
        <f t="shared" si="2026"/>
        <v>0</v>
      </c>
      <c r="U1390" s="1423">
        <f t="shared" si="2027"/>
        <v>0</v>
      </c>
      <c r="V1390" s="1423">
        <f t="shared" si="2028"/>
        <v>0</v>
      </c>
      <c r="W1390" s="1423">
        <f t="shared" si="2029"/>
        <v>0</v>
      </c>
      <c r="X1390" s="152"/>
      <c r="Y1390" s="152"/>
      <c r="Z1390" s="152"/>
      <c r="AA1390" s="152"/>
      <c r="AB1390" s="152"/>
    </row>
    <row r="1391" spans="1:28" hidden="1" outlineLevel="1">
      <c r="A1391" s="152"/>
      <c r="B1391" s="190" t="str">
        <f t="shared" ca="1" si="2030"/>
        <v>RL Capex 2018-19</v>
      </c>
      <c r="C1391" s="1429"/>
      <c r="D1391" s="1429"/>
      <c r="E1391" s="1424"/>
      <c r="F1391" s="1428">
        <f>F1360</f>
        <v>0</v>
      </c>
      <c r="G1391" s="1423">
        <f t="shared" si="2013"/>
        <v>0</v>
      </c>
      <c r="H1391" s="1423">
        <f t="shared" si="2014"/>
        <v>0</v>
      </c>
      <c r="I1391" s="1423">
        <f t="shared" si="2015"/>
        <v>0</v>
      </c>
      <c r="J1391" s="1423">
        <f t="shared" si="2016"/>
        <v>0</v>
      </c>
      <c r="K1391" s="1423">
        <f t="shared" si="2017"/>
        <v>0</v>
      </c>
      <c r="L1391" s="1423">
        <f t="shared" si="2018"/>
        <v>0</v>
      </c>
      <c r="M1391" s="1423">
        <f t="shared" si="2019"/>
        <v>0</v>
      </c>
      <c r="N1391" s="1423">
        <f t="shared" si="2020"/>
        <v>0</v>
      </c>
      <c r="O1391" s="1423">
        <f t="shared" si="2021"/>
        <v>0</v>
      </c>
      <c r="P1391" s="1423">
        <f t="shared" si="2022"/>
        <v>0</v>
      </c>
      <c r="Q1391" s="1423">
        <f t="shared" si="2023"/>
        <v>0</v>
      </c>
      <c r="R1391" s="1423">
        <f t="shared" si="2024"/>
        <v>0</v>
      </c>
      <c r="S1391" s="1423">
        <f t="shared" si="2025"/>
        <v>0</v>
      </c>
      <c r="T1391" s="1423">
        <f t="shared" si="2026"/>
        <v>0</v>
      </c>
      <c r="U1391" s="1423">
        <f t="shared" si="2027"/>
        <v>0</v>
      </c>
      <c r="V1391" s="1423">
        <f t="shared" si="2028"/>
        <v>0</v>
      </c>
      <c r="W1391" s="1423">
        <f t="shared" si="2029"/>
        <v>0</v>
      </c>
      <c r="X1391" s="152"/>
      <c r="Y1391" s="152"/>
      <c r="Z1391" s="152"/>
      <c r="AA1391" s="152"/>
      <c r="AB1391" s="152"/>
    </row>
    <row r="1392" spans="1:28" hidden="1" outlineLevel="1">
      <c r="A1392" s="152"/>
      <c r="B1392" s="190" t="str">
        <f t="shared" ca="1" si="2030"/>
        <v>RL Capex 2019-20</v>
      </c>
      <c r="C1392" s="1429"/>
      <c r="D1392" s="1429"/>
      <c r="E1392" s="1429"/>
      <c r="F1392" s="1424"/>
      <c r="G1392" s="1428">
        <f>G1360</f>
        <v>0</v>
      </c>
      <c r="H1392" s="1423">
        <f t="shared" si="2014"/>
        <v>0</v>
      </c>
      <c r="I1392" s="1423">
        <f t="shared" si="2015"/>
        <v>0</v>
      </c>
      <c r="J1392" s="1423">
        <f t="shared" si="2016"/>
        <v>0</v>
      </c>
      <c r="K1392" s="1423">
        <f t="shared" si="2017"/>
        <v>0</v>
      </c>
      <c r="L1392" s="1423">
        <f t="shared" si="2018"/>
        <v>0</v>
      </c>
      <c r="M1392" s="1423">
        <f t="shared" si="2019"/>
        <v>0</v>
      </c>
      <c r="N1392" s="1423">
        <f t="shared" si="2020"/>
        <v>0</v>
      </c>
      <c r="O1392" s="1423">
        <f t="shared" si="2021"/>
        <v>0</v>
      </c>
      <c r="P1392" s="1423">
        <f t="shared" si="2022"/>
        <v>0</v>
      </c>
      <c r="Q1392" s="1423">
        <f t="shared" si="2023"/>
        <v>0</v>
      </c>
      <c r="R1392" s="1423">
        <f t="shared" si="2024"/>
        <v>0</v>
      </c>
      <c r="S1392" s="1423">
        <f t="shared" si="2025"/>
        <v>0</v>
      </c>
      <c r="T1392" s="1423">
        <f t="shared" si="2026"/>
        <v>0</v>
      </c>
      <c r="U1392" s="1423">
        <f t="shared" si="2027"/>
        <v>0</v>
      </c>
      <c r="V1392" s="1423">
        <f t="shared" si="2028"/>
        <v>0</v>
      </c>
      <c r="W1392" s="1423">
        <f t="shared" si="2029"/>
        <v>0</v>
      </c>
      <c r="X1392" s="152"/>
      <c r="Y1392" s="152"/>
      <c r="Z1392" s="152"/>
      <c r="AA1392" s="152"/>
      <c r="AB1392" s="152"/>
    </row>
    <row r="1393" spans="1:28" hidden="1" outlineLevel="1">
      <c r="A1393" s="152"/>
      <c r="B1393" s="190" t="str">
        <f t="shared" ca="1" si="2030"/>
        <v>RL Capex 2020-21</v>
      </c>
      <c r="C1393" s="1429"/>
      <c r="D1393" s="1429"/>
      <c r="E1393" s="1429"/>
      <c r="F1393" s="1429"/>
      <c r="G1393" s="1424"/>
      <c r="H1393" s="1428">
        <f>H1360</f>
        <v>0</v>
      </c>
      <c r="I1393" s="1423">
        <f t="shared" si="2015"/>
        <v>0</v>
      </c>
      <c r="J1393" s="1423">
        <f t="shared" si="2016"/>
        <v>0</v>
      </c>
      <c r="K1393" s="1423">
        <f t="shared" si="2017"/>
        <v>0</v>
      </c>
      <c r="L1393" s="1423">
        <f t="shared" si="2018"/>
        <v>0</v>
      </c>
      <c r="M1393" s="1423">
        <f t="shared" si="2019"/>
        <v>0</v>
      </c>
      <c r="N1393" s="1423">
        <f t="shared" si="2020"/>
        <v>0</v>
      </c>
      <c r="O1393" s="1423">
        <f t="shared" si="2021"/>
        <v>0</v>
      </c>
      <c r="P1393" s="1423">
        <f t="shared" si="2022"/>
        <v>0</v>
      </c>
      <c r="Q1393" s="1423">
        <f t="shared" si="2023"/>
        <v>0</v>
      </c>
      <c r="R1393" s="1423">
        <f t="shared" si="2024"/>
        <v>0</v>
      </c>
      <c r="S1393" s="1423">
        <f t="shared" si="2025"/>
        <v>0</v>
      </c>
      <c r="T1393" s="1423">
        <f t="shared" si="2026"/>
        <v>0</v>
      </c>
      <c r="U1393" s="1423">
        <f t="shared" si="2027"/>
        <v>0</v>
      </c>
      <c r="V1393" s="1423">
        <f t="shared" si="2028"/>
        <v>0</v>
      </c>
      <c r="W1393" s="1423">
        <f t="shared" si="2029"/>
        <v>0</v>
      </c>
      <c r="X1393" s="152"/>
      <c r="Y1393" s="152"/>
      <c r="Z1393" s="152"/>
      <c r="AA1393" s="152"/>
      <c r="AB1393" s="152"/>
    </row>
    <row r="1394" spans="1:28" hidden="1" outlineLevel="1">
      <c r="A1394" s="152"/>
      <c r="B1394" s="190" t="str">
        <f t="shared" ca="1" si="2030"/>
        <v>RL Capex 2021-22</v>
      </c>
      <c r="C1394" s="1429"/>
      <c r="D1394" s="1429"/>
      <c r="E1394" s="1429"/>
      <c r="F1394" s="1429"/>
      <c r="G1394" s="1429"/>
      <c r="H1394" s="1424"/>
      <c r="I1394" s="1428">
        <f>I1360</f>
        <v>0</v>
      </c>
      <c r="J1394" s="1423">
        <f t="shared" si="2016"/>
        <v>0</v>
      </c>
      <c r="K1394" s="1423">
        <f t="shared" si="2017"/>
        <v>0</v>
      </c>
      <c r="L1394" s="1423">
        <f t="shared" si="2018"/>
        <v>0</v>
      </c>
      <c r="M1394" s="1423">
        <f t="shared" si="2019"/>
        <v>0</v>
      </c>
      <c r="N1394" s="1423">
        <f t="shared" si="2020"/>
        <v>0</v>
      </c>
      <c r="O1394" s="1423">
        <f t="shared" si="2021"/>
        <v>0</v>
      </c>
      <c r="P1394" s="1423">
        <f t="shared" si="2022"/>
        <v>0</v>
      </c>
      <c r="Q1394" s="1423">
        <f t="shared" si="2023"/>
        <v>0</v>
      </c>
      <c r="R1394" s="1423">
        <f t="shared" si="2024"/>
        <v>0</v>
      </c>
      <c r="S1394" s="1423">
        <f t="shared" si="2025"/>
        <v>0</v>
      </c>
      <c r="T1394" s="1423">
        <f t="shared" si="2026"/>
        <v>0</v>
      </c>
      <c r="U1394" s="1423">
        <f t="shared" si="2027"/>
        <v>0</v>
      </c>
      <c r="V1394" s="1423">
        <f t="shared" si="2028"/>
        <v>0</v>
      </c>
      <c r="W1394" s="1423">
        <f t="shared" si="2029"/>
        <v>0</v>
      </c>
      <c r="X1394" s="152"/>
      <c r="Y1394" s="152"/>
      <c r="Z1394" s="152"/>
      <c r="AA1394" s="152"/>
      <c r="AB1394" s="152"/>
    </row>
    <row r="1395" spans="1:28" hidden="1" outlineLevel="1">
      <c r="A1395" s="152"/>
      <c r="B1395" s="190" t="str">
        <f t="shared" ca="1" si="2030"/>
        <v>RL Capex 2022-23</v>
      </c>
      <c r="C1395" s="1429"/>
      <c r="D1395" s="1429"/>
      <c r="E1395" s="1429"/>
      <c r="F1395" s="1429"/>
      <c r="G1395" s="1429"/>
      <c r="H1395" s="1429"/>
      <c r="I1395" s="1424"/>
      <c r="J1395" s="1428">
        <f>J1360</f>
        <v>0</v>
      </c>
      <c r="K1395" s="1423">
        <f t="shared" si="2017"/>
        <v>0</v>
      </c>
      <c r="L1395" s="1423">
        <f t="shared" si="2018"/>
        <v>0</v>
      </c>
      <c r="M1395" s="1423">
        <f t="shared" si="2019"/>
        <v>0</v>
      </c>
      <c r="N1395" s="1423">
        <f t="shared" si="2020"/>
        <v>0</v>
      </c>
      <c r="O1395" s="1423">
        <f t="shared" si="2021"/>
        <v>0</v>
      </c>
      <c r="P1395" s="1423">
        <f t="shared" si="2022"/>
        <v>0</v>
      </c>
      <c r="Q1395" s="1423">
        <f t="shared" si="2023"/>
        <v>0</v>
      </c>
      <c r="R1395" s="1423">
        <f t="shared" si="2024"/>
        <v>0</v>
      </c>
      <c r="S1395" s="1423">
        <f t="shared" si="2025"/>
        <v>0</v>
      </c>
      <c r="T1395" s="1423">
        <f t="shared" si="2026"/>
        <v>0</v>
      </c>
      <c r="U1395" s="1423">
        <f t="shared" si="2027"/>
        <v>0</v>
      </c>
      <c r="V1395" s="1423">
        <f t="shared" si="2028"/>
        <v>0</v>
      </c>
      <c r="W1395" s="1423">
        <f t="shared" si="2029"/>
        <v>0</v>
      </c>
      <c r="X1395" s="152"/>
      <c r="Y1395" s="152"/>
      <c r="Z1395" s="152"/>
      <c r="AA1395" s="152"/>
      <c r="AB1395" s="152"/>
    </row>
    <row r="1396" spans="1:28" hidden="1" outlineLevel="1">
      <c r="A1396" s="152"/>
      <c r="B1396" s="190" t="str">
        <f t="shared" ca="1" si="2030"/>
        <v>RL Capex 2023-24</v>
      </c>
      <c r="C1396" s="1429"/>
      <c r="D1396" s="1429"/>
      <c r="E1396" s="1429"/>
      <c r="F1396" s="1429"/>
      <c r="G1396" s="1429"/>
      <c r="H1396" s="1429"/>
      <c r="I1396" s="1429"/>
      <c r="J1396" s="1424"/>
      <c r="K1396" s="1428">
        <f>K1360</f>
        <v>0</v>
      </c>
      <c r="L1396" s="1423">
        <f t="shared" si="2018"/>
        <v>0</v>
      </c>
      <c r="M1396" s="1423">
        <f t="shared" si="2019"/>
        <v>0</v>
      </c>
      <c r="N1396" s="1423">
        <f t="shared" si="2020"/>
        <v>0</v>
      </c>
      <c r="O1396" s="1423">
        <f t="shared" si="2021"/>
        <v>0</v>
      </c>
      <c r="P1396" s="1423">
        <f t="shared" si="2022"/>
        <v>0</v>
      </c>
      <c r="Q1396" s="1423">
        <f t="shared" si="2023"/>
        <v>0</v>
      </c>
      <c r="R1396" s="1423">
        <f t="shared" si="2024"/>
        <v>0</v>
      </c>
      <c r="S1396" s="1423">
        <f t="shared" si="2025"/>
        <v>0</v>
      </c>
      <c r="T1396" s="1423">
        <f t="shared" si="2026"/>
        <v>0</v>
      </c>
      <c r="U1396" s="1423">
        <f t="shared" si="2027"/>
        <v>0</v>
      </c>
      <c r="V1396" s="1423">
        <f t="shared" si="2028"/>
        <v>0</v>
      </c>
      <c r="W1396" s="1423">
        <f t="shared" si="2029"/>
        <v>0</v>
      </c>
      <c r="X1396" s="152"/>
      <c r="Y1396" s="152"/>
      <c r="Z1396" s="152"/>
      <c r="AA1396" s="152"/>
      <c r="AB1396" s="152"/>
    </row>
    <row r="1397" spans="1:28" hidden="1" outlineLevel="1">
      <c r="A1397" s="152"/>
      <c r="B1397" s="190" t="str">
        <f t="shared" ca="1" si="2030"/>
        <v>RL Capex 2024-25</v>
      </c>
      <c r="C1397" s="1429"/>
      <c r="D1397" s="1429"/>
      <c r="E1397" s="1429"/>
      <c r="F1397" s="1429"/>
      <c r="G1397" s="1429"/>
      <c r="H1397" s="1429"/>
      <c r="I1397" s="1429"/>
      <c r="J1397" s="1429"/>
      <c r="K1397" s="1424"/>
      <c r="L1397" s="1428">
        <f>L1360</f>
        <v>0</v>
      </c>
      <c r="M1397" s="1423">
        <f t="shared" si="2019"/>
        <v>0</v>
      </c>
      <c r="N1397" s="1423">
        <f t="shared" si="2020"/>
        <v>0</v>
      </c>
      <c r="O1397" s="1423">
        <f t="shared" si="2021"/>
        <v>0</v>
      </c>
      <c r="P1397" s="1423">
        <f t="shared" si="2022"/>
        <v>0</v>
      </c>
      <c r="Q1397" s="1423">
        <f t="shared" si="2023"/>
        <v>0</v>
      </c>
      <c r="R1397" s="1423">
        <f t="shared" si="2024"/>
        <v>0</v>
      </c>
      <c r="S1397" s="1423">
        <f t="shared" si="2025"/>
        <v>0</v>
      </c>
      <c r="T1397" s="1423">
        <f t="shared" si="2026"/>
        <v>0</v>
      </c>
      <c r="U1397" s="1423">
        <f t="shared" si="2027"/>
        <v>0</v>
      </c>
      <c r="V1397" s="1423">
        <f t="shared" si="2028"/>
        <v>0</v>
      </c>
      <c r="W1397" s="1423">
        <f t="shared" si="2029"/>
        <v>0</v>
      </c>
      <c r="X1397" s="152"/>
      <c r="Y1397" s="152"/>
      <c r="Z1397" s="152"/>
      <c r="AA1397" s="152"/>
      <c r="AB1397" s="152"/>
    </row>
    <row r="1398" spans="1:28" hidden="1" outlineLevel="1">
      <c r="A1398" s="152"/>
      <c r="B1398" s="190" t="str">
        <f t="shared" ca="1" si="2030"/>
        <v>RL Capex 2025-26</v>
      </c>
      <c r="C1398" s="1429"/>
      <c r="D1398" s="1429"/>
      <c r="E1398" s="1429"/>
      <c r="F1398" s="1429"/>
      <c r="G1398" s="1429"/>
      <c r="H1398" s="1429"/>
      <c r="I1398" s="1429"/>
      <c r="J1398" s="1429"/>
      <c r="K1398" s="1429"/>
      <c r="L1398" s="1424"/>
      <c r="M1398" s="1428">
        <f>M1360</f>
        <v>0</v>
      </c>
      <c r="N1398" s="1423">
        <f t="shared" si="2020"/>
        <v>0</v>
      </c>
      <c r="O1398" s="1423">
        <f t="shared" si="2021"/>
        <v>0</v>
      </c>
      <c r="P1398" s="1423">
        <f t="shared" si="2022"/>
        <v>0</v>
      </c>
      <c r="Q1398" s="1423">
        <f t="shared" si="2023"/>
        <v>0</v>
      </c>
      <c r="R1398" s="1423">
        <f t="shared" si="2024"/>
        <v>0</v>
      </c>
      <c r="S1398" s="1423">
        <f t="shared" si="2025"/>
        <v>0</v>
      </c>
      <c r="T1398" s="1423">
        <f t="shared" si="2026"/>
        <v>0</v>
      </c>
      <c r="U1398" s="1423">
        <f t="shared" si="2027"/>
        <v>0</v>
      </c>
      <c r="V1398" s="1423">
        <f t="shared" si="2028"/>
        <v>0</v>
      </c>
      <c r="W1398" s="1423">
        <f t="shared" si="2029"/>
        <v>0</v>
      </c>
      <c r="X1398" s="152"/>
      <c r="Y1398" s="152"/>
      <c r="Z1398" s="152"/>
      <c r="AA1398" s="152"/>
      <c r="AB1398" s="152"/>
    </row>
    <row r="1399" spans="1:28" hidden="1" outlineLevel="1">
      <c r="A1399" s="152"/>
      <c r="B1399" s="190" t="str">
        <f t="shared" ca="1" si="2030"/>
        <v>RL Capex 2026-27</v>
      </c>
      <c r="C1399" s="1429"/>
      <c r="D1399" s="1429"/>
      <c r="E1399" s="1429"/>
      <c r="F1399" s="1429"/>
      <c r="G1399" s="1429"/>
      <c r="H1399" s="1429"/>
      <c r="I1399" s="1429"/>
      <c r="J1399" s="1429"/>
      <c r="K1399" s="1429"/>
      <c r="L1399" s="1429"/>
      <c r="M1399" s="1424"/>
      <c r="N1399" s="1428">
        <f>N1360</f>
        <v>0</v>
      </c>
      <c r="O1399" s="1423">
        <f t="shared" si="2021"/>
        <v>0</v>
      </c>
      <c r="P1399" s="1423">
        <f t="shared" si="2022"/>
        <v>0</v>
      </c>
      <c r="Q1399" s="1423">
        <f t="shared" si="2023"/>
        <v>0</v>
      </c>
      <c r="R1399" s="1423">
        <f t="shared" si="2024"/>
        <v>0</v>
      </c>
      <c r="S1399" s="1423">
        <f t="shared" si="2025"/>
        <v>0</v>
      </c>
      <c r="T1399" s="1423">
        <f t="shared" si="2026"/>
        <v>0</v>
      </c>
      <c r="U1399" s="1423">
        <f t="shared" si="2027"/>
        <v>0</v>
      </c>
      <c r="V1399" s="1423">
        <f t="shared" si="2028"/>
        <v>0</v>
      </c>
      <c r="W1399" s="1423">
        <f t="shared" si="2029"/>
        <v>0</v>
      </c>
      <c r="X1399" s="152"/>
      <c r="Y1399" s="152"/>
      <c r="Z1399" s="152"/>
      <c r="AA1399" s="152"/>
      <c r="AB1399" s="152"/>
    </row>
    <row r="1400" spans="1:28" hidden="1" outlineLevel="1">
      <c r="A1400" s="152"/>
      <c r="B1400" s="190" t="str">
        <f t="shared" ca="1" si="2030"/>
        <v>RL Capex 2027-28</v>
      </c>
      <c r="C1400" s="1429"/>
      <c r="D1400" s="1429"/>
      <c r="E1400" s="1429"/>
      <c r="F1400" s="1429"/>
      <c r="G1400" s="1429"/>
      <c r="H1400" s="1429"/>
      <c r="I1400" s="1429"/>
      <c r="J1400" s="1429"/>
      <c r="K1400" s="1429"/>
      <c r="L1400" s="1429"/>
      <c r="M1400" s="1429"/>
      <c r="N1400" s="1424"/>
      <c r="O1400" s="1428">
        <f>O1360</f>
        <v>0</v>
      </c>
      <c r="P1400" s="1423">
        <f t="shared" si="2022"/>
        <v>0</v>
      </c>
      <c r="Q1400" s="1423">
        <f t="shared" si="2023"/>
        <v>0</v>
      </c>
      <c r="R1400" s="1423">
        <f t="shared" si="2024"/>
        <v>0</v>
      </c>
      <c r="S1400" s="1423">
        <f t="shared" si="2025"/>
        <v>0</v>
      </c>
      <c r="T1400" s="1423">
        <f t="shared" si="2026"/>
        <v>0</v>
      </c>
      <c r="U1400" s="1423">
        <f t="shared" si="2027"/>
        <v>0</v>
      </c>
      <c r="V1400" s="1423">
        <f t="shared" si="2028"/>
        <v>0</v>
      </c>
      <c r="W1400" s="1423">
        <f t="shared" si="2029"/>
        <v>0</v>
      </c>
      <c r="X1400" s="152"/>
      <c r="Y1400" s="152"/>
      <c r="Z1400" s="152"/>
      <c r="AA1400" s="152"/>
      <c r="AB1400" s="152"/>
    </row>
    <row r="1401" spans="1:28" hidden="1" outlineLevel="1">
      <c r="A1401" s="152"/>
      <c r="B1401" s="190" t="str">
        <f t="shared" ca="1" si="2030"/>
        <v>RL Capex 2028-29</v>
      </c>
      <c r="C1401" s="1429"/>
      <c r="D1401" s="1429"/>
      <c r="E1401" s="1429"/>
      <c r="F1401" s="1429"/>
      <c r="G1401" s="1429"/>
      <c r="H1401" s="1429"/>
      <c r="I1401" s="1429"/>
      <c r="J1401" s="1429"/>
      <c r="K1401" s="1429"/>
      <c r="L1401" s="1429"/>
      <c r="M1401" s="1429"/>
      <c r="N1401" s="1429"/>
      <c r="O1401" s="1424"/>
      <c r="P1401" s="1428">
        <f>P1360</f>
        <v>0</v>
      </c>
      <c r="Q1401" s="1423">
        <f t="shared" si="2023"/>
        <v>0</v>
      </c>
      <c r="R1401" s="1423">
        <f t="shared" si="2024"/>
        <v>0</v>
      </c>
      <c r="S1401" s="1423">
        <f t="shared" si="2025"/>
        <v>0</v>
      </c>
      <c r="T1401" s="1423">
        <f t="shared" si="2026"/>
        <v>0</v>
      </c>
      <c r="U1401" s="1423">
        <f t="shared" si="2027"/>
        <v>0</v>
      </c>
      <c r="V1401" s="1423">
        <f t="shared" si="2028"/>
        <v>0</v>
      </c>
      <c r="W1401" s="1423">
        <f t="shared" si="2029"/>
        <v>0</v>
      </c>
      <c r="X1401" s="152"/>
      <c r="Y1401" s="152"/>
      <c r="Z1401" s="152"/>
      <c r="AA1401" s="152"/>
      <c r="AB1401" s="152"/>
    </row>
    <row r="1402" spans="1:28" hidden="1" outlineLevel="1">
      <c r="A1402" s="152"/>
      <c r="B1402" s="190" t="str">
        <f t="shared" ca="1" si="2030"/>
        <v>RL Capex 2029-30</v>
      </c>
      <c r="C1402" s="1429"/>
      <c r="D1402" s="1429"/>
      <c r="E1402" s="1429"/>
      <c r="F1402" s="1429"/>
      <c r="G1402" s="1429"/>
      <c r="H1402" s="1429"/>
      <c r="I1402" s="1429"/>
      <c r="J1402" s="1429"/>
      <c r="K1402" s="1429"/>
      <c r="L1402" s="1429"/>
      <c r="M1402" s="1429"/>
      <c r="N1402" s="1429"/>
      <c r="O1402" s="1429"/>
      <c r="P1402" s="1424"/>
      <c r="Q1402" s="1428">
        <f>Q1360</f>
        <v>0</v>
      </c>
      <c r="R1402" s="1423">
        <f t="shared" si="2024"/>
        <v>0</v>
      </c>
      <c r="S1402" s="1423">
        <f t="shared" si="2025"/>
        <v>0</v>
      </c>
      <c r="T1402" s="1423">
        <f t="shared" si="2026"/>
        <v>0</v>
      </c>
      <c r="U1402" s="1423">
        <f t="shared" si="2027"/>
        <v>0</v>
      </c>
      <c r="V1402" s="1423">
        <f t="shared" si="2028"/>
        <v>0</v>
      </c>
      <c r="W1402" s="1423">
        <f t="shared" si="2029"/>
        <v>0</v>
      </c>
      <c r="X1402" s="152"/>
      <c r="Y1402" s="152"/>
      <c r="Z1402" s="152"/>
      <c r="AA1402" s="152"/>
      <c r="AB1402" s="152"/>
    </row>
    <row r="1403" spans="1:28" hidden="1" outlineLevel="1">
      <c r="A1403" s="152"/>
      <c r="B1403" s="190" t="str">
        <f t="shared" ca="1" si="2030"/>
        <v>RL Capex 2030-31</v>
      </c>
      <c r="C1403" s="1429"/>
      <c r="D1403" s="1429"/>
      <c r="E1403" s="1429"/>
      <c r="F1403" s="1429"/>
      <c r="G1403" s="1429"/>
      <c r="H1403" s="1429"/>
      <c r="I1403" s="1429"/>
      <c r="J1403" s="1429"/>
      <c r="K1403" s="1429"/>
      <c r="L1403" s="1429"/>
      <c r="M1403" s="1429"/>
      <c r="N1403" s="1429"/>
      <c r="O1403" s="1429"/>
      <c r="P1403" s="1429"/>
      <c r="Q1403" s="1424"/>
      <c r="R1403" s="1428">
        <f>R1360</f>
        <v>0</v>
      </c>
      <c r="S1403" s="1423">
        <f t="shared" si="2025"/>
        <v>0</v>
      </c>
      <c r="T1403" s="1423">
        <f t="shared" si="2026"/>
        <v>0</v>
      </c>
      <c r="U1403" s="1423">
        <f t="shared" si="2027"/>
        <v>0</v>
      </c>
      <c r="V1403" s="1423">
        <f t="shared" si="2028"/>
        <v>0</v>
      </c>
      <c r="W1403" s="1423">
        <f t="shared" si="2029"/>
        <v>0</v>
      </c>
      <c r="X1403" s="152"/>
      <c r="Y1403" s="152"/>
      <c r="Z1403" s="152"/>
      <c r="AA1403" s="152"/>
      <c r="AB1403" s="152"/>
    </row>
    <row r="1404" spans="1:28" hidden="1" outlineLevel="1">
      <c r="A1404" s="152"/>
      <c r="B1404" s="190" t="str">
        <f t="shared" ca="1" si="2030"/>
        <v>RL Capex 2031-32</v>
      </c>
      <c r="C1404" s="1429"/>
      <c r="D1404" s="1429"/>
      <c r="E1404" s="1429"/>
      <c r="F1404" s="1429"/>
      <c r="G1404" s="1429"/>
      <c r="H1404" s="1429"/>
      <c r="I1404" s="1429"/>
      <c r="J1404" s="1429"/>
      <c r="K1404" s="1429"/>
      <c r="L1404" s="1429"/>
      <c r="M1404" s="1429"/>
      <c r="N1404" s="1429"/>
      <c r="O1404" s="1429"/>
      <c r="P1404" s="1429"/>
      <c r="Q1404" s="1429"/>
      <c r="R1404" s="1424"/>
      <c r="S1404" s="1428">
        <f>S1360</f>
        <v>0</v>
      </c>
      <c r="T1404" s="1423">
        <f t="shared" si="2026"/>
        <v>0</v>
      </c>
      <c r="U1404" s="1423">
        <f t="shared" si="2027"/>
        <v>0</v>
      </c>
      <c r="V1404" s="1423">
        <f t="shared" si="2028"/>
        <v>0</v>
      </c>
      <c r="W1404" s="1423">
        <f t="shared" si="2029"/>
        <v>0</v>
      </c>
      <c r="X1404" s="152"/>
      <c r="Y1404" s="152"/>
      <c r="Z1404" s="152"/>
      <c r="AA1404" s="152"/>
      <c r="AB1404" s="152"/>
    </row>
    <row r="1405" spans="1:28" hidden="1" outlineLevel="1">
      <c r="A1405" s="152"/>
      <c r="B1405" s="190" t="str">
        <f t="shared" ca="1" si="2030"/>
        <v>RL Capex 2032-33</v>
      </c>
      <c r="C1405" s="1429"/>
      <c r="D1405" s="1429"/>
      <c r="E1405" s="1429"/>
      <c r="F1405" s="1429"/>
      <c r="G1405" s="1429"/>
      <c r="H1405" s="1429"/>
      <c r="I1405" s="1429"/>
      <c r="J1405" s="1429"/>
      <c r="K1405" s="1429"/>
      <c r="L1405" s="1429"/>
      <c r="M1405" s="1429"/>
      <c r="N1405" s="1429"/>
      <c r="O1405" s="1429"/>
      <c r="P1405" s="1429"/>
      <c r="Q1405" s="1429"/>
      <c r="R1405" s="1429"/>
      <c r="S1405" s="1424"/>
      <c r="T1405" s="1428">
        <f>T1360</f>
        <v>0</v>
      </c>
      <c r="U1405" s="1423">
        <f t="shared" si="2027"/>
        <v>0</v>
      </c>
      <c r="V1405" s="1423">
        <f t="shared" si="2028"/>
        <v>0</v>
      </c>
      <c r="W1405" s="1423">
        <f t="shared" si="2029"/>
        <v>0</v>
      </c>
      <c r="X1405" s="152"/>
      <c r="Y1405" s="152"/>
      <c r="Z1405" s="152"/>
      <c r="AA1405" s="152"/>
      <c r="AB1405" s="152"/>
    </row>
    <row r="1406" spans="1:28" hidden="1" outlineLevel="1">
      <c r="A1406" s="152"/>
      <c r="B1406" s="190" t="str">
        <f t="shared" ca="1" si="2030"/>
        <v>RL Capex 2033-34</v>
      </c>
      <c r="C1406" s="1429"/>
      <c r="D1406" s="1429"/>
      <c r="E1406" s="1429"/>
      <c r="F1406" s="1429"/>
      <c r="G1406" s="1429"/>
      <c r="H1406" s="1429"/>
      <c r="I1406" s="1429"/>
      <c r="J1406" s="1429"/>
      <c r="K1406" s="1429"/>
      <c r="L1406" s="1429"/>
      <c r="M1406" s="1429"/>
      <c r="N1406" s="1429"/>
      <c r="O1406" s="1429"/>
      <c r="P1406" s="1429"/>
      <c r="Q1406" s="1429"/>
      <c r="R1406" s="1429"/>
      <c r="S1406" s="1429"/>
      <c r="T1406" s="1424"/>
      <c r="U1406" s="1428">
        <f>U1360</f>
        <v>0</v>
      </c>
      <c r="V1406" s="1423">
        <f t="shared" si="2028"/>
        <v>0</v>
      </c>
      <c r="W1406" s="1423">
        <f t="shared" si="2029"/>
        <v>0</v>
      </c>
      <c r="X1406" s="152"/>
      <c r="Y1406" s="152"/>
      <c r="Z1406" s="152"/>
      <c r="AA1406" s="152"/>
      <c r="AB1406" s="152"/>
    </row>
    <row r="1407" spans="1:28" hidden="1" outlineLevel="1">
      <c r="A1407" s="152"/>
      <c r="B1407" s="190" t="str">
        <f t="shared" ca="1" si="2030"/>
        <v>RL Capex 2034-35</v>
      </c>
      <c r="C1407" s="1429"/>
      <c r="D1407" s="1429"/>
      <c r="E1407" s="1429"/>
      <c r="F1407" s="1429"/>
      <c r="G1407" s="1429"/>
      <c r="H1407" s="1429"/>
      <c r="I1407" s="1429"/>
      <c r="J1407" s="1429"/>
      <c r="K1407" s="1429"/>
      <c r="L1407" s="1429"/>
      <c r="M1407" s="1429"/>
      <c r="N1407" s="1429"/>
      <c r="O1407" s="1429"/>
      <c r="P1407" s="1429"/>
      <c r="Q1407" s="1429"/>
      <c r="R1407" s="1429"/>
      <c r="S1407" s="1429"/>
      <c r="T1407" s="1429"/>
      <c r="U1407" s="1424"/>
      <c r="V1407" s="1428">
        <f>V1360</f>
        <v>0</v>
      </c>
      <c r="W1407" s="1423">
        <f>IF(V1407="n/a","n/a",MAX(0,V1407-1))</f>
        <v>0</v>
      </c>
      <c r="X1407" s="152"/>
      <c r="Y1407" s="152"/>
      <c r="Z1407" s="152"/>
      <c r="AA1407" s="152"/>
      <c r="AB1407" s="152"/>
    </row>
    <row r="1408" spans="1:28" hidden="1" outlineLevel="1">
      <c r="A1408" s="152"/>
      <c r="B1408" s="190" t="str">
        <f t="shared" ca="1" si="2030"/>
        <v>RL Capex 2035-36</v>
      </c>
      <c r="C1408" s="1429"/>
      <c r="D1408" s="1429"/>
      <c r="E1408" s="1429"/>
      <c r="F1408" s="1429"/>
      <c r="G1408" s="1429"/>
      <c r="H1408" s="1429"/>
      <c r="I1408" s="1429"/>
      <c r="J1408" s="1429"/>
      <c r="K1408" s="1429"/>
      <c r="L1408" s="1429"/>
      <c r="M1408" s="1429"/>
      <c r="N1408" s="1429"/>
      <c r="O1408" s="1429"/>
      <c r="P1408" s="1429"/>
      <c r="Q1408" s="1429"/>
      <c r="R1408" s="1429"/>
      <c r="S1408" s="1429"/>
      <c r="T1408" s="1429"/>
      <c r="U1408" s="1429"/>
      <c r="V1408" s="1424"/>
      <c r="W1408" s="1423">
        <f>W1360</f>
        <v>0</v>
      </c>
      <c r="X1408" s="152"/>
      <c r="Y1408" s="152"/>
      <c r="Z1408" s="152"/>
      <c r="AA1408" s="152"/>
      <c r="AB1408" s="152"/>
    </row>
    <row r="1409" spans="1:28" hidden="1" outlineLevel="1">
      <c r="A1409" s="152"/>
      <c r="B1409" s="200"/>
      <c r="C1409" s="1423"/>
      <c r="D1409" s="1423"/>
      <c r="E1409" s="1423"/>
      <c r="F1409" s="1423"/>
      <c r="G1409" s="1423"/>
      <c r="H1409" s="1423"/>
      <c r="I1409" s="1423"/>
      <c r="J1409" s="1423"/>
      <c r="K1409" s="1423"/>
      <c r="L1409" s="1423"/>
      <c r="M1409" s="1423"/>
      <c r="N1409" s="1423"/>
      <c r="O1409" s="1423"/>
      <c r="P1409" s="1423"/>
      <c r="Q1409" s="1423"/>
      <c r="R1409" s="1423"/>
      <c r="S1409" s="1423"/>
      <c r="T1409" s="1423"/>
      <c r="U1409" s="1423"/>
      <c r="V1409" s="1423"/>
      <c r="W1409" s="1423"/>
      <c r="X1409" s="152"/>
      <c r="Y1409" s="152"/>
      <c r="Z1409" s="152"/>
      <c r="AA1409" s="152"/>
      <c r="AB1409" s="152"/>
    </row>
    <row r="1410" spans="1:28" collapsed="1">
      <c r="A1410" s="194"/>
      <c r="B1410" s="204" t="s">
        <v>123</v>
      </c>
      <c r="C1410" s="1430">
        <f ca="1">(IF(OR($C1360&lt;&gt;"n/a",C1360&lt;&gt;"n/a"),IF(SUM(C1363:C1385)=0,0,IF((SUMPRODUCT(C1363:C1385,C1387:C1409)/SUM(C1363:C1385))&lt;0,1,(SUMPRODUCT(C1363:C1385,C1387:C1409)/SUM(C1363:C1385)))),"n/a"))</f>
        <v>0</v>
      </c>
      <c r="D1410" s="1430">
        <f ca="1">(IF(OR($C1360&lt;&gt;"n/a",D1360&lt;&gt;"n/a"),IF(SUM(D1363:D1385)=0,0,IF((SUMPRODUCT(D1363:D1385,D1387:D1409)/SUM(D1363:D1385))&lt;0,1,(SUMPRODUCT(D1363:D1385,D1387:D1409)/SUM(D1363:D1385)))),"n/a"))</f>
        <v>0</v>
      </c>
      <c r="E1410" s="1430">
        <f t="shared" ref="E1410:W1410" ca="1" si="2031">(IF(OR($C1360&lt;&gt;"n/a",E1360&lt;&gt;"n/a"),IF(SUM(E1363:E1385)=0,0,IF((SUMPRODUCT(E1363:E1385,E1387:E1409)/SUM(E1363:E1385))&lt;0,1,(SUMPRODUCT(E1363:E1385,E1387:E1409)/SUM(E1363:E1385)))),"n/a"))</f>
        <v>0</v>
      </c>
      <c r="F1410" s="1430">
        <f t="shared" ca="1" si="2031"/>
        <v>0</v>
      </c>
      <c r="G1410" s="1430">
        <f t="shared" ca="1" si="2031"/>
        <v>0</v>
      </c>
      <c r="H1410" s="1430">
        <f t="shared" ca="1" si="2031"/>
        <v>0</v>
      </c>
      <c r="I1410" s="1430">
        <f t="shared" ca="1" si="2031"/>
        <v>0</v>
      </c>
      <c r="J1410" s="1430">
        <f t="shared" ca="1" si="2031"/>
        <v>0</v>
      </c>
      <c r="K1410" s="1430">
        <f t="shared" ca="1" si="2031"/>
        <v>0</v>
      </c>
      <c r="L1410" s="1430">
        <f t="shared" ca="1" si="2031"/>
        <v>0</v>
      </c>
      <c r="M1410" s="1430">
        <f t="shared" ca="1" si="2031"/>
        <v>0</v>
      </c>
      <c r="N1410" s="1430">
        <f t="shared" ca="1" si="2031"/>
        <v>0</v>
      </c>
      <c r="O1410" s="1430">
        <f t="shared" ca="1" si="2031"/>
        <v>0</v>
      </c>
      <c r="P1410" s="1430">
        <f t="shared" ca="1" si="2031"/>
        <v>0</v>
      </c>
      <c r="Q1410" s="1430">
        <f t="shared" ca="1" si="2031"/>
        <v>0</v>
      </c>
      <c r="R1410" s="1430">
        <f t="shared" ca="1" si="2031"/>
        <v>0</v>
      </c>
      <c r="S1410" s="1430">
        <f t="shared" ca="1" si="2031"/>
        <v>0</v>
      </c>
      <c r="T1410" s="1430">
        <f t="shared" ca="1" si="2031"/>
        <v>0</v>
      </c>
      <c r="U1410" s="1430">
        <f t="shared" ca="1" si="2031"/>
        <v>0</v>
      </c>
      <c r="V1410" s="1430">
        <f t="shared" ca="1" si="2031"/>
        <v>0</v>
      </c>
      <c r="W1410" s="1430">
        <f t="shared" ca="1" si="2031"/>
        <v>0</v>
      </c>
      <c r="X1410" s="152"/>
      <c r="Y1410" s="152"/>
      <c r="Z1410" s="152"/>
      <c r="AA1410" s="152"/>
      <c r="AB1410" s="152"/>
    </row>
    <row r="1411" spans="1:28">
      <c r="A1411" s="152"/>
      <c r="B1411" s="152"/>
      <c r="C1411" s="1423"/>
      <c r="D1411" s="1423"/>
      <c r="E1411" s="1423"/>
      <c r="F1411" s="1423"/>
      <c r="G1411" s="1423"/>
      <c r="H1411" s="1423"/>
      <c r="I1411" s="1423"/>
      <c r="J1411" s="1423"/>
      <c r="K1411" s="1423"/>
      <c r="L1411" s="1423"/>
      <c r="M1411" s="1423"/>
      <c r="N1411" s="1423"/>
      <c r="O1411" s="1423"/>
      <c r="P1411" s="1423"/>
      <c r="Q1411" s="1423"/>
      <c r="R1411" s="1423"/>
      <c r="S1411" s="1423"/>
      <c r="T1411" s="1423"/>
      <c r="U1411" s="1423"/>
      <c r="V1411" s="1423"/>
      <c r="W1411" s="1423"/>
      <c r="X1411" s="152"/>
      <c r="Y1411" s="152"/>
      <c r="Z1411" s="152"/>
      <c r="AA1411" s="152"/>
      <c r="AB1411" s="152"/>
    </row>
    <row r="1412" spans="1:28">
      <c r="A1412" s="269" t="s">
        <v>61</v>
      </c>
      <c r="B1412" s="270">
        <f>VLOOKUP($A1412,'RFM input'!$E$7:$F$56,2,FALSE)</f>
        <v>0</v>
      </c>
      <c r="C1412" s="1431"/>
      <c r="D1412" s="1431"/>
      <c r="E1412" s="1432"/>
      <c r="F1412" s="1432"/>
      <c r="G1412" s="1432"/>
      <c r="H1412" s="1432"/>
      <c r="I1412" s="1432"/>
      <c r="J1412" s="1432"/>
      <c r="K1412" s="1432"/>
      <c r="L1412" s="1432"/>
      <c r="M1412" s="1432"/>
      <c r="N1412" s="1432"/>
      <c r="O1412" s="1432"/>
      <c r="P1412" s="1432"/>
      <c r="Q1412" s="1432"/>
      <c r="R1412" s="1432"/>
      <c r="S1412" s="1432"/>
      <c r="T1412" s="1432"/>
      <c r="U1412" s="1432"/>
      <c r="V1412" s="1432"/>
      <c r="W1412" s="1432"/>
      <c r="X1412" s="152"/>
      <c r="Y1412" s="152"/>
      <c r="Z1412" s="152"/>
      <c r="AA1412" s="152"/>
      <c r="AB1412" s="152"/>
    </row>
    <row r="1413" spans="1:28">
      <c r="A1413" s="215">
        <f>VALUE(REPLACE(A1412,1,12,""))</f>
        <v>27</v>
      </c>
      <c r="B1413" s="193" t="s">
        <v>126</v>
      </c>
      <c r="C1413" s="1416">
        <f ca="1">IF($D$6='TAB roll forward'!$H$4,OFFSET('TAB roll forward'!$H$7,A1413,0),"enter input")</f>
        <v>0</v>
      </c>
      <c r="D1413" s="1417">
        <f>IF(LEFT(D$6,4)&lt;LEFT('RFM input'!$G$60,4),"enter input",IF(LEFT(D$6,4)&gt;LEFT('RFM input'!$Q$60,4),0,
INDEX('RFM input'!$G$61:$Q$110,$A1413,MATCH(D$6,'RFM input'!$G$60:$Q$60,0))
   -INDEX('RFM input'!$G$115:$Q$164,$A1413,MATCH(D$6,'RFM input'!$G$60:$Q$60,0))))</f>
        <v>0</v>
      </c>
      <c r="E1413" s="1417">
        <f>IF(LEFT(E$6,4)&lt;LEFT('RFM input'!$G$60,4),"enter input",IF(LEFT(E$6,4)&gt;LEFT('RFM input'!$Q$60,4),0,
INDEX('RFM input'!$G$61:$Q$110,$A1413,MATCH(E$6,'RFM input'!$G$60:$Q$60,0))
   -INDEX('RFM input'!$G$115:$Q$164,$A1413,MATCH(E$6,'RFM input'!$G$60:$Q$60,0))))</f>
        <v>0</v>
      </c>
      <c r="F1413" s="1417">
        <f>IF(LEFT(F$6,4)&lt;LEFT('RFM input'!$G$60,4),"enter input",IF(LEFT(F$6,4)&gt;LEFT('RFM input'!$Q$60,4),0,
INDEX('RFM input'!$G$61:$Q$110,$A1413,MATCH(F$6,'RFM input'!$G$60:$Q$60,0))
   -INDEX('RFM input'!$G$115:$Q$164,$A1413,MATCH(F$6,'RFM input'!$G$60:$Q$60,0))))</f>
        <v>0</v>
      </c>
      <c r="G1413" s="1417">
        <f>IF(LEFT(G$6,4)&lt;LEFT('RFM input'!$G$60,4),"enter input",IF(LEFT(G$6,4)&gt;LEFT('RFM input'!$Q$60,4),0,
INDEX('RFM input'!$G$61:$Q$110,$A1413,MATCH(G$6,'RFM input'!$G$60:$Q$60,0))
   -INDEX('RFM input'!$G$115:$Q$164,$A1413,MATCH(G$6,'RFM input'!$G$60:$Q$60,0))))</f>
        <v>0</v>
      </c>
      <c r="H1413" s="1417">
        <f>IF(LEFT(H$6,4)&lt;LEFT('RFM input'!$G$60,4),"enter input",IF(LEFT(H$6,4)&gt;LEFT('RFM input'!$Q$60,4),0,
INDEX('RFM input'!$G$61:$Q$110,$A1413,MATCH(H$6,'RFM input'!$G$60:$Q$60,0))
   -INDEX('RFM input'!$G$115:$Q$164,$A1413,MATCH(H$6,'RFM input'!$G$60:$Q$60,0))))</f>
        <v>0</v>
      </c>
      <c r="I1413" s="1417">
        <f>IF(LEFT(I$6,4)&lt;LEFT('RFM input'!$G$60,4),"enter input",IF(LEFT(I$6,4)&gt;LEFT('RFM input'!$Q$60,4),0,
INDEX('RFM input'!$G$61:$Q$110,$A1413,MATCH(I$6,'RFM input'!$G$60:$Q$60,0))
   -INDEX('RFM input'!$G$115:$Q$164,$A1413,MATCH(I$6,'RFM input'!$G$60:$Q$60,0))))</f>
        <v>0</v>
      </c>
      <c r="J1413" s="1417">
        <f>IF(LEFT(J$6,4)&lt;LEFT('RFM input'!$G$60,4),"enter input",IF(LEFT(J$6,4)&gt;LEFT('RFM input'!$Q$60,4),0,
INDEX('RFM input'!$G$61:$Q$110,$A1413,MATCH(J$6,'RFM input'!$G$60:$Q$60,0))
   -INDEX('RFM input'!$G$115:$Q$164,$A1413,MATCH(J$6,'RFM input'!$G$60:$Q$60,0))))</f>
        <v>0</v>
      </c>
      <c r="K1413" s="1417">
        <f>IF(LEFT(K$6,4)&lt;LEFT('RFM input'!$G$60,4),"enter input",IF(LEFT(K$6,4)&gt;LEFT('RFM input'!$Q$60,4),0,
INDEX('RFM input'!$G$61:$Q$110,$A1413,MATCH(K$6,'RFM input'!$G$60:$Q$60,0))
   -INDEX('RFM input'!$G$115:$Q$164,$A1413,MATCH(K$6,'RFM input'!$G$60:$Q$60,0))))</f>
        <v>0</v>
      </c>
      <c r="L1413" s="1417">
        <f>IF(LEFT(L$6,4)&lt;LEFT('RFM input'!$G$60,4),"enter input",IF(LEFT(L$6,4)&gt;LEFT('RFM input'!$Q$60,4),0,
INDEX('RFM input'!$G$61:$Q$110,$A1413,MATCH(L$6,'RFM input'!$G$60:$Q$60,0))
   -INDEX('RFM input'!$G$115:$Q$164,$A1413,MATCH(L$6,'RFM input'!$G$60:$Q$60,0))))</f>
        <v>0</v>
      </c>
      <c r="M1413" s="1417">
        <f>IF(LEFT(M$6,4)&lt;LEFT('RFM input'!$G$60,4),"enter input",IF(LEFT(M$6,4)&gt;LEFT('RFM input'!$Q$60,4),0,
INDEX('RFM input'!$G$61:$Q$110,$A1413,MATCH(M$6,'RFM input'!$G$60:$Q$60,0))
   -INDEX('RFM input'!$G$115:$Q$164,$A1413,MATCH(M$6,'RFM input'!$G$60:$Q$60,0))))</f>
        <v>0</v>
      </c>
      <c r="N1413" s="1417">
        <f>IF(LEFT(N$6,4)&lt;LEFT('RFM input'!$G$60,4),"enter input",IF(LEFT(N$6,4)&gt;LEFT('RFM input'!$Q$60,4),0,
INDEX('RFM input'!$G$61:$Q$110,$A1413,MATCH(N$6,'RFM input'!$G$60:$Q$60,0))
   -INDEX('RFM input'!$G$115:$Q$164,$A1413,MATCH(N$6,'RFM input'!$G$60:$Q$60,0))))</f>
        <v>0</v>
      </c>
      <c r="O1413" s="1417">
        <f>IF(LEFT(O$6,4)&lt;LEFT('RFM input'!$G$60,4),"enter input",IF(LEFT(O$6,4)&gt;LEFT('RFM input'!$Q$60,4),0,
INDEX('RFM input'!$G$61:$Q$110,$A1413,MATCH(O$6,'RFM input'!$G$60:$Q$60,0))
   -INDEX('RFM input'!$G$115:$Q$164,$A1413,MATCH(O$6,'RFM input'!$G$60:$Q$60,0))))</f>
        <v>0</v>
      </c>
      <c r="P1413" s="1417">
        <f>IF(LEFT(P$6,4)&lt;LEFT('RFM input'!$G$60,4),"enter input",IF(LEFT(P$6,4)&gt;LEFT('RFM input'!$Q$60,4),0,
INDEX('RFM input'!$G$61:$Q$110,$A1413,MATCH(P$6,'RFM input'!$G$60:$Q$60,0))
   -INDEX('RFM input'!$G$115:$Q$164,$A1413,MATCH(P$6,'RFM input'!$G$60:$Q$60,0))))</f>
        <v>0</v>
      </c>
      <c r="Q1413" s="1417">
        <f>IF(LEFT(Q$6,4)&lt;LEFT('RFM input'!$G$60,4),"enter input",IF(LEFT(Q$6,4)&gt;LEFT('RFM input'!$Q$60,4),0,
INDEX('RFM input'!$G$61:$Q$110,$A1413,MATCH(Q$6,'RFM input'!$G$60:$Q$60,0))
   -INDEX('RFM input'!$G$115:$Q$164,$A1413,MATCH(Q$6,'RFM input'!$G$60:$Q$60,0))))</f>
        <v>0</v>
      </c>
      <c r="R1413" s="1417">
        <f>IF(LEFT(R$6,4)&lt;LEFT('RFM input'!$G$60,4),"enter input",IF(LEFT(R$6,4)&gt;LEFT('RFM input'!$Q$60,4),0,
INDEX('RFM input'!$G$61:$Q$110,$A1413,MATCH(R$6,'RFM input'!$G$60:$Q$60,0))
   -INDEX('RFM input'!$G$115:$Q$164,$A1413,MATCH(R$6,'RFM input'!$G$60:$Q$60,0))))</f>
        <v>0</v>
      </c>
      <c r="S1413" s="1417">
        <f>IF(LEFT(S$6,4)&lt;LEFT('RFM input'!$G$60,4),"enter input",IF(LEFT(S$6,4)&gt;LEFT('RFM input'!$Q$60,4),0,
INDEX('RFM input'!$G$61:$Q$110,$A1413,MATCH(S$6,'RFM input'!$G$60:$Q$60,0))
   -INDEX('RFM input'!$G$115:$Q$164,$A1413,MATCH(S$6,'RFM input'!$G$60:$Q$60,0))))</f>
        <v>0</v>
      </c>
      <c r="T1413" s="1417">
        <f>IF(LEFT(T$6,4)&lt;LEFT('RFM input'!$G$60,4),"enter input",IF(LEFT(T$6,4)&gt;LEFT('RFM input'!$Q$60,4),0,
INDEX('RFM input'!$G$61:$Q$110,$A1413,MATCH(T$6,'RFM input'!$G$60:$Q$60,0))
   -INDEX('RFM input'!$G$115:$Q$164,$A1413,MATCH(T$6,'RFM input'!$G$60:$Q$60,0))))</f>
        <v>0</v>
      </c>
      <c r="U1413" s="1417">
        <f>IF(LEFT(U$6,4)&lt;LEFT('RFM input'!$G$60,4),"enter input",IF(LEFT(U$6,4)&gt;LEFT('RFM input'!$Q$60,4),0,
INDEX('RFM input'!$G$61:$Q$110,$A1413,MATCH(U$6,'RFM input'!$G$60:$Q$60,0))
   -INDEX('RFM input'!$G$115:$Q$164,$A1413,MATCH(U$6,'RFM input'!$G$60:$Q$60,0))))</f>
        <v>0</v>
      </c>
      <c r="V1413" s="1417">
        <f>IF(LEFT(V$6,4)&lt;LEFT('RFM input'!$G$60,4),"enter input",IF(LEFT(V$6,4)&gt;LEFT('RFM input'!$Q$60,4),0,
INDEX('RFM input'!$G$61:$Q$110,$A1413,MATCH(V$6,'RFM input'!$G$60:$Q$60,0))
   -INDEX('RFM input'!$G$115:$Q$164,$A1413,MATCH(V$6,'RFM input'!$G$60:$Q$60,0))))</f>
        <v>0</v>
      </c>
      <c r="W1413" s="1417">
        <f>IF(LEFT(W$6,4)&lt;LEFT('RFM input'!$G$60,4),"enter input",IF(LEFT(W$6,4)&gt;LEFT('RFM input'!$Q$60,4),0,
INDEX('RFM input'!$G$61:$Q$110,$A1413,MATCH(W$6,'RFM input'!$G$60:$Q$60,0))
   -INDEX('RFM input'!$G$115:$Q$164,$A1413,MATCH(W$6,'RFM input'!$G$60:$Q$60,0))))</f>
        <v>0</v>
      </c>
      <c r="X1413" s="152"/>
      <c r="Y1413" s="152"/>
      <c r="Z1413" s="152"/>
      <c r="AA1413" s="152"/>
      <c r="AB1413" s="152"/>
    </row>
    <row r="1414" spans="1:28">
      <c r="A1414" s="152"/>
      <c r="B1414" s="152" t="s">
        <v>205</v>
      </c>
      <c r="C1414" s="1418">
        <f ca="1">IF($D$6='TAB roll forward'!$H$4,OFFSET('RFM input'!$S$6,$A1413,0),"enter input")</f>
        <v>0</v>
      </c>
      <c r="D1414" s="1417">
        <f>IF(LEFT(D$6,4)&lt;=LEFT('RFM input'!$G$60,4),"enter input",IF(LEFT(D$6,4)&gt;LEFT('RFM input'!$Q$60,4),0,
IF(MATCH(D$6,'RFM input'!$H$60:$Q$60,0),INDEX('RFM input'!$T$7:$T$56,$A1413,1,1))))</f>
        <v>0</v>
      </c>
      <c r="E1414" s="1417">
        <f>IF(LEFT(E$6,4)&lt;=LEFT('RFM input'!$G$60,4),"enter input",IF(LEFT(E$6,4)&gt;LEFT('RFM input'!$Q$60,4),0,
IF(MATCH(E$6,'RFM input'!$H$60:$Q$60,0),INDEX('RFM input'!$T$7:$T$56,$A1413,1,1))))</f>
        <v>0</v>
      </c>
      <c r="F1414" s="1417">
        <f>IF(LEFT(F$6,4)&lt;=LEFT('RFM input'!$G$60,4),"enter input",IF(LEFT(F$6,4)&gt;LEFT('RFM input'!$Q$60,4),0,
IF(MATCH(F$6,'RFM input'!$H$60:$Q$60,0),INDEX('RFM input'!$T$7:$T$56,$A1413,1,1))))</f>
        <v>0</v>
      </c>
      <c r="G1414" s="1417">
        <f>IF(LEFT(G$6,4)&lt;=LEFT('RFM input'!$G$60,4),"enter input",IF(LEFT(G$6,4)&gt;LEFT('RFM input'!$Q$60,4),0,
IF(MATCH(G$6,'RFM input'!$H$60:$Q$60,0),INDEX('RFM input'!$T$7:$T$56,$A1413,1,1))))</f>
        <v>0</v>
      </c>
      <c r="H1414" s="1417">
        <f>IF(LEFT(H$6,4)&lt;=LEFT('RFM input'!$G$60,4),"enter input",IF(LEFT(H$6,4)&gt;LEFT('RFM input'!$Q$60,4),0,
IF(MATCH(H$6,'RFM input'!$H$60:$Q$60,0),INDEX('RFM input'!$T$7:$T$56,$A1413,1,1))))</f>
        <v>0</v>
      </c>
      <c r="I1414" s="1417">
        <f>IF(LEFT(I$6,4)&lt;=LEFT('RFM input'!$G$60,4),"enter input",IF(LEFT(I$6,4)&gt;LEFT('RFM input'!$Q$60,4),0,
IF(MATCH(I$6,'RFM input'!$H$60:$Q$60,0),INDEX('RFM input'!$T$7:$T$56,$A1413,1,1))))</f>
        <v>0</v>
      </c>
      <c r="J1414" s="1417">
        <f>IF(LEFT(J$6,4)&lt;=LEFT('RFM input'!$G$60,4),"enter input",IF(LEFT(J$6,4)&gt;LEFT('RFM input'!$Q$60,4),0,
IF(MATCH(J$6,'RFM input'!$H$60:$Q$60,0),INDEX('RFM input'!$T$7:$T$56,$A1413,1,1))))</f>
        <v>0</v>
      </c>
      <c r="K1414" s="1417">
        <f>IF(LEFT(K$6,4)&lt;=LEFT('RFM input'!$G$60,4),"enter input",IF(LEFT(K$6,4)&gt;LEFT('RFM input'!$Q$60,4),0,
IF(MATCH(K$6,'RFM input'!$H$60:$Q$60,0),INDEX('RFM input'!$T$7:$T$56,$A1413,1,1))))</f>
        <v>0</v>
      </c>
      <c r="L1414" s="1417">
        <f>IF(LEFT(L$6,4)&lt;=LEFT('RFM input'!$G$60,4),"enter input",IF(LEFT(L$6,4)&gt;LEFT('RFM input'!$Q$60,4),0,
IF(MATCH(L$6,'RFM input'!$H$60:$Q$60,0),INDEX('RFM input'!$T$7:$T$56,$A1413,1,1))))</f>
        <v>0</v>
      </c>
      <c r="M1414" s="1417">
        <f>IF(LEFT(M$6,4)&lt;=LEFT('RFM input'!$G$60,4),"enter input",IF(LEFT(M$6,4)&gt;LEFT('RFM input'!$Q$60,4),0,
IF(MATCH(M$6,'RFM input'!$H$60:$Q$60,0),INDEX('RFM input'!$T$7:$T$56,$A1413,1,1))))</f>
        <v>0</v>
      </c>
      <c r="N1414" s="1417">
        <f>IF(LEFT(N$6,4)&lt;=LEFT('RFM input'!$G$60,4),"enter input",IF(LEFT(N$6,4)&gt;LEFT('RFM input'!$Q$60,4),0,
IF(MATCH(N$6,'RFM input'!$H$60:$Q$60,0),INDEX('RFM input'!$T$7:$T$56,$A1413,1,1))))</f>
        <v>0</v>
      </c>
      <c r="O1414" s="1417">
        <f>IF(LEFT(O$6,4)&lt;=LEFT('RFM input'!$G$60,4),"enter input",IF(LEFT(O$6,4)&gt;LEFT('RFM input'!$Q$60,4),0,
IF(MATCH(O$6,'RFM input'!$H$60:$Q$60,0),INDEX('RFM input'!$T$7:$T$56,$A1413,1,1))))</f>
        <v>0</v>
      </c>
      <c r="P1414" s="1417">
        <f>IF(LEFT(P$6,4)&lt;=LEFT('RFM input'!$G$60,4),"enter input",IF(LEFT(P$6,4)&gt;LEFT('RFM input'!$Q$60,4),0,
IF(MATCH(P$6,'RFM input'!$H$60:$Q$60,0),INDEX('RFM input'!$T$7:$T$56,$A1413,1,1))))</f>
        <v>0</v>
      </c>
      <c r="Q1414" s="1417">
        <f>IF(LEFT(Q$6,4)&lt;=LEFT('RFM input'!$G$60,4),"enter input",IF(LEFT(Q$6,4)&gt;LEFT('RFM input'!$Q$60,4),0,
IF(MATCH(Q$6,'RFM input'!$H$60:$Q$60,0),INDEX('RFM input'!$T$7:$T$56,$A1413,1,1))))</f>
        <v>0</v>
      </c>
      <c r="R1414" s="1417">
        <f>IF(LEFT(R$6,4)&lt;=LEFT('RFM input'!$G$60,4),"enter input",IF(LEFT(R$6,4)&gt;LEFT('RFM input'!$Q$60,4),0,
IF(MATCH(R$6,'RFM input'!$H$60:$Q$60,0),INDEX('RFM input'!$T$7:$T$56,$A1413,1,1))))</f>
        <v>0</v>
      </c>
      <c r="S1414" s="1417">
        <f>IF(LEFT(S$6,4)&lt;=LEFT('RFM input'!$G$60,4),"enter input",IF(LEFT(S$6,4)&gt;LEFT('RFM input'!$Q$60,4),0,
IF(MATCH(S$6,'RFM input'!$H$60:$Q$60,0),INDEX('RFM input'!$T$7:$T$56,$A1413,1,1))))</f>
        <v>0</v>
      </c>
      <c r="T1414" s="1417">
        <f>IF(LEFT(T$6,4)&lt;=LEFT('RFM input'!$G$60,4),"enter input",IF(LEFT(T$6,4)&gt;LEFT('RFM input'!$Q$60,4),0,
IF(MATCH(T$6,'RFM input'!$H$60:$Q$60,0),INDEX('RFM input'!$T$7:$T$56,$A1413,1,1))))</f>
        <v>0</v>
      </c>
      <c r="U1414" s="1417">
        <f>IF(LEFT(U$6,4)&lt;=LEFT('RFM input'!$G$60,4),"enter input",IF(LEFT(U$6,4)&gt;LEFT('RFM input'!$Q$60,4),0,
IF(MATCH(U$6,'RFM input'!$H$60:$Q$60,0),INDEX('RFM input'!$T$7:$T$56,$A1413,1,1))))</f>
        <v>0</v>
      </c>
      <c r="V1414" s="1417">
        <f>IF(LEFT(V$6,4)&lt;=LEFT('RFM input'!$G$60,4),"enter input",IF(LEFT(V$6,4)&gt;LEFT('RFM input'!$Q$60,4),0,
IF(MATCH(V$6,'RFM input'!$H$60:$Q$60,0),INDEX('RFM input'!$T$7:$T$56,$A1413,1,1))))</f>
        <v>0</v>
      </c>
      <c r="W1414" s="1417">
        <f>IF(LEFT(W$6,4)&lt;=LEFT('RFM input'!$G$60,4),"enter input",IF(LEFT(W$6,4)&gt;LEFT('RFM input'!$Q$60,4),0,
IF(MATCH(W$6,'RFM input'!$H$60:$Q$60,0),INDEX('RFM input'!$T$7:$T$56,$A1413,1,1))))</f>
        <v>0</v>
      </c>
      <c r="X1414" s="152"/>
      <c r="Y1414" s="152"/>
      <c r="Z1414" s="152"/>
      <c r="AA1414" s="152"/>
      <c r="AB1414" s="152"/>
    </row>
    <row r="1415" spans="1:28">
      <c r="A1415" s="152"/>
      <c r="B1415" s="193" t="s">
        <v>192</v>
      </c>
      <c r="C1415" s="1419"/>
      <c r="D1415" s="1420">
        <f ca="1">IF(LEFT(D$6,4)&lt;=LEFT('RFM input'!$G$60,4),"enter input",IF(LEFT(D$6,4)&gt;LEFT('RFM input'!$Q$60,4),0,
IF(D$6=(OFFSET('RFM input'!$G$60,0,'RFM input'!$V$7)),OFFSET('RFM input'!$H$411,$A1413,0),0)))</f>
        <v>0</v>
      </c>
      <c r="E1415" s="1417">
        <f ca="1">IF(LEFT(E$6,4)&lt;=LEFT('RFM input'!$G$60,4),"enter input",IF(LEFT(E$6,4)&gt;LEFT('RFM input'!$Q$60,4),0,
IF(E$6=(OFFSET('RFM input'!$G$60,0,'RFM input'!$V$7)),OFFSET('RFM input'!$H$411,$A1413,0),0)))</f>
        <v>0</v>
      </c>
      <c r="F1415" s="1417">
        <f ca="1">IF(LEFT(F$6,4)&lt;=LEFT('RFM input'!$G$60,4),"enter input",IF(LEFT(F$6,4)&gt;LEFT('RFM input'!$Q$60,4),0,
IF(F$6=(OFFSET('RFM input'!$G$60,0,'RFM input'!$V$7)),OFFSET('RFM input'!$H$411,$A1413,0),0)))</f>
        <v>0</v>
      </c>
      <c r="G1415" s="1417">
        <f ca="1">IF(LEFT(G$6,4)&lt;=LEFT('RFM input'!$G$60,4),"enter input",IF(LEFT(G$6,4)&gt;LEFT('RFM input'!$Q$60,4),0,
IF(G$6=(OFFSET('RFM input'!$G$60,0,'RFM input'!$V$7)),OFFSET('RFM input'!$H$411,$A1413,0),0)))</f>
        <v>0</v>
      </c>
      <c r="H1415" s="1417">
        <f ca="1">IF(LEFT(H$6,4)&lt;=LEFT('RFM input'!$G$60,4),"enter input",IF(LEFT(H$6,4)&gt;LEFT('RFM input'!$Q$60,4),0,
IF(H$6=(OFFSET('RFM input'!$G$60,0,'RFM input'!$V$7)),OFFSET('RFM input'!$H$411,$A1413,0),0)))</f>
        <v>0</v>
      </c>
      <c r="I1415" s="1417">
        <f ca="1">IF(LEFT(I$6,4)&lt;=LEFT('RFM input'!$G$60,4),"enter input",IF(LEFT(I$6,4)&gt;LEFT('RFM input'!$Q$60,4),0,
IF(I$6=(OFFSET('RFM input'!$G$60,0,'RFM input'!$V$7)),OFFSET('RFM input'!$H$411,$A1413,0),0)))</f>
        <v>0</v>
      </c>
      <c r="J1415" s="1417">
        <f ca="1">IF(LEFT(J$6,4)&lt;=LEFT('RFM input'!$G$60,4),"enter input",IF(LEFT(J$6,4)&gt;LEFT('RFM input'!$Q$60,4),0,
IF(J$6=(OFFSET('RFM input'!$G$60,0,'RFM input'!$V$7)),OFFSET('RFM input'!$H$411,$A1413,0),0)))</f>
        <v>0</v>
      </c>
      <c r="K1415" s="1417">
        <f ca="1">IF(LEFT(K$6,4)&lt;=LEFT('RFM input'!$G$60,4),"enter input",IF(LEFT(K$6,4)&gt;LEFT('RFM input'!$Q$60,4),0,
IF(K$6=(OFFSET('RFM input'!$G$60,0,'RFM input'!$V$7)),OFFSET('RFM input'!$H$411,$A1413,0),0)))</f>
        <v>0</v>
      </c>
      <c r="L1415" s="1417">
        <f ca="1">IF(LEFT(L$6,4)&lt;=LEFT('RFM input'!$G$60,4),"enter input",IF(LEFT(L$6,4)&gt;LEFT('RFM input'!$Q$60,4),0,
IF(L$6=(OFFSET('RFM input'!$G$60,0,'RFM input'!$V$7)),OFFSET('RFM input'!$H$411,$A1413,0),0)))</f>
        <v>0</v>
      </c>
      <c r="M1415" s="1417">
        <f ca="1">IF(LEFT(M$6,4)&lt;=LEFT('RFM input'!$G$60,4),"enter input",IF(LEFT(M$6,4)&gt;LEFT('RFM input'!$Q$60,4),0,
IF(M$6=(OFFSET('RFM input'!$G$60,0,'RFM input'!$V$7)),OFFSET('RFM input'!$H$411,$A1413,0),0)))</f>
        <v>0</v>
      </c>
      <c r="N1415" s="1417">
        <f ca="1">IF(LEFT(N$6,4)&lt;=LEFT('RFM input'!$G$60,4),"enter input",IF(LEFT(N$6,4)&gt;LEFT('RFM input'!$Q$60,4),0,
IF(N$6=(OFFSET('RFM input'!$G$60,0,'RFM input'!$V$7)),OFFSET('RFM input'!$H$411,$A1413,0),0)))</f>
        <v>0</v>
      </c>
      <c r="O1415" s="1417">
        <f ca="1">IF(LEFT(O$6,4)&lt;=LEFT('RFM input'!$G$60,4),"enter input",IF(LEFT(O$6,4)&gt;LEFT('RFM input'!$Q$60,4),0,
IF(O$6=(OFFSET('RFM input'!$G$60,0,'RFM input'!$V$7)),OFFSET('RFM input'!$H$411,$A1413,0),0)))</f>
        <v>0</v>
      </c>
      <c r="P1415" s="1417">
        <f ca="1">IF(LEFT(P$6,4)&lt;=LEFT('RFM input'!$G$60,4),"enter input",IF(LEFT(P$6,4)&gt;LEFT('RFM input'!$Q$60,4),0,
IF(P$6=(OFFSET('RFM input'!$G$60,0,'RFM input'!$V$7)),OFFSET('RFM input'!$H$411,$A1413,0),0)))</f>
        <v>0</v>
      </c>
      <c r="Q1415" s="1417">
        <f ca="1">IF(LEFT(Q$6,4)&lt;=LEFT('RFM input'!$G$60,4),"enter input",IF(LEFT(Q$6,4)&gt;LEFT('RFM input'!$Q$60,4),0,
IF(Q$6=(OFFSET('RFM input'!$G$60,0,'RFM input'!$V$7)),OFFSET('RFM input'!$H$411,$A1413,0),0)))</f>
        <v>0</v>
      </c>
      <c r="R1415" s="1417">
        <f ca="1">IF(LEFT(R$6,4)&lt;=LEFT('RFM input'!$G$60,4),"enter input",IF(LEFT(R$6,4)&gt;LEFT('RFM input'!$Q$60,4),0,
IF(R$6=(OFFSET('RFM input'!$G$60,0,'RFM input'!$V$7)),OFFSET('RFM input'!$H$411,$A1413,0),0)))</f>
        <v>0</v>
      </c>
      <c r="S1415" s="1417">
        <f ca="1">IF(LEFT(S$6,4)&lt;=LEFT('RFM input'!$G$60,4),"enter input",IF(LEFT(S$6,4)&gt;LEFT('RFM input'!$Q$60,4),0,
IF(S$6=(OFFSET('RFM input'!$G$60,0,'RFM input'!$V$7)),OFFSET('RFM input'!$H$411,$A1413,0),0)))</f>
        <v>0</v>
      </c>
      <c r="T1415" s="1417">
        <f ca="1">IF(LEFT(T$6,4)&lt;=LEFT('RFM input'!$G$60,4),"enter input",IF(LEFT(T$6,4)&gt;LEFT('RFM input'!$Q$60,4),0,
IF(T$6=(OFFSET('RFM input'!$G$60,0,'RFM input'!$V$7)),OFFSET('RFM input'!$H$411,$A1413,0),0)))</f>
        <v>0</v>
      </c>
      <c r="U1415" s="1417">
        <f ca="1">IF(LEFT(U$6,4)&lt;=LEFT('RFM input'!$G$60,4),"enter input",IF(LEFT(U$6,4)&gt;LEFT('RFM input'!$Q$60,4),0,
IF(U$6=(OFFSET('RFM input'!$G$60,0,'RFM input'!$V$7)),OFFSET('RFM input'!$H$411,$A1413,0),0)))</f>
        <v>0</v>
      </c>
      <c r="V1415" s="1417">
        <f ca="1">IF(LEFT(V$6,4)&lt;=LEFT('RFM input'!$G$60,4),"enter input",IF(LEFT(V$6,4)&gt;LEFT('RFM input'!$Q$60,4),0,
IF(V$6=(OFFSET('RFM input'!$G$60,0,'RFM input'!$V$7)),OFFSET('RFM input'!$H$411,$A1413,0),0)))</f>
        <v>0</v>
      </c>
      <c r="W1415" s="1417">
        <f ca="1">IF(LEFT(W$6,4)&lt;=LEFT('RFM input'!$G$60,4),"enter input",IF(LEFT(W$6,4)&gt;LEFT('RFM input'!$Q$60,4),0,
IF(W$6=(OFFSET('RFM input'!$G$60,0,'RFM input'!$V$7)),OFFSET('RFM input'!$H$411,$A1413,0),0)))</f>
        <v>0</v>
      </c>
      <c r="X1415" s="152"/>
      <c r="Y1415" s="152"/>
      <c r="Z1415" s="152"/>
      <c r="AA1415" s="152"/>
      <c r="AB1415" s="152"/>
    </row>
    <row r="1416" spans="1:28">
      <c r="A1416" s="152"/>
      <c r="B1416" s="193" t="s">
        <v>200</v>
      </c>
      <c r="C1416" s="1419"/>
      <c r="D1416" s="1418">
        <f ca="1">IF(LEFT(D$6,4)&lt;=LEFT('RFM input'!$G$60,4),"enter input",IF(LEFT(D$6,4)&gt;LEFT('RFM input'!$Q$60,4),0,
IF(D$6=(OFFSET('RFM input'!$G$60,0,'RFM input'!$V$7)),OFFSET('RFM input'!$J$411,$A1413,0),0)))</f>
        <v>0</v>
      </c>
      <c r="E1416" s="1422">
        <f ca="1">IF(LEFT(E$6,4)&lt;=LEFT('RFM input'!$G$60,4),"enter input",IF(LEFT(E$6,4)&gt;LEFT('RFM input'!$Q$60,4),0,
IF(E$6=(OFFSET('RFM input'!$G$60,0,'RFM input'!$V$7)),OFFSET('RFM input'!$J$411,$A1413,0),0)))</f>
        <v>0</v>
      </c>
      <c r="F1416" s="1422">
        <f ca="1">IF(LEFT(F$6,4)&lt;=LEFT('RFM input'!$G$60,4),"enter input",IF(LEFT(F$6,4)&gt;LEFT('RFM input'!$Q$60,4),0,
IF(F$6=(OFFSET('RFM input'!$G$60,0,'RFM input'!$V$7)),OFFSET('RFM input'!$J$411,$A1413,0),0)))</f>
        <v>0</v>
      </c>
      <c r="G1416" s="1422">
        <f ca="1">IF(LEFT(G$6,4)&lt;=LEFT('RFM input'!$G$60,4),"enter input",IF(LEFT(G$6,4)&gt;LEFT('RFM input'!$Q$60,4),0,
IF(G$6=(OFFSET('RFM input'!$G$60,0,'RFM input'!$V$7)),OFFSET('RFM input'!$J$411,$A1413,0),0)))</f>
        <v>0</v>
      </c>
      <c r="H1416" s="1422">
        <f ca="1">IF(LEFT(H$6,4)&lt;=LEFT('RFM input'!$G$60,4),"enter input",IF(LEFT(H$6,4)&gt;LEFT('RFM input'!$Q$60,4),0,
IF(H$6=(OFFSET('RFM input'!$G$60,0,'RFM input'!$V$7)),OFFSET('RFM input'!$J$411,$A1413,0),0)))</f>
        <v>0</v>
      </c>
      <c r="I1416" s="1422">
        <f ca="1">IF(LEFT(I$6,4)&lt;=LEFT('RFM input'!$G$60,4),"enter input",IF(LEFT(I$6,4)&gt;LEFT('RFM input'!$Q$60,4),0,
IF(I$6=(OFFSET('RFM input'!$G$60,0,'RFM input'!$V$7)),OFFSET('RFM input'!$J$411,$A1413,0),0)))</f>
        <v>0</v>
      </c>
      <c r="J1416" s="1422">
        <f ca="1">IF(LEFT(J$6,4)&lt;=LEFT('RFM input'!$G$60,4),"enter input",IF(LEFT(J$6,4)&gt;LEFT('RFM input'!$Q$60,4),0,
IF(J$6=(OFFSET('RFM input'!$G$60,0,'RFM input'!$V$7)),OFFSET('RFM input'!$J$411,$A1413,0),0)))</f>
        <v>0</v>
      </c>
      <c r="K1416" s="1422">
        <f ca="1">IF(LEFT(K$6,4)&lt;=LEFT('RFM input'!$G$60,4),"enter input",IF(LEFT(K$6,4)&gt;LEFT('RFM input'!$Q$60,4),0,
IF(K$6=(OFFSET('RFM input'!$G$60,0,'RFM input'!$V$7)),OFFSET('RFM input'!$J$411,$A1413,0),0)))</f>
        <v>0</v>
      </c>
      <c r="L1416" s="1422">
        <f ca="1">IF(LEFT(L$6,4)&lt;=LEFT('RFM input'!$G$60,4),"enter input",IF(LEFT(L$6,4)&gt;LEFT('RFM input'!$Q$60,4),0,
IF(L$6=(OFFSET('RFM input'!$G$60,0,'RFM input'!$V$7)),OFFSET('RFM input'!$J$411,$A1413,0),0)))</f>
        <v>0</v>
      </c>
      <c r="M1416" s="1422">
        <f ca="1">IF(LEFT(M$6,4)&lt;=LEFT('RFM input'!$G$60,4),"enter input",IF(LEFT(M$6,4)&gt;LEFT('RFM input'!$Q$60,4),0,
IF(M$6=(OFFSET('RFM input'!$G$60,0,'RFM input'!$V$7)),OFFSET('RFM input'!$J$411,$A1413,0),0)))</f>
        <v>0</v>
      </c>
      <c r="N1416" s="1422">
        <f ca="1">IF(LEFT(N$6,4)&lt;=LEFT('RFM input'!$G$60,4),"enter input",IF(LEFT(N$6,4)&gt;LEFT('RFM input'!$Q$60,4),0,
IF(N$6=(OFFSET('RFM input'!$G$60,0,'RFM input'!$V$7)),OFFSET('RFM input'!$J$411,$A1413,0),0)))</f>
        <v>0</v>
      </c>
      <c r="O1416" s="1422">
        <f ca="1">IF(LEFT(O$6,4)&lt;=LEFT('RFM input'!$G$60,4),"enter input",IF(LEFT(O$6,4)&gt;LEFT('RFM input'!$Q$60,4),0,
IF(O$6=(OFFSET('RFM input'!$G$60,0,'RFM input'!$V$7)),OFFSET('RFM input'!$J$411,$A1413,0),0)))</f>
        <v>0</v>
      </c>
      <c r="P1416" s="1422">
        <f ca="1">IF(LEFT(P$6,4)&lt;=LEFT('RFM input'!$G$60,4),"enter input",IF(LEFT(P$6,4)&gt;LEFT('RFM input'!$Q$60,4),0,
IF(P$6=(OFFSET('RFM input'!$G$60,0,'RFM input'!$V$7)),OFFSET('RFM input'!$J$411,$A1413,0),0)))</f>
        <v>0</v>
      </c>
      <c r="Q1416" s="1422">
        <f ca="1">IF(LEFT(Q$6,4)&lt;=LEFT('RFM input'!$G$60,4),"enter input",IF(LEFT(Q$6,4)&gt;LEFT('RFM input'!$Q$60,4),0,
IF(Q$6=(OFFSET('RFM input'!$G$60,0,'RFM input'!$V$7)),OFFSET('RFM input'!$J$411,$A1413,0),0)))</f>
        <v>0</v>
      </c>
      <c r="R1416" s="1422">
        <f ca="1">IF(LEFT(R$6,4)&lt;=LEFT('RFM input'!$G$60,4),"enter input",IF(LEFT(R$6,4)&gt;LEFT('RFM input'!$Q$60,4),0,
IF(R$6=(OFFSET('RFM input'!$G$60,0,'RFM input'!$V$7)),OFFSET('RFM input'!$J$411,$A1413,0),0)))</f>
        <v>0</v>
      </c>
      <c r="S1416" s="1422">
        <f ca="1">IF(LEFT(S$6,4)&lt;=LEFT('RFM input'!$G$60,4),"enter input",IF(LEFT(S$6,4)&gt;LEFT('RFM input'!$Q$60,4),0,
IF(S$6=(OFFSET('RFM input'!$G$60,0,'RFM input'!$V$7)),OFFSET('RFM input'!$J$411,$A1413,0),0)))</f>
        <v>0</v>
      </c>
      <c r="T1416" s="1422">
        <f ca="1">IF(LEFT(T$6,4)&lt;=LEFT('RFM input'!$G$60,4),"enter input",IF(LEFT(T$6,4)&gt;LEFT('RFM input'!$Q$60,4),0,
IF(T$6=(OFFSET('RFM input'!$G$60,0,'RFM input'!$V$7)),OFFSET('RFM input'!$J$411,$A1413,0),0)))</f>
        <v>0</v>
      </c>
      <c r="U1416" s="1422">
        <f ca="1">IF(LEFT(U$6,4)&lt;=LEFT('RFM input'!$G$60,4),"enter input",IF(LEFT(U$6,4)&gt;LEFT('RFM input'!$Q$60,4),0,
IF(U$6=(OFFSET('RFM input'!$G$60,0,'RFM input'!$V$7)),OFFSET('RFM input'!$J$411,$A1413,0),0)))</f>
        <v>0</v>
      </c>
      <c r="V1416" s="1422">
        <f ca="1">IF(LEFT(V$6,4)&lt;=LEFT('RFM input'!$G$60,4),"enter input",IF(LEFT(V$6,4)&gt;LEFT('RFM input'!$Q$60,4),0,
IF(V$6=(OFFSET('RFM input'!$G$60,0,'RFM input'!$V$7)),OFFSET('RFM input'!$J$411,$A1413,0),0)))</f>
        <v>0</v>
      </c>
      <c r="W1416" s="1422">
        <f ca="1">IF(LEFT(W$6,4)&lt;=LEFT('RFM input'!$G$60,4),"enter input",IF(LEFT(W$6,4)&gt;LEFT('RFM input'!$Q$60,4),0,
IF(W$6=(OFFSET('RFM input'!$G$60,0,'RFM input'!$V$7)),OFFSET('RFM input'!$J$411,$A1413,0),0)))</f>
        <v>0</v>
      </c>
      <c r="X1416" s="152"/>
      <c r="Y1416" s="152"/>
      <c r="Z1416" s="152"/>
      <c r="AA1416" s="152"/>
      <c r="AB1416" s="152"/>
    </row>
    <row r="1417" spans="1:28" hidden="1" outlineLevel="1">
      <c r="A1417" s="235">
        <v>-1</v>
      </c>
      <c r="B1417" s="190" t="s">
        <v>195</v>
      </c>
      <c r="C1417" s="1423"/>
      <c r="D1417" s="1423">
        <f t="shared" ref="D1417" ca="1" si="2032">IF(AND(D1415=0,C1417=0),0,
IF(AND(D1415&lt;&gt;0,C1417=0),D1415,
IF(AND(D1416&lt;&gt;0,C1417&lt;&gt;0),(C1417-(C1417/C1441))+D1415,
IF(C1441&lt;1,0,(C1417-(C1417/C1441))))))</f>
        <v>0</v>
      </c>
      <c r="E1417" s="1423">
        <f t="shared" ref="E1417" ca="1" si="2033">IF(AND(E1415=0,D1417=0),0,
IF(AND(E1415&lt;&gt;0,D1417=0),E1415,
IF(AND(E1416&lt;&gt;0,D1417&lt;&gt;0),(D1417-(D1417/D1441))+E1415,
IF(D1441&lt;1,0,(D1417-(D1417/D1441))))))</f>
        <v>0</v>
      </c>
      <c r="F1417" s="1423">
        <f t="shared" ref="F1417" ca="1" si="2034">IF(AND(F1415=0,E1417=0),0,
IF(AND(F1415&lt;&gt;0,E1417=0),F1415,
IF(AND(F1416&lt;&gt;0,E1417&lt;&gt;0),(E1417-(E1417/E1441))+F1415,
IF(E1441&lt;1,0,(E1417-(E1417/E1441))))))</f>
        <v>0</v>
      </c>
      <c r="G1417" s="1423">
        <f t="shared" ref="G1417" ca="1" si="2035">IF(AND(G1415=0,F1417=0),0,
IF(AND(G1415&lt;&gt;0,F1417=0),G1415,
IF(AND(G1416&lt;&gt;0,F1417&lt;&gt;0),(F1417-(F1417/F1441))+G1415,
IF(F1441&lt;1,0,(F1417-(F1417/F1441))))))</f>
        <v>0</v>
      </c>
      <c r="H1417" s="1423">
        <f ca="1">IF(AND(H1415=0,G1417=0),0,
IF(AND(H1415&lt;&gt;0,G1417=0),H1415,
IF(AND(H1416&lt;&gt;0,G1417&lt;&gt;0),(G1417-(G1417/G1441))+H1415,
IF(G1441&lt;1,0,(G1417-(G1417/G1441))))))</f>
        <v>0</v>
      </c>
      <c r="I1417" s="1423">
        <f t="shared" ref="I1417" ca="1" si="2036">IF(AND(I1415=0,H1417=0),0,
IF(AND(I1415&lt;&gt;0,H1417=0),I1415,
IF(AND(I1416&lt;&gt;0,H1417&lt;&gt;0),(H1417-(H1417/H1441))+I1415,
IF(H1441&lt;1,0,(H1417-(H1417/H1441))))))</f>
        <v>0</v>
      </c>
      <c r="J1417" s="1423">
        <f t="shared" ref="J1417" ca="1" si="2037">IF(AND(J1415=0,I1417=0),0,
IF(AND(J1415&lt;&gt;0,I1417=0),J1415,
IF(AND(J1416&lt;&gt;0,I1417&lt;&gt;0),(I1417-(I1417/I1441))+J1415,
IF(I1441&lt;1,0,(I1417-(I1417/I1441))))))</f>
        <v>0</v>
      </c>
      <c r="K1417" s="1423">
        <f t="shared" ref="K1417" ca="1" si="2038">IF(AND(K1415=0,J1417=0),0,
IF(AND(K1415&lt;&gt;0,J1417=0),K1415,
IF(AND(K1416&lt;&gt;0,J1417&lt;&gt;0),(J1417-(J1417/J1441))+K1415,
IF(J1441&lt;1,0,(J1417-(J1417/J1441))))))</f>
        <v>0</v>
      </c>
      <c r="L1417" s="1423">
        <f t="shared" ref="L1417" ca="1" si="2039">IF(AND(L1415=0,K1417=0),0,
IF(AND(L1415&lt;&gt;0,K1417=0),L1415,
IF(AND(L1416&lt;&gt;0,K1417&lt;&gt;0),(K1417-(K1417/K1441))+L1415,
IF(K1441&lt;1,0,(K1417-(K1417/K1441))))))</f>
        <v>0</v>
      </c>
      <c r="M1417" s="1423">
        <f t="shared" ref="M1417" ca="1" si="2040">IF(AND(M1415=0,L1417=0),0,
IF(AND(M1415&lt;&gt;0,L1417=0),M1415,
IF(AND(M1416&lt;&gt;0,L1417&lt;&gt;0),(L1417-(L1417/L1441))+M1415,
IF(L1441&lt;1,0,(L1417-(L1417/L1441))))))</f>
        <v>0</v>
      </c>
      <c r="N1417" s="1423">
        <f t="shared" ref="N1417" ca="1" si="2041">IF(AND(N1415=0,M1417=0),0,
IF(AND(N1415&lt;&gt;0,M1417=0),N1415,
IF(AND(N1416&lt;&gt;0,M1417&lt;&gt;0),(M1417-(M1417/M1441))+N1415,
IF(M1441&lt;1,0,(M1417-(M1417/M1441))))))</f>
        <v>0</v>
      </c>
      <c r="O1417" s="1423">
        <f t="shared" ref="O1417" ca="1" si="2042">IF(AND(O1415=0,N1417=0),0,
IF(AND(O1415&lt;&gt;0,N1417=0),O1415,
IF(AND(O1416&lt;&gt;0,N1417&lt;&gt;0),(N1417-(N1417/N1441))+O1415,
IF(N1441&lt;1,0,(N1417-(N1417/N1441))))))</f>
        <v>0</v>
      </c>
      <c r="P1417" s="1423">
        <f t="shared" ref="P1417" ca="1" si="2043">IF(AND(P1415=0,O1417=0),0,
IF(AND(P1415&lt;&gt;0,O1417=0),P1415,
IF(AND(P1416&lt;&gt;0,O1417&lt;&gt;0),(O1417-(O1417/O1441))+P1415,
IF(O1441&lt;1,0,(O1417-(O1417/O1441))))))</f>
        <v>0</v>
      </c>
      <c r="Q1417" s="1423">
        <f t="shared" ref="Q1417" ca="1" si="2044">IF(AND(Q1415=0,P1417=0),0,
IF(AND(Q1415&lt;&gt;0,P1417=0),Q1415,
IF(AND(Q1416&lt;&gt;0,P1417&lt;&gt;0),(P1417-(P1417/P1441))+Q1415,
IF(P1441&lt;1,0,(P1417-(P1417/P1441))))))</f>
        <v>0</v>
      </c>
      <c r="R1417" s="1423">
        <f t="shared" ref="R1417" ca="1" si="2045">IF(AND(R1415=0,Q1417=0),0,
IF(AND(R1415&lt;&gt;0,Q1417=0),R1415,
IF(AND(R1416&lt;&gt;0,Q1417&lt;&gt;0),(Q1417-(Q1417/Q1441))+R1415,
IF(Q1441&lt;1,0,(Q1417-(Q1417/Q1441))))))</f>
        <v>0</v>
      </c>
      <c r="S1417" s="1423">
        <f t="shared" ref="S1417" ca="1" si="2046">IF(AND(S1415=0,R1417=0),0,
IF(AND(S1415&lt;&gt;0,R1417=0),S1415,
IF(AND(S1416&lt;&gt;0,R1417&lt;&gt;0),(R1417-(R1417/R1441))+S1415,
IF(R1441&lt;1,0,(R1417-(R1417/R1441))))))</f>
        <v>0</v>
      </c>
      <c r="T1417" s="1423">
        <f t="shared" ref="T1417" ca="1" si="2047">IF(AND(T1415=0,S1417=0),0,
IF(AND(T1415&lt;&gt;0,S1417=0),T1415,
IF(AND(T1416&lt;&gt;0,S1417&lt;&gt;0),(S1417-(S1417/S1441))+T1415,
IF(S1441&lt;1,0,(S1417-(S1417/S1441))))))</f>
        <v>0</v>
      </c>
      <c r="U1417" s="1423">
        <f t="shared" ref="U1417" ca="1" si="2048">IF(AND(U1415=0,T1417=0),0,
IF(AND(U1415&lt;&gt;0,T1417=0),U1415,
IF(AND(U1416&lt;&gt;0,T1417&lt;&gt;0),(T1417-(T1417/T1441))+U1415,
IF(T1441&lt;1,0,(T1417-(T1417/T1441))))))</f>
        <v>0</v>
      </c>
      <c r="V1417" s="1423">
        <f t="shared" ref="V1417" ca="1" si="2049">IF(AND(V1415=0,U1417=0),0,
IF(AND(V1415&lt;&gt;0,U1417=0),V1415,
IF(AND(V1416&lt;&gt;0,U1417&lt;&gt;0),(U1417-(U1417/U1441))+V1415,
IF(U1441&lt;1,0,(U1417-(U1417/U1441))))))</f>
        <v>0</v>
      </c>
      <c r="W1417" s="1423">
        <f t="shared" ref="W1417" ca="1" si="2050">IF(AND(W1415=0,V1417=0),0,
IF(AND(W1415&lt;&gt;0,V1417=0),W1415,
IF(AND(W1416&lt;&gt;0,V1417&lt;&gt;0),(V1417-(V1417/V1441))+W1415,
IF(V1441&lt;1,0,(V1417-(V1417/V1441))))))</f>
        <v>0</v>
      </c>
      <c r="X1417" s="152"/>
      <c r="Y1417" s="152"/>
      <c r="Z1417" s="152"/>
      <c r="AA1417" s="152"/>
      <c r="AB1417" s="152"/>
    </row>
    <row r="1418" spans="1:28" hidden="1" outlineLevel="1">
      <c r="A1418" s="199">
        <f>A1417+1</f>
        <v>0</v>
      </c>
      <c r="B1418" s="190" t="s">
        <v>527</v>
      </c>
      <c r="C1418" s="1423">
        <f ca="1">C1413</f>
        <v>0</v>
      </c>
      <c r="D1418" s="1423">
        <f ca="1">IF(C1442="n/a",C1418,IFERROR(IF((OFFSET($C1418,0,$A1418))&lt;0,
MIN(0,C1418-(OFFSET($C1418,0,$A1418)/(OFFSET($C1413,-$A1417,$A1418)))),
MAX(0,C1418-(OFFSET($C1418,0,$A1418)/(OFFSET($C1413,-$A1417,$A1418))))),0))</f>
        <v>0</v>
      </c>
      <c r="E1418" s="1423">
        <f t="shared" ref="E1418" ca="1" si="2051">IF(D1442="n/a",D1418,IFERROR(IF((OFFSET($C1418,0,$A1418))&lt;0,
MIN(0,D1418-(OFFSET($C1418,0,$A1418)/(OFFSET($C1413,-$A1417,$A1418)))),
MAX(0,D1418-(OFFSET($C1418,0,$A1418)/(OFFSET($C1413,-$A1417,$A1418))))),0))</f>
        <v>0</v>
      </c>
      <c r="F1418" s="1423">
        <f t="shared" ref="F1418:F1419" ca="1" si="2052">IF(E1442="n/a",E1418,IFERROR(IF((OFFSET($C1418,0,$A1418))&lt;0,
MIN(0,E1418-(OFFSET($C1418,0,$A1418)/(OFFSET($C1413,-$A1417,$A1418)))),
MAX(0,E1418-(OFFSET($C1418,0,$A1418)/(OFFSET($C1413,-$A1417,$A1418))))),0))</f>
        <v>0</v>
      </c>
      <c r="G1418" s="1423">
        <f t="shared" ref="G1418:G1420" ca="1" si="2053">IF(F1442="n/a",F1418,IFERROR(IF((OFFSET($C1418,0,$A1418))&lt;0,
MIN(0,F1418-(OFFSET($C1418,0,$A1418)/(OFFSET($C1413,-$A1417,$A1418)))),
MAX(0,F1418-(OFFSET($C1418,0,$A1418)/(OFFSET($C1413,-$A1417,$A1418))))),0))</f>
        <v>0</v>
      </c>
      <c r="H1418" s="1423">
        <f t="shared" ref="H1418:H1421" ca="1" si="2054">IF(G1442="n/a",G1418,IFERROR(IF((OFFSET($C1418,0,$A1418))&lt;0,
MIN(0,G1418-(OFFSET($C1418,0,$A1418)/(OFFSET($C1413,-$A1417,$A1418)))),
MAX(0,G1418-(OFFSET($C1418,0,$A1418)/(OFFSET($C1413,-$A1417,$A1418))))),0))</f>
        <v>0</v>
      </c>
      <c r="I1418" s="1423">
        <f t="shared" ref="I1418:I1422" ca="1" si="2055">IF(H1442="n/a",H1418,IFERROR(IF((OFFSET($C1418,0,$A1418))&lt;0,
MIN(0,H1418-(OFFSET($C1418,0,$A1418)/(OFFSET($C1413,-$A1417,$A1418)))),
MAX(0,H1418-(OFFSET($C1418,0,$A1418)/(OFFSET($C1413,-$A1417,$A1418))))),0))</f>
        <v>0</v>
      </c>
      <c r="J1418" s="1423">
        <f t="shared" ref="J1418:J1423" ca="1" si="2056">IF(I1442="n/a",I1418,IFERROR(IF((OFFSET($C1418,0,$A1418))&lt;0,
MIN(0,I1418-(OFFSET($C1418,0,$A1418)/(OFFSET($C1413,-$A1417,$A1418)))),
MAX(0,I1418-(OFFSET($C1418,0,$A1418)/(OFFSET($C1413,-$A1417,$A1418))))),0))</f>
        <v>0</v>
      </c>
      <c r="K1418" s="1423">
        <f t="shared" ref="K1418:K1424" ca="1" si="2057">IF(J1442="n/a",J1418,IFERROR(IF((OFFSET($C1418,0,$A1418))&lt;0,
MIN(0,J1418-(OFFSET($C1418,0,$A1418)/(OFFSET($C1413,-$A1417,$A1418)))),
MAX(0,J1418-(OFFSET($C1418,0,$A1418)/(OFFSET($C1413,-$A1417,$A1418))))),0))</f>
        <v>0</v>
      </c>
      <c r="L1418" s="1423">
        <f t="shared" ref="L1418:L1425" ca="1" si="2058">IF(K1442="n/a",K1418,IFERROR(IF((OFFSET($C1418,0,$A1418))&lt;0,
MIN(0,K1418-(OFFSET($C1418,0,$A1418)/(OFFSET($C1413,-$A1417,$A1418)))),
MAX(0,K1418-(OFFSET($C1418,0,$A1418)/(OFFSET($C1413,-$A1417,$A1418))))),0))</f>
        <v>0</v>
      </c>
      <c r="M1418" s="1423">
        <f t="shared" ref="M1418:M1426" ca="1" si="2059">IF(L1442="n/a",L1418,IFERROR(IF((OFFSET($C1418,0,$A1418))&lt;0,
MIN(0,L1418-(OFFSET($C1418,0,$A1418)/(OFFSET($C1413,-$A1417,$A1418)))),
MAX(0,L1418-(OFFSET($C1418,0,$A1418)/(OFFSET($C1413,-$A1417,$A1418))))),0))</f>
        <v>0</v>
      </c>
      <c r="N1418" s="1423">
        <f t="shared" ref="N1418:N1427" ca="1" si="2060">IF(M1442="n/a",M1418,IFERROR(IF((OFFSET($C1418,0,$A1418))&lt;0,
MIN(0,M1418-(OFFSET($C1418,0,$A1418)/(OFFSET($C1413,-$A1417,$A1418)))),
MAX(0,M1418-(OFFSET($C1418,0,$A1418)/(OFFSET($C1413,-$A1417,$A1418))))),0))</f>
        <v>0</v>
      </c>
      <c r="O1418" s="1423">
        <f t="shared" ref="O1418:O1428" ca="1" si="2061">IF(N1442="n/a",N1418,IFERROR(IF((OFFSET($C1418,0,$A1418))&lt;0,
MIN(0,N1418-(OFFSET($C1418,0,$A1418)/(OFFSET($C1413,-$A1417,$A1418)))),
MAX(0,N1418-(OFFSET($C1418,0,$A1418)/(OFFSET($C1413,-$A1417,$A1418))))),0))</f>
        <v>0</v>
      </c>
      <c r="P1418" s="1423">
        <f t="shared" ref="P1418:P1429" ca="1" si="2062">IF(O1442="n/a",O1418,IFERROR(IF((OFFSET($C1418,0,$A1418))&lt;0,
MIN(0,O1418-(OFFSET($C1418,0,$A1418)/(OFFSET($C1413,-$A1417,$A1418)))),
MAX(0,O1418-(OFFSET($C1418,0,$A1418)/(OFFSET($C1413,-$A1417,$A1418))))),0))</f>
        <v>0</v>
      </c>
      <c r="Q1418" s="1423">
        <f t="shared" ref="Q1418:Q1430" ca="1" si="2063">IF(P1442="n/a",P1418,IFERROR(IF((OFFSET($C1418,0,$A1418))&lt;0,
MIN(0,P1418-(OFFSET($C1418,0,$A1418)/(OFFSET($C1413,-$A1417,$A1418)))),
MAX(0,P1418-(OFFSET($C1418,0,$A1418)/(OFFSET($C1413,-$A1417,$A1418))))),0))</f>
        <v>0</v>
      </c>
      <c r="R1418" s="1423">
        <f t="shared" ref="R1418:R1431" ca="1" si="2064">IF(Q1442="n/a",Q1418,IFERROR(IF((OFFSET($C1418,0,$A1418))&lt;0,
MIN(0,Q1418-(OFFSET($C1418,0,$A1418)/(OFFSET($C1413,-$A1417,$A1418)))),
MAX(0,Q1418-(OFFSET($C1418,0,$A1418)/(OFFSET($C1413,-$A1417,$A1418))))),0))</f>
        <v>0</v>
      </c>
      <c r="S1418" s="1423">
        <f t="shared" ref="S1418:S1432" ca="1" si="2065">IF(R1442="n/a",R1418,IFERROR(IF((OFFSET($C1418,0,$A1418))&lt;0,
MIN(0,R1418-(OFFSET($C1418,0,$A1418)/(OFFSET($C1413,-$A1417,$A1418)))),
MAX(0,R1418-(OFFSET($C1418,0,$A1418)/(OFFSET($C1413,-$A1417,$A1418))))),0))</f>
        <v>0</v>
      </c>
      <c r="T1418" s="1423">
        <f t="shared" ref="T1418:T1433" ca="1" si="2066">IF(S1442="n/a",S1418,IFERROR(IF((OFFSET($C1418,0,$A1418))&lt;0,
MIN(0,S1418-(OFFSET($C1418,0,$A1418)/(OFFSET($C1413,-$A1417,$A1418)))),
MAX(0,S1418-(OFFSET($C1418,0,$A1418)/(OFFSET($C1413,-$A1417,$A1418))))),0))</f>
        <v>0</v>
      </c>
      <c r="U1418" s="1423">
        <f t="shared" ref="U1418:U1434" ca="1" si="2067">IF(T1442="n/a",T1418,IFERROR(IF((OFFSET($C1418,0,$A1418))&lt;0,
MIN(0,T1418-(OFFSET($C1418,0,$A1418)/(OFFSET($C1413,-$A1417,$A1418)))),
MAX(0,T1418-(OFFSET($C1418,0,$A1418)/(OFFSET($C1413,-$A1417,$A1418))))),0))</f>
        <v>0</v>
      </c>
      <c r="V1418" s="1423">
        <f t="shared" ref="V1418:V1435" ca="1" si="2068">IF(U1442="n/a",U1418,IFERROR(IF((OFFSET($C1418,0,$A1418))&lt;0,
MIN(0,U1418-(OFFSET($C1418,0,$A1418)/(OFFSET($C1413,-$A1417,$A1418)))),
MAX(0,U1418-(OFFSET($C1418,0,$A1418)/(OFFSET($C1413,-$A1417,$A1418))))),0))</f>
        <v>0</v>
      </c>
      <c r="W1418" s="1423">
        <f t="shared" ref="W1418:W1436" ca="1" si="2069">IF(V1442="n/a",V1418,IFERROR(IF((OFFSET($C1418,0,$A1418))&lt;0,
MIN(0,V1418-(OFFSET($C1418,0,$A1418)/(OFFSET($C1413,-$A1417,$A1418)))),
MAX(0,V1418-(OFFSET($C1418,0,$A1418)/(OFFSET($C1413,-$A1417,$A1418))))),0))</f>
        <v>0</v>
      </c>
      <c r="X1418" s="152"/>
      <c r="Y1418" s="152"/>
      <c r="Z1418" s="152"/>
      <c r="AA1418" s="152"/>
      <c r="AB1418" s="152"/>
    </row>
    <row r="1419" spans="1:28" hidden="1" outlineLevel="1">
      <c r="A1419" s="199">
        <f t="shared" ref="A1419:A1438" si="2070">A1418+1</f>
        <v>1</v>
      </c>
      <c r="B1419" s="190" t="str">
        <f t="shared" ref="B1419:B1438" ca="1" si="2071">"Depreciated Net Capex "&amp;OFFSET($C$6,0,A1419)</f>
        <v>Depreciated Net Capex 2016-17</v>
      </c>
      <c r="C1419" s="1424"/>
      <c r="D1419" s="1425">
        <f>D1413</f>
        <v>0</v>
      </c>
      <c r="E1419" s="1423">
        <f ca="1">IF(D1443="n/a",D1419,IFERROR(IF((OFFSET($C1419,0,$A1419))&lt;0,
MIN(0,D1419-(OFFSET($C1419,0,$A1419)/(OFFSET($C1414,-$A1418,$A1419)))),
MAX(0,D1419-(OFFSET($C1419,0,$A1419)/(OFFSET($C1414,-$A1418,$A1419))))),0))</f>
        <v>0</v>
      </c>
      <c r="F1419" s="1423">
        <f t="shared" ca="1" si="2052"/>
        <v>0</v>
      </c>
      <c r="G1419" s="1423">
        <f t="shared" ca="1" si="2053"/>
        <v>0</v>
      </c>
      <c r="H1419" s="1423">
        <f t="shared" ca="1" si="2054"/>
        <v>0</v>
      </c>
      <c r="I1419" s="1423">
        <f t="shared" ca="1" si="2055"/>
        <v>0</v>
      </c>
      <c r="J1419" s="1423">
        <f t="shared" ca="1" si="2056"/>
        <v>0</v>
      </c>
      <c r="K1419" s="1423">
        <f t="shared" ca="1" si="2057"/>
        <v>0</v>
      </c>
      <c r="L1419" s="1423">
        <f t="shared" ca="1" si="2058"/>
        <v>0</v>
      </c>
      <c r="M1419" s="1423">
        <f t="shared" ca="1" si="2059"/>
        <v>0</v>
      </c>
      <c r="N1419" s="1423">
        <f t="shared" ca="1" si="2060"/>
        <v>0</v>
      </c>
      <c r="O1419" s="1423">
        <f t="shared" ca="1" si="2061"/>
        <v>0</v>
      </c>
      <c r="P1419" s="1423">
        <f t="shared" ca="1" si="2062"/>
        <v>0</v>
      </c>
      <c r="Q1419" s="1423">
        <f t="shared" ca="1" si="2063"/>
        <v>0</v>
      </c>
      <c r="R1419" s="1423">
        <f t="shared" ca="1" si="2064"/>
        <v>0</v>
      </c>
      <c r="S1419" s="1423">
        <f t="shared" ca="1" si="2065"/>
        <v>0</v>
      </c>
      <c r="T1419" s="1423">
        <f t="shared" ca="1" si="2066"/>
        <v>0</v>
      </c>
      <c r="U1419" s="1423">
        <f t="shared" ca="1" si="2067"/>
        <v>0</v>
      </c>
      <c r="V1419" s="1423">
        <f t="shared" ca="1" si="2068"/>
        <v>0</v>
      </c>
      <c r="W1419" s="1423">
        <f t="shared" ca="1" si="2069"/>
        <v>0</v>
      </c>
      <c r="X1419" s="152"/>
      <c r="Y1419" s="152"/>
      <c r="Z1419" s="152"/>
      <c r="AA1419" s="152"/>
      <c r="AB1419" s="152"/>
    </row>
    <row r="1420" spans="1:28" hidden="1" outlineLevel="1">
      <c r="A1420" s="199">
        <f t="shared" si="2070"/>
        <v>2</v>
      </c>
      <c r="B1420" s="190" t="str">
        <f t="shared" ca="1" si="2071"/>
        <v>Depreciated Net Capex 2017-18</v>
      </c>
      <c r="C1420" s="1426"/>
      <c r="D1420" s="1427"/>
      <c r="E1420" s="1425">
        <f>E1413</f>
        <v>0</v>
      </c>
      <c r="F1420" s="1423">
        <f ca="1">IF(E1444="n/a",E1420,IFERROR(IF((OFFSET($C1420,0,$A1420))&lt;0,
MIN(0,E1420-(OFFSET($C1420,0,$A1420)/(OFFSET($C1415,-$A1419,$A1420)))),
MAX(0,E1420-(OFFSET($C1420,0,$A1420)/(OFFSET($C1415,-$A1419,$A1420))))),0))</f>
        <v>0</v>
      </c>
      <c r="G1420" s="1423">
        <f t="shared" ca="1" si="2053"/>
        <v>0</v>
      </c>
      <c r="H1420" s="1423">
        <f t="shared" ca="1" si="2054"/>
        <v>0</v>
      </c>
      <c r="I1420" s="1423">
        <f t="shared" ca="1" si="2055"/>
        <v>0</v>
      </c>
      <c r="J1420" s="1423">
        <f t="shared" ca="1" si="2056"/>
        <v>0</v>
      </c>
      <c r="K1420" s="1423">
        <f t="shared" ca="1" si="2057"/>
        <v>0</v>
      </c>
      <c r="L1420" s="1423">
        <f t="shared" ca="1" si="2058"/>
        <v>0</v>
      </c>
      <c r="M1420" s="1423">
        <f t="shared" ca="1" si="2059"/>
        <v>0</v>
      </c>
      <c r="N1420" s="1423">
        <f t="shared" ca="1" si="2060"/>
        <v>0</v>
      </c>
      <c r="O1420" s="1423">
        <f t="shared" ca="1" si="2061"/>
        <v>0</v>
      </c>
      <c r="P1420" s="1423">
        <f t="shared" ca="1" si="2062"/>
        <v>0</v>
      </c>
      <c r="Q1420" s="1423">
        <f t="shared" ca="1" si="2063"/>
        <v>0</v>
      </c>
      <c r="R1420" s="1423">
        <f t="shared" ca="1" si="2064"/>
        <v>0</v>
      </c>
      <c r="S1420" s="1423">
        <f t="shared" ca="1" si="2065"/>
        <v>0</v>
      </c>
      <c r="T1420" s="1423">
        <f t="shared" ca="1" si="2066"/>
        <v>0</v>
      </c>
      <c r="U1420" s="1423">
        <f t="shared" ca="1" si="2067"/>
        <v>0</v>
      </c>
      <c r="V1420" s="1423">
        <f t="shared" ca="1" si="2068"/>
        <v>0</v>
      </c>
      <c r="W1420" s="1423">
        <f t="shared" ca="1" si="2069"/>
        <v>0</v>
      </c>
      <c r="X1420" s="202"/>
      <c r="Y1420" s="152"/>
      <c r="Z1420" s="152"/>
      <c r="AA1420" s="152"/>
      <c r="AB1420" s="152"/>
    </row>
    <row r="1421" spans="1:28" hidden="1" outlineLevel="1">
      <c r="A1421" s="199">
        <f t="shared" si="2070"/>
        <v>3</v>
      </c>
      <c r="B1421" s="190" t="str">
        <f t="shared" ca="1" si="2071"/>
        <v>Depreciated Net Capex 2018-19</v>
      </c>
      <c r="C1421" s="1426"/>
      <c r="D1421" s="1426"/>
      <c r="E1421" s="1427"/>
      <c r="F1421" s="1428">
        <f>F1413</f>
        <v>0</v>
      </c>
      <c r="G1421" s="1423">
        <f ca="1">IF(F1445="n/a",F1421,IFERROR(IF((OFFSET($C1421,0,$A1421))&lt;0,
MIN(0,F1421-(OFFSET($C1421,0,$A1421)/(OFFSET($C1416,-$A1420,$A1421)))),
MAX(0,F1421-(OFFSET($C1421,0,$A1421)/(OFFSET($C1416,-$A1420,$A1421))))),0))</f>
        <v>0</v>
      </c>
      <c r="H1421" s="1423">
        <f t="shared" ca="1" si="2054"/>
        <v>0</v>
      </c>
      <c r="I1421" s="1423">
        <f t="shared" ca="1" si="2055"/>
        <v>0</v>
      </c>
      <c r="J1421" s="1423">
        <f t="shared" ca="1" si="2056"/>
        <v>0</v>
      </c>
      <c r="K1421" s="1423">
        <f t="shared" ca="1" si="2057"/>
        <v>0</v>
      </c>
      <c r="L1421" s="1423">
        <f t="shared" ca="1" si="2058"/>
        <v>0</v>
      </c>
      <c r="M1421" s="1423">
        <f t="shared" ca="1" si="2059"/>
        <v>0</v>
      </c>
      <c r="N1421" s="1423">
        <f t="shared" ca="1" si="2060"/>
        <v>0</v>
      </c>
      <c r="O1421" s="1423">
        <f t="shared" ca="1" si="2061"/>
        <v>0</v>
      </c>
      <c r="P1421" s="1423">
        <f t="shared" ca="1" si="2062"/>
        <v>0</v>
      </c>
      <c r="Q1421" s="1423">
        <f t="shared" ca="1" si="2063"/>
        <v>0</v>
      </c>
      <c r="R1421" s="1423">
        <f t="shared" ca="1" si="2064"/>
        <v>0</v>
      </c>
      <c r="S1421" s="1423">
        <f t="shared" ca="1" si="2065"/>
        <v>0</v>
      </c>
      <c r="T1421" s="1423">
        <f t="shared" ca="1" si="2066"/>
        <v>0</v>
      </c>
      <c r="U1421" s="1423">
        <f t="shared" ca="1" si="2067"/>
        <v>0</v>
      </c>
      <c r="V1421" s="1423">
        <f t="shared" ca="1" si="2068"/>
        <v>0</v>
      </c>
      <c r="W1421" s="1423">
        <f t="shared" ca="1" si="2069"/>
        <v>0</v>
      </c>
      <c r="X1421" s="202"/>
      <c r="Y1421" s="202"/>
      <c r="Z1421" s="152"/>
      <c r="AA1421" s="152"/>
      <c r="AB1421" s="152"/>
    </row>
    <row r="1422" spans="1:28" hidden="1" outlineLevel="1">
      <c r="A1422" s="199">
        <f t="shared" si="2070"/>
        <v>4</v>
      </c>
      <c r="B1422" s="190" t="str">
        <f t="shared" ca="1" si="2071"/>
        <v>Depreciated Net Capex 2019-20</v>
      </c>
      <c r="C1422" s="1426"/>
      <c r="D1422" s="1426"/>
      <c r="E1422" s="1426"/>
      <c r="F1422" s="1427"/>
      <c r="G1422" s="1428">
        <f>G1413</f>
        <v>0</v>
      </c>
      <c r="H1422" s="1423">
        <f ca="1">IF(G1446="n/a",G1422,IFERROR(IF((OFFSET($C1422,0,$A1422))&lt;0,
MIN(0,G1422-(OFFSET($C1422,0,$A1422)/(OFFSET($C1417,-$A1421,$A1422)))),
MAX(0,G1422-(OFFSET($C1422,0,$A1422)/(OFFSET($C1417,-$A1421,$A1422))))),0))</f>
        <v>0</v>
      </c>
      <c r="I1422" s="1423">
        <f t="shared" ca="1" si="2055"/>
        <v>0</v>
      </c>
      <c r="J1422" s="1423">
        <f t="shared" ca="1" si="2056"/>
        <v>0</v>
      </c>
      <c r="K1422" s="1423">
        <f t="shared" ca="1" si="2057"/>
        <v>0</v>
      </c>
      <c r="L1422" s="1423">
        <f t="shared" ca="1" si="2058"/>
        <v>0</v>
      </c>
      <c r="M1422" s="1423">
        <f t="shared" ca="1" si="2059"/>
        <v>0</v>
      </c>
      <c r="N1422" s="1423">
        <f t="shared" ca="1" si="2060"/>
        <v>0</v>
      </c>
      <c r="O1422" s="1423">
        <f t="shared" ca="1" si="2061"/>
        <v>0</v>
      </c>
      <c r="P1422" s="1423">
        <f t="shared" ca="1" si="2062"/>
        <v>0</v>
      </c>
      <c r="Q1422" s="1423">
        <f t="shared" ca="1" si="2063"/>
        <v>0</v>
      </c>
      <c r="R1422" s="1423">
        <f t="shared" ca="1" si="2064"/>
        <v>0</v>
      </c>
      <c r="S1422" s="1423">
        <f t="shared" ca="1" si="2065"/>
        <v>0</v>
      </c>
      <c r="T1422" s="1423">
        <f t="shared" ca="1" si="2066"/>
        <v>0</v>
      </c>
      <c r="U1422" s="1423">
        <f t="shared" ca="1" si="2067"/>
        <v>0</v>
      </c>
      <c r="V1422" s="1423">
        <f t="shared" ca="1" si="2068"/>
        <v>0</v>
      </c>
      <c r="W1422" s="1423">
        <f t="shared" ca="1" si="2069"/>
        <v>0</v>
      </c>
      <c r="X1422" s="202"/>
      <c r="Y1422" s="202"/>
      <c r="Z1422" s="202"/>
      <c r="AA1422" s="152"/>
      <c r="AB1422" s="152"/>
    </row>
    <row r="1423" spans="1:28" hidden="1" outlineLevel="1">
      <c r="A1423" s="199">
        <f t="shared" si="2070"/>
        <v>5</v>
      </c>
      <c r="B1423" s="190" t="str">
        <f t="shared" ca="1" si="2071"/>
        <v>Depreciated Net Capex 2020-21</v>
      </c>
      <c r="C1423" s="1426"/>
      <c r="D1423" s="1426"/>
      <c r="E1423" s="1426"/>
      <c r="F1423" s="1426"/>
      <c r="G1423" s="1427"/>
      <c r="H1423" s="1428">
        <f>H1413</f>
        <v>0</v>
      </c>
      <c r="I1423" s="1423">
        <f ca="1">IF(H1447="n/a",H1423,IFERROR(IF((OFFSET($C1423,0,$A1423))&lt;0,
MIN(0,H1423-(OFFSET($C1423,0,$A1423)/(OFFSET($C1418,-$A1422,$A1423)))),
MAX(0,H1423-(OFFSET($C1423,0,$A1423)/(OFFSET($C1418,-$A1422,$A1423))))),0))</f>
        <v>0</v>
      </c>
      <c r="J1423" s="1423">
        <f t="shared" ca="1" si="2056"/>
        <v>0</v>
      </c>
      <c r="K1423" s="1423">
        <f t="shared" ca="1" si="2057"/>
        <v>0</v>
      </c>
      <c r="L1423" s="1423">
        <f t="shared" ca="1" si="2058"/>
        <v>0</v>
      </c>
      <c r="M1423" s="1423">
        <f t="shared" ca="1" si="2059"/>
        <v>0</v>
      </c>
      <c r="N1423" s="1423">
        <f t="shared" ca="1" si="2060"/>
        <v>0</v>
      </c>
      <c r="O1423" s="1423">
        <f t="shared" ca="1" si="2061"/>
        <v>0</v>
      </c>
      <c r="P1423" s="1423">
        <f t="shared" ca="1" si="2062"/>
        <v>0</v>
      </c>
      <c r="Q1423" s="1423">
        <f t="shared" ca="1" si="2063"/>
        <v>0</v>
      </c>
      <c r="R1423" s="1423">
        <f t="shared" ca="1" si="2064"/>
        <v>0</v>
      </c>
      <c r="S1423" s="1423">
        <f t="shared" ca="1" si="2065"/>
        <v>0</v>
      </c>
      <c r="T1423" s="1423">
        <f t="shared" ca="1" si="2066"/>
        <v>0</v>
      </c>
      <c r="U1423" s="1423">
        <f t="shared" ca="1" si="2067"/>
        <v>0</v>
      </c>
      <c r="V1423" s="1423">
        <f t="shared" ca="1" si="2068"/>
        <v>0</v>
      </c>
      <c r="W1423" s="1423">
        <f t="shared" ca="1" si="2069"/>
        <v>0</v>
      </c>
      <c r="X1423" s="202"/>
      <c r="Y1423" s="202"/>
      <c r="Z1423" s="202"/>
      <c r="AA1423" s="152"/>
      <c r="AB1423" s="152"/>
    </row>
    <row r="1424" spans="1:28" hidden="1" outlineLevel="1">
      <c r="A1424" s="199">
        <f t="shared" si="2070"/>
        <v>6</v>
      </c>
      <c r="B1424" s="190" t="str">
        <f t="shared" ca="1" si="2071"/>
        <v>Depreciated Net Capex 2021-22</v>
      </c>
      <c r="C1424" s="1426"/>
      <c r="D1424" s="1426"/>
      <c r="E1424" s="1426"/>
      <c r="F1424" s="1426"/>
      <c r="G1424" s="1426"/>
      <c r="H1424" s="1427"/>
      <c r="I1424" s="1428">
        <f>I1413</f>
        <v>0</v>
      </c>
      <c r="J1424" s="1423">
        <f ca="1">IF(I1448="n/a",I1424,IFERROR(IF((OFFSET($C1424,0,$A1424))&lt;0,
MIN(0,I1424-(OFFSET($C1424,0,$A1424)/(OFFSET($C1419,-$A1423,$A1424)))),
MAX(0,I1424-(OFFSET($C1424,0,$A1424)/(OFFSET($C1419,-$A1423,$A1424))))),0))</f>
        <v>0</v>
      </c>
      <c r="K1424" s="1423">
        <f t="shared" ca="1" si="2057"/>
        <v>0</v>
      </c>
      <c r="L1424" s="1423">
        <f t="shared" ca="1" si="2058"/>
        <v>0</v>
      </c>
      <c r="M1424" s="1423">
        <f t="shared" ca="1" si="2059"/>
        <v>0</v>
      </c>
      <c r="N1424" s="1423">
        <f t="shared" ca="1" si="2060"/>
        <v>0</v>
      </c>
      <c r="O1424" s="1423">
        <f t="shared" ca="1" si="2061"/>
        <v>0</v>
      </c>
      <c r="P1424" s="1423">
        <f t="shared" ca="1" si="2062"/>
        <v>0</v>
      </c>
      <c r="Q1424" s="1423">
        <f t="shared" ca="1" si="2063"/>
        <v>0</v>
      </c>
      <c r="R1424" s="1423">
        <f t="shared" ca="1" si="2064"/>
        <v>0</v>
      </c>
      <c r="S1424" s="1423">
        <f t="shared" ca="1" si="2065"/>
        <v>0</v>
      </c>
      <c r="T1424" s="1423">
        <f t="shared" ca="1" si="2066"/>
        <v>0</v>
      </c>
      <c r="U1424" s="1423">
        <f t="shared" ca="1" si="2067"/>
        <v>0</v>
      </c>
      <c r="V1424" s="1423">
        <f t="shared" ca="1" si="2068"/>
        <v>0</v>
      </c>
      <c r="W1424" s="1423">
        <f t="shared" ca="1" si="2069"/>
        <v>0</v>
      </c>
      <c r="X1424" s="202"/>
      <c r="Y1424" s="202"/>
      <c r="Z1424" s="202"/>
      <c r="AA1424" s="152"/>
      <c r="AB1424" s="152"/>
    </row>
    <row r="1425" spans="1:28" hidden="1" outlineLevel="1">
      <c r="A1425" s="199">
        <f t="shared" si="2070"/>
        <v>7</v>
      </c>
      <c r="B1425" s="190" t="str">
        <f t="shared" ca="1" si="2071"/>
        <v>Depreciated Net Capex 2022-23</v>
      </c>
      <c r="C1425" s="1426"/>
      <c r="D1425" s="1426"/>
      <c r="E1425" s="1426"/>
      <c r="F1425" s="1426"/>
      <c r="G1425" s="1426"/>
      <c r="H1425" s="1426"/>
      <c r="I1425" s="1427"/>
      <c r="J1425" s="1428">
        <f>J1413</f>
        <v>0</v>
      </c>
      <c r="K1425" s="1423">
        <f ca="1">IF(J1449="n/a",J1425,IFERROR(IF((OFFSET($C1425,0,$A1425))&lt;0,
MIN(0,J1425-(OFFSET($C1425,0,$A1425)/(OFFSET($C1420,-$A1424,$A1425)))),
MAX(0,J1425-(OFFSET($C1425,0,$A1425)/(OFFSET($C1420,-$A1424,$A1425))))),0))</f>
        <v>0</v>
      </c>
      <c r="L1425" s="1423">
        <f t="shared" ca="1" si="2058"/>
        <v>0</v>
      </c>
      <c r="M1425" s="1423">
        <f t="shared" ca="1" si="2059"/>
        <v>0</v>
      </c>
      <c r="N1425" s="1423">
        <f t="shared" ca="1" si="2060"/>
        <v>0</v>
      </c>
      <c r="O1425" s="1423">
        <f t="shared" ca="1" si="2061"/>
        <v>0</v>
      </c>
      <c r="P1425" s="1423">
        <f t="shared" ca="1" si="2062"/>
        <v>0</v>
      </c>
      <c r="Q1425" s="1423">
        <f t="shared" ca="1" si="2063"/>
        <v>0</v>
      </c>
      <c r="R1425" s="1423">
        <f t="shared" ca="1" si="2064"/>
        <v>0</v>
      </c>
      <c r="S1425" s="1423">
        <f t="shared" ca="1" si="2065"/>
        <v>0</v>
      </c>
      <c r="T1425" s="1423">
        <f t="shared" ca="1" si="2066"/>
        <v>0</v>
      </c>
      <c r="U1425" s="1423">
        <f t="shared" ca="1" si="2067"/>
        <v>0</v>
      </c>
      <c r="V1425" s="1423">
        <f t="shared" ca="1" si="2068"/>
        <v>0</v>
      </c>
      <c r="W1425" s="1423">
        <f t="shared" ca="1" si="2069"/>
        <v>0</v>
      </c>
      <c r="X1425" s="202"/>
      <c r="Y1425" s="202"/>
      <c r="Z1425" s="202"/>
      <c r="AA1425" s="152"/>
      <c r="AB1425" s="152"/>
    </row>
    <row r="1426" spans="1:28" hidden="1" outlineLevel="1">
      <c r="A1426" s="199">
        <f t="shared" si="2070"/>
        <v>8</v>
      </c>
      <c r="B1426" s="190" t="str">
        <f t="shared" ca="1" si="2071"/>
        <v>Depreciated Net Capex 2023-24</v>
      </c>
      <c r="C1426" s="1426"/>
      <c r="D1426" s="1426"/>
      <c r="E1426" s="1426"/>
      <c r="F1426" s="1426"/>
      <c r="G1426" s="1426"/>
      <c r="H1426" s="1426"/>
      <c r="I1426" s="1426"/>
      <c r="J1426" s="1427"/>
      <c r="K1426" s="1428">
        <f>K1413</f>
        <v>0</v>
      </c>
      <c r="L1426" s="1423">
        <f ca="1">IF(K1450="n/a",K1426,IFERROR(IF((OFFSET($C1426,0,$A1426))&lt;0,
MIN(0,K1426-(OFFSET($C1426,0,$A1426)/(OFFSET($C1421,-$A1425,$A1426)))),
MAX(0,K1426-(OFFSET($C1426,0,$A1426)/(OFFSET($C1421,-$A1425,$A1426))))),0))</f>
        <v>0</v>
      </c>
      <c r="M1426" s="1423">
        <f t="shared" ca="1" si="2059"/>
        <v>0</v>
      </c>
      <c r="N1426" s="1423">
        <f t="shared" ca="1" si="2060"/>
        <v>0</v>
      </c>
      <c r="O1426" s="1423">
        <f t="shared" ca="1" si="2061"/>
        <v>0</v>
      </c>
      <c r="P1426" s="1423">
        <f t="shared" ca="1" si="2062"/>
        <v>0</v>
      </c>
      <c r="Q1426" s="1423">
        <f t="shared" ca="1" si="2063"/>
        <v>0</v>
      </c>
      <c r="R1426" s="1423">
        <f t="shared" ca="1" si="2064"/>
        <v>0</v>
      </c>
      <c r="S1426" s="1423">
        <f t="shared" ca="1" si="2065"/>
        <v>0</v>
      </c>
      <c r="T1426" s="1423">
        <f t="shared" ca="1" si="2066"/>
        <v>0</v>
      </c>
      <c r="U1426" s="1423">
        <f t="shared" ca="1" si="2067"/>
        <v>0</v>
      </c>
      <c r="V1426" s="1423">
        <f t="shared" ca="1" si="2068"/>
        <v>0</v>
      </c>
      <c r="W1426" s="1423">
        <f t="shared" ca="1" si="2069"/>
        <v>0</v>
      </c>
      <c r="X1426" s="202"/>
      <c r="Y1426" s="202"/>
      <c r="Z1426" s="202"/>
      <c r="AA1426" s="152"/>
      <c r="AB1426" s="152"/>
    </row>
    <row r="1427" spans="1:28" hidden="1" outlineLevel="1">
      <c r="A1427" s="199">
        <f t="shared" si="2070"/>
        <v>9</v>
      </c>
      <c r="B1427" s="190" t="str">
        <f t="shared" ca="1" si="2071"/>
        <v>Depreciated Net Capex 2024-25</v>
      </c>
      <c r="C1427" s="1426"/>
      <c r="D1427" s="1426"/>
      <c r="E1427" s="1426"/>
      <c r="F1427" s="1426"/>
      <c r="G1427" s="1426"/>
      <c r="H1427" s="1426"/>
      <c r="I1427" s="1426"/>
      <c r="J1427" s="1426"/>
      <c r="K1427" s="1427"/>
      <c r="L1427" s="1428">
        <f>L1413</f>
        <v>0</v>
      </c>
      <c r="M1427" s="1423">
        <f ca="1">IF(L1451="n/a",L1427,IFERROR(IF((OFFSET($C1427,0,$A1427))&lt;0,
MIN(0,L1427-(OFFSET($C1427,0,$A1427)/(OFFSET($C1422,-$A1426,$A1427)))),
MAX(0,L1427-(OFFSET($C1427,0,$A1427)/(OFFSET($C1422,-$A1426,$A1427))))),0))</f>
        <v>0</v>
      </c>
      <c r="N1427" s="1423">
        <f t="shared" ca="1" si="2060"/>
        <v>0</v>
      </c>
      <c r="O1427" s="1423">
        <f t="shared" ca="1" si="2061"/>
        <v>0</v>
      </c>
      <c r="P1427" s="1423">
        <f t="shared" ca="1" si="2062"/>
        <v>0</v>
      </c>
      <c r="Q1427" s="1423">
        <f t="shared" ca="1" si="2063"/>
        <v>0</v>
      </c>
      <c r="R1427" s="1423">
        <f t="shared" ca="1" si="2064"/>
        <v>0</v>
      </c>
      <c r="S1427" s="1423">
        <f t="shared" ca="1" si="2065"/>
        <v>0</v>
      </c>
      <c r="T1427" s="1423">
        <f t="shared" ca="1" si="2066"/>
        <v>0</v>
      </c>
      <c r="U1427" s="1423">
        <f t="shared" ca="1" si="2067"/>
        <v>0</v>
      </c>
      <c r="V1427" s="1423">
        <f t="shared" ca="1" si="2068"/>
        <v>0</v>
      </c>
      <c r="W1427" s="1423">
        <f t="shared" ca="1" si="2069"/>
        <v>0</v>
      </c>
      <c r="X1427" s="202"/>
      <c r="Y1427" s="202"/>
      <c r="Z1427" s="202"/>
      <c r="AA1427" s="152"/>
      <c r="AB1427" s="152"/>
    </row>
    <row r="1428" spans="1:28" hidden="1" outlineLevel="1">
      <c r="A1428" s="199">
        <f t="shared" si="2070"/>
        <v>10</v>
      </c>
      <c r="B1428" s="190" t="str">
        <f t="shared" ca="1" si="2071"/>
        <v>Depreciated Net Capex 2025-26</v>
      </c>
      <c r="C1428" s="1426"/>
      <c r="D1428" s="1426"/>
      <c r="E1428" s="1426"/>
      <c r="F1428" s="1426"/>
      <c r="G1428" s="1426"/>
      <c r="H1428" s="1426"/>
      <c r="I1428" s="1426"/>
      <c r="J1428" s="1426"/>
      <c r="K1428" s="1426"/>
      <c r="L1428" s="1427"/>
      <c r="M1428" s="1428">
        <f>M1413</f>
        <v>0</v>
      </c>
      <c r="N1428" s="1423">
        <f ca="1">IF(M1452="n/a",M1428,IFERROR(IF((OFFSET($C1428,0,$A1428))&lt;0,
MIN(0,M1428-(OFFSET($C1428,0,$A1428)/(OFFSET($C1423,-$A1427,$A1428)))),
MAX(0,M1428-(OFFSET($C1428,0,$A1428)/(OFFSET($C1423,-$A1427,$A1428))))),0))</f>
        <v>0</v>
      </c>
      <c r="O1428" s="1423">
        <f t="shared" ca="1" si="2061"/>
        <v>0</v>
      </c>
      <c r="P1428" s="1423">
        <f t="shared" ca="1" si="2062"/>
        <v>0</v>
      </c>
      <c r="Q1428" s="1423">
        <f t="shared" ca="1" si="2063"/>
        <v>0</v>
      </c>
      <c r="R1428" s="1423">
        <f t="shared" ca="1" si="2064"/>
        <v>0</v>
      </c>
      <c r="S1428" s="1423">
        <f t="shared" ca="1" si="2065"/>
        <v>0</v>
      </c>
      <c r="T1428" s="1423">
        <f t="shared" ca="1" si="2066"/>
        <v>0</v>
      </c>
      <c r="U1428" s="1423">
        <f t="shared" ca="1" si="2067"/>
        <v>0</v>
      </c>
      <c r="V1428" s="1423">
        <f t="shared" ca="1" si="2068"/>
        <v>0</v>
      </c>
      <c r="W1428" s="1423">
        <f t="shared" ca="1" si="2069"/>
        <v>0</v>
      </c>
      <c r="X1428" s="202"/>
      <c r="Y1428" s="202"/>
      <c r="Z1428" s="202"/>
      <c r="AA1428" s="152"/>
      <c r="AB1428" s="152"/>
    </row>
    <row r="1429" spans="1:28" hidden="1" outlineLevel="1">
      <c r="A1429" s="199">
        <f t="shared" si="2070"/>
        <v>11</v>
      </c>
      <c r="B1429" s="190" t="str">
        <f t="shared" ca="1" si="2071"/>
        <v>Depreciated Net Capex 2026-27</v>
      </c>
      <c r="C1429" s="1426"/>
      <c r="D1429" s="1426"/>
      <c r="E1429" s="1426"/>
      <c r="F1429" s="1426"/>
      <c r="G1429" s="1426"/>
      <c r="H1429" s="1426"/>
      <c r="I1429" s="1426"/>
      <c r="J1429" s="1426"/>
      <c r="K1429" s="1426"/>
      <c r="L1429" s="1426"/>
      <c r="M1429" s="1427"/>
      <c r="N1429" s="1428">
        <f>N1413</f>
        <v>0</v>
      </c>
      <c r="O1429" s="1423">
        <f ca="1">IF(N1453="n/a",N1429,IFERROR(IF((OFFSET($C1429,0,$A1429))&lt;0,
MIN(0,N1429-(OFFSET($C1429,0,$A1429)/(OFFSET($C1424,-$A1428,$A1429)))),
MAX(0,N1429-(OFFSET($C1429,0,$A1429)/(OFFSET($C1424,-$A1428,$A1429))))),0))</f>
        <v>0</v>
      </c>
      <c r="P1429" s="1423">
        <f t="shared" ca="1" si="2062"/>
        <v>0</v>
      </c>
      <c r="Q1429" s="1423">
        <f t="shared" ca="1" si="2063"/>
        <v>0</v>
      </c>
      <c r="R1429" s="1423">
        <f t="shared" ca="1" si="2064"/>
        <v>0</v>
      </c>
      <c r="S1429" s="1423">
        <f t="shared" ca="1" si="2065"/>
        <v>0</v>
      </c>
      <c r="T1429" s="1423">
        <f t="shared" ca="1" si="2066"/>
        <v>0</v>
      </c>
      <c r="U1429" s="1423">
        <f t="shared" ca="1" si="2067"/>
        <v>0</v>
      </c>
      <c r="V1429" s="1423">
        <f t="shared" ca="1" si="2068"/>
        <v>0</v>
      </c>
      <c r="W1429" s="1423">
        <f t="shared" ca="1" si="2069"/>
        <v>0</v>
      </c>
      <c r="X1429" s="202"/>
      <c r="Y1429" s="202"/>
      <c r="Z1429" s="202"/>
      <c r="AA1429" s="152"/>
      <c r="AB1429" s="152"/>
    </row>
    <row r="1430" spans="1:28" hidden="1" outlineLevel="1">
      <c r="A1430" s="199">
        <f t="shared" si="2070"/>
        <v>12</v>
      </c>
      <c r="B1430" s="190" t="str">
        <f t="shared" ca="1" si="2071"/>
        <v>Depreciated Net Capex 2027-28</v>
      </c>
      <c r="C1430" s="1426"/>
      <c r="D1430" s="1426"/>
      <c r="E1430" s="1426"/>
      <c r="F1430" s="1426"/>
      <c r="G1430" s="1426"/>
      <c r="H1430" s="1426"/>
      <c r="I1430" s="1426"/>
      <c r="J1430" s="1426"/>
      <c r="K1430" s="1426"/>
      <c r="L1430" s="1426"/>
      <c r="M1430" s="1426"/>
      <c r="N1430" s="1427"/>
      <c r="O1430" s="1428">
        <f>O1413</f>
        <v>0</v>
      </c>
      <c r="P1430" s="1423">
        <f ca="1">IF(O1454="n/a",O1430,IFERROR(IF((OFFSET($C1430,0,$A1430))&lt;0,
MIN(0,O1430-(OFFSET($C1430,0,$A1430)/(OFFSET($C1425,-$A1429,$A1430)))),
MAX(0,O1430-(OFFSET($C1430,0,$A1430)/(OFFSET($C1425,-$A1429,$A1430))))),0))</f>
        <v>0</v>
      </c>
      <c r="Q1430" s="1423">
        <f t="shared" ca="1" si="2063"/>
        <v>0</v>
      </c>
      <c r="R1430" s="1423">
        <f t="shared" ca="1" si="2064"/>
        <v>0</v>
      </c>
      <c r="S1430" s="1423">
        <f t="shared" ca="1" si="2065"/>
        <v>0</v>
      </c>
      <c r="T1430" s="1423">
        <f t="shared" ca="1" si="2066"/>
        <v>0</v>
      </c>
      <c r="U1430" s="1423">
        <f t="shared" ca="1" si="2067"/>
        <v>0</v>
      </c>
      <c r="V1430" s="1423">
        <f t="shared" ca="1" si="2068"/>
        <v>0</v>
      </c>
      <c r="W1430" s="1423">
        <f t="shared" ca="1" si="2069"/>
        <v>0</v>
      </c>
      <c r="X1430" s="202"/>
      <c r="Y1430" s="202"/>
      <c r="Z1430" s="202"/>
      <c r="AA1430" s="152"/>
      <c r="AB1430" s="152"/>
    </row>
    <row r="1431" spans="1:28" hidden="1" outlineLevel="1">
      <c r="A1431" s="199">
        <f t="shared" si="2070"/>
        <v>13</v>
      </c>
      <c r="B1431" s="190" t="str">
        <f t="shared" ca="1" si="2071"/>
        <v>Depreciated Net Capex 2028-29</v>
      </c>
      <c r="C1431" s="1426"/>
      <c r="D1431" s="1426"/>
      <c r="E1431" s="1426"/>
      <c r="F1431" s="1426"/>
      <c r="G1431" s="1426"/>
      <c r="H1431" s="1426"/>
      <c r="I1431" s="1426"/>
      <c r="J1431" s="1426"/>
      <c r="K1431" s="1426"/>
      <c r="L1431" s="1426"/>
      <c r="M1431" s="1426"/>
      <c r="N1431" s="1426"/>
      <c r="O1431" s="1427"/>
      <c r="P1431" s="1428">
        <f>P1413</f>
        <v>0</v>
      </c>
      <c r="Q1431" s="1423">
        <f ca="1">IF(P1455="n/a",P1431,IFERROR(IF((OFFSET($C1431,0,$A1431))&lt;0,
MIN(0,P1431-(OFFSET($C1431,0,$A1431)/(OFFSET($C1426,-$A1430,$A1431)))),
MAX(0,P1431-(OFFSET($C1431,0,$A1431)/(OFFSET($C1426,-$A1430,$A1431))))),0))</f>
        <v>0</v>
      </c>
      <c r="R1431" s="1423">
        <f t="shared" ca="1" si="2064"/>
        <v>0</v>
      </c>
      <c r="S1431" s="1423">
        <f t="shared" ca="1" si="2065"/>
        <v>0</v>
      </c>
      <c r="T1431" s="1423">
        <f t="shared" ca="1" si="2066"/>
        <v>0</v>
      </c>
      <c r="U1431" s="1423">
        <f t="shared" ca="1" si="2067"/>
        <v>0</v>
      </c>
      <c r="V1431" s="1423">
        <f t="shared" ca="1" si="2068"/>
        <v>0</v>
      </c>
      <c r="W1431" s="1423">
        <f t="shared" ca="1" si="2069"/>
        <v>0</v>
      </c>
      <c r="X1431" s="202"/>
      <c r="Y1431" s="202"/>
      <c r="Z1431" s="202"/>
      <c r="AA1431" s="152"/>
      <c r="AB1431" s="152"/>
    </row>
    <row r="1432" spans="1:28" hidden="1" outlineLevel="1">
      <c r="A1432" s="199">
        <f t="shared" si="2070"/>
        <v>14</v>
      </c>
      <c r="B1432" s="190" t="str">
        <f t="shared" ca="1" si="2071"/>
        <v>Depreciated Net Capex 2029-30</v>
      </c>
      <c r="C1432" s="1426"/>
      <c r="D1432" s="1426"/>
      <c r="E1432" s="1426"/>
      <c r="F1432" s="1426"/>
      <c r="G1432" s="1426"/>
      <c r="H1432" s="1426"/>
      <c r="I1432" s="1426"/>
      <c r="J1432" s="1426"/>
      <c r="K1432" s="1426"/>
      <c r="L1432" s="1426"/>
      <c r="M1432" s="1426"/>
      <c r="N1432" s="1426"/>
      <c r="O1432" s="1426"/>
      <c r="P1432" s="1427"/>
      <c r="Q1432" s="1428">
        <f>Q1413</f>
        <v>0</v>
      </c>
      <c r="R1432" s="1423">
        <f ca="1">IF(Q1456="n/a",Q1432,IFERROR(IF((OFFSET($C1432,0,$A1432))&lt;0,
MIN(0,Q1432-(OFFSET($C1432,0,$A1432)/(OFFSET($C1427,-$A1431,$A1432)))),
MAX(0,Q1432-(OFFSET($C1432,0,$A1432)/(OFFSET($C1427,-$A1431,$A1432))))),0))</f>
        <v>0</v>
      </c>
      <c r="S1432" s="1423">
        <f t="shared" ca="1" si="2065"/>
        <v>0</v>
      </c>
      <c r="T1432" s="1423">
        <f t="shared" ca="1" si="2066"/>
        <v>0</v>
      </c>
      <c r="U1432" s="1423">
        <f t="shared" ca="1" si="2067"/>
        <v>0</v>
      </c>
      <c r="V1432" s="1423">
        <f t="shared" ca="1" si="2068"/>
        <v>0</v>
      </c>
      <c r="W1432" s="1423">
        <f t="shared" ca="1" si="2069"/>
        <v>0</v>
      </c>
      <c r="X1432" s="202"/>
      <c r="Y1432" s="202"/>
      <c r="Z1432" s="202"/>
      <c r="AA1432" s="152"/>
      <c r="AB1432" s="152"/>
    </row>
    <row r="1433" spans="1:28" hidden="1" outlineLevel="1">
      <c r="A1433" s="199">
        <f t="shared" si="2070"/>
        <v>15</v>
      </c>
      <c r="B1433" s="190" t="str">
        <f t="shared" ca="1" si="2071"/>
        <v>Depreciated Net Capex 2030-31</v>
      </c>
      <c r="C1433" s="1426"/>
      <c r="D1433" s="1426"/>
      <c r="E1433" s="1426"/>
      <c r="F1433" s="1426"/>
      <c r="G1433" s="1426"/>
      <c r="H1433" s="1426"/>
      <c r="I1433" s="1426"/>
      <c r="J1433" s="1426"/>
      <c r="K1433" s="1426"/>
      <c r="L1433" s="1426"/>
      <c r="M1433" s="1426"/>
      <c r="N1433" s="1426"/>
      <c r="O1433" s="1426"/>
      <c r="P1433" s="1426"/>
      <c r="Q1433" s="1427"/>
      <c r="R1433" s="1428">
        <f>R1413</f>
        <v>0</v>
      </c>
      <c r="S1433" s="1423">
        <f ca="1">IF(R1457="n/a",R1433,IFERROR(IF((OFFSET($C1433,0,$A1433))&lt;0,
MIN(0,R1433-(OFFSET($C1433,0,$A1433)/(OFFSET($C1428,-$A1432,$A1433)))),
MAX(0,R1433-(OFFSET($C1433,0,$A1433)/(OFFSET($C1428,-$A1432,$A1433))))),0))</f>
        <v>0</v>
      </c>
      <c r="T1433" s="1423">
        <f t="shared" ca="1" si="2066"/>
        <v>0</v>
      </c>
      <c r="U1433" s="1423">
        <f t="shared" ca="1" si="2067"/>
        <v>0</v>
      </c>
      <c r="V1433" s="1423">
        <f t="shared" ca="1" si="2068"/>
        <v>0</v>
      </c>
      <c r="W1433" s="1423">
        <f t="shared" ca="1" si="2069"/>
        <v>0</v>
      </c>
      <c r="X1433" s="202"/>
      <c r="Y1433" s="202"/>
      <c r="Z1433" s="202"/>
      <c r="AA1433" s="152"/>
      <c r="AB1433" s="152"/>
    </row>
    <row r="1434" spans="1:28" hidden="1" outlineLevel="1">
      <c r="A1434" s="199">
        <f t="shared" si="2070"/>
        <v>16</v>
      </c>
      <c r="B1434" s="190" t="str">
        <f t="shared" ca="1" si="2071"/>
        <v>Depreciated Net Capex 2031-32</v>
      </c>
      <c r="C1434" s="1426"/>
      <c r="D1434" s="1426"/>
      <c r="E1434" s="1426"/>
      <c r="F1434" s="1426"/>
      <c r="G1434" s="1426"/>
      <c r="H1434" s="1426"/>
      <c r="I1434" s="1426"/>
      <c r="J1434" s="1426"/>
      <c r="K1434" s="1426"/>
      <c r="L1434" s="1426"/>
      <c r="M1434" s="1426"/>
      <c r="N1434" s="1426"/>
      <c r="O1434" s="1426"/>
      <c r="P1434" s="1426"/>
      <c r="Q1434" s="1426"/>
      <c r="R1434" s="1427"/>
      <c r="S1434" s="1428">
        <f>S1413</f>
        <v>0</v>
      </c>
      <c r="T1434" s="1423">
        <f ca="1">IF(S1458="n/a",S1434,IFERROR(IF((OFFSET($C1434,0,$A1434))&lt;0,
MIN(0,S1434-(OFFSET($C1434,0,$A1434)/(OFFSET($C1429,-$A1433,$A1434)))),
MAX(0,S1434-(OFFSET($C1434,0,$A1434)/(OFFSET($C1429,-$A1433,$A1434))))),0))</f>
        <v>0</v>
      </c>
      <c r="U1434" s="1423">
        <f t="shared" ca="1" si="2067"/>
        <v>0</v>
      </c>
      <c r="V1434" s="1423">
        <f t="shared" ca="1" si="2068"/>
        <v>0</v>
      </c>
      <c r="W1434" s="1423">
        <f t="shared" ca="1" si="2069"/>
        <v>0</v>
      </c>
      <c r="X1434" s="202"/>
      <c r="Y1434" s="202"/>
      <c r="Z1434" s="202"/>
      <c r="AA1434" s="152"/>
      <c r="AB1434" s="152"/>
    </row>
    <row r="1435" spans="1:28" hidden="1" outlineLevel="1">
      <c r="A1435" s="199">
        <f t="shared" si="2070"/>
        <v>17</v>
      </c>
      <c r="B1435" s="190" t="str">
        <f t="shared" ca="1" si="2071"/>
        <v>Depreciated Net Capex 2032-33</v>
      </c>
      <c r="C1435" s="1426"/>
      <c r="D1435" s="1426"/>
      <c r="E1435" s="1426"/>
      <c r="F1435" s="1426"/>
      <c r="G1435" s="1426"/>
      <c r="H1435" s="1426"/>
      <c r="I1435" s="1426"/>
      <c r="J1435" s="1426"/>
      <c r="K1435" s="1426"/>
      <c r="L1435" s="1426"/>
      <c r="M1435" s="1426"/>
      <c r="N1435" s="1426"/>
      <c r="O1435" s="1426"/>
      <c r="P1435" s="1426"/>
      <c r="Q1435" s="1426"/>
      <c r="R1435" s="1426"/>
      <c r="S1435" s="1427"/>
      <c r="T1435" s="1428">
        <f>T1413</f>
        <v>0</v>
      </c>
      <c r="U1435" s="1423">
        <f ca="1">IF(T1459="n/a",T1435,IFERROR(IF((OFFSET($C1435,0,$A1435))&lt;0,
MIN(0,T1435-(OFFSET($C1435,0,$A1435)/(OFFSET($C1430,-$A1434,$A1435)))),
MAX(0,T1435-(OFFSET($C1435,0,$A1435)/(OFFSET($C1430,-$A1434,$A1435))))),0))</f>
        <v>0</v>
      </c>
      <c r="V1435" s="1423">
        <f t="shared" ca="1" si="2068"/>
        <v>0</v>
      </c>
      <c r="W1435" s="1423">
        <f t="shared" ca="1" si="2069"/>
        <v>0</v>
      </c>
      <c r="X1435" s="202"/>
      <c r="Y1435" s="202"/>
      <c r="Z1435" s="202"/>
      <c r="AA1435" s="152"/>
      <c r="AB1435" s="152"/>
    </row>
    <row r="1436" spans="1:28" hidden="1" outlineLevel="1">
      <c r="A1436" s="199">
        <f t="shared" si="2070"/>
        <v>18</v>
      </c>
      <c r="B1436" s="190" t="str">
        <f t="shared" ca="1" si="2071"/>
        <v>Depreciated Net Capex 2033-34</v>
      </c>
      <c r="C1436" s="1426"/>
      <c r="D1436" s="1426"/>
      <c r="E1436" s="1426"/>
      <c r="F1436" s="1426"/>
      <c r="G1436" s="1426"/>
      <c r="H1436" s="1426"/>
      <c r="I1436" s="1426"/>
      <c r="J1436" s="1426"/>
      <c r="K1436" s="1426"/>
      <c r="L1436" s="1426"/>
      <c r="M1436" s="1426"/>
      <c r="N1436" s="1426"/>
      <c r="O1436" s="1426"/>
      <c r="P1436" s="1426"/>
      <c r="Q1436" s="1426"/>
      <c r="R1436" s="1426"/>
      <c r="S1436" s="1426"/>
      <c r="T1436" s="1427"/>
      <c r="U1436" s="1428">
        <f>U1413</f>
        <v>0</v>
      </c>
      <c r="V1436" s="1423">
        <f ca="1">IF(U1460="n/a",U1436,IFERROR(IF((OFFSET($C1436,0,$A1436))&lt;0,
MIN(0,U1436-(OFFSET($C1436,0,$A1436)/(OFFSET($C1431,-$A1435,$A1436)))),
MAX(0,U1436-(OFFSET($C1436,0,$A1436)/(OFFSET($C1431,-$A1435,$A1436))))),0))</f>
        <v>0</v>
      </c>
      <c r="W1436" s="1423">
        <f t="shared" ca="1" si="2069"/>
        <v>0</v>
      </c>
      <c r="X1436" s="202"/>
      <c r="Y1436" s="202"/>
      <c r="Z1436" s="202"/>
      <c r="AA1436" s="152"/>
      <c r="AB1436" s="152"/>
    </row>
    <row r="1437" spans="1:28" hidden="1" outlineLevel="1">
      <c r="A1437" s="199">
        <f t="shared" si="2070"/>
        <v>19</v>
      </c>
      <c r="B1437" s="190" t="str">
        <f t="shared" ca="1" si="2071"/>
        <v>Depreciated Net Capex 2034-35</v>
      </c>
      <c r="C1437" s="1426"/>
      <c r="D1437" s="1426"/>
      <c r="E1437" s="1426"/>
      <c r="F1437" s="1426"/>
      <c r="G1437" s="1426"/>
      <c r="H1437" s="1426"/>
      <c r="I1437" s="1426"/>
      <c r="J1437" s="1426"/>
      <c r="K1437" s="1426"/>
      <c r="L1437" s="1426"/>
      <c r="M1437" s="1426"/>
      <c r="N1437" s="1426"/>
      <c r="O1437" s="1426"/>
      <c r="P1437" s="1426"/>
      <c r="Q1437" s="1426"/>
      <c r="R1437" s="1426"/>
      <c r="S1437" s="1426"/>
      <c r="T1437" s="1426"/>
      <c r="U1437" s="1427"/>
      <c r="V1437" s="1428">
        <f>V1413</f>
        <v>0</v>
      </c>
      <c r="W1437" s="1423">
        <f ca="1">IF(V1461="n/a",V1437,IFERROR(IF((OFFSET($C1437,0,$A1437))&lt;0,
MIN(0,V1437-(OFFSET($C1437,0,$A1437)/(OFFSET($C1432,-$A1436,$A1437)))),
MAX(0,V1437-(OFFSET($C1437,0,$A1437)/(OFFSET($C1432,-$A1436,$A1437))))),0))</f>
        <v>0</v>
      </c>
      <c r="X1437" s="202"/>
      <c r="Y1437" s="202"/>
      <c r="Z1437" s="202"/>
      <c r="AA1437" s="152"/>
      <c r="AB1437" s="152"/>
    </row>
    <row r="1438" spans="1:28" hidden="1" outlineLevel="1">
      <c r="A1438" s="199">
        <f t="shared" si="2070"/>
        <v>20</v>
      </c>
      <c r="B1438" s="190" t="str">
        <f t="shared" ca="1" si="2071"/>
        <v>Depreciated Net Capex 2035-36</v>
      </c>
      <c r="C1438" s="1426"/>
      <c r="D1438" s="1426"/>
      <c r="E1438" s="1426"/>
      <c r="F1438" s="1426"/>
      <c r="G1438" s="1426"/>
      <c r="H1438" s="1426"/>
      <c r="I1438" s="1426"/>
      <c r="J1438" s="1426"/>
      <c r="K1438" s="1426"/>
      <c r="L1438" s="1426"/>
      <c r="M1438" s="1426"/>
      <c r="N1438" s="1426"/>
      <c r="O1438" s="1426"/>
      <c r="P1438" s="1426"/>
      <c r="Q1438" s="1426"/>
      <c r="R1438" s="1426"/>
      <c r="S1438" s="1426"/>
      <c r="T1438" s="1426"/>
      <c r="U1438" s="1426"/>
      <c r="V1438" s="1427"/>
      <c r="W1438" s="1423">
        <f>W1413</f>
        <v>0</v>
      </c>
      <c r="X1438" s="152"/>
      <c r="Y1438" s="152"/>
      <c r="Z1438" s="152"/>
      <c r="AA1438" s="152"/>
      <c r="AB1438" s="152"/>
    </row>
    <row r="1439" spans="1:28" hidden="1" outlineLevel="1">
      <c r="A1439" s="152"/>
      <c r="B1439" s="200"/>
      <c r="C1439" s="1423"/>
      <c r="D1439" s="1423"/>
      <c r="E1439" s="1423"/>
      <c r="F1439" s="1423"/>
      <c r="G1439" s="1423"/>
      <c r="H1439" s="1423"/>
      <c r="I1439" s="1423"/>
      <c r="J1439" s="1423"/>
      <c r="K1439" s="1423"/>
      <c r="L1439" s="1423"/>
      <c r="M1439" s="1423"/>
      <c r="N1439" s="1423"/>
      <c r="O1439" s="1423"/>
      <c r="P1439" s="1423"/>
      <c r="Q1439" s="1423"/>
      <c r="R1439" s="1423"/>
      <c r="S1439" s="1423"/>
      <c r="T1439" s="1423"/>
      <c r="U1439" s="1423"/>
      <c r="V1439" s="1423"/>
      <c r="W1439" s="1423"/>
      <c r="X1439" s="152"/>
      <c r="Y1439" s="152"/>
      <c r="Z1439" s="152"/>
      <c r="AA1439" s="152"/>
      <c r="AB1439" s="152"/>
    </row>
    <row r="1440" spans="1:28" hidden="1" outlineLevel="1">
      <c r="A1440" s="152"/>
      <c r="B1440" s="200"/>
      <c r="C1440" s="1423"/>
      <c r="D1440" s="1423"/>
      <c r="E1440" s="1423"/>
      <c r="F1440" s="1423"/>
      <c r="G1440" s="1423"/>
      <c r="H1440" s="1423"/>
      <c r="I1440" s="1423"/>
      <c r="J1440" s="1423"/>
      <c r="K1440" s="1423"/>
      <c r="L1440" s="1423"/>
      <c r="M1440" s="1423"/>
      <c r="N1440" s="1423"/>
      <c r="O1440" s="1423"/>
      <c r="P1440" s="1423"/>
      <c r="Q1440" s="1423"/>
      <c r="R1440" s="1423"/>
      <c r="S1440" s="1423"/>
      <c r="T1440" s="1423"/>
      <c r="U1440" s="1423"/>
      <c r="V1440" s="1423"/>
      <c r="W1440" s="1423"/>
      <c r="X1440" s="152"/>
      <c r="Y1440" s="152"/>
      <c r="Z1440" s="152"/>
      <c r="AA1440" s="152"/>
      <c r="AB1440" s="152"/>
    </row>
    <row r="1441" spans="1:28" hidden="1" outlineLevel="1">
      <c r="A1441" s="152"/>
      <c r="B1441" s="190" t="s">
        <v>194</v>
      </c>
      <c r="C1441" s="1423"/>
      <c r="D1441" s="1423">
        <f t="shared" ref="D1441" ca="1" si="2072">IF(AND(C1441&lt;1,D1415=0),0,
IF(D1415=0,C1441-1,
IF(C1441&lt;1,D1416,
(((C1441-1)*(C1417-(C1417/(C1441))))+(D1415*D1416))/(D1417))))</f>
        <v>0</v>
      </c>
      <c r="E1441" s="1423">
        <f t="shared" ref="E1441" ca="1" si="2073">IF(AND(D1441&lt;1,E1415=0),0,
IF(E1415=0,D1441-1,
IF(D1441&lt;1,E1416,
(((D1441-1)*(D1417-(D1417/(D1441))))+(E1415*E1416))/(E1417))))</f>
        <v>0</v>
      </c>
      <c r="F1441" s="1423">
        <f t="shared" ref="F1441" ca="1" si="2074">IF(AND(E1441&lt;1,F1415=0),0,
IF(F1415=0,E1441-1,
IF(E1441&lt;1,F1416,
(((E1441-1)*(E1417-(E1417/(E1441))))+(F1415*F1416))/(F1417))))</f>
        <v>0</v>
      </c>
      <c r="G1441" s="1423">
        <f t="shared" ref="G1441" ca="1" si="2075">IF(AND(F1441&lt;1,G1415=0),0,
IF(G1415=0,F1441-1,
IF(F1441&lt;1,G1416,
(((F1441-1)*(F1417-(F1417/(F1441))))+(G1415*G1416))/(G1417))))</f>
        <v>0</v>
      </c>
      <c r="H1441" s="1423">
        <f ca="1">IF(AND(G1441&lt;1,H1415=0),0,
IF(H1415=0,G1441-1,
IF(G1441&lt;1,H1416,
(((G1441-1)*(G1417-(G1417/(G1441))))+(H1415*H1416))/(H1417))))</f>
        <v>0</v>
      </c>
      <c r="I1441" s="1423">
        <f t="shared" ref="I1441" ca="1" si="2076">IF(AND(H1441&lt;1,I1415=0),0,
IF(I1415=0,H1441-1,
IF(H1441&lt;1,I1416,
(((H1441-1)*(H1417-(H1417/(H1441))))+(I1415*I1416))/(I1417))))</f>
        <v>0</v>
      </c>
      <c r="J1441" s="1423">
        <f t="shared" ref="J1441" ca="1" si="2077">IF(AND(I1441&lt;1,J1415=0),0,
IF(J1415=0,I1441-1,
IF(I1441&lt;1,J1416,
(((I1441-1)*(I1417-(I1417/(I1441))))+(J1415*J1416))/(J1417))))</f>
        <v>0</v>
      </c>
      <c r="K1441" s="1423">
        <f t="shared" ref="K1441" ca="1" si="2078">IF(AND(J1441&lt;1,K1415=0),0,
IF(K1415=0,J1441-1,
IF(J1441&lt;1,K1416,
(((J1441-1)*(J1417-(J1417/(J1441))))+(K1415*K1416))/(K1417))))</f>
        <v>0</v>
      </c>
      <c r="L1441" s="1423">
        <f t="shared" ref="L1441" ca="1" si="2079">IF(AND(K1441&lt;1,L1415=0),0,
IF(L1415=0,K1441-1,
IF(K1441&lt;1,L1416,
(((K1441-1)*(K1417-(K1417/(K1441))))+(L1415*L1416))/(L1417))))</f>
        <v>0</v>
      </c>
      <c r="M1441" s="1423">
        <f ca="1">IF(AND(L1441&lt;1,M1415=0),0,
IF(M1415=0,L1441-1,
IF(L1441&lt;1,M1416,
(((L1441-1)*(L1417-(L1417/(L1441))))+(M1415*M1416))/(M1417))))</f>
        <v>0</v>
      </c>
      <c r="N1441" s="1423">
        <f t="shared" ref="N1441" ca="1" si="2080">IF(AND(M1441&lt;1,N1415=0),0,
IF(N1415=0,M1441-1,
IF(M1441&lt;1,N1416,
(((M1441-1)*(M1417-(M1417/(M1441))))+(N1415*N1416))/(N1417))))</f>
        <v>0</v>
      </c>
      <c r="O1441" s="1423">
        <f t="shared" ref="O1441" ca="1" si="2081">IF(AND(N1441&lt;1,O1415=0),0,
IF(O1415=0,N1441-1,
IF(N1441&lt;1,O1416,
(((N1441-1)*(N1417-(N1417/(N1441))))+(O1415*O1416))/(O1417))))</f>
        <v>0</v>
      </c>
      <c r="P1441" s="1423">
        <f t="shared" ref="P1441" ca="1" si="2082">IF(AND(O1441&lt;1,P1415=0),0,
IF(P1415=0,O1441-1,
IF(O1441&lt;1,P1416,
(((O1441-1)*(O1417-(O1417/(O1441))))+(P1415*P1416))/(P1417))))</f>
        <v>0</v>
      </c>
      <c r="Q1441" s="1423">
        <f t="shared" ref="Q1441" ca="1" si="2083">IF(AND(P1441&lt;1,Q1415=0),0,
IF(Q1415=0,P1441-1,
IF(P1441&lt;1,Q1416,
(((P1441-1)*(P1417-(P1417/(P1441))))+(Q1415*Q1416))/(Q1417))))</f>
        <v>0</v>
      </c>
      <c r="R1441" s="1423">
        <f t="shared" ref="R1441" ca="1" si="2084">IF(AND(Q1441&lt;1,R1415=0),0,
IF(R1415=0,Q1441-1,
IF(Q1441&lt;1,R1416,
(((Q1441-1)*(Q1417-(Q1417/(Q1441))))+(R1415*R1416))/(R1417))))</f>
        <v>0</v>
      </c>
      <c r="S1441" s="1423">
        <f t="shared" ref="S1441" ca="1" si="2085">IF(AND(R1441&lt;1,S1415=0),0,
IF(S1415=0,R1441-1,
IF(R1441&lt;1,S1416,
(((R1441-1)*(R1417-(R1417/(R1441))))+(S1415*S1416))/(S1417))))</f>
        <v>0</v>
      </c>
      <c r="T1441" s="1423">
        <f t="shared" ref="T1441" ca="1" si="2086">IF(AND(S1441&lt;1,T1415=0),0,
IF(T1415=0,S1441-1,
IF(S1441&lt;1,T1416,
(((S1441-1)*(S1417-(S1417/(S1441))))+(T1415*T1416))/(T1417))))</f>
        <v>0</v>
      </c>
      <c r="U1441" s="1423">
        <f t="shared" ref="U1441" ca="1" si="2087">IF(AND(T1441&lt;1,U1415=0),0,
IF(U1415=0,T1441-1,
IF(T1441&lt;1,U1416,
(((T1441-1)*(T1417-(T1417/(T1441))))+(U1415*U1416))/(U1417))))</f>
        <v>0</v>
      </c>
      <c r="V1441" s="1423">
        <f t="shared" ref="V1441" ca="1" si="2088">IF(AND(U1441&lt;1,V1415=0),0,
IF(V1415=0,U1441-1,
IF(U1441&lt;1,V1416,
(((U1441-1)*(U1417-(U1417/(U1441))))+(V1415*V1416))/(V1417))))</f>
        <v>0</v>
      </c>
      <c r="W1441" s="1423">
        <f t="shared" ref="W1441" ca="1" si="2089">IF(AND(V1441&lt;1,W1415=0),0,
IF(W1415=0,V1441-1,
IF(V1441&lt;1,W1416,
(((V1441-1)*(V1417-(V1417/(V1441))))+(W1415*W1416))/(W1417))))</f>
        <v>0</v>
      </c>
      <c r="X1441" s="152"/>
      <c r="Y1441" s="152"/>
      <c r="Z1441" s="152"/>
      <c r="AA1441" s="152"/>
      <c r="AB1441" s="152"/>
    </row>
    <row r="1442" spans="1:28" hidden="1" outlineLevel="1">
      <c r="A1442" s="152"/>
      <c r="B1442" s="190" t="s">
        <v>193</v>
      </c>
      <c r="C1442" s="1423">
        <f ca="1">C1414</f>
        <v>0</v>
      </c>
      <c r="D1442" s="1423">
        <f t="shared" ref="D1442" ca="1" si="2090">IF(C1442="n/a","n/a",MAX(0,C1442-1))</f>
        <v>0</v>
      </c>
      <c r="E1442" s="1423">
        <f t="shared" ref="E1442:E1443" ca="1" si="2091">IF(D1442="n/a","n/a",MAX(0,D1442-1))</f>
        <v>0</v>
      </c>
      <c r="F1442" s="1423">
        <f t="shared" ref="F1442:F1444" ca="1" si="2092">IF(E1442="n/a","n/a",MAX(0,E1442-1))</f>
        <v>0</v>
      </c>
      <c r="G1442" s="1423">
        <f t="shared" ref="G1442:G1445" ca="1" si="2093">IF(F1442="n/a","n/a",MAX(0,F1442-1))</f>
        <v>0</v>
      </c>
      <c r="H1442" s="1423">
        <f t="shared" ref="H1442:H1446" ca="1" si="2094">IF(G1442="n/a","n/a",MAX(0,G1442-1))</f>
        <v>0</v>
      </c>
      <c r="I1442" s="1423">
        <f t="shared" ref="I1442:I1447" ca="1" si="2095">IF(H1442="n/a","n/a",MAX(0,H1442-1))</f>
        <v>0</v>
      </c>
      <c r="J1442" s="1423">
        <f t="shared" ref="J1442:J1448" ca="1" si="2096">IF(I1442="n/a","n/a",MAX(0,I1442-1))</f>
        <v>0</v>
      </c>
      <c r="K1442" s="1423">
        <f t="shared" ref="K1442:K1449" ca="1" si="2097">IF(J1442="n/a","n/a",MAX(0,J1442-1))</f>
        <v>0</v>
      </c>
      <c r="L1442" s="1423">
        <f t="shared" ref="L1442:L1450" ca="1" si="2098">IF(K1442="n/a","n/a",MAX(0,K1442-1))</f>
        <v>0</v>
      </c>
      <c r="M1442" s="1423">
        <f t="shared" ref="M1442:M1451" ca="1" si="2099">IF(L1442="n/a","n/a",MAX(0,L1442-1))</f>
        <v>0</v>
      </c>
      <c r="N1442" s="1423">
        <f t="shared" ref="N1442:N1452" ca="1" si="2100">IF(M1442="n/a","n/a",MAX(0,M1442-1))</f>
        <v>0</v>
      </c>
      <c r="O1442" s="1423">
        <f t="shared" ref="O1442:O1453" ca="1" si="2101">IF(N1442="n/a","n/a",MAX(0,N1442-1))</f>
        <v>0</v>
      </c>
      <c r="P1442" s="1423">
        <f t="shared" ref="P1442:P1454" ca="1" si="2102">IF(O1442="n/a","n/a",MAX(0,O1442-1))</f>
        <v>0</v>
      </c>
      <c r="Q1442" s="1423">
        <f t="shared" ref="Q1442:Q1455" ca="1" si="2103">IF(P1442="n/a","n/a",MAX(0,P1442-1))</f>
        <v>0</v>
      </c>
      <c r="R1442" s="1423">
        <f t="shared" ref="R1442:R1456" ca="1" si="2104">IF(Q1442="n/a","n/a",MAX(0,Q1442-1))</f>
        <v>0</v>
      </c>
      <c r="S1442" s="1423">
        <f t="shared" ref="S1442:S1457" ca="1" si="2105">IF(R1442="n/a","n/a",MAX(0,R1442-1))</f>
        <v>0</v>
      </c>
      <c r="T1442" s="1423">
        <f t="shared" ref="T1442:T1458" ca="1" si="2106">IF(S1442="n/a","n/a",MAX(0,S1442-1))</f>
        <v>0</v>
      </c>
      <c r="U1442" s="1423">
        <f t="shared" ref="U1442:U1459" ca="1" si="2107">IF(T1442="n/a","n/a",MAX(0,T1442-1))</f>
        <v>0</v>
      </c>
      <c r="V1442" s="1423">
        <f t="shared" ref="V1442:V1460" ca="1" si="2108">IF(U1442="n/a","n/a",MAX(0,U1442-1))</f>
        <v>0</v>
      </c>
      <c r="W1442" s="1423">
        <f t="shared" ref="W1442:W1460" ca="1" si="2109">IF(V1442="n/a","n/a",MAX(0,V1442-1))</f>
        <v>0</v>
      </c>
      <c r="X1442" s="152"/>
      <c r="Y1442" s="152"/>
      <c r="Z1442" s="152"/>
      <c r="AA1442" s="152"/>
      <c r="AB1442" s="152"/>
    </row>
    <row r="1443" spans="1:28" hidden="1" outlineLevel="1">
      <c r="A1443" s="152"/>
      <c r="B1443" s="190" t="str">
        <f t="shared" ref="B1443:B1462" ca="1" si="2110">"RL Capex "&amp;OFFSET($C$6,0,A1419)</f>
        <v>RL Capex 2016-17</v>
      </c>
      <c r="C1443" s="1424"/>
      <c r="D1443" s="1428">
        <f>D1414</f>
        <v>0</v>
      </c>
      <c r="E1443" s="1423">
        <f t="shared" si="2091"/>
        <v>0</v>
      </c>
      <c r="F1443" s="1423">
        <f t="shared" si="2092"/>
        <v>0</v>
      </c>
      <c r="G1443" s="1423">
        <f t="shared" si="2093"/>
        <v>0</v>
      </c>
      <c r="H1443" s="1423">
        <f t="shared" si="2094"/>
        <v>0</v>
      </c>
      <c r="I1443" s="1423">
        <f t="shared" si="2095"/>
        <v>0</v>
      </c>
      <c r="J1443" s="1423">
        <f t="shared" si="2096"/>
        <v>0</v>
      </c>
      <c r="K1443" s="1423">
        <f t="shared" si="2097"/>
        <v>0</v>
      </c>
      <c r="L1443" s="1423">
        <f t="shared" si="2098"/>
        <v>0</v>
      </c>
      <c r="M1443" s="1423">
        <f t="shared" si="2099"/>
        <v>0</v>
      </c>
      <c r="N1443" s="1423">
        <f t="shared" si="2100"/>
        <v>0</v>
      </c>
      <c r="O1443" s="1423">
        <f t="shared" si="2101"/>
        <v>0</v>
      </c>
      <c r="P1443" s="1423">
        <f t="shared" si="2102"/>
        <v>0</v>
      </c>
      <c r="Q1443" s="1423">
        <f t="shared" si="2103"/>
        <v>0</v>
      </c>
      <c r="R1443" s="1423">
        <f t="shared" si="2104"/>
        <v>0</v>
      </c>
      <c r="S1443" s="1423">
        <f t="shared" si="2105"/>
        <v>0</v>
      </c>
      <c r="T1443" s="1423">
        <f t="shared" si="2106"/>
        <v>0</v>
      </c>
      <c r="U1443" s="1423">
        <f t="shared" si="2107"/>
        <v>0</v>
      </c>
      <c r="V1443" s="1423">
        <f t="shared" si="2108"/>
        <v>0</v>
      </c>
      <c r="W1443" s="1423">
        <f t="shared" si="2109"/>
        <v>0</v>
      </c>
      <c r="X1443" s="152"/>
      <c r="Y1443" s="152"/>
      <c r="Z1443" s="152"/>
      <c r="AA1443" s="152"/>
      <c r="AB1443" s="152"/>
    </row>
    <row r="1444" spans="1:28" hidden="1" outlineLevel="1">
      <c r="A1444" s="152"/>
      <c r="B1444" s="190" t="str">
        <f t="shared" ca="1" si="2110"/>
        <v>RL Capex 2017-18</v>
      </c>
      <c r="C1444" s="1429"/>
      <c r="D1444" s="1424"/>
      <c r="E1444" s="1428">
        <f>E1414</f>
        <v>0</v>
      </c>
      <c r="F1444" s="1423">
        <f t="shared" si="2092"/>
        <v>0</v>
      </c>
      <c r="G1444" s="1423">
        <f t="shared" si="2093"/>
        <v>0</v>
      </c>
      <c r="H1444" s="1423">
        <f t="shared" si="2094"/>
        <v>0</v>
      </c>
      <c r="I1444" s="1423">
        <f t="shared" si="2095"/>
        <v>0</v>
      </c>
      <c r="J1444" s="1423">
        <f t="shared" si="2096"/>
        <v>0</v>
      </c>
      <c r="K1444" s="1423">
        <f t="shared" si="2097"/>
        <v>0</v>
      </c>
      <c r="L1444" s="1423">
        <f t="shared" si="2098"/>
        <v>0</v>
      </c>
      <c r="M1444" s="1423">
        <f t="shared" si="2099"/>
        <v>0</v>
      </c>
      <c r="N1444" s="1423">
        <f t="shared" si="2100"/>
        <v>0</v>
      </c>
      <c r="O1444" s="1423">
        <f t="shared" si="2101"/>
        <v>0</v>
      </c>
      <c r="P1444" s="1423">
        <f t="shared" si="2102"/>
        <v>0</v>
      </c>
      <c r="Q1444" s="1423">
        <f t="shared" si="2103"/>
        <v>0</v>
      </c>
      <c r="R1444" s="1423">
        <f t="shared" si="2104"/>
        <v>0</v>
      </c>
      <c r="S1444" s="1423">
        <f t="shared" si="2105"/>
        <v>0</v>
      </c>
      <c r="T1444" s="1423">
        <f t="shared" si="2106"/>
        <v>0</v>
      </c>
      <c r="U1444" s="1423">
        <f t="shared" si="2107"/>
        <v>0</v>
      </c>
      <c r="V1444" s="1423">
        <f t="shared" si="2108"/>
        <v>0</v>
      </c>
      <c r="W1444" s="1423">
        <f t="shared" si="2109"/>
        <v>0</v>
      </c>
      <c r="X1444" s="152"/>
      <c r="Y1444" s="152"/>
      <c r="Z1444" s="152"/>
      <c r="AA1444" s="152"/>
      <c r="AB1444" s="152"/>
    </row>
    <row r="1445" spans="1:28" hidden="1" outlineLevel="1">
      <c r="A1445" s="152"/>
      <c r="B1445" s="190" t="str">
        <f t="shared" ca="1" si="2110"/>
        <v>RL Capex 2018-19</v>
      </c>
      <c r="C1445" s="1429"/>
      <c r="D1445" s="1429"/>
      <c r="E1445" s="1424"/>
      <c r="F1445" s="1428">
        <f>F1414</f>
        <v>0</v>
      </c>
      <c r="G1445" s="1423">
        <f t="shared" si="2093"/>
        <v>0</v>
      </c>
      <c r="H1445" s="1423">
        <f t="shared" si="2094"/>
        <v>0</v>
      </c>
      <c r="I1445" s="1423">
        <f t="shared" si="2095"/>
        <v>0</v>
      </c>
      <c r="J1445" s="1423">
        <f t="shared" si="2096"/>
        <v>0</v>
      </c>
      <c r="K1445" s="1423">
        <f t="shared" si="2097"/>
        <v>0</v>
      </c>
      <c r="L1445" s="1423">
        <f t="shared" si="2098"/>
        <v>0</v>
      </c>
      <c r="M1445" s="1423">
        <f t="shared" si="2099"/>
        <v>0</v>
      </c>
      <c r="N1445" s="1423">
        <f t="shared" si="2100"/>
        <v>0</v>
      </c>
      <c r="O1445" s="1423">
        <f t="shared" si="2101"/>
        <v>0</v>
      </c>
      <c r="P1445" s="1423">
        <f t="shared" si="2102"/>
        <v>0</v>
      </c>
      <c r="Q1445" s="1423">
        <f t="shared" si="2103"/>
        <v>0</v>
      </c>
      <c r="R1445" s="1423">
        <f t="shared" si="2104"/>
        <v>0</v>
      </c>
      <c r="S1445" s="1423">
        <f t="shared" si="2105"/>
        <v>0</v>
      </c>
      <c r="T1445" s="1423">
        <f t="shared" si="2106"/>
        <v>0</v>
      </c>
      <c r="U1445" s="1423">
        <f t="shared" si="2107"/>
        <v>0</v>
      </c>
      <c r="V1445" s="1423">
        <f t="shared" si="2108"/>
        <v>0</v>
      </c>
      <c r="W1445" s="1423">
        <f t="shared" si="2109"/>
        <v>0</v>
      </c>
      <c r="X1445" s="152"/>
      <c r="Y1445" s="152"/>
      <c r="Z1445" s="152"/>
      <c r="AA1445" s="152"/>
      <c r="AB1445" s="152"/>
    </row>
    <row r="1446" spans="1:28" hidden="1" outlineLevel="1">
      <c r="A1446" s="152"/>
      <c r="B1446" s="190" t="str">
        <f t="shared" ca="1" si="2110"/>
        <v>RL Capex 2019-20</v>
      </c>
      <c r="C1446" s="1429"/>
      <c r="D1446" s="1429"/>
      <c r="E1446" s="1429"/>
      <c r="F1446" s="1424"/>
      <c r="G1446" s="1428">
        <f>G1414</f>
        <v>0</v>
      </c>
      <c r="H1446" s="1423">
        <f t="shared" si="2094"/>
        <v>0</v>
      </c>
      <c r="I1446" s="1423">
        <f t="shared" si="2095"/>
        <v>0</v>
      </c>
      <c r="J1446" s="1423">
        <f t="shared" si="2096"/>
        <v>0</v>
      </c>
      <c r="K1446" s="1423">
        <f t="shared" si="2097"/>
        <v>0</v>
      </c>
      <c r="L1446" s="1423">
        <f t="shared" si="2098"/>
        <v>0</v>
      </c>
      <c r="M1446" s="1423">
        <f t="shared" si="2099"/>
        <v>0</v>
      </c>
      <c r="N1446" s="1423">
        <f t="shared" si="2100"/>
        <v>0</v>
      </c>
      <c r="O1446" s="1423">
        <f t="shared" si="2101"/>
        <v>0</v>
      </c>
      <c r="P1446" s="1423">
        <f t="shared" si="2102"/>
        <v>0</v>
      </c>
      <c r="Q1446" s="1423">
        <f t="shared" si="2103"/>
        <v>0</v>
      </c>
      <c r="R1446" s="1423">
        <f t="shared" si="2104"/>
        <v>0</v>
      </c>
      <c r="S1446" s="1423">
        <f t="shared" si="2105"/>
        <v>0</v>
      </c>
      <c r="T1446" s="1423">
        <f t="shared" si="2106"/>
        <v>0</v>
      </c>
      <c r="U1446" s="1423">
        <f t="shared" si="2107"/>
        <v>0</v>
      </c>
      <c r="V1446" s="1423">
        <f t="shared" si="2108"/>
        <v>0</v>
      </c>
      <c r="W1446" s="1423">
        <f t="shared" si="2109"/>
        <v>0</v>
      </c>
      <c r="X1446" s="152"/>
      <c r="Y1446" s="152"/>
      <c r="Z1446" s="152"/>
      <c r="AA1446" s="152"/>
      <c r="AB1446" s="152"/>
    </row>
    <row r="1447" spans="1:28" hidden="1" outlineLevel="1">
      <c r="A1447" s="152"/>
      <c r="B1447" s="190" t="str">
        <f t="shared" ca="1" si="2110"/>
        <v>RL Capex 2020-21</v>
      </c>
      <c r="C1447" s="1429"/>
      <c r="D1447" s="1429"/>
      <c r="E1447" s="1429"/>
      <c r="F1447" s="1429"/>
      <c r="G1447" s="1424"/>
      <c r="H1447" s="1428">
        <f>H1414</f>
        <v>0</v>
      </c>
      <c r="I1447" s="1423">
        <f t="shared" si="2095"/>
        <v>0</v>
      </c>
      <c r="J1447" s="1423">
        <f t="shared" si="2096"/>
        <v>0</v>
      </c>
      <c r="K1447" s="1423">
        <f t="shared" si="2097"/>
        <v>0</v>
      </c>
      <c r="L1447" s="1423">
        <f t="shared" si="2098"/>
        <v>0</v>
      </c>
      <c r="M1447" s="1423">
        <f t="shared" si="2099"/>
        <v>0</v>
      </c>
      <c r="N1447" s="1423">
        <f t="shared" si="2100"/>
        <v>0</v>
      </c>
      <c r="O1447" s="1423">
        <f t="shared" si="2101"/>
        <v>0</v>
      </c>
      <c r="P1447" s="1423">
        <f t="shared" si="2102"/>
        <v>0</v>
      </c>
      <c r="Q1447" s="1423">
        <f t="shared" si="2103"/>
        <v>0</v>
      </c>
      <c r="R1447" s="1423">
        <f t="shared" si="2104"/>
        <v>0</v>
      </c>
      <c r="S1447" s="1423">
        <f t="shared" si="2105"/>
        <v>0</v>
      </c>
      <c r="T1447" s="1423">
        <f t="shared" si="2106"/>
        <v>0</v>
      </c>
      <c r="U1447" s="1423">
        <f t="shared" si="2107"/>
        <v>0</v>
      </c>
      <c r="V1447" s="1423">
        <f t="shared" si="2108"/>
        <v>0</v>
      </c>
      <c r="W1447" s="1423">
        <f t="shared" si="2109"/>
        <v>0</v>
      </c>
      <c r="X1447" s="152"/>
      <c r="Y1447" s="152"/>
      <c r="Z1447" s="152"/>
      <c r="AA1447" s="152"/>
      <c r="AB1447" s="152"/>
    </row>
    <row r="1448" spans="1:28" hidden="1" outlineLevel="1">
      <c r="A1448" s="152"/>
      <c r="B1448" s="190" t="str">
        <f t="shared" ca="1" si="2110"/>
        <v>RL Capex 2021-22</v>
      </c>
      <c r="C1448" s="1429"/>
      <c r="D1448" s="1429"/>
      <c r="E1448" s="1429"/>
      <c r="F1448" s="1429"/>
      <c r="G1448" s="1429"/>
      <c r="H1448" s="1424"/>
      <c r="I1448" s="1428">
        <f>I1414</f>
        <v>0</v>
      </c>
      <c r="J1448" s="1423">
        <f t="shared" si="2096"/>
        <v>0</v>
      </c>
      <c r="K1448" s="1423">
        <f t="shared" si="2097"/>
        <v>0</v>
      </c>
      <c r="L1448" s="1423">
        <f t="shared" si="2098"/>
        <v>0</v>
      </c>
      <c r="M1448" s="1423">
        <f t="shared" si="2099"/>
        <v>0</v>
      </c>
      <c r="N1448" s="1423">
        <f t="shared" si="2100"/>
        <v>0</v>
      </c>
      <c r="O1448" s="1423">
        <f t="shared" si="2101"/>
        <v>0</v>
      </c>
      <c r="P1448" s="1423">
        <f t="shared" si="2102"/>
        <v>0</v>
      </c>
      <c r="Q1448" s="1423">
        <f t="shared" si="2103"/>
        <v>0</v>
      </c>
      <c r="R1448" s="1423">
        <f t="shared" si="2104"/>
        <v>0</v>
      </c>
      <c r="S1448" s="1423">
        <f t="shared" si="2105"/>
        <v>0</v>
      </c>
      <c r="T1448" s="1423">
        <f t="shared" si="2106"/>
        <v>0</v>
      </c>
      <c r="U1448" s="1423">
        <f t="shared" si="2107"/>
        <v>0</v>
      </c>
      <c r="V1448" s="1423">
        <f t="shared" si="2108"/>
        <v>0</v>
      </c>
      <c r="W1448" s="1423">
        <f t="shared" si="2109"/>
        <v>0</v>
      </c>
      <c r="X1448" s="152"/>
      <c r="Y1448" s="152"/>
      <c r="Z1448" s="152"/>
      <c r="AA1448" s="152"/>
      <c r="AB1448" s="152"/>
    </row>
    <row r="1449" spans="1:28" hidden="1" outlineLevel="1">
      <c r="A1449" s="152"/>
      <c r="B1449" s="190" t="str">
        <f t="shared" ca="1" si="2110"/>
        <v>RL Capex 2022-23</v>
      </c>
      <c r="C1449" s="1429"/>
      <c r="D1449" s="1429"/>
      <c r="E1449" s="1429"/>
      <c r="F1449" s="1429"/>
      <c r="G1449" s="1429"/>
      <c r="H1449" s="1429"/>
      <c r="I1449" s="1424"/>
      <c r="J1449" s="1428">
        <f>J1414</f>
        <v>0</v>
      </c>
      <c r="K1449" s="1423">
        <f t="shared" si="2097"/>
        <v>0</v>
      </c>
      <c r="L1449" s="1423">
        <f t="shared" si="2098"/>
        <v>0</v>
      </c>
      <c r="M1449" s="1423">
        <f t="shared" si="2099"/>
        <v>0</v>
      </c>
      <c r="N1449" s="1423">
        <f t="shared" si="2100"/>
        <v>0</v>
      </c>
      <c r="O1449" s="1423">
        <f t="shared" si="2101"/>
        <v>0</v>
      </c>
      <c r="P1449" s="1423">
        <f t="shared" si="2102"/>
        <v>0</v>
      </c>
      <c r="Q1449" s="1423">
        <f t="shared" si="2103"/>
        <v>0</v>
      </c>
      <c r="R1449" s="1423">
        <f t="shared" si="2104"/>
        <v>0</v>
      </c>
      <c r="S1449" s="1423">
        <f t="shared" si="2105"/>
        <v>0</v>
      </c>
      <c r="T1449" s="1423">
        <f t="shared" si="2106"/>
        <v>0</v>
      </c>
      <c r="U1449" s="1423">
        <f t="shared" si="2107"/>
        <v>0</v>
      </c>
      <c r="V1449" s="1423">
        <f t="shared" si="2108"/>
        <v>0</v>
      </c>
      <c r="W1449" s="1423">
        <f t="shared" si="2109"/>
        <v>0</v>
      </c>
      <c r="X1449" s="152"/>
      <c r="Y1449" s="152"/>
      <c r="Z1449" s="152"/>
      <c r="AA1449" s="152"/>
      <c r="AB1449" s="152"/>
    </row>
    <row r="1450" spans="1:28" hidden="1" outlineLevel="1">
      <c r="A1450" s="152"/>
      <c r="B1450" s="190" t="str">
        <f t="shared" ca="1" si="2110"/>
        <v>RL Capex 2023-24</v>
      </c>
      <c r="C1450" s="1429"/>
      <c r="D1450" s="1429"/>
      <c r="E1450" s="1429"/>
      <c r="F1450" s="1429"/>
      <c r="G1450" s="1429"/>
      <c r="H1450" s="1429"/>
      <c r="I1450" s="1429"/>
      <c r="J1450" s="1424"/>
      <c r="K1450" s="1428">
        <f>K1414</f>
        <v>0</v>
      </c>
      <c r="L1450" s="1423">
        <f t="shared" si="2098"/>
        <v>0</v>
      </c>
      <c r="M1450" s="1423">
        <f t="shared" si="2099"/>
        <v>0</v>
      </c>
      <c r="N1450" s="1423">
        <f t="shared" si="2100"/>
        <v>0</v>
      </c>
      <c r="O1450" s="1423">
        <f t="shared" si="2101"/>
        <v>0</v>
      </c>
      <c r="P1450" s="1423">
        <f t="shared" si="2102"/>
        <v>0</v>
      </c>
      <c r="Q1450" s="1423">
        <f t="shared" si="2103"/>
        <v>0</v>
      </c>
      <c r="R1450" s="1423">
        <f t="shared" si="2104"/>
        <v>0</v>
      </c>
      <c r="S1450" s="1423">
        <f t="shared" si="2105"/>
        <v>0</v>
      </c>
      <c r="T1450" s="1423">
        <f t="shared" si="2106"/>
        <v>0</v>
      </c>
      <c r="U1450" s="1423">
        <f t="shared" si="2107"/>
        <v>0</v>
      </c>
      <c r="V1450" s="1423">
        <f t="shared" si="2108"/>
        <v>0</v>
      </c>
      <c r="W1450" s="1423">
        <f t="shared" si="2109"/>
        <v>0</v>
      </c>
      <c r="X1450" s="152"/>
      <c r="Y1450" s="152"/>
      <c r="Z1450" s="152"/>
      <c r="AA1450" s="152"/>
      <c r="AB1450" s="152"/>
    </row>
    <row r="1451" spans="1:28" hidden="1" outlineLevel="1">
      <c r="A1451" s="152"/>
      <c r="B1451" s="190" t="str">
        <f t="shared" ca="1" si="2110"/>
        <v>RL Capex 2024-25</v>
      </c>
      <c r="C1451" s="1429"/>
      <c r="D1451" s="1429"/>
      <c r="E1451" s="1429"/>
      <c r="F1451" s="1429"/>
      <c r="G1451" s="1429"/>
      <c r="H1451" s="1429"/>
      <c r="I1451" s="1429"/>
      <c r="J1451" s="1429"/>
      <c r="K1451" s="1424"/>
      <c r="L1451" s="1428">
        <f>L1414</f>
        <v>0</v>
      </c>
      <c r="M1451" s="1423">
        <f t="shared" si="2099"/>
        <v>0</v>
      </c>
      <c r="N1451" s="1423">
        <f t="shared" si="2100"/>
        <v>0</v>
      </c>
      <c r="O1451" s="1423">
        <f t="shared" si="2101"/>
        <v>0</v>
      </c>
      <c r="P1451" s="1423">
        <f t="shared" si="2102"/>
        <v>0</v>
      </c>
      <c r="Q1451" s="1423">
        <f t="shared" si="2103"/>
        <v>0</v>
      </c>
      <c r="R1451" s="1423">
        <f t="shared" si="2104"/>
        <v>0</v>
      </c>
      <c r="S1451" s="1423">
        <f t="shared" si="2105"/>
        <v>0</v>
      </c>
      <c r="T1451" s="1423">
        <f t="shared" si="2106"/>
        <v>0</v>
      </c>
      <c r="U1451" s="1423">
        <f t="shared" si="2107"/>
        <v>0</v>
      </c>
      <c r="V1451" s="1423">
        <f t="shared" si="2108"/>
        <v>0</v>
      </c>
      <c r="W1451" s="1423">
        <f t="shared" si="2109"/>
        <v>0</v>
      </c>
      <c r="X1451" s="152"/>
      <c r="Y1451" s="152"/>
      <c r="Z1451" s="152"/>
      <c r="AA1451" s="152"/>
      <c r="AB1451" s="152"/>
    </row>
    <row r="1452" spans="1:28" hidden="1" outlineLevel="1">
      <c r="A1452" s="152"/>
      <c r="B1452" s="190" t="str">
        <f t="shared" ca="1" si="2110"/>
        <v>RL Capex 2025-26</v>
      </c>
      <c r="C1452" s="1429"/>
      <c r="D1452" s="1429"/>
      <c r="E1452" s="1429"/>
      <c r="F1452" s="1429"/>
      <c r="G1452" s="1429"/>
      <c r="H1452" s="1429"/>
      <c r="I1452" s="1429"/>
      <c r="J1452" s="1429"/>
      <c r="K1452" s="1429"/>
      <c r="L1452" s="1424"/>
      <c r="M1452" s="1428">
        <f>M1414</f>
        <v>0</v>
      </c>
      <c r="N1452" s="1423">
        <f t="shared" si="2100"/>
        <v>0</v>
      </c>
      <c r="O1452" s="1423">
        <f t="shared" si="2101"/>
        <v>0</v>
      </c>
      <c r="P1452" s="1423">
        <f t="shared" si="2102"/>
        <v>0</v>
      </c>
      <c r="Q1452" s="1423">
        <f t="shared" si="2103"/>
        <v>0</v>
      </c>
      <c r="R1452" s="1423">
        <f t="shared" si="2104"/>
        <v>0</v>
      </c>
      <c r="S1452" s="1423">
        <f t="shared" si="2105"/>
        <v>0</v>
      </c>
      <c r="T1452" s="1423">
        <f t="shared" si="2106"/>
        <v>0</v>
      </c>
      <c r="U1452" s="1423">
        <f t="shared" si="2107"/>
        <v>0</v>
      </c>
      <c r="V1452" s="1423">
        <f t="shared" si="2108"/>
        <v>0</v>
      </c>
      <c r="W1452" s="1423">
        <f t="shared" si="2109"/>
        <v>0</v>
      </c>
      <c r="X1452" s="152"/>
      <c r="Y1452" s="152"/>
      <c r="Z1452" s="152"/>
      <c r="AA1452" s="152"/>
      <c r="AB1452" s="152"/>
    </row>
    <row r="1453" spans="1:28" hidden="1" outlineLevel="1">
      <c r="A1453" s="152"/>
      <c r="B1453" s="190" t="str">
        <f t="shared" ca="1" si="2110"/>
        <v>RL Capex 2026-27</v>
      </c>
      <c r="C1453" s="1429"/>
      <c r="D1453" s="1429"/>
      <c r="E1453" s="1429"/>
      <c r="F1453" s="1429"/>
      <c r="G1453" s="1429"/>
      <c r="H1453" s="1429"/>
      <c r="I1453" s="1429"/>
      <c r="J1453" s="1429"/>
      <c r="K1453" s="1429"/>
      <c r="L1453" s="1429"/>
      <c r="M1453" s="1424"/>
      <c r="N1453" s="1428">
        <f>N1414</f>
        <v>0</v>
      </c>
      <c r="O1453" s="1423">
        <f t="shared" si="2101"/>
        <v>0</v>
      </c>
      <c r="P1453" s="1423">
        <f t="shared" si="2102"/>
        <v>0</v>
      </c>
      <c r="Q1453" s="1423">
        <f t="shared" si="2103"/>
        <v>0</v>
      </c>
      <c r="R1453" s="1423">
        <f t="shared" si="2104"/>
        <v>0</v>
      </c>
      <c r="S1453" s="1423">
        <f t="shared" si="2105"/>
        <v>0</v>
      </c>
      <c r="T1453" s="1423">
        <f t="shared" si="2106"/>
        <v>0</v>
      </c>
      <c r="U1453" s="1423">
        <f t="shared" si="2107"/>
        <v>0</v>
      </c>
      <c r="V1453" s="1423">
        <f t="shared" si="2108"/>
        <v>0</v>
      </c>
      <c r="W1453" s="1423">
        <f t="shared" si="2109"/>
        <v>0</v>
      </c>
      <c r="X1453" s="152"/>
      <c r="Y1453" s="152"/>
      <c r="Z1453" s="152"/>
      <c r="AA1453" s="152"/>
      <c r="AB1453" s="152"/>
    </row>
    <row r="1454" spans="1:28" hidden="1" outlineLevel="1">
      <c r="A1454" s="152"/>
      <c r="B1454" s="190" t="str">
        <f t="shared" ca="1" si="2110"/>
        <v>RL Capex 2027-28</v>
      </c>
      <c r="C1454" s="1429"/>
      <c r="D1454" s="1429"/>
      <c r="E1454" s="1429"/>
      <c r="F1454" s="1429"/>
      <c r="G1454" s="1429"/>
      <c r="H1454" s="1429"/>
      <c r="I1454" s="1429"/>
      <c r="J1454" s="1429"/>
      <c r="K1454" s="1429"/>
      <c r="L1454" s="1429"/>
      <c r="M1454" s="1429"/>
      <c r="N1454" s="1424"/>
      <c r="O1454" s="1428">
        <f>O1414</f>
        <v>0</v>
      </c>
      <c r="P1454" s="1423">
        <f t="shared" si="2102"/>
        <v>0</v>
      </c>
      <c r="Q1454" s="1423">
        <f t="shared" si="2103"/>
        <v>0</v>
      </c>
      <c r="R1454" s="1423">
        <f t="shared" si="2104"/>
        <v>0</v>
      </c>
      <c r="S1454" s="1423">
        <f t="shared" si="2105"/>
        <v>0</v>
      </c>
      <c r="T1454" s="1423">
        <f t="shared" si="2106"/>
        <v>0</v>
      </c>
      <c r="U1454" s="1423">
        <f t="shared" si="2107"/>
        <v>0</v>
      </c>
      <c r="V1454" s="1423">
        <f t="shared" si="2108"/>
        <v>0</v>
      </c>
      <c r="W1454" s="1423">
        <f t="shared" si="2109"/>
        <v>0</v>
      </c>
      <c r="X1454" s="152"/>
      <c r="Y1454" s="152"/>
      <c r="Z1454" s="152"/>
      <c r="AA1454" s="152"/>
      <c r="AB1454" s="152"/>
    </row>
    <row r="1455" spans="1:28" hidden="1" outlineLevel="1">
      <c r="A1455" s="152"/>
      <c r="B1455" s="190" t="str">
        <f t="shared" ca="1" si="2110"/>
        <v>RL Capex 2028-29</v>
      </c>
      <c r="C1455" s="1429"/>
      <c r="D1455" s="1429"/>
      <c r="E1455" s="1429"/>
      <c r="F1455" s="1429"/>
      <c r="G1455" s="1429"/>
      <c r="H1455" s="1429"/>
      <c r="I1455" s="1429"/>
      <c r="J1455" s="1429"/>
      <c r="K1455" s="1429"/>
      <c r="L1455" s="1429"/>
      <c r="M1455" s="1429"/>
      <c r="N1455" s="1429"/>
      <c r="O1455" s="1424"/>
      <c r="P1455" s="1428">
        <f>P1414</f>
        <v>0</v>
      </c>
      <c r="Q1455" s="1423">
        <f t="shared" si="2103"/>
        <v>0</v>
      </c>
      <c r="R1455" s="1423">
        <f t="shared" si="2104"/>
        <v>0</v>
      </c>
      <c r="S1455" s="1423">
        <f t="shared" si="2105"/>
        <v>0</v>
      </c>
      <c r="T1455" s="1423">
        <f t="shared" si="2106"/>
        <v>0</v>
      </c>
      <c r="U1455" s="1423">
        <f t="shared" si="2107"/>
        <v>0</v>
      </c>
      <c r="V1455" s="1423">
        <f t="shared" si="2108"/>
        <v>0</v>
      </c>
      <c r="W1455" s="1423">
        <f t="shared" si="2109"/>
        <v>0</v>
      </c>
      <c r="X1455" s="152"/>
      <c r="Y1455" s="152"/>
      <c r="Z1455" s="152"/>
      <c r="AA1455" s="152"/>
      <c r="AB1455" s="152"/>
    </row>
    <row r="1456" spans="1:28" hidden="1" outlineLevel="1">
      <c r="A1456" s="152"/>
      <c r="B1456" s="190" t="str">
        <f t="shared" ca="1" si="2110"/>
        <v>RL Capex 2029-30</v>
      </c>
      <c r="C1456" s="1429"/>
      <c r="D1456" s="1429"/>
      <c r="E1456" s="1429"/>
      <c r="F1456" s="1429"/>
      <c r="G1456" s="1429"/>
      <c r="H1456" s="1429"/>
      <c r="I1456" s="1429"/>
      <c r="J1456" s="1429"/>
      <c r="K1456" s="1429"/>
      <c r="L1456" s="1429"/>
      <c r="M1456" s="1429"/>
      <c r="N1456" s="1429"/>
      <c r="O1456" s="1429"/>
      <c r="P1456" s="1424"/>
      <c r="Q1456" s="1428">
        <f>Q1414</f>
        <v>0</v>
      </c>
      <c r="R1456" s="1423">
        <f t="shared" si="2104"/>
        <v>0</v>
      </c>
      <c r="S1456" s="1423">
        <f t="shared" si="2105"/>
        <v>0</v>
      </c>
      <c r="T1456" s="1423">
        <f t="shared" si="2106"/>
        <v>0</v>
      </c>
      <c r="U1456" s="1423">
        <f t="shared" si="2107"/>
        <v>0</v>
      </c>
      <c r="V1456" s="1423">
        <f t="shared" si="2108"/>
        <v>0</v>
      </c>
      <c r="W1456" s="1423">
        <f t="shared" si="2109"/>
        <v>0</v>
      </c>
      <c r="X1456" s="152"/>
      <c r="Y1456" s="152"/>
      <c r="Z1456" s="152"/>
      <c r="AA1456" s="152"/>
      <c r="AB1456" s="152"/>
    </row>
    <row r="1457" spans="1:28" hidden="1" outlineLevel="1">
      <c r="A1457" s="152"/>
      <c r="B1457" s="190" t="str">
        <f t="shared" ca="1" si="2110"/>
        <v>RL Capex 2030-31</v>
      </c>
      <c r="C1457" s="1429"/>
      <c r="D1457" s="1429"/>
      <c r="E1457" s="1429"/>
      <c r="F1457" s="1429"/>
      <c r="G1457" s="1429"/>
      <c r="H1457" s="1429"/>
      <c r="I1457" s="1429"/>
      <c r="J1457" s="1429"/>
      <c r="K1457" s="1429"/>
      <c r="L1457" s="1429"/>
      <c r="M1457" s="1429"/>
      <c r="N1457" s="1429"/>
      <c r="O1457" s="1429"/>
      <c r="P1457" s="1429"/>
      <c r="Q1457" s="1424"/>
      <c r="R1457" s="1428">
        <f>R1414</f>
        <v>0</v>
      </c>
      <c r="S1457" s="1423">
        <f t="shared" si="2105"/>
        <v>0</v>
      </c>
      <c r="T1457" s="1423">
        <f t="shared" si="2106"/>
        <v>0</v>
      </c>
      <c r="U1457" s="1423">
        <f t="shared" si="2107"/>
        <v>0</v>
      </c>
      <c r="V1457" s="1423">
        <f t="shared" si="2108"/>
        <v>0</v>
      </c>
      <c r="W1457" s="1423">
        <f t="shared" si="2109"/>
        <v>0</v>
      </c>
      <c r="X1457" s="152"/>
      <c r="Y1457" s="152"/>
      <c r="Z1457" s="152"/>
      <c r="AA1457" s="152"/>
      <c r="AB1457" s="152"/>
    </row>
    <row r="1458" spans="1:28" hidden="1" outlineLevel="1">
      <c r="A1458" s="152"/>
      <c r="B1458" s="190" t="str">
        <f t="shared" ca="1" si="2110"/>
        <v>RL Capex 2031-32</v>
      </c>
      <c r="C1458" s="1429"/>
      <c r="D1458" s="1429"/>
      <c r="E1458" s="1429"/>
      <c r="F1458" s="1429"/>
      <c r="G1458" s="1429"/>
      <c r="H1458" s="1429"/>
      <c r="I1458" s="1429"/>
      <c r="J1458" s="1429"/>
      <c r="K1458" s="1429"/>
      <c r="L1458" s="1429"/>
      <c r="M1458" s="1429"/>
      <c r="N1458" s="1429"/>
      <c r="O1458" s="1429"/>
      <c r="P1458" s="1429"/>
      <c r="Q1458" s="1429"/>
      <c r="R1458" s="1424"/>
      <c r="S1458" s="1428">
        <f>S1414</f>
        <v>0</v>
      </c>
      <c r="T1458" s="1423">
        <f t="shared" si="2106"/>
        <v>0</v>
      </c>
      <c r="U1458" s="1423">
        <f t="shared" si="2107"/>
        <v>0</v>
      </c>
      <c r="V1458" s="1423">
        <f t="shared" si="2108"/>
        <v>0</v>
      </c>
      <c r="W1458" s="1423">
        <f t="shared" si="2109"/>
        <v>0</v>
      </c>
      <c r="X1458" s="152"/>
      <c r="Y1458" s="152"/>
      <c r="Z1458" s="152"/>
      <c r="AA1458" s="152"/>
      <c r="AB1458" s="152"/>
    </row>
    <row r="1459" spans="1:28" hidden="1" outlineLevel="1">
      <c r="A1459" s="152"/>
      <c r="B1459" s="190" t="str">
        <f t="shared" ca="1" si="2110"/>
        <v>RL Capex 2032-33</v>
      </c>
      <c r="C1459" s="1429"/>
      <c r="D1459" s="1429"/>
      <c r="E1459" s="1429"/>
      <c r="F1459" s="1429"/>
      <c r="G1459" s="1429"/>
      <c r="H1459" s="1429"/>
      <c r="I1459" s="1429"/>
      <c r="J1459" s="1429"/>
      <c r="K1459" s="1429"/>
      <c r="L1459" s="1429"/>
      <c r="M1459" s="1429"/>
      <c r="N1459" s="1429"/>
      <c r="O1459" s="1429"/>
      <c r="P1459" s="1429"/>
      <c r="Q1459" s="1429"/>
      <c r="R1459" s="1429"/>
      <c r="S1459" s="1424"/>
      <c r="T1459" s="1428">
        <f>T1414</f>
        <v>0</v>
      </c>
      <c r="U1459" s="1423">
        <f t="shared" si="2107"/>
        <v>0</v>
      </c>
      <c r="V1459" s="1423">
        <f t="shared" si="2108"/>
        <v>0</v>
      </c>
      <c r="W1459" s="1423">
        <f t="shared" si="2109"/>
        <v>0</v>
      </c>
      <c r="X1459" s="152"/>
      <c r="Y1459" s="152"/>
      <c r="Z1459" s="152"/>
      <c r="AA1459" s="152"/>
      <c r="AB1459" s="152"/>
    </row>
    <row r="1460" spans="1:28" hidden="1" outlineLevel="1">
      <c r="A1460" s="152"/>
      <c r="B1460" s="190" t="str">
        <f t="shared" ca="1" si="2110"/>
        <v>RL Capex 2033-34</v>
      </c>
      <c r="C1460" s="1429"/>
      <c r="D1460" s="1429"/>
      <c r="E1460" s="1429"/>
      <c r="F1460" s="1429"/>
      <c r="G1460" s="1429"/>
      <c r="H1460" s="1429"/>
      <c r="I1460" s="1429"/>
      <c r="J1460" s="1429"/>
      <c r="K1460" s="1429"/>
      <c r="L1460" s="1429"/>
      <c r="M1460" s="1429"/>
      <c r="N1460" s="1429"/>
      <c r="O1460" s="1429"/>
      <c r="P1460" s="1429"/>
      <c r="Q1460" s="1429"/>
      <c r="R1460" s="1429"/>
      <c r="S1460" s="1429"/>
      <c r="T1460" s="1424"/>
      <c r="U1460" s="1428">
        <f>U1414</f>
        <v>0</v>
      </c>
      <c r="V1460" s="1423">
        <f t="shared" si="2108"/>
        <v>0</v>
      </c>
      <c r="W1460" s="1423">
        <f t="shared" si="2109"/>
        <v>0</v>
      </c>
      <c r="X1460" s="152"/>
      <c r="Y1460" s="152"/>
      <c r="Z1460" s="152"/>
      <c r="AA1460" s="152"/>
      <c r="AB1460" s="152"/>
    </row>
    <row r="1461" spans="1:28" hidden="1" outlineLevel="1">
      <c r="A1461" s="152"/>
      <c r="B1461" s="190" t="str">
        <f t="shared" ca="1" si="2110"/>
        <v>RL Capex 2034-35</v>
      </c>
      <c r="C1461" s="1429"/>
      <c r="D1461" s="1429"/>
      <c r="E1461" s="1429"/>
      <c r="F1461" s="1429"/>
      <c r="G1461" s="1429"/>
      <c r="H1461" s="1429"/>
      <c r="I1461" s="1429"/>
      <c r="J1461" s="1429"/>
      <c r="K1461" s="1429"/>
      <c r="L1461" s="1429"/>
      <c r="M1461" s="1429"/>
      <c r="N1461" s="1429"/>
      <c r="O1461" s="1429"/>
      <c r="P1461" s="1429"/>
      <c r="Q1461" s="1429"/>
      <c r="R1461" s="1429"/>
      <c r="S1461" s="1429"/>
      <c r="T1461" s="1429"/>
      <c r="U1461" s="1424"/>
      <c r="V1461" s="1428">
        <f>V1414</f>
        <v>0</v>
      </c>
      <c r="W1461" s="1423">
        <f>IF(V1461="n/a","n/a",MAX(0,V1461-1))</f>
        <v>0</v>
      </c>
      <c r="X1461" s="152"/>
      <c r="Y1461" s="152"/>
      <c r="Z1461" s="152"/>
      <c r="AA1461" s="152"/>
      <c r="AB1461" s="152"/>
    </row>
    <row r="1462" spans="1:28" hidden="1" outlineLevel="1">
      <c r="A1462" s="152"/>
      <c r="B1462" s="190" t="str">
        <f t="shared" ca="1" si="2110"/>
        <v>RL Capex 2035-36</v>
      </c>
      <c r="C1462" s="1429"/>
      <c r="D1462" s="1429"/>
      <c r="E1462" s="1429"/>
      <c r="F1462" s="1429"/>
      <c r="G1462" s="1429"/>
      <c r="H1462" s="1429"/>
      <c r="I1462" s="1429"/>
      <c r="J1462" s="1429"/>
      <c r="K1462" s="1429"/>
      <c r="L1462" s="1429"/>
      <c r="M1462" s="1429"/>
      <c r="N1462" s="1429"/>
      <c r="O1462" s="1429"/>
      <c r="P1462" s="1429"/>
      <c r="Q1462" s="1429"/>
      <c r="R1462" s="1429"/>
      <c r="S1462" s="1429"/>
      <c r="T1462" s="1429"/>
      <c r="U1462" s="1429"/>
      <c r="V1462" s="1424"/>
      <c r="W1462" s="1423">
        <f>W1414</f>
        <v>0</v>
      </c>
      <c r="X1462" s="152"/>
      <c r="Y1462" s="152"/>
      <c r="Z1462" s="152"/>
      <c r="AA1462" s="152"/>
      <c r="AB1462" s="152"/>
    </row>
    <row r="1463" spans="1:28" hidden="1" outlineLevel="1">
      <c r="A1463" s="152"/>
      <c r="B1463" s="200"/>
      <c r="C1463" s="1423"/>
      <c r="D1463" s="1423"/>
      <c r="E1463" s="1423"/>
      <c r="F1463" s="1423"/>
      <c r="G1463" s="1423"/>
      <c r="H1463" s="1423"/>
      <c r="I1463" s="1423"/>
      <c r="J1463" s="1423"/>
      <c r="K1463" s="1423"/>
      <c r="L1463" s="1423"/>
      <c r="M1463" s="1423"/>
      <c r="N1463" s="1423"/>
      <c r="O1463" s="1423"/>
      <c r="P1463" s="1423"/>
      <c r="Q1463" s="1423"/>
      <c r="R1463" s="1423"/>
      <c r="S1463" s="1423"/>
      <c r="T1463" s="1423"/>
      <c r="U1463" s="1423"/>
      <c r="V1463" s="1423"/>
      <c r="W1463" s="1423"/>
      <c r="X1463" s="152"/>
      <c r="Y1463" s="152"/>
      <c r="Z1463" s="152"/>
      <c r="AA1463" s="152"/>
      <c r="AB1463" s="152"/>
    </row>
    <row r="1464" spans="1:28" collapsed="1">
      <c r="A1464" s="194"/>
      <c r="B1464" s="204" t="s">
        <v>123</v>
      </c>
      <c r="C1464" s="1430">
        <f ca="1">(IF(OR($C1414&lt;&gt;"n/a",C1414&lt;&gt;"n/a"),IF(SUM(C1417:C1439)=0,0,IF((SUMPRODUCT(C1417:C1439,C1441:C1463)/SUM(C1417:C1439))&lt;0,1,(SUMPRODUCT(C1417:C1439,C1441:C1463)/SUM(C1417:C1439)))),"n/a"))</f>
        <v>0</v>
      </c>
      <c r="D1464" s="1430">
        <f ca="1">(IF(OR($C1414&lt;&gt;"n/a",D1414&lt;&gt;"n/a"),IF(SUM(D1417:D1439)=0,0,IF((SUMPRODUCT(D1417:D1439,D1441:D1463)/SUM(D1417:D1439))&lt;0,1,(SUMPRODUCT(D1417:D1439,D1441:D1463)/SUM(D1417:D1439)))),"n/a"))</f>
        <v>0</v>
      </c>
      <c r="E1464" s="1430">
        <f t="shared" ref="E1464:W1464" ca="1" si="2111">(IF(OR($C1414&lt;&gt;"n/a",E1414&lt;&gt;"n/a"),IF(SUM(E1417:E1439)=0,0,IF((SUMPRODUCT(E1417:E1439,E1441:E1463)/SUM(E1417:E1439))&lt;0,1,(SUMPRODUCT(E1417:E1439,E1441:E1463)/SUM(E1417:E1439)))),"n/a"))</f>
        <v>0</v>
      </c>
      <c r="F1464" s="1430">
        <f t="shared" ca="1" si="2111"/>
        <v>0</v>
      </c>
      <c r="G1464" s="1430">
        <f t="shared" ca="1" si="2111"/>
        <v>0</v>
      </c>
      <c r="H1464" s="1430">
        <f t="shared" ca="1" si="2111"/>
        <v>0</v>
      </c>
      <c r="I1464" s="1430">
        <f t="shared" ca="1" si="2111"/>
        <v>0</v>
      </c>
      <c r="J1464" s="1430">
        <f t="shared" ca="1" si="2111"/>
        <v>0</v>
      </c>
      <c r="K1464" s="1430">
        <f t="shared" ca="1" si="2111"/>
        <v>0</v>
      </c>
      <c r="L1464" s="1430">
        <f t="shared" ca="1" si="2111"/>
        <v>0</v>
      </c>
      <c r="M1464" s="1430">
        <f t="shared" ca="1" si="2111"/>
        <v>0</v>
      </c>
      <c r="N1464" s="1430">
        <f t="shared" ca="1" si="2111"/>
        <v>0</v>
      </c>
      <c r="O1464" s="1430">
        <f t="shared" ca="1" si="2111"/>
        <v>0</v>
      </c>
      <c r="P1464" s="1430">
        <f t="shared" ca="1" si="2111"/>
        <v>0</v>
      </c>
      <c r="Q1464" s="1430">
        <f t="shared" ca="1" si="2111"/>
        <v>0</v>
      </c>
      <c r="R1464" s="1430">
        <f t="shared" ca="1" si="2111"/>
        <v>0</v>
      </c>
      <c r="S1464" s="1430">
        <f t="shared" ca="1" si="2111"/>
        <v>0</v>
      </c>
      <c r="T1464" s="1430">
        <f t="shared" ca="1" si="2111"/>
        <v>0</v>
      </c>
      <c r="U1464" s="1430">
        <f t="shared" ca="1" si="2111"/>
        <v>0</v>
      </c>
      <c r="V1464" s="1430">
        <f t="shared" ca="1" si="2111"/>
        <v>0</v>
      </c>
      <c r="W1464" s="1430">
        <f t="shared" ca="1" si="2111"/>
        <v>0</v>
      </c>
      <c r="X1464" s="152"/>
      <c r="Y1464" s="152"/>
      <c r="Z1464" s="152"/>
      <c r="AA1464" s="152"/>
      <c r="AB1464" s="152"/>
    </row>
    <row r="1465" spans="1:28">
      <c r="A1465" s="152"/>
      <c r="B1465" s="152"/>
      <c r="C1465" s="1423"/>
      <c r="D1465" s="1423"/>
      <c r="E1465" s="1423"/>
      <c r="F1465" s="1423"/>
      <c r="G1465" s="1423"/>
      <c r="H1465" s="1423"/>
      <c r="I1465" s="1423"/>
      <c r="J1465" s="1423"/>
      <c r="K1465" s="1423"/>
      <c r="L1465" s="1423"/>
      <c r="M1465" s="1423"/>
      <c r="N1465" s="1423"/>
      <c r="O1465" s="1423"/>
      <c r="P1465" s="1423"/>
      <c r="Q1465" s="1423"/>
      <c r="R1465" s="1423"/>
      <c r="S1465" s="1423"/>
      <c r="T1465" s="1423"/>
      <c r="U1465" s="1423"/>
      <c r="V1465" s="1423"/>
      <c r="W1465" s="1423"/>
      <c r="X1465" s="152"/>
      <c r="Y1465" s="152"/>
      <c r="Z1465" s="152"/>
      <c r="AA1465" s="152"/>
      <c r="AB1465" s="152"/>
    </row>
    <row r="1466" spans="1:28">
      <c r="A1466" s="269" t="s">
        <v>62</v>
      </c>
      <c r="B1466" s="270">
        <f>VLOOKUP($A1466,'RFM input'!$E$7:$F$56,2,FALSE)</f>
        <v>0</v>
      </c>
      <c r="C1466" s="1431"/>
      <c r="D1466" s="1431"/>
      <c r="E1466" s="1432"/>
      <c r="F1466" s="1432"/>
      <c r="G1466" s="1432"/>
      <c r="H1466" s="1432"/>
      <c r="I1466" s="1432"/>
      <c r="J1466" s="1432"/>
      <c r="K1466" s="1432"/>
      <c r="L1466" s="1432"/>
      <c r="M1466" s="1432"/>
      <c r="N1466" s="1432"/>
      <c r="O1466" s="1432"/>
      <c r="P1466" s="1432"/>
      <c r="Q1466" s="1432"/>
      <c r="R1466" s="1432"/>
      <c r="S1466" s="1432"/>
      <c r="T1466" s="1432"/>
      <c r="U1466" s="1432"/>
      <c r="V1466" s="1432"/>
      <c r="W1466" s="1432"/>
      <c r="X1466" s="152"/>
      <c r="Y1466" s="152"/>
      <c r="Z1466" s="152"/>
      <c r="AA1466" s="152"/>
      <c r="AB1466" s="152"/>
    </row>
    <row r="1467" spans="1:28">
      <c r="A1467" s="215">
        <f>VALUE(REPLACE(A1466,1,12,""))</f>
        <v>28</v>
      </c>
      <c r="B1467" s="193" t="s">
        <v>126</v>
      </c>
      <c r="C1467" s="1416">
        <f ca="1">IF($D$6='TAB roll forward'!$H$4,OFFSET('TAB roll forward'!$H$7,A1467,0),"enter input")</f>
        <v>0</v>
      </c>
      <c r="D1467" s="1417">
        <f>IF(LEFT(D$6,4)&lt;LEFT('RFM input'!$G$60,4),"enter input",IF(LEFT(D$6,4)&gt;LEFT('RFM input'!$Q$60,4),0,
INDEX('RFM input'!$G$61:$Q$110,$A1467,MATCH(D$6,'RFM input'!$G$60:$Q$60,0))
   -INDEX('RFM input'!$G$115:$Q$164,$A1467,MATCH(D$6,'RFM input'!$G$60:$Q$60,0))))</f>
        <v>0</v>
      </c>
      <c r="E1467" s="1417">
        <f>IF(LEFT(E$6,4)&lt;LEFT('RFM input'!$G$60,4),"enter input",IF(LEFT(E$6,4)&gt;LEFT('RFM input'!$Q$60,4),0,
INDEX('RFM input'!$G$61:$Q$110,$A1467,MATCH(E$6,'RFM input'!$G$60:$Q$60,0))
   -INDEX('RFM input'!$G$115:$Q$164,$A1467,MATCH(E$6,'RFM input'!$G$60:$Q$60,0))))</f>
        <v>0</v>
      </c>
      <c r="F1467" s="1417">
        <f>IF(LEFT(F$6,4)&lt;LEFT('RFM input'!$G$60,4),"enter input",IF(LEFT(F$6,4)&gt;LEFT('RFM input'!$Q$60,4),0,
INDEX('RFM input'!$G$61:$Q$110,$A1467,MATCH(F$6,'RFM input'!$G$60:$Q$60,0))
   -INDEX('RFM input'!$G$115:$Q$164,$A1467,MATCH(F$6,'RFM input'!$G$60:$Q$60,0))))</f>
        <v>0</v>
      </c>
      <c r="G1467" s="1417">
        <f>IF(LEFT(G$6,4)&lt;LEFT('RFM input'!$G$60,4),"enter input",IF(LEFT(G$6,4)&gt;LEFT('RFM input'!$Q$60,4),0,
INDEX('RFM input'!$G$61:$Q$110,$A1467,MATCH(G$6,'RFM input'!$G$60:$Q$60,0))
   -INDEX('RFM input'!$G$115:$Q$164,$A1467,MATCH(G$6,'RFM input'!$G$60:$Q$60,0))))</f>
        <v>0</v>
      </c>
      <c r="H1467" s="1417">
        <f>IF(LEFT(H$6,4)&lt;LEFT('RFM input'!$G$60,4),"enter input",IF(LEFT(H$6,4)&gt;LEFT('RFM input'!$Q$60,4),0,
INDEX('RFM input'!$G$61:$Q$110,$A1467,MATCH(H$6,'RFM input'!$G$60:$Q$60,0))
   -INDEX('RFM input'!$G$115:$Q$164,$A1467,MATCH(H$6,'RFM input'!$G$60:$Q$60,0))))</f>
        <v>0</v>
      </c>
      <c r="I1467" s="1417">
        <f>IF(LEFT(I$6,4)&lt;LEFT('RFM input'!$G$60,4),"enter input",IF(LEFT(I$6,4)&gt;LEFT('RFM input'!$Q$60,4),0,
INDEX('RFM input'!$G$61:$Q$110,$A1467,MATCH(I$6,'RFM input'!$G$60:$Q$60,0))
   -INDEX('RFM input'!$G$115:$Q$164,$A1467,MATCH(I$6,'RFM input'!$G$60:$Q$60,0))))</f>
        <v>0</v>
      </c>
      <c r="J1467" s="1417">
        <f>IF(LEFT(J$6,4)&lt;LEFT('RFM input'!$G$60,4),"enter input",IF(LEFT(J$6,4)&gt;LEFT('RFM input'!$Q$60,4),0,
INDEX('RFM input'!$G$61:$Q$110,$A1467,MATCH(J$6,'RFM input'!$G$60:$Q$60,0))
   -INDEX('RFM input'!$G$115:$Q$164,$A1467,MATCH(J$6,'RFM input'!$G$60:$Q$60,0))))</f>
        <v>0</v>
      </c>
      <c r="K1467" s="1417">
        <f>IF(LEFT(K$6,4)&lt;LEFT('RFM input'!$G$60,4),"enter input",IF(LEFT(K$6,4)&gt;LEFT('RFM input'!$Q$60,4),0,
INDEX('RFM input'!$G$61:$Q$110,$A1467,MATCH(K$6,'RFM input'!$G$60:$Q$60,0))
   -INDEX('RFM input'!$G$115:$Q$164,$A1467,MATCH(K$6,'RFM input'!$G$60:$Q$60,0))))</f>
        <v>0</v>
      </c>
      <c r="L1467" s="1417">
        <f>IF(LEFT(L$6,4)&lt;LEFT('RFM input'!$G$60,4),"enter input",IF(LEFT(L$6,4)&gt;LEFT('RFM input'!$Q$60,4),0,
INDEX('RFM input'!$G$61:$Q$110,$A1467,MATCH(L$6,'RFM input'!$G$60:$Q$60,0))
   -INDEX('RFM input'!$G$115:$Q$164,$A1467,MATCH(L$6,'RFM input'!$G$60:$Q$60,0))))</f>
        <v>0</v>
      </c>
      <c r="M1467" s="1417">
        <f>IF(LEFT(M$6,4)&lt;LEFT('RFM input'!$G$60,4),"enter input",IF(LEFT(M$6,4)&gt;LEFT('RFM input'!$Q$60,4),0,
INDEX('RFM input'!$G$61:$Q$110,$A1467,MATCH(M$6,'RFM input'!$G$60:$Q$60,0))
   -INDEX('RFM input'!$G$115:$Q$164,$A1467,MATCH(M$6,'RFM input'!$G$60:$Q$60,0))))</f>
        <v>0</v>
      </c>
      <c r="N1467" s="1417">
        <f>IF(LEFT(N$6,4)&lt;LEFT('RFM input'!$G$60,4),"enter input",IF(LEFT(N$6,4)&gt;LEFT('RFM input'!$Q$60,4),0,
INDEX('RFM input'!$G$61:$Q$110,$A1467,MATCH(N$6,'RFM input'!$G$60:$Q$60,0))
   -INDEX('RFM input'!$G$115:$Q$164,$A1467,MATCH(N$6,'RFM input'!$G$60:$Q$60,0))))</f>
        <v>0</v>
      </c>
      <c r="O1467" s="1417">
        <f>IF(LEFT(O$6,4)&lt;LEFT('RFM input'!$G$60,4),"enter input",IF(LEFT(O$6,4)&gt;LEFT('RFM input'!$Q$60,4),0,
INDEX('RFM input'!$G$61:$Q$110,$A1467,MATCH(O$6,'RFM input'!$G$60:$Q$60,0))
   -INDEX('RFM input'!$G$115:$Q$164,$A1467,MATCH(O$6,'RFM input'!$G$60:$Q$60,0))))</f>
        <v>0</v>
      </c>
      <c r="P1467" s="1417">
        <f>IF(LEFT(P$6,4)&lt;LEFT('RFM input'!$G$60,4),"enter input",IF(LEFT(P$6,4)&gt;LEFT('RFM input'!$Q$60,4),0,
INDEX('RFM input'!$G$61:$Q$110,$A1467,MATCH(P$6,'RFM input'!$G$60:$Q$60,0))
   -INDEX('RFM input'!$G$115:$Q$164,$A1467,MATCH(P$6,'RFM input'!$G$60:$Q$60,0))))</f>
        <v>0</v>
      </c>
      <c r="Q1467" s="1417">
        <f>IF(LEFT(Q$6,4)&lt;LEFT('RFM input'!$G$60,4),"enter input",IF(LEFT(Q$6,4)&gt;LEFT('RFM input'!$Q$60,4),0,
INDEX('RFM input'!$G$61:$Q$110,$A1467,MATCH(Q$6,'RFM input'!$G$60:$Q$60,0))
   -INDEX('RFM input'!$G$115:$Q$164,$A1467,MATCH(Q$6,'RFM input'!$G$60:$Q$60,0))))</f>
        <v>0</v>
      </c>
      <c r="R1467" s="1417">
        <f>IF(LEFT(R$6,4)&lt;LEFT('RFM input'!$G$60,4),"enter input",IF(LEFT(R$6,4)&gt;LEFT('RFM input'!$Q$60,4),0,
INDEX('RFM input'!$G$61:$Q$110,$A1467,MATCH(R$6,'RFM input'!$G$60:$Q$60,0))
   -INDEX('RFM input'!$G$115:$Q$164,$A1467,MATCH(R$6,'RFM input'!$G$60:$Q$60,0))))</f>
        <v>0</v>
      </c>
      <c r="S1467" s="1417">
        <f>IF(LEFT(S$6,4)&lt;LEFT('RFM input'!$G$60,4),"enter input",IF(LEFT(S$6,4)&gt;LEFT('RFM input'!$Q$60,4),0,
INDEX('RFM input'!$G$61:$Q$110,$A1467,MATCH(S$6,'RFM input'!$G$60:$Q$60,0))
   -INDEX('RFM input'!$G$115:$Q$164,$A1467,MATCH(S$6,'RFM input'!$G$60:$Q$60,0))))</f>
        <v>0</v>
      </c>
      <c r="T1467" s="1417">
        <f>IF(LEFT(T$6,4)&lt;LEFT('RFM input'!$G$60,4),"enter input",IF(LEFT(T$6,4)&gt;LEFT('RFM input'!$Q$60,4),0,
INDEX('RFM input'!$G$61:$Q$110,$A1467,MATCH(T$6,'RFM input'!$G$60:$Q$60,0))
   -INDEX('RFM input'!$G$115:$Q$164,$A1467,MATCH(T$6,'RFM input'!$G$60:$Q$60,0))))</f>
        <v>0</v>
      </c>
      <c r="U1467" s="1417">
        <f>IF(LEFT(U$6,4)&lt;LEFT('RFM input'!$G$60,4),"enter input",IF(LEFT(U$6,4)&gt;LEFT('RFM input'!$Q$60,4),0,
INDEX('RFM input'!$G$61:$Q$110,$A1467,MATCH(U$6,'RFM input'!$G$60:$Q$60,0))
   -INDEX('RFM input'!$G$115:$Q$164,$A1467,MATCH(U$6,'RFM input'!$G$60:$Q$60,0))))</f>
        <v>0</v>
      </c>
      <c r="V1467" s="1417">
        <f>IF(LEFT(V$6,4)&lt;LEFT('RFM input'!$G$60,4),"enter input",IF(LEFT(V$6,4)&gt;LEFT('RFM input'!$Q$60,4),0,
INDEX('RFM input'!$G$61:$Q$110,$A1467,MATCH(V$6,'RFM input'!$G$60:$Q$60,0))
   -INDEX('RFM input'!$G$115:$Q$164,$A1467,MATCH(V$6,'RFM input'!$G$60:$Q$60,0))))</f>
        <v>0</v>
      </c>
      <c r="W1467" s="1417">
        <f>IF(LEFT(W$6,4)&lt;LEFT('RFM input'!$G$60,4),"enter input",IF(LEFT(W$6,4)&gt;LEFT('RFM input'!$Q$60,4),0,
INDEX('RFM input'!$G$61:$Q$110,$A1467,MATCH(W$6,'RFM input'!$G$60:$Q$60,0))
   -INDEX('RFM input'!$G$115:$Q$164,$A1467,MATCH(W$6,'RFM input'!$G$60:$Q$60,0))))</f>
        <v>0</v>
      </c>
      <c r="X1467" s="152"/>
      <c r="Y1467" s="152"/>
      <c r="Z1467" s="152"/>
      <c r="AA1467" s="152"/>
      <c r="AB1467" s="152"/>
    </row>
    <row r="1468" spans="1:28">
      <c r="A1468" s="152"/>
      <c r="B1468" s="152" t="s">
        <v>205</v>
      </c>
      <c r="C1468" s="1418">
        <f ca="1">IF($D$6='TAB roll forward'!$H$4,OFFSET('RFM input'!$S$6,$A1467,0),"enter input")</f>
        <v>0</v>
      </c>
      <c r="D1468" s="1417">
        <f>IF(LEFT(D$6,4)&lt;=LEFT('RFM input'!$G$60,4),"enter input",IF(LEFT(D$6,4)&gt;LEFT('RFM input'!$Q$60,4),0,
IF(MATCH(D$6,'RFM input'!$H$60:$Q$60,0),INDEX('RFM input'!$T$7:$T$56,$A1467,1,1))))</f>
        <v>0</v>
      </c>
      <c r="E1468" s="1417">
        <f>IF(LEFT(E$6,4)&lt;=LEFT('RFM input'!$G$60,4),"enter input",IF(LEFT(E$6,4)&gt;LEFT('RFM input'!$Q$60,4),0,
IF(MATCH(E$6,'RFM input'!$H$60:$Q$60,0),INDEX('RFM input'!$T$7:$T$56,$A1467,1,1))))</f>
        <v>0</v>
      </c>
      <c r="F1468" s="1417">
        <f>IF(LEFT(F$6,4)&lt;=LEFT('RFM input'!$G$60,4),"enter input",IF(LEFT(F$6,4)&gt;LEFT('RFM input'!$Q$60,4),0,
IF(MATCH(F$6,'RFM input'!$H$60:$Q$60,0),INDEX('RFM input'!$T$7:$T$56,$A1467,1,1))))</f>
        <v>0</v>
      </c>
      <c r="G1468" s="1417">
        <f>IF(LEFT(G$6,4)&lt;=LEFT('RFM input'!$G$60,4),"enter input",IF(LEFT(G$6,4)&gt;LEFT('RFM input'!$Q$60,4),0,
IF(MATCH(G$6,'RFM input'!$H$60:$Q$60,0),INDEX('RFM input'!$T$7:$T$56,$A1467,1,1))))</f>
        <v>0</v>
      </c>
      <c r="H1468" s="1417">
        <f>IF(LEFT(H$6,4)&lt;=LEFT('RFM input'!$G$60,4),"enter input",IF(LEFT(H$6,4)&gt;LEFT('RFM input'!$Q$60,4),0,
IF(MATCH(H$6,'RFM input'!$H$60:$Q$60,0),INDEX('RFM input'!$T$7:$T$56,$A1467,1,1))))</f>
        <v>0</v>
      </c>
      <c r="I1468" s="1417">
        <f>IF(LEFT(I$6,4)&lt;=LEFT('RFM input'!$G$60,4),"enter input",IF(LEFT(I$6,4)&gt;LEFT('RFM input'!$Q$60,4),0,
IF(MATCH(I$6,'RFM input'!$H$60:$Q$60,0),INDEX('RFM input'!$T$7:$T$56,$A1467,1,1))))</f>
        <v>0</v>
      </c>
      <c r="J1468" s="1417">
        <f>IF(LEFT(J$6,4)&lt;=LEFT('RFM input'!$G$60,4),"enter input",IF(LEFT(J$6,4)&gt;LEFT('RFM input'!$Q$60,4),0,
IF(MATCH(J$6,'RFM input'!$H$60:$Q$60,0),INDEX('RFM input'!$T$7:$T$56,$A1467,1,1))))</f>
        <v>0</v>
      </c>
      <c r="K1468" s="1417">
        <f>IF(LEFT(K$6,4)&lt;=LEFT('RFM input'!$G$60,4),"enter input",IF(LEFT(K$6,4)&gt;LEFT('RFM input'!$Q$60,4),0,
IF(MATCH(K$6,'RFM input'!$H$60:$Q$60,0),INDEX('RFM input'!$T$7:$T$56,$A1467,1,1))))</f>
        <v>0</v>
      </c>
      <c r="L1468" s="1417">
        <f>IF(LEFT(L$6,4)&lt;=LEFT('RFM input'!$G$60,4),"enter input",IF(LEFT(L$6,4)&gt;LEFT('RFM input'!$Q$60,4),0,
IF(MATCH(L$6,'RFM input'!$H$60:$Q$60,0),INDEX('RFM input'!$T$7:$T$56,$A1467,1,1))))</f>
        <v>0</v>
      </c>
      <c r="M1468" s="1417">
        <f>IF(LEFT(M$6,4)&lt;=LEFT('RFM input'!$G$60,4),"enter input",IF(LEFT(M$6,4)&gt;LEFT('RFM input'!$Q$60,4),0,
IF(MATCH(M$6,'RFM input'!$H$60:$Q$60,0),INDEX('RFM input'!$T$7:$T$56,$A1467,1,1))))</f>
        <v>0</v>
      </c>
      <c r="N1468" s="1417">
        <f>IF(LEFT(N$6,4)&lt;=LEFT('RFM input'!$G$60,4),"enter input",IF(LEFT(N$6,4)&gt;LEFT('RFM input'!$Q$60,4),0,
IF(MATCH(N$6,'RFM input'!$H$60:$Q$60,0),INDEX('RFM input'!$T$7:$T$56,$A1467,1,1))))</f>
        <v>0</v>
      </c>
      <c r="O1468" s="1417">
        <f>IF(LEFT(O$6,4)&lt;=LEFT('RFM input'!$G$60,4),"enter input",IF(LEFT(O$6,4)&gt;LEFT('RFM input'!$Q$60,4),0,
IF(MATCH(O$6,'RFM input'!$H$60:$Q$60,0),INDEX('RFM input'!$T$7:$T$56,$A1467,1,1))))</f>
        <v>0</v>
      </c>
      <c r="P1468" s="1417">
        <f>IF(LEFT(P$6,4)&lt;=LEFT('RFM input'!$G$60,4),"enter input",IF(LEFT(P$6,4)&gt;LEFT('RFM input'!$Q$60,4),0,
IF(MATCH(P$6,'RFM input'!$H$60:$Q$60,0),INDEX('RFM input'!$T$7:$T$56,$A1467,1,1))))</f>
        <v>0</v>
      </c>
      <c r="Q1468" s="1417">
        <f>IF(LEFT(Q$6,4)&lt;=LEFT('RFM input'!$G$60,4),"enter input",IF(LEFT(Q$6,4)&gt;LEFT('RFM input'!$Q$60,4),0,
IF(MATCH(Q$6,'RFM input'!$H$60:$Q$60,0),INDEX('RFM input'!$T$7:$T$56,$A1467,1,1))))</f>
        <v>0</v>
      </c>
      <c r="R1468" s="1417">
        <f>IF(LEFT(R$6,4)&lt;=LEFT('RFM input'!$G$60,4),"enter input",IF(LEFT(R$6,4)&gt;LEFT('RFM input'!$Q$60,4),0,
IF(MATCH(R$6,'RFM input'!$H$60:$Q$60,0),INDEX('RFM input'!$T$7:$T$56,$A1467,1,1))))</f>
        <v>0</v>
      </c>
      <c r="S1468" s="1417">
        <f>IF(LEFT(S$6,4)&lt;=LEFT('RFM input'!$G$60,4),"enter input",IF(LEFT(S$6,4)&gt;LEFT('RFM input'!$Q$60,4),0,
IF(MATCH(S$6,'RFM input'!$H$60:$Q$60,0),INDEX('RFM input'!$T$7:$T$56,$A1467,1,1))))</f>
        <v>0</v>
      </c>
      <c r="T1468" s="1417">
        <f>IF(LEFT(T$6,4)&lt;=LEFT('RFM input'!$G$60,4),"enter input",IF(LEFT(T$6,4)&gt;LEFT('RFM input'!$Q$60,4),0,
IF(MATCH(T$6,'RFM input'!$H$60:$Q$60,0),INDEX('RFM input'!$T$7:$T$56,$A1467,1,1))))</f>
        <v>0</v>
      </c>
      <c r="U1468" s="1417">
        <f>IF(LEFT(U$6,4)&lt;=LEFT('RFM input'!$G$60,4),"enter input",IF(LEFT(U$6,4)&gt;LEFT('RFM input'!$Q$60,4),0,
IF(MATCH(U$6,'RFM input'!$H$60:$Q$60,0),INDEX('RFM input'!$T$7:$T$56,$A1467,1,1))))</f>
        <v>0</v>
      </c>
      <c r="V1468" s="1417">
        <f>IF(LEFT(V$6,4)&lt;=LEFT('RFM input'!$G$60,4),"enter input",IF(LEFT(V$6,4)&gt;LEFT('RFM input'!$Q$60,4),0,
IF(MATCH(V$6,'RFM input'!$H$60:$Q$60,0),INDEX('RFM input'!$T$7:$T$56,$A1467,1,1))))</f>
        <v>0</v>
      </c>
      <c r="W1468" s="1417">
        <f>IF(LEFT(W$6,4)&lt;=LEFT('RFM input'!$G$60,4),"enter input",IF(LEFT(W$6,4)&gt;LEFT('RFM input'!$Q$60,4),0,
IF(MATCH(W$6,'RFM input'!$H$60:$Q$60,0),INDEX('RFM input'!$T$7:$T$56,$A1467,1,1))))</f>
        <v>0</v>
      </c>
      <c r="X1468" s="152"/>
      <c r="Y1468" s="152"/>
      <c r="Z1468" s="152"/>
      <c r="AA1468" s="152"/>
      <c r="AB1468" s="152"/>
    </row>
    <row r="1469" spans="1:28">
      <c r="A1469" s="152"/>
      <c r="B1469" s="193" t="s">
        <v>192</v>
      </c>
      <c r="C1469" s="1419"/>
      <c r="D1469" s="1420">
        <f ca="1">IF(LEFT(D$6,4)&lt;=LEFT('RFM input'!$G$60,4),"enter input",IF(LEFT(D$6,4)&gt;LEFT('RFM input'!$Q$60,4),0,
IF(D$6=(OFFSET('RFM input'!$G$60,0,'RFM input'!$V$7)),OFFSET('RFM input'!$H$411,$A1467,0),0)))</f>
        <v>0</v>
      </c>
      <c r="E1469" s="1417">
        <f ca="1">IF(LEFT(E$6,4)&lt;=LEFT('RFM input'!$G$60,4),"enter input",IF(LEFT(E$6,4)&gt;LEFT('RFM input'!$Q$60,4),0,
IF(E$6=(OFFSET('RFM input'!$G$60,0,'RFM input'!$V$7)),OFFSET('RFM input'!$H$411,$A1467,0),0)))</f>
        <v>0</v>
      </c>
      <c r="F1469" s="1417">
        <f ca="1">IF(LEFT(F$6,4)&lt;=LEFT('RFM input'!$G$60,4),"enter input",IF(LEFT(F$6,4)&gt;LEFT('RFM input'!$Q$60,4),0,
IF(F$6=(OFFSET('RFM input'!$G$60,0,'RFM input'!$V$7)),OFFSET('RFM input'!$H$411,$A1467,0),0)))</f>
        <v>0</v>
      </c>
      <c r="G1469" s="1417">
        <f ca="1">IF(LEFT(G$6,4)&lt;=LEFT('RFM input'!$G$60,4),"enter input",IF(LEFT(G$6,4)&gt;LEFT('RFM input'!$Q$60,4),0,
IF(G$6=(OFFSET('RFM input'!$G$60,0,'RFM input'!$V$7)),OFFSET('RFM input'!$H$411,$A1467,0),0)))</f>
        <v>0</v>
      </c>
      <c r="H1469" s="1417">
        <f ca="1">IF(LEFT(H$6,4)&lt;=LEFT('RFM input'!$G$60,4),"enter input",IF(LEFT(H$6,4)&gt;LEFT('RFM input'!$Q$60,4),0,
IF(H$6=(OFFSET('RFM input'!$G$60,0,'RFM input'!$V$7)),OFFSET('RFM input'!$H$411,$A1467,0),0)))</f>
        <v>0</v>
      </c>
      <c r="I1469" s="1417">
        <f ca="1">IF(LEFT(I$6,4)&lt;=LEFT('RFM input'!$G$60,4),"enter input",IF(LEFT(I$6,4)&gt;LEFT('RFM input'!$Q$60,4),0,
IF(I$6=(OFFSET('RFM input'!$G$60,0,'RFM input'!$V$7)),OFFSET('RFM input'!$H$411,$A1467,0),0)))</f>
        <v>0</v>
      </c>
      <c r="J1469" s="1417">
        <f ca="1">IF(LEFT(J$6,4)&lt;=LEFT('RFM input'!$G$60,4),"enter input",IF(LEFT(J$6,4)&gt;LEFT('RFM input'!$Q$60,4),0,
IF(J$6=(OFFSET('RFM input'!$G$60,0,'RFM input'!$V$7)),OFFSET('RFM input'!$H$411,$A1467,0),0)))</f>
        <v>0</v>
      </c>
      <c r="K1469" s="1417">
        <f ca="1">IF(LEFT(K$6,4)&lt;=LEFT('RFM input'!$G$60,4),"enter input",IF(LEFT(K$6,4)&gt;LEFT('RFM input'!$Q$60,4),0,
IF(K$6=(OFFSET('RFM input'!$G$60,0,'RFM input'!$V$7)),OFFSET('RFM input'!$H$411,$A1467,0),0)))</f>
        <v>0</v>
      </c>
      <c r="L1469" s="1417">
        <f ca="1">IF(LEFT(L$6,4)&lt;=LEFT('RFM input'!$G$60,4),"enter input",IF(LEFT(L$6,4)&gt;LEFT('RFM input'!$Q$60,4),0,
IF(L$6=(OFFSET('RFM input'!$G$60,0,'RFM input'!$V$7)),OFFSET('RFM input'!$H$411,$A1467,0),0)))</f>
        <v>0</v>
      </c>
      <c r="M1469" s="1417">
        <f ca="1">IF(LEFT(M$6,4)&lt;=LEFT('RFM input'!$G$60,4),"enter input",IF(LEFT(M$6,4)&gt;LEFT('RFM input'!$Q$60,4),0,
IF(M$6=(OFFSET('RFM input'!$G$60,0,'RFM input'!$V$7)),OFFSET('RFM input'!$H$411,$A1467,0),0)))</f>
        <v>0</v>
      </c>
      <c r="N1469" s="1417">
        <f ca="1">IF(LEFT(N$6,4)&lt;=LEFT('RFM input'!$G$60,4),"enter input",IF(LEFT(N$6,4)&gt;LEFT('RFM input'!$Q$60,4),0,
IF(N$6=(OFFSET('RFM input'!$G$60,0,'RFM input'!$V$7)),OFFSET('RFM input'!$H$411,$A1467,0),0)))</f>
        <v>0</v>
      </c>
      <c r="O1469" s="1417">
        <f ca="1">IF(LEFT(O$6,4)&lt;=LEFT('RFM input'!$G$60,4),"enter input",IF(LEFT(O$6,4)&gt;LEFT('RFM input'!$Q$60,4),0,
IF(O$6=(OFFSET('RFM input'!$G$60,0,'RFM input'!$V$7)),OFFSET('RFM input'!$H$411,$A1467,0),0)))</f>
        <v>0</v>
      </c>
      <c r="P1469" s="1417">
        <f ca="1">IF(LEFT(P$6,4)&lt;=LEFT('RFM input'!$G$60,4),"enter input",IF(LEFT(P$6,4)&gt;LEFT('RFM input'!$Q$60,4),0,
IF(P$6=(OFFSET('RFM input'!$G$60,0,'RFM input'!$V$7)),OFFSET('RFM input'!$H$411,$A1467,0),0)))</f>
        <v>0</v>
      </c>
      <c r="Q1469" s="1417">
        <f ca="1">IF(LEFT(Q$6,4)&lt;=LEFT('RFM input'!$G$60,4),"enter input",IF(LEFT(Q$6,4)&gt;LEFT('RFM input'!$Q$60,4),0,
IF(Q$6=(OFFSET('RFM input'!$G$60,0,'RFM input'!$V$7)),OFFSET('RFM input'!$H$411,$A1467,0),0)))</f>
        <v>0</v>
      </c>
      <c r="R1469" s="1417">
        <f ca="1">IF(LEFT(R$6,4)&lt;=LEFT('RFM input'!$G$60,4),"enter input",IF(LEFT(R$6,4)&gt;LEFT('RFM input'!$Q$60,4),0,
IF(R$6=(OFFSET('RFM input'!$G$60,0,'RFM input'!$V$7)),OFFSET('RFM input'!$H$411,$A1467,0),0)))</f>
        <v>0</v>
      </c>
      <c r="S1469" s="1417">
        <f ca="1">IF(LEFT(S$6,4)&lt;=LEFT('RFM input'!$G$60,4),"enter input",IF(LEFT(S$6,4)&gt;LEFT('RFM input'!$Q$60,4),0,
IF(S$6=(OFFSET('RFM input'!$G$60,0,'RFM input'!$V$7)),OFFSET('RFM input'!$H$411,$A1467,0),0)))</f>
        <v>0</v>
      </c>
      <c r="T1469" s="1417">
        <f ca="1">IF(LEFT(T$6,4)&lt;=LEFT('RFM input'!$G$60,4),"enter input",IF(LEFT(T$6,4)&gt;LEFT('RFM input'!$Q$60,4),0,
IF(T$6=(OFFSET('RFM input'!$G$60,0,'RFM input'!$V$7)),OFFSET('RFM input'!$H$411,$A1467,0),0)))</f>
        <v>0</v>
      </c>
      <c r="U1469" s="1417">
        <f ca="1">IF(LEFT(U$6,4)&lt;=LEFT('RFM input'!$G$60,4),"enter input",IF(LEFT(U$6,4)&gt;LEFT('RFM input'!$Q$60,4),0,
IF(U$6=(OFFSET('RFM input'!$G$60,0,'RFM input'!$V$7)),OFFSET('RFM input'!$H$411,$A1467,0),0)))</f>
        <v>0</v>
      </c>
      <c r="V1469" s="1417">
        <f ca="1">IF(LEFT(V$6,4)&lt;=LEFT('RFM input'!$G$60,4),"enter input",IF(LEFT(V$6,4)&gt;LEFT('RFM input'!$Q$60,4),0,
IF(V$6=(OFFSET('RFM input'!$G$60,0,'RFM input'!$V$7)),OFFSET('RFM input'!$H$411,$A1467,0),0)))</f>
        <v>0</v>
      </c>
      <c r="W1469" s="1417">
        <f ca="1">IF(LEFT(W$6,4)&lt;=LEFT('RFM input'!$G$60,4),"enter input",IF(LEFT(W$6,4)&gt;LEFT('RFM input'!$Q$60,4),0,
IF(W$6=(OFFSET('RFM input'!$G$60,0,'RFM input'!$V$7)),OFFSET('RFM input'!$H$411,$A1467,0),0)))</f>
        <v>0</v>
      </c>
      <c r="X1469" s="152"/>
      <c r="Y1469" s="152"/>
      <c r="Z1469" s="152"/>
      <c r="AA1469" s="152"/>
      <c r="AB1469" s="152"/>
    </row>
    <row r="1470" spans="1:28">
      <c r="A1470" s="152"/>
      <c r="B1470" s="193" t="s">
        <v>200</v>
      </c>
      <c r="C1470" s="1419"/>
      <c r="D1470" s="1418">
        <f ca="1">IF(LEFT(D$6,4)&lt;=LEFT('RFM input'!$G$60,4),"enter input",IF(LEFT(D$6,4)&gt;LEFT('RFM input'!$Q$60,4),0,
IF(D$6=(OFFSET('RFM input'!$G$60,0,'RFM input'!$V$7)),OFFSET('RFM input'!$J$411,$A1467,0),0)))</f>
        <v>0</v>
      </c>
      <c r="E1470" s="1422">
        <f ca="1">IF(LEFT(E$6,4)&lt;=LEFT('RFM input'!$G$60,4),"enter input",IF(LEFT(E$6,4)&gt;LEFT('RFM input'!$Q$60,4),0,
IF(E$6=(OFFSET('RFM input'!$G$60,0,'RFM input'!$V$7)),OFFSET('RFM input'!$J$411,$A1467,0),0)))</f>
        <v>0</v>
      </c>
      <c r="F1470" s="1422">
        <f ca="1">IF(LEFT(F$6,4)&lt;=LEFT('RFM input'!$G$60,4),"enter input",IF(LEFT(F$6,4)&gt;LEFT('RFM input'!$Q$60,4),0,
IF(F$6=(OFFSET('RFM input'!$G$60,0,'RFM input'!$V$7)),OFFSET('RFM input'!$J$411,$A1467,0),0)))</f>
        <v>0</v>
      </c>
      <c r="G1470" s="1422">
        <f ca="1">IF(LEFT(G$6,4)&lt;=LEFT('RFM input'!$G$60,4),"enter input",IF(LEFT(G$6,4)&gt;LEFT('RFM input'!$Q$60,4),0,
IF(G$6=(OFFSET('RFM input'!$G$60,0,'RFM input'!$V$7)),OFFSET('RFM input'!$J$411,$A1467,0),0)))</f>
        <v>0</v>
      </c>
      <c r="H1470" s="1422">
        <f ca="1">IF(LEFT(H$6,4)&lt;=LEFT('RFM input'!$G$60,4),"enter input",IF(LEFT(H$6,4)&gt;LEFT('RFM input'!$Q$60,4),0,
IF(H$6=(OFFSET('RFM input'!$G$60,0,'RFM input'!$V$7)),OFFSET('RFM input'!$J$411,$A1467,0),0)))</f>
        <v>0</v>
      </c>
      <c r="I1470" s="1422">
        <f ca="1">IF(LEFT(I$6,4)&lt;=LEFT('RFM input'!$G$60,4),"enter input",IF(LEFT(I$6,4)&gt;LEFT('RFM input'!$Q$60,4),0,
IF(I$6=(OFFSET('RFM input'!$G$60,0,'RFM input'!$V$7)),OFFSET('RFM input'!$J$411,$A1467,0),0)))</f>
        <v>0</v>
      </c>
      <c r="J1470" s="1422">
        <f ca="1">IF(LEFT(J$6,4)&lt;=LEFT('RFM input'!$G$60,4),"enter input",IF(LEFT(J$6,4)&gt;LEFT('RFM input'!$Q$60,4),0,
IF(J$6=(OFFSET('RFM input'!$G$60,0,'RFM input'!$V$7)),OFFSET('RFM input'!$J$411,$A1467,0),0)))</f>
        <v>0</v>
      </c>
      <c r="K1470" s="1422">
        <f ca="1">IF(LEFT(K$6,4)&lt;=LEFT('RFM input'!$G$60,4),"enter input",IF(LEFT(K$6,4)&gt;LEFT('RFM input'!$Q$60,4),0,
IF(K$6=(OFFSET('RFM input'!$G$60,0,'RFM input'!$V$7)),OFFSET('RFM input'!$J$411,$A1467,0),0)))</f>
        <v>0</v>
      </c>
      <c r="L1470" s="1422">
        <f ca="1">IF(LEFT(L$6,4)&lt;=LEFT('RFM input'!$G$60,4),"enter input",IF(LEFT(L$6,4)&gt;LEFT('RFM input'!$Q$60,4),0,
IF(L$6=(OFFSET('RFM input'!$G$60,0,'RFM input'!$V$7)),OFFSET('RFM input'!$J$411,$A1467,0),0)))</f>
        <v>0</v>
      </c>
      <c r="M1470" s="1422">
        <f ca="1">IF(LEFT(M$6,4)&lt;=LEFT('RFM input'!$G$60,4),"enter input",IF(LEFT(M$6,4)&gt;LEFT('RFM input'!$Q$60,4),0,
IF(M$6=(OFFSET('RFM input'!$G$60,0,'RFM input'!$V$7)),OFFSET('RFM input'!$J$411,$A1467,0),0)))</f>
        <v>0</v>
      </c>
      <c r="N1470" s="1422">
        <f ca="1">IF(LEFT(N$6,4)&lt;=LEFT('RFM input'!$G$60,4),"enter input",IF(LEFT(N$6,4)&gt;LEFT('RFM input'!$Q$60,4),0,
IF(N$6=(OFFSET('RFM input'!$G$60,0,'RFM input'!$V$7)),OFFSET('RFM input'!$J$411,$A1467,0),0)))</f>
        <v>0</v>
      </c>
      <c r="O1470" s="1422">
        <f ca="1">IF(LEFT(O$6,4)&lt;=LEFT('RFM input'!$G$60,4),"enter input",IF(LEFT(O$6,4)&gt;LEFT('RFM input'!$Q$60,4),0,
IF(O$6=(OFFSET('RFM input'!$G$60,0,'RFM input'!$V$7)),OFFSET('RFM input'!$J$411,$A1467,0),0)))</f>
        <v>0</v>
      </c>
      <c r="P1470" s="1422">
        <f ca="1">IF(LEFT(P$6,4)&lt;=LEFT('RFM input'!$G$60,4),"enter input",IF(LEFT(P$6,4)&gt;LEFT('RFM input'!$Q$60,4),0,
IF(P$6=(OFFSET('RFM input'!$G$60,0,'RFM input'!$V$7)),OFFSET('RFM input'!$J$411,$A1467,0),0)))</f>
        <v>0</v>
      </c>
      <c r="Q1470" s="1422">
        <f ca="1">IF(LEFT(Q$6,4)&lt;=LEFT('RFM input'!$G$60,4),"enter input",IF(LEFT(Q$6,4)&gt;LEFT('RFM input'!$Q$60,4),0,
IF(Q$6=(OFFSET('RFM input'!$G$60,0,'RFM input'!$V$7)),OFFSET('RFM input'!$J$411,$A1467,0),0)))</f>
        <v>0</v>
      </c>
      <c r="R1470" s="1422">
        <f ca="1">IF(LEFT(R$6,4)&lt;=LEFT('RFM input'!$G$60,4),"enter input",IF(LEFT(R$6,4)&gt;LEFT('RFM input'!$Q$60,4),0,
IF(R$6=(OFFSET('RFM input'!$G$60,0,'RFM input'!$V$7)),OFFSET('RFM input'!$J$411,$A1467,0),0)))</f>
        <v>0</v>
      </c>
      <c r="S1470" s="1422">
        <f ca="1">IF(LEFT(S$6,4)&lt;=LEFT('RFM input'!$G$60,4),"enter input",IF(LEFT(S$6,4)&gt;LEFT('RFM input'!$Q$60,4),0,
IF(S$6=(OFFSET('RFM input'!$G$60,0,'RFM input'!$V$7)),OFFSET('RFM input'!$J$411,$A1467,0),0)))</f>
        <v>0</v>
      </c>
      <c r="T1470" s="1422">
        <f ca="1">IF(LEFT(T$6,4)&lt;=LEFT('RFM input'!$G$60,4),"enter input",IF(LEFT(T$6,4)&gt;LEFT('RFM input'!$Q$60,4),0,
IF(T$6=(OFFSET('RFM input'!$G$60,0,'RFM input'!$V$7)),OFFSET('RFM input'!$J$411,$A1467,0),0)))</f>
        <v>0</v>
      </c>
      <c r="U1470" s="1422">
        <f ca="1">IF(LEFT(U$6,4)&lt;=LEFT('RFM input'!$G$60,4),"enter input",IF(LEFT(U$6,4)&gt;LEFT('RFM input'!$Q$60,4),0,
IF(U$6=(OFFSET('RFM input'!$G$60,0,'RFM input'!$V$7)),OFFSET('RFM input'!$J$411,$A1467,0),0)))</f>
        <v>0</v>
      </c>
      <c r="V1470" s="1422">
        <f ca="1">IF(LEFT(V$6,4)&lt;=LEFT('RFM input'!$G$60,4),"enter input",IF(LEFT(V$6,4)&gt;LEFT('RFM input'!$Q$60,4),0,
IF(V$6=(OFFSET('RFM input'!$G$60,0,'RFM input'!$V$7)),OFFSET('RFM input'!$J$411,$A1467,0),0)))</f>
        <v>0</v>
      </c>
      <c r="W1470" s="1422">
        <f ca="1">IF(LEFT(W$6,4)&lt;=LEFT('RFM input'!$G$60,4),"enter input",IF(LEFT(W$6,4)&gt;LEFT('RFM input'!$Q$60,4),0,
IF(W$6=(OFFSET('RFM input'!$G$60,0,'RFM input'!$V$7)),OFFSET('RFM input'!$J$411,$A1467,0),0)))</f>
        <v>0</v>
      </c>
      <c r="X1470" s="152"/>
      <c r="Y1470" s="152"/>
      <c r="Z1470" s="152"/>
      <c r="AA1470" s="152"/>
      <c r="AB1470" s="152"/>
    </row>
    <row r="1471" spans="1:28" hidden="1" outlineLevel="1">
      <c r="A1471" s="235">
        <v>-1</v>
      </c>
      <c r="B1471" s="190" t="s">
        <v>195</v>
      </c>
      <c r="C1471" s="1423"/>
      <c r="D1471" s="1423">
        <f t="shared" ref="D1471" ca="1" si="2112">IF(AND(D1469=0,C1471=0),0,
IF(AND(D1469&lt;&gt;0,C1471=0),D1469,
IF(AND(D1470&lt;&gt;0,C1471&lt;&gt;0),(C1471-(C1471/C1495))+D1469,
IF(C1495&lt;1,0,(C1471-(C1471/C1495))))))</f>
        <v>0</v>
      </c>
      <c r="E1471" s="1423">
        <f t="shared" ref="E1471" ca="1" si="2113">IF(AND(E1469=0,D1471=0),0,
IF(AND(E1469&lt;&gt;0,D1471=0),E1469,
IF(AND(E1470&lt;&gt;0,D1471&lt;&gt;0),(D1471-(D1471/D1495))+E1469,
IF(D1495&lt;1,0,(D1471-(D1471/D1495))))))</f>
        <v>0</v>
      </c>
      <c r="F1471" s="1423">
        <f t="shared" ref="F1471" ca="1" si="2114">IF(AND(F1469=0,E1471=0),0,
IF(AND(F1469&lt;&gt;0,E1471=0),F1469,
IF(AND(F1470&lt;&gt;0,E1471&lt;&gt;0),(E1471-(E1471/E1495))+F1469,
IF(E1495&lt;1,0,(E1471-(E1471/E1495))))))</f>
        <v>0</v>
      </c>
      <c r="G1471" s="1423">
        <f t="shared" ref="G1471" ca="1" si="2115">IF(AND(G1469=0,F1471=0),0,
IF(AND(G1469&lt;&gt;0,F1471=0),G1469,
IF(AND(G1470&lt;&gt;0,F1471&lt;&gt;0),(F1471-(F1471/F1495))+G1469,
IF(F1495&lt;1,0,(F1471-(F1471/F1495))))))</f>
        <v>0</v>
      </c>
      <c r="H1471" s="1423">
        <f ca="1">IF(AND(H1469=0,G1471=0),0,
IF(AND(H1469&lt;&gt;0,G1471=0),H1469,
IF(AND(H1470&lt;&gt;0,G1471&lt;&gt;0),(G1471-(G1471/G1495))+H1469,
IF(G1495&lt;1,0,(G1471-(G1471/G1495))))))</f>
        <v>0</v>
      </c>
      <c r="I1471" s="1423">
        <f t="shared" ref="I1471" ca="1" si="2116">IF(AND(I1469=0,H1471=0),0,
IF(AND(I1469&lt;&gt;0,H1471=0),I1469,
IF(AND(I1470&lt;&gt;0,H1471&lt;&gt;0),(H1471-(H1471/H1495))+I1469,
IF(H1495&lt;1,0,(H1471-(H1471/H1495))))))</f>
        <v>0</v>
      </c>
      <c r="J1471" s="1423">
        <f t="shared" ref="J1471" ca="1" si="2117">IF(AND(J1469=0,I1471=0),0,
IF(AND(J1469&lt;&gt;0,I1471=0),J1469,
IF(AND(J1470&lt;&gt;0,I1471&lt;&gt;0),(I1471-(I1471/I1495))+J1469,
IF(I1495&lt;1,0,(I1471-(I1471/I1495))))))</f>
        <v>0</v>
      </c>
      <c r="K1471" s="1423">
        <f t="shared" ref="K1471" ca="1" si="2118">IF(AND(K1469=0,J1471=0),0,
IF(AND(K1469&lt;&gt;0,J1471=0),K1469,
IF(AND(K1470&lt;&gt;0,J1471&lt;&gt;0),(J1471-(J1471/J1495))+K1469,
IF(J1495&lt;1,0,(J1471-(J1471/J1495))))))</f>
        <v>0</v>
      </c>
      <c r="L1471" s="1423">
        <f t="shared" ref="L1471" ca="1" si="2119">IF(AND(L1469=0,K1471=0),0,
IF(AND(L1469&lt;&gt;0,K1471=0),L1469,
IF(AND(L1470&lt;&gt;0,K1471&lt;&gt;0),(K1471-(K1471/K1495))+L1469,
IF(K1495&lt;1,0,(K1471-(K1471/K1495))))))</f>
        <v>0</v>
      </c>
      <c r="M1471" s="1423">
        <f t="shared" ref="M1471" ca="1" si="2120">IF(AND(M1469=0,L1471=0),0,
IF(AND(M1469&lt;&gt;0,L1471=0),M1469,
IF(AND(M1470&lt;&gt;0,L1471&lt;&gt;0),(L1471-(L1471/L1495))+M1469,
IF(L1495&lt;1,0,(L1471-(L1471/L1495))))))</f>
        <v>0</v>
      </c>
      <c r="N1471" s="1423">
        <f t="shared" ref="N1471" ca="1" si="2121">IF(AND(N1469=0,M1471=0),0,
IF(AND(N1469&lt;&gt;0,M1471=0),N1469,
IF(AND(N1470&lt;&gt;0,M1471&lt;&gt;0),(M1471-(M1471/M1495))+N1469,
IF(M1495&lt;1,0,(M1471-(M1471/M1495))))))</f>
        <v>0</v>
      </c>
      <c r="O1471" s="1423">
        <f t="shared" ref="O1471" ca="1" si="2122">IF(AND(O1469=0,N1471=0),0,
IF(AND(O1469&lt;&gt;0,N1471=0),O1469,
IF(AND(O1470&lt;&gt;0,N1471&lt;&gt;0),(N1471-(N1471/N1495))+O1469,
IF(N1495&lt;1,0,(N1471-(N1471/N1495))))))</f>
        <v>0</v>
      </c>
      <c r="P1471" s="1423">
        <f t="shared" ref="P1471" ca="1" si="2123">IF(AND(P1469=0,O1471=0),0,
IF(AND(P1469&lt;&gt;0,O1471=0),P1469,
IF(AND(P1470&lt;&gt;0,O1471&lt;&gt;0),(O1471-(O1471/O1495))+P1469,
IF(O1495&lt;1,0,(O1471-(O1471/O1495))))))</f>
        <v>0</v>
      </c>
      <c r="Q1471" s="1423">
        <f t="shared" ref="Q1471" ca="1" si="2124">IF(AND(Q1469=0,P1471=0),0,
IF(AND(Q1469&lt;&gt;0,P1471=0),Q1469,
IF(AND(Q1470&lt;&gt;0,P1471&lt;&gt;0),(P1471-(P1471/P1495))+Q1469,
IF(P1495&lt;1,0,(P1471-(P1471/P1495))))))</f>
        <v>0</v>
      </c>
      <c r="R1471" s="1423">
        <f t="shared" ref="R1471" ca="1" si="2125">IF(AND(R1469=0,Q1471=0),0,
IF(AND(R1469&lt;&gt;0,Q1471=0),R1469,
IF(AND(R1470&lt;&gt;0,Q1471&lt;&gt;0),(Q1471-(Q1471/Q1495))+R1469,
IF(Q1495&lt;1,0,(Q1471-(Q1471/Q1495))))))</f>
        <v>0</v>
      </c>
      <c r="S1471" s="1423">
        <f t="shared" ref="S1471" ca="1" si="2126">IF(AND(S1469=0,R1471=0),0,
IF(AND(S1469&lt;&gt;0,R1471=0),S1469,
IF(AND(S1470&lt;&gt;0,R1471&lt;&gt;0),(R1471-(R1471/R1495))+S1469,
IF(R1495&lt;1,0,(R1471-(R1471/R1495))))))</f>
        <v>0</v>
      </c>
      <c r="T1471" s="1423">
        <f t="shared" ref="T1471" ca="1" si="2127">IF(AND(T1469=0,S1471=0),0,
IF(AND(T1469&lt;&gt;0,S1471=0),T1469,
IF(AND(T1470&lt;&gt;0,S1471&lt;&gt;0),(S1471-(S1471/S1495))+T1469,
IF(S1495&lt;1,0,(S1471-(S1471/S1495))))))</f>
        <v>0</v>
      </c>
      <c r="U1471" s="1423">
        <f t="shared" ref="U1471" ca="1" si="2128">IF(AND(U1469=0,T1471=0),0,
IF(AND(U1469&lt;&gt;0,T1471=0),U1469,
IF(AND(U1470&lt;&gt;0,T1471&lt;&gt;0),(T1471-(T1471/T1495))+U1469,
IF(T1495&lt;1,0,(T1471-(T1471/T1495))))))</f>
        <v>0</v>
      </c>
      <c r="V1471" s="1423">
        <f t="shared" ref="V1471" ca="1" si="2129">IF(AND(V1469=0,U1471=0),0,
IF(AND(V1469&lt;&gt;0,U1471=0),V1469,
IF(AND(V1470&lt;&gt;0,U1471&lt;&gt;0),(U1471-(U1471/U1495))+V1469,
IF(U1495&lt;1,0,(U1471-(U1471/U1495))))))</f>
        <v>0</v>
      </c>
      <c r="W1471" s="1423">
        <f t="shared" ref="W1471" ca="1" si="2130">IF(AND(W1469=0,V1471=0),0,
IF(AND(W1469&lt;&gt;0,V1471=0),W1469,
IF(AND(W1470&lt;&gt;0,V1471&lt;&gt;0),(V1471-(V1471/V1495))+W1469,
IF(V1495&lt;1,0,(V1471-(V1471/V1495))))))</f>
        <v>0</v>
      </c>
      <c r="X1471" s="152"/>
      <c r="Y1471" s="152"/>
      <c r="Z1471" s="152"/>
      <c r="AA1471" s="152"/>
      <c r="AB1471" s="152"/>
    </row>
    <row r="1472" spans="1:28" hidden="1" outlineLevel="1">
      <c r="A1472" s="199">
        <f>A1471+1</f>
        <v>0</v>
      </c>
      <c r="B1472" s="190" t="s">
        <v>527</v>
      </c>
      <c r="C1472" s="1423">
        <f ca="1">C1467</f>
        <v>0</v>
      </c>
      <c r="D1472" s="1423">
        <f ca="1">IF(C1496="n/a",C1472,IFERROR(IF((OFFSET($C1472,0,$A1472))&lt;0,
MIN(0,C1472-(OFFSET($C1472,0,$A1472)/(OFFSET($C1467,-$A1471,$A1472)))),
MAX(0,C1472-(OFFSET($C1472,0,$A1472)/(OFFSET($C1467,-$A1471,$A1472))))),0))</f>
        <v>0</v>
      </c>
      <c r="E1472" s="1423">
        <f t="shared" ref="E1472" ca="1" si="2131">IF(D1496="n/a",D1472,IFERROR(IF((OFFSET($C1472,0,$A1472))&lt;0,
MIN(0,D1472-(OFFSET($C1472,0,$A1472)/(OFFSET($C1467,-$A1471,$A1472)))),
MAX(0,D1472-(OFFSET($C1472,0,$A1472)/(OFFSET($C1467,-$A1471,$A1472))))),0))</f>
        <v>0</v>
      </c>
      <c r="F1472" s="1423">
        <f t="shared" ref="F1472:F1473" ca="1" si="2132">IF(E1496="n/a",E1472,IFERROR(IF((OFFSET($C1472,0,$A1472))&lt;0,
MIN(0,E1472-(OFFSET($C1472,0,$A1472)/(OFFSET($C1467,-$A1471,$A1472)))),
MAX(0,E1472-(OFFSET($C1472,0,$A1472)/(OFFSET($C1467,-$A1471,$A1472))))),0))</f>
        <v>0</v>
      </c>
      <c r="G1472" s="1423">
        <f t="shared" ref="G1472:G1474" ca="1" si="2133">IF(F1496="n/a",F1472,IFERROR(IF((OFFSET($C1472,0,$A1472))&lt;0,
MIN(0,F1472-(OFFSET($C1472,0,$A1472)/(OFFSET($C1467,-$A1471,$A1472)))),
MAX(0,F1472-(OFFSET($C1472,0,$A1472)/(OFFSET($C1467,-$A1471,$A1472))))),0))</f>
        <v>0</v>
      </c>
      <c r="H1472" s="1423">
        <f t="shared" ref="H1472:H1475" ca="1" si="2134">IF(G1496="n/a",G1472,IFERROR(IF((OFFSET($C1472,0,$A1472))&lt;0,
MIN(0,G1472-(OFFSET($C1472,0,$A1472)/(OFFSET($C1467,-$A1471,$A1472)))),
MAX(0,G1472-(OFFSET($C1472,0,$A1472)/(OFFSET($C1467,-$A1471,$A1472))))),0))</f>
        <v>0</v>
      </c>
      <c r="I1472" s="1423">
        <f t="shared" ref="I1472:I1476" ca="1" si="2135">IF(H1496="n/a",H1472,IFERROR(IF((OFFSET($C1472,0,$A1472))&lt;0,
MIN(0,H1472-(OFFSET($C1472,0,$A1472)/(OFFSET($C1467,-$A1471,$A1472)))),
MAX(0,H1472-(OFFSET($C1472,0,$A1472)/(OFFSET($C1467,-$A1471,$A1472))))),0))</f>
        <v>0</v>
      </c>
      <c r="J1472" s="1423">
        <f t="shared" ref="J1472:J1477" ca="1" si="2136">IF(I1496="n/a",I1472,IFERROR(IF((OFFSET($C1472,0,$A1472))&lt;0,
MIN(0,I1472-(OFFSET($C1472,0,$A1472)/(OFFSET($C1467,-$A1471,$A1472)))),
MAX(0,I1472-(OFFSET($C1472,0,$A1472)/(OFFSET($C1467,-$A1471,$A1472))))),0))</f>
        <v>0</v>
      </c>
      <c r="K1472" s="1423">
        <f t="shared" ref="K1472:K1478" ca="1" si="2137">IF(J1496="n/a",J1472,IFERROR(IF((OFFSET($C1472,0,$A1472))&lt;0,
MIN(0,J1472-(OFFSET($C1472,0,$A1472)/(OFFSET($C1467,-$A1471,$A1472)))),
MAX(0,J1472-(OFFSET($C1472,0,$A1472)/(OFFSET($C1467,-$A1471,$A1472))))),0))</f>
        <v>0</v>
      </c>
      <c r="L1472" s="1423">
        <f t="shared" ref="L1472:L1479" ca="1" si="2138">IF(K1496="n/a",K1472,IFERROR(IF((OFFSET($C1472,0,$A1472))&lt;0,
MIN(0,K1472-(OFFSET($C1472,0,$A1472)/(OFFSET($C1467,-$A1471,$A1472)))),
MAX(0,K1472-(OFFSET($C1472,0,$A1472)/(OFFSET($C1467,-$A1471,$A1472))))),0))</f>
        <v>0</v>
      </c>
      <c r="M1472" s="1423">
        <f t="shared" ref="M1472:M1480" ca="1" si="2139">IF(L1496="n/a",L1472,IFERROR(IF((OFFSET($C1472,0,$A1472))&lt;0,
MIN(0,L1472-(OFFSET($C1472,0,$A1472)/(OFFSET($C1467,-$A1471,$A1472)))),
MAX(0,L1472-(OFFSET($C1472,0,$A1472)/(OFFSET($C1467,-$A1471,$A1472))))),0))</f>
        <v>0</v>
      </c>
      <c r="N1472" s="1423">
        <f t="shared" ref="N1472:N1481" ca="1" si="2140">IF(M1496="n/a",M1472,IFERROR(IF((OFFSET($C1472,0,$A1472))&lt;0,
MIN(0,M1472-(OFFSET($C1472,0,$A1472)/(OFFSET($C1467,-$A1471,$A1472)))),
MAX(0,M1472-(OFFSET($C1472,0,$A1472)/(OFFSET($C1467,-$A1471,$A1472))))),0))</f>
        <v>0</v>
      </c>
      <c r="O1472" s="1423">
        <f t="shared" ref="O1472:O1482" ca="1" si="2141">IF(N1496="n/a",N1472,IFERROR(IF((OFFSET($C1472,0,$A1472))&lt;0,
MIN(0,N1472-(OFFSET($C1472,0,$A1472)/(OFFSET($C1467,-$A1471,$A1472)))),
MAX(0,N1472-(OFFSET($C1472,0,$A1472)/(OFFSET($C1467,-$A1471,$A1472))))),0))</f>
        <v>0</v>
      </c>
      <c r="P1472" s="1423">
        <f t="shared" ref="P1472:P1483" ca="1" si="2142">IF(O1496="n/a",O1472,IFERROR(IF((OFFSET($C1472,0,$A1472))&lt;0,
MIN(0,O1472-(OFFSET($C1472,0,$A1472)/(OFFSET($C1467,-$A1471,$A1472)))),
MAX(0,O1472-(OFFSET($C1472,0,$A1472)/(OFFSET($C1467,-$A1471,$A1472))))),0))</f>
        <v>0</v>
      </c>
      <c r="Q1472" s="1423">
        <f t="shared" ref="Q1472:Q1484" ca="1" si="2143">IF(P1496="n/a",P1472,IFERROR(IF((OFFSET($C1472,0,$A1472))&lt;0,
MIN(0,P1472-(OFFSET($C1472,0,$A1472)/(OFFSET($C1467,-$A1471,$A1472)))),
MAX(0,P1472-(OFFSET($C1472,0,$A1472)/(OFFSET($C1467,-$A1471,$A1472))))),0))</f>
        <v>0</v>
      </c>
      <c r="R1472" s="1423">
        <f t="shared" ref="R1472:R1485" ca="1" si="2144">IF(Q1496="n/a",Q1472,IFERROR(IF((OFFSET($C1472,0,$A1472))&lt;0,
MIN(0,Q1472-(OFFSET($C1472,0,$A1472)/(OFFSET($C1467,-$A1471,$A1472)))),
MAX(0,Q1472-(OFFSET($C1472,0,$A1472)/(OFFSET($C1467,-$A1471,$A1472))))),0))</f>
        <v>0</v>
      </c>
      <c r="S1472" s="1423">
        <f t="shared" ref="S1472:S1486" ca="1" si="2145">IF(R1496="n/a",R1472,IFERROR(IF((OFFSET($C1472,0,$A1472))&lt;0,
MIN(0,R1472-(OFFSET($C1472,0,$A1472)/(OFFSET($C1467,-$A1471,$A1472)))),
MAX(0,R1472-(OFFSET($C1472,0,$A1472)/(OFFSET($C1467,-$A1471,$A1472))))),0))</f>
        <v>0</v>
      </c>
      <c r="T1472" s="1423">
        <f t="shared" ref="T1472:T1487" ca="1" si="2146">IF(S1496="n/a",S1472,IFERROR(IF((OFFSET($C1472,0,$A1472))&lt;0,
MIN(0,S1472-(OFFSET($C1472,0,$A1472)/(OFFSET($C1467,-$A1471,$A1472)))),
MAX(0,S1472-(OFFSET($C1472,0,$A1472)/(OFFSET($C1467,-$A1471,$A1472))))),0))</f>
        <v>0</v>
      </c>
      <c r="U1472" s="1423">
        <f t="shared" ref="U1472:U1488" ca="1" si="2147">IF(T1496="n/a",T1472,IFERROR(IF((OFFSET($C1472,0,$A1472))&lt;0,
MIN(0,T1472-(OFFSET($C1472,0,$A1472)/(OFFSET($C1467,-$A1471,$A1472)))),
MAX(0,T1472-(OFFSET($C1472,0,$A1472)/(OFFSET($C1467,-$A1471,$A1472))))),0))</f>
        <v>0</v>
      </c>
      <c r="V1472" s="1423">
        <f t="shared" ref="V1472:V1489" ca="1" si="2148">IF(U1496="n/a",U1472,IFERROR(IF((OFFSET($C1472,0,$A1472))&lt;0,
MIN(0,U1472-(OFFSET($C1472,0,$A1472)/(OFFSET($C1467,-$A1471,$A1472)))),
MAX(0,U1472-(OFFSET($C1472,0,$A1472)/(OFFSET($C1467,-$A1471,$A1472))))),0))</f>
        <v>0</v>
      </c>
      <c r="W1472" s="1423">
        <f t="shared" ref="W1472:W1490" ca="1" si="2149">IF(V1496="n/a",V1472,IFERROR(IF((OFFSET($C1472,0,$A1472))&lt;0,
MIN(0,V1472-(OFFSET($C1472,0,$A1472)/(OFFSET($C1467,-$A1471,$A1472)))),
MAX(0,V1472-(OFFSET($C1472,0,$A1472)/(OFFSET($C1467,-$A1471,$A1472))))),0))</f>
        <v>0</v>
      </c>
      <c r="X1472" s="152"/>
      <c r="Y1472" s="152"/>
      <c r="Z1472" s="152"/>
      <c r="AA1472" s="152"/>
      <c r="AB1472" s="152"/>
    </row>
    <row r="1473" spans="1:28" hidden="1" outlineLevel="1">
      <c r="A1473" s="199">
        <f t="shared" ref="A1473:A1492" si="2150">A1472+1</f>
        <v>1</v>
      </c>
      <c r="B1473" s="190" t="str">
        <f t="shared" ref="B1473:B1492" ca="1" si="2151">"Depreciated Net Capex "&amp;OFFSET($C$6,0,A1473)</f>
        <v>Depreciated Net Capex 2016-17</v>
      </c>
      <c r="C1473" s="1424"/>
      <c r="D1473" s="1425">
        <f>D1467</f>
        <v>0</v>
      </c>
      <c r="E1473" s="1423">
        <f ca="1">IF(D1497="n/a",D1473,IFERROR(IF((OFFSET($C1473,0,$A1473))&lt;0,
MIN(0,D1473-(OFFSET($C1473,0,$A1473)/(OFFSET($C1468,-$A1472,$A1473)))),
MAX(0,D1473-(OFFSET($C1473,0,$A1473)/(OFFSET($C1468,-$A1472,$A1473))))),0))</f>
        <v>0</v>
      </c>
      <c r="F1473" s="1423">
        <f t="shared" ca="1" si="2132"/>
        <v>0</v>
      </c>
      <c r="G1473" s="1423">
        <f t="shared" ca="1" si="2133"/>
        <v>0</v>
      </c>
      <c r="H1473" s="1423">
        <f t="shared" ca="1" si="2134"/>
        <v>0</v>
      </c>
      <c r="I1473" s="1423">
        <f t="shared" ca="1" si="2135"/>
        <v>0</v>
      </c>
      <c r="J1473" s="1423">
        <f t="shared" ca="1" si="2136"/>
        <v>0</v>
      </c>
      <c r="K1473" s="1423">
        <f t="shared" ca="1" si="2137"/>
        <v>0</v>
      </c>
      <c r="L1473" s="1423">
        <f t="shared" ca="1" si="2138"/>
        <v>0</v>
      </c>
      <c r="M1473" s="1423">
        <f t="shared" ca="1" si="2139"/>
        <v>0</v>
      </c>
      <c r="N1473" s="1423">
        <f t="shared" ca="1" si="2140"/>
        <v>0</v>
      </c>
      <c r="O1473" s="1423">
        <f t="shared" ca="1" si="2141"/>
        <v>0</v>
      </c>
      <c r="P1473" s="1423">
        <f t="shared" ca="1" si="2142"/>
        <v>0</v>
      </c>
      <c r="Q1473" s="1423">
        <f t="shared" ca="1" si="2143"/>
        <v>0</v>
      </c>
      <c r="R1473" s="1423">
        <f t="shared" ca="1" si="2144"/>
        <v>0</v>
      </c>
      <c r="S1473" s="1423">
        <f t="shared" ca="1" si="2145"/>
        <v>0</v>
      </c>
      <c r="T1473" s="1423">
        <f t="shared" ca="1" si="2146"/>
        <v>0</v>
      </c>
      <c r="U1473" s="1423">
        <f t="shared" ca="1" si="2147"/>
        <v>0</v>
      </c>
      <c r="V1473" s="1423">
        <f t="shared" ca="1" si="2148"/>
        <v>0</v>
      </c>
      <c r="W1473" s="1423">
        <f t="shared" ca="1" si="2149"/>
        <v>0</v>
      </c>
      <c r="X1473" s="152"/>
      <c r="Y1473" s="152"/>
      <c r="Z1473" s="152"/>
      <c r="AA1473" s="152"/>
      <c r="AB1473" s="152"/>
    </row>
    <row r="1474" spans="1:28" hidden="1" outlineLevel="1">
      <c r="A1474" s="199">
        <f t="shared" si="2150"/>
        <v>2</v>
      </c>
      <c r="B1474" s="190" t="str">
        <f t="shared" ca="1" si="2151"/>
        <v>Depreciated Net Capex 2017-18</v>
      </c>
      <c r="C1474" s="1426"/>
      <c r="D1474" s="1427"/>
      <c r="E1474" s="1425">
        <f>E1467</f>
        <v>0</v>
      </c>
      <c r="F1474" s="1423">
        <f ca="1">IF(E1498="n/a",E1474,IFERROR(IF((OFFSET($C1474,0,$A1474))&lt;0,
MIN(0,E1474-(OFFSET($C1474,0,$A1474)/(OFFSET($C1469,-$A1473,$A1474)))),
MAX(0,E1474-(OFFSET($C1474,0,$A1474)/(OFFSET($C1469,-$A1473,$A1474))))),0))</f>
        <v>0</v>
      </c>
      <c r="G1474" s="1423">
        <f t="shared" ca="1" si="2133"/>
        <v>0</v>
      </c>
      <c r="H1474" s="1423">
        <f t="shared" ca="1" si="2134"/>
        <v>0</v>
      </c>
      <c r="I1474" s="1423">
        <f t="shared" ca="1" si="2135"/>
        <v>0</v>
      </c>
      <c r="J1474" s="1423">
        <f t="shared" ca="1" si="2136"/>
        <v>0</v>
      </c>
      <c r="K1474" s="1423">
        <f t="shared" ca="1" si="2137"/>
        <v>0</v>
      </c>
      <c r="L1474" s="1423">
        <f t="shared" ca="1" si="2138"/>
        <v>0</v>
      </c>
      <c r="M1474" s="1423">
        <f t="shared" ca="1" si="2139"/>
        <v>0</v>
      </c>
      <c r="N1474" s="1423">
        <f t="shared" ca="1" si="2140"/>
        <v>0</v>
      </c>
      <c r="O1474" s="1423">
        <f t="shared" ca="1" si="2141"/>
        <v>0</v>
      </c>
      <c r="P1474" s="1423">
        <f t="shared" ca="1" si="2142"/>
        <v>0</v>
      </c>
      <c r="Q1474" s="1423">
        <f t="shared" ca="1" si="2143"/>
        <v>0</v>
      </c>
      <c r="R1474" s="1423">
        <f t="shared" ca="1" si="2144"/>
        <v>0</v>
      </c>
      <c r="S1474" s="1423">
        <f t="shared" ca="1" si="2145"/>
        <v>0</v>
      </c>
      <c r="T1474" s="1423">
        <f t="shared" ca="1" si="2146"/>
        <v>0</v>
      </c>
      <c r="U1474" s="1423">
        <f t="shared" ca="1" si="2147"/>
        <v>0</v>
      </c>
      <c r="V1474" s="1423">
        <f t="shared" ca="1" si="2148"/>
        <v>0</v>
      </c>
      <c r="W1474" s="1423">
        <f t="shared" ca="1" si="2149"/>
        <v>0</v>
      </c>
      <c r="X1474" s="202"/>
      <c r="Y1474" s="152"/>
      <c r="Z1474" s="152"/>
      <c r="AA1474" s="152"/>
      <c r="AB1474" s="152"/>
    </row>
    <row r="1475" spans="1:28" hidden="1" outlineLevel="1">
      <c r="A1475" s="199">
        <f t="shared" si="2150"/>
        <v>3</v>
      </c>
      <c r="B1475" s="190" t="str">
        <f t="shared" ca="1" si="2151"/>
        <v>Depreciated Net Capex 2018-19</v>
      </c>
      <c r="C1475" s="1426"/>
      <c r="D1475" s="1426"/>
      <c r="E1475" s="1427"/>
      <c r="F1475" s="1428">
        <f>F1467</f>
        <v>0</v>
      </c>
      <c r="G1475" s="1423">
        <f ca="1">IF(F1499="n/a",F1475,IFERROR(IF((OFFSET($C1475,0,$A1475))&lt;0,
MIN(0,F1475-(OFFSET($C1475,0,$A1475)/(OFFSET($C1470,-$A1474,$A1475)))),
MAX(0,F1475-(OFFSET($C1475,0,$A1475)/(OFFSET($C1470,-$A1474,$A1475))))),0))</f>
        <v>0</v>
      </c>
      <c r="H1475" s="1423">
        <f t="shared" ca="1" si="2134"/>
        <v>0</v>
      </c>
      <c r="I1475" s="1423">
        <f t="shared" ca="1" si="2135"/>
        <v>0</v>
      </c>
      <c r="J1475" s="1423">
        <f t="shared" ca="1" si="2136"/>
        <v>0</v>
      </c>
      <c r="K1475" s="1423">
        <f t="shared" ca="1" si="2137"/>
        <v>0</v>
      </c>
      <c r="L1475" s="1423">
        <f t="shared" ca="1" si="2138"/>
        <v>0</v>
      </c>
      <c r="M1475" s="1423">
        <f t="shared" ca="1" si="2139"/>
        <v>0</v>
      </c>
      <c r="N1475" s="1423">
        <f t="shared" ca="1" si="2140"/>
        <v>0</v>
      </c>
      <c r="O1475" s="1423">
        <f t="shared" ca="1" si="2141"/>
        <v>0</v>
      </c>
      <c r="P1475" s="1423">
        <f t="shared" ca="1" si="2142"/>
        <v>0</v>
      </c>
      <c r="Q1475" s="1423">
        <f t="shared" ca="1" si="2143"/>
        <v>0</v>
      </c>
      <c r="R1475" s="1423">
        <f t="shared" ca="1" si="2144"/>
        <v>0</v>
      </c>
      <c r="S1475" s="1423">
        <f t="shared" ca="1" si="2145"/>
        <v>0</v>
      </c>
      <c r="T1475" s="1423">
        <f t="shared" ca="1" si="2146"/>
        <v>0</v>
      </c>
      <c r="U1475" s="1423">
        <f t="shared" ca="1" si="2147"/>
        <v>0</v>
      </c>
      <c r="V1475" s="1423">
        <f t="shared" ca="1" si="2148"/>
        <v>0</v>
      </c>
      <c r="W1475" s="1423">
        <f t="shared" ca="1" si="2149"/>
        <v>0</v>
      </c>
      <c r="X1475" s="202"/>
      <c r="Y1475" s="202"/>
      <c r="Z1475" s="152"/>
      <c r="AA1475" s="152"/>
      <c r="AB1475" s="152"/>
    </row>
    <row r="1476" spans="1:28" hidden="1" outlineLevel="1">
      <c r="A1476" s="199">
        <f t="shared" si="2150"/>
        <v>4</v>
      </c>
      <c r="B1476" s="190" t="str">
        <f t="shared" ca="1" si="2151"/>
        <v>Depreciated Net Capex 2019-20</v>
      </c>
      <c r="C1476" s="1426"/>
      <c r="D1476" s="1426"/>
      <c r="E1476" s="1426"/>
      <c r="F1476" s="1427"/>
      <c r="G1476" s="1428">
        <f>G1467</f>
        <v>0</v>
      </c>
      <c r="H1476" s="1423">
        <f ca="1">IF(G1500="n/a",G1476,IFERROR(IF((OFFSET($C1476,0,$A1476))&lt;0,
MIN(0,G1476-(OFFSET($C1476,0,$A1476)/(OFFSET($C1471,-$A1475,$A1476)))),
MAX(0,G1476-(OFFSET($C1476,0,$A1476)/(OFFSET($C1471,-$A1475,$A1476))))),0))</f>
        <v>0</v>
      </c>
      <c r="I1476" s="1423">
        <f t="shared" ca="1" si="2135"/>
        <v>0</v>
      </c>
      <c r="J1476" s="1423">
        <f t="shared" ca="1" si="2136"/>
        <v>0</v>
      </c>
      <c r="K1476" s="1423">
        <f t="shared" ca="1" si="2137"/>
        <v>0</v>
      </c>
      <c r="L1476" s="1423">
        <f t="shared" ca="1" si="2138"/>
        <v>0</v>
      </c>
      <c r="M1476" s="1423">
        <f t="shared" ca="1" si="2139"/>
        <v>0</v>
      </c>
      <c r="N1476" s="1423">
        <f t="shared" ca="1" si="2140"/>
        <v>0</v>
      </c>
      <c r="O1476" s="1423">
        <f t="shared" ca="1" si="2141"/>
        <v>0</v>
      </c>
      <c r="P1476" s="1423">
        <f t="shared" ca="1" si="2142"/>
        <v>0</v>
      </c>
      <c r="Q1476" s="1423">
        <f t="shared" ca="1" si="2143"/>
        <v>0</v>
      </c>
      <c r="R1476" s="1423">
        <f t="shared" ca="1" si="2144"/>
        <v>0</v>
      </c>
      <c r="S1476" s="1423">
        <f t="shared" ca="1" si="2145"/>
        <v>0</v>
      </c>
      <c r="T1476" s="1423">
        <f t="shared" ca="1" si="2146"/>
        <v>0</v>
      </c>
      <c r="U1476" s="1423">
        <f t="shared" ca="1" si="2147"/>
        <v>0</v>
      </c>
      <c r="V1476" s="1423">
        <f t="shared" ca="1" si="2148"/>
        <v>0</v>
      </c>
      <c r="W1476" s="1423">
        <f t="shared" ca="1" si="2149"/>
        <v>0</v>
      </c>
      <c r="X1476" s="202"/>
      <c r="Y1476" s="202"/>
      <c r="Z1476" s="202"/>
      <c r="AA1476" s="152"/>
      <c r="AB1476" s="152"/>
    </row>
    <row r="1477" spans="1:28" hidden="1" outlineLevel="1">
      <c r="A1477" s="199">
        <f t="shared" si="2150"/>
        <v>5</v>
      </c>
      <c r="B1477" s="190" t="str">
        <f t="shared" ca="1" si="2151"/>
        <v>Depreciated Net Capex 2020-21</v>
      </c>
      <c r="C1477" s="1426"/>
      <c r="D1477" s="1426"/>
      <c r="E1477" s="1426"/>
      <c r="F1477" s="1426"/>
      <c r="G1477" s="1427"/>
      <c r="H1477" s="1428">
        <f>H1467</f>
        <v>0</v>
      </c>
      <c r="I1477" s="1423">
        <f ca="1">IF(H1501="n/a",H1477,IFERROR(IF((OFFSET($C1477,0,$A1477))&lt;0,
MIN(0,H1477-(OFFSET($C1477,0,$A1477)/(OFFSET($C1472,-$A1476,$A1477)))),
MAX(0,H1477-(OFFSET($C1477,0,$A1477)/(OFFSET($C1472,-$A1476,$A1477))))),0))</f>
        <v>0</v>
      </c>
      <c r="J1477" s="1423">
        <f t="shared" ca="1" si="2136"/>
        <v>0</v>
      </c>
      <c r="K1477" s="1423">
        <f t="shared" ca="1" si="2137"/>
        <v>0</v>
      </c>
      <c r="L1477" s="1423">
        <f t="shared" ca="1" si="2138"/>
        <v>0</v>
      </c>
      <c r="M1477" s="1423">
        <f t="shared" ca="1" si="2139"/>
        <v>0</v>
      </c>
      <c r="N1477" s="1423">
        <f t="shared" ca="1" si="2140"/>
        <v>0</v>
      </c>
      <c r="O1477" s="1423">
        <f t="shared" ca="1" si="2141"/>
        <v>0</v>
      </c>
      <c r="P1477" s="1423">
        <f t="shared" ca="1" si="2142"/>
        <v>0</v>
      </c>
      <c r="Q1477" s="1423">
        <f t="shared" ca="1" si="2143"/>
        <v>0</v>
      </c>
      <c r="R1477" s="1423">
        <f t="shared" ca="1" si="2144"/>
        <v>0</v>
      </c>
      <c r="S1477" s="1423">
        <f t="shared" ca="1" si="2145"/>
        <v>0</v>
      </c>
      <c r="T1477" s="1423">
        <f t="shared" ca="1" si="2146"/>
        <v>0</v>
      </c>
      <c r="U1477" s="1423">
        <f t="shared" ca="1" si="2147"/>
        <v>0</v>
      </c>
      <c r="V1477" s="1423">
        <f t="shared" ca="1" si="2148"/>
        <v>0</v>
      </c>
      <c r="W1477" s="1423">
        <f t="shared" ca="1" si="2149"/>
        <v>0</v>
      </c>
      <c r="X1477" s="202"/>
      <c r="Y1477" s="202"/>
      <c r="Z1477" s="202"/>
      <c r="AA1477" s="152"/>
      <c r="AB1477" s="152"/>
    </row>
    <row r="1478" spans="1:28" hidden="1" outlineLevel="1">
      <c r="A1478" s="199">
        <f t="shared" si="2150"/>
        <v>6</v>
      </c>
      <c r="B1478" s="190" t="str">
        <f t="shared" ca="1" si="2151"/>
        <v>Depreciated Net Capex 2021-22</v>
      </c>
      <c r="C1478" s="1426"/>
      <c r="D1478" s="1426"/>
      <c r="E1478" s="1426"/>
      <c r="F1478" s="1426"/>
      <c r="G1478" s="1426"/>
      <c r="H1478" s="1427"/>
      <c r="I1478" s="1428">
        <f>I1467</f>
        <v>0</v>
      </c>
      <c r="J1478" s="1423">
        <f ca="1">IF(I1502="n/a",I1478,IFERROR(IF((OFFSET($C1478,0,$A1478))&lt;0,
MIN(0,I1478-(OFFSET($C1478,0,$A1478)/(OFFSET($C1473,-$A1477,$A1478)))),
MAX(0,I1478-(OFFSET($C1478,0,$A1478)/(OFFSET($C1473,-$A1477,$A1478))))),0))</f>
        <v>0</v>
      </c>
      <c r="K1478" s="1423">
        <f t="shared" ca="1" si="2137"/>
        <v>0</v>
      </c>
      <c r="L1478" s="1423">
        <f t="shared" ca="1" si="2138"/>
        <v>0</v>
      </c>
      <c r="M1478" s="1423">
        <f t="shared" ca="1" si="2139"/>
        <v>0</v>
      </c>
      <c r="N1478" s="1423">
        <f t="shared" ca="1" si="2140"/>
        <v>0</v>
      </c>
      <c r="O1478" s="1423">
        <f t="shared" ca="1" si="2141"/>
        <v>0</v>
      </c>
      <c r="P1478" s="1423">
        <f t="shared" ca="1" si="2142"/>
        <v>0</v>
      </c>
      <c r="Q1478" s="1423">
        <f t="shared" ca="1" si="2143"/>
        <v>0</v>
      </c>
      <c r="R1478" s="1423">
        <f t="shared" ca="1" si="2144"/>
        <v>0</v>
      </c>
      <c r="S1478" s="1423">
        <f t="shared" ca="1" si="2145"/>
        <v>0</v>
      </c>
      <c r="T1478" s="1423">
        <f t="shared" ca="1" si="2146"/>
        <v>0</v>
      </c>
      <c r="U1478" s="1423">
        <f t="shared" ca="1" si="2147"/>
        <v>0</v>
      </c>
      <c r="V1478" s="1423">
        <f t="shared" ca="1" si="2148"/>
        <v>0</v>
      </c>
      <c r="W1478" s="1423">
        <f t="shared" ca="1" si="2149"/>
        <v>0</v>
      </c>
      <c r="X1478" s="202"/>
      <c r="Y1478" s="202"/>
      <c r="Z1478" s="202"/>
      <c r="AA1478" s="152"/>
      <c r="AB1478" s="152"/>
    </row>
    <row r="1479" spans="1:28" hidden="1" outlineLevel="1">
      <c r="A1479" s="199">
        <f t="shared" si="2150"/>
        <v>7</v>
      </c>
      <c r="B1479" s="190" t="str">
        <f t="shared" ca="1" si="2151"/>
        <v>Depreciated Net Capex 2022-23</v>
      </c>
      <c r="C1479" s="1426"/>
      <c r="D1479" s="1426"/>
      <c r="E1479" s="1426"/>
      <c r="F1479" s="1426"/>
      <c r="G1479" s="1426"/>
      <c r="H1479" s="1426"/>
      <c r="I1479" s="1427"/>
      <c r="J1479" s="1428">
        <f>J1467</f>
        <v>0</v>
      </c>
      <c r="K1479" s="1423">
        <f ca="1">IF(J1503="n/a",J1479,IFERROR(IF((OFFSET($C1479,0,$A1479))&lt;0,
MIN(0,J1479-(OFFSET($C1479,0,$A1479)/(OFFSET($C1474,-$A1478,$A1479)))),
MAX(0,J1479-(OFFSET($C1479,0,$A1479)/(OFFSET($C1474,-$A1478,$A1479))))),0))</f>
        <v>0</v>
      </c>
      <c r="L1479" s="1423">
        <f t="shared" ca="1" si="2138"/>
        <v>0</v>
      </c>
      <c r="M1479" s="1423">
        <f t="shared" ca="1" si="2139"/>
        <v>0</v>
      </c>
      <c r="N1479" s="1423">
        <f t="shared" ca="1" si="2140"/>
        <v>0</v>
      </c>
      <c r="O1479" s="1423">
        <f t="shared" ca="1" si="2141"/>
        <v>0</v>
      </c>
      <c r="P1479" s="1423">
        <f t="shared" ca="1" si="2142"/>
        <v>0</v>
      </c>
      <c r="Q1479" s="1423">
        <f t="shared" ca="1" si="2143"/>
        <v>0</v>
      </c>
      <c r="R1479" s="1423">
        <f t="shared" ca="1" si="2144"/>
        <v>0</v>
      </c>
      <c r="S1479" s="1423">
        <f t="shared" ca="1" si="2145"/>
        <v>0</v>
      </c>
      <c r="T1479" s="1423">
        <f t="shared" ca="1" si="2146"/>
        <v>0</v>
      </c>
      <c r="U1479" s="1423">
        <f t="shared" ca="1" si="2147"/>
        <v>0</v>
      </c>
      <c r="V1479" s="1423">
        <f t="shared" ca="1" si="2148"/>
        <v>0</v>
      </c>
      <c r="W1479" s="1423">
        <f t="shared" ca="1" si="2149"/>
        <v>0</v>
      </c>
      <c r="X1479" s="202"/>
      <c r="Y1479" s="202"/>
      <c r="Z1479" s="202"/>
      <c r="AA1479" s="152"/>
      <c r="AB1479" s="152"/>
    </row>
    <row r="1480" spans="1:28" hidden="1" outlineLevel="1">
      <c r="A1480" s="199">
        <f t="shared" si="2150"/>
        <v>8</v>
      </c>
      <c r="B1480" s="190" t="str">
        <f t="shared" ca="1" si="2151"/>
        <v>Depreciated Net Capex 2023-24</v>
      </c>
      <c r="C1480" s="1426"/>
      <c r="D1480" s="1426"/>
      <c r="E1480" s="1426"/>
      <c r="F1480" s="1426"/>
      <c r="G1480" s="1426"/>
      <c r="H1480" s="1426"/>
      <c r="I1480" s="1426"/>
      <c r="J1480" s="1427"/>
      <c r="K1480" s="1428">
        <f>K1467</f>
        <v>0</v>
      </c>
      <c r="L1480" s="1423">
        <f ca="1">IF(K1504="n/a",K1480,IFERROR(IF((OFFSET($C1480,0,$A1480))&lt;0,
MIN(0,K1480-(OFFSET($C1480,0,$A1480)/(OFFSET($C1475,-$A1479,$A1480)))),
MAX(0,K1480-(OFFSET($C1480,0,$A1480)/(OFFSET($C1475,-$A1479,$A1480))))),0))</f>
        <v>0</v>
      </c>
      <c r="M1480" s="1423">
        <f t="shared" ca="1" si="2139"/>
        <v>0</v>
      </c>
      <c r="N1480" s="1423">
        <f t="shared" ca="1" si="2140"/>
        <v>0</v>
      </c>
      <c r="O1480" s="1423">
        <f t="shared" ca="1" si="2141"/>
        <v>0</v>
      </c>
      <c r="P1480" s="1423">
        <f t="shared" ca="1" si="2142"/>
        <v>0</v>
      </c>
      <c r="Q1480" s="1423">
        <f t="shared" ca="1" si="2143"/>
        <v>0</v>
      </c>
      <c r="R1480" s="1423">
        <f t="shared" ca="1" si="2144"/>
        <v>0</v>
      </c>
      <c r="S1480" s="1423">
        <f t="shared" ca="1" si="2145"/>
        <v>0</v>
      </c>
      <c r="T1480" s="1423">
        <f t="shared" ca="1" si="2146"/>
        <v>0</v>
      </c>
      <c r="U1480" s="1423">
        <f t="shared" ca="1" si="2147"/>
        <v>0</v>
      </c>
      <c r="V1480" s="1423">
        <f t="shared" ca="1" si="2148"/>
        <v>0</v>
      </c>
      <c r="W1480" s="1423">
        <f t="shared" ca="1" si="2149"/>
        <v>0</v>
      </c>
      <c r="X1480" s="202"/>
      <c r="Y1480" s="202"/>
      <c r="Z1480" s="202"/>
      <c r="AA1480" s="152"/>
      <c r="AB1480" s="152"/>
    </row>
    <row r="1481" spans="1:28" hidden="1" outlineLevel="1">
      <c r="A1481" s="199">
        <f t="shared" si="2150"/>
        <v>9</v>
      </c>
      <c r="B1481" s="190" t="str">
        <f t="shared" ca="1" si="2151"/>
        <v>Depreciated Net Capex 2024-25</v>
      </c>
      <c r="C1481" s="1426"/>
      <c r="D1481" s="1426"/>
      <c r="E1481" s="1426"/>
      <c r="F1481" s="1426"/>
      <c r="G1481" s="1426"/>
      <c r="H1481" s="1426"/>
      <c r="I1481" s="1426"/>
      <c r="J1481" s="1426"/>
      <c r="K1481" s="1427"/>
      <c r="L1481" s="1428">
        <f>L1467</f>
        <v>0</v>
      </c>
      <c r="M1481" s="1423">
        <f ca="1">IF(L1505="n/a",L1481,IFERROR(IF((OFFSET($C1481,0,$A1481))&lt;0,
MIN(0,L1481-(OFFSET($C1481,0,$A1481)/(OFFSET($C1476,-$A1480,$A1481)))),
MAX(0,L1481-(OFFSET($C1481,0,$A1481)/(OFFSET($C1476,-$A1480,$A1481))))),0))</f>
        <v>0</v>
      </c>
      <c r="N1481" s="1423">
        <f t="shared" ca="1" si="2140"/>
        <v>0</v>
      </c>
      <c r="O1481" s="1423">
        <f t="shared" ca="1" si="2141"/>
        <v>0</v>
      </c>
      <c r="P1481" s="1423">
        <f t="shared" ca="1" si="2142"/>
        <v>0</v>
      </c>
      <c r="Q1481" s="1423">
        <f t="shared" ca="1" si="2143"/>
        <v>0</v>
      </c>
      <c r="R1481" s="1423">
        <f t="shared" ca="1" si="2144"/>
        <v>0</v>
      </c>
      <c r="S1481" s="1423">
        <f t="shared" ca="1" si="2145"/>
        <v>0</v>
      </c>
      <c r="T1481" s="1423">
        <f t="shared" ca="1" si="2146"/>
        <v>0</v>
      </c>
      <c r="U1481" s="1423">
        <f t="shared" ca="1" si="2147"/>
        <v>0</v>
      </c>
      <c r="V1481" s="1423">
        <f t="shared" ca="1" si="2148"/>
        <v>0</v>
      </c>
      <c r="W1481" s="1423">
        <f t="shared" ca="1" si="2149"/>
        <v>0</v>
      </c>
      <c r="X1481" s="202"/>
      <c r="Y1481" s="202"/>
      <c r="Z1481" s="202"/>
      <c r="AA1481" s="152"/>
      <c r="AB1481" s="152"/>
    </row>
    <row r="1482" spans="1:28" hidden="1" outlineLevel="1">
      <c r="A1482" s="199">
        <f t="shared" si="2150"/>
        <v>10</v>
      </c>
      <c r="B1482" s="190" t="str">
        <f t="shared" ca="1" si="2151"/>
        <v>Depreciated Net Capex 2025-26</v>
      </c>
      <c r="C1482" s="1426"/>
      <c r="D1482" s="1426"/>
      <c r="E1482" s="1426"/>
      <c r="F1482" s="1426"/>
      <c r="G1482" s="1426"/>
      <c r="H1482" s="1426"/>
      <c r="I1482" s="1426"/>
      <c r="J1482" s="1426"/>
      <c r="K1482" s="1426"/>
      <c r="L1482" s="1427"/>
      <c r="M1482" s="1428">
        <f>M1467</f>
        <v>0</v>
      </c>
      <c r="N1482" s="1423">
        <f ca="1">IF(M1506="n/a",M1482,IFERROR(IF((OFFSET($C1482,0,$A1482))&lt;0,
MIN(0,M1482-(OFFSET($C1482,0,$A1482)/(OFFSET($C1477,-$A1481,$A1482)))),
MAX(0,M1482-(OFFSET($C1482,0,$A1482)/(OFFSET($C1477,-$A1481,$A1482))))),0))</f>
        <v>0</v>
      </c>
      <c r="O1482" s="1423">
        <f t="shared" ca="1" si="2141"/>
        <v>0</v>
      </c>
      <c r="P1482" s="1423">
        <f t="shared" ca="1" si="2142"/>
        <v>0</v>
      </c>
      <c r="Q1482" s="1423">
        <f t="shared" ca="1" si="2143"/>
        <v>0</v>
      </c>
      <c r="R1482" s="1423">
        <f t="shared" ca="1" si="2144"/>
        <v>0</v>
      </c>
      <c r="S1482" s="1423">
        <f t="shared" ca="1" si="2145"/>
        <v>0</v>
      </c>
      <c r="T1482" s="1423">
        <f t="shared" ca="1" si="2146"/>
        <v>0</v>
      </c>
      <c r="U1482" s="1423">
        <f t="shared" ca="1" si="2147"/>
        <v>0</v>
      </c>
      <c r="V1482" s="1423">
        <f t="shared" ca="1" si="2148"/>
        <v>0</v>
      </c>
      <c r="W1482" s="1423">
        <f t="shared" ca="1" si="2149"/>
        <v>0</v>
      </c>
      <c r="X1482" s="202"/>
      <c r="Y1482" s="202"/>
      <c r="Z1482" s="202"/>
      <c r="AA1482" s="152"/>
      <c r="AB1482" s="152"/>
    </row>
    <row r="1483" spans="1:28" hidden="1" outlineLevel="1">
      <c r="A1483" s="199">
        <f t="shared" si="2150"/>
        <v>11</v>
      </c>
      <c r="B1483" s="190" t="str">
        <f t="shared" ca="1" si="2151"/>
        <v>Depreciated Net Capex 2026-27</v>
      </c>
      <c r="C1483" s="1426"/>
      <c r="D1483" s="1426"/>
      <c r="E1483" s="1426"/>
      <c r="F1483" s="1426"/>
      <c r="G1483" s="1426"/>
      <c r="H1483" s="1426"/>
      <c r="I1483" s="1426"/>
      <c r="J1483" s="1426"/>
      <c r="K1483" s="1426"/>
      <c r="L1483" s="1426"/>
      <c r="M1483" s="1427"/>
      <c r="N1483" s="1428">
        <f>N1467</f>
        <v>0</v>
      </c>
      <c r="O1483" s="1423">
        <f ca="1">IF(N1507="n/a",N1483,IFERROR(IF((OFFSET($C1483,0,$A1483))&lt;0,
MIN(0,N1483-(OFFSET($C1483,0,$A1483)/(OFFSET($C1478,-$A1482,$A1483)))),
MAX(0,N1483-(OFFSET($C1483,0,$A1483)/(OFFSET($C1478,-$A1482,$A1483))))),0))</f>
        <v>0</v>
      </c>
      <c r="P1483" s="1423">
        <f t="shared" ca="1" si="2142"/>
        <v>0</v>
      </c>
      <c r="Q1483" s="1423">
        <f t="shared" ca="1" si="2143"/>
        <v>0</v>
      </c>
      <c r="R1483" s="1423">
        <f t="shared" ca="1" si="2144"/>
        <v>0</v>
      </c>
      <c r="S1483" s="1423">
        <f t="shared" ca="1" si="2145"/>
        <v>0</v>
      </c>
      <c r="T1483" s="1423">
        <f t="shared" ca="1" si="2146"/>
        <v>0</v>
      </c>
      <c r="U1483" s="1423">
        <f t="shared" ca="1" si="2147"/>
        <v>0</v>
      </c>
      <c r="V1483" s="1423">
        <f t="shared" ca="1" si="2148"/>
        <v>0</v>
      </c>
      <c r="W1483" s="1423">
        <f t="shared" ca="1" si="2149"/>
        <v>0</v>
      </c>
      <c r="X1483" s="202"/>
      <c r="Y1483" s="202"/>
      <c r="Z1483" s="202"/>
      <c r="AA1483" s="152"/>
      <c r="AB1483" s="152"/>
    </row>
    <row r="1484" spans="1:28" hidden="1" outlineLevel="1">
      <c r="A1484" s="199">
        <f t="shared" si="2150"/>
        <v>12</v>
      </c>
      <c r="B1484" s="190" t="str">
        <f t="shared" ca="1" si="2151"/>
        <v>Depreciated Net Capex 2027-28</v>
      </c>
      <c r="C1484" s="1426"/>
      <c r="D1484" s="1426"/>
      <c r="E1484" s="1426"/>
      <c r="F1484" s="1426"/>
      <c r="G1484" s="1426"/>
      <c r="H1484" s="1426"/>
      <c r="I1484" s="1426"/>
      <c r="J1484" s="1426"/>
      <c r="K1484" s="1426"/>
      <c r="L1484" s="1426"/>
      <c r="M1484" s="1426"/>
      <c r="N1484" s="1427"/>
      <c r="O1484" s="1428">
        <f>O1467</f>
        <v>0</v>
      </c>
      <c r="P1484" s="1423">
        <f ca="1">IF(O1508="n/a",O1484,IFERROR(IF((OFFSET($C1484,0,$A1484))&lt;0,
MIN(0,O1484-(OFFSET($C1484,0,$A1484)/(OFFSET($C1479,-$A1483,$A1484)))),
MAX(0,O1484-(OFFSET($C1484,0,$A1484)/(OFFSET($C1479,-$A1483,$A1484))))),0))</f>
        <v>0</v>
      </c>
      <c r="Q1484" s="1423">
        <f t="shared" ca="1" si="2143"/>
        <v>0</v>
      </c>
      <c r="R1484" s="1423">
        <f t="shared" ca="1" si="2144"/>
        <v>0</v>
      </c>
      <c r="S1484" s="1423">
        <f t="shared" ca="1" si="2145"/>
        <v>0</v>
      </c>
      <c r="T1484" s="1423">
        <f t="shared" ca="1" si="2146"/>
        <v>0</v>
      </c>
      <c r="U1484" s="1423">
        <f t="shared" ca="1" si="2147"/>
        <v>0</v>
      </c>
      <c r="V1484" s="1423">
        <f t="shared" ca="1" si="2148"/>
        <v>0</v>
      </c>
      <c r="W1484" s="1423">
        <f t="shared" ca="1" si="2149"/>
        <v>0</v>
      </c>
      <c r="X1484" s="202"/>
      <c r="Y1484" s="202"/>
      <c r="Z1484" s="202"/>
      <c r="AA1484" s="152"/>
      <c r="AB1484" s="152"/>
    </row>
    <row r="1485" spans="1:28" hidden="1" outlineLevel="1">
      <c r="A1485" s="199">
        <f t="shared" si="2150"/>
        <v>13</v>
      </c>
      <c r="B1485" s="190" t="str">
        <f t="shared" ca="1" si="2151"/>
        <v>Depreciated Net Capex 2028-29</v>
      </c>
      <c r="C1485" s="1426"/>
      <c r="D1485" s="1426"/>
      <c r="E1485" s="1426"/>
      <c r="F1485" s="1426"/>
      <c r="G1485" s="1426"/>
      <c r="H1485" s="1426"/>
      <c r="I1485" s="1426"/>
      <c r="J1485" s="1426"/>
      <c r="K1485" s="1426"/>
      <c r="L1485" s="1426"/>
      <c r="M1485" s="1426"/>
      <c r="N1485" s="1426"/>
      <c r="O1485" s="1427"/>
      <c r="P1485" s="1428">
        <f>P1467</f>
        <v>0</v>
      </c>
      <c r="Q1485" s="1423">
        <f ca="1">IF(P1509="n/a",P1485,IFERROR(IF((OFFSET($C1485,0,$A1485))&lt;0,
MIN(0,P1485-(OFFSET($C1485,0,$A1485)/(OFFSET($C1480,-$A1484,$A1485)))),
MAX(0,P1485-(OFFSET($C1485,0,$A1485)/(OFFSET($C1480,-$A1484,$A1485))))),0))</f>
        <v>0</v>
      </c>
      <c r="R1485" s="1423">
        <f t="shared" ca="1" si="2144"/>
        <v>0</v>
      </c>
      <c r="S1485" s="1423">
        <f t="shared" ca="1" si="2145"/>
        <v>0</v>
      </c>
      <c r="T1485" s="1423">
        <f t="shared" ca="1" si="2146"/>
        <v>0</v>
      </c>
      <c r="U1485" s="1423">
        <f t="shared" ca="1" si="2147"/>
        <v>0</v>
      </c>
      <c r="V1485" s="1423">
        <f t="shared" ca="1" si="2148"/>
        <v>0</v>
      </c>
      <c r="W1485" s="1423">
        <f t="shared" ca="1" si="2149"/>
        <v>0</v>
      </c>
      <c r="X1485" s="202"/>
      <c r="Y1485" s="202"/>
      <c r="Z1485" s="202"/>
      <c r="AA1485" s="152"/>
      <c r="AB1485" s="152"/>
    </row>
    <row r="1486" spans="1:28" hidden="1" outlineLevel="1">
      <c r="A1486" s="199">
        <f t="shared" si="2150"/>
        <v>14</v>
      </c>
      <c r="B1486" s="190" t="str">
        <f t="shared" ca="1" si="2151"/>
        <v>Depreciated Net Capex 2029-30</v>
      </c>
      <c r="C1486" s="1426"/>
      <c r="D1486" s="1426"/>
      <c r="E1486" s="1426"/>
      <c r="F1486" s="1426"/>
      <c r="G1486" s="1426"/>
      <c r="H1486" s="1426"/>
      <c r="I1486" s="1426"/>
      <c r="J1486" s="1426"/>
      <c r="K1486" s="1426"/>
      <c r="L1486" s="1426"/>
      <c r="M1486" s="1426"/>
      <c r="N1486" s="1426"/>
      <c r="O1486" s="1426"/>
      <c r="P1486" s="1427"/>
      <c r="Q1486" s="1428">
        <f>Q1467</f>
        <v>0</v>
      </c>
      <c r="R1486" s="1423">
        <f ca="1">IF(Q1510="n/a",Q1486,IFERROR(IF((OFFSET($C1486,0,$A1486))&lt;0,
MIN(0,Q1486-(OFFSET($C1486,0,$A1486)/(OFFSET($C1481,-$A1485,$A1486)))),
MAX(0,Q1486-(OFFSET($C1486,0,$A1486)/(OFFSET($C1481,-$A1485,$A1486))))),0))</f>
        <v>0</v>
      </c>
      <c r="S1486" s="1423">
        <f t="shared" ca="1" si="2145"/>
        <v>0</v>
      </c>
      <c r="T1486" s="1423">
        <f t="shared" ca="1" si="2146"/>
        <v>0</v>
      </c>
      <c r="U1486" s="1423">
        <f t="shared" ca="1" si="2147"/>
        <v>0</v>
      </c>
      <c r="V1486" s="1423">
        <f t="shared" ca="1" si="2148"/>
        <v>0</v>
      </c>
      <c r="W1486" s="1423">
        <f t="shared" ca="1" si="2149"/>
        <v>0</v>
      </c>
      <c r="X1486" s="202"/>
      <c r="Y1486" s="202"/>
      <c r="Z1486" s="202"/>
      <c r="AA1486" s="152"/>
      <c r="AB1486" s="152"/>
    </row>
    <row r="1487" spans="1:28" hidden="1" outlineLevel="1">
      <c r="A1487" s="199">
        <f t="shared" si="2150"/>
        <v>15</v>
      </c>
      <c r="B1487" s="190" t="str">
        <f t="shared" ca="1" si="2151"/>
        <v>Depreciated Net Capex 2030-31</v>
      </c>
      <c r="C1487" s="1426"/>
      <c r="D1487" s="1426"/>
      <c r="E1487" s="1426"/>
      <c r="F1487" s="1426"/>
      <c r="G1487" s="1426"/>
      <c r="H1487" s="1426"/>
      <c r="I1487" s="1426"/>
      <c r="J1487" s="1426"/>
      <c r="K1487" s="1426"/>
      <c r="L1487" s="1426"/>
      <c r="M1487" s="1426"/>
      <c r="N1487" s="1426"/>
      <c r="O1487" s="1426"/>
      <c r="P1487" s="1426"/>
      <c r="Q1487" s="1427"/>
      <c r="R1487" s="1428">
        <f>R1467</f>
        <v>0</v>
      </c>
      <c r="S1487" s="1423">
        <f ca="1">IF(R1511="n/a",R1487,IFERROR(IF((OFFSET($C1487,0,$A1487))&lt;0,
MIN(0,R1487-(OFFSET($C1487,0,$A1487)/(OFFSET($C1482,-$A1486,$A1487)))),
MAX(0,R1487-(OFFSET($C1487,0,$A1487)/(OFFSET($C1482,-$A1486,$A1487))))),0))</f>
        <v>0</v>
      </c>
      <c r="T1487" s="1423">
        <f t="shared" ca="1" si="2146"/>
        <v>0</v>
      </c>
      <c r="U1487" s="1423">
        <f t="shared" ca="1" si="2147"/>
        <v>0</v>
      </c>
      <c r="V1487" s="1423">
        <f t="shared" ca="1" si="2148"/>
        <v>0</v>
      </c>
      <c r="W1487" s="1423">
        <f t="shared" ca="1" si="2149"/>
        <v>0</v>
      </c>
      <c r="X1487" s="202"/>
      <c r="Y1487" s="202"/>
      <c r="Z1487" s="202"/>
      <c r="AA1487" s="152"/>
      <c r="AB1487" s="152"/>
    </row>
    <row r="1488" spans="1:28" hidden="1" outlineLevel="1">
      <c r="A1488" s="199">
        <f t="shared" si="2150"/>
        <v>16</v>
      </c>
      <c r="B1488" s="190" t="str">
        <f t="shared" ca="1" si="2151"/>
        <v>Depreciated Net Capex 2031-32</v>
      </c>
      <c r="C1488" s="1426"/>
      <c r="D1488" s="1426"/>
      <c r="E1488" s="1426"/>
      <c r="F1488" s="1426"/>
      <c r="G1488" s="1426"/>
      <c r="H1488" s="1426"/>
      <c r="I1488" s="1426"/>
      <c r="J1488" s="1426"/>
      <c r="K1488" s="1426"/>
      <c r="L1488" s="1426"/>
      <c r="M1488" s="1426"/>
      <c r="N1488" s="1426"/>
      <c r="O1488" s="1426"/>
      <c r="P1488" s="1426"/>
      <c r="Q1488" s="1426"/>
      <c r="R1488" s="1427"/>
      <c r="S1488" s="1428">
        <f>S1467</f>
        <v>0</v>
      </c>
      <c r="T1488" s="1423">
        <f ca="1">IF(S1512="n/a",S1488,IFERROR(IF((OFFSET($C1488,0,$A1488))&lt;0,
MIN(0,S1488-(OFFSET($C1488,0,$A1488)/(OFFSET($C1483,-$A1487,$A1488)))),
MAX(0,S1488-(OFFSET($C1488,0,$A1488)/(OFFSET($C1483,-$A1487,$A1488))))),0))</f>
        <v>0</v>
      </c>
      <c r="U1488" s="1423">
        <f t="shared" ca="1" si="2147"/>
        <v>0</v>
      </c>
      <c r="V1488" s="1423">
        <f t="shared" ca="1" si="2148"/>
        <v>0</v>
      </c>
      <c r="W1488" s="1423">
        <f t="shared" ca="1" si="2149"/>
        <v>0</v>
      </c>
      <c r="X1488" s="202"/>
      <c r="Y1488" s="202"/>
      <c r="Z1488" s="202"/>
      <c r="AA1488" s="152"/>
      <c r="AB1488" s="152"/>
    </row>
    <row r="1489" spans="1:28" hidden="1" outlineLevel="1">
      <c r="A1489" s="199">
        <f t="shared" si="2150"/>
        <v>17</v>
      </c>
      <c r="B1489" s="190" t="str">
        <f t="shared" ca="1" si="2151"/>
        <v>Depreciated Net Capex 2032-33</v>
      </c>
      <c r="C1489" s="1426"/>
      <c r="D1489" s="1426"/>
      <c r="E1489" s="1426"/>
      <c r="F1489" s="1426"/>
      <c r="G1489" s="1426"/>
      <c r="H1489" s="1426"/>
      <c r="I1489" s="1426"/>
      <c r="J1489" s="1426"/>
      <c r="K1489" s="1426"/>
      <c r="L1489" s="1426"/>
      <c r="M1489" s="1426"/>
      <c r="N1489" s="1426"/>
      <c r="O1489" s="1426"/>
      <c r="P1489" s="1426"/>
      <c r="Q1489" s="1426"/>
      <c r="R1489" s="1426"/>
      <c r="S1489" s="1427"/>
      <c r="T1489" s="1428">
        <f>T1467</f>
        <v>0</v>
      </c>
      <c r="U1489" s="1423">
        <f ca="1">IF(T1513="n/a",T1489,IFERROR(IF((OFFSET($C1489,0,$A1489))&lt;0,
MIN(0,T1489-(OFFSET($C1489,0,$A1489)/(OFFSET($C1484,-$A1488,$A1489)))),
MAX(0,T1489-(OFFSET($C1489,0,$A1489)/(OFFSET($C1484,-$A1488,$A1489))))),0))</f>
        <v>0</v>
      </c>
      <c r="V1489" s="1423">
        <f t="shared" ca="1" si="2148"/>
        <v>0</v>
      </c>
      <c r="W1489" s="1423">
        <f t="shared" ca="1" si="2149"/>
        <v>0</v>
      </c>
      <c r="X1489" s="202"/>
      <c r="Y1489" s="202"/>
      <c r="Z1489" s="202"/>
      <c r="AA1489" s="152"/>
      <c r="AB1489" s="152"/>
    </row>
    <row r="1490" spans="1:28" hidden="1" outlineLevel="1">
      <c r="A1490" s="199">
        <f t="shared" si="2150"/>
        <v>18</v>
      </c>
      <c r="B1490" s="190" t="str">
        <f t="shared" ca="1" si="2151"/>
        <v>Depreciated Net Capex 2033-34</v>
      </c>
      <c r="C1490" s="1426"/>
      <c r="D1490" s="1426"/>
      <c r="E1490" s="1426"/>
      <c r="F1490" s="1426"/>
      <c r="G1490" s="1426"/>
      <c r="H1490" s="1426"/>
      <c r="I1490" s="1426"/>
      <c r="J1490" s="1426"/>
      <c r="K1490" s="1426"/>
      <c r="L1490" s="1426"/>
      <c r="M1490" s="1426"/>
      <c r="N1490" s="1426"/>
      <c r="O1490" s="1426"/>
      <c r="P1490" s="1426"/>
      <c r="Q1490" s="1426"/>
      <c r="R1490" s="1426"/>
      <c r="S1490" s="1426"/>
      <c r="T1490" s="1427"/>
      <c r="U1490" s="1428">
        <f>U1467</f>
        <v>0</v>
      </c>
      <c r="V1490" s="1423">
        <f ca="1">IF(U1514="n/a",U1490,IFERROR(IF((OFFSET($C1490,0,$A1490))&lt;0,
MIN(0,U1490-(OFFSET($C1490,0,$A1490)/(OFFSET($C1485,-$A1489,$A1490)))),
MAX(0,U1490-(OFFSET($C1490,0,$A1490)/(OFFSET($C1485,-$A1489,$A1490))))),0))</f>
        <v>0</v>
      </c>
      <c r="W1490" s="1423">
        <f t="shared" ca="1" si="2149"/>
        <v>0</v>
      </c>
      <c r="X1490" s="202"/>
      <c r="Y1490" s="202"/>
      <c r="Z1490" s="202"/>
      <c r="AA1490" s="152"/>
      <c r="AB1490" s="152"/>
    </row>
    <row r="1491" spans="1:28" hidden="1" outlineLevel="1">
      <c r="A1491" s="199">
        <f t="shared" si="2150"/>
        <v>19</v>
      </c>
      <c r="B1491" s="190" t="str">
        <f t="shared" ca="1" si="2151"/>
        <v>Depreciated Net Capex 2034-35</v>
      </c>
      <c r="C1491" s="1426"/>
      <c r="D1491" s="1426"/>
      <c r="E1491" s="1426"/>
      <c r="F1491" s="1426"/>
      <c r="G1491" s="1426"/>
      <c r="H1491" s="1426"/>
      <c r="I1491" s="1426"/>
      <c r="J1491" s="1426"/>
      <c r="K1491" s="1426"/>
      <c r="L1491" s="1426"/>
      <c r="M1491" s="1426"/>
      <c r="N1491" s="1426"/>
      <c r="O1491" s="1426"/>
      <c r="P1491" s="1426"/>
      <c r="Q1491" s="1426"/>
      <c r="R1491" s="1426"/>
      <c r="S1491" s="1426"/>
      <c r="T1491" s="1426"/>
      <c r="U1491" s="1427"/>
      <c r="V1491" s="1428">
        <f>V1467</f>
        <v>0</v>
      </c>
      <c r="W1491" s="1423">
        <f ca="1">IF(V1515="n/a",V1491,IFERROR(IF((OFFSET($C1491,0,$A1491))&lt;0,
MIN(0,V1491-(OFFSET($C1491,0,$A1491)/(OFFSET($C1486,-$A1490,$A1491)))),
MAX(0,V1491-(OFFSET($C1491,0,$A1491)/(OFFSET($C1486,-$A1490,$A1491))))),0))</f>
        <v>0</v>
      </c>
      <c r="X1491" s="202"/>
      <c r="Y1491" s="202"/>
      <c r="Z1491" s="202"/>
      <c r="AA1491" s="152"/>
      <c r="AB1491" s="152"/>
    </row>
    <row r="1492" spans="1:28" hidden="1" outlineLevel="1">
      <c r="A1492" s="199">
        <f t="shared" si="2150"/>
        <v>20</v>
      </c>
      <c r="B1492" s="190" t="str">
        <f t="shared" ca="1" si="2151"/>
        <v>Depreciated Net Capex 2035-36</v>
      </c>
      <c r="C1492" s="1426"/>
      <c r="D1492" s="1426"/>
      <c r="E1492" s="1426"/>
      <c r="F1492" s="1426"/>
      <c r="G1492" s="1426"/>
      <c r="H1492" s="1426"/>
      <c r="I1492" s="1426"/>
      <c r="J1492" s="1426"/>
      <c r="K1492" s="1426"/>
      <c r="L1492" s="1426"/>
      <c r="M1492" s="1426"/>
      <c r="N1492" s="1426"/>
      <c r="O1492" s="1426"/>
      <c r="P1492" s="1426"/>
      <c r="Q1492" s="1426"/>
      <c r="R1492" s="1426"/>
      <c r="S1492" s="1426"/>
      <c r="T1492" s="1426"/>
      <c r="U1492" s="1426"/>
      <c r="V1492" s="1427"/>
      <c r="W1492" s="1423">
        <f>W1467</f>
        <v>0</v>
      </c>
      <c r="X1492" s="152"/>
      <c r="Y1492" s="152"/>
      <c r="Z1492" s="152"/>
      <c r="AA1492" s="152"/>
      <c r="AB1492" s="152"/>
    </row>
    <row r="1493" spans="1:28" hidden="1" outlineLevel="1">
      <c r="A1493" s="152"/>
      <c r="B1493" s="200"/>
      <c r="C1493" s="1423"/>
      <c r="D1493" s="1423"/>
      <c r="E1493" s="1423"/>
      <c r="F1493" s="1423"/>
      <c r="G1493" s="1423"/>
      <c r="H1493" s="1423"/>
      <c r="I1493" s="1423"/>
      <c r="J1493" s="1423"/>
      <c r="K1493" s="1423"/>
      <c r="L1493" s="1423"/>
      <c r="M1493" s="1423"/>
      <c r="N1493" s="1423"/>
      <c r="O1493" s="1423"/>
      <c r="P1493" s="1423"/>
      <c r="Q1493" s="1423"/>
      <c r="R1493" s="1423"/>
      <c r="S1493" s="1423"/>
      <c r="T1493" s="1423"/>
      <c r="U1493" s="1423"/>
      <c r="V1493" s="1423"/>
      <c r="W1493" s="1423"/>
      <c r="X1493" s="152"/>
      <c r="Y1493" s="152"/>
      <c r="Z1493" s="152"/>
      <c r="AA1493" s="152"/>
      <c r="AB1493" s="152"/>
    </row>
    <row r="1494" spans="1:28" hidden="1" outlineLevel="1">
      <c r="A1494" s="152"/>
      <c r="B1494" s="200"/>
      <c r="C1494" s="1423"/>
      <c r="D1494" s="1423"/>
      <c r="E1494" s="1423"/>
      <c r="F1494" s="1423"/>
      <c r="G1494" s="1423"/>
      <c r="H1494" s="1423"/>
      <c r="I1494" s="1423"/>
      <c r="J1494" s="1423"/>
      <c r="K1494" s="1423"/>
      <c r="L1494" s="1423"/>
      <c r="M1494" s="1423"/>
      <c r="N1494" s="1423"/>
      <c r="O1494" s="1423"/>
      <c r="P1494" s="1423"/>
      <c r="Q1494" s="1423"/>
      <c r="R1494" s="1423"/>
      <c r="S1494" s="1423"/>
      <c r="T1494" s="1423"/>
      <c r="U1494" s="1423"/>
      <c r="V1494" s="1423"/>
      <c r="W1494" s="1423"/>
      <c r="X1494" s="152"/>
      <c r="Y1494" s="152"/>
      <c r="Z1494" s="152"/>
      <c r="AA1494" s="152"/>
      <c r="AB1494" s="152"/>
    </row>
    <row r="1495" spans="1:28" hidden="1" outlineLevel="1">
      <c r="A1495" s="152"/>
      <c r="B1495" s="190" t="s">
        <v>194</v>
      </c>
      <c r="C1495" s="1423"/>
      <c r="D1495" s="1423">
        <f t="shared" ref="D1495" ca="1" si="2152">IF(AND(C1495&lt;1,D1469=0),0,
IF(D1469=0,C1495-1,
IF(C1495&lt;1,D1470,
(((C1495-1)*(C1471-(C1471/(C1495))))+(D1469*D1470))/(D1471))))</f>
        <v>0</v>
      </c>
      <c r="E1495" s="1423">
        <f t="shared" ref="E1495" ca="1" si="2153">IF(AND(D1495&lt;1,E1469=0),0,
IF(E1469=0,D1495-1,
IF(D1495&lt;1,E1470,
(((D1495-1)*(D1471-(D1471/(D1495))))+(E1469*E1470))/(E1471))))</f>
        <v>0</v>
      </c>
      <c r="F1495" s="1423">
        <f t="shared" ref="F1495" ca="1" si="2154">IF(AND(E1495&lt;1,F1469=0),0,
IF(F1469=0,E1495-1,
IF(E1495&lt;1,F1470,
(((E1495-1)*(E1471-(E1471/(E1495))))+(F1469*F1470))/(F1471))))</f>
        <v>0</v>
      </c>
      <c r="G1495" s="1423">
        <f t="shared" ref="G1495" ca="1" si="2155">IF(AND(F1495&lt;1,G1469=0),0,
IF(G1469=0,F1495-1,
IF(F1495&lt;1,G1470,
(((F1495-1)*(F1471-(F1471/(F1495))))+(G1469*G1470))/(G1471))))</f>
        <v>0</v>
      </c>
      <c r="H1495" s="1423">
        <f ca="1">IF(AND(G1495&lt;1,H1469=0),0,
IF(H1469=0,G1495-1,
IF(G1495&lt;1,H1470,
(((G1495-1)*(G1471-(G1471/(G1495))))+(H1469*H1470))/(H1471))))</f>
        <v>0</v>
      </c>
      <c r="I1495" s="1423">
        <f t="shared" ref="I1495" ca="1" si="2156">IF(AND(H1495&lt;1,I1469=0),0,
IF(I1469=0,H1495-1,
IF(H1495&lt;1,I1470,
(((H1495-1)*(H1471-(H1471/(H1495))))+(I1469*I1470))/(I1471))))</f>
        <v>0</v>
      </c>
      <c r="J1495" s="1423">
        <f t="shared" ref="J1495" ca="1" si="2157">IF(AND(I1495&lt;1,J1469=0),0,
IF(J1469=0,I1495-1,
IF(I1495&lt;1,J1470,
(((I1495-1)*(I1471-(I1471/(I1495))))+(J1469*J1470))/(J1471))))</f>
        <v>0</v>
      </c>
      <c r="K1495" s="1423">
        <f t="shared" ref="K1495" ca="1" si="2158">IF(AND(J1495&lt;1,K1469=0),0,
IF(K1469=0,J1495-1,
IF(J1495&lt;1,K1470,
(((J1495-1)*(J1471-(J1471/(J1495))))+(K1469*K1470))/(K1471))))</f>
        <v>0</v>
      </c>
      <c r="L1495" s="1423">
        <f t="shared" ref="L1495" ca="1" si="2159">IF(AND(K1495&lt;1,L1469=0),0,
IF(L1469=0,K1495-1,
IF(K1495&lt;1,L1470,
(((K1495-1)*(K1471-(K1471/(K1495))))+(L1469*L1470))/(L1471))))</f>
        <v>0</v>
      </c>
      <c r="M1495" s="1423">
        <f ca="1">IF(AND(L1495&lt;1,M1469=0),0,
IF(M1469=0,L1495-1,
IF(L1495&lt;1,M1470,
(((L1495-1)*(L1471-(L1471/(L1495))))+(M1469*M1470))/(M1471))))</f>
        <v>0</v>
      </c>
      <c r="N1495" s="1423">
        <f t="shared" ref="N1495" ca="1" si="2160">IF(AND(M1495&lt;1,N1469=0),0,
IF(N1469=0,M1495-1,
IF(M1495&lt;1,N1470,
(((M1495-1)*(M1471-(M1471/(M1495))))+(N1469*N1470))/(N1471))))</f>
        <v>0</v>
      </c>
      <c r="O1495" s="1423">
        <f t="shared" ref="O1495" ca="1" si="2161">IF(AND(N1495&lt;1,O1469=0),0,
IF(O1469=0,N1495-1,
IF(N1495&lt;1,O1470,
(((N1495-1)*(N1471-(N1471/(N1495))))+(O1469*O1470))/(O1471))))</f>
        <v>0</v>
      </c>
      <c r="P1495" s="1423">
        <f t="shared" ref="P1495" ca="1" si="2162">IF(AND(O1495&lt;1,P1469=0),0,
IF(P1469=0,O1495-1,
IF(O1495&lt;1,P1470,
(((O1495-1)*(O1471-(O1471/(O1495))))+(P1469*P1470))/(P1471))))</f>
        <v>0</v>
      </c>
      <c r="Q1495" s="1423">
        <f t="shared" ref="Q1495" ca="1" si="2163">IF(AND(P1495&lt;1,Q1469=0),0,
IF(Q1469=0,P1495-1,
IF(P1495&lt;1,Q1470,
(((P1495-1)*(P1471-(P1471/(P1495))))+(Q1469*Q1470))/(Q1471))))</f>
        <v>0</v>
      </c>
      <c r="R1495" s="1423">
        <f t="shared" ref="R1495" ca="1" si="2164">IF(AND(Q1495&lt;1,R1469=0),0,
IF(R1469=0,Q1495-1,
IF(Q1495&lt;1,R1470,
(((Q1495-1)*(Q1471-(Q1471/(Q1495))))+(R1469*R1470))/(R1471))))</f>
        <v>0</v>
      </c>
      <c r="S1495" s="1423">
        <f t="shared" ref="S1495" ca="1" si="2165">IF(AND(R1495&lt;1,S1469=0),0,
IF(S1469=0,R1495-1,
IF(R1495&lt;1,S1470,
(((R1495-1)*(R1471-(R1471/(R1495))))+(S1469*S1470))/(S1471))))</f>
        <v>0</v>
      </c>
      <c r="T1495" s="1423">
        <f t="shared" ref="T1495" ca="1" si="2166">IF(AND(S1495&lt;1,T1469=0),0,
IF(T1469=0,S1495-1,
IF(S1495&lt;1,T1470,
(((S1495-1)*(S1471-(S1471/(S1495))))+(T1469*T1470))/(T1471))))</f>
        <v>0</v>
      </c>
      <c r="U1495" s="1423">
        <f t="shared" ref="U1495" ca="1" si="2167">IF(AND(T1495&lt;1,U1469=0),0,
IF(U1469=0,T1495-1,
IF(T1495&lt;1,U1470,
(((T1495-1)*(T1471-(T1471/(T1495))))+(U1469*U1470))/(U1471))))</f>
        <v>0</v>
      </c>
      <c r="V1495" s="1423">
        <f t="shared" ref="V1495" ca="1" si="2168">IF(AND(U1495&lt;1,V1469=0),0,
IF(V1469=0,U1495-1,
IF(U1495&lt;1,V1470,
(((U1495-1)*(U1471-(U1471/(U1495))))+(V1469*V1470))/(V1471))))</f>
        <v>0</v>
      </c>
      <c r="W1495" s="1423">
        <f t="shared" ref="W1495" ca="1" si="2169">IF(AND(V1495&lt;1,W1469=0),0,
IF(W1469=0,V1495-1,
IF(V1495&lt;1,W1470,
(((V1495-1)*(V1471-(V1471/(V1495))))+(W1469*W1470))/(W1471))))</f>
        <v>0</v>
      </c>
      <c r="X1495" s="152"/>
      <c r="Y1495" s="152"/>
      <c r="Z1495" s="152"/>
      <c r="AA1495" s="152"/>
      <c r="AB1495" s="152"/>
    </row>
    <row r="1496" spans="1:28" hidden="1" outlineLevel="1">
      <c r="A1496" s="152"/>
      <c r="B1496" s="190" t="s">
        <v>193</v>
      </c>
      <c r="C1496" s="1423">
        <f ca="1">C1468</f>
        <v>0</v>
      </c>
      <c r="D1496" s="1423">
        <f t="shared" ref="D1496" ca="1" si="2170">IF(C1496="n/a","n/a",MAX(0,C1496-1))</f>
        <v>0</v>
      </c>
      <c r="E1496" s="1423">
        <f t="shared" ref="E1496:E1497" ca="1" si="2171">IF(D1496="n/a","n/a",MAX(0,D1496-1))</f>
        <v>0</v>
      </c>
      <c r="F1496" s="1423">
        <f t="shared" ref="F1496:F1498" ca="1" si="2172">IF(E1496="n/a","n/a",MAX(0,E1496-1))</f>
        <v>0</v>
      </c>
      <c r="G1496" s="1423">
        <f t="shared" ref="G1496:G1499" ca="1" si="2173">IF(F1496="n/a","n/a",MAX(0,F1496-1))</f>
        <v>0</v>
      </c>
      <c r="H1496" s="1423">
        <f t="shared" ref="H1496:H1500" ca="1" si="2174">IF(G1496="n/a","n/a",MAX(0,G1496-1))</f>
        <v>0</v>
      </c>
      <c r="I1496" s="1423">
        <f t="shared" ref="I1496:I1501" ca="1" si="2175">IF(H1496="n/a","n/a",MAX(0,H1496-1))</f>
        <v>0</v>
      </c>
      <c r="J1496" s="1423">
        <f t="shared" ref="J1496:J1502" ca="1" si="2176">IF(I1496="n/a","n/a",MAX(0,I1496-1))</f>
        <v>0</v>
      </c>
      <c r="K1496" s="1423">
        <f t="shared" ref="K1496:K1503" ca="1" si="2177">IF(J1496="n/a","n/a",MAX(0,J1496-1))</f>
        <v>0</v>
      </c>
      <c r="L1496" s="1423">
        <f t="shared" ref="L1496:L1504" ca="1" si="2178">IF(K1496="n/a","n/a",MAX(0,K1496-1))</f>
        <v>0</v>
      </c>
      <c r="M1496" s="1423">
        <f t="shared" ref="M1496:M1505" ca="1" si="2179">IF(L1496="n/a","n/a",MAX(0,L1496-1))</f>
        <v>0</v>
      </c>
      <c r="N1496" s="1423">
        <f t="shared" ref="N1496:N1506" ca="1" si="2180">IF(M1496="n/a","n/a",MAX(0,M1496-1))</f>
        <v>0</v>
      </c>
      <c r="O1496" s="1423">
        <f t="shared" ref="O1496:O1507" ca="1" si="2181">IF(N1496="n/a","n/a",MAX(0,N1496-1))</f>
        <v>0</v>
      </c>
      <c r="P1496" s="1423">
        <f t="shared" ref="P1496:P1508" ca="1" si="2182">IF(O1496="n/a","n/a",MAX(0,O1496-1))</f>
        <v>0</v>
      </c>
      <c r="Q1496" s="1423">
        <f t="shared" ref="Q1496:Q1509" ca="1" si="2183">IF(P1496="n/a","n/a",MAX(0,P1496-1))</f>
        <v>0</v>
      </c>
      <c r="R1496" s="1423">
        <f t="shared" ref="R1496:R1510" ca="1" si="2184">IF(Q1496="n/a","n/a",MAX(0,Q1496-1))</f>
        <v>0</v>
      </c>
      <c r="S1496" s="1423">
        <f t="shared" ref="S1496:S1511" ca="1" si="2185">IF(R1496="n/a","n/a",MAX(0,R1496-1))</f>
        <v>0</v>
      </c>
      <c r="T1496" s="1423">
        <f t="shared" ref="T1496:T1512" ca="1" si="2186">IF(S1496="n/a","n/a",MAX(0,S1496-1))</f>
        <v>0</v>
      </c>
      <c r="U1496" s="1423">
        <f t="shared" ref="U1496:U1513" ca="1" si="2187">IF(T1496="n/a","n/a",MAX(0,T1496-1))</f>
        <v>0</v>
      </c>
      <c r="V1496" s="1423">
        <f t="shared" ref="V1496:V1514" ca="1" si="2188">IF(U1496="n/a","n/a",MAX(0,U1496-1))</f>
        <v>0</v>
      </c>
      <c r="W1496" s="1423">
        <f t="shared" ref="W1496:W1514" ca="1" si="2189">IF(V1496="n/a","n/a",MAX(0,V1496-1))</f>
        <v>0</v>
      </c>
      <c r="X1496" s="152"/>
      <c r="Y1496" s="152"/>
      <c r="Z1496" s="152"/>
      <c r="AA1496" s="152"/>
      <c r="AB1496" s="152"/>
    </row>
    <row r="1497" spans="1:28" hidden="1" outlineLevel="1">
      <c r="A1497" s="152"/>
      <c r="B1497" s="190" t="str">
        <f t="shared" ref="B1497:B1516" ca="1" si="2190">"RL Capex "&amp;OFFSET($C$6,0,A1473)</f>
        <v>RL Capex 2016-17</v>
      </c>
      <c r="C1497" s="1424"/>
      <c r="D1497" s="1428">
        <f>D1468</f>
        <v>0</v>
      </c>
      <c r="E1497" s="1423">
        <f t="shared" si="2171"/>
        <v>0</v>
      </c>
      <c r="F1497" s="1423">
        <f t="shared" si="2172"/>
        <v>0</v>
      </c>
      <c r="G1497" s="1423">
        <f t="shared" si="2173"/>
        <v>0</v>
      </c>
      <c r="H1497" s="1423">
        <f t="shared" si="2174"/>
        <v>0</v>
      </c>
      <c r="I1497" s="1423">
        <f t="shared" si="2175"/>
        <v>0</v>
      </c>
      <c r="J1497" s="1423">
        <f t="shared" si="2176"/>
        <v>0</v>
      </c>
      <c r="K1497" s="1423">
        <f t="shared" si="2177"/>
        <v>0</v>
      </c>
      <c r="L1497" s="1423">
        <f t="shared" si="2178"/>
        <v>0</v>
      </c>
      <c r="M1497" s="1423">
        <f t="shared" si="2179"/>
        <v>0</v>
      </c>
      <c r="N1497" s="1423">
        <f t="shared" si="2180"/>
        <v>0</v>
      </c>
      <c r="O1497" s="1423">
        <f t="shared" si="2181"/>
        <v>0</v>
      </c>
      <c r="P1497" s="1423">
        <f t="shared" si="2182"/>
        <v>0</v>
      </c>
      <c r="Q1497" s="1423">
        <f t="shared" si="2183"/>
        <v>0</v>
      </c>
      <c r="R1497" s="1423">
        <f t="shared" si="2184"/>
        <v>0</v>
      </c>
      <c r="S1497" s="1423">
        <f t="shared" si="2185"/>
        <v>0</v>
      </c>
      <c r="T1497" s="1423">
        <f t="shared" si="2186"/>
        <v>0</v>
      </c>
      <c r="U1497" s="1423">
        <f t="shared" si="2187"/>
        <v>0</v>
      </c>
      <c r="V1497" s="1423">
        <f t="shared" si="2188"/>
        <v>0</v>
      </c>
      <c r="W1497" s="1423">
        <f t="shared" si="2189"/>
        <v>0</v>
      </c>
      <c r="X1497" s="152"/>
      <c r="Y1497" s="152"/>
      <c r="Z1497" s="152"/>
      <c r="AA1497" s="152"/>
      <c r="AB1497" s="152"/>
    </row>
    <row r="1498" spans="1:28" hidden="1" outlineLevel="1">
      <c r="A1498" s="152"/>
      <c r="B1498" s="190" t="str">
        <f t="shared" ca="1" si="2190"/>
        <v>RL Capex 2017-18</v>
      </c>
      <c r="C1498" s="1429"/>
      <c r="D1498" s="1424"/>
      <c r="E1498" s="1428">
        <f>E1468</f>
        <v>0</v>
      </c>
      <c r="F1498" s="1423">
        <f t="shared" si="2172"/>
        <v>0</v>
      </c>
      <c r="G1498" s="1423">
        <f t="shared" si="2173"/>
        <v>0</v>
      </c>
      <c r="H1498" s="1423">
        <f t="shared" si="2174"/>
        <v>0</v>
      </c>
      <c r="I1498" s="1423">
        <f t="shared" si="2175"/>
        <v>0</v>
      </c>
      <c r="J1498" s="1423">
        <f t="shared" si="2176"/>
        <v>0</v>
      </c>
      <c r="K1498" s="1423">
        <f t="shared" si="2177"/>
        <v>0</v>
      </c>
      <c r="L1498" s="1423">
        <f t="shared" si="2178"/>
        <v>0</v>
      </c>
      <c r="M1498" s="1423">
        <f t="shared" si="2179"/>
        <v>0</v>
      </c>
      <c r="N1498" s="1423">
        <f t="shared" si="2180"/>
        <v>0</v>
      </c>
      <c r="O1498" s="1423">
        <f t="shared" si="2181"/>
        <v>0</v>
      </c>
      <c r="P1498" s="1423">
        <f t="shared" si="2182"/>
        <v>0</v>
      </c>
      <c r="Q1498" s="1423">
        <f t="shared" si="2183"/>
        <v>0</v>
      </c>
      <c r="R1498" s="1423">
        <f t="shared" si="2184"/>
        <v>0</v>
      </c>
      <c r="S1498" s="1423">
        <f t="shared" si="2185"/>
        <v>0</v>
      </c>
      <c r="T1498" s="1423">
        <f t="shared" si="2186"/>
        <v>0</v>
      </c>
      <c r="U1498" s="1423">
        <f t="shared" si="2187"/>
        <v>0</v>
      </c>
      <c r="V1498" s="1423">
        <f t="shared" si="2188"/>
        <v>0</v>
      </c>
      <c r="W1498" s="1423">
        <f t="shared" si="2189"/>
        <v>0</v>
      </c>
      <c r="X1498" s="152"/>
      <c r="Y1498" s="152"/>
      <c r="Z1498" s="152"/>
      <c r="AA1498" s="152"/>
      <c r="AB1498" s="152"/>
    </row>
    <row r="1499" spans="1:28" hidden="1" outlineLevel="1">
      <c r="A1499" s="152"/>
      <c r="B1499" s="190" t="str">
        <f t="shared" ca="1" si="2190"/>
        <v>RL Capex 2018-19</v>
      </c>
      <c r="C1499" s="1429"/>
      <c r="D1499" s="1429"/>
      <c r="E1499" s="1424"/>
      <c r="F1499" s="1428">
        <f>F1468</f>
        <v>0</v>
      </c>
      <c r="G1499" s="1423">
        <f t="shared" si="2173"/>
        <v>0</v>
      </c>
      <c r="H1499" s="1423">
        <f t="shared" si="2174"/>
        <v>0</v>
      </c>
      <c r="I1499" s="1423">
        <f t="shared" si="2175"/>
        <v>0</v>
      </c>
      <c r="J1499" s="1423">
        <f t="shared" si="2176"/>
        <v>0</v>
      </c>
      <c r="K1499" s="1423">
        <f t="shared" si="2177"/>
        <v>0</v>
      </c>
      <c r="L1499" s="1423">
        <f t="shared" si="2178"/>
        <v>0</v>
      </c>
      <c r="M1499" s="1423">
        <f t="shared" si="2179"/>
        <v>0</v>
      </c>
      <c r="N1499" s="1423">
        <f t="shared" si="2180"/>
        <v>0</v>
      </c>
      <c r="O1499" s="1423">
        <f t="shared" si="2181"/>
        <v>0</v>
      </c>
      <c r="P1499" s="1423">
        <f t="shared" si="2182"/>
        <v>0</v>
      </c>
      <c r="Q1499" s="1423">
        <f t="shared" si="2183"/>
        <v>0</v>
      </c>
      <c r="R1499" s="1423">
        <f t="shared" si="2184"/>
        <v>0</v>
      </c>
      <c r="S1499" s="1423">
        <f t="shared" si="2185"/>
        <v>0</v>
      </c>
      <c r="T1499" s="1423">
        <f t="shared" si="2186"/>
        <v>0</v>
      </c>
      <c r="U1499" s="1423">
        <f t="shared" si="2187"/>
        <v>0</v>
      </c>
      <c r="V1499" s="1423">
        <f t="shared" si="2188"/>
        <v>0</v>
      </c>
      <c r="W1499" s="1423">
        <f t="shared" si="2189"/>
        <v>0</v>
      </c>
      <c r="X1499" s="152"/>
      <c r="Y1499" s="152"/>
      <c r="Z1499" s="152"/>
      <c r="AA1499" s="152"/>
      <c r="AB1499" s="152"/>
    </row>
    <row r="1500" spans="1:28" hidden="1" outlineLevel="1">
      <c r="A1500" s="152"/>
      <c r="B1500" s="190" t="str">
        <f t="shared" ca="1" si="2190"/>
        <v>RL Capex 2019-20</v>
      </c>
      <c r="C1500" s="1429"/>
      <c r="D1500" s="1429"/>
      <c r="E1500" s="1429"/>
      <c r="F1500" s="1424"/>
      <c r="G1500" s="1428">
        <f>G1468</f>
        <v>0</v>
      </c>
      <c r="H1500" s="1423">
        <f t="shared" si="2174"/>
        <v>0</v>
      </c>
      <c r="I1500" s="1423">
        <f t="shared" si="2175"/>
        <v>0</v>
      </c>
      <c r="J1500" s="1423">
        <f t="shared" si="2176"/>
        <v>0</v>
      </c>
      <c r="K1500" s="1423">
        <f t="shared" si="2177"/>
        <v>0</v>
      </c>
      <c r="L1500" s="1423">
        <f t="shared" si="2178"/>
        <v>0</v>
      </c>
      <c r="M1500" s="1423">
        <f t="shared" si="2179"/>
        <v>0</v>
      </c>
      <c r="N1500" s="1423">
        <f t="shared" si="2180"/>
        <v>0</v>
      </c>
      <c r="O1500" s="1423">
        <f t="shared" si="2181"/>
        <v>0</v>
      </c>
      <c r="P1500" s="1423">
        <f t="shared" si="2182"/>
        <v>0</v>
      </c>
      <c r="Q1500" s="1423">
        <f t="shared" si="2183"/>
        <v>0</v>
      </c>
      <c r="R1500" s="1423">
        <f t="shared" si="2184"/>
        <v>0</v>
      </c>
      <c r="S1500" s="1423">
        <f t="shared" si="2185"/>
        <v>0</v>
      </c>
      <c r="T1500" s="1423">
        <f t="shared" si="2186"/>
        <v>0</v>
      </c>
      <c r="U1500" s="1423">
        <f t="shared" si="2187"/>
        <v>0</v>
      </c>
      <c r="V1500" s="1423">
        <f t="shared" si="2188"/>
        <v>0</v>
      </c>
      <c r="W1500" s="1423">
        <f t="shared" si="2189"/>
        <v>0</v>
      </c>
      <c r="X1500" s="152"/>
      <c r="Y1500" s="152"/>
      <c r="Z1500" s="152"/>
      <c r="AA1500" s="152"/>
      <c r="AB1500" s="152"/>
    </row>
    <row r="1501" spans="1:28" hidden="1" outlineLevel="1">
      <c r="A1501" s="152"/>
      <c r="B1501" s="190" t="str">
        <f t="shared" ca="1" si="2190"/>
        <v>RL Capex 2020-21</v>
      </c>
      <c r="C1501" s="1429"/>
      <c r="D1501" s="1429"/>
      <c r="E1501" s="1429"/>
      <c r="F1501" s="1429"/>
      <c r="G1501" s="1424"/>
      <c r="H1501" s="1428">
        <f>H1468</f>
        <v>0</v>
      </c>
      <c r="I1501" s="1423">
        <f t="shared" si="2175"/>
        <v>0</v>
      </c>
      <c r="J1501" s="1423">
        <f t="shared" si="2176"/>
        <v>0</v>
      </c>
      <c r="K1501" s="1423">
        <f t="shared" si="2177"/>
        <v>0</v>
      </c>
      <c r="L1501" s="1423">
        <f t="shared" si="2178"/>
        <v>0</v>
      </c>
      <c r="M1501" s="1423">
        <f t="shared" si="2179"/>
        <v>0</v>
      </c>
      <c r="N1501" s="1423">
        <f t="shared" si="2180"/>
        <v>0</v>
      </c>
      <c r="O1501" s="1423">
        <f t="shared" si="2181"/>
        <v>0</v>
      </c>
      <c r="P1501" s="1423">
        <f t="shared" si="2182"/>
        <v>0</v>
      </c>
      <c r="Q1501" s="1423">
        <f t="shared" si="2183"/>
        <v>0</v>
      </c>
      <c r="R1501" s="1423">
        <f t="shared" si="2184"/>
        <v>0</v>
      </c>
      <c r="S1501" s="1423">
        <f t="shared" si="2185"/>
        <v>0</v>
      </c>
      <c r="T1501" s="1423">
        <f t="shared" si="2186"/>
        <v>0</v>
      </c>
      <c r="U1501" s="1423">
        <f t="shared" si="2187"/>
        <v>0</v>
      </c>
      <c r="V1501" s="1423">
        <f t="shared" si="2188"/>
        <v>0</v>
      </c>
      <c r="W1501" s="1423">
        <f t="shared" si="2189"/>
        <v>0</v>
      </c>
      <c r="X1501" s="152"/>
      <c r="Y1501" s="152"/>
      <c r="Z1501" s="152"/>
      <c r="AA1501" s="152"/>
      <c r="AB1501" s="152"/>
    </row>
    <row r="1502" spans="1:28" hidden="1" outlineLevel="1">
      <c r="A1502" s="152"/>
      <c r="B1502" s="190" t="str">
        <f t="shared" ca="1" si="2190"/>
        <v>RL Capex 2021-22</v>
      </c>
      <c r="C1502" s="1429"/>
      <c r="D1502" s="1429"/>
      <c r="E1502" s="1429"/>
      <c r="F1502" s="1429"/>
      <c r="G1502" s="1429"/>
      <c r="H1502" s="1424"/>
      <c r="I1502" s="1428">
        <f>I1468</f>
        <v>0</v>
      </c>
      <c r="J1502" s="1423">
        <f t="shared" si="2176"/>
        <v>0</v>
      </c>
      <c r="K1502" s="1423">
        <f t="shared" si="2177"/>
        <v>0</v>
      </c>
      <c r="L1502" s="1423">
        <f t="shared" si="2178"/>
        <v>0</v>
      </c>
      <c r="M1502" s="1423">
        <f t="shared" si="2179"/>
        <v>0</v>
      </c>
      <c r="N1502" s="1423">
        <f t="shared" si="2180"/>
        <v>0</v>
      </c>
      <c r="O1502" s="1423">
        <f t="shared" si="2181"/>
        <v>0</v>
      </c>
      <c r="P1502" s="1423">
        <f t="shared" si="2182"/>
        <v>0</v>
      </c>
      <c r="Q1502" s="1423">
        <f t="shared" si="2183"/>
        <v>0</v>
      </c>
      <c r="R1502" s="1423">
        <f t="shared" si="2184"/>
        <v>0</v>
      </c>
      <c r="S1502" s="1423">
        <f t="shared" si="2185"/>
        <v>0</v>
      </c>
      <c r="T1502" s="1423">
        <f t="shared" si="2186"/>
        <v>0</v>
      </c>
      <c r="U1502" s="1423">
        <f t="shared" si="2187"/>
        <v>0</v>
      </c>
      <c r="V1502" s="1423">
        <f t="shared" si="2188"/>
        <v>0</v>
      </c>
      <c r="W1502" s="1423">
        <f t="shared" si="2189"/>
        <v>0</v>
      </c>
      <c r="X1502" s="152"/>
      <c r="Y1502" s="152"/>
      <c r="Z1502" s="152"/>
      <c r="AA1502" s="152"/>
      <c r="AB1502" s="152"/>
    </row>
    <row r="1503" spans="1:28" hidden="1" outlineLevel="1">
      <c r="A1503" s="152"/>
      <c r="B1503" s="190" t="str">
        <f t="shared" ca="1" si="2190"/>
        <v>RL Capex 2022-23</v>
      </c>
      <c r="C1503" s="1429"/>
      <c r="D1503" s="1429"/>
      <c r="E1503" s="1429"/>
      <c r="F1503" s="1429"/>
      <c r="G1503" s="1429"/>
      <c r="H1503" s="1429"/>
      <c r="I1503" s="1424"/>
      <c r="J1503" s="1428">
        <f>J1468</f>
        <v>0</v>
      </c>
      <c r="K1503" s="1423">
        <f t="shared" si="2177"/>
        <v>0</v>
      </c>
      <c r="L1503" s="1423">
        <f t="shared" si="2178"/>
        <v>0</v>
      </c>
      <c r="M1503" s="1423">
        <f t="shared" si="2179"/>
        <v>0</v>
      </c>
      <c r="N1503" s="1423">
        <f t="shared" si="2180"/>
        <v>0</v>
      </c>
      <c r="O1503" s="1423">
        <f t="shared" si="2181"/>
        <v>0</v>
      </c>
      <c r="P1503" s="1423">
        <f t="shared" si="2182"/>
        <v>0</v>
      </c>
      <c r="Q1503" s="1423">
        <f t="shared" si="2183"/>
        <v>0</v>
      </c>
      <c r="R1503" s="1423">
        <f t="shared" si="2184"/>
        <v>0</v>
      </c>
      <c r="S1503" s="1423">
        <f t="shared" si="2185"/>
        <v>0</v>
      </c>
      <c r="T1503" s="1423">
        <f t="shared" si="2186"/>
        <v>0</v>
      </c>
      <c r="U1503" s="1423">
        <f t="shared" si="2187"/>
        <v>0</v>
      </c>
      <c r="V1503" s="1423">
        <f t="shared" si="2188"/>
        <v>0</v>
      </c>
      <c r="W1503" s="1423">
        <f t="shared" si="2189"/>
        <v>0</v>
      </c>
      <c r="X1503" s="152"/>
      <c r="Y1503" s="152"/>
      <c r="Z1503" s="152"/>
      <c r="AA1503" s="152"/>
      <c r="AB1503" s="152"/>
    </row>
    <row r="1504" spans="1:28" hidden="1" outlineLevel="1">
      <c r="A1504" s="152"/>
      <c r="B1504" s="190" t="str">
        <f t="shared" ca="1" si="2190"/>
        <v>RL Capex 2023-24</v>
      </c>
      <c r="C1504" s="1429"/>
      <c r="D1504" s="1429"/>
      <c r="E1504" s="1429"/>
      <c r="F1504" s="1429"/>
      <c r="G1504" s="1429"/>
      <c r="H1504" s="1429"/>
      <c r="I1504" s="1429"/>
      <c r="J1504" s="1424"/>
      <c r="K1504" s="1428">
        <f>K1468</f>
        <v>0</v>
      </c>
      <c r="L1504" s="1423">
        <f t="shared" si="2178"/>
        <v>0</v>
      </c>
      <c r="M1504" s="1423">
        <f t="shared" si="2179"/>
        <v>0</v>
      </c>
      <c r="N1504" s="1423">
        <f t="shared" si="2180"/>
        <v>0</v>
      </c>
      <c r="O1504" s="1423">
        <f t="shared" si="2181"/>
        <v>0</v>
      </c>
      <c r="P1504" s="1423">
        <f t="shared" si="2182"/>
        <v>0</v>
      </c>
      <c r="Q1504" s="1423">
        <f t="shared" si="2183"/>
        <v>0</v>
      </c>
      <c r="R1504" s="1423">
        <f t="shared" si="2184"/>
        <v>0</v>
      </c>
      <c r="S1504" s="1423">
        <f t="shared" si="2185"/>
        <v>0</v>
      </c>
      <c r="T1504" s="1423">
        <f t="shared" si="2186"/>
        <v>0</v>
      </c>
      <c r="U1504" s="1423">
        <f t="shared" si="2187"/>
        <v>0</v>
      </c>
      <c r="V1504" s="1423">
        <f t="shared" si="2188"/>
        <v>0</v>
      </c>
      <c r="W1504" s="1423">
        <f t="shared" si="2189"/>
        <v>0</v>
      </c>
      <c r="X1504" s="152"/>
      <c r="Y1504" s="152"/>
      <c r="Z1504" s="152"/>
      <c r="AA1504" s="152"/>
      <c r="AB1504" s="152"/>
    </row>
    <row r="1505" spans="1:28" hidden="1" outlineLevel="1">
      <c r="A1505" s="152"/>
      <c r="B1505" s="190" t="str">
        <f t="shared" ca="1" si="2190"/>
        <v>RL Capex 2024-25</v>
      </c>
      <c r="C1505" s="1429"/>
      <c r="D1505" s="1429"/>
      <c r="E1505" s="1429"/>
      <c r="F1505" s="1429"/>
      <c r="G1505" s="1429"/>
      <c r="H1505" s="1429"/>
      <c r="I1505" s="1429"/>
      <c r="J1505" s="1429"/>
      <c r="K1505" s="1424"/>
      <c r="L1505" s="1428">
        <f>L1468</f>
        <v>0</v>
      </c>
      <c r="M1505" s="1423">
        <f t="shared" si="2179"/>
        <v>0</v>
      </c>
      <c r="N1505" s="1423">
        <f t="shared" si="2180"/>
        <v>0</v>
      </c>
      <c r="O1505" s="1423">
        <f t="shared" si="2181"/>
        <v>0</v>
      </c>
      <c r="P1505" s="1423">
        <f t="shared" si="2182"/>
        <v>0</v>
      </c>
      <c r="Q1505" s="1423">
        <f t="shared" si="2183"/>
        <v>0</v>
      </c>
      <c r="R1505" s="1423">
        <f t="shared" si="2184"/>
        <v>0</v>
      </c>
      <c r="S1505" s="1423">
        <f t="shared" si="2185"/>
        <v>0</v>
      </c>
      <c r="T1505" s="1423">
        <f t="shared" si="2186"/>
        <v>0</v>
      </c>
      <c r="U1505" s="1423">
        <f t="shared" si="2187"/>
        <v>0</v>
      </c>
      <c r="V1505" s="1423">
        <f t="shared" si="2188"/>
        <v>0</v>
      </c>
      <c r="W1505" s="1423">
        <f t="shared" si="2189"/>
        <v>0</v>
      </c>
      <c r="X1505" s="152"/>
      <c r="Y1505" s="152"/>
      <c r="Z1505" s="152"/>
      <c r="AA1505" s="152"/>
      <c r="AB1505" s="152"/>
    </row>
    <row r="1506" spans="1:28" hidden="1" outlineLevel="1">
      <c r="A1506" s="152"/>
      <c r="B1506" s="190" t="str">
        <f t="shared" ca="1" si="2190"/>
        <v>RL Capex 2025-26</v>
      </c>
      <c r="C1506" s="1429"/>
      <c r="D1506" s="1429"/>
      <c r="E1506" s="1429"/>
      <c r="F1506" s="1429"/>
      <c r="G1506" s="1429"/>
      <c r="H1506" s="1429"/>
      <c r="I1506" s="1429"/>
      <c r="J1506" s="1429"/>
      <c r="K1506" s="1429"/>
      <c r="L1506" s="1424"/>
      <c r="M1506" s="1428">
        <f>M1468</f>
        <v>0</v>
      </c>
      <c r="N1506" s="1423">
        <f t="shared" si="2180"/>
        <v>0</v>
      </c>
      <c r="O1506" s="1423">
        <f t="shared" si="2181"/>
        <v>0</v>
      </c>
      <c r="P1506" s="1423">
        <f t="shared" si="2182"/>
        <v>0</v>
      </c>
      <c r="Q1506" s="1423">
        <f t="shared" si="2183"/>
        <v>0</v>
      </c>
      <c r="R1506" s="1423">
        <f t="shared" si="2184"/>
        <v>0</v>
      </c>
      <c r="S1506" s="1423">
        <f t="shared" si="2185"/>
        <v>0</v>
      </c>
      <c r="T1506" s="1423">
        <f t="shared" si="2186"/>
        <v>0</v>
      </c>
      <c r="U1506" s="1423">
        <f t="shared" si="2187"/>
        <v>0</v>
      </c>
      <c r="V1506" s="1423">
        <f t="shared" si="2188"/>
        <v>0</v>
      </c>
      <c r="W1506" s="1423">
        <f t="shared" si="2189"/>
        <v>0</v>
      </c>
      <c r="X1506" s="152"/>
      <c r="Y1506" s="152"/>
      <c r="Z1506" s="152"/>
      <c r="AA1506" s="152"/>
      <c r="AB1506" s="152"/>
    </row>
    <row r="1507" spans="1:28" hidden="1" outlineLevel="1">
      <c r="A1507" s="152"/>
      <c r="B1507" s="190" t="str">
        <f t="shared" ca="1" si="2190"/>
        <v>RL Capex 2026-27</v>
      </c>
      <c r="C1507" s="1429"/>
      <c r="D1507" s="1429"/>
      <c r="E1507" s="1429"/>
      <c r="F1507" s="1429"/>
      <c r="G1507" s="1429"/>
      <c r="H1507" s="1429"/>
      <c r="I1507" s="1429"/>
      <c r="J1507" s="1429"/>
      <c r="K1507" s="1429"/>
      <c r="L1507" s="1429"/>
      <c r="M1507" s="1424"/>
      <c r="N1507" s="1428">
        <f>N1468</f>
        <v>0</v>
      </c>
      <c r="O1507" s="1423">
        <f t="shared" si="2181"/>
        <v>0</v>
      </c>
      <c r="P1507" s="1423">
        <f t="shared" si="2182"/>
        <v>0</v>
      </c>
      <c r="Q1507" s="1423">
        <f t="shared" si="2183"/>
        <v>0</v>
      </c>
      <c r="R1507" s="1423">
        <f t="shared" si="2184"/>
        <v>0</v>
      </c>
      <c r="S1507" s="1423">
        <f t="shared" si="2185"/>
        <v>0</v>
      </c>
      <c r="T1507" s="1423">
        <f t="shared" si="2186"/>
        <v>0</v>
      </c>
      <c r="U1507" s="1423">
        <f t="shared" si="2187"/>
        <v>0</v>
      </c>
      <c r="V1507" s="1423">
        <f t="shared" si="2188"/>
        <v>0</v>
      </c>
      <c r="W1507" s="1423">
        <f t="shared" si="2189"/>
        <v>0</v>
      </c>
      <c r="X1507" s="152"/>
      <c r="Y1507" s="152"/>
      <c r="Z1507" s="152"/>
      <c r="AA1507" s="152"/>
      <c r="AB1507" s="152"/>
    </row>
    <row r="1508" spans="1:28" hidden="1" outlineLevel="1">
      <c r="A1508" s="152"/>
      <c r="B1508" s="190" t="str">
        <f t="shared" ca="1" si="2190"/>
        <v>RL Capex 2027-28</v>
      </c>
      <c r="C1508" s="1429"/>
      <c r="D1508" s="1429"/>
      <c r="E1508" s="1429"/>
      <c r="F1508" s="1429"/>
      <c r="G1508" s="1429"/>
      <c r="H1508" s="1429"/>
      <c r="I1508" s="1429"/>
      <c r="J1508" s="1429"/>
      <c r="K1508" s="1429"/>
      <c r="L1508" s="1429"/>
      <c r="M1508" s="1429"/>
      <c r="N1508" s="1424"/>
      <c r="O1508" s="1428">
        <f>O1468</f>
        <v>0</v>
      </c>
      <c r="P1508" s="1423">
        <f t="shared" si="2182"/>
        <v>0</v>
      </c>
      <c r="Q1508" s="1423">
        <f t="shared" si="2183"/>
        <v>0</v>
      </c>
      <c r="R1508" s="1423">
        <f t="shared" si="2184"/>
        <v>0</v>
      </c>
      <c r="S1508" s="1423">
        <f t="shared" si="2185"/>
        <v>0</v>
      </c>
      <c r="T1508" s="1423">
        <f t="shared" si="2186"/>
        <v>0</v>
      </c>
      <c r="U1508" s="1423">
        <f t="shared" si="2187"/>
        <v>0</v>
      </c>
      <c r="V1508" s="1423">
        <f t="shared" si="2188"/>
        <v>0</v>
      </c>
      <c r="W1508" s="1423">
        <f t="shared" si="2189"/>
        <v>0</v>
      </c>
      <c r="X1508" s="152"/>
      <c r="Y1508" s="152"/>
      <c r="Z1508" s="152"/>
      <c r="AA1508" s="152"/>
      <c r="AB1508" s="152"/>
    </row>
    <row r="1509" spans="1:28" hidden="1" outlineLevel="1">
      <c r="A1509" s="152"/>
      <c r="B1509" s="190" t="str">
        <f t="shared" ca="1" si="2190"/>
        <v>RL Capex 2028-29</v>
      </c>
      <c r="C1509" s="1429"/>
      <c r="D1509" s="1429"/>
      <c r="E1509" s="1429"/>
      <c r="F1509" s="1429"/>
      <c r="G1509" s="1429"/>
      <c r="H1509" s="1429"/>
      <c r="I1509" s="1429"/>
      <c r="J1509" s="1429"/>
      <c r="K1509" s="1429"/>
      <c r="L1509" s="1429"/>
      <c r="M1509" s="1429"/>
      <c r="N1509" s="1429"/>
      <c r="O1509" s="1424"/>
      <c r="P1509" s="1428">
        <f>P1468</f>
        <v>0</v>
      </c>
      <c r="Q1509" s="1423">
        <f t="shared" si="2183"/>
        <v>0</v>
      </c>
      <c r="R1509" s="1423">
        <f t="shared" si="2184"/>
        <v>0</v>
      </c>
      <c r="S1509" s="1423">
        <f t="shared" si="2185"/>
        <v>0</v>
      </c>
      <c r="T1509" s="1423">
        <f t="shared" si="2186"/>
        <v>0</v>
      </c>
      <c r="U1509" s="1423">
        <f t="shared" si="2187"/>
        <v>0</v>
      </c>
      <c r="V1509" s="1423">
        <f t="shared" si="2188"/>
        <v>0</v>
      </c>
      <c r="W1509" s="1423">
        <f t="shared" si="2189"/>
        <v>0</v>
      </c>
      <c r="X1509" s="152"/>
      <c r="Y1509" s="152"/>
      <c r="Z1509" s="152"/>
      <c r="AA1509" s="152"/>
      <c r="AB1509" s="152"/>
    </row>
    <row r="1510" spans="1:28" hidden="1" outlineLevel="1">
      <c r="A1510" s="152"/>
      <c r="B1510" s="190" t="str">
        <f t="shared" ca="1" si="2190"/>
        <v>RL Capex 2029-30</v>
      </c>
      <c r="C1510" s="1429"/>
      <c r="D1510" s="1429"/>
      <c r="E1510" s="1429"/>
      <c r="F1510" s="1429"/>
      <c r="G1510" s="1429"/>
      <c r="H1510" s="1429"/>
      <c r="I1510" s="1429"/>
      <c r="J1510" s="1429"/>
      <c r="K1510" s="1429"/>
      <c r="L1510" s="1429"/>
      <c r="M1510" s="1429"/>
      <c r="N1510" s="1429"/>
      <c r="O1510" s="1429"/>
      <c r="P1510" s="1424"/>
      <c r="Q1510" s="1428">
        <f>Q1468</f>
        <v>0</v>
      </c>
      <c r="R1510" s="1423">
        <f t="shared" si="2184"/>
        <v>0</v>
      </c>
      <c r="S1510" s="1423">
        <f t="shared" si="2185"/>
        <v>0</v>
      </c>
      <c r="T1510" s="1423">
        <f t="shared" si="2186"/>
        <v>0</v>
      </c>
      <c r="U1510" s="1423">
        <f t="shared" si="2187"/>
        <v>0</v>
      </c>
      <c r="V1510" s="1423">
        <f t="shared" si="2188"/>
        <v>0</v>
      </c>
      <c r="W1510" s="1423">
        <f t="shared" si="2189"/>
        <v>0</v>
      </c>
      <c r="X1510" s="152"/>
      <c r="Y1510" s="152"/>
      <c r="Z1510" s="152"/>
      <c r="AA1510" s="152"/>
      <c r="AB1510" s="152"/>
    </row>
    <row r="1511" spans="1:28" hidden="1" outlineLevel="1">
      <c r="A1511" s="152"/>
      <c r="B1511" s="190" t="str">
        <f t="shared" ca="1" si="2190"/>
        <v>RL Capex 2030-31</v>
      </c>
      <c r="C1511" s="1429"/>
      <c r="D1511" s="1429"/>
      <c r="E1511" s="1429"/>
      <c r="F1511" s="1429"/>
      <c r="G1511" s="1429"/>
      <c r="H1511" s="1429"/>
      <c r="I1511" s="1429"/>
      <c r="J1511" s="1429"/>
      <c r="K1511" s="1429"/>
      <c r="L1511" s="1429"/>
      <c r="M1511" s="1429"/>
      <c r="N1511" s="1429"/>
      <c r="O1511" s="1429"/>
      <c r="P1511" s="1429"/>
      <c r="Q1511" s="1424"/>
      <c r="R1511" s="1428">
        <f>R1468</f>
        <v>0</v>
      </c>
      <c r="S1511" s="1423">
        <f t="shared" si="2185"/>
        <v>0</v>
      </c>
      <c r="T1511" s="1423">
        <f t="shared" si="2186"/>
        <v>0</v>
      </c>
      <c r="U1511" s="1423">
        <f t="shared" si="2187"/>
        <v>0</v>
      </c>
      <c r="V1511" s="1423">
        <f t="shared" si="2188"/>
        <v>0</v>
      </c>
      <c r="W1511" s="1423">
        <f t="shared" si="2189"/>
        <v>0</v>
      </c>
      <c r="X1511" s="152"/>
      <c r="Y1511" s="152"/>
      <c r="Z1511" s="152"/>
      <c r="AA1511" s="152"/>
      <c r="AB1511" s="152"/>
    </row>
    <row r="1512" spans="1:28" hidden="1" outlineLevel="1">
      <c r="A1512" s="152"/>
      <c r="B1512" s="190" t="str">
        <f t="shared" ca="1" si="2190"/>
        <v>RL Capex 2031-32</v>
      </c>
      <c r="C1512" s="1429"/>
      <c r="D1512" s="1429"/>
      <c r="E1512" s="1429"/>
      <c r="F1512" s="1429"/>
      <c r="G1512" s="1429"/>
      <c r="H1512" s="1429"/>
      <c r="I1512" s="1429"/>
      <c r="J1512" s="1429"/>
      <c r="K1512" s="1429"/>
      <c r="L1512" s="1429"/>
      <c r="M1512" s="1429"/>
      <c r="N1512" s="1429"/>
      <c r="O1512" s="1429"/>
      <c r="P1512" s="1429"/>
      <c r="Q1512" s="1429"/>
      <c r="R1512" s="1424"/>
      <c r="S1512" s="1428">
        <f>S1468</f>
        <v>0</v>
      </c>
      <c r="T1512" s="1423">
        <f t="shared" si="2186"/>
        <v>0</v>
      </c>
      <c r="U1512" s="1423">
        <f t="shared" si="2187"/>
        <v>0</v>
      </c>
      <c r="V1512" s="1423">
        <f t="shared" si="2188"/>
        <v>0</v>
      </c>
      <c r="W1512" s="1423">
        <f t="shared" si="2189"/>
        <v>0</v>
      </c>
      <c r="X1512" s="152"/>
      <c r="Y1512" s="152"/>
      <c r="Z1512" s="152"/>
      <c r="AA1512" s="152"/>
      <c r="AB1512" s="152"/>
    </row>
    <row r="1513" spans="1:28" hidden="1" outlineLevel="1">
      <c r="A1513" s="152"/>
      <c r="B1513" s="190" t="str">
        <f t="shared" ca="1" si="2190"/>
        <v>RL Capex 2032-33</v>
      </c>
      <c r="C1513" s="1429"/>
      <c r="D1513" s="1429"/>
      <c r="E1513" s="1429"/>
      <c r="F1513" s="1429"/>
      <c r="G1513" s="1429"/>
      <c r="H1513" s="1429"/>
      <c r="I1513" s="1429"/>
      <c r="J1513" s="1429"/>
      <c r="K1513" s="1429"/>
      <c r="L1513" s="1429"/>
      <c r="M1513" s="1429"/>
      <c r="N1513" s="1429"/>
      <c r="O1513" s="1429"/>
      <c r="P1513" s="1429"/>
      <c r="Q1513" s="1429"/>
      <c r="R1513" s="1429"/>
      <c r="S1513" s="1424"/>
      <c r="T1513" s="1428">
        <f>T1468</f>
        <v>0</v>
      </c>
      <c r="U1513" s="1423">
        <f t="shared" si="2187"/>
        <v>0</v>
      </c>
      <c r="V1513" s="1423">
        <f t="shared" si="2188"/>
        <v>0</v>
      </c>
      <c r="W1513" s="1423">
        <f t="shared" si="2189"/>
        <v>0</v>
      </c>
      <c r="X1513" s="152"/>
      <c r="Y1513" s="152"/>
      <c r="Z1513" s="152"/>
      <c r="AA1513" s="152"/>
      <c r="AB1513" s="152"/>
    </row>
    <row r="1514" spans="1:28" hidden="1" outlineLevel="1">
      <c r="A1514" s="152"/>
      <c r="B1514" s="190" t="str">
        <f t="shared" ca="1" si="2190"/>
        <v>RL Capex 2033-34</v>
      </c>
      <c r="C1514" s="1429"/>
      <c r="D1514" s="1429"/>
      <c r="E1514" s="1429"/>
      <c r="F1514" s="1429"/>
      <c r="G1514" s="1429"/>
      <c r="H1514" s="1429"/>
      <c r="I1514" s="1429"/>
      <c r="J1514" s="1429"/>
      <c r="K1514" s="1429"/>
      <c r="L1514" s="1429"/>
      <c r="M1514" s="1429"/>
      <c r="N1514" s="1429"/>
      <c r="O1514" s="1429"/>
      <c r="P1514" s="1429"/>
      <c r="Q1514" s="1429"/>
      <c r="R1514" s="1429"/>
      <c r="S1514" s="1429"/>
      <c r="T1514" s="1424"/>
      <c r="U1514" s="1428">
        <f>U1468</f>
        <v>0</v>
      </c>
      <c r="V1514" s="1423">
        <f t="shared" si="2188"/>
        <v>0</v>
      </c>
      <c r="W1514" s="1423">
        <f t="shared" si="2189"/>
        <v>0</v>
      </c>
      <c r="X1514" s="152"/>
      <c r="Y1514" s="152"/>
      <c r="Z1514" s="152"/>
      <c r="AA1514" s="152"/>
      <c r="AB1514" s="152"/>
    </row>
    <row r="1515" spans="1:28" hidden="1" outlineLevel="1">
      <c r="A1515" s="152"/>
      <c r="B1515" s="190" t="str">
        <f t="shared" ca="1" si="2190"/>
        <v>RL Capex 2034-35</v>
      </c>
      <c r="C1515" s="1429"/>
      <c r="D1515" s="1429"/>
      <c r="E1515" s="1429"/>
      <c r="F1515" s="1429"/>
      <c r="G1515" s="1429"/>
      <c r="H1515" s="1429"/>
      <c r="I1515" s="1429"/>
      <c r="J1515" s="1429"/>
      <c r="K1515" s="1429"/>
      <c r="L1515" s="1429"/>
      <c r="M1515" s="1429"/>
      <c r="N1515" s="1429"/>
      <c r="O1515" s="1429"/>
      <c r="P1515" s="1429"/>
      <c r="Q1515" s="1429"/>
      <c r="R1515" s="1429"/>
      <c r="S1515" s="1429"/>
      <c r="T1515" s="1429"/>
      <c r="U1515" s="1424"/>
      <c r="V1515" s="1428">
        <f>V1468</f>
        <v>0</v>
      </c>
      <c r="W1515" s="1423">
        <f>IF(V1515="n/a","n/a",MAX(0,V1515-1))</f>
        <v>0</v>
      </c>
      <c r="X1515" s="152"/>
      <c r="Y1515" s="152"/>
      <c r="Z1515" s="152"/>
      <c r="AA1515" s="152"/>
      <c r="AB1515" s="152"/>
    </row>
    <row r="1516" spans="1:28" hidden="1" outlineLevel="1">
      <c r="A1516" s="152"/>
      <c r="B1516" s="190" t="str">
        <f t="shared" ca="1" si="2190"/>
        <v>RL Capex 2035-36</v>
      </c>
      <c r="C1516" s="1429"/>
      <c r="D1516" s="1429"/>
      <c r="E1516" s="1429"/>
      <c r="F1516" s="1429"/>
      <c r="G1516" s="1429"/>
      <c r="H1516" s="1429"/>
      <c r="I1516" s="1429"/>
      <c r="J1516" s="1429"/>
      <c r="K1516" s="1429"/>
      <c r="L1516" s="1429"/>
      <c r="M1516" s="1429"/>
      <c r="N1516" s="1429"/>
      <c r="O1516" s="1429"/>
      <c r="P1516" s="1429"/>
      <c r="Q1516" s="1429"/>
      <c r="R1516" s="1429"/>
      <c r="S1516" s="1429"/>
      <c r="T1516" s="1429"/>
      <c r="U1516" s="1429"/>
      <c r="V1516" s="1424"/>
      <c r="W1516" s="1423">
        <f>W1468</f>
        <v>0</v>
      </c>
      <c r="X1516" s="152"/>
      <c r="Y1516" s="152"/>
      <c r="Z1516" s="152"/>
      <c r="AA1516" s="152"/>
      <c r="AB1516" s="152"/>
    </row>
    <row r="1517" spans="1:28" hidden="1" outlineLevel="1">
      <c r="A1517" s="152"/>
      <c r="B1517" s="200"/>
      <c r="C1517" s="1423"/>
      <c r="D1517" s="1423"/>
      <c r="E1517" s="1423"/>
      <c r="F1517" s="1423"/>
      <c r="G1517" s="1423"/>
      <c r="H1517" s="1423"/>
      <c r="I1517" s="1423"/>
      <c r="J1517" s="1423"/>
      <c r="K1517" s="1423"/>
      <c r="L1517" s="1423"/>
      <c r="M1517" s="1423"/>
      <c r="N1517" s="1423"/>
      <c r="O1517" s="1423"/>
      <c r="P1517" s="1423"/>
      <c r="Q1517" s="1423"/>
      <c r="R1517" s="1423"/>
      <c r="S1517" s="1423"/>
      <c r="T1517" s="1423"/>
      <c r="U1517" s="1423"/>
      <c r="V1517" s="1423"/>
      <c r="W1517" s="1423"/>
      <c r="X1517" s="152"/>
      <c r="Y1517" s="152"/>
      <c r="Z1517" s="152"/>
      <c r="AA1517" s="152"/>
      <c r="AB1517" s="152"/>
    </row>
    <row r="1518" spans="1:28" collapsed="1">
      <c r="A1518" s="194"/>
      <c r="B1518" s="204" t="s">
        <v>123</v>
      </c>
      <c r="C1518" s="1430">
        <f ca="1">(IF(OR($C1468&lt;&gt;"n/a",C1468&lt;&gt;"n/a"),IF(SUM(C1471:C1493)=0,0,IF((SUMPRODUCT(C1471:C1493,C1495:C1517)/SUM(C1471:C1493))&lt;0,1,(SUMPRODUCT(C1471:C1493,C1495:C1517)/SUM(C1471:C1493)))),"n/a"))</f>
        <v>0</v>
      </c>
      <c r="D1518" s="1430">
        <f ca="1">(IF(OR($C1468&lt;&gt;"n/a",D1468&lt;&gt;"n/a"),IF(SUM(D1471:D1493)=0,0,IF((SUMPRODUCT(D1471:D1493,D1495:D1517)/SUM(D1471:D1493))&lt;0,1,(SUMPRODUCT(D1471:D1493,D1495:D1517)/SUM(D1471:D1493)))),"n/a"))</f>
        <v>0</v>
      </c>
      <c r="E1518" s="1430">
        <f t="shared" ref="E1518:W1518" ca="1" si="2191">(IF(OR($C1468&lt;&gt;"n/a",E1468&lt;&gt;"n/a"),IF(SUM(E1471:E1493)=0,0,IF((SUMPRODUCT(E1471:E1493,E1495:E1517)/SUM(E1471:E1493))&lt;0,1,(SUMPRODUCT(E1471:E1493,E1495:E1517)/SUM(E1471:E1493)))),"n/a"))</f>
        <v>0</v>
      </c>
      <c r="F1518" s="1430">
        <f t="shared" ca="1" si="2191"/>
        <v>0</v>
      </c>
      <c r="G1518" s="1430">
        <f t="shared" ca="1" si="2191"/>
        <v>0</v>
      </c>
      <c r="H1518" s="1430">
        <f t="shared" ca="1" si="2191"/>
        <v>0</v>
      </c>
      <c r="I1518" s="1430">
        <f t="shared" ca="1" si="2191"/>
        <v>0</v>
      </c>
      <c r="J1518" s="1430">
        <f t="shared" ca="1" si="2191"/>
        <v>0</v>
      </c>
      <c r="K1518" s="1430">
        <f t="shared" ca="1" si="2191"/>
        <v>0</v>
      </c>
      <c r="L1518" s="1430">
        <f t="shared" ca="1" si="2191"/>
        <v>0</v>
      </c>
      <c r="M1518" s="1430">
        <f t="shared" ca="1" si="2191"/>
        <v>0</v>
      </c>
      <c r="N1518" s="1430">
        <f t="shared" ca="1" si="2191"/>
        <v>0</v>
      </c>
      <c r="O1518" s="1430">
        <f t="shared" ca="1" si="2191"/>
        <v>0</v>
      </c>
      <c r="P1518" s="1430">
        <f t="shared" ca="1" si="2191"/>
        <v>0</v>
      </c>
      <c r="Q1518" s="1430">
        <f t="shared" ca="1" si="2191"/>
        <v>0</v>
      </c>
      <c r="R1518" s="1430">
        <f t="shared" ca="1" si="2191"/>
        <v>0</v>
      </c>
      <c r="S1518" s="1430">
        <f t="shared" ca="1" si="2191"/>
        <v>0</v>
      </c>
      <c r="T1518" s="1430">
        <f t="shared" ca="1" si="2191"/>
        <v>0</v>
      </c>
      <c r="U1518" s="1430">
        <f t="shared" ca="1" si="2191"/>
        <v>0</v>
      </c>
      <c r="V1518" s="1430">
        <f t="shared" ca="1" si="2191"/>
        <v>0</v>
      </c>
      <c r="W1518" s="1430">
        <f t="shared" ca="1" si="2191"/>
        <v>0</v>
      </c>
      <c r="X1518" s="152"/>
      <c r="Y1518" s="152"/>
      <c r="Z1518" s="152"/>
      <c r="AA1518" s="152"/>
      <c r="AB1518" s="152"/>
    </row>
    <row r="1519" spans="1:28">
      <c r="A1519" s="152"/>
      <c r="B1519" s="152"/>
      <c r="C1519" s="1423"/>
      <c r="D1519" s="1423"/>
      <c r="E1519" s="1423"/>
      <c r="F1519" s="1423"/>
      <c r="G1519" s="1423"/>
      <c r="H1519" s="1423"/>
      <c r="I1519" s="1423"/>
      <c r="J1519" s="1423"/>
      <c r="K1519" s="1423"/>
      <c r="L1519" s="1423"/>
      <c r="M1519" s="1423"/>
      <c r="N1519" s="1423"/>
      <c r="O1519" s="1423"/>
      <c r="P1519" s="1423"/>
      <c r="Q1519" s="1423"/>
      <c r="R1519" s="1423"/>
      <c r="S1519" s="1423"/>
      <c r="T1519" s="1423"/>
      <c r="U1519" s="1423"/>
      <c r="V1519" s="1423"/>
      <c r="W1519" s="1423"/>
      <c r="X1519" s="152"/>
      <c r="Y1519" s="152"/>
      <c r="Z1519" s="152"/>
      <c r="AA1519" s="152"/>
      <c r="AB1519" s="152"/>
    </row>
    <row r="1520" spans="1:28">
      <c r="A1520" s="269" t="s">
        <v>63</v>
      </c>
      <c r="B1520" s="270">
        <f>VLOOKUP($A1520,'RFM input'!$E$7:$F$56,2,FALSE)</f>
        <v>0</v>
      </c>
      <c r="C1520" s="1431"/>
      <c r="D1520" s="1431"/>
      <c r="E1520" s="1432"/>
      <c r="F1520" s="1432"/>
      <c r="G1520" s="1432"/>
      <c r="H1520" s="1432"/>
      <c r="I1520" s="1432"/>
      <c r="J1520" s="1432"/>
      <c r="K1520" s="1432"/>
      <c r="L1520" s="1432"/>
      <c r="M1520" s="1432"/>
      <c r="N1520" s="1432"/>
      <c r="O1520" s="1432"/>
      <c r="P1520" s="1432"/>
      <c r="Q1520" s="1432"/>
      <c r="R1520" s="1432"/>
      <c r="S1520" s="1432"/>
      <c r="T1520" s="1432"/>
      <c r="U1520" s="1432"/>
      <c r="V1520" s="1432"/>
      <c r="W1520" s="1432"/>
      <c r="X1520" s="152"/>
      <c r="Y1520" s="152"/>
      <c r="Z1520" s="152"/>
      <c r="AA1520" s="152"/>
      <c r="AB1520" s="152"/>
    </row>
    <row r="1521" spans="1:28">
      <c r="A1521" s="215">
        <f>VALUE(REPLACE(A1520,1,12,""))</f>
        <v>29</v>
      </c>
      <c r="B1521" s="193" t="s">
        <v>126</v>
      </c>
      <c r="C1521" s="1416">
        <f ca="1">IF($D$6='TAB roll forward'!$H$4,OFFSET('TAB roll forward'!$H$7,A1521,0),"enter input")</f>
        <v>0</v>
      </c>
      <c r="D1521" s="1417">
        <f>IF(LEFT(D$6,4)&lt;LEFT('RFM input'!$G$60,4),"enter input",IF(LEFT(D$6,4)&gt;LEFT('RFM input'!$Q$60,4),0,
INDEX('RFM input'!$G$61:$Q$110,$A1521,MATCH(D$6,'RFM input'!$G$60:$Q$60,0))
   -INDEX('RFM input'!$G$115:$Q$164,$A1521,MATCH(D$6,'RFM input'!$G$60:$Q$60,0))))</f>
        <v>0</v>
      </c>
      <c r="E1521" s="1417">
        <f>IF(LEFT(E$6,4)&lt;LEFT('RFM input'!$G$60,4),"enter input",IF(LEFT(E$6,4)&gt;LEFT('RFM input'!$Q$60,4),0,
INDEX('RFM input'!$G$61:$Q$110,$A1521,MATCH(E$6,'RFM input'!$G$60:$Q$60,0))
   -INDEX('RFM input'!$G$115:$Q$164,$A1521,MATCH(E$6,'RFM input'!$G$60:$Q$60,0))))</f>
        <v>0</v>
      </c>
      <c r="F1521" s="1417">
        <f>IF(LEFT(F$6,4)&lt;LEFT('RFM input'!$G$60,4),"enter input",IF(LEFT(F$6,4)&gt;LEFT('RFM input'!$Q$60,4),0,
INDEX('RFM input'!$G$61:$Q$110,$A1521,MATCH(F$6,'RFM input'!$G$60:$Q$60,0))
   -INDEX('RFM input'!$G$115:$Q$164,$A1521,MATCH(F$6,'RFM input'!$G$60:$Q$60,0))))</f>
        <v>0</v>
      </c>
      <c r="G1521" s="1417">
        <f>IF(LEFT(G$6,4)&lt;LEFT('RFM input'!$G$60,4),"enter input",IF(LEFT(G$6,4)&gt;LEFT('RFM input'!$Q$60,4),0,
INDEX('RFM input'!$G$61:$Q$110,$A1521,MATCH(G$6,'RFM input'!$G$60:$Q$60,0))
   -INDEX('RFM input'!$G$115:$Q$164,$A1521,MATCH(G$6,'RFM input'!$G$60:$Q$60,0))))</f>
        <v>0</v>
      </c>
      <c r="H1521" s="1417">
        <f>IF(LEFT(H$6,4)&lt;LEFT('RFM input'!$G$60,4),"enter input",IF(LEFT(H$6,4)&gt;LEFT('RFM input'!$Q$60,4),0,
INDEX('RFM input'!$G$61:$Q$110,$A1521,MATCH(H$6,'RFM input'!$G$60:$Q$60,0))
   -INDEX('RFM input'!$G$115:$Q$164,$A1521,MATCH(H$6,'RFM input'!$G$60:$Q$60,0))))</f>
        <v>0</v>
      </c>
      <c r="I1521" s="1417">
        <f>IF(LEFT(I$6,4)&lt;LEFT('RFM input'!$G$60,4),"enter input",IF(LEFT(I$6,4)&gt;LEFT('RFM input'!$Q$60,4),0,
INDEX('RFM input'!$G$61:$Q$110,$A1521,MATCH(I$6,'RFM input'!$G$60:$Q$60,0))
   -INDEX('RFM input'!$G$115:$Q$164,$A1521,MATCH(I$6,'RFM input'!$G$60:$Q$60,0))))</f>
        <v>0</v>
      </c>
      <c r="J1521" s="1417">
        <f>IF(LEFT(J$6,4)&lt;LEFT('RFM input'!$G$60,4),"enter input",IF(LEFT(J$6,4)&gt;LEFT('RFM input'!$Q$60,4),0,
INDEX('RFM input'!$G$61:$Q$110,$A1521,MATCH(J$6,'RFM input'!$G$60:$Q$60,0))
   -INDEX('RFM input'!$G$115:$Q$164,$A1521,MATCH(J$6,'RFM input'!$G$60:$Q$60,0))))</f>
        <v>0</v>
      </c>
      <c r="K1521" s="1417">
        <f>IF(LEFT(K$6,4)&lt;LEFT('RFM input'!$G$60,4),"enter input",IF(LEFT(K$6,4)&gt;LEFT('RFM input'!$Q$60,4),0,
INDEX('RFM input'!$G$61:$Q$110,$A1521,MATCH(K$6,'RFM input'!$G$60:$Q$60,0))
   -INDEX('RFM input'!$G$115:$Q$164,$A1521,MATCH(K$6,'RFM input'!$G$60:$Q$60,0))))</f>
        <v>0</v>
      </c>
      <c r="L1521" s="1417">
        <f>IF(LEFT(L$6,4)&lt;LEFT('RFM input'!$G$60,4),"enter input",IF(LEFT(L$6,4)&gt;LEFT('RFM input'!$Q$60,4),0,
INDEX('RFM input'!$G$61:$Q$110,$A1521,MATCH(L$6,'RFM input'!$G$60:$Q$60,0))
   -INDEX('RFM input'!$G$115:$Q$164,$A1521,MATCH(L$6,'RFM input'!$G$60:$Q$60,0))))</f>
        <v>0</v>
      </c>
      <c r="M1521" s="1417">
        <f>IF(LEFT(M$6,4)&lt;LEFT('RFM input'!$G$60,4),"enter input",IF(LEFT(M$6,4)&gt;LEFT('RFM input'!$Q$60,4),0,
INDEX('RFM input'!$G$61:$Q$110,$A1521,MATCH(M$6,'RFM input'!$G$60:$Q$60,0))
   -INDEX('RFM input'!$G$115:$Q$164,$A1521,MATCH(M$6,'RFM input'!$G$60:$Q$60,0))))</f>
        <v>0</v>
      </c>
      <c r="N1521" s="1417">
        <f>IF(LEFT(N$6,4)&lt;LEFT('RFM input'!$G$60,4),"enter input",IF(LEFT(N$6,4)&gt;LEFT('RFM input'!$Q$60,4),0,
INDEX('RFM input'!$G$61:$Q$110,$A1521,MATCH(N$6,'RFM input'!$G$60:$Q$60,0))
   -INDEX('RFM input'!$G$115:$Q$164,$A1521,MATCH(N$6,'RFM input'!$G$60:$Q$60,0))))</f>
        <v>0</v>
      </c>
      <c r="O1521" s="1417">
        <f>IF(LEFT(O$6,4)&lt;LEFT('RFM input'!$G$60,4),"enter input",IF(LEFT(O$6,4)&gt;LEFT('RFM input'!$Q$60,4),0,
INDEX('RFM input'!$G$61:$Q$110,$A1521,MATCH(O$6,'RFM input'!$G$60:$Q$60,0))
   -INDEX('RFM input'!$G$115:$Q$164,$A1521,MATCH(O$6,'RFM input'!$G$60:$Q$60,0))))</f>
        <v>0</v>
      </c>
      <c r="P1521" s="1417">
        <f>IF(LEFT(P$6,4)&lt;LEFT('RFM input'!$G$60,4),"enter input",IF(LEFT(P$6,4)&gt;LEFT('RFM input'!$Q$60,4),0,
INDEX('RFM input'!$G$61:$Q$110,$A1521,MATCH(P$6,'RFM input'!$G$60:$Q$60,0))
   -INDEX('RFM input'!$G$115:$Q$164,$A1521,MATCH(P$6,'RFM input'!$G$60:$Q$60,0))))</f>
        <v>0</v>
      </c>
      <c r="Q1521" s="1417">
        <f>IF(LEFT(Q$6,4)&lt;LEFT('RFM input'!$G$60,4),"enter input",IF(LEFT(Q$6,4)&gt;LEFT('RFM input'!$Q$60,4),0,
INDEX('RFM input'!$G$61:$Q$110,$A1521,MATCH(Q$6,'RFM input'!$G$60:$Q$60,0))
   -INDEX('RFM input'!$G$115:$Q$164,$A1521,MATCH(Q$6,'RFM input'!$G$60:$Q$60,0))))</f>
        <v>0</v>
      </c>
      <c r="R1521" s="1417">
        <f>IF(LEFT(R$6,4)&lt;LEFT('RFM input'!$G$60,4),"enter input",IF(LEFT(R$6,4)&gt;LEFT('RFM input'!$Q$60,4),0,
INDEX('RFM input'!$G$61:$Q$110,$A1521,MATCH(R$6,'RFM input'!$G$60:$Q$60,0))
   -INDEX('RFM input'!$G$115:$Q$164,$A1521,MATCH(R$6,'RFM input'!$G$60:$Q$60,0))))</f>
        <v>0</v>
      </c>
      <c r="S1521" s="1417">
        <f>IF(LEFT(S$6,4)&lt;LEFT('RFM input'!$G$60,4),"enter input",IF(LEFT(S$6,4)&gt;LEFT('RFM input'!$Q$60,4),0,
INDEX('RFM input'!$G$61:$Q$110,$A1521,MATCH(S$6,'RFM input'!$G$60:$Q$60,0))
   -INDEX('RFM input'!$G$115:$Q$164,$A1521,MATCH(S$6,'RFM input'!$G$60:$Q$60,0))))</f>
        <v>0</v>
      </c>
      <c r="T1521" s="1417">
        <f>IF(LEFT(T$6,4)&lt;LEFT('RFM input'!$G$60,4),"enter input",IF(LEFT(T$6,4)&gt;LEFT('RFM input'!$Q$60,4),0,
INDEX('RFM input'!$G$61:$Q$110,$A1521,MATCH(T$6,'RFM input'!$G$60:$Q$60,0))
   -INDEX('RFM input'!$G$115:$Q$164,$A1521,MATCH(T$6,'RFM input'!$G$60:$Q$60,0))))</f>
        <v>0</v>
      </c>
      <c r="U1521" s="1417">
        <f>IF(LEFT(U$6,4)&lt;LEFT('RFM input'!$G$60,4),"enter input",IF(LEFT(U$6,4)&gt;LEFT('RFM input'!$Q$60,4),0,
INDEX('RFM input'!$G$61:$Q$110,$A1521,MATCH(U$6,'RFM input'!$G$60:$Q$60,0))
   -INDEX('RFM input'!$G$115:$Q$164,$A1521,MATCH(U$6,'RFM input'!$G$60:$Q$60,0))))</f>
        <v>0</v>
      </c>
      <c r="V1521" s="1417">
        <f>IF(LEFT(V$6,4)&lt;LEFT('RFM input'!$G$60,4),"enter input",IF(LEFT(V$6,4)&gt;LEFT('RFM input'!$Q$60,4),0,
INDEX('RFM input'!$G$61:$Q$110,$A1521,MATCH(V$6,'RFM input'!$G$60:$Q$60,0))
   -INDEX('RFM input'!$G$115:$Q$164,$A1521,MATCH(V$6,'RFM input'!$G$60:$Q$60,0))))</f>
        <v>0</v>
      </c>
      <c r="W1521" s="1417">
        <f>IF(LEFT(W$6,4)&lt;LEFT('RFM input'!$G$60,4),"enter input",IF(LEFT(W$6,4)&gt;LEFT('RFM input'!$Q$60,4),0,
INDEX('RFM input'!$G$61:$Q$110,$A1521,MATCH(W$6,'RFM input'!$G$60:$Q$60,0))
   -INDEX('RFM input'!$G$115:$Q$164,$A1521,MATCH(W$6,'RFM input'!$G$60:$Q$60,0))))</f>
        <v>0</v>
      </c>
      <c r="X1521" s="152"/>
      <c r="Y1521" s="152"/>
      <c r="Z1521" s="152"/>
      <c r="AA1521" s="152"/>
      <c r="AB1521" s="152"/>
    </row>
    <row r="1522" spans="1:28">
      <c r="A1522" s="152"/>
      <c r="B1522" s="152" t="s">
        <v>205</v>
      </c>
      <c r="C1522" s="1418">
        <f ca="1">IF($D$6='TAB roll forward'!$H$4,OFFSET('RFM input'!$S$6,$A1521,0),"enter input")</f>
        <v>0</v>
      </c>
      <c r="D1522" s="1417">
        <f>IF(LEFT(D$6,4)&lt;=LEFT('RFM input'!$G$60,4),"enter input",IF(LEFT(D$6,4)&gt;LEFT('RFM input'!$Q$60,4),0,
IF(MATCH(D$6,'RFM input'!$H$60:$Q$60,0),INDEX('RFM input'!$T$7:$T$56,$A1521,1,1))))</f>
        <v>0</v>
      </c>
      <c r="E1522" s="1417">
        <f>IF(LEFT(E$6,4)&lt;=LEFT('RFM input'!$G$60,4),"enter input",IF(LEFT(E$6,4)&gt;LEFT('RFM input'!$Q$60,4),0,
IF(MATCH(E$6,'RFM input'!$H$60:$Q$60,0),INDEX('RFM input'!$T$7:$T$56,$A1521,1,1))))</f>
        <v>0</v>
      </c>
      <c r="F1522" s="1417">
        <f>IF(LEFT(F$6,4)&lt;=LEFT('RFM input'!$G$60,4),"enter input",IF(LEFT(F$6,4)&gt;LEFT('RFM input'!$Q$60,4),0,
IF(MATCH(F$6,'RFM input'!$H$60:$Q$60,0),INDEX('RFM input'!$T$7:$T$56,$A1521,1,1))))</f>
        <v>0</v>
      </c>
      <c r="G1522" s="1417">
        <f>IF(LEFT(G$6,4)&lt;=LEFT('RFM input'!$G$60,4),"enter input",IF(LEFT(G$6,4)&gt;LEFT('RFM input'!$Q$60,4),0,
IF(MATCH(G$6,'RFM input'!$H$60:$Q$60,0),INDEX('RFM input'!$T$7:$T$56,$A1521,1,1))))</f>
        <v>0</v>
      </c>
      <c r="H1522" s="1417">
        <f>IF(LEFT(H$6,4)&lt;=LEFT('RFM input'!$G$60,4),"enter input",IF(LEFT(H$6,4)&gt;LEFT('RFM input'!$Q$60,4),0,
IF(MATCH(H$6,'RFM input'!$H$60:$Q$60,0),INDEX('RFM input'!$T$7:$T$56,$A1521,1,1))))</f>
        <v>0</v>
      </c>
      <c r="I1522" s="1417">
        <f>IF(LEFT(I$6,4)&lt;=LEFT('RFM input'!$G$60,4),"enter input",IF(LEFT(I$6,4)&gt;LEFT('RFM input'!$Q$60,4),0,
IF(MATCH(I$6,'RFM input'!$H$60:$Q$60,0),INDEX('RFM input'!$T$7:$T$56,$A1521,1,1))))</f>
        <v>0</v>
      </c>
      <c r="J1522" s="1417">
        <f>IF(LEFT(J$6,4)&lt;=LEFT('RFM input'!$G$60,4),"enter input",IF(LEFT(J$6,4)&gt;LEFT('RFM input'!$Q$60,4),0,
IF(MATCH(J$6,'RFM input'!$H$60:$Q$60,0),INDEX('RFM input'!$T$7:$T$56,$A1521,1,1))))</f>
        <v>0</v>
      </c>
      <c r="K1522" s="1417">
        <f>IF(LEFT(K$6,4)&lt;=LEFT('RFM input'!$G$60,4),"enter input",IF(LEFT(K$6,4)&gt;LEFT('RFM input'!$Q$60,4),0,
IF(MATCH(K$6,'RFM input'!$H$60:$Q$60,0),INDEX('RFM input'!$T$7:$T$56,$A1521,1,1))))</f>
        <v>0</v>
      </c>
      <c r="L1522" s="1417">
        <f>IF(LEFT(L$6,4)&lt;=LEFT('RFM input'!$G$60,4),"enter input",IF(LEFT(L$6,4)&gt;LEFT('RFM input'!$Q$60,4),0,
IF(MATCH(L$6,'RFM input'!$H$60:$Q$60,0),INDEX('RFM input'!$T$7:$T$56,$A1521,1,1))))</f>
        <v>0</v>
      </c>
      <c r="M1522" s="1417">
        <f>IF(LEFT(M$6,4)&lt;=LEFT('RFM input'!$G$60,4),"enter input",IF(LEFT(M$6,4)&gt;LEFT('RFM input'!$Q$60,4),0,
IF(MATCH(M$6,'RFM input'!$H$60:$Q$60,0),INDEX('RFM input'!$T$7:$T$56,$A1521,1,1))))</f>
        <v>0</v>
      </c>
      <c r="N1522" s="1417">
        <f>IF(LEFT(N$6,4)&lt;=LEFT('RFM input'!$G$60,4),"enter input",IF(LEFT(N$6,4)&gt;LEFT('RFM input'!$Q$60,4),0,
IF(MATCH(N$6,'RFM input'!$H$60:$Q$60,0),INDEX('RFM input'!$T$7:$T$56,$A1521,1,1))))</f>
        <v>0</v>
      </c>
      <c r="O1522" s="1417">
        <f>IF(LEFT(O$6,4)&lt;=LEFT('RFM input'!$G$60,4),"enter input",IF(LEFT(O$6,4)&gt;LEFT('RFM input'!$Q$60,4),0,
IF(MATCH(O$6,'RFM input'!$H$60:$Q$60,0),INDEX('RFM input'!$T$7:$T$56,$A1521,1,1))))</f>
        <v>0</v>
      </c>
      <c r="P1522" s="1417">
        <f>IF(LEFT(P$6,4)&lt;=LEFT('RFM input'!$G$60,4),"enter input",IF(LEFT(P$6,4)&gt;LEFT('RFM input'!$Q$60,4),0,
IF(MATCH(P$6,'RFM input'!$H$60:$Q$60,0),INDEX('RFM input'!$T$7:$T$56,$A1521,1,1))))</f>
        <v>0</v>
      </c>
      <c r="Q1522" s="1417">
        <f>IF(LEFT(Q$6,4)&lt;=LEFT('RFM input'!$G$60,4),"enter input",IF(LEFT(Q$6,4)&gt;LEFT('RFM input'!$Q$60,4),0,
IF(MATCH(Q$6,'RFM input'!$H$60:$Q$60,0),INDEX('RFM input'!$T$7:$T$56,$A1521,1,1))))</f>
        <v>0</v>
      </c>
      <c r="R1522" s="1417">
        <f>IF(LEFT(R$6,4)&lt;=LEFT('RFM input'!$G$60,4),"enter input",IF(LEFT(R$6,4)&gt;LEFT('RFM input'!$Q$60,4),0,
IF(MATCH(R$6,'RFM input'!$H$60:$Q$60,0),INDEX('RFM input'!$T$7:$T$56,$A1521,1,1))))</f>
        <v>0</v>
      </c>
      <c r="S1522" s="1417">
        <f>IF(LEFT(S$6,4)&lt;=LEFT('RFM input'!$G$60,4),"enter input",IF(LEFT(S$6,4)&gt;LEFT('RFM input'!$Q$60,4),0,
IF(MATCH(S$6,'RFM input'!$H$60:$Q$60,0),INDEX('RFM input'!$T$7:$T$56,$A1521,1,1))))</f>
        <v>0</v>
      </c>
      <c r="T1522" s="1417">
        <f>IF(LEFT(T$6,4)&lt;=LEFT('RFM input'!$G$60,4),"enter input",IF(LEFT(T$6,4)&gt;LEFT('RFM input'!$Q$60,4),0,
IF(MATCH(T$6,'RFM input'!$H$60:$Q$60,0),INDEX('RFM input'!$T$7:$T$56,$A1521,1,1))))</f>
        <v>0</v>
      </c>
      <c r="U1522" s="1417">
        <f>IF(LEFT(U$6,4)&lt;=LEFT('RFM input'!$G$60,4),"enter input",IF(LEFT(U$6,4)&gt;LEFT('RFM input'!$Q$60,4),0,
IF(MATCH(U$6,'RFM input'!$H$60:$Q$60,0),INDEX('RFM input'!$T$7:$T$56,$A1521,1,1))))</f>
        <v>0</v>
      </c>
      <c r="V1522" s="1417">
        <f>IF(LEFT(V$6,4)&lt;=LEFT('RFM input'!$G$60,4),"enter input",IF(LEFT(V$6,4)&gt;LEFT('RFM input'!$Q$60,4),0,
IF(MATCH(V$6,'RFM input'!$H$60:$Q$60,0),INDEX('RFM input'!$T$7:$T$56,$A1521,1,1))))</f>
        <v>0</v>
      </c>
      <c r="W1522" s="1417">
        <f>IF(LEFT(W$6,4)&lt;=LEFT('RFM input'!$G$60,4),"enter input",IF(LEFT(W$6,4)&gt;LEFT('RFM input'!$Q$60,4),0,
IF(MATCH(W$6,'RFM input'!$H$60:$Q$60,0),INDEX('RFM input'!$T$7:$T$56,$A1521,1,1))))</f>
        <v>0</v>
      </c>
      <c r="X1522" s="152"/>
      <c r="Y1522" s="152"/>
      <c r="Z1522" s="152"/>
      <c r="AA1522" s="152"/>
      <c r="AB1522" s="152"/>
    </row>
    <row r="1523" spans="1:28">
      <c r="A1523" s="152"/>
      <c r="B1523" s="193" t="s">
        <v>192</v>
      </c>
      <c r="C1523" s="1419"/>
      <c r="D1523" s="1420">
        <f ca="1">IF(LEFT(D$6,4)&lt;=LEFT('RFM input'!$G$60,4),"enter input",IF(LEFT(D$6,4)&gt;LEFT('RFM input'!$Q$60,4),0,
IF(D$6=(OFFSET('RFM input'!$G$60,0,'RFM input'!$V$7)),OFFSET('RFM input'!$H$411,$A1521,0),0)))</f>
        <v>0</v>
      </c>
      <c r="E1523" s="1417">
        <f ca="1">IF(LEFT(E$6,4)&lt;=LEFT('RFM input'!$G$60,4),"enter input",IF(LEFT(E$6,4)&gt;LEFT('RFM input'!$Q$60,4),0,
IF(E$6=(OFFSET('RFM input'!$G$60,0,'RFM input'!$V$7)),OFFSET('RFM input'!$H$411,$A1521,0),0)))</f>
        <v>0</v>
      </c>
      <c r="F1523" s="1417">
        <f ca="1">IF(LEFT(F$6,4)&lt;=LEFT('RFM input'!$G$60,4),"enter input",IF(LEFT(F$6,4)&gt;LEFT('RFM input'!$Q$60,4),0,
IF(F$6=(OFFSET('RFM input'!$G$60,0,'RFM input'!$V$7)),OFFSET('RFM input'!$H$411,$A1521,0),0)))</f>
        <v>0</v>
      </c>
      <c r="G1523" s="1417">
        <f ca="1">IF(LEFT(G$6,4)&lt;=LEFT('RFM input'!$G$60,4),"enter input",IF(LEFT(G$6,4)&gt;LEFT('RFM input'!$Q$60,4),0,
IF(G$6=(OFFSET('RFM input'!$G$60,0,'RFM input'!$V$7)),OFFSET('RFM input'!$H$411,$A1521,0),0)))</f>
        <v>0</v>
      </c>
      <c r="H1523" s="1417">
        <f ca="1">IF(LEFT(H$6,4)&lt;=LEFT('RFM input'!$G$60,4),"enter input",IF(LEFT(H$6,4)&gt;LEFT('RFM input'!$Q$60,4),0,
IF(H$6=(OFFSET('RFM input'!$G$60,0,'RFM input'!$V$7)),OFFSET('RFM input'!$H$411,$A1521,0),0)))</f>
        <v>0</v>
      </c>
      <c r="I1523" s="1417">
        <f ca="1">IF(LEFT(I$6,4)&lt;=LEFT('RFM input'!$G$60,4),"enter input",IF(LEFT(I$6,4)&gt;LEFT('RFM input'!$Q$60,4),0,
IF(I$6=(OFFSET('RFM input'!$G$60,0,'RFM input'!$V$7)),OFFSET('RFM input'!$H$411,$A1521,0),0)))</f>
        <v>0</v>
      </c>
      <c r="J1523" s="1417">
        <f ca="1">IF(LEFT(J$6,4)&lt;=LEFT('RFM input'!$G$60,4),"enter input",IF(LEFT(J$6,4)&gt;LEFT('RFM input'!$Q$60,4),0,
IF(J$6=(OFFSET('RFM input'!$G$60,0,'RFM input'!$V$7)),OFFSET('RFM input'!$H$411,$A1521,0),0)))</f>
        <v>0</v>
      </c>
      <c r="K1523" s="1417">
        <f ca="1">IF(LEFT(K$6,4)&lt;=LEFT('RFM input'!$G$60,4),"enter input",IF(LEFT(K$6,4)&gt;LEFT('RFM input'!$Q$60,4),0,
IF(K$6=(OFFSET('RFM input'!$G$60,0,'RFM input'!$V$7)),OFFSET('RFM input'!$H$411,$A1521,0),0)))</f>
        <v>0</v>
      </c>
      <c r="L1523" s="1417">
        <f ca="1">IF(LEFT(L$6,4)&lt;=LEFT('RFM input'!$G$60,4),"enter input",IF(LEFT(L$6,4)&gt;LEFT('RFM input'!$Q$60,4),0,
IF(L$6=(OFFSET('RFM input'!$G$60,0,'RFM input'!$V$7)),OFFSET('RFM input'!$H$411,$A1521,0),0)))</f>
        <v>0</v>
      </c>
      <c r="M1523" s="1417">
        <f ca="1">IF(LEFT(M$6,4)&lt;=LEFT('RFM input'!$G$60,4),"enter input",IF(LEFT(M$6,4)&gt;LEFT('RFM input'!$Q$60,4),0,
IF(M$6=(OFFSET('RFM input'!$G$60,0,'RFM input'!$V$7)),OFFSET('RFM input'!$H$411,$A1521,0),0)))</f>
        <v>0</v>
      </c>
      <c r="N1523" s="1417">
        <f ca="1">IF(LEFT(N$6,4)&lt;=LEFT('RFM input'!$G$60,4),"enter input",IF(LEFT(N$6,4)&gt;LEFT('RFM input'!$Q$60,4),0,
IF(N$6=(OFFSET('RFM input'!$G$60,0,'RFM input'!$V$7)),OFFSET('RFM input'!$H$411,$A1521,0),0)))</f>
        <v>0</v>
      </c>
      <c r="O1523" s="1417">
        <f ca="1">IF(LEFT(O$6,4)&lt;=LEFT('RFM input'!$G$60,4),"enter input",IF(LEFT(O$6,4)&gt;LEFT('RFM input'!$Q$60,4),0,
IF(O$6=(OFFSET('RFM input'!$G$60,0,'RFM input'!$V$7)),OFFSET('RFM input'!$H$411,$A1521,0),0)))</f>
        <v>0</v>
      </c>
      <c r="P1523" s="1417">
        <f ca="1">IF(LEFT(P$6,4)&lt;=LEFT('RFM input'!$G$60,4),"enter input",IF(LEFT(P$6,4)&gt;LEFT('RFM input'!$Q$60,4),0,
IF(P$6=(OFFSET('RFM input'!$G$60,0,'RFM input'!$V$7)),OFFSET('RFM input'!$H$411,$A1521,0),0)))</f>
        <v>0</v>
      </c>
      <c r="Q1523" s="1417">
        <f ca="1">IF(LEFT(Q$6,4)&lt;=LEFT('RFM input'!$G$60,4),"enter input",IF(LEFT(Q$6,4)&gt;LEFT('RFM input'!$Q$60,4),0,
IF(Q$6=(OFFSET('RFM input'!$G$60,0,'RFM input'!$V$7)),OFFSET('RFM input'!$H$411,$A1521,0),0)))</f>
        <v>0</v>
      </c>
      <c r="R1523" s="1417">
        <f ca="1">IF(LEFT(R$6,4)&lt;=LEFT('RFM input'!$G$60,4),"enter input",IF(LEFT(R$6,4)&gt;LEFT('RFM input'!$Q$60,4),0,
IF(R$6=(OFFSET('RFM input'!$G$60,0,'RFM input'!$V$7)),OFFSET('RFM input'!$H$411,$A1521,0),0)))</f>
        <v>0</v>
      </c>
      <c r="S1523" s="1417">
        <f ca="1">IF(LEFT(S$6,4)&lt;=LEFT('RFM input'!$G$60,4),"enter input",IF(LEFT(S$6,4)&gt;LEFT('RFM input'!$Q$60,4),0,
IF(S$6=(OFFSET('RFM input'!$G$60,0,'RFM input'!$V$7)),OFFSET('RFM input'!$H$411,$A1521,0),0)))</f>
        <v>0</v>
      </c>
      <c r="T1523" s="1417">
        <f ca="1">IF(LEFT(T$6,4)&lt;=LEFT('RFM input'!$G$60,4),"enter input",IF(LEFT(T$6,4)&gt;LEFT('RFM input'!$Q$60,4),0,
IF(T$6=(OFFSET('RFM input'!$G$60,0,'RFM input'!$V$7)),OFFSET('RFM input'!$H$411,$A1521,0),0)))</f>
        <v>0</v>
      </c>
      <c r="U1523" s="1417">
        <f ca="1">IF(LEFT(U$6,4)&lt;=LEFT('RFM input'!$G$60,4),"enter input",IF(LEFT(U$6,4)&gt;LEFT('RFM input'!$Q$60,4),0,
IF(U$6=(OFFSET('RFM input'!$G$60,0,'RFM input'!$V$7)),OFFSET('RFM input'!$H$411,$A1521,0),0)))</f>
        <v>0</v>
      </c>
      <c r="V1523" s="1417">
        <f ca="1">IF(LEFT(V$6,4)&lt;=LEFT('RFM input'!$G$60,4),"enter input",IF(LEFT(V$6,4)&gt;LEFT('RFM input'!$Q$60,4),0,
IF(V$6=(OFFSET('RFM input'!$G$60,0,'RFM input'!$V$7)),OFFSET('RFM input'!$H$411,$A1521,0),0)))</f>
        <v>0</v>
      </c>
      <c r="W1523" s="1417">
        <f ca="1">IF(LEFT(W$6,4)&lt;=LEFT('RFM input'!$G$60,4),"enter input",IF(LEFT(W$6,4)&gt;LEFT('RFM input'!$Q$60,4),0,
IF(W$6=(OFFSET('RFM input'!$G$60,0,'RFM input'!$V$7)),OFFSET('RFM input'!$H$411,$A1521,0),0)))</f>
        <v>0</v>
      </c>
      <c r="X1523" s="152"/>
      <c r="Y1523" s="152"/>
      <c r="Z1523" s="152"/>
      <c r="AA1523" s="152"/>
      <c r="AB1523" s="152"/>
    </row>
    <row r="1524" spans="1:28">
      <c r="A1524" s="152"/>
      <c r="B1524" s="193" t="s">
        <v>200</v>
      </c>
      <c r="C1524" s="1419"/>
      <c r="D1524" s="1418">
        <f ca="1">IF(LEFT(D$6,4)&lt;=LEFT('RFM input'!$G$60,4),"enter input",IF(LEFT(D$6,4)&gt;LEFT('RFM input'!$Q$60,4),0,
IF(D$6=(OFFSET('RFM input'!$G$60,0,'RFM input'!$V$7)),OFFSET('RFM input'!$J$411,$A1521,0),0)))</f>
        <v>0</v>
      </c>
      <c r="E1524" s="1422">
        <f ca="1">IF(LEFT(E$6,4)&lt;=LEFT('RFM input'!$G$60,4),"enter input",IF(LEFT(E$6,4)&gt;LEFT('RFM input'!$Q$60,4),0,
IF(E$6=(OFFSET('RFM input'!$G$60,0,'RFM input'!$V$7)),OFFSET('RFM input'!$J$411,$A1521,0),0)))</f>
        <v>0</v>
      </c>
      <c r="F1524" s="1422">
        <f ca="1">IF(LEFT(F$6,4)&lt;=LEFT('RFM input'!$G$60,4),"enter input",IF(LEFT(F$6,4)&gt;LEFT('RFM input'!$Q$60,4),0,
IF(F$6=(OFFSET('RFM input'!$G$60,0,'RFM input'!$V$7)),OFFSET('RFM input'!$J$411,$A1521,0),0)))</f>
        <v>0</v>
      </c>
      <c r="G1524" s="1422">
        <f ca="1">IF(LEFT(G$6,4)&lt;=LEFT('RFM input'!$G$60,4),"enter input",IF(LEFT(G$6,4)&gt;LEFT('RFM input'!$Q$60,4),0,
IF(G$6=(OFFSET('RFM input'!$G$60,0,'RFM input'!$V$7)),OFFSET('RFM input'!$J$411,$A1521,0),0)))</f>
        <v>0</v>
      </c>
      <c r="H1524" s="1422">
        <f ca="1">IF(LEFT(H$6,4)&lt;=LEFT('RFM input'!$G$60,4),"enter input",IF(LEFT(H$6,4)&gt;LEFT('RFM input'!$Q$60,4),0,
IF(H$6=(OFFSET('RFM input'!$G$60,0,'RFM input'!$V$7)),OFFSET('RFM input'!$J$411,$A1521,0),0)))</f>
        <v>0</v>
      </c>
      <c r="I1524" s="1422">
        <f ca="1">IF(LEFT(I$6,4)&lt;=LEFT('RFM input'!$G$60,4),"enter input",IF(LEFT(I$6,4)&gt;LEFT('RFM input'!$Q$60,4),0,
IF(I$6=(OFFSET('RFM input'!$G$60,0,'RFM input'!$V$7)),OFFSET('RFM input'!$J$411,$A1521,0),0)))</f>
        <v>0</v>
      </c>
      <c r="J1524" s="1422">
        <f ca="1">IF(LEFT(J$6,4)&lt;=LEFT('RFM input'!$G$60,4),"enter input",IF(LEFT(J$6,4)&gt;LEFT('RFM input'!$Q$60,4),0,
IF(J$6=(OFFSET('RFM input'!$G$60,0,'RFM input'!$V$7)),OFFSET('RFM input'!$J$411,$A1521,0),0)))</f>
        <v>0</v>
      </c>
      <c r="K1524" s="1422">
        <f ca="1">IF(LEFT(K$6,4)&lt;=LEFT('RFM input'!$G$60,4),"enter input",IF(LEFT(K$6,4)&gt;LEFT('RFM input'!$Q$60,4),0,
IF(K$6=(OFFSET('RFM input'!$G$60,0,'RFM input'!$V$7)),OFFSET('RFM input'!$J$411,$A1521,0),0)))</f>
        <v>0</v>
      </c>
      <c r="L1524" s="1422">
        <f ca="1">IF(LEFT(L$6,4)&lt;=LEFT('RFM input'!$G$60,4),"enter input",IF(LEFT(L$6,4)&gt;LEFT('RFM input'!$Q$60,4),0,
IF(L$6=(OFFSET('RFM input'!$G$60,0,'RFM input'!$V$7)),OFFSET('RFM input'!$J$411,$A1521,0),0)))</f>
        <v>0</v>
      </c>
      <c r="M1524" s="1422">
        <f ca="1">IF(LEFT(M$6,4)&lt;=LEFT('RFM input'!$G$60,4),"enter input",IF(LEFT(M$6,4)&gt;LEFT('RFM input'!$Q$60,4),0,
IF(M$6=(OFFSET('RFM input'!$G$60,0,'RFM input'!$V$7)),OFFSET('RFM input'!$J$411,$A1521,0),0)))</f>
        <v>0</v>
      </c>
      <c r="N1524" s="1422">
        <f ca="1">IF(LEFT(N$6,4)&lt;=LEFT('RFM input'!$G$60,4),"enter input",IF(LEFT(N$6,4)&gt;LEFT('RFM input'!$Q$60,4),0,
IF(N$6=(OFFSET('RFM input'!$G$60,0,'RFM input'!$V$7)),OFFSET('RFM input'!$J$411,$A1521,0),0)))</f>
        <v>0</v>
      </c>
      <c r="O1524" s="1422">
        <f ca="1">IF(LEFT(O$6,4)&lt;=LEFT('RFM input'!$G$60,4),"enter input",IF(LEFT(O$6,4)&gt;LEFT('RFM input'!$Q$60,4),0,
IF(O$6=(OFFSET('RFM input'!$G$60,0,'RFM input'!$V$7)),OFFSET('RFM input'!$J$411,$A1521,0),0)))</f>
        <v>0</v>
      </c>
      <c r="P1524" s="1422">
        <f ca="1">IF(LEFT(P$6,4)&lt;=LEFT('RFM input'!$G$60,4),"enter input",IF(LEFT(P$6,4)&gt;LEFT('RFM input'!$Q$60,4),0,
IF(P$6=(OFFSET('RFM input'!$G$60,0,'RFM input'!$V$7)),OFFSET('RFM input'!$J$411,$A1521,0),0)))</f>
        <v>0</v>
      </c>
      <c r="Q1524" s="1422">
        <f ca="1">IF(LEFT(Q$6,4)&lt;=LEFT('RFM input'!$G$60,4),"enter input",IF(LEFT(Q$6,4)&gt;LEFT('RFM input'!$Q$60,4),0,
IF(Q$6=(OFFSET('RFM input'!$G$60,0,'RFM input'!$V$7)),OFFSET('RFM input'!$J$411,$A1521,0),0)))</f>
        <v>0</v>
      </c>
      <c r="R1524" s="1422">
        <f ca="1">IF(LEFT(R$6,4)&lt;=LEFT('RFM input'!$G$60,4),"enter input",IF(LEFT(R$6,4)&gt;LEFT('RFM input'!$Q$60,4),0,
IF(R$6=(OFFSET('RFM input'!$G$60,0,'RFM input'!$V$7)),OFFSET('RFM input'!$J$411,$A1521,0),0)))</f>
        <v>0</v>
      </c>
      <c r="S1524" s="1422">
        <f ca="1">IF(LEFT(S$6,4)&lt;=LEFT('RFM input'!$G$60,4),"enter input",IF(LEFT(S$6,4)&gt;LEFT('RFM input'!$Q$60,4),0,
IF(S$6=(OFFSET('RFM input'!$G$60,0,'RFM input'!$V$7)),OFFSET('RFM input'!$J$411,$A1521,0),0)))</f>
        <v>0</v>
      </c>
      <c r="T1524" s="1422">
        <f ca="1">IF(LEFT(T$6,4)&lt;=LEFT('RFM input'!$G$60,4),"enter input",IF(LEFT(T$6,4)&gt;LEFT('RFM input'!$Q$60,4),0,
IF(T$6=(OFFSET('RFM input'!$G$60,0,'RFM input'!$V$7)),OFFSET('RFM input'!$J$411,$A1521,0),0)))</f>
        <v>0</v>
      </c>
      <c r="U1524" s="1422">
        <f ca="1">IF(LEFT(U$6,4)&lt;=LEFT('RFM input'!$G$60,4),"enter input",IF(LEFT(U$6,4)&gt;LEFT('RFM input'!$Q$60,4),0,
IF(U$6=(OFFSET('RFM input'!$G$60,0,'RFM input'!$V$7)),OFFSET('RFM input'!$J$411,$A1521,0),0)))</f>
        <v>0</v>
      </c>
      <c r="V1524" s="1422">
        <f ca="1">IF(LEFT(V$6,4)&lt;=LEFT('RFM input'!$G$60,4),"enter input",IF(LEFT(V$6,4)&gt;LEFT('RFM input'!$Q$60,4),0,
IF(V$6=(OFFSET('RFM input'!$G$60,0,'RFM input'!$V$7)),OFFSET('RFM input'!$J$411,$A1521,0),0)))</f>
        <v>0</v>
      </c>
      <c r="W1524" s="1422">
        <f ca="1">IF(LEFT(W$6,4)&lt;=LEFT('RFM input'!$G$60,4),"enter input",IF(LEFT(W$6,4)&gt;LEFT('RFM input'!$Q$60,4),0,
IF(W$6=(OFFSET('RFM input'!$G$60,0,'RFM input'!$V$7)),OFFSET('RFM input'!$J$411,$A1521,0),0)))</f>
        <v>0</v>
      </c>
      <c r="X1524" s="152"/>
      <c r="Y1524" s="152"/>
      <c r="Z1524" s="152"/>
      <c r="AA1524" s="152"/>
      <c r="AB1524" s="152"/>
    </row>
    <row r="1525" spans="1:28" hidden="1" outlineLevel="1">
      <c r="A1525" s="235">
        <v>-1</v>
      </c>
      <c r="B1525" s="190" t="s">
        <v>195</v>
      </c>
      <c r="C1525" s="1423"/>
      <c r="D1525" s="1423">
        <f t="shared" ref="D1525" ca="1" si="2192">IF(AND(D1523=0,C1525=0),0,
IF(AND(D1523&lt;&gt;0,C1525=0),D1523,
IF(AND(D1524&lt;&gt;0,C1525&lt;&gt;0),(C1525-(C1525/C1549))+D1523,
IF(C1549&lt;1,0,(C1525-(C1525/C1549))))))</f>
        <v>0</v>
      </c>
      <c r="E1525" s="1423">
        <f t="shared" ref="E1525" ca="1" si="2193">IF(AND(E1523=0,D1525=0),0,
IF(AND(E1523&lt;&gt;0,D1525=0),E1523,
IF(AND(E1524&lt;&gt;0,D1525&lt;&gt;0),(D1525-(D1525/D1549))+E1523,
IF(D1549&lt;1,0,(D1525-(D1525/D1549))))))</f>
        <v>0</v>
      </c>
      <c r="F1525" s="1423">
        <f t="shared" ref="F1525" ca="1" si="2194">IF(AND(F1523=0,E1525=0),0,
IF(AND(F1523&lt;&gt;0,E1525=0),F1523,
IF(AND(F1524&lt;&gt;0,E1525&lt;&gt;0),(E1525-(E1525/E1549))+F1523,
IF(E1549&lt;1,0,(E1525-(E1525/E1549))))))</f>
        <v>0</v>
      </c>
      <c r="G1525" s="1423">
        <f t="shared" ref="G1525" ca="1" si="2195">IF(AND(G1523=0,F1525=0),0,
IF(AND(G1523&lt;&gt;0,F1525=0),G1523,
IF(AND(G1524&lt;&gt;0,F1525&lt;&gt;0),(F1525-(F1525/F1549))+G1523,
IF(F1549&lt;1,0,(F1525-(F1525/F1549))))))</f>
        <v>0</v>
      </c>
      <c r="H1525" s="1423">
        <f ca="1">IF(AND(H1523=0,G1525=0),0,
IF(AND(H1523&lt;&gt;0,G1525=0),H1523,
IF(AND(H1524&lt;&gt;0,G1525&lt;&gt;0),(G1525-(G1525/G1549))+H1523,
IF(G1549&lt;1,0,(G1525-(G1525/G1549))))))</f>
        <v>0</v>
      </c>
      <c r="I1525" s="1423">
        <f t="shared" ref="I1525" ca="1" si="2196">IF(AND(I1523=0,H1525=0),0,
IF(AND(I1523&lt;&gt;0,H1525=0),I1523,
IF(AND(I1524&lt;&gt;0,H1525&lt;&gt;0),(H1525-(H1525/H1549))+I1523,
IF(H1549&lt;1,0,(H1525-(H1525/H1549))))))</f>
        <v>0</v>
      </c>
      <c r="J1525" s="1423">
        <f t="shared" ref="J1525" ca="1" si="2197">IF(AND(J1523=0,I1525=0),0,
IF(AND(J1523&lt;&gt;0,I1525=0),J1523,
IF(AND(J1524&lt;&gt;0,I1525&lt;&gt;0),(I1525-(I1525/I1549))+J1523,
IF(I1549&lt;1,0,(I1525-(I1525/I1549))))))</f>
        <v>0</v>
      </c>
      <c r="K1525" s="1423">
        <f t="shared" ref="K1525" ca="1" si="2198">IF(AND(K1523=0,J1525=0),0,
IF(AND(K1523&lt;&gt;0,J1525=0),K1523,
IF(AND(K1524&lt;&gt;0,J1525&lt;&gt;0),(J1525-(J1525/J1549))+K1523,
IF(J1549&lt;1,0,(J1525-(J1525/J1549))))))</f>
        <v>0</v>
      </c>
      <c r="L1525" s="1423">
        <f t="shared" ref="L1525" ca="1" si="2199">IF(AND(L1523=0,K1525=0),0,
IF(AND(L1523&lt;&gt;0,K1525=0),L1523,
IF(AND(L1524&lt;&gt;0,K1525&lt;&gt;0),(K1525-(K1525/K1549))+L1523,
IF(K1549&lt;1,0,(K1525-(K1525/K1549))))))</f>
        <v>0</v>
      </c>
      <c r="M1525" s="1423">
        <f t="shared" ref="M1525" ca="1" si="2200">IF(AND(M1523=0,L1525=0),0,
IF(AND(M1523&lt;&gt;0,L1525=0),M1523,
IF(AND(M1524&lt;&gt;0,L1525&lt;&gt;0),(L1525-(L1525/L1549))+M1523,
IF(L1549&lt;1,0,(L1525-(L1525/L1549))))))</f>
        <v>0</v>
      </c>
      <c r="N1525" s="1423">
        <f t="shared" ref="N1525" ca="1" si="2201">IF(AND(N1523=0,M1525=0),0,
IF(AND(N1523&lt;&gt;0,M1525=0),N1523,
IF(AND(N1524&lt;&gt;0,M1525&lt;&gt;0),(M1525-(M1525/M1549))+N1523,
IF(M1549&lt;1,0,(M1525-(M1525/M1549))))))</f>
        <v>0</v>
      </c>
      <c r="O1525" s="1423">
        <f t="shared" ref="O1525" ca="1" si="2202">IF(AND(O1523=0,N1525=0),0,
IF(AND(O1523&lt;&gt;0,N1525=0),O1523,
IF(AND(O1524&lt;&gt;0,N1525&lt;&gt;0),(N1525-(N1525/N1549))+O1523,
IF(N1549&lt;1,0,(N1525-(N1525/N1549))))))</f>
        <v>0</v>
      </c>
      <c r="P1525" s="1423">
        <f t="shared" ref="P1525" ca="1" si="2203">IF(AND(P1523=0,O1525=0),0,
IF(AND(P1523&lt;&gt;0,O1525=0),P1523,
IF(AND(P1524&lt;&gt;0,O1525&lt;&gt;0),(O1525-(O1525/O1549))+P1523,
IF(O1549&lt;1,0,(O1525-(O1525/O1549))))))</f>
        <v>0</v>
      </c>
      <c r="Q1525" s="1423">
        <f t="shared" ref="Q1525" ca="1" si="2204">IF(AND(Q1523=0,P1525=0),0,
IF(AND(Q1523&lt;&gt;0,P1525=0),Q1523,
IF(AND(Q1524&lt;&gt;0,P1525&lt;&gt;0),(P1525-(P1525/P1549))+Q1523,
IF(P1549&lt;1,0,(P1525-(P1525/P1549))))))</f>
        <v>0</v>
      </c>
      <c r="R1525" s="1423">
        <f t="shared" ref="R1525" ca="1" si="2205">IF(AND(R1523=0,Q1525=0),0,
IF(AND(R1523&lt;&gt;0,Q1525=0),R1523,
IF(AND(R1524&lt;&gt;0,Q1525&lt;&gt;0),(Q1525-(Q1525/Q1549))+R1523,
IF(Q1549&lt;1,0,(Q1525-(Q1525/Q1549))))))</f>
        <v>0</v>
      </c>
      <c r="S1525" s="1423">
        <f t="shared" ref="S1525" ca="1" si="2206">IF(AND(S1523=0,R1525=0),0,
IF(AND(S1523&lt;&gt;0,R1525=0),S1523,
IF(AND(S1524&lt;&gt;0,R1525&lt;&gt;0),(R1525-(R1525/R1549))+S1523,
IF(R1549&lt;1,0,(R1525-(R1525/R1549))))))</f>
        <v>0</v>
      </c>
      <c r="T1525" s="1423">
        <f t="shared" ref="T1525" ca="1" si="2207">IF(AND(T1523=0,S1525=0),0,
IF(AND(T1523&lt;&gt;0,S1525=0),T1523,
IF(AND(T1524&lt;&gt;0,S1525&lt;&gt;0),(S1525-(S1525/S1549))+T1523,
IF(S1549&lt;1,0,(S1525-(S1525/S1549))))))</f>
        <v>0</v>
      </c>
      <c r="U1525" s="1423">
        <f t="shared" ref="U1525" ca="1" si="2208">IF(AND(U1523=0,T1525=0),0,
IF(AND(U1523&lt;&gt;0,T1525=0),U1523,
IF(AND(U1524&lt;&gt;0,T1525&lt;&gt;0),(T1525-(T1525/T1549))+U1523,
IF(T1549&lt;1,0,(T1525-(T1525/T1549))))))</f>
        <v>0</v>
      </c>
      <c r="V1525" s="1423">
        <f t="shared" ref="V1525" ca="1" si="2209">IF(AND(V1523=0,U1525=0),0,
IF(AND(V1523&lt;&gt;0,U1525=0),V1523,
IF(AND(V1524&lt;&gt;0,U1525&lt;&gt;0),(U1525-(U1525/U1549))+V1523,
IF(U1549&lt;1,0,(U1525-(U1525/U1549))))))</f>
        <v>0</v>
      </c>
      <c r="W1525" s="1423">
        <f t="shared" ref="W1525" ca="1" si="2210">IF(AND(W1523=0,V1525=0),0,
IF(AND(W1523&lt;&gt;0,V1525=0),W1523,
IF(AND(W1524&lt;&gt;0,V1525&lt;&gt;0),(V1525-(V1525/V1549))+W1523,
IF(V1549&lt;1,0,(V1525-(V1525/V1549))))))</f>
        <v>0</v>
      </c>
      <c r="X1525" s="152"/>
      <c r="Y1525" s="152"/>
      <c r="Z1525" s="152"/>
      <c r="AA1525" s="152"/>
      <c r="AB1525" s="152"/>
    </row>
    <row r="1526" spans="1:28" hidden="1" outlineLevel="1">
      <c r="A1526" s="199">
        <f>A1525+1</f>
        <v>0</v>
      </c>
      <c r="B1526" s="190" t="s">
        <v>527</v>
      </c>
      <c r="C1526" s="1423">
        <f ca="1">C1521</f>
        <v>0</v>
      </c>
      <c r="D1526" s="1423">
        <f ca="1">IF(C1550="n/a",C1526,IFERROR(IF((OFFSET($C1526,0,$A1526))&lt;0,
MIN(0,C1526-(OFFSET($C1526,0,$A1526)/(OFFSET($C1521,-$A1525,$A1526)))),
MAX(0,C1526-(OFFSET($C1526,0,$A1526)/(OFFSET($C1521,-$A1525,$A1526))))),0))</f>
        <v>0</v>
      </c>
      <c r="E1526" s="1423">
        <f t="shared" ref="E1526" ca="1" si="2211">IF(D1550="n/a",D1526,IFERROR(IF((OFFSET($C1526,0,$A1526))&lt;0,
MIN(0,D1526-(OFFSET($C1526,0,$A1526)/(OFFSET($C1521,-$A1525,$A1526)))),
MAX(0,D1526-(OFFSET($C1526,0,$A1526)/(OFFSET($C1521,-$A1525,$A1526))))),0))</f>
        <v>0</v>
      </c>
      <c r="F1526" s="1423">
        <f t="shared" ref="F1526:F1527" ca="1" si="2212">IF(E1550="n/a",E1526,IFERROR(IF((OFFSET($C1526,0,$A1526))&lt;0,
MIN(0,E1526-(OFFSET($C1526,0,$A1526)/(OFFSET($C1521,-$A1525,$A1526)))),
MAX(0,E1526-(OFFSET($C1526,0,$A1526)/(OFFSET($C1521,-$A1525,$A1526))))),0))</f>
        <v>0</v>
      </c>
      <c r="G1526" s="1423">
        <f t="shared" ref="G1526:G1528" ca="1" si="2213">IF(F1550="n/a",F1526,IFERROR(IF((OFFSET($C1526,0,$A1526))&lt;0,
MIN(0,F1526-(OFFSET($C1526,0,$A1526)/(OFFSET($C1521,-$A1525,$A1526)))),
MAX(0,F1526-(OFFSET($C1526,0,$A1526)/(OFFSET($C1521,-$A1525,$A1526))))),0))</f>
        <v>0</v>
      </c>
      <c r="H1526" s="1423">
        <f t="shared" ref="H1526:H1529" ca="1" si="2214">IF(G1550="n/a",G1526,IFERROR(IF((OFFSET($C1526,0,$A1526))&lt;0,
MIN(0,G1526-(OFFSET($C1526,0,$A1526)/(OFFSET($C1521,-$A1525,$A1526)))),
MAX(0,G1526-(OFFSET($C1526,0,$A1526)/(OFFSET($C1521,-$A1525,$A1526))))),0))</f>
        <v>0</v>
      </c>
      <c r="I1526" s="1423">
        <f t="shared" ref="I1526:I1530" ca="1" si="2215">IF(H1550="n/a",H1526,IFERROR(IF((OFFSET($C1526,0,$A1526))&lt;0,
MIN(0,H1526-(OFFSET($C1526,0,$A1526)/(OFFSET($C1521,-$A1525,$A1526)))),
MAX(0,H1526-(OFFSET($C1526,0,$A1526)/(OFFSET($C1521,-$A1525,$A1526))))),0))</f>
        <v>0</v>
      </c>
      <c r="J1526" s="1423">
        <f t="shared" ref="J1526:J1531" ca="1" si="2216">IF(I1550="n/a",I1526,IFERROR(IF((OFFSET($C1526,0,$A1526))&lt;0,
MIN(0,I1526-(OFFSET($C1526,0,$A1526)/(OFFSET($C1521,-$A1525,$A1526)))),
MAX(0,I1526-(OFFSET($C1526,0,$A1526)/(OFFSET($C1521,-$A1525,$A1526))))),0))</f>
        <v>0</v>
      </c>
      <c r="K1526" s="1423">
        <f t="shared" ref="K1526:K1532" ca="1" si="2217">IF(J1550="n/a",J1526,IFERROR(IF((OFFSET($C1526,0,$A1526))&lt;0,
MIN(0,J1526-(OFFSET($C1526,0,$A1526)/(OFFSET($C1521,-$A1525,$A1526)))),
MAX(0,J1526-(OFFSET($C1526,0,$A1526)/(OFFSET($C1521,-$A1525,$A1526))))),0))</f>
        <v>0</v>
      </c>
      <c r="L1526" s="1423">
        <f t="shared" ref="L1526:L1533" ca="1" si="2218">IF(K1550="n/a",K1526,IFERROR(IF((OFFSET($C1526,0,$A1526))&lt;0,
MIN(0,K1526-(OFFSET($C1526,0,$A1526)/(OFFSET($C1521,-$A1525,$A1526)))),
MAX(0,K1526-(OFFSET($C1526,0,$A1526)/(OFFSET($C1521,-$A1525,$A1526))))),0))</f>
        <v>0</v>
      </c>
      <c r="M1526" s="1423">
        <f t="shared" ref="M1526:M1534" ca="1" si="2219">IF(L1550="n/a",L1526,IFERROR(IF((OFFSET($C1526,0,$A1526))&lt;0,
MIN(0,L1526-(OFFSET($C1526,0,$A1526)/(OFFSET($C1521,-$A1525,$A1526)))),
MAX(0,L1526-(OFFSET($C1526,0,$A1526)/(OFFSET($C1521,-$A1525,$A1526))))),0))</f>
        <v>0</v>
      </c>
      <c r="N1526" s="1423">
        <f t="shared" ref="N1526:N1535" ca="1" si="2220">IF(M1550="n/a",M1526,IFERROR(IF((OFFSET($C1526,0,$A1526))&lt;0,
MIN(0,M1526-(OFFSET($C1526,0,$A1526)/(OFFSET($C1521,-$A1525,$A1526)))),
MAX(0,M1526-(OFFSET($C1526,0,$A1526)/(OFFSET($C1521,-$A1525,$A1526))))),0))</f>
        <v>0</v>
      </c>
      <c r="O1526" s="1423">
        <f t="shared" ref="O1526:O1536" ca="1" si="2221">IF(N1550="n/a",N1526,IFERROR(IF((OFFSET($C1526,0,$A1526))&lt;0,
MIN(0,N1526-(OFFSET($C1526,0,$A1526)/(OFFSET($C1521,-$A1525,$A1526)))),
MAX(0,N1526-(OFFSET($C1526,0,$A1526)/(OFFSET($C1521,-$A1525,$A1526))))),0))</f>
        <v>0</v>
      </c>
      <c r="P1526" s="1423">
        <f t="shared" ref="P1526:P1537" ca="1" si="2222">IF(O1550="n/a",O1526,IFERROR(IF((OFFSET($C1526,0,$A1526))&lt;0,
MIN(0,O1526-(OFFSET($C1526,0,$A1526)/(OFFSET($C1521,-$A1525,$A1526)))),
MAX(0,O1526-(OFFSET($C1526,0,$A1526)/(OFFSET($C1521,-$A1525,$A1526))))),0))</f>
        <v>0</v>
      </c>
      <c r="Q1526" s="1423">
        <f t="shared" ref="Q1526:Q1538" ca="1" si="2223">IF(P1550="n/a",P1526,IFERROR(IF((OFFSET($C1526,0,$A1526))&lt;0,
MIN(0,P1526-(OFFSET($C1526,0,$A1526)/(OFFSET($C1521,-$A1525,$A1526)))),
MAX(0,P1526-(OFFSET($C1526,0,$A1526)/(OFFSET($C1521,-$A1525,$A1526))))),0))</f>
        <v>0</v>
      </c>
      <c r="R1526" s="1423">
        <f t="shared" ref="R1526:R1539" ca="1" si="2224">IF(Q1550="n/a",Q1526,IFERROR(IF((OFFSET($C1526,0,$A1526))&lt;0,
MIN(0,Q1526-(OFFSET($C1526,0,$A1526)/(OFFSET($C1521,-$A1525,$A1526)))),
MAX(0,Q1526-(OFFSET($C1526,0,$A1526)/(OFFSET($C1521,-$A1525,$A1526))))),0))</f>
        <v>0</v>
      </c>
      <c r="S1526" s="1423">
        <f t="shared" ref="S1526:S1540" ca="1" si="2225">IF(R1550="n/a",R1526,IFERROR(IF((OFFSET($C1526,0,$A1526))&lt;0,
MIN(0,R1526-(OFFSET($C1526,0,$A1526)/(OFFSET($C1521,-$A1525,$A1526)))),
MAX(0,R1526-(OFFSET($C1526,0,$A1526)/(OFFSET($C1521,-$A1525,$A1526))))),0))</f>
        <v>0</v>
      </c>
      <c r="T1526" s="1423">
        <f t="shared" ref="T1526:T1541" ca="1" si="2226">IF(S1550="n/a",S1526,IFERROR(IF((OFFSET($C1526,0,$A1526))&lt;0,
MIN(0,S1526-(OFFSET($C1526,0,$A1526)/(OFFSET($C1521,-$A1525,$A1526)))),
MAX(0,S1526-(OFFSET($C1526,0,$A1526)/(OFFSET($C1521,-$A1525,$A1526))))),0))</f>
        <v>0</v>
      </c>
      <c r="U1526" s="1423">
        <f t="shared" ref="U1526:U1542" ca="1" si="2227">IF(T1550="n/a",T1526,IFERROR(IF((OFFSET($C1526,0,$A1526))&lt;0,
MIN(0,T1526-(OFFSET($C1526,0,$A1526)/(OFFSET($C1521,-$A1525,$A1526)))),
MAX(0,T1526-(OFFSET($C1526,0,$A1526)/(OFFSET($C1521,-$A1525,$A1526))))),0))</f>
        <v>0</v>
      </c>
      <c r="V1526" s="1423">
        <f t="shared" ref="V1526:V1543" ca="1" si="2228">IF(U1550="n/a",U1526,IFERROR(IF((OFFSET($C1526,0,$A1526))&lt;0,
MIN(0,U1526-(OFFSET($C1526,0,$A1526)/(OFFSET($C1521,-$A1525,$A1526)))),
MAX(0,U1526-(OFFSET($C1526,0,$A1526)/(OFFSET($C1521,-$A1525,$A1526))))),0))</f>
        <v>0</v>
      </c>
      <c r="W1526" s="1423">
        <f t="shared" ref="W1526:W1544" ca="1" si="2229">IF(V1550="n/a",V1526,IFERROR(IF((OFFSET($C1526,0,$A1526))&lt;0,
MIN(0,V1526-(OFFSET($C1526,0,$A1526)/(OFFSET($C1521,-$A1525,$A1526)))),
MAX(0,V1526-(OFFSET($C1526,0,$A1526)/(OFFSET($C1521,-$A1525,$A1526))))),0))</f>
        <v>0</v>
      </c>
      <c r="X1526" s="152"/>
      <c r="Y1526" s="152"/>
      <c r="Z1526" s="152"/>
      <c r="AA1526" s="152"/>
      <c r="AB1526" s="152"/>
    </row>
    <row r="1527" spans="1:28" hidden="1" outlineLevel="1">
      <c r="A1527" s="199">
        <f t="shared" ref="A1527:A1546" si="2230">A1526+1</f>
        <v>1</v>
      </c>
      <c r="B1527" s="190" t="str">
        <f t="shared" ref="B1527:B1546" ca="1" si="2231">"Depreciated Net Capex "&amp;OFFSET($C$6,0,A1527)</f>
        <v>Depreciated Net Capex 2016-17</v>
      </c>
      <c r="C1527" s="1424"/>
      <c r="D1527" s="1425">
        <f>D1521</f>
        <v>0</v>
      </c>
      <c r="E1527" s="1423">
        <f ca="1">IF(D1551="n/a",D1527,IFERROR(IF((OFFSET($C1527,0,$A1527))&lt;0,
MIN(0,D1527-(OFFSET($C1527,0,$A1527)/(OFFSET($C1522,-$A1526,$A1527)))),
MAX(0,D1527-(OFFSET($C1527,0,$A1527)/(OFFSET($C1522,-$A1526,$A1527))))),0))</f>
        <v>0</v>
      </c>
      <c r="F1527" s="1423">
        <f t="shared" ca="1" si="2212"/>
        <v>0</v>
      </c>
      <c r="G1527" s="1423">
        <f t="shared" ca="1" si="2213"/>
        <v>0</v>
      </c>
      <c r="H1527" s="1423">
        <f t="shared" ca="1" si="2214"/>
        <v>0</v>
      </c>
      <c r="I1527" s="1423">
        <f t="shared" ca="1" si="2215"/>
        <v>0</v>
      </c>
      <c r="J1527" s="1423">
        <f t="shared" ca="1" si="2216"/>
        <v>0</v>
      </c>
      <c r="K1527" s="1423">
        <f t="shared" ca="1" si="2217"/>
        <v>0</v>
      </c>
      <c r="L1527" s="1423">
        <f t="shared" ca="1" si="2218"/>
        <v>0</v>
      </c>
      <c r="M1527" s="1423">
        <f t="shared" ca="1" si="2219"/>
        <v>0</v>
      </c>
      <c r="N1527" s="1423">
        <f t="shared" ca="1" si="2220"/>
        <v>0</v>
      </c>
      <c r="O1527" s="1423">
        <f t="shared" ca="1" si="2221"/>
        <v>0</v>
      </c>
      <c r="P1527" s="1423">
        <f t="shared" ca="1" si="2222"/>
        <v>0</v>
      </c>
      <c r="Q1527" s="1423">
        <f t="shared" ca="1" si="2223"/>
        <v>0</v>
      </c>
      <c r="R1527" s="1423">
        <f t="shared" ca="1" si="2224"/>
        <v>0</v>
      </c>
      <c r="S1527" s="1423">
        <f t="shared" ca="1" si="2225"/>
        <v>0</v>
      </c>
      <c r="T1527" s="1423">
        <f t="shared" ca="1" si="2226"/>
        <v>0</v>
      </c>
      <c r="U1527" s="1423">
        <f t="shared" ca="1" si="2227"/>
        <v>0</v>
      </c>
      <c r="V1527" s="1423">
        <f t="shared" ca="1" si="2228"/>
        <v>0</v>
      </c>
      <c r="W1527" s="1423">
        <f t="shared" ca="1" si="2229"/>
        <v>0</v>
      </c>
      <c r="X1527" s="152"/>
      <c r="Y1527" s="152"/>
      <c r="Z1527" s="152"/>
      <c r="AA1527" s="152"/>
      <c r="AB1527" s="152"/>
    </row>
    <row r="1528" spans="1:28" hidden="1" outlineLevel="1">
      <c r="A1528" s="199">
        <f t="shared" si="2230"/>
        <v>2</v>
      </c>
      <c r="B1528" s="190" t="str">
        <f t="shared" ca="1" si="2231"/>
        <v>Depreciated Net Capex 2017-18</v>
      </c>
      <c r="C1528" s="1426"/>
      <c r="D1528" s="1427"/>
      <c r="E1528" s="1425">
        <f>E1521</f>
        <v>0</v>
      </c>
      <c r="F1528" s="1423">
        <f ca="1">IF(E1552="n/a",E1528,IFERROR(IF((OFFSET($C1528,0,$A1528))&lt;0,
MIN(0,E1528-(OFFSET($C1528,0,$A1528)/(OFFSET($C1523,-$A1527,$A1528)))),
MAX(0,E1528-(OFFSET($C1528,0,$A1528)/(OFFSET($C1523,-$A1527,$A1528))))),0))</f>
        <v>0</v>
      </c>
      <c r="G1528" s="1423">
        <f t="shared" ca="1" si="2213"/>
        <v>0</v>
      </c>
      <c r="H1528" s="1423">
        <f t="shared" ca="1" si="2214"/>
        <v>0</v>
      </c>
      <c r="I1528" s="1423">
        <f t="shared" ca="1" si="2215"/>
        <v>0</v>
      </c>
      <c r="J1528" s="1423">
        <f t="shared" ca="1" si="2216"/>
        <v>0</v>
      </c>
      <c r="K1528" s="1423">
        <f t="shared" ca="1" si="2217"/>
        <v>0</v>
      </c>
      <c r="L1528" s="1423">
        <f t="shared" ca="1" si="2218"/>
        <v>0</v>
      </c>
      <c r="M1528" s="1423">
        <f t="shared" ca="1" si="2219"/>
        <v>0</v>
      </c>
      <c r="N1528" s="1423">
        <f t="shared" ca="1" si="2220"/>
        <v>0</v>
      </c>
      <c r="O1528" s="1423">
        <f t="shared" ca="1" si="2221"/>
        <v>0</v>
      </c>
      <c r="P1528" s="1423">
        <f t="shared" ca="1" si="2222"/>
        <v>0</v>
      </c>
      <c r="Q1528" s="1423">
        <f t="shared" ca="1" si="2223"/>
        <v>0</v>
      </c>
      <c r="R1528" s="1423">
        <f t="shared" ca="1" si="2224"/>
        <v>0</v>
      </c>
      <c r="S1528" s="1423">
        <f t="shared" ca="1" si="2225"/>
        <v>0</v>
      </c>
      <c r="T1528" s="1423">
        <f t="shared" ca="1" si="2226"/>
        <v>0</v>
      </c>
      <c r="U1528" s="1423">
        <f t="shared" ca="1" si="2227"/>
        <v>0</v>
      </c>
      <c r="V1528" s="1423">
        <f t="shared" ca="1" si="2228"/>
        <v>0</v>
      </c>
      <c r="W1528" s="1423">
        <f t="shared" ca="1" si="2229"/>
        <v>0</v>
      </c>
      <c r="X1528" s="202"/>
      <c r="Y1528" s="152"/>
      <c r="Z1528" s="152"/>
      <c r="AA1528" s="152"/>
      <c r="AB1528" s="152"/>
    </row>
    <row r="1529" spans="1:28" hidden="1" outlineLevel="1">
      <c r="A1529" s="199">
        <f t="shared" si="2230"/>
        <v>3</v>
      </c>
      <c r="B1529" s="190" t="str">
        <f t="shared" ca="1" si="2231"/>
        <v>Depreciated Net Capex 2018-19</v>
      </c>
      <c r="C1529" s="1426"/>
      <c r="D1529" s="1426"/>
      <c r="E1529" s="1427"/>
      <c r="F1529" s="1428">
        <f>F1521</f>
        <v>0</v>
      </c>
      <c r="G1529" s="1423">
        <f ca="1">IF(F1553="n/a",F1529,IFERROR(IF((OFFSET($C1529,0,$A1529))&lt;0,
MIN(0,F1529-(OFFSET($C1529,0,$A1529)/(OFFSET($C1524,-$A1528,$A1529)))),
MAX(0,F1529-(OFFSET($C1529,0,$A1529)/(OFFSET($C1524,-$A1528,$A1529))))),0))</f>
        <v>0</v>
      </c>
      <c r="H1529" s="1423">
        <f t="shared" ca="1" si="2214"/>
        <v>0</v>
      </c>
      <c r="I1529" s="1423">
        <f t="shared" ca="1" si="2215"/>
        <v>0</v>
      </c>
      <c r="J1529" s="1423">
        <f t="shared" ca="1" si="2216"/>
        <v>0</v>
      </c>
      <c r="K1529" s="1423">
        <f t="shared" ca="1" si="2217"/>
        <v>0</v>
      </c>
      <c r="L1529" s="1423">
        <f t="shared" ca="1" si="2218"/>
        <v>0</v>
      </c>
      <c r="M1529" s="1423">
        <f t="shared" ca="1" si="2219"/>
        <v>0</v>
      </c>
      <c r="N1529" s="1423">
        <f t="shared" ca="1" si="2220"/>
        <v>0</v>
      </c>
      <c r="O1529" s="1423">
        <f t="shared" ca="1" si="2221"/>
        <v>0</v>
      </c>
      <c r="P1529" s="1423">
        <f t="shared" ca="1" si="2222"/>
        <v>0</v>
      </c>
      <c r="Q1529" s="1423">
        <f t="shared" ca="1" si="2223"/>
        <v>0</v>
      </c>
      <c r="R1529" s="1423">
        <f t="shared" ca="1" si="2224"/>
        <v>0</v>
      </c>
      <c r="S1529" s="1423">
        <f t="shared" ca="1" si="2225"/>
        <v>0</v>
      </c>
      <c r="T1529" s="1423">
        <f t="shared" ca="1" si="2226"/>
        <v>0</v>
      </c>
      <c r="U1529" s="1423">
        <f t="shared" ca="1" si="2227"/>
        <v>0</v>
      </c>
      <c r="V1529" s="1423">
        <f t="shared" ca="1" si="2228"/>
        <v>0</v>
      </c>
      <c r="W1529" s="1423">
        <f t="shared" ca="1" si="2229"/>
        <v>0</v>
      </c>
      <c r="X1529" s="202"/>
      <c r="Y1529" s="202"/>
      <c r="Z1529" s="152"/>
      <c r="AA1529" s="152"/>
      <c r="AB1529" s="152"/>
    </row>
    <row r="1530" spans="1:28" hidden="1" outlineLevel="1">
      <c r="A1530" s="199">
        <f t="shared" si="2230"/>
        <v>4</v>
      </c>
      <c r="B1530" s="190" t="str">
        <f t="shared" ca="1" si="2231"/>
        <v>Depreciated Net Capex 2019-20</v>
      </c>
      <c r="C1530" s="1426"/>
      <c r="D1530" s="1426"/>
      <c r="E1530" s="1426"/>
      <c r="F1530" s="1427"/>
      <c r="G1530" s="1428">
        <f>G1521</f>
        <v>0</v>
      </c>
      <c r="H1530" s="1423">
        <f ca="1">IF(G1554="n/a",G1530,IFERROR(IF((OFFSET($C1530,0,$A1530))&lt;0,
MIN(0,G1530-(OFFSET($C1530,0,$A1530)/(OFFSET($C1525,-$A1529,$A1530)))),
MAX(0,G1530-(OFFSET($C1530,0,$A1530)/(OFFSET($C1525,-$A1529,$A1530))))),0))</f>
        <v>0</v>
      </c>
      <c r="I1530" s="1423">
        <f t="shared" ca="1" si="2215"/>
        <v>0</v>
      </c>
      <c r="J1530" s="1423">
        <f t="shared" ca="1" si="2216"/>
        <v>0</v>
      </c>
      <c r="K1530" s="1423">
        <f t="shared" ca="1" si="2217"/>
        <v>0</v>
      </c>
      <c r="L1530" s="1423">
        <f t="shared" ca="1" si="2218"/>
        <v>0</v>
      </c>
      <c r="M1530" s="1423">
        <f t="shared" ca="1" si="2219"/>
        <v>0</v>
      </c>
      <c r="N1530" s="1423">
        <f t="shared" ca="1" si="2220"/>
        <v>0</v>
      </c>
      <c r="O1530" s="1423">
        <f t="shared" ca="1" si="2221"/>
        <v>0</v>
      </c>
      <c r="P1530" s="1423">
        <f t="shared" ca="1" si="2222"/>
        <v>0</v>
      </c>
      <c r="Q1530" s="1423">
        <f t="shared" ca="1" si="2223"/>
        <v>0</v>
      </c>
      <c r="R1530" s="1423">
        <f t="shared" ca="1" si="2224"/>
        <v>0</v>
      </c>
      <c r="S1530" s="1423">
        <f t="shared" ca="1" si="2225"/>
        <v>0</v>
      </c>
      <c r="T1530" s="1423">
        <f t="shared" ca="1" si="2226"/>
        <v>0</v>
      </c>
      <c r="U1530" s="1423">
        <f t="shared" ca="1" si="2227"/>
        <v>0</v>
      </c>
      <c r="V1530" s="1423">
        <f t="shared" ca="1" si="2228"/>
        <v>0</v>
      </c>
      <c r="W1530" s="1423">
        <f t="shared" ca="1" si="2229"/>
        <v>0</v>
      </c>
      <c r="X1530" s="202"/>
      <c r="Y1530" s="202"/>
      <c r="Z1530" s="202"/>
      <c r="AA1530" s="152"/>
      <c r="AB1530" s="152"/>
    </row>
    <row r="1531" spans="1:28" hidden="1" outlineLevel="1">
      <c r="A1531" s="199">
        <f t="shared" si="2230"/>
        <v>5</v>
      </c>
      <c r="B1531" s="190" t="str">
        <f t="shared" ca="1" si="2231"/>
        <v>Depreciated Net Capex 2020-21</v>
      </c>
      <c r="C1531" s="1426"/>
      <c r="D1531" s="1426"/>
      <c r="E1531" s="1426"/>
      <c r="F1531" s="1426"/>
      <c r="G1531" s="1427"/>
      <c r="H1531" s="1428">
        <f>H1521</f>
        <v>0</v>
      </c>
      <c r="I1531" s="1423">
        <f ca="1">IF(H1555="n/a",H1531,IFERROR(IF((OFFSET($C1531,0,$A1531))&lt;0,
MIN(0,H1531-(OFFSET($C1531,0,$A1531)/(OFFSET($C1526,-$A1530,$A1531)))),
MAX(0,H1531-(OFFSET($C1531,0,$A1531)/(OFFSET($C1526,-$A1530,$A1531))))),0))</f>
        <v>0</v>
      </c>
      <c r="J1531" s="1423">
        <f t="shared" ca="1" si="2216"/>
        <v>0</v>
      </c>
      <c r="K1531" s="1423">
        <f t="shared" ca="1" si="2217"/>
        <v>0</v>
      </c>
      <c r="L1531" s="1423">
        <f t="shared" ca="1" si="2218"/>
        <v>0</v>
      </c>
      <c r="M1531" s="1423">
        <f t="shared" ca="1" si="2219"/>
        <v>0</v>
      </c>
      <c r="N1531" s="1423">
        <f t="shared" ca="1" si="2220"/>
        <v>0</v>
      </c>
      <c r="O1531" s="1423">
        <f t="shared" ca="1" si="2221"/>
        <v>0</v>
      </c>
      <c r="P1531" s="1423">
        <f t="shared" ca="1" si="2222"/>
        <v>0</v>
      </c>
      <c r="Q1531" s="1423">
        <f t="shared" ca="1" si="2223"/>
        <v>0</v>
      </c>
      <c r="R1531" s="1423">
        <f t="shared" ca="1" si="2224"/>
        <v>0</v>
      </c>
      <c r="S1531" s="1423">
        <f t="shared" ca="1" si="2225"/>
        <v>0</v>
      </c>
      <c r="T1531" s="1423">
        <f t="shared" ca="1" si="2226"/>
        <v>0</v>
      </c>
      <c r="U1531" s="1423">
        <f t="shared" ca="1" si="2227"/>
        <v>0</v>
      </c>
      <c r="V1531" s="1423">
        <f t="shared" ca="1" si="2228"/>
        <v>0</v>
      </c>
      <c r="W1531" s="1423">
        <f t="shared" ca="1" si="2229"/>
        <v>0</v>
      </c>
      <c r="X1531" s="202"/>
      <c r="Y1531" s="202"/>
      <c r="Z1531" s="202"/>
      <c r="AA1531" s="152"/>
      <c r="AB1531" s="152"/>
    </row>
    <row r="1532" spans="1:28" hidden="1" outlineLevel="1">
      <c r="A1532" s="199">
        <f t="shared" si="2230"/>
        <v>6</v>
      </c>
      <c r="B1532" s="190" t="str">
        <f t="shared" ca="1" si="2231"/>
        <v>Depreciated Net Capex 2021-22</v>
      </c>
      <c r="C1532" s="1426"/>
      <c r="D1532" s="1426"/>
      <c r="E1532" s="1426"/>
      <c r="F1532" s="1426"/>
      <c r="G1532" s="1426"/>
      <c r="H1532" s="1427"/>
      <c r="I1532" s="1428">
        <f>I1521</f>
        <v>0</v>
      </c>
      <c r="J1532" s="1423">
        <f ca="1">IF(I1556="n/a",I1532,IFERROR(IF((OFFSET($C1532,0,$A1532))&lt;0,
MIN(0,I1532-(OFFSET($C1532,0,$A1532)/(OFFSET($C1527,-$A1531,$A1532)))),
MAX(0,I1532-(OFFSET($C1532,0,$A1532)/(OFFSET($C1527,-$A1531,$A1532))))),0))</f>
        <v>0</v>
      </c>
      <c r="K1532" s="1423">
        <f t="shared" ca="1" si="2217"/>
        <v>0</v>
      </c>
      <c r="L1532" s="1423">
        <f t="shared" ca="1" si="2218"/>
        <v>0</v>
      </c>
      <c r="M1532" s="1423">
        <f t="shared" ca="1" si="2219"/>
        <v>0</v>
      </c>
      <c r="N1532" s="1423">
        <f t="shared" ca="1" si="2220"/>
        <v>0</v>
      </c>
      <c r="O1532" s="1423">
        <f t="shared" ca="1" si="2221"/>
        <v>0</v>
      </c>
      <c r="P1532" s="1423">
        <f t="shared" ca="1" si="2222"/>
        <v>0</v>
      </c>
      <c r="Q1532" s="1423">
        <f t="shared" ca="1" si="2223"/>
        <v>0</v>
      </c>
      <c r="R1532" s="1423">
        <f t="shared" ca="1" si="2224"/>
        <v>0</v>
      </c>
      <c r="S1532" s="1423">
        <f t="shared" ca="1" si="2225"/>
        <v>0</v>
      </c>
      <c r="T1532" s="1423">
        <f t="shared" ca="1" si="2226"/>
        <v>0</v>
      </c>
      <c r="U1532" s="1423">
        <f t="shared" ca="1" si="2227"/>
        <v>0</v>
      </c>
      <c r="V1532" s="1423">
        <f t="shared" ca="1" si="2228"/>
        <v>0</v>
      </c>
      <c r="W1532" s="1423">
        <f t="shared" ca="1" si="2229"/>
        <v>0</v>
      </c>
      <c r="X1532" s="202"/>
      <c r="Y1532" s="202"/>
      <c r="Z1532" s="202"/>
      <c r="AA1532" s="152"/>
      <c r="AB1532" s="152"/>
    </row>
    <row r="1533" spans="1:28" hidden="1" outlineLevel="1">
      <c r="A1533" s="199">
        <f t="shared" si="2230"/>
        <v>7</v>
      </c>
      <c r="B1533" s="190" t="str">
        <f t="shared" ca="1" si="2231"/>
        <v>Depreciated Net Capex 2022-23</v>
      </c>
      <c r="C1533" s="1426"/>
      <c r="D1533" s="1426"/>
      <c r="E1533" s="1426"/>
      <c r="F1533" s="1426"/>
      <c r="G1533" s="1426"/>
      <c r="H1533" s="1426"/>
      <c r="I1533" s="1427"/>
      <c r="J1533" s="1428">
        <f>J1521</f>
        <v>0</v>
      </c>
      <c r="K1533" s="1423">
        <f ca="1">IF(J1557="n/a",J1533,IFERROR(IF((OFFSET($C1533,0,$A1533))&lt;0,
MIN(0,J1533-(OFFSET($C1533,0,$A1533)/(OFFSET($C1528,-$A1532,$A1533)))),
MAX(0,J1533-(OFFSET($C1533,0,$A1533)/(OFFSET($C1528,-$A1532,$A1533))))),0))</f>
        <v>0</v>
      </c>
      <c r="L1533" s="1423">
        <f t="shared" ca="1" si="2218"/>
        <v>0</v>
      </c>
      <c r="M1533" s="1423">
        <f t="shared" ca="1" si="2219"/>
        <v>0</v>
      </c>
      <c r="N1533" s="1423">
        <f t="shared" ca="1" si="2220"/>
        <v>0</v>
      </c>
      <c r="O1533" s="1423">
        <f t="shared" ca="1" si="2221"/>
        <v>0</v>
      </c>
      <c r="P1533" s="1423">
        <f t="shared" ca="1" si="2222"/>
        <v>0</v>
      </c>
      <c r="Q1533" s="1423">
        <f t="shared" ca="1" si="2223"/>
        <v>0</v>
      </c>
      <c r="R1533" s="1423">
        <f t="shared" ca="1" si="2224"/>
        <v>0</v>
      </c>
      <c r="S1533" s="1423">
        <f t="shared" ca="1" si="2225"/>
        <v>0</v>
      </c>
      <c r="T1533" s="1423">
        <f t="shared" ca="1" si="2226"/>
        <v>0</v>
      </c>
      <c r="U1533" s="1423">
        <f t="shared" ca="1" si="2227"/>
        <v>0</v>
      </c>
      <c r="V1533" s="1423">
        <f t="shared" ca="1" si="2228"/>
        <v>0</v>
      </c>
      <c r="W1533" s="1423">
        <f t="shared" ca="1" si="2229"/>
        <v>0</v>
      </c>
      <c r="X1533" s="202"/>
      <c r="Y1533" s="202"/>
      <c r="Z1533" s="202"/>
      <c r="AA1533" s="152"/>
      <c r="AB1533" s="152"/>
    </row>
    <row r="1534" spans="1:28" hidden="1" outlineLevel="1">
      <c r="A1534" s="199">
        <f t="shared" si="2230"/>
        <v>8</v>
      </c>
      <c r="B1534" s="190" t="str">
        <f t="shared" ca="1" si="2231"/>
        <v>Depreciated Net Capex 2023-24</v>
      </c>
      <c r="C1534" s="1426"/>
      <c r="D1534" s="1426"/>
      <c r="E1534" s="1426"/>
      <c r="F1534" s="1426"/>
      <c r="G1534" s="1426"/>
      <c r="H1534" s="1426"/>
      <c r="I1534" s="1426"/>
      <c r="J1534" s="1427"/>
      <c r="K1534" s="1428">
        <f>K1521</f>
        <v>0</v>
      </c>
      <c r="L1534" s="1423">
        <f ca="1">IF(K1558="n/a",K1534,IFERROR(IF((OFFSET($C1534,0,$A1534))&lt;0,
MIN(0,K1534-(OFFSET($C1534,0,$A1534)/(OFFSET($C1529,-$A1533,$A1534)))),
MAX(0,K1534-(OFFSET($C1534,0,$A1534)/(OFFSET($C1529,-$A1533,$A1534))))),0))</f>
        <v>0</v>
      </c>
      <c r="M1534" s="1423">
        <f t="shared" ca="1" si="2219"/>
        <v>0</v>
      </c>
      <c r="N1534" s="1423">
        <f t="shared" ca="1" si="2220"/>
        <v>0</v>
      </c>
      <c r="O1534" s="1423">
        <f t="shared" ca="1" si="2221"/>
        <v>0</v>
      </c>
      <c r="P1534" s="1423">
        <f t="shared" ca="1" si="2222"/>
        <v>0</v>
      </c>
      <c r="Q1534" s="1423">
        <f t="shared" ca="1" si="2223"/>
        <v>0</v>
      </c>
      <c r="R1534" s="1423">
        <f t="shared" ca="1" si="2224"/>
        <v>0</v>
      </c>
      <c r="S1534" s="1423">
        <f t="shared" ca="1" si="2225"/>
        <v>0</v>
      </c>
      <c r="T1534" s="1423">
        <f t="shared" ca="1" si="2226"/>
        <v>0</v>
      </c>
      <c r="U1534" s="1423">
        <f t="shared" ca="1" si="2227"/>
        <v>0</v>
      </c>
      <c r="V1534" s="1423">
        <f t="shared" ca="1" si="2228"/>
        <v>0</v>
      </c>
      <c r="W1534" s="1423">
        <f t="shared" ca="1" si="2229"/>
        <v>0</v>
      </c>
      <c r="X1534" s="202"/>
      <c r="Y1534" s="202"/>
      <c r="Z1534" s="202"/>
      <c r="AA1534" s="152"/>
      <c r="AB1534" s="152"/>
    </row>
    <row r="1535" spans="1:28" hidden="1" outlineLevel="1">
      <c r="A1535" s="199">
        <f t="shared" si="2230"/>
        <v>9</v>
      </c>
      <c r="B1535" s="190" t="str">
        <f t="shared" ca="1" si="2231"/>
        <v>Depreciated Net Capex 2024-25</v>
      </c>
      <c r="C1535" s="1426"/>
      <c r="D1535" s="1426"/>
      <c r="E1535" s="1426"/>
      <c r="F1535" s="1426"/>
      <c r="G1535" s="1426"/>
      <c r="H1535" s="1426"/>
      <c r="I1535" s="1426"/>
      <c r="J1535" s="1426"/>
      <c r="K1535" s="1427"/>
      <c r="L1535" s="1428">
        <f>L1521</f>
        <v>0</v>
      </c>
      <c r="M1535" s="1423">
        <f ca="1">IF(L1559="n/a",L1535,IFERROR(IF((OFFSET($C1535,0,$A1535))&lt;0,
MIN(0,L1535-(OFFSET($C1535,0,$A1535)/(OFFSET($C1530,-$A1534,$A1535)))),
MAX(0,L1535-(OFFSET($C1535,0,$A1535)/(OFFSET($C1530,-$A1534,$A1535))))),0))</f>
        <v>0</v>
      </c>
      <c r="N1535" s="1423">
        <f t="shared" ca="1" si="2220"/>
        <v>0</v>
      </c>
      <c r="O1535" s="1423">
        <f t="shared" ca="1" si="2221"/>
        <v>0</v>
      </c>
      <c r="P1535" s="1423">
        <f t="shared" ca="1" si="2222"/>
        <v>0</v>
      </c>
      <c r="Q1535" s="1423">
        <f t="shared" ca="1" si="2223"/>
        <v>0</v>
      </c>
      <c r="R1535" s="1423">
        <f t="shared" ca="1" si="2224"/>
        <v>0</v>
      </c>
      <c r="S1535" s="1423">
        <f t="shared" ca="1" si="2225"/>
        <v>0</v>
      </c>
      <c r="T1535" s="1423">
        <f t="shared" ca="1" si="2226"/>
        <v>0</v>
      </c>
      <c r="U1535" s="1423">
        <f t="shared" ca="1" si="2227"/>
        <v>0</v>
      </c>
      <c r="V1535" s="1423">
        <f t="shared" ca="1" si="2228"/>
        <v>0</v>
      </c>
      <c r="W1535" s="1423">
        <f t="shared" ca="1" si="2229"/>
        <v>0</v>
      </c>
      <c r="X1535" s="202"/>
      <c r="Y1535" s="202"/>
      <c r="Z1535" s="202"/>
      <c r="AA1535" s="152"/>
      <c r="AB1535" s="152"/>
    </row>
    <row r="1536" spans="1:28" hidden="1" outlineLevel="1">
      <c r="A1536" s="199">
        <f t="shared" si="2230"/>
        <v>10</v>
      </c>
      <c r="B1536" s="190" t="str">
        <f t="shared" ca="1" si="2231"/>
        <v>Depreciated Net Capex 2025-26</v>
      </c>
      <c r="C1536" s="1426"/>
      <c r="D1536" s="1426"/>
      <c r="E1536" s="1426"/>
      <c r="F1536" s="1426"/>
      <c r="G1536" s="1426"/>
      <c r="H1536" s="1426"/>
      <c r="I1536" s="1426"/>
      <c r="J1536" s="1426"/>
      <c r="K1536" s="1426"/>
      <c r="L1536" s="1427"/>
      <c r="M1536" s="1428">
        <f>M1521</f>
        <v>0</v>
      </c>
      <c r="N1536" s="1423">
        <f ca="1">IF(M1560="n/a",M1536,IFERROR(IF((OFFSET($C1536,0,$A1536))&lt;0,
MIN(0,M1536-(OFFSET($C1536,0,$A1536)/(OFFSET($C1531,-$A1535,$A1536)))),
MAX(0,M1536-(OFFSET($C1536,0,$A1536)/(OFFSET($C1531,-$A1535,$A1536))))),0))</f>
        <v>0</v>
      </c>
      <c r="O1536" s="1423">
        <f t="shared" ca="1" si="2221"/>
        <v>0</v>
      </c>
      <c r="P1536" s="1423">
        <f t="shared" ca="1" si="2222"/>
        <v>0</v>
      </c>
      <c r="Q1536" s="1423">
        <f t="shared" ca="1" si="2223"/>
        <v>0</v>
      </c>
      <c r="R1536" s="1423">
        <f t="shared" ca="1" si="2224"/>
        <v>0</v>
      </c>
      <c r="S1536" s="1423">
        <f t="shared" ca="1" si="2225"/>
        <v>0</v>
      </c>
      <c r="T1536" s="1423">
        <f t="shared" ca="1" si="2226"/>
        <v>0</v>
      </c>
      <c r="U1536" s="1423">
        <f t="shared" ca="1" si="2227"/>
        <v>0</v>
      </c>
      <c r="V1536" s="1423">
        <f t="shared" ca="1" si="2228"/>
        <v>0</v>
      </c>
      <c r="W1536" s="1423">
        <f t="shared" ca="1" si="2229"/>
        <v>0</v>
      </c>
      <c r="X1536" s="202"/>
      <c r="Y1536" s="202"/>
      <c r="Z1536" s="202"/>
      <c r="AA1536" s="152"/>
      <c r="AB1536" s="152"/>
    </row>
    <row r="1537" spans="1:28" hidden="1" outlineLevel="1">
      <c r="A1537" s="199">
        <f t="shared" si="2230"/>
        <v>11</v>
      </c>
      <c r="B1537" s="190" t="str">
        <f t="shared" ca="1" si="2231"/>
        <v>Depreciated Net Capex 2026-27</v>
      </c>
      <c r="C1537" s="1426"/>
      <c r="D1537" s="1426"/>
      <c r="E1537" s="1426"/>
      <c r="F1537" s="1426"/>
      <c r="G1537" s="1426"/>
      <c r="H1537" s="1426"/>
      <c r="I1537" s="1426"/>
      <c r="J1537" s="1426"/>
      <c r="K1537" s="1426"/>
      <c r="L1537" s="1426"/>
      <c r="M1537" s="1427"/>
      <c r="N1537" s="1428">
        <f>N1521</f>
        <v>0</v>
      </c>
      <c r="O1537" s="1423">
        <f ca="1">IF(N1561="n/a",N1537,IFERROR(IF((OFFSET($C1537,0,$A1537))&lt;0,
MIN(0,N1537-(OFFSET($C1537,0,$A1537)/(OFFSET($C1532,-$A1536,$A1537)))),
MAX(0,N1537-(OFFSET($C1537,0,$A1537)/(OFFSET($C1532,-$A1536,$A1537))))),0))</f>
        <v>0</v>
      </c>
      <c r="P1537" s="1423">
        <f t="shared" ca="1" si="2222"/>
        <v>0</v>
      </c>
      <c r="Q1537" s="1423">
        <f t="shared" ca="1" si="2223"/>
        <v>0</v>
      </c>
      <c r="R1537" s="1423">
        <f t="shared" ca="1" si="2224"/>
        <v>0</v>
      </c>
      <c r="S1537" s="1423">
        <f t="shared" ca="1" si="2225"/>
        <v>0</v>
      </c>
      <c r="T1537" s="1423">
        <f t="shared" ca="1" si="2226"/>
        <v>0</v>
      </c>
      <c r="U1537" s="1423">
        <f t="shared" ca="1" si="2227"/>
        <v>0</v>
      </c>
      <c r="V1537" s="1423">
        <f t="shared" ca="1" si="2228"/>
        <v>0</v>
      </c>
      <c r="W1537" s="1423">
        <f t="shared" ca="1" si="2229"/>
        <v>0</v>
      </c>
      <c r="X1537" s="202"/>
      <c r="Y1537" s="202"/>
      <c r="Z1537" s="202"/>
      <c r="AA1537" s="152"/>
      <c r="AB1537" s="152"/>
    </row>
    <row r="1538" spans="1:28" hidden="1" outlineLevel="1">
      <c r="A1538" s="199">
        <f t="shared" si="2230"/>
        <v>12</v>
      </c>
      <c r="B1538" s="190" t="str">
        <f t="shared" ca="1" si="2231"/>
        <v>Depreciated Net Capex 2027-28</v>
      </c>
      <c r="C1538" s="1426"/>
      <c r="D1538" s="1426"/>
      <c r="E1538" s="1426"/>
      <c r="F1538" s="1426"/>
      <c r="G1538" s="1426"/>
      <c r="H1538" s="1426"/>
      <c r="I1538" s="1426"/>
      <c r="J1538" s="1426"/>
      <c r="K1538" s="1426"/>
      <c r="L1538" s="1426"/>
      <c r="M1538" s="1426"/>
      <c r="N1538" s="1427"/>
      <c r="O1538" s="1428">
        <f>O1521</f>
        <v>0</v>
      </c>
      <c r="P1538" s="1423">
        <f ca="1">IF(O1562="n/a",O1538,IFERROR(IF((OFFSET($C1538,0,$A1538))&lt;0,
MIN(0,O1538-(OFFSET($C1538,0,$A1538)/(OFFSET($C1533,-$A1537,$A1538)))),
MAX(0,O1538-(OFFSET($C1538,0,$A1538)/(OFFSET($C1533,-$A1537,$A1538))))),0))</f>
        <v>0</v>
      </c>
      <c r="Q1538" s="1423">
        <f t="shared" ca="1" si="2223"/>
        <v>0</v>
      </c>
      <c r="R1538" s="1423">
        <f t="shared" ca="1" si="2224"/>
        <v>0</v>
      </c>
      <c r="S1538" s="1423">
        <f t="shared" ca="1" si="2225"/>
        <v>0</v>
      </c>
      <c r="T1538" s="1423">
        <f t="shared" ca="1" si="2226"/>
        <v>0</v>
      </c>
      <c r="U1538" s="1423">
        <f t="shared" ca="1" si="2227"/>
        <v>0</v>
      </c>
      <c r="V1538" s="1423">
        <f t="shared" ca="1" si="2228"/>
        <v>0</v>
      </c>
      <c r="W1538" s="1423">
        <f t="shared" ca="1" si="2229"/>
        <v>0</v>
      </c>
      <c r="X1538" s="202"/>
      <c r="Y1538" s="202"/>
      <c r="Z1538" s="202"/>
      <c r="AA1538" s="152"/>
      <c r="AB1538" s="152"/>
    </row>
    <row r="1539" spans="1:28" hidden="1" outlineLevel="1">
      <c r="A1539" s="199">
        <f t="shared" si="2230"/>
        <v>13</v>
      </c>
      <c r="B1539" s="190" t="str">
        <f t="shared" ca="1" si="2231"/>
        <v>Depreciated Net Capex 2028-29</v>
      </c>
      <c r="C1539" s="1426"/>
      <c r="D1539" s="1426"/>
      <c r="E1539" s="1426"/>
      <c r="F1539" s="1426"/>
      <c r="G1539" s="1426"/>
      <c r="H1539" s="1426"/>
      <c r="I1539" s="1426"/>
      <c r="J1539" s="1426"/>
      <c r="K1539" s="1426"/>
      <c r="L1539" s="1426"/>
      <c r="M1539" s="1426"/>
      <c r="N1539" s="1426"/>
      <c r="O1539" s="1427"/>
      <c r="P1539" s="1428">
        <f>P1521</f>
        <v>0</v>
      </c>
      <c r="Q1539" s="1423">
        <f ca="1">IF(P1563="n/a",P1539,IFERROR(IF((OFFSET($C1539,0,$A1539))&lt;0,
MIN(0,P1539-(OFFSET($C1539,0,$A1539)/(OFFSET($C1534,-$A1538,$A1539)))),
MAX(0,P1539-(OFFSET($C1539,0,$A1539)/(OFFSET($C1534,-$A1538,$A1539))))),0))</f>
        <v>0</v>
      </c>
      <c r="R1539" s="1423">
        <f t="shared" ca="1" si="2224"/>
        <v>0</v>
      </c>
      <c r="S1539" s="1423">
        <f t="shared" ca="1" si="2225"/>
        <v>0</v>
      </c>
      <c r="T1539" s="1423">
        <f t="shared" ca="1" si="2226"/>
        <v>0</v>
      </c>
      <c r="U1539" s="1423">
        <f t="shared" ca="1" si="2227"/>
        <v>0</v>
      </c>
      <c r="V1539" s="1423">
        <f t="shared" ca="1" si="2228"/>
        <v>0</v>
      </c>
      <c r="W1539" s="1423">
        <f t="shared" ca="1" si="2229"/>
        <v>0</v>
      </c>
      <c r="X1539" s="202"/>
      <c r="Y1539" s="202"/>
      <c r="Z1539" s="202"/>
      <c r="AA1539" s="152"/>
      <c r="AB1539" s="152"/>
    </row>
    <row r="1540" spans="1:28" hidden="1" outlineLevel="1">
      <c r="A1540" s="199">
        <f t="shared" si="2230"/>
        <v>14</v>
      </c>
      <c r="B1540" s="190" t="str">
        <f t="shared" ca="1" si="2231"/>
        <v>Depreciated Net Capex 2029-30</v>
      </c>
      <c r="C1540" s="1426"/>
      <c r="D1540" s="1426"/>
      <c r="E1540" s="1426"/>
      <c r="F1540" s="1426"/>
      <c r="G1540" s="1426"/>
      <c r="H1540" s="1426"/>
      <c r="I1540" s="1426"/>
      <c r="J1540" s="1426"/>
      <c r="K1540" s="1426"/>
      <c r="L1540" s="1426"/>
      <c r="M1540" s="1426"/>
      <c r="N1540" s="1426"/>
      <c r="O1540" s="1426"/>
      <c r="P1540" s="1427"/>
      <c r="Q1540" s="1428">
        <f>Q1521</f>
        <v>0</v>
      </c>
      <c r="R1540" s="1423">
        <f ca="1">IF(Q1564="n/a",Q1540,IFERROR(IF((OFFSET($C1540,0,$A1540))&lt;0,
MIN(0,Q1540-(OFFSET($C1540,0,$A1540)/(OFFSET($C1535,-$A1539,$A1540)))),
MAX(0,Q1540-(OFFSET($C1540,0,$A1540)/(OFFSET($C1535,-$A1539,$A1540))))),0))</f>
        <v>0</v>
      </c>
      <c r="S1540" s="1423">
        <f t="shared" ca="1" si="2225"/>
        <v>0</v>
      </c>
      <c r="T1540" s="1423">
        <f t="shared" ca="1" si="2226"/>
        <v>0</v>
      </c>
      <c r="U1540" s="1423">
        <f t="shared" ca="1" si="2227"/>
        <v>0</v>
      </c>
      <c r="V1540" s="1423">
        <f t="shared" ca="1" si="2228"/>
        <v>0</v>
      </c>
      <c r="W1540" s="1423">
        <f t="shared" ca="1" si="2229"/>
        <v>0</v>
      </c>
      <c r="X1540" s="202"/>
      <c r="Y1540" s="202"/>
      <c r="Z1540" s="202"/>
      <c r="AA1540" s="152"/>
      <c r="AB1540" s="152"/>
    </row>
    <row r="1541" spans="1:28" hidden="1" outlineLevel="1">
      <c r="A1541" s="199">
        <f t="shared" si="2230"/>
        <v>15</v>
      </c>
      <c r="B1541" s="190" t="str">
        <f t="shared" ca="1" si="2231"/>
        <v>Depreciated Net Capex 2030-31</v>
      </c>
      <c r="C1541" s="1426"/>
      <c r="D1541" s="1426"/>
      <c r="E1541" s="1426"/>
      <c r="F1541" s="1426"/>
      <c r="G1541" s="1426"/>
      <c r="H1541" s="1426"/>
      <c r="I1541" s="1426"/>
      <c r="J1541" s="1426"/>
      <c r="K1541" s="1426"/>
      <c r="L1541" s="1426"/>
      <c r="M1541" s="1426"/>
      <c r="N1541" s="1426"/>
      <c r="O1541" s="1426"/>
      <c r="P1541" s="1426"/>
      <c r="Q1541" s="1427"/>
      <c r="R1541" s="1428">
        <f>R1521</f>
        <v>0</v>
      </c>
      <c r="S1541" s="1423">
        <f ca="1">IF(R1565="n/a",R1541,IFERROR(IF((OFFSET($C1541,0,$A1541))&lt;0,
MIN(0,R1541-(OFFSET($C1541,0,$A1541)/(OFFSET($C1536,-$A1540,$A1541)))),
MAX(0,R1541-(OFFSET($C1541,0,$A1541)/(OFFSET($C1536,-$A1540,$A1541))))),0))</f>
        <v>0</v>
      </c>
      <c r="T1541" s="1423">
        <f t="shared" ca="1" si="2226"/>
        <v>0</v>
      </c>
      <c r="U1541" s="1423">
        <f t="shared" ca="1" si="2227"/>
        <v>0</v>
      </c>
      <c r="V1541" s="1423">
        <f t="shared" ca="1" si="2228"/>
        <v>0</v>
      </c>
      <c r="W1541" s="1423">
        <f t="shared" ca="1" si="2229"/>
        <v>0</v>
      </c>
      <c r="X1541" s="202"/>
      <c r="Y1541" s="202"/>
      <c r="Z1541" s="202"/>
      <c r="AA1541" s="152"/>
      <c r="AB1541" s="152"/>
    </row>
    <row r="1542" spans="1:28" hidden="1" outlineLevel="1">
      <c r="A1542" s="199">
        <f t="shared" si="2230"/>
        <v>16</v>
      </c>
      <c r="B1542" s="190" t="str">
        <f t="shared" ca="1" si="2231"/>
        <v>Depreciated Net Capex 2031-32</v>
      </c>
      <c r="C1542" s="1426"/>
      <c r="D1542" s="1426"/>
      <c r="E1542" s="1426"/>
      <c r="F1542" s="1426"/>
      <c r="G1542" s="1426"/>
      <c r="H1542" s="1426"/>
      <c r="I1542" s="1426"/>
      <c r="J1542" s="1426"/>
      <c r="K1542" s="1426"/>
      <c r="L1542" s="1426"/>
      <c r="M1542" s="1426"/>
      <c r="N1542" s="1426"/>
      <c r="O1542" s="1426"/>
      <c r="P1542" s="1426"/>
      <c r="Q1542" s="1426"/>
      <c r="R1542" s="1427"/>
      <c r="S1542" s="1428">
        <f>S1521</f>
        <v>0</v>
      </c>
      <c r="T1542" s="1423">
        <f ca="1">IF(S1566="n/a",S1542,IFERROR(IF((OFFSET($C1542,0,$A1542))&lt;0,
MIN(0,S1542-(OFFSET($C1542,0,$A1542)/(OFFSET($C1537,-$A1541,$A1542)))),
MAX(0,S1542-(OFFSET($C1542,0,$A1542)/(OFFSET($C1537,-$A1541,$A1542))))),0))</f>
        <v>0</v>
      </c>
      <c r="U1542" s="1423">
        <f t="shared" ca="1" si="2227"/>
        <v>0</v>
      </c>
      <c r="V1542" s="1423">
        <f t="shared" ca="1" si="2228"/>
        <v>0</v>
      </c>
      <c r="W1542" s="1423">
        <f t="shared" ca="1" si="2229"/>
        <v>0</v>
      </c>
      <c r="X1542" s="202"/>
      <c r="Y1542" s="202"/>
      <c r="Z1542" s="202"/>
      <c r="AA1542" s="152"/>
      <c r="AB1542" s="152"/>
    </row>
    <row r="1543" spans="1:28" hidden="1" outlineLevel="1">
      <c r="A1543" s="199">
        <f t="shared" si="2230"/>
        <v>17</v>
      </c>
      <c r="B1543" s="190" t="str">
        <f t="shared" ca="1" si="2231"/>
        <v>Depreciated Net Capex 2032-33</v>
      </c>
      <c r="C1543" s="1426"/>
      <c r="D1543" s="1426"/>
      <c r="E1543" s="1426"/>
      <c r="F1543" s="1426"/>
      <c r="G1543" s="1426"/>
      <c r="H1543" s="1426"/>
      <c r="I1543" s="1426"/>
      <c r="J1543" s="1426"/>
      <c r="K1543" s="1426"/>
      <c r="L1543" s="1426"/>
      <c r="M1543" s="1426"/>
      <c r="N1543" s="1426"/>
      <c r="O1543" s="1426"/>
      <c r="P1543" s="1426"/>
      <c r="Q1543" s="1426"/>
      <c r="R1543" s="1426"/>
      <c r="S1543" s="1427"/>
      <c r="T1543" s="1428">
        <f>T1521</f>
        <v>0</v>
      </c>
      <c r="U1543" s="1423">
        <f ca="1">IF(T1567="n/a",T1543,IFERROR(IF((OFFSET($C1543,0,$A1543))&lt;0,
MIN(0,T1543-(OFFSET($C1543,0,$A1543)/(OFFSET($C1538,-$A1542,$A1543)))),
MAX(0,T1543-(OFFSET($C1543,0,$A1543)/(OFFSET($C1538,-$A1542,$A1543))))),0))</f>
        <v>0</v>
      </c>
      <c r="V1543" s="1423">
        <f t="shared" ca="1" si="2228"/>
        <v>0</v>
      </c>
      <c r="W1543" s="1423">
        <f t="shared" ca="1" si="2229"/>
        <v>0</v>
      </c>
      <c r="X1543" s="202"/>
      <c r="Y1543" s="202"/>
      <c r="Z1543" s="202"/>
      <c r="AA1543" s="152"/>
      <c r="AB1543" s="152"/>
    </row>
    <row r="1544" spans="1:28" hidden="1" outlineLevel="1">
      <c r="A1544" s="199">
        <f t="shared" si="2230"/>
        <v>18</v>
      </c>
      <c r="B1544" s="190" t="str">
        <f t="shared" ca="1" si="2231"/>
        <v>Depreciated Net Capex 2033-34</v>
      </c>
      <c r="C1544" s="1426"/>
      <c r="D1544" s="1426"/>
      <c r="E1544" s="1426"/>
      <c r="F1544" s="1426"/>
      <c r="G1544" s="1426"/>
      <c r="H1544" s="1426"/>
      <c r="I1544" s="1426"/>
      <c r="J1544" s="1426"/>
      <c r="K1544" s="1426"/>
      <c r="L1544" s="1426"/>
      <c r="M1544" s="1426"/>
      <c r="N1544" s="1426"/>
      <c r="O1544" s="1426"/>
      <c r="P1544" s="1426"/>
      <c r="Q1544" s="1426"/>
      <c r="R1544" s="1426"/>
      <c r="S1544" s="1426"/>
      <c r="T1544" s="1427"/>
      <c r="U1544" s="1428">
        <f>U1521</f>
        <v>0</v>
      </c>
      <c r="V1544" s="1423">
        <f ca="1">IF(U1568="n/a",U1544,IFERROR(IF((OFFSET($C1544,0,$A1544))&lt;0,
MIN(0,U1544-(OFFSET($C1544,0,$A1544)/(OFFSET($C1539,-$A1543,$A1544)))),
MAX(0,U1544-(OFFSET($C1544,0,$A1544)/(OFFSET($C1539,-$A1543,$A1544))))),0))</f>
        <v>0</v>
      </c>
      <c r="W1544" s="1423">
        <f t="shared" ca="1" si="2229"/>
        <v>0</v>
      </c>
      <c r="X1544" s="202"/>
      <c r="Y1544" s="202"/>
      <c r="Z1544" s="202"/>
      <c r="AA1544" s="152"/>
      <c r="AB1544" s="152"/>
    </row>
    <row r="1545" spans="1:28" hidden="1" outlineLevel="1">
      <c r="A1545" s="199">
        <f t="shared" si="2230"/>
        <v>19</v>
      </c>
      <c r="B1545" s="190" t="str">
        <f t="shared" ca="1" si="2231"/>
        <v>Depreciated Net Capex 2034-35</v>
      </c>
      <c r="C1545" s="1426"/>
      <c r="D1545" s="1426"/>
      <c r="E1545" s="1426"/>
      <c r="F1545" s="1426"/>
      <c r="G1545" s="1426"/>
      <c r="H1545" s="1426"/>
      <c r="I1545" s="1426"/>
      <c r="J1545" s="1426"/>
      <c r="K1545" s="1426"/>
      <c r="L1545" s="1426"/>
      <c r="M1545" s="1426"/>
      <c r="N1545" s="1426"/>
      <c r="O1545" s="1426"/>
      <c r="P1545" s="1426"/>
      <c r="Q1545" s="1426"/>
      <c r="R1545" s="1426"/>
      <c r="S1545" s="1426"/>
      <c r="T1545" s="1426"/>
      <c r="U1545" s="1427"/>
      <c r="V1545" s="1428">
        <f>V1521</f>
        <v>0</v>
      </c>
      <c r="W1545" s="1423">
        <f ca="1">IF(V1569="n/a",V1545,IFERROR(IF((OFFSET($C1545,0,$A1545))&lt;0,
MIN(0,V1545-(OFFSET($C1545,0,$A1545)/(OFFSET($C1540,-$A1544,$A1545)))),
MAX(0,V1545-(OFFSET($C1545,0,$A1545)/(OFFSET($C1540,-$A1544,$A1545))))),0))</f>
        <v>0</v>
      </c>
      <c r="X1545" s="202"/>
      <c r="Y1545" s="202"/>
      <c r="Z1545" s="202"/>
      <c r="AA1545" s="152"/>
      <c r="AB1545" s="152"/>
    </row>
    <row r="1546" spans="1:28" hidden="1" outlineLevel="1">
      <c r="A1546" s="199">
        <f t="shared" si="2230"/>
        <v>20</v>
      </c>
      <c r="B1546" s="190" t="str">
        <f t="shared" ca="1" si="2231"/>
        <v>Depreciated Net Capex 2035-36</v>
      </c>
      <c r="C1546" s="1426"/>
      <c r="D1546" s="1426"/>
      <c r="E1546" s="1426"/>
      <c r="F1546" s="1426"/>
      <c r="G1546" s="1426"/>
      <c r="H1546" s="1426"/>
      <c r="I1546" s="1426"/>
      <c r="J1546" s="1426"/>
      <c r="K1546" s="1426"/>
      <c r="L1546" s="1426"/>
      <c r="M1546" s="1426"/>
      <c r="N1546" s="1426"/>
      <c r="O1546" s="1426"/>
      <c r="P1546" s="1426"/>
      <c r="Q1546" s="1426"/>
      <c r="R1546" s="1426"/>
      <c r="S1546" s="1426"/>
      <c r="T1546" s="1426"/>
      <c r="U1546" s="1426"/>
      <c r="V1546" s="1427"/>
      <c r="W1546" s="1423">
        <f>W1521</f>
        <v>0</v>
      </c>
      <c r="X1546" s="152"/>
      <c r="Y1546" s="152"/>
      <c r="Z1546" s="152"/>
      <c r="AA1546" s="152"/>
      <c r="AB1546" s="152"/>
    </row>
    <row r="1547" spans="1:28" hidden="1" outlineLevel="1">
      <c r="A1547" s="152"/>
      <c r="B1547" s="200"/>
      <c r="C1547" s="1423"/>
      <c r="D1547" s="1423"/>
      <c r="E1547" s="1423"/>
      <c r="F1547" s="1423"/>
      <c r="G1547" s="1423"/>
      <c r="H1547" s="1423"/>
      <c r="I1547" s="1423"/>
      <c r="J1547" s="1423"/>
      <c r="K1547" s="1423"/>
      <c r="L1547" s="1423"/>
      <c r="M1547" s="1423"/>
      <c r="N1547" s="1423"/>
      <c r="O1547" s="1423"/>
      <c r="P1547" s="1423"/>
      <c r="Q1547" s="1423"/>
      <c r="R1547" s="1423"/>
      <c r="S1547" s="1423"/>
      <c r="T1547" s="1423"/>
      <c r="U1547" s="1423"/>
      <c r="V1547" s="1423"/>
      <c r="W1547" s="1423"/>
      <c r="X1547" s="152"/>
      <c r="Y1547" s="152"/>
      <c r="Z1547" s="152"/>
      <c r="AA1547" s="152"/>
      <c r="AB1547" s="152"/>
    </row>
    <row r="1548" spans="1:28" hidden="1" outlineLevel="1">
      <c r="A1548" s="152"/>
      <c r="B1548" s="200"/>
      <c r="C1548" s="1423"/>
      <c r="D1548" s="1423"/>
      <c r="E1548" s="1423"/>
      <c r="F1548" s="1423"/>
      <c r="G1548" s="1423"/>
      <c r="H1548" s="1423"/>
      <c r="I1548" s="1423"/>
      <c r="J1548" s="1423"/>
      <c r="K1548" s="1423"/>
      <c r="L1548" s="1423"/>
      <c r="M1548" s="1423"/>
      <c r="N1548" s="1423"/>
      <c r="O1548" s="1423"/>
      <c r="P1548" s="1423"/>
      <c r="Q1548" s="1423"/>
      <c r="R1548" s="1423"/>
      <c r="S1548" s="1423"/>
      <c r="T1548" s="1423"/>
      <c r="U1548" s="1423"/>
      <c r="V1548" s="1423"/>
      <c r="W1548" s="1423"/>
      <c r="X1548" s="152"/>
      <c r="Y1548" s="152"/>
      <c r="Z1548" s="152"/>
      <c r="AA1548" s="152"/>
      <c r="AB1548" s="152"/>
    </row>
    <row r="1549" spans="1:28" hidden="1" outlineLevel="1">
      <c r="A1549" s="152"/>
      <c r="B1549" s="190" t="s">
        <v>194</v>
      </c>
      <c r="C1549" s="1423"/>
      <c r="D1549" s="1423">
        <f t="shared" ref="D1549" ca="1" si="2232">IF(AND(C1549&lt;1,D1523=0),0,
IF(D1523=0,C1549-1,
IF(C1549&lt;1,D1524,
(((C1549-1)*(C1525-(C1525/(C1549))))+(D1523*D1524))/(D1525))))</f>
        <v>0</v>
      </c>
      <c r="E1549" s="1423">
        <f t="shared" ref="E1549" ca="1" si="2233">IF(AND(D1549&lt;1,E1523=0),0,
IF(E1523=0,D1549-1,
IF(D1549&lt;1,E1524,
(((D1549-1)*(D1525-(D1525/(D1549))))+(E1523*E1524))/(E1525))))</f>
        <v>0</v>
      </c>
      <c r="F1549" s="1423">
        <f t="shared" ref="F1549" ca="1" si="2234">IF(AND(E1549&lt;1,F1523=0),0,
IF(F1523=0,E1549-1,
IF(E1549&lt;1,F1524,
(((E1549-1)*(E1525-(E1525/(E1549))))+(F1523*F1524))/(F1525))))</f>
        <v>0</v>
      </c>
      <c r="G1549" s="1423">
        <f t="shared" ref="G1549" ca="1" si="2235">IF(AND(F1549&lt;1,G1523=0),0,
IF(G1523=0,F1549-1,
IF(F1549&lt;1,G1524,
(((F1549-1)*(F1525-(F1525/(F1549))))+(G1523*G1524))/(G1525))))</f>
        <v>0</v>
      </c>
      <c r="H1549" s="1423">
        <f ca="1">IF(AND(G1549&lt;1,H1523=0),0,
IF(H1523=0,G1549-1,
IF(G1549&lt;1,H1524,
(((G1549-1)*(G1525-(G1525/(G1549))))+(H1523*H1524))/(H1525))))</f>
        <v>0</v>
      </c>
      <c r="I1549" s="1423">
        <f t="shared" ref="I1549" ca="1" si="2236">IF(AND(H1549&lt;1,I1523=0),0,
IF(I1523=0,H1549-1,
IF(H1549&lt;1,I1524,
(((H1549-1)*(H1525-(H1525/(H1549))))+(I1523*I1524))/(I1525))))</f>
        <v>0</v>
      </c>
      <c r="J1549" s="1423">
        <f t="shared" ref="J1549" ca="1" si="2237">IF(AND(I1549&lt;1,J1523=0),0,
IF(J1523=0,I1549-1,
IF(I1549&lt;1,J1524,
(((I1549-1)*(I1525-(I1525/(I1549))))+(J1523*J1524))/(J1525))))</f>
        <v>0</v>
      </c>
      <c r="K1549" s="1423">
        <f t="shared" ref="K1549" ca="1" si="2238">IF(AND(J1549&lt;1,K1523=0),0,
IF(K1523=0,J1549-1,
IF(J1549&lt;1,K1524,
(((J1549-1)*(J1525-(J1525/(J1549))))+(K1523*K1524))/(K1525))))</f>
        <v>0</v>
      </c>
      <c r="L1549" s="1423">
        <f t="shared" ref="L1549" ca="1" si="2239">IF(AND(K1549&lt;1,L1523=0),0,
IF(L1523=0,K1549-1,
IF(K1549&lt;1,L1524,
(((K1549-1)*(K1525-(K1525/(K1549))))+(L1523*L1524))/(L1525))))</f>
        <v>0</v>
      </c>
      <c r="M1549" s="1423">
        <f ca="1">IF(AND(L1549&lt;1,M1523=0),0,
IF(M1523=0,L1549-1,
IF(L1549&lt;1,M1524,
(((L1549-1)*(L1525-(L1525/(L1549))))+(M1523*M1524))/(M1525))))</f>
        <v>0</v>
      </c>
      <c r="N1549" s="1423">
        <f t="shared" ref="N1549" ca="1" si="2240">IF(AND(M1549&lt;1,N1523=0),0,
IF(N1523=0,M1549-1,
IF(M1549&lt;1,N1524,
(((M1549-1)*(M1525-(M1525/(M1549))))+(N1523*N1524))/(N1525))))</f>
        <v>0</v>
      </c>
      <c r="O1549" s="1423">
        <f t="shared" ref="O1549" ca="1" si="2241">IF(AND(N1549&lt;1,O1523=0),0,
IF(O1523=0,N1549-1,
IF(N1549&lt;1,O1524,
(((N1549-1)*(N1525-(N1525/(N1549))))+(O1523*O1524))/(O1525))))</f>
        <v>0</v>
      </c>
      <c r="P1549" s="1423">
        <f t="shared" ref="P1549" ca="1" si="2242">IF(AND(O1549&lt;1,P1523=0),0,
IF(P1523=0,O1549-1,
IF(O1549&lt;1,P1524,
(((O1549-1)*(O1525-(O1525/(O1549))))+(P1523*P1524))/(P1525))))</f>
        <v>0</v>
      </c>
      <c r="Q1549" s="1423">
        <f t="shared" ref="Q1549" ca="1" si="2243">IF(AND(P1549&lt;1,Q1523=0),0,
IF(Q1523=0,P1549-1,
IF(P1549&lt;1,Q1524,
(((P1549-1)*(P1525-(P1525/(P1549))))+(Q1523*Q1524))/(Q1525))))</f>
        <v>0</v>
      </c>
      <c r="R1549" s="1423">
        <f t="shared" ref="R1549" ca="1" si="2244">IF(AND(Q1549&lt;1,R1523=0),0,
IF(R1523=0,Q1549-1,
IF(Q1549&lt;1,R1524,
(((Q1549-1)*(Q1525-(Q1525/(Q1549))))+(R1523*R1524))/(R1525))))</f>
        <v>0</v>
      </c>
      <c r="S1549" s="1423">
        <f t="shared" ref="S1549" ca="1" si="2245">IF(AND(R1549&lt;1,S1523=0),0,
IF(S1523=0,R1549-1,
IF(R1549&lt;1,S1524,
(((R1549-1)*(R1525-(R1525/(R1549))))+(S1523*S1524))/(S1525))))</f>
        <v>0</v>
      </c>
      <c r="T1549" s="1423">
        <f t="shared" ref="T1549" ca="1" si="2246">IF(AND(S1549&lt;1,T1523=0),0,
IF(T1523=0,S1549-1,
IF(S1549&lt;1,T1524,
(((S1549-1)*(S1525-(S1525/(S1549))))+(T1523*T1524))/(T1525))))</f>
        <v>0</v>
      </c>
      <c r="U1549" s="1423">
        <f t="shared" ref="U1549" ca="1" si="2247">IF(AND(T1549&lt;1,U1523=0),0,
IF(U1523=0,T1549-1,
IF(T1549&lt;1,U1524,
(((T1549-1)*(T1525-(T1525/(T1549))))+(U1523*U1524))/(U1525))))</f>
        <v>0</v>
      </c>
      <c r="V1549" s="1423">
        <f t="shared" ref="V1549" ca="1" si="2248">IF(AND(U1549&lt;1,V1523=0),0,
IF(V1523=0,U1549-1,
IF(U1549&lt;1,V1524,
(((U1549-1)*(U1525-(U1525/(U1549))))+(V1523*V1524))/(V1525))))</f>
        <v>0</v>
      </c>
      <c r="W1549" s="1423">
        <f t="shared" ref="W1549" ca="1" si="2249">IF(AND(V1549&lt;1,W1523=0),0,
IF(W1523=0,V1549-1,
IF(V1549&lt;1,W1524,
(((V1549-1)*(V1525-(V1525/(V1549))))+(W1523*W1524))/(W1525))))</f>
        <v>0</v>
      </c>
      <c r="X1549" s="152"/>
      <c r="Y1549" s="152"/>
      <c r="Z1549" s="152"/>
      <c r="AA1549" s="152"/>
      <c r="AB1549" s="152"/>
    </row>
    <row r="1550" spans="1:28" hidden="1" outlineLevel="1">
      <c r="A1550" s="152"/>
      <c r="B1550" s="190" t="s">
        <v>193</v>
      </c>
      <c r="C1550" s="1423">
        <f ca="1">C1522</f>
        <v>0</v>
      </c>
      <c r="D1550" s="1423">
        <f t="shared" ref="D1550" ca="1" si="2250">IF(C1550="n/a","n/a",MAX(0,C1550-1))</f>
        <v>0</v>
      </c>
      <c r="E1550" s="1423">
        <f t="shared" ref="E1550:E1551" ca="1" si="2251">IF(D1550="n/a","n/a",MAX(0,D1550-1))</f>
        <v>0</v>
      </c>
      <c r="F1550" s="1423">
        <f t="shared" ref="F1550:F1552" ca="1" si="2252">IF(E1550="n/a","n/a",MAX(0,E1550-1))</f>
        <v>0</v>
      </c>
      <c r="G1550" s="1423">
        <f t="shared" ref="G1550:G1553" ca="1" si="2253">IF(F1550="n/a","n/a",MAX(0,F1550-1))</f>
        <v>0</v>
      </c>
      <c r="H1550" s="1423">
        <f t="shared" ref="H1550:H1554" ca="1" si="2254">IF(G1550="n/a","n/a",MAX(0,G1550-1))</f>
        <v>0</v>
      </c>
      <c r="I1550" s="1423">
        <f t="shared" ref="I1550:I1555" ca="1" si="2255">IF(H1550="n/a","n/a",MAX(0,H1550-1))</f>
        <v>0</v>
      </c>
      <c r="J1550" s="1423">
        <f t="shared" ref="J1550:J1556" ca="1" si="2256">IF(I1550="n/a","n/a",MAX(0,I1550-1))</f>
        <v>0</v>
      </c>
      <c r="K1550" s="1423">
        <f t="shared" ref="K1550:K1557" ca="1" si="2257">IF(J1550="n/a","n/a",MAX(0,J1550-1))</f>
        <v>0</v>
      </c>
      <c r="L1550" s="1423">
        <f t="shared" ref="L1550:L1558" ca="1" si="2258">IF(K1550="n/a","n/a",MAX(0,K1550-1))</f>
        <v>0</v>
      </c>
      <c r="M1550" s="1423">
        <f t="shared" ref="M1550:M1559" ca="1" si="2259">IF(L1550="n/a","n/a",MAX(0,L1550-1))</f>
        <v>0</v>
      </c>
      <c r="N1550" s="1423">
        <f t="shared" ref="N1550:N1560" ca="1" si="2260">IF(M1550="n/a","n/a",MAX(0,M1550-1))</f>
        <v>0</v>
      </c>
      <c r="O1550" s="1423">
        <f t="shared" ref="O1550:O1561" ca="1" si="2261">IF(N1550="n/a","n/a",MAX(0,N1550-1))</f>
        <v>0</v>
      </c>
      <c r="P1550" s="1423">
        <f t="shared" ref="P1550:P1562" ca="1" si="2262">IF(O1550="n/a","n/a",MAX(0,O1550-1))</f>
        <v>0</v>
      </c>
      <c r="Q1550" s="1423">
        <f t="shared" ref="Q1550:Q1563" ca="1" si="2263">IF(P1550="n/a","n/a",MAX(0,P1550-1))</f>
        <v>0</v>
      </c>
      <c r="R1550" s="1423">
        <f t="shared" ref="R1550:R1564" ca="1" si="2264">IF(Q1550="n/a","n/a",MAX(0,Q1550-1))</f>
        <v>0</v>
      </c>
      <c r="S1550" s="1423">
        <f t="shared" ref="S1550:S1565" ca="1" si="2265">IF(R1550="n/a","n/a",MAX(0,R1550-1))</f>
        <v>0</v>
      </c>
      <c r="T1550" s="1423">
        <f t="shared" ref="T1550:T1566" ca="1" si="2266">IF(S1550="n/a","n/a",MAX(0,S1550-1))</f>
        <v>0</v>
      </c>
      <c r="U1550" s="1423">
        <f t="shared" ref="U1550:U1567" ca="1" si="2267">IF(T1550="n/a","n/a",MAX(0,T1550-1))</f>
        <v>0</v>
      </c>
      <c r="V1550" s="1423">
        <f t="shared" ref="V1550:V1568" ca="1" si="2268">IF(U1550="n/a","n/a",MAX(0,U1550-1))</f>
        <v>0</v>
      </c>
      <c r="W1550" s="1423">
        <f t="shared" ref="W1550:W1568" ca="1" si="2269">IF(V1550="n/a","n/a",MAX(0,V1550-1))</f>
        <v>0</v>
      </c>
      <c r="X1550" s="152"/>
      <c r="Y1550" s="152"/>
      <c r="Z1550" s="152"/>
      <c r="AA1550" s="152"/>
      <c r="AB1550" s="152"/>
    </row>
    <row r="1551" spans="1:28" hidden="1" outlineLevel="1">
      <c r="A1551" s="152"/>
      <c r="B1551" s="190" t="str">
        <f t="shared" ref="B1551:B1570" ca="1" si="2270">"RL Capex "&amp;OFFSET($C$6,0,A1527)</f>
        <v>RL Capex 2016-17</v>
      </c>
      <c r="C1551" s="1424"/>
      <c r="D1551" s="1428">
        <f>D1522</f>
        <v>0</v>
      </c>
      <c r="E1551" s="1423">
        <f t="shared" si="2251"/>
        <v>0</v>
      </c>
      <c r="F1551" s="1423">
        <f t="shared" si="2252"/>
        <v>0</v>
      </c>
      <c r="G1551" s="1423">
        <f t="shared" si="2253"/>
        <v>0</v>
      </c>
      <c r="H1551" s="1423">
        <f t="shared" si="2254"/>
        <v>0</v>
      </c>
      <c r="I1551" s="1423">
        <f t="shared" si="2255"/>
        <v>0</v>
      </c>
      <c r="J1551" s="1423">
        <f t="shared" si="2256"/>
        <v>0</v>
      </c>
      <c r="K1551" s="1423">
        <f t="shared" si="2257"/>
        <v>0</v>
      </c>
      <c r="L1551" s="1423">
        <f t="shared" si="2258"/>
        <v>0</v>
      </c>
      <c r="M1551" s="1423">
        <f t="shared" si="2259"/>
        <v>0</v>
      </c>
      <c r="N1551" s="1423">
        <f t="shared" si="2260"/>
        <v>0</v>
      </c>
      <c r="O1551" s="1423">
        <f t="shared" si="2261"/>
        <v>0</v>
      </c>
      <c r="P1551" s="1423">
        <f t="shared" si="2262"/>
        <v>0</v>
      </c>
      <c r="Q1551" s="1423">
        <f t="shared" si="2263"/>
        <v>0</v>
      </c>
      <c r="R1551" s="1423">
        <f t="shared" si="2264"/>
        <v>0</v>
      </c>
      <c r="S1551" s="1423">
        <f t="shared" si="2265"/>
        <v>0</v>
      </c>
      <c r="T1551" s="1423">
        <f t="shared" si="2266"/>
        <v>0</v>
      </c>
      <c r="U1551" s="1423">
        <f t="shared" si="2267"/>
        <v>0</v>
      </c>
      <c r="V1551" s="1423">
        <f t="shared" si="2268"/>
        <v>0</v>
      </c>
      <c r="W1551" s="1423">
        <f t="shared" si="2269"/>
        <v>0</v>
      </c>
      <c r="X1551" s="152"/>
      <c r="Y1551" s="152"/>
      <c r="Z1551" s="152"/>
      <c r="AA1551" s="152"/>
      <c r="AB1551" s="152"/>
    </row>
    <row r="1552" spans="1:28" hidden="1" outlineLevel="1">
      <c r="A1552" s="152"/>
      <c r="B1552" s="190" t="str">
        <f t="shared" ca="1" si="2270"/>
        <v>RL Capex 2017-18</v>
      </c>
      <c r="C1552" s="1429"/>
      <c r="D1552" s="1424"/>
      <c r="E1552" s="1428">
        <f>E1522</f>
        <v>0</v>
      </c>
      <c r="F1552" s="1423">
        <f t="shared" si="2252"/>
        <v>0</v>
      </c>
      <c r="G1552" s="1423">
        <f t="shared" si="2253"/>
        <v>0</v>
      </c>
      <c r="H1552" s="1423">
        <f t="shared" si="2254"/>
        <v>0</v>
      </c>
      <c r="I1552" s="1423">
        <f t="shared" si="2255"/>
        <v>0</v>
      </c>
      <c r="J1552" s="1423">
        <f t="shared" si="2256"/>
        <v>0</v>
      </c>
      <c r="K1552" s="1423">
        <f t="shared" si="2257"/>
        <v>0</v>
      </c>
      <c r="L1552" s="1423">
        <f t="shared" si="2258"/>
        <v>0</v>
      </c>
      <c r="M1552" s="1423">
        <f t="shared" si="2259"/>
        <v>0</v>
      </c>
      <c r="N1552" s="1423">
        <f t="shared" si="2260"/>
        <v>0</v>
      </c>
      <c r="O1552" s="1423">
        <f t="shared" si="2261"/>
        <v>0</v>
      </c>
      <c r="P1552" s="1423">
        <f t="shared" si="2262"/>
        <v>0</v>
      </c>
      <c r="Q1552" s="1423">
        <f t="shared" si="2263"/>
        <v>0</v>
      </c>
      <c r="R1552" s="1423">
        <f t="shared" si="2264"/>
        <v>0</v>
      </c>
      <c r="S1552" s="1423">
        <f t="shared" si="2265"/>
        <v>0</v>
      </c>
      <c r="T1552" s="1423">
        <f t="shared" si="2266"/>
        <v>0</v>
      </c>
      <c r="U1552" s="1423">
        <f t="shared" si="2267"/>
        <v>0</v>
      </c>
      <c r="V1552" s="1423">
        <f t="shared" si="2268"/>
        <v>0</v>
      </c>
      <c r="W1552" s="1423">
        <f t="shared" si="2269"/>
        <v>0</v>
      </c>
      <c r="X1552" s="152"/>
      <c r="Y1552" s="152"/>
      <c r="Z1552" s="152"/>
      <c r="AA1552" s="152"/>
      <c r="AB1552" s="152"/>
    </row>
    <row r="1553" spans="1:28" hidden="1" outlineLevel="1">
      <c r="A1553" s="152"/>
      <c r="B1553" s="190" t="str">
        <f t="shared" ca="1" si="2270"/>
        <v>RL Capex 2018-19</v>
      </c>
      <c r="C1553" s="1429"/>
      <c r="D1553" s="1429"/>
      <c r="E1553" s="1424"/>
      <c r="F1553" s="1428">
        <f>F1522</f>
        <v>0</v>
      </c>
      <c r="G1553" s="1423">
        <f t="shared" si="2253"/>
        <v>0</v>
      </c>
      <c r="H1553" s="1423">
        <f t="shared" si="2254"/>
        <v>0</v>
      </c>
      <c r="I1553" s="1423">
        <f t="shared" si="2255"/>
        <v>0</v>
      </c>
      <c r="J1553" s="1423">
        <f t="shared" si="2256"/>
        <v>0</v>
      </c>
      <c r="K1553" s="1423">
        <f t="shared" si="2257"/>
        <v>0</v>
      </c>
      <c r="L1553" s="1423">
        <f t="shared" si="2258"/>
        <v>0</v>
      </c>
      <c r="M1553" s="1423">
        <f t="shared" si="2259"/>
        <v>0</v>
      </c>
      <c r="N1553" s="1423">
        <f t="shared" si="2260"/>
        <v>0</v>
      </c>
      <c r="O1553" s="1423">
        <f t="shared" si="2261"/>
        <v>0</v>
      </c>
      <c r="P1553" s="1423">
        <f t="shared" si="2262"/>
        <v>0</v>
      </c>
      <c r="Q1553" s="1423">
        <f t="shared" si="2263"/>
        <v>0</v>
      </c>
      <c r="R1553" s="1423">
        <f t="shared" si="2264"/>
        <v>0</v>
      </c>
      <c r="S1553" s="1423">
        <f t="shared" si="2265"/>
        <v>0</v>
      </c>
      <c r="T1553" s="1423">
        <f t="shared" si="2266"/>
        <v>0</v>
      </c>
      <c r="U1553" s="1423">
        <f t="shared" si="2267"/>
        <v>0</v>
      </c>
      <c r="V1553" s="1423">
        <f t="shared" si="2268"/>
        <v>0</v>
      </c>
      <c r="W1553" s="1423">
        <f t="shared" si="2269"/>
        <v>0</v>
      </c>
      <c r="X1553" s="152"/>
      <c r="Y1553" s="152"/>
      <c r="Z1553" s="152"/>
      <c r="AA1553" s="152"/>
      <c r="AB1553" s="152"/>
    </row>
    <row r="1554" spans="1:28" hidden="1" outlineLevel="1">
      <c r="A1554" s="152"/>
      <c r="B1554" s="190" t="str">
        <f t="shared" ca="1" si="2270"/>
        <v>RL Capex 2019-20</v>
      </c>
      <c r="C1554" s="1429"/>
      <c r="D1554" s="1429"/>
      <c r="E1554" s="1429"/>
      <c r="F1554" s="1424"/>
      <c r="G1554" s="1428">
        <f>G1522</f>
        <v>0</v>
      </c>
      <c r="H1554" s="1423">
        <f t="shared" si="2254"/>
        <v>0</v>
      </c>
      <c r="I1554" s="1423">
        <f t="shared" si="2255"/>
        <v>0</v>
      </c>
      <c r="J1554" s="1423">
        <f t="shared" si="2256"/>
        <v>0</v>
      </c>
      <c r="K1554" s="1423">
        <f t="shared" si="2257"/>
        <v>0</v>
      </c>
      <c r="L1554" s="1423">
        <f t="shared" si="2258"/>
        <v>0</v>
      </c>
      <c r="M1554" s="1423">
        <f t="shared" si="2259"/>
        <v>0</v>
      </c>
      <c r="N1554" s="1423">
        <f t="shared" si="2260"/>
        <v>0</v>
      </c>
      <c r="O1554" s="1423">
        <f t="shared" si="2261"/>
        <v>0</v>
      </c>
      <c r="P1554" s="1423">
        <f t="shared" si="2262"/>
        <v>0</v>
      </c>
      <c r="Q1554" s="1423">
        <f t="shared" si="2263"/>
        <v>0</v>
      </c>
      <c r="R1554" s="1423">
        <f t="shared" si="2264"/>
        <v>0</v>
      </c>
      <c r="S1554" s="1423">
        <f t="shared" si="2265"/>
        <v>0</v>
      </c>
      <c r="T1554" s="1423">
        <f t="shared" si="2266"/>
        <v>0</v>
      </c>
      <c r="U1554" s="1423">
        <f t="shared" si="2267"/>
        <v>0</v>
      </c>
      <c r="V1554" s="1423">
        <f t="shared" si="2268"/>
        <v>0</v>
      </c>
      <c r="W1554" s="1423">
        <f t="shared" si="2269"/>
        <v>0</v>
      </c>
      <c r="X1554" s="152"/>
      <c r="Y1554" s="152"/>
      <c r="Z1554" s="152"/>
      <c r="AA1554" s="152"/>
      <c r="AB1554" s="152"/>
    </row>
    <row r="1555" spans="1:28" hidden="1" outlineLevel="1">
      <c r="A1555" s="152"/>
      <c r="B1555" s="190" t="str">
        <f t="shared" ca="1" si="2270"/>
        <v>RL Capex 2020-21</v>
      </c>
      <c r="C1555" s="1429"/>
      <c r="D1555" s="1429"/>
      <c r="E1555" s="1429"/>
      <c r="F1555" s="1429"/>
      <c r="G1555" s="1424"/>
      <c r="H1555" s="1428">
        <f>H1522</f>
        <v>0</v>
      </c>
      <c r="I1555" s="1423">
        <f t="shared" si="2255"/>
        <v>0</v>
      </c>
      <c r="J1555" s="1423">
        <f t="shared" si="2256"/>
        <v>0</v>
      </c>
      <c r="K1555" s="1423">
        <f t="shared" si="2257"/>
        <v>0</v>
      </c>
      <c r="L1555" s="1423">
        <f t="shared" si="2258"/>
        <v>0</v>
      </c>
      <c r="M1555" s="1423">
        <f t="shared" si="2259"/>
        <v>0</v>
      </c>
      <c r="N1555" s="1423">
        <f t="shared" si="2260"/>
        <v>0</v>
      </c>
      <c r="O1555" s="1423">
        <f t="shared" si="2261"/>
        <v>0</v>
      </c>
      <c r="P1555" s="1423">
        <f t="shared" si="2262"/>
        <v>0</v>
      </c>
      <c r="Q1555" s="1423">
        <f t="shared" si="2263"/>
        <v>0</v>
      </c>
      <c r="R1555" s="1423">
        <f t="shared" si="2264"/>
        <v>0</v>
      </c>
      <c r="S1555" s="1423">
        <f t="shared" si="2265"/>
        <v>0</v>
      </c>
      <c r="T1555" s="1423">
        <f t="shared" si="2266"/>
        <v>0</v>
      </c>
      <c r="U1555" s="1423">
        <f t="shared" si="2267"/>
        <v>0</v>
      </c>
      <c r="V1555" s="1423">
        <f t="shared" si="2268"/>
        <v>0</v>
      </c>
      <c r="W1555" s="1423">
        <f t="shared" si="2269"/>
        <v>0</v>
      </c>
      <c r="X1555" s="152"/>
      <c r="Y1555" s="152"/>
      <c r="Z1555" s="152"/>
      <c r="AA1555" s="152"/>
      <c r="AB1555" s="152"/>
    </row>
    <row r="1556" spans="1:28" hidden="1" outlineLevel="1">
      <c r="A1556" s="152"/>
      <c r="B1556" s="190" t="str">
        <f t="shared" ca="1" si="2270"/>
        <v>RL Capex 2021-22</v>
      </c>
      <c r="C1556" s="1429"/>
      <c r="D1556" s="1429"/>
      <c r="E1556" s="1429"/>
      <c r="F1556" s="1429"/>
      <c r="G1556" s="1429"/>
      <c r="H1556" s="1424"/>
      <c r="I1556" s="1428">
        <f>I1522</f>
        <v>0</v>
      </c>
      <c r="J1556" s="1423">
        <f t="shared" si="2256"/>
        <v>0</v>
      </c>
      <c r="K1556" s="1423">
        <f t="shared" si="2257"/>
        <v>0</v>
      </c>
      <c r="L1556" s="1423">
        <f t="shared" si="2258"/>
        <v>0</v>
      </c>
      <c r="M1556" s="1423">
        <f t="shared" si="2259"/>
        <v>0</v>
      </c>
      <c r="N1556" s="1423">
        <f t="shared" si="2260"/>
        <v>0</v>
      </c>
      <c r="O1556" s="1423">
        <f t="shared" si="2261"/>
        <v>0</v>
      </c>
      <c r="P1556" s="1423">
        <f t="shared" si="2262"/>
        <v>0</v>
      </c>
      <c r="Q1556" s="1423">
        <f t="shared" si="2263"/>
        <v>0</v>
      </c>
      <c r="R1556" s="1423">
        <f t="shared" si="2264"/>
        <v>0</v>
      </c>
      <c r="S1556" s="1423">
        <f t="shared" si="2265"/>
        <v>0</v>
      </c>
      <c r="T1556" s="1423">
        <f t="shared" si="2266"/>
        <v>0</v>
      </c>
      <c r="U1556" s="1423">
        <f t="shared" si="2267"/>
        <v>0</v>
      </c>
      <c r="V1556" s="1423">
        <f t="shared" si="2268"/>
        <v>0</v>
      </c>
      <c r="W1556" s="1423">
        <f t="shared" si="2269"/>
        <v>0</v>
      </c>
      <c r="X1556" s="152"/>
      <c r="Y1556" s="152"/>
      <c r="Z1556" s="152"/>
      <c r="AA1556" s="152"/>
      <c r="AB1556" s="152"/>
    </row>
    <row r="1557" spans="1:28" hidden="1" outlineLevel="1">
      <c r="A1557" s="152"/>
      <c r="B1557" s="190" t="str">
        <f t="shared" ca="1" si="2270"/>
        <v>RL Capex 2022-23</v>
      </c>
      <c r="C1557" s="1429"/>
      <c r="D1557" s="1429"/>
      <c r="E1557" s="1429"/>
      <c r="F1557" s="1429"/>
      <c r="G1557" s="1429"/>
      <c r="H1557" s="1429"/>
      <c r="I1557" s="1424"/>
      <c r="J1557" s="1428">
        <f>J1522</f>
        <v>0</v>
      </c>
      <c r="K1557" s="1423">
        <f t="shared" si="2257"/>
        <v>0</v>
      </c>
      <c r="L1557" s="1423">
        <f t="shared" si="2258"/>
        <v>0</v>
      </c>
      <c r="M1557" s="1423">
        <f t="shared" si="2259"/>
        <v>0</v>
      </c>
      <c r="N1557" s="1423">
        <f t="shared" si="2260"/>
        <v>0</v>
      </c>
      <c r="O1557" s="1423">
        <f t="shared" si="2261"/>
        <v>0</v>
      </c>
      <c r="P1557" s="1423">
        <f t="shared" si="2262"/>
        <v>0</v>
      </c>
      <c r="Q1557" s="1423">
        <f t="shared" si="2263"/>
        <v>0</v>
      </c>
      <c r="R1557" s="1423">
        <f t="shared" si="2264"/>
        <v>0</v>
      </c>
      <c r="S1557" s="1423">
        <f t="shared" si="2265"/>
        <v>0</v>
      </c>
      <c r="T1557" s="1423">
        <f t="shared" si="2266"/>
        <v>0</v>
      </c>
      <c r="U1557" s="1423">
        <f t="shared" si="2267"/>
        <v>0</v>
      </c>
      <c r="V1557" s="1423">
        <f t="shared" si="2268"/>
        <v>0</v>
      </c>
      <c r="W1557" s="1423">
        <f t="shared" si="2269"/>
        <v>0</v>
      </c>
      <c r="X1557" s="152"/>
      <c r="Y1557" s="152"/>
      <c r="Z1557" s="152"/>
      <c r="AA1557" s="152"/>
      <c r="AB1557" s="152"/>
    </row>
    <row r="1558" spans="1:28" hidden="1" outlineLevel="1">
      <c r="A1558" s="152"/>
      <c r="B1558" s="190" t="str">
        <f t="shared" ca="1" si="2270"/>
        <v>RL Capex 2023-24</v>
      </c>
      <c r="C1558" s="1429"/>
      <c r="D1558" s="1429"/>
      <c r="E1558" s="1429"/>
      <c r="F1558" s="1429"/>
      <c r="G1558" s="1429"/>
      <c r="H1558" s="1429"/>
      <c r="I1558" s="1429"/>
      <c r="J1558" s="1424"/>
      <c r="K1558" s="1428">
        <f>K1522</f>
        <v>0</v>
      </c>
      <c r="L1558" s="1423">
        <f t="shared" si="2258"/>
        <v>0</v>
      </c>
      <c r="M1558" s="1423">
        <f t="shared" si="2259"/>
        <v>0</v>
      </c>
      <c r="N1558" s="1423">
        <f t="shared" si="2260"/>
        <v>0</v>
      </c>
      <c r="O1558" s="1423">
        <f t="shared" si="2261"/>
        <v>0</v>
      </c>
      <c r="P1558" s="1423">
        <f t="shared" si="2262"/>
        <v>0</v>
      </c>
      <c r="Q1558" s="1423">
        <f t="shared" si="2263"/>
        <v>0</v>
      </c>
      <c r="R1558" s="1423">
        <f t="shared" si="2264"/>
        <v>0</v>
      </c>
      <c r="S1558" s="1423">
        <f t="shared" si="2265"/>
        <v>0</v>
      </c>
      <c r="T1558" s="1423">
        <f t="shared" si="2266"/>
        <v>0</v>
      </c>
      <c r="U1558" s="1423">
        <f t="shared" si="2267"/>
        <v>0</v>
      </c>
      <c r="V1558" s="1423">
        <f t="shared" si="2268"/>
        <v>0</v>
      </c>
      <c r="W1558" s="1423">
        <f t="shared" si="2269"/>
        <v>0</v>
      </c>
      <c r="X1558" s="152"/>
      <c r="Y1558" s="152"/>
      <c r="Z1558" s="152"/>
      <c r="AA1558" s="152"/>
      <c r="AB1558" s="152"/>
    </row>
    <row r="1559" spans="1:28" hidden="1" outlineLevel="1">
      <c r="A1559" s="152"/>
      <c r="B1559" s="190" t="str">
        <f t="shared" ca="1" si="2270"/>
        <v>RL Capex 2024-25</v>
      </c>
      <c r="C1559" s="1429"/>
      <c r="D1559" s="1429"/>
      <c r="E1559" s="1429"/>
      <c r="F1559" s="1429"/>
      <c r="G1559" s="1429"/>
      <c r="H1559" s="1429"/>
      <c r="I1559" s="1429"/>
      <c r="J1559" s="1429"/>
      <c r="K1559" s="1424"/>
      <c r="L1559" s="1428">
        <f>L1522</f>
        <v>0</v>
      </c>
      <c r="M1559" s="1423">
        <f t="shared" si="2259"/>
        <v>0</v>
      </c>
      <c r="N1559" s="1423">
        <f t="shared" si="2260"/>
        <v>0</v>
      </c>
      <c r="O1559" s="1423">
        <f t="shared" si="2261"/>
        <v>0</v>
      </c>
      <c r="P1559" s="1423">
        <f t="shared" si="2262"/>
        <v>0</v>
      </c>
      <c r="Q1559" s="1423">
        <f t="shared" si="2263"/>
        <v>0</v>
      </c>
      <c r="R1559" s="1423">
        <f t="shared" si="2264"/>
        <v>0</v>
      </c>
      <c r="S1559" s="1423">
        <f t="shared" si="2265"/>
        <v>0</v>
      </c>
      <c r="T1559" s="1423">
        <f t="shared" si="2266"/>
        <v>0</v>
      </c>
      <c r="U1559" s="1423">
        <f t="shared" si="2267"/>
        <v>0</v>
      </c>
      <c r="V1559" s="1423">
        <f t="shared" si="2268"/>
        <v>0</v>
      </c>
      <c r="W1559" s="1423">
        <f t="shared" si="2269"/>
        <v>0</v>
      </c>
      <c r="X1559" s="152"/>
      <c r="Y1559" s="152"/>
      <c r="Z1559" s="152"/>
      <c r="AA1559" s="152"/>
      <c r="AB1559" s="152"/>
    </row>
    <row r="1560" spans="1:28" hidden="1" outlineLevel="1">
      <c r="A1560" s="152"/>
      <c r="B1560" s="190" t="str">
        <f t="shared" ca="1" si="2270"/>
        <v>RL Capex 2025-26</v>
      </c>
      <c r="C1560" s="1429"/>
      <c r="D1560" s="1429"/>
      <c r="E1560" s="1429"/>
      <c r="F1560" s="1429"/>
      <c r="G1560" s="1429"/>
      <c r="H1560" s="1429"/>
      <c r="I1560" s="1429"/>
      <c r="J1560" s="1429"/>
      <c r="K1560" s="1429"/>
      <c r="L1560" s="1424"/>
      <c r="M1560" s="1428">
        <f>M1522</f>
        <v>0</v>
      </c>
      <c r="N1560" s="1423">
        <f t="shared" si="2260"/>
        <v>0</v>
      </c>
      <c r="O1560" s="1423">
        <f t="shared" si="2261"/>
        <v>0</v>
      </c>
      <c r="P1560" s="1423">
        <f t="shared" si="2262"/>
        <v>0</v>
      </c>
      <c r="Q1560" s="1423">
        <f t="shared" si="2263"/>
        <v>0</v>
      </c>
      <c r="R1560" s="1423">
        <f t="shared" si="2264"/>
        <v>0</v>
      </c>
      <c r="S1560" s="1423">
        <f t="shared" si="2265"/>
        <v>0</v>
      </c>
      <c r="T1560" s="1423">
        <f t="shared" si="2266"/>
        <v>0</v>
      </c>
      <c r="U1560" s="1423">
        <f t="shared" si="2267"/>
        <v>0</v>
      </c>
      <c r="V1560" s="1423">
        <f t="shared" si="2268"/>
        <v>0</v>
      </c>
      <c r="W1560" s="1423">
        <f t="shared" si="2269"/>
        <v>0</v>
      </c>
      <c r="X1560" s="152"/>
      <c r="Y1560" s="152"/>
      <c r="Z1560" s="152"/>
      <c r="AA1560" s="152"/>
      <c r="AB1560" s="152"/>
    </row>
    <row r="1561" spans="1:28" hidden="1" outlineLevel="1">
      <c r="A1561" s="152"/>
      <c r="B1561" s="190" t="str">
        <f t="shared" ca="1" si="2270"/>
        <v>RL Capex 2026-27</v>
      </c>
      <c r="C1561" s="1429"/>
      <c r="D1561" s="1429"/>
      <c r="E1561" s="1429"/>
      <c r="F1561" s="1429"/>
      <c r="G1561" s="1429"/>
      <c r="H1561" s="1429"/>
      <c r="I1561" s="1429"/>
      <c r="J1561" s="1429"/>
      <c r="K1561" s="1429"/>
      <c r="L1561" s="1429"/>
      <c r="M1561" s="1424"/>
      <c r="N1561" s="1428">
        <f>N1522</f>
        <v>0</v>
      </c>
      <c r="O1561" s="1423">
        <f t="shared" si="2261"/>
        <v>0</v>
      </c>
      <c r="P1561" s="1423">
        <f t="shared" si="2262"/>
        <v>0</v>
      </c>
      <c r="Q1561" s="1423">
        <f t="shared" si="2263"/>
        <v>0</v>
      </c>
      <c r="R1561" s="1423">
        <f t="shared" si="2264"/>
        <v>0</v>
      </c>
      <c r="S1561" s="1423">
        <f t="shared" si="2265"/>
        <v>0</v>
      </c>
      <c r="T1561" s="1423">
        <f t="shared" si="2266"/>
        <v>0</v>
      </c>
      <c r="U1561" s="1423">
        <f t="shared" si="2267"/>
        <v>0</v>
      </c>
      <c r="V1561" s="1423">
        <f t="shared" si="2268"/>
        <v>0</v>
      </c>
      <c r="W1561" s="1423">
        <f t="shared" si="2269"/>
        <v>0</v>
      </c>
      <c r="X1561" s="152"/>
      <c r="Y1561" s="152"/>
      <c r="Z1561" s="152"/>
      <c r="AA1561" s="152"/>
      <c r="AB1561" s="152"/>
    </row>
    <row r="1562" spans="1:28" hidden="1" outlineLevel="1">
      <c r="A1562" s="152"/>
      <c r="B1562" s="190" t="str">
        <f t="shared" ca="1" si="2270"/>
        <v>RL Capex 2027-28</v>
      </c>
      <c r="C1562" s="1429"/>
      <c r="D1562" s="1429"/>
      <c r="E1562" s="1429"/>
      <c r="F1562" s="1429"/>
      <c r="G1562" s="1429"/>
      <c r="H1562" s="1429"/>
      <c r="I1562" s="1429"/>
      <c r="J1562" s="1429"/>
      <c r="K1562" s="1429"/>
      <c r="L1562" s="1429"/>
      <c r="M1562" s="1429"/>
      <c r="N1562" s="1424"/>
      <c r="O1562" s="1428">
        <f>O1522</f>
        <v>0</v>
      </c>
      <c r="P1562" s="1423">
        <f t="shared" si="2262"/>
        <v>0</v>
      </c>
      <c r="Q1562" s="1423">
        <f t="shared" si="2263"/>
        <v>0</v>
      </c>
      <c r="R1562" s="1423">
        <f t="shared" si="2264"/>
        <v>0</v>
      </c>
      <c r="S1562" s="1423">
        <f t="shared" si="2265"/>
        <v>0</v>
      </c>
      <c r="T1562" s="1423">
        <f t="shared" si="2266"/>
        <v>0</v>
      </c>
      <c r="U1562" s="1423">
        <f t="shared" si="2267"/>
        <v>0</v>
      </c>
      <c r="V1562" s="1423">
        <f t="shared" si="2268"/>
        <v>0</v>
      </c>
      <c r="W1562" s="1423">
        <f t="shared" si="2269"/>
        <v>0</v>
      </c>
      <c r="X1562" s="152"/>
      <c r="Y1562" s="152"/>
      <c r="Z1562" s="152"/>
      <c r="AA1562" s="152"/>
      <c r="AB1562" s="152"/>
    </row>
    <row r="1563" spans="1:28" hidden="1" outlineLevel="1">
      <c r="A1563" s="152"/>
      <c r="B1563" s="190" t="str">
        <f t="shared" ca="1" si="2270"/>
        <v>RL Capex 2028-29</v>
      </c>
      <c r="C1563" s="1429"/>
      <c r="D1563" s="1429"/>
      <c r="E1563" s="1429"/>
      <c r="F1563" s="1429"/>
      <c r="G1563" s="1429"/>
      <c r="H1563" s="1429"/>
      <c r="I1563" s="1429"/>
      <c r="J1563" s="1429"/>
      <c r="K1563" s="1429"/>
      <c r="L1563" s="1429"/>
      <c r="M1563" s="1429"/>
      <c r="N1563" s="1429"/>
      <c r="O1563" s="1424"/>
      <c r="P1563" s="1428">
        <f>P1522</f>
        <v>0</v>
      </c>
      <c r="Q1563" s="1423">
        <f t="shared" si="2263"/>
        <v>0</v>
      </c>
      <c r="R1563" s="1423">
        <f t="shared" si="2264"/>
        <v>0</v>
      </c>
      <c r="S1563" s="1423">
        <f t="shared" si="2265"/>
        <v>0</v>
      </c>
      <c r="T1563" s="1423">
        <f t="shared" si="2266"/>
        <v>0</v>
      </c>
      <c r="U1563" s="1423">
        <f t="shared" si="2267"/>
        <v>0</v>
      </c>
      <c r="V1563" s="1423">
        <f t="shared" si="2268"/>
        <v>0</v>
      </c>
      <c r="W1563" s="1423">
        <f t="shared" si="2269"/>
        <v>0</v>
      </c>
      <c r="X1563" s="152"/>
      <c r="Y1563" s="152"/>
      <c r="Z1563" s="152"/>
      <c r="AA1563" s="152"/>
      <c r="AB1563" s="152"/>
    </row>
    <row r="1564" spans="1:28" hidden="1" outlineLevel="1">
      <c r="A1564" s="152"/>
      <c r="B1564" s="190" t="str">
        <f t="shared" ca="1" si="2270"/>
        <v>RL Capex 2029-30</v>
      </c>
      <c r="C1564" s="1429"/>
      <c r="D1564" s="1429"/>
      <c r="E1564" s="1429"/>
      <c r="F1564" s="1429"/>
      <c r="G1564" s="1429"/>
      <c r="H1564" s="1429"/>
      <c r="I1564" s="1429"/>
      <c r="J1564" s="1429"/>
      <c r="K1564" s="1429"/>
      <c r="L1564" s="1429"/>
      <c r="M1564" s="1429"/>
      <c r="N1564" s="1429"/>
      <c r="O1564" s="1429"/>
      <c r="P1564" s="1424"/>
      <c r="Q1564" s="1428">
        <f>Q1522</f>
        <v>0</v>
      </c>
      <c r="R1564" s="1423">
        <f t="shared" si="2264"/>
        <v>0</v>
      </c>
      <c r="S1564" s="1423">
        <f t="shared" si="2265"/>
        <v>0</v>
      </c>
      <c r="T1564" s="1423">
        <f t="shared" si="2266"/>
        <v>0</v>
      </c>
      <c r="U1564" s="1423">
        <f t="shared" si="2267"/>
        <v>0</v>
      </c>
      <c r="V1564" s="1423">
        <f t="shared" si="2268"/>
        <v>0</v>
      </c>
      <c r="W1564" s="1423">
        <f t="shared" si="2269"/>
        <v>0</v>
      </c>
      <c r="X1564" s="152"/>
      <c r="Y1564" s="152"/>
      <c r="Z1564" s="152"/>
      <c r="AA1564" s="152"/>
      <c r="AB1564" s="152"/>
    </row>
    <row r="1565" spans="1:28" hidden="1" outlineLevel="1">
      <c r="A1565" s="152"/>
      <c r="B1565" s="190" t="str">
        <f t="shared" ca="1" si="2270"/>
        <v>RL Capex 2030-31</v>
      </c>
      <c r="C1565" s="1429"/>
      <c r="D1565" s="1429"/>
      <c r="E1565" s="1429"/>
      <c r="F1565" s="1429"/>
      <c r="G1565" s="1429"/>
      <c r="H1565" s="1429"/>
      <c r="I1565" s="1429"/>
      <c r="J1565" s="1429"/>
      <c r="K1565" s="1429"/>
      <c r="L1565" s="1429"/>
      <c r="M1565" s="1429"/>
      <c r="N1565" s="1429"/>
      <c r="O1565" s="1429"/>
      <c r="P1565" s="1429"/>
      <c r="Q1565" s="1424"/>
      <c r="R1565" s="1428">
        <f>R1522</f>
        <v>0</v>
      </c>
      <c r="S1565" s="1423">
        <f t="shared" si="2265"/>
        <v>0</v>
      </c>
      <c r="T1565" s="1423">
        <f t="shared" si="2266"/>
        <v>0</v>
      </c>
      <c r="U1565" s="1423">
        <f t="shared" si="2267"/>
        <v>0</v>
      </c>
      <c r="V1565" s="1423">
        <f t="shared" si="2268"/>
        <v>0</v>
      </c>
      <c r="W1565" s="1423">
        <f t="shared" si="2269"/>
        <v>0</v>
      </c>
      <c r="X1565" s="152"/>
      <c r="Y1565" s="152"/>
      <c r="Z1565" s="152"/>
      <c r="AA1565" s="152"/>
      <c r="AB1565" s="152"/>
    </row>
    <row r="1566" spans="1:28" hidden="1" outlineLevel="1">
      <c r="A1566" s="152"/>
      <c r="B1566" s="190" t="str">
        <f t="shared" ca="1" si="2270"/>
        <v>RL Capex 2031-32</v>
      </c>
      <c r="C1566" s="1429"/>
      <c r="D1566" s="1429"/>
      <c r="E1566" s="1429"/>
      <c r="F1566" s="1429"/>
      <c r="G1566" s="1429"/>
      <c r="H1566" s="1429"/>
      <c r="I1566" s="1429"/>
      <c r="J1566" s="1429"/>
      <c r="K1566" s="1429"/>
      <c r="L1566" s="1429"/>
      <c r="M1566" s="1429"/>
      <c r="N1566" s="1429"/>
      <c r="O1566" s="1429"/>
      <c r="P1566" s="1429"/>
      <c r="Q1566" s="1429"/>
      <c r="R1566" s="1424"/>
      <c r="S1566" s="1428">
        <f>S1522</f>
        <v>0</v>
      </c>
      <c r="T1566" s="1423">
        <f t="shared" si="2266"/>
        <v>0</v>
      </c>
      <c r="U1566" s="1423">
        <f t="shared" si="2267"/>
        <v>0</v>
      </c>
      <c r="V1566" s="1423">
        <f t="shared" si="2268"/>
        <v>0</v>
      </c>
      <c r="W1566" s="1423">
        <f t="shared" si="2269"/>
        <v>0</v>
      </c>
      <c r="X1566" s="152"/>
      <c r="Y1566" s="152"/>
      <c r="Z1566" s="152"/>
      <c r="AA1566" s="152"/>
      <c r="AB1566" s="152"/>
    </row>
    <row r="1567" spans="1:28" hidden="1" outlineLevel="1">
      <c r="A1567" s="152"/>
      <c r="B1567" s="190" t="str">
        <f t="shared" ca="1" si="2270"/>
        <v>RL Capex 2032-33</v>
      </c>
      <c r="C1567" s="1429"/>
      <c r="D1567" s="1429"/>
      <c r="E1567" s="1429"/>
      <c r="F1567" s="1429"/>
      <c r="G1567" s="1429"/>
      <c r="H1567" s="1429"/>
      <c r="I1567" s="1429"/>
      <c r="J1567" s="1429"/>
      <c r="K1567" s="1429"/>
      <c r="L1567" s="1429"/>
      <c r="M1567" s="1429"/>
      <c r="N1567" s="1429"/>
      <c r="O1567" s="1429"/>
      <c r="P1567" s="1429"/>
      <c r="Q1567" s="1429"/>
      <c r="R1567" s="1429"/>
      <c r="S1567" s="1424"/>
      <c r="T1567" s="1428">
        <f>T1522</f>
        <v>0</v>
      </c>
      <c r="U1567" s="1423">
        <f t="shared" si="2267"/>
        <v>0</v>
      </c>
      <c r="V1567" s="1423">
        <f t="shared" si="2268"/>
        <v>0</v>
      </c>
      <c r="W1567" s="1423">
        <f t="shared" si="2269"/>
        <v>0</v>
      </c>
      <c r="X1567" s="152"/>
      <c r="Y1567" s="152"/>
      <c r="Z1567" s="152"/>
      <c r="AA1567" s="152"/>
      <c r="AB1567" s="152"/>
    </row>
    <row r="1568" spans="1:28" hidden="1" outlineLevel="1">
      <c r="A1568" s="152"/>
      <c r="B1568" s="190" t="str">
        <f t="shared" ca="1" si="2270"/>
        <v>RL Capex 2033-34</v>
      </c>
      <c r="C1568" s="1429"/>
      <c r="D1568" s="1429"/>
      <c r="E1568" s="1429"/>
      <c r="F1568" s="1429"/>
      <c r="G1568" s="1429"/>
      <c r="H1568" s="1429"/>
      <c r="I1568" s="1429"/>
      <c r="J1568" s="1429"/>
      <c r="K1568" s="1429"/>
      <c r="L1568" s="1429"/>
      <c r="M1568" s="1429"/>
      <c r="N1568" s="1429"/>
      <c r="O1568" s="1429"/>
      <c r="P1568" s="1429"/>
      <c r="Q1568" s="1429"/>
      <c r="R1568" s="1429"/>
      <c r="S1568" s="1429"/>
      <c r="T1568" s="1424"/>
      <c r="U1568" s="1428">
        <f>U1522</f>
        <v>0</v>
      </c>
      <c r="V1568" s="1423">
        <f t="shared" si="2268"/>
        <v>0</v>
      </c>
      <c r="W1568" s="1423">
        <f t="shared" si="2269"/>
        <v>0</v>
      </c>
      <c r="X1568" s="152"/>
      <c r="Y1568" s="152"/>
      <c r="Z1568" s="152"/>
      <c r="AA1568" s="152"/>
      <c r="AB1568" s="152"/>
    </row>
    <row r="1569" spans="1:28" hidden="1" outlineLevel="1">
      <c r="A1569" s="152"/>
      <c r="B1569" s="190" t="str">
        <f t="shared" ca="1" si="2270"/>
        <v>RL Capex 2034-35</v>
      </c>
      <c r="C1569" s="1429"/>
      <c r="D1569" s="1429"/>
      <c r="E1569" s="1429"/>
      <c r="F1569" s="1429"/>
      <c r="G1569" s="1429"/>
      <c r="H1569" s="1429"/>
      <c r="I1569" s="1429"/>
      <c r="J1569" s="1429"/>
      <c r="K1569" s="1429"/>
      <c r="L1569" s="1429"/>
      <c r="M1569" s="1429"/>
      <c r="N1569" s="1429"/>
      <c r="O1569" s="1429"/>
      <c r="P1569" s="1429"/>
      <c r="Q1569" s="1429"/>
      <c r="R1569" s="1429"/>
      <c r="S1569" s="1429"/>
      <c r="T1569" s="1429"/>
      <c r="U1569" s="1424"/>
      <c r="V1569" s="1428">
        <f>V1522</f>
        <v>0</v>
      </c>
      <c r="W1569" s="1423">
        <f>IF(V1569="n/a","n/a",MAX(0,V1569-1))</f>
        <v>0</v>
      </c>
      <c r="X1569" s="152"/>
      <c r="Y1569" s="152"/>
      <c r="Z1569" s="152"/>
      <c r="AA1569" s="152"/>
      <c r="AB1569" s="152"/>
    </row>
    <row r="1570" spans="1:28" hidden="1" outlineLevel="1">
      <c r="A1570" s="152"/>
      <c r="B1570" s="190" t="str">
        <f t="shared" ca="1" si="2270"/>
        <v>RL Capex 2035-36</v>
      </c>
      <c r="C1570" s="1429"/>
      <c r="D1570" s="1429"/>
      <c r="E1570" s="1429"/>
      <c r="F1570" s="1429"/>
      <c r="G1570" s="1429"/>
      <c r="H1570" s="1429"/>
      <c r="I1570" s="1429"/>
      <c r="J1570" s="1429"/>
      <c r="K1570" s="1429"/>
      <c r="L1570" s="1429"/>
      <c r="M1570" s="1429"/>
      <c r="N1570" s="1429"/>
      <c r="O1570" s="1429"/>
      <c r="P1570" s="1429"/>
      <c r="Q1570" s="1429"/>
      <c r="R1570" s="1429"/>
      <c r="S1570" s="1429"/>
      <c r="T1570" s="1429"/>
      <c r="U1570" s="1429"/>
      <c r="V1570" s="1424"/>
      <c r="W1570" s="1423">
        <f>W1522</f>
        <v>0</v>
      </c>
      <c r="X1570" s="152"/>
      <c r="Y1570" s="152"/>
      <c r="Z1570" s="152"/>
      <c r="AA1570" s="152"/>
      <c r="AB1570" s="152"/>
    </row>
    <row r="1571" spans="1:28" hidden="1" outlineLevel="1">
      <c r="A1571" s="152"/>
      <c r="B1571" s="200"/>
      <c r="C1571" s="1423"/>
      <c r="D1571" s="1423"/>
      <c r="E1571" s="1423"/>
      <c r="F1571" s="1423"/>
      <c r="G1571" s="1423"/>
      <c r="H1571" s="1423"/>
      <c r="I1571" s="1423"/>
      <c r="J1571" s="1423"/>
      <c r="K1571" s="1423"/>
      <c r="L1571" s="1423"/>
      <c r="M1571" s="1423"/>
      <c r="N1571" s="1423"/>
      <c r="O1571" s="1423"/>
      <c r="P1571" s="1423"/>
      <c r="Q1571" s="1423"/>
      <c r="R1571" s="1423"/>
      <c r="S1571" s="1423"/>
      <c r="T1571" s="1423"/>
      <c r="U1571" s="1423"/>
      <c r="V1571" s="1423"/>
      <c r="W1571" s="1423"/>
      <c r="X1571" s="152"/>
      <c r="Y1571" s="152"/>
      <c r="Z1571" s="152"/>
      <c r="AA1571" s="152"/>
      <c r="AB1571" s="152"/>
    </row>
    <row r="1572" spans="1:28" collapsed="1">
      <c r="A1572" s="194"/>
      <c r="B1572" s="204" t="s">
        <v>123</v>
      </c>
      <c r="C1572" s="1430">
        <f ca="1">(IF(OR($C1522&lt;&gt;"n/a",C1522&lt;&gt;"n/a"),IF(SUM(C1525:C1547)=0,0,IF((SUMPRODUCT(C1525:C1547,C1549:C1571)/SUM(C1525:C1547))&lt;0,1,(SUMPRODUCT(C1525:C1547,C1549:C1571)/SUM(C1525:C1547)))),"n/a"))</f>
        <v>0</v>
      </c>
      <c r="D1572" s="1430">
        <f ca="1">(IF(OR($C1522&lt;&gt;"n/a",D1522&lt;&gt;"n/a"),IF(SUM(D1525:D1547)=0,0,IF((SUMPRODUCT(D1525:D1547,D1549:D1571)/SUM(D1525:D1547))&lt;0,1,(SUMPRODUCT(D1525:D1547,D1549:D1571)/SUM(D1525:D1547)))),"n/a"))</f>
        <v>0</v>
      </c>
      <c r="E1572" s="1430">
        <f t="shared" ref="E1572:W1572" ca="1" si="2271">(IF(OR($C1522&lt;&gt;"n/a",E1522&lt;&gt;"n/a"),IF(SUM(E1525:E1547)=0,0,IF((SUMPRODUCT(E1525:E1547,E1549:E1571)/SUM(E1525:E1547))&lt;0,1,(SUMPRODUCT(E1525:E1547,E1549:E1571)/SUM(E1525:E1547)))),"n/a"))</f>
        <v>0</v>
      </c>
      <c r="F1572" s="1430">
        <f t="shared" ca="1" si="2271"/>
        <v>0</v>
      </c>
      <c r="G1572" s="1430">
        <f t="shared" ca="1" si="2271"/>
        <v>0</v>
      </c>
      <c r="H1572" s="1430">
        <f t="shared" ca="1" si="2271"/>
        <v>0</v>
      </c>
      <c r="I1572" s="1430">
        <f t="shared" ca="1" si="2271"/>
        <v>0</v>
      </c>
      <c r="J1572" s="1430">
        <f t="shared" ca="1" si="2271"/>
        <v>0</v>
      </c>
      <c r="K1572" s="1430">
        <f t="shared" ca="1" si="2271"/>
        <v>0</v>
      </c>
      <c r="L1572" s="1430">
        <f t="shared" ca="1" si="2271"/>
        <v>0</v>
      </c>
      <c r="M1572" s="1430">
        <f t="shared" ca="1" si="2271"/>
        <v>0</v>
      </c>
      <c r="N1572" s="1430">
        <f t="shared" ca="1" si="2271"/>
        <v>0</v>
      </c>
      <c r="O1572" s="1430">
        <f t="shared" ca="1" si="2271"/>
        <v>0</v>
      </c>
      <c r="P1572" s="1430">
        <f t="shared" ca="1" si="2271"/>
        <v>0</v>
      </c>
      <c r="Q1572" s="1430">
        <f t="shared" ca="1" si="2271"/>
        <v>0</v>
      </c>
      <c r="R1572" s="1430">
        <f t="shared" ca="1" si="2271"/>
        <v>0</v>
      </c>
      <c r="S1572" s="1430">
        <f t="shared" ca="1" si="2271"/>
        <v>0</v>
      </c>
      <c r="T1572" s="1430">
        <f t="shared" ca="1" si="2271"/>
        <v>0</v>
      </c>
      <c r="U1572" s="1430">
        <f t="shared" ca="1" si="2271"/>
        <v>0</v>
      </c>
      <c r="V1572" s="1430">
        <f t="shared" ca="1" si="2271"/>
        <v>0</v>
      </c>
      <c r="W1572" s="1430">
        <f t="shared" ca="1" si="2271"/>
        <v>0</v>
      </c>
      <c r="X1572" s="152"/>
      <c r="Y1572" s="152"/>
      <c r="Z1572" s="152"/>
      <c r="AA1572" s="152"/>
      <c r="AB1572" s="152"/>
    </row>
    <row r="1573" spans="1:28">
      <c r="A1573" s="152"/>
      <c r="B1573" s="152"/>
      <c r="C1573" s="1423"/>
      <c r="D1573" s="1423"/>
      <c r="E1573" s="1423"/>
      <c r="F1573" s="1423"/>
      <c r="G1573" s="1423"/>
      <c r="H1573" s="1423"/>
      <c r="I1573" s="1423"/>
      <c r="J1573" s="1423"/>
      <c r="K1573" s="1423"/>
      <c r="L1573" s="1423"/>
      <c r="M1573" s="1423"/>
      <c r="N1573" s="1423"/>
      <c r="O1573" s="1423"/>
      <c r="P1573" s="1423"/>
      <c r="Q1573" s="1423"/>
      <c r="R1573" s="1423"/>
      <c r="S1573" s="1423"/>
      <c r="T1573" s="1423"/>
      <c r="U1573" s="1423"/>
      <c r="V1573" s="1423"/>
      <c r="W1573" s="1423"/>
      <c r="X1573" s="152"/>
      <c r="Y1573" s="152"/>
      <c r="Z1573" s="152"/>
      <c r="AA1573" s="152"/>
      <c r="AB1573" s="152"/>
    </row>
    <row r="1574" spans="1:28">
      <c r="A1574" s="269" t="s">
        <v>64</v>
      </c>
      <c r="B1574" s="270">
        <f>VLOOKUP($A1574,'RFM input'!$E$7:$F$56,2,FALSE)</f>
        <v>0</v>
      </c>
      <c r="C1574" s="1431"/>
      <c r="D1574" s="1431"/>
      <c r="E1574" s="1432"/>
      <c r="F1574" s="1432"/>
      <c r="G1574" s="1432"/>
      <c r="H1574" s="1432"/>
      <c r="I1574" s="1432"/>
      <c r="J1574" s="1432"/>
      <c r="K1574" s="1432"/>
      <c r="L1574" s="1432"/>
      <c r="M1574" s="1432"/>
      <c r="N1574" s="1432"/>
      <c r="O1574" s="1432"/>
      <c r="P1574" s="1432"/>
      <c r="Q1574" s="1432"/>
      <c r="R1574" s="1432"/>
      <c r="S1574" s="1432"/>
      <c r="T1574" s="1432"/>
      <c r="U1574" s="1432"/>
      <c r="V1574" s="1432"/>
      <c r="W1574" s="1432"/>
      <c r="X1574" s="152"/>
      <c r="Y1574" s="152"/>
      <c r="Z1574" s="152"/>
      <c r="AA1574" s="152"/>
      <c r="AB1574" s="152"/>
    </row>
    <row r="1575" spans="1:28">
      <c r="A1575" s="215">
        <f>VALUE(REPLACE(A1574,1,12,""))</f>
        <v>30</v>
      </c>
      <c r="B1575" s="193" t="s">
        <v>126</v>
      </c>
      <c r="C1575" s="1416">
        <f ca="1">IF($D$6='TAB roll forward'!$H$4,OFFSET('TAB roll forward'!$H$7,A1575,0),"enter input")</f>
        <v>0</v>
      </c>
      <c r="D1575" s="1417">
        <f>IF(LEFT(D$6,4)&lt;LEFT('RFM input'!$G$60,4),"enter input",IF(LEFT(D$6,4)&gt;LEFT('RFM input'!$Q$60,4),0,
INDEX('RFM input'!$G$61:$Q$110,$A1575,MATCH(D$6,'RFM input'!$G$60:$Q$60,0))
   -INDEX('RFM input'!$G$115:$Q$164,$A1575,MATCH(D$6,'RFM input'!$G$60:$Q$60,0))))</f>
        <v>0</v>
      </c>
      <c r="E1575" s="1417">
        <f>IF(LEFT(E$6,4)&lt;LEFT('RFM input'!$G$60,4),"enter input",IF(LEFT(E$6,4)&gt;LEFT('RFM input'!$Q$60,4),0,
INDEX('RFM input'!$G$61:$Q$110,$A1575,MATCH(E$6,'RFM input'!$G$60:$Q$60,0))
   -INDEX('RFM input'!$G$115:$Q$164,$A1575,MATCH(E$6,'RFM input'!$G$60:$Q$60,0))))</f>
        <v>0</v>
      </c>
      <c r="F1575" s="1417">
        <f>IF(LEFT(F$6,4)&lt;LEFT('RFM input'!$G$60,4),"enter input",IF(LEFT(F$6,4)&gt;LEFT('RFM input'!$Q$60,4),0,
INDEX('RFM input'!$G$61:$Q$110,$A1575,MATCH(F$6,'RFM input'!$G$60:$Q$60,0))
   -INDEX('RFM input'!$G$115:$Q$164,$A1575,MATCH(F$6,'RFM input'!$G$60:$Q$60,0))))</f>
        <v>0</v>
      </c>
      <c r="G1575" s="1417">
        <f>IF(LEFT(G$6,4)&lt;LEFT('RFM input'!$G$60,4),"enter input",IF(LEFT(G$6,4)&gt;LEFT('RFM input'!$Q$60,4),0,
INDEX('RFM input'!$G$61:$Q$110,$A1575,MATCH(G$6,'RFM input'!$G$60:$Q$60,0))
   -INDEX('RFM input'!$G$115:$Q$164,$A1575,MATCH(G$6,'RFM input'!$G$60:$Q$60,0))))</f>
        <v>0</v>
      </c>
      <c r="H1575" s="1417">
        <f>IF(LEFT(H$6,4)&lt;LEFT('RFM input'!$G$60,4),"enter input",IF(LEFT(H$6,4)&gt;LEFT('RFM input'!$Q$60,4),0,
INDEX('RFM input'!$G$61:$Q$110,$A1575,MATCH(H$6,'RFM input'!$G$60:$Q$60,0))
   -INDEX('RFM input'!$G$115:$Q$164,$A1575,MATCH(H$6,'RFM input'!$G$60:$Q$60,0))))</f>
        <v>0</v>
      </c>
      <c r="I1575" s="1417">
        <f>IF(LEFT(I$6,4)&lt;LEFT('RFM input'!$G$60,4),"enter input",IF(LEFT(I$6,4)&gt;LEFT('RFM input'!$Q$60,4),0,
INDEX('RFM input'!$G$61:$Q$110,$A1575,MATCH(I$6,'RFM input'!$G$60:$Q$60,0))
   -INDEX('RFM input'!$G$115:$Q$164,$A1575,MATCH(I$6,'RFM input'!$G$60:$Q$60,0))))</f>
        <v>0</v>
      </c>
      <c r="J1575" s="1417">
        <f>IF(LEFT(J$6,4)&lt;LEFT('RFM input'!$G$60,4),"enter input",IF(LEFT(J$6,4)&gt;LEFT('RFM input'!$Q$60,4),0,
INDEX('RFM input'!$G$61:$Q$110,$A1575,MATCH(J$6,'RFM input'!$G$60:$Q$60,0))
   -INDEX('RFM input'!$G$115:$Q$164,$A1575,MATCH(J$6,'RFM input'!$G$60:$Q$60,0))))</f>
        <v>0</v>
      </c>
      <c r="K1575" s="1417">
        <f>IF(LEFT(K$6,4)&lt;LEFT('RFM input'!$G$60,4),"enter input",IF(LEFT(K$6,4)&gt;LEFT('RFM input'!$Q$60,4),0,
INDEX('RFM input'!$G$61:$Q$110,$A1575,MATCH(K$6,'RFM input'!$G$60:$Q$60,0))
   -INDEX('RFM input'!$G$115:$Q$164,$A1575,MATCH(K$6,'RFM input'!$G$60:$Q$60,0))))</f>
        <v>0</v>
      </c>
      <c r="L1575" s="1417">
        <f>IF(LEFT(L$6,4)&lt;LEFT('RFM input'!$G$60,4),"enter input",IF(LEFT(L$6,4)&gt;LEFT('RFM input'!$Q$60,4),0,
INDEX('RFM input'!$G$61:$Q$110,$A1575,MATCH(L$6,'RFM input'!$G$60:$Q$60,0))
   -INDEX('RFM input'!$G$115:$Q$164,$A1575,MATCH(L$6,'RFM input'!$G$60:$Q$60,0))))</f>
        <v>0</v>
      </c>
      <c r="M1575" s="1417">
        <f>IF(LEFT(M$6,4)&lt;LEFT('RFM input'!$G$60,4),"enter input",IF(LEFT(M$6,4)&gt;LEFT('RFM input'!$Q$60,4),0,
INDEX('RFM input'!$G$61:$Q$110,$A1575,MATCH(M$6,'RFM input'!$G$60:$Q$60,0))
   -INDEX('RFM input'!$G$115:$Q$164,$A1575,MATCH(M$6,'RFM input'!$G$60:$Q$60,0))))</f>
        <v>0</v>
      </c>
      <c r="N1575" s="1417">
        <f>IF(LEFT(N$6,4)&lt;LEFT('RFM input'!$G$60,4),"enter input",IF(LEFT(N$6,4)&gt;LEFT('RFM input'!$Q$60,4),0,
INDEX('RFM input'!$G$61:$Q$110,$A1575,MATCH(N$6,'RFM input'!$G$60:$Q$60,0))
   -INDEX('RFM input'!$G$115:$Q$164,$A1575,MATCH(N$6,'RFM input'!$G$60:$Q$60,0))))</f>
        <v>0</v>
      </c>
      <c r="O1575" s="1417">
        <f>IF(LEFT(O$6,4)&lt;LEFT('RFM input'!$G$60,4),"enter input",IF(LEFT(O$6,4)&gt;LEFT('RFM input'!$Q$60,4),0,
INDEX('RFM input'!$G$61:$Q$110,$A1575,MATCH(O$6,'RFM input'!$G$60:$Q$60,0))
   -INDEX('RFM input'!$G$115:$Q$164,$A1575,MATCH(O$6,'RFM input'!$G$60:$Q$60,0))))</f>
        <v>0</v>
      </c>
      <c r="P1575" s="1417">
        <f>IF(LEFT(P$6,4)&lt;LEFT('RFM input'!$G$60,4),"enter input",IF(LEFT(P$6,4)&gt;LEFT('RFM input'!$Q$60,4),0,
INDEX('RFM input'!$G$61:$Q$110,$A1575,MATCH(P$6,'RFM input'!$G$60:$Q$60,0))
   -INDEX('RFM input'!$G$115:$Q$164,$A1575,MATCH(P$6,'RFM input'!$G$60:$Q$60,0))))</f>
        <v>0</v>
      </c>
      <c r="Q1575" s="1417">
        <f>IF(LEFT(Q$6,4)&lt;LEFT('RFM input'!$G$60,4),"enter input",IF(LEFT(Q$6,4)&gt;LEFT('RFM input'!$Q$60,4),0,
INDEX('RFM input'!$G$61:$Q$110,$A1575,MATCH(Q$6,'RFM input'!$G$60:$Q$60,0))
   -INDEX('RFM input'!$G$115:$Q$164,$A1575,MATCH(Q$6,'RFM input'!$G$60:$Q$60,0))))</f>
        <v>0</v>
      </c>
      <c r="R1575" s="1417">
        <f>IF(LEFT(R$6,4)&lt;LEFT('RFM input'!$G$60,4),"enter input",IF(LEFT(R$6,4)&gt;LEFT('RFM input'!$Q$60,4),0,
INDEX('RFM input'!$G$61:$Q$110,$A1575,MATCH(R$6,'RFM input'!$G$60:$Q$60,0))
   -INDEX('RFM input'!$G$115:$Q$164,$A1575,MATCH(R$6,'RFM input'!$G$60:$Q$60,0))))</f>
        <v>0</v>
      </c>
      <c r="S1575" s="1417">
        <f>IF(LEFT(S$6,4)&lt;LEFT('RFM input'!$G$60,4),"enter input",IF(LEFT(S$6,4)&gt;LEFT('RFM input'!$Q$60,4),0,
INDEX('RFM input'!$G$61:$Q$110,$A1575,MATCH(S$6,'RFM input'!$G$60:$Q$60,0))
   -INDEX('RFM input'!$G$115:$Q$164,$A1575,MATCH(S$6,'RFM input'!$G$60:$Q$60,0))))</f>
        <v>0</v>
      </c>
      <c r="T1575" s="1417">
        <f>IF(LEFT(T$6,4)&lt;LEFT('RFM input'!$G$60,4),"enter input",IF(LEFT(T$6,4)&gt;LEFT('RFM input'!$Q$60,4),0,
INDEX('RFM input'!$G$61:$Q$110,$A1575,MATCH(T$6,'RFM input'!$G$60:$Q$60,0))
   -INDEX('RFM input'!$G$115:$Q$164,$A1575,MATCH(T$6,'RFM input'!$G$60:$Q$60,0))))</f>
        <v>0</v>
      </c>
      <c r="U1575" s="1417">
        <f>IF(LEFT(U$6,4)&lt;LEFT('RFM input'!$G$60,4),"enter input",IF(LEFT(U$6,4)&gt;LEFT('RFM input'!$Q$60,4),0,
INDEX('RFM input'!$G$61:$Q$110,$A1575,MATCH(U$6,'RFM input'!$G$60:$Q$60,0))
   -INDEX('RFM input'!$G$115:$Q$164,$A1575,MATCH(U$6,'RFM input'!$G$60:$Q$60,0))))</f>
        <v>0</v>
      </c>
      <c r="V1575" s="1417">
        <f>IF(LEFT(V$6,4)&lt;LEFT('RFM input'!$G$60,4),"enter input",IF(LEFT(V$6,4)&gt;LEFT('RFM input'!$Q$60,4),0,
INDEX('RFM input'!$G$61:$Q$110,$A1575,MATCH(V$6,'RFM input'!$G$60:$Q$60,0))
   -INDEX('RFM input'!$G$115:$Q$164,$A1575,MATCH(V$6,'RFM input'!$G$60:$Q$60,0))))</f>
        <v>0</v>
      </c>
      <c r="W1575" s="1417">
        <f>IF(LEFT(W$6,4)&lt;LEFT('RFM input'!$G$60,4),"enter input",IF(LEFT(W$6,4)&gt;LEFT('RFM input'!$Q$60,4),0,
INDEX('RFM input'!$G$61:$Q$110,$A1575,MATCH(W$6,'RFM input'!$G$60:$Q$60,0))
   -INDEX('RFM input'!$G$115:$Q$164,$A1575,MATCH(W$6,'RFM input'!$G$60:$Q$60,0))))</f>
        <v>0</v>
      </c>
      <c r="X1575" s="152"/>
      <c r="Y1575" s="152"/>
      <c r="Z1575" s="152"/>
      <c r="AA1575" s="152"/>
      <c r="AB1575" s="152"/>
    </row>
    <row r="1576" spans="1:28">
      <c r="A1576" s="152"/>
      <c r="B1576" s="152" t="s">
        <v>205</v>
      </c>
      <c r="C1576" s="1418">
        <f ca="1">IF($D$6='TAB roll forward'!$H$4,OFFSET('RFM input'!$S$6,$A1575,0),"enter input")</f>
        <v>0</v>
      </c>
      <c r="D1576" s="1417">
        <f>IF(LEFT(D$6,4)&lt;=LEFT('RFM input'!$G$60,4),"enter input",IF(LEFT(D$6,4)&gt;LEFT('RFM input'!$Q$60,4),0,
IF(MATCH(D$6,'RFM input'!$H$60:$Q$60,0),INDEX('RFM input'!$T$7:$T$56,$A1575,1,1))))</f>
        <v>0</v>
      </c>
      <c r="E1576" s="1417">
        <f>IF(LEFT(E$6,4)&lt;=LEFT('RFM input'!$G$60,4),"enter input",IF(LEFT(E$6,4)&gt;LEFT('RFM input'!$Q$60,4),0,
IF(MATCH(E$6,'RFM input'!$H$60:$Q$60,0),INDEX('RFM input'!$T$7:$T$56,$A1575,1,1))))</f>
        <v>0</v>
      </c>
      <c r="F1576" s="1417">
        <f>IF(LEFT(F$6,4)&lt;=LEFT('RFM input'!$G$60,4),"enter input",IF(LEFT(F$6,4)&gt;LEFT('RFM input'!$Q$60,4),0,
IF(MATCH(F$6,'RFM input'!$H$60:$Q$60,0),INDEX('RFM input'!$T$7:$T$56,$A1575,1,1))))</f>
        <v>0</v>
      </c>
      <c r="G1576" s="1417">
        <f>IF(LEFT(G$6,4)&lt;=LEFT('RFM input'!$G$60,4),"enter input",IF(LEFT(G$6,4)&gt;LEFT('RFM input'!$Q$60,4),0,
IF(MATCH(G$6,'RFM input'!$H$60:$Q$60,0),INDEX('RFM input'!$T$7:$T$56,$A1575,1,1))))</f>
        <v>0</v>
      </c>
      <c r="H1576" s="1417">
        <f>IF(LEFT(H$6,4)&lt;=LEFT('RFM input'!$G$60,4),"enter input",IF(LEFT(H$6,4)&gt;LEFT('RFM input'!$Q$60,4),0,
IF(MATCH(H$6,'RFM input'!$H$60:$Q$60,0),INDEX('RFM input'!$T$7:$T$56,$A1575,1,1))))</f>
        <v>0</v>
      </c>
      <c r="I1576" s="1417">
        <f>IF(LEFT(I$6,4)&lt;=LEFT('RFM input'!$G$60,4),"enter input",IF(LEFT(I$6,4)&gt;LEFT('RFM input'!$Q$60,4),0,
IF(MATCH(I$6,'RFM input'!$H$60:$Q$60,0),INDEX('RFM input'!$T$7:$T$56,$A1575,1,1))))</f>
        <v>0</v>
      </c>
      <c r="J1576" s="1417">
        <f>IF(LEFT(J$6,4)&lt;=LEFT('RFM input'!$G$60,4),"enter input",IF(LEFT(J$6,4)&gt;LEFT('RFM input'!$Q$60,4),0,
IF(MATCH(J$6,'RFM input'!$H$60:$Q$60,0),INDEX('RFM input'!$T$7:$T$56,$A1575,1,1))))</f>
        <v>0</v>
      </c>
      <c r="K1576" s="1417">
        <f>IF(LEFT(K$6,4)&lt;=LEFT('RFM input'!$G$60,4),"enter input",IF(LEFT(K$6,4)&gt;LEFT('RFM input'!$Q$60,4),0,
IF(MATCH(K$6,'RFM input'!$H$60:$Q$60,0),INDEX('RFM input'!$T$7:$T$56,$A1575,1,1))))</f>
        <v>0</v>
      </c>
      <c r="L1576" s="1417">
        <f>IF(LEFT(L$6,4)&lt;=LEFT('RFM input'!$G$60,4),"enter input",IF(LEFT(L$6,4)&gt;LEFT('RFM input'!$Q$60,4),0,
IF(MATCH(L$6,'RFM input'!$H$60:$Q$60,0),INDEX('RFM input'!$T$7:$T$56,$A1575,1,1))))</f>
        <v>0</v>
      </c>
      <c r="M1576" s="1417">
        <f>IF(LEFT(M$6,4)&lt;=LEFT('RFM input'!$G$60,4),"enter input",IF(LEFT(M$6,4)&gt;LEFT('RFM input'!$Q$60,4),0,
IF(MATCH(M$6,'RFM input'!$H$60:$Q$60,0),INDEX('RFM input'!$T$7:$T$56,$A1575,1,1))))</f>
        <v>0</v>
      </c>
      <c r="N1576" s="1417">
        <f>IF(LEFT(N$6,4)&lt;=LEFT('RFM input'!$G$60,4),"enter input",IF(LEFT(N$6,4)&gt;LEFT('RFM input'!$Q$60,4),0,
IF(MATCH(N$6,'RFM input'!$H$60:$Q$60,0),INDEX('RFM input'!$T$7:$T$56,$A1575,1,1))))</f>
        <v>0</v>
      </c>
      <c r="O1576" s="1417">
        <f>IF(LEFT(O$6,4)&lt;=LEFT('RFM input'!$G$60,4),"enter input",IF(LEFT(O$6,4)&gt;LEFT('RFM input'!$Q$60,4),0,
IF(MATCH(O$6,'RFM input'!$H$60:$Q$60,0),INDEX('RFM input'!$T$7:$T$56,$A1575,1,1))))</f>
        <v>0</v>
      </c>
      <c r="P1576" s="1417">
        <f>IF(LEFT(P$6,4)&lt;=LEFT('RFM input'!$G$60,4),"enter input",IF(LEFT(P$6,4)&gt;LEFT('RFM input'!$Q$60,4),0,
IF(MATCH(P$6,'RFM input'!$H$60:$Q$60,0),INDEX('RFM input'!$T$7:$T$56,$A1575,1,1))))</f>
        <v>0</v>
      </c>
      <c r="Q1576" s="1417">
        <f>IF(LEFT(Q$6,4)&lt;=LEFT('RFM input'!$G$60,4),"enter input",IF(LEFT(Q$6,4)&gt;LEFT('RFM input'!$Q$60,4),0,
IF(MATCH(Q$6,'RFM input'!$H$60:$Q$60,0),INDEX('RFM input'!$T$7:$T$56,$A1575,1,1))))</f>
        <v>0</v>
      </c>
      <c r="R1576" s="1417">
        <f>IF(LEFT(R$6,4)&lt;=LEFT('RFM input'!$G$60,4),"enter input",IF(LEFT(R$6,4)&gt;LEFT('RFM input'!$Q$60,4),0,
IF(MATCH(R$6,'RFM input'!$H$60:$Q$60,0),INDEX('RFM input'!$T$7:$T$56,$A1575,1,1))))</f>
        <v>0</v>
      </c>
      <c r="S1576" s="1417">
        <f>IF(LEFT(S$6,4)&lt;=LEFT('RFM input'!$G$60,4),"enter input",IF(LEFT(S$6,4)&gt;LEFT('RFM input'!$Q$60,4),0,
IF(MATCH(S$6,'RFM input'!$H$60:$Q$60,0),INDEX('RFM input'!$T$7:$T$56,$A1575,1,1))))</f>
        <v>0</v>
      </c>
      <c r="T1576" s="1417">
        <f>IF(LEFT(T$6,4)&lt;=LEFT('RFM input'!$G$60,4),"enter input",IF(LEFT(T$6,4)&gt;LEFT('RFM input'!$Q$60,4),0,
IF(MATCH(T$6,'RFM input'!$H$60:$Q$60,0),INDEX('RFM input'!$T$7:$T$56,$A1575,1,1))))</f>
        <v>0</v>
      </c>
      <c r="U1576" s="1417">
        <f>IF(LEFT(U$6,4)&lt;=LEFT('RFM input'!$G$60,4),"enter input",IF(LEFT(U$6,4)&gt;LEFT('RFM input'!$Q$60,4),0,
IF(MATCH(U$6,'RFM input'!$H$60:$Q$60,0),INDEX('RFM input'!$T$7:$T$56,$A1575,1,1))))</f>
        <v>0</v>
      </c>
      <c r="V1576" s="1417">
        <f>IF(LEFT(V$6,4)&lt;=LEFT('RFM input'!$G$60,4),"enter input",IF(LEFT(V$6,4)&gt;LEFT('RFM input'!$Q$60,4),0,
IF(MATCH(V$6,'RFM input'!$H$60:$Q$60,0),INDEX('RFM input'!$T$7:$T$56,$A1575,1,1))))</f>
        <v>0</v>
      </c>
      <c r="W1576" s="1417">
        <f>IF(LEFT(W$6,4)&lt;=LEFT('RFM input'!$G$60,4),"enter input",IF(LEFT(W$6,4)&gt;LEFT('RFM input'!$Q$60,4),0,
IF(MATCH(W$6,'RFM input'!$H$60:$Q$60,0),INDEX('RFM input'!$T$7:$T$56,$A1575,1,1))))</f>
        <v>0</v>
      </c>
      <c r="X1576" s="152"/>
      <c r="Y1576" s="152"/>
      <c r="Z1576" s="152"/>
      <c r="AA1576" s="152"/>
      <c r="AB1576" s="152"/>
    </row>
    <row r="1577" spans="1:28">
      <c r="A1577" s="152"/>
      <c r="B1577" s="193" t="s">
        <v>192</v>
      </c>
      <c r="C1577" s="1419"/>
      <c r="D1577" s="1420">
        <f ca="1">IF(LEFT(D$6,4)&lt;=LEFT('RFM input'!$G$60,4),"enter input",IF(LEFT(D$6,4)&gt;LEFT('RFM input'!$Q$60,4),0,
IF(D$6=(OFFSET('RFM input'!$G$60,0,'RFM input'!$V$7)),OFFSET('RFM input'!$H$411,$A1575,0),0)))</f>
        <v>0</v>
      </c>
      <c r="E1577" s="1417">
        <f ca="1">IF(LEFT(E$6,4)&lt;=LEFT('RFM input'!$G$60,4),"enter input",IF(LEFT(E$6,4)&gt;LEFT('RFM input'!$Q$60,4),0,
IF(E$6=(OFFSET('RFM input'!$G$60,0,'RFM input'!$V$7)),OFFSET('RFM input'!$H$411,$A1575,0),0)))</f>
        <v>0</v>
      </c>
      <c r="F1577" s="1417">
        <f ca="1">IF(LEFT(F$6,4)&lt;=LEFT('RFM input'!$G$60,4),"enter input",IF(LEFT(F$6,4)&gt;LEFT('RFM input'!$Q$60,4),0,
IF(F$6=(OFFSET('RFM input'!$G$60,0,'RFM input'!$V$7)),OFFSET('RFM input'!$H$411,$A1575,0),0)))</f>
        <v>0</v>
      </c>
      <c r="G1577" s="1417">
        <f ca="1">IF(LEFT(G$6,4)&lt;=LEFT('RFM input'!$G$60,4),"enter input",IF(LEFT(G$6,4)&gt;LEFT('RFM input'!$Q$60,4),0,
IF(G$6=(OFFSET('RFM input'!$G$60,0,'RFM input'!$V$7)),OFFSET('RFM input'!$H$411,$A1575,0),0)))</f>
        <v>0</v>
      </c>
      <c r="H1577" s="1417">
        <f ca="1">IF(LEFT(H$6,4)&lt;=LEFT('RFM input'!$G$60,4),"enter input",IF(LEFT(H$6,4)&gt;LEFT('RFM input'!$Q$60,4),0,
IF(H$6=(OFFSET('RFM input'!$G$60,0,'RFM input'!$V$7)),OFFSET('RFM input'!$H$411,$A1575,0),0)))</f>
        <v>0</v>
      </c>
      <c r="I1577" s="1417">
        <f ca="1">IF(LEFT(I$6,4)&lt;=LEFT('RFM input'!$G$60,4),"enter input",IF(LEFT(I$6,4)&gt;LEFT('RFM input'!$Q$60,4),0,
IF(I$6=(OFFSET('RFM input'!$G$60,0,'RFM input'!$V$7)),OFFSET('RFM input'!$H$411,$A1575,0),0)))</f>
        <v>0</v>
      </c>
      <c r="J1577" s="1417">
        <f ca="1">IF(LEFT(J$6,4)&lt;=LEFT('RFM input'!$G$60,4),"enter input",IF(LEFT(J$6,4)&gt;LEFT('RFM input'!$Q$60,4),0,
IF(J$6=(OFFSET('RFM input'!$G$60,0,'RFM input'!$V$7)),OFFSET('RFM input'!$H$411,$A1575,0),0)))</f>
        <v>0</v>
      </c>
      <c r="K1577" s="1417">
        <f ca="1">IF(LEFT(K$6,4)&lt;=LEFT('RFM input'!$G$60,4),"enter input",IF(LEFT(K$6,4)&gt;LEFT('RFM input'!$Q$60,4),0,
IF(K$6=(OFFSET('RFM input'!$G$60,0,'RFM input'!$V$7)),OFFSET('RFM input'!$H$411,$A1575,0),0)))</f>
        <v>0</v>
      </c>
      <c r="L1577" s="1417">
        <f ca="1">IF(LEFT(L$6,4)&lt;=LEFT('RFM input'!$G$60,4),"enter input",IF(LEFT(L$6,4)&gt;LEFT('RFM input'!$Q$60,4),0,
IF(L$6=(OFFSET('RFM input'!$G$60,0,'RFM input'!$V$7)),OFFSET('RFM input'!$H$411,$A1575,0),0)))</f>
        <v>0</v>
      </c>
      <c r="M1577" s="1417">
        <f ca="1">IF(LEFT(M$6,4)&lt;=LEFT('RFM input'!$G$60,4),"enter input",IF(LEFT(M$6,4)&gt;LEFT('RFM input'!$Q$60,4),0,
IF(M$6=(OFFSET('RFM input'!$G$60,0,'RFM input'!$V$7)),OFFSET('RFM input'!$H$411,$A1575,0),0)))</f>
        <v>0</v>
      </c>
      <c r="N1577" s="1417">
        <f ca="1">IF(LEFT(N$6,4)&lt;=LEFT('RFM input'!$G$60,4),"enter input",IF(LEFT(N$6,4)&gt;LEFT('RFM input'!$Q$60,4),0,
IF(N$6=(OFFSET('RFM input'!$G$60,0,'RFM input'!$V$7)),OFFSET('RFM input'!$H$411,$A1575,0),0)))</f>
        <v>0</v>
      </c>
      <c r="O1577" s="1417">
        <f ca="1">IF(LEFT(O$6,4)&lt;=LEFT('RFM input'!$G$60,4),"enter input",IF(LEFT(O$6,4)&gt;LEFT('RFM input'!$Q$60,4),0,
IF(O$6=(OFFSET('RFM input'!$G$60,0,'RFM input'!$V$7)),OFFSET('RFM input'!$H$411,$A1575,0),0)))</f>
        <v>0</v>
      </c>
      <c r="P1577" s="1417">
        <f ca="1">IF(LEFT(P$6,4)&lt;=LEFT('RFM input'!$G$60,4),"enter input",IF(LEFT(P$6,4)&gt;LEFT('RFM input'!$Q$60,4),0,
IF(P$6=(OFFSET('RFM input'!$G$60,0,'RFM input'!$V$7)),OFFSET('RFM input'!$H$411,$A1575,0),0)))</f>
        <v>0</v>
      </c>
      <c r="Q1577" s="1417">
        <f ca="1">IF(LEFT(Q$6,4)&lt;=LEFT('RFM input'!$G$60,4),"enter input",IF(LEFT(Q$6,4)&gt;LEFT('RFM input'!$Q$60,4),0,
IF(Q$6=(OFFSET('RFM input'!$G$60,0,'RFM input'!$V$7)),OFFSET('RFM input'!$H$411,$A1575,0),0)))</f>
        <v>0</v>
      </c>
      <c r="R1577" s="1417">
        <f ca="1">IF(LEFT(R$6,4)&lt;=LEFT('RFM input'!$G$60,4),"enter input",IF(LEFT(R$6,4)&gt;LEFT('RFM input'!$Q$60,4),0,
IF(R$6=(OFFSET('RFM input'!$G$60,0,'RFM input'!$V$7)),OFFSET('RFM input'!$H$411,$A1575,0),0)))</f>
        <v>0</v>
      </c>
      <c r="S1577" s="1417">
        <f ca="1">IF(LEFT(S$6,4)&lt;=LEFT('RFM input'!$G$60,4),"enter input",IF(LEFT(S$6,4)&gt;LEFT('RFM input'!$Q$60,4),0,
IF(S$6=(OFFSET('RFM input'!$G$60,0,'RFM input'!$V$7)),OFFSET('RFM input'!$H$411,$A1575,0),0)))</f>
        <v>0</v>
      </c>
      <c r="T1577" s="1417">
        <f ca="1">IF(LEFT(T$6,4)&lt;=LEFT('RFM input'!$G$60,4),"enter input",IF(LEFT(T$6,4)&gt;LEFT('RFM input'!$Q$60,4),0,
IF(T$6=(OFFSET('RFM input'!$G$60,0,'RFM input'!$V$7)),OFFSET('RFM input'!$H$411,$A1575,0),0)))</f>
        <v>0</v>
      </c>
      <c r="U1577" s="1417">
        <f ca="1">IF(LEFT(U$6,4)&lt;=LEFT('RFM input'!$G$60,4),"enter input",IF(LEFT(U$6,4)&gt;LEFT('RFM input'!$Q$60,4),0,
IF(U$6=(OFFSET('RFM input'!$G$60,0,'RFM input'!$V$7)),OFFSET('RFM input'!$H$411,$A1575,0),0)))</f>
        <v>0</v>
      </c>
      <c r="V1577" s="1417">
        <f ca="1">IF(LEFT(V$6,4)&lt;=LEFT('RFM input'!$G$60,4),"enter input",IF(LEFT(V$6,4)&gt;LEFT('RFM input'!$Q$60,4),0,
IF(V$6=(OFFSET('RFM input'!$G$60,0,'RFM input'!$V$7)),OFFSET('RFM input'!$H$411,$A1575,0),0)))</f>
        <v>0</v>
      </c>
      <c r="W1577" s="1417">
        <f ca="1">IF(LEFT(W$6,4)&lt;=LEFT('RFM input'!$G$60,4),"enter input",IF(LEFT(W$6,4)&gt;LEFT('RFM input'!$Q$60,4),0,
IF(W$6=(OFFSET('RFM input'!$G$60,0,'RFM input'!$V$7)),OFFSET('RFM input'!$H$411,$A1575,0),0)))</f>
        <v>0</v>
      </c>
      <c r="X1577" s="152"/>
      <c r="Y1577" s="152"/>
      <c r="Z1577" s="152"/>
      <c r="AA1577" s="152"/>
      <c r="AB1577" s="152"/>
    </row>
    <row r="1578" spans="1:28">
      <c r="A1578" s="152"/>
      <c r="B1578" s="193" t="s">
        <v>200</v>
      </c>
      <c r="C1578" s="1419"/>
      <c r="D1578" s="1418">
        <f ca="1">IF(LEFT(D$6,4)&lt;=LEFT('RFM input'!$G$60,4),"enter input",IF(LEFT(D$6,4)&gt;LEFT('RFM input'!$Q$60,4),0,
IF(D$6=(OFFSET('RFM input'!$G$60,0,'RFM input'!$V$7)),OFFSET('RFM input'!$J$411,$A1575,0),0)))</f>
        <v>0</v>
      </c>
      <c r="E1578" s="1422">
        <f ca="1">IF(LEFT(E$6,4)&lt;=LEFT('RFM input'!$G$60,4),"enter input",IF(LEFT(E$6,4)&gt;LEFT('RFM input'!$Q$60,4),0,
IF(E$6=(OFFSET('RFM input'!$G$60,0,'RFM input'!$V$7)),OFFSET('RFM input'!$J$411,$A1575,0),0)))</f>
        <v>0</v>
      </c>
      <c r="F1578" s="1422">
        <f ca="1">IF(LEFT(F$6,4)&lt;=LEFT('RFM input'!$G$60,4),"enter input",IF(LEFT(F$6,4)&gt;LEFT('RFM input'!$Q$60,4),0,
IF(F$6=(OFFSET('RFM input'!$G$60,0,'RFM input'!$V$7)),OFFSET('RFM input'!$J$411,$A1575,0),0)))</f>
        <v>0</v>
      </c>
      <c r="G1578" s="1422">
        <f ca="1">IF(LEFT(G$6,4)&lt;=LEFT('RFM input'!$G$60,4),"enter input",IF(LEFT(G$6,4)&gt;LEFT('RFM input'!$Q$60,4),0,
IF(G$6=(OFFSET('RFM input'!$G$60,0,'RFM input'!$V$7)),OFFSET('RFM input'!$J$411,$A1575,0),0)))</f>
        <v>0</v>
      </c>
      <c r="H1578" s="1422">
        <f ca="1">IF(LEFT(H$6,4)&lt;=LEFT('RFM input'!$G$60,4),"enter input",IF(LEFT(H$6,4)&gt;LEFT('RFM input'!$Q$60,4),0,
IF(H$6=(OFFSET('RFM input'!$G$60,0,'RFM input'!$V$7)),OFFSET('RFM input'!$J$411,$A1575,0),0)))</f>
        <v>0</v>
      </c>
      <c r="I1578" s="1422">
        <f ca="1">IF(LEFT(I$6,4)&lt;=LEFT('RFM input'!$G$60,4),"enter input",IF(LEFT(I$6,4)&gt;LEFT('RFM input'!$Q$60,4),0,
IF(I$6=(OFFSET('RFM input'!$G$60,0,'RFM input'!$V$7)),OFFSET('RFM input'!$J$411,$A1575,0),0)))</f>
        <v>0</v>
      </c>
      <c r="J1578" s="1422">
        <f ca="1">IF(LEFT(J$6,4)&lt;=LEFT('RFM input'!$G$60,4),"enter input",IF(LEFT(J$6,4)&gt;LEFT('RFM input'!$Q$60,4),0,
IF(J$6=(OFFSET('RFM input'!$G$60,0,'RFM input'!$V$7)),OFFSET('RFM input'!$J$411,$A1575,0),0)))</f>
        <v>0</v>
      </c>
      <c r="K1578" s="1422">
        <f ca="1">IF(LEFT(K$6,4)&lt;=LEFT('RFM input'!$G$60,4),"enter input",IF(LEFT(K$6,4)&gt;LEFT('RFM input'!$Q$60,4),0,
IF(K$6=(OFFSET('RFM input'!$G$60,0,'RFM input'!$V$7)),OFFSET('RFM input'!$J$411,$A1575,0),0)))</f>
        <v>0</v>
      </c>
      <c r="L1578" s="1422">
        <f ca="1">IF(LEFT(L$6,4)&lt;=LEFT('RFM input'!$G$60,4),"enter input",IF(LEFT(L$6,4)&gt;LEFT('RFM input'!$Q$60,4),0,
IF(L$6=(OFFSET('RFM input'!$G$60,0,'RFM input'!$V$7)),OFFSET('RFM input'!$J$411,$A1575,0),0)))</f>
        <v>0</v>
      </c>
      <c r="M1578" s="1422">
        <f ca="1">IF(LEFT(M$6,4)&lt;=LEFT('RFM input'!$G$60,4),"enter input",IF(LEFT(M$6,4)&gt;LEFT('RFM input'!$Q$60,4),0,
IF(M$6=(OFFSET('RFM input'!$G$60,0,'RFM input'!$V$7)),OFFSET('RFM input'!$J$411,$A1575,0),0)))</f>
        <v>0</v>
      </c>
      <c r="N1578" s="1422">
        <f ca="1">IF(LEFT(N$6,4)&lt;=LEFT('RFM input'!$G$60,4),"enter input",IF(LEFT(N$6,4)&gt;LEFT('RFM input'!$Q$60,4),0,
IF(N$6=(OFFSET('RFM input'!$G$60,0,'RFM input'!$V$7)),OFFSET('RFM input'!$J$411,$A1575,0),0)))</f>
        <v>0</v>
      </c>
      <c r="O1578" s="1422">
        <f ca="1">IF(LEFT(O$6,4)&lt;=LEFT('RFM input'!$G$60,4),"enter input",IF(LEFT(O$6,4)&gt;LEFT('RFM input'!$Q$60,4),0,
IF(O$6=(OFFSET('RFM input'!$G$60,0,'RFM input'!$V$7)),OFFSET('RFM input'!$J$411,$A1575,0),0)))</f>
        <v>0</v>
      </c>
      <c r="P1578" s="1422">
        <f ca="1">IF(LEFT(P$6,4)&lt;=LEFT('RFM input'!$G$60,4),"enter input",IF(LEFT(P$6,4)&gt;LEFT('RFM input'!$Q$60,4),0,
IF(P$6=(OFFSET('RFM input'!$G$60,0,'RFM input'!$V$7)),OFFSET('RFM input'!$J$411,$A1575,0),0)))</f>
        <v>0</v>
      </c>
      <c r="Q1578" s="1422">
        <f ca="1">IF(LEFT(Q$6,4)&lt;=LEFT('RFM input'!$G$60,4),"enter input",IF(LEFT(Q$6,4)&gt;LEFT('RFM input'!$Q$60,4),0,
IF(Q$6=(OFFSET('RFM input'!$G$60,0,'RFM input'!$V$7)),OFFSET('RFM input'!$J$411,$A1575,0),0)))</f>
        <v>0</v>
      </c>
      <c r="R1578" s="1422">
        <f ca="1">IF(LEFT(R$6,4)&lt;=LEFT('RFM input'!$G$60,4),"enter input",IF(LEFT(R$6,4)&gt;LEFT('RFM input'!$Q$60,4),0,
IF(R$6=(OFFSET('RFM input'!$G$60,0,'RFM input'!$V$7)),OFFSET('RFM input'!$J$411,$A1575,0),0)))</f>
        <v>0</v>
      </c>
      <c r="S1578" s="1422">
        <f ca="1">IF(LEFT(S$6,4)&lt;=LEFT('RFM input'!$G$60,4),"enter input",IF(LEFT(S$6,4)&gt;LEFT('RFM input'!$Q$60,4),0,
IF(S$6=(OFFSET('RFM input'!$G$60,0,'RFM input'!$V$7)),OFFSET('RFM input'!$J$411,$A1575,0),0)))</f>
        <v>0</v>
      </c>
      <c r="T1578" s="1422">
        <f ca="1">IF(LEFT(T$6,4)&lt;=LEFT('RFM input'!$G$60,4),"enter input",IF(LEFT(T$6,4)&gt;LEFT('RFM input'!$Q$60,4),0,
IF(T$6=(OFFSET('RFM input'!$G$60,0,'RFM input'!$V$7)),OFFSET('RFM input'!$J$411,$A1575,0),0)))</f>
        <v>0</v>
      </c>
      <c r="U1578" s="1422">
        <f ca="1">IF(LEFT(U$6,4)&lt;=LEFT('RFM input'!$G$60,4),"enter input",IF(LEFT(U$6,4)&gt;LEFT('RFM input'!$Q$60,4),0,
IF(U$6=(OFFSET('RFM input'!$G$60,0,'RFM input'!$V$7)),OFFSET('RFM input'!$J$411,$A1575,0),0)))</f>
        <v>0</v>
      </c>
      <c r="V1578" s="1422">
        <f ca="1">IF(LEFT(V$6,4)&lt;=LEFT('RFM input'!$G$60,4),"enter input",IF(LEFT(V$6,4)&gt;LEFT('RFM input'!$Q$60,4),0,
IF(V$6=(OFFSET('RFM input'!$G$60,0,'RFM input'!$V$7)),OFFSET('RFM input'!$J$411,$A1575,0),0)))</f>
        <v>0</v>
      </c>
      <c r="W1578" s="1422">
        <f ca="1">IF(LEFT(W$6,4)&lt;=LEFT('RFM input'!$G$60,4),"enter input",IF(LEFT(W$6,4)&gt;LEFT('RFM input'!$Q$60,4),0,
IF(W$6=(OFFSET('RFM input'!$G$60,0,'RFM input'!$V$7)),OFFSET('RFM input'!$J$411,$A1575,0),0)))</f>
        <v>0</v>
      </c>
      <c r="X1578" s="152"/>
      <c r="Y1578" s="152"/>
      <c r="Z1578" s="152"/>
      <c r="AA1578" s="152"/>
      <c r="AB1578" s="152"/>
    </row>
    <row r="1579" spans="1:28" hidden="1" outlineLevel="1">
      <c r="A1579" s="235">
        <v>-1</v>
      </c>
      <c r="B1579" s="190" t="s">
        <v>195</v>
      </c>
      <c r="C1579" s="1423"/>
      <c r="D1579" s="1423">
        <f t="shared" ref="D1579" ca="1" si="2272">IF(AND(D1577=0,C1579=0),0,
IF(AND(D1577&lt;&gt;0,C1579=0),D1577,
IF(AND(D1578&lt;&gt;0,C1579&lt;&gt;0),(C1579-(C1579/C1603))+D1577,
IF(C1603&lt;1,0,(C1579-(C1579/C1603))))))</f>
        <v>0</v>
      </c>
      <c r="E1579" s="1423">
        <f t="shared" ref="E1579" ca="1" si="2273">IF(AND(E1577=0,D1579=0),0,
IF(AND(E1577&lt;&gt;0,D1579=0),E1577,
IF(AND(E1578&lt;&gt;0,D1579&lt;&gt;0),(D1579-(D1579/D1603))+E1577,
IF(D1603&lt;1,0,(D1579-(D1579/D1603))))))</f>
        <v>0</v>
      </c>
      <c r="F1579" s="1423">
        <f t="shared" ref="F1579" ca="1" si="2274">IF(AND(F1577=0,E1579=0),0,
IF(AND(F1577&lt;&gt;0,E1579=0),F1577,
IF(AND(F1578&lt;&gt;0,E1579&lt;&gt;0),(E1579-(E1579/E1603))+F1577,
IF(E1603&lt;1,0,(E1579-(E1579/E1603))))))</f>
        <v>0</v>
      </c>
      <c r="G1579" s="1423">
        <f t="shared" ref="G1579" ca="1" si="2275">IF(AND(G1577=0,F1579=0),0,
IF(AND(G1577&lt;&gt;0,F1579=0),G1577,
IF(AND(G1578&lt;&gt;0,F1579&lt;&gt;0),(F1579-(F1579/F1603))+G1577,
IF(F1603&lt;1,0,(F1579-(F1579/F1603))))))</f>
        <v>0</v>
      </c>
      <c r="H1579" s="1423">
        <f ca="1">IF(AND(H1577=0,G1579=0),0,
IF(AND(H1577&lt;&gt;0,G1579=0),H1577,
IF(AND(H1578&lt;&gt;0,G1579&lt;&gt;0),(G1579-(G1579/G1603))+H1577,
IF(G1603&lt;1,0,(G1579-(G1579/G1603))))))</f>
        <v>0</v>
      </c>
      <c r="I1579" s="1423">
        <f t="shared" ref="I1579" ca="1" si="2276">IF(AND(I1577=0,H1579=0),0,
IF(AND(I1577&lt;&gt;0,H1579=0),I1577,
IF(AND(I1578&lt;&gt;0,H1579&lt;&gt;0),(H1579-(H1579/H1603))+I1577,
IF(H1603&lt;1,0,(H1579-(H1579/H1603))))))</f>
        <v>0</v>
      </c>
      <c r="J1579" s="1423">
        <f t="shared" ref="J1579" ca="1" si="2277">IF(AND(J1577=0,I1579=0),0,
IF(AND(J1577&lt;&gt;0,I1579=0),J1577,
IF(AND(J1578&lt;&gt;0,I1579&lt;&gt;0),(I1579-(I1579/I1603))+J1577,
IF(I1603&lt;1,0,(I1579-(I1579/I1603))))))</f>
        <v>0</v>
      </c>
      <c r="K1579" s="1423">
        <f t="shared" ref="K1579" ca="1" si="2278">IF(AND(K1577=0,J1579=0),0,
IF(AND(K1577&lt;&gt;0,J1579=0),K1577,
IF(AND(K1578&lt;&gt;0,J1579&lt;&gt;0),(J1579-(J1579/J1603))+K1577,
IF(J1603&lt;1,0,(J1579-(J1579/J1603))))))</f>
        <v>0</v>
      </c>
      <c r="L1579" s="1423">
        <f t="shared" ref="L1579" ca="1" si="2279">IF(AND(L1577=0,K1579=0),0,
IF(AND(L1577&lt;&gt;0,K1579=0),L1577,
IF(AND(L1578&lt;&gt;0,K1579&lt;&gt;0),(K1579-(K1579/K1603))+L1577,
IF(K1603&lt;1,0,(K1579-(K1579/K1603))))))</f>
        <v>0</v>
      </c>
      <c r="M1579" s="1423">
        <f t="shared" ref="M1579" ca="1" si="2280">IF(AND(M1577=0,L1579=0),0,
IF(AND(M1577&lt;&gt;0,L1579=0),M1577,
IF(AND(M1578&lt;&gt;0,L1579&lt;&gt;0),(L1579-(L1579/L1603))+M1577,
IF(L1603&lt;1,0,(L1579-(L1579/L1603))))))</f>
        <v>0</v>
      </c>
      <c r="N1579" s="1423">
        <f t="shared" ref="N1579" ca="1" si="2281">IF(AND(N1577=0,M1579=0),0,
IF(AND(N1577&lt;&gt;0,M1579=0),N1577,
IF(AND(N1578&lt;&gt;0,M1579&lt;&gt;0),(M1579-(M1579/M1603))+N1577,
IF(M1603&lt;1,0,(M1579-(M1579/M1603))))))</f>
        <v>0</v>
      </c>
      <c r="O1579" s="1423">
        <f t="shared" ref="O1579" ca="1" si="2282">IF(AND(O1577=0,N1579=0),0,
IF(AND(O1577&lt;&gt;0,N1579=0),O1577,
IF(AND(O1578&lt;&gt;0,N1579&lt;&gt;0),(N1579-(N1579/N1603))+O1577,
IF(N1603&lt;1,0,(N1579-(N1579/N1603))))))</f>
        <v>0</v>
      </c>
      <c r="P1579" s="1423">
        <f t="shared" ref="P1579" ca="1" si="2283">IF(AND(P1577=0,O1579=0),0,
IF(AND(P1577&lt;&gt;0,O1579=0),P1577,
IF(AND(P1578&lt;&gt;0,O1579&lt;&gt;0),(O1579-(O1579/O1603))+P1577,
IF(O1603&lt;1,0,(O1579-(O1579/O1603))))))</f>
        <v>0</v>
      </c>
      <c r="Q1579" s="1423">
        <f t="shared" ref="Q1579" ca="1" si="2284">IF(AND(Q1577=0,P1579=0),0,
IF(AND(Q1577&lt;&gt;0,P1579=0),Q1577,
IF(AND(Q1578&lt;&gt;0,P1579&lt;&gt;0),(P1579-(P1579/P1603))+Q1577,
IF(P1603&lt;1,0,(P1579-(P1579/P1603))))))</f>
        <v>0</v>
      </c>
      <c r="R1579" s="1423">
        <f t="shared" ref="R1579" ca="1" si="2285">IF(AND(R1577=0,Q1579=0),0,
IF(AND(R1577&lt;&gt;0,Q1579=0),R1577,
IF(AND(R1578&lt;&gt;0,Q1579&lt;&gt;0),(Q1579-(Q1579/Q1603))+R1577,
IF(Q1603&lt;1,0,(Q1579-(Q1579/Q1603))))))</f>
        <v>0</v>
      </c>
      <c r="S1579" s="1423">
        <f t="shared" ref="S1579" ca="1" si="2286">IF(AND(S1577=0,R1579=0),0,
IF(AND(S1577&lt;&gt;0,R1579=0),S1577,
IF(AND(S1578&lt;&gt;0,R1579&lt;&gt;0),(R1579-(R1579/R1603))+S1577,
IF(R1603&lt;1,0,(R1579-(R1579/R1603))))))</f>
        <v>0</v>
      </c>
      <c r="T1579" s="1423">
        <f t="shared" ref="T1579" ca="1" si="2287">IF(AND(T1577=0,S1579=0),0,
IF(AND(T1577&lt;&gt;0,S1579=0),T1577,
IF(AND(T1578&lt;&gt;0,S1579&lt;&gt;0),(S1579-(S1579/S1603))+T1577,
IF(S1603&lt;1,0,(S1579-(S1579/S1603))))))</f>
        <v>0</v>
      </c>
      <c r="U1579" s="1423">
        <f t="shared" ref="U1579" ca="1" si="2288">IF(AND(U1577=0,T1579=0),0,
IF(AND(U1577&lt;&gt;0,T1579=0),U1577,
IF(AND(U1578&lt;&gt;0,T1579&lt;&gt;0),(T1579-(T1579/T1603))+U1577,
IF(T1603&lt;1,0,(T1579-(T1579/T1603))))))</f>
        <v>0</v>
      </c>
      <c r="V1579" s="1423">
        <f t="shared" ref="V1579" ca="1" si="2289">IF(AND(V1577=0,U1579=0),0,
IF(AND(V1577&lt;&gt;0,U1579=0),V1577,
IF(AND(V1578&lt;&gt;0,U1579&lt;&gt;0),(U1579-(U1579/U1603))+V1577,
IF(U1603&lt;1,0,(U1579-(U1579/U1603))))))</f>
        <v>0</v>
      </c>
      <c r="W1579" s="1423">
        <f t="shared" ref="W1579" ca="1" si="2290">IF(AND(W1577=0,V1579=0),0,
IF(AND(W1577&lt;&gt;0,V1579=0),W1577,
IF(AND(W1578&lt;&gt;0,V1579&lt;&gt;0),(V1579-(V1579/V1603))+W1577,
IF(V1603&lt;1,0,(V1579-(V1579/V1603))))))</f>
        <v>0</v>
      </c>
      <c r="X1579" s="152"/>
      <c r="Y1579" s="152"/>
      <c r="Z1579" s="152"/>
      <c r="AA1579" s="152"/>
      <c r="AB1579" s="152"/>
    </row>
    <row r="1580" spans="1:28" hidden="1" outlineLevel="1">
      <c r="A1580" s="199">
        <f>A1579+1</f>
        <v>0</v>
      </c>
      <c r="B1580" s="190" t="s">
        <v>527</v>
      </c>
      <c r="C1580" s="1423">
        <f ca="1">C1575</f>
        <v>0</v>
      </c>
      <c r="D1580" s="1423">
        <f ca="1">IF(C1604="n/a",C1580,IFERROR(IF((OFFSET($C1580,0,$A1580))&lt;0,
MIN(0,C1580-(OFFSET($C1580,0,$A1580)/(OFFSET($C1575,-$A1579,$A1580)))),
MAX(0,C1580-(OFFSET($C1580,0,$A1580)/(OFFSET($C1575,-$A1579,$A1580))))),0))</f>
        <v>0</v>
      </c>
      <c r="E1580" s="1423">
        <f t="shared" ref="E1580" ca="1" si="2291">IF(D1604="n/a",D1580,IFERROR(IF((OFFSET($C1580,0,$A1580))&lt;0,
MIN(0,D1580-(OFFSET($C1580,0,$A1580)/(OFFSET($C1575,-$A1579,$A1580)))),
MAX(0,D1580-(OFFSET($C1580,0,$A1580)/(OFFSET($C1575,-$A1579,$A1580))))),0))</f>
        <v>0</v>
      </c>
      <c r="F1580" s="1423">
        <f t="shared" ref="F1580:F1581" ca="1" si="2292">IF(E1604="n/a",E1580,IFERROR(IF((OFFSET($C1580,0,$A1580))&lt;0,
MIN(0,E1580-(OFFSET($C1580,0,$A1580)/(OFFSET($C1575,-$A1579,$A1580)))),
MAX(0,E1580-(OFFSET($C1580,0,$A1580)/(OFFSET($C1575,-$A1579,$A1580))))),0))</f>
        <v>0</v>
      </c>
      <c r="G1580" s="1423">
        <f t="shared" ref="G1580:G1582" ca="1" si="2293">IF(F1604="n/a",F1580,IFERROR(IF((OFFSET($C1580,0,$A1580))&lt;0,
MIN(0,F1580-(OFFSET($C1580,0,$A1580)/(OFFSET($C1575,-$A1579,$A1580)))),
MAX(0,F1580-(OFFSET($C1580,0,$A1580)/(OFFSET($C1575,-$A1579,$A1580))))),0))</f>
        <v>0</v>
      </c>
      <c r="H1580" s="1423">
        <f t="shared" ref="H1580:H1583" ca="1" si="2294">IF(G1604="n/a",G1580,IFERROR(IF((OFFSET($C1580,0,$A1580))&lt;0,
MIN(0,G1580-(OFFSET($C1580,0,$A1580)/(OFFSET($C1575,-$A1579,$A1580)))),
MAX(0,G1580-(OFFSET($C1580,0,$A1580)/(OFFSET($C1575,-$A1579,$A1580))))),0))</f>
        <v>0</v>
      </c>
      <c r="I1580" s="1423">
        <f t="shared" ref="I1580:I1584" ca="1" si="2295">IF(H1604="n/a",H1580,IFERROR(IF((OFFSET($C1580,0,$A1580))&lt;0,
MIN(0,H1580-(OFFSET($C1580,0,$A1580)/(OFFSET($C1575,-$A1579,$A1580)))),
MAX(0,H1580-(OFFSET($C1580,0,$A1580)/(OFFSET($C1575,-$A1579,$A1580))))),0))</f>
        <v>0</v>
      </c>
      <c r="J1580" s="1423">
        <f t="shared" ref="J1580:J1585" ca="1" si="2296">IF(I1604="n/a",I1580,IFERROR(IF((OFFSET($C1580,0,$A1580))&lt;0,
MIN(0,I1580-(OFFSET($C1580,0,$A1580)/(OFFSET($C1575,-$A1579,$A1580)))),
MAX(0,I1580-(OFFSET($C1580,0,$A1580)/(OFFSET($C1575,-$A1579,$A1580))))),0))</f>
        <v>0</v>
      </c>
      <c r="K1580" s="1423">
        <f t="shared" ref="K1580:K1586" ca="1" si="2297">IF(J1604="n/a",J1580,IFERROR(IF((OFFSET($C1580,0,$A1580))&lt;0,
MIN(0,J1580-(OFFSET($C1580,0,$A1580)/(OFFSET($C1575,-$A1579,$A1580)))),
MAX(0,J1580-(OFFSET($C1580,0,$A1580)/(OFFSET($C1575,-$A1579,$A1580))))),0))</f>
        <v>0</v>
      </c>
      <c r="L1580" s="1423">
        <f t="shared" ref="L1580:L1587" ca="1" si="2298">IF(K1604="n/a",K1580,IFERROR(IF((OFFSET($C1580,0,$A1580))&lt;0,
MIN(0,K1580-(OFFSET($C1580,0,$A1580)/(OFFSET($C1575,-$A1579,$A1580)))),
MAX(0,K1580-(OFFSET($C1580,0,$A1580)/(OFFSET($C1575,-$A1579,$A1580))))),0))</f>
        <v>0</v>
      </c>
      <c r="M1580" s="1423">
        <f t="shared" ref="M1580:M1588" ca="1" si="2299">IF(L1604="n/a",L1580,IFERROR(IF((OFFSET($C1580,0,$A1580))&lt;0,
MIN(0,L1580-(OFFSET($C1580,0,$A1580)/(OFFSET($C1575,-$A1579,$A1580)))),
MAX(0,L1580-(OFFSET($C1580,0,$A1580)/(OFFSET($C1575,-$A1579,$A1580))))),0))</f>
        <v>0</v>
      </c>
      <c r="N1580" s="1423">
        <f t="shared" ref="N1580:N1589" ca="1" si="2300">IF(M1604="n/a",M1580,IFERROR(IF((OFFSET($C1580,0,$A1580))&lt;0,
MIN(0,M1580-(OFFSET($C1580,0,$A1580)/(OFFSET($C1575,-$A1579,$A1580)))),
MAX(0,M1580-(OFFSET($C1580,0,$A1580)/(OFFSET($C1575,-$A1579,$A1580))))),0))</f>
        <v>0</v>
      </c>
      <c r="O1580" s="1423">
        <f t="shared" ref="O1580:O1590" ca="1" si="2301">IF(N1604="n/a",N1580,IFERROR(IF((OFFSET($C1580,0,$A1580))&lt;0,
MIN(0,N1580-(OFFSET($C1580,0,$A1580)/(OFFSET($C1575,-$A1579,$A1580)))),
MAX(0,N1580-(OFFSET($C1580,0,$A1580)/(OFFSET($C1575,-$A1579,$A1580))))),0))</f>
        <v>0</v>
      </c>
      <c r="P1580" s="1423">
        <f t="shared" ref="P1580:P1591" ca="1" si="2302">IF(O1604="n/a",O1580,IFERROR(IF((OFFSET($C1580,0,$A1580))&lt;0,
MIN(0,O1580-(OFFSET($C1580,0,$A1580)/(OFFSET($C1575,-$A1579,$A1580)))),
MAX(0,O1580-(OFFSET($C1580,0,$A1580)/(OFFSET($C1575,-$A1579,$A1580))))),0))</f>
        <v>0</v>
      </c>
      <c r="Q1580" s="1423">
        <f t="shared" ref="Q1580:Q1592" ca="1" si="2303">IF(P1604="n/a",P1580,IFERROR(IF((OFFSET($C1580,0,$A1580))&lt;0,
MIN(0,P1580-(OFFSET($C1580,0,$A1580)/(OFFSET($C1575,-$A1579,$A1580)))),
MAX(0,P1580-(OFFSET($C1580,0,$A1580)/(OFFSET($C1575,-$A1579,$A1580))))),0))</f>
        <v>0</v>
      </c>
      <c r="R1580" s="1423">
        <f t="shared" ref="R1580:R1593" ca="1" si="2304">IF(Q1604="n/a",Q1580,IFERROR(IF((OFFSET($C1580,0,$A1580))&lt;0,
MIN(0,Q1580-(OFFSET($C1580,0,$A1580)/(OFFSET($C1575,-$A1579,$A1580)))),
MAX(0,Q1580-(OFFSET($C1580,0,$A1580)/(OFFSET($C1575,-$A1579,$A1580))))),0))</f>
        <v>0</v>
      </c>
      <c r="S1580" s="1423">
        <f t="shared" ref="S1580:S1594" ca="1" si="2305">IF(R1604="n/a",R1580,IFERROR(IF((OFFSET($C1580,0,$A1580))&lt;0,
MIN(0,R1580-(OFFSET($C1580,0,$A1580)/(OFFSET($C1575,-$A1579,$A1580)))),
MAX(0,R1580-(OFFSET($C1580,0,$A1580)/(OFFSET($C1575,-$A1579,$A1580))))),0))</f>
        <v>0</v>
      </c>
      <c r="T1580" s="1423">
        <f t="shared" ref="T1580:T1595" ca="1" si="2306">IF(S1604="n/a",S1580,IFERROR(IF((OFFSET($C1580,0,$A1580))&lt;0,
MIN(0,S1580-(OFFSET($C1580,0,$A1580)/(OFFSET($C1575,-$A1579,$A1580)))),
MAX(0,S1580-(OFFSET($C1580,0,$A1580)/(OFFSET($C1575,-$A1579,$A1580))))),0))</f>
        <v>0</v>
      </c>
      <c r="U1580" s="1423">
        <f t="shared" ref="U1580:U1596" ca="1" si="2307">IF(T1604="n/a",T1580,IFERROR(IF((OFFSET($C1580,0,$A1580))&lt;0,
MIN(0,T1580-(OFFSET($C1580,0,$A1580)/(OFFSET($C1575,-$A1579,$A1580)))),
MAX(0,T1580-(OFFSET($C1580,0,$A1580)/(OFFSET($C1575,-$A1579,$A1580))))),0))</f>
        <v>0</v>
      </c>
      <c r="V1580" s="1423">
        <f t="shared" ref="V1580:V1597" ca="1" si="2308">IF(U1604="n/a",U1580,IFERROR(IF((OFFSET($C1580,0,$A1580))&lt;0,
MIN(0,U1580-(OFFSET($C1580,0,$A1580)/(OFFSET($C1575,-$A1579,$A1580)))),
MAX(0,U1580-(OFFSET($C1580,0,$A1580)/(OFFSET($C1575,-$A1579,$A1580))))),0))</f>
        <v>0</v>
      </c>
      <c r="W1580" s="1423">
        <f t="shared" ref="W1580:W1598" ca="1" si="2309">IF(V1604="n/a",V1580,IFERROR(IF((OFFSET($C1580,0,$A1580))&lt;0,
MIN(0,V1580-(OFFSET($C1580,0,$A1580)/(OFFSET($C1575,-$A1579,$A1580)))),
MAX(0,V1580-(OFFSET($C1580,0,$A1580)/(OFFSET($C1575,-$A1579,$A1580))))),0))</f>
        <v>0</v>
      </c>
      <c r="X1580" s="152"/>
      <c r="Y1580" s="152"/>
      <c r="Z1580" s="152"/>
      <c r="AA1580" s="152"/>
      <c r="AB1580" s="152"/>
    </row>
    <row r="1581" spans="1:28" hidden="1" outlineLevel="1">
      <c r="A1581" s="199">
        <f t="shared" ref="A1581:A1600" si="2310">A1580+1</f>
        <v>1</v>
      </c>
      <c r="B1581" s="190" t="str">
        <f t="shared" ref="B1581:B1600" ca="1" si="2311">"Depreciated Net Capex "&amp;OFFSET($C$6,0,A1581)</f>
        <v>Depreciated Net Capex 2016-17</v>
      </c>
      <c r="C1581" s="1424"/>
      <c r="D1581" s="1425">
        <f>D1575</f>
        <v>0</v>
      </c>
      <c r="E1581" s="1423">
        <f ca="1">IF(D1605="n/a",D1581,IFERROR(IF((OFFSET($C1581,0,$A1581))&lt;0,
MIN(0,D1581-(OFFSET($C1581,0,$A1581)/(OFFSET($C1576,-$A1580,$A1581)))),
MAX(0,D1581-(OFFSET($C1581,0,$A1581)/(OFFSET($C1576,-$A1580,$A1581))))),0))</f>
        <v>0</v>
      </c>
      <c r="F1581" s="1423">
        <f t="shared" ca="1" si="2292"/>
        <v>0</v>
      </c>
      <c r="G1581" s="1423">
        <f t="shared" ca="1" si="2293"/>
        <v>0</v>
      </c>
      <c r="H1581" s="1423">
        <f t="shared" ca="1" si="2294"/>
        <v>0</v>
      </c>
      <c r="I1581" s="1423">
        <f t="shared" ca="1" si="2295"/>
        <v>0</v>
      </c>
      <c r="J1581" s="1423">
        <f t="shared" ca="1" si="2296"/>
        <v>0</v>
      </c>
      <c r="K1581" s="1423">
        <f t="shared" ca="1" si="2297"/>
        <v>0</v>
      </c>
      <c r="L1581" s="1423">
        <f t="shared" ca="1" si="2298"/>
        <v>0</v>
      </c>
      <c r="M1581" s="1423">
        <f t="shared" ca="1" si="2299"/>
        <v>0</v>
      </c>
      <c r="N1581" s="1423">
        <f t="shared" ca="1" si="2300"/>
        <v>0</v>
      </c>
      <c r="O1581" s="1423">
        <f t="shared" ca="1" si="2301"/>
        <v>0</v>
      </c>
      <c r="P1581" s="1423">
        <f t="shared" ca="1" si="2302"/>
        <v>0</v>
      </c>
      <c r="Q1581" s="1423">
        <f t="shared" ca="1" si="2303"/>
        <v>0</v>
      </c>
      <c r="R1581" s="1423">
        <f t="shared" ca="1" si="2304"/>
        <v>0</v>
      </c>
      <c r="S1581" s="1423">
        <f t="shared" ca="1" si="2305"/>
        <v>0</v>
      </c>
      <c r="T1581" s="1423">
        <f t="shared" ca="1" si="2306"/>
        <v>0</v>
      </c>
      <c r="U1581" s="1423">
        <f t="shared" ca="1" si="2307"/>
        <v>0</v>
      </c>
      <c r="V1581" s="1423">
        <f t="shared" ca="1" si="2308"/>
        <v>0</v>
      </c>
      <c r="W1581" s="1423">
        <f t="shared" ca="1" si="2309"/>
        <v>0</v>
      </c>
      <c r="X1581" s="152"/>
      <c r="Y1581" s="152"/>
      <c r="Z1581" s="152"/>
      <c r="AA1581" s="152"/>
      <c r="AB1581" s="152"/>
    </row>
    <row r="1582" spans="1:28" hidden="1" outlineLevel="1">
      <c r="A1582" s="199">
        <f t="shared" si="2310"/>
        <v>2</v>
      </c>
      <c r="B1582" s="190" t="str">
        <f t="shared" ca="1" si="2311"/>
        <v>Depreciated Net Capex 2017-18</v>
      </c>
      <c r="C1582" s="1426"/>
      <c r="D1582" s="1427"/>
      <c r="E1582" s="1425">
        <f>E1575</f>
        <v>0</v>
      </c>
      <c r="F1582" s="1423">
        <f ca="1">IF(E1606="n/a",E1582,IFERROR(IF((OFFSET($C1582,0,$A1582))&lt;0,
MIN(0,E1582-(OFFSET($C1582,0,$A1582)/(OFFSET($C1577,-$A1581,$A1582)))),
MAX(0,E1582-(OFFSET($C1582,0,$A1582)/(OFFSET($C1577,-$A1581,$A1582))))),0))</f>
        <v>0</v>
      </c>
      <c r="G1582" s="1423">
        <f t="shared" ca="1" si="2293"/>
        <v>0</v>
      </c>
      <c r="H1582" s="1423">
        <f t="shared" ca="1" si="2294"/>
        <v>0</v>
      </c>
      <c r="I1582" s="1423">
        <f t="shared" ca="1" si="2295"/>
        <v>0</v>
      </c>
      <c r="J1582" s="1423">
        <f t="shared" ca="1" si="2296"/>
        <v>0</v>
      </c>
      <c r="K1582" s="1423">
        <f t="shared" ca="1" si="2297"/>
        <v>0</v>
      </c>
      <c r="L1582" s="1423">
        <f t="shared" ca="1" si="2298"/>
        <v>0</v>
      </c>
      <c r="M1582" s="1423">
        <f t="shared" ca="1" si="2299"/>
        <v>0</v>
      </c>
      <c r="N1582" s="1423">
        <f t="shared" ca="1" si="2300"/>
        <v>0</v>
      </c>
      <c r="O1582" s="1423">
        <f t="shared" ca="1" si="2301"/>
        <v>0</v>
      </c>
      <c r="P1582" s="1423">
        <f t="shared" ca="1" si="2302"/>
        <v>0</v>
      </c>
      <c r="Q1582" s="1423">
        <f t="shared" ca="1" si="2303"/>
        <v>0</v>
      </c>
      <c r="R1582" s="1423">
        <f t="shared" ca="1" si="2304"/>
        <v>0</v>
      </c>
      <c r="S1582" s="1423">
        <f t="shared" ca="1" si="2305"/>
        <v>0</v>
      </c>
      <c r="T1582" s="1423">
        <f t="shared" ca="1" si="2306"/>
        <v>0</v>
      </c>
      <c r="U1582" s="1423">
        <f t="shared" ca="1" si="2307"/>
        <v>0</v>
      </c>
      <c r="V1582" s="1423">
        <f t="shared" ca="1" si="2308"/>
        <v>0</v>
      </c>
      <c r="W1582" s="1423">
        <f t="shared" ca="1" si="2309"/>
        <v>0</v>
      </c>
      <c r="X1582" s="202"/>
      <c r="Y1582" s="152"/>
      <c r="Z1582" s="152"/>
      <c r="AA1582" s="152"/>
      <c r="AB1582" s="152"/>
    </row>
    <row r="1583" spans="1:28" hidden="1" outlineLevel="1">
      <c r="A1583" s="199">
        <f t="shared" si="2310"/>
        <v>3</v>
      </c>
      <c r="B1583" s="190" t="str">
        <f t="shared" ca="1" si="2311"/>
        <v>Depreciated Net Capex 2018-19</v>
      </c>
      <c r="C1583" s="1426"/>
      <c r="D1583" s="1426"/>
      <c r="E1583" s="1427"/>
      <c r="F1583" s="1428">
        <f>F1575</f>
        <v>0</v>
      </c>
      <c r="G1583" s="1423">
        <f ca="1">IF(F1607="n/a",F1583,IFERROR(IF((OFFSET($C1583,0,$A1583))&lt;0,
MIN(0,F1583-(OFFSET($C1583,0,$A1583)/(OFFSET($C1578,-$A1582,$A1583)))),
MAX(0,F1583-(OFFSET($C1583,0,$A1583)/(OFFSET($C1578,-$A1582,$A1583))))),0))</f>
        <v>0</v>
      </c>
      <c r="H1583" s="1423">
        <f t="shared" ca="1" si="2294"/>
        <v>0</v>
      </c>
      <c r="I1583" s="1423">
        <f t="shared" ca="1" si="2295"/>
        <v>0</v>
      </c>
      <c r="J1583" s="1423">
        <f t="shared" ca="1" si="2296"/>
        <v>0</v>
      </c>
      <c r="K1583" s="1423">
        <f t="shared" ca="1" si="2297"/>
        <v>0</v>
      </c>
      <c r="L1583" s="1423">
        <f t="shared" ca="1" si="2298"/>
        <v>0</v>
      </c>
      <c r="M1583" s="1423">
        <f t="shared" ca="1" si="2299"/>
        <v>0</v>
      </c>
      <c r="N1583" s="1423">
        <f t="shared" ca="1" si="2300"/>
        <v>0</v>
      </c>
      <c r="O1583" s="1423">
        <f t="shared" ca="1" si="2301"/>
        <v>0</v>
      </c>
      <c r="P1583" s="1423">
        <f t="shared" ca="1" si="2302"/>
        <v>0</v>
      </c>
      <c r="Q1583" s="1423">
        <f t="shared" ca="1" si="2303"/>
        <v>0</v>
      </c>
      <c r="R1583" s="1423">
        <f t="shared" ca="1" si="2304"/>
        <v>0</v>
      </c>
      <c r="S1583" s="1423">
        <f t="shared" ca="1" si="2305"/>
        <v>0</v>
      </c>
      <c r="T1583" s="1423">
        <f t="shared" ca="1" si="2306"/>
        <v>0</v>
      </c>
      <c r="U1583" s="1423">
        <f t="shared" ca="1" si="2307"/>
        <v>0</v>
      </c>
      <c r="V1583" s="1423">
        <f t="shared" ca="1" si="2308"/>
        <v>0</v>
      </c>
      <c r="W1583" s="1423">
        <f t="shared" ca="1" si="2309"/>
        <v>0</v>
      </c>
      <c r="X1583" s="202"/>
      <c r="Y1583" s="202"/>
      <c r="Z1583" s="152"/>
      <c r="AA1583" s="152"/>
      <c r="AB1583" s="152"/>
    </row>
    <row r="1584" spans="1:28" hidden="1" outlineLevel="1">
      <c r="A1584" s="199">
        <f t="shared" si="2310"/>
        <v>4</v>
      </c>
      <c r="B1584" s="190" t="str">
        <f t="shared" ca="1" si="2311"/>
        <v>Depreciated Net Capex 2019-20</v>
      </c>
      <c r="C1584" s="1426"/>
      <c r="D1584" s="1426"/>
      <c r="E1584" s="1426"/>
      <c r="F1584" s="1427"/>
      <c r="G1584" s="1428">
        <f>G1575</f>
        <v>0</v>
      </c>
      <c r="H1584" s="1423">
        <f ca="1">IF(G1608="n/a",G1584,IFERROR(IF((OFFSET($C1584,0,$A1584))&lt;0,
MIN(0,G1584-(OFFSET($C1584,0,$A1584)/(OFFSET($C1579,-$A1583,$A1584)))),
MAX(0,G1584-(OFFSET($C1584,0,$A1584)/(OFFSET($C1579,-$A1583,$A1584))))),0))</f>
        <v>0</v>
      </c>
      <c r="I1584" s="1423">
        <f t="shared" ca="1" si="2295"/>
        <v>0</v>
      </c>
      <c r="J1584" s="1423">
        <f t="shared" ca="1" si="2296"/>
        <v>0</v>
      </c>
      <c r="K1584" s="1423">
        <f t="shared" ca="1" si="2297"/>
        <v>0</v>
      </c>
      <c r="L1584" s="1423">
        <f t="shared" ca="1" si="2298"/>
        <v>0</v>
      </c>
      <c r="M1584" s="1423">
        <f t="shared" ca="1" si="2299"/>
        <v>0</v>
      </c>
      <c r="N1584" s="1423">
        <f t="shared" ca="1" si="2300"/>
        <v>0</v>
      </c>
      <c r="O1584" s="1423">
        <f t="shared" ca="1" si="2301"/>
        <v>0</v>
      </c>
      <c r="P1584" s="1423">
        <f t="shared" ca="1" si="2302"/>
        <v>0</v>
      </c>
      <c r="Q1584" s="1423">
        <f t="shared" ca="1" si="2303"/>
        <v>0</v>
      </c>
      <c r="R1584" s="1423">
        <f t="shared" ca="1" si="2304"/>
        <v>0</v>
      </c>
      <c r="S1584" s="1423">
        <f t="shared" ca="1" si="2305"/>
        <v>0</v>
      </c>
      <c r="T1584" s="1423">
        <f t="shared" ca="1" si="2306"/>
        <v>0</v>
      </c>
      <c r="U1584" s="1423">
        <f t="shared" ca="1" si="2307"/>
        <v>0</v>
      </c>
      <c r="V1584" s="1423">
        <f t="shared" ca="1" si="2308"/>
        <v>0</v>
      </c>
      <c r="W1584" s="1423">
        <f t="shared" ca="1" si="2309"/>
        <v>0</v>
      </c>
      <c r="X1584" s="202"/>
      <c r="Y1584" s="202"/>
      <c r="Z1584" s="202"/>
      <c r="AA1584" s="152"/>
      <c r="AB1584" s="152"/>
    </row>
    <row r="1585" spans="1:28" hidden="1" outlineLevel="1">
      <c r="A1585" s="199">
        <f t="shared" si="2310"/>
        <v>5</v>
      </c>
      <c r="B1585" s="190" t="str">
        <f t="shared" ca="1" si="2311"/>
        <v>Depreciated Net Capex 2020-21</v>
      </c>
      <c r="C1585" s="1426"/>
      <c r="D1585" s="1426"/>
      <c r="E1585" s="1426"/>
      <c r="F1585" s="1426"/>
      <c r="G1585" s="1427"/>
      <c r="H1585" s="1428">
        <f>H1575</f>
        <v>0</v>
      </c>
      <c r="I1585" s="1423">
        <f ca="1">IF(H1609="n/a",H1585,IFERROR(IF((OFFSET($C1585,0,$A1585))&lt;0,
MIN(0,H1585-(OFFSET($C1585,0,$A1585)/(OFFSET($C1580,-$A1584,$A1585)))),
MAX(0,H1585-(OFFSET($C1585,0,$A1585)/(OFFSET($C1580,-$A1584,$A1585))))),0))</f>
        <v>0</v>
      </c>
      <c r="J1585" s="1423">
        <f t="shared" ca="1" si="2296"/>
        <v>0</v>
      </c>
      <c r="K1585" s="1423">
        <f t="shared" ca="1" si="2297"/>
        <v>0</v>
      </c>
      <c r="L1585" s="1423">
        <f t="shared" ca="1" si="2298"/>
        <v>0</v>
      </c>
      <c r="M1585" s="1423">
        <f t="shared" ca="1" si="2299"/>
        <v>0</v>
      </c>
      <c r="N1585" s="1423">
        <f t="shared" ca="1" si="2300"/>
        <v>0</v>
      </c>
      <c r="O1585" s="1423">
        <f t="shared" ca="1" si="2301"/>
        <v>0</v>
      </c>
      <c r="P1585" s="1423">
        <f t="shared" ca="1" si="2302"/>
        <v>0</v>
      </c>
      <c r="Q1585" s="1423">
        <f t="shared" ca="1" si="2303"/>
        <v>0</v>
      </c>
      <c r="R1585" s="1423">
        <f t="shared" ca="1" si="2304"/>
        <v>0</v>
      </c>
      <c r="S1585" s="1423">
        <f t="shared" ca="1" si="2305"/>
        <v>0</v>
      </c>
      <c r="T1585" s="1423">
        <f t="shared" ca="1" si="2306"/>
        <v>0</v>
      </c>
      <c r="U1585" s="1423">
        <f t="shared" ca="1" si="2307"/>
        <v>0</v>
      </c>
      <c r="V1585" s="1423">
        <f t="shared" ca="1" si="2308"/>
        <v>0</v>
      </c>
      <c r="W1585" s="1423">
        <f t="shared" ca="1" si="2309"/>
        <v>0</v>
      </c>
      <c r="X1585" s="202"/>
      <c r="Y1585" s="202"/>
      <c r="Z1585" s="202"/>
      <c r="AA1585" s="152"/>
      <c r="AB1585" s="152"/>
    </row>
    <row r="1586" spans="1:28" hidden="1" outlineLevel="1">
      <c r="A1586" s="199">
        <f t="shared" si="2310"/>
        <v>6</v>
      </c>
      <c r="B1586" s="190" t="str">
        <f t="shared" ca="1" si="2311"/>
        <v>Depreciated Net Capex 2021-22</v>
      </c>
      <c r="C1586" s="1426"/>
      <c r="D1586" s="1426"/>
      <c r="E1586" s="1426"/>
      <c r="F1586" s="1426"/>
      <c r="G1586" s="1426"/>
      <c r="H1586" s="1427"/>
      <c r="I1586" s="1428">
        <f>I1575</f>
        <v>0</v>
      </c>
      <c r="J1586" s="1423">
        <f ca="1">IF(I1610="n/a",I1586,IFERROR(IF((OFFSET($C1586,0,$A1586))&lt;0,
MIN(0,I1586-(OFFSET($C1586,0,$A1586)/(OFFSET($C1581,-$A1585,$A1586)))),
MAX(0,I1586-(OFFSET($C1586,0,$A1586)/(OFFSET($C1581,-$A1585,$A1586))))),0))</f>
        <v>0</v>
      </c>
      <c r="K1586" s="1423">
        <f t="shared" ca="1" si="2297"/>
        <v>0</v>
      </c>
      <c r="L1586" s="1423">
        <f t="shared" ca="1" si="2298"/>
        <v>0</v>
      </c>
      <c r="M1586" s="1423">
        <f t="shared" ca="1" si="2299"/>
        <v>0</v>
      </c>
      <c r="N1586" s="1423">
        <f t="shared" ca="1" si="2300"/>
        <v>0</v>
      </c>
      <c r="O1586" s="1423">
        <f t="shared" ca="1" si="2301"/>
        <v>0</v>
      </c>
      <c r="P1586" s="1423">
        <f t="shared" ca="1" si="2302"/>
        <v>0</v>
      </c>
      <c r="Q1586" s="1423">
        <f t="shared" ca="1" si="2303"/>
        <v>0</v>
      </c>
      <c r="R1586" s="1423">
        <f t="shared" ca="1" si="2304"/>
        <v>0</v>
      </c>
      <c r="S1586" s="1423">
        <f t="shared" ca="1" si="2305"/>
        <v>0</v>
      </c>
      <c r="T1586" s="1423">
        <f t="shared" ca="1" si="2306"/>
        <v>0</v>
      </c>
      <c r="U1586" s="1423">
        <f t="shared" ca="1" si="2307"/>
        <v>0</v>
      </c>
      <c r="V1586" s="1423">
        <f t="shared" ca="1" si="2308"/>
        <v>0</v>
      </c>
      <c r="W1586" s="1423">
        <f t="shared" ca="1" si="2309"/>
        <v>0</v>
      </c>
      <c r="X1586" s="202"/>
      <c r="Y1586" s="202"/>
      <c r="Z1586" s="202"/>
      <c r="AA1586" s="152"/>
      <c r="AB1586" s="152"/>
    </row>
    <row r="1587" spans="1:28" hidden="1" outlineLevel="1">
      <c r="A1587" s="199">
        <f t="shared" si="2310"/>
        <v>7</v>
      </c>
      <c r="B1587" s="190" t="str">
        <f t="shared" ca="1" si="2311"/>
        <v>Depreciated Net Capex 2022-23</v>
      </c>
      <c r="C1587" s="1426"/>
      <c r="D1587" s="1426"/>
      <c r="E1587" s="1426"/>
      <c r="F1587" s="1426"/>
      <c r="G1587" s="1426"/>
      <c r="H1587" s="1426"/>
      <c r="I1587" s="1427"/>
      <c r="J1587" s="1428">
        <f>J1575</f>
        <v>0</v>
      </c>
      <c r="K1587" s="1423">
        <f ca="1">IF(J1611="n/a",J1587,IFERROR(IF((OFFSET($C1587,0,$A1587))&lt;0,
MIN(0,J1587-(OFFSET($C1587,0,$A1587)/(OFFSET($C1582,-$A1586,$A1587)))),
MAX(0,J1587-(OFFSET($C1587,0,$A1587)/(OFFSET($C1582,-$A1586,$A1587))))),0))</f>
        <v>0</v>
      </c>
      <c r="L1587" s="1423">
        <f t="shared" ca="1" si="2298"/>
        <v>0</v>
      </c>
      <c r="M1587" s="1423">
        <f t="shared" ca="1" si="2299"/>
        <v>0</v>
      </c>
      <c r="N1587" s="1423">
        <f t="shared" ca="1" si="2300"/>
        <v>0</v>
      </c>
      <c r="O1587" s="1423">
        <f t="shared" ca="1" si="2301"/>
        <v>0</v>
      </c>
      <c r="P1587" s="1423">
        <f t="shared" ca="1" si="2302"/>
        <v>0</v>
      </c>
      <c r="Q1587" s="1423">
        <f t="shared" ca="1" si="2303"/>
        <v>0</v>
      </c>
      <c r="R1587" s="1423">
        <f t="shared" ca="1" si="2304"/>
        <v>0</v>
      </c>
      <c r="S1587" s="1423">
        <f t="shared" ca="1" si="2305"/>
        <v>0</v>
      </c>
      <c r="T1587" s="1423">
        <f t="shared" ca="1" si="2306"/>
        <v>0</v>
      </c>
      <c r="U1587" s="1423">
        <f t="shared" ca="1" si="2307"/>
        <v>0</v>
      </c>
      <c r="V1587" s="1423">
        <f t="shared" ca="1" si="2308"/>
        <v>0</v>
      </c>
      <c r="W1587" s="1423">
        <f t="shared" ca="1" si="2309"/>
        <v>0</v>
      </c>
      <c r="X1587" s="202"/>
      <c r="Y1587" s="202"/>
      <c r="Z1587" s="202"/>
      <c r="AA1587" s="152"/>
      <c r="AB1587" s="152"/>
    </row>
    <row r="1588" spans="1:28" hidden="1" outlineLevel="1">
      <c r="A1588" s="199">
        <f t="shared" si="2310"/>
        <v>8</v>
      </c>
      <c r="B1588" s="190" t="str">
        <f t="shared" ca="1" si="2311"/>
        <v>Depreciated Net Capex 2023-24</v>
      </c>
      <c r="C1588" s="1426"/>
      <c r="D1588" s="1426"/>
      <c r="E1588" s="1426"/>
      <c r="F1588" s="1426"/>
      <c r="G1588" s="1426"/>
      <c r="H1588" s="1426"/>
      <c r="I1588" s="1426"/>
      <c r="J1588" s="1427"/>
      <c r="K1588" s="1428">
        <f>K1575</f>
        <v>0</v>
      </c>
      <c r="L1588" s="1423">
        <f ca="1">IF(K1612="n/a",K1588,IFERROR(IF((OFFSET($C1588,0,$A1588))&lt;0,
MIN(0,K1588-(OFFSET($C1588,0,$A1588)/(OFFSET($C1583,-$A1587,$A1588)))),
MAX(0,K1588-(OFFSET($C1588,0,$A1588)/(OFFSET($C1583,-$A1587,$A1588))))),0))</f>
        <v>0</v>
      </c>
      <c r="M1588" s="1423">
        <f t="shared" ca="1" si="2299"/>
        <v>0</v>
      </c>
      <c r="N1588" s="1423">
        <f t="shared" ca="1" si="2300"/>
        <v>0</v>
      </c>
      <c r="O1588" s="1423">
        <f t="shared" ca="1" si="2301"/>
        <v>0</v>
      </c>
      <c r="P1588" s="1423">
        <f t="shared" ca="1" si="2302"/>
        <v>0</v>
      </c>
      <c r="Q1588" s="1423">
        <f t="shared" ca="1" si="2303"/>
        <v>0</v>
      </c>
      <c r="R1588" s="1423">
        <f t="shared" ca="1" si="2304"/>
        <v>0</v>
      </c>
      <c r="S1588" s="1423">
        <f t="shared" ca="1" si="2305"/>
        <v>0</v>
      </c>
      <c r="T1588" s="1423">
        <f t="shared" ca="1" si="2306"/>
        <v>0</v>
      </c>
      <c r="U1588" s="1423">
        <f t="shared" ca="1" si="2307"/>
        <v>0</v>
      </c>
      <c r="V1588" s="1423">
        <f t="shared" ca="1" si="2308"/>
        <v>0</v>
      </c>
      <c r="W1588" s="1423">
        <f t="shared" ca="1" si="2309"/>
        <v>0</v>
      </c>
      <c r="X1588" s="202"/>
      <c r="Y1588" s="202"/>
      <c r="Z1588" s="202"/>
      <c r="AA1588" s="152"/>
      <c r="AB1588" s="152"/>
    </row>
    <row r="1589" spans="1:28" hidden="1" outlineLevel="1">
      <c r="A1589" s="199">
        <f t="shared" si="2310"/>
        <v>9</v>
      </c>
      <c r="B1589" s="190" t="str">
        <f t="shared" ca="1" si="2311"/>
        <v>Depreciated Net Capex 2024-25</v>
      </c>
      <c r="C1589" s="1426"/>
      <c r="D1589" s="1426"/>
      <c r="E1589" s="1426"/>
      <c r="F1589" s="1426"/>
      <c r="G1589" s="1426"/>
      <c r="H1589" s="1426"/>
      <c r="I1589" s="1426"/>
      <c r="J1589" s="1426"/>
      <c r="K1589" s="1427"/>
      <c r="L1589" s="1428">
        <f>L1575</f>
        <v>0</v>
      </c>
      <c r="M1589" s="1423">
        <f ca="1">IF(L1613="n/a",L1589,IFERROR(IF((OFFSET($C1589,0,$A1589))&lt;0,
MIN(0,L1589-(OFFSET($C1589,0,$A1589)/(OFFSET($C1584,-$A1588,$A1589)))),
MAX(0,L1589-(OFFSET($C1589,0,$A1589)/(OFFSET($C1584,-$A1588,$A1589))))),0))</f>
        <v>0</v>
      </c>
      <c r="N1589" s="1423">
        <f t="shared" ca="1" si="2300"/>
        <v>0</v>
      </c>
      <c r="O1589" s="1423">
        <f t="shared" ca="1" si="2301"/>
        <v>0</v>
      </c>
      <c r="P1589" s="1423">
        <f t="shared" ca="1" si="2302"/>
        <v>0</v>
      </c>
      <c r="Q1589" s="1423">
        <f t="shared" ca="1" si="2303"/>
        <v>0</v>
      </c>
      <c r="R1589" s="1423">
        <f t="shared" ca="1" si="2304"/>
        <v>0</v>
      </c>
      <c r="S1589" s="1423">
        <f t="shared" ca="1" si="2305"/>
        <v>0</v>
      </c>
      <c r="T1589" s="1423">
        <f t="shared" ca="1" si="2306"/>
        <v>0</v>
      </c>
      <c r="U1589" s="1423">
        <f t="shared" ca="1" si="2307"/>
        <v>0</v>
      </c>
      <c r="V1589" s="1423">
        <f t="shared" ca="1" si="2308"/>
        <v>0</v>
      </c>
      <c r="W1589" s="1423">
        <f t="shared" ca="1" si="2309"/>
        <v>0</v>
      </c>
      <c r="X1589" s="202"/>
      <c r="Y1589" s="202"/>
      <c r="Z1589" s="202"/>
      <c r="AA1589" s="152"/>
      <c r="AB1589" s="152"/>
    </row>
    <row r="1590" spans="1:28" hidden="1" outlineLevel="1">
      <c r="A1590" s="199">
        <f t="shared" si="2310"/>
        <v>10</v>
      </c>
      <c r="B1590" s="190" t="str">
        <f t="shared" ca="1" si="2311"/>
        <v>Depreciated Net Capex 2025-26</v>
      </c>
      <c r="C1590" s="1426"/>
      <c r="D1590" s="1426"/>
      <c r="E1590" s="1426"/>
      <c r="F1590" s="1426"/>
      <c r="G1590" s="1426"/>
      <c r="H1590" s="1426"/>
      <c r="I1590" s="1426"/>
      <c r="J1590" s="1426"/>
      <c r="K1590" s="1426"/>
      <c r="L1590" s="1427"/>
      <c r="M1590" s="1428">
        <f>M1575</f>
        <v>0</v>
      </c>
      <c r="N1590" s="1423">
        <f ca="1">IF(M1614="n/a",M1590,IFERROR(IF((OFFSET($C1590,0,$A1590))&lt;0,
MIN(0,M1590-(OFFSET($C1590,0,$A1590)/(OFFSET($C1585,-$A1589,$A1590)))),
MAX(0,M1590-(OFFSET($C1590,0,$A1590)/(OFFSET($C1585,-$A1589,$A1590))))),0))</f>
        <v>0</v>
      </c>
      <c r="O1590" s="1423">
        <f t="shared" ca="1" si="2301"/>
        <v>0</v>
      </c>
      <c r="P1590" s="1423">
        <f t="shared" ca="1" si="2302"/>
        <v>0</v>
      </c>
      <c r="Q1590" s="1423">
        <f t="shared" ca="1" si="2303"/>
        <v>0</v>
      </c>
      <c r="R1590" s="1423">
        <f t="shared" ca="1" si="2304"/>
        <v>0</v>
      </c>
      <c r="S1590" s="1423">
        <f t="shared" ca="1" si="2305"/>
        <v>0</v>
      </c>
      <c r="T1590" s="1423">
        <f t="shared" ca="1" si="2306"/>
        <v>0</v>
      </c>
      <c r="U1590" s="1423">
        <f t="shared" ca="1" si="2307"/>
        <v>0</v>
      </c>
      <c r="V1590" s="1423">
        <f t="shared" ca="1" si="2308"/>
        <v>0</v>
      </c>
      <c r="W1590" s="1423">
        <f t="shared" ca="1" si="2309"/>
        <v>0</v>
      </c>
      <c r="X1590" s="202"/>
      <c r="Y1590" s="202"/>
      <c r="Z1590" s="202"/>
      <c r="AA1590" s="152"/>
      <c r="AB1590" s="152"/>
    </row>
    <row r="1591" spans="1:28" hidden="1" outlineLevel="1">
      <c r="A1591" s="199">
        <f t="shared" si="2310"/>
        <v>11</v>
      </c>
      <c r="B1591" s="190" t="str">
        <f t="shared" ca="1" si="2311"/>
        <v>Depreciated Net Capex 2026-27</v>
      </c>
      <c r="C1591" s="1426"/>
      <c r="D1591" s="1426"/>
      <c r="E1591" s="1426"/>
      <c r="F1591" s="1426"/>
      <c r="G1591" s="1426"/>
      <c r="H1591" s="1426"/>
      <c r="I1591" s="1426"/>
      <c r="J1591" s="1426"/>
      <c r="K1591" s="1426"/>
      <c r="L1591" s="1426"/>
      <c r="M1591" s="1427"/>
      <c r="N1591" s="1428">
        <f>N1575</f>
        <v>0</v>
      </c>
      <c r="O1591" s="1423">
        <f ca="1">IF(N1615="n/a",N1591,IFERROR(IF((OFFSET($C1591,0,$A1591))&lt;0,
MIN(0,N1591-(OFFSET($C1591,0,$A1591)/(OFFSET($C1586,-$A1590,$A1591)))),
MAX(0,N1591-(OFFSET($C1591,0,$A1591)/(OFFSET($C1586,-$A1590,$A1591))))),0))</f>
        <v>0</v>
      </c>
      <c r="P1591" s="1423">
        <f t="shared" ca="1" si="2302"/>
        <v>0</v>
      </c>
      <c r="Q1591" s="1423">
        <f t="shared" ca="1" si="2303"/>
        <v>0</v>
      </c>
      <c r="R1591" s="1423">
        <f t="shared" ca="1" si="2304"/>
        <v>0</v>
      </c>
      <c r="S1591" s="1423">
        <f t="shared" ca="1" si="2305"/>
        <v>0</v>
      </c>
      <c r="T1591" s="1423">
        <f t="shared" ca="1" si="2306"/>
        <v>0</v>
      </c>
      <c r="U1591" s="1423">
        <f t="shared" ca="1" si="2307"/>
        <v>0</v>
      </c>
      <c r="V1591" s="1423">
        <f t="shared" ca="1" si="2308"/>
        <v>0</v>
      </c>
      <c r="W1591" s="1423">
        <f t="shared" ca="1" si="2309"/>
        <v>0</v>
      </c>
      <c r="X1591" s="202"/>
      <c r="Y1591" s="202"/>
      <c r="Z1591" s="202"/>
      <c r="AA1591" s="152"/>
      <c r="AB1591" s="152"/>
    </row>
    <row r="1592" spans="1:28" hidden="1" outlineLevel="1">
      <c r="A1592" s="199">
        <f t="shared" si="2310"/>
        <v>12</v>
      </c>
      <c r="B1592" s="190" t="str">
        <f t="shared" ca="1" si="2311"/>
        <v>Depreciated Net Capex 2027-28</v>
      </c>
      <c r="C1592" s="1426"/>
      <c r="D1592" s="1426"/>
      <c r="E1592" s="1426"/>
      <c r="F1592" s="1426"/>
      <c r="G1592" s="1426"/>
      <c r="H1592" s="1426"/>
      <c r="I1592" s="1426"/>
      <c r="J1592" s="1426"/>
      <c r="K1592" s="1426"/>
      <c r="L1592" s="1426"/>
      <c r="M1592" s="1426"/>
      <c r="N1592" s="1427"/>
      <c r="O1592" s="1428">
        <f>O1575</f>
        <v>0</v>
      </c>
      <c r="P1592" s="1423">
        <f ca="1">IF(O1616="n/a",O1592,IFERROR(IF((OFFSET($C1592,0,$A1592))&lt;0,
MIN(0,O1592-(OFFSET($C1592,0,$A1592)/(OFFSET($C1587,-$A1591,$A1592)))),
MAX(0,O1592-(OFFSET($C1592,0,$A1592)/(OFFSET($C1587,-$A1591,$A1592))))),0))</f>
        <v>0</v>
      </c>
      <c r="Q1592" s="1423">
        <f t="shared" ca="1" si="2303"/>
        <v>0</v>
      </c>
      <c r="R1592" s="1423">
        <f t="shared" ca="1" si="2304"/>
        <v>0</v>
      </c>
      <c r="S1592" s="1423">
        <f t="shared" ca="1" si="2305"/>
        <v>0</v>
      </c>
      <c r="T1592" s="1423">
        <f t="shared" ca="1" si="2306"/>
        <v>0</v>
      </c>
      <c r="U1592" s="1423">
        <f t="shared" ca="1" si="2307"/>
        <v>0</v>
      </c>
      <c r="V1592" s="1423">
        <f t="shared" ca="1" si="2308"/>
        <v>0</v>
      </c>
      <c r="W1592" s="1423">
        <f t="shared" ca="1" si="2309"/>
        <v>0</v>
      </c>
      <c r="X1592" s="202"/>
      <c r="Y1592" s="202"/>
      <c r="Z1592" s="202"/>
      <c r="AA1592" s="152"/>
      <c r="AB1592" s="152"/>
    </row>
    <row r="1593" spans="1:28" hidden="1" outlineLevel="1">
      <c r="A1593" s="199">
        <f t="shared" si="2310"/>
        <v>13</v>
      </c>
      <c r="B1593" s="190" t="str">
        <f t="shared" ca="1" si="2311"/>
        <v>Depreciated Net Capex 2028-29</v>
      </c>
      <c r="C1593" s="1426"/>
      <c r="D1593" s="1426"/>
      <c r="E1593" s="1426"/>
      <c r="F1593" s="1426"/>
      <c r="G1593" s="1426"/>
      <c r="H1593" s="1426"/>
      <c r="I1593" s="1426"/>
      <c r="J1593" s="1426"/>
      <c r="K1593" s="1426"/>
      <c r="L1593" s="1426"/>
      <c r="M1593" s="1426"/>
      <c r="N1593" s="1426"/>
      <c r="O1593" s="1427"/>
      <c r="P1593" s="1428">
        <f>P1575</f>
        <v>0</v>
      </c>
      <c r="Q1593" s="1423">
        <f ca="1">IF(P1617="n/a",P1593,IFERROR(IF((OFFSET($C1593,0,$A1593))&lt;0,
MIN(0,P1593-(OFFSET($C1593,0,$A1593)/(OFFSET($C1588,-$A1592,$A1593)))),
MAX(0,P1593-(OFFSET($C1593,0,$A1593)/(OFFSET($C1588,-$A1592,$A1593))))),0))</f>
        <v>0</v>
      </c>
      <c r="R1593" s="1423">
        <f t="shared" ca="1" si="2304"/>
        <v>0</v>
      </c>
      <c r="S1593" s="1423">
        <f t="shared" ca="1" si="2305"/>
        <v>0</v>
      </c>
      <c r="T1593" s="1423">
        <f t="shared" ca="1" si="2306"/>
        <v>0</v>
      </c>
      <c r="U1593" s="1423">
        <f t="shared" ca="1" si="2307"/>
        <v>0</v>
      </c>
      <c r="V1593" s="1423">
        <f t="shared" ca="1" si="2308"/>
        <v>0</v>
      </c>
      <c r="W1593" s="1423">
        <f t="shared" ca="1" si="2309"/>
        <v>0</v>
      </c>
      <c r="X1593" s="202"/>
      <c r="Y1593" s="202"/>
      <c r="Z1593" s="202"/>
      <c r="AA1593" s="152"/>
      <c r="AB1593" s="152"/>
    </row>
    <row r="1594" spans="1:28" hidden="1" outlineLevel="1">
      <c r="A1594" s="199">
        <f t="shared" si="2310"/>
        <v>14</v>
      </c>
      <c r="B1594" s="190" t="str">
        <f t="shared" ca="1" si="2311"/>
        <v>Depreciated Net Capex 2029-30</v>
      </c>
      <c r="C1594" s="1426"/>
      <c r="D1594" s="1426"/>
      <c r="E1594" s="1426"/>
      <c r="F1594" s="1426"/>
      <c r="G1594" s="1426"/>
      <c r="H1594" s="1426"/>
      <c r="I1594" s="1426"/>
      <c r="J1594" s="1426"/>
      <c r="K1594" s="1426"/>
      <c r="L1594" s="1426"/>
      <c r="M1594" s="1426"/>
      <c r="N1594" s="1426"/>
      <c r="O1594" s="1426"/>
      <c r="P1594" s="1427"/>
      <c r="Q1594" s="1428">
        <f>Q1575</f>
        <v>0</v>
      </c>
      <c r="R1594" s="1423">
        <f ca="1">IF(Q1618="n/a",Q1594,IFERROR(IF((OFFSET($C1594,0,$A1594))&lt;0,
MIN(0,Q1594-(OFFSET($C1594,0,$A1594)/(OFFSET($C1589,-$A1593,$A1594)))),
MAX(0,Q1594-(OFFSET($C1594,0,$A1594)/(OFFSET($C1589,-$A1593,$A1594))))),0))</f>
        <v>0</v>
      </c>
      <c r="S1594" s="1423">
        <f t="shared" ca="1" si="2305"/>
        <v>0</v>
      </c>
      <c r="T1594" s="1423">
        <f t="shared" ca="1" si="2306"/>
        <v>0</v>
      </c>
      <c r="U1594" s="1423">
        <f t="shared" ca="1" si="2307"/>
        <v>0</v>
      </c>
      <c r="V1594" s="1423">
        <f t="shared" ca="1" si="2308"/>
        <v>0</v>
      </c>
      <c r="W1594" s="1423">
        <f t="shared" ca="1" si="2309"/>
        <v>0</v>
      </c>
      <c r="X1594" s="202"/>
      <c r="Y1594" s="202"/>
      <c r="Z1594" s="202"/>
      <c r="AA1594" s="152"/>
      <c r="AB1594" s="152"/>
    </row>
    <row r="1595" spans="1:28" hidden="1" outlineLevel="1">
      <c r="A1595" s="199">
        <f t="shared" si="2310"/>
        <v>15</v>
      </c>
      <c r="B1595" s="190" t="str">
        <f t="shared" ca="1" si="2311"/>
        <v>Depreciated Net Capex 2030-31</v>
      </c>
      <c r="C1595" s="1426"/>
      <c r="D1595" s="1426"/>
      <c r="E1595" s="1426"/>
      <c r="F1595" s="1426"/>
      <c r="G1595" s="1426"/>
      <c r="H1595" s="1426"/>
      <c r="I1595" s="1426"/>
      <c r="J1595" s="1426"/>
      <c r="K1595" s="1426"/>
      <c r="L1595" s="1426"/>
      <c r="M1595" s="1426"/>
      <c r="N1595" s="1426"/>
      <c r="O1595" s="1426"/>
      <c r="P1595" s="1426"/>
      <c r="Q1595" s="1427"/>
      <c r="R1595" s="1428">
        <f>R1575</f>
        <v>0</v>
      </c>
      <c r="S1595" s="1423">
        <f ca="1">IF(R1619="n/a",R1595,IFERROR(IF((OFFSET($C1595,0,$A1595))&lt;0,
MIN(0,R1595-(OFFSET($C1595,0,$A1595)/(OFFSET($C1590,-$A1594,$A1595)))),
MAX(0,R1595-(OFFSET($C1595,0,$A1595)/(OFFSET($C1590,-$A1594,$A1595))))),0))</f>
        <v>0</v>
      </c>
      <c r="T1595" s="1423">
        <f t="shared" ca="1" si="2306"/>
        <v>0</v>
      </c>
      <c r="U1595" s="1423">
        <f t="shared" ca="1" si="2307"/>
        <v>0</v>
      </c>
      <c r="V1595" s="1423">
        <f t="shared" ca="1" si="2308"/>
        <v>0</v>
      </c>
      <c r="W1595" s="1423">
        <f t="shared" ca="1" si="2309"/>
        <v>0</v>
      </c>
      <c r="X1595" s="202"/>
      <c r="Y1595" s="202"/>
      <c r="Z1595" s="202"/>
      <c r="AA1595" s="152"/>
      <c r="AB1595" s="152"/>
    </row>
    <row r="1596" spans="1:28" hidden="1" outlineLevel="1">
      <c r="A1596" s="199">
        <f t="shared" si="2310"/>
        <v>16</v>
      </c>
      <c r="B1596" s="190" t="str">
        <f t="shared" ca="1" si="2311"/>
        <v>Depreciated Net Capex 2031-32</v>
      </c>
      <c r="C1596" s="1426"/>
      <c r="D1596" s="1426"/>
      <c r="E1596" s="1426"/>
      <c r="F1596" s="1426"/>
      <c r="G1596" s="1426"/>
      <c r="H1596" s="1426"/>
      <c r="I1596" s="1426"/>
      <c r="J1596" s="1426"/>
      <c r="K1596" s="1426"/>
      <c r="L1596" s="1426"/>
      <c r="M1596" s="1426"/>
      <c r="N1596" s="1426"/>
      <c r="O1596" s="1426"/>
      <c r="P1596" s="1426"/>
      <c r="Q1596" s="1426"/>
      <c r="R1596" s="1427"/>
      <c r="S1596" s="1428">
        <f>S1575</f>
        <v>0</v>
      </c>
      <c r="T1596" s="1423">
        <f ca="1">IF(S1620="n/a",S1596,IFERROR(IF((OFFSET($C1596,0,$A1596))&lt;0,
MIN(0,S1596-(OFFSET($C1596,0,$A1596)/(OFFSET($C1591,-$A1595,$A1596)))),
MAX(0,S1596-(OFFSET($C1596,0,$A1596)/(OFFSET($C1591,-$A1595,$A1596))))),0))</f>
        <v>0</v>
      </c>
      <c r="U1596" s="1423">
        <f t="shared" ca="1" si="2307"/>
        <v>0</v>
      </c>
      <c r="V1596" s="1423">
        <f t="shared" ca="1" si="2308"/>
        <v>0</v>
      </c>
      <c r="W1596" s="1423">
        <f t="shared" ca="1" si="2309"/>
        <v>0</v>
      </c>
      <c r="X1596" s="202"/>
      <c r="Y1596" s="202"/>
      <c r="Z1596" s="202"/>
      <c r="AA1596" s="152"/>
      <c r="AB1596" s="152"/>
    </row>
    <row r="1597" spans="1:28" hidden="1" outlineLevel="1">
      <c r="A1597" s="199">
        <f t="shared" si="2310"/>
        <v>17</v>
      </c>
      <c r="B1597" s="190" t="str">
        <f t="shared" ca="1" si="2311"/>
        <v>Depreciated Net Capex 2032-33</v>
      </c>
      <c r="C1597" s="1426"/>
      <c r="D1597" s="1426"/>
      <c r="E1597" s="1426"/>
      <c r="F1597" s="1426"/>
      <c r="G1597" s="1426"/>
      <c r="H1597" s="1426"/>
      <c r="I1597" s="1426"/>
      <c r="J1597" s="1426"/>
      <c r="K1597" s="1426"/>
      <c r="L1597" s="1426"/>
      <c r="M1597" s="1426"/>
      <c r="N1597" s="1426"/>
      <c r="O1597" s="1426"/>
      <c r="P1597" s="1426"/>
      <c r="Q1597" s="1426"/>
      <c r="R1597" s="1426"/>
      <c r="S1597" s="1427"/>
      <c r="T1597" s="1428">
        <f>T1575</f>
        <v>0</v>
      </c>
      <c r="U1597" s="1423">
        <f ca="1">IF(T1621="n/a",T1597,IFERROR(IF((OFFSET($C1597,0,$A1597))&lt;0,
MIN(0,T1597-(OFFSET($C1597,0,$A1597)/(OFFSET($C1592,-$A1596,$A1597)))),
MAX(0,T1597-(OFFSET($C1597,0,$A1597)/(OFFSET($C1592,-$A1596,$A1597))))),0))</f>
        <v>0</v>
      </c>
      <c r="V1597" s="1423">
        <f t="shared" ca="1" si="2308"/>
        <v>0</v>
      </c>
      <c r="W1597" s="1423">
        <f t="shared" ca="1" si="2309"/>
        <v>0</v>
      </c>
      <c r="X1597" s="202"/>
      <c r="Y1597" s="202"/>
      <c r="Z1597" s="202"/>
      <c r="AA1597" s="152"/>
      <c r="AB1597" s="152"/>
    </row>
    <row r="1598" spans="1:28" hidden="1" outlineLevel="1">
      <c r="A1598" s="199">
        <f t="shared" si="2310"/>
        <v>18</v>
      </c>
      <c r="B1598" s="190" t="str">
        <f t="shared" ca="1" si="2311"/>
        <v>Depreciated Net Capex 2033-34</v>
      </c>
      <c r="C1598" s="1426"/>
      <c r="D1598" s="1426"/>
      <c r="E1598" s="1426"/>
      <c r="F1598" s="1426"/>
      <c r="G1598" s="1426"/>
      <c r="H1598" s="1426"/>
      <c r="I1598" s="1426"/>
      <c r="J1598" s="1426"/>
      <c r="K1598" s="1426"/>
      <c r="L1598" s="1426"/>
      <c r="M1598" s="1426"/>
      <c r="N1598" s="1426"/>
      <c r="O1598" s="1426"/>
      <c r="P1598" s="1426"/>
      <c r="Q1598" s="1426"/>
      <c r="R1598" s="1426"/>
      <c r="S1598" s="1426"/>
      <c r="T1598" s="1427"/>
      <c r="U1598" s="1428">
        <f>U1575</f>
        <v>0</v>
      </c>
      <c r="V1598" s="1423">
        <f ca="1">IF(U1622="n/a",U1598,IFERROR(IF((OFFSET($C1598,0,$A1598))&lt;0,
MIN(0,U1598-(OFFSET($C1598,0,$A1598)/(OFFSET($C1593,-$A1597,$A1598)))),
MAX(0,U1598-(OFFSET($C1598,0,$A1598)/(OFFSET($C1593,-$A1597,$A1598))))),0))</f>
        <v>0</v>
      </c>
      <c r="W1598" s="1423">
        <f t="shared" ca="1" si="2309"/>
        <v>0</v>
      </c>
      <c r="X1598" s="202"/>
      <c r="Y1598" s="202"/>
      <c r="Z1598" s="202"/>
      <c r="AA1598" s="152"/>
      <c r="AB1598" s="152"/>
    </row>
    <row r="1599" spans="1:28" hidden="1" outlineLevel="1">
      <c r="A1599" s="199">
        <f t="shared" si="2310"/>
        <v>19</v>
      </c>
      <c r="B1599" s="190" t="str">
        <f t="shared" ca="1" si="2311"/>
        <v>Depreciated Net Capex 2034-35</v>
      </c>
      <c r="C1599" s="1426"/>
      <c r="D1599" s="1426"/>
      <c r="E1599" s="1426"/>
      <c r="F1599" s="1426"/>
      <c r="G1599" s="1426"/>
      <c r="H1599" s="1426"/>
      <c r="I1599" s="1426"/>
      <c r="J1599" s="1426"/>
      <c r="K1599" s="1426"/>
      <c r="L1599" s="1426"/>
      <c r="M1599" s="1426"/>
      <c r="N1599" s="1426"/>
      <c r="O1599" s="1426"/>
      <c r="P1599" s="1426"/>
      <c r="Q1599" s="1426"/>
      <c r="R1599" s="1426"/>
      <c r="S1599" s="1426"/>
      <c r="T1599" s="1426"/>
      <c r="U1599" s="1427"/>
      <c r="V1599" s="1428">
        <f>V1575</f>
        <v>0</v>
      </c>
      <c r="W1599" s="1423">
        <f ca="1">IF(V1623="n/a",V1599,IFERROR(IF((OFFSET($C1599,0,$A1599))&lt;0,
MIN(0,V1599-(OFFSET($C1599,0,$A1599)/(OFFSET($C1594,-$A1598,$A1599)))),
MAX(0,V1599-(OFFSET($C1599,0,$A1599)/(OFFSET($C1594,-$A1598,$A1599))))),0))</f>
        <v>0</v>
      </c>
      <c r="X1599" s="202"/>
      <c r="Y1599" s="202"/>
      <c r="Z1599" s="202"/>
      <c r="AA1599" s="152"/>
      <c r="AB1599" s="152"/>
    </row>
    <row r="1600" spans="1:28" hidden="1" outlineLevel="1">
      <c r="A1600" s="199">
        <f t="shared" si="2310"/>
        <v>20</v>
      </c>
      <c r="B1600" s="190" t="str">
        <f t="shared" ca="1" si="2311"/>
        <v>Depreciated Net Capex 2035-36</v>
      </c>
      <c r="C1600" s="1426"/>
      <c r="D1600" s="1426"/>
      <c r="E1600" s="1426"/>
      <c r="F1600" s="1426"/>
      <c r="G1600" s="1426"/>
      <c r="H1600" s="1426"/>
      <c r="I1600" s="1426"/>
      <c r="J1600" s="1426"/>
      <c r="K1600" s="1426"/>
      <c r="L1600" s="1426"/>
      <c r="M1600" s="1426"/>
      <c r="N1600" s="1426"/>
      <c r="O1600" s="1426"/>
      <c r="P1600" s="1426"/>
      <c r="Q1600" s="1426"/>
      <c r="R1600" s="1426"/>
      <c r="S1600" s="1426"/>
      <c r="T1600" s="1426"/>
      <c r="U1600" s="1426"/>
      <c r="V1600" s="1427"/>
      <c r="W1600" s="1423">
        <f>W1575</f>
        <v>0</v>
      </c>
      <c r="X1600" s="152"/>
      <c r="Y1600" s="152"/>
      <c r="Z1600" s="152"/>
      <c r="AA1600" s="152"/>
      <c r="AB1600" s="152"/>
    </row>
    <row r="1601" spans="1:28" hidden="1" outlineLevel="1">
      <c r="A1601" s="152"/>
      <c r="B1601" s="200"/>
      <c r="C1601" s="1423"/>
      <c r="D1601" s="1423"/>
      <c r="E1601" s="1423"/>
      <c r="F1601" s="1423"/>
      <c r="G1601" s="1423"/>
      <c r="H1601" s="1423"/>
      <c r="I1601" s="1423"/>
      <c r="J1601" s="1423"/>
      <c r="K1601" s="1423"/>
      <c r="L1601" s="1423"/>
      <c r="M1601" s="1423"/>
      <c r="N1601" s="1423"/>
      <c r="O1601" s="1423"/>
      <c r="P1601" s="1423"/>
      <c r="Q1601" s="1423"/>
      <c r="R1601" s="1423"/>
      <c r="S1601" s="1423"/>
      <c r="T1601" s="1423"/>
      <c r="U1601" s="1423"/>
      <c r="V1601" s="1423"/>
      <c r="W1601" s="1423"/>
      <c r="X1601" s="152"/>
      <c r="Y1601" s="152"/>
      <c r="Z1601" s="152"/>
      <c r="AA1601" s="152"/>
      <c r="AB1601" s="152"/>
    </row>
    <row r="1602" spans="1:28" hidden="1" outlineLevel="1">
      <c r="A1602" s="152"/>
      <c r="B1602" s="200"/>
      <c r="C1602" s="1423"/>
      <c r="D1602" s="1423"/>
      <c r="E1602" s="1423"/>
      <c r="F1602" s="1423"/>
      <c r="G1602" s="1423"/>
      <c r="H1602" s="1423"/>
      <c r="I1602" s="1423"/>
      <c r="J1602" s="1423"/>
      <c r="K1602" s="1423"/>
      <c r="L1602" s="1423"/>
      <c r="M1602" s="1423"/>
      <c r="N1602" s="1423"/>
      <c r="O1602" s="1423"/>
      <c r="P1602" s="1423"/>
      <c r="Q1602" s="1423"/>
      <c r="R1602" s="1423"/>
      <c r="S1602" s="1423"/>
      <c r="T1602" s="1423"/>
      <c r="U1602" s="1423"/>
      <c r="V1602" s="1423"/>
      <c r="W1602" s="1423"/>
      <c r="X1602" s="152"/>
      <c r="Y1602" s="152"/>
      <c r="Z1602" s="152"/>
      <c r="AA1602" s="152"/>
      <c r="AB1602" s="152"/>
    </row>
    <row r="1603" spans="1:28" hidden="1" outlineLevel="1">
      <c r="A1603" s="152"/>
      <c r="B1603" s="190" t="s">
        <v>194</v>
      </c>
      <c r="C1603" s="1423"/>
      <c r="D1603" s="1423">
        <f t="shared" ref="D1603" ca="1" si="2312">IF(AND(C1603&lt;1,D1577=0),0,
IF(D1577=0,C1603-1,
IF(C1603&lt;1,D1578,
(((C1603-1)*(C1579-(C1579/(C1603))))+(D1577*D1578))/(D1579))))</f>
        <v>0</v>
      </c>
      <c r="E1603" s="1423">
        <f t="shared" ref="E1603" ca="1" si="2313">IF(AND(D1603&lt;1,E1577=0),0,
IF(E1577=0,D1603-1,
IF(D1603&lt;1,E1578,
(((D1603-1)*(D1579-(D1579/(D1603))))+(E1577*E1578))/(E1579))))</f>
        <v>0</v>
      </c>
      <c r="F1603" s="1423">
        <f t="shared" ref="F1603" ca="1" si="2314">IF(AND(E1603&lt;1,F1577=0),0,
IF(F1577=0,E1603-1,
IF(E1603&lt;1,F1578,
(((E1603-1)*(E1579-(E1579/(E1603))))+(F1577*F1578))/(F1579))))</f>
        <v>0</v>
      </c>
      <c r="G1603" s="1423">
        <f t="shared" ref="G1603" ca="1" si="2315">IF(AND(F1603&lt;1,G1577=0),0,
IF(G1577=0,F1603-1,
IF(F1603&lt;1,G1578,
(((F1603-1)*(F1579-(F1579/(F1603))))+(G1577*G1578))/(G1579))))</f>
        <v>0</v>
      </c>
      <c r="H1603" s="1423">
        <f ca="1">IF(AND(G1603&lt;1,H1577=0),0,
IF(H1577=0,G1603-1,
IF(G1603&lt;1,H1578,
(((G1603-1)*(G1579-(G1579/(G1603))))+(H1577*H1578))/(H1579))))</f>
        <v>0</v>
      </c>
      <c r="I1603" s="1423">
        <f t="shared" ref="I1603" ca="1" si="2316">IF(AND(H1603&lt;1,I1577=0),0,
IF(I1577=0,H1603-1,
IF(H1603&lt;1,I1578,
(((H1603-1)*(H1579-(H1579/(H1603))))+(I1577*I1578))/(I1579))))</f>
        <v>0</v>
      </c>
      <c r="J1603" s="1423">
        <f t="shared" ref="J1603" ca="1" si="2317">IF(AND(I1603&lt;1,J1577=0),0,
IF(J1577=0,I1603-1,
IF(I1603&lt;1,J1578,
(((I1603-1)*(I1579-(I1579/(I1603))))+(J1577*J1578))/(J1579))))</f>
        <v>0</v>
      </c>
      <c r="K1603" s="1423">
        <f t="shared" ref="K1603" ca="1" si="2318">IF(AND(J1603&lt;1,K1577=0),0,
IF(K1577=0,J1603-1,
IF(J1603&lt;1,K1578,
(((J1603-1)*(J1579-(J1579/(J1603))))+(K1577*K1578))/(K1579))))</f>
        <v>0</v>
      </c>
      <c r="L1603" s="1423">
        <f t="shared" ref="L1603" ca="1" si="2319">IF(AND(K1603&lt;1,L1577=0),0,
IF(L1577=0,K1603-1,
IF(K1603&lt;1,L1578,
(((K1603-1)*(K1579-(K1579/(K1603))))+(L1577*L1578))/(L1579))))</f>
        <v>0</v>
      </c>
      <c r="M1603" s="1423">
        <f ca="1">IF(AND(L1603&lt;1,M1577=0),0,
IF(M1577=0,L1603-1,
IF(L1603&lt;1,M1578,
(((L1603-1)*(L1579-(L1579/(L1603))))+(M1577*M1578))/(M1579))))</f>
        <v>0</v>
      </c>
      <c r="N1603" s="1423">
        <f t="shared" ref="N1603" ca="1" si="2320">IF(AND(M1603&lt;1,N1577=0),0,
IF(N1577=0,M1603-1,
IF(M1603&lt;1,N1578,
(((M1603-1)*(M1579-(M1579/(M1603))))+(N1577*N1578))/(N1579))))</f>
        <v>0</v>
      </c>
      <c r="O1603" s="1423">
        <f t="shared" ref="O1603" ca="1" si="2321">IF(AND(N1603&lt;1,O1577=0),0,
IF(O1577=0,N1603-1,
IF(N1603&lt;1,O1578,
(((N1603-1)*(N1579-(N1579/(N1603))))+(O1577*O1578))/(O1579))))</f>
        <v>0</v>
      </c>
      <c r="P1603" s="1423">
        <f t="shared" ref="P1603" ca="1" si="2322">IF(AND(O1603&lt;1,P1577=0),0,
IF(P1577=0,O1603-1,
IF(O1603&lt;1,P1578,
(((O1603-1)*(O1579-(O1579/(O1603))))+(P1577*P1578))/(P1579))))</f>
        <v>0</v>
      </c>
      <c r="Q1603" s="1423">
        <f t="shared" ref="Q1603" ca="1" si="2323">IF(AND(P1603&lt;1,Q1577=0),0,
IF(Q1577=0,P1603-1,
IF(P1603&lt;1,Q1578,
(((P1603-1)*(P1579-(P1579/(P1603))))+(Q1577*Q1578))/(Q1579))))</f>
        <v>0</v>
      </c>
      <c r="R1603" s="1423">
        <f t="shared" ref="R1603" ca="1" si="2324">IF(AND(Q1603&lt;1,R1577=0),0,
IF(R1577=0,Q1603-1,
IF(Q1603&lt;1,R1578,
(((Q1603-1)*(Q1579-(Q1579/(Q1603))))+(R1577*R1578))/(R1579))))</f>
        <v>0</v>
      </c>
      <c r="S1603" s="1423">
        <f t="shared" ref="S1603" ca="1" si="2325">IF(AND(R1603&lt;1,S1577=0),0,
IF(S1577=0,R1603-1,
IF(R1603&lt;1,S1578,
(((R1603-1)*(R1579-(R1579/(R1603))))+(S1577*S1578))/(S1579))))</f>
        <v>0</v>
      </c>
      <c r="T1603" s="1423">
        <f t="shared" ref="T1603" ca="1" si="2326">IF(AND(S1603&lt;1,T1577=0),0,
IF(T1577=0,S1603-1,
IF(S1603&lt;1,T1578,
(((S1603-1)*(S1579-(S1579/(S1603))))+(T1577*T1578))/(T1579))))</f>
        <v>0</v>
      </c>
      <c r="U1603" s="1423">
        <f t="shared" ref="U1603" ca="1" si="2327">IF(AND(T1603&lt;1,U1577=0),0,
IF(U1577=0,T1603-1,
IF(T1603&lt;1,U1578,
(((T1603-1)*(T1579-(T1579/(T1603))))+(U1577*U1578))/(U1579))))</f>
        <v>0</v>
      </c>
      <c r="V1603" s="1423">
        <f t="shared" ref="V1603" ca="1" si="2328">IF(AND(U1603&lt;1,V1577=0),0,
IF(V1577=0,U1603-1,
IF(U1603&lt;1,V1578,
(((U1603-1)*(U1579-(U1579/(U1603))))+(V1577*V1578))/(V1579))))</f>
        <v>0</v>
      </c>
      <c r="W1603" s="1423">
        <f t="shared" ref="W1603" ca="1" si="2329">IF(AND(V1603&lt;1,W1577=0),0,
IF(W1577=0,V1603-1,
IF(V1603&lt;1,W1578,
(((V1603-1)*(V1579-(V1579/(V1603))))+(W1577*W1578))/(W1579))))</f>
        <v>0</v>
      </c>
      <c r="X1603" s="152"/>
      <c r="Y1603" s="152"/>
      <c r="Z1603" s="152"/>
      <c r="AA1603" s="152"/>
      <c r="AB1603" s="152"/>
    </row>
    <row r="1604" spans="1:28" hidden="1" outlineLevel="1">
      <c r="A1604" s="152"/>
      <c r="B1604" s="190" t="s">
        <v>193</v>
      </c>
      <c r="C1604" s="1423">
        <f ca="1">C1576</f>
        <v>0</v>
      </c>
      <c r="D1604" s="1423">
        <f t="shared" ref="D1604" ca="1" si="2330">IF(C1604="n/a","n/a",MAX(0,C1604-1))</f>
        <v>0</v>
      </c>
      <c r="E1604" s="1423">
        <f t="shared" ref="E1604:E1605" ca="1" si="2331">IF(D1604="n/a","n/a",MAX(0,D1604-1))</f>
        <v>0</v>
      </c>
      <c r="F1604" s="1423">
        <f t="shared" ref="F1604:F1606" ca="1" si="2332">IF(E1604="n/a","n/a",MAX(0,E1604-1))</f>
        <v>0</v>
      </c>
      <c r="G1604" s="1423">
        <f t="shared" ref="G1604:G1607" ca="1" si="2333">IF(F1604="n/a","n/a",MAX(0,F1604-1))</f>
        <v>0</v>
      </c>
      <c r="H1604" s="1423">
        <f t="shared" ref="H1604:H1608" ca="1" si="2334">IF(G1604="n/a","n/a",MAX(0,G1604-1))</f>
        <v>0</v>
      </c>
      <c r="I1604" s="1423">
        <f t="shared" ref="I1604:I1609" ca="1" si="2335">IF(H1604="n/a","n/a",MAX(0,H1604-1))</f>
        <v>0</v>
      </c>
      <c r="J1604" s="1423">
        <f t="shared" ref="J1604:J1610" ca="1" si="2336">IF(I1604="n/a","n/a",MAX(0,I1604-1))</f>
        <v>0</v>
      </c>
      <c r="K1604" s="1423">
        <f t="shared" ref="K1604:K1611" ca="1" si="2337">IF(J1604="n/a","n/a",MAX(0,J1604-1))</f>
        <v>0</v>
      </c>
      <c r="L1604" s="1423">
        <f t="shared" ref="L1604:L1612" ca="1" si="2338">IF(K1604="n/a","n/a",MAX(0,K1604-1))</f>
        <v>0</v>
      </c>
      <c r="M1604" s="1423">
        <f t="shared" ref="M1604:M1613" ca="1" si="2339">IF(L1604="n/a","n/a",MAX(0,L1604-1))</f>
        <v>0</v>
      </c>
      <c r="N1604" s="1423">
        <f t="shared" ref="N1604:N1614" ca="1" si="2340">IF(M1604="n/a","n/a",MAX(0,M1604-1))</f>
        <v>0</v>
      </c>
      <c r="O1604" s="1423">
        <f t="shared" ref="O1604:O1615" ca="1" si="2341">IF(N1604="n/a","n/a",MAX(0,N1604-1))</f>
        <v>0</v>
      </c>
      <c r="P1604" s="1423">
        <f t="shared" ref="P1604:P1616" ca="1" si="2342">IF(O1604="n/a","n/a",MAX(0,O1604-1))</f>
        <v>0</v>
      </c>
      <c r="Q1604" s="1423">
        <f t="shared" ref="Q1604:Q1617" ca="1" si="2343">IF(P1604="n/a","n/a",MAX(0,P1604-1))</f>
        <v>0</v>
      </c>
      <c r="R1604" s="1423">
        <f t="shared" ref="R1604:R1618" ca="1" si="2344">IF(Q1604="n/a","n/a",MAX(0,Q1604-1))</f>
        <v>0</v>
      </c>
      <c r="S1604" s="1423">
        <f t="shared" ref="S1604:S1619" ca="1" si="2345">IF(R1604="n/a","n/a",MAX(0,R1604-1))</f>
        <v>0</v>
      </c>
      <c r="T1604" s="1423">
        <f t="shared" ref="T1604:T1620" ca="1" si="2346">IF(S1604="n/a","n/a",MAX(0,S1604-1))</f>
        <v>0</v>
      </c>
      <c r="U1604" s="1423">
        <f t="shared" ref="U1604:U1621" ca="1" si="2347">IF(T1604="n/a","n/a",MAX(0,T1604-1))</f>
        <v>0</v>
      </c>
      <c r="V1604" s="1423">
        <f t="shared" ref="V1604:V1622" ca="1" si="2348">IF(U1604="n/a","n/a",MAX(0,U1604-1))</f>
        <v>0</v>
      </c>
      <c r="W1604" s="1423">
        <f t="shared" ref="W1604:W1622" ca="1" si="2349">IF(V1604="n/a","n/a",MAX(0,V1604-1))</f>
        <v>0</v>
      </c>
      <c r="X1604" s="152"/>
      <c r="Y1604" s="152"/>
      <c r="Z1604" s="152"/>
      <c r="AA1604" s="152"/>
      <c r="AB1604" s="152"/>
    </row>
    <row r="1605" spans="1:28" hidden="1" outlineLevel="1">
      <c r="A1605" s="152"/>
      <c r="B1605" s="190" t="str">
        <f t="shared" ref="B1605:B1624" ca="1" si="2350">"RL Capex "&amp;OFFSET($C$6,0,A1581)</f>
        <v>RL Capex 2016-17</v>
      </c>
      <c r="C1605" s="1424"/>
      <c r="D1605" s="1428">
        <f>D1576</f>
        <v>0</v>
      </c>
      <c r="E1605" s="1423">
        <f t="shared" si="2331"/>
        <v>0</v>
      </c>
      <c r="F1605" s="1423">
        <f t="shared" si="2332"/>
        <v>0</v>
      </c>
      <c r="G1605" s="1423">
        <f t="shared" si="2333"/>
        <v>0</v>
      </c>
      <c r="H1605" s="1423">
        <f t="shared" si="2334"/>
        <v>0</v>
      </c>
      <c r="I1605" s="1423">
        <f t="shared" si="2335"/>
        <v>0</v>
      </c>
      <c r="J1605" s="1423">
        <f t="shared" si="2336"/>
        <v>0</v>
      </c>
      <c r="K1605" s="1423">
        <f t="shared" si="2337"/>
        <v>0</v>
      </c>
      <c r="L1605" s="1423">
        <f t="shared" si="2338"/>
        <v>0</v>
      </c>
      <c r="M1605" s="1423">
        <f t="shared" si="2339"/>
        <v>0</v>
      </c>
      <c r="N1605" s="1423">
        <f t="shared" si="2340"/>
        <v>0</v>
      </c>
      <c r="O1605" s="1423">
        <f t="shared" si="2341"/>
        <v>0</v>
      </c>
      <c r="P1605" s="1423">
        <f t="shared" si="2342"/>
        <v>0</v>
      </c>
      <c r="Q1605" s="1423">
        <f t="shared" si="2343"/>
        <v>0</v>
      </c>
      <c r="R1605" s="1423">
        <f t="shared" si="2344"/>
        <v>0</v>
      </c>
      <c r="S1605" s="1423">
        <f t="shared" si="2345"/>
        <v>0</v>
      </c>
      <c r="T1605" s="1423">
        <f t="shared" si="2346"/>
        <v>0</v>
      </c>
      <c r="U1605" s="1423">
        <f t="shared" si="2347"/>
        <v>0</v>
      </c>
      <c r="V1605" s="1423">
        <f t="shared" si="2348"/>
        <v>0</v>
      </c>
      <c r="W1605" s="1423">
        <f t="shared" si="2349"/>
        <v>0</v>
      </c>
      <c r="X1605" s="152"/>
      <c r="Y1605" s="152"/>
      <c r="Z1605" s="152"/>
      <c r="AA1605" s="152"/>
      <c r="AB1605" s="152"/>
    </row>
    <row r="1606" spans="1:28" hidden="1" outlineLevel="1">
      <c r="A1606" s="152"/>
      <c r="B1606" s="190" t="str">
        <f t="shared" ca="1" si="2350"/>
        <v>RL Capex 2017-18</v>
      </c>
      <c r="C1606" s="1429"/>
      <c r="D1606" s="1424"/>
      <c r="E1606" s="1428">
        <f>E1576</f>
        <v>0</v>
      </c>
      <c r="F1606" s="1423">
        <f t="shared" si="2332"/>
        <v>0</v>
      </c>
      <c r="G1606" s="1423">
        <f t="shared" si="2333"/>
        <v>0</v>
      </c>
      <c r="H1606" s="1423">
        <f t="shared" si="2334"/>
        <v>0</v>
      </c>
      <c r="I1606" s="1423">
        <f t="shared" si="2335"/>
        <v>0</v>
      </c>
      <c r="J1606" s="1423">
        <f t="shared" si="2336"/>
        <v>0</v>
      </c>
      <c r="K1606" s="1423">
        <f t="shared" si="2337"/>
        <v>0</v>
      </c>
      <c r="L1606" s="1423">
        <f t="shared" si="2338"/>
        <v>0</v>
      </c>
      <c r="M1606" s="1423">
        <f t="shared" si="2339"/>
        <v>0</v>
      </c>
      <c r="N1606" s="1423">
        <f t="shared" si="2340"/>
        <v>0</v>
      </c>
      <c r="O1606" s="1423">
        <f t="shared" si="2341"/>
        <v>0</v>
      </c>
      <c r="P1606" s="1423">
        <f t="shared" si="2342"/>
        <v>0</v>
      </c>
      <c r="Q1606" s="1423">
        <f t="shared" si="2343"/>
        <v>0</v>
      </c>
      <c r="R1606" s="1423">
        <f t="shared" si="2344"/>
        <v>0</v>
      </c>
      <c r="S1606" s="1423">
        <f t="shared" si="2345"/>
        <v>0</v>
      </c>
      <c r="T1606" s="1423">
        <f t="shared" si="2346"/>
        <v>0</v>
      </c>
      <c r="U1606" s="1423">
        <f t="shared" si="2347"/>
        <v>0</v>
      </c>
      <c r="V1606" s="1423">
        <f t="shared" si="2348"/>
        <v>0</v>
      </c>
      <c r="W1606" s="1423">
        <f t="shared" si="2349"/>
        <v>0</v>
      </c>
      <c r="X1606" s="152"/>
      <c r="Y1606" s="152"/>
      <c r="Z1606" s="152"/>
      <c r="AA1606" s="152"/>
      <c r="AB1606" s="152"/>
    </row>
    <row r="1607" spans="1:28" hidden="1" outlineLevel="1">
      <c r="A1607" s="152"/>
      <c r="B1607" s="190" t="str">
        <f t="shared" ca="1" si="2350"/>
        <v>RL Capex 2018-19</v>
      </c>
      <c r="C1607" s="1429"/>
      <c r="D1607" s="1429"/>
      <c r="E1607" s="1424"/>
      <c r="F1607" s="1428">
        <f>F1576</f>
        <v>0</v>
      </c>
      <c r="G1607" s="1423">
        <f t="shared" si="2333"/>
        <v>0</v>
      </c>
      <c r="H1607" s="1423">
        <f t="shared" si="2334"/>
        <v>0</v>
      </c>
      <c r="I1607" s="1423">
        <f t="shared" si="2335"/>
        <v>0</v>
      </c>
      <c r="J1607" s="1423">
        <f t="shared" si="2336"/>
        <v>0</v>
      </c>
      <c r="K1607" s="1423">
        <f t="shared" si="2337"/>
        <v>0</v>
      </c>
      <c r="L1607" s="1423">
        <f t="shared" si="2338"/>
        <v>0</v>
      </c>
      <c r="M1607" s="1423">
        <f t="shared" si="2339"/>
        <v>0</v>
      </c>
      <c r="N1607" s="1423">
        <f t="shared" si="2340"/>
        <v>0</v>
      </c>
      <c r="O1607" s="1423">
        <f t="shared" si="2341"/>
        <v>0</v>
      </c>
      <c r="P1607" s="1423">
        <f t="shared" si="2342"/>
        <v>0</v>
      </c>
      <c r="Q1607" s="1423">
        <f t="shared" si="2343"/>
        <v>0</v>
      </c>
      <c r="R1607" s="1423">
        <f t="shared" si="2344"/>
        <v>0</v>
      </c>
      <c r="S1607" s="1423">
        <f t="shared" si="2345"/>
        <v>0</v>
      </c>
      <c r="T1607" s="1423">
        <f t="shared" si="2346"/>
        <v>0</v>
      </c>
      <c r="U1607" s="1423">
        <f t="shared" si="2347"/>
        <v>0</v>
      </c>
      <c r="V1607" s="1423">
        <f t="shared" si="2348"/>
        <v>0</v>
      </c>
      <c r="W1607" s="1423">
        <f t="shared" si="2349"/>
        <v>0</v>
      </c>
      <c r="X1607" s="152"/>
      <c r="Y1607" s="152"/>
      <c r="Z1607" s="152"/>
      <c r="AA1607" s="152"/>
      <c r="AB1607" s="152"/>
    </row>
    <row r="1608" spans="1:28" hidden="1" outlineLevel="1">
      <c r="A1608" s="152"/>
      <c r="B1608" s="190" t="str">
        <f t="shared" ca="1" si="2350"/>
        <v>RL Capex 2019-20</v>
      </c>
      <c r="C1608" s="1429"/>
      <c r="D1608" s="1429"/>
      <c r="E1608" s="1429"/>
      <c r="F1608" s="1424"/>
      <c r="G1608" s="1428">
        <f>G1576</f>
        <v>0</v>
      </c>
      <c r="H1608" s="1423">
        <f t="shared" si="2334"/>
        <v>0</v>
      </c>
      <c r="I1608" s="1423">
        <f t="shared" si="2335"/>
        <v>0</v>
      </c>
      <c r="J1608" s="1423">
        <f t="shared" si="2336"/>
        <v>0</v>
      </c>
      <c r="K1608" s="1423">
        <f t="shared" si="2337"/>
        <v>0</v>
      </c>
      <c r="L1608" s="1423">
        <f t="shared" si="2338"/>
        <v>0</v>
      </c>
      <c r="M1608" s="1423">
        <f t="shared" si="2339"/>
        <v>0</v>
      </c>
      <c r="N1608" s="1423">
        <f t="shared" si="2340"/>
        <v>0</v>
      </c>
      <c r="O1608" s="1423">
        <f t="shared" si="2341"/>
        <v>0</v>
      </c>
      <c r="P1608" s="1423">
        <f t="shared" si="2342"/>
        <v>0</v>
      </c>
      <c r="Q1608" s="1423">
        <f t="shared" si="2343"/>
        <v>0</v>
      </c>
      <c r="R1608" s="1423">
        <f t="shared" si="2344"/>
        <v>0</v>
      </c>
      <c r="S1608" s="1423">
        <f t="shared" si="2345"/>
        <v>0</v>
      </c>
      <c r="T1608" s="1423">
        <f t="shared" si="2346"/>
        <v>0</v>
      </c>
      <c r="U1608" s="1423">
        <f t="shared" si="2347"/>
        <v>0</v>
      </c>
      <c r="V1608" s="1423">
        <f t="shared" si="2348"/>
        <v>0</v>
      </c>
      <c r="W1608" s="1423">
        <f t="shared" si="2349"/>
        <v>0</v>
      </c>
      <c r="X1608" s="152"/>
      <c r="Y1608" s="152"/>
      <c r="Z1608" s="152"/>
      <c r="AA1608" s="152"/>
      <c r="AB1608" s="152"/>
    </row>
    <row r="1609" spans="1:28" hidden="1" outlineLevel="1">
      <c r="A1609" s="152"/>
      <c r="B1609" s="190" t="str">
        <f t="shared" ca="1" si="2350"/>
        <v>RL Capex 2020-21</v>
      </c>
      <c r="C1609" s="1429"/>
      <c r="D1609" s="1429"/>
      <c r="E1609" s="1429"/>
      <c r="F1609" s="1429"/>
      <c r="G1609" s="1424"/>
      <c r="H1609" s="1428">
        <f>H1576</f>
        <v>0</v>
      </c>
      <c r="I1609" s="1423">
        <f t="shared" si="2335"/>
        <v>0</v>
      </c>
      <c r="J1609" s="1423">
        <f t="shared" si="2336"/>
        <v>0</v>
      </c>
      <c r="K1609" s="1423">
        <f t="shared" si="2337"/>
        <v>0</v>
      </c>
      <c r="L1609" s="1423">
        <f t="shared" si="2338"/>
        <v>0</v>
      </c>
      <c r="M1609" s="1423">
        <f t="shared" si="2339"/>
        <v>0</v>
      </c>
      <c r="N1609" s="1423">
        <f t="shared" si="2340"/>
        <v>0</v>
      </c>
      <c r="O1609" s="1423">
        <f t="shared" si="2341"/>
        <v>0</v>
      </c>
      <c r="P1609" s="1423">
        <f t="shared" si="2342"/>
        <v>0</v>
      </c>
      <c r="Q1609" s="1423">
        <f t="shared" si="2343"/>
        <v>0</v>
      </c>
      <c r="R1609" s="1423">
        <f t="shared" si="2344"/>
        <v>0</v>
      </c>
      <c r="S1609" s="1423">
        <f t="shared" si="2345"/>
        <v>0</v>
      </c>
      <c r="T1609" s="1423">
        <f t="shared" si="2346"/>
        <v>0</v>
      </c>
      <c r="U1609" s="1423">
        <f t="shared" si="2347"/>
        <v>0</v>
      </c>
      <c r="V1609" s="1423">
        <f t="shared" si="2348"/>
        <v>0</v>
      </c>
      <c r="W1609" s="1423">
        <f t="shared" si="2349"/>
        <v>0</v>
      </c>
      <c r="X1609" s="152"/>
      <c r="Y1609" s="152"/>
      <c r="Z1609" s="152"/>
      <c r="AA1609" s="152"/>
      <c r="AB1609" s="152"/>
    </row>
    <row r="1610" spans="1:28" hidden="1" outlineLevel="1">
      <c r="A1610" s="152"/>
      <c r="B1610" s="190" t="str">
        <f t="shared" ca="1" si="2350"/>
        <v>RL Capex 2021-22</v>
      </c>
      <c r="C1610" s="1429"/>
      <c r="D1610" s="1429"/>
      <c r="E1610" s="1429"/>
      <c r="F1610" s="1429"/>
      <c r="G1610" s="1429"/>
      <c r="H1610" s="1424"/>
      <c r="I1610" s="1428">
        <f>I1576</f>
        <v>0</v>
      </c>
      <c r="J1610" s="1423">
        <f t="shared" si="2336"/>
        <v>0</v>
      </c>
      <c r="K1610" s="1423">
        <f t="shared" si="2337"/>
        <v>0</v>
      </c>
      <c r="L1610" s="1423">
        <f t="shared" si="2338"/>
        <v>0</v>
      </c>
      <c r="M1610" s="1423">
        <f t="shared" si="2339"/>
        <v>0</v>
      </c>
      <c r="N1610" s="1423">
        <f t="shared" si="2340"/>
        <v>0</v>
      </c>
      <c r="O1610" s="1423">
        <f t="shared" si="2341"/>
        <v>0</v>
      </c>
      <c r="P1610" s="1423">
        <f t="shared" si="2342"/>
        <v>0</v>
      </c>
      <c r="Q1610" s="1423">
        <f t="shared" si="2343"/>
        <v>0</v>
      </c>
      <c r="R1610" s="1423">
        <f t="shared" si="2344"/>
        <v>0</v>
      </c>
      <c r="S1610" s="1423">
        <f t="shared" si="2345"/>
        <v>0</v>
      </c>
      <c r="T1610" s="1423">
        <f t="shared" si="2346"/>
        <v>0</v>
      </c>
      <c r="U1610" s="1423">
        <f t="shared" si="2347"/>
        <v>0</v>
      </c>
      <c r="V1610" s="1423">
        <f t="shared" si="2348"/>
        <v>0</v>
      </c>
      <c r="W1610" s="1423">
        <f t="shared" si="2349"/>
        <v>0</v>
      </c>
      <c r="X1610" s="152"/>
      <c r="Y1610" s="152"/>
      <c r="Z1610" s="152"/>
      <c r="AA1610" s="152"/>
      <c r="AB1610" s="152"/>
    </row>
    <row r="1611" spans="1:28" hidden="1" outlineLevel="1">
      <c r="A1611" s="152"/>
      <c r="B1611" s="190" t="str">
        <f t="shared" ca="1" si="2350"/>
        <v>RL Capex 2022-23</v>
      </c>
      <c r="C1611" s="1429"/>
      <c r="D1611" s="1429"/>
      <c r="E1611" s="1429"/>
      <c r="F1611" s="1429"/>
      <c r="G1611" s="1429"/>
      <c r="H1611" s="1429"/>
      <c r="I1611" s="1424"/>
      <c r="J1611" s="1428">
        <f>J1576</f>
        <v>0</v>
      </c>
      <c r="K1611" s="1423">
        <f t="shared" si="2337"/>
        <v>0</v>
      </c>
      <c r="L1611" s="1423">
        <f t="shared" si="2338"/>
        <v>0</v>
      </c>
      <c r="M1611" s="1423">
        <f t="shared" si="2339"/>
        <v>0</v>
      </c>
      <c r="N1611" s="1423">
        <f t="shared" si="2340"/>
        <v>0</v>
      </c>
      <c r="O1611" s="1423">
        <f t="shared" si="2341"/>
        <v>0</v>
      </c>
      <c r="P1611" s="1423">
        <f t="shared" si="2342"/>
        <v>0</v>
      </c>
      <c r="Q1611" s="1423">
        <f t="shared" si="2343"/>
        <v>0</v>
      </c>
      <c r="R1611" s="1423">
        <f t="shared" si="2344"/>
        <v>0</v>
      </c>
      <c r="S1611" s="1423">
        <f t="shared" si="2345"/>
        <v>0</v>
      </c>
      <c r="T1611" s="1423">
        <f t="shared" si="2346"/>
        <v>0</v>
      </c>
      <c r="U1611" s="1423">
        <f t="shared" si="2347"/>
        <v>0</v>
      </c>
      <c r="V1611" s="1423">
        <f t="shared" si="2348"/>
        <v>0</v>
      </c>
      <c r="W1611" s="1423">
        <f t="shared" si="2349"/>
        <v>0</v>
      </c>
      <c r="X1611" s="152"/>
      <c r="Y1611" s="152"/>
      <c r="Z1611" s="152"/>
      <c r="AA1611" s="152"/>
      <c r="AB1611" s="152"/>
    </row>
    <row r="1612" spans="1:28" hidden="1" outlineLevel="1">
      <c r="A1612" s="152"/>
      <c r="B1612" s="190" t="str">
        <f t="shared" ca="1" si="2350"/>
        <v>RL Capex 2023-24</v>
      </c>
      <c r="C1612" s="1429"/>
      <c r="D1612" s="1429"/>
      <c r="E1612" s="1429"/>
      <c r="F1612" s="1429"/>
      <c r="G1612" s="1429"/>
      <c r="H1612" s="1429"/>
      <c r="I1612" s="1429"/>
      <c r="J1612" s="1424"/>
      <c r="K1612" s="1428">
        <f>K1576</f>
        <v>0</v>
      </c>
      <c r="L1612" s="1423">
        <f t="shared" si="2338"/>
        <v>0</v>
      </c>
      <c r="M1612" s="1423">
        <f t="shared" si="2339"/>
        <v>0</v>
      </c>
      <c r="N1612" s="1423">
        <f t="shared" si="2340"/>
        <v>0</v>
      </c>
      <c r="O1612" s="1423">
        <f t="shared" si="2341"/>
        <v>0</v>
      </c>
      <c r="P1612" s="1423">
        <f t="shared" si="2342"/>
        <v>0</v>
      </c>
      <c r="Q1612" s="1423">
        <f t="shared" si="2343"/>
        <v>0</v>
      </c>
      <c r="R1612" s="1423">
        <f t="shared" si="2344"/>
        <v>0</v>
      </c>
      <c r="S1612" s="1423">
        <f t="shared" si="2345"/>
        <v>0</v>
      </c>
      <c r="T1612" s="1423">
        <f t="shared" si="2346"/>
        <v>0</v>
      </c>
      <c r="U1612" s="1423">
        <f t="shared" si="2347"/>
        <v>0</v>
      </c>
      <c r="V1612" s="1423">
        <f t="shared" si="2348"/>
        <v>0</v>
      </c>
      <c r="W1612" s="1423">
        <f t="shared" si="2349"/>
        <v>0</v>
      </c>
      <c r="X1612" s="152"/>
      <c r="Y1612" s="152"/>
      <c r="Z1612" s="152"/>
      <c r="AA1612" s="152"/>
      <c r="AB1612" s="152"/>
    </row>
    <row r="1613" spans="1:28" hidden="1" outlineLevel="1">
      <c r="A1613" s="152"/>
      <c r="B1613" s="190" t="str">
        <f t="shared" ca="1" si="2350"/>
        <v>RL Capex 2024-25</v>
      </c>
      <c r="C1613" s="1429"/>
      <c r="D1613" s="1429"/>
      <c r="E1613" s="1429"/>
      <c r="F1613" s="1429"/>
      <c r="G1613" s="1429"/>
      <c r="H1613" s="1429"/>
      <c r="I1613" s="1429"/>
      <c r="J1613" s="1429"/>
      <c r="K1613" s="1424"/>
      <c r="L1613" s="1428">
        <f>L1576</f>
        <v>0</v>
      </c>
      <c r="M1613" s="1423">
        <f t="shared" si="2339"/>
        <v>0</v>
      </c>
      <c r="N1613" s="1423">
        <f t="shared" si="2340"/>
        <v>0</v>
      </c>
      <c r="O1613" s="1423">
        <f t="shared" si="2341"/>
        <v>0</v>
      </c>
      <c r="P1613" s="1423">
        <f t="shared" si="2342"/>
        <v>0</v>
      </c>
      <c r="Q1613" s="1423">
        <f t="shared" si="2343"/>
        <v>0</v>
      </c>
      <c r="R1613" s="1423">
        <f t="shared" si="2344"/>
        <v>0</v>
      </c>
      <c r="S1613" s="1423">
        <f t="shared" si="2345"/>
        <v>0</v>
      </c>
      <c r="T1613" s="1423">
        <f t="shared" si="2346"/>
        <v>0</v>
      </c>
      <c r="U1613" s="1423">
        <f t="shared" si="2347"/>
        <v>0</v>
      </c>
      <c r="V1613" s="1423">
        <f t="shared" si="2348"/>
        <v>0</v>
      </c>
      <c r="W1613" s="1423">
        <f t="shared" si="2349"/>
        <v>0</v>
      </c>
      <c r="X1613" s="152"/>
      <c r="Y1613" s="152"/>
      <c r="Z1613" s="152"/>
      <c r="AA1613" s="152"/>
      <c r="AB1613" s="152"/>
    </row>
    <row r="1614" spans="1:28" hidden="1" outlineLevel="1">
      <c r="A1614" s="152"/>
      <c r="B1614" s="190" t="str">
        <f t="shared" ca="1" si="2350"/>
        <v>RL Capex 2025-26</v>
      </c>
      <c r="C1614" s="1429"/>
      <c r="D1614" s="1429"/>
      <c r="E1614" s="1429"/>
      <c r="F1614" s="1429"/>
      <c r="G1614" s="1429"/>
      <c r="H1614" s="1429"/>
      <c r="I1614" s="1429"/>
      <c r="J1614" s="1429"/>
      <c r="K1614" s="1429"/>
      <c r="L1614" s="1424"/>
      <c r="M1614" s="1428">
        <f>M1576</f>
        <v>0</v>
      </c>
      <c r="N1614" s="1423">
        <f t="shared" si="2340"/>
        <v>0</v>
      </c>
      <c r="O1614" s="1423">
        <f t="shared" si="2341"/>
        <v>0</v>
      </c>
      <c r="P1614" s="1423">
        <f t="shared" si="2342"/>
        <v>0</v>
      </c>
      <c r="Q1614" s="1423">
        <f t="shared" si="2343"/>
        <v>0</v>
      </c>
      <c r="R1614" s="1423">
        <f t="shared" si="2344"/>
        <v>0</v>
      </c>
      <c r="S1614" s="1423">
        <f t="shared" si="2345"/>
        <v>0</v>
      </c>
      <c r="T1614" s="1423">
        <f t="shared" si="2346"/>
        <v>0</v>
      </c>
      <c r="U1614" s="1423">
        <f t="shared" si="2347"/>
        <v>0</v>
      </c>
      <c r="V1614" s="1423">
        <f t="shared" si="2348"/>
        <v>0</v>
      </c>
      <c r="W1614" s="1423">
        <f t="shared" si="2349"/>
        <v>0</v>
      </c>
      <c r="X1614" s="152"/>
      <c r="Y1614" s="152"/>
      <c r="Z1614" s="152"/>
      <c r="AA1614" s="152"/>
      <c r="AB1614" s="152"/>
    </row>
    <row r="1615" spans="1:28" hidden="1" outlineLevel="1">
      <c r="A1615" s="152"/>
      <c r="B1615" s="190" t="str">
        <f t="shared" ca="1" si="2350"/>
        <v>RL Capex 2026-27</v>
      </c>
      <c r="C1615" s="1429"/>
      <c r="D1615" s="1429"/>
      <c r="E1615" s="1429"/>
      <c r="F1615" s="1429"/>
      <c r="G1615" s="1429"/>
      <c r="H1615" s="1429"/>
      <c r="I1615" s="1429"/>
      <c r="J1615" s="1429"/>
      <c r="K1615" s="1429"/>
      <c r="L1615" s="1429"/>
      <c r="M1615" s="1424"/>
      <c r="N1615" s="1428">
        <f>N1576</f>
        <v>0</v>
      </c>
      <c r="O1615" s="1423">
        <f t="shared" si="2341"/>
        <v>0</v>
      </c>
      <c r="P1615" s="1423">
        <f t="shared" si="2342"/>
        <v>0</v>
      </c>
      <c r="Q1615" s="1423">
        <f t="shared" si="2343"/>
        <v>0</v>
      </c>
      <c r="R1615" s="1423">
        <f t="shared" si="2344"/>
        <v>0</v>
      </c>
      <c r="S1615" s="1423">
        <f t="shared" si="2345"/>
        <v>0</v>
      </c>
      <c r="T1615" s="1423">
        <f t="shared" si="2346"/>
        <v>0</v>
      </c>
      <c r="U1615" s="1423">
        <f t="shared" si="2347"/>
        <v>0</v>
      </c>
      <c r="V1615" s="1423">
        <f t="shared" si="2348"/>
        <v>0</v>
      </c>
      <c r="W1615" s="1423">
        <f t="shared" si="2349"/>
        <v>0</v>
      </c>
      <c r="X1615" s="152"/>
      <c r="Y1615" s="152"/>
      <c r="Z1615" s="152"/>
      <c r="AA1615" s="152"/>
      <c r="AB1615" s="152"/>
    </row>
    <row r="1616" spans="1:28" hidden="1" outlineLevel="1">
      <c r="A1616" s="152"/>
      <c r="B1616" s="190" t="str">
        <f t="shared" ca="1" si="2350"/>
        <v>RL Capex 2027-28</v>
      </c>
      <c r="C1616" s="1429"/>
      <c r="D1616" s="1429"/>
      <c r="E1616" s="1429"/>
      <c r="F1616" s="1429"/>
      <c r="G1616" s="1429"/>
      <c r="H1616" s="1429"/>
      <c r="I1616" s="1429"/>
      <c r="J1616" s="1429"/>
      <c r="K1616" s="1429"/>
      <c r="L1616" s="1429"/>
      <c r="M1616" s="1429"/>
      <c r="N1616" s="1424"/>
      <c r="O1616" s="1428">
        <f>O1576</f>
        <v>0</v>
      </c>
      <c r="P1616" s="1423">
        <f t="shared" si="2342"/>
        <v>0</v>
      </c>
      <c r="Q1616" s="1423">
        <f t="shared" si="2343"/>
        <v>0</v>
      </c>
      <c r="R1616" s="1423">
        <f t="shared" si="2344"/>
        <v>0</v>
      </c>
      <c r="S1616" s="1423">
        <f t="shared" si="2345"/>
        <v>0</v>
      </c>
      <c r="T1616" s="1423">
        <f t="shared" si="2346"/>
        <v>0</v>
      </c>
      <c r="U1616" s="1423">
        <f t="shared" si="2347"/>
        <v>0</v>
      </c>
      <c r="V1616" s="1423">
        <f t="shared" si="2348"/>
        <v>0</v>
      </c>
      <c r="W1616" s="1423">
        <f t="shared" si="2349"/>
        <v>0</v>
      </c>
      <c r="X1616" s="152"/>
      <c r="Y1616" s="152"/>
      <c r="Z1616" s="152"/>
      <c r="AA1616" s="152"/>
      <c r="AB1616" s="152"/>
    </row>
    <row r="1617" spans="1:28" hidden="1" outlineLevel="1">
      <c r="A1617" s="152"/>
      <c r="B1617" s="190" t="str">
        <f t="shared" ca="1" si="2350"/>
        <v>RL Capex 2028-29</v>
      </c>
      <c r="C1617" s="1429"/>
      <c r="D1617" s="1429"/>
      <c r="E1617" s="1429"/>
      <c r="F1617" s="1429"/>
      <c r="G1617" s="1429"/>
      <c r="H1617" s="1429"/>
      <c r="I1617" s="1429"/>
      <c r="J1617" s="1429"/>
      <c r="K1617" s="1429"/>
      <c r="L1617" s="1429"/>
      <c r="M1617" s="1429"/>
      <c r="N1617" s="1429"/>
      <c r="O1617" s="1424"/>
      <c r="P1617" s="1428">
        <f>P1576</f>
        <v>0</v>
      </c>
      <c r="Q1617" s="1423">
        <f t="shared" si="2343"/>
        <v>0</v>
      </c>
      <c r="R1617" s="1423">
        <f t="shared" si="2344"/>
        <v>0</v>
      </c>
      <c r="S1617" s="1423">
        <f t="shared" si="2345"/>
        <v>0</v>
      </c>
      <c r="T1617" s="1423">
        <f t="shared" si="2346"/>
        <v>0</v>
      </c>
      <c r="U1617" s="1423">
        <f t="shared" si="2347"/>
        <v>0</v>
      </c>
      <c r="V1617" s="1423">
        <f t="shared" si="2348"/>
        <v>0</v>
      </c>
      <c r="W1617" s="1423">
        <f t="shared" si="2349"/>
        <v>0</v>
      </c>
      <c r="X1617" s="152"/>
      <c r="Y1617" s="152"/>
      <c r="Z1617" s="152"/>
      <c r="AA1617" s="152"/>
      <c r="AB1617" s="152"/>
    </row>
    <row r="1618" spans="1:28" hidden="1" outlineLevel="1">
      <c r="A1618" s="152"/>
      <c r="B1618" s="190" t="str">
        <f t="shared" ca="1" si="2350"/>
        <v>RL Capex 2029-30</v>
      </c>
      <c r="C1618" s="1429"/>
      <c r="D1618" s="1429"/>
      <c r="E1618" s="1429"/>
      <c r="F1618" s="1429"/>
      <c r="G1618" s="1429"/>
      <c r="H1618" s="1429"/>
      <c r="I1618" s="1429"/>
      <c r="J1618" s="1429"/>
      <c r="K1618" s="1429"/>
      <c r="L1618" s="1429"/>
      <c r="M1618" s="1429"/>
      <c r="N1618" s="1429"/>
      <c r="O1618" s="1429"/>
      <c r="P1618" s="1424"/>
      <c r="Q1618" s="1428">
        <f>Q1576</f>
        <v>0</v>
      </c>
      <c r="R1618" s="1423">
        <f t="shared" si="2344"/>
        <v>0</v>
      </c>
      <c r="S1618" s="1423">
        <f t="shared" si="2345"/>
        <v>0</v>
      </c>
      <c r="T1618" s="1423">
        <f t="shared" si="2346"/>
        <v>0</v>
      </c>
      <c r="U1618" s="1423">
        <f t="shared" si="2347"/>
        <v>0</v>
      </c>
      <c r="V1618" s="1423">
        <f t="shared" si="2348"/>
        <v>0</v>
      </c>
      <c r="W1618" s="1423">
        <f t="shared" si="2349"/>
        <v>0</v>
      </c>
      <c r="X1618" s="152"/>
      <c r="Y1618" s="152"/>
      <c r="Z1618" s="152"/>
      <c r="AA1618" s="152"/>
      <c r="AB1618" s="152"/>
    </row>
    <row r="1619" spans="1:28" hidden="1" outlineLevel="1">
      <c r="A1619" s="152"/>
      <c r="B1619" s="190" t="str">
        <f t="shared" ca="1" si="2350"/>
        <v>RL Capex 2030-31</v>
      </c>
      <c r="C1619" s="1429"/>
      <c r="D1619" s="1429"/>
      <c r="E1619" s="1429"/>
      <c r="F1619" s="1429"/>
      <c r="G1619" s="1429"/>
      <c r="H1619" s="1429"/>
      <c r="I1619" s="1429"/>
      <c r="J1619" s="1429"/>
      <c r="K1619" s="1429"/>
      <c r="L1619" s="1429"/>
      <c r="M1619" s="1429"/>
      <c r="N1619" s="1429"/>
      <c r="O1619" s="1429"/>
      <c r="P1619" s="1429"/>
      <c r="Q1619" s="1424"/>
      <c r="R1619" s="1428">
        <f>R1576</f>
        <v>0</v>
      </c>
      <c r="S1619" s="1423">
        <f t="shared" si="2345"/>
        <v>0</v>
      </c>
      <c r="T1619" s="1423">
        <f t="shared" si="2346"/>
        <v>0</v>
      </c>
      <c r="U1619" s="1423">
        <f t="shared" si="2347"/>
        <v>0</v>
      </c>
      <c r="V1619" s="1423">
        <f t="shared" si="2348"/>
        <v>0</v>
      </c>
      <c r="W1619" s="1423">
        <f t="shared" si="2349"/>
        <v>0</v>
      </c>
      <c r="X1619" s="152"/>
      <c r="Y1619" s="152"/>
      <c r="Z1619" s="152"/>
      <c r="AA1619" s="152"/>
      <c r="AB1619" s="152"/>
    </row>
    <row r="1620" spans="1:28" hidden="1" outlineLevel="1">
      <c r="A1620" s="152"/>
      <c r="B1620" s="190" t="str">
        <f t="shared" ca="1" si="2350"/>
        <v>RL Capex 2031-32</v>
      </c>
      <c r="C1620" s="1429"/>
      <c r="D1620" s="1429"/>
      <c r="E1620" s="1429"/>
      <c r="F1620" s="1429"/>
      <c r="G1620" s="1429"/>
      <c r="H1620" s="1429"/>
      <c r="I1620" s="1429"/>
      <c r="J1620" s="1429"/>
      <c r="K1620" s="1429"/>
      <c r="L1620" s="1429"/>
      <c r="M1620" s="1429"/>
      <c r="N1620" s="1429"/>
      <c r="O1620" s="1429"/>
      <c r="P1620" s="1429"/>
      <c r="Q1620" s="1429"/>
      <c r="R1620" s="1424"/>
      <c r="S1620" s="1428">
        <f>S1576</f>
        <v>0</v>
      </c>
      <c r="T1620" s="1423">
        <f t="shared" si="2346"/>
        <v>0</v>
      </c>
      <c r="U1620" s="1423">
        <f t="shared" si="2347"/>
        <v>0</v>
      </c>
      <c r="V1620" s="1423">
        <f t="shared" si="2348"/>
        <v>0</v>
      </c>
      <c r="W1620" s="1423">
        <f t="shared" si="2349"/>
        <v>0</v>
      </c>
      <c r="X1620" s="152"/>
      <c r="Y1620" s="152"/>
      <c r="Z1620" s="152"/>
      <c r="AA1620" s="152"/>
      <c r="AB1620" s="152"/>
    </row>
    <row r="1621" spans="1:28" hidden="1" outlineLevel="1">
      <c r="A1621" s="152"/>
      <c r="B1621" s="190" t="str">
        <f t="shared" ca="1" si="2350"/>
        <v>RL Capex 2032-33</v>
      </c>
      <c r="C1621" s="1429"/>
      <c r="D1621" s="1429"/>
      <c r="E1621" s="1429"/>
      <c r="F1621" s="1429"/>
      <c r="G1621" s="1429"/>
      <c r="H1621" s="1429"/>
      <c r="I1621" s="1429"/>
      <c r="J1621" s="1429"/>
      <c r="K1621" s="1429"/>
      <c r="L1621" s="1429"/>
      <c r="M1621" s="1429"/>
      <c r="N1621" s="1429"/>
      <c r="O1621" s="1429"/>
      <c r="P1621" s="1429"/>
      <c r="Q1621" s="1429"/>
      <c r="R1621" s="1429"/>
      <c r="S1621" s="1424"/>
      <c r="T1621" s="1428">
        <f>T1576</f>
        <v>0</v>
      </c>
      <c r="U1621" s="1423">
        <f t="shared" si="2347"/>
        <v>0</v>
      </c>
      <c r="V1621" s="1423">
        <f t="shared" si="2348"/>
        <v>0</v>
      </c>
      <c r="W1621" s="1423">
        <f t="shared" si="2349"/>
        <v>0</v>
      </c>
      <c r="X1621" s="152"/>
      <c r="Y1621" s="152"/>
      <c r="Z1621" s="152"/>
      <c r="AA1621" s="152"/>
      <c r="AB1621" s="152"/>
    </row>
    <row r="1622" spans="1:28" hidden="1" outlineLevel="1">
      <c r="A1622" s="152"/>
      <c r="B1622" s="190" t="str">
        <f t="shared" ca="1" si="2350"/>
        <v>RL Capex 2033-34</v>
      </c>
      <c r="C1622" s="1429"/>
      <c r="D1622" s="1429"/>
      <c r="E1622" s="1429"/>
      <c r="F1622" s="1429"/>
      <c r="G1622" s="1429"/>
      <c r="H1622" s="1429"/>
      <c r="I1622" s="1429"/>
      <c r="J1622" s="1429"/>
      <c r="K1622" s="1429"/>
      <c r="L1622" s="1429"/>
      <c r="M1622" s="1429"/>
      <c r="N1622" s="1429"/>
      <c r="O1622" s="1429"/>
      <c r="P1622" s="1429"/>
      <c r="Q1622" s="1429"/>
      <c r="R1622" s="1429"/>
      <c r="S1622" s="1429"/>
      <c r="T1622" s="1424"/>
      <c r="U1622" s="1428">
        <f>U1576</f>
        <v>0</v>
      </c>
      <c r="V1622" s="1423">
        <f t="shared" si="2348"/>
        <v>0</v>
      </c>
      <c r="W1622" s="1423">
        <f t="shared" si="2349"/>
        <v>0</v>
      </c>
      <c r="X1622" s="152"/>
      <c r="Y1622" s="152"/>
      <c r="Z1622" s="152"/>
      <c r="AA1622" s="152"/>
      <c r="AB1622" s="152"/>
    </row>
    <row r="1623" spans="1:28" hidden="1" outlineLevel="1">
      <c r="A1623" s="152"/>
      <c r="B1623" s="190" t="str">
        <f t="shared" ca="1" si="2350"/>
        <v>RL Capex 2034-35</v>
      </c>
      <c r="C1623" s="1429"/>
      <c r="D1623" s="1429"/>
      <c r="E1623" s="1429"/>
      <c r="F1623" s="1429"/>
      <c r="G1623" s="1429"/>
      <c r="H1623" s="1429"/>
      <c r="I1623" s="1429"/>
      <c r="J1623" s="1429"/>
      <c r="K1623" s="1429"/>
      <c r="L1623" s="1429"/>
      <c r="M1623" s="1429"/>
      <c r="N1623" s="1429"/>
      <c r="O1623" s="1429"/>
      <c r="P1623" s="1429"/>
      <c r="Q1623" s="1429"/>
      <c r="R1623" s="1429"/>
      <c r="S1623" s="1429"/>
      <c r="T1623" s="1429"/>
      <c r="U1623" s="1424"/>
      <c r="V1623" s="1428">
        <f>V1576</f>
        <v>0</v>
      </c>
      <c r="W1623" s="1423">
        <f>IF(V1623="n/a","n/a",MAX(0,V1623-1))</f>
        <v>0</v>
      </c>
      <c r="X1623" s="152"/>
      <c r="Y1623" s="152"/>
      <c r="Z1623" s="152"/>
      <c r="AA1623" s="152"/>
      <c r="AB1623" s="152"/>
    </row>
    <row r="1624" spans="1:28" hidden="1" outlineLevel="1">
      <c r="A1624" s="152"/>
      <c r="B1624" s="190" t="str">
        <f t="shared" ca="1" si="2350"/>
        <v>RL Capex 2035-36</v>
      </c>
      <c r="C1624" s="1429"/>
      <c r="D1624" s="1429"/>
      <c r="E1624" s="1429"/>
      <c r="F1624" s="1429"/>
      <c r="G1624" s="1429"/>
      <c r="H1624" s="1429"/>
      <c r="I1624" s="1429"/>
      <c r="J1624" s="1429"/>
      <c r="K1624" s="1429"/>
      <c r="L1624" s="1429"/>
      <c r="M1624" s="1429"/>
      <c r="N1624" s="1429"/>
      <c r="O1624" s="1429"/>
      <c r="P1624" s="1429"/>
      <c r="Q1624" s="1429"/>
      <c r="R1624" s="1429"/>
      <c r="S1624" s="1429"/>
      <c r="T1624" s="1429"/>
      <c r="U1624" s="1429"/>
      <c r="V1624" s="1424"/>
      <c r="W1624" s="1423">
        <f>W1576</f>
        <v>0</v>
      </c>
      <c r="X1624" s="152"/>
      <c r="Y1624" s="152"/>
      <c r="Z1624" s="152"/>
      <c r="AA1624" s="152"/>
      <c r="AB1624" s="152"/>
    </row>
    <row r="1625" spans="1:28" hidden="1" outlineLevel="1">
      <c r="A1625" s="152"/>
      <c r="B1625" s="200"/>
      <c r="C1625" s="1423"/>
      <c r="D1625" s="1423"/>
      <c r="E1625" s="1423"/>
      <c r="F1625" s="1423"/>
      <c r="G1625" s="1423"/>
      <c r="H1625" s="1423"/>
      <c r="I1625" s="1423"/>
      <c r="J1625" s="1423"/>
      <c r="K1625" s="1423"/>
      <c r="L1625" s="1423"/>
      <c r="M1625" s="1423"/>
      <c r="N1625" s="1423"/>
      <c r="O1625" s="1423"/>
      <c r="P1625" s="1423"/>
      <c r="Q1625" s="1423"/>
      <c r="R1625" s="1423"/>
      <c r="S1625" s="1423"/>
      <c r="T1625" s="1423"/>
      <c r="U1625" s="1423"/>
      <c r="V1625" s="1423"/>
      <c r="W1625" s="1423"/>
      <c r="X1625" s="152"/>
      <c r="Y1625" s="152"/>
      <c r="Z1625" s="152"/>
      <c r="AA1625" s="152"/>
      <c r="AB1625" s="152"/>
    </row>
    <row r="1626" spans="1:28" collapsed="1">
      <c r="A1626" s="194"/>
      <c r="B1626" s="204" t="s">
        <v>123</v>
      </c>
      <c r="C1626" s="1430">
        <f ca="1">(IF(OR($C1576&lt;&gt;"n/a",C1576&lt;&gt;"n/a"),IF(SUM(C1579:C1601)=0,0,IF((SUMPRODUCT(C1579:C1601,C1603:C1625)/SUM(C1579:C1601))&lt;0,1,(SUMPRODUCT(C1579:C1601,C1603:C1625)/SUM(C1579:C1601)))),"n/a"))</f>
        <v>0</v>
      </c>
      <c r="D1626" s="1430">
        <f ca="1">(IF(OR($C1576&lt;&gt;"n/a",D1576&lt;&gt;"n/a"),IF(SUM(D1579:D1601)=0,0,IF((SUMPRODUCT(D1579:D1601,D1603:D1625)/SUM(D1579:D1601))&lt;0,1,(SUMPRODUCT(D1579:D1601,D1603:D1625)/SUM(D1579:D1601)))),"n/a"))</f>
        <v>0</v>
      </c>
      <c r="E1626" s="1430">
        <f t="shared" ref="E1626:W1626" ca="1" si="2351">(IF(OR($C1576&lt;&gt;"n/a",E1576&lt;&gt;"n/a"),IF(SUM(E1579:E1601)=0,0,IF((SUMPRODUCT(E1579:E1601,E1603:E1625)/SUM(E1579:E1601))&lt;0,1,(SUMPRODUCT(E1579:E1601,E1603:E1625)/SUM(E1579:E1601)))),"n/a"))</f>
        <v>0</v>
      </c>
      <c r="F1626" s="1430">
        <f t="shared" ca="1" si="2351"/>
        <v>0</v>
      </c>
      <c r="G1626" s="1430">
        <f t="shared" ca="1" si="2351"/>
        <v>0</v>
      </c>
      <c r="H1626" s="1430">
        <f t="shared" ca="1" si="2351"/>
        <v>0</v>
      </c>
      <c r="I1626" s="1430">
        <f t="shared" ca="1" si="2351"/>
        <v>0</v>
      </c>
      <c r="J1626" s="1430">
        <f t="shared" ca="1" si="2351"/>
        <v>0</v>
      </c>
      <c r="K1626" s="1430">
        <f t="shared" ca="1" si="2351"/>
        <v>0</v>
      </c>
      <c r="L1626" s="1430">
        <f t="shared" ca="1" si="2351"/>
        <v>0</v>
      </c>
      <c r="M1626" s="1430">
        <f t="shared" ca="1" si="2351"/>
        <v>0</v>
      </c>
      <c r="N1626" s="1430">
        <f t="shared" ca="1" si="2351"/>
        <v>0</v>
      </c>
      <c r="O1626" s="1430">
        <f t="shared" ca="1" si="2351"/>
        <v>0</v>
      </c>
      <c r="P1626" s="1430">
        <f t="shared" ca="1" si="2351"/>
        <v>0</v>
      </c>
      <c r="Q1626" s="1430">
        <f t="shared" ca="1" si="2351"/>
        <v>0</v>
      </c>
      <c r="R1626" s="1430">
        <f t="shared" ca="1" si="2351"/>
        <v>0</v>
      </c>
      <c r="S1626" s="1430">
        <f t="shared" ca="1" si="2351"/>
        <v>0</v>
      </c>
      <c r="T1626" s="1430">
        <f t="shared" ca="1" si="2351"/>
        <v>0</v>
      </c>
      <c r="U1626" s="1430">
        <f t="shared" ca="1" si="2351"/>
        <v>0</v>
      </c>
      <c r="V1626" s="1430">
        <f t="shared" ca="1" si="2351"/>
        <v>0</v>
      </c>
      <c r="W1626" s="1430">
        <f t="shared" ca="1" si="2351"/>
        <v>0</v>
      </c>
      <c r="X1626" s="152"/>
      <c r="Y1626" s="152"/>
      <c r="Z1626" s="152"/>
      <c r="AA1626" s="152"/>
      <c r="AB1626" s="152"/>
    </row>
    <row r="1627" spans="1:28">
      <c r="A1627" s="152"/>
      <c r="B1627" s="152"/>
      <c r="C1627" s="1423"/>
      <c r="D1627" s="1423"/>
      <c r="E1627" s="1423"/>
      <c r="F1627" s="1423"/>
      <c r="G1627" s="1423"/>
      <c r="H1627" s="1423"/>
      <c r="I1627" s="1423"/>
      <c r="J1627" s="1423"/>
      <c r="K1627" s="1423"/>
      <c r="L1627" s="1423"/>
      <c r="M1627" s="1423"/>
      <c r="N1627" s="1423"/>
      <c r="O1627" s="1423"/>
      <c r="P1627" s="1423"/>
      <c r="Q1627" s="1423"/>
      <c r="R1627" s="1423"/>
      <c r="S1627" s="1423"/>
      <c r="T1627" s="1423"/>
      <c r="U1627" s="1423"/>
      <c r="V1627" s="1423"/>
      <c r="W1627" s="1423"/>
      <c r="X1627" s="152"/>
      <c r="Y1627" s="152"/>
      <c r="Z1627" s="152"/>
      <c r="AA1627" s="152"/>
      <c r="AB1627" s="152"/>
    </row>
    <row r="1628" spans="1:28">
      <c r="A1628" s="269" t="s">
        <v>97</v>
      </c>
      <c r="B1628" s="270">
        <f>VLOOKUP($A1628,'RFM input'!$E$7:$F$56,2,FALSE)</f>
        <v>0</v>
      </c>
      <c r="C1628" s="1431"/>
      <c r="D1628" s="1431"/>
      <c r="E1628" s="1432"/>
      <c r="F1628" s="1432"/>
      <c r="G1628" s="1432"/>
      <c r="H1628" s="1432"/>
      <c r="I1628" s="1432"/>
      <c r="J1628" s="1432"/>
      <c r="K1628" s="1432"/>
      <c r="L1628" s="1432"/>
      <c r="M1628" s="1432"/>
      <c r="N1628" s="1432"/>
      <c r="O1628" s="1432"/>
      <c r="P1628" s="1432"/>
      <c r="Q1628" s="1432"/>
      <c r="R1628" s="1432"/>
      <c r="S1628" s="1432"/>
      <c r="T1628" s="1432"/>
      <c r="U1628" s="1432"/>
      <c r="V1628" s="1432"/>
      <c r="W1628" s="1432"/>
      <c r="X1628" s="152"/>
      <c r="Y1628" s="152"/>
      <c r="Z1628" s="152"/>
      <c r="AA1628" s="152"/>
      <c r="AB1628" s="152"/>
    </row>
    <row r="1629" spans="1:28">
      <c r="A1629" s="215">
        <f>VALUE(REPLACE(A1628,1,12,""))</f>
        <v>31</v>
      </c>
      <c r="B1629" s="193" t="s">
        <v>126</v>
      </c>
      <c r="C1629" s="1416">
        <f ca="1">IF($D$6='TAB roll forward'!$H$4,OFFSET('TAB roll forward'!$H$7,A1629,0),"enter input")</f>
        <v>0</v>
      </c>
      <c r="D1629" s="1417">
        <f>IF(LEFT(D$6,4)&lt;LEFT('RFM input'!$G$60,4),"enter input",IF(LEFT(D$6,4)&gt;LEFT('RFM input'!$Q$60,4),0,
INDEX('RFM input'!$G$61:$Q$110,$A1629,MATCH(D$6,'RFM input'!$G$60:$Q$60,0))
   -INDEX('RFM input'!$G$115:$Q$164,$A1629,MATCH(D$6,'RFM input'!$G$60:$Q$60,0))))</f>
        <v>0</v>
      </c>
      <c r="E1629" s="1417">
        <f>IF(LEFT(E$6,4)&lt;LEFT('RFM input'!$G$60,4),"enter input",IF(LEFT(E$6,4)&gt;LEFT('RFM input'!$Q$60,4),0,
INDEX('RFM input'!$G$61:$Q$110,$A1629,MATCH(E$6,'RFM input'!$G$60:$Q$60,0))
   -INDEX('RFM input'!$G$115:$Q$164,$A1629,MATCH(E$6,'RFM input'!$G$60:$Q$60,0))))</f>
        <v>0</v>
      </c>
      <c r="F1629" s="1417">
        <f>IF(LEFT(F$6,4)&lt;LEFT('RFM input'!$G$60,4),"enter input",IF(LEFT(F$6,4)&gt;LEFT('RFM input'!$Q$60,4),0,
INDEX('RFM input'!$G$61:$Q$110,$A1629,MATCH(F$6,'RFM input'!$G$60:$Q$60,0))
   -INDEX('RFM input'!$G$115:$Q$164,$A1629,MATCH(F$6,'RFM input'!$G$60:$Q$60,0))))</f>
        <v>0</v>
      </c>
      <c r="G1629" s="1417">
        <f>IF(LEFT(G$6,4)&lt;LEFT('RFM input'!$G$60,4),"enter input",IF(LEFT(G$6,4)&gt;LEFT('RFM input'!$Q$60,4),0,
INDEX('RFM input'!$G$61:$Q$110,$A1629,MATCH(G$6,'RFM input'!$G$60:$Q$60,0))
   -INDEX('RFM input'!$G$115:$Q$164,$A1629,MATCH(G$6,'RFM input'!$G$60:$Q$60,0))))</f>
        <v>0</v>
      </c>
      <c r="H1629" s="1417">
        <f>IF(LEFT(H$6,4)&lt;LEFT('RFM input'!$G$60,4),"enter input",IF(LEFT(H$6,4)&gt;LEFT('RFM input'!$Q$60,4),0,
INDEX('RFM input'!$G$61:$Q$110,$A1629,MATCH(H$6,'RFM input'!$G$60:$Q$60,0))
   -INDEX('RFM input'!$G$115:$Q$164,$A1629,MATCH(H$6,'RFM input'!$G$60:$Q$60,0))))</f>
        <v>0</v>
      </c>
      <c r="I1629" s="1417">
        <f>IF(LEFT(I$6,4)&lt;LEFT('RFM input'!$G$60,4),"enter input",IF(LEFT(I$6,4)&gt;LEFT('RFM input'!$Q$60,4),0,
INDEX('RFM input'!$G$61:$Q$110,$A1629,MATCH(I$6,'RFM input'!$G$60:$Q$60,0))
   -INDEX('RFM input'!$G$115:$Q$164,$A1629,MATCH(I$6,'RFM input'!$G$60:$Q$60,0))))</f>
        <v>0</v>
      </c>
      <c r="J1629" s="1417">
        <f>IF(LEFT(J$6,4)&lt;LEFT('RFM input'!$G$60,4),"enter input",IF(LEFT(J$6,4)&gt;LEFT('RFM input'!$Q$60,4),0,
INDEX('RFM input'!$G$61:$Q$110,$A1629,MATCH(J$6,'RFM input'!$G$60:$Q$60,0))
   -INDEX('RFM input'!$G$115:$Q$164,$A1629,MATCH(J$6,'RFM input'!$G$60:$Q$60,0))))</f>
        <v>0</v>
      </c>
      <c r="K1629" s="1417">
        <f>IF(LEFT(K$6,4)&lt;LEFT('RFM input'!$G$60,4),"enter input",IF(LEFT(K$6,4)&gt;LEFT('RFM input'!$Q$60,4),0,
INDEX('RFM input'!$G$61:$Q$110,$A1629,MATCH(K$6,'RFM input'!$G$60:$Q$60,0))
   -INDEX('RFM input'!$G$115:$Q$164,$A1629,MATCH(K$6,'RFM input'!$G$60:$Q$60,0))))</f>
        <v>0</v>
      </c>
      <c r="L1629" s="1417">
        <f>IF(LEFT(L$6,4)&lt;LEFT('RFM input'!$G$60,4),"enter input",IF(LEFT(L$6,4)&gt;LEFT('RFM input'!$Q$60,4),0,
INDEX('RFM input'!$G$61:$Q$110,$A1629,MATCH(L$6,'RFM input'!$G$60:$Q$60,0))
   -INDEX('RFM input'!$G$115:$Q$164,$A1629,MATCH(L$6,'RFM input'!$G$60:$Q$60,0))))</f>
        <v>0</v>
      </c>
      <c r="M1629" s="1417">
        <f>IF(LEFT(M$6,4)&lt;LEFT('RFM input'!$G$60,4),"enter input",IF(LEFT(M$6,4)&gt;LEFT('RFM input'!$Q$60,4),0,
INDEX('RFM input'!$G$61:$Q$110,$A1629,MATCH(M$6,'RFM input'!$G$60:$Q$60,0))
   -INDEX('RFM input'!$G$115:$Q$164,$A1629,MATCH(M$6,'RFM input'!$G$60:$Q$60,0))))</f>
        <v>0</v>
      </c>
      <c r="N1629" s="1417">
        <f>IF(LEFT(N$6,4)&lt;LEFT('RFM input'!$G$60,4),"enter input",IF(LEFT(N$6,4)&gt;LEFT('RFM input'!$Q$60,4),0,
INDEX('RFM input'!$G$61:$Q$110,$A1629,MATCH(N$6,'RFM input'!$G$60:$Q$60,0))
   -INDEX('RFM input'!$G$115:$Q$164,$A1629,MATCH(N$6,'RFM input'!$G$60:$Q$60,0))))</f>
        <v>0</v>
      </c>
      <c r="O1629" s="1417">
        <f>IF(LEFT(O$6,4)&lt;LEFT('RFM input'!$G$60,4),"enter input",IF(LEFT(O$6,4)&gt;LEFT('RFM input'!$Q$60,4),0,
INDEX('RFM input'!$G$61:$Q$110,$A1629,MATCH(O$6,'RFM input'!$G$60:$Q$60,0))
   -INDEX('RFM input'!$G$115:$Q$164,$A1629,MATCH(O$6,'RFM input'!$G$60:$Q$60,0))))</f>
        <v>0</v>
      </c>
      <c r="P1629" s="1417">
        <f>IF(LEFT(P$6,4)&lt;LEFT('RFM input'!$G$60,4),"enter input",IF(LEFT(P$6,4)&gt;LEFT('RFM input'!$Q$60,4),0,
INDEX('RFM input'!$G$61:$Q$110,$A1629,MATCH(P$6,'RFM input'!$G$60:$Q$60,0))
   -INDEX('RFM input'!$G$115:$Q$164,$A1629,MATCH(P$6,'RFM input'!$G$60:$Q$60,0))))</f>
        <v>0</v>
      </c>
      <c r="Q1629" s="1417">
        <f>IF(LEFT(Q$6,4)&lt;LEFT('RFM input'!$G$60,4),"enter input",IF(LEFT(Q$6,4)&gt;LEFT('RFM input'!$Q$60,4),0,
INDEX('RFM input'!$G$61:$Q$110,$A1629,MATCH(Q$6,'RFM input'!$G$60:$Q$60,0))
   -INDEX('RFM input'!$G$115:$Q$164,$A1629,MATCH(Q$6,'RFM input'!$G$60:$Q$60,0))))</f>
        <v>0</v>
      </c>
      <c r="R1629" s="1417">
        <f>IF(LEFT(R$6,4)&lt;LEFT('RFM input'!$G$60,4),"enter input",IF(LEFT(R$6,4)&gt;LEFT('RFM input'!$Q$60,4),0,
INDEX('RFM input'!$G$61:$Q$110,$A1629,MATCH(R$6,'RFM input'!$G$60:$Q$60,0))
   -INDEX('RFM input'!$G$115:$Q$164,$A1629,MATCH(R$6,'RFM input'!$G$60:$Q$60,0))))</f>
        <v>0</v>
      </c>
      <c r="S1629" s="1417">
        <f>IF(LEFT(S$6,4)&lt;LEFT('RFM input'!$G$60,4),"enter input",IF(LEFT(S$6,4)&gt;LEFT('RFM input'!$Q$60,4),0,
INDEX('RFM input'!$G$61:$Q$110,$A1629,MATCH(S$6,'RFM input'!$G$60:$Q$60,0))
   -INDEX('RFM input'!$G$115:$Q$164,$A1629,MATCH(S$6,'RFM input'!$G$60:$Q$60,0))))</f>
        <v>0</v>
      </c>
      <c r="T1629" s="1417">
        <f>IF(LEFT(T$6,4)&lt;LEFT('RFM input'!$G$60,4),"enter input",IF(LEFT(T$6,4)&gt;LEFT('RFM input'!$Q$60,4),0,
INDEX('RFM input'!$G$61:$Q$110,$A1629,MATCH(T$6,'RFM input'!$G$60:$Q$60,0))
   -INDEX('RFM input'!$G$115:$Q$164,$A1629,MATCH(T$6,'RFM input'!$G$60:$Q$60,0))))</f>
        <v>0</v>
      </c>
      <c r="U1629" s="1417">
        <f>IF(LEFT(U$6,4)&lt;LEFT('RFM input'!$G$60,4),"enter input",IF(LEFT(U$6,4)&gt;LEFT('RFM input'!$Q$60,4),0,
INDEX('RFM input'!$G$61:$Q$110,$A1629,MATCH(U$6,'RFM input'!$G$60:$Q$60,0))
   -INDEX('RFM input'!$G$115:$Q$164,$A1629,MATCH(U$6,'RFM input'!$G$60:$Q$60,0))))</f>
        <v>0</v>
      </c>
      <c r="V1629" s="1417">
        <f>IF(LEFT(V$6,4)&lt;LEFT('RFM input'!$G$60,4),"enter input",IF(LEFT(V$6,4)&gt;LEFT('RFM input'!$Q$60,4),0,
INDEX('RFM input'!$G$61:$Q$110,$A1629,MATCH(V$6,'RFM input'!$G$60:$Q$60,0))
   -INDEX('RFM input'!$G$115:$Q$164,$A1629,MATCH(V$6,'RFM input'!$G$60:$Q$60,0))))</f>
        <v>0</v>
      </c>
      <c r="W1629" s="1417">
        <f>IF(LEFT(W$6,4)&lt;LEFT('RFM input'!$G$60,4),"enter input",IF(LEFT(W$6,4)&gt;LEFT('RFM input'!$Q$60,4),0,
INDEX('RFM input'!$G$61:$Q$110,$A1629,MATCH(W$6,'RFM input'!$G$60:$Q$60,0))
   -INDEX('RFM input'!$G$115:$Q$164,$A1629,MATCH(W$6,'RFM input'!$G$60:$Q$60,0))))</f>
        <v>0</v>
      </c>
      <c r="X1629" s="152"/>
      <c r="Y1629" s="152"/>
      <c r="Z1629" s="152"/>
      <c r="AA1629" s="152"/>
      <c r="AB1629" s="152"/>
    </row>
    <row r="1630" spans="1:28">
      <c r="A1630" s="152"/>
      <c r="B1630" s="152" t="s">
        <v>205</v>
      </c>
      <c r="C1630" s="1418">
        <f ca="1">IF($D$6='TAB roll forward'!$H$4,OFFSET('RFM input'!$S$6,$A1629,0),"enter input")</f>
        <v>0</v>
      </c>
      <c r="D1630" s="1417">
        <f>IF(LEFT(D$6,4)&lt;=LEFT('RFM input'!$G$60,4),"enter input",IF(LEFT(D$6,4)&gt;LEFT('RFM input'!$Q$60,4),0,
IF(MATCH(D$6,'RFM input'!$H$60:$Q$60,0),INDEX('RFM input'!$T$7:$T$56,$A1629,1,1))))</f>
        <v>0</v>
      </c>
      <c r="E1630" s="1417">
        <f>IF(LEFT(E$6,4)&lt;=LEFT('RFM input'!$G$60,4),"enter input",IF(LEFT(E$6,4)&gt;LEFT('RFM input'!$Q$60,4),0,
IF(MATCH(E$6,'RFM input'!$H$60:$Q$60,0),INDEX('RFM input'!$T$7:$T$56,$A1629,1,1))))</f>
        <v>0</v>
      </c>
      <c r="F1630" s="1417">
        <f>IF(LEFT(F$6,4)&lt;=LEFT('RFM input'!$G$60,4),"enter input",IF(LEFT(F$6,4)&gt;LEFT('RFM input'!$Q$60,4),0,
IF(MATCH(F$6,'RFM input'!$H$60:$Q$60,0),INDEX('RFM input'!$T$7:$T$56,$A1629,1,1))))</f>
        <v>0</v>
      </c>
      <c r="G1630" s="1417">
        <f>IF(LEFT(G$6,4)&lt;=LEFT('RFM input'!$G$60,4),"enter input",IF(LEFT(G$6,4)&gt;LEFT('RFM input'!$Q$60,4),0,
IF(MATCH(G$6,'RFM input'!$H$60:$Q$60,0),INDEX('RFM input'!$T$7:$T$56,$A1629,1,1))))</f>
        <v>0</v>
      </c>
      <c r="H1630" s="1417">
        <f>IF(LEFT(H$6,4)&lt;=LEFT('RFM input'!$G$60,4),"enter input",IF(LEFT(H$6,4)&gt;LEFT('RFM input'!$Q$60,4),0,
IF(MATCH(H$6,'RFM input'!$H$60:$Q$60,0),INDEX('RFM input'!$T$7:$T$56,$A1629,1,1))))</f>
        <v>0</v>
      </c>
      <c r="I1630" s="1417">
        <f>IF(LEFT(I$6,4)&lt;=LEFT('RFM input'!$G$60,4),"enter input",IF(LEFT(I$6,4)&gt;LEFT('RFM input'!$Q$60,4),0,
IF(MATCH(I$6,'RFM input'!$H$60:$Q$60,0),INDEX('RFM input'!$T$7:$T$56,$A1629,1,1))))</f>
        <v>0</v>
      </c>
      <c r="J1630" s="1417">
        <f>IF(LEFT(J$6,4)&lt;=LEFT('RFM input'!$G$60,4),"enter input",IF(LEFT(J$6,4)&gt;LEFT('RFM input'!$Q$60,4),0,
IF(MATCH(J$6,'RFM input'!$H$60:$Q$60,0),INDEX('RFM input'!$T$7:$T$56,$A1629,1,1))))</f>
        <v>0</v>
      </c>
      <c r="K1630" s="1417">
        <f>IF(LEFT(K$6,4)&lt;=LEFT('RFM input'!$G$60,4),"enter input",IF(LEFT(K$6,4)&gt;LEFT('RFM input'!$Q$60,4),0,
IF(MATCH(K$6,'RFM input'!$H$60:$Q$60,0),INDEX('RFM input'!$T$7:$T$56,$A1629,1,1))))</f>
        <v>0</v>
      </c>
      <c r="L1630" s="1417">
        <f>IF(LEFT(L$6,4)&lt;=LEFT('RFM input'!$G$60,4),"enter input",IF(LEFT(L$6,4)&gt;LEFT('RFM input'!$Q$60,4),0,
IF(MATCH(L$6,'RFM input'!$H$60:$Q$60,0),INDEX('RFM input'!$T$7:$T$56,$A1629,1,1))))</f>
        <v>0</v>
      </c>
      <c r="M1630" s="1417">
        <f>IF(LEFT(M$6,4)&lt;=LEFT('RFM input'!$G$60,4),"enter input",IF(LEFT(M$6,4)&gt;LEFT('RFM input'!$Q$60,4),0,
IF(MATCH(M$6,'RFM input'!$H$60:$Q$60,0),INDEX('RFM input'!$T$7:$T$56,$A1629,1,1))))</f>
        <v>0</v>
      </c>
      <c r="N1630" s="1417">
        <f>IF(LEFT(N$6,4)&lt;=LEFT('RFM input'!$G$60,4),"enter input",IF(LEFT(N$6,4)&gt;LEFT('RFM input'!$Q$60,4),0,
IF(MATCH(N$6,'RFM input'!$H$60:$Q$60,0),INDEX('RFM input'!$T$7:$T$56,$A1629,1,1))))</f>
        <v>0</v>
      </c>
      <c r="O1630" s="1417">
        <f>IF(LEFT(O$6,4)&lt;=LEFT('RFM input'!$G$60,4),"enter input",IF(LEFT(O$6,4)&gt;LEFT('RFM input'!$Q$60,4),0,
IF(MATCH(O$6,'RFM input'!$H$60:$Q$60,0),INDEX('RFM input'!$T$7:$T$56,$A1629,1,1))))</f>
        <v>0</v>
      </c>
      <c r="P1630" s="1417">
        <f>IF(LEFT(P$6,4)&lt;=LEFT('RFM input'!$G$60,4),"enter input",IF(LEFT(P$6,4)&gt;LEFT('RFM input'!$Q$60,4),0,
IF(MATCH(P$6,'RFM input'!$H$60:$Q$60,0),INDEX('RFM input'!$T$7:$T$56,$A1629,1,1))))</f>
        <v>0</v>
      </c>
      <c r="Q1630" s="1417">
        <f>IF(LEFT(Q$6,4)&lt;=LEFT('RFM input'!$G$60,4),"enter input",IF(LEFT(Q$6,4)&gt;LEFT('RFM input'!$Q$60,4),0,
IF(MATCH(Q$6,'RFM input'!$H$60:$Q$60,0),INDEX('RFM input'!$T$7:$T$56,$A1629,1,1))))</f>
        <v>0</v>
      </c>
      <c r="R1630" s="1417">
        <f>IF(LEFT(R$6,4)&lt;=LEFT('RFM input'!$G$60,4),"enter input",IF(LEFT(R$6,4)&gt;LEFT('RFM input'!$Q$60,4),0,
IF(MATCH(R$6,'RFM input'!$H$60:$Q$60,0),INDEX('RFM input'!$T$7:$T$56,$A1629,1,1))))</f>
        <v>0</v>
      </c>
      <c r="S1630" s="1417">
        <f>IF(LEFT(S$6,4)&lt;=LEFT('RFM input'!$G$60,4),"enter input",IF(LEFT(S$6,4)&gt;LEFT('RFM input'!$Q$60,4),0,
IF(MATCH(S$6,'RFM input'!$H$60:$Q$60,0),INDEX('RFM input'!$T$7:$T$56,$A1629,1,1))))</f>
        <v>0</v>
      </c>
      <c r="T1630" s="1417">
        <f>IF(LEFT(T$6,4)&lt;=LEFT('RFM input'!$G$60,4),"enter input",IF(LEFT(T$6,4)&gt;LEFT('RFM input'!$Q$60,4),0,
IF(MATCH(T$6,'RFM input'!$H$60:$Q$60,0),INDEX('RFM input'!$T$7:$T$56,$A1629,1,1))))</f>
        <v>0</v>
      </c>
      <c r="U1630" s="1417">
        <f>IF(LEFT(U$6,4)&lt;=LEFT('RFM input'!$G$60,4),"enter input",IF(LEFT(U$6,4)&gt;LEFT('RFM input'!$Q$60,4),0,
IF(MATCH(U$6,'RFM input'!$H$60:$Q$60,0),INDEX('RFM input'!$T$7:$T$56,$A1629,1,1))))</f>
        <v>0</v>
      </c>
      <c r="V1630" s="1417">
        <f>IF(LEFT(V$6,4)&lt;=LEFT('RFM input'!$G$60,4),"enter input",IF(LEFT(V$6,4)&gt;LEFT('RFM input'!$Q$60,4),0,
IF(MATCH(V$6,'RFM input'!$H$60:$Q$60,0),INDEX('RFM input'!$T$7:$T$56,$A1629,1,1))))</f>
        <v>0</v>
      </c>
      <c r="W1630" s="1417">
        <f>IF(LEFT(W$6,4)&lt;=LEFT('RFM input'!$G$60,4),"enter input",IF(LEFT(W$6,4)&gt;LEFT('RFM input'!$Q$60,4),0,
IF(MATCH(W$6,'RFM input'!$H$60:$Q$60,0),INDEX('RFM input'!$T$7:$T$56,$A1629,1,1))))</f>
        <v>0</v>
      </c>
      <c r="X1630" s="152"/>
      <c r="Y1630" s="152"/>
      <c r="Z1630" s="152"/>
      <c r="AA1630" s="152"/>
      <c r="AB1630" s="152"/>
    </row>
    <row r="1631" spans="1:28">
      <c r="A1631" s="152"/>
      <c r="B1631" s="193" t="s">
        <v>192</v>
      </c>
      <c r="C1631" s="1419"/>
      <c r="D1631" s="1420">
        <f ca="1">IF(LEFT(D$6,4)&lt;=LEFT('RFM input'!$G$60,4),"enter input",IF(LEFT(D$6,4)&gt;LEFT('RFM input'!$Q$60,4),0,
IF(D$6=(OFFSET('RFM input'!$G$60,0,'RFM input'!$V$7)),OFFSET('RFM input'!$H$411,$A1629,0),0)))</f>
        <v>0</v>
      </c>
      <c r="E1631" s="1417">
        <f ca="1">IF(LEFT(E$6,4)&lt;=LEFT('RFM input'!$G$60,4),"enter input",IF(LEFT(E$6,4)&gt;LEFT('RFM input'!$Q$60,4),0,
IF(E$6=(OFFSET('RFM input'!$G$60,0,'RFM input'!$V$7)),OFFSET('RFM input'!$H$411,$A1629,0),0)))</f>
        <v>0</v>
      </c>
      <c r="F1631" s="1417">
        <f ca="1">IF(LEFT(F$6,4)&lt;=LEFT('RFM input'!$G$60,4),"enter input",IF(LEFT(F$6,4)&gt;LEFT('RFM input'!$Q$60,4),0,
IF(F$6=(OFFSET('RFM input'!$G$60,0,'RFM input'!$V$7)),OFFSET('RFM input'!$H$411,$A1629,0),0)))</f>
        <v>0</v>
      </c>
      <c r="G1631" s="1417">
        <f ca="1">IF(LEFT(G$6,4)&lt;=LEFT('RFM input'!$G$60,4),"enter input",IF(LEFT(G$6,4)&gt;LEFT('RFM input'!$Q$60,4),0,
IF(G$6=(OFFSET('RFM input'!$G$60,0,'RFM input'!$V$7)),OFFSET('RFM input'!$H$411,$A1629,0),0)))</f>
        <v>0</v>
      </c>
      <c r="H1631" s="1417">
        <f ca="1">IF(LEFT(H$6,4)&lt;=LEFT('RFM input'!$G$60,4),"enter input",IF(LEFT(H$6,4)&gt;LEFT('RFM input'!$Q$60,4),0,
IF(H$6=(OFFSET('RFM input'!$G$60,0,'RFM input'!$V$7)),OFFSET('RFM input'!$H$411,$A1629,0),0)))</f>
        <v>0</v>
      </c>
      <c r="I1631" s="1417">
        <f ca="1">IF(LEFT(I$6,4)&lt;=LEFT('RFM input'!$G$60,4),"enter input",IF(LEFT(I$6,4)&gt;LEFT('RFM input'!$Q$60,4),0,
IF(I$6=(OFFSET('RFM input'!$G$60,0,'RFM input'!$V$7)),OFFSET('RFM input'!$H$411,$A1629,0),0)))</f>
        <v>0</v>
      </c>
      <c r="J1631" s="1417">
        <f ca="1">IF(LEFT(J$6,4)&lt;=LEFT('RFM input'!$G$60,4),"enter input",IF(LEFT(J$6,4)&gt;LEFT('RFM input'!$Q$60,4),0,
IF(J$6=(OFFSET('RFM input'!$G$60,0,'RFM input'!$V$7)),OFFSET('RFM input'!$H$411,$A1629,0),0)))</f>
        <v>0</v>
      </c>
      <c r="K1631" s="1417">
        <f ca="1">IF(LEFT(K$6,4)&lt;=LEFT('RFM input'!$G$60,4),"enter input",IF(LEFT(K$6,4)&gt;LEFT('RFM input'!$Q$60,4),0,
IF(K$6=(OFFSET('RFM input'!$G$60,0,'RFM input'!$V$7)),OFFSET('RFM input'!$H$411,$A1629,0),0)))</f>
        <v>0</v>
      </c>
      <c r="L1631" s="1417">
        <f ca="1">IF(LEFT(L$6,4)&lt;=LEFT('RFM input'!$G$60,4),"enter input",IF(LEFT(L$6,4)&gt;LEFT('RFM input'!$Q$60,4),0,
IF(L$6=(OFFSET('RFM input'!$G$60,0,'RFM input'!$V$7)),OFFSET('RFM input'!$H$411,$A1629,0),0)))</f>
        <v>0</v>
      </c>
      <c r="M1631" s="1417">
        <f ca="1">IF(LEFT(M$6,4)&lt;=LEFT('RFM input'!$G$60,4),"enter input",IF(LEFT(M$6,4)&gt;LEFT('RFM input'!$Q$60,4),0,
IF(M$6=(OFFSET('RFM input'!$G$60,0,'RFM input'!$V$7)),OFFSET('RFM input'!$H$411,$A1629,0),0)))</f>
        <v>0</v>
      </c>
      <c r="N1631" s="1417">
        <f ca="1">IF(LEFT(N$6,4)&lt;=LEFT('RFM input'!$G$60,4),"enter input",IF(LEFT(N$6,4)&gt;LEFT('RFM input'!$Q$60,4),0,
IF(N$6=(OFFSET('RFM input'!$G$60,0,'RFM input'!$V$7)),OFFSET('RFM input'!$H$411,$A1629,0),0)))</f>
        <v>0</v>
      </c>
      <c r="O1631" s="1417">
        <f ca="1">IF(LEFT(O$6,4)&lt;=LEFT('RFM input'!$G$60,4),"enter input",IF(LEFT(O$6,4)&gt;LEFT('RFM input'!$Q$60,4),0,
IF(O$6=(OFFSET('RFM input'!$G$60,0,'RFM input'!$V$7)),OFFSET('RFM input'!$H$411,$A1629,0),0)))</f>
        <v>0</v>
      </c>
      <c r="P1631" s="1417">
        <f ca="1">IF(LEFT(P$6,4)&lt;=LEFT('RFM input'!$G$60,4),"enter input",IF(LEFT(P$6,4)&gt;LEFT('RFM input'!$Q$60,4),0,
IF(P$6=(OFFSET('RFM input'!$G$60,0,'RFM input'!$V$7)),OFFSET('RFM input'!$H$411,$A1629,0),0)))</f>
        <v>0</v>
      </c>
      <c r="Q1631" s="1417">
        <f ca="1">IF(LEFT(Q$6,4)&lt;=LEFT('RFM input'!$G$60,4),"enter input",IF(LEFT(Q$6,4)&gt;LEFT('RFM input'!$Q$60,4),0,
IF(Q$6=(OFFSET('RFM input'!$G$60,0,'RFM input'!$V$7)),OFFSET('RFM input'!$H$411,$A1629,0),0)))</f>
        <v>0</v>
      </c>
      <c r="R1631" s="1417">
        <f ca="1">IF(LEFT(R$6,4)&lt;=LEFT('RFM input'!$G$60,4),"enter input",IF(LEFT(R$6,4)&gt;LEFT('RFM input'!$Q$60,4),0,
IF(R$6=(OFFSET('RFM input'!$G$60,0,'RFM input'!$V$7)),OFFSET('RFM input'!$H$411,$A1629,0),0)))</f>
        <v>0</v>
      </c>
      <c r="S1631" s="1417">
        <f ca="1">IF(LEFT(S$6,4)&lt;=LEFT('RFM input'!$G$60,4),"enter input",IF(LEFT(S$6,4)&gt;LEFT('RFM input'!$Q$60,4),0,
IF(S$6=(OFFSET('RFM input'!$G$60,0,'RFM input'!$V$7)),OFFSET('RFM input'!$H$411,$A1629,0),0)))</f>
        <v>0</v>
      </c>
      <c r="T1631" s="1417">
        <f ca="1">IF(LEFT(T$6,4)&lt;=LEFT('RFM input'!$G$60,4),"enter input",IF(LEFT(T$6,4)&gt;LEFT('RFM input'!$Q$60,4),0,
IF(T$6=(OFFSET('RFM input'!$G$60,0,'RFM input'!$V$7)),OFFSET('RFM input'!$H$411,$A1629,0),0)))</f>
        <v>0</v>
      </c>
      <c r="U1631" s="1417">
        <f ca="1">IF(LEFT(U$6,4)&lt;=LEFT('RFM input'!$G$60,4),"enter input",IF(LEFT(U$6,4)&gt;LEFT('RFM input'!$Q$60,4),0,
IF(U$6=(OFFSET('RFM input'!$G$60,0,'RFM input'!$V$7)),OFFSET('RFM input'!$H$411,$A1629,0),0)))</f>
        <v>0</v>
      </c>
      <c r="V1631" s="1417">
        <f ca="1">IF(LEFT(V$6,4)&lt;=LEFT('RFM input'!$G$60,4),"enter input",IF(LEFT(V$6,4)&gt;LEFT('RFM input'!$Q$60,4),0,
IF(V$6=(OFFSET('RFM input'!$G$60,0,'RFM input'!$V$7)),OFFSET('RFM input'!$H$411,$A1629,0),0)))</f>
        <v>0</v>
      </c>
      <c r="W1631" s="1417">
        <f ca="1">IF(LEFT(W$6,4)&lt;=LEFT('RFM input'!$G$60,4),"enter input",IF(LEFT(W$6,4)&gt;LEFT('RFM input'!$Q$60,4),0,
IF(W$6=(OFFSET('RFM input'!$G$60,0,'RFM input'!$V$7)),OFFSET('RFM input'!$H$411,$A1629,0),0)))</f>
        <v>0</v>
      </c>
      <c r="X1631" s="152"/>
      <c r="Y1631" s="152"/>
      <c r="Z1631" s="152"/>
      <c r="AA1631" s="152"/>
      <c r="AB1631" s="152"/>
    </row>
    <row r="1632" spans="1:28">
      <c r="A1632" s="152"/>
      <c r="B1632" s="193" t="s">
        <v>200</v>
      </c>
      <c r="C1632" s="1419"/>
      <c r="D1632" s="1418">
        <f ca="1">IF(LEFT(D$6,4)&lt;=LEFT('RFM input'!$G$60,4),"enter input",IF(LEFT(D$6,4)&gt;LEFT('RFM input'!$Q$60,4),0,
IF(D$6=(OFFSET('RFM input'!$G$60,0,'RFM input'!$V$7)),OFFSET('RFM input'!$J$411,$A1629,0),0)))</f>
        <v>0</v>
      </c>
      <c r="E1632" s="1422">
        <f ca="1">IF(LEFT(E$6,4)&lt;=LEFT('RFM input'!$G$60,4),"enter input",IF(LEFT(E$6,4)&gt;LEFT('RFM input'!$Q$60,4),0,
IF(E$6=(OFFSET('RFM input'!$G$60,0,'RFM input'!$V$7)),OFFSET('RFM input'!$J$411,$A1629,0),0)))</f>
        <v>0</v>
      </c>
      <c r="F1632" s="1422">
        <f ca="1">IF(LEFT(F$6,4)&lt;=LEFT('RFM input'!$G$60,4),"enter input",IF(LEFT(F$6,4)&gt;LEFT('RFM input'!$Q$60,4),0,
IF(F$6=(OFFSET('RFM input'!$G$60,0,'RFM input'!$V$7)),OFFSET('RFM input'!$J$411,$A1629,0),0)))</f>
        <v>0</v>
      </c>
      <c r="G1632" s="1422">
        <f ca="1">IF(LEFT(G$6,4)&lt;=LEFT('RFM input'!$G$60,4),"enter input",IF(LEFT(G$6,4)&gt;LEFT('RFM input'!$Q$60,4),0,
IF(G$6=(OFFSET('RFM input'!$G$60,0,'RFM input'!$V$7)),OFFSET('RFM input'!$J$411,$A1629,0),0)))</f>
        <v>0</v>
      </c>
      <c r="H1632" s="1422">
        <f ca="1">IF(LEFT(H$6,4)&lt;=LEFT('RFM input'!$G$60,4),"enter input",IF(LEFT(H$6,4)&gt;LEFT('RFM input'!$Q$60,4),0,
IF(H$6=(OFFSET('RFM input'!$G$60,0,'RFM input'!$V$7)),OFFSET('RFM input'!$J$411,$A1629,0),0)))</f>
        <v>0</v>
      </c>
      <c r="I1632" s="1422">
        <f ca="1">IF(LEFT(I$6,4)&lt;=LEFT('RFM input'!$G$60,4),"enter input",IF(LEFT(I$6,4)&gt;LEFT('RFM input'!$Q$60,4),0,
IF(I$6=(OFFSET('RFM input'!$G$60,0,'RFM input'!$V$7)),OFFSET('RFM input'!$J$411,$A1629,0),0)))</f>
        <v>0</v>
      </c>
      <c r="J1632" s="1422">
        <f ca="1">IF(LEFT(J$6,4)&lt;=LEFT('RFM input'!$G$60,4),"enter input",IF(LEFT(J$6,4)&gt;LEFT('RFM input'!$Q$60,4),0,
IF(J$6=(OFFSET('RFM input'!$G$60,0,'RFM input'!$V$7)),OFFSET('RFM input'!$J$411,$A1629,0),0)))</f>
        <v>0</v>
      </c>
      <c r="K1632" s="1422">
        <f ca="1">IF(LEFT(K$6,4)&lt;=LEFT('RFM input'!$G$60,4),"enter input",IF(LEFT(K$6,4)&gt;LEFT('RFM input'!$Q$60,4),0,
IF(K$6=(OFFSET('RFM input'!$G$60,0,'RFM input'!$V$7)),OFFSET('RFM input'!$J$411,$A1629,0),0)))</f>
        <v>0</v>
      </c>
      <c r="L1632" s="1422">
        <f ca="1">IF(LEFT(L$6,4)&lt;=LEFT('RFM input'!$G$60,4),"enter input",IF(LEFT(L$6,4)&gt;LEFT('RFM input'!$Q$60,4),0,
IF(L$6=(OFFSET('RFM input'!$G$60,0,'RFM input'!$V$7)),OFFSET('RFM input'!$J$411,$A1629,0),0)))</f>
        <v>0</v>
      </c>
      <c r="M1632" s="1422">
        <f ca="1">IF(LEFT(M$6,4)&lt;=LEFT('RFM input'!$G$60,4),"enter input",IF(LEFT(M$6,4)&gt;LEFT('RFM input'!$Q$60,4),0,
IF(M$6=(OFFSET('RFM input'!$G$60,0,'RFM input'!$V$7)),OFFSET('RFM input'!$J$411,$A1629,0),0)))</f>
        <v>0</v>
      </c>
      <c r="N1632" s="1422">
        <f ca="1">IF(LEFT(N$6,4)&lt;=LEFT('RFM input'!$G$60,4),"enter input",IF(LEFT(N$6,4)&gt;LEFT('RFM input'!$Q$60,4),0,
IF(N$6=(OFFSET('RFM input'!$G$60,0,'RFM input'!$V$7)),OFFSET('RFM input'!$J$411,$A1629,0),0)))</f>
        <v>0</v>
      </c>
      <c r="O1632" s="1422">
        <f ca="1">IF(LEFT(O$6,4)&lt;=LEFT('RFM input'!$G$60,4),"enter input",IF(LEFT(O$6,4)&gt;LEFT('RFM input'!$Q$60,4),0,
IF(O$6=(OFFSET('RFM input'!$G$60,0,'RFM input'!$V$7)),OFFSET('RFM input'!$J$411,$A1629,0),0)))</f>
        <v>0</v>
      </c>
      <c r="P1632" s="1422">
        <f ca="1">IF(LEFT(P$6,4)&lt;=LEFT('RFM input'!$G$60,4),"enter input",IF(LEFT(P$6,4)&gt;LEFT('RFM input'!$Q$60,4),0,
IF(P$6=(OFFSET('RFM input'!$G$60,0,'RFM input'!$V$7)),OFFSET('RFM input'!$J$411,$A1629,0),0)))</f>
        <v>0</v>
      </c>
      <c r="Q1632" s="1422">
        <f ca="1">IF(LEFT(Q$6,4)&lt;=LEFT('RFM input'!$G$60,4),"enter input",IF(LEFT(Q$6,4)&gt;LEFT('RFM input'!$Q$60,4),0,
IF(Q$6=(OFFSET('RFM input'!$G$60,0,'RFM input'!$V$7)),OFFSET('RFM input'!$J$411,$A1629,0),0)))</f>
        <v>0</v>
      </c>
      <c r="R1632" s="1422">
        <f ca="1">IF(LEFT(R$6,4)&lt;=LEFT('RFM input'!$G$60,4),"enter input",IF(LEFT(R$6,4)&gt;LEFT('RFM input'!$Q$60,4),0,
IF(R$6=(OFFSET('RFM input'!$G$60,0,'RFM input'!$V$7)),OFFSET('RFM input'!$J$411,$A1629,0),0)))</f>
        <v>0</v>
      </c>
      <c r="S1632" s="1422">
        <f ca="1">IF(LEFT(S$6,4)&lt;=LEFT('RFM input'!$G$60,4),"enter input",IF(LEFT(S$6,4)&gt;LEFT('RFM input'!$Q$60,4),0,
IF(S$6=(OFFSET('RFM input'!$G$60,0,'RFM input'!$V$7)),OFFSET('RFM input'!$J$411,$A1629,0),0)))</f>
        <v>0</v>
      </c>
      <c r="T1632" s="1422">
        <f ca="1">IF(LEFT(T$6,4)&lt;=LEFT('RFM input'!$G$60,4),"enter input",IF(LEFT(T$6,4)&gt;LEFT('RFM input'!$Q$60,4),0,
IF(T$6=(OFFSET('RFM input'!$G$60,0,'RFM input'!$V$7)),OFFSET('RFM input'!$J$411,$A1629,0),0)))</f>
        <v>0</v>
      </c>
      <c r="U1632" s="1422">
        <f ca="1">IF(LEFT(U$6,4)&lt;=LEFT('RFM input'!$G$60,4),"enter input",IF(LEFT(U$6,4)&gt;LEFT('RFM input'!$Q$60,4),0,
IF(U$6=(OFFSET('RFM input'!$G$60,0,'RFM input'!$V$7)),OFFSET('RFM input'!$J$411,$A1629,0),0)))</f>
        <v>0</v>
      </c>
      <c r="V1632" s="1422">
        <f ca="1">IF(LEFT(V$6,4)&lt;=LEFT('RFM input'!$G$60,4),"enter input",IF(LEFT(V$6,4)&gt;LEFT('RFM input'!$Q$60,4),0,
IF(V$6=(OFFSET('RFM input'!$G$60,0,'RFM input'!$V$7)),OFFSET('RFM input'!$J$411,$A1629,0),0)))</f>
        <v>0</v>
      </c>
      <c r="W1632" s="1422">
        <f ca="1">IF(LEFT(W$6,4)&lt;=LEFT('RFM input'!$G$60,4),"enter input",IF(LEFT(W$6,4)&gt;LEFT('RFM input'!$Q$60,4),0,
IF(W$6=(OFFSET('RFM input'!$G$60,0,'RFM input'!$V$7)),OFFSET('RFM input'!$J$411,$A1629,0),0)))</f>
        <v>0</v>
      </c>
      <c r="X1632" s="152"/>
      <c r="Y1632" s="152"/>
      <c r="Z1632" s="152"/>
      <c r="AA1632" s="152"/>
      <c r="AB1632" s="152"/>
    </row>
    <row r="1633" spans="1:28" hidden="1" outlineLevel="1">
      <c r="A1633" s="235">
        <v>-1</v>
      </c>
      <c r="B1633" s="190" t="s">
        <v>195</v>
      </c>
      <c r="C1633" s="1423"/>
      <c r="D1633" s="1423">
        <f t="shared" ref="D1633" ca="1" si="2352">IF(AND(D1631=0,C1633=0),0,
IF(AND(D1631&lt;&gt;0,C1633=0),D1631,
IF(AND(D1632&lt;&gt;0,C1633&lt;&gt;0),(C1633-(C1633/C1657))+D1631,
IF(C1657&lt;1,0,(C1633-(C1633/C1657))))))</f>
        <v>0</v>
      </c>
      <c r="E1633" s="1423">
        <f t="shared" ref="E1633" ca="1" si="2353">IF(AND(E1631=0,D1633=0),0,
IF(AND(E1631&lt;&gt;0,D1633=0),E1631,
IF(AND(E1632&lt;&gt;0,D1633&lt;&gt;0),(D1633-(D1633/D1657))+E1631,
IF(D1657&lt;1,0,(D1633-(D1633/D1657))))))</f>
        <v>0</v>
      </c>
      <c r="F1633" s="1423">
        <f t="shared" ref="F1633" ca="1" si="2354">IF(AND(F1631=0,E1633=0),0,
IF(AND(F1631&lt;&gt;0,E1633=0),F1631,
IF(AND(F1632&lt;&gt;0,E1633&lt;&gt;0),(E1633-(E1633/E1657))+F1631,
IF(E1657&lt;1,0,(E1633-(E1633/E1657))))))</f>
        <v>0</v>
      </c>
      <c r="G1633" s="1423">
        <f t="shared" ref="G1633" ca="1" si="2355">IF(AND(G1631=0,F1633=0),0,
IF(AND(G1631&lt;&gt;0,F1633=0),G1631,
IF(AND(G1632&lt;&gt;0,F1633&lt;&gt;0),(F1633-(F1633/F1657))+G1631,
IF(F1657&lt;1,0,(F1633-(F1633/F1657))))))</f>
        <v>0</v>
      </c>
      <c r="H1633" s="1423">
        <f ca="1">IF(AND(H1631=0,G1633=0),0,
IF(AND(H1631&lt;&gt;0,G1633=0),H1631,
IF(AND(H1632&lt;&gt;0,G1633&lt;&gt;0),(G1633-(G1633/G1657))+H1631,
IF(G1657&lt;1,0,(G1633-(G1633/G1657))))))</f>
        <v>0</v>
      </c>
      <c r="I1633" s="1423">
        <f t="shared" ref="I1633" ca="1" si="2356">IF(AND(I1631=0,H1633=0),0,
IF(AND(I1631&lt;&gt;0,H1633=0),I1631,
IF(AND(I1632&lt;&gt;0,H1633&lt;&gt;0),(H1633-(H1633/H1657))+I1631,
IF(H1657&lt;1,0,(H1633-(H1633/H1657))))))</f>
        <v>0</v>
      </c>
      <c r="J1633" s="1423">
        <f t="shared" ref="J1633" ca="1" si="2357">IF(AND(J1631=0,I1633=0),0,
IF(AND(J1631&lt;&gt;0,I1633=0),J1631,
IF(AND(J1632&lt;&gt;0,I1633&lt;&gt;0),(I1633-(I1633/I1657))+J1631,
IF(I1657&lt;1,0,(I1633-(I1633/I1657))))))</f>
        <v>0</v>
      </c>
      <c r="K1633" s="1423">
        <f t="shared" ref="K1633" ca="1" si="2358">IF(AND(K1631=0,J1633=0),0,
IF(AND(K1631&lt;&gt;0,J1633=0),K1631,
IF(AND(K1632&lt;&gt;0,J1633&lt;&gt;0),(J1633-(J1633/J1657))+K1631,
IF(J1657&lt;1,0,(J1633-(J1633/J1657))))))</f>
        <v>0</v>
      </c>
      <c r="L1633" s="1423">
        <f t="shared" ref="L1633" ca="1" si="2359">IF(AND(L1631=0,K1633=0),0,
IF(AND(L1631&lt;&gt;0,K1633=0),L1631,
IF(AND(L1632&lt;&gt;0,K1633&lt;&gt;0),(K1633-(K1633/K1657))+L1631,
IF(K1657&lt;1,0,(K1633-(K1633/K1657))))))</f>
        <v>0</v>
      </c>
      <c r="M1633" s="1423">
        <f t="shared" ref="M1633" ca="1" si="2360">IF(AND(M1631=0,L1633=0),0,
IF(AND(M1631&lt;&gt;0,L1633=0),M1631,
IF(AND(M1632&lt;&gt;0,L1633&lt;&gt;0),(L1633-(L1633/L1657))+M1631,
IF(L1657&lt;1,0,(L1633-(L1633/L1657))))))</f>
        <v>0</v>
      </c>
      <c r="N1633" s="1423">
        <f t="shared" ref="N1633" ca="1" si="2361">IF(AND(N1631=0,M1633=0),0,
IF(AND(N1631&lt;&gt;0,M1633=0),N1631,
IF(AND(N1632&lt;&gt;0,M1633&lt;&gt;0),(M1633-(M1633/M1657))+N1631,
IF(M1657&lt;1,0,(M1633-(M1633/M1657))))))</f>
        <v>0</v>
      </c>
      <c r="O1633" s="1423">
        <f t="shared" ref="O1633" ca="1" si="2362">IF(AND(O1631=0,N1633=0),0,
IF(AND(O1631&lt;&gt;0,N1633=0),O1631,
IF(AND(O1632&lt;&gt;0,N1633&lt;&gt;0),(N1633-(N1633/N1657))+O1631,
IF(N1657&lt;1,0,(N1633-(N1633/N1657))))))</f>
        <v>0</v>
      </c>
      <c r="P1633" s="1423">
        <f t="shared" ref="P1633" ca="1" si="2363">IF(AND(P1631=0,O1633=0),0,
IF(AND(P1631&lt;&gt;0,O1633=0),P1631,
IF(AND(P1632&lt;&gt;0,O1633&lt;&gt;0),(O1633-(O1633/O1657))+P1631,
IF(O1657&lt;1,0,(O1633-(O1633/O1657))))))</f>
        <v>0</v>
      </c>
      <c r="Q1633" s="1423">
        <f t="shared" ref="Q1633" ca="1" si="2364">IF(AND(Q1631=0,P1633=0),0,
IF(AND(Q1631&lt;&gt;0,P1633=0),Q1631,
IF(AND(Q1632&lt;&gt;0,P1633&lt;&gt;0),(P1633-(P1633/P1657))+Q1631,
IF(P1657&lt;1,0,(P1633-(P1633/P1657))))))</f>
        <v>0</v>
      </c>
      <c r="R1633" s="1423">
        <f t="shared" ref="R1633" ca="1" si="2365">IF(AND(R1631=0,Q1633=0),0,
IF(AND(R1631&lt;&gt;0,Q1633=0),R1631,
IF(AND(R1632&lt;&gt;0,Q1633&lt;&gt;0),(Q1633-(Q1633/Q1657))+R1631,
IF(Q1657&lt;1,0,(Q1633-(Q1633/Q1657))))))</f>
        <v>0</v>
      </c>
      <c r="S1633" s="1423">
        <f t="shared" ref="S1633" ca="1" si="2366">IF(AND(S1631=0,R1633=0),0,
IF(AND(S1631&lt;&gt;0,R1633=0),S1631,
IF(AND(S1632&lt;&gt;0,R1633&lt;&gt;0),(R1633-(R1633/R1657))+S1631,
IF(R1657&lt;1,0,(R1633-(R1633/R1657))))))</f>
        <v>0</v>
      </c>
      <c r="T1633" s="1423">
        <f t="shared" ref="T1633" ca="1" si="2367">IF(AND(T1631=0,S1633=0),0,
IF(AND(T1631&lt;&gt;0,S1633=0),T1631,
IF(AND(T1632&lt;&gt;0,S1633&lt;&gt;0),(S1633-(S1633/S1657))+T1631,
IF(S1657&lt;1,0,(S1633-(S1633/S1657))))))</f>
        <v>0</v>
      </c>
      <c r="U1633" s="1423">
        <f t="shared" ref="U1633" ca="1" si="2368">IF(AND(U1631=0,T1633=0),0,
IF(AND(U1631&lt;&gt;0,T1633=0),U1631,
IF(AND(U1632&lt;&gt;0,T1633&lt;&gt;0),(T1633-(T1633/T1657))+U1631,
IF(T1657&lt;1,0,(T1633-(T1633/T1657))))))</f>
        <v>0</v>
      </c>
      <c r="V1633" s="1423">
        <f t="shared" ref="V1633" ca="1" si="2369">IF(AND(V1631=0,U1633=0),0,
IF(AND(V1631&lt;&gt;0,U1633=0),V1631,
IF(AND(V1632&lt;&gt;0,U1633&lt;&gt;0),(U1633-(U1633/U1657))+V1631,
IF(U1657&lt;1,0,(U1633-(U1633/U1657))))))</f>
        <v>0</v>
      </c>
      <c r="W1633" s="1423">
        <f t="shared" ref="W1633" ca="1" si="2370">IF(AND(W1631=0,V1633=0),0,
IF(AND(W1631&lt;&gt;0,V1633=0),W1631,
IF(AND(W1632&lt;&gt;0,V1633&lt;&gt;0),(V1633-(V1633/V1657))+W1631,
IF(V1657&lt;1,0,(V1633-(V1633/V1657))))))</f>
        <v>0</v>
      </c>
      <c r="X1633" s="152"/>
      <c r="Y1633" s="152"/>
      <c r="Z1633" s="152"/>
      <c r="AA1633" s="152"/>
      <c r="AB1633" s="152"/>
    </row>
    <row r="1634" spans="1:28" hidden="1" outlineLevel="1">
      <c r="A1634" s="199">
        <f>A1633+1</f>
        <v>0</v>
      </c>
      <c r="B1634" s="190" t="s">
        <v>527</v>
      </c>
      <c r="C1634" s="1423">
        <f ca="1">C1629</f>
        <v>0</v>
      </c>
      <c r="D1634" s="1423">
        <f ca="1">IF(C1658="n/a",C1634,IFERROR(IF((OFFSET($C1634,0,$A1634))&lt;0,
MIN(0,C1634-(OFFSET($C1634,0,$A1634)/(OFFSET($C1629,-$A1633,$A1634)))),
MAX(0,C1634-(OFFSET($C1634,0,$A1634)/(OFFSET($C1629,-$A1633,$A1634))))),0))</f>
        <v>0</v>
      </c>
      <c r="E1634" s="1423">
        <f t="shared" ref="E1634" ca="1" si="2371">IF(D1658="n/a",D1634,IFERROR(IF((OFFSET($C1634,0,$A1634))&lt;0,
MIN(0,D1634-(OFFSET($C1634,0,$A1634)/(OFFSET($C1629,-$A1633,$A1634)))),
MAX(0,D1634-(OFFSET($C1634,0,$A1634)/(OFFSET($C1629,-$A1633,$A1634))))),0))</f>
        <v>0</v>
      </c>
      <c r="F1634" s="1423">
        <f t="shared" ref="F1634:F1635" ca="1" si="2372">IF(E1658="n/a",E1634,IFERROR(IF((OFFSET($C1634,0,$A1634))&lt;0,
MIN(0,E1634-(OFFSET($C1634,0,$A1634)/(OFFSET($C1629,-$A1633,$A1634)))),
MAX(0,E1634-(OFFSET($C1634,0,$A1634)/(OFFSET($C1629,-$A1633,$A1634))))),0))</f>
        <v>0</v>
      </c>
      <c r="G1634" s="1423">
        <f t="shared" ref="G1634:G1636" ca="1" si="2373">IF(F1658="n/a",F1634,IFERROR(IF((OFFSET($C1634,0,$A1634))&lt;0,
MIN(0,F1634-(OFFSET($C1634,0,$A1634)/(OFFSET($C1629,-$A1633,$A1634)))),
MAX(0,F1634-(OFFSET($C1634,0,$A1634)/(OFFSET($C1629,-$A1633,$A1634))))),0))</f>
        <v>0</v>
      </c>
      <c r="H1634" s="1423">
        <f t="shared" ref="H1634:H1637" ca="1" si="2374">IF(G1658="n/a",G1634,IFERROR(IF((OFFSET($C1634,0,$A1634))&lt;0,
MIN(0,G1634-(OFFSET($C1634,0,$A1634)/(OFFSET($C1629,-$A1633,$A1634)))),
MAX(0,G1634-(OFFSET($C1634,0,$A1634)/(OFFSET($C1629,-$A1633,$A1634))))),0))</f>
        <v>0</v>
      </c>
      <c r="I1634" s="1423">
        <f t="shared" ref="I1634:I1638" ca="1" si="2375">IF(H1658="n/a",H1634,IFERROR(IF((OFFSET($C1634,0,$A1634))&lt;0,
MIN(0,H1634-(OFFSET($C1634,0,$A1634)/(OFFSET($C1629,-$A1633,$A1634)))),
MAX(0,H1634-(OFFSET($C1634,0,$A1634)/(OFFSET($C1629,-$A1633,$A1634))))),0))</f>
        <v>0</v>
      </c>
      <c r="J1634" s="1423">
        <f t="shared" ref="J1634:J1639" ca="1" si="2376">IF(I1658="n/a",I1634,IFERROR(IF((OFFSET($C1634,0,$A1634))&lt;0,
MIN(0,I1634-(OFFSET($C1634,0,$A1634)/(OFFSET($C1629,-$A1633,$A1634)))),
MAX(0,I1634-(OFFSET($C1634,0,$A1634)/(OFFSET($C1629,-$A1633,$A1634))))),0))</f>
        <v>0</v>
      </c>
      <c r="K1634" s="1423">
        <f t="shared" ref="K1634:K1640" ca="1" si="2377">IF(J1658="n/a",J1634,IFERROR(IF((OFFSET($C1634,0,$A1634))&lt;0,
MIN(0,J1634-(OFFSET($C1634,0,$A1634)/(OFFSET($C1629,-$A1633,$A1634)))),
MAX(0,J1634-(OFFSET($C1634,0,$A1634)/(OFFSET($C1629,-$A1633,$A1634))))),0))</f>
        <v>0</v>
      </c>
      <c r="L1634" s="1423">
        <f t="shared" ref="L1634:L1641" ca="1" si="2378">IF(K1658="n/a",K1634,IFERROR(IF((OFFSET($C1634,0,$A1634))&lt;0,
MIN(0,K1634-(OFFSET($C1634,0,$A1634)/(OFFSET($C1629,-$A1633,$A1634)))),
MAX(0,K1634-(OFFSET($C1634,0,$A1634)/(OFFSET($C1629,-$A1633,$A1634))))),0))</f>
        <v>0</v>
      </c>
      <c r="M1634" s="1423">
        <f t="shared" ref="M1634:M1642" ca="1" si="2379">IF(L1658="n/a",L1634,IFERROR(IF((OFFSET($C1634,0,$A1634))&lt;0,
MIN(0,L1634-(OFFSET($C1634,0,$A1634)/(OFFSET($C1629,-$A1633,$A1634)))),
MAX(0,L1634-(OFFSET($C1634,0,$A1634)/(OFFSET($C1629,-$A1633,$A1634))))),0))</f>
        <v>0</v>
      </c>
      <c r="N1634" s="1423">
        <f t="shared" ref="N1634:N1643" ca="1" si="2380">IF(M1658="n/a",M1634,IFERROR(IF((OFFSET($C1634,0,$A1634))&lt;0,
MIN(0,M1634-(OFFSET($C1634,0,$A1634)/(OFFSET($C1629,-$A1633,$A1634)))),
MAX(0,M1634-(OFFSET($C1634,0,$A1634)/(OFFSET($C1629,-$A1633,$A1634))))),0))</f>
        <v>0</v>
      </c>
      <c r="O1634" s="1423">
        <f t="shared" ref="O1634:O1644" ca="1" si="2381">IF(N1658="n/a",N1634,IFERROR(IF((OFFSET($C1634,0,$A1634))&lt;0,
MIN(0,N1634-(OFFSET($C1634,0,$A1634)/(OFFSET($C1629,-$A1633,$A1634)))),
MAX(0,N1634-(OFFSET($C1634,0,$A1634)/(OFFSET($C1629,-$A1633,$A1634))))),0))</f>
        <v>0</v>
      </c>
      <c r="P1634" s="1423">
        <f t="shared" ref="P1634:P1645" ca="1" si="2382">IF(O1658="n/a",O1634,IFERROR(IF((OFFSET($C1634,0,$A1634))&lt;0,
MIN(0,O1634-(OFFSET($C1634,0,$A1634)/(OFFSET($C1629,-$A1633,$A1634)))),
MAX(0,O1634-(OFFSET($C1634,0,$A1634)/(OFFSET($C1629,-$A1633,$A1634))))),0))</f>
        <v>0</v>
      </c>
      <c r="Q1634" s="1423">
        <f t="shared" ref="Q1634:Q1646" ca="1" si="2383">IF(P1658="n/a",P1634,IFERROR(IF((OFFSET($C1634,0,$A1634))&lt;0,
MIN(0,P1634-(OFFSET($C1634,0,$A1634)/(OFFSET($C1629,-$A1633,$A1634)))),
MAX(0,P1634-(OFFSET($C1634,0,$A1634)/(OFFSET($C1629,-$A1633,$A1634))))),0))</f>
        <v>0</v>
      </c>
      <c r="R1634" s="1423">
        <f t="shared" ref="R1634:R1647" ca="1" si="2384">IF(Q1658="n/a",Q1634,IFERROR(IF((OFFSET($C1634,0,$A1634))&lt;0,
MIN(0,Q1634-(OFFSET($C1634,0,$A1634)/(OFFSET($C1629,-$A1633,$A1634)))),
MAX(0,Q1634-(OFFSET($C1634,0,$A1634)/(OFFSET($C1629,-$A1633,$A1634))))),0))</f>
        <v>0</v>
      </c>
      <c r="S1634" s="1423">
        <f t="shared" ref="S1634:S1648" ca="1" si="2385">IF(R1658="n/a",R1634,IFERROR(IF((OFFSET($C1634,0,$A1634))&lt;0,
MIN(0,R1634-(OFFSET($C1634,0,$A1634)/(OFFSET($C1629,-$A1633,$A1634)))),
MAX(0,R1634-(OFFSET($C1634,0,$A1634)/(OFFSET($C1629,-$A1633,$A1634))))),0))</f>
        <v>0</v>
      </c>
      <c r="T1634" s="1423">
        <f t="shared" ref="T1634:T1649" ca="1" si="2386">IF(S1658="n/a",S1634,IFERROR(IF((OFFSET($C1634,0,$A1634))&lt;0,
MIN(0,S1634-(OFFSET($C1634,0,$A1634)/(OFFSET($C1629,-$A1633,$A1634)))),
MAX(0,S1634-(OFFSET($C1634,0,$A1634)/(OFFSET($C1629,-$A1633,$A1634))))),0))</f>
        <v>0</v>
      </c>
      <c r="U1634" s="1423">
        <f t="shared" ref="U1634:U1650" ca="1" si="2387">IF(T1658="n/a",T1634,IFERROR(IF((OFFSET($C1634,0,$A1634))&lt;0,
MIN(0,T1634-(OFFSET($C1634,0,$A1634)/(OFFSET($C1629,-$A1633,$A1634)))),
MAX(0,T1634-(OFFSET($C1634,0,$A1634)/(OFFSET($C1629,-$A1633,$A1634))))),0))</f>
        <v>0</v>
      </c>
      <c r="V1634" s="1423">
        <f t="shared" ref="V1634:V1651" ca="1" si="2388">IF(U1658="n/a",U1634,IFERROR(IF((OFFSET($C1634,0,$A1634))&lt;0,
MIN(0,U1634-(OFFSET($C1634,0,$A1634)/(OFFSET($C1629,-$A1633,$A1634)))),
MAX(0,U1634-(OFFSET($C1634,0,$A1634)/(OFFSET($C1629,-$A1633,$A1634))))),0))</f>
        <v>0</v>
      </c>
      <c r="W1634" s="1423">
        <f t="shared" ref="W1634:W1652" ca="1" si="2389">IF(V1658="n/a",V1634,IFERROR(IF((OFFSET($C1634,0,$A1634))&lt;0,
MIN(0,V1634-(OFFSET($C1634,0,$A1634)/(OFFSET($C1629,-$A1633,$A1634)))),
MAX(0,V1634-(OFFSET($C1634,0,$A1634)/(OFFSET($C1629,-$A1633,$A1634))))),0))</f>
        <v>0</v>
      </c>
      <c r="X1634" s="152"/>
      <c r="Y1634" s="152"/>
      <c r="Z1634" s="152"/>
      <c r="AA1634" s="152"/>
      <c r="AB1634" s="152"/>
    </row>
    <row r="1635" spans="1:28" hidden="1" outlineLevel="1">
      <c r="A1635" s="199">
        <f t="shared" ref="A1635:A1654" si="2390">A1634+1</f>
        <v>1</v>
      </c>
      <c r="B1635" s="190" t="str">
        <f t="shared" ref="B1635:B1654" ca="1" si="2391">"Depreciated Net Capex "&amp;OFFSET($C$6,0,A1635)</f>
        <v>Depreciated Net Capex 2016-17</v>
      </c>
      <c r="C1635" s="1424"/>
      <c r="D1635" s="1425">
        <f>D1629</f>
        <v>0</v>
      </c>
      <c r="E1635" s="1423">
        <f ca="1">IF(D1659="n/a",D1635,IFERROR(IF((OFFSET($C1635,0,$A1635))&lt;0,
MIN(0,D1635-(OFFSET($C1635,0,$A1635)/(OFFSET($C1630,-$A1634,$A1635)))),
MAX(0,D1635-(OFFSET($C1635,0,$A1635)/(OFFSET($C1630,-$A1634,$A1635))))),0))</f>
        <v>0</v>
      </c>
      <c r="F1635" s="1423">
        <f t="shared" ca="1" si="2372"/>
        <v>0</v>
      </c>
      <c r="G1635" s="1423">
        <f t="shared" ca="1" si="2373"/>
        <v>0</v>
      </c>
      <c r="H1635" s="1423">
        <f t="shared" ca="1" si="2374"/>
        <v>0</v>
      </c>
      <c r="I1635" s="1423">
        <f t="shared" ca="1" si="2375"/>
        <v>0</v>
      </c>
      <c r="J1635" s="1423">
        <f t="shared" ca="1" si="2376"/>
        <v>0</v>
      </c>
      <c r="K1635" s="1423">
        <f t="shared" ca="1" si="2377"/>
        <v>0</v>
      </c>
      <c r="L1635" s="1423">
        <f t="shared" ca="1" si="2378"/>
        <v>0</v>
      </c>
      <c r="M1635" s="1423">
        <f t="shared" ca="1" si="2379"/>
        <v>0</v>
      </c>
      <c r="N1635" s="1423">
        <f t="shared" ca="1" si="2380"/>
        <v>0</v>
      </c>
      <c r="O1635" s="1423">
        <f t="shared" ca="1" si="2381"/>
        <v>0</v>
      </c>
      <c r="P1635" s="1423">
        <f t="shared" ca="1" si="2382"/>
        <v>0</v>
      </c>
      <c r="Q1635" s="1423">
        <f t="shared" ca="1" si="2383"/>
        <v>0</v>
      </c>
      <c r="R1635" s="1423">
        <f t="shared" ca="1" si="2384"/>
        <v>0</v>
      </c>
      <c r="S1635" s="1423">
        <f t="shared" ca="1" si="2385"/>
        <v>0</v>
      </c>
      <c r="T1635" s="1423">
        <f t="shared" ca="1" si="2386"/>
        <v>0</v>
      </c>
      <c r="U1635" s="1423">
        <f t="shared" ca="1" si="2387"/>
        <v>0</v>
      </c>
      <c r="V1635" s="1423">
        <f t="shared" ca="1" si="2388"/>
        <v>0</v>
      </c>
      <c r="W1635" s="1423">
        <f t="shared" ca="1" si="2389"/>
        <v>0</v>
      </c>
      <c r="X1635" s="152"/>
      <c r="Y1635" s="152"/>
      <c r="Z1635" s="152"/>
      <c r="AA1635" s="152"/>
      <c r="AB1635" s="152"/>
    </row>
    <row r="1636" spans="1:28" hidden="1" outlineLevel="1">
      <c r="A1636" s="199">
        <f t="shared" si="2390"/>
        <v>2</v>
      </c>
      <c r="B1636" s="190" t="str">
        <f t="shared" ca="1" si="2391"/>
        <v>Depreciated Net Capex 2017-18</v>
      </c>
      <c r="C1636" s="1426"/>
      <c r="D1636" s="1427"/>
      <c r="E1636" s="1425">
        <f>E1629</f>
        <v>0</v>
      </c>
      <c r="F1636" s="1423">
        <f ca="1">IF(E1660="n/a",E1636,IFERROR(IF((OFFSET($C1636,0,$A1636))&lt;0,
MIN(0,E1636-(OFFSET($C1636,0,$A1636)/(OFFSET($C1631,-$A1635,$A1636)))),
MAX(0,E1636-(OFFSET($C1636,0,$A1636)/(OFFSET($C1631,-$A1635,$A1636))))),0))</f>
        <v>0</v>
      </c>
      <c r="G1636" s="1423">
        <f t="shared" ca="1" si="2373"/>
        <v>0</v>
      </c>
      <c r="H1636" s="1423">
        <f t="shared" ca="1" si="2374"/>
        <v>0</v>
      </c>
      <c r="I1636" s="1423">
        <f t="shared" ca="1" si="2375"/>
        <v>0</v>
      </c>
      <c r="J1636" s="1423">
        <f t="shared" ca="1" si="2376"/>
        <v>0</v>
      </c>
      <c r="K1636" s="1423">
        <f t="shared" ca="1" si="2377"/>
        <v>0</v>
      </c>
      <c r="L1636" s="1423">
        <f t="shared" ca="1" si="2378"/>
        <v>0</v>
      </c>
      <c r="M1636" s="1423">
        <f t="shared" ca="1" si="2379"/>
        <v>0</v>
      </c>
      <c r="N1636" s="1423">
        <f t="shared" ca="1" si="2380"/>
        <v>0</v>
      </c>
      <c r="O1636" s="1423">
        <f t="shared" ca="1" si="2381"/>
        <v>0</v>
      </c>
      <c r="P1636" s="1423">
        <f t="shared" ca="1" si="2382"/>
        <v>0</v>
      </c>
      <c r="Q1636" s="1423">
        <f t="shared" ca="1" si="2383"/>
        <v>0</v>
      </c>
      <c r="R1636" s="1423">
        <f t="shared" ca="1" si="2384"/>
        <v>0</v>
      </c>
      <c r="S1636" s="1423">
        <f t="shared" ca="1" si="2385"/>
        <v>0</v>
      </c>
      <c r="T1636" s="1423">
        <f t="shared" ca="1" si="2386"/>
        <v>0</v>
      </c>
      <c r="U1636" s="1423">
        <f t="shared" ca="1" si="2387"/>
        <v>0</v>
      </c>
      <c r="V1636" s="1423">
        <f t="shared" ca="1" si="2388"/>
        <v>0</v>
      </c>
      <c r="W1636" s="1423">
        <f t="shared" ca="1" si="2389"/>
        <v>0</v>
      </c>
      <c r="X1636" s="202"/>
      <c r="Y1636" s="152"/>
      <c r="Z1636" s="152"/>
      <c r="AA1636" s="152"/>
      <c r="AB1636" s="152"/>
    </row>
    <row r="1637" spans="1:28" hidden="1" outlineLevel="1">
      <c r="A1637" s="199">
        <f t="shared" si="2390"/>
        <v>3</v>
      </c>
      <c r="B1637" s="190" t="str">
        <f t="shared" ca="1" si="2391"/>
        <v>Depreciated Net Capex 2018-19</v>
      </c>
      <c r="C1637" s="1426"/>
      <c r="D1637" s="1426"/>
      <c r="E1637" s="1427"/>
      <c r="F1637" s="1428">
        <f>F1629</f>
        <v>0</v>
      </c>
      <c r="G1637" s="1423">
        <f ca="1">IF(F1661="n/a",F1637,IFERROR(IF((OFFSET($C1637,0,$A1637))&lt;0,
MIN(0,F1637-(OFFSET($C1637,0,$A1637)/(OFFSET($C1632,-$A1636,$A1637)))),
MAX(0,F1637-(OFFSET($C1637,0,$A1637)/(OFFSET($C1632,-$A1636,$A1637))))),0))</f>
        <v>0</v>
      </c>
      <c r="H1637" s="1423">
        <f t="shared" ca="1" si="2374"/>
        <v>0</v>
      </c>
      <c r="I1637" s="1423">
        <f t="shared" ca="1" si="2375"/>
        <v>0</v>
      </c>
      <c r="J1637" s="1423">
        <f t="shared" ca="1" si="2376"/>
        <v>0</v>
      </c>
      <c r="K1637" s="1423">
        <f t="shared" ca="1" si="2377"/>
        <v>0</v>
      </c>
      <c r="L1637" s="1423">
        <f t="shared" ca="1" si="2378"/>
        <v>0</v>
      </c>
      <c r="M1637" s="1423">
        <f t="shared" ca="1" si="2379"/>
        <v>0</v>
      </c>
      <c r="N1637" s="1423">
        <f t="shared" ca="1" si="2380"/>
        <v>0</v>
      </c>
      <c r="O1637" s="1423">
        <f t="shared" ca="1" si="2381"/>
        <v>0</v>
      </c>
      <c r="P1637" s="1423">
        <f t="shared" ca="1" si="2382"/>
        <v>0</v>
      </c>
      <c r="Q1637" s="1423">
        <f t="shared" ca="1" si="2383"/>
        <v>0</v>
      </c>
      <c r="R1637" s="1423">
        <f t="shared" ca="1" si="2384"/>
        <v>0</v>
      </c>
      <c r="S1637" s="1423">
        <f t="shared" ca="1" si="2385"/>
        <v>0</v>
      </c>
      <c r="T1637" s="1423">
        <f t="shared" ca="1" si="2386"/>
        <v>0</v>
      </c>
      <c r="U1637" s="1423">
        <f t="shared" ca="1" si="2387"/>
        <v>0</v>
      </c>
      <c r="V1637" s="1423">
        <f t="shared" ca="1" si="2388"/>
        <v>0</v>
      </c>
      <c r="W1637" s="1423">
        <f t="shared" ca="1" si="2389"/>
        <v>0</v>
      </c>
      <c r="X1637" s="202"/>
      <c r="Y1637" s="202"/>
      <c r="Z1637" s="152"/>
      <c r="AA1637" s="152"/>
      <c r="AB1637" s="152"/>
    </row>
    <row r="1638" spans="1:28" hidden="1" outlineLevel="1">
      <c r="A1638" s="199">
        <f t="shared" si="2390"/>
        <v>4</v>
      </c>
      <c r="B1638" s="190" t="str">
        <f t="shared" ca="1" si="2391"/>
        <v>Depreciated Net Capex 2019-20</v>
      </c>
      <c r="C1638" s="1426"/>
      <c r="D1638" s="1426"/>
      <c r="E1638" s="1426"/>
      <c r="F1638" s="1427"/>
      <c r="G1638" s="1428">
        <f>G1629</f>
        <v>0</v>
      </c>
      <c r="H1638" s="1423">
        <f ca="1">IF(G1662="n/a",G1638,IFERROR(IF((OFFSET($C1638,0,$A1638))&lt;0,
MIN(0,G1638-(OFFSET($C1638,0,$A1638)/(OFFSET($C1633,-$A1637,$A1638)))),
MAX(0,G1638-(OFFSET($C1638,0,$A1638)/(OFFSET($C1633,-$A1637,$A1638))))),0))</f>
        <v>0</v>
      </c>
      <c r="I1638" s="1423">
        <f t="shared" ca="1" si="2375"/>
        <v>0</v>
      </c>
      <c r="J1638" s="1423">
        <f t="shared" ca="1" si="2376"/>
        <v>0</v>
      </c>
      <c r="K1638" s="1423">
        <f t="shared" ca="1" si="2377"/>
        <v>0</v>
      </c>
      <c r="L1638" s="1423">
        <f t="shared" ca="1" si="2378"/>
        <v>0</v>
      </c>
      <c r="M1638" s="1423">
        <f t="shared" ca="1" si="2379"/>
        <v>0</v>
      </c>
      <c r="N1638" s="1423">
        <f t="shared" ca="1" si="2380"/>
        <v>0</v>
      </c>
      <c r="O1638" s="1423">
        <f t="shared" ca="1" si="2381"/>
        <v>0</v>
      </c>
      <c r="P1638" s="1423">
        <f t="shared" ca="1" si="2382"/>
        <v>0</v>
      </c>
      <c r="Q1638" s="1423">
        <f t="shared" ca="1" si="2383"/>
        <v>0</v>
      </c>
      <c r="R1638" s="1423">
        <f t="shared" ca="1" si="2384"/>
        <v>0</v>
      </c>
      <c r="S1638" s="1423">
        <f t="shared" ca="1" si="2385"/>
        <v>0</v>
      </c>
      <c r="T1638" s="1423">
        <f t="shared" ca="1" si="2386"/>
        <v>0</v>
      </c>
      <c r="U1638" s="1423">
        <f t="shared" ca="1" si="2387"/>
        <v>0</v>
      </c>
      <c r="V1638" s="1423">
        <f t="shared" ca="1" si="2388"/>
        <v>0</v>
      </c>
      <c r="W1638" s="1423">
        <f t="shared" ca="1" si="2389"/>
        <v>0</v>
      </c>
      <c r="X1638" s="202"/>
      <c r="Y1638" s="202"/>
      <c r="Z1638" s="202"/>
      <c r="AA1638" s="152"/>
      <c r="AB1638" s="152"/>
    </row>
    <row r="1639" spans="1:28" hidden="1" outlineLevel="1">
      <c r="A1639" s="199">
        <f t="shared" si="2390"/>
        <v>5</v>
      </c>
      <c r="B1639" s="190" t="str">
        <f t="shared" ca="1" si="2391"/>
        <v>Depreciated Net Capex 2020-21</v>
      </c>
      <c r="C1639" s="1426"/>
      <c r="D1639" s="1426"/>
      <c r="E1639" s="1426"/>
      <c r="F1639" s="1426"/>
      <c r="G1639" s="1427"/>
      <c r="H1639" s="1428">
        <f>H1629</f>
        <v>0</v>
      </c>
      <c r="I1639" s="1423">
        <f ca="1">IF(H1663="n/a",H1639,IFERROR(IF((OFFSET($C1639,0,$A1639))&lt;0,
MIN(0,H1639-(OFFSET($C1639,0,$A1639)/(OFFSET($C1634,-$A1638,$A1639)))),
MAX(0,H1639-(OFFSET($C1639,0,$A1639)/(OFFSET($C1634,-$A1638,$A1639))))),0))</f>
        <v>0</v>
      </c>
      <c r="J1639" s="1423">
        <f t="shared" ca="1" si="2376"/>
        <v>0</v>
      </c>
      <c r="K1639" s="1423">
        <f t="shared" ca="1" si="2377"/>
        <v>0</v>
      </c>
      <c r="L1639" s="1423">
        <f t="shared" ca="1" si="2378"/>
        <v>0</v>
      </c>
      <c r="M1639" s="1423">
        <f t="shared" ca="1" si="2379"/>
        <v>0</v>
      </c>
      <c r="N1639" s="1423">
        <f t="shared" ca="1" si="2380"/>
        <v>0</v>
      </c>
      <c r="O1639" s="1423">
        <f t="shared" ca="1" si="2381"/>
        <v>0</v>
      </c>
      <c r="P1639" s="1423">
        <f t="shared" ca="1" si="2382"/>
        <v>0</v>
      </c>
      <c r="Q1639" s="1423">
        <f t="shared" ca="1" si="2383"/>
        <v>0</v>
      </c>
      <c r="R1639" s="1423">
        <f t="shared" ca="1" si="2384"/>
        <v>0</v>
      </c>
      <c r="S1639" s="1423">
        <f t="shared" ca="1" si="2385"/>
        <v>0</v>
      </c>
      <c r="T1639" s="1423">
        <f t="shared" ca="1" si="2386"/>
        <v>0</v>
      </c>
      <c r="U1639" s="1423">
        <f t="shared" ca="1" si="2387"/>
        <v>0</v>
      </c>
      <c r="V1639" s="1423">
        <f t="shared" ca="1" si="2388"/>
        <v>0</v>
      </c>
      <c r="W1639" s="1423">
        <f t="shared" ca="1" si="2389"/>
        <v>0</v>
      </c>
      <c r="X1639" s="202"/>
      <c r="Y1639" s="202"/>
      <c r="Z1639" s="202"/>
      <c r="AA1639" s="152"/>
      <c r="AB1639" s="152"/>
    </row>
    <row r="1640" spans="1:28" hidden="1" outlineLevel="1">
      <c r="A1640" s="199">
        <f t="shared" si="2390"/>
        <v>6</v>
      </c>
      <c r="B1640" s="190" t="str">
        <f t="shared" ca="1" si="2391"/>
        <v>Depreciated Net Capex 2021-22</v>
      </c>
      <c r="C1640" s="1426"/>
      <c r="D1640" s="1426"/>
      <c r="E1640" s="1426"/>
      <c r="F1640" s="1426"/>
      <c r="G1640" s="1426"/>
      <c r="H1640" s="1427"/>
      <c r="I1640" s="1428">
        <f>I1629</f>
        <v>0</v>
      </c>
      <c r="J1640" s="1423">
        <f ca="1">IF(I1664="n/a",I1640,IFERROR(IF((OFFSET($C1640,0,$A1640))&lt;0,
MIN(0,I1640-(OFFSET($C1640,0,$A1640)/(OFFSET($C1635,-$A1639,$A1640)))),
MAX(0,I1640-(OFFSET($C1640,0,$A1640)/(OFFSET($C1635,-$A1639,$A1640))))),0))</f>
        <v>0</v>
      </c>
      <c r="K1640" s="1423">
        <f t="shared" ca="1" si="2377"/>
        <v>0</v>
      </c>
      <c r="L1640" s="1423">
        <f t="shared" ca="1" si="2378"/>
        <v>0</v>
      </c>
      <c r="M1640" s="1423">
        <f t="shared" ca="1" si="2379"/>
        <v>0</v>
      </c>
      <c r="N1640" s="1423">
        <f t="shared" ca="1" si="2380"/>
        <v>0</v>
      </c>
      <c r="O1640" s="1423">
        <f t="shared" ca="1" si="2381"/>
        <v>0</v>
      </c>
      <c r="P1640" s="1423">
        <f t="shared" ca="1" si="2382"/>
        <v>0</v>
      </c>
      <c r="Q1640" s="1423">
        <f t="shared" ca="1" si="2383"/>
        <v>0</v>
      </c>
      <c r="R1640" s="1423">
        <f t="shared" ca="1" si="2384"/>
        <v>0</v>
      </c>
      <c r="S1640" s="1423">
        <f t="shared" ca="1" si="2385"/>
        <v>0</v>
      </c>
      <c r="T1640" s="1423">
        <f t="shared" ca="1" si="2386"/>
        <v>0</v>
      </c>
      <c r="U1640" s="1423">
        <f t="shared" ca="1" si="2387"/>
        <v>0</v>
      </c>
      <c r="V1640" s="1423">
        <f t="shared" ca="1" si="2388"/>
        <v>0</v>
      </c>
      <c r="W1640" s="1423">
        <f t="shared" ca="1" si="2389"/>
        <v>0</v>
      </c>
      <c r="X1640" s="202"/>
      <c r="Y1640" s="202"/>
      <c r="Z1640" s="202"/>
      <c r="AA1640" s="152"/>
      <c r="AB1640" s="152"/>
    </row>
    <row r="1641" spans="1:28" hidden="1" outlineLevel="1">
      <c r="A1641" s="199">
        <f t="shared" si="2390"/>
        <v>7</v>
      </c>
      <c r="B1641" s="190" t="str">
        <f t="shared" ca="1" si="2391"/>
        <v>Depreciated Net Capex 2022-23</v>
      </c>
      <c r="C1641" s="1426"/>
      <c r="D1641" s="1426"/>
      <c r="E1641" s="1426"/>
      <c r="F1641" s="1426"/>
      <c r="G1641" s="1426"/>
      <c r="H1641" s="1426"/>
      <c r="I1641" s="1427"/>
      <c r="J1641" s="1428">
        <f>J1629</f>
        <v>0</v>
      </c>
      <c r="K1641" s="1423">
        <f ca="1">IF(J1665="n/a",J1641,IFERROR(IF((OFFSET($C1641,0,$A1641))&lt;0,
MIN(0,J1641-(OFFSET($C1641,0,$A1641)/(OFFSET($C1636,-$A1640,$A1641)))),
MAX(0,J1641-(OFFSET($C1641,0,$A1641)/(OFFSET($C1636,-$A1640,$A1641))))),0))</f>
        <v>0</v>
      </c>
      <c r="L1641" s="1423">
        <f t="shared" ca="1" si="2378"/>
        <v>0</v>
      </c>
      <c r="M1641" s="1423">
        <f t="shared" ca="1" si="2379"/>
        <v>0</v>
      </c>
      <c r="N1641" s="1423">
        <f t="shared" ca="1" si="2380"/>
        <v>0</v>
      </c>
      <c r="O1641" s="1423">
        <f t="shared" ca="1" si="2381"/>
        <v>0</v>
      </c>
      <c r="P1641" s="1423">
        <f t="shared" ca="1" si="2382"/>
        <v>0</v>
      </c>
      <c r="Q1641" s="1423">
        <f t="shared" ca="1" si="2383"/>
        <v>0</v>
      </c>
      <c r="R1641" s="1423">
        <f t="shared" ca="1" si="2384"/>
        <v>0</v>
      </c>
      <c r="S1641" s="1423">
        <f t="shared" ca="1" si="2385"/>
        <v>0</v>
      </c>
      <c r="T1641" s="1423">
        <f t="shared" ca="1" si="2386"/>
        <v>0</v>
      </c>
      <c r="U1641" s="1423">
        <f t="shared" ca="1" si="2387"/>
        <v>0</v>
      </c>
      <c r="V1641" s="1423">
        <f t="shared" ca="1" si="2388"/>
        <v>0</v>
      </c>
      <c r="W1641" s="1423">
        <f t="shared" ca="1" si="2389"/>
        <v>0</v>
      </c>
      <c r="X1641" s="202"/>
      <c r="Y1641" s="202"/>
      <c r="Z1641" s="202"/>
      <c r="AA1641" s="152"/>
      <c r="AB1641" s="152"/>
    </row>
    <row r="1642" spans="1:28" hidden="1" outlineLevel="1">
      <c r="A1642" s="199">
        <f t="shared" si="2390"/>
        <v>8</v>
      </c>
      <c r="B1642" s="190" t="str">
        <f t="shared" ca="1" si="2391"/>
        <v>Depreciated Net Capex 2023-24</v>
      </c>
      <c r="C1642" s="1426"/>
      <c r="D1642" s="1426"/>
      <c r="E1642" s="1426"/>
      <c r="F1642" s="1426"/>
      <c r="G1642" s="1426"/>
      <c r="H1642" s="1426"/>
      <c r="I1642" s="1426"/>
      <c r="J1642" s="1427"/>
      <c r="K1642" s="1428">
        <f>K1629</f>
        <v>0</v>
      </c>
      <c r="L1642" s="1423">
        <f ca="1">IF(K1666="n/a",K1642,IFERROR(IF((OFFSET($C1642,0,$A1642))&lt;0,
MIN(0,K1642-(OFFSET($C1642,0,$A1642)/(OFFSET($C1637,-$A1641,$A1642)))),
MAX(0,K1642-(OFFSET($C1642,0,$A1642)/(OFFSET($C1637,-$A1641,$A1642))))),0))</f>
        <v>0</v>
      </c>
      <c r="M1642" s="1423">
        <f t="shared" ca="1" si="2379"/>
        <v>0</v>
      </c>
      <c r="N1642" s="1423">
        <f t="shared" ca="1" si="2380"/>
        <v>0</v>
      </c>
      <c r="O1642" s="1423">
        <f t="shared" ca="1" si="2381"/>
        <v>0</v>
      </c>
      <c r="P1642" s="1423">
        <f t="shared" ca="1" si="2382"/>
        <v>0</v>
      </c>
      <c r="Q1642" s="1423">
        <f t="shared" ca="1" si="2383"/>
        <v>0</v>
      </c>
      <c r="R1642" s="1423">
        <f t="shared" ca="1" si="2384"/>
        <v>0</v>
      </c>
      <c r="S1642" s="1423">
        <f t="shared" ca="1" si="2385"/>
        <v>0</v>
      </c>
      <c r="T1642" s="1423">
        <f t="shared" ca="1" si="2386"/>
        <v>0</v>
      </c>
      <c r="U1642" s="1423">
        <f t="shared" ca="1" si="2387"/>
        <v>0</v>
      </c>
      <c r="V1642" s="1423">
        <f t="shared" ca="1" si="2388"/>
        <v>0</v>
      </c>
      <c r="W1642" s="1423">
        <f t="shared" ca="1" si="2389"/>
        <v>0</v>
      </c>
      <c r="X1642" s="202"/>
      <c r="Y1642" s="202"/>
      <c r="Z1642" s="202"/>
      <c r="AA1642" s="152"/>
      <c r="AB1642" s="152"/>
    </row>
    <row r="1643" spans="1:28" hidden="1" outlineLevel="1">
      <c r="A1643" s="199">
        <f t="shared" si="2390"/>
        <v>9</v>
      </c>
      <c r="B1643" s="190" t="str">
        <f t="shared" ca="1" si="2391"/>
        <v>Depreciated Net Capex 2024-25</v>
      </c>
      <c r="C1643" s="1426"/>
      <c r="D1643" s="1426"/>
      <c r="E1643" s="1426"/>
      <c r="F1643" s="1426"/>
      <c r="G1643" s="1426"/>
      <c r="H1643" s="1426"/>
      <c r="I1643" s="1426"/>
      <c r="J1643" s="1426"/>
      <c r="K1643" s="1427"/>
      <c r="L1643" s="1428">
        <f>L1629</f>
        <v>0</v>
      </c>
      <c r="M1643" s="1423">
        <f ca="1">IF(L1667="n/a",L1643,IFERROR(IF((OFFSET($C1643,0,$A1643))&lt;0,
MIN(0,L1643-(OFFSET($C1643,0,$A1643)/(OFFSET($C1638,-$A1642,$A1643)))),
MAX(0,L1643-(OFFSET($C1643,0,$A1643)/(OFFSET($C1638,-$A1642,$A1643))))),0))</f>
        <v>0</v>
      </c>
      <c r="N1643" s="1423">
        <f t="shared" ca="1" si="2380"/>
        <v>0</v>
      </c>
      <c r="O1643" s="1423">
        <f t="shared" ca="1" si="2381"/>
        <v>0</v>
      </c>
      <c r="P1643" s="1423">
        <f t="shared" ca="1" si="2382"/>
        <v>0</v>
      </c>
      <c r="Q1643" s="1423">
        <f t="shared" ca="1" si="2383"/>
        <v>0</v>
      </c>
      <c r="R1643" s="1423">
        <f t="shared" ca="1" si="2384"/>
        <v>0</v>
      </c>
      <c r="S1643" s="1423">
        <f t="shared" ca="1" si="2385"/>
        <v>0</v>
      </c>
      <c r="T1643" s="1423">
        <f t="shared" ca="1" si="2386"/>
        <v>0</v>
      </c>
      <c r="U1643" s="1423">
        <f t="shared" ca="1" si="2387"/>
        <v>0</v>
      </c>
      <c r="V1643" s="1423">
        <f t="shared" ca="1" si="2388"/>
        <v>0</v>
      </c>
      <c r="W1643" s="1423">
        <f t="shared" ca="1" si="2389"/>
        <v>0</v>
      </c>
      <c r="X1643" s="202"/>
      <c r="Y1643" s="202"/>
      <c r="Z1643" s="202"/>
      <c r="AA1643" s="152"/>
      <c r="AB1643" s="152"/>
    </row>
    <row r="1644" spans="1:28" hidden="1" outlineLevel="1">
      <c r="A1644" s="199">
        <f t="shared" si="2390"/>
        <v>10</v>
      </c>
      <c r="B1644" s="190" t="str">
        <f t="shared" ca="1" si="2391"/>
        <v>Depreciated Net Capex 2025-26</v>
      </c>
      <c r="C1644" s="1426"/>
      <c r="D1644" s="1426"/>
      <c r="E1644" s="1426"/>
      <c r="F1644" s="1426"/>
      <c r="G1644" s="1426"/>
      <c r="H1644" s="1426"/>
      <c r="I1644" s="1426"/>
      <c r="J1644" s="1426"/>
      <c r="K1644" s="1426"/>
      <c r="L1644" s="1427"/>
      <c r="M1644" s="1428">
        <f>M1629</f>
        <v>0</v>
      </c>
      <c r="N1644" s="1423">
        <f ca="1">IF(M1668="n/a",M1644,IFERROR(IF((OFFSET($C1644,0,$A1644))&lt;0,
MIN(0,M1644-(OFFSET($C1644,0,$A1644)/(OFFSET($C1639,-$A1643,$A1644)))),
MAX(0,M1644-(OFFSET($C1644,0,$A1644)/(OFFSET($C1639,-$A1643,$A1644))))),0))</f>
        <v>0</v>
      </c>
      <c r="O1644" s="1423">
        <f t="shared" ca="1" si="2381"/>
        <v>0</v>
      </c>
      <c r="P1644" s="1423">
        <f t="shared" ca="1" si="2382"/>
        <v>0</v>
      </c>
      <c r="Q1644" s="1423">
        <f t="shared" ca="1" si="2383"/>
        <v>0</v>
      </c>
      <c r="R1644" s="1423">
        <f t="shared" ca="1" si="2384"/>
        <v>0</v>
      </c>
      <c r="S1644" s="1423">
        <f t="shared" ca="1" si="2385"/>
        <v>0</v>
      </c>
      <c r="T1644" s="1423">
        <f t="shared" ca="1" si="2386"/>
        <v>0</v>
      </c>
      <c r="U1644" s="1423">
        <f t="shared" ca="1" si="2387"/>
        <v>0</v>
      </c>
      <c r="V1644" s="1423">
        <f t="shared" ca="1" si="2388"/>
        <v>0</v>
      </c>
      <c r="W1644" s="1423">
        <f t="shared" ca="1" si="2389"/>
        <v>0</v>
      </c>
      <c r="X1644" s="202"/>
      <c r="Y1644" s="202"/>
      <c r="Z1644" s="202"/>
      <c r="AA1644" s="152"/>
      <c r="AB1644" s="152"/>
    </row>
    <row r="1645" spans="1:28" hidden="1" outlineLevel="1">
      <c r="A1645" s="199">
        <f t="shared" si="2390"/>
        <v>11</v>
      </c>
      <c r="B1645" s="190" t="str">
        <f t="shared" ca="1" si="2391"/>
        <v>Depreciated Net Capex 2026-27</v>
      </c>
      <c r="C1645" s="1426"/>
      <c r="D1645" s="1426"/>
      <c r="E1645" s="1426"/>
      <c r="F1645" s="1426"/>
      <c r="G1645" s="1426"/>
      <c r="H1645" s="1426"/>
      <c r="I1645" s="1426"/>
      <c r="J1645" s="1426"/>
      <c r="K1645" s="1426"/>
      <c r="L1645" s="1426"/>
      <c r="M1645" s="1427"/>
      <c r="N1645" s="1428">
        <f>N1629</f>
        <v>0</v>
      </c>
      <c r="O1645" s="1423">
        <f ca="1">IF(N1669="n/a",N1645,IFERROR(IF((OFFSET($C1645,0,$A1645))&lt;0,
MIN(0,N1645-(OFFSET($C1645,0,$A1645)/(OFFSET($C1640,-$A1644,$A1645)))),
MAX(0,N1645-(OFFSET($C1645,0,$A1645)/(OFFSET($C1640,-$A1644,$A1645))))),0))</f>
        <v>0</v>
      </c>
      <c r="P1645" s="1423">
        <f t="shared" ca="1" si="2382"/>
        <v>0</v>
      </c>
      <c r="Q1645" s="1423">
        <f t="shared" ca="1" si="2383"/>
        <v>0</v>
      </c>
      <c r="R1645" s="1423">
        <f t="shared" ca="1" si="2384"/>
        <v>0</v>
      </c>
      <c r="S1645" s="1423">
        <f t="shared" ca="1" si="2385"/>
        <v>0</v>
      </c>
      <c r="T1645" s="1423">
        <f t="shared" ca="1" si="2386"/>
        <v>0</v>
      </c>
      <c r="U1645" s="1423">
        <f t="shared" ca="1" si="2387"/>
        <v>0</v>
      </c>
      <c r="V1645" s="1423">
        <f t="shared" ca="1" si="2388"/>
        <v>0</v>
      </c>
      <c r="W1645" s="1423">
        <f t="shared" ca="1" si="2389"/>
        <v>0</v>
      </c>
      <c r="X1645" s="202"/>
      <c r="Y1645" s="202"/>
      <c r="Z1645" s="202"/>
      <c r="AA1645" s="152"/>
      <c r="AB1645" s="152"/>
    </row>
    <row r="1646" spans="1:28" hidden="1" outlineLevel="1">
      <c r="A1646" s="199">
        <f t="shared" si="2390"/>
        <v>12</v>
      </c>
      <c r="B1646" s="190" t="str">
        <f t="shared" ca="1" si="2391"/>
        <v>Depreciated Net Capex 2027-28</v>
      </c>
      <c r="C1646" s="1426"/>
      <c r="D1646" s="1426"/>
      <c r="E1646" s="1426"/>
      <c r="F1646" s="1426"/>
      <c r="G1646" s="1426"/>
      <c r="H1646" s="1426"/>
      <c r="I1646" s="1426"/>
      <c r="J1646" s="1426"/>
      <c r="K1646" s="1426"/>
      <c r="L1646" s="1426"/>
      <c r="M1646" s="1426"/>
      <c r="N1646" s="1427"/>
      <c r="O1646" s="1428">
        <f>O1629</f>
        <v>0</v>
      </c>
      <c r="P1646" s="1423">
        <f ca="1">IF(O1670="n/a",O1646,IFERROR(IF((OFFSET($C1646,0,$A1646))&lt;0,
MIN(0,O1646-(OFFSET($C1646,0,$A1646)/(OFFSET($C1641,-$A1645,$A1646)))),
MAX(0,O1646-(OFFSET($C1646,0,$A1646)/(OFFSET($C1641,-$A1645,$A1646))))),0))</f>
        <v>0</v>
      </c>
      <c r="Q1646" s="1423">
        <f t="shared" ca="1" si="2383"/>
        <v>0</v>
      </c>
      <c r="R1646" s="1423">
        <f t="shared" ca="1" si="2384"/>
        <v>0</v>
      </c>
      <c r="S1646" s="1423">
        <f t="shared" ca="1" si="2385"/>
        <v>0</v>
      </c>
      <c r="T1646" s="1423">
        <f t="shared" ca="1" si="2386"/>
        <v>0</v>
      </c>
      <c r="U1646" s="1423">
        <f t="shared" ca="1" si="2387"/>
        <v>0</v>
      </c>
      <c r="V1646" s="1423">
        <f t="shared" ca="1" si="2388"/>
        <v>0</v>
      </c>
      <c r="W1646" s="1423">
        <f t="shared" ca="1" si="2389"/>
        <v>0</v>
      </c>
      <c r="X1646" s="202"/>
      <c r="Y1646" s="202"/>
      <c r="Z1646" s="202"/>
      <c r="AA1646" s="152"/>
      <c r="AB1646" s="152"/>
    </row>
    <row r="1647" spans="1:28" hidden="1" outlineLevel="1">
      <c r="A1647" s="199">
        <f t="shared" si="2390"/>
        <v>13</v>
      </c>
      <c r="B1647" s="190" t="str">
        <f t="shared" ca="1" si="2391"/>
        <v>Depreciated Net Capex 2028-29</v>
      </c>
      <c r="C1647" s="1426"/>
      <c r="D1647" s="1426"/>
      <c r="E1647" s="1426"/>
      <c r="F1647" s="1426"/>
      <c r="G1647" s="1426"/>
      <c r="H1647" s="1426"/>
      <c r="I1647" s="1426"/>
      <c r="J1647" s="1426"/>
      <c r="K1647" s="1426"/>
      <c r="L1647" s="1426"/>
      <c r="M1647" s="1426"/>
      <c r="N1647" s="1426"/>
      <c r="O1647" s="1427"/>
      <c r="P1647" s="1428">
        <f>P1629</f>
        <v>0</v>
      </c>
      <c r="Q1647" s="1423">
        <f ca="1">IF(P1671="n/a",P1647,IFERROR(IF((OFFSET($C1647,0,$A1647))&lt;0,
MIN(0,P1647-(OFFSET($C1647,0,$A1647)/(OFFSET($C1642,-$A1646,$A1647)))),
MAX(0,P1647-(OFFSET($C1647,0,$A1647)/(OFFSET($C1642,-$A1646,$A1647))))),0))</f>
        <v>0</v>
      </c>
      <c r="R1647" s="1423">
        <f t="shared" ca="1" si="2384"/>
        <v>0</v>
      </c>
      <c r="S1647" s="1423">
        <f t="shared" ca="1" si="2385"/>
        <v>0</v>
      </c>
      <c r="T1647" s="1423">
        <f t="shared" ca="1" si="2386"/>
        <v>0</v>
      </c>
      <c r="U1647" s="1423">
        <f t="shared" ca="1" si="2387"/>
        <v>0</v>
      </c>
      <c r="V1647" s="1423">
        <f t="shared" ca="1" si="2388"/>
        <v>0</v>
      </c>
      <c r="W1647" s="1423">
        <f t="shared" ca="1" si="2389"/>
        <v>0</v>
      </c>
      <c r="X1647" s="202"/>
      <c r="Y1647" s="202"/>
      <c r="Z1647" s="202"/>
      <c r="AA1647" s="152"/>
      <c r="AB1647" s="152"/>
    </row>
    <row r="1648" spans="1:28" hidden="1" outlineLevel="1">
      <c r="A1648" s="199">
        <f t="shared" si="2390"/>
        <v>14</v>
      </c>
      <c r="B1648" s="190" t="str">
        <f t="shared" ca="1" si="2391"/>
        <v>Depreciated Net Capex 2029-30</v>
      </c>
      <c r="C1648" s="1426"/>
      <c r="D1648" s="1426"/>
      <c r="E1648" s="1426"/>
      <c r="F1648" s="1426"/>
      <c r="G1648" s="1426"/>
      <c r="H1648" s="1426"/>
      <c r="I1648" s="1426"/>
      <c r="J1648" s="1426"/>
      <c r="K1648" s="1426"/>
      <c r="L1648" s="1426"/>
      <c r="M1648" s="1426"/>
      <c r="N1648" s="1426"/>
      <c r="O1648" s="1426"/>
      <c r="P1648" s="1427"/>
      <c r="Q1648" s="1428">
        <f>Q1629</f>
        <v>0</v>
      </c>
      <c r="R1648" s="1423">
        <f ca="1">IF(Q1672="n/a",Q1648,IFERROR(IF((OFFSET($C1648,0,$A1648))&lt;0,
MIN(0,Q1648-(OFFSET($C1648,0,$A1648)/(OFFSET($C1643,-$A1647,$A1648)))),
MAX(0,Q1648-(OFFSET($C1648,0,$A1648)/(OFFSET($C1643,-$A1647,$A1648))))),0))</f>
        <v>0</v>
      </c>
      <c r="S1648" s="1423">
        <f t="shared" ca="1" si="2385"/>
        <v>0</v>
      </c>
      <c r="T1648" s="1423">
        <f t="shared" ca="1" si="2386"/>
        <v>0</v>
      </c>
      <c r="U1648" s="1423">
        <f t="shared" ca="1" si="2387"/>
        <v>0</v>
      </c>
      <c r="V1648" s="1423">
        <f t="shared" ca="1" si="2388"/>
        <v>0</v>
      </c>
      <c r="W1648" s="1423">
        <f t="shared" ca="1" si="2389"/>
        <v>0</v>
      </c>
      <c r="X1648" s="202"/>
      <c r="Y1648" s="202"/>
      <c r="Z1648" s="202"/>
      <c r="AA1648" s="152"/>
      <c r="AB1648" s="152"/>
    </row>
    <row r="1649" spans="1:28" hidden="1" outlineLevel="1">
      <c r="A1649" s="199">
        <f t="shared" si="2390"/>
        <v>15</v>
      </c>
      <c r="B1649" s="190" t="str">
        <f t="shared" ca="1" si="2391"/>
        <v>Depreciated Net Capex 2030-31</v>
      </c>
      <c r="C1649" s="1426"/>
      <c r="D1649" s="1426"/>
      <c r="E1649" s="1426"/>
      <c r="F1649" s="1426"/>
      <c r="G1649" s="1426"/>
      <c r="H1649" s="1426"/>
      <c r="I1649" s="1426"/>
      <c r="J1649" s="1426"/>
      <c r="K1649" s="1426"/>
      <c r="L1649" s="1426"/>
      <c r="M1649" s="1426"/>
      <c r="N1649" s="1426"/>
      <c r="O1649" s="1426"/>
      <c r="P1649" s="1426"/>
      <c r="Q1649" s="1427"/>
      <c r="R1649" s="1428">
        <f>R1629</f>
        <v>0</v>
      </c>
      <c r="S1649" s="1423">
        <f ca="1">IF(R1673="n/a",R1649,IFERROR(IF((OFFSET($C1649,0,$A1649))&lt;0,
MIN(0,R1649-(OFFSET($C1649,0,$A1649)/(OFFSET($C1644,-$A1648,$A1649)))),
MAX(0,R1649-(OFFSET($C1649,0,$A1649)/(OFFSET($C1644,-$A1648,$A1649))))),0))</f>
        <v>0</v>
      </c>
      <c r="T1649" s="1423">
        <f t="shared" ca="1" si="2386"/>
        <v>0</v>
      </c>
      <c r="U1649" s="1423">
        <f t="shared" ca="1" si="2387"/>
        <v>0</v>
      </c>
      <c r="V1649" s="1423">
        <f t="shared" ca="1" si="2388"/>
        <v>0</v>
      </c>
      <c r="W1649" s="1423">
        <f t="shared" ca="1" si="2389"/>
        <v>0</v>
      </c>
      <c r="X1649" s="202"/>
      <c r="Y1649" s="202"/>
      <c r="Z1649" s="202"/>
      <c r="AA1649" s="152"/>
      <c r="AB1649" s="152"/>
    </row>
    <row r="1650" spans="1:28" hidden="1" outlineLevel="1">
      <c r="A1650" s="199">
        <f t="shared" si="2390"/>
        <v>16</v>
      </c>
      <c r="B1650" s="190" t="str">
        <f t="shared" ca="1" si="2391"/>
        <v>Depreciated Net Capex 2031-32</v>
      </c>
      <c r="C1650" s="1426"/>
      <c r="D1650" s="1426"/>
      <c r="E1650" s="1426"/>
      <c r="F1650" s="1426"/>
      <c r="G1650" s="1426"/>
      <c r="H1650" s="1426"/>
      <c r="I1650" s="1426"/>
      <c r="J1650" s="1426"/>
      <c r="K1650" s="1426"/>
      <c r="L1650" s="1426"/>
      <c r="M1650" s="1426"/>
      <c r="N1650" s="1426"/>
      <c r="O1650" s="1426"/>
      <c r="P1650" s="1426"/>
      <c r="Q1650" s="1426"/>
      <c r="R1650" s="1427"/>
      <c r="S1650" s="1428">
        <f>S1629</f>
        <v>0</v>
      </c>
      <c r="T1650" s="1423">
        <f ca="1">IF(S1674="n/a",S1650,IFERROR(IF((OFFSET($C1650,0,$A1650))&lt;0,
MIN(0,S1650-(OFFSET($C1650,0,$A1650)/(OFFSET($C1645,-$A1649,$A1650)))),
MAX(0,S1650-(OFFSET($C1650,0,$A1650)/(OFFSET($C1645,-$A1649,$A1650))))),0))</f>
        <v>0</v>
      </c>
      <c r="U1650" s="1423">
        <f t="shared" ca="1" si="2387"/>
        <v>0</v>
      </c>
      <c r="V1650" s="1423">
        <f t="shared" ca="1" si="2388"/>
        <v>0</v>
      </c>
      <c r="W1650" s="1423">
        <f t="shared" ca="1" si="2389"/>
        <v>0</v>
      </c>
      <c r="X1650" s="202"/>
      <c r="Y1650" s="202"/>
      <c r="Z1650" s="202"/>
      <c r="AA1650" s="152"/>
      <c r="AB1650" s="152"/>
    </row>
    <row r="1651" spans="1:28" hidden="1" outlineLevel="1">
      <c r="A1651" s="199">
        <f t="shared" si="2390"/>
        <v>17</v>
      </c>
      <c r="B1651" s="190" t="str">
        <f t="shared" ca="1" si="2391"/>
        <v>Depreciated Net Capex 2032-33</v>
      </c>
      <c r="C1651" s="1426"/>
      <c r="D1651" s="1426"/>
      <c r="E1651" s="1426"/>
      <c r="F1651" s="1426"/>
      <c r="G1651" s="1426"/>
      <c r="H1651" s="1426"/>
      <c r="I1651" s="1426"/>
      <c r="J1651" s="1426"/>
      <c r="K1651" s="1426"/>
      <c r="L1651" s="1426"/>
      <c r="M1651" s="1426"/>
      <c r="N1651" s="1426"/>
      <c r="O1651" s="1426"/>
      <c r="P1651" s="1426"/>
      <c r="Q1651" s="1426"/>
      <c r="R1651" s="1426"/>
      <c r="S1651" s="1427"/>
      <c r="T1651" s="1428">
        <f>T1629</f>
        <v>0</v>
      </c>
      <c r="U1651" s="1423">
        <f ca="1">IF(T1675="n/a",T1651,IFERROR(IF((OFFSET($C1651,0,$A1651))&lt;0,
MIN(0,T1651-(OFFSET($C1651,0,$A1651)/(OFFSET($C1646,-$A1650,$A1651)))),
MAX(0,T1651-(OFFSET($C1651,0,$A1651)/(OFFSET($C1646,-$A1650,$A1651))))),0))</f>
        <v>0</v>
      </c>
      <c r="V1651" s="1423">
        <f t="shared" ca="1" si="2388"/>
        <v>0</v>
      </c>
      <c r="W1651" s="1423">
        <f t="shared" ca="1" si="2389"/>
        <v>0</v>
      </c>
      <c r="X1651" s="202"/>
      <c r="Y1651" s="202"/>
      <c r="Z1651" s="202"/>
      <c r="AA1651" s="152"/>
      <c r="AB1651" s="152"/>
    </row>
    <row r="1652" spans="1:28" hidden="1" outlineLevel="1">
      <c r="A1652" s="199">
        <f t="shared" si="2390"/>
        <v>18</v>
      </c>
      <c r="B1652" s="190" t="str">
        <f t="shared" ca="1" si="2391"/>
        <v>Depreciated Net Capex 2033-34</v>
      </c>
      <c r="C1652" s="1426"/>
      <c r="D1652" s="1426"/>
      <c r="E1652" s="1426"/>
      <c r="F1652" s="1426"/>
      <c r="G1652" s="1426"/>
      <c r="H1652" s="1426"/>
      <c r="I1652" s="1426"/>
      <c r="J1652" s="1426"/>
      <c r="K1652" s="1426"/>
      <c r="L1652" s="1426"/>
      <c r="M1652" s="1426"/>
      <c r="N1652" s="1426"/>
      <c r="O1652" s="1426"/>
      <c r="P1652" s="1426"/>
      <c r="Q1652" s="1426"/>
      <c r="R1652" s="1426"/>
      <c r="S1652" s="1426"/>
      <c r="T1652" s="1427"/>
      <c r="U1652" s="1428">
        <f>U1629</f>
        <v>0</v>
      </c>
      <c r="V1652" s="1423">
        <f ca="1">IF(U1676="n/a",U1652,IFERROR(IF((OFFSET($C1652,0,$A1652))&lt;0,
MIN(0,U1652-(OFFSET($C1652,0,$A1652)/(OFFSET($C1647,-$A1651,$A1652)))),
MAX(0,U1652-(OFFSET($C1652,0,$A1652)/(OFFSET($C1647,-$A1651,$A1652))))),0))</f>
        <v>0</v>
      </c>
      <c r="W1652" s="1423">
        <f t="shared" ca="1" si="2389"/>
        <v>0</v>
      </c>
      <c r="X1652" s="202"/>
      <c r="Y1652" s="202"/>
      <c r="Z1652" s="202"/>
      <c r="AA1652" s="152"/>
      <c r="AB1652" s="152"/>
    </row>
    <row r="1653" spans="1:28" hidden="1" outlineLevel="1">
      <c r="A1653" s="199">
        <f t="shared" si="2390"/>
        <v>19</v>
      </c>
      <c r="B1653" s="190" t="str">
        <f t="shared" ca="1" si="2391"/>
        <v>Depreciated Net Capex 2034-35</v>
      </c>
      <c r="C1653" s="1426"/>
      <c r="D1653" s="1426"/>
      <c r="E1653" s="1426"/>
      <c r="F1653" s="1426"/>
      <c r="G1653" s="1426"/>
      <c r="H1653" s="1426"/>
      <c r="I1653" s="1426"/>
      <c r="J1653" s="1426"/>
      <c r="K1653" s="1426"/>
      <c r="L1653" s="1426"/>
      <c r="M1653" s="1426"/>
      <c r="N1653" s="1426"/>
      <c r="O1653" s="1426"/>
      <c r="P1653" s="1426"/>
      <c r="Q1653" s="1426"/>
      <c r="R1653" s="1426"/>
      <c r="S1653" s="1426"/>
      <c r="T1653" s="1426"/>
      <c r="U1653" s="1427"/>
      <c r="V1653" s="1428">
        <f>V1629</f>
        <v>0</v>
      </c>
      <c r="W1653" s="1423">
        <f ca="1">IF(V1677="n/a",V1653,IFERROR(IF((OFFSET($C1653,0,$A1653))&lt;0,
MIN(0,V1653-(OFFSET($C1653,0,$A1653)/(OFFSET($C1648,-$A1652,$A1653)))),
MAX(0,V1653-(OFFSET($C1653,0,$A1653)/(OFFSET($C1648,-$A1652,$A1653))))),0))</f>
        <v>0</v>
      </c>
      <c r="X1653" s="202"/>
      <c r="Y1653" s="202"/>
      <c r="Z1653" s="202"/>
      <c r="AA1653" s="152"/>
      <c r="AB1653" s="152"/>
    </row>
    <row r="1654" spans="1:28" hidden="1" outlineLevel="1">
      <c r="A1654" s="199">
        <f t="shared" si="2390"/>
        <v>20</v>
      </c>
      <c r="B1654" s="190" t="str">
        <f t="shared" ca="1" si="2391"/>
        <v>Depreciated Net Capex 2035-36</v>
      </c>
      <c r="C1654" s="1426"/>
      <c r="D1654" s="1426"/>
      <c r="E1654" s="1426"/>
      <c r="F1654" s="1426"/>
      <c r="G1654" s="1426"/>
      <c r="H1654" s="1426"/>
      <c r="I1654" s="1426"/>
      <c r="J1654" s="1426"/>
      <c r="K1654" s="1426"/>
      <c r="L1654" s="1426"/>
      <c r="M1654" s="1426"/>
      <c r="N1654" s="1426"/>
      <c r="O1654" s="1426"/>
      <c r="P1654" s="1426"/>
      <c r="Q1654" s="1426"/>
      <c r="R1654" s="1426"/>
      <c r="S1654" s="1426"/>
      <c r="T1654" s="1426"/>
      <c r="U1654" s="1426"/>
      <c r="V1654" s="1427"/>
      <c r="W1654" s="1423">
        <f>W1629</f>
        <v>0</v>
      </c>
      <c r="X1654" s="152"/>
      <c r="Y1654" s="152"/>
      <c r="Z1654" s="152"/>
      <c r="AA1654" s="152"/>
      <c r="AB1654" s="152"/>
    </row>
    <row r="1655" spans="1:28" hidden="1" outlineLevel="1">
      <c r="A1655" s="152"/>
      <c r="B1655" s="200"/>
      <c r="C1655" s="1423"/>
      <c r="D1655" s="1423"/>
      <c r="E1655" s="1423"/>
      <c r="F1655" s="1423"/>
      <c r="G1655" s="1423"/>
      <c r="H1655" s="1423"/>
      <c r="I1655" s="1423"/>
      <c r="J1655" s="1423"/>
      <c r="K1655" s="1423"/>
      <c r="L1655" s="1423"/>
      <c r="M1655" s="1423"/>
      <c r="N1655" s="1423"/>
      <c r="O1655" s="1423"/>
      <c r="P1655" s="1423"/>
      <c r="Q1655" s="1423"/>
      <c r="R1655" s="1423"/>
      <c r="S1655" s="1423"/>
      <c r="T1655" s="1423"/>
      <c r="U1655" s="1423"/>
      <c r="V1655" s="1423"/>
      <c r="W1655" s="1423"/>
      <c r="X1655" s="152"/>
      <c r="Y1655" s="152"/>
      <c r="Z1655" s="152"/>
      <c r="AA1655" s="152"/>
      <c r="AB1655" s="152"/>
    </row>
    <row r="1656" spans="1:28" hidden="1" outlineLevel="1">
      <c r="A1656" s="152"/>
      <c r="B1656" s="200"/>
      <c r="C1656" s="1423"/>
      <c r="D1656" s="1423"/>
      <c r="E1656" s="1423"/>
      <c r="F1656" s="1423"/>
      <c r="G1656" s="1423"/>
      <c r="H1656" s="1423"/>
      <c r="I1656" s="1423"/>
      <c r="J1656" s="1423"/>
      <c r="K1656" s="1423"/>
      <c r="L1656" s="1423"/>
      <c r="M1656" s="1423"/>
      <c r="N1656" s="1423"/>
      <c r="O1656" s="1423"/>
      <c r="P1656" s="1423"/>
      <c r="Q1656" s="1423"/>
      <c r="R1656" s="1423"/>
      <c r="S1656" s="1423"/>
      <c r="T1656" s="1423"/>
      <c r="U1656" s="1423"/>
      <c r="V1656" s="1423"/>
      <c r="W1656" s="1423"/>
      <c r="X1656" s="152"/>
      <c r="Y1656" s="152"/>
      <c r="Z1656" s="152"/>
      <c r="AA1656" s="152"/>
      <c r="AB1656" s="152"/>
    </row>
    <row r="1657" spans="1:28" hidden="1" outlineLevel="1">
      <c r="A1657" s="152"/>
      <c r="B1657" s="190" t="s">
        <v>194</v>
      </c>
      <c r="C1657" s="1423"/>
      <c r="D1657" s="1423">
        <f t="shared" ref="D1657" ca="1" si="2392">IF(AND(C1657&lt;1,D1631=0),0,
IF(D1631=0,C1657-1,
IF(C1657&lt;1,D1632,
(((C1657-1)*(C1633-(C1633/(C1657))))+(D1631*D1632))/(D1633))))</f>
        <v>0</v>
      </c>
      <c r="E1657" s="1423">
        <f t="shared" ref="E1657" ca="1" si="2393">IF(AND(D1657&lt;1,E1631=0),0,
IF(E1631=0,D1657-1,
IF(D1657&lt;1,E1632,
(((D1657-1)*(D1633-(D1633/(D1657))))+(E1631*E1632))/(E1633))))</f>
        <v>0</v>
      </c>
      <c r="F1657" s="1423">
        <f t="shared" ref="F1657" ca="1" si="2394">IF(AND(E1657&lt;1,F1631=0),0,
IF(F1631=0,E1657-1,
IF(E1657&lt;1,F1632,
(((E1657-1)*(E1633-(E1633/(E1657))))+(F1631*F1632))/(F1633))))</f>
        <v>0</v>
      </c>
      <c r="G1657" s="1423">
        <f t="shared" ref="G1657" ca="1" si="2395">IF(AND(F1657&lt;1,G1631=0),0,
IF(G1631=0,F1657-1,
IF(F1657&lt;1,G1632,
(((F1657-1)*(F1633-(F1633/(F1657))))+(G1631*G1632))/(G1633))))</f>
        <v>0</v>
      </c>
      <c r="H1657" s="1423">
        <f ca="1">IF(AND(G1657&lt;1,H1631=0),0,
IF(H1631=0,G1657-1,
IF(G1657&lt;1,H1632,
(((G1657-1)*(G1633-(G1633/(G1657))))+(H1631*H1632))/(H1633))))</f>
        <v>0</v>
      </c>
      <c r="I1657" s="1423">
        <f t="shared" ref="I1657" ca="1" si="2396">IF(AND(H1657&lt;1,I1631=0),0,
IF(I1631=0,H1657-1,
IF(H1657&lt;1,I1632,
(((H1657-1)*(H1633-(H1633/(H1657))))+(I1631*I1632))/(I1633))))</f>
        <v>0</v>
      </c>
      <c r="J1657" s="1423">
        <f t="shared" ref="J1657" ca="1" si="2397">IF(AND(I1657&lt;1,J1631=0),0,
IF(J1631=0,I1657-1,
IF(I1657&lt;1,J1632,
(((I1657-1)*(I1633-(I1633/(I1657))))+(J1631*J1632))/(J1633))))</f>
        <v>0</v>
      </c>
      <c r="K1657" s="1423">
        <f t="shared" ref="K1657" ca="1" si="2398">IF(AND(J1657&lt;1,K1631=0),0,
IF(K1631=0,J1657-1,
IF(J1657&lt;1,K1632,
(((J1657-1)*(J1633-(J1633/(J1657))))+(K1631*K1632))/(K1633))))</f>
        <v>0</v>
      </c>
      <c r="L1657" s="1423">
        <f t="shared" ref="L1657" ca="1" si="2399">IF(AND(K1657&lt;1,L1631=0),0,
IF(L1631=0,K1657-1,
IF(K1657&lt;1,L1632,
(((K1657-1)*(K1633-(K1633/(K1657))))+(L1631*L1632))/(L1633))))</f>
        <v>0</v>
      </c>
      <c r="M1657" s="1423">
        <f ca="1">IF(AND(L1657&lt;1,M1631=0),0,
IF(M1631=0,L1657-1,
IF(L1657&lt;1,M1632,
(((L1657-1)*(L1633-(L1633/(L1657))))+(M1631*M1632))/(M1633))))</f>
        <v>0</v>
      </c>
      <c r="N1657" s="1423">
        <f t="shared" ref="N1657" ca="1" si="2400">IF(AND(M1657&lt;1,N1631=0),0,
IF(N1631=0,M1657-1,
IF(M1657&lt;1,N1632,
(((M1657-1)*(M1633-(M1633/(M1657))))+(N1631*N1632))/(N1633))))</f>
        <v>0</v>
      </c>
      <c r="O1657" s="1423">
        <f t="shared" ref="O1657" ca="1" si="2401">IF(AND(N1657&lt;1,O1631=0),0,
IF(O1631=0,N1657-1,
IF(N1657&lt;1,O1632,
(((N1657-1)*(N1633-(N1633/(N1657))))+(O1631*O1632))/(O1633))))</f>
        <v>0</v>
      </c>
      <c r="P1657" s="1423">
        <f t="shared" ref="P1657" ca="1" si="2402">IF(AND(O1657&lt;1,P1631=0),0,
IF(P1631=0,O1657-1,
IF(O1657&lt;1,P1632,
(((O1657-1)*(O1633-(O1633/(O1657))))+(P1631*P1632))/(P1633))))</f>
        <v>0</v>
      </c>
      <c r="Q1657" s="1423">
        <f t="shared" ref="Q1657" ca="1" si="2403">IF(AND(P1657&lt;1,Q1631=0),0,
IF(Q1631=0,P1657-1,
IF(P1657&lt;1,Q1632,
(((P1657-1)*(P1633-(P1633/(P1657))))+(Q1631*Q1632))/(Q1633))))</f>
        <v>0</v>
      </c>
      <c r="R1657" s="1423">
        <f t="shared" ref="R1657" ca="1" si="2404">IF(AND(Q1657&lt;1,R1631=0),0,
IF(R1631=0,Q1657-1,
IF(Q1657&lt;1,R1632,
(((Q1657-1)*(Q1633-(Q1633/(Q1657))))+(R1631*R1632))/(R1633))))</f>
        <v>0</v>
      </c>
      <c r="S1657" s="1423">
        <f t="shared" ref="S1657" ca="1" si="2405">IF(AND(R1657&lt;1,S1631=0),0,
IF(S1631=0,R1657-1,
IF(R1657&lt;1,S1632,
(((R1657-1)*(R1633-(R1633/(R1657))))+(S1631*S1632))/(S1633))))</f>
        <v>0</v>
      </c>
      <c r="T1657" s="1423">
        <f t="shared" ref="T1657" ca="1" si="2406">IF(AND(S1657&lt;1,T1631=0),0,
IF(T1631=0,S1657-1,
IF(S1657&lt;1,T1632,
(((S1657-1)*(S1633-(S1633/(S1657))))+(T1631*T1632))/(T1633))))</f>
        <v>0</v>
      </c>
      <c r="U1657" s="1423">
        <f t="shared" ref="U1657" ca="1" si="2407">IF(AND(T1657&lt;1,U1631=0),0,
IF(U1631=0,T1657-1,
IF(T1657&lt;1,U1632,
(((T1657-1)*(T1633-(T1633/(T1657))))+(U1631*U1632))/(U1633))))</f>
        <v>0</v>
      </c>
      <c r="V1657" s="1423">
        <f t="shared" ref="V1657" ca="1" si="2408">IF(AND(U1657&lt;1,V1631=0),0,
IF(V1631=0,U1657-1,
IF(U1657&lt;1,V1632,
(((U1657-1)*(U1633-(U1633/(U1657))))+(V1631*V1632))/(V1633))))</f>
        <v>0</v>
      </c>
      <c r="W1657" s="1423">
        <f t="shared" ref="W1657" ca="1" si="2409">IF(AND(V1657&lt;1,W1631=0),0,
IF(W1631=0,V1657-1,
IF(V1657&lt;1,W1632,
(((V1657-1)*(V1633-(V1633/(V1657))))+(W1631*W1632))/(W1633))))</f>
        <v>0</v>
      </c>
      <c r="X1657" s="152"/>
      <c r="Y1657" s="152"/>
      <c r="Z1657" s="152"/>
      <c r="AA1657" s="152"/>
      <c r="AB1657" s="152"/>
    </row>
    <row r="1658" spans="1:28" hidden="1" outlineLevel="1">
      <c r="A1658" s="152"/>
      <c r="B1658" s="190" t="s">
        <v>193</v>
      </c>
      <c r="C1658" s="1423">
        <f ca="1">C1630</f>
        <v>0</v>
      </c>
      <c r="D1658" s="1423">
        <f t="shared" ref="D1658" ca="1" si="2410">IF(C1658="n/a","n/a",MAX(0,C1658-1))</f>
        <v>0</v>
      </c>
      <c r="E1658" s="1423">
        <f t="shared" ref="E1658:E1659" ca="1" si="2411">IF(D1658="n/a","n/a",MAX(0,D1658-1))</f>
        <v>0</v>
      </c>
      <c r="F1658" s="1423">
        <f t="shared" ref="F1658:F1660" ca="1" si="2412">IF(E1658="n/a","n/a",MAX(0,E1658-1))</f>
        <v>0</v>
      </c>
      <c r="G1658" s="1423">
        <f t="shared" ref="G1658:G1661" ca="1" si="2413">IF(F1658="n/a","n/a",MAX(0,F1658-1))</f>
        <v>0</v>
      </c>
      <c r="H1658" s="1423">
        <f t="shared" ref="H1658:H1662" ca="1" si="2414">IF(G1658="n/a","n/a",MAX(0,G1658-1))</f>
        <v>0</v>
      </c>
      <c r="I1658" s="1423">
        <f t="shared" ref="I1658:I1663" ca="1" si="2415">IF(H1658="n/a","n/a",MAX(0,H1658-1))</f>
        <v>0</v>
      </c>
      <c r="J1658" s="1423">
        <f t="shared" ref="J1658:J1664" ca="1" si="2416">IF(I1658="n/a","n/a",MAX(0,I1658-1))</f>
        <v>0</v>
      </c>
      <c r="K1658" s="1423">
        <f t="shared" ref="K1658:K1665" ca="1" si="2417">IF(J1658="n/a","n/a",MAX(0,J1658-1))</f>
        <v>0</v>
      </c>
      <c r="L1658" s="1423">
        <f t="shared" ref="L1658:L1666" ca="1" si="2418">IF(K1658="n/a","n/a",MAX(0,K1658-1))</f>
        <v>0</v>
      </c>
      <c r="M1658" s="1423">
        <f t="shared" ref="M1658:M1667" ca="1" si="2419">IF(L1658="n/a","n/a",MAX(0,L1658-1))</f>
        <v>0</v>
      </c>
      <c r="N1658" s="1423">
        <f t="shared" ref="N1658:N1668" ca="1" si="2420">IF(M1658="n/a","n/a",MAX(0,M1658-1))</f>
        <v>0</v>
      </c>
      <c r="O1658" s="1423">
        <f t="shared" ref="O1658:O1669" ca="1" si="2421">IF(N1658="n/a","n/a",MAX(0,N1658-1))</f>
        <v>0</v>
      </c>
      <c r="P1658" s="1423">
        <f t="shared" ref="P1658:P1670" ca="1" si="2422">IF(O1658="n/a","n/a",MAX(0,O1658-1))</f>
        <v>0</v>
      </c>
      <c r="Q1658" s="1423">
        <f t="shared" ref="Q1658:Q1671" ca="1" si="2423">IF(P1658="n/a","n/a",MAX(0,P1658-1))</f>
        <v>0</v>
      </c>
      <c r="R1658" s="1423">
        <f t="shared" ref="R1658:R1672" ca="1" si="2424">IF(Q1658="n/a","n/a",MAX(0,Q1658-1))</f>
        <v>0</v>
      </c>
      <c r="S1658" s="1423">
        <f t="shared" ref="S1658:S1673" ca="1" si="2425">IF(R1658="n/a","n/a",MAX(0,R1658-1))</f>
        <v>0</v>
      </c>
      <c r="T1658" s="1423">
        <f t="shared" ref="T1658:T1674" ca="1" si="2426">IF(S1658="n/a","n/a",MAX(0,S1658-1))</f>
        <v>0</v>
      </c>
      <c r="U1658" s="1423">
        <f t="shared" ref="U1658:U1675" ca="1" si="2427">IF(T1658="n/a","n/a",MAX(0,T1658-1))</f>
        <v>0</v>
      </c>
      <c r="V1658" s="1423">
        <f t="shared" ref="V1658:V1676" ca="1" si="2428">IF(U1658="n/a","n/a",MAX(0,U1658-1))</f>
        <v>0</v>
      </c>
      <c r="W1658" s="1423">
        <f t="shared" ref="W1658:W1676" ca="1" si="2429">IF(V1658="n/a","n/a",MAX(0,V1658-1))</f>
        <v>0</v>
      </c>
      <c r="X1658" s="152"/>
      <c r="Y1658" s="152"/>
      <c r="Z1658" s="152"/>
      <c r="AA1658" s="152"/>
      <c r="AB1658" s="152"/>
    </row>
    <row r="1659" spans="1:28" hidden="1" outlineLevel="1">
      <c r="A1659" s="152"/>
      <c r="B1659" s="190" t="str">
        <f t="shared" ref="B1659:B1678" ca="1" si="2430">"RL Capex "&amp;OFFSET($C$6,0,A1635)</f>
        <v>RL Capex 2016-17</v>
      </c>
      <c r="C1659" s="1424"/>
      <c r="D1659" s="1428">
        <f>D1630</f>
        <v>0</v>
      </c>
      <c r="E1659" s="1423">
        <f t="shared" si="2411"/>
        <v>0</v>
      </c>
      <c r="F1659" s="1423">
        <f t="shared" si="2412"/>
        <v>0</v>
      </c>
      <c r="G1659" s="1423">
        <f t="shared" si="2413"/>
        <v>0</v>
      </c>
      <c r="H1659" s="1423">
        <f t="shared" si="2414"/>
        <v>0</v>
      </c>
      <c r="I1659" s="1423">
        <f t="shared" si="2415"/>
        <v>0</v>
      </c>
      <c r="J1659" s="1423">
        <f t="shared" si="2416"/>
        <v>0</v>
      </c>
      <c r="K1659" s="1423">
        <f t="shared" si="2417"/>
        <v>0</v>
      </c>
      <c r="L1659" s="1423">
        <f t="shared" si="2418"/>
        <v>0</v>
      </c>
      <c r="M1659" s="1423">
        <f t="shared" si="2419"/>
        <v>0</v>
      </c>
      <c r="N1659" s="1423">
        <f t="shared" si="2420"/>
        <v>0</v>
      </c>
      <c r="O1659" s="1423">
        <f t="shared" si="2421"/>
        <v>0</v>
      </c>
      <c r="P1659" s="1423">
        <f t="shared" si="2422"/>
        <v>0</v>
      </c>
      <c r="Q1659" s="1423">
        <f t="shared" si="2423"/>
        <v>0</v>
      </c>
      <c r="R1659" s="1423">
        <f t="shared" si="2424"/>
        <v>0</v>
      </c>
      <c r="S1659" s="1423">
        <f t="shared" si="2425"/>
        <v>0</v>
      </c>
      <c r="T1659" s="1423">
        <f t="shared" si="2426"/>
        <v>0</v>
      </c>
      <c r="U1659" s="1423">
        <f t="shared" si="2427"/>
        <v>0</v>
      </c>
      <c r="V1659" s="1423">
        <f t="shared" si="2428"/>
        <v>0</v>
      </c>
      <c r="W1659" s="1423">
        <f t="shared" si="2429"/>
        <v>0</v>
      </c>
      <c r="X1659" s="152"/>
      <c r="Y1659" s="152"/>
      <c r="Z1659" s="152"/>
      <c r="AA1659" s="152"/>
      <c r="AB1659" s="152"/>
    </row>
    <row r="1660" spans="1:28" hidden="1" outlineLevel="1">
      <c r="A1660" s="152"/>
      <c r="B1660" s="190" t="str">
        <f t="shared" ca="1" si="2430"/>
        <v>RL Capex 2017-18</v>
      </c>
      <c r="C1660" s="1429"/>
      <c r="D1660" s="1424"/>
      <c r="E1660" s="1428">
        <f>E1630</f>
        <v>0</v>
      </c>
      <c r="F1660" s="1423">
        <f t="shared" si="2412"/>
        <v>0</v>
      </c>
      <c r="G1660" s="1423">
        <f t="shared" si="2413"/>
        <v>0</v>
      </c>
      <c r="H1660" s="1423">
        <f t="shared" si="2414"/>
        <v>0</v>
      </c>
      <c r="I1660" s="1423">
        <f t="shared" si="2415"/>
        <v>0</v>
      </c>
      <c r="J1660" s="1423">
        <f t="shared" si="2416"/>
        <v>0</v>
      </c>
      <c r="K1660" s="1423">
        <f t="shared" si="2417"/>
        <v>0</v>
      </c>
      <c r="L1660" s="1423">
        <f t="shared" si="2418"/>
        <v>0</v>
      </c>
      <c r="M1660" s="1423">
        <f t="shared" si="2419"/>
        <v>0</v>
      </c>
      <c r="N1660" s="1423">
        <f t="shared" si="2420"/>
        <v>0</v>
      </c>
      <c r="O1660" s="1423">
        <f t="shared" si="2421"/>
        <v>0</v>
      </c>
      <c r="P1660" s="1423">
        <f t="shared" si="2422"/>
        <v>0</v>
      </c>
      <c r="Q1660" s="1423">
        <f t="shared" si="2423"/>
        <v>0</v>
      </c>
      <c r="R1660" s="1423">
        <f t="shared" si="2424"/>
        <v>0</v>
      </c>
      <c r="S1660" s="1423">
        <f t="shared" si="2425"/>
        <v>0</v>
      </c>
      <c r="T1660" s="1423">
        <f t="shared" si="2426"/>
        <v>0</v>
      </c>
      <c r="U1660" s="1423">
        <f t="shared" si="2427"/>
        <v>0</v>
      </c>
      <c r="V1660" s="1423">
        <f t="shared" si="2428"/>
        <v>0</v>
      </c>
      <c r="W1660" s="1423">
        <f t="shared" si="2429"/>
        <v>0</v>
      </c>
      <c r="X1660" s="152"/>
      <c r="Y1660" s="152"/>
      <c r="Z1660" s="152"/>
      <c r="AA1660" s="152"/>
      <c r="AB1660" s="152"/>
    </row>
    <row r="1661" spans="1:28" hidden="1" outlineLevel="1">
      <c r="A1661" s="152"/>
      <c r="B1661" s="190" t="str">
        <f t="shared" ca="1" si="2430"/>
        <v>RL Capex 2018-19</v>
      </c>
      <c r="C1661" s="1429"/>
      <c r="D1661" s="1429"/>
      <c r="E1661" s="1424"/>
      <c r="F1661" s="1428">
        <f>F1630</f>
        <v>0</v>
      </c>
      <c r="G1661" s="1423">
        <f t="shared" si="2413"/>
        <v>0</v>
      </c>
      <c r="H1661" s="1423">
        <f t="shared" si="2414"/>
        <v>0</v>
      </c>
      <c r="I1661" s="1423">
        <f t="shared" si="2415"/>
        <v>0</v>
      </c>
      <c r="J1661" s="1423">
        <f t="shared" si="2416"/>
        <v>0</v>
      </c>
      <c r="K1661" s="1423">
        <f t="shared" si="2417"/>
        <v>0</v>
      </c>
      <c r="L1661" s="1423">
        <f t="shared" si="2418"/>
        <v>0</v>
      </c>
      <c r="M1661" s="1423">
        <f t="shared" si="2419"/>
        <v>0</v>
      </c>
      <c r="N1661" s="1423">
        <f t="shared" si="2420"/>
        <v>0</v>
      </c>
      <c r="O1661" s="1423">
        <f t="shared" si="2421"/>
        <v>0</v>
      </c>
      <c r="P1661" s="1423">
        <f t="shared" si="2422"/>
        <v>0</v>
      </c>
      <c r="Q1661" s="1423">
        <f t="shared" si="2423"/>
        <v>0</v>
      </c>
      <c r="R1661" s="1423">
        <f t="shared" si="2424"/>
        <v>0</v>
      </c>
      <c r="S1661" s="1423">
        <f t="shared" si="2425"/>
        <v>0</v>
      </c>
      <c r="T1661" s="1423">
        <f t="shared" si="2426"/>
        <v>0</v>
      </c>
      <c r="U1661" s="1423">
        <f t="shared" si="2427"/>
        <v>0</v>
      </c>
      <c r="V1661" s="1423">
        <f t="shared" si="2428"/>
        <v>0</v>
      </c>
      <c r="W1661" s="1423">
        <f t="shared" si="2429"/>
        <v>0</v>
      </c>
      <c r="X1661" s="152"/>
      <c r="Y1661" s="152"/>
      <c r="Z1661" s="152"/>
      <c r="AA1661" s="152"/>
      <c r="AB1661" s="152"/>
    </row>
    <row r="1662" spans="1:28" hidden="1" outlineLevel="1">
      <c r="A1662" s="152"/>
      <c r="B1662" s="190" t="str">
        <f t="shared" ca="1" si="2430"/>
        <v>RL Capex 2019-20</v>
      </c>
      <c r="C1662" s="1429"/>
      <c r="D1662" s="1429"/>
      <c r="E1662" s="1429"/>
      <c r="F1662" s="1424"/>
      <c r="G1662" s="1428">
        <f>G1630</f>
        <v>0</v>
      </c>
      <c r="H1662" s="1423">
        <f t="shared" si="2414"/>
        <v>0</v>
      </c>
      <c r="I1662" s="1423">
        <f t="shared" si="2415"/>
        <v>0</v>
      </c>
      <c r="J1662" s="1423">
        <f t="shared" si="2416"/>
        <v>0</v>
      </c>
      <c r="K1662" s="1423">
        <f t="shared" si="2417"/>
        <v>0</v>
      </c>
      <c r="L1662" s="1423">
        <f t="shared" si="2418"/>
        <v>0</v>
      </c>
      <c r="M1662" s="1423">
        <f t="shared" si="2419"/>
        <v>0</v>
      </c>
      <c r="N1662" s="1423">
        <f t="shared" si="2420"/>
        <v>0</v>
      </c>
      <c r="O1662" s="1423">
        <f t="shared" si="2421"/>
        <v>0</v>
      </c>
      <c r="P1662" s="1423">
        <f t="shared" si="2422"/>
        <v>0</v>
      </c>
      <c r="Q1662" s="1423">
        <f t="shared" si="2423"/>
        <v>0</v>
      </c>
      <c r="R1662" s="1423">
        <f t="shared" si="2424"/>
        <v>0</v>
      </c>
      <c r="S1662" s="1423">
        <f t="shared" si="2425"/>
        <v>0</v>
      </c>
      <c r="T1662" s="1423">
        <f t="shared" si="2426"/>
        <v>0</v>
      </c>
      <c r="U1662" s="1423">
        <f t="shared" si="2427"/>
        <v>0</v>
      </c>
      <c r="V1662" s="1423">
        <f t="shared" si="2428"/>
        <v>0</v>
      </c>
      <c r="W1662" s="1423">
        <f t="shared" si="2429"/>
        <v>0</v>
      </c>
      <c r="X1662" s="152"/>
      <c r="Y1662" s="152"/>
      <c r="Z1662" s="152"/>
      <c r="AA1662" s="152"/>
      <c r="AB1662" s="152"/>
    </row>
    <row r="1663" spans="1:28" hidden="1" outlineLevel="1">
      <c r="A1663" s="152"/>
      <c r="B1663" s="190" t="str">
        <f t="shared" ca="1" si="2430"/>
        <v>RL Capex 2020-21</v>
      </c>
      <c r="C1663" s="1429"/>
      <c r="D1663" s="1429"/>
      <c r="E1663" s="1429"/>
      <c r="F1663" s="1429"/>
      <c r="G1663" s="1424"/>
      <c r="H1663" s="1428">
        <f>H1630</f>
        <v>0</v>
      </c>
      <c r="I1663" s="1423">
        <f t="shared" si="2415"/>
        <v>0</v>
      </c>
      <c r="J1663" s="1423">
        <f t="shared" si="2416"/>
        <v>0</v>
      </c>
      <c r="K1663" s="1423">
        <f t="shared" si="2417"/>
        <v>0</v>
      </c>
      <c r="L1663" s="1423">
        <f t="shared" si="2418"/>
        <v>0</v>
      </c>
      <c r="M1663" s="1423">
        <f t="shared" si="2419"/>
        <v>0</v>
      </c>
      <c r="N1663" s="1423">
        <f t="shared" si="2420"/>
        <v>0</v>
      </c>
      <c r="O1663" s="1423">
        <f t="shared" si="2421"/>
        <v>0</v>
      </c>
      <c r="P1663" s="1423">
        <f t="shared" si="2422"/>
        <v>0</v>
      </c>
      <c r="Q1663" s="1423">
        <f t="shared" si="2423"/>
        <v>0</v>
      </c>
      <c r="R1663" s="1423">
        <f t="shared" si="2424"/>
        <v>0</v>
      </c>
      <c r="S1663" s="1423">
        <f t="shared" si="2425"/>
        <v>0</v>
      </c>
      <c r="T1663" s="1423">
        <f t="shared" si="2426"/>
        <v>0</v>
      </c>
      <c r="U1663" s="1423">
        <f t="shared" si="2427"/>
        <v>0</v>
      </c>
      <c r="V1663" s="1423">
        <f t="shared" si="2428"/>
        <v>0</v>
      </c>
      <c r="W1663" s="1423">
        <f t="shared" si="2429"/>
        <v>0</v>
      </c>
      <c r="X1663" s="152"/>
      <c r="Y1663" s="152"/>
      <c r="Z1663" s="152"/>
      <c r="AA1663" s="152"/>
      <c r="AB1663" s="152"/>
    </row>
    <row r="1664" spans="1:28" hidden="1" outlineLevel="1">
      <c r="A1664" s="152"/>
      <c r="B1664" s="190" t="str">
        <f t="shared" ca="1" si="2430"/>
        <v>RL Capex 2021-22</v>
      </c>
      <c r="C1664" s="1429"/>
      <c r="D1664" s="1429"/>
      <c r="E1664" s="1429"/>
      <c r="F1664" s="1429"/>
      <c r="G1664" s="1429"/>
      <c r="H1664" s="1424"/>
      <c r="I1664" s="1428">
        <f>I1630</f>
        <v>0</v>
      </c>
      <c r="J1664" s="1423">
        <f t="shared" si="2416"/>
        <v>0</v>
      </c>
      <c r="K1664" s="1423">
        <f t="shared" si="2417"/>
        <v>0</v>
      </c>
      <c r="L1664" s="1423">
        <f t="shared" si="2418"/>
        <v>0</v>
      </c>
      <c r="M1664" s="1423">
        <f t="shared" si="2419"/>
        <v>0</v>
      </c>
      <c r="N1664" s="1423">
        <f t="shared" si="2420"/>
        <v>0</v>
      </c>
      <c r="O1664" s="1423">
        <f t="shared" si="2421"/>
        <v>0</v>
      </c>
      <c r="P1664" s="1423">
        <f t="shared" si="2422"/>
        <v>0</v>
      </c>
      <c r="Q1664" s="1423">
        <f t="shared" si="2423"/>
        <v>0</v>
      </c>
      <c r="R1664" s="1423">
        <f t="shared" si="2424"/>
        <v>0</v>
      </c>
      <c r="S1664" s="1423">
        <f t="shared" si="2425"/>
        <v>0</v>
      </c>
      <c r="T1664" s="1423">
        <f t="shared" si="2426"/>
        <v>0</v>
      </c>
      <c r="U1664" s="1423">
        <f t="shared" si="2427"/>
        <v>0</v>
      </c>
      <c r="V1664" s="1423">
        <f t="shared" si="2428"/>
        <v>0</v>
      </c>
      <c r="W1664" s="1423">
        <f t="shared" si="2429"/>
        <v>0</v>
      </c>
      <c r="X1664" s="152"/>
      <c r="Y1664" s="152"/>
      <c r="Z1664" s="152"/>
      <c r="AA1664" s="152"/>
      <c r="AB1664" s="152"/>
    </row>
    <row r="1665" spans="1:28" hidden="1" outlineLevel="1">
      <c r="A1665" s="152"/>
      <c r="B1665" s="190" t="str">
        <f t="shared" ca="1" si="2430"/>
        <v>RL Capex 2022-23</v>
      </c>
      <c r="C1665" s="1429"/>
      <c r="D1665" s="1429"/>
      <c r="E1665" s="1429"/>
      <c r="F1665" s="1429"/>
      <c r="G1665" s="1429"/>
      <c r="H1665" s="1429"/>
      <c r="I1665" s="1424"/>
      <c r="J1665" s="1428">
        <f>J1630</f>
        <v>0</v>
      </c>
      <c r="K1665" s="1423">
        <f t="shared" si="2417"/>
        <v>0</v>
      </c>
      <c r="L1665" s="1423">
        <f t="shared" si="2418"/>
        <v>0</v>
      </c>
      <c r="M1665" s="1423">
        <f t="shared" si="2419"/>
        <v>0</v>
      </c>
      <c r="N1665" s="1423">
        <f t="shared" si="2420"/>
        <v>0</v>
      </c>
      <c r="O1665" s="1423">
        <f t="shared" si="2421"/>
        <v>0</v>
      </c>
      <c r="P1665" s="1423">
        <f t="shared" si="2422"/>
        <v>0</v>
      </c>
      <c r="Q1665" s="1423">
        <f t="shared" si="2423"/>
        <v>0</v>
      </c>
      <c r="R1665" s="1423">
        <f t="shared" si="2424"/>
        <v>0</v>
      </c>
      <c r="S1665" s="1423">
        <f t="shared" si="2425"/>
        <v>0</v>
      </c>
      <c r="T1665" s="1423">
        <f t="shared" si="2426"/>
        <v>0</v>
      </c>
      <c r="U1665" s="1423">
        <f t="shared" si="2427"/>
        <v>0</v>
      </c>
      <c r="V1665" s="1423">
        <f t="shared" si="2428"/>
        <v>0</v>
      </c>
      <c r="W1665" s="1423">
        <f t="shared" si="2429"/>
        <v>0</v>
      </c>
      <c r="X1665" s="152"/>
      <c r="Y1665" s="152"/>
      <c r="Z1665" s="152"/>
      <c r="AA1665" s="152"/>
      <c r="AB1665" s="152"/>
    </row>
    <row r="1666" spans="1:28" hidden="1" outlineLevel="1">
      <c r="A1666" s="152"/>
      <c r="B1666" s="190" t="str">
        <f t="shared" ca="1" si="2430"/>
        <v>RL Capex 2023-24</v>
      </c>
      <c r="C1666" s="1429"/>
      <c r="D1666" s="1429"/>
      <c r="E1666" s="1429"/>
      <c r="F1666" s="1429"/>
      <c r="G1666" s="1429"/>
      <c r="H1666" s="1429"/>
      <c r="I1666" s="1429"/>
      <c r="J1666" s="1424"/>
      <c r="K1666" s="1428">
        <f>K1630</f>
        <v>0</v>
      </c>
      <c r="L1666" s="1423">
        <f t="shared" si="2418"/>
        <v>0</v>
      </c>
      <c r="M1666" s="1423">
        <f t="shared" si="2419"/>
        <v>0</v>
      </c>
      <c r="N1666" s="1423">
        <f t="shared" si="2420"/>
        <v>0</v>
      </c>
      <c r="O1666" s="1423">
        <f t="shared" si="2421"/>
        <v>0</v>
      </c>
      <c r="P1666" s="1423">
        <f t="shared" si="2422"/>
        <v>0</v>
      </c>
      <c r="Q1666" s="1423">
        <f t="shared" si="2423"/>
        <v>0</v>
      </c>
      <c r="R1666" s="1423">
        <f t="shared" si="2424"/>
        <v>0</v>
      </c>
      <c r="S1666" s="1423">
        <f t="shared" si="2425"/>
        <v>0</v>
      </c>
      <c r="T1666" s="1423">
        <f t="shared" si="2426"/>
        <v>0</v>
      </c>
      <c r="U1666" s="1423">
        <f t="shared" si="2427"/>
        <v>0</v>
      </c>
      <c r="V1666" s="1423">
        <f t="shared" si="2428"/>
        <v>0</v>
      </c>
      <c r="W1666" s="1423">
        <f t="shared" si="2429"/>
        <v>0</v>
      </c>
      <c r="X1666" s="152"/>
      <c r="Y1666" s="152"/>
      <c r="Z1666" s="152"/>
      <c r="AA1666" s="152"/>
      <c r="AB1666" s="152"/>
    </row>
    <row r="1667" spans="1:28" hidden="1" outlineLevel="1">
      <c r="A1667" s="152"/>
      <c r="B1667" s="190" t="str">
        <f t="shared" ca="1" si="2430"/>
        <v>RL Capex 2024-25</v>
      </c>
      <c r="C1667" s="1429"/>
      <c r="D1667" s="1429"/>
      <c r="E1667" s="1429"/>
      <c r="F1667" s="1429"/>
      <c r="G1667" s="1429"/>
      <c r="H1667" s="1429"/>
      <c r="I1667" s="1429"/>
      <c r="J1667" s="1429"/>
      <c r="K1667" s="1424"/>
      <c r="L1667" s="1428">
        <f>L1630</f>
        <v>0</v>
      </c>
      <c r="M1667" s="1423">
        <f t="shared" si="2419"/>
        <v>0</v>
      </c>
      <c r="N1667" s="1423">
        <f t="shared" si="2420"/>
        <v>0</v>
      </c>
      <c r="O1667" s="1423">
        <f t="shared" si="2421"/>
        <v>0</v>
      </c>
      <c r="P1667" s="1423">
        <f t="shared" si="2422"/>
        <v>0</v>
      </c>
      <c r="Q1667" s="1423">
        <f t="shared" si="2423"/>
        <v>0</v>
      </c>
      <c r="R1667" s="1423">
        <f t="shared" si="2424"/>
        <v>0</v>
      </c>
      <c r="S1667" s="1423">
        <f t="shared" si="2425"/>
        <v>0</v>
      </c>
      <c r="T1667" s="1423">
        <f t="shared" si="2426"/>
        <v>0</v>
      </c>
      <c r="U1667" s="1423">
        <f t="shared" si="2427"/>
        <v>0</v>
      </c>
      <c r="V1667" s="1423">
        <f t="shared" si="2428"/>
        <v>0</v>
      </c>
      <c r="W1667" s="1423">
        <f t="shared" si="2429"/>
        <v>0</v>
      </c>
      <c r="X1667" s="152"/>
      <c r="Y1667" s="152"/>
      <c r="Z1667" s="152"/>
      <c r="AA1667" s="152"/>
      <c r="AB1667" s="152"/>
    </row>
    <row r="1668" spans="1:28" hidden="1" outlineLevel="1">
      <c r="A1668" s="152"/>
      <c r="B1668" s="190" t="str">
        <f t="shared" ca="1" si="2430"/>
        <v>RL Capex 2025-26</v>
      </c>
      <c r="C1668" s="1429"/>
      <c r="D1668" s="1429"/>
      <c r="E1668" s="1429"/>
      <c r="F1668" s="1429"/>
      <c r="G1668" s="1429"/>
      <c r="H1668" s="1429"/>
      <c r="I1668" s="1429"/>
      <c r="J1668" s="1429"/>
      <c r="K1668" s="1429"/>
      <c r="L1668" s="1424"/>
      <c r="M1668" s="1428">
        <f>M1630</f>
        <v>0</v>
      </c>
      <c r="N1668" s="1423">
        <f t="shared" si="2420"/>
        <v>0</v>
      </c>
      <c r="O1668" s="1423">
        <f t="shared" si="2421"/>
        <v>0</v>
      </c>
      <c r="P1668" s="1423">
        <f t="shared" si="2422"/>
        <v>0</v>
      </c>
      <c r="Q1668" s="1423">
        <f t="shared" si="2423"/>
        <v>0</v>
      </c>
      <c r="R1668" s="1423">
        <f t="shared" si="2424"/>
        <v>0</v>
      </c>
      <c r="S1668" s="1423">
        <f t="shared" si="2425"/>
        <v>0</v>
      </c>
      <c r="T1668" s="1423">
        <f t="shared" si="2426"/>
        <v>0</v>
      </c>
      <c r="U1668" s="1423">
        <f t="shared" si="2427"/>
        <v>0</v>
      </c>
      <c r="V1668" s="1423">
        <f t="shared" si="2428"/>
        <v>0</v>
      </c>
      <c r="W1668" s="1423">
        <f t="shared" si="2429"/>
        <v>0</v>
      </c>
      <c r="X1668" s="152"/>
      <c r="Y1668" s="152"/>
      <c r="Z1668" s="152"/>
      <c r="AA1668" s="152"/>
      <c r="AB1668" s="152"/>
    </row>
    <row r="1669" spans="1:28" hidden="1" outlineLevel="1">
      <c r="A1669" s="152"/>
      <c r="B1669" s="190" t="str">
        <f t="shared" ca="1" si="2430"/>
        <v>RL Capex 2026-27</v>
      </c>
      <c r="C1669" s="1429"/>
      <c r="D1669" s="1429"/>
      <c r="E1669" s="1429"/>
      <c r="F1669" s="1429"/>
      <c r="G1669" s="1429"/>
      <c r="H1669" s="1429"/>
      <c r="I1669" s="1429"/>
      <c r="J1669" s="1429"/>
      <c r="K1669" s="1429"/>
      <c r="L1669" s="1429"/>
      <c r="M1669" s="1424"/>
      <c r="N1669" s="1428">
        <f>N1630</f>
        <v>0</v>
      </c>
      <c r="O1669" s="1423">
        <f t="shared" si="2421"/>
        <v>0</v>
      </c>
      <c r="P1669" s="1423">
        <f t="shared" si="2422"/>
        <v>0</v>
      </c>
      <c r="Q1669" s="1423">
        <f t="shared" si="2423"/>
        <v>0</v>
      </c>
      <c r="R1669" s="1423">
        <f t="shared" si="2424"/>
        <v>0</v>
      </c>
      <c r="S1669" s="1423">
        <f t="shared" si="2425"/>
        <v>0</v>
      </c>
      <c r="T1669" s="1423">
        <f t="shared" si="2426"/>
        <v>0</v>
      </c>
      <c r="U1669" s="1423">
        <f t="shared" si="2427"/>
        <v>0</v>
      </c>
      <c r="V1669" s="1423">
        <f t="shared" si="2428"/>
        <v>0</v>
      </c>
      <c r="W1669" s="1423">
        <f t="shared" si="2429"/>
        <v>0</v>
      </c>
      <c r="X1669" s="152"/>
      <c r="Y1669" s="152"/>
      <c r="Z1669" s="152"/>
      <c r="AA1669" s="152"/>
      <c r="AB1669" s="152"/>
    </row>
    <row r="1670" spans="1:28" hidden="1" outlineLevel="1">
      <c r="A1670" s="152"/>
      <c r="B1670" s="190" t="str">
        <f t="shared" ca="1" si="2430"/>
        <v>RL Capex 2027-28</v>
      </c>
      <c r="C1670" s="1429"/>
      <c r="D1670" s="1429"/>
      <c r="E1670" s="1429"/>
      <c r="F1670" s="1429"/>
      <c r="G1670" s="1429"/>
      <c r="H1670" s="1429"/>
      <c r="I1670" s="1429"/>
      <c r="J1670" s="1429"/>
      <c r="K1670" s="1429"/>
      <c r="L1670" s="1429"/>
      <c r="M1670" s="1429"/>
      <c r="N1670" s="1424"/>
      <c r="O1670" s="1428">
        <f>O1630</f>
        <v>0</v>
      </c>
      <c r="P1670" s="1423">
        <f t="shared" si="2422"/>
        <v>0</v>
      </c>
      <c r="Q1670" s="1423">
        <f t="shared" si="2423"/>
        <v>0</v>
      </c>
      <c r="R1670" s="1423">
        <f t="shared" si="2424"/>
        <v>0</v>
      </c>
      <c r="S1670" s="1423">
        <f t="shared" si="2425"/>
        <v>0</v>
      </c>
      <c r="T1670" s="1423">
        <f t="shared" si="2426"/>
        <v>0</v>
      </c>
      <c r="U1670" s="1423">
        <f t="shared" si="2427"/>
        <v>0</v>
      </c>
      <c r="V1670" s="1423">
        <f t="shared" si="2428"/>
        <v>0</v>
      </c>
      <c r="W1670" s="1423">
        <f t="shared" si="2429"/>
        <v>0</v>
      </c>
      <c r="X1670" s="152"/>
      <c r="Y1670" s="152"/>
      <c r="Z1670" s="152"/>
      <c r="AA1670" s="152"/>
      <c r="AB1670" s="152"/>
    </row>
    <row r="1671" spans="1:28" hidden="1" outlineLevel="1">
      <c r="A1671" s="152"/>
      <c r="B1671" s="190" t="str">
        <f t="shared" ca="1" si="2430"/>
        <v>RL Capex 2028-29</v>
      </c>
      <c r="C1671" s="1429"/>
      <c r="D1671" s="1429"/>
      <c r="E1671" s="1429"/>
      <c r="F1671" s="1429"/>
      <c r="G1671" s="1429"/>
      <c r="H1671" s="1429"/>
      <c r="I1671" s="1429"/>
      <c r="J1671" s="1429"/>
      <c r="K1671" s="1429"/>
      <c r="L1671" s="1429"/>
      <c r="M1671" s="1429"/>
      <c r="N1671" s="1429"/>
      <c r="O1671" s="1424"/>
      <c r="P1671" s="1428">
        <f>P1630</f>
        <v>0</v>
      </c>
      <c r="Q1671" s="1423">
        <f t="shared" si="2423"/>
        <v>0</v>
      </c>
      <c r="R1671" s="1423">
        <f t="shared" si="2424"/>
        <v>0</v>
      </c>
      <c r="S1671" s="1423">
        <f t="shared" si="2425"/>
        <v>0</v>
      </c>
      <c r="T1671" s="1423">
        <f t="shared" si="2426"/>
        <v>0</v>
      </c>
      <c r="U1671" s="1423">
        <f t="shared" si="2427"/>
        <v>0</v>
      </c>
      <c r="V1671" s="1423">
        <f t="shared" si="2428"/>
        <v>0</v>
      </c>
      <c r="W1671" s="1423">
        <f t="shared" si="2429"/>
        <v>0</v>
      </c>
      <c r="X1671" s="152"/>
      <c r="Y1671" s="152"/>
      <c r="Z1671" s="152"/>
      <c r="AA1671" s="152"/>
      <c r="AB1671" s="152"/>
    </row>
    <row r="1672" spans="1:28" hidden="1" outlineLevel="1">
      <c r="A1672" s="152"/>
      <c r="B1672" s="190" t="str">
        <f t="shared" ca="1" si="2430"/>
        <v>RL Capex 2029-30</v>
      </c>
      <c r="C1672" s="1429"/>
      <c r="D1672" s="1429"/>
      <c r="E1672" s="1429"/>
      <c r="F1672" s="1429"/>
      <c r="G1672" s="1429"/>
      <c r="H1672" s="1429"/>
      <c r="I1672" s="1429"/>
      <c r="J1672" s="1429"/>
      <c r="K1672" s="1429"/>
      <c r="L1672" s="1429"/>
      <c r="M1672" s="1429"/>
      <c r="N1672" s="1429"/>
      <c r="O1672" s="1429"/>
      <c r="P1672" s="1424"/>
      <c r="Q1672" s="1428">
        <f>Q1630</f>
        <v>0</v>
      </c>
      <c r="R1672" s="1423">
        <f t="shared" si="2424"/>
        <v>0</v>
      </c>
      <c r="S1672" s="1423">
        <f t="shared" si="2425"/>
        <v>0</v>
      </c>
      <c r="T1672" s="1423">
        <f t="shared" si="2426"/>
        <v>0</v>
      </c>
      <c r="U1672" s="1423">
        <f t="shared" si="2427"/>
        <v>0</v>
      </c>
      <c r="V1672" s="1423">
        <f t="shared" si="2428"/>
        <v>0</v>
      </c>
      <c r="W1672" s="1423">
        <f t="shared" si="2429"/>
        <v>0</v>
      </c>
      <c r="X1672" s="152"/>
      <c r="Y1672" s="152"/>
      <c r="Z1672" s="152"/>
      <c r="AA1672" s="152"/>
      <c r="AB1672" s="152"/>
    </row>
    <row r="1673" spans="1:28" hidden="1" outlineLevel="1">
      <c r="A1673" s="152"/>
      <c r="B1673" s="190" t="str">
        <f t="shared" ca="1" si="2430"/>
        <v>RL Capex 2030-31</v>
      </c>
      <c r="C1673" s="1429"/>
      <c r="D1673" s="1429"/>
      <c r="E1673" s="1429"/>
      <c r="F1673" s="1429"/>
      <c r="G1673" s="1429"/>
      <c r="H1673" s="1429"/>
      <c r="I1673" s="1429"/>
      <c r="J1673" s="1429"/>
      <c r="K1673" s="1429"/>
      <c r="L1673" s="1429"/>
      <c r="M1673" s="1429"/>
      <c r="N1673" s="1429"/>
      <c r="O1673" s="1429"/>
      <c r="P1673" s="1429"/>
      <c r="Q1673" s="1424"/>
      <c r="R1673" s="1428">
        <f>R1630</f>
        <v>0</v>
      </c>
      <c r="S1673" s="1423">
        <f t="shared" si="2425"/>
        <v>0</v>
      </c>
      <c r="T1673" s="1423">
        <f t="shared" si="2426"/>
        <v>0</v>
      </c>
      <c r="U1673" s="1423">
        <f t="shared" si="2427"/>
        <v>0</v>
      </c>
      <c r="V1673" s="1423">
        <f t="shared" si="2428"/>
        <v>0</v>
      </c>
      <c r="W1673" s="1423">
        <f t="shared" si="2429"/>
        <v>0</v>
      </c>
      <c r="X1673" s="152"/>
      <c r="Y1673" s="152"/>
      <c r="Z1673" s="152"/>
      <c r="AA1673" s="152"/>
      <c r="AB1673" s="152"/>
    </row>
    <row r="1674" spans="1:28" hidden="1" outlineLevel="1">
      <c r="A1674" s="152"/>
      <c r="B1674" s="190" t="str">
        <f t="shared" ca="1" si="2430"/>
        <v>RL Capex 2031-32</v>
      </c>
      <c r="C1674" s="1429"/>
      <c r="D1674" s="1429"/>
      <c r="E1674" s="1429"/>
      <c r="F1674" s="1429"/>
      <c r="G1674" s="1429"/>
      <c r="H1674" s="1429"/>
      <c r="I1674" s="1429"/>
      <c r="J1674" s="1429"/>
      <c r="K1674" s="1429"/>
      <c r="L1674" s="1429"/>
      <c r="M1674" s="1429"/>
      <c r="N1674" s="1429"/>
      <c r="O1674" s="1429"/>
      <c r="P1674" s="1429"/>
      <c r="Q1674" s="1429"/>
      <c r="R1674" s="1424"/>
      <c r="S1674" s="1428">
        <f>S1630</f>
        <v>0</v>
      </c>
      <c r="T1674" s="1423">
        <f t="shared" si="2426"/>
        <v>0</v>
      </c>
      <c r="U1674" s="1423">
        <f t="shared" si="2427"/>
        <v>0</v>
      </c>
      <c r="V1674" s="1423">
        <f t="shared" si="2428"/>
        <v>0</v>
      </c>
      <c r="W1674" s="1423">
        <f t="shared" si="2429"/>
        <v>0</v>
      </c>
      <c r="X1674" s="152"/>
      <c r="Y1674" s="152"/>
      <c r="Z1674" s="152"/>
      <c r="AA1674" s="152"/>
      <c r="AB1674" s="152"/>
    </row>
    <row r="1675" spans="1:28" hidden="1" outlineLevel="1">
      <c r="A1675" s="152"/>
      <c r="B1675" s="190" t="str">
        <f t="shared" ca="1" si="2430"/>
        <v>RL Capex 2032-33</v>
      </c>
      <c r="C1675" s="1429"/>
      <c r="D1675" s="1429"/>
      <c r="E1675" s="1429"/>
      <c r="F1675" s="1429"/>
      <c r="G1675" s="1429"/>
      <c r="H1675" s="1429"/>
      <c r="I1675" s="1429"/>
      <c r="J1675" s="1429"/>
      <c r="K1675" s="1429"/>
      <c r="L1675" s="1429"/>
      <c r="M1675" s="1429"/>
      <c r="N1675" s="1429"/>
      <c r="O1675" s="1429"/>
      <c r="P1675" s="1429"/>
      <c r="Q1675" s="1429"/>
      <c r="R1675" s="1429"/>
      <c r="S1675" s="1424"/>
      <c r="T1675" s="1428">
        <f>T1630</f>
        <v>0</v>
      </c>
      <c r="U1675" s="1423">
        <f t="shared" si="2427"/>
        <v>0</v>
      </c>
      <c r="V1675" s="1423">
        <f t="shared" si="2428"/>
        <v>0</v>
      </c>
      <c r="W1675" s="1423">
        <f t="shared" si="2429"/>
        <v>0</v>
      </c>
      <c r="X1675" s="152"/>
      <c r="Y1675" s="152"/>
      <c r="Z1675" s="152"/>
      <c r="AA1675" s="152"/>
      <c r="AB1675" s="152"/>
    </row>
    <row r="1676" spans="1:28" hidden="1" outlineLevel="1">
      <c r="A1676" s="152"/>
      <c r="B1676" s="190" t="str">
        <f t="shared" ca="1" si="2430"/>
        <v>RL Capex 2033-34</v>
      </c>
      <c r="C1676" s="1429"/>
      <c r="D1676" s="1429"/>
      <c r="E1676" s="1429"/>
      <c r="F1676" s="1429"/>
      <c r="G1676" s="1429"/>
      <c r="H1676" s="1429"/>
      <c r="I1676" s="1429"/>
      <c r="J1676" s="1429"/>
      <c r="K1676" s="1429"/>
      <c r="L1676" s="1429"/>
      <c r="M1676" s="1429"/>
      <c r="N1676" s="1429"/>
      <c r="O1676" s="1429"/>
      <c r="P1676" s="1429"/>
      <c r="Q1676" s="1429"/>
      <c r="R1676" s="1429"/>
      <c r="S1676" s="1429"/>
      <c r="T1676" s="1424"/>
      <c r="U1676" s="1428">
        <f>U1630</f>
        <v>0</v>
      </c>
      <c r="V1676" s="1423">
        <f t="shared" si="2428"/>
        <v>0</v>
      </c>
      <c r="W1676" s="1423">
        <f t="shared" si="2429"/>
        <v>0</v>
      </c>
      <c r="X1676" s="152"/>
      <c r="Y1676" s="152"/>
      <c r="Z1676" s="152"/>
      <c r="AA1676" s="152"/>
      <c r="AB1676" s="152"/>
    </row>
    <row r="1677" spans="1:28" hidden="1" outlineLevel="1">
      <c r="A1677" s="152"/>
      <c r="B1677" s="190" t="str">
        <f t="shared" ca="1" si="2430"/>
        <v>RL Capex 2034-35</v>
      </c>
      <c r="C1677" s="1429"/>
      <c r="D1677" s="1429"/>
      <c r="E1677" s="1429"/>
      <c r="F1677" s="1429"/>
      <c r="G1677" s="1429"/>
      <c r="H1677" s="1429"/>
      <c r="I1677" s="1429"/>
      <c r="J1677" s="1429"/>
      <c r="K1677" s="1429"/>
      <c r="L1677" s="1429"/>
      <c r="M1677" s="1429"/>
      <c r="N1677" s="1429"/>
      <c r="O1677" s="1429"/>
      <c r="P1677" s="1429"/>
      <c r="Q1677" s="1429"/>
      <c r="R1677" s="1429"/>
      <c r="S1677" s="1429"/>
      <c r="T1677" s="1429"/>
      <c r="U1677" s="1424"/>
      <c r="V1677" s="1428">
        <f>V1630</f>
        <v>0</v>
      </c>
      <c r="W1677" s="1423">
        <f>IF(V1677="n/a","n/a",MAX(0,V1677-1))</f>
        <v>0</v>
      </c>
      <c r="X1677" s="152"/>
      <c r="Y1677" s="152"/>
      <c r="Z1677" s="152"/>
      <c r="AA1677" s="152"/>
      <c r="AB1677" s="152"/>
    </row>
    <row r="1678" spans="1:28" hidden="1" outlineLevel="1">
      <c r="A1678" s="152"/>
      <c r="B1678" s="190" t="str">
        <f t="shared" ca="1" si="2430"/>
        <v>RL Capex 2035-36</v>
      </c>
      <c r="C1678" s="1429"/>
      <c r="D1678" s="1429"/>
      <c r="E1678" s="1429"/>
      <c r="F1678" s="1429"/>
      <c r="G1678" s="1429"/>
      <c r="H1678" s="1429"/>
      <c r="I1678" s="1429"/>
      <c r="J1678" s="1429"/>
      <c r="K1678" s="1429"/>
      <c r="L1678" s="1429"/>
      <c r="M1678" s="1429"/>
      <c r="N1678" s="1429"/>
      <c r="O1678" s="1429"/>
      <c r="P1678" s="1429"/>
      <c r="Q1678" s="1429"/>
      <c r="R1678" s="1429"/>
      <c r="S1678" s="1429"/>
      <c r="T1678" s="1429"/>
      <c r="U1678" s="1429"/>
      <c r="V1678" s="1424"/>
      <c r="W1678" s="1423">
        <f>W1630</f>
        <v>0</v>
      </c>
      <c r="X1678" s="152"/>
      <c r="Y1678" s="152"/>
      <c r="Z1678" s="152"/>
      <c r="AA1678" s="152"/>
      <c r="AB1678" s="152"/>
    </row>
    <row r="1679" spans="1:28" hidden="1" outlineLevel="1">
      <c r="A1679" s="152"/>
      <c r="B1679" s="200"/>
      <c r="C1679" s="1423"/>
      <c r="D1679" s="1423"/>
      <c r="E1679" s="1423"/>
      <c r="F1679" s="1423"/>
      <c r="G1679" s="1423"/>
      <c r="H1679" s="1423"/>
      <c r="I1679" s="1423"/>
      <c r="J1679" s="1423"/>
      <c r="K1679" s="1423"/>
      <c r="L1679" s="1423"/>
      <c r="M1679" s="1423"/>
      <c r="N1679" s="1423"/>
      <c r="O1679" s="1423"/>
      <c r="P1679" s="1423"/>
      <c r="Q1679" s="1423"/>
      <c r="R1679" s="1423"/>
      <c r="S1679" s="1423"/>
      <c r="T1679" s="1423"/>
      <c r="U1679" s="1423"/>
      <c r="V1679" s="1423"/>
      <c r="W1679" s="1423"/>
      <c r="X1679" s="152"/>
      <c r="Y1679" s="152"/>
      <c r="Z1679" s="152"/>
      <c r="AA1679" s="152"/>
      <c r="AB1679" s="152"/>
    </row>
    <row r="1680" spans="1:28" collapsed="1">
      <c r="A1680" s="194"/>
      <c r="B1680" s="204" t="s">
        <v>123</v>
      </c>
      <c r="C1680" s="1430">
        <f ca="1">(IF(OR($C1630&lt;&gt;"n/a",C1630&lt;&gt;"n/a"),IF(SUM(C1633:C1655)=0,0,IF((SUMPRODUCT(C1633:C1655,C1657:C1679)/SUM(C1633:C1655))&lt;0,1,(SUMPRODUCT(C1633:C1655,C1657:C1679)/SUM(C1633:C1655)))),"n/a"))</f>
        <v>0</v>
      </c>
      <c r="D1680" s="1430">
        <f ca="1">(IF(OR($C1630&lt;&gt;"n/a",D1630&lt;&gt;"n/a"),IF(SUM(D1633:D1655)=0,0,IF((SUMPRODUCT(D1633:D1655,D1657:D1679)/SUM(D1633:D1655))&lt;0,1,(SUMPRODUCT(D1633:D1655,D1657:D1679)/SUM(D1633:D1655)))),"n/a"))</f>
        <v>0</v>
      </c>
      <c r="E1680" s="1430">
        <f t="shared" ref="E1680:W1680" ca="1" si="2431">(IF(OR($C1630&lt;&gt;"n/a",E1630&lt;&gt;"n/a"),IF(SUM(E1633:E1655)=0,0,IF((SUMPRODUCT(E1633:E1655,E1657:E1679)/SUM(E1633:E1655))&lt;0,1,(SUMPRODUCT(E1633:E1655,E1657:E1679)/SUM(E1633:E1655)))),"n/a"))</f>
        <v>0</v>
      </c>
      <c r="F1680" s="1430">
        <f t="shared" ca="1" si="2431"/>
        <v>0</v>
      </c>
      <c r="G1680" s="1430">
        <f t="shared" ca="1" si="2431"/>
        <v>0</v>
      </c>
      <c r="H1680" s="1430">
        <f t="shared" ca="1" si="2431"/>
        <v>0</v>
      </c>
      <c r="I1680" s="1430">
        <f t="shared" ca="1" si="2431"/>
        <v>0</v>
      </c>
      <c r="J1680" s="1430">
        <f t="shared" ca="1" si="2431"/>
        <v>0</v>
      </c>
      <c r="K1680" s="1430">
        <f t="shared" ca="1" si="2431"/>
        <v>0</v>
      </c>
      <c r="L1680" s="1430">
        <f t="shared" ca="1" si="2431"/>
        <v>0</v>
      </c>
      <c r="M1680" s="1430">
        <f t="shared" ca="1" si="2431"/>
        <v>0</v>
      </c>
      <c r="N1680" s="1430">
        <f t="shared" ca="1" si="2431"/>
        <v>0</v>
      </c>
      <c r="O1680" s="1430">
        <f t="shared" ca="1" si="2431"/>
        <v>0</v>
      </c>
      <c r="P1680" s="1430">
        <f t="shared" ca="1" si="2431"/>
        <v>0</v>
      </c>
      <c r="Q1680" s="1430">
        <f t="shared" ca="1" si="2431"/>
        <v>0</v>
      </c>
      <c r="R1680" s="1430">
        <f t="shared" ca="1" si="2431"/>
        <v>0</v>
      </c>
      <c r="S1680" s="1430">
        <f t="shared" ca="1" si="2431"/>
        <v>0</v>
      </c>
      <c r="T1680" s="1430">
        <f t="shared" ca="1" si="2431"/>
        <v>0</v>
      </c>
      <c r="U1680" s="1430">
        <f t="shared" ca="1" si="2431"/>
        <v>0</v>
      </c>
      <c r="V1680" s="1430">
        <f t="shared" ca="1" si="2431"/>
        <v>0</v>
      </c>
      <c r="W1680" s="1430">
        <f t="shared" ca="1" si="2431"/>
        <v>0</v>
      </c>
      <c r="X1680" s="152"/>
      <c r="Y1680" s="152"/>
      <c r="Z1680" s="152"/>
      <c r="AA1680" s="152"/>
      <c r="AB1680" s="152"/>
    </row>
    <row r="1681" spans="1:28">
      <c r="A1681" s="152"/>
      <c r="B1681" s="152"/>
      <c r="C1681" s="1423"/>
      <c r="D1681" s="1423"/>
      <c r="E1681" s="1423"/>
      <c r="F1681" s="1423"/>
      <c r="G1681" s="1423"/>
      <c r="H1681" s="1423"/>
      <c r="I1681" s="1423"/>
      <c r="J1681" s="1423"/>
      <c r="K1681" s="1423"/>
      <c r="L1681" s="1423"/>
      <c r="M1681" s="1423"/>
      <c r="N1681" s="1423"/>
      <c r="O1681" s="1423"/>
      <c r="P1681" s="1423"/>
      <c r="Q1681" s="1423"/>
      <c r="R1681" s="1423"/>
      <c r="S1681" s="1423"/>
      <c r="T1681" s="1423"/>
      <c r="U1681" s="1423"/>
      <c r="V1681" s="1423"/>
      <c r="W1681" s="1423"/>
      <c r="X1681" s="152"/>
      <c r="Y1681" s="152"/>
      <c r="Z1681" s="152"/>
      <c r="AA1681" s="152"/>
      <c r="AB1681" s="152"/>
    </row>
    <row r="1682" spans="1:28">
      <c r="A1682" s="269" t="s">
        <v>98</v>
      </c>
      <c r="B1682" s="270">
        <f>VLOOKUP($A1682,'RFM input'!$E$7:$F$56,2,FALSE)</f>
        <v>0</v>
      </c>
      <c r="C1682" s="1431"/>
      <c r="D1682" s="1431"/>
      <c r="E1682" s="1432"/>
      <c r="F1682" s="1432"/>
      <c r="G1682" s="1432"/>
      <c r="H1682" s="1432"/>
      <c r="I1682" s="1432"/>
      <c r="J1682" s="1432"/>
      <c r="K1682" s="1432"/>
      <c r="L1682" s="1432"/>
      <c r="M1682" s="1432"/>
      <c r="N1682" s="1432"/>
      <c r="O1682" s="1432"/>
      <c r="P1682" s="1432"/>
      <c r="Q1682" s="1432"/>
      <c r="R1682" s="1432"/>
      <c r="S1682" s="1432"/>
      <c r="T1682" s="1432"/>
      <c r="U1682" s="1432"/>
      <c r="V1682" s="1432"/>
      <c r="W1682" s="1432"/>
      <c r="X1682" s="152"/>
      <c r="Y1682" s="152"/>
      <c r="Z1682" s="152"/>
      <c r="AA1682" s="152"/>
      <c r="AB1682" s="152"/>
    </row>
    <row r="1683" spans="1:28">
      <c r="A1683" s="215">
        <f>VALUE(REPLACE(A1682,1,12,""))</f>
        <v>32</v>
      </c>
      <c r="B1683" s="193" t="s">
        <v>126</v>
      </c>
      <c r="C1683" s="1416">
        <f ca="1">IF($D$6='TAB roll forward'!$H$4,OFFSET('TAB roll forward'!$H$7,A1683,0),"enter input")</f>
        <v>0</v>
      </c>
      <c r="D1683" s="1417">
        <f>IF(LEFT(D$6,4)&lt;LEFT('RFM input'!$G$60,4),"enter input",IF(LEFT(D$6,4)&gt;LEFT('RFM input'!$Q$60,4),0,
INDEX('RFM input'!$G$61:$Q$110,$A1683,MATCH(D$6,'RFM input'!$G$60:$Q$60,0))
   -INDEX('RFM input'!$G$115:$Q$164,$A1683,MATCH(D$6,'RFM input'!$G$60:$Q$60,0))))</f>
        <v>0</v>
      </c>
      <c r="E1683" s="1417">
        <f>IF(LEFT(E$6,4)&lt;LEFT('RFM input'!$G$60,4),"enter input",IF(LEFT(E$6,4)&gt;LEFT('RFM input'!$Q$60,4),0,
INDEX('RFM input'!$G$61:$Q$110,$A1683,MATCH(E$6,'RFM input'!$G$60:$Q$60,0))
   -INDEX('RFM input'!$G$115:$Q$164,$A1683,MATCH(E$6,'RFM input'!$G$60:$Q$60,0))))</f>
        <v>0</v>
      </c>
      <c r="F1683" s="1417">
        <f>IF(LEFT(F$6,4)&lt;LEFT('RFM input'!$G$60,4),"enter input",IF(LEFT(F$6,4)&gt;LEFT('RFM input'!$Q$60,4),0,
INDEX('RFM input'!$G$61:$Q$110,$A1683,MATCH(F$6,'RFM input'!$G$60:$Q$60,0))
   -INDEX('RFM input'!$G$115:$Q$164,$A1683,MATCH(F$6,'RFM input'!$G$60:$Q$60,0))))</f>
        <v>0</v>
      </c>
      <c r="G1683" s="1417">
        <f>IF(LEFT(G$6,4)&lt;LEFT('RFM input'!$G$60,4),"enter input",IF(LEFT(G$6,4)&gt;LEFT('RFM input'!$Q$60,4),0,
INDEX('RFM input'!$G$61:$Q$110,$A1683,MATCH(G$6,'RFM input'!$G$60:$Q$60,0))
   -INDEX('RFM input'!$G$115:$Q$164,$A1683,MATCH(G$6,'RFM input'!$G$60:$Q$60,0))))</f>
        <v>0</v>
      </c>
      <c r="H1683" s="1417">
        <f>IF(LEFT(H$6,4)&lt;LEFT('RFM input'!$G$60,4),"enter input",IF(LEFT(H$6,4)&gt;LEFT('RFM input'!$Q$60,4),0,
INDEX('RFM input'!$G$61:$Q$110,$A1683,MATCH(H$6,'RFM input'!$G$60:$Q$60,0))
   -INDEX('RFM input'!$G$115:$Q$164,$A1683,MATCH(H$6,'RFM input'!$G$60:$Q$60,0))))</f>
        <v>0</v>
      </c>
      <c r="I1683" s="1417">
        <f>IF(LEFT(I$6,4)&lt;LEFT('RFM input'!$G$60,4),"enter input",IF(LEFT(I$6,4)&gt;LEFT('RFM input'!$Q$60,4),0,
INDEX('RFM input'!$G$61:$Q$110,$A1683,MATCH(I$6,'RFM input'!$G$60:$Q$60,0))
   -INDEX('RFM input'!$G$115:$Q$164,$A1683,MATCH(I$6,'RFM input'!$G$60:$Q$60,0))))</f>
        <v>0</v>
      </c>
      <c r="J1683" s="1417">
        <f>IF(LEFT(J$6,4)&lt;LEFT('RFM input'!$G$60,4),"enter input",IF(LEFT(J$6,4)&gt;LEFT('RFM input'!$Q$60,4),0,
INDEX('RFM input'!$G$61:$Q$110,$A1683,MATCH(J$6,'RFM input'!$G$60:$Q$60,0))
   -INDEX('RFM input'!$G$115:$Q$164,$A1683,MATCH(J$6,'RFM input'!$G$60:$Q$60,0))))</f>
        <v>0</v>
      </c>
      <c r="K1683" s="1417">
        <f>IF(LEFT(K$6,4)&lt;LEFT('RFM input'!$G$60,4),"enter input",IF(LEFT(K$6,4)&gt;LEFT('RFM input'!$Q$60,4),0,
INDEX('RFM input'!$G$61:$Q$110,$A1683,MATCH(K$6,'RFM input'!$G$60:$Q$60,0))
   -INDEX('RFM input'!$G$115:$Q$164,$A1683,MATCH(K$6,'RFM input'!$G$60:$Q$60,0))))</f>
        <v>0</v>
      </c>
      <c r="L1683" s="1417">
        <f>IF(LEFT(L$6,4)&lt;LEFT('RFM input'!$G$60,4),"enter input",IF(LEFT(L$6,4)&gt;LEFT('RFM input'!$Q$60,4),0,
INDEX('RFM input'!$G$61:$Q$110,$A1683,MATCH(L$6,'RFM input'!$G$60:$Q$60,0))
   -INDEX('RFM input'!$G$115:$Q$164,$A1683,MATCH(L$6,'RFM input'!$G$60:$Q$60,0))))</f>
        <v>0</v>
      </c>
      <c r="M1683" s="1417">
        <f>IF(LEFT(M$6,4)&lt;LEFT('RFM input'!$G$60,4),"enter input",IF(LEFT(M$6,4)&gt;LEFT('RFM input'!$Q$60,4),0,
INDEX('RFM input'!$G$61:$Q$110,$A1683,MATCH(M$6,'RFM input'!$G$60:$Q$60,0))
   -INDEX('RFM input'!$G$115:$Q$164,$A1683,MATCH(M$6,'RFM input'!$G$60:$Q$60,0))))</f>
        <v>0</v>
      </c>
      <c r="N1683" s="1417">
        <f>IF(LEFT(N$6,4)&lt;LEFT('RFM input'!$G$60,4),"enter input",IF(LEFT(N$6,4)&gt;LEFT('RFM input'!$Q$60,4),0,
INDEX('RFM input'!$G$61:$Q$110,$A1683,MATCH(N$6,'RFM input'!$G$60:$Q$60,0))
   -INDEX('RFM input'!$G$115:$Q$164,$A1683,MATCH(N$6,'RFM input'!$G$60:$Q$60,0))))</f>
        <v>0</v>
      </c>
      <c r="O1683" s="1417">
        <f>IF(LEFT(O$6,4)&lt;LEFT('RFM input'!$G$60,4),"enter input",IF(LEFT(O$6,4)&gt;LEFT('RFM input'!$Q$60,4),0,
INDEX('RFM input'!$G$61:$Q$110,$A1683,MATCH(O$6,'RFM input'!$G$60:$Q$60,0))
   -INDEX('RFM input'!$G$115:$Q$164,$A1683,MATCH(O$6,'RFM input'!$G$60:$Q$60,0))))</f>
        <v>0</v>
      </c>
      <c r="P1683" s="1417">
        <f>IF(LEFT(P$6,4)&lt;LEFT('RFM input'!$G$60,4),"enter input",IF(LEFT(P$6,4)&gt;LEFT('RFM input'!$Q$60,4),0,
INDEX('RFM input'!$G$61:$Q$110,$A1683,MATCH(P$6,'RFM input'!$G$60:$Q$60,0))
   -INDEX('RFM input'!$G$115:$Q$164,$A1683,MATCH(P$6,'RFM input'!$G$60:$Q$60,0))))</f>
        <v>0</v>
      </c>
      <c r="Q1683" s="1417">
        <f>IF(LEFT(Q$6,4)&lt;LEFT('RFM input'!$G$60,4),"enter input",IF(LEFT(Q$6,4)&gt;LEFT('RFM input'!$Q$60,4),0,
INDEX('RFM input'!$G$61:$Q$110,$A1683,MATCH(Q$6,'RFM input'!$G$60:$Q$60,0))
   -INDEX('RFM input'!$G$115:$Q$164,$A1683,MATCH(Q$6,'RFM input'!$G$60:$Q$60,0))))</f>
        <v>0</v>
      </c>
      <c r="R1683" s="1417">
        <f>IF(LEFT(R$6,4)&lt;LEFT('RFM input'!$G$60,4),"enter input",IF(LEFT(R$6,4)&gt;LEFT('RFM input'!$Q$60,4),0,
INDEX('RFM input'!$G$61:$Q$110,$A1683,MATCH(R$6,'RFM input'!$G$60:$Q$60,0))
   -INDEX('RFM input'!$G$115:$Q$164,$A1683,MATCH(R$6,'RFM input'!$G$60:$Q$60,0))))</f>
        <v>0</v>
      </c>
      <c r="S1683" s="1417">
        <f>IF(LEFT(S$6,4)&lt;LEFT('RFM input'!$G$60,4),"enter input",IF(LEFT(S$6,4)&gt;LEFT('RFM input'!$Q$60,4),0,
INDEX('RFM input'!$G$61:$Q$110,$A1683,MATCH(S$6,'RFM input'!$G$60:$Q$60,0))
   -INDEX('RFM input'!$G$115:$Q$164,$A1683,MATCH(S$6,'RFM input'!$G$60:$Q$60,0))))</f>
        <v>0</v>
      </c>
      <c r="T1683" s="1417">
        <f>IF(LEFT(T$6,4)&lt;LEFT('RFM input'!$G$60,4),"enter input",IF(LEFT(T$6,4)&gt;LEFT('RFM input'!$Q$60,4),0,
INDEX('RFM input'!$G$61:$Q$110,$A1683,MATCH(T$6,'RFM input'!$G$60:$Q$60,0))
   -INDEX('RFM input'!$G$115:$Q$164,$A1683,MATCH(T$6,'RFM input'!$G$60:$Q$60,0))))</f>
        <v>0</v>
      </c>
      <c r="U1683" s="1417">
        <f>IF(LEFT(U$6,4)&lt;LEFT('RFM input'!$G$60,4),"enter input",IF(LEFT(U$6,4)&gt;LEFT('RFM input'!$Q$60,4),0,
INDEX('RFM input'!$G$61:$Q$110,$A1683,MATCH(U$6,'RFM input'!$G$60:$Q$60,0))
   -INDEX('RFM input'!$G$115:$Q$164,$A1683,MATCH(U$6,'RFM input'!$G$60:$Q$60,0))))</f>
        <v>0</v>
      </c>
      <c r="V1683" s="1417">
        <f>IF(LEFT(V$6,4)&lt;LEFT('RFM input'!$G$60,4),"enter input",IF(LEFT(V$6,4)&gt;LEFT('RFM input'!$Q$60,4),0,
INDEX('RFM input'!$G$61:$Q$110,$A1683,MATCH(V$6,'RFM input'!$G$60:$Q$60,0))
   -INDEX('RFM input'!$G$115:$Q$164,$A1683,MATCH(V$6,'RFM input'!$G$60:$Q$60,0))))</f>
        <v>0</v>
      </c>
      <c r="W1683" s="1417">
        <f>IF(LEFT(W$6,4)&lt;LEFT('RFM input'!$G$60,4),"enter input",IF(LEFT(W$6,4)&gt;LEFT('RFM input'!$Q$60,4),0,
INDEX('RFM input'!$G$61:$Q$110,$A1683,MATCH(W$6,'RFM input'!$G$60:$Q$60,0))
   -INDEX('RFM input'!$G$115:$Q$164,$A1683,MATCH(W$6,'RFM input'!$G$60:$Q$60,0))))</f>
        <v>0</v>
      </c>
      <c r="X1683" s="152"/>
      <c r="Y1683" s="152"/>
      <c r="Z1683" s="152"/>
      <c r="AA1683" s="152"/>
      <c r="AB1683" s="152"/>
    </row>
    <row r="1684" spans="1:28">
      <c r="A1684" s="152"/>
      <c r="B1684" s="152" t="s">
        <v>205</v>
      </c>
      <c r="C1684" s="1418">
        <f ca="1">IF($D$6='TAB roll forward'!$H$4,OFFSET('RFM input'!$S$6,$A1683,0),"enter input")</f>
        <v>0</v>
      </c>
      <c r="D1684" s="1417">
        <f>IF(LEFT(D$6,4)&lt;=LEFT('RFM input'!$G$60,4),"enter input",IF(LEFT(D$6,4)&gt;LEFT('RFM input'!$Q$60,4),0,
IF(MATCH(D$6,'RFM input'!$H$60:$Q$60,0),INDEX('RFM input'!$T$7:$T$56,$A1683,1,1))))</f>
        <v>0</v>
      </c>
      <c r="E1684" s="1417">
        <f>IF(LEFT(E$6,4)&lt;=LEFT('RFM input'!$G$60,4),"enter input",IF(LEFT(E$6,4)&gt;LEFT('RFM input'!$Q$60,4),0,
IF(MATCH(E$6,'RFM input'!$H$60:$Q$60,0),INDEX('RFM input'!$T$7:$T$56,$A1683,1,1))))</f>
        <v>0</v>
      </c>
      <c r="F1684" s="1417">
        <f>IF(LEFT(F$6,4)&lt;=LEFT('RFM input'!$G$60,4),"enter input",IF(LEFT(F$6,4)&gt;LEFT('RFM input'!$Q$60,4),0,
IF(MATCH(F$6,'RFM input'!$H$60:$Q$60,0),INDEX('RFM input'!$T$7:$T$56,$A1683,1,1))))</f>
        <v>0</v>
      </c>
      <c r="G1684" s="1417">
        <f>IF(LEFT(G$6,4)&lt;=LEFT('RFM input'!$G$60,4),"enter input",IF(LEFT(G$6,4)&gt;LEFT('RFM input'!$Q$60,4),0,
IF(MATCH(G$6,'RFM input'!$H$60:$Q$60,0),INDEX('RFM input'!$T$7:$T$56,$A1683,1,1))))</f>
        <v>0</v>
      </c>
      <c r="H1684" s="1417">
        <f>IF(LEFT(H$6,4)&lt;=LEFT('RFM input'!$G$60,4),"enter input",IF(LEFT(H$6,4)&gt;LEFT('RFM input'!$Q$60,4),0,
IF(MATCH(H$6,'RFM input'!$H$60:$Q$60,0),INDEX('RFM input'!$T$7:$T$56,$A1683,1,1))))</f>
        <v>0</v>
      </c>
      <c r="I1684" s="1417">
        <f>IF(LEFT(I$6,4)&lt;=LEFT('RFM input'!$G$60,4),"enter input",IF(LEFT(I$6,4)&gt;LEFT('RFM input'!$Q$60,4),0,
IF(MATCH(I$6,'RFM input'!$H$60:$Q$60,0),INDEX('RFM input'!$T$7:$T$56,$A1683,1,1))))</f>
        <v>0</v>
      </c>
      <c r="J1684" s="1417">
        <f>IF(LEFT(J$6,4)&lt;=LEFT('RFM input'!$G$60,4),"enter input",IF(LEFT(J$6,4)&gt;LEFT('RFM input'!$Q$60,4),0,
IF(MATCH(J$6,'RFM input'!$H$60:$Q$60,0),INDEX('RFM input'!$T$7:$T$56,$A1683,1,1))))</f>
        <v>0</v>
      </c>
      <c r="K1684" s="1417">
        <f>IF(LEFT(K$6,4)&lt;=LEFT('RFM input'!$G$60,4),"enter input",IF(LEFT(K$6,4)&gt;LEFT('RFM input'!$Q$60,4),0,
IF(MATCH(K$6,'RFM input'!$H$60:$Q$60,0),INDEX('RFM input'!$T$7:$T$56,$A1683,1,1))))</f>
        <v>0</v>
      </c>
      <c r="L1684" s="1417">
        <f>IF(LEFT(L$6,4)&lt;=LEFT('RFM input'!$G$60,4),"enter input",IF(LEFT(L$6,4)&gt;LEFT('RFM input'!$Q$60,4),0,
IF(MATCH(L$6,'RFM input'!$H$60:$Q$60,0),INDEX('RFM input'!$T$7:$T$56,$A1683,1,1))))</f>
        <v>0</v>
      </c>
      <c r="M1684" s="1417">
        <f>IF(LEFT(M$6,4)&lt;=LEFT('RFM input'!$G$60,4),"enter input",IF(LEFT(M$6,4)&gt;LEFT('RFM input'!$Q$60,4),0,
IF(MATCH(M$6,'RFM input'!$H$60:$Q$60,0),INDEX('RFM input'!$T$7:$T$56,$A1683,1,1))))</f>
        <v>0</v>
      </c>
      <c r="N1684" s="1417">
        <f>IF(LEFT(N$6,4)&lt;=LEFT('RFM input'!$G$60,4),"enter input",IF(LEFT(N$6,4)&gt;LEFT('RFM input'!$Q$60,4),0,
IF(MATCH(N$6,'RFM input'!$H$60:$Q$60,0),INDEX('RFM input'!$T$7:$T$56,$A1683,1,1))))</f>
        <v>0</v>
      </c>
      <c r="O1684" s="1417">
        <f>IF(LEFT(O$6,4)&lt;=LEFT('RFM input'!$G$60,4),"enter input",IF(LEFT(O$6,4)&gt;LEFT('RFM input'!$Q$60,4),0,
IF(MATCH(O$6,'RFM input'!$H$60:$Q$60,0),INDEX('RFM input'!$T$7:$T$56,$A1683,1,1))))</f>
        <v>0</v>
      </c>
      <c r="P1684" s="1417">
        <f>IF(LEFT(P$6,4)&lt;=LEFT('RFM input'!$G$60,4),"enter input",IF(LEFT(P$6,4)&gt;LEFT('RFM input'!$Q$60,4),0,
IF(MATCH(P$6,'RFM input'!$H$60:$Q$60,0),INDEX('RFM input'!$T$7:$T$56,$A1683,1,1))))</f>
        <v>0</v>
      </c>
      <c r="Q1684" s="1417">
        <f>IF(LEFT(Q$6,4)&lt;=LEFT('RFM input'!$G$60,4),"enter input",IF(LEFT(Q$6,4)&gt;LEFT('RFM input'!$Q$60,4),0,
IF(MATCH(Q$6,'RFM input'!$H$60:$Q$60,0),INDEX('RFM input'!$T$7:$T$56,$A1683,1,1))))</f>
        <v>0</v>
      </c>
      <c r="R1684" s="1417">
        <f>IF(LEFT(R$6,4)&lt;=LEFT('RFM input'!$G$60,4),"enter input",IF(LEFT(R$6,4)&gt;LEFT('RFM input'!$Q$60,4),0,
IF(MATCH(R$6,'RFM input'!$H$60:$Q$60,0),INDEX('RFM input'!$T$7:$T$56,$A1683,1,1))))</f>
        <v>0</v>
      </c>
      <c r="S1684" s="1417">
        <f>IF(LEFT(S$6,4)&lt;=LEFT('RFM input'!$G$60,4),"enter input",IF(LEFT(S$6,4)&gt;LEFT('RFM input'!$Q$60,4),0,
IF(MATCH(S$6,'RFM input'!$H$60:$Q$60,0),INDEX('RFM input'!$T$7:$T$56,$A1683,1,1))))</f>
        <v>0</v>
      </c>
      <c r="T1684" s="1417">
        <f>IF(LEFT(T$6,4)&lt;=LEFT('RFM input'!$G$60,4),"enter input",IF(LEFT(T$6,4)&gt;LEFT('RFM input'!$Q$60,4),0,
IF(MATCH(T$6,'RFM input'!$H$60:$Q$60,0),INDEX('RFM input'!$T$7:$T$56,$A1683,1,1))))</f>
        <v>0</v>
      </c>
      <c r="U1684" s="1417">
        <f>IF(LEFT(U$6,4)&lt;=LEFT('RFM input'!$G$60,4),"enter input",IF(LEFT(U$6,4)&gt;LEFT('RFM input'!$Q$60,4),0,
IF(MATCH(U$6,'RFM input'!$H$60:$Q$60,0),INDEX('RFM input'!$T$7:$T$56,$A1683,1,1))))</f>
        <v>0</v>
      </c>
      <c r="V1684" s="1417">
        <f>IF(LEFT(V$6,4)&lt;=LEFT('RFM input'!$G$60,4),"enter input",IF(LEFT(V$6,4)&gt;LEFT('RFM input'!$Q$60,4),0,
IF(MATCH(V$6,'RFM input'!$H$60:$Q$60,0),INDEX('RFM input'!$T$7:$T$56,$A1683,1,1))))</f>
        <v>0</v>
      </c>
      <c r="W1684" s="1417">
        <f>IF(LEFT(W$6,4)&lt;=LEFT('RFM input'!$G$60,4),"enter input",IF(LEFT(W$6,4)&gt;LEFT('RFM input'!$Q$60,4),0,
IF(MATCH(W$6,'RFM input'!$H$60:$Q$60,0),INDEX('RFM input'!$T$7:$T$56,$A1683,1,1))))</f>
        <v>0</v>
      </c>
      <c r="X1684" s="152"/>
      <c r="Y1684" s="152"/>
      <c r="Z1684" s="152"/>
      <c r="AA1684" s="152"/>
      <c r="AB1684" s="152"/>
    </row>
    <row r="1685" spans="1:28">
      <c r="A1685" s="152"/>
      <c r="B1685" s="193" t="s">
        <v>192</v>
      </c>
      <c r="C1685" s="1419"/>
      <c r="D1685" s="1420">
        <f ca="1">IF(LEFT(D$6,4)&lt;=LEFT('RFM input'!$G$60,4),"enter input",IF(LEFT(D$6,4)&gt;LEFT('RFM input'!$Q$60,4),0,
IF(D$6=(OFFSET('RFM input'!$G$60,0,'RFM input'!$V$7)),OFFSET('RFM input'!$H$411,$A1683,0),0)))</f>
        <v>0</v>
      </c>
      <c r="E1685" s="1417">
        <f ca="1">IF(LEFT(E$6,4)&lt;=LEFT('RFM input'!$G$60,4),"enter input",IF(LEFT(E$6,4)&gt;LEFT('RFM input'!$Q$60,4),0,
IF(E$6=(OFFSET('RFM input'!$G$60,0,'RFM input'!$V$7)),OFFSET('RFM input'!$H$411,$A1683,0),0)))</f>
        <v>0</v>
      </c>
      <c r="F1685" s="1417">
        <f ca="1">IF(LEFT(F$6,4)&lt;=LEFT('RFM input'!$G$60,4),"enter input",IF(LEFT(F$6,4)&gt;LEFT('RFM input'!$Q$60,4),0,
IF(F$6=(OFFSET('RFM input'!$G$60,0,'RFM input'!$V$7)),OFFSET('RFM input'!$H$411,$A1683,0),0)))</f>
        <v>0</v>
      </c>
      <c r="G1685" s="1417">
        <f ca="1">IF(LEFT(G$6,4)&lt;=LEFT('RFM input'!$G$60,4),"enter input",IF(LEFT(G$6,4)&gt;LEFT('RFM input'!$Q$60,4),0,
IF(G$6=(OFFSET('RFM input'!$G$60,0,'RFM input'!$V$7)),OFFSET('RFM input'!$H$411,$A1683,0),0)))</f>
        <v>0</v>
      </c>
      <c r="H1685" s="1417">
        <f ca="1">IF(LEFT(H$6,4)&lt;=LEFT('RFM input'!$G$60,4),"enter input",IF(LEFT(H$6,4)&gt;LEFT('RFM input'!$Q$60,4),0,
IF(H$6=(OFFSET('RFM input'!$G$60,0,'RFM input'!$V$7)),OFFSET('RFM input'!$H$411,$A1683,0),0)))</f>
        <v>0</v>
      </c>
      <c r="I1685" s="1417">
        <f ca="1">IF(LEFT(I$6,4)&lt;=LEFT('RFM input'!$G$60,4),"enter input",IF(LEFT(I$6,4)&gt;LEFT('RFM input'!$Q$60,4),0,
IF(I$6=(OFFSET('RFM input'!$G$60,0,'RFM input'!$V$7)),OFFSET('RFM input'!$H$411,$A1683,0),0)))</f>
        <v>0</v>
      </c>
      <c r="J1685" s="1417">
        <f ca="1">IF(LEFT(J$6,4)&lt;=LEFT('RFM input'!$G$60,4),"enter input",IF(LEFT(J$6,4)&gt;LEFT('RFM input'!$Q$60,4),0,
IF(J$6=(OFFSET('RFM input'!$G$60,0,'RFM input'!$V$7)),OFFSET('RFM input'!$H$411,$A1683,0),0)))</f>
        <v>0</v>
      </c>
      <c r="K1685" s="1417">
        <f ca="1">IF(LEFT(K$6,4)&lt;=LEFT('RFM input'!$G$60,4),"enter input",IF(LEFT(K$6,4)&gt;LEFT('RFM input'!$Q$60,4),0,
IF(K$6=(OFFSET('RFM input'!$G$60,0,'RFM input'!$V$7)),OFFSET('RFM input'!$H$411,$A1683,0),0)))</f>
        <v>0</v>
      </c>
      <c r="L1685" s="1417">
        <f ca="1">IF(LEFT(L$6,4)&lt;=LEFT('RFM input'!$G$60,4),"enter input",IF(LEFT(L$6,4)&gt;LEFT('RFM input'!$Q$60,4),0,
IF(L$6=(OFFSET('RFM input'!$G$60,0,'RFM input'!$V$7)),OFFSET('RFM input'!$H$411,$A1683,0),0)))</f>
        <v>0</v>
      </c>
      <c r="M1685" s="1417">
        <f ca="1">IF(LEFT(M$6,4)&lt;=LEFT('RFM input'!$G$60,4),"enter input",IF(LEFT(M$6,4)&gt;LEFT('RFM input'!$Q$60,4),0,
IF(M$6=(OFFSET('RFM input'!$G$60,0,'RFM input'!$V$7)),OFFSET('RFM input'!$H$411,$A1683,0),0)))</f>
        <v>0</v>
      </c>
      <c r="N1685" s="1417">
        <f ca="1">IF(LEFT(N$6,4)&lt;=LEFT('RFM input'!$G$60,4),"enter input",IF(LEFT(N$6,4)&gt;LEFT('RFM input'!$Q$60,4),0,
IF(N$6=(OFFSET('RFM input'!$G$60,0,'RFM input'!$V$7)),OFFSET('RFM input'!$H$411,$A1683,0),0)))</f>
        <v>0</v>
      </c>
      <c r="O1685" s="1417">
        <f ca="1">IF(LEFT(O$6,4)&lt;=LEFT('RFM input'!$G$60,4),"enter input",IF(LEFT(O$6,4)&gt;LEFT('RFM input'!$Q$60,4),0,
IF(O$6=(OFFSET('RFM input'!$G$60,0,'RFM input'!$V$7)),OFFSET('RFM input'!$H$411,$A1683,0),0)))</f>
        <v>0</v>
      </c>
      <c r="P1685" s="1417">
        <f ca="1">IF(LEFT(P$6,4)&lt;=LEFT('RFM input'!$G$60,4),"enter input",IF(LEFT(P$6,4)&gt;LEFT('RFM input'!$Q$60,4),0,
IF(P$6=(OFFSET('RFM input'!$G$60,0,'RFM input'!$V$7)),OFFSET('RFM input'!$H$411,$A1683,0),0)))</f>
        <v>0</v>
      </c>
      <c r="Q1685" s="1417">
        <f ca="1">IF(LEFT(Q$6,4)&lt;=LEFT('RFM input'!$G$60,4),"enter input",IF(LEFT(Q$6,4)&gt;LEFT('RFM input'!$Q$60,4),0,
IF(Q$6=(OFFSET('RFM input'!$G$60,0,'RFM input'!$V$7)),OFFSET('RFM input'!$H$411,$A1683,0),0)))</f>
        <v>0</v>
      </c>
      <c r="R1685" s="1417">
        <f ca="1">IF(LEFT(R$6,4)&lt;=LEFT('RFM input'!$G$60,4),"enter input",IF(LEFT(R$6,4)&gt;LEFT('RFM input'!$Q$60,4),0,
IF(R$6=(OFFSET('RFM input'!$G$60,0,'RFM input'!$V$7)),OFFSET('RFM input'!$H$411,$A1683,0),0)))</f>
        <v>0</v>
      </c>
      <c r="S1685" s="1417">
        <f ca="1">IF(LEFT(S$6,4)&lt;=LEFT('RFM input'!$G$60,4),"enter input",IF(LEFT(S$6,4)&gt;LEFT('RFM input'!$Q$60,4),0,
IF(S$6=(OFFSET('RFM input'!$G$60,0,'RFM input'!$V$7)),OFFSET('RFM input'!$H$411,$A1683,0),0)))</f>
        <v>0</v>
      </c>
      <c r="T1685" s="1417">
        <f ca="1">IF(LEFT(T$6,4)&lt;=LEFT('RFM input'!$G$60,4),"enter input",IF(LEFT(T$6,4)&gt;LEFT('RFM input'!$Q$60,4),0,
IF(T$6=(OFFSET('RFM input'!$G$60,0,'RFM input'!$V$7)),OFFSET('RFM input'!$H$411,$A1683,0),0)))</f>
        <v>0</v>
      </c>
      <c r="U1685" s="1417">
        <f ca="1">IF(LEFT(U$6,4)&lt;=LEFT('RFM input'!$G$60,4),"enter input",IF(LEFT(U$6,4)&gt;LEFT('RFM input'!$Q$60,4),0,
IF(U$6=(OFFSET('RFM input'!$G$60,0,'RFM input'!$V$7)),OFFSET('RFM input'!$H$411,$A1683,0),0)))</f>
        <v>0</v>
      </c>
      <c r="V1685" s="1417">
        <f ca="1">IF(LEFT(V$6,4)&lt;=LEFT('RFM input'!$G$60,4),"enter input",IF(LEFT(V$6,4)&gt;LEFT('RFM input'!$Q$60,4),0,
IF(V$6=(OFFSET('RFM input'!$G$60,0,'RFM input'!$V$7)),OFFSET('RFM input'!$H$411,$A1683,0),0)))</f>
        <v>0</v>
      </c>
      <c r="W1685" s="1417">
        <f ca="1">IF(LEFT(W$6,4)&lt;=LEFT('RFM input'!$G$60,4),"enter input",IF(LEFT(W$6,4)&gt;LEFT('RFM input'!$Q$60,4),0,
IF(W$6=(OFFSET('RFM input'!$G$60,0,'RFM input'!$V$7)),OFFSET('RFM input'!$H$411,$A1683,0),0)))</f>
        <v>0</v>
      </c>
      <c r="X1685" s="152"/>
      <c r="Y1685" s="152"/>
      <c r="Z1685" s="152"/>
      <c r="AA1685" s="152"/>
      <c r="AB1685" s="152"/>
    </row>
    <row r="1686" spans="1:28">
      <c r="A1686" s="152"/>
      <c r="B1686" s="193" t="s">
        <v>200</v>
      </c>
      <c r="C1686" s="1419"/>
      <c r="D1686" s="1418">
        <f ca="1">IF(LEFT(D$6,4)&lt;=LEFT('RFM input'!$G$60,4),"enter input",IF(LEFT(D$6,4)&gt;LEFT('RFM input'!$Q$60,4),0,
IF(D$6=(OFFSET('RFM input'!$G$60,0,'RFM input'!$V$7)),OFFSET('RFM input'!$J$411,$A1683,0),0)))</f>
        <v>0</v>
      </c>
      <c r="E1686" s="1422">
        <f ca="1">IF(LEFT(E$6,4)&lt;=LEFT('RFM input'!$G$60,4),"enter input",IF(LEFT(E$6,4)&gt;LEFT('RFM input'!$Q$60,4),0,
IF(E$6=(OFFSET('RFM input'!$G$60,0,'RFM input'!$V$7)),OFFSET('RFM input'!$J$411,$A1683,0),0)))</f>
        <v>0</v>
      </c>
      <c r="F1686" s="1422">
        <f ca="1">IF(LEFT(F$6,4)&lt;=LEFT('RFM input'!$G$60,4),"enter input",IF(LEFT(F$6,4)&gt;LEFT('RFM input'!$Q$60,4),0,
IF(F$6=(OFFSET('RFM input'!$G$60,0,'RFM input'!$V$7)),OFFSET('RFM input'!$J$411,$A1683,0),0)))</f>
        <v>0</v>
      </c>
      <c r="G1686" s="1422">
        <f ca="1">IF(LEFT(G$6,4)&lt;=LEFT('RFM input'!$G$60,4),"enter input",IF(LEFT(G$6,4)&gt;LEFT('RFM input'!$Q$60,4),0,
IF(G$6=(OFFSET('RFM input'!$G$60,0,'RFM input'!$V$7)),OFFSET('RFM input'!$J$411,$A1683,0),0)))</f>
        <v>0</v>
      </c>
      <c r="H1686" s="1422">
        <f ca="1">IF(LEFT(H$6,4)&lt;=LEFT('RFM input'!$G$60,4),"enter input",IF(LEFT(H$6,4)&gt;LEFT('RFM input'!$Q$60,4),0,
IF(H$6=(OFFSET('RFM input'!$G$60,0,'RFM input'!$V$7)),OFFSET('RFM input'!$J$411,$A1683,0),0)))</f>
        <v>0</v>
      </c>
      <c r="I1686" s="1422">
        <f ca="1">IF(LEFT(I$6,4)&lt;=LEFT('RFM input'!$G$60,4),"enter input",IF(LEFT(I$6,4)&gt;LEFT('RFM input'!$Q$60,4),0,
IF(I$6=(OFFSET('RFM input'!$G$60,0,'RFM input'!$V$7)),OFFSET('RFM input'!$J$411,$A1683,0),0)))</f>
        <v>0</v>
      </c>
      <c r="J1686" s="1422">
        <f ca="1">IF(LEFT(J$6,4)&lt;=LEFT('RFM input'!$G$60,4),"enter input",IF(LEFT(J$6,4)&gt;LEFT('RFM input'!$Q$60,4),0,
IF(J$6=(OFFSET('RFM input'!$G$60,0,'RFM input'!$V$7)),OFFSET('RFM input'!$J$411,$A1683,0),0)))</f>
        <v>0</v>
      </c>
      <c r="K1686" s="1422">
        <f ca="1">IF(LEFT(K$6,4)&lt;=LEFT('RFM input'!$G$60,4),"enter input",IF(LEFT(K$6,4)&gt;LEFT('RFM input'!$Q$60,4),0,
IF(K$6=(OFFSET('RFM input'!$G$60,0,'RFM input'!$V$7)),OFFSET('RFM input'!$J$411,$A1683,0),0)))</f>
        <v>0</v>
      </c>
      <c r="L1686" s="1422">
        <f ca="1">IF(LEFT(L$6,4)&lt;=LEFT('RFM input'!$G$60,4),"enter input",IF(LEFT(L$6,4)&gt;LEFT('RFM input'!$Q$60,4),0,
IF(L$6=(OFFSET('RFM input'!$G$60,0,'RFM input'!$V$7)),OFFSET('RFM input'!$J$411,$A1683,0),0)))</f>
        <v>0</v>
      </c>
      <c r="M1686" s="1422">
        <f ca="1">IF(LEFT(M$6,4)&lt;=LEFT('RFM input'!$G$60,4),"enter input",IF(LEFT(M$6,4)&gt;LEFT('RFM input'!$Q$60,4),0,
IF(M$6=(OFFSET('RFM input'!$G$60,0,'RFM input'!$V$7)),OFFSET('RFM input'!$J$411,$A1683,0),0)))</f>
        <v>0</v>
      </c>
      <c r="N1686" s="1422">
        <f ca="1">IF(LEFT(N$6,4)&lt;=LEFT('RFM input'!$G$60,4),"enter input",IF(LEFT(N$6,4)&gt;LEFT('RFM input'!$Q$60,4),0,
IF(N$6=(OFFSET('RFM input'!$G$60,0,'RFM input'!$V$7)),OFFSET('RFM input'!$J$411,$A1683,0),0)))</f>
        <v>0</v>
      </c>
      <c r="O1686" s="1422">
        <f ca="1">IF(LEFT(O$6,4)&lt;=LEFT('RFM input'!$G$60,4),"enter input",IF(LEFT(O$6,4)&gt;LEFT('RFM input'!$Q$60,4),0,
IF(O$6=(OFFSET('RFM input'!$G$60,0,'RFM input'!$V$7)),OFFSET('RFM input'!$J$411,$A1683,0),0)))</f>
        <v>0</v>
      </c>
      <c r="P1686" s="1422">
        <f ca="1">IF(LEFT(P$6,4)&lt;=LEFT('RFM input'!$G$60,4),"enter input",IF(LEFT(P$6,4)&gt;LEFT('RFM input'!$Q$60,4),0,
IF(P$6=(OFFSET('RFM input'!$G$60,0,'RFM input'!$V$7)),OFFSET('RFM input'!$J$411,$A1683,0),0)))</f>
        <v>0</v>
      </c>
      <c r="Q1686" s="1422">
        <f ca="1">IF(LEFT(Q$6,4)&lt;=LEFT('RFM input'!$G$60,4),"enter input",IF(LEFT(Q$6,4)&gt;LEFT('RFM input'!$Q$60,4),0,
IF(Q$6=(OFFSET('RFM input'!$G$60,0,'RFM input'!$V$7)),OFFSET('RFM input'!$J$411,$A1683,0),0)))</f>
        <v>0</v>
      </c>
      <c r="R1686" s="1422">
        <f ca="1">IF(LEFT(R$6,4)&lt;=LEFT('RFM input'!$G$60,4),"enter input",IF(LEFT(R$6,4)&gt;LEFT('RFM input'!$Q$60,4),0,
IF(R$6=(OFFSET('RFM input'!$G$60,0,'RFM input'!$V$7)),OFFSET('RFM input'!$J$411,$A1683,0),0)))</f>
        <v>0</v>
      </c>
      <c r="S1686" s="1422">
        <f ca="1">IF(LEFT(S$6,4)&lt;=LEFT('RFM input'!$G$60,4),"enter input",IF(LEFT(S$6,4)&gt;LEFT('RFM input'!$Q$60,4),0,
IF(S$6=(OFFSET('RFM input'!$G$60,0,'RFM input'!$V$7)),OFFSET('RFM input'!$J$411,$A1683,0),0)))</f>
        <v>0</v>
      </c>
      <c r="T1686" s="1422">
        <f ca="1">IF(LEFT(T$6,4)&lt;=LEFT('RFM input'!$G$60,4),"enter input",IF(LEFT(T$6,4)&gt;LEFT('RFM input'!$Q$60,4),0,
IF(T$6=(OFFSET('RFM input'!$G$60,0,'RFM input'!$V$7)),OFFSET('RFM input'!$J$411,$A1683,0),0)))</f>
        <v>0</v>
      </c>
      <c r="U1686" s="1422">
        <f ca="1">IF(LEFT(U$6,4)&lt;=LEFT('RFM input'!$G$60,4),"enter input",IF(LEFT(U$6,4)&gt;LEFT('RFM input'!$Q$60,4),0,
IF(U$6=(OFFSET('RFM input'!$G$60,0,'RFM input'!$V$7)),OFFSET('RFM input'!$J$411,$A1683,0),0)))</f>
        <v>0</v>
      </c>
      <c r="V1686" s="1422">
        <f ca="1">IF(LEFT(V$6,4)&lt;=LEFT('RFM input'!$G$60,4),"enter input",IF(LEFT(V$6,4)&gt;LEFT('RFM input'!$Q$60,4),0,
IF(V$6=(OFFSET('RFM input'!$G$60,0,'RFM input'!$V$7)),OFFSET('RFM input'!$J$411,$A1683,0),0)))</f>
        <v>0</v>
      </c>
      <c r="W1686" s="1422">
        <f ca="1">IF(LEFT(W$6,4)&lt;=LEFT('RFM input'!$G$60,4),"enter input",IF(LEFT(W$6,4)&gt;LEFT('RFM input'!$Q$60,4),0,
IF(W$6=(OFFSET('RFM input'!$G$60,0,'RFM input'!$V$7)),OFFSET('RFM input'!$J$411,$A1683,0),0)))</f>
        <v>0</v>
      </c>
      <c r="X1686" s="152"/>
      <c r="Y1686" s="152"/>
      <c r="Z1686" s="152"/>
      <c r="AA1686" s="152"/>
      <c r="AB1686" s="152"/>
    </row>
    <row r="1687" spans="1:28" hidden="1" outlineLevel="1">
      <c r="A1687" s="235">
        <v>-1</v>
      </c>
      <c r="B1687" s="190" t="s">
        <v>195</v>
      </c>
      <c r="C1687" s="1423"/>
      <c r="D1687" s="1423">
        <f t="shared" ref="D1687" ca="1" si="2432">IF(AND(D1685=0,C1687=0),0,
IF(AND(D1685&lt;&gt;0,C1687=0),D1685,
IF(AND(D1686&lt;&gt;0,C1687&lt;&gt;0),(C1687-(C1687/C1711))+D1685,
IF(C1711&lt;1,0,(C1687-(C1687/C1711))))))</f>
        <v>0</v>
      </c>
      <c r="E1687" s="1423">
        <f t="shared" ref="E1687" ca="1" si="2433">IF(AND(E1685=0,D1687=0),0,
IF(AND(E1685&lt;&gt;0,D1687=0),E1685,
IF(AND(E1686&lt;&gt;0,D1687&lt;&gt;0),(D1687-(D1687/D1711))+E1685,
IF(D1711&lt;1,0,(D1687-(D1687/D1711))))))</f>
        <v>0</v>
      </c>
      <c r="F1687" s="1423">
        <f t="shared" ref="F1687" ca="1" si="2434">IF(AND(F1685=0,E1687=0),0,
IF(AND(F1685&lt;&gt;0,E1687=0),F1685,
IF(AND(F1686&lt;&gt;0,E1687&lt;&gt;0),(E1687-(E1687/E1711))+F1685,
IF(E1711&lt;1,0,(E1687-(E1687/E1711))))))</f>
        <v>0</v>
      </c>
      <c r="G1687" s="1423">
        <f t="shared" ref="G1687" ca="1" si="2435">IF(AND(G1685=0,F1687=0),0,
IF(AND(G1685&lt;&gt;0,F1687=0),G1685,
IF(AND(G1686&lt;&gt;0,F1687&lt;&gt;0),(F1687-(F1687/F1711))+G1685,
IF(F1711&lt;1,0,(F1687-(F1687/F1711))))))</f>
        <v>0</v>
      </c>
      <c r="H1687" s="1423">
        <f ca="1">IF(AND(H1685=0,G1687=0),0,
IF(AND(H1685&lt;&gt;0,G1687=0),H1685,
IF(AND(H1686&lt;&gt;0,G1687&lt;&gt;0),(G1687-(G1687/G1711))+H1685,
IF(G1711&lt;1,0,(G1687-(G1687/G1711))))))</f>
        <v>0</v>
      </c>
      <c r="I1687" s="1423">
        <f t="shared" ref="I1687" ca="1" si="2436">IF(AND(I1685=0,H1687=0),0,
IF(AND(I1685&lt;&gt;0,H1687=0),I1685,
IF(AND(I1686&lt;&gt;0,H1687&lt;&gt;0),(H1687-(H1687/H1711))+I1685,
IF(H1711&lt;1,0,(H1687-(H1687/H1711))))))</f>
        <v>0</v>
      </c>
      <c r="J1687" s="1423">
        <f t="shared" ref="J1687" ca="1" si="2437">IF(AND(J1685=0,I1687=0),0,
IF(AND(J1685&lt;&gt;0,I1687=0),J1685,
IF(AND(J1686&lt;&gt;0,I1687&lt;&gt;0),(I1687-(I1687/I1711))+J1685,
IF(I1711&lt;1,0,(I1687-(I1687/I1711))))))</f>
        <v>0</v>
      </c>
      <c r="K1687" s="1423">
        <f t="shared" ref="K1687" ca="1" si="2438">IF(AND(K1685=0,J1687=0),0,
IF(AND(K1685&lt;&gt;0,J1687=0),K1685,
IF(AND(K1686&lt;&gt;0,J1687&lt;&gt;0),(J1687-(J1687/J1711))+K1685,
IF(J1711&lt;1,0,(J1687-(J1687/J1711))))))</f>
        <v>0</v>
      </c>
      <c r="L1687" s="1423">
        <f t="shared" ref="L1687" ca="1" si="2439">IF(AND(L1685=0,K1687=0),0,
IF(AND(L1685&lt;&gt;0,K1687=0),L1685,
IF(AND(L1686&lt;&gt;0,K1687&lt;&gt;0),(K1687-(K1687/K1711))+L1685,
IF(K1711&lt;1,0,(K1687-(K1687/K1711))))))</f>
        <v>0</v>
      </c>
      <c r="M1687" s="1423">
        <f t="shared" ref="M1687" ca="1" si="2440">IF(AND(M1685=0,L1687=0),0,
IF(AND(M1685&lt;&gt;0,L1687=0),M1685,
IF(AND(M1686&lt;&gt;0,L1687&lt;&gt;0),(L1687-(L1687/L1711))+M1685,
IF(L1711&lt;1,0,(L1687-(L1687/L1711))))))</f>
        <v>0</v>
      </c>
      <c r="N1687" s="1423">
        <f t="shared" ref="N1687" ca="1" si="2441">IF(AND(N1685=0,M1687=0),0,
IF(AND(N1685&lt;&gt;0,M1687=0),N1685,
IF(AND(N1686&lt;&gt;0,M1687&lt;&gt;0),(M1687-(M1687/M1711))+N1685,
IF(M1711&lt;1,0,(M1687-(M1687/M1711))))))</f>
        <v>0</v>
      </c>
      <c r="O1687" s="1423">
        <f t="shared" ref="O1687" ca="1" si="2442">IF(AND(O1685=0,N1687=0),0,
IF(AND(O1685&lt;&gt;0,N1687=0),O1685,
IF(AND(O1686&lt;&gt;0,N1687&lt;&gt;0),(N1687-(N1687/N1711))+O1685,
IF(N1711&lt;1,0,(N1687-(N1687/N1711))))))</f>
        <v>0</v>
      </c>
      <c r="P1687" s="1423">
        <f t="shared" ref="P1687" ca="1" si="2443">IF(AND(P1685=0,O1687=0),0,
IF(AND(P1685&lt;&gt;0,O1687=0),P1685,
IF(AND(P1686&lt;&gt;0,O1687&lt;&gt;0),(O1687-(O1687/O1711))+P1685,
IF(O1711&lt;1,0,(O1687-(O1687/O1711))))))</f>
        <v>0</v>
      </c>
      <c r="Q1687" s="1423">
        <f t="shared" ref="Q1687" ca="1" si="2444">IF(AND(Q1685=0,P1687=0),0,
IF(AND(Q1685&lt;&gt;0,P1687=0),Q1685,
IF(AND(Q1686&lt;&gt;0,P1687&lt;&gt;0),(P1687-(P1687/P1711))+Q1685,
IF(P1711&lt;1,0,(P1687-(P1687/P1711))))))</f>
        <v>0</v>
      </c>
      <c r="R1687" s="1423">
        <f t="shared" ref="R1687" ca="1" si="2445">IF(AND(R1685=0,Q1687=0),0,
IF(AND(R1685&lt;&gt;0,Q1687=0),R1685,
IF(AND(R1686&lt;&gt;0,Q1687&lt;&gt;0),(Q1687-(Q1687/Q1711))+R1685,
IF(Q1711&lt;1,0,(Q1687-(Q1687/Q1711))))))</f>
        <v>0</v>
      </c>
      <c r="S1687" s="1423">
        <f t="shared" ref="S1687" ca="1" si="2446">IF(AND(S1685=0,R1687=0),0,
IF(AND(S1685&lt;&gt;0,R1687=0),S1685,
IF(AND(S1686&lt;&gt;0,R1687&lt;&gt;0),(R1687-(R1687/R1711))+S1685,
IF(R1711&lt;1,0,(R1687-(R1687/R1711))))))</f>
        <v>0</v>
      </c>
      <c r="T1687" s="1423">
        <f t="shared" ref="T1687" ca="1" si="2447">IF(AND(T1685=0,S1687=0),0,
IF(AND(T1685&lt;&gt;0,S1687=0),T1685,
IF(AND(T1686&lt;&gt;0,S1687&lt;&gt;0),(S1687-(S1687/S1711))+T1685,
IF(S1711&lt;1,0,(S1687-(S1687/S1711))))))</f>
        <v>0</v>
      </c>
      <c r="U1687" s="1423">
        <f t="shared" ref="U1687" ca="1" si="2448">IF(AND(U1685=0,T1687=0),0,
IF(AND(U1685&lt;&gt;0,T1687=0),U1685,
IF(AND(U1686&lt;&gt;0,T1687&lt;&gt;0),(T1687-(T1687/T1711))+U1685,
IF(T1711&lt;1,0,(T1687-(T1687/T1711))))))</f>
        <v>0</v>
      </c>
      <c r="V1687" s="1423">
        <f t="shared" ref="V1687" ca="1" si="2449">IF(AND(V1685=0,U1687=0),0,
IF(AND(V1685&lt;&gt;0,U1687=0),V1685,
IF(AND(V1686&lt;&gt;0,U1687&lt;&gt;0),(U1687-(U1687/U1711))+V1685,
IF(U1711&lt;1,0,(U1687-(U1687/U1711))))))</f>
        <v>0</v>
      </c>
      <c r="W1687" s="1423">
        <f t="shared" ref="W1687" ca="1" si="2450">IF(AND(W1685=0,V1687=0),0,
IF(AND(W1685&lt;&gt;0,V1687=0),W1685,
IF(AND(W1686&lt;&gt;0,V1687&lt;&gt;0),(V1687-(V1687/V1711))+W1685,
IF(V1711&lt;1,0,(V1687-(V1687/V1711))))))</f>
        <v>0</v>
      </c>
      <c r="X1687" s="152"/>
      <c r="Y1687" s="152"/>
      <c r="Z1687" s="152"/>
      <c r="AA1687" s="152"/>
      <c r="AB1687" s="152"/>
    </row>
    <row r="1688" spans="1:28" hidden="1" outlineLevel="1">
      <c r="A1688" s="199">
        <f>A1687+1</f>
        <v>0</v>
      </c>
      <c r="B1688" s="190" t="s">
        <v>527</v>
      </c>
      <c r="C1688" s="1423">
        <f ca="1">C1683</f>
        <v>0</v>
      </c>
      <c r="D1688" s="1423">
        <f ca="1">IF(C1712="n/a",C1688,IFERROR(IF((OFFSET($C1688,0,$A1688))&lt;0,
MIN(0,C1688-(OFFSET($C1688,0,$A1688)/(OFFSET($C1683,-$A1687,$A1688)))),
MAX(0,C1688-(OFFSET($C1688,0,$A1688)/(OFFSET($C1683,-$A1687,$A1688))))),0))</f>
        <v>0</v>
      </c>
      <c r="E1688" s="1423">
        <f t="shared" ref="E1688" ca="1" si="2451">IF(D1712="n/a",D1688,IFERROR(IF((OFFSET($C1688,0,$A1688))&lt;0,
MIN(0,D1688-(OFFSET($C1688,0,$A1688)/(OFFSET($C1683,-$A1687,$A1688)))),
MAX(0,D1688-(OFFSET($C1688,0,$A1688)/(OFFSET($C1683,-$A1687,$A1688))))),0))</f>
        <v>0</v>
      </c>
      <c r="F1688" s="1423">
        <f t="shared" ref="F1688:F1689" ca="1" si="2452">IF(E1712="n/a",E1688,IFERROR(IF((OFFSET($C1688,0,$A1688))&lt;0,
MIN(0,E1688-(OFFSET($C1688,0,$A1688)/(OFFSET($C1683,-$A1687,$A1688)))),
MAX(0,E1688-(OFFSET($C1688,0,$A1688)/(OFFSET($C1683,-$A1687,$A1688))))),0))</f>
        <v>0</v>
      </c>
      <c r="G1688" s="1423">
        <f t="shared" ref="G1688:G1690" ca="1" si="2453">IF(F1712="n/a",F1688,IFERROR(IF((OFFSET($C1688,0,$A1688))&lt;0,
MIN(0,F1688-(OFFSET($C1688,0,$A1688)/(OFFSET($C1683,-$A1687,$A1688)))),
MAX(0,F1688-(OFFSET($C1688,0,$A1688)/(OFFSET($C1683,-$A1687,$A1688))))),0))</f>
        <v>0</v>
      </c>
      <c r="H1688" s="1423">
        <f t="shared" ref="H1688:H1691" ca="1" si="2454">IF(G1712="n/a",G1688,IFERROR(IF((OFFSET($C1688,0,$A1688))&lt;0,
MIN(0,G1688-(OFFSET($C1688,0,$A1688)/(OFFSET($C1683,-$A1687,$A1688)))),
MAX(0,G1688-(OFFSET($C1688,0,$A1688)/(OFFSET($C1683,-$A1687,$A1688))))),0))</f>
        <v>0</v>
      </c>
      <c r="I1688" s="1423">
        <f t="shared" ref="I1688:I1692" ca="1" si="2455">IF(H1712="n/a",H1688,IFERROR(IF((OFFSET($C1688,0,$A1688))&lt;0,
MIN(0,H1688-(OFFSET($C1688,0,$A1688)/(OFFSET($C1683,-$A1687,$A1688)))),
MAX(0,H1688-(OFFSET($C1688,0,$A1688)/(OFFSET($C1683,-$A1687,$A1688))))),0))</f>
        <v>0</v>
      </c>
      <c r="J1688" s="1423">
        <f t="shared" ref="J1688:J1693" ca="1" si="2456">IF(I1712="n/a",I1688,IFERROR(IF((OFFSET($C1688,0,$A1688))&lt;0,
MIN(0,I1688-(OFFSET($C1688,0,$A1688)/(OFFSET($C1683,-$A1687,$A1688)))),
MAX(0,I1688-(OFFSET($C1688,0,$A1688)/(OFFSET($C1683,-$A1687,$A1688))))),0))</f>
        <v>0</v>
      </c>
      <c r="K1688" s="1423">
        <f t="shared" ref="K1688:K1694" ca="1" si="2457">IF(J1712="n/a",J1688,IFERROR(IF((OFFSET($C1688,0,$A1688))&lt;0,
MIN(0,J1688-(OFFSET($C1688,0,$A1688)/(OFFSET($C1683,-$A1687,$A1688)))),
MAX(0,J1688-(OFFSET($C1688,0,$A1688)/(OFFSET($C1683,-$A1687,$A1688))))),0))</f>
        <v>0</v>
      </c>
      <c r="L1688" s="1423">
        <f t="shared" ref="L1688:L1695" ca="1" si="2458">IF(K1712="n/a",K1688,IFERROR(IF((OFFSET($C1688,0,$A1688))&lt;0,
MIN(0,K1688-(OFFSET($C1688,0,$A1688)/(OFFSET($C1683,-$A1687,$A1688)))),
MAX(0,K1688-(OFFSET($C1688,0,$A1688)/(OFFSET($C1683,-$A1687,$A1688))))),0))</f>
        <v>0</v>
      </c>
      <c r="M1688" s="1423">
        <f t="shared" ref="M1688:M1696" ca="1" si="2459">IF(L1712="n/a",L1688,IFERROR(IF((OFFSET($C1688,0,$A1688))&lt;0,
MIN(0,L1688-(OFFSET($C1688,0,$A1688)/(OFFSET($C1683,-$A1687,$A1688)))),
MAX(0,L1688-(OFFSET($C1688,0,$A1688)/(OFFSET($C1683,-$A1687,$A1688))))),0))</f>
        <v>0</v>
      </c>
      <c r="N1688" s="1423">
        <f t="shared" ref="N1688:N1697" ca="1" si="2460">IF(M1712="n/a",M1688,IFERROR(IF((OFFSET($C1688,0,$A1688))&lt;0,
MIN(0,M1688-(OFFSET($C1688,0,$A1688)/(OFFSET($C1683,-$A1687,$A1688)))),
MAX(0,M1688-(OFFSET($C1688,0,$A1688)/(OFFSET($C1683,-$A1687,$A1688))))),0))</f>
        <v>0</v>
      </c>
      <c r="O1688" s="1423">
        <f t="shared" ref="O1688:O1698" ca="1" si="2461">IF(N1712="n/a",N1688,IFERROR(IF((OFFSET($C1688,0,$A1688))&lt;0,
MIN(0,N1688-(OFFSET($C1688,0,$A1688)/(OFFSET($C1683,-$A1687,$A1688)))),
MAX(0,N1688-(OFFSET($C1688,0,$A1688)/(OFFSET($C1683,-$A1687,$A1688))))),0))</f>
        <v>0</v>
      </c>
      <c r="P1688" s="1423">
        <f t="shared" ref="P1688:P1699" ca="1" si="2462">IF(O1712="n/a",O1688,IFERROR(IF((OFFSET($C1688,0,$A1688))&lt;0,
MIN(0,O1688-(OFFSET($C1688,0,$A1688)/(OFFSET($C1683,-$A1687,$A1688)))),
MAX(0,O1688-(OFFSET($C1688,0,$A1688)/(OFFSET($C1683,-$A1687,$A1688))))),0))</f>
        <v>0</v>
      </c>
      <c r="Q1688" s="1423">
        <f t="shared" ref="Q1688:Q1700" ca="1" si="2463">IF(P1712="n/a",P1688,IFERROR(IF((OFFSET($C1688,0,$A1688))&lt;0,
MIN(0,P1688-(OFFSET($C1688,0,$A1688)/(OFFSET($C1683,-$A1687,$A1688)))),
MAX(0,P1688-(OFFSET($C1688,0,$A1688)/(OFFSET($C1683,-$A1687,$A1688))))),0))</f>
        <v>0</v>
      </c>
      <c r="R1688" s="1423">
        <f t="shared" ref="R1688:R1701" ca="1" si="2464">IF(Q1712="n/a",Q1688,IFERROR(IF((OFFSET($C1688,0,$A1688))&lt;0,
MIN(0,Q1688-(OFFSET($C1688,0,$A1688)/(OFFSET($C1683,-$A1687,$A1688)))),
MAX(0,Q1688-(OFFSET($C1688,0,$A1688)/(OFFSET($C1683,-$A1687,$A1688))))),0))</f>
        <v>0</v>
      </c>
      <c r="S1688" s="1423">
        <f t="shared" ref="S1688:S1702" ca="1" si="2465">IF(R1712="n/a",R1688,IFERROR(IF((OFFSET($C1688,0,$A1688))&lt;0,
MIN(0,R1688-(OFFSET($C1688,0,$A1688)/(OFFSET($C1683,-$A1687,$A1688)))),
MAX(0,R1688-(OFFSET($C1688,0,$A1688)/(OFFSET($C1683,-$A1687,$A1688))))),0))</f>
        <v>0</v>
      </c>
      <c r="T1688" s="1423">
        <f t="shared" ref="T1688:T1703" ca="1" si="2466">IF(S1712="n/a",S1688,IFERROR(IF((OFFSET($C1688,0,$A1688))&lt;0,
MIN(0,S1688-(OFFSET($C1688,0,$A1688)/(OFFSET($C1683,-$A1687,$A1688)))),
MAX(0,S1688-(OFFSET($C1688,0,$A1688)/(OFFSET($C1683,-$A1687,$A1688))))),0))</f>
        <v>0</v>
      </c>
      <c r="U1688" s="1423">
        <f t="shared" ref="U1688:U1704" ca="1" si="2467">IF(T1712="n/a",T1688,IFERROR(IF((OFFSET($C1688,0,$A1688))&lt;0,
MIN(0,T1688-(OFFSET($C1688,0,$A1688)/(OFFSET($C1683,-$A1687,$A1688)))),
MAX(0,T1688-(OFFSET($C1688,0,$A1688)/(OFFSET($C1683,-$A1687,$A1688))))),0))</f>
        <v>0</v>
      </c>
      <c r="V1688" s="1423">
        <f t="shared" ref="V1688:V1705" ca="1" si="2468">IF(U1712="n/a",U1688,IFERROR(IF((OFFSET($C1688,0,$A1688))&lt;0,
MIN(0,U1688-(OFFSET($C1688,0,$A1688)/(OFFSET($C1683,-$A1687,$A1688)))),
MAX(0,U1688-(OFFSET($C1688,0,$A1688)/(OFFSET($C1683,-$A1687,$A1688))))),0))</f>
        <v>0</v>
      </c>
      <c r="W1688" s="1423">
        <f t="shared" ref="W1688:W1706" ca="1" si="2469">IF(V1712="n/a",V1688,IFERROR(IF((OFFSET($C1688,0,$A1688))&lt;0,
MIN(0,V1688-(OFFSET($C1688,0,$A1688)/(OFFSET($C1683,-$A1687,$A1688)))),
MAX(0,V1688-(OFFSET($C1688,0,$A1688)/(OFFSET($C1683,-$A1687,$A1688))))),0))</f>
        <v>0</v>
      </c>
      <c r="X1688" s="152"/>
      <c r="Y1688" s="152"/>
      <c r="Z1688" s="152"/>
      <c r="AA1688" s="152"/>
      <c r="AB1688" s="152"/>
    </row>
    <row r="1689" spans="1:28" hidden="1" outlineLevel="1">
      <c r="A1689" s="199">
        <f t="shared" ref="A1689:A1708" si="2470">A1688+1</f>
        <v>1</v>
      </c>
      <c r="B1689" s="190" t="str">
        <f t="shared" ref="B1689:B1708" ca="1" si="2471">"Depreciated Net Capex "&amp;OFFSET($C$6,0,A1689)</f>
        <v>Depreciated Net Capex 2016-17</v>
      </c>
      <c r="C1689" s="1424"/>
      <c r="D1689" s="1425">
        <f>D1683</f>
        <v>0</v>
      </c>
      <c r="E1689" s="1423">
        <f ca="1">IF(D1713="n/a",D1689,IFERROR(IF((OFFSET($C1689,0,$A1689))&lt;0,
MIN(0,D1689-(OFFSET($C1689,0,$A1689)/(OFFSET($C1684,-$A1688,$A1689)))),
MAX(0,D1689-(OFFSET($C1689,0,$A1689)/(OFFSET($C1684,-$A1688,$A1689))))),0))</f>
        <v>0</v>
      </c>
      <c r="F1689" s="1423">
        <f t="shared" ca="1" si="2452"/>
        <v>0</v>
      </c>
      <c r="G1689" s="1423">
        <f t="shared" ca="1" si="2453"/>
        <v>0</v>
      </c>
      <c r="H1689" s="1423">
        <f t="shared" ca="1" si="2454"/>
        <v>0</v>
      </c>
      <c r="I1689" s="1423">
        <f t="shared" ca="1" si="2455"/>
        <v>0</v>
      </c>
      <c r="J1689" s="1423">
        <f t="shared" ca="1" si="2456"/>
        <v>0</v>
      </c>
      <c r="K1689" s="1423">
        <f t="shared" ca="1" si="2457"/>
        <v>0</v>
      </c>
      <c r="L1689" s="1423">
        <f t="shared" ca="1" si="2458"/>
        <v>0</v>
      </c>
      <c r="M1689" s="1423">
        <f t="shared" ca="1" si="2459"/>
        <v>0</v>
      </c>
      <c r="N1689" s="1423">
        <f t="shared" ca="1" si="2460"/>
        <v>0</v>
      </c>
      <c r="O1689" s="1423">
        <f t="shared" ca="1" si="2461"/>
        <v>0</v>
      </c>
      <c r="P1689" s="1423">
        <f t="shared" ca="1" si="2462"/>
        <v>0</v>
      </c>
      <c r="Q1689" s="1423">
        <f t="shared" ca="1" si="2463"/>
        <v>0</v>
      </c>
      <c r="R1689" s="1423">
        <f t="shared" ca="1" si="2464"/>
        <v>0</v>
      </c>
      <c r="S1689" s="1423">
        <f t="shared" ca="1" si="2465"/>
        <v>0</v>
      </c>
      <c r="T1689" s="1423">
        <f t="shared" ca="1" si="2466"/>
        <v>0</v>
      </c>
      <c r="U1689" s="1423">
        <f t="shared" ca="1" si="2467"/>
        <v>0</v>
      </c>
      <c r="V1689" s="1423">
        <f t="shared" ca="1" si="2468"/>
        <v>0</v>
      </c>
      <c r="W1689" s="1423">
        <f t="shared" ca="1" si="2469"/>
        <v>0</v>
      </c>
      <c r="X1689" s="152"/>
      <c r="Y1689" s="152"/>
      <c r="Z1689" s="152"/>
      <c r="AA1689" s="152"/>
      <c r="AB1689" s="152"/>
    </row>
    <row r="1690" spans="1:28" hidden="1" outlineLevel="1">
      <c r="A1690" s="199">
        <f t="shared" si="2470"/>
        <v>2</v>
      </c>
      <c r="B1690" s="190" t="str">
        <f t="shared" ca="1" si="2471"/>
        <v>Depreciated Net Capex 2017-18</v>
      </c>
      <c r="C1690" s="1426"/>
      <c r="D1690" s="1427"/>
      <c r="E1690" s="1425">
        <f>E1683</f>
        <v>0</v>
      </c>
      <c r="F1690" s="1423">
        <f ca="1">IF(E1714="n/a",E1690,IFERROR(IF((OFFSET($C1690,0,$A1690))&lt;0,
MIN(0,E1690-(OFFSET($C1690,0,$A1690)/(OFFSET($C1685,-$A1689,$A1690)))),
MAX(0,E1690-(OFFSET($C1690,0,$A1690)/(OFFSET($C1685,-$A1689,$A1690))))),0))</f>
        <v>0</v>
      </c>
      <c r="G1690" s="1423">
        <f t="shared" ca="1" si="2453"/>
        <v>0</v>
      </c>
      <c r="H1690" s="1423">
        <f t="shared" ca="1" si="2454"/>
        <v>0</v>
      </c>
      <c r="I1690" s="1423">
        <f t="shared" ca="1" si="2455"/>
        <v>0</v>
      </c>
      <c r="J1690" s="1423">
        <f t="shared" ca="1" si="2456"/>
        <v>0</v>
      </c>
      <c r="K1690" s="1423">
        <f t="shared" ca="1" si="2457"/>
        <v>0</v>
      </c>
      <c r="L1690" s="1423">
        <f t="shared" ca="1" si="2458"/>
        <v>0</v>
      </c>
      <c r="M1690" s="1423">
        <f t="shared" ca="1" si="2459"/>
        <v>0</v>
      </c>
      <c r="N1690" s="1423">
        <f t="shared" ca="1" si="2460"/>
        <v>0</v>
      </c>
      <c r="O1690" s="1423">
        <f t="shared" ca="1" si="2461"/>
        <v>0</v>
      </c>
      <c r="P1690" s="1423">
        <f t="shared" ca="1" si="2462"/>
        <v>0</v>
      </c>
      <c r="Q1690" s="1423">
        <f t="shared" ca="1" si="2463"/>
        <v>0</v>
      </c>
      <c r="R1690" s="1423">
        <f t="shared" ca="1" si="2464"/>
        <v>0</v>
      </c>
      <c r="S1690" s="1423">
        <f t="shared" ca="1" si="2465"/>
        <v>0</v>
      </c>
      <c r="T1690" s="1423">
        <f t="shared" ca="1" si="2466"/>
        <v>0</v>
      </c>
      <c r="U1690" s="1423">
        <f t="shared" ca="1" si="2467"/>
        <v>0</v>
      </c>
      <c r="V1690" s="1423">
        <f t="shared" ca="1" si="2468"/>
        <v>0</v>
      </c>
      <c r="W1690" s="1423">
        <f t="shared" ca="1" si="2469"/>
        <v>0</v>
      </c>
      <c r="X1690" s="202"/>
      <c r="Y1690" s="152"/>
      <c r="Z1690" s="152"/>
      <c r="AA1690" s="152"/>
      <c r="AB1690" s="152"/>
    </row>
    <row r="1691" spans="1:28" hidden="1" outlineLevel="1">
      <c r="A1691" s="199">
        <f t="shared" si="2470"/>
        <v>3</v>
      </c>
      <c r="B1691" s="190" t="str">
        <f t="shared" ca="1" si="2471"/>
        <v>Depreciated Net Capex 2018-19</v>
      </c>
      <c r="C1691" s="1426"/>
      <c r="D1691" s="1426"/>
      <c r="E1691" s="1427"/>
      <c r="F1691" s="1428">
        <f>F1683</f>
        <v>0</v>
      </c>
      <c r="G1691" s="1423">
        <f ca="1">IF(F1715="n/a",F1691,IFERROR(IF((OFFSET($C1691,0,$A1691))&lt;0,
MIN(0,F1691-(OFFSET($C1691,0,$A1691)/(OFFSET($C1686,-$A1690,$A1691)))),
MAX(0,F1691-(OFFSET($C1691,0,$A1691)/(OFFSET($C1686,-$A1690,$A1691))))),0))</f>
        <v>0</v>
      </c>
      <c r="H1691" s="1423">
        <f t="shared" ca="1" si="2454"/>
        <v>0</v>
      </c>
      <c r="I1691" s="1423">
        <f t="shared" ca="1" si="2455"/>
        <v>0</v>
      </c>
      <c r="J1691" s="1423">
        <f t="shared" ca="1" si="2456"/>
        <v>0</v>
      </c>
      <c r="K1691" s="1423">
        <f t="shared" ca="1" si="2457"/>
        <v>0</v>
      </c>
      <c r="L1691" s="1423">
        <f t="shared" ca="1" si="2458"/>
        <v>0</v>
      </c>
      <c r="M1691" s="1423">
        <f t="shared" ca="1" si="2459"/>
        <v>0</v>
      </c>
      <c r="N1691" s="1423">
        <f t="shared" ca="1" si="2460"/>
        <v>0</v>
      </c>
      <c r="O1691" s="1423">
        <f t="shared" ca="1" si="2461"/>
        <v>0</v>
      </c>
      <c r="P1691" s="1423">
        <f t="shared" ca="1" si="2462"/>
        <v>0</v>
      </c>
      <c r="Q1691" s="1423">
        <f t="shared" ca="1" si="2463"/>
        <v>0</v>
      </c>
      <c r="R1691" s="1423">
        <f t="shared" ca="1" si="2464"/>
        <v>0</v>
      </c>
      <c r="S1691" s="1423">
        <f t="shared" ca="1" si="2465"/>
        <v>0</v>
      </c>
      <c r="T1691" s="1423">
        <f t="shared" ca="1" si="2466"/>
        <v>0</v>
      </c>
      <c r="U1691" s="1423">
        <f t="shared" ca="1" si="2467"/>
        <v>0</v>
      </c>
      <c r="V1691" s="1423">
        <f t="shared" ca="1" si="2468"/>
        <v>0</v>
      </c>
      <c r="W1691" s="1423">
        <f t="shared" ca="1" si="2469"/>
        <v>0</v>
      </c>
      <c r="X1691" s="202"/>
      <c r="Y1691" s="202"/>
      <c r="Z1691" s="152"/>
      <c r="AA1691" s="152"/>
      <c r="AB1691" s="152"/>
    </row>
    <row r="1692" spans="1:28" hidden="1" outlineLevel="1">
      <c r="A1692" s="199">
        <f t="shared" si="2470"/>
        <v>4</v>
      </c>
      <c r="B1692" s="190" t="str">
        <f t="shared" ca="1" si="2471"/>
        <v>Depreciated Net Capex 2019-20</v>
      </c>
      <c r="C1692" s="1426"/>
      <c r="D1692" s="1426"/>
      <c r="E1692" s="1426"/>
      <c r="F1692" s="1427"/>
      <c r="G1692" s="1428">
        <f>G1683</f>
        <v>0</v>
      </c>
      <c r="H1692" s="1423">
        <f ca="1">IF(G1716="n/a",G1692,IFERROR(IF((OFFSET($C1692,0,$A1692))&lt;0,
MIN(0,G1692-(OFFSET($C1692,0,$A1692)/(OFFSET($C1687,-$A1691,$A1692)))),
MAX(0,G1692-(OFFSET($C1692,0,$A1692)/(OFFSET($C1687,-$A1691,$A1692))))),0))</f>
        <v>0</v>
      </c>
      <c r="I1692" s="1423">
        <f t="shared" ca="1" si="2455"/>
        <v>0</v>
      </c>
      <c r="J1692" s="1423">
        <f t="shared" ca="1" si="2456"/>
        <v>0</v>
      </c>
      <c r="K1692" s="1423">
        <f t="shared" ca="1" si="2457"/>
        <v>0</v>
      </c>
      <c r="L1692" s="1423">
        <f t="shared" ca="1" si="2458"/>
        <v>0</v>
      </c>
      <c r="M1692" s="1423">
        <f t="shared" ca="1" si="2459"/>
        <v>0</v>
      </c>
      <c r="N1692" s="1423">
        <f t="shared" ca="1" si="2460"/>
        <v>0</v>
      </c>
      <c r="O1692" s="1423">
        <f t="shared" ca="1" si="2461"/>
        <v>0</v>
      </c>
      <c r="P1692" s="1423">
        <f t="shared" ca="1" si="2462"/>
        <v>0</v>
      </c>
      <c r="Q1692" s="1423">
        <f t="shared" ca="1" si="2463"/>
        <v>0</v>
      </c>
      <c r="R1692" s="1423">
        <f t="shared" ca="1" si="2464"/>
        <v>0</v>
      </c>
      <c r="S1692" s="1423">
        <f t="shared" ca="1" si="2465"/>
        <v>0</v>
      </c>
      <c r="T1692" s="1423">
        <f t="shared" ca="1" si="2466"/>
        <v>0</v>
      </c>
      <c r="U1692" s="1423">
        <f t="shared" ca="1" si="2467"/>
        <v>0</v>
      </c>
      <c r="V1692" s="1423">
        <f t="shared" ca="1" si="2468"/>
        <v>0</v>
      </c>
      <c r="W1692" s="1423">
        <f t="shared" ca="1" si="2469"/>
        <v>0</v>
      </c>
      <c r="X1692" s="202"/>
      <c r="Y1692" s="202"/>
      <c r="Z1692" s="202"/>
      <c r="AA1692" s="152"/>
      <c r="AB1692" s="152"/>
    </row>
    <row r="1693" spans="1:28" hidden="1" outlineLevel="1">
      <c r="A1693" s="199">
        <f t="shared" si="2470"/>
        <v>5</v>
      </c>
      <c r="B1693" s="190" t="str">
        <f t="shared" ca="1" si="2471"/>
        <v>Depreciated Net Capex 2020-21</v>
      </c>
      <c r="C1693" s="1426"/>
      <c r="D1693" s="1426"/>
      <c r="E1693" s="1426"/>
      <c r="F1693" s="1426"/>
      <c r="G1693" s="1427"/>
      <c r="H1693" s="1428">
        <f>H1683</f>
        <v>0</v>
      </c>
      <c r="I1693" s="1423">
        <f ca="1">IF(H1717="n/a",H1693,IFERROR(IF((OFFSET($C1693,0,$A1693))&lt;0,
MIN(0,H1693-(OFFSET($C1693,0,$A1693)/(OFFSET($C1688,-$A1692,$A1693)))),
MAX(0,H1693-(OFFSET($C1693,0,$A1693)/(OFFSET($C1688,-$A1692,$A1693))))),0))</f>
        <v>0</v>
      </c>
      <c r="J1693" s="1423">
        <f t="shared" ca="1" si="2456"/>
        <v>0</v>
      </c>
      <c r="K1693" s="1423">
        <f t="shared" ca="1" si="2457"/>
        <v>0</v>
      </c>
      <c r="L1693" s="1423">
        <f t="shared" ca="1" si="2458"/>
        <v>0</v>
      </c>
      <c r="M1693" s="1423">
        <f t="shared" ca="1" si="2459"/>
        <v>0</v>
      </c>
      <c r="N1693" s="1423">
        <f t="shared" ca="1" si="2460"/>
        <v>0</v>
      </c>
      <c r="O1693" s="1423">
        <f t="shared" ca="1" si="2461"/>
        <v>0</v>
      </c>
      <c r="P1693" s="1423">
        <f t="shared" ca="1" si="2462"/>
        <v>0</v>
      </c>
      <c r="Q1693" s="1423">
        <f t="shared" ca="1" si="2463"/>
        <v>0</v>
      </c>
      <c r="R1693" s="1423">
        <f t="shared" ca="1" si="2464"/>
        <v>0</v>
      </c>
      <c r="S1693" s="1423">
        <f t="shared" ca="1" si="2465"/>
        <v>0</v>
      </c>
      <c r="T1693" s="1423">
        <f t="shared" ca="1" si="2466"/>
        <v>0</v>
      </c>
      <c r="U1693" s="1423">
        <f t="shared" ca="1" si="2467"/>
        <v>0</v>
      </c>
      <c r="V1693" s="1423">
        <f t="shared" ca="1" si="2468"/>
        <v>0</v>
      </c>
      <c r="W1693" s="1423">
        <f t="shared" ca="1" si="2469"/>
        <v>0</v>
      </c>
      <c r="X1693" s="202"/>
      <c r="Y1693" s="202"/>
      <c r="Z1693" s="202"/>
      <c r="AA1693" s="152"/>
      <c r="AB1693" s="152"/>
    </row>
    <row r="1694" spans="1:28" hidden="1" outlineLevel="1">
      <c r="A1694" s="199">
        <f t="shared" si="2470"/>
        <v>6</v>
      </c>
      <c r="B1694" s="190" t="str">
        <f t="shared" ca="1" si="2471"/>
        <v>Depreciated Net Capex 2021-22</v>
      </c>
      <c r="C1694" s="1426"/>
      <c r="D1694" s="1426"/>
      <c r="E1694" s="1426"/>
      <c r="F1694" s="1426"/>
      <c r="G1694" s="1426"/>
      <c r="H1694" s="1427"/>
      <c r="I1694" s="1428">
        <f>I1683</f>
        <v>0</v>
      </c>
      <c r="J1694" s="1423">
        <f ca="1">IF(I1718="n/a",I1694,IFERROR(IF((OFFSET($C1694,0,$A1694))&lt;0,
MIN(0,I1694-(OFFSET($C1694,0,$A1694)/(OFFSET($C1689,-$A1693,$A1694)))),
MAX(0,I1694-(OFFSET($C1694,0,$A1694)/(OFFSET($C1689,-$A1693,$A1694))))),0))</f>
        <v>0</v>
      </c>
      <c r="K1694" s="1423">
        <f t="shared" ca="1" si="2457"/>
        <v>0</v>
      </c>
      <c r="L1694" s="1423">
        <f t="shared" ca="1" si="2458"/>
        <v>0</v>
      </c>
      <c r="M1694" s="1423">
        <f t="shared" ca="1" si="2459"/>
        <v>0</v>
      </c>
      <c r="N1694" s="1423">
        <f t="shared" ca="1" si="2460"/>
        <v>0</v>
      </c>
      <c r="O1694" s="1423">
        <f t="shared" ca="1" si="2461"/>
        <v>0</v>
      </c>
      <c r="P1694" s="1423">
        <f t="shared" ca="1" si="2462"/>
        <v>0</v>
      </c>
      <c r="Q1694" s="1423">
        <f t="shared" ca="1" si="2463"/>
        <v>0</v>
      </c>
      <c r="R1694" s="1423">
        <f t="shared" ca="1" si="2464"/>
        <v>0</v>
      </c>
      <c r="S1694" s="1423">
        <f t="shared" ca="1" si="2465"/>
        <v>0</v>
      </c>
      <c r="T1694" s="1423">
        <f t="shared" ca="1" si="2466"/>
        <v>0</v>
      </c>
      <c r="U1694" s="1423">
        <f t="shared" ca="1" si="2467"/>
        <v>0</v>
      </c>
      <c r="V1694" s="1423">
        <f t="shared" ca="1" si="2468"/>
        <v>0</v>
      </c>
      <c r="W1694" s="1423">
        <f t="shared" ca="1" si="2469"/>
        <v>0</v>
      </c>
      <c r="X1694" s="202"/>
      <c r="Y1694" s="202"/>
      <c r="Z1694" s="202"/>
      <c r="AA1694" s="152"/>
      <c r="AB1694" s="152"/>
    </row>
    <row r="1695" spans="1:28" hidden="1" outlineLevel="1">
      <c r="A1695" s="199">
        <f t="shared" si="2470"/>
        <v>7</v>
      </c>
      <c r="B1695" s="190" t="str">
        <f t="shared" ca="1" si="2471"/>
        <v>Depreciated Net Capex 2022-23</v>
      </c>
      <c r="C1695" s="1426"/>
      <c r="D1695" s="1426"/>
      <c r="E1695" s="1426"/>
      <c r="F1695" s="1426"/>
      <c r="G1695" s="1426"/>
      <c r="H1695" s="1426"/>
      <c r="I1695" s="1427"/>
      <c r="J1695" s="1428">
        <f>J1683</f>
        <v>0</v>
      </c>
      <c r="K1695" s="1423">
        <f ca="1">IF(J1719="n/a",J1695,IFERROR(IF((OFFSET($C1695,0,$A1695))&lt;0,
MIN(0,J1695-(OFFSET($C1695,0,$A1695)/(OFFSET($C1690,-$A1694,$A1695)))),
MAX(0,J1695-(OFFSET($C1695,0,$A1695)/(OFFSET($C1690,-$A1694,$A1695))))),0))</f>
        <v>0</v>
      </c>
      <c r="L1695" s="1423">
        <f t="shared" ca="1" si="2458"/>
        <v>0</v>
      </c>
      <c r="M1695" s="1423">
        <f t="shared" ca="1" si="2459"/>
        <v>0</v>
      </c>
      <c r="N1695" s="1423">
        <f t="shared" ca="1" si="2460"/>
        <v>0</v>
      </c>
      <c r="O1695" s="1423">
        <f t="shared" ca="1" si="2461"/>
        <v>0</v>
      </c>
      <c r="P1695" s="1423">
        <f t="shared" ca="1" si="2462"/>
        <v>0</v>
      </c>
      <c r="Q1695" s="1423">
        <f t="shared" ca="1" si="2463"/>
        <v>0</v>
      </c>
      <c r="R1695" s="1423">
        <f t="shared" ca="1" si="2464"/>
        <v>0</v>
      </c>
      <c r="S1695" s="1423">
        <f t="shared" ca="1" si="2465"/>
        <v>0</v>
      </c>
      <c r="T1695" s="1423">
        <f t="shared" ca="1" si="2466"/>
        <v>0</v>
      </c>
      <c r="U1695" s="1423">
        <f t="shared" ca="1" si="2467"/>
        <v>0</v>
      </c>
      <c r="V1695" s="1423">
        <f t="shared" ca="1" si="2468"/>
        <v>0</v>
      </c>
      <c r="W1695" s="1423">
        <f t="shared" ca="1" si="2469"/>
        <v>0</v>
      </c>
      <c r="X1695" s="202"/>
      <c r="Y1695" s="202"/>
      <c r="Z1695" s="202"/>
      <c r="AA1695" s="152"/>
      <c r="AB1695" s="152"/>
    </row>
    <row r="1696" spans="1:28" hidden="1" outlineLevel="1">
      <c r="A1696" s="199">
        <f t="shared" si="2470"/>
        <v>8</v>
      </c>
      <c r="B1696" s="190" t="str">
        <f t="shared" ca="1" si="2471"/>
        <v>Depreciated Net Capex 2023-24</v>
      </c>
      <c r="C1696" s="1426"/>
      <c r="D1696" s="1426"/>
      <c r="E1696" s="1426"/>
      <c r="F1696" s="1426"/>
      <c r="G1696" s="1426"/>
      <c r="H1696" s="1426"/>
      <c r="I1696" s="1426"/>
      <c r="J1696" s="1427"/>
      <c r="K1696" s="1428">
        <f>K1683</f>
        <v>0</v>
      </c>
      <c r="L1696" s="1423">
        <f ca="1">IF(K1720="n/a",K1696,IFERROR(IF((OFFSET($C1696,0,$A1696))&lt;0,
MIN(0,K1696-(OFFSET($C1696,0,$A1696)/(OFFSET($C1691,-$A1695,$A1696)))),
MAX(0,K1696-(OFFSET($C1696,0,$A1696)/(OFFSET($C1691,-$A1695,$A1696))))),0))</f>
        <v>0</v>
      </c>
      <c r="M1696" s="1423">
        <f t="shared" ca="1" si="2459"/>
        <v>0</v>
      </c>
      <c r="N1696" s="1423">
        <f t="shared" ca="1" si="2460"/>
        <v>0</v>
      </c>
      <c r="O1696" s="1423">
        <f t="shared" ca="1" si="2461"/>
        <v>0</v>
      </c>
      <c r="P1696" s="1423">
        <f t="shared" ca="1" si="2462"/>
        <v>0</v>
      </c>
      <c r="Q1696" s="1423">
        <f t="shared" ca="1" si="2463"/>
        <v>0</v>
      </c>
      <c r="R1696" s="1423">
        <f t="shared" ca="1" si="2464"/>
        <v>0</v>
      </c>
      <c r="S1696" s="1423">
        <f t="shared" ca="1" si="2465"/>
        <v>0</v>
      </c>
      <c r="T1696" s="1423">
        <f t="shared" ca="1" si="2466"/>
        <v>0</v>
      </c>
      <c r="U1696" s="1423">
        <f t="shared" ca="1" si="2467"/>
        <v>0</v>
      </c>
      <c r="V1696" s="1423">
        <f t="shared" ca="1" si="2468"/>
        <v>0</v>
      </c>
      <c r="W1696" s="1423">
        <f t="shared" ca="1" si="2469"/>
        <v>0</v>
      </c>
      <c r="X1696" s="202"/>
      <c r="Y1696" s="202"/>
      <c r="Z1696" s="202"/>
      <c r="AA1696" s="152"/>
      <c r="AB1696" s="152"/>
    </row>
    <row r="1697" spans="1:28" hidden="1" outlineLevel="1">
      <c r="A1697" s="199">
        <f t="shared" si="2470"/>
        <v>9</v>
      </c>
      <c r="B1697" s="190" t="str">
        <f t="shared" ca="1" si="2471"/>
        <v>Depreciated Net Capex 2024-25</v>
      </c>
      <c r="C1697" s="1426"/>
      <c r="D1697" s="1426"/>
      <c r="E1697" s="1426"/>
      <c r="F1697" s="1426"/>
      <c r="G1697" s="1426"/>
      <c r="H1697" s="1426"/>
      <c r="I1697" s="1426"/>
      <c r="J1697" s="1426"/>
      <c r="K1697" s="1427"/>
      <c r="L1697" s="1428">
        <f>L1683</f>
        <v>0</v>
      </c>
      <c r="M1697" s="1423">
        <f ca="1">IF(L1721="n/a",L1697,IFERROR(IF((OFFSET($C1697,0,$A1697))&lt;0,
MIN(0,L1697-(OFFSET($C1697,0,$A1697)/(OFFSET($C1692,-$A1696,$A1697)))),
MAX(0,L1697-(OFFSET($C1697,0,$A1697)/(OFFSET($C1692,-$A1696,$A1697))))),0))</f>
        <v>0</v>
      </c>
      <c r="N1697" s="1423">
        <f t="shared" ca="1" si="2460"/>
        <v>0</v>
      </c>
      <c r="O1697" s="1423">
        <f t="shared" ca="1" si="2461"/>
        <v>0</v>
      </c>
      <c r="P1697" s="1423">
        <f t="shared" ca="1" si="2462"/>
        <v>0</v>
      </c>
      <c r="Q1697" s="1423">
        <f t="shared" ca="1" si="2463"/>
        <v>0</v>
      </c>
      <c r="R1697" s="1423">
        <f t="shared" ca="1" si="2464"/>
        <v>0</v>
      </c>
      <c r="S1697" s="1423">
        <f t="shared" ca="1" si="2465"/>
        <v>0</v>
      </c>
      <c r="T1697" s="1423">
        <f t="shared" ca="1" si="2466"/>
        <v>0</v>
      </c>
      <c r="U1697" s="1423">
        <f t="shared" ca="1" si="2467"/>
        <v>0</v>
      </c>
      <c r="V1697" s="1423">
        <f t="shared" ca="1" si="2468"/>
        <v>0</v>
      </c>
      <c r="W1697" s="1423">
        <f t="shared" ca="1" si="2469"/>
        <v>0</v>
      </c>
      <c r="X1697" s="202"/>
      <c r="Y1697" s="202"/>
      <c r="Z1697" s="202"/>
      <c r="AA1697" s="152"/>
      <c r="AB1697" s="152"/>
    </row>
    <row r="1698" spans="1:28" hidden="1" outlineLevel="1">
      <c r="A1698" s="199">
        <f t="shared" si="2470"/>
        <v>10</v>
      </c>
      <c r="B1698" s="190" t="str">
        <f t="shared" ca="1" si="2471"/>
        <v>Depreciated Net Capex 2025-26</v>
      </c>
      <c r="C1698" s="1426"/>
      <c r="D1698" s="1426"/>
      <c r="E1698" s="1426"/>
      <c r="F1698" s="1426"/>
      <c r="G1698" s="1426"/>
      <c r="H1698" s="1426"/>
      <c r="I1698" s="1426"/>
      <c r="J1698" s="1426"/>
      <c r="K1698" s="1426"/>
      <c r="L1698" s="1427"/>
      <c r="M1698" s="1428">
        <f>M1683</f>
        <v>0</v>
      </c>
      <c r="N1698" s="1423">
        <f ca="1">IF(M1722="n/a",M1698,IFERROR(IF((OFFSET($C1698,0,$A1698))&lt;0,
MIN(0,M1698-(OFFSET($C1698,0,$A1698)/(OFFSET($C1693,-$A1697,$A1698)))),
MAX(0,M1698-(OFFSET($C1698,0,$A1698)/(OFFSET($C1693,-$A1697,$A1698))))),0))</f>
        <v>0</v>
      </c>
      <c r="O1698" s="1423">
        <f t="shared" ca="1" si="2461"/>
        <v>0</v>
      </c>
      <c r="P1698" s="1423">
        <f t="shared" ca="1" si="2462"/>
        <v>0</v>
      </c>
      <c r="Q1698" s="1423">
        <f t="shared" ca="1" si="2463"/>
        <v>0</v>
      </c>
      <c r="R1698" s="1423">
        <f t="shared" ca="1" si="2464"/>
        <v>0</v>
      </c>
      <c r="S1698" s="1423">
        <f t="shared" ca="1" si="2465"/>
        <v>0</v>
      </c>
      <c r="T1698" s="1423">
        <f t="shared" ca="1" si="2466"/>
        <v>0</v>
      </c>
      <c r="U1698" s="1423">
        <f t="shared" ca="1" si="2467"/>
        <v>0</v>
      </c>
      <c r="V1698" s="1423">
        <f t="shared" ca="1" si="2468"/>
        <v>0</v>
      </c>
      <c r="W1698" s="1423">
        <f t="shared" ca="1" si="2469"/>
        <v>0</v>
      </c>
      <c r="X1698" s="202"/>
      <c r="Y1698" s="202"/>
      <c r="Z1698" s="202"/>
      <c r="AA1698" s="152"/>
      <c r="AB1698" s="152"/>
    </row>
    <row r="1699" spans="1:28" hidden="1" outlineLevel="1">
      <c r="A1699" s="199">
        <f t="shared" si="2470"/>
        <v>11</v>
      </c>
      <c r="B1699" s="190" t="str">
        <f t="shared" ca="1" si="2471"/>
        <v>Depreciated Net Capex 2026-27</v>
      </c>
      <c r="C1699" s="1426"/>
      <c r="D1699" s="1426"/>
      <c r="E1699" s="1426"/>
      <c r="F1699" s="1426"/>
      <c r="G1699" s="1426"/>
      <c r="H1699" s="1426"/>
      <c r="I1699" s="1426"/>
      <c r="J1699" s="1426"/>
      <c r="K1699" s="1426"/>
      <c r="L1699" s="1426"/>
      <c r="M1699" s="1427"/>
      <c r="N1699" s="1428">
        <f>N1683</f>
        <v>0</v>
      </c>
      <c r="O1699" s="1423">
        <f ca="1">IF(N1723="n/a",N1699,IFERROR(IF((OFFSET($C1699,0,$A1699))&lt;0,
MIN(0,N1699-(OFFSET($C1699,0,$A1699)/(OFFSET($C1694,-$A1698,$A1699)))),
MAX(0,N1699-(OFFSET($C1699,0,$A1699)/(OFFSET($C1694,-$A1698,$A1699))))),0))</f>
        <v>0</v>
      </c>
      <c r="P1699" s="1423">
        <f t="shared" ca="1" si="2462"/>
        <v>0</v>
      </c>
      <c r="Q1699" s="1423">
        <f t="shared" ca="1" si="2463"/>
        <v>0</v>
      </c>
      <c r="R1699" s="1423">
        <f t="shared" ca="1" si="2464"/>
        <v>0</v>
      </c>
      <c r="S1699" s="1423">
        <f t="shared" ca="1" si="2465"/>
        <v>0</v>
      </c>
      <c r="T1699" s="1423">
        <f t="shared" ca="1" si="2466"/>
        <v>0</v>
      </c>
      <c r="U1699" s="1423">
        <f t="shared" ca="1" si="2467"/>
        <v>0</v>
      </c>
      <c r="V1699" s="1423">
        <f t="shared" ca="1" si="2468"/>
        <v>0</v>
      </c>
      <c r="W1699" s="1423">
        <f t="shared" ca="1" si="2469"/>
        <v>0</v>
      </c>
      <c r="X1699" s="202"/>
      <c r="Y1699" s="202"/>
      <c r="Z1699" s="202"/>
      <c r="AA1699" s="152"/>
      <c r="AB1699" s="152"/>
    </row>
    <row r="1700" spans="1:28" hidden="1" outlineLevel="1">
      <c r="A1700" s="199">
        <f t="shared" si="2470"/>
        <v>12</v>
      </c>
      <c r="B1700" s="190" t="str">
        <f t="shared" ca="1" si="2471"/>
        <v>Depreciated Net Capex 2027-28</v>
      </c>
      <c r="C1700" s="1426"/>
      <c r="D1700" s="1426"/>
      <c r="E1700" s="1426"/>
      <c r="F1700" s="1426"/>
      <c r="G1700" s="1426"/>
      <c r="H1700" s="1426"/>
      <c r="I1700" s="1426"/>
      <c r="J1700" s="1426"/>
      <c r="K1700" s="1426"/>
      <c r="L1700" s="1426"/>
      <c r="M1700" s="1426"/>
      <c r="N1700" s="1427"/>
      <c r="O1700" s="1428">
        <f>O1683</f>
        <v>0</v>
      </c>
      <c r="P1700" s="1423">
        <f ca="1">IF(O1724="n/a",O1700,IFERROR(IF((OFFSET($C1700,0,$A1700))&lt;0,
MIN(0,O1700-(OFFSET($C1700,0,$A1700)/(OFFSET($C1695,-$A1699,$A1700)))),
MAX(0,O1700-(OFFSET($C1700,0,$A1700)/(OFFSET($C1695,-$A1699,$A1700))))),0))</f>
        <v>0</v>
      </c>
      <c r="Q1700" s="1423">
        <f t="shared" ca="1" si="2463"/>
        <v>0</v>
      </c>
      <c r="R1700" s="1423">
        <f t="shared" ca="1" si="2464"/>
        <v>0</v>
      </c>
      <c r="S1700" s="1423">
        <f t="shared" ca="1" si="2465"/>
        <v>0</v>
      </c>
      <c r="T1700" s="1423">
        <f t="shared" ca="1" si="2466"/>
        <v>0</v>
      </c>
      <c r="U1700" s="1423">
        <f t="shared" ca="1" si="2467"/>
        <v>0</v>
      </c>
      <c r="V1700" s="1423">
        <f t="shared" ca="1" si="2468"/>
        <v>0</v>
      </c>
      <c r="W1700" s="1423">
        <f t="shared" ca="1" si="2469"/>
        <v>0</v>
      </c>
      <c r="X1700" s="202"/>
      <c r="Y1700" s="202"/>
      <c r="Z1700" s="202"/>
      <c r="AA1700" s="152"/>
      <c r="AB1700" s="152"/>
    </row>
    <row r="1701" spans="1:28" hidden="1" outlineLevel="1">
      <c r="A1701" s="199">
        <f t="shared" si="2470"/>
        <v>13</v>
      </c>
      <c r="B1701" s="190" t="str">
        <f t="shared" ca="1" si="2471"/>
        <v>Depreciated Net Capex 2028-29</v>
      </c>
      <c r="C1701" s="1426"/>
      <c r="D1701" s="1426"/>
      <c r="E1701" s="1426"/>
      <c r="F1701" s="1426"/>
      <c r="G1701" s="1426"/>
      <c r="H1701" s="1426"/>
      <c r="I1701" s="1426"/>
      <c r="J1701" s="1426"/>
      <c r="K1701" s="1426"/>
      <c r="L1701" s="1426"/>
      <c r="M1701" s="1426"/>
      <c r="N1701" s="1426"/>
      <c r="O1701" s="1427"/>
      <c r="P1701" s="1428">
        <f>P1683</f>
        <v>0</v>
      </c>
      <c r="Q1701" s="1423">
        <f ca="1">IF(P1725="n/a",P1701,IFERROR(IF((OFFSET($C1701,0,$A1701))&lt;0,
MIN(0,P1701-(OFFSET($C1701,0,$A1701)/(OFFSET($C1696,-$A1700,$A1701)))),
MAX(0,P1701-(OFFSET($C1701,0,$A1701)/(OFFSET($C1696,-$A1700,$A1701))))),0))</f>
        <v>0</v>
      </c>
      <c r="R1701" s="1423">
        <f t="shared" ca="1" si="2464"/>
        <v>0</v>
      </c>
      <c r="S1701" s="1423">
        <f t="shared" ca="1" si="2465"/>
        <v>0</v>
      </c>
      <c r="T1701" s="1423">
        <f t="shared" ca="1" si="2466"/>
        <v>0</v>
      </c>
      <c r="U1701" s="1423">
        <f t="shared" ca="1" si="2467"/>
        <v>0</v>
      </c>
      <c r="V1701" s="1423">
        <f t="shared" ca="1" si="2468"/>
        <v>0</v>
      </c>
      <c r="W1701" s="1423">
        <f t="shared" ca="1" si="2469"/>
        <v>0</v>
      </c>
      <c r="X1701" s="202"/>
      <c r="Y1701" s="202"/>
      <c r="Z1701" s="202"/>
      <c r="AA1701" s="152"/>
      <c r="AB1701" s="152"/>
    </row>
    <row r="1702" spans="1:28" hidden="1" outlineLevel="1">
      <c r="A1702" s="199">
        <f t="shared" si="2470"/>
        <v>14</v>
      </c>
      <c r="B1702" s="190" t="str">
        <f t="shared" ca="1" si="2471"/>
        <v>Depreciated Net Capex 2029-30</v>
      </c>
      <c r="C1702" s="1426"/>
      <c r="D1702" s="1426"/>
      <c r="E1702" s="1426"/>
      <c r="F1702" s="1426"/>
      <c r="G1702" s="1426"/>
      <c r="H1702" s="1426"/>
      <c r="I1702" s="1426"/>
      <c r="J1702" s="1426"/>
      <c r="K1702" s="1426"/>
      <c r="L1702" s="1426"/>
      <c r="M1702" s="1426"/>
      <c r="N1702" s="1426"/>
      <c r="O1702" s="1426"/>
      <c r="P1702" s="1427"/>
      <c r="Q1702" s="1428">
        <f>Q1683</f>
        <v>0</v>
      </c>
      <c r="R1702" s="1423">
        <f ca="1">IF(Q1726="n/a",Q1702,IFERROR(IF((OFFSET($C1702,0,$A1702))&lt;0,
MIN(0,Q1702-(OFFSET($C1702,0,$A1702)/(OFFSET($C1697,-$A1701,$A1702)))),
MAX(0,Q1702-(OFFSET($C1702,0,$A1702)/(OFFSET($C1697,-$A1701,$A1702))))),0))</f>
        <v>0</v>
      </c>
      <c r="S1702" s="1423">
        <f t="shared" ca="1" si="2465"/>
        <v>0</v>
      </c>
      <c r="T1702" s="1423">
        <f t="shared" ca="1" si="2466"/>
        <v>0</v>
      </c>
      <c r="U1702" s="1423">
        <f t="shared" ca="1" si="2467"/>
        <v>0</v>
      </c>
      <c r="V1702" s="1423">
        <f t="shared" ca="1" si="2468"/>
        <v>0</v>
      </c>
      <c r="W1702" s="1423">
        <f t="shared" ca="1" si="2469"/>
        <v>0</v>
      </c>
      <c r="X1702" s="202"/>
      <c r="Y1702" s="202"/>
      <c r="Z1702" s="202"/>
      <c r="AA1702" s="152"/>
      <c r="AB1702" s="152"/>
    </row>
    <row r="1703" spans="1:28" hidden="1" outlineLevel="1">
      <c r="A1703" s="199">
        <f t="shared" si="2470"/>
        <v>15</v>
      </c>
      <c r="B1703" s="190" t="str">
        <f t="shared" ca="1" si="2471"/>
        <v>Depreciated Net Capex 2030-31</v>
      </c>
      <c r="C1703" s="1426"/>
      <c r="D1703" s="1426"/>
      <c r="E1703" s="1426"/>
      <c r="F1703" s="1426"/>
      <c r="G1703" s="1426"/>
      <c r="H1703" s="1426"/>
      <c r="I1703" s="1426"/>
      <c r="J1703" s="1426"/>
      <c r="K1703" s="1426"/>
      <c r="L1703" s="1426"/>
      <c r="M1703" s="1426"/>
      <c r="N1703" s="1426"/>
      <c r="O1703" s="1426"/>
      <c r="P1703" s="1426"/>
      <c r="Q1703" s="1427"/>
      <c r="R1703" s="1428">
        <f>R1683</f>
        <v>0</v>
      </c>
      <c r="S1703" s="1423">
        <f ca="1">IF(R1727="n/a",R1703,IFERROR(IF((OFFSET($C1703,0,$A1703))&lt;0,
MIN(0,R1703-(OFFSET($C1703,0,$A1703)/(OFFSET($C1698,-$A1702,$A1703)))),
MAX(0,R1703-(OFFSET($C1703,0,$A1703)/(OFFSET($C1698,-$A1702,$A1703))))),0))</f>
        <v>0</v>
      </c>
      <c r="T1703" s="1423">
        <f t="shared" ca="1" si="2466"/>
        <v>0</v>
      </c>
      <c r="U1703" s="1423">
        <f t="shared" ca="1" si="2467"/>
        <v>0</v>
      </c>
      <c r="V1703" s="1423">
        <f t="shared" ca="1" si="2468"/>
        <v>0</v>
      </c>
      <c r="W1703" s="1423">
        <f t="shared" ca="1" si="2469"/>
        <v>0</v>
      </c>
      <c r="X1703" s="202"/>
      <c r="Y1703" s="202"/>
      <c r="Z1703" s="202"/>
      <c r="AA1703" s="152"/>
      <c r="AB1703" s="152"/>
    </row>
    <row r="1704" spans="1:28" hidden="1" outlineLevel="1">
      <c r="A1704" s="199">
        <f t="shared" si="2470"/>
        <v>16</v>
      </c>
      <c r="B1704" s="190" t="str">
        <f t="shared" ca="1" si="2471"/>
        <v>Depreciated Net Capex 2031-32</v>
      </c>
      <c r="C1704" s="1426"/>
      <c r="D1704" s="1426"/>
      <c r="E1704" s="1426"/>
      <c r="F1704" s="1426"/>
      <c r="G1704" s="1426"/>
      <c r="H1704" s="1426"/>
      <c r="I1704" s="1426"/>
      <c r="J1704" s="1426"/>
      <c r="K1704" s="1426"/>
      <c r="L1704" s="1426"/>
      <c r="M1704" s="1426"/>
      <c r="N1704" s="1426"/>
      <c r="O1704" s="1426"/>
      <c r="P1704" s="1426"/>
      <c r="Q1704" s="1426"/>
      <c r="R1704" s="1427"/>
      <c r="S1704" s="1428">
        <f>S1683</f>
        <v>0</v>
      </c>
      <c r="T1704" s="1423">
        <f ca="1">IF(S1728="n/a",S1704,IFERROR(IF((OFFSET($C1704,0,$A1704))&lt;0,
MIN(0,S1704-(OFFSET($C1704,0,$A1704)/(OFFSET($C1699,-$A1703,$A1704)))),
MAX(0,S1704-(OFFSET($C1704,0,$A1704)/(OFFSET($C1699,-$A1703,$A1704))))),0))</f>
        <v>0</v>
      </c>
      <c r="U1704" s="1423">
        <f t="shared" ca="1" si="2467"/>
        <v>0</v>
      </c>
      <c r="V1704" s="1423">
        <f t="shared" ca="1" si="2468"/>
        <v>0</v>
      </c>
      <c r="W1704" s="1423">
        <f t="shared" ca="1" si="2469"/>
        <v>0</v>
      </c>
      <c r="X1704" s="202"/>
      <c r="Y1704" s="202"/>
      <c r="Z1704" s="202"/>
      <c r="AA1704" s="152"/>
      <c r="AB1704" s="152"/>
    </row>
    <row r="1705" spans="1:28" hidden="1" outlineLevel="1">
      <c r="A1705" s="199">
        <f t="shared" si="2470"/>
        <v>17</v>
      </c>
      <c r="B1705" s="190" t="str">
        <f t="shared" ca="1" si="2471"/>
        <v>Depreciated Net Capex 2032-33</v>
      </c>
      <c r="C1705" s="1426"/>
      <c r="D1705" s="1426"/>
      <c r="E1705" s="1426"/>
      <c r="F1705" s="1426"/>
      <c r="G1705" s="1426"/>
      <c r="H1705" s="1426"/>
      <c r="I1705" s="1426"/>
      <c r="J1705" s="1426"/>
      <c r="K1705" s="1426"/>
      <c r="L1705" s="1426"/>
      <c r="M1705" s="1426"/>
      <c r="N1705" s="1426"/>
      <c r="O1705" s="1426"/>
      <c r="P1705" s="1426"/>
      <c r="Q1705" s="1426"/>
      <c r="R1705" s="1426"/>
      <c r="S1705" s="1427"/>
      <c r="T1705" s="1428">
        <f>T1683</f>
        <v>0</v>
      </c>
      <c r="U1705" s="1423">
        <f ca="1">IF(T1729="n/a",T1705,IFERROR(IF((OFFSET($C1705,0,$A1705))&lt;0,
MIN(0,T1705-(OFFSET($C1705,0,$A1705)/(OFFSET($C1700,-$A1704,$A1705)))),
MAX(0,T1705-(OFFSET($C1705,0,$A1705)/(OFFSET($C1700,-$A1704,$A1705))))),0))</f>
        <v>0</v>
      </c>
      <c r="V1705" s="1423">
        <f t="shared" ca="1" si="2468"/>
        <v>0</v>
      </c>
      <c r="W1705" s="1423">
        <f t="shared" ca="1" si="2469"/>
        <v>0</v>
      </c>
      <c r="X1705" s="202"/>
      <c r="Y1705" s="202"/>
      <c r="Z1705" s="202"/>
      <c r="AA1705" s="152"/>
      <c r="AB1705" s="152"/>
    </row>
    <row r="1706" spans="1:28" hidden="1" outlineLevel="1">
      <c r="A1706" s="199">
        <f t="shared" si="2470"/>
        <v>18</v>
      </c>
      <c r="B1706" s="190" t="str">
        <f t="shared" ca="1" si="2471"/>
        <v>Depreciated Net Capex 2033-34</v>
      </c>
      <c r="C1706" s="1426"/>
      <c r="D1706" s="1426"/>
      <c r="E1706" s="1426"/>
      <c r="F1706" s="1426"/>
      <c r="G1706" s="1426"/>
      <c r="H1706" s="1426"/>
      <c r="I1706" s="1426"/>
      <c r="J1706" s="1426"/>
      <c r="K1706" s="1426"/>
      <c r="L1706" s="1426"/>
      <c r="M1706" s="1426"/>
      <c r="N1706" s="1426"/>
      <c r="O1706" s="1426"/>
      <c r="P1706" s="1426"/>
      <c r="Q1706" s="1426"/>
      <c r="R1706" s="1426"/>
      <c r="S1706" s="1426"/>
      <c r="T1706" s="1427"/>
      <c r="U1706" s="1428">
        <f>U1683</f>
        <v>0</v>
      </c>
      <c r="V1706" s="1423">
        <f ca="1">IF(U1730="n/a",U1706,IFERROR(IF((OFFSET($C1706,0,$A1706))&lt;0,
MIN(0,U1706-(OFFSET($C1706,0,$A1706)/(OFFSET($C1701,-$A1705,$A1706)))),
MAX(0,U1706-(OFFSET($C1706,0,$A1706)/(OFFSET($C1701,-$A1705,$A1706))))),0))</f>
        <v>0</v>
      </c>
      <c r="W1706" s="1423">
        <f t="shared" ca="1" si="2469"/>
        <v>0</v>
      </c>
      <c r="X1706" s="202"/>
      <c r="Y1706" s="202"/>
      <c r="Z1706" s="202"/>
      <c r="AA1706" s="152"/>
      <c r="AB1706" s="152"/>
    </row>
    <row r="1707" spans="1:28" hidden="1" outlineLevel="1">
      <c r="A1707" s="199">
        <f t="shared" si="2470"/>
        <v>19</v>
      </c>
      <c r="B1707" s="190" t="str">
        <f t="shared" ca="1" si="2471"/>
        <v>Depreciated Net Capex 2034-35</v>
      </c>
      <c r="C1707" s="1426"/>
      <c r="D1707" s="1426"/>
      <c r="E1707" s="1426"/>
      <c r="F1707" s="1426"/>
      <c r="G1707" s="1426"/>
      <c r="H1707" s="1426"/>
      <c r="I1707" s="1426"/>
      <c r="J1707" s="1426"/>
      <c r="K1707" s="1426"/>
      <c r="L1707" s="1426"/>
      <c r="M1707" s="1426"/>
      <c r="N1707" s="1426"/>
      <c r="O1707" s="1426"/>
      <c r="P1707" s="1426"/>
      <c r="Q1707" s="1426"/>
      <c r="R1707" s="1426"/>
      <c r="S1707" s="1426"/>
      <c r="T1707" s="1426"/>
      <c r="U1707" s="1427"/>
      <c r="V1707" s="1428">
        <f>V1683</f>
        <v>0</v>
      </c>
      <c r="W1707" s="1423">
        <f ca="1">IF(V1731="n/a",V1707,IFERROR(IF((OFFSET($C1707,0,$A1707))&lt;0,
MIN(0,V1707-(OFFSET($C1707,0,$A1707)/(OFFSET($C1702,-$A1706,$A1707)))),
MAX(0,V1707-(OFFSET($C1707,0,$A1707)/(OFFSET($C1702,-$A1706,$A1707))))),0))</f>
        <v>0</v>
      </c>
      <c r="X1707" s="202"/>
      <c r="Y1707" s="202"/>
      <c r="Z1707" s="202"/>
      <c r="AA1707" s="152"/>
      <c r="AB1707" s="152"/>
    </row>
    <row r="1708" spans="1:28" hidden="1" outlineLevel="1">
      <c r="A1708" s="199">
        <f t="shared" si="2470"/>
        <v>20</v>
      </c>
      <c r="B1708" s="190" t="str">
        <f t="shared" ca="1" si="2471"/>
        <v>Depreciated Net Capex 2035-36</v>
      </c>
      <c r="C1708" s="1426"/>
      <c r="D1708" s="1426"/>
      <c r="E1708" s="1426"/>
      <c r="F1708" s="1426"/>
      <c r="G1708" s="1426"/>
      <c r="H1708" s="1426"/>
      <c r="I1708" s="1426"/>
      <c r="J1708" s="1426"/>
      <c r="K1708" s="1426"/>
      <c r="L1708" s="1426"/>
      <c r="M1708" s="1426"/>
      <c r="N1708" s="1426"/>
      <c r="O1708" s="1426"/>
      <c r="P1708" s="1426"/>
      <c r="Q1708" s="1426"/>
      <c r="R1708" s="1426"/>
      <c r="S1708" s="1426"/>
      <c r="T1708" s="1426"/>
      <c r="U1708" s="1426"/>
      <c r="V1708" s="1427"/>
      <c r="W1708" s="1423">
        <f>W1683</f>
        <v>0</v>
      </c>
      <c r="X1708" s="152"/>
      <c r="Y1708" s="152"/>
      <c r="Z1708" s="152"/>
      <c r="AA1708" s="152"/>
      <c r="AB1708" s="152"/>
    </row>
    <row r="1709" spans="1:28" hidden="1" outlineLevel="1">
      <c r="A1709" s="152"/>
      <c r="B1709" s="200"/>
      <c r="C1709" s="1423"/>
      <c r="D1709" s="1423"/>
      <c r="E1709" s="1423"/>
      <c r="F1709" s="1423"/>
      <c r="G1709" s="1423"/>
      <c r="H1709" s="1423"/>
      <c r="I1709" s="1423"/>
      <c r="J1709" s="1423"/>
      <c r="K1709" s="1423"/>
      <c r="L1709" s="1423"/>
      <c r="M1709" s="1423"/>
      <c r="N1709" s="1423"/>
      <c r="O1709" s="1423"/>
      <c r="P1709" s="1423"/>
      <c r="Q1709" s="1423"/>
      <c r="R1709" s="1423"/>
      <c r="S1709" s="1423"/>
      <c r="T1709" s="1423"/>
      <c r="U1709" s="1423"/>
      <c r="V1709" s="1423"/>
      <c r="W1709" s="1423"/>
      <c r="X1709" s="152"/>
      <c r="Y1709" s="152"/>
      <c r="Z1709" s="152"/>
      <c r="AA1709" s="152"/>
      <c r="AB1709" s="152"/>
    </row>
    <row r="1710" spans="1:28" hidden="1" outlineLevel="1">
      <c r="A1710" s="152"/>
      <c r="B1710" s="200"/>
      <c r="C1710" s="1423"/>
      <c r="D1710" s="1423"/>
      <c r="E1710" s="1423"/>
      <c r="F1710" s="1423"/>
      <c r="G1710" s="1423"/>
      <c r="H1710" s="1423"/>
      <c r="I1710" s="1423"/>
      <c r="J1710" s="1423"/>
      <c r="K1710" s="1423"/>
      <c r="L1710" s="1423"/>
      <c r="M1710" s="1423"/>
      <c r="N1710" s="1423"/>
      <c r="O1710" s="1423"/>
      <c r="P1710" s="1423"/>
      <c r="Q1710" s="1423"/>
      <c r="R1710" s="1423"/>
      <c r="S1710" s="1423"/>
      <c r="T1710" s="1423"/>
      <c r="U1710" s="1423"/>
      <c r="V1710" s="1423"/>
      <c r="W1710" s="1423"/>
      <c r="X1710" s="152"/>
      <c r="Y1710" s="152"/>
      <c r="Z1710" s="152"/>
      <c r="AA1710" s="152"/>
      <c r="AB1710" s="152"/>
    </row>
    <row r="1711" spans="1:28" hidden="1" outlineLevel="1">
      <c r="A1711" s="152"/>
      <c r="B1711" s="190" t="s">
        <v>194</v>
      </c>
      <c r="C1711" s="1423"/>
      <c r="D1711" s="1423">
        <f t="shared" ref="D1711" ca="1" si="2472">IF(AND(C1711&lt;1,D1685=0),0,
IF(D1685=0,C1711-1,
IF(C1711&lt;1,D1686,
(((C1711-1)*(C1687-(C1687/(C1711))))+(D1685*D1686))/(D1687))))</f>
        <v>0</v>
      </c>
      <c r="E1711" s="1423">
        <f t="shared" ref="E1711" ca="1" si="2473">IF(AND(D1711&lt;1,E1685=0),0,
IF(E1685=0,D1711-1,
IF(D1711&lt;1,E1686,
(((D1711-1)*(D1687-(D1687/(D1711))))+(E1685*E1686))/(E1687))))</f>
        <v>0</v>
      </c>
      <c r="F1711" s="1423">
        <f t="shared" ref="F1711" ca="1" si="2474">IF(AND(E1711&lt;1,F1685=0),0,
IF(F1685=0,E1711-1,
IF(E1711&lt;1,F1686,
(((E1711-1)*(E1687-(E1687/(E1711))))+(F1685*F1686))/(F1687))))</f>
        <v>0</v>
      </c>
      <c r="G1711" s="1423">
        <f t="shared" ref="G1711" ca="1" si="2475">IF(AND(F1711&lt;1,G1685=0),0,
IF(G1685=0,F1711-1,
IF(F1711&lt;1,G1686,
(((F1711-1)*(F1687-(F1687/(F1711))))+(G1685*G1686))/(G1687))))</f>
        <v>0</v>
      </c>
      <c r="H1711" s="1423">
        <f ca="1">IF(AND(G1711&lt;1,H1685=0),0,
IF(H1685=0,G1711-1,
IF(G1711&lt;1,H1686,
(((G1711-1)*(G1687-(G1687/(G1711))))+(H1685*H1686))/(H1687))))</f>
        <v>0</v>
      </c>
      <c r="I1711" s="1423">
        <f t="shared" ref="I1711" ca="1" si="2476">IF(AND(H1711&lt;1,I1685=0),0,
IF(I1685=0,H1711-1,
IF(H1711&lt;1,I1686,
(((H1711-1)*(H1687-(H1687/(H1711))))+(I1685*I1686))/(I1687))))</f>
        <v>0</v>
      </c>
      <c r="J1711" s="1423">
        <f t="shared" ref="J1711" ca="1" si="2477">IF(AND(I1711&lt;1,J1685=0),0,
IF(J1685=0,I1711-1,
IF(I1711&lt;1,J1686,
(((I1711-1)*(I1687-(I1687/(I1711))))+(J1685*J1686))/(J1687))))</f>
        <v>0</v>
      </c>
      <c r="K1711" s="1423">
        <f t="shared" ref="K1711" ca="1" si="2478">IF(AND(J1711&lt;1,K1685=0),0,
IF(K1685=0,J1711-1,
IF(J1711&lt;1,K1686,
(((J1711-1)*(J1687-(J1687/(J1711))))+(K1685*K1686))/(K1687))))</f>
        <v>0</v>
      </c>
      <c r="L1711" s="1423">
        <f t="shared" ref="L1711" ca="1" si="2479">IF(AND(K1711&lt;1,L1685=0),0,
IF(L1685=0,K1711-1,
IF(K1711&lt;1,L1686,
(((K1711-1)*(K1687-(K1687/(K1711))))+(L1685*L1686))/(L1687))))</f>
        <v>0</v>
      </c>
      <c r="M1711" s="1423">
        <f ca="1">IF(AND(L1711&lt;1,M1685=0),0,
IF(M1685=0,L1711-1,
IF(L1711&lt;1,M1686,
(((L1711-1)*(L1687-(L1687/(L1711))))+(M1685*M1686))/(M1687))))</f>
        <v>0</v>
      </c>
      <c r="N1711" s="1423">
        <f t="shared" ref="N1711" ca="1" si="2480">IF(AND(M1711&lt;1,N1685=0),0,
IF(N1685=0,M1711-1,
IF(M1711&lt;1,N1686,
(((M1711-1)*(M1687-(M1687/(M1711))))+(N1685*N1686))/(N1687))))</f>
        <v>0</v>
      </c>
      <c r="O1711" s="1423">
        <f t="shared" ref="O1711" ca="1" si="2481">IF(AND(N1711&lt;1,O1685=0),0,
IF(O1685=0,N1711-1,
IF(N1711&lt;1,O1686,
(((N1711-1)*(N1687-(N1687/(N1711))))+(O1685*O1686))/(O1687))))</f>
        <v>0</v>
      </c>
      <c r="P1711" s="1423">
        <f t="shared" ref="P1711" ca="1" si="2482">IF(AND(O1711&lt;1,P1685=0),0,
IF(P1685=0,O1711-1,
IF(O1711&lt;1,P1686,
(((O1711-1)*(O1687-(O1687/(O1711))))+(P1685*P1686))/(P1687))))</f>
        <v>0</v>
      </c>
      <c r="Q1711" s="1423">
        <f t="shared" ref="Q1711" ca="1" si="2483">IF(AND(P1711&lt;1,Q1685=0),0,
IF(Q1685=0,P1711-1,
IF(P1711&lt;1,Q1686,
(((P1711-1)*(P1687-(P1687/(P1711))))+(Q1685*Q1686))/(Q1687))))</f>
        <v>0</v>
      </c>
      <c r="R1711" s="1423">
        <f t="shared" ref="R1711" ca="1" si="2484">IF(AND(Q1711&lt;1,R1685=0),0,
IF(R1685=0,Q1711-1,
IF(Q1711&lt;1,R1686,
(((Q1711-1)*(Q1687-(Q1687/(Q1711))))+(R1685*R1686))/(R1687))))</f>
        <v>0</v>
      </c>
      <c r="S1711" s="1423">
        <f t="shared" ref="S1711" ca="1" si="2485">IF(AND(R1711&lt;1,S1685=0),0,
IF(S1685=0,R1711-1,
IF(R1711&lt;1,S1686,
(((R1711-1)*(R1687-(R1687/(R1711))))+(S1685*S1686))/(S1687))))</f>
        <v>0</v>
      </c>
      <c r="T1711" s="1423">
        <f t="shared" ref="T1711" ca="1" si="2486">IF(AND(S1711&lt;1,T1685=0),0,
IF(T1685=0,S1711-1,
IF(S1711&lt;1,T1686,
(((S1711-1)*(S1687-(S1687/(S1711))))+(T1685*T1686))/(T1687))))</f>
        <v>0</v>
      </c>
      <c r="U1711" s="1423">
        <f t="shared" ref="U1711" ca="1" si="2487">IF(AND(T1711&lt;1,U1685=0),0,
IF(U1685=0,T1711-1,
IF(T1711&lt;1,U1686,
(((T1711-1)*(T1687-(T1687/(T1711))))+(U1685*U1686))/(U1687))))</f>
        <v>0</v>
      </c>
      <c r="V1711" s="1423">
        <f t="shared" ref="V1711" ca="1" si="2488">IF(AND(U1711&lt;1,V1685=0),0,
IF(V1685=0,U1711-1,
IF(U1711&lt;1,V1686,
(((U1711-1)*(U1687-(U1687/(U1711))))+(V1685*V1686))/(V1687))))</f>
        <v>0</v>
      </c>
      <c r="W1711" s="1423">
        <f t="shared" ref="W1711" ca="1" si="2489">IF(AND(V1711&lt;1,W1685=0),0,
IF(W1685=0,V1711-1,
IF(V1711&lt;1,W1686,
(((V1711-1)*(V1687-(V1687/(V1711))))+(W1685*W1686))/(W1687))))</f>
        <v>0</v>
      </c>
      <c r="X1711" s="152"/>
      <c r="Y1711" s="152"/>
      <c r="Z1711" s="152"/>
      <c r="AA1711" s="152"/>
      <c r="AB1711" s="152"/>
    </row>
    <row r="1712" spans="1:28" hidden="1" outlineLevel="1">
      <c r="A1712" s="152"/>
      <c r="B1712" s="190" t="s">
        <v>193</v>
      </c>
      <c r="C1712" s="1423">
        <f ca="1">C1684</f>
        <v>0</v>
      </c>
      <c r="D1712" s="1423">
        <f t="shared" ref="D1712" ca="1" si="2490">IF(C1712="n/a","n/a",MAX(0,C1712-1))</f>
        <v>0</v>
      </c>
      <c r="E1712" s="1423">
        <f t="shared" ref="E1712:E1713" ca="1" si="2491">IF(D1712="n/a","n/a",MAX(0,D1712-1))</f>
        <v>0</v>
      </c>
      <c r="F1712" s="1423">
        <f t="shared" ref="F1712:F1714" ca="1" si="2492">IF(E1712="n/a","n/a",MAX(0,E1712-1))</f>
        <v>0</v>
      </c>
      <c r="G1712" s="1423">
        <f t="shared" ref="G1712:G1715" ca="1" si="2493">IF(F1712="n/a","n/a",MAX(0,F1712-1))</f>
        <v>0</v>
      </c>
      <c r="H1712" s="1423">
        <f t="shared" ref="H1712:H1716" ca="1" si="2494">IF(G1712="n/a","n/a",MAX(0,G1712-1))</f>
        <v>0</v>
      </c>
      <c r="I1712" s="1423">
        <f t="shared" ref="I1712:I1717" ca="1" si="2495">IF(H1712="n/a","n/a",MAX(0,H1712-1))</f>
        <v>0</v>
      </c>
      <c r="J1712" s="1423">
        <f t="shared" ref="J1712:J1718" ca="1" si="2496">IF(I1712="n/a","n/a",MAX(0,I1712-1))</f>
        <v>0</v>
      </c>
      <c r="K1712" s="1423">
        <f t="shared" ref="K1712:K1719" ca="1" si="2497">IF(J1712="n/a","n/a",MAX(0,J1712-1))</f>
        <v>0</v>
      </c>
      <c r="L1712" s="1423">
        <f t="shared" ref="L1712:L1720" ca="1" si="2498">IF(K1712="n/a","n/a",MAX(0,K1712-1))</f>
        <v>0</v>
      </c>
      <c r="M1712" s="1423">
        <f t="shared" ref="M1712:M1721" ca="1" si="2499">IF(L1712="n/a","n/a",MAX(0,L1712-1))</f>
        <v>0</v>
      </c>
      <c r="N1712" s="1423">
        <f t="shared" ref="N1712:N1722" ca="1" si="2500">IF(M1712="n/a","n/a",MAX(0,M1712-1))</f>
        <v>0</v>
      </c>
      <c r="O1712" s="1423">
        <f t="shared" ref="O1712:O1723" ca="1" si="2501">IF(N1712="n/a","n/a",MAX(0,N1712-1))</f>
        <v>0</v>
      </c>
      <c r="P1712" s="1423">
        <f t="shared" ref="P1712:P1724" ca="1" si="2502">IF(O1712="n/a","n/a",MAX(0,O1712-1))</f>
        <v>0</v>
      </c>
      <c r="Q1712" s="1423">
        <f t="shared" ref="Q1712:Q1725" ca="1" si="2503">IF(P1712="n/a","n/a",MAX(0,P1712-1))</f>
        <v>0</v>
      </c>
      <c r="R1712" s="1423">
        <f t="shared" ref="R1712:R1726" ca="1" si="2504">IF(Q1712="n/a","n/a",MAX(0,Q1712-1))</f>
        <v>0</v>
      </c>
      <c r="S1712" s="1423">
        <f t="shared" ref="S1712:S1727" ca="1" si="2505">IF(R1712="n/a","n/a",MAX(0,R1712-1))</f>
        <v>0</v>
      </c>
      <c r="T1712" s="1423">
        <f t="shared" ref="T1712:T1728" ca="1" si="2506">IF(S1712="n/a","n/a",MAX(0,S1712-1))</f>
        <v>0</v>
      </c>
      <c r="U1712" s="1423">
        <f t="shared" ref="U1712:U1729" ca="1" si="2507">IF(T1712="n/a","n/a",MAX(0,T1712-1))</f>
        <v>0</v>
      </c>
      <c r="V1712" s="1423">
        <f t="shared" ref="V1712:V1730" ca="1" si="2508">IF(U1712="n/a","n/a",MAX(0,U1712-1))</f>
        <v>0</v>
      </c>
      <c r="W1712" s="1423">
        <f t="shared" ref="W1712:W1730" ca="1" si="2509">IF(V1712="n/a","n/a",MAX(0,V1712-1))</f>
        <v>0</v>
      </c>
      <c r="X1712" s="152"/>
      <c r="Y1712" s="152"/>
      <c r="Z1712" s="152"/>
      <c r="AA1712" s="152"/>
      <c r="AB1712" s="152"/>
    </row>
    <row r="1713" spans="1:28" hidden="1" outlineLevel="1">
      <c r="A1713" s="152"/>
      <c r="B1713" s="190" t="str">
        <f t="shared" ref="B1713:B1732" ca="1" si="2510">"RL Capex "&amp;OFFSET($C$6,0,A1689)</f>
        <v>RL Capex 2016-17</v>
      </c>
      <c r="C1713" s="1424"/>
      <c r="D1713" s="1428">
        <f>D1684</f>
        <v>0</v>
      </c>
      <c r="E1713" s="1423">
        <f t="shared" si="2491"/>
        <v>0</v>
      </c>
      <c r="F1713" s="1423">
        <f t="shared" si="2492"/>
        <v>0</v>
      </c>
      <c r="G1713" s="1423">
        <f t="shared" si="2493"/>
        <v>0</v>
      </c>
      <c r="H1713" s="1423">
        <f t="shared" si="2494"/>
        <v>0</v>
      </c>
      <c r="I1713" s="1423">
        <f t="shared" si="2495"/>
        <v>0</v>
      </c>
      <c r="J1713" s="1423">
        <f t="shared" si="2496"/>
        <v>0</v>
      </c>
      <c r="K1713" s="1423">
        <f t="shared" si="2497"/>
        <v>0</v>
      </c>
      <c r="L1713" s="1423">
        <f t="shared" si="2498"/>
        <v>0</v>
      </c>
      <c r="M1713" s="1423">
        <f t="shared" si="2499"/>
        <v>0</v>
      </c>
      <c r="N1713" s="1423">
        <f t="shared" si="2500"/>
        <v>0</v>
      </c>
      <c r="O1713" s="1423">
        <f t="shared" si="2501"/>
        <v>0</v>
      </c>
      <c r="P1713" s="1423">
        <f t="shared" si="2502"/>
        <v>0</v>
      </c>
      <c r="Q1713" s="1423">
        <f t="shared" si="2503"/>
        <v>0</v>
      </c>
      <c r="R1713" s="1423">
        <f t="shared" si="2504"/>
        <v>0</v>
      </c>
      <c r="S1713" s="1423">
        <f t="shared" si="2505"/>
        <v>0</v>
      </c>
      <c r="T1713" s="1423">
        <f t="shared" si="2506"/>
        <v>0</v>
      </c>
      <c r="U1713" s="1423">
        <f t="shared" si="2507"/>
        <v>0</v>
      </c>
      <c r="V1713" s="1423">
        <f t="shared" si="2508"/>
        <v>0</v>
      </c>
      <c r="W1713" s="1423">
        <f t="shared" si="2509"/>
        <v>0</v>
      </c>
      <c r="X1713" s="152"/>
      <c r="Y1713" s="152"/>
      <c r="Z1713" s="152"/>
      <c r="AA1713" s="152"/>
      <c r="AB1713" s="152"/>
    </row>
    <row r="1714" spans="1:28" hidden="1" outlineLevel="1">
      <c r="A1714" s="152"/>
      <c r="B1714" s="190" t="str">
        <f t="shared" ca="1" si="2510"/>
        <v>RL Capex 2017-18</v>
      </c>
      <c r="C1714" s="1429"/>
      <c r="D1714" s="1424"/>
      <c r="E1714" s="1428">
        <f>E1684</f>
        <v>0</v>
      </c>
      <c r="F1714" s="1423">
        <f t="shared" si="2492"/>
        <v>0</v>
      </c>
      <c r="G1714" s="1423">
        <f t="shared" si="2493"/>
        <v>0</v>
      </c>
      <c r="H1714" s="1423">
        <f t="shared" si="2494"/>
        <v>0</v>
      </c>
      <c r="I1714" s="1423">
        <f t="shared" si="2495"/>
        <v>0</v>
      </c>
      <c r="J1714" s="1423">
        <f t="shared" si="2496"/>
        <v>0</v>
      </c>
      <c r="K1714" s="1423">
        <f t="shared" si="2497"/>
        <v>0</v>
      </c>
      <c r="L1714" s="1423">
        <f t="shared" si="2498"/>
        <v>0</v>
      </c>
      <c r="M1714" s="1423">
        <f t="shared" si="2499"/>
        <v>0</v>
      </c>
      <c r="N1714" s="1423">
        <f t="shared" si="2500"/>
        <v>0</v>
      </c>
      <c r="O1714" s="1423">
        <f t="shared" si="2501"/>
        <v>0</v>
      </c>
      <c r="P1714" s="1423">
        <f t="shared" si="2502"/>
        <v>0</v>
      </c>
      <c r="Q1714" s="1423">
        <f t="shared" si="2503"/>
        <v>0</v>
      </c>
      <c r="R1714" s="1423">
        <f t="shared" si="2504"/>
        <v>0</v>
      </c>
      <c r="S1714" s="1423">
        <f t="shared" si="2505"/>
        <v>0</v>
      </c>
      <c r="T1714" s="1423">
        <f t="shared" si="2506"/>
        <v>0</v>
      </c>
      <c r="U1714" s="1423">
        <f t="shared" si="2507"/>
        <v>0</v>
      </c>
      <c r="V1714" s="1423">
        <f t="shared" si="2508"/>
        <v>0</v>
      </c>
      <c r="W1714" s="1423">
        <f t="shared" si="2509"/>
        <v>0</v>
      </c>
      <c r="X1714" s="152"/>
      <c r="Y1714" s="152"/>
      <c r="Z1714" s="152"/>
      <c r="AA1714" s="152"/>
      <c r="AB1714" s="152"/>
    </row>
    <row r="1715" spans="1:28" hidden="1" outlineLevel="1">
      <c r="A1715" s="152"/>
      <c r="B1715" s="190" t="str">
        <f t="shared" ca="1" si="2510"/>
        <v>RL Capex 2018-19</v>
      </c>
      <c r="C1715" s="1429"/>
      <c r="D1715" s="1429"/>
      <c r="E1715" s="1424"/>
      <c r="F1715" s="1428">
        <f>F1684</f>
        <v>0</v>
      </c>
      <c r="G1715" s="1423">
        <f t="shared" si="2493"/>
        <v>0</v>
      </c>
      <c r="H1715" s="1423">
        <f t="shared" si="2494"/>
        <v>0</v>
      </c>
      <c r="I1715" s="1423">
        <f t="shared" si="2495"/>
        <v>0</v>
      </c>
      <c r="J1715" s="1423">
        <f t="shared" si="2496"/>
        <v>0</v>
      </c>
      <c r="K1715" s="1423">
        <f t="shared" si="2497"/>
        <v>0</v>
      </c>
      <c r="L1715" s="1423">
        <f t="shared" si="2498"/>
        <v>0</v>
      </c>
      <c r="M1715" s="1423">
        <f t="shared" si="2499"/>
        <v>0</v>
      </c>
      <c r="N1715" s="1423">
        <f t="shared" si="2500"/>
        <v>0</v>
      </c>
      <c r="O1715" s="1423">
        <f t="shared" si="2501"/>
        <v>0</v>
      </c>
      <c r="P1715" s="1423">
        <f t="shared" si="2502"/>
        <v>0</v>
      </c>
      <c r="Q1715" s="1423">
        <f t="shared" si="2503"/>
        <v>0</v>
      </c>
      <c r="R1715" s="1423">
        <f t="shared" si="2504"/>
        <v>0</v>
      </c>
      <c r="S1715" s="1423">
        <f t="shared" si="2505"/>
        <v>0</v>
      </c>
      <c r="T1715" s="1423">
        <f t="shared" si="2506"/>
        <v>0</v>
      </c>
      <c r="U1715" s="1423">
        <f t="shared" si="2507"/>
        <v>0</v>
      </c>
      <c r="V1715" s="1423">
        <f t="shared" si="2508"/>
        <v>0</v>
      </c>
      <c r="W1715" s="1423">
        <f t="shared" si="2509"/>
        <v>0</v>
      </c>
      <c r="X1715" s="152"/>
      <c r="Y1715" s="152"/>
      <c r="Z1715" s="152"/>
      <c r="AA1715" s="152"/>
      <c r="AB1715" s="152"/>
    </row>
    <row r="1716" spans="1:28" hidden="1" outlineLevel="1">
      <c r="A1716" s="152"/>
      <c r="B1716" s="190" t="str">
        <f t="shared" ca="1" si="2510"/>
        <v>RL Capex 2019-20</v>
      </c>
      <c r="C1716" s="1429"/>
      <c r="D1716" s="1429"/>
      <c r="E1716" s="1429"/>
      <c r="F1716" s="1424"/>
      <c r="G1716" s="1428">
        <f>G1684</f>
        <v>0</v>
      </c>
      <c r="H1716" s="1423">
        <f t="shared" si="2494"/>
        <v>0</v>
      </c>
      <c r="I1716" s="1423">
        <f t="shared" si="2495"/>
        <v>0</v>
      </c>
      <c r="J1716" s="1423">
        <f t="shared" si="2496"/>
        <v>0</v>
      </c>
      <c r="K1716" s="1423">
        <f t="shared" si="2497"/>
        <v>0</v>
      </c>
      <c r="L1716" s="1423">
        <f t="shared" si="2498"/>
        <v>0</v>
      </c>
      <c r="M1716" s="1423">
        <f t="shared" si="2499"/>
        <v>0</v>
      </c>
      <c r="N1716" s="1423">
        <f t="shared" si="2500"/>
        <v>0</v>
      </c>
      <c r="O1716" s="1423">
        <f t="shared" si="2501"/>
        <v>0</v>
      </c>
      <c r="P1716" s="1423">
        <f t="shared" si="2502"/>
        <v>0</v>
      </c>
      <c r="Q1716" s="1423">
        <f t="shared" si="2503"/>
        <v>0</v>
      </c>
      <c r="R1716" s="1423">
        <f t="shared" si="2504"/>
        <v>0</v>
      </c>
      <c r="S1716" s="1423">
        <f t="shared" si="2505"/>
        <v>0</v>
      </c>
      <c r="T1716" s="1423">
        <f t="shared" si="2506"/>
        <v>0</v>
      </c>
      <c r="U1716" s="1423">
        <f t="shared" si="2507"/>
        <v>0</v>
      </c>
      <c r="V1716" s="1423">
        <f t="shared" si="2508"/>
        <v>0</v>
      </c>
      <c r="W1716" s="1423">
        <f t="shared" si="2509"/>
        <v>0</v>
      </c>
      <c r="X1716" s="152"/>
      <c r="Y1716" s="152"/>
      <c r="Z1716" s="152"/>
      <c r="AA1716" s="152"/>
      <c r="AB1716" s="152"/>
    </row>
    <row r="1717" spans="1:28" hidden="1" outlineLevel="1">
      <c r="A1717" s="152"/>
      <c r="B1717" s="190" t="str">
        <f t="shared" ca="1" si="2510"/>
        <v>RL Capex 2020-21</v>
      </c>
      <c r="C1717" s="1429"/>
      <c r="D1717" s="1429"/>
      <c r="E1717" s="1429"/>
      <c r="F1717" s="1429"/>
      <c r="G1717" s="1424"/>
      <c r="H1717" s="1428">
        <f>H1684</f>
        <v>0</v>
      </c>
      <c r="I1717" s="1423">
        <f t="shared" si="2495"/>
        <v>0</v>
      </c>
      <c r="J1717" s="1423">
        <f t="shared" si="2496"/>
        <v>0</v>
      </c>
      <c r="K1717" s="1423">
        <f t="shared" si="2497"/>
        <v>0</v>
      </c>
      <c r="L1717" s="1423">
        <f t="shared" si="2498"/>
        <v>0</v>
      </c>
      <c r="M1717" s="1423">
        <f t="shared" si="2499"/>
        <v>0</v>
      </c>
      <c r="N1717" s="1423">
        <f t="shared" si="2500"/>
        <v>0</v>
      </c>
      <c r="O1717" s="1423">
        <f t="shared" si="2501"/>
        <v>0</v>
      </c>
      <c r="P1717" s="1423">
        <f t="shared" si="2502"/>
        <v>0</v>
      </c>
      <c r="Q1717" s="1423">
        <f t="shared" si="2503"/>
        <v>0</v>
      </c>
      <c r="R1717" s="1423">
        <f t="shared" si="2504"/>
        <v>0</v>
      </c>
      <c r="S1717" s="1423">
        <f t="shared" si="2505"/>
        <v>0</v>
      </c>
      <c r="T1717" s="1423">
        <f t="shared" si="2506"/>
        <v>0</v>
      </c>
      <c r="U1717" s="1423">
        <f t="shared" si="2507"/>
        <v>0</v>
      </c>
      <c r="V1717" s="1423">
        <f t="shared" si="2508"/>
        <v>0</v>
      </c>
      <c r="W1717" s="1423">
        <f t="shared" si="2509"/>
        <v>0</v>
      </c>
      <c r="X1717" s="152"/>
      <c r="Y1717" s="152"/>
      <c r="Z1717" s="152"/>
      <c r="AA1717" s="152"/>
      <c r="AB1717" s="152"/>
    </row>
    <row r="1718" spans="1:28" hidden="1" outlineLevel="1">
      <c r="A1718" s="152"/>
      <c r="B1718" s="190" t="str">
        <f t="shared" ca="1" si="2510"/>
        <v>RL Capex 2021-22</v>
      </c>
      <c r="C1718" s="1429"/>
      <c r="D1718" s="1429"/>
      <c r="E1718" s="1429"/>
      <c r="F1718" s="1429"/>
      <c r="G1718" s="1429"/>
      <c r="H1718" s="1424"/>
      <c r="I1718" s="1428">
        <f>I1684</f>
        <v>0</v>
      </c>
      <c r="J1718" s="1423">
        <f t="shared" si="2496"/>
        <v>0</v>
      </c>
      <c r="K1718" s="1423">
        <f t="shared" si="2497"/>
        <v>0</v>
      </c>
      <c r="L1718" s="1423">
        <f t="shared" si="2498"/>
        <v>0</v>
      </c>
      <c r="M1718" s="1423">
        <f t="shared" si="2499"/>
        <v>0</v>
      </c>
      <c r="N1718" s="1423">
        <f t="shared" si="2500"/>
        <v>0</v>
      </c>
      <c r="O1718" s="1423">
        <f t="shared" si="2501"/>
        <v>0</v>
      </c>
      <c r="P1718" s="1423">
        <f t="shared" si="2502"/>
        <v>0</v>
      </c>
      <c r="Q1718" s="1423">
        <f t="shared" si="2503"/>
        <v>0</v>
      </c>
      <c r="R1718" s="1423">
        <f t="shared" si="2504"/>
        <v>0</v>
      </c>
      <c r="S1718" s="1423">
        <f t="shared" si="2505"/>
        <v>0</v>
      </c>
      <c r="T1718" s="1423">
        <f t="shared" si="2506"/>
        <v>0</v>
      </c>
      <c r="U1718" s="1423">
        <f t="shared" si="2507"/>
        <v>0</v>
      </c>
      <c r="V1718" s="1423">
        <f t="shared" si="2508"/>
        <v>0</v>
      </c>
      <c r="W1718" s="1423">
        <f t="shared" si="2509"/>
        <v>0</v>
      </c>
      <c r="X1718" s="152"/>
      <c r="Y1718" s="152"/>
      <c r="Z1718" s="152"/>
      <c r="AA1718" s="152"/>
      <c r="AB1718" s="152"/>
    </row>
    <row r="1719" spans="1:28" hidden="1" outlineLevel="1">
      <c r="A1719" s="152"/>
      <c r="B1719" s="190" t="str">
        <f t="shared" ca="1" si="2510"/>
        <v>RL Capex 2022-23</v>
      </c>
      <c r="C1719" s="1429"/>
      <c r="D1719" s="1429"/>
      <c r="E1719" s="1429"/>
      <c r="F1719" s="1429"/>
      <c r="G1719" s="1429"/>
      <c r="H1719" s="1429"/>
      <c r="I1719" s="1424"/>
      <c r="J1719" s="1428">
        <f>J1684</f>
        <v>0</v>
      </c>
      <c r="K1719" s="1423">
        <f t="shared" si="2497"/>
        <v>0</v>
      </c>
      <c r="L1719" s="1423">
        <f t="shared" si="2498"/>
        <v>0</v>
      </c>
      <c r="M1719" s="1423">
        <f t="shared" si="2499"/>
        <v>0</v>
      </c>
      <c r="N1719" s="1423">
        <f t="shared" si="2500"/>
        <v>0</v>
      </c>
      <c r="O1719" s="1423">
        <f t="shared" si="2501"/>
        <v>0</v>
      </c>
      <c r="P1719" s="1423">
        <f t="shared" si="2502"/>
        <v>0</v>
      </c>
      <c r="Q1719" s="1423">
        <f t="shared" si="2503"/>
        <v>0</v>
      </c>
      <c r="R1719" s="1423">
        <f t="shared" si="2504"/>
        <v>0</v>
      </c>
      <c r="S1719" s="1423">
        <f t="shared" si="2505"/>
        <v>0</v>
      </c>
      <c r="T1719" s="1423">
        <f t="shared" si="2506"/>
        <v>0</v>
      </c>
      <c r="U1719" s="1423">
        <f t="shared" si="2507"/>
        <v>0</v>
      </c>
      <c r="V1719" s="1423">
        <f t="shared" si="2508"/>
        <v>0</v>
      </c>
      <c r="W1719" s="1423">
        <f t="shared" si="2509"/>
        <v>0</v>
      </c>
      <c r="X1719" s="152"/>
      <c r="Y1719" s="152"/>
      <c r="Z1719" s="152"/>
      <c r="AA1719" s="152"/>
      <c r="AB1719" s="152"/>
    </row>
    <row r="1720" spans="1:28" hidden="1" outlineLevel="1">
      <c r="A1720" s="152"/>
      <c r="B1720" s="190" t="str">
        <f t="shared" ca="1" si="2510"/>
        <v>RL Capex 2023-24</v>
      </c>
      <c r="C1720" s="1429"/>
      <c r="D1720" s="1429"/>
      <c r="E1720" s="1429"/>
      <c r="F1720" s="1429"/>
      <c r="G1720" s="1429"/>
      <c r="H1720" s="1429"/>
      <c r="I1720" s="1429"/>
      <c r="J1720" s="1424"/>
      <c r="K1720" s="1428">
        <f>K1684</f>
        <v>0</v>
      </c>
      <c r="L1720" s="1423">
        <f t="shared" si="2498"/>
        <v>0</v>
      </c>
      <c r="M1720" s="1423">
        <f t="shared" si="2499"/>
        <v>0</v>
      </c>
      <c r="N1720" s="1423">
        <f t="shared" si="2500"/>
        <v>0</v>
      </c>
      <c r="O1720" s="1423">
        <f t="shared" si="2501"/>
        <v>0</v>
      </c>
      <c r="P1720" s="1423">
        <f t="shared" si="2502"/>
        <v>0</v>
      </c>
      <c r="Q1720" s="1423">
        <f t="shared" si="2503"/>
        <v>0</v>
      </c>
      <c r="R1720" s="1423">
        <f t="shared" si="2504"/>
        <v>0</v>
      </c>
      <c r="S1720" s="1423">
        <f t="shared" si="2505"/>
        <v>0</v>
      </c>
      <c r="T1720" s="1423">
        <f t="shared" si="2506"/>
        <v>0</v>
      </c>
      <c r="U1720" s="1423">
        <f t="shared" si="2507"/>
        <v>0</v>
      </c>
      <c r="V1720" s="1423">
        <f t="shared" si="2508"/>
        <v>0</v>
      </c>
      <c r="W1720" s="1423">
        <f t="shared" si="2509"/>
        <v>0</v>
      </c>
      <c r="X1720" s="152"/>
      <c r="Y1720" s="152"/>
      <c r="Z1720" s="152"/>
      <c r="AA1720" s="152"/>
      <c r="AB1720" s="152"/>
    </row>
    <row r="1721" spans="1:28" hidden="1" outlineLevel="1">
      <c r="A1721" s="152"/>
      <c r="B1721" s="190" t="str">
        <f t="shared" ca="1" si="2510"/>
        <v>RL Capex 2024-25</v>
      </c>
      <c r="C1721" s="1429"/>
      <c r="D1721" s="1429"/>
      <c r="E1721" s="1429"/>
      <c r="F1721" s="1429"/>
      <c r="G1721" s="1429"/>
      <c r="H1721" s="1429"/>
      <c r="I1721" s="1429"/>
      <c r="J1721" s="1429"/>
      <c r="K1721" s="1424"/>
      <c r="L1721" s="1428">
        <f>L1684</f>
        <v>0</v>
      </c>
      <c r="M1721" s="1423">
        <f t="shared" si="2499"/>
        <v>0</v>
      </c>
      <c r="N1721" s="1423">
        <f t="shared" si="2500"/>
        <v>0</v>
      </c>
      <c r="O1721" s="1423">
        <f t="shared" si="2501"/>
        <v>0</v>
      </c>
      <c r="P1721" s="1423">
        <f t="shared" si="2502"/>
        <v>0</v>
      </c>
      <c r="Q1721" s="1423">
        <f t="shared" si="2503"/>
        <v>0</v>
      </c>
      <c r="R1721" s="1423">
        <f t="shared" si="2504"/>
        <v>0</v>
      </c>
      <c r="S1721" s="1423">
        <f t="shared" si="2505"/>
        <v>0</v>
      </c>
      <c r="T1721" s="1423">
        <f t="shared" si="2506"/>
        <v>0</v>
      </c>
      <c r="U1721" s="1423">
        <f t="shared" si="2507"/>
        <v>0</v>
      </c>
      <c r="V1721" s="1423">
        <f t="shared" si="2508"/>
        <v>0</v>
      </c>
      <c r="W1721" s="1423">
        <f t="shared" si="2509"/>
        <v>0</v>
      </c>
      <c r="X1721" s="152"/>
      <c r="Y1721" s="152"/>
      <c r="Z1721" s="152"/>
      <c r="AA1721" s="152"/>
      <c r="AB1721" s="152"/>
    </row>
    <row r="1722" spans="1:28" hidden="1" outlineLevel="1">
      <c r="A1722" s="152"/>
      <c r="B1722" s="190" t="str">
        <f t="shared" ca="1" si="2510"/>
        <v>RL Capex 2025-26</v>
      </c>
      <c r="C1722" s="1429"/>
      <c r="D1722" s="1429"/>
      <c r="E1722" s="1429"/>
      <c r="F1722" s="1429"/>
      <c r="G1722" s="1429"/>
      <c r="H1722" s="1429"/>
      <c r="I1722" s="1429"/>
      <c r="J1722" s="1429"/>
      <c r="K1722" s="1429"/>
      <c r="L1722" s="1424"/>
      <c r="M1722" s="1428">
        <f>M1684</f>
        <v>0</v>
      </c>
      <c r="N1722" s="1423">
        <f t="shared" si="2500"/>
        <v>0</v>
      </c>
      <c r="O1722" s="1423">
        <f t="shared" si="2501"/>
        <v>0</v>
      </c>
      <c r="P1722" s="1423">
        <f t="shared" si="2502"/>
        <v>0</v>
      </c>
      <c r="Q1722" s="1423">
        <f t="shared" si="2503"/>
        <v>0</v>
      </c>
      <c r="R1722" s="1423">
        <f t="shared" si="2504"/>
        <v>0</v>
      </c>
      <c r="S1722" s="1423">
        <f t="shared" si="2505"/>
        <v>0</v>
      </c>
      <c r="T1722" s="1423">
        <f t="shared" si="2506"/>
        <v>0</v>
      </c>
      <c r="U1722" s="1423">
        <f t="shared" si="2507"/>
        <v>0</v>
      </c>
      <c r="V1722" s="1423">
        <f t="shared" si="2508"/>
        <v>0</v>
      </c>
      <c r="W1722" s="1423">
        <f t="shared" si="2509"/>
        <v>0</v>
      </c>
      <c r="X1722" s="152"/>
      <c r="Y1722" s="152"/>
      <c r="Z1722" s="152"/>
      <c r="AA1722" s="152"/>
      <c r="AB1722" s="152"/>
    </row>
    <row r="1723" spans="1:28" hidden="1" outlineLevel="1">
      <c r="A1723" s="152"/>
      <c r="B1723" s="190" t="str">
        <f t="shared" ca="1" si="2510"/>
        <v>RL Capex 2026-27</v>
      </c>
      <c r="C1723" s="1429"/>
      <c r="D1723" s="1429"/>
      <c r="E1723" s="1429"/>
      <c r="F1723" s="1429"/>
      <c r="G1723" s="1429"/>
      <c r="H1723" s="1429"/>
      <c r="I1723" s="1429"/>
      <c r="J1723" s="1429"/>
      <c r="K1723" s="1429"/>
      <c r="L1723" s="1429"/>
      <c r="M1723" s="1424"/>
      <c r="N1723" s="1428">
        <f>N1684</f>
        <v>0</v>
      </c>
      <c r="O1723" s="1423">
        <f t="shared" si="2501"/>
        <v>0</v>
      </c>
      <c r="P1723" s="1423">
        <f t="shared" si="2502"/>
        <v>0</v>
      </c>
      <c r="Q1723" s="1423">
        <f t="shared" si="2503"/>
        <v>0</v>
      </c>
      <c r="R1723" s="1423">
        <f t="shared" si="2504"/>
        <v>0</v>
      </c>
      <c r="S1723" s="1423">
        <f t="shared" si="2505"/>
        <v>0</v>
      </c>
      <c r="T1723" s="1423">
        <f t="shared" si="2506"/>
        <v>0</v>
      </c>
      <c r="U1723" s="1423">
        <f t="shared" si="2507"/>
        <v>0</v>
      </c>
      <c r="V1723" s="1423">
        <f t="shared" si="2508"/>
        <v>0</v>
      </c>
      <c r="W1723" s="1423">
        <f t="shared" si="2509"/>
        <v>0</v>
      </c>
      <c r="X1723" s="152"/>
      <c r="Y1723" s="152"/>
      <c r="Z1723" s="152"/>
      <c r="AA1723" s="152"/>
      <c r="AB1723" s="152"/>
    </row>
    <row r="1724" spans="1:28" hidden="1" outlineLevel="1">
      <c r="A1724" s="152"/>
      <c r="B1724" s="190" t="str">
        <f t="shared" ca="1" si="2510"/>
        <v>RL Capex 2027-28</v>
      </c>
      <c r="C1724" s="1429"/>
      <c r="D1724" s="1429"/>
      <c r="E1724" s="1429"/>
      <c r="F1724" s="1429"/>
      <c r="G1724" s="1429"/>
      <c r="H1724" s="1429"/>
      <c r="I1724" s="1429"/>
      <c r="J1724" s="1429"/>
      <c r="K1724" s="1429"/>
      <c r="L1724" s="1429"/>
      <c r="M1724" s="1429"/>
      <c r="N1724" s="1424"/>
      <c r="O1724" s="1428">
        <f>O1684</f>
        <v>0</v>
      </c>
      <c r="P1724" s="1423">
        <f t="shared" si="2502"/>
        <v>0</v>
      </c>
      <c r="Q1724" s="1423">
        <f t="shared" si="2503"/>
        <v>0</v>
      </c>
      <c r="R1724" s="1423">
        <f t="shared" si="2504"/>
        <v>0</v>
      </c>
      <c r="S1724" s="1423">
        <f t="shared" si="2505"/>
        <v>0</v>
      </c>
      <c r="T1724" s="1423">
        <f t="shared" si="2506"/>
        <v>0</v>
      </c>
      <c r="U1724" s="1423">
        <f t="shared" si="2507"/>
        <v>0</v>
      </c>
      <c r="V1724" s="1423">
        <f t="shared" si="2508"/>
        <v>0</v>
      </c>
      <c r="W1724" s="1423">
        <f t="shared" si="2509"/>
        <v>0</v>
      </c>
      <c r="X1724" s="152"/>
      <c r="Y1724" s="152"/>
      <c r="Z1724" s="152"/>
      <c r="AA1724" s="152"/>
      <c r="AB1724" s="152"/>
    </row>
    <row r="1725" spans="1:28" hidden="1" outlineLevel="1">
      <c r="A1725" s="152"/>
      <c r="B1725" s="190" t="str">
        <f t="shared" ca="1" si="2510"/>
        <v>RL Capex 2028-29</v>
      </c>
      <c r="C1725" s="1429"/>
      <c r="D1725" s="1429"/>
      <c r="E1725" s="1429"/>
      <c r="F1725" s="1429"/>
      <c r="G1725" s="1429"/>
      <c r="H1725" s="1429"/>
      <c r="I1725" s="1429"/>
      <c r="J1725" s="1429"/>
      <c r="K1725" s="1429"/>
      <c r="L1725" s="1429"/>
      <c r="M1725" s="1429"/>
      <c r="N1725" s="1429"/>
      <c r="O1725" s="1424"/>
      <c r="P1725" s="1428">
        <f>P1684</f>
        <v>0</v>
      </c>
      <c r="Q1725" s="1423">
        <f t="shared" si="2503"/>
        <v>0</v>
      </c>
      <c r="R1725" s="1423">
        <f t="shared" si="2504"/>
        <v>0</v>
      </c>
      <c r="S1725" s="1423">
        <f t="shared" si="2505"/>
        <v>0</v>
      </c>
      <c r="T1725" s="1423">
        <f t="shared" si="2506"/>
        <v>0</v>
      </c>
      <c r="U1725" s="1423">
        <f t="shared" si="2507"/>
        <v>0</v>
      </c>
      <c r="V1725" s="1423">
        <f t="shared" si="2508"/>
        <v>0</v>
      </c>
      <c r="W1725" s="1423">
        <f t="shared" si="2509"/>
        <v>0</v>
      </c>
      <c r="X1725" s="152"/>
      <c r="Y1725" s="152"/>
      <c r="Z1725" s="152"/>
      <c r="AA1725" s="152"/>
      <c r="AB1725" s="152"/>
    </row>
    <row r="1726" spans="1:28" hidden="1" outlineLevel="1">
      <c r="A1726" s="152"/>
      <c r="B1726" s="190" t="str">
        <f t="shared" ca="1" si="2510"/>
        <v>RL Capex 2029-30</v>
      </c>
      <c r="C1726" s="1429"/>
      <c r="D1726" s="1429"/>
      <c r="E1726" s="1429"/>
      <c r="F1726" s="1429"/>
      <c r="G1726" s="1429"/>
      <c r="H1726" s="1429"/>
      <c r="I1726" s="1429"/>
      <c r="J1726" s="1429"/>
      <c r="K1726" s="1429"/>
      <c r="L1726" s="1429"/>
      <c r="M1726" s="1429"/>
      <c r="N1726" s="1429"/>
      <c r="O1726" s="1429"/>
      <c r="P1726" s="1424"/>
      <c r="Q1726" s="1428">
        <f>Q1684</f>
        <v>0</v>
      </c>
      <c r="R1726" s="1423">
        <f t="shared" si="2504"/>
        <v>0</v>
      </c>
      <c r="S1726" s="1423">
        <f t="shared" si="2505"/>
        <v>0</v>
      </c>
      <c r="T1726" s="1423">
        <f t="shared" si="2506"/>
        <v>0</v>
      </c>
      <c r="U1726" s="1423">
        <f t="shared" si="2507"/>
        <v>0</v>
      </c>
      <c r="V1726" s="1423">
        <f t="shared" si="2508"/>
        <v>0</v>
      </c>
      <c r="W1726" s="1423">
        <f t="shared" si="2509"/>
        <v>0</v>
      </c>
      <c r="X1726" s="152"/>
      <c r="Y1726" s="152"/>
      <c r="Z1726" s="152"/>
      <c r="AA1726" s="152"/>
      <c r="AB1726" s="152"/>
    </row>
    <row r="1727" spans="1:28" hidden="1" outlineLevel="1">
      <c r="A1727" s="152"/>
      <c r="B1727" s="190" t="str">
        <f t="shared" ca="1" si="2510"/>
        <v>RL Capex 2030-31</v>
      </c>
      <c r="C1727" s="1429"/>
      <c r="D1727" s="1429"/>
      <c r="E1727" s="1429"/>
      <c r="F1727" s="1429"/>
      <c r="G1727" s="1429"/>
      <c r="H1727" s="1429"/>
      <c r="I1727" s="1429"/>
      <c r="J1727" s="1429"/>
      <c r="K1727" s="1429"/>
      <c r="L1727" s="1429"/>
      <c r="M1727" s="1429"/>
      <c r="N1727" s="1429"/>
      <c r="O1727" s="1429"/>
      <c r="P1727" s="1429"/>
      <c r="Q1727" s="1424"/>
      <c r="R1727" s="1428">
        <f>R1684</f>
        <v>0</v>
      </c>
      <c r="S1727" s="1423">
        <f t="shared" si="2505"/>
        <v>0</v>
      </c>
      <c r="T1727" s="1423">
        <f t="shared" si="2506"/>
        <v>0</v>
      </c>
      <c r="U1727" s="1423">
        <f t="shared" si="2507"/>
        <v>0</v>
      </c>
      <c r="V1727" s="1423">
        <f t="shared" si="2508"/>
        <v>0</v>
      </c>
      <c r="W1727" s="1423">
        <f t="shared" si="2509"/>
        <v>0</v>
      </c>
      <c r="X1727" s="152"/>
      <c r="Y1727" s="152"/>
      <c r="Z1727" s="152"/>
      <c r="AA1727" s="152"/>
      <c r="AB1727" s="152"/>
    </row>
    <row r="1728" spans="1:28" hidden="1" outlineLevel="1">
      <c r="A1728" s="152"/>
      <c r="B1728" s="190" t="str">
        <f t="shared" ca="1" si="2510"/>
        <v>RL Capex 2031-32</v>
      </c>
      <c r="C1728" s="1429"/>
      <c r="D1728" s="1429"/>
      <c r="E1728" s="1429"/>
      <c r="F1728" s="1429"/>
      <c r="G1728" s="1429"/>
      <c r="H1728" s="1429"/>
      <c r="I1728" s="1429"/>
      <c r="J1728" s="1429"/>
      <c r="K1728" s="1429"/>
      <c r="L1728" s="1429"/>
      <c r="M1728" s="1429"/>
      <c r="N1728" s="1429"/>
      <c r="O1728" s="1429"/>
      <c r="P1728" s="1429"/>
      <c r="Q1728" s="1429"/>
      <c r="R1728" s="1424"/>
      <c r="S1728" s="1428">
        <f>S1684</f>
        <v>0</v>
      </c>
      <c r="T1728" s="1423">
        <f t="shared" si="2506"/>
        <v>0</v>
      </c>
      <c r="U1728" s="1423">
        <f t="shared" si="2507"/>
        <v>0</v>
      </c>
      <c r="V1728" s="1423">
        <f t="shared" si="2508"/>
        <v>0</v>
      </c>
      <c r="W1728" s="1423">
        <f t="shared" si="2509"/>
        <v>0</v>
      </c>
      <c r="X1728" s="152"/>
      <c r="Y1728" s="152"/>
      <c r="Z1728" s="152"/>
      <c r="AA1728" s="152"/>
      <c r="AB1728" s="152"/>
    </row>
    <row r="1729" spans="1:28" hidden="1" outlineLevel="1">
      <c r="A1729" s="152"/>
      <c r="B1729" s="190" t="str">
        <f t="shared" ca="1" si="2510"/>
        <v>RL Capex 2032-33</v>
      </c>
      <c r="C1729" s="1429"/>
      <c r="D1729" s="1429"/>
      <c r="E1729" s="1429"/>
      <c r="F1729" s="1429"/>
      <c r="G1729" s="1429"/>
      <c r="H1729" s="1429"/>
      <c r="I1729" s="1429"/>
      <c r="J1729" s="1429"/>
      <c r="K1729" s="1429"/>
      <c r="L1729" s="1429"/>
      <c r="M1729" s="1429"/>
      <c r="N1729" s="1429"/>
      <c r="O1729" s="1429"/>
      <c r="P1729" s="1429"/>
      <c r="Q1729" s="1429"/>
      <c r="R1729" s="1429"/>
      <c r="S1729" s="1424"/>
      <c r="T1729" s="1428">
        <f>T1684</f>
        <v>0</v>
      </c>
      <c r="U1729" s="1423">
        <f t="shared" si="2507"/>
        <v>0</v>
      </c>
      <c r="V1729" s="1423">
        <f t="shared" si="2508"/>
        <v>0</v>
      </c>
      <c r="W1729" s="1423">
        <f t="shared" si="2509"/>
        <v>0</v>
      </c>
      <c r="X1729" s="152"/>
      <c r="Y1729" s="152"/>
      <c r="Z1729" s="152"/>
      <c r="AA1729" s="152"/>
      <c r="AB1729" s="152"/>
    </row>
    <row r="1730" spans="1:28" hidden="1" outlineLevel="1">
      <c r="A1730" s="152"/>
      <c r="B1730" s="190" t="str">
        <f t="shared" ca="1" si="2510"/>
        <v>RL Capex 2033-34</v>
      </c>
      <c r="C1730" s="1429"/>
      <c r="D1730" s="1429"/>
      <c r="E1730" s="1429"/>
      <c r="F1730" s="1429"/>
      <c r="G1730" s="1429"/>
      <c r="H1730" s="1429"/>
      <c r="I1730" s="1429"/>
      <c r="J1730" s="1429"/>
      <c r="K1730" s="1429"/>
      <c r="L1730" s="1429"/>
      <c r="M1730" s="1429"/>
      <c r="N1730" s="1429"/>
      <c r="O1730" s="1429"/>
      <c r="P1730" s="1429"/>
      <c r="Q1730" s="1429"/>
      <c r="R1730" s="1429"/>
      <c r="S1730" s="1429"/>
      <c r="T1730" s="1424"/>
      <c r="U1730" s="1428">
        <f>U1684</f>
        <v>0</v>
      </c>
      <c r="V1730" s="1423">
        <f t="shared" si="2508"/>
        <v>0</v>
      </c>
      <c r="W1730" s="1423">
        <f t="shared" si="2509"/>
        <v>0</v>
      </c>
      <c r="X1730" s="152"/>
      <c r="Y1730" s="152"/>
      <c r="Z1730" s="152"/>
      <c r="AA1730" s="152"/>
      <c r="AB1730" s="152"/>
    </row>
    <row r="1731" spans="1:28" hidden="1" outlineLevel="1">
      <c r="A1731" s="152"/>
      <c r="B1731" s="190" t="str">
        <f t="shared" ca="1" si="2510"/>
        <v>RL Capex 2034-35</v>
      </c>
      <c r="C1731" s="1429"/>
      <c r="D1731" s="1429"/>
      <c r="E1731" s="1429"/>
      <c r="F1731" s="1429"/>
      <c r="G1731" s="1429"/>
      <c r="H1731" s="1429"/>
      <c r="I1731" s="1429"/>
      <c r="J1731" s="1429"/>
      <c r="K1731" s="1429"/>
      <c r="L1731" s="1429"/>
      <c r="M1731" s="1429"/>
      <c r="N1731" s="1429"/>
      <c r="O1731" s="1429"/>
      <c r="P1731" s="1429"/>
      <c r="Q1731" s="1429"/>
      <c r="R1731" s="1429"/>
      <c r="S1731" s="1429"/>
      <c r="T1731" s="1429"/>
      <c r="U1731" s="1424"/>
      <c r="V1731" s="1428">
        <f>V1684</f>
        <v>0</v>
      </c>
      <c r="W1731" s="1423">
        <f>IF(V1731="n/a","n/a",MAX(0,V1731-1))</f>
        <v>0</v>
      </c>
      <c r="X1731" s="152"/>
      <c r="Y1731" s="152"/>
      <c r="Z1731" s="152"/>
      <c r="AA1731" s="152"/>
      <c r="AB1731" s="152"/>
    </row>
    <row r="1732" spans="1:28" hidden="1" outlineLevel="1">
      <c r="A1732" s="152"/>
      <c r="B1732" s="190" t="str">
        <f t="shared" ca="1" si="2510"/>
        <v>RL Capex 2035-36</v>
      </c>
      <c r="C1732" s="1429"/>
      <c r="D1732" s="1429"/>
      <c r="E1732" s="1429"/>
      <c r="F1732" s="1429"/>
      <c r="G1732" s="1429"/>
      <c r="H1732" s="1429"/>
      <c r="I1732" s="1429"/>
      <c r="J1732" s="1429"/>
      <c r="K1732" s="1429"/>
      <c r="L1732" s="1429"/>
      <c r="M1732" s="1429"/>
      <c r="N1732" s="1429"/>
      <c r="O1732" s="1429"/>
      <c r="P1732" s="1429"/>
      <c r="Q1732" s="1429"/>
      <c r="R1732" s="1429"/>
      <c r="S1732" s="1429"/>
      <c r="T1732" s="1429"/>
      <c r="U1732" s="1429"/>
      <c r="V1732" s="1424"/>
      <c r="W1732" s="1423">
        <f>W1684</f>
        <v>0</v>
      </c>
      <c r="X1732" s="152"/>
      <c r="Y1732" s="152"/>
      <c r="Z1732" s="152"/>
      <c r="AA1732" s="152"/>
      <c r="AB1732" s="152"/>
    </row>
    <row r="1733" spans="1:28" hidden="1" outlineLevel="1">
      <c r="A1733" s="152"/>
      <c r="B1733" s="200"/>
      <c r="C1733" s="1423"/>
      <c r="D1733" s="1423"/>
      <c r="E1733" s="1423"/>
      <c r="F1733" s="1423"/>
      <c r="G1733" s="1423"/>
      <c r="H1733" s="1423"/>
      <c r="I1733" s="1423"/>
      <c r="J1733" s="1423"/>
      <c r="K1733" s="1423"/>
      <c r="L1733" s="1423"/>
      <c r="M1733" s="1423"/>
      <c r="N1733" s="1423"/>
      <c r="O1733" s="1423"/>
      <c r="P1733" s="1423"/>
      <c r="Q1733" s="1423"/>
      <c r="R1733" s="1423"/>
      <c r="S1733" s="1423"/>
      <c r="T1733" s="1423"/>
      <c r="U1733" s="1423"/>
      <c r="V1733" s="1423"/>
      <c r="W1733" s="1423"/>
      <c r="X1733" s="152"/>
      <c r="Y1733" s="152"/>
      <c r="Z1733" s="152"/>
      <c r="AA1733" s="152"/>
      <c r="AB1733" s="152"/>
    </row>
    <row r="1734" spans="1:28" collapsed="1">
      <c r="A1734" s="194"/>
      <c r="B1734" s="204" t="s">
        <v>123</v>
      </c>
      <c r="C1734" s="1430">
        <f ca="1">(IF(OR($C1684&lt;&gt;"n/a",C1684&lt;&gt;"n/a"),IF(SUM(C1687:C1709)=0,0,IF((SUMPRODUCT(C1687:C1709,C1711:C1733)/SUM(C1687:C1709))&lt;0,1,(SUMPRODUCT(C1687:C1709,C1711:C1733)/SUM(C1687:C1709)))),"n/a"))</f>
        <v>0</v>
      </c>
      <c r="D1734" s="1430">
        <f ca="1">(IF(OR($C1684&lt;&gt;"n/a",D1684&lt;&gt;"n/a"),IF(SUM(D1687:D1709)=0,0,IF((SUMPRODUCT(D1687:D1709,D1711:D1733)/SUM(D1687:D1709))&lt;0,1,(SUMPRODUCT(D1687:D1709,D1711:D1733)/SUM(D1687:D1709)))),"n/a"))</f>
        <v>0</v>
      </c>
      <c r="E1734" s="1430">
        <f t="shared" ref="E1734:W1734" ca="1" si="2511">(IF(OR($C1684&lt;&gt;"n/a",E1684&lt;&gt;"n/a"),IF(SUM(E1687:E1709)=0,0,IF((SUMPRODUCT(E1687:E1709,E1711:E1733)/SUM(E1687:E1709))&lt;0,1,(SUMPRODUCT(E1687:E1709,E1711:E1733)/SUM(E1687:E1709)))),"n/a"))</f>
        <v>0</v>
      </c>
      <c r="F1734" s="1430">
        <f t="shared" ca="1" si="2511"/>
        <v>0</v>
      </c>
      <c r="G1734" s="1430">
        <f t="shared" ca="1" si="2511"/>
        <v>0</v>
      </c>
      <c r="H1734" s="1430">
        <f t="shared" ca="1" si="2511"/>
        <v>0</v>
      </c>
      <c r="I1734" s="1430">
        <f t="shared" ca="1" si="2511"/>
        <v>0</v>
      </c>
      <c r="J1734" s="1430">
        <f t="shared" ca="1" si="2511"/>
        <v>0</v>
      </c>
      <c r="K1734" s="1430">
        <f t="shared" ca="1" si="2511"/>
        <v>0</v>
      </c>
      <c r="L1734" s="1430">
        <f t="shared" ca="1" si="2511"/>
        <v>0</v>
      </c>
      <c r="M1734" s="1430">
        <f t="shared" ca="1" si="2511"/>
        <v>0</v>
      </c>
      <c r="N1734" s="1430">
        <f t="shared" ca="1" si="2511"/>
        <v>0</v>
      </c>
      <c r="O1734" s="1430">
        <f t="shared" ca="1" si="2511"/>
        <v>0</v>
      </c>
      <c r="P1734" s="1430">
        <f t="shared" ca="1" si="2511"/>
        <v>0</v>
      </c>
      <c r="Q1734" s="1430">
        <f t="shared" ca="1" si="2511"/>
        <v>0</v>
      </c>
      <c r="R1734" s="1430">
        <f t="shared" ca="1" si="2511"/>
        <v>0</v>
      </c>
      <c r="S1734" s="1430">
        <f t="shared" ca="1" si="2511"/>
        <v>0</v>
      </c>
      <c r="T1734" s="1430">
        <f t="shared" ca="1" si="2511"/>
        <v>0</v>
      </c>
      <c r="U1734" s="1430">
        <f t="shared" ca="1" si="2511"/>
        <v>0</v>
      </c>
      <c r="V1734" s="1430">
        <f t="shared" ca="1" si="2511"/>
        <v>0</v>
      </c>
      <c r="W1734" s="1430">
        <f t="shared" ca="1" si="2511"/>
        <v>0</v>
      </c>
      <c r="X1734" s="152"/>
      <c r="Y1734" s="152"/>
      <c r="Z1734" s="152"/>
      <c r="AA1734" s="152"/>
      <c r="AB1734" s="152"/>
    </row>
    <row r="1735" spans="1:28">
      <c r="A1735" s="152"/>
      <c r="B1735" s="152"/>
      <c r="C1735" s="1423"/>
      <c r="D1735" s="1423"/>
      <c r="E1735" s="1423"/>
      <c r="F1735" s="1423"/>
      <c r="G1735" s="1423"/>
      <c r="H1735" s="1423"/>
      <c r="I1735" s="1423"/>
      <c r="J1735" s="1423"/>
      <c r="K1735" s="1423"/>
      <c r="L1735" s="1423"/>
      <c r="M1735" s="1423"/>
      <c r="N1735" s="1423"/>
      <c r="O1735" s="1423"/>
      <c r="P1735" s="1423"/>
      <c r="Q1735" s="1423"/>
      <c r="R1735" s="1423"/>
      <c r="S1735" s="1423"/>
      <c r="T1735" s="1423"/>
      <c r="U1735" s="1423"/>
      <c r="V1735" s="1423"/>
      <c r="W1735" s="1423"/>
      <c r="X1735" s="152"/>
      <c r="Y1735" s="152"/>
      <c r="Z1735" s="152"/>
      <c r="AA1735" s="152"/>
      <c r="AB1735" s="152"/>
    </row>
    <row r="1736" spans="1:28">
      <c r="A1736" s="269" t="s">
        <v>99</v>
      </c>
      <c r="B1736" s="270">
        <f>VLOOKUP($A1736,'RFM input'!$E$7:$F$56,2,FALSE)</f>
        <v>0</v>
      </c>
      <c r="C1736" s="1431"/>
      <c r="D1736" s="1431"/>
      <c r="E1736" s="1432"/>
      <c r="F1736" s="1432"/>
      <c r="G1736" s="1432"/>
      <c r="H1736" s="1432"/>
      <c r="I1736" s="1432"/>
      <c r="J1736" s="1432"/>
      <c r="K1736" s="1432"/>
      <c r="L1736" s="1432"/>
      <c r="M1736" s="1432"/>
      <c r="N1736" s="1432"/>
      <c r="O1736" s="1432"/>
      <c r="P1736" s="1432"/>
      <c r="Q1736" s="1432"/>
      <c r="R1736" s="1432"/>
      <c r="S1736" s="1432"/>
      <c r="T1736" s="1432"/>
      <c r="U1736" s="1432"/>
      <c r="V1736" s="1432"/>
      <c r="W1736" s="1432"/>
      <c r="X1736" s="152"/>
      <c r="Y1736" s="152"/>
      <c r="Z1736" s="152"/>
      <c r="AA1736" s="152"/>
      <c r="AB1736" s="152"/>
    </row>
    <row r="1737" spans="1:28">
      <c r="A1737" s="215">
        <f>VALUE(REPLACE(A1736,1,12,""))</f>
        <v>33</v>
      </c>
      <c r="B1737" s="193" t="s">
        <v>126</v>
      </c>
      <c r="C1737" s="1416">
        <f ca="1">IF($D$6='TAB roll forward'!$H$4,OFFSET('TAB roll forward'!$H$7,A1737,0),"enter input")</f>
        <v>0</v>
      </c>
      <c r="D1737" s="1417">
        <f>IF(LEFT(D$6,4)&lt;LEFT('RFM input'!$G$60,4),"enter input",IF(LEFT(D$6,4)&gt;LEFT('RFM input'!$Q$60,4),0,
INDEX('RFM input'!$G$61:$Q$110,$A1737,MATCH(D$6,'RFM input'!$G$60:$Q$60,0))
   -INDEX('RFM input'!$G$115:$Q$164,$A1737,MATCH(D$6,'RFM input'!$G$60:$Q$60,0))))</f>
        <v>0</v>
      </c>
      <c r="E1737" s="1417">
        <f>IF(LEFT(E$6,4)&lt;LEFT('RFM input'!$G$60,4),"enter input",IF(LEFT(E$6,4)&gt;LEFT('RFM input'!$Q$60,4),0,
INDEX('RFM input'!$G$61:$Q$110,$A1737,MATCH(E$6,'RFM input'!$G$60:$Q$60,0))
   -INDEX('RFM input'!$G$115:$Q$164,$A1737,MATCH(E$6,'RFM input'!$G$60:$Q$60,0))))</f>
        <v>0</v>
      </c>
      <c r="F1737" s="1417">
        <f>IF(LEFT(F$6,4)&lt;LEFT('RFM input'!$G$60,4),"enter input",IF(LEFT(F$6,4)&gt;LEFT('RFM input'!$Q$60,4),0,
INDEX('RFM input'!$G$61:$Q$110,$A1737,MATCH(F$6,'RFM input'!$G$60:$Q$60,0))
   -INDEX('RFM input'!$G$115:$Q$164,$A1737,MATCH(F$6,'RFM input'!$G$60:$Q$60,0))))</f>
        <v>0</v>
      </c>
      <c r="G1737" s="1417">
        <f>IF(LEFT(G$6,4)&lt;LEFT('RFM input'!$G$60,4),"enter input",IF(LEFT(G$6,4)&gt;LEFT('RFM input'!$Q$60,4),0,
INDEX('RFM input'!$G$61:$Q$110,$A1737,MATCH(G$6,'RFM input'!$G$60:$Q$60,0))
   -INDEX('RFM input'!$G$115:$Q$164,$A1737,MATCH(G$6,'RFM input'!$G$60:$Q$60,0))))</f>
        <v>0</v>
      </c>
      <c r="H1737" s="1417">
        <f>IF(LEFT(H$6,4)&lt;LEFT('RFM input'!$G$60,4),"enter input",IF(LEFT(H$6,4)&gt;LEFT('RFM input'!$Q$60,4),0,
INDEX('RFM input'!$G$61:$Q$110,$A1737,MATCH(H$6,'RFM input'!$G$60:$Q$60,0))
   -INDEX('RFM input'!$G$115:$Q$164,$A1737,MATCH(H$6,'RFM input'!$G$60:$Q$60,0))))</f>
        <v>0</v>
      </c>
      <c r="I1737" s="1417">
        <f>IF(LEFT(I$6,4)&lt;LEFT('RFM input'!$G$60,4),"enter input",IF(LEFT(I$6,4)&gt;LEFT('RFM input'!$Q$60,4),0,
INDEX('RFM input'!$G$61:$Q$110,$A1737,MATCH(I$6,'RFM input'!$G$60:$Q$60,0))
   -INDEX('RFM input'!$G$115:$Q$164,$A1737,MATCH(I$6,'RFM input'!$G$60:$Q$60,0))))</f>
        <v>0</v>
      </c>
      <c r="J1737" s="1417">
        <f>IF(LEFT(J$6,4)&lt;LEFT('RFM input'!$G$60,4),"enter input",IF(LEFT(J$6,4)&gt;LEFT('RFM input'!$Q$60,4),0,
INDEX('RFM input'!$G$61:$Q$110,$A1737,MATCH(J$6,'RFM input'!$G$60:$Q$60,0))
   -INDEX('RFM input'!$G$115:$Q$164,$A1737,MATCH(J$6,'RFM input'!$G$60:$Q$60,0))))</f>
        <v>0</v>
      </c>
      <c r="K1737" s="1417">
        <f>IF(LEFT(K$6,4)&lt;LEFT('RFM input'!$G$60,4),"enter input",IF(LEFT(K$6,4)&gt;LEFT('RFM input'!$Q$60,4),0,
INDEX('RFM input'!$G$61:$Q$110,$A1737,MATCH(K$6,'RFM input'!$G$60:$Q$60,0))
   -INDEX('RFM input'!$G$115:$Q$164,$A1737,MATCH(K$6,'RFM input'!$G$60:$Q$60,0))))</f>
        <v>0</v>
      </c>
      <c r="L1737" s="1417">
        <f>IF(LEFT(L$6,4)&lt;LEFT('RFM input'!$G$60,4),"enter input",IF(LEFT(L$6,4)&gt;LEFT('RFM input'!$Q$60,4),0,
INDEX('RFM input'!$G$61:$Q$110,$A1737,MATCH(L$6,'RFM input'!$G$60:$Q$60,0))
   -INDEX('RFM input'!$G$115:$Q$164,$A1737,MATCH(L$6,'RFM input'!$G$60:$Q$60,0))))</f>
        <v>0</v>
      </c>
      <c r="M1737" s="1417">
        <f>IF(LEFT(M$6,4)&lt;LEFT('RFM input'!$G$60,4),"enter input",IF(LEFT(M$6,4)&gt;LEFT('RFM input'!$Q$60,4),0,
INDEX('RFM input'!$G$61:$Q$110,$A1737,MATCH(M$6,'RFM input'!$G$60:$Q$60,0))
   -INDEX('RFM input'!$G$115:$Q$164,$A1737,MATCH(M$6,'RFM input'!$G$60:$Q$60,0))))</f>
        <v>0</v>
      </c>
      <c r="N1737" s="1417">
        <f>IF(LEFT(N$6,4)&lt;LEFT('RFM input'!$G$60,4),"enter input",IF(LEFT(N$6,4)&gt;LEFT('RFM input'!$Q$60,4),0,
INDEX('RFM input'!$G$61:$Q$110,$A1737,MATCH(N$6,'RFM input'!$G$60:$Q$60,0))
   -INDEX('RFM input'!$G$115:$Q$164,$A1737,MATCH(N$6,'RFM input'!$G$60:$Q$60,0))))</f>
        <v>0</v>
      </c>
      <c r="O1737" s="1417">
        <f>IF(LEFT(O$6,4)&lt;LEFT('RFM input'!$G$60,4),"enter input",IF(LEFT(O$6,4)&gt;LEFT('RFM input'!$Q$60,4),0,
INDEX('RFM input'!$G$61:$Q$110,$A1737,MATCH(O$6,'RFM input'!$G$60:$Q$60,0))
   -INDEX('RFM input'!$G$115:$Q$164,$A1737,MATCH(O$6,'RFM input'!$G$60:$Q$60,0))))</f>
        <v>0</v>
      </c>
      <c r="P1737" s="1417">
        <f>IF(LEFT(P$6,4)&lt;LEFT('RFM input'!$G$60,4),"enter input",IF(LEFT(P$6,4)&gt;LEFT('RFM input'!$Q$60,4),0,
INDEX('RFM input'!$G$61:$Q$110,$A1737,MATCH(P$6,'RFM input'!$G$60:$Q$60,0))
   -INDEX('RFM input'!$G$115:$Q$164,$A1737,MATCH(P$6,'RFM input'!$G$60:$Q$60,0))))</f>
        <v>0</v>
      </c>
      <c r="Q1737" s="1417">
        <f>IF(LEFT(Q$6,4)&lt;LEFT('RFM input'!$G$60,4),"enter input",IF(LEFT(Q$6,4)&gt;LEFT('RFM input'!$Q$60,4),0,
INDEX('RFM input'!$G$61:$Q$110,$A1737,MATCH(Q$6,'RFM input'!$G$60:$Q$60,0))
   -INDEX('RFM input'!$G$115:$Q$164,$A1737,MATCH(Q$6,'RFM input'!$G$60:$Q$60,0))))</f>
        <v>0</v>
      </c>
      <c r="R1737" s="1417">
        <f>IF(LEFT(R$6,4)&lt;LEFT('RFM input'!$G$60,4),"enter input",IF(LEFT(R$6,4)&gt;LEFT('RFM input'!$Q$60,4),0,
INDEX('RFM input'!$G$61:$Q$110,$A1737,MATCH(R$6,'RFM input'!$G$60:$Q$60,0))
   -INDEX('RFM input'!$G$115:$Q$164,$A1737,MATCH(R$6,'RFM input'!$G$60:$Q$60,0))))</f>
        <v>0</v>
      </c>
      <c r="S1737" s="1417">
        <f>IF(LEFT(S$6,4)&lt;LEFT('RFM input'!$G$60,4),"enter input",IF(LEFT(S$6,4)&gt;LEFT('RFM input'!$Q$60,4),0,
INDEX('RFM input'!$G$61:$Q$110,$A1737,MATCH(S$6,'RFM input'!$G$60:$Q$60,0))
   -INDEX('RFM input'!$G$115:$Q$164,$A1737,MATCH(S$6,'RFM input'!$G$60:$Q$60,0))))</f>
        <v>0</v>
      </c>
      <c r="T1737" s="1417">
        <f>IF(LEFT(T$6,4)&lt;LEFT('RFM input'!$G$60,4),"enter input",IF(LEFT(T$6,4)&gt;LEFT('RFM input'!$Q$60,4),0,
INDEX('RFM input'!$G$61:$Q$110,$A1737,MATCH(T$6,'RFM input'!$G$60:$Q$60,0))
   -INDEX('RFM input'!$G$115:$Q$164,$A1737,MATCH(T$6,'RFM input'!$G$60:$Q$60,0))))</f>
        <v>0</v>
      </c>
      <c r="U1737" s="1417">
        <f>IF(LEFT(U$6,4)&lt;LEFT('RFM input'!$G$60,4),"enter input",IF(LEFT(U$6,4)&gt;LEFT('RFM input'!$Q$60,4),0,
INDEX('RFM input'!$G$61:$Q$110,$A1737,MATCH(U$6,'RFM input'!$G$60:$Q$60,0))
   -INDEX('RFM input'!$G$115:$Q$164,$A1737,MATCH(U$6,'RFM input'!$G$60:$Q$60,0))))</f>
        <v>0</v>
      </c>
      <c r="V1737" s="1417">
        <f>IF(LEFT(V$6,4)&lt;LEFT('RFM input'!$G$60,4),"enter input",IF(LEFT(V$6,4)&gt;LEFT('RFM input'!$Q$60,4),0,
INDEX('RFM input'!$G$61:$Q$110,$A1737,MATCH(V$6,'RFM input'!$G$60:$Q$60,0))
   -INDEX('RFM input'!$G$115:$Q$164,$A1737,MATCH(V$6,'RFM input'!$G$60:$Q$60,0))))</f>
        <v>0</v>
      </c>
      <c r="W1737" s="1417">
        <f>IF(LEFT(W$6,4)&lt;LEFT('RFM input'!$G$60,4),"enter input",IF(LEFT(W$6,4)&gt;LEFT('RFM input'!$Q$60,4),0,
INDEX('RFM input'!$G$61:$Q$110,$A1737,MATCH(W$6,'RFM input'!$G$60:$Q$60,0))
   -INDEX('RFM input'!$G$115:$Q$164,$A1737,MATCH(W$6,'RFM input'!$G$60:$Q$60,0))))</f>
        <v>0</v>
      </c>
      <c r="X1737" s="152"/>
      <c r="Y1737" s="152"/>
      <c r="Z1737" s="152"/>
      <c r="AA1737" s="152"/>
      <c r="AB1737" s="152"/>
    </row>
    <row r="1738" spans="1:28">
      <c r="A1738" s="152"/>
      <c r="B1738" s="152" t="s">
        <v>205</v>
      </c>
      <c r="C1738" s="1418">
        <f ca="1">IF($D$6='TAB roll forward'!$H$4,OFFSET('RFM input'!$S$6,$A1737,0),"enter input")</f>
        <v>0</v>
      </c>
      <c r="D1738" s="1417">
        <f>IF(LEFT(D$6,4)&lt;=LEFT('RFM input'!$G$60,4),"enter input",IF(LEFT(D$6,4)&gt;LEFT('RFM input'!$Q$60,4),0,
IF(MATCH(D$6,'RFM input'!$H$60:$Q$60,0),INDEX('RFM input'!$T$7:$T$56,$A1737,1,1))))</f>
        <v>0</v>
      </c>
      <c r="E1738" s="1417">
        <f>IF(LEFT(E$6,4)&lt;=LEFT('RFM input'!$G$60,4),"enter input",IF(LEFT(E$6,4)&gt;LEFT('RFM input'!$Q$60,4),0,
IF(MATCH(E$6,'RFM input'!$H$60:$Q$60,0),INDEX('RFM input'!$T$7:$T$56,$A1737,1,1))))</f>
        <v>0</v>
      </c>
      <c r="F1738" s="1417">
        <f>IF(LEFT(F$6,4)&lt;=LEFT('RFM input'!$G$60,4),"enter input",IF(LEFT(F$6,4)&gt;LEFT('RFM input'!$Q$60,4),0,
IF(MATCH(F$6,'RFM input'!$H$60:$Q$60,0),INDEX('RFM input'!$T$7:$T$56,$A1737,1,1))))</f>
        <v>0</v>
      </c>
      <c r="G1738" s="1417">
        <f>IF(LEFT(G$6,4)&lt;=LEFT('RFM input'!$G$60,4),"enter input",IF(LEFT(G$6,4)&gt;LEFT('RFM input'!$Q$60,4),0,
IF(MATCH(G$6,'RFM input'!$H$60:$Q$60,0),INDEX('RFM input'!$T$7:$T$56,$A1737,1,1))))</f>
        <v>0</v>
      </c>
      <c r="H1738" s="1417">
        <f>IF(LEFT(H$6,4)&lt;=LEFT('RFM input'!$G$60,4),"enter input",IF(LEFT(H$6,4)&gt;LEFT('RFM input'!$Q$60,4),0,
IF(MATCH(H$6,'RFM input'!$H$60:$Q$60,0),INDEX('RFM input'!$T$7:$T$56,$A1737,1,1))))</f>
        <v>0</v>
      </c>
      <c r="I1738" s="1417">
        <f>IF(LEFT(I$6,4)&lt;=LEFT('RFM input'!$G$60,4),"enter input",IF(LEFT(I$6,4)&gt;LEFT('RFM input'!$Q$60,4),0,
IF(MATCH(I$6,'RFM input'!$H$60:$Q$60,0),INDEX('RFM input'!$T$7:$T$56,$A1737,1,1))))</f>
        <v>0</v>
      </c>
      <c r="J1738" s="1417">
        <f>IF(LEFT(J$6,4)&lt;=LEFT('RFM input'!$G$60,4),"enter input",IF(LEFT(J$6,4)&gt;LEFT('RFM input'!$Q$60,4),0,
IF(MATCH(J$6,'RFM input'!$H$60:$Q$60,0),INDEX('RFM input'!$T$7:$T$56,$A1737,1,1))))</f>
        <v>0</v>
      </c>
      <c r="K1738" s="1417">
        <f>IF(LEFT(K$6,4)&lt;=LEFT('RFM input'!$G$60,4),"enter input",IF(LEFT(K$6,4)&gt;LEFT('RFM input'!$Q$60,4),0,
IF(MATCH(K$6,'RFM input'!$H$60:$Q$60,0),INDEX('RFM input'!$T$7:$T$56,$A1737,1,1))))</f>
        <v>0</v>
      </c>
      <c r="L1738" s="1417">
        <f>IF(LEFT(L$6,4)&lt;=LEFT('RFM input'!$G$60,4),"enter input",IF(LEFT(L$6,4)&gt;LEFT('RFM input'!$Q$60,4),0,
IF(MATCH(L$6,'RFM input'!$H$60:$Q$60,0),INDEX('RFM input'!$T$7:$T$56,$A1737,1,1))))</f>
        <v>0</v>
      </c>
      <c r="M1738" s="1417">
        <f>IF(LEFT(M$6,4)&lt;=LEFT('RFM input'!$G$60,4),"enter input",IF(LEFT(M$6,4)&gt;LEFT('RFM input'!$Q$60,4),0,
IF(MATCH(M$6,'RFM input'!$H$60:$Q$60,0),INDEX('RFM input'!$T$7:$T$56,$A1737,1,1))))</f>
        <v>0</v>
      </c>
      <c r="N1738" s="1417">
        <f>IF(LEFT(N$6,4)&lt;=LEFT('RFM input'!$G$60,4),"enter input",IF(LEFT(N$6,4)&gt;LEFT('RFM input'!$Q$60,4),0,
IF(MATCH(N$6,'RFM input'!$H$60:$Q$60,0),INDEX('RFM input'!$T$7:$T$56,$A1737,1,1))))</f>
        <v>0</v>
      </c>
      <c r="O1738" s="1417">
        <f>IF(LEFT(O$6,4)&lt;=LEFT('RFM input'!$G$60,4),"enter input",IF(LEFT(O$6,4)&gt;LEFT('RFM input'!$Q$60,4),0,
IF(MATCH(O$6,'RFM input'!$H$60:$Q$60,0),INDEX('RFM input'!$T$7:$T$56,$A1737,1,1))))</f>
        <v>0</v>
      </c>
      <c r="P1738" s="1417">
        <f>IF(LEFT(P$6,4)&lt;=LEFT('RFM input'!$G$60,4),"enter input",IF(LEFT(P$6,4)&gt;LEFT('RFM input'!$Q$60,4),0,
IF(MATCH(P$6,'RFM input'!$H$60:$Q$60,0),INDEX('RFM input'!$T$7:$T$56,$A1737,1,1))))</f>
        <v>0</v>
      </c>
      <c r="Q1738" s="1417">
        <f>IF(LEFT(Q$6,4)&lt;=LEFT('RFM input'!$G$60,4),"enter input",IF(LEFT(Q$6,4)&gt;LEFT('RFM input'!$Q$60,4),0,
IF(MATCH(Q$6,'RFM input'!$H$60:$Q$60,0),INDEX('RFM input'!$T$7:$T$56,$A1737,1,1))))</f>
        <v>0</v>
      </c>
      <c r="R1738" s="1417">
        <f>IF(LEFT(R$6,4)&lt;=LEFT('RFM input'!$G$60,4),"enter input",IF(LEFT(R$6,4)&gt;LEFT('RFM input'!$Q$60,4),0,
IF(MATCH(R$6,'RFM input'!$H$60:$Q$60,0),INDEX('RFM input'!$T$7:$T$56,$A1737,1,1))))</f>
        <v>0</v>
      </c>
      <c r="S1738" s="1417">
        <f>IF(LEFT(S$6,4)&lt;=LEFT('RFM input'!$G$60,4),"enter input",IF(LEFT(S$6,4)&gt;LEFT('RFM input'!$Q$60,4),0,
IF(MATCH(S$6,'RFM input'!$H$60:$Q$60,0),INDEX('RFM input'!$T$7:$T$56,$A1737,1,1))))</f>
        <v>0</v>
      </c>
      <c r="T1738" s="1417">
        <f>IF(LEFT(T$6,4)&lt;=LEFT('RFM input'!$G$60,4),"enter input",IF(LEFT(T$6,4)&gt;LEFT('RFM input'!$Q$60,4),0,
IF(MATCH(T$6,'RFM input'!$H$60:$Q$60,0),INDEX('RFM input'!$T$7:$T$56,$A1737,1,1))))</f>
        <v>0</v>
      </c>
      <c r="U1738" s="1417">
        <f>IF(LEFT(U$6,4)&lt;=LEFT('RFM input'!$G$60,4),"enter input",IF(LEFT(U$6,4)&gt;LEFT('RFM input'!$Q$60,4),0,
IF(MATCH(U$6,'RFM input'!$H$60:$Q$60,0),INDEX('RFM input'!$T$7:$T$56,$A1737,1,1))))</f>
        <v>0</v>
      </c>
      <c r="V1738" s="1417">
        <f>IF(LEFT(V$6,4)&lt;=LEFT('RFM input'!$G$60,4),"enter input",IF(LEFT(V$6,4)&gt;LEFT('RFM input'!$Q$60,4),0,
IF(MATCH(V$6,'RFM input'!$H$60:$Q$60,0),INDEX('RFM input'!$T$7:$T$56,$A1737,1,1))))</f>
        <v>0</v>
      </c>
      <c r="W1738" s="1417">
        <f>IF(LEFT(W$6,4)&lt;=LEFT('RFM input'!$G$60,4),"enter input",IF(LEFT(W$6,4)&gt;LEFT('RFM input'!$Q$60,4),0,
IF(MATCH(W$6,'RFM input'!$H$60:$Q$60,0),INDEX('RFM input'!$T$7:$T$56,$A1737,1,1))))</f>
        <v>0</v>
      </c>
      <c r="X1738" s="152"/>
      <c r="Y1738" s="152"/>
      <c r="Z1738" s="152"/>
      <c r="AA1738" s="152"/>
      <c r="AB1738" s="152"/>
    </row>
    <row r="1739" spans="1:28">
      <c r="A1739" s="152"/>
      <c r="B1739" s="193" t="s">
        <v>192</v>
      </c>
      <c r="C1739" s="1419"/>
      <c r="D1739" s="1420">
        <f ca="1">IF(LEFT(D$6,4)&lt;=LEFT('RFM input'!$G$60,4),"enter input",IF(LEFT(D$6,4)&gt;LEFT('RFM input'!$Q$60,4),0,
IF(D$6=(OFFSET('RFM input'!$G$60,0,'RFM input'!$V$7)),OFFSET('RFM input'!$H$411,$A1737,0),0)))</f>
        <v>0</v>
      </c>
      <c r="E1739" s="1417">
        <f ca="1">IF(LEFT(E$6,4)&lt;=LEFT('RFM input'!$G$60,4),"enter input",IF(LEFT(E$6,4)&gt;LEFT('RFM input'!$Q$60,4),0,
IF(E$6=(OFFSET('RFM input'!$G$60,0,'RFM input'!$V$7)),OFFSET('RFM input'!$H$411,$A1737,0),0)))</f>
        <v>0</v>
      </c>
      <c r="F1739" s="1417">
        <f ca="1">IF(LEFT(F$6,4)&lt;=LEFT('RFM input'!$G$60,4),"enter input",IF(LEFT(F$6,4)&gt;LEFT('RFM input'!$Q$60,4),0,
IF(F$6=(OFFSET('RFM input'!$G$60,0,'RFM input'!$V$7)),OFFSET('RFM input'!$H$411,$A1737,0),0)))</f>
        <v>0</v>
      </c>
      <c r="G1739" s="1417">
        <f ca="1">IF(LEFT(G$6,4)&lt;=LEFT('RFM input'!$G$60,4),"enter input",IF(LEFT(G$6,4)&gt;LEFT('RFM input'!$Q$60,4),0,
IF(G$6=(OFFSET('RFM input'!$G$60,0,'RFM input'!$V$7)),OFFSET('RFM input'!$H$411,$A1737,0),0)))</f>
        <v>0</v>
      </c>
      <c r="H1739" s="1417">
        <f ca="1">IF(LEFT(H$6,4)&lt;=LEFT('RFM input'!$G$60,4),"enter input",IF(LEFT(H$6,4)&gt;LEFT('RFM input'!$Q$60,4),0,
IF(H$6=(OFFSET('RFM input'!$G$60,0,'RFM input'!$V$7)),OFFSET('RFM input'!$H$411,$A1737,0),0)))</f>
        <v>0</v>
      </c>
      <c r="I1739" s="1417">
        <f ca="1">IF(LEFT(I$6,4)&lt;=LEFT('RFM input'!$G$60,4),"enter input",IF(LEFT(I$6,4)&gt;LEFT('RFM input'!$Q$60,4),0,
IF(I$6=(OFFSET('RFM input'!$G$60,0,'RFM input'!$V$7)),OFFSET('RFM input'!$H$411,$A1737,0),0)))</f>
        <v>0</v>
      </c>
      <c r="J1739" s="1417">
        <f ca="1">IF(LEFT(J$6,4)&lt;=LEFT('RFM input'!$G$60,4),"enter input",IF(LEFT(J$6,4)&gt;LEFT('RFM input'!$Q$60,4),0,
IF(J$6=(OFFSET('RFM input'!$G$60,0,'RFM input'!$V$7)),OFFSET('RFM input'!$H$411,$A1737,0),0)))</f>
        <v>0</v>
      </c>
      <c r="K1739" s="1417">
        <f ca="1">IF(LEFT(K$6,4)&lt;=LEFT('RFM input'!$G$60,4),"enter input",IF(LEFT(K$6,4)&gt;LEFT('RFM input'!$Q$60,4),0,
IF(K$6=(OFFSET('RFM input'!$G$60,0,'RFM input'!$V$7)),OFFSET('RFM input'!$H$411,$A1737,0),0)))</f>
        <v>0</v>
      </c>
      <c r="L1739" s="1417">
        <f ca="1">IF(LEFT(L$6,4)&lt;=LEFT('RFM input'!$G$60,4),"enter input",IF(LEFT(L$6,4)&gt;LEFT('RFM input'!$Q$60,4),0,
IF(L$6=(OFFSET('RFM input'!$G$60,0,'RFM input'!$V$7)),OFFSET('RFM input'!$H$411,$A1737,0),0)))</f>
        <v>0</v>
      </c>
      <c r="M1739" s="1417">
        <f ca="1">IF(LEFT(M$6,4)&lt;=LEFT('RFM input'!$G$60,4),"enter input",IF(LEFT(M$6,4)&gt;LEFT('RFM input'!$Q$60,4),0,
IF(M$6=(OFFSET('RFM input'!$G$60,0,'RFM input'!$V$7)),OFFSET('RFM input'!$H$411,$A1737,0),0)))</f>
        <v>0</v>
      </c>
      <c r="N1739" s="1417">
        <f ca="1">IF(LEFT(N$6,4)&lt;=LEFT('RFM input'!$G$60,4),"enter input",IF(LEFT(N$6,4)&gt;LEFT('RFM input'!$Q$60,4),0,
IF(N$6=(OFFSET('RFM input'!$G$60,0,'RFM input'!$V$7)),OFFSET('RFM input'!$H$411,$A1737,0),0)))</f>
        <v>0</v>
      </c>
      <c r="O1739" s="1417">
        <f ca="1">IF(LEFT(O$6,4)&lt;=LEFT('RFM input'!$G$60,4),"enter input",IF(LEFT(O$6,4)&gt;LEFT('RFM input'!$Q$60,4),0,
IF(O$6=(OFFSET('RFM input'!$G$60,0,'RFM input'!$V$7)),OFFSET('RFM input'!$H$411,$A1737,0),0)))</f>
        <v>0</v>
      </c>
      <c r="P1739" s="1417">
        <f ca="1">IF(LEFT(P$6,4)&lt;=LEFT('RFM input'!$G$60,4),"enter input",IF(LEFT(P$6,4)&gt;LEFT('RFM input'!$Q$60,4),0,
IF(P$6=(OFFSET('RFM input'!$G$60,0,'RFM input'!$V$7)),OFFSET('RFM input'!$H$411,$A1737,0),0)))</f>
        <v>0</v>
      </c>
      <c r="Q1739" s="1417">
        <f ca="1">IF(LEFT(Q$6,4)&lt;=LEFT('RFM input'!$G$60,4),"enter input",IF(LEFT(Q$6,4)&gt;LEFT('RFM input'!$Q$60,4),0,
IF(Q$6=(OFFSET('RFM input'!$G$60,0,'RFM input'!$V$7)),OFFSET('RFM input'!$H$411,$A1737,0),0)))</f>
        <v>0</v>
      </c>
      <c r="R1739" s="1417">
        <f ca="1">IF(LEFT(R$6,4)&lt;=LEFT('RFM input'!$G$60,4),"enter input",IF(LEFT(R$6,4)&gt;LEFT('RFM input'!$Q$60,4),0,
IF(R$6=(OFFSET('RFM input'!$G$60,0,'RFM input'!$V$7)),OFFSET('RFM input'!$H$411,$A1737,0),0)))</f>
        <v>0</v>
      </c>
      <c r="S1739" s="1417">
        <f ca="1">IF(LEFT(S$6,4)&lt;=LEFT('RFM input'!$G$60,4),"enter input",IF(LEFT(S$6,4)&gt;LEFT('RFM input'!$Q$60,4),0,
IF(S$6=(OFFSET('RFM input'!$G$60,0,'RFM input'!$V$7)),OFFSET('RFM input'!$H$411,$A1737,0),0)))</f>
        <v>0</v>
      </c>
      <c r="T1739" s="1417">
        <f ca="1">IF(LEFT(T$6,4)&lt;=LEFT('RFM input'!$G$60,4),"enter input",IF(LEFT(T$6,4)&gt;LEFT('RFM input'!$Q$60,4),0,
IF(T$6=(OFFSET('RFM input'!$G$60,0,'RFM input'!$V$7)),OFFSET('RFM input'!$H$411,$A1737,0),0)))</f>
        <v>0</v>
      </c>
      <c r="U1739" s="1417">
        <f ca="1">IF(LEFT(U$6,4)&lt;=LEFT('RFM input'!$G$60,4),"enter input",IF(LEFT(U$6,4)&gt;LEFT('RFM input'!$Q$60,4),0,
IF(U$6=(OFFSET('RFM input'!$G$60,0,'RFM input'!$V$7)),OFFSET('RFM input'!$H$411,$A1737,0),0)))</f>
        <v>0</v>
      </c>
      <c r="V1739" s="1417">
        <f ca="1">IF(LEFT(V$6,4)&lt;=LEFT('RFM input'!$G$60,4),"enter input",IF(LEFT(V$6,4)&gt;LEFT('RFM input'!$Q$60,4),0,
IF(V$6=(OFFSET('RFM input'!$G$60,0,'RFM input'!$V$7)),OFFSET('RFM input'!$H$411,$A1737,0),0)))</f>
        <v>0</v>
      </c>
      <c r="W1739" s="1417">
        <f ca="1">IF(LEFT(W$6,4)&lt;=LEFT('RFM input'!$G$60,4),"enter input",IF(LEFT(W$6,4)&gt;LEFT('RFM input'!$Q$60,4),0,
IF(W$6=(OFFSET('RFM input'!$G$60,0,'RFM input'!$V$7)),OFFSET('RFM input'!$H$411,$A1737,0),0)))</f>
        <v>0</v>
      </c>
      <c r="X1739" s="152"/>
      <c r="Y1739" s="152"/>
      <c r="Z1739" s="152"/>
      <c r="AA1739" s="152"/>
      <c r="AB1739" s="152"/>
    </row>
    <row r="1740" spans="1:28">
      <c r="A1740" s="152"/>
      <c r="B1740" s="193" t="s">
        <v>200</v>
      </c>
      <c r="C1740" s="1419"/>
      <c r="D1740" s="1418">
        <f ca="1">IF(LEFT(D$6,4)&lt;=LEFT('RFM input'!$G$60,4),"enter input",IF(LEFT(D$6,4)&gt;LEFT('RFM input'!$Q$60,4),0,
IF(D$6=(OFFSET('RFM input'!$G$60,0,'RFM input'!$V$7)),OFFSET('RFM input'!$J$411,$A1737,0),0)))</f>
        <v>0</v>
      </c>
      <c r="E1740" s="1422">
        <f ca="1">IF(LEFT(E$6,4)&lt;=LEFT('RFM input'!$G$60,4),"enter input",IF(LEFT(E$6,4)&gt;LEFT('RFM input'!$Q$60,4),0,
IF(E$6=(OFFSET('RFM input'!$G$60,0,'RFM input'!$V$7)),OFFSET('RFM input'!$J$411,$A1737,0),0)))</f>
        <v>0</v>
      </c>
      <c r="F1740" s="1422">
        <f ca="1">IF(LEFT(F$6,4)&lt;=LEFT('RFM input'!$G$60,4),"enter input",IF(LEFT(F$6,4)&gt;LEFT('RFM input'!$Q$60,4),0,
IF(F$6=(OFFSET('RFM input'!$G$60,0,'RFM input'!$V$7)),OFFSET('RFM input'!$J$411,$A1737,0),0)))</f>
        <v>0</v>
      </c>
      <c r="G1740" s="1422">
        <f ca="1">IF(LEFT(G$6,4)&lt;=LEFT('RFM input'!$G$60,4),"enter input",IF(LEFT(G$6,4)&gt;LEFT('RFM input'!$Q$60,4),0,
IF(G$6=(OFFSET('RFM input'!$G$60,0,'RFM input'!$V$7)),OFFSET('RFM input'!$J$411,$A1737,0),0)))</f>
        <v>0</v>
      </c>
      <c r="H1740" s="1422">
        <f ca="1">IF(LEFT(H$6,4)&lt;=LEFT('RFM input'!$G$60,4),"enter input",IF(LEFT(H$6,4)&gt;LEFT('RFM input'!$Q$60,4),0,
IF(H$6=(OFFSET('RFM input'!$G$60,0,'RFM input'!$V$7)),OFFSET('RFM input'!$J$411,$A1737,0),0)))</f>
        <v>0</v>
      </c>
      <c r="I1740" s="1422">
        <f ca="1">IF(LEFT(I$6,4)&lt;=LEFT('RFM input'!$G$60,4),"enter input",IF(LEFT(I$6,4)&gt;LEFT('RFM input'!$Q$60,4),0,
IF(I$6=(OFFSET('RFM input'!$G$60,0,'RFM input'!$V$7)),OFFSET('RFM input'!$J$411,$A1737,0),0)))</f>
        <v>0</v>
      </c>
      <c r="J1740" s="1422">
        <f ca="1">IF(LEFT(J$6,4)&lt;=LEFT('RFM input'!$G$60,4),"enter input",IF(LEFT(J$6,4)&gt;LEFT('RFM input'!$Q$60,4),0,
IF(J$6=(OFFSET('RFM input'!$G$60,0,'RFM input'!$V$7)),OFFSET('RFM input'!$J$411,$A1737,0),0)))</f>
        <v>0</v>
      </c>
      <c r="K1740" s="1422">
        <f ca="1">IF(LEFT(K$6,4)&lt;=LEFT('RFM input'!$G$60,4),"enter input",IF(LEFT(K$6,4)&gt;LEFT('RFM input'!$Q$60,4),0,
IF(K$6=(OFFSET('RFM input'!$G$60,0,'RFM input'!$V$7)),OFFSET('RFM input'!$J$411,$A1737,0),0)))</f>
        <v>0</v>
      </c>
      <c r="L1740" s="1422">
        <f ca="1">IF(LEFT(L$6,4)&lt;=LEFT('RFM input'!$G$60,4),"enter input",IF(LEFT(L$6,4)&gt;LEFT('RFM input'!$Q$60,4),0,
IF(L$6=(OFFSET('RFM input'!$G$60,0,'RFM input'!$V$7)),OFFSET('RFM input'!$J$411,$A1737,0),0)))</f>
        <v>0</v>
      </c>
      <c r="M1740" s="1422">
        <f ca="1">IF(LEFT(M$6,4)&lt;=LEFT('RFM input'!$G$60,4),"enter input",IF(LEFT(M$6,4)&gt;LEFT('RFM input'!$Q$60,4),0,
IF(M$6=(OFFSET('RFM input'!$G$60,0,'RFM input'!$V$7)),OFFSET('RFM input'!$J$411,$A1737,0),0)))</f>
        <v>0</v>
      </c>
      <c r="N1740" s="1422">
        <f ca="1">IF(LEFT(N$6,4)&lt;=LEFT('RFM input'!$G$60,4),"enter input",IF(LEFT(N$6,4)&gt;LEFT('RFM input'!$Q$60,4),0,
IF(N$6=(OFFSET('RFM input'!$G$60,0,'RFM input'!$V$7)),OFFSET('RFM input'!$J$411,$A1737,0),0)))</f>
        <v>0</v>
      </c>
      <c r="O1740" s="1422">
        <f ca="1">IF(LEFT(O$6,4)&lt;=LEFT('RFM input'!$G$60,4),"enter input",IF(LEFT(O$6,4)&gt;LEFT('RFM input'!$Q$60,4),0,
IF(O$6=(OFFSET('RFM input'!$G$60,0,'RFM input'!$V$7)),OFFSET('RFM input'!$J$411,$A1737,0),0)))</f>
        <v>0</v>
      </c>
      <c r="P1740" s="1422">
        <f ca="1">IF(LEFT(P$6,4)&lt;=LEFT('RFM input'!$G$60,4),"enter input",IF(LEFT(P$6,4)&gt;LEFT('RFM input'!$Q$60,4),0,
IF(P$6=(OFFSET('RFM input'!$G$60,0,'RFM input'!$V$7)),OFFSET('RFM input'!$J$411,$A1737,0),0)))</f>
        <v>0</v>
      </c>
      <c r="Q1740" s="1422">
        <f ca="1">IF(LEFT(Q$6,4)&lt;=LEFT('RFM input'!$G$60,4),"enter input",IF(LEFT(Q$6,4)&gt;LEFT('RFM input'!$Q$60,4),0,
IF(Q$6=(OFFSET('RFM input'!$G$60,0,'RFM input'!$V$7)),OFFSET('RFM input'!$J$411,$A1737,0),0)))</f>
        <v>0</v>
      </c>
      <c r="R1740" s="1422">
        <f ca="1">IF(LEFT(R$6,4)&lt;=LEFT('RFM input'!$G$60,4),"enter input",IF(LEFT(R$6,4)&gt;LEFT('RFM input'!$Q$60,4),0,
IF(R$6=(OFFSET('RFM input'!$G$60,0,'RFM input'!$V$7)),OFFSET('RFM input'!$J$411,$A1737,0),0)))</f>
        <v>0</v>
      </c>
      <c r="S1740" s="1422">
        <f ca="1">IF(LEFT(S$6,4)&lt;=LEFT('RFM input'!$G$60,4),"enter input",IF(LEFT(S$6,4)&gt;LEFT('RFM input'!$Q$60,4),0,
IF(S$6=(OFFSET('RFM input'!$G$60,0,'RFM input'!$V$7)),OFFSET('RFM input'!$J$411,$A1737,0),0)))</f>
        <v>0</v>
      </c>
      <c r="T1740" s="1422">
        <f ca="1">IF(LEFT(T$6,4)&lt;=LEFT('RFM input'!$G$60,4),"enter input",IF(LEFT(T$6,4)&gt;LEFT('RFM input'!$Q$60,4),0,
IF(T$6=(OFFSET('RFM input'!$G$60,0,'RFM input'!$V$7)),OFFSET('RFM input'!$J$411,$A1737,0),0)))</f>
        <v>0</v>
      </c>
      <c r="U1740" s="1422">
        <f ca="1">IF(LEFT(U$6,4)&lt;=LEFT('RFM input'!$G$60,4),"enter input",IF(LEFT(U$6,4)&gt;LEFT('RFM input'!$Q$60,4),0,
IF(U$6=(OFFSET('RFM input'!$G$60,0,'RFM input'!$V$7)),OFFSET('RFM input'!$J$411,$A1737,0),0)))</f>
        <v>0</v>
      </c>
      <c r="V1740" s="1422">
        <f ca="1">IF(LEFT(V$6,4)&lt;=LEFT('RFM input'!$G$60,4),"enter input",IF(LEFT(V$6,4)&gt;LEFT('RFM input'!$Q$60,4),0,
IF(V$6=(OFFSET('RFM input'!$G$60,0,'RFM input'!$V$7)),OFFSET('RFM input'!$J$411,$A1737,0),0)))</f>
        <v>0</v>
      </c>
      <c r="W1740" s="1422">
        <f ca="1">IF(LEFT(W$6,4)&lt;=LEFT('RFM input'!$G$60,4),"enter input",IF(LEFT(W$6,4)&gt;LEFT('RFM input'!$Q$60,4),0,
IF(W$6=(OFFSET('RFM input'!$G$60,0,'RFM input'!$V$7)),OFFSET('RFM input'!$J$411,$A1737,0),0)))</f>
        <v>0</v>
      </c>
      <c r="X1740" s="152"/>
      <c r="Y1740" s="152"/>
      <c r="Z1740" s="152"/>
      <c r="AA1740" s="152"/>
      <c r="AB1740" s="152"/>
    </row>
    <row r="1741" spans="1:28" hidden="1" outlineLevel="1">
      <c r="A1741" s="235">
        <v>-1</v>
      </c>
      <c r="B1741" s="190" t="s">
        <v>195</v>
      </c>
      <c r="C1741" s="1423"/>
      <c r="D1741" s="1423">
        <f t="shared" ref="D1741" ca="1" si="2512">IF(AND(D1739=0,C1741=0),0,
IF(AND(D1739&lt;&gt;0,C1741=0),D1739,
IF(AND(D1740&lt;&gt;0,C1741&lt;&gt;0),(C1741-(C1741/C1765))+D1739,
IF(C1765&lt;1,0,(C1741-(C1741/C1765))))))</f>
        <v>0</v>
      </c>
      <c r="E1741" s="1423">
        <f t="shared" ref="E1741" ca="1" si="2513">IF(AND(E1739=0,D1741=0),0,
IF(AND(E1739&lt;&gt;0,D1741=0),E1739,
IF(AND(E1740&lt;&gt;0,D1741&lt;&gt;0),(D1741-(D1741/D1765))+E1739,
IF(D1765&lt;1,0,(D1741-(D1741/D1765))))))</f>
        <v>0</v>
      </c>
      <c r="F1741" s="1423">
        <f t="shared" ref="F1741" ca="1" si="2514">IF(AND(F1739=0,E1741=0),0,
IF(AND(F1739&lt;&gt;0,E1741=0),F1739,
IF(AND(F1740&lt;&gt;0,E1741&lt;&gt;0),(E1741-(E1741/E1765))+F1739,
IF(E1765&lt;1,0,(E1741-(E1741/E1765))))))</f>
        <v>0</v>
      </c>
      <c r="G1741" s="1423">
        <f t="shared" ref="G1741" ca="1" si="2515">IF(AND(G1739=0,F1741=0),0,
IF(AND(G1739&lt;&gt;0,F1741=0),G1739,
IF(AND(G1740&lt;&gt;0,F1741&lt;&gt;0),(F1741-(F1741/F1765))+G1739,
IF(F1765&lt;1,0,(F1741-(F1741/F1765))))))</f>
        <v>0</v>
      </c>
      <c r="H1741" s="1423">
        <f ca="1">IF(AND(H1739=0,G1741=0),0,
IF(AND(H1739&lt;&gt;0,G1741=0),H1739,
IF(AND(H1740&lt;&gt;0,G1741&lt;&gt;0),(G1741-(G1741/G1765))+H1739,
IF(G1765&lt;1,0,(G1741-(G1741/G1765))))))</f>
        <v>0</v>
      </c>
      <c r="I1741" s="1423">
        <f t="shared" ref="I1741" ca="1" si="2516">IF(AND(I1739=0,H1741=0),0,
IF(AND(I1739&lt;&gt;0,H1741=0),I1739,
IF(AND(I1740&lt;&gt;0,H1741&lt;&gt;0),(H1741-(H1741/H1765))+I1739,
IF(H1765&lt;1,0,(H1741-(H1741/H1765))))))</f>
        <v>0</v>
      </c>
      <c r="J1741" s="1423">
        <f t="shared" ref="J1741" ca="1" si="2517">IF(AND(J1739=0,I1741=0),0,
IF(AND(J1739&lt;&gt;0,I1741=0),J1739,
IF(AND(J1740&lt;&gt;0,I1741&lt;&gt;0),(I1741-(I1741/I1765))+J1739,
IF(I1765&lt;1,0,(I1741-(I1741/I1765))))))</f>
        <v>0</v>
      </c>
      <c r="K1741" s="1423">
        <f t="shared" ref="K1741" ca="1" si="2518">IF(AND(K1739=0,J1741=0),0,
IF(AND(K1739&lt;&gt;0,J1741=0),K1739,
IF(AND(K1740&lt;&gt;0,J1741&lt;&gt;0),(J1741-(J1741/J1765))+K1739,
IF(J1765&lt;1,0,(J1741-(J1741/J1765))))))</f>
        <v>0</v>
      </c>
      <c r="L1741" s="1423">
        <f t="shared" ref="L1741" ca="1" si="2519">IF(AND(L1739=0,K1741=0),0,
IF(AND(L1739&lt;&gt;0,K1741=0),L1739,
IF(AND(L1740&lt;&gt;0,K1741&lt;&gt;0),(K1741-(K1741/K1765))+L1739,
IF(K1765&lt;1,0,(K1741-(K1741/K1765))))))</f>
        <v>0</v>
      </c>
      <c r="M1741" s="1423">
        <f t="shared" ref="M1741" ca="1" si="2520">IF(AND(M1739=0,L1741=0),0,
IF(AND(M1739&lt;&gt;0,L1741=0),M1739,
IF(AND(M1740&lt;&gt;0,L1741&lt;&gt;0),(L1741-(L1741/L1765))+M1739,
IF(L1765&lt;1,0,(L1741-(L1741/L1765))))))</f>
        <v>0</v>
      </c>
      <c r="N1741" s="1423">
        <f t="shared" ref="N1741" ca="1" si="2521">IF(AND(N1739=0,M1741=0),0,
IF(AND(N1739&lt;&gt;0,M1741=0),N1739,
IF(AND(N1740&lt;&gt;0,M1741&lt;&gt;0),(M1741-(M1741/M1765))+N1739,
IF(M1765&lt;1,0,(M1741-(M1741/M1765))))))</f>
        <v>0</v>
      </c>
      <c r="O1741" s="1423">
        <f t="shared" ref="O1741" ca="1" si="2522">IF(AND(O1739=0,N1741=0),0,
IF(AND(O1739&lt;&gt;0,N1741=0),O1739,
IF(AND(O1740&lt;&gt;0,N1741&lt;&gt;0),(N1741-(N1741/N1765))+O1739,
IF(N1765&lt;1,0,(N1741-(N1741/N1765))))))</f>
        <v>0</v>
      </c>
      <c r="P1741" s="1423">
        <f t="shared" ref="P1741" ca="1" si="2523">IF(AND(P1739=0,O1741=0),0,
IF(AND(P1739&lt;&gt;0,O1741=0),P1739,
IF(AND(P1740&lt;&gt;0,O1741&lt;&gt;0),(O1741-(O1741/O1765))+P1739,
IF(O1765&lt;1,0,(O1741-(O1741/O1765))))))</f>
        <v>0</v>
      </c>
      <c r="Q1741" s="1423">
        <f t="shared" ref="Q1741" ca="1" si="2524">IF(AND(Q1739=0,P1741=0),0,
IF(AND(Q1739&lt;&gt;0,P1741=0),Q1739,
IF(AND(Q1740&lt;&gt;0,P1741&lt;&gt;0),(P1741-(P1741/P1765))+Q1739,
IF(P1765&lt;1,0,(P1741-(P1741/P1765))))))</f>
        <v>0</v>
      </c>
      <c r="R1741" s="1423">
        <f t="shared" ref="R1741" ca="1" si="2525">IF(AND(R1739=0,Q1741=0),0,
IF(AND(R1739&lt;&gt;0,Q1741=0),R1739,
IF(AND(R1740&lt;&gt;0,Q1741&lt;&gt;0),(Q1741-(Q1741/Q1765))+R1739,
IF(Q1765&lt;1,0,(Q1741-(Q1741/Q1765))))))</f>
        <v>0</v>
      </c>
      <c r="S1741" s="1423">
        <f t="shared" ref="S1741" ca="1" si="2526">IF(AND(S1739=0,R1741=0),0,
IF(AND(S1739&lt;&gt;0,R1741=0),S1739,
IF(AND(S1740&lt;&gt;0,R1741&lt;&gt;0),(R1741-(R1741/R1765))+S1739,
IF(R1765&lt;1,0,(R1741-(R1741/R1765))))))</f>
        <v>0</v>
      </c>
      <c r="T1741" s="1423">
        <f t="shared" ref="T1741" ca="1" si="2527">IF(AND(T1739=0,S1741=0),0,
IF(AND(T1739&lt;&gt;0,S1741=0),T1739,
IF(AND(T1740&lt;&gt;0,S1741&lt;&gt;0),(S1741-(S1741/S1765))+T1739,
IF(S1765&lt;1,0,(S1741-(S1741/S1765))))))</f>
        <v>0</v>
      </c>
      <c r="U1741" s="1423">
        <f t="shared" ref="U1741" ca="1" si="2528">IF(AND(U1739=0,T1741=0),0,
IF(AND(U1739&lt;&gt;0,T1741=0),U1739,
IF(AND(U1740&lt;&gt;0,T1741&lt;&gt;0),(T1741-(T1741/T1765))+U1739,
IF(T1765&lt;1,0,(T1741-(T1741/T1765))))))</f>
        <v>0</v>
      </c>
      <c r="V1741" s="1423">
        <f t="shared" ref="V1741" ca="1" si="2529">IF(AND(V1739=0,U1741=0),0,
IF(AND(V1739&lt;&gt;0,U1741=0),V1739,
IF(AND(V1740&lt;&gt;0,U1741&lt;&gt;0),(U1741-(U1741/U1765))+V1739,
IF(U1765&lt;1,0,(U1741-(U1741/U1765))))))</f>
        <v>0</v>
      </c>
      <c r="W1741" s="1423">
        <f t="shared" ref="W1741" ca="1" si="2530">IF(AND(W1739=0,V1741=0),0,
IF(AND(W1739&lt;&gt;0,V1741=0),W1739,
IF(AND(W1740&lt;&gt;0,V1741&lt;&gt;0),(V1741-(V1741/V1765))+W1739,
IF(V1765&lt;1,0,(V1741-(V1741/V1765))))))</f>
        <v>0</v>
      </c>
      <c r="X1741" s="152"/>
      <c r="Y1741" s="152"/>
      <c r="Z1741" s="152"/>
      <c r="AA1741" s="152"/>
      <c r="AB1741" s="152"/>
    </row>
    <row r="1742" spans="1:28" hidden="1" outlineLevel="1">
      <c r="A1742" s="199">
        <f>A1741+1</f>
        <v>0</v>
      </c>
      <c r="B1742" s="190" t="s">
        <v>527</v>
      </c>
      <c r="C1742" s="1423">
        <f ca="1">C1737</f>
        <v>0</v>
      </c>
      <c r="D1742" s="1423">
        <f ca="1">IF(C1766="n/a",C1742,IFERROR(IF((OFFSET($C1742,0,$A1742))&lt;0,
MIN(0,C1742-(OFFSET($C1742,0,$A1742)/(OFFSET($C1737,-$A1741,$A1742)))),
MAX(0,C1742-(OFFSET($C1742,0,$A1742)/(OFFSET($C1737,-$A1741,$A1742))))),0))</f>
        <v>0</v>
      </c>
      <c r="E1742" s="1423">
        <f t="shared" ref="E1742" ca="1" si="2531">IF(D1766="n/a",D1742,IFERROR(IF((OFFSET($C1742,0,$A1742))&lt;0,
MIN(0,D1742-(OFFSET($C1742,0,$A1742)/(OFFSET($C1737,-$A1741,$A1742)))),
MAX(0,D1742-(OFFSET($C1742,0,$A1742)/(OFFSET($C1737,-$A1741,$A1742))))),0))</f>
        <v>0</v>
      </c>
      <c r="F1742" s="1423">
        <f t="shared" ref="F1742:F1743" ca="1" si="2532">IF(E1766="n/a",E1742,IFERROR(IF((OFFSET($C1742,0,$A1742))&lt;0,
MIN(0,E1742-(OFFSET($C1742,0,$A1742)/(OFFSET($C1737,-$A1741,$A1742)))),
MAX(0,E1742-(OFFSET($C1742,0,$A1742)/(OFFSET($C1737,-$A1741,$A1742))))),0))</f>
        <v>0</v>
      </c>
      <c r="G1742" s="1423">
        <f t="shared" ref="G1742:G1744" ca="1" si="2533">IF(F1766="n/a",F1742,IFERROR(IF((OFFSET($C1742,0,$A1742))&lt;0,
MIN(0,F1742-(OFFSET($C1742,0,$A1742)/(OFFSET($C1737,-$A1741,$A1742)))),
MAX(0,F1742-(OFFSET($C1742,0,$A1742)/(OFFSET($C1737,-$A1741,$A1742))))),0))</f>
        <v>0</v>
      </c>
      <c r="H1742" s="1423">
        <f t="shared" ref="H1742:H1745" ca="1" si="2534">IF(G1766="n/a",G1742,IFERROR(IF((OFFSET($C1742,0,$A1742))&lt;0,
MIN(0,G1742-(OFFSET($C1742,0,$A1742)/(OFFSET($C1737,-$A1741,$A1742)))),
MAX(0,G1742-(OFFSET($C1742,0,$A1742)/(OFFSET($C1737,-$A1741,$A1742))))),0))</f>
        <v>0</v>
      </c>
      <c r="I1742" s="1423">
        <f t="shared" ref="I1742:I1746" ca="1" si="2535">IF(H1766="n/a",H1742,IFERROR(IF((OFFSET($C1742,0,$A1742))&lt;0,
MIN(0,H1742-(OFFSET($C1742,0,$A1742)/(OFFSET($C1737,-$A1741,$A1742)))),
MAX(0,H1742-(OFFSET($C1742,0,$A1742)/(OFFSET($C1737,-$A1741,$A1742))))),0))</f>
        <v>0</v>
      </c>
      <c r="J1742" s="1423">
        <f t="shared" ref="J1742:J1747" ca="1" si="2536">IF(I1766="n/a",I1742,IFERROR(IF((OFFSET($C1742,0,$A1742))&lt;0,
MIN(0,I1742-(OFFSET($C1742,0,$A1742)/(OFFSET($C1737,-$A1741,$A1742)))),
MAX(0,I1742-(OFFSET($C1742,0,$A1742)/(OFFSET($C1737,-$A1741,$A1742))))),0))</f>
        <v>0</v>
      </c>
      <c r="K1742" s="1423">
        <f t="shared" ref="K1742:K1748" ca="1" si="2537">IF(J1766="n/a",J1742,IFERROR(IF((OFFSET($C1742,0,$A1742))&lt;0,
MIN(0,J1742-(OFFSET($C1742,0,$A1742)/(OFFSET($C1737,-$A1741,$A1742)))),
MAX(0,J1742-(OFFSET($C1742,0,$A1742)/(OFFSET($C1737,-$A1741,$A1742))))),0))</f>
        <v>0</v>
      </c>
      <c r="L1742" s="1423">
        <f t="shared" ref="L1742:L1749" ca="1" si="2538">IF(K1766="n/a",K1742,IFERROR(IF((OFFSET($C1742,0,$A1742))&lt;0,
MIN(0,K1742-(OFFSET($C1742,0,$A1742)/(OFFSET($C1737,-$A1741,$A1742)))),
MAX(0,K1742-(OFFSET($C1742,0,$A1742)/(OFFSET($C1737,-$A1741,$A1742))))),0))</f>
        <v>0</v>
      </c>
      <c r="M1742" s="1423">
        <f t="shared" ref="M1742:M1750" ca="1" si="2539">IF(L1766="n/a",L1742,IFERROR(IF((OFFSET($C1742,0,$A1742))&lt;0,
MIN(0,L1742-(OFFSET($C1742,0,$A1742)/(OFFSET($C1737,-$A1741,$A1742)))),
MAX(0,L1742-(OFFSET($C1742,0,$A1742)/(OFFSET($C1737,-$A1741,$A1742))))),0))</f>
        <v>0</v>
      </c>
      <c r="N1742" s="1423">
        <f t="shared" ref="N1742:N1751" ca="1" si="2540">IF(M1766="n/a",M1742,IFERROR(IF((OFFSET($C1742,0,$A1742))&lt;0,
MIN(0,M1742-(OFFSET($C1742,0,$A1742)/(OFFSET($C1737,-$A1741,$A1742)))),
MAX(0,M1742-(OFFSET($C1742,0,$A1742)/(OFFSET($C1737,-$A1741,$A1742))))),0))</f>
        <v>0</v>
      </c>
      <c r="O1742" s="1423">
        <f t="shared" ref="O1742:O1752" ca="1" si="2541">IF(N1766="n/a",N1742,IFERROR(IF((OFFSET($C1742,0,$A1742))&lt;0,
MIN(0,N1742-(OFFSET($C1742,0,$A1742)/(OFFSET($C1737,-$A1741,$A1742)))),
MAX(0,N1742-(OFFSET($C1742,0,$A1742)/(OFFSET($C1737,-$A1741,$A1742))))),0))</f>
        <v>0</v>
      </c>
      <c r="P1742" s="1423">
        <f t="shared" ref="P1742:P1753" ca="1" si="2542">IF(O1766="n/a",O1742,IFERROR(IF((OFFSET($C1742,0,$A1742))&lt;0,
MIN(0,O1742-(OFFSET($C1742,0,$A1742)/(OFFSET($C1737,-$A1741,$A1742)))),
MAX(0,O1742-(OFFSET($C1742,0,$A1742)/(OFFSET($C1737,-$A1741,$A1742))))),0))</f>
        <v>0</v>
      </c>
      <c r="Q1742" s="1423">
        <f t="shared" ref="Q1742:Q1754" ca="1" si="2543">IF(P1766="n/a",P1742,IFERROR(IF((OFFSET($C1742,0,$A1742))&lt;0,
MIN(0,P1742-(OFFSET($C1742,0,$A1742)/(OFFSET($C1737,-$A1741,$A1742)))),
MAX(0,P1742-(OFFSET($C1742,0,$A1742)/(OFFSET($C1737,-$A1741,$A1742))))),0))</f>
        <v>0</v>
      </c>
      <c r="R1742" s="1423">
        <f t="shared" ref="R1742:R1755" ca="1" si="2544">IF(Q1766="n/a",Q1742,IFERROR(IF((OFFSET($C1742,0,$A1742))&lt;0,
MIN(0,Q1742-(OFFSET($C1742,0,$A1742)/(OFFSET($C1737,-$A1741,$A1742)))),
MAX(0,Q1742-(OFFSET($C1742,0,$A1742)/(OFFSET($C1737,-$A1741,$A1742))))),0))</f>
        <v>0</v>
      </c>
      <c r="S1742" s="1423">
        <f t="shared" ref="S1742:S1756" ca="1" si="2545">IF(R1766="n/a",R1742,IFERROR(IF((OFFSET($C1742,0,$A1742))&lt;0,
MIN(0,R1742-(OFFSET($C1742,0,$A1742)/(OFFSET($C1737,-$A1741,$A1742)))),
MAX(0,R1742-(OFFSET($C1742,0,$A1742)/(OFFSET($C1737,-$A1741,$A1742))))),0))</f>
        <v>0</v>
      </c>
      <c r="T1742" s="1423">
        <f t="shared" ref="T1742:T1757" ca="1" si="2546">IF(S1766="n/a",S1742,IFERROR(IF((OFFSET($C1742,0,$A1742))&lt;0,
MIN(0,S1742-(OFFSET($C1742,0,$A1742)/(OFFSET($C1737,-$A1741,$A1742)))),
MAX(0,S1742-(OFFSET($C1742,0,$A1742)/(OFFSET($C1737,-$A1741,$A1742))))),0))</f>
        <v>0</v>
      </c>
      <c r="U1742" s="1423">
        <f t="shared" ref="U1742:U1758" ca="1" si="2547">IF(T1766="n/a",T1742,IFERROR(IF((OFFSET($C1742,0,$A1742))&lt;0,
MIN(0,T1742-(OFFSET($C1742,0,$A1742)/(OFFSET($C1737,-$A1741,$A1742)))),
MAX(0,T1742-(OFFSET($C1742,0,$A1742)/(OFFSET($C1737,-$A1741,$A1742))))),0))</f>
        <v>0</v>
      </c>
      <c r="V1742" s="1423">
        <f t="shared" ref="V1742:V1759" ca="1" si="2548">IF(U1766="n/a",U1742,IFERROR(IF((OFFSET($C1742,0,$A1742))&lt;0,
MIN(0,U1742-(OFFSET($C1742,0,$A1742)/(OFFSET($C1737,-$A1741,$A1742)))),
MAX(0,U1742-(OFFSET($C1742,0,$A1742)/(OFFSET($C1737,-$A1741,$A1742))))),0))</f>
        <v>0</v>
      </c>
      <c r="W1742" s="1423">
        <f t="shared" ref="W1742:W1760" ca="1" si="2549">IF(V1766="n/a",V1742,IFERROR(IF((OFFSET($C1742,0,$A1742))&lt;0,
MIN(0,V1742-(OFFSET($C1742,0,$A1742)/(OFFSET($C1737,-$A1741,$A1742)))),
MAX(0,V1742-(OFFSET($C1742,0,$A1742)/(OFFSET($C1737,-$A1741,$A1742))))),0))</f>
        <v>0</v>
      </c>
      <c r="X1742" s="152"/>
      <c r="Y1742" s="152"/>
      <c r="Z1742" s="152"/>
      <c r="AA1742" s="152"/>
      <c r="AB1742" s="152"/>
    </row>
    <row r="1743" spans="1:28" hidden="1" outlineLevel="1">
      <c r="A1743" s="199">
        <f t="shared" ref="A1743:A1762" si="2550">A1742+1</f>
        <v>1</v>
      </c>
      <c r="B1743" s="190" t="str">
        <f t="shared" ref="B1743:B1762" ca="1" si="2551">"Depreciated Net Capex "&amp;OFFSET($C$6,0,A1743)</f>
        <v>Depreciated Net Capex 2016-17</v>
      </c>
      <c r="C1743" s="1424"/>
      <c r="D1743" s="1425">
        <f>D1737</f>
        <v>0</v>
      </c>
      <c r="E1743" s="1423">
        <f ca="1">IF(D1767="n/a",D1743,IFERROR(IF((OFFSET($C1743,0,$A1743))&lt;0,
MIN(0,D1743-(OFFSET($C1743,0,$A1743)/(OFFSET($C1738,-$A1742,$A1743)))),
MAX(0,D1743-(OFFSET($C1743,0,$A1743)/(OFFSET($C1738,-$A1742,$A1743))))),0))</f>
        <v>0</v>
      </c>
      <c r="F1743" s="1423">
        <f t="shared" ca="1" si="2532"/>
        <v>0</v>
      </c>
      <c r="G1743" s="1423">
        <f t="shared" ca="1" si="2533"/>
        <v>0</v>
      </c>
      <c r="H1743" s="1423">
        <f t="shared" ca="1" si="2534"/>
        <v>0</v>
      </c>
      <c r="I1743" s="1423">
        <f t="shared" ca="1" si="2535"/>
        <v>0</v>
      </c>
      <c r="J1743" s="1423">
        <f t="shared" ca="1" si="2536"/>
        <v>0</v>
      </c>
      <c r="K1743" s="1423">
        <f t="shared" ca="1" si="2537"/>
        <v>0</v>
      </c>
      <c r="L1743" s="1423">
        <f t="shared" ca="1" si="2538"/>
        <v>0</v>
      </c>
      <c r="M1743" s="1423">
        <f t="shared" ca="1" si="2539"/>
        <v>0</v>
      </c>
      <c r="N1743" s="1423">
        <f t="shared" ca="1" si="2540"/>
        <v>0</v>
      </c>
      <c r="O1743" s="1423">
        <f t="shared" ca="1" si="2541"/>
        <v>0</v>
      </c>
      <c r="P1743" s="1423">
        <f t="shared" ca="1" si="2542"/>
        <v>0</v>
      </c>
      <c r="Q1743" s="1423">
        <f t="shared" ca="1" si="2543"/>
        <v>0</v>
      </c>
      <c r="R1743" s="1423">
        <f t="shared" ca="1" si="2544"/>
        <v>0</v>
      </c>
      <c r="S1743" s="1423">
        <f t="shared" ca="1" si="2545"/>
        <v>0</v>
      </c>
      <c r="T1743" s="1423">
        <f t="shared" ca="1" si="2546"/>
        <v>0</v>
      </c>
      <c r="U1743" s="1423">
        <f t="shared" ca="1" si="2547"/>
        <v>0</v>
      </c>
      <c r="V1743" s="1423">
        <f t="shared" ca="1" si="2548"/>
        <v>0</v>
      </c>
      <c r="W1743" s="1423">
        <f t="shared" ca="1" si="2549"/>
        <v>0</v>
      </c>
      <c r="X1743" s="152"/>
      <c r="Y1743" s="152"/>
      <c r="Z1743" s="152"/>
      <c r="AA1743" s="152"/>
      <c r="AB1743" s="152"/>
    </row>
    <row r="1744" spans="1:28" hidden="1" outlineLevel="1">
      <c r="A1744" s="199">
        <f t="shared" si="2550"/>
        <v>2</v>
      </c>
      <c r="B1744" s="190" t="str">
        <f t="shared" ca="1" si="2551"/>
        <v>Depreciated Net Capex 2017-18</v>
      </c>
      <c r="C1744" s="1426"/>
      <c r="D1744" s="1427"/>
      <c r="E1744" s="1425">
        <f>E1737</f>
        <v>0</v>
      </c>
      <c r="F1744" s="1423">
        <f ca="1">IF(E1768="n/a",E1744,IFERROR(IF((OFFSET($C1744,0,$A1744))&lt;0,
MIN(0,E1744-(OFFSET($C1744,0,$A1744)/(OFFSET($C1739,-$A1743,$A1744)))),
MAX(0,E1744-(OFFSET($C1744,0,$A1744)/(OFFSET($C1739,-$A1743,$A1744))))),0))</f>
        <v>0</v>
      </c>
      <c r="G1744" s="1423">
        <f t="shared" ca="1" si="2533"/>
        <v>0</v>
      </c>
      <c r="H1744" s="1423">
        <f t="shared" ca="1" si="2534"/>
        <v>0</v>
      </c>
      <c r="I1744" s="1423">
        <f t="shared" ca="1" si="2535"/>
        <v>0</v>
      </c>
      <c r="J1744" s="1423">
        <f t="shared" ca="1" si="2536"/>
        <v>0</v>
      </c>
      <c r="K1744" s="1423">
        <f t="shared" ca="1" si="2537"/>
        <v>0</v>
      </c>
      <c r="L1744" s="1423">
        <f t="shared" ca="1" si="2538"/>
        <v>0</v>
      </c>
      <c r="M1744" s="1423">
        <f t="shared" ca="1" si="2539"/>
        <v>0</v>
      </c>
      <c r="N1744" s="1423">
        <f t="shared" ca="1" si="2540"/>
        <v>0</v>
      </c>
      <c r="O1744" s="1423">
        <f t="shared" ca="1" si="2541"/>
        <v>0</v>
      </c>
      <c r="P1744" s="1423">
        <f t="shared" ca="1" si="2542"/>
        <v>0</v>
      </c>
      <c r="Q1744" s="1423">
        <f t="shared" ca="1" si="2543"/>
        <v>0</v>
      </c>
      <c r="R1744" s="1423">
        <f t="shared" ca="1" si="2544"/>
        <v>0</v>
      </c>
      <c r="S1744" s="1423">
        <f t="shared" ca="1" si="2545"/>
        <v>0</v>
      </c>
      <c r="T1744" s="1423">
        <f t="shared" ca="1" si="2546"/>
        <v>0</v>
      </c>
      <c r="U1744" s="1423">
        <f t="shared" ca="1" si="2547"/>
        <v>0</v>
      </c>
      <c r="V1744" s="1423">
        <f t="shared" ca="1" si="2548"/>
        <v>0</v>
      </c>
      <c r="W1744" s="1423">
        <f t="shared" ca="1" si="2549"/>
        <v>0</v>
      </c>
      <c r="X1744" s="202"/>
      <c r="Y1744" s="152"/>
      <c r="Z1744" s="152"/>
      <c r="AA1744" s="152"/>
      <c r="AB1744" s="152"/>
    </row>
    <row r="1745" spans="1:28" hidden="1" outlineLevel="1">
      <c r="A1745" s="199">
        <f t="shared" si="2550"/>
        <v>3</v>
      </c>
      <c r="B1745" s="190" t="str">
        <f t="shared" ca="1" si="2551"/>
        <v>Depreciated Net Capex 2018-19</v>
      </c>
      <c r="C1745" s="1426"/>
      <c r="D1745" s="1426"/>
      <c r="E1745" s="1427"/>
      <c r="F1745" s="1428">
        <f>F1737</f>
        <v>0</v>
      </c>
      <c r="G1745" s="1423">
        <f ca="1">IF(F1769="n/a",F1745,IFERROR(IF((OFFSET($C1745,0,$A1745))&lt;0,
MIN(0,F1745-(OFFSET($C1745,0,$A1745)/(OFFSET($C1740,-$A1744,$A1745)))),
MAX(0,F1745-(OFFSET($C1745,0,$A1745)/(OFFSET($C1740,-$A1744,$A1745))))),0))</f>
        <v>0</v>
      </c>
      <c r="H1745" s="1423">
        <f t="shared" ca="1" si="2534"/>
        <v>0</v>
      </c>
      <c r="I1745" s="1423">
        <f t="shared" ca="1" si="2535"/>
        <v>0</v>
      </c>
      <c r="J1745" s="1423">
        <f t="shared" ca="1" si="2536"/>
        <v>0</v>
      </c>
      <c r="K1745" s="1423">
        <f t="shared" ca="1" si="2537"/>
        <v>0</v>
      </c>
      <c r="L1745" s="1423">
        <f t="shared" ca="1" si="2538"/>
        <v>0</v>
      </c>
      <c r="M1745" s="1423">
        <f t="shared" ca="1" si="2539"/>
        <v>0</v>
      </c>
      <c r="N1745" s="1423">
        <f t="shared" ca="1" si="2540"/>
        <v>0</v>
      </c>
      <c r="O1745" s="1423">
        <f t="shared" ca="1" si="2541"/>
        <v>0</v>
      </c>
      <c r="P1745" s="1423">
        <f t="shared" ca="1" si="2542"/>
        <v>0</v>
      </c>
      <c r="Q1745" s="1423">
        <f t="shared" ca="1" si="2543"/>
        <v>0</v>
      </c>
      <c r="R1745" s="1423">
        <f t="shared" ca="1" si="2544"/>
        <v>0</v>
      </c>
      <c r="S1745" s="1423">
        <f t="shared" ca="1" si="2545"/>
        <v>0</v>
      </c>
      <c r="T1745" s="1423">
        <f t="shared" ca="1" si="2546"/>
        <v>0</v>
      </c>
      <c r="U1745" s="1423">
        <f t="shared" ca="1" si="2547"/>
        <v>0</v>
      </c>
      <c r="V1745" s="1423">
        <f t="shared" ca="1" si="2548"/>
        <v>0</v>
      </c>
      <c r="W1745" s="1423">
        <f t="shared" ca="1" si="2549"/>
        <v>0</v>
      </c>
      <c r="X1745" s="202"/>
      <c r="Y1745" s="202"/>
      <c r="Z1745" s="152"/>
      <c r="AA1745" s="152"/>
      <c r="AB1745" s="152"/>
    </row>
    <row r="1746" spans="1:28" hidden="1" outlineLevel="1">
      <c r="A1746" s="199">
        <f t="shared" si="2550"/>
        <v>4</v>
      </c>
      <c r="B1746" s="190" t="str">
        <f t="shared" ca="1" si="2551"/>
        <v>Depreciated Net Capex 2019-20</v>
      </c>
      <c r="C1746" s="1426"/>
      <c r="D1746" s="1426"/>
      <c r="E1746" s="1426"/>
      <c r="F1746" s="1427"/>
      <c r="G1746" s="1428">
        <f>G1737</f>
        <v>0</v>
      </c>
      <c r="H1746" s="1423">
        <f ca="1">IF(G1770="n/a",G1746,IFERROR(IF((OFFSET($C1746,0,$A1746))&lt;0,
MIN(0,G1746-(OFFSET($C1746,0,$A1746)/(OFFSET($C1741,-$A1745,$A1746)))),
MAX(0,G1746-(OFFSET($C1746,0,$A1746)/(OFFSET($C1741,-$A1745,$A1746))))),0))</f>
        <v>0</v>
      </c>
      <c r="I1746" s="1423">
        <f t="shared" ca="1" si="2535"/>
        <v>0</v>
      </c>
      <c r="J1746" s="1423">
        <f t="shared" ca="1" si="2536"/>
        <v>0</v>
      </c>
      <c r="K1746" s="1423">
        <f t="shared" ca="1" si="2537"/>
        <v>0</v>
      </c>
      <c r="L1746" s="1423">
        <f t="shared" ca="1" si="2538"/>
        <v>0</v>
      </c>
      <c r="M1746" s="1423">
        <f t="shared" ca="1" si="2539"/>
        <v>0</v>
      </c>
      <c r="N1746" s="1423">
        <f t="shared" ca="1" si="2540"/>
        <v>0</v>
      </c>
      <c r="O1746" s="1423">
        <f t="shared" ca="1" si="2541"/>
        <v>0</v>
      </c>
      <c r="P1746" s="1423">
        <f t="shared" ca="1" si="2542"/>
        <v>0</v>
      </c>
      <c r="Q1746" s="1423">
        <f t="shared" ca="1" si="2543"/>
        <v>0</v>
      </c>
      <c r="R1746" s="1423">
        <f t="shared" ca="1" si="2544"/>
        <v>0</v>
      </c>
      <c r="S1746" s="1423">
        <f t="shared" ca="1" si="2545"/>
        <v>0</v>
      </c>
      <c r="T1746" s="1423">
        <f t="shared" ca="1" si="2546"/>
        <v>0</v>
      </c>
      <c r="U1746" s="1423">
        <f t="shared" ca="1" si="2547"/>
        <v>0</v>
      </c>
      <c r="V1746" s="1423">
        <f t="shared" ca="1" si="2548"/>
        <v>0</v>
      </c>
      <c r="W1746" s="1423">
        <f t="shared" ca="1" si="2549"/>
        <v>0</v>
      </c>
      <c r="X1746" s="202"/>
      <c r="Y1746" s="202"/>
      <c r="Z1746" s="202"/>
      <c r="AA1746" s="152"/>
      <c r="AB1746" s="152"/>
    </row>
    <row r="1747" spans="1:28" hidden="1" outlineLevel="1">
      <c r="A1747" s="199">
        <f t="shared" si="2550"/>
        <v>5</v>
      </c>
      <c r="B1747" s="190" t="str">
        <f t="shared" ca="1" si="2551"/>
        <v>Depreciated Net Capex 2020-21</v>
      </c>
      <c r="C1747" s="1426"/>
      <c r="D1747" s="1426"/>
      <c r="E1747" s="1426"/>
      <c r="F1747" s="1426"/>
      <c r="G1747" s="1427"/>
      <c r="H1747" s="1428">
        <f>H1737</f>
        <v>0</v>
      </c>
      <c r="I1747" s="1423">
        <f ca="1">IF(H1771="n/a",H1747,IFERROR(IF((OFFSET($C1747,0,$A1747))&lt;0,
MIN(0,H1747-(OFFSET($C1747,0,$A1747)/(OFFSET($C1742,-$A1746,$A1747)))),
MAX(0,H1747-(OFFSET($C1747,0,$A1747)/(OFFSET($C1742,-$A1746,$A1747))))),0))</f>
        <v>0</v>
      </c>
      <c r="J1747" s="1423">
        <f t="shared" ca="1" si="2536"/>
        <v>0</v>
      </c>
      <c r="K1747" s="1423">
        <f t="shared" ca="1" si="2537"/>
        <v>0</v>
      </c>
      <c r="L1747" s="1423">
        <f t="shared" ca="1" si="2538"/>
        <v>0</v>
      </c>
      <c r="M1747" s="1423">
        <f t="shared" ca="1" si="2539"/>
        <v>0</v>
      </c>
      <c r="N1747" s="1423">
        <f t="shared" ca="1" si="2540"/>
        <v>0</v>
      </c>
      <c r="O1747" s="1423">
        <f t="shared" ca="1" si="2541"/>
        <v>0</v>
      </c>
      <c r="P1747" s="1423">
        <f t="shared" ca="1" si="2542"/>
        <v>0</v>
      </c>
      <c r="Q1747" s="1423">
        <f t="shared" ca="1" si="2543"/>
        <v>0</v>
      </c>
      <c r="R1747" s="1423">
        <f t="shared" ca="1" si="2544"/>
        <v>0</v>
      </c>
      <c r="S1747" s="1423">
        <f t="shared" ca="1" si="2545"/>
        <v>0</v>
      </c>
      <c r="T1747" s="1423">
        <f t="shared" ca="1" si="2546"/>
        <v>0</v>
      </c>
      <c r="U1747" s="1423">
        <f t="shared" ca="1" si="2547"/>
        <v>0</v>
      </c>
      <c r="V1747" s="1423">
        <f t="shared" ca="1" si="2548"/>
        <v>0</v>
      </c>
      <c r="W1747" s="1423">
        <f t="shared" ca="1" si="2549"/>
        <v>0</v>
      </c>
      <c r="X1747" s="202"/>
      <c r="Y1747" s="202"/>
      <c r="Z1747" s="202"/>
      <c r="AA1747" s="152"/>
      <c r="AB1747" s="152"/>
    </row>
    <row r="1748" spans="1:28" hidden="1" outlineLevel="1">
      <c r="A1748" s="199">
        <f t="shared" si="2550"/>
        <v>6</v>
      </c>
      <c r="B1748" s="190" t="str">
        <f t="shared" ca="1" si="2551"/>
        <v>Depreciated Net Capex 2021-22</v>
      </c>
      <c r="C1748" s="1426"/>
      <c r="D1748" s="1426"/>
      <c r="E1748" s="1426"/>
      <c r="F1748" s="1426"/>
      <c r="G1748" s="1426"/>
      <c r="H1748" s="1427"/>
      <c r="I1748" s="1428">
        <f>I1737</f>
        <v>0</v>
      </c>
      <c r="J1748" s="1423">
        <f ca="1">IF(I1772="n/a",I1748,IFERROR(IF((OFFSET($C1748,0,$A1748))&lt;0,
MIN(0,I1748-(OFFSET($C1748,0,$A1748)/(OFFSET($C1743,-$A1747,$A1748)))),
MAX(0,I1748-(OFFSET($C1748,0,$A1748)/(OFFSET($C1743,-$A1747,$A1748))))),0))</f>
        <v>0</v>
      </c>
      <c r="K1748" s="1423">
        <f t="shared" ca="1" si="2537"/>
        <v>0</v>
      </c>
      <c r="L1748" s="1423">
        <f t="shared" ca="1" si="2538"/>
        <v>0</v>
      </c>
      <c r="M1748" s="1423">
        <f t="shared" ca="1" si="2539"/>
        <v>0</v>
      </c>
      <c r="N1748" s="1423">
        <f t="shared" ca="1" si="2540"/>
        <v>0</v>
      </c>
      <c r="O1748" s="1423">
        <f t="shared" ca="1" si="2541"/>
        <v>0</v>
      </c>
      <c r="P1748" s="1423">
        <f t="shared" ca="1" si="2542"/>
        <v>0</v>
      </c>
      <c r="Q1748" s="1423">
        <f t="shared" ca="1" si="2543"/>
        <v>0</v>
      </c>
      <c r="R1748" s="1423">
        <f t="shared" ca="1" si="2544"/>
        <v>0</v>
      </c>
      <c r="S1748" s="1423">
        <f t="shared" ca="1" si="2545"/>
        <v>0</v>
      </c>
      <c r="T1748" s="1423">
        <f t="shared" ca="1" si="2546"/>
        <v>0</v>
      </c>
      <c r="U1748" s="1423">
        <f t="shared" ca="1" si="2547"/>
        <v>0</v>
      </c>
      <c r="V1748" s="1423">
        <f t="shared" ca="1" si="2548"/>
        <v>0</v>
      </c>
      <c r="W1748" s="1423">
        <f t="shared" ca="1" si="2549"/>
        <v>0</v>
      </c>
      <c r="X1748" s="202"/>
      <c r="Y1748" s="202"/>
      <c r="Z1748" s="202"/>
      <c r="AA1748" s="152"/>
      <c r="AB1748" s="152"/>
    </row>
    <row r="1749" spans="1:28" hidden="1" outlineLevel="1">
      <c r="A1749" s="199">
        <f t="shared" si="2550"/>
        <v>7</v>
      </c>
      <c r="B1749" s="190" t="str">
        <f t="shared" ca="1" si="2551"/>
        <v>Depreciated Net Capex 2022-23</v>
      </c>
      <c r="C1749" s="1426"/>
      <c r="D1749" s="1426"/>
      <c r="E1749" s="1426"/>
      <c r="F1749" s="1426"/>
      <c r="G1749" s="1426"/>
      <c r="H1749" s="1426"/>
      <c r="I1749" s="1427"/>
      <c r="J1749" s="1428">
        <f>J1737</f>
        <v>0</v>
      </c>
      <c r="K1749" s="1423">
        <f ca="1">IF(J1773="n/a",J1749,IFERROR(IF((OFFSET($C1749,0,$A1749))&lt;0,
MIN(0,J1749-(OFFSET($C1749,0,$A1749)/(OFFSET($C1744,-$A1748,$A1749)))),
MAX(0,J1749-(OFFSET($C1749,0,$A1749)/(OFFSET($C1744,-$A1748,$A1749))))),0))</f>
        <v>0</v>
      </c>
      <c r="L1749" s="1423">
        <f t="shared" ca="1" si="2538"/>
        <v>0</v>
      </c>
      <c r="M1749" s="1423">
        <f t="shared" ca="1" si="2539"/>
        <v>0</v>
      </c>
      <c r="N1749" s="1423">
        <f t="shared" ca="1" si="2540"/>
        <v>0</v>
      </c>
      <c r="O1749" s="1423">
        <f t="shared" ca="1" si="2541"/>
        <v>0</v>
      </c>
      <c r="P1749" s="1423">
        <f t="shared" ca="1" si="2542"/>
        <v>0</v>
      </c>
      <c r="Q1749" s="1423">
        <f t="shared" ca="1" si="2543"/>
        <v>0</v>
      </c>
      <c r="R1749" s="1423">
        <f t="shared" ca="1" si="2544"/>
        <v>0</v>
      </c>
      <c r="S1749" s="1423">
        <f t="shared" ca="1" si="2545"/>
        <v>0</v>
      </c>
      <c r="T1749" s="1423">
        <f t="shared" ca="1" si="2546"/>
        <v>0</v>
      </c>
      <c r="U1749" s="1423">
        <f t="shared" ca="1" si="2547"/>
        <v>0</v>
      </c>
      <c r="V1749" s="1423">
        <f t="shared" ca="1" si="2548"/>
        <v>0</v>
      </c>
      <c r="W1749" s="1423">
        <f t="shared" ca="1" si="2549"/>
        <v>0</v>
      </c>
      <c r="X1749" s="202"/>
      <c r="Y1749" s="202"/>
      <c r="Z1749" s="202"/>
      <c r="AA1749" s="152"/>
      <c r="AB1749" s="152"/>
    </row>
    <row r="1750" spans="1:28" hidden="1" outlineLevel="1">
      <c r="A1750" s="199">
        <f t="shared" si="2550"/>
        <v>8</v>
      </c>
      <c r="B1750" s="190" t="str">
        <f t="shared" ca="1" si="2551"/>
        <v>Depreciated Net Capex 2023-24</v>
      </c>
      <c r="C1750" s="1426"/>
      <c r="D1750" s="1426"/>
      <c r="E1750" s="1426"/>
      <c r="F1750" s="1426"/>
      <c r="G1750" s="1426"/>
      <c r="H1750" s="1426"/>
      <c r="I1750" s="1426"/>
      <c r="J1750" s="1427"/>
      <c r="K1750" s="1428">
        <f>K1737</f>
        <v>0</v>
      </c>
      <c r="L1750" s="1423">
        <f ca="1">IF(K1774="n/a",K1750,IFERROR(IF((OFFSET($C1750,0,$A1750))&lt;0,
MIN(0,K1750-(OFFSET($C1750,0,$A1750)/(OFFSET($C1745,-$A1749,$A1750)))),
MAX(0,K1750-(OFFSET($C1750,0,$A1750)/(OFFSET($C1745,-$A1749,$A1750))))),0))</f>
        <v>0</v>
      </c>
      <c r="M1750" s="1423">
        <f t="shared" ca="1" si="2539"/>
        <v>0</v>
      </c>
      <c r="N1750" s="1423">
        <f t="shared" ca="1" si="2540"/>
        <v>0</v>
      </c>
      <c r="O1750" s="1423">
        <f t="shared" ca="1" si="2541"/>
        <v>0</v>
      </c>
      <c r="P1750" s="1423">
        <f t="shared" ca="1" si="2542"/>
        <v>0</v>
      </c>
      <c r="Q1750" s="1423">
        <f t="shared" ca="1" si="2543"/>
        <v>0</v>
      </c>
      <c r="R1750" s="1423">
        <f t="shared" ca="1" si="2544"/>
        <v>0</v>
      </c>
      <c r="S1750" s="1423">
        <f t="shared" ca="1" si="2545"/>
        <v>0</v>
      </c>
      <c r="T1750" s="1423">
        <f t="shared" ca="1" si="2546"/>
        <v>0</v>
      </c>
      <c r="U1750" s="1423">
        <f t="shared" ca="1" si="2547"/>
        <v>0</v>
      </c>
      <c r="V1750" s="1423">
        <f t="shared" ca="1" si="2548"/>
        <v>0</v>
      </c>
      <c r="W1750" s="1423">
        <f t="shared" ca="1" si="2549"/>
        <v>0</v>
      </c>
      <c r="X1750" s="202"/>
      <c r="Y1750" s="202"/>
      <c r="Z1750" s="202"/>
      <c r="AA1750" s="152"/>
      <c r="AB1750" s="152"/>
    </row>
    <row r="1751" spans="1:28" hidden="1" outlineLevel="1">
      <c r="A1751" s="199">
        <f t="shared" si="2550"/>
        <v>9</v>
      </c>
      <c r="B1751" s="190" t="str">
        <f t="shared" ca="1" si="2551"/>
        <v>Depreciated Net Capex 2024-25</v>
      </c>
      <c r="C1751" s="1426"/>
      <c r="D1751" s="1426"/>
      <c r="E1751" s="1426"/>
      <c r="F1751" s="1426"/>
      <c r="G1751" s="1426"/>
      <c r="H1751" s="1426"/>
      <c r="I1751" s="1426"/>
      <c r="J1751" s="1426"/>
      <c r="K1751" s="1427"/>
      <c r="L1751" s="1428">
        <f>L1737</f>
        <v>0</v>
      </c>
      <c r="M1751" s="1423">
        <f ca="1">IF(L1775="n/a",L1751,IFERROR(IF((OFFSET($C1751,0,$A1751))&lt;0,
MIN(0,L1751-(OFFSET($C1751,0,$A1751)/(OFFSET($C1746,-$A1750,$A1751)))),
MAX(0,L1751-(OFFSET($C1751,0,$A1751)/(OFFSET($C1746,-$A1750,$A1751))))),0))</f>
        <v>0</v>
      </c>
      <c r="N1751" s="1423">
        <f t="shared" ca="1" si="2540"/>
        <v>0</v>
      </c>
      <c r="O1751" s="1423">
        <f t="shared" ca="1" si="2541"/>
        <v>0</v>
      </c>
      <c r="P1751" s="1423">
        <f t="shared" ca="1" si="2542"/>
        <v>0</v>
      </c>
      <c r="Q1751" s="1423">
        <f t="shared" ca="1" si="2543"/>
        <v>0</v>
      </c>
      <c r="R1751" s="1423">
        <f t="shared" ca="1" si="2544"/>
        <v>0</v>
      </c>
      <c r="S1751" s="1423">
        <f t="shared" ca="1" si="2545"/>
        <v>0</v>
      </c>
      <c r="T1751" s="1423">
        <f t="shared" ca="1" si="2546"/>
        <v>0</v>
      </c>
      <c r="U1751" s="1423">
        <f t="shared" ca="1" si="2547"/>
        <v>0</v>
      </c>
      <c r="V1751" s="1423">
        <f t="shared" ca="1" si="2548"/>
        <v>0</v>
      </c>
      <c r="W1751" s="1423">
        <f t="shared" ca="1" si="2549"/>
        <v>0</v>
      </c>
      <c r="X1751" s="202"/>
      <c r="Y1751" s="202"/>
      <c r="Z1751" s="202"/>
      <c r="AA1751" s="152"/>
      <c r="AB1751" s="152"/>
    </row>
    <row r="1752" spans="1:28" hidden="1" outlineLevel="1">
      <c r="A1752" s="199">
        <f t="shared" si="2550"/>
        <v>10</v>
      </c>
      <c r="B1752" s="190" t="str">
        <f t="shared" ca="1" si="2551"/>
        <v>Depreciated Net Capex 2025-26</v>
      </c>
      <c r="C1752" s="1426"/>
      <c r="D1752" s="1426"/>
      <c r="E1752" s="1426"/>
      <c r="F1752" s="1426"/>
      <c r="G1752" s="1426"/>
      <c r="H1752" s="1426"/>
      <c r="I1752" s="1426"/>
      <c r="J1752" s="1426"/>
      <c r="K1752" s="1426"/>
      <c r="L1752" s="1427"/>
      <c r="M1752" s="1428">
        <f>M1737</f>
        <v>0</v>
      </c>
      <c r="N1752" s="1423">
        <f ca="1">IF(M1776="n/a",M1752,IFERROR(IF((OFFSET($C1752,0,$A1752))&lt;0,
MIN(0,M1752-(OFFSET($C1752,0,$A1752)/(OFFSET($C1747,-$A1751,$A1752)))),
MAX(0,M1752-(OFFSET($C1752,0,$A1752)/(OFFSET($C1747,-$A1751,$A1752))))),0))</f>
        <v>0</v>
      </c>
      <c r="O1752" s="1423">
        <f t="shared" ca="1" si="2541"/>
        <v>0</v>
      </c>
      <c r="P1752" s="1423">
        <f t="shared" ca="1" si="2542"/>
        <v>0</v>
      </c>
      <c r="Q1752" s="1423">
        <f t="shared" ca="1" si="2543"/>
        <v>0</v>
      </c>
      <c r="R1752" s="1423">
        <f t="shared" ca="1" si="2544"/>
        <v>0</v>
      </c>
      <c r="S1752" s="1423">
        <f t="shared" ca="1" si="2545"/>
        <v>0</v>
      </c>
      <c r="T1752" s="1423">
        <f t="shared" ca="1" si="2546"/>
        <v>0</v>
      </c>
      <c r="U1752" s="1423">
        <f t="shared" ca="1" si="2547"/>
        <v>0</v>
      </c>
      <c r="V1752" s="1423">
        <f t="shared" ca="1" si="2548"/>
        <v>0</v>
      </c>
      <c r="W1752" s="1423">
        <f t="shared" ca="1" si="2549"/>
        <v>0</v>
      </c>
      <c r="X1752" s="202"/>
      <c r="Y1752" s="202"/>
      <c r="Z1752" s="202"/>
      <c r="AA1752" s="152"/>
      <c r="AB1752" s="152"/>
    </row>
    <row r="1753" spans="1:28" hidden="1" outlineLevel="1">
      <c r="A1753" s="199">
        <f t="shared" si="2550"/>
        <v>11</v>
      </c>
      <c r="B1753" s="190" t="str">
        <f t="shared" ca="1" si="2551"/>
        <v>Depreciated Net Capex 2026-27</v>
      </c>
      <c r="C1753" s="1426"/>
      <c r="D1753" s="1426"/>
      <c r="E1753" s="1426"/>
      <c r="F1753" s="1426"/>
      <c r="G1753" s="1426"/>
      <c r="H1753" s="1426"/>
      <c r="I1753" s="1426"/>
      <c r="J1753" s="1426"/>
      <c r="K1753" s="1426"/>
      <c r="L1753" s="1426"/>
      <c r="M1753" s="1427"/>
      <c r="N1753" s="1428">
        <f>N1737</f>
        <v>0</v>
      </c>
      <c r="O1753" s="1423">
        <f ca="1">IF(N1777="n/a",N1753,IFERROR(IF((OFFSET($C1753,0,$A1753))&lt;0,
MIN(0,N1753-(OFFSET($C1753,0,$A1753)/(OFFSET($C1748,-$A1752,$A1753)))),
MAX(0,N1753-(OFFSET($C1753,0,$A1753)/(OFFSET($C1748,-$A1752,$A1753))))),0))</f>
        <v>0</v>
      </c>
      <c r="P1753" s="1423">
        <f t="shared" ca="1" si="2542"/>
        <v>0</v>
      </c>
      <c r="Q1753" s="1423">
        <f t="shared" ca="1" si="2543"/>
        <v>0</v>
      </c>
      <c r="R1753" s="1423">
        <f t="shared" ca="1" si="2544"/>
        <v>0</v>
      </c>
      <c r="S1753" s="1423">
        <f t="shared" ca="1" si="2545"/>
        <v>0</v>
      </c>
      <c r="T1753" s="1423">
        <f t="shared" ca="1" si="2546"/>
        <v>0</v>
      </c>
      <c r="U1753" s="1423">
        <f t="shared" ca="1" si="2547"/>
        <v>0</v>
      </c>
      <c r="V1753" s="1423">
        <f t="shared" ca="1" si="2548"/>
        <v>0</v>
      </c>
      <c r="W1753" s="1423">
        <f t="shared" ca="1" si="2549"/>
        <v>0</v>
      </c>
      <c r="X1753" s="202"/>
      <c r="Y1753" s="202"/>
      <c r="Z1753" s="202"/>
      <c r="AA1753" s="152"/>
      <c r="AB1753" s="152"/>
    </row>
    <row r="1754" spans="1:28" hidden="1" outlineLevel="1">
      <c r="A1754" s="199">
        <f t="shared" si="2550"/>
        <v>12</v>
      </c>
      <c r="B1754" s="190" t="str">
        <f t="shared" ca="1" si="2551"/>
        <v>Depreciated Net Capex 2027-28</v>
      </c>
      <c r="C1754" s="1426"/>
      <c r="D1754" s="1426"/>
      <c r="E1754" s="1426"/>
      <c r="F1754" s="1426"/>
      <c r="G1754" s="1426"/>
      <c r="H1754" s="1426"/>
      <c r="I1754" s="1426"/>
      <c r="J1754" s="1426"/>
      <c r="K1754" s="1426"/>
      <c r="L1754" s="1426"/>
      <c r="M1754" s="1426"/>
      <c r="N1754" s="1427"/>
      <c r="O1754" s="1428">
        <f>O1737</f>
        <v>0</v>
      </c>
      <c r="P1754" s="1423">
        <f ca="1">IF(O1778="n/a",O1754,IFERROR(IF((OFFSET($C1754,0,$A1754))&lt;0,
MIN(0,O1754-(OFFSET($C1754,0,$A1754)/(OFFSET($C1749,-$A1753,$A1754)))),
MAX(0,O1754-(OFFSET($C1754,0,$A1754)/(OFFSET($C1749,-$A1753,$A1754))))),0))</f>
        <v>0</v>
      </c>
      <c r="Q1754" s="1423">
        <f t="shared" ca="1" si="2543"/>
        <v>0</v>
      </c>
      <c r="R1754" s="1423">
        <f t="shared" ca="1" si="2544"/>
        <v>0</v>
      </c>
      <c r="S1754" s="1423">
        <f t="shared" ca="1" si="2545"/>
        <v>0</v>
      </c>
      <c r="T1754" s="1423">
        <f t="shared" ca="1" si="2546"/>
        <v>0</v>
      </c>
      <c r="U1754" s="1423">
        <f t="shared" ca="1" si="2547"/>
        <v>0</v>
      </c>
      <c r="V1754" s="1423">
        <f t="shared" ca="1" si="2548"/>
        <v>0</v>
      </c>
      <c r="W1754" s="1423">
        <f t="shared" ca="1" si="2549"/>
        <v>0</v>
      </c>
      <c r="X1754" s="202"/>
      <c r="Y1754" s="202"/>
      <c r="Z1754" s="202"/>
      <c r="AA1754" s="152"/>
      <c r="AB1754" s="152"/>
    </row>
    <row r="1755" spans="1:28" hidden="1" outlineLevel="1">
      <c r="A1755" s="199">
        <f t="shared" si="2550"/>
        <v>13</v>
      </c>
      <c r="B1755" s="190" t="str">
        <f t="shared" ca="1" si="2551"/>
        <v>Depreciated Net Capex 2028-29</v>
      </c>
      <c r="C1755" s="1426"/>
      <c r="D1755" s="1426"/>
      <c r="E1755" s="1426"/>
      <c r="F1755" s="1426"/>
      <c r="G1755" s="1426"/>
      <c r="H1755" s="1426"/>
      <c r="I1755" s="1426"/>
      <c r="J1755" s="1426"/>
      <c r="K1755" s="1426"/>
      <c r="L1755" s="1426"/>
      <c r="M1755" s="1426"/>
      <c r="N1755" s="1426"/>
      <c r="O1755" s="1427"/>
      <c r="P1755" s="1428">
        <f>P1737</f>
        <v>0</v>
      </c>
      <c r="Q1755" s="1423">
        <f ca="1">IF(P1779="n/a",P1755,IFERROR(IF((OFFSET($C1755,0,$A1755))&lt;0,
MIN(0,P1755-(OFFSET($C1755,0,$A1755)/(OFFSET($C1750,-$A1754,$A1755)))),
MAX(0,P1755-(OFFSET($C1755,0,$A1755)/(OFFSET($C1750,-$A1754,$A1755))))),0))</f>
        <v>0</v>
      </c>
      <c r="R1755" s="1423">
        <f t="shared" ca="1" si="2544"/>
        <v>0</v>
      </c>
      <c r="S1755" s="1423">
        <f t="shared" ca="1" si="2545"/>
        <v>0</v>
      </c>
      <c r="T1755" s="1423">
        <f t="shared" ca="1" si="2546"/>
        <v>0</v>
      </c>
      <c r="U1755" s="1423">
        <f t="shared" ca="1" si="2547"/>
        <v>0</v>
      </c>
      <c r="V1755" s="1423">
        <f t="shared" ca="1" si="2548"/>
        <v>0</v>
      </c>
      <c r="W1755" s="1423">
        <f t="shared" ca="1" si="2549"/>
        <v>0</v>
      </c>
      <c r="X1755" s="202"/>
      <c r="Y1755" s="202"/>
      <c r="Z1755" s="202"/>
      <c r="AA1755" s="152"/>
      <c r="AB1755" s="152"/>
    </row>
    <row r="1756" spans="1:28" hidden="1" outlineLevel="1">
      <c r="A1756" s="199">
        <f t="shared" si="2550"/>
        <v>14</v>
      </c>
      <c r="B1756" s="190" t="str">
        <f t="shared" ca="1" si="2551"/>
        <v>Depreciated Net Capex 2029-30</v>
      </c>
      <c r="C1756" s="1426"/>
      <c r="D1756" s="1426"/>
      <c r="E1756" s="1426"/>
      <c r="F1756" s="1426"/>
      <c r="G1756" s="1426"/>
      <c r="H1756" s="1426"/>
      <c r="I1756" s="1426"/>
      <c r="J1756" s="1426"/>
      <c r="K1756" s="1426"/>
      <c r="L1756" s="1426"/>
      <c r="M1756" s="1426"/>
      <c r="N1756" s="1426"/>
      <c r="O1756" s="1426"/>
      <c r="P1756" s="1427"/>
      <c r="Q1756" s="1428">
        <f>Q1737</f>
        <v>0</v>
      </c>
      <c r="R1756" s="1423">
        <f ca="1">IF(Q1780="n/a",Q1756,IFERROR(IF((OFFSET($C1756,0,$A1756))&lt;0,
MIN(0,Q1756-(OFFSET($C1756,0,$A1756)/(OFFSET($C1751,-$A1755,$A1756)))),
MAX(0,Q1756-(OFFSET($C1756,0,$A1756)/(OFFSET($C1751,-$A1755,$A1756))))),0))</f>
        <v>0</v>
      </c>
      <c r="S1756" s="1423">
        <f t="shared" ca="1" si="2545"/>
        <v>0</v>
      </c>
      <c r="T1756" s="1423">
        <f t="shared" ca="1" si="2546"/>
        <v>0</v>
      </c>
      <c r="U1756" s="1423">
        <f t="shared" ca="1" si="2547"/>
        <v>0</v>
      </c>
      <c r="V1756" s="1423">
        <f t="shared" ca="1" si="2548"/>
        <v>0</v>
      </c>
      <c r="W1756" s="1423">
        <f t="shared" ca="1" si="2549"/>
        <v>0</v>
      </c>
      <c r="X1756" s="202"/>
      <c r="Y1756" s="202"/>
      <c r="Z1756" s="202"/>
      <c r="AA1756" s="152"/>
      <c r="AB1756" s="152"/>
    </row>
    <row r="1757" spans="1:28" hidden="1" outlineLevel="1">
      <c r="A1757" s="199">
        <f t="shared" si="2550"/>
        <v>15</v>
      </c>
      <c r="B1757" s="190" t="str">
        <f t="shared" ca="1" si="2551"/>
        <v>Depreciated Net Capex 2030-31</v>
      </c>
      <c r="C1757" s="1426"/>
      <c r="D1757" s="1426"/>
      <c r="E1757" s="1426"/>
      <c r="F1757" s="1426"/>
      <c r="G1757" s="1426"/>
      <c r="H1757" s="1426"/>
      <c r="I1757" s="1426"/>
      <c r="J1757" s="1426"/>
      <c r="K1757" s="1426"/>
      <c r="L1757" s="1426"/>
      <c r="M1757" s="1426"/>
      <c r="N1757" s="1426"/>
      <c r="O1757" s="1426"/>
      <c r="P1757" s="1426"/>
      <c r="Q1757" s="1427"/>
      <c r="R1757" s="1428">
        <f>R1737</f>
        <v>0</v>
      </c>
      <c r="S1757" s="1423">
        <f ca="1">IF(R1781="n/a",R1757,IFERROR(IF((OFFSET($C1757,0,$A1757))&lt;0,
MIN(0,R1757-(OFFSET($C1757,0,$A1757)/(OFFSET($C1752,-$A1756,$A1757)))),
MAX(0,R1757-(OFFSET($C1757,0,$A1757)/(OFFSET($C1752,-$A1756,$A1757))))),0))</f>
        <v>0</v>
      </c>
      <c r="T1757" s="1423">
        <f t="shared" ca="1" si="2546"/>
        <v>0</v>
      </c>
      <c r="U1757" s="1423">
        <f t="shared" ca="1" si="2547"/>
        <v>0</v>
      </c>
      <c r="V1757" s="1423">
        <f t="shared" ca="1" si="2548"/>
        <v>0</v>
      </c>
      <c r="W1757" s="1423">
        <f t="shared" ca="1" si="2549"/>
        <v>0</v>
      </c>
      <c r="X1757" s="202"/>
      <c r="Y1757" s="202"/>
      <c r="Z1757" s="202"/>
      <c r="AA1757" s="152"/>
      <c r="AB1757" s="152"/>
    </row>
    <row r="1758" spans="1:28" hidden="1" outlineLevel="1">
      <c r="A1758" s="199">
        <f t="shared" si="2550"/>
        <v>16</v>
      </c>
      <c r="B1758" s="190" t="str">
        <f t="shared" ca="1" si="2551"/>
        <v>Depreciated Net Capex 2031-32</v>
      </c>
      <c r="C1758" s="1426"/>
      <c r="D1758" s="1426"/>
      <c r="E1758" s="1426"/>
      <c r="F1758" s="1426"/>
      <c r="G1758" s="1426"/>
      <c r="H1758" s="1426"/>
      <c r="I1758" s="1426"/>
      <c r="J1758" s="1426"/>
      <c r="K1758" s="1426"/>
      <c r="L1758" s="1426"/>
      <c r="M1758" s="1426"/>
      <c r="N1758" s="1426"/>
      <c r="O1758" s="1426"/>
      <c r="P1758" s="1426"/>
      <c r="Q1758" s="1426"/>
      <c r="R1758" s="1427"/>
      <c r="S1758" s="1428">
        <f>S1737</f>
        <v>0</v>
      </c>
      <c r="T1758" s="1423">
        <f ca="1">IF(S1782="n/a",S1758,IFERROR(IF((OFFSET($C1758,0,$A1758))&lt;0,
MIN(0,S1758-(OFFSET($C1758,0,$A1758)/(OFFSET($C1753,-$A1757,$A1758)))),
MAX(0,S1758-(OFFSET($C1758,0,$A1758)/(OFFSET($C1753,-$A1757,$A1758))))),0))</f>
        <v>0</v>
      </c>
      <c r="U1758" s="1423">
        <f t="shared" ca="1" si="2547"/>
        <v>0</v>
      </c>
      <c r="V1758" s="1423">
        <f t="shared" ca="1" si="2548"/>
        <v>0</v>
      </c>
      <c r="W1758" s="1423">
        <f t="shared" ca="1" si="2549"/>
        <v>0</v>
      </c>
      <c r="X1758" s="202"/>
      <c r="Y1758" s="202"/>
      <c r="Z1758" s="202"/>
      <c r="AA1758" s="152"/>
      <c r="AB1758" s="152"/>
    </row>
    <row r="1759" spans="1:28" hidden="1" outlineLevel="1">
      <c r="A1759" s="199">
        <f t="shared" si="2550"/>
        <v>17</v>
      </c>
      <c r="B1759" s="190" t="str">
        <f t="shared" ca="1" si="2551"/>
        <v>Depreciated Net Capex 2032-33</v>
      </c>
      <c r="C1759" s="1426"/>
      <c r="D1759" s="1426"/>
      <c r="E1759" s="1426"/>
      <c r="F1759" s="1426"/>
      <c r="G1759" s="1426"/>
      <c r="H1759" s="1426"/>
      <c r="I1759" s="1426"/>
      <c r="J1759" s="1426"/>
      <c r="K1759" s="1426"/>
      <c r="L1759" s="1426"/>
      <c r="M1759" s="1426"/>
      <c r="N1759" s="1426"/>
      <c r="O1759" s="1426"/>
      <c r="P1759" s="1426"/>
      <c r="Q1759" s="1426"/>
      <c r="R1759" s="1426"/>
      <c r="S1759" s="1427"/>
      <c r="T1759" s="1428">
        <f>T1737</f>
        <v>0</v>
      </c>
      <c r="U1759" s="1423">
        <f ca="1">IF(T1783="n/a",T1759,IFERROR(IF((OFFSET($C1759,0,$A1759))&lt;0,
MIN(0,T1759-(OFFSET($C1759,0,$A1759)/(OFFSET($C1754,-$A1758,$A1759)))),
MAX(0,T1759-(OFFSET($C1759,0,$A1759)/(OFFSET($C1754,-$A1758,$A1759))))),0))</f>
        <v>0</v>
      </c>
      <c r="V1759" s="1423">
        <f t="shared" ca="1" si="2548"/>
        <v>0</v>
      </c>
      <c r="W1759" s="1423">
        <f t="shared" ca="1" si="2549"/>
        <v>0</v>
      </c>
      <c r="X1759" s="202"/>
      <c r="Y1759" s="202"/>
      <c r="Z1759" s="202"/>
      <c r="AA1759" s="152"/>
      <c r="AB1759" s="152"/>
    </row>
    <row r="1760" spans="1:28" hidden="1" outlineLevel="1">
      <c r="A1760" s="199">
        <f t="shared" si="2550"/>
        <v>18</v>
      </c>
      <c r="B1760" s="190" t="str">
        <f t="shared" ca="1" si="2551"/>
        <v>Depreciated Net Capex 2033-34</v>
      </c>
      <c r="C1760" s="1426"/>
      <c r="D1760" s="1426"/>
      <c r="E1760" s="1426"/>
      <c r="F1760" s="1426"/>
      <c r="G1760" s="1426"/>
      <c r="H1760" s="1426"/>
      <c r="I1760" s="1426"/>
      <c r="J1760" s="1426"/>
      <c r="K1760" s="1426"/>
      <c r="L1760" s="1426"/>
      <c r="M1760" s="1426"/>
      <c r="N1760" s="1426"/>
      <c r="O1760" s="1426"/>
      <c r="P1760" s="1426"/>
      <c r="Q1760" s="1426"/>
      <c r="R1760" s="1426"/>
      <c r="S1760" s="1426"/>
      <c r="T1760" s="1427"/>
      <c r="U1760" s="1428">
        <f>U1737</f>
        <v>0</v>
      </c>
      <c r="V1760" s="1423">
        <f ca="1">IF(U1784="n/a",U1760,IFERROR(IF((OFFSET($C1760,0,$A1760))&lt;0,
MIN(0,U1760-(OFFSET($C1760,0,$A1760)/(OFFSET($C1755,-$A1759,$A1760)))),
MAX(0,U1760-(OFFSET($C1760,0,$A1760)/(OFFSET($C1755,-$A1759,$A1760))))),0))</f>
        <v>0</v>
      </c>
      <c r="W1760" s="1423">
        <f t="shared" ca="1" si="2549"/>
        <v>0</v>
      </c>
      <c r="X1760" s="202"/>
      <c r="Y1760" s="202"/>
      <c r="Z1760" s="202"/>
      <c r="AA1760" s="152"/>
      <c r="AB1760" s="152"/>
    </row>
    <row r="1761" spans="1:28" hidden="1" outlineLevel="1">
      <c r="A1761" s="199">
        <f t="shared" si="2550"/>
        <v>19</v>
      </c>
      <c r="B1761" s="190" t="str">
        <f t="shared" ca="1" si="2551"/>
        <v>Depreciated Net Capex 2034-35</v>
      </c>
      <c r="C1761" s="1426"/>
      <c r="D1761" s="1426"/>
      <c r="E1761" s="1426"/>
      <c r="F1761" s="1426"/>
      <c r="G1761" s="1426"/>
      <c r="H1761" s="1426"/>
      <c r="I1761" s="1426"/>
      <c r="J1761" s="1426"/>
      <c r="K1761" s="1426"/>
      <c r="L1761" s="1426"/>
      <c r="M1761" s="1426"/>
      <c r="N1761" s="1426"/>
      <c r="O1761" s="1426"/>
      <c r="P1761" s="1426"/>
      <c r="Q1761" s="1426"/>
      <c r="R1761" s="1426"/>
      <c r="S1761" s="1426"/>
      <c r="T1761" s="1426"/>
      <c r="U1761" s="1427"/>
      <c r="V1761" s="1428">
        <f>V1737</f>
        <v>0</v>
      </c>
      <c r="W1761" s="1423">
        <f ca="1">IF(V1785="n/a",V1761,IFERROR(IF((OFFSET($C1761,0,$A1761))&lt;0,
MIN(0,V1761-(OFFSET($C1761,0,$A1761)/(OFFSET($C1756,-$A1760,$A1761)))),
MAX(0,V1761-(OFFSET($C1761,0,$A1761)/(OFFSET($C1756,-$A1760,$A1761))))),0))</f>
        <v>0</v>
      </c>
      <c r="X1761" s="202"/>
      <c r="Y1761" s="202"/>
      <c r="Z1761" s="202"/>
      <c r="AA1761" s="152"/>
      <c r="AB1761" s="152"/>
    </row>
    <row r="1762" spans="1:28" hidden="1" outlineLevel="1">
      <c r="A1762" s="199">
        <f t="shared" si="2550"/>
        <v>20</v>
      </c>
      <c r="B1762" s="190" t="str">
        <f t="shared" ca="1" si="2551"/>
        <v>Depreciated Net Capex 2035-36</v>
      </c>
      <c r="C1762" s="1426"/>
      <c r="D1762" s="1426"/>
      <c r="E1762" s="1426"/>
      <c r="F1762" s="1426"/>
      <c r="G1762" s="1426"/>
      <c r="H1762" s="1426"/>
      <c r="I1762" s="1426"/>
      <c r="J1762" s="1426"/>
      <c r="K1762" s="1426"/>
      <c r="L1762" s="1426"/>
      <c r="M1762" s="1426"/>
      <c r="N1762" s="1426"/>
      <c r="O1762" s="1426"/>
      <c r="P1762" s="1426"/>
      <c r="Q1762" s="1426"/>
      <c r="R1762" s="1426"/>
      <c r="S1762" s="1426"/>
      <c r="T1762" s="1426"/>
      <c r="U1762" s="1426"/>
      <c r="V1762" s="1427"/>
      <c r="W1762" s="1423">
        <f>W1737</f>
        <v>0</v>
      </c>
      <c r="X1762" s="152"/>
      <c r="Y1762" s="152"/>
      <c r="Z1762" s="152"/>
      <c r="AA1762" s="152"/>
      <c r="AB1762" s="152"/>
    </row>
    <row r="1763" spans="1:28" hidden="1" outlineLevel="1">
      <c r="A1763" s="152"/>
      <c r="B1763" s="200"/>
      <c r="C1763" s="1423"/>
      <c r="D1763" s="1423"/>
      <c r="E1763" s="1423"/>
      <c r="F1763" s="1423"/>
      <c r="G1763" s="1423"/>
      <c r="H1763" s="1423"/>
      <c r="I1763" s="1423"/>
      <c r="J1763" s="1423"/>
      <c r="K1763" s="1423"/>
      <c r="L1763" s="1423"/>
      <c r="M1763" s="1423"/>
      <c r="N1763" s="1423"/>
      <c r="O1763" s="1423"/>
      <c r="P1763" s="1423"/>
      <c r="Q1763" s="1423"/>
      <c r="R1763" s="1423"/>
      <c r="S1763" s="1423"/>
      <c r="T1763" s="1423"/>
      <c r="U1763" s="1423"/>
      <c r="V1763" s="1423"/>
      <c r="W1763" s="1423"/>
      <c r="X1763" s="152"/>
      <c r="Y1763" s="152"/>
      <c r="Z1763" s="152"/>
      <c r="AA1763" s="152"/>
      <c r="AB1763" s="152"/>
    </row>
    <row r="1764" spans="1:28" hidden="1" outlineLevel="1">
      <c r="A1764" s="152"/>
      <c r="B1764" s="200"/>
      <c r="C1764" s="1423"/>
      <c r="D1764" s="1423"/>
      <c r="E1764" s="1423"/>
      <c r="F1764" s="1423"/>
      <c r="G1764" s="1423"/>
      <c r="H1764" s="1423"/>
      <c r="I1764" s="1423"/>
      <c r="J1764" s="1423"/>
      <c r="K1764" s="1423"/>
      <c r="L1764" s="1423"/>
      <c r="M1764" s="1423"/>
      <c r="N1764" s="1423"/>
      <c r="O1764" s="1423"/>
      <c r="P1764" s="1423"/>
      <c r="Q1764" s="1423"/>
      <c r="R1764" s="1423"/>
      <c r="S1764" s="1423"/>
      <c r="T1764" s="1423"/>
      <c r="U1764" s="1423"/>
      <c r="V1764" s="1423"/>
      <c r="W1764" s="1423"/>
      <c r="X1764" s="152"/>
      <c r="Y1764" s="152"/>
      <c r="Z1764" s="152"/>
      <c r="AA1764" s="152"/>
      <c r="AB1764" s="152"/>
    </row>
    <row r="1765" spans="1:28" hidden="1" outlineLevel="1">
      <c r="A1765" s="152"/>
      <c r="B1765" s="190" t="s">
        <v>194</v>
      </c>
      <c r="C1765" s="1423"/>
      <c r="D1765" s="1423">
        <f t="shared" ref="D1765" ca="1" si="2552">IF(AND(C1765&lt;1,D1739=0),0,
IF(D1739=0,C1765-1,
IF(C1765&lt;1,D1740,
(((C1765-1)*(C1741-(C1741/(C1765))))+(D1739*D1740))/(D1741))))</f>
        <v>0</v>
      </c>
      <c r="E1765" s="1423">
        <f t="shared" ref="E1765" ca="1" si="2553">IF(AND(D1765&lt;1,E1739=0),0,
IF(E1739=0,D1765-1,
IF(D1765&lt;1,E1740,
(((D1765-1)*(D1741-(D1741/(D1765))))+(E1739*E1740))/(E1741))))</f>
        <v>0</v>
      </c>
      <c r="F1765" s="1423">
        <f t="shared" ref="F1765" ca="1" si="2554">IF(AND(E1765&lt;1,F1739=0),0,
IF(F1739=0,E1765-1,
IF(E1765&lt;1,F1740,
(((E1765-1)*(E1741-(E1741/(E1765))))+(F1739*F1740))/(F1741))))</f>
        <v>0</v>
      </c>
      <c r="G1765" s="1423">
        <f t="shared" ref="G1765" ca="1" si="2555">IF(AND(F1765&lt;1,G1739=0),0,
IF(G1739=0,F1765-1,
IF(F1765&lt;1,G1740,
(((F1765-1)*(F1741-(F1741/(F1765))))+(G1739*G1740))/(G1741))))</f>
        <v>0</v>
      </c>
      <c r="H1765" s="1423">
        <f ca="1">IF(AND(G1765&lt;1,H1739=0),0,
IF(H1739=0,G1765-1,
IF(G1765&lt;1,H1740,
(((G1765-1)*(G1741-(G1741/(G1765))))+(H1739*H1740))/(H1741))))</f>
        <v>0</v>
      </c>
      <c r="I1765" s="1423">
        <f t="shared" ref="I1765" ca="1" si="2556">IF(AND(H1765&lt;1,I1739=0),0,
IF(I1739=0,H1765-1,
IF(H1765&lt;1,I1740,
(((H1765-1)*(H1741-(H1741/(H1765))))+(I1739*I1740))/(I1741))))</f>
        <v>0</v>
      </c>
      <c r="J1765" s="1423">
        <f t="shared" ref="J1765" ca="1" si="2557">IF(AND(I1765&lt;1,J1739=0),0,
IF(J1739=0,I1765-1,
IF(I1765&lt;1,J1740,
(((I1765-1)*(I1741-(I1741/(I1765))))+(J1739*J1740))/(J1741))))</f>
        <v>0</v>
      </c>
      <c r="K1765" s="1423">
        <f t="shared" ref="K1765" ca="1" si="2558">IF(AND(J1765&lt;1,K1739=0),0,
IF(K1739=0,J1765-1,
IF(J1765&lt;1,K1740,
(((J1765-1)*(J1741-(J1741/(J1765))))+(K1739*K1740))/(K1741))))</f>
        <v>0</v>
      </c>
      <c r="L1765" s="1423">
        <f t="shared" ref="L1765" ca="1" si="2559">IF(AND(K1765&lt;1,L1739=0),0,
IF(L1739=0,K1765-1,
IF(K1765&lt;1,L1740,
(((K1765-1)*(K1741-(K1741/(K1765))))+(L1739*L1740))/(L1741))))</f>
        <v>0</v>
      </c>
      <c r="M1765" s="1423">
        <f ca="1">IF(AND(L1765&lt;1,M1739=0),0,
IF(M1739=0,L1765-1,
IF(L1765&lt;1,M1740,
(((L1765-1)*(L1741-(L1741/(L1765))))+(M1739*M1740))/(M1741))))</f>
        <v>0</v>
      </c>
      <c r="N1765" s="1423">
        <f t="shared" ref="N1765" ca="1" si="2560">IF(AND(M1765&lt;1,N1739=0),0,
IF(N1739=0,M1765-1,
IF(M1765&lt;1,N1740,
(((M1765-1)*(M1741-(M1741/(M1765))))+(N1739*N1740))/(N1741))))</f>
        <v>0</v>
      </c>
      <c r="O1765" s="1423">
        <f t="shared" ref="O1765" ca="1" si="2561">IF(AND(N1765&lt;1,O1739=0),0,
IF(O1739=0,N1765-1,
IF(N1765&lt;1,O1740,
(((N1765-1)*(N1741-(N1741/(N1765))))+(O1739*O1740))/(O1741))))</f>
        <v>0</v>
      </c>
      <c r="P1765" s="1423">
        <f t="shared" ref="P1765" ca="1" si="2562">IF(AND(O1765&lt;1,P1739=0),0,
IF(P1739=0,O1765-1,
IF(O1765&lt;1,P1740,
(((O1765-1)*(O1741-(O1741/(O1765))))+(P1739*P1740))/(P1741))))</f>
        <v>0</v>
      </c>
      <c r="Q1765" s="1423">
        <f t="shared" ref="Q1765" ca="1" si="2563">IF(AND(P1765&lt;1,Q1739=0),0,
IF(Q1739=0,P1765-1,
IF(P1765&lt;1,Q1740,
(((P1765-1)*(P1741-(P1741/(P1765))))+(Q1739*Q1740))/(Q1741))))</f>
        <v>0</v>
      </c>
      <c r="R1765" s="1423">
        <f t="shared" ref="R1765" ca="1" si="2564">IF(AND(Q1765&lt;1,R1739=0),0,
IF(R1739=0,Q1765-1,
IF(Q1765&lt;1,R1740,
(((Q1765-1)*(Q1741-(Q1741/(Q1765))))+(R1739*R1740))/(R1741))))</f>
        <v>0</v>
      </c>
      <c r="S1765" s="1423">
        <f t="shared" ref="S1765" ca="1" si="2565">IF(AND(R1765&lt;1,S1739=0),0,
IF(S1739=0,R1765-1,
IF(R1765&lt;1,S1740,
(((R1765-1)*(R1741-(R1741/(R1765))))+(S1739*S1740))/(S1741))))</f>
        <v>0</v>
      </c>
      <c r="T1765" s="1423">
        <f t="shared" ref="T1765" ca="1" si="2566">IF(AND(S1765&lt;1,T1739=0),0,
IF(T1739=0,S1765-1,
IF(S1765&lt;1,T1740,
(((S1765-1)*(S1741-(S1741/(S1765))))+(T1739*T1740))/(T1741))))</f>
        <v>0</v>
      </c>
      <c r="U1765" s="1423">
        <f t="shared" ref="U1765" ca="1" si="2567">IF(AND(T1765&lt;1,U1739=0),0,
IF(U1739=0,T1765-1,
IF(T1765&lt;1,U1740,
(((T1765-1)*(T1741-(T1741/(T1765))))+(U1739*U1740))/(U1741))))</f>
        <v>0</v>
      </c>
      <c r="V1765" s="1423">
        <f t="shared" ref="V1765" ca="1" si="2568">IF(AND(U1765&lt;1,V1739=0),0,
IF(V1739=0,U1765-1,
IF(U1765&lt;1,V1740,
(((U1765-1)*(U1741-(U1741/(U1765))))+(V1739*V1740))/(V1741))))</f>
        <v>0</v>
      </c>
      <c r="W1765" s="1423">
        <f t="shared" ref="W1765" ca="1" si="2569">IF(AND(V1765&lt;1,W1739=0),0,
IF(W1739=0,V1765-1,
IF(V1765&lt;1,W1740,
(((V1765-1)*(V1741-(V1741/(V1765))))+(W1739*W1740))/(W1741))))</f>
        <v>0</v>
      </c>
      <c r="X1765" s="152"/>
      <c r="Y1765" s="152"/>
      <c r="Z1765" s="152"/>
      <c r="AA1765" s="152"/>
      <c r="AB1765" s="152"/>
    </row>
    <row r="1766" spans="1:28" hidden="1" outlineLevel="1">
      <c r="A1766" s="152"/>
      <c r="B1766" s="190" t="s">
        <v>193</v>
      </c>
      <c r="C1766" s="1423">
        <f ca="1">C1738</f>
        <v>0</v>
      </c>
      <c r="D1766" s="1423">
        <f t="shared" ref="D1766" ca="1" si="2570">IF(C1766="n/a","n/a",MAX(0,C1766-1))</f>
        <v>0</v>
      </c>
      <c r="E1766" s="1423">
        <f t="shared" ref="E1766:E1767" ca="1" si="2571">IF(D1766="n/a","n/a",MAX(0,D1766-1))</f>
        <v>0</v>
      </c>
      <c r="F1766" s="1423">
        <f t="shared" ref="F1766:F1768" ca="1" si="2572">IF(E1766="n/a","n/a",MAX(0,E1766-1))</f>
        <v>0</v>
      </c>
      <c r="G1766" s="1423">
        <f t="shared" ref="G1766:G1769" ca="1" si="2573">IF(F1766="n/a","n/a",MAX(0,F1766-1))</f>
        <v>0</v>
      </c>
      <c r="H1766" s="1423">
        <f t="shared" ref="H1766:H1770" ca="1" si="2574">IF(G1766="n/a","n/a",MAX(0,G1766-1))</f>
        <v>0</v>
      </c>
      <c r="I1766" s="1423">
        <f t="shared" ref="I1766:I1771" ca="1" si="2575">IF(H1766="n/a","n/a",MAX(0,H1766-1))</f>
        <v>0</v>
      </c>
      <c r="J1766" s="1423">
        <f t="shared" ref="J1766:J1772" ca="1" si="2576">IF(I1766="n/a","n/a",MAX(0,I1766-1))</f>
        <v>0</v>
      </c>
      <c r="K1766" s="1423">
        <f t="shared" ref="K1766:K1773" ca="1" si="2577">IF(J1766="n/a","n/a",MAX(0,J1766-1))</f>
        <v>0</v>
      </c>
      <c r="L1766" s="1423">
        <f t="shared" ref="L1766:L1774" ca="1" si="2578">IF(K1766="n/a","n/a",MAX(0,K1766-1))</f>
        <v>0</v>
      </c>
      <c r="M1766" s="1423">
        <f t="shared" ref="M1766:M1775" ca="1" si="2579">IF(L1766="n/a","n/a",MAX(0,L1766-1))</f>
        <v>0</v>
      </c>
      <c r="N1766" s="1423">
        <f t="shared" ref="N1766:N1776" ca="1" si="2580">IF(M1766="n/a","n/a",MAX(0,M1766-1))</f>
        <v>0</v>
      </c>
      <c r="O1766" s="1423">
        <f t="shared" ref="O1766:O1777" ca="1" si="2581">IF(N1766="n/a","n/a",MAX(0,N1766-1))</f>
        <v>0</v>
      </c>
      <c r="P1766" s="1423">
        <f t="shared" ref="P1766:P1778" ca="1" si="2582">IF(O1766="n/a","n/a",MAX(0,O1766-1))</f>
        <v>0</v>
      </c>
      <c r="Q1766" s="1423">
        <f t="shared" ref="Q1766:Q1779" ca="1" si="2583">IF(P1766="n/a","n/a",MAX(0,P1766-1))</f>
        <v>0</v>
      </c>
      <c r="R1766" s="1423">
        <f t="shared" ref="R1766:R1780" ca="1" si="2584">IF(Q1766="n/a","n/a",MAX(0,Q1766-1))</f>
        <v>0</v>
      </c>
      <c r="S1766" s="1423">
        <f t="shared" ref="S1766:S1781" ca="1" si="2585">IF(R1766="n/a","n/a",MAX(0,R1766-1))</f>
        <v>0</v>
      </c>
      <c r="T1766" s="1423">
        <f t="shared" ref="T1766:T1782" ca="1" si="2586">IF(S1766="n/a","n/a",MAX(0,S1766-1))</f>
        <v>0</v>
      </c>
      <c r="U1766" s="1423">
        <f t="shared" ref="U1766:U1783" ca="1" si="2587">IF(T1766="n/a","n/a",MAX(0,T1766-1))</f>
        <v>0</v>
      </c>
      <c r="V1766" s="1423">
        <f t="shared" ref="V1766:V1784" ca="1" si="2588">IF(U1766="n/a","n/a",MAX(0,U1766-1))</f>
        <v>0</v>
      </c>
      <c r="W1766" s="1423">
        <f t="shared" ref="W1766:W1784" ca="1" si="2589">IF(V1766="n/a","n/a",MAX(0,V1766-1))</f>
        <v>0</v>
      </c>
      <c r="X1766" s="152"/>
      <c r="Y1766" s="152"/>
      <c r="Z1766" s="152"/>
      <c r="AA1766" s="152"/>
      <c r="AB1766" s="152"/>
    </row>
    <row r="1767" spans="1:28" hidden="1" outlineLevel="1">
      <c r="A1767" s="152"/>
      <c r="B1767" s="190" t="str">
        <f t="shared" ref="B1767:B1786" ca="1" si="2590">"RL Capex "&amp;OFFSET($C$6,0,A1743)</f>
        <v>RL Capex 2016-17</v>
      </c>
      <c r="C1767" s="1424"/>
      <c r="D1767" s="1428">
        <f>D1738</f>
        <v>0</v>
      </c>
      <c r="E1767" s="1423">
        <f t="shared" si="2571"/>
        <v>0</v>
      </c>
      <c r="F1767" s="1423">
        <f t="shared" si="2572"/>
        <v>0</v>
      </c>
      <c r="G1767" s="1423">
        <f t="shared" si="2573"/>
        <v>0</v>
      </c>
      <c r="H1767" s="1423">
        <f t="shared" si="2574"/>
        <v>0</v>
      </c>
      <c r="I1767" s="1423">
        <f t="shared" si="2575"/>
        <v>0</v>
      </c>
      <c r="J1767" s="1423">
        <f t="shared" si="2576"/>
        <v>0</v>
      </c>
      <c r="K1767" s="1423">
        <f t="shared" si="2577"/>
        <v>0</v>
      </c>
      <c r="L1767" s="1423">
        <f t="shared" si="2578"/>
        <v>0</v>
      </c>
      <c r="M1767" s="1423">
        <f t="shared" si="2579"/>
        <v>0</v>
      </c>
      <c r="N1767" s="1423">
        <f t="shared" si="2580"/>
        <v>0</v>
      </c>
      <c r="O1767" s="1423">
        <f t="shared" si="2581"/>
        <v>0</v>
      </c>
      <c r="P1767" s="1423">
        <f t="shared" si="2582"/>
        <v>0</v>
      </c>
      <c r="Q1767" s="1423">
        <f t="shared" si="2583"/>
        <v>0</v>
      </c>
      <c r="R1767" s="1423">
        <f t="shared" si="2584"/>
        <v>0</v>
      </c>
      <c r="S1767" s="1423">
        <f t="shared" si="2585"/>
        <v>0</v>
      </c>
      <c r="T1767" s="1423">
        <f t="shared" si="2586"/>
        <v>0</v>
      </c>
      <c r="U1767" s="1423">
        <f t="shared" si="2587"/>
        <v>0</v>
      </c>
      <c r="V1767" s="1423">
        <f t="shared" si="2588"/>
        <v>0</v>
      </c>
      <c r="W1767" s="1423">
        <f t="shared" si="2589"/>
        <v>0</v>
      </c>
      <c r="X1767" s="152"/>
      <c r="Y1767" s="152"/>
      <c r="Z1767" s="152"/>
      <c r="AA1767" s="152"/>
      <c r="AB1767" s="152"/>
    </row>
    <row r="1768" spans="1:28" hidden="1" outlineLevel="1">
      <c r="A1768" s="152"/>
      <c r="B1768" s="190" t="str">
        <f t="shared" ca="1" si="2590"/>
        <v>RL Capex 2017-18</v>
      </c>
      <c r="C1768" s="1429"/>
      <c r="D1768" s="1424"/>
      <c r="E1768" s="1428">
        <f>E1738</f>
        <v>0</v>
      </c>
      <c r="F1768" s="1423">
        <f t="shared" si="2572"/>
        <v>0</v>
      </c>
      <c r="G1768" s="1423">
        <f t="shared" si="2573"/>
        <v>0</v>
      </c>
      <c r="H1768" s="1423">
        <f t="shared" si="2574"/>
        <v>0</v>
      </c>
      <c r="I1768" s="1423">
        <f t="shared" si="2575"/>
        <v>0</v>
      </c>
      <c r="J1768" s="1423">
        <f t="shared" si="2576"/>
        <v>0</v>
      </c>
      <c r="K1768" s="1423">
        <f t="shared" si="2577"/>
        <v>0</v>
      </c>
      <c r="L1768" s="1423">
        <f t="shared" si="2578"/>
        <v>0</v>
      </c>
      <c r="M1768" s="1423">
        <f t="shared" si="2579"/>
        <v>0</v>
      </c>
      <c r="N1768" s="1423">
        <f t="shared" si="2580"/>
        <v>0</v>
      </c>
      <c r="O1768" s="1423">
        <f t="shared" si="2581"/>
        <v>0</v>
      </c>
      <c r="P1768" s="1423">
        <f t="shared" si="2582"/>
        <v>0</v>
      </c>
      <c r="Q1768" s="1423">
        <f t="shared" si="2583"/>
        <v>0</v>
      </c>
      <c r="R1768" s="1423">
        <f t="shared" si="2584"/>
        <v>0</v>
      </c>
      <c r="S1768" s="1423">
        <f t="shared" si="2585"/>
        <v>0</v>
      </c>
      <c r="T1768" s="1423">
        <f t="shared" si="2586"/>
        <v>0</v>
      </c>
      <c r="U1768" s="1423">
        <f t="shared" si="2587"/>
        <v>0</v>
      </c>
      <c r="V1768" s="1423">
        <f t="shared" si="2588"/>
        <v>0</v>
      </c>
      <c r="W1768" s="1423">
        <f t="shared" si="2589"/>
        <v>0</v>
      </c>
      <c r="X1768" s="152"/>
      <c r="Y1768" s="152"/>
      <c r="Z1768" s="152"/>
      <c r="AA1768" s="152"/>
      <c r="AB1768" s="152"/>
    </row>
    <row r="1769" spans="1:28" hidden="1" outlineLevel="1">
      <c r="A1769" s="152"/>
      <c r="B1769" s="190" t="str">
        <f t="shared" ca="1" si="2590"/>
        <v>RL Capex 2018-19</v>
      </c>
      <c r="C1769" s="1429"/>
      <c r="D1769" s="1429"/>
      <c r="E1769" s="1424"/>
      <c r="F1769" s="1428">
        <f>F1738</f>
        <v>0</v>
      </c>
      <c r="G1769" s="1423">
        <f t="shared" si="2573"/>
        <v>0</v>
      </c>
      <c r="H1769" s="1423">
        <f t="shared" si="2574"/>
        <v>0</v>
      </c>
      <c r="I1769" s="1423">
        <f t="shared" si="2575"/>
        <v>0</v>
      </c>
      <c r="J1769" s="1423">
        <f t="shared" si="2576"/>
        <v>0</v>
      </c>
      <c r="K1769" s="1423">
        <f t="shared" si="2577"/>
        <v>0</v>
      </c>
      <c r="L1769" s="1423">
        <f t="shared" si="2578"/>
        <v>0</v>
      </c>
      <c r="M1769" s="1423">
        <f t="shared" si="2579"/>
        <v>0</v>
      </c>
      <c r="N1769" s="1423">
        <f t="shared" si="2580"/>
        <v>0</v>
      </c>
      <c r="O1769" s="1423">
        <f t="shared" si="2581"/>
        <v>0</v>
      </c>
      <c r="P1769" s="1423">
        <f t="shared" si="2582"/>
        <v>0</v>
      </c>
      <c r="Q1769" s="1423">
        <f t="shared" si="2583"/>
        <v>0</v>
      </c>
      <c r="R1769" s="1423">
        <f t="shared" si="2584"/>
        <v>0</v>
      </c>
      <c r="S1769" s="1423">
        <f t="shared" si="2585"/>
        <v>0</v>
      </c>
      <c r="T1769" s="1423">
        <f t="shared" si="2586"/>
        <v>0</v>
      </c>
      <c r="U1769" s="1423">
        <f t="shared" si="2587"/>
        <v>0</v>
      </c>
      <c r="V1769" s="1423">
        <f t="shared" si="2588"/>
        <v>0</v>
      </c>
      <c r="W1769" s="1423">
        <f t="shared" si="2589"/>
        <v>0</v>
      </c>
      <c r="X1769" s="152"/>
      <c r="Y1769" s="152"/>
      <c r="Z1769" s="152"/>
      <c r="AA1769" s="152"/>
      <c r="AB1769" s="152"/>
    </row>
    <row r="1770" spans="1:28" hidden="1" outlineLevel="1">
      <c r="A1770" s="152"/>
      <c r="B1770" s="190" t="str">
        <f t="shared" ca="1" si="2590"/>
        <v>RL Capex 2019-20</v>
      </c>
      <c r="C1770" s="1429"/>
      <c r="D1770" s="1429"/>
      <c r="E1770" s="1429"/>
      <c r="F1770" s="1424"/>
      <c r="G1770" s="1428">
        <f>G1738</f>
        <v>0</v>
      </c>
      <c r="H1770" s="1423">
        <f t="shared" si="2574"/>
        <v>0</v>
      </c>
      <c r="I1770" s="1423">
        <f t="shared" si="2575"/>
        <v>0</v>
      </c>
      <c r="J1770" s="1423">
        <f t="shared" si="2576"/>
        <v>0</v>
      </c>
      <c r="K1770" s="1423">
        <f t="shared" si="2577"/>
        <v>0</v>
      </c>
      <c r="L1770" s="1423">
        <f t="shared" si="2578"/>
        <v>0</v>
      </c>
      <c r="M1770" s="1423">
        <f t="shared" si="2579"/>
        <v>0</v>
      </c>
      <c r="N1770" s="1423">
        <f t="shared" si="2580"/>
        <v>0</v>
      </c>
      <c r="O1770" s="1423">
        <f t="shared" si="2581"/>
        <v>0</v>
      </c>
      <c r="P1770" s="1423">
        <f t="shared" si="2582"/>
        <v>0</v>
      </c>
      <c r="Q1770" s="1423">
        <f t="shared" si="2583"/>
        <v>0</v>
      </c>
      <c r="R1770" s="1423">
        <f t="shared" si="2584"/>
        <v>0</v>
      </c>
      <c r="S1770" s="1423">
        <f t="shared" si="2585"/>
        <v>0</v>
      </c>
      <c r="T1770" s="1423">
        <f t="shared" si="2586"/>
        <v>0</v>
      </c>
      <c r="U1770" s="1423">
        <f t="shared" si="2587"/>
        <v>0</v>
      </c>
      <c r="V1770" s="1423">
        <f t="shared" si="2588"/>
        <v>0</v>
      </c>
      <c r="W1770" s="1423">
        <f t="shared" si="2589"/>
        <v>0</v>
      </c>
      <c r="X1770" s="152"/>
      <c r="Y1770" s="152"/>
      <c r="Z1770" s="152"/>
      <c r="AA1770" s="152"/>
      <c r="AB1770" s="152"/>
    </row>
    <row r="1771" spans="1:28" hidden="1" outlineLevel="1">
      <c r="A1771" s="152"/>
      <c r="B1771" s="190" t="str">
        <f t="shared" ca="1" si="2590"/>
        <v>RL Capex 2020-21</v>
      </c>
      <c r="C1771" s="1429"/>
      <c r="D1771" s="1429"/>
      <c r="E1771" s="1429"/>
      <c r="F1771" s="1429"/>
      <c r="G1771" s="1424"/>
      <c r="H1771" s="1428">
        <f>H1738</f>
        <v>0</v>
      </c>
      <c r="I1771" s="1423">
        <f t="shared" si="2575"/>
        <v>0</v>
      </c>
      <c r="J1771" s="1423">
        <f t="shared" si="2576"/>
        <v>0</v>
      </c>
      <c r="K1771" s="1423">
        <f t="shared" si="2577"/>
        <v>0</v>
      </c>
      <c r="L1771" s="1423">
        <f t="shared" si="2578"/>
        <v>0</v>
      </c>
      <c r="M1771" s="1423">
        <f t="shared" si="2579"/>
        <v>0</v>
      </c>
      <c r="N1771" s="1423">
        <f t="shared" si="2580"/>
        <v>0</v>
      </c>
      <c r="O1771" s="1423">
        <f t="shared" si="2581"/>
        <v>0</v>
      </c>
      <c r="P1771" s="1423">
        <f t="shared" si="2582"/>
        <v>0</v>
      </c>
      <c r="Q1771" s="1423">
        <f t="shared" si="2583"/>
        <v>0</v>
      </c>
      <c r="R1771" s="1423">
        <f t="shared" si="2584"/>
        <v>0</v>
      </c>
      <c r="S1771" s="1423">
        <f t="shared" si="2585"/>
        <v>0</v>
      </c>
      <c r="T1771" s="1423">
        <f t="shared" si="2586"/>
        <v>0</v>
      </c>
      <c r="U1771" s="1423">
        <f t="shared" si="2587"/>
        <v>0</v>
      </c>
      <c r="V1771" s="1423">
        <f t="shared" si="2588"/>
        <v>0</v>
      </c>
      <c r="W1771" s="1423">
        <f t="shared" si="2589"/>
        <v>0</v>
      </c>
      <c r="X1771" s="152"/>
      <c r="Y1771" s="152"/>
      <c r="Z1771" s="152"/>
      <c r="AA1771" s="152"/>
      <c r="AB1771" s="152"/>
    </row>
    <row r="1772" spans="1:28" hidden="1" outlineLevel="1">
      <c r="A1772" s="152"/>
      <c r="B1772" s="190" t="str">
        <f t="shared" ca="1" si="2590"/>
        <v>RL Capex 2021-22</v>
      </c>
      <c r="C1772" s="1429"/>
      <c r="D1772" s="1429"/>
      <c r="E1772" s="1429"/>
      <c r="F1772" s="1429"/>
      <c r="G1772" s="1429"/>
      <c r="H1772" s="1424"/>
      <c r="I1772" s="1428">
        <f>I1738</f>
        <v>0</v>
      </c>
      <c r="J1772" s="1423">
        <f t="shared" si="2576"/>
        <v>0</v>
      </c>
      <c r="K1772" s="1423">
        <f t="shared" si="2577"/>
        <v>0</v>
      </c>
      <c r="L1772" s="1423">
        <f t="shared" si="2578"/>
        <v>0</v>
      </c>
      <c r="M1772" s="1423">
        <f t="shared" si="2579"/>
        <v>0</v>
      </c>
      <c r="N1772" s="1423">
        <f t="shared" si="2580"/>
        <v>0</v>
      </c>
      <c r="O1772" s="1423">
        <f t="shared" si="2581"/>
        <v>0</v>
      </c>
      <c r="P1772" s="1423">
        <f t="shared" si="2582"/>
        <v>0</v>
      </c>
      <c r="Q1772" s="1423">
        <f t="shared" si="2583"/>
        <v>0</v>
      </c>
      <c r="R1772" s="1423">
        <f t="shared" si="2584"/>
        <v>0</v>
      </c>
      <c r="S1772" s="1423">
        <f t="shared" si="2585"/>
        <v>0</v>
      </c>
      <c r="T1772" s="1423">
        <f t="shared" si="2586"/>
        <v>0</v>
      </c>
      <c r="U1772" s="1423">
        <f t="shared" si="2587"/>
        <v>0</v>
      </c>
      <c r="V1772" s="1423">
        <f t="shared" si="2588"/>
        <v>0</v>
      </c>
      <c r="W1772" s="1423">
        <f t="shared" si="2589"/>
        <v>0</v>
      </c>
      <c r="X1772" s="152"/>
      <c r="Y1772" s="152"/>
      <c r="Z1772" s="152"/>
      <c r="AA1772" s="152"/>
      <c r="AB1772" s="152"/>
    </row>
    <row r="1773" spans="1:28" hidden="1" outlineLevel="1">
      <c r="A1773" s="152"/>
      <c r="B1773" s="190" t="str">
        <f t="shared" ca="1" si="2590"/>
        <v>RL Capex 2022-23</v>
      </c>
      <c r="C1773" s="1429"/>
      <c r="D1773" s="1429"/>
      <c r="E1773" s="1429"/>
      <c r="F1773" s="1429"/>
      <c r="G1773" s="1429"/>
      <c r="H1773" s="1429"/>
      <c r="I1773" s="1424"/>
      <c r="J1773" s="1428">
        <f>J1738</f>
        <v>0</v>
      </c>
      <c r="K1773" s="1423">
        <f t="shared" si="2577"/>
        <v>0</v>
      </c>
      <c r="L1773" s="1423">
        <f t="shared" si="2578"/>
        <v>0</v>
      </c>
      <c r="M1773" s="1423">
        <f t="shared" si="2579"/>
        <v>0</v>
      </c>
      <c r="N1773" s="1423">
        <f t="shared" si="2580"/>
        <v>0</v>
      </c>
      <c r="O1773" s="1423">
        <f t="shared" si="2581"/>
        <v>0</v>
      </c>
      <c r="P1773" s="1423">
        <f t="shared" si="2582"/>
        <v>0</v>
      </c>
      <c r="Q1773" s="1423">
        <f t="shared" si="2583"/>
        <v>0</v>
      </c>
      <c r="R1773" s="1423">
        <f t="shared" si="2584"/>
        <v>0</v>
      </c>
      <c r="S1773" s="1423">
        <f t="shared" si="2585"/>
        <v>0</v>
      </c>
      <c r="T1773" s="1423">
        <f t="shared" si="2586"/>
        <v>0</v>
      </c>
      <c r="U1773" s="1423">
        <f t="shared" si="2587"/>
        <v>0</v>
      </c>
      <c r="V1773" s="1423">
        <f t="shared" si="2588"/>
        <v>0</v>
      </c>
      <c r="W1773" s="1423">
        <f t="shared" si="2589"/>
        <v>0</v>
      </c>
      <c r="X1773" s="152"/>
      <c r="Y1773" s="152"/>
      <c r="Z1773" s="152"/>
      <c r="AA1773" s="152"/>
      <c r="AB1773" s="152"/>
    </row>
    <row r="1774" spans="1:28" hidden="1" outlineLevel="1">
      <c r="A1774" s="152"/>
      <c r="B1774" s="190" t="str">
        <f t="shared" ca="1" si="2590"/>
        <v>RL Capex 2023-24</v>
      </c>
      <c r="C1774" s="1429"/>
      <c r="D1774" s="1429"/>
      <c r="E1774" s="1429"/>
      <c r="F1774" s="1429"/>
      <c r="G1774" s="1429"/>
      <c r="H1774" s="1429"/>
      <c r="I1774" s="1429"/>
      <c r="J1774" s="1424"/>
      <c r="K1774" s="1428">
        <f>K1738</f>
        <v>0</v>
      </c>
      <c r="L1774" s="1423">
        <f t="shared" si="2578"/>
        <v>0</v>
      </c>
      <c r="M1774" s="1423">
        <f t="shared" si="2579"/>
        <v>0</v>
      </c>
      <c r="N1774" s="1423">
        <f t="shared" si="2580"/>
        <v>0</v>
      </c>
      <c r="O1774" s="1423">
        <f t="shared" si="2581"/>
        <v>0</v>
      </c>
      <c r="P1774" s="1423">
        <f t="shared" si="2582"/>
        <v>0</v>
      </c>
      <c r="Q1774" s="1423">
        <f t="shared" si="2583"/>
        <v>0</v>
      </c>
      <c r="R1774" s="1423">
        <f t="shared" si="2584"/>
        <v>0</v>
      </c>
      <c r="S1774" s="1423">
        <f t="shared" si="2585"/>
        <v>0</v>
      </c>
      <c r="T1774" s="1423">
        <f t="shared" si="2586"/>
        <v>0</v>
      </c>
      <c r="U1774" s="1423">
        <f t="shared" si="2587"/>
        <v>0</v>
      </c>
      <c r="V1774" s="1423">
        <f t="shared" si="2588"/>
        <v>0</v>
      </c>
      <c r="W1774" s="1423">
        <f t="shared" si="2589"/>
        <v>0</v>
      </c>
      <c r="X1774" s="152"/>
      <c r="Y1774" s="152"/>
      <c r="Z1774" s="152"/>
      <c r="AA1774" s="152"/>
      <c r="AB1774" s="152"/>
    </row>
    <row r="1775" spans="1:28" hidden="1" outlineLevel="1">
      <c r="A1775" s="152"/>
      <c r="B1775" s="190" t="str">
        <f t="shared" ca="1" si="2590"/>
        <v>RL Capex 2024-25</v>
      </c>
      <c r="C1775" s="1429"/>
      <c r="D1775" s="1429"/>
      <c r="E1775" s="1429"/>
      <c r="F1775" s="1429"/>
      <c r="G1775" s="1429"/>
      <c r="H1775" s="1429"/>
      <c r="I1775" s="1429"/>
      <c r="J1775" s="1429"/>
      <c r="K1775" s="1424"/>
      <c r="L1775" s="1428">
        <f>L1738</f>
        <v>0</v>
      </c>
      <c r="M1775" s="1423">
        <f t="shared" si="2579"/>
        <v>0</v>
      </c>
      <c r="N1775" s="1423">
        <f t="shared" si="2580"/>
        <v>0</v>
      </c>
      <c r="O1775" s="1423">
        <f t="shared" si="2581"/>
        <v>0</v>
      </c>
      <c r="P1775" s="1423">
        <f t="shared" si="2582"/>
        <v>0</v>
      </c>
      <c r="Q1775" s="1423">
        <f t="shared" si="2583"/>
        <v>0</v>
      </c>
      <c r="R1775" s="1423">
        <f t="shared" si="2584"/>
        <v>0</v>
      </c>
      <c r="S1775" s="1423">
        <f t="shared" si="2585"/>
        <v>0</v>
      </c>
      <c r="T1775" s="1423">
        <f t="shared" si="2586"/>
        <v>0</v>
      </c>
      <c r="U1775" s="1423">
        <f t="shared" si="2587"/>
        <v>0</v>
      </c>
      <c r="V1775" s="1423">
        <f t="shared" si="2588"/>
        <v>0</v>
      </c>
      <c r="W1775" s="1423">
        <f t="shared" si="2589"/>
        <v>0</v>
      </c>
      <c r="X1775" s="152"/>
      <c r="Y1775" s="152"/>
      <c r="Z1775" s="152"/>
      <c r="AA1775" s="152"/>
      <c r="AB1775" s="152"/>
    </row>
    <row r="1776" spans="1:28" hidden="1" outlineLevel="1">
      <c r="A1776" s="152"/>
      <c r="B1776" s="190" t="str">
        <f t="shared" ca="1" si="2590"/>
        <v>RL Capex 2025-26</v>
      </c>
      <c r="C1776" s="1429"/>
      <c r="D1776" s="1429"/>
      <c r="E1776" s="1429"/>
      <c r="F1776" s="1429"/>
      <c r="G1776" s="1429"/>
      <c r="H1776" s="1429"/>
      <c r="I1776" s="1429"/>
      <c r="J1776" s="1429"/>
      <c r="K1776" s="1429"/>
      <c r="L1776" s="1424"/>
      <c r="M1776" s="1428">
        <f>M1738</f>
        <v>0</v>
      </c>
      <c r="N1776" s="1423">
        <f t="shared" si="2580"/>
        <v>0</v>
      </c>
      <c r="O1776" s="1423">
        <f t="shared" si="2581"/>
        <v>0</v>
      </c>
      <c r="P1776" s="1423">
        <f t="shared" si="2582"/>
        <v>0</v>
      </c>
      <c r="Q1776" s="1423">
        <f t="shared" si="2583"/>
        <v>0</v>
      </c>
      <c r="R1776" s="1423">
        <f t="shared" si="2584"/>
        <v>0</v>
      </c>
      <c r="S1776" s="1423">
        <f t="shared" si="2585"/>
        <v>0</v>
      </c>
      <c r="T1776" s="1423">
        <f t="shared" si="2586"/>
        <v>0</v>
      </c>
      <c r="U1776" s="1423">
        <f t="shared" si="2587"/>
        <v>0</v>
      </c>
      <c r="V1776" s="1423">
        <f t="shared" si="2588"/>
        <v>0</v>
      </c>
      <c r="W1776" s="1423">
        <f t="shared" si="2589"/>
        <v>0</v>
      </c>
      <c r="X1776" s="152"/>
      <c r="Y1776" s="152"/>
      <c r="Z1776" s="152"/>
      <c r="AA1776" s="152"/>
      <c r="AB1776" s="152"/>
    </row>
    <row r="1777" spans="1:28" hidden="1" outlineLevel="1">
      <c r="A1777" s="152"/>
      <c r="B1777" s="190" t="str">
        <f t="shared" ca="1" si="2590"/>
        <v>RL Capex 2026-27</v>
      </c>
      <c r="C1777" s="1429"/>
      <c r="D1777" s="1429"/>
      <c r="E1777" s="1429"/>
      <c r="F1777" s="1429"/>
      <c r="G1777" s="1429"/>
      <c r="H1777" s="1429"/>
      <c r="I1777" s="1429"/>
      <c r="J1777" s="1429"/>
      <c r="K1777" s="1429"/>
      <c r="L1777" s="1429"/>
      <c r="M1777" s="1424"/>
      <c r="N1777" s="1428">
        <f>N1738</f>
        <v>0</v>
      </c>
      <c r="O1777" s="1423">
        <f t="shared" si="2581"/>
        <v>0</v>
      </c>
      <c r="P1777" s="1423">
        <f t="shared" si="2582"/>
        <v>0</v>
      </c>
      <c r="Q1777" s="1423">
        <f t="shared" si="2583"/>
        <v>0</v>
      </c>
      <c r="R1777" s="1423">
        <f t="shared" si="2584"/>
        <v>0</v>
      </c>
      <c r="S1777" s="1423">
        <f t="shared" si="2585"/>
        <v>0</v>
      </c>
      <c r="T1777" s="1423">
        <f t="shared" si="2586"/>
        <v>0</v>
      </c>
      <c r="U1777" s="1423">
        <f t="shared" si="2587"/>
        <v>0</v>
      </c>
      <c r="V1777" s="1423">
        <f t="shared" si="2588"/>
        <v>0</v>
      </c>
      <c r="W1777" s="1423">
        <f t="shared" si="2589"/>
        <v>0</v>
      </c>
      <c r="X1777" s="152"/>
      <c r="Y1777" s="152"/>
      <c r="Z1777" s="152"/>
      <c r="AA1777" s="152"/>
      <c r="AB1777" s="152"/>
    </row>
    <row r="1778" spans="1:28" hidden="1" outlineLevel="1">
      <c r="A1778" s="152"/>
      <c r="B1778" s="190" t="str">
        <f t="shared" ca="1" si="2590"/>
        <v>RL Capex 2027-28</v>
      </c>
      <c r="C1778" s="1429"/>
      <c r="D1778" s="1429"/>
      <c r="E1778" s="1429"/>
      <c r="F1778" s="1429"/>
      <c r="G1778" s="1429"/>
      <c r="H1778" s="1429"/>
      <c r="I1778" s="1429"/>
      <c r="J1778" s="1429"/>
      <c r="K1778" s="1429"/>
      <c r="L1778" s="1429"/>
      <c r="M1778" s="1429"/>
      <c r="N1778" s="1424"/>
      <c r="O1778" s="1428">
        <f>O1738</f>
        <v>0</v>
      </c>
      <c r="P1778" s="1423">
        <f t="shared" si="2582"/>
        <v>0</v>
      </c>
      <c r="Q1778" s="1423">
        <f t="shared" si="2583"/>
        <v>0</v>
      </c>
      <c r="R1778" s="1423">
        <f t="shared" si="2584"/>
        <v>0</v>
      </c>
      <c r="S1778" s="1423">
        <f t="shared" si="2585"/>
        <v>0</v>
      </c>
      <c r="T1778" s="1423">
        <f t="shared" si="2586"/>
        <v>0</v>
      </c>
      <c r="U1778" s="1423">
        <f t="shared" si="2587"/>
        <v>0</v>
      </c>
      <c r="V1778" s="1423">
        <f t="shared" si="2588"/>
        <v>0</v>
      </c>
      <c r="W1778" s="1423">
        <f t="shared" si="2589"/>
        <v>0</v>
      </c>
      <c r="X1778" s="152"/>
      <c r="Y1778" s="152"/>
      <c r="Z1778" s="152"/>
      <c r="AA1778" s="152"/>
      <c r="AB1778" s="152"/>
    </row>
    <row r="1779" spans="1:28" hidden="1" outlineLevel="1">
      <c r="A1779" s="152"/>
      <c r="B1779" s="190" t="str">
        <f t="shared" ca="1" si="2590"/>
        <v>RL Capex 2028-29</v>
      </c>
      <c r="C1779" s="1429"/>
      <c r="D1779" s="1429"/>
      <c r="E1779" s="1429"/>
      <c r="F1779" s="1429"/>
      <c r="G1779" s="1429"/>
      <c r="H1779" s="1429"/>
      <c r="I1779" s="1429"/>
      <c r="J1779" s="1429"/>
      <c r="K1779" s="1429"/>
      <c r="L1779" s="1429"/>
      <c r="M1779" s="1429"/>
      <c r="N1779" s="1429"/>
      <c r="O1779" s="1424"/>
      <c r="P1779" s="1428">
        <f>P1738</f>
        <v>0</v>
      </c>
      <c r="Q1779" s="1423">
        <f t="shared" si="2583"/>
        <v>0</v>
      </c>
      <c r="R1779" s="1423">
        <f t="shared" si="2584"/>
        <v>0</v>
      </c>
      <c r="S1779" s="1423">
        <f t="shared" si="2585"/>
        <v>0</v>
      </c>
      <c r="T1779" s="1423">
        <f t="shared" si="2586"/>
        <v>0</v>
      </c>
      <c r="U1779" s="1423">
        <f t="shared" si="2587"/>
        <v>0</v>
      </c>
      <c r="V1779" s="1423">
        <f t="shared" si="2588"/>
        <v>0</v>
      </c>
      <c r="W1779" s="1423">
        <f t="shared" si="2589"/>
        <v>0</v>
      </c>
      <c r="X1779" s="152"/>
      <c r="Y1779" s="152"/>
      <c r="Z1779" s="152"/>
      <c r="AA1779" s="152"/>
      <c r="AB1779" s="152"/>
    </row>
    <row r="1780" spans="1:28" hidden="1" outlineLevel="1">
      <c r="A1780" s="152"/>
      <c r="B1780" s="190" t="str">
        <f t="shared" ca="1" si="2590"/>
        <v>RL Capex 2029-30</v>
      </c>
      <c r="C1780" s="1429"/>
      <c r="D1780" s="1429"/>
      <c r="E1780" s="1429"/>
      <c r="F1780" s="1429"/>
      <c r="G1780" s="1429"/>
      <c r="H1780" s="1429"/>
      <c r="I1780" s="1429"/>
      <c r="J1780" s="1429"/>
      <c r="K1780" s="1429"/>
      <c r="L1780" s="1429"/>
      <c r="M1780" s="1429"/>
      <c r="N1780" s="1429"/>
      <c r="O1780" s="1429"/>
      <c r="P1780" s="1424"/>
      <c r="Q1780" s="1428">
        <f>Q1738</f>
        <v>0</v>
      </c>
      <c r="R1780" s="1423">
        <f t="shared" si="2584"/>
        <v>0</v>
      </c>
      <c r="S1780" s="1423">
        <f t="shared" si="2585"/>
        <v>0</v>
      </c>
      <c r="T1780" s="1423">
        <f t="shared" si="2586"/>
        <v>0</v>
      </c>
      <c r="U1780" s="1423">
        <f t="shared" si="2587"/>
        <v>0</v>
      </c>
      <c r="V1780" s="1423">
        <f t="shared" si="2588"/>
        <v>0</v>
      </c>
      <c r="W1780" s="1423">
        <f t="shared" si="2589"/>
        <v>0</v>
      </c>
      <c r="X1780" s="152"/>
      <c r="Y1780" s="152"/>
      <c r="Z1780" s="152"/>
      <c r="AA1780" s="152"/>
      <c r="AB1780" s="152"/>
    </row>
    <row r="1781" spans="1:28" hidden="1" outlineLevel="1">
      <c r="A1781" s="152"/>
      <c r="B1781" s="190" t="str">
        <f t="shared" ca="1" si="2590"/>
        <v>RL Capex 2030-31</v>
      </c>
      <c r="C1781" s="1429"/>
      <c r="D1781" s="1429"/>
      <c r="E1781" s="1429"/>
      <c r="F1781" s="1429"/>
      <c r="G1781" s="1429"/>
      <c r="H1781" s="1429"/>
      <c r="I1781" s="1429"/>
      <c r="J1781" s="1429"/>
      <c r="K1781" s="1429"/>
      <c r="L1781" s="1429"/>
      <c r="M1781" s="1429"/>
      <c r="N1781" s="1429"/>
      <c r="O1781" s="1429"/>
      <c r="P1781" s="1429"/>
      <c r="Q1781" s="1424"/>
      <c r="R1781" s="1428">
        <f>R1738</f>
        <v>0</v>
      </c>
      <c r="S1781" s="1423">
        <f t="shared" si="2585"/>
        <v>0</v>
      </c>
      <c r="T1781" s="1423">
        <f t="shared" si="2586"/>
        <v>0</v>
      </c>
      <c r="U1781" s="1423">
        <f t="shared" si="2587"/>
        <v>0</v>
      </c>
      <c r="V1781" s="1423">
        <f t="shared" si="2588"/>
        <v>0</v>
      </c>
      <c r="W1781" s="1423">
        <f t="shared" si="2589"/>
        <v>0</v>
      </c>
      <c r="X1781" s="152"/>
      <c r="Y1781" s="152"/>
      <c r="Z1781" s="152"/>
      <c r="AA1781" s="152"/>
      <c r="AB1781" s="152"/>
    </row>
    <row r="1782" spans="1:28" hidden="1" outlineLevel="1">
      <c r="A1782" s="152"/>
      <c r="B1782" s="190" t="str">
        <f t="shared" ca="1" si="2590"/>
        <v>RL Capex 2031-32</v>
      </c>
      <c r="C1782" s="1429"/>
      <c r="D1782" s="1429"/>
      <c r="E1782" s="1429"/>
      <c r="F1782" s="1429"/>
      <c r="G1782" s="1429"/>
      <c r="H1782" s="1429"/>
      <c r="I1782" s="1429"/>
      <c r="J1782" s="1429"/>
      <c r="K1782" s="1429"/>
      <c r="L1782" s="1429"/>
      <c r="M1782" s="1429"/>
      <c r="N1782" s="1429"/>
      <c r="O1782" s="1429"/>
      <c r="P1782" s="1429"/>
      <c r="Q1782" s="1429"/>
      <c r="R1782" s="1424"/>
      <c r="S1782" s="1428">
        <f>S1738</f>
        <v>0</v>
      </c>
      <c r="T1782" s="1423">
        <f t="shared" si="2586"/>
        <v>0</v>
      </c>
      <c r="U1782" s="1423">
        <f t="shared" si="2587"/>
        <v>0</v>
      </c>
      <c r="V1782" s="1423">
        <f t="shared" si="2588"/>
        <v>0</v>
      </c>
      <c r="W1782" s="1423">
        <f t="shared" si="2589"/>
        <v>0</v>
      </c>
      <c r="X1782" s="152"/>
      <c r="Y1782" s="152"/>
      <c r="Z1782" s="152"/>
      <c r="AA1782" s="152"/>
      <c r="AB1782" s="152"/>
    </row>
    <row r="1783" spans="1:28" hidden="1" outlineLevel="1">
      <c r="A1783" s="152"/>
      <c r="B1783" s="190" t="str">
        <f t="shared" ca="1" si="2590"/>
        <v>RL Capex 2032-33</v>
      </c>
      <c r="C1783" s="1429"/>
      <c r="D1783" s="1429"/>
      <c r="E1783" s="1429"/>
      <c r="F1783" s="1429"/>
      <c r="G1783" s="1429"/>
      <c r="H1783" s="1429"/>
      <c r="I1783" s="1429"/>
      <c r="J1783" s="1429"/>
      <c r="K1783" s="1429"/>
      <c r="L1783" s="1429"/>
      <c r="M1783" s="1429"/>
      <c r="N1783" s="1429"/>
      <c r="O1783" s="1429"/>
      <c r="P1783" s="1429"/>
      <c r="Q1783" s="1429"/>
      <c r="R1783" s="1429"/>
      <c r="S1783" s="1424"/>
      <c r="T1783" s="1428">
        <f>T1738</f>
        <v>0</v>
      </c>
      <c r="U1783" s="1423">
        <f t="shared" si="2587"/>
        <v>0</v>
      </c>
      <c r="V1783" s="1423">
        <f t="shared" si="2588"/>
        <v>0</v>
      </c>
      <c r="W1783" s="1423">
        <f t="shared" si="2589"/>
        <v>0</v>
      </c>
      <c r="X1783" s="152"/>
      <c r="Y1783" s="152"/>
      <c r="Z1783" s="152"/>
      <c r="AA1783" s="152"/>
      <c r="AB1783" s="152"/>
    </row>
    <row r="1784" spans="1:28" hidden="1" outlineLevel="1">
      <c r="A1784" s="152"/>
      <c r="B1784" s="190" t="str">
        <f t="shared" ca="1" si="2590"/>
        <v>RL Capex 2033-34</v>
      </c>
      <c r="C1784" s="1429"/>
      <c r="D1784" s="1429"/>
      <c r="E1784" s="1429"/>
      <c r="F1784" s="1429"/>
      <c r="G1784" s="1429"/>
      <c r="H1784" s="1429"/>
      <c r="I1784" s="1429"/>
      <c r="J1784" s="1429"/>
      <c r="K1784" s="1429"/>
      <c r="L1784" s="1429"/>
      <c r="M1784" s="1429"/>
      <c r="N1784" s="1429"/>
      <c r="O1784" s="1429"/>
      <c r="P1784" s="1429"/>
      <c r="Q1784" s="1429"/>
      <c r="R1784" s="1429"/>
      <c r="S1784" s="1429"/>
      <c r="T1784" s="1424"/>
      <c r="U1784" s="1428">
        <f>U1738</f>
        <v>0</v>
      </c>
      <c r="V1784" s="1423">
        <f t="shared" si="2588"/>
        <v>0</v>
      </c>
      <c r="W1784" s="1423">
        <f t="shared" si="2589"/>
        <v>0</v>
      </c>
      <c r="X1784" s="152"/>
      <c r="Y1784" s="152"/>
      <c r="Z1784" s="152"/>
      <c r="AA1784" s="152"/>
      <c r="AB1784" s="152"/>
    </row>
    <row r="1785" spans="1:28" hidden="1" outlineLevel="1">
      <c r="A1785" s="152"/>
      <c r="B1785" s="190" t="str">
        <f t="shared" ca="1" si="2590"/>
        <v>RL Capex 2034-35</v>
      </c>
      <c r="C1785" s="1429"/>
      <c r="D1785" s="1429"/>
      <c r="E1785" s="1429"/>
      <c r="F1785" s="1429"/>
      <c r="G1785" s="1429"/>
      <c r="H1785" s="1429"/>
      <c r="I1785" s="1429"/>
      <c r="J1785" s="1429"/>
      <c r="K1785" s="1429"/>
      <c r="L1785" s="1429"/>
      <c r="M1785" s="1429"/>
      <c r="N1785" s="1429"/>
      <c r="O1785" s="1429"/>
      <c r="P1785" s="1429"/>
      <c r="Q1785" s="1429"/>
      <c r="R1785" s="1429"/>
      <c r="S1785" s="1429"/>
      <c r="T1785" s="1429"/>
      <c r="U1785" s="1424"/>
      <c r="V1785" s="1428">
        <f>V1738</f>
        <v>0</v>
      </c>
      <c r="W1785" s="1423">
        <f>IF(V1785="n/a","n/a",MAX(0,V1785-1))</f>
        <v>0</v>
      </c>
      <c r="X1785" s="152"/>
      <c r="Y1785" s="152"/>
      <c r="Z1785" s="152"/>
      <c r="AA1785" s="152"/>
      <c r="AB1785" s="152"/>
    </row>
    <row r="1786" spans="1:28" hidden="1" outlineLevel="1">
      <c r="A1786" s="152"/>
      <c r="B1786" s="190" t="str">
        <f t="shared" ca="1" si="2590"/>
        <v>RL Capex 2035-36</v>
      </c>
      <c r="C1786" s="1429"/>
      <c r="D1786" s="1429"/>
      <c r="E1786" s="1429"/>
      <c r="F1786" s="1429"/>
      <c r="G1786" s="1429"/>
      <c r="H1786" s="1429"/>
      <c r="I1786" s="1429"/>
      <c r="J1786" s="1429"/>
      <c r="K1786" s="1429"/>
      <c r="L1786" s="1429"/>
      <c r="M1786" s="1429"/>
      <c r="N1786" s="1429"/>
      <c r="O1786" s="1429"/>
      <c r="P1786" s="1429"/>
      <c r="Q1786" s="1429"/>
      <c r="R1786" s="1429"/>
      <c r="S1786" s="1429"/>
      <c r="T1786" s="1429"/>
      <c r="U1786" s="1429"/>
      <c r="V1786" s="1424"/>
      <c r="W1786" s="1423">
        <f>W1738</f>
        <v>0</v>
      </c>
      <c r="X1786" s="152"/>
      <c r="Y1786" s="152"/>
      <c r="Z1786" s="152"/>
      <c r="AA1786" s="152"/>
      <c r="AB1786" s="152"/>
    </row>
    <row r="1787" spans="1:28" hidden="1" outlineLevel="1">
      <c r="A1787" s="152"/>
      <c r="B1787" s="200"/>
      <c r="C1787" s="1423"/>
      <c r="D1787" s="1423"/>
      <c r="E1787" s="1423"/>
      <c r="F1787" s="1423"/>
      <c r="G1787" s="1423"/>
      <c r="H1787" s="1423"/>
      <c r="I1787" s="1423"/>
      <c r="J1787" s="1423"/>
      <c r="K1787" s="1423"/>
      <c r="L1787" s="1423"/>
      <c r="M1787" s="1423"/>
      <c r="N1787" s="1423"/>
      <c r="O1787" s="1423"/>
      <c r="P1787" s="1423"/>
      <c r="Q1787" s="1423"/>
      <c r="R1787" s="1423"/>
      <c r="S1787" s="1423"/>
      <c r="T1787" s="1423"/>
      <c r="U1787" s="1423"/>
      <c r="V1787" s="1423"/>
      <c r="W1787" s="1423"/>
      <c r="X1787" s="152"/>
      <c r="Y1787" s="152"/>
      <c r="Z1787" s="152"/>
      <c r="AA1787" s="152"/>
      <c r="AB1787" s="152"/>
    </row>
    <row r="1788" spans="1:28" collapsed="1">
      <c r="A1788" s="194"/>
      <c r="B1788" s="204" t="s">
        <v>123</v>
      </c>
      <c r="C1788" s="1430">
        <f ca="1">(IF(OR($C1738&lt;&gt;"n/a",C1738&lt;&gt;"n/a"),IF(SUM(C1741:C1763)=0,0,IF((SUMPRODUCT(C1741:C1763,C1765:C1787)/SUM(C1741:C1763))&lt;0,1,(SUMPRODUCT(C1741:C1763,C1765:C1787)/SUM(C1741:C1763)))),"n/a"))</f>
        <v>0</v>
      </c>
      <c r="D1788" s="1430">
        <f ca="1">(IF(OR($C1738&lt;&gt;"n/a",D1738&lt;&gt;"n/a"),IF(SUM(D1741:D1763)=0,0,IF((SUMPRODUCT(D1741:D1763,D1765:D1787)/SUM(D1741:D1763))&lt;0,1,(SUMPRODUCT(D1741:D1763,D1765:D1787)/SUM(D1741:D1763)))),"n/a"))</f>
        <v>0</v>
      </c>
      <c r="E1788" s="1430">
        <f t="shared" ref="E1788:W1788" ca="1" si="2591">(IF(OR($C1738&lt;&gt;"n/a",E1738&lt;&gt;"n/a"),IF(SUM(E1741:E1763)=0,0,IF((SUMPRODUCT(E1741:E1763,E1765:E1787)/SUM(E1741:E1763))&lt;0,1,(SUMPRODUCT(E1741:E1763,E1765:E1787)/SUM(E1741:E1763)))),"n/a"))</f>
        <v>0</v>
      </c>
      <c r="F1788" s="1430">
        <f t="shared" ca="1" si="2591"/>
        <v>0</v>
      </c>
      <c r="G1788" s="1430">
        <f t="shared" ca="1" si="2591"/>
        <v>0</v>
      </c>
      <c r="H1788" s="1430">
        <f t="shared" ca="1" si="2591"/>
        <v>0</v>
      </c>
      <c r="I1788" s="1430">
        <f t="shared" ca="1" si="2591"/>
        <v>0</v>
      </c>
      <c r="J1788" s="1430">
        <f t="shared" ca="1" si="2591"/>
        <v>0</v>
      </c>
      <c r="K1788" s="1430">
        <f t="shared" ca="1" si="2591"/>
        <v>0</v>
      </c>
      <c r="L1788" s="1430">
        <f t="shared" ca="1" si="2591"/>
        <v>0</v>
      </c>
      <c r="M1788" s="1430">
        <f t="shared" ca="1" si="2591"/>
        <v>0</v>
      </c>
      <c r="N1788" s="1430">
        <f t="shared" ca="1" si="2591"/>
        <v>0</v>
      </c>
      <c r="O1788" s="1430">
        <f t="shared" ca="1" si="2591"/>
        <v>0</v>
      </c>
      <c r="P1788" s="1430">
        <f t="shared" ca="1" si="2591"/>
        <v>0</v>
      </c>
      <c r="Q1788" s="1430">
        <f t="shared" ca="1" si="2591"/>
        <v>0</v>
      </c>
      <c r="R1788" s="1430">
        <f t="shared" ca="1" si="2591"/>
        <v>0</v>
      </c>
      <c r="S1788" s="1430">
        <f t="shared" ca="1" si="2591"/>
        <v>0</v>
      </c>
      <c r="T1788" s="1430">
        <f t="shared" ca="1" si="2591"/>
        <v>0</v>
      </c>
      <c r="U1788" s="1430">
        <f t="shared" ca="1" si="2591"/>
        <v>0</v>
      </c>
      <c r="V1788" s="1430">
        <f t="shared" ca="1" si="2591"/>
        <v>0</v>
      </c>
      <c r="W1788" s="1430">
        <f t="shared" ca="1" si="2591"/>
        <v>0</v>
      </c>
      <c r="X1788" s="152"/>
      <c r="Y1788" s="152"/>
      <c r="Z1788" s="152"/>
      <c r="AA1788" s="152"/>
      <c r="AB1788" s="152"/>
    </row>
    <row r="1789" spans="1:28">
      <c r="A1789" s="152"/>
      <c r="B1789" s="152"/>
      <c r="C1789" s="1423"/>
      <c r="D1789" s="1423"/>
      <c r="E1789" s="1423"/>
      <c r="F1789" s="1423"/>
      <c r="G1789" s="1423"/>
      <c r="H1789" s="1423"/>
      <c r="I1789" s="1423"/>
      <c r="J1789" s="1423"/>
      <c r="K1789" s="1423"/>
      <c r="L1789" s="1423"/>
      <c r="M1789" s="1423"/>
      <c r="N1789" s="1423"/>
      <c r="O1789" s="1423"/>
      <c r="P1789" s="1423"/>
      <c r="Q1789" s="1423"/>
      <c r="R1789" s="1423"/>
      <c r="S1789" s="1423"/>
      <c r="T1789" s="1423"/>
      <c r="U1789" s="1423"/>
      <c r="V1789" s="1423"/>
      <c r="W1789" s="1423"/>
      <c r="X1789" s="152"/>
      <c r="Y1789" s="152"/>
      <c r="Z1789" s="152"/>
      <c r="AA1789" s="152"/>
      <c r="AB1789" s="152"/>
    </row>
    <row r="1790" spans="1:28">
      <c r="A1790" s="269" t="s">
        <v>100</v>
      </c>
      <c r="B1790" s="270">
        <f>VLOOKUP($A1790,'RFM input'!$E$7:$F$56,2,FALSE)</f>
        <v>0</v>
      </c>
      <c r="C1790" s="1431"/>
      <c r="D1790" s="1431"/>
      <c r="E1790" s="1432"/>
      <c r="F1790" s="1432"/>
      <c r="G1790" s="1432"/>
      <c r="H1790" s="1432"/>
      <c r="I1790" s="1432"/>
      <c r="J1790" s="1432"/>
      <c r="K1790" s="1432"/>
      <c r="L1790" s="1432"/>
      <c r="M1790" s="1432"/>
      <c r="N1790" s="1432"/>
      <c r="O1790" s="1432"/>
      <c r="P1790" s="1432"/>
      <c r="Q1790" s="1432"/>
      <c r="R1790" s="1432"/>
      <c r="S1790" s="1432"/>
      <c r="T1790" s="1432"/>
      <c r="U1790" s="1432"/>
      <c r="V1790" s="1432"/>
      <c r="W1790" s="1432"/>
      <c r="X1790" s="152"/>
      <c r="Y1790" s="152"/>
      <c r="Z1790" s="152"/>
      <c r="AA1790" s="152"/>
      <c r="AB1790" s="152"/>
    </row>
    <row r="1791" spans="1:28">
      <c r="A1791" s="215">
        <f>VALUE(REPLACE(A1790,1,12,""))</f>
        <v>34</v>
      </c>
      <c r="B1791" s="193" t="s">
        <v>126</v>
      </c>
      <c r="C1791" s="1416">
        <f ca="1">IF($D$6='TAB roll forward'!$H$4,OFFSET('TAB roll forward'!$H$7,A1791,0),"enter input")</f>
        <v>0</v>
      </c>
      <c r="D1791" s="1417">
        <f>IF(LEFT(D$6,4)&lt;LEFT('RFM input'!$G$60,4),"enter input",IF(LEFT(D$6,4)&gt;LEFT('RFM input'!$Q$60,4),0,
INDEX('RFM input'!$G$61:$Q$110,$A1791,MATCH(D$6,'RFM input'!$G$60:$Q$60,0))
   -INDEX('RFM input'!$G$115:$Q$164,$A1791,MATCH(D$6,'RFM input'!$G$60:$Q$60,0))))</f>
        <v>0</v>
      </c>
      <c r="E1791" s="1417">
        <f>IF(LEFT(E$6,4)&lt;LEFT('RFM input'!$G$60,4),"enter input",IF(LEFT(E$6,4)&gt;LEFT('RFM input'!$Q$60,4),0,
INDEX('RFM input'!$G$61:$Q$110,$A1791,MATCH(E$6,'RFM input'!$G$60:$Q$60,0))
   -INDEX('RFM input'!$G$115:$Q$164,$A1791,MATCH(E$6,'RFM input'!$G$60:$Q$60,0))))</f>
        <v>0</v>
      </c>
      <c r="F1791" s="1417">
        <f>IF(LEFT(F$6,4)&lt;LEFT('RFM input'!$G$60,4),"enter input",IF(LEFT(F$6,4)&gt;LEFT('RFM input'!$Q$60,4),0,
INDEX('RFM input'!$G$61:$Q$110,$A1791,MATCH(F$6,'RFM input'!$G$60:$Q$60,0))
   -INDEX('RFM input'!$G$115:$Q$164,$A1791,MATCH(F$6,'RFM input'!$G$60:$Q$60,0))))</f>
        <v>0</v>
      </c>
      <c r="G1791" s="1417">
        <f>IF(LEFT(G$6,4)&lt;LEFT('RFM input'!$G$60,4),"enter input",IF(LEFT(G$6,4)&gt;LEFT('RFM input'!$Q$60,4),0,
INDEX('RFM input'!$G$61:$Q$110,$A1791,MATCH(G$6,'RFM input'!$G$60:$Q$60,0))
   -INDEX('RFM input'!$G$115:$Q$164,$A1791,MATCH(G$6,'RFM input'!$G$60:$Q$60,0))))</f>
        <v>0</v>
      </c>
      <c r="H1791" s="1417">
        <f>IF(LEFT(H$6,4)&lt;LEFT('RFM input'!$G$60,4),"enter input",IF(LEFT(H$6,4)&gt;LEFT('RFM input'!$Q$60,4),0,
INDEX('RFM input'!$G$61:$Q$110,$A1791,MATCH(H$6,'RFM input'!$G$60:$Q$60,0))
   -INDEX('RFM input'!$G$115:$Q$164,$A1791,MATCH(H$6,'RFM input'!$G$60:$Q$60,0))))</f>
        <v>0</v>
      </c>
      <c r="I1791" s="1417">
        <f>IF(LEFT(I$6,4)&lt;LEFT('RFM input'!$G$60,4),"enter input",IF(LEFT(I$6,4)&gt;LEFT('RFM input'!$Q$60,4),0,
INDEX('RFM input'!$G$61:$Q$110,$A1791,MATCH(I$6,'RFM input'!$G$60:$Q$60,0))
   -INDEX('RFM input'!$G$115:$Q$164,$A1791,MATCH(I$6,'RFM input'!$G$60:$Q$60,0))))</f>
        <v>0</v>
      </c>
      <c r="J1791" s="1417">
        <f>IF(LEFT(J$6,4)&lt;LEFT('RFM input'!$G$60,4),"enter input",IF(LEFT(J$6,4)&gt;LEFT('RFM input'!$Q$60,4),0,
INDEX('RFM input'!$G$61:$Q$110,$A1791,MATCH(J$6,'RFM input'!$G$60:$Q$60,0))
   -INDEX('RFM input'!$G$115:$Q$164,$A1791,MATCH(J$6,'RFM input'!$G$60:$Q$60,0))))</f>
        <v>0</v>
      </c>
      <c r="K1791" s="1417">
        <f>IF(LEFT(K$6,4)&lt;LEFT('RFM input'!$G$60,4),"enter input",IF(LEFT(K$6,4)&gt;LEFT('RFM input'!$Q$60,4),0,
INDEX('RFM input'!$G$61:$Q$110,$A1791,MATCH(K$6,'RFM input'!$G$60:$Q$60,0))
   -INDEX('RFM input'!$G$115:$Q$164,$A1791,MATCH(K$6,'RFM input'!$G$60:$Q$60,0))))</f>
        <v>0</v>
      </c>
      <c r="L1791" s="1417">
        <f>IF(LEFT(L$6,4)&lt;LEFT('RFM input'!$G$60,4),"enter input",IF(LEFT(L$6,4)&gt;LEFT('RFM input'!$Q$60,4),0,
INDEX('RFM input'!$G$61:$Q$110,$A1791,MATCH(L$6,'RFM input'!$G$60:$Q$60,0))
   -INDEX('RFM input'!$G$115:$Q$164,$A1791,MATCH(L$6,'RFM input'!$G$60:$Q$60,0))))</f>
        <v>0</v>
      </c>
      <c r="M1791" s="1417">
        <f>IF(LEFT(M$6,4)&lt;LEFT('RFM input'!$G$60,4),"enter input",IF(LEFT(M$6,4)&gt;LEFT('RFM input'!$Q$60,4),0,
INDEX('RFM input'!$G$61:$Q$110,$A1791,MATCH(M$6,'RFM input'!$G$60:$Q$60,0))
   -INDEX('RFM input'!$G$115:$Q$164,$A1791,MATCH(M$6,'RFM input'!$G$60:$Q$60,0))))</f>
        <v>0</v>
      </c>
      <c r="N1791" s="1417">
        <f>IF(LEFT(N$6,4)&lt;LEFT('RFM input'!$G$60,4),"enter input",IF(LEFT(N$6,4)&gt;LEFT('RFM input'!$Q$60,4),0,
INDEX('RFM input'!$G$61:$Q$110,$A1791,MATCH(N$6,'RFM input'!$G$60:$Q$60,0))
   -INDEX('RFM input'!$G$115:$Q$164,$A1791,MATCH(N$6,'RFM input'!$G$60:$Q$60,0))))</f>
        <v>0</v>
      </c>
      <c r="O1791" s="1417">
        <f>IF(LEFT(O$6,4)&lt;LEFT('RFM input'!$G$60,4),"enter input",IF(LEFT(O$6,4)&gt;LEFT('RFM input'!$Q$60,4),0,
INDEX('RFM input'!$G$61:$Q$110,$A1791,MATCH(O$6,'RFM input'!$G$60:$Q$60,0))
   -INDEX('RFM input'!$G$115:$Q$164,$A1791,MATCH(O$6,'RFM input'!$G$60:$Q$60,0))))</f>
        <v>0</v>
      </c>
      <c r="P1791" s="1417">
        <f>IF(LEFT(P$6,4)&lt;LEFT('RFM input'!$G$60,4),"enter input",IF(LEFT(P$6,4)&gt;LEFT('RFM input'!$Q$60,4),0,
INDEX('RFM input'!$G$61:$Q$110,$A1791,MATCH(P$6,'RFM input'!$G$60:$Q$60,0))
   -INDEX('RFM input'!$G$115:$Q$164,$A1791,MATCH(P$6,'RFM input'!$G$60:$Q$60,0))))</f>
        <v>0</v>
      </c>
      <c r="Q1791" s="1417">
        <f>IF(LEFT(Q$6,4)&lt;LEFT('RFM input'!$G$60,4),"enter input",IF(LEFT(Q$6,4)&gt;LEFT('RFM input'!$Q$60,4),0,
INDEX('RFM input'!$G$61:$Q$110,$A1791,MATCH(Q$6,'RFM input'!$G$60:$Q$60,0))
   -INDEX('RFM input'!$G$115:$Q$164,$A1791,MATCH(Q$6,'RFM input'!$G$60:$Q$60,0))))</f>
        <v>0</v>
      </c>
      <c r="R1791" s="1417">
        <f>IF(LEFT(R$6,4)&lt;LEFT('RFM input'!$G$60,4),"enter input",IF(LEFT(R$6,4)&gt;LEFT('RFM input'!$Q$60,4),0,
INDEX('RFM input'!$G$61:$Q$110,$A1791,MATCH(R$6,'RFM input'!$G$60:$Q$60,0))
   -INDEX('RFM input'!$G$115:$Q$164,$A1791,MATCH(R$6,'RFM input'!$G$60:$Q$60,0))))</f>
        <v>0</v>
      </c>
      <c r="S1791" s="1417">
        <f>IF(LEFT(S$6,4)&lt;LEFT('RFM input'!$G$60,4),"enter input",IF(LEFT(S$6,4)&gt;LEFT('RFM input'!$Q$60,4),0,
INDEX('RFM input'!$G$61:$Q$110,$A1791,MATCH(S$6,'RFM input'!$G$60:$Q$60,0))
   -INDEX('RFM input'!$G$115:$Q$164,$A1791,MATCH(S$6,'RFM input'!$G$60:$Q$60,0))))</f>
        <v>0</v>
      </c>
      <c r="T1791" s="1417">
        <f>IF(LEFT(T$6,4)&lt;LEFT('RFM input'!$G$60,4),"enter input",IF(LEFT(T$6,4)&gt;LEFT('RFM input'!$Q$60,4),0,
INDEX('RFM input'!$G$61:$Q$110,$A1791,MATCH(T$6,'RFM input'!$G$60:$Q$60,0))
   -INDEX('RFM input'!$G$115:$Q$164,$A1791,MATCH(T$6,'RFM input'!$G$60:$Q$60,0))))</f>
        <v>0</v>
      </c>
      <c r="U1791" s="1417">
        <f>IF(LEFT(U$6,4)&lt;LEFT('RFM input'!$G$60,4),"enter input",IF(LEFT(U$6,4)&gt;LEFT('RFM input'!$Q$60,4),0,
INDEX('RFM input'!$G$61:$Q$110,$A1791,MATCH(U$6,'RFM input'!$G$60:$Q$60,0))
   -INDEX('RFM input'!$G$115:$Q$164,$A1791,MATCH(U$6,'RFM input'!$G$60:$Q$60,0))))</f>
        <v>0</v>
      </c>
      <c r="V1791" s="1417">
        <f>IF(LEFT(V$6,4)&lt;LEFT('RFM input'!$G$60,4),"enter input",IF(LEFT(V$6,4)&gt;LEFT('RFM input'!$Q$60,4),0,
INDEX('RFM input'!$G$61:$Q$110,$A1791,MATCH(V$6,'RFM input'!$G$60:$Q$60,0))
   -INDEX('RFM input'!$G$115:$Q$164,$A1791,MATCH(V$6,'RFM input'!$G$60:$Q$60,0))))</f>
        <v>0</v>
      </c>
      <c r="W1791" s="1417">
        <f>IF(LEFT(W$6,4)&lt;LEFT('RFM input'!$G$60,4),"enter input",IF(LEFT(W$6,4)&gt;LEFT('RFM input'!$Q$60,4),0,
INDEX('RFM input'!$G$61:$Q$110,$A1791,MATCH(W$6,'RFM input'!$G$60:$Q$60,0))
   -INDEX('RFM input'!$G$115:$Q$164,$A1791,MATCH(W$6,'RFM input'!$G$60:$Q$60,0))))</f>
        <v>0</v>
      </c>
      <c r="X1791" s="152"/>
      <c r="Y1791" s="152"/>
      <c r="Z1791" s="152"/>
      <c r="AA1791" s="152"/>
      <c r="AB1791" s="152"/>
    </row>
    <row r="1792" spans="1:28">
      <c r="A1792" s="152"/>
      <c r="B1792" s="152" t="s">
        <v>205</v>
      </c>
      <c r="C1792" s="1418">
        <f ca="1">IF($D$6='TAB roll forward'!$H$4,OFFSET('RFM input'!$S$6,$A1791,0),"enter input")</f>
        <v>0</v>
      </c>
      <c r="D1792" s="1417">
        <f>IF(LEFT(D$6,4)&lt;=LEFT('RFM input'!$G$60,4),"enter input",IF(LEFT(D$6,4)&gt;LEFT('RFM input'!$Q$60,4),0,
IF(MATCH(D$6,'RFM input'!$H$60:$Q$60,0),INDEX('RFM input'!$T$7:$T$56,$A1791,1,1))))</f>
        <v>0</v>
      </c>
      <c r="E1792" s="1417">
        <f>IF(LEFT(E$6,4)&lt;=LEFT('RFM input'!$G$60,4),"enter input",IF(LEFT(E$6,4)&gt;LEFT('RFM input'!$Q$60,4),0,
IF(MATCH(E$6,'RFM input'!$H$60:$Q$60,0),INDEX('RFM input'!$T$7:$T$56,$A1791,1,1))))</f>
        <v>0</v>
      </c>
      <c r="F1792" s="1417">
        <f>IF(LEFT(F$6,4)&lt;=LEFT('RFM input'!$G$60,4),"enter input",IF(LEFT(F$6,4)&gt;LEFT('RFM input'!$Q$60,4),0,
IF(MATCH(F$6,'RFM input'!$H$60:$Q$60,0),INDEX('RFM input'!$T$7:$T$56,$A1791,1,1))))</f>
        <v>0</v>
      </c>
      <c r="G1792" s="1417">
        <f>IF(LEFT(G$6,4)&lt;=LEFT('RFM input'!$G$60,4),"enter input",IF(LEFT(G$6,4)&gt;LEFT('RFM input'!$Q$60,4),0,
IF(MATCH(G$6,'RFM input'!$H$60:$Q$60,0),INDEX('RFM input'!$T$7:$T$56,$A1791,1,1))))</f>
        <v>0</v>
      </c>
      <c r="H1792" s="1417">
        <f>IF(LEFT(H$6,4)&lt;=LEFT('RFM input'!$G$60,4),"enter input",IF(LEFT(H$6,4)&gt;LEFT('RFM input'!$Q$60,4),0,
IF(MATCH(H$6,'RFM input'!$H$60:$Q$60,0),INDEX('RFM input'!$T$7:$T$56,$A1791,1,1))))</f>
        <v>0</v>
      </c>
      <c r="I1792" s="1417">
        <f>IF(LEFT(I$6,4)&lt;=LEFT('RFM input'!$G$60,4),"enter input",IF(LEFT(I$6,4)&gt;LEFT('RFM input'!$Q$60,4),0,
IF(MATCH(I$6,'RFM input'!$H$60:$Q$60,0),INDEX('RFM input'!$T$7:$T$56,$A1791,1,1))))</f>
        <v>0</v>
      </c>
      <c r="J1792" s="1417">
        <f>IF(LEFT(J$6,4)&lt;=LEFT('RFM input'!$G$60,4),"enter input",IF(LEFT(J$6,4)&gt;LEFT('RFM input'!$Q$60,4),0,
IF(MATCH(J$6,'RFM input'!$H$60:$Q$60,0),INDEX('RFM input'!$T$7:$T$56,$A1791,1,1))))</f>
        <v>0</v>
      </c>
      <c r="K1792" s="1417">
        <f>IF(LEFT(K$6,4)&lt;=LEFT('RFM input'!$G$60,4),"enter input",IF(LEFT(K$6,4)&gt;LEFT('RFM input'!$Q$60,4),0,
IF(MATCH(K$6,'RFM input'!$H$60:$Q$60,0),INDEX('RFM input'!$T$7:$T$56,$A1791,1,1))))</f>
        <v>0</v>
      </c>
      <c r="L1792" s="1417">
        <f>IF(LEFT(L$6,4)&lt;=LEFT('RFM input'!$G$60,4),"enter input",IF(LEFT(L$6,4)&gt;LEFT('RFM input'!$Q$60,4),0,
IF(MATCH(L$6,'RFM input'!$H$60:$Q$60,0),INDEX('RFM input'!$T$7:$T$56,$A1791,1,1))))</f>
        <v>0</v>
      </c>
      <c r="M1792" s="1417">
        <f>IF(LEFT(M$6,4)&lt;=LEFT('RFM input'!$G$60,4),"enter input",IF(LEFT(M$6,4)&gt;LEFT('RFM input'!$Q$60,4),0,
IF(MATCH(M$6,'RFM input'!$H$60:$Q$60,0),INDEX('RFM input'!$T$7:$T$56,$A1791,1,1))))</f>
        <v>0</v>
      </c>
      <c r="N1792" s="1417">
        <f>IF(LEFT(N$6,4)&lt;=LEFT('RFM input'!$G$60,4),"enter input",IF(LEFT(N$6,4)&gt;LEFT('RFM input'!$Q$60,4),0,
IF(MATCH(N$6,'RFM input'!$H$60:$Q$60,0),INDEX('RFM input'!$T$7:$T$56,$A1791,1,1))))</f>
        <v>0</v>
      </c>
      <c r="O1792" s="1417">
        <f>IF(LEFT(O$6,4)&lt;=LEFT('RFM input'!$G$60,4),"enter input",IF(LEFT(O$6,4)&gt;LEFT('RFM input'!$Q$60,4),0,
IF(MATCH(O$6,'RFM input'!$H$60:$Q$60,0),INDEX('RFM input'!$T$7:$T$56,$A1791,1,1))))</f>
        <v>0</v>
      </c>
      <c r="P1792" s="1417">
        <f>IF(LEFT(P$6,4)&lt;=LEFT('RFM input'!$G$60,4),"enter input",IF(LEFT(P$6,4)&gt;LEFT('RFM input'!$Q$60,4),0,
IF(MATCH(P$6,'RFM input'!$H$60:$Q$60,0),INDEX('RFM input'!$T$7:$T$56,$A1791,1,1))))</f>
        <v>0</v>
      </c>
      <c r="Q1792" s="1417">
        <f>IF(LEFT(Q$6,4)&lt;=LEFT('RFM input'!$G$60,4),"enter input",IF(LEFT(Q$6,4)&gt;LEFT('RFM input'!$Q$60,4),0,
IF(MATCH(Q$6,'RFM input'!$H$60:$Q$60,0),INDEX('RFM input'!$T$7:$T$56,$A1791,1,1))))</f>
        <v>0</v>
      </c>
      <c r="R1792" s="1417">
        <f>IF(LEFT(R$6,4)&lt;=LEFT('RFM input'!$G$60,4),"enter input",IF(LEFT(R$6,4)&gt;LEFT('RFM input'!$Q$60,4),0,
IF(MATCH(R$6,'RFM input'!$H$60:$Q$60,0),INDEX('RFM input'!$T$7:$T$56,$A1791,1,1))))</f>
        <v>0</v>
      </c>
      <c r="S1792" s="1417">
        <f>IF(LEFT(S$6,4)&lt;=LEFT('RFM input'!$G$60,4),"enter input",IF(LEFT(S$6,4)&gt;LEFT('RFM input'!$Q$60,4),0,
IF(MATCH(S$6,'RFM input'!$H$60:$Q$60,0),INDEX('RFM input'!$T$7:$T$56,$A1791,1,1))))</f>
        <v>0</v>
      </c>
      <c r="T1792" s="1417">
        <f>IF(LEFT(T$6,4)&lt;=LEFT('RFM input'!$G$60,4),"enter input",IF(LEFT(T$6,4)&gt;LEFT('RFM input'!$Q$60,4),0,
IF(MATCH(T$6,'RFM input'!$H$60:$Q$60,0),INDEX('RFM input'!$T$7:$T$56,$A1791,1,1))))</f>
        <v>0</v>
      </c>
      <c r="U1792" s="1417">
        <f>IF(LEFT(U$6,4)&lt;=LEFT('RFM input'!$G$60,4),"enter input",IF(LEFT(U$6,4)&gt;LEFT('RFM input'!$Q$60,4),0,
IF(MATCH(U$6,'RFM input'!$H$60:$Q$60,0),INDEX('RFM input'!$T$7:$T$56,$A1791,1,1))))</f>
        <v>0</v>
      </c>
      <c r="V1792" s="1417">
        <f>IF(LEFT(V$6,4)&lt;=LEFT('RFM input'!$G$60,4),"enter input",IF(LEFT(V$6,4)&gt;LEFT('RFM input'!$Q$60,4),0,
IF(MATCH(V$6,'RFM input'!$H$60:$Q$60,0),INDEX('RFM input'!$T$7:$T$56,$A1791,1,1))))</f>
        <v>0</v>
      </c>
      <c r="W1792" s="1417">
        <f>IF(LEFT(W$6,4)&lt;=LEFT('RFM input'!$G$60,4),"enter input",IF(LEFT(W$6,4)&gt;LEFT('RFM input'!$Q$60,4),0,
IF(MATCH(W$6,'RFM input'!$H$60:$Q$60,0),INDEX('RFM input'!$T$7:$T$56,$A1791,1,1))))</f>
        <v>0</v>
      </c>
      <c r="X1792" s="152"/>
      <c r="Y1792" s="152"/>
      <c r="Z1792" s="152"/>
      <c r="AA1792" s="152"/>
      <c r="AB1792" s="152"/>
    </row>
    <row r="1793" spans="1:28">
      <c r="A1793" s="152"/>
      <c r="B1793" s="193" t="s">
        <v>192</v>
      </c>
      <c r="C1793" s="1419"/>
      <c r="D1793" s="1420">
        <f ca="1">IF(LEFT(D$6,4)&lt;=LEFT('RFM input'!$G$60,4),"enter input",IF(LEFT(D$6,4)&gt;LEFT('RFM input'!$Q$60,4),0,
IF(D$6=(OFFSET('RFM input'!$G$60,0,'RFM input'!$V$7)),OFFSET('RFM input'!$H$411,$A1791,0),0)))</f>
        <v>0</v>
      </c>
      <c r="E1793" s="1417">
        <f ca="1">IF(LEFT(E$6,4)&lt;=LEFT('RFM input'!$G$60,4),"enter input",IF(LEFT(E$6,4)&gt;LEFT('RFM input'!$Q$60,4),0,
IF(E$6=(OFFSET('RFM input'!$G$60,0,'RFM input'!$V$7)),OFFSET('RFM input'!$H$411,$A1791,0),0)))</f>
        <v>0</v>
      </c>
      <c r="F1793" s="1417">
        <f ca="1">IF(LEFT(F$6,4)&lt;=LEFT('RFM input'!$G$60,4),"enter input",IF(LEFT(F$6,4)&gt;LEFT('RFM input'!$Q$60,4),0,
IF(F$6=(OFFSET('RFM input'!$G$60,0,'RFM input'!$V$7)),OFFSET('RFM input'!$H$411,$A1791,0),0)))</f>
        <v>0</v>
      </c>
      <c r="G1793" s="1417">
        <f ca="1">IF(LEFT(G$6,4)&lt;=LEFT('RFM input'!$G$60,4),"enter input",IF(LEFT(G$6,4)&gt;LEFT('RFM input'!$Q$60,4),0,
IF(G$6=(OFFSET('RFM input'!$G$60,0,'RFM input'!$V$7)),OFFSET('RFM input'!$H$411,$A1791,0),0)))</f>
        <v>0</v>
      </c>
      <c r="H1793" s="1417">
        <f ca="1">IF(LEFT(H$6,4)&lt;=LEFT('RFM input'!$G$60,4),"enter input",IF(LEFT(H$6,4)&gt;LEFT('RFM input'!$Q$60,4),0,
IF(H$6=(OFFSET('RFM input'!$G$60,0,'RFM input'!$V$7)),OFFSET('RFM input'!$H$411,$A1791,0),0)))</f>
        <v>0</v>
      </c>
      <c r="I1793" s="1417">
        <f ca="1">IF(LEFT(I$6,4)&lt;=LEFT('RFM input'!$G$60,4),"enter input",IF(LEFT(I$6,4)&gt;LEFT('RFM input'!$Q$60,4),0,
IF(I$6=(OFFSET('RFM input'!$G$60,0,'RFM input'!$V$7)),OFFSET('RFM input'!$H$411,$A1791,0),0)))</f>
        <v>0</v>
      </c>
      <c r="J1793" s="1417">
        <f ca="1">IF(LEFT(J$6,4)&lt;=LEFT('RFM input'!$G$60,4),"enter input",IF(LEFT(J$6,4)&gt;LEFT('RFM input'!$Q$60,4),0,
IF(J$6=(OFFSET('RFM input'!$G$60,0,'RFM input'!$V$7)),OFFSET('RFM input'!$H$411,$A1791,0),0)))</f>
        <v>0</v>
      </c>
      <c r="K1793" s="1417">
        <f ca="1">IF(LEFT(K$6,4)&lt;=LEFT('RFM input'!$G$60,4),"enter input",IF(LEFT(K$6,4)&gt;LEFT('RFM input'!$Q$60,4),0,
IF(K$6=(OFFSET('RFM input'!$G$60,0,'RFM input'!$V$7)),OFFSET('RFM input'!$H$411,$A1791,0),0)))</f>
        <v>0</v>
      </c>
      <c r="L1793" s="1417">
        <f ca="1">IF(LEFT(L$6,4)&lt;=LEFT('RFM input'!$G$60,4),"enter input",IF(LEFT(L$6,4)&gt;LEFT('RFM input'!$Q$60,4),0,
IF(L$6=(OFFSET('RFM input'!$G$60,0,'RFM input'!$V$7)),OFFSET('RFM input'!$H$411,$A1791,0),0)))</f>
        <v>0</v>
      </c>
      <c r="M1793" s="1417">
        <f ca="1">IF(LEFT(M$6,4)&lt;=LEFT('RFM input'!$G$60,4),"enter input",IF(LEFT(M$6,4)&gt;LEFT('RFM input'!$Q$60,4),0,
IF(M$6=(OFFSET('RFM input'!$G$60,0,'RFM input'!$V$7)),OFFSET('RFM input'!$H$411,$A1791,0),0)))</f>
        <v>0</v>
      </c>
      <c r="N1793" s="1417">
        <f ca="1">IF(LEFT(N$6,4)&lt;=LEFT('RFM input'!$G$60,4),"enter input",IF(LEFT(N$6,4)&gt;LEFT('RFM input'!$Q$60,4),0,
IF(N$6=(OFFSET('RFM input'!$G$60,0,'RFM input'!$V$7)),OFFSET('RFM input'!$H$411,$A1791,0),0)))</f>
        <v>0</v>
      </c>
      <c r="O1793" s="1417">
        <f ca="1">IF(LEFT(O$6,4)&lt;=LEFT('RFM input'!$G$60,4),"enter input",IF(LEFT(O$6,4)&gt;LEFT('RFM input'!$Q$60,4),0,
IF(O$6=(OFFSET('RFM input'!$G$60,0,'RFM input'!$V$7)),OFFSET('RFM input'!$H$411,$A1791,0),0)))</f>
        <v>0</v>
      </c>
      <c r="P1793" s="1417">
        <f ca="1">IF(LEFT(P$6,4)&lt;=LEFT('RFM input'!$G$60,4),"enter input",IF(LEFT(P$6,4)&gt;LEFT('RFM input'!$Q$60,4),0,
IF(P$6=(OFFSET('RFM input'!$G$60,0,'RFM input'!$V$7)),OFFSET('RFM input'!$H$411,$A1791,0),0)))</f>
        <v>0</v>
      </c>
      <c r="Q1793" s="1417">
        <f ca="1">IF(LEFT(Q$6,4)&lt;=LEFT('RFM input'!$G$60,4),"enter input",IF(LEFT(Q$6,4)&gt;LEFT('RFM input'!$Q$60,4),0,
IF(Q$6=(OFFSET('RFM input'!$G$60,0,'RFM input'!$V$7)),OFFSET('RFM input'!$H$411,$A1791,0),0)))</f>
        <v>0</v>
      </c>
      <c r="R1793" s="1417">
        <f ca="1">IF(LEFT(R$6,4)&lt;=LEFT('RFM input'!$G$60,4),"enter input",IF(LEFT(R$6,4)&gt;LEFT('RFM input'!$Q$60,4),0,
IF(R$6=(OFFSET('RFM input'!$G$60,0,'RFM input'!$V$7)),OFFSET('RFM input'!$H$411,$A1791,0),0)))</f>
        <v>0</v>
      </c>
      <c r="S1793" s="1417">
        <f ca="1">IF(LEFT(S$6,4)&lt;=LEFT('RFM input'!$G$60,4),"enter input",IF(LEFT(S$6,4)&gt;LEFT('RFM input'!$Q$60,4),0,
IF(S$6=(OFFSET('RFM input'!$G$60,0,'RFM input'!$V$7)),OFFSET('RFM input'!$H$411,$A1791,0),0)))</f>
        <v>0</v>
      </c>
      <c r="T1793" s="1417">
        <f ca="1">IF(LEFT(T$6,4)&lt;=LEFT('RFM input'!$G$60,4),"enter input",IF(LEFT(T$6,4)&gt;LEFT('RFM input'!$Q$60,4),0,
IF(T$6=(OFFSET('RFM input'!$G$60,0,'RFM input'!$V$7)),OFFSET('RFM input'!$H$411,$A1791,0),0)))</f>
        <v>0</v>
      </c>
      <c r="U1793" s="1417">
        <f ca="1">IF(LEFT(U$6,4)&lt;=LEFT('RFM input'!$G$60,4),"enter input",IF(LEFT(U$6,4)&gt;LEFT('RFM input'!$Q$60,4),0,
IF(U$6=(OFFSET('RFM input'!$G$60,0,'RFM input'!$V$7)),OFFSET('RFM input'!$H$411,$A1791,0),0)))</f>
        <v>0</v>
      </c>
      <c r="V1793" s="1417">
        <f ca="1">IF(LEFT(V$6,4)&lt;=LEFT('RFM input'!$G$60,4),"enter input",IF(LEFT(V$6,4)&gt;LEFT('RFM input'!$Q$60,4),0,
IF(V$6=(OFFSET('RFM input'!$G$60,0,'RFM input'!$V$7)),OFFSET('RFM input'!$H$411,$A1791,0),0)))</f>
        <v>0</v>
      </c>
      <c r="W1793" s="1417">
        <f ca="1">IF(LEFT(W$6,4)&lt;=LEFT('RFM input'!$G$60,4),"enter input",IF(LEFT(W$6,4)&gt;LEFT('RFM input'!$Q$60,4),0,
IF(W$6=(OFFSET('RFM input'!$G$60,0,'RFM input'!$V$7)),OFFSET('RFM input'!$H$411,$A1791,0),0)))</f>
        <v>0</v>
      </c>
      <c r="X1793" s="152"/>
      <c r="Y1793" s="152"/>
      <c r="Z1793" s="152"/>
      <c r="AA1793" s="152"/>
      <c r="AB1793" s="152"/>
    </row>
    <row r="1794" spans="1:28">
      <c r="A1794" s="152"/>
      <c r="B1794" s="193" t="s">
        <v>200</v>
      </c>
      <c r="C1794" s="1419"/>
      <c r="D1794" s="1418">
        <f ca="1">IF(LEFT(D$6,4)&lt;=LEFT('RFM input'!$G$60,4),"enter input",IF(LEFT(D$6,4)&gt;LEFT('RFM input'!$Q$60,4),0,
IF(D$6=(OFFSET('RFM input'!$G$60,0,'RFM input'!$V$7)),OFFSET('RFM input'!$J$411,$A1791,0),0)))</f>
        <v>0</v>
      </c>
      <c r="E1794" s="1422">
        <f ca="1">IF(LEFT(E$6,4)&lt;=LEFT('RFM input'!$G$60,4),"enter input",IF(LEFT(E$6,4)&gt;LEFT('RFM input'!$Q$60,4),0,
IF(E$6=(OFFSET('RFM input'!$G$60,0,'RFM input'!$V$7)),OFFSET('RFM input'!$J$411,$A1791,0),0)))</f>
        <v>0</v>
      </c>
      <c r="F1794" s="1422">
        <f ca="1">IF(LEFT(F$6,4)&lt;=LEFT('RFM input'!$G$60,4),"enter input",IF(LEFT(F$6,4)&gt;LEFT('RFM input'!$Q$60,4),0,
IF(F$6=(OFFSET('RFM input'!$G$60,0,'RFM input'!$V$7)),OFFSET('RFM input'!$J$411,$A1791,0),0)))</f>
        <v>0</v>
      </c>
      <c r="G1794" s="1422">
        <f ca="1">IF(LEFT(G$6,4)&lt;=LEFT('RFM input'!$G$60,4),"enter input",IF(LEFT(G$6,4)&gt;LEFT('RFM input'!$Q$60,4),0,
IF(G$6=(OFFSET('RFM input'!$G$60,0,'RFM input'!$V$7)),OFFSET('RFM input'!$J$411,$A1791,0),0)))</f>
        <v>0</v>
      </c>
      <c r="H1794" s="1422">
        <f ca="1">IF(LEFT(H$6,4)&lt;=LEFT('RFM input'!$G$60,4),"enter input",IF(LEFT(H$6,4)&gt;LEFT('RFM input'!$Q$60,4),0,
IF(H$6=(OFFSET('RFM input'!$G$60,0,'RFM input'!$V$7)),OFFSET('RFM input'!$J$411,$A1791,0),0)))</f>
        <v>0</v>
      </c>
      <c r="I1794" s="1422">
        <f ca="1">IF(LEFT(I$6,4)&lt;=LEFT('RFM input'!$G$60,4),"enter input",IF(LEFT(I$6,4)&gt;LEFT('RFM input'!$Q$60,4),0,
IF(I$6=(OFFSET('RFM input'!$G$60,0,'RFM input'!$V$7)),OFFSET('RFM input'!$J$411,$A1791,0),0)))</f>
        <v>0</v>
      </c>
      <c r="J1794" s="1422">
        <f ca="1">IF(LEFT(J$6,4)&lt;=LEFT('RFM input'!$G$60,4),"enter input",IF(LEFT(J$6,4)&gt;LEFT('RFM input'!$Q$60,4),0,
IF(J$6=(OFFSET('RFM input'!$G$60,0,'RFM input'!$V$7)),OFFSET('RFM input'!$J$411,$A1791,0),0)))</f>
        <v>0</v>
      </c>
      <c r="K1794" s="1422">
        <f ca="1">IF(LEFT(K$6,4)&lt;=LEFT('RFM input'!$G$60,4),"enter input",IF(LEFT(K$6,4)&gt;LEFT('RFM input'!$Q$60,4),0,
IF(K$6=(OFFSET('RFM input'!$G$60,0,'RFM input'!$V$7)),OFFSET('RFM input'!$J$411,$A1791,0),0)))</f>
        <v>0</v>
      </c>
      <c r="L1794" s="1422">
        <f ca="1">IF(LEFT(L$6,4)&lt;=LEFT('RFM input'!$G$60,4),"enter input",IF(LEFT(L$6,4)&gt;LEFT('RFM input'!$Q$60,4),0,
IF(L$6=(OFFSET('RFM input'!$G$60,0,'RFM input'!$V$7)),OFFSET('RFM input'!$J$411,$A1791,0),0)))</f>
        <v>0</v>
      </c>
      <c r="M1794" s="1422">
        <f ca="1">IF(LEFT(M$6,4)&lt;=LEFT('RFM input'!$G$60,4),"enter input",IF(LEFT(M$6,4)&gt;LEFT('RFM input'!$Q$60,4),0,
IF(M$6=(OFFSET('RFM input'!$G$60,0,'RFM input'!$V$7)),OFFSET('RFM input'!$J$411,$A1791,0),0)))</f>
        <v>0</v>
      </c>
      <c r="N1794" s="1422">
        <f ca="1">IF(LEFT(N$6,4)&lt;=LEFT('RFM input'!$G$60,4),"enter input",IF(LEFT(N$6,4)&gt;LEFT('RFM input'!$Q$60,4),0,
IF(N$6=(OFFSET('RFM input'!$G$60,0,'RFM input'!$V$7)),OFFSET('RFM input'!$J$411,$A1791,0),0)))</f>
        <v>0</v>
      </c>
      <c r="O1794" s="1422">
        <f ca="1">IF(LEFT(O$6,4)&lt;=LEFT('RFM input'!$G$60,4),"enter input",IF(LEFT(O$6,4)&gt;LEFT('RFM input'!$Q$60,4),0,
IF(O$6=(OFFSET('RFM input'!$G$60,0,'RFM input'!$V$7)),OFFSET('RFM input'!$J$411,$A1791,0),0)))</f>
        <v>0</v>
      </c>
      <c r="P1794" s="1422">
        <f ca="1">IF(LEFT(P$6,4)&lt;=LEFT('RFM input'!$G$60,4),"enter input",IF(LEFT(P$6,4)&gt;LEFT('RFM input'!$Q$60,4),0,
IF(P$6=(OFFSET('RFM input'!$G$60,0,'RFM input'!$V$7)),OFFSET('RFM input'!$J$411,$A1791,0),0)))</f>
        <v>0</v>
      </c>
      <c r="Q1794" s="1422">
        <f ca="1">IF(LEFT(Q$6,4)&lt;=LEFT('RFM input'!$G$60,4),"enter input",IF(LEFT(Q$6,4)&gt;LEFT('RFM input'!$Q$60,4),0,
IF(Q$6=(OFFSET('RFM input'!$G$60,0,'RFM input'!$V$7)),OFFSET('RFM input'!$J$411,$A1791,0),0)))</f>
        <v>0</v>
      </c>
      <c r="R1794" s="1422">
        <f ca="1">IF(LEFT(R$6,4)&lt;=LEFT('RFM input'!$G$60,4),"enter input",IF(LEFT(R$6,4)&gt;LEFT('RFM input'!$Q$60,4),0,
IF(R$6=(OFFSET('RFM input'!$G$60,0,'RFM input'!$V$7)),OFFSET('RFM input'!$J$411,$A1791,0),0)))</f>
        <v>0</v>
      </c>
      <c r="S1794" s="1422">
        <f ca="1">IF(LEFT(S$6,4)&lt;=LEFT('RFM input'!$G$60,4),"enter input",IF(LEFT(S$6,4)&gt;LEFT('RFM input'!$Q$60,4),0,
IF(S$6=(OFFSET('RFM input'!$G$60,0,'RFM input'!$V$7)),OFFSET('RFM input'!$J$411,$A1791,0),0)))</f>
        <v>0</v>
      </c>
      <c r="T1794" s="1422">
        <f ca="1">IF(LEFT(T$6,4)&lt;=LEFT('RFM input'!$G$60,4),"enter input",IF(LEFT(T$6,4)&gt;LEFT('RFM input'!$Q$60,4),0,
IF(T$6=(OFFSET('RFM input'!$G$60,0,'RFM input'!$V$7)),OFFSET('RFM input'!$J$411,$A1791,0),0)))</f>
        <v>0</v>
      </c>
      <c r="U1794" s="1422">
        <f ca="1">IF(LEFT(U$6,4)&lt;=LEFT('RFM input'!$G$60,4),"enter input",IF(LEFT(U$6,4)&gt;LEFT('RFM input'!$Q$60,4),0,
IF(U$6=(OFFSET('RFM input'!$G$60,0,'RFM input'!$V$7)),OFFSET('RFM input'!$J$411,$A1791,0),0)))</f>
        <v>0</v>
      </c>
      <c r="V1794" s="1422">
        <f ca="1">IF(LEFT(V$6,4)&lt;=LEFT('RFM input'!$G$60,4),"enter input",IF(LEFT(V$6,4)&gt;LEFT('RFM input'!$Q$60,4),0,
IF(V$6=(OFFSET('RFM input'!$G$60,0,'RFM input'!$V$7)),OFFSET('RFM input'!$J$411,$A1791,0),0)))</f>
        <v>0</v>
      </c>
      <c r="W1794" s="1422">
        <f ca="1">IF(LEFT(W$6,4)&lt;=LEFT('RFM input'!$G$60,4),"enter input",IF(LEFT(W$6,4)&gt;LEFT('RFM input'!$Q$60,4),0,
IF(W$6=(OFFSET('RFM input'!$G$60,0,'RFM input'!$V$7)),OFFSET('RFM input'!$J$411,$A1791,0),0)))</f>
        <v>0</v>
      </c>
      <c r="X1794" s="152"/>
      <c r="Y1794" s="152"/>
      <c r="Z1794" s="152"/>
      <c r="AA1794" s="152"/>
      <c r="AB1794" s="152"/>
    </row>
    <row r="1795" spans="1:28" hidden="1" outlineLevel="1">
      <c r="A1795" s="235">
        <v>-1</v>
      </c>
      <c r="B1795" s="190" t="s">
        <v>195</v>
      </c>
      <c r="C1795" s="1423"/>
      <c r="D1795" s="1423">
        <f t="shared" ref="D1795" ca="1" si="2592">IF(AND(D1793=0,C1795=0),0,
IF(AND(D1793&lt;&gt;0,C1795=0),D1793,
IF(AND(D1794&lt;&gt;0,C1795&lt;&gt;0),(C1795-(C1795/C1819))+D1793,
IF(C1819&lt;1,0,(C1795-(C1795/C1819))))))</f>
        <v>0</v>
      </c>
      <c r="E1795" s="1423">
        <f t="shared" ref="E1795" ca="1" si="2593">IF(AND(E1793=0,D1795=0),0,
IF(AND(E1793&lt;&gt;0,D1795=0),E1793,
IF(AND(E1794&lt;&gt;0,D1795&lt;&gt;0),(D1795-(D1795/D1819))+E1793,
IF(D1819&lt;1,0,(D1795-(D1795/D1819))))))</f>
        <v>0</v>
      </c>
      <c r="F1795" s="1423">
        <f t="shared" ref="F1795" ca="1" si="2594">IF(AND(F1793=0,E1795=0),0,
IF(AND(F1793&lt;&gt;0,E1795=0),F1793,
IF(AND(F1794&lt;&gt;0,E1795&lt;&gt;0),(E1795-(E1795/E1819))+F1793,
IF(E1819&lt;1,0,(E1795-(E1795/E1819))))))</f>
        <v>0</v>
      </c>
      <c r="G1795" s="1423">
        <f t="shared" ref="G1795" ca="1" si="2595">IF(AND(G1793=0,F1795=0),0,
IF(AND(G1793&lt;&gt;0,F1795=0),G1793,
IF(AND(G1794&lt;&gt;0,F1795&lt;&gt;0),(F1795-(F1795/F1819))+G1793,
IF(F1819&lt;1,0,(F1795-(F1795/F1819))))))</f>
        <v>0</v>
      </c>
      <c r="H1795" s="1423">
        <f ca="1">IF(AND(H1793=0,G1795=0),0,
IF(AND(H1793&lt;&gt;0,G1795=0),H1793,
IF(AND(H1794&lt;&gt;0,G1795&lt;&gt;0),(G1795-(G1795/G1819))+H1793,
IF(G1819&lt;1,0,(G1795-(G1795/G1819))))))</f>
        <v>0</v>
      </c>
      <c r="I1795" s="1423">
        <f t="shared" ref="I1795" ca="1" si="2596">IF(AND(I1793=0,H1795=0),0,
IF(AND(I1793&lt;&gt;0,H1795=0),I1793,
IF(AND(I1794&lt;&gt;0,H1795&lt;&gt;0),(H1795-(H1795/H1819))+I1793,
IF(H1819&lt;1,0,(H1795-(H1795/H1819))))))</f>
        <v>0</v>
      </c>
      <c r="J1795" s="1423">
        <f t="shared" ref="J1795" ca="1" si="2597">IF(AND(J1793=0,I1795=0),0,
IF(AND(J1793&lt;&gt;0,I1795=0),J1793,
IF(AND(J1794&lt;&gt;0,I1795&lt;&gt;0),(I1795-(I1795/I1819))+J1793,
IF(I1819&lt;1,0,(I1795-(I1795/I1819))))))</f>
        <v>0</v>
      </c>
      <c r="K1795" s="1423">
        <f t="shared" ref="K1795" ca="1" si="2598">IF(AND(K1793=0,J1795=0),0,
IF(AND(K1793&lt;&gt;0,J1795=0),K1793,
IF(AND(K1794&lt;&gt;0,J1795&lt;&gt;0),(J1795-(J1795/J1819))+K1793,
IF(J1819&lt;1,0,(J1795-(J1795/J1819))))))</f>
        <v>0</v>
      </c>
      <c r="L1795" s="1423">
        <f t="shared" ref="L1795" ca="1" si="2599">IF(AND(L1793=0,K1795=0),0,
IF(AND(L1793&lt;&gt;0,K1795=0),L1793,
IF(AND(L1794&lt;&gt;0,K1795&lt;&gt;0),(K1795-(K1795/K1819))+L1793,
IF(K1819&lt;1,0,(K1795-(K1795/K1819))))))</f>
        <v>0</v>
      </c>
      <c r="M1795" s="1423">
        <f t="shared" ref="M1795" ca="1" si="2600">IF(AND(M1793=0,L1795=0),0,
IF(AND(M1793&lt;&gt;0,L1795=0),M1793,
IF(AND(M1794&lt;&gt;0,L1795&lt;&gt;0),(L1795-(L1795/L1819))+M1793,
IF(L1819&lt;1,0,(L1795-(L1795/L1819))))))</f>
        <v>0</v>
      </c>
      <c r="N1795" s="1423">
        <f t="shared" ref="N1795" ca="1" si="2601">IF(AND(N1793=0,M1795=0),0,
IF(AND(N1793&lt;&gt;0,M1795=0),N1793,
IF(AND(N1794&lt;&gt;0,M1795&lt;&gt;0),(M1795-(M1795/M1819))+N1793,
IF(M1819&lt;1,0,(M1795-(M1795/M1819))))))</f>
        <v>0</v>
      </c>
      <c r="O1795" s="1423">
        <f t="shared" ref="O1795" ca="1" si="2602">IF(AND(O1793=0,N1795=0),0,
IF(AND(O1793&lt;&gt;0,N1795=0),O1793,
IF(AND(O1794&lt;&gt;0,N1795&lt;&gt;0),(N1795-(N1795/N1819))+O1793,
IF(N1819&lt;1,0,(N1795-(N1795/N1819))))))</f>
        <v>0</v>
      </c>
      <c r="P1795" s="1423">
        <f t="shared" ref="P1795" ca="1" si="2603">IF(AND(P1793=0,O1795=0),0,
IF(AND(P1793&lt;&gt;0,O1795=0),P1793,
IF(AND(P1794&lt;&gt;0,O1795&lt;&gt;0),(O1795-(O1795/O1819))+P1793,
IF(O1819&lt;1,0,(O1795-(O1795/O1819))))))</f>
        <v>0</v>
      </c>
      <c r="Q1795" s="1423">
        <f t="shared" ref="Q1795" ca="1" si="2604">IF(AND(Q1793=0,P1795=0),0,
IF(AND(Q1793&lt;&gt;0,P1795=0),Q1793,
IF(AND(Q1794&lt;&gt;0,P1795&lt;&gt;0),(P1795-(P1795/P1819))+Q1793,
IF(P1819&lt;1,0,(P1795-(P1795/P1819))))))</f>
        <v>0</v>
      </c>
      <c r="R1795" s="1423">
        <f t="shared" ref="R1795" ca="1" si="2605">IF(AND(R1793=0,Q1795=0),0,
IF(AND(R1793&lt;&gt;0,Q1795=0),R1793,
IF(AND(R1794&lt;&gt;0,Q1795&lt;&gt;0),(Q1795-(Q1795/Q1819))+R1793,
IF(Q1819&lt;1,0,(Q1795-(Q1795/Q1819))))))</f>
        <v>0</v>
      </c>
      <c r="S1795" s="1423">
        <f t="shared" ref="S1795" ca="1" si="2606">IF(AND(S1793=0,R1795=0),0,
IF(AND(S1793&lt;&gt;0,R1795=0),S1793,
IF(AND(S1794&lt;&gt;0,R1795&lt;&gt;0),(R1795-(R1795/R1819))+S1793,
IF(R1819&lt;1,0,(R1795-(R1795/R1819))))))</f>
        <v>0</v>
      </c>
      <c r="T1795" s="1423">
        <f t="shared" ref="T1795" ca="1" si="2607">IF(AND(T1793=0,S1795=0),0,
IF(AND(T1793&lt;&gt;0,S1795=0),T1793,
IF(AND(T1794&lt;&gt;0,S1795&lt;&gt;0),(S1795-(S1795/S1819))+T1793,
IF(S1819&lt;1,0,(S1795-(S1795/S1819))))))</f>
        <v>0</v>
      </c>
      <c r="U1795" s="1423">
        <f t="shared" ref="U1795" ca="1" si="2608">IF(AND(U1793=0,T1795=0),0,
IF(AND(U1793&lt;&gt;0,T1795=0),U1793,
IF(AND(U1794&lt;&gt;0,T1795&lt;&gt;0),(T1795-(T1795/T1819))+U1793,
IF(T1819&lt;1,0,(T1795-(T1795/T1819))))))</f>
        <v>0</v>
      </c>
      <c r="V1795" s="1423">
        <f t="shared" ref="V1795" ca="1" si="2609">IF(AND(V1793=0,U1795=0),0,
IF(AND(V1793&lt;&gt;0,U1795=0),V1793,
IF(AND(V1794&lt;&gt;0,U1795&lt;&gt;0),(U1795-(U1795/U1819))+V1793,
IF(U1819&lt;1,0,(U1795-(U1795/U1819))))))</f>
        <v>0</v>
      </c>
      <c r="W1795" s="1423">
        <f t="shared" ref="W1795" ca="1" si="2610">IF(AND(W1793=0,V1795=0),0,
IF(AND(W1793&lt;&gt;0,V1795=0),W1793,
IF(AND(W1794&lt;&gt;0,V1795&lt;&gt;0),(V1795-(V1795/V1819))+W1793,
IF(V1819&lt;1,0,(V1795-(V1795/V1819))))))</f>
        <v>0</v>
      </c>
      <c r="X1795" s="152"/>
      <c r="Y1795" s="152"/>
      <c r="Z1795" s="152"/>
      <c r="AA1795" s="152"/>
      <c r="AB1795" s="152"/>
    </row>
    <row r="1796" spans="1:28" hidden="1" outlineLevel="1">
      <c r="A1796" s="199">
        <f>A1795+1</f>
        <v>0</v>
      </c>
      <c r="B1796" s="190" t="s">
        <v>527</v>
      </c>
      <c r="C1796" s="1423">
        <f ca="1">C1791</f>
        <v>0</v>
      </c>
      <c r="D1796" s="1423">
        <f ca="1">IF(C1820="n/a",C1796,IFERROR(IF((OFFSET($C1796,0,$A1796))&lt;0,
MIN(0,C1796-(OFFSET($C1796,0,$A1796)/(OFFSET($C1791,-$A1795,$A1796)))),
MAX(0,C1796-(OFFSET($C1796,0,$A1796)/(OFFSET($C1791,-$A1795,$A1796))))),0))</f>
        <v>0</v>
      </c>
      <c r="E1796" s="1423">
        <f t="shared" ref="E1796" ca="1" si="2611">IF(D1820="n/a",D1796,IFERROR(IF((OFFSET($C1796,0,$A1796))&lt;0,
MIN(0,D1796-(OFFSET($C1796,0,$A1796)/(OFFSET($C1791,-$A1795,$A1796)))),
MAX(0,D1796-(OFFSET($C1796,0,$A1796)/(OFFSET($C1791,-$A1795,$A1796))))),0))</f>
        <v>0</v>
      </c>
      <c r="F1796" s="1423">
        <f t="shared" ref="F1796:F1797" ca="1" si="2612">IF(E1820="n/a",E1796,IFERROR(IF((OFFSET($C1796,0,$A1796))&lt;0,
MIN(0,E1796-(OFFSET($C1796,0,$A1796)/(OFFSET($C1791,-$A1795,$A1796)))),
MAX(0,E1796-(OFFSET($C1796,0,$A1796)/(OFFSET($C1791,-$A1795,$A1796))))),0))</f>
        <v>0</v>
      </c>
      <c r="G1796" s="1423">
        <f t="shared" ref="G1796:G1798" ca="1" si="2613">IF(F1820="n/a",F1796,IFERROR(IF((OFFSET($C1796,0,$A1796))&lt;0,
MIN(0,F1796-(OFFSET($C1796,0,$A1796)/(OFFSET($C1791,-$A1795,$A1796)))),
MAX(0,F1796-(OFFSET($C1796,0,$A1796)/(OFFSET($C1791,-$A1795,$A1796))))),0))</f>
        <v>0</v>
      </c>
      <c r="H1796" s="1423">
        <f t="shared" ref="H1796:H1799" ca="1" si="2614">IF(G1820="n/a",G1796,IFERROR(IF((OFFSET($C1796,0,$A1796))&lt;0,
MIN(0,G1796-(OFFSET($C1796,0,$A1796)/(OFFSET($C1791,-$A1795,$A1796)))),
MAX(0,G1796-(OFFSET($C1796,0,$A1796)/(OFFSET($C1791,-$A1795,$A1796))))),0))</f>
        <v>0</v>
      </c>
      <c r="I1796" s="1423">
        <f t="shared" ref="I1796:I1800" ca="1" si="2615">IF(H1820="n/a",H1796,IFERROR(IF((OFFSET($C1796,0,$A1796))&lt;0,
MIN(0,H1796-(OFFSET($C1796,0,$A1796)/(OFFSET($C1791,-$A1795,$A1796)))),
MAX(0,H1796-(OFFSET($C1796,0,$A1796)/(OFFSET($C1791,-$A1795,$A1796))))),0))</f>
        <v>0</v>
      </c>
      <c r="J1796" s="1423">
        <f t="shared" ref="J1796:J1801" ca="1" si="2616">IF(I1820="n/a",I1796,IFERROR(IF((OFFSET($C1796,0,$A1796))&lt;0,
MIN(0,I1796-(OFFSET($C1796,0,$A1796)/(OFFSET($C1791,-$A1795,$A1796)))),
MAX(0,I1796-(OFFSET($C1796,0,$A1796)/(OFFSET($C1791,-$A1795,$A1796))))),0))</f>
        <v>0</v>
      </c>
      <c r="K1796" s="1423">
        <f t="shared" ref="K1796:K1802" ca="1" si="2617">IF(J1820="n/a",J1796,IFERROR(IF((OFFSET($C1796,0,$A1796))&lt;0,
MIN(0,J1796-(OFFSET($C1796,0,$A1796)/(OFFSET($C1791,-$A1795,$A1796)))),
MAX(0,J1796-(OFFSET($C1796,0,$A1796)/(OFFSET($C1791,-$A1795,$A1796))))),0))</f>
        <v>0</v>
      </c>
      <c r="L1796" s="1423">
        <f t="shared" ref="L1796:L1803" ca="1" si="2618">IF(K1820="n/a",K1796,IFERROR(IF((OFFSET($C1796,0,$A1796))&lt;0,
MIN(0,K1796-(OFFSET($C1796,0,$A1796)/(OFFSET($C1791,-$A1795,$A1796)))),
MAX(0,K1796-(OFFSET($C1796,0,$A1796)/(OFFSET($C1791,-$A1795,$A1796))))),0))</f>
        <v>0</v>
      </c>
      <c r="M1796" s="1423">
        <f t="shared" ref="M1796:M1804" ca="1" si="2619">IF(L1820="n/a",L1796,IFERROR(IF((OFFSET($C1796,0,$A1796))&lt;0,
MIN(0,L1796-(OFFSET($C1796,0,$A1796)/(OFFSET($C1791,-$A1795,$A1796)))),
MAX(0,L1796-(OFFSET($C1796,0,$A1796)/(OFFSET($C1791,-$A1795,$A1796))))),0))</f>
        <v>0</v>
      </c>
      <c r="N1796" s="1423">
        <f t="shared" ref="N1796:N1805" ca="1" si="2620">IF(M1820="n/a",M1796,IFERROR(IF((OFFSET($C1796,0,$A1796))&lt;0,
MIN(0,M1796-(OFFSET($C1796,0,$A1796)/(OFFSET($C1791,-$A1795,$A1796)))),
MAX(0,M1796-(OFFSET($C1796,0,$A1796)/(OFFSET($C1791,-$A1795,$A1796))))),0))</f>
        <v>0</v>
      </c>
      <c r="O1796" s="1423">
        <f t="shared" ref="O1796:O1806" ca="1" si="2621">IF(N1820="n/a",N1796,IFERROR(IF((OFFSET($C1796,0,$A1796))&lt;0,
MIN(0,N1796-(OFFSET($C1796,0,$A1796)/(OFFSET($C1791,-$A1795,$A1796)))),
MAX(0,N1796-(OFFSET($C1796,0,$A1796)/(OFFSET($C1791,-$A1795,$A1796))))),0))</f>
        <v>0</v>
      </c>
      <c r="P1796" s="1423">
        <f t="shared" ref="P1796:P1807" ca="1" si="2622">IF(O1820="n/a",O1796,IFERROR(IF((OFFSET($C1796,0,$A1796))&lt;0,
MIN(0,O1796-(OFFSET($C1796,0,$A1796)/(OFFSET($C1791,-$A1795,$A1796)))),
MAX(0,O1796-(OFFSET($C1796,0,$A1796)/(OFFSET($C1791,-$A1795,$A1796))))),0))</f>
        <v>0</v>
      </c>
      <c r="Q1796" s="1423">
        <f t="shared" ref="Q1796:Q1808" ca="1" si="2623">IF(P1820="n/a",P1796,IFERROR(IF((OFFSET($C1796,0,$A1796))&lt;0,
MIN(0,P1796-(OFFSET($C1796,0,$A1796)/(OFFSET($C1791,-$A1795,$A1796)))),
MAX(0,P1796-(OFFSET($C1796,0,$A1796)/(OFFSET($C1791,-$A1795,$A1796))))),0))</f>
        <v>0</v>
      </c>
      <c r="R1796" s="1423">
        <f t="shared" ref="R1796:R1809" ca="1" si="2624">IF(Q1820="n/a",Q1796,IFERROR(IF((OFFSET($C1796,0,$A1796))&lt;0,
MIN(0,Q1796-(OFFSET($C1796,0,$A1796)/(OFFSET($C1791,-$A1795,$A1796)))),
MAX(0,Q1796-(OFFSET($C1796,0,$A1796)/(OFFSET($C1791,-$A1795,$A1796))))),0))</f>
        <v>0</v>
      </c>
      <c r="S1796" s="1423">
        <f t="shared" ref="S1796:S1810" ca="1" si="2625">IF(R1820="n/a",R1796,IFERROR(IF((OFFSET($C1796,0,$A1796))&lt;0,
MIN(0,R1796-(OFFSET($C1796,0,$A1796)/(OFFSET($C1791,-$A1795,$A1796)))),
MAX(0,R1796-(OFFSET($C1796,0,$A1796)/(OFFSET($C1791,-$A1795,$A1796))))),0))</f>
        <v>0</v>
      </c>
      <c r="T1796" s="1423">
        <f t="shared" ref="T1796:T1811" ca="1" si="2626">IF(S1820="n/a",S1796,IFERROR(IF((OFFSET($C1796,0,$A1796))&lt;0,
MIN(0,S1796-(OFFSET($C1796,0,$A1796)/(OFFSET($C1791,-$A1795,$A1796)))),
MAX(0,S1796-(OFFSET($C1796,0,$A1796)/(OFFSET($C1791,-$A1795,$A1796))))),0))</f>
        <v>0</v>
      </c>
      <c r="U1796" s="1423">
        <f t="shared" ref="U1796:U1812" ca="1" si="2627">IF(T1820="n/a",T1796,IFERROR(IF((OFFSET($C1796,0,$A1796))&lt;0,
MIN(0,T1796-(OFFSET($C1796,0,$A1796)/(OFFSET($C1791,-$A1795,$A1796)))),
MAX(0,T1796-(OFFSET($C1796,0,$A1796)/(OFFSET($C1791,-$A1795,$A1796))))),0))</f>
        <v>0</v>
      </c>
      <c r="V1796" s="1423">
        <f t="shared" ref="V1796:V1813" ca="1" si="2628">IF(U1820="n/a",U1796,IFERROR(IF((OFFSET($C1796,0,$A1796))&lt;0,
MIN(0,U1796-(OFFSET($C1796,0,$A1796)/(OFFSET($C1791,-$A1795,$A1796)))),
MAX(0,U1796-(OFFSET($C1796,0,$A1796)/(OFFSET($C1791,-$A1795,$A1796))))),0))</f>
        <v>0</v>
      </c>
      <c r="W1796" s="1423">
        <f t="shared" ref="W1796:W1814" ca="1" si="2629">IF(V1820="n/a",V1796,IFERROR(IF((OFFSET($C1796,0,$A1796))&lt;0,
MIN(0,V1796-(OFFSET($C1796,0,$A1796)/(OFFSET($C1791,-$A1795,$A1796)))),
MAX(0,V1796-(OFFSET($C1796,0,$A1796)/(OFFSET($C1791,-$A1795,$A1796))))),0))</f>
        <v>0</v>
      </c>
      <c r="X1796" s="152"/>
      <c r="Y1796" s="152"/>
      <c r="Z1796" s="152"/>
      <c r="AA1796" s="152"/>
      <c r="AB1796" s="152"/>
    </row>
    <row r="1797" spans="1:28" hidden="1" outlineLevel="1">
      <c r="A1797" s="199">
        <f t="shared" ref="A1797:A1816" si="2630">A1796+1</f>
        <v>1</v>
      </c>
      <c r="B1797" s="190" t="str">
        <f t="shared" ref="B1797:B1816" ca="1" si="2631">"Depreciated Net Capex "&amp;OFFSET($C$6,0,A1797)</f>
        <v>Depreciated Net Capex 2016-17</v>
      </c>
      <c r="C1797" s="1424"/>
      <c r="D1797" s="1425">
        <f>D1791</f>
        <v>0</v>
      </c>
      <c r="E1797" s="1423">
        <f ca="1">IF(D1821="n/a",D1797,IFERROR(IF((OFFSET($C1797,0,$A1797))&lt;0,
MIN(0,D1797-(OFFSET($C1797,0,$A1797)/(OFFSET($C1792,-$A1796,$A1797)))),
MAX(0,D1797-(OFFSET($C1797,0,$A1797)/(OFFSET($C1792,-$A1796,$A1797))))),0))</f>
        <v>0</v>
      </c>
      <c r="F1797" s="1423">
        <f t="shared" ca="1" si="2612"/>
        <v>0</v>
      </c>
      <c r="G1797" s="1423">
        <f t="shared" ca="1" si="2613"/>
        <v>0</v>
      </c>
      <c r="H1797" s="1423">
        <f t="shared" ca="1" si="2614"/>
        <v>0</v>
      </c>
      <c r="I1797" s="1423">
        <f t="shared" ca="1" si="2615"/>
        <v>0</v>
      </c>
      <c r="J1797" s="1423">
        <f t="shared" ca="1" si="2616"/>
        <v>0</v>
      </c>
      <c r="K1797" s="1423">
        <f t="shared" ca="1" si="2617"/>
        <v>0</v>
      </c>
      <c r="L1797" s="1423">
        <f t="shared" ca="1" si="2618"/>
        <v>0</v>
      </c>
      <c r="M1797" s="1423">
        <f t="shared" ca="1" si="2619"/>
        <v>0</v>
      </c>
      <c r="N1797" s="1423">
        <f t="shared" ca="1" si="2620"/>
        <v>0</v>
      </c>
      <c r="O1797" s="1423">
        <f t="shared" ca="1" si="2621"/>
        <v>0</v>
      </c>
      <c r="P1797" s="1423">
        <f t="shared" ca="1" si="2622"/>
        <v>0</v>
      </c>
      <c r="Q1797" s="1423">
        <f t="shared" ca="1" si="2623"/>
        <v>0</v>
      </c>
      <c r="R1797" s="1423">
        <f t="shared" ca="1" si="2624"/>
        <v>0</v>
      </c>
      <c r="S1797" s="1423">
        <f t="shared" ca="1" si="2625"/>
        <v>0</v>
      </c>
      <c r="T1797" s="1423">
        <f t="shared" ca="1" si="2626"/>
        <v>0</v>
      </c>
      <c r="U1797" s="1423">
        <f t="shared" ca="1" si="2627"/>
        <v>0</v>
      </c>
      <c r="V1797" s="1423">
        <f t="shared" ca="1" si="2628"/>
        <v>0</v>
      </c>
      <c r="W1797" s="1423">
        <f t="shared" ca="1" si="2629"/>
        <v>0</v>
      </c>
      <c r="X1797" s="152"/>
      <c r="Y1797" s="152"/>
      <c r="Z1797" s="152"/>
      <c r="AA1797" s="152"/>
      <c r="AB1797" s="152"/>
    </row>
    <row r="1798" spans="1:28" hidden="1" outlineLevel="1">
      <c r="A1798" s="199">
        <f t="shared" si="2630"/>
        <v>2</v>
      </c>
      <c r="B1798" s="190" t="str">
        <f t="shared" ca="1" si="2631"/>
        <v>Depreciated Net Capex 2017-18</v>
      </c>
      <c r="C1798" s="1426"/>
      <c r="D1798" s="1427"/>
      <c r="E1798" s="1425">
        <f>E1791</f>
        <v>0</v>
      </c>
      <c r="F1798" s="1423">
        <f ca="1">IF(E1822="n/a",E1798,IFERROR(IF((OFFSET($C1798,0,$A1798))&lt;0,
MIN(0,E1798-(OFFSET($C1798,0,$A1798)/(OFFSET($C1793,-$A1797,$A1798)))),
MAX(0,E1798-(OFFSET($C1798,0,$A1798)/(OFFSET($C1793,-$A1797,$A1798))))),0))</f>
        <v>0</v>
      </c>
      <c r="G1798" s="1423">
        <f t="shared" ca="1" si="2613"/>
        <v>0</v>
      </c>
      <c r="H1798" s="1423">
        <f t="shared" ca="1" si="2614"/>
        <v>0</v>
      </c>
      <c r="I1798" s="1423">
        <f t="shared" ca="1" si="2615"/>
        <v>0</v>
      </c>
      <c r="J1798" s="1423">
        <f t="shared" ca="1" si="2616"/>
        <v>0</v>
      </c>
      <c r="K1798" s="1423">
        <f t="shared" ca="1" si="2617"/>
        <v>0</v>
      </c>
      <c r="L1798" s="1423">
        <f t="shared" ca="1" si="2618"/>
        <v>0</v>
      </c>
      <c r="M1798" s="1423">
        <f t="shared" ca="1" si="2619"/>
        <v>0</v>
      </c>
      <c r="N1798" s="1423">
        <f t="shared" ca="1" si="2620"/>
        <v>0</v>
      </c>
      <c r="O1798" s="1423">
        <f t="shared" ca="1" si="2621"/>
        <v>0</v>
      </c>
      <c r="P1798" s="1423">
        <f t="shared" ca="1" si="2622"/>
        <v>0</v>
      </c>
      <c r="Q1798" s="1423">
        <f t="shared" ca="1" si="2623"/>
        <v>0</v>
      </c>
      <c r="R1798" s="1423">
        <f t="shared" ca="1" si="2624"/>
        <v>0</v>
      </c>
      <c r="S1798" s="1423">
        <f t="shared" ca="1" si="2625"/>
        <v>0</v>
      </c>
      <c r="T1798" s="1423">
        <f t="shared" ca="1" si="2626"/>
        <v>0</v>
      </c>
      <c r="U1798" s="1423">
        <f t="shared" ca="1" si="2627"/>
        <v>0</v>
      </c>
      <c r="V1798" s="1423">
        <f t="shared" ca="1" si="2628"/>
        <v>0</v>
      </c>
      <c r="W1798" s="1423">
        <f t="shared" ca="1" si="2629"/>
        <v>0</v>
      </c>
      <c r="X1798" s="202"/>
      <c r="Y1798" s="152"/>
      <c r="Z1798" s="152"/>
      <c r="AA1798" s="152"/>
      <c r="AB1798" s="152"/>
    </row>
    <row r="1799" spans="1:28" hidden="1" outlineLevel="1">
      <c r="A1799" s="199">
        <f t="shared" si="2630"/>
        <v>3</v>
      </c>
      <c r="B1799" s="190" t="str">
        <f t="shared" ca="1" si="2631"/>
        <v>Depreciated Net Capex 2018-19</v>
      </c>
      <c r="C1799" s="1426"/>
      <c r="D1799" s="1426"/>
      <c r="E1799" s="1427"/>
      <c r="F1799" s="1428">
        <f>F1791</f>
        <v>0</v>
      </c>
      <c r="G1799" s="1423">
        <f ca="1">IF(F1823="n/a",F1799,IFERROR(IF((OFFSET($C1799,0,$A1799))&lt;0,
MIN(0,F1799-(OFFSET($C1799,0,$A1799)/(OFFSET($C1794,-$A1798,$A1799)))),
MAX(0,F1799-(OFFSET($C1799,0,$A1799)/(OFFSET($C1794,-$A1798,$A1799))))),0))</f>
        <v>0</v>
      </c>
      <c r="H1799" s="1423">
        <f t="shared" ca="1" si="2614"/>
        <v>0</v>
      </c>
      <c r="I1799" s="1423">
        <f t="shared" ca="1" si="2615"/>
        <v>0</v>
      </c>
      <c r="J1799" s="1423">
        <f t="shared" ca="1" si="2616"/>
        <v>0</v>
      </c>
      <c r="K1799" s="1423">
        <f t="shared" ca="1" si="2617"/>
        <v>0</v>
      </c>
      <c r="L1799" s="1423">
        <f t="shared" ca="1" si="2618"/>
        <v>0</v>
      </c>
      <c r="M1799" s="1423">
        <f t="shared" ca="1" si="2619"/>
        <v>0</v>
      </c>
      <c r="N1799" s="1423">
        <f t="shared" ca="1" si="2620"/>
        <v>0</v>
      </c>
      <c r="O1799" s="1423">
        <f t="shared" ca="1" si="2621"/>
        <v>0</v>
      </c>
      <c r="P1799" s="1423">
        <f t="shared" ca="1" si="2622"/>
        <v>0</v>
      </c>
      <c r="Q1799" s="1423">
        <f t="shared" ca="1" si="2623"/>
        <v>0</v>
      </c>
      <c r="R1799" s="1423">
        <f t="shared" ca="1" si="2624"/>
        <v>0</v>
      </c>
      <c r="S1799" s="1423">
        <f t="shared" ca="1" si="2625"/>
        <v>0</v>
      </c>
      <c r="T1799" s="1423">
        <f t="shared" ca="1" si="2626"/>
        <v>0</v>
      </c>
      <c r="U1799" s="1423">
        <f t="shared" ca="1" si="2627"/>
        <v>0</v>
      </c>
      <c r="V1799" s="1423">
        <f t="shared" ca="1" si="2628"/>
        <v>0</v>
      </c>
      <c r="W1799" s="1423">
        <f t="shared" ca="1" si="2629"/>
        <v>0</v>
      </c>
      <c r="X1799" s="202"/>
      <c r="Y1799" s="202"/>
      <c r="Z1799" s="152"/>
      <c r="AA1799" s="152"/>
      <c r="AB1799" s="152"/>
    </row>
    <row r="1800" spans="1:28" hidden="1" outlineLevel="1">
      <c r="A1800" s="199">
        <f t="shared" si="2630"/>
        <v>4</v>
      </c>
      <c r="B1800" s="190" t="str">
        <f t="shared" ca="1" si="2631"/>
        <v>Depreciated Net Capex 2019-20</v>
      </c>
      <c r="C1800" s="1426"/>
      <c r="D1800" s="1426"/>
      <c r="E1800" s="1426"/>
      <c r="F1800" s="1427"/>
      <c r="G1800" s="1428">
        <f>G1791</f>
        <v>0</v>
      </c>
      <c r="H1800" s="1423">
        <f ca="1">IF(G1824="n/a",G1800,IFERROR(IF((OFFSET($C1800,0,$A1800))&lt;0,
MIN(0,G1800-(OFFSET($C1800,0,$A1800)/(OFFSET($C1795,-$A1799,$A1800)))),
MAX(0,G1800-(OFFSET($C1800,0,$A1800)/(OFFSET($C1795,-$A1799,$A1800))))),0))</f>
        <v>0</v>
      </c>
      <c r="I1800" s="1423">
        <f t="shared" ca="1" si="2615"/>
        <v>0</v>
      </c>
      <c r="J1800" s="1423">
        <f t="shared" ca="1" si="2616"/>
        <v>0</v>
      </c>
      <c r="K1800" s="1423">
        <f t="shared" ca="1" si="2617"/>
        <v>0</v>
      </c>
      <c r="L1800" s="1423">
        <f t="shared" ca="1" si="2618"/>
        <v>0</v>
      </c>
      <c r="M1800" s="1423">
        <f t="shared" ca="1" si="2619"/>
        <v>0</v>
      </c>
      <c r="N1800" s="1423">
        <f t="shared" ca="1" si="2620"/>
        <v>0</v>
      </c>
      <c r="O1800" s="1423">
        <f t="shared" ca="1" si="2621"/>
        <v>0</v>
      </c>
      <c r="P1800" s="1423">
        <f t="shared" ca="1" si="2622"/>
        <v>0</v>
      </c>
      <c r="Q1800" s="1423">
        <f t="shared" ca="1" si="2623"/>
        <v>0</v>
      </c>
      <c r="R1800" s="1423">
        <f t="shared" ca="1" si="2624"/>
        <v>0</v>
      </c>
      <c r="S1800" s="1423">
        <f t="shared" ca="1" si="2625"/>
        <v>0</v>
      </c>
      <c r="T1800" s="1423">
        <f t="shared" ca="1" si="2626"/>
        <v>0</v>
      </c>
      <c r="U1800" s="1423">
        <f t="shared" ca="1" si="2627"/>
        <v>0</v>
      </c>
      <c r="V1800" s="1423">
        <f t="shared" ca="1" si="2628"/>
        <v>0</v>
      </c>
      <c r="W1800" s="1423">
        <f t="shared" ca="1" si="2629"/>
        <v>0</v>
      </c>
      <c r="X1800" s="202"/>
      <c r="Y1800" s="202"/>
      <c r="Z1800" s="202"/>
      <c r="AA1800" s="152"/>
      <c r="AB1800" s="152"/>
    </row>
    <row r="1801" spans="1:28" hidden="1" outlineLevel="1">
      <c r="A1801" s="199">
        <f t="shared" si="2630"/>
        <v>5</v>
      </c>
      <c r="B1801" s="190" t="str">
        <f t="shared" ca="1" si="2631"/>
        <v>Depreciated Net Capex 2020-21</v>
      </c>
      <c r="C1801" s="1426"/>
      <c r="D1801" s="1426"/>
      <c r="E1801" s="1426"/>
      <c r="F1801" s="1426"/>
      <c r="G1801" s="1427"/>
      <c r="H1801" s="1428">
        <f>H1791</f>
        <v>0</v>
      </c>
      <c r="I1801" s="1423">
        <f ca="1">IF(H1825="n/a",H1801,IFERROR(IF((OFFSET($C1801,0,$A1801))&lt;0,
MIN(0,H1801-(OFFSET($C1801,0,$A1801)/(OFFSET($C1796,-$A1800,$A1801)))),
MAX(0,H1801-(OFFSET($C1801,0,$A1801)/(OFFSET($C1796,-$A1800,$A1801))))),0))</f>
        <v>0</v>
      </c>
      <c r="J1801" s="1423">
        <f t="shared" ca="1" si="2616"/>
        <v>0</v>
      </c>
      <c r="K1801" s="1423">
        <f t="shared" ca="1" si="2617"/>
        <v>0</v>
      </c>
      <c r="L1801" s="1423">
        <f t="shared" ca="1" si="2618"/>
        <v>0</v>
      </c>
      <c r="M1801" s="1423">
        <f t="shared" ca="1" si="2619"/>
        <v>0</v>
      </c>
      <c r="N1801" s="1423">
        <f t="shared" ca="1" si="2620"/>
        <v>0</v>
      </c>
      <c r="O1801" s="1423">
        <f t="shared" ca="1" si="2621"/>
        <v>0</v>
      </c>
      <c r="P1801" s="1423">
        <f t="shared" ca="1" si="2622"/>
        <v>0</v>
      </c>
      <c r="Q1801" s="1423">
        <f t="shared" ca="1" si="2623"/>
        <v>0</v>
      </c>
      <c r="R1801" s="1423">
        <f t="shared" ca="1" si="2624"/>
        <v>0</v>
      </c>
      <c r="S1801" s="1423">
        <f t="shared" ca="1" si="2625"/>
        <v>0</v>
      </c>
      <c r="T1801" s="1423">
        <f t="shared" ca="1" si="2626"/>
        <v>0</v>
      </c>
      <c r="U1801" s="1423">
        <f t="shared" ca="1" si="2627"/>
        <v>0</v>
      </c>
      <c r="V1801" s="1423">
        <f t="shared" ca="1" si="2628"/>
        <v>0</v>
      </c>
      <c r="W1801" s="1423">
        <f t="shared" ca="1" si="2629"/>
        <v>0</v>
      </c>
      <c r="X1801" s="202"/>
      <c r="Y1801" s="202"/>
      <c r="Z1801" s="202"/>
      <c r="AA1801" s="152"/>
      <c r="AB1801" s="152"/>
    </row>
    <row r="1802" spans="1:28" hidden="1" outlineLevel="1">
      <c r="A1802" s="199">
        <f t="shared" si="2630"/>
        <v>6</v>
      </c>
      <c r="B1802" s="190" t="str">
        <f t="shared" ca="1" si="2631"/>
        <v>Depreciated Net Capex 2021-22</v>
      </c>
      <c r="C1802" s="1426"/>
      <c r="D1802" s="1426"/>
      <c r="E1802" s="1426"/>
      <c r="F1802" s="1426"/>
      <c r="G1802" s="1426"/>
      <c r="H1802" s="1427"/>
      <c r="I1802" s="1428">
        <f>I1791</f>
        <v>0</v>
      </c>
      <c r="J1802" s="1423">
        <f ca="1">IF(I1826="n/a",I1802,IFERROR(IF((OFFSET($C1802,0,$A1802))&lt;0,
MIN(0,I1802-(OFFSET($C1802,0,$A1802)/(OFFSET($C1797,-$A1801,$A1802)))),
MAX(0,I1802-(OFFSET($C1802,0,$A1802)/(OFFSET($C1797,-$A1801,$A1802))))),0))</f>
        <v>0</v>
      </c>
      <c r="K1802" s="1423">
        <f t="shared" ca="1" si="2617"/>
        <v>0</v>
      </c>
      <c r="L1802" s="1423">
        <f t="shared" ca="1" si="2618"/>
        <v>0</v>
      </c>
      <c r="M1802" s="1423">
        <f t="shared" ca="1" si="2619"/>
        <v>0</v>
      </c>
      <c r="N1802" s="1423">
        <f t="shared" ca="1" si="2620"/>
        <v>0</v>
      </c>
      <c r="O1802" s="1423">
        <f t="shared" ca="1" si="2621"/>
        <v>0</v>
      </c>
      <c r="P1802" s="1423">
        <f t="shared" ca="1" si="2622"/>
        <v>0</v>
      </c>
      <c r="Q1802" s="1423">
        <f t="shared" ca="1" si="2623"/>
        <v>0</v>
      </c>
      <c r="R1802" s="1423">
        <f t="shared" ca="1" si="2624"/>
        <v>0</v>
      </c>
      <c r="S1802" s="1423">
        <f t="shared" ca="1" si="2625"/>
        <v>0</v>
      </c>
      <c r="T1802" s="1423">
        <f t="shared" ca="1" si="2626"/>
        <v>0</v>
      </c>
      <c r="U1802" s="1423">
        <f t="shared" ca="1" si="2627"/>
        <v>0</v>
      </c>
      <c r="V1802" s="1423">
        <f t="shared" ca="1" si="2628"/>
        <v>0</v>
      </c>
      <c r="W1802" s="1423">
        <f t="shared" ca="1" si="2629"/>
        <v>0</v>
      </c>
      <c r="X1802" s="202"/>
      <c r="Y1802" s="202"/>
      <c r="Z1802" s="202"/>
      <c r="AA1802" s="152"/>
      <c r="AB1802" s="152"/>
    </row>
    <row r="1803" spans="1:28" hidden="1" outlineLevel="1">
      <c r="A1803" s="199">
        <f t="shared" si="2630"/>
        <v>7</v>
      </c>
      <c r="B1803" s="190" t="str">
        <f t="shared" ca="1" si="2631"/>
        <v>Depreciated Net Capex 2022-23</v>
      </c>
      <c r="C1803" s="1426"/>
      <c r="D1803" s="1426"/>
      <c r="E1803" s="1426"/>
      <c r="F1803" s="1426"/>
      <c r="G1803" s="1426"/>
      <c r="H1803" s="1426"/>
      <c r="I1803" s="1427"/>
      <c r="J1803" s="1428">
        <f>J1791</f>
        <v>0</v>
      </c>
      <c r="K1803" s="1423">
        <f ca="1">IF(J1827="n/a",J1803,IFERROR(IF((OFFSET($C1803,0,$A1803))&lt;0,
MIN(0,J1803-(OFFSET($C1803,0,$A1803)/(OFFSET($C1798,-$A1802,$A1803)))),
MAX(0,J1803-(OFFSET($C1803,0,$A1803)/(OFFSET($C1798,-$A1802,$A1803))))),0))</f>
        <v>0</v>
      </c>
      <c r="L1803" s="1423">
        <f t="shared" ca="1" si="2618"/>
        <v>0</v>
      </c>
      <c r="M1803" s="1423">
        <f t="shared" ca="1" si="2619"/>
        <v>0</v>
      </c>
      <c r="N1803" s="1423">
        <f t="shared" ca="1" si="2620"/>
        <v>0</v>
      </c>
      <c r="O1803" s="1423">
        <f t="shared" ca="1" si="2621"/>
        <v>0</v>
      </c>
      <c r="P1803" s="1423">
        <f t="shared" ca="1" si="2622"/>
        <v>0</v>
      </c>
      <c r="Q1803" s="1423">
        <f t="shared" ca="1" si="2623"/>
        <v>0</v>
      </c>
      <c r="R1803" s="1423">
        <f t="shared" ca="1" si="2624"/>
        <v>0</v>
      </c>
      <c r="S1803" s="1423">
        <f t="shared" ca="1" si="2625"/>
        <v>0</v>
      </c>
      <c r="T1803" s="1423">
        <f t="shared" ca="1" si="2626"/>
        <v>0</v>
      </c>
      <c r="U1803" s="1423">
        <f t="shared" ca="1" si="2627"/>
        <v>0</v>
      </c>
      <c r="V1803" s="1423">
        <f t="shared" ca="1" si="2628"/>
        <v>0</v>
      </c>
      <c r="W1803" s="1423">
        <f t="shared" ca="1" si="2629"/>
        <v>0</v>
      </c>
      <c r="X1803" s="202"/>
      <c r="Y1803" s="202"/>
      <c r="Z1803" s="202"/>
      <c r="AA1803" s="152"/>
      <c r="AB1803" s="152"/>
    </row>
    <row r="1804" spans="1:28" hidden="1" outlineLevel="1">
      <c r="A1804" s="199">
        <f t="shared" si="2630"/>
        <v>8</v>
      </c>
      <c r="B1804" s="190" t="str">
        <f t="shared" ca="1" si="2631"/>
        <v>Depreciated Net Capex 2023-24</v>
      </c>
      <c r="C1804" s="1426"/>
      <c r="D1804" s="1426"/>
      <c r="E1804" s="1426"/>
      <c r="F1804" s="1426"/>
      <c r="G1804" s="1426"/>
      <c r="H1804" s="1426"/>
      <c r="I1804" s="1426"/>
      <c r="J1804" s="1427"/>
      <c r="K1804" s="1428">
        <f>K1791</f>
        <v>0</v>
      </c>
      <c r="L1804" s="1423">
        <f ca="1">IF(K1828="n/a",K1804,IFERROR(IF((OFFSET($C1804,0,$A1804))&lt;0,
MIN(0,K1804-(OFFSET($C1804,0,$A1804)/(OFFSET($C1799,-$A1803,$A1804)))),
MAX(0,K1804-(OFFSET($C1804,0,$A1804)/(OFFSET($C1799,-$A1803,$A1804))))),0))</f>
        <v>0</v>
      </c>
      <c r="M1804" s="1423">
        <f t="shared" ca="1" si="2619"/>
        <v>0</v>
      </c>
      <c r="N1804" s="1423">
        <f t="shared" ca="1" si="2620"/>
        <v>0</v>
      </c>
      <c r="O1804" s="1423">
        <f t="shared" ca="1" si="2621"/>
        <v>0</v>
      </c>
      <c r="P1804" s="1423">
        <f t="shared" ca="1" si="2622"/>
        <v>0</v>
      </c>
      <c r="Q1804" s="1423">
        <f t="shared" ca="1" si="2623"/>
        <v>0</v>
      </c>
      <c r="R1804" s="1423">
        <f t="shared" ca="1" si="2624"/>
        <v>0</v>
      </c>
      <c r="S1804" s="1423">
        <f t="shared" ca="1" si="2625"/>
        <v>0</v>
      </c>
      <c r="T1804" s="1423">
        <f t="shared" ca="1" si="2626"/>
        <v>0</v>
      </c>
      <c r="U1804" s="1423">
        <f t="shared" ca="1" si="2627"/>
        <v>0</v>
      </c>
      <c r="V1804" s="1423">
        <f t="shared" ca="1" si="2628"/>
        <v>0</v>
      </c>
      <c r="W1804" s="1423">
        <f t="shared" ca="1" si="2629"/>
        <v>0</v>
      </c>
      <c r="X1804" s="202"/>
      <c r="Y1804" s="202"/>
      <c r="Z1804" s="202"/>
      <c r="AA1804" s="152"/>
      <c r="AB1804" s="152"/>
    </row>
    <row r="1805" spans="1:28" hidden="1" outlineLevel="1">
      <c r="A1805" s="199">
        <f t="shared" si="2630"/>
        <v>9</v>
      </c>
      <c r="B1805" s="190" t="str">
        <f t="shared" ca="1" si="2631"/>
        <v>Depreciated Net Capex 2024-25</v>
      </c>
      <c r="C1805" s="1426"/>
      <c r="D1805" s="1426"/>
      <c r="E1805" s="1426"/>
      <c r="F1805" s="1426"/>
      <c r="G1805" s="1426"/>
      <c r="H1805" s="1426"/>
      <c r="I1805" s="1426"/>
      <c r="J1805" s="1426"/>
      <c r="K1805" s="1427"/>
      <c r="L1805" s="1428">
        <f>L1791</f>
        <v>0</v>
      </c>
      <c r="M1805" s="1423">
        <f ca="1">IF(L1829="n/a",L1805,IFERROR(IF((OFFSET($C1805,0,$A1805))&lt;0,
MIN(0,L1805-(OFFSET($C1805,0,$A1805)/(OFFSET($C1800,-$A1804,$A1805)))),
MAX(0,L1805-(OFFSET($C1805,0,$A1805)/(OFFSET($C1800,-$A1804,$A1805))))),0))</f>
        <v>0</v>
      </c>
      <c r="N1805" s="1423">
        <f t="shared" ca="1" si="2620"/>
        <v>0</v>
      </c>
      <c r="O1805" s="1423">
        <f t="shared" ca="1" si="2621"/>
        <v>0</v>
      </c>
      <c r="P1805" s="1423">
        <f t="shared" ca="1" si="2622"/>
        <v>0</v>
      </c>
      <c r="Q1805" s="1423">
        <f t="shared" ca="1" si="2623"/>
        <v>0</v>
      </c>
      <c r="R1805" s="1423">
        <f t="shared" ca="1" si="2624"/>
        <v>0</v>
      </c>
      <c r="S1805" s="1423">
        <f t="shared" ca="1" si="2625"/>
        <v>0</v>
      </c>
      <c r="T1805" s="1423">
        <f t="shared" ca="1" si="2626"/>
        <v>0</v>
      </c>
      <c r="U1805" s="1423">
        <f t="shared" ca="1" si="2627"/>
        <v>0</v>
      </c>
      <c r="V1805" s="1423">
        <f t="shared" ca="1" si="2628"/>
        <v>0</v>
      </c>
      <c r="W1805" s="1423">
        <f t="shared" ca="1" si="2629"/>
        <v>0</v>
      </c>
      <c r="X1805" s="202"/>
      <c r="Y1805" s="202"/>
      <c r="Z1805" s="202"/>
      <c r="AA1805" s="152"/>
      <c r="AB1805" s="152"/>
    </row>
    <row r="1806" spans="1:28" hidden="1" outlineLevel="1">
      <c r="A1806" s="199">
        <f t="shared" si="2630"/>
        <v>10</v>
      </c>
      <c r="B1806" s="190" t="str">
        <f t="shared" ca="1" si="2631"/>
        <v>Depreciated Net Capex 2025-26</v>
      </c>
      <c r="C1806" s="1426"/>
      <c r="D1806" s="1426"/>
      <c r="E1806" s="1426"/>
      <c r="F1806" s="1426"/>
      <c r="G1806" s="1426"/>
      <c r="H1806" s="1426"/>
      <c r="I1806" s="1426"/>
      <c r="J1806" s="1426"/>
      <c r="K1806" s="1426"/>
      <c r="L1806" s="1427"/>
      <c r="M1806" s="1428">
        <f>M1791</f>
        <v>0</v>
      </c>
      <c r="N1806" s="1423">
        <f ca="1">IF(M1830="n/a",M1806,IFERROR(IF((OFFSET($C1806,0,$A1806))&lt;0,
MIN(0,M1806-(OFFSET($C1806,0,$A1806)/(OFFSET($C1801,-$A1805,$A1806)))),
MAX(0,M1806-(OFFSET($C1806,0,$A1806)/(OFFSET($C1801,-$A1805,$A1806))))),0))</f>
        <v>0</v>
      </c>
      <c r="O1806" s="1423">
        <f t="shared" ca="1" si="2621"/>
        <v>0</v>
      </c>
      <c r="P1806" s="1423">
        <f t="shared" ca="1" si="2622"/>
        <v>0</v>
      </c>
      <c r="Q1806" s="1423">
        <f t="shared" ca="1" si="2623"/>
        <v>0</v>
      </c>
      <c r="R1806" s="1423">
        <f t="shared" ca="1" si="2624"/>
        <v>0</v>
      </c>
      <c r="S1806" s="1423">
        <f t="shared" ca="1" si="2625"/>
        <v>0</v>
      </c>
      <c r="T1806" s="1423">
        <f t="shared" ca="1" si="2626"/>
        <v>0</v>
      </c>
      <c r="U1806" s="1423">
        <f t="shared" ca="1" si="2627"/>
        <v>0</v>
      </c>
      <c r="V1806" s="1423">
        <f t="shared" ca="1" si="2628"/>
        <v>0</v>
      </c>
      <c r="W1806" s="1423">
        <f t="shared" ca="1" si="2629"/>
        <v>0</v>
      </c>
      <c r="X1806" s="202"/>
      <c r="Y1806" s="202"/>
      <c r="Z1806" s="202"/>
      <c r="AA1806" s="152"/>
      <c r="AB1806" s="152"/>
    </row>
    <row r="1807" spans="1:28" hidden="1" outlineLevel="1">
      <c r="A1807" s="199">
        <f t="shared" si="2630"/>
        <v>11</v>
      </c>
      <c r="B1807" s="190" t="str">
        <f t="shared" ca="1" si="2631"/>
        <v>Depreciated Net Capex 2026-27</v>
      </c>
      <c r="C1807" s="1426"/>
      <c r="D1807" s="1426"/>
      <c r="E1807" s="1426"/>
      <c r="F1807" s="1426"/>
      <c r="G1807" s="1426"/>
      <c r="H1807" s="1426"/>
      <c r="I1807" s="1426"/>
      <c r="J1807" s="1426"/>
      <c r="K1807" s="1426"/>
      <c r="L1807" s="1426"/>
      <c r="M1807" s="1427"/>
      <c r="N1807" s="1428">
        <f>N1791</f>
        <v>0</v>
      </c>
      <c r="O1807" s="1423">
        <f ca="1">IF(N1831="n/a",N1807,IFERROR(IF((OFFSET($C1807,0,$A1807))&lt;0,
MIN(0,N1807-(OFFSET($C1807,0,$A1807)/(OFFSET($C1802,-$A1806,$A1807)))),
MAX(0,N1807-(OFFSET($C1807,0,$A1807)/(OFFSET($C1802,-$A1806,$A1807))))),0))</f>
        <v>0</v>
      </c>
      <c r="P1807" s="1423">
        <f t="shared" ca="1" si="2622"/>
        <v>0</v>
      </c>
      <c r="Q1807" s="1423">
        <f t="shared" ca="1" si="2623"/>
        <v>0</v>
      </c>
      <c r="R1807" s="1423">
        <f t="shared" ca="1" si="2624"/>
        <v>0</v>
      </c>
      <c r="S1807" s="1423">
        <f t="shared" ca="1" si="2625"/>
        <v>0</v>
      </c>
      <c r="T1807" s="1423">
        <f t="shared" ca="1" si="2626"/>
        <v>0</v>
      </c>
      <c r="U1807" s="1423">
        <f t="shared" ca="1" si="2627"/>
        <v>0</v>
      </c>
      <c r="V1807" s="1423">
        <f t="shared" ca="1" si="2628"/>
        <v>0</v>
      </c>
      <c r="W1807" s="1423">
        <f t="shared" ca="1" si="2629"/>
        <v>0</v>
      </c>
      <c r="X1807" s="202"/>
      <c r="Y1807" s="202"/>
      <c r="Z1807" s="202"/>
      <c r="AA1807" s="152"/>
      <c r="AB1807" s="152"/>
    </row>
    <row r="1808" spans="1:28" hidden="1" outlineLevel="1">
      <c r="A1808" s="199">
        <f t="shared" si="2630"/>
        <v>12</v>
      </c>
      <c r="B1808" s="190" t="str">
        <f t="shared" ca="1" si="2631"/>
        <v>Depreciated Net Capex 2027-28</v>
      </c>
      <c r="C1808" s="1426"/>
      <c r="D1808" s="1426"/>
      <c r="E1808" s="1426"/>
      <c r="F1808" s="1426"/>
      <c r="G1808" s="1426"/>
      <c r="H1808" s="1426"/>
      <c r="I1808" s="1426"/>
      <c r="J1808" s="1426"/>
      <c r="K1808" s="1426"/>
      <c r="L1808" s="1426"/>
      <c r="M1808" s="1426"/>
      <c r="N1808" s="1427"/>
      <c r="O1808" s="1428">
        <f>O1791</f>
        <v>0</v>
      </c>
      <c r="P1808" s="1423">
        <f ca="1">IF(O1832="n/a",O1808,IFERROR(IF((OFFSET($C1808,0,$A1808))&lt;0,
MIN(0,O1808-(OFFSET($C1808,0,$A1808)/(OFFSET($C1803,-$A1807,$A1808)))),
MAX(0,O1808-(OFFSET($C1808,0,$A1808)/(OFFSET($C1803,-$A1807,$A1808))))),0))</f>
        <v>0</v>
      </c>
      <c r="Q1808" s="1423">
        <f t="shared" ca="1" si="2623"/>
        <v>0</v>
      </c>
      <c r="R1808" s="1423">
        <f t="shared" ca="1" si="2624"/>
        <v>0</v>
      </c>
      <c r="S1808" s="1423">
        <f t="shared" ca="1" si="2625"/>
        <v>0</v>
      </c>
      <c r="T1808" s="1423">
        <f t="shared" ca="1" si="2626"/>
        <v>0</v>
      </c>
      <c r="U1808" s="1423">
        <f t="shared" ca="1" si="2627"/>
        <v>0</v>
      </c>
      <c r="V1808" s="1423">
        <f t="shared" ca="1" si="2628"/>
        <v>0</v>
      </c>
      <c r="W1808" s="1423">
        <f t="shared" ca="1" si="2629"/>
        <v>0</v>
      </c>
      <c r="X1808" s="202"/>
      <c r="Y1808" s="202"/>
      <c r="Z1808" s="202"/>
      <c r="AA1808" s="152"/>
      <c r="AB1808" s="152"/>
    </row>
    <row r="1809" spans="1:28" hidden="1" outlineLevel="1">
      <c r="A1809" s="199">
        <f t="shared" si="2630"/>
        <v>13</v>
      </c>
      <c r="B1809" s="190" t="str">
        <f t="shared" ca="1" si="2631"/>
        <v>Depreciated Net Capex 2028-29</v>
      </c>
      <c r="C1809" s="1426"/>
      <c r="D1809" s="1426"/>
      <c r="E1809" s="1426"/>
      <c r="F1809" s="1426"/>
      <c r="G1809" s="1426"/>
      <c r="H1809" s="1426"/>
      <c r="I1809" s="1426"/>
      <c r="J1809" s="1426"/>
      <c r="K1809" s="1426"/>
      <c r="L1809" s="1426"/>
      <c r="M1809" s="1426"/>
      <c r="N1809" s="1426"/>
      <c r="O1809" s="1427"/>
      <c r="P1809" s="1428">
        <f>P1791</f>
        <v>0</v>
      </c>
      <c r="Q1809" s="1423">
        <f ca="1">IF(P1833="n/a",P1809,IFERROR(IF((OFFSET($C1809,0,$A1809))&lt;0,
MIN(0,P1809-(OFFSET($C1809,0,$A1809)/(OFFSET($C1804,-$A1808,$A1809)))),
MAX(0,P1809-(OFFSET($C1809,0,$A1809)/(OFFSET($C1804,-$A1808,$A1809))))),0))</f>
        <v>0</v>
      </c>
      <c r="R1809" s="1423">
        <f t="shared" ca="1" si="2624"/>
        <v>0</v>
      </c>
      <c r="S1809" s="1423">
        <f t="shared" ca="1" si="2625"/>
        <v>0</v>
      </c>
      <c r="T1809" s="1423">
        <f t="shared" ca="1" si="2626"/>
        <v>0</v>
      </c>
      <c r="U1809" s="1423">
        <f t="shared" ca="1" si="2627"/>
        <v>0</v>
      </c>
      <c r="V1809" s="1423">
        <f t="shared" ca="1" si="2628"/>
        <v>0</v>
      </c>
      <c r="W1809" s="1423">
        <f t="shared" ca="1" si="2629"/>
        <v>0</v>
      </c>
      <c r="X1809" s="202"/>
      <c r="Y1809" s="202"/>
      <c r="Z1809" s="202"/>
      <c r="AA1809" s="152"/>
      <c r="AB1809" s="152"/>
    </row>
    <row r="1810" spans="1:28" hidden="1" outlineLevel="1">
      <c r="A1810" s="199">
        <f t="shared" si="2630"/>
        <v>14</v>
      </c>
      <c r="B1810" s="190" t="str">
        <f t="shared" ca="1" si="2631"/>
        <v>Depreciated Net Capex 2029-30</v>
      </c>
      <c r="C1810" s="1426"/>
      <c r="D1810" s="1426"/>
      <c r="E1810" s="1426"/>
      <c r="F1810" s="1426"/>
      <c r="G1810" s="1426"/>
      <c r="H1810" s="1426"/>
      <c r="I1810" s="1426"/>
      <c r="J1810" s="1426"/>
      <c r="K1810" s="1426"/>
      <c r="L1810" s="1426"/>
      <c r="M1810" s="1426"/>
      <c r="N1810" s="1426"/>
      <c r="O1810" s="1426"/>
      <c r="P1810" s="1427"/>
      <c r="Q1810" s="1428">
        <f>Q1791</f>
        <v>0</v>
      </c>
      <c r="R1810" s="1423">
        <f ca="1">IF(Q1834="n/a",Q1810,IFERROR(IF((OFFSET($C1810,0,$A1810))&lt;0,
MIN(0,Q1810-(OFFSET($C1810,0,$A1810)/(OFFSET($C1805,-$A1809,$A1810)))),
MAX(0,Q1810-(OFFSET($C1810,0,$A1810)/(OFFSET($C1805,-$A1809,$A1810))))),0))</f>
        <v>0</v>
      </c>
      <c r="S1810" s="1423">
        <f t="shared" ca="1" si="2625"/>
        <v>0</v>
      </c>
      <c r="T1810" s="1423">
        <f t="shared" ca="1" si="2626"/>
        <v>0</v>
      </c>
      <c r="U1810" s="1423">
        <f t="shared" ca="1" si="2627"/>
        <v>0</v>
      </c>
      <c r="V1810" s="1423">
        <f t="shared" ca="1" si="2628"/>
        <v>0</v>
      </c>
      <c r="W1810" s="1423">
        <f t="shared" ca="1" si="2629"/>
        <v>0</v>
      </c>
      <c r="X1810" s="202"/>
      <c r="Y1810" s="202"/>
      <c r="Z1810" s="202"/>
      <c r="AA1810" s="152"/>
      <c r="AB1810" s="152"/>
    </row>
    <row r="1811" spans="1:28" hidden="1" outlineLevel="1">
      <c r="A1811" s="199">
        <f t="shared" si="2630"/>
        <v>15</v>
      </c>
      <c r="B1811" s="190" t="str">
        <f t="shared" ca="1" si="2631"/>
        <v>Depreciated Net Capex 2030-31</v>
      </c>
      <c r="C1811" s="1426"/>
      <c r="D1811" s="1426"/>
      <c r="E1811" s="1426"/>
      <c r="F1811" s="1426"/>
      <c r="G1811" s="1426"/>
      <c r="H1811" s="1426"/>
      <c r="I1811" s="1426"/>
      <c r="J1811" s="1426"/>
      <c r="K1811" s="1426"/>
      <c r="L1811" s="1426"/>
      <c r="M1811" s="1426"/>
      <c r="N1811" s="1426"/>
      <c r="O1811" s="1426"/>
      <c r="P1811" s="1426"/>
      <c r="Q1811" s="1427"/>
      <c r="R1811" s="1428">
        <f>R1791</f>
        <v>0</v>
      </c>
      <c r="S1811" s="1423">
        <f ca="1">IF(R1835="n/a",R1811,IFERROR(IF((OFFSET($C1811,0,$A1811))&lt;0,
MIN(0,R1811-(OFFSET($C1811,0,$A1811)/(OFFSET($C1806,-$A1810,$A1811)))),
MAX(0,R1811-(OFFSET($C1811,0,$A1811)/(OFFSET($C1806,-$A1810,$A1811))))),0))</f>
        <v>0</v>
      </c>
      <c r="T1811" s="1423">
        <f t="shared" ca="1" si="2626"/>
        <v>0</v>
      </c>
      <c r="U1811" s="1423">
        <f t="shared" ca="1" si="2627"/>
        <v>0</v>
      </c>
      <c r="V1811" s="1423">
        <f t="shared" ca="1" si="2628"/>
        <v>0</v>
      </c>
      <c r="W1811" s="1423">
        <f t="shared" ca="1" si="2629"/>
        <v>0</v>
      </c>
      <c r="X1811" s="202"/>
      <c r="Y1811" s="202"/>
      <c r="Z1811" s="202"/>
      <c r="AA1811" s="152"/>
      <c r="AB1811" s="152"/>
    </row>
    <row r="1812" spans="1:28" hidden="1" outlineLevel="1">
      <c r="A1812" s="199">
        <f t="shared" si="2630"/>
        <v>16</v>
      </c>
      <c r="B1812" s="190" t="str">
        <f t="shared" ca="1" si="2631"/>
        <v>Depreciated Net Capex 2031-32</v>
      </c>
      <c r="C1812" s="1426"/>
      <c r="D1812" s="1426"/>
      <c r="E1812" s="1426"/>
      <c r="F1812" s="1426"/>
      <c r="G1812" s="1426"/>
      <c r="H1812" s="1426"/>
      <c r="I1812" s="1426"/>
      <c r="J1812" s="1426"/>
      <c r="K1812" s="1426"/>
      <c r="L1812" s="1426"/>
      <c r="M1812" s="1426"/>
      <c r="N1812" s="1426"/>
      <c r="O1812" s="1426"/>
      <c r="P1812" s="1426"/>
      <c r="Q1812" s="1426"/>
      <c r="R1812" s="1427"/>
      <c r="S1812" s="1428">
        <f>S1791</f>
        <v>0</v>
      </c>
      <c r="T1812" s="1423">
        <f ca="1">IF(S1836="n/a",S1812,IFERROR(IF((OFFSET($C1812,0,$A1812))&lt;0,
MIN(0,S1812-(OFFSET($C1812,0,$A1812)/(OFFSET($C1807,-$A1811,$A1812)))),
MAX(0,S1812-(OFFSET($C1812,0,$A1812)/(OFFSET($C1807,-$A1811,$A1812))))),0))</f>
        <v>0</v>
      </c>
      <c r="U1812" s="1423">
        <f t="shared" ca="1" si="2627"/>
        <v>0</v>
      </c>
      <c r="V1812" s="1423">
        <f t="shared" ca="1" si="2628"/>
        <v>0</v>
      </c>
      <c r="W1812" s="1423">
        <f t="shared" ca="1" si="2629"/>
        <v>0</v>
      </c>
      <c r="X1812" s="202"/>
      <c r="Y1812" s="202"/>
      <c r="Z1812" s="202"/>
      <c r="AA1812" s="152"/>
      <c r="AB1812" s="152"/>
    </row>
    <row r="1813" spans="1:28" hidden="1" outlineLevel="1">
      <c r="A1813" s="199">
        <f t="shared" si="2630"/>
        <v>17</v>
      </c>
      <c r="B1813" s="190" t="str">
        <f t="shared" ca="1" si="2631"/>
        <v>Depreciated Net Capex 2032-33</v>
      </c>
      <c r="C1813" s="1426"/>
      <c r="D1813" s="1426"/>
      <c r="E1813" s="1426"/>
      <c r="F1813" s="1426"/>
      <c r="G1813" s="1426"/>
      <c r="H1813" s="1426"/>
      <c r="I1813" s="1426"/>
      <c r="J1813" s="1426"/>
      <c r="K1813" s="1426"/>
      <c r="L1813" s="1426"/>
      <c r="M1813" s="1426"/>
      <c r="N1813" s="1426"/>
      <c r="O1813" s="1426"/>
      <c r="P1813" s="1426"/>
      <c r="Q1813" s="1426"/>
      <c r="R1813" s="1426"/>
      <c r="S1813" s="1427"/>
      <c r="T1813" s="1428">
        <f>T1791</f>
        <v>0</v>
      </c>
      <c r="U1813" s="1423">
        <f ca="1">IF(T1837="n/a",T1813,IFERROR(IF((OFFSET($C1813,0,$A1813))&lt;0,
MIN(0,T1813-(OFFSET($C1813,0,$A1813)/(OFFSET($C1808,-$A1812,$A1813)))),
MAX(0,T1813-(OFFSET($C1813,0,$A1813)/(OFFSET($C1808,-$A1812,$A1813))))),0))</f>
        <v>0</v>
      </c>
      <c r="V1813" s="1423">
        <f t="shared" ca="1" si="2628"/>
        <v>0</v>
      </c>
      <c r="W1813" s="1423">
        <f t="shared" ca="1" si="2629"/>
        <v>0</v>
      </c>
      <c r="X1813" s="202"/>
      <c r="Y1813" s="202"/>
      <c r="Z1813" s="202"/>
      <c r="AA1813" s="152"/>
      <c r="AB1813" s="152"/>
    </row>
    <row r="1814" spans="1:28" hidden="1" outlineLevel="1">
      <c r="A1814" s="199">
        <f t="shared" si="2630"/>
        <v>18</v>
      </c>
      <c r="B1814" s="190" t="str">
        <f t="shared" ca="1" si="2631"/>
        <v>Depreciated Net Capex 2033-34</v>
      </c>
      <c r="C1814" s="1426"/>
      <c r="D1814" s="1426"/>
      <c r="E1814" s="1426"/>
      <c r="F1814" s="1426"/>
      <c r="G1814" s="1426"/>
      <c r="H1814" s="1426"/>
      <c r="I1814" s="1426"/>
      <c r="J1814" s="1426"/>
      <c r="K1814" s="1426"/>
      <c r="L1814" s="1426"/>
      <c r="M1814" s="1426"/>
      <c r="N1814" s="1426"/>
      <c r="O1814" s="1426"/>
      <c r="P1814" s="1426"/>
      <c r="Q1814" s="1426"/>
      <c r="R1814" s="1426"/>
      <c r="S1814" s="1426"/>
      <c r="T1814" s="1427"/>
      <c r="U1814" s="1428">
        <f>U1791</f>
        <v>0</v>
      </c>
      <c r="V1814" s="1423">
        <f ca="1">IF(U1838="n/a",U1814,IFERROR(IF((OFFSET($C1814,0,$A1814))&lt;0,
MIN(0,U1814-(OFFSET($C1814,0,$A1814)/(OFFSET($C1809,-$A1813,$A1814)))),
MAX(0,U1814-(OFFSET($C1814,0,$A1814)/(OFFSET($C1809,-$A1813,$A1814))))),0))</f>
        <v>0</v>
      </c>
      <c r="W1814" s="1423">
        <f t="shared" ca="1" si="2629"/>
        <v>0</v>
      </c>
      <c r="X1814" s="202"/>
      <c r="Y1814" s="202"/>
      <c r="Z1814" s="202"/>
      <c r="AA1814" s="152"/>
      <c r="AB1814" s="152"/>
    </row>
    <row r="1815" spans="1:28" hidden="1" outlineLevel="1">
      <c r="A1815" s="199">
        <f t="shared" si="2630"/>
        <v>19</v>
      </c>
      <c r="B1815" s="190" t="str">
        <f t="shared" ca="1" si="2631"/>
        <v>Depreciated Net Capex 2034-35</v>
      </c>
      <c r="C1815" s="1426"/>
      <c r="D1815" s="1426"/>
      <c r="E1815" s="1426"/>
      <c r="F1815" s="1426"/>
      <c r="G1815" s="1426"/>
      <c r="H1815" s="1426"/>
      <c r="I1815" s="1426"/>
      <c r="J1815" s="1426"/>
      <c r="K1815" s="1426"/>
      <c r="L1815" s="1426"/>
      <c r="M1815" s="1426"/>
      <c r="N1815" s="1426"/>
      <c r="O1815" s="1426"/>
      <c r="P1815" s="1426"/>
      <c r="Q1815" s="1426"/>
      <c r="R1815" s="1426"/>
      <c r="S1815" s="1426"/>
      <c r="T1815" s="1426"/>
      <c r="U1815" s="1427"/>
      <c r="V1815" s="1428">
        <f>V1791</f>
        <v>0</v>
      </c>
      <c r="W1815" s="1423">
        <f ca="1">IF(V1839="n/a",V1815,IFERROR(IF((OFFSET($C1815,0,$A1815))&lt;0,
MIN(0,V1815-(OFFSET($C1815,0,$A1815)/(OFFSET($C1810,-$A1814,$A1815)))),
MAX(0,V1815-(OFFSET($C1815,0,$A1815)/(OFFSET($C1810,-$A1814,$A1815))))),0))</f>
        <v>0</v>
      </c>
      <c r="X1815" s="202"/>
      <c r="Y1815" s="202"/>
      <c r="Z1815" s="202"/>
      <c r="AA1815" s="152"/>
      <c r="AB1815" s="152"/>
    </row>
    <row r="1816" spans="1:28" hidden="1" outlineLevel="1">
      <c r="A1816" s="199">
        <f t="shared" si="2630"/>
        <v>20</v>
      </c>
      <c r="B1816" s="190" t="str">
        <f t="shared" ca="1" si="2631"/>
        <v>Depreciated Net Capex 2035-36</v>
      </c>
      <c r="C1816" s="1426"/>
      <c r="D1816" s="1426"/>
      <c r="E1816" s="1426"/>
      <c r="F1816" s="1426"/>
      <c r="G1816" s="1426"/>
      <c r="H1816" s="1426"/>
      <c r="I1816" s="1426"/>
      <c r="J1816" s="1426"/>
      <c r="K1816" s="1426"/>
      <c r="L1816" s="1426"/>
      <c r="M1816" s="1426"/>
      <c r="N1816" s="1426"/>
      <c r="O1816" s="1426"/>
      <c r="P1816" s="1426"/>
      <c r="Q1816" s="1426"/>
      <c r="R1816" s="1426"/>
      <c r="S1816" s="1426"/>
      <c r="T1816" s="1426"/>
      <c r="U1816" s="1426"/>
      <c r="V1816" s="1427"/>
      <c r="W1816" s="1423">
        <f>W1791</f>
        <v>0</v>
      </c>
      <c r="X1816" s="152"/>
      <c r="Y1816" s="152"/>
      <c r="Z1816" s="152"/>
      <c r="AA1816" s="152"/>
      <c r="AB1816" s="152"/>
    </row>
    <row r="1817" spans="1:28" hidden="1" outlineLevel="1">
      <c r="A1817" s="152"/>
      <c r="B1817" s="200"/>
      <c r="C1817" s="1423"/>
      <c r="D1817" s="1423"/>
      <c r="E1817" s="1423"/>
      <c r="F1817" s="1423"/>
      <c r="G1817" s="1423"/>
      <c r="H1817" s="1423"/>
      <c r="I1817" s="1423"/>
      <c r="J1817" s="1423"/>
      <c r="K1817" s="1423"/>
      <c r="L1817" s="1423"/>
      <c r="M1817" s="1423"/>
      <c r="N1817" s="1423"/>
      <c r="O1817" s="1423"/>
      <c r="P1817" s="1423"/>
      <c r="Q1817" s="1423"/>
      <c r="R1817" s="1423"/>
      <c r="S1817" s="1423"/>
      <c r="T1817" s="1423"/>
      <c r="U1817" s="1423"/>
      <c r="V1817" s="1423"/>
      <c r="W1817" s="1423"/>
      <c r="X1817" s="152"/>
      <c r="Y1817" s="152"/>
      <c r="Z1817" s="152"/>
      <c r="AA1817" s="152"/>
      <c r="AB1817" s="152"/>
    </row>
    <row r="1818" spans="1:28" hidden="1" outlineLevel="1">
      <c r="A1818" s="152"/>
      <c r="B1818" s="200"/>
      <c r="C1818" s="1423"/>
      <c r="D1818" s="1423"/>
      <c r="E1818" s="1423"/>
      <c r="F1818" s="1423"/>
      <c r="G1818" s="1423"/>
      <c r="H1818" s="1423"/>
      <c r="I1818" s="1423"/>
      <c r="J1818" s="1423"/>
      <c r="K1818" s="1423"/>
      <c r="L1818" s="1423"/>
      <c r="M1818" s="1423"/>
      <c r="N1818" s="1423"/>
      <c r="O1818" s="1423"/>
      <c r="P1818" s="1423"/>
      <c r="Q1818" s="1423"/>
      <c r="R1818" s="1423"/>
      <c r="S1818" s="1423"/>
      <c r="T1818" s="1423"/>
      <c r="U1818" s="1423"/>
      <c r="V1818" s="1423"/>
      <c r="W1818" s="1423"/>
      <c r="X1818" s="152"/>
      <c r="Y1818" s="152"/>
      <c r="Z1818" s="152"/>
      <c r="AA1818" s="152"/>
      <c r="AB1818" s="152"/>
    </row>
    <row r="1819" spans="1:28" hidden="1" outlineLevel="1">
      <c r="A1819" s="152"/>
      <c r="B1819" s="190" t="s">
        <v>194</v>
      </c>
      <c r="C1819" s="1423"/>
      <c r="D1819" s="1423">
        <f t="shared" ref="D1819" ca="1" si="2632">IF(AND(C1819&lt;1,D1793=0),0,
IF(D1793=0,C1819-1,
IF(C1819&lt;1,D1794,
(((C1819-1)*(C1795-(C1795/(C1819))))+(D1793*D1794))/(D1795))))</f>
        <v>0</v>
      </c>
      <c r="E1819" s="1423">
        <f t="shared" ref="E1819" ca="1" si="2633">IF(AND(D1819&lt;1,E1793=0),0,
IF(E1793=0,D1819-1,
IF(D1819&lt;1,E1794,
(((D1819-1)*(D1795-(D1795/(D1819))))+(E1793*E1794))/(E1795))))</f>
        <v>0</v>
      </c>
      <c r="F1819" s="1423">
        <f t="shared" ref="F1819" ca="1" si="2634">IF(AND(E1819&lt;1,F1793=0),0,
IF(F1793=0,E1819-1,
IF(E1819&lt;1,F1794,
(((E1819-1)*(E1795-(E1795/(E1819))))+(F1793*F1794))/(F1795))))</f>
        <v>0</v>
      </c>
      <c r="G1819" s="1423">
        <f t="shared" ref="G1819" ca="1" si="2635">IF(AND(F1819&lt;1,G1793=0),0,
IF(G1793=0,F1819-1,
IF(F1819&lt;1,G1794,
(((F1819-1)*(F1795-(F1795/(F1819))))+(G1793*G1794))/(G1795))))</f>
        <v>0</v>
      </c>
      <c r="H1819" s="1423">
        <f ca="1">IF(AND(G1819&lt;1,H1793=0),0,
IF(H1793=0,G1819-1,
IF(G1819&lt;1,H1794,
(((G1819-1)*(G1795-(G1795/(G1819))))+(H1793*H1794))/(H1795))))</f>
        <v>0</v>
      </c>
      <c r="I1819" s="1423">
        <f t="shared" ref="I1819" ca="1" si="2636">IF(AND(H1819&lt;1,I1793=0),0,
IF(I1793=0,H1819-1,
IF(H1819&lt;1,I1794,
(((H1819-1)*(H1795-(H1795/(H1819))))+(I1793*I1794))/(I1795))))</f>
        <v>0</v>
      </c>
      <c r="J1819" s="1423">
        <f t="shared" ref="J1819" ca="1" si="2637">IF(AND(I1819&lt;1,J1793=0),0,
IF(J1793=0,I1819-1,
IF(I1819&lt;1,J1794,
(((I1819-1)*(I1795-(I1795/(I1819))))+(J1793*J1794))/(J1795))))</f>
        <v>0</v>
      </c>
      <c r="K1819" s="1423">
        <f t="shared" ref="K1819" ca="1" si="2638">IF(AND(J1819&lt;1,K1793=0),0,
IF(K1793=0,J1819-1,
IF(J1819&lt;1,K1794,
(((J1819-1)*(J1795-(J1795/(J1819))))+(K1793*K1794))/(K1795))))</f>
        <v>0</v>
      </c>
      <c r="L1819" s="1423">
        <f t="shared" ref="L1819" ca="1" si="2639">IF(AND(K1819&lt;1,L1793=0),0,
IF(L1793=0,K1819-1,
IF(K1819&lt;1,L1794,
(((K1819-1)*(K1795-(K1795/(K1819))))+(L1793*L1794))/(L1795))))</f>
        <v>0</v>
      </c>
      <c r="M1819" s="1423">
        <f ca="1">IF(AND(L1819&lt;1,M1793=0),0,
IF(M1793=0,L1819-1,
IF(L1819&lt;1,M1794,
(((L1819-1)*(L1795-(L1795/(L1819))))+(M1793*M1794))/(M1795))))</f>
        <v>0</v>
      </c>
      <c r="N1819" s="1423">
        <f t="shared" ref="N1819" ca="1" si="2640">IF(AND(M1819&lt;1,N1793=0),0,
IF(N1793=0,M1819-1,
IF(M1819&lt;1,N1794,
(((M1819-1)*(M1795-(M1795/(M1819))))+(N1793*N1794))/(N1795))))</f>
        <v>0</v>
      </c>
      <c r="O1819" s="1423">
        <f t="shared" ref="O1819" ca="1" si="2641">IF(AND(N1819&lt;1,O1793=0),0,
IF(O1793=0,N1819-1,
IF(N1819&lt;1,O1794,
(((N1819-1)*(N1795-(N1795/(N1819))))+(O1793*O1794))/(O1795))))</f>
        <v>0</v>
      </c>
      <c r="P1819" s="1423">
        <f t="shared" ref="P1819" ca="1" si="2642">IF(AND(O1819&lt;1,P1793=0),0,
IF(P1793=0,O1819-1,
IF(O1819&lt;1,P1794,
(((O1819-1)*(O1795-(O1795/(O1819))))+(P1793*P1794))/(P1795))))</f>
        <v>0</v>
      </c>
      <c r="Q1819" s="1423">
        <f t="shared" ref="Q1819" ca="1" si="2643">IF(AND(P1819&lt;1,Q1793=0),0,
IF(Q1793=0,P1819-1,
IF(P1819&lt;1,Q1794,
(((P1819-1)*(P1795-(P1795/(P1819))))+(Q1793*Q1794))/(Q1795))))</f>
        <v>0</v>
      </c>
      <c r="R1819" s="1423">
        <f t="shared" ref="R1819" ca="1" si="2644">IF(AND(Q1819&lt;1,R1793=0),0,
IF(R1793=0,Q1819-1,
IF(Q1819&lt;1,R1794,
(((Q1819-1)*(Q1795-(Q1795/(Q1819))))+(R1793*R1794))/(R1795))))</f>
        <v>0</v>
      </c>
      <c r="S1819" s="1423">
        <f t="shared" ref="S1819" ca="1" si="2645">IF(AND(R1819&lt;1,S1793=0),0,
IF(S1793=0,R1819-1,
IF(R1819&lt;1,S1794,
(((R1819-1)*(R1795-(R1795/(R1819))))+(S1793*S1794))/(S1795))))</f>
        <v>0</v>
      </c>
      <c r="T1819" s="1423">
        <f t="shared" ref="T1819" ca="1" si="2646">IF(AND(S1819&lt;1,T1793=0),0,
IF(T1793=0,S1819-1,
IF(S1819&lt;1,T1794,
(((S1819-1)*(S1795-(S1795/(S1819))))+(T1793*T1794))/(T1795))))</f>
        <v>0</v>
      </c>
      <c r="U1819" s="1423">
        <f t="shared" ref="U1819" ca="1" si="2647">IF(AND(T1819&lt;1,U1793=0),0,
IF(U1793=0,T1819-1,
IF(T1819&lt;1,U1794,
(((T1819-1)*(T1795-(T1795/(T1819))))+(U1793*U1794))/(U1795))))</f>
        <v>0</v>
      </c>
      <c r="V1819" s="1423">
        <f t="shared" ref="V1819" ca="1" si="2648">IF(AND(U1819&lt;1,V1793=0),0,
IF(V1793=0,U1819-1,
IF(U1819&lt;1,V1794,
(((U1819-1)*(U1795-(U1795/(U1819))))+(V1793*V1794))/(V1795))))</f>
        <v>0</v>
      </c>
      <c r="W1819" s="1423">
        <f t="shared" ref="W1819" ca="1" si="2649">IF(AND(V1819&lt;1,W1793=0),0,
IF(W1793=0,V1819-1,
IF(V1819&lt;1,W1794,
(((V1819-1)*(V1795-(V1795/(V1819))))+(W1793*W1794))/(W1795))))</f>
        <v>0</v>
      </c>
      <c r="X1819" s="152"/>
      <c r="Y1819" s="152"/>
      <c r="Z1819" s="152"/>
      <c r="AA1819" s="152"/>
      <c r="AB1819" s="152"/>
    </row>
    <row r="1820" spans="1:28" hidden="1" outlineLevel="1">
      <c r="A1820" s="152"/>
      <c r="B1820" s="190" t="s">
        <v>193</v>
      </c>
      <c r="C1820" s="1423">
        <f ca="1">C1792</f>
        <v>0</v>
      </c>
      <c r="D1820" s="1423">
        <f t="shared" ref="D1820" ca="1" si="2650">IF(C1820="n/a","n/a",MAX(0,C1820-1))</f>
        <v>0</v>
      </c>
      <c r="E1820" s="1423">
        <f t="shared" ref="E1820:E1821" ca="1" si="2651">IF(D1820="n/a","n/a",MAX(0,D1820-1))</f>
        <v>0</v>
      </c>
      <c r="F1820" s="1423">
        <f t="shared" ref="F1820:F1822" ca="1" si="2652">IF(E1820="n/a","n/a",MAX(0,E1820-1))</f>
        <v>0</v>
      </c>
      <c r="G1820" s="1423">
        <f t="shared" ref="G1820:G1823" ca="1" si="2653">IF(F1820="n/a","n/a",MAX(0,F1820-1))</f>
        <v>0</v>
      </c>
      <c r="H1820" s="1423">
        <f t="shared" ref="H1820:H1824" ca="1" si="2654">IF(G1820="n/a","n/a",MAX(0,G1820-1))</f>
        <v>0</v>
      </c>
      <c r="I1820" s="1423">
        <f t="shared" ref="I1820:I1825" ca="1" si="2655">IF(H1820="n/a","n/a",MAX(0,H1820-1))</f>
        <v>0</v>
      </c>
      <c r="J1820" s="1423">
        <f t="shared" ref="J1820:J1826" ca="1" si="2656">IF(I1820="n/a","n/a",MAX(0,I1820-1))</f>
        <v>0</v>
      </c>
      <c r="K1820" s="1423">
        <f t="shared" ref="K1820:K1827" ca="1" si="2657">IF(J1820="n/a","n/a",MAX(0,J1820-1))</f>
        <v>0</v>
      </c>
      <c r="L1820" s="1423">
        <f t="shared" ref="L1820:L1828" ca="1" si="2658">IF(K1820="n/a","n/a",MAX(0,K1820-1))</f>
        <v>0</v>
      </c>
      <c r="M1820" s="1423">
        <f t="shared" ref="M1820:M1829" ca="1" si="2659">IF(L1820="n/a","n/a",MAX(0,L1820-1))</f>
        <v>0</v>
      </c>
      <c r="N1820" s="1423">
        <f t="shared" ref="N1820:N1830" ca="1" si="2660">IF(M1820="n/a","n/a",MAX(0,M1820-1))</f>
        <v>0</v>
      </c>
      <c r="O1820" s="1423">
        <f t="shared" ref="O1820:O1831" ca="1" si="2661">IF(N1820="n/a","n/a",MAX(0,N1820-1))</f>
        <v>0</v>
      </c>
      <c r="P1820" s="1423">
        <f t="shared" ref="P1820:P1832" ca="1" si="2662">IF(O1820="n/a","n/a",MAX(0,O1820-1))</f>
        <v>0</v>
      </c>
      <c r="Q1820" s="1423">
        <f t="shared" ref="Q1820:Q1833" ca="1" si="2663">IF(P1820="n/a","n/a",MAX(0,P1820-1))</f>
        <v>0</v>
      </c>
      <c r="R1820" s="1423">
        <f t="shared" ref="R1820:R1834" ca="1" si="2664">IF(Q1820="n/a","n/a",MAX(0,Q1820-1))</f>
        <v>0</v>
      </c>
      <c r="S1820" s="1423">
        <f t="shared" ref="S1820:S1835" ca="1" si="2665">IF(R1820="n/a","n/a",MAX(0,R1820-1))</f>
        <v>0</v>
      </c>
      <c r="T1820" s="1423">
        <f t="shared" ref="T1820:T1836" ca="1" si="2666">IF(S1820="n/a","n/a",MAX(0,S1820-1))</f>
        <v>0</v>
      </c>
      <c r="U1820" s="1423">
        <f t="shared" ref="U1820:U1837" ca="1" si="2667">IF(T1820="n/a","n/a",MAX(0,T1820-1))</f>
        <v>0</v>
      </c>
      <c r="V1820" s="1423">
        <f t="shared" ref="V1820:V1838" ca="1" si="2668">IF(U1820="n/a","n/a",MAX(0,U1820-1))</f>
        <v>0</v>
      </c>
      <c r="W1820" s="1423">
        <f t="shared" ref="W1820:W1838" ca="1" si="2669">IF(V1820="n/a","n/a",MAX(0,V1820-1))</f>
        <v>0</v>
      </c>
      <c r="X1820" s="152"/>
      <c r="Y1820" s="152"/>
      <c r="Z1820" s="152"/>
      <c r="AA1820" s="152"/>
      <c r="AB1820" s="152"/>
    </row>
    <row r="1821" spans="1:28" hidden="1" outlineLevel="1">
      <c r="A1821" s="152"/>
      <c r="B1821" s="190" t="str">
        <f t="shared" ref="B1821:B1840" ca="1" si="2670">"RL Capex "&amp;OFFSET($C$6,0,A1797)</f>
        <v>RL Capex 2016-17</v>
      </c>
      <c r="C1821" s="1424"/>
      <c r="D1821" s="1428">
        <f>D1792</f>
        <v>0</v>
      </c>
      <c r="E1821" s="1423">
        <f t="shared" si="2651"/>
        <v>0</v>
      </c>
      <c r="F1821" s="1423">
        <f t="shared" si="2652"/>
        <v>0</v>
      </c>
      <c r="G1821" s="1423">
        <f t="shared" si="2653"/>
        <v>0</v>
      </c>
      <c r="H1821" s="1423">
        <f t="shared" si="2654"/>
        <v>0</v>
      </c>
      <c r="I1821" s="1423">
        <f t="shared" si="2655"/>
        <v>0</v>
      </c>
      <c r="J1821" s="1423">
        <f t="shared" si="2656"/>
        <v>0</v>
      </c>
      <c r="K1821" s="1423">
        <f t="shared" si="2657"/>
        <v>0</v>
      </c>
      <c r="L1821" s="1423">
        <f t="shared" si="2658"/>
        <v>0</v>
      </c>
      <c r="M1821" s="1423">
        <f t="shared" si="2659"/>
        <v>0</v>
      </c>
      <c r="N1821" s="1423">
        <f t="shared" si="2660"/>
        <v>0</v>
      </c>
      <c r="O1821" s="1423">
        <f t="shared" si="2661"/>
        <v>0</v>
      </c>
      <c r="P1821" s="1423">
        <f t="shared" si="2662"/>
        <v>0</v>
      </c>
      <c r="Q1821" s="1423">
        <f t="shared" si="2663"/>
        <v>0</v>
      </c>
      <c r="R1821" s="1423">
        <f t="shared" si="2664"/>
        <v>0</v>
      </c>
      <c r="S1821" s="1423">
        <f t="shared" si="2665"/>
        <v>0</v>
      </c>
      <c r="T1821" s="1423">
        <f t="shared" si="2666"/>
        <v>0</v>
      </c>
      <c r="U1821" s="1423">
        <f t="shared" si="2667"/>
        <v>0</v>
      </c>
      <c r="V1821" s="1423">
        <f t="shared" si="2668"/>
        <v>0</v>
      </c>
      <c r="W1821" s="1423">
        <f t="shared" si="2669"/>
        <v>0</v>
      </c>
      <c r="X1821" s="152"/>
      <c r="Y1821" s="152"/>
      <c r="Z1821" s="152"/>
      <c r="AA1821" s="152"/>
      <c r="AB1821" s="152"/>
    </row>
    <row r="1822" spans="1:28" hidden="1" outlineLevel="1">
      <c r="A1822" s="152"/>
      <c r="B1822" s="190" t="str">
        <f t="shared" ca="1" si="2670"/>
        <v>RL Capex 2017-18</v>
      </c>
      <c r="C1822" s="1429"/>
      <c r="D1822" s="1424"/>
      <c r="E1822" s="1428">
        <f>E1792</f>
        <v>0</v>
      </c>
      <c r="F1822" s="1423">
        <f t="shared" si="2652"/>
        <v>0</v>
      </c>
      <c r="G1822" s="1423">
        <f t="shared" si="2653"/>
        <v>0</v>
      </c>
      <c r="H1822" s="1423">
        <f t="shared" si="2654"/>
        <v>0</v>
      </c>
      <c r="I1822" s="1423">
        <f t="shared" si="2655"/>
        <v>0</v>
      </c>
      <c r="J1822" s="1423">
        <f t="shared" si="2656"/>
        <v>0</v>
      </c>
      <c r="K1822" s="1423">
        <f t="shared" si="2657"/>
        <v>0</v>
      </c>
      <c r="L1822" s="1423">
        <f t="shared" si="2658"/>
        <v>0</v>
      </c>
      <c r="M1822" s="1423">
        <f t="shared" si="2659"/>
        <v>0</v>
      </c>
      <c r="N1822" s="1423">
        <f t="shared" si="2660"/>
        <v>0</v>
      </c>
      <c r="O1822" s="1423">
        <f t="shared" si="2661"/>
        <v>0</v>
      </c>
      <c r="P1822" s="1423">
        <f t="shared" si="2662"/>
        <v>0</v>
      </c>
      <c r="Q1822" s="1423">
        <f t="shared" si="2663"/>
        <v>0</v>
      </c>
      <c r="R1822" s="1423">
        <f t="shared" si="2664"/>
        <v>0</v>
      </c>
      <c r="S1822" s="1423">
        <f t="shared" si="2665"/>
        <v>0</v>
      </c>
      <c r="T1822" s="1423">
        <f t="shared" si="2666"/>
        <v>0</v>
      </c>
      <c r="U1822" s="1423">
        <f t="shared" si="2667"/>
        <v>0</v>
      </c>
      <c r="V1822" s="1423">
        <f t="shared" si="2668"/>
        <v>0</v>
      </c>
      <c r="W1822" s="1423">
        <f t="shared" si="2669"/>
        <v>0</v>
      </c>
      <c r="X1822" s="152"/>
      <c r="Y1822" s="152"/>
      <c r="Z1822" s="152"/>
      <c r="AA1822" s="152"/>
      <c r="AB1822" s="152"/>
    </row>
    <row r="1823" spans="1:28" hidden="1" outlineLevel="1">
      <c r="A1823" s="152"/>
      <c r="B1823" s="190" t="str">
        <f t="shared" ca="1" si="2670"/>
        <v>RL Capex 2018-19</v>
      </c>
      <c r="C1823" s="1429"/>
      <c r="D1823" s="1429"/>
      <c r="E1823" s="1424"/>
      <c r="F1823" s="1428">
        <f>F1792</f>
        <v>0</v>
      </c>
      <c r="G1823" s="1423">
        <f t="shared" si="2653"/>
        <v>0</v>
      </c>
      <c r="H1823" s="1423">
        <f t="shared" si="2654"/>
        <v>0</v>
      </c>
      <c r="I1823" s="1423">
        <f t="shared" si="2655"/>
        <v>0</v>
      </c>
      <c r="J1823" s="1423">
        <f t="shared" si="2656"/>
        <v>0</v>
      </c>
      <c r="K1823" s="1423">
        <f t="shared" si="2657"/>
        <v>0</v>
      </c>
      <c r="L1823" s="1423">
        <f t="shared" si="2658"/>
        <v>0</v>
      </c>
      <c r="M1823" s="1423">
        <f t="shared" si="2659"/>
        <v>0</v>
      </c>
      <c r="N1823" s="1423">
        <f t="shared" si="2660"/>
        <v>0</v>
      </c>
      <c r="O1823" s="1423">
        <f t="shared" si="2661"/>
        <v>0</v>
      </c>
      <c r="P1823" s="1423">
        <f t="shared" si="2662"/>
        <v>0</v>
      </c>
      <c r="Q1823" s="1423">
        <f t="shared" si="2663"/>
        <v>0</v>
      </c>
      <c r="R1823" s="1423">
        <f t="shared" si="2664"/>
        <v>0</v>
      </c>
      <c r="S1823" s="1423">
        <f t="shared" si="2665"/>
        <v>0</v>
      </c>
      <c r="T1823" s="1423">
        <f t="shared" si="2666"/>
        <v>0</v>
      </c>
      <c r="U1823" s="1423">
        <f t="shared" si="2667"/>
        <v>0</v>
      </c>
      <c r="V1823" s="1423">
        <f t="shared" si="2668"/>
        <v>0</v>
      </c>
      <c r="W1823" s="1423">
        <f t="shared" si="2669"/>
        <v>0</v>
      </c>
      <c r="X1823" s="152"/>
      <c r="Y1823" s="152"/>
      <c r="Z1823" s="152"/>
      <c r="AA1823" s="152"/>
      <c r="AB1823" s="152"/>
    </row>
    <row r="1824" spans="1:28" hidden="1" outlineLevel="1">
      <c r="A1824" s="152"/>
      <c r="B1824" s="190" t="str">
        <f t="shared" ca="1" si="2670"/>
        <v>RL Capex 2019-20</v>
      </c>
      <c r="C1824" s="1429"/>
      <c r="D1824" s="1429"/>
      <c r="E1824" s="1429"/>
      <c r="F1824" s="1424"/>
      <c r="G1824" s="1428">
        <f>G1792</f>
        <v>0</v>
      </c>
      <c r="H1824" s="1423">
        <f t="shared" si="2654"/>
        <v>0</v>
      </c>
      <c r="I1824" s="1423">
        <f t="shared" si="2655"/>
        <v>0</v>
      </c>
      <c r="J1824" s="1423">
        <f t="shared" si="2656"/>
        <v>0</v>
      </c>
      <c r="K1824" s="1423">
        <f t="shared" si="2657"/>
        <v>0</v>
      </c>
      <c r="L1824" s="1423">
        <f t="shared" si="2658"/>
        <v>0</v>
      </c>
      <c r="M1824" s="1423">
        <f t="shared" si="2659"/>
        <v>0</v>
      </c>
      <c r="N1824" s="1423">
        <f t="shared" si="2660"/>
        <v>0</v>
      </c>
      <c r="O1824" s="1423">
        <f t="shared" si="2661"/>
        <v>0</v>
      </c>
      <c r="P1824" s="1423">
        <f t="shared" si="2662"/>
        <v>0</v>
      </c>
      <c r="Q1824" s="1423">
        <f t="shared" si="2663"/>
        <v>0</v>
      </c>
      <c r="R1824" s="1423">
        <f t="shared" si="2664"/>
        <v>0</v>
      </c>
      <c r="S1824" s="1423">
        <f t="shared" si="2665"/>
        <v>0</v>
      </c>
      <c r="T1824" s="1423">
        <f t="shared" si="2666"/>
        <v>0</v>
      </c>
      <c r="U1824" s="1423">
        <f t="shared" si="2667"/>
        <v>0</v>
      </c>
      <c r="V1824" s="1423">
        <f t="shared" si="2668"/>
        <v>0</v>
      </c>
      <c r="W1824" s="1423">
        <f t="shared" si="2669"/>
        <v>0</v>
      </c>
      <c r="X1824" s="152"/>
      <c r="Y1824" s="152"/>
      <c r="Z1824" s="152"/>
      <c r="AA1824" s="152"/>
      <c r="AB1824" s="152"/>
    </row>
    <row r="1825" spans="1:28" hidden="1" outlineLevel="1">
      <c r="A1825" s="152"/>
      <c r="B1825" s="190" t="str">
        <f t="shared" ca="1" si="2670"/>
        <v>RL Capex 2020-21</v>
      </c>
      <c r="C1825" s="1429"/>
      <c r="D1825" s="1429"/>
      <c r="E1825" s="1429"/>
      <c r="F1825" s="1429"/>
      <c r="G1825" s="1424"/>
      <c r="H1825" s="1428">
        <f>H1792</f>
        <v>0</v>
      </c>
      <c r="I1825" s="1423">
        <f t="shared" si="2655"/>
        <v>0</v>
      </c>
      <c r="J1825" s="1423">
        <f t="shared" si="2656"/>
        <v>0</v>
      </c>
      <c r="K1825" s="1423">
        <f t="shared" si="2657"/>
        <v>0</v>
      </c>
      <c r="L1825" s="1423">
        <f t="shared" si="2658"/>
        <v>0</v>
      </c>
      <c r="M1825" s="1423">
        <f t="shared" si="2659"/>
        <v>0</v>
      </c>
      <c r="N1825" s="1423">
        <f t="shared" si="2660"/>
        <v>0</v>
      </c>
      <c r="O1825" s="1423">
        <f t="shared" si="2661"/>
        <v>0</v>
      </c>
      <c r="P1825" s="1423">
        <f t="shared" si="2662"/>
        <v>0</v>
      </c>
      <c r="Q1825" s="1423">
        <f t="shared" si="2663"/>
        <v>0</v>
      </c>
      <c r="R1825" s="1423">
        <f t="shared" si="2664"/>
        <v>0</v>
      </c>
      <c r="S1825" s="1423">
        <f t="shared" si="2665"/>
        <v>0</v>
      </c>
      <c r="T1825" s="1423">
        <f t="shared" si="2666"/>
        <v>0</v>
      </c>
      <c r="U1825" s="1423">
        <f t="shared" si="2667"/>
        <v>0</v>
      </c>
      <c r="V1825" s="1423">
        <f t="shared" si="2668"/>
        <v>0</v>
      </c>
      <c r="W1825" s="1423">
        <f t="shared" si="2669"/>
        <v>0</v>
      </c>
      <c r="X1825" s="152"/>
      <c r="Y1825" s="152"/>
      <c r="Z1825" s="152"/>
      <c r="AA1825" s="152"/>
      <c r="AB1825" s="152"/>
    </row>
    <row r="1826" spans="1:28" hidden="1" outlineLevel="1">
      <c r="A1826" s="152"/>
      <c r="B1826" s="190" t="str">
        <f t="shared" ca="1" si="2670"/>
        <v>RL Capex 2021-22</v>
      </c>
      <c r="C1826" s="1429"/>
      <c r="D1826" s="1429"/>
      <c r="E1826" s="1429"/>
      <c r="F1826" s="1429"/>
      <c r="G1826" s="1429"/>
      <c r="H1826" s="1424"/>
      <c r="I1826" s="1428">
        <f>I1792</f>
        <v>0</v>
      </c>
      <c r="J1826" s="1423">
        <f t="shared" si="2656"/>
        <v>0</v>
      </c>
      <c r="K1826" s="1423">
        <f t="shared" si="2657"/>
        <v>0</v>
      </c>
      <c r="L1826" s="1423">
        <f t="shared" si="2658"/>
        <v>0</v>
      </c>
      <c r="M1826" s="1423">
        <f t="shared" si="2659"/>
        <v>0</v>
      </c>
      <c r="N1826" s="1423">
        <f t="shared" si="2660"/>
        <v>0</v>
      </c>
      <c r="O1826" s="1423">
        <f t="shared" si="2661"/>
        <v>0</v>
      </c>
      <c r="P1826" s="1423">
        <f t="shared" si="2662"/>
        <v>0</v>
      </c>
      <c r="Q1826" s="1423">
        <f t="shared" si="2663"/>
        <v>0</v>
      </c>
      <c r="R1826" s="1423">
        <f t="shared" si="2664"/>
        <v>0</v>
      </c>
      <c r="S1826" s="1423">
        <f t="shared" si="2665"/>
        <v>0</v>
      </c>
      <c r="T1826" s="1423">
        <f t="shared" si="2666"/>
        <v>0</v>
      </c>
      <c r="U1826" s="1423">
        <f t="shared" si="2667"/>
        <v>0</v>
      </c>
      <c r="V1826" s="1423">
        <f t="shared" si="2668"/>
        <v>0</v>
      </c>
      <c r="W1826" s="1423">
        <f t="shared" si="2669"/>
        <v>0</v>
      </c>
      <c r="X1826" s="152"/>
      <c r="Y1826" s="152"/>
      <c r="Z1826" s="152"/>
      <c r="AA1826" s="152"/>
      <c r="AB1826" s="152"/>
    </row>
    <row r="1827" spans="1:28" hidden="1" outlineLevel="1">
      <c r="A1827" s="152"/>
      <c r="B1827" s="190" t="str">
        <f t="shared" ca="1" si="2670"/>
        <v>RL Capex 2022-23</v>
      </c>
      <c r="C1827" s="1429"/>
      <c r="D1827" s="1429"/>
      <c r="E1827" s="1429"/>
      <c r="F1827" s="1429"/>
      <c r="G1827" s="1429"/>
      <c r="H1827" s="1429"/>
      <c r="I1827" s="1424"/>
      <c r="J1827" s="1428">
        <f>J1792</f>
        <v>0</v>
      </c>
      <c r="K1827" s="1423">
        <f t="shared" si="2657"/>
        <v>0</v>
      </c>
      <c r="L1827" s="1423">
        <f t="shared" si="2658"/>
        <v>0</v>
      </c>
      <c r="M1827" s="1423">
        <f t="shared" si="2659"/>
        <v>0</v>
      </c>
      <c r="N1827" s="1423">
        <f t="shared" si="2660"/>
        <v>0</v>
      </c>
      <c r="O1827" s="1423">
        <f t="shared" si="2661"/>
        <v>0</v>
      </c>
      <c r="P1827" s="1423">
        <f t="shared" si="2662"/>
        <v>0</v>
      </c>
      <c r="Q1827" s="1423">
        <f t="shared" si="2663"/>
        <v>0</v>
      </c>
      <c r="R1827" s="1423">
        <f t="shared" si="2664"/>
        <v>0</v>
      </c>
      <c r="S1827" s="1423">
        <f t="shared" si="2665"/>
        <v>0</v>
      </c>
      <c r="T1827" s="1423">
        <f t="shared" si="2666"/>
        <v>0</v>
      </c>
      <c r="U1827" s="1423">
        <f t="shared" si="2667"/>
        <v>0</v>
      </c>
      <c r="V1827" s="1423">
        <f t="shared" si="2668"/>
        <v>0</v>
      </c>
      <c r="W1827" s="1423">
        <f t="shared" si="2669"/>
        <v>0</v>
      </c>
      <c r="X1827" s="152"/>
      <c r="Y1827" s="152"/>
      <c r="Z1827" s="152"/>
      <c r="AA1827" s="152"/>
      <c r="AB1827" s="152"/>
    </row>
    <row r="1828" spans="1:28" hidden="1" outlineLevel="1">
      <c r="A1828" s="152"/>
      <c r="B1828" s="190" t="str">
        <f t="shared" ca="1" si="2670"/>
        <v>RL Capex 2023-24</v>
      </c>
      <c r="C1828" s="1429"/>
      <c r="D1828" s="1429"/>
      <c r="E1828" s="1429"/>
      <c r="F1828" s="1429"/>
      <c r="G1828" s="1429"/>
      <c r="H1828" s="1429"/>
      <c r="I1828" s="1429"/>
      <c r="J1828" s="1424"/>
      <c r="K1828" s="1428">
        <f>K1792</f>
        <v>0</v>
      </c>
      <c r="L1828" s="1423">
        <f t="shared" si="2658"/>
        <v>0</v>
      </c>
      <c r="M1828" s="1423">
        <f t="shared" si="2659"/>
        <v>0</v>
      </c>
      <c r="N1828" s="1423">
        <f t="shared" si="2660"/>
        <v>0</v>
      </c>
      <c r="O1828" s="1423">
        <f t="shared" si="2661"/>
        <v>0</v>
      </c>
      <c r="P1828" s="1423">
        <f t="shared" si="2662"/>
        <v>0</v>
      </c>
      <c r="Q1828" s="1423">
        <f t="shared" si="2663"/>
        <v>0</v>
      </c>
      <c r="R1828" s="1423">
        <f t="shared" si="2664"/>
        <v>0</v>
      </c>
      <c r="S1828" s="1423">
        <f t="shared" si="2665"/>
        <v>0</v>
      </c>
      <c r="T1828" s="1423">
        <f t="shared" si="2666"/>
        <v>0</v>
      </c>
      <c r="U1828" s="1423">
        <f t="shared" si="2667"/>
        <v>0</v>
      </c>
      <c r="V1828" s="1423">
        <f t="shared" si="2668"/>
        <v>0</v>
      </c>
      <c r="W1828" s="1423">
        <f t="shared" si="2669"/>
        <v>0</v>
      </c>
      <c r="X1828" s="152"/>
      <c r="Y1828" s="152"/>
      <c r="Z1828" s="152"/>
      <c r="AA1828" s="152"/>
      <c r="AB1828" s="152"/>
    </row>
    <row r="1829" spans="1:28" hidden="1" outlineLevel="1">
      <c r="A1829" s="152"/>
      <c r="B1829" s="190" t="str">
        <f t="shared" ca="1" si="2670"/>
        <v>RL Capex 2024-25</v>
      </c>
      <c r="C1829" s="1429"/>
      <c r="D1829" s="1429"/>
      <c r="E1829" s="1429"/>
      <c r="F1829" s="1429"/>
      <c r="G1829" s="1429"/>
      <c r="H1829" s="1429"/>
      <c r="I1829" s="1429"/>
      <c r="J1829" s="1429"/>
      <c r="K1829" s="1424"/>
      <c r="L1829" s="1428">
        <f>L1792</f>
        <v>0</v>
      </c>
      <c r="M1829" s="1423">
        <f t="shared" si="2659"/>
        <v>0</v>
      </c>
      <c r="N1829" s="1423">
        <f t="shared" si="2660"/>
        <v>0</v>
      </c>
      <c r="O1829" s="1423">
        <f t="shared" si="2661"/>
        <v>0</v>
      </c>
      <c r="P1829" s="1423">
        <f t="shared" si="2662"/>
        <v>0</v>
      </c>
      <c r="Q1829" s="1423">
        <f t="shared" si="2663"/>
        <v>0</v>
      </c>
      <c r="R1829" s="1423">
        <f t="shared" si="2664"/>
        <v>0</v>
      </c>
      <c r="S1829" s="1423">
        <f t="shared" si="2665"/>
        <v>0</v>
      </c>
      <c r="T1829" s="1423">
        <f t="shared" si="2666"/>
        <v>0</v>
      </c>
      <c r="U1829" s="1423">
        <f t="shared" si="2667"/>
        <v>0</v>
      </c>
      <c r="V1829" s="1423">
        <f t="shared" si="2668"/>
        <v>0</v>
      </c>
      <c r="W1829" s="1423">
        <f t="shared" si="2669"/>
        <v>0</v>
      </c>
      <c r="X1829" s="152"/>
      <c r="Y1829" s="152"/>
      <c r="Z1829" s="152"/>
      <c r="AA1829" s="152"/>
      <c r="AB1829" s="152"/>
    </row>
    <row r="1830" spans="1:28" hidden="1" outlineLevel="1">
      <c r="A1830" s="152"/>
      <c r="B1830" s="190" t="str">
        <f t="shared" ca="1" si="2670"/>
        <v>RL Capex 2025-26</v>
      </c>
      <c r="C1830" s="1429"/>
      <c r="D1830" s="1429"/>
      <c r="E1830" s="1429"/>
      <c r="F1830" s="1429"/>
      <c r="G1830" s="1429"/>
      <c r="H1830" s="1429"/>
      <c r="I1830" s="1429"/>
      <c r="J1830" s="1429"/>
      <c r="K1830" s="1429"/>
      <c r="L1830" s="1424"/>
      <c r="M1830" s="1428">
        <f>M1792</f>
        <v>0</v>
      </c>
      <c r="N1830" s="1423">
        <f t="shared" si="2660"/>
        <v>0</v>
      </c>
      <c r="O1830" s="1423">
        <f t="shared" si="2661"/>
        <v>0</v>
      </c>
      <c r="P1830" s="1423">
        <f t="shared" si="2662"/>
        <v>0</v>
      </c>
      <c r="Q1830" s="1423">
        <f t="shared" si="2663"/>
        <v>0</v>
      </c>
      <c r="R1830" s="1423">
        <f t="shared" si="2664"/>
        <v>0</v>
      </c>
      <c r="S1830" s="1423">
        <f t="shared" si="2665"/>
        <v>0</v>
      </c>
      <c r="T1830" s="1423">
        <f t="shared" si="2666"/>
        <v>0</v>
      </c>
      <c r="U1830" s="1423">
        <f t="shared" si="2667"/>
        <v>0</v>
      </c>
      <c r="V1830" s="1423">
        <f t="shared" si="2668"/>
        <v>0</v>
      </c>
      <c r="W1830" s="1423">
        <f t="shared" si="2669"/>
        <v>0</v>
      </c>
      <c r="X1830" s="152"/>
      <c r="Y1830" s="152"/>
      <c r="Z1830" s="152"/>
      <c r="AA1830" s="152"/>
      <c r="AB1830" s="152"/>
    </row>
    <row r="1831" spans="1:28" hidden="1" outlineLevel="1">
      <c r="A1831" s="152"/>
      <c r="B1831" s="190" t="str">
        <f t="shared" ca="1" si="2670"/>
        <v>RL Capex 2026-27</v>
      </c>
      <c r="C1831" s="1429"/>
      <c r="D1831" s="1429"/>
      <c r="E1831" s="1429"/>
      <c r="F1831" s="1429"/>
      <c r="G1831" s="1429"/>
      <c r="H1831" s="1429"/>
      <c r="I1831" s="1429"/>
      <c r="J1831" s="1429"/>
      <c r="K1831" s="1429"/>
      <c r="L1831" s="1429"/>
      <c r="M1831" s="1424"/>
      <c r="N1831" s="1428">
        <f>N1792</f>
        <v>0</v>
      </c>
      <c r="O1831" s="1423">
        <f t="shared" si="2661"/>
        <v>0</v>
      </c>
      <c r="P1831" s="1423">
        <f t="shared" si="2662"/>
        <v>0</v>
      </c>
      <c r="Q1831" s="1423">
        <f t="shared" si="2663"/>
        <v>0</v>
      </c>
      <c r="R1831" s="1423">
        <f t="shared" si="2664"/>
        <v>0</v>
      </c>
      <c r="S1831" s="1423">
        <f t="shared" si="2665"/>
        <v>0</v>
      </c>
      <c r="T1831" s="1423">
        <f t="shared" si="2666"/>
        <v>0</v>
      </c>
      <c r="U1831" s="1423">
        <f t="shared" si="2667"/>
        <v>0</v>
      </c>
      <c r="V1831" s="1423">
        <f t="shared" si="2668"/>
        <v>0</v>
      </c>
      <c r="W1831" s="1423">
        <f t="shared" si="2669"/>
        <v>0</v>
      </c>
      <c r="X1831" s="152"/>
      <c r="Y1831" s="152"/>
      <c r="Z1831" s="152"/>
      <c r="AA1831" s="152"/>
      <c r="AB1831" s="152"/>
    </row>
    <row r="1832" spans="1:28" hidden="1" outlineLevel="1">
      <c r="A1832" s="152"/>
      <c r="B1832" s="190" t="str">
        <f t="shared" ca="1" si="2670"/>
        <v>RL Capex 2027-28</v>
      </c>
      <c r="C1832" s="1429"/>
      <c r="D1832" s="1429"/>
      <c r="E1832" s="1429"/>
      <c r="F1832" s="1429"/>
      <c r="G1832" s="1429"/>
      <c r="H1832" s="1429"/>
      <c r="I1832" s="1429"/>
      <c r="J1832" s="1429"/>
      <c r="K1832" s="1429"/>
      <c r="L1832" s="1429"/>
      <c r="M1832" s="1429"/>
      <c r="N1832" s="1424"/>
      <c r="O1832" s="1428">
        <f>O1792</f>
        <v>0</v>
      </c>
      <c r="P1832" s="1423">
        <f t="shared" si="2662"/>
        <v>0</v>
      </c>
      <c r="Q1832" s="1423">
        <f t="shared" si="2663"/>
        <v>0</v>
      </c>
      <c r="R1832" s="1423">
        <f t="shared" si="2664"/>
        <v>0</v>
      </c>
      <c r="S1832" s="1423">
        <f t="shared" si="2665"/>
        <v>0</v>
      </c>
      <c r="T1832" s="1423">
        <f t="shared" si="2666"/>
        <v>0</v>
      </c>
      <c r="U1832" s="1423">
        <f t="shared" si="2667"/>
        <v>0</v>
      </c>
      <c r="V1832" s="1423">
        <f t="shared" si="2668"/>
        <v>0</v>
      </c>
      <c r="W1832" s="1423">
        <f t="shared" si="2669"/>
        <v>0</v>
      </c>
      <c r="X1832" s="152"/>
      <c r="Y1832" s="152"/>
      <c r="Z1832" s="152"/>
      <c r="AA1832" s="152"/>
      <c r="AB1832" s="152"/>
    </row>
    <row r="1833" spans="1:28" hidden="1" outlineLevel="1">
      <c r="A1833" s="152"/>
      <c r="B1833" s="190" t="str">
        <f t="shared" ca="1" si="2670"/>
        <v>RL Capex 2028-29</v>
      </c>
      <c r="C1833" s="1429"/>
      <c r="D1833" s="1429"/>
      <c r="E1833" s="1429"/>
      <c r="F1833" s="1429"/>
      <c r="G1833" s="1429"/>
      <c r="H1833" s="1429"/>
      <c r="I1833" s="1429"/>
      <c r="J1833" s="1429"/>
      <c r="K1833" s="1429"/>
      <c r="L1833" s="1429"/>
      <c r="M1833" s="1429"/>
      <c r="N1833" s="1429"/>
      <c r="O1833" s="1424"/>
      <c r="P1833" s="1428">
        <f>P1792</f>
        <v>0</v>
      </c>
      <c r="Q1833" s="1423">
        <f t="shared" si="2663"/>
        <v>0</v>
      </c>
      <c r="R1833" s="1423">
        <f t="shared" si="2664"/>
        <v>0</v>
      </c>
      <c r="S1833" s="1423">
        <f t="shared" si="2665"/>
        <v>0</v>
      </c>
      <c r="T1833" s="1423">
        <f t="shared" si="2666"/>
        <v>0</v>
      </c>
      <c r="U1833" s="1423">
        <f t="shared" si="2667"/>
        <v>0</v>
      </c>
      <c r="V1833" s="1423">
        <f t="shared" si="2668"/>
        <v>0</v>
      </c>
      <c r="W1833" s="1423">
        <f t="shared" si="2669"/>
        <v>0</v>
      </c>
      <c r="X1833" s="152"/>
      <c r="Y1833" s="152"/>
      <c r="Z1833" s="152"/>
      <c r="AA1833" s="152"/>
      <c r="AB1833" s="152"/>
    </row>
    <row r="1834" spans="1:28" hidden="1" outlineLevel="1">
      <c r="A1834" s="152"/>
      <c r="B1834" s="190" t="str">
        <f t="shared" ca="1" si="2670"/>
        <v>RL Capex 2029-30</v>
      </c>
      <c r="C1834" s="1429"/>
      <c r="D1834" s="1429"/>
      <c r="E1834" s="1429"/>
      <c r="F1834" s="1429"/>
      <c r="G1834" s="1429"/>
      <c r="H1834" s="1429"/>
      <c r="I1834" s="1429"/>
      <c r="J1834" s="1429"/>
      <c r="K1834" s="1429"/>
      <c r="L1834" s="1429"/>
      <c r="M1834" s="1429"/>
      <c r="N1834" s="1429"/>
      <c r="O1834" s="1429"/>
      <c r="P1834" s="1424"/>
      <c r="Q1834" s="1428">
        <f>Q1792</f>
        <v>0</v>
      </c>
      <c r="R1834" s="1423">
        <f t="shared" si="2664"/>
        <v>0</v>
      </c>
      <c r="S1834" s="1423">
        <f t="shared" si="2665"/>
        <v>0</v>
      </c>
      <c r="T1834" s="1423">
        <f t="shared" si="2666"/>
        <v>0</v>
      </c>
      <c r="U1834" s="1423">
        <f t="shared" si="2667"/>
        <v>0</v>
      </c>
      <c r="V1834" s="1423">
        <f t="shared" si="2668"/>
        <v>0</v>
      </c>
      <c r="W1834" s="1423">
        <f t="shared" si="2669"/>
        <v>0</v>
      </c>
      <c r="X1834" s="152"/>
      <c r="Y1834" s="152"/>
      <c r="Z1834" s="152"/>
      <c r="AA1834" s="152"/>
      <c r="AB1834" s="152"/>
    </row>
    <row r="1835" spans="1:28" hidden="1" outlineLevel="1">
      <c r="A1835" s="152"/>
      <c r="B1835" s="190" t="str">
        <f t="shared" ca="1" si="2670"/>
        <v>RL Capex 2030-31</v>
      </c>
      <c r="C1835" s="1429"/>
      <c r="D1835" s="1429"/>
      <c r="E1835" s="1429"/>
      <c r="F1835" s="1429"/>
      <c r="G1835" s="1429"/>
      <c r="H1835" s="1429"/>
      <c r="I1835" s="1429"/>
      <c r="J1835" s="1429"/>
      <c r="K1835" s="1429"/>
      <c r="L1835" s="1429"/>
      <c r="M1835" s="1429"/>
      <c r="N1835" s="1429"/>
      <c r="O1835" s="1429"/>
      <c r="P1835" s="1429"/>
      <c r="Q1835" s="1424"/>
      <c r="R1835" s="1428">
        <f>R1792</f>
        <v>0</v>
      </c>
      <c r="S1835" s="1423">
        <f t="shared" si="2665"/>
        <v>0</v>
      </c>
      <c r="T1835" s="1423">
        <f t="shared" si="2666"/>
        <v>0</v>
      </c>
      <c r="U1835" s="1423">
        <f t="shared" si="2667"/>
        <v>0</v>
      </c>
      <c r="V1835" s="1423">
        <f t="shared" si="2668"/>
        <v>0</v>
      </c>
      <c r="W1835" s="1423">
        <f t="shared" si="2669"/>
        <v>0</v>
      </c>
      <c r="X1835" s="152"/>
      <c r="Y1835" s="152"/>
      <c r="Z1835" s="152"/>
      <c r="AA1835" s="152"/>
      <c r="AB1835" s="152"/>
    </row>
    <row r="1836" spans="1:28" hidden="1" outlineLevel="1">
      <c r="A1836" s="152"/>
      <c r="B1836" s="190" t="str">
        <f t="shared" ca="1" si="2670"/>
        <v>RL Capex 2031-32</v>
      </c>
      <c r="C1836" s="1429"/>
      <c r="D1836" s="1429"/>
      <c r="E1836" s="1429"/>
      <c r="F1836" s="1429"/>
      <c r="G1836" s="1429"/>
      <c r="H1836" s="1429"/>
      <c r="I1836" s="1429"/>
      <c r="J1836" s="1429"/>
      <c r="K1836" s="1429"/>
      <c r="L1836" s="1429"/>
      <c r="M1836" s="1429"/>
      <c r="N1836" s="1429"/>
      <c r="O1836" s="1429"/>
      <c r="P1836" s="1429"/>
      <c r="Q1836" s="1429"/>
      <c r="R1836" s="1424"/>
      <c r="S1836" s="1428">
        <f>S1792</f>
        <v>0</v>
      </c>
      <c r="T1836" s="1423">
        <f t="shared" si="2666"/>
        <v>0</v>
      </c>
      <c r="U1836" s="1423">
        <f t="shared" si="2667"/>
        <v>0</v>
      </c>
      <c r="V1836" s="1423">
        <f t="shared" si="2668"/>
        <v>0</v>
      </c>
      <c r="W1836" s="1423">
        <f t="shared" si="2669"/>
        <v>0</v>
      </c>
      <c r="X1836" s="152"/>
      <c r="Y1836" s="152"/>
      <c r="Z1836" s="152"/>
      <c r="AA1836" s="152"/>
      <c r="AB1836" s="152"/>
    </row>
    <row r="1837" spans="1:28" hidden="1" outlineLevel="1">
      <c r="A1837" s="152"/>
      <c r="B1837" s="190" t="str">
        <f t="shared" ca="1" si="2670"/>
        <v>RL Capex 2032-33</v>
      </c>
      <c r="C1837" s="1429"/>
      <c r="D1837" s="1429"/>
      <c r="E1837" s="1429"/>
      <c r="F1837" s="1429"/>
      <c r="G1837" s="1429"/>
      <c r="H1837" s="1429"/>
      <c r="I1837" s="1429"/>
      <c r="J1837" s="1429"/>
      <c r="K1837" s="1429"/>
      <c r="L1837" s="1429"/>
      <c r="M1837" s="1429"/>
      <c r="N1837" s="1429"/>
      <c r="O1837" s="1429"/>
      <c r="P1837" s="1429"/>
      <c r="Q1837" s="1429"/>
      <c r="R1837" s="1429"/>
      <c r="S1837" s="1424"/>
      <c r="T1837" s="1428">
        <f>T1792</f>
        <v>0</v>
      </c>
      <c r="U1837" s="1423">
        <f t="shared" si="2667"/>
        <v>0</v>
      </c>
      <c r="V1837" s="1423">
        <f t="shared" si="2668"/>
        <v>0</v>
      </c>
      <c r="W1837" s="1423">
        <f t="shared" si="2669"/>
        <v>0</v>
      </c>
      <c r="X1837" s="152"/>
      <c r="Y1837" s="152"/>
      <c r="Z1837" s="152"/>
      <c r="AA1837" s="152"/>
      <c r="AB1837" s="152"/>
    </row>
    <row r="1838" spans="1:28" hidden="1" outlineLevel="1">
      <c r="A1838" s="152"/>
      <c r="B1838" s="190" t="str">
        <f t="shared" ca="1" si="2670"/>
        <v>RL Capex 2033-34</v>
      </c>
      <c r="C1838" s="1429"/>
      <c r="D1838" s="1429"/>
      <c r="E1838" s="1429"/>
      <c r="F1838" s="1429"/>
      <c r="G1838" s="1429"/>
      <c r="H1838" s="1429"/>
      <c r="I1838" s="1429"/>
      <c r="J1838" s="1429"/>
      <c r="K1838" s="1429"/>
      <c r="L1838" s="1429"/>
      <c r="M1838" s="1429"/>
      <c r="N1838" s="1429"/>
      <c r="O1838" s="1429"/>
      <c r="P1838" s="1429"/>
      <c r="Q1838" s="1429"/>
      <c r="R1838" s="1429"/>
      <c r="S1838" s="1429"/>
      <c r="T1838" s="1424"/>
      <c r="U1838" s="1428">
        <f>U1792</f>
        <v>0</v>
      </c>
      <c r="V1838" s="1423">
        <f t="shared" si="2668"/>
        <v>0</v>
      </c>
      <c r="W1838" s="1423">
        <f t="shared" si="2669"/>
        <v>0</v>
      </c>
      <c r="X1838" s="152"/>
      <c r="Y1838" s="152"/>
      <c r="Z1838" s="152"/>
      <c r="AA1838" s="152"/>
      <c r="AB1838" s="152"/>
    </row>
    <row r="1839" spans="1:28" hidden="1" outlineLevel="1">
      <c r="A1839" s="152"/>
      <c r="B1839" s="190" t="str">
        <f t="shared" ca="1" si="2670"/>
        <v>RL Capex 2034-35</v>
      </c>
      <c r="C1839" s="1429"/>
      <c r="D1839" s="1429"/>
      <c r="E1839" s="1429"/>
      <c r="F1839" s="1429"/>
      <c r="G1839" s="1429"/>
      <c r="H1839" s="1429"/>
      <c r="I1839" s="1429"/>
      <c r="J1839" s="1429"/>
      <c r="K1839" s="1429"/>
      <c r="L1839" s="1429"/>
      <c r="M1839" s="1429"/>
      <c r="N1839" s="1429"/>
      <c r="O1839" s="1429"/>
      <c r="P1839" s="1429"/>
      <c r="Q1839" s="1429"/>
      <c r="R1839" s="1429"/>
      <c r="S1839" s="1429"/>
      <c r="T1839" s="1429"/>
      <c r="U1839" s="1424"/>
      <c r="V1839" s="1428">
        <f>V1792</f>
        <v>0</v>
      </c>
      <c r="W1839" s="1423">
        <f>IF(V1839="n/a","n/a",MAX(0,V1839-1))</f>
        <v>0</v>
      </c>
      <c r="X1839" s="152"/>
      <c r="Y1839" s="152"/>
      <c r="Z1839" s="152"/>
      <c r="AA1839" s="152"/>
      <c r="AB1839" s="152"/>
    </row>
    <row r="1840" spans="1:28" hidden="1" outlineLevel="1">
      <c r="A1840" s="152"/>
      <c r="B1840" s="190" t="str">
        <f t="shared" ca="1" si="2670"/>
        <v>RL Capex 2035-36</v>
      </c>
      <c r="C1840" s="1429"/>
      <c r="D1840" s="1429"/>
      <c r="E1840" s="1429"/>
      <c r="F1840" s="1429"/>
      <c r="G1840" s="1429"/>
      <c r="H1840" s="1429"/>
      <c r="I1840" s="1429"/>
      <c r="J1840" s="1429"/>
      <c r="K1840" s="1429"/>
      <c r="L1840" s="1429"/>
      <c r="M1840" s="1429"/>
      <c r="N1840" s="1429"/>
      <c r="O1840" s="1429"/>
      <c r="P1840" s="1429"/>
      <c r="Q1840" s="1429"/>
      <c r="R1840" s="1429"/>
      <c r="S1840" s="1429"/>
      <c r="T1840" s="1429"/>
      <c r="U1840" s="1429"/>
      <c r="V1840" s="1424"/>
      <c r="W1840" s="1423">
        <f>W1792</f>
        <v>0</v>
      </c>
      <c r="X1840" s="152"/>
      <c r="Y1840" s="152"/>
      <c r="Z1840" s="152"/>
      <c r="AA1840" s="152"/>
      <c r="AB1840" s="152"/>
    </row>
    <row r="1841" spans="1:28" hidden="1" outlineLevel="1">
      <c r="A1841" s="152"/>
      <c r="B1841" s="200"/>
      <c r="C1841" s="1423"/>
      <c r="D1841" s="1423"/>
      <c r="E1841" s="1423"/>
      <c r="F1841" s="1423"/>
      <c r="G1841" s="1423"/>
      <c r="H1841" s="1423"/>
      <c r="I1841" s="1423"/>
      <c r="J1841" s="1423"/>
      <c r="K1841" s="1423"/>
      <c r="L1841" s="1423"/>
      <c r="M1841" s="1423"/>
      <c r="N1841" s="1423"/>
      <c r="O1841" s="1423"/>
      <c r="P1841" s="1423"/>
      <c r="Q1841" s="1423"/>
      <c r="R1841" s="1423"/>
      <c r="S1841" s="1423"/>
      <c r="T1841" s="1423"/>
      <c r="U1841" s="1423"/>
      <c r="V1841" s="1423"/>
      <c r="W1841" s="1423"/>
      <c r="X1841" s="152"/>
      <c r="Y1841" s="152"/>
      <c r="Z1841" s="152"/>
      <c r="AA1841" s="152"/>
      <c r="AB1841" s="152"/>
    </row>
    <row r="1842" spans="1:28" collapsed="1">
      <c r="A1842" s="194"/>
      <c r="B1842" s="204" t="s">
        <v>123</v>
      </c>
      <c r="C1842" s="1430">
        <f ca="1">(IF(OR($C1792&lt;&gt;"n/a",C1792&lt;&gt;"n/a"),IF(SUM(C1795:C1817)=0,0,IF((SUMPRODUCT(C1795:C1817,C1819:C1841)/SUM(C1795:C1817))&lt;0,1,(SUMPRODUCT(C1795:C1817,C1819:C1841)/SUM(C1795:C1817)))),"n/a"))</f>
        <v>0</v>
      </c>
      <c r="D1842" s="1430">
        <f ca="1">(IF(OR($C1792&lt;&gt;"n/a",D1792&lt;&gt;"n/a"),IF(SUM(D1795:D1817)=0,0,IF((SUMPRODUCT(D1795:D1817,D1819:D1841)/SUM(D1795:D1817))&lt;0,1,(SUMPRODUCT(D1795:D1817,D1819:D1841)/SUM(D1795:D1817)))),"n/a"))</f>
        <v>0</v>
      </c>
      <c r="E1842" s="1430">
        <f t="shared" ref="E1842:W1842" ca="1" si="2671">(IF(OR($C1792&lt;&gt;"n/a",E1792&lt;&gt;"n/a"),IF(SUM(E1795:E1817)=0,0,IF((SUMPRODUCT(E1795:E1817,E1819:E1841)/SUM(E1795:E1817))&lt;0,1,(SUMPRODUCT(E1795:E1817,E1819:E1841)/SUM(E1795:E1817)))),"n/a"))</f>
        <v>0</v>
      </c>
      <c r="F1842" s="1430">
        <f t="shared" ca="1" si="2671"/>
        <v>0</v>
      </c>
      <c r="G1842" s="1430">
        <f t="shared" ca="1" si="2671"/>
        <v>0</v>
      </c>
      <c r="H1842" s="1430">
        <f t="shared" ca="1" si="2671"/>
        <v>0</v>
      </c>
      <c r="I1842" s="1430">
        <f t="shared" ca="1" si="2671"/>
        <v>0</v>
      </c>
      <c r="J1842" s="1430">
        <f t="shared" ca="1" si="2671"/>
        <v>0</v>
      </c>
      <c r="K1842" s="1430">
        <f t="shared" ca="1" si="2671"/>
        <v>0</v>
      </c>
      <c r="L1842" s="1430">
        <f t="shared" ca="1" si="2671"/>
        <v>0</v>
      </c>
      <c r="M1842" s="1430">
        <f t="shared" ca="1" si="2671"/>
        <v>0</v>
      </c>
      <c r="N1842" s="1430">
        <f t="shared" ca="1" si="2671"/>
        <v>0</v>
      </c>
      <c r="O1842" s="1430">
        <f t="shared" ca="1" si="2671"/>
        <v>0</v>
      </c>
      <c r="P1842" s="1430">
        <f t="shared" ca="1" si="2671"/>
        <v>0</v>
      </c>
      <c r="Q1842" s="1430">
        <f t="shared" ca="1" si="2671"/>
        <v>0</v>
      </c>
      <c r="R1842" s="1430">
        <f t="shared" ca="1" si="2671"/>
        <v>0</v>
      </c>
      <c r="S1842" s="1430">
        <f t="shared" ca="1" si="2671"/>
        <v>0</v>
      </c>
      <c r="T1842" s="1430">
        <f t="shared" ca="1" si="2671"/>
        <v>0</v>
      </c>
      <c r="U1842" s="1430">
        <f t="shared" ca="1" si="2671"/>
        <v>0</v>
      </c>
      <c r="V1842" s="1430">
        <f t="shared" ca="1" si="2671"/>
        <v>0</v>
      </c>
      <c r="W1842" s="1430">
        <f t="shared" ca="1" si="2671"/>
        <v>0</v>
      </c>
      <c r="X1842" s="152"/>
      <c r="Y1842" s="152"/>
      <c r="Z1842" s="152"/>
      <c r="AA1842" s="152"/>
      <c r="AB1842" s="152"/>
    </row>
    <row r="1843" spans="1:28">
      <c r="A1843" s="152"/>
      <c r="B1843" s="152"/>
      <c r="C1843" s="1423"/>
      <c r="D1843" s="1423"/>
      <c r="E1843" s="1423"/>
      <c r="F1843" s="1423"/>
      <c r="G1843" s="1423"/>
      <c r="H1843" s="1423"/>
      <c r="I1843" s="1423"/>
      <c r="J1843" s="1423"/>
      <c r="K1843" s="1423"/>
      <c r="L1843" s="1423"/>
      <c r="M1843" s="1423"/>
      <c r="N1843" s="1423"/>
      <c r="O1843" s="1423"/>
      <c r="P1843" s="1423"/>
      <c r="Q1843" s="1423"/>
      <c r="R1843" s="1423"/>
      <c r="S1843" s="1423"/>
      <c r="T1843" s="1423"/>
      <c r="U1843" s="1423"/>
      <c r="V1843" s="1423"/>
      <c r="W1843" s="1423"/>
      <c r="X1843" s="152"/>
      <c r="Y1843" s="152"/>
      <c r="Z1843" s="152"/>
      <c r="AA1843" s="152"/>
      <c r="AB1843" s="152"/>
    </row>
    <row r="1844" spans="1:28">
      <c r="A1844" s="269" t="s">
        <v>101</v>
      </c>
      <c r="B1844" s="270">
        <f>VLOOKUP($A1844,'RFM input'!$E$7:$F$56,2,FALSE)</f>
        <v>0</v>
      </c>
      <c r="C1844" s="1431"/>
      <c r="D1844" s="1431"/>
      <c r="E1844" s="1432"/>
      <c r="F1844" s="1432"/>
      <c r="G1844" s="1432"/>
      <c r="H1844" s="1432"/>
      <c r="I1844" s="1432"/>
      <c r="J1844" s="1432"/>
      <c r="K1844" s="1432"/>
      <c r="L1844" s="1432"/>
      <c r="M1844" s="1432"/>
      <c r="N1844" s="1432"/>
      <c r="O1844" s="1432"/>
      <c r="P1844" s="1432"/>
      <c r="Q1844" s="1432"/>
      <c r="R1844" s="1432"/>
      <c r="S1844" s="1432"/>
      <c r="T1844" s="1432"/>
      <c r="U1844" s="1432"/>
      <c r="V1844" s="1432"/>
      <c r="W1844" s="1432"/>
      <c r="X1844" s="152"/>
      <c r="Y1844" s="152"/>
      <c r="Z1844" s="152"/>
      <c r="AA1844" s="152"/>
      <c r="AB1844" s="152"/>
    </row>
    <row r="1845" spans="1:28">
      <c r="A1845" s="215">
        <f>VALUE(REPLACE(A1844,1,12,""))</f>
        <v>35</v>
      </c>
      <c r="B1845" s="193" t="s">
        <v>126</v>
      </c>
      <c r="C1845" s="1416">
        <f ca="1">IF($D$6='TAB roll forward'!$H$4,OFFSET('TAB roll forward'!$H$7,A1845,0),"enter input")</f>
        <v>0</v>
      </c>
      <c r="D1845" s="1417">
        <f>IF(LEFT(D$6,4)&lt;LEFT('RFM input'!$G$60,4),"enter input",IF(LEFT(D$6,4)&gt;LEFT('RFM input'!$Q$60,4),0,
INDEX('RFM input'!$G$61:$Q$110,$A1845,MATCH(D$6,'RFM input'!$G$60:$Q$60,0))
   -INDEX('RFM input'!$G$115:$Q$164,$A1845,MATCH(D$6,'RFM input'!$G$60:$Q$60,0))))</f>
        <v>0</v>
      </c>
      <c r="E1845" s="1417">
        <f>IF(LEFT(E$6,4)&lt;LEFT('RFM input'!$G$60,4),"enter input",IF(LEFT(E$6,4)&gt;LEFT('RFM input'!$Q$60,4),0,
INDEX('RFM input'!$G$61:$Q$110,$A1845,MATCH(E$6,'RFM input'!$G$60:$Q$60,0))
   -INDEX('RFM input'!$G$115:$Q$164,$A1845,MATCH(E$6,'RFM input'!$G$60:$Q$60,0))))</f>
        <v>0</v>
      </c>
      <c r="F1845" s="1417">
        <f>IF(LEFT(F$6,4)&lt;LEFT('RFM input'!$G$60,4),"enter input",IF(LEFT(F$6,4)&gt;LEFT('RFM input'!$Q$60,4),0,
INDEX('RFM input'!$G$61:$Q$110,$A1845,MATCH(F$6,'RFM input'!$G$60:$Q$60,0))
   -INDEX('RFM input'!$G$115:$Q$164,$A1845,MATCH(F$6,'RFM input'!$G$60:$Q$60,0))))</f>
        <v>0</v>
      </c>
      <c r="G1845" s="1417">
        <f>IF(LEFT(G$6,4)&lt;LEFT('RFM input'!$G$60,4),"enter input",IF(LEFT(G$6,4)&gt;LEFT('RFM input'!$Q$60,4),0,
INDEX('RFM input'!$G$61:$Q$110,$A1845,MATCH(G$6,'RFM input'!$G$60:$Q$60,0))
   -INDEX('RFM input'!$G$115:$Q$164,$A1845,MATCH(G$6,'RFM input'!$G$60:$Q$60,0))))</f>
        <v>0</v>
      </c>
      <c r="H1845" s="1417">
        <f>IF(LEFT(H$6,4)&lt;LEFT('RFM input'!$G$60,4),"enter input",IF(LEFT(H$6,4)&gt;LEFT('RFM input'!$Q$60,4),0,
INDEX('RFM input'!$G$61:$Q$110,$A1845,MATCH(H$6,'RFM input'!$G$60:$Q$60,0))
   -INDEX('RFM input'!$G$115:$Q$164,$A1845,MATCH(H$6,'RFM input'!$G$60:$Q$60,0))))</f>
        <v>0</v>
      </c>
      <c r="I1845" s="1417">
        <f>IF(LEFT(I$6,4)&lt;LEFT('RFM input'!$G$60,4),"enter input",IF(LEFT(I$6,4)&gt;LEFT('RFM input'!$Q$60,4),0,
INDEX('RFM input'!$G$61:$Q$110,$A1845,MATCH(I$6,'RFM input'!$G$60:$Q$60,0))
   -INDEX('RFM input'!$G$115:$Q$164,$A1845,MATCH(I$6,'RFM input'!$G$60:$Q$60,0))))</f>
        <v>0</v>
      </c>
      <c r="J1845" s="1417">
        <f>IF(LEFT(J$6,4)&lt;LEFT('RFM input'!$G$60,4),"enter input",IF(LEFT(J$6,4)&gt;LEFT('RFM input'!$Q$60,4),0,
INDEX('RFM input'!$G$61:$Q$110,$A1845,MATCH(J$6,'RFM input'!$G$60:$Q$60,0))
   -INDEX('RFM input'!$G$115:$Q$164,$A1845,MATCH(J$6,'RFM input'!$G$60:$Q$60,0))))</f>
        <v>0</v>
      </c>
      <c r="K1845" s="1417">
        <f>IF(LEFT(K$6,4)&lt;LEFT('RFM input'!$G$60,4),"enter input",IF(LEFT(K$6,4)&gt;LEFT('RFM input'!$Q$60,4),0,
INDEX('RFM input'!$G$61:$Q$110,$A1845,MATCH(K$6,'RFM input'!$G$60:$Q$60,0))
   -INDEX('RFM input'!$G$115:$Q$164,$A1845,MATCH(K$6,'RFM input'!$G$60:$Q$60,0))))</f>
        <v>0</v>
      </c>
      <c r="L1845" s="1417">
        <f>IF(LEFT(L$6,4)&lt;LEFT('RFM input'!$G$60,4),"enter input",IF(LEFT(L$6,4)&gt;LEFT('RFM input'!$Q$60,4),0,
INDEX('RFM input'!$G$61:$Q$110,$A1845,MATCH(L$6,'RFM input'!$G$60:$Q$60,0))
   -INDEX('RFM input'!$G$115:$Q$164,$A1845,MATCH(L$6,'RFM input'!$G$60:$Q$60,0))))</f>
        <v>0</v>
      </c>
      <c r="M1845" s="1417">
        <f>IF(LEFT(M$6,4)&lt;LEFT('RFM input'!$G$60,4),"enter input",IF(LEFT(M$6,4)&gt;LEFT('RFM input'!$Q$60,4),0,
INDEX('RFM input'!$G$61:$Q$110,$A1845,MATCH(M$6,'RFM input'!$G$60:$Q$60,0))
   -INDEX('RFM input'!$G$115:$Q$164,$A1845,MATCH(M$6,'RFM input'!$G$60:$Q$60,0))))</f>
        <v>0</v>
      </c>
      <c r="N1845" s="1417">
        <f>IF(LEFT(N$6,4)&lt;LEFT('RFM input'!$G$60,4),"enter input",IF(LEFT(N$6,4)&gt;LEFT('RFM input'!$Q$60,4),0,
INDEX('RFM input'!$G$61:$Q$110,$A1845,MATCH(N$6,'RFM input'!$G$60:$Q$60,0))
   -INDEX('RFM input'!$G$115:$Q$164,$A1845,MATCH(N$6,'RFM input'!$G$60:$Q$60,0))))</f>
        <v>0</v>
      </c>
      <c r="O1845" s="1417">
        <f>IF(LEFT(O$6,4)&lt;LEFT('RFM input'!$G$60,4),"enter input",IF(LEFT(O$6,4)&gt;LEFT('RFM input'!$Q$60,4),0,
INDEX('RFM input'!$G$61:$Q$110,$A1845,MATCH(O$6,'RFM input'!$G$60:$Q$60,0))
   -INDEX('RFM input'!$G$115:$Q$164,$A1845,MATCH(O$6,'RFM input'!$G$60:$Q$60,0))))</f>
        <v>0</v>
      </c>
      <c r="P1845" s="1417">
        <f>IF(LEFT(P$6,4)&lt;LEFT('RFM input'!$G$60,4),"enter input",IF(LEFT(P$6,4)&gt;LEFT('RFM input'!$Q$60,4),0,
INDEX('RFM input'!$G$61:$Q$110,$A1845,MATCH(P$6,'RFM input'!$G$60:$Q$60,0))
   -INDEX('RFM input'!$G$115:$Q$164,$A1845,MATCH(P$6,'RFM input'!$G$60:$Q$60,0))))</f>
        <v>0</v>
      </c>
      <c r="Q1845" s="1417">
        <f>IF(LEFT(Q$6,4)&lt;LEFT('RFM input'!$G$60,4),"enter input",IF(LEFT(Q$6,4)&gt;LEFT('RFM input'!$Q$60,4),0,
INDEX('RFM input'!$G$61:$Q$110,$A1845,MATCH(Q$6,'RFM input'!$G$60:$Q$60,0))
   -INDEX('RFM input'!$G$115:$Q$164,$A1845,MATCH(Q$6,'RFM input'!$G$60:$Q$60,0))))</f>
        <v>0</v>
      </c>
      <c r="R1845" s="1417">
        <f>IF(LEFT(R$6,4)&lt;LEFT('RFM input'!$G$60,4),"enter input",IF(LEFT(R$6,4)&gt;LEFT('RFM input'!$Q$60,4),0,
INDEX('RFM input'!$G$61:$Q$110,$A1845,MATCH(R$6,'RFM input'!$G$60:$Q$60,0))
   -INDEX('RFM input'!$G$115:$Q$164,$A1845,MATCH(R$6,'RFM input'!$G$60:$Q$60,0))))</f>
        <v>0</v>
      </c>
      <c r="S1845" s="1417">
        <f>IF(LEFT(S$6,4)&lt;LEFT('RFM input'!$G$60,4),"enter input",IF(LEFT(S$6,4)&gt;LEFT('RFM input'!$Q$60,4),0,
INDEX('RFM input'!$G$61:$Q$110,$A1845,MATCH(S$6,'RFM input'!$G$60:$Q$60,0))
   -INDEX('RFM input'!$G$115:$Q$164,$A1845,MATCH(S$6,'RFM input'!$G$60:$Q$60,0))))</f>
        <v>0</v>
      </c>
      <c r="T1845" s="1417">
        <f>IF(LEFT(T$6,4)&lt;LEFT('RFM input'!$G$60,4),"enter input",IF(LEFT(T$6,4)&gt;LEFT('RFM input'!$Q$60,4),0,
INDEX('RFM input'!$G$61:$Q$110,$A1845,MATCH(T$6,'RFM input'!$G$60:$Q$60,0))
   -INDEX('RFM input'!$G$115:$Q$164,$A1845,MATCH(T$6,'RFM input'!$G$60:$Q$60,0))))</f>
        <v>0</v>
      </c>
      <c r="U1845" s="1417">
        <f>IF(LEFT(U$6,4)&lt;LEFT('RFM input'!$G$60,4),"enter input",IF(LEFT(U$6,4)&gt;LEFT('RFM input'!$Q$60,4),0,
INDEX('RFM input'!$G$61:$Q$110,$A1845,MATCH(U$6,'RFM input'!$G$60:$Q$60,0))
   -INDEX('RFM input'!$G$115:$Q$164,$A1845,MATCH(U$6,'RFM input'!$G$60:$Q$60,0))))</f>
        <v>0</v>
      </c>
      <c r="V1845" s="1417">
        <f>IF(LEFT(V$6,4)&lt;LEFT('RFM input'!$G$60,4),"enter input",IF(LEFT(V$6,4)&gt;LEFT('RFM input'!$Q$60,4),0,
INDEX('RFM input'!$G$61:$Q$110,$A1845,MATCH(V$6,'RFM input'!$G$60:$Q$60,0))
   -INDEX('RFM input'!$G$115:$Q$164,$A1845,MATCH(V$6,'RFM input'!$G$60:$Q$60,0))))</f>
        <v>0</v>
      </c>
      <c r="W1845" s="1417">
        <f>IF(LEFT(W$6,4)&lt;LEFT('RFM input'!$G$60,4),"enter input",IF(LEFT(W$6,4)&gt;LEFT('RFM input'!$Q$60,4),0,
INDEX('RFM input'!$G$61:$Q$110,$A1845,MATCH(W$6,'RFM input'!$G$60:$Q$60,0))
   -INDEX('RFM input'!$G$115:$Q$164,$A1845,MATCH(W$6,'RFM input'!$G$60:$Q$60,0))))</f>
        <v>0</v>
      </c>
      <c r="X1845" s="152"/>
      <c r="Y1845" s="152"/>
      <c r="Z1845" s="152"/>
      <c r="AA1845" s="152"/>
      <c r="AB1845" s="152"/>
    </row>
    <row r="1846" spans="1:28">
      <c r="A1846" s="152"/>
      <c r="B1846" s="152" t="s">
        <v>205</v>
      </c>
      <c r="C1846" s="1418">
        <f ca="1">IF($D$6='TAB roll forward'!$H$4,OFFSET('RFM input'!$S$6,$A1845,0),"enter input")</f>
        <v>0</v>
      </c>
      <c r="D1846" s="1417">
        <f>IF(LEFT(D$6,4)&lt;=LEFT('RFM input'!$G$60,4),"enter input",IF(LEFT(D$6,4)&gt;LEFT('RFM input'!$Q$60,4),0,
IF(MATCH(D$6,'RFM input'!$H$60:$Q$60,0),INDEX('RFM input'!$T$7:$T$56,$A1845,1,1))))</f>
        <v>0</v>
      </c>
      <c r="E1846" s="1417">
        <f>IF(LEFT(E$6,4)&lt;=LEFT('RFM input'!$G$60,4),"enter input",IF(LEFT(E$6,4)&gt;LEFT('RFM input'!$Q$60,4),0,
IF(MATCH(E$6,'RFM input'!$H$60:$Q$60,0),INDEX('RFM input'!$T$7:$T$56,$A1845,1,1))))</f>
        <v>0</v>
      </c>
      <c r="F1846" s="1417">
        <f>IF(LEFT(F$6,4)&lt;=LEFT('RFM input'!$G$60,4),"enter input",IF(LEFT(F$6,4)&gt;LEFT('RFM input'!$Q$60,4),0,
IF(MATCH(F$6,'RFM input'!$H$60:$Q$60,0),INDEX('RFM input'!$T$7:$T$56,$A1845,1,1))))</f>
        <v>0</v>
      </c>
      <c r="G1846" s="1417">
        <f>IF(LEFT(G$6,4)&lt;=LEFT('RFM input'!$G$60,4),"enter input",IF(LEFT(G$6,4)&gt;LEFT('RFM input'!$Q$60,4),0,
IF(MATCH(G$6,'RFM input'!$H$60:$Q$60,0),INDEX('RFM input'!$T$7:$T$56,$A1845,1,1))))</f>
        <v>0</v>
      </c>
      <c r="H1846" s="1417">
        <f>IF(LEFT(H$6,4)&lt;=LEFT('RFM input'!$G$60,4),"enter input",IF(LEFT(H$6,4)&gt;LEFT('RFM input'!$Q$60,4),0,
IF(MATCH(H$6,'RFM input'!$H$60:$Q$60,0),INDEX('RFM input'!$T$7:$T$56,$A1845,1,1))))</f>
        <v>0</v>
      </c>
      <c r="I1846" s="1417">
        <f>IF(LEFT(I$6,4)&lt;=LEFT('RFM input'!$G$60,4),"enter input",IF(LEFT(I$6,4)&gt;LEFT('RFM input'!$Q$60,4),0,
IF(MATCH(I$6,'RFM input'!$H$60:$Q$60,0),INDEX('RFM input'!$T$7:$T$56,$A1845,1,1))))</f>
        <v>0</v>
      </c>
      <c r="J1846" s="1417">
        <f>IF(LEFT(J$6,4)&lt;=LEFT('RFM input'!$G$60,4),"enter input",IF(LEFT(J$6,4)&gt;LEFT('RFM input'!$Q$60,4),0,
IF(MATCH(J$6,'RFM input'!$H$60:$Q$60,0),INDEX('RFM input'!$T$7:$T$56,$A1845,1,1))))</f>
        <v>0</v>
      </c>
      <c r="K1846" s="1417">
        <f>IF(LEFT(K$6,4)&lt;=LEFT('RFM input'!$G$60,4),"enter input",IF(LEFT(K$6,4)&gt;LEFT('RFM input'!$Q$60,4),0,
IF(MATCH(K$6,'RFM input'!$H$60:$Q$60,0),INDEX('RFM input'!$T$7:$T$56,$A1845,1,1))))</f>
        <v>0</v>
      </c>
      <c r="L1846" s="1417">
        <f>IF(LEFT(L$6,4)&lt;=LEFT('RFM input'!$G$60,4),"enter input",IF(LEFT(L$6,4)&gt;LEFT('RFM input'!$Q$60,4),0,
IF(MATCH(L$6,'RFM input'!$H$60:$Q$60,0),INDEX('RFM input'!$T$7:$T$56,$A1845,1,1))))</f>
        <v>0</v>
      </c>
      <c r="M1846" s="1417">
        <f>IF(LEFT(M$6,4)&lt;=LEFT('RFM input'!$G$60,4),"enter input",IF(LEFT(M$6,4)&gt;LEFT('RFM input'!$Q$60,4),0,
IF(MATCH(M$6,'RFM input'!$H$60:$Q$60,0),INDEX('RFM input'!$T$7:$T$56,$A1845,1,1))))</f>
        <v>0</v>
      </c>
      <c r="N1846" s="1417">
        <f>IF(LEFT(N$6,4)&lt;=LEFT('RFM input'!$G$60,4),"enter input",IF(LEFT(N$6,4)&gt;LEFT('RFM input'!$Q$60,4),0,
IF(MATCH(N$6,'RFM input'!$H$60:$Q$60,0),INDEX('RFM input'!$T$7:$T$56,$A1845,1,1))))</f>
        <v>0</v>
      </c>
      <c r="O1846" s="1417">
        <f>IF(LEFT(O$6,4)&lt;=LEFT('RFM input'!$G$60,4),"enter input",IF(LEFT(O$6,4)&gt;LEFT('RFM input'!$Q$60,4),0,
IF(MATCH(O$6,'RFM input'!$H$60:$Q$60,0),INDEX('RFM input'!$T$7:$T$56,$A1845,1,1))))</f>
        <v>0</v>
      </c>
      <c r="P1846" s="1417">
        <f>IF(LEFT(P$6,4)&lt;=LEFT('RFM input'!$G$60,4),"enter input",IF(LEFT(P$6,4)&gt;LEFT('RFM input'!$Q$60,4),0,
IF(MATCH(P$6,'RFM input'!$H$60:$Q$60,0),INDEX('RFM input'!$T$7:$T$56,$A1845,1,1))))</f>
        <v>0</v>
      </c>
      <c r="Q1846" s="1417">
        <f>IF(LEFT(Q$6,4)&lt;=LEFT('RFM input'!$G$60,4),"enter input",IF(LEFT(Q$6,4)&gt;LEFT('RFM input'!$Q$60,4),0,
IF(MATCH(Q$6,'RFM input'!$H$60:$Q$60,0),INDEX('RFM input'!$T$7:$T$56,$A1845,1,1))))</f>
        <v>0</v>
      </c>
      <c r="R1846" s="1417">
        <f>IF(LEFT(R$6,4)&lt;=LEFT('RFM input'!$G$60,4),"enter input",IF(LEFT(R$6,4)&gt;LEFT('RFM input'!$Q$60,4),0,
IF(MATCH(R$6,'RFM input'!$H$60:$Q$60,0),INDEX('RFM input'!$T$7:$T$56,$A1845,1,1))))</f>
        <v>0</v>
      </c>
      <c r="S1846" s="1417">
        <f>IF(LEFT(S$6,4)&lt;=LEFT('RFM input'!$G$60,4),"enter input",IF(LEFT(S$6,4)&gt;LEFT('RFM input'!$Q$60,4),0,
IF(MATCH(S$6,'RFM input'!$H$60:$Q$60,0),INDEX('RFM input'!$T$7:$T$56,$A1845,1,1))))</f>
        <v>0</v>
      </c>
      <c r="T1846" s="1417">
        <f>IF(LEFT(T$6,4)&lt;=LEFT('RFM input'!$G$60,4),"enter input",IF(LEFT(T$6,4)&gt;LEFT('RFM input'!$Q$60,4),0,
IF(MATCH(T$6,'RFM input'!$H$60:$Q$60,0),INDEX('RFM input'!$T$7:$T$56,$A1845,1,1))))</f>
        <v>0</v>
      </c>
      <c r="U1846" s="1417">
        <f>IF(LEFT(U$6,4)&lt;=LEFT('RFM input'!$G$60,4),"enter input",IF(LEFT(U$6,4)&gt;LEFT('RFM input'!$Q$60,4),0,
IF(MATCH(U$6,'RFM input'!$H$60:$Q$60,0),INDEX('RFM input'!$T$7:$T$56,$A1845,1,1))))</f>
        <v>0</v>
      </c>
      <c r="V1846" s="1417">
        <f>IF(LEFT(V$6,4)&lt;=LEFT('RFM input'!$G$60,4),"enter input",IF(LEFT(V$6,4)&gt;LEFT('RFM input'!$Q$60,4),0,
IF(MATCH(V$6,'RFM input'!$H$60:$Q$60,0),INDEX('RFM input'!$T$7:$T$56,$A1845,1,1))))</f>
        <v>0</v>
      </c>
      <c r="W1846" s="1417">
        <f>IF(LEFT(W$6,4)&lt;=LEFT('RFM input'!$G$60,4),"enter input",IF(LEFT(W$6,4)&gt;LEFT('RFM input'!$Q$60,4),0,
IF(MATCH(W$6,'RFM input'!$H$60:$Q$60,0),INDEX('RFM input'!$T$7:$T$56,$A1845,1,1))))</f>
        <v>0</v>
      </c>
      <c r="X1846" s="152"/>
      <c r="Y1846" s="152"/>
      <c r="Z1846" s="152"/>
      <c r="AA1846" s="152"/>
      <c r="AB1846" s="152"/>
    </row>
    <row r="1847" spans="1:28">
      <c r="A1847" s="152"/>
      <c r="B1847" s="193" t="s">
        <v>192</v>
      </c>
      <c r="C1847" s="1419"/>
      <c r="D1847" s="1420">
        <f ca="1">IF(LEFT(D$6,4)&lt;=LEFT('RFM input'!$G$60,4),"enter input",IF(LEFT(D$6,4)&gt;LEFT('RFM input'!$Q$60,4),0,
IF(D$6=(OFFSET('RFM input'!$G$60,0,'RFM input'!$V$7)),OFFSET('RFM input'!$H$411,$A1845,0),0)))</f>
        <v>0</v>
      </c>
      <c r="E1847" s="1417">
        <f ca="1">IF(LEFT(E$6,4)&lt;=LEFT('RFM input'!$G$60,4),"enter input",IF(LEFT(E$6,4)&gt;LEFT('RFM input'!$Q$60,4),0,
IF(E$6=(OFFSET('RFM input'!$G$60,0,'RFM input'!$V$7)),OFFSET('RFM input'!$H$411,$A1845,0),0)))</f>
        <v>0</v>
      </c>
      <c r="F1847" s="1417">
        <f ca="1">IF(LEFT(F$6,4)&lt;=LEFT('RFM input'!$G$60,4),"enter input",IF(LEFT(F$6,4)&gt;LEFT('RFM input'!$Q$60,4),0,
IF(F$6=(OFFSET('RFM input'!$G$60,0,'RFM input'!$V$7)),OFFSET('RFM input'!$H$411,$A1845,0),0)))</f>
        <v>0</v>
      </c>
      <c r="G1847" s="1417">
        <f ca="1">IF(LEFT(G$6,4)&lt;=LEFT('RFM input'!$G$60,4),"enter input",IF(LEFT(G$6,4)&gt;LEFT('RFM input'!$Q$60,4),0,
IF(G$6=(OFFSET('RFM input'!$G$60,0,'RFM input'!$V$7)),OFFSET('RFM input'!$H$411,$A1845,0),0)))</f>
        <v>0</v>
      </c>
      <c r="H1847" s="1417">
        <f ca="1">IF(LEFT(H$6,4)&lt;=LEFT('RFM input'!$G$60,4),"enter input",IF(LEFT(H$6,4)&gt;LEFT('RFM input'!$Q$60,4),0,
IF(H$6=(OFFSET('RFM input'!$G$60,0,'RFM input'!$V$7)),OFFSET('RFM input'!$H$411,$A1845,0),0)))</f>
        <v>0</v>
      </c>
      <c r="I1847" s="1417">
        <f ca="1">IF(LEFT(I$6,4)&lt;=LEFT('RFM input'!$G$60,4),"enter input",IF(LEFT(I$6,4)&gt;LEFT('RFM input'!$Q$60,4),0,
IF(I$6=(OFFSET('RFM input'!$G$60,0,'RFM input'!$V$7)),OFFSET('RFM input'!$H$411,$A1845,0),0)))</f>
        <v>0</v>
      </c>
      <c r="J1847" s="1417">
        <f ca="1">IF(LEFT(J$6,4)&lt;=LEFT('RFM input'!$G$60,4),"enter input",IF(LEFT(J$6,4)&gt;LEFT('RFM input'!$Q$60,4),0,
IF(J$6=(OFFSET('RFM input'!$G$60,0,'RFM input'!$V$7)),OFFSET('RFM input'!$H$411,$A1845,0),0)))</f>
        <v>0</v>
      </c>
      <c r="K1847" s="1417">
        <f ca="1">IF(LEFT(K$6,4)&lt;=LEFT('RFM input'!$G$60,4),"enter input",IF(LEFT(K$6,4)&gt;LEFT('RFM input'!$Q$60,4),0,
IF(K$6=(OFFSET('RFM input'!$G$60,0,'RFM input'!$V$7)),OFFSET('RFM input'!$H$411,$A1845,0),0)))</f>
        <v>0</v>
      </c>
      <c r="L1847" s="1417">
        <f ca="1">IF(LEFT(L$6,4)&lt;=LEFT('RFM input'!$G$60,4),"enter input",IF(LEFT(L$6,4)&gt;LEFT('RFM input'!$Q$60,4),0,
IF(L$6=(OFFSET('RFM input'!$G$60,0,'RFM input'!$V$7)),OFFSET('RFM input'!$H$411,$A1845,0),0)))</f>
        <v>0</v>
      </c>
      <c r="M1847" s="1417">
        <f ca="1">IF(LEFT(M$6,4)&lt;=LEFT('RFM input'!$G$60,4),"enter input",IF(LEFT(M$6,4)&gt;LEFT('RFM input'!$Q$60,4),0,
IF(M$6=(OFFSET('RFM input'!$G$60,0,'RFM input'!$V$7)),OFFSET('RFM input'!$H$411,$A1845,0),0)))</f>
        <v>0</v>
      </c>
      <c r="N1847" s="1417">
        <f ca="1">IF(LEFT(N$6,4)&lt;=LEFT('RFM input'!$G$60,4),"enter input",IF(LEFT(N$6,4)&gt;LEFT('RFM input'!$Q$60,4),0,
IF(N$6=(OFFSET('RFM input'!$G$60,0,'RFM input'!$V$7)),OFFSET('RFM input'!$H$411,$A1845,0),0)))</f>
        <v>0</v>
      </c>
      <c r="O1847" s="1417">
        <f ca="1">IF(LEFT(O$6,4)&lt;=LEFT('RFM input'!$G$60,4),"enter input",IF(LEFT(O$6,4)&gt;LEFT('RFM input'!$Q$60,4),0,
IF(O$6=(OFFSET('RFM input'!$G$60,0,'RFM input'!$V$7)),OFFSET('RFM input'!$H$411,$A1845,0),0)))</f>
        <v>0</v>
      </c>
      <c r="P1847" s="1417">
        <f ca="1">IF(LEFT(P$6,4)&lt;=LEFT('RFM input'!$G$60,4),"enter input",IF(LEFT(P$6,4)&gt;LEFT('RFM input'!$Q$60,4),0,
IF(P$6=(OFFSET('RFM input'!$G$60,0,'RFM input'!$V$7)),OFFSET('RFM input'!$H$411,$A1845,0),0)))</f>
        <v>0</v>
      </c>
      <c r="Q1847" s="1417">
        <f ca="1">IF(LEFT(Q$6,4)&lt;=LEFT('RFM input'!$G$60,4),"enter input",IF(LEFT(Q$6,4)&gt;LEFT('RFM input'!$Q$60,4),0,
IF(Q$6=(OFFSET('RFM input'!$G$60,0,'RFM input'!$V$7)),OFFSET('RFM input'!$H$411,$A1845,0),0)))</f>
        <v>0</v>
      </c>
      <c r="R1847" s="1417">
        <f ca="1">IF(LEFT(R$6,4)&lt;=LEFT('RFM input'!$G$60,4),"enter input",IF(LEFT(R$6,4)&gt;LEFT('RFM input'!$Q$60,4),0,
IF(R$6=(OFFSET('RFM input'!$G$60,0,'RFM input'!$V$7)),OFFSET('RFM input'!$H$411,$A1845,0),0)))</f>
        <v>0</v>
      </c>
      <c r="S1847" s="1417">
        <f ca="1">IF(LEFT(S$6,4)&lt;=LEFT('RFM input'!$G$60,4),"enter input",IF(LEFT(S$6,4)&gt;LEFT('RFM input'!$Q$60,4),0,
IF(S$6=(OFFSET('RFM input'!$G$60,0,'RFM input'!$V$7)),OFFSET('RFM input'!$H$411,$A1845,0),0)))</f>
        <v>0</v>
      </c>
      <c r="T1847" s="1417">
        <f ca="1">IF(LEFT(T$6,4)&lt;=LEFT('RFM input'!$G$60,4),"enter input",IF(LEFT(T$6,4)&gt;LEFT('RFM input'!$Q$60,4),0,
IF(T$6=(OFFSET('RFM input'!$G$60,0,'RFM input'!$V$7)),OFFSET('RFM input'!$H$411,$A1845,0),0)))</f>
        <v>0</v>
      </c>
      <c r="U1847" s="1417">
        <f ca="1">IF(LEFT(U$6,4)&lt;=LEFT('RFM input'!$G$60,4),"enter input",IF(LEFT(U$6,4)&gt;LEFT('RFM input'!$Q$60,4),0,
IF(U$6=(OFFSET('RFM input'!$G$60,0,'RFM input'!$V$7)),OFFSET('RFM input'!$H$411,$A1845,0),0)))</f>
        <v>0</v>
      </c>
      <c r="V1847" s="1417">
        <f ca="1">IF(LEFT(V$6,4)&lt;=LEFT('RFM input'!$G$60,4),"enter input",IF(LEFT(V$6,4)&gt;LEFT('RFM input'!$Q$60,4),0,
IF(V$6=(OFFSET('RFM input'!$G$60,0,'RFM input'!$V$7)),OFFSET('RFM input'!$H$411,$A1845,0),0)))</f>
        <v>0</v>
      </c>
      <c r="W1847" s="1417">
        <f ca="1">IF(LEFT(W$6,4)&lt;=LEFT('RFM input'!$G$60,4),"enter input",IF(LEFT(W$6,4)&gt;LEFT('RFM input'!$Q$60,4),0,
IF(W$6=(OFFSET('RFM input'!$G$60,0,'RFM input'!$V$7)),OFFSET('RFM input'!$H$411,$A1845,0),0)))</f>
        <v>0</v>
      </c>
      <c r="X1847" s="152"/>
      <c r="Y1847" s="152"/>
      <c r="Z1847" s="152"/>
      <c r="AA1847" s="152"/>
      <c r="AB1847" s="152"/>
    </row>
    <row r="1848" spans="1:28">
      <c r="A1848" s="152"/>
      <c r="B1848" s="193" t="s">
        <v>200</v>
      </c>
      <c r="C1848" s="1419"/>
      <c r="D1848" s="1418">
        <f ca="1">IF(LEFT(D$6,4)&lt;=LEFT('RFM input'!$G$60,4),"enter input",IF(LEFT(D$6,4)&gt;LEFT('RFM input'!$Q$60,4),0,
IF(D$6=(OFFSET('RFM input'!$G$60,0,'RFM input'!$V$7)),OFFSET('RFM input'!$J$411,$A1845,0),0)))</f>
        <v>0</v>
      </c>
      <c r="E1848" s="1422">
        <f ca="1">IF(LEFT(E$6,4)&lt;=LEFT('RFM input'!$G$60,4),"enter input",IF(LEFT(E$6,4)&gt;LEFT('RFM input'!$Q$60,4),0,
IF(E$6=(OFFSET('RFM input'!$G$60,0,'RFM input'!$V$7)),OFFSET('RFM input'!$J$411,$A1845,0),0)))</f>
        <v>0</v>
      </c>
      <c r="F1848" s="1422">
        <f ca="1">IF(LEFT(F$6,4)&lt;=LEFT('RFM input'!$G$60,4),"enter input",IF(LEFT(F$6,4)&gt;LEFT('RFM input'!$Q$60,4),0,
IF(F$6=(OFFSET('RFM input'!$G$60,0,'RFM input'!$V$7)),OFFSET('RFM input'!$J$411,$A1845,0),0)))</f>
        <v>0</v>
      </c>
      <c r="G1848" s="1422">
        <f ca="1">IF(LEFT(G$6,4)&lt;=LEFT('RFM input'!$G$60,4),"enter input",IF(LEFT(G$6,4)&gt;LEFT('RFM input'!$Q$60,4),0,
IF(G$6=(OFFSET('RFM input'!$G$60,0,'RFM input'!$V$7)),OFFSET('RFM input'!$J$411,$A1845,0),0)))</f>
        <v>0</v>
      </c>
      <c r="H1848" s="1422">
        <f ca="1">IF(LEFT(H$6,4)&lt;=LEFT('RFM input'!$G$60,4),"enter input",IF(LEFT(H$6,4)&gt;LEFT('RFM input'!$Q$60,4),0,
IF(H$6=(OFFSET('RFM input'!$G$60,0,'RFM input'!$V$7)),OFFSET('RFM input'!$J$411,$A1845,0),0)))</f>
        <v>0</v>
      </c>
      <c r="I1848" s="1422">
        <f ca="1">IF(LEFT(I$6,4)&lt;=LEFT('RFM input'!$G$60,4),"enter input",IF(LEFT(I$6,4)&gt;LEFT('RFM input'!$Q$60,4),0,
IF(I$6=(OFFSET('RFM input'!$G$60,0,'RFM input'!$V$7)),OFFSET('RFM input'!$J$411,$A1845,0),0)))</f>
        <v>0</v>
      </c>
      <c r="J1848" s="1422">
        <f ca="1">IF(LEFT(J$6,4)&lt;=LEFT('RFM input'!$G$60,4),"enter input",IF(LEFT(J$6,4)&gt;LEFT('RFM input'!$Q$60,4),0,
IF(J$6=(OFFSET('RFM input'!$G$60,0,'RFM input'!$V$7)),OFFSET('RFM input'!$J$411,$A1845,0),0)))</f>
        <v>0</v>
      </c>
      <c r="K1848" s="1422">
        <f ca="1">IF(LEFT(K$6,4)&lt;=LEFT('RFM input'!$G$60,4),"enter input",IF(LEFT(K$6,4)&gt;LEFT('RFM input'!$Q$60,4),0,
IF(K$6=(OFFSET('RFM input'!$G$60,0,'RFM input'!$V$7)),OFFSET('RFM input'!$J$411,$A1845,0),0)))</f>
        <v>0</v>
      </c>
      <c r="L1848" s="1422">
        <f ca="1">IF(LEFT(L$6,4)&lt;=LEFT('RFM input'!$G$60,4),"enter input",IF(LEFT(L$6,4)&gt;LEFT('RFM input'!$Q$60,4),0,
IF(L$6=(OFFSET('RFM input'!$G$60,0,'RFM input'!$V$7)),OFFSET('RFM input'!$J$411,$A1845,0),0)))</f>
        <v>0</v>
      </c>
      <c r="M1848" s="1422">
        <f ca="1">IF(LEFT(M$6,4)&lt;=LEFT('RFM input'!$G$60,4),"enter input",IF(LEFT(M$6,4)&gt;LEFT('RFM input'!$Q$60,4),0,
IF(M$6=(OFFSET('RFM input'!$G$60,0,'RFM input'!$V$7)),OFFSET('RFM input'!$J$411,$A1845,0),0)))</f>
        <v>0</v>
      </c>
      <c r="N1848" s="1422">
        <f ca="1">IF(LEFT(N$6,4)&lt;=LEFT('RFM input'!$G$60,4),"enter input",IF(LEFT(N$6,4)&gt;LEFT('RFM input'!$Q$60,4),0,
IF(N$6=(OFFSET('RFM input'!$G$60,0,'RFM input'!$V$7)),OFFSET('RFM input'!$J$411,$A1845,0),0)))</f>
        <v>0</v>
      </c>
      <c r="O1848" s="1422">
        <f ca="1">IF(LEFT(O$6,4)&lt;=LEFT('RFM input'!$G$60,4),"enter input",IF(LEFT(O$6,4)&gt;LEFT('RFM input'!$Q$60,4),0,
IF(O$6=(OFFSET('RFM input'!$G$60,0,'RFM input'!$V$7)),OFFSET('RFM input'!$J$411,$A1845,0),0)))</f>
        <v>0</v>
      </c>
      <c r="P1848" s="1422">
        <f ca="1">IF(LEFT(P$6,4)&lt;=LEFT('RFM input'!$G$60,4),"enter input",IF(LEFT(P$6,4)&gt;LEFT('RFM input'!$Q$60,4),0,
IF(P$6=(OFFSET('RFM input'!$G$60,0,'RFM input'!$V$7)),OFFSET('RFM input'!$J$411,$A1845,0),0)))</f>
        <v>0</v>
      </c>
      <c r="Q1848" s="1422">
        <f ca="1">IF(LEFT(Q$6,4)&lt;=LEFT('RFM input'!$G$60,4),"enter input",IF(LEFT(Q$6,4)&gt;LEFT('RFM input'!$Q$60,4),0,
IF(Q$6=(OFFSET('RFM input'!$G$60,0,'RFM input'!$V$7)),OFFSET('RFM input'!$J$411,$A1845,0),0)))</f>
        <v>0</v>
      </c>
      <c r="R1848" s="1422">
        <f ca="1">IF(LEFT(R$6,4)&lt;=LEFT('RFM input'!$G$60,4),"enter input",IF(LEFT(R$6,4)&gt;LEFT('RFM input'!$Q$60,4),0,
IF(R$6=(OFFSET('RFM input'!$G$60,0,'RFM input'!$V$7)),OFFSET('RFM input'!$J$411,$A1845,0),0)))</f>
        <v>0</v>
      </c>
      <c r="S1848" s="1422">
        <f ca="1">IF(LEFT(S$6,4)&lt;=LEFT('RFM input'!$G$60,4),"enter input",IF(LEFT(S$6,4)&gt;LEFT('RFM input'!$Q$60,4),0,
IF(S$6=(OFFSET('RFM input'!$G$60,0,'RFM input'!$V$7)),OFFSET('RFM input'!$J$411,$A1845,0),0)))</f>
        <v>0</v>
      </c>
      <c r="T1848" s="1422">
        <f ca="1">IF(LEFT(T$6,4)&lt;=LEFT('RFM input'!$G$60,4),"enter input",IF(LEFT(T$6,4)&gt;LEFT('RFM input'!$Q$60,4),0,
IF(T$6=(OFFSET('RFM input'!$G$60,0,'RFM input'!$V$7)),OFFSET('RFM input'!$J$411,$A1845,0),0)))</f>
        <v>0</v>
      </c>
      <c r="U1848" s="1422">
        <f ca="1">IF(LEFT(U$6,4)&lt;=LEFT('RFM input'!$G$60,4),"enter input",IF(LEFT(U$6,4)&gt;LEFT('RFM input'!$Q$60,4),0,
IF(U$6=(OFFSET('RFM input'!$G$60,0,'RFM input'!$V$7)),OFFSET('RFM input'!$J$411,$A1845,0),0)))</f>
        <v>0</v>
      </c>
      <c r="V1848" s="1422">
        <f ca="1">IF(LEFT(V$6,4)&lt;=LEFT('RFM input'!$G$60,4),"enter input",IF(LEFT(V$6,4)&gt;LEFT('RFM input'!$Q$60,4),0,
IF(V$6=(OFFSET('RFM input'!$G$60,0,'RFM input'!$V$7)),OFFSET('RFM input'!$J$411,$A1845,0),0)))</f>
        <v>0</v>
      </c>
      <c r="W1848" s="1422">
        <f ca="1">IF(LEFT(W$6,4)&lt;=LEFT('RFM input'!$G$60,4),"enter input",IF(LEFT(W$6,4)&gt;LEFT('RFM input'!$Q$60,4),0,
IF(W$6=(OFFSET('RFM input'!$G$60,0,'RFM input'!$V$7)),OFFSET('RFM input'!$J$411,$A1845,0),0)))</f>
        <v>0</v>
      </c>
      <c r="X1848" s="152"/>
      <c r="Y1848" s="152"/>
      <c r="Z1848" s="152"/>
      <c r="AA1848" s="152"/>
      <c r="AB1848" s="152"/>
    </row>
    <row r="1849" spans="1:28" hidden="1" outlineLevel="1">
      <c r="A1849" s="235">
        <v>-1</v>
      </c>
      <c r="B1849" s="190" t="s">
        <v>195</v>
      </c>
      <c r="C1849" s="1423"/>
      <c r="D1849" s="1423">
        <f t="shared" ref="D1849" ca="1" si="2672">IF(AND(D1847=0,C1849=0),0,
IF(AND(D1847&lt;&gt;0,C1849=0),D1847,
IF(AND(D1848&lt;&gt;0,C1849&lt;&gt;0),(C1849-(C1849/C1873))+D1847,
IF(C1873&lt;1,0,(C1849-(C1849/C1873))))))</f>
        <v>0</v>
      </c>
      <c r="E1849" s="1423">
        <f t="shared" ref="E1849" ca="1" si="2673">IF(AND(E1847=0,D1849=0),0,
IF(AND(E1847&lt;&gt;0,D1849=0),E1847,
IF(AND(E1848&lt;&gt;0,D1849&lt;&gt;0),(D1849-(D1849/D1873))+E1847,
IF(D1873&lt;1,0,(D1849-(D1849/D1873))))))</f>
        <v>0</v>
      </c>
      <c r="F1849" s="1423">
        <f t="shared" ref="F1849" ca="1" si="2674">IF(AND(F1847=0,E1849=0),0,
IF(AND(F1847&lt;&gt;0,E1849=0),F1847,
IF(AND(F1848&lt;&gt;0,E1849&lt;&gt;0),(E1849-(E1849/E1873))+F1847,
IF(E1873&lt;1,0,(E1849-(E1849/E1873))))))</f>
        <v>0</v>
      </c>
      <c r="G1849" s="1423">
        <f t="shared" ref="G1849" ca="1" si="2675">IF(AND(G1847=0,F1849=0),0,
IF(AND(G1847&lt;&gt;0,F1849=0),G1847,
IF(AND(G1848&lt;&gt;0,F1849&lt;&gt;0),(F1849-(F1849/F1873))+G1847,
IF(F1873&lt;1,0,(F1849-(F1849/F1873))))))</f>
        <v>0</v>
      </c>
      <c r="H1849" s="1423">
        <f ca="1">IF(AND(H1847=0,G1849=0),0,
IF(AND(H1847&lt;&gt;0,G1849=0),H1847,
IF(AND(H1848&lt;&gt;0,G1849&lt;&gt;0),(G1849-(G1849/G1873))+H1847,
IF(G1873&lt;1,0,(G1849-(G1849/G1873))))))</f>
        <v>0</v>
      </c>
      <c r="I1849" s="1423">
        <f t="shared" ref="I1849" ca="1" si="2676">IF(AND(I1847=0,H1849=0),0,
IF(AND(I1847&lt;&gt;0,H1849=0),I1847,
IF(AND(I1848&lt;&gt;0,H1849&lt;&gt;0),(H1849-(H1849/H1873))+I1847,
IF(H1873&lt;1,0,(H1849-(H1849/H1873))))))</f>
        <v>0</v>
      </c>
      <c r="J1849" s="1423">
        <f t="shared" ref="J1849" ca="1" si="2677">IF(AND(J1847=0,I1849=0),0,
IF(AND(J1847&lt;&gt;0,I1849=0),J1847,
IF(AND(J1848&lt;&gt;0,I1849&lt;&gt;0),(I1849-(I1849/I1873))+J1847,
IF(I1873&lt;1,0,(I1849-(I1849/I1873))))))</f>
        <v>0</v>
      </c>
      <c r="K1849" s="1423">
        <f t="shared" ref="K1849" ca="1" si="2678">IF(AND(K1847=0,J1849=0),0,
IF(AND(K1847&lt;&gt;0,J1849=0),K1847,
IF(AND(K1848&lt;&gt;0,J1849&lt;&gt;0),(J1849-(J1849/J1873))+K1847,
IF(J1873&lt;1,0,(J1849-(J1849/J1873))))))</f>
        <v>0</v>
      </c>
      <c r="L1849" s="1423">
        <f t="shared" ref="L1849" ca="1" si="2679">IF(AND(L1847=0,K1849=0),0,
IF(AND(L1847&lt;&gt;0,K1849=0),L1847,
IF(AND(L1848&lt;&gt;0,K1849&lt;&gt;0),(K1849-(K1849/K1873))+L1847,
IF(K1873&lt;1,0,(K1849-(K1849/K1873))))))</f>
        <v>0</v>
      </c>
      <c r="M1849" s="1423">
        <f t="shared" ref="M1849" ca="1" si="2680">IF(AND(M1847=0,L1849=0),0,
IF(AND(M1847&lt;&gt;0,L1849=0),M1847,
IF(AND(M1848&lt;&gt;0,L1849&lt;&gt;0),(L1849-(L1849/L1873))+M1847,
IF(L1873&lt;1,0,(L1849-(L1849/L1873))))))</f>
        <v>0</v>
      </c>
      <c r="N1849" s="1423">
        <f t="shared" ref="N1849" ca="1" si="2681">IF(AND(N1847=0,M1849=0),0,
IF(AND(N1847&lt;&gt;0,M1849=0),N1847,
IF(AND(N1848&lt;&gt;0,M1849&lt;&gt;0),(M1849-(M1849/M1873))+N1847,
IF(M1873&lt;1,0,(M1849-(M1849/M1873))))))</f>
        <v>0</v>
      </c>
      <c r="O1849" s="1423">
        <f t="shared" ref="O1849" ca="1" si="2682">IF(AND(O1847=0,N1849=0),0,
IF(AND(O1847&lt;&gt;0,N1849=0),O1847,
IF(AND(O1848&lt;&gt;0,N1849&lt;&gt;0),(N1849-(N1849/N1873))+O1847,
IF(N1873&lt;1,0,(N1849-(N1849/N1873))))))</f>
        <v>0</v>
      </c>
      <c r="P1849" s="1423">
        <f t="shared" ref="P1849" ca="1" si="2683">IF(AND(P1847=0,O1849=0),0,
IF(AND(P1847&lt;&gt;0,O1849=0),P1847,
IF(AND(P1848&lt;&gt;0,O1849&lt;&gt;0),(O1849-(O1849/O1873))+P1847,
IF(O1873&lt;1,0,(O1849-(O1849/O1873))))))</f>
        <v>0</v>
      </c>
      <c r="Q1849" s="1423">
        <f t="shared" ref="Q1849" ca="1" si="2684">IF(AND(Q1847=0,P1849=0),0,
IF(AND(Q1847&lt;&gt;0,P1849=0),Q1847,
IF(AND(Q1848&lt;&gt;0,P1849&lt;&gt;0),(P1849-(P1849/P1873))+Q1847,
IF(P1873&lt;1,0,(P1849-(P1849/P1873))))))</f>
        <v>0</v>
      </c>
      <c r="R1849" s="1423">
        <f t="shared" ref="R1849" ca="1" si="2685">IF(AND(R1847=0,Q1849=0),0,
IF(AND(R1847&lt;&gt;0,Q1849=0),R1847,
IF(AND(R1848&lt;&gt;0,Q1849&lt;&gt;0),(Q1849-(Q1849/Q1873))+R1847,
IF(Q1873&lt;1,0,(Q1849-(Q1849/Q1873))))))</f>
        <v>0</v>
      </c>
      <c r="S1849" s="1423">
        <f t="shared" ref="S1849" ca="1" si="2686">IF(AND(S1847=0,R1849=0),0,
IF(AND(S1847&lt;&gt;0,R1849=0),S1847,
IF(AND(S1848&lt;&gt;0,R1849&lt;&gt;0),(R1849-(R1849/R1873))+S1847,
IF(R1873&lt;1,0,(R1849-(R1849/R1873))))))</f>
        <v>0</v>
      </c>
      <c r="T1849" s="1423">
        <f t="shared" ref="T1849" ca="1" si="2687">IF(AND(T1847=0,S1849=0),0,
IF(AND(T1847&lt;&gt;0,S1849=0),T1847,
IF(AND(T1848&lt;&gt;0,S1849&lt;&gt;0),(S1849-(S1849/S1873))+T1847,
IF(S1873&lt;1,0,(S1849-(S1849/S1873))))))</f>
        <v>0</v>
      </c>
      <c r="U1849" s="1423">
        <f t="shared" ref="U1849" ca="1" si="2688">IF(AND(U1847=0,T1849=0),0,
IF(AND(U1847&lt;&gt;0,T1849=0),U1847,
IF(AND(U1848&lt;&gt;0,T1849&lt;&gt;0),(T1849-(T1849/T1873))+U1847,
IF(T1873&lt;1,0,(T1849-(T1849/T1873))))))</f>
        <v>0</v>
      </c>
      <c r="V1849" s="1423">
        <f t="shared" ref="V1849" ca="1" si="2689">IF(AND(V1847=0,U1849=0),0,
IF(AND(V1847&lt;&gt;0,U1849=0),V1847,
IF(AND(V1848&lt;&gt;0,U1849&lt;&gt;0),(U1849-(U1849/U1873))+V1847,
IF(U1873&lt;1,0,(U1849-(U1849/U1873))))))</f>
        <v>0</v>
      </c>
      <c r="W1849" s="1423">
        <f t="shared" ref="W1849" ca="1" si="2690">IF(AND(W1847=0,V1849=0),0,
IF(AND(W1847&lt;&gt;0,V1849=0),W1847,
IF(AND(W1848&lt;&gt;0,V1849&lt;&gt;0),(V1849-(V1849/V1873))+W1847,
IF(V1873&lt;1,0,(V1849-(V1849/V1873))))))</f>
        <v>0</v>
      </c>
      <c r="X1849" s="152"/>
      <c r="Y1849" s="152"/>
      <c r="Z1849" s="152"/>
      <c r="AA1849" s="152"/>
      <c r="AB1849" s="152"/>
    </row>
    <row r="1850" spans="1:28" hidden="1" outlineLevel="1">
      <c r="A1850" s="199">
        <f>A1849+1</f>
        <v>0</v>
      </c>
      <c r="B1850" s="190" t="s">
        <v>527</v>
      </c>
      <c r="C1850" s="1423">
        <f ca="1">C1845</f>
        <v>0</v>
      </c>
      <c r="D1850" s="1423">
        <f ca="1">IF(C1874="n/a",C1850,IFERROR(IF((OFFSET($C1850,0,$A1850))&lt;0,
MIN(0,C1850-(OFFSET($C1850,0,$A1850)/(OFFSET($C1845,-$A1849,$A1850)))),
MAX(0,C1850-(OFFSET($C1850,0,$A1850)/(OFFSET($C1845,-$A1849,$A1850))))),0))</f>
        <v>0</v>
      </c>
      <c r="E1850" s="1423">
        <f t="shared" ref="E1850" ca="1" si="2691">IF(D1874="n/a",D1850,IFERROR(IF((OFFSET($C1850,0,$A1850))&lt;0,
MIN(0,D1850-(OFFSET($C1850,0,$A1850)/(OFFSET($C1845,-$A1849,$A1850)))),
MAX(0,D1850-(OFFSET($C1850,0,$A1850)/(OFFSET($C1845,-$A1849,$A1850))))),0))</f>
        <v>0</v>
      </c>
      <c r="F1850" s="1423">
        <f t="shared" ref="F1850:F1851" ca="1" si="2692">IF(E1874="n/a",E1850,IFERROR(IF((OFFSET($C1850,0,$A1850))&lt;0,
MIN(0,E1850-(OFFSET($C1850,0,$A1850)/(OFFSET($C1845,-$A1849,$A1850)))),
MAX(0,E1850-(OFFSET($C1850,0,$A1850)/(OFFSET($C1845,-$A1849,$A1850))))),0))</f>
        <v>0</v>
      </c>
      <c r="G1850" s="1423">
        <f t="shared" ref="G1850:G1852" ca="1" si="2693">IF(F1874="n/a",F1850,IFERROR(IF((OFFSET($C1850,0,$A1850))&lt;0,
MIN(0,F1850-(OFFSET($C1850,0,$A1850)/(OFFSET($C1845,-$A1849,$A1850)))),
MAX(0,F1850-(OFFSET($C1850,0,$A1850)/(OFFSET($C1845,-$A1849,$A1850))))),0))</f>
        <v>0</v>
      </c>
      <c r="H1850" s="1423">
        <f t="shared" ref="H1850:H1853" ca="1" si="2694">IF(G1874="n/a",G1850,IFERROR(IF((OFFSET($C1850,0,$A1850))&lt;0,
MIN(0,G1850-(OFFSET($C1850,0,$A1850)/(OFFSET($C1845,-$A1849,$A1850)))),
MAX(0,G1850-(OFFSET($C1850,0,$A1850)/(OFFSET($C1845,-$A1849,$A1850))))),0))</f>
        <v>0</v>
      </c>
      <c r="I1850" s="1423">
        <f t="shared" ref="I1850:I1854" ca="1" si="2695">IF(H1874="n/a",H1850,IFERROR(IF((OFFSET($C1850,0,$A1850))&lt;0,
MIN(0,H1850-(OFFSET($C1850,0,$A1850)/(OFFSET($C1845,-$A1849,$A1850)))),
MAX(0,H1850-(OFFSET($C1850,0,$A1850)/(OFFSET($C1845,-$A1849,$A1850))))),0))</f>
        <v>0</v>
      </c>
      <c r="J1850" s="1423">
        <f t="shared" ref="J1850:J1855" ca="1" si="2696">IF(I1874="n/a",I1850,IFERROR(IF((OFFSET($C1850,0,$A1850))&lt;0,
MIN(0,I1850-(OFFSET($C1850,0,$A1850)/(OFFSET($C1845,-$A1849,$A1850)))),
MAX(0,I1850-(OFFSET($C1850,0,$A1850)/(OFFSET($C1845,-$A1849,$A1850))))),0))</f>
        <v>0</v>
      </c>
      <c r="K1850" s="1423">
        <f t="shared" ref="K1850:K1856" ca="1" si="2697">IF(J1874="n/a",J1850,IFERROR(IF((OFFSET($C1850,0,$A1850))&lt;0,
MIN(0,J1850-(OFFSET($C1850,0,$A1850)/(OFFSET($C1845,-$A1849,$A1850)))),
MAX(0,J1850-(OFFSET($C1850,0,$A1850)/(OFFSET($C1845,-$A1849,$A1850))))),0))</f>
        <v>0</v>
      </c>
      <c r="L1850" s="1423">
        <f t="shared" ref="L1850:L1857" ca="1" si="2698">IF(K1874="n/a",K1850,IFERROR(IF((OFFSET($C1850,0,$A1850))&lt;0,
MIN(0,K1850-(OFFSET($C1850,0,$A1850)/(OFFSET($C1845,-$A1849,$A1850)))),
MAX(0,K1850-(OFFSET($C1850,0,$A1850)/(OFFSET($C1845,-$A1849,$A1850))))),0))</f>
        <v>0</v>
      </c>
      <c r="M1850" s="1423">
        <f t="shared" ref="M1850:M1858" ca="1" si="2699">IF(L1874="n/a",L1850,IFERROR(IF((OFFSET($C1850,0,$A1850))&lt;0,
MIN(0,L1850-(OFFSET($C1850,0,$A1850)/(OFFSET($C1845,-$A1849,$A1850)))),
MAX(0,L1850-(OFFSET($C1850,0,$A1850)/(OFFSET($C1845,-$A1849,$A1850))))),0))</f>
        <v>0</v>
      </c>
      <c r="N1850" s="1423">
        <f t="shared" ref="N1850:N1859" ca="1" si="2700">IF(M1874="n/a",M1850,IFERROR(IF((OFFSET($C1850,0,$A1850))&lt;0,
MIN(0,M1850-(OFFSET($C1850,0,$A1850)/(OFFSET($C1845,-$A1849,$A1850)))),
MAX(0,M1850-(OFFSET($C1850,0,$A1850)/(OFFSET($C1845,-$A1849,$A1850))))),0))</f>
        <v>0</v>
      </c>
      <c r="O1850" s="1423">
        <f t="shared" ref="O1850:O1860" ca="1" si="2701">IF(N1874="n/a",N1850,IFERROR(IF((OFFSET($C1850,0,$A1850))&lt;0,
MIN(0,N1850-(OFFSET($C1850,0,$A1850)/(OFFSET($C1845,-$A1849,$A1850)))),
MAX(0,N1850-(OFFSET($C1850,0,$A1850)/(OFFSET($C1845,-$A1849,$A1850))))),0))</f>
        <v>0</v>
      </c>
      <c r="P1850" s="1423">
        <f t="shared" ref="P1850:P1861" ca="1" si="2702">IF(O1874="n/a",O1850,IFERROR(IF((OFFSET($C1850,0,$A1850))&lt;0,
MIN(0,O1850-(OFFSET($C1850,0,$A1850)/(OFFSET($C1845,-$A1849,$A1850)))),
MAX(0,O1850-(OFFSET($C1850,0,$A1850)/(OFFSET($C1845,-$A1849,$A1850))))),0))</f>
        <v>0</v>
      </c>
      <c r="Q1850" s="1423">
        <f t="shared" ref="Q1850:Q1862" ca="1" si="2703">IF(P1874="n/a",P1850,IFERROR(IF((OFFSET($C1850,0,$A1850))&lt;0,
MIN(0,P1850-(OFFSET($C1850,0,$A1850)/(OFFSET($C1845,-$A1849,$A1850)))),
MAX(0,P1850-(OFFSET($C1850,0,$A1850)/(OFFSET($C1845,-$A1849,$A1850))))),0))</f>
        <v>0</v>
      </c>
      <c r="R1850" s="1423">
        <f t="shared" ref="R1850:R1863" ca="1" si="2704">IF(Q1874="n/a",Q1850,IFERROR(IF((OFFSET($C1850,0,$A1850))&lt;0,
MIN(0,Q1850-(OFFSET($C1850,0,$A1850)/(OFFSET($C1845,-$A1849,$A1850)))),
MAX(0,Q1850-(OFFSET($C1850,0,$A1850)/(OFFSET($C1845,-$A1849,$A1850))))),0))</f>
        <v>0</v>
      </c>
      <c r="S1850" s="1423">
        <f t="shared" ref="S1850:S1864" ca="1" si="2705">IF(R1874="n/a",R1850,IFERROR(IF((OFFSET($C1850,0,$A1850))&lt;0,
MIN(0,R1850-(OFFSET($C1850,0,$A1850)/(OFFSET($C1845,-$A1849,$A1850)))),
MAX(0,R1850-(OFFSET($C1850,0,$A1850)/(OFFSET($C1845,-$A1849,$A1850))))),0))</f>
        <v>0</v>
      </c>
      <c r="T1850" s="1423">
        <f t="shared" ref="T1850:T1865" ca="1" si="2706">IF(S1874="n/a",S1850,IFERROR(IF((OFFSET($C1850,0,$A1850))&lt;0,
MIN(0,S1850-(OFFSET($C1850,0,$A1850)/(OFFSET($C1845,-$A1849,$A1850)))),
MAX(0,S1850-(OFFSET($C1850,0,$A1850)/(OFFSET($C1845,-$A1849,$A1850))))),0))</f>
        <v>0</v>
      </c>
      <c r="U1850" s="1423">
        <f t="shared" ref="U1850:U1866" ca="1" si="2707">IF(T1874="n/a",T1850,IFERROR(IF((OFFSET($C1850,0,$A1850))&lt;0,
MIN(0,T1850-(OFFSET($C1850,0,$A1850)/(OFFSET($C1845,-$A1849,$A1850)))),
MAX(0,T1850-(OFFSET($C1850,0,$A1850)/(OFFSET($C1845,-$A1849,$A1850))))),0))</f>
        <v>0</v>
      </c>
      <c r="V1850" s="1423">
        <f t="shared" ref="V1850:V1867" ca="1" si="2708">IF(U1874="n/a",U1850,IFERROR(IF((OFFSET($C1850,0,$A1850))&lt;0,
MIN(0,U1850-(OFFSET($C1850,0,$A1850)/(OFFSET($C1845,-$A1849,$A1850)))),
MAX(0,U1850-(OFFSET($C1850,0,$A1850)/(OFFSET($C1845,-$A1849,$A1850))))),0))</f>
        <v>0</v>
      </c>
      <c r="W1850" s="1423">
        <f t="shared" ref="W1850:W1868" ca="1" si="2709">IF(V1874="n/a",V1850,IFERROR(IF((OFFSET($C1850,0,$A1850))&lt;0,
MIN(0,V1850-(OFFSET($C1850,0,$A1850)/(OFFSET($C1845,-$A1849,$A1850)))),
MAX(0,V1850-(OFFSET($C1850,0,$A1850)/(OFFSET($C1845,-$A1849,$A1850))))),0))</f>
        <v>0</v>
      </c>
      <c r="X1850" s="152"/>
      <c r="Y1850" s="152"/>
      <c r="Z1850" s="152"/>
      <c r="AA1850" s="152"/>
      <c r="AB1850" s="152"/>
    </row>
    <row r="1851" spans="1:28" hidden="1" outlineLevel="1">
      <c r="A1851" s="199">
        <f t="shared" ref="A1851:A1870" si="2710">A1850+1</f>
        <v>1</v>
      </c>
      <c r="B1851" s="190" t="str">
        <f t="shared" ref="B1851:B1870" ca="1" si="2711">"Depreciated Net Capex "&amp;OFFSET($C$6,0,A1851)</f>
        <v>Depreciated Net Capex 2016-17</v>
      </c>
      <c r="C1851" s="1424"/>
      <c r="D1851" s="1425">
        <f>D1845</f>
        <v>0</v>
      </c>
      <c r="E1851" s="1423">
        <f ca="1">IF(D1875="n/a",D1851,IFERROR(IF((OFFSET($C1851,0,$A1851))&lt;0,
MIN(0,D1851-(OFFSET($C1851,0,$A1851)/(OFFSET($C1846,-$A1850,$A1851)))),
MAX(0,D1851-(OFFSET($C1851,0,$A1851)/(OFFSET($C1846,-$A1850,$A1851))))),0))</f>
        <v>0</v>
      </c>
      <c r="F1851" s="1423">
        <f t="shared" ca="1" si="2692"/>
        <v>0</v>
      </c>
      <c r="G1851" s="1423">
        <f t="shared" ca="1" si="2693"/>
        <v>0</v>
      </c>
      <c r="H1851" s="1423">
        <f t="shared" ca="1" si="2694"/>
        <v>0</v>
      </c>
      <c r="I1851" s="1423">
        <f t="shared" ca="1" si="2695"/>
        <v>0</v>
      </c>
      <c r="J1851" s="1423">
        <f t="shared" ca="1" si="2696"/>
        <v>0</v>
      </c>
      <c r="K1851" s="1423">
        <f t="shared" ca="1" si="2697"/>
        <v>0</v>
      </c>
      <c r="L1851" s="1423">
        <f t="shared" ca="1" si="2698"/>
        <v>0</v>
      </c>
      <c r="M1851" s="1423">
        <f t="shared" ca="1" si="2699"/>
        <v>0</v>
      </c>
      <c r="N1851" s="1423">
        <f t="shared" ca="1" si="2700"/>
        <v>0</v>
      </c>
      <c r="O1851" s="1423">
        <f t="shared" ca="1" si="2701"/>
        <v>0</v>
      </c>
      <c r="P1851" s="1423">
        <f t="shared" ca="1" si="2702"/>
        <v>0</v>
      </c>
      <c r="Q1851" s="1423">
        <f t="shared" ca="1" si="2703"/>
        <v>0</v>
      </c>
      <c r="R1851" s="1423">
        <f t="shared" ca="1" si="2704"/>
        <v>0</v>
      </c>
      <c r="S1851" s="1423">
        <f t="shared" ca="1" si="2705"/>
        <v>0</v>
      </c>
      <c r="T1851" s="1423">
        <f t="shared" ca="1" si="2706"/>
        <v>0</v>
      </c>
      <c r="U1851" s="1423">
        <f t="shared" ca="1" si="2707"/>
        <v>0</v>
      </c>
      <c r="V1851" s="1423">
        <f t="shared" ca="1" si="2708"/>
        <v>0</v>
      </c>
      <c r="W1851" s="1423">
        <f t="shared" ca="1" si="2709"/>
        <v>0</v>
      </c>
      <c r="X1851" s="152"/>
      <c r="Y1851" s="152"/>
      <c r="Z1851" s="152"/>
      <c r="AA1851" s="152"/>
      <c r="AB1851" s="152"/>
    </row>
    <row r="1852" spans="1:28" hidden="1" outlineLevel="1">
      <c r="A1852" s="199">
        <f t="shared" si="2710"/>
        <v>2</v>
      </c>
      <c r="B1852" s="190" t="str">
        <f t="shared" ca="1" si="2711"/>
        <v>Depreciated Net Capex 2017-18</v>
      </c>
      <c r="C1852" s="1426"/>
      <c r="D1852" s="1427"/>
      <c r="E1852" s="1425">
        <f>E1845</f>
        <v>0</v>
      </c>
      <c r="F1852" s="1423">
        <f ca="1">IF(E1876="n/a",E1852,IFERROR(IF((OFFSET($C1852,0,$A1852))&lt;0,
MIN(0,E1852-(OFFSET($C1852,0,$A1852)/(OFFSET($C1847,-$A1851,$A1852)))),
MAX(0,E1852-(OFFSET($C1852,0,$A1852)/(OFFSET($C1847,-$A1851,$A1852))))),0))</f>
        <v>0</v>
      </c>
      <c r="G1852" s="1423">
        <f t="shared" ca="1" si="2693"/>
        <v>0</v>
      </c>
      <c r="H1852" s="1423">
        <f t="shared" ca="1" si="2694"/>
        <v>0</v>
      </c>
      <c r="I1852" s="1423">
        <f t="shared" ca="1" si="2695"/>
        <v>0</v>
      </c>
      <c r="J1852" s="1423">
        <f t="shared" ca="1" si="2696"/>
        <v>0</v>
      </c>
      <c r="K1852" s="1423">
        <f t="shared" ca="1" si="2697"/>
        <v>0</v>
      </c>
      <c r="L1852" s="1423">
        <f t="shared" ca="1" si="2698"/>
        <v>0</v>
      </c>
      <c r="M1852" s="1423">
        <f t="shared" ca="1" si="2699"/>
        <v>0</v>
      </c>
      <c r="N1852" s="1423">
        <f t="shared" ca="1" si="2700"/>
        <v>0</v>
      </c>
      <c r="O1852" s="1423">
        <f t="shared" ca="1" si="2701"/>
        <v>0</v>
      </c>
      <c r="P1852" s="1423">
        <f t="shared" ca="1" si="2702"/>
        <v>0</v>
      </c>
      <c r="Q1852" s="1423">
        <f t="shared" ca="1" si="2703"/>
        <v>0</v>
      </c>
      <c r="R1852" s="1423">
        <f t="shared" ca="1" si="2704"/>
        <v>0</v>
      </c>
      <c r="S1852" s="1423">
        <f t="shared" ca="1" si="2705"/>
        <v>0</v>
      </c>
      <c r="T1852" s="1423">
        <f t="shared" ca="1" si="2706"/>
        <v>0</v>
      </c>
      <c r="U1852" s="1423">
        <f t="shared" ca="1" si="2707"/>
        <v>0</v>
      </c>
      <c r="V1852" s="1423">
        <f t="shared" ca="1" si="2708"/>
        <v>0</v>
      </c>
      <c r="W1852" s="1423">
        <f t="shared" ca="1" si="2709"/>
        <v>0</v>
      </c>
      <c r="X1852" s="202"/>
      <c r="Y1852" s="152"/>
      <c r="Z1852" s="152"/>
      <c r="AA1852" s="152"/>
      <c r="AB1852" s="152"/>
    </row>
    <row r="1853" spans="1:28" hidden="1" outlineLevel="1">
      <c r="A1853" s="199">
        <f t="shared" si="2710"/>
        <v>3</v>
      </c>
      <c r="B1853" s="190" t="str">
        <f t="shared" ca="1" si="2711"/>
        <v>Depreciated Net Capex 2018-19</v>
      </c>
      <c r="C1853" s="1426"/>
      <c r="D1853" s="1426"/>
      <c r="E1853" s="1427"/>
      <c r="F1853" s="1428">
        <f>F1845</f>
        <v>0</v>
      </c>
      <c r="G1853" s="1423">
        <f ca="1">IF(F1877="n/a",F1853,IFERROR(IF((OFFSET($C1853,0,$A1853))&lt;0,
MIN(0,F1853-(OFFSET($C1853,0,$A1853)/(OFFSET($C1848,-$A1852,$A1853)))),
MAX(0,F1853-(OFFSET($C1853,0,$A1853)/(OFFSET($C1848,-$A1852,$A1853))))),0))</f>
        <v>0</v>
      </c>
      <c r="H1853" s="1423">
        <f t="shared" ca="1" si="2694"/>
        <v>0</v>
      </c>
      <c r="I1853" s="1423">
        <f t="shared" ca="1" si="2695"/>
        <v>0</v>
      </c>
      <c r="J1853" s="1423">
        <f t="shared" ca="1" si="2696"/>
        <v>0</v>
      </c>
      <c r="K1853" s="1423">
        <f t="shared" ca="1" si="2697"/>
        <v>0</v>
      </c>
      <c r="L1853" s="1423">
        <f t="shared" ca="1" si="2698"/>
        <v>0</v>
      </c>
      <c r="M1853" s="1423">
        <f t="shared" ca="1" si="2699"/>
        <v>0</v>
      </c>
      <c r="N1853" s="1423">
        <f t="shared" ca="1" si="2700"/>
        <v>0</v>
      </c>
      <c r="O1853" s="1423">
        <f t="shared" ca="1" si="2701"/>
        <v>0</v>
      </c>
      <c r="P1853" s="1423">
        <f t="shared" ca="1" si="2702"/>
        <v>0</v>
      </c>
      <c r="Q1853" s="1423">
        <f t="shared" ca="1" si="2703"/>
        <v>0</v>
      </c>
      <c r="R1853" s="1423">
        <f t="shared" ca="1" si="2704"/>
        <v>0</v>
      </c>
      <c r="S1853" s="1423">
        <f t="shared" ca="1" si="2705"/>
        <v>0</v>
      </c>
      <c r="T1853" s="1423">
        <f t="shared" ca="1" si="2706"/>
        <v>0</v>
      </c>
      <c r="U1853" s="1423">
        <f t="shared" ca="1" si="2707"/>
        <v>0</v>
      </c>
      <c r="V1853" s="1423">
        <f t="shared" ca="1" si="2708"/>
        <v>0</v>
      </c>
      <c r="W1853" s="1423">
        <f t="shared" ca="1" si="2709"/>
        <v>0</v>
      </c>
      <c r="X1853" s="202"/>
      <c r="Y1853" s="202"/>
      <c r="Z1853" s="152"/>
      <c r="AA1853" s="152"/>
      <c r="AB1853" s="152"/>
    </row>
    <row r="1854" spans="1:28" hidden="1" outlineLevel="1">
      <c r="A1854" s="199">
        <f t="shared" si="2710"/>
        <v>4</v>
      </c>
      <c r="B1854" s="190" t="str">
        <f t="shared" ca="1" si="2711"/>
        <v>Depreciated Net Capex 2019-20</v>
      </c>
      <c r="C1854" s="1426"/>
      <c r="D1854" s="1426"/>
      <c r="E1854" s="1426"/>
      <c r="F1854" s="1427"/>
      <c r="G1854" s="1428">
        <f>G1845</f>
        <v>0</v>
      </c>
      <c r="H1854" s="1423">
        <f ca="1">IF(G1878="n/a",G1854,IFERROR(IF((OFFSET($C1854,0,$A1854))&lt;0,
MIN(0,G1854-(OFFSET($C1854,0,$A1854)/(OFFSET($C1849,-$A1853,$A1854)))),
MAX(0,G1854-(OFFSET($C1854,0,$A1854)/(OFFSET($C1849,-$A1853,$A1854))))),0))</f>
        <v>0</v>
      </c>
      <c r="I1854" s="1423">
        <f t="shared" ca="1" si="2695"/>
        <v>0</v>
      </c>
      <c r="J1854" s="1423">
        <f t="shared" ca="1" si="2696"/>
        <v>0</v>
      </c>
      <c r="K1854" s="1423">
        <f t="shared" ca="1" si="2697"/>
        <v>0</v>
      </c>
      <c r="L1854" s="1423">
        <f t="shared" ca="1" si="2698"/>
        <v>0</v>
      </c>
      <c r="M1854" s="1423">
        <f t="shared" ca="1" si="2699"/>
        <v>0</v>
      </c>
      <c r="N1854" s="1423">
        <f t="shared" ca="1" si="2700"/>
        <v>0</v>
      </c>
      <c r="O1854" s="1423">
        <f t="shared" ca="1" si="2701"/>
        <v>0</v>
      </c>
      <c r="P1854" s="1423">
        <f t="shared" ca="1" si="2702"/>
        <v>0</v>
      </c>
      <c r="Q1854" s="1423">
        <f t="shared" ca="1" si="2703"/>
        <v>0</v>
      </c>
      <c r="R1854" s="1423">
        <f t="shared" ca="1" si="2704"/>
        <v>0</v>
      </c>
      <c r="S1854" s="1423">
        <f t="shared" ca="1" si="2705"/>
        <v>0</v>
      </c>
      <c r="T1854" s="1423">
        <f t="shared" ca="1" si="2706"/>
        <v>0</v>
      </c>
      <c r="U1854" s="1423">
        <f t="shared" ca="1" si="2707"/>
        <v>0</v>
      </c>
      <c r="V1854" s="1423">
        <f t="shared" ca="1" si="2708"/>
        <v>0</v>
      </c>
      <c r="W1854" s="1423">
        <f t="shared" ca="1" si="2709"/>
        <v>0</v>
      </c>
      <c r="X1854" s="202"/>
      <c r="Y1854" s="202"/>
      <c r="Z1854" s="202"/>
      <c r="AA1854" s="152"/>
      <c r="AB1854" s="152"/>
    </row>
    <row r="1855" spans="1:28" hidden="1" outlineLevel="1">
      <c r="A1855" s="199">
        <f t="shared" si="2710"/>
        <v>5</v>
      </c>
      <c r="B1855" s="190" t="str">
        <f t="shared" ca="1" si="2711"/>
        <v>Depreciated Net Capex 2020-21</v>
      </c>
      <c r="C1855" s="1426"/>
      <c r="D1855" s="1426"/>
      <c r="E1855" s="1426"/>
      <c r="F1855" s="1426"/>
      <c r="G1855" s="1427"/>
      <c r="H1855" s="1428">
        <f>H1845</f>
        <v>0</v>
      </c>
      <c r="I1855" s="1423">
        <f ca="1">IF(H1879="n/a",H1855,IFERROR(IF((OFFSET($C1855,0,$A1855))&lt;0,
MIN(0,H1855-(OFFSET($C1855,0,$A1855)/(OFFSET($C1850,-$A1854,$A1855)))),
MAX(0,H1855-(OFFSET($C1855,0,$A1855)/(OFFSET($C1850,-$A1854,$A1855))))),0))</f>
        <v>0</v>
      </c>
      <c r="J1855" s="1423">
        <f t="shared" ca="1" si="2696"/>
        <v>0</v>
      </c>
      <c r="K1855" s="1423">
        <f t="shared" ca="1" si="2697"/>
        <v>0</v>
      </c>
      <c r="L1855" s="1423">
        <f t="shared" ca="1" si="2698"/>
        <v>0</v>
      </c>
      <c r="M1855" s="1423">
        <f t="shared" ca="1" si="2699"/>
        <v>0</v>
      </c>
      <c r="N1855" s="1423">
        <f t="shared" ca="1" si="2700"/>
        <v>0</v>
      </c>
      <c r="O1855" s="1423">
        <f t="shared" ca="1" si="2701"/>
        <v>0</v>
      </c>
      <c r="P1855" s="1423">
        <f t="shared" ca="1" si="2702"/>
        <v>0</v>
      </c>
      <c r="Q1855" s="1423">
        <f t="shared" ca="1" si="2703"/>
        <v>0</v>
      </c>
      <c r="R1855" s="1423">
        <f t="shared" ca="1" si="2704"/>
        <v>0</v>
      </c>
      <c r="S1855" s="1423">
        <f t="shared" ca="1" si="2705"/>
        <v>0</v>
      </c>
      <c r="T1855" s="1423">
        <f t="shared" ca="1" si="2706"/>
        <v>0</v>
      </c>
      <c r="U1855" s="1423">
        <f t="shared" ca="1" si="2707"/>
        <v>0</v>
      </c>
      <c r="V1855" s="1423">
        <f t="shared" ca="1" si="2708"/>
        <v>0</v>
      </c>
      <c r="W1855" s="1423">
        <f t="shared" ca="1" si="2709"/>
        <v>0</v>
      </c>
      <c r="X1855" s="202"/>
      <c r="Y1855" s="202"/>
      <c r="Z1855" s="202"/>
      <c r="AA1855" s="152"/>
      <c r="AB1855" s="152"/>
    </row>
    <row r="1856" spans="1:28" hidden="1" outlineLevel="1">
      <c r="A1856" s="199">
        <f t="shared" si="2710"/>
        <v>6</v>
      </c>
      <c r="B1856" s="190" t="str">
        <f t="shared" ca="1" si="2711"/>
        <v>Depreciated Net Capex 2021-22</v>
      </c>
      <c r="C1856" s="1426"/>
      <c r="D1856" s="1426"/>
      <c r="E1856" s="1426"/>
      <c r="F1856" s="1426"/>
      <c r="G1856" s="1426"/>
      <c r="H1856" s="1427"/>
      <c r="I1856" s="1428">
        <f>I1845</f>
        <v>0</v>
      </c>
      <c r="J1856" s="1423">
        <f ca="1">IF(I1880="n/a",I1856,IFERROR(IF((OFFSET($C1856,0,$A1856))&lt;0,
MIN(0,I1856-(OFFSET($C1856,0,$A1856)/(OFFSET($C1851,-$A1855,$A1856)))),
MAX(0,I1856-(OFFSET($C1856,0,$A1856)/(OFFSET($C1851,-$A1855,$A1856))))),0))</f>
        <v>0</v>
      </c>
      <c r="K1856" s="1423">
        <f t="shared" ca="1" si="2697"/>
        <v>0</v>
      </c>
      <c r="L1856" s="1423">
        <f t="shared" ca="1" si="2698"/>
        <v>0</v>
      </c>
      <c r="M1856" s="1423">
        <f t="shared" ca="1" si="2699"/>
        <v>0</v>
      </c>
      <c r="N1856" s="1423">
        <f t="shared" ca="1" si="2700"/>
        <v>0</v>
      </c>
      <c r="O1856" s="1423">
        <f t="shared" ca="1" si="2701"/>
        <v>0</v>
      </c>
      <c r="P1856" s="1423">
        <f t="shared" ca="1" si="2702"/>
        <v>0</v>
      </c>
      <c r="Q1856" s="1423">
        <f t="shared" ca="1" si="2703"/>
        <v>0</v>
      </c>
      <c r="R1856" s="1423">
        <f t="shared" ca="1" si="2704"/>
        <v>0</v>
      </c>
      <c r="S1856" s="1423">
        <f t="shared" ca="1" si="2705"/>
        <v>0</v>
      </c>
      <c r="T1856" s="1423">
        <f t="shared" ca="1" si="2706"/>
        <v>0</v>
      </c>
      <c r="U1856" s="1423">
        <f t="shared" ca="1" si="2707"/>
        <v>0</v>
      </c>
      <c r="V1856" s="1423">
        <f t="shared" ca="1" si="2708"/>
        <v>0</v>
      </c>
      <c r="W1856" s="1423">
        <f t="shared" ca="1" si="2709"/>
        <v>0</v>
      </c>
      <c r="X1856" s="202"/>
      <c r="Y1856" s="202"/>
      <c r="Z1856" s="202"/>
      <c r="AA1856" s="152"/>
      <c r="AB1856" s="152"/>
    </row>
    <row r="1857" spans="1:28" hidden="1" outlineLevel="1">
      <c r="A1857" s="199">
        <f t="shared" si="2710"/>
        <v>7</v>
      </c>
      <c r="B1857" s="190" t="str">
        <f t="shared" ca="1" si="2711"/>
        <v>Depreciated Net Capex 2022-23</v>
      </c>
      <c r="C1857" s="1426"/>
      <c r="D1857" s="1426"/>
      <c r="E1857" s="1426"/>
      <c r="F1857" s="1426"/>
      <c r="G1857" s="1426"/>
      <c r="H1857" s="1426"/>
      <c r="I1857" s="1427"/>
      <c r="J1857" s="1428">
        <f>J1845</f>
        <v>0</v>
      </c>
      <c r="K1857" s="1423">
        <f ca="1">IF(J1881="n/a",J1857,IFERROR(IF((OFFSET($C1857,0,$A1857))&lt;0,
MIN(0,J1857-(OFFSET($C1857,0,$A1857)/(OFFSET($C1852,-$A1856,$A1857)))),
MAX(0,J1857-(OFFSET($C1857,0,$A1857)/(OFFSET($C1852,-$A1856,$A1857))))),0))</f>
        <v>0</v>
      </c>
      <c r="L1857" s="1423">
        <f t="shared" ca="1" si="2698"/>
        <v>0</v>
      </c>
      <c r="M1857" s="1423">
        <f t="shared" ca="1" si="2699"/>
        <v>0</v>
      </c>
      <c r="N1857" s="1423">
        <f t="shared" ca="1" si="2700"/>
        <v>0</v>
      </c>
      <c r="O1857" s="1423">
        <f t="shared" ca="1" si="2701"/>
        <v>0</v>
      </c>
      <c r="P1857" s="1423">
        <f t="shared" ca="1" si="2702"/>
        <v>0</v>
      </c>
      <c r="Q1857" s="1423">
        <f t="shared" ca="1" si="2703"/>
        <v>0</v>
      </c>
      <c r="R1857" s="1423">
        <f t="shared" ca="1" si="2704"/>
        <v>0</v>
      </c>
      <c r="S1857" s="1423">
        <f t="shared" ca="1" si="2705"/>
        <v>0</v>
      </c>
      <c r="T1857" s="1423">
        <f t="shared" ca="1" si="2706"/>
        <v>0</v>
      </c>
      <c r="U1857" s="1423">
        <f t="shared" ca="1" si="2707"/>
        <v>0</v>
      </c>
      <c r="V1857" s="1423">
        <f t="shared" ca="1" si="2708"/>
        <v>0</v>
      </c>
      <c r="W1857" s="1423">
        <f t="shared" ca="1" si="2709"/>
        <v>0</v>
      </c>
      <c r="X1857" s="202"/>
      <c r="Y1857" s="202"/>
      <c r="Z1857" s="202"/>
      <c r="AA1857" s="152"/>
      <c r="AB1857" s="152"/>
    </row>
    <row r="1858" spans="1:28" hidden="1" outlineLevel="1">
      <c r="A1858" s="199">
        <f t="shared" si="2710"/>
        <v>8</v>
      </c>
      <c r="B1858" s="190" t="str">
        <f t="shared" ca="1" si="2711"/>
        <v>Depreciated Net Capex 2023-24</v>
      </c>
      <c r="C1858" s="1426"/>
      <c r="D1858" s="1426"/>
      <c r="E1858" s="1426"/>
      <c r="F1858" s="1426"/>
      <c r="G1858" s="1426"/>
      <c r="H1858" s="1426"/>
      <c r="I1858" s="1426"/>
      <c r="J1858" s="1427"/>
      <c r="K1858" s="1428">
        <f>K1845</f>
        <v>0</v>
      </c>
      <c r="L1858" s="1423">
        <f ca="1">IF(K1882="n/a",K1858,IFERROR(IF((OFFSET($C1858,0,$A1858))&lt;0,
MIN(0,K1858-(OFFSET($C1858,0,$A1858)/(OFFSET($C1853,-$A1857,$A1858)))),
MAX(0,K1858-(OFFSET($C1858,0,$A1858)/(OFFSET($C1853,-$A1857,$A1858))))),0))</f>
        <v>0</v>
      </c>
      <c r="M1858" s="1423">
        <f t="shared" ca="1" si="2699"/>
        <v>0</v>
      </c>
      <c r="N1858" s="1423">
        <f t="shared" ca="1" si="2700"/>
        <v>0</v>
      </c>
      <c r="O1858" s="1423">
        <f t="shared" ca="1" si="2701"/>
        <v>0</v>
      </c>
      <c r="P1858" s="1423">
        <f t="shared" ca="1" si="2702"/>
        <v>0</v>
      </c>
      <c r="Q1858" s="1423">
        <f t="shared" ca="1" si="2703"/>
        <v>0</v>
      </c>
      <c r="R1858" s="1423">
        <f t="shared" ca="1" si="2704"/>
        <v>0</v>
      </c>
      <c r="S1858" s="1423">
        <f t="shared" ca="1" si="2705"/>
        <v>0</v>
      </c>
      <c r="T1858" s="1423">
        <f t="shared" ca="1" si="2706"/>
        <v>0</v>
      </c>
      <c r="U1858" s="1423">
        <f t="shared" ca="1" si="2707"/>
        <v>0</v>
      </c>
      <c r="V1858" s="1423">
        <f t="shared" ca="1" si="2708"/>
        <v>0</v>
      </c>
      <c r="W1858" s="1423">
        <f t="shared" ca="1" si="2709"/>
        <v>0</v>
      </c>
      <c r="X1858" s="202"/>
      <c r="Y1858" s="202"/>
      <c r="Z1858" s="202"/>
      <c r="AA1858" s="152"/>
      <c r="AB1858" s="152"/>
    </row>
    <row r="1859" spans="1:28" hidden="1" outlineLevel="1">
      <c r="A1859" s="199">
        <f t="shared" si="2710"/>
        <v>9</v>
      </c>
      <c r="B1859" s="190" t="str">
        <f t="shared" ca="1" si="2711"/>
        <v>Depreciated Net Capex 2024-25</v>
      </c>
      <c r="C1859" s="1426"/>
      <c r="D1859" s="1426"/>
      <c r="E1859" s="1426"/>
      <c r="F1859" s="1426"/>
      <c r="G1859" s="1426"/>
      <c r="H1859" s="1426"/>
      <c r="I1859" s="1426"/>
      <c r="J1859" s="1426"/>
      <c r="K1859" s="1427"/>
      <c r="L1859" s="1428">
        <f>L1845</f>
        <v>0</v>
      </c>
      <c r="M1859" s="1423">
        <f ca="1">IF(L1883="n/a",L1859,IFERROR(IF((OFFSET($C1859,0,$A1859))&lt;0,
MIN(0,L1859-(OFFSET($C1859,0,$A1859)/(OFFSET($C1854,-$A1858,$A1859)))),
MAX(0,L1859-(OFFSET($C1859,0,$A1859)/(OFFSET($C1854,-$A1858,$A1859))))),0))</f>
        <v>0</v>
      </c>
      <c r="N1859" s="1423">
        <f t="shared" ca="1" si="2700"/>
        <v>0</v>
      </c>
      <c r="O1859" s="1423">
        <f t="shared" ca="1" si="2701"/>
        <v>0</v>
      </c>
      <c r="P1859" s="1423">
        <f t="shared" ca="1" si="2702"/>
        <v>0</v>
      </c>
      <c r="Q1859" s="1423">
        <f t="shared" ca="1" si="2703"/>
        <v>0</v>
      </c>
      <c r="R1859" s="1423">
        <f t="shared" ca="1" si="2704"/>
        <v>0</v>
      </c>
      <c r="S1859" s="1423">
        <f t="shared" ca="1" si="2705"/>
        <v>0</v>
      </c>
      <c r="T1859" s="1423">
        <f t="shared" ca="1" si="2706"/>
        <v>0</v>
      </c>
      <c r="U1859" s="1423">
        <f t="shared" ca="1" si="2707"/>
        <v>0</v>
      </c>
      <c r="V1859" s="1423">
        <f t="shared" ca="1" si="2708"/>
        <v>0</v>
      </c>
      <c r="W1859" s="1423">
        <f t="shared" ca="1" si="2709"/>
        <v>0</v>
      </c>
      <c r="X1859" s="202"/>
      <c r="Y1859" s="202"/>
      <c r="Z1859" s="202"/>
      <c r="AA1859" s="152"/>
      <c r="AB1859" s="152"/>
    </row>
    <row r="1860" spans="1:28" hidden="1" outlineLevel="1">
      <c r="A1860" s="199">
        <f t="shared" si="2710"/>
        <v>10</v>
      </c>
      <c r="B1860" s="190" t="str">
        <f t="shared" ca="1" si="2711"/>
        <v>Depreciated Net Capex 2025-26</v>
      </c>
      <c r="C1860" s="1426"/>
      <c r="D1860" s="1426"/>
      <c r="E1860" s="1426"/>
      <c r="F1860" s="1426"/>
      <c r="G1860" s="1426"/>
      <c r="H1860" s="1426"/>
      <c r="I1860" s="1426"/>
      <c r="J1860" s="1426"/>
      <c r="K1860" s="1426"/>
      <c r="L1860" s="1427"/>
      <c r="M1860" s="1428">
        <f>M1845</f>
        <v>0</v>
      </c>
      <c r="N1860" s="1423">
        <f ca="1">IF(M1884="n/a",M1860,IFERROR(IF((OFFSET($C1860,0,$A1860))&lt;0,
MIN(0,M1860-(OFFSET($C1860,0,$A1860)/(OFFSET($C1855,-$A1859,$A1860)))),
MAX(0,M1860-(OFFSET($C1860,0,$A1860)/(OFFSET($C1855,-$A1859,$A1860))))),0))</f>
        <v>0</v>
      </c>
      <c r="O1860" s="1423">
        <f t="shared" ca="1" si="2701"/>
        <v>0</v>
      </c>
      <c r="P1860" s="1423">
        <f t="shared" ca="1" si="2702"/>
        <v>0</v>
      </c>
      <c r="Q1860" s="1423">
        <f t="shared" ca="1" si="2703"/>
        <v>0</v>
      </c>
      <c r="R1860" s="1423">
        <f t="shared" ca="1" si="2704"/>
        <v>0</v>
      </c>
      <c r="S1860" s="1423">
        <f t="shared" ca="1" si="2705"/>
        <v>0</v>
      </c>
      <c r="T1860" s="1423">
        <f t="shared" ca="1" si="2706"/>
        <v>0</v>
      </c>
      <c r="U1860" s="1423">
        <f t="shared" ca="1" si="2707"/>
        <v>0</v>
      </c>
      <c r="V1860" s="1423">
        <f t="shared" ca="1" si="2708"/>
        <v>0</v>
      </c>
      <c r="W1860" s="1423">
        <f t="shared" ca="1" si="2709"/>
        <v>0</v>
      </c>
      <c r="X1860" s="202"/>
      <c r="Y1860" s="202"/>
      <c r="Z1860" s="202"/>
      <c r="AA1860" s="152"/>
      <c r="AB1860" s="152"/>
    </row>
    <row r="1861" spans="1:28" hidden="1" outlineLevel="1">
      <c r="A1861" s="199">
        <f t="shared" si="2710"/>
        <v>11</v>
      </c>
      <c r="B1861" s="190" t="str">
        <f t="shared" ca="1" si="2711"/>
        <v>Depreciated Net Capex 2026-27</v>
      </c>
      <c r="C1861" s="1426"/>
      <c r="D1861" s="1426"/>
      <c r="E1861" s="1426"/>
      <c r="F1861" s="1426"/>
      <c r="G1861" s="1426"/>
      <c r="H1861" s="1426"/>
      <c r="I1861" s="1426"/>
      <c r="J1861" s="1426"/>
      <c r="K1861" s="1426"/>
      <c r="L1861" s="1426"/>
      <c r="M1861" s="1427"/>
      <c r="N1861" s="1428">
        <f>N1845</f>
        <v>0</v>
      </c>
      <c r="O1861" s="1423">
        <f ca="1">IF(N1885="n/a",N1861,IFERROR(IF((OFFSET($C1861,0,$A1861))&lt;0,
MIN(0,N1861-(OFFSET($C1861,0,$A1861)/(OFFSET($C1856,-$A1860,$A1861)))),
MAX(0,N1861-(OFFSET($C1861,0,$A1861)/(OFFSET($C1856,-$A1860,$A1861))))),0))</f>
        <v>0</v>
      </c>
      <c r="P1861" s="1423">
        <f t="shared" ca="1" si="2702"/>
        <v>0</v>
      </c>
      <c r="Q1861" s="1423">
        <f t="shared" ca="1" si="2703"/>
        <v>0</v>
      </c>
      <c r="R1861" s="1423">
        <f t="shared" ca="1" si="2704"/>
        <v>0</v>
      </c>
      <c r="S1861" s="1423">
        <f t="shared" ca="1" si="2705"/>
        <v>0</v>
      </c>
      <c r="T1861" s="1423">
        <f t="shared" ca="1" si="2706"/>
        <v>0</v>
      </c>
      <c r="U1861" s="1423">
        <f t="shared" ca="1" si="2707"/>
        <v>0</v>
      </c>
      <c r="V1861" s="1423">
        <f t="shared" ca="1" si="2708"/>
        <v>0</v>
      </c>
      <c r="W1861" s="1423">
        <f t="shared" ca="1" si="2709"/>
        <v>0</v>
      </c>
      <c r="X1861" s="202"/>
      <c r="Y1861" s="202"/>
      <c r="Z1861" s="202"/>
      <c r="AA1861" s="152"/>
      <c r="AB1861" s="152"/>
    </row>
    <row r="1862" spans="1:28" hidden="1" outlineLevel="1">
      <c r="A1862" s="199">
        <f t="shared" si="2710"/>
        <v>12</v>
      </c>
      <c r="B1862" s="190" t="str">
        <f t="shared" ca="1" si="2711"/>
        <v>Depreciated Net Capex 2027-28</v>
      </c>
      <c r="C1862" s="1426"/>
      <c r="D1862" s="1426"/>
      <c r="E1862" s="1426"/>
      <c r="F1862" s="1426"/>
      <c r="G1862" s="1426"/>
      <c r="H1862" s="1426"/>
      <c r="I1862" s="1426"/>
      <c r="J1862" s="1426"/>
      <c r="K1862" s="1426"/>
      <c r="L1862" s="1426"/>
      <c r="M1862" s="1426"/>
      <c r="N1862" s="1427"/>
      <c r="O1862" s="1428">
        <f>O1845</f>
        <v>0</v>
      </c>
      <c r="P1862" s="1423">
        <f ca="1">IF(O1886="n/a",O1862,IFERROR(IF((OFFSET($C1862,0,$A1862))&lt;0,
MIN(0,O1862-(OFFSET($C1862,0,$A1862)/(OFFSET($C1857,-$A1861,$A1862)))),
MAX(0,O1862-(OFFSET($C1862,0,$A1862)/(OFFSET($C1857,-$A1861,$A1862))))),0))</f>
        <v>0</v>
      </c>
      <c r="Q1862" s="1423">
        <f t="shared" ca="1" si="2703"/>
        <v>0</v>
      </c>
      <c r="R1862" s="1423">
        <f t="shared" ca="1" si="2704"/>
        <v>0</v>
      </c>
      <c r="S1862" s="1423">
        <f t="shared" ca="1" si="2705"/>
        <v>0</v>
      </c>
      <c r="T1862" s="1423">
        <f t="shared" ca="1" si="2706"/>
        <v>0</v>
      </c>
      <c r="U1862" s="1423">
        <f t="shared" ca="1" si="2707"/>
        <v>0</v>
      </c>
      <c r="V1862" s="1423">
        <f t="shared" ca="1" si="2708"/>
        <v>0</v>
      </c>
      <c r="W1862" s="1423">
        <f t="shared" ca="1" si="2709"/>
        <v>0</v>
      </c>
      <c r="X1862" s="202"/>
      <c r="Y1862" s="202"/>
      <c r="Z1862" s="202"/>
      <c r="AA1862" s="152"/>
      <c r="AB1862" s="152"/>
    </row>
    <row r="1863" spans="1:28" hidden="1" outlineLevel="1">
      <c r="A1863" s="199">
        <f t="shared" si="2710"/>
        <v>13</v>
      </c>
      <c r="B1863" s="190" t="str">
        <f t="shared" ca="1" si="2711"/>
        <v>Depreciated Net Capex 2028-29</v>
      </c>
      <c r="C1863" s="1426"/>
      <c r="D1863" s="1426"/>
      <c r="E1863" s="1426"/>
      <c r="F1863" s="1426"/>
      <c r="G1863" s="1426"/>
      <c r="H1863" s="1426"/>
      <c r="I1863" s="1426"/>
      <c r="J1863" s="1426"/>
      <c r="K1863" s="1426"/>
      <c r="L1863" s="1426"/>
      <c r="M1863" s="1426"/>
      <c r="N1863" s="1426"/>
      <c r="O1863" s="1427"/>
      <c r="P1863" s="1428">
        <f>P1845</f>
        <v>0</v>
      </c>
      <c r="Q1863" s="1423">
        <f ca="1">IF(P1887="n/a",P1863,IFERROR(IF((OFFSET($C1863,0,$A1863))&lt;0,
MIN(0,P1863-(OFFSET($C1863,0,$A1863)/(OFFSET($C1858,-$A1862,$A1863)))),
MAX(0,P1863-(OFFSET($C1863,0,$A1863)/(OFFSET($C1858,-$A1862,$A1863))))),0))</f>
        <v>0</v>
      </c>
      <c r="R1863" s="1423">
        <f t="shared" ca="1" si="2704"/>
        <v>0</v>
      </c>
      <c r="S1863" s="1423">
        <f t="shared" ca="1" si="2705"/>
        <v>0</v>
      </c>
      <c r="T1863" s="1423">
        <f t="shared" ca="1" si="2706"/>
        <v>0</v>
      </c>
      <c r="U1863" s="1423">
        <f t="shared" ca="1" si="2707"/>
        <v>0</v>
      </c>
      <c r="V1863" s="1423">
        <f t="shared" ca="1" si="2708"/>
        <v>0</v>
      </c>
      <c r="W1863" s="1423">
        <f t="shared" ca="1" si="2709"/>
        <v>0</v>
      </c>
      <c r="X1863" s="202"/>
      <c r="Y1863" s="202"/>
      <c r="Z1863" s="202"/>
      <c r="AA1863" s="152"/>
      <c r="AB1863" s="152"/>
    </row>
    <row r="1864" spans="1:28" hidden="1" outlineLevel="1">
      <c r="A1864" s="199">
        <f t="shared" si="2710"/>
        <v>14</v>
      </c>
      <c r="B1864" s="190" t="str">
        <f t="shared" ca="1" si="2711"/>
        <v>Depreciated Net Capex 2029-30</v>
      </c>
      <c r="C1864" s="1426"/>
      <c r="D1864" s="1426"/>
      <c r="E1864" s="1426"/>
      <c r="F1864" s="1426"/>
      <c r="G1864" s="1426"/>
      <c r="H1864" s="1426"/>
      <c r="I1864" s="1426"/>
      <c r="J1864" s="1426"/>
      <c r="K1864" s="1426"/>
      <c r="L1864" s="1426"/>
      <c r="M1864" s="1426"/>
      <c r="N1864" s="1426"/>
      <c r="O1864" s="1426"/>
      <c r="P1864" s="1427"/>
      <c r="Q1864" s="1428">
        <f>Q1845</f>
        <v>0</v>
      </c>
      <c r="R1864" s="1423">
        <f ca="1">IF(Q1888="n/a",Q1864,IFERROR(IF((OFFSET($C1864,0,$A1864))&lt;0,
MIN(0,Q1864-(OFFSET($C1864,0,$A1864)/(OFFSET($C1859,-$A1863,$A1864)))),
MAX(0,Q1864-(OFFSET($C1864,0,$A1864)/(OFFSET($C1859,-$A1863,$A1864))))),0))</f>
        <v>0</v>
      </c>
      <c r="S1864" s="1423">
        <f t="shared" ca="1" si="2705"/>
        <v>0</v>
      </c>
      <c r="T1864" s="1423">
        <f t="shared" ca="1" si="2706"/>
        <v>0</v>
      </c>
      <c r="U1864" s="1423">
        <f t="shared" ca="1" si="2707"/>
        <v>0</v>
      </c>
      <c r="V1864" s="1423">
        <f t="shared" ca="1" si="2708"/>
        <v>0</v>
      </c>
      <c r="W1864" s="1423">
        <f t="shared" ca="1" si="2709"/>
        <v>0</v>
      </c>
      <c r="X1864" s="202"/>
      <c r="Y1864" s="202"/>
      <c r="Z1864" s="202"/>
      <c r="AA1864" s="152"/>
      <c r="AB1864" s="152"/>
    </row>
    <row r="1865" spans="1:28" hidden="1" outlineLevel="1">
      <c r="A1865" s="199">
        <f t="shared" si="2710"/>
        <v>15</v>
      </c>
      <c r="B1865" s="190" t="str">
        <f t="shared" ca="1" si="2711"/>
        <v>Depreciated Net Capex 2030-31</v>
      </c>
      <c r="C1865" s="1426"/>
      <c r="D1865" s="1426"/>
      <c r="E1865" s="1426"/>
      <c r="F1865" s="1426"/>
      <c r="G1865" s="1426"/>
      <c r="H1865" s="1426"/>
      <c r="I1865" s="1426"/>
      <c r="J1865" s="1426"/>
      <c r="K1865" s="1426"/>
      <c r="L1865" s="1426"/>
      <c r="M1865" s="1426"/>
      <c r="N1865" s="1426"/>
      <c r="O1865" s="1426"/>
      <c r="P1865" s="1426"/>
      <c r="Q1865" s="1427"/>
      <c r="R1865" s="1428">
        <f>R1845</f>
        <v>0</v>
      </c>
      <c r="S1865" s="1423">
        <f ca="1">IF(R1889="n/a",R1865,IFERROR(IF((OFFSET($C1865,0,$A1865))&lt;0,
MIN(0,R1865-(OFFSET($C1865,0,$A1865)/(OFFSET($C1860,-$A1864,$A1865)))),
MAX(0,R1865-(OFFSET($C1865,0,$A1865)/(OFFSET($C1860,-$A1864,$A1865))))),0))</f>
        <v>0</v>
      </c>
      <c r="T1865" s="1423">
        <f t="shared" ca="1" si="2706"/>
        <v>0</v>
      </c>
      <c r="U1865" s="1423">
        <f t="shared" ca="1" si="2707"/>
        <v>0</v>
      </c>
      <c r="V1865" s="1423">
        <f t="shared" ca="1" si="2708"/>
        <v>0</v>
      </c>
      <c r="W1865" s="1423">
        <f t="shared" ca="1" si="2709"/>
        <v>0</v>
      </c>
      <c r="X1865" s="202"/>
      <c r="Y1865" s="202"/>
      <c r="Z1865" s="202"/>
      <c r="AA1865" s="152"/>
      <c r="AB1865" s="152"/>
    </row>
    <row r="1866" spans="1:28" hidden="1" outlineLevel="1">
      <c r="A1866" s="199">
        <f t="shared" si="2710"/>
        <v>16</v>
      </c>
      <c r="B1866" s="190" t="str">
        <f t="shared" ca="1" si="2711"/>
        <v>Depreciated Net Capex 2031-32</v>
      </c>
      <c r="C1866" s="1426"/>
      <c r="D1866" s="1426"/>
      <c r="E1866" s="1426"/>
      <c r="F1866" s="1426"/>
      <c r="G1866" s="1426"/>
      <c r="H1866" s="1426"/>
      <c r="I1866" s="1426"/>
      <c r="J1866" s="1426"/>
      <c r="K1866" s="1426"/>
      <c r="L1866" s="1426"/>
      <c r="M1866" s="1426"/>
      <c r="N1866" s="1426"/>
      <c r="O1866" s="1426"/>
      <c r="P1866" s="1426"/>
      <c r="Q1866" s="1426"/>
      <c r="R1866" s="1427"/>
      <c r="S1866" s="1428">
        <f>S1845</f>
        <v>0</v>
      </c>
      <c r="T1866" s="1423">
        <f ca="1">IF(S1890="n/a",S1866,IFERROR(IF((OFFSET($C1866,0,$A1866))&lt;0,
MIN(0,S1866-(OFFSET($C1866,0,$A1866)/(OFFSET($C1861,-$A1865,$A1866)))),
MAX(0,S1866-(OFFSET($C1866,0,$A1866)/(OFFSET($C1861,-$A1865,$A1866))))),0))</f>
        <v>0</v>
      </c>
      <c r="U1866" s="1423">
        <f t="shared" ca="1" si="2707"/>
        <v>0</v>
      </c>
      <c r="V1866" s="1423">
        <f t="shared" ca="1" si="2708"/>
        <v>0</v>
      </c>
      <c r="W1866" s="1423">
        <f t="shared" ca="1" si="2709"/>
        <v>0</v>
      </c>
      <c r="X1866" s="202"/>
      <c r="Y1866" s="202"/>
      <c r="Z1866" s="202"/>
      <c r="AA1866" s="152"/>
      <c r="AB1866" s="152"/>
    </row>
    <row r="1867" spans="1:28" hidden="1" outlineLevel="1">
      <c r="A1867" s="199">
        <f t="shared" si="2710"/>
        <v>17</v>
      </c>
      <c r="B1867" s="190" t="str">
        <f t="shared" ca="1" si="2711"/>
        <v>Depreciated Net Capex 2032-33</v>
      </c>
      <c r="C1867" s="1426"/>
      <c r="D1867" s="1426"/>
      <c r="E1867" s="1426"/>
      <c r="F1867" s="1426"/>
      <c r="G1867" s="1426"/>
      <c r="H1867" s="1426"/>
      <c r="I1867" s="1426"/>
      <c r="J1867" s="1426"/>
      <c r="K1867" s="1426"/>
      <c r="L1867" s="1426"/>
      <c r="M1867" s="1426"/>
      <c r="N1867" s="1426"/>
      <c r="O1867" s="1426"/>
      <c r="P1867" s="1426"/>
      <c r="Q1867" s="1426"/>
      <c r="R1867" s="1426"/>
      <c r="S1867" s="1427"/>
      <c r="T1867" s="1428">
        <f>T1845</f>
        <v>0</v>
      </c>
      <c r="U1867" s="1423">
        <f ca="1">IF(T1891="n/a",T1867,IFERROR(IF((OFFSET($C1867,0,$A1867))&lt;0,
MIN(0,T1867-(OFFSET($C1867,0,$A1867)/(OFFSET($C1862,-$A1866,$A1867)))),
MAX(0,T1867-(OFFSET($C1867,0,$A1867)/(OFFSET($C1862,-$A1866,$A1867))))),0))</f>
        <v>0</v>
      </c>
      <c r="V1867" s="1423">
        <f t="shared" ca="1" si="2708"/>
        <v>0</v>
      </c>
      <c r="W1867" s="1423">
        <f t="shared" ca="1" si="2709"/>
        <v>0</v>
      </c>
      <c r="X1867" s="202"/>
      <c r="Y1867" s="202"/>
      <c r="Z1867" s="202"/>
      <c r="AA1867" s="152"/>
      <c r="AB1867" s="152"/>
    </row>
    <row r="1868" spans="1:28" hidden="1" outlineLevel="1">
      <c r="A1868" s="199">
        <f t="shared" si="2710"/>
        <v>18</v>
      </c>
      <c r="B1868" s="190" t="str">
        <f t="shared" ca="1" si="2711"/>
        <v>Depreciated Net Capex 2033-34</v>
      </c>
      <c r="C1868" s="1426"/>
      <c r="D1868" s="1426"/>
      <c r="E1868" s="1426"/>
      <c r="F1868" s="1426"/>
      <c r="G1868" s="1426"/>
      <c r="H1868" s="1426"/>
      <c r="I1868" s="1426"/>
      <c r="J1868" s="1426"/>
      <c r="K1868" s="1426"/>
      <c r="L1868" s="1426"/>
      <c r="M1868" s="1426"/>
      <c r="N1868" s="1426"/>
      <c r="O1868" s="1426"/>
      <c r="P1868" s="1426"/>
      <c r="Q1868" s="1426"/>
      <c r="R1868" s="1426"/>
      <c r="S1868" s="1426"/>
      <c r="T1868" s="1427"/>
      <c r="U1868" s="1428">
        <f>U1845</f>
        <v>0</v>
      </c>
      <c r="V1868" s="1423">
        <f ca="1">IF(U1892="n/a",U1868,IFERROR(IF((OFFSET($C1868,0,$A1868))&lt;0,
MIN(0,U1868-(OFFSET($C1868,0,$A1868)/(OFFSET($C1863,-$A1867,$A1868)))),
MAX(0,U1868-(OFFSET($C1868,0,$A1868)/(OFFSET($C1863,-$A1867,$A1868))))),0))</f>
        <v>0</v>
      </c>
      <c r="W1868" s="1423">
        <f t="shared" ca="1" si="2709"/>
        <v>0</v>
      </c>
      <c r="X1868" s="202"/>
      <c r="Y1868" s="202"/>
      <c r="Z1868" s="202"/>
      <c r="AA1868" s="152"/>
      <c r="AB1868" s="152"/>
    </row>
    <row r="1869" spans="1:28" hidden="1" outlineLevel="1">
      <c r="A1869" s="199">
        <f t="shared" si="2710"/>
        <v>19</v>
      </c>
      <c r="B1869" s="190" t="str">
        <f t="shared" ca="1" si="2711"/>
        <v>Depreciated Net Capex 2034-35</v>
      </c>
      <c r="C1869" s="1426"/>
      <c r="D1869" s="1426"/>
      <c r="E1869" s="1426"/>
      <c r="F1869" s="1426"/>
      <c r="G1869" s="1426"/>
      <c r="H1869" s="1426"/>
      <c r="I1869" s="1426"/>
      <c r="J1869" s="1426"/>
      <c r="K1869" s="1426"/>
      <c r="L1869" s="1426"/>
      <c r="M1869" s="1426"/>
      <c r="N1869" s="1426"/>
      <c r="O1869" s="1426"/>
      <c r="P1869" s="1426"/>
      <c r="Q1869" s="1426"/>
      <c r="R1869" s="1426"/>
      <c r="S1869" s="1426"/>
      <c r="T1869" s="1426"/>
      <c r="U1869" s="1427"/>
      <c r="V1869" s="1428">
        <f>V1845</f>
        <v>0</v>
      </c>
      <c r="W1869" s="1423">
        <f ca="1">IF(V1893="n/a",V1869,IFERROR(IF((OFFSET($C1869,0,$A1869))&lt;0,
MIN(0,V1869-(OFFSET($C1869,0,$A1869)/(OFFSET($C1864,-$A1868,$A1869)))),
MAX(0,V1869-(OFFSET($C1869,0,$A1869)/(OFFSET($C1864,-$A1868,$A1869))))),0))</f>
        <v>0</v>
      </c>
      <c r="X1869" s="202"/>
      <c r="Y1869" s="202"/>
      <c r="Z1869" s="202"/>
      <c r="AA1869" s="152"/>
      <c r="AB1869" s="152"/>
    </row>
    <row r="1870" spans="1:28" hidden="1" outlineLevel="1">
      <c r="A1870" s="199">
        <f t="shared" si="2710"/>
        <v>20</v>
      </c>
      <c r="B1870" s="190" t="str">
        <f t="shared" ca="1" si="2711"/>
        <v>Depreciated Net Capex 2035-36</v>
      </c>
      <c r="C1870" s="1426"/>
      <c r="D1870" s="1426"/>
      <c r="E1870" s="1426"/>
      <c r="F1870" s="1426"/>
      <c r="G1870" s="1426"/>
      <c r="H1870" s="1426"/>
      <c r="I1870" s="1426"/>
      <c r="J1870" s="1426"/>
      <c r="K1870" s="1426"/>
      <c r="L1870" s="1426"/>
      <c r="M1870" s="1426"/>
      <c r="N1870" s="1426"/>
      <c r="O1870" s="1426"/>
      <c r="P1870" s="1426"/>
      <c r="Q1870" s="1426"/>
      <c r="R1870" s="1426"/>
      <c r="S1870" s="1426"/>
      <c r="T1870" s="1426"/>
      <c r="U1870" s="1426"/>
      <c r="V1870" s="1427"/>
      <c r="W1870" s="1423">
        <f>W1845</f>
        <v>0</v>
      </c>
      <c r="X1870" s="152"/>
      <c r="Y1870" s="152"/>
      <c r="Z1870" s="152"/>
      <c r="AA1870" s="152"/>
      <c r="AB1870" s="152"/>
    </row>
    <row r="1871" spans="1:28" hidden="1" outlineLevel="1">
      <c r="A1871" s="152"/>
      <c r="B1871" s="200"/>
      <c r="C1871" s="1423"/>
      <c r="D1871" s="1423"/>
      <c r="E1871" s="1423"/>
      <c r="F1871" s="1423"/>
      <c r="G1871" s="1423"/>
      <c r="H1871" s="1423"/>
      <c r="I1871" s="1423"/>
      <c r="J1871" s="1423"/>
      <c r="K1871" s="1423"/>
      <c r="L1871" s="1423"/>
      <c r="M1871" s="1423"/>
      <c r="N1871" s="1423"/>
      <c r="O1871" s="1423"/>
      <c r="P1871" s="1423"/>
      <c r="Q1871" s="1423"/>
      <c r="R1871" s="1423"/>
      <c r="S1871" s="1423"/>
      <c r="T1871" s="1423"/>
      <c r="U1871" s="1423"/>
      <c r="V1871" s="1423"/>
      <c r="W1871" s="1423"/>
      <c r="X1871" s="152"/>
      <c r="Y1871" s="152"/>
      <c r="Z1871" s="152"/>
      <c r="AA1871" s="152"/>
      <c r="AB1871" s="152"/>
    </row>
    <row r="1872" spans="1:28" hidden="1" outlineLevel="1">
      <c r="A1872" s="152"/>
      <c r="B1872" s="200"/>
      <c r="C1872" s="1423"/>
      <c r="D1872" s="1423"/>
      <c r="E1872" s="1423"/>
      <c r="F1872" s="1423"/>
      <c r="G1872" s="1423"/>
      <c r="H1872" s="1423"/>
      <c r="I1872" s="1423"/>
      <c r="J1872" s="1423"/>
      <c r="K1872" s="1423"/>
      <c r="L1872" s="1423"/>
      <c r="M1872" s="1423"/>
      <c r="N1872" s="1423"/>
      <c r="O1872" s="1423"/>
      <c r="P1872" s="1423"/>
      <c r="Q1872" s="1423"/>
      <c r="R1872" s="1423"/>
      <c r="S1872" s="1423"/>
      <c r="T1872" s="1423"/>
      <c r="U1872" s="1423"/>
      <c r="V1872" s="1423"/>
      <c r="W1872" s="1423"/>
      <c r="X1872" s="152"/>
      <c r="Y1872" s="152"/>
      <c r="Z1872" s="152"/>
      <c r="AA1872" s="152"/>
      <c r="AB1872" s="152"/>
    </row>
    <row r="1873" spans="1:28" hidden="1" outlineLevel="1">
      <c r="A1873" s="152"/>
      <c r="B1873" s="190" t="s">
        <v>194</v>
      </c>
      <c r="C1873" s="1423"/>
      <c r="D1873" s="1423">
        <f t="shared" ref="D1873" ca="1" si="2712">IF(AND(C1873&lt;1,D1847=0),0,
IF(D1847=0,C1873-1,
IF(C1873&lt;1,D1848,
(((C1873-1)*(C1849-(C1849/(C1873))))+(D1847*D1848))/(D1849))))</f>
        <v>0</v>
      </c>
      <c r="E1873" s="1423">
        <f t="shared" ref="E1873" ca="1" si="2713">IF(AND(D1873&lt;1,E1847=0),0,
IF(E1847=0,D1873-1,
IF(D1873&lt;1,E1848,
(((D1873-1)*(D1849-(D1849/(D1873))))+(E1847*E1848))/(E1849))))</f>
        <v>0</v>
      </c>
      <c r="F1873" s="1423">
        <f t="shared" ref="F1873" ca="1" si="2714">IF(AND(E1873&lt;1,F1847=0),0,
IF(F1847=0,E1873-1,
IF(E1873&lt;1,F1848,
(((E1873-1)*(E1849-(E1849/(E1873))))+(F1847*F1848))/(F1849))))</f>
        <v>0</v>
      </c>
      <c r="G1873" s="1423">
        <f t="shared" ref="G1873" ca="1" si="2715">IF(AND(F1873&lt;1,G1847=0),0,
IF(G1847=0,F1873-1,
IF(F1873&lt;1,G1848,
(((F1873-1)*(F1849-(F1849/(F1873))))+(G1847*G1848))/(G1849))))</f>
        <v>0</v>
      </c>
      <c r="H1873" s="1423">
        <f ca="1">IF(AND(G1873&lt;1,H1847=0),0,
IF(H1847=0,G1873-1,
IF(G1873&lt;1,H1848,
(((G1873-1)*(G1849-(G1849/(G1873))))+(H1847*H1848))/(H1849))))</f>
        <v>0</v>
      </c>
      <c r="I1873" s="1423">
        <f t="shared" ref="I1873" ca="1" si="2716">IF(AND(H1873&lt;1,I1847=0),0,
IF(I1847=0,H1873-1,
IF(H1873&lt;1,I1848,
(((H1873-1)*(H1849-(H1849/(H1873))))+(I1847*I1848))/(I1849))))</f>
        <v>0</v>
      </c>
      <c r="J1873" s="1423">
        <f t="shared" ref="J1873" ca="1" si="2717">IF(AND(I1873&lt;1,J1847=0),0,
IF(J1847=0,I1873-1,
IF(I1873&lt;1,J1848,
(((I1873-1)*(I1849-(I1849/(I1873))))+(J1847*J1848))/(J1849))))</f>
        <v>0</v>
      </c>
      <c r="K1873" s="1423">
        <f t="shared" ref="K1873" ca="1" si="2718">IF(AND(J1873&lt;1,K1847=0),0,
IF(K1847=0,J1873-1,
IF(J1873&lt;1,K1848,
(((J1873-1)*(J1849-(J1849/(J1873))))+(K1847*K1848))/(K1849))))</f>
        <v>0</v>
      </c>
      <c r="L1873" s="1423">
        <f t="shared" ref="L1873" ca="1" si="2719">IF(AND(K1873&lt;1,L1847=0),0,
IF(L1847=0,K1873-1,
IF(K1873&lt;1,L1848,
(((K1873-1)*(K1849-(K1849/(K1873))))+(L1847*L1848))/(L1849))))</f>
        <v>0</v>
      </c>
      <c r="M1873" s="1423">
        <f ca="1">IF(AND(L1873&lt;1,M1847=0),0,
IF(M1847=0,L1873-1,
IF(L1873&lt;1,M1848,
(((L1873-1)*(L1849-(L1849/(L1873))))+(M1847*M1848))/(M1849))))</f>
        <v>0</v>
      </c>
      <c r="N1873" s="1423">
        <f t="shared" ref="N1873" ca="1" si="2720">IF(AND(M1873&lt;1,N1847=0),0,
IF(N1847=0,M1873-1,
IF(M1873&lt;1,N1848,
(((M1873-1)*(M1849-(M1849/(M1873))))+(N1847*N1848))/(N1849))))</f>
        <v>0</v>
      </c>
      <c r="O1873" s="1423">
        <f t="shared" ref="O1873" ca="1" si="2721">IF(AND(N1873&lt;1,O1847=0),0,
IF(O1847=0,N1873-1,
IF(N1873&lt;1,O1848,
(((N1873-1)*(N1849-(N1849/(N1873))))+(O1847*O1848))/(O1849))))</f>
        <v>0</v>
      </c>
      <c r="P1873" s="1423">
        <f t="shared" ref="P1873" ca="1" si="2722">IF(AND(O1873&lt;1,P1847=0),0,
IF(P1847=0,O1873-1,
IF(O1873&lt;1,P1848,
(((O1873-1)*(O1849-(O1849/(O1873))))+(P1847*P1848))/(P1849))))</f>
        <v>0</v>
      </c>
      <c r="Q1873" s="1423">
        <f t="shared" ref="Q1873" ca="1" si="2723">IF(AND(P1873&lt;1,Q1847=0),0,
IF(Q1847=0,P1873-1,
IF(P1873&lt;1,Q1848,
(((P1873-1)*(P1849-(P1849/(P1873))))+(Q1847*Q1848))/(Q1849))))</f>
        <v>0</v>
      </c>
      <c r="R1873" s="1423">
        <f t="shared" ref="R1873" ca="1" si="2724">IF(AND(Q1873&lt;1,R1847=0),0,
IF(R1847=0,Q1873-1,
IF(Q1873&lt;1,R1848,
(((Q1873-1)*(Q1849-(Q1849/(Q1873))))+(R1847*R1848))/(R1849))))</f>
        <v>0</v>
      </c>
      <c r="S1873" s="1423">
        <f t="shared" ref="S1873" ca="1" si="2725">IF(AND(R1873&lt;1,S1847=0),0,
IF(S1847=0,R1873-1,
IF(R1873&lt;1,S1848,
(((R1873-1)*(R1849-(R1849/(R1873))))+(S1847*S1848))/(S1849))))</f>
        <v>0</v>
      </c>
      <c r="T1873" s="1423">
        <f t="shared" ref="T1873" ca="1" si="2726">IF(AND(S1873&lt;1,T1847=0),0,
IF(T1847=0,S1873-1,
IF(S1873&lt;1,T1848,
(((S1873-1)*(S1849-(S1849/(S1873))))+(T1847*T1848))/(T1849))))</f>
        <v>0</v>
      </c>
      <c r="U1873" s="1423">
        <f t="shared" ref="U1873" ca="1" si="2727">IF(AND(T1873&lt;1,U1847=0),0,
IF(U1847=0,T1873-1,
IF(T1873&lt;1,U1848,
(((T1873-1)*(T1849-(T1849/(T1873))))+(U1847*U1848))/(U1849))))</f>
        <v>0</v>
      </c>
      <c r="V1873" s="1423">
        <f t="shared" ref="V1873" ca="1" si="2728">IF(AND(U1873&lt;1,V1847=0),0,
IF(V1847=0,U1873-1,
IF(U1873&lt;1,V1848,
(((U1873-1)*(U1849-(U1849/(U1873))))+(V1847*V1848))/(V1849))))</f>
        <v>0</v>
      </c>
      <c r="W1873" s="1423">
        <f t="shared" ref="W1873" ca="1" si="2729">IF(AND(V1873&lt;1,W1847=0),0,
IF(W1847=0,V1873-1,
IF(V1873&lt;1,W1848,
(((V1873-1)*(V1849-(V1849/(V1873))))+(W1847*W1848))/(W1849))))</f>
        <v>0</v>
      </c>
      <c r="X1873" s="152"/>
      <c r="Y1873" s="152"/>
      <c r="Z1873" s="152"/>
      <c r="AA1873" s="152"/>
      <c r="AB1873" s="152"/>
    </row>
    <row r="1874" spans="1:28" hidden="1" outlineLevel="1">
      <c r="A1874" s="152"/>
      <c r="B1874" s="190" t="s">
        <v>193</v>
      </c>
      <c r="C1874" s="1423">
        <f ca="1">C1846</f>
        <v>0</v>
      </c>
      <c r="D1874" s="1423">
        <f t="shared" ref="D1874" ca="1" si="2730">IF(C1874="n/a","n/a",MAX(0,C1874-1))</f>
        <v>0</v>
      </c>
      <c r="E1874" s="1423">
        <f t="shared" ref="E1874:E1875" ca="1" si="2731">IF(D1874="n/a","n/a",MAX(0,D1874-1))</f>
        <v>0</v>
      </c>
      <c r="F1874" s="1423">
        <f t="shared" ref="F1874:F1876" ca="1" si="2732">IF(E1874="n/a","n/a",MAX(0,E1874-1))</f>
        <v>0</v>
      </c>
      <c r="G1874" s="1423">
        <f t="shared" ref="G1874:G1877" ca="1" si="2733">IF(F1874="n/a","n/a",MAX(0,F1874-1))</f>
        <v>0</v>
      </c>
      <c r="H1874" s="1423">
        <f t="shared" ref="H1874:H1878" ca="1" si="2734">IF(G1874="n/a","n/a",MAX(0,G1874-1))</f>
        <v>0</v>
      </c>
      <c r="I1874" s="1423">
        <f t="shared" ref="I1874:I1879" ca="1" si="2735">IF(H1874="n/a","n/a",MAX(0,H1874-1))</f>
        <v>0</v>
      </c>
      <c r="J1874" s="1423">
        <f t="shared" ref="J1874:J1880" ca="1" si="2736">IF(I1874="n/a","n/a",MAX(0,I1874-1))</f>
        <v>0</v>
      </c>
      <c r="K1874" s="1423">
        <f t="shared" ref="K1874:K1881" ca="1" si="2737">IF(J1874="n/a","n/a",MAX(0,J1874-1))</f>
        <v>0</v>
      </c>
      <c r="L1874" s="1423">
        <f t="shared" ref="L1874:L1882" ca="1" si="2738">IF(K1874="n/a","n/a",MAX(0,K1874-1))</f>
        <v>0</v>
      </c>
      <c r="M1874" s="1423">
        <f t="shared" ref="M1874:M1883" ca="1" si="2739">IF(L1874="n/a","n/a",MAX(0,L1874-1))</f>
        <v>0</v>
      </c>
      <c r="N1874" s="1423">
        <f t="shared" ref="N1874:N1884" ca="1" si="2740">IF(M1874="n/a","n/a",MAX(0,M1874-1))</f>
        <v>0</v>
      </c>
      <c r="O1874" s="1423">
        <f t="shared" ref="O1874:O1885" ca="1" si="2741">IF(N1874="n/a","n/a",MAX(0,N1874-1))</f>
        <v>0</v>
      </c>
      <c r="P1874" s="1423">
        <f t="shared" ref="P1874:P1886" ca="1" si="2742">IF(O1874="n/a","n/a",MAX(0,O1874-1))</f>
        <v>0</v>
      </c>
      <c r="Q1874" s="1423">
        <f t="shared" ref="Q1874:Q1887" ca="1" si="2743">IF(P1874="n/a","n/a",MAX(0,P1874-1))</f>
        <v>0</v>
      </c>
      <c r="R1874" s="1423">
        <f t="shared" ref="R1874:R1888" ca="1" si="2744">IF(Q1874="n/a","n/a",MAX(0,Q1874-1))</f>
        <v>0</v>
      </c>
      <c r="S1874" s="1423">
        <f t="shared" ref="S1874:S1889" ca="1" si="2745">IF(R1874="n/a","n/a",MAX(0,R1874-1))</f>
        <v>0</v>
      </c>
      <c r="T1874" s="1423">
        <f t="shared" ref="T1874:T1890" ca="1" si="2746">IF(S1874="n/a","n/a",MAX(0,S1874-1))</f>
        <v>0</v>
      </c>
      <c r="U1874" s="1423">
        <f t="shared" ref="U1874:U1891" ca="1" si="2747">IF(T1874="n/a","n/a",MAX(0,T1874-1))</f>
        <v>0</v>
      </c>
      <c r="V1874" s="1423">
        <f t="shared" ref="V1874:V1892" ca="1" si="2748">IF(U1874="n/a","n/a",MAX(0,U1874-1))</f>
        <v>0</v>
      </c>
      <c r="W1874" s="1423">
        <f t="shared" ref="W1874:W1892" ca="1" si="2749">IF(V1874="n/a","n/a",MAX(0,V1874-1))</f>
        <v>0</v>
      </c>
      <c r="X1874" s="152"/>
      <c r="Y1874" s="152"/>
      <c r="Z1874" s="152"/>
      <c r="AA1874" s="152"/>
      <c r="AB1874" s="152"/>
    </row>
    <row r="1875" spans="1:28" hidden="1" outlineLevel="1">
      <c r="A1875" s="152"/>
      <c r="B1875" s="190" t="str">
        <f t="shared" ref="B1875:B1894" ca="1" si="2750">"RL Capex "&amp;OFFSET($C$6,0,A1851)</f>
        <v>RL Capex 2016-17</v>
      </c>
      <c r="C1875" s="1424"/>
      <c r="D1875" s="1428">
        <f>D1846</f>
        <v>0</v>
      </c>
      <c r="E1875" s="1423">
        <f t="shared" si="2731"/>
        <v>0</v>
      </c>
      <c r="F1875" s="1423">
        <f t="shared" si="2732"/>
        <v>0</v>
      </c>
      <c r="G1875" s="1423">
        <f t="shared" si="2733"/>
        <v>0</v>
      </c>
      <c r="H1875" s="1423">
        <f t="shared" si="2734"/>
        <v>0</v>
      </c>
      <c r="I1875" s="1423">
        <f t="shared" si="2735"/>
        <v>0</v>
      </c>
      <c r="J1875" s="1423">
        <f t="shared" si="2736"/>
        <v>0</v>
      </c>
      <c r="K1875" s="1423">
        <f t="shared" si="2737"/>
        <v>0</v>
      </c>
      <c r="L1875" s="1423">
        <f t="shared" si="2738"/>
        <v>0</v>
      </c>
      <c r="M1875" s="1423">
        <f t="shared" si="2739"/>
        <v>0</v>
      </c>
      <c r="N1875" s="1423">
        <f t="shared" si="2740"/>
        <v>0</v>
      </c>
      <c r="O1875" s="1423">
        <f t="shared" si="2741"/>
        <v>0</v>
      </c>
      <c r="P1875" s="1423">
        <f t="shared" si="2742"/>
        <v>0</v>
      </c>
      <c r="Q1875" s="1423">
        <f t="shared" si="2743"/>
        <v>0</v>
      </c>
      <c r="R1875" s="1423">
        <f t="shared" si="2744"/>
        <v>0</v>
      </c>
      <c r="S1875" s="1423">
        <f t="shared" si="2745"/>
        <v>0</v>
      </c>
      <c r="T1875" s="1423">
        <f t="shared" si="2746"/>
        <v>0</v>
      </c>
      <c r="U1875" s="1423">
        <f t="shared" si="2747"/>
        <v>0</v>
      </c>
      <c r="V1875" s="1423">
        <f t="shared" si="2748"/>
        <v>0</v>
      </c>
      <c r="W1875" s="1423">
        <f t="shared" si="2749"/>
        <v>0</v>
      </c>
      <c r="X1875" s="152"/>
      <c r="Y1875" s="152"/>
      <c r="Z1875" s="152"/>
      <c r="AA1875" s="152"/>
      <c r="AB1875" s="152"/>
    </row>
    <row r="1876" spans="1:28" hidden="1" outlineLevel="1">
      <c r="A1876" s="152"/>
      <c r="B1876" s="190" t="str">
        <f t="shared" ca="1" si="2750"/>
        <v>RL Capex 2017-18</v>
      </c>
      <c r="C1876" s="1429"/>
      <c r="D1876" s="1424"/>
      <c r="E1876" s="1428">
        <f>E1846</f>
        <v>0</v>
      </c>
      <c r="F1876" s="1423">
        <f t="shared" si="2732"/>
        <v>0</v>
      </c>
      <c r="G1876" s="1423">
        <f t="shared" si="2733"/>
        <v>0</v>
      </c>
      <c r="H1876" s="1423">
        <f t="shared" si="2734"/>
        <v>0</v>
      </c>
      <c r="I1876" s="1423">
        <f t="shared" si="2735"/>
        <v>0</v>
      </c>
      <c r="J1876" s="1423">
        <f t="shared" si="2736"/>
        <v>0</v>
      </c>
      <c r="K1876" s="1423">
        <f t="shared" si="2737"/>
        <v>0</v>
      </c>
      <c r="L1876" s="1423">
        <f t="shared" si="2738"/>
        <v>0</v>
      </c>
      <c r="M1876" s="1423">
        <f t="shared" si="2739"/>
        <v>0</v>
      </c>
      <c r="N1876" s="1423">
        <f t="shared" si="2740"/>
        <v>0</v>
      </c>
      <c r="O1876" s="1423">
        <f t="shared" si="2741"/>
        <v>0</v>
      </c>
      <c r="P1876" s="1423">
        <f t="shared" si="2742"/>
        <v>0</v>
      </c>
      <c r="Q1876" s="1423">
        <f t="shared" si="2743"/>
        <v>0</v>
      </c>
      <c r="R1876" s="1423">
        <f t="shared" si="2744"/>
        <v>0</v>
      </c>
      <c r="S1876" s="1423">
        <f t="shared" si="2745"/>
        <v>0</v>
      </c>
      <c r="T1876" s="1423">
        <f t="shared" si="2746"/>
        <v>0</v>
      </c>
      <c r="U1876" s="1423">
        <f t="shared" si="2747"/>
        <v>0</v>
      </c>
      <c r="V1876" s="1423">
        <f t="shared" si="2748"/>
        <v>0</v>
      </c>
      <c r="W1876" s="1423">
        <f t="shared" si="2749"/>
        <v>0</v>
      </c>
      <c r="X1876" s="152"/>
      <c r="Y1876" s="152"/>
      <c r="Z1876" s="152"/>
      <c r="AA1876" s="152"/>
      <c r="AB1876" s="152"/>
    </row>
    <row r="1877" spans="1:28" hidden="1" outlineLevel="1">
      <c r="A1877" s="152"/>
      <c r="B1877" s="190" t="str">
        <f t="shared" ca="1" si="2750"/>
        <v>RL Capex 2018-19</v>
      </c>
      <c r="C1877" s="1429"/>
      <c r="D1877" s="1429"/>
      <c r="E1877" s="1424"/>
      <c r="F1877" s="1428">
        <f>F1846</f>
        <v>0</v>
      </c>
      <c r="G1877" s="1423">
        <f t="shared" si="2733"/>
        <v>0</v>
      </c>
      <c r="H1877" s="1423">
        <f t="shared" si="2734"/>
        <v>0</v>
      </c>
      <c r="I1877" s="1423">
        <f t="shared" si="2735"/>
        <v>0</v>
      </c>
      <c r="J1877" s="1423">
        <f t="shared" si="2736"/>
        <v>0</v>
      </c>
      <c r="K1877" s="1423">
        <f t="shared" si="2737"/>
        <v>0</v>
      </c>
      <c r="L1877" s="1423">
        <f t="shared" si="2738"/>
        <v>0</v>
      </c>
      <c r="M1877" s="1423">
        <f t="shared" si="2739"/>
        <v>0</v>
      </c>
      <c r="N1877" s="1423">
        <f t="shared" si="2740"/>
        <v>0</v>
      </c>
      <c r="O1877" s="1423">
        <f t="shared" si="2741"/>
        <v>0</v>
      </c>
      <c r="P1877" s="1423">
        <f t="shared" si="2742"/>
        <v>0</v>
      </c>
      <c r="Q1877" s="1423">
        <f t="shared" si="2743"/>
        <v>0</v>
      </c>
      <c r="R1877" s="1423">
        <f t="shared" si="2744"/>
        <v>0</v>
      </c>
      <c r="S1877" s="1423">
        <f t="shared" si="2745"/>
        <v>0</v>
      </c>
      <c r="T1877" s="1423">
        <f t="shared" si="2746"/>
        <v>0</v>
      </c>
      <c r="U1877" s="1423">
        <f t="shared" si="2747"/>
        <v>0</v>
      </c>
      <c r="V1877" s="1423">
        <f t="shared" si="2748"/>
        <v>0</v>
      </c>
      <c r="W1877" s="1423">
        <f t="shared" si="2749"/>
        <v>0</v>
      </c>
      <c r="X1877" s="152"/>
      <c r="Y1877" s="152"/>
      <c r="Z1877" s="152"/>
      <c r="AA1877" s="152"/>
      <c r="AB1877" s="152"/>
    </row>
    <row r="1878" spans="1:28" hidden="1" outlineLevel="1">
      <c r="A1878" s="152"/>
      <c r="B1878" s="190" t="str">
        <f t="shared" ca="1" si="2750"/>
        <v>RL Capex 2019-20</v>
      </c>
      <c r="C1878" s="1429"/>
      <c r="D1878" s="1429"/>
      <c r="E1878" s="1429"/>
      <c r="F1878" s="1424"/>
      <c r="G1878" s="1428">
        <f>G1846</f>
        <v>0</v>
      </c>
      <c r="H1878" s="1423">
        <f t="shared" si="2734"/>
        <v>0</v>
      </c>
      <c r="I1878" s="1423">
        <f t="shared" si="2735"/>
        <v>0</v>
      </c>
      <c r="J1878" s="1423">
        <f t="shared" si="2736"/>
        <v>0</v>
      </c>
      <c r="K1878" s="1423">
        <f t="shared" si="2737"/>
        <v>0</v>
      </c>
      <c r="L1878" s="1423">
        <f t="shared" si="2738"/>
        <v>0</v>
      </c>
      <c r="M1878" s="1423">
        <f t="shared" si="2739"/>
        <v>0</v>
      </c>
      <c r="N1878" s="1423">
        <f t="shared" si="2740"/>
        <v>0</v>
      </c>
      <c r="O1878" s="1423">
        <f t="shared" si="2741"/>
        <v>0</v>
      </c>
      <c r="P1878" s="1423">
        <f t="shared" si="2742"/>
        <v>0</v>
      </c>
      <c r="Q1878" s="1423">
        <f t="shared" si="2743"/>
        <v>0</v>
      </c>
      <c r="R1878" s="1423">
        <f t="shared" si="2744"/>
        <v>0</v>
      </c>
      <c r="S1878" s="1423">
        <f t="shared" si="2745"/>
        <v>0</v>
      </c>
      <c r="T1878" s="1423">
        <f t="shared" si="2746"/>
        <v>0</v>
      </c>
      <c r="U1878" s="1423">
        <f t="shared" si="2747"/>
        <v>0</v>
      </c>
      <c r="V1878" s="1423">
        <f t="shared" si="2748"/>
        <v>0</v>
      </c>
      <c r="W1878" s="1423">
        <f t="shared" si="2749"/>
        <v>0</v>
      </c>
      <c r="X1878" s="152"/>
      <c r="Y1878" s="152"/>
      <c r="Z1878" s="152"/>
      <c r="AA1878" s="152"/>
      <c r="AB1878" s="152"/>
    </row>
    <row r="1879" spans="1:28" hidden="1" outlineLevel="1">
      <c r="A1879" s="152"/>
      <c r="B1879" s="190" t="str">
        <f t="shared" ca="1" si="2750"/>
        <v>RL Capex 2020-21</v>
      </c>
      <c r="C1879" s="1429"/>
      <c r="D1879" s="1429"/>
      <c r="E1879" s="1429"/>
      <c r="F1879" s="1429"/>
      <c r="G1879" s="1424"/>
      <c r="H1879" s="1428">
        <f>H1846</f>
        <v>0</v>
      </c>
      <c r="I1879" s="1423">
        <f t="shared" si="2735"/>
        <v>0</v>
      </c>
      <c r="J1879" s="1423">
        <f t="shared" si="2736"/>
        <v>0</v>
      </c>
      <c r="K1879" s="1423">
        <f t="shared" si="2737"/>
        <v>0</v>
      </c>
      <c r="L1879" s="1423">
        <f t="shared" si="2738"/>
        <v>0</v>
      </c>
      <c r="M1879" s="1423">
        <f t="shared" si="2739"/>
        <v>0</v>
      </c>
      <c r="N1879" s="1423">
        <f t="shared" si="2740"/>
        <v>0</v>
      </c>
      <c r="O1879" s="1423">
        <f t="shared" si="2741"/>
        <v>0</v>
      </c>
      <c r="P1879" s="1423">
        <f t="shared" si="2742"/>
        <v>0</v>
      </c>
      <c r="Q1879" s="1423">
        <f t="shared" si="2743"/>
        <v>0</v>
      </c>
      <c r="R1879" s="1423">
        <f t="shared" si="2744"/>
        <v>0</v>
      </c>
      <c r="S1879" s="1423">
        <f t="shared" si="2745"/>
        <v>0</v>
      </c>
      <c r="T1879" s="1423">
        <f t="shared" si="2746"/>
        <v>0</v>
      </c>
      <c r="U1879" s="1423">
        <f t="shared" si="2747"/>
        <v>0</v>
      </c>
      <c r="V1879" s="1423">
        <f t="shared" si="2748"/>
        <v>0</v>
      </c>
      <c r="W1879" s="1423">
        <f t="shared" si="2749"/>
        <v>0</v>
      </c>
      <c r="X1879" s="152"/>
      <c r="Y1879" s="152"/>
      <c r="Z1879" s="152"/>
      <c r="AA1879" s="152"/>
      <c r="AB1879" s="152"/>
    </row>
    <row r="1880" spans="1:28" hidden="1" outlineLevel="1">
      <c r="A1880" s="152"/>
      <c r="B1880" s="190" t="str">
        <f t="shared" ca="1" si="2750"/>
        <v>RL Capex 2021-22</v>
      </c>
      <c r="C1880" s="1429"/>
      <c r="D1880" s="1429"/>
      <c r="E1880" s="1429"/>
      <c r="F1880" s="1429"/>
      <c r="G1880" s="1429"/>
      <c r="H1880" s="1424"/>
      <c r="I1880" s="1428">
        <f>I1846</f>
        <v>0</v>
      </c>
      <c r="J1880" s="1423">
        <f t="shared" si="2736"/>
        <v>0</v>
      </c>
      <c r="K1880" s="1423">
        <f t="shared" si="2737"/>
        <v>0</v>
      </c>
      <c r="L1880" s="1423">
        <f t="shared" si="2738"/>
        <v>0</v>
      </c>
      <c r="M1880" s="1423">
        <f t="shared" si="2739"/>
        <v>0</v>
      </c>
      <c r="N1880" s="1423">
        <f t="shared" si="2740"/>
        <v>0</v>
      </c>
      <c r="O1880" s="1423">
        <f t="shared" si="2741"/>
        <v>0</v>
      </c>
      <c r="P1880" s="1423">
        <f t="shared" si="2742"/>
        <v>0</v>
      </c>
      <c r="Q1880" s="1423">
        <f t="shared" si="2743"/>
        <v>0</v>
      </c>
      <c r="R1880" s="1423">
        <f t="shared" si="2744"/>
        <v>0</v>
      </c>
      <c r="S1880" s="1423">
        <f t="shared" si="2745"/>
        <v>0</v>
      </c>
      <c r="T1880" s="1423">
        <f t="shared" si="2746"/>
        <v>0</v>
      </c>
      <c r="U1880" s="1423">
        <f t="shared" si="2747"/>
        <v>0</v>
      </c>
      <c r="V1880" s="1423">
        <f t="shared" si="2748"/>
        <v>0</v>
      </c>
      <c r="W1880" s="1423">
        <f t="shared" si="2749"/>
        <v>0</v>
      </c>
      <c r="X1880" s="152"/>
      <c r="Y1880" s="152"/>
      <c r="Z1880" s="152"/>
      <c r="AA1880" s="152"/>
      <c r="AB1880" s="152"/>
    </row>
    <row r="1881" spans="1:28" hidden="1" outlineLevel="1">
      <c r="A1881" s="152"/>
      <c r="B1881" s="190" t="str">
        <f t="shared" ca="1" si="2750"/>
        <v>RL Capex 2022-23</v>
      </c>
      <c r="C1881" s="1429"/>
      <c r="D1881" s="1429"/>
      <c r="E1881" s="1429"/>
      <c r="F1881" s="1429"/>
      <c r="G1881" s="1429"/>
      <c r="H1881" s="1429"/>
      <c r="I1881" s="1424"/>
      <c r="J1881" s="1428">
        <f>J1846</f>
        <v>0</v>
      </c>
      <c r="K1881" s="1423">
        <f t="shared" si="2737"/>
        <v>0</v>
      </c>
      <c r="L1881" s="1423">
        <f t="shared" si="2738"/>
        <v>0</v>
      </c>
      <c r="M1881" s="1423">
        <f t="shared" si="2739"/>
        <v>0</v>
      </c>
      <c r="N1881" s="1423">
        <f t="shared" si="2740"/>
        <v>0</v>
      </c>
      <c r="O1881" s="1423">
        <f t="shared" si="2741"/>
        <v>0</v>
      </c>
      <c r="P1881" s="1423">
        <f t="shared" si="2742"/>
        <v>0</v>
      </c>
      <c r="Q1881" s="1423">
        <f t="shared" si="2743"/>
        <v>0</v>
      </c>
      <c r="R1881" s="1423">
        <f t="shared" si="2744"/>
        <v>0</v>
      </c>
      <c r="S1881" s="1423">
        <f t="shared" si="2745"/>
        <v>0</v>
      </c>
      <c r="T1881" s="1423">
        <f t="shared" si="2746"/>
        <v>0</v>
      </c>
      <c r="U1881" s="1423">
        <f t="shared" si="2747"/>
        <v>0</v>
      </c>
      <c r="V1881" s="1423">
        <f t="shared" si="2748"/>
        <v>0</v>
      </c>
      <c r="W1881" s="1423">
        <f t="shared" si="2749"/>
        <v>0</v>
      </c>
      <c r="X1881" s="152"/>
      <c r="Y1881" s="152"/>
      <c r="Z1881" s="152"/>
      <c r="AA1881" s="152"/>
      <c r="AB1881" s="152"/>
    </row>
    <row r="1882" spans="1:28" hidden="1" outlineLevel="1">
      <c r="A1882" s="152"/>
      <c r="B1882" s="190" t="str">
        <f t="shared" ca="1" si="2750"/>
        <v>RL Capex 2023-24</v>
      </c>
      <c r="C1882" s="1429"/>
      <c r="D1882" s="1429"/>
      <c r="E1882" s="1429"/>
      <c r="F1882" s="1429"/>
      <c r="G1882" s="1429"/>
      <c r="H1882" s="1429"/>
      <c r="I1882" s="1429"/>
      <c r="J1882" s="1424"/>
      <c r="K1882" s="1428">
        <f>K1846</f>
        <v>0</v>
      </c>
      <c r="L1882" s="1423">
        <f t="shared" si="2738"/>
        <v>0</v>
      </c>
      <c r="M1882" s="1423">
        <f t="shared" si="2739"/>
        <v>0</v>
      </c>
      <c r="N1882" s="1423">
        <f t="shared" si="2740"/>
        <v>0</v>
      </c>
      <c r="O1882" s="1423">
        <f t="shared" si="2741"/>
        <v>0</v>
      </c>
      <c r="P1882" s="1423">
        <f t="shared" si="2742"/>
        <v>0</v>
      </c>
      <c r="Q1882" s="1423">
        <f t="shared" si="2743"/>
        <v>0</v>
      </c>
      <c r="R1882" s="1423">
        <f t="shared" si="2744"/>
        <v>0</v>
      </c>
      <c r="S1882" s="1423">
        <f t="shared" si="2745"/>
        <v>0</v>
      </c>
      <c r="T1882" s="1423">
        <f t="shared" si="2746"/>
        <v>0</v>
      </c>
      <c r="U1882" s="1423">
        <f t="shared" si="2747"/>
        <v>0</v>
      </c>
      <c r="V1882" s="1423">
        <f t="shared" si="2748"/>
        <v>0</v>
      </c>
      <c r="W1882" s="1423">
        <f t="shared" si="2749"/>
        <v>0</v>
      </c>
      <c r="X1882" s="152"/>
      <c r="Y1882" s="152"/>
      <c r="Z1882" s="152"/>
      <c r="AA1882" s="152"/>
      <c r="AB1882" s="152"/>
    </row>
    <row r="1883" spans="1:28" hidden="1" outlineLevel="1">
      <c r="A1883" s="152"/>
      <c r="B1883" s="190" t="str">
        <f t="shared" ca="1" si="2750"/>
        <v>RL Capex 2024-25</v>
      </c>
      <c r="C1883" s="1429"/>
      <c r="D1883" s="1429"/>
      <c r="E1883" s="1429"/>
      <c r="F1883" s="1429"/>
      <c r="G1883" s="1429"/>
      <c r="H1883" s="1429"/>
      <c r="I1883" s="1429"/>
      <c r="J1883" s="1429"/>
      <c r="K1883" s="1424"/>
      <c r="L1883" s="1428">
        <f>L1846</f>
        <v>0</v>
      </c>
      <c r="M1883" s="1423">
        <f t="shared" si="2739"/>
        <v>0</v>
      </c>
      <c r="N1883" s="1423">
        <f t="shared" si="2740"/>
        <v>0</v>
      </c>
      <c r="O1883" s="1423">
        <f t="shared" si="2741"/>
        <v>0</v>
      </c>
      <c r="P1883" s="1423">
        <f t="shared" si="2742"/>
        <v>0</v>
      </c>
      <c r="Q1883" s="1423">
        <f t="shared" si="2743"/>
        <v>0</v>
      </c>
      <c r="R1883" s="1423">
        <f t="shared" si="2744"/>
        <v>0</v>
      </c>
      <c r="S1883" s="1423">
        <f t="shared" si="2745"/>
        <v>0</v>
      </c>
      <c r="T1883" s="1423">
        <f t="shared" si="2746"/>
        <v>0</v>
      </c>
      <c r="U1883" s="1423">
        <f t="shared" si="2747"/>
        <v>0</v>
      </c>
      <c r="V1883" s="1423">
        <f t="shared" si="2748"/>
        <v>0</v>
      </c>
      <c r="W1883" s="1423">
        <f t="shared" si="2749"/>
        <v>0</v>
      </c>
      <c r="X1883" s="152"/>
      <c r="Y1883" s="152"/>
      <c r="Z1883" s="152"/>
      <c r="AA1883" s="152"/>
      <c r="AB1883" s="152"/>
    </row>
    <row r="1884" spans="1:28" hidden="1" outlineLevel="1">
      <c r="A1884" s="152"/>
      <c r="B1884" s="190" t="str">
        <f t="shared" ca="1" si="2750"/>
        <v>RL Capex 2025-26</v>
      </c>
      <c r="C1884" s="1429"/>
      <c r="D1884" s="1429"/>
      <c r="E1884" s="1429"/>
      <c r="F1884" s="1429"/>
      <c r="G1884" s="1429"/>
      <c r="H1884" s="1429"/>
      <c r="I1884" s="1429"/>
      <c r="J1884" s="1429"/>
      <c r="K1884" s="1429"/>
      <c r="L1884" s="1424"/>
      <c r="M1884" s="1428">
        <f>M1846</f>
        <v>0</v>
      </c>
      <c r="N1884" s="1423">
        <f t="shared" si="2740"/>
        <v>0</v>
      </c>
      <c r="O1884" s="1423">
        <f t="shared" si="2741"/>
        <v>0</v>
      </c>
      <c r="P1884" s="1423">
        <f t="shared" si="2742"/>
        <v>0</v>
      </c>
      <c r="Q1884" s="1423">
        <f t="shared" si="2743"/>
        <v>0</v>
      </c>
      <c r="R1884" s="1423">
        <f t="shared" si="2744"/>
        <v>0</v>
      </c>
      <c r="S1884" s="1423">
        <f t="shared" si="2745"/>
        <v>0</v>
      </c>
      <c r="T1884" s="1423">
        <f t="shared" si="2746"/>
        <v>0</v>
      </c>
      <c r="U1884" s="1423">
        <f t="shared" si="2747"/>
        <v>0</v>
      </c>
      <c r="V1884" s="1423">
        <f t="shared" si="2748"/>
        <v>0</v>
      </c>
      <c r="W1884" s="1423">
        <f t="shared" si="2749"/>
        <v>0</v>
      </c>
      <c r="X1884" s="152"/>
      <c r="Y1884" s="152"/>
      <c r="Z1884" s="152"/>
      <c r="AA1884" s="152"/>
      <c r="AB1884" s="152"/>
    </row>
    <row r="1885" spans="1:28" hidden="1" outlineLevel="1">
      <c r="A1885" s="152"/>
      <c r="B1885" s="190" t="str">
        <f t="shared" ca="1" si="2750"/>
        <v>RL Capex 2026-27</v>
      </c>
      <c r="C1885" s="1429"/>
      <c r="D1885" s="1429"/>
      <c r="E1885" s="1429"/>
      <c r="F1885" s="1429"/>
      <c r="G1885" s="1429"/>
      <c r="H1885" s="1429"/>
      <c r="I1885" s="1429"/>
      <c r="J1885" s="1429"/>
      <c r="K1885" s="1429"/>
      <c r="L1885" s="1429"/>
      <c r="M1885" s="1424"/>
      <c r="N1885" s="1428">
        <f>N1846</f>
        <v>0</v>
      </c>
      <c r="O1885" s="1423">
        <f t="shared" si="2741"/>
        <v>0</v>
      </c>
      <c r="P1885" s="1423">
        <f t="shared" si="2742"/>
        <v>0</v>
      </c>
      <c r="Q1885" s="1423">
        <f t="shared" si="2743"/>
        <v>0</v>
      </c>
      <c r="R1885" s="1423">
        <f t="shared" si="2744"/>
        <v>0</v>
      </c>
      <c r="S1885" s="1423">
        <f t="shared" si="2745"/>
        <v>0</v>
      </c>
      <c r="T1885" s="1423">
        <f t="shared" si="2746"/>
        <v>0</v>
      </c>
      <c r="U1885" s="1423">
        <f t="shared" si="2747"/>
        <v>0</v>
      </c>
      <c r="V1885" s="1423">
        <f t="shared" si="2748"/>
        <v>0</v>
      </c>
      <c r="W1885" s="1423">
        <f t="shared" si="2749"/>
        <v>0</v>
      </c>
      <c r="X1885" s="152"/>
      <c r="Y1885" s="152"/>
      <c r="Z1885" s="152"/>
      <c r="AA1885" s="152"/>
      <c r="AB1885" s="152"/>
    </row>
    <row r="1886" spans="1:28" hidden="1" outlineLevel="1">
      <c r="A1886" s="152"/>
      <c r="B1886" s="190" t="str">
        <f t="shared" ca="1" si="2750"/>
        <v>RL Capex 2027-28</v>
      </c>
      <c r="C1886" s="1429"/>
      <c r="D1886" s="1429"/>
      <c r="E1886" s="1429"/>
      <c r="F1886" s="1429"/>
      <c r="G1886" s="1429"/>
      <c r="H1886" s="1429"/>
      <c r="I1886" s="1429"/>
      <c r="J1886" s="1429"/>
      <c r="K1886" s="1429"/>
      <c r="L1886" s="1429"/>
      <c r="M1886" s="1429"/>
      <c r="N1886" s="1424"/>
      <c r="O1886" s="1428">
        <f>O1846</f>
        <v>0</v>
      </c>
      <c r="P1886" s="1423">
        <f t="shared" si="2742"/>
        <v>0</v>
      </c>
      <c r="Q1886" s="1423">
        <f t="shared" si="2743"/>
        <v>0</v>
      </c>
      <c r="R1886" s="1423">
        <f t="shared" si="2744"/>
        <v>0</v>
      </c>
      <c r="S1886" s="1423">
        <f t="shared" si="2745"/>
        <v>0</v>
      </c>
      <c r="T1886" s="1423">
        <f t="shared" si="2746"/>
        <v>0</v>
      </c>
      <c r="U1886" s="1423">
        <f t="shared" si="2747"/>
        <v>0</v>
      </c>
      <c r="V1886" s="1423">
        <f t="shared" si="2748"/>
        <v>0</v>
      </c>
      <c r="W1886" s="1423">
        <f t="shared" si="2749"/>
        <v>0</v>
      </c>
      <c r="X1886" s="152"/>
      <c r="Y1886" s="152"/>
      <c r="Z1886" s="152"/>
      <c r="AA1886" s="152"/>
      <c r="AB1886" s="152"/>
    </row>
    <row r="1887" spans="1:28" hidden="1" outlineLevel="1">
      <c r="A1887" s="152"/>
      <c r="B1887" s="190" t="str">
        <f t="shared" ca="1" si="2750"/>
        <v>RL Capex 2028-29</v>
      </c>
      <c r="C1887" s="1429"/>
      <c r="D1887" s="1429"/>
      <c r="E1887" s="1429"/>
      <c r="F1887" s="1429"/>
      <c r="G1887" s="1429"/>
      <c r="H1887" s="1429"/>
      <c r="I1887" s="1429"/>
      <c r="J1887" s="1429"/>
      <c r="K1887" s="1429"/>
      <c r="L1887" s="1429"/>
      <c r="M1887" s="1429"/>
      <c r="N1887" s="1429"/>
      <c r="O1887" s="1424"/>
      <c r="P1887" s="1428">
        <f>P1846</f>
        <v>0</v>
      </c>
      <c r="Q1887" s="1423">
        <f t="shared" si="2743"/>
        <v>0</v>
      </c>
      <c r="R1887" s="1423">
        <f t="shared" si="2744"/>
        <v>0</v>
      </c>
      <c r="S1887" s="1423">
        <f t="shared" si="2745"/>
        <v>0</v>
      </c>
      <c r="T1887" s="1423">
        <f t="shared" si="2746"/>
        <v>0</v>
      </c>
      <c r="U1887" s="1423">
        <f t="shared" si="2747"/>
        <v>0</v>
      </c>
      <c r="V1887" s="1423">
        <f t="shared" si="2748"/>
        <v>0</v>
      </c>
      <c r="W1887" s="1423">
        <f t="shared" si="2749"/>
        <v>0</v>
      </c>
      <c r="X1887" s="152"/>
      <c r="Y1887" s="152"/>
      <c r="Z1887" s="152"/>
      <c r="AA1887" s="152"/>
      <c r="AB1887" s="152"/>
    </row>
    <row r="1888" spans="1:28" hidden="1" outlineLevel="1">
      <c r="A1888" s="152"/>
      <c r="B1888" s="190" t="str">
        <f t="shared" ca="1" si="2750"/>
        <v>RL Capex 2029-30</v>
      </c>
      <c r="C1888" s="1429"/>
      <c r="D1888" s="1429"/>
      <c r="E1888" s="1429"/>
      <c r="F1888" s="1429"/>
      <c r="G1888" s="1429"/>
      <c r="H1888" s="1429"/>
      <c r="I1888" s="1429"/>
      <c r="J1888" s="1429"/>
      <c r="K1888" s="1429"/>
      <c r="L1888" s="1429"/>
      <c r="M1888" s="1429"/>
      <c r="N1888" s="1429"/>
      <c r="O1888" s="1429"/>
      <c r="P1888" s="1424"/>
      <c r="Q1888" s="1428">
        <f>Q1846</f>
        <v>0</v>
      </c>
      <c r="R1888" s="1423">
        <f t="shared" si="2744"/>
        <v>0</v>
      </c>
      <c r="S1888" s="1423">
        <f t="shared" si="2745"/>
        <v>0</v>
      </c>
      <c r="T1888" s="1423">
        <f t="shared" si="2746"/>
        <v>0</v>
      </c>
      <c r="U1888" s="1423">
        <f t="shared" si="2747"/>
        <v>0</v>
      </c>
      <c r="V1888" s="1423">
        <f t="shared" si="2748"/>
        <v>0</v>
      </c>
      <c r="W1888" s="1423">
        <f t="shared" si="2749"/>
        <v>0</v>
      </c>
      <c r="X1888" s="152"/>
      <c r="Y1888" s="152"/>
      <c r="Z1888" s="152"/>
      <c r="AA1888" s="152"/>
      <c r="AB1888" s="152"/>
    </row>
    <row r="1889" spans="1:28" hidden="1" outlineLevel="1">
      <c r="A1889" s="152"/>
      <c r="B1889" s="190" t="str">
        <f t="shared" ca="1" si="2750"/>
        <v>RL Capex 2030-31</v>
      </c>
      <c r="C1889" s="1429"/>
      <c r="D1889" s="1429"/>
      <c r="E1889" s="1429"/>
      <c r="F1889" s="1429"/>
      <c r="G1889" s="1429"/>
      <c r="H1889" s="1429"/>
      <c r="I1889" s="1429"/>
      <c r="J1889" s="1429"/>
      <c r="K1889" s="1429"/>
      <c r="L1889" s="1429"/>
      <c r="M1889" s="1429"/>
      <c r="N1889" s="1429"/>
      <c r="O1889" s="1429"/>
      <c r="P1889" s="1429"/>
      <c r="Q1889" s="1424"/>
      <c r="R1889" s="1428">
        <f>R1846</f>
        <v>0</v>
      </c>
      <c r="S1889" s="1423">
        <f t="shared" si="2745"/>
        <v>0</v>
      </c>
      <c r="T1889" s="1423">
        <f t="shared" si="2746"/>
        <v>0</v>
      </c>
      <c r="U1889" s="1423">
        <f t="shared" si="2747"/>
        <v>0</v>
      </c>
      <c r="V1889" s="1423">
        <f t="shared" si="2748"/>
        <v>0</v>
      </c>
      <c r="W1889" s="1423">
        <f t="shared" si="2749"/>
        <v>0</v>
      </c>
      <c r="X1889" s="152"/>
      <c r="Y1889" s="152"/>
      <c r="Z1889" s="152"/>
      <c r="AA1889" s="152"/>
      <c r="AB1889" s="152"/>
    </row>
    <row r="1890" spans="1:28" hidden="1" outlineLevel="1">
      <c r="A1890" s="152"/>
      <c r="B1890" s="190" t="str">
        <f t="shared" ca="1" si="2750"/>
        <v>RL Capex 2031-32</v>
      </c>
      <c r="C1890" s="1429"/>
      <c r="D1890" s="1429"/>
      <c r="E1890" s="1429"/>
      <c r="F1890" s="1429"/>
      <c r="G1890" s="1429"/>
      <c r="H1890" s="1429"/>
      <c r="I1890" s="1429"/>
      <c r="J1890" s="1429"/>
      <c r="K1890" s="1429"/>
      <c r="L1890" s="1429"/>
      <c r="M1890" s="1429"/>
      <c r="N1890" s="1429"/>
      <c r="O1890" s="1429"/>
      <c r="P1890" s="1429"/>
      <c r="Q1890" s="1429"/>
      <c r="R1890" s="1424"/>
      <c r="S1890" s="1428">
        <f>S1846</f>
        <v>0</v>
      </c>
      <c r="T1890" s="1423">
        <f t="shared" si="2746"/>
        <v>0</v>
      </c>
      <c r="U1890" s="1423">
        <f t="shared" si="2747"/>
        <v>0</v>
      </c>
      <c r="V1890" s="1423">
        <f t="shared" si="2748"/>
        <v>0</v>
      </c>
      <c r="W1890" s="1423">
        <f t="shared" si="2749"/>
        <v>0</v>
      </c>
      <c r="X1890" s="152"/>
      <c r="Y1890" s="152"/>
      <c r="Z1890" s="152"/>
      <c r="AA1890" s="152"/>
      <c r="AB1890" s="152"/>
    </row>
    <row r="1891" spans="1:28" hidden="1" outlineLevel="1">
      <c r="A1891" s="152"/>
      <c r="B1891" s="190" t="str">
        <f t="shared" ca="1" si="2750"/>
        <v>RL Capex 2032-33</v>
      </c>
      <c r="C1891" s="1429"/>
      <c r="D1891" s="1429"/>
      <c r="E1891" s="1429"/>
      <c r="F1891" s="1429"/>
      <c r="G1891" s="1429"/>
      <c r="H1891" s="1429"/>
      <c r="I1891" s="1429"/>
      <c r="J1891" s="1429"/>
      <c r="K1891" s="1429"/>
      <c r="L1891" s="1429"/>
      <c r="M1891" s="1429"/>
      <c r="N1891" s="1429"/>
      <c r="O1891" s="1429"/>
      <c r="P1891" s="1429"/>
      <c r="Q1891" s="1429"/>
      <c r="R1891" s="1429"/>
      <c r="S1891" s="1424"/>
      <c r="T1891" s="1428">
        <f>T1846</f>
        <v>0</v>
      </c>
      <c r="U1891" s="1423">
        <f t="shared" si="2747"/>
        <v>0</v>
      </c>
      <c r="V1891" s="1423">
        <f t="shared" si="2748"/>
        <v>0</v>
      </c>
      <c r="W1891" s="1423">
        <f t="shared" si="2749"/>
        <v>0</v>
      </c>
      <c r="X1891" s="152"/>
      <c r="Y1891" s="152"/>
      <c r="Z1891" s="152"/>
      <c r="AA1891" s="152"/>
      <c r="AB1891" s="152"/>
    </row>
    <row r="1892" spans="1:28" hidden="1" outlineLevel="1">
      <c r="A1892" s="152"/>
      <c r="B1892" s="190" t="str">
        <f t="shared" ca="1" si="2750"/>
        <v>RL Capex 2033-34</v>
      </c>
      <c r="C1892" s="1429"/>
      <c r="D1892" s="1429"/>
      <c r="E1892" s="1429"/>
      <c r="F1892" s="1429"/>
      <c r="G1892" s="1429"/>
      <c r="H1892" s="1429"/>
      <c r="I1892" s="1429"/>
      <c r="J1892" s="1429"/>
      <c r="K1892" s="1429"/>
      <c r="L1892" s="1429"/>
      <c r="M1892" s="1429"/>
      <c r="N1892" s="1429"/>
      <c r="O1892" s="1429"/>
      <c r="P1892" s="1429"/>
      <c r="Q1892" s="1429"/>
      <c r="R1892" s="1429"/>
      <c r="S1892" s="1429"/>
      <c r="T1892" s="1424"/>
      <c r="U1892" s="1428">
        <f>U1846</f>
        <v>0</v>
      </c>
      <c r="V1892" s="1423">
        <f t="shared" si="2748"/>
        <v>0</v>
      </c>
      <c r="W1892" s="1423">
        <f t="shared" si="2749"/>
        <v>0</v>
      </c>
      <c r="X1892" s="152"/>
      <c r="Y1892" s="152"/>
      <c r="Z1892" s="152"/>
      <c r="AA1892" s="152"/>
      <c r="AB1892" s="152"/>
    </row>
    <row r="1893" spans="1:28" hidden="1" outlineLevel="1">
      <c r="A1893" s="152"/>
      <c r="B1893" s="190" t="str">
        <f t="shared" ca="1" si="2750"/>
        <v>RL Capex 2034-35</v>
      </c>
      <c r="C1893" s="1429"/>
      <c r="D1893" s="1429"/>
      <c r="E1893" s="1429"/>
      <c r="F1893" s="1429"/>
      <c r="G1893" s="1429"/>
      <c r="H1893" s="1429"/>
      <c r="I1893" s="1429"/>
      <c r="J1893" s="1429"/>
      <c r="K1893" s="1429"/>
      <c r="L1893" s="1429"/>
      <c r="M1893" s="1429"/>
      <c r="N1893" s="1429"/>
      <c r="O1893" s="1429"/>
      <c r="P1893" s="1429"/>
      <c r="Q1893" s="1429"/>
      <c r="R1893" s="1429"/>
      <c r="S1893" s="1429"/>
      <c r="T1893" s="1429"/>
      <c r="U1893" s="1424"/>
      <c r="V1893" s="1428">
        <f>V1846</f>
        <v>0</v>
      </c>
      <c r="W1893" s="1423">
        <f>IF(V1893="n/a","n/a",MAX(0,V1893-1))</f>
        <v>0</v>
      </c>
      <c r="X1893" s="152"/>
      <c r="Y1893" s="152"/>
      <c r="Z1893" s="152"/>
      <c r="AA1893" s="152"/>
      <c r="AB1893" s="152"/>
    </row>
    <row r="1894" spans="1:28" hidden="1" outlineLevel="1">
      <c r="A1894" s="152"/>
      <c r="B1894" s="190" t="str">
        <f t="shared" ca="1" si="2750"/>
        <v>RL Capex 2035-36</v>
      </c>
      <c r="C1894" s="1429"/>
      <c r="D1894" s="1429"/>
      <c r="E1894" s="1429"/>
      <c r="F1894" s="1429"/>
      <c r="G1894" s="1429"/>
      <c r="H1894" s="1429"/>
      <c r="I1894" s="1429"/>
      <c r="J1894" s="1429"/>
      <c r="K1894" s="1429"/>
      <c r="L1894" s="1429"/>
      <c r="M1894" s="1429"/>
      <c r="N1894" s="1429"/>
      <c r="O1894" s="1429"/>
      <c r="P1894" s="1429"/>
      <c r="Q1894" s="1429"/>
      <c r="R1894" s="1429"/>
      <c r="S1894" s="1429"/>
      <c r="T1894" s="1429"/>
      <c r="U1894" s="1429"/>
      <c r="V1894" s="1424"/>
      <c r="W1894" s="1423">
        <f>W1846</f>
        <v>0</v>
      </c>
      <c r="X1894" s="152"/>
      <c r="Y1894" s="152"/>
      <c r="Z1894" s="152"/>
      <c r="AA1894" s="152"/>
      <c r="AB1894" s="152"/>
    </row>
    <row r="1895" spans="1:28" hidden="1" outlineLevel="1">
      <c r="A1895" s="152"/>
      <c r="B1895" s="200"/>
      <c r="C1895" s="1423"/>
      <c r="D1895" s="1423"/>
      <c r="E1895" s="1423"/>
      <c r="F1895" s="1423"/>
      <c r="G1895" s="1423"/>
      <c r="H1895" s="1423"/>
      <c r="I1895" s="1423"/>
      <c r="J1895" s="1423"/>
      <c r="K1895" s="1423"/>
      <c r="L1895" s="1423"/>
      <c r="M1895" s="1423"/>
      <c r="N1895" s="1423"/>
      <c r="O1895" s="1423"/>
      <c r="P1895" s="1423"/>
      <c r="Q1895" s="1423"/>
      <c r="R1895" s="1423"/>
      <c r="S1895" s="1423"/>
      <c r="T1895" s="1423"/>
      <c r="U1895" s="1423"/>
      <c r="V1895" s="1423"/>
      <c r="W1895" s="1423"/>
      <c r="X1895" s="152"/>
      <c r="Y1895" s="152"/>
      <c r="Z1895" s="152"/>
      <c r="AA1895" s="152"/>
      <c r="AB1895" s="152"/>
    </row>
    <row r="1896" spans="1:28" collapsed="1">
      <c r="A1896" s="194"/>
      <c r="B1896" s="204" t="s">
        <v>123</v>
      </c>
      <c r="C1896" s="1430">
        <f ca="1">(IF(OR($C1846&lt;&gt;"n/a",C1846&lt;&gt;"n/a"),IF(SUM(C1849:C1871)=0,0,IF((SUMPRODUCT(C1849:C1871,C1873:C1895)/SUM(C1849:C1871))&lt;0,1,(SUMPRODUCT(C1849:C1871,C1873:C1895)/SUM(C1849:C1871)))),"n/a"))</f>
        <v>0</v>
      </c>
      <c r="D1896" s="1430">
        <f ca="1">(IF(OR($C1846&lt;&gt;"n/a",D1846&lt;&gt;"n/a"),IF(SUM(D1849:D1871)=0,0,IF((SUMPRODUCT(D1849:D1871,D1873:D1895)/SUM(D1849:D1871))&lt;0,1,(SUMPRODUCT(D1849:D1871,D1873:D1895)/SUM(D1849:D1871)))),"n/a"))</f>
        <v>0</v>
      </c>
      <c r="E1896" s="1430">
        <f t="shared" ref="E1896:W1896" ca="1" si="2751">(IF(OR($C1846&lt;&gt;"n/a",E1846&lt;&gt;"n/a"),IF(SUM(E1849:E1871)=0,0,IF((SUMPRODUCT(E1849:E1871,E1873:E1895)/SUM(E1849:E1871))&lt;0,1,(SUMPRODUCT(E1849:E1871,E1873:E1895)/SUM(E1849:E1871)))),"n/a"))</f>
        <v>0</v>
      </c>
      <c r="F1896" s="1430">
        <f t="shared" ca="1" si="2751"/>
        <v>0</v>
      </c>
      <c r="G1896" s="1430">
        <f t="shared" ca="1" si="2751"/>
        <v>0</v>
      </c>
      <c r="H1896" s="1430">
        <f t="shared" ca="1" si="2751"/>
        <v>0</v>
      </c>
      <c r="I1896" s="1430">
        <f t="shared" ca="1" si="2751"/>
        <v>0</v>
      </c>
      <c r="J1896" s="1430">
        <f t="shared" ca="1" si="2751"/>
        <v>0</v>
      </c>
      <c r="K1896" s="1430">
        <f t="shared" ca="1" si="2751"/>
        <v>0</v>
      </c>
      <c r="L1896" s="1430">
        <f t="shared" ca="1" si="2751"/>
        <v>0</v>
      </c>
      <c r="M1896" s="1430">
        <f t="shared" ca="1" si="2751"/>
        <v>0</v>
      </c>
      <c r="N1896" s="1430">
        <f t="shared" ca="1" si="2751"/>
        <v>0</v>
      </c>
      <c r="O1896" s="1430">
        <f t="shared" ca="1" si="2751"/>
        <v>0</v>
      </c>
      <c r="P1896" s="1430">
        <f t="shared" ca="1" si="2751"/>
        <v>0</v>
      </c>
      <c r="Q1896" s="1430">
        <f t="shared" ca="1" si="2751"/>
        <v>0</v>
      </c>
      <c r="R1896" s="1430">
        <f t="shared" ca="1" si="2751"/>
        <v>0</v>
      </c>
      <c r="S1896" s="1430">
        <f t="shared" ca="1" si="2751"/>
        <v>0</v>
      </c>
      <c r="T1896" s="1430">
        <f t="shared" ca="1" si="2751"/>
        <v>0</v>
      </c>
      <c r="U1896" s="1430">
        <f t="shared" ca="1" si="2751"/>
        <v>0</v>
      </c>
      <c r="V1896" s="1430">
        <f t="shared" ca="1" si="2751"/>
        <v>0</v>
      </c>
      <c r="W1896" s="1430">
        <f t="shared" ca="1" si="2751"/>
        <v>0</v>
      </c>
      <c r="X1896" s="152"/>
      <c r="Y1896" s="152"/>
      <c r="Z1896" s="152"/>
      <c r="AA1896" s="152"/>
      <c r="AB1896" s="152"/>
    </row>
    <row r="1897" spans="1:28">
      <c r="A1897" s="152"/>
      <c r="B1897" s="152"/>
      <c r="C1897" s="1423"/>
      <c r="D1897" s="1423"/>
      <c r="E1897" s="1423"/>
      <c r="F1897" s="1423"/>
      <c r="G1897" s="1423"/>
      <c r="H1897" s="1423"/>
      <c r="I1897" s="1423"/>
      <c r="J1897" s="1423"/>
      <c r="K1897" s="1423"/>
      <c r="L1897" s="1423"/>
      <c r="M1897" s="1423"/>
      <c r="N1897" s="1423"/>
      <c r="O1897" s="1423"/>
      <c r="P1897" s="1423"/>
      <c r="Q1897" s="1423"/>
      <c r="R1897" s="1423"/>
      <c r="S1897" s="1423"/>
      <c r="T1897" s="1423"/>
      <c r="U1897" s="1423"/>
      <c r="V1897" s="1423"/>
      <c r="W1897" s="1423"/>
      <c r="X1897" s="152"/>
      <c r="Y1897" s="152"/>
      <c r="Z1897" s="152"/>
      <c r="AA1897" s="152"/>
      <c r="AB1897" s="152"/>
    </row>
    <row r="1898" spans="1:28">
      <c r="A1898" s="269" t="s">
        <v>102</v>
      </c>
      <c r="B1898" s="270">
        <f>VLOOKUP($A1898,'RFM input'!$E$7:$F$56,2,FALSE)</f>
        <v>0</v>
      </c>
      <c r="C1898" s="1431"/>
      <c r="D1898" s="1431"/>
      <c r="E1898" s="1432"/>
      <c r="F1898" s="1432"/>
      <c r="G1898" s="1432"/>
      <c r="H1898" s="1432"/>
      <c r="I1898" s="1432"/>
      <c r="J1898" s="1432"/>
      <c r="K1898" s="1432"/>
      <c r="L1898" s="1432"/>
      <c r="M1898" s="1432"/>
      <c r="N1898" s="1432"/>
      <c r="O1898" s="1432"/>
      <c r="P1898" s="1432"/>
      <c r="Q1898" s="1432"/>
      <c r="R1898" s="1432"/>
      <c r="S1898" s="1432"/>
      <c r="T1898" s="1432"/>
      <c r="U1898" s="1432"/>
      <c r="V1898" s="1432"/>
      <c r="W1898" s="1432"/>
      <c r="X1898" s="152"/>
      <c r="Y1898" s="152"/>
      <c r="Z1898" s="152"/>
      <c r="AA1898" s="152"/>
      <c r="AB1898" s="152"/>
    </row>
    <row r="1899" spans="1:28">
      <c r="A1899" s="215">
        <f>VALUE(REPLACE(A1898,1,12,""))</f>
        <v>36</v>
      </c>
      <c r="B1899" s="193" t="s">
        <v>126</v>
      </c>
      <c r="C1899" s="1416">
        <f ca="1">IF($D$6='TAB roll forward'!$H$4,OFFSET('TAB roll forward'!$H$7,A1899,0),"enter input")</f>
        <v>0</v>
      </c>
      <c r="D1899" s="1417">
        <f>IF(LEFT(D$6,4)&lt;LEFT('RFM input'!$G$60,4),"enter input",IF(LEFT(D$6,4)&gt;LEFT('RFM input'!$Q$60,4),0,
INDEX('RFM input'!$G$61:$Q$110,$A1899,MATCH(D$6,'RFM input'!$G$60:$Q$60,0))
   -INDEX('RFM input'!$G$115:$Q$164,$A1899,MATCH(D$6,'RFM input'!$G$60:$Q$60,0))))</f>
        <v>0</v>
      </c>
      <c r="E1899" s="1417">
        <f>IF(LEFT(E$6,4)&lt;LEFT('RFM input'!$G$60,4),"enter input",IF(LEFT(E$6,4)&gt;LEFT('RFM input'!$Q$60,4),0,
INDEX('RFM input'!$G$61:$Q$110,$A1899,MATCH(E$6,'RFM input'!$G$60:$Q$60,0))
   -INDEX('RFM input'!$G$115:$Q$164,$A1899,MATCH(E$6,'RFM input'!$G$60:$Q$60,0))))</f>
        <v>0</v>
      </c>
      <c r="F1899" s="1417">
        <f>IF(LEFT(F$6,4)&lt;LEFT('RFM input'!$G$60,4),"enter input",IF(LEFT(F$6,4)&gt;LEFT('RFM input'!$Q$60,4),0,
INDEX('RFM input'!$G$61:$Q$110,$A1899,MATCH(F$6,'RFM input'!$G$60:$Q$60,0))
   -INDEX('RFM input'!$G$115:$Q$164,$A1899,MATCH(F$6,'RFM input'!$G$60:$Q$60,0))))</f>
        <v>0</v>
      </c>
      <c r="G1899" s="1417">
        <f>IF(LEFT(G$6,4)&lt;LEFT('RFM input'!$G$60,4),"enter input",IF(LEFT(G$6,4)&gt;LEFT('RFM input'!$Q$60,4),0,
INDEX('RFM input'!$G$61:$Q$110,$A1899,MATCH(G$6,'RFM input'!$G$60:$Q$60,0))
   -INDEX('RFM input'!$G$115:$Q$164,$A1899,MATCH(G$6,'RFM input'!$G$60:$Q$60,0))))</f>
        <v>0</v>
      </c>
      <c r="H1899" s="1417">
        <f>IF(LEFT(H$6,4)&lt;LEFT('RFM input'!$G$60,4),"enter input",IF(LEFT(H$6,4)&gt;LEFT('RFM input'!$Q$60,4),0,
INDEX('RFM input'!$G$61:$Q$110,$A1899,MATCH(H$6,'RFM input'!$G$60:$Q$60,0))
   -INDEX('RFM input'!$G$115:$Q$164,$A1899,MATCH(H$6,'RFM input'!$G$60:$Q$60,0))))</f>
        <v>0</v>
      </c>
      <c r="I1899" s="1417">
        <f>IF(LEFT(I$6,4)&lt;LEFT('RFM input'!$G$60,4),"enter input",IF(LEFT(I$6,4)&gt;LEFT('RFM input'!$Q$60,4),0,
INDEX('RFM input'!$G$61:$Q$110,$A1899,MATCH(I$6,'RFM input'!$G$60:$Q$60,0))
   -INDEX('RFM input'!$G$115:$Q$164,$A1899,MATCH(I$6,'RFM input'!$G$60:$Q$60,0))))</f>
        <v>0</v>
      </c>
      <c r="J1899" s="1417">
        <f>IF(LEFT(J$6,4)&lt;LEFT('RFM input'!$G$60,4),"enter input",IF(LEFT(J$6,4)&gt;LEFT('RFM input'!$Q$60,4),0,
INDEX('RFM input'!$G$61:$Q$110,$A1899,MATCH(J$6,'RFM input'!$G$60:$Q$60,0))
   -INDEX('RFM input'!$G$115:$Q$164,$A1899,MATCH(J$6,'RFM input'!$G$60:$Q$60,0))))</f>
        <v>0</v>
      </c>
      <c r="K1899" s="1417">
        <f>IF(LEFT(K$6,4)&lt;LEFT('RFM input'!$G$60,4),"enter input",IF(LEFT(K$6,4)&gt;LEFT('RFM input'!$Q$60,4),0,
INDEX('RFM input'!$G$61:$Q$110,$A1899,MATCH(K$6,'RFM input'!$G$60:$Q$60,0))
   -INDEX('RFM input'!$G$115:$Q$164,$A1899,MATCH(K$6,'RFM input'!$G$60:$Q$60,0))))</f>
        <v>0</v>
      </c>
      <c r="L1899" s="1417">
        <f>IF(LEFT(L$6,4)&lt;LEFT('RFM input'!$G$60,4),"enter input",IF(LEFT(L$6,4)&gt;LEFT('RFM input'!$Q$60,4),0,
INDEX('RFM input'!$G$61:$Q$110,$A1899,MATCH(L$6,'RFM input'!$G$60:$Q$60,0))
   -INDEX('RFM input'!$G$115:$Q$164,$A1899,MATCH(L$6,'RFM input'!$G$60:$Q$60,0))))</f>
        <v>0</v>
      </c>
      <c r="M1899" s="1417">
        <f>IF(LEFT(M$6,4)&lt;LEFT('RFM input'!$G$60,4),"enter input",IF(LEFT(M$6,4)&gt;LEFT('RFM input'!$Q$60,4),0,
INDEX('RFM input'!$G$61:$Q$110,$A1899,MATCH(M$6,'RFM input'!$G$60:$Q$60,0))
   -INDEX('RFM input'!$G$115:$Q$164,$A1899,MATCH(M$6,'RFM input'!$G$60:$Q$60,0))))</f>
        <v>0</v>
      </c>
      <c r="N1899" s="1417">
        <f>IF(LEFT(N$6,4)&lt;LEFT('RFM input'!$G$60,4),"enter input",IF(LEFT(N$6,4)&gt;LEFT('RFM input'!$Q$60,4),0,
INDEX('RFM input'!$G$61:$Q$110,$A1899,MATCH(N$6,'RFM input'!$G$60:$Q$60,0))
   -INDEX('RFM input'!$G$115:$Q$164,$A1899,MATCH(N$6,'RFM input'!$G$60:$Q$60,0))))</f>
        <v>0</v>
      </c>
      <c r="O1899" s="1417">
        <f>IF(LEFT(O$6,4)&lt;LEFT('RFM input'!$G$60,4),"enter input",IF(LEFT(O$6,4)&gt;LEFT('RFM input'!$Q$60,4),0,
INDEX('RFM input'!$G$61:$Q$110,$A1899,MATCH(O$6,'RFM input'!$G$60:$Q$60,0))
   -INDEX('RFM input'!$G$115:$Q$164,$A1899,MATCH(O$6,'RFM input'!$G$60:$Q$60,0))))</f>
        <v>0</v>
      </c>
      <c r="P1899" s="1417">
        <f>IF(LEFT(P$6,4)&lt;LEFT('RFM input'!$G$60,4),"enter input",IF(LEFT(P$6,4)&gt;LEFT('RFM input'!$Q$60,4),0,
INDEX('RFM input'!$G$61:$Q$110,$A1899,MATCH(P$6,'RFM input'!$G$60:$Q$60,0))
   -INDEX('RFM input'!$G$115:$Q$164,$A1899,MATCH(P$6,'RFM input'!$G$60:$Q$60,0))))</f>
        <v>0</v>
      </c>
      <c r="Q1899" s="1417">
        <f>IF(LEFT(Q$6,4)&lt;LEFT('RFM input'!$G$60,4),"enter input",IF(LEFT(Q$6,4)&gt;LEFT('RFM input'!$Q$60,4),0,
INDEX('RFM input'!$G$61:$Q$110,$A1899,MATCH(Q$6,'RFM input'!$G$60:$Q$60,0))
   -INDEX('RFM input'!$G$115:$Q$164,$A1899,MATCH(Q$6,'RFM input'!$G$60:$Q$60,0))))</f>
        <v>0</v>
      </c>
      <c r="R1899" s="1417">
        <f>IF(LEFT(R$6,4)&lt;LEFT('RFM input'!$G$60,4),"enter input",IF(LEFT(R$6,4)&gt;LEFT('RFM input'!$Q$60,4),0,
INDEX('RFM input'!$G$61:$Q$110,$A1899,MATCH(R$6,'RFM input'!$G$60:$Q$60,0))
   -INDEX('RFM input'!$G$115:$Q$164,$A1899,MATCH(R$6,'RFM input'!$G$60:$Q$60,0))))</f>
        <v>0</v>
      </c>
      <c r="S1899" s="1417">
        <f>IF(LEFT(S$6,4)&lt;LEFT('RFM input'!$G$60,4),"enter input",IF(LEFT(S$6,4)&gt;LEFT('RFM input'!$Q$60,4),0,
INDEX('RFM input'!$G$61:$Q$110,$A1899,MATCH(S$6,'RFM input'!$G$60:$Q$60,0))
   -INDEX('RFM input'!$G$115:$Q$164,$A1899,MATCH(S$6,'RFM input'!$G$60:$Q$60,0))))</f>
        <v>0</v>
      </c>
      <c r="T1899" s="1417">
        <f>IF(LEFT(T$6,4)&lt;LEFT('RFM input'!$G$60,4),"enter input",IF(LEFT(T$6,4)&gt;LEFT('RFM input'!$Q$60,4),0,
INDEX('RFM input'!$G$61:$Q$110,$A1899,MATCH(T$6,'RFM input'!$G$60:$Q$60,0))
   -INDEX('RFM input'!$G$115:$Q$164,$A1899,MATCH(T$6,'RFM input'!$G$60:$Q$60,0))))</f>
        <v>0</v>
      </c>
      <c r="U1899" s="1417">
        <f>IF(LEFT(U$6,4)&lt;LEFT('RFM input'!$G$60,4),"enter input",IF(LEFT(U$6,4)&gt;LEFT('RFM input'!$Q$60,4),0,
INDEX('RFM input'!$G$61:$Q$110,$A1899,MATCH(U$6,'RFM input'!$G$60:$Q$60,0))
   -INDEX('RFM input'!$G$115:$Q$164,$A1899,MATCH(U$6,'RFM input'!$G$60:$Q$60,0))))</f>
        <v>0</v>
      </c>
      <c r="V1899" s="1417">
        <f>IF(LEFT(V$6,4)&lt;LEFT('RFM input'!$G$60,4),"enter input",IF(LEFT(V$6,4)&gt;LEFT('RFM input'!$Q$60,4),0,
INDEX('RFM input'!$G$61:$Q$110,$A1899,MATCH(V$6,'RFM input'!$G$60:$Q$60,0))
   -INDEX('RFM input'!$G$115:$Q$164,$A1899,MATCH(V$6,'RFM input'!$G$60:$Q$60,0))))</f>
        <v>0</v>
      </c>
      <c r="W1899" s="1417">
        <f>IF(LEFT(W$6,4)&lt;LEFT('RFM input'!$G$60,4),"enter input",IF(LEFT(W$6,4)&gt;LEFT('RFM input'!$Q$60,4),0,
INDEX('RFM input'!$G$61:$Q$110,$A1899,MATCH(W$6,'RFM input'!$G$60:$Q$60,0))
   -INDEX('RFM input'!$G$115:$Q$164,$A1899,MATCH(W$6,'RFM input'!$G$60:$Q$60,0))))</f>
        <v>0</v>
      </c>
      <c r="X1899" s="152"/>
      <c r="Y1899" s="152"/>
      <c r="Z1899" s="152"/>
      <c r="AA1899" s="152"/>
      <c r="AB1899" s="152"/>
    </row>
    <row r="1900" spans="1:28">
      <c r="A1900" s="152"/>
      <c r="B1900" s="152" t="s">
        <v>205</v>
      </c>
      <c r="C1900" s="1418">
        <f ca="1">IF($D$6='TAB roll forward'!$H$4,OFFSET('RFM input'!$S$6,$A1899,0),"enter input")</f>
        <v>0</v>
      </c>
      <c r="D1900" s="1417">
        <f>IF(LEFT(D$6,4)&lt;=LEFT('RFM input'!$G$60,4),"enter input",IF(LEFT(D$6,4)&gt;LEFT('RFM input'!$Q$60,4),0,
IF(MATCH(D$6,'RFM input'!$H$60:$Q$60,0),INDEX('RFM input'!$T$7:$T$56,$A1899,1,1))))</f>
        <v>0</v>
      </c>
      <c r="E1900" s="1417">
        <f>IF(LEFT(E$6,4)&lt;=LEFT('RFM input'!$G$60,4),"enter input",IF(LEFT(E$6,4)&gt;LEFT('RFM input'!$Q$60,4),0,
IF(MATCH(E$6,'RFM input'!$H$60:$Q$60,0),INDEX('RFM input'!$T$7:$T$56,$A1899,1,1))))</f>
        <v>0</v>
      </c>
      <c r="F1900" s="1417">
        <f>IF(LEFT(F$6,4)&lt;=LEFT('RFM input'!$G$60,4),"enter input",IF(LEFT(F$6,4)&gt;LEFT('RFM input'!$Q$60,4),0,
IF(MATCH(F$6,'RFM input'!$H$60:$Q$60,0),INDEX('RFM input'!$T$7:$T$56,$A1899,1,1))))</f>
        <v>0</v>
      </c>
      <c r="G1900" s="1417">
        <f>IF(LEFT(G$6,4)&lt;=LEFT('RFM input'!$G$60,4),"enter input",IF(LEFT(G$6,4)&gt;LEFT('RFM input'!$Q$60,4),0,
IF(MATCH(G$6,'RFM input'!$H$60:$Q$60,0),INDEX('RFM input'!$T$7:$T$56,$A1899,1,1))))</f>
        <v>0</v>
      </c>
      <c r="H1900" s="1417">
        <f>IF(LEFT(H$6,4)&lt;=LEFT('RFM input'!$G$60,4),"enter input",IF(LEFT(H$6,4)&gt;LEFT('RFM input'!$Q$60,4),0,
IF(MATCH(H$6,'RFM input'!$H$60:$Q$60,0),INDEX('RFM input'!$T$7:$T$56,$A1899,1,1))))</f>
        <v>0</v>
      </c>
      <c r="I1900" s="1417">
        <f>IF(LEFT(I$6,4)&lt;=LEFT('RFM input'!$G$60,4),"enter input",IF(LEFT(I$6,4)&gt;LEFT('RFM input'!$Q$60,4),0,
IF(MATCH(I$6,'RFM input'!$H$60:$Q$60,0),INDEX('RFM input'!$T$7:$T$56,$A1899,1,1))))</f>
        <v>0</v>
      </c>
      <c r="J1900" s="1417">
        <f>IF(LEFT(J$6,4)&lt;=LEFT('RFM input'!$G$60,4),"enter input",IF(LEFT(J$6,4)&gt;LEFT('RFM input'!$Q$60,4),0,
IF(MATCH(J$6,'RFM input'!$H$60:$Q$60,0),INDEX('RFM input'!$T$7:$T$56,$A1899,1,1))))</f>
        <v>0</v>
      </c>
      <c r="K1900" s="1417">
        <f>IF(LEFT(K$6,4)&lt;=LEFT('RFM input'!$G$60,4),"enter input",IF(LEFT(K$6,4)&gt;LEFT('RFM input'!$Q$60,4),0,
IF(MATCH(K$6,'RFM input'!$H$60:$Q$60,0),INDEX('RFM input'!$T$7:$T$56,$A1899,1,1))))</f>
        <v>0</v>
      </c>
      <c r="L1900" s="1417">
        <f>IF(LEFT(L$6,4)&lt;=LEFT('RFM input'!$G$60,4),"enter input",IF(LEFT(L$6,4)&gt;LEFT('RFM input'!$Q$60,4),0,
IF(MATCH(L$6,'RFM input'!$H$60:$Q$60,0),INDEX('RFM input'!$T$7:$T$56,$A1899,1,1))))</f>
        <v>0</v>
      </c>
      <c r="M1900" s="1417">
        <f>IF(LEFT(M$6,4)&lt;=LEFT('RFM input'!$G$60,4),"enter input",IF(LEFT(M$6,4)&gt;LEFT('RFM input'!$Q$60,4),0,
IF(MATCH(M$6,'RFM input'!$H$60:$Q$60,0),INDEX('RFM input'!$T$7:$T$56,$A1899,1,1))))</f>
        <v>0</v>
      </c>
      <c r="N1900" s="1417">
        <f>IF(LEFT(N$6,4)&lt;=LEFT('RFM input'!$G$60,4),"enter input",IF(LEFT(N$6,4)&gt;LEFT('RFM input'!$Q$60,4),0,
IF(MATCH(N$6,'RFM input'!$H$60:$Q$60,0),INDEX('RFM input'!$T$7:$T$56,$A1899,1,1))))</f>
        <v>0</v>
      </c>
      <c r="O1900" s="1417">
        <f>IF(LEFT(O$6,4)&lt;=LEFT('RFM input'!$G$60,4),"enter input",IF(LEFT(O$6,4)&gt;LEFT('RFM input'!$Q$60,4),0,
IF(MATCH(O$6,'RFM input'!$H$60:$Q$60,0),INDEX('RFM input'!$T$7:$T$56,$A1899,1,1))))</f>
        <v>0</v>
      </c>
      <c r="P1900" s="1417">
        <f>IF(LEFT(P$6,4)&lt;=LEFT('RFM input'!$G$60,4),"enter input",IF(LEFT(P$6,4)&gt;LEFT('RFM input'!$Q$60,4),0,
IF(MATCH(P$6,'RFM input'!$H$60:$Q$60,0),INDEX('RFM input'!$T$7:$T$56,$A1899,1,1))))</f>
        <v>0</v>
      </c>
      <c r="Q1900" s="1417">
        <f>IF(LEFT(Q$6,4)&lt;=LEFT('RFM input'!$G$60,4),"enter input",IF(LEFT(Q$6,4)&gt;LEFT('RFM input'!$Q$60,4),0,
IF(MATCH(Q$6,'RFM input'!$H$60:$Q$60,0),INDEX('RFM input'!$T$7:$T$56,$A1899,1,1))))</f>
        <v>0</v>
      </c>
      <c r="R1900" s="1417">
        <f>IF(LEFT(R$6,4)&lt;=LEFT('RFM input'!$G$60,4),"enter input",IF(LEFT(R$6,4)&gt;LEFT('RFM input'!$Q$60,4),0,
IF(MATCH(R$6,'RFM input'!$H$60:$Q$60,0),INDEX('RFM input'!$T$7:$T$56,$A1899,1,1))))</f>
        <v>0</v>
      </c>
      <c r="S1900" s="1417">
        <f>IF(LEFT(S$6,4)&lt;=LEFT('RFM input'!$G$60,4),"enter input",IF(LEFT(S$6,4)&gt;LEFT('RFM input'!$Q$60,4),0,
IF(MATCH(S$6,'RFM input'!$H$60:$Q$60,0),INDEX('RFM input'!$T$7:$T$56,$A1899,1,1))))</f>
        <v>0</v>
      </c>
      <c r="T1900" s="1417">
        <f>IF(LEFT(T$6,4)&lt;=LEFT('RFM input'!$G$60,4),"enter input",IF(LEFT(T$6,4)&gt;LEFT('RFM input'!$Q$60,4),0,
IF(MATCH(T$6,'RFM input'!$H$60:$Q$60,0),INDEX('RFM input'!$T$7:$T$56,$A1899,1,1))))</f>
        <v>0</v>
      </c>
      <c r="U1900" s="1417">
        <f>IF(LEFT(U$6,4)&lt;=LEFT('RFM input'!$G$60,4),"enter input",IF(LEFT(U$6,4)&gt;LEFT('RFM input'!$Q$60,4),0,
IF(MATCH(U$6,'RFM input'!$H$60:$Q$60,0),INDEX('RFM input'!$T$7:$T$56,$A1899,1,1))))</f>
        <v>0</v>
      </c>
      <c r="V1900" s="1417">
        <f>IF(LEFT(V$6,4)&lt;=LEFT('RFM input'!$G$60,4),"enter input",IF(LEFT(V$6,4)&gt;LEFT('RFM input'!$Q$60,4),0,
IF(MATCH(V$6,'RFM input'!$H$60:$Q$60,0),INDEX('RFM input'!$T$7:$T$56,$A1899,1,1))))</f>
        <v>0</v>
      </c>
      <c r="W1900" s="1417">
        <f>IF(LEFT(W$6,4)&lt;=LEFT('RFM input'!$G$60,4),"enter input",IF(LEFT(W$6,4)&gt;LEFT('RFM input'!$Q$60,4),0,
IF(MATCH(W$6,'RFM input'!$H$60:$Q$60,0),INDEX('RFM input'!$T$7:$T$56,$A1899,1,1))))</f>
        <v>0</v>
      </c>
      <c r="X1900" s="152"/>
      <c r="Y1900" s="152"/>
      <c r="Z1900" s="152"/>
      <c r="AA1900" s="152"/>
      <c r="AB1900" s="152"/>
    </row>
    <row r="1901" spans="1:28">
      <c r="A1901" s="152"/>
      <c r="B1901" s="193" t="s">
        <v>192</v>
      </c>
      <c r="C1901" s="1419"/>
      <c r="D1901" s="1420">
        <f ca="1">IF(LEFT(D$6,4)&lt;=LEFT('RFM input'!$G$60,4),"enter input",IF(LEFT(D$6,4)&gt;LEFT('RFM input'!$Q$60,4),0,
IF(D$6=(OFFSET('RFM input'!$G$60,0,'RFM input'!$V$7)),OFFSET('RFM input'!$H$411,$A1899,0),0)))</f>
        <v>0</v>
      </c>
      <c r="E1901" s="1417">
        <f ca="1">IF(LEFT(E$6,4)&lt;=LEFT('RFM input'!$G$60,4),"enter input",IF(LEFT(E$6,4)&gt;LEFT('RFM input'!$Q$60,4),0,
IF(E$6=(OFFSET('RFM input'!$G$60,0,'RFM input'!$V$7)),OFFSET('RFM input'!$H$411,$A1899,0),0)))</f>
        <v>0</v>
      </c>
      <c r="F1901" s="1417">
        <f ca="1">IF(LEFT(F$6,4)&lt;=LEFT('RFM input'!$G$60,4),"enter input",IF(LEFT(F$6,4)&gt;LEFT('RFM input'!$Q$60,4),0,
IF(F$6=(OFFSET('RFM input'!$G$60,0,'RFM input'!$V$7)),OFFSET('RFM input'!$H$411,$A1899,0),0)))</f>
        <v>0</v>
      </c>
      <c r="G1901" s="1417">
        <f ca="1">IF(LEFT(G$6,4)&lt;=LEFT('RFM input'!$G$60,4),"enter input",IF(LEFT(G$6,4)&gt;LEFT('RFM input'!$Q$60,4),0,
IF(G$6=(OFFSET('RFM input'!$G$60,0,'RFM input'!$V$7)),OFFSET('RFM input'!$H$411,$A1899,0),0)))</f>
        <v>0</v>
      </c>
      <c r="H1901" s="1417">
        <f ca="1">IF(LEFT(H$6,4)&lt;=LEFT('RFM input'!$G$60,4),"enter input",IF(LEFT(H$6,4)&gt;LEFT('RFM input'!$Q$60,4),0,
IF(H$6=(OFFSET('RFM input'!$G$60,0,'RFM input'!$V$7)),OFFSET('RFM input'!$H$411,$A1899,0),0)))</f>
        <v>0</v>
      </c>
      <c r="I1901" s="1417">
        <f ca="1">IF(LEFT(I$6,4)&lt;=LEFT('RFM input'!$G$60,4),"enter input",IF(LEFT(I$6,4)&gt;LEFT('RFM input'!$Q$60,4),0,
IF(I$6=(OFFSET('RFM input'!$G$60,0,'RFM input'!$V$7)),OFFSET('RFM input'!$H$411,$A1899,0),0)))</f>
        <v>0</v>
      </c>
      <c r="J1901" s="1417">
        <f ca="1">IF(LEFT(J$6,4)&lt;=LEFT('RFM input'!$G$60,4),"enter input",IF(LEFT(J$6,4)&gt;LEFT('RFM input'!$Q$60,4),0,
IF(J$6=(OFFSET('RFM input'!$G$60,0,'RFM input'!$V$7)),OFFSET('RFM input'!$H$411,$A1899,0),0)))</f>
        <v>0</v>
      </c>
      <c r="K1901" s="1417">
        <f ca="1">IF(LEFT(K$6,4)&lt;=LEFT('RFM input'!$G$60,4),"enter input",IF(LEFT(K$6,4)&gt;LEFT('RFM input'!$Q$60,4),0,
IF(K$6=(OFFSET('RFM input'!$G$60,0,'RFM input'!$V$7)),OFFSET('RFM input'!$H$411,$A1899,0),0)))</f>
        <v>0</v>
      </c>
      <c r="L1901" s="1417">
        <f ca="1">IF(LEFT(L$6,4)&lt;=LEFT('RFM input'!$G$60,4),"enter input",IF(LEFT(L$6,4)&gt;LEFT('RFM input'!$Q$60,4),0,
IF(L$6=(OFFSET('RFM input'!$G$60,0,'RFM input'!$V$7)),OFFSET('RFM input'!$H$411,$A1899,0),0)))</f>
        <v>0</v>
      </c>
      <c r="M1901" s="1417">
        <f ca="1">IF(LEFT(M$6,4)&lt;=LEFT('RFM input'!$G$60,4),"enter input",IF(LEFT(M$6,4)&gt;LEFT('RFM input'!$Q$60,4),0,
IF(M$6=(OFFSET('RFM input'!$G$60,0,'RFM input'!$V$7)),OFFSET('RFM input'!$H$411,$A1899,0),0)))</f>
        <v>0</v>
      </c>
      <c r="N1901" s="1417">
        <f ca="1">IF(LEFT(N$6,4)&lt;=LEFT('RFM input'!$G$60,4),"enter input",IF(LEFT(N$6,4)&gt;LEFT('RFM input'!$Q$60,4),0,
IF(N$6=(OFFSET('RFM input'!$G$60,0,'RFM input'!$V$7)),OFFSET('RFM input'!$H$411,$A1899,0),0)))</f>
        <v>0</v>
      </c>
      <c r="O1901" s="1417">
        <f ca="1">IF(LEFT(O$6,4)&lt;=LEFT('RFM input'!$G$60,4),"enter input",IF(LEFT(O$6,4)&gt;LEFT('RFM input'!$Q$60,4),0,
IF(O$6=(OFFSET('RFM input'!$G$60,0,'RFM input'!$V$7)),OFFSET('RFM input'!$H$411,$A1899,0),0)))</f>
        <v>0</v>
      </c>
      <c r="P1901" s="1417">
        <f ca="1">IF(LEFT(P$6,4)&lt;=LEFT('RFM input'!$G$60,4),"enter input",IF(LEFT(P$6,4)&gt;LEFT('RFM input'!$Q$60,4),0,
IF(P$6=(OFFSET('RFM input'!$G$60,0,'RFM input'!$V$7)),OFFSET('RFM input'!$H$411,$A1899,0),0)))</f>
        <v>0</v>
      </c>
      <c r="Q1901" s="1417">
        <f ca="1">IF(LEFT(Q$6,4)&lt;=LEFT('RFM input'!$G$60,4),"enter input",IF(LEFT(Q$6,4)&gt;LEFT('RFM input'!$Q$60,4),0,
IF(Q$6=(OFFSET('RFM input'!$G$60,0,'RFM input'!$V$7)),OFFSET('RFM input'!$H$411,$A1899,0),0)))</f>
        <v>0</v>
      </c>
      <c r="R1901" s="1417">
        <f ca="1">IF(LEFT(R$6,4)&lt;=LEFT('RFM input'!$G$60,4),"enter input",IF(LEFT(R$6,4)&gt;LEFT('RFM input'!$Q$60,4),0,
IF(R$6=(OFFSET('RFM input'!$G$60,0,'RFM input'!$V$7)),OFFSET('RFM input'!$H$411,$A1899,0),0)))</f>
        <v>0</v>
      </c>
      <c r="S1901" s="1417">
        <f ca="1">IF(LEFT(S$6,4)&lt;=LEFT('RFM input'!$G$60,4),"enter input",IF(LEFT(S$6,4)&gt;LEFT('RFM input'!$Q$60,4),0,
IF(S$6=(OFFSET('RFM input'!$G$60,0,'RFM input'!$V$7)),OFFSET('RFM input'!$H$411,$A1899,0),0)))</f>
        <v>0</v>
      </c>
      <c r="T1901" s="1417">
        <f ca="1">IF(LEFT(T$6,4)&lt;=LEFT('RFM input'!$G$60,4),"enter input",IF(LEFT(T$6,4)&gt;LEFT('RFM input'!$Q$60,4),0,
IF(T$6=(OFFSET('RFM input'!$G$60,0,'RFM input'!$V$7)),OFFSET('RFM input'!$H$411,$A1899,0),0)))</f>
        <v>0</v>
      </c>
      <c r="U1901" s="1417">
        <f ca="1">IF(LEFT(U$6,4)&lt;=LEFT('RFM input'!$G$60,4),"enter input",IF(LEFT(U$6,4)&gt;LEFT('RFM input'!$Q$60,4),0,
IF(U$6=(OFFSET('RFM input'!$G$60,0,'RFM input'!$V$7)),OFFSET('RFM input'!$H$411,$A1899,0),0)))</f>
        <v>0</v>
      </c>
      <c r="V1901" s="1417">
        <f ca="1">IF(LEFT(V$6,4)&lt;=LEFT('RFM input'!$G$60,4),"enter input",IF(LEFT(V$6,4)&gt;LEFT('RFM input'!$Q$60,4),0,
IF(V$6=(OFFSET('RFM input'!$G$60,0,'RFM input'!$V$7)),OFFSET('RFM input'!$H$411,$A1899,0),0)))</f>
        <v>0</v>
      </c>
      <c r="W1901" s="1417">
        <f ca="1">IF(LEFT(W$6,4)&lt;=LEFT('RFM input'!$G$60,4),"enter input",IF(LEFT(W$6,4)&gt;LEFT('RFM input'!$Q$60,4),0,
IF(W$6=(OFFSET('RFM input'!$G$60,0,'RFM input'!$V$7)),OFFSET('RFM input'!$H$411,$A1899,0),0)))</f>
        <v>0</v>
      </c>
      <c r="X1901" s="152"/>
      <c r="Y1901" s="152"/>
      <c r="Z1901" s="152"/>
      <c r="AA1901" s="152"/>
      <c r="AB1901" s="152"/>
    </row>
    <row r="1902" spans="1:28">
      <c r="A1902" s="152"/>
      <c r="B1902" s="193" t="s">
        <v>200</v>
      </c>
      <c r="C1902" s="1419"/>
      <c r="D1902" s="1418">
        <f ca="1">IF(LEFT(D$6,4)&lt;=LEFT('RFM input'!$G$60,4),"enter input",IF(LEFT(D$6,4)&gt;LEFT('RFM input'!$Q$60,4),0,
IF(D$6=(OFFSET('RFM input'!$G$60,0,'RFM input'!$V$7)),OFFSET('RFM input'!$J$411,$A1899,0),0)))</f>
        <v>0</v>
      </c>
      <c r="E1902" s="1422">
        <f ca="1">IF(LEFT(E$6,4)&lt;=LEFT('RFM input'!$G$60,4),"enter input",IF(LEFT(E$6,4)&gt;LEFT('RFM input'!$Q$60,4),0,
IF(E$6=(OFFSET('RFM input'!$G$60,0,'RFM input'!$V$7)),OFFSET('RFM input'!$J$411,$A1899,0),0)))</f>
        <v>0</v>
      </c>
      <c r="F1902" s="1422">
        <f ca="1">IF(LEFT(F$6,4)&lt;=LEFT('RFM input'!$G$60,4),"enter input",IF(LEFT(F$6,4)&gt;LEFT('RFM input'!$Q$60,4),0,
IF(F$6=(OFFSET('RFM input'!$G$60,0,'RFM input'!$V$7)),OFFSET('RFM input'!$J$411,$A1899,0),0)))</f>
        <v>0</v>
      </c>
      <c r="G1902" s="1422">
        <f ca="1">IF(LEFT(G$6,4)&lt;=LEFT('RFM input'!$G$60,4),"enter input",IF(LEFT(G$6,4)&gt;LEFT('RFM input'!$Q$60,4),0,
IF(G$6=(OFFSET('RFM input'!$G$60,0,'RFM input'!$V$7)),OFFSET('RFM input'!$J$411,$A1899,0),0)))</f>
        <v>0</v>
      </c>
      <c r="H1902" s="1422">
        <f ca="1">IF(LEFT(H$6,4)&lt;=LEFT('RFM input'!$G$60,4),"enter input",IF(LEFT(H$6,4)&gt;LEFT('RFM input'!$Q$60,4),0,
IF(H$6=(OFFSET('RFM input'!$G$60,0,'RFM input'!$V$7)),OFFSET('RFM input'!$J$411,$A1899,0),0)))</f>
        <v>0</v>
      </c>
      <c r="I1902" s="1422">
        <f ca="1">IF(LEFT(I$6,4)&lt;=LEFT('RFM input'!$G$60,4),"enter input",IF(LEFT(I$6,4)&gt;LEFT('RFM input'!$Q$60,4),0,
IF(I$6=(OFFSET('RFM input'!$G$60,0,'RFM input'!$V$7)),OFFSET('RFM input'!$J$411,$A1899,0),0)))</f>
        <v>0</v>
      </c>
      <c r="J1902" s="1422">
        <f ca="1">IF(LEFT(J$6,4)&lt;=LEFT('RFM input'!$G$60,4),"enter input",IF(LEFT(J$6,4)&gt;LEFT('RFM input'!$Q$60,4),0,
IF(J$6=(OFFSET('RFM input'!$G$60,0,'RFM input'!$V$7)),OFFSET('RFM input'!$J$411,$A1899,0),0)))</f>
        <v>0</v>
      </c>
      <c r="K1902" s="1422">
        <f ca="1">IF(LEFT(K$6,4)&lt;=LEFT('RFM input'!$G$60,4),"enter input",IF(LEFT(K$6,4)&gt;LEFT('RFM input'!$Q$60,4),0,
IF(K$6=(OFFSET('RFM input'!$G$60,0,'RFM input'!$V$7)),OFFSET('RFM input'!$J$411,$A1899,0),0)))</f>
        <v>0</v>
      </c>
      <c r="L1902" s="1422">
        <f ca="1">IF(LEFT(L$6,4)&lt;=LEFT('RFM input'!$G$60,4),"enter input",IF(LEFT(L$6,4)&gt;LEFT('RFM input'!$Q$60,4),0,
IF(L$6=(OFFSET('RFM input'!$G$60,0,'RFM input'!$V$7)),OFFSET('RFM input'!$J$411,$A1899,0),0)))</f>
        <v>0</v>
      </c>
      <c r="M1902" s="1422">
        <f ca="1">IF(LEFT(M$6,4)&lt;=LEFT('RFM input'!$G$60,4),"enter input",IF(LEFT(M$6,4)&gt;LEFT('RFM input'!$Q$60,4),0,
IF(M$6=(OFFSET('RFM input'!$G$60,0,'RFM input'!$V$7)),OFFSET('RFM input'!$J$411,$A1899,0),0)))</f>
        <v>0</v>
      </c>
      <c r="N1902" s="1422">
        <f ca="1">IF(LEFT(N$6,4)&lt;=LEFT('RFM input'!$G$60,4),"enter input",IF(LEFT(N$6,4)&gt;LEFT('RFM input'!$Q$60,4),0,
IF(N$6=(OFFSET('RFM input'!$G$60,0,'RFM input'!$V$7)),OFFSET('RFM input'!$J$411,$A1899,0),0)))</f>
        <v>0</v>
      </c>
      <c r="O1902" s="1422">
        <f ca="1">IF(LEFT(O$6,4)&lt;=LEFT('RFM input'!$G$60,4),"enter input",IF(LEFT(O$6,4)&gt;LEFT('RFM input'!$Q$60,4),0,
IF(O$6=(OFFSET('RFM input'!$G$60,0,'RFM input'!$V$7)),OFFSET('RFM input'!$J$411,$A1899,0),0)))</f>
        <v>0</v>
      </c>
      <c r="P1902" s="1422">
        <f ca="1">IF(LEFT(P$6,4)&lt;=LEFT('RFM input'!$G$60,4),"enter input",IF(LEFT(P$6,4)&gt;LEFT('RFM input'!$Q$60,4),0,
IF(P$6=(OFFSET('RFM input'!$G$60,0,'RFM input'!$V$7)),OFFSET('RFM input'!$J$411,$A1899,0),0)))</f>
        <v>0</v>
      </c>
      <c r="Q1902" s="1422">
        <f ca="1">IF(LEFT(Q$6,4)&lt;=LEFT('RFM input'!$G$60,4),"enter input",IF(LEFT(Q$6,4)&gt;LEFT('RFM input'!$Q$60,4),0,
IF(Q$6=(OFFSET('RFM input'!$G$60,0,'RFM input'!$V$7)),OFFSET('RFM input'!$J$411,$A1899,0),0)))</f>
        <v>0</v>
      </c>
      <c r="R1902" s="1422">
        <f ca="1">IF(LEFT(R$6,4)&lt;=LEFT('RFM input'!$G$60,4),"enter input",IF(LEFT(R$6,4)&gt;LEFT('RFM input'!$Q$60,4),0,
IF(R$6=(OFFSET('RFM input'!$G$60,0,'RFM input'!$V$7)),OFFSET('RFM input'!$J$411,$A1899,0),0)))</f>
        <v>0</v>
      </c>
      <c r="S1902" s="1422">
        <f ca="1">IF(LEFT(S$6,4)&lt;=LEFT('RFM input'!$G$60,4),"enter input",IF(LEFT(S$6,4)&gt;LEFT('RFM input'!$Q$60,4),0,
IF(S$6=(OFFSET('RFM input'!$G$60,0,'RFM input'!$V$7)),OFFSET('RFM input'!$J$411,$A1899,0),0)))</f>
        <v>0</v>
      </c>
      <c r="T1902" s="1422">
        <f ca="1">IF(LEFT(T$6,4)&lt;=LEFT('RFM input'!$G$60,4),"enter input",IF(LEFT(T$6,4)&gt;LEFT('RFM input'!$Q$60,4),0,
IF(T$6=(OFFSET('RFM input'!$G$60,0,'RFM input'!$V$7)),OFFSET('RFM input'!$J$411,$A1899,0),0)))</f>
        <v>0</v>
      </c>
      <c r="U1902" s="1422">
        <f ca="1">IF(LEFT(U$6,4)&lt;=LEFT('RFM input'!$G$60,4),"enter input",IF(LEFT(U$6,4)&gt;LEFT('RFM input'!$Q$60,4),0,
IF(U$6=(OFFSET('RFM input'!$G$60,0,'RFM input'!$V$7)),OFFSET('RFM input'!$J$411,$A1899,0),0)))</f>
        <v>0</v>
      </c>
      <c r="V1902" s="1422">
        <f ca="1">IF(LEFT(V$6,4)&lt;=LEFT('RFM input'!$G$60,4),"enter input",IF(LEFT(V$6,4)&gt;LEFT('RFM input'!$Q$60,4),0,
IF(V$6=(OFFSET('RFM input'!$G$60,0,'RFM input'!$V$7)),OFFSET('RFM input'!$J$411,$A1899,0),0)))</f>
        <v>0</v>
      </c>
      <c r="W1902" s="1422">
        <f ca="1">IF(LEFT(W$6,4)&lt;=LEFT('RFM input'!$G$60,4),"enter input",IF(LEFT(W$6,4)&gt;LEFT('RFM input'!$Q$60,4),0,
IF(W$6=(OFFSET('RFM input'!$G$60,0,'RFM input'!$V$7)),OFFSET('RFM input'!$J$411,$A1899,0),0)))</f>
        <v>0</v>
      </c>
      <c r="X1902" s="152"/>
      <c r="Y1902" s="152"/>
      <c r="Z1902" s="152"/>
      <c r="AA1902" s="152"/>
      <c r="AB1902" s="152"/>
    </row>
    <row r="1903" spans="1:28" hidden="1" outlineLevel="1">
      <c r="A1903" s="235">
        <v>-1</v>
      </c>
      <c r="B1903" s="190" t="s">
        <v>195</v>
      </c>
      <c r="C1903" s="1423"/>
      <c r="D1903" s="1423">
        <f t="shared" ref="D1903" ca="1" si="2752">IF(AND(D1901=0,C1903=0),0,
IF(AND(D1901&lt;&gt;0,C1903=0),D1901,
IF(AND(D1902&lt;&gt;0,C1903&lt;&gt;0),(C1903-(C1903/C1927))+D1901,
IF(C1927&lt;1,0,(C1903-(C1903/C1927))))))</f>
        <v>0</v>
      </c>
      <c r="E1903" s="1423">
        <f t="shared" ref="E1903" ca="1" si="2753">IF(AND(E1901=0,D1903=0),0,
IF(AND(E1901&lt;&gt;0,D1903=0),E1901,
IF(AND(E1902&lt;&gt;0,D1903&lt;&gt;0),(D1903-(D1903/D1927))+E1901,
IF(D1927&lt;1,0,(D1903-(D1903/D1927))))))</f>
        <v>0</v>
      </c>
      <c r="F1903" s="1423">
        <f t="shared" ref="F1903" ca="1" si="2754">IF(AND(F1901=0,E1903=0),0,
IF(AND(F1901&lt;&gt;0,E1903=0),F1901,
IF(AND(F1902&lt;&gt;0,E1903&lt;&gt;0),(E1903-(E1903/E1927))+F1901,
IF(E1927&lt;1,0,(E1903-(E1903/E1927))))))</f>
        <v>0</v>
      </c>
      <c r="G1903" s="1423">
        <f t="shared" ref="G1903" ca="1" si="2755">IF(AND(G1901=0,F1903=0),0,
IF(AND(G1901&lt;&gt;0,F1903=0),G1901,
IF(AND(G1902&lt;&gt;0,F1903&lt;&gt;0),(F1903-(F1903/F1927))+G1901,
IF(F1927&lt;1,0,(F1903-(F1903/F1927))))))</f>
        <v>0</v>
      </c>
      <c r="H1903" s="1423">
        <f ca="1">IF(AND(H1901=0,G1903=0),0,
IF(AND(H1901&lt;&gt;0,G1903=0),H1901,
IF(AND(H1902&lt;&gt;0,G1903&lt;&gt;0),(G1903-(G1903/G1927))+H1901,
IF(G1927&lt;1,0,(G1903-(G1903/G1927))))))</f>
        <v>0</v>
      </c>
      <c r="I1903" s="1423">
        <f t="shared" ref="I1903" ca="1" si="2756">IF(AND(I1901=0,H1903=0),0,
IF(AND(I1901&lt;&gt;0,H1903=0),I1901,
IF(AND(I1902&lt;&gt;0,H1903&lt;&gt;0),(H1903-(H1903/H1927))+I1901,
IF(H1927&lt;1,0,(H1903-(H1903/H1927))))))</f>
        <v>0</v>
      </c>
      <c r="J1903" s="1423">
        <f t="shared" ref="J1903" ca="1" si="2757">IF(AND(J1901=0,I1903=0),0,
IF(AND(J1901&lt;&gt;0,I1903=0),J1901,
IF(AND(J1902&lt;&gt;0,I1903&lt;&gt;0),(I1903-(I1903/I1927))+J1901,
IF(I1927&lt;1,0,(I1903-(I1903/I1927))))))</f>
        <v>0</v>
      </c>
      <c r="K1903" s="1423">
        <f t="shared" ref="K1903" ca="1" si="2758">IF(AND(K1901=0,J1903=0),0,
IF(AND(K1901&lt;&gt;0,J1903=0),K1901,
IF(AND(K1902&lt;&gt;0,J1903&lt;&gt;0),(J1903-(J1903/J1927))+K1901,
IF(J1927&lt;1,0,(J1903-(J1903/J1927))))))</f>
        <v>0</v>
      </c>
      <c r="L1903" s="1423">
        <f t="shared" ref="L1903" ca="1" si="2759">IF(AND(L1901=0,K1903=0),0,
IF(AND(L1901&lt;&gt;0,K1903=0),L1901,
IF(AND(L1902&lt;&gt;0,K1903&lt;&gt;0),(K1903-(K1903/K1927))+L1901,
IF(K1927&lt;1,0,(K1903-(K1903/K1927))))))</f>
        <v>0</v>
      </c>
      <c r="M1903" s="1423">
        <f t="shared" ref="M1903" ca="1" si="2760">IF(AND(M1901=0,L1903=0),0,
IF(AND(M1901&lt;&gt;0,L1903=0),M1901,
IF(AND(M1902&lt;&gt;0,L1903&lt;&gt;0),(L1903-(L1903/L1927))+M1901,
IF(L1927&lt;1,0,(L1903-(L1903/L1927))))))</f>
        <v>0</v>
      </c>
      <c r="N1903" s="1423">
        <f t="shared" ref="N1903" ca="1" si="2761">IF(AND(N1901=0,M1903=0),0,
IF(AND(N1901&lt;&gt;0,M1903=0),N1901,
IF(AND(N1902&lt;&gt;0,M1903&lt;&gt;0),(M1903-(M1903/M1927))+N1901,
IF(M1927&lt;1,0,(M1903-(M1903/M1927))))))</f>
        <v>0</v>
      </c>
      <c r="O1903" s="1423">
        <f t="shared" ref="O1903" ca="1" si="2762">IF(AND(O1901=0,N1903=0),0,
IF(AND(O1901&lt;&gt;0,N1903=0),O1901,
IF(AND(O1902&lt;&gt;0,N1903&lt;&gt;0),(N1903-(N1903/N1927))+O1901,
IF(N1927&lt;1,0,(N1903-(N1903/N1927))))))</f>
        <v>0</v>
      </c>
      <c r="P1903" s="1423">
        <f t="shared" ref="P1903" ca="1" si="2763">IF(AND(P1901=0,O1903=0),0,
IF(AND(P1901&lt;&gt;0,O1903=0),P1901,
IF(AND(P1902&lt;&gt;0,O1903&lt;&gt;0),(O1903-(O1903/O1927))+P1901,
IF(O1927&lt;1,0,(O1903-(O1903/O1927))))))</f>
        <v>0</v>
      </c>
      <c r="Q1903" s="1423">
        <f t="shared" ref="Q1903" ca="1" si="2764">IF(AND(Q1901=0,P1903=0),0,
IF(AND(Q1901&lt;&gt;0,P1903=0),Q1901,
IF(AND(Q1902&lt;&gt;0,P1903&lt;&gt;0),(P1903-(P1903/P1927))+Q1901,
IF(P1927&lt;1,0,(P1903-(P1903/P1927))))))</f>
        <v>0</v>
      </c>
      <c r="R1903" s="1423">
        <f t="shared" ref="R1903" ca="1" si="2765">IF(AND(R1901=0,Q1903=0),0,
IF(AND(R1901&lt;&gt;0,Q1903=0),R1901,
IF(AND(R1902&lt;&gt;0,Q1903&lt;&gt;0),(Q1903-(Q1903/Q1927))+R1901,
IF(Q1927&lt;1,0,(Q1903-(Q1903/Q1927))))))</f>
        <v>0</v>
      </c>
      <c r="S1903" s="1423">
        <f t="shared" ref="S1903" ca="1" si="2766">IF(AND(S1901=0,R1903=0),0,
IF(AND(S1901&lt;&gt;0,R1903=0),S1901,
IF(AND(S1902&lt;&gt;0,R1903&lt;&gt;0),(R1903-(R1903/R1927))+S1901,
IF(R1927&lt;1,0,(R1903-(R1903/R1927))))))</f>
        <v>0</v>
      </c>
      <c r="T1903" s="1423">
        <f t="shared" ref="T1903" ca="1" si="2767">IF(AND(T1901=0,S1903=0),0,
IF(AND(T1901&lt;&gt;0,S1903=0),T1901,
IF(AND(T1902&lt;&gt;0,S1903&lt;&gt;0),(S1903-(S1903/S1927))+T1901,
IF(S1927&lt;1,0,(S1903-(S1903/S1927))))))</f>
        <v>0</v>
      </c>
      <c r="U1903" s="1423">
        <f t="shared" ref="U1903" ca="1" si="2768">IF(AND(U1901=0,T1903=0),0,
IF(AND(U1901&lt;&gt;0,T1903=0),U1901,
IF(AND(U1902&lt;&gt;0,T1903&lt;&gt;0),(T1903-(T1903/T1927))+U1901,
IF(T1927&lt;1,0,(T1903-(T1903/T1927))))))</f>
        <v>0</v>
      </c>
      <c r="V1903" s="1423">
        <f t="shared" ref="V1903" ca="1" si="2769">IF(AND(V1901=0,U1903=0),0,
IF(AND(V1901&lt;&gt;0,U1903=0),V1901,
IF(AND(V1902&lt;&gt;0,U1903&lt;&gt;0),(U1903-(U1903/U1927))+V1901,
IF(U1927&lt;1,0,(U1903-(U1903/U1927))))))</f>
        <v>0</v>
      </c>
      <c r="W1903" s="1423">
        <f t="shared" ref="W1903" ca="1" si="2770">IF(AND(W1901=0,V1903=0),0,
IF(AND(W1901&lt;&gt;0,V1903=0),W1901,
IF(AND(W1902&lt;&gt;0,V1903&lt;&gt;0),(V1903-(V1903/V1927))+W1901,
IF(V1927&lt;1,0,(V1903-(V1903/V1927))))))</f>
        <v>0</v>
      </c>
      <c r="X1903" s="152"/>
      <c r="Y1903" s="152"/>
      <c r="Z1903" s="152"/>
      <c r="AA1903" s="152"/>
      <c r="AB1903" s="152"/>
    </row>
    <row r="1904" spans="1:28" hidden="1" outlineLevel="1">
      <c r="A1904" s="199">
        <f>A1903+1</f>
        <v>0</v>
      </c>
      <c r="B1904" s="190" t="s">
        <v>527</v>
      </c>
      <c r="C1904" s="1423">
        <f ca="1">C1899</f>
        <v>0</v>
      </c>
      <c r="D1904" s="1423">
        <f ca="1">IF(C1928="n/a",C1904,IFERROR(IF((OFFSET($C1904,0,$A1904))&lt;0,
MIN(0,C1904-(OFFSET($C1904,0,$A1904)/(OFFSET($C1899,-$A1903,$A1904)))),
MAX(0,C1904-(OFFSET($C1904,0,$A1904)/(OFFSET($C1899,-$A1903,$A1904))))),0))</f>
        <v>0</v>
      </c>
      <c r="E1904" s="1423">
        <f t="shared" ref="E1904" ca="1" si="2771">IF(D1928="n/a",D1904,IFERROR(IF((OFFSET($C1904,0,$A1904))&lt;0,
MIN(0,D1904-(OFFSET($C1904,0,$A1904)/(OFFSET($C1899,-$A1903,$A1904)))),
MAX(0,D1904-(OFFSET($C1904,0,$A1904)/(OFFSET($C1899,-$A1903,$A1904))))),0))</f>
        <v>0</v>
      </c>
      <c r="F1904" s="1423">
        <f t="shared" ref="F1904:F1905" ca="1" si="2772">IF(E1928="n/a",E1904,IFERROR(IF((OFFSET($C1904,0,$A1904))&lt;0,
MIN(0,E1904-(OFFSET($C1904,0,$A1904)/(OFFSET($C1899,-$A1903,$A1904)))),
MAX(0,E1904-(OFFSET($C1904,0,$A1904)/(OFFSET($C1899,-$A1903,$A1904))))),0))</f>
        <v>0</v>
      </c>
      <c r="G1904" s="1423">
        <f t="shared" ref="G1904:G1906" ca="1" si="2773">IF(F1928="n/a",F1904,IFERROR(IF((OFFSET($C1904,0,$A1904))&lt;0,
MIN(0,F1904-(OFFSET($C1904,0,$A1904)/(OFFSET($C1899,-$A1903,$A1904)))),
MAX(0,F1904-(OFFSET($C1904,0,$A1904)/(OFFSET($C1899,-$A1903,$A1904))))),0))</f>
        <v>0</v>
      </c>
      <c r="H1904" s="1423">
        <f t="shared" ref="H1904:H1907" ca="1" si="2774">IF(G1928="n/a",G1904,IFERROR(IF((OFFSET($C1904,0,$A1904))&lt;0,
MIN(0,G1904-(OFFSET($C1904,0,$A1904)/(OFFSET($C1899,-$A1903,$A1904)))),
MAX(0,G1904-(OFFSET($C1904,0,$A1904)/(OFFSET($C1899,-$A1903,$A1904))))),0))</f>
        <v>0</v>
      </c>
      <c r="I1904" s="1423">
        <f t="shared" ref="I1904:I1908" ca="1" si="2775">IF(H1928="n/a",H1904,IFERROR(IF((OFFSET($C1904,0,$A1904))&lt;0,
MIN(0,H1904-(OFFSET($C1904,0,$A1904)/(OFFSET($C1899,-$A1903,$A1904)))),
MAX(0,H1904-(OFFSET($C1904,0,$A1904)/(OFFSET($C1899,-$A1903,$A1904))))),0))</f>
        <v>0</v>
      </c>
      <c r="J1904" s="1423">
        <f t="shared" ref="J1904:J1909" ca="1" si="2776">IF(I1928="n/a",I1904,IFERROR(IF((OFFSET($C1904,0,$A1904))&lt;0,
MIN(0,I1904-(OFFSET($C1904,0,$A1904)/(OFFSET($C1899,-$A1903,$A1904)))),
MAX(0,I1904-(OFFSET($C1904,0,$A1904)/(OFFSET($C1899,-$A1903,$A1904))))),0))</f>
        <v>0</v>
      </c>
      <c r="K1904" s="1423">
        <f t="shared" ref="K1904:K1910" ca="1" si="2777">IF(J1928="n/a",J1904,IFERROR(IF((OFFSET($C1904,0,$A1904))&lt;0,
MIN(0,J1904-(OFFSET($C1904,0,$A1904)/(OFFSET($C1899,-$A1903,$A1904)))),
MAX(0,J1904-(OFFSET($C1904,0,$A1904)/(OFFSET($C1899,-$A1903,$A1904))))),0))</f>
        <v>0</v>
      </c>
      <c r="L1904" s="1423">
        <f t="shared" ref="L1904:L1911" ca="1" si="2778">IF(K1928="n/a",K1904,IFERROR(IF((OFFSET($C1904,0,$A1904))&lt;0,
MIN(0,K1904-(OFFSET($C1904,0,$A1904)/(OFFSET($C1899,-$A1903,$A1904)))),
MAX(0,K1904-(OFFSET($C1904,0,$A1904)/(OFFSET($C1899,-$A1903,$A1904))))),0))</f>
        <v>0</v>
      </c>
      <c r="M1904" s="1423">
        <f t="shared" ref="M1904:M1912" ca="1" si="2779">IF(L1928="n/a",L1904,IFERROR(IF((OFFSET($C1904,0,$A1904))&lt;0,
MIN(0,L1904-(OFFSET($C1904,0,$A1904)/(OFFSET($C1899,-$A1903,$A1904)))),
MAX(0,L1904-(OFFSET($C1904,0,$A1904)/(OFFSET($C1899,-$A1903,$A1904))))),0))</f>
        <v>0</v>
      </c>
      <c r="N1904" s="1423">
        <f t="shared" ref="N1904:N1913" ca="1" si="2780">IF(M1928="n/a",M1904,IFERROR(IF((OFFSET($C1904,0,$A1904))&lt;0,
MIN(0,M1904-(OFFSET($C1904,0,$A1904)/(OFFSET($C1899,-$A1903,$A1904)))),
MAX(0,M1904-(OFFSET($C1904,0,$A1904)/(OFFSET($C1899,-$A1903,$A1904))))),0))</f>
        <v>0</v>
      </c>
      <c r="O1904" s="1423">
        <f t="shared" ref="O1904:O1914" ca="1" si="2781">IF(N1928="n/a",N1904,IFERROR(IF((OFFSET($C1904,0,$A1904))&lt;0,
MIN(0,N1904-(OFFSET($C1904,0,$A1904)/(OFFSET($C1899,-$A1903,$A1904)))),
MAX(0,N1904-(OFFSET($C1904,0,$A1904)/(OFFSET($C1899,-$A1903,$A1904))))),0))</f>
        <v>0</v>
      </c>
      <c r="P1904" s="1423">
        <f t="shared" ref="P1904:P1915" ca="1" si="2782">IF(O1928="n/a",O1904,IFERROR(IF((OFFSET($C1904,0,$A1904))&lt;0,
MIN(0,O1904-(OFFSET($C1904,0,$A1904)/(OFFSET($C1899,-$A1903,$A1904)))),
MAX(0,O1904-(OFFSET($C1904,0,$A1904)/(OFFSET($C1899,-$A1903,$A1904))))),0))</f>
        <v>0</v>
      </c>
      <c r="Q1904" s="1423">
        <f t="shared" ref="Q1904:Q1916" ca="1" si="2783">IF(P1928="n/a",P1904,IFERROR(IF((OFFSET($C1904,0,$A1904))&lt;0,
MIN(0,P1904-(OFFSET($C1904,0,$A1904)/(OFFSET($C1899,-$A1903,$A1904)))),
MAX(0,P1904-(OFFSET($C1904,0,$A1904)/(OFFSET($C1899,-$A1903,$A1904))))),0))</f>
        <v>0</v>
      </c>
      <c r="R1904" s="1423">
        <f t="shared" ref="R1904:R1917" ca="1" si="2784">IF(Q1928="n/a",Q1904,IFERROR(IF((OFFSET($C1904,0,$A1904))&lt;0,
MIN(0,Q1904-(OFFSET($C1904,0,$A1904)/(OFFSET($C1899,-$A1903,$A1904)))),
MAX(0,Q1904-(OFFSET($C1904,0,$A1904)/(OFFSET($C1899,-$A1903,$A1904))))),0))</f>
        <v>0</v>
      </c>
      <c r="S1904" s="1423">
        <f t="shared" ref="S1904:S1918" ca="1" si="2785">IF(R1928="n/a",R1904,IFERROR(IF((OFFSET($C1904,0,$A1904))&lt;0,
MIN(0,R1904-(OFFSET($C1904,0,$A1904)/(OFFSET($C1899,-$A1903,$A1904)))),
MAX(0,R1904-(OFFSET($C1904,0,$A1904)/(OFFSET($C1899,-$A1903,$A1904))))),0))</f>
        <v>0</v>
      </c>
      <c r="T1904" s="1423">
        <f t="shared" ref="T1904:T1919" ca="1" si="2786">IF(S1928="n/a",S1904,IFERROR(IF((OFFSET($C1904,0,$A1904))&lt;0,
MIN(0,S1904-(OFFSET($C1904,0,$A1904)/(OFFSET($C1899,-$A1903,$A1904)))),
MAX(0,S1904-(OFFSET($C1904,0,$A1904)/(OFFSET($C1899,-$A1903,$A1904))))),0))</f>
        <v>0</v>
      </c>
      <c r="U1904" s="1423">
        <f t="shared" ref="U1904:U1920" ca="1" si="2787">IF(T1928="n/a",T1904,IFERROR(IF((OFFSET($C1904,0,$A1904))&lt;0,
MIN(0,T1904-(OFFSET($C1904,0,$A1904)/(OFFSET($C1899,-$A1903,$A1904)))),
MAX(0,T1904-(OFFSET($C1904,0,$A1904)/(OFFSET($C1899,-$A1903,$A1904))))),0))</f>
        <v>0</v>
      </c>
      <c r="V1904" s="1423">
        <f t="shared" ref="V1904:V1921" ca="1" si="2788">IF(U1928="n/a",U1904,IFERROR(IF((OFFSET($C1904,0,$A1904))&lt;0,
MIN(0,U1904-(OFFSET($C1904,0,$A1904)/(OFFSET($C1899,-$A1903,$A1904)))),
MAX(0,U1904-(OFFSET($C1904,0,$A1904)/(OFFSET($C1899,-$A1903,$A1904))))),0))</f>
        <v>0</v>
      </c>
      <c r="W1904" s="1423">
        <f t="shared" ref="W1904:W1922" ca="1" si="2789">IF(V1928="n/a",V1904,IFERROR(IF((OFFSET($C1904,0,$A1904))&lt;0,
MIN(0,V1904-(OFFSET($C1904,0,$A1904)/(OFFSET($C1899,-$A1903,$A1904)))),
MAX(0,V1904-(OFFSET($C1904,0,$A1904)/(OFFSET($C1899,-$A1903,$A1904))))),0))</f>
        <v>0</v>
      </c>
      <c r="X1904" s="152"/>
      <c r="Y1904" s="152"/>
      <c r="Z1904" s="152"/>
      <c r="AA1904" s="152"/>
      <c r="AB1904" s="152"/>
    </row>
    <row r="1905" spans="1:28" hidden="1" outlineLevel="1">
      <c r="A1905" s="199">
        <f t="shared" ref="A1905:A1924" si="2790">A1904+1</f>
        <v>1</v>
      </c>
      <c r="B1905" s="190" t="str">
        <f t="shared" ref="B1905:B1924" ca="1" si="2791">"Depreciated Net Capex "&amp;OFFSET($C$6,0,A1905)</f>
        <v>Depreciated Net Capex 2016-17</v>
      </c>
      <c r="C1905" s="1424"/>
      <c r="D1905" s="1425">
        <f>D1899</f>
        <v>0</v>
      </c>
      <c r="E1905" s="1423">
        <f ca="1">IF(D1929="n/a",D1905,IFERROR(IF((OFFSET($C1905,0,$A1905))&lt;0,
MIN(0,D1905-(OFFSET($C1905,0,$A1905)/(OFFSET($C1900,-$A1904,$A1905)))),
MAX(0,D1905-(OFFSET($C1905,0,$A1905)/(OFFSET($C1900,-$A1904,$A1905))))),0))</f>
        <v>0</v>
      </c>
      <c r="F1905" s="1423">
        <f t="shared" ca="1" si="2772"/>
        <v>0</v>
      </c>
      <c r="G1905" s="1423">
        <f t="shared" ca="1" si="2773"/>
        <v>0</v>
      </c>
      <c r="H1905" s="1423">
        <f t="shared" ca="1" si="2774"/>
        <v>0</v>
      </c>
      <c r="I1905" s="1423">
        <f t="shared" ca="1" si="2775"/>
        <v>0</v>
      </c>
      <c r="J1905" s="1423">
        <f t="shared" ca="1" si="2776"/>
        <v>0</v>
      </c>
      <c r="K1905" s="1423">
        <f t="shared" ca="1" si="2777"/>
        <v>0</v>
      </c>
      <c r="L1905" s="1423">
        <f t="shared" ca="1" si="2778"/>
        <v>0</v>
      </c>
      <c r="M1905" s="1423">
        <f t="shared" ca="1" si="2779"/>
        <v>0</v>
      </c>
      <c r="N1905" s="1423">
        <f t="shared" ca="1" si="2780"/>
        <v>0</v>
      </c>
      <c r="O1905" s="1423">
        <f t="shared" ca="1" si="2781"/>
        <v>0</v>
      </c>
      <c r="P1905" s="1423">
        <f t="shared" ca="1" si="2782"/>
        <v>0</v>
      </c>
      <c r="Q1905" s="1423">
        <f t="shared" ca="1" si="2783"/>
        <v>0</v>
      </c>
      <c r="R1905" s="1423">
        <f t="shared" ca="1" si="2784"/>
        <v>0</v>
      </c>
      <c r="S1905" s="1423">
        <f t="shared" ca="1" si="2785"/>
        <v>0</v>
      </c>
      <c r="T1905" s="1423">
        <f t="shared" ca="1" si="2786"/>
        <v>0</v>
      </c>
      <c r="U1905" s="1423">
        <f t="shared" ca="1" si="2787"/>
        <v>0</v>
      </c>
      <c r="V1905" s="1423">
        <f t="shared" ca="1" si="2788"/>
        <v>0</v>
      </c>
      <c r="W1905" s="1423">
        <f t="shared" ca="1" si="2789"/>
        <v>0</v>
      </c>
      <c r="X1905" s="152"/>
      <c r="Y1905" s="152"/>
      <c r="Z1905" s="152"/>
      <c r="AA1905" s="152"/>
      <c r="AB1905" s="152"/>
    </row>
    <row r="1906" spans="1:28" hidden="1" outlineLevel="1">
      <c r="A1906" s="199">
        <f t="shared" si="2790"/>
        <v>2</v>
      </c>
      <c r="B1906" s="190" t="str">
        <f t="shared" ca="1" si="2791"/>
        <v>Depreciated Net Capex 2017-18</v>
      </c>
      <c r="C1906" s="1426"/>
      <c r="D1906" s="1427"/>
      <c r="E1906" s="1425">
        <f>E1899</f>
        <v>0</v>
      </c>
      <c r="F1906" s="1423">
        <f ca="1">IF(E1930="n/a",E1906,IFERROR(IF((OFFSET($C1906,0,$A1906))&lt;0,
MIN(0,E1906-(OFFSET($C1906,0,$A1906)/(OFFSET($C1901,-$A1905,$A1906)))),
MAX(0,E1906-(OFFSET($C1906,0,$A1906)/(OFFSET($C1901,-$A1905,$A1906))))),0))</f>
        <v>0</v>
      </c>
      <c r="G1906" s="1423">
        <f t="shared" ca="1" si="2773"/>
        <v>0</v>
      </c>
      <c r="H1906" s="1423">
        <f t="shared" ca="1" si="2774"/>
        <v>0</v>
      </c>
      <c r="I1906" s="1423">
        <f t="shared" ca="1" si="2775"/>
        <v>0</v>
      </c>
      <c r="J1906" s="1423">
        <f t="shared" ca="1" si="2776"/>
        <v>0</v>
      </c>
      <c r="K1906" s="1423">
        <f t="shared" ca="1" si="2777"/>
        <v>0</v>
      </c>
      <c r="L1906" s="1423">
        <f t="shared" ca="1" si="2778"/>
        <v>0</v>
      </c>
      <c r="M1906" s="1423">
        <f t="shared" ca="1" si="2779"/>
        <v>0</v>
      </c>
      <c r="N1906" s="1423">
        <f t="shared" ca="1" si="2780"/>
        <v>0</v>
      </c>
      <c r="O1906" s="1423">
        <f t="shared" ca="1" si="2781"/>
        <v>0</v>
      </c>
      <c r="P1906" s="1423">
        <f t="shared" ca="1" si="2782"/>
        <v>0</v>
      </c>
      <c r="Q1906" s="1423">
        <f t="shared" ca="1" si="2783"/>
        <v>0</v>
      </c>
      <c r="R1906" s="1423">
        <f t="shared" ca="1" si="2784"/>
        <v>0</v>
      </c>
      <c r="S1906" s="1423">
        <f t="shared" ca="1" si="2785"/>
        <v>0</v>
      </c>
      <c r="T1906" s="1423">
        <f t="shared" ca="1" si="2786"/>
        <v>0</v>
      </c>
      <c r="U1906" s="1423">
        <f t="shared" ca="1" si="2787"/>
        <v>0</v>
      </c>
      <c r="V1906" s="1423">
        <f t="shared" ca="1" si="2788"/>
        <v>0</v>
      </c>
      <c r="W1906" s="1423">
        <f t="shared" ca="1" si="2789"/>
        <v>0</v>
      </c>
      <c r="X1906" s="202"/>
      <c r="Y1906" s="152"/>
      <c r="Z1906" s="152"/>
      <c r="AA1906" s="152"/>
      <c r="AB1906" s="152"/>
    </row>
    <row r="1907" spans="1:28" hidden="1" outlineLevel="1">
      <c r="A1907" s="199">
        <f t="shared" si="2790"/>
        <v>3</v>
      </c>
      <c r="B1907" s="190" t="str">
        <f t="shared" ca="1" si="2791"/>
        <v>Depreciated Net Capex 2018-19</v>
      </c>
      <c r="C1907" s="1426"/>
      <c r="D1907" s="1426"/>
      <c r="E1907" s="1427"/>
      <c r="F1907" s="1428">
        <f>F1899</f>
        <v>0</v>
      </c>
      <c r="G1907" s="1423">
        <f ca="1">IF(F1931="n/a",F1907,IFERROR(IF((OFFSET($C1907,0,$A1907))&lt;0,
MIN(0,F1907-(OFFSET($C1907,0,$A1907)/(OFFSET($C1902,-$A1906,$A1907)))),
MAX(0,F1907-(OFFSET($C1907,0,$A1907)/(OFFSET($C1902,-$A1906,$A1907))))),0))</f>
        <v>0</v>
      </c>
      <c r="H1907" s="1423">
        <f t="shared" ca="1" si="2774"/>
        <v>0</v>
      </c>
      <c r="I1907" s="1423">
        <f t="shared" ca="1" si="2775"/>
        <v>0</v>
      </c>
      <c r="J1907" s="1423">
        <f t="shared" ca="1" si="2776"/>
        <v>0</v>
      </c>
      <c r="K1907" s="1423">
        <f t="shared" ca="1" si="2777"/>
        <v>0</v>
      </c>
      <c r="L1907" s="1423">
        <f t="shared" ca="1" si="2778"/>
        <v>0</v>
      </c>
      <c r="M1907" s="1423">
        <f t="shared" ca="1" si="2779"/>
        <v>0</v>
      </c>
      <c r="N1907" s="1423">
        <f t="shared" ca="1" si="2780"/>
        <v>0</v>
      </c>
      <c r="O1907" s="1423">
        <f t="shared" ca="1" si="2781"/>
        <v>0</v>
      </c>
      <c r="P1907" s="1423">
        <f t="shared" ca="1" si="2782"/>
        <v>0</v>
      </c>
      <c r="Q1907" s="1423">
        <f t="shared" ca="1" si="2783"/>
        <v>0</v>
      </c>
      <c r="R1907" s="1423">
        <f t="shared" ca="1" si="2784"/>
        <v>0</v>
      </c>
      <c r="S1907" s="1423">
        <f t="shared" ca="1" si="2785"/>
        <v>0</v>
      </c>
      <c r="T1907" s="1423">
        <f t="shared" ca="1" si="2786"/>
        <v>0</v>
      </c>
      <c r="U1907" s="1423">
        <f t="shared" ca="1" si="2787"/>
        <v>0</v>
      </c>
      <c r="V1907" s="1423">
        <f t="shared" ca="1" si="2788"/>
        <v>0</v>
      </c>
      <c r="W1907" s="1423">
        <f t="shared" ca="1" si="2789"/>
        <v>0</v>
      </c>
      <c r="X1907" s="202"/>
      <c r="Y1907" s="202"/>
      <c r="Z1907" s="152"/>
      <c r="AA1907" s="152"/>
      <c r="AB1907" s="152"/>
    </row>
    <row r="1908" spans="1:28" hidden="1" outlineLevel="1">
      <c r="A1908" s="199">
        <f t="shared" si="2790"/>
        <v>4</v>
      </c>
      <c r="B1908" s="190" t="str">
        <f t="shared" ca="1" si="2791"/>
        <v>Depreciated Net Capex 2019-20</v>
      </c>
      <c r="C1908" s="1426"/>
      <c r="D1908" s="1426"/>
      <c r="E1908" s="1426"/>
      <c r="F1908" s="1427"/>
      <c r="G1908" s="1428">
        <f>G1899</f>
        <v>0</v>
      </c>
      <c r="H1908" s="1423">
        <f ca="1">IF(G1932="n/a",G1908,IFERROR(IF((OFFSET($C1908,0,$A1908))&lt;0,
MIN(0,G1908-(OFFSET($C1908,0,$A1908)/(OFFSET($C1903,-$A1907,$A1908)))),
MAX(0,G1908-(OFFSET($C1908,0,$A1908)/(OFFSET($C1903,-$A1907,$A1908))))),0))</f>
        <v>0</v>
      </c>
      <c r="I1908" s="1423">
        <f t="shared" ca="1" si="2775"/>
        <v>0</v>
      </c>
      <c r="J1908" s="1423">
        <f t="shared" ca="1" si="2776"/>
        <v>0</v>
      </c>
      <c r="K1908" s="1423">
        <f t="shared" ca="1" si="2777"/>
        <v>0</v>
      </c>
      <c r="L1908" s="1423">
        <f t="shared" ca="1" si="2778"/>
        <v>0</v>
      </c>
      <c r="M1908" s="1423">
        <f t="shared" ca="1" si="2779"/>
        <v>0</v>
      </c>
      <c r="N1908" s="1423">
        <f t="shared" ca="1" si="2780"/>
        <v>0</v>
      </c>
      <c r="O1908" s="1423">
        <f t="shared" ca="1" si="2781"/>
        <v>0</v>
      </c>
      <c r="P1908" s="1423">
        <f t="shared" ca="1" si="2782"/>
        <v>0</v>
      </c>
      <c r="Q1908" s="1423">
        <f t="shared" ca="1" si="2783"/>
        <v>0</v>
      </c>
      <c r="R1908" s="1423">
        <f t="shared" ca="1" si="2784"/>
        <v>0</v>
      </c>
      <c r="S1908" s="1423">
        <f t="shared" ca="1" si="2785"/>
        <v>0</v>
      </c>
      <c r="T1908" s="1423">
        <f t="shared" ca="1" si="2786"/>
        <v>0</v>
      </c>
      <c r="U1908" s="1423">
        <f t="shared" ca="1" si="2787"/>
        <v>0</v>
      </c>
      <c r="V1908" s="1423">
        <f t="shared" ca="1" si="2788"/>
        <v>0</v>
      </c>
      <c r="W1908" s="1423">
        <f t="shared" ca="1" si="2789"/>
        <v>0</v>
      </c>
      <c r="X1908" s="202"/>
      <c r="Y1908" s="202"/>
      <c r="Z1908" s="202"/>
      <c r="AA1908" s="152"/>
      <c r="AB1908" s="152"/>
    </row>
    <row r="1909" spans="1:28" hidden="1" outlineLevel="1">
      <c r="A1909" s="199">
        <f t="shared" si="2790"/>
        <v>5</v>
      </c>
      <c r="B1909" s="190" t="str">
        <f t="shared" ca="1" si="2791"/>
        <v>Depreciated Net Capex 2020-21</v>
      </c>
      <c r="C1909" s="1426"/>
      <c r="D1909" s="1426"/>
      <c r="E1909" s="1426"/>
      <c r="F1909" s="1426"/>
      <c r="G1909" s="1427"/>
      <c r="H1909" s="1428">
        <f>H1899</f>
        <v>0</v>
      </c>
      <c r="I1909" s="1423">
        <f ca="1">IF(H1933="n/a",H1909,IFERROR(IF((OFFSET($C1909,0,$A1909))&lt;0,
MIN(0,H1909-(OFFSET($C1909,0,$A1909)/(OFFSET($C1904,-$A1908,$A1909)))),
MAX(0,H1909-(OFFSET($C1909,0,$A1909)/(OFFSET($C1904,-$A1908,$A1909))))),0))</f>
        <v>0</v>
      </c>
      <c r="J1909" s="1423">
        <f t="shared" ca="1" si="2776"/>
        <v>0</v>
      </c>
      <c r="K1909" s="1423">
        <f t="shared" ca="1" si="2777"/>
        <v>0</v>
      </c>
      <c r="L1909" s="1423">
        <f t="shared" ca="1" si="2778"/>
        <v>0</v>
      </c>
      <c r="M1909" s="1423">
        <f t="shared" ca="1" si="2779"/>
        <v>0</v>
      </c>
      <c r="N1909" s="1423">
        <f t="shared" ca="1" si="2780"/>
        <v>0</v>
      </c>
      <c r="O1909" s="1423">
        <f t="shared" ca="1" si="2781"/>
        <v>0</v>
      </c>
      <c r="P1909" s="1423">
        <f t="shared" ca="1" si="2782"/>
        <v>0</v>
      </c>
      <c r="Q1909" s="1423">
        <f t="shared" ca="1" si="2783"/>
        <v>0</v>
      </c>
      <c r="R1909" s="1423">
        <f t="shared" ca="1" si="2784"/>
        <v>0</v>
      </c>
      <c r="S1909" s="1423">
        <f t="shared" ca="1" si="2785"/>
        <v>0</v>
      </c>
      <c r="T1909" s="1423">
        <f t="shared" ca="1" si="2786"/>
        <v>0</v>
      </c>
      <c r="U1909" s="1423">
        <f t="shared" ca="1" si="2787"/>
        <v>0</v>
      </c>
      <c r="V1909" s="1423">
        <f t="shared" ca="1" si="2788"/>
        <v>0</v>
      </c>
      <c r="W1909" s="1423">
        <f t="shared" ca="1" si="2789"/>
        <v>0</v>
      </c>
      <c r="X1909" s="202"/>
      <c r="Y1909" s="202"/>
      <c r="Z1909" s="202"/>
      <c r="AA1909" s="152"/>
      <c r="AB1909" s="152"/>
    </row>
    <row r="1910" spans="1:28" hidden="1" outlineLevel="1">
      <c r="A1910" s="199">
        <f t="shared" si="2790"/>
        <v>6</v>
      </c>
      <c r="B1910" s="190" t="str">
        <f t="shared" ca="1" si="2791"/>
        <v>Depreciated Net Capex 2021-22</v>
      </c>
      <c r="C1910" s="1426"/>
      <c r="D1910" s="1426"/>
      <c r="E1910" s="1426"/>
      <c r="F1910" s="1426"/>
      <c r="G1910" s="1426"/>
      <c r="H1910" s="1427"/>
      <c r="I1910" s="1428">
        <f>I1899</f>
        <v>0</v>
      </c>
      <c r="J1910" s="1423">
        <f ca="1">IF(I1934="n/a",I1910,IFERROR(IF((OFFSET($C1910,0,$A1910))&lt;0,
MIN(0,I1910-(OFFSET($C1910,0,$A1910)/(OFFSET($C1905,-$A1909,$A1910)))),
MAX(0,I1910-(OFFSET($C1910,0,$A1910)/(OFFSET($C1905,-$A1909,$A1910))))),0))</f>
        <v>0</v>
      </c>
      <c r="K1910" s="1423">
        <f t="shared" ca="1" si="2777"/>
        <v>0</v>
      </c>
      <c r="L1910" s="1423">
        <f t="shared" ca="1" si="2778"/>
        <v>0</v>
      </c>
      <c r="M1910" s="1423">
        <f t="shared" ca="1" si="2779"/>
        <v>0</v>
      </c>
      <c r="N1910" s="1423">
        <f t="shared" ca="1" si="2780"/>
        <v>0</v>
      </c>
      <c r="O1910" s="1423">
        <f t="shared" ca="1" si="2781"/>
        <v>0</v>
      </c>
      <c r="P1910" s="1423">
        <f t="shared" ca="1" si="2782"/>
        <v>0</v>
      </c>
      <c r="Q1910" s="1423">
        <f t="shared" ca="1" si="2783"/>
        <v>0</v>
      </c>
      <c r="R1910" s="1423">
        <f t="shared" ca="1" si="2784"/>
        <v>0</v>
      </c>
      <c r="S1910" s="1423">
        <f t="shared" ca="1" si="2785"/>
        <v>0</v>
      </c>
      <c r="T1910" s="1423">
        <f t="shared" ca="1" si="2786"/>
        <v>0</v>
      </c>
      <c r="U1910" s="1423">
        <f t="shared" ca="1" si="2787"/>
        <v>0</v>
      </c>
      <c r="V1910" s="1423">
        <f t="shared" ca="1" si="2788"/>
        <v>0</v>
      </c>
      <c r="W1910" s="1423">
        <f t="shared" ca="1" si="2789"/>
        <v>0</v>
      </c>
      <c r="X1910" s="202"/>
      <c r="Y1910" s="202"/>
      <c r="Z1910" s="202"/>
      <c r="AA1910" s="152"/>
      <c r="AB1910" s="152"/>
    </row>
    <row r="1911" spans="1:28" hidden="1" outlineLevel="1">
      <c r="A1911" s="199">
        <f t="shared" si="2790"/>
        <v>7</v>
      </c>
      <c r="B1911" s="190" t="str">
        <f t="shared" ca="1" si="2791"/>
        <v>Depreciated Net Capex 2022-23</v>
      </c>
      <c r="C1911" s="1426"/>
      <c r="D1911" s="1426"/>
      <c r="E1911" s="1426"/>
      <c r="F1911" s="1426"/>
      <c r="G1911" s="1426"/>
      <c r="H1911" s="1426"/>
      <c r="I1911" s="1427"/>
      <c r="J1911" s="1428">
        <f>J1899</f>
        <v>0</v>
      </c>
      <c r="K1911" s="1423">
        <f ca="1">IF(J1935="n/a",J1911,IFERROR(IF((OFFSET($C1911,0,$A1911))&lt;0,
MIN(0,J1911-(OFFSET($C1911,0,$A1911)/(OFFSET($C1906,-$A1910,$A1911)))),
MAX(0,J1911-(OFFSET($C1911,0,$A1911)/(OFFSET($C1906,-$A1910,$A1911))))),0))</f>
        <v>0</v>
      </c>
      <c r="L1911" s="1423">
        <f t="shared" ca="1" si="2778"/>
        <v>0</v>
      </c>
      <c r="M1911" s="1423">
        <f t="shared" ca="1" si="2779"/>
        <v>0</v>
      </c>
      <c r="N1911" s="1423">
        <f t="shared" ca="1" si="2780"/>
        <v>0</v>
      </c>
      <c r="O1911" s="1423">
        <f t="shared" ca="1" si="2781"/>
        <v>0</v>
      </c>
      <c r="P1911" s="1423">
        <f t="shared" ca="1" si="2782"/>
        <v>0</v>
      </c>
      <c r="Q1911" s="1423">
        <f t="shared" ca="1" si="2783"/>
        <v>0</v>
      </c>
      <c r="R1911" s="1423">
        <f t="shared" ca="1" si="2784"/>
        <v>0</v>
      </c>
      <c r="S1911" s="1423">
        <f t="shared" ca="1" si="2785"/>
        <v>0</v>
      </c>
      <c r="T1911" s="1423">
        <f t="shared" ca="1" si="2786"/>
        <v>0</v>
      </c>
      <c r="U1911" s="1423">
        <f t="shared" ca="1" si="2787"/>
        <v>0</v>
      </c>
      <c r="V1911" s="1423">
        <f t="shared" ca="1" si="2788"/>
        <v>0</v>
      </c>
      <c r="W1911" s="1423">
        <f t="shared" ca="1" si="2789"/>
        <v>0</v>
      </c>
      <c r="X1911" s="202"/>
      <c r="Y1911" s="202"/>
      <c r="Z1911" s="202"/>
      <c r="AA1911" s="152"/>
      <c r="AB1911" s="152"/>
    </row>
    <row r="1912" spans="1:28" hidden="1" outlineLevel="1">
      <c r="A1912" s="199">
        <f t="shared" si="2790"/>
        <v>8</v>
      </c>
      <c r="B1912" s="190" t="str">
        <f t="shared" ca="1" si="2791"/>
        <v>Depreciated Net Capex 2023-24</v>
      </c>
      <c r="C1912" s="1426"/>
      <c r="D1912" s="1426"/>
      <c r="E1912" s="1426"/>
      <c r="F1912" s="1426"/>
      <c r="G1912" s="1426"/>
      <c r="H1912" s="1426"/>
      <c r="I1912" s="1426"/>
      <c r="J1912" s="1427"/>
      <c r="K1912" s="1428">
        <f>K1899</f>
        <v>0</v>
      </c>
      <c r="L1912" s="1423">
        <f ca="1">IF(K1936="n/a",K1912,IFERROR(IF((OFFSET($C1912,0,$A1912))&lt;0,
MIN(0,K1912-(OFFSET($C1912,0,$A1912)/(OFFSET($C1907,-$A1911,$A1912)))),
MAX(0,K1912-(OFFSET($C1912,0,$A1912)/(OFFSET($C1907,-$A1911,$A1912))))),0))</f>
        <v>0</v>
      </c>
      <c r="M1912" s="1423">
        <f t="shared" ca="1" si="2779"/>
        <v>0</v>
      </c>
      <c r="N1912" s="1423">
        <f t="shared" ca="1" si="2780"/>
        <v>0</v>
      </c>
      <c r="O1912" s="1423">
        <f t="shared" ca="1" si="2781"/>
        <v>0</v>
      </c>
      <c r="P1912" s="1423">
        <f t="shared" ca="1" si="2782"/>
        <v>0</v>
      </c>
      <c r="Q1912" s="1423">
        <f t="shared" ca="1" si="2783"/>
        <v>0</v>
      </c>
      <c r="R1912" s="1423">
        <f t="shared" ca="1" si="2784"/>
        <v>0</v>
      </c>
      <c r="S1912" s="1423">
        <f t="shared" ca="1" si="2785"/>
        <v>0</v>
      </c>
      <c r="T1912" s="1423">
        <f t="shared" ca="1" si="2786"/>
        <v>0</v>
      </c>
      <c r="U1912" s="1423">
        <f t="shared" ca="1" si="2787"/>
        <v>0</v>
      </c>
      <c r="V1912" s="1423">
        <f t="shared" ca="1" si="2788"/>
        <v>0</v>
      </c>
      <c r="W1912" s="1423">
        <f t="shared" ca="1" si="2789"/>
        <v>0</v>
      </c>
      <c r="X1912" s="202"/>
      <c r="Y1912" s="202"/>
      <c r="Z1912" s="202"/>
      <c r="AA1912" s="152"/>
      <c r="AB1912" s="152"/>
    </row>
    <row r="1913" spans="1:28" hidden="1" outlineLevel="1">
      <c r="A1913" s="199">
        <f t="shared" si="2790"/>
        <v>9</v>
      </c>
      <c r="B1913" s="190" t="str">
        <f t="shared" ca="1" si="2791"/>
        <v>Depreciated Net Capex 2024-25</v>
      </c>
      <c r="C1913" s="1426"/>
      <c r="D1913" s="1426"/>
      <c r="E1913" s="1426"/>
      <c r="F1913" s="1426"/>
      <c r="G1913" s="1426"/>
      <c r="H1913" s="1426"/>
      <c r="I1913" s="1426"/>
      <c r="J1913" s="1426"/>
      <c r="K1913" s="1427"/>
      <c r="L1913" s="1428">
        <f>L1899</f>
        <v>0</v>
      </c>
      <c r="M1913" s="1423">
        <f ca="1">IF(L1937="n/a",L1913,IFERROR(IF((OFFSET($C1913,0,$A1913))&lt;0,
MIN(0,L1913-(OFFSET($C1913,0,$A1913)/(OFFSET($C1908,-$A1912,$A1913)))),
MAX(0,L1913-(OFFSET($C1913,0,$A1913)/(OFFSET($C1908,-$A1912,$A1913))))),0))</f>
        <v>0</v>
      </c>
      <c r="N1913" s="1423">
        <f t="shared" ca="1" si="2780"/>
        <v>0</v>
      </c>
      <c r="O1913" s="1423">
        <f t="shared" ca="1" si="2781"/>
        <v>0</v>
      </c>
      <c r="P1913" s="1423">
        <f t="shared" ca="1" si="2782"/>
        <v>0</v>
      </c>
      <c r="Q1913" s="1423">
        <f t="shared" ca="1" si="2783"/>
        <v>0</v>
      </c>
      <c r="R1913" s="1423">
        <f t="shared" ca="1" si="2784"/>
        <v>0</v>
      </c>
      <c r="S1913" s="1423">
        <f t="shared" ca="1" si="2785"/>
        <v>0</v>
      </c>
      <c r="T1913" s="1423">
        <f t="shared" ca="1" si="2786"/>
        <v>0</v>
      </c>
      <c r="U1913" s="1423">
        <f t="shared" ca="1" si="2787"/>
        <v>0</v>
      </c>
      <c r="V1913" s="1423">
        <f t="shared" ca="1" si="2788"/>
        <v>0</v>
      </c>
      <c r="W1913" s="1423">
        <f t="shared" ca="1" si="2789"/>
        <v>0</v>
      </c>
      <c r="X1913" s="202"/>
      <c r="Y1913" s="202"/>
      <c r="Z1913" s="202"/>
      <c r="AA1913" s="152"/>
      <c r="AB1913" s="152"/>
    </row>
    <row r="1914" spans="1:28" hidden="1" outlineLevel="1">
      <c r="A1914" s="199">
        <f t="shared" si="2790"/>
        <v>10</v>
      </c>
      <c r="B1914" s="190" t="str">
        <f t="shared" ca="1" si="2791"/>
        <v>Depreciated Net Capex 2025-26</v>
      </c>
      <c r="C1914" s="1426"/>
      <c r="D1914" s="1426"/>
      <c r="E1914" s="1426"/>
      <c r="F1914" s="1426"/>
      <c r="G1914" s="1426"/>
      <c r="H1914" s="1426"/>
      <c r="I1914" s="1426"/>
      <c r="J1914" s="1426"/>
      <c r="K1914" s="1426"/>
      <c r="L1914" s="1427"/>
      <c r="M1914" s="1428">
        <f>M1899</f>
        <v>0</v>
      </c>
      <c r="N1914" s="1423">
        <f ca="1">IF(M1938="n/a",M1914,IFERROR(IF((OFFSET($C1914,0,$A1914))&lt;0,
MIN(0,M1914-(OFFSET($C1914,0,$A1914)/(OFFSET($C1909,-$A1913,$A1914)))),
MAX(0,M1914-(OFFSET($C1914,0,$A1914)/(OFFSET($C1909,-$A1913,$A1914))))),0))</f>
        <v>0</v>
      </c>
      <c r="O1914" s="1423">
        <f t="shared" ca="1" si="2781"/>
        <v>0</v>
      </c>
      <c r="P1914" s="1423">
        <f t="shared" ca="1" si="2782"/>
        <v>0</v>
      </c>
      <c r="Q1914" s="1423">
        <f t="shared" ca="1" si="2783"/>
        <v>0</v>
      </c>
      <c r="R1914" s="1423">
        <f t="shared" ca="1" si="2784"/>
        <v>0</v>
      </c>
      <c r="S1914" s="1423">
        <f t="shared" ca="1" si="2785"/>
        <v>0</v>
      </c>
      <c r="T1914" s="1423">
        <f t="shared" ca="1" si="2786"/>
        <v>0</v>
      </c>
      <c r="U1914" s="1423">
        <f t="shared" ca="1" si="2787"/>
        <v>0</v>
      </c>
      <c r="V1914" s="1423">
        <f t="shared" ca="1" si="2788"/>
        <v>0</v>
      </c>
      <c r="W1914" s="1423">
        <f t="shared" ca="1" si="2789"/>
        <v>0</v>
      </c>
      <c r="X1914" s="202"/>
      <c r="Y1914" s="202"/>
      <c r="Z1914" s="202"/>
      <c r="AA1914" s="152"/>
      <c r="AB1914" s="152"/>
    </row>
    <row r="1915" spans="1:28" hidden="1" outlineLevel="1">
      <c r="A1915" s="199">
        <f t="shared" si="2790"/>
        <v>11</v>
      </c>
      <c r="B1915" s="190" t="str">
        <f t="shared" ca="1" si="2791"/>
        <v>Depreciated Net Capex 2026-27</v>
      </c>
      <c r="C1915" s="1426"/>
      <c r="D1915" s="1426"/>
      <c r="E1915" s="1426"/>
      <c r="F1915" s="1426"/>
      <c r="G1915" s="1426"/>
      <c r="H1915" s="1426"/>
      <c r="I1915" s="1426"/>
      <c r="J1915" s="1426"/>
      <c r="K1915" s="1426"/>
      <c r="L1915" s="1426"/>
      <c r="M1915" s="1427"/>
      <c r="N1915" s="1428">
        <f>N1899</f>
        <v>0</v>
      </c>
      <c r="O1915" s="1423">
        <f ca="1">IF(N1939="n/a",N1915,IFERROR(IF((OFFSET($C1915,0,$A1915))&lt;0,
MIN(0,N1915-(OFFSET($C1915,0,$A1915)/(OFFSET($C1910,-$A1914,$A1915)))),
MAX(0,N1915-(OFFSET($C1915,0,$A1915)/(OFFSET($C1910,-$A1914,$A1915))))),0))</f>
        <v>0</v>
      </c>
      <c r="P1915" s="1423">
        <f t="shared" ca="1" si="2782"/>
        <v>0</v>
      </c>
      <c r="Q1915" s="1423">
        <f t="shared" ca="1" si="2783"/>
        <v>0</v>
      </c>
      <c r="R1915" s="1423">
        <f t="shared" ca="1" si="2784"/>
        <v>0</v>
      </c>
      <c r="S1915" s="1423">
        <f t="shared" ca="1" si="2785"/>
        <v>0</v>
      </c>
      <c r="T1915" s="1423">
        <f t="shared" ca="1" si="2786"/>
        <v>0</v>
      </c>
      <c r="U1915" s="1423">
        <f t="shared" ca="1" si="2787"/>
        <v>0</v>
      </c>
      <c r="V1915" s="1423">
        <f t="shared" ca="1" si="2788"/>
        <v>0</v>
      </c>
      <c r="W1915" s="1423">
        <f t="shared" ca="1" si="2789"/>
        <v>0</v>
      </c>
      <c r="X1915" s="202"/>
      <c r="Y1915" s="202"/>
      <c r="Z1915" s="202"/>
      <c r="AA1915" s="152"/>
      <c r="AB1915" s="152"/>
    </row>
    <row r="1916" spans="1:28" hidden="1" outlineLevel="1">
      <c r="A1916" s="199">
        <f t="shared" si="2790"/>
        <v>12</v>
      </c>
      <c r="B1916" s="190" t="str">
        <f t="shared" ca="1" si="2791"/>
        <v>Depreciated Net Capex 2027-28</v>
      </c>
      <c r="C1916" s="1426"/>
      <c r="D1916" s="1426"/>
      <c r="E1916" s="1426"/>
      <c r="F1916" s="1426"/>
      <c r="G1916" s="1426"/>
      <c r="H1916" s="1426"/>
      <c r="I1916" s="1426"/>
      <c r="J1916" s="1426"/>
      <c r="K1916" s="1426"/>
      <c r="L1916" s="1426"/>
      <c r="M1916" s="1426"/>
      <c r="N1916" s="1427"/>
      <c r="O1916" s="1428">
        <f>O1899</f>
        <v>0</v>
      </c>
      <c r="P1916" s="1423">
        <f ca="1">IF(O1940="n/a",O1916,IFERROR(IF((OFFSET($C1916,0,$A1916))&lt;0,
MIN(0,O1916-(OFFSET($C1916,0,$A1916)/(OFFSET($C1911,-$A1915,$A1916)))),
MAX(0,O1916-(OFFSET($C1916,0,$A1916)/(OFFSET($C1911,-$A1915,$A1916))))),0))</f>
        <v>0</v>
      </c>
      <c r="Q1916" s="1423">
        <f t="shared" ca="1" si="2783"/>
        <v>0</v>
      </c>
      <c r="R1916" s="1423">
        <f t="shared" ca="1" si="2784"/>
        <v>0</v>
      </c>
      <c r="S1916" s="1423">
        <f t="shared" ca="1" si="2785"/>
        <v>0</v>
      </c>
      <c r="T1916" s="1423">
        <f t="shared" ca="1" si="2786"/>
        <v>0</v>
      </c>
      <c r="U1916" s="1423">
        <f t="shared" ca="1" si="2787"/>
        <v>0</v>
      </c>
      <c r="V1916" s="1423">
        <f t="shared" ca="1" si="2788"/>
        <v>0</v>
      </c>
      <c r="W1916" s="1423">
        <f t="shared" ca="1" si="2789"/>
        <v>0</v>
      </c>
      <c r="X1916" s="202"/>
      <c r="Y1916" s="202"/>
      <c r="Z1916" s="202"/>
      <c r="AA1916" s="152"/>
      <c r="AB1916" s="152"/>
    </row>
    <row r="1917" spans="1:28" hidden="1" outlineLevel="1">
      <c r="A1917" s="199">
        <f t="shared" si="2790"/>
        <v>13</v>
      </c>
      <c r="B1917" s="190" t="str">
        <f t="shared" ca="1" si="2791"/>
        <v>Depreciated Net Capex 2028-29</v>
      </c>
      <c r="C1917" s="1426"/>
      <c r="D1917" s="1426"/>
      <c r="E1917" s="1426"/>
      <c r="F1917" s="1426"/>
      <c r="G1917" s="1426"/>
      <c r="H1917" s="1426"/>
      <c r="I1917" s="1426"/>
      <c r="J1917" s="1426"/>
      <c r="K1917" s="1426"/>
      <c r="L1917" s="1426"/>
      <c r="M1917" s="1426"/>
      <c r="N1917" s="1426"/>
      <c r="O1917" s="1427"/>
      <c r="P1917" s="1428">
        <f>P1899</f>
        <v>0</v>
      </c>
      <c r="Q1917" s="1423">
        <f ca="1">IF(P1941="n/a",P1917,IFERROR(IF((OFFSET($C1917,0,$A1917))&lt;0,
MIN(0,P1917-(OFFSET($C1917,0,$A1917)/(OFFSET($C1912,-$A1916,$A1917)))),
MAX(0,P1917-(OFFSET($C1917,0,$A1917)/(OFFSET($C1912,-$A1916,$A1917))))),0))</f>
        <v>0</v>
      </c>
      <c r="R1917" s="1423">
        <f t="shared" ca="1" si="2784"/>
        <v>0</v>
      </c>
      <c r="S1917" s="1423">
        <f t="shared" ca="1" si="2785"/>
        <v>0</v>
      </c>
      <c r="T1917" s="1423">
        <f t="shared" ca="1" si="2786"/>
        <v>0</v>
      </c>
      <c r="U1917" s="1423">
        <f t="shared" ca="1" si="2787"/>
        <v>0</v>
      </c>
      <c r="V1917" s="1423">
        <f t="shared" ca="1" si="2788"/>
        <v>0</v>
      </c>
      <c r="W1917" s="1423">
        <f t="shared" ca="1" si="2789"/>
        <v>0</v>
      </c>
      <c r="X1917" s="202"/>
      <c r="Y1917" s="202"/>
      <c r="Z1917" s="202"/>
      <c r="AA1917" s="152"/>
      <c r="AB1917" s="152"/>
    </row>
    <row r="1918" spans="1:28" hidden="1" outlineLevel="1">
      <c r="A1918" s="199">
        <f t="shared" si="2790"/>
        <v>14</v>
      </c>
      <c r="B1918" s="190" t="str">
        <f t="shared" ca="1" si="2791"/>
        <v>Depreciated Net Capex 2029-30</v>
      </c>
      <c r="C1918" s="1426"/>
      <c r="D1918" s="1426"/>
      <c r="E1918" s="1426"/>
      <c r="F1918" s="1426"/>
      <c r="G1918" s="1426"/>
      <c r="H1918" s="1426"/>
      <c r="I1918" s="1426"/>
      <c r="J1918" s="1426"/>
      <c r="K1918" s="1426"/>
      <c r="L1918" s="1426"/>
      <c r="M1918" s="1426"/>
      <c r="N1918" s="1426"/>
      <c r="O1918" s="1426"/>
      <c r="P1918" s="1427"/>
      <c r="Q1918" s="1428">
        <f>Q1899</f>
        <v>0</v>
      </c>
      <c r="R1918" s="1423">
        <f ca="1">IF(Q1942="n/a",Q1918,IFERROR(IF((OFFSET($C1918,0,$A1918))&lt;0,
MIN(0,Q1918-(OFFSET($C1918,0,$A1918)/(OFFSET($C1913,-$A1917,$A1918)))),
MAX(0,Q1918-(OFFSET($C1918,0,$A1918)/(OFFSET($C1913,-$A1917,$A1918))))),0))</f>
        <v>0</v>
      </c>
      <c r="S1918" s="1423">
        <f t="shared" ca="1" si="2785"/>
        <v>0</v>
      </c>
      <c r="T1918" s="1423">
        <f t="shared" ca="1" si="2786"/>
        <v>0</v>
      </c>
      <c r="U1918" s="1423">
        <f t="shared" ca="1" si="2787"/>
        <v>0</v>
      </c>
      <c r="V1918" s="1423">
        <f t="shared" ca="1" si="2788"/>
        <v>0</v>
      </c>
      <c r="W1918" s="1423">
        <f t="shared" ca="1" si="2789"/>
        <v>0</v>
      </c>
      <c r="X1918" s="202"/>
      <c r="Y1918" s="202"/>
      <c r="Z1918" s="202"/>
      <c r="AA1918" s="152"/>
      <c r="AB1918" s="152"/>
    </row>
    <row r="1919" spans="1:28" hidden="1" outlineLevel="1">
      <c r="A1919" s="199">
        <f t="shared" si="2790"/>
        <v>15</v>
      </c>
      <c r="B1919" s="190" t="str">
        <f t="shared" ca="1" si="2791"/>
        <v>Depreciated Net Capex 2030-31</v>
      </c>
      <c r="C1919" s="1426"/>
      <c r="D1919" s="1426"/>
      <c r="E1919" s="1426"/>
      <c r="F1919" s="1426"/>
      <c r="G1919" s="1426"/>
      <c r="H1919" s="1426"/>
      <c r="I1919" s="1426"/>
      <c r="J1919" s="1426"/>
      <c r="K1919" s="1426"/>
      <c r="L1919" s="1426"/>
      <c r="M1919" s="1426"/>
      <c r="N1919" s="1426"/>
      <c r="O1919" s="1426"/>
      <c r="P1919" s="1426"/>
      <c r="Q1919" s="1427"/>
      <c r="R1919" s="1428">
        <f>R1899</f>
        <v>0</v>
      </c>
      <c r="S1919" s="1423">
        <f ca="1">IF(R1943="n/a",R1919,IFERROR(IF((OFFSET($C1919,0,$A1919))&lt;0,
MIN(0,R1919-(OFFSET($C1919,0,$A1919)/(OFFSET($C1914,-$A1918,$A1919)))),
MAX(0,R1919-(OFFSET($C1919,0,$A1919)/(OFFSET($C1914,-$A1918,$A1919))))),0))</f>
        <v>0</v>
      </c>
      <c r="T1919" s="1423">
        <f t="shared" ca="1" si="2786"/>
        <v>0</v>
      </c>
      <c r="U1919" s="1423">
        <f t="shared" ca="1" si="2787"/>
        <v>0</v>
      </c>
      <c r="V1919" s="1423">
        <f t="shared" ca="1" si="2788"/>
        <v>0</v>
      </c>
      <c r="W1919" s="1423">
        <f t="shared" ca="1" si="2789"/>
        <v>0</v>
      </c>
      <c r="X1919" s="202"/>
      <c r="Y1919" s="202"/>
      <c r="Z1919" s="202"/>
      <c r="AA1919" s="152"/>
      <c r="AB1919" s="152"/>
    </row>
    <row r="1920" spans="1:28" hidden="1" outlineLevel="1">
      <c r="A1920" s="199">
        <f t="shared" si="2790"/>
        <v>16</v>
      </c>
      <c r="B1920" s="190" t="str">
        <f t="shared" ca="1" si="2791"/>
        <v>Depreciated Net Capex 2031-32</v>
      </c>
      <c r="C1920" s="1426"/>
      <c r="D1920" s="1426"/>
      <c r="E1920" s="1426"/>
      <c r="F1920" s="1426"/>
      <c r="G1920" s="1426"/>
      <c r="H1920" s="1426"/>
      <c r="I1920" s="1426"/>
      <c r="J1920" s="1426"/>
      <c r="K1920" s="1426"/>
      <c r="L1920" s="1426"/>
      <c r="M1920" s="1426"/>
      <c r="N1920" s="1426"/>
      <c r="O1920" s="1426"/>
      <c r="P1920" s="1426"/>
      <c r="Q1920" s="1426"/>
      <c r="R1920" s="1427"/>
      <c r="S1920" s="1428">
        <f>S1899</f>
        <v>0</v>
      </c>
      <c r="T1920" s="1423">
        <f ca="1">IF(S1944="n/a",S1920,IFERROR(IF((OFFSET($C1920,0,$A1920))&lt;0,
MIN(0,S1920-(OFFSET($C1920,0,$A1920)/(OFFSET($C1915,-$A1919,$A1920)))),
MAX(0,S1920-(OFFSET($C1920,0,$A1920)/(OFFSET($C1915,-$A1919,$A1920))))),0))</f>
        <v>0</v>
      </c>
      <c r="U1920" s="1423">
        <f t="shared" ca="1" si="2787"/>
        <v>0</v>
      </c>
      <c r="V1920" s="1423">
        <f t="shared" ca="1" si="2788"/>
        <v>0</v>
      </c>
      <c r="W1920" s="1423">
        <f t="shared" ca="1" si="2789"/>
        <v>0</v>
      </c>
      <c r="X1920" s="202"/>
      <c r="Y1920" s="202"/>
      <c r="Z1920" s="202"/>
      <c r="AA1920" s="152"/>
      <c r="AB1920" s="152"/>
    </row>
    <row r="1921" spans="1:28" hidden="1" outlineLevel="1">
      <c r="A1921" s="199">
        <f t="shared" si="2790"/>
        <v>17</v>
      </c>
      <c r="B1921" s="190" t="str">
        <f t="shared" ca="1" si="2791"/>
        <v>Depreciated Net Capex 2032-33</v>
      </c>
      <c r="C1921" s="1426"/>
      <c r="D1921" s="1426"/>
      <c r="E1921" s="1426"/>
      <c r="F1921" s="1426"/>
      <c r="G1921" s="1426"/>
      <c r="H1921" s="1426"/>
      <c r="I1921" s="1426"/>
      <c r="J1921" s="1426"/>
      <c r="K1921" s="1426"/>
      <c r="L1921" s="1426"/>
      <c r="M1921" s="1426"/>
      <c r="N1921" s="1426"/>
      <c r="O1921" s="1426"/>
      <c r="P1921" s="1426"/>
      <c r="Q1921" s="1426"/>
      <c r="R1921" s="1426"/>
      <c r="S1921" s="1427"/>
      <c r="T1921" s="1428">
        <f>T1899</f>
        <v>0</v>
      </c>
      <c r="U1921" s="1423">
        <f ca="1">IF(T1945="n/a",T1921,IFERROR(IF((OFFSET($C1921,0,$A1921))&lt;0,
MIN(0,T1921-(OFFSET($C1921,0,$A1921)/(OFFSET($C1916,-$A1920,$A1921)))),
MAX(0,T1921-(OFFSET($C1921,0,$A1921)/(OFFSET($C1916,-$A1920,$A1921))))),0))</f>
        <v>0</v>
      </c>
      <c r="V1921" s="1423">
        <f t="shared" ca="1" si="2788"/>
        <v>0</v>
      </c>
      <c r="W1921" s="1423">
        <f t="shared" ca="1" si="2789"/>
        <v>0</v>
      </c>
      <c r="X1921" s="202"/>
      <c r="Y1921" s="202"/>
      <c r="Z1921" s="202"/>
      <c r="AA1921" s="152"/>
      <c r="AB1921" s="152"/>
    </row>
    <row r="1922" spans="1:28" hidden="1" outlineLevel="1">
      <c r="A1922" s="199">
        <f t="shared" si="2790"/>
        <v>18</v>
      </c>
      <c r="B1922" s="190" t="str">
        <f t="shared" ca="1" si="2791"/>
        <v>Depreciated Net Capex 2033-34</v>
      </c>
      <c r="C1922" s="1426"/>
      <c r="D1922" s="1426"/>
      <c r="E1922" s="1426"/>
      <c r="F1922" s="1426"/>
      <c r="G1922" s="1426"/>
      <c r="H1922" s="1426"/>
      <c r="I1922" s="1426"/>
      <c r="J1922" s="1426"/>
      <c r="K1922" s="1426"/>
      <c r="L1922" s="1426"/>
      <c r="M1922" s="1426"/>
      <c r="N1922" s="1426"/>
      <c r="O1922" s="1426"/>
      <c r="P1922" s="1426"/>
      <c r="Q1922" s="1426"/>
      <c r="R1922" s="1426"/>
      <c r="S1922" s="1426"/>
      <c r="T1922" s="1427"/>
      <c r="U1922" s="1428">
        <f>U1899</f>
        <v>0</v>
      </c>
      <c r="V1922" s="1423">
        <f ca="1">IF(U1946="n/a",U1922,IFERROR(IF((OFFSET($C1922,0,$A1922))&lt;0,
MIN(0,U1922-(OFFSET($C1922,0,$A1922)/(OFFSET($C1917,-$A1921,$A1922)))),
MAX(0,U1922-(OFFSET($C1922,0,$A1922)/(OFFSET($C1917,-$A1921,$A1922))))),0))</f>
        <v>0</v>
      </c>
      <c r="W1922" s="1423">
        <f t="shared" ca="1" si="2789"/>
        <v>0</v>
      </c>
      <c r="X1922" s="202"/>
      <c r="Y1922" s="202"/>
      <c r="Z1922" s="202"/>
      <c r="AA1922" s="152"/>
      <c r="AB1922" s="152"/>
    </row>
    <row r="1923" spans="1:28" hidden="1" outlineLevel="1">
      <c r="A1923" s="199">
        <f t="shared" si="2790"/>
        <v>19</v>
      </c>
      <c r="B1923" s="190" t="str">
        <f t="shared" ca="1" si="2791"/>
        <v>Depreciated Net Capex 2034-35</v>
      </c>
      <c r="C1923" s="1426"/>
      <c r="D1923" s="1426"/>
      <c r="E1923" s="1426"/>
      <c r="F1923" s="1426"/>
      <c r="G1923" s="1426"/>
      <c r="H1923" s="1426"/>
      <c r="I1923" s="1426"/>
      <c r="J1923" s="1426"/>
      <c r="K1923" s="1426"/>
      <c r="L1923" s="1426"/>
      <c r="M1923" s="1426"/>
      <c r="N1923" s="1426"/>
      <c r="O1923" s="1426"/>
      <c r="P1923" s="1426"/>
      <c r="Q1923" s="1426"/>
      <c r="R1923" s="1426"/>
      <c r="S1923" s="1426"/>
      <c r="T1923" s="1426"/>
      <c r="U1923" s="1427"/>
      <c r="V1923" s="1428">
        <f>V1899</f>
        <v>0</v>
      </c>
      <c r="W1923" s="1423">
        <f ca="1">IF(V1947="n/a",V1923,IFERROR(IF((OFFSET($C1923,0,$A1923))&lt;0,
MIN(0,V1923-(OFFSET($C1923,0,$A1923)/(OFFSET($C1918,-$A1922,$A1923)))),
MAX(0,V1923-(OFFSET($C1923,0,$A1923)/(OFFSET($C1918,-$A1922,$A1923))))),0))</f>
        <v>0</v>
      </c>
      <c r="X1923" s="202"/>
      <c r="Y1923" s="202"/>
      <c r="Z1923" s="202"/>
      <c r="AA1923" s="152"/>
      <c r="AB1923" s="152"/>
    </row>
    <row r="1924" spans="1:28" hidden="1" outlineLevel="1">
      <c r="A1924" s="199">
        <f t="shared" si="2790"/>
        <v>20</v>
      </c>
      <c r="B1924" s="190" t="str">
        <f t="shared" ca="1" si="2791"/>
        <v>Depreciated Net Capex 2035-36</v>
      </c>
      <c r="C1924" s="1426"/>
      <c r="D1924" s="1426"/>
      <c r="E1924" s="1426"/>
      <c r="F1924" s="1426"/>
      <c r="G1924" s="1426"/>
      <c r="H1924" s="1426"/>
      <c r="I1924" s="1426"/>
      <c r="J1924" s="1426"/>
      <c r="K1924" s="1426"/>
      <c r="L1924" s="1426"/>
      <c r="M1924" s="1426"/>
      <c r="N1924" s="1426"/>
      <c r="O1924" s="1426"/>
      <c r="P1924" s="1426"/>
      <c r="Q1924" s="1426"/>
      <c r="R1924" s="1426"/>
      <c r="S1924" s="1426"/>
      <c r="T1924" s="1426"/>
      <c r="U1924" s="1426"/>
      <c r="V1924" s="1427"/>
      <c r="W1924" s="1423">
        <f>W1899</f>
        <v>0</v>
      </c>
      <c r="X1924" s="152"/>
      <c r="Y1924" s="152"/>
      <c r="Z1924" s="152"/>
      <c r="AA1924" s="152"/>
      <c r="AB1924" s="152"/>
    </row>
    <row r="1925" spans="1:28" hidden="1" outlineLevel="1">
      <c r="A1925" s="152"/>
      <c r="B1925" s="200"/>
      <c r="C1925" s="1423"/>
      <c r="D1925" s="1423"/>
      <c r="E1925" s="1423"/>
      <c r="F1925" s="1423"/>
      <c r="G1925" s="1423"/>
      <c r="H1925" s="1423"/>
      <c r="I1925" s="1423"/>
      <c r="J1925" s="1423"/>
      <c r="K1925" s="1423"/>
      <c r="L1925" s="1423"/>
      <c r="M1925" s="1423"/>
      <c r="N1925" s="1423"/>
      <c r="O1925" s="1423"/>
      <c r="P1925" s="1423"/>
      <c r="Q1925" s="1423"/>
      <c r="R1925" s="1423"/>
      <c r="S1925" s="1423"/>
      <c r="T1925" s="1423"/>
      <c r="U1925" s="1423"/>
      <c r="V1925" s="1423"/>
      <c r="W1925" s="1423"/>
      <c r="X1925" s="152"/>
      <c r="Y1925" s="152"/>
      <c r="Z1925" s="152"/>
      <c r="AA1925" s="152"/>
      <c r="AB1925" s="152"/>
    </row>
    <row r="1926" spans="1:28" hidden="1" outlineLevel="1">
      <c r="A1926" s="152"/>
      <c r="B1926" s="200"/>
      <c r="C1926" s="1423"/>
      <c r="D1926" s="1423"/>
      <c r="E1926" s="1423"/>
      <c r="F1926" s="1423"/>
      <c r="G1926" s="1423"/>
      <c r="H1926" s="1423"/>
      <c r="I1926" s="1423"/>
      <c r="J1926" s="1423"/>
      <c r="K1926" s="1423"/>
      <c r="L1926" s="1423"/>
      <c r="M1926" s="1423"/>
      <c r="N1926" s="1423"/>
      <c r="O1926" s="1423"/>
      <c r="P1926" s="1423"/>
      <c r="Q1926" s="1423"/>
      <c r="R1926" s="1423"/>
      <c r="S1926" s="1423"/>
      <c r="T1926" s="1423"/>
      <c r="U1926" s="1423"/>
      <c r="V1926" s="1423"/>
      <c r="W1926" s="1423"/>
      <c r="X1926" s="152"/>
      <c r="Y1926" s="152"/>
      <c r="Z1926" s="152"/>
      <c r="AA1926" s="152"/>
      <c r="AB1926" s="152"/>
    </row>
    <row r="1927" spans="1:28" hidden="1" outlineLevel="1">
      <c r="A1927" s="152"/>
      <c r="B1927" s="190" t="s">
        <v>194</v>
      </c>
      <c r="C1927" s="1423"/>
      <c r="D1927" s="1423">
        <f t="shared" ref="D1927" ca="1" si="2792">IF(AND(C1927&lt;1,D1901=0),0,
IF(D1901=0,C1927-1,
IF(C1927&lt;1,D1902,
(((C1927-1)*(C1903-(C1903/(C1927))))+(D1901*D1902))/(D1903))))</f>
        <v>0</v>
      </c>
      <c r="E1927" s="1423">
        <f t="shared" ref="E1927" ca="1" si="2793">IF(AND(D1927&lt;1,E1901=0),0,
IF(E1901=0,D1927-1,
IF(D1927&lt;1,E1902,
(((D1927-1)*(D1903-(D1903/(D1927))))+(E1901*E1902))/(E1903))))</f>
        <v>0</v>
      </c>
      <c r="F1927" s="1423">
        <f t="shared" ref="F1927" ca="1" si="2794">IF(AND(E1927&lt;1,F1901=0),0,
IF(F1901=0,E1927-1,
IF(E1927&lt;1,F1902,
(((E1927-1)*(E1903-(E1903/(E1927))))+(F1901*F1902))/(F1903))))</f>
        <v>0</v>
      </c>
      <c r="G1927" s="1423">
        <f t="shared" ref="G1927" ca="1" si="2795">IF(AND(F1927&lt;1,G1901=0),0,
IF(G1901=0,F1927-1,
IF(F1927&lt;1,G1902,
(((F1927-1)*(F1903-(F1903/(F1927))))+(G1901*G1902))/(G1903))))</f>
        <v>0</v>
      </c>
      <c r="H1927" s="1423">
        <f ca="1">IF(AND(G1927&lt;1,H1901=0),0,
IF(H1901=0,G1927-1,
IF(G1927&lt;1,H1902,
(((G1927-1)*(G1903-(G1903/(G1927))))+(H1901*H1902))/(H1903))))</f>
        <v>0</v>
      </c>
      <c r="I1927" s="1423">
        <f t="shared" ref="I1927" ca="1" si="2796">IF(AND(H1927&lt;1,I1901=0),0,
IF(I1901=0,H1927-1,
IF(H1927&lt;1,I1902,
(((H1927-1)*(H1903-(H1903/(H1927))))+(I1901*I1902))/(I1903))))</f>
        <v>0</v>
      </c>
      <c r="J1927" s="1423">
        <f t="shared" ref="J1927" ca="1" si="2797">IF(AND(I1927&lt;1,J1901=0),0,
IF(J1901=0,I1927-1,
IF(I1927&lt;1,J1902,
(((I1927-1)*(I1903-(I1903/(I1927))))+(J1901*J1902))/(J1903))))</f>
        <v>0</v>
      </c>
      <c r="K1927" s="1423">
        <f t="shared" ref="K1927" ca="1" si="2798">IF(AND(J1927&lt;1,K1901=0),0,
IF(K1901=0,J1927-1,
IF(J1927&lt;1,K1902,
(((J1927-1)*(J1903-(J1903/(J1927))))+(K1901*K1902))/(K1903))))</f>
        <v>0</v>
      </c>
      <c r="L1927" s="1423">
        <f t="shared" ref="L1927" ca="1" si="2799">IF(AND(K1927&lt;1,L1901=0),0,
IF(L1901=0,K1927-1,
IF(K1927&lt;1,L1902,
(((K1927-1)*(K1903-(K1903/(K1927))))+(L1901*L1902))/(L1903))))</f>
        <v>0</v>
      </c>
      <c r="M1927" s="1423">
        <f ca="1">IF(AND(L1927&lt;1,M1901=0),0,
IF(M1901=0,L1927-1,
IF(L1927&lt;1,M1902,
(((L1927-1)*(L1903-(L1903/(L1927))))+(M1901*M1902))/(M1903))))</f>
        <v>0</v>
      </c>
      <c r="N1927" s="1423">
        <f t="shared" ref="N1927" ca="1" si="2800">IF(AND(M1927&lt;1,N1901=0),0,
IF(N1901=0,M1927-1,
IF(M1927&lt;1,N1902,
(((M1927-1)*(M1903-(M1903/(M1927))))+(N1901*N1902))/(N1903))))</f>
        <v>0</v>
      </c>
      <c r="O1927" s="1423">
        <f t="shared" ref="O1927" ca="1" si="2801">IF(AND(N1927&lt;1,O1901=0),0,
IF(O1901=0,N1927-1,
IF(N1927&lt;1,O1902,
(((N1927-1)*(N1903-(N1903/(N1927))))+(O1901*O1902))/(O1903))))</f>
        <v>0</v>
      </c>
      <c r="P1927" s="1423">
        <f t="shared" ref="P1927" ca="1" si="2802">IF(AND(O1927&lt;1,P1901=0),0,
IF(P1901=0,O1927-1,
IF(O1927&lt;1,P1902,
(((O1927-1)*(O1903-(O1903/(O1927))))+(P1901*P1902))/(P1903))))</f>
        <v>0</v>
      </c>
      <c r="Q1927" s="1423">
        <f t="shared" ref="Q1927" ca="1" si="2803">IF(AND(P1927&lt;1,Q1901=0),0,
IF(Q1901=0,P1927-1,
IF(P1927&lt;1,Q1902,
(((P1927-1)*(P1903-(P1903/(P1927))))+(Q1901*Q1902))/(Q1903))))</f>
        <v>0</v>
      </c>
      <c r="R1927" s="1423">
        <f t="shared" ref="R1927" ca="1" si="2804">IF(AND(Q1927&lt;1,R1901=0),0,
IF(R1901=0,Q1927-1,
IF(Q1927&lt;1,R1902,
(((Q1927-1)*(Q1903-(Q1903/(Q1927))))+(R1901*R1902))/(R1903))))</f>
        <v>0</v>
      </c>
      <c r="S1927" s="1423">
        <f t="shared" ref="S1927" ca="1" si="2805">IF(AND(R1927&lt;1,S1901=0),0,
IF(S1901=0,R1927-1,
IF(R1927&lt;1,S1902,
(((R1927-1)*(R1903-(R1903/(R1927))))+(S1901*S1902))/(S1903))))</f>
        <v>0</v>
      </c>
      <c r="T1927" s="1423">
        <f t="shared" ref="T1927" ca="1" si="2806">IF(AND(S1927&lt;1,T1901=0),0,
IF(T1901=0,S1927-1,
IF(S1927&lt;1,T1902,
(((S1927-1)*(S1903-(S1903/(S1927))))+(T1901*T1902))/(T1903))))</f>
        <v>0</v>
      </c>
      <c r="U1927" s="1423">
        <f t="shared" ref="U1927" ca="1" si="2807">IF(AND(T1927&lt;1,U1901=0),0,
IF(U1901=0,T1927-1,
IF(T1927&lt;1,U1902,
(((T1927-1)*(T1903-(T1903/(T1927))))+(U1901*U1902))/(U1903))))</f>
        <v>0</v>
      </c>
      <c r="V1927" s="1423">
        <f t="shared" ref="V1927" ca="1" si="2808">IF(AND(U1927&lt;1,V1901=0),0,
IF(V1901=0,U1927-1,
IF(U1927&lt;1,V1902,
(((U1927-1)*(U1903-(U1903/(U1927))))+(V1901*V1902))/(V1903))))</f>
        <v>0</v>
      </c>
      <c r="W1927" s="1423">
        <f t="shared" ref="W1927" ca="1" si="2809">IF(AND(V1927&lt;1,W1901=0),0,
IF(W1901=0,V1927-1,
IF(V1927&lt;1,W1902,
(((V1927-1)*(V1903-(V1903/(V1927))))+(W1901*W1902))/(W1903))))</f>
        <v>0</v>
      </c>
      <c r="X1927" s="152"/>
      <c r="Y1927" s="152"/>
      <c r="Z1927" s="152"/>
      <c r="AA1927" s="152"/>
      <c r="AB1927" s="152"/>
    </row>
    <row r="1928" spans="1:28" hidden="1" outlineLevel="1">
      <c r="A1928" s="152"/>
      <c r="B1928" s="190" t="s">
        <v>193</v>
      </c>
      <c r="C1928" s="1423">
        <f ca="1">C1900</f>
        <v>0</v>
      </c>
      <c r="D1928" s="1423">
        <f t="shared" ref="D1928" ca="1" si="2810">IF(C1928="n/a","n/a",MAX(0,C1928-1))</f>
        <v>0</v>
      </c>
      <c r="E1928" s="1423">
        <f t="shared" ref="E1928:E1929" ca="1" si="2811">IF(D1928="n/a","n/a",MAX(0,D1928-1))</f>
        <v>0</v>
      </c>
      <c r="F1928" s="1423">
        <f t="shared" ref="F1928:F1930" ca="1" si="2812">IF(E1928="n/a","n/a",MAX(0,E1928-1))</f>
        <v>0</v>
      </c>
      <c r="G1928" s="1423">
        <f t="shared" ref="G1928:G1931" ca="1" si="2813">IF(F1928="n/a","n/a",MAX(0,F1928-1))</f>
        <v>0</v>
      </c>
      <c r="H1928" s="1423">
        <f t="shared" ref="H1928:H1932" ca="1" si="2814">IF(G1928="n/a","n/a",MAX(0,G1928-1))</f>
        <v>0</v>
      </c>
      <c r="I1928" s="1423">
        <f t="shared" ref="I1928:I1933" ca="1" si="2815">IF(H1928="n/a","n/a",MAX(0,H1928-1))</f>
        <v>0</v>
      </c>
      <c r="J1928" s="1423">
        <f t="shared" ref="J1928:J1934" ca="1" si="2816">IF(I1928="n/a","n/a",MAX(0,I1928-1))</f>
        <v>0</v>
      </c>
      <c r="K1928" s="1423">
        <f t="shared" ref="K1928:K1935" ca="1" si="2817">IF(J1928="n/a","n/a",MAX(0,J1928-1))</f>
        <v>0</v>
      </c>
      <c r="L1928" s="1423">
        <f t="shared" ref="L1928:L1936" ca="1" si="2818">IF(K1928="n/a","n/a",MAX(0,K1928-1))</f>
        <v>0</v>
      </c>
      <c r="M1928" s="1423">
        <f t="shared" ref="M1928:M1937" ca="1" si="2819">IF(L1928="n/a","n/a",MAX(0,L1928-1))</f>
        <v>0</v>
      </c>
      <c r="N1928" s="1423">
        <f t="shared" ref="N1928:N1938" ca="1" si="2820">IF(M1928="n/a","n/a",MAX(0,M1928-1))</f>
        <v>0</v>
      </c>
      <c r="O1928" s="1423">
        <f t="shared" ref="O1928:O1939" ca="1" si="2821">IF(N1928="n/a","n/a",MAX(0,N1928-1))</f>
        <v>0</v>
      </c>
      <c r="P1928" s="1423">
        <f t="shared" ref="P1928:P1940" ca="1" si="2822">IF(O1928="n/a","n/a",MAX(0,O1928-1))</f>
        <v>0</v>
      </c>
      <c r="Q1928" s="1423">
        <f t="shared" ref="Q1928:Q1941" ca="1" si="2823">IF(P1928="n/a","n/a",MAX(0,P1928-1))</f>
        <v>0</v>
      </c>
      <c r="R1928" s="1423">
        <f t="shared" ref="R1928:R1942" ca="1" si="2824">IF(Q1928="n/a","n/a",MAX(0,Q1928-1))</f>
        <v>0</v>
      </c>
      <c r="S1928" s="1423">
        <f t="shared" ref="S1928:S1943" ca="1" si="2825">IF(R1928="n/a","n/a",MAX(0,R1928-1))</f>
        <v>0</v>
      </c>
      <c r="T1928" s="1423">
        <f t="shared" ref="T1928:T1944" ca="1" si="2826">IF(S1928="n/a","n/a",MAX(0,S1928-1))</f>
        <v>0</v>
      </c>
      <c r="U1928" s="1423">
        <f t="shared" ref="U1928:U1945" ca="1" si="2827">IF(T1928="n/a","n/a",MAX(0,T1928-1))</f>
        <v>0</v>
      </c>
      <c r="V1928" s="1423">
        <f t="shared" ref="V1928:V1946" ca="1" si="2828">IF(U1928="n/a","n/a",MAX(0,U1928-1))</f>
        <v>0</v>
      </c>
      <c r="W1928" s="1423">
        <f t="shared" ref="W1928:W1946" ca="1" si="2829">IF(V1928="n/a","n/a",MAX(0,V1928-1))</f>
        <v>0</v>
      </c>
      <c r="X1928" s="152"/>
      <c r="Y1928" s="152"/>
      <c r="Z1928" s="152"/>
      <c r="AA1928" s="152"/>
      <c r="AB1928" s="152"/>
    </row>
    <row r="1929" spans="1:28" hidden="1" outlineLevel="1">
      <c r="A1929" s="152"/>
      <c r="B1929" s="190" t="str">
        <f t="shared" ref="B1929:B1948" ca="1" si="2830">"RL Capex "&amp;OFFSET($C$6,0,A1905)</f>
        <v>RL Capex 2016-17</v>
      </c>
      <c r="C1929" s="1424"/>
      <c r="D1929" s="1428">
        <f>D1900</f>
        <v>0</v>
      </c>
      <c r="E1929" s="1423">
        <f t="shared" si="2811"/>
        <v>0</v>
      </c>
      <c r="F1929" s="1423">
        <f t="shared" si="2812"/>
        <v>0</v>
      </c>
      <c r="G1929" s="1423">
        <f t="shared" si="2813"/>
        <v>0</v>
      </c>
      <c r="H1929" s="1423">
        <f t="shared" si="2814"/>
        <v>0</v>
      </c>
      <c r="I1929" s="1423">
        <f t="shared" si="2815"/>
        <v>0</v>
      </c>
      <c r="J1929" s="1423">
        <f t="shared" si="2816"/>
        <v>0</v>
      </c>
      <c r="K1929" s="1423">
        <f t="shared" si="2817"/>
        <v>0</v>
      </c>
      <c r="L1929" s="1423">
        <f t="shared" si="2818"/>
        <v>0</v>
      </c>
      <c r="M1929" s="1423">
        <f t="shared" si="2819"/>
        <v>0</v>
      </c>
      <c r="N1929" s="1423">
        <f t="shared" si="2820"/>
        <v>0</v>
      </c>
      <c r="O1929" s="1423">
        <f t="shared" si="2821"/>
        <v>0</v>
      </c>
      <c r="P1929" s="1423">
        <f t="shared" si="2822"/>
        <v>0</v>
      </c>
      <c r="Q1929" s="1423">
        <f t="shared" si="2823"/>
        <v>0</v>
      </c>
      <c r="R1929" s="1423">
        <f t="shared" si="2824"/>
        <v>0</v>
      </c>
      <c r="S1929" s="1423">
        <f t="shared" si="2825"/>
        <v>0</v>
      </c>
      <c r="T1929" s="1423">
        <f t="shared" si="2826"/>
        <v>0</v>
      </c>
      <c r="U1929" s="1423">
        <f t="shared" si="2827"/>
        <v>0</v>
      </c>
      <c r="V1929" s="1423">
        <f t="shared" si="2828"/>
        <v>0</v>
      </c>
      <c r="W1929" s="1423">
        <f t="shared" si="2829"/>
        <v>0</v>
      </c>
      <c r="X1929" s="152"/>
      <c r="Y1929" s="152"/>
      <c r="Z1929" s="152"/>
      <c r="AA1929" s="152"/>
      <c r="AB1929" s="152"/>
    </row>
    <row r="1930" spans="1:28" hidden="1" outlineLevel="1">
      <c r="A1930" s="152"/>
      <c r="B1930" s="190" t="str">
        <f t="shared" ca="1" si="2830"/>
        <v>RL Capex 2017-18</v>
      </c>
      <c r="C1930" s="1429"/>
      <c r="D1930" s="1424"/>
      <c r="E1930" s="1428">
        <f>E1900</f>
        <v>0</v>
      </c>
      <c r="F1930" s="1423">
        <f t="shared" si="2812"/>
        <v>0</v>
      </c>
      <c r="G1930" s="1423">
        <f t="shared" si="2813"/>
        <v>0</v>
      </c>
      <c r="H1930" s="1423">
        <f t="shared" si="2814"/>
        <v>0</v>
      </c>
      <c r="I1930" s="1423">
        <f t="shared" si="2815"/>
        <v>0</v>
      </c>
      <c r="J1930" s="1423">
        <f t="shared" si="2816"/>
        <v>0</v>
      </c>
      <c r="K1930" s="1423">
        <f t="shared" si="2817"/>
        <v>0</v>
      </c>
      <c r="L1930" s="1423">
        <f t="shared" si="2818"/>
        <v>0</v>
      </c>
      <c r="M1930" s="1423">
        <f t="shared" si="2819"/>
        <v>0</v>
      </c>
      <c r="N1930" s="1423">
        <f t="shared" si="2820"/>
        <v>0</v>
      </c>
      <c r="O1930" s="1423">
        <f t="shared" si="2821"/>
        <v>0</v>
      </c>
      <c r="P1930" s="1423">
        <f t="shared" si="2822"/>
        <v>0</v>
      </c>
      <c r="Q1930" s="1423">
        <f t="shared" si="2823"/>
        <v>0</v>
      </c>
      <c r="R1930" s="1423">
        <f t="shared" si="2824"/>
        <v>0</v>
      </c>
      <c r="S1930" s="1423">
        <f t="shared" si="2825"/>
        <v>0</v>
      </c>
      <c r="T1930" s="1423">
        <f t="shared" si="2826"/>
        <v>0</v>
      </c>
      <c r="U1930" s="1423">
        <f t="shared" si="2827"/>
        <v>0</v>
      </c>
      <c r="V1930" s="1423">
        <f t="shared" si="2828"/>
        <v>0</v>
      </c>
      <c r="W1930" s="1423">
        <f t="shared" si="2829"/>
        <v>0</v>
      </c>
      <c r="X1930" s="152"/>
      <c r="Y1930" s="152"/>
      <c r="Z1930" s="152"/>
      <c r="AA1930" s="152"/>
      <c r="AB1930" s="152"/>
    </row>
    <row r="1931" spans="1:28" hidden="1" outlineLevel="1">
      <c r="A1931" s="152"/>
      <c r="B1931" s="190" t="str">
        <f t="shared" ca="1" si="2830"/>
        <v>RL Capex 2018-19</v>
      </c>
      <c r="C1931" s="1429"/>
      <c r="D1931" s="1429"/>
      <c r="E1931" s="1424"/>
      <c r="F1931" s="1428">
        <f>F1900</f>
        <v>0</v>
      </c>
      <c r="G1931" s="1423">
        <f t="shared" si="2813"/>
        <v>0</v>
      </c>
      <c r="H1931" s="1423">
        <f t="shared" si="2814"/>
        <v>0</v>
      </c>
      <c r="I1931" s="1423">
        <f t="shared" si="2815"/>
        <v>0</v>
      </c>
      <c r="J1931" s="1423">
        <f t="shared" si="2816"/>
        <v>0</v>
      </c>
      <c r="K1931" s="1423">
        <f t="shared" si="2817"/>
        <v>0</v>
      </c>
      <c r="L1931" s="1423">
        <f t="shared" si="2818"/>
        <v>0</v>
      </c>
      <c r="M1931" s="1423">
        <f t="shared" si="2819"/>
        <v>0</v>
      </c>
      <c r="N1931" s="1423">
        <f t="shared" si="2820"/>
        <v>0</v>
      </c>
      <c r="O1931" s="1423">
        <f t="shared" si="2821"/>
        <v>0</v>
      </c>
      <c r="P1931" s="1423">
        <f t="shared" si="2822"/>
        <v>0</v>
      </c>
      <c r="Q1931" s="1423">
        <f t="shared" si="2823"/>
        <v>0</v>
      </c>
      <c r="R1931" s="1423">
        <f t="shared" si="2824"/>
        <v>0</v>
      </c>
      <c r="S1931" s="1423">
        <f t="shared" si="2825"/>
        <v>0</v>
      </c>
      <c r="T1931" s="1423">
        <f t="shared" si="2826"/>
        <v>0</v>
      </c>
      <c r="U1931" s="1423">
        <f t="shared" si="2827"/>
        <v>0</v>
      </c>
      <c r="V1931" s="1423">
        <f t="shared" si="2828"/>
        <v>0</v>
      </c>
      <c r="W1931" s="1423">
        <f t="shared" si="2829"/>
        <v>0</v>
      </c>
      <c r="X1931" s="152"/>
      <c r="Y1931" s="152"/>
      <c r="Z1931" s="152"/>
      <c r="AA1931" s="152"/>
      <c r="AB1931" s="152"/>
    </row>
    <row r="1932" spans="1:28" hidden="1" outlineLevel="1">
      <c r="A1932" s="152"/>
      <c r="B1932" s="190" t="str">
        <f t="shared" ca="1" si="2830"/>
        <v>RL Capex 2019-20</v>
      </c>
      <c r="C1932" s="1429"/>
      <c r="D1932" s="1429"/>
      <c r="E1932" s="1429"/>
      <c r="F1932" s="1424"/>
      <c r="G1932" s="1428">
        <f>G1900</f>
        <v>0</v>
      </c>
      <c r="H1932" s="1423">
        <f t="shared" si="2814"/>
        <v>0</v>
      </c>
      <c r="I1932" s="1423">
        <f t="shared" si="2815"/>
        <v>0</v>
      </c>
      <c r="J1932" s="1423">
        <f t="shared" si="2816"/>
        <v>0</v>
      </c>
      <c r="K1932" s="1423">
        <f t="shared" si="2817"/>
        <v>0</v>
      </c>
      <c r="L1932" s="1423">
        <f t="shared" si="2818"/>
        <v>0</v>
      </c>
      <c r="M1932" s="1423">
        <f t="shared" si="2819"/>
        <v>0</v>
      </c>
      <c r="N1932" s="1423">
        <f t="shared" si="2820"/>
        <v>0</v>
      </c>
      <c r="O1932" s="1423">
        <f t="shared" si="2821"/>
        <v>0</v>
      </c>
      <c r="P1932" s="1423">
        <f t="shared" si="2822"/>
        <v>0</v>
      </c>
      <c r="Q1932" s="1423">
        <f t="shared" si="2823"/>
        <v>0</v>
      </c>
      <c r="R1932" s="1423">
        <f t="shared" si="2824"/>
        <v>0</v>
      </c>
      <c r="S1932" s="1423">
        <f t="shared" si="2825"/>
        <v>0</v>
      </c>
      <c r="T1932" s="1423">
        <f t="shared" si="2826"/>
        <v>0</v>
      </c>
      <c r="U1932" s="1423">
        <f t="shared" si="2827"/>
        <v>0</v>
      </c>
      <c r="V1932" s="1423">
        <f t="shared" si="2828"/>
        <v>0</v>
      </c>
      <c r="W1932" s="1423">
        <f t="shared" si="2829"/>
        <v>0</v>
      </c>
      <c r="X1932" s="152"/>
      <c r="Y1932" s="152"/>
      <c r="Z1932" s="152"/>
      <c r="AA1932" s="152"/>
      <c r="AB1932" s="152"/>
    </row>
    <row r="1933" spans="1:28" hidden="1" outlineLevel="1">
      <c r="A1933" s="152"/>
      <c r="B1933" s="190" t="str">
        <f t="shared" ca="1" si="2830"/>
        <v>RL Capex 2020-21</v>
      </c>
      <c r="C1933" s="1429"/>
      <c r="D1933" s="1429"/>
      <c r="E1933" s="1429"/>
      <c r="F1933" s="1429"/>
      <c r="G1933" s="1424"/>
      <c r="H1933" s="1428">
        <f>H1900</f>
        <v>0</v>
      </c>
      <c r="I1933" s="1423">
        <f t="shared" si="2815"/>
        <v>0</v>
      </c>
      <c r="J1933" s="1423">
        <f t="shared" si="2816"/>
        <v>0</v>
      </c>
      <c r="K1933" s="1423">
        <f t="shared" si="2817"/>
        <v>0</v>
      </c>
      <c r="L1933" s="1423">
        <f t="shared" si="2818"/>
        <v>0</v>
      </c>
      <c r="M1933" s="1423">
        <f t="shared" si="2819"/>
        <v>0</v>
      </c>
      <c r="N1933" s="1423">
        <f t="shared" si="2820"/>
        <v>0</v>
      </c>
      <c r="O1933" s="1423">
        <f t="shared" si="2821"/>
        <v>0</v>
      </c>
      <c r="P1933" s="1423">
        <f t="shared" si="2822"/>
        <v>0</v>
      </c>
      <c r="Q1933" s="1423">
        <f t="shared" si="2823"/>
        <v>0</v>
      </c>
      <c r="R1933" s="1423">
        <f t="shared" si="2824"/>
        <v>0</v>
      </c>
      <c r="S1933" s="1423">
        <f t="shared" si="2825"/>
        <v>0</v>
      </c>
      <c r="T1933" s="1423">
        <f t="shared" si="2826"/>
        <v>0</v>
      </c>
      <c r="U1933" s="1423">
        <f t="shared" si="2827"/>
        <v>0</v>
      </c>
      <c r="V1933" s="1423">
        <f t="shared" si="2828"/>
        <v>0</v>
      </c>
      <c r="W1933" s="1423">
        <f t="shared" si="2829"/>
        <v>0</v>
      </c>
      <c r="X1933" s="152"/>
      <c r="Y1933" s="152"/>
      <c r="Z1933" s="152"/>
      <c r="AA1933" s="152"/>
      <c r="AB1933" s="152"/>
    </row>
    <row r="1934" spans="1:28" hidden="1" outlineLevel="1">
      <c r="A1934" s="152"/>
      <c r="B1934" s="190" t="str">
        <f t="shared" ca="1" si="2830"/>
        <v>RL Capex 2021-22</v>
      </c>
      <c r="C1934" s="1429"/>
      <c r="D1934" s="1429"/>
      <c r="E1934" s="1429"/>
      <c r="F1934" s="1429"/>
      <c r="G1934" s="1429"/>
      <c r="H1934" s="1424"/>
      <c r="I1934" s="1428">
        <f>I1900</f>
        <v>0</v>
      </c>
      <c r="J1934" s="1423">
        <f t="shared" si="2816"/>
        <v>0</v>
      </c>
      <c r="K1934" s="1423">
        <f t="shared" si="2817"/>
        <v>0</v>
      </c>
      <c r="L1934" s="1423">
        <f t="shared" si="2818"/>
        <v>0</v>
      </c>
      <c r="M1934" s="1423">
        <f t="shared" si="2819"/>
        <v>0</v>
      </c>
      <c r="N1934" s="1423">
        <f t="shared" si="2820"/>
        <v>0</v>
      </c>
      <c r="O1934" s="1423">
        <f t="shared" si="2821"/>
        <v>0</v>
      </c>
      <c r="P1934" s="1423">
        <f t="shared" si="2822"/>
        <v>0</v>
      </c>
      <c r="Q1934" s="1423">
        <f t="shared" si="2823"/>
        <v>0</v>
      </c>
      <c r="R1934" s="1423">
        <f t="shared" si="2824"/>
        <v>0</v>
      </c>
      <c r="S1934" s="1423">
        <f t="shared" si="2825"/>
        <v>0</v>
      </c>
      <c r="T1934" s="1423">
        <f t="shared" si="2826"/>
        <v>0</v>
      </c>
      <c r="U1934" s="1423">
        <f t="shared" si="2827"/>
        <v>0</v>
      </c>
      <c r="V1934" s="1423">
        <f t="shared" si="2828"/>
        <v>0</v>
      </c>
      <c r="W1934" s="1423">
        <f t="shared" si="2829"/>
        <v>0</v>
      </c>
      <c r="X1934" s="152"/>
      <c r="Y1934" s="152"/>
      <c r="Z1934" s="152"/>
      <c r="AA1934" s="152"/>
      <c r="AB1934" s="152"/>
    </row>
    <row r="1935" spans="1:28" hidden="1" outlineLevel="1">
      <c r="A1935" s="152"/>
      <c r="B1935" s="190" t="str">
        <f t="shared" ca="1" si="2830"/>
        <v>RL Capex 2022-23</v>
      </c>
      <c r="C1935" s="1429"/>
      <c r="D1935" s="1429"/>
      <c r="E1935" s="1429"/>
      <c r="F1935" s="1429"/>
      <c r="G1935" s="1429"/>
      <c r="H1935" s="1429"/>
      <c r="I1935" s="1424"/>
      <c r="J1935" s="1428">
        <f>J1900</f>
        <v>0</v>
      </c>
      <c r="K1935" s="1423">
        <f t="shared" si="2817"/>
        <v>0</v>
      </c>
      <c r="L1935" s="1423">
        <f t="shared" si="2818"/>
        <v>0</v>
      </c>
      <c r="M1935" s="1423">
        <f t="shared" si="2819"/>
        <v>0</v>
      </c>
      <c r="N1935" s="1423">
        <f t="shared" si="2820"/>
        <v>0</v>
      </c>
      <c r="O1935" s="1423">
        <f t="shared" si="2821"/>
        <v>0</v>
      </c>
      <c r="P1935" s="1423">
        <f t="shared" si="2822"/>
        <v>0</v>
      </c>
      <c r="Q1935" s="1423">
        <f t="shared" si="2823"/>
        <v>0</v>
      </c>
      <c r="R1935" s="1423">
        <f t="shared" si="2824"/>
        <v>0</v>
      </c>
      <c r="S1935" s="1423">
        <f t="shared" si="2825"/>
        <v>0</v>
      </c>
      <c r="T1935" s="1423">
        <f t="shared" si="2826"/>
        <v>0</v>
      </c>
      <c r="U1935" s="1423">
        <f t="shared" si="2827"/>
        <v>0</v>
      </c>
      <c r="V1935" s="1423">
        <f t="shared" si="2828"/>
        <v>0</v>
      </c>
      <c r="W1935" s="1423">
        <f t="shared" si="2829"/>
        <v>0</v>
      </c>
      <c r="X1935" s="152"/>
      <c r="Y1935" s="152"/>
      <c r="Z1935" s="152"/>
      <c r="AA1935" s="152"/>
      <c r="AB1935" s="152"/>
    </row>
    <row r="1936" spans="1:28" hidden="1" outlineLevel="1">
      <c r="A1936" s="152"/>
      <c r="B1936" s="190" t="str">
        <f t="shared" ca="1" si="2830"/>
        <v>RL Capex 2023-24</v>
      </c>
      <c r="C1936" s="1429"/>
      <c r="D1936" s="1429"/>
      <c r="E1936" s="1429"/>
      <c r="F1936" s="1429"/>
      <c r="G1936" s="1429"/>
      <c r="H1936" s="1429"/>
      <c r="I1936" s="1429"/>
      <c r="J1936" s="1424"/>
      <c r="K1936" s="1428">
        <f>K1900</f>
        <v>0</v>
      </c>
      <c r="L1936" s="1423">
        <f t="shared" si="2818"/>
        <v>0</v>
      </c>
      <c r="M1936" s="1423">
        <f t="shared" si="2819"/>
        <v>0</v>
      </c>
      <c r="N1936" s="1423">
        <f t="shared" si="2820"/>
        <v>0</v>
      </c>
      <c r="O1936" s="1423">
        <f t="shared" si="2821"/>
        <v>0</v>
      </c>
      <c r="P1936" s="1423">
        <f t="shared" si="2822"/>
        <v>0</v>
      </c>
      <c r="Q1936" s="1423">
        <f t="shared" si="2823"/>
        <v>0</v>
      </c>
      <c r="R1936" s="1423">
        <f t="shared" si="2824"/>
        <v>0</v>
      </c>
      <c r="S1936" s="1423">
        <f t="shared" si="2825"/>
        <v>0</v>
      </c>
      <c r="T1936" s="1423">
        <f t="shared" si="2826"/>
        <v>0</v>
      </c>
      <c r="U1936" s="1423">
        <f t="shared" si="2827"/>
        <v>0</v>
      </c>
      <c r="V1936" s="1423">
        <f t="shared" si="2828"/>
        <v>0</v>
      </c>
      <c r="W1936" s="1423">
        <f t="shared" si="2829"/>
        <v>0</v>
      </c>
      <c r="X1936" s="152"/>
      <c r="Y1936" s="152"/>
      <c r="Z1936" s="152"/>
      <c r="AA1936" s="152"/>
      <c r="AB1936" s="152"/>
    </row>
    <row r="1937" spans="1:28" hidden="1" outlineLevel="1">
      <c r="A1937" s="152"/>
      <c r="B1937" s="190" t="str">
        <f t="shared" ca="1" si="2830"/>
        <v>RL Capex 2024-25</v>
      </c>
      <c r="C1937" s="1429"/>
      <c r="D1937" s="1429"/>
      <c r="E1937" s="1429"/>
      <c r="F1937" s="1429"/>
      <c r="G1937" s="1429"/>
      <c r="H1937" s="1429"/>
      <c r="I1937" s="1429"/>
      <c r="J1937" s="1429"/>
      <c r="K1937" s="1424"/>
      <c r="L1937" s="1428">
        <f>L1900</f>
        <v>0</v>
      </c>
      <c r="M1937" s="1423">
        <f t="shared" si="2819"/>
        <v>0</v>
      </c>
      <c r="N1937" s="1423">
        <f t="shared" si="2820"/>
        <v>0</v>
      </c>
      <c r="O1937" s="1423">
        <f t="shared" si="2821"/>
        <v>0</v>
      </c>
      <c r="P1937" s="1423">
        <f t="shared" si="2822"/>
        <v>0</v>
      </c>
      <c r="Q1937" s="1423">
        <f t="shared" si="2823"/>
        <v>0</v>
      </c>
      <c r="R1937" s="1423">
        <f t="shared" si="2824"/>
        <v>0</v>
      </c>
      <c r="S1937" s="1423">
        <f t="shared" si="2825"/>
        <v>0</v>
      </c>
      <c r="T1937" s="1423">
        <f t="shared" si="2826"/>
        <v>0</v>
      </c>
      <c r="U1937" s="1423">
        <f t="shared" si="2827"/>
        <v>0</v>
      </c>
      <c r="V1937" s="1423">
        <f t="shared" si="2828"/>
        <v>0</v>
      </c>
      <c r="W1937" s="1423">
        <f t="shared" si="2829"/>
        <v>0</v>
      </c>
      <c r="X1937" s="152"/>
      <c r="Y1937" s="152"/>
      <c r="Z1937" s="152"/>
      <c r="AA1937" s="152"/>
      <c r="AB1937" s="152"/>
    </row>
    <row r="1938" spans="1:28" hidden="1" outlineLevel="1">
      <c r="A1938" s="152"/>
      <c r="B1938" s="190" t="str">
        <f t="shared" ca="1" si="2830"/>
        <v>RL Capex 2025-26</v>
      </c>
      <c r="C1938" s="1429"/>
      <c r="D1938" s="1429"/>
      <c r="E1938" s="1429"/>
      <c r="F1938" s="1429"/>
      <c r="G1938" s="1429"/>
      <c r="H1938" s="1429"/>
      <c r="I1938" s="1429"/>
      <c r="J1938" s="1429"/>
      <c r="K1938" s="1429"/>
      <c r="L1938" s="1424"/>
      <c r="M1938" s="1428">
        <f>M1900</f>
        <v>0</v>
      </c>
      <c r="N1938" s="1423">
        <f t="shared" si="2820"/>
        <v>0</v>
      </c>
      <c r="O1938" s="1423">
        <f t="shared" si="2821"/>
        <v>0</v>
      </c>
      <c r="P1938" s="1423">
        <f t="shared" si="2822"/>
        <v>0</v>
      </c>
      <c r="Q1938" s="1423">
        <f t="shared" si="2823"/>
        <v>0</v>
      </c>
      <c r="R1938" s="1423">
        <f t="shared" si="2824"/>
        <v>0</v>
      </c>
      <c r="S1938" s="1423">
        <f t="shared" si="2825"/>
        <v>0</v>
      </c>
      <c r="T1938" s="1423">
        <f t="shared" si="2826"/>
        <v>0</v>
      </c>
      <c r="U1938" s="1423">
        <f t="shared" si="2827"/>
        <v>0</v>
      </c>
      <c r="V1938" s="1423">
        <f t="shared" si="2828"/>
        <v>0</v>
      </c>
      <c r="W1938" s="1423">
        <f t="shared" si="2829"/>
        <v>0</v>
      </c>
      <c r="X1938" s="152"/>
      <c r="Y1938" s="152"/>
      <c r="Z1938" s="152"/>
      <c r="AA1938" s="152"/>
      <c r="AB1938" s="152"/>
    </row>
    <row r="1939" spans="1:28" hidden="1" outlineLevel="1">
      <c r="A1939" s="152"/>
      <c r="B1939" s="190" t="str">
        <f t="shared" ca="1" si="2830"/>
        <v>RL Capex 2026-27</v>
      </c>
      <c r="C1939" s="1429"/>
      <c r="D1939" s="1429"/>
      <c r="E1939" s="1429"/>
      <c r="F1939" s="1429"/>
      <c r="G1939" s="1429"/>
      <c r="H1939" s="1429"/>
      <c r="I1939" s="1429"/>
      <c r="J1939" s="1429"/>
      <c r="K1939" s="1429"/>
      <c r="L1939" s="1429"/>
      <c r="M1939" s="1424"/>
      <c r="N1939" s="1428">
        <f>N1900</f>
        <v>0</v>
      </c>
      <c r="O1939" s="1423">
        <f t="shared" si="2821"/>
        <v>0</v>
      </c>
      <c r="P1939" s="1423">
        <f t="shared" si="2822"/>
        <v>0</v>
      </c>
      <c r="Q1939" s="1423">
        <f t="shared" si="2823"/>
        <v>0</v>
      </c>
      <c r="R1939" s="1423">
        <f t="shared" si="2824"/>
        <v>0</v>
      </c>
      <c r="S1939" s="1423">
        <f t="shared" si="2825"/>
        <v>0</v>
      </c>
      <c r="T1939" s="1423">
        <f t="shared" si="2826"/>
        <v>0</v>
      </c>
      <c r="U1939" s="1423">
        <f t="shared" si="2827"/>
        <v>0</v>
      </c>
      <c r="V1939" s="1423">
        <f t="shared" si="2828"/>
        <v>0</v>
      </c>
      <c r="W1939" s="1423">
        <f t="shared" si="2829"/>
        <v>0</v>
      </c>
      <c r="X1939" s="152"/>
      <c r="Y1939" s="152"/>
      <c r="Z1939" s="152"/>
      <c r="AA1939" s="152"/>
      <c r="AB1939" s="152"/>
    </row>
    <row r="1940" spans="1:28" hidden="1" outlineLevel="1">
      <c r="A1940" s="152"/>
      <c r="B1940" s="190" t="str">
        <f t="shared" ca="1" si="2830"/>
        <v>RL Capex 2027-28</v>
      </c>
      <c r="C1940" s="1429"/>
      <c r="D1940" s="1429"/>
      <c r="E1940" s="1429"/>
      <c r="F1940" s="1429"/>
      <c r="G1940" s="1429"/>
      <c r="H1940" s="1429"/>
      <c r="I1940" s="1429"/>
      <c r="J1940" s="1429"/>
      <c r="K1940" s="1429"/>
      <c r="L1940" s="1429"/>
      <c r="M1940" s="1429"/>
      <c r="N1940" s="1424"/>
      <c r="O1940" s="1428">
        <f>O1900</f>
        <v>0</v>
      </c>
      <c r="P1940" s="1423">
        <f t="shared" si="2822"/>
        <v>0</v>
      </c>
      <c r="Q1940" s="1423">
        <f t="shared" si="2823"/>
        <v>0</v>
      </c>
      <c r="R1940" s="1423">
        <f t="shared" si="2824"/>
        <v>0</v>
      </c>
      <c r="S1940" s="1423">
        <f t="shared" si="2825"/>
        <v>0</v>
      </c>
      <c r="T1940" s="1423">
        <f t="shared" si="2826"/>
        <v>0</v>
      </c>
      <c r="U1940" s="1423">
        <f t="shared" si="2827"/>
        <v>0</v>
      </c>
      <c r="V1940" s="1423">
        <f t="shared" si="2828"/>
        <v>0</v>
      </c>
      <c r="W1940" s="1423">
        <f t="shared" si="2829"/>
        <v>0</v>
      </c>
      <c r="X1940" s="152"/>
      <c r="Y1940" s="152"/>
      <c r="Z1940" s="152"/>
      <c r="AA1940" s="152"/>
      <c r="AB1940" s="152"/>
    </row>
    <row r="1941" spans="1:28" hidden="1" outlineLevel="1">
      <c r="A1941" s="152"/>
      <c r="B1941" s="190" t="str">
        <f t="shared" ca="1" si="2830"/>
        <v>RL Capex 2028-29</v>
      </c>
      <c r="C1941" s="1429"/>
      <c r="D1941" s="1429"/>
      <c r="E1941" s="1429"/>
      <c r="F1941" s="1429"/>
      <c r="G1941" s="1429"/>
      <c r="H1941" s="1429"/>
      <c r="I1941" s="1429"/>
      <c r="J1941" s="1429"/>
      <c r="K1941" s="1429"/>
      <c r="L1941" s="1429"/>
      <c r="M1941" s="1429"/>
      <c r="N1941" s="1429"/>
      <c r="O1941" s="1424"/>
      <c r="P1941" s="1428">
        <f>P1900</f>
        <v>0</v>
      </c>
      <c r="Q1941" s="1423">
        <f t="shared" si="2823"/>
        <v>0</v>
      </c>
      <c r="R1941" s="1423">
        <f t="shared" si="2824"/>
        <v>0</v>
      </c>
      <c r="S1941" s="1423">
        <f t="shared" si="2825"/>
        <v>0</v>
      </c>
      <c r="T1941" s="1423">
        <f t="shared" si="2826"/>
        <v>0</v>
      </c>
      <c r="U1941" s="1423">
        <f t="shared" si="2827"/>
        <v>0</v>
      </c>
      <c r="V1941" s="1423">
        <f t="shared" si="2828"/>
        <v>0</v>
      </c>
      <c r="W1941" s="1423">
        <f t="shared" si="2829"/>
        <v>0</v>
      </c>
      <c r="X1941" s="152"/>
      <c r="Y1941" s="152"/>
      <c r="Z1941" s="152"/>
      <c r="AA1941" s="152"/>
      <c r="AB1941" s="152"/>
    </row>
    <row r="1942" spans="1:28" hidden="1" outlineLevel="1">
      <c r="A1942" s="152"/>
      <c r="B1942" s="190" t="str">
        <f t="shared" ca="1" si="2830"/>
        <v>RL Capex 2029-30</v>
      </c>
      <c r="C1942" s="1429"/>
      <c r="D1942" s="1429"/>
      <c r="E1942" s="1429"/>
      <c r="F1942" s="1429"/>
      <c r="G1942" s="1429"/>
      <c r="H1942" s="1429"/>
      <c r="I1942" s="1429"/>
      <c r="J1942" s="1429"/>
      <c r="K1942" s="1429"/>
      <c r="L1942" s="1429"/>
      <c r="M1942" s="1429"/>
      <c r="N1942" s="1429"/>
      <c r="O1942" s="1429"/>
      <c r="P1942" s="1424"/>
      <c r="Q1942" s="1428">
        <f>Q1900</f>
        <v>0</v>
      </c>
      <c r="R1942" s="1423">
        <f t="shared" si="2824"/>
        <v>0</v>
      </c>
      <c r="S1942" s="1423">
        <f t="shared" si="2825"/>
        <v>0</v>
      </c>
      <c r="T1942" s="1423">
        <f t="shared" si="2826"/>
        <v>0</v>
      </c>
      <c r="U1942" s="1423">
        <f t="shared" si="2827"/>
        <v>0</v>
      </c>
      <c r="V1942" s="1423">
        <f t="shared" si="2828"/>
        <v>0</v>
      </c>
      <c r="W1942" s="1423">
        <f t="shared" si="2829"/>
        <v>0</v>
      </c>
      <c r="X1942" s="152"/>
      <c r="Y1942" s="152"/>
      <c r="Z1942" s="152"/>
      <c r="AA1942" s="152"/>
      <c r="AB1942" s="152"/>
    </row>
    <row r="1943" spans="1:28" hidden="1" outlineLevel="1">
      <c r="A1943" s="152"/>
      <c r="B1943" s="190" t="str">
        <f t="shared" ca="1" si="2830"/>
        <v>RL Capex 2030-31</v>
      </c>
      <c r="C1943" s="1429"/>
      <c r="D1943" s="1429"/>
      <c r="E1943" s="1429"/>
      <c r="F1943" s="1429"/>
      <c r="G1943" s="1429"/>
      <c r="H1943" s="1429"/>
      <c r="I1943" s="1429"/>
      <c r="J1943" s="1429"/>
      <c r="K1943" s="1429"/>
      <c r="L1943" s="1429"/>
      <c r="M1943" s="1429"/>
      <c r="N1943" s="1429"/>
      <c r="O1943" s="1429"/>
      <c r="P1943" s="1429"/>
      <c r="Q1943" s="1424"/>
      <c r="R1943" s="1428">
        <f>R1900</f>
        <v>0</v>
      </c>
      <c r="S1943" s="1423">
        <f t="shared" si="2825"/>
        <v>0</v>
      </c>
      <c r="T1943" s="1423">
        <f t="shared" si="2826"/>
        <v>0</v>
      </c>
      <c r="U1943" s="1423">
        <f t="shared" si="2827"/>
        <v>0</v>
      </c>
      <c r="V1943" s="1423">
        <f t="shared" si="2828"/>
        <v>0</v>
      </c>
      <c r="W1943" s="1423">
        <f t="shared" si="2829"/>
        <v>0</v>
      </c>
      <c r="X1943" s="152"/>
      <c r="Y1943" s="152"/>
      <c r="Z1943" s="152"/>
      <c r="AA1943" s="152"/>
      <c r="AB1943" s="152"/>
    </row>
    <row r="1944" spans="1:28" hidden="1" outlineLevel="1">
      <c r="A1944" s="152"/>
      <c r="B1944" s="190" t="str">
        <f t="shared" ca="1" si="2830"/>
        <v>RL Capex 2031-32</v>
      </c>
      <c r="C1944" s="1429"/>
      <c r="D1944" s="1429"/>
      <c r="E1944" s="1429"/>
      <c r="F1944" s="1429"/>
      <c r="G1944" s="1429"/>
      <c r="H1944" s="1429"/>
      <c r="I1944" s="1429"/>
      <c r="J1944" s="1429"/>
      <c r="K1944" s="1429"/>
      <c r="L1944" s="1429"/>
      <c r="M1944" s="1429"/>
      <c r="N1944" s="1429"/>
      <c r="O1944" s="1429"/>
      <c r="P1944" s="1429"/>
      <c r="Q1944" s="1429"/>
      <c r="R1944" s="1424"/>
      <c r="S1944" s="1428">
        <f>S1900</f>
        <v>0</v>
      </c>
      <c r="T1944" s="1423">
        <f t="shared" si="2826"/>
        <v>0</v>
      </c>
      <c r="U1944" s="1423">
        <f t="shared" si="2827"/>
        <v>0</v>
      </c>
      <c r="V1944" s="1423">
        <f t="shared" si="2828"/>
        <v>0</v>
      </c>
      <c r="W1944" s="1423">
        <f t="shared" si="2829"/>
        <v>0</v>
      </c>
      <c r="X1944" s="152"/>
      <c r="Y1944" s="152"/>
      <c r="Z1944" s="152"/>
      <c r="AA1944" s="152"/>
      <c r="AB1944" s="152"/>
    </row>
    <row r="1945" spans="1:28" hidden="1" outlineLevel="1">
      <c r="A1945" s="152"/>
      <c r="B1945" s="190" t="str">
        <f t="shared" ca="1" si="2830"/>
        <v>RL Capex 2032-33</v>
      </c>
      <c r="C1945" s="1429"/>
      <c r="D1945" s="1429"/>
      <c r="E1945" s="1429"/>
      <c r="F1945" s="1429"/>
      <c r="G1945" s="1429"/>
      <c r="H1945" s="1429"/>
      <c r="I1945" s="1429"/>
      <c r="J1945" s="1429"/>
      <c r="K1945" s="1429"/>
      <c r="L1945" s="1429"/>
      <c r="M1945" s="1429"/>
      <c r="N1945" s="1429"/>
      <c r="O1945" s="1429"/>
      <c r="P1945" s="1429"/>
      <c r="Q1945" s="1429"/>
      <c r="R1945" s="1429"/>
      <c r="S1945" s="1424"/>
      <c r="T1945" s="1428">
        <f>T1900</f>
        <v>0</v>
      </c>
      <c r="U1945" s="1423">
        <f t="shared" si="2827"/>
        <v>0</v>
      </c>
      <c r="V1945" s="1423">
        <f t="shared" si="2828"/>
        <v>0</v>
      </c>
      <c r="W1945" s="1423">
        <f t="shared" si="2829"/>
        <v>0</v>
      </c>
      <c r="X1945" s="152"/>
      <c r="Y1945" s="152"/>
      <c r="Z1945" s="152"/>
      <c r="AA1945" s="152"/>
      <c r="AB1945" s="152"/>
    </row>
    <row r="1946" spans="1:28" hidden="1" outlineLevel="1">
      <c r="A1946" s="152"/>
      <c r="B1946" s="190" t="str">
        <f t="shared" ca="1" si="2830"/>
        <v>RL Capex 2033-34</v>
      </c>
      <c r="C1946" s="1429"/>
      <c r="D1946" s="1429"/>
      <c r="E1946" s="1429"/>
      <c r="F1946" s="1429"/>
      <c r="G1946" s="1429"/>
      <c r="H1946" s="1429"/>
      <c r="I1946" s="1429"/>
      <c r="J1946" s="1429"/>
      <c r="K1946" s="1429"/>
      <c r="L1946" s="1429"/>
      <c r="M1946" s="1429"/>
      <c r="N1946" s="1429"/>
      <c r="O1946" s="1429"/>
      <c r="P1946" s="1429"/>
      <c r="Q1946" s="1429"/>
      <c r="R1946" s="1429"/>
      <c r="S1946" s="1429"/>
      <c r="T1946" s="1424"/>
      <c r="U1946" s="1428">
        <f>U1900</f>
        <v>0</v>
      </c>
      <c r="V1946" s="1423">
        <f t="shared" si="2828"/>
        <v>0</v>
      </c>
      <c r="W1946" s="1423">
        <f t="shared" si="2829"/>
        <v>0</v>
      </c>
      <c r="X1946" s="152"/>
      <c r="Y1946" s="152"/>
      <c r="Z1946" s="152"/>
      <c r="AA1946" s="152"/>
      <c r="AB1946" s="152"/>
    </row>
    <row r="1947" spans="1:28" hidden="1" outlineLevel="1">
      <c r="A1947" s="152"/>
      <c r="B1947" s="190" t="str">
        <f t="shared" ca="1" si="2830"/>
        <v>RL Capex 2034-35</v>
      </c>
      <c r="C1947" s="1429"/>
      <c r="D1947" s="1429"/>
      <c r="E1947" s="1429"/>
      <c r="F1947" s="1429"/>
      <c r="G1947" s="1429"/>
      <c r="H1947" s="1429"/>
      <c r="I1947" s="1429"/>
      <c r="J1947" s="1429"/>
      <c r="K1947" s="1429"/>
      <c r="L1947" s="1429"/>
      <c r="M1947" s="1429"/>
      <c r="N1947" s="1429"/>
      <c r="O1947" s="1429"/>
      <c r="P1947" s="1429"/>
      <c r="Q1947" s="1429"/>
      <c r="R1947" s="1429"/>
      <c r="S1947" s="1429"/>
      <c r="T1947" s="1429"/>
      <c r="U1947" s="1424"/>
      <c r="V1947" s="1428">
        <f>V1900</f>
        <v>0</v>
      </c>
      <c r="W1947" s="1423">
        <f>IF(V1947="n/a","n/a",MAX(0,V1947-1))</f>
        <v>0</v>
      </c>
      <c r="X1947" s="152"/>
      <c r="Y1947" s="152"/>
      <c r="Z1947" s="152"/>
      <c r="AA1947" s="152"/>
      <c r="AB1947" s="152"/>
    </row>
    <row r="1948" spans="1:28" hidden="1" outlineLevel="1">
      <c r="A1948" s="152"/>
      <c r="B1948" s="190" t="str">
        <f t="shared" ca="1" si="2830"/>
        <v>RL Capex 2035-36</v>
      </c>
      <c r="C1948" s="1429"/>
      <c r="D1948" s="1429"/>
      <c r="E1948" s="1429"/>
      <c r="F1948" s="1429"/>
      <c r="G1948" s="1429"/>
      <c r="H1948" s="1429"/>
      <c r="I1948" s="1429"/>
      <c r="J1948" s="1429"/>
      <c r="K1948" s="1429"/>
      <c r="L1948" s="1429"/>
      <c r="M1948" s="1429"/>
      <c r="N1948" s="1429"/>
      <c r="O1948" s="1429"/>
      <c r="P1948" s="1429"/>
      <c r="Q1948" s="1429"/>
      <c r="R1948" s="1429"/>
      <c r="S1948" s="1429"/>
      <c r="T1948" s="1429"/>
      <c r="U1948" s="1429"/>
      <c r="V1948" s="1424"/>
      <c r="W1948" s="1423">
        <f>W1900</f>
        <v>0</v>
      </c>
      <c r="X1948" s="152"/>
      <c r="Y1948" s="152"/>
      <c r="Z1948" s="152"/>
      <c r="AA1948" s="152"/>
      <c r="AB1948" s="152"/>
    </row>
    <row r="1949" spans="1:28" hidden="1" outlineLevel="1">
      <c r="A1949" s="152"/>
      <c r="B1949" s="200"/>
      <c r="C1949" s="1423"/>
      <c r="D1949" s="1423"/>
      <c r="E1949" s="1423"/>
      <c r="F1949" s="1423"/>
      <c r="G1949" s="1423"/>
      <c r="H1949" s="1423"/>
      <c r="I1949" s="1423"/>
      <c r="J1949" s="1423"/>
      <c r="K1949" s="1423"/>
      <c r="L1949" s="1423"/>
      <c r="M1949" s="1423"/>
      <c r="N1949" s="1423"/>
      <c r="O1949" s="1423"/>
      <c r="P1949" s="1423"/>
      <c r="Q1949" s="1423"/>
      <c r="R1949" s="1423"/>
      <c r="S1949" s="1423"/>
      <c r="T1949" s="1423"/>
      <c r="U1949" s="1423"/>
      <c r="V1949" s="1423"/>
      <c r="W1949" s="1423"/>
      <c r="X1949" s="152"/>
      <c r="Y1949" s="152"/>
      <c r="Z1949" s="152"/>
      <c r="AA1949" s="152"/>
      <c r="AB1949" s="152"/>
    </row>
    <row r="1950" spans="1:28" collapsed="1">
      <c r="A1950" s="194"/>
      <c r="B1950" s="204" t="s">
        <v>123</v>
      </c>
      <c r="C1950" s="1430">
        <f ca="1">(IF(OR($C1900&lt;&gt;"n/a",C1900&lt;&gt;"n/a"),IF(SUM(C1903:C1925)=0,0,IF((SUMPRODUCT(C1903:C1925,C1927:C1949)/SUM(C1903:C1925))&lt;0,1,(SUMPRODUCT(C1903:C1925,C1927:C1949)/SUM(C1903:C1925)))),"n/a"))</f>
        <v>0</v>
      </c>
      <c r="D1950" s="1430">
        <f ca="1">(IF(OR($C1900&lt;&gt;"n/a",D1900&lt;&gt;"n/a"),IF(SUM(D1903:D1925)=0,0,IF((SUMPRODUCT(D1903:D1925,D1927:D1949)/SUM(D1903:D1925))&lt;0,1,(SUMPRODUCT(D1903:D1925,D1927:D1949)/SUM(D1903:D1925)))),"n/a"))</f>
        <v>0</v>
      </c>
      <c r="E1950" s="1430">
        <f t="shared" ref="E1950:W1950" ca="1" si="2831">(IF(OR($C1900&lt;&gt;"n/a",E1900&lt;&gt;"n/a"),IF(SUM(E1903:E1925)=0,0,IF((SUMPRODUCT(E1903:E1925,E1927:E1949)/SUM(E1903:E1925))&lt;0,1,(SUMPRODUCT(E1903:E1925,E1927:E1949)/SUM(E1903:E1925)))),"n/a"))</f>
        <v>0</v>
      </c>
      <c r="F1950" s="1430">
        <f t="shared" ca="1" si="2831"/>
        <v>0</v>
      </c>
      <c r="G1950" s="1430">
        <f t="shared" ca="1" si="2831"/>
        <v>0</v>
      </c>
      <c r="H1950" s="1430">
        <f t="shared" ca="1" si="2831"/>
        <v>0</v>
      </c>
      <c r="I1950" s="1430">
        <f t="shared" ca="1" si="2831"/>
        <v>0</v>
      </c>
      <c r="J1950" s="1430">
        <f t="shared" ca="1" si="2831"/>
        <v>0</v>
      </c>
      <c r="K1950" s="1430">
        <f t="shared" ca="1" si="2831"/>
        <v>0</v>
      </c>
      <c r="L1950" s="1430">
        <f t="shared" ca="1" si="2831"/>
        <v>0</v>
      </c>
      <c r="M1950" s="1430">
        <f t="shared" ca="1" si="2831"/>
        <v>0</v>
      </c>
      <c r="N1950" s="1430">
        <f t="shared" ca="1" si="2831"/>
        <v>0</v>
      </c>
      <c r="O1950" s="1430">
        <f t="shared" ca="1" si="2831"/>
        <v>0</v>
      </c>
      <c r="P1950" s="1430">
        <f t="shared" ca="1" si="2831"/>
        <v>0</v>
      </c>
      <c r="Q1950" s="1430">
        <f t="shared" ca="1" si="2831"/>
        <v>0</v>
      </c>
      <c r="R1950" s="1430">
        <f t="shared" ca="1" si="2831"/>
        <v>0</v>
      </c>
      <c r="S1950" s="1430">
        <f t="shared" ca="1" si="2831"/>
        <v>0</v>
      </c>
      <c r="T1950" s="1430">
        <f t="shared" ca="1" si="2831"/>
        <v>0</v>
      </c>
      <c r="U1950" s="1430">
        <f t="shared" ca="1" si="2831"/>
        <v>0</v>
      </c>
      <c r="V1950" s="1430">
        <f t="shared" ca="1" si="2831"/>
        <v>0</v>
      </c>
      <c r="W1950" s="1430">
        <f t="shared" ca="1" si="2831"/>
        <v>0</v>
      </c>
      <c r="X1950" s="152"/>
      <c r="Y1950" s="152"/>
      <c r="Z1950" s="152"/>
      <c r="AA1950" s="152"/>
      <c r="AB1950" s="152"/>
    </row>
    <row r="1951" spans="1:28">
      <c r="A1951" s="152"/>
      <c r="B1951" s="152"/>
      <c r="C1951" s="1423"/>
      <c r="D1951" s="1423"/>
      <c r="E1951" s="1423"/>
      <c r="F1951" s="1423"/>
      <c r="G1951" s="1423"/>
      <c r="H1951" s="1423"/>
      <c r="I1951" s="1423"/>
      <c r="J1951" s="1423"/>
      <c r="K1951" s="1423"/>
      <c r="L1951" s="1423"/>
      <c r="M1951" s="1423"/>
      <c r="N1951" s="1423"/>
      <c r="O1951" s="1423"/>
      <c r="P1951" s="1423"/>
      <c r="Q1951" s="1423"/>
      <c r="R1951" s="1423"/>
      <c r="S1951" s="1423"/>
      <c r="T1951" s="1423"/>
      <c r="U1951" s="1423"/>
      <c r="V1951" s="1423"/>
      <c r="W1951" s="1423"/>
      <c r="X1951" s="152"/>
      <c r="Y1951" s="152"/>
      <c r="Z1951" s="152"/>
      <c r="AA1951" s="152"/>
      <c r="AB1951" s="152"/>
    </row>
    <row r="1952" spans="1:28">
      <c r="A1952" s="269" t="s">
        <v>103</v>
      </c>
      <c r="B1952" s="270">
        <f>VLOOKUP($A1952,'RFM input'!$E$7:$F$56,2,FALSE)</f>
        <v>0</v>
      </c>
      <c r="C1952" s="1431"/>
      <c r="D1952" s="1431"/>
      <c r="E1952" s="1432"/>
      <c r="F1952" s="1432"/>
      <c r="G1952" s="1432"/>
      <c r="H1952" s="1432"/>
      <c r="I1952" s="1432"/>
      <c r="J1952" s="1432"/>
      <c r="K1952" s="1432"/>
      <c r="L1952" s="1432"/>
      <c r="M1952" s="1432"/>
      <c r="N1952" s="1432"/>
      <c r="O1952" s="1432"/>
      <c r="P1952" s="1432"/>
      <c r="Q1952" s="1432"/>
      <c r="R1952" s="1432"/>
      <c r="S1952" s="1432"/>
      <c r="T1952" s="1432"/>
      <c r="U1952" s="1432"/>
      <c r="V1952" s="1432"/>
      <c r="W1952" s="1432"/>
      <c r="X1952" s="152"/>
      <c r="Y1952" s="152"/>
      <c r="Z1952" s="152"/>
      <c r="AA1952" s="152"/>
      <c r="AB1952" s="152"/>
    </row>
    <row r="1953" spans="1:28">
      <c r="A1953" s="215">
        <f>VALUE(REPLACE(A1952,1,12,""))</f>
        <v>37</v>
      </c>
      <c r="B1953" s="193" t="s">
        <v>126</v>
      </c>
      <c r="C1953" s="1416">
        <f ca="1">IF($D$6='TAB roll forward'!$H$4,OFFSET('TAB roll forward'!$H$7,A1953,0),"enter input")</f>
        <v>0</v>
      </c>
      <c r="D1953" s="1417">
        <f>IF(LEFT(D$6,4)&lt;LEFT('RFM input'!$G$60,4),"enter input",IF(LEFT(D$6,4)&gt;LEFT('RFM input'!$Q$60,4),0,
INDEX('RFM input'!$G$61:$Q$110,$A1953,MATCH(D$6,'RFM input'!$G$60:$Q$60,0))
   -INDEX('RFM input'!$G$115:$Q$164,$A1953,MATCH(D$6,'RFM input'!$G$60:$Q$60,0))))</f>
        <v>0</v>
      </c>
      <c r="E1953" s="1417">
        <f>IF(LEFT(E$6,4)&lt;LEFT('RFM input'!$G$60,4),"enter input",IF(LEFT(E$6,4)&gt;LEFT('RFM input'!$Q$60,4),0,
INDEX('RFM input'!$G$61:$Q$110,$A1953,MATCH(E$6,'RFM input'!$G$60:$Q$60,0))
   -INDEX('RFM input'!$G$115:$Q$164,$A1953,MATCH(E$6,'RFM input'!$G$60:$Q$60,0))))</f>
        <v>0</v>
      </c>
      <c r="F1953" s="1417">
        <f>IF(LEFT(F$6,4)&lt;LEFT('RFM input'!$G$60,4),"enter input",IF(LEFT(F$6,4)&gt;LEFT('RFM input'!$Q$60,4),0,
INDEX('RFM input'!$G$61:$Q$110,$A1953,MATCH(F$6,'RFM input'!$G$60:$Q$60,0))
   -INDEX('RFM input'!$G$115:$Q$164,$A1953,MATCH(F$6,'RFM input'!$G$60:$Q$60,0))))</f>
        <v>0</v>
      </c>
      <c r="G1953" s="1417">
        <f>IF(LEFT(G$6,4)&lt;LEFT('RFM input'!$G$60,4),"enter input",IF(LEFT(G$6,4)&gt;LEFT('RFM input'!$Q$60,4),0,
INDEX('RFM input'!$G$61:$Q$110,$A1953,MATCH(G$6,'RFM input'!$G$60:$Q$60,0))
   -INDEX('RFM input'!$G$115:$Q$164,$A1953,MATCH(G$6,'RFM input'!$G$60:$Q$60,0))))</f>
        <v>0</v>
      </c>
      <c r="H1953" s="1417">
        <f>IF(LEFT(H$6,4)&lt;LEFT('RFM input'!$G$60,4),"enter input",IF(LEFT(H$6,4)&gt;LEFT('RFM input'!$Q$60,4),0,
INDEX('RFM input'!$G$61:$Q$110,$A1953,MATCH(H$6,'RFM input'!$G$60:$Q$60,0))
   -INDEX('RFM input'!$G$115:$Q$164,$A1953,MATCH(H$6,'RFM input'!$G$60:$Q$60,0))))</f>
        <v>0</v>
      </c>
      <c r="I1953" s="1417">
        <f>IF(LEFT(I$6,4)&lt;LEFT('RFM input'!$G$60,4),"enter input",IF(LEFT(I$6,4)&gt;LEFT('RFM input'!$Q$60,4),0,
INDEX('RFM input'!$G$61:$Q$110,$A1953,MATCH(I$6,'RFM input'!$G$60:$Q$60,0))
   -INDEX('RFM input'!$G$115:$Q$164,$A1953,MATCH(I$6,'RFM input'!$G$60:$Q$60,0))))</f>
        <v>0</v>
      </c>
      <c r="J1953" s="1417">
        <f>IF(LEFT(J$6,4)&lt;LEFT('RFM input'!$G$60,4),"enter input",IF(LEFT(J$6,4)&gt;LEFT('RFM input'!$Q$60,4),0,
INDEX('RFM input'!$G$61:$Q$110,$A1953,MATCH(J$6,'RFM input'!$G$60:$Q$60,0))
   -INDEX('RFM input'!$G$115:$Q$164,$A1953,MATCH(J$6,'RFM input'!$G$60:$Q$60,0))))</f>
        <v>0</v>
      </c>
      <c r="K1953" s="1417">
        <f>IF(LEFT(K$6,4)&lt;LEFT('RFM input'!$G$60,4),"enter input",IF(LEFT(K$6,4)&gt;LEFT('RFM input'!$Q$60,4),0,
INDEX('RFM input'!$G$61:$Q$110,$A1953,MATCH(K$6,'RFM input'!$G$60:$Q$60,0))
   -INDEX('RFM input'!$G$115:$Q$164,$A1953,MATCH(K$6,'RFM input'!$G$60:$Q$60,0))))</f>
        <v>0</v>
      </c>
      <c r="L1953" s="1417">
        <f>IF(LEFT(L$6,4)&lt;LEFT('RFM input'!$G$60,4),"enter input",IF(LEFT(L$6,4)&gt;LEFT('RFM input'!$Q$60,4),0,
INDEX('RFM input'!$G$61:$Q$110,$A1953,MATCH(L$6,'RFM input'!$G$60:$Q$60,0))
   -INDEX('RFM input'!$G$115:$Q$164,$A1953,MATCH(L$6,'RFM input'!$G$60:$Q$60,0))))</f>
        <v>0</v>
      </c>
      <c r="M1953" s="1417">
        <f>IF(LEFT(M$6,4)&lt;LEFT('RFM input'!$G$60,4),"enter input",IF(LEFT(M$6,4)&gt;LEFT('RFM input'!$Q$60,4),0,
INDEX('RFM input'!$G$61:$Q$110,$A1953,MATCH(M$6,'RFM input'!$G$60:$Q$60,0))
   -INDEX('RFM input'!$G$115:$Q$164,$A1953,MATCH(M$6,'RFM input'!$G$60:$Q$60,0))))</f>
        <v>0</v>
      </c>
      <c r="N1953" s="1417">
        <f>IF(LEFT(N$6,4)&lt;LEFT('RFM input'!$G$60,4),"enter input",IF(LEFT(N$6,4)&gt;LEFT('RFM input'!$Q$60,4),0,
INDEX('RFM input'!$G$61:$Q$110,$A1953,MATCH(N$6,'RFM input'!$G$60:$Q$60,0))
   -INDEX('RFM input'!$G$115:$Q$164,$A1953,MATCH(N$6,'RFM input'!$G$60:$Q$60,0))))</f>
        <v>0</v>
      </c>
      <c r="O1953" s="1417">
        <f>IF(LEFT(O$6,4)&lt;LEFT('RFM input'!$G$60,4),"enter input",IF(LEFT(O$6,4)&gt;LEFT('RFM input'!$Q$60,4),0,
INDEX('RFM input'!$G$61:$Q$110,$A1953,MATCH(O$6,'RFM input'!$G$60:$Q$60,0))
   -INDEX('RFM input'!$G$115:$Q$164,$A1953,MATCH(O$6,'RFM input'!$G$60:$Q$60,0))))</f>
        <v>0</v>
      </c>
      <c r="P1953" s="1417">
        <f>IF(LEFT(P$6,4)&lt;LEFT('RFM input'!$G$60,4),"enter input",IF(LEFT(P$6,4)&gt;LEFT('RFM input'!$Q$60,4),0,
INDEX('RFM input'!$G$61:$Q$110,$A1953,MATCH(P$6,'RFM input'!$G$60:$Q$60,0))
   -INDEX('RFM input'!$G$115:$Q$164,$A1953,MATCH(P$6,'RFM input'!$G$60:$Q$60,0))))</f>
        <v>0</v>
      </c>
      <c r="Q1953" s="1417">
        <f>IF(LEFT(Q$6,4)&lt;LEFT('RFM input'!$G$60,4),"enter input",IF(LEFT(Q$6,4)&gt;LEFT('RFM input'!$Q$60,4),0,
INDEX('RFM input'!$G$61:$Q$110,$A1953,MATCH(Q$6,'RFM input'!$G$60:$Q$60,0))
   -INDEX('RFM input'!$G$115:$Q$164,$A1953,MATCH(Q$6,'RFM input'!$G$60:$Q$60,0))))</f>
        <v>0</v>
      </c>
      <c r="R1953" s="1417">
        <f>IF(LEFT(R$6,4)&lt;LEFT('RFM input'!$G$60,4),"enter input",IF(LEFT(R$6,4)&gt;LEFT('RFM input'!$Q$60,4),0,
INDEX('RFM input'!$G$61:$Q$110,$A1953,MATCH(R$6,'RFM input'!$G$60:$Q$60,0))
   -INDEX('RFM input'!$G$115:$Q$164,$A1953,MATCH(R$6,'RFM input'!$G$60:$Q$60,0))))</f>
        <v>0</v>
      </c>
      <c r="S1953" s="1417">
        <f>IF(LEFT(S$6,4)&lt;LEFT('RFM input'!$G$60,4),"enter input",IF(LEFT(S$6,4)&gt;LEFT('RFM input'!$Q$60,4),0,
INDEX('RFM input'!$G$61:$Q$110,$A1953,MATCH(S$6,'RFM input'!$G$60:$Q$60,0))
   -INDEX('RFM input'!$G$115:$Q$164,$A1953,MATCH(S$6,'RFM input'!$G$60:$Q$60,0))))</f>
        <v>0</v>
      </c>
      <c r="T1953" s="1417">
        <f>IF(LEFT(T$6,4)&lt;LEFT('RFM input'!$G$60,4),"enter input",IF(LEFT(T$6,4)&gt;LEFT('RFM input'!$Q$60,4),0,
INDEX('RFM input'!$G$61:$Q$110,$A1953,MATCH(T$6,'RFM input'!$G$60:$Q$60,0))
   -INDEX('RFM input'!$G$115:$Q$164,$A1953,MATCH(T$6,'RFM input'!$G$60:$Q$60,0))))</f>
        <v>0</v>
      </c>
      <c r="U1953" s="1417">
        <f>IF(LEFT(U$6,4)&lt;LEFT('RFM input'!$G$60,4),"enter input",IF(LEFT(U$6,4)&gt;LEFT('RFM input'!$Q$60,4),0,
INDEX('RFM input'!$G$61:$Q$110,$A1953,MATCH(U$6,'RFM input'!$G$60:$Q$60,0))
   -INDEX('RFM input'!$G$115:$Q$164,$A1953,MATCH(U$6,'RFM input'!$G$60:$Q$60,0))))</f>
        <v>0</v>
      </c>
      <c r="V1953" s="1417">
        <f>IF(LEFT(V$6,4)&lt;LEFT('RFM input'!$G$60,4),"enter input",IF(LEFT(V$6,4)&gt;LEFT('RFM input'!$Q$60,4),0,
INDEX('RFM input'!$G$61:$Q$110,$A1953,MATCH(V$6,'RFM input'!$G$60:$Q$60,0))
   -INDEX('RFM input'!$G$115:$Q$164,$A1953,MATCH(V$6,'RFM input'!$G$60:$Q$60,0))))</f>
        <v>0</v>
      </c>
      <c r="W1953" s="1417">
        <f>IF(LEFT(W$6,4)&lt;LEFT('RFM input'!$G$60,4),"enter input",IF(LEFT(W$6,4)&gt;LEFT('RFM input'!$Q$60,4),0,
INDEX('RFM input'!$G$61:$Q$110,$A1953,MATCH(W$6,'RFM input'!$G$60:$Q$60,0))
   -INDEX('RFM input'!$G$115:$Q$164,$A1953,MATCH(W$6,'RFM input'!$G$60:$Q$60,0))))</f>
        <v>0</v>
      </c>
      <c r="X1953" s="152"/>
      <c r="Y1953" s="152"/>
      <c r="Z1953" s="152"/>
      <c r="AA1953" s="152"/>
      <c r="AB1953" s="152"/>
    </row>
    <row r="1954" spans="1:28">
      <c r="A1954" s="152"/>
      <c r="B1954" s="152" t="s">
        <v>205</v>
      </c>
      <c r="C1954" s="1418">
        <f ca="1">IF($D$6='TAB roll forward'!$H$4,OFFSET('RFM input'!$S$6,$A1953,0),"enter input")</f>
        <v>0</v>
      </c>
      <c r="D1954" s="1417">
        <f>IF(LEFT(D$6,4)&lt;=LEFT('RFM input'!$G$60,4),"enter input",IF(LEFT(D$6,4)&gt;LEFT('RFM input'!$Q$60,4),0,
IF(MATCH(D$6,'RFM input'!$H$60:$Q$60,0),INDEX('RFM input'!$T$7:$T$56,$A1953,1,1))))</f>
        <v>0</v>
      </c>
      <c r="E1954" s="1417">
        <f>IF(LEFT(E$6,4)&lt;=LEFT('RFM input'!$G$60,4),"enter input",IF(LEFT(E$6,4)&gt;LEFT('RFM input'!$Q$60,4),0,
IF(MATCH(E$6,'RFM input'!$H$60:$Q$60,0),INDEX('RFM input'!$T$7:$T$56,$A1953,1,1))))</f>
        <v>0</v>
      </c>
      <c r="F1954" s="1417">
        <f>IF(LEFT(F$6,4)&lt;=LEFT('RFM input'!$G$60,4),"enter input",IF(LEFT(F$6,4)&gt;LEFT('RFM input'!$Q$60,4),0,
IF(MATCH(F$6,'RFM input'!$H$60:$Q$60,0),INDEX('RFM input'!$T$7:$T$56,$A1953,1,1))))</f>
        <v>0</v>
      </c>
      <c r="G1954" s="1417">
        <f>IF(LEFT(G$6,4)&lt;=LEFT('RFM input'!$G$60,4),"enter input",IF(LEFT(G$6,4)&gt;LEFT('RFM input'!$Q$60,4),0,
IF(MATCH(G$6,'RFM input'!$H$60:$Q$60,0),INDEX('RFM input'!$T$7:$T$56,$A1953,1,1))))</f>
        <v>0</v>
      </c>
      <c r="H1954" s="1417">
        <f>IF(LEFT(H$6,4)&lt;=LEFT('RFM input'!$G$60,4),"enter input",IF(LEFT(H$6,4)&gt;LEFT('RFM input'!$Q$60,4),0,
IF(MATCH(H$6,'RFM input'!$H$60:$Q$60,0),INDEX('RFM input'!$T$7:$T$56,$A1953,1,1))))</f>
        <v>0</v>
      </c>
      <c r="I1954" s="1417">
        <f>IF(LEFT(I$6,4)&lt;=LEFT('RFM input'!$G$60,4),"enter input",IF(LEFT(I$6,4)&gt;LEFT('RFM input'!$Q$60,4),0,
IF(MATCH(I$6,'RFM input'!$H$60:$Q$60,0),INDEX('RFM input'!$T$7:$T$56,$A1953,1,1))))</f>
        <v>0</v>
      </c>
      <c r="J1954" s="1417">
        <f>IF(LEFT(J$6,4)&lt;=LEFT('RFM input'!$G$60,4),"enter input",IF(LEFT(J$6,4)&gt;LEFT('RFM input'!$Q$60,4),0,
IF(MATCH(J$6,'RFM input'!$H$60:$Q$60,0),INDEX('RFM input'!$T$7:$T$56,$A1953,1,1))))</f>
        <v>0</v>
      </c>
      <c r="K1954" s="1417">
        <f>IF(LEFT(K$6,4)&lt;=LEFT('RFM input'!$G$60,4),"enter input",IF(LEFT(K$6,4)&gt;LEFT('RFM input'!$Q$60,4),0,
IF(MATCH(K$6,'RFM input'!$H$60:$Q$60,0),INDEX('RFM input'!$T$7:$T$56,$A1953,1,1))))</f>
        <v>0</v>
      </c>
      <c r="L1954" s="1417">
        <f>IF(LEFT(L$6,4)&lt;=LEFT('RFM input'!$G$60,4),"enter input",IF(LEFT(L$6,4)&gt;LEFT('RFM input'!$Q$60,4),0,
IF(MATCH(L$6,'RFM input'!$H$60:$Q$60,0),INDEX('RFM input'!$T$7:$T$56,$A1953,1,1))))</f>
        <v>0</v>
      </c>
      <c r="M1954" s="1417">
        <f>IF(LEFT(M$6,4)&lt;=LEFT('RFM input'!$G$60,4),"enter input",IF(LEFT(M$6,4)&gt;LEFT('RFM input'!$Q$60,4),0,
IF(MATCH(M$6,'RFM input'!$H$60:$Q$60,0),INDEX('RFM input'!$T$7:$T$56,$A1953,1,1))))</f>
        <v>0</v>
      </c>
      <c r="N1954" s="1417">
        <f>IF(LEFT(N$6,4)&lt;=LEFT('RFM input'!$G$60,4),"enter input",IF(LEFT(N$6,4)&gt;LEFT('RFM input'!$Q$60,4),0,
IF(MATCH(N$6,'RFM input'!$H$60:$Q$60,0),INDEX('RFM input'!$T$7:$T$56,$A1953,1,1))))</f>
        <v>0</v>
      </c>
      <c r="O1954" s="1417">
        <f>IF(LEFT(O$6,4)&lt;=LEFT('RFM input'!$G$60,4),"enter input",IF(LEFT(O$6,4)&gt;LEFT('RFM input'!$Q$60,4),0,
IF(MATCH(O$6,'RFM input'!$H$60:$Q$60,0),INDEX('RFM input'!$T$7:$T$56,$A1953,1,1))))</f>
        <v>0</v>
      </c>
      <c r="P1954" s="1417">
        <f>IF(LEFT(P$6,4)&lt;=LEFT('RFM input'!$G$60,4),"enter input",IF(LEFT(P$6,4)&gt;LEFT('RFM input'!$Q$60,4),0,
IF(MATCH(P$6,'RFM input'!$H$60:$Q$60,0),INDEX('RFM input'!$T$7:$T$56,$A1953,1,1))))</f>
        <v>0</v>
      </c>
      <c r="Q1954" s="1417">
        <f>IF(LEFT(Q$6,4)&lt;=LEFT('RFM input'!$G$60,4),"enter input",IF(LEFT(Q$6,4)&gt;LEFT('RFM input'!$Q$60,4),0,
IF(MATCH(Q$6,'RFM input'!$H$60:$Q$60,0),INDEX('RFM input'!$T$7:$T$56,$A1953,1,1))))</f>
        <v>0</v>
      </c>
      <c r="R1954" s="1417">
        <f>IF(LEFT(R$6,4)&lt;=LEFT('RFM input'!$G$60,4),"enter input",IF(LEFT(R$6,4)&gt;LEFT('RFM input'!$Q$60,4),0,
IF(MATCH(R$6,'RFM input'!$H$60:$Q$60,0),INDEX('RFM input'!$T$7:$T$56,$A1953,1,1))))</f>
        <v>0</v>
      </c>
      <c r="S1954" s="1417">
        <f>IF(LEFT(S$6,4)&lt;=LEFT('RFM input'!$G$60,4),"enter input",IF(LEFT(S$6,4)&gt;LEFT('RFM input'!$Q$60,4),0,
IF(MATCH(S$6,'RFM input'!$H$60:$Q$60,0),INDEX('RFM input'!$T$7:$T$56,$A1953,1,1))))</f>
        <v>0</v>
      </c>
      <c r="T1954" s="1417">
        <f>IF(LEFT(T$6,4)&lt;=LEFT('RFM input'!$G$60,4),"enter input",IF(LEFT(T$6,4)&gt;LEFT('RFM input'!$Q$60,4),0,
IF(MATCH(T$6,'RFM input'!$H$60:$Q$60,0),INDEX('RFM input'!$T$7:$T$56,$A1953,1,1))))</f>
        <v>0</v>
      </c>
      <c r="U1954" s="1417">
        <f>IF(LEFT(U$6,4)&lt;=LEFT('RFM input'!$G$60,4),"enter input",IF(LEFT(U$6,4)&gt;LEFT('RFM input'!$Q$60,4),0,
IF(MATCH(U$6,'RFM input'!$H$60:$Q$60,0),INDEX('RFM input'!$T$7:$T$56,$A1953,1,1))))</f>
        <v>0</v>
      </c>
      <c r="V1954" s="1417">
        <f>IF(LEFT(V$6,4)&lt;=LEFT('RFM input'!$G$60,4),"enter input",IF(LEFT(V$6,4)&gt;LEFT('RFM input'!$Q$60,4),0,
IF(MATCH(V$6,'RFM input'!$H$60:$Q$60,0),INDEX('RFM input'!$T$7:$T$56,$A1953,1,1))))</f>
        <v>0</v>
      </c>
      <c r="W1954" s="1417">
        <f>IF(LEFT(W$6,4)&lt;=LEFT('RFM input'!$G$60,4),"enter input",IF(LEFT(W$6,4)&gt;LEFT('RFM input'!$Q$60,4),0,
IF(MATCH(W$6,'RFM input'!$H$60:$Q$60,0),INDEX('RFM input'!$T$7:$T$56,$A1953,1,1))))</f>
        <v>0</v>
      </c>
      <c r="X1954" s="152"/>
      <c r="Y1954" s="152"/>
      <c r="Z1954" s="152"/>
      <c r="AA1954" s="152"/>
      <c r="AB1954" s="152"/>
    </row>
    <row r="1955" spans="1:28">
      <c r="A1955" s="152"/>
      <c r="B1955" s="193" t="s">
        <v>192</v>
      </c>
      <c r="C1955" s="1419"/>
      <c r="D1955" s="1420">
        <f ca="1">IF(LEFT(D$6,4)&lt;=LEFT('RFM input'!$G$60,4),"enter input",IF(LEFT(D$6,4)&gt;LEFT('RFM input'!$Q$60,4),0,
IF(D$6=(OFFSET('RFM input'!$G$60,0,'RFM input'!$V$7)),OFFSET('RFM input'!$H$411,$A1953,0),0)))</f>
        <v>0</v>
      </c>
      <c r="E1955" s="1417">
        <f ca="1">IF(LEFT(E$6,4)&lt;=LEFT('RFM input'!$G$60,4),"enter input",IF(LEFT(E$6,4)&gt;LEFT('RFM input'!$Q$60,4),0,
IF(E$6=(OFFSET('RFM input'!$G$60,0,'RFM input'!$V$7)),OFFSET('RFM input'!$H$411,$A1953,0),0)))</f>
        <v>0</v>
      </c>
      <c r="F1955" s="1417">
        <f ca="1">IF(LEFT(F$6,4)&lt;=LEFT('RFM input'!$G$60,4),"enter input",IF(LEFT(F$6,4)&gt;LEFT('RFM input'!$Q$60,4),0,
IF(F$6=(OFFSET('RFM input'!$G$60,0,'RFM input'!$V$7)),OFFSET('RFM input'!$H$411,$A1953,0),0)))</f>
        <v>0</v>
      </c>
      <c r="G1955" s="1417">
        <f ca="1">IF(LEFT(G$6,4)&lt;=LEFT('RFM input'!$G$60,4),"enter input",IF(LEFT(G$6,4)&gt;LEFT('RFM input'!$Q$60,4),0,
IF(G$6=(OFFSET('RFM input'!$G$60,0,'RFM input'!$V$7)),OFFSET('RFM input'!$H$411,$A1953,0),0)))</f>
        <v>0</v>
      </c>
      <c r="H1955" s="1417">
        <f ca="1">IF(LEFT(H$6,4)&lt;=LEFT('RFM input'!$G$60,4),"enter input",IF(LEFT(H$6,4)&gt;LEFT('RFM input'!$Q$60,4),0,
IF(H$6=(OFFSET('RFM input'!$G$60,0,'RFM input'!$V$7)),OFFSET('RFM input'!$H$411,$A1953,0),0)))</f>
        <v>0</v>
      </c>
      <c r="I1955" s="1417">
        <f ca="1">IF(LEFT(I$6,4)&lt;=LEFT('RFM input'!$G$60,4),"enter input",IF(LEFT(I$6,4)&gt;LEFT('RFM input'!$Q$60,4),0,
IF(I$6=(OFFSET('RFM input'!$G$60,0,'RFM input'!$V$7)),OFFSET('RFM input'!$H$411,$A1953,0),0)))</f>
        <v>0</v>
      </c>
      <c r="J1955" s="1417">
        <f ca="1">IF(LEFT(J$6,4)&lt;=LEFT('RFM input'!$G$60,4),"enter input",IF(LEFT(J$6,4)&gt;LEFT('RFM input'!$Q$60,4),0,
IF(J$6=(OFFSET('RFM input'!$G$60,0,'RFM input'!$V$7)),OFFSET('RFM input'!$H$411,$A1953,0),0)))</f>
        <v>0</v>
      </c>
      <c r="K1955" s="1417">
        <f ca="1">IF(LEFT(K$6,4)&lt;=LEFT('RFM input'!$G$60,4),"enter input",IF(LEFT(K$6,4)&gt;LEFT('RFM input'!$Q$60,4),0,
IF(K$6=(OFFSET('RFM input'!$G$60,0,'RFM input'!$V$7)),OFFSET('RFM input'!$H$411,$A1953,0),0)))</f>
        <v>0</v>
      </c>
      <c r="L1955" s="1417">
        <f ca="1">IF(LEFT(L$6,4)&lt;=LEFT('RFM input'!$G$60,4),"enter input",IF(LEFT(L$6,4)&gt;LEFT('RFM input'!$Q$60,4),0,
IF(L$6=(OFFSET('RFM input'!$G$60,0,'RFM input'!$V$7)),OFFSET('RFM input'!$H$411,$A1953,0),0)))</f>
        <v>0</v>
      </c>
      <c r="M1955" s="1417">
        <f ca="1">IF(LEFT(M$6,4)&lt;=LEFT('RFM input'!$G$60,4),"enter input",IF(LEFT(M$6,4)&gt;LEFT('RFM input'!$Q$60,4),0,
IF(M$6=(OFFSET('RFM input'!$G$60,0,'RFM input'!$V$7)),OFFSET('RFM input'!$H$411,$A1953,0),0)))</f>
        <v>0</v>
      </c>
      <c r="N1955" s="1417">
        <f ca="1">IF(LEFT(N$6,4)&lt;=LEFT('RFM input'!$G$60,4),"enter input",IF(LEFT(N$6,4)&gt;LEFT('RFM input'!$Q$60,4),0,
IF(N$6=(OFFSET('RFM input'!$G$60,0,'RFM input'!$V$7)),OFFSET('RFM input'!$H$411,$A1953,0),0)))</f>
        <v>0</v>
      </c>
      <c r="O1955" s="1417">
        <f ca="1">IF(LEFT(O$6,4)&lt;=LEFT('RFM input'!$G$60,4),"enter input",IF(LEFT(O$6,4)&gt;LEFT('RFM input'!$Q$60,4),0,
IF(O$6=(OFFSET('RFM input'!$G$60,0,'RFM input'!$V$7)),OFFSET('RFM input'!$H$411,$A1953,0),0)))</f>
        <v>0</v>
      </c>
      <c r="P1955" s="1417">
        <f ca="1">IF(LEFT(P$6,4)&lt;=LEFT('RFM input'!$G$60,4),"enter input",IF(LEFT(P$6,4)&gt;LEFT('RFM input'!$Q$60,4),0,
IF(P$6=(OFFSET('RFM input'!$G$60,0,'RFM input'!$V$7)),OFFSET('RFM input'!$H$411,$A1953,0),0)))</f>
        <v>0</v>
      </c>
      <c r="Q1955" s="1417">
        <f ca="1">IF(LEFT(Q$6,4)&lt;=LEFT('RFM input'!$G$60,4),"enter input",IF(LEFT(Q$6,4)&gt;LEFT('RFM input'!$Q$60,4),0,
IF(Q$6=(OFFSET('RFM input'!$G$60,0,'RFM input'!$V$7)),OFFSET('RFM input'!$H$411,$A1953,0),0)))</f>
        <v>0</v>
      </c>
      <c r="R1955" s="1417">
        <f ca="1">IF(LEFT(R$6,4)&lt;=LEFT('RFM input'!$G$60,4),"enter input",IF(LEFT(R$6,4)&gt;LEFT('RFM input'!$Q$60,4),0,
IF(R$6=(OFFSET('RFM input'!$G$60,0,'RFM input'!$V$7)),OFFSET('RFM input'!$H$411,$A1953,0),0)))</f>
        <v>0</v>
      </c>
      <c r="S1955" s="1417">
        <f ca="1">IF(LEFT(S$6,4)&lt;=LEFT('RFM input'!$G$60,4),"enter input",IF(LEFT(S$6,4)&gt;LEFT('RFM input'!$Q$60,4),0,
IF(S$6=(OFFSET('RFM input'!$G$60,0,'RFM input'!$V$7)),OFFSET('RFM input'!$H$411,$A1953,0),0)))</f>
        <v>0</v>
      </c>
      <c r="T1955" s="1417">
        <f ca="1">IF(LEFT(T$6,4)&lt;=LEFT('RFM input'!$G$60,4),"enter input",IF(LEFT(T$6,4)&gt;LEFT('RFM input'!$Q$60,4),0,
IF(T$6=(OFFSET('RFM input'!$G$60,0,'RFM input'!$V$7)),OFFSET('RFM input'!$H$411,$A1953,0),0)))</f>
        <v>0</v>
      </c>
      <c r="U1955" s="1417">
        <f ca="1">IF(LEFT(U$6,4)&lt;=LEFT('RFM input'!$G$60,4),"enter input",IF(LEFT(U$6,4)&gt;LEFT('RFM input'!$Q$60,4),0,
IF(U$6=(OFFSET('RFM input'!$G$60,0,'RFM input'!$V$7)),OFFSET('RFM input'!$H$411,$A1953,0),0)))</f>
        <v>0</v>
      </c>
      <c r="V1955" s="1417">
        <f ca="1">IF(LEFT(V$6,4)&lt;=LEFT('RFM input'!$G$60,4),"enter input",IF(LEFT(V$6,4)&gt;LEFT('RFM input'!$Q$60,4),0,
IF(V$6=(OFFSET('RFM input'!$G$60,0,'RFM input'!$V$7)),OFFSET('RFM input'!$H$411,$A1953,0),0)))</f>
        <v>0</v>
      </c>
      <c r="W1955" s="1417">
        <f ca="1">IF(LEFT(W$6,4)&lt;=LEFT('RFM input'!$G$60,4),"enter input",IF(LEFT(W$6,4)&gt;LEFT('RFM input'!$Q$60,4),0,
IF(W$6=(OFFSET('RFM input'!$G$60,0,'RFM input'!$V$7)),OFFSET('RFM input'!$H$411,$A1953,0),0)))</f>
        <v>0</v>
      </c>
      <c r="X1955" s="152"/>
      <c r="Y1955" s="152"/>
      <c r="Z1955" s="152"/>
      <c r="AA1955" s="152"/>
      <c r="AB1955" s="152"/>
    </row>
    <row r="1956" spans="1:28">
      <c r="A1956" s="152"/>
      <c r="B1956" s="193" t="s">
        <v>200</v>
      </c>
      <c r="C1956" s="1419"/>
      <c r="D1956" s="1418">
        <f ca="1">IF(LEFT(D$6,4)&lt;=LEFT('RFM input'!$G$60,4),"enter input",IF(LEFT(D$6,4)&gt;LEFT('RFM input'!$Q$60,4),0,
IF(D$6=(OFFSET('RFM input'!$G$60,0,'RFM input'!$V$7)),OFFSET('RFM input'!$J$411,$A1953,0),0)))</f>
        <v>0</v>
      </c>
      <c r="E1956" s="1422">
        <f ca="1">IF(LEFT(E$6,4)&lt;=LEFT('RFM input'!$G$60,4),"enter input",IF(LEFT(E$6,4)&gt;LEFT('RFM input'!$Q$60,4),0,
IF(E$6=(OFFSET('RFM input'!$G$60,0,'RFM input'!$V$7)),OFFSET('RFM input'!$J$411,$A1953,0),0)))</f>
        <v>0</v>
      </c>
      <c r="F1956" s="1422">
        <f ca="1">IF(LEFT(F$6,4)&lt;=LEFT('RFM input'!$G$60,4),"enter input",IF(LEFT(F$6,4)&gt;LEFT('RFM input'!$Q$60,4),0,
IF(F$6=(OFFSET('RFM input'!$G$60,0,'RFM input'!$V$7)),OFFSET('RFM input'!$J$411,$A1953,0),0)))</f>
        <v>0</v>
      </c>
      <c r="G1956" s="1422">
        <f ca="1">IF(LEFT(G$6,4)&lt;=LEFT('RFM input'!$G$60,4),"enter input",IF(LEFT(G$6,4)&gt;LEFT('RFM input'!$Q$60,4),0,
IF(G$6=(OFFSET('RFM input'!$G$60,0,'RFM input'!$V$7)),OFFSET('RFM input'!$J$411,$A1953,0),0)))</f>
        <v>0</v>
      </c>
      <c r="H1956" s="1422">
        <f ca="1">IF(LEFT(H$6,4)&lt;=LEFT('RFM input'!$G$60,4),"enter input",IF(LEFT(H$6,4)&gt;LEFT('RFM input'!$Q$60,4),0,
IF(H$6=(OFFSET('RFM input'!$G$60,0,'RFM input'!$V$7)),OFFSET('RFM input'!$J$411,$A1953,0),0)))</f>
        <v>0</v>
      </c>
      <c r="I1956" s="1422">
        <f ca="1">IF(LEFT(I$6,4)&lt;=LEFT('RFM input'!$G$60,4),"enter input",IF(LEFT(I$6,4)&gt;LEFT('RFM input'!$Q$60,4),0,
IF(I$6=(OFFSET('RFM input'!$G$60,0,'RFM input'!$V$7)),OFFSET('RFM input'!$J$411,$A1953,0),0)))</f>
        <v>0</v>
      </c>
      <c r="J1956" s="1422">
        <f ca="1">IF(LEFT(J$6,4)&lt;=LEFT('RFM input'!$G$60,4),"enter input",IF(LEFT(J$6,4)&gt;LEFT('RFM input'!$Q$60,4),0,
IF(J$6=(OFFSET('RFM input'!$G$60,0,'RFM input'!$V$7)),OFFSET('RFM input'!$J$411,$A1953,0),0)))</f>
        <v>0</v>
      </c>
      <c r="K1956" s="1422">
        <f ca="1">IF(LEFT(K$6,4)&lt;=LEFT('RFM input'!$G$60,4),"enter input",IF(LEFT(K$6,4)&gt;LEFT('RFM input'!$Q$60,4),0,
IF(K$6=(OFFSET('RFM input'!$G$60,0,'RFM input'!$V$7)),OFFSET('RFM input'!$J$411,$A1953,0),0)))</f>
        <v>0</v>
      </c>
      <c r="L1956" s="1422">
        <f ca="1">IF(LEFT(L$6,4)&lt;=LEFT('RFM input'!$G$60,4),"enter input",IF(LEFT(L$6,4)&gt;LEFT('RFM input'!$Q$60,4),0,
IF(L$6=(OFFSET('RFM input'!$G$60,0,'RFM input'!$V$7)),OFFSET('RFM input'!$J$411,$A1953,0),0)))</f>
        <v>0</v>
      </c>
      <c r="M1956" s="1422">
        <f ca="1">IF(LEFT(M$6,4)&lt;=LEFT('RFM input'!$G$60,4),"enter input",IF(LEFT(M$6,4)&gt;LEFT('RFM input'!$Q$60,4),0,
IF(M$6=(OFFSET('RFM input'!$G$60,0,'RFM input'!$V$7)),OFFSET('RFM input'!$J$411,$A1953,0),0)))</f>
        <v>0</v>
      </c>
      <c r="N1956" s="1422">
        <f ca="1">IF(LEFT(N$6,4)&lt;=LEFT('RFM input'!$G$60,4),"enter input",IF(LEFT(N$6,4)&gt;LEFT('RFM input'!$Q$60,4),0,
IF(N$6=(OFFSET('RFM input'!$G$60,0,'RFM input'!$V$7)),OFFSET('RFM input'!$J$411,$A1953,0),0)))</f>
        <v>0</v>
      </c>
      <c r="O1956" s="1422">
        <f ca="1">IF(LEFT(O$6,4)&lt;=LEFT('RFM input'!$G$60,4),"enter input",IF(LEFT(O$6,4)&gt;LEFT('RFM input'!$Q$60,4),0,
IF(O$6=(OFFSET('RFM input'!$G$60,0,'RFM input'!$V$7)),OFFSET('RFM input'!$J$411,$A1953,0),0)))</f>
        <v>0</v>
      </c>
      <c r="P1956" s="1422">
        <f ca="1">IF(LEFT(P$6,4)&lt;=LEFT('RFM input'!$G$60,4),"enter input",IF(LEFT(P$6,4)&gt;LEFT('RFM input'!$Q$60,4),0,
IF(P$6=(OFFSET('RFM input'!$G$60,0,'RFM input'!$V$7)),OFFSET('RFM input'!$J$411,$A1953,0),0)))</f>
        <v>0</v>
      </c>
      <c r="Q1956" s="1422">
        <f ca="1">IF(LEFT(Q$6,4)&lt;=LEFT('RFM input'!$G$60,4),"enter input",IF(LEFT(Q$6,4)&gt;LEFT('RFM input'!$Q$60,4),0,
IF(Q$6=(OFFSET('RFM input'!$G$60,0,'RFM input'!$V$7)),OFFSET('RFM input'!$J$411,$A1953,0),0)))</f>
        <v>0</v>
      </c>
      <c r="R1956" s="1422">
        <f ca="1">IF(LEFT(R$6,4)&lt;=LEFT('RFM input'!$G$60,4),"enter input",IF(LEFT(R$6,4)&gt;LEFT('RFM input'!$Q$60,4),0,
IF(R$6=(OFFSET('RFM input'!$G$60,0,'RFM input'!$V$7)),OFFSET('RFM input'!$J$411,$A1953,0),0)))</f>
        <v>0</v>
      </c>
      <c r="S1956" s="1422">
        <f ca="1">IF(LEFT(S$6,4)&lt;=LEFT('RFM input'!$G$60,4),"enter input",IF(LEFT(S$6,4)&gt;LEFT('RFM input'!$Q$60,4),0,
IF(S$6=(OFFSET('RFM input'!$G$60,0,'RFM input'!$V$7)),OFFSET('RFM input'!$J$411,$A1953,0),0)))</f>
        <v>0</v>
      </c>
      <c r="T1956" s="1422">
        <f ca="1">IF(LEFT(T$6,4)&lt;=LEFT('RFM input'!$G$60,4),"enter input",IF(LEFT(T$6,4)&gt;LEFT('RFM input'!$Q$60,4),0,
IF(T$6=(OFFSET('RFM input'!$G$60,0,'RFM input'!$V$7)),OFFSET('RFM input'!$J$411,$A1953,0),0)))</f>
        <v>0</v>
      </c>
      <c r="U1956" s="1422">
        <f ca="1">IF(LEFT(U$6,4)&lt;=LEFT('RFM input'!$G$60,4),"enter input",IF(LEFT(U$6,4)&gt;LEFT('RFM input'!$Q$60,4),0,
IF(U$6=(OFFSET('RFM input'!$G$60,0,'RFM input'!$V$7)),OFFSET('RFM input'!$J$411,$A1953,0),0)))</f>
        <v>0</v>
      </c>
      <c r="V1956" s="1422">
        <f ca="1">IF(LEFT(V$6,4)&lt;=LEFT('RFM input'!$G$60,4),"enter input",IF(LEFT(V$6,4)&gt;LEFT('RFM input'!$Q$60,4),0,
IF(V$6=(OFFSET('RFM input'!$G$60,0,'RFM input'!$V$7)),OFFSET('RFM input'!$J$411,$A1953,0),0)))</f>
        <v>0</v>
      </c>
      <c r="W1956" s="1422">
        <f ca="1">IF(LEFT(W$6,4)&lt;=LEFT('RFM input'!$G$60,4),"enter input",IF(LEFT(W$6,4)&gt;LEFT('RFM input'!$Q$60,4),0,
IF(W$6=(OFFSET('RFM input'!$G$60,0,'RFM input'!$V$7)),OFFSET('RFM input'!$J$411,$A1953,0),0)))</f>
        <v>0</v>
      </c>
      <c r="X1956" s="152"/>
      <c r="Y1956" s="152"/>
      <c r="Z1956" s="152"/>
      <c r="AA1956" s="152"/>
      <c r="AB1956" s="152"/>
    </row>
    <row r="1957" spans="1:28" hidden="1" outlineLevel="1">
      <c r="A1957" s="235">
        <v>-1</v>
      </c>
      <c r="B1957" s="190" t="s">
        <v>195</v>
      </c>
      <c r="C1957" s="1423"/>
      <c r="D1957" s="1423">
        <f t="shared" ref="D1957" ca="1" si="2832">IF(AND(D1955=0,C1957=0),0,
IF(AND(D1955&lt;&gt;0,C1957=0),D1955,
IF(AND(D1956&lt;&gt;0,C1957&lt;&gt;0),(C1957-(C1957/C1981))+D1955,
IF(C1981&lt;1,0,(C1957-(C1957/C1981))))))</f>
        <v>0</v>
      </c>
      <c r="E1957" s="1423">
        <f t="shared" ref="E1957" ca="1" si="2833">IF(AND(E1955=0,D1957=0),0,
IF(AND(E1955&lt;&gt;0,D1957=0),E1955,
IF(AND(E1956&lt;&gt;0,D1957&lt;&gt;0),(D1957-(D1957/D1981))+E1955,
IF(D1981&lt;1,0,(D1957-(D1957/D1981))))))</f>
        <v>0</v>
      </c>
      <c r="F1957" s="1423">
        <f t="shared" ref="F1957" ca="1" si="2834">IF(AND(F1955=0,E1957=0),0,
IF(AND(F1955&lt;&gt;0,E1957=0),F1955,
IF(AND(F1956&lt;&gt;0,E1957&lt;&gt;0),(E1957-(E1957/E1981))+F1955,
IF(E1981&lt;1,0,(E1957-(E1957/E1981))))))</f>
        <v>0</v>
      </c>
      <c r="G1957" s="1423">
        <f t="shared" ref="G1957" ca="1" si="2835">IF(AND(G1955=0,F1957=0),0,
IF(AND(G1955&lt;&gt;0,F1957=0),G1955,
IF(AND(G1956&lt;&gt;0,F1957&lt;&gt;0),(F1957-(F1957/F1981))+G1955,
IF(F1981&lt;1,0,(F1957-(F1957/F1981))))))</f>
        <v>0</v>
      </c>
      <c r="H1957" s="1423">
        <f ca="1">IF(AND(H1955=0,G1957=0),0,
IF(AND(H1955&lt;&gt;0,G1957=0),H1955,
IF(AND(H1956&lt;&gt;0,G1957&lt;&gt;0),(G1957-(G1957/G1981))+H1955,
IF(G1981&lt;1,0,(G1957-(G1957/G1981))))))</f>
        <v>0</v>
      </c>
      <c r="I1957" s="1423">
        <f t="shared" ref="I1957" ca="1" si="2836">IF(AND(I1955=0,H1957=0),0,
IF(AND(I1955&lt;&gt;0,H1957=0),I1955,
IF(AND(I1956&lt;&gt;0,H1957&lt;&gt;0),(H1957-(H1957/H1981))+I1955,
IF(H1981&lt;1,0,(H1957-(H1957/H1981))))))</f>
        <v>0</v>
      </c>
      <c r="J1957" s="1423">
        <f t="shared" ref="J1957" ca="1" si="2837">IF(AND(J1955=0,I1957=0),0,
IF(AND(J1955&lt;&gt;0,I1957=0),J1955,
IF(AND(J1956&lt;&gt;0,I1957&lt;&gt;0),(I1957-(I1957/I1981))+J1955,
IF(I1981&lt;1,0,(I1957-(I1957/I1981))))))</f>
        <v>0</v>
      </c>
      <c r="K1957" s="1423">
        <f t="shared" ref="K1957" ca="1" si="2838">IF(AND(K1955=0,J1957=0),0,
IF(AND(K1955&lt;&gt;0,J1957=0),K1955,
IF(AND(K1956&lt;&gt;0,J1957&lt;&gt;0),(J1957-(J1957/J1981))+K1955,
IF(J1981&lt;1,0,(J1957-(J1957/J1981))))))</f>
        <v>0</v>
      </c>
      <c r="L1957" s="1423">
        <f t="shared" ref="L1957" ca="1" si="2839">IF(AND(L1955=0,K1957=0),0,
IF(AND(L1955&lt;&gt;0,K1957=0),L1955,
IF(AND(L1956&lt;&gt;0,K1957&lt;&gt;0),(K1957-(K1957/K1981))+L1955,
IF(K1981&lt;1,0,(K1957-(K1957/K1981))))))</f>
        <v>0</v>
      </c>
      <c r="M1957" s="1423">
        <f t="shared" ref="M1957" ca="1" si="2840">IF(AND(M1955=0,L1957=0),0,
IF(AND(M1955&lt;&gt;0,L1957=0),M1955,
IF(AND(M1956&lt;&gt;0,L1957&lt;&gt;0),(L1957-(L1957/L1981))+M1955,
IF(L1981&lt;1,0,(L1957-(L1957/L1981))))))</f>
        <v>0</v>
      </c>
      <c r="N1957" s="1423">
        <f t="shared" ref="N1957" ca="1" si="2841">IF(AND(N1955=0,M1957=0),0,
IF(AND(N1955&lt;&gt;0,M1957=0),N1955,
IF(AND(N1956&lt;&gt;0,M1957&lt;&gt;0),(M1957-(M1957/M1981))+N1955,
IF(M1981&lt;1,0,(M1957-(M1957/M1981))))))</f>
        <v>0</v>
      </c>
      <c r="O1957" s="1423">
        <f t="shared" ref="O1957" ca="1" si="2842">IF(AND(O1955=0,N1957=0),0,
IF(AND(O1955&lt;&gt;0,N1957=0),O1955,
IF(AND(O1956&lt;&gt;0,N1957&lt;&gt;0),(N1957-(N1957/N1981))+O1955,
IF(N1981&lt;1,0,(N1957-(N1957/N1981))))))</f>
        <v>0</v>
      </c>
      <c r="P1957" s="1423">
        <f t="shared" ref="P1957" ca="1" si="2843">IF(AND(P1955=0,O1957=0),0,
IF(AND(P1955&lt;&gt;0,O1957=0),P1955,
IF(AND(P1956&lt;&gt;0,O1957&lt;&gt;0),(O1957-(O1957/O1981))+P1955,
IF(O1981&lt;1,0,(O1957-(O1957/O1981))))))</f>
        <v>0</v>
      </c>
      <c r="Q1957" s="1423">
        <f t="shared" ref="Q1957" ca="1" si="2844">IF(AND(Q1955=0,P1957=0),0,
IF(AND(Q1955&lt;&gt;0,P1957=0),Q1955,
IF(AND(Q1956&lt;&gt;0,P1957&lt;&gt;0),(P1957-(P1957/P1981))+Q1955,
IF(P1981&lt;1,0,(P1957-(P1957/P1981))))))</f>
        <v>0</v>
      </c>
      <c r="R1957" s="1423">
        <f t="shared" ref="R1957" ca="1" si="2845">IF(AND(R1955=0,Q1957=0),0,
IF(AND(R1955&lt;&gt;0,Q1957=0),R1955,
IF(AND(R1956&lt;&gt;0,Q1957&lt;&gt;0),(Q1957-(Q1957/Q1981))+R1955,
IF(Q1981&lt;1,0,(Q1957-(Q1957/Q1981))))))</f>
        <v>0</v>
      </c>
      <c r="S1957" s="1423">
        <f t="shared" ref="S1957" ca="1" si="2846">IF(AND(S1955=0,R1957=0),0,
IF(AND(S1955&lt;&gt;0,R1957=0),S1955,
IF(AND(S1956&lt;&gt;0,R1957&lt;&gt;0),(R1957-(R1957/R1981))+S1955,
IF(R1981&lt;1,0,(R1957-(R1957/R1981))))))</f>
        <v>0</v>
      </c>
      <c r="T1957" s="1423">
        <f t="shared" ref="T1957" ca="1" si="2847">IF(AND(T1955=0,S1957=0),0,
IF(AND(T1955&lt;&gt;0,S1957=0),T1955,
IF(AND(T1956&lt;&gt;0,S1957&lt;&gt;0),(S1957-(S1957/S1981))+T1955,
IF(S1981&lt;1,0,(S1957-(S1957/S1981))))))</f>
        <v>0</v>
      </c>
      <c r="U1957" s="1423">
        <f t="shared" ref="U1957" ca="1" si="2848">IF(AND(U1955=0,T1957=0),0,
IF(AND(U1955&lt;&gt;0,T1957=0),U1955,
IF(AND(U1956&lt;&gt;0,T1957&lt;&gt;0),(T1957-(T1957/T1981))+U1955,
IF(T1981&lt;1,0,(T1957-(T1957/T1981))))))</f>
        <v>0</v>
      </c>
      <c r="V1957" s="1423">
        <f t="shared" ref="V1957" ca="1" si="2849">IF(AND(V1955=0,U1957=0),0,
IF(AND(V1955&lt;&gt;0,U1957=0),V1955,
IF(AND(V1956&lt;&gt;0,U1957&lt;&gt;0),(U1957-(U1957/U1981))+V1955,
IF(U1981&lt;1,0,(U1957-(U1957/U1981))))))</f>
        <v>0</v>
      </c>
      <c r="W1957" s="1423">
        <f t="shared" ref="W1957" ca="1" si="2850">IF(AND(W1955=0,V1957=0),0,
IF(AND(W1955&lt;&gt;0,V1957=0),W1955,
IF(AND(W1956&lt;&gt;0,V1957&lt;&gt;0),(V1957-(V1957/V1981))+W1955,
IF(V1981&lt;1,0,(V1957-(V1957/V1981))))))</f>
        <v>0</v>
      </c>
      <c r="X1957" s="152"/>
      <c r="Y1957" s="152"/>
      <c r="Z1957" s="152"/>
      <c r="AA1957" s="152"/>
      <c r="AB1957" s="152"/>
    </row>
    <row r="1958" spans="1:28" hidden="1" outlineLevel="1">
      <c r="A1958" s="199">
        <f>A1957+1</f>
        <v>0</v>
      </c>
      <c r="B1958" s="190" t="s">
        <v>527</v>
      </c>
      <c r="C1958" s="1423">
        <f ca="1">C1953</f>
        <v>0</v>
      </c>
      <c r="D1958" s="1423">
        <f ca="1">IF(C1982="n/a",C1958,IFERROR(IF((OFFSET($C1958,0,$A1958))&lt;0,
MIN(0,C1958-(OFFSET($C1958,0,$A1958)/(OFFSET($C1953,-$A1957,$A1958)))),
MAX(0,C1958-(OFFSET($C1958,0,$A1958)/(OFFSET($C1953,-$A1957,$A1958))))),0))</f>
        <v>0</v>
      </c>
      <c r="E1958" s="1423">
        <f t="shared" ref="E1958" ca="1" si="2851">IF(D1982="n/a",D1958,IFERROR(IF((OFFSET($C1958,0,$A1958))&lt;0,
MIN(0,D1958-(OFFSET($C1958,0,$A1958)/(OFFSET($C1953,-$A1957,$A1958)))),
MAX(0,D1958-(OFFSET($C1958,0,$A1958)/(OFFSET($C1953,-$A1957,$A1958))))),0))</f>
        <v>0</v>
      </c>
      <c r="F1958" s="1423">
        <f t="shared" ref="F1958:F1959" ca="1" si="2852">IF(E1982="n/a",E1958,IFERROR(IF((OFFSET($C1958,0,$A1958))&lt;0,
MIN(0,E1958-(OFFSET($C1958,0,$A1958)/(OFFSET($C1953,-$A1957,$A1958)))),
MAX(0,E1958-(OFFSET($C1958,0,$A1958)/(OFFSET($C1953,-$A1957,$A1958))))),0))</f>
        <v>0</v>
      </c>
      <c r="G1958" s="1423">
        <f t="shared" ref="G1958:G1960" ca="1" si="2853">IF(F1982="n/a",F1958,IFERROR(IF((OFFSET($C1958,0,$A1958))&lt;0,
MIN(0,F1958-(OFFSET($C1958,0,$A1958)/(OFFSET($C1953,-$A1957,$A1958)))),
MAX(0,F1958-(OFFSET($C1958,0,$A1958)/(OFFSET($C1953,-$A1957,$A1958))))),0))</f>
        <v>0</v>
      </c>
      <c r="H1958" s="1423">
        <f t="shared" ref="H1958:H1961" ca="1" si="2854">IF(G1982="n/a",G1958,IFERROR(IF((OFFSET($C1958,0,$A1958))&lt;0,
MIN(0,G1958-(OFFSET($C1958,0,$A1958)/(OFFSET($C1953,-$A1957,$A1958)))),
MAX(0,G1958-(OFFSET($C1958,0,$A1958)/(OFFSET($C1953,-$A1957,$A1958))))),0))</f>
        <v>0</v>
      </c>
      <c r="I1958" s="1423">
        <f t="shared" ref="I1958:I1962" ca="1" si="2855">IF(H1982="n/a",H1958,IFERROR(IF((OFFSET($C1958,0,$A1958))&lt;0,
MIN(0,H1958-(OFFSET($C1958,0,$A1958)/(OFFSET($C1953,-$A1957,$A1958)))),
MAX(0,H1958-(OFFSET($C1958,0,$A1958)/(OFFSET($C1953,-$A1957,$A1958))))),0))</f>
        <v>0</v>
      </c>
      <c r="J1958" s="1423">
        <f t="shared" ref="J1958:J1963" ca="1" si="2856">IF(I1982="n/a",I1958,IFERROR(IF((OFFSET($C1958,0,$A1958))&lt;0,
MIN(0,I1958-(OFFSET($C1958,0,$A1958)/(OFFSET($C1953,-$A1957,$A1958)))),
MAX(0,I1958-(OFFSET($C1958,0,$A1958)/(OFFSET($C1953,-$A1957,$A1958))))),0))</f>
        <v>0</v>
      </c>
      <c r="K1958" s="1423">
        <f t="shared" ref="K1958:K1964" ca="1" si="2857">IF(J1982="n/a",J1958,IFERROR(IF((OFFSET($C1958,0,$A1958))&lt;0,
MIN(0,J1958-(OFFSET($C1958,0,$A1958)/(OFFSET($C1953,-$A1957,$A1958)))),
MAX(0,J1958-(OFFSET($C1958,0,$A1958)/(OFFSET($C1953,-$A1957,$A1958))))),0))</f>
        <v>0</v>
      </c>
      <c r="L1958" s="1423">
        <f t="shared" ref="L1958:L1965" ca="1" si="2858">IF(K1982="n/a",K1958,IFERROR(IF((OFFSET($C1958,0,$A1958))&lt;0,
MIN(0,K1958-(OFFSET($C1958,0,$A1958)/(OFFSET($C1953,-$A1957,$A1958)))),
MAX(0,K1958-(OFFSET($C1958,0,$A1958)/(OFFSET($C1953,-$A1957,$A1958))))),0))</f>
        <v>0</v>
      </c>
      <c r="M1958" s="1423">
        <f t="shared" ref="M1958:M1966" ca="1" si="2859">IF(L1982="n/a",L1958,IFERROR(IF((OFFSET($C1958,0,$A1958))&lt;0,
MIN(0,L1958-(OFFSET($C1958,0,$A1958)/(OFFSET($C1953,-$A1957,$A1958)))),
MAX(0,L1958-(OFFSET($C1958,0,$A1958)/(OFFSET($C1953,-$A1957,$A1958))))),0))</f>
        <v>0</v>
      </c>
      <c r="N1958" s="1423">
        <f t="shared" ref="N1958:N1967" ca="1" si="2860">IF(M1982="n/a",M1958,IFERROR(IF((OFFSET($C1958,0,$A1958))&lt;0,
MIN(0,M1958-(OFFSET($C1958,0,$A1958)/(OFFSET($C1953,-$A1957,$A1958)))),
MAX(0,M1958-(OFFSET($C1958,0,$A1958)/(OFFSET($C1953,-$A1957,$A1958))))),0))</f>
        <v>0</v>
      </c>
      <c r="O1958" s="1423">
        <f t="shared" ref="O1958:O1968" ca="1" si="2861">IF(N1982="n/a",N1958,IFERROR(IF((OFFSET($C1958,0,$A1958))&lt;0,
MIN(0,N1958-(OFFSET($C1958,0,$A1958)/(OFFSET($C1953,-$A1957,$A1958)))),
MAX(0,N1958-(OFFSET($C1958,0,$A1958)/(OFFSET($C1953,-$A1957,$A1958))))),0))</f>
        <v>0</v>
      </c>
      <c r="P1958" s="1423">
        <f t="shared" ref="P1958:P1969" ca="1" si="2862">IF(O1982="n/a",O1958,IFERROR(IF((OFFSET($C1958,0,$A1958))&lt;0,
MIN(0,O1958-(OFFSET($C1958,0,$A1958)/(OFFSET($C1953,-$A1957,$A1958)))),
MAX(0,O1958-(OFFSET($C1958,0,$A1958)/(OFFSET($C1953,-$A1957,$A1958))))),0))</f>
        <v>0</v>
      </c>
      <c r="Q1958" s="1423">
        <f t="shared" ref="Q1958:Q1970" ca="1" si="2863">IF(P1982="n/a",P1958,IFERROR(IF((OFFSET($C1958,0,$A1958))&lt;0,
MIN(0,P1958-(OFFSET($C1958,0,$A1958)/(OFFSET($C1953,-$A1957,$A1958)))),
MAX(0,P1958-(OFFSET($C1958,0,$A1958)/(OFFSET($C1953,-$A1957,$A1958))))),0))</f>
        <v>0</v>
      </c>
      <c r="R1958" s="1423">
        <f t="shared" ref="R1958:R1971" ca="1" si="2864">IF(Q1982="n/a",Q1958,IFERROR(IF((OFFSET($C1958,0,$A1958))&lt;0,
MIN(0,Q1958-(OFFSET($C1958,0,$A1958)/(OFFSET($C1953,-$A1957,$A1958)))),
MAX(0,Q1958-(OFFSET($C1958,0,$A1958)/(OFFSET($C1953,-$A1957,$A1958))))),0))</f>
        <v>0</v>
      </c>
      <c r="S1958" s="1423">
        <f t="shared" ref="S1958:S1972" ca="1" si="2865">IF(R1982="n/a",R1958,IFERROR(IF((OFFSET($C1958,0,$A1958))&lt;0,
MIN(0,R1958-(OFFSET($C1958,0,$A1958)/(OFFSET($C1953,-$A1957,$A1958)))),
MAX(0,R1958-(OFFSET($C1958,0,$A1958)/(OFFSET($C1953,-$A1957,$A1958))))),0))</f>
        <v>0</v>
      </c>
      <c r="T1958" s="1423">
        <f t="shared" ref="T1958:T1973" ca="1" si="2866">IF(S1982="n/a",S1958,IFERROR(IF((OFFSET($C1958,0,$A1958))&lt;0,
MIN(0,S1958-(OFFSET($C1958,0,$A1958)/(OFFSET($C1953,-$A1957,$A1958)))),
MAX(0,S1958-(OFFSET($C1958,0,$A1958)/(OFFSET($C1953,-$A1957,$A1958))))),0))</f>
        <v>0</v>
      </c>
      <c r="U1958" s="1423">
        <f t="shared" ref="U1958:U1974" ca="1" si="2867">IF(T1982="n/a",T1958,IFERROR(IF((OFFSET($C1958,0,$A1958))&lt;0,
MIN(0,T1958-(OFFSET($C1958,0,$A1958)/(OFFSET($C1953,-$A1957,$A1958)))),
MAX(0,T1958-(OFFSET($C1958,0,$A1958)/(OFFSET($C1953,-$A1957,$A1958))))),0))</f>
        <v>0</v>
      </c>
      <c r="V1958" s="1423">
        <f t="shared" ref="V1958:V1975" ca="1" si="2868">IF(U1982="n/a",U1958,IFERROR(IF((OFFSET($C1958,0,$A1958))&lt;0,
MIN(0,U1958-(OFFSET($C1958,0,$A1958)/(OFFSET($C1953,-$A1957,$A1958)))),
MAX(0,U1958-(OFFSET($C1958,0,$A1958)/(OFFSET($C1953,-$A1957,$A1958))))),0))</f>
        <v>0</v>
      </c>
      <c r="W1958" s="1423">
        <f t="shared" ref="W1958:W1976" ca="1" si="2869">IF(V1982="n/a",V1958,IFERROR(IF((OFFSET($C1958,0,$A1958))&lt;0,
MIN(0,V1958-(OFFSET($C1958,0,$A1958)/(OFFSET($C1953,-$A1957,$A1958)))),
MAX(0,V1958-(OFFSET($C1958,0,$A1958)/(OFFSET($C1953,-$A1957,$A1958))))),0))</f>
        <v>0</v>
      </c>
      <c r="X1958" s="152"/>
      <c r="Y1958" s="152"/>
      <c r="Z1958" s="152"/>
      <c r="AA1958" s="152"/>
      <c r="AB1958" s="152"/>
    </row>
    <row r="1959" spans="1:28" hidden="1" outlineLevel="1">
      <c r="A1959" s="199">
        <f t="shared" ref="A1959:A1978" si="2870">A1958+1</f>
        <v>1</v>
      </c>
      <c r="B1959" s="190" t="str">
        <f t="shared" ref="B1959:B1978" ca="1" si="2871">"Depreciated Net Capex "&amp;OFFSET($C$6,0,A1959)</f>
        <v>Depreciated Net Capex 2016-17</v>
      </c>
      <c r="C1959" s="1424"/>
      <c r="D1959" s="1425">
        <f>D1953</f>
        <v>0</v>
      </c>
      <c r="E1959" s="1423">
        <f ca="1">IF(D1983="n/a",D1959,IFERROR(IF((OFFSET($C1959,0,$A1959))&lt;0,
MIN(0,D1959-(OFFSET($C1959,0,$A1959)/(OFFSET($C1954,-$A1958,$A1959)))),
MAX(0,D1959-(OFFSET($C1959,0,$A1959)/(OFFSET($C1954,-$A1958,$A1959))))),0))</f>
        <v>0</v>
      </c>
      <c r="F1959" s="1423">
        <f t="shared" ca="1" si="2852"/>
        <v>0</v>
      </c>
      <c r="G1959" s="1423">
        <f t="shared" ca="1" si="2853"/>
        <v>0</v>
      </c>
      <c r="H1959" s="1423">
        <f t="shared" ca="1" si="2854"/>
        <v>0</v>
      </c>
      <c r="I1959" s="1423">
        <f t="shared" ca="1" si="2855"/>
        <v>0</v>
      </c>
      <c r="J1959" s="1423">
        <f t="shared" ca="1" si="2856"/>
        <v>0</v>
      </c>
      <c r="K1959" s="1423">
        <f t="shared" ca="1" si="2857"/>
        <v>0</v>
      </c>
      <c r="L1959" s="1423">
        <f t="shared" ca="1" si="2858"/>
        <v>0</v>
      </c>
      <c r="M1959" s="1423">
        <f t="shared" ca="1" si="2859"/>
        <v>0</v>
      </c>
      <c r="N1959" s="1423">
        <f t="shared" ca="1" si="2860"/>
        <v>0</v>
      </c>
      <c r="O1959" s="1423">
        <f t="shared" ca="1" si="2861"/>
        <v>0</v>
      </c>
      <c r="P1959" s="1423">
        <f t="shared" ca="1" si="2862"/>
        <v>0</v>
      </c>
      <c r="Q1959" s="1423">
        <f t="shared" ca="1" si="2863"/>
        <v>0</v>
      </c>
      <c r="R1959" s="1423">
        <f t="shared" ca="1" si="2864"/>
        <v>0</v>
      </c>
      <c r="S1959" s="1423">
        <f t="shared" ca="1" si="2865"/>
        <v>0</v>
      </c>
      <c r="T1959" s="1423">
        <f t="shared" ca="1" si="2866"/>
        <v>0</v>
      </c>
      <c r="U1959" s="1423">
        <f t="shared" ca="1" si="2867"/>
        <v>0</v>
      </c>
      <c r="V1959" s="1423">
        <f t="shared" ca="1" si="2868"/>
        <v>0</v>
      </c>
      <c r="W1959" s="1423">
        <f t="shared" ca="1" si="2869"/>
        <v>0</v>
      </c>
      <c r="X1959" s="152"/>
      <c r="Y1959" s="152"/>
      <c r="Z1959" s="152"/>
      <c r="AA1959" s="152"/>
      <c r="AB1959" s="152"/>
    </row>
    <row r="1960" spans="1:28" hidden="1" outlineLevel="1">
      <c r="A1960" s="199">
        <f t="shared" si="2870"/>
        <v>2</v>
      </c>
      <c r="B1960" s="190" t="str">
        <f t="shared" ca="1" si="2871"/>
        <v>Depreciated Net Capex 2017-18</v>
      </c>
      <c r="C1960" s="1426"/>
      <c r="D1960" s="1427"/>
      <c r="E1960" s="1425">
        <f>E1953</f>
        <v>0</v>
      </c>
      <c r="F1960" s="1423">
        <f ca="1">IF(E1984="n/a",E1960,IFERROR(IF((OFFSET($C1960,0,$A1960))&lt;0,
MIN(0,E1960-(OFFSET($C1960,0,$A1960)/(OFFSET($C1955,-$A1959,$A1960)))),
MAX(0,E1960-(OFFSET($C1960,0,$A1960)/(OFFSET($C1955,-$A1959,$A1960))))),0))</f>
        <v>0</v>
      </c>
      <c r="G1960" s="1423">
        <f t="shared" ca="1" si="2853"/>
        <v>0</v>
      </c>
      <c r="H1960" s="1423">
        <f t="shared" ca="1" si="2854"/>
        <v>0</v>
      </c>
      <c r="I1960" s="1423">
        <f t="shared" ca="1" si="2855"/>
        <v>0</v>
      </c>
      <c r="J1960" s="1423">
        <f t="shared" ca="1" si="2856"/>
        <v>0</v>
      </c>
      <c r="K1960" s="1423">
        <f t="shared" ca="1" si="2857"/>
        <v>0</v>
      </c>
      <c r="L1960" s="1423">
        <f t="shared" ca="1" si="2858"/>
        <v>0</v>
      </c>
      <c r="M1960" s="1423">
        <f t="shared" ca="1" si="2859"/>
        <v>0</v>
      </c>
      <c r="N1960" s="1423">
        <f t="shared" ca="1" si="2860"/>
        <v>0</v>
      </c>
      <c r="O1960" s="1423">
        <f t="shared" ca="1" si="2861"/>
        <v>0</v>
      </c>
      <c r="P1960" s="1423">
        <f t="shared" ca="1" si="2862"/>
        <v>0</v>
      </c>
      <c r="Q1960" s="1423">
        <f t="shared" ca="1" si="2863"/>
        <v>0</v>
      </c>
      <c r="R1960" s="1423">
        <f t="shared" ca="1" si="2864"/>
        <v>0</v>
      </c>
      <c r="S1960" s="1423">
        <f t="shared" ca="1" si="2865"/>
        <v>0</v>
      </c>
      <c r="T1960" s="1423">
        <f t="shared" ca="1" si="2866"/>
        <v>0</v>
      </c>
      <c r="U1960" s="1423">
        <f t="shared" ca="1" si="2867"/>
        <v>0</v>
      </c>
      <c r="V1960" s="1423">
        <f t="shared" ca="1" si="2868"/>
        <v>0</v>
      </c>
      <c r="W1960" s="1423">
        <f t="shared" ca="1" si="2869"/>
        <v>0</v>
      </c>
      <c r="X1960" s="202"/>
      <c r="Y1960" s="152"/>
      <c r="Z1960" s="152"/>
      <c r="AA1960" s="152"/>
      <c r="AB1960" s="152"/>
    </row>
    <row r="1961" spans="1:28" hidden="1" outlineLevel="1">
      <c r="A1961" s="199">
        <f t="shared" si="2870"/>
        <v>3</v>
      </c>
      <c r="B1961" s="190" t="str">
        <f t="shared" ca="1" si="2871"/>
        <v>Depreciated Net Capex 2018-19</v>
      </c>
      <c r="C1961" s="1426"/>
      <c r="D1961" s="1426"/>
      <c r="E1961" s="1427"/>
      <c r="F1961" s="1428">
        <f>F1953</f>
        <v>0</v>
      </c>
      <c r="G1961" s="1423">
        <f ca="1">IF(F1985="n/a",F1961,IFERROR(IF((OFFSET($C1961,0,$A1961))&lt;0,
MIN(0,F1961-(OFFSET($C1961,0,$A1961)/(OFFSET($C1956,-$A1960,$A1961)))),
MAX(0,F1961-(OFFSET($C1961,0,$A1961)/(OFFSET($C1956,-$A1960,$A1961))))),0))</f>
        <v>0</v>
      </c>
      <c r="H1961" s="1423">
        <f t="shared" ca="1" si="2854"/>
        <v>0</v>
      </c>
      <c r="I1961" s="1423">
        <f t="shared" ca="1" si="2855"/>
        <v>0</v>
      </c>
      <c r="J1961" s="1423">
        <f t="shared" ca="1" si="2856"/>
        <v>0</v>
      </c>
      <c r="K1961" s="1423">
        <f t="shared" ca="1" si="2857"/>
        <v>0</v>
      </c>
      <c r="L1961" s="1423">
        <f t="shared" ca="1" si="2858"/>
        <v>0</v>
      </c>
      <c r="M1961" s="1423">
        <f t="shared" ca="1" si="2859"/>
        <v>0</v>
      </c>
      <c r="N1961" s="1423">
        <f t="shared" ca="1" si="2860"/>
        <v>0</v>
      </c>
      <c r="O1961" s="1423">
        <f t="shared" ca="1" si="2861"/>
        <v>0</v>
      </c>
      <c r="P1961" s="1423">
        <f t="shared" ca="1" si="2862"/>
        <v>0</v>
      </c>
      <c r="Q1961" s="1423">
        <f t="shared" ca="1" si="2863"/>
        <v>0</v>
      </c>
      <c r="R1961" s="1423">
        <f t="shared" ca="1" si="2864"/>
        <v>0</v>
      </c>
      <c r="S1961" s="1423">
        <f t="shared" ca="1" si="2865"/>
        <v>0</v>
      </c>
      <c r="T1961" s="1423">
        <f t="shared" ca="1" si="2866"/>
        <v>0</v>
      </c>
      <c r="U1961" s="1423">
        <f t="shared" ca="1" si="2867"/>
        <v>0</v>
      </c>
      <c r="V1961" s="1423">
        <f t="shared" ca="1" si="2868"/>
        <v>0</v>
      </c>
      <c r="W1961" s="1423">
        <f t="shared" ca="1" si="2869"/>
        <v>0</v>
      </c>
      <c r="X1961" s="202"/>
      <c r="Y1961" s="202"/>
      <c r="Z1961" s="152"/>
      <c r="AA1961" s="152"/>
      <c r="AB1961" s="152"/>
    </row>
    <row r="1962" spans="1:28" hidden="1" outlineLevel="1">
      <c r="A1962" s="199">
        <f t="shared" si="2870"/>
        <v>4</v>
      </c>
      <c r="B1962" s="190" t="str">
        <f t="shared" ca="1" si="2871"/>
        <v>Depreciated Net Capex 2019-20</v>
      </c>
      <c r="C1962" s="1426"/>
      <c r="D1962" s="1426"/>
      <c r="E1962" s="1426"/>
      <c r="F1962" s="1427"/>
      <c r="G1962" s="1428">
        <f>G1953</f>
        <v>0</v>
      </c>
      <c r="H1962" s="1423">
        <f ca="1">IF(G1986="n/a",G1962,IFERROR(IF((OFFSET($C1962,0,$A1962))&lt;0,
MIN(0,G1962-(OFFSET($C1962,0,$A1962)/(OFFSET($C1957,-$A1961,$A1962)))),
MAX(0,G1962-(OFFSET($C1962,0,$A1962)/(OFFSET($C1957,-$A1961,$A1962))))),0))</f>
        <v>0</v>
      </c>
      <c r="I1962" s="1423">
        <f t="shared" ca="1" si="2855"/>
        <v>0</v>
      </c>
      <c r="J1962" s="1423">
        <f t="shared" ca="1" si="2856"/>
        <v>0</v>
      </c>
      <c r="K1962" s="1423">
        <f t="shared" ca="1" si="2857"/>
        <v>0</v>
      </c>
      <c r="L1962" s="1423">
        <f t="shared" ca="1" si="2858"/>
        <v>0</v>
      </c>
      <c r="M1962" s="1423">
        <f t="shared" ca="1" si="2859"/>
        <v>0</v>
      </c>
      <c r="N1962" s="1423">
        <f t="shared" ca="1" si="2860"/>
        <v>0</v>
      </c>
      <c r="O1962" s="1423">
        <f t="shared" ca="1" si="2861"/>
        <v>0</v>
      </c>
      <c r="P1962" s="1423">
        <f t="shared" ca="1" si="2862"/>
        <v>0</v>
      </c>
      <c r="Q1962" s="1423">
        <f t="shared" ca="1" si="2863"/>
        <v>0</v>
      </c>
      <c r="R1962" s="1423">
        <f t="shared" ca="1" si="2864"/>
        <v>0</v>
      </c>
      <c r="S1962" s="1423">
        <f t="shared" ca="1" si="2865"/>
        <v>0</v>
      </c>
      <c r="T1962" s="1423">
        <f t="shared" ca="1" si="2866"/>
        <v>0</v>
      </c>
      <c r="U1962" s="1423">
        <f t="shared" ca="1" si="2867"/>
        <v>0</v>
      </c>
      <c r="V1962" s="1423">
        <f t="shared" ca="1" si="2868"/>
        <v>0</v>
      </c>
      <c r="W1962" s="1423">
        <f t="shared" ca="1" si="2869"/>
        <v>0</v>
      </c>
      <c r="X1962" s="202"/>
      <c r="Y1962" s="202"/>
      <c r="Z1962" s="202"/>
      <c r="AA1962" s="152"/>
      <c r="AB1962" s="152"/>
    </row>
    <row r="1963" spans="1:28" hidden="1" outlineLevel="1">
      <c r="A1963" s="199">
        <f t="shared" si="2870"/>
        <v>5</v>
      </c>
      <c r="B1963" s="190" t="str">
        <f t="shared" ca="1" si="2871"/>
        <v>Depreciated Net Capex 2020-21</v>
      </c>
      <c r="C1963" s="1426"/>
      <c r="D1963" s="1426"/>
      <c r="E1963" s="1426"/>
      <c r="F1963" s="1426"/>
      <c r="G1963" s="1427"/>
      <c r="H1963" s="1428">
        <f>H1953</f>
        <v>0</v>
      </c>
      <c r="I1963" s="1423">
        <f ca="1">IF(H1987="n/a",H1963,IFERROR(IF((OFFSET($C1963,0,$A1963))&lt;0,
MIN(0,H1963-(OFFSET($C1963,0,$A1963)/(OFFSET($C1958,-$A1962,$A1963)))),
MAX(0,H1963-(OFFSET($C1963,0,$A1963)/(OFFSET($C1958,-$A1962,$A1963))))),0))</f>
        <v>0</v>
      </c>
      <c r="J1963" s="1423">
        <f t="shared" ca="1" si="2856"/>
        <v>0</v>
      </c>
      <c r="K1963" s="1423">
        <f t="shared" ca="1" si="2857"/>
        <v>0</v>
      </c>
      <c r="L1963" s="1423">
        <f t="shared" ca="1" si="2858"/>
        <v>0</v>
      </c>
      <c r="M1963" s="1423">
        <f t="shared" ca="1" si="2859"/>
        <v>0</v>
      </c>
      <c r="N1963" s="1423">
        <f t="shared" ca="1" si="2860"/>
        <v>0</v>
      </c>
      <c r="O1963" s="1423">
        <f t="shared" ca="1" si="2861"/>
        <v>0</v>
      </c>
      <c r="P1963" s="1423">
        <f t="shared" ca="1" si="2862"/>
        <v>0</v>
      </c>
      <c r="Q1963" s="1423">
        <f t="shared" ca="1" si="2863"/>
        <v>0</v>
      </c>
      <c r="R1963" s="1423">
        <f t="shared" ca="1" si="2864"/>
        <v>0</v>
      </c>
      <c r="S1963" s="1423">
        <f t="shared" ca="1" si="2865"/>
        <v>0</v>
      </c>
      <c r="T1963" s="1423">
        <f t="shared" ca="1" si="2866"/>
        <v>0</v>
      </c>
      <c r="U1963" s="1423">
        <f t="shared" ca="1" si="2867"/>
        <v>0</v>
      </c>
      <c r="V1963" s="1423">
        <f t="shared" ca="1" si="2868"/>
        <v>0</v>
      </c>
      <c r="W1963" s="1423">
        <f t="shared" ca="1" si="2869"/>
        <v>0</v>
      </c>
      <c r="X1963" s="202"/>
      <c r="Y1963" s="202"/>
      <c r="Z1963" s="202"/>
      <c r="AA1963" s="152"/>
      <c r="AB1963" s="152"/>
    </row>
    <row r="1964" spans="1:28" hidden="1" outlineLevel="1">
      <c r="A1964" s="199">
        <f t="shared" si="2870"/>
        <v>6</v>
      </c>
      <c r="B1964" s="190" t="str">
        <f t="shared" ca="1" si="2871"/>
        <v>Depreciated Net Capex 2021-22</v>
      </c>
      <c r="C1964" s="1426"/>
      <c r="D1964" s="1426"/>
      <c r="E1964" s="1426"/>
      <c r="F1964" s="1426"/>
      <c r="G1964" s="1426"/>
      <c r="H1964" s="1427"/>
      <c r="I1964" s="1428">
        <f>I1953</f>
        <v>0</v>
      </c>
      <c r="J1964" s="1423">
        <f ca="1">IF(I1988="n/a",I1964,IFERROR(IF((OFFSET($C1964,0,$A1964))&lt;0,
MIN(0,I1964-(OFFSET($C1964,0,$A1964)/(OFFSET($C1959,-$A1963,$A1964)))),
MAX(0,I1964-(OFFSET($C1964,0,$A1964)/(OFFSET($C1959,-$A1963,$A1964))))),0))</f>
        <v>0</v>
      </c>
      <c r="K1964" s="1423">
        <f t="shared" ca="1" si="2857"/>
        <v>0</v>
      </c>
      <c r="L1964" s="1423">
        <f t="shared" ca="1" si="2858"/>
        <v>0</v>
      </c>
      <c r="M1964" s="1423">
        <f t="shared" ca="1" si="2859"/>
        <v>0</v>
      </c>
      <c r="N1964" s="1423">
        <f t="shared" ca="1" si="2860"/>
        <v>0</v>
      </c>
      <c r="O1964" s="1423">
        <f t="shared" ca="1" si="2861"/>
        <v>0</v>
      </c>
      <c r="P1964" s="1423">
        <f t="shared" ca="1" si="2862"/>
        <v>0</v>
      </c>
      <c r="Q1964" s="1423">
        <f t="shared" ca="1" si="2863"/>
        <v>0</v>
      </c>
      <c r="R1964" s="1423">
        <f t="shared" ca="1" si="2864"/>
        <v>0</v>
      </c>
      <c r="S1964" s="1423">
        <f t="shared" ca="1" si="2865"/>
        <v>0</v>
      </c>
      <c r="T1964" s="1423">
        <f t="shared" ca="1" si="2866"/>
        <v>0</v>
      </c>
      <c r="U1964" s="1423">
        <f t="shared" ca="1" si="2867"/>
        <v>0</v>
      </c>
      <c r="V1964" s="1423">
        <f t="shared" ca="1" si="2868"/>
        <v>0</v>
      </c>
      <c r="W1964" s="1423">
        <f t="shared" ca="1" si="2869"/>
        <v>0</v>
      </c>
      <c r="X1964" s="202"/>
      <c r="Y1964" s="202"/>
      <c r="Z1964" s="202"/>
      <c r="AA1964" s="152"/>
      <c r="AB1964" s="152"/>
    </row>
    <row r="1965" spans="1:28" hidden="1" outlineLevel="1">
      <c r="A1965" s="199">
        <f t="shared" si="2870"/>
        <v>7</v>
      </c>
      <c r="B1965" s="190" t="str">
        <f t="shared" ca="1" si="2871"/>
        <v>Depreciated Net Capex 2022-23</v>
      </c>
      <c r="C1965" s="1426"/>
      <c r="D1965" s="1426"/>
      <c r="E1965" s="1426"/>
      <c r="F1965" s="1426"/>
      <c r="G1965" s="1426"/>
      <c r="H1965" s="1426"/>
      <c r="I1965" s="1427"/>
      <c r="J1965" s="1428">
        <f>J1953</f>
        <v>0</v>
      </c>
      <c r="K1965" s="1423">
        <f ca="1">IF(J1989="n/a",J1965,IFERROR(IF((OFFSET($C1965,0,$A1965))&lt;0,
MIN(0,J1965-(OFFSET($C1965,0,$A1965)/(OFFSET($C1960,-$A1964,$A1965)))),
MAX(0,J1965-(OFFSET($C1965,0,$A1965)/(OFFSET($C1960,-$A1964,$A1965))))),0))</f>
        <v>0</v>
      </c>
      <c r="L1965" s="1423">
        <f t="shared" ca="1" si="2858"/>
        <v>0</v>
      </c>
      <c r="M1965" s="1423">
        <f t="shared" ca="1" si="2859"/>
        <v>0</v>
      </c>
      <c r="N1965" s="1423">
        <f t="shared" ca="1" si="2860"/>
        <v>0</v>
      </c>
      <c r="O1965" s="1423">
        <f t="shared" ca="1" si="2861"/>
        <v>0</v>
      </c>
      <c r="P1965" s="1423">
        <f t="shared" ca="1" si="2862"/>
        <v>0</v>
      </c>
      <c r="Q1965" s="1423">
        <f t="shared" ca="1" si="2863"/>
        <v>0</v>
      </c>
      <c r="R1965" s="1423">
        <f t="shared" ca="1" si="2864"/>
        <v>0</v>
      </c>
      <c r="S1965" s="1423">
        <f t="shared" ca="1" si="2865"/>
        <v>0</v>
      </c>
      <c r="T1965" s="1423">
        <f t="shared" ca="1" si="2866"/>
        <v>0</v>
      </c>
      <c r="U1965" s="1423">
        <f t="shared" ca="1" si="2867"/>
        <v>0</v>
      </c>
      <c r="V1965" s="1423">
        <f t="shared" ca="1" si="2868"/>
        <v>0</v>
      </c>
      <c r="W1965" s="1423">
        <f t="shared" ca="1" si="2869"/>
        <v>0</v>
      </c>
      <c r="X1965" s="202"/>
      <c r="Y1965" s="202"/>
      <c r="Z1965" s="202"/>
      <c r="AA1965" s="152"/>
      <c r="AB1965" s="152"/>
    </row>
    <row r="1966" spans="1:28" hidden="1" outlineLevel="1">
      <c r="A1966" s="199">
        <f t="shared" si="2870"/>
        <v>8</v>
      </c>
      <c r="B1966" s="190" t="str">
        <f t="shared" ca="1" si="2871"/>
        <v>Depreciated Net Capex 2023-24</v>
      </c>
      <c r="C1966" s="1426"/>
      <c r="D1966" s="1426"/>
      <c r="E1966" s="1426"/>
      <c r="F1966" s="1426"/>
      <c r="G1966" s="1426"/>
      <c r="H1966" s="1426"/>
      <c r="I1966" s="1426"/>
      <c r="J1966" s="1427"/>
      <c r="K1966" s="1428">
        <f>K1953</f>
        <v>0</v>
      </c>
      <c r="L1966" s="1423">
        <f ca="1">IF(K1990="n/a",K1966,IFERROR(IF((OFFSET($C1966,0,$A1966))&lt;0,
MIN(0,K1966-(OFFSET($C1966,0,$A1966)/(OFFSET($C1961,-$A1965,$A1966)))),
MAX(0,K1966-(OFFSET($C1966,0,$A1966)/(OFFSET($C1961,-$A1965,$A1966))))),0))</f>
        <v>0</v>
      </c>
      <c r="M1966" s="1423">
        <f t="shared" ca="1" si="2859"/>
        <v>0</v>
      </c>
      <c r="N1966" s="1423">
        <f t="shared" ca="1" si="2860"/>
        <v>0</v>
      </c>
      <c r="O1966" s="1423">
        <f t="shared" ca="1" si="2861"/>
        <v>0</v>
      </c>
      <c r="P1966" s="1423">
        <f t="shared" ca="1" si="2862"/>
        <v>0</v>
      </c>
      <c r="Q1966" s="1423">
        <f t="shared" ca="1" si="2863"/>
        <v>0</v>
      </c>
      <c r="R1966" s="1423">
        <f t="shared" ca="1" si="2864"/>
        <v>0</v>
      </c>
      <c r="S1966" s="1423">
        <f t="shared" ca="1" si="2865"/>
        <v>0</v>
      </c>
      <c r="T1966" s="1423">
        <f t="shared" ca="1" si="2866"/>
        <v>0</v>
      </c>
      <c r="U1966" s="1423">
        <f t="shared" ca="1" si="2867"/>
        <v>0</v>
      </c>
      <c r="V1966" s="1423">
        <f t="shared" ca="1" si="2868"/>
        <v>0</v>
      </c>
      <c r="W1966" s="1423">
        <f t="shared" ca="1" si="2869"/>
        <v>0</v>
      </c>
      <c r="X1966" s="202"/>
      <c r="Y1966" s="202"/>
      <c r="Z1966" s="202"/>
      <c r="AA1966" s="152"/>
      <c r="AB1966" s="152"/>
    </row>
    <row r="1967" spans="1:28" hidden="1" outlineLevel="1">
      <c r="A1967" s="199">
        <f t="shared" si="2870"/>
        <v>9</v>
      </c>
      <c r="B1967" s="190" t="str">
        <f t="shared" ca="1" si="2871"/>
        <v>Depreciated Net Capex 2024-25</v>
      </c>
      <c r="C1967" s="1426"/>
      <c r="D1967" s="1426"/>
      <c r="E1967" s="1426"/>
      <c r="F1967" s="1426"/>
      <c r="G1967" s="1426"/>
      <c r="H1967" s="1426"/>
      <c r="I1967" s="1426"/>
      <c r="J1967" s="1426"/>
      <c r="K1967" s="1427"/>
      <c r="L1967" s="1428">
        <f>L1953</f>
        <v>0</v>
      </c>
      <c r="M1967" s="1423">
        <f ca="1">IF(L1991="n/a",L1967,IFERROR(IF((OFFSET($C1967,0,$A1967))&lt;0,
MIN(0,L1967-(OFFSET($C1967,0,$A1967)/(OFFSET($C1962,-$A1966,$A1967)))),
MAX(0,L1967-(OFFSET($C1967,0,$A1967)/(OFFSET($C1962,-$A1966,$A1967))))),0))</f>
        <v>0</v>
      </c>
      <c r="N1967" s="1423">
        <f t="shared" ca="1" si="2860"/>
        <v>0</v>
      </c>
      <c r="O1967" s="1423">
        <f t="shared" ca="1" si="2861"/>
        <v>0</v>
      </c>
      <c r="P1967" s="1423">
        <f t="shared" ca="1" si="2862"/>
        <v>0</v>
      </c>
      <c r="Q1967" s="1423">
        <f t="shared" ca="1" si="2863"/>
        <v>0</v>
      </c>
      <c r="R1967" s="1423">
        <f t="shared" ca="1" si="2864"/>
        <v>0</v>
      </c>
      <c r="S1967" s="1423">
        <f t="shared" ca="1" si="2865"/>
        <v>0</v>
      </c>
      <c r="T1967" s="1423">
        <f t="shared" ca="1" si="2866"/>
        <v>0</v>
      </c>
      <c r="U1967" s="1423">
        <f t="shared" ca="1" si="2867"/>
        <v>0</v>
      </c>
      <c r="V1967" s="1423">
        <f t="shared" ca="1" si="2868"/>
        <v>0</v>
      </c>
      <c r="W1967" s="1423">
        <f t="shared" ca="1" si="2869"/>
        <v>0</v>
      </c>
      <c r="X1967" s="202"/>
      <c r="Y1967" s="202"/>
      <c r="Z1967" s="202"/>
      <c r="AA1967" s="152"/>
      <c r="AB1967" s="152"/>
    </row>
    <row r="1968" spans="1:28" hidden="1" outlineLevel="1">
      <c r="A1968" s="199">
        <f t="shared" si="2870"/>
        <v>10</v>
      </c>
      <c r="B1968" s="190" t="str">
        <f t="shared" ca="1" si="2871"/>
        <v>Depreciated Net Capex 2025-26</v>
      </c>
      <c r="C1968" s="1426"/>
      <c r="D1968" s="1426"/>
      <c r="E1968" s="1426"/>
      <c r="F1968" s="1426"/>
      <c r="G1968" s="1426"/>
      <c r="H1968" s="1426"/>
      <c r="I1968" s="1426"/>
      <c r="J1968" s="1426"/>
      <c r="K1968" s="1426"/>
      <c r="L1968" s="1427"/>
      <c r="M1968" s="1428">
        <f>M1953</f>
        <v>0</v>
      </c>
      <c r="N1968" s="1423">
        <f ca="1">IF(M1992="n/a",M1968,IFERROR(IF((OFFSET($C1968,0,$A1968))&lt;0,
MIN(0,M1968-(OFFSET($C1968,0,$A1968)/(OFFSET($C1963,-$A1967,$A1968)))),
MAX(0,M1968-(OFFSET($C1968,0,$A1968)/(OFFSET($C1963,-$A1967,$A1968))))),0))</f>
        <v>0</v>
      </c>
      <c r="O1968" s="1423">
        <f t="shared" ca="1" si="2861"/>
        <v>0</v>
      </c>
      <c r="P1968" s="1423">
        <f t="shared" ca="1" si="2862"/>
        <v>0</v>
      </c>
      <c r="Q1968" s="1423">
        <f t="shared" ca="1" si="2863"/>
        <v>0</v>
      </c>
      <c r="R1968" s="1423">
        <f t="shared" ca="1" si="2864"/>
        <v>0</v>
      </c>
      <c r="S1968" s="1423">
        <f t="shared" ca="1" si="2865"/>
        <v>0</v>
      </c>
      <c r="T1968" s="1423">
        <f t="shared" ca="1" si="2866"/>
        <v>0</v>
      </c>
      <c r="U1968" s="1423">
        <f t="shared" ca="1" si="2867"/>
        <v>0</v>
      </c>
      <c r="V1968" s="1423">
        <f t="shared" ca="1" si="2868"/>
        <v>0</v>
      </c>
      <c r="W1968" s="1423">
        <f t="shared" ca="1" si="2869"/>
        <v>0</v>
      </c>
      <c r="X1968" s="202"/>
      <c r="Y1968" s="202"/>
      <c r="Z1968" s="202"/>
      <c r="AA1968" s="152"/>
      <c r="AB1968" s="152"/>
    </row>
    <row r="1969" spans="1:28" hidden="1" outlineLevel="1">
      <c r="A1969" s="199">
        <f t="shared" si="2870"/>
        <v>11</v>
      </c>
      <c r="B1969" s="190" t="str">
        <f t="shared" ca="1" si="2871"/>
        <v>Depreciated Net Capex 2026-27</v>
      </c>
      <c r="C1969" s="1426"/>
      <c r="D1969" s="1426"/>
      <c r="E1969" s="1426"/>
      <c r="F1969" s="1426"/>
      <c r="G1969" s="1426"/>
      <c r="H1969" s="1426"/>
      <c r="I1969" s="1426"/>
      <c r="J1969" s="1426"/>
      <c r="K1969" s="1426"/>
      <c r="L1969" s="1426"/>
      <c r="M1969" s="1427"/>
      <c r="N1969" s="1428">
        <f>N1953</f>
        <v>0</v>
      </c>
      <c r="O1969" s="1423">
        <f ca="1">IF(N1993="n/a",N1969,IFERROR(IF((OFFSET($C1969,0,$A1969))&lt;0,
MIN(0,N1969-(OFFSET($C1969,0,$A1969)/(OFFSET($C1964,-$A1968,$A1969)))),
MAX(0,N1969-(OFFSET($C1969,0,$A1969)/(OFFSET($C1964,-$A1968,$A1969))))),0))</f>
        <v>0</v>
      </c>
      <c r="P1969" s="1423">
        <f t="shared" ca="1" si="2862"/>
        <v>0</v>
      </c>
      <c r="Q1969" s="1423">
        <f t="shared" ca="1" si="2863"/>
        <v>0</v>
      </c>
      <c r="R1969" s="1423">
        <f t="shared" ca="1" si="2864"/>
        <v>0</v>
      </c>
      <c r="S1969" s="1423">
        <f t="shared" ca="1" si="2865"/>
        <v>0</v>
      </c>
      <c r="T1969" s="1423">
        <f t="shared" ca="1" si="2866"/>
        <v>0</v>
      </c>
      <c r="U1969" s="1423">
        <f t="shared" ca="1" si="2867"/>
        <v>0</v>
      </c>
      <c r="V1969" s="1423">
        <f t="shared" ca="1" si="2868"/>
        <v>0</v>
      </c>
      <c r="W1969" s="1423">
        <f t="shared" ca="1" si="2869"/>
        <v>0</v>
      </c>
      <c r="X1969" s="202"/>
      <c r="Y1969" s="202"/>
      <c r="Z1969" s="202"/>
      <c r="AA1969" s="152"/>
      <c r="AB1969" s="152"/>
    </row>
    <row r="1970" spans="1:28" hidden="1" outlineLevel="1">
      <c r="A1970" s="199">
        <f t="shared" si="2870"/>
        <v>12</v>
      </c>
      <c r="B1970" s="190" t="str">
        <f t="shared" ca="1" si="2871"/>
        <v>Depreciated Net Capex 2027-28</v>
      </c>
      <c r="C1970" s="1426"/>
      <c r="D1970" s="1426"/>
      <c r="E1970" s="1426"/>
      <c r="F1970" s="1426"/>
      <c r="G1970" s="1426"/>
      <c r="H1970" s="1426"/>
      <c r="I1970" s="1426"/>
      <c r="J1970" s="1426"/>
      <c r="K1970" s="1426"/>
      <c r="L1970" s="1426"/>
      <c r="M1970" s="1426"/>
      <c r="N1970" s="1427"/>
      <c r="O1970" s="1428">
        <f>O1953</f>
        <v>0</v>
      </c>
      <c r="P1970" s="1423">
        <f ca="1">IF(O1994="n/a",O1970,IFERROR(IF((OFFSET($C1970,0,$A1970))&lt;0,
MIN(0,O1970-(OFFSET($C1970,0,$A1970)/(OFFSET($C1965,-$A1969,$A1970)))),
MAX(0,O1970-(OFFSET($C1970,0,$A1970)/(OFFSET($C1965,-$A1969,$A1970))))),0))</f>
        <v>0</v>
      </c>
      <c r="Q1970" s="1423">
        <f t="shared" ca="1" si="2863"/>
        <v>0</v>
      </c>
      <c r="R1970" s="1423">
        <f t="shared" ca="1" si="2864"/>
        <v>0</v>
      </c>
      <c r="S1970" s="1423">
        <f t="shared" ca="1" si="2865"/>
        <v>0</v>
      </c>
      <c r="T1970" s="1423">
        <f t="shared" ca="1" si="2866"/>
        <v>0</v>
      </c>
      <c r="U1970" s="1423">
        <f t="shared" ca="1" si="2867"/>
        <v>0</v>
      </c>
      <c r="V1970" s="1423">
        <f t="shared" ca="1" si="2868"/>
        <v>0</v>
      </c>
      <c r="W1970" s="1423">
        <f t="shared" ca="1" si="2869"/>
        <v>0</v>
      </c>
      <c r="X1970" s="202"/>
      <c r="Y1970" s="202"/>
      <c r="Z1970" s="202"/>
      <c r="AA1970" s="152"/>
      <c r="AB1970" s="152"/>
    </row>
    <row r="1971" spans="1:28" hidden="1" outlineLevel="1">
      <c r="A1971" s="199">
        <f t="shared" si="2870"/>
        <v>13</v>
      </c>
      <c r="B1971" s="190" t="str">
        <f t="shared" ca="1" si="2871"/>
        <v>Depreciated Net Capex 2028-29</v>
      </c>
      <c r="C1971" s="1426"/>
      <c r="D1971" s="1426"/>
      <c r="E1971" s="1426"/>
      <c r="F1971" s="1426"/>
      <c r="G1971" s="1426"/>
      <c r="H1971" s="1426"/>
      <c r="I1971" s="1426"/>
      <c r="J1971" s="1426"/>
      <c r="K1971" s="1426"/>
      <c r="L1971" s="1426"/>
      <c r="M1971" s="1426"/>
      <c r="N1971" s="1426"/>
      <c r="O1971" s="1427"/>
      <c r="P1971" s="1428">
        <f>P1953</f>
        <v>0</v>
      </c>
      <c r="Q1971" s="1423">
        <f ca="1">IF(P1995="n/a",P1971,IFERROR(IF((OFFSET($C1971,0,$A1971))&lt;0,
MIN(0,P1971-(OFFSET($C1971,0,$A1971)/(OFFSET($C1966,-$A1970,$A1971)))),
MAX(0,P1971-(OFFSET($C1971,0,$A1971)/(OFFSET($C1966,-$A1970,$A1971))))),0))</f>
        <v>0</v>
      </c>
      <c r="R1971" s="1423">
        <f t="shared" ca="1" si="2864"/>
        <v>0</v>
      </c>
      <c r="S1971" s="1423">
        <f t="shared" ca="1" si="2865"/>
        <v>0</v>
      </c>
      <c r="T1971" s="1423">
        <f t="shared" ca="1" si="2866"/>
        <v>0</v>
      </c>
      <c r="U1971" s="1423">
        <f t="shared" ca="1" si="2867"/>
        <v>0</v>
      </c>
      <c r="V1971" s="1423">
        <f t="shared" ca="1" si="2868"/>
        <v>0</v>
      </c>
      <c r="W1971" s="1423">
        <f t="shared" ca="1" si="2869"/>
        <v>0</v>
      </c>
      <c r="X1971" s="202"/>
      <c r="Y1971" s="202"/>
      <c r="Z1971" s="202"/>
      <c r="AA1971" s="152"/>
      <c r="AB1971" s="152"/>
    </row>
    <row r="1972" spans="1:28" hidden="1" outlineLevel="1">
      <c r="A1972" s="199">
        <f t="shared" si="2870"/>
        <v>14</v>
      </c>
      <c r="B1972" s="190" t="str">
        <f t="shared" ca="1" si="2871"/>
        <v>Depreciated Net Capex 2029-30</v>
      </c>
      <c r="C1972" s="1426"/>
      <c r="D1972" s="1426"/>
      <c r="E1972" s="1426"/>
      <c r="F1972" s="1426"/>
      <c r="G1972" s="1426"/>
      <c r="H1972" s="1426"/>
      <c r="I1972" s="1426"/>
      <c r="J1972" s="1426"/>
      <c r="K1972" s="1426"/>
      <c r="L1972" s="1426"/>
      <c r="M1972" s="1426"/>
      <c r="N1972" s="1426"/>
      <c r="O1972" s="1426"/>
      <c r="P1972" s="1427"/>
      <c r="Q1972" s="1428">
        <f>Q1953</f>
        <v>0</v>
      </c>
      <c r="R1972" s="1423">
        <f ca="1">IF(Q1996="n/a",Q1972,IFERROR(IF((OFFSET($C1972,0,$A1972))&lt;0,
MIN(0,Q1972-(OFFSET($C1972,0,$A1972)/(OFFSET($C1967,-$A1971,$A1972)))),
MAX(0,Q1972-(OFFSET($C1972,0,$A1972)/(OFFSET($C1967,-$A1971,$A1972))))),0))</f>
        <v>0</v>
      </c>
      <c r="S1972" s="1423">
        <f t="shared" ca="1" si="2865"/>
        <v>0</v>
      </c>
      <c r="T1972" s="1423">
        <f t="shared" ca="1" si="2866"/>
        <v>0</v>
      </c>
      <c r="U1972" s="1423">
        <f t="shared" ca="1" si="2867"/>
        <v>0</v>
      </c>
      <c r="V1972" s="1423">
        <f t="shared" ca="1" si="2868"/>
        <v>0</v>
      </c>
      <c r="W1972" s="1423">
        <f t="shared" ca="1" si="2869"/>
        <v>0</v>
      </c>
      <c r="X1972" s="202"/>
      <c r="Y1972" s="202"/>
      <c r="Z1972" s="202"/>
      <c r="AA1972" s="152"/>
      <c r="AB1972" s="152"/>
    </row>
    <row r="1973" spans="1:28" hidden="1" outlineLevel="1">
      <c r="A1973" s="199">
        <f t="shared" si="2870"/>
        <v>15</v>
      </c>
      <c r="B1973" s="190" t="str">
        <f t="shared" ca="1" si="2871"/>
        <v>Depreciated Net Capex 2030-31</v>
      </c>
      <c r="C1973" s="1426"/>
      <c r="D1973" s="1426"/>
      <c r="E1973" s="1426"/>
      <c r="F1973" s="1426"/>
      <c r="G1973" s="1426"/>
      <c r="H1973" s="1426"/>
      <c r="I1973" s="1426"/>
      <c r="J1973" s="1426"/>
      <c r="K1973" s="1426"/>
      <c r="L1973" s="1426"/>
      <c r="M1973" s="1426"/>
      <c r="N1973" s="1426"/>
      <c r="O1973" s="1426"/>
      <c r="P1973" s="1426"/>
      <c r="Q1973" s="1427"/>
      <c r="R1973" s="1428">
        <f>R1953</f>
        <v>0</v>
      </c>
      <c r="S1973" s="1423">
        <f ca="1">IF(R1997="n/a",R1973,IFERROR(IF((OFFSET($C1973,0,$A1973))&lt;0,
MIN(0,R1973-(OFFSET($C1973,0,$A1973)/(OFFSET($C1968,-$A1972,$A1973)))),
MAX(0,R1973-(OFFSET($C1973,0,$A1973)/(OFFSET($C1968,-$A1972,$A1973))))),0))</f>
        <v>0</v>
      </c>
      <c r="T1973" s="1423">
        <f t="shared" ca="1" si="2866"/>
        <v>0</v>
      </c>
      <c r="U1973" s="1423">
        <f t="shared" ca="1" si="2867"/>
        <v>0</v>
      </c>
      <c r="V1973" s="1423">
        <f t="shared" ca="1" si="2868"/>
        <v>0</v>
      </c>
      <c r="W1973" s="1423">
        <f t="shared" ca="1" si="2869"/>
        <v>0</v>
      </c>
      <c r="X1973" s="202"/>
      <c r="Y1973" s="202"/>
      <c r="Z1973" s="202"/>
      <c r="AA1973" s="152"/>
      <c r="AB1973" s="152"/>
    </row>
    <row r="1974" spans="1:28" hidden="1" outlineLevel="1">
      <c r="A1974" s="199">
        <f t="shared" si="2870"/>
        <v>16</v>
      </c>
      <c r="B1974" s="190" t="str">
        <f t="shared" ca="1" si="2871"/>
        <v>Depreciated Net Capex 2031-32</v>
      </c>
      <c r="C1974" s="1426"/>
      <c r="D1974" s="1426"/>
      <c r="E1974" s="1426"/>
      <c r="F1974" s="1426"/>
      <c r="G1974" s="1426"/>
      <c r="H1974" s="1426"/>
      <c r="I1974" s="1426"/>
      <c r="J1974" s="1426"/>
      <c r="K1974" s="1426"/>
      <c r="L1974" s="1426"/>
      <c r="M1974" s="1426"/>
      <c r="N1974" s="1426"/>
      <c r="O1974" s="1426"/>
      <c r="P1974" s="1426"/>
      <c r="Q1974" s="1426"/>
      <c r="R1974" s="1427"/>
      <c r="S1974" s="1428">
        <f>S1953</f>
        <v>0</v>
      </c>
      <c r="T1974" s="1423">
        <f ca="1">IF(S1998="n/a",S1974,IFERROR(IF((OFFSET($C1974,0,$A1974))&lt;0,
MIN(0,S1974-(OFFSET($C1974,0,$A1974)/(OFFSET($C1969,-$A1973,$A1974)))),
MAX(0,S1974-(OFFSET($C1974,0,$A1974)/(OFFSET($C1969,-$A1973,$A1974))))),0))</f>
        <v>0</v>
      </c>
      <c r="U1974" s="1423">
        <f t="shared" ca="1" si="2867"/>
        <v>0</v>
      </c>
      <c r="V1974" s="1423">
        <f t="shared" ca="1" si="2868"/>
        <v>0</v>
      </c>
      <c r="W1974" s="1423">
        <f t="shared" ca="1" si="2869"/>
        <v>0</v>
      </c>
      <c r="X1974" s="202"/>
      <c r="Y1974" s="202"/>
      <c r="Z1974" s="202"/>
      <c r="AA1974" s="152"/>
      <c r="AB1974" s="152"/>
    </row>
    <row r="1975" spans="1:28" hidden="1" outlineLevel="1">
      <c r="A1975" s="199">
        <f t="shared" si="2870"/>
        <v>17</v>
      </c>
      <c r="B1975" s="190" t="str">
        <f t="shared" ca="1" si="2871"/>
        <v>Depreciated Net Capex 2032-33</v>
      </c>
      <c r="C1975" s="1426"/>
      <c r="D1975" s="1426"/>
      <c r="E1975" s="1426"/>
      <c r="F1975" s="1426"/>
      <c r="G1975" s="1426"/>
      <c r="H1975" s="1426"/>
      <c r="I1975" s="1426"/>
      <c r="J1975" s="1426"/>
      <c r="K1975" s="1426"/>
      <c r="L1975" s="1426"/>
      <c r="M1975" s="1426"/>
      <c r="N1975" s="1426"/>
      <c r="O1975" s="1426"/>
      <c r="P1975" s="1426"/>
      <c r="Q1975" s="1426"/>
      <c r="R1975" s="1426"/>
      <c r="S1975" s="1427"/>
      <c r="T1975" s="1428">
        <f>T1953</f>
        <v>0</v>
      </c>
      <c r="U1975" s="1423">
        <f ca="1">IF(T1999="n/a",T1975,IFERROR(IF((OFFSET($C1975,0,$A1975))&lt;0,
MIN(0,T1975-(OFFSET($C1975,0,$A1975)/(OFFSET($C1970,-$A1974,$A1975)))),
MAX(0,T1975-(OFFSET($C1975,0,$A1975)/(OFFSET($C1970,-$A1974,$A1975))))),0))</f>
        <v>0</v>
      </c>
      <c r="V1975" s="1423">
        <f t="shared" ca="1" si="2868"/>
        <v>0</v>
      </c>
      <c r="W1975" s="1423">
        <f t="shared" ca="1" si="2869"/>
        <v>0</v>
      </c>
      <c r="X1975" s="202"/>
      <c r="Y1975" s="202"/>
      <c r="Z1975" s="202"/>
      <c r="AA1975" s="152"/>
      <c r="AB1975" s="152"/>
    </row>
    <row r="1976" spans="1:28" hidden="1" outlineLevel="1">
      <c r="A1976" s="199">
        <f t="shared" si="2870"/>
        <v>18</v>
      </c>
      <c r="B1976" s="190" t="str">
        <f t="shared" ca="1" si="2871"/>
        <v>Depreciated Net Capex 2033-34</v>
      </c>
      <c r="C1976" s="1426"/>
      <c r="D1976" s="1426"/>
      <c r="E1976" s="1426"/>
      <c r="F1976" s="1426"/>
      <c r="G1976" s="1426"/>
      <c r="H1976" s="1426"/>
      <c r="I1976" s="1426"/>
      <c r="J1976" s="1426"/>
      <c r="K1976" s="1426"/>
      <c r="L1976" s="1426"/>
      <c r="M1976" s="1426"/>
      <c r="N1976" s="1426"/>
      <c r="O1976" s="1426"/>
      <c r="P1976" s="1426"/>
      <c r="Q1976" s="1426"/>
      <c r="R1976" s="1426"/>
      <c r="S1976" s="1426"/>
      <c r="T1976" s="1427"/>
      <c r="U1976" s="1428">
        <f>U1953</f>
        <v>0</v>
      </c>
      <c r="V1976" s="1423">
        <f ca="1">IF(U2000="n/a",U1976,IFERROR(IF((OFFSET($C1976,0,$A1976))&lt;0,
MIN(0,U1976-(OFFSET($C1976,0,$A1976)/(OFFSET($C1971,-$A1975,$A1976)))),
MAX(0,U1976-(OFFSET($C1976,0,$A1976)/(OFFSET($C1971,-$A1975,$A1976))))),0))</f>
        <v>0</v>
      </c>
      <c r="W1976" s="1423">
        <f t="shared" ca="1" si="2869"/>
        <v>0</v>
      </c>
      <c r="X1976" s="202"/>
      <c r="Y1976" s="202"/>
      <c r="Z1976" s="202"/>
      <c r="AA1976" s="152"/>
      <c r="AB1976" s="152"/>
    </row>
    <row r="1977" spans="1:28" hidden="1" outlineLevel="1">
      <c r="A1977" s="199">
        <f t="shared" si="2870"/>
        <v>19</v>
      </c>
      <c r="B1977" s="190" t="str">
        <f t="shared" ca="1" si="2871"/>
        <v>Depreciated Net Capex 2034-35</v>
      </c>
      <c r="C1977" s="1426"/>
      <c r="D1977" s="1426"/>
      <c r="E1977" s="1426"/>
      <c r="F1977" s="1426"/>
      <c r="G1977" s="1426"/>
      <c r="H1977" s="1426"/>
      <c r="I1977" s="1426"/>
      <c r="J1977" s="1426"/>
      <c r="K1977" s="1426"/>
      <c r="L1977" s="1426"/>
      <c r="M1977" s="1426"/>
      <c r="N1977" s="1426"/>
      <c r="O1977" s="1426"/>
      <c r="P1977" s="1426"/>
      <c r="Q1977" s="1426"/>
      <c r="R1977" s="1426"/>
      <c r="S1977" s="1426"/>
      <c r="T1977" s="1426"/>
      <c r="U1977" s="1427"/>
      <c r="V1977" s="1428">
        <f>V1953</f>
        <v>0</v>
      </c>
      <c r="W1977" s="1423">
        <f ca="1">IF(V2001="n/a",V1977,IFERROR(IF((OFFSET($C1977,0,$A1977))&lt;0,
MIN(0,V1977-(OFFSET($C1977,0,$A1977)/(OFFSET($C1972,-$A1976,$A1977)))),
MAX(0,V1977-(OFFSET($C1977,0,$A1977)/(OFFSET($C1972,-$A1976,$A1977))))),0))</f>
        <v>0</v>
      </c>
      <c r="X1977" s="202"/>
      <c r="Y1977" s="202"/>
      <c r="Z1977" s="202"/>
      <c r="AA1977" s="152"/>
      <c r="AB1977" s="152"/>
    </row>
    <row r="1978" spans="1:28" hidden="1" outlineLevel="1">
      <c r="A1978" s="199">
        <f t="shared" si="2870"/>
        <v>20</v>
      </c>
      <c r="B1978" s="190" t="str">
        <f t="shared" ca="1" si="2871"/>
        <v>Depreciated Net Capex 2035-36</v>
      </c>
      <c r="C1978" s="1426"/>
      <c r="D1978" s="1426"/>
      <c r="E1978" s="1426"/>
      <c r="F1978" s="1426"/>
      <c r="G1978" s="1426"/>
      <c r="H1978" s="1426"/>
      <c r="I1978" s="1426"/>
      <c r="J1978" s="1426"/>
      <c r="K1978" s="1426"/>
      <c r="L1978" s="1426"/>
      <c r="M1978" s="1426"/>
      <c r="N1978" s="1426"/>
      <c r="O1978" s="1426"/>
      <c r="P1978" s="1426"/>
      <c r="Q1978" s="1426"/>
      <c r="R1978" s="1426"/>
      <c r="S1978" s="1426"/>
      <c r="T1978" s="1426"/>
      <c r="U1978" s="1426"/>
      <c r="V1978" s="1427"/>
      <c r="W1978" s="1423">
        <f>W1953</f>
        <v>0</v>
      </c>
      <c r="X1978" s="152"/>
      <c r="Y1978" s="152"/>
      <c r="Z1978" s="152"/>
      <c r="AA1978" s="152"/>
      <c r="AB1978" s="152"/>
    </row>
    <row r="1979" spans="1:28" hidden="1" outlineLevel="1">
      <c r="A1979" s="152"/>
      <c r="B1979" s="200"/>
      <c r="C1979" s="1423"/>
      <c r="D1979" s="1423"/>
      <c r="E1979" s="1423"/>
      <c r="F1979" s="1423"/>
      <c r="G1979" s="1423"/>
      <c r="H1979" s="1423"/>
      <c r="I1979" s="1423"/>
      <c r="J1979" s="1423"/>
      <c r="K1979" s="1423"/>
      <c r="L1979" s="1423"/>
      <c r="M1979" s="1423"/>
      <c r="N1979" s="1423"/>
      <c r="O1979" s="1423"/>
      <c r="P1979" s="1423"/>
      <c r="Q1979" s="1423"/>
      <c r="R1979" s="1423"/>
      <c r="S1979" s="1423"/>
      <c r="T1979" s="1423"/>
      <c r="U1979" s="1423"/>
      <c r="V1979" s="1423"/>
      <c r="W1979" s="1423"/>
      <c r="X1979" s="152"/>
      <c r="Y1979" s="152"/>
      <c r="Z1979" s="152"/>
      <c r="AA1979" s="152"/>
      <c r="AB1979" s="152"/>
    </row>
    <row r="1980" spans="1:28" hidden="1" outlineLevel="1">
      <c r="A1980" s="152"/>
      <c r="B1980" s="200"/>
      <c r="C1980" s="1423"/>
      <c r="D1980" s="1423"/>
      <c r="E1980" s="1423"/>
      <c r="F1980" s="1423"/>
      <c r="G1980" s="1423"/>
      <c r="H1980" s="1423"/>
      <c r="I1980" s="1423"/>
      <c r="J1980" s="1423"/>
      <c r="K1980" s="1423"/>
      <c r="L1980" s="1423"/>
      <c r="M1980" s="1423"/>
      <c r="N1980" s="1423"/>
      <c r="O1980" s="1423"/>
      <c r="P1980" s="1423"/>
      <c r="Q1980" s="1423"/>
      <c r="R1980" s="1423"/>
      <c r="S1980" s="1423"/>
      <c r="T1980" s="1423"/>
      <c r="U1980" s="1423"/>
      <c r="V1980" s="1423"/>
      <c r="W1980" s="1423"/>
      <c r="X1980" s="152"/>
      <c r="Y1980" s="152"/>
      <c r="Z1980" s="152"/>
      <c r="AA1980" s="152"/>
      <c r="AB1980" s="152"/>
    </row>
    <row r="1981" spans="1:28" hidden="1" outlineLevel="1">
      <c r="A1981" s="152"/>
      <c r="B1981" s="190" t="s">
        <v>194</v>
      </c>
      <c r="C1981" s="1423"/>
      <c r="D1981" s="1423">
        <f t="shared" ref="D1981" ca="1" si="2872">IF(AND(C1981&lt;1,D1955=0),0,
IF(D1955=0,C1981-1,
IF(C1981&lt;1,D1956,
(((C1981-1)*(C1957-(C1957/(C1981))))+(D1955*D1956))/(D1957))))</f>
        <v>0</v>
      </c>
      <c r="E1981" s="1423">
        <f t="shared" ref="E1981" ca="1" si="2873">IF(AND(D1981&lt;1,E1955=0),0,
IF(E1955=0,D1981-1,
IF(D1981&lt;1,E1956,
(((D1981-1)*(D1957-(D1957/(D1981))))+(E1955*E1956))/(E1957))))</f>
        <v>0</v>
      </c>
      <c r="F1981" s="1423">
        <f t="shared" ref="F1981" ca="1" si="2874">IF(AND(E1981&lt;1,F1955=0),0,
IF(F1955=0,E1981-1,
IF(E1981&lt;1,F1956,
(((E1981-1)*(E1957-(E1957/(E1981))))+(F1955*F1956))/(F1957))))</f>
        <v>0</v>
      </c>
      <c r="G1981" s="1423">
        <f t="shared" ref="G1981" ca="1" si="2875">IF(AND(F1981&lt;1,G1955=0),0,
IF(G1955=0,F1981-1,
IF(F1981&lt;1,G1956,
(((F1981-1)*(F1957-(F1957/(F1981))))+(G1955*G1956))/(G1957))))</f>
        <v>0</v>
      </c>
      <c r="H1981" s="1423">
        <f ca="1">IF(AND(G1981&lt;1,H1955=0),0,
IF(H1955=0,G1981-1,
IF(G1981&lt;1,H1956,
(((G1981-1)*(G1957-(G1957/(G1981))))+(H1955*H1956))/(H1957))))</f>
        <v>0</v>
      </c>
      <c r="I1981" s="1423">
        <f t="shared" ref="I1981" ca="1" si="2876">IF(AND(H1981&lt;1,I1955=0),0,
IF(I1955=0,H1981-1,
IF(H1981&lt;1,I1956,
(((H1981-1)*(H1957-(H1957/(H1981))))+(I1955*I1956))/(I1957))))</f>
        <v>0</v>
      </c>
      <c r="J1981" s="1423">
        <f t="shared" ref="J1981" ca="1" si="2877">IF(AND(I1981&lt;1,J1955=0),0,
IF(J1955=0,I1981-1,
IF(I1981&lt;1,J1956,
(((I1981-1)*(I1957-(I1957/(I1981))))+(J1955*J1956))/(J1957))))</f>
        <v>0</v>
      </c>
      <c r="K1981" s="1423">
        <f t="shared" ref="K1981" ca="1" si="2878">IF(AND(J1981&lt;1,K1955=0),0,
IF(K1955=0,J1981-1,
IF(J1981&lt;1,K1956,
(((J1981-1)*(J1957-(J1957/(J1981))))+(K1955*K1956))/(K1957))))</f>
        <v>0</v>
      </c>
      <c r="L1981" s="1423">
        <f t="shared" ref="L1981" ca="1" si="2879">IF(AND(K1981&lt;1,L1955=0),0,
IF(L1955=0,K1981-1,
IF(K1981&lt;1,L1956,
(((K1981-1)*(K1957-(K1957/(K1981))))+(L1955*L1956))/(L1957))))</f>
        <v>0</v>
      </c>
      <c r="M1981" s="1423">
        <f ca="1">IF(AND(L1981&lt;1,M1955=0),0,
IF(M1955=0,L1981-1,
IF(L1981&lt;1,M1956,
(((L1981-1)*(L1957-(L1957/(L1981))))+(M1955*M1956))/(M1957))))</f>
        <v>0</v>
      </c>
      <c r="N1981" s="1423">
        <f t="shared" ref="N1981" ca="1" si="2880">IF(AND(M1981&lt;1,N1955=0),0,
IF(N1955=0,M1981-1,
IF(M1981&lt;1,N1956,
(((M1981-1)*(M1957-(M1957/(M1981))))+(N1955*N1956))/(N1957))))</f>
        <v>0</v>
      </c>
      <c r="O1981" s="1423">
        <f t="shared" ref="O1981" ca="1" si="2881">IF(AND(N1981&lt;1,O1955=0),0,
IF(O1955=0,N1981-1,
IF(N1981&lt;1,O1956,
(((N1981-1)*(N1957-(N1957/(N1981))))+(O1955*O1956))/(O1957))))</f>
        <v>0</v>
      </c>
      <c r="P1981" s="1423">
        <f t="shared" ref="P1981" ca="1" si="2882">IF(AND(O1981&lt;1,P1955=0),0,
IF(P1955=0,O1981-1,
IF(O1981&lt;1,P1956,
(((O1981-1)*(O1957-(O1957/(O1981))))+(P1955*P1956))/(P1957))))</f>
        <v>0</v>
      </c>
      <c r="Q1981" s="1423">
        <f t="shared" ref="Q1981" ca="1" si="2883">IF(AND(P1981&lt;1,Q1955=0),0,
IF(Q1955=0,P1981-1,
IF(P1981&lt;1,Q1956,
(((P1981-1)*(P1957-(P1957/(P1981))))+(Q1955*Q1956))/(Q1957))))</f>
        <v>0</v>
      </c>
      <c r="R1981" s="1423">
        <f t="shared" ref="R1981" ca="1" si="2884">IF(AND(Q1981&lt;1,R1955=0),0,
IF(R1955=0,Q1981-1,
IF(Q1981&lt;1,R1956,
(((Q1981-1)*(Q1957-(Q1957/(Q1981))))+(R1955*R1956))/(R1957))))</f>
        <v>0</v>
      </c>
      <c r="S1981" s="1423">
        <f t="shared" ref="S1981" ca="1" si="2885">IF(AND(R1981&lt;1,S1955=0),0,
IF(S1955=0,R1981-1,
IF(R1981&lt;1,S1956,
(((R1981-1)*(R1957-(R1957/(R1981))))+(S1955*S1956))/(S1957))))</f>
        <v>0</v>
      </c>
      <c r="T1981" s="1423">
        <f t="shared" ref="T1981" ca="1" si="2886">IF(AND(S1981&lt;1,T1955=0),0,
IF(T1955=0,S1981-1,
IF(S1981&lt;1,T1956,
(((S1981-1)*(S1957-(S1957/(S1981))))+(T1955*T1956))/(T1957))))</f>
        <v>0</v>
      </c>
      <c r="U1981" s="1423">
        <f t="shared" ref="U1981" ca="1" si="2887">IF(AND(T1981&lt;1,U1955=0),0,
IF(U1955=0,T1981-1,
IF(T1981&lt;1,U1956,
(((T1981-1)*(T1957-(T1957/(T1981))))+(U1955*U1956))/(U1957))))</f>
        <v>0</v>
      </c>
      <c r="V1981" s="1423">
        <f t="shared" ref="V1981" ca="1" si="2888">IF(AND(U1981&lt;1,V1955=0),0,
IF(V1955=0,U1981-1,
IF(U1981&lt;1,V1956,
(((U1981-1)*(U1957-(U1957/(U1981))))+(V1955*V1956))/(V1957))))</f>
        <v>0</v>
      </c>
      <c r="W1981" s="1423">
        <f t="shared" ref="W1981" ca="1" si="2889">IF(AND(V1981&lt;1,W1955=0),0,
IF(W1955=0,V1981-1,
IF(V1981&lt;1,W1956,
(((V1981-1)*(V1957-(V1957/(V1981))))+(W1955*W1956))/(W1957))))</f>
        <v>0</v>
      </c>
      <c r="X1981" s="152"/>
      <c r="Y1981" s="152"/>
      <c r="Z1981" s="152"/>
      <c r="AA1981" s="152"/>
      <c r="AB1981" s="152"/>
    </row>
    <row r="1982" spans="1:28" hidden="1" outlineLevel="1">
      <c r="A1982" s="152"/>
      <c r="B1982" s="190" t="s">
        <v>193</v>
      </c>
      <c r="C1982" s="1423">
        <f ca="1">C1954</f>
        <v>0</v>
      </c>
      <c r="D1982" s="1423">
        <f t="shared" ref="D1982" ca="1" si="2890">IF(C1982="n/a","n/a",MAX(0,C1982-1))</f>
        <v>0</v>
      </c>
      <c r="E1982" s="1423">
        <f t="shared" ref="E1982:E1983" ca="1" si="2891">IF(D1982="n/a","n/a",MAX(0,D1982-1))</f>
        <v>0</v>
      </c>
      <c r="F1982" s="1423">
        <f t="shared" ref="F1982:F1984" ca="1" si="2892">IF(E1982="n/a","n/a",MAX(0,E1982-1))</f>
        <v>0</v>
      </c>
      <c r="G1982" s="1423">
        <f t="shared" ref="G1982:G1985" ca="1" si="2893">IF(F1982="n/a","n/a",MAX(0,F1982-1))</f>
        <v>0</v>
      </c>
      <c r="H1982" s="1423">
        <f t="shared" ref="H1982:H1986" ca="1" si="2894">IF(G1982="n/a","n/a",MAX(0,G1982-1))</f>
        <v>0</v>
      </c>
      <c r="I1982" s="1423">
        <f t="shared" ref="I1982:I1987" ca="1" si="2895">IF(H1982="n/a","n/a",MAX(0,H1982-1))</f>
        <v>0</v>
      </c>
      <c r="J1982" s="1423">
        <f t="shared" ref="J1982:J1988" ca="1" si="2896">IF(I1982="n/a","n/a",MAX(0,I1982-1))</f>
        <v>0</v>
      </c>
      <c r="K1982" s="1423">
        <f t="shared" ref="K1982:K1989" ca="1" si="2897">IF(J1982="n/a","n/a",MAX(0,J1982-1))</f>
        <v>0</v>
      </c>
      <c r="L1982" s="1423">
        <f t="shared" ref="L1982:L1990" ca="1" si="2898">IF(K1982="n/a","n/a",MAX(0,K1982-1))</f>
        <v>0</v>
      </c>
      <c r="M1982" s="1423">
        <f t="shared" ref="M1982:M1991" ca="1" si="2899">IF(L1982="n/a","n/a",MAX(0,L1982-1))</f>
        <v>0</v>
      </c>
      <c r="N1982" s="1423">
        <f t="shared" ref="N1982:N1992" ca="1" si="2900">IF(M1982="n/a","n/a",MAX(0,M1982-1))</f>
        <v>0</v>
      </c>
      <c r="O1982" s="1423">
        <f t="shared" ref="O1982:O1993" ca="1" si="2901">IF(N1982="n/a","n/a",MAX(0,N1982-1))</f>
        <v>0</v>
      </c>
      <c r="P1982" s="1423">
        <f t="shared" ref="P1982:P1994" ca="1" si="2902">IF(O1982="n/a","n/a",MAX(0,O1982-1))</f>
        <v>0</v>
      </c>
      <c r="Q1982" s="1423">
        <f t="shared" ref="Q1982:Q1995" ca="1" si="2903">IF(P1982="n/a","n/a",MAX(0,P1982-1))</f>
        <v>0</v>
      </c>
      <c r="R1982" s="1423">
        <f t="shared" ref="R1982:R1996" ca="1" si="2904">IF(Q1982="n/a","n/a",MAX(0,Q1982-1))</f>
        <v>0</v>
      </c>
      <c r="S1982" s="1423">
        <f t="shared" ref="S1982:S1997" ca="1" si="2905">IF(R1982="n/a","n/a",MAX(0,R1982-1))</f>
        <v>0</v>
      </c>
      <c r="T1982" s="1423">
        <f t="shared" ref="T1982:T1998" ca="1" si="2906">IF(S1982="n/a","n/a",MAX(0,S1982-1))</f>
        <v>0</v>
      </c>
      <c r="U1982" s="1423">
        <f t="shared" ref="U1982:U1999" ca="1" si="2907">IF(T1982="n/a","n/a",MAX(0,T1982-1))</f>
        <v>0</v>
      </c>
      <c r="V1982" s="1423">
        <f t="shared" ref="V1982:V2000" ca="1" si="2908">IF(U1982="n/a","n/a",MAX(0,U1982-1))</f>
        <v>0</v>
      </c>
      <c r="W1982" s="1423">
        <f t="shared" ref="W1982:W2000" ca="1" si="2909">IF(V1982="n/a","n/a",MAX(0,V1982-1))</f>
        <v>0</v>
      </c>
      <c r="X1982" s="152"/>
      <c r="Y1982" s="152"/>
      <c r="Z1982" s="152"/>
      <c r="AA1982" s="152"/>
      <c r="AB1982" s="152"/>
    </row>
    <row r="1983" spans="1:28" hidden="1" outlineLevel="1">
      <c r="A1983" s="152"/>
      <c r="B1983" s="190" t="str">
        <f t="shared" ref="B1983:B2002" ca="1" si="2910">"RL Capex "&amp;OFFSET($C$6,0,A1959)</f>
        <v>RL Capex 2016-17</v>
      </c>
      <c r="C1983" s="1424"/>
      <c r="D1983" s="1428">
        <f>D1954</f>
        <v>0</v>
      </c>
      <c r="E1983" s="1423">
        <f t="shared" si="2891"/>
        <v>0</v>
      </c>
      <c r="F1983" s="1423">
        <f t="shared" si="2892"/>
        <v>0</v>
      </c>
      <c r="G1983" s="1423">
        <f t="shared" si="2893"/>
        <v>0</v>
      </c>
      <c r="H1983" s="1423">
        <f t="shared" si="2894"/>
        <v>0</v>
      </c>
      <c r="I1983" s="1423">
        <f t="shared" si="2895"/>
        <v>0</v>
      </c>
      <c r="J1983" s="1423">
        <f t="shared" si="2896"/>
        <v>0</v>
      </c>
      <c r="K1983" s="1423">
        <f t="shared" si="2897"/>
        <v>0</v>
      </c>
      <c r="L1983" s="1423">
        <f t="shared" si="2898"/>
        <v>0</v>
      </c>
      <c r="M1983" s="1423">
        <f t="shared" si="2899"/>
        <v>0</v>
      </c>
      <c r="N1983" s="1423">
        <f t="shared" si="2900"/>
        <v>0</v>
      </c>
      <c r="O1983" s="1423">
        <f t="shared" si="2901"/>
        <v>0</v>
      </c>
      <c r="P1983" s="1423">
        <f t="shared" si="2902"/>
        <v>0</v>
      </c>
      <c r="Q1983" s="1423">
        <f t="shared" si="2903"/>
        <v>0</v>
      </c>
      <c r="R1983" s="1423">
        <f t="shared" si="2904"/>
        <v>0</v>
      </c>
      <c r="S1983" s="1423">
        <f t="shared" si="2905"/>
        <v>0</v>
      </c>
      <c r="T1983" s="1423">
        <f t="shared" si="2906"/>
        <v>0</v>
      </c>
      <c r="U1983" s="1423">
        <f t="shared" si="2907"/>
        <v>0</v>
      </c>
      <c r="V1983" s="1423">
        <f t="shared" si="2908"/>
        <v>0</v>
      </c>
      <c r="W1983" s="1423">
        <f t="shared" si="2909"/>
        <v>0</v>
      </c>
      <c r="X1983" s="152"/>
      <c r="Y1983" s="152"/>
      <c r="Z1983" s="152"/>
      <c r="AA1983" s="152"/>
      <c r="AB1983" s="152"/>
    </row>
    <row r="1984" spans="1:28" hidden="1" outlineLevel="1">
      <c r="A1984" s="152"/>
      <c r="B1984" s="190" t="str">
        <f t="shared" ca="1" si="2910"/>
        <v>RL Capex 2017-18</v>
      </c>
      <c r="C1984" s="1429"/>
      <c r="D1984" s="1424"/>
      <c r="E1984" s="1428">
        <f>E1954</f>
        <v>0</v>
      </c>
      <c r="F1984" s="1423">
        <f t="shared" si="2892"/>
        <v>0</v>
      </c>
      <c r="G1984" s="1423">
        <f t="shared" si="2893"/>
        <v>0</v>
      </c>
      <c r="H1984" s="1423">
        <f t="shared" si="2894"/>
        <v>0</v>
      </c>
      <c r="I1984" s="1423">
        <f t="shared" si="2895"/>
        <v>0</v>
      </c>
      <c r="J1984" s="1423">
        <f t="shared" si="2896"/>
        <v>0</v>
      </c>
      <c r="K1984" s="1423">
        <f t="shared" si="2897"/>
        <v>0</v>
      </c>
      <c r="L1984" s="1423">
        <f t="shared" si="2898"/>
        <v>0</v>
      </c>
      <c r="M1984" s="1423">
        <f t="shared" si="2899"/>
        <v>0</v>
      </c>
      <c r="N1984" s="1423">
        <f t="shared" si="2900"/>
        <v>0</v>
      </c>
      <c r="O1984" s="1423">
        <f t="shared" si="2901"/>
        <v>0</v>
      </c>
      <c r="P1984" s="1423">
        <f t="shared" si="2902"/>
        <v>0</v>
      </c>
      <c r="Q1984" s="1423">
        <f t="shared" si="2903"/>
        <v>0</v>
      </c>
      <c r="R1984" s="1423">
        <f t="shared" si="2904"/>
        <v>0</v>
      </c>
      <c r="S1984" s="1423">
        <f t="shared" si="2905"/>
        <v>0</v>
      </c>
      <c r="T1984" s="1423">
        <f t="shared" si="2906"/>
        <v>0</v>
      </c>
      <c r="U1984" s="1423">
        <f t="shared" si="2907"/>
        <v>0</v>
      </c>
      <c r="V1984" s="1423">
        <f t="shared" si="2908"/>
        <v>0</v>
      </c>
      <c r="W1984" s="1423">
        <f t="shared" si="2909"/>
        <v>0</v>
      </c>
      <c r="X1984" s="152"/>
      <c r="Y1984" s="152"/>
      <c r="Z1984" s="152"/>
      <c r="AA1984" s="152"/>
      <c r="AB1984" s="152"/>
    </row>
    <row r="1985" spans="1:28" hidden="1" outlineLevel="1">
      <c r="A1985" s="152"/>
      <c r="B1985" s="190" t="str">
        <f t="shared" ca="1" si="2910"/>
        <v>RL Capex 2018-19</v>
      </c>
      <c r="C1985" s="1429"/>
      <c r="D1985" s="1429"/>
      <c r="E1985" s="1424"/>
      <c r="F1985" s="1428">
        <f>F1954</f>
        <v>0</v>
      </c>
      <c r="G1985" s="1423">
        <f t="shared" si="2893"/>
        <v>0</v>
      </c>
      <c r="H1985" s="1423">
        <f t="shared" si="2894"/>
        <v>0</v>
      </c>
      <c r="I1985" s="1423">
        <f t="shared" si="2895"/>
        <v>0</v>
      </c>
      <c r="J1985" s="1423">
        <f t="shared" si="2896"/>
        <v>0</v>
      </c>
      <c r="K1985" s="1423">
        <f t="shared" si="2897"/>
        <v>0</v>
      </c>
      <c r="L1985" s="1423">
        <f t="shared" si="2898"/>
        <v>0</v>
      </c>
      <c r="M1985" s="1423">
        <f t="shared" si="2899"/>
        <v>0</v>
      </c>
      <c r="N1985" s="1423">
        <f t="shared" si="2900"/>
        <v>0</v>
      </c>
      <c r="O1985" s="1423">
        <f t="shared" si="2901"/>
        <v>0</v>
      </c>
      <c r="P1985" s="1423">
        <f t="shared" si="2902"/>
        <v>0</v>
      </c>
      <c r="Q1985" s="1423">
        <f t="shared" si="2903"/>
        <v>0</v>
      </c>
      <c r="R1985" s="1423">
        <f t="shared" si="2904"/>
        <v>0</v>
      </c>
      <c r="S1985" s="1423">
        <f t="shared" si="2905"/>
        <v>0</v>
      </c>
      <c r="T1985" s="1423">
        <f t="shared" si="2906"/>
        <v>0</v>
      </c>
      <c r="U1985" s="1423">
        <f t="shared" si="2907"/>
        <v>0</v>
      </c>
      <c r="V1985" s="1423">
        <f t="shared" si="2908"/>
        <v>0</v>
      </c>
      <c r="W1985" s="1423">
        <f t="shared" si="2909"/>
        <v>0</v>
      </c>
      <c r="X1985" s="152"/>
      <c r="Y1985" s="152"/>
      <c r="Z1985" s="152"/>
      <c r="AA1985" s="152"/>
      <c r="AB1985" s="152"/>
    </row>
    <row r="1986" spans="1:28" hidden="1" outlineLevel="1">
      <c r="A1986" s="152"/>
      <c r="B1986" s="190" t="str">
        <f t="shared" ca="1" si="2910"/>
        <v>RL Capex 2019-20</v>
      </c>
      <c r="C1986" s="1429"/>
      <c r="D1986" s="1429"/>
      <c r="E1986" s="1429"/>
      <c r="F1986" s="1424"/>
      <c r="G1986" s="1428">
        <f>G1954</f>
        <v>0</v>
      </c>
      <c r="H1986" s="1423">
        <f t="shared" si="2894"/>
        <v>0</v>
      </c>
      <c r="I1986" s="1423">
        <f t="shared" si="2895"/>
        <v>0</v>
      </c>
      <c r="J1986" s="1423">
        <f t="shared" si="2896"/>
        <v>0</v>
      </c>
      <c r="K1986" s="1423">
        <f t="shared" si="2897"/>
        <v>0</v>
      </c>
      <c r="L1986" s="1423">
        <f t="shared" si="2898"/>
        <v>0</v>
      </c>
      <c r="M1986" s="1423">
        <f t="shared" si="2899"/>
        <v>0</v>
      </c>
      <c r="N1986" s="1423">
        <f t="shared" si="2900"/>
        <v>0</v>
      </c>
      <c r="O1986" s="1423">
        <f t="shared" si="2901"/>
        <v>0</v>
      </c>
      <c r="P1986" s="1423">
        <f t="shared" si="2902"/>
        <v>0</v>
      </c>
      <c r="Q1986" s="1423">
        <f t="shared" si="2903"/>
        <v>0</v>
      </c>
      <c r="R1986" s="1423">
        <f t="shared" si="2904"/>
        <v>0</v>
      </c>
      <c r="S1986" s="1423">
        <f t="shared" si="2905"/>
        <v>0</v>
      </c>
      <c r="T1986" s="1423">
        <f t="shared" si="2906"/>
        <v>0</v>
      </c>
      <c r="U1986" s="1423">
        <f t="shared" si="2907"/>
        <v>0</v>
      </c>
      <c r="V1986" s="1423">
        <f t="shared" si="2908"/>
        <v>0</v>
      </c>
      <c r="W1986" s="1423">
        <f t="shared" si="2909"/>
        <v>0</v>
      </c>
      <c r="X1986" s="152"/>
      <c r="Y1986" s="152"/>
      <c r="Z1986" s="152"/>
      <c r="AA1986" s="152"/>
      <c r="AB1986" s="152"/>
    </row>
    <row r="1987" spans="1:28" hidden="1" outlineLevel="1">
      <c r="A1987" s="152"/>
      <c r="B1987" s="190" t="str">
        <f t="shared" ca="1" si="2910"/>
        <v>RL Capex 2020-21</v>
      </c>
      <c r="C1987" s="1429"/>
      <c r="D1987" s="1429"/>
      <c r="E1987" s="1429"/>
      <c r="F1987" s="1429"/>
      <c r="G1987" s="1424"/>
      <c r="H1987" s="1428">
        <f>H1954</f>
        <v>0</v>
      </c>
      <c r="I1987" s="1423">
        <f t="shared" si="2895"/>
        <v>0</v>
      </c>
      <c r="J1987" s="1423">
        <f t="shared" si="2896"/>
        <v>0</v>
      </c>
      <c r="K1987" s="1423">
        <f t="shared" si="2897"/>
        <v>0</v>
      </c>
      <c r="L1987" s="1423">
        <f t="shared" si="2898"/>
        <v>0</v>
      </c>
      <c r="M1987" s="1423">
        <f t="shared" si="2899"/>
        <v>0</v>
      </c>
      <c r="N1987" s="1423">
        <f t="shared" si="2900"/>
        <v>0</v>
      </c>
      <c r="O1987" s="1423">
        <f t="shared" si="2901"/>
        <v>0</v>
      </c>
      <c r="P1987" s="1423">
        <f t="shared" si="2902"/>
        <v>0</v>
      </c>
      <c r="Q1987" s="1423">
        <f t="shared" si="2903"/>
        <v>0</v>
      </c>
      <c r="R1987" s="1423">
        <f t="shared" si="2904"/>
        <v>0</v>
      </c>
      <c r="S1987" s="1423">
        <f t="shared" si="2905"/>
        <v>0</v>
      </c>
      <c r="T1987" s="1423">
        <f t="shared" si="2906"/>
        <v>0</v>
      </c>
      <c r="U1987" s="1423">
        <f t="shared" si="2907"/>
        <v>0</v>
      </c>
      <c r="V1987" s="1423">
        <f t="shared" si="2908"/>
        <v>0</v>
      </c>
      <c r="W1987" s="1423">
        <f t="shared" si="2909"/>
        <v>0</v>
      </c>
      <c r="X1987" s="152"/>
      <c r="Y1987" s="152"/>
      <c r="Z1987" s="152"/>
      <c r="AA1987" s="152"/>
      <c r="AB1987" s="152"/>
    </row>
    <row r="1988" spans="1:28" hidden="1" outlineLevel="1">
      <c r="A1988" s="152"/>
      <c r="B1988" s="190" t="str">
        <f t="shared" ca="1" si="2910"/>
        <v>RL Capex 2021-22</v>
      </c>
      <c r="C1988" s="1429"/>
      <c r="D1988" s="1429"/>
      <c r="E1988" s="1429"/>
      <c r="F1988" s="1429"/>
      <c r="G1988" s="1429"/>
      <c r="H1988" s="1424"/>
      <c r="I1988" s="1428">
        <f>I1954</f>
        <v>0</v>
      </c>
      <c r="J1988" s="1423">
        <f t="shared" si="2896"/>
        <v>0</v>
      </c>
      <c r="K1988" s="1423">
        <f t="shared" si="2897"/>
        <v>0</v>
      </c>
      <c r="L1988" s="1423">
        <f t="shared" si="2898"/>
        <v>0</v>
      </c>
      <c r="M1988" s="1423">
        <f t="shared" si="2899"/>
        <v>0</v>
      </c>
      <c r="N1988" s="1423">
        <f t="shared" si="2900"/>
        <v>0</v>
      </c>
      <c r="O1988" s="1423">
        <f t="shared" si="2901"/>
        <v>0</v>
      </c>
      <c r="P1988" s="1423">
        <f t="shared" si="2902"/>
        <v>0</v>
      </c>
      <c r="Q1988" s="1423">
        <f t="shared" si="2903"/>
        <v>0</v>
      </c>
      <c r="R1988" s="1423">
        <f t="shared" si="2904"/>
        <v>0</v>
      </c>
      <c r="S1988" s="1423">
        <f t="shared" si="2905"/>
        <v>0</v>
      </c>
      <c r="T1988" s="1423">
        <f t="shared" si="2906"/>
        <v>0</v>
      </c>
      <c r="U1988" s="1423">
        <f t="shared" si="2907"/>
        <v>0</v>
      </c>
      <c r="V1988" s="1423">
        <f t="shared" si="2908"/>
        <v>0</v>
      </c>
      <c r="W1988" s="1423">
        <f t="shared" si="2909"/>
        <v>0</v>
      </c>
      <c r="X1988" s="152"/>
      <c r="Y1988" s="152"/>
      <c r="Z1988" s="152"/>
      <c r="AA1988" s="152"/>
      <c r="AB1988" s="152"/>
    </row>
    <row r="1989" spans="1:28" hidden="1" outlineLevel="1">
      <c r="A1989" s="152"/>
      <c r="B1989" s="190" t="str">
        <f t="shared" ca="1" si="2910"/>
        <v>RL Capex 2022-23</v>
      </c>
      <c r="C1989" s="1429"/>
      <c r="D1989" s="1429"/>
      <c r="E1989" s="1429"/>
      <c r="F1989" s="1429"/>
      <c r="G1989" s="1429"/>
      <c r="H1989" s="1429"/>
      <c r="I1989" s="1424"/>
      <c r="J1989" s="1428">
        <f>J1954</f>
        <v>0</v>
      </c>
      <c r="K1989" s="1423">
        <f t="shared" si="2897"/>
        <v>0</v>
      </c>
      <c r="L1989" s="1423">
        <f t="shared" si="2898"/>
        <v>0</v>
      </c>
      <c r="M1989" s="1423">
        <f t="shared" si="2899"/>
        <v>0</v>
      </c>
      <c r="N1989" s="1423">
        <f t="shared" si="2900"/>
        <v>0</v>
      </c>
      <c r="O1989" s="1423">
        <f t="shared" si="2901"/>
        <v>0</v>
      </c>
      <c r="P1989" s="1423">
        <f t="shared" si="2902"/>
        <v>0</v>
      </c>
      <c r="Q1989" s="1423">
        <f t="shared" si="2903"/>
        <v>0</v>
      </c>
      <c r="R1989" s="1423">
        <f t="shared" si="2904"/>
        <v>0</v>
      </c>
      <c r="S1989" s="1423">
        <f t="shared" si="2905"/>
        <v>0</v>
      </c>
      <c r="T1989" s="1423">
        <f t="shared" si="2906"/>
        <v>0</v>
      </c>
      <c r="U1989" s="1423">
        <f t="shared" si="2907"/>
        <v>0</v>
      </c>
      <c r="V1989" s="1423">
        <f t="shared" si="2908"/>
        <v>0</v>
      </c>
      <c r="W1989" s="1423">
        <f t="shared" si="2909"/>
        <v>0</v>
      </c>
      <c r="X1989" s="152"/>
      <c r="Y1989" s="152"/>
      <c r="Z1989" s="152"/>
      <c r="AA1989" s="152"/>
      <c r="AB1989" s="152"/>
    </row>
    <row r="1990" spans="1:28" hidden="1" outlineLevel="1">
      <c r="A1990" s="152"/>
      <c r="B1990" s="190" t="str">
        <f t="shared" ca="1" si="2910"/>
        <v>RL Capex 2023-24</v>
      </c>
      <c r="C1990" s="1429"/>
      <c r="D1990" s="1429"/>
      <c r="E1990" s="1429"/>
      <c r="F1990" s="1429"/>
      <c r="G1990" s="1429"/>
      <c r="H1990" s="1429"/>
      <c r="I1990" s="1429"/>
      <c r="J1990" s="1424"/>
      <c r="K1990" s="1428">
        <f>K1954</f>
        <v>0</v>
      </c>
      <c r="L1990" s="1423">
        <f t="shared" si="2898"/>
        <v>0</v>
      </c>
      <c r="M1990" s="1423">
        <f t="shared" si="2899"/>
        <v>0</v>
      </c>
      <c r="N1990" s="1423">
        <f t="shared" si="2900"/>
        <v>0</v>
      </c>
      <c r="O1990" s="1423">
        <f t="shared" si="2901"/>
        <v>0</v>
      </c>
      <c r="P1990" s="1423">
        <f t="shared" si="2902"/>
        <v>0</v>
      </c>
      <c r="Q1990" s="1423">
        <f t="shared" si="2903"/>
        <v>0</v>
      </c>
      <c r="R1990" s="1423">
        <f t="shared" si="2904"/>
        <v>0</v>
      </c>
      <c r="S1990" s="1423">
        <f t="shared" si="2905"/>
        <v>0</v>
      </c>
      <c r="T1990" s="1423">
        <f t="shared" si="2906"/>
        <v>0</v>
      </c>
      <c r="U1990" s="1423">
        <f t="shared" si="2907"/>
        <v>0</v>
      </c>
      <c r="V1990" s="1423">
        <f t="shared" si="2908"/>
        <v>0</v>
      </c>
      <c r="W1990" s="1423">
        <f t="shared" si="2909"/>
        <v>0</v>
      </c>
      <c r="X1990" s="152"/>
      <c r="Y1990" s="152"/>
      <c r="Z1990" s="152"/>
      <c r="AA1990" s="152"/>
      <c r="AB1990" s="152"/>
    </row>
    <row r="1991" spans="1:28" hidden="1" outlineLevel="1">
      <c r="A1991" s="152"/>
      <c r="B1991" s="190" t="str">
        <f t="shared" ca="1" si="2910"/>
        <v>RL Capex 2024-25</v>
      </c>
      <c r="C1991" s="1429"/>
      <c r="D1991" s="1429"/>
      <c r="E1991" s="1429"/>
      <c r="F1991" s="1429"/>
      <c r="G1991" s="1429"/>
      <c r="H1991" s="1429"/>
      <c r="I1991" s="1429"/>
      <c r="J1991" s="1429"/>
      <c r="K1991" s="1424"/>
      <c r="L1991" s="1428">
        <f>L1954</f>
        <v>0</v>
      </c>
      <c r="M1991" s="1423">
        <f t="shared" si="2899"/>
        <v>0</v>
      </c>
      <c r="N1991" s="1423">
        <f t="shared" si="2900"/>
        <v>0</v>
      </c>
      <c r="O1991" s="1423">
        <f t="shared" si="2901"/>
        <v>0</v>
      </c>
      <c r="P1991" s="1423">
        <f t="shared" si="2902"/>
        <v>0</v>
      </c>
      <c r="Q1991" s="1423">
        <f t="shared" si="2903"/>
        <v>0</v>
      </c>
      <c r="R1991" s="1423">
        <f t="shared" si="2904"/>
        <v>0</v>
      </c>
      <c r="S1991" s="1423">
        <f t="shared" si="2905"/>
        <v>0</v>
      </c>
      <c r="T1991" s="1423">
        <f t="shared" si="2906"/>
        <v>0</v>
      </c>
      <c r="U1991" s="1423">
        <f t="shared" si="2907"/>
        <v>0</v>
      </c>
      <c r="V1991" s="1423">
        <f t="shared" si="2908"/>
        <v>0</v>
      </c>
      <c r="W1991" s="1423">
        <f t="shared" si="2909"/>
        <v>0</v>
      </c>
      <c r="X1991" s="152"/>
      <c r="Y1991" s="152"/>
      <c r="Z1991" s="152"/>
      <c r="AA1991" s="152"/>
      <c r="AB1991" s="152"/>
    </row>
    <row r="1992" spans="1:28" hidden="1" outlineLevel="1">
      <c r="A1992" s="152"/>
      <c r="B1992" s="190" t="str">
        <f t="shared" ca="1" si="2910"/>
        <v>RL Capex 2025-26</v>
      </c>
      <c r="C1992" s="1429"/>
      <c r="D1992" s="1429"/>
      <c r="E1992" s="1429"/>
      <c r="F1992" s="1429"/>
      <c r="G1992" s="1429"/>
      <c r="H1992" s="1429"/>
      <c r="I1992" s="1429"/>
      <c r="J1992" s="1429"/>
      <c r="K1992" s="1429"/>
      <c r="L1992" s="1424"/>
      <c r="M1992" s="1428">
        <f>M1954</f>
        <v>0</v>
      </c>
      <c r="N1992" s="1423">
        <f t="shared" si="2900"/>
        <v>0</v>
      </c>
      <c r="O1992" s="1423">
        <f t="shared" si="2901"/>
        <v>0</v>
      </c>
      <c r="P1992" s="1423">
        <f t="shared" si="2902"/>
        <v>0</v>
      </c>
      <c r="Q1992" s="1423">
        <f t="shared" si="2903"/>
        <v>0</v>
      </c>
      <c r="R1992" s="1423">
        <f t="shared" si="2904"/>
        <v>0</v>
      </c>
      <c r="S1992" s="1423">
        <f t="shared" si="2905"/>
        <v>0</v>
      </c>
      <c r="T1992" s="1423">
        <f t="shared" si="2906"/>
        <v>0</v>
      </c>
      <c r="U1992" s="1423">
        <f t="shared" si="2907"/>
        <v>0</v>
      </c>
      <c r="V1992" s="1423">
        <f t="shared" si="2908"/>
        <v>0</v>
      </c>
      <c r="W1992" s="1423">
        <f t="shared" si="2909"/>
        <v>0</v>
      </c>
      <c r="X1992" s="152"/>
      <c r="Y1992" s="152"/>
      <c r="Z1992" s="152"/>
      <c r="AA1992" s="152"/>
      <c r="AB1992" s="152"/>
    </row>
    <row r="1993" spans="1:28" hidden="1" outlineLevel="1">
      <c r="A1993" s="152"/>
      <c r="B1993" s="190" t="str">
        <f t="shared" ca="1" si="2910"/>
        <v>RL Capex 2026-27</v>
      </c>
      <c r="C1993" s="1429"/>
      <c r="D1993" s="1429"/>
      <c r="E1993" s="1429"/>
      <c r="F1993" s="1429"/>
      <c r="G1993" s="1429"/>
      <c r="H1993" s="1429"/>
      <c r="I1993" s="1429"/>
      <c r="J1993" s="1429"/>
      <c r="K1993" s="1429"/>
      <c r="L1993" s="1429"/>
      <c r="M1993" s="1424"/>
      <c r="N1993" s="1428">
        <f>N1954</f>
        <v>0</v>
      </c>
      <c r="O1993" s="1423">
        <f t="shared" si="2901"/>
        <v>0</v>
      </c>
      <c r="P1993" s="1423">
        <f t="shared" si="2902"/>
        <v>0</v>
      </c>
      <c r="Q1993" s="1423">
        <f t="shared" si="2903"/>
        <v>0</v>
      </c>
      <c r="R1993" s="1423">
        <f t="shared" si="2904"/>
        <v>0</v>
      </c>
      <c r="S1993" s="1423">
        <f t="shared" si="2905"/>
        <v>0</v>
      </c>
      <c r="T1993" s="1423">
        <f t="shared" si="2906"/>
        <v>0</v>
      </c>
      <c r="U1993" s="1423">
        <f t="shared" si="2907"/>
        <v>0</v>
      </c>
      <c r="V1993" s="1423">
        <f t="shared" si="2908"/>
        <v>0</v>
      </c>
      <c r="W1993" s="1423">
        <f t="shared" si="2909"/>
        <v>0</v>
      </c>
      <c r="X1993" s="152"/>
      <c r="Y1993" s="152"/>
      <c r="Z1993" s="152"/>
      <c r="AA1993" s="152"/>
      <c r="AB1993" s="152"/>
    </row>
    <row r="1994" spans="1:28" hidden="1" outlineLevel="1">
      <c r="A1994" s="152"/>
      <c r="B1994" s="190" t="str">
        <f t="shared" ca="1" si="2910"/>
        <v>RL Capex 2027-28</v>
      </c>
      <c r="C1994" s="1429"/>
      <c r="D1994" s="1429"/>
      <c r="E1994" s="1429"/>
      <c r="F1994" s="1429"/>
      <c r="G1994" s="1429"/>
      <c r="H1994" s="1429"/>
      <c r="I1994" s="1429"/>
      <c r="J1994" s="1429"/>
      <c r="K1994" s="1429"/>
      <c r="L1994" s="1429"/>
      <c r="M1994" s="1429"/>
      <c r="N1994" s="1424"/>
      <c r="O1994" s="1428">
        <f>O1954</f>
        <v>0</v>
      </c>
      <c r="P1994" s="1423">
        <f t="shared" si="2902"/>
        <v>0</v>
      </c>
      <c r="Q1994" s="1423">
        <f t="shared" si="2903"/>
        <v>0</v>
      </c>
      <c r="R1994" s="1423">
        <f t="shared" si="2904"/>
        <v>0</v>
      </c>
      <c r="S1994" s="1423">
        <f t="shared" si="2905"/>
        <v>0</v>
      </c>
      <c r="T1994" s="1423">
        <f t="shared" si="2906"/>
        <v>0</v>
      </c>
      <c r="U1994" s="1423">
        <f t="shared" si="2907"/>
        <v>0</v>
      </c>
      <c r="V1994" s="1423">
        <f t="shared" si="2908"/>
        <v>0</v>
      </c>
      <c r="W1994" s="1423">
        <f t="shared" si="2909"/>
        <v>0</v>
      </c>
      <c r="X1994" s="152"/>
      <c r="Y1994" s="152"/>
      <c r="Z1994" s="152"/>
      <c r="AA1994" s="152"/>
      <c r="AB1994" s="152"/>
    </row>
    <row r="1995" spans="1:28" hidden="1" outlineLevel="1">
      <c r="A1995" s="152"/>
      <c r="B1995" s="190" t="str">
        <f t="shared" ca="1" si="2910"/>
        <v>RL Capex 2028-29</v>
      </c>
      <c r="C1995" s="1429"/>
      <c r="D1995" s="1429"/>
      <c r="E1995" s="1429"/>
      <c r="F1995" s="1429"/>
      <c r="G1995" s="1429"/>
      <c r="H1995" s="1429"/>
      <c r="I1995" s="1429"/>
      <c r="J1995" s="1429"/>
      <c r="K1995" s="1429"/>
      <c r="L1995" s="1429"/>
      <c r="M1995" s="1429"/>
      <c r="N1995" s="1429"/>
      <c r="O1995" s="1424"/>
      <c r="P1995" s="1428">
        <f>P1954</f>
        <v>0</v>
      </c>
      <c r="Q1995" s="1423">
        <f t="shared" si="2903"/>
        <v>0</v>
      </c>
      <c r="R1995" s="1423">
        <f t="shared" si="2904"/>
        <v>0</v>
      </c>
      <c r="S1995" s="1423">
        <f t="shared" si="2905"/>
        <v>0</v>
      </c>
      <c r="T1995" s="1423">
        <f t="shared" si="2906"/>
        <v>0</v>
      </c>
      <c r="U1995" s="1423">
        <f t="shared" si="2907"/>
        <v>0</v>
      </c>
      <c r="V1995" s="1423">
        <f t="shared" si="2908"/>
        <v>0</v>
      </c>
      <c r="W1995" s="1423">
        <f t="shared" si="2909"/>
        <v>0</v>
      </c>
      <c r="X1995" s="152"/>
      <c r="Y1995" s="152"/>
      <c r="Z1995" s="152"/>
      <c r="AA1995" s="152"/>
      <c r="AB1995" s="152"/>
    </row>
    <row r="1996" spans="1:28" hidden="1" outlineLevel="1">
      <c r="A1996" s="152"/>
      <c r="B1996" s="190" t="str">
        <f t="shared" ca="1" si="2910"/>
        <v>RL Capex 2029-30</v>
      </c>
      <c r="C1996" s="1429"/>
      <c r="D1996" s="1429"/>
      <c r="E1996" s="1429"/>
      <c r="F1996" s="1429"/>
      <c r="G1996" s="1429"/>
      <c r="H1996" s="1429"/>
      <c r="I1996" s="1429"/>
      <c r="J1996" s="1429"/>
      <c r="K1996" s="1429"/>
      <c r="L1996" s="1429"/>
      <c r="M1996" s="1429"/>
      <c r="N1996" s="1429"/>
      <c r="O1996" s="1429"/>
      <c r="P1996" s="1424"/>
      <c r="Q1996" s="1428">
        <f>Q1954</f>
        <v>0</v>
      </c>
      <c r="R1996" s="1423">
        <f t="shared" si="2904"/>
        <v>0</v>
      </c>
      <c r="S1996" s="1423">
        <f t="shared" si="2905"/>
        <v>0</v>
      </c>
      <c r="T1996" s="1423">
        <f t="shared" si="2906"/>
        <v>0</v>
      </c>
      <c r="U1996" s="1423">
        <f t="shared" si="2907"/>
        <v>0</v>
      </c>
      <c r="V1996" s="1423">
        <f t="shared" si="2908"/>
        <v>0</v>
      </c>
      <c r="W1996" s="1423">
        <f t="shared" si="2909"/>
        <v>0</v>
      </c>
      <c r="X1996" s="152"/>
      <c r="Y1996" s="152"/>
      <c r="Z1996" s="152"/>
      <c r="AA1996" s="152"/>
      <c r="AB1996" s="152"/>
    </row>
    <row r="1997" spans="1:28" hidden="1" outlineLevel="1">
      <c r="A1997" s="152"/>
      <c r="B1997" s="190" t="str">
        <f t="shared" ca="1" si="2910"/>
        <v>RL Capex 2030-31</v>
      </c>
      <c r="C1997" s="1429"/>
      <c r="D1997" s="1429"/>
      <c r="E1997" s="1429"/>
      <c r="F1997" s="1429"/>
      <c r="G1997" s="1429"/>
      <c r="H1997" s="1429"/>
      <c r="I1997" s="1429"/>
      <c r="J1997" s="1429"/>
      <c r="K1997" s="1429"/>
      <c r="L1997" s="1429"/>
      <c r="M1997" s="1429"/>
      <c r="N1997" s="1429"/>
      <c r="O1997" s="1429"/>
      <c r="P1997" s="1429"/>
      <c r="Q1997" s="1424"/>
      <c r="R1997" s="1428">
        <f>R1954</f>
        <v>0</v>
      </c>
      <c r="S1997" s="1423">
        <f t="shared" si="2905"/>
        <v>0</v>
      </c>
      <c r="T1997" s="1423">
        <f t="shared" si="2906"/>
        <v>0</v>
      </c>
      <c r="U1997" s="1423">
        <f t="shared" si="2907"/>
        <v>0</v>
      </c>
      <c r="V1997" s="1423">
        <f t="shared" si="2908"/>
        <v>0</v>
      </c>
      <c r="W1997" s="1423">
        <f t="shared" si="2909"/>
        <v>0</v>
      </c>
      <c r="X1997" s="152"/>
      <c r="Y1997" s="152"/>
      <c r="Z1997" s="152"/>
      <c r="AA1997" s="152"/>
      <c r="AB1997" s="152"/>
    </row>
    <row r="1998" spans="1:28" hidden="1" outlineLevel="1">
      <c r="A1998" s="152"/>
      <c r="B1998" s="190" t="str">
        <f t="shared" ca="1" si="2910"/>
        <v>RL Capex 2031-32</v>
      </c>
      <c r="C1998" s="1429"/>
      <c r="D1998" s="1429"/>
      <c r="E1998" s="1429"/>
      <c r="F1998" s="1429"/>
      <c r="G1998" s="1429"/>
      <c r="H1998" s="1429"/>
      <c r="I1998" s="1429"/>
      <c r="J1998" s="1429"/>
      <c r="K1998" s="1429"/>
      <c r="L1998" s="1429"/>
      <c r="M1998" s="1429"/>
      <c r="N1998" s="1429"/>
      <c r="O1998" s="1429"/>
      <c r="P1998" s="1429"/>
      <c r="Q1998" s="1429"/>
      <c r="R1998" s="1424"/>
      <c r="S1998" s="1428">
        <f>S1954</f>
        <v>0</v>
      </c>
      <c r="T1998" s="1423">
        <f t="shared" si="2906"/>
        <v>0</v>
      </c>
      <c r="U1998" s="1423">
        <f t="shared" si="2907"/>
        <v>0</v>
      </c>
      <c r="V1998" s="1423">
        <f t="shared" si="2908"/>
        <v>0</v>
      </c>
      <c r="W1998" s="1423">
        <f t="shared" si="2909"/>
        <v>0</v>
      </c>
      <c r="X1998" s="152"/>
      <c r="Y1998" s="152"/>
      <c r="Z1998" s="152"/>
      <c r="AA1998" s="152"/>
      <c r="AB1998" s="152"/>
    </row>
    <row r="1999" spans="1:28" hidden="1" outlineLevel="1">
      <c r="A1999" s="152"/>
      <c r="B1999" s="190" t="str">
        <f t="shared" ca="1" si="2910"/>
        <v>RL Capex 2032-33</v>
      </c>
      <c r="C1999" s="1429"/>
      <c r="D1999" s="1429"/>
      <c r="E1999" s="1429"/>
      <c r="F1999" s="1429"/>
      <c r="G1999" s="1429"/>
      <c r="H1999" s="1429"/>
      <c r="I1999" s="1429"/>
      <c r="J1999" s="1429"/>
      <c r="K1999" s="1429"/>
      <c r="L1999" s="1429"/>
      <c r="M1999" s="1429"/>
      <c r="N1999" s="1429"/>
      <c r="O1999" s="1429"/>
      <c r="P1999" s="1429"/>
      <c r="Q1999" s="1429"/>
      <c r="R1999" s="1429"/>
      <c r="S1999" s="1424"/>
      <c r="T1999" s="1428">
        <f>T1954</f>
        <v>0</v>
      </c>
      <c r="U1999" s="1423">
        <f t="shared" si="2907"/>
        <v>0</v>
      </c>
      <c r="V1999" s="1423">
        <f t="shared" si="2908"/>
        <v>0</v>
      </c>
      <c r="W1999" s="1423">
        <f t="shared" si="2909"/>
        <v>0</v>
      </c>
      <c r="X1999" s="152"/>
      <c r="Y1999" s="152"/>
      <c r="Z1999" s="152"/>
      <c r="AA1999" s="152"/>
      <c r="AB1999" s="152"/>
    </row>
    <row r="2000" spans="1:28" hidden="1" outlineLevel="1">
      <c r="A2000" s="152"/>
      <c r="B2000" s="190" t="str">
        <f t="shared" ca="1" si="2910"/>
        <v>RL Capex 2033-34</v>
      </c>
      <c r="C2000" s="1429"/>
      <c r="D2000" s="1429"/>
      <c r="E2000" s="1429"/>
      <c r="F2000" s="1429"/>
      <c r="G2000" s="1429"/>
      <c r="H2000" s="1429"/>
      <c r="I2000" s="1429"/>
      <c r="J2000" s="1429"/>
      <c r="K2000" s="1429"/>
      <c r="L2000" s="1429"/>
      <c r="M2000" s="1429"/>
      <c r="N2000" s="1429"/>
      <c r="O2000" s="1429"/>
      <c r="P2000" s="1429"/>
      <c r="Q2000" s="1429"/>
      <c r="R2000" s="1429"/>
      <c r="S2000" s="1429"/>
      <c r="T2000" s="1424"/>
      <c r="U2000" s="1428">
        <f>U1954</f>
        <v>0</v>
      </c>
      <c r="V2000" s="1423">
        <f t="shared" si="2908"/>
        <v>0</v>
      </c>
      <c r="W2000" s="1423">
        <f t="shared" si="2909"/>
        <v>0</v>
      </c>
      <c r="X2000" s="152"/>
      <c r="Y2000" s="152"/>
      <c r="Z2000" s="152"/>
      <c r="AA2000" s="152"/>
      <c r="AB2000" s="152"/>
    </row>
    <row r="2001" spans="1:28" hidden="1" outlineLevel="1">
      <c r="A2001" s="152"/>
      <c r="B2001" s="190" t="str">
        <f t="shared" ca="1" si="2910"/>
        <v>RL Capex 2034-35</v>
      </c>
      <c r="C2001" s="1429"/>
      <c r="D2001" s="1429"/>
      <c r="E2001" s="1429"/>
      <c r="F2001" s="1429"/>
      <c r="G2001" s="1429"/>
      <c r="H2001" s="1429"/>
      <c r="I2001" s="1429"/>
      <c r="J2001" s="1429"/>
      <c r="K2001" s="1429"/>
      <c r="L2001" s="1429"/>
      <c r="M2001" s="1429"/>
      <c r="N2001" s="1429"/>
      <c r="O2001" s="1429"/>
      <c r="P2001" s="1429"/>
      <c r="Q2001" s="1429"/>
      <c r="R2001" s="1429"/>
      <c r="S2001" s="1429"/>
      <c r="T2001" s="1429"/>
      <c r="U2001" s="1424"/>
      <c r="V2001" s="1428">
        <f>V1954</f>
        <v>0</v>
      </c>
      <c r="W2001" s="1423">
        <f>IF(V2001="n/a","n/a",MAX(0,V2001-1))</f>
        <v>0</v>
      </c>
      <c r="X2001" s="152"/>
      <c r="Y2001" s="152"/>
      <c r="Z2001" s="152"/>
      <c r="AA2001" s="152"/>
      <c r="AB2001" s="152"/>
    </row>
    <row r="2002" spans="1:28" hidden="1" outlineLevel="1">
      <c r="A2002" s="152"/>
      <c r="B2002" s="190" t="str">
        <f t="shared" ca="1" si="2910"/>
        <v>RL Capex 2035-36</v>
      </c>
      <c r="C2002" s="1429"/>
      <c r="D2002" s="1429"/>
      <c r="E2002" s="1429"/>
      <c r="F2002" s="1429"/>
      <c r="G2002" s="1429"/>
      <c r="H2002" s="1429"/>
      <c r="I2002" s="1429"/>
      <c r="J2002" s="1429"/>
      <c r="K2002" s="1429"/>
      <c r="L2002" s="1429"/>
      <c r="M2002" s="1429"/>
      <c r="N2002" s="1429"/>
      <c r="O2002" s="1429"/>
      <c r="P2002" s="1429"/>
      <c r="Q2002" s="1429"/>
      <c r="R2002" s="1429"/>
      <c r="S2002" s="1429"/>
      <c r="T2002" s="1429"/>
      <c r="U2002" s="1429"/>
      <c r="V2002" s="1424"/>
      <c r="W2002" s="1423">
        <f>W1954</f>
        <v>0</v>
      </c>
      <c r="X2002" s="152"/>
      <c r="Y2002" s="152"/>
      <c r="Z2002" s="152"/>
      <c r="AA2002" s="152"/>
      <c r="AB2002" s="152"/>
    </row>
    <row r="2003" spans="1:28" hidden="1" outlineLevel="1">
      <c r="A2003" s="152"/>
      <c r="B2003" s="200"/>
      <c r="C2003" s="1423"/>
      <c r="D2003" s="1423"/>
      <c r="E2003" s="1423"/>
      <c r="F2003" s="1423"/>
      <c r="G2003" s="1423"/>
      <c r="H2003" s="1423"/>
      <c r="I2003" s="1423"/>
      <c r="J2003" s="1423"/>
      <c r="K2003" s="1423"/>
      <c r="L2003" s="1423"/>
      <c r="M2003" s="1423"/>
      <c r="N2003" s="1423"/>
      <c r="O2003" s="1423"/>
      <c r="P2003" s="1423"/>
      <c r="Q2003" s="1423"/>
      <c r="R2003" s="1423"/>
      <c r="S2003" s="1423"/>
      <c r="T2003" s="1423"/>
      <c r="U2003" s="1423"/>
      <c r="V2003" s="1423"/>
      <c r="W2003" s="1423"/>
      <c r="X2003" s="152"/>
      <c r="Y2003" s="152"/>
      <c r="Z2003" s="152"/>
      <c r="AA2003" s="152"/>
      <c r="AB2003" s="152"/>
    </row>
    <row r="2004" spans="1:28" collapsed="1">
      <c r="A2004" s="194"/>
      <c r="B2004" s="204" t="s">
        <v>123</v>
      </c>
      <c r="C2004" s="1430">
        <f ca="1">(IF(OR($C1954&lt;&gt;"n/a",C1954&lt;&gt;"n/a"),IF(SUM(C1957:C1979)=0,0,IF((SUMPRODUCT(C1957:C1979,C1981:C2003)/SUM(C1957:C1979))&lt;0,1,(SUMPRODUCT(C1957:C1979,C1981:C2003)/SUM(C1957:C1979)))),"n/a"))</f>
        <v>0</v>
      </c>
      <c r="D2004" s="1430">
        <f ca="1">(IF(OR($C1954&lt;&gt;"n/a",D1954&lt;&gt;"n/a"),IF(SUM(D1957:D1979)=0,0,IF((SUMPRODUCT(D1957:D1979,D1981:D2003)/SUM(D1957:D1979))&lt;0,1,(SUMPRODUCT(D1957:D1979,D1981:D2003)/SUM(D1957:D1979)))),"n/a"))</f>
        <v>0</v>
      </c>
      <c r="E2004" s="1430">
        <f t="shared" ref="E2004:W2004" ca="1" si="2911">(IF(OR($C1954&lt;&gt;"n/a",E1954&lt;&gt;"n/a"),IF(SUM(E1957:E1979)=0,0,IF((SUMPRODUCT(E1957:E1979,E1981:E2003)/SUM(E1957:E1979))&lt;0,1,(SUMPRODUCT(E1957:E1979,E1981:E2003)/SUM(E1957:E1979)))),"n/a"))</f>
        <v>0</v>
      </c>
      <c r="F2004" s="1430">
        <f t="shared" ca="1" si="2911"/>
        <v>0</v>
      </c>
      <c r="G2004" s="1430">
        <f t="shared" ca="1" si="2911"/>
        <v>0</v>
      </c>
      <c r="H2004" s="1430">
        <f t="shared" ca="1" si="2911"/>
        <v>0</v>
      </c>
      <c r="I2004" s="1430">
        <f t="shared" ca="1" si="2911"/>
        <v>0</v>
      </c>
      <c r="J2004" s="1430">
        <f t="shared" ca="1" si="2911"/>
        <v>0</v>
      </c>
      <c r="K2004" s="1430">
        <f t="shared" ca="1" si="2911"/>
        <v>0</v>
      </c>
      <c r="L2004" s="1430">
        <f t="shared" ca="1" si="2911"/>
        <v>0</v>
      </c>
      <c r="M2004" s="1430">
        <f t="shared" ca="1" si="2911"/>
        <v>0</v>
      </c>
      <c r="N2004" s="1430">
        <f t="shared" ca="1" si="2911"/>
        <v>0</v>
      </c>
      <c r="O2004" s="1430">
        <f t="shared" ca="1" si="2911"/>
        <v>0</v>
      </c>
      <c r="P2004" s="1430">
        <f t="shared" ca="1" si="2911"/>
        <v>0</v>
      </c>
      <c r="Q2004" s="1430">
        <f t="shared" ca="1" si="2911"/>
        <v>0</v>
      </c>
      <c r="R2004" s="1430">
        <f t="shared" ca="1" si="2911"/>
        <v>0</v>
      </c>
      <c r="S2004" s="1430">
        <f t="shared" ca="1" si="2911"/>
        <v>0</v>
      </c>
      <c r="T2004" s="1430">
        <f t="shared" ca="1" si="2911"/>
        <v>0</v>
      </c>
      <c r="U2004" s="1430">
        <f t="shared" ca="1" si="2911"/>
        <v>0</v>
      </c>
      <c r="V2004" s="1430">
        <f t="shared" ca="1" si="2911"/>
        <v>0</v>
      </c>
      <c r="W2004" s="1430">
        <f t="shared" ca="1" si="2911"/>
        <v>0</v>
      </c>
      <c r="X2004" s="152"/>
      <c r="Y2004" s="152"/>
      <c r="Z2004" s="152"/>
      <c r="AA2004" s="152"/>
      <c r="AB2004" s="152"/>
    </row>
    <row r="2005" spans="1:28">
      <c r="A2005" s="152"/>
      <c r="B2005" s="152"/>
      <c r="C2005" s="1423"/>
      <c r="D2005" s="1423"/>
      <c r="E2005" s="1423"/>
      <c r="F2005" s="1423"/>
      <c r="G2005" s="1423"/>
      <c r="H2005" s="1423"/>
      <c r="I2005" s="1423"/>
      <c r="J2005" s="1423"/>
      <c r="K2005" s="1423"/>
      <c r="L2005" s="1423"/>
      <c r="M2005" s="1423"/>
      <c r="N2005" s="1423"/>
      <c r="O2005" s="1423"/>
      <c r="P2005" s="1423"/>
      <c r="Q2005" s="1423"/>
      <c r="R2005" s="1423"/>
      <c r="S2005" s="1423"/>
      <c r="T2005" s="1423"/>
      <c r="U2005" s="1423"/>
      <c r="V2005" s="1423"/>
      <c r="W2005" s="1423"/>
      <c r="X2005" s="152"/>
      <c r="Y2005" s="152"/>
      <c r="Z2005" s="152"/>
      <c r="AA2005" s="152"/>
      <c r="AB2005" s="152"/>
    </row>
    <row r="2006" spans="1:28">
      <c r="A2006" s="269" t="s">
        <v>104</v>
      </c>
      <c r="B2006" s="270">
        <f>VLOOKUP($A2006,'RFM input'!$E$7:$F$56,2,FALSE)</f>
        <v>0</v>
      </c>
      <c r="C2006" s="1431"/>
      <c r="D2006" s="1431"/>
      <c r="E2006" s="1432"/>
      <c r="F2006" s="1432"/>
      <c r="G2006" s="1432"/>
      <c r="H2006" s="1432"/>
      <c r="I2006" s="1432"/>
      <c r="J2006" s="1432"/>
      <c r="K2006" s="1432"/>
      <c r="L2006" s="1432"/>
      <c r="M2006" s="1432"/>
      <c r="N2006" s="1432"/>
      <c r="O2006" s="1432"/>
      <c r="P2006" s="1432"/>
      <c r="Q2006" s="1432"/>
      <c r="R2006" s="1432"/>
      <c r="S2006" s="1432"/>
      <c r="T2006" s="1432"/>
      <c r="U2006" s="1432"/>
      <c r="V2006" s="1432"/>
      <c r="W2006" s="1432"/>
      <c r="X2006" s="152"/>
      <c r="Y2006" s="152"/>
      <c r="Z2006" s="152"/>
      <c r="AA2006" s="152"/>
      <c r="AB2006" s="152"/>
    </row>
    <row r="2007" spans="1:28">
      <c r="A2007" s="215">
        <f>VALUE(REPLACE(A2006,1,12,""))</f>
        <v>38</v>
      </c>
      <c r="B2007" s="193" t="s">
        <v>126</v>
      </c>
      <c r="C2007" s="1416">
        <f ca="1">IF($D$6='TAB roll forward'!$H$4,OFFSET('TAB roll forward'!$H$7,A2007,0),"enter input")</f>
        <v>0</v>
      </c>
      <c r="D2007" s="1417">
        <f>IF(LEFT(D$6,4)&lt;LEFT('RFM input'!$G$60,4),"enter input",IF(LEFT(D$6,4)&gt;LEFT('RFM input'!$Q$60,4),0,
INDEX('RFM input'!$G$61:$Q$110,$A2007,MATCH(D$6,'RFM input'!$G$60:$Q$60,0))
   -INDEX('RFM input'!$G$115:$Q$164,$A2007,MATCH(D$6,'RFM input'!$G$60:$Q$60,0))))</f>
        <v>0</v>
      </c>
      <c r="E2007" s="1417">
        <f>IF(LEFT(E$6,4)&lt;LEFT('RFM input'!$G$60,4),"enter input",IF(LEFT(E$6,4)&gt;LEFT('RFM input'!$Q$60,4),0,
INDEX('RFM input'!$G$61:$Q$110,$A2007,MATCH(E$6,'RFM input'!$G$60:$Q$60,0))
   -INDEX('RFM input'!$G$115:$Q$164,$A2007,MATCH(E$6,'RFM input'!$G$60:$Q$60,0))))</f>
        <v>0</v>
      </c>
      <c r="F2007" s="1417">
        <f>IF(LEFT(F$6,4)&lt;LEFT('RFM input'!$G$60,4),"enter input",IF(LEFT(F$6,4)&gt;LEFT('RFM input'!$Q$60,4),0,
INDEX('RFM input'!$G$61:$Q$110,$A2007,MATCH(F$6,'RFM input'!$G$60:$Q$60,0))
   -INDEX('RFM input'!$G$115:$Q$164,$A2007,MATCH(F$6,'RFM input'!$G$60:$Q$60,0))))</f>
        <v>0</v>
      </c>
      <c r="G2007" s="1417">
        <f>IF(LEFT(G$6,4)&lt;LEFT('RFM input'!$G$60,4),"enter input",IF(LEFT(G$6,4)&gt;LEFT('RFM input'!$Q$60,4),0,
INDEX('RFM input'!$G$61:$Q$110,$A2007,MATCH(G$6,'RFM input'!$G$60:$Q$60,0))
   -INDEX('RFM input'!$G$115:$Q$164,$A2007,MATCH(G$6,'RFM input'!$G$60:$Q$60,0))))</f>
        <v>0</v>
      </c>
      <c r="H2007" s="1417">
        <f>IF(LEFT(H$6,4)&lt;LEFT('RFM input'!$G$60,4),"enter input",IF(LEFT(H$6,4)&gt;LEFT('RFM input'!$Q$60,4),0,
INDEX('RFM input'!$G$61:$Q$110,$A2007,MATCH(H$6,'RFM input'!$G$60:$Q$60,0))
   -INDEX('RFM input'!$G$115:$Q$164,$A2007,MATCH(H$6,'RFM input'!$G$60:$Q$60,0))))</f>
        <v>0</v>
      </c>
      <c r="I2007" s="1417">
        <f>IF(LEFT(I$6,4)&lt;LEFT('RFM input'!$G$60,4),"enter input",IF(LEFT(I$6,4)&gt;LEFT('RFM input'!$Q$60,4),0,
INDEX('RFM input'!$G$61:$Q$110,$A2007,MATCH(I$6,'RFM input'!$G$60:$Q$60,0))
   -INDEX('RFM input'!$G$115:$Q$164,$A2007,MATCH(I$6,'RFM input'!$G$60:$Q$60,0))))</f>
        <v>0</v>
      </c>
      <c r="J2007" s="1417">
        <f>IF(LEFT(J$6,4)&lt;LEFT('RFM input'!$G$60,4),"enter input",IF(LEFT(J$6,4)&gt;LEFT('RFM input'!$Q$60,4),0,
INDEX('RFM input'!$G$61:$Q$110,$A2007,MATCH(J$6,'RFM input'!$G$60:$Q$60,0))
   -INDEX('RFM input'!$G$115:$Q$164,$A2007,MATCH(J$6,'RFM input'!$G$60:$Q$60,0))))</f>
        <v>0</v>
      </c>
      <c r="K2007" s="1417">
        <f>IF(LEFT(K$6,4)&lt;LEFT('RFM input'!$G$60,4),"enter input",IF(LEFT(K$6,4)&gt;LEFT('RFM input'!$Q$60,4),0,
INDEX('RFM input'!$G$61:$Q$110,$A2007,MATCH(K$6,'RFM input'!$G$60:$Q$60,0))
   -INDEX('RFM input'!$G$115:$Q$164,$A2007,MATCH(K$6,'RFM input'!$G$60:$Q$60,0))))</f>
        <v>0</v>
      </c>
      <c r="L2007" s="1417">
        <f>IF(LEFT(L$6,4)&lt;LEFT('RFM input'!$G$60,4),"enter input",IF(LEFT(L$6,4)&gt;LEFT('RFM input'!$Q$60,4),0,
INDEX('RFM input'!$G$61:$Q$110,$A2007,MATCH(L$6,'RFM input'!$G$60:$Q$60,0))
   -INDEX('RFM input'!$G$115:$Q$164,$A2007,MATCH(L$6,'RFM input'!$G$60:$Q$60,0))))</f>
        <v>0</v>
      </c>
      <c r="M2007" s="1417">
        <f>IF(LEFT(M$6,4)&lt;LEFT('RFM input'!$G$60,4),"enter input",IF(LEFT(M$6,4)&gt;LEFT('RFM input'!$Q$60,4),0,
INDEX('RFM input'!$G$61:$Q$110,$A2007,MATCH(M$6,'RFM input'!$G$60:$Q$60,0))
   -INDEX('RFM input'!$G$115:$Q$164,$A2007,MATCH(M$6,'RFM input'!$G$60:$Q$60,0))))</f>
        <v>0</v>
      </c>
      <c r="N2007" s="1417">
        <f>IF(LEFT(N$6,4)&lt;LEFT('RFM input'!$G$60,4),"enter input",IF(LEFT(N$6,4)&gt;LEFT('RFM input'!$Q$60,4),0,
INDEX('RFM input'!$G$61:$Q$110,$A2007,MATCH(N$6,'RFM input'!$G$60:$Q$60,0))
   -INDEX('RFM input'!$G$115:$Q$164,$A2007,MATCH(N$6,'RFM input'!$G$60:$Q$60,0))))</f>
        <v>0</v>
      </c>
      <c r="O2007" s="1417">
        <f>IF(LEFT(O$6,4)&lt;LEFT('RFM input'!$G$60,4),"enter input",IF(LEFT(O$6,4)&gt;LEFT('RFM input'!$Q$60,4),0,
INDEX('RFM input'!$G$61:$Q$110,$A2007,MATCH(O$6,'RFM input'!$G$60:$Q$60,0))
   -INDEX('RFM input'!$G$115:$Q$164,$A2007,MATCH(O$6,'RFM input'!$G$60:$Q$60,0))))</f>
        <v>0</v>
      </c>
      <c r="P2007" s="1417">
        <f>IF(LEFT(P$6,4)&lt;LEFT('RFM input'!$G$60,4),"enter input",IF(LEFT(P$6,4)&gt;LEFT('RFM input'!$Q$60,4),0,
INDEX('RFM input'!$G$61:$Q$110,$A2007,MATCH(P$6,'RFM input'!$G$60:$Q$60,0))
   -INDEX('RFM input'!$G$115:$Q$164,$A2007,MATCH(P$6,'RFM input'!$G$60:$Q$60,0))))</f>
        <v>0</v>
      </c>
      <c r="Q2007" s="1417">
        <f>IF(LEFT(Q$6,4)&lt;LEFT('RFM input'!$G$60,4),"enter input",IF(LEFT(Q$6,4)&gt;LEFT('RFM input'!$Q$60,4),0,
INDEX('RFM input'!$G$61:$Q$110,$A2007,MATCH(Q$6,'RFM input'!$G$60:$Q$60,0))
   -INDEX('RFM input'!$G$115:$Q$164,$A2007,MATCH(Q$6,'RFM input'!$G$60:$Q$60,0))))</f>
        <v>0</v>
      </c>
      <c r="R2007" s="1417">
        <f>IF(LEFT(R$6,4)&lt;LEFT('RFM input'!$G$60,4),"enter input",IF(LEFT(R$6,4)&gt;LEFT('RFM input'!$Q$60,4),0,
INDEX('RFM input'!$G$61:$Q$110,$A2007,MATCH(R$6,'RFM input'!$G$60:$Q$60,0))
   -INDEX('RFM input'!$G$115:$Q$164,$A2007,MATCH(R$6,'RFM input'!$G$60:$Q$60,0))))</f>
        <v>0</v>
      </c>
      <c r="S2007" s="1417">
        <f>IF(LEFT(S$6,4)&lt;LEFT('RFM input'!$G$60,4),"enter input",IF(LEFT(S$6,4)&gt;LEFT('RFM input'!$Q$60,4),0,
INDEX('RFM input'!$G$61:$Q$110,$A2007,MATCH(S$6,'RFM input'!$G$60:$Q$60,0))
   -INDEX('RFM input'!$G$115:$Q$164,$A2007,MATCH(S$6,'RFM input'!$G$60:$Q$60,0))))</f>
        <v>0</v>
      </c>
      <c r="T2007" s="1417">
        <f>IF(LEFT(T$6,4)&lt;LEFT('RFM input'!$G$60,4),"enter input",IF(LEFT(T$6,4)&gt;LEFT('RFM input'!$Q$60,4),0,
INDEX('RFM input'!$G$61:$Q$110,$A2007,MATCH(T$6,'RFM input'!$G$60:$Q$60,0))
   -INDEX('RFM input'!$G$115:$Q$164,$A2007,MATCH(T$6,'RFM input'!$G$60:$Q$60,0))))</f>
        <v>0</v>
      </c>
      <c r="U2007" s="1417">
        <f>IF(LEFT(U$6,4)&lt;LEFT('RFM input'!$G$60,4),"enter input",IF(LEFT(U$6,4)&gt;LEFT('RFM input'!$Q$60,4),0,
INDEX('RFM input'!$G$61:$Q$110,$A2007,MATCH(U$6,'RFM input'!$G$60:$Q$60,0))
   -INDEX('RFM input'!$G$115:$Q$164,$A2007,MATCH(U$6,'RFM input'!$G$60:$Q$60,0))))</f>
        <v>0</v>
      </c>
      <c r="V2007" s="1417">
        <f>IF(LEFT(V$6,4)&lt;LEFT('RFM input'!$G$60,4),"enter input",IF(LEFT(V$6,4)&gt;LEFT('RFM input'!$Q$60,4),0,
INDEX('RFM input'!$G$61:$Q$110,$A2007,MATCH(V$6,'RFM input'!$G$60:$Q$60,0))
   -INDEX('RFM input'!$G$115:$Q$164,$A2007,MATCH(V$6,'RFM input'!$G$60:$Q$60,0))))</f>
        <v>0</v>
      </c>
      <c r="W2007" s="1417">
        <f>IF(LEFT(W$6,4)&lt;LEFT('RFM input'!$G$60,4),"enter input",IF(LEFT(W$6,4)&gt;LEFT('RFM input'!$Q$60,4),0,
INDEX('RFM input'!$G$61:$Q$110,$A2007,MATCH(W$6,'RFM input'!$G$60:$Q$60,0))
   -INDEX('RFM input'!$G$115:$Q$164,$A2007,MATCH(W$6,'RFM input'!$G$60:$Q$60,0))))</f>
        <v>0</v>
      </c>
      <c r="X2007" s="152"/>
      <c r="Y2007" s="152"/>
      <c r="Z2007" s="152"/>
      <c r="AA2007" s="152"/>
      <c r="AB2007" s="152"/>
    </row>
    <row r="2008" spans="1:28">
      <c r="A2008" s="152"/>
      <c r="B2008" s="152" t="s">
        <v>205</v>
      </c>
      <c r="C2008" s="1418">
        <f ca="1">IF($D$6='TAB roll forward'!$H$4,OFFSET('RFM input'!$S$6,$A2007,0),"enter input")</f>
        <v>0</v>
      </c>
      <c r="D2008" s="1417">
        <f>IF(LEFT(D$6,4)&lt;=LEFT('RFM input'!$G$60,4),"enter input",IF(LEFT(D$6,4)&gt;LEFT('RFM input'!$Q$60,4),0,
IF(MATCH(D$6,'RFM input'!$H$60:$Q$60,0),INDEX('RFM input'!$T$7:$T$56,$A2007,1,1))))</f>
        <v>0</v>
      </c>
      <c r="E2008" s="1417">
        <f>IF(LEFT(E$6,4)&lt;=LEFT('RFM input'!$G$60,4),"enter input",IF(LEFT(E$6,4)&gt;LEFT('RFM input'!$Q$60,4),0,
IF(MATCH(E$6,'RFM input'!$H$60:$Q$60,0),INDEX('RFM input'!$T$7:$T$56,$A2007,1,1))))</f>
        <v>0</v>
      </c>
      <c r="F2008" s="1417">
        <f>IF(LEFT(F$6,4)&lt;=LEFT('RFM input'!$G$60,4),"enter input",IF(LEFT(F$6,4)&gt;LEFT('RFM input'!$Q$60,4),0,
IF(MATCH(F$6,'RFM input'!$H$60:$Q$60,0),INDEX('RFM input'!$T$7:$T$56,$A2007,1,1))))</f>
        <v>0</v>
      </c>
      <c r="G2008" s="1417">
        <f>IF(LEFT(G$6,4)&lt;=LEFT('RFM input'!$G$60,4),"enter input",IF(LEFT(G$6,4)&gt;LEFT('RFM input'!$Q$60,4),0,
IF(MATCH(G$6,'RFM input'!$H$60:$Q$60,0),INDEX('RFM input'!$T$7:$T$56,$A2007,1,1))))</f>
        <v>0</v>
      </c>
      <c r="H2008" s="1417">
        <f>IF(LEFT(H$6,4)&lt;=LEFT('RFM input'!$G$60,4),"enter input",IF(LEFT(H$6,4)&gt;LEFT('RFM input'!$Q$60,4),0,
IF(MATCH(H$6,'RFM input'!$H$60:$Q$60,0),INDEX('RFM input'!$T$7:$T$56,$A2007,1,1))))</f>
        <v>0</v>
      </c>
      <c r="I2008" s="1417">
        <f>IF(LEFT(I$6,4)&lt;=LEFT('RFM input'!$G$60,4),"enter input",IF(LEFT(I$6,4)&gt;LEFT('RFM input'!$Q$60,4),0,
IF(MATCH(I$6,'RFM input'!$H$60:$Q$60,0),INDEX('RFM input'!$T$7:$T$56,$A2007,1,1))))</f>
        <v>0</v>
      </c>
      <c r="J2008" s="1417">
        <f>IF(LEFT(J$6,4)&lt;=LEFT('RFM input'!$G$60,4),"enter input",IF(LEFT(J$6,4)&gt;LEFT('RFM input'!$Q$60,4),0,
IF(MATCH(J$6,'RFM input'!$H$60:$Q$60,0),INDEX('RFM input'!$T$7:$T$56,$A2007,1,1))))</f>
        <v>0</v>
      </c>
      <c r="K2008" s="1417">
        <f>IF(LEFT(K$6,4)&lt;=LEFT('RFM input'!$G$60,4),"enter input",IF(LEFT(K$6,4)&gt;LEFT('RFM input'!$Q$60,4),0,
IF(MATCH(K$6,'RFM input'!$H$60:$Q$60,0),INDEX('RFM input'!$T$7:$T$56,$A2007,1,1))))</f>
        <v>0</v>
      </c>
      <c r="L2008" s="1417">
        <f>IF(LEFT(L$6,4)&lt;=LEFT('RFM input'!$G$60,4),"enter input",IF(LEFT(L$6,4)&gt;LEFT('RFM input'!$Q$60,4),0,
IF(MATCH(L$6,'RFM input'!$H$60:$Q$60,0),INDEX('RFM input'!$T$7:$T$56,$A2007,1,1))))</f>
        <v>0</v>
      </c>
      <c r="M2008" s="1417">
        <f>IF(LEFT(M$6,4)&lt;=LEFT('RFM input'!$G$60,4),"enter input",IF(LEFT(M$6,4)&gt;LEFT('RFM input'!$Q$60,4),0,
IF(MATCH(M$6,'RFM input'!$H$60:$Q$60,0),INDEX('RFM input'!$T$7:$T$56,$A2007,1,1))))</f>
        <v>0</v>
      </c>
      <c r="N2008" s="1417">
        <f>IF(LEFT(N$6,4)&lt;=LEFT('RFM input'!$G$60,4),"enter input",IF(LEFT(N$6,4)&gt;LEFT('RFM input'!$Q$60,4),0,
IF(MATCH(N$6,'RFM input'!$H$60:$Q$60,0),INDEX('RFM input'!$T$7:$T$56,$A2007,1,1))))</f>
        <v>0</v>
      </c>
      <c r="O2008" s="1417">
        <f>IF(LEFT(O$6,4)&lt;=LEFT('RFM input'!$G$60,4),"enter input",IF(LEFT(O$6,4)&gt;LEFT('RFM input'!$Q$60,4),0,
IF(MATCH(O$6,'RFM input'!$H$60:$Q$60,0),INDEX('RFM input'!$T$7:$T$56,$A2007,1,1))))</f>
        <v>0</v>
      </c>
      <c r="P2008" s="1417">
        <f>IF(LEFT(P$6,4)&lt;=LEFT('RFM input'!$G$60,4),"enter input",IF(LEFT(P$6,4)&gt;LEFT('RFM input'!$Q$60,4),0,
IF(MATCH(P$6,'RFM input'!$H$60:$Q$60,0),INDEX('RFM input'!$T$7:$T$56,$A2007,1,1))))</f>
        <v>0</v>
      </c>
      <c r="Q2008" s="1417">
        <f>IF(LEFT(Q$6,4)&lt;=LEFT('RFM input'!$G$60,4),"enter input",IF(LEFT(Q$6,4)&gt;LEFT('RFM input'!$Q$60,4),0,
IF(MATCH(Q$6,'RFM input'!$H$60:$Q$60,0),INDEX('RFM input'!$T$7:$T$56,$A2007,1,1))))</f>
        <v>0</v>
      </c>
      <c r="R2008" s="1417">
        <f>IF(LEFT(R$6,4)&lt;=LEFT('RFM input'!$G$60,4),"enter input",IF(LEFT(R$6,4)&gt;LEFT('RFM input'!$Q$60,4),0,
IF(MATCH(R$6,'RFM input'!$H$60:$Q$60,0),INDEX('RFM input'!$T$7:$T$56,$A2007,1,1))))</f>
        <v>0</v>
      </c>
      <c r="S2008" s="1417">
        <f>IF(LEFT(S$6,4)&lt;=LEFT('RFM input'!$G$60,4),"enter input",IF(LEFT(S$6,4)&gt;LEFT('RFM input'!$Q$60,4),0,
IF(MATCH(S$6,'RFM input'!$H$60:$Q$60,0),INDEX('RFM input'!$T$7:$T$56,$A2007,1,1))))</f>
        <v>0</v>
      </c>
      <c r="T2008" s="1417">
        <f>IF(LEFT(T$6,4)&lt;=LEFT('RFM input'!$G$60,4),"enter input",IF(LEFT(T$6,4)&gt;LEFT('RFM input'!$Q$60,4),0,
IF(MATCH(T$6,'RFM input'!$H$60:$Q$60,0),INDEX('RFM input'!$T$7:$T$56,$A2007,1,1))))</f>
        <v>0</v>
      </c>
      <c r="U2008" s="1417">
        <f>IF(LEFT(U$6,4)&lt;=LEFT('RFM input'!$G$60,4),"enter input",IF(LEFT(U$6,4)&gt;LEFT('RFM input'!$Q$60,4),0,
IF(MATCH(U$6,'RFM input'!$H$60:$Q$60,0),INDEX('RFM input'!$T$7:$T$56,$A2007,1,1))))</f>
        <v>0</v>
      </c>
      <c r="V2008" s="1417">
        <f>IF(LEFT(V$6,4)&lt;=LEFT('RFM input'!$G$60,4),"enter input",IF(LEFT(V$6,4)&gt;LEFT('RFM input'!$Q$60,4),0,
IF(MATCH(V$6,'RFM input'!$H$60:$Q$60,0),INDEX('RFM input'!$T$7:$T$56,$A2007,1,1))))</f>
        <v>0</v>
      </c>
      <c r="W2008" s="1417">
        <f>IF(LEFT(W$6,4)&lt;=LEFT('RFM input'!$G$60,4),"enter input",IF(LEFT(W$6,4)&gt;LEFT('RFM input'!$Q$60,4),0,
IF(MATCH(W$6,'RFM input'!$H$60:$Q$60,0),INDEX('RFM input'!$T$7:$T$56,$A2007,1,1))))</f>
        <v>0</v>
      </c>
      <c r="X2008" s="152"/>
      <c r="Y2008" s="152"/>
      <c r="Z2008" s="152"/>
      <c r="AA2008" s="152"/>
      <c r="AB2008" s="152"/>
    </row>
    <row r="2009" spans="1:28">
      <c r="A2009" s="152"/>
      <c r="B2009" s="193" t="s">
        <v>192</v>
      </c>
      <c r="C2009" s="1419"/>
      <c r="D2009" s="1420">
        <f ca="1">IF(LEFT(D$6,4)&lt;=LEFT('RFM input'!$G$60,4),"enter input",IF(LEFT(D$6,4)&gt;LEFT('RFM input'!$Q$60,4),0,
IF(D$6=(OFFSET('RFM input'!$G$60,0,'RFM input'!$V$7)),OFFSET('RFM input'!$H$411,$A2007,0),0)))</f>
        <v>0</v>
      </c>
      <c r="E2009" s="1417">
        <f ca="1">IF(LEFT(E$6,4)&lt;=LEFT('RFM input'!$G$60,4),"enter input",IF(LEFT(E$6,4)&gt;LEFT('RFM input'!$Q$60,4),0,
IF(E$6=(OFFSET('RFM input'!$G$60,0,'RFM input'!$V$7)),OFFSET('RFM input'!$H$411,$A2007,0),0)))</f>
        <v>0</v>
      </c>
      <c r="F2009" s="1417">
        <f ca="1">IF(LEFT(F$6,4)&lt;=LEFT('RFM input'!$G$60,4),"enter input",IF(LEFT(F$6,4)&gt;LEFT('RFM input'!$Q$60,4),0,
IF(F$6=(OFFSET('RFM input'!$G$60,0,'RFM input'!$V$7)),OFFSET('RFM input'!$H$411,$A2007,0),0)))</f>
        <v>0</v>
      </c>
      <c r="G2009" s="1417">
        <f ca="1">IF(LEFT(G$6,4)&lt;=LEFT('RFM input'!$G$60,4),"enter input",IF(LEFT(G$6,4)&gt;LEFT('RFM input'!$Q$60,4),0,
IF(G$6=(OFFSET('RFM input'!$G$60,0,'RFM input'!$V$7)),OFFSET('RFM input'!$H$411,$A2007,0),0)))</f>
        <v>0</v>
      </c>
      <c r="H2009" s="1417">
        <f ca="1">IF(LEFT(H$6,4)&lt;=LEFT('RFM input'!$G$60,4),"enter input",IF(LEFT(H$6,4)&gt;LEFT('RFM input'!$Q$60,4),0,
IF(H$6=(OFFSET('RFM input'!$G$60,0,'RFM input'!$V$7)),OFFSET('RFM input'!$H$411,$A2007,0),0)))</f>
        <v>0</v>
      </c>
      <c r="I2009" s="1417">
        <f ca="1">IF(LEFT(I$6,4)&lt;=LEFT('RFM input'!$G$60,4),"enter input",IF(LEFT(I$6,4)&gt;LEFT('RFM input'!$Q$60,4),0,
IF(I$6=(OFFSET('RFM input'!$G$60,0,'RFM input'!$V$7)),OFFSET('RFM input'!$H$411,$A2007,0),0)))</f>
        <v>0</v>
      </c>
      <c r="J2009" s="1417">
        <f ca="1">IF(LEFT(J$6,4)&lt;=LEFT('RFM input'!$G$60,4),"enter input",IF(LEFT(J$6,4)&gt;LEFT('RFM input'!$Q$60,4),0,
IF(J$6=(OFFSET('RFM input'!$G$60,0,'RFM input'!$V$7)),OFFSET('RFM input'!$H$411,$A2007,0),0)))</f>
        <v>0</v>
      </c>
      <c r="K2009" s="1417">
        <f ca="1">IF(LEFT(K$6,4)&lt;=LEFT('RFM input'!$G$60,4),"enter input",IF(LEFT(K$6,4)&gt;LEFT('RFM input'!$Q$60,4),0,
IF(K$6=(OFFSET('RFM input'!$G$60,0,'RFM input'!$V$7)),OFFSET('RFM input'!$H$411,$A2007,0),0)))</f>
        <v>0</v>
      </c>
      <c r="L2009" s="1417">
        <f ca="1">IF(LEFT(L$6,4)&lt;=LEFT('RFM input'!$G$60,4),"enter input",IF(LEFT(L$6,4)&gt;LEFT('RFM input'!$Q$60,4),0,
IF(L$6=(OFFSET('RFM input'!$G$60,0,'RFM input'!$V$7)),OFFSET('RFM input'!$H$411,$A2007,0),0)))</f>
        <v>0</v>
      </c>
      <c r="M2009" s="1417">
        <f ca="1">IF(LEFT(M$6,4)&lt;=LEFT('RFM input'!$G$60,4),"enter input",IF(LEFT(M$6,4)&gt;LEFT('RFM input'!$Q$60,4),0,
IF(M$6=(OFFSET('RFM input'!$G$60,0,'RFM input'!$V$7)),OFFSET('RFM input'!$H$411,$A2007,0),0)))</f>
        <v>0</v>
      </c>
      <c r="N2009" s="1417">
        <f ca="1">IF(LEFT(N$6,4)&lt;=LEFT('RFM input'!$G$60,4),"enter input",IF(LEFT(N$6,4)&gt;LEFT('RFM input'!$Q$60,4),0,
IF(N$6=(OFFSET('RFM input'!$G$60,0,'RFM input'!$V$7)),OFFSET('RFM input'!$H$411,$A2007,0),0)))</f>
        <v>0</v>
      </c>
      <c r="O2009" s="1417">
        <f ca="1">IF(LEFT(O$6,4)&lt;=LEFT('RFM input'!$G$60,4),"enter input",IF(LEFT(O$6,4)&gt;LEFT('RFM input'!$Q$60,4),0,
IF(O$6=(OFFSET('RFM input'!$G$60,0,'RFM input'!$V$7)),OFFSET('RFM input'!$H$411,$A2007,0),0)))</f>
        <v>0</v>
      </c>
      <c r="P2009" s="1417">
        <f ca="1">IF(LEFT(P$6,4)&lt;=LEFT('RFM input'!$G$60,4),"enter input",IF(LEFT(P$6,4)&gt;LEFT('RFM input'!$Q$60,4),0,
IF(P$6=(OFFSET('RFM input'!$G$60,0,'RFM input'!$V$7)),OFFSET('RFM input'!$H$411,$A2007,0),0)))</f>
        <v>0</v>
      </c>
      <c r="Q2009" s="1417">
        <f ca="1">IF(LEFT(Q$6,4)&lt;=LEFT('RFM input'!$G$60,4),"enter input",IF(LEFT(Q$6,4)&gt;LEFT('RFM input'!$Q$60,4),0,
IF(Q$6=(OFFSET('RFM input'!$G$60,0,'RFM input'!$V$7)),OFFSET('RFM input'!$H$411,$A2007,0),0)))</f>
        <v>0</v>
      </c>
      <c r="R2009" s="1417">
        <f ca="1">IF(LEFT(R$6,4)&lt;=LEFT('RFM input'!$G$60,4),"enter input",IF(LEFT(R$6,4)&gt;LEFT('RFM input'!$Q$60,4),0,
IF(R$6=(OFFSET('RFM input'!$G$60,0,'RFM input'!$V$7)),OFFSET('RFM input'!$H$411,$A2007,0),0)))</f>
        <v>0</v>
      </c>
      <c r="S2009" s="1417">
        <f ca="1">IF(LEFT(S$6,4)&lt;=LEFT('RFM input'!$G$60,4),"enter input",IF(LEFT(S$6,4)&gt;LEFT('RFM input'!$Q$60,4),0,
IF(S$6=(OFFSET('RFM input'!$G$60,0,'RFM input'!$V$7)),OFFSET('RFM input'!$H$411,$A2007,0),0)))</f>
        <v>0</v>
      </c>
      <c r="T2009" s="1417">
        <f ca="1">IF(LEFT(T$6,4)&lt;=LEFT('RFM input'!$G$60,4),"enter input",IF(LEFT(T$6,4)&gt;LEFT('RFM input'!$Q$60,4),0,
IF(T$6=(OFFSET('RFM input'!$G$60,0,'RFM input'!$V$7)),OFFSET('RFM input'!$H$411,$A2007,0),0)))</f>
        <v>0</v>
      </c>
      <c r="U2009" s="1417">
        <f ca="1">IF(LEFT(U$6,4)&lt;=LEFT('RFM input'!$G$60,4),"enter input",IF(LEFT(U$6,4)&gt;LEFT('RFM input'!$Q$60,4),0,
IF(U$6=(OFFSET('RFM input'!$G$60,0,'RFM input'!$V$7)),OFFSET('RFM input'!$H$411,$A2007,0),0)))</f>
        <v>0</v>
      </c>
      <c r="V2009" s="1417">
        <f ca="1">IF(LEFT(V$6,4)&lt;=LEFT('RFM input'!$G$60,4),"enter input",IF(LEFT(V$6,4)&gt;LEFT('RFM input'!$Q$60,4),0,
IF(V$6=(OFFSET('RFM input'!$G$60,0,'RFM input'!$V$7)),OFFSET('RFM input'!$H$411,$A2007,0),0)))</f>
        <v>0</v>
      </c>
      <c r="W2009" s="1417">
        <f ca="1">IF(LEFT(W$6,4)&lt;=LEFT('RFM input'!$G$60,4),"enter input",IF(LEFT(W$6,4)&gt;LEFT('RFM input'!$Q$60,4),0,
IF(W$6=(OFFSET('RFM input'!$G$60,0,'RFM input'!$V$7)),OFFSET('RFM input'!$H$411,$A2007,0),0)))</f>
        <v>0</v>
      </c>
      <c r="X2009" s="152"/>
      <c r="Y2009" s="152"/>
      <c r="Z2009" s="152"/>
      <c r="AA2009" s="152"/>
      <c r="AB2009" s="152"/>
    </row>
    <row r="2010" spans="1:28">
      <c r="A2010" s="152"/>
      <c r="B2010" s="193" t="s">
        <v>200</v>
      </c>
      <c r="C2010" s="1419"/>
      <c r="D2010" s="1418">
        <f ca="1">IF(LEFT(D$6,4)&lt;=LEFT('RFM input'!$G$60,4),"enter input",IF(LEFT(D$6,4)&gt;LEFT('RFM input'!$Q$60,4),0,
IF(D$6=(OFFSET('RFM input'!$G$60,0,'RFM input'!$V$7)),OFFSET('RFM input'!$J$411,$A2007,0),0)))</f>
        <v>0</v>
      </c>
      <c r="E2010" s="1422">
        <f ca="1">IF(LEFT(E$6,4)&lt;=LEFT('RFM input'!$G$60,4),"enter input",IF(LEFT(E$6,4)&gt;LEFT('RFM input'!$Q$60,4),0,
IF(E$6=(OFFSET('RFM input'!$G$60,0,'RFM input'!$V$7)),OFFSET('RFM input'!$J$411,$A2007,0),0)))</f>
        <v>0</v>
      </c>
      <c r="F2010" s="1422">
        <f ca="1">IF(LEFT(F$6,4)&lt;=LEFT('RFM input'!$G$60,4),"enter input",IF(LEFT(F$6,4)&gt;LEFT('RFM input'!$Q$60,4),0,
IF(F$6=(OFFSET('RFM input'!$G$60,0,'RFM input'!$V$7)),OFFSET('RFM input'!$J$411,$A2007,0),0)))</f>
        <v>0</v>
      </c>
      <c r="G2010" s="1422">
        <f ca="1">IF(LEFT(G$6,4)&lt;=LEFT('RFM input'!$G$60,4),"enter input",IF(LEFT(G$6,4)&gt;LEFT('RFM input'!$Q$60,4),0,
IF(G$6=(OFFSET('RFM input'!$G$60,0,'RFM input'!$V$7)),OFFSET('RFM input'!$J$411,$A2007,0),0)))</f>
        <v>0</v>
      </c>
      <c r="H2010" s="1422">
        <f ca="1">IF(LEFT(H$6,4)&lt;=LEFT('RFM input'!$G$60,4),"enter input",IF(LEFT(H$6,4)&gt;LEFT('RFM input'!$Q$60,4),0,
IF(H$6=(OFFSET('RFM input'!$G$60,0,'RFM input'!$V$7)),OFFSET('RFM input'!$J$411,$A2007,0),0)))</f>
        <v>0</v>
      </c>
      <c r="I2010" s="1422">
        <f ca="1">IF(LEFT(I$6,4)&lt;=LEFT('RFM input'!$G$60,4),"enter input",IF(LEFT(I$6,4)&gt;LEFT('RFM input'!$Q$60,4),0,
IF(I$6=(OFFSET('RFM input'!$G$60,0,'RFM input'!$V$7)),OFFSET('RFM input'!$J$411,$A2007,0),0)))</f>
        <v>0</v>
      </c>
      <c r="J2010" s="1422">
        <f ca="1">IF(LEFT(J$6,4)&lt;=LEFT('RFM input'!$G$60,4),"enter input",IF(LEFT(J$6,4)&gt;LEFT('RFM input'!$Q$60,4),0,
IF(J$6=(OFFSET('RFM input'!$G$60,0,'RFM input'!$V$7)),OFFSET('RFM input'!$J$411,$A2007,0),0)))</f>
        <v>0</v>
      </c>
      <c r="K2010" s="1422">
        <f ca="1">IF(LEFT(K$6,4)&lt;=LEFT('RFM input'!$G$60,4),"enter input",IF(LEFT(K$6,4)&gt;LEFT('RFM input'!$Q$60,4),0,
IF(K$6=(OFFSET('RFM input'!$G$60,0,'RFM input'!$V$7)),OFFSET('RFM input'!$J$411,$A2007,0),0)))</f>
        <v>0</v>
      </c>
      <c r="L2010" s="1422">
        <f ca="1">IF(LEFT(L$6,4)&lt;=LEFT('RFM input'!$G$60,4),"enter input",IF(LEFT(L$6,4)&gt;LEFT('RFM input'!$Q$60,4),0,
IF(L$6=(OFFSET('RFM input'!$G$60,0,'RFM input'!$V$7)),OFFSET('RFM input'!$J$411,$A2007,0),0)))</f>
        <v>0</v>
      </c>
      <c r="M2010" s="1422">
        <f ca="1">IF(LEFT(M$6,4)&lt;=LEFT('RFM input'!$G$60,4),"enter input",IF(LEFT(M$6,4)&gt;LEFT('RFM input'!$Q$60,4),0,
IF(M$6=(OFFSET('RFM input'!$G$60,0,'RFM input'!$V$7)),OFFSET('RFM input'!$J$411,$A2007,0),0)))</f>
        <v>0</v>
      </c>
      <c r="N2010" s="1422">
        <f ca="1">IF(LEFT(N$6,4)&lt;=LEFT('RFM input'!$G$60,4),"enter input",IF(LEFT(N$6,4)&gt;LEFT('RFM input'!$Q$60,4),0,
IF(N$6=(OFFSET('RFM input'!$G$60,0,'RFM input'!$V$7)),OFFSET('RFM input'!$J$411,$A2007,0),0)))</f>
        <v>0</v>
      </c>
      <c r="O2010" s="1422">
        <f ca="1">IF(LEFT(O$6,4)&lt;=LEFT('RFM input'!$G$60,4),"enter input",IF(LEFT(O$6,4)&gt;LEFT('RFM input'!$Q$60,4),0,
IF(O$6=(OFFSET('RFM input'!$G$60,0,'RFM input'!$V$7)),OFFSET('RFM input'!$J$411,$A2007,0),0)))</f>
        <v>0</v>
      </c>
      <c r="P2010" s="1422">
        <f ca="1">IF(LEFT(P$6,4)&lt;=LEFT('RFM input'!$G$60,4),"enter input",IF(LEFT(P$6,4)&gt;LEFT('RFM input'!$Q$60,4),0,
IF(P$6=(OFFSET('RFM input'!$G$60,0,'RFM input'!$V$7)),OFFSET('RFM input'!$J$411,$A2007,0),0)))</f>
        <v>0</v>
      </c>
      <c r="Q2010" s="1422">
        <f ca="1">IF(LEFT(Q$6,4)&lt;=LEFT('RFM input'!$G$60,4),"enter input",IF(LEFT(Q$6,4)&gt;LEFT('RFM input'!$Q$60,4),0,
IF(Q$6=(OFFSET('RFM input'!$G$60,0,'RFM input'!$V$7)),OFFSET('RFM input'!$J$411,$A2007,0),0)))</f>
        <v>0</v>
      </c>
      <c r="R2010" s="1422">
        <f ca="1">IF(LEFT(R$6,4)&lt;=LEFT('RFM input'!$G$60,4),"enter input",IF(LEFT(R$6,4)&gt;LEFT('RFM input'!$Q$60,4),0,
IF(R$6=(OFFSET('RFM input'!$G$60,0,'RFM input'!$V$7)),OFFSET('RFM input'!$J$411,$A2007,0),0)))</f>
        <v>0</v>
      </c>
      <c r="S2010" s="1422">
        <f ca="1">IF(LEFT(S$6,4)&lt;=LEFT('RFM input'!$G$60,4),"enter input",IF(LEFT(S$6,4)&gt;LEFT('RFM input'!$Q$60,4),0,
IF(S$6=(OFFSET('RFM input'!$G$60,0,'RFM input'!$V$7)),OFFSET('RFM input'!$J$411,$A2007,0),0)))</f>
        <v>0</v>
      </c>
      <c r="T2010" s="1422">
        <f ca="1">IF(LEFT(T$6,4)&lt;=LEFT('RFM input'!$G$60,4),"enter input",IF(LEFT(T$6,4)&gt;LEFT('RFM input'!$Q$60,4),0,
IF(T$6=(OFFSET('RFM input'!$G$60,0,'RFM input'!$V$7)),OFFSET('RFM input'!$J$411,$A2007,0),0)))</f>
        <v>0</v>
      </c>
      <c r="U2010" s="1422">
        <f ca="1">IF(LEFT(U$6,4)&lt;=LEFT('RFM input'!$G$60,4),"enter input",IF(LEFT(U$6,4)&gt;LEFT('RFM input'!$Q$60,4),0,
IF(U$6=(OFFSET('RFM input'!$G$60,0,'RFM input'!$V$7)),OFFSET('RFM input'!$J$411,$A2007,0),0)))</f>
        <v>0</v>
      </c>
      <c r="V2010" s="1422">
        <f ca="1">IF(LEFT(V$6,4)&lt;=LEFT('RFM input'!$G$60,4),"enter input",IF(LEFT(V$6,4)&gt;LEFT('RFM input'!$Q$60,4),0,
IF(V$6=(OFFSET('RFM input'!$G$60,0,'RFM input'!$V$7)),OFFSET('RFM input'!$J$411,$A2007,0),0)))</f>
        <v>0</v>
      </c>
      <c r="W2010" s="1422">
        <f ca="1">IF(LEFT(W$6,4)&lt;=LEFT('RFM input'!$G$60,4),"enter input",IF(LEFT(W$6,4)&gt;LEFT('RFM input'!$Q$60,4),0,
IF(W$6=(OFFSET('RFM input'!$G$60,0,'RFM input'!$V$7)),OFFSET('RFM input'!$J$411,$A2007,0),0)))</f>
        <v>0</v>
      </c>
      <c r="X2010" s="152"/>
      <c r="Y2010" s="152"/>
      <c r="Z2010" s="152"/>
      <c r="AA2010" s="152"/>
      <c r="AB2010" s="152"/>
    </row>
    <row r="2011" spans="1:28" hidden="1" outlineLevel="1">
      <c r="A2011" s="235">
        <v>-1</v>
      </c>
      <c r="B2011" s="190" t="s">
        <v>195</v>
      </c>
      <c r="C2011" s="1423"/>
      <c r="D2011" s="1423">
        <f t="shared" ref="D2011" ca="1" si="2912">IF(AND(D2009=0,C2011=0),0,
IF(AND(D2009&lt;&gt;0,C2011=0),D2009,
IF(AND(D2010&lt;&gt;0,C2011&lt;&gt;0),(C2011-(C2011/C2035))+D2009,
IF(C2035&lt;1,0,(C2011-(C2011/C2035))))))</f>
        <v>0</v>
      </c>
      <c r="E2011" s="1423">
        <f t="shared" ref="E2011" ca="1" si="2913">IF(AND(E2009=0,D2011=0),0,
IF(AND(E2009&lt;&gt;0,D2011=0),E2009,
IF(AND(E2010&lt;&gt;0,D2011&lt;&gt;0),(D2011-(D2011/D2035))+E2009,
IF(D2035&lt;1,0,(D2011-(D2011/D2035))))))</f>
        <v>0</v>
      </c>
      <c r="F2011" s="1423">
        <f t="shared" ref="F2011" ca="1" si="2914">IF(AND(F2009=0,E2011=0),0,
IF(AND(F2009&lt;&gt;0,E2011=0),F2009,
IF(AND(F2010&lt;&gt;0,E2011&lt;&gt;0),(E2011-(E2011/E2035))+F2009,
IF(E2035&lt;1,0,(E2011-(E2011/E2035))))))</f>
        <v>0</v>
      </c>
      <c r="G2011" s="1423">
        <f t="shared" ref="G2011" ca="1" si="2915">IF(AND(G2009=0,F2011=0),0,
IF(AND(G2009&lt;&gt;0,F2011=0),G2009,
IF(AND(G2010&lt;&gt;0,F2011&lt;&gt;0),(F2011-(F2011/F2035))+G2009,
IF(F2035&lt;1,0,(F2011-(F2011/F2035))))))</f>
        <v>0</v>
      </c>
      <c r="H2011" s="1423">
        <f ca="1">IF(AND(H2009=0,G2011=0),0,
IF(AND(H2009&lt;&gt;0,G2011=0),H2009,
IF(AND(H2010&lt;&gt;0,G2011&lt;&gt;0),(G2011-(G2011/G2035))+H2009,
IF(G2035&lt;1,0,(G2011-(G2011/G2035))))))</f>
        <v>0</v>
      </c>
      <c r="I2011" s="1423">
        <f t="shared" ref="I2011" ca="1" si="2916">IF(AND(I2009=0,H2011=0),0,
IF(AND(I2009&lt;&gt;0,H2011=0),I2009,
IF(AND(I2010&lt;&gt;0,H2011&lt;&gt;0),(H2011-(H2011/H2035))+I2009,
IF(H2035&lt;1,0,(H2011-(H2011/H2035))))))</f>
        <v>0</v>
      </c>
      <c r="J2011" s="1423">
        <f t="shared" ref="J2011" ca="1" si="2917">IF(AND(J2009=0,I2011=0),0,
IF(AND(J2009&lt;&gt;0,I2011=0),J2009,
IF(AND(J2010&lt;&gt;0,I2011&lt;&gt;0),(I2011-(I2011/I2035))+J2009,
IF(I2035&lt;1,0,(I2011-(I2011/I2035))))))</f>
        <v>0</v>
      </c>
      <c r="K2011" s="1423">
        <f t="shared" ref="K2011" ca="1" si="2918">IF(AND(K2009=0,J2011=0),0,
IF(AND(K2009&lt;&gt;0,J2011=0),K2009,
IF(AND(K2010&lt;&gt;0,J2011&lt;&gt;0),(J2011-(J2011/J2035))+K2009,
IF(J2035&lt;1,0,(J2011-(J2011/J2035))))))</f>
        <v>0</v>
      </c>
      <c r="L2011" s="1423">
        <f t="shared" ref="L2011" ca="1" si="2919">IF(AND(L2009=0,K2011=0),0,
IF(AND(L2009&lt;&gt;0,K2011=0),L2009,
IF(AND(L2010&lt;&gt;0,K2011&lt;&gt;0),(K2011-(K2011/K2035))+L2009,
IF(K2035&lt;1,0,(K2011-(K2011/K2035))))))</f>
        <v>0</v>
      </c>
      <c r="M2011" s="1423">
        <f t="shared" ref="M2011" ca="1" si="2920">IF(AND(M2009=0,L2011=0),0,
IF(AND(M2009&lt;&gt;0,L2011=0),M2009,
IF(AND(M2010&lt;&gt;0,L2011&lt;&gt;0),(L2011-(L2011/L2035))+M2009,
IF(L2035&lt;1,0,(L2011-(L2011/L2035))))))</f>
        <v>0</v>
      </c>
      <c r="N2011" s="1423">
        <f t="shared" ref="N2011" ca="1" si="2921">IF(AND(N2009=0,M2011=0),0,
IF(AND(N2009&lt;&gt;0,M2011=0),N2009,
IF(AND(N2010&lt;&gt;0,M2011&lt;&gt;0),(M2011-(M2011/M2035))+N2009,
IF(M2035&lt;1,0,(M2011-(M2011/M2035))))))</f>
        <v>0</v>
      </c>
      <c r="O2011" s="1423">
        <f t="shared" ref="O2011" ca="1" si="2922">IF(AND(O2009=0,N2011=0),0,
IF(AND(O2009&lt;&gt;0,N2011=0),O2009,
IF(AND(O2010&lt;&gt;0,N2011&lt;&gt;0),(N2011-(N2011/N2035))+O2009,
IF(N2035&lt;1,0,(N2011-(N2011/N2035))))))</f>
        <v>0</v>
      </c>
      <c r="P2011" s="1423">
        <f t="shared" ref="P2011" ca="1" si="2923">IF(AND(P2009=0,O2011=0),0,
IF(AND(P2009&lt;&gt;0,O2011=0),P2009,
IF(AND(P2010&lt;&gt;0,O2011&lt;&gt;0),(O2011-(O2011/O2035))+P2009,
IF(O2035&lt;1,0,(O2011-(O2011/O2035))))))</f>
        <v>0</v>
      </c>
      <c r="Q2011" s="1423">
        <f t="shared" ref="Q2011" ca="1" si="2924">IF(AND(Q2009=0,P2011=0),0,
IF(AND(Q2009&lt;&gt;0,P2011=0),Q2009,
IF(AND(Q2010&lt;&gt;0,P2011&lt;&gt;0),(P2011-(P2011/P2035))+Q2009,
IF(P2035&lt;1,0,(P2011-(P2011/P2035))))))</f>
        <v>0</v>
      </c>
      <c r="R2011" s="1423">
        <f t="shared" ref="R2011" ca="1" si="2925">IF(AND(R2009=0,Q2011=0),0,
IF(AND(R2009&lt;&gt;0,Q2011=0),R2009,
IF(AND(R2010&lt;&gt;0,Q2011&lt;&gt;0),(Q2011-(Q2011/Q2035))+R2009,
IF(Q2035&lt;1,0,(Q2011-(Q2011/Q2035))))))</f>
        <v>0</v>
      </c>
      <c r="S2011" s="1423">
        <f t="shared" ref="S2011" ca="1" si="2926">IF(AND(S2009=0,R2011=0),0,
IF(AND(S2009&lt;&gt;0,R2011=0),S2009,
IF(AND(S2010&lt;&gt;0,R2011&lt;&gt;0),(R2011-(R2011/R2035))+S2009,
IF(R2035&lt;1,0,(R2011-(R2011/R2035))))))</f>
        <v>0</v>
      </c>
      <c r="T2011" s="1423">
        <f t="shared" ref="T2011" ca="1" si="2927">IF(AND(T2009=0,S2011=0),0,
IF(AND(T2009&lt;&gt;0,S2011=0),T2009,
IF(AND(T2010&lt;&gt;0,S2011&lt;&gt;0),(S2011-(S2011/S2035))+T2009,
IF(S2035&lt;1,0,(S2011-(S2011/S2035))))))</f>
        <v>0</v>
      </c>
      <c r="U2011" s="1423">
        <f t="shared" ref="U2011" ca="1" si="2928">IF(AND(U2009=0,T2011=0),0,
IF(AND(U2009&lt;&gt;0,T2011=0),U2009,
IF(AND(U2010&lt;&gt;0,T2011&lt;&gt;0),(T2011-(T2011/T2035))+U2009,
IF(T2035&lt;1,0,(T2011-(T2011/T2035))))))</f>
        <v>0</v>
      </c>
      <c r="V2011" s="1423">
        <f t="shared" ref="V2011" ca="1" si="2929">IF(AND(V2009=0,U2011=0),0,
IF(AND(V2009&lt;&gt;0,U2011=0),V2009,
IF(AND(V2010&lt;&gt;0,U2011&lt;&gt;0),(U2011-(U2011/U2035))+V2009,
IF(U2035&lt;1,0,(U2011-(U2011/U2035))))))</f>
        <v>0</v>
      </c>
      <c r="W2011" s="1423">
        <f t="shared" ref="W2011" ca="1" si="2930">IF(AND(W2009=0,V2011=0),0,
IF(AND(W2009&lt;&gt;0,V2011=0),W2009,
IF(AND(W2010&lt;&gt;0,V2011&lt;&gt;0),(V2011-(V2011/V2035))+W2009,
IF(V2035&lt;1,0,(V2011-(V2011/V2035))))))</f>
        <v>0</v>
      </c>
      <c r="X2011" s="152"/>
      <c r="Y2011" s="152"/>
      <c r="Z2011" s="152"/>
      <c r="AA2011" s="152"/>
      <c r="AB2011" s="152"/>
    </row>
    <row r="2012" spans="1:28" hidden="1" outlineLevel="1">
      <c r="A2012" s="199">
        <f>A2011+1</f>
        <v>0</v>
      </c>
      <c r="B2012" s="190" t="s">
        <v>527</v>
      </c>
      <c r="C2012" s="1423">
        <f ca="1">C2007</f>
        <v>0</v>
      </c>
      <c r="D2012" s="1423">
        <f ca="1">IF(C2036="n/a",C2012,IFERROR(IF((OFFSET($C2012,0,$A2012))&lt;0,
MIN(0,C2012-(OFFSET($C2012,0,$A2012)/(OFFSET($C2007,-$A2011,$A2012)))),
MAX(0,C2012-(OFFSET($C2012,0,$A2012)/(OFFSET($C2007,-$A2011,$A2012))))),0))</f>
        <v>0</v>
      </c>
      <c r="E2012" s="1423">
        <f t="shared" ref="E2012" ca="1" si="2931">IF(D2036="n/a",D2012,IFERROR(IF((OFFSET($C2012,0,$A2012))&lt;0,
MIN(0,D2012-(OFFSET($C2012,0,$A2012)/(OFFSET($C2007,-$A2011,$A2012)))),
MAX(0,D2012-(OFFSET($C2012,0,$A2012)/(OFFSET($C2007,-$A2011,$A2012))))),0))</f>
        <v>0</v>
      </c>
      <c r="F2012" s="1423">
        <f t="shared" ref="F2012:F2013" ca="1" si="2932">IF(E2036="n/a",E2012,IFERROR(IF((OFFSET($C2012,0,$A2012))&lt;0,
MIN(0,E2012-(OFFSET($C2012,0,$A2012)/(OFFSET($C2007,-$A2011,$A2012)))),
MAX(0,E2012-(OFFSET($C2012,0,$A2012)/(OFFSET($C2007,-$A2011,$A2012))))),0))</f>
        <v>0</v>
      </c>
      <c r="G2012" s="1423">
        <f t="shared" ref="G2012:G2014" ca="1" si="2933">IF(F2036="n/a",F2012,IFERROR(IF((OFFSET($C2012,0,$A2012))&lt;0,
MIN(0,F2012-(OFFSET($C2012,0,$A2012)/(OFFSET($C2007,-$A2011,$A2012)))),
MAX(0,F2012-(OFFSET($C2012,0,$A2012)/(OFFSET($C2007,-$A2011,$A2012))))),0))</f>
        <v>0</v>
      </c>
      <c r="H2012" s="1423">
        <f t="shared" ref="H2012:H2015" ca="1" si="2934">IF(G2036="n/a",G2012,IFERROR(IF((OFFSET($C2012,0,$A2012))&lt;0,
MIN(0,G2012-(OFFSET($C2012,0,$A2012)/(OFFSET($C2007,-$A2011,$A2012)))),
MAX(0,G2012-(OFFSET($C2012,0,$A2012)/(OFFSET($C2007,-$A2011,$A2012))))),0))</f>
        <v>0</v>
      </c>
      <c r="I2012" s="1423">
        <f t="shared" ref="I2012:I2016" ca="1" si="2935">IF(H2036="n/a",H2012,IFERROR(IF((OFFSET($C2012,0,$A2012))&lt;0,
MIN(0,H2012-(OFFSET($C2012,0,$A2012)/(OFFSET($C2007,-$A2011,$A2012)))),
MAX(0,H2012-(OFFSET($C2012,0,$A2012)/(OFFSET($C2007,-$A2011,$A2012))))),0))</f>
        <v>0</v>
      </c>
      <c r="J2012" s="1423">
        <f t="shared" ref="J2012:J2017" ca="1" si="2936">IF(I2036="n/a",I2012,IFERROR(IF((OFFSET($C2012,0,$A2012))&lt;0,
MIN(0,I2012-(OFFSET($C2012,0,$A2012)/(OFFSET($C2007,-$A2011,$A2012)))),
MAX(0,I2012-(OFFSET($C2012,0,$A2012)/(OFFSET($C2007,-$A2011,$A2012))))),0))</f>
        <v>0</v>
      </c>
      <c r="K2012" s="1423">
        <f t="shared" ref="K2012:K2018" ca="1" si="2937">IF(J2036="n/a",J2012,IFERROR(IF((OFFSET($C2012,0,$A2012))&lt;0,
MIN(0,J2012-(OFFSET($C2012,0,$A2012)/(OFFSET($C2007,-$A2011,$A2012)))),
MAX(0,J2012-(OFFSET($C2012,0,$A2012)/(OFFSET($C2007,-$A2011,$A2012))))),0))</f>
        <v>0</v>
      </c>
      <c r="L2012" s="1423">
        <f t="shared" ref="L2012:L2019" ca="1" si="2938">IF(K2036="n/a",K2012,IFERROR(IF((OFFSET($C2012,0,$A2012))&lt;0,
MIN(0,K2012-(OFFSET($C2012,0,$A2012)/(OFFSET($C2007,-$A2011,$A2012)))),
MAX(0,K2012-(OFFSET($C2012,0,$A2012)/(OFFSET($C2007,-$A2011,$A2012))))),0))</f>
        <v>0</v>
      </c>
      <c r="M2012" s="1423">
        <f t="shared" ref="M2012:M2020" ca="1" si="2939">IF(L2036="n/a",L2012,IFERROR(IF((OFFSET($C2012,0,$A2012))&lt;0,
MIN(0,L2012-(OFFSET($C2012,0,$A2012)/(OFFSET($C2007,-$A2011,$A2012)))),
MAX(0,L2012-(OFFSET($C2012,0,$A2012)/(OFFSET($C2007,-$A2011,$A2012))))),0))</f>
        <v>0</v>
      </c>
      <c r="N2012" s="1423">
        <f t="shared" ref="N2012:N2021" ca="1" si="2940">IF(M2036="n/a",M2012,IFERROR(IF((OFFSET($C2012,0,$A2012))&lt;0,
MIN(0,M2012-(OFFSET($C2012,0,$A2012)/(OFFSET($C2007,-$A2011,$A2012)))),
MAX(0,M2012-(OFFSET($C2012,0,$A2012)/(OFFSET($C2007,-$A2011,$A2012))))),0))</f>
        <v>0</v>
      </c>
      <c r="O2012" s="1423">
        <f t="shared" ref="O2012:O2022" ca="1" si="2941">IF(N2036="n/a",N2012,IFERROR(IF((OFFSET($C2012,0,$A2012))&lt;0,
MIN(0,N2012-(OFFSET($C2012,0,$A2012)/(OFFSET($C2007,-$A2011,$A2012)))),
MAX(0,N2012-(OFFSET($C2012,0,$A2012)/(OFFSET($C2007,-$A2011,$A2012))))),0))</f>
        <v>0</v>
      </c>
      <c r="P2012" s="1423">
        <f t="shared" ref="P2012:P2023" ca="1" si="2942">IF(O2036="n/a",O2012,IFERROR(IF((OFFSET($C2012,0,$A2012))&lt;0,
MIN(0,O2012-(OFFSET($C2012,0,$A2012)/(OFFSET($C2007,-$A2011,$A2012)))),
MAX(0,O2012-(OFFSET($C2012,0,$A2012)/(OFFSET($C2007,-$A2011,$A2012))))),0))</f>
        <v>0</v>
      </c>
      <c r="Q2012" s="1423">
        <f t="shared" ref="Q2012:Q2024" ca="1" si="2943">IF(P2036="n/a",P2012,IFERROR(IF((OFFSET($C2012,0,$A2012))&lt;0,
MIN(0,P2012-(OFFSET($C2012,0,$A2012)/(OFFSET($C2007,-$A2011,$A2012)))),
MAX(0,P2012-(OFFSET($C2012,0,$A2012)/(OFFSET($C2007,-$A2011,$A2012))))),0))</f>
        <v>0</v>
      </c>
      <c r="R2012" s="1423">
        <f t="shared" ref="R2012:R2025" ca="1" si="2944">IF(Q2036="n/a",Q2012,IFERROR(IF((OFFSET($C2012,0,$A2012))&lt;0,
MIN(0,Q2012-(OFFSET($C2012,0,$A2012)/(OFFSET($C2007,-$A2011,$A2012)))),
MAX(0,Q2012-(OFFSET($C2012,0,$A2012)/(OFFSET($C2007,-$A2011,$A2012))))),0))</f>
        <v>0</v>
      </c>
      <c r="S2012" s="1423">
        <f t="shared" ref="S2012:S2026" ca="1" si="2945">IF(R2036="n/a",R2012,IFERROR(IF((OFFSET($C2012,0,$A2012))&lt;0,
MIN(0,R2012-(OFFSET($C2012,0,$A2012)/(OFFSET($C2007,-$A2011,$A2012)))),
MAX(0,R2012-(OFFSET($C2012,0,$A2012)/(OFFSET($C2007,-$A2011,$A2012))))),0))</f>
        <v>0</v>
      </c>
      <c r="T2012" s="1423">
        <f t="shared" ref="T2012:T2027" ca="1" si="2946">IF(S2036="n/a",S2012,IFERROR(IF((OFFSET($C2012,0,$A2012))&lt;0,
MIN(0,S2012-(OFFSET($C2012,0,$A2012)/(OFFSET($C2007,-$A2011,$A2012)))),
MAX(0,S2012-(OFFSET($C2012,0,$A2012)/(OFFSET($C2007,-$A2011,$A2012))))),0))</f>
        <v>0</v>
      </c>
      <c r="U2012" s="1423">
        <f t="shared" ref="U2012:U2028" ca="1" si="2947">IF(T2036="n/a",T2012,IFERROR(IF((OFFSET($C2012,0,$A2012))&lt;0,
MIN(0,T2012-(OFFSET($C2012,0,$A2012)/(OFFSET($C2007,-$A2011,$A2012)))),
MAX(0,T2012-(OFFSET($C2012,0,$A2012)/(OFFSET($C2007,-$A2011,$A2012))))),0))</f>
        <v>0</v>
      </c>
      <c r="V2012" s="1423">
        <f t="shared" ref="V2012:V2029" ca="1" si="2948">IF(U2036="n/a",U2012,IFERROR(IF((OFFSET($C2012,0,$A2012))&lt;0,
MIN(0,U2012-(OFFSET($C2012,0,$A2012)/(OFFSET($C2007,-$A2011,$A2012)))),
MAX(0,U2012-(OFFSET($C2012,0,$A2012)/(OFFSET($C2007,-$A2011,$A2012))))),0))</f>
        <v>0</v>
      </c>
      <c r="W2012" s="1423">
        <f t="shared" ref="W2012:W2030" ca="1" si="2949">IF(V2036="n/a",V2012,IFERROR(IF((OFFSET($C2012,0,$A2012))&lt;0,
MIN(0,V2012-(OFFSET($C2012,0,$A2012)/(OFFSET($C2007,-$A2011,$A2012)))),
MAX(0,V2012-(OFFSET($C2012,0,$A2012)/(OFFSET($C2007,-$A2011,$A2012))))),0))</f>
        <v>0</v>
      </c>
      <c r="X2012" s="152"/>
      <c r="Y2012" s="152"/>
      <c r="Z2012" s="152"/>
      <c r="AA2012" s="152"/>
      <c r="AB2012" s="152"/>
    </row>
    <row r="2013" spans="1:28" hidden="1" outlineLevel="1">
      <c r="A2013" s="199">
        <f t="shared" ref="A2013:A2032" si="2950">A2012+1</f>
        <v>1</v>
      </c>
      <c r="B2013" s="190" t="str">
        <f t="shared" ref="B2013:B2032" ca="1" si="2951">"Depreciated Net Capex "&amp;OFFSET($C$6,0,A2013)</f>
        <v>Depreciated Net Capex 2016-17</v>
      </c>
      <c r="C2013" s="1424"/>
      <c r="D2013" s="1425">
        <f>D2007</f>
        <v>0</v>
      </c>
      <c r="E2013" s="1423">
        <f ca="1">IF(D2037="n/a",D2013,IFERROR(IF((OFFSET($C2013,0,$A2013))&lt;0,
MIN(0,D2013-(OFFSET($C2013,0,$A2013)/(OFFSET($C2008,-$A2012,$A2013)))),
MAX(0,D2013-(OFFSET($C2013,0,$A2013)/(OFFSET($C2008,-$A2012,$A2013))))),0))</f>
        <v>0</v>
      </c>
      <c r="F2013" s="1423">
        <f t="shared" ca="1" si="2932"/>
        <v>0</v>
      </c>
      <c r="G2013" s="1423">
        <f t="shared" ca="1" si="2933"/>
        <v>0</v>
      </c>
      <c r="H2013" s="1423">
        <f t="shared" ca="1" si="2934"/>
        <v>0</v>
      </c>
      <c r="I2013" s="1423">
        <f t="shared" ca="1" si="2935"/>
        <v>0</v>
      </c>
      <c r="J2013" s="1423">
        <f t="shared" ca="1" si="2936"/>
        <v>0</v>
      </c>
      <c r="K2013" s="1423">
        <f t="shared" ca="1" si="2937"/>
        <v>0</v>
      </c>
      <c r="L2013" s="1423">
        <f t="shared" ca="1" si="2938"/>
        <v>0</v>
      </c>
      <c r="M2013" s="1423">
        <f t="shared" ca="1" si="2939"/>
        <v>0</v>
      </c>
      <c r="N2013" s="1423">
        <f t="shared" ca="1" si="2940"/>
        <v>0</v>
      </c>
      <c r="O2013" s="1423">
        <f t="shared" ca="1" si="2941"/>
        <v>0</v>
      </c>
      <c r="P2013" s="1423">
        <f t="shared" ca="1" si="2942"/>
        <v>0</v>
      </c>
      <c r="Q2013" s="1423">
        <f t="shared" ca="1" si="2943"/>
        <v>0</v>
      </c>
      <c r="R2013" s="1423">
        <f t="shared" ca="1" si="2944"/>
        <v>0</v>
      </c>
      <c r="S2013" s="1423">
        <f t="shared" ca="1" si="2945"/>
        <v>0</v>
      </c>
      <c r="T2013" s="1423">
        <f t="shared" ca="1" si="2946"/>
        <v>0</v>
      </c>
      <c r="U2013" s="1423">
        <f t="shared" ca="1" si="2947"/>
        <v>0</v>
      </c>
      <c r="V2013" s="1423">
        <f t="shared" ca="1" si="2948"/>
        <v>0</v>
      </c>
      <c r="W2013" s="1423">
        <f t="shared" ca="1" si="2949"/>
        <v>0</v>
      </c>
      <c r="X2013" s="152"/>
      <c r="Y2013" s="152"/>
      <c r="Z2013" s="152"/>
      <c r="AA2013" s="152"/>
      <c r="AB2013" s="152"/>
    </row>
    <row r="2014" spans="1:28" hidden="1" outlineLevel="1">
      <c r="A2014" s="199">
        <f t="shared" si="2950"/>
        <v>2</v>
      </c>
      <c r="B2014" s="190" t="str">
        <f t="shared" ca="1" si="2951"/>
        <v>Depreciated Net Capex 2017-18</v>
      </c>
      <c r="C2014" s="1426"/>
      <c r="D2014" s="1427"/>
      <c r="E2014" s="1425">
        <f>E2007</f>
        <v>0</v>
      </c>
      <c r="F2014" s="1423">
        <f ca="1">IF(E2038="n/a",E2014,IFERROR(IF((OFFSET($C2014,0,$A2014))&lt;0,
MIN(0,E2014-(OFFSET($C2014,0,$A2014)/(OFFSET($C2009,-$A2013,$A2014)))),
MAX(0,E2014-(OFFSET($C2014,0,$A2014)/(OFFSET($C2009,-$A2013,$A2014))))),0))</f>
        <v>0</v>
      </c>
      <c r="G2014" s="1423">
        <f t="shared" ca="1" si="2933"/>
        <v>0</v>
      </c>
      <c r="H2014" s="1423">
        <f t="shared" ca="1" si="2934"/>
        <v>0</v>
      </c>
      <c r="I2014" s="1423">
        <f t="shared" ca="1" si="2935"/>
        <v>0</v>
      </c>
      <c r="J2014" s="1423">
        <f t="shared" ca="1" si="2936"/>
        <v>0</v>
      </c>
      <c r="K2014" s="1423">
        <f t="shared" ca="1" si="2937"/>
        <v>0</v>
      </c>
      <c r="L2014" s="1423">
        <f t="shared" ca="1" si="2938"/>
        <v>0</v>
      </c>
      <c r="M2014" s="1423">
        <f t="shared" ca="1" si="2939"/>
        <v>0</v>
      </c>
      <c r="N2014" s="1423">
        <f t="shared" ca="1" si="2940"/>
        <v>0</v>
      </c>
      <c r="O2014" s="1423">
        <f t="shared" ca="1" si="2941"/>
        <v>0</v>
      </c>
      <c r="P2014" s="1423">
        <f t="shared" ca="1" si="2942"/>
        <v>0</v>
      </c>
      <c r="Q2014" s="1423">
        <f t="shared" ca="1" si="2943"/>
        <v>0</v>
      </c>
      <c r="R2014" s="1423">
        <f t="shared" ca="1" si="2944"/>
        <v>0</v>
      </c>
      <c r="S2014" s="1423">
        <f t="shared" ca="1" si="2945"/>
        <v>0</v>
      </c>
      <c r="T2014" s="1423">
        <f t="shared" ca="1" si="2946"/>
        <v>0</v>
      </c>
      <c r="U2014" s="1423">
        <f t="shared" ca="1" si="2947"/>
        <v>0</v>
      </c>
      <c r="V2014" s="1423">
        <f t="shared" ca="1" si="2948"/>
        <v>0</v>
      </c>
      <c r="W2014" s="1423">
        <f t="shared" ca="1" si="2949"/>
        <v>0</v>
      </c>
      <c r="X2014" s="202"/>
      <c r="Y2014" s="152"/>
      <c r="Z2014" s="152"/>
      <c r="AA2014" s="152"/>
      <c r="AB2014" s="152"/>
    </row>
    <row r="2015" spans="1:28" hidden="1" outlineLevel="1">
      <c r="A2015" s="199">
        <f t="shared" si="2950"/>
        <v>3</v>
      </c>
      <c r="B2015" s="190" t="str">
        <f t="shared" ca="1" si="2951"/>
        <v>Depreciated Net Capex 2018-19</v>
      </c>
      <c r="C2015" s="1426"/>
      <c r="D2015" s="1426"/>
      <c r="E2015" s="1427"/>
      <c r="F2015" s="1428">
        <f>F2007</f>
        <v>0</v>
      </c>
      <c r="G2015" s="1423">
        <f ca="1">IF(F2039="n/a",F2015,IFERROR(IF((OFFSET($C2015,0,$A2015))&lt;0,
MIN(0,F2015-(OFFSET($C2015,0,$A2015)/(OFFSET($C2010,-$A2014,$A2015)))),
MAX(0,F2015-(OFFSET($C2015,0,$A2015)/(OFFSET($C2010,-$A2014,$A2015))))),0))</f>
        <v>0</v>
      </c>
      <c r="H2015" s="1423">
        <f t="shared" ca="1" si="2934"/>
        <v>0</v>
      </c>
      <c r="I2015" s="1423">
        <f t="shared" ca="1" si="2935"/>
        <v>0</v>
      </c>
      <c r="J2015" s="1423">
        <f t="shared" ca="1" si="2936"/>
        <v>0</v>
      </c>
      <c r="K2015" s="1423">
        <f t="shared" ca="1" si="2937"/>
        <v>0</v>
      </c>
      <c r="L2015" s="1423">
        <f t="shared" ca="1" si="2938"/>
        <v>0</v>
      </c>
      <c r="M2015" s="1423">
        <f t="shared" ca="1" si="2939"/>
        <v>0</v>
      </c>
      <c r="N2015" s="1423">
        <f t="shared" ca="1" si="2940"/>
        <v>0</v>
      </c>
      <c r="O2015" s="1423">
        <f t="shared" ca="1" si="2941"/>
        <v>0</v>
      </c>
      <c r="P2015" s="1423">
        <f t="shared" ca="1" si="2942"/>
        <v>0</v>
      </c>
      <c r="Q2015" s="1423">
        <f t="shared" ca="1" si="2943"/>
        <v>0</v>
      </c>
      <c r="R2015" s="1423">
        <f t="shared" ca="1" si="2944"/>
        <v>0</v>
      </c>
      <c r="S2015" s="1423">
        <f t="shared" ca="1" si="2945"/>
        <v>0</v>
      </c>
      <c r="T2015" s="1423">
        <f t="shared" ca="1" si="2946"/>
        <v>0</v>
      </c>
      <c r="U2015" s="1423">
        <f t="shared" ca="1" si="2947"/>
        <v>0</v>
      </c>
      <c r="V2015" s="1423">
        <f t="shared" ca="1" si="2948"/>
        <v>0</v>
      </c>
      <c r="W2015" s="1423">
        <f t="shared" ca="1" si="2949"/>
        <v>0</v>
      </c>
      <c r="X2015" s="202"/>
      <c r="Y2015" s="202"/>
      <c r="Z2015" s="152"/>
      <c r="AA2015" s="152"/>
      <c r="AB2015" s="152"/>
    </row>
    <row r="2016" spans="1:28" hidden="1" outlineLevel="1">
      <c r="A2016" s="199">
        <f t="shared" si="2950"/>
        <v>4</v>
      </c>
      <c r="B2016" s="190" t="str">
        <f t="shared" ca="1" si="2951"/>
        <v>Depreciated Net Capex 2019-20</v>
      </c>
      <c r="C2016" s="1426"/>
      <c r="D2016" s="1426"/>
      <c r="E2016" s="1426"/>
      <c r="F2016" s="1427"/>
      <c r="G2016" s="1428">
        <f>G2007</f>
        <v>0</v>
      </c>
      <c r="H2016" s="1423">
        <f ca="1">IF(G2040="n/a",G2016,IFERROR(IF((OFFSET($C2016,0,$A2016))&lt;0,
MIN(0,G2016-(OFFSET($C2016,0,$A2016)/(OFFSET($C2011,-$A2015,$A2016)))),
MAX(0,G2016-(OFFSET($C2016,0,$A2016)/(OFFSET($C2011,-$A2015,$A2016))))),0))</f>
        <v>0</v>
      </c>
      <c r="I2016" s="1423">
        <f t="shared" ca="1" si="2935"/>
        <v>0</v>
      </c>
      <c r="J2016" s="1423">
        <f t="shared" ca="1" si="2936"/>
        <v>0</v>
      </c>
      <c r="K2016" s="1423">
        <f t="shared" ca="1" si="2937"/>
        <v>0</v>
      </c>
      <c r="L2016" s="1423">
        <f t="shared" ca="1" si="2938"/>
        <v>0</v>
      </c>
      <c r="M2016" s="1423">
        <f t="shared" ca="1" si="2939"/>
        <v>0</v>
      </c>
      <c r="N2016" s="1423">
        <f t="shared" ca="1" si="2940"/>
        <v>0</v>
      </c>
      <c r="O2016" s="1423">
        <f t="shared" ca="1" si="2941"/>
        <v>0</v>
      </c>
      <c r="P2016" s="1423">
        <f t="shared" ca="1" si="2942"/>
        <v>0</v>
      </c>
      <c r="Q2016" s="1423">
        <f t="shared" ca="1" si="2943"/>
        <v>0</v>
      </c>
      <c r="R2016" s="1423">
        <f t="shared" ca="1" si="2944"/>
        <v>0</v>
      </c>
      <c r="S2016" s="1423">
        <f t="shared" ca="1" si="2945"/>
        <v>0</v>
      </c>
      <c r="T2016" s="1423">
        <f t="shared" ca="1" si="2946"/>
        <v>0</v>
      </c>
      <c r="U2016" s="1423">
        <f t="shared" ca="1" si="2947"/>
        <v>0</v>
      </c>
      <c r="V2016" s="1423">
        <f t="shared" ca="1" si="2948"/>
        <v>0</v>
      </c>
      <c r="W2016" s="1423">
        <f t="shared" ca="1" si="2949"/>
        <v>0</v>
      </c>
      <c r="X2016" s="202"/>
      <c r="Y2016" s="202"/>
      <c r="Z2016" s="202"/>
      <c r="AA2016" s="152"/>
      <c r="AB2016" s="152"/>
    </row>
    <row r="2017" spans="1:28" hidden="1" outlineLevel="1">
      <c r="A2017" s="199">
        <f t="shared" si="2950"/>
        <v>5</v>
      </c>
      <c r="B2017" s="190" t="str">
        <f t="shared" ca="1" si="2951"/>
        <v>Depreciated Net Capex 2020-21</v>
      </c>
      <c r="C2017" s="1426"/>
      <c r="D2017" s="1426"/>
      <c r="E2017" s="1426"/>
      <c r="F2017" s="1426"/>
      <c r="G2017" s="1427"/>
      <c r="H2017" s="1428">
        <f>H2007</f>
        <v>0</v>
      </c>
      <c r="I2017" s="1423">
        <f ca="1">IF(H2041="n/a",H2017,IFERROR(IF((OFFSET($C2017,0,$A2017))&lt;0,
MIN(0,H2017-(OFFSET($C2017,0,$A2017)/(OFFSET($C2012,-$A2016,$A2017)))),
MAX(0,H2017-(OFFSET($C2017,0,$A2017)/(OFFSET($C2012,-$A2016,$A2017))))),0))</f>
        <v>0</v>
      </c>
      <c r="J2017" s="1423">
        <f t="shared" ca="1" si="2936"/>
        <v>0</v>
      </c>
      <c r="K2017" s="1423">
        <f t="shared" ca="1" si="2937"/>
        <v>0</v>
      </c>
      <c r="L2017" s="1423">
        <f t="shared" ca="1" si="2938"/>
        <v>0</v>
      </c>
      <c r="M2017" s="1423">
        <f t="shared" ca="1" si="2939"/>
        <v>0</v>
      </c>
      <c r="N2017" s="1423">
        <f t="shared" ca="1" si="2940"/>
        <v>0</v>
      </c>
      <c r="O2017" s="1423">
        <f t="shared" ca="1" si="2941"/>
        <v>0</v>
      </c>
      <c r="P2017" s="1423">
        <f t="shared" ca="1" si="2942"/>
        <v>0</v>
      </c>
      <c r="Q2017" s="1423">
        <f t="shared" ca="1" si="2943"/>
        <v>0</v>
      </c>
      <c r="R2017" s="1423">
        <f t="shared" ca="1" si="2944"/>
        <v>0</v>
      </c>
      <c r="S2017" s="1423">
        <f t="shared" ca="1" si="2945"/>
        <v>0</v>
      </c>
      <c r="T2017" s="1423">
        <f t="shared" ca="1" si="2946"/>
        <v>0</v>
      </c>
      <c r="U2017" s="1423">
        <f t="shared" ca="1" si="2947"/>
        <v>0</v>
      </c>
      <c r="V2017" s="1423">
        <f t="shared" ca="1" si="2948"/>
        <v>0</v>
      </c>
      <c r="W2017" s="1423">
        <f t="shared" ca="1" si="2949"/>
        <v>0</v>
      </c>
      <c r="X2017" s="202"/>
      <c r="Y2017" s="202"/>
      <c r="Z2017" s="202"/>
      <c r="AA2017" s="152"/>
      <c r="AB2017" s="152"/>
    </row>
    <row r="2018" spans="1:28" hidden="1" outlineLevel="1">
      <c r="A2018" s="199">
        <f t="shared" si="2950"/>
        <v>6</v>
      </c>
      <c r="B2018" s="190" t="str">
        <f t="shared" ca="1" si="2951"/>
        <v>Depreciated Net Capex 2021-22</v>
      </c>
      <c r="C2018" s="1426"/>
      <c r="D2018" s="1426"/>
      <c r="E2018" s="1426"/>
      <c r="F2018" s="1426"/>
      <c r="G2018" s="1426"/>
      <c r="H2018" s="1427"/>
      <c r="I2018" s="1428">
        <f>I2007</f>
        <v>0</v>
      </c>
      <c r="J2018" s="1423">
        <f ca="1">IF(I2042="n/a",I2018,IFERROR(IF((OFFSET($C2018,0,$A2018))&lt;0,
MIN(0,I2018-(OFFSET($C2018,0,$A2018)/(OFFSET($C2013,-$A2017,$A2018)))),
MAX(0,I2018-(OFFSET($C2018,0,$A2018)/(OFFSET($C2013,-$A2017,$A2018))))),0))</f>
        <v>0</v>
      </c>
      <c r="K2018" s="1423">
        <f t="shared" ca="1" si="2937"/>
        <v>0</v>
      </c>
      <c r="L2018" s="1423">
        <f t="shared" ca="1" si="2938"/>
        <v>0</v>
      </c>
      <c r="M2018" s="1423">
        <f t="shared" ca="1" si="2939"/>
        <v>0</v>
      </c>
      <c r="N2018" s="1423">
        <f t="shared" ca="1" si="2940"/>
        <v>0</v>
      </c>
      <c r="O2018" s="1423">
        <f t="shared" ca="1" si="2941"/>
        <v>0</v>
      </c>
      <c r="P2018" s="1423">
        <f t="shared" ca="1" si="2942"/>
        <v>0</v>
      </c>
      <c r="Q2018" s="1423">
        <f t="shared" ca="1" si="2943"/>
        <v>0</v>
      </c>
      <c r="R2018" s="1423">
        <f t="shared" ca="1" si="2944"/>
        <v>0</v>
      </c>
      <c r="S2018" s="1423">
        <f t="shared" ca="1" si="2945"/>
        <v>0</v>
      </c>
      <c r="T2018" s="1423">
        <f t="shared" ca="1" si="2946"/>
        <v>0</v>
      </c>
      <c r="U2018" s="1423">
        <f t="shared" ca="1" si="2947"/>
        <v>0</v>
      </c>
      <c r="V2018" s="1423">
        <f t="shared" ca="1" si="2948"/>
        <v>0</v>
      </c>
      <c r="W2018" s="1423">
        <f t="shared" ca="1" si="2949"/>
        <v>0</v>
      </c>
      <c r="X2018" s="202"/>
      <c r="Y2018" s="202"/>
      <c r="Z2018" s="202"/>
      <c r="AA2018" s="152"/>
      <c r="AB2018" s="152"/>
    </row>
    <row r="2019" spans="1:28" hidden="1" outlineLevel="1">
      <c r="A2019" s="199">
        <f t="shared" si="2950"/>
        <v>7</v>
      </c>
      <c r="B2019" s="190" t="str">
        <f t="shared" ca="1" si="2951"/>
        <v>Depreciated Net Capex 2022-23</v>
      </c>
      <c r="C2019" s="1426"/>
      <c r="D2019" s="1426"/>
      <c r="E2019" s="1426"/>
      <c r="F2019" s="1426"/>
      <c r="G2019" s="1426"/>
      <c r="H2019" s="1426"/>
      <c r="I2019" s="1427"/>
      <c r="J2019" s="1428">
        <f>J2007</f>
        <v>0</v>
      </c>
      <c r="K2019" s="1423">
        <f ca="1">IF(J2043="n/a",J2019,IFERROR(IF((OFFSET($C2019,0,$A2019))&lt;0,
MIN(0,J2019-(OFFSET($C2019,0,$A2019)/(OFFSET($C2014,-$A2018,$A2019)))),
MAX(0,J2019-(OFFSET($C2019,0,$A2019)/(OFFSET($C2014,-$A2018,$A2019))))),0))</f>
        <v>0</v>
      </c>
      <c r="L2019" s="1423">
        <f t="shared" ca="1" si="2938"/>
        <v>0</v>
      </c>
      <c r="M2019" s="1423">
        <f t="shared" ca="1" si="2939"/>
        <v>0</v>
      </c>
      <c r="N2019" s="1423">
        <f t="shared" ca="1" si="2940"/>
        <v>0</v>
      </c>
      <c r="O2019" s="1423">
        <f t="shared" ca="1" si="2941"/>
        <v>0</v>
      </c>
      <c r="P2019" s="1423">
        <f t="shared" ca="1" si="2942"/>
        <v>0</v>
      </c>
      <c r="Q2019" s="1423">
        <f t="shared" ca="1" si="2943"/>
        <v>0</v>
      </c>
      <c r="R2019" s="1423">
        <f t="shared" ca="1" si="2944"/>
        <v>0</v>
      </c>
      <c r="S2019" s="1423">
        <f t="shared" ca="1" si="2945"/>
        <v>0</v>
      </c>
      <c r="T2019" s="1423">
        <f t="shared" ca="1" si="2946"/>
        <v>0</v>
      </c>
      <c r="U2019" s="1423">
        <f t="shared" ca="1" si="2947"/>
        <v>0</v>
      </c>
      <c r="V2019" s="1423">
        <f t="shared" ca="1" si="2948"/>
        <v>0</v>
      </c>
      <c r="W2019" s="1423">
        <f t="shared" ca="1" si="2949"/>
        <v>0</v>
      </c>
      <c r="X2019" s="202"/>
      <c r="Y2019" s="202"/>
      <c r="Z2019" s="202"/>
      <c r="AA2019" s="152"/>
      <c r="AB2019" s="152"/>
    </row>
    <row r="2020" spans="1:28" hidden="1" outlineLevel="1">
      <c r="A2020" s="199">
        <f t="shared" si="2950"/>
        <v>8</v>
      </c>
      <c r="B2020" s="190" t="str">
        <f t="shared" ca="1" si="2951"/>
        <v>Depreciated Net Capex 2023-24</v>
      </c>
      <c r="C2020" s="1426"/>
      <c r="D2020" s="1426"/>
      <c r="E2020" s="1426"/>
      <c r="F2020" s="1426"/>
      <c r="G2020" s="1426"/>
      <c r="H2020" s="1426"/>
      <c r="I2020" s="1426"/>
      <c r="J2020" s="1427"/>
      <c r="K2020" s="1428">
        <f>K2007</f>
        <v>0</v>
      </c>
      <c r="L2020" s="1423">
        <f ca="1">IF(K2044="n/a",K2020,IFERROR(IF((OFFSET($C2020,0,$A2020))&lt;0,
MIN(0,K2020-(OFFSET($C2020,0,$A2020)/(OFFSET($C2015,-$A2019,$A2020)))),
MAX(0,K2020-(OFFSET($C2020,0,$A2020)/(OFFSET($C2015,-$A2019,$A2020))))),0))</f>
        <v>0</v>
      </c>
      <c r="M2020" s="1423">
        <f t="shared" ca="1" si="2939"/>
        <v>0</v>
      </c>
      <c r="N2020" s="1423">
        <f t="shared" ca="1" si="2940"/>
        <v>0</v>
      </c>
      <c r="O2020" s="1423">
        <f t="shared" ca="1" si="2941"/>
        <v>0</v>
      </c>
      <c r="P2020" s="1423">
        <f t="shared" ca="1" si="2942"/>
        <v>0</v>
      </c>
      <c r="Q2020" s="1423">
        <f t="shared" ca="1" si="2943"/>
        <v>0</v>
      </c>
      <c r="R2020" s="1423">
        <f t="shared" ca="1" si="2944"/>
        <v>0</v>
      </c>
      <c r="S2020" s="1423">
        <f t="shared" ca="1" si="2945"/>
        <v>0</v>
      </c>
      <c r="T2020" s="1423">
        <f t="shared" ca="1" si="2946"/>
        <v>0</v>
      </c>
      <c r="U2020" s="1423">
        <f t="shared" ca="1" si="2947"/>
        <v>0</v>
      </c>
      <c r="V2020" s="1423">
        <f t="shared" ca="1" si="2948"/>
        <v>0</v>
      </c>
      <c r="W2020" s="1423">
        <f t="shared" ca="1" si="2949"/>
        <v>0</v>
      </c>
      <c r="X2020" s="202"/>
      <c r="Y2020" s="202"/>
      <c r="Z2020" s="202"/>
      <c r="AA2020" s="152"/>
      <c r="AB2020" s="152"/>
    </row>
    <row r="2021" spans="1:28" hidden="1" outlineLevel="1">
      <c r="A2021" s="199">
        <f t="shared" si="2950"/>
        <v>9</v>
      </c>
      <c r="B2021" s="190" t="str">
        <f t="shared" ca="1" si="2951"/>
        <v>Depreciated Net Capex 2024-25</v>
      </c>
      <c r="C2021" s="1426"/>
      <c r="D2021" s="1426"/>
      <c r="E2021" s="1426"/>
      <c r="F2021" s="1426"/>
      <c r="G2021" s="1426"/>
      <c r="H2021" s="1426"/>
      <c r="I2021" s="1426"/>
      <c r="J2021" s="1426"/>
      <c r="K2021" s="1427"/>
      <c r="L2021" s="1428">
        <f>L2007</f>
        <v>0</v>
      </c>
      <c r="M2021" s="1423">
        <f ca="1">IF(L2045="n/a",L2021,IFERROR(IF((OFFSET($C2021,0,$A2021))&lt;0,
MIN(0,L2021-(OFFSET($C2021,0,$A2021)/(OFFSET($C2016,-$A2020,$A2021)))),
MAX(0,L2021-(OFFSET($C2021,0,$A2021)/(OFFSET($C2016,-$A2020,$A2021))))),0))</f>
        <v>0</v>
      </c>
      <c r="N2021" s="1423">
        <f t="shared" ca="1" si="2940"/>
        <v>0</v>
      </c>
      <c r="O2021" s="1423">
        <f t="shared" ca="1" si="2941"/>
        <v>0</v>
      </c>
      <c r="P2021" s="1423">
        <f t="shared" ca="1" si="2942"/>
        <v>0</v>
      </c>
      <c r="Q2021" s="1423">
        <f t="shared" ca="1" si="2943"/>
        <v>0</v>
      </c>
      <c r="R2021" s="1423">
        <f t="shared" ca="1" si="2944"/>
        <v>0</v>
      </c>
      <c r="S2021" s="1423">
        <f t="shared" ca="1" si="2945"/>
        <v>0</v>
      </c>
      <c r="T2021" s="1423">
        <f t="shared" ca="1" si="2946"/>
        <v>0</v>
      </c>
      <c r="U2021" s="1423">
        <f t="shared" ca="1" si="2947"/>
        <v>0</v>
      </c>
      <c r="V2021" s="1423">
        <f t="shared" ca="1" si="2948"/>
        <v>0</v>
      </c>
      <c r="W2021" s="1423">
        <f t="shared" ca="1" si="2949"/>
        <v>0</v>
      </c>
      <c r="X2021" s="202"/>
      <c r="Y2021" s="202"/>
      <c r="Z2021" s="202"/>
      <c r="AA2021" s="152"/>
      <c r="AB2021" s="152"/>
    </row>
    <row r="2022" spans="1:28" hidden="1" outlineLevel="1">
      <c r="A2022" s="199">
        <f t="shared" si="2950"/>
        <v>10</v>
      </c>
      <c r="B2022" s="190" t="str">
        <f t="shared" ca="1" si="2951"/>
        <v>Depreciated Net Capex 2025-26</v>
      </c>
      <c r="C2022" s="1426"/>
      <c r="D2022" s="1426"/>
      <c r="E2022" s="1426"/>
      <c r="F2022" s="1426"/>
      <c r="G2022" s="1426"/>
      <c r="H2022" s="1426"/>
      <c r="I2022" s="1426"/>
      <c r="J2022" s="1426"/>
      <c r="K2022" s="1426"/>
      <c r="L2022" s="1427"/>
      <c r="M2022" s="1428">
        <f>M2007</f>
        <v>0</v>
      </c>
      <c r="N2022" s="1423">
        <f ca="1">IF(M2046="n/a",M2022,IFERROR(IF((OFFSET($C2022,0,$A2022))&lt;0,
MIN(0,M2022-(OFFSET($C2022,0,$A2022)/(OFFSET($C2017,-$A2021,$A2022)))),
MAX(0,M2022-(OFFSET($C2022,0,$A2022)/(OFFSET($C2017,-$A2021,$A2022))))),0))</f>
        <v>0</v>
      </c>
      <c r="O2022" s="1423">
        <f t="shared" ca="1" si="2941"/>
        <v>0</v>
      </c>
      <c r="P2022" s="1423">
        <f t="shared" ca="1" si="2942"/>
        <v>0</v>
      </c>
      <c r="Q2022" s="1423">
        <f t="shared" ca="1" si="2943"/>
        <v>0</v>
      </c>
      <c r="R2022" s="1423">
        <f t="shared" ca="1" si="2944"/>
        <v>0</v>
      </c>
      <c r="S2022" s="1423">
        <f t="shared" ca="1" si="2945"/>
        <v>0</v>
      </c>
      <c r="T2022" s="1423">
        <f t="shared" ca="1" si="2946"/>
        <v>0</v>
      </c>
      <c r="U2022" s="1423">
        <f t="shared" ca="1" si="2947"/>
        <v>0</v>
      </c>
      <c r="V2022" s="1423">
        <f t="shared" ca="1" si="2948"/>
        <v>0</v>
      </c>
      <c r="W2022" s="1423">
        <f t="shared" ca="1" si="2949"/>
        <v>0</v>
      </c>
      <c r="X2022" s="202"/>
      <c r="Y2022" s="202"/>
      <c r="Z2022" s="202"/>
      <c r="AA2022" s="152"/>
      <c r="AB2022" s="152"/>
    </row>
    <row r="2023" spans="1:28" hidden="1" outlineLevel="1">
      <c r="A2023" s="199">
        <f t="shared" si="2950"/>
        <v>11</v>
      </c>
      <c r="B2023" s="190" t="str">
        <f t="shared" ca="1" si="2951"/>
        <v>Depreciated Net Capex 2026-27</v>
      </c>
      <c r="C2023" s="1426"/>
      <c r="D2023" s="1426"/>
      <c r="E2023" s="1426"/>
      <c r="F2023" s="1426"/>
      <c r="G2023" s="1426"/>
      <c r="H2023" s="1426"/>
      <c r="I2023" s="1426"/>
      <c r="J2023" s="1426"/>
      <c r="K2023" s="1426"/>
      <c r="L2023" s="1426"/>
      <c r="M2023" s="1427"/>
      <c r="N2023" s="1428">
        <f>N2007</f>
        <v>0</v>
      </c>
      <c r="O2023" s="1423">
        <f ca="1">IF(N2047="n/a",N2023,IFERROR(IF((OFFSET($C2023,0,$A2023))&lt;0,
MIN(0,N2023-(OFFSET($C2023,0,$A2023)/(OFFSET($C2018,-$A2022,$A2023)))),
MAX(0,N2023-(OFFSET($C2023,0,$A2023)/(OFFSET($C2018,-$A2022,$A2023))))),0))</f>
        <v>0</v>
      </c>
      <c r="P2023" s="1423">
        <f t="shared" ca="1" si="2942"/>
        <v>0</v>
      </c>
      <c r="Q2023" s="1423">
        <f t="shared" ca="1" si="2943"/>
        <v>0</v>
      </c>
      <c r="R2023" s="1423">
        <f t="shared" ca="1" si="2944"/>
        <v>0</v>
      </c>
      <c r="S2023" s="1423">
        <f t="shared" ca="1" si="2945"/>
        <v>0</v>
      </c>
      <c r="T2023" s="1423">
        <f t="shared" ca="1" si="2946"/>
        <v>0</v>
      </c>
      <c r="U2023" s="1423">
        <f t="shared" ca="1" si="2947"/>
        <v>0</v>
      </c>
      <c r="V2023" s="1423">
        <f t="shared" ca="1" si="2948"/>
        <v>0</v>
      </c>
      <c r="W2023" s="1423">
        <f t="shared" ca="1" si="2949"/>
        <v>0</v>
      </c>
      <c r="X2023" s="202"/>
      <c r="Y2023" s="202"/>
      <c r="Z2023" s="202"/>
      <c r="AA2023" s="152"/>
      <c r="AB2023" s="152"/>
    </row>
    <row r="2024" spans="1:28" hidden="1" outlineLevel="1">
      <c r="A2024" s="199">
        <f t="shared" si="2950"/>
        <v>12</v>
      </c>
      <c r="B2024" s="190" t="str">
        <f t="shared" ca="1" si="2951"/>
        <v>Depreciated Net Capex 2027-28</v>
      </c>
      <c r="C2024" s="1426"/>
      <c r="D2024" s="1426"/>
      <c r="E2024" s="1426"/>
      <c r="F2024" s="1426"/>
      <c r="G2024" s="1426"/>
      <c r="H2024" s="1426"/>
      <c r="I2024" s="1426"/>
      <c r="J2024" s="1426"/>
      <c r="K2024" s="1426"/>
      <c r="L2024" s="1426"/>
      <c r="M2024" s="1426"/>
      <c r="N2024" s="1427"/>
      <c r="O2024" s="1428">
        <f>O2007</f>
        <v>0</v>
      </c>
      <c r="P2024" s="1423">
        <f ca="1">IF(O2048="n/a",O2024,IFERROR(IF((OFFSET($C2024,0,$A2024))&lt;0,
MIN(0,O2024-(OFFSET($C2024,0,$A2024)/(OFFSET($C2019,-$A2023,$A2024)))),
MAX(0,O2024-(OFFSET($C2024,0,$A2024)/(OFFSET($C2019,-$A2023,$A2024))))),0))</f>
        <v>0</v>
      </c>
      <c r="Q2024" s="1423">
        <f t="shared" ca="1" si="2943"/>
        <v>0</v>
      </c>
      <c r="R2024" s="1423">
        <f t="shared" ca="1" si="2944"/>
        <v>0</v>
      </c>
      <c r="S2024" s="1423">
        <f t="shared" ca="1" si="2945"/>
        <v>0</v>
      </c>
      <c r="T2024" s="1423">
        <f t="shared" ca="1" si="2946"/>
        <v>0</v>
      </c>
      <c r="U2024" s="1423">
        <f t="shared" ca="1" si="2947"/>
        <v>0</v>
      </c>
      <c r="V2024" s="1423">
        <f t="shared" ca="1" si="2948"/>
        <v>0</v>
      </c>
      <c r="W2024" s="1423">
        <f t="shared" ca="1" si="2949"/>
        <v>0</v>
      </c>
      <c r="X2024" s="202"/>
      <c r="Y2024" s="202"/>
      <c r="Z2024" s="202"/>
      <c r="AA2024" s="152"/>
      <c r="AB2024" s="152"/>
    </row>
    <row r="2025" spans="1:28" hidden="1" outlineLevel="1">
      <c r="A2025" s="199">
        <f t="shared" si="2950"/>
        <v>13</v>
      </c>
      <c r="B2025" s="190" t="str">
        <f t="shared" ca="1" si="2951"/>
        <v>Depreciated Net Capex 2028-29</v>
      </c>
      <c r="C2025" s="1426"/>
      <c r="D2025" s="1426"/>
      <c r="E2025" s="1426"/>
      <c r="F2025" s="1426"/>
      <c r="G2025" s="1426"/>
      <c r="H2025" s="1426"/>
      <c r="I2025" s="1426"/>
      <c r="J2025" s="1426"/>
      <c r="K2025" s="1426"/>
      <c r="L2025" s="1426"/>
      <c r="M2025" s="1426"/>
      <c r="N2025" s="1426"/>
      <c r="O2025" s="1427"/>
      <c r="P2025" s="1428">
        <f>P2007</f>
        <v>0</v>
      </c>
      <c r="Q2025" s="1423">
        <f ca="1">IF(P2049="n/a",P2025,IFERROR(IF((OFFSET($C2025,0,$A2025))&lt;0,
MIN(0,P2025-(OFFSET($C2025,0,$A2025)/(OFFSET($C2020,-$A2024,$A2025)))),
MAX(0,P2025-(OFFSET($C2025,0,$A2025)/(OFFSET($C2020,-$A2024,$A2025))))),0))</f>
        <v>0</v>
      </c>
      <c r="R2025" s="1423">
        <f t="shared" ca="1" si="2944"/>
        <v>0</v>
      </c>
      <c r="S2025" s="1423">
        <f t="shared" ca="1" si="2945"/>
        <v>0</v>
      </c>
      <c r="T2025" s="1423">
        <f t="shared" ca="1" si="2946"/>
        <v>0</v>
      </c>
      <c r="U2025" s="1423">
        <f t="shared" ca="1" si="2947"/>
        <v>0</v>
      </c>
      <c r="V2025" s="1423">
        <f t="shared" ca="1" si="2948"/>
        <v>0</v>
      </c>
      <c r="W2025" s="1423">
        <f t="shared" ca="1" si="2949"/>
        <v>0</v>
      </c>
      <c r="X2025" s="202"/>
      <c r="Y2025" s="202"/>
      <c r="Z2025" s="202"/>
      <c r="AA2025" s="152"/>
      <c r="AB2025" s="152"/>
    </row>
    <row r="2026" spans="1:28" hidden="1" outlineLevel="1">
      <c r="A2026" s="199">
        <f t="shared" si="2950"/>
        <v>14</v>
      </c>
      <c r="B2026" s="190" t="str">
        <f t="shared" ca="1" si="2951"/>
        <v>Depreciated Net Capex 2029-30</v>
      </c>
      <c r="C2026" s="1426"/>
      <c r="D2026" s="1426"/>
      <c r="E2026" s="1426"/>
      <c r="F2026" s="1426"/>
      <c r="G2026" s="1426"/>
      <c r="H2026" s="1426"/>
      <c r="I2026" s="1426"/>
      <c r="J2026" s="1426"/>
      <c r="K2026" s="1426"/>
      <c r="L2026" s="1426"/>
      <c r="M2026" s="1426"/>
      <c r="N2026" s="1426"/>
      <c r="O2026" s="1426"/>
      <c r="P2026" s="1427"/>
      <c r="Q2026" s="1428">
        <f>Q2007</f>
        <v>0</v>
      </c>
      <c r="R2026" s="1423">
        <f ca="1">IF(Q2050="n/a",Q2026,IFERROR(IF((OFFSET($C2026,0,$A2026))&lt;0,
MIN(0,Q2026-(OFFSET($C2026,0,$A2026)/(OFFSET($C2021,-$A2025,$A2026)))),
MAX(0,Q2026-(OFFSET($C2026,0,$A2026)/(OFFSET($C2021,-$A2025,$A2026))))),0))</f>
        <v>0</v>
      </c>
      <c r="S2026" s="1423">
        <f t="shared" ca="1" si="2945"/>
        <v>0</v>
      </c>
      <c r="T2026" s="1423">
        <f t="shared" ca="1" si="2946"/>
        <v>0</v>
      </c>
      <c r="U2026" s="1423">
        <f t="shared" ca="1" si="2947"/>
        <v>0</v>
      </c>
      <c r="V2026" s="1423">
        <f t="shared" ca="1" si="2948"/>
        <v>0</v>
      </c>
      <c r="W2026" s="1423">
        <f t="shared" ca="1" si="2949"/>
        <v>0</v>
      </c>
      <c r="X2026" s="202"/>
      <c r="Y2026" s="202"/>
      <c r="Z2026" s="202"/>
      <c r="AA2026" s="152"/>
      <c r="AB2026" s="152"/>
    </row>
    <row r="2027" spans="1:28" hidden="1" outlineLevel="1">
      <c r="A2027" s="199">
        <f t="shared" si="2950"/>
        <v>15</v>
      </c>
      <c r="B2027" s="190" t="str">
        <f t="shared" ca="1" si="2951"/>
        <v>Depreciated Net Capex 2030-31</v>
      </c>
      <c r="C2027" s="1426"/>
      <c r="D2027" s="1426"/>
      <c r="E2027" s="1426"/>
      <c r="F2027" s="1426"/>
      <c r="G2027" s="1426"/>
      <c r="H2027" s="1426"/>
      <c r="I2027" s="1426"/>
      <c r="J2027" s="1426"/>
      <c r="K2027" s="1426"/>
      <c r="L2027" s="1426"/>
      <c r="M2027" s="1426"/>
      <c r="N2027" s="1426"/>
      <c r="O2027" s="1426"/>
      <c r="P2027" s="1426"/>
      <c r="Q2027" s="1427"/>
      <c r="R2027" s="1428">
        <f>R2007</f>
        <v>0</v>
      </c>
      <c r="S2027" s="1423">
        <f ca="1">IF(R2051="n/a",R2027,IFERROR(IF((OFFSET($C2027,0,$A2027))&lt;0,
MIN(0,R2027-(OFFSET($C2027,0,$A2027)/(OFFSET($C2022,-$A2026,$A2027)))),
MAX(0,R2027-(OFFSET($C2027,0,$A2027)/(OFFSET($C2022,-$A2026,$A2027))))),0))</f>
        <v>0</v>
      </c>
      <c r="T2027" s="1423">
        <f t="shared" ca="1" si="2946"/>
        <v>0</v>
      </c>
      <c r="U2027" s="1423">
        <f t="shared" ca="1" si="2947"/>
        <v>0</v>
      </c>
      <c r="V2027" s="1423">
        <f t="shared" ca="1" si="2948"/>
        <v>0</v>
      </c>
      <c r="W2027" s="1423">
        <f t="shared" ca="1" si="2949"/>
        <v>0</v>
      </c>
      <c r="X2027" s="202"/>
      <c r="Y2027" s="202"/>
      <c r="Z2027" s="202"/>
      <c r="AA2027" s="152"/>
      <c r="AB2027" s="152"/>
    </row>
    <row r="2028" spans="1:28" hidden="1" outlineLevel="1">
      <c r="A2028" s="199">
        <f t="shared" si="2950"/>
        <v>16</v>
      </c>
      <c r="B2028" s="190" t="str">
        <f t="shared" ca="1" si="2951"/>
        <v>Depreciated Net Capex 2031-32</v>
      </c>
      <c r="C2028" s="1426"/>
      <c r="D2028" s="1426"/>
      <c r="E2028" s="1426"/>
      <c r="F2028" s="1426"/>
      <c r="G2028" s="1426"/>
      <c r="H2028" s="1426"/>
      <c r="I2028" s="1426"/>
      <c r="J2028" s="1426"/>
      <c r="K2028" s="1426"/>
      <c r="L2028" s="1426"/>
      <c r="M2028" s="1426"/>
      <c r="N2028" s="1426"/>
      <c r="O2028" s="1426"/>
      <c r="P2028" s="1426"/>
      <c r="Q2028" s="1426"/>
      <c r="R2028" s="1427"/>
      <c r="S2028" s="1428">
        <f>S2007</f>
        <v>0</v>
      </c>
      <c r="T2028" s="1423">
        <f ca="1">IF(S2052="n/a",S2028,IFERROR(IF((OFFSET($C2028,0,$A2028))&lt;0,
MIN(0,S2028-(OFFSET($C2028,0,$A2028)/(OFFSET($C2023,-$A2027,$A2028)))),
MAX(0,S2028-(OFFSET($C2028,0,$A2028)/(OFFSET($C2023,-$A2027,$A2028))))),0))</f>
        <v>0</v>
      </c>
      <c r="U2028" s="1423">
        <f t="shared" ca="1" si="2947"/>
        <v>0</v>
      </c>
      <c r="V2028" s="1423">
        <f t="shared" ca="1" si="2948"/>
        <v>0</v>
      </c>
      <c r="W2028" s="1423">
        <f t="shared" ca="1" si="2949"/>
        <v>0</v>
      </c>
      <c r="X2028" s="202"/>
      <c r="Y2028" s="202"/>
      <c r="Z2028" s="202"/>
      <c r="AA2028" s="152"/>
      <c r="AB2028" s="152"/>
    </row>
    <row r="2029" spans="1:28" hidden="1" outlineLevel="1">
      <c r="A2029" s="199">
        <f t="shared" si="2950"/>
        <v>17</v>
      </c>
      <c r="B2029" s="190" t="str">
        <f t="shared" ca="1" si="2951"/>
        <v>Depreciated Net Capex 2032-33</v>
      </c>
      <c r="C2029" s="1426"/>
      <c r="D2029" s="1426"/>
      <c r="E2029" s="1426"/>
      <c r="F2029" s="1426"/>
      <c r="G2029" s="1426"/>
      <c r="H2029" s="1426"/>
      <c r="I2029" s="1426"/>
      <c r="J2029" s="1426"/>
      <c r="K2029" s="1426"/>
      <c r="L2029" s="1426"/>
      <c r="M2029" s="1426"/>
      <c r="N2029" s="1426"/>
      <c r="O2029" s="1426"/>
      <c r="P2029" s="1426"/>
      <c r="Q2029" s="1426"/>
      <c r="R2029" s="1426"/>
      <c r="S2029" s="1427"/>
      <c r="T2029" s="1428">
        <f>T2007</f>
        <v>0</v>
      </c>
      <c r="U2029" s="1423">
        <f ca="1">IF(T2053="n/a",T2029,IFERROR(IF((OFFSET($C2029,0,$A2029))&lt;0,
MIN(0,T2029-(OFFSET($C2029,0,$A2029)/(OFFSET($C2024,-$A2028,$A2029)))),
MAX(0,T2029-(OFFSET($C2029,0,$A2029)/(OFFSET($C2024,-$A2028,$A2029))))),0))</f>
        <v>0</v>
      </c>
      <c r="V2029" s="1423">
        <f t="shared" ca="1" si="2948"/>
        <v>0</v>
      </c>
      <c r="W2029" s="1423">
        <f t="shared" ca="1" si="2949"/>
        <v>0</v>
      </c>
      <c r="X2029" s="202"/>
      <c r="Y2029" s="202"/>
      <c r="Z2029" s="202"/>
      <c r="AA2029" s="152"/>
      <c r="AB2029" s="152"/>
    </row>
    <row r="2030" spans="1:28" hidden="1" outlineLevel="1">
      <c r="A2030" s="199">
        <f t="shared" si="2950"/>
        <v>18</v>
      </c>
      <c r="B2030" s="190" t="str">
        <f t="shared" ca="1" si="2951"/>
        <v>Depreciated Net Capex 2033-34</v>
      </c>
      <c r="C2030" s="1426"/>
      <c r="D2030" s="1426"/>
      <c r="E2030" s="1426"/>
      <c r="F2030" s="1426"/>
      <c r="G2030" s="1426"/>
      <c r="H2030" s="1426"/>
      <c r="I2030" s="1426"/>
      <c r="J2030" s="1426"/>
      <c r="K2030" s="1426"/>
      <c r="L2030" s="1426"/>
      <c r="M2030" s="1426"/>
      <c r="N2030" s="1426"/>
      <c r="O2030" s="1426"/>
      <c r="P2030" s="1426"/>
      <c r="Q2030" s="1426"/>
      <c r="R2030" s="1426"/>
      <c r="S2030" s="1426"/>
      <c r="T2030" s="1427"/>
      <c r="U2030" s="1428">
        <f>U2007</f>
        <v>0</v>
      </c>
      <c r="V2030" s="1423">
        <f ca="1">IF(U2054="n/a",U2030,IFERROR(IF((OFFSET($C2030,0,$A2030))&lt;0,
MIN(0,U2030-(OFFSET($C2030,0,$A2030)/(OFFSET($C2025,-$A2029,$A2030)))),
MAX(0,U2030-(OFFSET($C2030,0,$A2030)/(OFFSET($C2025,-$A2029,$A2030))))),0))</f>
        <v>0</v>
      </c>
      <c r="W2030" s="1423">
        <f t="shared" ca="1" si="2949"/>
        <v>0</v>
      </c>
      <c r="X2030" s="202"/>
      <c r="Y2030" s="202"/>
      <c r="Z2030" s="202"/>
      <c r="AA2030" s="152"/>
      <c r="AB2030" s="152"/>
    </row>
    <row r="2031" spans="1:28" hidden="1" outlineLevel="1">
      <c r="A2031" s="199">
        <f t="shared" si="2950"/>
        <v>19</v>
      </c>
      <c r="B2031" s="190" t="str">
        <f t="shared" ca="1" si="2951"/>
        <v>Depreciated Net Capex 2034-35</v>
      </c>
      <c r="C2031" s="1426"/>
      <c r="D2031" s="1426"/>
      <c r="E2031" s="1426"/>
      <c r="F2031" s="1426"/>
      <c r="G2031" s="1426"/>
      <c r="H2031" s="1426"/>
      <c r="I2031" s="1426"/>
      <c r="J2031" s="1426"/>
      <c r="K2031" s="1426"/>
      <c r="L2031" s="1426"/>
      <c r="M2031" s="1426"/>
      <c r="N2031" s="1426"/>
      <c r="O2031" s="1426"/>
      <c r="P2031" s="1426"/>
      <c r="Q2031" s="1426"/>
      <c r="R2031" s="1426"/>
      <c r="S2031" s="1426"/>
      <c r="T2031" s="1426"/>
      <c r="U2031" s="1427"/>
      <c r="V2031" s="1428">
        <f>V2007</f>
        <v>0</v>
      </c>
      <c r="W2031" s="1423">
        <f ca="1">IF(V2055="n/a",V2031,IFERROR(IF((OFFSET($C2031,0,$A2031))&lt;0,
MIN(0,V2031-(OFFSET($C2031,0,$A2031)/(OFFSET($C2026,-$A2030,$A2031)))),
MAX(0,V2031-(OFFSET($C2031,0,$A2031)/(OFFSET($C2026,-$A2030,$A2031))))),0))</f>
        <v>0</v>
      </c>
      <c r="X2031" s="202"/>
      <c r="Y2031" s="202"/>
      <c r="Z2031" s="202"/>
      <c r="AA2031" s="152"/>
      <c r="AB2031" s="152"/>
    </row>
    <row r="2032" spans="1:28" hidden="1" outlineLevel="1">
      <c r="A2032" s="199">
        <f t="shared" si="2950"/>
        <v>20</v>
      </c>
      <c r="B2032" s="190" t="str">
        <f t="shared" ca="1" si="2951"/>
        <v>Depreciated Net Capex 2035-36</v>
      </c>
      <c r="C2032" s="1426"/>
      <c r="D2032" s="1426"/>
      <c r="E2032" s="1426"/>
      <c r="F2032" s="1426"/>
      <c r="G2032" s="1426"/>
      <c r="H2032" s="1426"/>
      <c r="I2032" s="1426"/>
      <c r="J2032" s="1426"/>
      <c r="K2032" s="1426"/>
      <c r="L2032" s="1426"/>
      <c r="M2032" s="1426"/>
      <c r="N2032" s="1426"/>
      <c r="O2032" s="1426"/>
      <c r="P2032" s="1426"/>
      <c r="Q2032" s="1426"/>
      <c r="R2032" s="1426"/>
      <c r="S2032" s="1426"/>
      <c r="T2032" s="1426"/>
      <c r="U2032" s="1426"/>
      <c r="V2032" s="1427"/>
      <c r="W2032" s="1423">
        <f>W2007</f>
        <v>0</v>
      </c>
      <c r="X2032" s="152"/>
      <c r="Y2032" s="152"/>
      <c r="Z2032" s="152"/>
      <c r="AA2032" s="152"/>
      <c r="AB2032" s="152"/>
    </row>
    <row r="2033" spans="1:28" hidden="1" outlineLevel="1">
      <c r="A2033" s="152"/>
      <c r="B2033" s="200"/>
      <c r="C2033" s="1423"/>
      <c r="D2033" s="1423"/>
      <c r="E2033" s="1423"/>
      <c r="F2033" s="1423"/>
      <c r="G2033" s="1423"/>
      <c r="H2033" s="1423"/>
      <c r="I2033" s="1423"/>
      <c r="J2033" s="1423"/>
      <c r="K2033" s="1423"/>
      <c r="L2033" s="1423"/>
      <c r="M2033" s="1423"/>
      <c r="N2033" s="1423"/>
      <c r="O2033" s="1423"/>
      <c r="P2033" s="1423"/>
      <c r="Q2033" s="1423"/>
      <c r="R2033" s="1423"/>
      <c r="S2033" s="1423"/>
      <c r="T2033" s="1423"/>
      <c r="U2033" s="1423"/>
      <c r="V2033" s="1423"/>
      <c r="W2033" s="1423"/>
      <c r="X2033" s="152"/>
      <c r="Y2033" s="152"/>
      <c r="Z2033" s="152"/>
      <c r="AA2033" s="152"/>
      <c r="AB2033" s="152"/>
    </row>
    <row r="2034" spans="1:28" hidden="1" outlineLevel="1">
      <c r="A2034" s="152"/>
      <c r="B2034" s="200"/>
      <c r="C2034" s="1423"/>
      <c r="D2034" s="1423"/>
      <c r="E2034" s="1423"/>
      <c r="F2034" s="1423"/>
      <c r="G2034" s="1423"/>
      <c r="H2034" s="1423"/>
      <c r="I2034" s="1423"/>
      <c r="J2034" s="1423"/>
      <c r="K2034" s="1423"/>
      <c r="L2034" s="1423"/>
      <c r="M2034" s="1423"/>
      <c r="N2034" s="1423"/>
      <c r="O2034" s="1423"/>
      <c r="P2034" s="1423"/>
      <c r="Q2034" s="1423"/>
      <c r="R2034" s="1423"/>
      <c r="S2034" s="1423"/>
      <c r="T2034" s="1423"/>
      <c r="U2034" s="1423"/>
      <c r="V2034" s="1423"/>
      <c r="W2034" s="1423"/>
      <c r="X2034" s="152"/>
      <c r="Y2034" s="152"/>
      <c r="Z2034" s="152"/>
      <c r="AA2034" s="152"/>
      <c r="AB2034" s="152"/>
    </row>
    <row r="2035" spans="1:28" hidden="1" outlineLevel="1">
      <c r="A2035" s="152"/>
      <c r="B2035" s="190" t="s">
        <v>194</v>
      </c>
      <c r="C2035" s="1423"/>
      <c r="D2035" s="1423">
        <f t="shared" ref="D2035" ca="1" si="2952">IF(AND(C2035&lt;1,D2009=0),0,
IF(D2009=0,C2035-1,
IF(C2035&lt;1,D2010,
(((C2035-1)*(C2011-(C2011/(C2035))))+(D2009*D2010))/(D2011))))</f>
        <v>0</v>
      </c>
      <c r="E2035" s="1423">
        <f t="shared" ref="E2035" ca="1" si="2953">IF(AND(D2035&lt;1,E2009=0),0,
IF(E2009=0,D2035-1,
IF(D2035&lt;1,E2010,
(((D2035-1)*(D2011-(D2011/(D2035))))+(E2009*E2010))/(E2011))))</f>
        <v>0</v>
      </c>
      <c r="F2035" s="1423">
        <f t="shared" ref="F2035" ca="1" si="2954">IF(AND(E2035&lt;1,F2009=0),0,
IF(F2009=0,E2035-1,
IF(E2035&lt;1,F2010,
(((E2035-1)*(E2011-(E2011/(E2035))))+(F2009*F2010))/(F2011))))</f>
        <v>0</v>
      </c>
      <c r="G2035" s="1423">
        <f t="shared" ref="G2035" ca="1" si="2955">IF(AND(F2035&lt;1,G2009=0),0,
IF(G2009=0,F2035-1,
IF(F2035&lt;1,G2010,
(((F2035-1)*(F2011-(F2011/(F2035))))+(G2009*G2010))/(G2011))))</f>
        <v>0</v>
      </c>
      <c r="H2035" s="1423">
        <f ca="1">IF(AND(G2035&lt;1,H2009=0),0,
IF(H2009=0,G2035-1,
IF(G2035&lt;1,H2010,
(((G2035-1)*(G2011-(G2011/(G2035))))+(H2009*H2010))/(H2011))))</f>
        <v>0</v>
      </c>
      <c r="I2035" s="1423">
        <f t="shared" ref="I2035" ca="1" si="2956">IF(AND(H2035&lt;1,I2009=0),0,
IF(I2009=0,H2035-1,
IF(H2035&lt;1,I2010,
(((H2035-1)*(H2011-(H2011/(H2035))))+(I2009*I2010))/(I2011))))</f>
        <v>0</v>
      </c>
      <c r="J2035" s="1423">
        <f t="shared" ref="J2035" ca="1" si="2957">IF(AND(I2035&lt;1,J2009=0),0,
IF(J2009=0,I2035-1,
IF(I2035&lt;1,J2010,
(((I2035-1)*(I2011-(I2011/(I2035))))+(J2009*J2010))/(J2011))))</f>
        <v>0</v>
      </c>
      <c r="K2035" s="1423">
        <f t="shared" ref="K2035" ca="1" si="2958">IF(AND(J2035&lt;1,K2009=0),0,
IF(K2009=0,J2035-1,
IF(J2035&lt;1,K2010,
(((J2035-1)*(J2011-(J2011/(J2035))))+(K2009*K2010))/(K2011))))</f>
        <v>0</v>
      </c>
      <c r="L2035" s="1423">
        <f t="shared" ref="L2035" ca="1" si="2959">IF(AND(K2035&lt;1,L2009=0),0,
IF(L2009=0,K2035-1,
IF(K2035&lt;1,L2010,
(((K2035-1)*(K2011-(K2011/(K2035))))+(L2009*L2010))/(L2011))))</f>
        <v>0</v>
      </c>
      <c r="M2035" s="1423">
        <f ca="1">IF(AND(L2035&lt;1,M2009=0),0,
IF(M2009=0,L2035-1,
IF(L2035&lt;1,M2010,
(((L2035-1)*(L2011-(L2011/(L2035))))+(M2009*M2010))/(M2011))))</f>
        <v>0</v>
      </c>
      <c r="N2035" s="1423">
        <f t="shared" ref="N2035" ca="1" si="2960">IF(AND(M2035&lt;1,N2009=0),0,
IF(N2009=0,M2035-1,
IF(M2035&lt;1,N2010,
(((M2035-1)*(M2011-(M2011/(M2035))))+(N2009*N2010))/(N2011))))</f>
        <v>0</v>
      </c>
      <c r="O2035" s="1423">
        <f t="shared" ref="O2035" ca="1" si="2961">IF(AND(N2035&lt;1,O2009=0),0,
IF(O2009=0,N2035-1,
IF(N2035&lt;1,O2010,
(((N2035-1)*(N2011-(N2011/(N2035))))+(O2009*O2010))/(O2011))))</f>
        <v>0</v>
      </c>
      <c r="P2035" s="1423">
        <f t="shared" ref="P2035" ca="1" si="2962">IF(AND(O2035&lt;1,P2009=0),0,
IF(P2009=0,O2035-1,
IF(O2035&lt;1,P2010,
(((O2035-1)*(O2011-(O2011/(O2035))))+(P2009*P2010))/(P2011))))</f>
        <v>0</v>
      </c>
      <c r="Q2035" s="1423">
        <f t="shared" ref="Q2035" ca="1" si="2963">IF(AND(P2035&lt;1,Q2009=0),0,
IF(Q2009=0,P2035-1,
IF(P2035&lt;1,Q2010,
(((P2035-1)*(P2011-(P2011/(P2035))))+(Q2009*Q2010))/(Q2011))))</f>
        <v>0</v>
      </c>
      <c r="R2035" s="1423">
        <f t="shared" ref="R2035" ca="1" si="2964">IF(AND(Q2035&lt;1,R2009=0),0,
IF(R2009=0,Q2035-1,
IF(Q2035&lt;1,R2010,
(((Q2035-1)*(Q2011-(Q2011/(Q2035))))+(R2009*R2010))/(R2011))))</f>
        <v>0</v>
      </c>
      <c r="S2035" s="1423">
        <f t="shared" ref="S2035" ca="1" si="2965">IF(AND(R2035&lt;1,S2009=0),0,
IF(S2009=0,R2035-1,
IF(R2035&lt;1,S2010,
(((R2035-1)*(R2011-(R2011/(R2035))))+(S2009*S2010))/(S2011))))</f>
        <v>0</v>
      </c>
      <c r="T2035" s="1423">
        <f t="shared" ref="T2035" ca="1" si="2966">IF(AND(S2035&lt;1,T2009=0),0,
IF(T2009=0,S2035-1,
IF(S2035&lt;1,T2010,
(((S2035-1)*(S2011-(S2011/(S2035))))+(T2009*T2010))/(T2011))))</f>
        <v>0</v>
      </c>
      <c r="U2035" s="1423">
        <f t="shared" ref="U2035" ca="1" si="2967">IF(AND(T2035&lt;1,U2009=0),0,
IF(U2009=0,T2035-1,
IF(T2035&lt;1,U2010,
(((T2035-1)*(T2011-(T2011/(T2035))))+(U2009*U2010))/(U2011))))</f>
        <v>0</v>
      </c>
      <c r="V2035" s="1423">
        <f t="shared" ref="V2035" ca="1" si="2968">IF(AND(U2035&lt;1,V2009=0),0,
IF(V2009=0,U2035-1,
IF(U2035&lt;1,V2010,
(((U2035-1)*(U2011-(U2011/(U2035))))+(V2009*V2010))/(V2011))))</f>
        <v>0</v>
      </c>
      <c r="W2035" s="1423">
        <f t="shared" ref="W2035" ca="1" si="2969">IF(AND(V2035&lt;1,W2009=0),0,
IF(W2009=0,V2035-1,
IF(V2035&lt;1,W2010,
(((V2035-1)*(V2011-(V2011/(V2035))))+(W2009*W2010))/(W2011))))</f>
        <v>0</v>
      </c>
      <c r="X2035" s="152"/>
      <c r="Y2035" s="152"/>
      <c r="Z2035" s="152"/>
      <c r="AA2035" s="152"/>
      <c r="AB2035" s="152"/>
    </row>
    <row r="2036" spans="1:28" hidden="1" outlineLevel="1">
      <c r="A2036" s="152"/>
      <c r="B2036" s="190" t="s">
        <v>193</v>
      </c>
      <c r="C2036" s="1423">
        <f ca="1">C2008</f>
        <v>0</v>
      </c>
      <c r="D2036" s="1423">
        <f t="shared" ref="D2036" ca="1" si="2970">IF(C2036="n/a","n/a",MAX(0,C2036-1))</f>
        <v>0</v>
      </c>
      <c r="E2036" s="1423">
        <f t="shared" ref="E2036:E2037" ca="1" si="2971">IF(D2036="n/a","n/a",MAX(0,D2036-1))</f>
        <v>0</v>
      </c>
      <c r="F2036" s="1423">
        <f t="shared" ref="F2036:F2038" ca="1" si="2972">IF(E2036="n/a","n/a",MAX(0,E2036-1))</f>
        <v>0</v>
      </c>
      <c r="G2036" s="1423">
        <f t="shared" ref="G2036:G2039" ca="1" si="2973">IF(F2036="n/a","n/a",MAX(0,F2036-1))</f>
        <v>0</v>
      </c>
      <c r="H2036" s="1423">
        <f t="shared" ref="H2036:H2040" ca="1" si="2974">IF(G2036="n/a","n/a",MAX(0,G2036-1))</f>
        <v>0</v>
      </c>
      <c r="I2036" s="1423">
        <f t="shared" ref="I2036:I2041" ca="1" si="2975">IF(H2036="n/a","n/a",MAX(0,H2036-1))</f>
        <v>0</v>
      </c>
      <c r="J2036" s="1423">
        <f t="shared" ref="J2036:J2042" ca="1" si="2976">IF(I2036="n/a","n/a",MAX(0,I2036-1))</f>
        <v>0</v>
      </c>
      <c r="K2036" s="1423">
        <f t="shared" ref="K2036:K2043" ca="1" si="2977">IF(J2036="n/a","n/a",MAX(0,J2036-1))</f>
        <v>0</v>
      </c>
      <c r="L2036" s="1423">
        <f t="shared" ref="L2036:L2044" ca="1" si="2978">IF(K2036="n/a","n/a",MAX(0,K2036-1))</f>
        <v>0</v>
      </c>
      <c r="M2036" s="1423">
        <f t="shared" ref="M2036:M2045" ca="1" si="2979">IF(L2036="n/a","n/a",MAX(0,L2036-1))</f>
        <v>0</v>
      </c>
      <c r="N2036" s="1423">
        <f t="shared" ref="N2036:N2046" ca="1" si="2980">IF(M2036="n/a","n/a",MAX(0,M2036-1))</f>
        <v>0</v>
      </c>
      <c r="O2036" s="1423">
        <f t="shared" ref="O2036:O2047" ca="1" si="2981">IF(N2036="n/a","n/a",MAX(0,N2036-1))</f>
        <v>0</v>
      </c>
      <c r="P2036" s="1423">
        <f t="shared" ref="P2036:P2048" ca="1" si="2982">IF(O2036="n/a","n/a",MAX(0,O2036-1))</f>
        <v>0</v>
      </c>
      <c r="Q2036" s="1423">
        <f t="shared" ref="Q2036:Q2049" ca="1" si="2983">IF(P2036="n/a","n/a",MAX(0,P2036-1))</f>
        <v>0</v>
      </c>
      <c r="R2036" s="1423">
        <f t="shared" ref="R2036:R2050" ca="1" si="2984">IF(Q2036="n/a","n/a",MAX(0,Q2036-1))</f>
        <v>0</v>
      </c>
      <c r="S2036" s="1423">
        <f t="shared" ref="S2036:S2051" ca="1" si="2985">IF(R2036="n/a","n/a",MAX(0,R2036-1))</f>
        <v>0</v>
      </c>
      <c r="T2036" s="1423">
        <f t="shared" ref="T2036:T2052" ca="1" si="2986">IF(S2036="n/a","n/a",MAX(0,S2036-1))</f>
        <v>0</v>
      </c>
      <c r="U2036" s="1423">
        <f t="shared" ref="U2036:U2053" ca="1" si="2987">IF(T2036="n/a","n/a",MAX(0,T2036-1))</f>
        <v>0</v>
      </c>
      <c r="V2036" s="1423">
        <f t="shared" ref="V2036:V2054" ca="1" si="2988">IF(U2036="n/a","n/a",MAX(0,U2036-1))</f>
        <v>0</v>
      </c>
      <c r="W2036" s="1423">
        <f t="shared" ref="W2036:W2054" ca="1" si="2989">IF(V2036="n/a","n/a",MAX(0,V2036-1))</f>
        <v>0</v>
      </c>
      <c r="X2036" s="152"/>
      <c r="Y2036" s="152"/>
      <c r="Z2036" s="152"/>
      <c r="AA2036" s="152"/>
      <c r="AB2036" s="152"/>
    </row>
    <row r="2037" spans="1:28" hidden="1" outlineLevel="1">
      <c r="A2037" s="152"/>
      <c r="B2037" s="190" t="str">
        <f t="shared" ref="B2037:B2056" ca="1" si="2990">"RL Capex "&amp;OFFSET($C$6,0,A2013)</f>
        <v>RL Capex 2016-17</v>
      </c>
      <c r="C2037" s="1424"/>
      <c r="D2037" s="1428">
        <f>D2008</f>
        <v>0</v>
      </c>
      <c r="E2037" s="1423">
        <f t="shared" si="2971"/>
        <v>0</v>
      </c>
      <c r="F2037" s="1423">
        <f t="shared" si="2972"/>
        <v>0</v>
      </c>
      <c r="G2037" s="1423">
        <f t="shared" si="2973"/>
        <v>0</v>
      </c>
      <c r="H2037" s="1423">
        <f t="shared" si="2974"/>
        <v>0</v>
      </c>
      <c r="I2037" s="1423">
        <f t="shared" si="2975"/>
        <v>0</v>
      </c>
      <c r="J2037" s="1423">
        <f t="shared" si="2976"/>
        <v>0</v>
      </c>
      <c r="K2037" s="1423">
        <f t="shared" si="2977"/>
        <v>0</v>
      </c>
      <c r="L2037" s="1423">
        <f t="shared" si="2978"/>
        <v>0</v>
      </c>
      <c r="M2037" s="1423">
        <f t="shared" si="2979"/>
        <v>0</v>
      </c>
      <c r="N2037" s="1423">
        <f t="shared" si="2980"/>
        <v>0</v>
      </c>
      <c r="O2037" s="1423">
        <f t="shared" si="2981"/>
        <v>0</v>
      </c>
      <c r="P2037" s="1423">
        <f t="shared" si="2982"/>
        <v>0</v>
      </c>
      <c r="Q2037" s="1423">
        <f t="shared" si="2983"/>
        <v>0</v>
      </c>
      <c r="R2037" s="1423">
        <f t="shared" si="2984"/>
        <v>0</v>
      </c>
      <c r="S2037" s="1423">
        <f t="shared" si="2985"/>
        <v>0</v>
      </c>
      <c r="T2037" s="1423">
        <f t="shared" si="2986"/>
        <v>0</v>
      </c>
      <c r="U2037" s="1423">
        <f t="shared" si="2987"/>
        <v>0</v>
      </c>
      <c r="V2037" s="1423">
        <f t="shared" si="2988"/>
        <v>0</v>
      </c>
      <c r="W2037" s="1423">
        <f t="shared" si="2989"/>
        <v>0</v>
      </c>
      <c r="X2037" s="152"/>
      <c r="Y2037" s="152"/>
      <c r="Z2037" s="152"/>
      <c r="AA2037" s="152"/>
      <c r="AB2037" s="152"/>
    </row>
    <row r="2038" spans="1:28" hidden="1" outlineLevel="1">
      <c r="A2038" s="152"/>
      <c r="B2038" s="190" t="str">
        <f t="shared" ca="1" si="2990"/>
        <v>RL Capex 2017-18</v>
      </c>
      <c r="C2038" s="1429"/>
      <c r="D2038" s="1424"/>
      <c r="E2038" s="1428">
        <f>E2008</f>
        <v>0</v>
      </c>
      <c r="F2038" s="1423">
        <f t="shared" si="2972"/>
        <v>0</v>
      </c>
      <c r="G2038" s="1423">
        <f t="shared" si="2973"/>
        <v>0</v>
      </c>
      <c r="H2038" s="1423">
        <f t="shared" si="2974"/>
        <v>0</v>
      </c>
      <c r="I2038" s="1423">
        <f t="shared" si="2975"/>
        <v>0</v>
      </c>
      <c r="J2038" s="1423">
        <f t="shared" si="2976"/>
        <v>0</v>
      </c>
      <c r="K2038" s="1423">
        <f t="shared" si="2977"/>
        <v>0</v>
      </c>
      <c r="L2038" s="1423">
        <f t="shared" si="2978"/>
        <v>0</v>
      </c>
      <c r="M2038" s="1423">
        <f t="shared" si="2979"/>
        <v>0</v>
      </c>
      <c r="N2038" s="1423">
        <f t="shared" si="2980"/>
        <v>0</v>
      </c>
      <c r="O2038" s="1423">
        <f t="shared" si="2981"/>
        <v>0</v>
      </c>
      <c r="P2038" s="1423">
        <f t="shared" si="2982"/>
        <v>0</v>
      </c>
      <c r="Q2038" s="1423">
        <f t="shared" si="2983"/>
        <v>0</v>
      </c>
      <c r="R2038" s="1423">
        <f t="shared" si="2984"/>
        <v>0</v>
      </c>
      <c r="S2038" s="1423">
        <f t="shared" si="2985"/>
        <v>0</v>
      </c>
      <c r="T2038" s="1423">
        <f t="shared" si="2986"/>
        <v>0</v>
      </c>
      <c r="U2038" s="1423">
        <f t="shared" si="2987"/>
        <v>0</v>
      </c>
      <c r="V2038" s="1423">
        <f t="shared" si="2988"/>
        <v>0</v>
      </c>
      <c r="W2038" s="1423">
        <f t="shared" si="2989"/>
        <v>0</v>
      </c>
      <c r="X2038" s="152"/>
      <c r="Y2038" s="152"/>
      <c r="Z2038" s="152"/>
      <c r="AA2038" s="152"/>
      <c r="AB2038" s="152"/>
    </row>
    <row r="2039" spans="1:28" hidden="1" outlineLevel="1">
      <c r="A2039" s="152"/>
      <c r="B2039" s="190" t="str">
        <f t="shared" ca="1" si="2990"/>
        <v>RL Capex 2018-19</v>
      </c>
      <c r="C2039" s="1429"/>
      <c r="D2039" s="1429"/>
      <c r="E2039" s="1424"/>
      <c r="F2039" s="1428">
        <f>F2008</f>
        <v>0</v>
      </c>
      <c r="G2039" s="1423">
        <f t="shared" si="2973"/>
        <v>0</v>
      </c>
      <c r="H2039" s="1423">
        <f t="shared" si="2974"/>
        <v>0</v>
      </c>
      <c r="I2039" s="1423">
        <f t="shared" si="2975"/>
        <v>0</v>
      </c>
      <c r="J2039" s="1423">
        <f t="shared" si="2976"/>
        <v>0</v>
      </c>
      <c r="K2039" s="1423">
        <f t="shared" si="2977"/>
        <v>0</v>
      </c>
      <c r="L2039" s="1423">
        <f t="shared" si="2978"/>
        <v>0</v>
      </c>
      <c r="M2039" s="1423">
        <f t="shared" si="2979"/>
        <v>0</v>
      </c>
      <c r="N2039" s="1423">
        <f t="shared" si="2980"/>
        <v>0</v>
      </c>
      <c r="O2039" s="1423">
        <f t="shared" si="2981"/>
        <v>0</v>
      </c>
      <c r="P2039" s="1423">
        <f t="shared" si="2982"/>
        <v>0</v>
      </c>
      <c r="Q2039" s="1423">
        <f t="shared" si="2983"/>
        <v>0</v>
      </c>
      <c r="R2039" s="1423">
        <f t="shared" si="2984"/>
        <v>0</v>
      </c>
      <c r="S2039" s="1423">
        <f t="shared" si="2985"/>
        <v>0</v>
      </c>
      <c r="T2039" s="1423">
        <f t="shared" si="2986"/>
        <v>0</v>
      </c>
      <c r="U2039" s="1423">
        <f t="shared" si="2987"/>
        <v>0</v>
      </c>
      <c r="V2039" s="1423">
        <f t="shared" si="2988"/>
        <v>0</v>
      </c>
      <c r="W2039" s="1423">
        <f t="shared" si="2989"/>
        <v>0</v>
      </c>
      <c r="X2039" s="152"/>
      <c r="Y2039" s="152"/>
      <c r="Z2039" s="152"/>
      <c r="AA2039" s="152"/>
      <c r="AB2039" s="152"/>
    </row>
    <row r="2040" spans="1:28" hidden="1" outlineLevel="1">
      <c r="A2040" s="152"/>
      <c r="B2040" s="190" t="str">
        <f t="shared" ca="1" si="2990"/>
        <v>RL Capex 2019-20</v>
      </c>
      <c r="C2040" s="1429"/>
      <c r="D2040" s="1429"/>
      <c r="E2040" s="1429"/>
      <c r="F2040" s="1424"/>
      <c r="G2040" s="1428">
        <f>G2008</f>
        <v>0</v>
      </c>
      <c r="H2040" s="1423">
        <f t="shared" si="2974"/>
        <v>0</v>
      </c>
      <c r="I2040" s="1423">
        <f t="shared" si="2975"/>
        <v>0</v>
      </c>
      <c r="J2040" s="1423">
        <f t="shared" si="2976"/>
        <v>0</v>
      </c>
      <c r="K2040" s="1423">
        <f t="shared" si="2977"/>
        <v>0</v>
      </c>
      <c r="L2040" s="1423">
        <f t="shared" si="2978"/>
        <v>0</v>
      </c>
      <c r="M2040" s="1423">
        <f t="shared" si="2979"/>
        <v>0</v>
      </c>
      <c r="N2040" s="1423">
        <f t="shared" si="2980"/>
        <v>0</v>
      </c>
      <c r="O2040" s="1423">
        <f t="shared" si="2981"/>
        <v>0</v>
      </c>
      <c r="P2040" s="1423">
        <f t="shared" si="2982"/>
        <v>0</v>
      </c>
      <c r="Q2040" s="1423">
        <f t="shared" si="2983"/>
        <v>0</v>
      </c>
      <c r="R2040" s="1423">
        <f t="shared" si="2984"/>
        <v>0</v>
      </c>
      <c r="S2040" s="1423">
        <f t="shared" si="2985"/>
        <v>0</v>
      </c>
      <c r="T2040" s="1423">
        <f t="shared" si="2986"/>
        <v>0</v>
      </c>
      <c r="U2040" s="1423">
        <f t="shared" si="2987"/>
        <v>0</v>
      </c>
      <c r="V2040" s="1423">
        <f t="shared" si="2988"/>
        <v>0</v>
      </c>
      <c r="W2040" s="1423">
        <f t="shared" si="2989"/>
        <v>0</v>
      </c>
      <c r="X2040" s="152"/>
      <c r="Y2040" s="152"/>
      <c r="Z2040" s="152"/>
      <c r="AA2040" s="152"/>
      <c r="AB2040" s="152"/>
    </row>
    <row r="2041" spans="1:28" hidden="1" outlineLevel="1">
      <c r="A2041" s="152"/>
      <c r="B2041" s="190" t="str">
        <f t="shared" ca="1" si="2990"/>
        <v>RL Capex 2020-21</v>
      </c>
      <c r="C2041" s="1429"/>
      <c r="D2041" s="1429"/>
      <c r="E2041" s="1429"/>
      <c r="F2041" s="1429"/>
      <c r="G2041" s="1424"/>
      <c r="H2041" s="1428">
        <f>H2008</f>
        <v>0</v>
      </c>
      <c r="I2041" s="1423">
        <f t="shared" si="2975"/>
        <v>0</v>
      </c>
      <c r="J2041" s="1423">
        <f t="shared" si="2976"/>
        <v>0</v>
      </c>
      <c r="K2041" s="1423">
        <f t="shared" si="2977"/>
        <v>0</v>
      </c>
      <c r="L2041" s="1423">
        <f t="shared" si="2978"/>
        <v>0</v>
      </c>
      <c r="M2041" s="1423">
        <f t="shared" si="2979"/>
        <v>0</v>
      </c>
      <c r="N2041" s="1423">
        <f t="shared" si="2980"/>
        <v>0</v>
      </c>
      <c r="O2041" s="1423">
        <f t="shared" si="2981"/>
        <v>0</v>
      </c>
      <c r="P2041" s="1423">
        <f t="shared" si="2982"/>
        <v>0</v>
      </c>
      <c r="Q2041" s="1423">
        <f t="shared" si="2983"/>
        <v>0</v>
      </c>
      <c r="R2041" s="1423">
        <f t="shared" si="2984"/>
        <v>0</v>
      </c>
      <c r="S2041" s="1423">
        <f t="shared" si="2985"/>
        <v>0</v>
      </c>
      <c r="T2041" s="1423">
        <f t="shared" si="2986"/>
        <v>0</v>
      </c>
      <c r="U2041" s="1423">
        <f t="shared" si="2987"/>
        <v>0</v>
      </c>
      <c r="V2041" s="1423">
        <f t="shared" si="2988"/>
        <v>0</v>
      </c>
      <c r="W2041" s="1423">
        <f t="shared" si="2989"/>
        <v>0</v>
      </c>
      <c r="X2041" s="152"/>
      <c r="Y2041" s="152"/>
      <c r="Z2041" s="152"/>
      <c r="AA2041" s="152"/>
      <c r="AB2041" s="152"/>
    </row>
    <row r="2042" spans="1:28" hidden="1" outlineLevel="1">
      <c r="A2042" s="152"/>
      <c r="B2042" s="190" t="str">
        <f t="shared" ca="1" si="2990"/>
        <v>RL Capex 2021-22</v>
      </c>
      <c r="C2042" s="1429"/>
      <c r="D2042" s="1429"/>
      <c r="E2042" s="1429"/>
      <c r="F2042" s="1429"/>
      <c r="G2042" s="1429"/>
      <c r="H2042" s="1424"/>
      <c r="I2042" s="1428">
        <f>I2008</f>
        <v>0</v>
      </c>
      <c r="J2042" s="1423">
        <f t="shared" si="2976"/>
        <v>0</v>
      </c>
      <c r="K2042" s="1423">
        <f t="shared" si="2977"/>
        <v>0</v>
      </c>
      <c r="L2042" s="1423">
        <f t="shared" si="2978"/>
        <v>0</v>
      </c>
      <c r="M2042" s="1423">
        <f t="shared" si="2979"/>
        <v>0</v>
      </c>
      <c r="N2042" s="1423">
        <f t="shared" si="2980"/>
        <v>0</v>
      </c>
      <c r="O2042" s="1423">
        <f t="shared" si="2981"/>
        <v>0</v>
      </c>
      <c r="P2042" s="1423">
        <f t="shared" si="2982"/>
        <v>0</v>
      </c>
      <c r="Q2042" s="1423">
        <f t="shared" si="2983"/>
        <v>0</v>
      </c>
      <c r="R2042" s="1423">
        <f t="shared" si="2984"/>
        <v>0</v>
      </c>
      <c r="S2042" s="1423">
        <f t="shared" si="2985"/>
        <v>0</v>
      </c>
      <c r="T2042" s="1423">
        <f t="shared" si="2986"/>
        <v>0</v>
      </c>
      <c r="U2042" s="1423">
        <f t="shared" si="2987"/>
        <v>0</v>
      </c>
      <c r="V2042" s="1423">
        <f t="shared" si="2988"/>
        <v>0</v>
      </c>
      <c r="W2042" s="1423">
        <f t="shared" si="2989"/>
        <v>0</v>
      </c>
      <c r="X2042" s="152"/>
      <c r="Y2042" s="152"/>
      <c r="Z2042" s="152"/>
      <c r="AA2042" s="152"/>
      <c r="AB2042" s="152"/>
    </row>
    <row r="2043" spans="1:28" hidden="1" outlineLevel="1">
      <c r="A2043" s="152"/>
      <c r="B2043" s="190" t="str">
        <f t="shared" ca="1" si="2990"/>
        <v>RL Capex 2022-23</v>
      </c>
      <c r="C2043" s="1429"/>
      <c r="D2043" s="1429"/>
      <c r="E2043" s="1429"/>
      <c r="F2043" s="1429"/>
      <c r="G2043" s="1429"/>
      <c r="H2043" s="1429"/>
      <c r="I2043" s="1424"/>
      <c r="J2043" s="1428">
        <f>J2008</f>
        <v>0</v>
      </c>
      <c r="K2043" s="1423">
        <f t="shared" si="2977"/>
        <v>0</v>
      </c>
      <c r="L2043" s="1423">
        <f t="shared" si="2978"/>
        <v>0</v>
      </c>
      <c r="M2043" s="1423">
        <f t="shared" si="2979"/>
        <v>0</v>
      </c>
      <c r="N2043" s="1423">
        <f t="shared" si="2980"/>
        <v>0</v>
      </c>
      <c r="O2043" s="1423">
        <f t="shared" si="2981"/>
        <v>0</v>
      </c>
      <c r="P2043" s="1423">
        <f t="shared" si="2982"/>
        <v>0</v>
      </c>
      <c r="Q2043" s="1423">
        <f t="shared" si="2983"/>
        <v>0</v>
      </c>
      <c r="R2043" s="1423">
        <f t="shared" si="2984"/>
        <v>0</v>
      </c>
      <c r="S2043" s="1423">
        <f t="shared" si="2985"/>
        <v>0</v>
      </c>
      <c r="T2043" s="1423">
        <f t="shared" si="2986"/>
        <v>0</v>
      </c>
      <c r="U2043" s="1423">
        <f t="shared" si="2987"/>
        <v>0</v>
      </c>
      <c r="V2043" s="1423">
        <f t="shared" si="2988"/>
        <v>0</v>
      </c>
      <c r="W2043" s="1423">
        <f t="shared" si="2989"/>
        <v>0</v>
      </c>
      <c r="X2043" s="152"/>
      <c r="Y2043" s="152"/>
      <c r="Z2043" s="152"/>
      <c r="AA2043" s="152"/>
      <c r="AB2043" s="152"/>
    </row>
    <row r="2044" spans="1:28" hidden="1" outlineLevel="1">
      <c r="A2044" s="152"/>
      <c r="B2044" s="190" t="str">
        <f t="shared" ca="1" si="2990"/>
        <v>RL Capex 2023-24</v>
      </c>
      <c r="C2044" s="1429"/>
      <c r="D2044" s="1429"/>
      <c r="E2044" s="1429"/>
      <c r="F2044" s="1429"/>
      <c r="G2044" s="1429"/>
      <c r="H2044" s="1429"/>
      <c r="I2044" s="1429"/>
      <c r="J2044" s="1424"/>
      <c r="K2044" s="1428">
        <f>K2008</f>
        <v>0</v>
      </c>
      <c r="L2044" s="1423">
        <f t="shared" si="2978"/>
        <v>0</v>
      </c>
      <c r="M2044" s="1423">
        <f t="shared" si="2979"/>
        <v>0</v>
      </c>
      <c r="N2044" s="1423">
        <f t="shared" si="2980"/>
        <v>0</v>
      </c>
      <c r="O2044" s="1423">
        <f t="shared" si="2981"/>
        <v>0</v>
      </c>
      <c r="P2044" s="1423">
        <f t="shared" si="2982"/>
        <v>0</v>
      </c>
      <c r="Q2044" s="1423">
        <f t="shared" si="2983"/>
        <v>0</v>
      </c>
      <c r="R2044" s="1423">
        <f t="shared" si="2984"/>
        <v>0</v>
      </c>
      <c r="S2044" s="1423">
        <f t="shared" si="2985"/>
        <v>0</v>
      </c>
      <c r="T2044" s="1423">
        <f t="shared" si="2986"/>
        <v>0</v>
      </c>
      <c r="U2044" s="1423">
        <f t="shared" si="2987"/>
        <v>0</v>
      </c>
      <c r="V2044" s="1423">
        <f t="shared" si="2988"/>
        <v>0</v>
      </c>
      <c r="W2044" s="1423">
        <f t="shared" si="2989"/>
        <v>0</v>
      </c>
      <c r="X2044" s="152"/>
      <c r="Y2044" s="152"/>
      <c r="Z2044" s="152"/>
      <c r="AA2044" s="152"/>
      <c r="AB2044" s="152"/>
    </row>
    <row r="2045" spans="1:28" hidden="1" outlineLevel="1">
      <c r="A2045" s="152"/>
      <c r="B2045" s="190" t="str">
        <f t="shared" ca="1" si="2990"/>
        <v>RL Capex 2024-25</v>
      </c>
      <c r="C2045" s="1429"/>
      <c r="D2045" s="1429"/>
      <c r="E2045" s="1429"/>
      <c r="F2045" s="1429"/>
      <c r="G2045" s="1429"/>
      <c r="H2045" s="1429"/>
      <c r="I2045" s="1429"/>
      <c r="J2045" s="1429"/>
      <c r="K2045" s="1424"/>
      <c r="L2045" s="1428">
        <f>L2008</f>
        <v>0</v>
      </c>
      <c r="M2045" s="1423">
        <f t="shared" si="2979"/>
        <v>0</v>
      </c>
      <c r="N2045" s="1423">
        <f t="shared" si="2980"/>
        <v>0</v>
      </c>
      <c r="O2045" s="1423">
        <f t="shared" si="2981"/>
        <v>0</v>
      </c>
      <c r="P2045" s="1423">
        <f t="shared" si="2982"/>
        <v>0</v>
      </c>
      <c r="Q2045" s="1423">
        <f t="shared" si="2983"/>
        <v>0</v>
      </c>
      <c r="R2045" s="1423">
        <f t="shared" si="2984"/>
        <v>0</v>
      </c>
      <c r="S2045" s="1423">
        <f t="shared" si="2985"/>
        <v>0</v>
      </c>
      <c r="T2045" s="1423">
        <f t="shared" si="2986"/>
        <v>0</v>
      </c>
      <c r="U2045" s="1423">
        <f t="shared" si="2987"/>
        <v>0</v>
      </c>
      <c r="V2045" s="1423">
        <f t="shared" si="2988"/>
        <v>0</v>
      </c>
      <c r="W2045" s="1423">
        <f t="shared" si="2989"/>
        <v>0</v>
      </c>
      <c r="X2045" s="152"/>
      <c r="Y2045" s="152"/>
      <c r="Z2045" s="152"/>
      <c r="AA2045" s="152"/>
      <c r="AB2045" s="152"/>
    </row>
    <row r="2046" spans="1:28" hidden="1" outlineLevel="1">
      <c r="A2046" s="152"/>
      <c r="B2046" s="190" t="str">
        <f t="shared" ca="1" si="2990"/>
        <v>RL Capex 2025-26</v>
      </c>
      <c r="C2046" s="1429"/>
      <c r="D2046" s="1429"/>
      <c r="E2046" s="1429"/>
      <c r="F2046" s="1429"/>
      <c r="G2046" s="1429"/>
      <c r="H2046" s="1429"/>
      <c r="I2046" s="1429"/>
      <c r="J2046" s="1429"/>
      <c r="K2046" s="1429"/>
      <c r="L2046" s="1424"/>
      <c r="M2046" s="1428">
        <f>M2008</f>
        <v>0</v>
      </c>
      <c r="N2046" s="1423">
        <f t="shared" si="2980"/>
        <v>0</v>
      </c>
      <c r="O2046" s="1423">
        <f t="shared" si="2981"/>
        <v>0</v>
      </c>
      <c r="P2046" s="1423">
        <f t="shared" si="2982"/>
        <v>0</v>
      </c>
      <c r="Q2046" s="1423">
        <f t="shared" si="2983"/>
        <v>0</v>
      </c>
      <c r="R2046" s="1423">
        <f t="shared" si="2984"/>
        <v>0</v>
      </c>
      <c r="S2046" s="1423">
        <f t="shared" si="2985"/>
        <v>0</v>
      </c>
      <c r="T2046" s="1423">
        <f t="shared" si="2986"/>
        <v>0</v>
      </c>
      <c r="U2046" s="1423">
        <f t="shared" si="2987"/>
        <v>0</v>
      </c>
      <c r="V2046" s="1423">
        <f t="shared" si="2988"/>
        <v>0</v>
      </c>
      <c r="W2046" s="1423">
        <f t="shared" si="2989"/>
        <v>0</v>
      </c>
      <c r="X2046" s="152"/>
      <c r="Y2046" s="152"/>
      <c r="Z2046" s="152"/>
      <c r="AA2046" s="152"/>
      <c r="AB2046" s="152"/>
    </row>
    <row r="2047" spans="1:28" hidden="1" outlineLevel="1">
      <c r="A2047" s="152"/>
      <c r="B2047" s="190" t="str">
        <f t="shared" ca="1" si="2990"/>
        <v>RL Capex 2026-27</v>
      </c>
      <c r="C2047" s="1429"/>
      <c r="D2047" s="1429"/>
      <c r="E2047" s="1429"/>
      <c r="F2047" s="1429"/>
      <c r="G2047" s="1429"/>
      <c r="H2047" s="1429"/>
      <c r="I2047" s="1429"/>
      <c r="J2047" s="1429"/>
      <c r="K2047" s="1429"/>
      <c r="L2047" s="1429"/>
      <c r="M2047" s="1424"/>
      <c r="N2047" s="1428">
        <f>N2008</f>
        <v>0</v>
      </c>
      <c r="O2047" s="1423">
        <f t="shared" si="2981"/>
        <v>0</v>
      </c>
      <c r="P2047" s="1423">
        <f t="shared" si="2982"/>
        <v>0</v>
      </c>
      <c r="Q2047" s="1423">
        <f t="shared" si="2983"/>
        <v>0</v>
      </c>
      <c r="R2047" s="1423">
        <f t="shared" si="2984"/>
        <v>0</v>
      </c>
      <c r="S2047" s="1423">
        <f t="shared" si="2985"/>
        <v>0</v>
      </c>
      <c r="T2047" s="1423">
        <f t="shared" si="2986"/>
        <v>0</v>
      </c>
      <c r="U2047" s="1423">
        <f t="shared" si="2987"/>
        <v>0</v>
      </c>
      <c r="V2047" s="1423">
        <f t="shared" si="2988"/>
        <v>0</v>
      </c>
      <c r="W2047" s="1423">
        <f t="shared" si="2989"/>
        <v>0</v>
      </c>
      <c r="X2047" s="152"/>
      <c r="Y2047" s="152"/>
      <c r="Z2047" s="152"/>
      <c r="AA2047" s="152"/>
      <c r="AB2047" s="152"/>
    </row>
    <row r="2048" spans="1:28" hidden="1" outlineLevel="1">
      <c r="A2048" s="152"/>
      <c r="B2048" s="190" t="str">
        <f t="shared" ca="1" si="2990"/>
        <v>RL Capex 2027-28</v>
      </c>
      <c r="C2048" s="1429"/>
      <c r="D2048" s="1429"/>
      <c r="E2048" s="1429"/>
      <c r="F2048" s="1429"/>
      <c r="G2048" s="1429"/>
      <c r="H2048" s="1429"/>
      <c r="I2048" s="1429"/>
      <c r="J2048" s="1429"/>
      <c r="K2048" s="1429"/>
      <c r="L2048" s="1429"/>
      <c r="M2048" s="1429"/>
      <c r="N2048" s="1424"/>
      <c r="O2048" s="1428">
        <f>O2008</f>
        <v>0</v>
      </c>
      <c r="P2048" s="1423">
        <f t="shared" si="2982"/>
        <v>0</v>
      </c>
      <c r="Q2048" s="1423">
        <f t="shared" si="2983"/>
        <v>0</v>
      </c>
      <c r="R2048" s="1423">
        <f t="shared" si="2984"/>
        <v>0</v>
      </c>
      <c r="S2048" s="1423">
        <f t="shared" si="2985"/>
        <v>0</v>
      </c>
      <c r="T2048" s="1423">
        <f t="shared" si="2986"/>
        <v>0</v>
      </c>
      <c r="U2048" s="1423">
        <f t="shared" si="2987"/>
        <v>0</v>
      </c>
      <c r="V2048" s="1423">
        <f t="shared" si="2988"/>
        <v>0</v>
      </c>
      <c r="W2048" s="1423">
        <f t="shared" si="2989"/>
        <v>0</v>
      </c>
      <c r="X2048" s="152"/>
      <c r="Y2048" s="152"/>
      <c r="Z2048" s="152"/>
      <c r="AA2048" s="152"/>
      <c r="AB2048" s="152"/>
    </row>
    <row r="2049" spans="1:28" hidden="1" outlineLevel="1">
      <c r="A2049" s="152"/>
      <c r="B2049" s="190" t="str">
        <f t="shared" ca="1" si="2990"/>
        <v>RL Capex 2028-29</v>
      </c>
      <c r="C2049" s="1429"/>
      <c r="D2049" s="1429"/>
      <c r="E2049" s="1429"/>
      <c r="F2049" s="1429"/>
      <c r="G2049" s="1429"/>
      <c r="H2049" s="1429"/>
      <c r="I2049" s="1429"/>
      <c r="J2049" s="1429"/>
      <c r="K2049" s="1429"/>
      <c r="L2049" s="1429"/>
      <c r="M2049" s="1429"/>
      <c r="N2049" s="1429"/>
      <c r="O2049" s="1424"/>
      <c r="P2049" s="1428">
        <f>P2008</f>
        <v>0</v>
      </c>
      <c r="Q2049" s="1423">
        <f t="shared" si="2983"/>
        <v>0</v>
      </c>
      <c r="R2049" s="1423">
        <f t="shared" si="2984"/>
        <v>0</v>
      </c>
      <c r="S2049" s="1423">
        <f t="shared" si="2985"/>
        <v>0</v>
      </c>
      <c r="T2049" s="1423">
        <f t="shared" si="2986"/>
        <v>0</v>
      </c>
      <c r="U2049" s="1423">
        <f t="shared" si="2987"/>
        <v>0</v>
      </c>
      <c r="V2049" s="1423">
        <f t="shared" si="2988"/>
        <v>0</v>
      </c>
      <c r="W2049" s="1423">
        <f t="shared" si="2989"/>
        <v>0</v>
      </c>
      <c r="X2049" s="152"/>
      <c r="Y2049" s="152"/>
      <c r="Z2049" s="152"/>
      <c r="AA2049" s="152"/>
      <c r="AB2049" s="152"/>
    </row>
    <row r="2050" spans="1:28" hidden="1" outlineLevel="1">
      <c r="A2050" s="152"/>
      <c r="B2050" s="190" t="str">
        <f t="shared" ca="1" si="2990"/>
        <v>RL Capex 2029-30</v>
      </c>
      <c r="C2050" s="1429"/>
      <c r="D2050" s="1429"/>
      <c r="E2050" s="1429"/>
      <c r="F2050" s="1429"/>
      <c r="G2050" s="1429"/>
      <c r="H2050" s="1429"/>
      <c r="I2050" s="1429"/>
      <c r="J2050" s="1429"/>
      <c r="K2050" s="1429"/>
      <c r="L2050" s="1429"/>
      <c r="M2050" s="1429"/>
      <c r="N2050" s="1429"/>
      <c r="O2050" s="1429"/>
      <c r="P2050" s="1424"/>
      <c r="Q2050" s="1428">
        <f>Q2008</f>
        <v>0</v>
      </c>
      <c r="R2050" s="1423">
        <f t="shared" si="2984"/>
        <v>0</v>
      </c>
      <c r="S2050" s="1423">
        <f t="shared" si="2985"/>
        <v>0</v>
      </c>
      <c r="T2050" s="1423">
        <f t="shared" si="2986"/>
        <v>0</v>
      </c>
      <c r="U2050" s="1423">
        <f t="shared" si="2987"/>
        <v>0</v>
      </c>
      <c r="V2050" s="1423">
        <f t="shared" si="2988"/>
        <v>0</v>
      </c>
      <c r="W2050" s="1423">
        <f t="shared" si="2989"/>
        <v>0</v>
      </c>
      <c r="X2050" s="152"/>
      <c r="Y2050" s="152"/>
      <c r="Z2050" s="152"/>
      <c r="AA2050" s="152"/>
      <c r="AB2050" s="152"/>
    </row>
    <row r="2051" spans="1:28" hidden="1" outlineLevel="1">
      <c r="A2051" s="152"/>
      <c r="B2051" s="190" t="str">
        <f t="shared" ca="1" si="2990"/>
        <v>RL Capex 2030-31</v>
      </c>
      <c r="C2051" s="1429"/>
      <c r="D2051" s="1429"/>
      <c r="E2051" s="1429"/>
      <c r="F2051" s="1429"/>
      <c r="G2051" s="1429"/>
      <c r="H2051" s="1429"/>
      <c r="I2051" s="1429"/>
      <c r="J2051" s="1429"/>
      <c r="K2051" s="1429"/>
      <c r="L2051" s="1429"/>
      <c r="M2051" s="1429"/>
      <c r="N2051" s="1429"/>
      <c r="O2051" s="1429"/>
      <c r="P2051" s="1429"/>
      <c r="Q2051" s="1424"/>
      <c r="R2051" s="1428">
        <f>R2008</f>
        <v>0</v>
      </c>
      <c r="S2051" s="1423">
        <f t="shared" si="2985"/>
        <v>0</v>
      </c>
      <c r="T2051" s="1423">
        <f t="shared" si="2986"/>
        <v>0</v>
      </c>
      <c r="U2051" s="1423">
        <f t="shared" si="2987"/>
        <v>0</v>
      </c>
      <c r="V2051" s="1423">
        <f t="shared" si="2988"/>
        <v>0</v>
      </c>
      <c r="W2051" s="1423">
        <f t="shared" si="2989"/>
        <v>0</v>
      </c>
      <c r="X2051" s="152"/>
      <c r="Y2051" s="152"/>
      <c r="Z2051" s="152"/>
      <c r="AA2051" s="152"/>
      <c r="AB2051" s="152"/>
    </row>
    <row r="2052" spans="1:28" hidden="1" outlineLevel="1">
      <c r="A2052" s="152"/>
      <c r="B2052" s="190" t="str">
        <f t="shared" ca="1" si="2990"/>
        <v>RL Capex 2031-32</v>
      </c>
      <c r="C2052" s="1429"/>
      <c r="D2052" s="1429"/>
      <c r="E2052" s="1429"/>
      <c r="F2052" s="1429"/>
      <c r="G2052" s="1429"/>
      <c r="H2052" s="1429"/>
      <c r="I2052" s="1429"/>
      <c r="J2052" s="1429"/>
      <c r="K2052" s="1429"/>
      <c r="L2052" s="1429"/>
      <c r="M2052" s="1429"/>
      <c r="N2052" s="1429"/>
      <c r="O2052" s="1429"/>
      <c r="P2052" s="1429"/>
      <c r="Q2052" s="1429"/>
      <c r="R2052" s="1424"/>
      <c r="S2052" s="1428">
        <f>S2008</f>
        <v>0</v>
      </c>
      <c r="T2052" s="1423">
        <f t="shared" si="2986"/>
        <v>0</v>
      </c>
      <c r="U2052" s="1423">
        <f t="shared" si="2987"/>
        <v>0</v>
      </c>
      <c r="V2052" s="1423">
        <f t="shared" si="2988"/>
        <v>0</v>
      </c>
      <c r="W2052" s="1423">
        <f t="shared" si="2989"/>
        <v>0</v>
      </c>
      <c r="X2052" s="152"/>
      <c r="Y2052" s="152"/>
      <c r="Z2052" s="152"/>
      <c r="AA2052" s="152"/>
      <c r="AB2052" s="152"/>
    </row>
    <row r="2053" spans="1:28" hidden="1" outlineLevel="1">
      <c r="A2053" s="152"/>
      <c r="B2053" s="190" t="str">
        <f t="shared" ca="1" si="2990"/>
        <v>RL Capex 2032-33</v>
      </c>
      <c r="C2053" s="1429"/>
      <c r="D2053" s="1429"/>
      <c r="E2053" s="1429"/>
      <c r="F2053" s="1429"/>
      <c r="G2053" s="1429"/>
      <c r="H2053" s="1429"/>
      <c r="I2053" s="1429"/>
      <c r="J2053" s="1429"/>
      <c r="K2053" s="1429"/>
      <c r="L2053" s="1429"/>
      <c r="M2053" s="1429"/>
      <c r="N2053" s="1429"/>
      <c r="O2053" s="1429"/>
      <c r="P2053" s="1429"/>
      <c r="Q2053" s="1429"/>
      <c r="R2053" s="1429"/>
      <c r="S2053" s="1424"/>
      <c r="T2053" s="1428">
        <f>T2008</f>
        <v>0</v>
      </c>
      <c r="U2053" s="1423">
        <f t="shared" si="2987"/>
        <v>0</v>
      </c>
      <c r="V2053" s="1423">
        <f t="shared" si="2988"/>
        <v>0</v>
      </c>
      <c r="W2053" s="1423">
        <f t="shared" si="2989"/>
        <v>0</v>
      </c>
      <c r="X2053" s="152"/>
      <c r="Y2053" s="152"/>
      <c r="Z2053" s="152"/>
      <c r="AA2053" s="152"/>
      <c r="AB2053" s="152"/>
    </row>
    <row r="2054" spans="1:28" hidden="1" outlineLevel="1">
      <c r="A2054" s="152"/>
      <c r="B2054" s="190" t="str">
        <f t="shared" ca="1" si="2990"/>
        <v>RL Capex 2033-34</v>
      </c>
      <c r="C2054" s="1429"/>
      <c r="D2054" s="1429"/>
      <c r="E2054" s="1429"/>
      <c r="F2054" s="1429"/>
      <c r="G2054" s="1429"/>
      <c r="H2054" s="1429"/>
      <c r="I2054" s="1429"/>
      <c r="J2054" s="1429"/>
      <c r="K2054" s="1429"/>
      <c r="L2054" s="1429"/>
      <c r="M2054" s="1429"/>
      <c r="N2054" s="1429"/>
      <c r="O2054" s="1429"/>
      <c r="P2054" s="1429"/>
      <c r="Q2054" s="1429"/>
      <c r="R2054" s="1429"/>
      <c r="S2054" s="1429"/>
      <c r="T2054" s="1424"/>
      <c r="U2054" s="1428">
        <f>U2008</f>
        <v>0</v>
      </c>
      <c r="V2054" s="1423">
        <f t="shared" si="2988"/>
        <v>0</v>
      </c>
      <c r="W2054" s="1423">
        <f t="shared" si="2989"/>
        <v>0</v>
      </c>
      <c r="X2054" s="152"/>
      <c r="Y2054" s="152"/>
      <c r="Z2054" s="152"/>
      <c r="AA2054" s="152"/>
      <c r="AB2054" s="152"/>
    </row>
    <row r="2055" spans="1:28" hidden="1" outlineLevel="1">
      <c r="A2055" s="152"/>
      <c r="B2055" s="190" t="str">
        <f t="shared" ca="1" si="2990"/>
        <v>RL Capex 2034-35</v>
      </c>
      <c r="C2055" s="1429"/>
      <c r="D2055" s="1429"/>
      <c r="E2055" s="1429"/>
      <c r="F2055" s="1429"/>
      <c r="G2055" s="1429"/>
      <c r="H2055" s="1429"/>
      <c r="I2055" s="1429"/>
      <c r="J2055" s="1429"/>
      <c r="K2055" s="1429"/>
      <c r="L2055" s="1429"/>
      <c r="M2055" s="1429"/>
      <c r="N2055" s="1429"/>
      <c r="O2055" s="1429"/>
      <c r="P2055" s="1429"/>
      <c r="Q2055" s="1429"/>
      <c r="R2055" s="1429"/>
      <c r="S2055" s="1429"/>
      <c r="T2055" s="1429"/>
      <c r="U2055" s="1424"/>
      <c r="V2055" s="1428">
        <f>V2008</f>
        <v>0</v>
      </c>
      <c r="W2055" s="1423">
        <f>IF(V2055="n/a","n/a",MAX(0,V2055-1))</f>
        <v>0</v>
      </c>
      <c r="X2055" s="152"/>
      <c r="Y2055" s="152"/>
      <c r="Z2055" s="152"/>
      <c r="AA2055" s="152"/>
      <c r="AB2055" s="152"/>
    </row>
    <row r="2056" spans="1:28" hidden="1" outlineLevel="1">
      <c r="A2056" s="152"/>
      <c r="B2056" s="190" t="str">
        <f t="shared" ca="1" si="2990"/>
        <v>RL Capex 2035-36</v>
      </c>
      <c r="C2056" s="1429"/>
      <c r="D2056" s="1429"/>
      <c r="E2056" s="1429"/>
      <c r="F2056" s="1429"/>
      <c r="G2056" s="1429"/>
      <c r="H2056" s="1429"/>
      <c r="I2056" s="1429"/>
      <c r="J2056" s="1429"/>
      <c r="K2056" s="1429"/>
      <c r="L2056" s="1429"/>
      <c r="M2056" s="1429"/>
      <c r="N2056" s="1429"/>
      <c r="O2056" s="1429"/>
      <c r="P2056" s="1429"/>
      <c r="Q2056" s="1429"/>
      <c r="R2056" s="1429"/>
      <c r="S2056" s="1429"/>
      <c r="T2056" s="1429"/>
      <c r="U2056" s="1429"/>
      <c r="V2056" s="1424"/>
      <c r="W2056" s="1423">
        <f>W2008</f>
        <v>0</v>
      </c>
      <c r="X2056" s="152"/>
      <c r="Y2056" s="152"/>
      <c r="Z2056" s="152"/>
      <c r="AA2056" s="152"/>
      <c r="AB2056" s="152"/>
    </row>
    <row r="2057" spans="1:28" hidden="1" outlineLevel="1">
      <c r="A2057" s="152"/>
      <c r="B2057" s="200"/>
      <c r="C2057" s="1423"/>
      <c r="D2057" s="1423"/>
      <c r="E2057" s="1423"/>
      <c r="F2057" s="1423"/>
      <c r="G2057" s="1423"/>
      <c r="H2057" s="1423"/>
      <c r="I2057" s="1423"/>
      <c r="J2057" s="1423"/>
      <c r="K2057" s="1423"/>
      <c r="L2057" s="1423"/>
      <c r="M2057" s="1423"/>
      <c r="N2057" s="1423"/>
      <c r="O2057" s="1423"/>
      <c r="P2057" s="1423"/>
      <c r="Q2057" s="1423"/>
      <c r="R2057" s="1423"/>
      <c r="S2057" s="1423"/>
      <c r="T2057" s="1423"/>
      <c r="U2057" s="1423"/>
      <c r="V2057" s="1423"/>
      <c r="W2057" s="1423"/>
      <c r="X2057" s="152"/>
      <c r="Y2057" s="152"/>
      <c r="Z2057" s="152"/>
      <c r="AA2057" s="152"/>
      <c r="AB2057" s="152"/>
    </row>
    <row r="2058" spans="1:28" collapsed="1">
      <c r="A2058" s="194"/>
      <c r="B2058" s="204" t="s">
        <v>123</v>
      </c>
      <c r="C2058" s="1430">
        <f ca="1">(IF(OR($C2008&lt;&gt;"n/a",C2008&lt;&gt;"n/a"),IF(SUM(C2011:C2033)=0,0,IF((SUMPRODUCT(C2011:C2033,C2035:C2057)/SUM(C2011:C2033))&lt;0,1,(SUMPRODUCT(C2011:C2033,C2035:C2057)/SUM(C2011:C2033)))),"n/a"))</f>
        <v>0</v>
      </c>
      <c r="D2058" s="1430">
        <f ca="1">(IF(OR($C2008&lt;&gt;"n/a",D2008&lt;&gt;"n/a"),IF(SUM(D2011:D2033)=0,0,IF((SUMPRODUCT(D2011:D2033,D2035:D2057)/SUM(D2011:D2033))&lt;0,1,(SUMPRODUCT(D2011:D2033,D2035:D2057)/SUM(D2011:D2033)))),"n/a"))</f>
        <v>0</v>
      </c>
      <c r="E2058" s="1430">
        <f t="shared" ref="E2058:W2058" ca="1" si="2991">(IF(OR($C2008&lt;&gt;"n/a",E2008&lt;&gt;"n/a"),IF(SUM(E2011:E2033)=0,0,IF((SUMPRODUCT(E2011:E2033,E2035:E2057)/SUM(E2011:E2033))&lt;0,1,(SUMPRODUCT(E2011:E2033,E2035:E2057)/SUM(E2011:E2033)))),"n/a"))</f>
        <v>0</v>
      </c>
      <c r="F2058" s="1430">
        <f t="shared" ca="1" si="2991"/>
        <v>0</v>
      </c>
      <c r="G2058" s="1430">
        <f t="shared" ca="1" si="2991"/>
        <v>0</v>
      </c>
      <c r="H2058" s="1430">
        <f t="shared" ca="1" si="2991"/>
        <v>0</v>
      </c>
      <c r="I2058" s="1430">
        <f t="shared" ca="1" si="2991"/>
        <v>0</v>
      </c>
      <c r="J2058" s="1430">
        <f t="shared" ca="1" si="2991"/>
        <v>0</v>
      </c>
      <c r="K2058" s="1430">
        <f t="shared" ca="1" si="2991"/>
        <v>0</v>
      </c>
      <c r="L2058" s="1430">
        <f t="shared" ca="1" si="2991"/>
        <v>0</v>
      </c>
      <c r="M2058" s="1430">
        <f t="shared" ca="1" si="2991"/>
        <v>0</v>
      </c>
      <c r="N2058" s="1430">
        <f t="shared" ca="1" si="2991"/>
        <v>0</v>
      </c>
      <c r="O2058" s="1430">
        <f t="shared" ca="1" si="2991"/>
        <v>0</v>
      </c>
      <c r="P2058" s="1430">
        <f t="shared" ca="1" si="2991"/>
        <v>0</v>
      </c>
      <c r="Q2058" s="1430">
        <f t="shared" ca="1" si="2991"/>
        <v>0</v>
      </c>
      <c r="R2058" s="1430">
        <f t="shared" ca="1" si="2991"/>
        <v>0</v>
      </c>
      <c r="S2058" s="1430">
        <f t="shared" ca="1" si="2991"/>
        <v>0</v>
      </c>
      <c r="T2058" s="1430">
        <f t="shared" ca="1" si="2991"/>
        <v>0</v>
      </c>
      <c r="U2058" s="1430">
        <f t="shared" ca="1" si="2991"/>
        <v>0</v>
      </c>
      <c r="V2058" s="1430">
        <f t="shared" ca="1" si="2991"/>
        <v>0</v>
      </c>
      <c r="W2058" s="1430">
        <f t="shared" ca="1" si="2991"/>
        <v>0</v>
      </c>
      <c r="X2058" s="152"/>
      <c r="Y2058" s="152"/>
      <c r="Z2058" s="152"/>
      <c r="AA2058" s="152"/>
      <c r="AB2058" s="152"/>
    </row>
    <row r="2059" spans="1:28">
      <c r="A2059" s="152"/>
      <c r="B2059" s="152"/>
      <c r="C2059" s="1423"/>
      <c r="D2059" s="1423"/>
      <c r="E2059" s="1423"/>
      <c r="F2059" s="1423"/>
      <c r="G2059" s="1423"/>
      <c r="H2059" s="1423"/>
      <c r="I2059" s="1423"/>
      <c r="J2059" s="1423"/>
      <c r="K2059" s="1423"/>
      <c r="L2059" s="1423"/>
      <c r="M2059" s="1423"/>
      <c r="N2059" s="1423"/>
      <c r="O2059" s="1423"/>
      <c r="P2059" s="1423"/>
      <c r="Q2059" s="1423"/>
      <c r="R2059" s="1423"/>
      <c r="S2059" s="1423"/>
      <c r="T2059" s="1423"/>
      <c r="U2059" s="1423"/>
      <c r="V2059" s="1423"/>
      <c r="W2059" s="1423"/>
      <c r="X2059" s="152"/>
      <c r="Y2059" s="152"/>
      <c r="Z2059" s="152"/>
      <c r="AA2059" s="152"/>
      <c r="AB2059" s="152"/>
    </row>
    <row r="2060" spans="1:28">
      <c r="A2060" s="269" t="s">
        <v>105</v>
      </c>
      <c r="B2060" s="270">
        <f>VLOOKUP($A2060,'RFM input'!$E$7:$F$56,2,FALSE)</f>
        <v>0</v>
      </c>
      <c r="C2060" s="1431"/>
      <c r="D2060" s="1431"/>
      <c r="E2060" s="1432"/>
      <c r="F2060" s="1432"/>
      <c r="G2060" s="1432"/>
      <c r="H2060" s="1432"/>
      <c r="I2060" s="1432"/>
      <c r="J2060" s="1432"/>
      <c r="K2060" s="1432"/>
      <c r="L2060" s="1432"/>
      <c r="M2060" s="1432"/>
      <c r="N2060" s="1432"/>
      <c r="O2060" s="1432"/>
      <c r="P2060" s="1432"/>
      <c r="Q2060" s="1432"/>
      <c r="R2060" s="1432"/>
      <c r="S2060" s="1432"/>
      <c r="T2060" s="1432"/>
      <c r="U2060" s="1432"/>
      <c r="V2060" s="1432"/>
      <c r="W2060" s="1432"/>
      <c r="X2060" s="152"/>
      <c r="Y2060" s="152"/>
      <c r="Z2060" s="152"/>
      <c r="AA2060" s="152"/>
      <c r="AB2060" s="152"/>
    </row>
    <row r="2061" spans="1:28">
      <c r="A2061" s="215">
        <f>VALUE(REPLACE(A2060,1,12,""))</f>
        <v>39</v>
      </c>
      <c r="B2061" s="193" t="s">
        <v>126</v>
      </c>
      <c r="C2061" s="1416">
        <f ca="1">IF($D$6='TAB roll forward'!$H$4,OFFSET('TAB roll forward'!$H$7,A2061,0),"enter input")</f>
        <v>0</v>
      </c>
      <c r="D2061" s="1417">
        <f>IF(LEFT(D$6,4)&lt;LEFT('RFM input'!$G$60,4),"enter input",IF(LEFT(D$6,4)&gt;LEFT('RFM input'!$Q$60,4),0,
INDEX('RFM input'!$G$61:$Q$110,$A2061,MATCH(D$6,'RFM input'!$G$60:$Q$60,0))
   -INDEX('RFM input'!$G$115:$Q$164,$A2061,MATCH(D$6,'RFM input'!$G$60:$Q$60,0))))</f>
        <v>0</v>
      </c>
      <c r="E2061" s="1417">
        <f>IF(LEFT(E$6,4)&lt;LEFT('RFM input'!$G$60,4),"enter input",IF(LEFT(E$6,4)&gt;LEFT('RFM input'!$Q$60,4),0,
INDEX('RFM input'!$G$61:$Q$110,$A2061,MATCH(E$6,'RFM input'!$G$60:$Q$60,0))
   -INDEX('RFM input'!$G$115:$Q$164,$A2061,MATCH(E$6,'RFM input'!$G$60:$Q$60,0))))</f>
        <v>0</v>
      </c>
      <c r="F2061" s="1417">
        <f>IF(LEFT(F$6,4)&lt;LEFT('RFM input'!$G$60,4),"enter input",IF(LEFT(F$6,4)&gt;LEFT('RFM input'!$Q$60,4),0,
INDEX('RFM input'!$G$61:$Q$110,$A2061,MATCH(F$6,'RFM input'!$G$60:$Q$60,0))
   -INDEX('RFM input'!$G$115:$Q$164,$A2061,MATCH(F$6,'RFM input'!$G$60:$Q$60,0))))</f>
        <v>0</v>
      </c>
      <c r="G2061" s="1417">
        <f>IF(LEFT(G$6,4)&lt;LEFT('RFM input'!$G$60,4),"enter input",IF(LEFT(G$6,4)&gt;LEFT('RFM input'!$Q$60,4),0,
INDEX('RFM input'!$G$61:$Q$110,$A2061,MATCH(G$6,'RFM input'!$G$60:$Q$60,0))
   -INDEX('RFM input'!$G$115:$Q$164,$A2061,MATCH(G$6,'RFM input'!$G$60:$Q$60,0))))</f>
        <v>0</v>
      </c>
      <c r="H2061" s="1417">
        <f>IF(LEFT(H$6,4)&lt;LEFT('RFM input'!$G$60,4),"enter input",IF(LEFT(H$6,4)&gt;LEFT('RFM input'!$Q$60,4),0,
INDEX('RFM input'!$G$61:$Q$110,$A2061,MATCH(H$6,'RFM input'!$G$60:$Q$60,0))
   -INDEX('RFM input'!$G$115:$Q$164,$A2061,MATCH(H$6,'RFM input'!$G$60:$Q$60,0))))</f>
        <v>0</v>
      </c>
      <c r="I2061" s="1417">
        <f>IF(LEFT(I$6,4)&lt;LEFT('RFM input'!$G$60,4),"enter input",IF(LEFT(I$6,4)&gt;LEFT('RFM input'!$Q$60,4),0,
INDEX('RFM input'!$G$61:$Q$110,$A2061,MATCH(I$6,'RFM input'!$G$60:$Q$60,0))
   -INDEX('RFM input'!$G$115:$Q$164,$A2061,MATCH(I$6,'RFM input'!$G$60:$Q$60,0))))</f>
        <v>0</v>
      </c>
      <c r="J2061" s="1417">
        <f>IF(LEFT(J$6,4)&lt;LEFT('RFM input'!$G$60,4),"enter input",IF(LEFT(J$6,4)&gt;LEFT('RFM input'!$Q$60,4),0,
INDEX('RFM input'!$G$61:$Q$110,$A2061,MATCH(J$6,'RFM input'!$G$60:$Q$60,0))
   -INDEX('RFM input'!$G$115:$Q$164,$A2061,MATCH(J$6,'RFM input'!$G$60:$Q$60,0))))</f>
        <v>0</v>
      </c>
      <c r="K2061" s="1417">
        <f>IF(LEFT(K$6,4)&lt;LEFT('RFM input'!$G$60,4),"enter input",IF(LEFT(K$6,4)&gt;LEFT('RFM input'!$Q$60,4),0,
INDEX('RFM input'!$G$61:$Q$110,$A2061,MATCH(K$6,'RFM input'!$G$60:$Q$60,0))
   -INDEX('RFM input'!$G$115:$Q$164,$A2061,MATCH(K$6,'RFM input'!$G$60:$Q$60,0))))</f>
        <v>0</v>
      </c>
      <c r="L2061" s="1417">
        <f>IF(LEFT(L$6,4)&lt;LEFT('RFM input'!$G$60,4),"enter input",IF(LEFT(L$6,4)&gt;LEFT('RFM input'!$Q$60,4),0,
INDEX('RFM input'!$G$61:$Q$110,$A2061,MATCH(L$6,'RFM input'!$G$60:$Q$60,0))
   -INDEX('RFM input'!$G$115:$Q$164,$A2061,MATCH(L$6,'RFM input'!$G$60:$Q$60,0))))</f>
        <v>0</v>
      </c>
      <c r="M2061" s="1417">
        <f>IF(LEFT(M$6,4)&lt;LEFT('RFM input'!$G$60,4),"enter input",IF(LEFT(M$6,4)&gt;LEFT('RFM input'!$Q$60,4),0,
INDEX('RFM input'!$G$61:$Q$110,$A2061,MATCH(M$6,'RFM input'!$G$60:$Q$60,0))
   -INDEX('RFM input'!$G$115:$Q$164,$A2061,MATCH(M$6,'RFM input'!$G$60:$Q$60,0))))</f>
        <v>0</v>
      </c>
      <c r="N2061" s="1417">
        <f>IF(LEFT(N$6,4)&lt;LEFT('RFM input'!$G$60,4),"enter input",IF(LEFT(N$6,4)&gt;LEFT('RFM input'!$Q$60,4),0,
INDEX('RFM input'!$G$61:$Q$110,$A2061,MATCH(N$6,'RFM input'!$G$60:$Q$60,0))
   -INDEX('RFM input'!$G$115:$Q$164,$A2061,MATCH(N$6,'RFM input'!$G$60:$Q$60,0))))</f>
        <v>0</v>
      </c>
      <c r="O2061" s="1417">
        <f>IF(LEFT(O$6,4)&lt;LEFT('RFM input'!$G$60,4),"enter input",IF(LEFT(O$6,4)&gt;LEFT('RFM input'!$Q$60,4),0,
INDEX('RFM input'!$G$61:$Q$110,$A2061,MATCH(O$6,'RFM input'!$G$60:$Q$60,0))
   -INDEX('RFM input'!$G$115:$Q$164,$A2061,MATCH(O$6,'RFM input'!$G$60:$Q$60,0))))</f>
        <v>0</v>
      </c>
      <c r="P2061" s="1417">
        <f>IF(LEFT(P$6,4)&lt;LEFT('RFM input'!$G$60,4),"enter input",IF(LEFT(P$6,4)&gt;LEFT('RFM input'!$Q$60,4),0,
INDEX('RFM input'!$G$61:$Q$110,$A2061,MATCH(P$6,'RFM input'!$G$60:$Q$60,0))
   -INDEX('RFM input'!$G$115:$Q$164,$A2061,MATCH(P$6,'RFM input'!$G$60:$Q$60,0))))</f>
        <v>0</v>
      </c>
      <c r="Q2061" s="1417">
        <f>IF(LEFT(Q$6,4)&lt;LEFT('RFM input'!$G$60,4),"enter input",IF(LEFT(Q$6,4)&gt;LEFT('RFM input'!$Q$60,4),0,
INDEX('RFM input'!$G$61:$Q$110,$A2061,MATCH(Q$6,'RFM input'!$G$60:$Q$60,0))
   -INDEX('RFM input'!$G$115:$Q$164,$A2061,MATCH(Q$6,'RFM input'!$G$60:$Q$60,0))))</f>
        <v>0</v>
      </c>
      <c r="R2061" s="1417">
        <f>IF(LEFT(R$6,4)&lt;LEFT('RFM input'!$G$60,4),"enter input",IF(LEFT(R$6,4)&gt;LEFT('RFM input'!$Q$60,4),0,
INDEX('RFM input'!$G$61:$Q$110,$A2061,MATCH(R$6,'RFM input'!$G$60:$Q$60,0))
   -INDEX('RFM input'!$G$115:$Q$164,$A2061,MATCH(R$6,'RFM input'!$G$60:$Q$60,0))))</f>
        <v>0</v>
      </c>
      <c r="S2061" s="1417">
        <f>IF(LEFT(S$6,4)&lt;LEFT('RFM input'!$G$60,4),"enter input",IF(LEFT(S$6,4)&gt;LEFT('RFM input'!$Q$60,4),0,
INDEX('RFM input'!$G$61:$Q$110,$A2061,MATCH(S$6,'RFM input'!$G$60:$Q$60,0))
   -INDEX('RFM input'!$G$115:$Q$164,$A2061,MATCH(S$6,'RFM input'!$G$60:$Q$60,0))))</f>
        <v>0</v>
      </c>
      <c r="T2061" s="1417">
        <f>IF(LEFT(T$6,4)&lt;LEFT('RFM input'!$G$60,4),"enter input",IF(LEFT(T$6,4)&gt;LEFT('RFM input'!$Q$60,4),0,
INDEX('RFM input'!$G$61:$Q$110,$A2061,MATCH(T$6,'RFM input'!$G$60:$Q$60,0))
   -INDEX('RFM input'!$G$115:$Q$164,$A2061,MATCH(T$6,'RFM input'!$G$60:$Q$60,0))))</f>
        <v>0</v>
      </c>
      <c r="U2061" s="1417">
        <f>IF(LEFT(U$6,4)&lt;LEFT('RFM input'!$G$60,4),"enter input",IF(LEFT(U$6,4)&gt;LEFT('RFM input'!$Q$60,4),0,
INDEX('RFM input'!$G$61:$Q$110,$A2061,MATCH(U$6,'RFM input'!$G$60:$Q$60,0))
   -INDEX('RFM input'!$G$115:$Q$164,$A2061,MATCH(U$6,'RFM input'!$G$60:$Q$60,0))))</f>
        <v>0</v>
      </c>
      <c r="V2061" s="1417">
        <f>IF(LEFT(V$6,4)&lt;LEFT('RFM input'!$G$60,4),"enter input",IF(LEFT(V$6,4)&gt;LEFT('RFM input'!$Q$60,4),0,
INDEX('RFM input'!$G$61:$Q$110,$A2061,MATCH(V$6,'RFM input'!$G$60:$Q$60,0))
   -INDEX('RFM input'!$G$115:$Q$164,$A2061,MATCH(V$6,'RFM input'!$G$60:$Q$60,0))))</f>
        <v>0</v>
      </c>
      <c r="W2061" s="1417">
        <f>IF(LEFT(W$6,4)&lt;LEFT('RFM input'!$G$60,4),"enter input",IF(LEFT(W$6,4)&gt;LEFT('RFM input'!$Q$60,4),0,
INDEX('RFM input'!$G$61:$Q$110,$A2061,MATCH(W$6,'RFM input'!$G$60:$Q$60,0))
   -INDEX('RFM input'!$G$115:$Q$164,$A2061,MATCH(W$6,'RFM input'!$G$60:$Q$60,0))))</f>
        <v>0</v>
      </c>
      <c r="X2061" s="152"/>
      <c r="Y2061" s="152"/>
      <c r="Z2061" s="152"/>
      <c r="AA2061" s="152"/>
      <c r="AB2061" s="152"/>
    </row>
    <row r="2062" spans="1:28">
      <c r="A2062" s="152"/>
      <c r="B2062" s="152" t="s">
        <v>205</v>
      </c>
      <c r="C2062" s="1418">
        <f ca="1">IF($D$6='TAB roll forward'!$H$4,OFFSET('RFM input'!$S$6,$A2061,0),"enter input")</f>
        <v>0</v>
      </c>
      <c r="D2062" s="1417">
        <f>IF(LEFT(D$6,4)&lt;=LEFT('RFM input'!$G$60,4),"enter input",IF(LEFT(D$6,4)&gt;LEFT('RFM input'!$Q$60,4),0,
IF(MATCH(D$6,'RFM input'!$H$60:$Q$60,0),INDEX('RFM input'!$T$7:$T$56,$A2061,1,1))))</f>
        <v>0</v>
      </c>
      <c r="E2062" s="1417">
        <f>IF(LEFT(E$6,4)&lt;=LEFT('RFM input'!$G$60,4),"enter input",IF(LEFT(E$6,4)&gt;LEFT('RFM input'!$Q$60,4),0,
IF(MATCH(E$6,'RFM input'!$H$60:$Q$60,0),INDEX('RFM input'!$T$7:$T$56,$A2061,1,1))))</f>
        <v>0</v>
      </c>
      <c r="F2062" s="1417">
        <f>IF(LEFT(F$6,4)&lt;=LEFT('RFM input'!$G$60,4),"enter input",IF(LEFT(F$6,4)&gt;LEFT('RFM input'!$Q$60,4),0,
IF(MATCH(F$6,'RFM input'!$H$60:$Q$60,0),INDEX('RFM input'!$T$7:$T$56,$A2061,1,1))))</f>
        <v>0</v>
      </c>
      <c r="G2062" s="1417">
        <f>IF(LEFT(G$6,4)&lt;=LEFT('RFM input'!$G$60,4),"enter input",IF(LEFT(G$6,4)&gt;LEFT('RFM input'!$Q$60,4),0,
IF(MATCH(G$6,'RFM input'!$H$60:$Q$60,0),INDEX('RFM input'!$T$7:$T$56,$A2061,1,1))))</f>
        <v>0</v>
      </c>
      <c r="H2062" s="1417">
        <f>IF(LEFT(H$6,4)&lt;=LEFT('RFM input'!$G$60,4),"enter input",IF(LEFT(H$6,4)&gt;LEFT('RFM input'!$Q$60,4),0,
IF(MATCH(H$6,'RFM input'!$H$60:$Q$60,0),INDEX('RFM input'!$T$7:$T$56,$A2061,1,1))))</f>
        <v>0</v>
      </c>
      <c r="I2062" s="1417">
        <f>IF(LEFT(I$6,4)&lt;=LEFT('RFM input'!$G$60,4),"enter input",IF(LEFT(I$6,4)&gt;LEFT('RFM input'!$Q$60,4),0,
IF(MATCH(I$6,'RFM input'!$H$60:$Q$60,0),INDEX('RFM input'!$T$7:$T$56,$A2061,1,1))))</f>
        <v>0</v>
      </c>
      <c r="J2062" s="1417">
        <f>IF(LEFT(J$6,4)&lt;=LEFT('RFM input'!$G$60,4),"enter input",IF(LEFT(J$6,4)&gt;LEFT('RFM input'!$Q$60,4),0,
IF(MATCH(J$6,'RFM input'!$H$60:$Q$60,0),INDEX('RFM input'!$T$7:$T$56,$A2061,1,1))))</f>
        <v>0</v>
      </c>
      <c r="K2062" s="1417">
        <f>IF(LEFT(K$6,4)&lt;=LEFT('RFM input'!$G$60,4),"enter input",IF(LEFT(K$6,4)&gt;LEFT('RFM input'!$Q$60,4),0,
IF(MATCH(K$6,'RFM input'!$H$60:$Q$60,0),INDEX('RFM input'!$T$7:$T$56,$A2061,1,1))))</f>
        <v>0</v>
      </c>
      <c r="L2062" s="1417">
        <f>IF(LEFT(L$6,4)&lt;=LEFT('RFM input'!$G$60,4),"enter input",IF(LEFT(L$6,4)&gt;LEFT('RFM input'!$Q$60,4),0,
IF(MATCH(L$6,'RFM input'!$H$60:$Q$60,0),INDEX('RFM input'!$T$7:$T$56,$A2061,1,1))))</f>
        <v>0</v>
      </c>
      <c r="M2062" s="1417">
        <f>IF(LEFT(M$6,4)&lt;=LEFT('RFM input'!$G$60,4),"enter input",IF(LEFT(M$6,4)&gt;LEFT('RFM input'!$Q$60,4),0,
IF(MATCH(M$6,'RFM input'!$H$60:$Q$60,0),INDEX('RFM input'!$T$7:$T$56,$A2061,1,1))))</f>
        <v>0</v>
      </c>
      <c r="N2062" s="1417">
        <f>IF(LEFT(N$6,4)&lt;=LEFT('RFM input'!$G$60,4),"enter input",IF(LEFT(N$6,4)&gt;LEFT('RFM input'!$Q$60,4),0,
IF(MATCH(N$6,'RFM input'!$H$60:$Q$60,0),INDEX('RFM input'!$T$7:$T$56,$A2061,1,1))))</f>
        <v>0</v>
      </c>
      <c r="O2062" s="1417">
        <f>IF(LEFT(O$6,4)&lt;=LEFT('RFM input'!$G$60,4),"enter input",IF(LEFT(O$6,4)&gt;LEFT('RFM input'!$Q$60,4),0,
IF(MATCH(O$6,'RFM input'!$H$60:$Q$60,0),INDEX('RFM input'!$T$7:$T$56,$A2061,1,1))))</f>
        <v>0</v>
      </c>
      <c r="P2062" s="1417">
        <f>IF(LEFT(P$6,4)&lt;=LEFT('RFM input'!$G$60,4),"enter input",IF(LEFT(P$6,4)&gt;LEFT('RFM input'!$Q$60,4),0,
IF(MATCH(P$6,'RFM input'!$H$60:$Q$60,0),INDEX('RFM input'!$T$7:$T$56,$A2061,1,1))))</f>
        <v>0</v>
      </c>
      <c r="Q2062" s="1417">
        <f>IF(LEFT(Q$6,4)&lt;=LEFT('RFM input'!$G$60,4),"enter input",IF(LEFT(Q$6,4)&gt;LEFT('RFM input'!$Q$60,4),0,
IF(MATCH(Q$6,'RFM input'!$H$60:$Q$60,0),INDEX('RFM input'!$T$7:$T$56,$A2061,1,1))))</f>
        <v>0</v>
      </c>
      <c r="R2062" s="1417">
        <f>IF(LEFT(R$6,4)&lt;=LEFT('RFM input'!$G$60,4),"enter input",IF(LEFT(R$6,4)&gt;LEFT('RFM input'!$Q$60,4),0,
IF(MATCH(R$6,'RFM input'!$H$60:$Q$60,0),INDEX('RFM input'!$T$7:$T$56,$A2061,1,1))))</f>
        <v>0</v>
      </c>
      <c r="S2062" s="1417">
        <f>IF(LEFT(S$6,4)&lt;=LEFT('RFM input'!$G$60,4),"enter input",IF(LEFT(S$6,4)&gt;LEFT('RFM input'!$Q$60,4),0,
IF(MATCH(S$6,'RFM input'!$H$60:$Q$60,0),INDEX('RFM input'!$T$7:$T$56,$A2061,1,1))))</f>
        <v>0</v>
      </c>
      <c r="T2062" s="1417">
        <f>IF(LEFT(T$6,4)&lt;=LEFT('RFM input'!$G$60,4),"enter input",IF(LEFT(T$6,4)&gt;LEFT('RFM input'!$Q$60,4),0,
IF(MATCH(T$6,'RFM input'!$H$60:$Q$60,0),INDEX('RFM input'!$T$7:$T$56,$A2061,1,1))))</f>
        <v>0</v>
      </c>
      <c r="U2062" s="1417">
        <f>IF(LEFT(U$6,4)&lt;=LEFT('RFM input'!$G$60,4),"enter input",IF(LEFT(U$6,4)&gt;LEFT('RFM input'!$Q$60,4),0,
IF(MATCH(U$6,'RFM input'!$H$60:$Q$60,0),INDEX('RFM input'!$T$7:$T$56,$A2061,1,1))))</f>
        <v>0</v>
      </c>
      <c r="V2062" s="1417">
        <f>IF(LEFT(V$6,4)&lt;=LEFT('RFM input'!$G$60,4),"enter input",IF(LEFT(V$6,4)&gt;LEFT('RFM input'!$Q$60,4),0,
IF(MATCH(V$6,'RFM input'!$H$60:$Q$60,0),INDEX('RFM input'!$T$7:$T$56,$A2061,1,1))))</f>
        <v>0</v>
      </c>
      <c r="W2062" s="1417">
        <f>IF(LEFT(W$6,4)&lt;=LEFT('RFM input'!$G$60,4),"enter input",IF(LEFT(W$6,4)&gt;LEFT('RFM input'!$Q$60,4),0,
IF(MATCH(W$6,'RFM input'!$H$60:$Q$60,0),INDEX('RFM input'!$T$7:$T$56,$A2061,1,1))))</f>
        <v>0</v>
      </c>
      <c r="X2062" s="152"/>
      <c r="Y2062" s="152"/>
      <c r="Z2062" s="152"/>
      <c r="AA2062" s="152"/>
      <c r="AB2062" s="152"/>
    </row>
    <row r="2063" spans="1:28">
      <c r="A2063" s="152"/>
      <c r="B2063" s="193" t="s">
        <v>192</v>
      </c>
      <c r="C2063" s="1419"/>
      <c r="D2063" s="1420">
        <f ca="1">IF(LEFT(D$6,4)&lt;=LEFT('RFM input'!$G$60,4),"enter input",IF(LEFT(D$6,4)&gt;LEFT('RFM input'!$Q$60,4),0,
IF(D$6=(OFFSET('RFM input'!$G$60,0,'RFM input'!$V$7)),OFFSET('RFM input'!$H$411,$A2061,0),0)))</f>
        <v>0</v>
      </c>
      <c r="E2063" s="1417">
        <f ca="1">IF(LEFT(E$6,4)&lt;=LEFT('RFM input'!$G$60,4),"enter input",IF(LEFT(E$6,4)&gt;LEFT('RFM input'!$Q$60,4),0,
IF(E$6=(OFFSET('RFM input'!$G$60,0,'RFM input'!$V$7)),OFFSET('RFM input'!$H$411,$A2061,0),0)))</f>
        <v>0</v>
      </c>
      <c r="F2063" s="1417">
        <f ca="1">IF(LEFT(F$6,4)&lt;=LEFT('RFM input'!$G$60,4),"enter input",IF(LEFT(F$6,4)&gt;LEFT('RFM input'!$Q$60,4),0,
IF(F$6=(OFFSET('RFM input'!$G$60,0,'RFM input'!$V$7)),OFFSET('RFM input'!$H$411,$A2061,0),0)))</f>
        <v>0</v>
      </c>
      <c r="G2063" s="1417">
        <f ca="1">IF(LEFT(G$6,4)&lt;=LEFT('RFM input'!$G$60,4),"enter input",IF(LEFT(G$6,4)&gt;LEFT('RFM input'!$Q$60,4),0,
IF(G$6=(OFFSET('RFM input'!$G$60,0,'RFM input'!$V$7)),OFFSET('RFM input'!$H$411,$A2061,0),0)))</f>
        <v>0</v>
      </c>
      <c r="H2063" s="1417">
        <f ca="1">IF(LEFT(H$6,4)&lt;=LEFT('RFM input'!$G$60,4),"enter input",IF(LEFT(H$6,4)&gt;LEFT('RFM input'!$Q$60,4),0,
IF(H$6=(OFFSET('RFM input'!$G$60,0,'RFM input'!$V$7)),OFFSET('RFM input'!$H$411,$A2061,0),0)))</f>
        <v>0</v>
      </c>
      <c r="I2063" s="1417">
        <f ca="1">IF(LEFT(I$6,4)&lt;=LEFT('RFM input'!$G$60,4),"enter input",IF(LEFT(I$6,4)&gt;LEFT('RFM input'!$Q$60,4),0,
IF(I$6=(OFFSET('RFM input'!$G$60,0,'RFM input'!$V$7)),OFFSET('RFM input'!$H$411,$A2061,0),0)))</f>
        <v>0</v>
      </c>
      <c r="J2063" s="1417">
        <f ca="1">IF(LEFT(J$6,4)&lt;=LEFT('RFM input'!$G$60,4),"enter input",IF(LEFT(J$6,4)&gt;LEFT('RFM input'!$Q$60,4),0,
IF(J$6=(OFFSET('RFM input'!$G$60,0,'RFM input'!$V$7)),OFFSET('RFM input'!$H$411,$A2061,0),0)))</f>
        <v>0</v>
      </c>
      <c r="K2063" s="1417">
        <f ca="1">IF(LEFT(K$6,4)&lt;=LEFT('RFM input'!$G$60,4),"enter input",IF(LEFT(K$6,4)&gt;LEFT('RFM input'!$Q$60,4),0,
IF(K$6=(OFFSET('RFM input'!$G$60,0,'RFM input'!$V$7)),OFFSET('RFM input'!$H$411,$A2061,0),0)))</f>
        <v>0</v>
      </c>
      <c r="L2063" s="1417">
        <f ca="1">IF(LEFT(L$6,4)&lt;=LEFT('RFM input'!$G$60,4),"enter input",IF(LEFT(L$6,4)&gt;LEFT('RFM input'!$Q$60,4),0,
IF(L$6=(OFFSET('RFM input'!$G$60,0,'RFM input'!$V$7)),OFFSET('RFM input'!$H$411,$A2061,0),0)))</f>
        <v>0</v>
      </c>
      <c r="M2063" s="1417">
        <f ca="1">IF(LEFT(M$6,4)&lt;=LEFT('RFM input'!$G$60,4),"enter input",IF(LEFT(M$6,4)&gt;LEFT('RFM input'!$Q$60,4),0,
IF(M$6=(OFFSET('RFM input'!$G$60,0,'RFM input'!$V$7)),OFFSET('RFM input'!$H$411,$A2061,0),0)))</f>
        <v>0</v>
      </c>
      <c r="N2063" s="1417">
        <f ca="1">IF(LEFT(N$6,4)&lt;=LEFT('RFM input'!$G$60,4),"enter input",IF(LEFT(N$6,4)&gt;LEFT('RFM input'!$Q$60,4),0,
IF(N$6=(OFFSET('RFM input'!$G$60,0,'RFM input'!$V$7)),OFFSET('RFM input'!$H$411,$A2061,0),0)))</f>
        <v>0</v>
      </c>
      <c r="O2063" s="1417">
        <f ca="1">IF(LEFT(O$6,4)&lt;=LEFT('RFM input'!$G$60,4),"enter input",IF(LEFT(O$6,4)&gt;LEFT('RFM input'!$Q$60,4),0,
IF(O$6=(OFFSET('RFM input'!$G$60,0,'RFM input'!$V$7)),OFFSET('RFM input'!$H$411,$A2061,0),0)))</f>
        <v>0</v>
      </c>
      <c r="P2063" s="1417">
        <f ca="1">IF(LEFT(P$6,4)&lt;=LEFT('RFM input'!$G$60,4),"enter input",IF(LEFT(P$6,4)&gt;LEFT('RFM input'!$Q$60,4),0,
IF(P$6=(OFFSET('RFM input'!$G$60,0,'RFM input'!$V$7)),OFFSET('RFM input'!$H$411,$A2061,0),0)))</f>
        <v>0</v>
      </c>
      <c r="Q2063" s="1417">
        <f ca="1">IF(LEFT(Q$6,4)&lt;=LEFT('RFM input'!$G$60,4),"enter input",IF(LEFT(Q$6,4)&gt;LEFT('RFM input'!$Q$60,4),0,
IF(Q$6=(OFFSET('RFM input'!$G$60,0,'RFM input'!$V$7)),OFFSET('RFM input'!$H$411,$A2061,0),0)))</f>
        <v>0</v>
      </c>
      <c r="R2063" s="1417">
        <f ca="1">IF(LEFT(R$6,4)&lt;=LEFT('RFM input'!$G$60,4),"enter input",IF(LEFT(R$6,4)&gt;LEFT('RFM input'!$Q$60,4),0,
IF(R$6=(OFFSET('RFM input'!$G$60,0,'RFM input'!$V$7)),OFFSET('RFM input'!$H$411,$A2061,0),0)))</f>
        <v>0</v>
      </c>
      <c r="S2063" s="1417">
        <f ca="1">IF(LEFT(S$6,4)&lt;=LEFT('RFM input'!$G$60,4),"enter input",IF(LEFT(S$6,4)&gt;LEFT('RFM input'!$Q$60,4),0,
IF(S$6=(OFFSET('RFM input'!$G$60,0,'RFM input'!$V$7)),OFFSET('RFM input'!$H$411,$A2061,0),0)))</f>
        <v>0</v>
      </c>
      <c r="T2063" s="1417">
        <f ca="1">IF(LEFT(T$6,4)&lt;=LEFT('RFM input'!$G$60,4),"enter input",IF(LEFT(T$6,4)&gt;LEFT('RFM input'!$Q$60,4),0,
IF(T$6=(OFFSET('RFM input'!$G$60,0,'RFM input'!$V$7)),OFFSET('RFM input'!$H$411,$A2061,0),0)))</f>
        <v>0</v>
      </c>
      <c r="U2063" s="1417">
        <f ca="1">IF(LEFT(U$6,4)&lt;=LEFT('RFM input'!$G$60,4),"enter input",IF(LEFT(U$6,4)&gt;LEFT('RFM input'!$Q$60,4),0,
IF(U$6=(OFFSET('RFM input'!$G$60,0,'RFM input'!$V$7)),OFFSET('RFM input'!$H$411,$A2061,0),0)))</f>
        <v>0</v>
      </c>
      <c r="V2063" s="1417">
        <f ca="1">IF(LEFT(V$6,4)&lt;=LEFT('RFM input'!$G$60,4),"enter input",IF(LEFT(V$6,4)&gt;LEFT('RFM input'!$Q$60,4),0,
IF(V$6=(OFFSET('RFM input'!$G$60,0,'RFM input'!$V$7)),OFFSET('RFM input'!$H$411,$A2061,0),0)))</f>
        <v>0</v>
      </c>
      <c r="W2063" s="1417">
        <f ca="1">IF(LEFT(W$6,4)&lt;=LEFT('RFM input'!$G$60,4),"enter input",IF(LEFT(W$6,4)&gt;LEFT('RFM input'!$Q$60,4),0,
IF(W$6=(OFFSET('RFM input'!$G$60,0,'RFM input'!$V$7)),OFFSET('RFM input'!$H$411,$A2061,0),0)))</f>
        <v>0</v>
      </c>
      <c r="X2063" s="152"/>
      <c r="Y2063" s="152"/>
      <c r="Z2063" s="152"/>
      <c r="AA2063" s="152"/>
      <c r="AB2063" s="152"/>
    </row>
    <row r="2064" spans="1:28">
      <c r="A2064" s="152"/>
      <c r="B2064" s="193" t="s">
        <v>200</v>
      </c>
      <c r="C2064" s="1419"/>
      <c r="D2064" s="1418">
        <f ca="1">IF(LEFT(D$6,4)&lt;=LEFT('RFM input'!$G$60,4),"enter input",IF(LEFT(D$6,4)&gt;LEFT('RFM input'!$Q$60,4),0,
IF(D$6=(OFFSET('RFM input'!$G$60,0,'RFM input'!$V$7)),OFFSET('RFM input'!$J$411,$A2061,0),0)))</f>
        <v>0</v>
      </c>
      <c r="E2064" s="1422">
        <f ca="1">IF(LEFT(E$6,4)&lt;=LEFT('RFM input'!$G$60,4),"enter input",IF(LEFT(E$6,4)&gt;LEFT('RFM input'!$Q$60,4),0,
IF(E$6=(OFFSET('RFM input'!$G$60,0,'RFM input'!$V$7)),OFFSET('RFM input'!$J$411,$A2061,0),0)))</f>
        <v>0</v>
      </c>
      <c r="F2064" s="1422">
        <f ca="1">IF(LEFT(F$6,4)&lt;=LEFT('RFM input'!$G$60,4),"enter input",IF(LEFT(F$6,4)&gt;LEFT('RFM input'!$Q$60,4),0,
IF(F$6=(OFFSET('RFM input'!$G$60,0,'RFM input'!$V$7)),OFFSET('RFM input'!$J$411,$A2061,0),0)))</f>
        <v>0</v>
      </c>
      <c r="G2064" s="1422">
        <f ca="1">IF(LEFT(G$6,4)&lt;=LEFT('RFM input'!$G$60,4),"enter input",IF(LEFT(G$6,4)&gt;LEFT('RFM input'!$Q$60,4),0,
IF(G$6=(OFFSET('RFM input'!$G$60,0,'RFM input'!$V$7)),OFFSET('RFM input'!$J$411,$A2061,0),0)))</f>
        <v>0</v>
      </c>
      <c r="H2064" s="1422">
        <f ca="1">IF(LEFT(H$6,4)&lt;=LEFT('RFM input'!$G$60,4),"enter input",IF(LEFT(H$6,4)&gt;LEFT('RFM input'!$Q$60,4),0,
IF(H$6=(OFFSET('RFM input'!$G$60,0,'RFM input'!$V$7)),OFFSET('RFM input'!$J$411,$A2061,0),0)))</f>
        <v>0</v>
      </c>
      <c r="I2064" s="1422">
        <f ca="1">IF(LEFT(I$6,4)&lt;=LEFT('RFM input'!$G$60,4),"enter input",IF(LEFT(I$6,4)&gt;LEFT('RFM input'!$Q$60,4),0,
IF(I$6=(OFFSET('RFM input'!$G$60,0,'RFM input'!$V$7)),OFFSET('RFM input'!$J$411,$A2061,0),0)))</f>
        <v>0</v>
      </c>
      <c r="J2064" s="1422">
        <f ca="1">IF(LEFT(J$6,4)&lt;=LEFT('RFM input'!$G$60,4),"enter input",IF(LEFT(J$6,4)&gt;LEFT('RFM input'!$Q$60,4),0,
IF(J$6=(OFFSET('RFM input'!$G$60,0,'RFM input'!$V$7)),OFFSET('RFM input'!$J$411,$A2061,0),0)))</f>
        <v>0</v>
      </c>
      <c r="K2064" s="1422">
        <f ca="1">IF(LEFT(K$6,4)&lt;=LEFT('RFM input'!$G$60,4),"enter input",IF(LEFT(K$6,4)&gt;LEFT('RFM input'!$Q$60,4),0,
IF(K$6=(OFFSET('RFM input'!$G$60,0,'RFM input'!$V$7)),OFFSET('RFM input'!$J$411,$A2061,0),0)))</f>
        <v>0</v>
      </c>
      <c r="L2064" s="1422">
        <f ca="1">IF(LEFT(L$6,4)&lt;=LEFT('RFM input'!$G$60,4),"enter input",IF(LEFT(L$6,4)&gt;LEFT('RFM input'!$Q$60,4),0,
IF(L$6=(OFFSET('RFM input'!$G$60,0,'RFM input'!$V$7)),OFFSET('RFM input'!$J$411,$A2061,0),0)))</f>
        <v>0</v>
      </c>
      <c r="M2064" s="1422">
        <f ca="1">IF(LEFT(M$6,4)&lt;=LEFT('RFM input'!$G$60,4),"enter input",IF(LEFT(M$6,4)&gt;LEFT('RFM input'!$Q$60,4),0,
IF(M$6=(OFFSET('RFM input'!$G$60,0,'RFM input'!$V$7)),OFFSET('RFM input'!$J$411,$A2061,0),0)))</f>
        <v>0</v>
      </c>
      <c r="N2064" s="1422">
        <f ca="1">IF(LEFT(N$6,4)&lt;=LEFT('RFM input'!$G$60,4),"enter input",IF(LEFT(N$6,4)&gt;LEFT('RFM input'!$Q$60,4),0,
IF(N$6=(OFFSET('RFM input'!$G$60,0,'RFM input'!$V$7)),OFFSET('RFM input'!$J$411,$A2061,0),0)))</f>
        <v>0</v>
      </c>
      <c r="O2064" s="1422">
        <f ca="1">IF(LEFT(O$6,4)&lt;=LEFT('RFM input'!$G$60,4),"enter input",IF(LEFT(O$6,4)&gt;LEFT('RFM input'!$Q$60,4),0,
IF(O$6=(OFFSET('RFM input'!$G$60,0,'RFM input'!$V$7)),OFFSET('RFM input'!$J$411,$A2061,0),0)))</f>
        <v>0</v>
      </c>
      <c r="P2064" s="1422">
        <f ca="1">IF(LEFT(P$6,4)&lt;=LEFT('RFM input'!$G$60,4),"enter input",IF(LEFT(P$6,4)&gt;LEFT('RFM input'!$Q$60,4),0,
IF(P$6=(OFFSET('RFM input'!$G$60,0,'RFM input'!$V$7)),OFFSET('RFM input'!$J$411,$A2061,0),0)))</f>
        <v>0</v>
      </c>
      <c r="Q2064" s="1422">
        <f ca="1">IF(LEFT(Q$6,4)&lt;=LEFT('RFM input'!$G$60,4),"enter input",IF(LEFT(Q$6,4)&gt;LEFT('RFM input'!$Q$60,4),0,
IF(Q$6=(OFFSET('RFM input'!$G$60,0,'RFM input'!$V$7)),OFFSET('RFM input'!$J$411,$A2061,0),0)))</f>
        <v>0</v>
      </c>
      <c r="R2064" s="1422">
        <f ca="1">IF(LEFT(R$6,4)&lt;=LEFT('RFM input'!$G$60,4),"enter input",IF(LEFT(R$6,4)&gt;LEFT('RFM input'!$Q$60,4),0,
IF(R$6=(OFFSET('RFM input'!$G$60,0,'RFM input'!$V$7)),OFFSET('RFM input'!$J$411,$A2061,0),0)))</f>
        <v>0</v>
      </c>
      <c r="S2064" s="1422">
        <f ca="1">IF(LEFT(S$6,4)&lt;=LEFT('RFM input'!$G$60,4),"enter input",IF(LEFT(S$6,4)&gt;LEFT('RFM input'!$Q$60,4),0,
IF(S$6=(OFFSET('RFM input'!$G$60,0,'RFM input'!$V$7)),OFFSET('RFM input'!$J$411,$A2061,0),0)))</f>
        <v>0</v>
      </c>
      <c r="T2064" s="1422">
        <f ca="1">IF(LEFT(T$6,4)&lt;=LEFT('RFM input'!$G$60,4),"enter input",IF(LEFT(T$6,4)&gt;LEFT('RFM input'!$Q$60,4),0,
IF(T$6=(OFFSET('RFM input'!$G$60,0,'RFM input'!$V$7)),OFFSET('RFM input'!$J$411,$A2061,0),0)))</f>
        <v>0</v>
      </c>
      <c r="U2064" s="1422">
        <f ca="1">IF(LEFT(U$6,4)&lt;=LEFT('RFM input'!$G$60,4),"enter input",IF(LEFT(U$6,4)&gt;LEFT('RFM input'!$Q$60,4),0,
IF(U$6=(OFFSET('RFM input'!$G$60,0,'RFM input'!$V$7)),OFFSET('RFM input'!$J$411,$A2061,0),0)))</f>
        <v>0</v>
      </c>
      <c r="V2064" s="1422">
        <f ca="1">IF(LEFT(V$6,4)&lt;=LEFT('RFM input'!$G$60,4),"enter input",IF(LEFT(V$6,4)&gt;LEFT('RFM input'!$Q$60,4),0,
IF(V$6=(OFFSET('RFM input'!$G$60,0,'RFM input'!$V$7)),OFFSET('RFM input'!$J$411,$A2061,0),0)))</f>
        <v>0</v>
      </c>
      <c r="W2064" s="1422">
        <f ca="1">IF(LEFT(W$6,4)&lt;=LEFT('RFM input'!$G$60,4),"enter input",IF(LEFT(W$6,4)&gt;LEFT('RFM input'!$Q$60,4),0,
IF(W$6=(OFFSET('RFM input'!$G$60,0,'RFM input'!$V$7)),OFFSET('RFM input'!$J$411,$A2061,0),0)))</f>
        <v>0</v>
      </c>
      <c r="X2064" s="152"/>
      <c r="Y2064" s="152"/>
      <c r="Z2064" s="152"/>
      <c r="AA2064" s="152"/>
      <c r="AB2064" s="152"/>
    </row>
    <row r="2065" spans="1:28" hidden="1" outlineLevel="1">
      <c r="A2065" s="235">
        <v>-1</v>
      </c>
      <c r="B2065" s="190" t="s">
        <v>195</v>
      </c>
      <c r="C2065" s="1423"/>
      <c r="D2065" s="1423">
        <f t="shared" ref="D2065" ca="1" si="2992">IF(AND(D2063=0,C2065=0),0,
IF(AND(D2063&lt;&gt;0,C2065=0),D2063,
IF(AND(D2064&lt;&gt;0,C2065&lt;&gt;0),(C2065-(C2065/C2089))+D2063,
IF(C2089&lt;1,0,(C2065-(C2065/C2089))))))</f>
        <v>0</v>
      </c>
      <c r="E2065" s="1423">
        <f t="shared" ref="E2065" ca="1" si="2993">IF(AND(E2063=0,D2065=0),0,
IF(AND(E2063&lt;&gt;0,D2065=0),E2063,
IF(AND(E2064&lt;&gt;0,D2065&lt;&gt;0),(D2065-(D2065/D2089))+E2063,
IF(D2089&lt;1,0,(D2065-(D2065/D2089))))))</f>
        <v>0</v>
      </c>
      <c r="F2065" s="1423">
        <f t="shared" ref="F2065" ca="1" si="2994">IF(AND(F2063=0,E2065=0),0,
IF(AND(F2063&lt;&gt;0,E2065=0),F2063,
IF(AND(F2064&lt;&gt;0,E2065&lt;&gt;0),(E2065-(E2065/E2089))+F2063,
IF(E2089&lt;1,0,(E2065-(E2065/E2089))))))</f>
        <v>0</v>
      </c>
      <c r="G2065" s="1423">
        <f t="shared" ref="G2065" ca="1" si="2995">IF(AND(G2063=0,F2065=0),0,
IF(AND(G2063&lt;&gt;0,F2065=0),G2063,
IF(AND(G2064&lt;&gt;0,F2065&lt;&gt;0),(F2065-(F2065/F2089))+G2063,
IF(F2089&lt;1,0,(F2065-(F2065/F2089))))))</f>
        <v>0</v>
      </c>
      <c r="H2065" s="1423">
        <f ca="1">IF(AND(H2063=0,G2065=0),0,
IF(AND(H2063&lt;&gt;0,G2065=0),H2063,
IF(AND(H2064&lt;&gt;0,G2065&lt;&gt;0),(G2065-(G2065/G2089))+H2063,
IF(G2089&lt;1,0,(G2065-(G2065/G2089))))))</f>
        <v>0</v>
      </c>
      <c r="I2065" s="1423">
        <f t="shared" ref="I2065" ca="1" si="2996">IF(AND(I2063=0,H2065=0),0,
IF(AND(I2063&lt;&gt;0,H2065=0),I2063,
IF(AND(I2064&lt;&gt;0,H2065&lt;&gt;0),(H2065-(H2065/H2089))+I2063,
IF(H2089&lt;1,0,(H2065-(H2065/H2089))))))</f>
        <v>0</v>
      </c>
      <c r="J2065" s="1423">
        <f t="shared" ref="J2065" ca="1" si="2997">IF(AND(J2063=0,I2065=0),0,
IF(AND(J2063&lt;&gt;0,I2065=0),J2063,
IF(AND(J2064&lt;&gt;0,I2065&lt;&gt;0),(I2065-(I2065/I2089))+J2063,
IF(I2089&lt;1,0,(I2065-(I2065/I2089))))))</f>
        <v>0</v>
      </c>
      <c r="K2065" s="1423">
        <f t="shared" ref="K2065" ca="1" si="2998">IF(AND(K2063=0,J2065=0),0,
IF(AND(K2063&lt;&gt;0,J2065=0),K2063,
IF(AND(K2064&lt;&gt;0,J2065&lt;&gt;0),(J2065-(J2065/J2089))+K2063,
IF(J2089&lt;1,0,(J2065-(J2065/J2089))))))</f>
        <v>0</v>
      </c>
      <c r="L2065" s="1423">
        <f t="shared" ref="L2065" ca="1" si="2999">IF(AND(L2063=0,K2065=0),0,
IF(AND(L2063&lt;&gt;0,K2065=0),L2063,
IF(AND(L2064&lt;&gt;0,K2065&lt;&gt;0),(K2065-(K2065/K2089))+L2063,
IF(K2089&lt;1,0,(K2065-(K2065/K2089))))))</f>
        <v>0</v>
      </c>
      <c r="M2065" s="1423">
        <f t="shared" ref="M2065" ca="1" si="3000">IF(AND(M2063=0,L2065=0),0,
IF(AND(M2063&lt;&gt;0,L2065=0),M2063,
IF(AND(M2064&lt;&gt;0,L2065&lt;&gt;0),(L2065-(L2065/L2089))+M2063,
IF(L2089&lt;1,0,(L2065-(L2065/L2089))))))</f>
        <v>0</v>
      </c>
      <c r="N2065" s="1423">
        <f t="shared" ref="N2065" ca="1" si="3001">IF(AND(N2063=0,M2065=0),0,
IF(AND(N2063&lt;&gt;0,M2065=0),N2063,
IF(AND(N2064&lt;&gt;0,M2065&lt;&gt;0),(M2065-(M2065/M2089))+N2063,
IF(M2089&lt;1,0,(M2065-(M2065/M2089))))))</f>
        <v>0</v>
      </c>
      <c r="O2065" s="1423">
        <f t="shared" ref="O2065" ca="1" si="3002">IF(AND(O2063=0,N2065=0),0,
IF(AND(O2063&lt;&gt;0,N2065=0),O2063,
IF(AND(O2064&lt;&gt;0,N2065&lt;&gt;0),(N2065-(N2065/N2089))+O2063,
IF(N2089&lt;1,0,(N2065-(N2065/N2089))))))</f>
        <v>0</v>
      </c>
      <c r="P2065" s="1423">
        <f t="shared" ref="P2065" ca="1" si="3003">IF(AND(P2063=0,O2065=0),0,
IF(AND(P2063&lt;&gt;0,O2065=0),P2063,
IF(AND(P2064&lt;&gt;0,O2065&lt;&gt;0),(O2065-(O2065/O2089))+P2063,
IF(O2089&lt;1,0,(O2065-(O2065/O2089))))))</f>
        <v>0</v>
      </c>
      <c r="Q2065" s="1423">
        <f t="shared" ref="Q2065" ca="1" si="3004">IF(AND(Q2063=0,P2065=0),0,
IF(AND(Q2063&lt;&gt;0,P2065=0),Q2063,
IF(AND(Q2064&lt;&gt;0,P2065&lt;&gt;0),(P2065-(P2065/P2089))+Q2063,
IF(P2089&lt;1,0,(P2065-(P2065/P2089))))))</f>
        <v>0</v>
      </c>
      <c r="R2065" s="1423">
        <f t="shared" ref="R2065" ca="1" si="3005">IF(AND(R2063=0,Q2065=0),0,
IF(AND(R2063&lt;&gt;0,Q2065=0),R2063,
IF(AND(R2064&lt;&gt;0,Q2065&lt;&gt;0),(Q2065-(Q2065/Q2089))+R2063,
IF(Q2089&lt;1,0,(Q2065-(Q2065/Q2089))))))</f>
        <v>0</v>
      </c>
      <c r="S2065" s="1423">
        <f t="shared" ref="S2065" ca="1" si="3006">IF(AND(S2063=0,R2065=0),0,
IF(AND(S2063&lt;&gt;0,R2065=0),S2063,
IF(AND(S2064&lt;&gt;0,R2065&lt;&gt;0),(R2065-(R2065/R2089))+S2063,
IF(R2089&lt;1,0,(R2065-(R2065/R2089))))))</f>
        <v>0</v>
      </c>
      <c r="T2065" s="1423">
        <f t="shared" ref="T2065" ca="1" si="3007">IF(AND(T2063=0,S2065=0),0,
IF(AND(T2063&lt;&gt;0,S2065=0),T2063,
IF(AND(T2064&lt;&gt;0,S2065&lt;&gt;0),(S2065-(S2065/S2089))+T2063,
IF(S2089&lt;1,0,(S2065-(S2065/S2089))))))</f>
        <v>0</v>
      </c>
      <c r="U2065" s="1423">
        <f t="shared" ref="U2065" ca="1" si="3008">IF(AND(U2063=0,T2065=0),0,
IF(AND(U2063&lt;&gt;0,T2065=0),U2063,
IF(AND(U2064&lt;&gt;0,T2065&lt;&gt;0),(T2065-(T2065/T2089))+U2063,
IF(T2089&lt;1,0,(T2065-(T2065/T2089))))))</f>
        <v>0</v>
      </c>
      <c r="V2065" s="1423">
        <f t="shared" ref="V2065" ca="1" si="3009">IF(AND(V2063=0,U2065=0),0,
IF(AND(V2063&lt;&gt;0,U2065=0),V2063,
IF(AND(V2064&lt;&gt;0,U2065&lt;&gt;0),(U2065-(U2065/U2089))+V2063,
IF(U2089&lt;1,0,(U2065-(U2065/U2089))))))</f>
        <v>0</v>
      </c>
      <c r="W2065" s="1423">
        <f t="shared" ref="W2065" ca="1" si="3010">IF(AND(W2063=0,V2065=0),0,
IF(AND(W2063&lt;&gt;0,V2065=0),W2063,
IF(AND(W2064&lt;&gt;0,V2065&lt;&gt;0),(V2065-(V2065/V2089))+W2063,
IF(V2089&lt;1,0,(V2065-(V2065/V2089))))))</f>
        <v>0</v>
      </c>
      <c r="X2065" s="152"/>
      <c r="Y2065" s="152"/>
      <c r="Z2065" s="152"/>
      <c r="AA2065" s="152"/>
      <c r="AB2065" s="152"/>
    </row>
    <row r="2066" spans="1:28" hidden="1" outlineLevel="1">
      <c r="A2066" s="199">
        <f>A2065+1</f>
        <v>0</v>
      </c>
      <c r="B2066" s="190" t="s">
        <v>527</v>
      </c>
      <c r="C2066" s="1423">
        <f ca="1">C2061</f>
        <v>0</v>
      </c>
      <c r="D2066" s="1423">
        <f ca="1">IF(C2090="n/a",C2066,IFERROR(IF((OFFSET($C2066,0,$A2066))&lt;0,
MIN(0,C2066-(OFFSET($C2066,0,$A2066)/(OFFSET($C2061,-$A2065,$A2066)))),
MAX(0,C2066-(OFFSET($C2066,0,$A2066)/(OFFSET($C2061,-$A2065,$A2066))))),0))</f>
        <v>0</v>
      </c>
      <c r="E2066" s="1423">
        <f t="shared" ref="E2066" ca="1" si="3011">IF(D2090="n/a",D2066,IFERROR(IF((OFFSET($C2066,0,$A2066))&lt;0,
MIN(0,D2066-(OFFSET($C2066,0,$A2066)/(OFFSET($C2061,-$A2065,$A2066)))),
MAX(0,D2066-(OFFSET($C2066,0,$A2066)/(OFFSET($C2061,-$A2065,$A2066))))),0))</f>
        <v>0</v>
      </c>
      <c r="F2066" s="1423">
        <f t="shared" ref="F2066:F2067" ca="1" si="3012">IF(E2090="n/a",E2066,IFERROR(IF((OFFSET($C2066,0,$A2066))&lt;0,
MIN(0,E2066-(OFFSET($C2066,0,$A2066)/(OFFSET($C2061,-$A2065,$A2066)))),
MAX(0,E2066-(OFFSET($C2066,0,$A2066)/(OFFSET($C2061,-$A2065,$A2066))))),0))</f>
        <v>0</v>
      </c>
      <c r="G2066" s="1423">
        <f t="shared" ref="G2066:G2068" ca="1" si="3013">IF(F2090="n/a",F2066,IFERROR(IF((OFFSET($C2066,0,$A2066))&lt;0,
MIN(0,F2066-(OFFSET($C2066,0,$A2066)/(OFFSET($C2061,-$A2065,$A2066)))),
MAX(0,F2066-(OFFSET($C2066,0,$A2066)/(OFFSET($C2061,-$A2065,$A2066))))),0))</f>
        <v>0</v>
      </c>
      <c r="H2066" s="1423">
        <f t="shared" ref="H2066:H2069" ca="1" si="3014">IF(G2090="n/a",G2066,IFERROR(IF((OFFSET($C2066,0,$A2066))&lt;0,
MIN(0,G2066-(OFFSET($C2066,0,$A2066)/(OFFSET($C2061,-$A2065,$A2066)))),
MAX(0,G2066-(OFFSET($C2066,0,$A2066)/(OFFSET($C2061,-$A2065,$A2066))))),0))</f>
        <v>0</v>
      </c>
      <c r="I2066" s="1423">
        <f t="shared" ref="I2066:I2070" ca="1" si="3015">IF(H2090="n/a",H2066,IFERROR(IF((OFFSET($C2066,0,$A2066))&lt;0,
MIN(0,H2066-(OFFSET($C2066,0,$A2066)/(OFFSET($C2061,-$A2065,$A2066)))),
MAX(0,H2066-(OFFSET($C2066,0,$A2066)/(OFFSET($C2061,-$A2065,$A2066))))),0))</f>
        <v>0</v>
      </c>
      <c r="J2066" s="1423">
        <f t="shared" ref="J2066:J2071" ca="1" si="3016">IF(I2090="n/a",I2066,IFERROR(IF((OFFSET($C2066,0,$A2066))&lt;0,
MIN(0,I2066-(OFFSET($C2066,0,$A2066)/(OFFSET($C2061,-$A2065,$A2066)))),
MAX(0,I2066-(OFFSET($C2066,0,$A2066)/(OFFSET($C2061,-$A2065,$A2066))))),0))</f>
        <v>0</v>
      </c>
      <c r="K2066" s="1423">
        <f t="shared" ref="K2066:K2072" ca="1" si="3017">IF(J2090="n/a",J2066,IFERROR(IF((OFFSET($C2066,0,$A2066))&lt;0,
MIN(0,J2066-(OFFSET($C2066,0,$A2066)/(OFFSET($C2061,-$A2065,$A2066)))),
MAX(0,J2066-(OFFSET($C2066,0,$A2066)/(OFFSET($C2061,-$A2065,$A2066))))),0))</f>
        <v>0</v>
      </c>
      <c r="L2066" s="1423">
        <f t="shared" ref="L2066:L2073" ca="1" si="3018">IF(K2090="n/a",K2066,IFERROR(IF((OFFSET($C2066,0,$A2066))&lt;0,
MIN(0,K2066-(OFFSET($C2066,0,$A2066)/(OFFSET($C2061,-$A2065,$A2066)))),
MAX(0,K2066-(OFFSET($C2066,0,$A2066)/(OFFSET($C2061,-$A2065,$A2066))))),0))</f>
        <v>0</v>
      </c>
      <c r="M2066" s="1423">
        <f t="shared" ref="M2066:M2074" ca="1" si="3019">IF(L2090="n/a",L2066,IFERROR(IF((OFFSET($C2066,0,$A2066))&lt;0,
MIN(0,L2066-(OFFSET($C2066,0,$A2066)/(OFFSET($C2061,-$A2065,$A2066)))),
MAX(0,L2066-(OFFSET($C2066,0,$A2066)/(OFFSET($C2061,-$A2065,$A2066))))),0))</f>
        <v>0</v>
      </c>
      <c r="N2066" s="1423">
        <f t="shared" ref="N2066:N2075" ca="1" si="3020">IF(M2090="n/a",M2066,IFERROR(IF((OFFSET($C2066,0,$A2066))&lt;0,
MIN(0,M2066-(OFFSET($C2066,0,$A2066)/(OFFSET($C2061,-$A2065,$A2066)))),
MAX(0,M2066-(OFFSET($C2066,0,$A2066)/(OFFSET($C2061,-$A2065,$A2066))))),0))</f>
        <v>0</v>
      </c>
      <c r="O2066" s="1423">
        <f t="shared" ref="O2066:O2076" ca="1" si="3021">IF(N2090="n/a",N2066,IFERROR(IF((OFFSET($C2066,0,$A2066))&lt;0,
MIN(0,N2066-(OFFSET($C2066,0,$A2066)/(OFFSET($C2061,-$A2065,$A2066)))),
MAX(0,N2066-(OFFSET($C2066,0,$A2066)/(OFFSET($C2061,-$A2065,$A2066))))),0))</f>
        <v>0</v>
      </c>
      <c r="P2066" s="1423">
        <f t="shared" ref="P2066:P2077" ca="1" si="3022">IF(O2090="n/a",O2066,IFERROR(IF((OFFSET($C2066,0,$A2066))&lt;0,
MIN(0,O2066-(OFFSET($C2066,0,$A2066)/(OFFSET($C2061,-$A2065,$A2066)))),
MAX(0,O2066-(OFFSET($C2066,0,$A2066)/(OFFSET($C2061,-$A2065,$A2066))))),0))</f>
        <v>0</v>
      </c>
      <c r="Q2066" s="1423">
        <f t="shared" ref="Q2066:Q2078" ca="1" si="3023">IF(P2090="n/a",P2066,IFERROR(IF((OFFSET($C2066,0,$A2066))&lt;0,
MIN(0,P2066-(OFFSET($C2066,0,$A2066)/(OFFSET($C2061,-$A2065,$A2066)))),
MAX(0,P2066-(OFFSET($C2066,0,$A2066)/(OFFSET($C2061,-$A2065,$A2066))))),0))</f>
        <v>0</v>
      </c>
      <c r="R2066" s="1423">
        <f t="shared" ref="R2066:R2079" ca="1" si="3024">IF(Q2090="n/a",Q2066,IFERROR(IF((OFFSET($C2066,0,$A2066))&lt;0,
MIN(0,Q2066-(OFFSET($C2066,0,$A2066)/(OFFSET($C2061,-$A2065,$A2066)))),
MAX(0,Q2066-(OFFSET($C2066,0,$A2066)/(OFFSET($C2061,-$A2065,$A2066))))),0))</f>
        <v>0</v>
      </c>
      <c r="S2066" s="1423">
        <f t="shared" ref="S2066:S2080" ca="1" si="3025">IF(R2090="n/a",R2066,IFERROR(IF((OFFSET($C2066,0,$A2066))&lt;0,
MIN(0,R2066-(OFFSET($C2066,0,$A2066)/(OFFSET($C2061,-$A2065,$A2066)))),
MAX(0,R2066-(OFFSET($C2066,0,$A2066)/(OFFSET($C2061,-$A2065,$A2066))))),0))</f>
        <v>0</v>
      </c>
      <c r="T2066" s="1423">
        <f t="shared" ref="T2066:T2081" ca="1" si="3026">IF(S2090="n/a",S2066,IFERROR(IF((OFFSET($C2066,0,$A2066))&lt;0,
MIN(0,S2066-(OFFSET($C2066,0,$A2066)/(OFFSET($C2061,-$A2065,$A2066)))),
MAX(0,S2066-(OFFSET($C2066,0,$A2066)/(OFFSET($C2061,-$A2065,$A2066))))),0))</f>
        <v>0</v>
      </c>
      <c r="U2066" s="1423">
        <f t="shared" ref="U2066:U2082" ca="1" si="3027">IF(T2090="n/a",T2066,IFERROR(IF((OFFSET($C2066,0,$A2066))&lt;0,
MIN(0,T2066-(OFFSET($C2066,0,$A2066)/(OFFSET($C2061,-$A2065,$A2066)))),
MAX(0,T2066-(OFFSET($C2066,0,$A2066)/(OFFSET($C2061,-$A2065,$A2066))))),0))</f>
        <v>0</v>
      </c>
      <c r="V2066" s="1423">
        <f t="shared" ref="V2066:V2083" ca="1" si="3028">IF(U2090="n/a",U2066,IFERROR(IF((OFFSET($C2066,0,$A2066))&lt;0,
MIN(0,U2066-(OFFSET($C2066,0,$A2066)/(OFFSET($C2061,-$A2065,$A2066)))),
MAX(0,U2066-(OFFSET($C2066,0,$A2066)/(OFFSET($C2061,-$A2065,$A2066))))),0))</f>
        <v>0</v>
      </c>
      <c r="W2066" s="1423">
        <f t="shared" ref="W2066:W2084" ca="1" si="3029">IF(V2090="n/a",V2066,IFERROR(IF((OFFSET($C2066,0,$A2066))&lt;0,
MIN(0,V2066-(OFFSET($C2066,0,$A2066)/(OFFSET($C2061,-$A2065,$A2066)))),
MAX(0,V2066-(OFFSET($C2066,0,$A2066)/(OFFSET($C2061,-$A2065,$A2066))))),0))</f>
        <v>0</v>
      </c>
      <c r="X2066" s="152"/>
      <c r="Y2066" s="152"/>
      <c r="Z2066" s="152"/>
      <c r="AA2066" s="152"/>
      <c r="AB2066" s="152"/>
    </row>
    <row r="2067" spans="1:28" hidden="1" outlineLevel="1">
      <c r="A2067" s="199">
        <f t="shared" ref="A2067:A2086" si="3030">A2066+1</f>
        <v>1</v>
      </c>
      <c r="B2067" s="190" t="str">
        <f t="shared" ref="B2067:B2086" ca="1" si="3031">"Depreciated Net Capex "&amp;OFFSET($C$6,0,A2067)</f>
        <v>Depreciated Net Capex 2016-17</v>
      </c>
      <c r="C2067" s="1424"/>
      <c r="D2067" s="1425">
        <f>D2061</f>
        <v>0</v>
      </c>
      <c r="E2067" s="1423">
        <f ca="1">IF(D2091="n/a",D2067,IFERROR(IF((OFFSET($C2067,0,$A2067))&lt;0,
MIN(0,D2067-(OFFSET($C2067,0,$A2067)/(OFFSET($C2062,-$A2066,$A2067)))),
MAX(0,D2067-(OFFSET($C2067,0,$A2067)/(OFFSET($C2062,-$A2066,$A2067))))),0))</f>
        <v>0</v>
      </c>
      <c r="F2067" s="1423">
        <f t="shared" ca="1" si="3012"/>
        <v>0</v>
      </c>
      <c r="G2067" s="1423">
        <f t="shared" ca="1" si="3013"/>
        <v>0</v>
      </c>
      <c r="H2067" s="1423">
        <f t="shared" ca="1" si="3014"/>
        <v>0</v>
      </c>
      <c r="I2067" s="1423">
        <f t="shared" ca="1" si="3015"/>
        <v>0</v>
      </c>
      <c r="J2067" s="1423">
        <f t="shared" ca="1" si="3016"/>
        <v>0</v>
      </c>
      <c r="K2067" s="1423">
        <f t="shared" ca="1" si="3017"/>
        <v>0</v>
      </c>
      <c r="L2067" s="1423">
        <f t="shared" ca="1" si="3018"/>
        <v>0</v>
      </c>
      <c r="M2067" s="1423">
        <f t="shared" ca="1" si="3019"/>
        <v>0</v>
      </c>
      <c r="N2067" s="1423">
        <f t="shared" ca="1" si="3020"/>
        <v>0</v>
      </c>
      <c r="O2067" s="1423">
        <f t="shared" ca="1" si="3021"/>
        <v>0</v>
      </c>
      <c r="P2067" s="1423">
        <f t="shared" ca="1" si="3022"/>
        <v>0</v>
      </c>
      <c r="Q2067" s="1423">
        <f t="shared" ca="1" si="3023"/>
        <v>0</v>
      </c>
      <c r="R2067" s="1423">
        <f t="shared" ca="1" si="3024"/>
        <v>0</v>
      </c>
      <c r="S2067" s="1423">
        <f t="shared" ca="1" si="3025"/>
        <v>0</v>
      </c>
      <c r="T2067" s="1423">
        <f t="shared" ca="1" si="3026"/>
        <v>0</v>
      </c>
      <c r="U2067" s="1423">
        <f t="shared" ca="1" si="3027"/>
        <v>0</v>
      </c>
      <c r="V2067" s="1423">
        <f t="shared" ca="1" si="3028"/>
        <v>0</v>
      </c>
      <c r="W2067" s="1423">
        <f t="shared" ca="1" si="3029"/>
        <v>0</v>
      </c>
      <c r="X2067" s="152"/>
      <c r="Y2067" s="152"/>
      <c r="Z2067" s="152"/>
      <c r="AA2067" s="152"/>
      <c r="AB2067" s="152"/>
    </row>
    <row r="2068" spans="1:28" hidden="1" outlineLevel="1">
      <c r="A2068" s="199">
        <f t="shared" si="3030"/>
        <v>2</v>
      </c>
      <c r="B2068" s="190" t="str">
        <f t="shared" ca="1" si="3031"/>
        <v>Depreciated Net Capex 2017-18</v>
      </c>
      <c r="C2068" s="1426"/>
      <c r="D2068" s="1427"/>
      <c r="E2068" s="1425">
        <f>E2061</f>
        <v>0</v>
      </c>
      <c r="F2068" s="1423">
        <f ca="1">IF(E2092="n/a",E2068,IFERROR(IF((OFFSET($C2068,0,$A2068))&lt;0,
MIN(0,E2068-(OFFSET($C2068,0,$A2068)/(OFFSET($C2063,-$A2067,$A2068)))),
MAX(0,E2068-(OFFSET($C2068,0,$A2068)/(OFFSET($C2063,-$A2067,$A2068))))),0))</f>
        <v>0</v>
      </c>
      <c r="G2068" s="1423">
        <f t="shared" ca="1" si="3013"/>
        <v>0</v>
      </c>
      <c r="H2068" s="1423">
        <f t="shared" ca="1" si="3014"/>
        <v>0</v>
      </c>
      <c r="I2068" s="1423">
        <f t="shared" ca="1" si="3015"/>
        <v>0</v>
      </c>
      <c r="J2068" s="1423">
        <f t="shared" ca="1" si="3016"/>
        <v>0</v>
      </c>
      <c r="K2068" s="1423">
        <f t="shared" ca="1" si="3017"/>
        <v>0</v>
      </c>
      <c r="L2068" s="1423">
        <f t="shared" ca="1" si="3018"/>
        <v>0</v>
      </c>
      <c r="M2068" s="1423">
        <f t="shared" ca="1" si="3019"/>
        <v>0</v>
      </c>
      <c r="N2068" s="1423">
        <f t="shared" ca="1" si="3020"/>
        <v>0</v>
      </c>
      <c r="O2068" s="1423">
        <f t="shared" ca="1" si="3021"/>
        <v>0</v>
      </c>
      <c r="P2068" s="1423">
        <f t="shared" ca="1" si="3022"/>
        <v>0</v>
      </c>
      <c r="Q2068" s="1423">
        <f t="shared" ca="1" si="3023"/>
        <v>0</v>
      </c>
      <c r="R2068" s="1423">
        <f t="shared" ca="1" si="3024"/>
        <v>0</v>
      </c>
      <c r="S2068" s="1423">
        <f t="shared" ca="1" si="3025"/>
        <v>0</v>
      </c>
      <c r="T2068" s="1423">
        <f t="shared" ca="1" si="3026"/>
        <v>0</v>
      </c>
      <c r="U2068" s="1423">
        <f t="shared" ca="1" si="3027"/>
        <v>0</v>
      </c>
      <c r="V2068" s="1423">
        <f t="shared" ca="1" si="3028"/>
        <v>0</v>
      </c>
      <c r="W2068" s="1423">
        <f t="shared" ca="1" si="3029"/>
        <v>0</v>
      </c>
      <c r="X2068" s="202"/>
      <c r="Y2068" s="152"/>
      <c r="Z2068" s="152"/>
      <c r="AA2068" s="152"/>
      <c r="AB2068" s="152"/>
    </row>
    <row r="2069" spans="1:28" hidden="1" outlineLevel="1">
      <c r="A2069" s="199">
        <f t="shared" si="3030"/>
        <v>3</v>
      </c>
      <c r="B2069" s="190" t="str">
        <f t="shared" ca="1" si="3031"/>
        <v>Depreciated Net Capex 2018-19</v>
      </c>
      <c r="C2069" s="1426"/>
      <c r="D2069" s="1426"/>
      <c r="E2069" s="1427"/>
      <c r="F2069" s="1428">
        <f>F2061</f>
        <v>0</v>
      </c>
      <c r="G2069" s="1423">
        <f ca="1">IF(F2093="n/a",F2069,IFERROR(IF((OFFSET($C2069,0,$A2069))&lt;0,
MIN(0,F2069-(OFFSET($C2069,0,$A2069)/(OFFSET($C2064,-$A2068,$A2069)))),
MAX(0,F2069-(OFFSET($C2069,0,$A2069)/(OFFSET($C2064,-$A2068,$A2069))))),0))</f>
        <v>0</v>
      </c>
      <c r="H2069" s="1423">
        <f t="shared" ca="1" si="3014"/>
        <v>0</v>
      </c>
      <c r="I2069" s="1423">
        <f t="shared" ca="1" si="3015"/>
        <v>0</v>
      </c>
      <c r="J2069" s="1423">
        <f t="shared" ca="1" si="3016"/>
        <v>0</v>
      </c>
      <c r="K2069" s="1423">
        <f t="shared" ca="1" si="3017"/>
        <v>0</v>
      </c>
      <c r="L2069" s="1423">
        <f t="shared" ca="1" si="3018"/>
        <v>0</v>
      </c>
      <c r="M2069" s="1423">
        <f t="shared" ca="1" si="3019"/>
        <v>0</v>
      </c>
      <c r="N2069" s="1423">
        <f t="shared" ca="1" si="3020"/>
        <v>0</v>
      </c>
      <c r="O2069" s="1423">
        <f t="shared" ca="1" si="3021"/>
        <v>0</v>
      </c>
      <c r="P2069" s="1423">
        <f t="shared" ca="1" si="3022"/>
        <v>0</v>
      </c>
      <c r="Q2069" s="1423">
        <f t="shared" ca="1" si="3023"/>
        <v>0</v>
      </c>
      <c r="R2069" s="1423">
        <f t="shared" ca="1" si="3024"/>
        <v>0</v>
      </c>
      <c r="S2069" s="1423">
        <f t="shared" ca="1" si="3025"/>
        <v>0</v>
      </c>
      <c r="T2069" s="1423">
        <f t="shared" ca="1" si="3026"/>
        <v>0</v>
      </c>
      <c r="U2069" s="1423">
        <f t="shared" ca="1" si="3027"/>
        <v>0</v>
      </c>
      <c r="V2069" s="1423">
        <f t="shared" ca="1" si="3028"/>
        <v>0</v>
      </c>
      <c r="W2069" s="1423">
        <f t="shared" ca="1" si="3029"/>
        <v>0</v>
      </c>
      <c r="X2069" s="202"/>
      <c r="Y2069" s="202"/>
      <c r="Z2069" s="152"/>
      <c r="AA2069" s="152"/>
      <c r="AB2069" s="152"/>
    </row>
    <row r="2070" spans="1:28" hidden="1" outlineLevel="1">
      <c r="A2070" s="199">
        <f t="shared" si="3030"/>
        <v>4</v>
      </c>
      <c r="B2070" s="190" t="str">
        <f t="shared" ca="1" si="3031"/>
        <v>Depreciated Net Capex 2019-20</v>
      </c>
      <c r="C2070" s="1426"/>
      <c r="D2070" s="1426"/>
      <c r="E2070" s="1426"/>
      <c r="F2070" s="1427"/>
      <c r="G2070" s="1428">
        <f>G2061</f>
        <v>0</v>
      </c>
      <c r="H2070" s="1423">
        <f ca="1">IF(G2094="n/a",G2070,IFERROR(IF((OFFSET($C2070,0,$A2070))&lt;0,
MIN(0,G2070-(OFFSET($C2070,0,$A2070)/(OFFSET($C2065,-$A2069,$A2070)))),
MAX(0,G2070-(OFFSET($C2070,0,$A2070)/(OFFSET($C2065,-$A2069,$A2070))))),0))</f>
        <v>0</v>
      </c>
      <c r="I2070" s="1423">
        <f t="shared" ca="1" si="3015"/>
        <v>0</v>
      </c>
      <c r="J2070" s="1423">
        <f t="shared" ca="1" si="3016"/>
        <v>0</v>
      </c>
      <c r="K2070" s="1423">
        <f t="shared" ca="1" si="3017"/>
        <v>0</v>
      </c>
      <c r="L2070" s="1423">
        <f t="shared" ca="1" si="3018"/>
        <v>0</v>
      </c>
      <c r="M2070" s="1423">
        <f t="shared" ca="1" si="3019"/>
        <v>0</v>
      </c>
      <c r="N2070" s="1423">
        <f t="shared" ca="1" si="3020"/>
        <v>0</v>
      </c>
      <c r="O2070" s="1423">
        <f t="shared" ca="1" si="3021"/>
        <v>0</v>
      </c>
      <c r="P2070" s="1423">
        <f t="shared" ca="1" si="3022"/>
        <v>0</v>
      </c>
      <c r="Q2070" s="1423">
        <f t="shared" ca="1" si="3023"/>
        <v>0</v>
      </c>
      <c r="R2070" s="1423">
        <f t="shared" ca="1" si="3024"/>
        <v>0</v>
      </c>
      <c r="S2070" s="1423">
        <f t="shared" ca="1" si="3025"/>
        <v>0</v>
      </c>
      <c r="T2070" s="1423">
        <f t="shared" ca="1" si="3026"/>
        <v>0</v>
      </c>
      <c r="U2070" s="1423">
        <f t="shared" ca="1" si="3027"/>
        <v>0</v>
      </c>
      <c r="V2070" s="1423">
        <f t="shared" ca="1" si="3028"/>
        <v>0</v>
      </c>
      <c r="W2070" s="1423">
        <f t="shared" ca="1" si="3029"/>
        <v>0</v>
      </c>
      <c r="X2070" s="202"/>
      <c r="Y2070" s="202"/>
      <c r="Z2070" s="202"/>
      <c r="AA2070" s="152"/>
      <c r="AB2070" s="152"/>
    </row>
    <row r="2071" spans="1:28" hidden="1" outlineLevel="1">
      <c r="A2071" s="199">
        <f t="shared" si="3030"/>
        <v>5</v>
      </c>
      <c r="B2071" s="190" t="str">
        <f t="shared" ca="1" si="3031"/>
        <v>Depreciated Net Capex 2020-21</v>
      </c>
      <c r="C2071" s="1426"/>
      <c r="D2071" s="1426"/>
      <c r="E2071" s="1426"/>
      <c r="F2071" s="1426"/>
      <c r="G2071" s="1427"/>
      <c r="H2071" s="1428">
        <f>H2061</f>
        <v>0</v>
      </c>
      <c r="I2071" s="1423">
        <f ca="1">IF(H2095="n/a",H2071,IFERROR(IF((OFFSET($C2071,0,$A2071))&lt;0,
MIN(0,H2071-(OFFSET($C2071,0,$A2071)/(OFFSET($C2066,-$A2070,$A2071)))),
MAX(0,H2071-(OFFSET($C2071,0,$A2071)/(OFFSET($C2066,-$A2070,$A2071))))),0))</f>
        <v>0</v>
      </c>
      <c r="J2071" s="1423">
        <f t="shared" ca="1" si="3016"/>
        <v>0</v>
      </c>
      <c r="K2071" s="1423">
        <f t="shared" ca="1" si="3017"/>
        <v>0</v>
      </c>
      <c r="L2071" s="1423">
        <f t="shared" ca="1" si="3018"/>
        <v>0</v>
      </c>
      <c r="M2071" s="1423">
        <f t="shared" ca="1" si="3019"/>
        <v>0</v>
      </c>
      <c r="N2071" s="1423">
        <f t="shared" ca="1" si="3020"/>
        <v>0</v>
      </c>
      <c r="O2071" s="1423">
        <f t="shared" ca="1" si="3021"/>
        <v>0</v>
      </c>
      <c r="P2071" s="1423">
        <f t="shared" ca="1" si="3022"/>
        <v>0</v>
      </c>
      <c r="Q2071" s="1423">
        <f t="shared" ca="1" si="3023"/>
        <v>0</v>
      </c>
      <c r="R2071" s="1423">
        <f t="shared" ca="1" si="3024"/>
        <v>0</v>
      </c>
      <c r="S2071" s="1423">
        <f t="shared" ca="1" si="3025"/>
        <v>0</v>
      </c>
      <c r="T2071" s="1423">
        <f t="shared" ca="1" si="3026"/>
        <v>0</v>
      </c>
      <c r="U2071" s="1423">
        <f t="shared" ca="1" si="3027"/>
        <v>0</v>
      </c>
      <c r="V2071" s="1423">
        <f t="shared" ca="1" si="3028"/>
        <v>0</v>
      </c>
      <c r="W2071" s="1423">
        <f t="shared" ca="1" si="3029"/>
        <v>0</v>
      </c>
      <c r="X2071" s="202"/>
      <c r="Y2071" s="202"/>
      <c r="Z2071" s="202"/>
      <c r="AA2071" s="152"/>
      <c r="AB2071" s="152"/>
    </row>
    <row r="2072" spans="1:28" hidden="1" outlineLevel="1">
      <c r="A2072" s="199">
        <f t="shared" si="3030"/>
        <v>6</v>
      </c>
      <c r="B2072" s="190" t="str">
        <f t="shared" ca="1" si="3031"/>
        <v>Depreciated Net Capex 2021-22</v>
      </c>
      <c r="C2072" s="1426"/>
      <c r="D2072" s="1426"/>
      <c r="E2072" s="1426"/>
      <c r="F2072" s="1426"/>
      <c r="G2072" s="1426"/>
      <c r="H2072" s="1427"/>
      <c r="I2072" s="1428">
        <f>I2061</f>
        <v>0</v>
      </c>
      <c r="J2072" s="1423">
        <f ca="1">IF(I2096="n/a",I2072,IFERROR(IF((OFFSET($C2072,0,$A2072))&lt;0,
MIN(0,I2072-(OFFSET($C2072,0,$A2072)/(OFFSET($C2067,-$A2071,$A2072)))),
MAX(0,I2072-(OFFSET($C2072,0,$A2072)/(OFFSET($C2067,-$A2071,$A2072))))),0))</f>
        <v>0</v>
      </c>
      <c r="K2072" s="1423">
        <f t="shared" ca="1" si="3017"/>
        <v>0</v>
      </c>
      <c r="L2072" s="1423">
        <f t="shared" ca="1" si="3018"/>
        <v>0</v>
      </c>
      <c r="M2072" s="1423">
        <f t="shared" ca="1" si="3019"/>
        <v>0</v>
      </c>
      <c r="N2072" s="1423">
        <f t="shared" ca="1" si="3020"/>
        <v>0</v>
      </c>
      <c r="O2072" s="1423">
        <f t="shared" ca="1" si="3021"/>
        <v>0</v>
      </c>
      <c r="P2072" s="1423">
        <f t="shared" ca="1" si="3022"/>
        <v>0</v>
      </c>
      <c r="Q2072" s="1423">
        <f t="shared" ca="1" si="3023"/>
        <v>0</v>
      </c>
      <c r="R2072" s="1423">
        <f t="shared" ca="1" si="3024"/>
        <v>0</v>
      </c>
      <c r="S2072" s="1423">
        <f t="shared" ca="1" si="3025"/>
        <v>0</v>
      </c>
      <c r="T2072" s="1423">
        <f t="shared" ca="1" si="3026"/>
        <v>0</v>
      </c>
      <c r="U2072" s="1423">
        <f t="shared" ca="1" si="3027"/>
        <v>0</v>
      </c>
      <c r="V2072" s="1423">
        <f t="shared" ca="1" si="3028"/>
        <v>0</v>
      </c>
      <c r="W2072" s="1423">
        <f t="shared" ca="1" si="3029"/>
        <v>0</v>
      </c>
      <c r="X2072" s="202"/>
      <c r="Y2072" s="202"/>
      <c r="Z2072" s="202"/>
      <c r="AA2072" s="152"/>
      <c r="AB2072" s="152"/>
    </row>
    <row r="2073" spans="1:28" hidden="1" outlineLevel="1">
      <c r="A2073" s="199">
        <f t="shared" si="3030"/>
        <v>7</v>
      </c>
      <c r="B2073" s="190" t="str">
        <f t="shared" ca="1" si="3031"/>
        <v>Depreciated Net Capex 2022-23</v>
      </c>
      <c r="C2073" s="1426"/>
      <c r="D2073" s="1426"/>
      <c r="E2073" s="1426"/>
      <c r="F2073" s="1426"/>
      <c r="G2073" s="1426"/>
      <c r="H2073" s="1426"/>
      <c r="I2073" s="1427"/>
      <c r="J2073" s="1428">
        <f>J2061</f>
        <v>0</v>
      </c>
      <c r="K2073" s="1423">
        <f ca="1">IF(J2097="n/a",J2073,IFERROR(IF((OFFSET($C2073,0,$A2073))&lt;0,
MIN(0,J2073-(OFFSET($C2073,0,$A2073)/(OFFSET($C2068,-$A2072,$A2073)))),
MAX(0,J2073-(OFFSET($C2073,0,$A2073)/(OFFSET($C2068,-$A2072,$A2073))))),0))</f>
        <v>0</v>
      </c>
      <c r="L2073" s="1423">
        <f t="shared" ca="1" si="3018"/>
        <v>0</v>
      </c>
      <c r="M2073" s="1423">
        <f t="shared" ca="1" si="3019"/>
        <v>0</v>
      </c>
      <c r="N2073" s="1423">
        <f t="shared" ca="1" si="3020"/>
        <v>0</v>
      </c>
      <c r="O2073" s="1423">
        <f t="shared" ca="1" si="3021"/>
        <v>0</v>
      </c>
      <c r="P2073" s="1423">
        <f t="shared" ca="1" si="3022"/>
        <v>0</v>
      </c>
      <c r="Q2073" s="1423">
        <f t="shared" ca="1" si="3023"/>
        <v>0</v>
      </c>
      <c r="R2073" s="1423">
        <f t="shared" ca="1" si="3024"/>
        <v>0</v>
      </c>
      <c r="S2073" s="1423">
        <f t="shared" ca="1" si="3025"/>
        <v>0</v>
      </c>
      <c r="T2073" s="1423">
        <f t="shared" ca="1" si="3026"/>
        <v>0</v>
      </c>
      <c r="U2073" s="1423">
        <f t="shared" ca="1" si="3027"/>
        <v>0</v>
      </c>
      <c r="V2073" s="1423">
        <f t="shared" ca="1" si="3028"/>
        <v>0</v>
      </c>
      <c r="W2073" s="1423">
        <f t="shared" ca="1" si="3029"/>
        <v>0</v>
      </c>
      <c r="X2073" s="202"/>
      <c r="Y2073" s="202"/>
      <c r="Z2073" s="202"/>
      <c r="AA2073" s="152"/>
      <c r="AB2073" s="152"/>
    </row>
    <row r="2074" spans="1:28" hidden="1" outlineLevel="1">
      <c r="A2074" s="199">
        <f t="shared" si="3030"/>
        <v>8</v>
      </c>
      <c r="B2074" s="190" t="str">
        <f t="shared" ca="1" si="3031"/>
        <v>Depreciated Net Capex 2023-24</v>
      </c>
      <c r="C2074" s="1426"/>
      <c r="D2074" s="1426"/>
      <c r="E2074" s="1426"/>
      <c r="F2074" s="1426"/>
      <c r="G2074" s="1426"/>
      <c r="H2074" s="1426"/>
      <c r="I2074" s="1426"/>
      <c r="J2074" s="1427"/>
      <c r="K2074" s="1428">
        <f>K2061</f>
        <v>0</v>
      </c>
      <c r="L2074" s="1423">
        <f ca="1">IF(K2098="n/a",K2074,IFERROR(IF((OFFSET($C2074,0,$A2074))&lt;0,
MIN(0,K2074-(OFFSET($C2074,0,$A2074)/(OFFSET($C2069,-$A2073,$A2074)))),
MAX(0,K2074-(OFFSET($C2074,0,$A2074)/(OFFSET($C2069,-$A2073,$A2074))))),0))</f>
        <v>0</v>
      </c>
      <c r="M2074" s="1423">
        <f t="shared" ca="1" si="3019"/>
        <v>0</v>
      </c>
      <c r="N2074" s="1423">
        <f t="shared" ca="1" si="3020"/>
        <v>0</v>
      </c>
      <c r="O2074" s="1423">
        <f t="shared" ca="1" si="3021"/>
        <v>0</v>
      </c>
      <c r="P2074" s="1423">
        <f t="shared" ca="1" si="3022"/>
        <v>0</v>
      </c>
      <c r="Q2074" s="1423">
        <f t="shared" ca="1" si="3023"/>
        <v>0</v>
      </c>
      <c r="R2074" s="1423">
        <f t="shared" ca="1" si="3024"/>
        <v>0</v>
      </c>
      <c r="S2074" s="1423">
        <f t="shared" ca="1" si="3025"/>
        <v>0</v>
      </c>
      <c r="T2074" s="1423">
        <f t="shared" ca="1" si="3026"/>
        <v>0</v>
      </c>
      <c r="U2074" s="1423">
        <f t="shared" ca="1" si="3027"/>
        <v>0</v>
      </c>
      <c r="V2074" s="1423">
        <f t="shared" ca="1" si="3028"/>
        <v>0</v>
      </c>
      <c r="W2074" s="1423">
        <f t="shared" ca="1" si="3029"/>
        <v>0</v>
      </c>
      <c r="X2074" s="202"/>
      <c r="Y2074" s="202"/>
      <c r="Z2074" s="202"/>
      <c r="AA2074" s="152"/>
      <c r="AB2074" s="152"/>
    </row>
    <row r="2075" spans="1:28" hidden="1" outlineLevel="1">
      <c r="A2075" s="199">
        <f t="shared" si="3030"/>
        <v>9</v>
      </c>
      <c r="B2075" s="190" t="str">
        <f t="shared" ca="1" si="3031"/>
        <v>Depreciated Net Capex 2024-25</v>
      </c>
      <c r="C2075" s="1426"/>
      <c r="D2075" s="1426"/>
      <c r="E2075" s="1426"/>
      <c r="F2075" s="1426"/>
      <c r="G2075" s="1426"/>
      <c r="H2075" s="1426"/>
      <c r="I2075" s="1426"/>
      <c r="J2075" s="1426"/>
      <c r="K2075" s="1427"/>
      <c r="L2075" s="1428">
        <f>L2061</f>
        <v>0</v>
      </c>
      <c r="M2075" s="1423">
        <f ca="1">IF(L2099="n/a",L2075,IFERROR(IF((OFFSET($C2075,0,$A2075))&lt;0,
MIN(0,L2075-(OFFSET($C2075,0,$A2075)/(OFFSET($C2070,-$A2074,$A2075)))),
MAX(0,L2075-(OFFSET($C2075,0,$A2075)/(OFFSET($C2070,-$A2074,$A2075))))),0))</f>
        <v>0</v>
      </c>
      <c r="N2075" s="1423">
        <f t="shared" ca="1" si="3020"/>
        <v>0</v>
      </c>
      <c r="O2075" s="1423">
        <f t="shared" ca="1" si="3021"/>
        <v>0</v>
      </c>
      <c r="P2075" s="1423">
        <f t="shared" ca="1" si="3022"/>
        <v>0</v>
      </c>
      <c r="Q2075" s="1423">
        <f t="shared" ca="1" si="3023"/>
        <v>0</v>
      </c>
      <c r="R2075" s="1423">
        <f t="shared" ca="1" si="3024"/>
        <v>0</v>
      </c>
      <c r="S2075" s="1423">
        <f t="shared" ca="1" si="3025"/>
        <v>0</v>
      </c>
      <c r="T2075" s="1423">
        <f t="shared" ca="1" si="3026"/>
        <v>0</v>
      </c>
      <c r="U2075" s="1423">
        <f t="shared" ca="1" si="3027"/>
        <v>0</v>
      </c>
      <c r="V2075" s="1423">
        <f t="shared" ca="1" si="3028"/>
        <v>0</v>
      </c>
      <c r="W2075" s="1423">
        <f t="shared" ca="1" si="3029"/>
        <v>0</v>
      </c>
      <c r="X2075" s="202"/>
      <c r="Y2075" s="202"/>
      <c r="Z2075" s="202"/>
      <c r="AA2075" s="152"/>
      <c r="AB2075" s="152"/>
    </row>
    <row r="2076" spans="1:28" hidden="1" outlineLevel="1">
      <c r="A2076" s="199">
        <f t="shared" si="3030"/>
        <v>10</v>
      </c>
      <c r="B2076" s="190" t="str">
        <f t="shared" ca="1" si="3031"/>
        <v>Depreciated Net Capex 2025-26</v>
      </c>
      <c r="C2076" s="1426"/>
      <c r="D2076" s="1426"/>
      <c r="E2076" s="1426"/>
      <c r="F2076" s="1426"/>
      <c r="G2076" s="1426"/>
      <c r="H2076" s="1426"/>
      <c r="I2076" s="1426"/>
      <c r="J2076" s="1426"/>
      <c r="K2076" s="1426"/>
      <c r="L2076" s="1427"/>
      <c r="M2076" s="1428">
        <f>M2061</f>
        <v>0</v>
      </c>
      <c r="N2076" s="1423">
        <f ca="1">IF(M2100="n/a",M2076,IFERROR(IF((OFFSET($C2076,0,$A2076))&lt;0,
MIN(0,M2076-(OFFSET($C2076,0,$A2076)/(OFFSET($C2071,-$A2075,$A2076)))),
MAX(0,M2076-(OFFSET($C2076,0,$A2076)/(OFFSET($C2071,-$A2075,$A2076))))),0))</f>
        <v>0</v>
      </c>
      <c r="O2076" s="1423">
        <f t="shared" ca="1" si="3021"/>
        <v>0</v>
      </c>
      <c r="P2076" s="1423">
        <f t="shared" ca="1" si="3022"/>
        <v>0</v>
      </c>
      <c r="Q2076" s="1423">
        <f t="shared" ca="1" si="3023"/>
        <v>0</v>
      </c>
      <c r="R2076" s="1423">
        <f t="shared" ca="1" si="3024"/>
        <v>0</v>
      </c>
      <c r="S2076" s="1423">
        <f t="shared" ca="1" si="3025"/>
        <v>0</v>
      </c>
      <c r="T2076" s="1423">
        <f t="shared" ca="1" si="3026"/>
        <v>0</v>
      </c>
      <c r="U2076" s="1423">
        <f t="shared" ca="1" si="3027"/>
        <v>0</v>
      </c>
      <c r="V2076" s="1423">
        <f t="shared" ca="1" si="3028"/>
        <v>0</v>
      </c>
      <c r="W2076" s="1423">
        <f t="shared" ca="1" si="3029"/>
        <v>0</v>
      </c>
      <c r="X2076" s="202"/>
      <c r="Y2076" s="202"/>
      <c r="Z2076" s="202"/>
      <c r="AA2076" s="152"/>
      <c r="AB2076" s="152"/>
    </row>
    <row r="2077" spans="1:28" hidden="1" outlineLevel="1">
      <c r="A2077" s="199">
        <f t="shared" si="3030"/>
        <v>11</v>
      </c>
      <c r="B2077" s="190" t="str">
        <f t="shared" ca="1" si="3031"/>
        <v>Depreciated Net Capex 2026-27</v>
      </c>
      <c r="C2077" s="1426"/>
      <c r="D2077" s="1426"/>
      <c r="E2077" s="1426"/>
      <c r="F2077" s="1426"/>
      <c r="G2077" s="1426"/>
      <c r="H2077" s="1426"/>
      <c r="I2077" s="1426"/>
      <c r="J2077" s="1426"/>
      <c r="K2077" s="1426"/>
      <c r="L2077" s="1426"/>
      <c r="M2077" s="1427"/>
      <c r="N2077" s="1428">
        <f>N2061</f>
        <v>0</v>
      </c>
      <c r="O2077" s="1423">
        <f ca="1">IF(N2101="n/a",N2077,IFERROR(IF((OFFSET($C2077,0,$A2077))&lt;0,
MIN(0,N2077-(OFFSET($C2077,0,$A2077)/(OFFSET($C2072,-$A2076,$A2077)))),
MAX(0,N2077-(OFFSET($C2077,0,$A2077)/(OFFSET($C2072,-$A2076,$A2077))))),0))</f>
        <v>0</v>
      </c>
      <c r="P2077" s="1423">
        <f t="shared" ca="1" si="3022"/>
        <v>0</v>
      </c>
      <c r="Q2077" s="1423">
        <f t="shared" ca="1" si="3023"/>
        <v>0</v>
      </c>
      <c r="R2077" s="1423">
        <f t="shared" ca="1" si="3024"/>
        <v>0</v>
      </c>
      <c r="S2077" s="1423">
        <f t="shared" ca="1" si="3025"/>
        <v>0</v>
      </c>
      <c r="T2077" s="1423">
        <f t="shared" ca="1" si="3026"/>
        <v>0</v>
      </c>
      <c r="U2077" s="1423">
        <f t="shared" ca="1" si="3027"/>
        <v>0</v>
      </c>
      <c r="V2077" s="1423">
        <f t="shared" ca="1" si="3028"/>
        <v>0</v>
      </c>
      <c r="W2077" s="1423">
        <f t="shared" ca="1" si="3029"/>
        <v>0</v>
      </c>
      <c r="X2077" s="202"/>
      <c r="Y2077" s="202"/>
      <c r="Z2077" s="202"/>
      <c r="AA2077" s="152"/>
      <c r="AB2077" s="152"/>
    </row>
    <row r="2078" spans="1:28" hidden="1" outlineLevel="1">
      <c r="A2078" s="199">
        <f t="shared" si="3030"/>
        <v>12</v>
      </c>
      <c r="B2078" s="190" t="str">
        <f t="shared" ca="1" si="3031"/>
        <v>Depreciated Net Capex 2027-28</v>
      </c>
      <c r="C2078" s="1426"/>
      <c r="D2078" s="1426"/>
      <c r="E2078" s="1426"/>
      <c r="F2078" s="1426"/>
      <c r="G2078" s="1426"/>
      <c r="H2078" s="1426"/>
      <c r="I2078" s="1426"/>
      <c r="J2078" s="1426"/>
      <c r="K2078" s="1426"/>
      <c r="L2078" s="1426"/>
      <c r="M2078" s="1426"/>
      <c r="N2078" s="1427"/>
      <c r="O2078" s="1428">
        <f>O2061</f>
        <v>0</v>
      </c>
      <c r="P2078" s="1423">
        <f ca="1">IF(O2102="n/a",O2078,IFERROR(IF((OFFSET($C2078,0,$A2078))&lt;0,
MIN(0,O2078-(OFFSET($C2078,0,$A2078)/(OFFSET($C2073,-$A2077,$A2078)))),
MAX(0,O2078-(OFFSET($C2078,0,$A2078)/(OFFSET($C2073,-$A2077,$A2078))))),0))</f>
        <v>0</v>
      </c>
      <c r="Q2078" s="1423">
        <f t="shared" ca="1" si="3023"/>
        <v>0</v>
      </c>
      <c r="R2078" s="1423">
        <f t="shared" ca="1" si="3024"/>
        <v>0</v>
      </c>
      <c r="S2078" s="1423">
        <f t="shared" ca="1" si="3025"/>
        <v>0</v>
      </c>
      <c r="T2078" s="1423">
        <f t="shared" ca="1" si="3026"/>
        <v>0</v>
      </c>
      <c r="U2078" s="1423">
        <f t="shared" ca="1" si="3027"/>
        <v>0</v>
      </c>
      <c r="V2078" s="1423">
        <f t="shared" ca="1" si="3028"/>
        <v>0</v>
      </c>
      <c r="W2078" s="1423">
        <f t="shared" ca="1" si="3029"/>
        <v>0</v>
      </c>
      <c r="X2078" s="202"/>
      <c r="Y2078" s="202"/>
      <c r="Z2078" s="202"/>
      <c r="AA2078" s="152"/>
      <c r="AB2078" s="152"/>
    </row>
    <row r="2079" spans="1:28" hidden="1" outlineLevel="1">
      <c r="A2079" s="199">
        <f t="shared" si="3030"/>
        <v>13</v>
      </c>
      <c r="B2079" s="190" t="str">
        <f t="shared" ca="1" si="3031"/>
        <v>Depreciated Net Capex 2028-29</v>
      </c>
      <c r="C2079" s="1426"/>
      <c r="D2079" s="1426"/>
      <c r="E2079" s="1426"/>
      <c r="F2079" s="1426"/>
      <c r="G2079" s="1426"/>
      <c r="H2079" s="1426"/>
      <c r="I2079" s="1426"/>
      <c r="J2079" s="1426"/>
      <c r="K2079" s="1426"/>
      <c r="L2079" s="1426"/>
      <c r="M2079" s="1426"/>
      <c r="N2079" s="1426"/>
      <c r="O2079" s="1427"/>
      <c r="P2079" s="1428">
        <f>P2061</f>
        <v>0</v>
      </c>
      <c r="Q2079" s="1423">
        <f ca="1">IF(P2103="n/a",P2079,IFERROR(IF((OFFSET($C2079,0,$A2079))&lt;0,
MIN(0,P2079-(OFFSET($C2079,0,$A2079)/(OFFSET($C2074,-$A2078,$A2079)))),
MAX(0,P2079-(OFFSET($C2079,0,$A2079)/(OFFSET($C2074,-$A2078,$A2079))))),0))</f>
        <v>0</v>
      </c>
      <c r="R2079" s="1423">
        <f t="shared" ca="1" si="3024"/>
        <v>0</v>
      </c>
      <c r="S2079" s="1423">
        <f t="shared" ca="1" si="3025"/>
        <v>0</v>
      </c>
      <c r="T2079" s="1423">
        <f t="shared" ca="1" si="3026"/>
        <v>0</v>
      </c>
      <c r="U2079" s="1423">
        <f t="shared" ca="1" si="3027"/>
        <v>0</v>
      </c>
      <c r="V2079" s="1423">
        <f t="shared" ca="1" si="3028"/>
        <v>0</v>
      </c>
      <c r="W2079" s="1423">
        <f t="shared" ca="1" si="3029"/>
        <v>0</v>
      </c>
      <c r="X2079" s="202"/>
      <c r="Y2079" s="202"/>
      <c r="Z2079" s="202"/>
      <c r="AA2079" s="152"/>
      <c r="AB2079" s="152"/>
    </row>
    <row r="2080" spans="1:28" hidden="1" outlineLevel="1">
      <c r="A2080" s="199">
        <f t="shared" si="3030"/>
        <v>14</v>
      </c>
      <c r="B2080" s="190" t="str">
        <f t="shared" ca="1" si="3031"/>
        <v>Depreciated Net Capex 2029-30</v>
      </c>
      <c r="C2080" s="1426"/>
      <c r="D2080" s="1426"/>
      <c r="E2080" s="1426"/>
      <c r="F2080" s="1426"/>
      <c r="G2080" s="1426"/>
      <c r="H2080" s="1426"/>
      <c r="I2080" s="1426"/>
      <c r="J2080" s="1426"/>
      <c r="K2080" s="1426"/>
      <c r="L2080" s="1426"/>
      <c r="M2080" s="1426"/>
      <c r="N2080" s="1426"/>
      <c r="O2080" s="1426"/>
      <c r="P2080" s="1427"/>
      <c r="Q2080" s="1428">
        <f>Q2061</f>
        <v>0</v>
      </c>
      <c r="R2080" s="1423">
        <f ca="1">IF(Q2104="n/a",Q2080,IFERROR(IF((OFFSET($C2080,0,$A2080))&lt;0,
MIN(0,Q2080-(OFFSET($C2080,0,$A2080)/(OFFSET($C2075,-$A2079,$A2080)))),
MAX(0,Q2080-(OFFSET($C2080,0,$A2080)/(OFFSET($C2075,-$A2079,$A2080))))),0))</f>
        <v>0</v>
      </c>
      <c r="S2080" s="1423">
        <f t="shared" ca="1" si="3025"/>
        <v>0</v>
      </c>
      <c r="T2080" s="1423">
        <f t="shared" ca="1" si="3026"/>
        <v>0</v>
      </c>
      <c r="U2080" s="1423">
        <f t="shared" ca="1" si="3027"/>
        <v>0</v>
      </c>
      <c r="V2080" s="1423">
        <f t="shared" ca="1" si="3028"/>
        <v>0</v>
      </c>
      <c r="W2080" s="1423">
        <f t="shared" ca="1" si="3029"/>
        <v>0</v>
      </c>
      <c r="X2080" s="202"/>
      <c r="Y2080" s="202"/>
      <c r="Z2080" s="202"/>
      <c r="AA2080" s="152"/>
      <c r="AB2080" s="152"/>
    </row>
    <row r="2081" spans="1:28" hidden="1" outlineLevel="1">
      <c r="A2081" s="199">
        <f t="shared" si="3030"/>
        <v>15</v>
      </c>
      <c r="B2081" s="190" t="str">
        <f t="shared" ca="1" si="3031"/>
        <v>Depreciated Net Capex 2030-31</v>
      </c>
      <c r="C2081" s="1426"/>
      <c r="D2081" s="1426"/>
      <c r="E2081" s="1426"/>
      <c r="F2081" s="1426"/>
      <c r="G2081" s="1426"/>
      <c r="H2081" s="1426"/>
      <c r="I2081" s="1426"/>
      <c r="J2081" s="1426"/>
      <c r="K2081" s="1426"/>
      <c r="L2081" s="1426"/>
      <c r="M2081" s="1426"/>
      <c r="N2081" s="1426"/>
      <c r="O2081" s="1426"/>
      <c r="P2081" s="1426"/>
      <c r="Q2081" s="1427"/>
      <c r="R2081" s="1428">
        <f>R2061</f>
        <v>0</v>
      </c>
      <c r="S2081" s="1423">
        <f ca="1">IF(R2105="n/a",R2081,IFERROR(IF((OFFSET($C2081,0,$A2081))&lt;0,
MIN(0,R2081-(OFFSET($C2081,0,$A2081)/(OFFSET($C2076,-$A2080,$A2081)))),
MAX(0,R2081-(OFFSET($C2081,0,$A2081)/(OFFSET($C2076,-$A2080,$A2081))))),0))</f>
        <v>0</v>
      </c>
      <c r="T2081" s="1423">
        <f t="shared" ca="1" si="3026"/>
        <v>0</v>
      </c>
      <c r="U2081" s="1423">
        <f t="shared" ca="1" si="3027"/>
        <v>0</v>
      </c>
      <c r="V2081" s="1423">
        <f t="shared" ca="1" si="3028"/>
        <v>0</v>
      </c>
      <c r="W2081" s="1423">
        <f t="shared" ca="1" si="3029"/>
        <v>0</v>
      </c>
      <c r="X2081" s="202"/>
      <c r="Y2081" s="202"/>
      <c r="Z2081" s="202"/>
      <c r="AA2081" s="152"/>
      <c r="AB2081" s="152"/>
    </row>
    <row r="2082" spans="1:28" hidden="1" outlineLevel="1">
      <c r="A2082" s="199">
        <f t="shared" si="3030"/>
        <v>16</v>
      </c>
      <c r="B2082" s="190" t="str">
        <f t="shared" ca="1" si="3031"/>
        <v>Depreciated Net Capex 2031-32</v>
      </c>
      <c r="C2082" s="1426"/>
      <c r="D2082" s="1426"/>
      <c r="E2082" s="1426"/>
      <c r="F2082" s="1426"/>
      <c r="G2082" s="1426"/>
      <c r="H2082" s="1426"/>
      <c r="I2082" s="1426"/>
      <c r="J2082" s="1426"/>
      <c r="K2082" s="1426"/>
      <c r="L2082" s="1426"/>
      <c r="M2082" s="1426"/>
      <c r="N2082" s="1426"/>
      <c r="O2082" s="1426"/>
      <c r="P2082" s="1426"/>
      <c r="Q2082" s="1426"/>
      <c r="R2082" s="1427"/>
      <c r="S2082" s="1428">
        <f>S2061</f>
        <v>0</v>
      </c>
      <c r="T2082" s="1423">
        <f ca="1">IF(S2106="n/a",S2082,IFERROR(IF((OFFSET($C2082,0,$A2082))&lt;0,
MIN(0,S2082-(OFFSET($C2082,0,$A2082)/(OFFSET($C2077,-$A2081,$A2082)))),
MAX(0,S2082-(OFFSET($C2082,0,$A2082)/(OFFSET($C2077,-$A2081,$A2082))))),0))</f>
        <v>0</v>
      </c>
      <c r="U2082" s="1423">
        <f t="shared" ca="1" si="3027"/>
        <v>0</v>
      </c>
      <c r="V2082" s="1423">
        <f t="shared" ca="1" si="3028"/>
        <v>0</v>
      </c>
      <c r="W2082" s="1423">
        <f t="shared" ca="1" si="3029"/>
        <v>0</v>
      </c>
      <c r="X2082" s="202"/>
      <c r="Y2082" s="202"/>
      <c r="Z2082" s="202"/>
      <c r="AA2082" s="152"/>
      <c r="AB2082" s="152"/>
    </row>
    <row r="2083" spans="1:28" hidden="1" outlineLevel="1">
      <c r="A2083" s="199">
        <f t="shared" si="3030"/>
        <v>17</v>
      </c>
      <c r="B2083" s="190" t="str">
        <f t="shared" ca="1" si="3031"/>
        <v>Depreciated Net Capex 2032-33</v>
      </c>
      <c r="C2083" s="1426"/>
      <c r="D2083" s="1426"/>
      <c r="E2083" s="1426"/>
      <c r="F2083" s="1426"/>
      <c r="G2083" s="1426"/>
      <c r="H2083" s="1426"/>
      <c r="I2083" s="1426"/>
      <c r="J2083" s="1426"/>
      <c r="K2083" s="1426"/>
      <c r="L2083" s="1426"/>
      <c r="M2083" s="1426"/>
      <c r="N2083" s="1426"/>
      <c r="O2083" s="1426"/>
      <c r="P2083" s="1426"/>
      <c r="Q2083" s="1426"/>
      <c r="R2083" s="1426"/>
      <c r="S2083" s="1427"/>
      <c r="T2083" s="1428">
        <f>T2061</f>
        <v>0</v>
      </c>
      <c r="U2083" s="1423">
        <f ca="1">IF(T2107="n/a",T2083,IFERROR(IF((OFFSET($C2083,0,$A2083))&lt;0,
MIN(0,T2083-(OFFSET($C2083,0,$A2083)/(OFFSET($C2078,-$A2082,$A2083)))),
MAX(0,T2083-(OFFSET($C2083,0,$A2083)/(OFFSET($C2078,-$A2082,$A2083))))),0))</f>
        <v>0</v>
      </c>
      <c r="V2083" s="1423">
        <f t="shared" ca="1" si="3028"/>
        <v>0</v>
      </c>
      <c r="W2083" s="1423">
        <f t="shared" ca="1" si="3029"/>
        <v>0</v>
      </c>
      <c r="X2083" s="202"/>
      <c r="Y2083" s="202"/>
      <c r="Z2083" s="202"/>
      <c r="AA2083" s="152"/>
      <c r="AB2083" s="152"/>
    </row>
    <row r="2084" spans="1:28" hidden="1" outlineLevel="1">
      <c r="A2084" s="199">
        <f t="shared" si="3030"/>
        <v>18</v>
      </c>
      <c r="B2084" s="190" t="str">
        <f t="shared" ca="1" si="3031"/>
        <v>Depreciated Net Capex 2033-34</v>
      </c>
      <c r="C2084" s="1426"/>
      <c r="D2084" s="1426"/>
      <c r="E2084" s="1426"/>
      <c r="F2084" s="1426"/>
      <c r="G2084" s="1426"/>
      <c r="H2084" s="1426"/>
      <c r="I2084" s="1426"/>
      <c r="J2084" s="1426"/>
      <c r="K2084" s="1426"/>
      <c r="L2084" s="1426"/>
      <c r="M2084" s="1426"/>
      <c r="N2084" s="1426"/>
      <c r="O2084" s="1426"/>
      <c r="P2084" s="1426"/>
      <c r="Q2084" s="1426"/>
      <c r="R2084" s="1426"/>
      <c r="S2084" s="1426"/>
      <c r="T2084" s="1427"/>
      <c r="U2084" s="1428">
        <f>U2061</f>
        <v>0</v>
      </c>
      <c r="V2084" s="1423">
        <f ca="1">IF(U2108="n/a",U2084,IFERROR(IF((OFFSET($C2084,0,$A2084))&lt;0,
MIN(0,U2084-(OFFSET($C2084,0,$A2084)/(OFFSET($C2079,-$A2083,$A2084)))),
MAX(0,U2084-(OFFSET($C2084,0,$A2084)/(OFFSET($C2079,-$A2083,$A2084))))),0))</f>
        <v>0</v>
      </c>
      <c r="W2084" s="1423">
        <f t="shared" ca="1" si="3029"/>
        <v>0</v>
      </c>
      <c r="X2084" s="202"/>
      <c r="Y2084" s="202"/>
      <c r="Z2084" s="202"/>
      <c r="AA2084" s="152"/>
      <c r="AB2084" s="152"/>
    </row>
    <row r="2085" spans="1:28" hidden="1" outlineLevel="1">
      <c r="A2085" s="199">
        <f t="shared" si="3030"/>
        <v>19</v>
      </c>
      <c r="B2085" s="190" t="str">
        <f t="shared" ca="1" si="3031"/>
        <v>Depreciated Net Capex 2034-35</v>
      </c>
      <c r="C2085" s="1426"/>
      <c r="D2085" s="1426"/>
      <c r="E2085" s="1426"/>
      <c r="F2085" s="1426"/>
      <c r="G2085" s="1426"/>
      <c r="H2085" s="1426"/>
      <c r="I2085" s="1426"/>
      <c r="J2085" s="1426"/>
      <c r="K2085" s="1426"/>
      <c r="L2085" s="1426"/>
      <c r="M2085" s="1426"/>
      <c r="N2085" s="1426"/>
      <c r="O2085" s="1426"/>
      <c r="P2085" s="1426"/>
      <c r="Q2085" s="1426"/>
      <c r="R2085" s="1426"/>
      <c r="S2085" s="1426"/>
      <c r="T2085" s="1426"/>
      <c r="U2085" s="1427"/>
      <c r="V2085" s="1428">
        <f>V2061</f>
        <v>0</v>
      </c>
      <c r="W2085" s="1423">
        <f ca="1">IF(V2109="n/a",V2085,IFERROR(IF((OFFSET($C2085,0,$A2085))&lt;0,
MIN(0,V2085-(OFFSET($C2085,0,$A2085)/(OFFSET($C2080,-$A2084,$A2085)))),
MAX(0,V2085-(OFFSET($C2085,0,$A2085)/(OFFSET($C2080,-$A2084,$A2085))))),0))</f>
        <v>0</v>
      </c>
      <c r="X2085" s="202"/>
      <c r="Y2085" s="202"/>
      <c r="Z2085" s="202"/>
      <c r="AA2085" s="152"/>
      <c r="AB2085" s="152"/>
    </row>
    <row r="2086" spans="1:28" hidden="1" outlineLevel="1">
      <c r="A2086" s="199">
        <f t="shared" si="3030"/>
        <v>20</v>
      </c>
      <c r="B2086" s="190" t="str">
        <f t="shared" ca="1" si="3031"/>
        <v>Depreciated Net Capex 2035-36</v>
      </c>
      <c r="C2086" s="1426"/>
      <c r="D2086" s="1426"/>
      <c r="E2086" s="1426"/>
      <c r="F2086" s="1426"/>
      <c r="G2086" s="1426"/>
      <c r="H2086" s="1426"/>
      <c r="I2086" s="1426"/>
      <c r="J2086" s="1426"/>
      <c r="K2086" s="1426"/>
      <c r="L2086" s="1426"/>
      <c r="M2086" s="1426"/>
      <c r="N2086" s="1426"/>
      <c r="O2086" s="1426"/>
      <c r="P2086" s="1426"/>
      <c r="Q2086" s="1426"/>
      <c r="R2086" s="1426"/>
      <c r="S2086" s="1426"/>
      <c r="T2086" s="1426"/>
      <c r="U2086" s="1426"/>
      <c r="V2086" s="1427"/>
      <c r="W2086" s="1423">
        <f>W2061</f>
        <v>0</v>
      </c>
      <c r="X2086" s="152"/>
      <c r="Y2086" s="152"/>
      <c r="Z2086" s="152"/>
      <c r="AA2086" s="152"/>
      <c r="AB2086" s="152"/>
    </row>
    <row r="2087" spans="1:28" hidden="1" outlineLevel="1">
      <c r="A2087" s="152"/>
      <c r="B2087" s="200"/>
      <c r="C2087" s="1423"/>
      <c r="D2087" s="1423"/>
      <c r="E2087" s="1423"/>
      <c r="F2087" s="1423"/>
      <c r="G2087" s="1423"/>
      <c r="H2087" s="1423"/>
      <c r="I2087" s="1423"/>
      <c r="J2087" s="1423"/>
      <c r="K2087" s="1423"/>
      <c r="L2087" s="1423"/>
      <c r="M2087" s="1423"/>
      <c r="N2087" s="1423"/>
      <c r="O2087" s="1423"/>
      <c r="P2087" s="1423"/>
      <c r="Q2087" s="1423"/>
      <c r="R2087" s="1423"/>
      <c r="S2087" s="1423"/>
      <c r="T2087" s="1423"/>
      <c r="U2087" s="1423"/>
      <c r="V2087" s="1423"/>
      <c r="W2087" s="1423"/>
      <c r="X2087" s="152"/>
      <c r="Y2087" s="152"/>
      <c r="Z2087" s="152"/>
      <c r="AA2087" s="152"/>
      <c r="AB2087" s="152"/>
    </row>
    <row r="2088" spans="1:28" hidden="1" outlineLevel="1">
      <c r="A2088" s="152"/>
      <c r="B2088" s="200"/>
      <c r="C2088" s="1423"/>
      <c r="D2088" s="1423"/>
      <c r="E2088" s="1423"/>
      <c r="F2088" s="1423"/>
      <c r="G2088" s="1423"/>
      <c r="H2088" s="1423"/>
      <c r="I2088" s="1423"/>
      <c r="J2088" s="1423"/>
      <c r="K2088" s="1423"/>
      <c r="L2088" s="1423"/>
      <c r="M2088" s="1423"/>
      <c r="N2088" s="1423"/>
      <c r="O2088" s="1423"/>
      <c r="P2088" s="1423"/>
      <c r="Q2088" s="1423"/>
      <c r="R2088" s="1423"/>
      <c r="S2088" s="1423"/>
      <c r="T2088" s="1423"/>
      <c r="U2088" s="1423"/>
      <c r="V2088" s="1423"/>
      <c r="W2088" s="1423"/>
      <c r="X2088" s="152"/>
      <c r="Y2088" s="152"/>
      <c r="Z2088" s="152"/>
      <c r="AA2088" s="152"/>
      <c r="AB2088" s="152"/>
    </row>
    <row r="2089" spans="1:28" hidden="1" outlineLevel="1">
      <c r="A2089" s="152"/>
      <c r="B2089" s="190" t="s">
        <v>194</v>
      </c>
      <c r="C2089" s="1423"/>
      <c r="D2089" s="1423">
        <f t="shared" ref="D2089" ca="1" si="3032">IF(AND(C2089&lt;1,D2063=0),0,
IF(D2063=0,C2089-1,
IF(C2089&lt;1,D2064,
(((C2089-1)*(C2065-(C2065/(C2089))))+(D2063*D2064))/(D2065))))</f>
        <v>0</v>
      </c>
      <c r="E2089" s="1423">
        <f t="shared" ref="E2089" ca="1" si="3033">IF(AND(D2089&lt;1,E2063=0),0,
IF(E2063=0,D2089-1,
IF(D2089&lt;1,E2064,
(((D2089-1)*(D2065-(D2065/(D2089))))+(E2063*E2064))/(E2065))))</f>
        <v>0</v>
      </c>
      <c r="F2089" s="1423">
        <f t="shared" ref="F2089" ca="1" si="3034">IF(AND(E2089&lt;1,F2063=0),0,
IF(F2063=0,E2089-1,
IF(E2089&lt;1,F2064,
(((E2089-1)*(E2065-(E2065/(E2089))))+(F2063*F2064))/(F2065))))</f>
        <v>0</v>
      </c>
      <c r="G2089" s="1423">
        <f t="shared" ref="G2089" ca="1" si="3035">IF(AND(F2089&lt;1,G2063=0),0,
IF(G2063=0,F2089-1,
IF(F2089&lt;1,G2064,
(((F2089-1)*(F2065-(F2065/(F2089))))+(G2063*G2064))/(G2065))))</f>
        <v>0</v>
      </c>
      <c r="H2089" s="1423">
        <f ca="1">IF(AND(G2089&lt;1,H2063=0),0,
IF(H2063=0,G2089-1,
IF(G2089&lt;1,H2064,
(((G2089-1)*(G2065-(G2065/(G2089))))+(H2063*H2064))/(H2065))))</f>
        <v>0</v>
      </c>
      <c r="I2089" s="1423">
        <f t="shared" ref="I2089" ca="1" si="3036">IF(AND(H2089&lt;1,I2063=0),0,
IF(I2063=0,H2089-1,
IF(H2089&lt;1,I2064,
(((H2089-1)*(H2065-(H2065/(H2089))))+(I2063*I2064))/(I2065))))</f>
        <v>0</v>
      </c>
      <c r="J2089" s="1423">
        <f t="shared" ref="J2089" ca="1" si="3037">IF(AND(I2089&lt;1,J2063=0),0,
IF(J2063=0,I2089-1,
IF(I2089&lt;1,J2064,
(((I2089-1)*(I2065-(I2065/(I2089))))+(J2063*J2064))/(J2065))))</f>
        <v>0</v>
      </c>
      <c r="K2089" s="1423">
        <f t="shared" ref="K2089" ca="1" si="3038">IF(AND(J2089&lt;1,K2063=0),0,
IF(K2063=0,J2089-1,
IF(J2089&lt;1,K2064,
(((J2089-1)*(J2065-(J2065/(J2089))))+(K2063*K2064))/(K2065))))</f>
        <v>0</v>
      </c>
      <c r="L2089" s="1423">
        <f t="shared" ref="L2089" ca="1" si="3039">IF(AND(K2089&lt;1,L2063=0),0,
IF(L2063=0,K2089-1,
IF(K2089&lt;1,L2064,
(((K2089-1)*(K2065-(K2065/(K2089))))+(L2063*L2064))/(L2065))))</f>
        <v>0</v>
      </c>
      <c r="M2089" s="1423">
        <f ca="1">IF(AND(L2089&lt;1,M2063=0),0,
IF(M2063=0,L2089-1,
IF(L2089&lt;1,M2064,
(((L2089-1)*(L2065-(L2065/(L2089))))+(M2063*M2064))/(M2065))))</f>
        <v>0</v>
      </c>
      <c r="N2089" s="1423">
        <f t="shared" ref="N2089" ca="1" si="3040">IF(AND(M2089&lt;1,N2063=0),0,
IF(N2063=0,M2089-1,
IF(M2089&lt;1,N2064,
(((M2089-1)*(M2065-(M2065/(M2089))))+(N2063*N2064))/(N2065))))</f>
        <v>0</v>
      </c>
      <c r="O2089" s="1423">
        <f t="shared" ref="O2089" ca="1" si="3041">IF(AND(N2089&lt;1,O2063=0),0,
IF(O2063=0,N2089-1,
IF(N2089&lt;1,O2064,
(((N2089-1)*(N2065-(N2065/(N2089))))+(O2063*O2064))/(O2065))))</f>
        <v>0</v>
      </c>
      <c r="P2089" s="1423">
        <f t="shared" ref="P2089" ca="1" si="3042">IF(AND(O2089&lt;1,P2063=0),0,
IF(P2063=0,O2089-1,
IF(O2089&lt;1,P2064,
(((O2089-1)*(O2065-(O2065/(O2089))))+(P2063*P2064))/(P2065))))</f>
        <v>0</v>
      </c>
      <c r="Q2089" s="1423">
        <f t="shared" ref="Q2089" ca="1" si="3043">IF(AND(P2089&lt;1,Q2063=0),0,
IF(Q2063=0,P2089-1,
IF(P2089&lt;1,Q2064,
(((P2089-1)*(P2065-(P2065/(P2089))))+(Q2063*Q2064))/(Q2065))))</f>
        <v>0</v>
      </c>
      <c r="R2089" s="1423">
        <f t="shared" ref="R2089" ca="1" si="3044">IF(AND(Q2089&lt;1,R2063=0),0,
IF(R2063=0,Q2089-1,
IF(Q2089&lt;1,R2064,
(((Q2089-1)*(Q2065-(Q2065/(Q2089))))+(R2063*R2064))/(R2065))))</f>
        <v>0</v>
      </c>
      <c r="S2089" s="1423">
        <f t="shared" ref="S2089" ca="1" si="3045">IF(AND(R2089&lt;1,S2063=0),0,
IF(S2063=0,R2089-1,
IF(R2089&lt;1,S2064,
(((R2089-1)*(R2065-(R2065/(R2089))))+(S2063*S2064))/(S2065))))</f>
        <v>0</v>
      </c>
      <c r="T2089" s="1423">
        <f t="shared" ref="T2089" ca="1" si="3046">IF(AND(S2089&lt;1,T2063=0),0,
IF(T2063=0,S2089-1,
IF(S2089&lt;1,T2064,
(((S2089-1)*(S2065-(S2065/(S2089))))+(T2063*T2064))/(T2065))))</f>
        <v>0</v>
      </c>
      <c r="U2089" s="1423">
        <f t="shared" ref="U2089" ca="1" si="3047">IF(AND(T2089&lt;1,U2063=0),0,
IF(U2063=0,T2089-1,
IF(T2089&lt;1,U2064,
(((T2089-1)*(T2065-(T2065/(T2089))))+(U2063*U2064))/(U2065))))</f>
        <v>0</v>
      </c>
      <c r="V2089" s="1423">
        <f t="shared" ref="V2089" ca="1" si="3048">IF(AND(U2089&lt;1,V2063=0),0,
IF(V2063=0,U2089-1,
IF(U2089&lt;1,V2064,
(((U2089-1)*(U2065-(U2065/(U2089))))+(V2063*V2064))/(V2065))))</f>
        <v>0</v>
      </c>
      <c r="W2089" s="1423">
        <f t="shared" ref="W2089" ca="1" si="3049">IF(AND(V2089&lt;1,W2063=0),0,
IF(W2063=0,V2089-1,
IF(V2089&lt;1,W2064,
(((V2089-1)*(V2065-(V2065/(V2089))))+(W2063*W2064))/(W2065))))</f>
        <v>0</v>
      </c>
      <c r="X2089" s="152"/>
      <c r="Y2089" s="152"/>
      <c r="Z2089" s="152"/>
      <c r="AA2089" s="152"/>
      <c r="AB2089" s="152"/>
    </row>
    <row r="2090" spans="1:28" hidden="1" outlineLevel="1">
      <c r="A2090" s="152"/>
      <c r="B2090" s="190" t="s">
        <v>193</v>
      </c>
      <c r="C2090" s="1423">
        <f ca="1">C2062</f>
        <v>0</v>
      </c>
      <c r="D2090" s="1423">
        <f t="shared" ref="D2090" ca="1" si="3050">IF(C2090="n/a","n/a",MAX(0,C2090-1))</f>
        <v>0</v>
      </c>
      <c r="E2090" s="1423">
        <f t="shared" ref="E2090:E2091" ca="1" si="3051">IF(D2090="n/a","n/a",MAX(0,D2090-1))</f>
        <v>0</v>
      </c>
      <c r="F2090" s="1423">
        <f t="shared" ref="F2090:F2092" ca="1" si="3052">IF(E2090="n/a","n/a",MAX(0,E2090-1))</f>
        <v>0</v>
      </c>
      <c r="G2090" s="1423">
        <f t="shared" ref="G2090:G2093" ca="1" si="3053">IF(F2090="n/a","n/a",MAX(0,F2090-1))</f>
        <v>0</v>
      </c>
      <c r="H2090" s="1423">
        <f t="shared" ref="H2090:H2094" ca="1" si="3054">IF(G2090="n/a","n/a",MAX(0,G2090-1))</f>
        <v>0</v>
      </c>
      <c r="I2090" s="1423">
        <f t="shared" ref="I2090:I2095" ca="1" si="3055">IF(H2090="n/a","n/a",MAX(0,H2090-1))</f>
        <v>0</v>
      </c>
      <c r="J2090" s="1423">
        <f t="shared" ref="J2090:J2096" ca="1" si="3056">IF(I2090="n/a","n/a",MAX(0,I2090-1))</f>
        <v>0</v>
      </c>
      <c r="K2090" s="1423">
        <f t="shared" ref="K2090:K2097" ca="1" si="3057">IF(J2090="n/a","n/a",MAX(0,J2090-1))</f>
        <v>0</v>
      </c>
      <c r="L2090" s="1423">
        <f t="shared" ref="L2090:L2098" ca="1" si="3058">IF(K2090="n/a","n/a",MAX(0,K2090-1))</f>
        <v>0</v>
      </c>
      <c r="M2090" s="1423">
        <f t="shared" ref="M2090:M2099" ca="1" si="3059">IF(L2090="n/a","n/a",MAX(0,L2090-1))</f>
        <v>0</v>
      </c>
      <c r="N2090" s="1423">
        <f t="shared" ref="N2090:N2100" ca="1" si="3060">IF(M2090="n/a","n/a",MAX(0,M2090-1))</f>
        <v>0</v>
      </c>
      <c r="O2090" s="1423">
        <f t="shared" ref="O2090:O2101" ca="1" si="3061">IF(N2090="n/a","n/a",MAX(0,N2090-1))</f>
        <v>0</v>
      </c>
      <c r="P2090" s="1423">
        <f t="shared" ref="P2090:P2102" ca="1" si="3062">IF(O2090="n/a","n/a",MAX(0,O2090-1))</f>
        <v>0</v>
      </c>
      <c r="Q2090" s="1423">
        <f t="shared" ref="Q2090:Q2103" ca="1" si="3063">IF(P2090="n/a","n/a",MAX(0,P2090-1))</f>
        <v>0</v>
      </c>
      <c r="R2090" s="1423">
        <f t="shared" ref="R2090:R2104" ca="1" si="3064">IF(Q2090="n/a","n/a",MAX(0,Q2090-1))</f>
        <v>0</v>
      </c>
      <c r="S2090" s="1423">
        <f t="shared" ref="S2090:S2105" ca="1" si="3065">IF(R2090="n/a","n/a",MAX(0,R2090-1))</f>
        <v>0</v>
      </c>
      <c r="T2090" s="1423">
        <f t="shared" ref="T2090:T2106" ca="1" si="3066">IF(S2090="n/a","n/a",MAX(0,S2090-1))</f>
        <v>0</v>
      </c>
      <c r="U2090" s="1423">
        <f t="shared" ref="U2090:U2107" ca="1" si="3067">IF(T2090="n/a","n/a",MAX(0,T2090-1))</f>
        <v>0</v>
      </c>
      <c r="V2090" s="1423">
        <f t="shared" ref="V2090:V2108" ca="1" si="3068">IF(U2090="n/a","n/a",MAX(0,U2090-1))</f>
        <v>0</v>
      </c>
      <c r="W2090" s="1423">
        <f t="shared" ref="W2090:W2108" ca="1" si="3069">IF(V2090="n/a","n/a",MAX(0,V2090-1))</f>
        <v>0</v>
      </c>
      <c r="X2090" s="152"/>
      <c r="Y2090" s="152"/>
      <c r="Z2090" s="152"/>
      <c r="AA2090" s="152"/>
      <c r="AB2090" s="152"/>
    </row>
    <row r="2091" spans="1:28" hidden="1" outlineLevel="1">
      <c r="A2091" s="152"/>
      <c r="B2091" s="190" t="str">
        <f t="shared" ref="B2091:B2110" ca="1" si="3070">"RL Capex "&amp;OFFSET($C$6,0,A2067)</f>
        <v>RL Capex 2016-17</v>
      </c>
      <c r="C2091" s="1424"/>
      <c r="D2091" s="1428">
        <f>D2062</f>
        <v>0</v>
      </c>
      <c r="E2091" s="1423">
        <f t="shared" si="3051"/>
        <v>0</v>
      </c>
      <c r="F2091" s="1423">
        <f t="shared" si="3052"/>
        <v>0</v>
      </c>
      <c r="G2091" s="1423">
        <f t="shared" si="3053"/>
        <v>0</v>
      </c>
      <c r="H2091" s="1423">
        <f t="shared" si="3054"/>
        <v>0</v>
      </c>
      <c r="I2091" s="1423">
        <f t="shared" si="3055"/>
        <v>0</v>
      </c>
      <c r="J2091" s="1423">
        <f t="shared" si="3056"/>
        <v>0</v>
      </c>
      <c r="K2091" s="1423">
        <f t="shared" si="3057"/>
        <v>0</v>
      </c>
      <c r="L2091" s="1423">
        <f t="shared" si="3058"/>
        <v>0</v>
      </c>
      <c r="M2091" s="1423">
        <f t="shared" si="3059"/>
        <v>0</v>
      </c>
      <c r="N2091" s="1423">
        <f t="shared" si="3060"/>
        <v>0</v>
      </c>
      <c r="O2091" s="1423">
        <f t="shared" si="3061"/>
        <v>0</v>
      </c>
      <c r="P2091" s="1423">
        <f t="shared" si="3062"/>
        <v>0</v>
      </c>
      <c r="Q2091" s="1423">
        <f t="shared" si="3063"/>
        <v>0</v>
      </c>
      <c r="R2091" s="1423">
        <f t="shared" si="3064"/>
        <v>0</v>
      </c>
      <c r="S2091" s="1423">
        <f t="shared" si="3065"/>
        <v>0</v>
      </c>
      <c r="T2091" s="1423">
        <f t="shared" si="3066"/>
        <v>0</v>
      </c>
      <c r="U2091" s="1423">
        <f t="shared" si="3067"/>
        <v>0</v>
      </c>
      <c r="V2091" s="1423">
        <f t="shared" si="3068"/>
        <v>0</v>
      </c>
      <c r="W2091" s="1423">
        <f t="shared" si="3069"/>
        <v>0</v>
      </c>
      <c r="X2091" s="152"/>
      <c r="Y2091" s="152"/>
      <c r="Z2091" s="152"/>
      <c r="AA2091" s="152"/>
      <c r="AB2091" s="152"/>
    </row>
    <row r="2092" spans="1:28" hidden="1" outlineLevel="1">
      <c r="A2092" s="152"/>
      <c r="B2092" s="190" t="str">
        <f t="shared" ca="1" si="3070"/>
        <v>RL Capex 2017-18</v>
      </c>
      <c r="C2092" s="1429"/>
      <c r="D2092" s="1424"/>
      <c r="E2092" s="1428">
        <f>E2062</f>
        <v>0</v>
      </c>
      <c r="F2092" s="1423">
        <f t="shared" si="3052"/>
        <v>0</v>
      </c>
      <c r="G2092" s="1423">
        <f t="shared" si="3053"/>
        <v>0</v>
      </c>
      <c r="H2092" s="1423">
        <f t="shared" si="3054"/>
        <v>0</v>
      </c>
      <c r="I2092" s="1423">
        <f t="shared" si="3055"/>
        <v>0</v>
      </c>
      <c r="J2092" s="1423">
        <f t="shared" si="3056"/>
        <v>0</v>
      </c>
      <c r="K2092" s="1423">
        <f t="shared" si="3057"/>
        <v>0</v>
      </c>
      <c r="L2092" s="1423">
        <f t="shared" si="3058"/>
        <v>0</v>
      </c>
      <c r="M2092" s="1423">
        <f t="shared" si="3059"/>
        <v>0</v>
      </c>
      <c r="N2092" s="1423">
        <f t="shared" si="3060"/>
        <v>0</v>
      </c>
      <c r="O2092" s="1423">
        <f t="shared" si="3061"/>
        <v>0</v>
      </c>
      <c r="P2092" s="1423">
        <f t="shared" si="3062"/>
        <v>0</v>
      </c>
      <c r="Q2092" s="1423">
        <f t="shared" si="3063"/>
        <v>0</v>
      </c>
      <c r="R2092" s="1423">
        <f t="shared" si="3064"/>
        <v>0</v>
      </c>
      <c r="S2092" s="1423">
        <f t="shared" si="3065"/>
        <v>0</v>
      </c>
      <c r="T2092" s="1423">
        <f t="shared" si="3066"/>
        <v>0</v>
      </c>
      <c r="U2092" s="1423">
        <f t="shared" si="3067"/>
        <v>0</v>
      </c>
      <c r="V2092" s="1423">
        <f t="shared" si="3068"/>
        <v>0</v>
      </c>
      <c r="W2092" s="1423">
        <f t="shared" si="3069"/>
        <v>0</v>
      </c>
      <c r="X2092" s="152"/>
      <c r="Y2092" s="152"/>
      <c r="Z2092" s="152"/>
      <c r="AA2092" s="152"/>
      <c r="AB2092" s="152"/>
    </row>
    <row r="2093" spans="1:28" hidden="1" outlineLevel="1">
      <c r="A2093" s="152"/>
      <c r="B2093" s="190" t="str">
        <f t="shared" ca="1" si="3070"/>
        <v>RL Capex 2018-19</v>
      </c>
      <c r="C2093" s="1429"/>
      <c r="D2093" s="1429"/>
      <c r="E2093" s="1424"/>
      <c r="F2093" s="1428">
        <f>F2062</f>
        <v>0</v>
      </c>
      <c r="G2093" s="1423">
        <f t="shared" si="3053"/>
        <v>0</v>
      </c>
      <c r="H2093" s="1423">
        <f t="shared" si="3054"/>
        <v>0</v>
      </c>
      <c r="I2093" s="1423">
        <f t="shared" si="3055"/>
        <v>0</v>
      </c>
      <c r="J2093" s="1423">
        <f t="shared" si="3056"/>
        <v>0</v>
      </c>
      <c r="K2093" s="1423">
        <f t="shared" si="3057"/>
        <v>0</v>
      </c>
      <c r="L2093" s="1423">
        <f t="shared" si="3058"/>
        <v>0</v>
      </c>
      <c r="M2093" s="1423">
        <f t="shared" si="3059"/>
        <v>0</v>
      </c>
      <c r="N2093" s="1423">
        <f t="shared" si="3060"/>
        <v>0</v>
      </c>
      <c r="O2093" s="1423">
        <f t="shared" si="3061"/>
        <v>0</v>
      </c>
      <c r="P2093" s="1423">
        <f t="shared" si="3062"/>
        <v>0</v>
      </c>
      <c r="Q2093" s="1423">
        <f t="shared" si="3063"/>
        <v>0</v>
      </c>
      <c r="R2093" s="1423">
        <f t="shared" si="3064"/>
        <v>0</v>
      </c>
      <c r="S2093" s="1423">
        <f t="shared" si="3065"/>
        <v>0</v>
      </c>
      <c r="T2093" s="1423">
        <f t="shared" si="3066"/>
        <v>0</v>
      </c>
      <c r="U2093" s="1423">
        <f t="shared" si="3067"/>
        <v>0</v>
      </c>
      <c r="V2093" s="1423">
        <f t="shared" si="3068"/>
        <v>0</v>
      </c>
      <c r="W2093" s="1423">
        <f t="shared" si="3069"/>
        <v>0</v>
      </c>
      <c r="X2093" s="152"/>
      <c r="Y2093" s="152"/>
      <c r="Z2093" s="152"/>
      <c r="AA2093" s="152"/>
      <c r="AB2093" s="152"/>
    </row>
    <row r="2094" spans="1:28" hidden="1" outlineLevel="1">
      <c r="A2094" s="152"/>
      <c r="B2094" s="190" t="str">
        <f t="shared" ca="1" si="3070"/>
        <v>RL Capex 2019-20</v>
      </c>
      <c r="C2094" s="1429"/>
      <c r="D2094" s="1429"/>
      <c r="E2094" s="1429"/>
      <c r="F2094" s="1424"/>
      <c r="G2094" s="1428">
        <f>G2062</f>
        <v>0</v>
      </c>
      <c r="H2094" s="1423">
        <f t="shared" si="3054"/>
        <v>0</v>
      </c>
      <c r="I2094" s="1423">
        <f t="shared" si="3055"/>
        <v>0</v>
      </c>
      <c r="J2094" s="1423">
        <f t="shared" si="3056"/>
        <v>0</v>
      </c>
      <c r="K2094" s="1423">
        <f t="shared" si="3057"/>
        <v>0</v>
      </c>
      <c r="L2094" s="1423">
        <f t="shared" si="3058"/>
        <v>0</v>
      </c>
      <c r="M2094" s="1423">
        <f t="shared" si="3059"/>
        <v>0</v>
      </c>
      <c r="N2094" s="1423">
        <f t="shared" si="3060"/>
        <v>0</v>
      </c>
      <c r="O2094" s="1423">
        <f t="shared" si="3061"/>
        <v>0</v>
      </c>
      <c r="P2094" s="1423">
        <f t="shared" si="3062"/>
        <v>0</v>
      </c>
      <c r="Q2094" s="1423">
        <f t="shared" si="3063"/>
        <v>0</v>
      </c>
      <c r="R2094" s="1423">
        <f t="shared" si="3064"/>
        <v>0</v>
      </c>
      <c r="S2094" s="1423">
        <f t="shared" si="3065"/>
        <v>0</v>
      </c>
      <c r="T2094" s="1423">
        <f t="shared" si="3066"/>
        <v>0</v>
      </c>
      <c r="U2094" s="1423">
        <f t="shared" si="3067"/>
        <v>0</v>
      </c>
      <c r="V2094" s="1423">
        <f t="shared" si="3068"/>
        <v>0</v>
      </c>
      <c r="W2094" s="1423">
        <f t="shared" si="3069"/>
        <v>0</v>
      </c>
      <c r="X2094" s="152"/>
      <c r="Y2094" s="152"/>
      <c r="Z2094" s="152"/>
      <c r="AA2094" s="152"/>
      <c r="AB2094" s="152"/>
    </row>
    <row r="2095" spans="1:28" hidden="1" outlineLevel="1">
      <c r="A2095" s="152"/>
      <c r="B2095" s="190" t="str">
        <f t="shared" ca="1" si="3070"/>
        <v>RL Capex 2020-21</v>
      </c>
      <c r="C2095" s="1429"/>
      <c r="D2095" s="1429"/>
      <c r="E2095" s="1429"/>
      <c r="F2095" s="1429"/>
      <c r="G2095" s="1424"/>
      <c r="H2095" s="1428">
        <f>H2062</f>
        <v>0</v>
      </c>
      <c r="I2095" s="1423">
        <f t="shared" si="3055"/>
        <v>0</v>
      </c>
      <c r="J2095" s="1423">
        <f t="shared" si="3056"/>
        <v>0</v>
      </c>
      <c r="K2095" s="1423">
        <f t="shared" si="3057"/>
        <v>0</v>
      </c>
      <c r="L2095" s="1423">
        <f t="shared" si="3058"/>
        <v>0</v>
      </c>
      <c r="M2095" s="1423">
        <f t="shared" si="3059"/>
        <v>0</v>
      </c>
      <c r="N2095" s="1423">
        <f t="shared" si="3060"/>
        <v>0</v>
      </c>
      <c r="O2095" s="1423">
        <f t="shared" si="3061"/>
        <v>0</v>
      </c>
      <c r="P2095" s="1423">
        <f t="shared" si="3062"/>
        <v>0</v>
      </c>
      <c r="Q2095" s="1423">
        <f t="shared" si="3063"/>
        <v>0</v>
      </c>
      <c r="R2095" s="1423">
        <f t="shared" si="3064"/>
        <v>0</v>
      </c>
      <c r="S2095" s="1423">
        <f t="shared" si="3065"/>
        <v>0</v>
      </c>
      <c r="T2095" s="1423">
        <f t="shared" si="3066"/>
        <v>0</v>
      </c>
      <c r="U2095" s="1423">
        <f t="shared" si="3067"/>
        <v>0</v>
      </c>
      <c r="V2095" s="1423">
        <f t="shared" si="3068"/>
        <v>0</v>
      </c>
      <c r="W2095" s="1423">
        <f t="shared" si="3069"/>
        <v>0</v>
      </c>
      <c r="X2095" s="152"/>
      <c r="Y2095" s="152"/>
      <c r="Z2095" s="152"/>
      <c r="AA2095" s="152"/>
      <c r="AB2095" s="152"/>
    </row>
    <row r="2096" spans="1:28" hidden="1" outlineLevel="1">
      <c r="A2096" s="152"/>
      <c r="B2096" s="190" t="str">
        <f t="shared" ca="1" si="3070"/>
        <v>RL Capex 2021-22</v>
      </c>
      <c r="C2096" s="1429"/>
      <c r="D2096" s="1429"/>
      <c r="E2096" s="1429"/>
      <c r="F2096" s="1429"/>
      <c r="G2096" s="1429"/>
      <c r="H2096" s="1424"/>
      <c r="I2096" s="1428">
        <f>I2062</f>
        <v>0</v>
      </c>
      <c r="J2096" s="1423">
        <f t="shared" si="3056"/>
        <v>0</v>
      </c>
      <c r="K2096" s="1423">
        <f t="shared" si="3057"/>
        <v>0</v>
      </c>
      <c r="L2096" s="1423">
        <f t="shared" si="3058"/>
        <v>0</v>
      </c>
      <c r="M2096" s="1423">
        <f t="shared" si="3059"/>
        <v>0</v>
      </c>
      <c r="N2096" s="1423">
        <f t="shared" si="3060"/>
        <v>0</v>
      </c>
      <c r="O2096" s="1423">
        <f t="shared" si="3061"/>
        <v>0</v>
      </c>
      <c r="P2096" s="1423">
        <f t="shared" si="3062"/>
        <v>0</v>
      </c>
      <c r="Q2096" s="1423">
        <f t="shared" si="3063"/>
        <v>0</v>
      </c>
      <c r="R2096" s="1423">
        <f t="shared" si="3064"/>
        <v>0</v>
      </c>
      <c r="S2096" s="1423">
        <f t="shared" si="3065"/>
        <v>0</v>
      </c>
      <c r="T2096" s="1423">
        <f t="shared" si="3066"/>
        <v>0</v>
      </c>
      <c r="U2096" s="1423">
        <f t="shared" si="3067"/>
        <v>0</v>
      </c>
      <c r="V2096" s="1423">
        <f t="shared" si="3068"/>
        <v>0</v>
      </c>
      <c r="W2096" s="1423">
        <f t="shared" si="3069"/>
        <v>0</v>
      </c>
      <c r="X2096" s="152"/>
      <c r="Y2096" s="152"/>
      <c r="Z2096" s="152"/>
      <c r="AA2096" s="152"/>
      <c r="AB2096" s="152"/>
    </row>
    <row r="2097" spans="1:28" hidden="1" outlineLevel="1">
      <c r="A2097" s="152"/>
      <c r="B2097" s="190" t="str">
        <f t="shared" ca="1" si="3070"/>
        <v>RL Capex 2022-23</v>
      </c>
      <c r="C2097" s="1429"/>
      <c r="D2097" s="1429"/>
      <c r="E2097" s="1429"/>
      <c r="F2097" s="1429"/>
      <c r="G2097" s="1429"/>
      <c r="H2097" s="1429"/>
      <c r="I2097" s="1424"/>
      <c r="J2097" s="1428">
        <f>J2062</f>
        <v>0</v>
      </c>
      <c r="K2097" s="1423">
        <f t="shared" si="3057"/>
        <v>0</v>
      </c>
      <c r="L2097" s="1423">
        <f t="shared" si="3058"/>
        <v>0</v>
      </c>
      <c r="M2097" s="1423">
        <f t="shared" si="3059"/>
        <v>0</v>
      </c>
      <c r="N2097" s="1423">
        <f t="shared" si="3060"/>
        <v>0</v>
      </c>
      <c r="O2097" s="1423">
        <f t="shared" si="3061"/>
        <v>0</v>
      </c>
      <c r="P2097" s="1423">
        <f t="shared" si="3062"/>
        <v>0</v>
      </c>
      <c r="Q2097" s="1423">
        <f t="shared" si="3063"/>
        <v>0</v>
      </c>
      <c r="R2097" s="1423">
        <f t="shared" si="3064"/>
        <v>0</v>
      </c>
      <c r="S2097" s="1423">
        <f t="shared" si="3065"/>
        <v>0</v>
      </c>
      <c r="T2097" s="1423">
        <f t="shared" si="3066"/>
        <v>0</v>
      </c>
      <c r="U2097" s="1423">
        <f t="shared" si="3067"/>
        <v>0</v>
      </c>
      <c r="V2097" s="1423">
        <f t="shared" si="3068"/>
        <v>0</v>
      </c>
      <c r="W2097" s="1423">
        <f t="shared" si="3069"/>
        <v>0</v>
      </c>
      <c r="X2097" s="152"/>
      <c r="Y2097" s="152"/>
      <c r="Z2097" s="152"/>
      <c r="AA2097" s="152"/>
      <c r="AB2097" s="152"/>
    </row>
    <row r="2098" spans="1:28" hidden="1" outlineLevel="1">
      <c r="A2098" s="152"/>
      <c r="B2098" s="190" t="str">
        <f t="shared" ca="1" si="3070"/>
        <v>RL Capex 2023-24</v>
      </c>
      <c r="C2098" s="1429"/>
      <c r="D2098" s="1429"/>
      <c r="E2098" s="1429"/>
      <c r="F2098" s="1429"/>
      <c r="G2098" s="1429"/>
      <c r="H2098" s="1429"/>
      <c r="I2098" s="1429"/>
      <c r="J2098" s="1424"/>
      <c r="K2098" s="1428">
        <f>K2062</f>
        <v>0</v>
      </c>
      <c r="L2098" s="1423">
        <f t="shared" si="3058"/>
        <v>0</v>
      </c>
      <c r="M2098" s="1423">
        <f t="shared" si="3059"/>
        <v>0</v>
      </c>
      <c r="N2098" s="1423">
        <f t="shared" si="3060"/>
        <v>0</v>
      </c>
      <c r="O2098" s="1423">
        <f t="shared" si="3061"/>
        <v>0</v>
      </c>
      <c r="P2098" s="1423">
        <f t="shared" si="3062"/>
        <v>0</v>
      </c>
      <c r="Q2098" s="1423">
        <f t="shared" si="3063"/>
        <v>0</v>
      </c>
      <c r="R2098" s="1423">
        <f t="shared" si="3064"/>
        <v>0</v>
      </c>
      <c r="S2098" s="1423">
        <f t="shared" si="3065"/>
        <v>0</v>
      </c>
      <c r="T2098" s="1423">
        <f t="shared" si="3066"/>
        <v>0</v>
      </c>
      <c r="U2098" s="1423">
        <f t="shared" si="3067"/>
        <v>0</v>
      </c>
      <c r="V2098" s="1423">
        <f t="shared" si="3068"/>
        <v>0</v>
      </c>
      <c r="W2098" s="1423">
        <f t="shared" si="3069"/>
        <v>0</v>
      </c>
      <c r="X2098" s="152"/>
      <c r="Y2098" s="152"/>
      <c r="Z2098" s="152"/>
      <c r="AA2098" s="152"/>
      <c r="AB2098" s="152"/>
    </row>
    <row r="2099" spans="1:28" hidden="1" outlineLevel="1">
      <c r="A2099" s="152"/>
      <c r="B2099" s="190" t="str">
        <f t="shared" ca="1" si="3070"/>
        <v>RL Capex 2024-25</v>
      </c>
      <c r="C2099" s="1429"/>
      <c r="D2099" s="1429"/>
      <c r="E2099" s="1429"/>
      <c r="F2099" s="1429"/>
      <c r="G2099" s="1429"/>
      <c r="H2099" s="1429"/>
      <c r="I2099" s="1429"/>
      <c r="J2099" s="1429"/>
      <c r="K2099" s="1424"/>
      <c r="L2099" s="1428">
        <f>L2062</f>
        <v>0</v>
      </c>
      <c r="M2099" s="1423">
        <f t="shared" si="3059"/>
        <v>0</v>
      </c>
      <c r="N2099" s="1423">
        <f t="shared" si="3060"/>
        <v>0</v>
      </c>
      <c r="O2099" s="1423">
        <f t="shared" si="3061"/>
        <v>0</v>
      </c>
      <c r="P2099" s="1423">
        <f t="shared" si="3062"/>
        <v>0</v>
      </c>
      <c r="Q2099" s="1423">
        <f t="shared" si="3063"/>
        <v>0</v>
      </c>
      <c r="R2099" s="1423">
        <f t="shared" si="3064"/>
        <v>0</v>
      </c>
      <c r="S2099" s="1423">
        <f t="shared" si="3065"/>
        <v>0</v>
      </c>
      <c r="T2099" s="1423">
        <f t="shared" si="3066"/>
        <v>0</v>
      </c>
      <c r="U2099" s="1423">
        <f t="shared" si="3067"/>
        <v>0</v>
      </c>
      <c r="V2099" s="1423">
        <f t="shared" si="3068"/>
        <v>0</v>
      </c>
      <c r="W2099" s="1423">
        <f t="shared" si="3069"/>
        <v>0</v>
      </c>
      <c r="X2099" s="152"/>
      <c r="Y2099" s="152"/>
      <c r="Z2099" s="152"/>
      <c r="AA2099" s="152"/>
      <c r="AB2099" s="152"/>
    </row>
    <row r="2100" spans="1:28" hidden="1" outlineLevel="1">
      <c r="A2100" s="152"/>
      <c r="B2100" s="190" t="str">
        <f t="shared" ca="1" si="3070"/>
        <v>RL Capex 2025-26</v>
      </c>
      <c r="C2100" s="1429"/>
      <c r="D2100" s="1429"/>
      <c r="E2100" s="1429"/>
      <c r="F2100" s="1429"/>
      <c r="G2100" s="1429"/>
      <c r="H2100" s="1429"/>
      <c r="I2100" s="1429"/>
      <c r="J2100" s="1429"/>
      <c r="K2100" s="1429"/>
      <c r="L2100" s="1424"/>
      <c r="M2100" s="1428">
        <f>M2062</f>
        <v>0</v>
      </c>
      <c r="N2100" s="1423">
        <f t="shared" si="3060"/>
        <v>0</v>
      </c>
      <c r="O2100" s="1423">
        <f t="shared" si="3061"/>
        <v>0</v>
      </c>
      <c r="P2100" s="1423">
        <f t="shared" si="3062"/>
        <v>0</v>
      </c>
      <c r="Q2100" s="1423">
        <f t="shared" si="3063"/>
        <v>0</v>
      </c>
      <c r="R2100" s="1423">
        <f t="shared" si="3064"/>
        <v>0</v>
      </c>
      <c r="S2100" s="1423">
        <f t="shared" si="3065"/>
        <v>0</v>
      </c>
      <c r="T2100" s="1423">
        <f t="shared" si="3066"/>
        <v>0</v>
      </c>
      <c r="U2100" s="1423">
        <f t="shared" si="3067"/>
        <v>0</v>
      </c>
      <c r="V2100" s="1423">
        <f t="shared" si="3068"/>
        <v>0</v>
      </c>
      <c r="W2100" s="1423">
        <f t="shared" si="3069"/>
        <v>0</v>
      </c>
      <c r="X2100" s="152"/>
      <c r="Y2100" s="152"/>
      <c r="Z2100" s="152"/>
      <c r="AA2100" s="152"/>
      <c r="AB2100" s="152"/>
    </row>
    <row r="2101" spans="1:28" hidden="1" outlineLevel="1">
      <c r="A2101" s="152"/>
      <c r="B2101" s="190" t="str">
        <f t="shared" ca="1" si="3070"/>
        <v>RL Capex 2026-27</v>
      </c>
      <c r="C2101" s="1429"/>
      <c r="D2101" s="1429"/>
      <c r="E2101" s="1429"/>
      <c r="F2101" s="1429"/>
      <c r="G2101" s="1429"/>
      <c r="H2101" s="1429"/>
      <c r="I2101" s="1429"/>
      <c r="J2101" s="1429"/>
      <c r="K2101" s="1429"/>
      <c r="L2101" s="1429"/>
      <c r="M2101" s="1424"/>
      <c r="N2101" s="1428">
        <f>N2062</f>
        <v>0</v>
      </c>
      <c r="O2101" s="1423">
        <f t="shared" si="3061"/>
        <v>0</v>
      </c>
      <c r="P2101" s="1423">
        <f t="shared" si="3062"/>
        <v>0</v>
      </c>
      <c r="Q2101" s="1423">
        <f t="shared" si="3063"/>
        <v>0</v>
      </c>
      <c r="R2101" s="1423">
        <f t="shared" si="3064"/>
        <v>0</v>
      </c>
      <c r="S2101" s="1423">
        <f t="shared" si="3065"/>
        <v>0</v>
      </c>
      <c r="T2101" s="1423">
        <f t="shared" si="3066"/>
        <v>0</v>
      </c>
      <c r="U2101" s="1423">
        <f t="shared" si="3067"/>
        <v>0</v>
      </c>
      <c r="V2101" s="1423">
        <f t="shared" si="3068"/>
        <v>0</v>
      </c>
      <c r="W2101" s="1423">
        <f t="shared" si="3069"/>
        <v>0</v>
      </c>
      <c r="X2101" s="152"/>
      <c r="Y2101" s="152"/>
      <c r="Z2101" s="152"/>
      <c r="AA2101" s="152"/>
      <c r="AB2101" s="152"/>
    </row>
    <row r="2102" spans="1:28" hidden="1" outlineLevel="1">
      <c r="A2102" s="152"/>
      <c r="B2102" s="190" t="str">
        <f t="shared" ca="1" si="3070"/>
        <v>RL Capex 2027-28</v>
      </c>
      <c r="C2102" s="1429"/>
      <c r="D2102" s="1429"/>
      <c r="E2102" s="1429"/>
      <c r="F2102" s="1429"/>
      <c r="G2102" s="1429"/>
      <c r="H2102" s="1429"/>
      <c r="I2102" s="1429"/>
      <c r="J2102" s="1429"/>
      <c r="K2102" s="1429"/>
      <c r="L2102" s="1429"/>
      <c r="M2102" s="1429"/>
      <c r="N2102" s="1424"/>
      <c r="O2102" s="1428">
        <f>O2062</f>
        <v>0</v>
      </c>
      <c r="P2102" s="1423">
        <f t="shared" si="3062"/>
        <v>0</v>
      </c>
      <c r="Q2102" s="1423">
        <f t="shared" si="3063"/>
        <v>0</v>
      </c>
      <c r="R2102" s="1423">
        <f t="shared" si="3064"/>
        <v>0</v>
      </c>
      <c r="S2102" s="1423">
        <f t="shared" si="3065"/>
        <v>0</v>
      </c>
      <c r="T2102" s="1423">
        <f t="shared" si="3066"/>
        <v>0</v>
      </c>
      <c r="U2102" s="1423">
        <f t="shared" si="3067"/>
        <v>0</v>
      </c>
      <c r="V2102" s="1423">
        <f t="shared" si="3068"/>
        <v>0</v>
      </c>
      <c r="W2102" s="1423">
        <f t="shared" si="3069"/>
        <v>0</v>
      </c>
      <c r="X2102" s="152"/>
      <c r="Y2102" s="152"/>
      <c r="Z2102" s="152"/>
      <c r="AA2102" s="152"/>
      <c r="AB2102" s="152"/>
    </row>
    <row r="2103" spans="1:28" hidden="1" outlineLevel="1">
      <c r="A2103" s="152"/>
      <c r="B2103" s="190" t="str">
        <f t="shared" ca="1" si="3070"/>
        <v>RL Capex 2028-29</v>
      </c>
      <c r="C2103" s="1429"/>
      <c r="D2103" s="1429"/>
      <c r="E2103" s="1429"/>
      <c r="F2103" s="1429"/>
      <c r="G2103" s="1429"/>
      <c r="H2103" s="1429"/>
      <c r="I2103" s="1429"/>
      <c r="J2103" s="1429"/>
      <c r="K2103" s="1429"/>
      <c r="L2103" s="1429"/>
      <c r="M2103" s="1429"/>
      <c r="N2103" s="1429"/>
      <c r="O2103" s="1424"/>
      <c r="P2103" s="1428">
        <f>P2062</f>
        <v>0</v>
      </c>
      <c r="Q2103" s="1423">
        <f t="shared" si="3063"/>
        <v>0</v>
      </c>
      <c r="R2103" s="1423">
        <f t="shared" si="3064"/>
        <v>0</v>
      </c>
      <c r="S2103" s="1423">
        <f t="shared" si="3065"/>
        <v>0</v>
      </c>
      <c r="T2103" s="1423">
        <f t="shared" si="3066"/>
        <v>0</v>
      </c>
      <c r="U2103" s="1423">
        <f t="shared" si="3067"/>
        <v>0</v>
      </c>
      <c r="V2103" s="1423">
        <f t="shared" si="3068"/>
        <v>0</v>
      </c>
      <c r="W2103" s="1423">
        <f t="shared" si="3069"/>
        <v>0</v>
      </c>
      <c r="X2103" s="152"/>
      <c r="Y2103" s="152"/>
      <c r="Z2103" s="152"/>
      <c r="AA2103" s="152"/>
      <c r="AB2103" s="152"/>
    </row>
    <row r="2104" spans="1:28" hidden="1" outlineLevel="1">
      <c r="A2104" s="152"/>
      <c r="B2104" s="190" t="str">
        <f t="shared" ca="1" si="3070"/>
        <v>RL Capex 2029-30</v>
      </c>
      <c r="C2104" s="1429"/>
      <c r="D2104" s="1429"/>
      <c r="E2104" s="1429"/>
      <c r="F2104" s="1429"/>
      <c r="G2104" s="1429"/>
      <c r="H2104" s="1429"/>
      <c r="I2104" s="1429"/>
      <c r="J2104" s="1429"/>
      <c r="K2104" s="1429"/>
      <c r="L2104" s="1429"/>
      <c r="M2104" s="1429"/>
      <c r="N2104" s="1429"/>
      <c r="O2104" s="1429"/>
      <c r="P2104" s="1424"/>
      <c r="Q2104" s="1428">
        <f>Q2062</f>
        <v>0</v>
      </c>
      <c r="R2104" s="1423">
        <f t="shared" si="3064"/>
        <v>0</v>
      </c>
      <c r="S2104" s="1423">
        <f t="shared" si="3065"/>
        <v>0</v>
      </c>
      <c r="T2104" s="1423">
        <f t="shared" si="3066"/>
        <v>0</v>
      </c>
      <c r="U2104" s="1423">
        <f t="shared" si="3067"/>
        <v>0</v>
      </c>
      <c r="V2104" s="1423">
        <f t="shared" si="3068"/>
        <v>0</v>
      </c>
      <c r="W2104" s="1423">
        <f t="shared" si="3069"/>
        <v>0</v>
      </c>
      <c r="X2104" s="152"/>
      <c r="Y2104" s="152"/>
      <c r="Z2104" s="152"/>
      <c r="AA2104" s="152"/>
      <c r="AB2104" s="152"/>
    </row>
    <row r="2105" spans="1:28" hidden="1" outlineLevel="1">
      <c r="A2105" s="152"/>
      <c r="B2105" s="190" t="str">
        <f t="shared" ca="1" si="3070"/>
        <v>RL Capex 2030-31</v>
      </c>
      <c r="C2105" s="1429"/>
      <c r="D2105" s="1429"/>
      <c r="E2105" s="1429"/>
      <c r="F2105" s="1429"/>
      <c r="G2105" s="1429"/>
      <c r="H2105" s="1429"/>
      <c r="I2105" s="1429"/>
      <c r="J2105" s="1429"/>
      <c r="K2105" s="1429"/>
      <c r="L2105" s="1429"/>
      <c r="M2105" s="1429"/>
      <c r="N2105" s="1429"/>
      <c r="O2105" s="1429"/>
      <c r="P2105" s="1429"/>
      <c r="Q2105" s="1424"/>
      <c r="R2105" s="1428">
        <f>R2062</f>
        <v>0</v>
      </c>
      <c r="S2105" s="1423">
        <f t="shared" si="3065"/>
        <v>0</v>
      </c>
      <c r="T2105" s="1423">
        <f t="shared" si="3066"/>
        <v>0</v>
      </c>
      <c r="U2105" s="1423">
        <f t="shared" si="3067"/>
        <v>0</v>
      </c>
      <c r="V2105" s="1423">
        <f t="shared" si="3068"/>
        <v>0</v>
      </c>
      <c r="W2105" s="1423">
        <f t="shared" si="3069"/>
        <v>0</v>
      </c>
      <c r="X2105" s="152"/>
      <c r="Y2105" s="152"/>
      <c r="Z2105" s="152"/>
      <c r="AA2105" s="152"/>
      <c r="AB2105" s="152"/>
    </row>
    <row r="2106" spans="1:28" hidden="1" outlineLevel="1">
      <c r="A2106" s="152"/>
      <c r="B2106" s="190" t="str">
        <f t="shared" ca="1" si="3070"/>
        <v>RL Capex 2031-32</v>
      </c>
      <c r="C2106" s="1429"/>
      <c r="D2106" s="1429"/>
      <c r="E2106" s="1429"/>
      <c r="F2106" s="1429"/>
      <c r="G2106" s="1429"/>
      <c r="H2106" s="1429"/>
      <c r="I2106" s="1429"/>
      <c r="J2106" s="1429"/>
      <c r="K2106" s="1429"/>
      <c r="L2106" s="1429"/>
      <c r="M2106" s="1429"/>
      <c r="N2106" s="1429"/>
      <c r="O2106" s="1429"/>
      <c r="P2106" s="1429"/>
      <c r="Q2106" s="1429"/>
      <c r="R2106" s="1424"/>
      <c r="S2106" s="1428">
        <f>S2062</f>
        <v>0</v>
      </c>
      <c r="T2106" s="1423">
        <f t="shared" si="3066"/>
        <v>0</v>
      </c>
      <c r="U2106" s="1423">
        <f t="shared" si="3067"/>
        <v>0</v>
      </c>
      <c r="V2106" s="1423">
        <f t="shared" si="3068"/>
        <v>0</v>
      </c>
      <c r="W2106" s="1423">
        <f t="shared" si="3069"/>
        <v>0</v>
      </c>
      <c r="X2106" s="152"/>
      <c r="Y2106" s="152"/>
      <c r="Z2106" s="152"/>
      <c r="AA2106" s="152"/>
      <c r="AB2106" s="152"/>
    </row>
    <row r="2107" spans="1:28" hidden="1" outlineLevel="1">
      <c r="A2107" s="152"/>
      <c r="B2107" s="190" t="str">
        <f t="shared" ca="1" si="3070"/>
        <v>RL Capex 2032-33</v>
      </c>
      <c r="C2107" s="1429"/>
      <c r="D2107" s="1429"/>
      <c r="E2107" s="1429"/>
      <c r="F2107" s="1429"/>
      <c r="G2107" s="1429"/>
      <c r="H2107" s="1429"/>
      <c r="I2107" s="1429"/>
      <c r="J2107" s="1429"/>
      <c r="K2107" s="1429"/>
      <c r="L2107" s="1429"/>
      <c r="M2107" s="1429"/>
      <c r="N2107" s="1429"/>
      <c r="O2107" s="1429"/>
      <c r="P2107" s="1429"/>
      <c r="Q2107" s="1429"/>
      <c r="R2107" s="1429"/>
      <c r="S2107" s="1424"/>
      <c r="T2107" s="1428">
        <f>T2062</f>
        <v>0</v>
      </c>
      <c r="U2107" s="1423">
        <f t="shared" si="3067"/>
        <v>0</v>
      </c>
      <c r="V2107" s="1423">
        <f t="shared" si="3068"/>
        <v>0</v>
      </c>
      <c r="W2107" s="1423">
        <f t="shared" si="3069"/>
        <v>0</v>
      </c>
      <c r="X2107" s="152"/>
      <c r="Y2107" s="152"/>
      <c r="Z2107" s="152"/>
      <c r="AA2107" s="152"/>
      <c r="AB2107" s="152"/>
    </row>
    <row r="2108" spans="1:28" hidden="1" outlineLevel="1">
      <c r="A2108" s="152"/>
      <c r="B2108" s="190" t="str">
        <f t="shared" ca="1" si="3070"/>
        <v>RL Capex 2033-34</v>
      </c>
      <c r="C2108" s="1429"/>
      <c r="D2108" s="1429"/>
      <c r="E2108" s="1429"/>
      <c r="F2108" s="1429"/>
      <c r="G2108" s="1429"/>
      <c r="H2108" s="1429"/>
      <c r="I2108" s="1429"/>
      <c r="J2108" s="1429"/>
      <c r="K2108" s="1429"/>
      <c r="L2108" s="1429"/>
      <c r="M2108" s="1429"/>
      <c r="N2108" s="1429"/>
      <c r="O2108" s="1429"/>
      <c r="P2108" s="1429"/>
      <c r="Q2108" s="1429"/>
      <c r="R2108" s="1429"/>
      <c r="S2108" s="1429"/>
      <c r="T2108" s="1424"/>
      <c r="U2108" s="1428">
        <f>U2062</f>
        <v>0</v>
      </c>
      <c r="V2108" s="1423">
        <f t="shared" si="3068"/>
        <v>0</v>
      </c>
      <c r="W2108" s="1423">
        <f t="shared" si="3069"/>
        <v>0</v>
      </c>
      <c r="X2108" s="152"/>
      <c r="Y2108" s="152"/>
      <c r="Z2108" s="152"/>
      <c r="AA2108" s="152"/>
      <c r="AB2108" s="152"/>
    </row>
    <row r="2109" spans="1:28" hidden="1" outlineLevel="1">
      <c r="A2109" s="152"/>
      <c r="B2109" s="190" t="str">
        <f t="shared" ca="1" si="3070"/>
        <v>RL Capex 2034-35</v>
      </c>
      <c r="C2109" s="1429"/>
      <c r="D2109" s="1429"/>
      <c r="E2109" s="1429"/>
      <c r="F2109" s="1429"/>
      <c r="G2109" s="1429"/>
      <c r="H2109" s="1429"/>
      <c r="I2109" s="1429"/>
      <c r="J2109" s="1429"/>
      <c r="K2109" s="1429"/>
      <c r="L2109" s="1429"/>
      <c r="M2109" s="1429"/>
      <c r="N2109" s="1429"/>
      <c r="O2109" s="1429"/>
      <c r="P2109" s="1429"/>
      <c r="Q2109" s="1429"/>
      <c r="R2109" s="1429"/>
      <c r="S2109" s="1429"/>
      <c r="T2109" s="1429"/>
      <c r="U2109" s="1424"/>
      <c r="V2109" s="1428">
        <f>V2062</f>
        <v>0</v>
      </c>
      <c r="W2109" s="1423">
        <f>IF(V2109="n/a","n/a",MAX(0,V2109-1))</f>
        <v>0</v>
      </c>
      <c r="X2109" s="152"/>
      <c r="Y2109" s="152"/>
      <c r="Z2109" s="152"/>
      <c r="AA2109" s="152"/>
      <c r="AB2109" s="152"/>
    </row>
    <row r="2110" spans="1:28" hidden="1" outlineLevel="1">
      <c r="A2110" s="152"/>
      <c r="B2110" s="190" t="str">
        <f t="shared" ca="1" si="3070"/>
        <v>RL Capex 2035-36</v>
      </c>
      <c r="C2110" s="1429"/>
      <c r="D2110" s="1429"/>
      <c r="E2110" s="1429"/>
      <c r="F2110" s="1429"/>
      <c r="G2110" s="1429"/>
      <c r="H2110" s="1429"/>
      <c r="I2110" s="1429"/>
      <c r="J2110" s="1429"/>
      <c r="K2110" s="1429"/>
      <c r="L2110" s="1429"/>
      <c r="M2110" s="1429"/>
      <c r="N2110" s="1429"/>
      <c r="O2110" s="1429"/>
      <c r="P2110" s="1429"/>
      <c r="Q2110" s="1429"/>
      <c r="R2110" s="1429"/>
      <c r="S2110" s="1429"/>
      <c r="T2110" s="1429"/>
      <c r="U2110" s="1429"/>
      <c r="V2110" s="1424"/>
      <c r="W2110" s="1423">
        <f>W2062</f>
        <v>0</v>
      </c>
      <c r="X2110" s="152"/>
      <c r="Y2110" s="152"/>
      <c r="Z2110" s="152"/>
      <c r="AA2110" s="152"/>
      <c r="AB2110" s="152"/>
    </row>
    <row r="2111" spans="1:28" hidden="1" outlineLevel="1">
      <c r="A2111" s="152"/>
      <c r="B2111" s="200"/>
      <c r="C2111" s="1423"/>
      <c r="D2111" s="1423"/>
      <c r="E2111" s="1423"/>
      <c r="F2111" s="1423"/>
      <c r="G2111" s="1423"/>
      <c r="H2111" s="1423"/>
      <c r="I2111" s="1423"/>
      <c r="J2111" s="1423"/>
      <c r="K2111" s="1423"/>
      <c r="L2111" s="1423"/>
      <c r="M2111" s="1423"/>
      <c r="N2111" s="1423"/>
      <c r="O2111" s="1423"/>
      <c r="P2111" s="1423"/>
      <c r="Q2111" s="1423"/>
      <c r="R2111" s="1423"/>
      <c r="S2111" s="1423"/>
      <c r="T2111" s="1423"/>
      <c r="U2111" s="1423"/>
      <c r="V2111" s="1423"/>
      <c r="W2111" s="1423"/>
      <c r="X2111" s="152"/>
      <c r="Y2111" s="152"/>
      <c r="Z2111" s="152"/>
      <c r="AA2111" s="152"/>
      <c r="AB2111" s="152"/>
    </row>
    <row r="2112" spans="1:28" collapsed="1">
      <c r="A2112" s="194"/>
      <c r="B2112" s="204" t="s">
        <v>123</v>
      </c>
      <c r="C2112" s="1430">
        <f ca="1">(IF(OR($C2062&lt;&gt;"n/a",C2062&lt;&gt;"n/a"),IF(SUM(C2065:C2087)=0,0,IF((SUMPRODUCT(C2065:C2087,C2089:C2111)/SUM(C2065:C2087))&lt;0,1,(SUMPRODUCT(C2065:C2087,C2089:C2111)/SUM(C2065:C2087)))),"n/a"))</f>
        <v>0</v>
      </c>
      <c r="D2112" s="1430">
        <f ca="1">(IF(OR($C2062&lt;&gt;"n/a",D2062&lt;&gt;"n/a"),IF(SUM(D2065:D2087)=0,0,IF((SUMPRODUCT(D2065:D2087,D2089:D2111)/SUM(D2065:D2087))&lt;0,1,(SUMPRODUCT(D2065:D2087,D2089:D2111)/SUM(D2065:D2087)))),"n/a"))</f>
        <v>0</v>
      </c>
      <c r="E2112" s="1430">
        <f t="shared" ref="E2112:W2112" ca="1" si="3071">(IF(OR($C2062&lt;&gt;"n/a",E2062&lt;&gt;"n/a"),IF(SUM(E2065:E2087)=0,0,IF((SUMPRODUCT(E2065:E2087,E2089:E2111)/SUM(E2065:E2087))&lt;0,1,(SUMPRODUCT(E2065:E2087,E2089:E2111)/SUM(E2065:E2087)))),"n/a"))</f>
        <v>0</v>
      </c>
      <c r="F2112" s="1430">
        <f t="shared" ca="1" si="3071"/>
        <v>0</v>
      </c>
      <c r="G2112" s="1430">
        <f t="shared" ca="1" si="3071"/>
        <v>0</v>
      </c>
      <c r="H2112" s="1430">
        <f t="shared" ca="1" si="3071"/>
        <v>0</v>
      </c>
      <c r="I2112" s="1430">
        <f t="shared" ca="1" si="3071"/>
        <v>0</v>
      </c>
      <c r="J2112" s="1430">
        <f t="shared" ca="1" si="3071"/>
        <v>0</v>
      </c>
      <c r="K2112" s="1430">
        <f t="shared" ca="1" si="3071"/>
        <v>0</v>
      </c>
      <c r="L2112" s="1430">
        <f t="shared" ca="1" si="3071"/>
        <v>0</v>
      </c>
      <c r="M2112" s="1430">
        <f t="shared" ca="1" si="3071"/>
        <v>0</v>
      </c>
      <c r="N2112" s="1430">
        <f t="shared" ca="1" si="3071"/>
        <v>0</v>
      </c>
      <c r="O2112" s="1430">
        <f t="shared" ca="1" si="3071"/>
        <v>0</v>
      </c>
      <c r="P2112" s="1430">
        <f t="shared" ca="1" si="3071"/>
        <v>0</v>
      </c>
      <c r="Q2112" s="1430">
        <f t="shared" ca="1" si="3071"/>
        <v>0</v>
      </c>
      <c r="R2112" s="1430">
        <f t="shared" ca="1" si="3071"/>
        <v>0</v>
      </c>
      <c r="S2112" s="1430">
        <f t="shared" ca="1" si="3071"/>
        <v>0</v>
      </c>
      <c r="T2112" s="1430">
        <f t="shared" ca="1" si="3071"/>
        <v>0</v>
      </c>
      <c r="U2112" s="1430">
        <f t="shared" ca="1" si="3071"/>
        <v>0</v>
      </c>
      <c r="V2112" s="1430">
        <f t="shared" ca="1" si="3071"/>
        <v>0</v>
      </c>
      <c r="W2112" s="1430">
        <f t="shared" ca="1" si="3071"/>
        <v>0</v>
      </c>
      <c r="X2112" s="152"/>
      <c r="Y2112" s="152"/>
      <c r="Z2112" s="152"/>
      <c r="AA2112" s="152"/>
      <c r="AB2112" s="152"/>
    </row>
    <row r="2113" spans="1:28">
      <c r="A2113" s="152"/>
      <c r="B2113" s="152"/>
      <c r="C2113" s="1423"/>
      <c r="D2113" s="1423"/>
      <c r="E2113" s="1423"/>
      <c r="F2113" s="1423"/>
      <c r="G2113" s="1423"/>
      <c r="H2113" s="1423"/>
      <c r="I2113" s="1423"/>
      <c r="J2113" s="1423"/>
      <c r="K2113" s="1423"/>
      <c r="L2113" s="1423"/>
      <c r="M2113" s="1423"/>
      <c r="N2113" s="1423"/>
      <c r="O2113" s="1423"/>
      <c r="P2113" s="1423"/>
      <c r="Q2113" s="1423"/>
      <c r="R2113" s="1423"/>
      <c r="S2113" s="1423"/>
      <c r="T2113" s="1423"/>
      <c r="U2113" s="1423"/>
      <c r="V2113" s="1423"/>
      <c r="W2113" s="1423"/>
      <c r="X2113" s="152"/>
      <c r="Y2113" s="152"/>
      <c r="Z2113" s="152"/>
      <c r="AA2113" s="152"/>
      <c r="AB2113" s="152"/>
    </row>
    <row r="2114" spans="1:28">
      <c r="A2114" s="269" t="s">
        <v>106</v>
      </c>
      <c r="B2114" s="270">
        <f>VLOOKUP($A2114,'RFM input'!$E$7:$F$56,2,FALSE)</f>
        <v>0</v>
      </c>
      <c r="C2114" s="1431"/>
      <c r="D2114" s="1431"/>
      <c r="E2114" s="1432"/>
      <c r="F2114" s="1432"/>
      <c r="G2114" s="1432"/>
      <c r="H2114" s="1432"/>
      <c r="I2114" s="1432"/>
      <c r="J2114" s="1432"/>
      <c r="K2114" s="1432"/>
      <c r="L2114" s="1432"/>
      <c r="M2114" s="1432"/>
      <c r="N2114" s="1432"/>
      <c r="O2114" s="1432"/>
      <c r="P2114" s="1432"/>
      <c r="Q2114" s="1432"/>
      <c r="R2114" s="1432"/>
      <c r="S2114" s="1432"/>
      <c r="T2114" s="1432"/>
      <c r="U2114" s="1432"/>
      <c r="V2114" s="1432"/>
      <c r="W2114" s="1432"/>
      <c r="X2114" s="152"/>
      <c r="Y2114" s="152"/>
      <c r="Z2114" s="152"/>
      <c r="AA2114" s="152"/>
      <c r="AB2114" s="152"/>
    </row>
    <row r="2115" spans="1:28">
      <c r="A2115" s="215">
        <f>VALUE(REPLACE(A2114,1,12,""))</f>
        <v>40</v>
      </c>
      <c r="B2115" s="193" t="s">
        <v>126</v>
      </c>
      <c r="C2115" s="1416">
        <f ca="1">IF($D$6='TAB roll forward'!$H$4,OFFSET('TAB roll forward'!$H$7,A2115,0),"enter input")</f>
        <v>0</v>
      </c>
      <c r="D2115" s="1417">
        <f>IF(LEFT(D$6,4)&lt;LEFT('RFM input'!$G$60,4),"enter input",IF(LEFT(D$6,4)&gt;LEFT('RFM input'!$Q$60,4),0,
INDEX('RFM input'!$G$61:$Q$110,$A2115,MATCH(D$6,'RFM input'!$G$60:$Q$60,0))
   -INDEX('RFM input'!$G$115:$Q$164,$A2115,MATCH(D$6,'RFM input'!$G$60:$Q$60,0))))</f>
        <v>0</v>
      </c>
      <c r="E2115" s="1417">
        <f>IF(LEFT(E$6,4)&lt;LEFT('RFM input'!$G$60,4),"enter input",IF(LEFT(E$6,4)&gt;LEFT('RFM input'!$Q$60,4),0,
INDEX('RFM input'!$G$61:$Q$110,$A2115,MATCH(E$6,'RFM input'!$G$60:$Q$60,0))
   -INDEX('RFM input'!$G$115:$Q$164,$A2115,MATCH(E$6,'RFM input'!$G$60:$Q$60,0))))</f>
        <v>0</v>
      </c>
      <c r="F2115" s="1417">
        <f>IF(LEFT(F$6,4)&lt;LEFT('RFM input'!$G$60,4),"enter input",IF(LEFT(F$6,4)&gt;LEFT('RFM input'!$Q$60,4),0,
INDEX('RFM input'!$G$61:$Q$110,$A2115,MATCH(F$6,'RFM input'!$G$60:$Q$60,0))
   -INDEX('RFM input'!$G$115:$Q$164,$A2115,MATCH(F$6,'RFM input'!$G$60:$Q$60,0))))</f>
        <v>0</v>
      </c>
      <c r="G2115" s="1417">
        <f>IF(LEFT(G$6,4)&lt;LEFT('RFM input'!$G$60,4),"enter input",IF(LEFT(G$6,4)&gt;LEFT('RFM input'!$Q$60,4),0,
INDEX('RFM input'!$G$61:$Q$110,$A2115,MATCH(G$6,'RFM input'!$G$60:$Q$60,0))
   -INDEX('RFM input'!$G$115:$Q$164,$A2115,MATCH(G$6,'RFM input'!$G$60:$Q$60,0))))</f>
        <v>0</v>
      </c>
      <c r="H2115" s="1417">
        <f>IF(LEFT(H$6,4)&lt;LEFT('RFM input'!$G$60,4),"enter input",IF(LEFT(H$6,4)&gt;LEFT('RFM input'!$Q$60,4),0,
INDEX('RFM input'!$G$61:$Q$110,$A2115,MATCH(H$6,'RFM input'!$G$60:$Q$60,0))
   -INDEX('RFM input'!$G$115:$Q$164,$A2115,MATCH(H$6,'RFM input'!$G$60:$Q$60,0))))</f>
        <v>0</v>
      </c>
      <c r="I2115" s="1417">
        <f>IF(LEFT(I$6,4)&lt;LEFT('RFM input'!$G$60,4),"enter input",IF(LEFT(I$6,4)&gt;LEFT('RFM input'!$Q$60,4),0,
INDEX('RFM input'!$G$61:$Q$110,$A2115,MATCH(I$6,'RFM input'!$G$60:$Q$60,0))
   -INDEX('RFM input'!$G$115:$Q$164,$A2115,MATCH(I$6,'RFM input'!$G$60:$Q$60,0))))</f>
        <v>0</v>
      </c>
      <c r="J2115" s="1417">
        <f>IF(LEFT(J$6,4)&lt;LEFT('RFM input'!$G$60,4),"enter input",IF(LEFT(J$6,4)&gt;LEFT('RFM input'!$Q$60,4),0,
INDEX('RFM input'!$G$61:$Q$110,$A2115,MATCH(J$6,'RFM input'!$G$60:$Q$60,0))
   -INDEX('RFM input'!$G$115:$Q$164,$A2115,MATCH(J$6,'RFM input'!$G$60:$Q$60,0))))</f>
        <v>0</v>
      </c>
      <c r="K2115" s="1417">
        <f>IF(LEFT(K$6,4)&lt;LEFT('RFM input'!$G$60,4),"enter input",IF(LEFT(K$6,4)&gt;LEFT('RFM input'!$Q$60,4),0,
INDEX('RFM input'!$G$61:$Q$110,$A2115,MATCH(K$6,'RFM input'!$G$60:$Q$60,0))
   -INDEX('RFM input'!$G$115:$Q$164,$A2115,MATCH(K$6,'RFM input'!$G$60:$Q$60,0))))</f>
        <v>0</v>
      </c>
      <c r="L2115" s="1417">
        <f>IF(LEFT(L$6,4)&lt;LEFT('RFM input'!$G$60,4),"enter input",IF(LEFT(L$6,4)&gt;LEFT('RFM input'!$Q$60,4),0,
INDEX('RFM input'!$G$61:$Q$110,$A2115,MATCH(L$6,'RFM input'!$G$60:$Q$60,0))
   -INDEX('RFM input'!$G$115:$Q$164,$A2115,MATCH(L$6,'RFM input'!$G$60:$Q$60,0))))</f>
        <v>0</v>
      </c>
      <c r="M2115" s="1417">
        <f>IF(LEFT(M$6,4)&lt;LEFT('RFM input'!$G$60,4),"enter input",IF(LEFT(M$6,4)&gt;LEFT('RFM input'!$Q$60,4),0,
INDEX('RFM input'!$G$61:$Q$110,$A2115,MATCH(M$6,'RFM input'!$G$60:$Q$60,0))
   -INDEX('RFM input'!$G$115:$Q$164,$A2115,MATCH(M$6,'RFM input'!$G$60:$Q$60,0))))</f>
        <v>0</v>
      </c>
      <c r="N2115" s="1417">
        <f>IF(LEFT(N$6,4)&lt;LEFT('RFM input'!$G$60,4),"enter input",IF(LEFT(N$6,4)&gt;LEFT('RFM input'!$Q$60,4),0,
INDEX('RFM input'!$G$61:$Q$110,$A2115,MATCH(N$6,'RFM input'!$G$60:$Q$60,0))
   -INDEX('RFM input'!$G$115:$Q$164,$A2115,MATCH(N$6,'RFM input'!$G$60:$Q$60,0))))</f>
        <v>0</v>
      </c>
      <c r="O2115" s="1417">
        <f>IF(LEFT(O$6,4)&lt;LEFT('RFM input'!$G$60,4),"enter input",IF(LEFT(O$6,4)&gt;LEFT('RFM input'!$Q$60,4),0,
INDEX('RFM input'!$G$61:$Q$110,$A2115,MATCH(O$6,'RFM input'!$G$60:$Q$60,0))
   -INDEX('RFM input'!$G$115:$Q$164,$A2115,MATCH(O$6,'RFM input'!$G$60:$Q$60,0))))</f>
        <v>0</v>
      </c>
      <c r="P2115" s="1417">
        <f>IF(LEFT(P$6,4)&lt;LEFT('RFM input'!$G$60,4),"enter input",IF(LEFT(P$6,4)&gt;LEFT('RFM input'!$Q$60,4),0,
INDEX('RFM input'!$G$61:$Q$110,$A2115,MATCH(P$6,'RFM input'!$G$60:$Q$60,0))
   -INDEX('RFM input'!$G$115:$Q$164,$A2115,MATCH(P$6,'RFM input'!$G$60:$Q$60,0))))</f>
        <v>0</v>
      </c>
      <c r="Q2115" s="1417">
        <f>IF(LEFT(Q$6,4)&lt;LEFT('RFM input'!$G$60,4),"enter input",IF(LEFT(Q$6,4)&gt;LEFT('RFM input'!$Q$60,4),0,
INDEX('RFM input'!$G$61:$Q$110,$A2115,MATCH(Q$6,'RFM input'!$G$60:$Q$60,0))
   -INDEX('RFM input'!$G$115:$Q$164,$A2115,MATCH(Q$6,'RFM input'!$G$60:$Q$60,0))))</f>
        <v>0</v>
      </c>
      <c r="R2115" s="1417">
        <f>IF(LEFT(R$6,4)&lt;LEFT('RFM input'!$G$60,4),"enter input",IF(LEFT(R$6,4)&gt;LEFT('RFM input'!$Q$60,4),0,
INDEX('RFM input'!$G$61:$Q$110,$A2115,MATCH(R$6,'RFM input'!$G$60:$Q$60,0))
   -INDEX('RFM input'!$G$115:$Q$164,$A2115,MATCH(R$6,'RFM input'!$G$60:$Q$60,0))))</f>
        <v>0</v>
      </c>
      <c r="S2115" s="1417">
        <f>IF(LEFT(S$6,4)&lt;LEFT('RFM input'!$G$60,4),"enter input",IF(LEFT(S$6,4)&gt;LEFT('RFM input'!$Q$60,4),0,
INDEX('RFM input'!$G$61:$Q$110,$A2115,MATCH(S$6,'RFM input'!$G$60:$Q$60,0))
   -INDEX('RFM input'!$G$115:$Q$164,$A2115,MATCH(S$6,'RFM input'!$G$60:$Q$60,0))))</f>
        <v>0</v>
      </c>
      <c r="T2115" s="1417">
        <f>IF(LEFT(T$6,4)&lt;LEFT('RFM input'!$G$60,4),"enter input",IF(LEFT(T$6,4)&gt;LEFT('RFM input'!$Q$60,4),0,
INDEX('RFM input'!$G$61:$Q$110,$A2115,MATCH(T$6,'RFM input'!$G$60:$Q$60,0))
   -INDEX('RFM input'!$G$115:$Q$164,$A2115,MATCH(T$6,'RFM input'!$G$60:$Q$60,0))))</f>
        <v>0</v>
      </c>
      <c r="U2115" s="1417">
        <f>IF(LEFT(U$6,4)&lt;LEFT('RFM input'!$G$60,4),"enter input",IF(LEFT(U$6,4)&gt;LEFT('RFM input'!$Q$60,4),0,
INDEX('RFM input'!$G$61:$Q$110,$A2115,MATCH(U$6,'RFM input'!$G$60:$Q$60,0))
   -INDEX('RFM input'!$G$115:$Q$164,$A2115,MATCH(U$6,'RFM input'!$G$60:$Q$60,0))))</f>
        <v>0</v>
      </c>
      <c r="V2115" s="1417">
        <f>IF(LEFT(V$6,4)&lt;LEFT('RFM input'!$G$60,4),"enter input",IF(LEFT(V$6,4)&gt;LEFT('RFM input'!$Q$60,4),0,
INDEX('RFM input'!$G$61:$Q$110,$A2115,MATCH(V$6,'RFM input'!$G$60:$Q$60,0))
   -INDEX('RFM input'!$G$115:$Q$164,$A2115,MATCH(V$6,'RFM input'!$G$60:$Q$60,0))))</f>
        <v>0</v>
      </c>
      <c r="W2115" s="1417">
        <f>IF(LEFT(W$6,4)&lt;LEFT('RFM input'!$G$60,4),"enter input",IF(LEFT(W$6,4)&gt;LEFT('RFM input'!$Q$60,4),0,
INDEX('RFM input'!$G$61:$Q$110,$A2115,MATCH(W$6,'RFM input'!$G$60:$Q$60,0))
   -INDEX('RFM input'!$G$115:$Q$164,$A2115,MATCH(W$6,'RFM input'!$G$60:$Q$60,0))))</f>
        <v>0</v>
      </c>
      <c r="X2115" s="152"/>
      <c r="Y2115" s="152"/>
      <c r="Z2115" s="152"/>
      <c r="AA2115" s="152"/>
      <c r="AB2115" s="152"/>
    </row>
    <row r="2116" spans="1:28">
      <c r="A2116" s="152"/>
      <c r="B2116" s="152" t="s">
        <v>205</v>
      </c>
      <c r="C2116" s="1418">
        <f ca="1">IF($D$6='TAB roll forward'!$H$4,OFFSET('RFM input'!$S$6,$A2115,0),"enter input")</f>
        <v>0</v>
      </c>
      <c r="D2116" s="1417">
        <f>IF(LEFT(D$6,4)&lt;=LEFT('RFM input'!$G$60,4),"enter input",IF(LEFT(D$6,4)&gt;LEFT('RFM input'!$Q$60,4),0,
IF(MATCH(D$6,'RFM input'!$H$60:$Q$60,0),INDEX('RFM input'!$T$7:$T$56,$A2115,1,1))))</f>
        <v>0</v>
      </c>
      <c r="E2116" s="1417">
        <f>IF(LEFT(E$6,4)&lt;=LEFT('RFM input'!$G$60,4),"enter input",IF(LEFT(E$6,4)&gt;LEFT('RFM input'!$Q$60,4),0,
IF(MATCH(E$6,'RFM input'!$H$60:$Q$60,0),INDEX('RFM input'!$T$7:$T$56,$A2115,1,1))))</f>
        <v>0</v>
      </c>
      <c r="F2116" s="1417">
        <f>IF(LEFT(F$6,4)&lt;=LEFT('RFM input'!$G$60,4),"enter input",IF(LEFT(F$6,4)&gt;LEFT('RFM input'!$Q$60,4),0,
IF(MATCH(F$6,'RFM input'!$H$60:$Q$60,0),INDEX('RFM input'!$T$7:$T$56,$A2115,1,1))))</f>
        <v>0</v>
      </c>
      <c r="G2116" s="1417">
        <f>IF(LEFT(G$6,4)&lt;=LEFT('RFM input'!$G$60,4),"enter input",IF(LEFT(G$6,4)&gt;LEFT('RFM input'!$Q$60,4),0,
IF(MATCH(G$6,'RFM input'!$H$60:$Q$60,0),INDEX('RFM input'!$T$7:$T$56,$A2115,1,1))))</f>
        <v>0</v>
      </c>
      <c r="H2116" s="1417">
        <f>IF(LEFT(H$6,4)&lt;=LEFT('RFM input'!$G$60,4),"enter input",IF(LEFT(H$6,4)&gt;LEFT('RFM input'!$Q$60,4),0,
IF(MATCH(H$6,'RFM input'!$H$60:$Q$60,0),INDEX('RFM input'!$T$7:$T$56,$A2115,1,1))))</f>
        <v>0</v>
      </c>
      <c r="I2116" s="1417">
        <f>IF(LEFT(I$6,4)&lt;=LEFT('RFM input'!$G$60,4),"enter input",IF(LEFT(I$6,4)&gt;LEFT('RFM input'!$Q$60,4),0,
IF(MATCH(I$6,'RFM input'!$H$60:$Q$60,0),INDEX('RFM input'!$T$7:$T$56,$A2115,1,1))))</f>
        <v>0</v>
      </c>
      <c r="J2116" s="1417">
        <f>IF(LEFT(J$6,4)&lt;=LEFT('RFM input'!$G$60,4),"enter input",IF(LEFT(J$6,4)&gt;LEFT('RFM input'!$Q$60,4),0,
IF(MATCH(J$6,'RFM input'!$H$60:$Q$60,0),INDEX('RFM input'!$T$7:$T$56,$A2115,1,1))))</f>
        <v>0</v>
      </c>
      <c r="K2116" s="1417">
        <f>IF(LEFT(K$6,4)&lt;=LEFT('RFM input'!$G$60,4),"enter input",IF(LEFT(K$6,4)&gt;LEFT('RFM input'!$Q$60,4),0,
IF(MATCH(K$6,'RFM input'!$H$60:$Q$60,0),INDEX('RFM input'!$T$7:$T$56,$A2115,1,1))))</f>
        <v>0</v>
      </c>
      <c r="L2116" s="1417">
        <f>IF(LEFT(L$6,4)&lt;=LEFT('RFM input'!$G$60,4),"enter input",IF(LEFT(L$6,4)&gt;LEFT('RFM input'!$Q$60,4),0,
IF(MATCH(L$6,'RFM input'!$H$60:$Q$60,0),INDEX('RFM input'!$T$7:$T$56,$A2115,1,1))))</f>
        <v>0</v>
      </c>
      <c r="M2116" s="1417">
        <f>IF(LEFT(M$6,4)&lt;=LEFT('RFM input'!$G$60,4),"enter input",IF(LEFT(M$6,4)&gt;LEFT('RFM input'!$Q$60,4),0,
IF(MATCH(M$6,'RFM input'!$H$60:$Q$60,0),INDEX('RFM input'!$T$7:$T$56,$A2115,1,1))))</f>
        <v>0</v>
      </c>
      <c r="N2116" s="1417">
        <f>IF(LEFT(N$6,4)&lt;=LEFT('RFM input'!$G$60,4),"enter input",IF(LEFT(N$6,4)&gt;LEFT('RFM input'!$Q$60,4),0,
IF(MATCH(N$6,'RFM input'!$H$60:$Q$60,0),INDEX('RFM input'!$T$7:$T$56,$A2115,1,1))))</f>
        <v>0</v>
      </c>
      <c r="O2116" s="1417">
        <f>IF(LEFT(O$6,4)&lt;=LEFT('RFM input'!$G$60,4),"enter input",IF(LEFT(O$6,4)&gt;LEFT('RFM input'!$Q$60,4),0,
IF(MATCH(O$6,'RFM input'!$H$60:$Q$60,0),INDEX('RFM input'!$T$7:$T$56,$A2115,1,1))))</f>
        <v>0</v>
      </c>
      <c r="P2116" s="1417">
        <f>IF(LEFT(P$6,4)&lt;=LEFT('RFM input'!$G$60,4),"enter input",IF(LEFT(P$6,4)&gt;LEFT('RFM input'!$Q$60,4),0,
IF(MATCH(P$6,'RFM input'!$H$60:$Q$60,0),INDEX('RFM input'!$T$7:$T$56,$A2115,1,1))))</f>
        <v>0</v>
      </c>
      <c r="Q2116" s="1417">
        <f>IF(LEFT(Q$6,4)&lt;=LEFT('RFM input'!$G$60,4),"enter input",IF(LEFT(Q$6,4)&gt;LEFT('RFM input'!$Q$60,4),0,
IF(MATCH(Q$6,'RFM input'!$H$60:$Q$60,0),INDEX('RFM input'!$T$7:$T$56,$A2115,1,1))))</f>
        <v>0</v>
      </c>
      <c r="R2116" s="1417">
        <f>IF(LEFT(R$6,4)&lt;=LEFT('RFM input'!$G$60,4),"enter input",IF(LEFT(R$6,4)&gt;LEFT('RFM input'!$Q$60,4),0,
IF(MATCH(R$6,'RFM input'!$H$60:$Q$60,0),INDEX('RFM input'!$T$7:$T$56,$A2115,1,1))))</f>
        <v>0</v>
      </c>
      <c r="S2116" s="1417">
        <f>IF(LEFT(S$6,4)&lt;=LEFT('RFM input'!$G$60,4),"enter input",IF(LEFT(S$6,4)&gt;LEFT('RFM input'!$Q$60,4),0,
IF(MATCH(S$6,'RFM input'!$H$60:$Q$60,0),INDEX('RFM input'!$T$7:$T$56,$A2115,1,1))))</f>
        <v>0</v>
      </c>
      <c r="T2116" s="1417">
        <f>IF(LEFT(T$6,4)&lt;=LEFT('RFM input'!$G$60,4),"enter input",IF(LEFT(T$6,4)&gt;LEFT('RFM input'!$Q$60,4),0,
IF(MATCH(T$6,'RFM input'!$H$60:$Q$60,0),INDEX('RFM input'!$T$7:$T$56,$A2115,1,1))))</f>
        <v>0</v>
      </c>
      <c r="U2116" s="1417">
        <f>IF(LEFT(U$6,4)&lt;=LEFT('RFM input'!$G$60,4),"enter input",IF(LEFT(U$6,4)&gt;LEFT('RFM input'!$Q$60,4),0,
IF(MATCH(U$6,'RFM input'!$H$60:$Q$60,0),INDEX('RFM input'!$T$7:$T$56,$A2115,1,1))))</f>
        <v>0</v>
      </c>
      <c r="V2116" s="1417">
        <f>IF(LEFT(V$6,4)&lt;=LEFT('RFM input'!$G$60,4),"enter input",IF(LEFT(V$6,4)&gt;LEFT('RFM input'!$Q$60,4),0,
IF(MATCH(V$6,'RFM input'!$H$60:$Q$60,0),INDEX('RFM input'!$T$7:$T$56,$A2115,1,1))))</f>
        <v>0</v>
      </c>
      <c r="W2116" s="1417">
        <f>IF(LEFT(W$6,4)&lt;=LEFT('RFM input'!$G$60,4),"enter input",IF(LEFT(W$6,4)&gt;LEFT('RFM input'!$Q$60,4),0,
IF(MATCH(W$6,'RFM input'!$H$60:$Q$60,0),INDEX('RFM input'!$T$7:$T$56,$A2115,1,1))))</f>
        <v>0</v>
      </c>
      <c r="X2116" s="152"/>
      <c r="Y2116" s="152"/>
      <c r="Z2116" s="152"/>
      <c r="AA2116" s="152"/>
      <c r="AB2116" s="152"/>
    </row>
    <row r="2117" spans="1:28">
      <c r="A2117" s="152"/>
      <c r="B2117" s="193" t="s">
        <v>192</v>
      </c>
      <c r="C2117" s="1419"/>
      <c r="D2117" s="1420">
        <f ca="1">IF(LEFT(D$6,4)&lt;=LEFT('RFM input'!$G$60,4),"enter input",IF(LEFT(D$6,4)&gt;LEFT('RFM input'!$Q$60,4),0,
IF(D$6=(OFFSET('RFM input'!$G$60,0,'RFM input'!$V$7)),OFFSET('RFM input'!$H$411,$A2115,0),0)))</f>
        <v>0</v>
      </c>
      <c r="E2117" s="1417">
        <f ca="1">IF(LEFT(E$6,4)&lt;=LEFT('RFM input'!$G$60,4),"enter input",IF(LEFT(E$6,4)&gt;LEFT('RFM input'!$Q$60,4),0,
IF(E$6=(OFFSET('RFM input'!$G$60,0,'RFM input'!$V$7)),OFFSET('RFM input'!$H$411,$A2115,0),0)))</f>
        <v>0</v>
      </c>
      <c r="F2117" s="1417">
        <f ca="1">IF(LEFT(F$6,4)&lt;=LEFT('RFM input'!$G$60,4),"enter input",IF(LEFT(F$6,4)&gt;LEFT('RFM input'!$Q$60,4),0,
IF(F$6=(OFFSET('RFM input'!$G$60,0,'RFM input'!$V$7)),OFFSET('RFM input'!$H$411,$A2115,0),0)))</f>
        <v>0</v>
      </c>
      <c r="G2117" s="1417">
        <f ca="1">IF(LEFT(G$6,4)&lt;=LEFT('RFM input'!$G$60,4),"enter input",IF(LEFT(G$6,4)&gt;LEFT('RFM input'!$Q$60,4),0,
IF(G$6=(OFFSET('RFM input'!$G$60,0,'RFM input'!$V$7)),OFFSET('RFM input'!$H$411,$A2115,0),0)))</f>
        <v>0</v>
      </c>
      <c r="H2117" s="1417">
        <f ca="1">IF(LEFT(H$6,4)&lt;=LEFT('RFM input'!$G$60,4),"enter input",IF(LEFT(H$6,4)&gt;LEFT('RFM input'!$Q$60,4),0,
IF(H$6=(OFFSET('RFM input'!$G$60,0,'RFM input'!$V$7)),OFFSET('RFM input'!$H$411,$A2115,0),0)))</f>
        <v>0</v>
      </c>
      <c r="I2117" s="1417">
        <f ca="1">IF(LEFT(I$6,4)&lt;=LEFT('RFM input'!$G$60,4),"enter input",IF(LEFT(I$6,4)&gt;LEFT('RFM input'!$Q$60,4),0,
IF(I$6=(OFFSET('RFM input'!$G$60,0,'RFM input'!$V$7)),OFFSET('RFM input'!$H$411,$A2115,0),0)))</f>
        <v>0</v>
      </c>
      <c r="J2117" s="1417">
        <f ca="1">IF(LEFT(J$6,4)&lt;=LEFT('RFM input'!$G$60,4),"enter input",IF(LEFT(J$6,4)&gt;LEFT('RFM input'!$Q$60,4),0,
IF(J$6=(OFFSET('RFM input'!$G$60,0,'RFM input'!$V$7)),OFFSET('RFM input'!$H$411,$A2115,0),0)))</f>
        <v>0</v>
      </c>
      <c r="K2117" s="1417">
        <f ca="1">IF(LEFT(K$6,4)&lt;=LEFT('RFM input'!$G$60,4),"enter input",IF(LEFT(K$6,4)&gt;LEFT('RFM input'!$Q$60,4),0,
IF(K$6=(OFFSET('RFM input'!$G$60,0,'RFM input'!$V$7)),OFFSET('RFM input'!$H$411,$A2115,0),0)))</f>
        <v>0</v>
      </c>
      <c r="L2117" s="1417">
        <f ca="1">IF(LEFT(L$6,4)&lt;=LEFT('RFM input'!$G$60,4),"enter input",IF(LEFT(L$6,4)&gt;LEFT('RFM input'!$Q$60,4),0,
IF(L$6=(OFFSET('RFM input'!$G$60,0,'RFM input'!$V$7)),OFFSET('RFM input'!$H$411,$A2115,0),0)))</f>
        <v>0</v>
      </c>
      <c r="M2117" s="1417">
        <f ca="1">IF(LEFT(M$6,4)&lt;=LEFT('RFM input'!$G$60,4),"enter input",IF(LEFT(M$6,4)&gt;LEFT('RFM input'!$Q$60,4),0,
IF(M$6=(OFFSET('RFM input'!$G$60,0,'RFM input'!$V$7)),OFFSET('RFM input'!$H$411,$A2115,0),0)))</f>
        <v>0</v>
      </c>
      <c r="N2117" s="1417">
        <f ca="1">IF(LEFT(N$6,4)&lt;=LEFT('RFM input'!$G$60,4),"enter input",IF(LEFT(N$6,4)&gt;LEFT('RFM input'!$Q$60,4),0,
IF(N$6=(OFFSET('RFM input'!$G$60,0,'RFM input'!$V$7)),OFFSET('RFM input'!$H$411,$A2115,0),0)))</f>
        <v>0</v>
      </c>
      <c r="O2117" s="1417">
        <f ca="1">IF(LEFT(O$6,4)&lt;=LEFT('RFM input'!$G$60,4),"enter input",IF(LEFT(O$6,4)&gt;LEFT('RFM input'!$Q$60,4),0,
IF(O$6=(OFFSET('RFM input'!$G$60,0,'RFM input'!$V$7)),OFFSET('RFM input'!$H$411,$A2115,0),0)))</f>
        <v>0</v>
      </c>
      <c r="P2117" s="1417">
        <f ca="1">IF(LEFT(P$6,4)&lt;=LEFT('RFM input'!$G$60,4),"enter input",IF(LEFT(P$6,4)&gt;LEFT('RFM input'!$Q$60,4),0,
IF(P$6=(OFFSET('RFM input'!$G$60,0,'RFM input'!$V$7)),OFFSET('RFM input'!$H$411,$A2115,0),0)))</f>
        <v>0</v>
      </c>
      <c r="Q2117" s="1417">
        <f ca="1">IF(LEFT(Q$6,4)&lt;=LEFT('RFM input'!$G$60,4),"enter input",IF(LEFT(Q$6,4)&gt;LEFT('RFM input'!$Q$60,4),0,
IF(Q$6=(OFFSET('RFM input'!$G$60,0,'RFM input'!$V$7)),OFFSET('RFM input'!$H$411,$A2115,0),0)))</f>
        <v>0</v>
      </c>
      <c r="R2117" s="1417">
        <f ca="1">IF(LEFT(R$6,4)&lt;=LEFT('RFM input'!$G$60,4),"enter input",IF(LEFT(R$6,4)&gt;LEFT('RFM input'!$Q$60,4),0,
IF(R$6=(OFFSET('RFM input'!$G$60,0,'RFM input'!$V$7)),OFFSET('RFM input'!$H$411,$A2115,0),0)))</f>
        <v>0</v>
      </c>
      <c r="S2117" s="1417">
        <f ca="1">IF(LEFT(S$6,4)&lt;=LEFT('RFM input'!$G$60,4),"enter input",IF(LEFT(S$6,4)&gt;LEFT('RFM input'!$Q$60,4),0,
IF(S$6=(OFFSET('RFM input'!$G$60,0,'RFM input'!$V$7)),OFFSET('RFM input'!$H$411,$A2115,0),0)))</f>
        <v>0</v>
      </c>
      <c r="T2117" s="1417">
        <f ca="1">IF(LEFT(T$6,4)&lt;=LEFT('RFM input'!$G$60,4),"enter input",IF(LEFT(T$6,4)&gt;LEFT('RFM input'!$Q$60,4),0,
IF(T$6=(OFFSET('RFM input'!$G$60,0,'RFM input'!$V$7)),OFFSET('RFM input'!$H$411,$A2115,0),0)))</f>
        <v>0</v>
      </c>
      <c r="U2117" s="1417">
        <f ca="1">IF(LEFT(U$6,4)&lt;=LEFT('RFM input'!$G$60,4),"enter input",IF(LEFT(U$6,4)&gt;LEFT('RFM input'!$Q$60,4),0,
IF(U$6=(OFFSET('RFM input'!$G$60,0,'RFM input'!$V$7)),OFFSET('RFM input'!$H$411,$A2115,0),0)))</f>
        <v>0</v>
      </c>
      <c r="V2117" s="1417">
        <f ca="1">IF(LEFT(V$6,4)&lt;=LEFT('RFM input'!$G$60,4),"enter input",IF(LEFT(V$6,4)&gt;LEFT('RFM input'!$Q$60,4),0,
IF(V$6=(OFFSET('RFM input'!$G$60,0,'RFM input'!$V$7)),OFFSET('RFM input'!$H$411,$A2115,0),0)))</f>
        <v>0</v>
      </c>
      <c r="W2117" s="1417">
        <f ca="1">IF(LEFT(W$6,4)&lt;=LEFT('RFM input'!$G$60,4),"enter input",IF(LEFT(W$6,4)&gt;LEFT('RFM input'!$Q$60,4),0,
IF(W$6=(OFFSET('RFM input'!$G$60,0,'RFM input'!$V$7)),OFFSET('RFM input'!$H$411,$A2115,0),0)))</f>
        <v>0</v>
      </c>
      <c r="X2117" s="152"/>
      <c r="Y2117" s="152"/>
      <c r="Z2117" s="152"/>
      <c r="AA2117" s="152"/>
      <c r="AB2117" s="152"/>
    </row>
    <row r="2118" spans="1:28">
      <c r="A2118" s="152"/>
      <c r="B2118" s="193" t="s">
        <v>200</v>
      </c>
      <c r="C2118" s="1419"/>
      <c r="D2118" s="1418">
        <f ca="1">IF(LEFT(D$6,4)&lt;=LEFT('RFM input'!$G$60,4),"enter input",IF(LEFT(D$6,4)&gt;LEFT('RFM input'!$Q$60,4),0,
IF(D$6=(OFFSET('RFM input'!$G$60,0,'RFM input'!$V$7)),OFFSET('RFM input'!$J$411,$A2115,0),0)))</f>
        <v>0</v>
      </c>
      <c r="E2118" s="1422">
        <f ca="1">IF(LEFT(E$6,4)&lt;=LEFT('RFM input'!$G$60,4),"enter input",IF(LEFT(E$6,4)&gt;LEFT('RFM input'!$Q$60,4),0,
IF(E$6=(OFFSET('RFM input'!$G$60,0,'RFM input'!$V$7)),OFFSET('RFM input'!$J$411,$A2115,0),0)))</f>
        <v>0</v>
      </c>
      <c r="F2118" s="1422">
        <f ca="1">IF(LEFT(F$6,4)&lt;=LEFT('RFM input'!$G$60,4),"enter input",IF(LEFT(F$6,4)&gt;LEFT('RFM input'!$Q$60,4),0,
IF(F$6=(OFFSET('RFM input'!$G$60,0,'RFM input'!$V$7)),OFFSET('RFM input'!$J$411,$A2115,0),0)))</f>
        <v>0</v>
      </c>
      <c r="G2118" s="1422">
        <f ca="1">IF(LEFT(G$6,4)&lt;=LEFT('RFM input'!$G$60,4),"enter input",IF(LEFT(G$6,4)&gt;LEFT('RFM input'!$Q$60,4),0,
IF(G$6=(OFFSET('RFM input'!$G$60,0,'RFM input'!$V$7)),OFFSET('RFM input'!$J$411,$A2115,0),0)))</f>
        <v>0</v>
      </c>
      <c r="H2118" s="1422">
        <f ca="1">IF(LEFT(H$6,4)&lt;=LEFT('RFM input'!$G$60,4),"enter input",IF(LEFT(H$6,4)&gt;LEFT('RFM input'!$Q$60,4),0,
IF(H$6=(OFFSET('RFM input'!$G$60,0,'RFM input'!$V$7)),OFFSET('RFM input'!$J$411,$A2115,0),0)))</f>
        <v>0</v>
      </c>
      <c r="I2118" s="1422">
        <f ca="1">IF(LEFT(I$6,4)&lt;=LEFT('RFM input'!$G$60,4),"enter input",IF(LEFT(I$6,4)&gt;LEFT('RFM input'!$Q$60,4),0,
IF(I$6=(OFFSET('RFM input'!$G$60,0,'RFM input'!$V$7)),OFFSET('RFM input'!$J$411,$A2115,0),0)))</f>
        <v>0</v>
      </c>
      <c r="J2118" s="1422">
        <f ca="1">IF(LEFT(J$6,4)&lt;=LEFT('RFM input'!$G$60,4),"enter input",IF(LEFT(J$6,4)&gt;LEFT('RFM input'!$Q$60,4),0,
IF(J$6=(OFFSET('RFM input'!$G$60,0,'RFM input'!$V$7)),OFFSET('RFM input'!$J$411,$A2115,0),0)))</f>
        <v>0</v>
      </c>
      <c r="K2118" s="1422">
        <f ca="1">IF(LEFT(K$6,4)&lt;=LEFT('RFM input'!$G$60,4),"enter input",IF(LEFT(K$6,4)&gt;LEFT('RFM input'!$Q$60,4),0,
IF(K$6=(OFFSET('RFM input'!$G$60,0,'RFM input'!$V$7)),OFFSET('RFM input'!$J$411,$A2115,0),0)))</f>
        <v>0</v>
      </c>
      <c r="L2118" s="1422">
        <f ca="1">IF(LEFT(L$6,4)&lt;=LEFT('RFM input'!$G$60,4),"enter input",IF(LEFT(L$6,4)&gt;LEFT('RFM input'!$Q$60,4),0,
IF(L$6=(OFFSET('RFM input'!$G$60,0,'RFM input'!$V$7)),OFFSET('RFM input'!$J$411,$A2115,0),0)))</f>
        <v>0</v>
      </c>
      <c r="M2118" s="1422">
        <f ca="1">IF(LEFT(M$6,4)&lt;=LEFT('RFM input'!$G$60,4),"enter input",IF(LEFT(M$6,4)&gt;LEFT('RFM input'!$Q$60,4),0,
IF(M$6=(OFFSET('RFM input'!$G$60,0,'RFM input'!$V$7)),OFFSET('RFM input'!$J$411,$A2115,0),0)))</f>
        <v>0</v>
      </c>
      <c r="N2118" s="1422">
        <f ca="1">IF(LEFT(N$6,4)&lt;=LEFT('RFM input'!$G$60,4),"enter input",IF(LEFT(N$6,4)&gt;LEFT('RFM input'!$Q$60,4),0,
IF(N$6=(OFFSET('RFM input'!$G$60,0,'RFM input'!$V$7)),OFFSET('RFM input'!$J$411,$A2115,0),0)))</f>
        <v>0</v>
      </c>
      <c r="O2118" s="1422">
        <f ca="1">IF(LEFT(O$6,4)&lt;=LEFT('RFM input'!$G$60,4),"enter input",IF(LEFT(O$6,4)&gt;LEFT('RFM input'!$Q$60,4),0,
IF(O$6=(OFFSET('RFM input'!$G$60,0,'RFM input'!$V$7)),OFFSET('RFM input'!$J$411,$A2115,0),0)))</f>
        <v>0</v>
      </c>
      <c r="P2118" s="1422">
        <f ca="1">IF(LEFT(P$6,4)&lt;=LEFT('RFM input'!$G$60,4),"enter input",IF(LEFT(P$6,4)&gt;LEFT('RFM input'!$Q$60,4),0,
IF(P$6=(OFFSET('RFM input'!$G$60,0,'RFM input'!$V$7)),OFFSET('RFM input'!$J$411,$A2115,0),0)))</f>
        <v>0</v>
      </c>
      <c r="Q2118" s="1422">
        <f ca="1">IF(LEFT(Q$6,4)&lt;=LEFT('RFM input'!$G$60,4),"enter input",IF(LEFT(Q$6,4)&gt;LEFT('RFM input'!$Q$60,4),0,
IF(Q$6=(OFFSET('RFM input'!$G$60,0,'RFM input'!$V$7)),OFFSET('RFM input'!$J$411,$A2115,0),0)))</f>
        <v>0</v>
      </c>
      <c r="R2118" s="1422">
        <f ca="1">IF(LEFT(R$6,4)&lt;=LEFT('RFM input'!$G$60,4),"enter input",IF(LEFT(R$6,4)&gt;LEFT('RFM input'!$Q$60,4),0,
IF(R$6=(OFFSET('RFM input'!$G$60,0,'RFM input'!$V$7)),OFFSET('RFM input'!$J$411,$A2115,0),0)))</f>
        <v>0</v>
      </c>
      <c r="S2118" s="1422">
        <f ca="1">IF(LEFT(S$6,4)&lt;=LEFT('RFM input'!$G$60,4),"enter input",IF(LEFT(S$6,4)&gt;LEFT('RFM input'!$Q$60,4),0,
IF(S$6=(OFFSET('RFM input'!$G$60,0,'RFM input'!$V$7)),OFFSET('RFM input'!$J$411,$A2115,0),0)))</f>
        <v>0</v>
      </c>
      <c r="T2118" s="1422">
        <f ca="1">IF(LEFT(T$6,4)&lt;=LEFT('RFM input'!$G$60,4),"enter input",IF(LEFT(T$6,4)&gt;LEFT('RFM input'!$Q$60,4),0,
IF(T$6=(OFFSET('RFM input'!$G$60,0,'RFM input'!$V$7)),OFFSET('RFM input'!$J$411,$A2115,0),0)))</f>
        <v>0</v>
      </c>
      <c r="U2118" s="1422">
        <f ca="1">IF(LEFT(U$6,4)&lt;=LEFT('RFM input'!$G$60,4),"enter input",IF(LEFT(U$6,4)&gt;LEFT('RFM input'!$Q$60,4),0,
IF(U$6=(OFFSET('RFM input'!$G$60,0,'RFM input'!$V$7)),OFFSET('RFM input'!$J$411,$A2115,0),0)))</f>
        <v>0</v>
      </c>
      <c r="V2118" s="1422">
        <f ca="1">IF(LEFT(V$6,4)&lt;=LEFT('RFM input'!$G$60,4),"enter input",IF(LEFT(V$6,4)&gt;LEFT('RFM input'!$Q$60,4),0,
IF(V$6=(OFFSET('RFM input'!$G$60,0,'RFM input'!$V$7)),OFFSET('RFM input'!$J$411,$A2115,0),0)))</f>
        <v>0</v>
      </c>
      <c r="W2118" s="1422">
        <f ca="1">IF(LEFT(W$6,4)&lt;=LEFT('RFM input'!$G$60,4),"enter input",IF(LEFT(W$6,4)&gt;LEFT('RFM input'!$Q$60,4),0,
IF(W$6=(OFFSET('RFM input'!$G$60,0,'RFM input'!$V$7)),OFFSET('RFM input'!$J$411,$A2115,0),0)))</f>
        <v>0</v>
      </c>
      <c r="X2118" s="152"/>
      <c r="Y2118" s="152"/>
      <c r="Z2118" s="152"/>
      <c r="AA2118" s="152"/>
      <c r="AB2118" s="152"/>
    </row>
    <row r="2119" spans="1:28" hidden="1" outlineLevel="1">
      <c r="A2119" s="235">
        <v>-1</v>
      </c>
      <c r="B2119" s="190" t="s">
        <v>195</v>
      </c>
      <c r="C2119" s="1423"/>
      <c r="D2119" s="1423">
        <f t="shared" ref="D2119" ca="1" si="3072">IF(AND(D2117=0,C2119=0),0,
IF(AND(D2117&lt;&gt;0,C2119=0),D2117,
IF(AND(D2118&lt;&gt;0,C2119&lt;&gt;0),(C2119-(C2119/C2143))+D2117,
IF(C2143&lt;1,0,(C2119-(C2119/C2143))))))</f>
        <v>0</v>
      </c>
      <c r="E2119" s="1423">
        <f t="shared" ref="E2119" ca="1" si="3073">IF(AND(E2117=0,D2119=0),0,
IF(AND(E2117&lt;&gt;0,D2119=0),E2117,
IF(AND(E2118&lt;&gt;0,D2119&lt;&gt;0),(D2119-(D2119/D2143))+E2117,
IF(D2143&lt;1,0,(D2119-(D2119/D2143))))))</f>
        <v>0</v>
      </c>
      <c r="F2119" s="1423">
        <f t="shared" ref="F2119" ca="1" si="3074">IF(AND(F2117=0,E2119=0),0,
IF(AND(F2117&lt;&gt;0,E2119=0),F2117,
IF(AND(F2118&lt;&gt;0,E2119&lt;&gt;0),(E2119-(E2119/E2143))+F2117,
IF(E2143&lt;1,0,(E2119-(E2119/E2143))))))</f>
        <v>0</v>
      </c>
      <c r="G2119" s="1423">
        <f t="shared" ref="G2119" ca="1" si="3075">IF(AND(G2117=0,F2119=0),0,
IF(AND(G2117&lt;&gt;0,F2119=0),G2117,
IF(AND(G2118&lt;&gt;0,F2119&lt;&gt;0),(F2119-(F2119/F2143))+G2117,
IF(F2143&lt;1,0,(F2119-(F2119/F2143))))))</f>
        <v>0</v>
      </c>
      <c r="H2119" s="1423">
        <f ca="1">IF(AND(H2117=0,G2119=0),0,
IF(AND(H2117&lt;&gt;0,G2119=0),H2117,
IF(AND(H2118&lt;&gt;0,G2119&lt;&gt;0),(G2119-(G2119/G2143))+H2117,
IF(G2143&lt;1,0,(G2119-(G2119/G2143))))))</f>
        <v>0</v>
      </c>
      <c r="I2119" s="1423">
        <f t="shared" ref="I2119" ca="1" si="3076">IF(AND(I2117=0,H2119=0),0,
IF(AND(I2117&lt;&gt;0,H2119=0),I2117,
IF(AND(I2118&lt;&gt;0,H2119&lt;&gt;0),(H2119-(H2119/H2143))+I2117,
IF(H2143&lt;1,0,(H2119-(H2119/H2143))))))</f>
        <v>0</v>
      </c>
      <c r="J2119" s="1423">
        <f t="shared" ref="J2119" ca="1" si="3077">IF(AND(J2117=0,I2119=0),0,
IF(AND(J2117&lt;&gt;0,I2119=0),J2117,
IF(AND(J2118&lt;&gt;0,I2119&lt;&gt;0),(I2119-(I2119/I2143))+J2117,
IF(I2143&lt;1,0,(I2119-(I2119/I2143))))))</f>
        <v>0</v>
      </c>
      <c r="K2119" s="1423">
        <f t="shared" ref="K2119" ca="1" si="3078">IF(AND(K2117=0,J2119=0),0,
IF(AND(K2117&lt;&gt;0,J2119=0),K2117,
IF(AND(K2118&lt;&gt;0,J2119&lt;&gt;0),(J2119-(J2119/J2143))+K2117,
IF(J2143&lt;1,0,(J2119-(J2119/J2143))))))</f>
        <v>0</v>
      </c>
      <c r="L2119" s="1423">
        <f t="shared" ref="L2119" ca="1" si="3079">IF(AND(L2117=0,K2119=0),0,
IF(AND(L2117&lt;&gt;0,K2119=0),L2117,
IF(AND(L2118&lt;&gt;0,K2119&lt;&gt;0),(K2119-(K2119/K2143))+L2117,
IF(K2143&lt;1,0,(K2119-(K2119/K2143))))))</f>
        <v>0</v>
      </c>
      <c r="M2119" s="1423">
        <f t="shared" ref="M2119" ca="1" si="3080">IF(AND(M2117=0,L2119=0),0,
IF(AND(M2117&lt;&gt;0,L2119=0),M2117,
IF(AND(M2118&lt;&gt;0,L2119&lt;&gt;0),(L2119-(L2119/L2143))+M2117,
IF(L2143&lt;1,0,(L2119-(L2119/L2143))))))</f>
        <v>0</v>
      </c>
      <c r="N2119" s="1423">
        <f t="shared" ref="N2119" ca="1" si="3081">IF(AND(N2117=0,M2119=0),0,
IF(AND(N2117&lt;&gt;0,M2119=0),N2117,
IF(AND(N2118&lt;&gt;0,M2119&lt;&gt;0),(M2119-(M2119/M2143))+N2117,
IF(M2143&lt;1,0,(M2119-(M2119/M2143))))))</f>
        <v>0</v>
      </c>
      <c r="O2119" s="1423">
        <f t="shared" ref="O2119" ca="1" si="3082">IF(AND(O2117=0,N2119=0),0,
IF(AND(O2117&lt;&gt;0,N2119=0),O2117,
IF(AND(O2118&lt;&gt;0,N2119&lt;&gt;0),(N2119-(N2119/N2143))+O2117,
IF(N2143&lt;1,0,(N2119-(N2119/N2143))))))</f>
        <v>0</v>
      </c>
      <c r="P2119" s="1423">
        <f t="shared" ref="P2119" ca="1" si="3083">IF(AND(P2117=0,O2119=0),0,
IF(AND(P2117&lt;&gt;0,O2119=0),P2117,
IF(AND(P2118&lt;&gt;0,O2119&lt;&gt;0),(O2119-(O2119/O2143))+P2117,
IF(O2143&lt;1,0,(O2119-(O2119/O2143))))))</f>
        <v>0</v>
      </c>
      <c r="Q2119" s="1423">
        <f t="shared" ref="Q2119" ca="1" si="3084">IF(AND(Q2117=0,P2119=0),0,
IF(AND(Q2117&lt;&gt;0,P2119=0),Q2117,
IF(AND(Q2118&lt;&gt;0,P2119&lt;&gt;0),(P2119-(P2119/P2143))+Q2117,
IF(P2143&lt;1,0,(P2119-(P2119/P2143))))))</f>
        <v>0</v>
      </c>
      <c r="R2119" s="1423">
        <f t="shared" ref="R2119" ca="1" si="3085">IF(AND(R2117=0,Q2119=0),0,
IF(AND(R2117&lt;&gt;0,Q2119=0),R2117,
IF(AND(R2118&lt;&gt;0,Q2119&lt;&gt;0),(Q2119-(Q2119/Q2143))+R2117,
IF(Q2143&lt;1,0,(Q2119-(Q2119/Q2143))))))</f>
        <v>0</v>
      </c>
      <c r="S2119" s="1423">
        <f t="shared" ref="S2119" ca="1" si="3086">IF(AND(S2117=0,R2119=0),0,
IF(AND(S2117&lt;&gt;0,R2119=0),S2117,
IF(AND(S2118&lt;&gt;0,R2119&lt;&gt;0),(R2119-(R2119/R2143))+S2117,
IF(R2143&lt;1,0,(R2119-(R2119/R2143))))))</f>
        <v>0</v>
      </c>
      <c r="T2119" s="1423">
        <f t="shared" ref="T2119" ca="1" si="3087">IF(AND(T2117=0,S2119=0),0,
IF(AND(T2117&lt;&gt;0,S2119=0),T2117,
IF(AND(T2118&lt;&gt;0,S2119&lt;&gt;0),(S2119-(S2119/S2143))+T2117,
IF(S2143&lt;1,0,(S2119-(S2119/S2143))))))</f>
        <v>0</v>
      </c>
      <c r="U2119" s="1423">
        <f t="shared" ref="U2119" ca="1" si="3088">IF(AND(U2117=0,T2119=0),0,
IF(AND(U2117&lt;&gt;0,T2119=0),U2117,
IF(AND(U2118&lt;&gt;0,T2119&lt;&gt;0),(T2119-(T2119/T2143))+U2117,
IF(T2143&lt;1,0,(T2119-(T2119/T2143))))))</f>
        <v>0</v>
      </c>
      <c r="V2119" s="1423">
        <f t="shared" ref="V2119" ca="1" si="3089">IF(AND(V2117=0,U2119=0),0,
IF(AND(V2117&lt;&gt;0,U2119=0),V2117,
IF(AND(V2118&lt;&gt;0,U2119&lt;&gt;0),(U2119-(U2119/U2143))+V2117,
IF(U2143&lt;1,0,(U2119-(U2119/U2143))))))</f>
        <v>0</v>
      </c>
      <c r="W2119" s="1423">
        <f t="shared" ref="W2119" ca="1" si="3090">IF(AND(W2117=0,V2119=0),0,
IF(AND(W2117&lt;&gt;0,V2119=0),W2117,
IF(AND(W2118&lt;&gt;0,V2119&lt;&gt;0),(V2119-(V2119/V2143))+W2117,
IF(V2143&lt;1,0,(V2119-(V2119/V2143))))))</f>
        <v>0</v>
      </c>
      <c r="X2119" s="152"/>
      <c r="Y2119" s="152"/>
      <c r="Z2119" s="152"/>
      <c r="AA2119" s="152"/>
      <c r="AB2119" s="152"/>
    </row>
    <row r="2120" spans="1:28" hidden="1" outlineLevel="1">
      <c r="A2120" s="199">
        <f>A2119+1</f>
        <v>0</v>
      </c>
      <c r="B2120" s="190" t="s">
        <v>527</v>
      </c>
      <c r="C2120" s="1423">
        <f ca="1">C2115</f>
        <v>0</v>
      </c>
      <c r="D2120" s="1423">
        <f ca="1">IF(C2144="n/a",C2120,IFERROR(IF((OFFSET($C2120,0,$A2120))&lt;0,
MIN(0,C2120-(OFFSET($C2120,0,$A2120)/(OFFSET($C2115,-$A2119,$A2120)))),
MAX(0,C2120-(OFFSET($C2120,0,$A2120)/(OFFSET($C2115,-$A2119,$A2120))))),0))</f>
        <v>0</v>
      </c>
      <c r="E2120" s="1423">
        <f t="shared" ref="E2120" ca="1" si="3091">IF(D2144="n/a",D2120,IFERROR(IF((OFFSET($C2120,0,$A2120))&lt;0,
MIN(0,D2120-(OFFSET($C2120,0,$A2120)/(OFFSET($C2115,-$A2119,$A2120)))),
MAX(0,D2120-(OFFSET($C2120,0,$A2120)/(OFFSET($C2115,-$A2119,$A2120))))),0))</f>
        <v>0</v>
      </c>
      <c r="F2120" s="1423">
        <f t="shared" ref="F2120:F2121" ca="1" si="3092">IF(E2144="n/a",E2120,IFERROR(IF((OFFSET($C2120,0,$A2120))&lt;0,
MIN(0,E2120-(OFFSET($C2120,0,$A2120)/(OFFSET($C2115,-$A2119,$A2120)))),
MAX(0,E2120-(OFFSET($C2120,0,$A2120)/(OFFSET($C2115,-$A2119,$A2120))))),0))</f>
        <v>0</v>
      </c>
      <c r="G2120" s="1423">
        <f t="shared" ref="G2120:G2122" ca="1" si="3093">IF(F2144="n/a",F2120,IFERROR(IF((OFFSET($C2120,0,$A2120))&lt;0,
MIN(0,F2120-(OFFSET($C2120,0,$A2120)/(OFFSET($C2115,-$A2119,$A2120)))),
MAX(0,F2120-(OFFSET($C2120,0,$A2120)/(OFFSET($C2115,-$A2119,$A2120))))),0))</f>
        <v>0</v>
      </c>
      <c r="H2120" s="1423">
        <f t="shared" ref="H2120:H2123" ca="1" si="3094">IF(G2144="n/a",G2120,IFERROR(IF((OFFSET($C2120,0,$A2120))&lt;0,
MIN(0,G2120-(OFFSET($C2120,0,$A2120)/(OFFSET($C2115,-$A2119,$A2120)))),
MAX(0,G2120-(OFFSET($C2120,0,$A2120)/(OFFSET($C2115,-$A2119,$A2120))))),0))</f>
        <v>0</v>
      </c>
      <c r="I2120" s="1423">
        <f t="shared" ref="I2120:I2124" ca="1" si="3095">IF(H2144="n/a",H2120,IFERROR(IF((OFFSET($C2120,0,$A2120))&lt;0,
MIN(0,H2120-(OFFSET($C2120,0,$A2120)/(OFFSET($C2115,-$A2119,$A2120)))),
MAX(0,H2120-(OFFSET($C2120,0,$A2120)/(OFFSET($C2115,-$A2119,$A2120))))),0))</f>
        <v>0</v>
      </c>
      <c r="J2120" s="1423">
        <f t="shared" ref="J2120:J2125" ca="1" si="3096">IF(I2144="n/a",I2120,IFERROR(IF((OFFSET($C2120,0,$A2120))&lt;0,
MIN(0,I2120-(OFFSET($C2120,0,$A2120)/(OFFSET($C2115,-$A2119,$A2120)))),
MAX(0,I2120-(OFFSET($C2120,0,$A2120)/(OFFSET($C2115,-$A2119,$A2120))))),0))</f>
        <v>0</v>
      </c>
      <c r="K2120" s="1423">
        <f t="shared" ref="K2120:K2126" ca="1" si="3097">IF(J2144="n/a",J2120,IFERROR(IF((OFFSET($C2120,0,$A2120))&lt;0,
MIN(0,J2120-(OFFSET($C2120,0,$A2120)/(OFFSET($C2115,-$A2119,$A2120)))),
MAX(0,J2120-(OFFSET($C2120,0,$A2120)/(OFFSET($C2115,-$A2119,$A2120))))),0))</f>
        <v>0</v>
      </c>
      <c r="L2120" s="1423">
        <f t="shared" ref="L2120:L2127" ca="1" si="3098">IF(K2144="n/a",K2120,IFERROR(IF((OFFSET($C2120,0,$A2120))&lt;0,
MIN(0,K2120-(OFFSET($C2120,0,$A2120)/(OFFSET($C2115,-$A2119,$A2120)))),
MAX(0,K2120-(OFFSET($C2120,0,$A2120)/(OFFSET($C2115,-$A2119,$A2120))))),0))</f>
        <v>0</v>
      </c>
      <c r="M2120" s="1423">
        <f t="shared" ref="M2120:M2128" ca="1" si="3099">IF(L2144="n/a",L2120,IFERROR(IF((OFFSET($C2120,0,$A2120))&lt;0,
MIN(0,L2120-(OFFSET($C2120,0,$A2120)/(OFFSET($C2115,-$A2119,$A2120)))),
MAX(0,L2120-(OFFSET($C2120,0,$A2120)/(OFFSET($C2115,-$A2119,$A2120))))),0))</f>
        <v>0</v>
      </c>
      <c r="N2120" s="1423">
        <f t="shared" ref="N2120:N2129" ca="1" si="3100">IF(M2144="n/a",M2120,IFERROR(IF((OFFSET($C2120,0,$A2120))&lt;0,
MIN(0,M2120-(OFFSET($C2120,0,$A2120)/(OFFSET($C2115,-$A2119,$A2120)))),
MAX(0,M2120-(OFFSET($C2120,0,$A2120)/(OFFSET($C2115,-$A2119,$A2120))))),0))</f>
        <v>0</v>
      </c>
      <c r="O2120" s="1423">
        <f t="shared" ref="O2120:O2130" ca="1" si="3101">IF(N2144="n/a",N2120,IFERROR(IF((OFFSET($C2120,0,$A2120))&lt;0,
MIN(0,N2120-(OFFSET($C2120,0,$A2120)/(OFFSET($C2115,-$A2119,$A2120)))),
MAX(0,N2120-(OFFSET($C2120,0,$A2120)/(OFFSET($C2115,-$A2119,$A2120))))),0))</f>
        <v>0</v>
      </c>
      <c r="P2120" s="1423">
        <f t="shared" ref="P2120:P2131" ca="1" si="3102">IF(O2144="n/a",O2120,IFERROR(IF((OFFSET($C2120,0,$A2120))&lt;0,
MIN(0,O2120-(OFFSET($C2120,0,$A2120)/(OFFSET($C2115,-$A2119,$A2120)))),
MAX(0,O2120-(OFFSET($C2120,0,$A2120)/(OFFSET($C2115,-$A2119,$A2120))))),0))</f>
        <v>0</v>
      </c>
      <c r="Q2120" s="1423">
        <f t="shared" ref="Q2120:Q2132" ca="1" si="3103">IF(P2144="n/a",P2120,IFERROR(IF((OFFSET($C2120,0,$A2120))&lt;0,
MIN(0,P2120-(OFFSET($C2120,0,$A2120)/(OFFSET($C2115,-$A2119,$A2120)))),
MAX(0,P2120-(OFFSET($C2120,0,$A2120)/(OFFSET($C2115,-$A2119,$A2120))))),0))</f>
        <v>0</v>
      </c>
      <c r="R2120" s="1423">
        <f t="shared" ref="R2120:R2133" ca="1" si="3104">IF(Q2144="n/a",Q2120,IFERROR(IF((OFFSET($C2120,0,$A2120))&lt;0,
MIN(0,Q2120-(OFFSET($C2120,0,$A2120)/(OFFSET($C2115,-$A2119,$A2120)))),
MAX(0,Q2120-(OFFSET($C2120,0,$A2120)/(OFFSET($C2115,-$A2119,$A2120))))),0))</f>
        <v>0</v>
      </c>
      <c r="S2120" s="1423">
        <f t="shared" ref="S2120:S2134" ca="1" si="3105">IF(R2144="n/a",R2120,IFERROR(IF((OFFSET($C2120,0,$A2120))&lt;0,
MIN(0,R2120-(OFFSET($C2120,0,$A2120)/(OFFSET($C2115,-$A2119,$A2120)))),
MAX(0,R2120-(OFFSET($C2120,0,$A2120)/(OFFSET($C2115,-$A2119,$A2120))))),0))</f>
        <v>0</v>
      </c>
      <c r="T2120" s="1423">
        <f t="shared" ref="T2120:T2135" ca="1" si="3106">IF(S2144="n/a",S2120,IFERROR(IF((OFFSET($C2120,0,$A2120))&lt;0,
MIN(0,S2120-(OFFSET($C2120,0,$A2120)/(OFFSET($C2115,-$A2119,$A2120)))),
MAX(0,S2120-(OFFSET($C2120,0,$A2120)/(OFFSET($C2115,-$A2119,$A2120))))),0))</f>
        <v>0</v>
      </c>
      <c r="U2120" s="1423">
        <f t="shared" ref="U2120:U2136" ca="1" si="3107">IF(T2144="n/a",T2120,IFERROR(IF((OFFSET($C2120,0,$A2120))&lt;0,
MIN(0,T2120-(OFFSET($C2120,0,$A2120)/(OFFSET($C2115,-$A2119,$A2120)))),
MAX(0,T2120-(OFFSET($C2120,0,$A2120)/(OFFSET($C2115,-$A2119,$A2120))))),0))</f>
        <v>0</v>
      </c>
      <c r="V2120" s="1423">
        <f t="shared" ref="V2120:V2137" ca="1" si="3108">IF(U2144="n/a",U2120,IFERROR(IF((OFFSET($C2120,0,$A2120))&lt;0,
MIN(0,U2120-(OFFSET($C2120,0,$A2120)/(OFFSET($C2115,-$A2119,$A2120)))),
MAX(0,U2120-(OFFSET($C2120,0,$A2120)/(OFFSET($C2115,-$A2119,$A2120))))),0))</f>
        <v>0</v>
      </c>
      <c r="W2120" s="1423">
        <f t="shared" ref="W2120:W2138" ca="1" si="3109">IF(V2144="n/a",V2120,IFERROR(IF((OFFSET($C2120,0,$A2120))&lt;0,
MIN(0,V2120-(OFFSET($C2120,0,$A2120)/(OFFSET($C2115,-$A2119,$A2120)))),
MAX(0,V2120-(OFFSET($C2120,0,$A2120)/(OFFSET($C2115,-$A2119,$A2120))))),0))</f>
        <v>0</v>
      </c>
      <c r="X2120" s="152"/>
      <c r="Y2120" s="152"/>
      <c r="Z2120" s="152"/>
      <c r="AA2120" s="152"/>
      <c r="AB2120" s="152"/>
    </row>
    <row r="2121" spans="1:28" hidden="1" outlineLevel="1">
      <c r="A2121" s="199">
        <f t="shared" ref="A2121:A2140" si="3110">A2120+1</f>
        <v>1</v>
      </c>
      <c r="B2121" s="190" t="str">
        <f t="shared" ref="B2121:B2140" ca="1" si="3111">"Depreciated Net Capex "&amp;OFFSET($C$6,0,A2121)</f>
        <v>Depreciated Net Capex 2016-17</v>
      </c>
      <c r="C2121" s="1424"/>
      <c r="D2121" s="1425">
        <f>D2115</f>
        <v>0</v>
      </c>
      <c r="E2121" s="1423">
        <f ca="1">IF(D2145="n/a",D2121,IFERROR(IF((OFFSET($C2121,0,$A2121))&lt;0,
MIN(0,D2121-(OFFSET($C2121,0,$A2121)/(OFFSET($C2116,-$A2120,$A2121)))),
MAX(0,D2121-(OFFSET($C2121,0,$A2121)/(OFFSET($C2116,-$A2120,$A2121))))),0))</f>
        <v>0</v>
      </c>
      <c r="F2121" s="1423">
        <f t="shared" ca="1" si="3092"/>
        <v>0</v>
      </c>
      <c r="G2121" s="1423">
        <f t="shared" ca="1" si="3093"/>
        <v>0</v>
      </c>
      <c r="H2121" s="1423">
        <f t="shared" ca="1" si="3094"/>
        <v>0</v>
      </c>
      <c r="I2121" s="1423">
        <f t="shared" ca="1" si="3095"/>
        <v>0</v>
      </c>
      <c r="J2121" s="1423">
        <f t="shared" ca="1" si="3096"/>
        <v>0</v>
      </c>
      <c r="K2121" s="1423">
        <f t="shared" ca="1" si="3097"/>
        <v>0</v>
      </c>
      <c r="L2121" s="1423">
        <f t="shared" ca="1" si="3098"/>
        <v>0</v>
      </c>
      <c r="M2121" s="1423">
        <f t="shared" ca="1" si="3099"/>
        <v>0</v>
      </c>
      <c r="N2121" s="1423">
        <f t="shared" ca="1" si="3100"/>
        <v>0</v>
      </c>
      <c r="O2121" s="1423">
        <f t="shared" ca="1" si="3101"/>
        <v>0</v>
      </c>
      <c r="P2121" s="1423">
        <f t="shared" ca="1" si="3102"/>
        <v>0</v>
      </c>
      <c r="Q2121" s="1423">
        <f t="shared" ca="1" si="3103"/>
        <v>0</v>
      </c>
      <c r="R2121" s="1423">
        <f t="shared" ca="1" si="3104"/>
        <v>0</v>
      </c>
      <c r="S2121" s="1423">
        <f t="shared" ca="1" si="3105"/>
        <v>0</v>
      </c>
      <c r="T2121" s="1423">
        <f t="shared" ca="1" si="3106"/>
        <v>0</v>
      </c>
      <c r="U2121" s="1423">
        <f t="shared" ca="1" si="3107"/>
        <v>0</v>
      </c>
      <c r="V2121" s="1423">
        <f t="shared" ca="1" si="3108"/>
        <v>0</v>
      </c>
      <c r="W2121" s="1423">
        <f t="shared" ca="1" si="3109"/>
        <v>0</v>
      </c>
      <c r="X2121" s="152"/>
      <c r="Y2121" s="152"/>
      <c r="Z2121" s="152"/>
      <c r="AA2121" s="152"/>
      <c r="AB2121" s="152"/>
    </row>
    <row r="2122" spans="1:28" hidden="1" outlineLevel="1">
      <c r="A2122" s="199">
        <f t="shared" si="3110"/>
        <v>2</v>
      </c>
      <c r="B2122" s="190" t="str">
        <f t="shared" ca="1" si="3111"/>
        <v>Depreciated Net Capex 2017-18</v>
      </c>
      <c r="C2122" s="1426"/>
      <c r="D2122" s="1427"/>
      <c r="E2122" s="1425">
        <f>E2115</f>
        <v>0</v>
      </c>
      <c r="F2122" s="1423">
        <f ca="1">IF(E2146="n/a",E2122,IFERROR(IF((OFFSET($C2122,0,$A2122))&lt;0,
MIN(0,E2122-(OFFSET($C2122,0,$A2122)/(OFFSET($C2117,-$A2121,$A2122)))),
MAX(0,E2122-(OFFSET($C2122,0,$A2122)/(OFFSET($C2117,-$A2121,$A2122))))),0))</f>
        <v>0</v>
      </c>
      <c r="G2122" s="1423">
        <f t="shared" ca="1" si="3093"/>
        <v>0</v>
      </c>
      <c r="H2122" s="1423">
        <f t="shared" ca="1" si="3094"/>
        <v>0</v>
      </c>
      <c r="I2122" s="1423">
        <f t="shared" ca="1" si="3095"/>
        <v>0</v>
      </c>
      <c r="J2122" s="1423">
        <f t="shared" ca="1" si="3096"/>
        <v>0</v>
      </c>
      <c r="K2122" s="1423">
        <f t="shared" ca="1" si="3097"/>
        <v>0</v>
      </c>
      <c r="L2122" s="1423">
        <f t="shared" ca="1" si="3098"/>
        <v>0</v>
      </c>
      <c r="M2122" s="1423">
        <f t="shared" ca="1" si="3099"/>
        <v>0</v>
      </c>
      <c r="N2122" s="1423">
        <f t="shared" ca="1" si="3100"/>
        <v>0</v>
      </c>
      <c r="O2122" s="1423">
        <f t="shared" ca="1" si="3101"/>
        <v>0</v>
      </c>
      <c r="P2122" s="1423">
        <f t="shared" ca="1" si="3102"/>
        <v>0</v>
      </c>
      <c r="Q2122" s="1423">
        <f t="shared" ca="1" si="3103"/>
        <v>0</v>
      </c>
      <c r="R2122" s="1423">
        <f t="shared" ca="1" si="3104"/>
        <v>0</v>
      </c>
      <c r="S2122" s="1423">
        <f t="shared" ca="1" si="3105"/>
        <v>0</v>
      </c>
      <c r="T2122" s="1423">
        <f t="shared" ca="1" si="3106"/>
        <v>0</v>
      </c>
      <c r="U2122" s="1423">
        <f t="shared" ca="1" si="3107"/>
        <v>0</v>
      </c>
      <c r="V2122" s="1423">
        <f t="shared" ca="1" si="3108"/>
        <v>0</v>
      </c>
      <c r="W2122" s="1423">
        <f t="shared" ca="1" si="3109"/>
        <v>0</v>
      </c>
      <c r="X2122" s="202"/>
      <c r="Y2122" s="152"/>
      <c r="Z2122" s="152"/>
      <c r="AA2122" s="152"/>
      <c r="AB2122" s="152"/>
    </row>
    <row r="2123" spans="1:28" hidden="1" outlineLevel="1">
      <c r="A2123" s="199">
        <f t="shared" si="3110"/>
        <v>3</v>
      </c>
      <c r="B2123" s="190" t="str">
        <f t="shared" ca="1" si="3111"/>
        <v>Depreciated Net Capex 2018-19</v>
      </c>
      <c r="C2123" s="1426"/>
      <c r="D2123" s="1426"/>
      <c r="E2123" s="1427"/>
      <c r="F2123" s="1428">
        <f>F2115</f>
        <v>0</v>
      </c>
      <c r="G2123" s="1423">
        <f ca="1">IF(F2147="n/a",F2123,IFERROR(IF((OFFSET($C2123,0,$A2123))&lt;0,
MIN(0,F2123-(OFFSET($C2123,0,$A2123)/(OFFSET($C2118,-$A2122,$A2123)))),
MAX(0,F2123-(OFFSET($C2123,0,$A2123)/(OFFSET($C2118,-$A2122,$A2123))))),0))</f>
        <v>0</v>
      </c>
      <c r="H2123" s="1423">
        <f t="shared" ca="1" si="3094"/>
        <v>0</v>
      </c>
      <c r="I2123" s="1423">
        <f t="shared" ca="1" si="3095"/>
        <v>0</v>
      </c>
      <c r="J2123" s="1423">
        <f t="shared" ca="1" si="3096"/>
        <v>0</v>
      </c>
      <c r="K2123" s="1423">
        <f t="shared" ca="1" si="3097"/>
        <v>0</v>
      </c>
      <c r="L2123" s="1423">
        <f t="shared" ca="1" si="3098"/>
        <v>0</v>
      </c>
      <c r="M2123" s="1423">
        <f t="shared" ca="1" si="3099"/>
        <v>0</v>
      </c>
      <c r="N2123" s="1423">
        <f t="shared" ca="1" si="3100"/>
        <v>0</v>
      </c>
      <c r="O2123" s="1423">
        <f t="shared" ca="1" si="3101"/>
        <v>0</v>
      </c>
      <c r="P2123" s="1423">
        <f t="shared" ca="1" si="3102"/>
        <v>0</v>
      </c>
      <c r="Q2123" s="1423">
        <f t="shared" ca="1" si="3103"/>
        <v>0</v>
      </c>
      <c r="R2123" s="1423">
        <f t="shared" ca="1" si="3104"/>
        <v>0</v>
      </c>
      <c r="S2123" s="1423">
        <f t="shared" ca="1" si="3105"/>
        <v>0</v>
      </c>
      <c r="T2123" s="1423">
        <f t="shared" ca="1" si="3106"/>
        <v>0</v>
      </c>
      <c r="U2123" s="1423">
        <f t="shared" ca="1" si="3107"/>
        <v>0</v>
      </c>
      <c r="V2123" s="1423">
        <f t="shared" ca="1" si="3108"/>
        <v>0</v>
      </c>
      <c r="W2123" s="1423">
        <f t="shared" ca="1" si="3109"/>
        <v>0</v>
      </c>
      <c r="X2123" s="202"/>
      <c r="Y2123" s="202"/>
      <c r="Z2123" s="152"/>
      <c r="AA2123" s="152"/>
      <c r="AB2123" s="152"/>
    </row>
    <row r="2124" spans="1:28" hidden="1" outlineLevel="1">
      <c r="A2124" s="199">
        <f t="shared" si="3110"/>
        <v>4</v>
      </c>
      <c r="B2124" s="190" t="str">
        <f t="shared" ca="1" si="3111"/>
        <v>Depreciated Net Capex 2019-20</v>
      </c>
      <c r="C2124" s="1426"/>
      <c r="D2124" s="1426"/>
      <c r="E2124" s="1426"/>
      <c r="F2124" s="1427"/>
      <c r="G2124" s="1428">
        <f>G2115</f>
        <v>0</v>
      </c>
      <c r="H2124" s="1423">
        <f ca="1">IF(G2148="n/a",G2124,IFERROR(IF((OFFSET($C2124,0,$A2124))&lt;0,
MIN(0,G2124-(OFFSET($C2124,0,$A2124)/(OFFSET($C2119,-$A2123,$A2124)))),
MAX(0,G2124-(OFFSET($C2124,0,$A2124)/(OFFSET($C2119,-$A2123,$A2124))))),0))</f>
        <v>0</v>
      </c>
      <c r="I2124" s="1423">
        <f t="shared" ca="1" si="3095"/>
        <v>0</v>
      </c>
      <c r="J2124" s="1423">
        <f t="shared" ca="1" si="3096"/>
        <v>0</v>
      </c>
      <c r="K2124" s="1423">
        <f t="shared" ca="1" si="3097"/>
        <v>0</v>
      </c>
      <c r="L2124" s="1423">
        <f t="shared" ca="1" si="3098"/>
        <v>0</v>
      </c>
      <c r="M2124" s="1423">
        <f t="shared" ca="1" si="3099"/>
        <v>0</v>
      </c>
      <c r="N2124" s="1423">
        <f t="shared" ca="1" si="3100"/>
        <v>0</v>
      </c>
      <c r="O2124" s="1423">
        <f t="shared" ca="1" si="3101"/>
        <v>0</v>
      </c>
      <c r="P2124" s="1423">
        <f t="shared" ca="1" si="3102"/>
        <v>0</v>
      </c>
      <c r="Q2124" s="1423">
        <f t="shared" ca="1" si="3103"/>
        <v>0</v>
      </c>
      <c r="R2124" s="1423">
        <f t="shared" ca="1" si="3104"/>
        <v>0</v>
      </c>
      <c r="S2124" s="1423">
        <f t="shared" ca="1" si="3105"/>
        <v>0</v>
      </c>
      <c r="T2124" s="1423">
        <f t="shared" ca="1" si="3106"/>
        <v>0</v>
      </c>
      <c r="U2124" s="1423">
        <f t="shared" ca="1" si="3107"/>
        <v>0</v>
      </c>
      <c r="V2124" s="1423">
        <f t="shared" ca="1" si="3108"/>
        <v>0</v>
      </c>
      <c r="W2124" s="1423">
        <f t="shared" ca="1" si="3109"/>
        <v>0</v>
      </c>
      <c r="X2124" s="202"/>
      <c r="Y2124" s="202"/>
      <c r="Z2124" s="202"/>
      <c r="AA2124" s="152"/>
      <c r="AB2124" s="152"/>
    </row>
    <row r="2125" spans="1:28" hidden="1" outlineLevel="1">
      <c r="A2125" s="199">
        <f t="shared" si="3110"/>
        <v>5</v>
      </c>
      <c r="B2125" s="190" t="str">
        <f t="shared" ca="1" si="3111"/>
        <v>Depreciated Net Capex 2020-21</v>
      </c>
      <c r="C2125" s="1426"/>
      <c r="D2125" s="1426"/>
      <c r="E2125" s="1426"/>
      <c r="F2125" s="1426"/>
      <c r="G2125" s="1427"/>
      <c r="H2125" s="1428">
        <f>H2115</f>
        <v>0</v>
      </c>
      <c r="I2125" s="1423">
        <f ca="1">IF(H2149="n/a",H2125,IFERROR(IF((OFFSET($C2125,0,$A2125))&lt;0,
MIN(0,H2125-(OFFSET($C2125,0,$A2125)/(OFFSET($C2120,-$A2124,$A2125)))),
MAX(0,H2125-(OFFSET($C2125,0,$A2125)/(OFFSET($C2120,-$A2124,$A2125))))),0))</f>
        <v>0</v>
      </c>
      <c r="J2125" s="1423">
        <f t="shared" ca="1" si="3096"/>
        <v>0</v>
      </c>
      <c r="K2125" s="1423">
        <f t="shared" ca="1" si="3097"/>
        <v>0</v>
      </c>
      <c r="L2125" s="1423">
        <f t="shared" ca="1" si="3098"/>
        <v>0</v>
      </c>
      <c r="M2125" s="1423">
        <f t="shared" ca="1" si="3099"/>
        <v>0</v>
      </c>
      <c r="N2125" s="1423">
        <f t="shared" ca="1" si="3100"/>
        <v>0</v>
      </c>
      <c r="O2125" s="1423">
        <f t="shared" ca="1" si="3101"/>
        <v>0</v>
      </c>
      <c r="P2125" s="1423">
        <f t="shared" ca="1" si="3102"/>
        <v>0</v>
      </c>
      <c r="Q2125" s="1423">
        <f t="shared" ca="1" si="3103"/>
        <v>0</v>
      </c>
      <c r="R2125" s="1423">
        <f t="shared" ca="1" si="3104"/>
        <v>0</v>
      </c>
      <c r="S2125" s="1423">
        <f t="shared" ca="1" si="3105"/>
        <v>0</v>
      </c>
      <c r="T2125" s="1423">
        <f t="shared" ca="1" si="3106"/>
        <v>0</v>
      </c>
      <c r="U2125" s="1423">
        <f t="shared" ca="1" si="3107"/>
        <v>0</v>
      </c>
      <c r="V2125" s="1423">
        <f t="shared" ca="1" si="3108"/>
        <v>0</v>
      </c>
      <c r="W2125" s="1423">
        <f t="shared" ca="1" si="3109"/>
        <v>0</v>
      </c>
      <c r="X2125" s="202"/>
      <c r="Y2125" s="202"/>
      <c r="Z2125" s="202"/>
      <c r="AA2125" s="152"/>
      <c r="AB2125" s="152"/>
    </row>
    <row r="2126" spans="1:28" hidden="1" outlineLevel="1">
      <c r="A2126" s="199">
        <f t="shared" si="3110"/>
        <v>6</v>
      </c>
      <c r="B2126" s="190" t="str">
        <f t="shared" ca="1" si="3111"/>
        <v>Depreciated Net Capex 2021-22</v>
      </c>
      <c r="C2126" s="1426"/>
      <c r="D2126" s="1426"/>
      <c r="E2126" s="1426"/>
      <c r="F2126" s="1426"/>
      <c r="G2126" s="1426"/>
      <c r="H2126" s="1427"/>
      <c r="I2126" s="1428">
        <f>I2115</f>
        <v>0</v>
      </c>
      <c r="J2126" s="1423">
        <f ca="1">IF(I2150="n/a",I2126,IFERROR(IF((OFFSET($C2126,0,$A2126))&lt;0,
MIN(0,I2126-(OFFSET($C2126,0,$A2126)/(OFFSET($C2121,-$A2125,$A2126)))),
MAX(0,I2126-(OFFSET($C2126,0,$A2126)/(OFFSET($C2121,-$A2125,$A2126))))),0))</f>
        <v>0</v>
      </c>
      <c r="K2126" s="1423">
        <f t="shared" ca="1" si="3097"/>
        <v>0</v>
      </c>
      <c r="L2126" s="1423">
        <f t="shared" ca="1" si="3098"/>
        <v>0</v>
      </c>
      <c r="M2126" s="1423">
        <f t="shared" ca="1" si="3099"/>
        <v>0</v>
      </c>
      <c r="N2126" s="1423">
        <f t="shared" ca="1" si="3100"/>
        <v>0</v>
      </c>
      <c r="O2126" s="1423">
        <f t="shared" ca="1" si="3101"/>
        <v>0</v>
      </c>
      <c r="P2126" s="1423">
        <f t="shared" ca="1" si="3102"/>
        <v>0</v>
      </c>
      <c r="Q2126" s="1423">
        <f t="shared" ca="1" si="3103"/>
        <v>0</v>
      </c>
      <c r="R2126" s="1423">
        <f t="shared" ca="1" si="3104"/>
        <v>0</v>
      </c>
      <c r="S2126" s="1423">
        <f t="shared" ca="1" si="3105"/>
        <v>0</v>
      </c>
      <c r="T2126" s="1423">
        <f t="shared" ca="1" si="3106"/>
        <v>0</v>
      </c>
      <c r="U2126" s="1423">
        <f t="shared" ca="1" si="3107"/>
        <v>0</v>
      </c>
      <c r="V2126" s="1423">
        <f t="shared" ca="1" si="3108"/>
        <v>0</v>
      </c>
      <c r="W2126" s="1423">
        <f t="shared" ca="1" si="3109"/>
        <v>0</v>
      </c>
      <c r="X2126" s="202"/>
      <c r="Y2126" s="202"/>
      <c r="Z2126" s="202"/>
      <c r="AA2126" s="152"/>
      <c r="AB2126" s="152"/>
    </row>
    <row r="2127" spans="1:28" hidden="1" outlineLevel="1">
      <c r="A2127" s="199">
        <f t="shared" si="3110"/>
        <v>7</v>
      </c>
      <c r="B2127" s="190" t="str">
        <f t="shared" ca="1" si="3111"/>
        <v>Depreciated Net Capex 2022-23</v>
      </c>
      <c r="C2127" s="1426"/>
      <c r="D2127" s="1426"/>
      <c r="E2127" s="1426"/>
      <c r="F2127" s="1426"/>
      <c r="G2127" s="1426"/>
      <c r="H2127" s="1426"/>
      <c r="I2127" s="1427"/>
      <c r="J2127" s="1428">
        <f>J2115</f>
        <v>0</v>
      </c>
      <c r="K2127" s="1423">
        <f ca="1">IF(J2151="n/a",J2127,IFERROR(IF((OFFSET($C2127,0,$A2127))&lt;0,
MIN(0,J2127-(OFFSET($C2127,0,$A2127)/(OFFSET($C2122,-$A2126,$A2127)))),
MAX(0,J2127-(OFFSET($C2127,0,$A2127)/(OFFSET($C2122,-$A2126,$A2127))))),0))</f>
        <v>0</v>
      </c>
      <c r="L2127" s="1423">
        <f t="shared" ca="1" si="3098"/>
        <v>0</v>
      </c>
      <c r="M2127" s="1423">
        <f t="shared" ca="1" si="3099"/>
        <v>0</v>
      </c>
      <c r="N2127" s="1423">
        <f t="shared" ca="1" si="3100"/>
        <v>0</v>
      </c>
      <c r="O2127" s="1423">
        <f t="shared" ca="1" si="3101"/>
        <v>0</v>
      </c>
      <c r="P2127" s="1423">
        <f t="shared" ca="1" si="3102"/>
        <v>0</v>
      </c>
      <c r="Q2127" s="1423">
        <f t="shared" ca="1" si="3103"/>
        <v>0</v>
      </c>
      <c r="R2127" s="1423">
        <f t="shared" ca="1" si="3104"/>
        <v>0</v>
      </c>
      <c r="S2127" s="1423">
        <f t="shared" ca="1" si="3105"/>
        <v>0</v>
      </c>
      <c r="T2127" s="1423">
        <f t="shared" ca="1" si="3106"/>
        <v>0</v>
      </c>
      <c r="U2127" s="1423">
        <f t="shared" ca="1" si="3107"/>
        <v>0</v>
      </c>
      <c r="V2127" s="1423">
        <f t="shared" ca="1" si="3108"/>
        <v>0</v>
      </c>
      <c r="W2127" s="1423">
        <f t="shared" ca="1" si="3109"/>
        <v>0</v>
      </c>
      <c r="X2127" s="202"/>
      <c r="Y2127" s="202"/>
      <c r="Z2127" s="202"/>
      <c r="AA2127" s="152"/>
      <c r="AB2127" s="152"/>
    </row>
    <row r="2128" spans="1:28" hidden="1" outlineLevel="1">
      <c r="A2128" s="199">
        <f t="shared" si="3110"/>
        <v>8</v>
      </c>
      <c r="B2128" s="190" t="str">
        <f t="shared" ca="1" si="3111"/>
        <v>Depreciated Net Capex 2023-24</v>
      </c>
      <c r="C2128" s="1426"/>
      <c r="D2128" s="1426"/>
      <c r="E2128" s="1426"/>
      <c r="F2128" s="1426"/>
      <c r="G2128" s="1426"/>
      <c r="H2128" s="1426"/>
      <c r="I2128" s="1426"/>
      <c r="J2128" s="1427"/>
      <c r="K2128" s="1428">
        <f>K2115</f>
        <v>0</v>
      </c>
      <c r="L2128" s="1423">
        <f ca="1">IF(K2152="n/a",K2128,IFERROR(IF((OFFSET($C2128,0,$A2128))&lt;0,
MIN(0,K2128-(OFFSET($C2128,0,$A2128)/(OFFSET($C2123,-$A2127,$A2128)))),
MAX(0,K2128-(OFFSET($C2128,0,$A2128)/(OFFSET($C2123,-$A2127,$A2128))))),0))</f>
        <v>0</v>
      </c>
      <c r="M2128" s="1423">
        <f t="shared" ca="1" si="3099"/>
        <v>0</v>
      </c>
      <c r="N2128" s="1423">
        <f t="shared" ca="1" si="3100"/>
        <v>0</v>
      </c>
      <c r="O2128" s="1423">
        <f t="shared" ca="1" si="3101"/>
        <v>0</v>
      </c>
      <c r="P2128" s="1423">
        <f t="shared" ca="1" si="3102"/>
        <v>0</v>
      </c>
      <c r="Q2128" s="1423">
        <f t="shared" ca="1" si="3103"/>
        <v>0</v>
      </c>
      <c r="R2128" s="1423">
        <f t="shared" ca="1" si="3104"/>
        <v>0</v>
      </c>
      <c r="S2128" s="1423">
        <f t="shared" ca="1" si="3105"/>
        <v>0</v>
      </c>
      <c r="T2128" s="1423">
        <f t="shared" ca="1" si="3106"/>
        <v>0</v>
      </c>
      <c r="U2128" s="1423">
        <f t="shared" ca="1" si="3107"/>
        <v>0</v>
      </c>
      <c r="V2128" s="1423">
        <f t="shared" ca="1" si="3108"/>
        <v>0</v>
      </c>
      <c r="W2128" s="1423">
        <f t="shared" ca="1" si="3109"/>
        <v>0</v>
      </c>
      <c r="X2128" s="202"/>
      <c r="Y2128" s="202"/>
      <c r="Z2128" s="202"/>
      <c r="AA2128" s="152"/>
      <c r="AB2128" s="152"/>
    </row>
    <row r="2129" spans="1:28" hidden="1" outlineLevel="1">
      <c r="A2129" s="199">
        <f t="shared" si="3110"/>
        <v>9</v>
      </c>
      <c r="B2129" s="190" t="str">
        <f t="shared" ca="1" si="3111"/>
        <v>Depreciated Net Capex 2024-25</v>
      </c>
      <c r="C2129" s="1426"/>
      <c r="D2129" s="1426"/>
      <c r="E2129" s="1426"/>
      <c r="F2129" s="1426"/>
      <c r="G2129" s="1426"/>
      <c r="H2129" s="1426"/>
      <c r="I2129" s="1426"/>
      <c r="J2129" s="1426"/>
      <c r="K2129" s="1427"/>
      <c r="L2129" s="1428">
        <f>L2115</f>
        <v>0</v>
      </c>
      <c r="M2129" s="1423">
        <f ca="1">IF(L2153="n/a",L2129,IFERROR(IF((OFFSET($C2129,0,$A2129))&lt;0,
MIN(0,L2129-(OFFSET($C2129,0,$A2129)/(OFFSET($C2124,-$A2128,$A2129)))),
MAX(0,L2129-(OFFSET($C2129,0,$A2129)/(OFFSET($C2124,-$A2128,$A2129))))),0))</f>
        <v>0</v>
      </c>
      <c r="N2129" s="1423">
        <f t="shared" ca="1" si="3100"/>
        <v>0</v>
      </c>
      <c r="O2129" s="1423">
        <f t="shared" ca="1" si="3101"/>
        <v>0</v>
      </c>
      <c r="P2129" s="1423">
        <f t="shared" ca="1" si="3102"/>
        <v>0</v>
      </c>
      <c r="Q2129" s="1423">
        <f t="shared" ca="1" si="3103"/>
        <v>0</v>
      </c>
      <c r="R2129" s="1423">
        <f t="shared" ca="1" si="3104"/>
        <v>0</v>
      </c>
      <c r="S2129" s="1423">
        <f t="shared" ca="1" si="3105"/>
        <v>0</v>
      </c>
      <c r="T2129" s="1423">
        <f t="shared" ca="1" si="3106"/>
        <v>0</v>
      </c>
      <c r="U2129" s="1423">
        <f t="shared" ca="1" si="3107"/>
        <v>0</v>
      </c>
      <c r="V2129" s="1423">
        <f t="shared" ca="1" si="3108"/>
        <v>0</v>
      </c>
      <c r="W2129" s="1423">
        <f t="shared" ca="1" si="3109"/>
        <v>0</v>
      </c>
      <c r="X2129" s="202"/>
      <c r="Y2129" s="202"/>
      <c r="Z2129" s="202"/>
      <c r="AA2129" s="152"/>
      <c r="AB2129" s="152"/>
    </row>
    <row r="2130" spans="1:28" hidden="1" outlineLevel="1">
      <c r="A2130" s="199">
        <f t="shared" si="3110"/>
        <v>10</v>
      </c>
      <c r="B2130" s="190" t="str">
        <f t="shared" ca="1" si="3111"/>
        <v>Depreciated Net Capex 2025-26</v>
      </c>
      <c r="C2130" s="1426"/>
      <c r="D2130" s="1426"/>
      <c r="E2130" s="1426"/>
      <c r="F2130" s="1426"/>
      <c r="G2130" s="1426"/>
      <c r="H2130" s="1426"/>
      <c r="I2130" s="1426"/>
      <c r="J2130" s="1426"/>
      <c r="K2130" s="1426"/>
      <c r="L2130" s="1427"/>
      <c r="M2130" s="1428">
        <f>M2115</f>
        <v>0</v>
      </c>
      <c r="N2130" s="1423">
        <f ca="1">IF(M2154="n/a",M2130,IFERROR(IF((OFFSET($C2130,0,$A2130))&lt;0,
MIN(0,M2130-(OFFSET($C2130,0,$A2130)/(OFFSET($C2125,-$A2129,$A2130)))),
MAX(0,M2130-(OFFSET($C2130,0,$A2130)/(OFFSET($C2125,-$A2129,$A2130))))),0))</f>
        <v>0</v>
      </c>
      <c r="O2130" s="1423">
        <f t="shared" ca="1" si="3101"/>
        <v>0</v>
      </c>
      <c r="P2130" s="1423">
        <f t="shared" ca="1" si="3102"/>
        <v>0</v>
      </c>
      <c r="Q2130" s="1423">
        <f t="shared" ca="1" si="3103"/>
        <v>0</v>
      </c>
      <c r="R2130" s="1423">
        <f t="shared" ca="1" si="3104"/>
        <v>0</v>
      </c>
      <c r="S2130" s="1423">
        <f t="shared" ca="1" si="3105"/>
        <v>0</v>
      </c>
      <c r="T2130" s="1423">
        <f t="shared" ca="1" si="3106"/>
        <v>0</v>
      </c>
      <c r="U2130" s="1423">
        <f t="shared" ca="1" si="3107"/>
        <v>0</v>
      </c>
      <c r="V2130" s="1423">
        <f t="shared" ca="1" si="3108"/>
        <v>0</v>
      </c>
      <c r="W2130" s="1423">
        <f t="shared" ca="1" si="3109"/>
        <v>0</v>
      </c>
      <c r="X2130" s="202"/>
      <c r="Y2130" s="202"/>
      <c r="Z2130" s="202"/>
      <c r="AA2130" s="152"/>
      <c r="AB2130" s="152"/>
    </row>
    <row r="2131" spans="1:28" hidden="1" outlineLevel="1">
      <c r="A2131" s="199">
        <f t="shared" si="3110"/>
        <v>11</v>
      </c>
      <c r="B2131" s="190" t="str">
        <f t="shared" ca="1" si="3111"/>
        <v>Depreciated Net Capex 2026-27</v>
      </c>
      <c r="C2131" s="1426"/>
      <c r="D2131" s="1426"/>
      <c r="E2131" s="1426"/>
      <c r="F2131" s="1426"/>
      <c r="G2131" s="1426"/>
      <c r="H2131" s="1426"/>
      <c r="I2131" s="1426"/>
      <c r="J2131" s="1426"/>
      <c r="K2131" s="1426"/>
      <c r="L2131" s="1426"/>
      <c r="M2131" s="1427"/>
      <c r="N2131" s="1428">
        <f>N2115</f>
        <v>0</v>
      </c>
      <c r="O2131" s="1423">
        <f ca="1">IF(N2155="n/a",N2131,IFERROR(IF((OFFSET($C2131,0,$A2131))&lt;0,
MIN(0,N2131-(OFFSET($C2131,0,$A2131)/(OFFSET($C2126,-$A2130,$A2131)))),
MAX(0,N2131-(OFFSET($C2131,0,$A2131)/(OFFSET($C2126,-$A2130,$A2131))))),0))</f>
        <v>0</v>
      </c>
      <c r="P2131" s="1423">
        <f t="shared" ca="1" si="3102"/>
        <v>0</v>
      </c>
      <c r="Q2131" s="1423">
        <f t="shared" ca="1" si="3103"/>
        <v>0</v>
      </c>
      <c r="R2131" s="1423">
        <f t="shared" ca="1" si="3104"/>
        <v>0</v>
      </c>
      <c r="S2131" s="1423">
        <f t="shared" ca="1" si="3105"/>
        <v>0</v>
      </c>
      <c r="T2131" s="1423">
        <f t="shared" ca="1" si="3106"/>
        <v>0</v>
      </c>
      <c r="U2131" s="1423">
        <f t="shared" ca="1" si="3107"/>
        <v>0</v>
      </c>
      <c r="V2131" s="1423">
        <f t="shared" ca="1" si="3108"/>
        <v>0</v>
      </c>
      <c r="W2131" s="1423">
        <f t="shared" ca="1" si="3109"/>
        <v>0</v>
      </c>
      <c r="X2131" s="202"/>
      <c r="Y2131" s="202"/>
      <c r="Z2131" s="202"/>
      <c r="AA2131" s="152"/>
      <c r="AB2131" s="152"/>
    </row>
    <row r="2132" spans="1:28" hidden="1" outlineLevel="1">
      <c r="A2132" s="199">
        <f t="shared" si="3110"/>
        <v>12</v>
      </c>
      <c r="B2132" s="190" t="str">
        <f t="shared" ca="1" si="3111"/>
        <v>Depreciated Net Capex 2027-28</v>
      </c>
      <c r="C2132" s="1426"/>
      <c r="D2132" s="1426"/>
      <c r="E2132" s="1426"/>
      <c r="F2132" s="1426"/>
      <c r="G2132" s="1426"/>
      <c r="H2132" s="1426"/>
      <c r="I2132" s="1426"/>
      <c r="J2132" s="1426"/>
      <c r="K2132" s="1426"/>
      <c r="L2132" s="1426"/>
      <c r="M2132" s="1426"/>
      <c r="N2132" s="1427"/>
      <c r="O2132" s="1428">
        <f>O2115</f>
        <v>0</v>
      </c>
      <c r="P2132" s="1423">
        <f ca="1">IF(O2156="n/a",O2132,IFERROR(IF((OFFSET($C2132,0,$A2132))&lt;0,
MIN(0,O2132-(OFFSET($C2132,0,$A2132)/(OFFSET($C2127,-$A2131,$A2132)))),
MAX(0,O2132-(OFFSET($C2132,0,$A2132)/(OFFSET($C2127,-$A2131,$A2132))))),0))</f>
        <v>0</v>
      </c>
      <c r="Q2132" s="1423">
        <f t="shared" ca="1" si="3103"/>
        <v>0</v>
      </c>
      <c r="R2132" s="1423">
        <f t="shared" ca="1" si="3104"/>
        <v>0</v>
      </c>
      <c r="S2132" s="1423">
        <f t="shared" ca="1" si="3105"/>
        <v>0</v>
      </c>
      <c r="T2132" s="1423">
        <f t="shared" ca="1" si="3106"/>
        <v>0</v>
      </c>
      <c r="U2132" s="1423">
        <f t="shared" ca="1" si="3107"/>
        <v>0</v>
      </c>
      <c r="V2132" s="1423">
        <f t="shared" ca="1" si="3108"/>
        <v>0</v>
      </c>
      <c r="W2132" s="1423">
        <f t="shared" ca="1" si="3109"/>
        <v>0</v>
      </c>
      <c r="X2132" s="202"/>
      <c r="Y2132" s="202"/>
      <c r="Z2132" s="202"/>
      <c r="AA2132" s="152"/>
      <c r="AB2132" s="152"/>
    </row>
    <row r="2133" spans="1:28" hidden="1" outlineLevel="1">
      <c r="A2133" s="199">
        <f t="shared" si="3110"/>
        <v>13</v>
      </c>
      <c r="B2133" s="190" t="str">
        <f t="shared" ca="1" si="3111"/>
        <v>Depreciated Net Capex 2028-29</v>
      </c>
      <c r="C2133" s="1426"/>
      <c r="D2133" s="1426"/>
      <c r="E2133" s="1426"/>
      <c r="F2133" s="1426"/>
      <c r="G2133" s="1426"/>
      <c r="H2133" s="1426"/>
      <c r="I2133" s="1426"/>
      <c r="J2133" s="1426"/>
      <c r="K2133" s="1426"/>
      <c r="L2133" s="1426"/>
      <c r="M2133" s="1426"/>
      <c r="N2133" s="1426"/>
      <c r="O2133" s="1427"/>
      <c r="P2133" s="1428">
        <f>P2115</f>
        <v>0</v>
      </c>
      <c r="Q2133" s="1423">
        <f ca="1">IF(P2157="n/a",P2133,IFERROR(IF((OFFSET($C2133,0,$A2133))&lt;0,
MIN(0,P2133-(OFFSET($C2133,0,$A2133)/(OFFSET($C2128,-$A2132,$A2133)))),
MAX(0,P2133-(OFFSET($C2133,0,$A2133)/(OFFSET($C2128,-$A2132,$A2133))))),0))</f>
        <v>0</v>
      </c>
      <c r="R2133" s="1423">
        <f t="shared" ca="1" si="3104"/>
        <v>0</v>
      </c>
      <c r="S2133" s="1423">
        <f t="shared" ca="1" si="3105"/>
        <v>0</v>
      </c>
      <c r="T2133" s="1423">
        <f t="shared" ca="1" si="3106"/>
        <v>0</v>
      </c>
      <c r="U2133" s="1423">
        <f t="shared" ca="1" si="3107"/>
        <v>0</v>
      </c>
      <c r="V2133" s="1423">
        <f t="shared" ca="1" si="3108"/>
        <v>0</v>
      </c>
      <c r="W2133" s="1423">
        <f t="shared" ca="1" si="3109"/>
        <v>0</v>
      </c>
      <c r="X2133" s="202"/>
      <c r="Y2133" s="202"/>
      <c r="Z2133" s="202"/>
      <c r="AA2133" s="152"/>
      <c r="AB2133" s="152"/>
    </row>
    <row r="2134" spans="1:28" hidden="1" outlineLevel="1">
      <c r="A2134" s="199">
        <f t="shared" si="3110"/>
        <v>14</v>
      </c>
      <c r="B2134" s="190" t="str">
        <f t="shared" ca="1" si="3111"/>
        <v>Depreciated Net Capex 2029-30</v>
      </c>
      <c r="C2134" s="1426"/>
      <c r="D2134" s="1426"/>
      <c r="E2134" s="1426"/>
      <c r="F2134" s="1426"/>
      <c r="G2134" s="1426"/>
      <c r="H2134" s="1426"/>
      <c r="I2134" s="1426"/>
      <c r="J2134" s="1426"/>
      <c r="K2134" s="1426"/>
      <c r="L2134" s="1426"/>
      <c r="M2134" s="1426"/>
      <c r="N2134" s="1426"/>
      <c r="O2134" s="1426"/>
      <c r="P2134" s="1427"/>
      <c r="Q2134" s="1428">
        <f>Q2115</f>
        <v>0</v>
      </c>
      <c r="R2134" s="1423">
        <f ca="1">IF(Q2158="n/a",Q2134,IFERROR(IF((OFFSET($C2134,0,$A2134))&lt;0,
MIN(0,Q2134-(OFFSET($C2134,0,$A2134)/(OFFSET($C2129,-$A2133,$A2134)))),
MAX(0,Q2134-(OFFSET($C2134,0,$A2134)/(OFFSET($C2129,-$A2133,$A2134))))),0))</f>
        <v>0</v>
      </c>
      <c r="S2134" s="1423">
        <f t="shared" ca="1" si="3105"/>
        <v>0</v>
      </c>
      <c r="T2134" s="1423">
        <f t="shared" ca="1" si="3106"/>
        <v>0</v>
      </c>
      <c r="U2134" s="1423">
        <f t="shared" ca="1" si="3107"/>
        <v>0</v>
      </c>
      <c r="V2134" s="1423">
        <f t="shared" ca="1" si="3108"/>
        <v>0</v>
      </c>
      <c r="W2134" s="1423">
        <f t="shared" ca="1" si="3109"/>
        <v>0</v>
      </c>
      <c r="X2134" s="202"/>
      <c r="Y2134" s="202"/>
      <c r="Z2134" s="202"/>
      <c r="AA2134" s="152"/>
      <c r="AB2134" s="152"/>
    </row>
    <row r="2135" spans="1:28" hidden="1" outlineLevel="1">
      <c r="A2135" s="199">
        <f t="shared" si="3110"/>
        <v>15</v>
      </c>
      <c r="B2135" s="190" t="str">
        <f t="shared" ca="1" si="3111"/>
        <v>Depreciated Net Capex 2030-31</v>
      </c>
      <c r="C2135" s="1426"/>
      <c r="D2135" s="1426"/>
      <c r="E2135" s="1426"/>
      <c r="F2135" s="1426"/>
      <c r="G2135" s="1426"/>
      <c r="H2135" s="1426"/>
      <c r="I2135" s="1426"/>
      <c r="J2135" s="1426"/>
      <c r="K2135" s="1426"/>
      <c r="L2135" s="1426"/>
      <c r="M2135" s="1426"/>
      <c r="N2135" s="1426"/>
      <c r="O2135" s="1426"/>
      <c r="P2135" s="1426"/>
      <c r="Q2135" s="1427"/>
      <c r="R2135" s="1428">
        <f>R2115</f>
        <v>0</v>
      </c>
      <c r="S2135" s="1423">
        <f ca="1">IF(R2159="n/a",R2135,IFERROR(IF((OFFSET($C2135,0,$A2135))&lt;0,
MIN(0,R2135-(OFFSET($C2135,0,$A2135)/(OFFSET($C2130,-$A2134,$A2135)))),
MAX(0,R2135-(OFFSET($C2135,0,$A2135)/(OFFSET($C2130,-$A2134,$A2135))))),0))</f>
        <v>0</v>
      </c>
      <c r="T2135" s="1423">
        <f t="shared" ca="1" si="3106"/>
        <v>0</v>
      </c>
      <c r="U2135" s="1423">
        <f t="shared" ca="1" si="3107"/>
        <v>0</v>
      </c>
      <c r="V2135" s="1423">
        <f t="shared" ca="1" si="3108"/>
        <v>0</v>
      </c>
      <c r="W2135" s="1423">
        <f t="shared" ca="1" si="3109"/>
        <v>0</v>
      </c>
      <c r="X2135" s="202"/>
      <c r="Y2135" s="202"/>
      <c r="Z2135" s="202"/>
      <c r="AA2135" s="152"/>
      <c r="AB2135" s="152"/>
    </row>
    <row r="2136" spans="1:28" hidden="1" outlineLevel="1">
      <c r="A2136" s="199">
        <f t="shared" si="3110"/>
        <v>16</v>
      </c>
      <c r="B2136" s="190" t="str">
        <f t="shared" ca="1" si="3111"/>
        <v>Depreciated Net Capex 2031-32</v>
      </c>
      <c r="C2136" s="1426"/>
      <c r="D2136" s="1426"/>
      <c r="E2136" s="1426"/>
      <c r="F2136" s="1426"/>
      <c r="G2136" s="1426"/>
      <c r="H2136" s="1426"/>
      <c r="I2136" s="1426"/>
      <c r="J2136" s="1426"/>
      <c r="K2136" s="1426"/>
      <c r="L2136" s="1426"/>
      <c r="M2136" s="1426"/>
      <c r="N2136" s="1426"/>
      <c r="O2136" s="1426"/>
      <c r="P2136" s="1426"/>
      <c r="Q2136" s="1426"/>
      <c r="R2136" s="1427"/>
      <c r="S2136" s="1428">
        <f>S2115</f>
        <v>0</v>
      </c>
      <c r="T2136" s="1423">
        <f ca="1">IF(S2160="n/a",S2136,IFERROR(IF((OFFSET($C2136,0,$A2136))&lt;0,
MIN(0,S2136-(OFFSET($C2136,0,$A2136)/(OFFSET($C2131,-$A2135,$A2136)))),
MAX(0,S2136-(OFFSET($C2136,0,$A2136)/(OFFSET($C2131,-$A2135,$A2136))))),0))</f>
        <v>0</v>
      </c>
      <c r="U2136" s="1423">
        <f t="shared" ca="1" si="3107"/>
        <v>0</v>
      </c>
      <c r="V2136" s="1423">
        <f t="shared" ca="1" si="3108"/>
        <v>0</v>
      </c>
      <c r="W2136" s="1423">
        <f t="shared" ca="1" si="3109"/>
        <v>0</v>
      </c>
      <c r="X2136" s="202"/>
      <c r="Y2136" s="202"/>
      <c r="Z2136" s="202"/>
      <c r="AA2136" s="152"/>
      <c r="AB2136" s="152"/>
    </row>
    <row r="2137" spans="1:28" hidden="1" outlineLevel="1">
      <c r="A2137" s="199">
        <f t="shared" si="3110"/>
        <v>17</v>
      </c>
      <c r="B2137" s="190" t="str">
        <f t="shared" ca="1" si="3111"/>
        <v>Depreciated Net Capex 2032-33</v>
      </c>
      <c r="C2137" s="1426"/>
      <c r="D2137" s="1426"/>
      <c r="E2137" s="1426"/>
      <c r="F2137" s="1426"/>
      <c r="G2137" s="1426"/>
      <c r="H2137" s="1426"/>
      <c r="I2137" s="1426"/>
      <c r="J2137" s="1426"/>
      <c r="K2137" s="1426"/>
      <c r="L2137" s="1426"/>
      <c r="M2137" s="1426"/>
      <c r="N2137" s="1426"/>
      <c r="O2137" s="1426"/>
      <c r="P2137" s="1426"/>
      <c r="Q2137" s="1426"/>
      <c r="R2137" s="1426"/>
      <c r="S2137" s="1427"/>
      <c r="T2137" s="1428">
        <f>T2115</f>
        <v>0</v>
      </c>
      <c r="U2137" s="1423">
        <f ca="1">IF(T2161="n/a",T2137,IFERROR(IF((OFFSET($C2137,0,$A2137))&lt;0,
MIN(0,T2137-(OFFSET($C2137,0,$A2137)/(OFFSET($C2132,-$A2136,$A2137)))),
MAX(0,T2137-(OFFSET($C2137,0,$A2137)/(OFFSET($C2132,-$A2136,$A2137))))),0))</f>
        <v>0</v>
      </c>
      <c r="V2137" s="1423">
        <f t="shared" ca="1" si="3108"/>
        <v>0</v>
      </c>
      <c r="W2137" s="1423">
        <f t="shared" ca="1" si="3109"/>
        <v>0</v>
      </c>
      <c r="X2137" s="202"/>
      <c r="Y2137" s="202"/>
      <c r="Z2137" s="202"/>
      <c r="AA2137" s="152"/>
      <c r="AB2137" s="152"/>
    </row>
    <row r="2138" spans="1:28" hidden="1" outlineLevel="1">
      <c r="A2138" s="199">
        <f t="shared" si="3110"/>
        <v>18</v>
      </c>
      <c r="B2138" s="190" t="str">
        <f t="shared" ca="1" si="3111"/>
        <v>Depreciated Net Capex 2033-34</v>
      </c>
      <c r="C2138" s="1426"/>
      <c r="D2138" s="1426"/>
      <c r="E2138" s="1426"/>
      <c r="F2138" s="1426"/>
      <c r="G2138" s="1426"/>
      <c r="H2138" s="1426"/>
      <c r="I2138" s="1426"/>
      <c r="J2138" s="1426"/>
      <c r="K2138" s="1426"/>
      <c r="L2138" s="1426"/>
      <c r="M2138" s="1426"/>
      <c r="N2138" s="1426"/>
      <c r="O2138" s="1426"/>
      <c r="P2138" s="1426"/>
      <c r="Q2138" s="1426"/>
      <c r="R2138" s="1426"/>
      <c r="S2138" s="1426"/>
      <c r="T2138" s="1427"/>
      <c r="U2138" s="1428">
        <f>U2115</f>
        <v>0</v>
      </c>
      <c r="V2138" s="1423">
        <f ca="1">IF(U2162="n/a",U2138,IFERROR(IF((OFFSET($C2138,0,$A2138))&lt;0,
MIN(0,U2138-(OFFSET($C2138,0,$A2138)/(OFFSET($C2133,-$A2137,$A2138)))),
MAX(0,U2138-(OFFSET($C2138,0,$A2138)/(OFFSET($C2133,-$A2137,$A2138))))),0))</f>
        <v>0</v>
      </c>
      <c r="W2138" s="1423">
        <f t="shared" ca="1" si="3109"/>
        <v>0</v>
      </c>
      <c r="X2138" s="202"/>
      <c r="Y2138" s="202"/>
      <c r="Z2138" s="202"/>
      <c r="AA2138" s="152"/>
      <c r="AB2138" s="152"/>
    </row>
    <row r="2139" spans="1:28" hidden="1" outlineLevel="1">
      <c r="A2139" s="199">
        <f t="shared" si="3110"/>
        <v>19</v>
      </c>
      <c r="B2139" s="190" t="str">
        <f t="shared" ca="1" si="3111"/>
        <v>Depreciated Net Capex 2034-35</v>
      </c>
      <c r="C2139" s="1426"/>
      <c r="D2139" s="1426"/>
      <c r="E2139" s="1426"/>
      <c r="F2139" s="1426"/>
      <c r="G2139" s="1426"/>
      <c r="H2139" s="1426"/>
      <c r="I2139" s="1426"/>
      <c r="J2139" s="1426"/>
      <c r="K2139" s="1426"/>
      <c r="L2139" s="1426"/>
      <c r="M2139" s="1426"/>
      <c r="N2139" s="1426"/>
      <c r="O2139" s="1426"/>
      <c r="P2139" s="1426"/>
      <c r="Q2139" s="1426"/>
      <c r="R2139" s="1426"/>
      <c r="S2139" s="1426"/>
      <c r="T2139" s="1426"/>
      <c r="U2139" s="1427"/>
      <c r="V2139" s="1428">
        <f>V2115</f>
        <v>0</v>
      </c>
      <c r="W2139" s="1423">
        <f ca="1">IF(V2163="n/a",V2139,IFERROR(IF((OFFSET($C2139,0,$A2139))&lt;0,
MIN(0,V2139-(OFFSET($C2139,0,$A2139)/(OFFSET($C2134,-$A2138,$A2139)))),
MAX(0,V2139-(OFFSET($C2139,0,$A2139)/(OFFSET($C2134,-$A2138,$A2139))))),0))</f>
        <v>0</v>
      </c>
      <c r="X2139" s="202"/>
      <c r="Y2139" s="202"/>
      <c r="Z2139" s="202"/>
      <c r="AA2139" s="152"/>
      <c r="AB2139" s="152"/>
    </row>
    <row r="2140" spans="1:28" hidden="1" outlineLevel="1">
      <c r="A2140" s="199">
        <f t="shared" si="3110"/>
        <v>20</v>
      </c>
      <c r="B2140" s="190" t="str">
        <f t="shared" ca="1" si="3111"/>
        <v>Depreciated Net Capex 2035-36</v>
      </c>
      <c r="C2140" s="1426"/>
      <c r="D2140" s="1426"/>
      <c r="E2140" s="1426"/>
      <c r="F2140" s="1426"/>
      <c r="G2140" s="1426"/>
      <c r="H2140" s="1426"/>
      <c r="I2140" s="1426"/>
      <c r="J2140" s="1426"/>
      <c r="K2140" s="1426"/>
      <c r="L2140" s="1426"/>
      <c r="M2140" s="1426"/>
      <c r="N2140" s="1426"/>
      <c r="O2140" s="1426"/>
      <c r="P2140" s="1426"/>
      <c r="Q2140" s="1426"/>
      <c r="R2140" s="1426"/>
      <c r="S2140" s="1426"/>
      <c r="T2140" s="1426"/>
      <c r="U2140" s="1426"/>
      <c r="V2140" s="1427"/>
      <c r="W2140" s="1423">
        <f>W2115</f>
        <v>0</v>
      </c>
      <c r="X2140" s="152"/>
      <c r="Y2140" s="152"/>
      <c r="Z2140" s="152"/>
      <c r="AA2140" s="152"/>
      <c r="AB2140" s="152"/>
    </row>
    <row r="2141" spans="1:28" hidden="1" outlineLevel="1">
      <c r="A2141" s="152"/>
      <c r="B2141" s="200"/>
      <c r="C2141" s="1423"/>
      <c r="D2141" s="1423"/>
      <c r="E2141" s="1423"/>
      <c r="F2141" s="1423"/>
      <c r="G2141" s="1423"/>
      <c r="H2141" s="1423"/>
      <c r="I2141" s="1423"/>
      <c r="J2141" s="1423"/>
      <c r="K2141" s="1423"/>
      <c r="L2141" s="1423"/>
      <c r="M2141" s="1423"/>
      <c r="N2141" s="1423"/>
      <c r="O2141" s="1423"/>
      <c r="P2141" s="1423"/>
      <c r="Q2141" s="1423"/>
      <c r="R2141" s="1423"/>
      <c r="S2141" s="1423"/>
      <c r="T2141" s="1423"/>
      <c r="U2141" s="1423"/>
      <c r="V2141" s="1423"/>
      <c r="W2141" s="1423"/>
      <c r="X2141" s="152"/>
      <c r="Y2141" s="152"/>
      <c r="Z2141" s="152"/>
      <c r="AA2141" s="152"/>
      <c r="AB2141" s="152"/>
    </row>
    <row r="2142" spans="1:28" hidden="1" outlineLevel="1">
      <c r="A2142" s="152"/>
      <c r="B2142" s="200"/>
      <c r="C2142" s="1423"/>
      <c r="D2142" s="1423"/>
      <c r="E2142" s="1423"/>
      <c r="F2142" s="1423"/>
      <c r="G2142" s="1423"/>
      <c r="H2142" s="1423"/>
      <c r="I2142" s="1423"/>
      <c r="J2142" s="1423"/>
      <c r="K2142" s="1423"/>
      <c r="L2142" s="1423"/>
      <c r="M2142" s="1423"/>
      <c r="N2142" s="1423"/>
      <c r="O2142" s="1423"/>
      <c r="P2142" s="1423"/>
      <c r="Q2142" s="1423"/>
      <c r="R2142" s="1423"/>
      <c r="S2142" s="1423"/>
      <c r="T2142" s="1423"/>
      <c r="U2142" s="1423"/>
      <c r="V2142" s="1423"/>
      <c r="W2142" s="1423"/>
      <c r="X2142" s="152"/>
      <c r="Y2142" s="152"/>
      <c r="Z2142" s="152"/>
      <c r="AA2142" s="152"/>
      <c r="AB2142" s="152"/>
    </row>
    <row r="2143" spans="1:28" hidden="1" outlineLevel="1">
      <c r="A2143" s="152"/>
      <c r="B2143" s="190" t="s">
        <v>194</v>
      </c>
      <c r="C2143" s="1423"/>
      <c r="D2143" s="1423">
        <f t="shared" ref="D2143" ca="1" si="3112">IF(AND(C2143&lt;1,D2117=0),0,
IF(D2117=0,C2143-1,
IF(C2143&lt;1,D2118,
(((C2143-1)*(C2119-(C2119/(C2143))))+(D2117*D2118))/(D2119))))</f>
        <v>0</v>
      </c>
      <c r="E2143" s="1423">
        <f t="shared" ref="E2143" ca="1" si="3113">IF(AND(D2143&lt;1,E2117=0),0,
IF(E2117=0,D2143-1,
IF(D2143&lt;1,E2118,
(((D2143-1)*(D2119-(D2119/(D2143))))+(E2117*E2118))/(E2119))))</f>
        <v>0</v>
      </c>
      <c r="F2143" s="1423">
        <f t="shared" ref="F2143" ca="1" si="3114">IF(AND(E2143&lt;1,F2117=0),0,
IF(F2117=0,E2143-1,
IF(E2143&lt;1,F2118,
(((E2143-1)*(E2119-(E2119/(E2143))))+(F2117*F2118))/(F2119))))</f>
        <v>0</v>
      </c>
      <c r="G2143" s="1423">
        <f t="shared" ref="G2143" ca="1" si="3115">IF(AND(F2143&lt;1,G2117=0),0,
IF(G2117=0,F2143-1,
IF(F2143&lt;1,G2118,
(((F2143-1)*(F2119-(F2119/(F2143))))+(G2117*G2118))/(G2119))))</f>
        <v>0</v>
      </c>
      <c r="H2143" s="1423">
        <f ca="1">IF(AND(G2143&lt;1,H2117=0),0,
IF(H2117=0,G2143-1,
IF(G2143&lt;1,H2118,
(((G2143-1)*(G2119-(G2119/(G2143))))+(H2117*H2118))/(H2119))))</f>
        <v>0</v>
      </c>
      <c r="I2143" s="1423">
        <f t="shared" ref="I2143" ca="1" si="3116">IF(AND(H2143&lt;1,I2117=0),0,
IF(I2117=0,H2143-1,
IF(H2143&lt;1,I2118,
(((H2143-1)*(H2119-(H2119/(H2143))))+(I2117*I2118))/(I2119))))</f>
        <v>0</v>
      </c>
      <c r="J2143" s="1423">
        <f t="shared" ref="J2143" ca="1" si="3117">IF(AND(I2143&lt;1,J2117=0),0,
IF(J2117=0,I2143-1,
IF(I2143&lt;1,J2118,
(((I2143-1)*(I2119-(I2119/(I2143))))+(J2117*J2118))/(J2119))))</f>
        <v>0</v>
      </c>
      <c r="K2143" s="1423">
        <f t="shared" ref="K2143" ca="1" si="3118">IF(AND(J2143&lt;1,K2117=0),0,
IF(K2117=0,J2143-1,
IF(J2143&lt;1,K2118,
(((J2143-1)*(J2119-(J2119/(J2143))))+(K2117*K2118))/(K2119))))</f>
        <v>0</v>
      </c>
      <c r="L2143" s="1423">
        <f t="shared" ref="L2143" ca="1" si="3119">IF(AND(K2143&lt;1,L2117=0),0,
IF(L2117=0,K2143-1,
IF(K2143&lt;1,L2118,
(((K2143-1)*(K2119-(K2119/(K2143))))+(L2117*L2118))/(L2119))))</f>
        <v>0</v>
      </c>
      <c r="M2143" s="1423">
        <f ca="1">IF(AND(L2143&lt;1,M2117=0),0,
IF(M2117=0,L2143-1,
IF(L2143&lt;1,M2118,
(((L2143-1)*(L2119-(L2119/(L2143))))+(M2117*M2118))/(M2119))))</f>
        <v>0</v>
      </c>
      <c r="N2143" s="1423">
        <f t="shared" ref="N2143" ca="1" si="3120">IF(AND(M2143&lt;1,N2117=0),0,
IF(N2117=0,M2143-1,
IF(M2143&lt;1,N2118,
(((M2143-1)*(M2119-(M2119/(M2143))))+(N2117*N2118))/(N2119))))</f>
        <v>0</v>
      </c>
      <c r="O2143" s="1423">
        <f t="shared" ref="O2143" ca="1" si="3121">IF(AND(N2143&lt;1,O2117=0),0,
IF(O2117=0,N2143-1,
IF(N2143&lt;1,O2118,
(((N2143-1)*(N2119-(N2119/(N2143))))+(O2117*O2118))/(O2119))))</f>
        <v>0</v>
      </c>
      <c r="P2143" s="1423">
        <f t="shared" ref="P2143" ca="1" si="3122">IF(AND(O2143&lt;1,P2117=0),0,
IF(P2117=0,O2143-1,
IF(O2143&lt;1,P2118,
(((O2143-1)*(O2119-(O2119/(O2143))))+(P2117*P2118))/(P2119))))</f>
        <v>0</v>
      </c>
      <c r="Q2143" s="1423">
        <f t="shared" ref="Q2143" ca="1" si="3123">IF(AND(P2143&lt;1,Q2117=0),0,
IF(Q2117=0,P2143-1,
IF(P2143&lt;1,Q2118,
(((P2143-1)*(P2119-(P2119/(P2143))))+(Q2117*Q2118))/(Q2119))))</f>
        <v>0</v>
      </c>
      <c r="R2143" s="1423">
        <f t="shared" ref="R2143" ca="1" si="3124">IF(AND(Q2143&lt;1,R2117=0),0,
IF(R2117=0,Q2143-1,
IF(Q2143&lt;1,R2118,
(((Q2143-1)*(Q2119-(Q2119/(Q2143))))+(R2117*R2118))/(R2119))))</f>
        <v>0</v>
      </c>
      <c r="S2143" s="1423">
        <f t="shared" ref="S2143" ca="1" si="3125">IF(AND(R2143&lt;1,S2117=0),0,
IF(S2117=0,R2143-1,
IF(R2143&lt;1,S2118,
(((R2143-1)*(R2119-(R2119/(R2143))))+(S2117*S2118))/(S2119))))</f>
        <v>0</v>
      </c>
      <c r="T2143" s="1423">
        <f t="shared" ref="T2143" ca="1" si="3126">IF(AND(S2143&lt;1,T2117=0),0,
IF(T2117=0,S2143-1,
IF(S2143&lt;1,T2118,
(((S2143-1)*(S2119-(S2119/(S2143))))+(T2117*T2118))/(T2119))))</f>
        <v>0</v>
      </c>
      <c r="U2143" s="1423">
        <f t="shared" ref="U2143" ca="1" si="3127">IF(AND(T2143&lt;1,U2117=0),0,
IF(U2117=0,T2143-1,
IF(T2143&lt;1,U2118,
(((T2143-1)*(T2119-(T2119/(T2143))))+(U2117*U2118))/(U2119))))</f>
        <v>0</v>
      </c>
      <c r="V2143" s="1423">
        <f t="shared" ref="V2143" ca="1" si="3128">IF(AND(U2143&lt;1,V2117=0),0,
IF(V2117=0,U2143-1,
IF(U2143&lt;1,V2118,
(((U2143-1)*(U2119-(U2119/(U2143))))+(V2117*V2118))/(V2119))))</f>
        <v>0</v>
      </c>
      <c r="W2143" s="1423">
        <f t="shared" ref="W2143" ca="1" si="3129">IF(AND(V2143&lt;1,W2117=0),0,
IF(W2117=0,V2143-1,
IF(V2143&lt;1,W2118,
(((V2143-1)*(V2119-(V2119/(V2143))))+(W2117*W2118))/(W2119))))</f>
        <v>0</v>
      </c>
      <c r="X2143" s="152"/>
      <c r="Y2143" s="152"/>
      <c r="Z2143" s="152"/>
      <c r="AA2143" s="152"/>
      <c r="AB2143" s="152"/>
    </row>
    <row r="2144" spans="1:28" hidden="1" outlineLevel="1">
      <c r="A2144" s="152"/>
      <c r="B2144" s="190" t="s">
        <v>193</v>
      </c>
      <c r="C2144" s="1423">
        <f ca="1">C2116</f>
        <v>0</v>
      </c>
      <c r="D2144" s="1423">
        <f t="shared" ref="D2144" ca="1" si="3130">IF(C2144="n/a","n/a",MAX(0,C2144-1))</f>
        <v>0</v>
      </c>
      <c r="E2144" s="1423">
        <f t="shared" ref="E2144:E2145" ca="1" si="3131">IF(D2144="n/a","n/a",MAX(0,D2144-1))</f>
        <v>0</v>
      </c>
      <c r="F2144" s="1423">
        <f t="shared" ref="F2144:F2146" ca="1" si="3132">IF(E2144="n/a","n/a",MAX(0,E2144-1))</f>
        <v>0</v>
      </c>
      <c r="G2144" s="1423">
        <f t="shared" ref="G2144:G2147" ca="1" si="3133">IF(F2144="n/a","n/a",MAX(0,F2144-1))</f>
        <v>0</v>
      </c>
      <c r="H2144" s="1423">
        <f t="shared" ref="H2144:H2148" ca="1" si="3134">IF(G2144="n/a","n/a",MAX(0,G2144-1))</f>
        <v>0</v>
      </c>
      <c r="I2144" s="1423">
        <f t="shared" ref="I2144:I2149" ca="1" si="3135">IF(H2144="n/a","n/a",MAX(0,H2144-1))</f>
        <v>0</v>
      </c>
      <c r="J2144" s="1423">
        <f t="shared" ref="J2144:J2150" ca="1" si="3136">IF(I2144="n/a","n/a",MAX(0,I2144-1))</f>
        <v>0</v>
      </c>
      <c r="K2144" s="1423">
        <f t="shared" ref="K2144:K2151" ca="1" si="3137">IF(J2144="n/a","n/a",MAX(0,J2144-1))</f>
        <v>0</v>
      </c>
      <c r="L2144" s="1423">
        <f t="shared" ref="L2144:L2152" ca="1" si="3138">IF(K2144="n/a","n/a",MAX(0,K2144-1))</f>
        <v>0</v>
      </c>
      <c r="M2144" s="1423">
        <f t="shared" ref="M2144:M2153" ca="1" si="3139">IF(L2144="n/a","n/a",MAX(0,L2144-1))</f>
        <v>0</v>
      </c>
      <c r="N2144" s="1423">
        <f t="shared" ref="N2144:N2154" ca="1" si="3140">IF(M2144="n/a","n/a",MAX(0,M2144-1))</f>
        <v>0</v>
      </c>
      <c r="O2144" s="1423">
        <f t="shared" ref="O2144:O2155" ca="1" si="3141">IF(N2144="n/a","n/a",MAX(0,N2144-1))</f>
        <v>0</v>
      </c>
      <c r="P2144" s="1423">
        <f t="shared" ref="P2144:P2156" ca="1" si="3142">IF(O2144="n/a","n/a",MAX(0,O2144-1))</f>
        <v>0</v>
      </c>
      <c r="Q2144" s="1423">
        <f t="shared" ref="Q2144:Q2157" ca="1" si="3143">IF(P2144="n/a","n/a",MAX(0,P2144-1))</f>
        <v>0</v>
      </c>
      <c r="R2144" s="1423">
        <f t="shared" ref="R2144:R2158" ca="1" si="3144">IF(Q2144="n/a","n/a",MAX(0,Q2144-1))</f>
        <v>0</v>
      </c>
      <c r="S2144" s="1423">
        <f t="shared" ref="S2144:S2159" ca="1" si="3145">IF(R2144="n/a","n/a",MAX(0,R2144-1))</f>
        <v>0</v>
      </c>
      <c r="T2144" s="1423">
        <f t="shared" ref="T2144:T2160" ca="1" si="3146">IF(S2144="n/a","n/a",MAX(0,S2144-1))</f>
        <v>0</v>
      </c>
      <c r="U2144" s="1423">
        <f t="shared" ref="U2144:U2161" ca="1" si="3147">IF(T2144="n/a","n/a",MAX(0,T2144-1))</f>
        <v>0</v>
      </c>
      <c r="V2144" s="1423">
        <f t="shared" ref="V2144:V2162" ca="1" si="3148">IF(U2144="n/a","n/a",MAX(0,U2144-1))</f>
        <v>0</v>
      </c>
      <c r="W2144" s="1423">
        <f t="shared" ref="W2144:W2162" ca="1" si="3149">IF(V2144="n/a","n/a",MAX(0,V2144-1))</f>
        <v>0</v>
      </c>
      <c r="X2144" s="152"/>
      <c r="Y2144" s="152"/>
      <c r="Z2144" s="152"/>
      <c r="AA2144" s="152"/>
      <c r="AB2144" s="152"/>
    </row>
    <row r="2145" spans="1:28" hidden="1" outlineLevel="1">
      <c r="A2145" s="152"/>
      <c r="B2145" s="190" t="str">
        <f t="shared" ref="B2145:B2164" ca="1" si="3150">"RL Capex "&amp;OFFSET($C$6,0,A2121)</f>
        <v>RL Capex 2016-17</v>
      </c>
      <c r="C2145" s="1424"/>
      <c r="D2145" s="1428">
        <f>D2116</f>
        <v>0</v>
      </c>
      <c r="E2145" s="1423">
        <f t="shared" si="3131"/>
        <v>0</v>
      </c>
      <c r="F2145" s="1423">
        <f t="shared" si="3132"/>
        <v>0</v>
      </c>
      <c r="G2145" s="1423">
        <f t="shared" si="3133"/>
        <v>0</v>
      </c>
      <c r="H2145" s="1423">
        <f t="shared" si="3134"/>
        <v>0</v>
      </c>
      <c r="I2145" s="1423">
        <f t="shared" si="3135"/>
        <v>0</v>
      </c>
      <c r="J2145" s="1423">
        <f t="shared" si="3136"/>
        <v>0</v>
      </c>
      <c r="K2145" s="1423">
        <f t="shared" si="3137"/>
        <v>0</v>
      </c>
      <c r="L2145" s="1423">
        <f t="shared" si="3138"/>
        <v>0</v>
      </c>
      <c r="M2145" s="1423">
        <f t="shared" si="3139"/>
        <v>0</v>
      </c>
      <c r="N2145" s="1423">
        <f t="shared" si="3140"/>
        <v>0</v>
      </c>
      <c r="O2145" s="1423">
        <f t="shared" si="3141"/>
        <v>0</v>
      </c>
      <c r="P2145" s="1423">
        <f t="shared" si="3142"/>
        <v>0</v>
      </c>
      <c r="Q2145" s="1423">
        <f t="shared" si="3143"/>
        <v>0</v>
      </c>
      <c r="R2145" s="1423">
        <f t="shared" si="3144"/>
        <v>0</v>
      </c>
      <c r="S2145" s="1423">
        <f t="shared" si="3145"/>
        <v>0</v>
      </c>
      <c r="T2145" s="1423">
        <f t="shared" si="3146"/>
        <v>0</v>
      </c>
      <c r="U2145" s="1423">
        <f t="shared" si="3147"/>
        <v>0</v>
      </c>
      <c r="V2145" s="1423">
        <f t="shared" si="3148"/>
        <v>0</v>
      </c>
      <c r="W2145" s="1423">
        <f t="shared" si="3149"/>
        <v>0</v>
      </c>
      <c r="X2145" s="152"/>
      <c r="Y2145" s="152"/>
      <c r="Z2145" s="152"/>
      <c r="AA2145" s="152"/>
      <c r="AB2145" s="152"/>
    </row>
    <row r="2146" spans="1:28" hidden="1" outlineLevel="1">
      <c r="A2146" s="152"/>
      <c r="B2146" s="190" t="str">
        <f t="shared" ca="1" si="3150"/>
        <v>RL Capex 2017-18</v>
      </c>
      <c r="C2146" s="1429"/>
      <c r="D2146" s="1424"/>
      <c r="E2146" s="1428">
        <f>E2116</f>
        <v>0</v>
      </c>
      <c r="F2146" s="1423">
        <f t="shared" si="3132"/>
        <v>0</v>
      </c>
      <c r="G2146" s="1423">
        <f t="shared" si="3133"/>
        <v>0</v>
      </c>
      <c r="H2146" s="1423">
        <f t="shared" si="3134"/>
        <v>0</v>
      </c>
      <c r="I2146" s="1423">
        <f t="shared" si="3135"/>
        <v>0</v>
      </c>
      <c r="J2146" s="1423">
        <f t="shared" si="3136"/>
        <v>0</v>
      </c>
      <c r="K2146" s="1423">
        <f t="shared" si="3137"/>
        <v>0</v>
      </c>
      <c r="L2146" s="1423">
        <f t="shared" si="3138"/>
        <v>0</v>
      </c>
      <c r="M2146" s="1423">
        <f t="shared" si="3139"/>
        <v>0</v>
      </c>
      <c r="N2146" s="1423">
        <f t="shared" si="3140"/>
        <v>0</v>
      </c>
      <c r="O2146" s="1423">
        <f t="shared" si="3141"/>
        <v>0</v>
      </c>
      <c r="P2146" s="1423">
        <f t="shared" si="3142"/>
        <v>0</v>
      </c>
      <c r="Q2146" s="1423">
        <f t="shared" si="3143"/>
        <v>0</v>
      </c>
      <c r="R2146" s="1423">
        <f t="shared" si="3144"/>
        <v>0</v>
      </c>
      <c r="S2146" s="1423">
        <f t="shared" si="3145"/>
        <v>0</v>
      </c>
      <c r="T2146" s="1423">
        <f t="shared" si="3146"/>
        <v>0</v>
      </c>
      <c r="U2146" s="1423">
        <f t="shared" si="3147"/>
        <v>0</v>
      </c>
      <c r="V2146" s="1423">
        <f t="shared" si="3148"/>
        <v>0</v>
      </c>
      <c r="W2146" s="1423">
        <f t="shared" si="3149"/>
        <v>0</v>
      </c>
      <c r="X2146" s="152"/>
      <c r="Y2146" s="152"/>
      <c r="Z2146" s="152"/>
      <c r="AA2146" s="152"/>
      <c r="AB2146" s="152"/>
    </row>
    <row r="2147" spans="1:28" hidden="1" outlineLevel="1">
      <c r="A2147" s="152"/>
      <c r="B2147" s="190" t="str">
        <f t="shared" ca="1" si="3150"/>
        <v>RL Capex 2018-19</v>
      </c>
      <c r="C2147" s="1429"/>
      <c r="D2147" s="1429"/>
      <c r="E2147" s="1424"/>
      <c r="F2147" s="1428">
        <f>F2116</f>
        <v>0</v>
      </c>
      <c r="G2147" s="1423">
        <f t="shared" si="3133"/>
        <v>0</v>
      </c>
      <c r="H2147" s="1423">
        <f t="shared" si="3134"/>
        <v>0</v>
      </c>
      <c r="I2147" s="1423">
        <f t="shared" si="3135"/>
        <v>0</v>
      </c>
      <c r="J2147" s="1423">
        <f t="shared" si="3136"/>
        <v>0</v>
      </c>
      <c r="K2147" s="1423">
        <f t="shared" si="3137"/>
        <v>0</v>
      </c>
      <c r="L2147" s="1423">
        <f t="shared" si="3138"/>
        <v>0</v>
      </c>
      <c r="M2147" s="1423">
        <f t="shared" si="3139"/>
        <v>0</v>
      </c>
      <c r="N2147" s="1423">
        <f t="shared" si="3140"/>
        <v>0</v>
      </c>
      <c r="O2147" s="1423">
        <f t="shared" si="3141"/>
        <v>0</v>
      </c>
      <c r="P2147" s="1423">
        <f t="shared" si="3142"/>
        <v>0</v>
      </c>
      <c r="Q2147" s="1423">
        <f t="shared" si="3143"/>
        <v>0</v>
      </c>
      <c r="R2147" s="1423">
        <f t="shared" si="3144"/>
        <v>0</v>
      </c>
      <c r="S2147" s="1423">
        <f t="shared" si="3145"/>
        <v>0</v>
      </c>
      <c r="T2147" s="1423">
        <f t="shared" si="3146"/>
        <v>0</v>
      </c>
      <c r="U2147" s="1423">
        <f t="shared" si="3147"/>
        <v>0</v>
      </c>
      <c r="V2147" s="1423">
        <f t="shared" si="3148"/>
        <v>0</v>
      </c>
      <c r="W2147" s="1423">
        <f t="shared" si="3149"/>
        <v>0</v>
      </c>
      <c r="X2147" s="152"/>
      <c r="Y2147" s="152"/>
      <c r="Z2147" s="152"/>
      <c r="AA2147" s="152"/>
      <c r="AB2147" s="152"/>
    </row>
    <row r="2148" spans="1:28" hidden="1" outlineLevel="1">
      <c r="A2148" s="152"/>
      <c r="B2148" s="190" t="str">
        <f t="shared" ca="1" si="3150"/>
        <v>RL Capex 2019-20</v>
      </c>
      <c r="C2148" s="1429"/>
      <c r="D2148" s="1429"/>
      <c r="E2148" s="1429"/>
      <c r="F2148" s="1424"/>
      <c r="G2148" s="1428">
        <f>G2116</f>
        <v>0</v>
      </c>
      <c r="H2148" s="1423">
        <f t="shared" si="3134"/>
        <v>0</v>
      </c>
      <c r="I2148" s="1423">
        <f t="shared" si="3135"/>
        <v>0</v>
      </c>
      <c r="J2148" s="1423">
        <f t="shared" si="3136"/>
        <v>0</v>
      </c>
      <c r="K2148" s="1423">
        <f t="shared" si="3137"/>
        <v>0</v>
      </c>
      <c r="L2148" s="1423">
        <f t="shared" si="3138"/>
        <v>0</v>
      </c>
      <c r="M2148" s="1423">
        <f t="shared" si="3139"/>
        <v>0</v>
      </c>
      <c r="N2148" s="1423">
        <f t="shared" si="3140"/>
        <v>0</v>
      </c>
      <c r="O2148" s="1423">
        <f t="shared" si="3141"/>
        <v>0</v>
      </c>
      <c r="P2148" s="1423">
        <f t="shared" si="3142"/>
        <v>0</v>
      </c>
      <c r="Q2148" s="1423">
        <f t="shared" si="3143"/>
        <v>0</v>
      </c>
      <c r="R2148" s="1423">
        <f t="shared" si="3144"/>
        <v>0</v>
      </c>
      <c r="S2148" s="1423">
        <f t="shared" si="3145"/>
        <v>0</v>
      </c>
      <c r="T2148" s="1423">
        <f t="shared" si="3146"/>
        <v>0</v>
      </c>
      <c r="U2148" s="1423">
        <f t="shared" si="3147"/>
        <v>0</v>
      </c>
      <c r="V2148" s="1423">
        <f t="shared" si="3148"/>
        <v>0</v>
      </c>
      <c r="W2148" s="1423">
        <f t="shared" si="3149"/>
        <v>0</v>
      </c>
      <c r="X2148" s="152"/>
      <c r="Y2148" s="152"/>
      <c r="Z2148" s="152"/>
      <c r="AA2148" s="152"/>
      <c r="AB2148" s="152"/>
    </row>
    <row r="2149" spans="1:28" hidden="1" outlineLevel="1">
      <c r="A2149" s="152"/>
      <c r="B2149" s="190" t="str">
        <f t="shared" ca="1" si="3150"/>
        <v>RL Capex 2020-21</v>
      </c>
      <c r="C2149" s="1429"/>
      <c r="D2149" s="1429"/>
      <c r="E2149" s="1429"/>
      <c r="F2149" s="1429"/>
      <c r="G2149" s="1424"/>
      <c r="H2149" s="1428">
        <f>H2116</f>
        <v>0</v>
      </c>
      <c r="I2149" s="1423">
        <f t="shared" si="3135"/>
        <v>0</v>
      </c>
      <c r="J2149" s="1423">
        <f t="shared" si="3136"/>
        <v>0</v>
      </c>
      <c r="K2149" s="1423">
        <f t="shared" si="3137"/>
        <v>0</v>
      </c>
      <c r="L2149" s="1423">
        <f t="shared" si="3138"/>
        <v>0</v>
      </c>
      <c r="M2149" s="1423">
        <f t="shared" si="3139"/>
        <v>0</v>
      </c>
      <c r="N2149" s="1423">
        <f t="shared" si="3140"/>
        <v>0</v>
      </c>
      <c r="O2149" s="1423">
        <f t="shared" si="3141"/>
        <v>0</v>
      </c>
      <c r="P2149" s="1423">
        <f t="shared" si="3142"/>
        <v>0</v>
      </c>
      <c r="Q2149" s="1423">
        <f t="shared" si="3143"/>
        <v>0</v>
      </c>
      <c r="R2149" s="1423">
        <f t="shared" si="3144"/>
        <v>0</v>
      </c>
      <c r="S2149" s="1423">
        <f t="shared" si="3145"/>
        <v>0</v>
      </c>
      <c r="T2149" s="1423">
        <f t="shared" si="3146"/>
        <v>0</v>
      </c>
      <c r="U2149" s="1423">
        <f t="shared" si="3147"/>
        <v>0</v>
      </c>
      <c r="V2149" s="1423">
        <f t="shared" si="3148"/>
        <v>0</v>
      </c>
      <c r="W2149" s="1423">
        <f t="shared" si="3149"/>
        <v>0</v>
      </c>
      <c r="X2149" s="152"/>
      <c r="Y2149" s="152"/>
      <c r="Z2149" s="152"/>
      <c r="AA2149" s="152"/>
      <c r="AB2149" s="152"/>
    </row>
    <row r="2150" spans="1:28" hidden="1" outlineLevel="1">
      <c r="A2150" s="152"/>
      <c r="B2150" s="190" t="str">
        <f t="shared" ca="1" si="3150"/>
        <v>RL Capex 2021-22</v>
      </c>
      <c r="C2150" s="1429"/>
      <c r="D2150" s="1429"/>
      <c r="E2150" s="1429"/>
      <c r="F2150" s="1429"/>
      <c r="G2150" s="1429"/>
      <c r="H2150" s="1424"/>
      <c r="I2150" s="1428">
        <f>I2116</f>
        <v>0</v>
      </c>
      <c r="J2150" s="1423">
        <f t="shared" si="3136"/>
        <v>0</v>
      </c>
      <c r="K2150" s="1423">
        <f t="shared" si="3137"/>
        <v>0</v>
      </c>
      <c r="L2150" s="1423">
        <f t="shared" si="3138"/>
        <v>0</v>
      </c>
      <c r="M2150" s="1423">
        <f t="shared" si="3139"/>
        <v>0</v>
      </c>
      <c r="N2150" s="1423">
        <f t="shared" si="3140"/>
        <v>0</v>
      </c>
      <c r="O2150" s="1423">
        <f t="shared" si="3141"/>
        <v>0</v>
      </c>
      <c r="P2150" s="1423">
        <f t="shared" si="3142"/>
        <v>0</v>
      </c>
      <c r="Q2150" s="1423">
        <f t="shared" si="3143"/>
        <v>0</v>
      </c>
      <c r="R2150" s="1423">
        <f t="shared" si="3144"/>
        <v>0</v>
      </c>
      <c r="S2150" s="1423">
        <f t="shared" si="3145"/>
        <v>0</v>
      </c>
      <c r="T2150" s="1423">
        <f t="shared" si="3146"/>
        <v>0</v>
      </c>
      <c r="U2150" s="1423">
        <f t="shared" si="3147"/>
        <v>0</v>
      </c>
      <c r="V2150" s="1423">
        <f t="shared" si="3148"/>
        <v>0</v>
      </c>
      <c r="W2150" s="1423">
        <f t="shared" si="3149"/>
        <v>0</v>
      </c>
      <c r="X2150" s="152"/>
      <c r="Y2150" s="152"/>
      <c r="Z2150" s="152"/>
      <c r="AA2150" s="152"/>
      <c r="AB2150" s="152"/>
    </row>
    <row r="2151" spans="1:28" hidden="1" outlineLevel="1">
      <c r="A2151" s="152"/>
      <c r="B2151" s="190" t="str">
        <f t="shared" ca="1" si="3150"/>
        <v>RL Capex 2022-23</v>
      </c>
      <c r="C2151" s="1429"/>
      <c r="D2151" s="1429"/>
      <c r="E2151" s="1429"/>
      <c r="F2151" s="1429"/>
      <c r="G2151" s="1429"/>
      <c r="H2151" s="1429"/>
      <c r="I2151" s="1424"/>
      <c r="J2151" s="1428">
        <f>J2116</f>
        <v>0</v>
      </c>
      <c r="K2151" s="1423">
        <f t="shared" si="3137"/>
        <v>0</v>
      </c>
      <c r="L2151" s="1423">
        <f t="shared" si="3138"/>
        <v>0</v>
      </c>
      <c r="M2151" s="1423">
        <f t="shared" si="3139"/>
        <v>0</v>
      </c>
      <c r="N2151" s="1423">
        <f t="shared" si="3140"/>
        <v>0</v>
      </c>
      <c r="O2151" s="1423">
        <f t="shared" si="3141"/>
        <v>0</v>
      </c>
      <c r="P2151" s="1423">
        <f t="shared" si="3142"/>
        <v>0</v>
      </c>
      <c r="Q2151" s="1423">
        <f t="shared" si="3143"/>
        <v>0</v>
      </c>
      <c r="R2151" s="1423">
        <f t="shared" si="3144"/>
        <v>0</v>
      </c>
      <c r="S2151" s="1423">
        <f t="shared" si="3145"/>
        <v>0</v>
      </c>
      <c r="T2151" s="1423">
        <f t="shared" si="3146"/>
        <v>0</v>
      </c>
      <c r="U2151" s="1423">
        <f t="shared" si="3147"/>
        <v>0</v>
      </c>
      <c r="V2151" s="1423">
        <f t="shared" si="3148"/>
        <v>0</v>
      </c>
      <c r="W2151" s="1423">
        <f t="shared" si="3149"/>
        <v>0</v>
      </c>
      <c r="X2151" s="152"/>
      <c r="Y2151" s="152"/>
      <c r="Z2151" s="152"/>
      <c r="AA2151" s="152"/>
      <c r="AB2151" s="152"/>
    </row>
    <row r="2152" spans="1:28" hidden="1" outlineLevel="1">
      <c r="A2152" s="152"/>
      <c r="B2152" s="190" t="str">
        <f t="shared" ca="1" si="3150"/>
        <v>RL Capex 2023-24</v>
      </c>
      <c r="C2152" s="1429"/>
      <c r="D2152" s="1429"/>
      <c r="E2152" s="1429"/>
      <c r="F2152" s="1429"/>
      <c r="G2152" s="1429"/>
      <c r="H2152" s="1429"/>
      <c r="I2152" s="1429"/>
      <c r="J2152" s="1424"/>
      <c r="K2152" s="1428">
        <f>K2116</f>
        <v>0</v>
      </c>
      <c r="L2152" s="1423">
        <f t="shared" si="3138"/>
        <v>0</v>
      </c>
      <c r="M2152" s="1423">
        <f t="shared" si="3139"/>
        <v>0</v>
      </c>
      <c r="N2152" s="1423">
        <f t="shared" si="3140"/>
        <v>0</v>
      </c>
      <c r="O2152" s="1423">
        <f t="shared" si="3141"/>
        <v>0</v>
      </c>
      <c r="P2152" s="1423">
        <f t="shared" si="3142"/>
        <v>0</v>
      </c>
      <c r="Q2152" s="1423">
        <f t="shared" si="3143"/>
        <v>0</v>
      </c>
      <c r="R2152" s="1423">
        <f t="shared" si="3144"/>
        <v>0</v>
      </c>
      <c r="S2152" s="1423">
        <f t="shared" si="3145"/>
        <v>0</v>
      </c>
      <c r="T2152" s="1423">
        <f t="shared" si="3146"/>
        <v>0</v>
      </c>
      <c r="U2152" s="1423">
        <f t="shared" si="3147"/>
        <v>0</v>
      </c>
      <c r="V2152" s="1423">
        <f t="shared" si="3148"/>
        <v>0</v>
      </c>
      <c r="W2152" s="1423">
        <f t="shared" si="3149"/>
        <v>0</v>
      </c>
      <c r="X2152" s="152"/>
      <c r="Y2152" s="152"/>
      <c r="Z2152" s="152"/>
      <c r="AA2152" s="152"/>
      <c r="AB2152" s="152"/>
    </row>
    <row r="2153" spans="1:28" hidden="1" outlineLevel="1">
      <c r="A2153" s="152"/>
      <c r="B2153" s="190" t="str">
        <f t="shared" ca="1" si="3150"/>
        <v>RL Capex 2024-25</v>
      </c>
      <c r="C2153" s="1429"/>
      <c r="D2153" s="1429"/>
      <c r="E2153" s="1429"/>
      <c r="F2153" s="1429"/>
      <c r="G2153" s="1429"/>
      <c r="H2153" s="1429"/>
      <c r="I2153" s="1429"/>
      <c r="J2153" s="1429"/>
      <c r="K2153" s="1424"/>
      <c r="L2153" s="1428">
        <f>L2116</f>
        <v>0</v>
      </c>
      <c r="M2153" s="1423">
        <f t="shared" si="3139"/>
        <v>0</v>
      </c>
      <c r="N2153" s="1423">
        <f t="shared" si="3140"/>
        <v>0</v>
      </c>
      <c r="O2153" s="1423">
        <f t="shared" si="3141"/>
        <v>0</v>
      </c>
      <c r="P2153" s="1423">
        <f t="shared" si="3142"/>
        <v>0</v>
      </c>
      <c r="Q2153" s="1423">
        <f t="shared" si="3143"/>
        <v>0</v>
      </c>
      <c r="R2153" s="1423">
        <f t="shared" si="3144"/>
        <v>0</v>
      </c>
      <c r="S2153" s="1423">
        <f t="shared" si="3145"/>
        <v>0</v>
      </c>
      <c r="T2153" s="1423">
        <f t="shared" si="3146"/>
        <v>0</v>
      </c>
      <c r="U2153" s="1423">
        <f t="shared" si="3147"/>
        <v>0</v>
      </c>
      <c r="V2153" s="1423">
        <f t="shared" si="3148"/>
        <v>0</v>
      </c>
      <c r="W2153" s="1423">
        <f t="shared" si="3149"/>
        <v>0</v>
      </c>
      <c r="X2153" s="152"/>
      <c r="Y2153" s="152"/>
      <c r="Z2153" s="152"/>
      <c r="AA2153" s="152"/>
      <c r="AB2153" s="152"/>
    </row>
    <row r="2154" spans="1:28" hidden="1" outlineLevel="1">
      <c r="A2154" s="152"/>
      <c r="B2154" s="190" t="str">
        <f t="shared" ca="1" si="3150"/>
        <v>RL Capex 2025-26</v>
      </c>
      <c r="C2154" s="1429"/>
      <c r="D2154" s="1429"/>
      <c r="E2154" s="1429"/>
      <c r="F2154" s="1429"/>
      <c r="G2154" s="1429"/>
      <c r="H2154" s="1429"/>
      <c r="I2154" s="1429"/>
      <c r="J2154" s="1429"/>
      <c r="K2154" s="1429"/>
      <c r="L2154" s="1424"/>
      <c r="M2154" s="1428">
        <f>M2116</f>
        <v>0</v>
      </c>
      <c r="N2154" s="1423">
        <f t="shared" si="3140"/>
        <v>0</v>
      </c>
      <c r="O2154" s="1423">
        <f t="shared" si="3141"/>
        <v>0</v>
      </c>
      <c r="P2154" s="1423">
        <f t="shared" si="3142"/>
        <v>0</v>
      </c>
      <c r="Q2154" s="1423">
        <f t="shared" si="3143"/>
        <v>0</v>
      </c>
      <c r="R2154" s="1423">
        <f t="shared" si="3144"/>
        <v>0</v>
      </c>
      <c r="S2154" s="1423">
        <f t="shared" si="3145"/>
        <v>0</v>
      </c>
      <c r="T2154" s="1423">
        <f t="shared" si="3146"/>
        <v>0</v>
      </c>
      <c r="U2154" s="1423">
        <f t="shared" si="3147"/>
        <v>0</v>
      </c>
      <c r="V2154" s="1423">
        <f t="shared" si="3148"/>
        <v>0</v>
      </c>
      <c r="W2154" s="1423">
        <f t="shared" si="3149"/>
        <v>0</v>
      </c>
      <c r="X2154" s="152"/>
      <c r="Y2154" s="152"/>
      <c r="Z2154" s="152"/>
      <c r="AA2154" s="152"/>
      <c r="AB2154" s="152"/>
    </row>
    <row r="2155" spans="1:28" hidden="1" outlineLevel="1">
      <c r="A2155" s="152"/>
      <c r="B2155" s="190" t="str">
        <f t="shared" ca="1" si="3150"/>
        <v>RL Capex 2026-27</v>
      </c>
      <c r="C2155" s="1429"/>
      <c r="D2155" s="1429"/>
      <c r="E2155" s="1429"/>
      <c r="F2155" s="1429"/>
      <c r="G2155" s="1429"/>
      <c r="H2155" s="1429"/>
      <c r="I2155" s="1429"/>
      <c r="J2155" s="1429"/>
      <c r="K2155" s="1429"/>
      <c r="L2155" s="1429"/>
      <c r="M2155" s="1424"/>
      <c r="N2155" s="1428">
        <f>N2116</f>
        <v>0</v>
      </c>
      <c r="O2155" s="1423">
        <f t="shared" si="3141"/>
        <v>0</v>
      </c>
      <c r="P2155" s="1423">
        <f t="shared" si="3142"/>
        <v>0</v>
      </c>
      <c r="Q2155" s="1423">
        <f t="shared" si="3143"/>
        <v>0</v>
      </c>
      <c r="R2155" s="1423">
        <f t="shared" si="3144"/>
        <v>0</v>
      </c>
      <c r="S2155" s="1423">
        <f t="shared" si="3145"/>
        <v>0</v>
      </c>
      <c r="T2155" s="1423">
        <f t="shared" si="3146"/>
        <v>0</v>
      </c>
      <c r="U2155" s="1423">
        <f t="shared" si="3147"/>
        <v>0</v>
      </c>
      <c r="V2155" s="1423">
        <f t="shared" si="3148"/>
        <v>0</v>
      </c>
      <c r="W2155" s="1423">
        <f t="shared" si="3149"/>
        <v>0</v>
      </c>
      <c r="X2155" s="152"/>
      <c r="Y2155" s="152"/>
      <c r="Z2155" s="152"/>
      <c r="AA2155" s="152"/>
      <c r="AB2155" s="152"/>
    </row>
    <row r="2156" spans="1:28" hidden="1" outlineLevel="1">
      <c r="A2156" s="152"/>
      <c r="B2156" s="190" t="str">
        <f t="shared" ca="1" si="3150"/>
        <v>RL Capex 2027-28</v>
      </c>
      <c r="C2156" s="1429"/>
      <c r="D2156" s="1429"/>
      <c r="E2156" s="1429"/>
      <c r="F2156" s="1429"/>
      <c r="G2156" s="1429"/>
      <c r="H2156" s="1429"/>
      <c r="I2156" s="1429"/>
      <c r="J2156" s="1429"/>
      <c r="K2156" s="1429"/>
      <c r="L2156" s="1429"/>
      <c r="M2156" s="1429"/>
      <c r="N2156" s="1424"/>
      <c r="O2156" s="1428">
        <f>O2116</f>
        <v>0</v>
      </c>
      <c r="P2156" s="1423">
        <f t="shared" si="3142"/>
        <v>0</v>
      </c>
      <c r="Q2156" s="1423">
        <f t="shared" si="3143"/>
        <v>0</v>
      </c>
      <c r="R2156" s="1423">
        <f t="shared" si="3144"/>
        <v>0</v>
      </c>
      <c r="S2156" s="1423">
        <f t="shared" si="3145"/>
        <v>0</v>
      </c>
      <c r="T2156" s="1423">
        <f t="shared" si="3146"/>
        <v>0</v>
      </c>
      <c r="U2156" s="1423">
        <f t="shared" si="3147"/>
        <v>0</v>
      </c>
      <c r="V2156" s="1423">
        <f t="shared" si="3148"/>
        <v>0</v>
      </c>
      <c r="W2156" s="1423">
        <f t="shared" si="3149"/>
        <v>0</v>
      </c>
      <c r="X2156" s="152"/>
      <c r="Y2156" s="152"/>
      <c r="Z2156" s="152"/>
      <c r="AA2156" s="152"/>
      <c r="AB2156" s="152"/>
    </row>
    <row r="2157" spans="1:28" hidden="1" outlineLevel="1">
      <c r="A2157" s="152"/>
      <c r="B2157" s="190" t="str">
        <f t="shared" ca="1" si="3150"/>
        <v>RL Capex 2028-29</v>
      </c>
      <c r="C2157" s="1429"/>
      <c r="D2157" s="1429"/>
      <c r="E2157" s="1429"/>
      <c r="F2157" s="1429"/>
      <c r="G2157" s="1429"/>
      <c r="H2157" s="1429"/>
      <c r="I2157" s="1429"/>
      <c r="J2157" s="1429"/>
      <c r="K2157" s="1429"/>
      <c r="L2157" s="1429"/>
      <c r="M2157" s="1429"/>
      <c r="N2157" s="1429"/>
      <c r="O2157" s="1424"/>
      <c r="P2157" s="1428">
        <f>P2116</f>
        <v>0</v>
      </c>
      <c r="Q2157" s="1423">
        <f t="shared" si="3143"/>
        <v>0</v>
      </c>
      <c r="R2157" s="1423">
        <f t="shared" si="3144"/>
        <v>0</v>
      </c>
      <c r="S2157" s="1423">
        <f t="shared" si="3145"/>
        <v>0</v>
      </c>
      <c r="T2157" s="1423">
        <f t="shared" si="3146"/>
        <v>0</v>
      </c>
      <c r="U2157" s="1423">
        <f t="shared" si="3147"/>
        <v>0</v>
      </c>
      <c r="V2157" s="1423">
        <f t="shared" si="3148"/>
        <v>0</v>
      </c>
      <c r="W2157" s="1423">
        <f t="shared" si="3149"/>
        <v>0</v>
      </c>
      <c r="X2157" s="152"/>
      <c r="Y2157" s="152"/>
      <c r="Z2157" s="152"/>
      <c r="AA2157" s="152"/>
      <c r="AB2157" s="152"/>
    </row>
    <row r="2158" spans="1:28" hidden="1" outlineLevel="1">
      <c r="A2158" s="152"/>
      <c r="B2158" s="190" t="str">
        <f t="shared" ca="1" si="3150"/>
        <v>RL Capex 2029-30</v>
      </c>
      <c r="C2158" s="1429"/>
      <c r="D2158" s="1429"/>
      <c r="E2158" s="1429"/>
      <c r="F2158" s="1429"/>
      <c r="G2158" s="1429"/>
      <c r="H2158" s="1429"/>
      <c r="I2158" s="1429"/>
      <c r="J2158" s="1429"/>
      <c r="K2158" s="1429"/>
      <c r="L2158" s="1429"/>
      <c r="M2158" s="1429"/>
      <c r="N2158" s="1429"/>
      <c r="O2158" s="1429"/>
      <c r="P2158" s="1424"/>
      <c r="Q2158" s="1428">
        <f>Q2116</f>
        <v>0</v>
      </c>
      <c r="R2158" s="1423">
        <f t="shared" si="3144"/>
        <v>0</v>
      </c>
      <c r="S2158" s="1423">
        <f t="shared" si="3145"/>
        <v>0</v>
      </c>
      <c r="T2158" s="1423">
        <f t="shared" si="3146"/>
        <v>0</v>
      </c>
      <c r="U2158" s="1423">
        <f t="shared" si="3147"/>
        <v>0</v>
      </c>
      <c r="V2158" s="1423">
        <f t="shared" si="3148"/>
        <v>0</v>
      </c>
      <c r="W2158" s="1423">
        <f t="shared" si="3149"/>
        <v>0</v>
      </c>
      <c r="X2158" s="152"/>
      <c r="Y2158" s="152"/>
      <c r="Z2158" s="152"/>
      <c r="AA2158" s="152"/>
      <c r="AB2158" s="152"/>
    </row>
    <row r="2159" spans="1:28" hidden="1" outlineLevel="1">
      <c r="A2159" s="152"/>
      <c r="B2159" s="190" t="str">
        <f t="shared" ca="1" si="3150"/>
        <v>RL Capex 2030-31</v>
      </c>
      <c r="C2159" s="1429"/>
      <c r="D2159" s="1429"/>
      <c r="E2159" s="1429"/>
      <c r="F2159" s="1429"/>
      <c r="G2159" s="1429"/>
      <c r="H2159" s="1429"/>
      <c r="I2159" s="1429"/>
      <c r="J2159" s="1429"/>
      <c r="K2159" s="1429"/>
      <c r="L2159" s="1429"/>
      <c r="M2159" s="1429"/>
      <c r="N2159" s="1429"/>
      <c r="O2159" s="1429"/>
      <c r="P2159" s="1429"/>
      <c r="Q2159" s="1424"/>
      <c r="R2159" s="1428">
        <f>R2116</f>
        <v>0</v>
      </c>
      <c r="S2159" s="1423">
        <f t="shared" si="3145"/>
        <v>0</v>
      </c>
      <c r="T2159" s="1423">
        <f t="shared" si="3146"/>
        <v>0</v>
      </c>
      <c r="U2159" s="1423">
        <f t="shared" si="3147"/>
        <v>0</v>
      </c>
      <c r="V2159" s="1423">
        <f t="shared" si="3148"/>
        <v>0</v>
      </c>
      <c r="W2159" s="1423">
        <f t="shared" si="3149"/>
        <v>0</v>
      </c>
      <c r="X2159" s="152"/>
      <c r="Y2159" s="152"/>
      <c r="Z2159" s="152"/>
      <c r="AA2159" s="152"/>
      <c r="AB2159" s="152"/>
    </row>
    <row r="2160" spans="1:28" hidden="1" outlineLevel="1">
      <c r="A2160" s="152"/>
      <c r="B2160" s="190" t="str">
        <f t="shared" ca="1" si="3150"/>
        <v>RL Capex 2031-32</v>
      </c>
      <c r="C2160" s="1429"/>
      <c r="D2160" s="1429"/>
      <c r="E2160" s="1429"/>
      <c r="F2160" s="1429"/>
      <c r="G2160" s="1429"/>
      <c r="H2160" s="1429"/>
      <c r="I2160" s="1429"/>
      <c r="J2160" s="1429"/>
      <c r="K2160" s="1429"/>
      <c r="L2160" s="1429"/>
      <c r="M2160" s="1429"/>
      <c r="N2160" s="1429"/>
      <c r="O2160" s="1429"/>
      <c r="P2160" s="1429"/>
      <c r="Q2160" s="1429"/>
      <c r="R2160" s="1424"/>
      <c r="S2160" s="1428">
        <f>S2116</f>
        <v>0</v>
      </c>
      <c r="T2160" s="1423">
        <f t="shared" si="3146"/>
        <v>0</v>
      </c>
      <c r="U2160" s="1423">
        <f t="shared" si="3147"/>
        <v>0</v>
      </c>
      <c r="V2160" s="1423">
        <f t="shared" si="3148"/>
        <v>0</v>
      </c>
      <c r="W2160" s="1423">
        <f t="shared" si="3149"/>
        <v>0</v>
      </c>
      <c r="X2160" s="152"/>
      <c r="Y2160" s="152"/>
      <c r="Z2160" s="152"/>
      <c r="AA2160" s="152"/>
      <c r="AB2160" s="152"/>
    </row>
    <row r="2161" spans="1:28" hidden="1" outlineLevel="1">
      <c r="A2161" s="152"/>
      <c r="B2161" s="190" t="str">
        <f t="shared" ca="1" si="3150"/>
        <v>RL Capex 2032-33</v>
      </c>
      <c r="C2161" s="1429"/>
      <c r="D2161" s="1429"/>
      <c r="E2161" s="1429"/>
      <c r="F2161" s="1429"/>
      <c r="G2161" s="1429"/>
      <c r="H2161" s="1429"/>
      <c r="I2161" s="1429"/>
      <c r="J2161" s="1429"/>
      <c r="K2161" s="1429"/>
      <c r="L2161" s="1429"/>
      <c r="M2161" s="1429"/>
      <c r="N2161" s="1429"/>
      <c r="O2161" s="1429"/>
      <c r="P2161" s="1429"/>
      <c r="Q2161" s="1429"/>
      <c r="R2161" s="1429"/>
      <c r="S2161" s="1424"/>
      <c r="T2161" s="1428">
        <f>T2116</f>
        <v>0</v>
      </c>
      <c r="U2161" s="1423">
        <f t="shared" si="3147"/>
        <v>0</v>
      </c>
      <c r="V2161" s="1423">
        <f t="shared" si="3148"/>
        <v>0</v>
      </c>
      <c r="W2161" s="1423">
        <f t="shared" si="3149"/>
        <v>0</v>
      </c>
      <c r="X2161" s="152"/>
      <c r="Y2161" s="152"/>
      <c r="Z2161" s="152"/>
      <c r="AA2161" s="152"/>
      <c r="AB2161" s="152"/>
    </row>
    <row r="2162" spans="1:28" hidden="1" outlineLevel="1">
      <c r="A2162" s="152"/>
      <c r="B2162" s="190" t="str">
        <f t="shared" ca="1" si="3150"/>
        <v>RL Capex 2033-34</v>
      </c>
      <c r="C2162" s="1429"/>
      <c r="D2162" s="1429"/>
      <c r="E2162" s="1429"/>
      <c r="F2162" s="1429"/>
      <c r="G2162" s="1429"/>
      <c r="H2162" s="1429"/>
      <c r="I2162" s="1429"/>
      <c r="J2162" s="1429"/>
      <c r="K2162" s="1429"/>
      <c r="L2162" s="1429"/>
      <c r="M2162" s="1429"/>
      <c r="N2162" s="1429"/>
      <c r="O2162" s="1429"/>
      <c r="P2162" s="1429"/>
      <c r="Q2162" s="1429"/>
      <c r="R2162" s="1429"/>
      <c r="S2162" s="1429"/>
      <c r="T2162" s="1424"/>
      <c r="U2162" s="1428">
        <f>U2116</f>
        <v>0</v>
      </c>
      <c r="V2162" s="1423">
        <f t="shared" si="3148"/>
        <v>0</v>
      </c>
      <c r="W2162" s="1423">
        <f t="shared" si="3149"/>
        <v>0</v>
      </c>
      <c r="X2162" s="152"/>
      <c r="Y2162" s="152"/>
      <c r="Z2162" s="152"/>
      <c r="AA2162" s="152"/>
      <c r="AB2162" s="152"/>
    </row>
    <row r="2163" spans="1:28" hidden="1" outlineLevel="1">
      <c r="A2163" s="152"/>
      <c r="B2163" s="190" t="str">
        <f t="shared" ca="1" si="3150"/>
        <v>RL Capex 2034-35</v>
      </c>
      <c r="C2163" s="1429"/>
      <c r="D2163" s="1429"/>
      <c r="E2163" s="1429"/>
      <c r="F2163" s="1429"/>
      <c r="G2163" s="1429"/>
      <c r="H2163" s="1429"/>
      <c r="I2163" s="1429"/>
      <c r="J2163" s="1429"/>
      <c r="K2163" s="1429"/>
      <c r="L2163" s="1429"/>
      <c r="M2163" s="1429"/>
      <c r="N2163" s="1429"/>
      <c r="O2163" s="1429"/>
      <c r="P2163" s="1429"/>
      <c r="Q2163" s="1429"/>
      <c r="R2163" s="1429"/>
      <c r="S2163" s="1429"/>
      <c r="T2163" s="1429"/>
      <c r="U2163" s="1424"/>
      <c r="V2163" s="1428">
        <f>V2116</f>
        <v>0</v>
      </c>
      <c r="W2163" s="1423">
        <f>IF(V2163="n/a","n/a",MAX(0,V2163-1))</f>
        <v>0</v>
      </c>
      <c r="X2163" s="152"/>
      <c r="Y2163" s="152"/>
      <c r="Z2163" s="152"/>
      <c r="AA2163" s="152"/>
      <c r="AB2163" s="152"/>
    </row>
    <row r="2164" spans="1:28" hidden="1" outlineLevel="1">
      <c r="A2164" s="152"/>
      <c r="B2164" s="190" t="str">
        <f t="shared" ca="1" si="3150"/>
        <v>RL Capex 2035-36</v>
      </c>
      <c r="C2164" s="1429"/>
      <c r="D2164" s="1429"/>
      <c r="E2164" s="1429"/>
      <c r="F2164" s="1429"/>
      <c r="G2164" s="1429"/>
      <c r="H2164" s="1429"/>
      <c r="I2164" s="1429"/>
      <c r="J2164" s="1429"/>
      <c r="K2164" s="1429"/>
      <c r="L2164" s="1429"/>
      <c r="M2164" s="1429"/>
      <c r="N2164" s="1429"/>
      <c r="O2164" s="1429"/>
      <c r="P2164" s="1429"/>
      <c r="Q2164" s="1429"/>
      <c r="R2164" s="1429"/>
      <c r="S2164" s="1429"/>
      <c r="T2164" s="1429"/>
      <c r="U2164" s="1429"/>
      <c r="V2164" s="1424"/>
      <c r="W2164" s="1423">
        <f>W2116</f>
        <v>0</v>
      </c>
      <c r="X2164" s="152"/>
      <c r="Y2164" s="152"/>
      <c r="Z2164" s="152"/>
      <c r="AA2164" s="152"/>
      <c r="AB2164" s="152"/>
    </row>
    <row r="2165" spans="1:28" hidden="1" outlineLevel="1">
      <c r="A2165" s="152"/>
      <c r="B2165" s="200"/>
      <c r="C2165" s="1423"/>
      <c r="D2165" s="1423"/>
      <c r="E2165" s="1423"/>
      <c r="F2165" s="1423"/>
      <c r="G2165" s="1423"/>
      <c r="H2165" s="1423"/>
      <c r="I2165" s="1423"/>
      <c r="J2165" s="1423"/>
      <c r="K2165" s="1423"/>
      <c r="L2165" s="1423"/>
      <c r="M2165" s="1423"/>
      <c r="N2165" s="1423"/>
      <c r="O2165" s="1423"/>
      <c r="P2165" s="1423"/>
      <c r="Q2165" s="1423"/>
      <c r="R2165" s="1423"/>
      <c r="S2165" s="1423"/>
      <c r="T2165" s="1423"/>
      <c r="U2165" s="1423"/>
      <c r="V2165" s="1423"/>
      <c r="W2165" s="1423"/>
      <c r="X2165" s="152"/>
      <c r="Y2165" s="152"/>
      <c r="Z2165" s="152"/>
      <c r="AA2165" s="152"/>
      <c r="AB2165" s="152"/>
    </row>
    <row r="2166" spans="1:28" collapsed="1">
      <c r="A2166" s="194"/>
      <c r="B2166" s="204" t="s">
        <v>123</v>
      </c>
      <c r="C2166" s="1430">
        <f ca="1">(IF(OR($C2116&lt;&gt;"n/a",C2116&lt;&gt;"n/a"),IF(SUM(C2119:C2141)=0,0,IF((SUMPRODUCT(C2119:C2141,C2143:C2165)/SUM(C2119:C2141))&lt;0,1,(SUMPRODUCT(C2119:C2141,C2143:C2165)/SUM(C2119:C2141)))),"n/a"))</f>
        <v>0</v>
      </c>
      <c r="D2166" s="1430">
        <f ca="1">(IF(OR($C2116&lt;&gt;"n/a",D2116&lt;&gt;"n/a"),IF(SUM(D2119:D2141)=0,0,IF((SUMPRODUCT(D2119:D2141,D2143:D2165)/SUM(D2119:D2141))&lt;0,1,(SUMPRODUCT(D2119:D2141,D2143:D2165)/SUM(D2119:D2141)))),"n/a"))</f>
        <v>0</v>
      </c>
      <c r="E2166" s="1430">
        <f t="shared" ref="E2166:W2166" ca="1" si="3151">(IF(OR($C2116&lt;&gt;"n/a",E2116&lt;&gt;"n/a"),IF(SUM(E2119:E2141)=0,0,IF((SUMPRODUCT(E2119:E2141,E2143:E2165)/SUM(E2119:E2141))&lt;0,1,(SUMPRODUCT(E2119:E2141,E2143:E2165)/SUM(E2119:E2141)))),"n/a"))</f>
        <v>0</v>
      </c>
      <c r="F2166" s="1430">
        <f t="shared" ca="1" si="3151"/>
        <v>0</v>
      </c>
      <c r="G2166" s="1430">
        <f t="shared" ca="1" si="3151"/>
        <v>0</v>
      </c>
      <c r="H2166" s="1430">
        <f t="shared" ca="1" si="3151"/>
        <v>0</v>
      </c>
      <c r="I2166" s="1430">
        <f t="shared" ca="1" si="3151"/>
        <v>0</v>
      </c>
      <c r="J2166" s="1430">
        <f t="shared" ca="1" si="3151"/>
        <v>0</v>
      </c>
      <c r="K2166" s="1430">
        <f t="shared" ca="1" si="3151"/>
        <v>0</v>
      </c>
      <c r="L2166" s="1430">
        <f t="shared" ca="1" si="3151"/>
        <v>0</v>
      </c>
      <c r="M2166" s="1430">
        <f t="shared" ca="1" si="3151"/>
        <v>0</v>
      </c>
      <c r="N2166" s="1430">
        <f t="shared" ca="1" si="3151"/>
        <v>0</v>
      </c>
      <c r="O2166" s="1430">
        <f t="shared" ca="1" si="3151"/>
        <v>0</v>
      </c>
      <c r="P2166" s="1430">
        <f t="shared" ca="1" si="3151"/>
        <v>0</v>
      </c>
      <c r="Q2166" s="1430">
        <f t="shared" ca="1" si="3151"/>
        <v>0</v>
      </c>
      <c r="R2166" s="1430">
        <f t="shared" ca="1" si="3151"/>
        <v>0</v>
      </c>
      <c r="S2166" s="1430">
        <f t="shared" ca="1" si="3151"/>
        <v>0</v>
      </c>
      <c r="T2166" s="1430">
        <f t="shared" ca="1" si="3151"/>
        <v>0</v>
      </c>
      <c r="U2166" s="1430">
        <f t="shared" ca="1" si="3151"/>
        <v>0</v>
      </c>
      <c r="V2166" s="1430">
        <f t="shared" ca="1" si="3151"/>
        <v>0</v>
      </c>
      <c r="W2166" s="1430">
        <f t="shared" ca="1" si="3151"/>
        <v>0</v>
      </c>
      <c r="X2166" s="152"/>
      <c r="Y2166" s="152"/>
      <c r="Z2166" s="152"/>
      <c r="AA2166" s="152"/>
      <c r="AB2166" s="152"/>
    </row>
    <row r="2167" spans="1:28">
      <c r="A2167" s="152"/>
      <c r="B2167" s="152"/>
      <c r="C2167" s="1423"/>
      <c r="D2167" s="1423"/>
      <c r="E2167" s="1423"/>
      <c r="F2167" s="1423"/>
      <c r="G2167" s="1423"/>
      <c r="H2167" s="1423"/>
      <c r="I2167" s="1423"/>
      <c r="J2167" s="1423"/>
      <c r="K2167" s="1423"/>
      <c r="L2167" s="1423"/>
      <c r="M2167" s="1423"/>
      <c r="N2167" s="1423"/>
      <c r="O2167" s="1423"/>
      <c r="P2167" s="1423"/>
      <c r="Q2167" s="1423"/>
      <c r="R2167" s="1423"/>
      <c r="S2167" s="1423"/>
      <c r="T2167" s="1423"/>
      <c r="U2167" s="1423"/>
      <c r="V2167" s="1423"/>
      <c r="W2167" s="1423"/>
      <c r="X2167" s="152"/>
      <c r="Y2167" s="152"/>
      <c r="Z2167" s="152"/>
      <c r="AA2167" s="152"/>
      <c r="AB2167" s="152"/>
    </row>
    <row r="2168" spans="1:28">
      <c r="A2168" s="269" t="s">
        <v>107</v>
      </c>
      <c r="B2168" s="270">
        <f>VLOOKUP($A2168,'RFM input'!$E$7:$F$56,2,FALSE)</f>
        <v>0</v>
      </c>
      <c r="C2168" s="1431"/>
      <c r="D2168" s="1431"/>
      <c r="E2168" s="1432"/>
      <c r="F2168" s="1432"/>
      <c r="G2168" s="1432"/>
      <c r="H2168" s="1432"/>
      <c r="I2168" s="1432"/>
      <c r="J2168" s="1432"/>
      <c r="K2168" s="1432"/>
      <c r="L2168" s="1432"/>
      <c r="M2168" s="1432"/>
      <c r="N2168" s="1432"/>
      <c r="O2168" s="1432"/>
      <c r="P2168" s="1432"/>
      <c r="Q2168" s="1432"/>
      <c r="R2168" s="1432"/>
      <c r="S2168" s="1432"/>
      <c r="T2168" s="1432"/>
      <c r="U2168" s="1432"/>
      <c r="V2168" s="1432"/>
      <c r="W2168" s="1432"/>
      <c r="X2168" s="152"/>
      <c r="Y2168" s="152"/>
      <c r="Z2168" s="152"/>
      <c r="AA2168" s="152"/>
      <c r="AB2168" s="152"/>
    </row>
    <row r="2169" spans="1:28">
      <c r="A2169" s="215">
        <f>VALUE(REPLACE(A2168,1,12,""))</f>
        <v>41</v>
      </c>
      <c r="B2169" s="193" t="s">
        <v>126</v>
      </c>
      <c r="C2169" s="1416">
        <f ca="1">IF($D$6='TAB roll forward'!$H$4,OFFSET('TAB roll forward'!$H$7,A2169,0),"enter input")</f>
        <v>0</v>
      </c>
      <c r="D2169" s="1417">
        <f>IF(LEFT(D$6,4)&lt;LEFT('RFM input'!$G$60,4),"enter input",IF(LEFT(D$6,4)&gt;LEFT('RFM input'!$Q$60,4),0,
INDEX('RFM input'!$G$61:$Q$110,$A2169,MATCH(D$6,'RFM input'!$G$60:$Q$60,0))
   -INDEX('RFM input'!$G$115:$Q$164,$A2169,MATCH(D$6,'RFM input'!$G$60:$Q$60,0))))</f>
        <v>0</v>
      </c>
      <c r="E2169" s="1417">
        <f>IF(LEFT(E$6,4)&lt;LEFT('RFM input'!$G$60,4),"enter input",IF(LEFT(E$6,4)&gt;LEFT('RFM input'!$Q$60,4),0,
INDEX('RFM input'!$G$61:$Q$110,$A2169,MATCH(E$6,'RFM input'!$G$60:$Q$60,0))
   -INDEX('RFM input'!$G$115:$Q$164,$A2169,MATCH(E$6,'RFM input'!$G$60:$Q$60,0))))</f>
        <v>0</v>
      </c>
      <c r="F2169" s="1417">
        <f>IF(LEFT(F$6,4)&lt;LEFT('RFM input'!$G$60,4),"enter input",IF(LEFT(F$6,4)&gt;LEFT('RFM input'!$Q$60,4),0,
INDEX('RFM input'!$G$61:$Q$110,$A2169,MATCH(F$6,'RFM input'!$G$60:$Q$60,0))
   -INDEX('RFM input'!$G$115:$Q$164,$A2169,MATCH(F$6,'RFM input'!$G$60:$Q$60,0))))</f>
        <v>0</v>
      </c>
      <c r="G2169" s="1417">
        <f>IF(LEFT(G$6,4)&lt;LEFT('RFM input'!$G$60,4),"enter input",IF(LEFT(G$6,4)&gt;LEFT('RFM input'!$Q$60,4),0,
INDEX('RFM input'!$G$61:$Q$110,$A2169,MATCH(G$6,'RFM input'!$G$60:$Q$60,0))
   -INDEX('RFM input'!$G$115:$Q$164,$A2169,MATCH(G$6,'RFM input'!$G$60:$Q$60,0))))</f>
        <v>0</v>
      </c>
      <c r="H2169" s="1417">
        <f>IF(LEFT(H$6,4)&lt;LEFT('RFM input'!$G$60,4),"enter input",IF(LEFT(H$6,4)&gt;LEFT('RFM input'!$Q$60,4),0,
INDEX('RFM input'!$G$61:$Q$110,$A2169,MATCH(H$6,'RFM input'!$G$60:$Q$60,0))
   -INDEX('RFM input'!$G$115:$Q$164,$A2169,MATCH(H$6,'RFM input'!$G$60:$Q$60,0))))</f>
        <v>0</v>
      </c>
      <c r="I2169" s="1417">
        <f>IF(LEFT(I$6,4)&lt;LEFT('RFM input'!$G$60,4),"enter input",IF(LEFT(I$6,4)&gt;LEFT('RFM input'!$Q$60,4),0,
INDEX('RFM input'!$G$61:$Q$110,$A2169,MATCH(I$6,'RFM input'!$G$60:$Q$60,0))
   -INDEX('RFM input'!$G$115:$Q$164,$A2169,MATCH(I$6,'RFM input'!$G$60:$Q$60,0))))</f>
        <v>0</v>
      </c>
      <c r="J2169" s="1417">
        <f>IF(LEFT(J$6,4)&lt;LEFT('RFM input'!$G$60,4),"enter input",IF(LEFT(J$6,4)&gt;LEFT('RFM input'!$Q$60,4),0,
INDEX('RFM input'!$G$61:$Q$110,$A2169,MATCH(J$6,'RFM input'!$G$60:$Q$60,0))
   -INDEX('RFM input'!$G$115:$Q$164,$A2169,MATCH(J$6,'RFM input'!$G$60:$Q$60,0))))</f>
        <v>0</v>
      </c>
      <c r="K2169" s="1417">
        <f>IF(LEFT(K$6,4)&lt;LEFT('RFM input'!$G$60,4),"enter input",IF(LEFT(K$6,4)&gt;LEFT('RFM input'!$Q$60,4),0,
INDEX('RFM input'!$G$61:$Q$110,$A2169,MATCH(K$6,'RFM input'!$G$60:$Q$60,0))
   -INDEX('RFM input'!$G$115:$Q$164,$A2169,MATCH(K$6,'RFM input'!$G$60:$Q$60,0))))</f>
        <v>0</v>
      </c>
      <c r="L2169" s="1417">
        <f>IF(LEFT(L$6,4)&lt;LEFT('RFM input'!$G$60,4),"enter input",IF(LEFT(L$6,4)&gt;LEFT('RFM input'!$Q$60,4),0,
INDEX('RFM input'!$G$61:$Q$110,$A2169,MATCH(L$6,'RFM input'!$G$60:$Q$60,0))
   -INDEX('RFM input'!$G$115:$Q$164,$A2169,MATCH(L$6,'RFM input'!$G$60:$Q$60,0))))</f>
        <v>0</v>
      </c>
      <c r="M2169" s="1417">
        <f>IF(LEFT(M$6,4)&lt;LEFT('RFM input'!$G$60,4),"enter input",IF(LEFT(M$6,4)&gt;LEFT('RFM input'!$Q$60,4),0,
INDEX('RFM input'!$G$61:$Q$110,$A2169,MATCH(M$6,'RFM input'!$G$60:$Q$60,0))
   -INDEX('RFM input'!$G$115:$Q$164,$A2169,MATCH(M$6,'RFM input'!$G$60:$Q$60,0))))</f>
        <v>0</v>
      </c>
      <c r="N2169" s="1417">
        <f>IF(LEFT(N$6,4)&lt;LEFT('RFM input'!$G$60,4),"enter input",IF(LEFT(N$6,4)&gt;LEFT('RFM input'!$Q$60,4),0,
INDEX('RFM input'!$G$61:$Q$110,$A2169,MATCH(N$6,'RFM input'!$G$60:$Q$60,0))
   -INDEX('RFM input'!$G$115:$Q$164,$A2169,MATCH(N$6,'RFM input'!$G$60:$Q$60,0))))</f>
        <v>0</v>
      </c>
      <c r="O2169" s="1417">
        <f>IF(LEFT(O$6,4)&lt;LEFT('RFM input'!$G$60,4),"enter input",IF(LEFT(O$6,4)&gt;LEFT('RFM input'!$Q$60,4),0,
INDEX('RFM input'!$G$61:$Q$110,$A2169,MATCH(O$6,'RFM input'!$G$60:$Q$60,0))
   -INDEX('RFM input'!$G$115:$Q$164,$A2169,MATCH(O$6,'RFM input'!$G$60:$Q$60,0))))</f>
        <v>0</v>
      </c>
      <c r="P2169" s="1417">
        <f>IF(LEFT(P$6,4)&lt;LEFT('RFM input'!$G$60,4),"enter input",IF(LEFT(P$6,4)&gt;LEFT('RFM input'!$Q$60,4),0,
INDEX('RFM input'!$G$61:$Q$110,$A2169,MATCH(P$6,'RFM input'!$G$60:$Q$60,0))
   -INDEX('RFM input'!$G$115:$Q$164,$A2169,MATCH(P$6,'RFM input'!$G$60:$Q$60,0))))</f>
        <v>0</v>
      </c>
      <c r="Q2169" s="1417">
        <f>IF(LEFT(Q$6,4)&lt;LEFT('RFM input'!$G$60,4),"enter input",IF(LEFT(Q$6,4)&gt;LEFT('RFM input'!$Q$60,4),0,
INDEX('RFM input'!$G$61:$Q$110,$A2169,MATCH(Q$6,'RFM input'!$G$60:$Q$60,0))
   -INDEX('RFM input'!$G$115:$Q$164,$A2169,MATCH(Q$6,'RFM input'!$G$60:$Q$60,0))))</f>
        <v>0</v>
      </c>
      <c r="R2169" s="1417">
        <f>IF(LEFT(R$6,4)&lt;LEFT('RFM input'!$G$60,4),"enter input",IF(LEFT(R$6,4)&gt;LEFT('RFM input'!$Q$60,4),0,
INDEX('RFM input'!$G$61:$Q$110,$A2169,MATCH(R$6,'RFM input'!$G$60:$Q$60,0))
   -INDEX('RFM input'!$G$115:$Q$164,$A2169,MATCH(R$6,'RFM input'!$G$60:$Q$60,0))))</f>
        <v>0</v>
      </c>
      <c r="S2169" s="1417">
        <f>IF(LEFT(S$6,4)&lt;LEFT('RFM input'!$G$60,4),"enter input",IF(LEFT(S$6,4)&gt;LEFT('RFM input'!$Q$60,4),0,
INDEX('RFM input'!$G$61:$Q$110,$A2169,MATCH(S$6,'RFM input'!$G$60:$Q$60,0))
   -INDEX('RFM input'!$G$115:$Q$164,$A2169,MATCH(S$6,'RFM input'!$G$60:$Q$60,0))))</f>
        <v>0</v>
      </c>
      <c r="T2169" s="1417">
        <f>IF(LEFT(T$6,4)&lt;LEFT('RFM input'!$G$60,4),"enter input",IF(LEFT(T$6,4)&gt;LEFT('RFM input'!$Q$60,4),0,
INDEX('RFM input'!$G$61:$Q$110,$A2169,MATCH(T$6,'RFM input'!$G$60:$Q$60,0))
   -INDEX('RFM input'!$G$115:$Q$164,$A2169,MATCH(T$6,'RFM input'!$G$60:$Q$60,0))))</f>
        <v>0</v>
      </c>
      <c r="U2169" s="1417">
        <f>IF(LEFT(U$6,4)&lt;LEFT('RFM input'!$G$60,4),"enter input",IF(LEFT(U$6,4)&gt;LEFT('RFM input'!$Q$60,4),0,
INDEX('RFM input'!$G$61:$Q$110,$A2169,MATCH(U$6,'RFM input'!$G$60:$Q$60,0))
   -INDEX('RFM input'!$G$115:$Q$164,$A2169,MATCH(U$6,'RFM input'!$G$60:$Q$60,0))))</f>
        <v>0</v>
      </c>
      <c r="V2169" s="1417">
        <f>IF(LEFT(V$6,4)&lt;LEFT('RFM input'!$G$60,4),"enter input",IF(LEFT(V$6,4)&gt;LEFT('RFM input'!$Q$60,4),0,
INDEX('RFM input'!$G$61:$Q$110,$A2169,MATCH(V$6,'RFM input'!$G$60:$Q$60,0))
   -INDEX('RFM input'!$G$115:$Q$164,$A2169,MATCH(V$6,'RFM input'!$G$60:$Q$60,0))))</f>
        <v>0</v>
      </c>
      <c r="W2169" s="1417">
        <f>IF(LEFT(W$6,4)&lt;LEFT('RFM input'!$G$60,4),"enter input",IF(LEFT(W$6,4)&gt;LEFT('RFM input'!$Q$60,4),0,
INDEX('RFM input'!$G$61:$Q$110,$A2169,MATCH(W$6,'RFM input'!$G$60:$Q$60,0))
   -INDEX('RFM input'!$G$115:$Q$164,$A2169,MATCH(W$6,'RFM input'!$G$60:$Q$60,0))))</f>
        <v>0</v>
      </c>
      <c r="X2169" s="152"/>
      <c r="Y2169" s="152"/>
      <c r="Z2169" s="152"/>
      <c r="AA2169" s="152"/>
      <c r="AB2169" s="152"/>
    </row>
    <row r="2170" spans="1:28">
      <c r="A2170" s="152"/>
      <c r="B2170" s="152" t="s">
        <v>205</v>
      </c>
      <c r="C2170" s="1418">
        <f ca="1">IF($D$6='TAB roll forward'!$H$4,OFFSET('RFM input'!$S$6,$A2169,0),"enter input")</f>
        <v>0</v>
      </c>
      <c r="D2170" s="1417">
        <f>IF(LEFT(D$6,4)&lt;=LEFT('RFM input'!$G$60,4),"enter input",IF(LEFT(D$6,4)&gt;LEFT('RFM input'!$Q$60,4),0,
IF(MATCH(D$6,'RFM input'!$H$60:$Q$60,0),INDEX('RFM input'!$T$7:$T$56,$A2169,1,1))))</f>
        <v>0</v>
      </c>
      <c r="E2170" s="1417">
        <f>IF(LEFT(E$6,4)&lt;=LEFT('RFM input'!$G$60,4),"enter input",IF(LEFT(E$6,4)&gt;LEFT('RFM input'!$Q$60,4),0,
IF(MATCH(E$6,'RFM input'!$H$60:$Q$60,0),INDEX('RFM input'!$T$7:$T$56,$A2169,1,1))))</f>
        <v>0</v>
      </c>
      <c r="F2170" s="1417">
        <f>IF(LEFT(F$6,4)&lt;=LEFT('RFM input'!$G$60,4),"enter input",IF(LEFT(F$6,4)&gt;LEFT('RFM input'!$Q$60,4),0,
IF(MATCH(F$6,'RFM input'!$H$60:$Q$60,0),INDEX('RFM input'!$T$7:$T$56,$A2169,1,1))))</f>
        <v>0</v>
      </c>
      <c r="G2170" s="1417">
        <f>IF(LEFT(G$6,4)&lt;=LEFT('RFM input'!$G$60,4),"enter input",IF(LEFT(G$6,4)&gt;LEFT('RFM input'!$Q$60,4),0,
IF(MATCH(G$6,'RFM input'!$H$60:$Q$60,0),INDEX('RFM input'!$T$7:$T$56,$A2169,1,1))))</f>
        <v>0</v>
      </c>
      <c r="H2170" s="1417">
        <f>IF(LEFT(H$6,4)&lt;=LEFT('RFM input'!$G$60,4),"enter input",IF(LEFT(H$6,4)&gt;LEFT('RFM input'!$Q$60,4),0,
IF(MATCH(H$6,'RFM input'!$H$60:$Q$60,0),INDEX('RFM input'!$T$7:$T$56,$A2169,1,1))))</f>
        <v>0</v>
      </c>
      <c r="I2170" s="1417">
        <f>IF(LEFT(I$6,4)&lt;=LEFT('RFM input'!$G$60,4),"enter input",IF(LEFT(I$6,4)&gt;LEFT('RFM input'!$Q$60,4),0,
IF(MATCH(I$6,'RFM input'!$H$60:$Q$60,0),INDEX('RFM input'!$T$7:$T$56,$A2169,1,1))))</f>
        <v>0</v>
      </c>
      <c r="J2170" s="1417">
        <f>IF(LEFT(J$6,4)&lt;=LEFT('RFM input'!$G$60,4),"enter input",IF(LEFT(J$6,4)&gt;LEFT('RFM input'!$Q$60,4),0,
IF(MATCH(J$6,'RFM input'!$H$60:$Q$60,0),INDEX('RFM input'!$T$7:$T$56,$A2169,1,1))))</f>
        <v>0</v>
      </c>
      <c r="K2170" s="1417">
        <f>IF(LEFT(K$6,4)&lt;=LEFT('RFM input'!$G$60,4),"enter input",IF(LEFT(K$6,4)&gt;LEFT('RFM input'!$Q$60,4),0,
IF(MATCH(K$6,'RFM input'!$H$60:$Q$60,0),INDEX('RFM input'!$T$7:$T$56,$A2169,1,1))))</f>
        <v>0</v>
      </c>
      <c r="L2170" s="1417">
        <f>IF(LEFT(L$6,4)&lt;=LEFT('RFM input'!$G$60,4),"enter input",IF(LEFT(L$6,4)&gt;LEFT('RFM input'!$Q$60,4),0,
IF(MATCH(L$6,'RFM input'!$H$60:$Q$60,0),INDEX('RFM input'!$T$7:$T$56,$A2169,1,1))))</f>
        <v>0</v>
      </c>
      <c r="M2170" s="1417">
        <f>IF(LEFT(M$6,4)&lt;=LEFT('RFM input'!$G$60,4),"enter input",IF(LEFT(M$6,4)&gt;LEFT('RFM input'!$Q$60,4),0,
IF(MATCH(M$6,'RFM input'!$H$60:$Q$60,0),INDEX('RFM input'!$T$7:$T$56,$A2169,1,1))))</f>
        <v>0</v>
      </c>
      <c r="N2170" s="1417">
        <f>IF(LEFT(N$6,4)&lt;=LEFT('RFM input'!$G$60,4),"enter input",IF(LEFT(N$6,4)&gt;LEFT('RFM input'!$Q$60,4),0,
IF(MATCH(N$6,'RFM input'!$H$60:$Q$60,0),INDEX('RFM input'!$T$7:$T$56,$A2169,1,1))))</f>
        <v>0</v>
      </c>
      <c r="O2170" s="1417">
        <f>IF(LEFT(O$6,4)&lt;=LEFT('RFM input'!$G$60,4),"enter input",IF(LEFT(O$6,4)&gt;LEFT('RFM input'!$Q$60,4),0,
IF(MATCH(O$6,'RFM input'!$H$60:$Q$60,0),INDEX('RFM input'!$T$7:$T$56,$A2169,1,1))))</f>
        <v>0</v>
      </c>
      <c r="P2170" s="1417">
        <f>IF(LEFT(P$6,4)&lt;=LEFT('RFM input'!$G$60,4),"enter input",IF(LEFT(P$6,4)&gt;LEFT('RFM input'!$Q$60,4),0,
IF(MATCH(P$6,'RFM input'!$H$60:$Q$60,0),INDEX('RFM input'!$T$7:$T$56,$A2169,1,1))))</f>
        <v>0</v>
      </c>
      <c r="Q2170" s="1417">
        <f>IF(LEFT(Q$6,4)&lt;=LEFT('RFM input'!$G$60,4),"enter input",IF(LEFT(Q$6,4)&gt;LEFT('RFM input'!$Q$60,4),0,
IF(MATCH(Q$6,'RFM input'!$H$60:$Q$60,0),INDEX('RFM input'!$T$7:$T$56,$A2169,1,1))))</f>
        <v>0</v>
      </c>
      <c r="R2170" s="1417">
        <f>IF(LEFT(R$6,4)&lt;=LEFT('RFM input'!$G$60,4),"enter input",IF(LEFT(R$6,4)&gt;LEFT('RFM input'!$Q$60,4),0,
IF(MATCH(R$6,'RFM input'!$H$60:$Q$60,0),INDEX('RFM input'!$T$7:$T$56,$A2169,1,1))))</f>
        <v>0</v>
      </c>
      <c r="S2170" s="1417">
        <f>IF(LEFT(S$6,4)&lt;=LEFT('RFM input'!$G$60,4),"enter input",IF(LEFT(S$6,4)&gt;LEFT('RFM input'!$Q$60,4),0,
IF(MATCH(S$6,'RFM input'!$H$60:$Q$60,0),INDEX('RFM input'!$T$7:$T$56,$A2169,1,1))))</f>
        <v>0</v>
      </c>
      <c r="T2170" s="1417">
        <f>IF(LEFT(T$6,4)&lt;=LEFT('RFM input'!$G$60,4),"enter input",IF(LEFT(T$6,4)&gt;LEFT('RFM input'!$Q$60,4),0,
IF(MATCH(T$6,'RFM input'!$H$60:$Q$60,0),INDEX('RFM input'!$T$7:$T$56,$A2169,1,1))))</f>
        <v>0</v>
      </c>
      <c r="U2170" s="1417">
        <f>IF(LEFT(U$6,4)&lt;=LEFT('RFM input'!$G$60,4),"enter input",IF(LEFT(U$6,4)&gt;LEFT('RFM input'!$Q$60,4),0,
IF(MATCH(U$6,'RFM input'!$H$60:$Q$60,0),INDEX('RFM input'!$T$7:$T$56,$A2169,1,1))))</f>
        <v>0</v>
      </c>
      <c r="V2170" s="1417">
        <f>IF(LEFT(V$6,4)&lt;=LEFT('RFM input'!$G$60,4),"enter input",IF(LEFT(V$6,4)&gt;LEFT('RFM input'!$Q$60,4),0,
IF(MATCH(V$6,'RFM input'!$H$60:$Q$60,0),INDEX('RFM input'!$T$7:$T$56,$A2169,1,1))))</f>
        <v>0</v>
      </c>
      <c r="W2170" s="1417">
        <f>IF(LEFT(W$6,4)&lt;=LEFT('RFM input'!$G$60,4),"enter input",IF(LEFT(W$6,4)&gt;LEFT('RFM input'!$Q$60,4),0,
IF(MATCH(W$6,'RFM input'!$H$60:$Q$60,0),INDEX('RFM input'!$T$7:$T$56,$A2169,1,1))))</f>
        <v>0</v>
      </c>
      <c r="X2170" s="152"/>
      <c r="Y2170" s="152"/>
      <c r="Z2170" s="152"/>
      <c r="AA2170" s="152"/>
      <c r="AB2170" s="152"/>
    </row>
    <row r="2171" spans="1:28">
      <c r="A2171" s="152"/>
      <c r="B2171" s="193" t="s">
        <v>192</v>
      </c>
      <c r="C2171" s="1419"/>
      <c r="D2171" s="1420">
        <f ca="1">IF(LEFT(D$6,4)&lt;=LEFT('RFM input'!$G$60,4),"enter input",IF(LEFT(D$6,4)&gt;LEFT('RFM input'!$Q$60,4),0,
IF(D$6=(OFFSET('RFM input'!$G$60,0,'RFM input'!$V$7)),OFFSET('RFM input'!$H$411,$A2169,0),0)))</f>
        <v>0</v>
      </c>
      <c r="E2171" s="1417">
        <f ca="1">IF(LEFT(E$6,4)&lt;=LEFT('RFM input'!$G$60,4),"enter input",IF(LEFT(E$6,4)&gt;LEFT('RFM input'!$Q$60,4),0,
IF(E$6=(OFFSET('RFM input'!$G$60,0,'RFM input'!$V$7)),OFFSET('RFM input'!$H$411,$A2169,0),0)))</f>
        <v>0</v>
      </c>
      <c r="F2171" s="1417">
        <f ca="1">IF(LEFT(F$6,4)&lt;=LEFT('RFM input'!$G$60,4),"enter input",IF(LEFT(F$6,4)&gt;LEFT('RFM input'!$Q$60,4),0,
IF(F$6=(OFFSET('RFM input'!$G$60,0,'RFM input'!$V$7)),OFFSET('RFM input'!$H$411,$A2169,0),0)))</f>
        <v>0</v>
      </c>
      <c r="G2171" s="1417">
        <f ca="1">IF(LEFT(G$6,4)&lt;=LEFT('RFM input'!$G$60,4),"enter input",IF(LEFT(G$6,4)&gt;LEFT('RFM input'!$Q$60,4),0,
IF(G$6=(OFFSET('RFM input'!$G$60,0,'RFM input'!$V$7)),OFFSET('RFM input'!$H$411,$A2169,0),0)))</f>
        <v>0</v>
      </c>
      <c r="H2171" s="1417">
        <f ca="1">IF(LEFT(H$6,4)&lt;=LEFT('RFM input'!$G$60,4),"enter input",IF(LEFT(H$6,4)&gt;LEFT('RFM input'!$Q$60,4),0,
IF(H$6=(OFFSET('RFM input'!$G$60,0,'RFM input'!$V$7)),OFFSET('RFM input'!$H$411,$A2169,0),0)))</f>
        <v>0</v>
      </c>
      <c r="I2171" s="1417">
        <f ca="1">IF(LEFT(I$6,4)&lt;=LEFT('RFM input'!$G$60,4),"enter input",IF(LEFT(I$6,4)&gt;LEFT('RFM input'!$Q$60,4),0,
IF(I$6=(OFFSET('RFM input'!$G$60,0,'RFM input'!$V$7)),OFFSET('RFM input'!$H$411,$A2169,0),0)))</f>
        <v>0</v>
      </c>
      <c r="J2171" s="1417">
        <f ca="1">IF(LEFT(J$6,4)&lt;=LEFT('RFM input'!$G$60,4),"enter input",IF(LEFT(J$6,4)&gt;LEFT('RFM input'!$Q$60,4),0,
IF(J$6=(OFFSET('RFM input'!$G$60,0,'RFM input'!$V$7)),OFFSET('RFM input'!$H$411,$A2169,0),0)))</f>
        <v>0</v>
      </c>
      <c r="K2171" s="1417">
        <f ca="1">IF(LEFT(K$6,4)&lt;=LEFT('RFM input'!$G$60,4),"enter input",IF(LEFT(K$6,4)&gt;LEFT('RFM input'!$Q$60,4),0,
IF(K$6=(OFFSET('RFM input'!$G$60,0,'RFM input'!$V$7)),OFFSET('RFM input'!$H$411,$A2169,0),0)))</f>
        <v>0</v>
      </c>
      <c r="L2171" s="1417">
        <f ca="1">IF(LEFT(L$6,4)&lt;=LEFT('RFM input'!$G$60,4),"enter input",IF(LEFT(L$6,4)&gt;LEFT('RFM input'!$Q$60,4),0,
IF(L$6=(OFFSET('RFM input'!$G$60,0,'RFM input'!$V$7)),OFFSET('RFM input'!$H$411,$A2169,0),0)))</f>
        <v>0</v>
      </c>
      <c r="M2171" s="1417">
        <f ca="1">IF(LEFT(M$6,4)&lt;=LEFT('RFM input'!$G$60,4),"enter input",IF(LEFT(M$6,4)&gt;LEFT('RFM input'!$Q$60,4),0,
IF(M$6=(OFFSET('RFM input'!$G$60,0,'RFM input'!$V$7)),OFFSET('RFM input'!$H$411,$A2169,0),0)))</f>
        <v>0</v>
      </c>
      <c r="N2171" s="1417">
        <f ca="1">IF(LEFT(N$6,4)&lt;=LEFT('RFM input'!$G$60,4),"enter input",IF(LEFT(N$6,4)&gt;LEFT('RFM input'!$Q$60,4),0,
IF(N$6=(OFFSET('RFM input'!$G$60,0,'RFM input'!$V$7)),OFFSET('RFM input'!$H$411,$A2169,0),0)))</f>
        <v>0</v>
      </c>
      <c r="O2171" s="1417">
        <f ca="1">IF(LEFT(O$6,4)&lt;=LEFT('RFM input'!$G$60,4),"enter input",IF(LEFT(O$6,4)&gt;LEFT('RFM input'!$Q$60,4),0,
IF(O$6=(OFFSET('RFM input'!$G$60,0,'RFM input'!$V$7)),OFFSET('RFM input'!$H$411,$A2169,0),0)))</f>
        <v>0</v>
      </c>
      <c r="P2171" s="1417">
        <f ca="1">IF(LEFT(P$6,4)&lt;=LEFT('RFM input'!$G$60,4),"enter input",IF(LEFT(P$6,4)&gt;LEFT('RFM input'!$Q$60,4),0,
IF(P$6=(OFFSET('RFM input'!$G$60,0,'RFM input'!$V$7)),OFFSET('RFM input'!$H$411,$A2169,0),0)))</f>
        <v>0</v>
      </c>
      <c r="Q2171" s="1417">
        <f ca="1">IF(LEFT(Q$6,4)&lt;=LEFT('RFM input'!$G$60,4),"enter input",IF(LEFT(Q$6,4)&gt;LEFT('RFM input'!$Q$60,4),0,
IF(Q$6=(OFFSET('RFM input'!$G$60,0,'RFM input'!$V$7)),OFFSET('RFM input'!$H$411,$A2169,0),0)))</f>
        <v>0</v>
      </c>
      <c r="R2171" s="1417">
        <f ca="1">IF(LEFT(R$6,4)&lt;=LEFT('RFM input'!$G$60,4),"enter input",IF(LEFT(R$6,4)&gt;LEFT('RFM input'!$Q$60,4),0,
IF(R$6=(OFFSET('RFM input'!$G$60,0,'RFM input'!$V$7)),OFFSET('RFM input'!$H$411,$A2169,0),0)))</f>
        <v>0</v>
      </c>
      <c r="S2171" s="1417">
        <f ca="1">IF(LEFT(S$6,4)&lt;=LEFT('RFM input'!$G$60,4),"enter input",IF(LEFT(S$6,4)&gt;LEFT('RFM input'!$Q$60,4),0,
IF(S$6=(OFFSET('RFM input'!$G$60,0,'RFM input'!$V$7)),OFFSET('RFM input'!$H$411,$A2169,0),0)))</f>
        <v>0</v>
      </c>
      <c r="T2171" s="1417">
        <f ca="1">IF(LEFT(T$6,4)&lt;=LEFT('RFM input'!$G$60,4),"enter input",IF(LEFT(T$6,4)&gt;LEFT('RFM input'!$Q$60,4),0,
IF(T$6=(OFFSET('RFM input'!$G$60,0,'RFM input'!$V$7)),OFFSET('RFM input'!$H$411,$A2169,0),0)))</f>
        <v>0</v>
      </c>
      <c r="U2171" s="1417">
        <f ca="1">IF(LEFT(U$6,4)&lt;=LEFT('RFM input'!$G$60,4),"enter input",IF(LEFT(U$6,4)&gt;LEFT('RFM input'!$Q$60,4),0,
IF(U$6=(OFFSET('RFM input'!$G$60,0,'RFM input'!$V$7)),OFFSET('RFM input'!$H$411,$A2169,0),0)))</f>
        <v>0</v>
      </c>
      <c r="V2171" s="1417">
        <f ca="1">IF(LEFT(V$6,4)&lt;=LEFT('RFM input'!$G$60,4),"enter input",IF(LEFT(V$6,4)&gt;LEFT('RFM input'!$Q$60,4),0,
IF(V$6=(OFFSET('RFM input'!$G$60,0,'RFM input'!$V$7)),OFFSET('RFM input'!$H$411,$A2169,0),0)))</f>
        <v>0</v>
      </c>
      <c r="W2171" s="1417">
        <f ca="1">IF(LEFT(W$6,4)&lt;=LEFT('RFM input'!$G$60,4),"enter input",IF(LEFT(W$6,4)&gt;LEFT('RFM input'!$Q$60,4),0,
IF(W$6=(OFFSET('RFM input'!$G$60,0,'RFM input'!$V$7)),OFFSET('RFM input'!$H$411,$A2169,0),0)))</f>
        <v>0</v>
      </c>
      <c r="X2171" s="152"/>
      <c r="Y2171" s="152"/>
      <c r="Z2171" s="152"/>
      <c r="AA2171" s="152"/>
      <c r="AB2171" s="152"/>
    </row>
    <row r="2172" spans="1:28">
      <c r="A2172" s="152"/>
      <c r="B2172" s="193" t="s">
        <v>200</v>
      </c>
      <c r="C2172" s="1419"/>
      <c r="D2172" s="1418">
        <f ca="1">IF(LEFT(D$6,4)&lt;=LEFT('RFM input'!$G$60,4),"enter input",IF(LEFT(D$6,4)&gt;LEFT('RFM input'!$Q$60,4),0,
IF(D$6=(OFFSET('RFM input'!$G$60,0,'RFM input'!$V$7)),OFFSET('RFM input'!$J$411,$A2169,0),0)))</f>
        <v>0</v>
      </c>
      <c r="E2172" s="1422">
        <f ca="1">IF(LEFT(E$6,4)&lt;=LEFT('RFM input'!$G$60,4),"enter input",IF(LEFT(E$6,4)&gt;LEFT('RFM input'!$Q$60,4),0,
IF(E$6=(OFFSET('RFM input'!$G$60,0,'RFM input'!$V$7)),OFFSET('RFM input'!$J$411,$A2169,0),0)))</f>
        <v>0</v>
      </c>
      <c r="F2172" s="1422">
        <f ca="1">IF(LEFT(F$6,4)&lt;=LEFT('RFM input'!$G$60,4),"enter input",IF(LEFT(F$6,4)&gt;LEFT('RFM input'!$Q$60,4),0,
IF(F$6=(OFFSET('RFM input'!$G$60,0,'RFM input'!$V$7)),OFFSET('RFM input'!$J$411,$A2169,0),0)))</f>
        <v>0</v>
      </c>
      <c r="G2172" s="1422">
        <f ca="1">IF(LEFT(G$6,4)&lt;=LEFT('RFM input'!$G$60,4),"enter input",IF(LEFT(G$6,4)&gt;LEFT('RFM input'!$Q$60,4),0,
IF(G$6=(OFFSET('RFM input'!$G$60,0,'RFM input'!$V$7)),OFFSET('RFM input'!$J$411,$A2169,0),0)))</f>
        <v>0</v>
      </c>
      <c r="H2172" s="1422">
        <f ca="1">IF(LEFT(H$6,4)&lt;=LEFT('RFM input'!$G$60,4),"enter input",IF(LEFT(H$6,4)&gt;LEFT('RFM input'!$Q$60,4),0,
IF(H$6=(OFFSET('RFM input'!$G$60,0,'RFM input'!$V$7)),OFFSET('RFM input'!$J$411,$A2169,0),0)))</f>
        <v>0</v>
      </c>
      <c r="I2172" s="1422">
        <f ca="1">IF(LEFT(I$6,4)&lt;=LEFT('RFM input'!$G$60,4),"enter input",IF(LEFT(I$6,4)&gt;LEFT('RFM input'!$Q$60,4),0,
IF(I$6=(OFFSET('RFM input'!$G$60,0,'RFM input'!$V$7)),OFFSET('RFM input'!$J$411,$A2169,0),0)))</f>
        <v>0</v>
      </c>
      <c r="J2172" s="1422">
        <f ca="1">IF(LEFT(J$6,4)&lt;=LEFT('RFM input'!$G$60,4),"enter input",IF(LEFT(J$6,4)&gt;LEFT('RFM input'!$Q$60,4),0,
IF(J$6=(OFFSET('RFM input'!$G$60,0,'RFM input'!$V$7)),OFFSET('RFM input'!$J$411,$A2169,0),0)))</f>
        <v>0</v>
      </c>
      <c r="K2172" s="1422">
        <f ca="1">IF(LEFT(K$6,4)&lt;=LEFT('RFM input'!$G$60,4),"enter input",IF(LEFT(K$6,4)&gt;LEFT('RFM input'!$Q$60,4),0,
IF(K$6=(OFFSET('RFM input'!$G$60,0,'RFM input'!$V$7)),OFFSET('RFM input'!$J$411,$A2169,0),0)))</f>
        <v>0</v>
      </c>
      <c r="L2172" s="1422">
        <f ca="1">IF(LEFT(L$6,4)&lt;=LEFT('RFM input'!$G$60,4),"enter input",IF(LEFT(L$6,4)&gt;LEFT('RFM input'!$Q$60,4),0,
IF(L$6=(OFFSET('RFM input'!$G$60,0,'RFM input'!$V$7)),OFFSET('RFM input'!$J$411,$A2169,0),0)))</f>
        <v>0</v>
      </c>
      <c r="M2172" s="1422">
        <f ca="1">IF(LEFT(M$6,4)&lt;=LEFT('RFM input'!$G$60,4),"enter input",IF(LEFT(M$6,4)&gt;LEFT('RFM input'!$Q$60,4),0,
IF(M$6=(OFFSET('RFM input'!$G$60,0,'RFM input'!$V$7)),OFFSET('RFM input'!$J$411,$A2169,0),0)))</f>
        <v>0</v>
      </c>
      <c r="N2172" s="1422">
        <f ca="1">IF(LEFT(N$6,4)&lt;=LEFT('RFM input'!$G$60,4),"enter input",IF(LEFT(N$6,4)&gt;LEFT('RFM input'!$Q$60,4),0,
IF(N$6=(OFFSET('RFM input'!$G$60,0,'RFM input'!$V$7)),OFFSET('RFM input'!$J$411,$A2169,0),0)))</f>
        <v>0</v>
      </c>
      <c r="O2172" s="1422">
        <f ca="1">IF(LEFT(O$6,4)&lt;=LEFT('RFM input'!$G$60,4),"enter input",IF(LEFT(O$6,4)&gt;LEFT('RFM input'!$Q$60,4),0,
IF(O$6=(OFFSET('RFM input'!$G$60,0,'RFM input'!$V$7)),OFFSET('RFM input'!$J$411,$A2169,0),0)))</f>
        <v>0</v>
      </c>
      <c r="P2172" s="1422">
        <f ca="1">IF(LEFT(P$6,4)&lt;=LEFT('RFM input'!$G$60,4),"enter input",IF(LEFT(P$6,4)&gt;LEFT('RFM input'!$Q$60,4),0,
IF(P$6=(OFFSET('RFM input'!$G$60,0,'RFM input'!$V$7)),OFFSET('RFM input'!$J$411,$A2169,0),0)))</f>
        <v>0</v>
      </c>
      <c r="Q2172" s="1422">
        <f ca="1">IF(LEFT(Q$6,4)&lt;=LEFT('RFM input'!$G$60,4),"enter input",IF(LEFT(Q$6,4)&gt;LEFT('RFM input'!$Q$60,4),0,
IF(Q$6=(OFFSET('RFM input'!$G$60,0,'RFM input'!$V$7)),OFFSET('RFM input'!$J$411,$A2169,0),0)))</f>
        <v>0</v>
      </c>
      <c r="R2172" s="1422">
        <f ca="1">IF(LEFT(R$6,4)&lt;=LEFT('RFM input'!$G$60,4),"enter input",IF(LEFT(R$6,4)&gt;LEFT('RFM input'!$Q$60,4),0,
IF(R$6=(OFFSET('RFM input'!$G$60,0,'RFM input'!$V$7)),OFFSET('RFM input'!$J$411,$A2169,0),0)))</f>
        <v>0</v>
      </c>
      <c r="S2172" s="1422">
        <f ca="1">IF(LEFT(S$6,4)&lt;=LEFT('RFM input'!$G$60,4),"enter input",IF(LEFT(S$6,4)&gt;LEFT('RFM input'!$Q$60,4),0,
IF(S$6=(OFFSET('RFM input'!$G$60,0,'RFM input'!$V$7)),OFFSET('RFM input'!$J$411,$A2169,0),0)))</f>
        <v>0</v>
      </c>
      <c r="T2172" s="1422">
        <f ca="1">IF(LEFT(T$6,4)&lt;=LEFT('RFM input'!$G$60,4),"enter input",IF(LEFT(T$6,4)&gt;LEFT('RFM input'!$Q$60,4),0,
IF(T$6=(OFFSET('RFM input'!$G$60,0,'RFM input'!$V$7)),OFFSET('RFM input'!$J$411,$A2169,0),0)))</f>
        <v>0</v>
      </c>
      <c r="U2172" s="1422">
        <f ca="1">IF(LEFT(U$6,4)&lt;=LEFT('RFM input'!$G$60,4),"enter input",IF(LEFT(U$6,4)&gt;LEFT('RFM input'!$Q$60,4),0,
IF(U$6=(OFFSET('RFM input'!$G$60,0,'RFM input'!$V$7)),OFFSET('RFM input'!$J$411,$A2169,0),0)))</f>
        <v>0</v>
      </c>
      <c r="V2172" s="1422">
        <f ca="1">IF(LEFT(V$6,4)&lt;=LEFT('RFM input'!$G$60,4),"enter input",IF(LEFT(V$6,4)&gt;LEFT('RFM input'!$Q$60,4),0,
IF(V$6=(OFFSET('RFM input'!$G$60,0,'RFM input'!$V$7)),OFFSET('RFM input'!$J$411,$A2169,0),0)))</f>
        <v>0</v>
      </c>
      <c r="W2172" s="1422">
        <f ca="1">IF(LEFT(W$6,4)&lt;=LEFT('RFM input'!$G$60,4),"enter input",IF(LEFT(W$6,4)&gt;LEFT('RFM input'!$Q$60,4),0,
IF(W$6=(OFFSET('RFM input'!$G$60,0,'RFM input'!$V$7)),OFFSET('RFM input'!$J$411,$A2169,0),0)))</f>
        <v>0</v>
      </c>
      <c r="X2172" s="152"/>
      <c r="Y2172" s="152"/>
      <c r="Z2172" s="152"/>
      <c r="AA2172" s="152"/>
      <c r="AB2172" s="152"/>
    </row>
    <row r="2173" spans="1:28" hidden="1" outlineLevel="1">
      <c r="A2173" s="235">
        <v>-1</v>
      </c>
      <c r="B2173" s="190" t="s">
        <v>195</v>
      </c>
      <c r="C2173" s="1423"/>
      <c r="D2173" s="1423">
        <f t="shared" ref="D2173" ca="1" si="3152">IF(AND(D2171=0,C2173=0),0,
IF(AND(D2171&lt;&gt;0,C2173=0),D2171,
IF(AND(D2172&lt;&gt;0,C2173&lt;&gt;0),(C2173-(C2173/C2197))+D2171,
IF(C2197&lt;1,0,(C2173-(C2173/C2197))))))</f>
        <v>0</v>
      </c>
      <c r="E2173" s="1423">
        <f t="shared" ref="E2173" ca="1" si="3153">IF(AND(E2171=0,D2173=0),0,
IF(AND(E2171&lt;&gt;0,D2173=0),E2171,
IF(AND(E2172&lt;&gt;0,D2173&lt;&gt;0),(D2173-(D2173/D2197))+E2171,
IF(D2197&lt;1,0,(D2173-(D2173/D2197))))))</f>
        <v>0</v>
      </c>
      <c r="F2173" s="1423">
        <f t="shared" ref="F2173" ca="1" si="3154">IF(AND(F2171=0,E2173=0),0,
IF(AND(F2171&lt;&gt;0,E2173=0),F2171,
IF(AND(F2172&lt;&gt;0,E2173&lt;&gt;0),(E2173-(E2173/E2197))+F2171,
IF(E2197&lt;1,0,(E2173-(E2173/E2197))))))</f>
        <v>0</v>
      </c>
      <c r="G2173" s="1423">
        <f t="shared" ref="G2173" ca="1" si="3155">IF(AND(G2171=0,F2173=0),0,
IF(AND(G2171&lt;&gt;0,F2173=0),G2171,
IF(AND(G2172&lt;&gt;0,F2173&lt;&gt;0),(F2173-(F2173/F2197))+G2171,
IF(F2197&lt;1,0,(F2173-(F2173/F2197))))))</f>
        <v>0</v>
      </c>
      <c r="H2173" s="1423">
        <f ca="1">IF(AND(H2171=0,G2173=0),0,
IF(AND(H2171&lt;&gt;0,G2173=0),H2171,
IF(AND(H2172&lt;&gt;0,G2173&lt;&gt;0),(G2173-(G2173/G2197))+H2171,
IF(G2197&lt;1,0,(G2173-(G2173/G2197))))))</f>
        <v>0</v>
      </c>
      <c r="I2173" s="1423">
        <f t="shared" ref="I2173" ca="1" si="3156">IF(AND(I2171=0,H2173=0),0,
IF(AND(I2171&lt;&gt;0,H2173=0),I2171,
IF(AND(I2172&lt;&gt;0,H2173&lt;&gt;0),(H2173-(H2173/H2197))+I2171,
IF(H2197&lt;1,0,(H2173-(H2173/H2197))))))</f>
        <v>0</v>
      </c>
      <c r="J2173" s="1423">
        <f t="shared" ref="J2173" ca="1" si="3157">IF(AND(J2171=0,I2173=0),0,
IF(AND(J2171&lt;&gt;0,I2173=0),J2171,
IF(AND(J2172&lt;&gt;0,I2173&lt;&gt;0),(I2173-(I2173/I2197))+J2171,
IF(I2197&lt;1,0,(I2173-(I2173/I2197))))))</f>
        <v>0</v>
      </c>
      <c r="K2173" s="1423">
        <f t="shared" ref="K2173" ca="1" si="3158">IF(AND(K2171=0,J2173=0),0,
IF(AND(K2171&lt;&gt;0,J2173=0),K2171,
IF(AND(K2172&lt;&gt;0,J2173&lt;&gt;0),(J2173-(J2173/J2197))+K2171,
IF(J2197&lt;1,0,(J2173-(J2173/J2197))))))</f>
        <v>0</v>
      </c>
      <c r="L2173" s="1423">
        <f t="shared" ref="L2173" ca="1" si="3159">IF(AND(L2171=0,K2173=0),0,
IF(AND(L2171&lt;&gt;0,K2173=0),L2171,
IF(AND(L2172&lt;&gt;0,K2173&lt;&gt;0),(K2173-(K2173/K2197))+L2171,
IF(K2197&lt;1,0,(K2173-(K2173/K2197))))))</f>
        <v>0</v>
      </c>
      <c r="M2173" s="1423">
        <f t="shared" ref="M2173" ca="1" si="3160">IF(AND(M2171=0,L2173=0),0,
IF(AND(M2171&lt;&gt;0,L2173=0),M2171,
IF(AND(M2172&lt;&gt;0,L2173&lt;&gt;0),(L2173-(L2173/L2197))+M2171,
IF(L2197&lt;1,0,(L2173-(L2173/L2197))))))</f>
        <v>0</v>
      </c>
      <c r="N2173" s="1423">
        <f t="shared" ref="N2173" ca="1" si="3161">IF(AND(N2171=0,M2173=0),0,
IF(AND(N2171&lt;&gt;0,M2173=0),N2171,
IF(AND(N2172&lt;&gt;0,M2173&lt;&gt;0),(M2173-(M2173/M2197))+N2171,
IF(M2197&lt;1,0,(M2173-(M2173/M2197))))))</f>
        <v>0</v>
      </c>
      <c r="O2173" s="1423">
        <f t="shared" ref="O2173" ca="1" si="3162">IF(AND(O2171=0,N2173=0),0,
IF(AND(O2171&lt;&gt;0,N2173=0),O2171,
IF(AND(O2172&lt;&gt;0,N2173&lt;&gt;0),(N2173-(N2173/N2197))+O2171,
IF(N2197&lt;1,0,(N2173-(N2173/N2197))))))</f>
        <v>0</v>
      </c>
      <c r="P2173" s="1423">
        <f t="shared" ref="P2173" ca="1" si="3163">IF(AND(P2171=0,O2173=0),0,
IF(AND(P2171&lt;&gt;0,O2173=0),P2171,
IF(AND(P2172&lt;&gt;0,O2173&lt;&gt;0),(O2173-(O2173/O2197))+P2171,
IF(O2197&lt;1,0,(O2173-(O2173/O2197))))))</f>
        <v>0</v>
      </c>
      <c r="Q2173" s="1423">
        <f t="shared" ref="Q2173" ca="1" si="3164">IF(AND(Q2171=0,P2173=0),0,
IF(AND(Q2171&lt;&gt;0,P2173=0),Q2171,
IF(AND(Q2172&lt;&gt;0,P2173&lt;&gt;0),(P2173-(P2173/P2197))+Q2171,
IF(P2197&lt;1,0,(P2173-(P2173/P2197))))))</f>
        <v>0</v>
      </c>
      <c r="R2173" s="1423">
        <f t="shared" ref="R2173" ca="1" si="3165">IF(AND(R2171=0,Q2173=0),0,
IF(AND(R2171&lt;&gt;0,Q2173=0),R2171,
IF(AND(R2172&lt;&gt;0,Q2173&lt;&gt;0),(Q2173-(Q2173/Q2197))+R2171,
IF(Q2197&lt;1,0,(Q2173-(Q2173/Q2197))))))</f>
        <v>0</v>
      </c>
      <c r="S2173" s="1423">
        <f t="shared" ref="S2173" ca="1" si="3166">IF(AND(S2171=0,R2173=0),0,
IF(AND(S2171&lt;&gt;0,R2173=0),S2171,
IF(AND(S2172&lt;&gt;0,R2173&lt;&gt;0),(R2173-(R2173/R2197))+S2171,
IF(R2197&lt;1,0,(R2173-(R2173/R2197))))))</f>
        <v>0</v>
      </c>
      <c r="T2173" s="1423">
        <f t="shared" ref="T2173" ca="1" si="3167">IF(AND(T2171=0,S2173=0),0,
IF(AND(T2171&lt;&gt;0,S2173=0),T2171,
IF(AND(T2172&lt;&gt;0,S2173&lt;&gt;0),(S2173-(S2173/S2197))+T2171,
IF(S2197&lt;1,0,(S2173-(S2173/S2197))))))</f>
        <v>0</v>
      </c>
      <c r="U2173" s="1423">
        <f t="shared" ref="U2173" ca="1" si="3168">IF(AND(U2171=0,T2173=0),0,
IF(AND(U2171&lt;&gt;0,T2173=0),U2171,
IF(AND(U2172&lt;&gt;0,T2173&lt;&gt;0),(T2173-(T2173/T2197))+U2171,
IF(T2197&lt;1,0,(T2173-(T2173/T2197))))))</f>
        <v>0</v>
      </c>
      <c r="V2173" s="1423">
        <f t="shared" ref="V2173" ca="1" si="3169">IF(AND(V2171=0,U2173=0),0,
IF(AND(V2171&lt;&gt;0,U2173=0),V2171,
IF(AND(V2172&lt;&gt;0,U2173&lt;&gt;0),(U2173-(U2173/U2197))+V2171,
IF(U2197&lt;1,0,(U2173-(U2173/U2197))))))</f>
        <v>0</v>
      </c>
      <c r="W2173" s="1423">
        <f t="shared" ref="W2173" ca="1" si="3170">IF(AND(W2171=0,V2173=0),0,
IF(AND(W2171&lt;&gt;0,V2173=0),W2171,
IF(AND(W2172&lt;&gt;0,V2173&lt;&gt;0),(V2173-(V2173/V2197))+W2171,
IF(V2197&lt;1,0,(V2173-(V2173/V2197))))))</f>
        <v>0</v>
      </c>
      <c r="X2173" s="152"/>
      <c r="Y2173" s="152"/>
      <c r="Z2173" s="152"/>
      <c r="AA2173" s="152"/>
      <c r="AB2173" s="152"/>
    </row>
    <row r="2174" spans="1:28" hidden="1" outlineLevel="1">
      <c r="A2174" s="199">
        <f>A2173+1</f>
        <v>0</v>
      </c>
      <c r="B2174" s="190" t="s">
        <v>527</v>
      </c>
      <c r="C2174" s="1423">
        <f ca="1">C2169</f>
        <v>0</v>
      </c>
      <c r="D2174" s="1423">
        <f ca="1">IF(C2198="n/a",C2174,IFERROR(IF((OFFSET($C2174,0,$A2174))&lt;0,
MIN(0,C2174-(OFFSET($C2174,0,$A2174)/(OFFSET($C2169,-$A2173,$A2174)))),
MAX(0,C2174-(OFFSET($C2174,0,$A2174)/(OFFSET($C2169,-$A2173,$A2174))))),0))</f>
        <v>0</v>
      </c>
      <c r="E2174" s="1423">
        <f t="shared" ref="E2174" ca="1" si="3171">IF(D2198="n/a",D2174,IFERROR(IF((OFFSET($C2174,0,$A2174))&lt;0,
MIN(0,D2174-(OFFSET($C2174,0,$A2174)/(OFFSET($C2169,-$A2173,$A2174)))),
MAX(0,D2174-(OFFSET($C2174,0,$A2174)/(OFFSET($C2169,-$A2173,$A2174))))),0))</f>
        <v>0</v>
      </c>
      <c r="F2174" s="1423">
        <f t="shared" ref="F2174:F2175" ca="1" si="3172">IF(E2198="n/a",E2174,IFERROR(IF((OFFSET($C2174,0,$A2174))&lt;0,
MIN(0,E2174-(OFFSET($C2174,0,$A2174)/(OFFSET($C2169,-$A2173,$A2174)))),
MAX(0,E2174-(OFFSET($C2174,0,$A2174)/(OFFSET($C2169,-$A2173,$A2174))))),0))</f>
        <v>0</v>
      </c>
      <c r="G2174" s="1423">
        <f t="shared" ref="G2174:G2176" ca="1" si="3173">IF(F2198="n/a",F2174,IFERROR(IF((OFFSET($C2174,0,$A2174))&lt;0,
MIN(0,F2174-(OFFSET($C2174,0,$A2174)/(OFFSET($C2169,-$A2173,$A2174)))),
MAX(0,F2174-(OFFSET($C2174,0,$A2174)/(OFFSET($C2169,-$A2173,$A2174))))),0))</f>
        <v>0</v>
      </c>
      <c r="H2174" s="1423">
        <f t="shared" ref="H2174:H2177" ca="1" si="3174">IF(G2198="n/a",G2174,IFERROR(IF((OFFSET($C2174,0,$A2174))&lt;0,
MIN(0,G2174-(OFFSET($C2174,0,$A2174)/(OFFSET($C2169,-$A2173,$A2174)))),
MAX(0,G2174-(OFFSET($C2174,0,$A2174)/(OFFSET($C2169,-$A2173,$A2174))))),0))</f>
        <v>0</v>
      </c>
      <c r="I2174" s="1423">
        <f t="shared" ref="I2174:I2178" ca="1" si="3175">IF(H2198="n/a",H2174,IFERROR(IF((OFFSET($C2174,0,$A2174))&lt;0,
MIN(0,H2174-(OFFSET($C2174,0,$A2174)/(OFFSET($C2169,-$A2173,$A2174)))),
MAX(0,H2174-(OFFSET($C2174,0,$A2174)/(OFFSET($C2169,-$A2173,$A2174))))),0))</f>
        <v>0</v>
      </c>
      <c r="J2174" s="1423">
        <f t="shared" ref="J2174:J2179" ca="1" si="3176">IF(I2198="n/a",I2174,IFERROR(IF((OFFSET($C2174,0,$A2174))&lt;0,
MIN(0,I2174-(OFFSET($C2174,0,$A2174)/(OFFSET($C2169,-$A2173,$A2174)))),
MAX(0,I2174-(OFFSET($C2174,0,$A2174)/(OFFSET($C2169,-$A2173,$A2174))))),0))</f>
        <v>0</v>
      </c>
      <c r="K2174" s="1423">
        <f t="shared" ref="K2174:K2180" ca="1" si="3177">IF(J2198="n/a",J2174,IFERROR(IF((OFFSET($C2174,0,$A2174))&lt;0,
MIN(0,J2174-(OFFSET($C2174,0,$A2174)/(OFFSET($C2169,-$A2173,$A2174)))),
MAX(0,J2174-(OFFSET($C2174,0,$A2174)/(OFFSET($C2169,-$A2173,$A2174))))),0))</f>
        <v>0</v>
      </c>
      <c r="L2174" s="1423">
        <f t="shared" ref="L2174:L2181" ca="1" si="3178">IF(K2198="n/a",K2174,IFERROR(IF((OFFSET($C2174,0,$A2174))&lt;0,
MIN(0,K2174-(OFFSET($C2174,0,$A2174)/(OFFSET($C2169,-$A2173,$A2174)))),
MAX(0,K2174-(OFFSET($C2174,0,$A2174)/(OFFSET($C2169,-$A2173,$A2174))))),0))</f>
        <v>0</v>
      </c>
      <c r="M2174" s="1423">
        <f t="shared" ref="M2174:M2182" ca="1" si="3179">IF(L2198="n/a",L2174,IFERROR(IF((OFFSET($C2174,0,$A2174))&lt;0,
MIN(0,L2174-(OFFSET($C2174,0,$A2174)/(OFFSET($C2169,-$A2173,$A2174)))),
MAX(0,L2174-(OFFSET($C2174,0,$A2174)/(OFFSET($C2169,-$A2173,$A2174))))),0))</f>
        <v>0</v>
      </c>
      <c r="N2174" s="1423">
        <f t="shared" ref="N2174:N2183" ca="1" si="3180">IF(M2198="n/a",M2174,IFERROR(IF((OFFSET($C2174,0,$A2174))&lt;0,
MIN(0,M2174-(OFFSET($C2174,0,$A2174)/(OFFSET($C2169,-$A2173,$A2174)))),
MAX(0,M2174-(OFFSET($C2174,0,$A2174)/(OFFSET($C2169,-$A2173,$A2174))))),0))</f>
        <v>0</v>
      </c>
      <c r="O2174" s="1423">
        <f t="shared" ref="O2174:O2184" ca="1" si="3181">IF(N2198="n/a",N2174,IFERROR(IF((OFFSET($C2174,0,$A2174))&lt;0,
MIN(0,N2174-(OFFSET($C2174,0,$A2174)/(OFFSET($C2169,-$A2173,$A2174)))),
MAX(0,N2174-(OFFSET($C2174,0,$A2174)/(OFFSET($C2169,-$A2173,$A2174))))),0))</f>
        <v>0</v>
      </c>
      <c r="P2174" s="1423">
        <f t="shared" ref="P2174:P2185" ca="1" si="3182">IF(O2198="n/a",O2174,IFERROR(IF((OFFSET($C2174,0,$A2174))&lt;0,
MIN(0,O2174-(OFFSET($C2174,0,$A2174)/(OFFSET($C2169,-$A2173,$A2174)))),
MAX(0,O2174-(OFFSET($C2174,0,$A2174)/(OFFSET($C2169,-$A2173,$A2174))))),0))</f>
        <v>0</v>
      </c>
      <c r="Q2174" s="1423">
        <f t="shared" ref="Q2174:Q2186" ca="1" si="3183">IF(P2198="n/a",P2174,IFERROR(IF((OFFSET($C2174,0,$A2174))&lt;0,
MIN(0,P2174-(OFFSET($C2174,0,$A2174)/(OFFSET($C2169,-$A2173,$A2174)))),
MAX(0,P2174-(OFFSET($C2174,0,$A2174)/(OFFSET($C2169,-$A2173,$A2174))))),0))</f>
        <v>0</v>
      </c>
      <c r="R2174" s="1423">
        <f t="shared" ref="R2174:R2187" ca="1" si="3184">IF(Q2198="n/a",Q2174,IFERROR(IF((OFFSET($C2174,0,$A2174))&lt;0,
MIN(0,Q2174-(OFFSET($C2174,0,$A2174)/(OFFSET($C2169,-$A2173,$A2174)))),
MAX(0,Q2174-(OFFSET($C2174,0,$A2174)/(OFFSET($C2169,-$A2173,$A2174))))),0))</f>
        <v>0</v>
      </c>
      <c r="S2174" s="1423">
        <f t="shared" ref="S2174:S2188" ca="1" si="3185">IF(R2198="n/a",R2174,IFERROR(IF((OFFSET($C2174,0,$A2174))&lt;0,
MIN(0,R2174-(OFFSET($C2174,0,$A2174)/(OFFSET($C2169,-$A2173,$A2174)))),
MAX(0,R2174-(OFFSET($C2174,0,$A2174)/(OFFSET($C2169,-$A2173,$A2174))))),0))</f>
        <v>0</v>
      </c>
      <c r="T2174" s="1423">
        <f t="shared" ref="T2174:T2189" ca="1" si="3186">IF(S2198="n/a",S2174,IFERROR(IF((OFFSET($C2174,0,$A2174))&lt;0,
MIN(0,S2174-(OFFSET($C2174,0,$A2174)/(OFFSET($C2169,-$A2173,$A2174)))),
MAX(0,S2174-(OFFSET($C2174,0,$A2174)/(OFFSET($C2169,-$A2173,$A2174))))),0))</f>
        <v>0</v>
      </c>
      <c r="U2174" s="1423">
        <f t="shared" ref="U2174:U2190" ca="1" si="3187">IF(T2198="n/a",T2174,IFERROR(IF((OFFSET($C2174,0,$A2174))&lt;0,
MIN(0,T2174-(OFFSET($C2174,0,$A2174)/(OFFSET($C2169,-$A2173,$A2174)))),
MAX(0,T2174-(OFFSET($C2174,0,$A2174)/(OFFSET($C2169,-$A2173,$A2174))))),0))</f>
        <v>0</v>
      </c>
      <c r="V2174" s="1423">
        <f t="shared" ref="V2174:V2191" ca="1" si="3188">IF(U2198="n/a",U2174,IFERROR(IF((OFFSET($C2174,0,$A2174))&lt;0,
MIN(0,U2174-(OFFSET($C2174,0,$A2174)/(OFFSET($C2169,-$A2173,$A2174)))),
MAX(0,U2174-(OFFSET($C2174,0,$A2174)/(OFFSET($C2169,-$A2173,$A2174))))),0))</f>
        <v>0</v>
      </c>
      <c r="W2174" s="1423">
        <f t="shared" ref="W2174:W2192" ca="1" si="3189">IF(V2198="n/a",V2174,IFERROR(IF((OFFSET($C2174,0,$A2174))&lt;0,
MIN(0,V2174-(OFFSET($C2174,0,$A2174)/(OFFSET($C2169,-$A2173,$A2174)))),
MAX(0,V2174-(OFFSET($C2174,0,$A2174)/(OFFSET($C2169,-$A2173,$A2174))))),0))</f>
        <v>0</v>
      </c>
      <c r="X2174" s="152"/>
      <c r="Y2174" s="152"/>
      <c r="Z2174" s="152"/>
      <c r="AA2174" s="152"/>
      <c r="AB2174" s="152"/>
    </row>
    <row r="2175" spans="1:28" hidden="1" outlineLevel="1">
      <c r="A2175" s="199">
        <f t="shared" ref="A2175:A2194" si="3190">A2174+1</f>
        <v>1</v>
      </c>
      <c r="B2175" s="190" t="str">
        <f t="shared" ref="B2175:B2194" ca="1" si="3191">"Depreciated Net Capex "&amp;OFFSET($C$6,0,A2175)</f>
        <v>Depreciated Net Capex 2016-17</v>
      </c>
      <c r="C2175" s="1424"/>
      <c r="D2175" s="1425">
        <f>D2169</f>
        <v>0</v>
      </c>
      <c r="E2175" s="1423">
        <f ca="1">IF(D2199="n/a",D2175,IFERROR(IF((OFFSET($C2175,0,$A2175))&lt;0,
MIN(0,D2175-(OFFSET($C2175,0,$A2175)/(OFFSET($C2170,-$A2174,$A2175)))),
MAX(0,D2175-(OFFSET($C2175,0,$A2175)/(OFFSET($C2170,-$A2174,$A2175))))),0))</f>
        <v>0</v>
      </c>
      <c r="F2175" s="1423">
        <f t="shared" ca="1" si="3172"/>
        <v>0</v>
      </c>
      <c r="G2175" s="1423">
        <f t="shared" ca="1" si="3173"/>
        <v>0</v>
      </c>
      <c r="H2175" s="1423">
        <f t="shared" ca="1" si="3174"/>
        <v>0</v>
      </c>
      <c r="I2175" s="1423">
        <f t="shared" ca="1" si="3175"/>
        <v>0</v>
      </c>
      <c r="J2175" s="1423">
        <f t="shared" ca="1" si="3176"/>
        <v>0</v>
      </c>
      <c r="K2175" s="1423">
        <f t="shared" ca="1" si="3177"/>
        <v>0</v>
      </c>
      <c r="L2175" s="1423">
        <f t="shared" ca="1" si="3178"/>
        <v>0</v>
      </c>
      <c r="M2175" s="1423">
        <f t="shared" ca="1" si="3179"/>
        <v>0</v>
      </c>
      <c r="N2175" s="1423">
        <f t="shared" ca="1" si="3180"/>
        <v>0</v>
      </c>
      <c r="O2175" s="1423">
        <f t="shared" ca="1" si="3181"/>
        <v>0</v>
      </c>
      <c r="P2175" s="1423">
        <f t="shared" ca="1" si="3182"/>
        <v>0</v>
      </c>
      <c r="Q2175" s="1423">
        <f t="shared" ca="1" si="3183"/>
        <v>0</v>
      </c>
      <c r="R2175" s="1423">
        <f t="shared" ca="1" si="3184"/>
        <v>0</v>
      </c>
      <c r="S2175" s="1423">
        <f t="shared" ca="1" si="3185"/>
        <v>0</v>
      </c>
      <c r="T2175" s="1423">
        <f t="shared" ca="1" si="3186"/>
        <v>0</v>
      </c>
      <c r="U2175" s="1423">
        <f t="shared" ca="1" si="3187"/>
        <v>0</v>
      </c>
      <c r="V2175" s="1423">
        <f t="shared" ca="1" si="3188"/>
        <v>0</v>
      </c>
      <c r="W2175" s="1423">
        <f t="shared" ca="1" si="3189"/>
        <v>0</v>
      </c>
      <c r="X2175" s="152"/>
      <c r="Y2175" s="152"/>
      <c r="Z2175" s="152"/>
      <c r="AA2175" s="152"/>
      <c r="AB2175" s="152"/>
    </row>
    <row r="2176" spans="1:28" hidden="1" outlineLevel="1">
      <c r="A2176" s="199">
        <f t="shared" si="3190"/>
        <v>2</v>
      </c>
      <c r="B2176" s="190" t="str">
        <f t="shared" ca="1" si="3191"/>
        <v>Depreciated Net Capex 2017-18</v>
      </c>
      <c r="C2176" s="1426"/>
      <c r="D2176" s="1427"/>
      <c r="E2176" s="1425">
        <f>E2169</f>
        <v>0</v>
      </c>
      <c r="F2176" s="1423">
        <f ca="1">IF(E2200="n/a",E2176,IFERROR(IF((OFFSET($C2176,0,$A2176))&lt;0,
MIN(0,E2176-(OFFSET($C2176,0,$A2176)/(OFFSET($C2171,-$A2175,$A2176)))),
MAX(0,E2176-(OFFSET($C2176,0,$A2176)/(OFFSET($C2171,-$A2175,$A2176))))),0))</f>
        <v>0</v>
      </c>
      <c r="G2176" s="1423">
        <f t="shared" ca="1" si="3173"/>
        <v>0</v>
      </c>
      <c r="H2176" s="1423">
        <f t="shared" ca="1" si="3174"/>
        <v>0</v>
      </c>
      <c r="I2176" s="1423">
        <f t="shared" ca="1" si="3175"/>
        <v>0</v>
      </c>
      <c r="J2176" s="1423">
        <f t="shared" ca="1" si="3176"/>
        <v>0</v>
      </c>
      <c r="K2176" s="1423">
        <f t="shared" ca="1" si="3177"/>
        <v>0</v>
      </c>
      <c r="L2176" s="1423">
        <f t="shared" ca="1" si="3178"/>
        <v>0</v>
      </c>
      <c r="M2176" s="1423">
        <f t="shared" ca="1" si="3179"/>
        <v>0</v>
      </c>
      <c r="N2176" s="1423">
        <f t="shared" ca="1" si="3180"/>
        <v>0</v>
      </c>
      <c r="O2176" s="1423">
        <f t="shared" ca="1" si="3181"/>
        <v>0</v>
      </c>
      <c r="P2176" s="1423">
        <f t="shared" ca="1" si="3182"/>
        <v>0</v>
      </c>
      <c r="Q2176" s="1423">
        <f t="shared" ca="1" si="3183"/>
        <v>0</v>
      </c>
      <c r="R2176" s="1423">
        <f t="shared" ca="1" si="3184"/>
        <v>0</v>
      </c>
      <c r="S2176" s="1423">
        <f t="shared" ca="1" si="3185"/>
        <v>0</v>
      </c>
      <c r="T2176" s="1423">
        <f t="shared" ca="1" si="3186"/>
        <v>0</v>
      </c>
      <c r="U2176" s="1423">
        <f t="shared" ca="1" si="3187"/>
        <v>0</v>
      </c>
      <c r="V2176" s="1423">
        <f t="shared" ca="1" si="3188"/>
        <v>0</v>
      </c>
      <c r="W2176" s="1423">
        <f t="shared" ca="1" si="3189"/>
        <v>0</v>
      </c>
      <c r="X2176" s="202"/>
      <c r="Y2176" s="152"/>
      <c r="Z2176" s="152"/>
      <c r="AA2176" s="152"/>
      <c r="AB2176" s="152"/>
    </row>
    <row r="2177" spans="1:28" hidden="1" outlineLevel="1">
      <c r="A2177" s="199">
        <f t="shared" si="3190"/>
        <v>3</v>
      </c>
      <c r="B2177" s="190" t="str">
        <f t="shared" ca="1" si="3191"/>
        <v>Depreciated Net Capex 2018-19</v>
      </c>
      <c r="C2177" s="1426"/>
      <c r="D2177" s="1426"/>
      <c r="E2177" s="1427"/>
      <c r="F2177" s="1428">
        <f>F2169</f>
        <v>0</v>
      </c>
      <c r="G2177" s="1423">
        <f ca="1">IF(F2201="n/a",F2177,IFERROR(IF((OFFSET($C2177,0,$A2177))&lt;0,
MIN(0,F2177-(OFFSET($C2177,0,$A2177)/(OFFSET($C2172,-$A2176,$A2177)))),
MAX(0,F2177-(OFFSET($C2177,0,$A2177)/(OFFSET($C2172,-$A2176,$A2177))))),0))</f>
        <v>0</v>
      </c>
      <c r="H2177" s="1423">
        <f t="shared" ca="1" si="3174"/>
        <v>0</v>
      </c>
      <c r="I2177" s="1423">
        <f t="shared" ca="1" si="3175"/>
        <v>0</v>
      </c>
      <c r="J2177" s="1423">
        <f t="shared" ca="1" si="3176"/>
        <v>0</v>
      </c>
      <c r="K2177" s="1423">
        <f t="shared" ca="1" si="3177"/>
        <v>0</v>
      </c>
      <c r="L2177" s="1423">
        <f t="shared" ca="1" si="3178"/>
        <v>0</v>
      </c>
      <c r="M2177" s="1423">
        <f t="shared" ca="1" si="3179"/>
        <v>0</v>
      </c>
      <c r="N2177" s="1423">
        <f t="shared" ca="1" si="3180"/>
        <v>0</v>
      </c>
      <c r="O2177" s="1423">
        <f t="shared" ca="1" si="3181"/>
        <v>0</v>
      </c>
      <c r="P2177" s="1423">
        <f t="shared" ca="1" si="3182"/>
        <v>0</v>
      </c>
      <c r="Q2177" s="1423">
        <f t="shared" ca="1" si="3183"/>
        <v>0</v>
      </c>
      <c r="R2177" s="1423">
        <f t="shared" ca="1" si="3184"/>
        <v>0</v>
      </c>
      <c r="S2177" s="1423">
        <f t="shared" ca="1" si="3185"/>
        <v>0</v>
      </c>
      <c r="T2177" s="1423">
        <f t="shared" ca="1" si="3186"/>
        <v>0</v>
      </c>
      <c r="U2177" s="1423">
        <f t="shared" ca="1" si="3187"/>
        <v>0</v>
      </c>
      <c r="V2177" s="1423">
        <f t="shared" ca="1" si="3188"/>
        <v>0</v>
      </c>
      <c r="W2177" s="1423">
        <f t="shared" ca="1" si="3189"/>
        <v>0</v>
      </c>
      <c r="X2177" s="202"/>
      <c r="Y2177" s="202"/>
      <c r="Z2177" s="152"/>
      <c r="AA2177" s="152"/>
      <c r="AB2177" s="152"/>
    </row>
    <row r="2178" spans="1:28" hidden="1" outlineLevel="1">
      <c r="A2178" s="199">
        <f t="shared" si="3190"/>
        <v>4</v>
      </c>
      <c r="B2178" s="190" t="str">
        <f t="shared" ca="1" si="3191"/>
        <v>Depreciated Net Capex 2019-20</v>
      </c>
      <c r="C2178" s="1426"/>
      <c r="D2178" s="1426"/>
      <c r="E2178" s="1426"/>
      <c r="F2178" s="1427"/>
      <c r="G2178" s="1428">
        <f>G2169</f>
        <v>0</v>
      </c>
      <c r="H2178" s="1423">
        <f ca="1">IF(G2202="n/a",G2178,IFERROR(IF((OFFSET($C2178,0,$A2178))&lt;0,
MIN(0,G2178-(OFFSET($C2178,0,$A2178)/(OFFSET($C2173,-$A2177,$A2178)))),
MAX(0,G2178-(OFFSET($C2178,0,$A2178)/(OFFSET($C2173,-$A2177,$A2178))))),0))</f>
        <v>0</v>
      </c>
      <c r="I2178" s="1423">
        <f t="shared" ca="1" si="3175"/>
        <v>0</v>
      </c>
      <c r="J2178" s="1423">
        <f t="shared" ca="1" si="3176"/>
        <v>0</v>
      </c>
      <c r="K2178" s="1423">
        <f t="shared" ca="1" si="3177"/>
        <v>0</v>
      </c>
      <c r="L2178" s="1423">
        <f t="shared" ca="1" si="3178"/>
        <v>0</v>
      </c>
      <c r="M2178" s="1423">
        <f t="shared" ca="1" si="3179"/>
        <v>0</v>
      </c>
      <c r="N2178" s="1423">
        <f t="shared" ca="1" si="3180"/>
        <v>0</v>
      </c>
      <c r="O2178" s="1423">
        <f t="shared" ca="1" si="3181"/>
        <v>0</v>
      </c>
      <c r="P2178" s="1423">
        <f t="shared" ca="1" si="3182"/>
        <v>0</v>
      </c>
      <c r="Q2178" s="1423">
        <f t="shared" ca="1" si="3183"/>
        <v>0</v>
      </c>
      <c r="R2178" s="1423">
        <f t="shared" ca="1" si="3184"/>
        <v>0</v>
      </c>
      <c r="S2178" s="1423">
        <f t="shared" ca="1" si="3185"/>
        <v>0</v>
      </c>
      <c r="T2178" s="1423">
        <f t="shared" ca="1" si="3186"/>
        <v>0</v>
      </c>
      <c r="U2178" s="1423">
        <f t="shared" ca="1" si="3187"/>
        <v>0</v>
      </c>
      <c r="V2178" s="1423">
        <f t="shared" ca="1" si="3188"/>
        <v>0</v>
      </c>
      <c r="W2178" s="1423">
        <f t="shared" ca="1" si="3189"/>
        <v>0</v>
      </c>
      <c r="X2178" s="202"/>
      <c r="Y2178" s="202"/>
      <c r="Z2178" s="202"/>
      <c r="AA2178" s="152"/>
      <c r="AB2178" s="152"/>
    </row>
    <row r="2179" spans="1:28" hidden="1" outlineLevel="1">
      <c r="A2179" s="199">
        <f t="shared" si="3190"/>
        <v>5</v>
      </c>
      <c r="B2179" s="190" t="str">
        <f t="shared" ca="1" si="3191"/>
        <v>Depreciated Net Capex 2020-21</v>
      </c>
      <c r="C2179" s="1426"/>
      <c r="D2179" s="1426"/>
      <c r="E2179" s="1426"/>
      <c r="F2179" s="1426"/>
      <c r="G2179" s="1427"/>
      <c r="H2179" s="1428">
        <f>H2169</f>
        <v>0</v>
      </c>
      <c r="I2179" s="1423">
        <f ca="1">IF(H2203="n/a",H2179,IFERROR(IF((OFFSET($C2179,0,$A2179))&lt;0,
MIN(0,H2179-(OFFSET($C2179,0,$A2179)/(OFFSET($C2174,-$A2178,$A2179)))),
MAX(0,H2179-(OFFSET($C2179,0,$A2179)/(OFFSET($C2174,-$A2178,$A2179))))),0))</f>
        <v>0</v>
      </c>
      <c r="J2179" s="1423">
        <f t="shared" ca="1" si="3176"/>
        <v>0</v>
      </c>
      <c r="K2179" s="1423">
        <f t="shared" ca="1" si="3177"/>
        <v>0</v>
      </c>
      <c r="L2179" s="1423">
        <f t="shared" ca="1" si="3178"/>
        <v>0</v>
      </c>
      <c r="M2179" s="1423">
        <f t="shared" ca="1" si="3179"/>
        <v>0</v>
      </c>
      <c r="N2179" s="1423">
        <f t="shared" ca="1" si="3180"/>
        <v>0</v>
      </c>
      <c r="O2179" s="1423">
        <f t="shared" ca="1" si="3181"/>
        <v>0</v>
      </c>
      <c r="P2179" s="1423">
        <f t="shared" ca="1" si="3182"/>
        <v>0</v>
      </c>
      <c r="Q2179" s="1423">
        <f t="shared" ca="1" si="3183"/>
        <v>0</v>
      </c>
      <c r="R2179" s="1423">
        <f t="shared" ca="1" si="3184"/>
        <v>0</v>
      </c>
      <c r="S2179" s="1423">
        <f t="shared" ca="1" si="3185"/>
        <v>0</v>
      </c>
      <c r="T2179" s="1423">
        <f t="shared" ca="1" si="3186"/>
        <v>0</v>
      </c>
      <c r="U2179" s="1423">
        <f t="shared" ca="1" si="3187"/>
        <v>0</v>
      </c>
      <c r="V2179" s="1423">
        <f t="shared" ca="1" si="3188"/>
        <v>0</v>
      </c>
      <c r="W2179" s="1423">
        <f t="shared" ca="1" si="3189"/>
        <v>0</v>
      </c>
      <c r="X2179" s="202"/>
      <c r="Y2179" s="202"/>
      <c r="Z2179" s="202"/>
      <c r="AA2179" s="152"/>
      <c r="AB2179" s="152"/>
    </row>
    <row r="2180" spans="1:28" hidden="1" outlineLevel="1">
      <c r="A2180" s="199">
        <f t="shared" si="3190"/>
        <v>6</v>
      </c>
      <c r="B2180" s="190" t="str">
        <f t="shared" ca="1" si="3191"/>
        <v>Depreciated Net Capex 2021-22</v>
      </c>
      <c r="C2180" s="1426"/>
      <c r="D2180" s="1426"/>
      <c r="E2180" s="1426"/>
      <c r="F2180" s="1426"/>
      <c r="G2180" s="1426"/>
      <c r="H2180" s="1427"/>
      <c r="I2180" s="1428">
        <f>I2169</f>
        <v>0</v>
      </c>
      <c r="J2180" s="1423">
        <f ca="1">IF(I2204="n/a",I2180,IFERROR(IF((OFFSET($C2180,0,$A2180))&lt;0,
MIN(0,I2180-(OFFSET($C2180,0,$A2180)/(OFFSET($C2175,-$A2179,$A2180)))),
MAX(0,I2180-(OFFSET($C2180,0,$A2180)/(OFFSET($C2175,-$A2179,$A2180))))),0))</f>
        <v>0</v>
      </c>
      <c r="K2180" s="1423">
        <f t="shared" ca="1" si="3177"/>
        <v>0</v>
      </c>
      <c r="L2180" s="1423">
        <f t="shared" ca="1" si="3178"/>
        <v>0</v>
      </c>
      <c r="M2180" s="1423">
        <f t="shared" ca="1" si="3179"/>
        <v>0</v>
      </c>
      <c r="N2180" s="1423">
        <f t="shared" ca="1" si="3180"/>
        <v>0</v>
      </c>
      <c r="O2180" s="1423">
        <f t="shared" ca="1" si="3181"/>
        <v>0</v>
      </c>
      <c r="P2180" s="1423">
        <f t="shared" ca="1" si="3182"/>
        <v>0</v>
      </c>
      <c r="Q2180" s="1423">
        <f t="shared" ca="1" si="3183"/>
        <v>0</v>
      </c>
      <c r="R2180" s="1423">
        <f t="shared" ca="1" si="3184"/>
        <v>0</v>
      </c>
      <c r="S2180" s="1423">
        <f t="shared" ca="1" si="3185"/>
        <v>0</v>
      </c>
      <c r="T2180" s="1423">
        <f t="shared" ca="1" si="3186"/>
        <v>0</v>
      </c>
      <c r="U2180" s="1423">
        <f t="shared" ca="1" si="3187"/>
        <v>0</v>
      </c>
      <c r="V2180" s="1423">
        <f t="shared" ca="1" si="3188"/>
        <v>0</v>
      </c>
      <c r="W2180" s="1423">
        <f t="shared" ca="1" si="3189"/>
        <v>0</v>
      </c>
      <c r="X2180" s="202"/>
      <c r="Y2180" s="202"/>
      <c r="Z2180" s="202"/>
      <c r="AA2180" s="152"/>
      <c r="AB2180" s="152"/>
    </row>
    <row r="2181" spans="1:28" hidden="1" outlineLevel="1">
      <c r="A2181" s="199">
        <f t="shared" si="3190"/>
        <v>7</v>
      </c>
      <c r="B2181" s="190" t="str">
        <f t="shared" ca="1" si="3191"/>
        <v>Depreciated Net Capex 2022-23</v>
      </c>
      <c r="C2181" s="1426"/>
      <c r="D2181" s="1426"/>
      <c r="E2181" s="1426"/>
      <c r="F2181" s="1426"/>
      <c r="G2181" s="1426"/>
      <c r="H2181" s="1426"/>
      <c r="I2181" s="1427"/>
      <c r="J2181" s="1428">
        <f>J2169</f>
        <v>0</v>
      </c>
      <c r="K2181" s="1423">
        <f ca="1">IF(J2205="n/a",J2181,IFERROR(IF((OFFSET($C2181,0,$A2181))&lt;0,
MIN(0,J2181-(OFFSET($C2181,0,$A2181)/(OFFSET($C2176,-$A2180,$A2181)))),
MAX(0,J2181-(OFFSET($C2181,0,$A2181)/(OFFSET($C2176,-$A2180,$A2181))))),0))</f>
        <v>0</v>
      </c>
      <c r="L2181" s="1423">
        <f t="shared" ca="1" si="3178"/>
        <v>0</v>
      </c>
      <c r="M2181" s="1423">
        <f t="shared" ca="1" si="3179"/>
        <v>0</v>
      </c>
      <c r="N2181" s="1423">
        <f t="shared" ca="1" si="3180"/>
        <v>0</v>
      </c>
      <c r="O2181" s="1423">
        <f t="shared" ca="1" si="3181"/>
        <v>0</v>
      </c>
      <c r="P2181" s="1423">
        <f t="shared" ca="1" si="3182"/>
        <v>0</v>
      </c>
      <c r="Q2181" s="1423">
        <f t="shared" ca="1" si="3183"/>
        <v>0</v>
      </c>
      <c r="R2181" s="1423">
        <f t="shared" ca="1" si="3184"/>
        <v>0</v>
      </c>
      <c r="S2181" s="1423">
        <f t="shared" ca="1" si="3185"/>
        <v>0</v>
      </c>
      <c r="T2181" s="1423">
        <f t="shared" ca="1" si="3186"/>
        <v>0</v>
      </c>
      <c r="U2181" s="1423">
        <f t="shared" ca="1" si="3187"/>
        <v>0</v>
      </c>
      <c r="V2181" s="1423">
        <f t="shared" ca="1" si="3188"/>
        <v>0</v>
      </c>
      <c r="W2181" s="1423">
        <f t="shared" ca="1" si="3189"/>
        <v>0</v>
      </c>
      <c r="X2181" s="202"/>
      <c r="Y2181" s="202"/>
      <c r="Z2181" s="202"/>
      <c r="AA2181" s="152"/>
      <c r="AB2181" s="152"/>
    </row>
    <row r="2182" spans="1:28" hidden="1" outlineLevel="1">
      <c r="A2182" s="199">
        <f t="shared" si="3190"/>
        <v>8</v>
      </c>
      <c r="B2182" s="190" t="str">
        <f t="shared" ca="1" si="3191"/>
        <v>Depreciated Net Capex 2023-24</v>
      </c>
      <c r="C2182" s="1426"/>
      <c r="D2182" s="1426"/>
      <c r="E2182" s="1426"/>
      <c r="F2182" s="1426"/>
      <c r="G2182" s="1426"/>
      <c r="H2182" s="1426"/>
      <c r="I2182" s="1426"/>
      <c r="J2182" s="1427"/>
      <c r="K2182" s="1428">
        <f>K2169</f>
        <v>0</v>
      </c>
      <c r="L2182" s="1423">
        <f ca="1">IF(K2206="n/a",K2182,IFERROR(IF((OFFSET($C2182,0,$A2182))&lt;0,
MIN(0,K2182-(OFFSET($C2182,0,$A2182)/(OFFSET($C2177,-$A2181,$A2182)))),
MAX(0,K2182-(OFFSET($C2182,0,$A2182)/(OFFSET($C2177,-$A2181,$A2182))))),0))</f>
        <v>0</v>
      </c>
      <c r="M2182" s="1423">
        <f t="shared" ca="1" si="3179"/>
        <v>0</v>
      </c>
      <c r="N2182" s="1423">
        <f t="shared" ca="1" si="3180"/>
        <v>0</v>
      </c>
      <c r="O2182" s="1423">
        <f t="shared" ca="1" si="3181"/>
        <v>0</v>
      </c>
      <c r="P2182" s="1423">
        <f t="shared" ca="1" si="3182"/>
        <v>0</v>
      </c>
      <c r="Q2182" s="1423">
        <f t="shared" ca="1" si="3183"/>
        <v>0</v>
      </c>
      <c r="R2182" s="1423">
        <f t="shared" ca="1" si="3184"/>
        <v>0</v>
      </c>
      <c r="S2182" s="1423">
        <f t="shared" ca="1" si="3185"/>
        <v>0</v>
      </c>
      <c r="T2182" s="1423">
        <f t="shared" ca="1" si="3186"/>
        <v>0</v>
      </c>
      <c r="U2182" s="1423">
        <f t="shared" ca="1" si="3187"/>
        <v>0</v>
      </c>
      <c r="V2182" s="1423">
        <f t="shared" ca="1" si="3188"/>
        <v>0</v>
      </c>
      <c r="W2182" s="1423">
        <f t="shared" ca="1" si="3189"/>
        <v>0</v>
      </c>
      <c r="X2182" s="202"/>
      <c r="Y2182" s="202"/>
      <c r="Z2182" s="202"/>
      <c r="AA2182" s="152"/>
      <c r="AB2182" s="152"/>
    </row>
    <row r="2183" spans="1:28" hidden="1" outlineLevel="1">
      <c r="A2183" s="199">
        <f t="shared" si="3190"/>
        <v>9</v>
      </c>
      <c r="B2183" s="190" t="str">
        <f t="shared" ca="1" si="3191"/>
        <v>Depreciated Net Capex 2024-25</v>
      </c>
      <c r="C2183" s="1426"/>
      <c r="D2183" s="1426"/>
      <c r="E2183" s="1426"/>
      <c r="F2183" s="1426"/>
      <c r="G2183" s="1426"/>
      <c r="H2183" s="1426"/>
      <c r="I2183" s="1426"/>
      <c r="J2183" s="1426"/>
      <c r="K2183" s="1427"/>
      <c r="L2183" s="1428">
        <f>L2169</f>
        <v>0</v>
      </c>
      <c r="M2183" s="1423">
        <f ca="1">IF(L2207="n/a",L2183,IFERROR(IF((OFFSET($C2183,0,$A2183))&lt;0,
MIN(0,L2183-(OFFSET($C2183,0,$A2183)/(OFFSET($C2178,-$A2182,$A2183)))),
MAX(0,L2183-(OFFSET($C2183,0,$A2183)/(OFFSET($C2178,-$A2182,$A2183))))),0))</f>
        <v>0</v>
      </c>
      <c r="N2183" s="1423">
        <f t="shared" ca="1" si="3180"/>
        <v>0</v>
      </c>
      <c r="O2183" s="1423">
        <f t="shared" ca="1" si="3181"/>
        <v>0</v>
      </c>
      <c r="P2183" s="1423">
        <f t="shared" ca="1" si="3182"/>
        <v>0</v>
      </c>
      <c r="Q2183" s="1423">
        <f t="shared" ca="1" si="3183"/>
        <v>0</v>
      </c>
      <c r="R2183" s="1423">
        <f t="shared" ca="1" si="3184"/>
        <v>0</v>
      </c>
      <c r="S2183" s="1423">
        <f t="shared" ca="1" si="3185"/>
        <v>0</v>
      </c>
      <c r="T2183" s="1423">
        <f t="shared" ca="1" si="3186"/>
        <v>0</v>
      </c>
      <c r="U2183" s="1423">
        <f t="shared" ca="1" si="3187"/>
        <v>0</v>
      </c>
      <c r="V2183" s="1423">
        <f t="shared" ca="1" si="3188"/>
        <v>0</v>
      </c>
      <c r="W2183" s="1423">
        <f t="shared" ca="1" si="3189"/>
        <v>0</v>
      </c>
      <c r="X2183" s="202"/>
      <c r="Y2183" s="202"/>
      <c r="Z2183" s="202"/>
      <c r="AA2183" s="152"/>
      <c r="AB2183" s="152"/>
    </row>
    <row r="2184" spans="1:28" hidden="1" outlineLevel="1">
      <c r="A2184" s="199">
        <f t="shared" si="3190"/>
        <v>10</v>
      </c>
      <c r="B2184" s="190" t="str">
        <f t="shared" ca="1" si="3191"/>
        <v>Depreciated Net Capex 2025-26</v>
      </c>
      <c r="C2184" s="1426"/>
      <c r="D2184" s="1426"/>
      <c r="E2184" s="1426"/>
      <c r="F2184" s="1426"/>
      <c r="G2184" s="1426"/>
      <c r="H2184" s="1426"/>
      <c r="I2184" s="1426"/>
      <c r="J2184" s="1426"/>
      <c r="K2184" s="1426"/>
      <c r="L2184" s="1427"/>
      <c r="M2184" s="1428">
        <f>M2169</f>
        <v>0</v>
      </c>
      <c r="N2184" s="1423">
        <f ca="1">IF(M2208="n/a",M2184,IFERROR(IF((OFFSET($C2184,0,$A2184))&lt;0,
MIN(0,M2184-(OFFSET($C2184,0,$A2184)/(OFFSET($C2179,-$A2183,$A2184)))),
MAX(0,M2184-(OFFSET($C2184,0,$A2184)/(OFFSET($C2179,-$A2183,$A2184))))),0))</f>
        <v>0</v>
      </c>
      <c r="O2184" s="1423">
        <f t="shared" ca="1" si="3181"/>
        <v>0</v>
      </c>
      <c r="P2184" s="1423">
        <f t="shared" ca="1" si="3182"/>
        <v>0</v>
      </c>
      <c r="Q2184" s="1423">
        <f t="shared" ca="1" si="3183"/>
        <v>0</v>
      </c>
      <c r="R2184" s="1423">
        <f t="shared" ca="1" si="3184"/>
        <v>0</v>
      </c>
      <c r="S2184" s="1423">
        <f t="shared" ca="1" si="3185"/>
        <v>0</v>
      </c>
      <c r="T2184" s="1423">
        <f t="shared" ca="1" si="3186"/>
        <v>0</v>
      </c>
      <c r="U2184" s="1423">
        <f t="shared" ca="1" si="3187"/>
        <v>0</v>
      </c>
      <c r="V2184" s="1423">
        <f t="shared" ca="1" si="3188"/>
        <v>0</v>
      </c>
      <c r="W2184" s="1423">
        <f t="shared" ca="1" si="3189"/>
        <v>0</v>
      </c>
      <c r="X2184" s="202"/>
      <c r="Y2184" s="202"/>
      <c r="Z2184" s="202"/>
      <c r="AA2184" s="152"/>
      <c r="AB2184" s="152"/>
    </row>
    <row r="2185" spans="1:28" hidden="1" outlineLevel="1">
      <c r="A2185" s="199">
        <f t="shared" si="3190"/>
        <v>11</v>
      </c>
      <c r="B2185" s="190" t="str">
        <f t="shared" ca="1" si="3191"/>
        <v>Depreciated Net Capex 2026-27</v>
      </c>
      <c r="C2185" s="1426"/>
      <c r="D2185" s="1426"/>
      <c r="E2185" s="1426"/>
      <c r="F2185" s="1426"/>
      <c r="G2185" s="1426"/>
      <c r="H2185" s="1426"/>
      <c r="I2185" s="1426"/>
      <c r="J2185" s="1426"/>
      <c r="K2185" s="1426"/>
      <c r="L2185" s="1426"/>
      <c r="M2185" s="1427"/>
      <c r="N2185" s="1428">
        <f>N2169</f>
        <v>0</v>
      </c>
      <c r="O2185" s="1423">
        <f ca="1">IF(N2209="n/a",N2185,IFERROR(IF((OFFSET($C2185,0,$A2185))&lt;0,
MIN(0,N2185-(OFFSET($C2185,0,$A2185)/(OFFSET($C2180,-$A2184,$A2185)))),
MAX(0,N2185-(OFFSET($C2185,0,$A2185)/(OFFSET($C2180,-$A2184,$A2185))))),0))</f>
        <v>0</v>
      </c>
      <c r="P2185" s="1423">
        <f t="shared" ca="1" si="3182"/>
        <v>0</v>
      </c>
      <c r="Q2185" s="1423">
        <f t="shared" ca="1" si="3183"/>
        <v>0</v>
      </c>
      <c r="R2185" s="1423">
        <f t="shared" ca="1" si="3184"/>
        <v>0</v>
      </c>
      <c r="S2185" s="1423">
        <f t="shared" ca="1" si="3185"/>
        <v>0</v>
      </c>
      <c r="T2185" s="1423">
        <f t="shared" ca="1" si="3186"/>
        <v>0</v>
      </c>
      <c r="U2185" s="1423">
        <f t="shared" ca="1" si="3187"/>
        <v>0</v>
      </c>
      <c r="V2185" s="1423">
        <f t="shared" ca="1" si="3188"/>
        <v>0</v>
      </c>
      <c r="W2185" s="1423">
        <f t="shared" ca="1" si="3189"/>
        <v>0</v>
      </c>
      <c r="X2185" s="202"/>
      <c r="Y2185" s="202"/>
      <c r="Z2185" s="202"/>
      <c r="AA2185" s="152"/>
      <c r="AB2185" s="152"/>
    </row>
    <row r="2186" spans="1:28" hidden="1" outlineLevel="1">
      <c r="A2186" s="199">
        <f t="shared" si="3190"/>
        <v>12</v>
      </c>
      <c r="B2186" s="190" t="str">
        <f t="shared" ca="1" si="3191"/>
        <v>Depreciated Net Capex 2027-28</v>
      </c>
      <c r="C2186" s="1426"/>
      <c r="D2186" s="1426"/>
      <c r="E2186" s="1426"/>
      <c r="F2186" s="1426"/>
      <c r="G2186" s="1426"/>
      <c r="H2186" s="1426"/>
      <c r="I2186" s="1426"/>
      <c r="J2186" s="1426"/>
      <c r="K2186" s="1426"/>
      <c r="L2186" s="1426"/>
      <c r="M2186" s="1426"/>
      <c r="N2186" s="1427"/>
      <c r="O2186" s="1428">
        <f>O2169</f>
        <v>0</v>
      </c>
      <c r="P2186" s="1423">
        <f ca="1">IF(O2210="n/a",O2186,IFERROR(IF((OFFSET($C2186,0,$A2186))&lt;0,
MIN(0,O2186-(OFFSET($C2186,0,$A2186)/(OFFSET($C2181,-$A2185,$A2186)))),
MAX(0,O2186-(OFFSET($C2186,0,$A2186)/(OFFSET($C2181,-$A2185,$A2186))))),0))</f>
        <v>0</v>
      </c>
      <c r="Q2186" s="1423">
        <f t="shared" ca="1" si="3183"/>
        <v>0</v>
      </c>
      <c r="R2186" s="1423">
        <f t="shared" ca="1" si="3184"/>
        <v>0</v>
      </c>
      <c r="S2186" s="1423">
        <f t="shared" ca="1" si="3185"/>
        <v>0</v>
      </c>
      <c r="T2186" s="1423">
        <f t="shared" ca="1" si="3186"/>
        <v>0</v>
      </c>
      <c r="U2186" s="1423">
        <f t="shared" ca="1" si="3187"/>
        <v>0</v>
      </c>
      <c r="V2186" s="1423">
        <f t="shared" ca="1" si="3188"/>
        <v>0</v>
      </c>
      <c r="W2186" s="1423">
        <f t="shared" ca="1" si="3189"/>
        <v>0</v>
      </c>
      <c r="X2186" s="202"/>
      <c r="Y2186" s="202"/>
      <c r="Z2186" s="202"/>
      <c r="AA2186" s="152"/>
      <c r="AB2186" s="152"/>
    </row>
    <row r="2187" spans="1:28" hidden="1" outlineLevel="1">
      <c r="A2187" s="199">
        <f t="shared" si="3190"/>
        <v>13</v>
      </c>
      <c r="B2187" s="190" t="str">
        <f t="shared" ca="1" si="3191"/>
        <v>Depreciated Net Capex 2028-29</v>
      </c>
      <c r="C2187" s="1426"/>
      <c r="D2187" s="1426"/>
      <c r="E2187" s="1426"/>
      <c r="F2187" s="1426"/>
      <c r="G2187" s="1426"/>
      <c r="H2187" s="1426"/>
      <c r="I2187" s="1426"/>
      <c r="J2187" s="1426"/>
      <c r="K2187" s="1426"/>
      <c r="L2187" s="1426"/>
      <c r="M2187" s="1426"/>
      <c r="N2187" s="1426"/>
      <c r="O2187" s="1427"/>
      <c r="P2187" s="1428">
        <f>P2169</f>
        <v>0</v>
      </c>
      <c r="Q2187" s="1423">
        <f ca="1">IF(P2211="n/a",P2187,IFERROR(IF((OFFSET($C2187,0,$A2187))&lt;0,
MIN(0,P2187-(OFFSET($C2187,0,$A2187)/(OFFSET($C2182,-$A2186,$A2187)))),
MAX(0,P2187-(OFFSET($C2187,0,$A2187)/(OFFSET($C2182,-$A2186,$A2187))))),0))</f>
        <v>0</v>
      </c>
      <c r="R2187" s="1423">
        <f t="shared" ca="1" si="3184"/>
        <v>0</v>
      </c>
      <c r="S2187" s="1423">
        <f t="shared" ca="1" si="3185"/>
        <v>0</v>
      </c>
      <c r="T2187" s="1423">
        <f t="shared" ca="1" si="3186"/>
        <v>0</v>
      </c>
      <c r="U2187" s="1423">
        <f t="shared" ca="1" si="3187"/>
        <v>0</v>
      </c>
      <c r="V2187" s="1423">
        <f t="shared" ca="1" si="3188"/>
        <v>0</v>
      </c>
      <c r="W2187" s="1423">
        <f t="shared" ca="1" si="3189"/>
        <v>0</v>
      </c>
      <c r="X2187" s="202"/>
      <c r="Y2187" s="202"/>
      <c r="Z2187" s="202"/>
      <c r="AA2187" s="152"/>
      <c r="AB2187" s="152"/>
    </row>
    <row r="2188" spans="1:28" hidden="1" outlineLevel="1">
      <c r="A2188" s="199">
        <f t="shared" si="3190"/>
        <v>14</v>
      </c>
      <c r="B2188" s="190" t="str">
        <f t="shared" ca="1" si="3191"/>
        <v>Depreciated Net Capex 2029-30</v>
      </c>
      <c r="C2188" s="1426"/>
      <c r="D2188" s="1426"/>
      <c r="E2188" s="1426"/>
      <c r="F2188" s="1426"/>
      <c r="G2188" s="1426"/>
      <c r="H2188" s="1426"/>
      <c r="I2188" s="1426"/>
      <c r="J2188" s="1426"/>
      <c r="K2188" s="1426"/>
      <c r="L2188" s="1426"/>
      <c r="M2188" s="1426"/>
      <c r="N2188" s="1426"/>
      <c r="O2188" s="1426"/>
      <c r="P2188" s="1427"/>
      <c r="Q2188" s="1428">
        <f>Q2169</f>
        <v>0</v>
      </c>
      <c r="R2188" s="1423">
        <f ca="1">IF(Q2212="n/a",Q2188,IFERROR(IF((OFFSET($C2188,0,$A2188))&lt;0,
MIN(0,Q2188-(OFFSET($C2188,0,$A2188)/(OFFSET($C2183,-$A2187,$A2188)))),
MAX(0,Q2188-(OFFSET($C2188,0,$A2188)/(OFFSET($C2183,-$A2187,$A2188))))),0))</f>
        <v>0</v>
      </c>
      <c r="S2188" s="1423">
        <f t="shared" ca="1" si="3185"/>
        <v>0</v>
      </c>
      <c r="T2188" s="1423">
        <f t="shared" ca="1" si="3186"/>
        <v>0</v>
      </c>
      <c r="U2188" s="1423">
        <f t="shared" ca="1" si="3187"/>
        <v>0</v>
      </c>
      <c r="V2188" s="1423">
        <f t="shared" ca="1" si="3188"/>
        <v>0</v>
      </c>
      <c r="W2188" s="1423">
        <f t="shared" ca="1" si="3189"/>
        <v>0</v>
      </c>
      <c r="X2188" s="202"/>
      <c r="Y2188" s="202"/>
      <c r="Z2188" s="202"/>
      <c r="AA2188" s="152"/>
      <c r="AB2188" s="152"/>
    </row>
    <row r="2189" spans="1:28" hidden="1" outlineLevel="1">
      <c r="A2189" s="199">
        <f t="shared" si="3190"/>
        <v>15</v>
      </c>
      <c r="B2189" s="190" t="str">
        <f t="shared" ca="1" si="3191"/>
        <v>Depreciated Net Capex 2030-31</v>
      </c>
      <c r="C2189" s="1426"/>
      <c r="D2189" s="1426"/>
      <c r="E2189" s="1426"/>
      <c r="F2189" s="1426"/>
      <c r="G2189" s="1426"/>
      <c r="H2189" s="1426"/>
      <c r="I2189" s="1426"/>
      <c r="J2189" s="1426"/>
      <c r="K2189" s="1426"/>
      <c r="L2189" s="1426"/>
      <c r="M2189" s="1426"/>
      <c r="N2189" s="1426"/>
      <c r="O2189" s="1426"/>
      <c r="P2189" s="1426"/>
      <c r="Q2189" s="1427"/>
      <c r="R2189" s="1428">
        <f>R2169</f>
        <v>0</v>
      </c>
      <c r="S2189" s="1423">
        <f ca="1">IF(R2213="n/a",R2189,IFERROR(IF((OFFSET($C2189,0,$A2189))&lt;0,
MIN(0,R2189-(OFFSET($C2189,0,$A2189)/(OFFSET($C2184,-$A2188,$A2189)))),
MAX(0,R2189-(OFFSET($C2189,0,$A2189)/(OFFSET($C2184,-$A2188,$A2189))))),0))</f>
        <v>0</v>
      </c>
      <c r="T2189" s="1423">
        <f t="shared" ca="1" si="3186"/>
        <v>0</v>
      </c>
      <c r="U2189" s="1423">
        <f t="shared" ca="1" si="3187"/>
        <v>0</v>
      </c>
      <c r="V2189" s="1423">
        <f t="shared" ca="1" si="3188"/>
        <v>0</v>
      </c>
      <c r="W2189" s="1423">
        <f t="shared" ca="1" si="3189"/>
        <v>0</v>
      </c>
      <c r="X2189" s="202"/>
      <c r="Y2189" s="202"/>
      <c r="Z2189" s="202"/>
      <c r="AA2189" s="152"/>
      <c r="AB2189" s="152"/>
    </row>
    <row r="2190" spans="1:28" hidden="1" outlineLevel="1">
      <c r="A2190" s="199">
        <f t="shared" si="3190"/>
        <v>16</v>
      </c>
      <c r="B2190" s="190" t="str">
        <f t="shared" ca="1" si="3191"/>
        <v>Depreciated Net Capex 2031-32</v>
      </c>
      <c r="C2190" s="1426"/>
      <c r="D2190" s="1426"/>
      <c r="E2190" s="1426"/>
      <c r="F2190" s="1426"/>
      <c r="G2190" s="1426"/>
      <c r="H2190" s="1426"/>
      <c r="I2190" s="1426"/>
      <c r="J2190" s="1426"/>
      <c r="K2190" s="1426"/>
      <c r="L2190" s="1426"/>
      <c r="M2190" s="1426"/>
      <c r="N2190" s="1426"/>
      <c r="O2190" s="1426"/>
      <c r="P2190" s="1426"/>
      <c r="Q2190" s="1426"/>
      <c r="R2190" s="1427"/>
      <c r="S2190" s="1428">
        <f>S2169</f>
        <v>0</v>
      </c>
      <c r="T2190" s="1423">
        <f ca="1">IF(S2214="n/a",S2190,IFERROR(IF((OFFSET($C2190,0,$A2190))&lt;0,
MIN(0,S2190-(OFFSET($C2190,0,$A2190)/(OFFSET($C2185,-$A2189,$A2190)))),
MAX(0,S2190-(OFFSET($C2190,0,$A2190)/(OFFSET($C2185,-$A2189,$A2190))))),0))</f>
        <v>0</v>
      </c>
      <c r="U2190" s="1423">
        <f t="shared" ca="1" si="3187"/>
        <v>0</v>
      </c>
      <c r="V2190" s="1423">
        <f t="shared" ca="1" si="3188"/>
        <v>0</v>
      </c>
      <c r="W2190" s="1423">
        <f t="shared" ca="1" si="3189"/>
        <v>0</v>
      </c>
      <c r="X2190" s="202"/>
      <c r="Y2190" s="202"/>
      <c r="Z2190" s="202"/>
      <c r="AA2190" s="152"/>
      <c r="AB2190" s="152"/>
    </row>
    <row r="2191" spans="1:28" hidden="1" outlineLevel="1">
      <c r="A2191" s="199">
        <f t="shared" si="3190"/>
        <v>17</v>
      </c>
      <c r="B2191" s="190" t="str">
        <f t="shared" ca="1" si="3191"/>
        <v>Depreciated Net Capex 2032-33</v>
      </c>
      <c r="C2191" s="1426"/>
      <c r="D2191" s="1426"/>
      <c r="E2191" s="1426"/>
      <c r="F2191" s="1426"/>
      <c r="G2191" s="1426"/>
      <c r="H2191" s="1426"/>
      <c r="I2191" s="1426"/>
      <c r="J2191" s="1426"/>
      <c r="K2191" s="1426"/>
      <c r="L2191" s="1426"/>
      <c r="M2191" s="1426"/>
      <c r="N2191" s="1426"/>
      <c r="O2191" s="1426"/>
      <c r="P2191" s="1426"/>
      <c r="Q2191" s="1426"/>
      <c r="R2191" s="1426"/>
      <c r="S2191" s="1427"/>
      <c r="T2191" s="1428">
        <f>T2169</f>
        <v>0</v>
      </c>
      <c r="U2191" s="1423">
        <f ca="1">IF(T2215="n/a",T2191,IFERROR(IF((OFFSET($C2191,0,$A2191))&lt;0,
MIN(0,T2191-(OFFSET($C2191,0,$A2191)/(OFFSET($C2186,-$A2190,$A2191)))),
MAX(0,T2191-(OFFSET($C2191,0,$A2191)/(OFFSET($C2186,-$A2190,$A2191))))),0))</f>
        <v>0</v>
      </c>
      <c r="V2191" s="1423">
        <f t="shared" ca="1" si="3188"/>
        <v>0</v>
      </c>
      <c r="W2191" s="1423">
        <f t="shared" ca="1" si="3189"/>
        <v>0</v>
      </c>
      <c r="X2191" s="202"/>
      <c r="Y2191" s="202"/>
      <c r="Z2191" s="202"/>
      <c r="AA2191" s="152"/>
      <c r="AB2191" s="152"/>
    </row>
    <row r="2192" spans="1:28" hidden="1" outlineLevel="1">
      <c r="A2192" s="199">
        <f t="shared" si="3190"/>
        <v>18</v>
      </c>
      <c r="B2192" s="190" t="str">
        <f t="shared" ca="1" si="3191"/>
        <v>Depreciated Net Capex 2033-34</v>
      </c>
      <c r="C2192" s="1426"/>
      <c r="D2192" s="1426"/>
      <c r="E2192" s="1426"/>
      <c r="F2192" s="1426"/>
      <c r="G2192" s="1426"/>
      <c r="H2192" s="1426"/>
      <c r="I2192" s="1426"/>
      <c r="J2192" s="1426"/>
      <c r="K2192" s="1426"/>
      <c r="L2192" s="1426"/>
      <c r="M2192" s="1426"/>
      <c r="N2192" s="1426"/>
      <c r="O2192" s="1426"/>
      <c r="P2192" s="1426"/>
      <c r="Q2192" s="1426"/>
      <c r="R2192" s="1426"/>
      <c r="S2192" s="1426"/>
      <c r="T2192" s="1427"/>
      <c r="U2192" s="1428">
        <f>U2169</f>
        <v>0</v>
      </c>
      <c r="V2192" s="1423">
        <f ca="1">IF(U2216="n/a",U2192,IFERROR(IF((OFFSET($C2192,0,$A2192))&lt;0,
MIN(0,U2192-(OFFSET($C2192,0,$A2192)/(OFFSET($C2187,-$A2191,$A2192)))),
MAX(0,U2192-(OFFSET($C2192,0,$A2192)/(OFFSET($C2187,-$A2191,$A2192))))),0))</f>
        <v>0</v>
      </c>
      <c r="W2192" s="1423">
        <f t="shared" ca="1" si="3189"/>
        <v>0</v>
      </c>
      <c r="X2192" s="202"/>
      <c r="Y2192" s="202"/>
      <c r="Z2192" s="202"/>
      <c r="AA2192" s="152"/>
      <c r="AB2192" s="152"/>
    </row>
    <row r="2193" spans="1:28" hidden="1" outlineLevel="1">
      <c r="A2193" s="199">
        <f t="shared" si="3190"/>
        <v>19</v>
      </c>
      <c r="B2193" s="190" t="str">
        <f t="shared" ca="1" si="3191"/>
        <v>Depreciated Net Capex 2034-35</v>
      </c>
      <c r="C2193" s="1426"/>
      <c r="D2193" s="1426"/>
      <c r="E2193" s="1426"/>
      <c r="F2193" s="1426"/>
      <c r="G2193" s="1426"/>
      <c r="H2193" s="1426"/>
      <c r="I2193" s="1426"/>
      <c r="J2193" s="1426"/>
      <c r="K2193" s="1426"/>
      <c r="L2193" s="1426"/>
      <c r="M2193" s="1426"/>
      <c r="N2193" s="1426"/>
      <c r="O2193" s="1426"/>
      <c r="P2193" s="1426"/>
      <c r="Q2193" s="1426"/>
      <c r="R2193" s="1426"/>
      <c r="S2193" s="1426"/>
      <c r="T2193" s="1426"/>
      <c r="U2193" s="1427"/>
      <c r="V2193" s="1428">
        <f>V2169</f>
        <v>0</v>
      </c>
      <c r="W2193" s="1423">
        <f ca="1">IF(V2217="n/a",V2193,IFERROR(IF((OFFSET($C2193,0,$A2193))&lt;0,
MIN(0,V2193-(OFFSET($C2193,0,$A2193)/(OFFSET($C2188,-$A2192,$A2193)))),
MAX(0,V2193-(OFFSET($C2193,0,$A2193)/(OFFSET($C2188,-$A2192,$A2193))))),0))</f>
        <v>0</v>
      </c>
      <c r="X2193" s="202"/>
      <c r="Y2193" s="202"/>
      <c r="Z2193" s="202"/>
      <c r="AA2193" s="152"/>
      <c r="AB2193" s="152"/>
    </row>
    <row r="2194" spans="1:28" hidden="1" outlineLevel="1">
      <c r="A2194" s="199">
        <f t="shared" si="3190"/>
        <v>20</v>
      </c>
      <c r="B2194" s="190" t="str">
        <f t="shared" ca="1" si="3191"/>
        <v>Depreciated Net Capex 2035-36</v>
      </c>
      <c r="C2194" s="1426"/>
      <c r="D2194" s="1426"/>
      <c r="E2194" s="1426"/>
      <c r="F2194" s="1426"/>
      <c r="G2194" s="1426"/>
      <c r="H2194" s="1426"/>
      <c r="I2194" s="1426"/>
      <c r="J2194" s="1426"/>
      <c r="K2194" s="1426"/>
      <c r="L2194" s="1426"/>
      <c r="M2194" s="1426"/>
      <c r="N2194" s="1426"/>
      <c r="O2194" s="1426"/>
      <c r="P2194" s="1426"/>
      <c r="Q2194" s="1426"/>
      <c r="R2194" s="1426"/>
      <c r="S2194" s="1426"/>
      <c r="T2194" s="1426"/>
      <c r="U2194" s="1426"/>
      <c r="V2194" s="1427"/>
      <c r="W2194" s="1423">
        <f>W2169</f>
        <v>0</v>
      </c>
      <c r="X2194" s="152"/>
      <c r="Y2194" s="152"/>
      <c r="Z2194" s="152"/>
      <c r="AA2194" s="152"/>
      <c r="AB2194" s="152"/>
    </row>
    <row r="2195" spans="1:28" hidden="1" outlineLevel="1">
      <c r="A2195" s="152"/>
      <c r="B2195" s="200"/>
      <c r="C2195" s="1423"/>
      <c r="D2195" s="1423"/>
      <c r="E2195" s="1423"/>
      <c r="F2195" s="1423"/>
      <c r="G2195" s="1423"/>
      <c r="H2195" s="1423"/>
      <c r="I2195" s="1423"/>
      <c r="J2195" s="1423"/>
      <c r="K2195" s="1423"/>
      <c r="L2195" s="1423"/>
      <c r="M2195" s="1423"/>
      <c r="N2195" s="1423"/>
      <c r="O2195" s="1423"/>
      <c r="P2195" s="1423"/>
      <c r="Q2195" s="1423"/>
      <c r="R2195" s="1423"/>
      <c r="S2195" s="1423"/>
      <c r="T2195" s="1423"/>
      <c r="U2195" s="1423"/>
      <c r="V2195" s="1423"/>
      <c r="W2195" s="1423"/>
      <c r="X2195" s="152"/>
      <c r="Y2195" s="152"/>
      <c r="Z2195" s="152"/>
      <c r="AA2195" s="152"/>
      <c r="AB2195" s="152"/>
    </row>
    <row r="2196" spans="1:28" hidden="1" outlineLevel="1">
      <c r="A2196" s="152"/>
      <c r="B2196" s="200"/>
      <c r="C2196" s="1423"/>
      <c r="D2196" s="1423"/>
      <c r="E2196" s="1423"/>
      <c r="F2196" s="1423"/>
      <c r="G2196" s="1423"/>
      <c r="H2196" s="1423"/>
      <c r="I2196" s="1423"/>
      <c r="J2196" s="1423"/>
      <c r="K2196" s="1423"/>
      <c r="L2196" s="1423"/>
      <c r="M2196" s="1423"/>
      <c r="N2196" s="1423"/>
      <c r="O2196" s="1423"/>
      <c r="P2196" s="1423"/>
      <c r="Q2196" s="1423"/>
      <c r="R2196" s="1423"/>
      <c r="S2196" s="1423"/>
      <c r="T2196" s="1423"/>
      <c r="U2196" s="1423"/>
      <c r="V2196" s="1423"/>
      <c r="W2196" s="1423"/>
      <c r="X2196" s="152"/>
      <c r="Y2196" s="152"/>
      <c r="Z2196" s="152"/>
      <c r="AA2196" s="152"/>
      <c r="AB2196" s="152"/>
    </row>
    <row r="2197" spans="1:28" hidden="1" outlineLevel="1">
      <c r="A2197" s="152"/>
      <c r="B2197" s="190" t="s">
        <v>194</v>
      </c>
      <c r="C2197" s="1423"/>
      <c r="D2197" s="1423">
        <f t="shared" ref="D2197" ca="1" si="3192">IF(AND(C2197&lt;1,D2171=0),0,
IF(D2171=0,C2197-1,
IF(C2197&lt;1,D2172,
(((C2197-1)*(C2173-(C2173/(C2197))))+(D2171*D2172))/(D2173))))</f>
        <v>0</v>
      </c>
      <c r="E2197" s="1423">
        <f t="shared" ref="E2197" ca="1" si="3193">IF(AND(D2197&lt;1,E2171=0),0,
IF(E2171=0,D2197-1,
IF(D2197&lt;1,E2172,
(((D2197-1)*(D2173-(D2173/(D2197))))+(E2171*E2172))/(E2173))))</f>
        <v>0</v>
      </c>
      <c r="F2197" s="1423">
        <f t="shared" ref="F2197" ca="1" si="3194">IF(AND(E2197&lt;1,F2171=0),0,
IF(F2171=0,E2197-1,
IF(E2197&lt;1,F2172,
(((E2197-1)*(E2173-(E2173/(E2197))))+(F2171*F2172))/(F2173))))</f>
        <v>0</v>
      </c>
      <c r="G2197" s="1423">
        <f t="shared" ref="G2197" ca="1" si="3195">IF(AND(F2197&lt;1,G2171=0),0,
IF(G2171=0,F2197-1,
IF(F2197&lt;1,G2172,
(((F2197-1)*(F2173-(F2173/(F2197))))+(G2171*G2172))/(G2173))))</f>
        <v>0</v>
      </c>
      <c r="H2197" s="1423">
        <f ca="1">IF(AND(G2197&lt;1,H2171=0),0,
IF(H2171=0,G2197-1,
IF(G2197&lt;1,H2172,
(((G2197-1)*(G2173-(G2173/(G2197))))+(H2171*H2172))/(H2173))))</f>
        <v>0</v>
      </c>
      <c r="I2197" s="1423">
        <f t="shared" ref="I2197" ca="1" si="3196">IF(AND(H2197&lt;1,I2171=0),0,
IF(I2171=0,H2197-1,
IF(H2197&lt;1,I2172,
(((H2197-1)*(H2173-(H2173/(H2197))))+(I2171*I2172))/(I2173))))</f>
        <v>0</v>
      </c>
      <c r="J2197" s="1423">
        <f t="shared" ref="J2197" ca="1" si="3197">IF(AND(I2197&lt;1,J2171=0),0,
IF(J2171=0,I2197-1,
IF(I2197&lt;1,J2172,
(((I2197-1)*(I2173-(I2173/(I2197))))+(J2171*J2172))/(J2173))))</f>
        <v>0</v>
      </c>
      <c r="K2197" s="1423">
        <f t="shared" ref="K2197" ca="1" si="3198">IF(AND(J2197&lt;1,K2171=0),0,
IF(K2171=0,J2197-1,
IF(J2197&lt;1,K2172,
(((J2197-1)*(J2173-(J2173/(J2197))))+(K2171*K2172))/(K2173))))</f>
        <v>0</v>
      </c>
      <c r="L2197" s="1423">
        <f t="shared" ref="L2197" ca="1" si="3199">IF(AND(K2197&lt;1,L2171=0),0,
IF(L2171=0,K2197-1,
IF(K2197&lt;1,L2172,
(((K2197-1)*(K2173-(K2173/(K2197))))+(L2171*L2172))/(L2173))))</f>
        <v>0</v>
      </c>
      <c r="M2197" s="1423">
        <f ca="1">IF(AND(L2197&lt;1,M2171=0),0,
IF(M2171=0,L2197-1,
IF(L2197&lt;1,M2172,
(((L2197-1)*(L2173-(L2173/(L2197))))+(M2171*M2172))/(M2173))))</f>
        <v>0</v>
      </c>
      <c r="N2197" s="1423">
        <f t="shared" ref="N2197" ca="1" si="3200">IF(AND(M2197&lt;1,N2171=0),0,
IF(N2171=0,M2197-1,
IF(M2197&lt;1,N2172,
(((M2197-1)*(M2173-(M2173/(M2197))))+(N2171*N2172))/(N2173))))</f>
        <v>0</v>
      </c>
      <c r="O2197" s="1423">
        <f t="shared" ref="O2197" ca="1" si="3201">IF(AND(N2197&lt;1,O2171=0),0,
IF(O2171=0,N2197-1,
IF(N2197&lt;1,O2172,
(((N2197-1)*(N2173-(N2173/(N2197))))+(O2171*O2172))/(O2173))))</f>
        <v>0</v>
      </c>
      <c r="P2197" s="1423">
        <f t="shared" ref="P2197" ca="1" si="3202">IF(AND(O2197&lt;1,P2171=0),0,
IF(P2171=0,O2197-1,
IF(O2197&lt;1,P2172,
(((O2197-1)*(O2173-(O2173/(O2197))))+(P2171*P2172))/(P2173))))</f>
        <v>0</v>
      </c>
      <c r="Q2197" s="1423">
        <f t="shared" ref="Q2197" ca="1" si="3203">IF(AND(P2197&lt;1,Q2171=0),0,
IF(Q2171=0,P2197-1,
IF(P2197&lt;1,Q2172,
(((P2197-1)*(P2173-(P2173/(P2197))))+(Q2171*Q2172))/(Q2173))))</f>
        <v>0</v>
      </c>
      <c r="R2197" s="1423">
        <f t="shared" ref="R2197" ca="1" si="3204">IF(AND(Q2197&lt;1,R2171=0),0,
IF(R2171=0,Q2197-1,
IF(Q2197&lt;1,R2172,
(((Q2197-1)*(Q2173-(Q2173/(Q2197))))+(R2171*R2172))/(R2173))))</f>
        <v>0</v>
      </c>
      <c r="S2197" s="1423">
        <f t="shared" ref="S2197" ca="1" si="3205">IF(AND(R2197&lt;1,S2171=0),0,
IF(S2171=0,R2197-1,
IF(R2197&lt;1,S2172,
(((R2197-1)*(R2173-(R2173/(R2197))))+(S2171*S2172))/(S2173))))</f>
        <v>0</v>
      </c>
      <c r="T2197" s="1423">
        <f t="shared" ref="T2197" ca="1" si="3206">IF(AND(S2197&lt;1,T2171=0),0,
IF(T2171=0,S2197-1,
IF(S2197&lt;1,T2172,
(((S2197-1)*(S2173-(S2173/(S2197))))+(T2171*T2172))/(T2173))))</f>
        <v>0</v>
      </c>
      <c r="U2197" s="1423">
        <f t="shared" ref="U2197" ca="1" si="3207">IF(AND(T2197&lt;1,U2171=0),0,
IF(U2171=0,T2197-1,
IF(T2197&lt;1,U2172,
(((T2197-1)*(T2173-(T2173/(T2197))))+(U2171*U2172))/(U2173))))</f>
        <v>0</v>
      </c>
      <c r="V2197" s="1423">
        <f t="shared" ref="V2197" ca="1" si="3208">IF(AND(U2197&lt;1,V2171=0),0,
IF(V2171=0,U2197-1,
IF(U2197&lt;1,V2172,
(((U2197-1)*(U2173-(U2173/(U2197))))+(V2171*V2172))/(V2173))))</f>
        <v>0</v>
      </c>
      <c r="W2197" s="1423">
        <f t="shared" ref="W2197" ca="1" si="3209">IF(AND(V2197&lt;1,W2171=0),0,
IF(W2171=0,V2197-1,
IF(V2197&lt;1,W2172,
(((V2197-1)*(V2173-(V2173/(V2197))))+(W2171*W2172))/(W2173))))</f>
        <v>0</v>
      </c>
      <c r="X2197" s="152"/>
      <c r="Y2197" s="152"/>
      <c r="Z2197" s="152"/>
      <c r="AA2197" s="152"/>
      <c r="AB2197" s="152"/>
    </row>
    <row r="2198" spans="1:28" hidden="1" outlineLevel="1">
      <c r="A2198" s="152"/>
      <c r="B2198" s="190" t="s">
        <v>193</v>
      </c>
      <c r="C2198" s="1423">
        <f ca="1">C2170</f>
        <v>0</v>
      </c>
      <c r="D2198" s="1423">
        <f t="shared" ref="D2198" ca="1" si="3210">IF(C2198="n/a","n/a",MAX(0,C2198-1))</f>
        <v>0</v>
      </c>
      <c r="E2198" s="1423">
        <f t="shared" ref="E2198:E2199" ca="1" si="3211">IF(D2198="n/a","n/a",MAX(0,D2198-1))</f>
        <v>0</v>
      </c>
      <c r="F2198" s="1423">
        <f t="shared" ref="F2198:F2200" ca="1" si="3212">IF(E2198="n/a","n/a",MAX(0,E2198-1))</f>
        <v>0</v>
      </c>
      <c r="G2198" s="1423">
        <f t="shared" ref="G2198:G2201" ca="1" si="3213">IF(F2198="n/a","n/a",MAX(0,F2198-1))</f>
        <v>0</v>
      </c>
      <c r="H2198" s="1423">
        <f t="shared" ref="H2198:H2202" ca="1" si="3214">IF(G2198="n/a","n/a",MAX(0,G2198-1))</f>
        <v>0</v>
      </c>
      <c r="I2198" s="1423">
        <f t="shared" ref="I2198:I2203" ca="1" si="3215">IF(H2198="n/a","n/a",MAX(0,H2198-1))</f>
        <v>0</v>
      </c>
      <c r="J2198" s="1423">
        <f t="shared" ref="J2198:J2204" ca="1" si="3216">IF(I2198="n/a","n/a",MAX(0,I2198-1))</f>
        <v>0</v>
      </c>
      <c r="K2198" s="1423">
        <f t="shared" ref="K2198:K2205" ca="1" si="3217">IF(J2198="n/a","n/a",MAX(0,J2198-1))</f>
        <v>0</v>
      </c>
      <c r="L2198" s="1423">
        <f t="shared" ref="L2198:L2206" ca="1" si="3218">IF(K2198="n/a","n/a",MAX(0,K2198-1))</f>
        <v>0</v>
      </c>
      <c r="M2198" s="1423">
        <f t="shared" ref="M2198:M2207" ca="1" si="3219">IF(L2198="n/a","n/a",MAX(0,L2198-1))</f>
        <v>0</v>
      </c>
      <c r="N2198" s="1423">
        <f t="shared" ref="N2198:N2208" ca="1" si="3220">IF(M2198="n/a","n/a",MAX(0,M2198-1))</f>
        <v>0</v>
      </c>
      <c r="O2198" s="1423">
        <f t="shared" ref="O2198:O2209" ca="1" si="3221">IF(N2198="n/a","n/a",MAX(0,N2198-1))</f>
        <v>0</v>
      </c>
      <c r="P2198" s="1423">
        <f t="shared" ref="P2198:P2210" ca="1" si="3222">IF(O2198="n/a","n/a",MAX(0,O2198-1))</f>
        <v>0</v>
      </c>
      <c r="Q2198" s="1423">
        <f t="shared" ref="Q2198:Q2211" ca="1" si="3223">IF(P2198="n/a","n/a",MAX(0,P2198-1))</f>
        <v>0</v>
      </c>
      <c r="R2198" s="1423">
        <f t="shared" ref="R2198:R2212" ca="1" si="3224">IF(Q2198="n/a","n/a",MAX(0,Q2198-1))</f>
        <v>0</v>
      </c>
      <c r="S2198" s="1423">
        <f t="shared" ref="S2198:S2213" ca="1" si="3225">IF(R2198="n/a","n/a",MAX(0,R2198-1))</f>
        <v>0</v>
      </c>
      <c r="T2198" s="1423">
        <f t="shared" ref="T2198:T2214" ca="1" si="3226">IF(S2198="n/a","n/a",MAX(0,S2198-1))</f>
        <v>0</v>
      </c>
      <c r="U2198" s="1423">
        <f t="shared" ref="U2198:U2215" ca="1" si="3227">IF(T2198="n/a","n/a",MAX(0,T2198-1))</f>
        <v>0</v>
      </c>
      <c r="V2198" s="1423">
        <f t="shared" ref="V2198:V2216" ca="1" si="3228">IF(U2198="n/a","n/a",MAX(0,U2198-1))</f>
        <v>0</v>
      </c>
      <c r="W2198" s="1423">
        <f t="shared" ref="W2198:W2216" ca="1" si="3229">IF(V2198="n/a","n/a",MAX(0,V2198-1))</f>
        <v>0</v>
      </c>
      <c r="X2198" s="152"/>
      <c r="Y2198" s="152"/>
      <c r="Z2198" s="152"/>
      <c r="AA2198" s="152"/>
      <c r="AB2198" s="152"/>
    </row>
    <row r="2199" spans="1:28" hidden="1" outlineLevel="1">
      <c r="A2199" s="152"/>
      <c r="B2199" s="190" t="str">
        <f t="shared" ref="B2199:B2218" ca="1" si="3230">"RL Capex "&amp;OFFSET($C$6,0,A2175)</f>
        <v>RL Capex 2016-17</v>
      </c>
      <c r="C2199" s="1424"/>
      <c r="D2199" s="1428">
        <f>D2170</f>
        <v>0</v>
      </c>
      <c r="E2199" s="1423">
        <f t="shared" si="3211"/>
        <v>0</v>
      </c>
      <c r="F2199" s="1423">
        <f t="shared" si="3212"/>
        <v>0</v>
      </c>
      <c r="G2199" s="1423">
        <f t="shared" si="3213"/>
        <v>0</v>
      </c>
      <c r="H2199" s="1423">
        <f t="shared" si="3214"/>
        <v>0</v>
      </c>
      <c r="I2199" s="1423">
        <f t="shared" si="3215"/>
        <v>0</v>
      </c>
      <c r="J2199" s="1423">
        <f t="shared" si="3216"/>
        <v>0</v>
      </c>
      <c r="K2199" s="1423">
        <f t="shared" si="3217"/>
        <v>0</v>
      </c>
      <c r="L2199" s="1423">
        <f t="shared" si="3218"/>
        <v>0</v>
      </c>
      <c r="M2199" s="1423">
        <f t="shared" si="3219"/>
        <v>0</v>
      </c>
      <c r="N2199" s="1423">
        <f t="shared" si="3220"/>
        <v>0</v>
      </c>
      <c r="O2199" s="1423">
        <f t="shared" si="3221"/>
        <v>0</v>
      </c>
      <c r="P2199" s="1423">
        <f t="shared" si="3222"/>
        <v>0</v>
      </c>
      <c r="Q2199" s="1423">
        <f t="shared" si="3223"/>
        <v>0</v>
      </c>
      <c r="R2199" s="1423">
        <f t="shared" si="3224"/>
        <v>0</v>
      </c>
      <c r="S2199" s="1423">
        <f t="shared" si="3225"/>
        <v>0</v>
      </c>
      <c r="T2199" s="1423">
        <f t="shared" si="3226"/>
        <v>0</v>
      </c>
      <c r="U2199" s="1423">
        <f t="shared" si="3227"/>
        <v>0</v>
      </c>
      <c r="V2199" s="1423">
        <f t="shared" si="3228"/>
        <v>0</v>
      </c>
      <c r="W2199" s="1423">
        <f t="shared" si="3229"/>
        <v>0</v>
      </c>
      <c r="X2199" s="152"/>
      <c r="Y2199" s="152"/>
      <c r="Z2199" s="152"/>
      <c r="AA2199" s="152"/>
      <c r="AB2199" s="152"/>
    </row>
    <row r="2200" spans="1:28" hidden="1" outlineLevel="1">
      <c r="A2200" s="152"/>
      <c r="B2200" s="190" t="str">
        <f t="shared" ca="1" si="3230"/>
        <v>RL Capex 2017-18</v>
      </c>
      <c r="C2200" s="1429"/>
      <c r="D2200" s="1424"/>
      <c r="E2200" s="1428">
        <f>E2170</f>
        <v>0</v>
      </c>
      <c r="F2200" s="1423">
        <f t="shared" si="3212"/>
        <v>0</v>
      </c>
      <c r="G2200" s="1423">
        <f t="shared" si="3213"/>
        <v>0</v>
      </c>
      <c r="H2200" s="1423">
        <f t="shared" si="3214"/>
        <v>0</v>
      </c>
      <c r="I2200" s="1423">
        <f t="shared" si="3215"/>
        <v>0</v>
      </c>
      <c r="J2200" s="1423">
        <f t="shared" si="3216"/>
        <v>0</v>
      </c>
      <c r="K2200" s="1423">
        <f t="shared" si="3217"/>
        <v>0</v>
      </c>
      <c r="L2200" s="1423">
        <f t="shared" si="3218"/>
        <v>0</v>
      </c>
      <c r="M2200" s="1423">
        <f t="shared" si="3219"/>
        <v>0</v>
      </c>
      <c r="N2200" s="1423">
        <f t="shared" si="3220"/>
        <v>0</v>
      </c>
      <c r="O2200" s="1423">
        <f t="shared" si="3221"/>
        <v>0</v>
      </c>
      <c r="P2200" s="1423">
        <f t="shared" si="3222"/>
        <v>0</v>
      </c>
      <c r="Q2200" s="1423">
        <f t="shared" si="3223"/>
        <v>0</v>
      </c>
      <c r="R2200" s="1423">
        <f t="shared" si="3224"/>
        <v>0</v>
      </c>
      <c r="S2200" s="1423">
        <f t="shared" si="3225"/>
        <v>0</v>
      </c>
      <c r="T2200" s="1423">
        <f t="shared" si="3226"/>
        <v>0</v>
      </c>
      <c r="U2200" s="1423">
        <f t="shared" si="3227"/>
        <v>0</v>
      </c>
      <c r="V2200" s="1423">
        <f t="shared" si="3228"/>
        <v>0</v>
      </c>
      <c r="W2200" s="1423">
        <f t="shared" si="3229"/>
        <v>0</v>
      </c>
      <c r="X2200" s="152"/>
      <c r="Y2200" s="152"/>
      <c r="Z2200" s="152"/>
      <c r="AA2200" s="152"/>
      <c r="AB2200" s="152"/>
    </row>
    <row r="2201" spans="1:28" hidden="1" outlineLevel="1">
      <c r="A2201" s="152"/>
      <c r="B2201" s="190" t="str">
        <f t="shared" ca="1" si="3230"/>
        <v>RL Capex 2018-19</v>
      </c>
      <c r="C2201" s="1429"/>
      <c r="D2201" s="1429"/>
      <c r="E2201" s="1424"/>
      <c r="F2201" s="1428">
        <f>F2170</f>
        <v>0</v>
      </c>
      <c r="G2201" s="1423">
        <f t="shared" si="3213"/>
        <v>0</v>
      </c>
      <c r="H2201" s="1423">
        <f t="shared" si="3214"/>
        <v>0</v>
      </c>
      <c r="I2201" s="1423">
        <f t="shared" si="3215"/>
        <v>0</v>
      </c>
      <c r="J2201" s="1423">
        <f t="shared" si="3216"/>
        <v>0</v>
      </c>
      <c r="K2201" s="1423">
        <f t="shared" si="3217"/>
        <v>0</v>
      </c>
      <c r="L2201" s="1423">
        <f t="shared" si="3218"/>
        <v>0</v>
      </c>
      <c r="M2201" s="1423">
        <f t="shared" si="3219"/>
        <v>0</v>
      </c>
      <c r="N2201" s="1423">
        <f t="shared" si="3220"/>
        <v>0</v>
      </c>
      <c r="O2201" s="1423">
        <f t="shared" si="3221"/>
        <v>0</v>
      </c>
      <c r="P2201" s="1423">
        <f t="shared" si="3222"/>
        <v>0</v>
      </c>
      <c r="Q2201" s="1423">
        <f t="shared" si="3223"/>
        <v>0</v>
      </c>
      <c r="R2201" s="1423">
        <f t="shared" si="3224"/>
        <v>0</v>
      </c>
      <c r="S2201" s="1423">
        <f t="shared" si="3225"/>
        <v>0</v>
      </c>
      <c r="T2201" s="1423">
        <f t="shared" si="3226"/>
        <v>0</v>
      </c>
      <c r="U2201" s="1423">
        <f t="shared" si="3227"/>
        <v>0</v>
      </c>
      <c r="V2201" s="1423">
        <f t="shared" si="3228"/>
        <v>0</v>
      </c>
      <c r="W2201" s="1423">
        <f t="shared" si="3229"/>
        <v>0</v>
      </c>
      <c r="X2201" s="152"/>
      <c r="Y2201" s="152"/>
      <c r="Z2201" s="152"/>
      <c r="AA2201" s="152"/>
      <c r="AB2201" s="152"/>
    </row>
    <row r="2202" spans="1:28" hidden="1" outlineLevel="1">
      <c r="A2202" s="152"/>
      <c r="B2202" s="190" t="str">
        <f t="shared" ca="1" si="3230"/>
        <v>RL Capex 2019-20</v>
      </c>
      <c r="C2202" s="1429"/>
      <c r="D2202" s="1429"/>
      <c r="E2202" s="1429"/>
      <c r="F2202" s="1424"/>
      <c r="G2202" s="1428">
        <f>G2170</f>
        <v>0</v>
      </c>
      <c r="H2202" s="1423">
        <f t="shared" si="3214"/>
        <v>0</v>
      </c>
      <c r="I2202" s="1423">
        <f t="shared" si="3215"/>
        <v>0</v>
      </c>
      <c r="J2202" s="1423">
        <f t="shared" si="3216"/>
        <v>0</v>
      </c>
      <c r="K2202" s="1423">
        <f t="shared" si="3217"/>
        <v>0</v>
      </c>
      <c r="L2202" s="1423">
        <f t="shared" si="3218"/>
        <v>0</v>
      </c>
      <c r="M2202" s="1423">
        <f t="shared" si="3219"/>
        <v>0</v>
      </c>
      <c r="N2202" s="1423">
        <f t="shared" si="3220"/>
        <v>0</v>
      </c>
      <c r="O2202" s="1423">
        <f t="shared" si="3221"/>
        <v>0</v>
      </c>
      <c r="P2202" s="1423">
        <f t="shared" si="3222"/>
        <v>0</v>
      </c>
      <c r="Q2202" s="1423">
        <f t="shared" si="3223"/>
        <v>0</v>
      </c>
      <c r="R2202" s="1423">
        <f t="shared" si="3224"/>
        <v>0</v>
      </c>
      <c r="S2202" s="1423">
        <f t="shared" si="3225"/>
        <v>0</v>
      </c>
      <c r="T2202" s="1423">
        <f t="shared" si="3226"/>
        <v>0</v>
      </c>
      <c r="U2202" s="1423">
        <f t="shared" si="3227"/>
        <v>0</v>
      </c>
      <c r="V2202" s="1423">
        <f t="shared" si="3228"/>
        <v>0</v>
      </c>
      <c r="W2202" s="1423">
        <f t="shared" si="3229"/>
        <v>0</v>
      </c>
      <c r="X2202" s="152"/>
      <c r="Y2202" s="152"/>
      <c r="Z2202" s="152"/>
      <c r="AA2202" s="152"/>
      <c r="AB2202" s="152"/>
    </row>
    <row r="2203" spans="1:28" hidden="1" outlineLevel="1">
      <c r="A2203" s="152"/>
      <c r="B2203" s="190" t="str">
        <f t="shared" ca="1" si="3230"/>
        <v>RL Capex 2020-21</v>
      </c>
      <c r="C2203" s="1429"/>
      <c r="D2203" s="1429"/>
      <c r="E2203" s="1429"/>
      <c r="F2203" s="1429"/>
      <c r="G2203" s="1424"/>
      <c r="H2203" s="1428">
        <f>H2170</f>
        <v>0</v>
      </c>
      <c r="I2203" s="1423">
        <f t="shared" si="3215"/>
        <v>0</v>
      </c>
      <c r="J2203" s="1423">
        <f t="shared" si="3216"/>
        <v>0</v>
      </c>
      <c r="K2203" s="1423">
        <f t="shared" si="3217"/>
        <v>0</v>
      </c>
      <c r="L2203" s="1423">
        <f t="shared" si="3218"/>
        <v>0</v>
      </c>
      <c r="M2203" s="1423">
        <f t="shared" si="3219"/>
        <v>0</v>
      </c>
      <c r="N2203" s="1423">
        <f t="shared" si="3220"/>
        <v>0</v>
      </c>
      <c r="O2203" s="1423">
        <f t="shared" si="3221"/>
        <v>0</v>
      </c>
      <c r="P2203" s="1423">
        <f t="shared" si="3222"/>
        <v>0</v>
      </c>
      <c r="Q2203" s="1423">
        <f t="shared" si="3223"/>
        <v>0</v>
      </c>
      <c r="R2203" s="1423">
        <f t="shared" si="3224"/>
        <v>0</v>
      </c>
      <c r="S2203" s="1423">
        <f t="shared" si="3225"/>
        <v>0</v>
      </c>
      <c r="T2203" s="1423">
        <f t="shared" si="3226"/>
        <v>0</v>
      </c>
      <c r="U2203" s="1423">
        <f t="shared" si="3227"/>
        <v>0</v>
      </c>
      <c r="V2203" s="1423">
        <f t="shared" si="3228"/>
        <v>0</v>
      </c>
      <c r="W2203" s="1423">
        <f t="shared" si="3229"/>
        <v>0</v>
      </c>
      <c r="X2203" s="152"/>
      <c r="Y2203" s="152"/>
      <c r="Z2203" s="152"/>
      <c r="AA2203" s="152"/>
      <c r="AB2203" s="152"/>
    </row>
    <row r="2204" spans="1:28" hidden="1" outlineLevel="1">
      <c r="A2204" s="152"/>
      <c r="B2204" s="190" t="str">
        <f t="shared" ca="1" si="3230"/>
        <v>RL Capex 2021-22</v>
      </c>
      <c r="C2204" s="1429"/>
      <c r="D2204" s="1429"/>
      <c r="E2204" s="1429"/>
      <c r="F2204" s="1429"/>
      <c r="G2204" s="1429"/>
      <c r="H2204" s="1424"/>
      <c r="I2204" s="1428">
        <f>I2170</f>
        <v>0</v>
      </c>
      <c r="J2204" s="1423">
        <f t="shared" si="3216"/>
        <v>0</v>
      </c>
      <c r="K2204" s="1423">
        <f t="shared" si="3217"/>
        <v>0</v>
      </c>
      <c r="L2204" s="1423">
        <f t="shared" si="3218"/>
        <v>0</v>
      </c>
      <c r="M2204" s="1423">
        <f t="shared" si="3219"/>
        <v>0</v>
      </c>
      <c r="N2204" s="1423">
        <f t="shared" si="3220"/>
        <v>0</v>
      </c>
      <c r="O2204" s="1423">
        <f t="shared" si="3221"/>
        <v>0</v>
      </c>
      <c r="P2204" s="1423">
        <f t="shared" si="3222"/>
        <v>0</v>
      </c>
      <c r="Q2204" s="1423">
        <f t="shared" si="3223"/>
        <v>0</v>
      </c>
      <c r="R2204" s="1423">
        <f t="shared" si="3224"/>
        <v>0</v>
      </c>
      <c r="S2204" s="1423">
        <f t="shared" si="3225"/>
        <v>0</v>
      </c>
      <c r="T2204" s="1423">
        <f t="shared" si="3226"/>
        <v>0</v>
      </c>
      <c r="U2204" s="1423">
        <f t="shared" si="3227"/>
        <v>0</v>
      </c>
      <c r="V2204" s="1423">
        <f t="shared" si="3228"/>
        <v>0</v>
      </c>
      <c r="W2204" s="1423">
        <f t="shared" si="3229"/>
        <v>0</v>
      </c>
      <c r="X2204" s="152"/>
      <c r="Y2204" s="152"/>
      <c r="Z2204" s="152"/>
      <c r="AA2204" s="152"/>
      <c r="AB2204" s="152"/>
    </row>
    <row r="2205" spans="1:28" hidden="1" outlineLevel="1">
      <c r="A2205" s="152"/>
      <c r="B2205" s="190" t="str">
        <f t="shared" ca="1" si="3230"/>
        <v>RL Capex 2022-23</v>
      </c>
      <c r="C2205" s="1429"/>
      <c r="D2205" s="1429"/>
      <c r="E2205" s="1429"/>
      <c r="F2205" s="1429"/>
      <c r="G2205" s="1429"/>
      <c r="H2205" s="1429"/>
      <c r="I2205" s="1424"/>
      <c r="J2205" s="1428">
        <f>J2170</f>
        <v>0</v>
      </c>
      <c r="K2205" s="1423">
        <f t="shared" si="3217"/>
        <v>0</v>
      </c>
      <c r="L2205" s="1423">
        <f t="shared" si="3218"/>
        <v>0</v>
      </c>
      <c r="M2205" s="1423">
        <f t="shared" si="3219"/>
        <v>0</v>
      </c>
      <c r="N2205" s="1423">
        <f t="shared" si="3220"/>
        <v>0</v>
      </c>
      <c r="O2205" s="1423">
        <f t="shared" si="3221"/>
        <v>0</v>
      </c>
      <c r="P2205" s="1423">
        <f t="shared" si="3222"/>
        <v>0</v>
      </c>
      <c r="Q2205" s="1423">
        <f t="shared" si="3223"/>
        <v>0</v>
      </c>
      <c r="R2205" s="1423">
        <f t="shared" si="3224"/>
        <v>0</v>
      </c>
      <c r="S2205" s="1423">
        <f t="shared" si="3225"/>
        <v>0</v>
      </c>
      <c r="T2205" s="1423">
        <f t="shared" si="3226"/>
        <v>0</v>
      </c>
      <c r="U2205" s="1423">
        <f t="shared" si="3227"/>
        <v>0</v>
      </c>
      <c r="V2205" s="1423">
        <f t="shared" si="3228"/>
        <v>0</v>
      </c>
      <c r="W2205" s="1423">
        <f t="shared" si="3229"/>
        <v>0</v>
      </c>
      <c r="X2205" s="152"/>
      <c r="Y2205" s="152"/>
      <c r="Z2205" s="152"/>
      <c r="AA2205" s="152"/>
      <c r="AB2205" s="152"/>
    </row>
    <row r="2206" spans="1:28" hidden="1" outlineLevel="1">
      <c r="A2206" s="152"/>
      <c r="B2206" s="190" t="str">
        <f t="shared" ca="1" si="3230"/>
        <v>RL Capex 2023-24</v>
      </c>
      <c r="C2206" s="1429"/>
      <c r="D2206" s="1429"/>
      <c r="E2206" s="1429"/>
      <c r="F2206" s="1429"/>
      <c r="G2206" s="1429"/>
      <c r="H2206" s="1429"/>
      <c r="I2206" s="1429"/>
      <c r="J2206" s="1424"/>
      <c r="K2206" s="1428">
        <f>K2170</f>
        <v>0</v>
      </c>
      <c r="L2206" s="1423">
        <f t="shared" si="3218"/>
        <v>0</v>
      </c>
      <c r="M2206" s="1423">
        <f t="shared" si="3219"/>
        <v>0</v>
      </c>
      <c r="N2206" s="1423">
        <f t="shared" si="3220"/>
        <v>0</v>
      </c>
      <c r="O2206" s="1423">
        <f t="shared" si="3221"/>
        <v>0</v>
      </c>
      <c r="P2206" s="1423">
        <f t="shared" si="3222"/>
        <v>0</v>
      </c>
      <c r="Q2206" s="1423">
        <f t="shared" si="3223"/>
        <v>0</v>
      </c>
      <c r="R2206" s="1423">
        <f t="shared" si="3224"/>
        <v>0</v>
      </c>
      <c r="S2206" s="1423">
        <f t="shared" si="3225"/>
        <v>0</v>
      </c>
      <c r="T2206" s="1423">
        <f t="shared" si="3226"/>
        <v>0</v>
      </c>
      <c r="U2206" s="1423">
        <f t="shared" si="3227"/>
        <v>0</v>
      </c>
      <c r="V2206" s="1423">
        <f t="shared" si="3228"/>
        <v>0</v>
      </c>
      <c r="W2206" s="1423">
        <f t="shared" si="3229"/>
        <v>0</v>
      </c>
      <c r="X2206" s="152"/>
      <c r="Y2206" s="152"/>
      <c r="Z2206" s="152"/>
      <c r="AA2206" s="152"/>
      <c r="AB2206" s="152"/>
    </row>
    <row r="2207" spans="1:28" hidden="1" outlineLevel="1">
      <c r="A2207" s="152"/>
      <c r="B2207" s="190" t="str">
        <f t="shared" ca="1" si="3230"/>
        <v>RL Capex 2024-25</v>
      </c>
      <c r="C2207" s="1429"/>
      <c r="D2207" s="1429"/>
      <c r="E2207" s="1429"/>
      <c r="F2207" s="1429"/>
      <c r="G2207" s="1429"/>
      <c r="H2207" s="1429"/>
      <c r="I2207" s="1429"/>
      <c r="J2207" s="1429"/>
      <c r="K2207" s="1424"/>
      <c r="L2207" s="1428">
        <f>L2170</f>
        <v>0</v>
      </c>
      <c r="M2207" s="1423">
        <f t="shared" si="3219"/>
        <v>0</v>
      </c>
      <c r="N2207" s="1423">
        <f t="shared" si="3220"/>
        <v>0</v>
      </c>
      <c r="O2207" s="1423">
        <f t="shared" si="3221"/>
        <v>0</v>
      </c>
      <c r="P2207" s="1423">
        <f t="shared" si="3222"/>
        <v>0</v>
      </c>
      <c r="Q2207" s="1423">
        <f t="shared" si="3223"/>
        <v>0</v>
      </c>
      <c r="R2207" s="1423">
        <f t="shared" si="3224"/>
        <v>0</v>
      </c>
      <c r="S2207" s="1423">
        <f t="shared" si="3225"/>
        <v>0</v>
      </c>
      <c r="T2207" s="1423">
        <f t="shared" si="3226"/>
        <v>0</v>
      </c>
      <c r="U2207" s="1423">
        <f t="shared" si="3227"/>
        <v>0</v>
      </c>
      <c r="V2207" s="1423">
        <f t="shared" si="3228"/>
        <v>0</v>
      </c>
      <c r="W2207" s="1423">
        <f t="shared" si="3229"/>
        <v>0</v>
      </c>
      <c r="X2207" s="152"/>
      <c r="Y2207" s="152"/>
      <c r="Z2207" s="152"/>
      <c r="AA2207" s="152"/>
      <c r="AB2207" s="152"/>
    </row>
    <row r="2208" spans="1:28" hidden="1" outlineLevel="1">
      <c r="A2208" s="152"/>
      <c r="B2208" s="190" t="str">
        <f t="shared" ca="1" si="3230"/>
        <v>RL Capex 2025-26</v>
      </c>
      <c r="C2208" s="1429"/>
      <c r="D2208" s="1429"/>
      <c r="E2208" s="1429"/>
      <c r="F2208" s="1429"/>
      <c r="G2208" s="1429"/>
      <c r="H2208" s="1429"/>
      <c r="I2208" s="1429"/>
      <c r="J2208" s="1429"/>
      <c r="K2208" s="1429"/>
      <c r="L2208" s="1424"/>
      <c r="M2208" s="1428">
        <f>M2170</f>
        <v>0</v>
      </c>
      <c r="N2208" s="1423">
        <f t="shared" si="3220"/>
        <v>0</v>
      </c>
      <c r="O2208" s="1423">
        <f t="shared" si="3221"/>
        <v>0</v>
      </c>
      <c r="P2208" s="1423">
        <f t="shared" si="3222"/>
        <v>0</v>
      </c>
      <c r="Q2208" s="1423">
        <f t="shared" si="3223"/>
        <v>0</v>
      </c>
      <c r="R2208" s="1423">
        <f t="shared" si="3224"/>
        <v>0</v>
      </c>
      <c r="S2208" s="1423">
        <f t="shared" si="3225"/>
        <v>0</v>
      </c>
      <c r="T2208" s="1423">
        <f t="shared" si="3226"/>
        <v>0</v>
      </c>
      <c r="U2208" s="1423">
        <f t="shared" si="3227"/>
        <v>0</v>
      </c>
      <c r="V2208" s="1423">
        <f t="shared" si="3228"/>
        <v>0</v>
      </c>
      <c r="W2208" s="1423">
        <f t="shared" si="3229"/>
        <v>0</v>
      </c>
      <c r="X2208" s="152"/>
      <c r="Y2208" s="152"/>
      <c r="Z2208" s="152"/>
      <c r="AA2208" s="152"/>
      <c r="AB2208" s="152"/>
    </row>
    <row r="2209" spans="1:28" hidden="1" outlineLevel="1">
      <c r="A2209" s="152"/>
      <c r="B2209" s="190" t="str">
        <f t="shared" ca="1" si="3230"/>
        <v>RL Capex 2026-27</v>
      </c>
      <c r="C2209" s="1429"/>
      <c r="D2209" s="1429"/>
      <c r="E2209" s="1429"/>
      <c r="F2209" s="1429"/>
      <c r="G2209" s="1429"/>
      <c r="H2209" s="1429"/>
      <c r="I2209" s="1429"/>
      <c r="J2209" s="1429"/>
      <c r="K2209" s="1429"/>
      <c r="L2209" s="1429"/>
      <c r="M2209" s="1424"/>
      <c r="N2209" s="1428">
        <f>N2170</f>
        <v>0</v>
      </c>
      <c r="O2209" s="1423">
        <f t="shared" si="3221"/>
        <v>0</v>
      </c>
      <c r="P2209" s="1423">
        <f t="shared" si="3222"/>
        <v>0</v>
      </c>
      <c r="Q2209" s="1423">
        <f t="shared" si="3223"/>
        <v>0</v>
      </c>
      <c r="R2209" s="1423">
        <f t="shared" si="3224"/>
        <v>0</v>
      </c>
      <c r="S2209" s="1423">
        <f t="shared" si="3225"/>
        <v>0</v>
      </c>
      <c r="T2209" s="1423">
        <f t="shared" si="3226"/>
        <v>0</v>
      </c>
      <c r="U2209" s="1423">
        <f t="shared" si="3227"/>
        <v>0</v>
      </c>
      <c r="V2209" s="1423">
        <f t="shared" si="3228"/>
        <v>0</v>
      </c>
      <c r="W2209" s="1423">
        <f t="shared" si="3229"/>
        <v>0</v>
      </c>
      <c r="X2209" s="152"/>
      <c r="Y2209" s="152"/>
      <c r="Z2209" s="152"/>
      <c r="AA2209" s="152"/>
      <c r="AB2209" s="152"/>
    </row>
    <row r="2210" spans="1:28" hidden="1" outlineLevel="1">
      <c r="A2210" s="152"/>
      <c r="B2210" s="190" t="str">
        <f t="shared" ca="1" si="3230"/>
        <v>RL Capex 2027-28</v>
      </c>
      <c r="C2210" s="1429"/>
      <c r="D2210" s="1429"/>
      <c r="E2210" s="1429"/>
      <c r="F2210" s="1429"/>
      <c r="G2210" s="1429"/>
      <c r="H2210" s="1429"/>
      <c r="I2210" s="1429"/>
      <c r="J2210" s="1429"/>
      <c r="K2210" s="1429"/>
      <c r="L2210" s="1429"/>
      <c r="M2210" s="1429"/>
      <c r="N2210" s="1424"/>
      <c r="O2210" s="1428">
        <f>O2170</f>
        <v>0</v>
      </c>
      <c r="P2210" s="1423">
        <f t="shared" si="3222"/>
        <v>0</v>
      </c>
      <c r="Q2210" s="1423">
        <f t="shared" si="3223"/>
        <v>0</v>
      </c>
      <c r="R2210" s="1423">
        <f t="shared" si="3224"/>
        <v>0</v>
      </c>
      <c r="S2210" s="1423">
        <f t="shared" si="3225"/>
        <v>0</v>
      </c>
      <c r="T2210" s="1423">
        <f t="shared" si="3226"/>
        <v>0</v>
      </c>
      <c r="U2210" s="1423">
        <f t="shared" si="3227"/>
        <v>0</v>
      </c>
      <c r="V2210" s="1423">
        <f t="shared" si="3228"/>
        <v>0</v>
      </c>
      <c r="W2210" s="1423">
        <f t="shared" si="3229"/>
        <v>0</v>
      </c>
      <c r="X2210" s="152"/>
      <c r="Y2210" s="152"/>
      <c r="Z2210" s="152"/>
      <c r="AA2210" s="152"/>
      <c r="AB2210" s="152"/>
    </row>
    <row r="2211" spans="1:28" hidden="1" outlineLevel="1">
      <c r="A2211" s="152"/>
      <c r="B2211" s="190" t="str">
        <f t="shared" ca="1" si="3230"/>
        <v>RL Capex 2028-29</v>
      </c>
      <c r="C2211" s="1429"/>
      <c r="D2211" s="1429"/>
      <c r="E2211" s="1429"/>
      <c r="F2211" s="1429"/>
      <c r="G2211" s="1429"/>
      <c r="H2211" s="1429"/>
      <c r="I2211" s="1429"/>
      <c r="J2211" s="1429"/>
      <c r="K2211" s="1429"/>
      <c r="L2211" s="1429"/>
      <c r="M2211" s="1429"/>
      <c r="N2211" s="1429"/>
      <c r="O2211" s="1424"/>
      <c r="P2211" s="1428">
        <f>P2170</f>
        <v>0</v>
      </c>
      <c r="Q2211" s="1423">
        <f t="shared" si="3223"/>
        <v>0</v>
      </c>
      <c r="R2211" s="1423">
        <f t="shared" si="3224"/>
        <v>0</v>
      </c>
      <c r="S2211" s="1423">
        <f t="shared" si="3225"/>
        <v>0</v>
      </c>
      <c r="T2211" s="1423">
        <f t="shared" si="3226"/>
        <v>0</v>
      </c>
      <c r="U2211" s="1423">
        <f t="shared" si="3227"/>
        <v>0</v>
      </c>
      <c r="V2211" s="1423">
        <f t="shared" si="3228"/>
        <v>0</v>
      </c>
      <c r="W2211" s="1423">
        <f t="shared" si="3229"/>
        <v>0</v>
      </c>
      <c r="X2211" s="152"/>
      <c r="Y2211" s="152"/>
      <c r="Z2211" s="152"/>
      <c r="AA2211" s="152"/>
      <c r="AB2211" s="152"/>
    </row>
    <row r="2212" spans="1:28" hidden="1" outlineLevel="1">
      <c r="A2212" s="152"/>
      <c r="B2212" s="190" t="str">
        <f t="shared" ca="1" si="3230"/>
        <v>RL Capex 2029-30</v>
      </c>
      <c r="C2212" s="1429"/>
      <c r="D2212" s="1429"/>
      <c r="E2212" s="1429"/>
      <c r="F2212" s="1429"/>
      <c r="G2212" s="1429"/>
      <c r="H2212" s="1429"/>
      <c r="I2212" s="1429"/>
      <c r="J2212" s="1429"/>
      <c r="K2212" s="1429"/>
      <c r="L2212" s="1429"/>
      <c r="M2212" s="1429"/>
      <c r="N2212" s="1429"/>
      <c r="O2212" s="1429"/>
      <c r="P2212" s="1424"/>
      <c r="Q2212" s="1428">
        <f>Q2170</f>
        <v>0</v>
      </c>
      <c r="R2212" s="1423">
        <f t="shared" si="3224"/>
        <v>0</v>
      </c>
      <c r="S2212" s="1423">
        <f t="shared" si="3225"/>
        <v>0</v>
      </c>
      <c r="T2212" s="1423">
        <f t="shared" si="3226"/>
        <v>0</v>
      </c>
      <c r="U2212" s="1423">
        <f t="shared" si="3227"/>
        <v>0</v>
      </c>
      <c r="V2212" s="1423">
        <f t="shared" si="3228"/>
        <v>0</v>
      </c>
      <c r="W2212" s="1423">
        <f t="shared" si="3229"/>
        <v>0</v>
      </c>
      <c r="X2212" s="152"/>
      <c r="Y2212" s="152"/>
      <c r="Z2212" s="152"/>
      <c r="AA2212" s="152"/>
      <c r="AB2212" s="152"/>
    </row>
    <row r="2213" spans="1:28" hidden="1" outlineLevel="1">
      <c r="A2213" s="152"/>
      <c r="B2213" s="190" t="str">
        <f t="shared" ca="1" si="3230"/>
        <v>RL Capex 2030-31</v>
      </c>
      <c r="C2213" s="1429"/>
      <c r="D2213" s="1429"/>
      <c r="E2213" s="1429"/>
      <c r="F2213" s="1429"/>
      <c r="G2213" s="1429"/>
      <c r="H2213" s="1429"/>
      <c r="I2213" s="1429"/>
      <c r="J2213" s="1429"/>
      <c r="K2213" s="1429"/>
      <c r="L2213" s="1429"/>
      <c r="M2213" s="1429"/>
      <c r="N2213" s="1429"/>
      <c r="O2213" s="1429"/>
      <c r="P2213" s="1429"/>
      <c r="Q2213" s="1424"/>
      <c r="R2213" s="1428">
        <f>R2170</f>
        <v>0</v>
      </c>
      <c r="S2213" s="1423">
        <f t="shared" si="3225"/>
        <v>0</v>
      </c>
      <c r="T2213" s="1423">
        <f t="shared" si="3226"/>
        <v>0</v>
      </c>
      <c r="U2213" s="1423">
        <f t="shared" si="3227"/>
        <v>0</v>
      </c>
      <c r="V2213" s="1423">
        <f t="shared" si="3228"/>
        <v>0</v>
      </c>
      <c r="W2213" s="1423">
        <f t="shared" si="3229"/>
        <v>0</v>
      </c>
      <c r="X2213" s="152"/>
      <c r="Y2213" s="152"/>
      <c r="Z2213" s="152"/>
      <c r="AA2213" s="152"/>
      <c r="AB2213" s="152"/>
    </row>
    <row r="2214" spans="1:28" hidden="1" outlineLevel="1">
      <c r="A2214" s="152"/>
      <c r="B2214" s="190" t="str">
        <f t="shared" ca="1" si="3230"/>
        <v>RL Capex 2031-32</v>
      </c>
      <c r="C2214" s="1429"/>
      <c r="D2214" s="1429"/>
      <c r="E2214" s="1429"/>
      <c r="F2214" s="1429"/>
      <c r="G2214" s="1429"/>
      <c r="H2214" s="1429"/>
      <c r="I2214" s="1429"/>
      <c r="J2214" s="1429"/>
      <c r="K2214" s="1429"/>
      <c r="L2214" s="1429"/>
      <c r="M2214" s="1429"/>
      <c r="N2214" s="1429"/>
      <c r="O2214" s="1429"/>
      <c r="P2214" s="1429"/>
      <c r="Q2214" s="1429"/>
      <c r="R2214" s="1424"/>
      <c r="S2214" s="1428">
        <f>S2170</f>
        <v>0</v>
      </c>
      <c r="T2214" s="1423">
        <f t="shared" si="3226"/>
        <v>0</v>
      </c>
      <c r="U2214" s="1423">
        <f t="shared" si="3227"/>
        <v>0</v>
      </c>
      <c r="V2214" s="1423">
        <f t="shared" si="3228"/>
        <v>0</v>
      </c>
      <c r="W2214" s="1423">
        <f t="shared" si="3229"/>
        <v>0</v>
      </c>
      <c r="X2214" s="152"/>
      <c r="Y2214" s="152"/>
      <c r="Z2214" s="152"/>
      <c r="AA2214" s="152"/>
      <c r="AB2214" s="152"/>
    </row>
    <row r="2215" spans="1:28" hidden="1" outlineLevel="1">
      <c r="A2215" s="152"/>
      <c r="B2215" s="190" t="str">
        <f t="shared" ca="1" si="3230"/>
        <v>RL Capex 2032-33</v>
      </c>
      <c r="C2215" s="1429"/>
      <c r="D2215" s="1429"/>
      <c r="E2215" s="1429"/>
      <c r="F2215" s="1429"/>
      <c r="G2215" s="1429"/>
      <c r="H2215" s="1429"/>
      <c r="I2215" s="1429"/>
      <c r="J2215" s="1429"/>
      <c r="K2215" s="1429"/>
      <c r="L2215" s="1429"/>
      <c r="M2215" s="1429"/>
      <c r="N2215" s="1429"/>
      <c r="O2215" s="1429"/>
      <c r="P2215" s="1429"/>
      <c r="Q2215" s="1429"/>
      <c r="R2215" s="1429"/>
      <c r="S2215" s="1424"/>
      <c r="T2215" s="1428">
        <f>T2170</f>
        <v>0</v>
      </c>
      <c r="U2215" s="1423">
        <f t="shared" si="3227"/>
        <v>0</v>
      </c>
      <c r="V2215" s="1423">
        <f t="shared" si="3228"/>
        <v>0</v>
      </c>
      <c r="W2215" s="1423">
        <f t="shared" si="3229"/>
        <v>0</v>
      </c>
      <c r="X2215" s="152"/>
      <c r="Y2215" s="152"/>
      <c r="Z2215" s="152"/>
      <c r="AA2215" s="152"/>
      <c r="AB2215" s="152"/>
    </row>
    <row r="2216" spans="1:28" hidden="1" outlineLevel="1">
      <c r="A2216" s="152"/>
      <c r="B2216" s="190" t="str">
        <f t="shared" ca="1" si="3230"/>
        <v>RL Capex 2033-34</v>
      </c>
      <c r="C2216" s="1429"/>
      <c r="D2216" s="1429"/>
      <c r="E2216" s="1429"/>
      <c r="F2216" s="1429"/>
      <c r="G2216" s="1429"/>
      <c r="H2216" s="1429"/>
      <c r="I2216" s="1429"/>
      <c r="J2216" s="1429"/>
      <c r="K2216" s="1429"/>
      <c r="L2216" s="1429"/>
      <c r="M2216" s="1429"/>
      <c r="N2216" s="1429"/>
      <c r="O2216" s="1429"/>
      <c r="P2216" s="1429"/>
      <c r="Q2216" s="1429"/>
      <c r="R2216" s="1429"/>
      <c r="S2216" s="1429"/>
      <c r="T2216" s="1424"/>
      <c r="U2216" s="1428">
        <f>U2170</f>
        <v>0</v>
      </c>
      <c r="V2216" s="1423">
        <f t="shared" si="3228"/>
        <v>0</v>
      </c>
      <c r="W2216" s="1423">
        <f t="shared" si="3229"/>
        <v>0</v>
      </c>
      <c r="X2216" s="152"/>
      <c r="Y2216" s="152"/>
      <c r="Z2216" s="152"/>
      <c r="AA2216" s="152"/>
      <c r="AB2216" s="152"/>
    </row>
    <row r="2217" spans="1:28" hidden="1" outlineLevel="1">
      <c r="A2217" s="152"/>
      <c r="B2217" s="190" t="str">
        <f t="shared" ca="1" si="3230"/>
        <v>RL Capex 2034-35</v>
      </c>
      <c r="C2217" s="1429"/>
      <c r="D2217" s="1429"/>
      <c r="E2217" s="1429"/>
      <c r="F2217" s="1429"/>
      <c r="G2217" s="1429"/>
      <c r="H2217" s="1429"/>
      <c r="I2217" s="1429"/>
      <c r="J2217" s="1429"/>
      <c r="K2217" s="1429"/>
      <c r="L2217" s="1429"/>
      <c r="M2217" s="1429"/>
      <c r="N2217" s="1429"/>
      <c r="O2217" s="1429"/>
      <c r="P2217" s="1429"/>
      <c r="Q2217" s="1429"/>
      <c r="R2217" s="1429"/>
      <c r="S2217" s="1429"/>
      <c r="T2217" s="1429"/>
      <c r="U2217" s="1424"/>
      <c r="V2217" s="1428">
        <f>V2170</f>
        <v>0</v>
      </c>
      <c r="W2217" s="1423">
        <f>IF(V2217="n/a","n/a",MAX(0,V2217-1))</f>
        <v>0</v>
      </c>
      <c r="X2217" s="152"/>
      <c r="Y2217" s="152"/>
      <c r="Z2217" s="152"/>
      <c r="AA2217" s="152"/>
      <c r="AB2217" s="152"/>
    </row>
    <row r="2218" spans="1:28" hidden="1" outlineLevel="1">
      <c r="A2218" s="152"/>
      <c r="B2218" s="190" t="str">
        <f t="shared" ca="1" si="3230"/>
        <v>RL Capex 2035-36</v>
      </c>
      <c r="C2218" s="1429"/>
      <c r="D2218" s="1429"/>
      <c r="E2218" s="1429"/>
      <c r="F2218" s="1429"/>
      <c r="G2218" s="1429"/>
      <c r="H2218" s="1429"/>
      <c r="I2218" s="1429"/>
      <c r="J2218" s="1429"/>
      <c r="K2218" s="1429"/>
      <c r="L2218" s="1429"/>
      <c r="M2218" s="1429"/>
      <c r="N2218" s="1429"/>
      <c r="O2218" s="1429"/>
      <c r="P2218" s="1429"/>
      <c r="Q2218" s="1429"/>
      <c r="R2218" s="1429"/>
      <c r="S2218" s="1429"/>
      <c r="T2218" s="1429"/>
      <c r="U2218" s="1429"/>
      <c r="V2218" s="1424"/>
      <c r="W2218" s="1423">
        <f>W2170</f>
        <v>0</v>
      </c>
      <c r="X2218" s="152"/>
      <c r="Y2218" s="152"/>
      <c r="Z2218" s="152"/>
      <c r="AA2218" s="152"/>
      <c r="AB2218" s="152"/>
    </row>
    <row r="2219" spans="1:28" hidden="1" outlineLevel="1">
      <c r="A2219" s="152"/>
      <c r="B2219" s="200"/>
      <c r="C2219" s="1423"/>
      <c r="D2219" s="1423"/>
      <c r="E2219" s="1423"/>
      <c r="F2219" s="1423"/>
      <c r="G2219" s="1423"/>
      <c r="H2219" s="1423"/>
      <c r="I2219" s="1423"/>
      <c r="J2219" s="1423"/>
      <c r="K2219" s="1423"/>
      <c r="L2219" s="1423"/>
      <c r="M2219" s="1423"/>
      <c r="N2219" s="1423"/>
      <c r="O2219" s="1423"/>
      <c r="P2219" s="1423"/>
      <c r="Q2219" s="1423"/>
      <c r="R2219" s="1423"/>
      <c r="S2219" s="1423"/>
      <c r="T2219" s="1423"/>
      <c r="U2219" s="1423"/>
      <c r="V2219" s="1423"/>
      <c r="W2219" s="1423"/>
      <c r="X2219" s="152"/>
      <c r="Y2219" s="152"/>
      <c r="Z2219" s="152"/>
      <c r="AA2219" s="152"/>
      <c r="AB2219" s="152"/>
    </row>
    <row r="2220" spans="1:28" collapsed="1">
      <c r="A2220" s="194"/>
      <c r="B2220" s="204" t="s">
        <v>123</v>
      </c>
      <c r="C2220" s="1430">
        <f ca="1">(IF(OR($C2170&lt;&gt;"n/a",C2170&lt;&gt;"n/a"),IF(SUM(C2173:C2195)=0,0,IF((SUMPRODUCT(C2173:C2195,C2197:C2219)/SUM(C2173:C2195))&lt;0,1,(SUMPRODUCT(C2173:C2195,C2197:C2219)/SUM(C2173:C2195)))),"n/a"))</f>
        <v>0</v>
      </c>
      <c r="D2220" s="1430">
        <f ca="1">(IF(OR($C2170&lt;&gt;"n/a",D2170&lt;&gt;"n/a"),IF(SUM(D2173:D2195)=0,0,IF((SUMPRODUCT(D2173:D2195,D2197:D2219)/SUM(D2173:D2195))&lt;0,1,(SUMPRODUCT(D2173:D2195,D2197:D2219)/SUM(D2173:D2195)))),"n/a"))</f>
        <v>0</v>
      </c>
      <c r="E2220" s="1430">
        <f t="shared" ref="E2220:W2220" ca="1" si="3231">(IF(OR($C2170&lt;&gt;"n/a",E2170&lt;&gt;"n/a"),IF(SUM(E2173:E2195)=0,0,IF((SUMPRODUCT(E2173:E2195,E2197:E2219)/SUM(E2173:E2195))&lt;0,1,(SUMPRODUCT(E2173:E2195,E2197:E2219)/SUM(E2173:E2195)))),"n/a"))</f>
        <v>0</v>
      </c>
      <c r="F2220" s="1430">
        <f t="shared" ca="1" si="3231"/>
        <v>0</v>
      </c>
      <c r="G2220" s="1430">
        <f t="shared" ca="1" si="3231"/>
        <v>0</v>
      </c>
      <c r="H2220" s="1430">
        <f t="shared" ca="1" si="3231"/>
        <v>0</v>
      </c>
      <c r="I2220" s="1430">
        <f t="shared" ca="1" si="3231"/>
        <v>0</v>
      </c>
      <c r="J2220" s="1430">
        <f t="shared" ca="1" si="3231"/>
        <v>0</v>
      </c>
      <c r="K2220" s="1430">
        <f t="shared" ca="1" si="3231"/>
        <v>0</v>
      </c>
      <c r="L2220" s="1430">
        <f t="shared" ca="1" si="3231"/>
        <v>0</v>
      </c>
      <c r="M2220" s="1430">
        <f t="shared" ca="1" si="3231"/>
        <v>0</v>
      </c>
      <c r="N2220" s="1430">
        <f t="shared" ca="1" si="3231"/>
        <v>0</v>
      </c>
      <c r="O2220" s="1430">
        <f t="shared" ca="1" si="3231"/>
        <v>0</v>
      </c>
      <c r="P2220" s="1430">
        <f t="shared" ca="1" si="3231"/>
        <v>0</v>
      </c>
      <c r="Q2220" s="1430">
        <f t="shared" ca="1" si="3231"/>
        <v>0</v>
      </c>
      <c r="R2220" s="1430">
        <f t="shared" ca="1" si="3231"/>
        <v>0</v>
      </c>
      <c r="S2220" s="1430">
        <f t="shared" ca="1" si="3231"/>
        <v>0</v>
      </c>
      <c r="T2220" s="1430">
        <f t="shared" ca="1" si="3231"/>
        <v>0</v>
      </c>
      <c r="U2220" s="1430">
        <f t="shared" ca="1" si="3231"/>
        <v>0</v>
      </c>
      <c r="V2220" s="1430">
        <f t="shared" ca="1" si="3231"/>
        <v>0</v>
      </c>
      <c r="W2220" s="1430">
        <f t="shared" ca="1" si="3231"/>
        <v>0</v>
      </c>
      <c r="X2220" s="152"/>
      <c r="Y2220" s="152"/>
      <c r="Z2220" s="152"/>
      <c r="AA2220" s="152"/>
      <c r="AB2220" s="152"/>
    </row>
    <row r="2221" spans="1:28">
      <c r="A2221" s="152"/>
      <c r="B2221" s="152"/>
      <c r="C2221" s="1423"/>
      <c r="D2221" s="1423"/>
      <c r="E2221" s="1423"/>
      <c r="F2221" s="1423"/>
      <c r="G2221" s="1423"/>
      <c r="H2221" s="1423"/>
      <c r="I2221" s="1423"/>
      <c r="J2221" s="1423"/>
      <c r="K2221" s="1423"/>
      <c r="L2221" s="1423"/>
      <c r="M2221" s="1423"/>
      <c r="N2221" s="1423"/>
      <c r="O2221" s="1423"/>
      <c r="P2221" s="1423"/>
      <c r="Q2221" s="1423"/>
      <c r="R2221" s="1423"/>
      <c r="S2221" s="1423"/>
      <c r="T2221" s="1423"/>
      <c r="U2221" s="1423"/>
      <c r="V2221" s="1423"/>
      <c r="W2221" s="1423"/>
      <c r="X2221" s="152"/>
      <c r="Y2221" s="152"/>
      <c r="Z2221" s="152"/>
      <c r="AA2221" s="152"/>
      <c r="AB2221" s="152"/>
    </row>
    <row r="2222" spans="1:28">
      <c r="A2222" s="269" t="s">
        <v>108</v>
      </c>
      <c r="B2222" s="270">
        <f>VLOOKUP($A2222,'RFM input'!$E$7:$F$56,2,FALSE)</f>
        <v>0</v>
      </c>
      <c r="C2222" s="1431"/>
      <c r="D2222" s="1431"/>
      <c r="E2222" s="1432"/>
      <c r="F2222" s="1432"/>
      <c r="G2222" s="1432"/>
      <c r="H2222" s="1432"/>
      <c r="I2222" s="1432"/>
      <c r="J2222" s="1432"/>
      <c r="K2222" s="1432"/>
      <c r="L2222" s="1432"/>
      <c r="M2222" s="1432"/>
      <c r="N2222" s="1432"/>
      <c r="O2222" s="1432"/>
      <c r="P2222" s="1432"/>
      <c r="Q2222" s="1432"/>
      <c r="R2222" s="1432"/>
      <c r="S2222" s="1432"/>
      <c r="T2222" s="1432"/>
      <c r="U2222" s="1432"/>
      <c r="V2222" s="1432"/>
      <c r="W2222" s="1432"/>
      <c r="X2222" s="152"/>
      <c r="Y2222" s="152"/>
      <c r="Z2222" s="152"/>
      <c r="AA2222" s="152"/>
      <c r="AB2222" s="152"/>
    </row>
    <row r="2223" spans="1:28">
      <c r="A2223" s="215">
        <f>VALUE(REPLACE(A2222,1,12,""))</f>
        <v>42</v>
      </c>
      <c r="B2223" s="193" t="s">
        <v>126</v>
      </c>
      <c r="C2223" s="1416">
        <f ca="1">IF($D$6='TAB roll forward'!$H$4,OFFSET('TAB roll forward'!$H$7,A2223,0),"enter input")</f>
        <v>0</v>
      </c>
      <c r="D2223" s="1417">
        <f>IF(LEFT(D$6,4)&lt;LEFT('RFM input'!$G$60,4),"enter input",IF(LEFT(D$6,4)&gt;LEFT('RFM input'!$Q$60,4),0,
INDEX('RFM input'!$G$61:$Q$110,$A2223,MATCH(D$6,'RFM input'!$G$60:$Q$60,0))
   -INDEX('RFM input'!$G$115:$Q$164,$A2223,MATCH(D$6,'RFM input'!$G$60:$Q$60,0))))</f>
        <v>0</v>
      </c>
      <c r="E2223" s="1417">
        <f>IF(LEFT(E$6,4)&lt;LEFT('RFM input'!$G$60,4),"enter input",IF(LEFT(E$6,4)&gt;LEFT('RFM input'!$Q$60,4),0,
INDEX('RFM input'!$G$61:$Q$110,$A2223,MATCH(E$6,'RFM input'!$G$60:$Q$60,0))
   -INDEX('RFM input'!$G$115:$Q$164,$A2223,MATCH(E$6,'RFM input'!$G$60:$Q$60,0))))</f>
        <v>0</v>
      </c>
      <c r="F2223" s="1417">
        <f>IF(LEFT(F$6,4)&lt;LEFT('RFM input'!$G$60,4),"enter input",IF(LEFT(F$6,4)&gt;LEFT('RFM input'!$Q$60,4),0,
INDEX('RFM input'!$G$61:$Q$110,$A2223,MATCH(F$6,'RFM input'!$G$60:$Q$60,0))
   -INDEX('RFM input'!$G$115:$Q$164,$A2223,MATCH(F$6,'RFM input'!$G$60:$Q$60,0))))</f>
        <v>0</v>
      </c>
      <c r="G2223" s="1417">
        <f>IF(LEFT(G$6,4)&lt;LEFT('RFM input'!$G$60,4),"enter input",IF(LEFT(G$6,4)&gt;LEFT('RFM input'!$Q$60,4),0,
INDEX('RFM input'!$G$61:$Q$110,$A2223,MATCH(G$6,'RFM input'!$G$60:$Q$60,0))
   -INDEX('RFM input'!$G$115:$Q$164,$A2223,MATCH(G$6,'RFM input'!$G$60:$Q$60,0))))</f>
        <v>0</v>
      </c>
      <c r="H2223" s="1417">
        <f>IF(LEFT(H$6,4)&lt;LEFT('RFM input'!$G$60,4),"enter input",IF(LEFT(H$6,4)&gt;LEFT('RFM input'!$Q$60,4),0,
INDEX('RFM input'!$G$61:$Q$110,$A2223,MATCH(H$6,'RFM input'!$G$60:$Q$60,0))
   -INDEX('RFM input'!$G$115:$Q$164,$A2223,MATCH(H$6,'RFM input'!$G$60:$Q$60,0))))</f>
        <v>0</v>
      </c>
      <c r="I2223" s="1417">
        <f>IF(LEFT(I$6,4)&lt;LEFT('RFM input'!$G$60,4),"enter input",IF(LEFT(I$6,4)&gt;LEFT('RFM input'!$Q$60,4),0,
INDEX('RFM input'!$G$61:$Q$110,$A2223,MATCH(I$6,'RFM input'!$G$60:$Q$60,0))
   -INDEX('RFM input'!$G$115:$Q$164,$A2223,MATCH(I$6,'RFM input'!$G$60:$Q$60,0))))</f>
        <v>0</v>
      </c>
      <c r="J2223" s="1417">
        <f>IF(LEFT(J$6,4)&lt;LEFT('RFM input'!$G$60,4),"enter input",IF(LEFT(J$6,4)&gt;LEFT('RFM input'!$Q$60,4),0,
INDEX('RFM input'!$G$61:$Q$110,$A2223,MATCH(J$6,'RFM input'!$G$60:$Q$60,0))
   -INDEX('RFM input'!$G$115:$Q$164,$A2223,MATCH(J$6,'RFM input'!$G$60:$Q$60,0))))</f>
        <v>0</v>
      </c>
      <c r="K2223" s="1417">
        <f>IF(LEFT(K$6,4)&lt;LEFT('RFM input'!$G$60,4),"enter input",IF(LEFT(K$6,4)&gt;LEFT('RFM input'!$Q$60,4),0,
INDEX('RFM input'!$G$61:$Q$110,$A2223,MATCH(K$6,'RFM input'!$G$60:$Q$60,0))
   -INDEX('RFM input'!$G$115:$Q$164,$A2223,MATCH(K$6,'RFM input'!$G$60:$Q$60,0))))</f>
        <v>0</v>
      </c>
      <c r="L2223" s="1417">
        <f>IF(LEFT(L$6,4)&lt;LEFT('RFM input'!$G$60,4),"enter input",IF(LEFT(L$6,4)&gt;LEFT('RFM input'!$Q$60,4),0,
INDEX('RFM input'!$G$61:$Q$110,$A2223,MATCH(L$6,'RFM input'!$G$60:$Q$60,0))
   -INDEX('RFM input'!$G$115:$Q$164,$A2223,MATCH(L$6,'RFM input'!$G$60:$Q$60,0))))</f>
        <v>0</v>
      </c>
      <c r="M2223" s="1417">
        <f>IF(LEFT(M$6,4)&lt;LEFT('RFM input'!$G$60,4),"enter input",IF(LEFT(M$6,4)&gt;LEFT('RFM input'!$Q$60,4),0,
INDEX('RFM input'!$G$61:$Q$110,$A2223,MATCH(M$6,'RFM input'!$G$60:$Q$60,0))
   -INDEX('RFM input'!$G$115:$Q$164,$A2223,MATCH(M$6,'RFM input'!$G$60:$Q$60,0))))</f>
        <v>0</v>
      </c>
      <c r="N2223" s="1417">
        <f>IF(LEFT(N$6,4)&lt;LEFT('RFM input'!$G$60,4),"enter input",IF(LEFT(N$6,4)&gt;LEFT('RFM input'!$Q$60,4),0,
INDEX('RFM input'!$G$61:$Q$110,$A2223,MATCH(N$6,'RFM input'!$G$60:$Q$60,0))
   -INDEX('RFM input'!$G$115:$Q$164,$A2223,MATCH(N$6,'RFM input'!$G$60:$Q$60,0))))</f>
        <v>0</v>
      </c>
      <c r="O2223" s="1417">
        <f>IF(LEFT(O$6,4)&lt;LEFT('RFM input'!$G$60,4),"enter input",IF(LEFT(O$6,4)&gt;LEFT('RFM input'!$Q$60,4),0,
INDEX('RFM input'!$G$61:$Q$110,$A2223,MATCH(O$6,'RFM input'!$G$60:$Q$60,0))
   -INDEX('RFM input'!$G$115:$Q$164,$A2223,MATCH(O$6,'RFM input'!$G$60:$Q$60,0))))</f>
        <v>0</v>
      </c>
      <c r="P2223" s="1417">
        <f>IF(LEFT(P$6,4)&lt;LEFT('RFM input'!$G$60,4),"enter input",IF(LEFT(P$6,4)&gt;LEFT('RFM input'!$Q$60,4),0,
INDEX('RFM input'!$G$61:$Q$110,$A2223,MATCH(P$6,'RFM input'!$G$60:$Q$60,0))
   -INDEX('RFM input'!$G$115:$Q$164,$A2223,MATCH(P$6,'RFM input'!$G$60:$Q$60,0))))</f>
        <v>0</v>
      </c>
      <c r="Q2223" s="1417">
        <f>IF(LEFT(Q$6,4)&lt;LEFT('RFM input'!$G$60,4),"enter input",IF(LEFT(Q$6,4)&gt;LEFT('RFM input'!$Q$60,4),0,
INDEX('RFM input'!$G$61:$Q$110,$A2223,MATCH(Q$6,'RFM input'!$G$60:$Q$60,0))
   -INDEX('RFM input'!$G$115:$Q$164,$A2223,MATCH(Q$6,'RFM input'!$G$60:$Q$60,0))))</f>
        <v>0</v>
      </c>
      <c r="R2223" s="1417">
        <f>IF(LEFT(R$6,4)&lt;LEFT('RFM input'!$G$60,4),"enter input",IF(LEFT(R$6,4)&gt;LEFT('RFM input'!$Q$60,4),0,
INDEX('RFM input'!$G$61:$Q$110,$A2223,MATCH(R$6,'RFM input'!$G$60:$Q$60,0))
   -INDEX('RFM input'!$G$115:$Q$164,$A2223,MATCH(R$6,'RFM input'!$G$60:$Q$60,0))))</f>
        <v>0</v>
      </c>
      <c r="S2223" s="1417">
        <f>IF(LEFT(S$6,4)&lt;LEFT('RFM input'!$G$60,4),"enter input",IF(LEFT(S$6,4)&gt;LEFT('RFM input'!$Q$60,4),0,
INDEX('RFM input'!$G$61:$Q$110,$A2223,MATCH(S$6,'RFM input'!$G$60:$Q$60,0))
   -INDEX('RFM input'!$G$115:$Q$164,$A2223,MATCH(S$6,'RFM input'!$G$60:$Q$60,0))))</f>
        <v>0</v>
      </c>
      <c r="T2223" s="1417">
        <f>IF(LEFT(T$6,4)&lt;LEFT('RFM input'!$G$60,4),"enter input",IF(LEFT(T$6,4)&gt;LEFT('RFM input'!$Q$60,4),0,
INDEX('RFM input'!$G$61:$Q$110,$A2223,MATCH(T$6,'RFM input'!$G$60:$Q$60,0))
   -INDEX('RFM input'!$G$115:$Q$164,$A2223,MATCH(T$6,'RFM input'!$G$60:$Q$60,0))))</f>
        <v>0</v>
      </c>
      <c r="U2223" s="1417">
        <f>IF(LEFT(U$6,4)&lt;LEFT('RFM input'!$G$60,4),"enter input",IF(LEFT(U$6,4)&gt;LEFT('RFM input'!$Q$60,4),0,
INDEX('RFM input'!$G$61:$Q$110,$A2223,MATCH(U$6,'RFM input'!$G$60:$Q$60,0))
   -INDEX('RFM input'!$G$115:$Q$164,$A2223,MATCH(U$6,'RFM input'!$G$60:$Q$60,0))))</f>
        <v>0</v>
      </c>
      <c r="V2223" s="1417">
        <f>IF(LEFT(V$6,4)&lt;LEFT('RFM input'!$G$60,4),"enter input",IF(LEFT(V$6,4)&gt;LEFT('RFM input'!$Q$60,4),0,
INDEX('RFM input'!$G$61:$Q$110,$A2223,MATCH(V$6,'RFM input'!$G$60:$Q$60,0))
   -INDEX('RFM input'!$G$115:$Q$164,$A2223,MATCH(V$6,'RFM input'!$G$60:$Q$60,0))))</f>
        <v>0</v>
      </c>
      <c r="W2223" s="1417">
        <f>IF(LEFT(W$6,4)&lt;LEFT('RFM input'!$G$60,4),"enter input",IF(LEFT(W$6,4)&gt;LEFT('RFM input'!$Q$60,4),0,
INDEX('RFM input'!$G$61:$Q$110,$A2223,MATCH(W$6,'RFM input'!$G$60:$Q$60,0))
   -INDEX('RFM input'!$G$115:$Q$164,$A2223,MATCH(W$6,'RFM input'!$G$60:$Q$60,0))))</f>
        <v>0</v>
      </c>
      <c r="X2223" s="152"/>
      <c r="Y2223" s="152"/>
      <c r="Z2223" s="152"/>
      <c r="AA2223" s="152"/>
      <c r="AB2223" s="152"/>
    </row>
    <row r="2224" spans="1:28">
      <c r="A2224" s="152"/>
      <c r="B2224" s="152" t="s">
        <v>205</v>
      </c>
      <c r="C2224" s="1418">
        <f ca="1">IF($D$6='TAB roll forward'!$H$4,OFFSET('RFM input'!$S$6,$A2223,0),"enter input")</f>
        <v>0</v>
      </c>
      <c r="D2224" s="1417">
        <f>IF(LEFT(D$6,4)&lt;=LEFT('RFM input'!$G$60,4),"enter input",IF(LEFT(D$6,4)&gt;LEFT('RFM input'!$Q$60,4),0,
IF(MATCH(D$6,'RFM input'!$H$60:$Q$60,0),INDEX('RFM input'!$T$7:$T$56,$A2223,1,1))))</f>
        <v>0</v>
      </c>
      <c r="E2224" s="1417">
        <f>IF(LEFT(E$6,4)&lt;=LEFT('RFM input'!$G$60,4),"enter input",IF(LEFT(E$6,4)&gt;LEFT('RFM input'!$Q$60,4),0,
IF(MATCH(E$6,'RFM input'!$H$60:$Q$60,0),INDEX('RFM input'!$T$7:$T$56,$A2223,1,1))))</f>
        <v>0</v>
      </c>
      <c r="F2224" s="1417">
        <f>IF(LEFT(F$6,4)&lt;=LEFT('RFM input'!$G$60,4),"enter input",IF(LEFT(F$6,4)&gt;LEFT('RFM input'!$Q$60,4),0,
IF(MATCH(F$6,'RFM input'!$H$60:$Q$60,0),INDEX('RFM input'!$T$7:$T$56,$A2223,1,1))))</f>
        <v>0</v>
      </c>
      <c r="G2224" s="1417">
        <f>IF(LEFT(G$6,4)&lt;=LEFT('RFM input'!$G$60,4),"enter input",IF(LEFT(G$6,4)&gt;LEFT('RFM input'!$Q$60,4),0,
IF(MATCH(G$6,'RFM input'!$H$60:$Q$60,0),INDEX('RFM input'!$T$7:$T$56,$A2223,1,1))))</f>
        <v>0</v>
      </c>
      <c r="H2224" s="1417">
        <f>IF(LEFT(H$6,4)&lt;=LEFT('RFM input'!$G$60,4),"enter input",IF(LEFT(H$6,4)&gt;LEFT('RFM input'!$Q$60,4),0,
IF(MATCH(H$6,'RFM input'!$H$60:$Q$60,0),INDEX('RFM input'!$T$7:$T$56,$A2223,1,1))))</f>
        <v>0</v>
      </c>
      <c r="I2224" s="1417">
        <f>IF(LEFT(I$6,4)&lt;=LEFT('RFM input'!$G$60,4),"enter input",IF(LEFT(I$6,4)&gt;LEFT('RFM input'!$Q$60,4),0,
IF(MATCH(I$6,'RFM input'!$H$60:$Q$60,0),INDEX('RFM input'!$T$7:$T$56,$A2223,1,1))))</f>
        <v>0</v>
      </c>
      <c r="J2224" s="1417">
        <f>IF(LEFT(J$6,4)&lt;=LEFT('RFM input'!$G$60,4),"enter input",IF(LEFT(J$6,4)&gt;LEFT('RFM input'!$Q$60,4),0,
IF(MATCH(J$6,'RFM input'!$H$60:$Q$60,0),INDEX('RFM input'!$T$7:$T$56,$A2223,1,1))))</f>
        <v>0</v>
      </c>
      <c r="K2224" s="1417">
        <f>IF(LEFT(K$6,4)&lt;=LEFT('RFM input'!$G$60,4),"enter input",IF(LEFT(K$6,4)&gt;LEFT('RFM input'!$Q$60,4),0,
IF(MATCH(K$6,'RFM input'!$H$60:$Q$60,0),INDEX('RFM input'!$T$7:$T$56,$A2223,1,1))))</f>
        <v>0</v>
      </c>
      <c r="L2224" s="1417">
        <f>IF(LEFT(L$6,4)&lt;=LEFT('RFM input'!$G$60,4),"enter input",IF(LEFT(L$6,4)&gt;LEFT('RFM input'!$Q$60,4),0,
IF(MATCH(L$6,'RFM input'!$H$60:$Q$60,0),INDEX('RFM input'!$T$7:$T$56,$A2223,1,1))))</f>
        <v>0</v>
      </c>
      <c r="M2224" s="1417">
        <f>IF(LEFT(M$6,4)&lt;=LEFT('RFM input'!$G$60,4),"enter input",IF(LEFT(M$6,4)&gt;LEFT('RFM input'!$Q$60,4),0,
IF(MATCH(M$6,'RFM input'!$H$60:$Q$60,0),INDEX('RFM input'!$T$7:$T$56,$A2223,1,1))))</f>
        <v>0</v>
      </c>
      <c r="N2224" s="1417">
        <f>IF(LEFT(N$6,4)&lt;=LEFT('RFM input'!$G$60,4),"enter input",IF(LEFT(N$6,4)&gt;LEFT('RFM input'!$Q$60,4),0,
IF(MATCH(N$6,'RFM input'!$H$60:$Q$60,0),INDEX('RFM input'!$T$7:$T$56,$A2223,1,1))))</f>
        <v>0</v>
      </c>
      <c r="O2224" s="1417">
        <f>IF(LEFT(O$6,4)&lt;=LEFT('RFM input'!$G$60,4),"enter input",IF(LEFT(O$6,4)&gt;LEFT('RFM input'!$Q$60,4),0,
IF(MATCH(O$6,'RFM input'!$H$60:$Q$60,0),INDEX('RFM input'!$T$7:$T$56,$A2223,1,1))))</f>
        <v>0</v>
      </c>
      <c r="P2224" s="1417">
        <f>IF(LEFT(P$6,4)&lt;=LEFT('RFM input'!$G$60,4),"enter input",IF(LEFT(P$6,4)&gt;LEFT('RFM input'!$Q$60,4),0,
IF(MATCH(P$6,'RFM input'!$H$60:$Q$60,0),INDEX('RFM input'!$T$7:$T$56,$A2223,1,1))))</f>
        <v>0</v>
      </c>
      <c r="Q2224" s="1417">
        <f>IF(LEFT(Q$6,4)&lt;=LEFT('RFM input'!$G$60,4),"enter input",IF(LEFT(Q$6,4)&gt;LEFT('RFM input'!$Q$60,4),0,
IF(MATCH(Q$6,'RFM input'!$H$60:$Q$60,0),INDEX('RFM input'!$T$7:$T$56,$A2223,1,1))))</f>
        <v>0</v>
      </c>
      <c r="R2224" s="1417">
        <f>IF(LEFT(R$6,4)&lt;=LEFT('RFM input'!$G$60,4),"enter input",IF(LEFT(R$6,4)&gt;LEFT('RFM input'!$Q$60,4),0,
IF(MATCH(R$6,'RFM input'!$H$60:$Q$60,0),INDEX('RFM input'!$T$7:$T$56,$A2223,1,1))))</f>
        <v>0</v>
      </c>
      <c r="S2224" s="1417">
        <f>IF(LEFT(S$6,4)&lt;=LEFT('RFM input'!$G$60,4),"enter input",IF(LEFT(S$6,4)&gt;LEFT('RFM input'!$Q$60,4),0,
IF(MATCH(S$6,'RFM input'!$H$60:$Q$60,0),INDEX('RFM input'!$T$7:$T$56,$A2223,1,1))))</f>
        <v>0</v>
      </c>
      <c r="T2224" s="1417">
        <f>IF(LEFT(T$6,4)&lt;=LEFT('RFM input'!$G$60,4),"enter input",IF(LEFT(T$6,4)&gt;LEFT('RFM input'!$Q$60,4),0,
IF(MATCH(T$6,'RFM input'!$H$60:$Q$60,0),INDEX('RFM input'!$T$7:$T$56,$A2223,1,1))))</f>
        <v>0</v>
      </c>
      <c r="U2224" s="1417">
        <f>IF(LEFT(U$6,4)&lt;=LEFT('RFM input'!$G$60,4),"enter input",IF(LEFT(U$6,4)&gt;LEFT('RFM input'!$Q$60,4),0,
IF(MATCH(U$6,'RFM input'!$H$60:$Q$60,0),INDEX('RFM input'!$T$7:$T$56,$A2223,1,1))))</f>
        <v>0</v>
      </c>
      <c r="V2224" s="1417">
        <f>IF(LEFT(V$6,4)&lt;=LEFT('RFM input'!$G$60,4),"enter input",IF(LEFT(V$6,4)&gt;LEFT('RFM input'!$Q$60,4),0,
IF(MATCH(V$6,'RFM input'!$H$60:$Q$60,0),INDEX('RFM input'!$T$7:$T$56,$A2223,1,1))))</f>
        <v>0</v>
      </c>
      <c r="W2224" s="1417">
        <f>IF(LEFT(W$6,4)&lt;=LEFT('RFM input'!$G$60,4),"enter input",IF(LEFT(W$6,4)&gt;LEFT('RFM input'!$Q$60,4),0,
IF(MATCH(W$6,'RFM input'!$H$60:$Q$60,0),INDEX('RFM input'!$T$7:$T$56,$A2223,1,1))))</f>
        <v>0</v>
      </c>
      <c r="X2224" s="152"/>
      <c r="Y2224" s="152"/>
      <c r="Z2224" s="152"/>
      <c r="AA2224" s="152"/>
      <c r="AB2224" s="152"/>
    </row>
    <row r="2225" spans="1:28">
      <c r="A2225" s="152"/>
      <c r="B2225" s="193" t="s">
        <v>192</v>
      </c>
      <c r="C2225" s="1419"/>
      <c r="D2225" s="1420">
        <f ca="1">IF(LEFT(D$6,4)&lt;=LEFT('RFM input'!$G$60,4),"enter input",IF(LEFT(D$6,4)&gt;LEFT('RFM input'!$Q$60,4),0,
IF(D$6=(OFFSET('RFM input'!$G$60,0,'RFM input'!$V$7)),OFFSET('RFM input'!$H$411,$A2223,0),0)))</f>
        <v>0</v>
      </c>
      <c r="E2225" s="1417">
        <f ca="1">IF(LEFT(E$6,4)&lt;=LEFT('RFM input'!$G$60,4),"enter input",IF(LEFT(E$6,4)&gt;LEFT('RFM input'!$Q$60,4),0,
IF(E$6=(OFFSET('RFM input'!$G$60,0,'RFM input'!$V$7)),OFFSET('RFM input'!$H$411,$A2223,0),0)))</f>
        <v>0</v>
      </c>
      <c r="F2225" s="1417">
        <f ca="1">IF(LEFT(F$6,4)&lt;=LEFT('RFM input'!$G$60,4),"enter input",IF(LEFT(F$6,4)&gt;LEFT('RFM input'!$Q$60,4),0,
IF(F$6=(OFFSET('RFM input'!$G$60,0,'RFM input'!$V$7)),OFFSET('RFM input'!$H$411,$A2223,0),0)))</f>
        <v>0</v>
      </c>
      <c r="G2225" s="1417">
        <f ca="1">IF(LEFT(G$6,4)&lt;=LEFT('RFM input'!$G$60,4),"enter input",IF(LEFT(G$6,4)&gt;LEFT('RFM input'!$Q$60,4),0,
IF(G$6=(OFFSET('RFM input'!$G$60,0,'RFM input'!$V$7)),OFFSET('RFM input'!$H$411,$A2223,0),0)))</f>
        <v>0</v>
      </c>
      <c r="H2225" s="1417">
        <f ca="1">IF(LEFT(H$6,4)&lt;=LEFT('RFM input'!$G$60,4),"enter input",IF(LEFT(H$6,4)&gt;LEFT('RFM input'!$Q$60,4),0,
IF(H$6=(OFFSET('RFM input'!$G$60,0,'RFM input'!$V$7)),OFFSET('RFM input'!$H$411,$A2223,0),0)))</f>
        <v>0</v>
      </c>
      <c r="I2225" s="1417">
        <f ca="1">IF(LEFT(I$6,4)&lt;=LEFT('RFM input'!$G$60,4),"enter input",IF(LEFT(I$6,4)&gt;LEFT('RFM input'!$Q$60,4),0,
IF(I$6=(OFFSET('RFM input'!$G$60,0,'RFM input'!$V$7)),OFFSET('RFM input'!$H$411,$A2223,0),0)))</f>
        <v>0</v>
      </c>
      <c r="J2225" s="1417">
        <f ca="1">IF(LEFT(J$6,4)&lt;=LEFT('RFM input'!$G$60,4),"enter input",IF(LEFT(J$6,4)&gt;LEFT('RFM input'!$Q$60,4),0,
IF(J$6=(OFFSET('RFM input'!$G$60,0,'RFM input'!$V$7)),OFFSET('RFM input'!$H$411,$A2223,0),0)))</f>
        <v>0</v>
      </c>
      <c r="K2225" s="1417">
        <f ca="1">IF(LEFT(K$6,4)&lt;=LEFT('RFM input'!$G$60,4),"enter input",IF(LEFT(K$6,4)&gt;LEFT('RFM input'!$Q$60,4),0,
IF(K$6=(OFFSET('RFM input'!$G$60,0,'RFM input'!$V$7)),OFFSET('RFM input'!$H$411,$A2223,0),0)))</f>
        <v>0</v>
      </c>
      <c r="L2225" s="1417">
        <f ca="1">IF(LEFT(L$6,4)&lt;=LEFT('RFM input'!$G$60,4),"enter input",IF(LEFT(L$6,4)&gt;LEFT('RFM input'!$Q$60,4),0,
IF(L$6=(OFFSET('RFM input'!$G$60,0,'RFM input'!$V$7)),OFFSET('RFM input'!$H$411,$A2223,0),0)))</f>
        <v>0</v>
      </c>
      <c r="M2225" s="1417">
        <f ca="1">IF(LEFT(M$6,4)&lt;=LEFT('RFM input'!$G$60,4),"enter input",IF(LEFT(M$6,4)&gt;LEFT('RFM input'!$Q$60,4),0,
IF(M$6=(OFFSET('RFM input'!$G$60,0,'RFM input'!$V$7)),OFFSET('RFM input'!$H$411,$A2223,0),0)))</f>
        <v>0</v>
      </c>
      <c r="N2225" s="1417">
        <f ca="1">IF(LEFT(N$6,4)&lt;=LEFT('RFM input'!$G$60,4),"enter input",IF(LEFT(N$6,4)&gt;LEFT('RFM input'!$Q$60,4),0,
IF(N$6=(OFFSET('RFM input'!$G$60,0,'RFM input'!$V$7)),OFFSET('RFM input'!$H$411,$A2223,0),0)))</f>
        <v>0</v>
      </c>
      <c r="O2225" s="1417">
        <f ca="1">IF(LEFT(O$6,4)&lt;=LEFT('RFM input'!$G$60,4),"enter input",IF(LEFT(O$6,4)&gt;LEFT('RFM input'!$Q$60,4),0,
IF(O$6=(OFFSET('RFM input'!$G$60,0,'RFM input'!$V$7)),OFFSET('RFM input'!$H$411,$A2223,0),0)))</f>
        <v>0</v>
      </c>
      <c r="P2225" s="1417">
        <f ca="1">IF(LEFT(P$6,4)&lt;=LEFT('RFM input'!$G$60,4),"enter input",IF(LEFT(P$6,4)&gt;LEFT('RFM input'!$Q$60,4),0,
IF(P$6=(OFFSET('RFM input'!$G$60,0,'RFM input'!$V$7)),OFFSET('RFM input'!$H$411,$A2223,0),0)))</f>
        <v>0</v>
      </c>
      <c r="Q2225" s="1417">
        <f ca="1">IF(LEFT(Q$6,4)&lt;=LEFT('RFM input'!$G$60,4),"enter input",IF(LEFT(Q$6,4)&gt;LEFT('RFM input'!$Q$60,4),0,
IF(Q$6=(OFFSET('RFM input'!$G$60,0,'RFM input'!$V$7)),OFFSET('RFM input'!$H$411,$A2223,0),0)))</f>
        <v>0</v>
      </c>
      <c r="R2225" s="1417">
        <f ca="1">IF(LEFT(R$6,4)&lt;=LEFT('RFM input'!$G$60,4),"enter input",IF(LEFT(R$6,4)&gt;LEFT('RFM input'!$Q$60,4),0,
IF(R$6=(OFFSET('RFM input'!$G$60,0,'RFM input'!$V$7)),OFFSET('RFM input'!$H$411,$A2223,0),0)))</f>
        <v>0</v>
      </c>
      <c r="S2225" s="1417">
        <f ca="1">IF(LEFT(S$6,4)&lt;=LEFT('RFM input'!$G$60,4),"enter input",IF(LEFT(S$6,4)&gt;LEFT('RFM input'!$Q$60,4),0,
IF(S$6=(OFFSET('RFM input'!$G$60,0,'RFM input'!$V$7)),OFFSET('RFM input'!$H$411,$A2223,0),0)))</f>
        <v>0</v>
      </c>
      <c r="T2225" s="1417">
        <f ca="1">IF(LEFT(T$6,4)&lt;=LEFT('RFM input'!$G$60,4),"enter input",IF(LEFT(T$6,4)&gt;LEFT('RFM input'!$Q$60,4),0,
IF(T$6=(OFFSET('RFM input'!$G$60,0,'RFM input'!$V$7)),OFFSET('RFM input'!$H$411,$A2223,0),0)))</f>
        <v>0</v>
      </c>
      <c r="U2225" s="1417">
        <f ca="1">IF(LEFT(U$6,4)&lt;=LEFT('RFM input'!$G$60,4),"enter input",IF(LEFT(U$6,4)&gt;LEFT('RFM input'!$Q$60,4),0,
IF(U$6=(OFFSET('RFM input'!$G$60,0,'RFM input'!$V$7)),OFFSET('RFM input'!$H$411,$A2223,0),0)))</f>
        <v>0</v>
      </c>
      <c r="V2225" s="1417">
        <f ca="1">IF(LEFT(V$6,4)&lt;=LEFT('RFM input'!$G$60,4),"enter input",IF(LEFT(V$6,4)&gt;LEFT('RFM input'!$Q$60,4),0,
IF(V$6=(OFFSET('RFM input'!$G$60,0,'RFM input'!$V$7)),OFFSET('RFM input'!$H$411,$A2223,0),0)))</f>
        <v>0</v>
      </c>
      <c r="W2225" s="1417">
        <f ca="1">IF(LEFT(W$6,4)&lt;=LEFT('RFM input'!$G$60,4),"enter input",IF(LEFT(W$6,4)&gt;LEFT('RFM input'!$Q$60,4),0,
IF(W$6=(OFFSET('RFM input'!$G$60,0,'RFM input'!$V$7)),OFFSET('RFM input'!$H$411,$A2223,0),0)))</f>
        <v>0</v>
      </c>
      <c r="X2225" s="152"/>
      <c r="Y2225" s="152"/>
      <c r="Z2225" s="152"/>
      <c r="AA2225" s="152"/>
      <c r="AB2225" s="152"/>
    </row>
    <row r="2226" spans="1:28">
      <c r="A2226" s="152"/>
      <c r="B2226" s="193" t="s">
        <v>200</v>
      </c>
      <c r="C2226" s="1419"/>
      <c r="D2226" s="1418">
        <f ca="1">IF(LEFT(D$6,4)&lt;=LEFT('RFM input'!$G$60,4),"enter input",IF(LEFT(D$6,4)&gt;LEFT('RFM input'!$Q$60,4),0,
IF(D$6=(OFFSET('RFM input'!$G$60,0,'RFM input'!$V$7)),OFFSET('RFM input'!$J$411,$A2223,0),0)))</f>
        <v>0</v>
      </c>
      <c r="E2226" s="1422">
        <f ca="1">IF(LEFT(E$6,4)&lt;=LEFT('RFM input'!$G$60,4),"enter input",IF(LEFT(E$6,4)&gt;LEFT('RFM input'!$Q$60,4),0,
IF(E$6=(OFFSET('RFM input'!$G$60,0,'RFM input'!$V$7)),OFFSET('RFM input'!$J$411,$A2223,0),0)))</f>
        <v>0</v>
      </c>
      <c r="F2226" s="1422">
        <f ca="1">IF(LEFT(F$6,4)&lt;=LEFT('RFM input'!$G$60,4),"enter input",IF(LEFT(F$6,4)&gt;LEFT('RFM input'!$Q$60,4),0,
IF(F$6=(OFFSET('RFM input'!$G$60,0,'RFM input'!$V$7)),OFFSET('RFM input'!$J$411,$A2223,0),0)))</f>
        <v>0</v>
      </c>
      <c r="G2226" s="1422">
        <f ca="1">IF(LEFT(G$6,4)&lt;=LEFT('RFM input'!$G$60,4),"enter input",IF(LEFT(G$6,4)&gt;LEFT('RFM input'!$Q$60,4),0,
IF(G$6=(OFFSET('RFM input'!$G$60,0,'RFM input'!$V$7)),OFFSET('RFM input'!$J$411,$A2223,0),0)))</f>
        <v>0</v>
      </c>
      <c r="H2226" s="1422">
        <f ca="1">IF(LEFT(H$6,4)&lt;=LEFT('RFM input'!$G$60,4),"enter input",IF(LEFT(H$6,4)&gt;LEFT('RFM input'!$Q$60,4),0,
IF(H$6=(OFFSET('RFM input'!$G$60,0,'RFM input'!$V$7)),OFFSET('RFM input'!$J$411,$A2223,0),0)))</f>
        <v>0</v>
      </c>
      <c r="I2226" s="1422">
        <f ca="1">IF(LEFT(I$6,4)&lt;=LEFT('RFM input'!$G$60,4),"enter input",IF(LEFT(I$6,4)&gt;LEFT('RFM input'!$Q$60,4),0,
IF(I$6=(OFFSET('RFM input'!$G$60,0,'RFM input'!$V$7)),OFFSET('RFM input'!$J$411,$A2223,0),0)))</f>
        <v>0</v>
      </c>
      <c r="J2226" s="1422">
        <f ca="1">IF(LEFT(J$6,4)&lt;=LEFT('RFM input'!$G$60,4),"enter input",IF(LEFT(J$6,4)&gt;LEFT('RFM input'!$Q$60,4),0,
IF(J$6=(OFFSET('RFM input'!$G$60,0,'RFM input'!$V$7)),OFFSET('RFM input'!$J$411,$A2223,0),0)))</f>
        <v>0</v>
      </c>
      <c r="K2226" s="1422">
        <f ca="1">IF(LEFT(K$6,4)&lt;=LEFT('RFM input'!$G$60,4),"enter input",IF(LEFT(K$6,4)&gt;LEFT('RFM input'!$Q$60,4),0,
IF(K$6=(OFFSET('RFM input'!$G$60,0,'RFM input'!$V$7)),OFFSET('RFM input'!$J$411,$A2223,0),0)))</f>
        <v>0</v>
      </c>
      <c r="L2226" s="1422">
        <f ca="1">IF(LEFT(L$6,4)&lt;=LEFT('RFM input'!$G$60,4),"enter input",IF(LEFT(L$6,4)&gt;LEFT('RFM input'!$Q$60,4),0,
IF(L$6=(OFFSET('RFM input'!$G$60,0,'RFM input'!$V$7)),OFFSET('RFM input'!$J$411,$A2223,0),0)))</f>
        <v>0</v>
      </c>
      <c r="M2226" s="1422">
        <f ca="1">IF(LEFT(M$6,4)&lt;=LEFT('RFM input'!$G$60,4),"enter input",IF(LEFT(M$6,4)&gt;LEFT('RFM input'!$Q$60,4),0,
IF(M$6=(OFFSET('RFM input'!$G$60,0,'RFM input'!$V$7)),OFFSET('RFM input'!$J$411,$A2223,0),0)))</f>
        <v>0</v>
      </c>
      <c r="N2226" s="1422">
        <f ca="1">IF(LEFT(N$6,4)&lt;=LEFT('RFM input'!$G$60,4),"enter input",IF(LEFT(N$6,4)&gt;LEFT('RFM input'!$Q$60,4),0,
IF(N$6=(OFFSET('RFM input'!$G$60,0,'RFM input'!$V$7)),OFFSET('RFM input'!$J$411,$A2223,0),0)))</f>
        <v>0</v>
      </c>
      <c r="O2226" s="1422">
        <f ca="1">IF(LEFT(O$6,4)&lt;=LEFT('RFM input'!$G$60,4),"enter input",IF(LEFT(O$6,4)&gt;LEFT('RFM input'!$Q$60,4),0,
IF(O$6=(OFFSET('RFM input'!$G$60,0,'RFM input'!$V$7)),OFFSET('RFM input'!$J$411,$A2223,0),0)))</f>
        <v>0</v>
      </c>
      <c r="P2226" s="1422">
        <f ca="1">IF(LEFT(P$6,4)&lt;=LEFT('RFM input'!$G$60,4),"enter input",IF(LEFT(P$6,4)&gt;LEFT('RFM input'!$Q$60,4),0,
IF(P$6=(OFFSET('RFM input'!$G$60,0,'RFM input'!$V$7)),OFFSET('RFM input'!$J$411,$A2223,0),0)))</f>
        <v>0</v>
      </c>
      <c r="Q2226" s="1422">
        <f ca="1">IF(LEFT(Q$6,4)&lt;=LEFT('RFM input'!$G$60,4),"enter input",IF(LEFT(Q$6,4)&gt;LEFT('RFM input'!$Q$60,4),0,
IF(Q$6=(OFFSET('RFM input'!$G$60,0,'RFM input'!$V$7)),OFFSET('RFM input'!$J$411,$A2223,0),0)))</f>
        <v>0</v>
      </c>
      <c r="R2226" s="1422">
        <f ca="1">IF(LEFT(R$6,4)&lt;=LEFT('RFM input'!$G$60,4),"enter input",IF(LEFT(R$6,4)&gt;LEFT('RFM input'!$Q$60,4),0,
IF(R$6=(OFFSET('RFM input'!$G$60,0,'RFM input'!$V$7)),OFFSET('RFM input'!$J$411,$A2223,0),0)))</f>
        <v>0</v>
      </c>
      <c r="S2226" s="1422">
        <f ca="1">IF(LEFT(S$6,4)&lt;=LEFT('RFM input'!$G$60,4),"enter input",IF(LEFT(S$6,4)&gt;LEFT('RFM input'!$Q$60,4),0,
IF(S$6=(OFFSET('RFM input'!$G$60,0,'RFM input'!$V$7)),OFFSET('RFM input'!$J$411,$A2223,0),0)))</f>
        <v>0</v>
      </c>
      <c r="T2226" s="1422">
        <f ca="1">IF(LEFT(T$6,4)&lt;=LEFT('RFM input'!$G$60,4),"enter input",IF(LEFT(T$6,4)&gt;LEFT('RFM input'!$Q$60,4),0,
IF(T$6=(OFFSET('RFM input'!$G$60,0,'RFM input'!$V$7)),OFFSET('RFM input'!$J$411,$A2223,0),0)))</f>
        <v>0</v>
      </c>
      <c r="U2226" s="1422">
        <f ca="1">IF(LEFT(U$6,4)&lt;=LEFT('RFM input'!$G$60,4),"enter input",IF(LEFT(U$6,4)&gt;LEFT('RFM input'!$Q$60,4),0,
IF(U$6=(OFFSET('RFM input'!$G$60,0,'RFM input'!$V$7)),OFFSET('RFM input'!$J$411,$A2223,0),0)))</f>
        <v>0</v>
      </c>
      <c r="V2226" s="1422">
        <f ca="1">IF(LEFT(V$6,4)&lt;=LEFT('RFM input'!$G$60,4),"enter input",IF(LEFT(V$6,4)&gt;LEFT('RFM input'!$Q$60,4),0,
IF(V$6=(OFFSET('RFM input'!$G$60,0,'RFM input'!$V$7)),OFFSET('RFM input'!$J$411,$A2223,0),0)))</f>
        <v>0</v>
      </c>
      <c r="W2226" s="1422">
        <f ca="1">IF(LEFT(W$6,4)&lt;=LEFT('RFM input'!$G$60,4),"enter input",IF(LEFT(W$6,4)&gt;LEFT('RFM input'!$Q$60,4),0,
IF(W$6=(OFFSET('RFM input'!$G$60,0,'RFM input'!$V$7)),OFFSET('RFM input'!$J$411,$A2223,0),0)))</f>
        <v>0</v>
      </c>
      <c r="X2226" s="152"/>
      <c r="Y2226" s="152"/>
      <c r="Z2226" s="152"/>
      <c r="AA2226" s="152"/>
      <c r="AB2226" s="152"/>
    </row>
    <row r="2227" spans="1:28" hidden="1" outlineLevel="1">
      <c r="A2227" s="235">
        <v>-1</v>
      </c>
      <c r="B2227" s="190" t="s">
        <v>195</v>
      </c>
      <c r="C2227" s="1423"/>
      <c r="D2227" s="1423">
        <f t="shared" ref="D2227" ca="1" si="3232">IF(AND(D2225=0,C2227=0),0,
IF(AND(D2225&lt;&gt;0,C2227=0),D2225,
IF(AND(D2226&lt;&gt;0,C2227&lt;&gt;0),(C2227-(C2227/C2251))+D2225,
IF(C2251&lt;1,0,(C2227-(C2227/C2251))))))</f>
        <v>0</v>
      </c>
      <c r="E2227" s="1423">
        <f t="shared" ref="E2227" ca="1" si="3233">IF(AND(E2225=0,D2227=0),0,
IF(AND(E2225&lt;&gt;0,D2227=0),E2225,
IF(AND(E2226&lt;&gt;0,D2227&lt;&gt;0),(D2227-(D2227/D2251))+E2225,
IF(D2251&lt;1,0,(D2227-(D2227/D2251))))))</f>
        <v>0</v>
      </c>
      <c r="F2227" s="1423">
        <f t="shared" ref="F2227" ca="1" si="3234">IF(AND(F2225=0,E2227=0),0,
IF(AND(F2225&lt;&gt;0,E2227=0),F2225,
IF(AND(F2226&lt;&gt;0,E2227&lt;&gt;0),(E2227-(E2227/E2251))+F2225,
IF(E2251&lt;1,0,(E2227-(E2227/E2251))))))</f>
        <v>0</v>
      </c>
      <c r="G2227" s="1423">
        <f t="shared" ref="G2227" ca="1" si="3235">IF(AND(G2225=0,F2227=0),0,
IF(AND(G2225&lt;&gt;0,F2227=0),G2225,
IF(AND(G2226&lt;&gt;0,F2227&lt;&gt;0),(F2227-(F2227/F2251))+G2225,
IF(F2251&lt;1,0,(F2227-(F2227/F2251))))))</f>
        <v>0</v>
      </c>
      <c r="H2227" s="1423">
        <f ca="1">IF(AND(H2225=0,G2227=0),0,
IF(AND(H2225&lt;&gt;0,G2227=0),H2225,
IF(AND(H2226&lt;&gt;0,G2227&lt;&gt;0),(G2227-(G2227/G2251))+H2225,
IF(G2251&lt;1,0,(G2227-(G2227/G2251))))))</f>
        <v>0</v>
      </c>
      <c r="I2227" s="1423">
        <f t="shared" ref="I2227" ca="1" si="3236">IF(AND(I2225=0,H2227=0),0,
IF(AND(I2225&lt;&gt;0,H2227=0),I2225,
IF(AND(I2226&lt;&gt;0,H2227&lt;&gt;0),(H2227-(H2227/H2251))+I2225,
IF(H2251&lt;1,0,(H2227-(H2227/H2251))))))</f>
        <v>0</v>
      </c>
      <c r="J2227" s="1423">
        <f t="shared" ref="J2227" ca="1" si="3237">IF(AND(J2225=0,I2227=0),0,
IF(AND(J2225&lt;&gt;0,I2227=0),J2225,
IF(AND(J2226&lt;&gt;0,I2227&lt;&gt;0),(I2227-(I2227/I2251))+J2225,
IF(I2251&lt;1,0,(I2227-(I2227/I2251))))))</f>
        <v>0</v>
      </c>
      <c r="K2227" s="1423">
        <f t="shared" ref="K2227" ca="1" si="3238">IF(AND(K2225=0,J2227=0),0,
IF(AND(K2225&lt;&gt;0,J2227=0),K2225,
IF(AND(K2226&lt;&gt;0,J2227&lt;&gt;0),(J2227-(J2227/J2251))+K2225,
IF(J2251&lt;1,0,(J2227-(J2227/J2251))))))</f>
        <v>0</v>
      </c>
      <c r="L2227" s="1423">
        <f t="shared" ref="L2227" ca="1" si="3239">IF(AND(L2225=0,K2227=0),0,
IF(AND(L2225&lt;&gt;0,K2227=0),L2225,
IF(AND(L2226&lt;&gt;0,K2227&lt;&gt;0),(K2227-(K2227/K2251))+L2225,
IF(K2251&lt;1,0,(K2227-(K2227/K2251))))))</f>
        <v>0</v>
      </c>
      <c r="M2227" s="1423">
        <f t="shared" ref="M2227" ca="1" si="3240">IF(AND(M2225=0,L2227=0),0,
IF(AND(M2225&lt;&gt;0,L2227=0),M2225,
IF(AND(M2226&lt;&gt;0,L2227&lt;&gt;0),(L2227-(L2227/L2251))+M2225,
IF(L2251&lt;1,0,(L2227-(L2227/L2251))))))</f>
        <v>0</v>
      </c>
      <c r="N2227" s="1423">
        <f t="shared" ref="N2227" ca="1" si="3241">IF(AND(N2225=0,M2227=0),0,
IF(AND(N2225&lt;&gt;0,M2227=0),N2225,
IF(AND(N2226&lt;&gt;0,M2227&lt;&gt;0),(M2227-(M2227/M2251))+N2225,
IF(M2251&lt;1,0,(M2227-(M2227/M2251))))))</f>
        <v>0</v>
      </c>
      <c r="O2227" s="1423">
        <f t="shared" ref="O2227" ca="1" si="3242">IF(AND(O2225=0,N2227=0),0,
IF(AND(O2225&lt;&gt;0,N2227=0),O2225,
IF(AND(O2226&lt;&gt;0,N2227&lt;&gt;0),(N2227-(N2227/N2251))+O2225,
IF(N2251&lt;1,0,(N2227-(N2227/N2251))))))</f>
        <v>0</v>
      </c>
      <c r="P2227" s="1423">
        <f t="shared" ref="P2227" ca="1" si="3243">IF(AND(P2225=0,O2227=0),0,
IF(AND(P2225&lt;&gt;0,O2227=0),P2225,
IF(AND(P2226&lt;&gt;0,O2227&lt;&gt;0),(O2227-(O2227/O2251))+P2225,
IF(O2251&lt;1,0,(O2227-(O2227/O2251))))))</f>
        <v>0</v>
      </c>
      <c r="Q2227" s="1423">
        <f t="shared" ref="Q2227" ca="1" si="3244">IF(AND(Q2225=0,P2227=0),0,
IF(AND(Q2225&lt;&gt;0,P2227=0),Q2225,
IF(AND(Q2226&lt;&gt;0,P2227&lt;&gt;0),(P2227-(P2227/P2251))+Q2225,
IF(P2251&lt;1,0,(P2227-(P2227/P2251))))))</f>
        <v>0</v>
      </c>
      <c r="R2227" s="1423">
        <f t="shared" ref="R2227" ca="1" si="3245">IF(AND(R2225=0,Q2227=0),0,
IF(AND(R2225&lt;&gt;0,Q2227=0),R2225,
IF(AND(R2226&lt;&gt;0,Q2227&lt;&gt;0),(Q2227-(Q2227/Q2251))+R2225,
IF(Q2251&lt;1,0,(Q2227-(Q2227/Q2251))))))</f>
        <v>0</v>
      </c>
      <c r="S2227" s="1423">
        <f t="shared" ref="S2227" ca="1" si="3246">IF(AND(S2225=0,R2227=0),0,
IF(AND(S2225&lt;&gt;0,R2227=0),S2225,
IF(AND(S2226&lt;&gt;0,R2227&lt;&gt;0),(R2227-(R2227/R2251))+S2225,
IF(R2251&lt;1,0,(R2227-(R2227/R2251))))))</f>
        <v>0</v>
      </c>
      <c r="T2227" s="1423">
        <f t="shared" ref="T2227" ca="1" si="3247">IF(AND(T2225=0,S2227=0),0,
IF(AND(T2225&lt;&gt;0,S2227=0),T2225,
IF(AND(T2226&lt;&gt;0,S2227&lt;&gt;0),(S2227-(S2227/S2251))+T2225,
IF(S2251&lt;1,0,(S2227-(S2227/S2251))))))</f>
        <v>0</v>
      </c>
      <c r="U2227" s="1423">
        <f t="shared" ref="U2227" ca="1" si="3248">IF(AND(U2225=0,T2227=0),0,
IF(AND(U2225&lt;&gt;0,T2227=0),U2225,
IF(AND(U2226&lt;&gt;0,T2227&lt;&gt;0),(T2227-(T2227/T2251))+U2225,
IF(T2251&lt;1,0,(T2227-(T2227/T2251))))))</f>
        <v>0</v>
      </c>
      <c r="V2227" s="1423">
        <f t="shared" ref="V2227" ca="1" si="3249">IF(AND(V2225=0,U2227=0),0,
IF(AND(V2225&lt;&gt;0,U2227=0),V2225,
IF(AND(V2226&lt;&gt;0,U2227&lt;&gt;0),(U2227-(U2227/U2251))+V2225,
IF(U2251&lt;1,0,(U2227-(U2227/U2251))))))</f>
        <v>0</v>
      </c>
      <c r="W2227" s="1423">
        <f t="shared" ref="W2227" ca="1" si="3250">IF(AND(W2225=0,V2227=0),0,
IF(AND(W2225&lt;&gt;0,V2227=0),W2225,
IF(AND(W2226&lt;&gt;0,V2227&lt;&gt;0),(V2227-(V2227/V2251))+W2225,
IF(V2251&lt;1,0,(V2227-(V2227/V2251))))))</f>
        <v>0</v>
      </c>
      <c r="X2227" s="152"/>
      <c r="Y2227" s="152"/>
      <c r="Z2227" s="152"/>
      <c r="AA2227" s="152"/>
      <c r="AB2227" s="152"/>
    </row>
    <row r="2228" spans="1:28" hidden="1" outlineLevel="1">
      <c r="A2228" s="199">
        <f>A2227+1</f>
        <v>0</v>
      </c>
      <c r="B2228" s="190" t="s">
        <v>527</v>
      </c>
      <c r="C2228" s="1423">
        <f ca="1">C2223</f>
        <v>0</v>
      </c>
      <c r="D2228" s="1423">
        <f ca="1">IF(C2252="n/a",C2228,IFERROR(IF((OFFSET($C2228,0,$A2228))&lt;0,
MIN(0,C2228-(OFFSET($C2228,0,$A2228)/(OFFSET($C2223,-$A2227,$A2228)))),
MAX(0,C2228-(OFFSET($C2228,0,$A2228)/(OFFSET($C2223,-$A2227,$A2228))))),0))</f>
        <v>0</v>
      </c>
      <c r="E2228" s="1423">
        <f t="shared" ref="E2228" ca="1" si="3251">IF(D2252="n/a",D2228,IFERROR(IF((OFFSET($C2228,0,$A2228))&lt;0,
MIN(0,D2228-(OFFSET($C2228,0,$A2228)/(OFFSET($C2223,-$A2227,$A2228)))),
MAX(0,D2228-(OFFSET($C2228,0,$A2228)/(OFFSET($C2223,-$A2227,$A2228))))),0))</f>
        <v>0</v>
      </c>
      <c r="F2228" s="1423">
        <f t="shared" ref="F2228:F2229" ca="1" si="3252">IF(E2252="n/a",E2228,IFERROR(IF((OFFSET($C2228,0,$A2228))&lt;0,
MIN(0,E2228-(OFFSET($C2228,0,$A2228)/(OFFSET($C2223,-$A2227,$A2228)))),
MAX(0,E2228-(OFFSET($C2228,0,$A2228)/(OFFSET($C2223,-$A2227,$A2228))))),0))</f>
        <v>0</v>
      </c>
      <c r="G2228" s="1423">
        <f t="shared" ref="G2228:G2230" ca="1" si="3253">IF(F2252="n/a",F2228,IFERROR(IF((OFFSET($C2228,0,$A2228))&lt;0,
MIN(0,F2228-(OFFSET($C2228,0,$A2228)/(OFFSET($C2223,-$A2227,$A2228)))),
MAX(0,F2228-(OFFSET($C2228,0,$A2228)/(OFFSET($C2223,-$A2227,$A2228))))),0))</f>
        <v>0</v>
      </c>
      <c r="H2228" s="1423">
        <f t="shared" ref="H2228:H2231" ca="1" si="3254">IF(G2252="n/a",G2228,IFERROR(IF((OFFSET($C2228,0,$A2228))&lt;0,
MIN(0,G2228-(OFFSET($C2228,0,$A2228)/(OFFSET($C2223,-$A2227,$A2228)))),
MAX(0,G2228-(OFFSET($C2228,0,$A2228)/(OFFSET($C2223,-$A2227,$A2228))))),0))</f>
        <v>0</v>
      </c>
      <c r="I2228" s="1423">
        <f t="shared" ref="I2228:I2232" ca="1" si="3255">IF(H2252="n/a",H2228,IFERROR(IF((OFFSET($C2228,0,$A2228))&lt;0,
MIN(0,H2228-(OFFSET($C2228,0,$A2228)/(OFFSET($C2223,-$A2227,$A2228)))),
MAX(0,H2228-(OFFSET($C2228,0,$A2228)/(OFFSET($C2223,-$A2227,$A2228))))),0))</f>
        <v>0</v>
      </c>
      <c r="J2228" s="1423">
        <f t="shared" ref="J2228:J2233" ca="1" si="3256">IF(I2252="n/a",I2228,IFERROR(IF((OFFSET($C2228,0,$A2228))&lt;0,
MIN(0,I2228-(OFFSET($C2228,0,$A2228)/(OFFSET($C2223,-$A2227,$A2228)))),
MAX(0,I2228-(OFFSET($C2228,0,$A2228)/(OFFSET($C2223,-$A2227,$A2228))))),0))</f>
        <v>0</v>
      </c>
      <c r="K2228" s="1423">
        <f t="shared" ref="K2228:K2234" ca="1" si="3257">IF(J2252="n/a",J2228,IFERROR(IF((OFFSET($C2228,0,$A2228))&lt;0,
MIN(0,J2228-(OFFSET($C2228,0,$A2228)/(OFFSET($C2223,-$A2227,$A2228)))),
MAX(0,J2228-(OFFSET($C2228,0,$A2228)/(OFFSET($C2223,-$A2227,$A2228))))),0))</f>
        <v>0</v>
      </c>
      <c r="L2228" s="1423">
        <f t="shared" ref="L2228:L2235" ca="1" si="3258">IF(K2252="n/a",K2228,IFERROR(IF((OFFSET($C2228,0,$A2228))&lt;0,
MIN(0,K2228-(OFFSET($C2228,0,$A2228)/(OFFSET($C2223,-$A2227,$A2228)))),
MAX(0,K2228-(OFFSET($C2228,0,$A2228)/(OFFSET($C2223,-$A2227,$A2228))))),0))</f>
        <v>0</v>
      </c>
      <c r="M2228" s="1423">
        <f t="shared" ref="M2228:M2236" ca="1" si="3259">IF(L2252="n/a",L2228,IFERROR(IF((OFFSET($C2228,0,$A2228))&lt;0,
MIN(0,L2228-(OFFSET($C2228,0,$A2228)/(OFFSET($C2223,-$A2227,$A2228)))),
MAX(0,L2228-(OFFSET($C2228,0,$A2228)/(OFFSET($C2223,-$A2227,$A2228))))),0))</f>
        <v>0</v>
      </c>
      <c r="N2228" s="1423">
        <f t="shared" ref="N2228:N2237" ca="1" si="3260">IF(M2252="n/a",M2228,IFERROR(IF((OFFSET($C2228,0,$A2228))&lt;0,
MIN(0,M2228-(OFFSET($C2228,0,$A2228)/(OFFSET($C2223,-$A2227,$A2228)))),
MAX(0,M2228-(OFFSET($C2228,0,$A2228)/(OFFSET($C2223,-$A2227,$A2228))))),0))</f>
        <v>0</v>
      </c>
      <c r="O2228" s="1423">
        <f t="shared" ref="O2228:O2238" ca="1" si="3261">IF(N2252="n/a",N2228,IFERROR(IF((OFFSET($C2228,0,$A2228))&lt;0,
MIN(0,N2228-(OFFSET($C2228,0,$A2228)/(OFFSET($C2223,-$A2227,$A2228)))),
MAX(0,N2228-(OFFSET($C2228,0,$A2228)/(OFFSET($C2223,-$A2227,$A2228))))),0))</f>
        <v>0</v>
      </c>
      <c r="P2228" s="1423">
        <f t="shared" ref="P2228:P2239" ca="1" si="3262">IF(O2252="n/a",O2228,IFERROR(IF((OFFSET($C2228,0,$A2228))&lt;0,
MIN(0,O2228-(OFFSET($C2228,0,$A2228)/(OFFSET($C2223,-$A2227,$A2228)))),
MAX(0,O2228-(OFFSET($C2228,0,$A2228)/(OFFSET($C2223,-$A2227,$A2228))))),0))</f>
        <v>0</v>
      </c>
      <c r="Q2228" s="1423">
        <f t="shared" ref="Q2228:Q2240" ca="1" si="3263">IF(P2252="n/a",P2228,IFERROR(IF((OFFSET($C2228,0,$A2228))&lt;0,
MIN(0,P2228-(OFFSET($C2228,0,$A2228)/(OFFSET($C2223,-$A2227,$A2228)))),
MAX(0,P2228-(OFFSET($C2228,0,$A2228)/(OFFSET($C2223,-$A2227,$A2228))))),0))</f>
        <v>0</v>
      </c>
      <c r="R2228" s="1423">
        <f t="shared" ref="R2228:R2241" ca="1" si="3264">IF(Q2252="n/a",Q2228,IFERROR(IF((OFFSET($C2228,0,$A2228))&lt;0,
MIN(0,Q2228-(OFFSET($C2228,0,$A2228)/(OFFSET($C2223,-$A2227,$A2228)))),
MAX(0,Q2228-(OFFSET($C2228,0,$A2228)/(OFFSET($C2223,-$A2227,$A2228))))),0))</f>
        <v>0</v>
      </c>
      <c r="S2228" s="1423">
        <f t="shared" ref="S2228:S2242" ca="1" si="3265">IF(R2252="n/a",R2228,IFERROR(IF((OFFSET($C2228,0,$A2228))&lt;0,
MIN(0,R2228-(OFFSET($C2228,0,$A2228)/(OFFSET($C2223,-$A2227,$A2228)))),
MAX(0,R2228-(OFFSET($C2228,0,$A2228)/(OFFSET($C2223,-$A2227,$A2228))))),0))</f>
        <v>0</v>
      </c>
      <c r="T2228" s="1423">
        <f t="shared" ref="T2228:T2243" ca="1" si="3266">IF(S2252="n/a",S2228,IFERROR(IF((OFFSET($C2228,0,$A2228))&lt;0,
MIN(0,S2228-(OFFSET($C2228,0,$A2228)/(OFFSET($C2223,-$A2227,$A2228)))),
MAX(0,S2228-(OFFSET($C2228,0,$A2228)/(OFFSET($C2223,-$A2227,$A2228))))),0))</f>
        <v>0</v>
      </c>
      <c r="U2228" s="1423">
        <f t="shared" ref="U2228:U2244" ca="1" si="3267">IF(T2252="n/a",T2228,IFERROR(IF((OFFSET($C2228,0,$A2228))&lt;0,
MIN(0,T2228-(OFFSET($C2228,0,$A2228)/(OFFSET($C2223,-$A2227,$A2228)))),
MAX(0,T2228-(OFFSET($C2228,0,$A2228)/(OFFSET($C2223,-$A2227,$A2228))))),0))</f>
        <v>0</v>
      </c>
      <c r="V2228" s="1423">
        <f t="shared" ref="V2228:V2245" ca="1" si="3268">IF(U2252="n/a",U2228,IFERROR(IF((OFFSET($C2228,0,$A2228))&lt;0,
MIN(0,U2228-(OFFSET($C2228,0,$A2228)/(OFFSET($C2223,-$A2227,$A2228)))),
MAX(0,U2228-(OFFSET($C2228,0,$A2228)/(OFFSET($C2223,-$A2227,$A2228))))),0))</f>
        <v>0</v>
      </c>
      <c r="W2228" s="1423">
        <f t="shared" ref="W2228:W2246" ca="1" si="3269">IF(V2252="n/a",V2228,IFERROR(IF((OFFSET($C2228,0,$A2228))&lt;0,
MIN(0,V2228-(OFFSET($C2228,0,$A2228)/(OFFSET($C2223,-$A2227,$A2228)))),
MAX(0,V2228-(OFFSET($C2228,0,$A2228)/(OFFSET($C2223,-$A2227,$A2228))))),0))</f>
        <v>0</v>
      </c>
      <c r="X2228" s="152"/>
      <c r="Y2228" s="152"/>
      <c r="Z2228" s="152"/>
      <c r="AA2228" s="152"/>
      <c r="AB2228" s="152"/>
    </row>
    <row r="2229" spans="1:28" hidden="1" outlineLevel="1">
      <c r="A2229" s="199">
        <f t="shared" ref="A2229:A2248" si="3270">A2228+1</f>
        <v>1</v>
      </c>
      <c r="B2229" s="190" t="str">
        <f t="shared" ref="B2229:B2248" ca="1" si="3271">"Depreciated Net Capex "&amp;OFFSET($C$6,0,A2229)</f>
        <v>Depreciated Net Capex 2016-17</v>
      </c>
      <c r="C2229" s="1424"/>
      <c r="D2229" s="1425">
        <f>D2223</f>
        <v>0</v>
      </c>
      <c r="E2229" s="1423">
        <f ca="1">IF(D2253="n/a",D2229,IFERROR(IF((OFFSET($C2229,0,$A2229))&lt;0,
MIN(0,D2229-(OFFSET($C2229,0,$A2229)/(OFFSET($C2224,-$A2228,$A2229)))),
MAX(0,D2229-(OFFSET($C2229,0,$A2229)/(OFFSET($C2224,-$A2228,$A2229))))),0))</f>
        <v>0</v>
      </c>
      <c r="F2229" s="1423">
        <f t="shared" ca="1" si="3252"/>
        <v>0</v>
      </c>
      <c r="G2229" s="1423">
        <f t="shared" ca="1" si="3253"/>
        <v>0</v>
      </c>
      <c r="H2229" s="1423">
        <f t="shared" ca="1" si="3254"/>
        <v>0</v>
      </c>
      <c r="I2229" s="1423">
        <f t="shared" ca="1" si="3255"/>
        <v>0</v>
      </c>
      <c r="J2229" s="1423">
        <f t="shared" ca="1" si="3256"/>
        <v>0</v>
      </c>
      <c r="K2229" s="1423">
        <f t="shared" ca="1" si="3257"/>
        <v>0</v>
      </c>
      <c r="L2229" s="1423">
        <f t="shared" ca="1" si="3258"/>
        <v>0</v>
      </c>
      <c r="M2229" s="1423">
        <f t="shared" ca="1" si="3259"/>
        <v>0</v>
      </c>
      <c r="N2229" s="1423">
        <f t="shared" ca="1" si="3260"/>
        <v>0</v>
      </c>
      <c r="O2229" s="1423">
        <f t="shared" ca="1" si="3261"/>
        <v>0</v>
      </c>
      <c r="P2229" s="1423">
        <f t="shared" ca="1" si="3262"/>
        <v>0</v>
      </c>
      <c r="Q2229" s="1423">
        <f t="shared" ca="1" si="3263"/>
        <v>0</v>
      </c>
      <c r="R2229" s="1423">
        <f t="shared" ca="1" si="3264"/>
        <v>0</v>
      </c>
      <c r="S2229" s="1423">
        <f t="shared" ca="1" si="3265"/>
        <v>0</v>
      </c>
      <c r="T2229" s="1423">
        <f t="shared" ca="1" si="3266"/>
        <v>0</v>
      </c>
      <c r="U2229" s="1423">
        <f t="shared" ca="1" si="3267"/>
        <v>0</v>
      </c>
      <c r="V2229" s="1423">
        <f t="shared" ca="1" si="3268"/>
        <v>0</v>
      </c>
      <c r="W2229" s="1423">
        <f t="shared" ca="1" si="3269"/>
        <v>0</v>
      </c>
      <c r="X2229" s="152"/>
      <c r="Y2229" s="152"/>
      <c r="Z2229" s="152"/>
      <c r="AA2229" s="152"/>
      <c r="AB2229" s="152"/>
    </row>
    <row r="2230" spans="1:28" hidden="1" outlineLevel="1">
      <c r="A2230" s="199">
        <f t="shared" si="3270"/>
        <v>2</v>
      </c>
      <c r="B2230" s="190" t="str">
        <f t="shared" ca="1" si="3271"/>
        <v>Depreciated Net Capex 2017-18</v>
      </c>
      <c r="C2230" s="1426"/>
      <c r="D2230" s="1427"/>
      <c r="E2230" s="1425">
        <f>E2223</f>
        <v>0</v>
      </c>
      <c r="F2230" s="1423">
        <f ca="1">IF(E2254="n/a",E2230,IFERROR(IF((OFFSET($C2230,0,$A2230))&lt;0,
MIN(0,E2230-(OFFSET($C2230,0,$A2230)/(OFFSET($C2225,-$A2229,$A2230)))),
MAX(0,E2230-(OFFSET($C2230,0,$A2230)/(OFFSET($C2225,-$A2229,$A2230))))),0))</f>
        <v>0</v>
      </c>
      <c r="G2230" s="1423">
        <f t="shared" ca="1" si="3253"/>
        <v>0</v>
      </c>
      <c r="H2230" s="1423">
        <f t="shared" ca="1" si="3254"/>
        <v>0</v>
      </c>
      <c r="I2230" s="1423">
        <f t="shared" ca="1" si="3255"/>
        <v>0</v>
      </c>
      <c r="J2230" s="1423">
        <f t="shared" ca="1" si="3256"/>
        <v>0</v>
      </c>
      <c r="K2230" s="1423">
        <f t="shared" ca="1" si="3257"/>
        <v>0</v>
      </c>
      <c r="L2230" s="1423">
        <f t="shared" ca="1" si="3258"/>
        <v>0</v>
      </c>
      <c r="M2230" s="1423">
        <f t="shared" ca="1" si="3259"/>
        <v>0</v>
      </c>
      <c r="N2230" s="1423">
        <f t="shared" ca="1" si="3260"/>
        <v>0</v>
      </c>
      <c r="O2230" s="1423">
        <f t="shared" ca="1" si="3261"/>
        <v>0</v>
      </c>
      <c r="P2230" s="1423">
        <f t="shared" ca="1" si="3262"/>
        <v>0</v>
      </c>
      <c r="Q2230" s="1423">
        <f t="shared" ca="1" si="3263"/>
        <v>0</v>
      </c>
      <c r="R2230" s="1423">
        <f t="shared" ca="1" si="3264"/>
        <v>0</v>
      </c>
      <c r="S2230" s="1423">
        <f t="shared" ca="1" si="3265"/>
        <v>0</v>
      </c>
      <c r="T2230" s="1423">
        <f t="shared" ca="1" si="3266"/>
        <v>0</v>
      </c>
      <c r="U2230" s="1423">
        <f t="shared" ca="1" si="3267"/>
        <v>0</v>
      </c>
      <c r="V2230" s="1423">
        <f t="shared" ca="1" si="3268"/>
        <v>0</v>
      </c>
      <c r="W2230" s="1423">
        <f t="shared" ca="1" si="3269"/>
        <v>0</v>
      </c>
      <c r="X2230" s="202"/>
      <c r="Y2230" s="152"/>
      <c r="Z2230" s="152"/>
      <c r="AA2230" s="152"/>
      <c r="AB2230" s="152"/>
    </row>
    <row r="2231" spans="1:28" hidden="1" outlineLevel="1">
      <c r="A2231" s="199">
        <f t="shared" si="3270"/>
        <v>3</v>
      </c>
      <c r="B2231" s="190" t="str">
        <f t="shared" ca="1" si="3271"/>
        <v>Depreciated Net Capex 2018-19</v>
      </c>
      <c r="C2231" s="1426"/>
      <c r="D2231" s="1426"/>
      <c r="E2231" s="1427"/>
      <c r="F2231" s="1428">
        <f>F2223</f>
        <v>0</v>
      </c>
      <c r="G2231" s="1423">
        <f ca="1">IF(F2255="n/a",F2231,IFERROR(IF((OFFSET($C2231,0,$A2231))&lt;0,
MIN(0,F2231-(OFFSET($C2231,0,$A2231)/(OFFSET($C2226,-$A2230,$A2231)))),
MAX(0,F2231-(OFFSET($C2231,0,$A2231)/(OFFSET($C2226,-$A2230,$A2231))))),0))</f>
        <v>0</v>
      </c>
      <c r="H2231" s="1423">
        <f t="shared" ca="1" si="3254"/>
        <v>0</v>
      </c>
      <c r="I2231" s="1423">
        <f t="shared" ca="1" si="3255"/>
        <v>0</v>
      </c>
      <c r="J2231" s="1423">
        <f t="shared" ca="1" si="3256"/>
        <v>0</v>
      </c>
      <c r="K2231" s="1423">
        <f t="shared" ca="1" si="3257"/>
        <v>0</v>
      </c>
      <c r="L2231" s="1423">
        <f t="shared" ca="1" si="3258"/>
        <v>0</v>
      </c>
      <c r="M2231" s="1423">
        <f t="shared" ca="1" si="3259"/>
        <v>0</v>
      </c>
      <c r="N2231" s="1423">
        <f t="shared" ca="1" si="3260"/>
        <v>0</v>
      </c>
      <c r="O2231" s="1423">
        <f t="shared" ca="1" si="3261"/>
        <v>0</v>
      </c>
      <c r="P2231" s="1423">
        <f t="shared" ca="1" si="3262"/>
        <v>0</v>
      </c>
      <c r="Q2231" s="1423">
        <f t="shared" ca="1" si="3263"/>
        <v>0</v>
      </c>
      <c r="R2231" s="1423">
        <f t="shared" ca="1" si="3264"/>
        <v>0</v>
      </c>
      <c r="S2231" s="1423">
        <f t="shared" ca="1" si="3265"/>
        <v>0</v>
      </c>
      <c r="T2231" s="1423">
        <f t="shared" ca="1" si="3266"/>
        <v>0</v>
      </c>
      <c r="U2231" s="1423">
        <f t="shared" ca="1" si="3267"/>
        <v>0</v>
      </c>
      <c r="V2231" s="1423">
        <f t="shared" ca="1" si="3268"/>
        <v>0</v>
      </c>
      <c r="W2231" s="1423">
        <f t="shared" ca="1" si="3269"/>
        <v>0</v>
      </c>
      <c r="X2231" s="202"/>
      <c r="Y2231" s="202"/>
      <c r="Z2231" s="152"/>
      <c r="AA2231" s="152"/>
      <c r="AB2231" s="152"/>
    </row>
    <row r="2232" spans="1:28" hidden="1" outlineLevel="1">
      <c r="A2232" s="199">
        <f t="shared" si="3270"/>
        <v>4</v>
      </c>
      <c r="B2232" s="190" t="str">
        <f t="shared" ca="1" si="3271"/>
        <v>Depreciated Net Capex 2019-20</v>
      </c>
      <c r="C2232" s="1426"/>
      <c r="D2232" s="1426"/>
      <c r="E2232" s="1426"/>
      <c r="F2232" s="1427"/>
      <c r="G2232" s="1428">
        <f>G2223</f>
        <v>0</v>
      </c>
      <c r="H2232" s="1423">
        <f ca="1">IF(G2256="n/a",G2232,IFERROR(IF((OFFSET($C2232,0,$A2232))&lt;0,
MIN(0,G2232-(OFFSET($C2232,0,$A2232)/(OFFSET($C2227,-$A2231,$A2232)))),
MAX(0,G2232-(OFFSET($C2232,0,$A2232)/(OFFSET($C2227,-$A2231,$A2232))))),0))</f>
        <v>0</v>
      </c>
      <c r="I2232" s="1423">
        <f t="shared" ca="1" si="3255"/>
        <v>0</v>
      </c>
      <c r="J2232" s="1423">
        <f t="shared" ca="1" si="3256"/>
        <v>0</v>
      </c>
      <c r="K2232" s="1423">
        <f t="shared" ca="1" si="3257"/>
        <v>0</v>
      </c>
      <c r="L2232" s="1423">
        <f t="shared" ca="1" si="3258"/>
        <v>0</v>
      </c>
      <c r="M2232" s="1423">
        <f t="shared" ca="1" si="3259"/>
        <v>0</v>
      </c>
      <c r="N2232" s="1423">
        <f t="shared" ca="1" si="3260"/>
        <v>0</v>
      </c>
      <c r="O2232" s="1423">
        <f t="shared" ca="1" si="3261"/>
        <v>0</v>
      </c>
      <c r="P2232" s="1423">
        <f t="shared" ca="1" si="3262"/>
        <v>0</v>
      </c>
      <c r="Q2232" s="1423">
        <f t="shared" ca="1" si="3263"/>
        <v>0</v>
      </c>
      <c r="R2232" s="1423">
        <f t="shared" ca="1" si="3264"/>
        <v>0</v>
      </c>
      <c r="S2232" s="1423">
        <f t="shared" ca="1" si="3265"/>
        <v>0</v>
      </c>
      <c r="T2232" s="1423">
        <f t="shared" ca="1" si="3266"/>
        <v>0</v>
      </c>
      <c r="U2232" s="1423">
        <f t="shared" ca="1" si="3267"/>
        <v>0</v>
      </c>
      <c r="V2232" s="1423">
        <f t="shared" ca="1" si="3268"/>
        <v>0</v>
      </c>
      <c r="W2232" s="1423">
        <f t="shared" ca="1" si="3269"/>
        <v>0</v>
      </c>
      <c r="X2232" s="202"/>
      <c r="Y2232" s="202"/>
      <c r="Z2232" s="202"/>
      <c r="AA2232" s="152"/>
      <c r="AB2232" s="152"/>
    </row>
    <row r="2233" spans="1:28" hidden="1" outlineLevel="1">
      <c r="A2233" s="199">
        <f t="shared" si="3270"/>
        <v>5</v>
      </c>
      <c r="B2233" s="190" t="str">
        <f t="shared" ca="1" si="3271"/>
        <v>Depreciated Net Capex 2020-21</v>
      </c>
      <c r="C2233" s="1426"/>
      <c r="D2233" s="1426"/>
      <c r="E2233" s="1426"/>
      <c r="F2233" s="1426"/>
      <c r="G2233" s="1427"/>
      <c r="H2233" s="1428">
        <f>H2223</f>
        <v>0</v>
      </c>
      <c r="I2233" s="1423">
        <f ca="1">IF(H2257="n/a",H2233,IFERROR(IF((OFFSET($C2233,0,$A2233))&lt;0,
MIN(0,H2233-(OFFSET($C2233,0,$A2233)/(OFFSET($C2228,-$A2232,$A2233)))),
MAX(0,H2233-(OFFSET($C2233,0,$A2233)/(OFFSET($C2228,-$A2232,$A2233))))),0))</f>
        <v>0</v>
      </c>
      <c r="J2233" s="1423">
        <f t="shared" ca="1" si="3256"/>
        <v>0</v>
      </c>
      <c r="K2233" s="1423">
        <f t="shared" ca="1" si="3257"/>
        <v>0</v>
      </c>
      <c r="L2233" s="1423">
        <f t="shared" ca="1" si="3258"/>
        <v>0</v>
      </c>
      <c r="M2233" s="1423">
        <f t="shared" ca="1" si="3259"/>
        <v>0</v>
      </c>
      <c r="N2233" s="1423">
        <f t="shared" ca="1" si="3260"/>
        <v>0</v>
      </c>
      <c r="O2233" s="1423">
        <f t="shared" ca="1" si="3261"/>
        <v>0</v>
      </c>
      <c r="P2233" s="1423">
        <f t="shared" ca="1" si="3262"/>
        <v>0</v>
      </c>
      <c r="Q2233" s="1423">
        <f t="shared" ca="1" si="3263"/>
        <v>0</v>
      </c>
      <c r="R2233" s="1423">
        <f t="shared" ca="1" si="3264"/>
        <v>0</v>
      </c>
      <c r="S2233" s="1423">
        <f t="shared" ca="1" si="3265"/>
        <v>0</v>
      </c>
      <c r="T2233" s="1423">
        <f t="shared" ca="1" si="3266"/>
        <v>0</v>
      </c>
      <c r="U2233" s="1423">
        <f t="shared" ca="1" si="3267"/>
        <v>0</v>
      </c>
      <c r="V2233" s="1423">
        <f t="shared" ca="1" si="3268"/>
        <v>0</v>
      </c>
      <c r="W2233" s="1423">
        <f t="shared" ca="1" si="3269"/>
        <v>0</v>
      </c>
      <c r="X2233" s="202"/>
      <c r="Y2233" s="202"/>
      <c r="Z2233" s="202"/>
      <c r="AA2233" s="152"/>
      <c r="AB2233" s="152"/>
    </row>
    <row r="2234" spans="1:28" hidden="1" outlineLevel="1">
      <c r="A2234" s="199">
        <f t="shared" si="3270"/>
        <v>6</v>
      </c>
      <c r="B2234" s="190" t="str">
        <f t="shared" ca="1" si="3271"/>
        <v>Depreciated Net Capex 2021-22</v>
      </c>
      <c r="C2234" s="1426"/>
      <c r="D2234" s="1426"/>
      <c r="E2234" s="1426"/>
      <c r="F2234" s="1426"/>
      <c r="G2234" s="1426"/>
      <c r="H2234" s="1427"/>
      <c r="I2234" s="1428">
        <f>I2223</f>
        <v>0</v>
      </c>
      <c r="J2234" s="1423">
        <f ca="1">IF(I2258="n/a",I2234,IFERROR(IF((OFFSET($C2234,0,$A2234))&lt;0,
MIN(0,I2234-(OFFSET($C2234,0,$A2234)/(OFFSET($C2229,-$A2233,$A2234)))),
MAX(0,I2234-(OFFSET($C2234,0,$A2234)/(OFFSET($C2229,-$A2233,$A2234))))),0))</f>
        <v>0</v>
      </c>
      <c r="K2234" s="1423">
        <f t="shared" ca="1" si="3257"/>
        <v>0</v>
      </c>
      <c r="L2234" s="1423">
        <f t="shared" ca="1" si="3258"/>
        <v>0</v>
      </c>
      <c r="M2234" s="1423">
        <f t="shared" ca="1" si="3259"/>
        <v>0</v>
      </c>
      <c r="N2234" s="1423">
        <f t="shared" ca="1" si="3260"/>
        <v>0</v>
      </c>
      <c r="O2234" s="1423">
        <f t="shared" ca="1" si="3261"/>
        <v>0</v>
      </c>
      <c r="P2234" s="1423">
        <f t="shared" ca="1" si="3262"/>
        <v>0</v>
      </c>
      <c r="Q2234" s="1423">
        <f t="shared" ca="1" si="3263"/>
        <v>0</v>
      </c>
      <c r="R2234" s="1423">
        <f t="shared" ca="1" si="3264"/>
        <v>0</v>
      </c>
      <c r="S2234" s="1423">
        <f t="shared" ca="1" si="3265"/>
        <v>0</v>
      </c>
      <c r="T2234" s="1423">
        <f t="shared" ca="1" si="3266"/>
        <v>0</v>
      </c>
      <c r="U2234" s="1423">
        <f t="shared" ca="1" si="3267"/>
        <v>0</v>
      </c>
      <c r="V2234" s="1423">
        <f t="shared" ca="1" si="3268"/>
        <v>0</v>
      </c>
      <c r="W2234" s="1423">
        <f t="shared" ca="1" si="3269"/>
        <v>0</v>
      </c>
      <c r="X2234" s="202"/>
      <c r="Y2234" s="202"/>
      <c r="Z2234" s="202"/>
      <c r="AA2234" s="152"/>
      <c r="AB2234" s="152"/>
    </row>
    <row r="2235" spans="1:28" hidden="1" outlineLevel="1">
      <c r="A2235" s="199">
        <f t="shared" si="3270"/>
        <v>7</v>
      </c>
      <c r="B2235" s="190" t="str">
        <f t="shared" ca="1" si="3271"/>
        <v>Depreciated Net Capex 2022-23</v>
      </c>
      <c r="C2235" s="1426"/>
      <c r="D2235" s="1426"/>
      <c r="E2235" s="1426"/>
      <c r="F2235" s="1426"/>
      <c r="G2235" s="1426"/>
      <c r="H2235" s="1426"/>
      <c r="I2235" s="1427"/>
      <c r="J2235" s="1428">
        <f>J2223</f>
        <v>0</v>
      </c>
      <c r="K2235" s="1423">
        <f ca="1">IF(J2259="n/a",J2235,IFERROR(IF((OFFSET($C2235,0,$A2235))&lt;0,
MIN(0,J2235-(OFFSET($C2235,0,$A2235)/(OFFSET($C2230,-$A2234,$A2235)))),
MAX(0,J2235-(OFFSET($C2235,0,$A2235)/(OFFSET($C2230,-$A2234,$A2235))))),0))</f>
        <v>0</v>
      </c>
      <c r="L2235" s="1423">
        <f t="shared" ca="1" si="3258"/>
        <v>0</v>
      </c>
      <c r="M2235" s="1423">
        <f t="shared" ca="1" si="3259"/>
        <v>0</v>
      </c>
      <c r="N2235" s="1423">
        <f t="shared" ca="1" si="3260"/>
        <v>0</v>
      </c>
      <c r="O2235" s="1423">
        <f t="shared" ca="1" si="3261"/>
        <v>0</v>
      </c>
      <c r="P2235" s="1423">
        <f t="shared" ca="1" si="3262"/>
        <v>0</v>
      </c>
      <c r="Q2235" s="1423">
        <f t="shared" ca="1" si="3263"/>
        <v>0</v>
      </c>
      <c r="R2235" s="1423">
        <f t="shared" ca="1" si="3264"/>
        <v>0</v>
      </c>
      <c r="S2235" s="1423">
        <f t="shared" ca="1" si="3265"/>
        <v>0</v>
      </c>
      <c r="T2235" s="1423">
        <f t="shared" ca="1" si="3266"/>
        <v>0</v>
      </c>
      <c r="U2235" s="1423">
        <f t="shared" ca="1" si="3267"/>
        <v>0</v>
      </c>
      <c r="V2235" s="1423">
        <f t="shared" ca="1" si="3268"/>
        <v>0</v>
      </c>
      <c r="W2235" s="1423">
        <f t="shared" ca="1" si="3269"/>
        <v>0</v>
      </c>
      <c r="X2235" s="202"/>
      <c r="Y2235" s="202"/>
      <c r="Z2235" s="202"/>
      <c r="AA2235" s="152"/>
      <c r="AB2235" s="152"/>
    </row>
    <row r="2236" spans="1:28" hidden="1" outlineLevel="1">
      <c r="A2236" s="199">
        <f t="shared" si="3270"/>
        <v>8</v>
      </c>
      <c r="B2236" s="190" t="str">
        <f t="shared" ca="1" si="3271"/>
        <v>Depreciated Net Capex 2023-24</v>
      </c>
      <c r="C2236" s="1426"/>
      <c r="D2236" s="1426"/>
      <c r="E2236" s="1426"/>
      <c r="F2236" s="1426"/>
      <c r="G2236" s="1426"/>
      <c r="H2236" s="1426"/>
      <c r="I2236" s="1426"/>
      <c r="J2236" s="1427"/>
      <c r="K2236" s="1428">
        <f>K2223</f>
        <v>0</v>
      </c>
      <c r="L2236" s="1423">
        <f ca="1">IF(K2260="n/a",K2236,IFERROR(IF((OFFSET($C2236,0,$A2236))&lt;0,
MIN(0,K2236-(OFFSET($C2236,0,$A2236)/(OFFSET($C2231,-$A2235,$A2236)))),
MAX(0,K2236-(OFFSET($C2236,0,$A2236)/(OFFSET($C2231,-$A2235,$A2236))))),0))</f>
        <v>0</v>
      </c>
      <c r="M2236" s="1423">
        <f t="shared" ca="1" si="3259"/>
        <v>0</v>
      </c>
      <c r="N2236" s="1423">
        <f t="shared" ca="1" si="3260"/>
        <v>0</v>
      </c>
      <c r="O2236" s="1423">
        <f t="shared" ca="1" si="3261"/>
        <v>0</v>
      </c>
      <c r="P2236" s="1423">
        <f t="shared" ca="1" si="3262"/>
        <v>0</v>
      </c>
      <c r="Q2236" s="1423">
        <f t="shared" ca="1" si="3263"/>
        <v>0</v>
      </c>
      <c r="R2236" s="1423">
        <f t="shared" ca="1" si="3264"/>
        <v>0</v>
      </c>
      <c r="S2236" s="1423">
        <f t="shared" ca="1" si="3265"/>
        <v>0</v>
      </c>
      <c r="T2236" s="1423">
        <f t="shared" ca="1" si="3266"/>
        <v>0</v>
      </c>
      <c r="U2236" s="1423">
        <f t="shared" ca="1" si="3267"/>
        <v>0</v>
      </c>
      <c r="V2236" s="1423">
        <f t="shared" ca="1" si="3268"/>
        <v>0</v>
      </c>
      <c r="W2236" s="1423">
        <f t="shared" ca="1" si="3269"/>
        <v>0</v>
      </c>
      <c r="X2236" s="202"/>
      <c r="Y2236" s="202"/>
      <c r="Z2236" s="202"/>
      <c r="AA2236" s="152"/>
      <c r="AB2236" s="152"/>
    </row>
    <row r="2237" spans="1:28" hidden="1" outlineLevel="1">
      <c r="A2237" s="199">
        <f t="shared" si="3270"/>
        <v>9</v>
      </c>
      <c r="B2237" s="190" t="str">
        <f t="shared" ca="1" si="3271"/>
        <v>Depreciated Net Capex 2024-25</v>
      </c>
      <c r="C2237" s="1426"/>
      <c r="D2237" s="1426"/>
      <c r="E2237" s="1426"/>
      <c r="F2237" s="1426"/>
      <c r="G2237" s="1426"/>
      <c r="H2237" s="1426"/>
      <c r="I2237" s="1426"/>
      <c r="J2237" s="1426"/>
      <c r="K2237" s="1427"/>
      <c r="L2237" s="1428">
        <f>L2223</f>
        <v>0</v>
      </c>
      <c r="M2237" s="1423">
        <f ca="1">IF(L2261="n/a",L2237,IFERROR(IF((OFFSET($C2237,0,$A2237))&lt;0,
MIN(0,L2237-(OFFSET($C2237,0,$A2237)/(OFFSET($C2232,-$A2236,$A2237)))),
MAX(0,L2237-(OFFSET($C2237,0,$A2237)/(OFFSET($C2232,-$A2236,$A2237))))),0))</f>
        <v>0</v>
      </c>
      <c r="N2237" s="1423">
        <f t="shared" ca="1" si="3260"/>
        <v>0</v>
      </c>
      <c r="O2237" s="1423">
        <f t="shared" ca="1" si="3261"/>
        <v>0</v>
      </c>
      <c r="P2237" s="1423">
        <f t="shared" ca="1" si="3262"/>
        <v>0</v>
      </c>
      <c r="Q2237" s="1423">
        <f t="shared" ca="1" si="3263"/>
        <v>0</v>
      </c>
      <c r="R2237" s="1423">
        <f t="shared" ca="1" si="3264"/>
        <v>0</v>
      </c>
      <c r="S2237" s="1423">
        <f t="shared" ca="1" si="3265"/>
        <v>0</v>
      </c>
      <c r="T2237" s="1423">
        <f t="shared" ca="1" si="3266"/>
        <v>0</v>
      </c>
      <c r="U2237" s="1423">
        <f t="shared" ca="1" si="3267"/>
        <v>0</v>
      </c>
      <c r="V2237" s="1423">
        <f t="shared" ca="1" si="3268"/>
        <v>0</v>
      </c>
      <c r="W2237" s="1423">
        <f t="shared" ca="1" si="3269"/>
        <v>0</v>
      </c>
      <c r="X2237" s="202"/>
      <c r="Y2237" s="202"/>
      <c r="Z2237" s="202"/>
      <c r="AA2237" s="152"/>
      <c r="AB2237" s="152"/>
    </row>
    <row r="2238" spans="1:28" hidden="1" outlineLevel="1">
      <c r="A2238" s="199">
        <f t="shared" si="3270"/>
        <v>10</v>
      </c>
      <c r="B2238" s="190" t="str">
        <f t="shared" ca="1" si="3271"/>
        <v>Depreciated Net Capex 2025-26</v>
      </c>
      <c r="C2238" s="1426"/>
      <c r="D2238" s="1426"/>
      <c r="E2238" s="1426"/>
      <c r="F2238" s="1426"/>
      <c r="G2238" s="1426"/>
      <c r="H2238" s="1426"/>
      <c r="I2238" s="1426"/>
      <c r="J2238" s="1426"/>
      <c r="K2238" s="1426"/>
      <c r="L2238" s="1427"/>
      <c r="M2238" s="1428">
        <f>M2223</f>
        <v>0</v>
      </c>
      <c r="N2238" s="1423">
        <f ca="1">IF(M2262="n/a",M2238,IFERROR(IF((OFFSET($C2238,0,$A2238))&lt;0,
MIN(0,M2238-(OFFSET($C2238,0,$A2238)/(OFFSET($C2233,-$A2237,$A2238)))),
MAX(0,M2238-(OFFSET($C2238,0,$A2238)/(OFFSET($C2233,-$A2237,$A2238))))),0))</f>
        <v>0</v>
      </c>
      <c r="O2238" s="1423">
        <f t="shared" ca="1" si="3261"/>
        <v>0</v>
      </c>
      <c r="P2238" s="1423">
        <f t="shared" ca="1" si="3262"/>
        <v>0</v>
      </c>
      <c r="Q2238" s="1423">
        <f t="shared" ca="1" si="3263"/>
        <v>0</v>
      </c>
      <c r="R2238" s="1423">
        <f t="shared" ca="1" si="3264"/>
        <v>0</v>
      </c>
      <c r="S2238" s="1423">
        <f t="shared" ca="1" si="3265"/>
        <v>0</v>
      </c>
      <c r="T2238" s="1423">
        <f t="shared" ca="1" si="3266"/>
        <v>0</v>
      </c>
      <c r="U2238" s="1423">
        <f t="shared" ca="1" si="3267"/>
        <v>0</v>
      </c>
      <c r="V2238" s="1423">
        <f t="shared" ca="1" si="3268"/>
        <v>0</v>
      </c>
      <c r="W2238" s="1423">
        <f t="shared" ca="1" si="3269"/>
        <v>0</v>
      </c>
      <c r="X2238" s="202"/>
      <c r="Y2238" s="202"/>
      <c r="Z2238" s="202"/>
      <c r="AA2238" s="152"/>
      <c r="AB2238" s="152"/>
    </row>
    <row r="2239" spans="1:28" hidden="1" outlineLevel="1">
      <c r="A2239" s="199">
        <f t="shared" si="3270"/>
        <v>11</v>
      </c>
      <c r="B2239" s="190" t="str">
        <f t="shared" ca="1" si="3271"/>
        <v>Depreciated Net Capex 2026-27</v>
      </c>
      <c r="C2239" s="1426"/>
      <c r="D2239" s="1426"/>
      <c r="E2239" s="1426"/>
      <c r="F2239" s="1426"/>
      <c r="G2239" s="1426"/>
      <c r="H2239" s="1426"/>
      <c r="I2239" s="1426"/>
      <c r="J2239" s="1426"/>
      <c r="K2239" s="1426"/>
      <c r="L2239" s="1426"/>
      <c r="M2239" s="1427"/>
      <c r="N2239" s="1428">
        <f>N2223</f>
        <v>0</v>
      </c>
      <c r="O2239" s="1423">
        <f ca="1">IF(N2263="n/a",N2239,IFERROR(IF((OFFSET($C2239,0,$A2239))&lt;0,
MIN(0,N2239-(OFFSET($C2239,0,$A2239)/(OFFSET($C2234,-$A2238,$A2239)))),
MAX(0,N2239-(OFFSET($C2239,0,$A2239)/(OFFSET($C2234,-$A2238,$A2239))))),0))</f>
        <v>0</v>
      </c>
      <c r="P2239" s="1423">
        <f t="shared" ca="1" si="3262"/>
        <v>0</v>
      </c>
      <c r="Q2239" s="1423">
        <f t="shared" ca="1" si="3263"/>
        <v>0</v>
      </c>
      <c r="R2239" s="1423">
        <f t="shared" ca="1" si="3264"/>
        <v>0</v>
      </c>
      <c r="S2239" s="1423">
        <f t="shared" ca="1" si="3265"/>
        <v>0</v>
      </c>
      <c r="T2239" s="1423">
        <f t="shared" ca="1" si="3266"/>
        <v>0</v>
      </c>
      <c r="U2239" s="1423">
        <f t="shared" ca="1" si="3267"/>
        <v>0</v>
      </c>
      <c r="V2239" s="1423">
        <f t="shared" ca="1" si="3268"/>
        <v>0</v>
      </c>
      <c r="W2239" s="1423">
        <f t="shared" ca="1" si="3269"/>
        <v>0</v>
      </c>
      <c r="X2239" s="202"/>
      <c r="Y2239" s="202"/>
      <c r="Z2239" s="202"/>
      <c r="AA2239" s="152"/>
      <c r="AB2239" s="152"/>
    </row>
    <row r="2240" spans="1:28" hidden="1" outlineLevel="1">
      <c r="A2240" s="199">
        <f t="shared" si="3270"/>
        <v>12</v>
      </c>
      <c r="B2240" s="190" t="str">
        <f t="shared" ca="1" si="3271"/>
        <v>Depreciated Net Capex 2027-28</v>
      </c>
      <c r="C2240" s="1426"/>
      <c r="D2240" s="1426"/>
      <c r="E2240" s="1426"/>
      <c r="F2240" s="1426"/>
      <c r="G2240" s="1426"/>
      <c r="H2240" s="1426"/>
      <c r="I2240" s="1426"/>
      <c r="J2240" s="1426"/>
      <c r="K2240" s="1426"/>
      <c r="L2240" s="1426"/>
      <c r="M2240" s="1426"/>
      <c r="N2240" s="1427"/>
      <c r="O2240" s="1428">
        <f>O2223</f>
        <v>0</v>
      </c>
      <c r="P2240" s="1423">
        <f ca="1">IF(O2264="n/a",O2240,IFERROR(IF((OFFSET($C2240,0,$A2240))&lt;0,
MIN(0,O2240-(OFFSET($C2240,0,$A2240)/(OFFSET($C2235,-$A2239,$A2240)))),
MAX(0,O2240-(OFFSET($C2240,0,$A2240)/(OFFSET($C2235,-$A2239,$A2240))))),0))</f>
        <v>0</v>
      </c>
      <c r="Q2240" s="1423">
        <f t="shared" ca="1" si="3263"/>
        <v>0</v>
      </c>
      <c r="R2240" s="1423">
        <f t="shared" ca="1" si="3264"/>
        <v>0</v>
      </c>
      <c r="S2240" s="1423">
        <f t="shared" ca="1" si="3265"/>
        <v>0</v>
      </c>
      <c r="T2240" s="1423">
        <f t="shared" ca="1" si="3266"/>
        <v>0</v>
      </c>
      <c r="U2240" s="1423">
        <f t="shared" ca="1" si="3267"/>
        <v>0</v>
      </c>
      <c r="V2240" s="1423">
        <f t="shared" ca="1" si="3268"/>
        <v>0</v>
      </c>
      <c r="W2240" s="1423">
        <f t="shared" ca="1" si="3269"/>
        <v>0</v>
      </c>
      <c r="X2240" s="202"/>
      <c r="Y2240" s="202"/>
      <c r="Z2240" s="202"/>
      <c r="AA2240" s="152"/>
      <c r="AB2240" s="152"/>
    </row>
    <row r="2241" spans="1:28" hidden="1" outlineLevel="1">
      <c r="A2241" s="199">
        <f t="shared" si="3270"/>
        <v>13</v>
      </c>
      <c r="B2241" s="190" t="str">
        <f t="shared" ca="1" si="3271"/>
        <v>Depreciated Net Capex 2028-29</v>
      </c>
      <c r="C2241" s="1426"/>
      <c r="D2241" s="1426"/>
      <c r="E2241" s="1426"/>
      <c r="F2241" s="1426"/>
      <c r="G2241" s="1426"/>
      <c r="H2241" s="1426"/>
      <c r="I2241" s="1426"/>
      <c r="J2241" s="1426"/>
      <c r="K2241" s="1426"/>
      <c r="L2241" s="1426"/>
      <c r="M2241" s="1426"/>
      <c r="N2241" s="1426"/>
      <c r="O2241" s="1427"/>
      <c r="P2241" s="1428">
        <f>P2223</f>
        <v>0</v>
      </c>
      <c r="Q2241" s="1423">
        <f ca="1">IF(P2265="n/a",P2241,IFERROR(IF((OFFSET($C2241,0,$A2241))&lt;0,
MIN(0,P2241-(OFFSET($C2241,0,$A2241)/(OFFSET($C2236,-$A2240,$A2241)))),
MAX(0,P2241-(OFFSET($C2241,0,$A2241)/(OFFSET($C2236,-$A2240,$A2241))))),0))</f>
        <v>0</v>
      </c>
      <c r="R2241" s="1423">
        <f t="shared" ca="1" si="3264"/>
        <v>0</v>
      </c>
      <c r="S2241" s="1423">
        <f t="shared" ca="1" si="3265"/>
        <v>0</v>
      </c>
      <c r="T2241" s="1423">
        <f t="shared" ca="1" si="3266"/>
        <v>0</v>
      </c>
      <c r="U2241" s="1423">
        <f t="shared" ca="1" si="3267"/>
        <v>0</v>
      </c>
      <c r="V2241" s="1423">
        <f t="shared" ca="1" si="3268"/>
        <v>0</v>
      </c>
      <c r="W2241" s="1423">
        <f t="shared" ca="1" si="3269"/>
        <v>0</v>
      </c>
      <c r="X2241" s="202"/>
      <c r="Y2241" s="202"/>
      <c r="Z2241" s="202"/>
      <c r="AA2241" s="152"/>
      <c r="AB2241" s="152"/>
    </row>
    <row r="2242" spans="1:28" hidden="1" outlineLevel="1">
      <c r="A2242" s="199">
        <f t="shared" si="3270"/>
        <v>14</v>
      </c>
      <c r="B2242" s="190" t="str">
        <f t="shared" ca="1" si="3271"/>
        <v>Depreciated Net Capex 2029-30</v>
      </c>
      <c r="C2242" s="1426"/>
      <c r="D2242" s="1426"/>
      <c r="E2242" s="1426"/>
      <c r="F2242" s="1426"/>
      <c r="G2242" s="1426"/>
      <c r="H2242" s="1426"/>
      <c r="I2242" s="1426"/>
      <c r="J2242" s="1426"/>
      <c r="K2242" s="1426"/>
      <c r="L2242" s="1426"/>
      <c r="M2242" s="1426"/>
      <c r="N2242" s="1426"/>
      <c r="O2242" s="1426"/>
      <c r="P2242" s="1427"/>
      <c r="Q2242" s="1428">
        <f>Q2223</f>
        <v>0</v>
      </c>
      <c r="R2242" s="1423">
        <f ca="1">IF(Q2266="n/a",Q2242,IFERROR(IF((OFFSET($C2242,0,$A2242))&lt;0,
MIN(0,Q2242-(OFFSET($C2242,0,$A2242)/(OFFSET($C2237,-$A2241,$A2242)))),
MAX(0,Q2242-(OFFSET($C2242,0,$A2242)/(OFFSET($C2237,-$A2241,$A2242))))),0))</f>
        <v>0</v>
      </c>
      <c r="S2242" s="1423">
        <f t="shared" ca="1" si="3265"/>
        <v>0</v>
      </c>
      <c r="T2242" s="1423">
        <f t="shared" ca="1" si="3266"/>
        <v>0</v>
      </c>
      <c r="U2242" s="1423">
        <f t="shared" ca="1" si="3267"/>
        <v>0</v>
      </c>
      <c r="V2242" s="1423">
        <f t="shared" ca="1" si="3268"/>
        <v>0</v>
      </c>
      <c r="W2242" s="1423">
        <f t="shared" ca="1" si="3269"/>
        <v>0</v>
      </c>
      <c r="X2242" s="202"/>
      <c r="Y2242" s="202"/>
      <c r="Z2242" s="202"/>
      <c r="AA2242" s="152"/>
      <c r="AB2242" s="152"/>
    </row>
    <row r="2243" spans="1:28" hidden="1" outlineLevel="1">
      <c r="A2243" s="199">
        <f t="shared" si="3270"/>
        <v>15</v>
      </c>
      <c r="B2243" s="190" t="str">
        <f t="shared" ca="1" si="3271"/>
        <v>Depreciated Net Capex 2030-31</v>
      </c>
      <c r="C2243" s="1426"/>
      <c r="D2243" s="1426"/>
      <c r="E2243" s="1426"/>
      <c r="F2243" s="1426"/>
      <c r="G2243" s="1426"/>
      <c r="H2243" s="1426"/>
      <c r="I2243" s="1426"/>
      <c r="J2243" s="1426"/>
      <c r="K2243" s="1426"/>
      <c r="L2243" s="1426"/>
      <c r="M2243" s="1426"/>
      <c r="N2243" s="1426"/>
      <c r="O2243" s="1426"/>
      <c r="P2243" s="1426"/>
      <c r="Q2243" s="1427"/>
      <c r="R2243" s="1428">
        <f>R2223</f>
        <v>0</v>
      </c>
      <c r="S2243" s="1423">
        <f ca="1">IF(R2267="n/a",R2243,IFERROR(IF((OFFSET($C2243,0,$A2243))&lt;0,
MIN(0,R2243-(OFFSET($C2243,0,$A2243)/(OFFSET($C2238,-$A2242,$A2243)))),
MAX(0,R2243-(OFFSET($C2243,0,$A2243)/(OFFSET($C2238,-$A2242,$A2243))))),0))</f>
        <v>0</v>
      </c>
      <c r="T2243" s="1423">
        <f t="shared" ca="1" si="3266"/>
        <v>0</v>
      </c>
      <c r="U2243" s="1423">
        <f t="shared" ca="1" si="3267"/>
        <v>0</v>
      </c>
      <c r="V2243" s="1423">
        <f t="shared" ca="1" si="3268"/>
        <v>0</v>
      </c>
      <c r="W2243" s="1423">
        <f t="shared" ca="1" si="3269"/>
        <v>0</v>
      </c>
      <c r="X2243" s="202"/>
      <c r="Y2243" s="202"/>
      <c r="Z2243" s="202"/>
      <c r="AA2243" s="152"/>
      <c r="AB2243" s="152"/>
    </row>
    <row r="2244" spans="1:28" hidden="1" outlineLevel="1">
      <c r="A2244" s="199">
        <f t="shared" si="3270"/>
        <v>16</v>
      </c>
      <c r="B2244" s="190" t="str">
        <f t="shared" ca="1" si="3271"/>
        <v>Depreciated Net Capex 2031-32</v>
      </c>
      <c r="C2244" s="1426"/>
      <c r="D2244" s="1426"/>
      <c r="E2244" s="1426"/>
      <c r="F2244" s="1426"/>
      <c r="G2244" s="1426"/>
      <c r="H2244" s="1426"/>
      <c r="I2244" s="1426"/>
      <c r="J2244" s="1426"/>
      <c r="K2244" s="1426"/>
      <c r="L2244" s="1426"/>
      <c r="M2244" s="1426"/>
      <c r="N2244" s="1426"/>
      <c r="O2244" s="1426"/>
      <c r="P2244" s="1426"/>
      <c r="Q2244" s="1426"/>
      <c r="R2244" s="1427"/>
      <c r="S2244" s="1428">
        <f>S2223</f>
        <v>0</v>
      </c>
      <c r="T2244" s="1423">
        <f ca="1">IF(S2268="n/a",S2244,IFERROR(IF((OFFSET($C2244,0,$A2244))&lt;0,
MIN(0,S2244-(OFFSET($C2244,0,$A2244)/(OFFSET($C2239,-$A2243,$A2244)))),
MAX(0,S2244-(OFFSET($C2244,0,$A2244)/(OFFSET($C2239,-$A2243,$A2244))))),0))</f>
        <v>0</v>
      </c>
      <c r="U2244" s="1423">
        <f t="shared" ca="1" si="3267"/>
        <v>0</v>
      </c>
      <c r="V2244" s="1423">
        <f t="shared" ca="1" si="3268"/>
        <v>0</v>
      </c>
      <c r="W2244" s="1423">
        <f t="shared" ca="1" si="3269"/>
        <v>0</v>
      </c>
      <c r="X2244" s="202"/>
      <c r="Y2244" s="202"/>
      <c r="Z2244" s="202"/>
      <c r="AA2244" s="152"/>
      <c r="AB2244" s="152"/>
    </row>
    <row r="2245" spans="1:28" hidden="1" outlineLevel="1">
      <c r="A2245" s="199">
        <f t="shared" si="3270"/>
        <v>17</v>
      </c>
      <c r="B2245" s="190" t="str">
        <f t="shared" ca="1" si="3271"/>
        <v>Depreciated Net Capex 2032-33</v>
      </c>
      <c r="C2245" s="1426"/>
      <c r="D2245" s="1426"/>
      <c r="E2245" s="1426"/>
      <c r="F2245" s="1426"/>
      <c r="G2245" s="1426"/>
      <c r="H2245" s="1426"/>
      <c r="I2245" s="1426"/>
      <c r="J2245" s="1426"/>
      <c r="K2245" s="1426"/>
      <c r="L2245" s="1426"/>
      <c r="M2245" s="1426"/>
      <c r="N2245" s="1426"/>
      <c r="O2245" s="1426"/>
      <c r="P2245" s="1426"/>
      <c r="Q2245" s="1426"/>
      <c r="R2245" s="1426"/>
      <c r="S2245" s="1427"/>
      <c r="T2245" s="1428">
        <f>T2223</f>
        <v>0</v>
      </c>
      <c r="U2245" s="1423">
        <f ca="1">IF(T2269="n/a",T2245,IFERROR(IF((OFFSET($C2245,0,$A2245))&lt;0,
MIN(0,T2245-(OFFSET($C2245,0,$A2245)/(OFFSET($C2240,-$A2244,$A2245)))),
MAX(0,T2245-(OFFSET($C2245,0,$A2245)/(OFFSET($C2240,-$A2244,$A2245))))),0))</f>
        <v>0</v>
      </c>
      <c r="V2245" s="1423">
        <f t="shared" ca="1" si="3268"/>
        <v>0</v>
      </c>
      <c r="W2245" s="1423">
        <f t="shared" ca="1" si="3269"/>
        <v>0</v>
      </c>
      <c r="X2245" s="202"/>
      <c r="Y2245" s="202"/>
      <c r="Z2245" s="202"/>
      <c r="AA2245" s="152"/>
      <c r="AB2245" s="152"/>
    </row>
    <row r="2246" spans="1:28" hidden="1" outlineLevel="1">
      <c r="A2246" s="199">
        <f t="shared" si="3270"/>
        <v>18</v>
      </c>
      <c r="B2246" s="190" t="str">
        <f t="shared" ca="1" si="3271"/>
        <v>Depreciated Net Capex 2033-34</v>
      </c>
      <c r="C2246" s="1426"/>
      <c r="D2246" s="1426"/>
      <c r="E2246" s="1426"/>
      <c r="F2246" s="1426"/>
      <c r="G2246" s="1426"/>
      <c r="H2246" s="1426"/>
      <c r="I2246" s="1426"/>
      <c r="J2246" s="1426"/>
      <c r="K2246" s="1426"/>
      <c r="L2246" s="1426"/>
      <c r="M2246" s="1426"/>
      <c r="N2246" s="1426"/>
      <c r="O2246" s="1426"/>
      <c r="P2246" s="1426"/>
      <c r="Q2246" s="1426"/>
      <c r="R2246" s="1426"/>
      <c r="S2246" s="1426"/>
      <c r="T2246" s="1427"/>
      <c r="U2246" s="1428">
        <f>U2223</f>
        <v>0</v>
      </c>
      <c r="V2246" s="1423">
        <f ca="1">IF(U2270="n/a",U2246,IFERROR(IF((OFFSET($C2246,0,$A2246))&lt;0,
MIN(0,U2246-(OFFSET($C2246,0,$A2246)/(OFFSET($C2241,-$A2245,$A2246)))),
MAX(0,U2246-(OFFSET($C2246,0,$A2246)/(OFFSET($C2241,-$A2245,$A2246))))),0))</f>
        <v>0</v>
      </c>
      <c r="W2246" s="1423">
        <f t="shared" ca="1" si="3269"/>
        <v>0</v>
      </c>
      <c r="X2246" s="202"/>
      <c r="Y2246" s="202"/>
      <c r="Z2246" s="202"/>
      <c r="AA2246" s="152"/>
      <c r="AB2246" s="152"/>
    </row>
    <row r="2247" spans="1:28" hidden="1" outlineLevel="1">
      <c r="A2247" s="199">
        <f t="shared" si="3270"/>
        <v>19</v>
      </c>
      <c r="B2247" s="190" t="str">
        <f t="shared" ca="1" si="3271"/>
        <v>Depreciated Net Capex 2034-35</v>
      </c>
      <c r="C2247" s="1426"/>
      <c r="D2247" s="1426"/>
      <c r="E2247" s="1426"/>
      <c r="F2247" s="1426"/>
      <c r="G2247" s="1426"/>
      <c r="H2247" s="1426"/>
      <c r="I2247" s="1426"/>
      <c r="J2247" s="1426"/>
      <c r="K2247" s="1426"/>
      <c r="L2247" s="1426"/>
      <c r="M2247" s="1426"/>
      <c r="N2247" s="1426"/>
      <c r="O2247" s="1426"/>
      <c r="P2247" s="1426"/>
      <c r="Q2247" s="1426"/>
      <c r="R2247" s="1426"/>
      <c r="S2247" s="1426"/>
      <c r="T2247" s="1426"/>
      <c r="U2247" s="1427"/>
      <c r="V2247" s="1428">
        <f>V2223</f>
        <v>0</v>
      </c>
      <c r="W2247" s="1423">
        <f ca="1">IF(V2271="n/a",V2247,IFERROR(IF((OFFSET($C2247,0,$A2247))&lt;0,
MIN(0,V2247-(OFFSET($C2247,0,$A2247)/(OFFSET($C2242,-$A2246,$A2247)))),
MAX(0,V2247-(OFFSET($C2247,0,$A2247)/(OFFSET($C2242,-$A2246,$A2247))))),0))</f>
        <v>0</v>
      </c>
      <c r="X2247" s="202"/>
      <c r="Y2247" s="202"/>
      <c r="Z2247" s="202"/>
      <c r="AA2247" s="152"/>
      <c r="AB2247" s="152"/>
    </row>
    <row r="2248" spans="1:28" hidden="1" outlineLevel="1">
      <c r="A2248" s="199">
        <f t="shared" si="3270"/>
        <v>20</v>
      </c>
      <c r="B2248" s="190" t="str">
        <f t="shared" ca="1" si="3271"/>
        <v>Depreciated Net Capex 2035-36</v>
      </c>
      <c r="C2248" s="1426"/>
      <c r="D2248" s="1426"/>
      <c r="E2248" s="1426"/>
      <c r="F2248" s="1426"/>
      <c r="G2248" s="1426"/>
      <c r="H2248" s="1426"/>
      <c r="I2248" s="1426"/>
      <c r="J2248" s="1426"/>
      <c r="K2248" s="1426"/>
      <c r="L2248" s="1426"/>
      <c r="M2248" s="1426"/>
      <c r="N2248" s="1426"/>
      <c r="O2248" s="1426"/>
      <c r="P2248" s="1426"/>
      <c r="Q2248" s="1426"/>
      <c r="R2248" s="1426"/>
      <c r="S2248" s="1426"/>
      <c r="T2248" s="1426"/>
      <c r="U2248" s="1426"/>
      <c r="V2248" s="1427"/>
      <c r="W2248" s="1423">
        <f>W2223</f>
        <v>0</v>
      </c>
      <c r="X2248" s="152"/>
      <c r="Y2248" s="152"/>
      <c r="Z2248" s="152"/>
      <c r="AA2248" s="152"/>
      <c r="AB2248" s="152"/>
    </row>
    <row r="2249" spans="1:28" hidden="1" outlineLevel="1">
      <c r="A2249" s="152"/>
      <c r="B2249" s="200"/>
      <c r="C2249" s="1423"/>
      <c r="D2249" s="1423"/>
      <c r="E2249" s="1423"/>
      <c r="F2249" s="1423"/>
      <c r="G2249" s="1423"/>
      <c r="H2249" s="1423"/>
      <c r="I2249" s="1423"/>
      <c r="J2249" s="1423"/>
      <c r="K2249" s="1423"/>
      <c r="L2249" s="1423"/>
      <c r="M2249" s="1423"/>
      <c r="N2249" s="1423"/>
      <c r="O2249" s="1423"/>
      <c r="P2249" s="1423"/>
      <c r="Q2249" s="1423"/>
      <c r="R2249" s="1423"/>
      <c r="S2249" s="1423"/>
      <c r="T2249" s="1423"/>
      <c r="U2249" s="1423"/>
      <c r="V2249" s="1423"/>
      <c r="W2249" s="1423"/>
      <c r="X2249" s="152"/>
      <c r="Y2249" s="152"/>
      <c r="Z2249" s="152"/>
      <c r="AA2249" s="152"/>
      <c r="AB2249" s="152"/>
    </row>
    <row r="2250" spans="1:28" hidden="1" outlineLevel="1">
      <c r="A2250" s="152"/>
      <c r="B2250" s="200"/>
      <c r="C2250" s="1423"/>
      <c r="D2250" s="1423"/>
      <c r="E2250" s="1423"/>
      <c r="F2250" s="1423"/>
      <c r="G2250" s="1423"/>
      <c r="H2250" s="1423"/>
      <c r="I2250" s="1423"/>
      <c r="J2250" s="1423"/>
      <c r="K2250" s="1423"/>
      <c r="L2250" s="1423"/>
      <c r="M2250" s="1423"/>
      <c r="N2250" s="1423"/>
      <c r="O2250" s="1423"/>
      <c r="P2250" s="1423"/>
      <c r="Q2250" s="1423"/>
      <c r="R2250" s="1423"/>
      <c r="S2250" s="1423"/>
      <c r="T2250" s="1423"/>
      <c r="U2250" s="1423"/>
      <c r="V2250" s="1423"/>
      <c r="W2250" s="1423"/>
      <c r="X2250" s="152"/>
      <c r="Y2250" s="152"/>
      <c r="Z2250" s="152"/>
      <c r="AA2250" s="152"/>
      <c r="AB2250" s="152"/>
    </row>
    <row r="2251" spans="1:28" hidden="1" outlineLevel="1">
      <c r="A2251" s="152"/>
      <c r="B2251" s="190" t="s">
        <v>194</v>
      </c>
      <c r="C2251" s="1423"/>
      <c r="D2251" s="1423">
        <f t="shared" ref="D2251" ca="1" si="3272">IF(AND(C2251&lt;1,D2225=0),0,
IF(D2225=0,C2251-1,
IF(C2251&lt;1,D2226,
(((C2251-1)*(C2227-(C2227/(C2251))))+(D2225*D2226))/(D2227))))</f>
        <v>0</v>
      </c>
      <c r="E2251" s="1423">
        <f t="shared" ref="E2251" ca="1" si="3273">IF(AND(D2251&lt;1,E2225=0),0,
IF(E2225=0,D2251-1,
IF(D2251&lt;1,E2226,
(((D2251-1)*(D2227-(D2227/(D2251))))+(E2225*E2226))/(E2227))))</f>
        <v>0</v>
      </c>
      <c r="F2251" s="1423">
        <f t="shared" ref="F2251" ca="1" si="3274">IF(AND(E2251&lt;1,F2225=0),0,
IF(F2225=0,E2251-1,
IF(E2251&lt;1,F2226,
(((E2251-1)*(E2227-(E2227/(E2251))))+(F2225*F2226))/(F2227))))</f>
        <v>0</v>
      </c>
      <c r="G2251" s="1423">
        <f t="shared" ref="G2251" ca="1" si="3275">IF(AND(F2251&lt;1,G2225=0),0,
IF(G2225=0,F2251-1,
IF(F2251&lt;1,G2226,
(((F2251-1)*(F2227-(F2227/(F2251))))+(G2225*G2226))/(G2227))))</f>
        <v>0</v>
      </c>
      <c r="H2251" s="1423">
        <f ca="1">IF(AND(G2251&lt;1,H2225=0),0,
IF(H2225=0,G2251-1,
IF(G2251&lt;1,H2226,
(((G2251-1)*(G2227-(G2227/(G2251))))+(H2225*H2226))/(H2227))))</f>
        <v>0</v>
      </c>
      <c r="I2251" s="1423">
        <f t="shared" ref="I2251" ca="1" si="3276">IF(AND(H2251&lt;1,I2225=0),0,
IF(I2225=0,H2251-1,
IF(H2251&lt;1,I2226,
(((H2251-1)*(H2227-(H2227/(H2251))))+(I2225*I2226))/(I2227))))</f>
        <v>0</v>
      </c>
      <c r="J2251" s="1423">
        <f t="shared" ref="J2251" ca="1" si="3277">IF(AND(I2251&lt;1,J2225=0),0,
IF(J2225=0,I2251-1,
IF(I2251&lt;1,J2226,
(((I2251-1)*(I2227-(I2227/(I2251))))+(J2225*J2226))/(J2227))))</f>
        <v>0</v>
      </c>
      <c r="K2251" s="1423">
        <f t="shared" ref="K2251" ca="1" si="3278">IF(AND(J2251&lt;1,K2225=0),0,
IF(K2225=0,J2251-1,
IF(J2251&lt;1,K2226,
(((J2251-1)*(J2227-(J2227/(J2251))))+(K2225*K2226))/(K2227))))</f>
        <v>0</v>
      </c>
      <c r="L2251" s="1423">
        <f t="shared" ref="L2251" ca="1" si="3279">IF(AND(K2251&lt;1,L2225=0),0,
IF(L2225=0,K2251-1,
IF(K2251&lt;1,L2226,
(((K2251-1)*(K2227-(K2227/(K2251))))+(L2225*L2226))/(L2227))))</f>
        <v>0</v>
      </c>
      <c r="M2251" s="1423">
        <f ca="1">IF(AND(L2251&lt;1,M2225=0),0,
IF(M2225=0,L2251-1,
IF(L2251&lt;1,M2226,
(((L2251-1)*(L2227-(L2227/(L2251))))+(M2225*M2226))/(M2227))))</f>
        <v>0</v>
      </c>
      <c r="N2251" s="1423">
        <f t="shared" ref="N2251" ca="1" si="3280">IF(AND(M2251&lt;1,N2225=0),0,
IF(N2225=0,M2251-1,
IF(M2251&lt;1,N2226,
(((M2251-1)*(M2227-(M2227/(M2251))))+(N2225*N2226))/(N2227))))</f>
        <v>0</v>
      </c>
      <c r="O2251" s="1423">
        <f t="shared" ref="O2251" ca="1" si="3281">IF(AND(N2251&lt;1,O2225=0),0,
IF(O2225=0,N2251-1,
IF(N2251&lt;1,O2226,
(((N2251-1)*(N2227-(N2227/(N2251))))+(O2225*O2226))/(O2227))))</f>
        <v>0</v>
      </c>
      <c r="P2251" s="1423">
        <f t="shared" ref="P2251" ca="1" si="3282">IF(AND(O2251&lt;1,P2225=0),0,
IF(P2225=0,O2251-1,
IF(O2251&lt;1,P2226,
(((O2251-1)*(O2227-(O2227/(O2251))))+(P2225*P2226))/(P2227))))</f>
        <v>0</v>
      </c>
      <c r="Q2251" s="1423">
        <f t="shared" ref="Q2251" ca="1" si="3283">IF(AND(P2251&lt;1,Q2225=0),0,
IF(Q2225=0,P2251-1,
IF(P2251&lt;1,Q2226,
(((P2251-1)*(P2227-(P2227/(P2251))))+(Q2225*Q2226))/(Q2227))))</f>
        <v>0</v>
      </c>
      <c r="R2251" s="1423">
        <f t="shared" ref="R2251" ca="1" si="3284">IF(AND(Q2251&lt;1,R2225=0),0,
IF(R2225=0,Q2251-1,
IF(Q2251&lt;1,R2226,
(((Q2251-1)*(Q2227-(Q2227/(Q2251))))+(R2225*R2226))/(R2227))))</f>
        <v>0</v>
      </c>
      <c r="S2251" s="1423">
        <f t="shared" ref="S2251" ca="1" si="3285">IF(AND(R2251&lt;1,S2225=0),0,
IF(S2225=0,R2251-1,
IF(R2251&lt;1,S2226,
(((R2251-1)*(R2227-(R2227/(R2251))))+(S2225*S2226))/(S2227))))</f>
        <v>0</v>
      </c>
      <c r="T2251" s="1423">
        <f t="shared" ref="T2251" ca="1" si="3286">IF(AND(S2251&lt;1,T2225=0),0,
IF(T2225=0,S2251-1,
IF(S2251&lt;1,T2226,
(((S2251-1)*(S2227-(S2227/(S2251))))+(T2225*T2226))/(T2227))))</f>
        <v>0</v>
      </c>
      <c r="U2251" s="1423">
        <f t="shared" ref="U2251" ca="1" si="3287">IF(AND(T2251&lt;1,U2225=0),0,
IF(U2225=0,T2251-1,
IF(T2251&lt;1,U2226,
(((T2251-1)*(T2227-(T2227/(T2251))))+(U2225*U2226))/(U2227))))</f>
        <v>0</v>
      </c>
      <c r="V2251" s="1423">
        <f t="shared" ref="V2251" ca="1" si="3288">IF(AND(U2251&lt;1,V2225=0),0,
IF(V2225=0,U2251-1,
IF(U2251&lt;1,V2226,
(((U2251-1)*(U2227-(U2227/(U2251))))+(V2225*V2226))/(V2227))))</f>
        <v>0</v>
      </c>
      <c r="W2251" s="1423">
        <f t="shared" ref="W2251" ca="1" si="3289">IF(AND(V2251&lt;1,W2225=0),0,
IF(W2225=0,V2251-1,
IF(V2251&lt;1,W2226,
(((V2251-1)*(V2227-(V2227/(V2251))))+(W2225*W2226))/(W2227))))</f>
        <v>0</v>
      </c>
      <c r="X2251" s="152"/>
      <c r="Y2251" s="152"/>
      <c r="Z2251" s="152"/>
      <c r="AA2251" s="152"/>
      <c r="AB2251" s="152"/>
    </row>
    <row r="2252" spans="1:28" hidden="1" outlineLevel="1">
      <c r="A2252" s="152"/>
      <c r="B2252" s="190" t="s">
        <v>193</v>
      </c>
      <c r="C2252" s="1423">
        <f ca="1">C2224</f>
        <v>0</v>
      </c>
      <c r="D2252" s="1423">
        <f t="shared" ref="D2252" ca="1" si="3290">IF(C2252="n/a","n/a",MAX(0,C2252-1))</f>
        <v>0</v>
      </c>
      <c r="E2252" s="1423">
        <f t="shared" ref="E2252:E2253" ca="1" si="3291">IF(D2252="n/a","n/a",MAX(0,D2252-1))</f>
        <v>0</v>
      </c>
      <c r="F2252" s="1423">
        <f t="shared" ref="F2252:F2254" ca="1" si="3292">IF(E2252="n/a","n/a",MAX(0,E2252-1))</f>
        <v>0</v>
      </c>
      <c r="G2252" s="1423">
        <f t="shared" ref="G2252:G2255" ca="1" si="3293">IF(F2252="n/a","n/a",MAX(0,F2252-1))</f>
        <v>0</v>
      </c>
      <c r="H2252" s="1423">
        <f t="shared" ref="H2252:H2256" ca="1" si="3294">IF(G2252="n/a","n/a",MAX(0,G2252-1))</f>
        <v>0</v>
      </c>
      <c r="I2252" s="1423">
        <f t="shared" ref="I2252:I2257" ca="1" si="3295">IF(H2252="n/a","n/a",MAX(0,H2252-1))</f>
        <v>0</v>
      </c>
      <c r="J2252" s="1423">
        <f t="shared" ref="J2252:J2258" ca="1" si="3296">IF(I2252="n/a","n/a",MAX(0,I2252-1))</f>
        <v>0</v>
      </c>
      <c r="K2252" s="1423">
        <f t="shared" ref="K2252:K2259" ca="1" si="3297">IF(J2252="n/a","n/a",MAX(0,J2252-1))</f>
        <v>0</v>
      </c>
      <c r="L2252" s="1423">
        <f t="shared" ref="L2252:L2260" ca="1" si="3298">IF(K2252="n/a","n/a",MAX(0,K2252-1))</f>
        <v>0</v>
      </c>
      <c r="M2252" s="1423">
        <f t="shared" ref="M2252:M2261" ca="1" si="3299">IF(L2252="n/a","n/a",MAX(0,L2252-1))</f>
        <v>0</v>
      </c>
      <c r="N2252" s="1423">
        <f t="shared" ref="N2252:N2262" ca="1" si="3300">IF(M2252="n/a","n/a",MAX(0,M2252-1))</f>
        <v>0</v>
      </c>
      <c r="O2252" s="1423">
        <f t="shared" ref="O2252:O2263" ca="1" si="3301">IF(N2252="n/a","n/a",MAX(0,N2252-1))</f>
        <v>0</v>
      </c>
      <c r="P2252" s="1423">
        <f t="shared" ref="P2252:P2264" ca="1" si="3302">IF(O2252="n/a","n/a",MAX(0,O2252-1))</f>
        <v>0</v>
      </c>
      <c r="Q2252" s="1423">
        <f t="shared" ref="Q2252:Q2265" ca="1" si="3303">IF(P2252="n/a","n/a",MAX(0,P2252-1))</f>
        <v>0</v>
      </c>
      <c r="R2252" s="1423">
        <f t="shared" ref="R2252:R2266" ca="1" si="3304">IF(Q2252="n/a","n/a",MAX(0,Q2252-1))</f>
        <v>0</v>
      </c>
      <c r="S2252" s="1423">
        <f t="shared" ref="S2252:S2267" ca="1" si="3305">IF(R2252="n/a","n/a",MAX(0,R2252-1))</f>
        <v>0</v>
      </c>
      <c r="T2252" s="1423">
        <f t="shared" ref="T2252:T2268" ca="1" si="3306">IF(S2252="n/a","n/a",MAX(0,S2252-1))</f>
        <v>0</v>
      </c>
      <c r="U2252" s="1423">
        <f t="shared" ref="U2252:U2269" ca="1" si="3307">IF(T2252="n/a","n/a",MAX(0,T2252-1))</f>
        <v>0</v>
      </c>
      <c r="V2252" s="1423">
        <f t="shared" ref="V2252:V2270" ca="1" si="3308">IF(U2252="n/a","n/a",MAX(0,U2252-1))</f>
        <v>0</v>
      </c>
      <c r="W2252" s="1423">
        <f t="shared" ref="W2252:W2270" ca="1" si="3309">IF(V2252="n/a","n/a",MAX(0,V2252-1))</f>
        <v>0</v>
      </c>
      <c r="X2252" s="152"/>
      <c r="Y2252" s="152"/>
      <c r="Z2252" s="152"/>
      <c r="AA2252" s="152"/>
      <c r="AB2252" s="152"/>
    </row>
    <row r="2253" spans="1:28" hidden="1" outlineLevel="1">
      <c r="A2253" s="152"/>
      <c r="B2253" s="190" t="str">
        <f t="shared" ref="B2253:B2272" ca="1" si="3310">"RL Capex "&amp;OFFSET($C$6,0,A2229)</f>
        <v>RL Capex 2016-17</v>
      </c>
      <c r="C2253" s="1424"/>
      <c r="D2253" s="1428">
        <f>D2224</f>
        <v>0</v>
      </c>
      <c r="E2253" s="1423">
        <f t="shared" si="3291"/>
        <v>0</v>
      </c>
      <c r="F2253" s="1423">
        <f t="shared" si="3292"/>
        <v>0</v>
      </c>
      <c r="G2253" s="1423">
        <f t="shared" si="3293"/>
        <v>0</v>
      </c>
      <c r="H2253" s="1423">
        <f t="shared" si="3294"/>
        <v>0</v>
      </c>
      <c r="I2253" s="1423">
        <f t="shared" si="3295"/>
        <v>0</v>
      </c>
      <c r="J2253" s="1423">
        <f t="shared" si="3296"/>
        <v>0</v>
      </c>
      <c r="K2253" s="1423">
        <f t="shared" si="3297"/>
        <v>0</v>
      </c>
      <c r="L2253" s="1423">
        <f t="shared" si="3298"/>
        <v>0</v>
      </c>
      <c r="M2253" s="1423">
        <f t="shared" si="3299"/>
        <v>0</v>
      </c>
      <c r="N2253" s="1423">
        <f t="shared" si="3300"/>
        <v>0</v>
      </c>
      <c r="O2253" s="1423">
        <f t="shared" si="3301"/>
        <v>0</v>
      </c>
      <c r="P2253" s="1423">
        <f t="shared" si="3302"/>
        <v>0</v>
      </c>
      <c r="Q2253" s="1423">
        <f t="shared" si="3303"/>
        <v>0</v>
      </c>
      <c r="R2253" s="1423">
        <f t="shared" si="3304"/>
        <v>0</v>
      </c>
      <c r="S2253" s="1423">
        <f t="shared" si="3305"/>
        <v>0</v>
      </c>
      <c r="T2253" s="1423">
        <f t="shared" si="3306"/>
        <v>0</v>
      </c>
      <c r="U2253" s="1423">
        <f t="shared" si="3307"/>
        <v>0</v>
      </c>
      <c r="V2253" s="1423">
        <f t="shared" si="3308"/>
        <v>0</v>
      </c>
      <c r="W2253" s="1423">
        <f t="shared" si="3309"/>
        <v>0</v>
      </c>
      <c r="X2253" s="152"/>
      <c r="Y2253" s="152"/>
      <c r="Z2253" s="152"/>
      <c r="AA2253" s="152"/>
      <c r="AB2253" s="152"/>
    </row>
    <row r="2254" spans="1:28" hidden="1" outlineLevel="1">
      <c r="A2254" s="152"/>
      <c r="B2254" s="190" t="str">
        <f t="shared" ca="1" si="3310"/>
        <v>RL Capex 2017-18</v>
      </c>
      <c r="C2254" s="1429"/>
      <c r="D2254" s="1424"/>
      <c r="E2254" s="1428">
        <f>E2224</f>
        <v>0</v>
      </c>
      <c r="F2254" s="1423">
        <f t="shared" si="3292"/>
        <v>0</v>
      </c>
      <c r="G2254" s="1423">
        <f t="shared" si="3293"/>
        <v>0</v>
      </c>
      <c r="H2254" s="1423">
        <f t="shared" si="3294"/>
        <v>0</v>
      </c>
      <c r="I2254" s="1423">
        <f t="shared" si="3295"/>
        <v>0</v>
      </c>
      <c r="J2254" s="1423">
        <f t="shared" si="3296"/>
        <v>0</v>
      </c>
      <c r="K2254" s="1423">
        <f t="shared" si="3297"/>
        <v>0</v>
      </c>
      <c r="L2254" s="1423">
        <f t="shared" si="3298"/>
        <v>0</v>
      </c>
      <c r="M2254" s="1423">
        <f t="shared" si="3299"/>
        <v>0</v>
      </c>
      <c r="N2254" s="1423">
        <f t="shared" si="3300"/>
        <v>0</v>
      </c>
      <c r="O2254" s="1423">
        <f t="shared" si="3301"/>
        <v>0</v>
      </c>
      <c r="P2254" s="1423">
        <f t="shared" si="3302"/>
        <v>0</v>
      </c>
      <c r="Q2254" s="1423">
        <f t="shared" si="3303"/>
        <v>0</v>
      </c>
      <c r="R2254" s="1423">
        <f t="shared" si="3304"/>
        <v>0</v>
      </c>
      <c r="S2254" s="1423">
        <f t="shared" si="3305"/>
        <v>0</v>
      </c>
      <c r="T2254" s="1423">
        <f t="shared" si="3306"/>
        <v>0</v>
      </c>
      <c r="U2254" s="1423">
        <f t="shared" si="3307"/>
        <v>0</v>
      </c>
      <c r="V2254" s="1423">
        <f t="shared" si="3308"/>
        <v>0</v>
      </c>
      <c r="W2254" s="1423">
        <f t="shared" si="3309"/>
        <v>0</v>
      </c>
      <c r="X2254" s="152"/>
      <c r="Y2254" s="152"/>
      <c r="Z2254" s="152"/>
      <c r="AA2254" s="152"/>
      <c r="AB2254" s="152"/>
    </row>
    <row r="2255" spans="1:28" hidden="1" outlineLevel="1">
      <c r="A2255" s="152"/>
      <c r="B2255" s="190" t="str">
        <f t="shared" ca="1" si="3310"/>
        <v>RL Capex 2018-19</v>
      </c>
      <c r="C2255" s="1429"/>
      <c r="D2255" s="1429"/>
      <c r="E2255" s="1424"/>
      <c r="F2255" s="1428">
        <f>F2224</f>
        <v>0</v>
      </c>
      <c r="G2255" s="1423">
        <f t="shared" si="3293"/>
        <v>0</v>
      </c>
      <c r="H2255" s="1423">
        <f t="shared" si="3294"/>
        <v>0</v>
      </c>
      <c r="I2255" s="1423">
        <f t="shared" si="3295"/>
        <v>0</v>
      </c>
      <c r="J2255" s="1423">
        <f t="shared" si="3296"/>
        <v>0</v>
      </c>
      <c r="K2255" s="1423">
        <f t="shared" si="3297"/>
        <v>0</v>
      </c>
      <c r="L2255" s="1423">
        <f t="shared" si="3298"/>
        <v>0</v>
      </c>
      <c r="M2255" s="1423">
        <f t="shared" si="3299"/>
        <v>0</v>
      </c>
      <c r="N2255" s="1423">
        <f t="shared" si="3300"/>
        <v>0</v>
      </c>
      <c r="O2255" s="1423">
        <f t="shared" si="3301"/>
        <v>0</v>
      </c>
      <c r="P2255" s="1423">
        <f t="shared" si="3302"/>
        <v>0</v>
      </c>
      <c r="Q2255" s="1423">
        <f t="shared" si="3303"/>
        <v>0</v>
      </c>
      <c r="R2255" s="1423">
        <f t="shared" si="3304"/>
        <v>0</v>
      </c>
      <c r="S2255" s="1423">
        <f t="shared" si="3305"/>
        <v>0</v>
      </c>
      <c r="T2255" s="1423">
        <f t="shared" si="3306"/>
        <v>0</v>
      </c>
      <c r="U2255" s="1423">
        <f t="shared" si="3307"/>
        <v>0</v>
      </c>
      <c r="V2255" s="1423">
        <f t="shared" si="3308"/>
        <v>0</v>
      </c>
      <c r="W2255" s="1423">
        <f t="shared" si="3309"/>
        <v>0</v>
      </c>
      <c r="X2255" s="152"/>
      <c r="Y2255" s="152"/>
      <c r="Z2255" s="152"/>
      <c r="AA2255" s="152"/>
      <c r="AB2255" s="152"/>
    </row>
    <row r="2256" spans="1:28" hidden="1" outlineLevel="1">
      <c r="A2256" s="152"/>
      <c r="B2256" s="190" t="str">
        <f t="shared" ca="1" si="3310"/>
        <v>RL Capex 2019-20</v>
      </c>
      <c r="C2256" s="1429"/>
      <c r="D2256" s="1429"/>
      <c r="E2256" s="1429"/>
      <c r="F2256" s="1424"/>
      <c r="G2256" s="1428">
        <f>G2224</f>
        <v>0</v>
      </c>
      <c r="H2256" s="1423">
        <f t="shared" si="3294"/>
        <v>0</v>
      </c>
      <c r="I2256" s="1423">
        <f t="shared" si="3295"/>
        <v>0</v>
      </c>
      <c r="J2256" s="1423">
        <f t="shared" si="3296"/>
        <v>0</v>
      </c>
      <c r="K2256" s="1423">
        <f t="shared" si="3297"/>
        <v>0</v>
      </c>
      <c r="L2256" s="1423">
        <f t="shared" si="3298"/>
        <v>0</v>
      </c>
      <c r="M2256" s="1423">
        <f t="shared" si="3299"/>
        <v>0</v>
      </c>
      <c r="N2256" s="1423">
        <f t="shared" si="3300"/>
        <v>0</v>
      </c>
      <c r="O2256" s="1423">
        <f t="shared" si="3301"/>
        <v>0</v>
      </c>
      <c r="P2256" s="1423">
        <f t="shared" si="3302"/>
        <v>0</v>
      </c>
      <c r="Q2256" s="1423">
        <f t="shared" si="3303"/>
        <v>0</v>
      </c>
      <c r="R2256" s="1423">
        <f t="shared" si="3304"/>
        <v>0</v>
      </c>
      <c r="S2256" s="1423">
        <f t="shared" si="3305"/>
        <v>0</v>
      </c>
      <c r="T2256" s="1423">
        <f t="shared" si="3306"/>
        <v>0</v>
      </c>
      <c r="U2256" s="1423">
        <f t="shared" si="3307"/>
        <v>0</v>
      </c>
      <c r="V2256" s="1423">
        <f t="shared" si="3308"/>
        <v>0</v>
      </c>
      <c r="W2256" s="1423">
        <f t="shared" si="3309"/>
        <v>0</v>
      </c>
      <c r="X2256" s="152"/>
      <c r="Y2256" s="152"/>
      <c r="Z2256" s="152"/>
      <c r="AA2256" s="152"/>
      <c r="AB2256" s="152"/>
    </row>
    <row r="2257" spans="1:28" hidden="1" outlineLevel="1">
      <c r="A2257" s="152"/>
      <c r="B2257" s="190" t="str">
        <f t="shared" ca="1" si="3310"/>
        <v>RL Capex 2020-21</v>
      </c>
      <c r="C2257" s="1429"/>
      <c r="D2257" s="1429"/>
      <c r="E2257" s="1429"/>
      <c r="F2257" s="1429"/>
      <c r="G2257" s="1424"/>
      <c r="H2257" s="1428">
        <f>H2224</f>
        <v>0</v>
      </c>
      <c r="I2257" s="1423">
        <f t="shared" si="3295"/>
        <v>0</v>
      </c>
      <c r="J2257" s="1423">
        <f t="shared" si="3296"/>
        <v>0</v>
      </c>
      <c r="K2257" s="1423">
        <f t="shared" si="3297"/>
        <v>0</v>
      </c>
      <c r="L2257" s="1423">
        <f t="shared" si="3298"/>
        <v>0</v>
      </c>
      <c r="M2257" s="1423">
        <f t="shared" si="3299"/>
        <v>0</v>
      </c>
      <c r="N2257" s="1423">
        <f t="shared" si="3300"/>
        <v>0</v>
      </c>
      <c r="O2257" s="1423">
        <f t="shared" si="3301"/>
        <v>0</v>
      </c>
      <c r="P2257" s="1423">
        <f t="shared" si="3302"/>
        <v>0</v>
      </c>
      <c r="Q2257" s="1423">
        <f t="shared" si="3303"/>
        <v>0</v>
      </c>
      <c r="R2257" s="1423">
        <f t="shared" si="3304"/>
        <v>0</v>
      </c>
      <c r="S2257" s="1423">
        <f t="shared" si="3305"/>
        <v>0</v>
      </c>
      <c r="T2257" s="1423">
        <f t="shared" si="3306"/>
        <v>0</v>
      </c>
      <c r="U2257" s="1423">
        <f t="shared" si="3307"/>
        <v>0</v>
      </c>
      <c r="V2257" s="1423">
        <f t="shared" si="3308"/>
        <v>0</v>
      </c>
      <c r="W2257" s="1423">
        <f t="shared" si="3309"/>
        <v>0</v>
      </c>
      <c r="X2257" s="152"/>
      <c r="Y2257" s="152"/>
      <c r="Z2257" s="152"/>
      <c r="AA2257" s="152"/>
      <c r="AB2257" s="152"/>
    </row>
    <row r="2258" spans="1:28" hidden="1" outlineLevel="1">
      <c r="A2258" s="152"/>
      <c r="B2258" s="190" t="str">
        <f t="shared" ca="1" si="3310"/>
        <v>RL Capex 2021-22</v>
      </c>
      <c r="C2258" s="1429"/>
      <c r="D2258" s="1429"/>
      <c r="E2258" s="1429"/>
      <c r="F2258" s="1429"/>
      <c r="G2258" s="1429"/>
      <c r="H2258" s="1424"/>
      <c r="I2258" s="1428">
        <f>I2224</f>
        <v>0</v>
      </c>
      <c r="J2258" s="1423">
        <f t="shared" si="3296"/>
        <v>0</v>
      </c>
      <c r="K2258" s="1423">
        <f t="shared" si="3297"/>
        <v>0</v>
      </c>
      <c r="L2258" s="1423">
        <f t="shared" si="3298"/>
        <v>0</v>
      </c>
      <c r="M2258" s="1423">
        <f t="shared" si="3299"/>
        <v>0</v>
      </c>
      <c r="N2258" s="1423">
        <f t="shared" si="3300"/>
        <v>0</v>
      </c>
      <c r="O2258" s="1423">
        <f t="shared" si="3301"/>
        <v>0</v>
      </c>
      <c r="P2258" s="1423">
        <f t="shared" si="3302"/>
        <v>0</v>
      </c>
      <c r="Q2258" s="1423">
        <f t="shared" si="3303"/>
        <v>0</v>
      </c>
      <c r="R2258" s="1423">
        <f t="shared" si="3304"/>
        <v>0</v>
      </c>
      <c r="S2258" s="1423">
        <f t="shared" si="3305"/>
        <v>0</v>
      </c>
      <c r="T2258" s="1423">
        <f t="shared" si="3306"/>
        <v>0</v>
      </c>
      <c r="U2258" s="1423">
        <f t="shared" si="3307"/>
        <v>0</v>
      </c>
      <c r="V2258" s="1423">
        <f t="shared" si="3308"/>
        <v>0</v>
      </c>
      <c r="W2258" s="1423">
        <f t="shared" si="3309"/>
        <v>0</v>
      </c>
      <c r="X2258" s="152"/>
      <c r="Y2258" s="152"/>
      <c r="Z2258" s="152"/>
      <c r="AA2258" s="152"/>
      <c r="AB2258" s="152"/>
    </row>
    <row r="2259" spans="1:28" hidden="1" outlineLevel="1">
      <c r="A2259" s="152"/>
      <c r="B2259" s="190" t="str">
        <f t="shared" ca="1" si="3310"/>
        <v>RL Capex 2022-23</v>
      </c>
      <c r="C2259" s="1429"/>
      <c r="D2259" s="1429"/>
      <c r="E2259" s="1429"/>
      <c r="F2259" s="1429"/>
      <c r="G2259" s="1429"/>
      <c r="H2259" s="1429"/>
      <c r="I2259" s="1424"/>
      <c r="J2259" s="1428">
        <f>J2224</f>
        <v>0</v>
      </c>
      <c r="K2259" s="1423">
        <f t="shared" si="3297"/>
        <v>0</v>
      </c>
      <c r="L2259" s="1423">
        <f t="shared" si="3298"/>
        <v>0</v>
      </c>
      <c r="M2259" s="1423">
        <f t="shared" si="3299"/>
        <v>0</v>
      </c>
      <c r="N2259" s="1423">
        <f t="shared" si="3300"/>
        <v>0</v>
      </c>
      <c r="O2259" s="1423">
        <f t="shared" si="3301"/>
        <v>0</v>
      </c>
      <c r="P2259" s="1423">
        <f t="shared" si="3302"/>
        <v>0</v>
      </c>
      <c r="Q2259" s="1423">
        <f t="shared" si="3303"/>
        <v>0</v>
      </c>
      <c r="R2259" s="1423">
        <f t="shared" si="3304"/>
        <v>0</v>
      </c>
      <c r="S2259" s="1423">
        <f t="shared" si="3305"/>
        <v>0</v>
      </c>
      <c r="T2259" s="1423">
        <f t="shared" si="3306"/>
        <v>0</v>
      </c>
      <c r="U2259" s="1423">
        <f t="shared" si="3307"/>
        <v>0</v>
      </c>
      <c r="V2259" s="1423">
        <f t="shared" si="3308"/>
        <v>0</v>
      </c>
      <c r="W2259" s="1423">
        <f t="shared" si="3309"/>
        <v>0</v>
      </c>
      <c r="X2259" s="152"/>
      <c r="Y2259" s="152"/>
      <c r="Z2259" s="152"/>
      <c r="AA2259" s="152"/>
      <c r="AB2259" s="152"/>
    </row>
    <row r="2260" spans="1:28" hidden="1" outlineLevel="1">
      <c r="A2260" s="152"/>
      <c r="B2260" s="190" t="str">
        <f t="shared" ca="1" si="3310"/>
        <v>RL Capex 2023-24</v>
      </c>
      <c r="C2260" s="1429"/>
      <c r="D2260" s="1429"/>
      <c r="E2260" s="1429"/>
      <c r="F2260" s="1429"/>
      <c r="G2260" s="1429"/>
      <c r="H2260" s="1429"/>
      <c r="I2260" s="1429"/>
      <c r="J2260" s="1424"/>
      <c r="K2260" s="1428">
        <f>K2224</f>
        <v>0</v>
      </c>
      <c r="L2260" s="1423">
        <f t="shared" si="3298"/>
        <v>0</v>
      </c>
      <c r="M2260" s="1423">
        <f t="shared" si="3299"/>
        <v>0</v>
      </c>
      <c r="N2260" s="1423">
        <f t="shared" si="3300"/>
        <v>0</v>
      </c>
      <c r="O2260" s="1423">
        <f t="shared" si="3301"/>
        <v>0</v>
      </c>
      <c r="P2260" s="1423">
        <f t="shared" si="3302"/>
        <v>0</v>
      </c>
      <c r="Q2260" s="1423">
        <f t="shared" si="3303"/>
        <v>0</v>
      </c>
      <c r="R2260" s="1423">
        <f t="shared" si="3304"/>
        <v>0</v>
      </c>
      <c r="S2260" s="1423">
        <f t="shared" si="3305"/>
        <v>0</v>
      </c>
      <c r="T2260" s="1423">
        <f t="shared" si="3306"/>
        <v>0</v>
      </c>
      <c r="U2260" s="1423">
        <f t="shared" si="3307"/>
        <v>0</v>
      </c>
      <c r="V2260" s="1423">
        <f t="shared" si="3308"/>
        <v>0</v>
      </c>
      <c r="W2260" s="1423">
        <f t="shared" si="3309"/>
        <v>0</v>
      </c>
      <c r="X2260" s="152"/>
      <c r="Y2260" s="152"/>
      <c r="Z2260" s="152"/>
      <c r="AA2260" s="152"/>
      <c r="AB2260" s="152"/>
    </row>
    <row r="2261" spans="1:28" hidden="1" outlineLevel="1">
      <c r="A2261" s="152"/>
      <c r="B2261" s="190" t="str">
        <f t="shared" ca="1" si="3310"/>
        <v>RL Capex 2024-25</v>
      </c>
      <c r="C2261" s="1429"/>
      <c r="D2261" s="1429"/>
      <c r="E2261" s="1429"/>
      <c r="F2261" s="1429"/>
      <c r="G2261" s="1429"/>
      <c r="H2261" s="1429"/>
      <c r="I2261" s="1429"/>
      <c r="J2261" s="1429"/>
      <c r="K2261" s="1424"/>
      <c r="L2261" s="1428">
        <f>L2224</f>
        <v>0</v>
      </c>
      <c r="M2261" s="1423">
        <f t="shared" si="3299"/>
        <v>0</v>
      </c>
      <c r="N2261" s="1423">
        <f t="shared" si="3300"/>
        <v>0</v>
      </c>
      <c r="O2261" s="1423">
        <f t="shared" si="3301"/>
        <v>0</v>
      </c>
      <c r="P2261" s="1423">
        <f t="shared" si="3302"/>
        <v>0</v>
      </c>
      <c r="Q2261" s="1423">
        <f t="shared" si="3303"/>
        <v>0</v>
      </c>
      <c r="R2261" s="1423">
        <f t="shared" si="3304"/>
        <v>0</v>
      </c>
      <c r="S2261" s="1423">
        <f t="shared" si="3305"/>
        <v>0</v>
      </c>
      <c r="T2261" s="1423">
        <f t="shared" si="3306"/>
        <v>0</v>
      </c>
      <c r="U2261" s="1423">
        <f t="shared" si="3307"/>
        <v>0</v>
      </c>
      <c r="V2261" s="1423">
        <f t="shared" si="3308"/>
        <v>0</v>
      </c>
      <c r="W2261" s="1423">
        <f t="shared" si="3309"/>
        <v>0</v>
      </c>
      <c r="X2261" s="152"/>
      <c r="Y2261" s="152"/>
      <c r="Z2261" s="152"/>
      <c r="AA2261" s="152"/>
      <c r="AB2261" s="152"/>
    </row>
    <row r="2262" spans="1:28" hidden="1" outlineLevel="1">
      <c r="A2262" s="152"/>
      <c r="B2262" s="190" t="str">
        <f t="shared" ca="1" si="3310"/>
        <v>RL Capex 2025-26</v>
      </c>
      <c r="C2262" s="1429"/>
      <c r="D2262" s="1429"/>
      <c r="E2262" s="1429"/>
      <c r="F2262" s="1429"/>
      <c r="G2262" s="1429"/>
      <c r="H2262" s="1429"/>
      <c r="I2262" s="1429"/>
      <c r="J2262" s="1429"/>
      <c r="K2262" s="1429"/>
      <c r="L2262" s="1424"/>
      <c r="M2262" s="1428">
        <f>M2224</f>
        <v>0</v>
      </c>
      <c r="N2262" s="1423">
        <f t="shared" si="3300"/>
        <v>0</v>
      </c>
      <c r="O2262" s="1423">
        <f t="shared" si="3301"/>
        <v>0</v>
      </c>
      <c r="P2262" s="1423">
        <f t="shared" si="3302"/>
        <v>0</v>
      </c>
      <c r="Q2262" s="1423">
        <f t="shared" si="3303"/>
        <v>0</v>
      </c>
      <c r="R2262" s="1423">
        <f t="shared" si="3304"/>
        <v>0</v>
      </c>
      <c r="S2262" s="1423">
        <f t="shared" si="3305"/>
        <v>0</v>
      </c>
      <c r="T2262" s="1423">
        <f t="shared" si="3306"/>
        <v>0</v>
      </c>
      <c r="U2262" s="1423">
        <f t="shared" si="3307"/>
        <v>0</v>
      </c>
      <c r="V2262" s="1423">
        <f t="shared" si="3308"/>
        <v>0</v>
      </c>
      <c r="W2262" s="1423">
        <f t="shared" si="3309"/>
        <v>0</v>
      </c>
      <c r="X2262" s="152"/>
      <c r="Y2262" s="152"/>
      <c r="Z2262" s="152"/>
      <c r="AA2262" s="152"/>
      <c r="AB2262" s="152"/>
    </row>
    <row r="2263" spans="1:28" hidden="1" outlineLevel="1">
      <c r="A2263" s="152"/>
      <c r="B2263" s="190" t="str">
        <f t="shared" ca="1" si="3310"/>
        <v>RL Capex 2026-27</v>
      </c>
      <c r="C2263" s="1429"/>
      <c r="D2263" s="1429"/>
      <c r="E2263" s="1429"/>
      <c r="F2263" s="1429"/>
      <c r="G2263" s="1429"/>
      <c r="H2263" s="1429"/>
      <c r="I2263" s="1429"/>
      <c r="J2263" s="1429"/>
      <c r="K2263" s="1429"/>
      <c r="L2263" s="1429"/>
      <c r="M2263" s="1424"/>
      <c r="N2263" s="1428">
        <f>N2224</f>
        <v>0</v>
      </c>
      <c r="O2263" s="1423">
        <f t="shared" si="3301"/>
        <v>0</v>
      </c>
      <c r="P2263" s="1423">
        <f t="shared" si="3302"/>
        <v>0</v>
      </c>
      <c r="Q2263" s="1423">
        <f t="shared" si="3303"/>
        <v>0</v>
      </c>
      <c r="R2263" s="1423">
        <f t="shared" si="3304"/>
        <v>0</v>
      </c>
      <c r="S2263" s="1423">
        <f t="shared" si="3305"/>
        <v>0</v>
      </c>
      <c r="T2263" s="1423">
        <f t="shared" si="3306"/>
        <v>0</v>
      </c>
      <c r="U2263" s="1423">
        <f t="shared" si="3307"/>
        <v>0</v>
      </c>
      <c r="V2263" s="1423">
        <f t="shared" si="3308"/>
        <v>0</v>
      </c>
      <c r="W2263" s="1423">
        <f t="shared" si="3309"/>
        <v>0</v>
      </c>
      <c r="X2263" s="152"/>
      <c r="Y2263" s="152"/>
      <c r="Z2263" s="152"/>
      <c r="AA2263" s="152"/>
      <c r="AB2263" s="152"/>
    </row>
    <row r="2264" spans="1:28" hidden="1" outlineLevel="1">
      <c r="A2264" s="152"/>
      <c r="B2264" s="190" t="str">
        <f t="shared" ca="1" si="3310"/>
        <v>RL Capex 2027-28</v>
      </c>
      <c r="C2264" s="1429"/>
      <c r="D2264" s="1429"/>
      <c r="E2264" s="1429"/>
      <c r="F2264" s="1429"/>
      <c r="G2264" s="1429"/>
      <c r="H2264" s="1429"/>
      <c r="I2264" s="1429"/>
      <c r="J2264" s="1429"/>
      <c r="K2264" s="1429"/>
      <c r="L2264" s="1429"/>
      <c r="M2264" s="1429"/>
      <c r="N2264" s="1424"/>
      <c r="O2264" s="1428">
        <f>O2224</f>
        <v>0</v>
      </c>
      <c r="P2264" s="1423">
        <f t="shared" si="3302"/>
        <v>0</v>
      </c>
      <c r="Q2264" s="1423">
        <f t="shared" si="3303"/>
        <v>0</v>
      </c>
      <c r="R2264" s="1423">
        <f t="shared" si="3304"/>
        <v>0</v>
      </c>
      <c r="S2264" s="1423">
        <f t="shared" si="3305"/>
        <v>0</v>
      </c>
      <c r="T2264" s="1423">
        <f t="shared" si="3306"/>
        <v>0</v>
      </c>
      <c r="U2264" s="1423">
        <f t="shared" si="3307"/>
        <v>0</v>
      </c>
      <c r="V2264" s="1423">
        <f t="shared" si="3308"/>
        <v>0</v>
      </c>
      <c r="W2264" s="1423">
        <f t="shared" si="3309"/>
        <v>0</v>
      </c>
      <c r="X2264" s="152"/>
      <c r="Y2264" s="152"/>
      <c r="Z2264" s="152"/>
      <c r="AA2264" s="152"/>
      <c r="AB2264" s="152"/>
    </row>
    <row r="2265" spans="1:28" hidden="1" outlineLevel="1">
      <c r="A2265" s="152"/>
      <c r="B2265" s="190" t="str">
        <f t="shared" ca="1" si="3310"/>
        <v>RL Capex 2028-29</v>
      </c>
      <c r="C2265" s="1429"/>
      <c r="D2265" s="1429"/>
      <c r="E2265" s="1429"/>
      <c r="F2265" s="1429"/>
      <c r="G2265" s="1429"/>
      <c r="H2265" s="1429"/>
      <c r="I2265" s="1429"/>
      <c r="J2265" s="1429"/>
      <c r="K2265" s="1429"/>
      <c r="L2265" s="1429"/>
      <c r="M2265" s="1429"/>
      <c r="N2265" s="1429"/>
      <c r="O2265" s="1424"/>
      <c r="P2265" s="1428">
        <f>P2224</f>
        <v>0</v>
      </c>
      <c r="Q2265" s="1423">
        <f t="shared" si="3303"/>
        <v>0</v>
      </c>
      <c r="R2265" s="1423">
        <f t="shared" si="3304"/>
        <v>0</v>
      </c>
      <c r="S2265" s="1423">
        <f t="shared" si="3305"/>
        <v>0</v>
      </c>
      <c r="T2265" s="1423">
        <f t="shared" si="3306"/>
        <v>0</v>
      </c>
      <c r="U2265" s="1423">
        <f t="shared" si="3307"/>
        <v>0</v>
      </c>
      <c r="V2265" s="1423">
        <f t="shared" si="3308"/>
        <v>0</v>
      </c>
      <c r="W2265" s="1423">
        <f t="shared" si="3309"/>
        <v>0</v>
      </c>
      <c r="X2265" s="152"/>
      <c r="Y2265" s="152"/>
      <c r="Z2265" s="152"/>
      <c r="AA2265" s="152"/>
      <c r="AB2265" s="152"/>
    </row>
    <row r="2266" spans="1:28" hidden="1" outlineLevel="1">
      <c r="A2266" s="152"/>
      <c r="B2266" s="190" t="str">
        <f t="shared" ca="1" si="3310"/>
        <v>RL Capex 2029-30</v>
      </c>
      <c r="C2266" s="1429"/>
      <c r="D2266" s="1429"/>
      <c r="E2266" s="1429"/>
      <c r="F2266" s="1429"/>
      <c r="G2266" s="1429"/>
      <c r="H2266" s="1429"/>
      <c r="I2266" s="1429"/>
      <c r="J2266" s="1429"/>
      <c r="K2266" s="1429"/>
      <c r="L2266" s="1429"/>
      <c r="M2266" s="1429"/>
      <c r="N2266" s="1429"/>
      <c r="O2266" s="1429"/>
      <c r="P2266" s="1424"/>
      <c r="Q2266" s="1428">
        <f>Q2224</f>
        <v>0</v>
      </c>
      <c r="R2266" s="1423">
        <f t="shared" si="3304"/>
        <v>0</v>
      </c>
      <c r="S2266" s="1423">
        <f t="shared" si="3305"/>
        <v>0</v>
      </c>
      <c r="T2266" s="1423">
        <f t="shared" si="3306"/>
        <v>0</v>
      </c>
      <c r="U2266" s="1423">
        <f t="shared" si="3307"/>
        <v>0</v>
      </c>
      <c r="V2266" s="1423">
        <f t="shared" si="3308"/>
        <v>0</v>
      </c>
      <c r="W2266" s="1423">
        <f t="shared" si="3309"/>
        <v>0</v>
      </c>
      <c r="X2266" s="152"/>
      <c r="Y2266" s="152"/>
      <c r="Z2266" s="152"/>
      <c r="AA2266" s="152"/>
      <c r="AB2266" s="152"/>
    </row>
    <row r="2267" spans="1:28" hidden="1" outlineLevel="1">
      <c r="A2267" s="152"/>
      <c r="B2267" s="190" t="str">
        <f t="shared" ca="1" si="3310"/>
        <v>RL Capex 2030-31</v>
      </c>
      <c r="C2267" s="1429"/>
      <c r="D2267" s="1429"/>
      <c r="E2267" s="1429"/>
      <c r="F2267" s="1429"/>
      <c r="G2267" s="1429"/>
      <c r="H2267" s="1429"/>
      <c r="I2267" s="1429"/>
      <c r="J2267" s="1429"/>
      <c r="K2267" s="1429"/>
      <c r="L2267" s="1429"/>
      <c r="M2267" s="1429"/>
      <c r="N2267" s="1429"/>
      <c r="O2267" s="1429"/>
      <c r="P2267" s="1429"/>
      <c r="Q2267" s="1424"/>
      <c r="R2267" s="1428">
        <f>R2224</f>
        <v>0</v>
      </c>
      <c r="S2267" s="1423">
        <f t="shared" si="3305"/>
        <v>0</v>
      </c>
      <c r="T2267" s="1423">
        <f t="shared" si="3306"/>
        <v>0</v>
      </c>
      <c r="U2267" s="1423">
        <f t="shared" si="3307"/>
        <v>0</v>
      </c>
      <c r="V2267" s="1423">
        <f t="shared" si="3308"/>
        <v>0</v>
      </c>
      <c r="W2267" s="1423">
        <f t="shared" si="3309"/>
        <v>0</v>
      </c>
      <c r="X2267" s="152"/>
      <c r="Y2267" s="152"/>
      <c r="Z2267" s="152"/>
      <c r="AA2267" s="152"/>
      <c r="AB2267" s="152"/>
    </row>
    <row r="2268" spans="1:28" hidden="1" outlineLevel="1">
      <c r="A2268" s="152"/>
      <c r="B2268" s="190" t="str">
        <f t="shared" ca="1" si="3310"/>
        <v>RL Capex 2031-32</v>
      </c>
      <c r="C2268" s="1429"/>
      <c r="D2268" s="1429"/>
      <c r="E2268" s="1429"/>
      <c r="F2268" s="1429"/>
      <c r="G2268" s="1429"/>
      <c r="H2268" s="1429"/>
      <c r="I2268" s="1429"/>
      <c r="J2268" s="1429"/>
      <c r="K2268" s="1429"/>
      <c r="L2268" s="1429"/>
      <c r="M2268" s="1429"/>
      <c r="N2268" s="1429"/>
      <c r="O2268" s="1429"/>
      <c r="P2268" s="1429"/>
      <c r="Q2268" s="1429"/>
      <c r="R2268" s="1424"/>
      <c r="S2268" s="1428">
        <f>S2224</f>
        <v>0</v>
      </c>
      <c r="T2268" s="1423">
        <f t="shared" si="3306"/>
        <v>0</v>
      </c>
      <c r="U2268" s="1423">
        <f t="shared" si="3307"/>
        <v>0</v>
      </c>
      <c r="V2268" s="1423">
        <f t="shared" si="3308"/>
        <v>0</v>
      </c>
      <c r="W2268" s="1423">
        <f t="shared" si="3309"/>
        <v>0</v>
      </c>
      <c r="X2268" s="152"/>
      <c r="Y2268" s="152"/>
      <c r="Z2268" s="152"/>
      <c r="AA2268" s="152"/>
      <c r="AB2268" s="152"/>
    </row>
    <row r="2269" spans="1:28" hidden="1" outlineLevel="1">
      <c r="A2269" s="152"/>
      <c r="B2269" s="190" t="str">
        <f t="shared" ca="1" si="3310"/>
        <v>RL Capex 2032-33</v>
      </c>
      <c r="C2269" s="1429"/>
      <c r="D2269" s="1429"/>
      <c r="E2269" s="1429"/>
      <c r="F2269" s="1429"/>
      <c r="G2269" s="1429"/>
      <c r="H2269" s="1429"/>
      <c r="I2269" s="1429"/>
      <c r="J2269" s="1429"/>
      <c r="K2269" s="1429"/>
      <c r="L2269" s="1429"/>
      <c r="M2269" s="1429"/>
      <c r="N2269" s="1429"/>
      <c r="O2269" s="1429"/>
      <c r="P2269" s="1429"/>
      <c r="Q2269" s="1429"/>
      <c r="R2269" s="1429"/>
      <c r="S2269" s="1424"/>
      <c r="T2269" s="1428">
        <f>T2224</f>
        <v>0</v>
      </c>
      <c r="U2269" s="1423">
        <f t="shared" si="3307"/>
        <v>0</v>
      </c>
      <c r="V2269" s="1423">
        <f t="shared" si="3308"/>
        <v>0</v>
      </c>
      <c r="W2269" s="1423">
        <f t="shared" si="3309"/>
        <v>0</v>
      </c>
      <c r="X2269" s="152"/>
      <c r="Y2269" s="152"/>
      <c r="Z2269" s="152"/>
      <c r="AA2269" s="152"/>
      <c r="AB2269" s="152"/>
    </row>
    <row r="2270" spans="1:28" hidden="1" outlineLevel="1">
      <c r="A2270" s="152"/>
      <c r="B2270" s="190" t="str">
        <f t="shared" ca="1" si="3310"/>
        <v>RL Capex 2033-34</v>
      </c>
      <c r="C2270" s="1429"/>
      <c r="D2270" s="1429"/>
      <c r="E2270" s="1429"/>
      <c r="F2270" s="1429"/>
      <c r="G2270" s="1429"/>
      <c r="H2270" s="1429"/>
      <c r="I2270" s="1429"/>
      <c r="J2270" s="1429"/>
      <c r="K2270" s="1429"/>
      <c r="L2270" s="1429"/>
      <c r="M2270" s="1429"/>
      <c r="N2270" s="1429"/>
      <c r="O2270" s="1429"/>
      <c r="P2270" s="1429"/>
      <c r="Q2270" s="1429"/>
      <c r="R2270" s="1429"/>
      <c r="S2270" s="1429"/>
      <c r="T2270" s="1424"/>
      <c r="U2270" s="1428">
        <f>U2224</f>
        <v>0</v>
      </c>
      <c r="V2270" s="1423">
        <f t="shared" si="3308"/>
        <v>0</v>
      </c>
      <c r="W2270" s="1423">
        <f t="shared" si="3309"/>
        <v>0</v>
      </c>
      <c r="X2270" s="152"/>
      <c r="Y2270" s="152"/>
      <c r="Z2270" s="152"/>
      <c r="AA2270" s="152"/>
      <c r="AB2270" s="152"/>
    </row>
    <row r="2271" spans="1:28" hidden="1" outlineLevel="1">
      <c r="A2271" s="152"/>
      <c r="B2271" s="190" t="str">
        <f t="shared" ca="1" si="3310"/>
        <v>RL Capex 2034-35</v>
      </c>
      <c r="C2271" s="1429"/>
      <c r="D2271" s="1429"/>
      <c r="E2271" s="1429"/>
      <c r="F2271" s="1429"/>
      <c r="G2271" s="1429"/>
      <c r="H2271" s="1429"/>
      <c r="I2271" s="1429"/>
      <c r="J2271" s="1429"/>
      <c r="K2271" s="1429"/>
      <c r="L2271" s="1429"/>
      <c r="M2271" s="1429"/>
      <c r="N2271" s="1429"/>
      <c r="O2271" s="1429"/>
      <c r="P2271" s="1429"/>
      <c r="Q2271" s="1429"/>
      <c r="R2271" s="1429"/>
      <c r="S2271" s="1429"/>
      <c r="T2271" s="1429"/>
      <c r="U2271" s="1424"/>
      <c r="V2271" s="1428">
        <f>V2224</f>
        <v>0</v>
      </c>
      <c r="W2271" s="1423">
        <f>IF(V2271="n/a","n/a",MAX(0,V2271-1))</f>
        <v>0</v>
      </c>
      <c r="X2271" s="152"/>
      <c r="Y2271" s="152"/>
      <c r="Z2271" s="152"/>
      <c r="AA2271" s="152"/>
      <c r="AB2271" s="152"/>
    </row>
    <row r="2272" spans="1:28" hidden="1" outlineLevel="1">
      <c r="A2272" s="152"/>
      <c r="B2272" s="190" t="str">
        <f t="shared" ca="1" si="3310"/>
        <v>RL Capex 2035-36</v>
      </c>
      <c r="C2272" s="1429"/>
      <c r="D2272" s="1429"/>
      <c r="E2272" s="1429"/>
      <c r="F2272" s="1429"/>
      <c r="G2272" s="1429"/>
      <c r="H2272" s="1429"/>
      <c r="I2272" s="1429"/>
      <c r="J2272" s="1429"/>
      <c r="K2272" s="1429"/>
      <c r="L2272" s="1429"/>
      <c r="M2272" s="1429"/>
      <c r="N2272" s="1429"/>
      <c r="O2272" s="1429"/>
      <c r="P2272" s="1429"/>
      <c r="Q2272" s="1429"/>
      <c r="R2272" s="1429"/>
      <c r="S2272" s="1429"/>
      <c r="T2272" s="1429"/>
      <c r="U2272" s="1429"/>
      <c r="V2272" s="1424"/>
      <c r="W2272" s="1423">
        <f>W2224</f>
        <v>0</v>
      </c>
      <c r="X2272" s="152"/>
      <c r="Y2272" s="152"/>
      <c r="Z2272" s="152"/>
      <c r="AA2272" s="152"/>
      <c r="AB2272" s="152"/>
    </row>
    <row r="2273" spans="1:28" hidden="1" outlineLevel="1">
      <c r="A2273" s="152"/>
      <c r="B2273" s="200"/>
      <c r="C2273" s="1423"/>
      <c r="D2273" s="1423"/>
      <c r="E2273" s="1423"/>
      <c r="F2273" s="1423"/>
      <c r="G2273" s="1423"/>
      <c r="H2273" s="1423"/>
      <c r="I2273" s="1423"/>
      <c r="J2273" s="1423"/>
      <c r="K2273" s="1423"/>
      <c r="L2273" s="1423"/>
      <c r="M2273" s="1423"/>
      <c r="N2273" s="1423"/>
      <c r="O2273" s="1423"/>
      <c r="P2273" s="1423"/>
      <c r="Q2273" s="1423"/>
      <c r="R2273" s="1423"/>
      <c r="S2273" s="1423"/>
      <c r="T2273" s="1423"/>
      <c r="U2273" s="1423"/>
      <c r="V2273" s="1423"/>
      <c r="W2273" s="1423"/>
      <c r="X2273" s="152"/>
      <c r="Y2273" s="152"/>
      <c r="Z2273" s="152"/>
      <c r="AA2273" s="152"/>
      <c r="AB2273" s="152"/>
    </row>
    <row r="2274" spans="1:28" collapsed="1">
      <c r="A2274" s="194"/>
      <c r="B2274" s="204" t="s">
        <v>123</v>
      </c>
      <c r="C2274" s="1430">
        <f ca="1">(IF(OR($C2224&lt;&gt;"n/a",C2224&lt;&gt;"n/a"),IF(SUM(C2227:C2249)=0,0,IF((SUMPRODUCT(C2227:C2249,C2251:C2273)/SUM(C2227:C2249))&lt;0,1,(SUMPRODUCT(C2227:C2249,C2251:C2273)/SUM(C2227:C2249)))),"n/a"))</f>
        <v>0</v>
      </c>
      <c r="D2274" s="1430">
        <f ca="1">(IF(OR($C2224&lt;&gt;"n/a",D2224&lt;&gt;"n/a"),IF(SUM(D2227:D2249)=0,0,IF((SUMPRODUCT(D2227:D2249,D2251:D2273)/SUM(D2227:D2249))&lt;0,1,(SUMPRODUCT(D2227:D2249,D2251:D2273)/SUM(D2227:D2249)))),"n/a"))</f>
        <v>0</v>
      </c>
      <c r="E2274" s="1430">
        <f t="shared" ref="E2274:W2274" ca="1" si="3311">(IF(OR($C2224&lt;&gt;"n/a",E2224&lt;&gt;"n/a"),IF(SUM(E2227:E2249)=0,0,IF((SUMPRODUCT(E2227:E2249,E2251:E2273)/SUM(E2227:E2249))&lt;0,1,(SUMPRODUCT(E2227:E2249,E2251:E2273)/SUM(E2227:E2249)))),"n/a"))</f>
        <v>0</v>
      </c>
      <c r="F2274" s="1430">
        <f t="shared" ca="1" si="3311"/>
        <v>0</v>
      </c>
      <c r="G2274" s="1430">
        <f t="shared" ca="1" si="3311"/>
        <v>0</v>
      </c>
      <c r="H2274" s="1430">
        <f t="shared" ca="1" si="3311"/>
        <v>0</v>
      </c>
      <c r="I2274" s="1430">
        <f t="shared" ca="1" si="3311"/>
        <v>0</v>
      </c>
      <c r="J2274" s="1430">
        <f t="shared" ca="1" si="3311"/>
        <v>0</v>
      </c>
      <c r="K2274" s="1430">
        <f t="shared" ca="1" si="3311"/>
        <v>0</v>
      </c>
      <c r="L2274" s="1430">
        <f t="shared" ca="1" si="3311"/>
        <v>0</v>
      </c>
      <c r="M2274" s="1430">
        <f t="shared" ca="1" si="3311"/>
        <v>0</v>
      </c>
      <c r="N2274" s="1430">
        <f t="shared" ca="1" si="3311"/>
        <v>0</v>
      </c>
      <c r="O2274" s="1430">
        <f t="shared" ca="1" si="3311"/>
        <v>0</v>
      </c>
      <c r="P2274" s="1430">
        <f t="shared" ca="1" si="3311"/>
        <v>0</v>
      </c>
      <c r="Q2274" s="1430">
        <f t="shared" ca="1" si="3311"/>
        <v>0</v>
      </c>
      <c r="R2274" s="1430">
        <f t="shared" ca="1" si="3311"/>
        <v>0</v>
      </c>
      <c r="S2274" s="1430">
        <f t="shared" ca="1" si="3311"/>
        <v>0</v>
      </c>
      <c r="T2274" s="1430">
        <f t="shared" ca="1" si="3311"/>
        <v>0</v>
      </c>
      <c r="U2274" s="1430">
        <f t="shared" ca="1" si="3311"/>
        <v>0</v>
      </c>
      <c r="V2274" s="1430">
        <f t="shared" ca="1" si="3311"/>
        <v>0</v>
      </c>
      <c r="W2274" s="1430">
        <f t="shared" ca="1" si="3311"/>
        <v>0</v>
      </c>
      <c r="X2274" s="152"/>
      <c r="Y2274" s="152"/>
      <c r="Z2274" s="152"/>
      <c r="AA2274" s="152"/>
      <c r="AB2274" s="152"/>
    </row>
    <row r="2275" spans="1:28">
      <c r="A2275" s="152"/>
      <c r="B2275" s="152"/>
      <c r="C2275" s="1423"/>
      <c r="D2275" s="1423"/>
      <c r="E2275" s="1423"/>
      <c r="F2275" s="1423"/>
      <c r="G2275" s="1423"/>
      <c r="H2275" s="1423"/>
      <c r="I2275" s="1423"/>
      <c r="J2275" s="1423"/>
      <c r="K2275" s="1423"/>
      <c r="L2275" s="1423"/>
      <c r="M2275" s="1423"/>
      <c r="N2275" s="1423"/>
      <c r="O2275" s="1423"/>
      <c r="P2275" s="1423"/>
      <c r="Q2275" s="1423"/>
      <c r="R2275" s="1423"/>
      <c r="S2275" s="1423"/>
      <c r="T2275" s="1423"/>
      <c r="U2275" s="1423"/>
      <c r="V2275" s="1423"/>
      <c r="W2275" s="1423"/>
      <c r="X2275" s="152"/>
      <c r="Y2275" s="152"/>
      <c r="Z2275" s="152"/>
      <c r="AA2275" s="152"/>
      <c r="AB2275" s="152"/>
    </row>
    <row r="2276" spans="1:28">
      <c r="A2276" s="269" t="s">
        <v>109</v>
      </c>
      <c r="B2276" s="270">
        <f>VLOOKUP($A2276,'RFM input'!$E$7:$F$56,2,FALSE)</f>
        <v>0</v>
      </c>
      <c r="C2276" s="1431"/>
      <c r="D2276" s="1431"/>
      <c r="E2276" s="1432"/>
      <c r="F2276" s="1432"/>
      <c r="G2276" s="1432"/>
      <c r="H2276" s="1432"/>
      <c r="I2276" s="1432"/>
      <c r="J2276" s="1432"/>
      <c r="K2276" s="1432"/>
      <c r="L2276" s="1432"/>
      <c r="M2276" s="1432"/>
      <c r="N2276" s="1432"/>
      <c r="O2276" s="1432"/>
      <c r="P2276" s="1432"/>
      <c r="Q2276" s="1432"/>
      <c r="R2276" s="1432"/>
      <c r="S2276" s="1432"/>
      <c r="T2276" s="1432"/>
      <c r="U2276" s="1432"/>
      <c r="V2276" s="1432"/>
      <c r="W2276" s="1432"/>
      <c r="X2276" s="152"/>
      <c r="Y2276" s="152"/>
      <c r="Z2276" s="152"/>
      <c r="AA2276" s="152"/>
      <c r="AB2276" s="152"/>
    </row>
    <row r="2277" spans="1:28">
      <c r="A2277" s="215">
        <f>VALUE(REPLACE(A2276,1,12,""))</f>
        <v>43</v>
      </c>
      <c r="B2277" s="193" t="s">
        <v>126</v>
      </c>
      <c r="C2277" s="1416">
        <f ca="1">IF($D$6='TAB roll forward'!$H$4,OFFSET('TAB roll forward'!$H$7,A2277,0),"enter input")</f>
        <v>0</v>
      </c>
      <c r="D2277" s="1417">
        <f>IF(LEFT(D$6,4)&lt;LEFT('RFM input'!$G$60,4),"enter input",IF(LEFT(D$6,4)&gt;LEFT('RFM input'!$Q$60,4),0,
INDEX('RFM input'!$G$61:$Q$110,$A2277,MATCH(D$6,'RFM input'!$G$60:$Q$60,0))
   -INDEX('RFM input'!$G$115:$Q$164,$A2277,MATCH(D$6,'RFM input'!$G$60:$Q$60,0))))</f>
        <v>0</v>
      </c>
      <c r="E2277" s="1417">
        <f>IF(LEFT(E$6,4)&lt;LEFT('RFM input'!$G$60,4),"enter input",IF(LEFT(E$6,4)&gt;LEFT('RFM input'!$Q$60,4),0,
INDEX('RFM input'!$G$61:$Q$110,$A2277,MATCH(E$6,'RFM input'!$G$60:$Q$60,0))
   -INDEX('RFM input'!$G$115:$Q$164,$A2277,MATCH(E$6,'RFM input'!$G$60:$Q$60,0))))</f>
        <v>0</v>
      </c>
      <c r="F2277" s="1417">
        <f>IF(LEFT(F$6,4)&lt;LEFT('RFM input'!$G$60,4),"enter input",IF(LEFT(F$6,4)&gt;LEFT('RFM input'!$Q$60,4),0,
INDEX('RFM input'!$G$61:$Q$110,$A2277,MATCH(F$6,'RFM input'!$G$60:$Q$60,0))
   -INDEX('RFM input'!$G$115:$Q$164,$A2277,MATCH(F$6,'RFM input'!$G$60:$Q$60,0))))</f>
        <v>0</v>
      </c>
      <c r="G2277" s="1417">
        <f>IF(LEFT(G$6,4)&lt;LEFT('RFM input'!$G$60,4),"enter input",IF(LEFT(G$6,4)&gt;LEFT('RFM input'!$Q$60,4),0,
INDEX('RFM input'!$G$61:$Q$110,$A2277,MATCH(G$6,'RFM input'!$G$60:$Q$60,0))
   -INDEX('RFM input'!$G$115:$Q$164,$A2277,MATCH(G$6,'RFM input'!$G$60:$Q$60,0))))</f>
        <v>0</v>
      </c>
      <c r="H2277" s="1417">
        <f>IF(LEFT(H$6,4)&lt;LEFT('RFM input'!$G$60,4),"enter input",IF(LEFT(H$6,4)&gt;LEFT('RFM input'!$Q$60,4),0,
INDEX('RFM input'!$G$61:$Q$110,$A2277,MATCH(H$6,'RFM input'!$G$60:$Q$60,0))
   -INDEX('RFM input'!$G$115:$Q$164,$A2277,MATCH(H$6,'RFM input'!$G$60:$Q$60,0))))</f>
        <v>0</v>
      </c>
      <c r="I2277" s="1417">
        <f>IF(LEFT(I$6,4)&lt;LEFT('RFM input'!$G$60,4),"enter input",IF(LEFT(I$6,4)&gt;LEFT('RFM input'!$Q$60,4),0,
INDEX('RFM input'!$G$61:$Q$110,$A2277,MATCH(I$6,'RFM input'!$G$60:$Q$60,0))
   -INDEX('RFM input'!$G$115:$Q$164,$A2277,MATCH(I$6,'RFM input'!$G$60:$Q$60,0))))</f>
        <v>0</v>
      </c>
      <c r="J2277" s="1417">
        <f>IF(LEFT(J$6,4)&lt;LEFT('RFM input'!$G$60,4),"enter input",IF(LEFT(J$6,4)&gt;LEFT('RFM input'!$Q$60,4),0,
INDEX('RFM input'!$G$61:$Q$110,$A2277,MATCH(J$6,'RFM input'!$G$60:$Q$60,0))
   -INDEX('RFM input'!$G$115:$Q$164,$A2277,MATCH(J$6,'RFM input'!$G$60:$Q$60,0))))</f>
        <v>0</v>
      </c>
      <c r="K2277" s="1417">
        <f>IF(LEFT(K$6,4)&lt;LEFT('RFM input'!$G$60,4),"enter input",IF(LEFT(K$6,4)&gt;LEFT('RFM input'!$Q$60,4),0,
INDEX('RFM input'!$G$61:$Q$110,$A2277,MATCH(K$6,'RFM input'!$G$60:$Q$60,0))
   -INDEX('RFM input'!$G$115:$Q$164,$A2277,MATCH(K$6,'RFM input'!$G$60:$Q$60,0))))</f>
        <v>0</v>
      </c>
      <c r="L2277" s="1417">
        <f>IF(LEFT(L$6,4)&lt;LEFT('RFM input'!$G$60,4),"enter input",IF(LEFT(L$6,4)&gt;LEFT('RFM input'!$Q$60,4),0,
INDEX('RFM input'!$G$61:$Q$110,$A2277,MATCH(L$6,'RFM input'!$G$60:$Q$60,0))
   -INDEX('RFM input'!$G$115:$Q$164,$A2277,MATCH(L$6,'RFM input'!$G$60:$Q$60,0))))</f>
        <v>0</v>
      </c>
      <c r="M2277" s="1417">
        <f>IF(LEFT(M$6,4)&lt;LEFT('RFM input'!$G$60,4),"enter input",IF(LEFT(M$6,4)&gt;LEFT('RFM input'!$Q$60,4),0,
INDEX('RFM input'!$G$61:$Q$110,$A2277,MATCH(M$6,'RFM input'!$G$60:$Q$60,0))
   -INDEX('RFM input'!$G$115:$Q$164,$A2277,MATCH(M$6,'RFM input'!$G$60:$Q$60,0))))</f>
        <v>0</v>
      </c>
      <c r="N2277" s="1417">
        <f>IF(LEFT(N$6,4)&lt;LEFT('RFM input'!$G$60,4),"enter input",IF(LEFT(N$6,4)&gt;LEFT('RFM input'!$Q$60,4),0,
INDEX('RFM input'!$G$61:$Q$110,$A2277,MATCH(N$6,'RFM input'!$G$60:$Q$60,0))
   -INDEX('RFM input'!$G$115:$Q$164,$A2277,MATCH(N$6,'RFM input'!$G$60:$Q$60,0))))</f>
        <v>0</v>
      </c>
      <c r="O2277" s="1417">
        <f>IF(LEFT(O$6,4)&lt;LEFT('RFM input'!$G$60,4),"enter input",IF(LEFT(O$6,4)&gt;LEFT('RFM input'!$Q$60,4),0,
INDEX('RFM input'!$G$61:$Q$110,$A2277,MATCH(O$6,'RFM input'!$G$60:$Q$60,0))
   -INDEX('RFM input'!$G$115:$Q$164,$A2277,MATCH(O$6,'RFM input'!$G$60:$Q$60,0))))</f>
        <v>0</v>
      </c>
      <c r="P2277" s="1417">
        <f>IF(LEFT(P$6,4)&lt;LEFT('RFM input'!$G$60,4),"enter input",IF(LEFT(P$6,4)&gt;LEFT('RFM input'!$Q$60,4),0,
INDEX('RFM input'!$G$61:$Q$110,$A2277,MATCH(P$6,'RFM input'!$G$60:$Q$60,0))
   -INDEX('RFM input'!$G$115:$Q$164,$A2277,MATCH(P$6,'RFM input'!$G$60:$Q$60,0))))</f>
        <v>0</v>
      </c>
      <c r="Q2277" s="1417">
        <f>IF(LEFT(Q$6,4)&lt;LEFT('RFM input'!$G$60,4),"enter input",IF(LEFT(Q$6,4)&gt;LEFT('RFM input'!$Q$60,4),0,
INDEX('RFM input'!$G$61:$Q$110,$A2277,MATCH(Q$6,'RFM input'!$G$60:$Q$60,0))
   -INDEX('RFM input'!$G$115:$Q$164,$A2277,MATCH(Q$6,'RFM input'!$G$60:$Q$60,0))))</f>
        <v>0</v>
      </c>
      <c r="R2277" s="1417">
        <f>IF(LEFT(R$6,4)&lt;LEFT('RFM input'!$G$60,4),"enter input",IF(LEFT(R$6,4)&gt;LEFT('RFM input'!$Q$60,4),0,
INDEX('RFM input'!$G$61:$Q$110,$A2277,MATCH(R$6,'RFM input'!$G$60:$Q$60,0))
   -INDEX('RFM input'!$G$115:$Q$164,$A2277,MATCH(R$6,'RFM input'!$G$60:$Q$60,0))))</f>
        <v>0</v>
      </c>
      <c r="S2277" s="1417">
        <f>IF(LEFT(S$6,4)&lt;LEFT('RFM input'!$G$60,4),"enter input",IF(LEFT(S$6,4)&gt;LEFT('RFM input'!$Q$60,4),0,
INDEX('RFM input'!$G$61:$Q$110,$A2277,MATCH(S$6,'RFM input'!$G$60:$Q$60,0))
   -INDEX('RFM input'!$G$115:$Q$164,$A2277,MATCH(S$6,'RFM input'!$G$60:$Q$60,0))))</f>
        <v>0</v>
      </c>
      <c r="T2277" s="1417">
        <f>IF(LEFT(T$6,4)&lt;LEFT('RFM input'!$G$60,4),"enter input",IF(LEFT(T$6,4)&gt;LEFT('RFM input'!$Q$60,4),0,
INDEX('RFM input'!$G$61:$Q$110,$A2277,MATCH(T$6,'RFM input'!$G$60:$Q$60,0))
   -INDEX('RFM input'!$G$115:$Q$164,$A2277,MATCH(T$6,'RFM input'!$G$60:$Q$60,0))))</f>
        <v>0</v>
      </c>
      <c r="U2277" s="1417">
        <f>IF(LEFT(U$6,4)&lt;LEFT('RFM input'!$G$60,4),"enter input",IF(LEFT(U$6,4)&gt;LEFT('RFM input'!$Q$60,4),0,
INDEX('RFM input'!$G$61:$Q$110,$A2277,MATCH(U$6,'RFM input'!$G$60:$Q$60,0))
   -INDEX('RFM input'!$G$115:$Q$164,$A2277,MATCH(U$6,'RFM input'!$G$60:$Q$60,0))))</f>
        <v>0</v>
      </c>
      <c r="V2277" s="1417">
        <f>IF(LEFT(V$6,4)&lt;LEFT('RFM input'!$G$60,4),"enter input",IF(LEFT(V$6,4)&gt;LEFT('RFM input'!$Q$60,4),0,
INDEX('RFM input'!$G$61:$Q$110,$A2277,MATCH(V$6,'RFM input'!$G$60:$Q$60,0))
   -INDEX('RFM input'!$G$115:$Q$164,$A2277,MATCH(V$6,'RFM input'!$G$60:$Q$60,0))))</f>
        <v>0</v>
      </c>
      <c r="W2277" s="1417">
        <f>IF(LEFT(W$6,4)&lt;LEFT('RFM input'!$G$60,4),"enter input",IF(LEFT(W$6,4)&gt;LEFT('RFM input'!$Q$60,4),0,
INDEX('RFM input'!$G$61:$Q$110,$A2277,MATCH(W$6,'RFM input'!$G$60:$Q$60,0))
   -INDEX('RFM input'!$G$115:$Q$164,$A2277,MATCH(W$6,'RFM input'!$G$60:$Q$60,0))))</f>
        <v>0</v>
      </c>
      <c r="X2277" s="152"/>
      <c r="Y2277" s="152"/>
      <c r="Z2277" s="152"/>
      <c r="AA2277" s="152"/>
      <c r="AB2277" s="152"/>
    </row>
    <row r="2278" spans="1:28">
      <c r="A2278" s="152"/>
      <c r="B2278" s="152" t="s">
        <v>205</v>
      </c>
      <c r="C2278" s="1418">
        <f ca="1">IF($D$6='TAB roll forward'!$H$4,OFFSET('RFM input'!$S$6,$A2277,0),"enter input")</f>
        <v>0</v>
      </c>
      <c r="D2278" s="1417">
        <f>IF(LEFT(D$6,4)&lt;=LEFT('RFM input'!$G$60,4),"enter input",IF(LEFT(D$6,4)&gt;LEFT('RFM input'!$Q$60,4),0,
IF(MATCH(D$6,'RFM input'!$H$60:$Q$60,0),INDEX('RFM input'!$T$7:$T$56,$A2277,1,1))))</f>
        <v>0</v>
      </c>
      <c r="E2278" s="1417">
        <f>IF(LEFT(E$6,4)&lt;=LEFT('RFM input'!$G$60,4),"enter input",IF(LEFT(E$6,4)&gt;LEFT('RFM input'!$Q$60,4),0,
IF(MATCH(E$6,'RFM input'!$H$60:$Q$60,0),INDEX('RFM input'!$T$7:$T$56,$A2277,1,1))))</f>
        <v>0</v>
      </c>
      <c r="F2278" s="1417">
        <f>IF(LEFT(F$6,4)&lt;=LEFT('RFM input'!$G$60,4),"enter input",IF(LEFT(F$6,4)&gt;LEFT('RFM input'!$Q$60,4),0,
IF(MATCH(F$6,'RFM input'!$H$60:$Q$60,0),INDEX('RFM input'!$T$7:$T$56,$A2277,1,1))))</f>
        <v>0</v>
      </c>
      <c r="G2278" s="1417">
        <f>IF(LEFT(G$6,4)&lt;=LEFT('RFM input'!$G$60,4),"enter input",IF(LEFT(G$6,4)&gt;LEFT('RFM input'!$Q$60,4),0,
IF(MATCH(G$6,'RFM input'!$H$60:$Q$60,0),INDEX('RFM input'!$T$7:$T$56,$A2277,1,1))))</f>
        <v>0</v>
      </c>
      <c r="H2278" s="1417">
        <f>IF(LEFT(H$6,4)&lt;=LEFT('RFM input'!$G$60,4),"enter input",IF(LEFT(H$6,4)&gt;LEFT('RFM input'!$Q$60,4),0,
IF(MATCH(H$6,'RFM input'!$H$60:$Q$60,0),INDEX('RFM input'!$T$7:$T$56,$A2277,1,1))))</f>
        <v>0</v>
      </c>
      <c r="I2278" s="1417">
        <f>IF(LEFT(I$6,4)&lt;=LEFT('RFM input'!$G$60,4),"enter input",IF(LEFT(I$6,4)&gt;LEFT('RFM input'!$Q$60,4),0,
IF(MATCH(I$6,'RFM input'!$H$60:$Q$60,0),INDEX('RFM input'!$T$7:$T$56,$A2277,1,1))))</f>
        <v>0</v>
      </c>
      <c r="J2278" s="1417">
        <f>IF(LEFT(J$6,4)&lt;=LEFT('RFM input'!$G$60,4),"enter input",IF(LEFT(J$6,4)&gt;LEFT('RFM input'!$Q$60,4),0,
IF(MATCH(J$6,'RFM input'!$H$60:$Q$60,0),INDEX('RFM input'!$T$7:$T$56,$A2277,1,1))))</f>
        <v>0</v>
      </c>
      <c r="K2278" s="1417">
        <f>IF(LEFT(K$6,4)&lt;=LEFT('RFM input'!$G$60,4),"enter input",IF(LEFT(K$6,4)&gt;LEFT('RFM input'!$Q$60,4),0,
IF(MATCH(K$6,'RFM input'!$H$60:$Q$60,0),INDEX('RFM input'!$T$7:$T$56,$A2277,1,1))))</f>
        <v>0</v>
      </c>
      <c r="L2278" s="1417">
        <f>IF(LEFT(L$6,4)&lt;=LEFT('RFM input'!$G$60,4),"enter input",IF(LEFT(L$6,4)&gt;LEFT('RFM input'!$Q$60,4),0,
IF(MATCH(L$6,'RFM input'!$H$60:$Q$60,0),INDEX('RFM input'!$T$7:$T$56,$A2277,1,1))))</f>
        <v>0</v>
      </c>
      <c r="M2278" s="1417">
        <f>IF(LEFT(M$6,4)&lt;=LEFT('RFM input'!$G$60,4),"enter input",IF(LEFT(M$6,4)&gt;LEFT('RFM input'!$Q$60,4),0,
IF(MATCH(M$6,'RFM input'!$H$60:$Q$60,0),INDEX('RFM input'!$T$7:$T$56,$A2277,1,1))))</f>
        <v>0</v>
      </c>
      <c r="N2278" s="1417">
        <f>IF(LEFT(N$6,4)&lt;=LEFT('RFM input'!$G$60,4),"enter input",IF(LEFT(N$6,4)&gt;LEFT('RFM input'!$Q$60,4),0,
IF(MATCH(N$6,'RFM input'!$H$60:$Q$60,0),INDEX('RFM input'!$T$7:$T$56,$A2277,1,1))))</f>
        <v>0</v>
      </c>
      <c r="O2278" s="1417">
        <f>IF(LEFT(O$6,4)&lt;=LEFT('RFM input'!$G$60,4),"enter input",IF(LEFT(O$6,4)&gt;LEFT('RFM input'!$Q$60,4),0,
IF(MATCH(O$6,'RFM input'!$H$60:$Q$60,0),INDEX('RFM input'!$T$7:$T$56,$A2277,1,1))))</f>
        <v>0</v>
      </c>
      <c r="P2278" s="1417">
        <f>IF(LEFT(P$6,4)&lt;=LEFT('RFM input'!$G$60,4),"enter input",IF(LEFT(P$6,4)&gt;LEFT('RFM input'!$Q$60,4),0,
IF(MATCH(P$6,'RFM input'!$H$60:$Q$60,0),INDEX('RFM input'!$T$7:$T$56,$A2277,1,1))))</f>
        <v>0</v>
      </c>
      <c r="Q2278" s="1417">
        <f>IF(LEFT(Q$6,4)&lt;=LEFT('RFM input'!$G$60,4),"enter input",IF(LEFT(Q$6,4)&gt;LEFT('RFM input'!$Q$60,4),0,
IF(MATCH(Q$6,'RFM input'!$H$60:$Q$60,0),INDEX('RFM input'!$T$7:$T$56,$A2277,1,1))))</f>
        <v>0</v>
      </c>
      <c r="R2278" s="1417">
        <f>IF(LEFT(R$6,4)&lt;=LEFT('RFM input'!$G$60,4),"enter input",IF(LEFT(R$6,4)&gt;LEFT('RFM input'!$Q$60,4),0,
IF(MATCH(R$6,'RFM input'!$H$60:$Q$60,0),INDEX('RFM input'!$T$7:$T$56,$A2277,1,1))))</f>
        <v>0</v>
      </c>
      <c r="S2278" s="1417">
        <f>IF(LEFT(S$6,4)&lt;=LEFT('RFM input'!$G$60,4),"enter input",IF(LEFT(S$6,4)&gt;LEFT('RFM input'!$Q$60,4),0,
IF(MATCH(S$6,'RFM input'!$H$60:$Q$60,0),INDEX('RFM input'!$T$7:$T$56,$A2277,1,1))))</f>
        <v>0</v>
      </c>
      <c r="T2278" s="1417">
        <f>IF(LEFT(T$6,4)&lt;=LEFT('RFM input'!$G$60,4),"enter input",IF(LEFT(T$6,4)&gt;LEFT('RFM input'!$Q$60,4),0,
IF(MATCH(T$6,'RFM input'!$H$60:$Q$60,0),INDEX('RFM input'!$T$7:$T$56,$A2277,1,1))))</f>
        <v>0</v>
      </c>
      <c r="U2278" s="1417">
        <f>IF(LEFT(U$6,4)&lt;=LEFT('RFM input'!$G$60,4),"enter input",IF(LEFT(U$6,4)&gt;LEFT('RFM input'!$Q$60,4),0,
IF(MATCH(U$6,'RFM input'!$H$60:$Q$60,0),INDEX('RFM input'!$T$7:$T$56,$A2277,1,1))))</f>
        <v>0</v>
      </c>
      <c r="V2278" s="1417">
        <f>IF(LEFT(V$6,4)&lt;=LEFT('RFM input'!$G$60,4),"enter input",IF(LEFT(V$6,4)&gt;LEFT('RFM input'!$Q$60,4),0,
IF(MATCH(V$6,'RFM input'!$H$60:$Q$60,0),INDEX('RFM input'!$T$7:$T$56,$A2277,1,1))))</f>
        <v>0</v>
      </c>
      <c r="W2278" s="1417">
        <f>IF(LEFT(W$6,4)&lt;=LEFT('RFM input'!$G$60,4),"enter input",IF(LEFT(W$6,4)&gt;LEFT('RFM input'!$Q$60,4),0,
IF(MATCH(W$6,'RFM input'!$H$60:$Q$60,0),INDEX('RFM input'!$T$7:$T$56,$A2277,1,1))))</f>
        <v>0</v>
      </c>
      <c r="X2278" s="152"/>
      <c r="Y2278" s="152"/>
      <c r="Z2278" s="152"/>
      <c r="AA2278" s="152"/>
      <c r="AB2278" s="152"/>
    </row>
    <row r="2279" spans="1:28">
      <c r="A2279" s="152"/>
      <c r="B2279" s="193" t="s">
        <v>192</v>
      </c>
      <c r="C2279" s="1419"/>
      <c r="D2279" s="1420">
        <f ca="1">IF(LEFT(D$6,4)&lt;=LEFT('RFM input'!$G$60,4),"enter input",IF(LEFT(D$6,4)&gt;LEFT('RFM input'!$Q$60,4),0,
IF(D$6=(OFFSET('RFM input'!$G$60,0,'RFM input'!$V$7)),OFFSET('RFM input'!$H$411,$A2277,0),0)))</f>
        <v>0</v>
      </c>
      <c r="E2279" s="1417">
        <f ca="1">IF(LEFT(E$6,4)&lt;=LEFT('RFM input'!$G$60,4),"enter input",IF(LEFT(E$6,4)&gt;LEFT('RFM input'!$Q$60,4),0,
IF(E$6=(OFFSET('RFM input'!$G$60,0,'RFM input'!$V$7)),OFFSET('RFM input'!$H$411,$A2277,0),0)))</f>
        <v>0</v>
      </c>
      <c r="F2279" s="1417">
        <f ca="1">IF(LEFT(F$6,4)&lt;=LEFT('RFM input'!$G$60,4),"enter input",IF(LEFT(F$6,4)&gt;LEFT('RFM input'!$Q$60,4),0,
IF(F$6=(OFFSET('RFM input'!$G$60,0,'RFM input'!$V$7)),OFFSET('RFM input'!$H$411,$A2277,0),0)))</f>
        <v>0</v>
      </c>
      <c r="G2279" s="1417">
        <f ca="1">IF(LEFT(G$6,4)&lt;=LEFT('RFM input'!$G$60,4),"enter input",IF(LEFT(G$6,4)&gt;LEFT('RFM input'!$Q$60,4),0,
IF(G$6=(OFFSET('RFM input'!$G$60,0,'RFM input'!$V$7)),OFFSET('RFM input'!$H$411,$A2277,0),0)))</f>
        <v>0</v>
      </c>
      <c r="H2279" s="1417">
        <f ca="1">IF(LEFT(H$6,4)&lt;=LEFT('RFM input'!$G$60,4),"enter input",IF(LEFT(H$6,4)&gt;LEFT('RFM input'!$Q$60,4),0,
IF(H$6=(OFFSET('RFM input'!$G$60,0,'RFM input'!$V$7)),OFFSET('RFM input'!$H$411,$A2277,0),0)))</f>
        <v>0</v>
      </c>
      <c r="I2279" s="1417">
        <f ca="1">IF(LEFT(I$6,4)&lt;=LEFT('RFM input'!$G$60,4),"enter input",IF(LEFT(I$6,4)&gt;LEFT('RFM input'!$Q$60,4),0,
IF(I$6=(OFFSET('RFM input'!$G$60,0,'RFM input'!$V$7)),OFFSET('RFM input'!$H$411,$A2277,0),0)))</f>
        <v>0</v>
      </c>
      <c r="J2279" s="1417">
        <f ca="1">IF(LEFT(J$6,4)&lt;=LEFT('RFM input'!$G$60,4),"enter input",IF(LEFT(J$6,4)&gt;LEFT('RFM input'!$Q$60,4),0,
IF(J$6=(OFFSET('RFM input'!$G$60,0,'RFM input'!$V$7)),OFFSET('RFM input'!$H$411,$A2277,0),0)))</f>
        <v>0</v>
      </c>
      <c r="K2279" s="1417">
        <f ca="1">IF(LEFT(K$6,4)&lt;=LEFT('RFM input'!$G$60,4),"enter input",IF(LEFT(K$6,4)&gt;LEFT('RFM input'!$Q$60,4),0,
IF(K$6=(OFFSET('RFM input'!$G$60,0,'RFM input'!$V$7)),OFFSET('RFM input'!$H$411,$A2277,0),0)))</f>
        <v>0</v>
      </c>
      <c r="L2279" s="1417">
        <f ca="1">IF(LEFT(L$6,4)&lt;=LEFT('RFM input'!$G$60,4),"enter input",IF(LEFT(L$6,4)&gt;LEFT('RFM input'!$Q$60,4),0,
IF(L$6=(OFFSET('RFM input'!$G$60,0,'RFM input'!$V$7)),OFFSET('RFM input'!$H$411,$A2277,0),0)))</f>
        <v>0</v>
      </c>
      <c r="M2279" s="1417">
        <f ca="1">IF(LEFT(M$6,4)&lt;=LEFT('RFM input'!$G$60,4),"enter input",IF(LEFT(M$6,4)&gt;LEFT('RFM input'!$Q$60,4),0,
IF(M$6=(OFFSET('RFM input'!$G$60,0,'RFM input'!$V$7)),OFFSET('RFM input'!$H$411,$A2277,0),0)))</f>
        <v>0</v>
      </c>
      <c r="N2279" s="1417">
        <f ca="1">IF(LEFT(N$6,4)&lt;=LEFT('RFM input'!$G$60,4),"enter input",IF(LEFT(N$6,4)&gt;LEFT('RFM input'!$Q$60,4),0,
IF(N$6=(OFFSET('RFM input'!$G$60,0,'RFM input'!$V$7)),OFFSET('RFM input'!$H$411,$A2277,0),0)))</f>
        <v>0</v>
      </c>
      <c r="O2279" s="1417">
        <f ca="1">IF(LEFT(O$6,4)&lt;=LEFT('RFM input'!$G$60,4),"enter input",IF(LEFT(O$6,4)&gt;LEFT('RFM input'!$Q$60,4),0,
IF(O$6=(OFFSET('RFM input'!$G$60,0,'RFM input'!$V$7)),OFFSET('RFM input'!$H$411,$A2277,0),0)))</f>
        <v>0</v>
      </c>
      <c r="P2279" s="1417">
        <f ca="1">IF(LEFT(P$6,4)&lt;=LEFT('RFM input'!$G$60,4),"enter input",IF(LEFT(P$6,4)&gt;LEFT('RFM input'!$Q$60,4),0,
IF(P$6=(OFFSET('RFM input'!$G$60,0,'RFM input'!$V$7)),OFFSET('RFM input'!$H$411,$A2277,0),0)))</f>
        <v>0</v>
      </c>
      <c r="Q2279" s="1417">
        <f ca="1">IF(LEFT(Q$6,4)&lt;=LEFT('RFM input'!$G$60,4),"enter input",IF(LEFT(Q$6,4)&gt;LEFT('RFM input'!$Q$60,4),0,
IF(Q$6=(OFFSET('RFM input'!$G$60,0,'RFM input'!$V$7)),OFFSET('RFM input'!$H$411,$A2277,0),0)))</f>
        <v>0</v>
      </c>
      <c r="R2279" s="1417">
        <f ca="1">IF(LEFT(R$6,4)&lt;=LEFT('RFM input'!$G$60,4),"enter input",IF(LEFT(R$6,4)&gt;LEFT('RFM input'!$Q$60,4),0,
IF(R$6=(OFFSET('RFM input'!$G$60,0,'RFM input'!$V$7)),OFFSET('RFM input'!$H$411,$A2277,0),0)))</f>
        <v>0</v>
      </c>
      <c r="S2279" s="1417">
        <f ca="1">IF(LEFT(S$6,4)&lt;=LEFT('RFM input'!$G$60,4),"enter input",IF(LEFT(S$6,4)&gt;LEFT('RFM input'!$Q$60,4),0,
IF(S$6=(OFFSET('RFM input'!$G$60,0,'RFM input'!$V$7)),OFFSET('RFM input'!$H$411,$A2277,0),0)))</f>
        <v>0</v>
      </c>
      <c r="T2279" s="1417">
        <f ca="1">IF(LEFT(T$6,4)&lt;=LEFT('RFM input'!$G$60,4),"enter input",IF(LEFT(T$6,4)&gt;LEFT('RFM input'!$Q$60,4),0,
IF(T$6=(OFFSET('RFM input'!$G$60,0,'RFM input'!$V$7)),OFFSET('RFM input'!$H$411,$A2277,0),0)))</f>
        <v>0</v>
      </c>
      <c r="U2279" s="1417">
        <f ca="1">IF(LEFT(U$6,4)&lt;=LEFT('RFM input'!$G$60,4),"enter input",IF(LEFT(U$6,4)&gt;LEFT('RFM input'!$Q$60,4),0,
IF(U$6=(OFFSET('RFM input'!$G$60,0,'RFM input'!$V$7)),OFFSET('RFM input'!$H$411,$A2277,0),0)))</f>
        <v>0</v>
      </c>
      <c r="V2279" s="1417">
        <f ca="1">IF(LEFT(V$6,4)&lt;=LEFT('RFM input'!$G$60,4),"enter input",IF(LEFT(V$6,4)&gt;LEFT('RFM input'!$Q$60,4),0,
IF(V$6=(OFFSET('RFM input'!$G$60,0,'RFM input'!$V$7)),OFFSET('RFM input'!$H$411,$A2277,0),0)))</f>
        <v>0</v>
      </c>
      <c r="W2279" s="1417">
        <f ca="1">IF(LEFT(W$6,4)&lt;=LEFT('RFM input'!$G$60,4),"enter input",IF(LEFT(W$6,4)&gt;LEFT('RFM input'!$Q$60,4),0,
IF(W$6=(OFFSET('RFM input'!$G$60,0,'RFM input'!$V$7)),OFFSET('RFM input'!$H$411,$A2277,0),0)))</f>
        <v>0</v>
      </c>
      <c r="X2279" s="152"/>
      <c r="Y2279" s="152"/>
      <c r="Z2279" s="152"/>
      <c r="AA2279" s="152"/>
      <c r="AB2279" s="152"/>
    </row>
    <row r="2280" spans="1:28">
      <c r="A2280" s="152"/>
      <c r="B2280" s="193" t="s">
        <v>200</v>
      </c>
      <c r="C2280" s="1419"/>
      <c r="D2280" s="1418">
        <f ca="1">IF(LEFT(D$6,4)&lt;=LEFT('RFM input'!$G$60,4),"enter input",IF(LEFT(D$6,4)&gt;LEFT('RFM input'!$Q$60,4),0,
IF(D$6=(OFFSET('RFM input'!$G$60,0,'RFM input'!$V$7)),OFFSET('RFM input'!$J$411,$A2277,0),0)))</f>
        <v>0</v>
      </c>
      <c r="E2280" s="1422">
        <f ca="1">IF(LEFT(E$6,4)&lt;=LEFT('RFM input'!$G$60,4),"enter input",IF(LEFT(E$6,4)&gt;LEFT('RFM input'!$Q$60,4),0,
IF(E$6=(OFFSET('RFM input'!$G$60,0,'RFM input'!$V$7)),OFFSET('RFM input'!$J$411,$A2277,0),0)))</f>
        <v>0</v>
      </c>
      <c r="F2280" s="1422">
        <f ca="1">IF(LEFT(F$6,4)&lt;=LEFT('RFM input'!$G$60,4),"enter input",IF(LEFT(F$6,4)&gt;LEFT('RFM input'!$Q$60,4),0,
IF(F$6=(OFFSET('RFM input'!$G$60,0,'RFM input'!$V$7)),OFFSET('RFM input'!$J$411,$A2277,0),0)))</f>
        <v>0</v>
      </c>
      <c r="G2280" s="1422">
        <f ca="1">IF(LEFT(G$6,4)&lt;=LEFT('RFM input'!$G$60,4),"enter input",IF(LEFT(G$6,4)&gt;LEFT('RFM input'!$Q$60,4),0,
IF(G$6=(OFFSET('RFM input'!$G$60,0,'RFM input'!$V$7)),OFFSET('RFM input'!$J$411,$A2277,0),0)))</f>
        <v>0</v>
      </c>
      <c r="H2280" s="1422">
        <f ca="1">IF(LEFT(H$6,4)&lt;=LEFT('RFM input'!$G$60,4),"enter input",IF(LEFT(H$6,4)&gt;LEFT('RFM input'!$Q$60,4),0,
IF(H$6=(OFFSET('RFM input'!$G$60,0,'RFM input'!$V$7)),OFFSET('RFM input'!$J$411,$A2277,0),0)))</f>
        <v>0</v>
      </c>
      <c r="I2280" s="1422">
        <f ca="1">IF(LEFT(I$6,4)&lt;=LEFT('RFM input'!$G$60,4),"enter input",IF(LEFT(I$6,4)&gt;LEFT('RFM input'!$Q$60,4),0,
IF(I$6=(OFFSET('RFM input'!$G$60,0,'RFM input'!$V$7)),OFFSET('RFM input'!$J$411,$A2277,0),0)))</f>
        <v>0</v>
      </c>
      <c r="J2280" s="1422">
        <f ca="1">IF(LEFT(J$6,4)&lt;=LEFT('RFM input'!$G$60,4),"enter input",IF(LEFT(J$6,4)&gt;LEFT('RFM input'!$Q$60,4),0,
IF(J$6=(OFFSET('RFM input'!$G$60,0,'RFM input'!$V$7)),OFFSET('RFM input'!$J$411,$A2277,0),0)))</f>
        <v>0</v>
      </c>
      <c r="K2280" s="1422">
        <f ca="1">IF(LEFT(K$6,4)&lt;=LEFT('RFM input'!$G$60,4),"enter input",IF(LEFT(K$6,4)&gt;LEFT('RFM input'!$Q$60,4),0,
IF(K$6=(OFFSET('RFM input'!$G$60,0,'RFM input'!$V$7)),OFFSET('RFM input'!$J$411,$A2277,0),0)))</f>
        <v>0</v>
      </c>
      <c r="L2280" s="1422">
        <f ca="1">IF(LEFT(L$6,4)&lt;=LEFT('RFM input'!$G$60,4),"enter input",IF(LEFT(L$6,4)&gt;LEFT('RFM input'!$Q$60,4),0,
IF(L$6=(OFFSET('RFM input'!$G$60,0,'RFM input'!$V$7)),OFFSET('RFM input'!$J$411,$A2277,0),0)))</f>
        <v>0</v>
      </c>
      <c r="M2280" s="1422">
        <f ca="1">IF(LEFT(M$6,4)&lt;=LEFT('RFM input'!$G$60,4),"enter input",IF(LEFT(M$6,4)&gt;LEFT('RFM input'!$Q$60,4),0,
IF(M$6=(OFFSET('RFM input'!$G$60,0,'RFM input'!$V$7)),OFFSET('RFM input'!$J$411,$A2277,0),0)))</f>
        <v>0</v>
      </c>
      <c r="N2280" s="1422">
        <f ca="1">IF(LEFT(N$6,4)&lt;=LEFT('RFM input'!$G$60,4),"enter input",IF(LEFT(N$6,4)&gt;LEFT('RFM input'!$Q$60,4),0,
IF(N$6=(OFFSET('RFM input'!$G$60,0,'RFM input'!$V$7)),OFFSET('RFM input'!$J$411,$A2277,0),0)))</f>
        <v>0</v>
      </c>
      <c r="O2280" s="1422">
        <f ca="1">IF(LEFT(O$6,4)&lt;=LEFT('RFM input'!$G$60,4),"enter input",IF(LEFT(O$6,4)&gt;LEFT('RFM input'!$Q$60,4),0,
IF(O$6=(OFFSET('RFM input'!$G$60,0,'RFM input'!$V$7)),OFFSET('RFM input'!$J$411,$A2277,0),0)))</f>
        <v>0</v>
      </c>
      <c r="P2280" s="1422">
        <f ca="1">IF(LEFT(P$6,4)&lt;=LEFT('RFM input'!$G$60,4),"enter input",IF(LEFT(P$6,4)&gt;LEFT('RFM input'!$Q$60,4),0,
IF(P$6=(OFFSET('RFM input'!$G$60,0,'RFM input'!$V$7)),OFFSET('RFM input'!$J$411,$A2277,0),0)))</f>
        <v>0</v>
      </c>
      <c r="Q2280" s="1422">
        <f ca="1">IF(LEFT(Q$6,4)&lt;=LEFT('RFM input'!$G$60,4),"enter input",IF(LEFT(Q$6,4)&gt;LEFT('RFM input'!$Q$60,4),0,
IF(Q$6=(OFFSET('RFM input'!$G$60,0,'RFM input'!$V$7)),OFFSET('RFM input'!$J$411,$A2277,0),0)))</f>
        <v>0</v>
      </c>
      <c r="R2280" s="1422">
        <f ca="1">IF(LEFT(R$6,4)&lt;=LEFT('RFM input'!$G$60,4),"enter input",IF(LEFT(R$6,4)&gt;LEFT('RFM input'!$Q$60,4),0,
IF(R$6=(OFFSET('RFM input'!$G$60,0,'RFM input'!$V$7)),OFFSET('RFM input'!$J$411,$A2277,0),0)))</f>
        <v>0</v>
      </c>
      <c r="S2280" s="1422">
        <f ca="1">IF(LEFT(S$6,4)&lt;=LEFT('RFM input'!$G$60,4),"enter input",IF(LEFT(S$6,4)&gt;LEFT('RFM input'!$Q$60,4),0,
IF(S$6=(OFFSET('RFM input'!$G$60,0,'RFM input'!$V$7)),OFFSET('RFM input'!$J$411,$A2277,0),0)))</f>
        <v>0</v>
      </c>
      <c r="T2280" s="1422">
        <f ca="1">IF(LEFT(T$6,4)&lt;=LEFT('RFM input'!$G$60,4),"enter input",IF(LEFT(T$6,4)&gt;LEFT('RFM input'!$Q$60,4),0,
IF(T$6=(OFFSET('RFM input'!$G$60,0,'RFM input'!$V$7)),OFFSET('RFM input'!$J$411,$A2277,0),0)))</f>
        <v>0</v>
      </c>
      <c r="U2280" s="1422">
        <f ca="1">IF(LEFT(U$6,4)&lt;=LEFT('RFM input'!$G$60,4),"enter input",IF(LEFT(U$6,4)&gt;LEFT('RFM input'!$Q$60,4),0,
IF(U$6=(OFFSET('RFM input'!$G$60,0,'RFM input'!$V$7)),OFFSET('RFM input'!$J$411,$A2277,0),0)))</f>
        <v>0</v>
      </c>
      <c r="V2280" s="1422">
        <f ca="1">IF(LEFT(V$6,4)&lt;=LEFT('RFM input'!$G$60,4),"enter input",IF(LEFT(V$6,4)&gt;LEFT('RFM input'!$Q$60,4),0,
IF(V$6=(OFFSET('RFM input'!$G$60,0,'RFM input'!$V$7)),OFFSET('RFM input'!$J$411,$A2277,0),0)))</f>
        <v>0</v>
      </c>
      <c r="W2280" s="1422">
        <f ca="1">IF(LEFT(W$6,4)&lt;=LEFT('RFM input'!$G$60,4),"enter input",IF(LEFT(W$6,4)&gt;LEFT('RFM input'!$Q$60,4),0,
IF(W$6=(OFFSET('RFM input'!$G$60,0,'RFM input'!$V$7)),OFFSET('RFM input'!$J$411,$A2277,0),0)))</f>
        <v>0</v>
      </c>
      <c r="X2280" s="152"/>
      <c r="Y2280" s="152"/>
      <c r="Z2280" s="152"/>
      <c r="AA2280" s="152"/>
      <c r="AB2280" s="152"/>
    </row>
    <row r="2281" spans="1:28" hidden="1" outlineLevel="1">
      <c r="A2281" s="235">
        <v>-1</v>
      </c>
      <c r="B2281" s="190" t="s">
        <v>195</v>
      </c>
      <c r="C2281" s="1423"/>
      <c r="D2281" s="1423">
        <f t="shared" ref="D2281" ca="1" si="3312">IF(AND(D2279=0,C2281=0),0,
IF(AND(D2279&lt;&gt;0,C2281=0),D2279,
IF(AND(D2280&lt;&gt;0,C2281&lt;&gt;0),(C2281-(C2281/C2305))+D2279,
IF(C2305&lt;1,0,(C2281-(C2281/C2305))))))</f>
        <v>0</v>
      </c>
      <c r="E2281" s="1423">
        <f t="shared" ref="E2281" ca="1" si="3313">IF(AND(E2279=0,D2281=0),0,
IF(AND(E2279&lt;&gt;0,D2281=0),E2279,
IF(AND(E2280&lt;&gt;0,D2281&lt;&gt;0),(D2281-(D2281/D2305))+E2279,
IF(D2305&lt;1,0,(D2281-(D2281/D2305))))))</f>
        <v>0</v>
      </c>
      <c r="F2281" s="1423">
        <f t="shared" ref="F2281" ca="1" si="3314">IF(AND(F2279=0,E2281=0),0,
IF(AND(F2279&lt;&gt;0,E2281=0),F2279,
IF(AND(F2280&lt;&gt;0,E2281&lt;&gt;0),(E2281-(E2281/E2305))+F2279,
IF(E2305&lt;1,0,(E2281-(E2281/E2305))))))</f>
        <v>0</v>
      </c>
      <c r="G2281" s="1423">
        <f t="shared" ref="G2281" ca="1" si="3315">IF(AND(G2279=0,F2281=0),0,
IF(AND(G2279&lt;&gt;0,F2281=0),G2279,
IF(AND(G2280&lt;&gt;0,F2281&lt;&gt;0),(F2281-(F2281/F2305))+G2279,
IF(F2305&lt;1,0,(F2281-(F2281/F2305))))))</f>
        <v>0</v>
      </c>
      <c r="H2281" s="1423">
        <f ca="1">IF(AND(H2279=0,G2281=0),0,
IF(AND(H2279&lt;&gt;0,G2281=0),H2279,
IF(AND(H2280&lt;&gt;0,G2281&lt;&gt;0),(G2281-(G2281/G2305))+H2279,
IF(G2305&lt;1,0,(G2281-(G2281/G2305))))))</f>
        <v>0</v>
      </c>
      <c r="I2281" s="1423">
        <f t="shared" ref="I2281" ca="1" si="3316">IF(AND(I2279=0,H2281=0),0,
IF(AND(I2279&lt;&gt;0,H2281=0),I2279,
IF(AND(I2280&lt;&gt;0,H2281&lt;&gt;0),(H2281-(H2281/H2305))+I2279,
IF(H2305&lt;1,0,(H2281-(H2281/H2305))))))</f>
        <v>0</v>
      </c>
      <c r="J2281" s="1423">
        <f t="shared" ref="J2281" ca="1" si="3317">IF(AND(J2279=0,I2281=0),0,
IF(AND(J2279&lt;&gt;0,I2281=0),J2279,
IF(AND(J2280&lt;&gt;0,I2281&lt;&gt;0),(I2281-(I2281/I2305))+J2279,
IF(I2305&lt;1,0,(I2281-(I2281/I2305))))))</f>
        <v>0</v>
      </c>
      <c r="K2281" s="1423">
        <f t="shared" ref="K2281" ca="1" si="3318">IF(AND(K2279=0,J2281=0),0,
IF(AND(K2279&lt;&gt;0,J2281=0),K2279,
IF(AND(K2280&lt;&gt;0,J2281&lt;&gt;0),(J2281-(J2281/J2305))+K2279,
IF(J2305&lt;1,0,(J2281-(J2281/J2305))))))</f>
        <v>0</v>
      </c>
      <c r="L2281" s="1423">
        <f t="shared" ref="L2281" ca="1" si="3319">IF(AND(L2279=0,K2281=0),0,
IF(AND(L2279&lt;&gt;0,K2281=0),L2279,
IF(AND(L2280&lt;&gt;0,K2281&lt;&gt;0),(K2281-(K2281/K2305))+L2279,
IF(K2305&lt;1,0,(K2281-(K2281/K2305))))))</f>
        <v>0</v>
      </c>
      <c r="M2281" s="1423">
        <f t="shared" ref="M2281" ca="1" si="3320">IF(AND(M2279=0,L2281=0),0,
IF(AND(M2279&lt;&gt;0,L2281=0),M2279,
IF(AND(M2280&lt;&gt;0,L2281&lt;&gt;0),(L2281-(L2281/L2305))+M2279,
IF(L2305&lt;1,0,(L2281-(L2281/L2305))))))</f>
        <v>0</v>
      </c>
      <c r="N2281" s="1423">
        <f t="shared" ref="N2281" ca="1" si="3321">IF(AND(N2279=0,M2281=0),0,
IF(AND(N2279&lt;&gt;0,M2281=0),N2279,
IF(AND(N2280&lt;&gt;0,M2281&lt;&gt;0),(M2281-(M2281/M2305))+N2279,
IF(M2305&lt;1,0,(M2281-(M2281/M2305))))))</f>
        <v>0</v>
      </c>
      <c r="O2281" s="1423">
        <f t="shared" ref="O2281" ca="1" si="3322">IF(AND(O2279=0,N2281=0),0,
IF(AND(O2279&lt;&gt;0,N2281=0),O2279,
IF(AND(O2280&lt;&gt;0,N2281&lt;&gt;0),(N2281-(N2281/N2305))+O2279,
IF(N2305&lt;1,0,(N2281-(N2281/N2305))))))</f>
        <v>0</v>
      </c>
      <c r="P2281" s="1423">
        <f t="shared" ref="P2281" ca="1" si="3323">IF(AND(P2279=0,O2281=0),0,
IF(AND(P2279&lt;&gt;0,O2281=0),P2279,
IF(AND(P2280&lt;&gt;0,O2281&lt;&gt;0),(O2281-(O2281/O2305))+P2279,
IF(O2305&lt;1,0,(O2281-(O2281/O2305))))))</f>
        <v>0</v>
      </c>
      <c r="Q2281" s="1423">
        <f t="shared" ref="Q2281" ca="1" si="3324">IF(AND(Q2279=0,P2281=0),0,
IF(AND(Q2279&lt;&gt;0,P2281=0),Q2279,
IF(AND(Q2280&lt;&gt;0,P2281&lt;&gt;0),(P2281-(P2281/P2305))+Q2279,
IF(P2305&lt;1,0,(P2281-(P2281/P2305))))))</f>
        <v>0</v>
      </c>
      <c r="R2281" s="1423">
        <f t="shared" ref="R2281" ca="1" si="3325">IF(AND(R2279=0,Q2281=0),0,
IF(AND(R2279&lt;&gt;0,Q2281=0),R2279,
IF(AND(R2280&lt;&gt;0,Q2281&lt;&gt;0),(Q2281-(Q2281/Q2305))+R2279,
IF(Q2305&lt;1,0,(Q2281-(Q2281/Q2305))))))</f>
        <v>0</v>
      </c>
      <c r="S2281" s="1423">
        <f t="shared" ref="S2281" ca="1" si="3326">IF(AND(S2279=0,R2281=0),0,
IF(AND(S2279&lt;&gt;0,R2281=0),S2279,
IF(AND(S2280&lt;&gt;0,R2281&lt;&gt;0),(R2281-(R2281/R2305))+S2279,
IF(R2305&lt;1,0,(R2281-(R2281/R2305))))))</f>
        <v>0</v>
      </c>
      <c r="T2281" s="1423">
        <f t="shared" ref="T2281" ca="1" si="3327">IF(AND(T2279=0,S2281=0),0,
IF(AND(T2279&lt;&gt;0,S2281=0),T2279,
IF(AND(T2280&lt;&gt;0,S2281&lt;&gt;0),(S2281-(S2281/S2305))+T2279,
IF(S2305&lt;1,0,(S2281-(S2281/S2305))))))</f>
        <v>0</v>
      </c>
      <c r="U2281" s="1423">
        <f t="shared" ref="U2281" ca="1" si="3328">IF(AND(U2279=0,T2281=0),0,
IF(AND(U2279&lt;&gt;0,T2281=0),U2279,
IF(AND(U2280&lt;&gt;0,T2281&lt;&gt;0),(T2281-(T2281/T2305))+U2279,
IF(T2305&lt;1,0,(T2281-(T2281/T2305))))))</f>
        <v>0</v>
      </c>
      <c r="V2281" s="1423">
        <f t="shared" ref="V2281" ca="1" si="3329">IF(AND(V2279=0,U2281=0),0,
IF(AND(V2279&lt;&gt;0,U2281=0),V2279,
IF(AND(V2280&lt;&gt;0,U2281&lt;&gt;0),(U2281-(U2281/U2305))+V2279,
IF(U2305&lt;1,0,(U2281-(U2281/U2305))))))</f>
        <v>0</v>
      </c>
      <c r="W2281" s="1423">
        <f t="shared" ref="W2281" ca="1" si="3330">IF(AND(W2279=0,V2281=0),0,
IF(AND(W2279&lt;&gt;0,V2281=0),W2279,
IF(AND(W2280&lt;&gt;0,V2281&lt;&gt;0),(V2281-(V2281/V2305))+W2279,
IF(V2305&lt;1,0,(V2281-(V2281/V2305))))))</f>
        <v>0</v>
      </c>
      <c r="X2281" s="152"/>
      <c r="Y2281" s="152"/>
      <c r="Z2281" s="152"/>
      <c r="AA2281" s="152"/>
      <c r="AB2281" s="152"/>
    </row>
    <row r="2282" spans="1:28" hidden="1" outlineLevel="1">
      <c r="A2282" s="199">
        <f>A2281+1</f>
        <v>0</v>
      </c>
      <c r="B2282" s="190" t="s">
        <v>527</v>
      </c>
      <c r="C2282" s="1423">
        <f ca="1">C2277</f>
        <v>0</v>
      </c>
      <c r="D2282" s="1423">
        <f ca="1">IF(C2306="n/a",C2282,IFERROR(IF((OFFSET($C2282,0,$A2282))&lt;0,
MIN(0,C2282-(OFFSET($C2282,0,$A2282)/(OFFSET($C2277,-$A2281,$A2282)))),
MAX(0,C2282-(OFFSET($C2282,0,$A2282)/(OFFSET($C2277,-$A2281,$A2282))))),0))</f>
        <v>0</v>
      </c>
      <c r="E2282" s="1423">
        <f t="shared" ref="E2282" ca="1" si="3331">IF(D2306="n/a",D2282,IFERROR(IF((OFFSET($C2282,0,$A2282))&lt;0,
MIN(0,D2282-(OFFSET($C2282,0,$A2282)/(OFFSET($C2277,-$A2281,$A2282)))),
MAX(0,D2282-(OFFSET($C2282,0,$A2282)/(OFFSET($C2277,-$A2281,$A2282))))),0))</f>
        <v>0</v>
      </c>
      <c r="F2282" s="1423">
        <f t="shared" ref="F2282:F2283" ca="1" si="3332">IF(E2306="n/a",E2282,IFERROR(IF((OFFSET($C2282,0,$A2282))&lt;0,
MIN(0,E2282-(OFFSET($C2282,0,$A2282)/(OFFSET($C2277,-$A2281,$A2282)))),
MAX(0,E2282-(OFFSET($C2282,0,$A2282)/(OFFSET($C2277,-$A2281,$A2282))))),0))</f>
        <v>0</v>
      </c>
      <c r="G2282" s="1423">
        <f t="shared" ref="G2282:G2284" ca="1" si="3333">IF(F2306="n/a",F2282,IFERROR(IF((OFFSET($C2282,0,$A2282))&lt;0,
MIN(0,F2282-(OFFSET($C2282,0,$A2282)/(OFFSET($C2277,-$A2281,$A2282)))),
MAX(0,F2282-(OFFSET($C2282,0,$A2282)/(OFFSET($C2277,-$A2281,$A2282))))),0))</f>
        <v>0</v>
      </c>
      <c r="H2282" s="1423">
        <f t="shared" ref="H2282:H2285" ca="1" si="3334">IF(G2306="n/a",G2282,IFERROR(IF((OFFSET($C2282,0,$A2282))&lt;0,
MIN(0,G2282-(OFFSET($C2282,0,$A2282)/(OFFSET($C2277,-$A2281,$A2282)))),
MAX(0,G2282-(OFFSET($C2282,0,$A2282)/(OFFSET($C2277,-$A2281,$A2282))))),0))</f>
        <v>0</v>
      </c>
      <c r="I2282" s="1423">
        <f t="shared" ref="I2282:I2286" ca="1" si="3335">IF(H2306="n/a",H2282,IFERROR(IF((OFFSET($C2282,0,$A2282))&lt;0,
MIN(0,H2282-(OFFSET($C2282,0,$A2282)/(OFFSET($C2277,-$A2281,$A2282)))),
MAX(0,H2282-(OFFSET($C2282,0,$A2282)/(OFFSET($C2277,-$A2281,$A2282))))),0))</f>
        <v>0</v>
      </c>
      <c r="J2282" s="1423">
        <f t="shared" ref="J2282:J2287" ca="1" si="3336">IF(I2306="n/a",I2282,IFERROR(IF((OFFSET($C2282,0,$A2282))&lt;0,
MIN(0,I2282-(OFFSET($C2282,0,$A2282)/(OFFSET($C2277,-$A2281,$A2282)))),
MAX(0,I2282-(OFFSET($C2282,0,$A2282)/(OFFSET($C2277,-$A2281,$A2282))))),0))</f>
        <v>0</v>
      </c>
      <c r="K2282" s="1423">
        <f t="shared" ref="K2282:K2288" ca="1" si="3337">IF(J2306="n/a",J2282,IFERROR(IF((OFFSET($C2282,0,$A2282))&lt;0,
MIN(0,J2282-(OFFSET($C2282,0,$A2282)/(OFFSET($C2277,-$A2281,$A2282)))),
MAX(0,J2282-(OFFSET($C2282,0,$A2282)/(OFFSET($C2277,-$A2281,$A2282))))),0))</f>
        <v>0</v>
      </c>
      <c r="L2282" s="1423">
        <f t="shared" ref="L2282:L2289" ca="1" si="3338">IF(K2306="n/a",K2282,IFERROR(IF((OFFSET($C2282,0,$A2282))&lt;0,
MIN(0,K2282-(OFFSET($C2282,0,$A2282)/(OFFSET($C2277,-$A2281,$A2282)))),
MAX(0,K2282-(OFFSET($C2282,0,$A2282)/(OFFSET($C2277,-$A2281,$A2282))))),0))</f>
        <v>0</v>
      </c>
      <c r="M2282" s="1423">
        <f t="shared" ref="M2282:M2290" ca="1" si="3339">IF(L2306="n/a",L2282,IFERROR(IF((OFFSET($C2282,0,$A2282))&lt;0,
MIN(0,L2282-(OFFSET($C2282,0,$A2282)/(OFFSET($C2277,-$A2281,$A2282)))),
MAX(0,L2282-(OFFSET($C2282,0,$A2282)/(OFFSET($C2277,-$A2281,$A2282))))),0))</f>
        <v>0</v>
      </c>
      <c r="N2282" s="1423">
        <f t="shared" ref="N2282:N2291" ca="1" si="3340">IF(M2306="n/a",M2282,IFERROR(IF((OFFSET($C2282,0,$A2282))&lt;0,
MIN(0,M2282-(OFFSET($C2282,0,$A2282)/(OFFSET($C2277,-$A2281,$A2282)))),
MAX(0,M2282-(OFFSET($C2282,0,$A2282)/(OFFSET($C2277,-$A2281,$A2282))))),0))</f>
        <v>0</v>
      </c>
      <c r="O2282" s="1423">
        <f t="shared" ref="O2282:O2292" ca="1" si="3341">IF(N2306="n/a",N2282,IFERROR(IF((OFFSET($C2282,0,$A2282))&lt;0,
MIN(0,N2282-(OFFSET($C2282,0,$A2282)/(OFFSET($C2277,-$A2281,$A2282)))),
MAX(0,N2282-(OFFSET($C2282,0,$A2282)/(OFFSET($C2277,-$A2281,$A2282))))),0))</f>
        <v>0</v>
      </c>
      <c r="P2282" s="1423">
        <f t="shared" ref="P2282:P2293" ca="1" si="3342">IF(O2306="n/a",O2282,IFERROR(IF((OFFSET($C2282,0,$A2282))&lt;0,
MIN(0,O2282-(OFFSET($C2282,0,$A2282)/(OFFSET($C2277,-$A2281,$A2282)))),
MAX(0,O2282-(OFFSET($C2282,0,$A2282)/(OFFSET($C2277,-$A2281,$A2282))))),0))</f>
        <v>0</v>
      </c>
      <c r="Q2282" s="1423">
        <f t="shared" ref="Q2282:Q2294" ca="1" si="3343">IF(P2306="n/a",P2282,IFERROR(IF((OFFSET($C2282,0,$A2282))&lt;0,
MIN(0,P2282-(OFFSET($C2282,0,$A2282)/(OFFSET($C2277,-$A2281,$A2282)))),
MAX(0,P2282-(OFFSET($C2282,0,$A2282)/(OFFSET($C2277,-$A2281,$A2282))))),0))</f>
        <v>0</v>
      </c>
      <c r="R2282" s="1423">
        <f t="shared" ref="R2282:R2295" ca="1" si="3344">IF(Q2306="n/a",Q2282,IFERROR(IF((OFFSET($C2282,0,$A2282))&lt;0,
MIN(0,Q2282-(OFFSET($C2282,0,$A2282)/(OFFSET($C2277,-$A2281,$A2282)))),
MAX(0,Q2282-(OFFSET($C2282,0,$A2282)/(OFFSET($C2277,-$A2281,$A2282))))),0))</f>
        <v>0</v>
      </c>
      <c r="S2282" s="1423">
        <f t="shared" ref="S2282:S2296" ca="1" si="3345">IF(R2306="n/a",R2282,IFERROR(IF((OFFSET($C2282,0,$A2282))&lt;0,
MIN(0,R2282-(OFFSET($C2282,0,$A2282)/(OFFSET($C2277,-$A2281,$A2282)))),
MAX(0,R2282-(OFFSET($C2282,0,$A2282)/(OFFSET($C2277,-$A2281,$A2282))))),0))</f>
        <v>0</v>
      </c>
      <c r="T2282" s="1423">
        <f t="shared" ref="T2282:T2297" ca="1" si="3346">IF(S2306="n/a",S2282,IFERROR(IF((OFFSET($C2282,0,$A2282))&lt;0,
MIN(0,S2282-(OFFSET($C2282,0,$A2282)/(OFFSET($C2277,-$A2281,$A2282)))),
MAX(0,S2282-(OFFSET($C2282,0,$A2282)/(OFFSET($C2277,-$A2281,$A2282))))),0))</f>
        <v>0</v>
      </c>
      <c r="U2282" s="1423">
        <f t="shared" ref="U2282:U2298" ca="1" si="3347">IF(T2306="n/a",T2282,IFERROR(IF((OFFSET($C2282,0,$A2282))&lt;0,
MIN(0,T2282-(OFFSET($C2282,0,$A2282)/(OFFSET($C2277,-$A2281,$A2282)))),
MAX(0,T2282-(OFFSET($C2282,0,$A2282)/(OFFSET($C2277,-$A2281,$A2282))))),0))</f>
        <v>0</v>
      </c>
      <c r="V2282" s="1423">
        <f t="shared" ref="V2282:V2299" ca="1" si="3348">IF(U2306="n/a",U2282,IFERROR(IF((OFFSET($C2282,0,$A2282))&lt;0,
MIN(0,U2282-(OFFSET($C2282,0,$A2282)/(OFFSET($C2277,-$A2281,$A2282)))),
MAX(0,U2282-(OFFSET($C2282,0,$A2282)/(OFFSET($C2277,-$A2281,$A2282))))),0))</f>
        <v>0</v>
      </c>
      <c r="W2282" s="1423">
        <f t="shared" ref="W2282:W2300" ca="1" si="3349">IF(V2306="n/a",V2282,IFERROR(IF((OFFSET($C2282,0,$A2282))&lt;0,
MIN(0,V2282-(OFFSET($C2282,0,$A2282)/(OFFSET($C2277,-$A2281,$A2282)))),
MAX(0,V2282-(OFFSET($C2282,0,$A2282)/(OFFSET($C2277,-$A2281,$A2282))))),0))</f>
        <v>0</v>
      </c>
      <c r="X2282" s="152"/>
      <c r="Y2282" s="152"/>
      <c r="Z2282" s="152"/>
      <c r="AA2282" s="152"/>
      <c r="AB2282" s="152"/>
    </row>
    <row r="2283" spans="1:28" hidden="1" outlineLevel="1">
      <c r="A2283" s="199">
        <f t="shared" ref="A2283:A2302" si="3350">A2282+1</f>
        <v>1</v>
      </c>
      <c r="B2283" s="190" t="str">
        <f t="shared" ref="B2283:B2302" ca="1" si="3351">"Depreciated Net Capex "&amp;OFFSET($C$6,0,A2283)</f>
        <v>Depreciated Net Capex 2016-17</v>
      </c>
      <c r="C2283" s="1424"/>
      <c r="D2283" s="1425">
        <f>D2277</f>
        <v>0</v>
      </c>
      <c r="E2283" s="1423">
        <f ca="1">IF(D2307="n/a",D2283,IFERROR(IF((OFFSET($C2283,0,$A2283))&lt;0,
MIN(0,D2283-(OFFSET($C2283,0,$A2283)/(OFFSET($C2278,-$A2282,$A2283)))),
MAX(0,D2283-(OFFSET($C2283,0,$A2283)/(OFFSET($C2278,-$A2282,$A2283))))),0))</f>
        <v>0</v>
      </c>
      <c r="F2283" s="1423">
        <f t="shared" ca="1" si="3332"/>
        <v>0</v>
      </c>
      <c r="G2283" s="1423">
        <f t="shared" ca="1" si="3333"/>
        <v>0</v>
      </c>
      <c r="H2283" s="1423">
        <f t="shared" ca="1" si="3334"/>
        <v>0</v>
      </c>
      <c r="I2283" s="1423">
        <f t="shared" ca="1" si="3335"/>
        <v>0</v>
      </c>
      <c r="J2283" s="1423">
        <f t="shared" ca="1" si="3336"/>
        <v>0</v>
      </c>
      <c r="K2283" s="1423">
        <f t="shared" ca="1" si="3337"/>
        <v>0</v>
      </c>
      <c r="L2283" s="1423">
        <f t="shared" ca="1" si="3338"/>
        <v>0</v>
      </c>
      <c r="M2283" s="1423">
        <f t="shared" ca="1" si="3339"/>
        <v>0</v>
      </c>
      <c r="N2283" s="1423">
        <f t="shared" ca="1" si="3340"/>
        <v>0</v>
      </c>
      <c r="O2283" s="1423">
        <f t="shared" ca="1" si="3341"/>
        <v>0</v>
      </c>
      <c r="P2283" s="1423">
        <f t="shared" ca="1" si="3342"/>
        <v>0</v>
      </c>
      <c r="Q2283" s="1423">
        <f t="shared" ca="1" si="3343"/>
        <v>0</v>
      </c>
      <c r="R2283" s="1423">
        <f t="shared" ca="1" si="3344"/>
        <v>0</v>
      </c>
      <c r="S2283" s="1423">
        <f t="shared" ca="1" si="3345"/>
        <v>0</v>
      </c>
      <c r="T2283" s="1423">
        <f t="shared" ca="1" si="3346"/>
        <v>0</v>
      </c>
      <c r="U2283" s="1423">
        <f t="shared" ca="1" si="3347"/>
        <v>0</v>
      </c>
      <c r="V2283" s="1423">
        <f t="shared" ca="1" si="3348"/>
        <v>0</v>
      </c>
      <c r="W2283" s="1423">
        <f t="shared" ca="1" si="3349"/>
        <v>0</v>
      </c>
      <c r="X2283" s="152"/>
      <c r="Y2283" s="152"/>
      <c r="Z2283" s="152"/>
      <c r="AA2283" s="152"/>
      <c r="AB2283" s="152"/>
    </row>
    <row r="2284" spans="1:28" hidden="1" outlineLevel="1">
      <c r="A2284" s="199">
        <f t="shared" si="3350"/>
        <v>2</v>
      </c>
      <c r="B2284" s="190" t="str">
        <f t="shared" ca="1" si="3351"/>
        <v>Depreciated Net Capex 2017-18</v>
      </c>
      <c r="C2284" s="1426"/>
      <c r="D2284" s="1427"/>
      <c r="E2284" s="1425">
        <f>E2277</f>
        <v>0</v>
      </c>
      <c r="F2284" s="1423">
        <f ca="1">IF(E2308="n/a",E2284,IFERROR(IF((OFFSET($C2284,0,$A2284))&lt;0,
MIN(0,E2284-(OFFSET($C2284,0,$A2284)/(OFFSET($C2279,-$A2283,$A2284)))),
MAX(0,E2284-(OFFSET($C2284,0,$A2284)/(OFFSET($C2279,-$A2283,$A2284))))),0))</f>
        <v>0</v>
      </c>
      <c r="G2284" s="1423">
        <f t="shared" ca="1" si="3333"/>
        <v>0</v>
      </c>
      <c r="H2284" s="1423">
        <f t="shared" ca="1" si="3334"/>
        <v>0</v>
      </c>
      <c r="I2284" s="1423">
        <f t="shared" ca="1" si="3335"/>
        <v>0</v>
      </c>
      <c r="J2284" s="1423">
        <f t="shared" ca="1" si="3336"/>
        <v>0</v>
      </c>
      <c r="K2284" s="1423">
        <f t="shared" ca="1" si="3337"/>
        <v>0</v>
      </c>
      <c r="L2284" s="1423">
        <f t="shared" ca="1" si="3338"/>
        <v>0</v>
      </c>
      <c r="M2284" s="1423">
        <f t="shared" ca="1" si="3339"/>
        <v>0</v>
      </c>
      <c r="N2284" s="1423">
        <f t="shared" ca="1" si="3340"/>
        <v>0</v>
      </c>
      <c r="O2284" s="1423">
        <f t="shared" ca="1" si="3341"/>
        <v>0</v>
      </c>
      <c r="P2284" s="1423">
        <f t="shared" ca="1" si="3342"/>
        <v>0</v>
      </c>
      <c r="Q2284" s="1423">
        <f t="shared" ca="1" si="3343"/>
        <v>0</v>
      </c>
      <c r="R2284" s="1423">
        <f t="shared" ca="1" si="3344"/>
        <v>0</v>
      </c>
      <c r="S2284" s="1423">
        <f t="shared" ca="1" si="3345"/>
        <v>0</v>
      </c>
      <c r="T2284" s="1423">
        <f t="shared" ca="1" si="3346"/>
        <v>0</v>
      </c>
      <c r="U2284" s="1423">
        <f t="shared" ca="1" si="3347"/>
        <v>0</v>
      </c>
      <c r="V2284" s="1423">
        <f t="shared" ca="1" si="3348"/>
        <v>0</v>
      </c>
      <c r="W2284" s="1423">
        <f t="shared" ca="1" si="3349"/>
        <v>0</v>
      </c>
      <c r="X2284" s="202"/>
      <c r="Y2284" s="152"/>
      <c r="Z2284" s="152"/>
      <c r="AA2284" s="152"/>
      <c r="AB2284" s="152"/>
    </row>
    <row r="2285" spans="1:28" hidden="1" outlineLevel="1">
      <c r="A2285" s="199">
        <f t="shared" si="3350"/>
        <v>3</v>
      </c>
      <c r="B2285" s="190" t="str">
        <f t="shared" ca="1" si="3351"/>
        <v>Depreciated Net Capex 2018-19</v>
      </c>
      <c r="C2285" s="1426"/>
      <c r="D2285" s="1426"/>
      <c r="E2285" s="1427"/>
      <c r="F2285" s="1428">
        <f>F2277</f>
        <v>0</v>
      </c>
      <c r="G2285" s="1423">
        <f ca="1">IF(F2309="n/a",F2285,IFERROR(IF((OFFSET($C2285,0,$A2285))&lt;0,
MIN(0,F2285-(OFFSET($C2285,0,$A2285)/(OFFSET($C2280,-$A2284,$A2285)))),
MAX(0,F2285-(OFFSET($C2285,0,$A2285)/(OFFSET($C2280,-$A2284,$A2285))))),0))</f>
        <v>0</v>
      </c>
      <c r="H2285" s="1423">
        <f t="shared" ca="1" si="3334"/>
        <v>0</v>
      </c>
      <c r="I2285" s="1423">
        <f t="shared" ca="1" si="3335"/>
        <v>0</v>
      </c>
      <c r="J2285" s="1423">
        <f t="shared" ca="1" si="3336"/>
        <v>0</v>
      </c>
      <c r="K2285" s="1423">
        <f t="shared" ca="1" si="3337"/>
        <v>0</v>
      </c>
      <c r="L2285" s="1423">
        <f t="shared" ca="1" si="3338"/>
        <v>0</v>
      </c>
      <c r="M2285" s="1423">
        <f t="shared" ca="1" si="3339"/>
        <v>0</v>
      </c>
      <c r="N2285" s="1423">
        <f t="shared" ca="1" si="3340"/>
        <v>0</v>
      </c>
      <c r="O2285" s="1423">
        <f t="shared" ca="1" si="3341"/>
        <v>0</v>
      </c>
      <c r="P2285" s="1423">
        <f t="shared" ca="1" si="3342"/>
        <v>0</v>
      </c>
      <c r="Q2285" s="1423">
        <f t="shared" ca="1" si="3343"/>
        <v>0</v>
      </c>
      <c r="R2285" s="1423">
        <f t="shared" ca="1" si="3344"/>
        <v>0</v>
      </c>
      <c r="S2285" s="1423">
        <f t="shared" ca="1" si="3345"/>
        <v>0</v>
      </c>
      <c r="T2285" s="1423">
        <f t="shared" ca="1" si="3346"/>
        <v>0</v>
      </c>
      <c r="U2285" s="1423">
        <f t="shared" ca="1" si="3347"/>
        <v>0</v>
      </c>
      <c r="V2285" s="1423">
        <f t="shared" ca="1" si="3348"/>
        <v>0</v>
      </c>
      <c r="W2285" s="1423">
        <f t="shared" ca="1" si="3349"/>
        <v>0</v>
      </c>
      <c r="X2285" s="202"/>
      <c r="Y2285" s="202"/>
      <c r="Z2285" s="152"/>
      <c r="AA2285" s="152"/>
      <c r="AB2285" s="152"/>
    </row>
    <row r="2286" spans="1:28" hidden="1" outlineLevel="1">
      <c r="A2286" s="199">
        <f t="shared" si="3350"/>
        <v>4</v>
      </c>
      <c r="B2286" s="190" t="str">
        <f t="shared" ca="1" si="3351"/>
        <v>Depreciated Net Capex 2019-20</v>
      </c>
      <c r="C2286" s="1426"/>
      <c r="D2286" s="1426"/>
      <c r="E2286" s="1426"/>
      <c r="F2286" s="1427"/>
      <c r="G2286" s="1428">
        <f>G2277</f>
        <v>0</v>
      </c>
      <c r="H2286" s="1423">
        <f ca="1">IF(G2310="n/a",G2286,IFERROR(IF((OFFSET($C2286,0,$A2286))&lt;0,
MIN(0,G2286-(OFFSET($C2286,0,$A2286)/(OFFSET($C2281,-$A2285,$A2286)))),
MAX(0,G2286-(OFFSET($C2286,0,$A2286)/(OFFSET($C2281,-$A2285,$A2286))))),0))</f>
        <v>0</v>
      </c>
      <c r="I2286" s="1423">
        <f t="shared" ca="1" si="3335"/>
        <v>0</v>
      </c>
      <c r="J2286" s="1423">
        <f t="shared" ca="1" si="3336"/>
        <v>0</v>
      </c>
      <c r="K2286" s="1423">
        <f t="shared" ca="1" si="3337"/>
        <v>0</v>
      </c>
      <c r="L2286" s="1423">
        <f t="shared" ca="1" si="3338"/>
        <v>0</v>
      </c>
      <c r="M2286" s="1423">
        <f t="shared" ca="1" si="3339"/>
        <v>0</v>
      </c>
      <c r="N2286" s="1423">
        <f t="shared" ca="1" si="3340"/>
        <v>0</v>
      </c>
      <c r="O2286" s="1423">
        <f t="shared" ca="1" si="3341"/>
        <v>0</v>
      </c>
      <c r="P2286" s="1423">
        <f t="shared" ca="1" si="3342"/>
        <v>0</v>
      </c>
      <c r="Q2286" s="1423">
        <f t="shared" ca="1" si="3343"/>
        <v>0</v>
      </c>
      <c r="R2286" s="1423">
        <f t="shared" ca="1" si="3344"/>
        <v>0</v>
      </c>
      <c r="S2286" s="1423">
        <f t="shared" ca="1" si="3345"/>
        <v>0</v>
      </c>
      <c r="T2286" s="1423">
        <f t="shared" ca="1" si="3346"/>
        <v>0</v>
      </c>
      <c r="U2286" s="1423">
        <f t="shared" ca="1" si="3347"/>
        <v>0</v>
      </c>
      <c r="V2286" s="1423">
        <f t="shared" ca="1" si="3348"/>
        <v>0</v>
      </c>
      <c r="W2286" s="1423">
        <f t="shared" ca="1" si="3349"/>
        <v>0</v>
      </c>
      <c r="X2286" s="202"/>
      <c r="Y2286" s="202"/>
      <c r="Z2286" s="202"/>
      <c r="AA2286" s="152"/>
      <c r="AB2286" s="152"/>
    </row>
    <row r="2287" spans="1:28" hidden="1" outlineLevel="1">
      <c r="A2287" s="199">
        <f t="shared" si="3350"/>
        <v>5</v>
      </c>
      <c r="B2287" s="190" t="str">
        <f t="shared" ca="1" si="3351"/>
        <v>Depreciated Net Capex 2020-21</v>
      </c>
      <c r="C2287" s="1426"/>
      <c r="D2287" s="1426"/>
      <c r="E2287" s="1426"/>
      <c r="F2287" s="1426"/>
      <c r="G2287" s="1427"/>
      <c r="H2287" s="1428">
        <f>H2277</f>
        <v>0</v>
      </c>
      <c r="I2287" s="1423">
        <f ca="1">IF(H2311="n/a",H2287,IFERROR(IF((OFFSET($C2287,0,$A2287))&lt;0,
MIN(0,H2287-(OFFSET($C2287,0,$A2287)/(OFFSET($C2282,-$A2286,$A2287)))),
MAX(0,H2287-(OFFSET($C2287,0,$A2287)/(OFFSET($C2282,-$A2286,$A2287))))),0))</f>
        <v>0</v>
      </c>
      <c r="J2287" s="1423">
        <f t="shared" ca="1" si="3336"/>
        <v>0</v>
      </c>
      <c r="K2287" s="1423">
        <f t="shared" ca="1" si="3337"/>
        <v>0</v>
      </c>
      <c r="L2287" s="1423">
        <f t="shared" ca="1" si="3338"/>
        <v>0</v>
      </c>
      <c r="M2287" s="1423">
        <f t="shared" ca="1" si="3339"/>
        <v>0</v>
      </c>
      <c r="N2287" s="1423">
        <f t="shared" ca="1" si="3340"/>
        <v>0</v>
      </c>
      <c r="O2287" s="1423">
        <f t="shared" ca="1" si="3341"/>
        <v>0</v>
      </c>
      <c r="P2287" s="1423">
        <f t="shared" ca="1" si="3342"/>
        <v>0</v>
      </c>
      <c r="Q2287" s="1423">
        <f t="shared" ca="1" si="3343"/>
        <v>0</v>
      </c>
      <c r="R2287" s="1423">
        <f t="shared" ca="1" si="3344"/>
        <v>0</v>
      </c>
      <c r="S2287" s="1423">
        <f t="shared" ca="1" si="3345"/>
        <v>0</v>
      </c>
      <c r="T2287" s="1423">
        <f t="shared" ca="1" si="3346"/>
        <v>0</v>
      </c>
      <c r="U2287" s="1423">
        <f t="shared" ca="1" si="3347"/>
        <v>0</v>
      </c>
      <c r="V2287" s="1423">
        <f t="shared" ca="1" si="3348"/>
        <v>0</v>
      </c>
      <c r="W2287" s="1423">
        <f t="shared" ca="1" si="3349"/>
        <v>0</v>
      </c>
      <c r="X2287" s="202"/>
      <c r="Y2287" s="202"/>
      <c r="Z2287" s="202"/>
      <c r="AA2287" s="152"/>
      <c r="AB2287" s="152"/>
    </row>
    <row r="2288" spans="1:28" hidden="1" outlineLevel="1">
      <c r="A2288" s="199">
        <f t="shared" si="3350"/>
        <v>6</v>
      </c>
      <c r="B2288" s="190" t="str">
        <f t="shared" ca="1" si="3351"/>
        <v>Depreciated Net Capex 2021-22</v>
      </c>
      <c r="C2288" s="1426"/>
      <c r="D2288" s="1426"/>
      <c r="E2288" s="1426"/>
      <c r="F2288" s="1426"/>
      <c r="G2288" s="1426"/>
      <c r="H2288" s="1427"/>
      <c r="I2288" s="1428">
        <f>I2277</f>
        <v>0</v>
      </c>
      <c r="J2288" s="1423">
        <f ca="1">IF(I2312="n/a",I2288,IFERROR(IF((OFFSET($C2288,0,$A2288))&lt;0,
MIN(0,I2288-(OFFSET($C2288,0,$A2288)/(OFFSET($C2283,-$A2287,$A2288)))),
MAX(0,I2288-(OFFSET($C2288,0,$A2288)/(OFFSET($C2283,-$A2287,$A2288))))),0))</f>
        <v>0</v>
      </c>
      <c r="K2288" s="1423">
        <f t="shared" ca="1" si="3337"/>
        <v>0</v>
      </c>
      <c r="L2288" s="1423">
        <f t="shared" ca="1" si="3338"/>
        <v>0</v>
      </c>
      <c r="M2288" s="1423">
        <f t="shared" ca="1" si="3339"/>
        <v>0</v>
      </c>
      <c r="N2288" s="1423">
        <f t="shared" ca="1" si="3340"/>
        <v>0</v>
      </c>
      <c r="O2288" s="1423">
        <f t="shared" ca="1" si="3341"/>
        <v>0</v>
      </c>
      <c r="P2288" s="1423">
        <f t="shared" ca="1" si="3342"/>
        <v>0</v>
      </c>
      <c r="Q2288" s="1423">
        <f t="shared" ca="1" si="3343"/>
        <v>0</v>
      </c>
      <c r="R2288" s="1423">
        <f t="shared" ca="1" si="3344"/>
        <v>0</v>
      </c>
      <c r="S2288" s="1423">
        <f t="shared" ca="1" si="3345"/>
        <v>0</v>
      </c>
      <c r="T2288" s="1423">
        <f t="shared" ca="1" si="3346"/>
        <v>0</v>
      </c>
      <c r="U2288" s="1423">
        <f t="shared" ca="1" si="3347"/>
        <v>0</v>
      </c>
      <c r="V2288" s="1423">
        <f t="shared" ca="1" si="3348"/>
        <v>0</v>
      </c>
      <c r="W2288" s="1423">
        <f t="shared" ca="1" si="3349"/>
        <v>0</v>
      </c>
      <c r="X2288" s="202"/>
      <c r="Y2288" s="202"/>
      <c r="Z2288" s="202"/>
      <c r="AA2288" s="152"/>
      <c r="AB2288" s="152"/>
    </row>
    <row r="2289" spans="1:28" hidden="1" outlineLevel="1">
      <c r="A2289" s="199">
        <f t="shared" si="3350"/>
        <v>7</v>
      </c>
      <c r="B2289" s="190" t="str">
        <f t="shared" ca="1" si="3351"/>
        <v>Depreciated Net Capex 2022-23</v>
      </c>
      <c r="C2289" s="1426"/>
      <c r="D2289" s="1426"/>
      <c r="E2289" s="1426"/>
      <c r="F2289" s="1426"/>
      <c r="G2289" s="1426"/>
      <c r="H2289" s="1426"/>
      <c r="I2289" s="1427"/>
      <c r="J2289" s="1428">
        <f>J2277</f>
        <v>0</v>
      </c>
      <c r="K2289" s="1423">
        <f ca="1">IF(J2313="n/a",J2289,IFERROR(IF((OFFSET($C2289,0,$A2289))&lt;0,
MIN(0,J2289-(OFFSET($C2289,0,$A2289)/(OFFSET($C2284,-$A2288,$A2289)))),
MAX(0,J2289-(OFFSET($C2289,0,$A2289)/(OFFSET($C2284,-$A2288,$A2289))))),0))</f>
        <v>0</v>
      </c>
      <c r="L2289" s="1423">
        <f t="shared" ca="1" si="3338"/>
        <v>0</v>
      </c>
      <c r="M2289" s="1423">
        <f t="shared" ca="1" si="3339"/>
        <v>0</v>
      </c>
      <c r="N2289" s="1423">
        <f t="shared" ca="1" si="3340"/>
        <v>0</v>
      </c>
      <c r="O2289" s="1423">
        <f t="shared" ca="1" si="3341"/>
        <v>0</v>
      </c>
      <c r="P2289" s="1423">
        <f t="shared" ca="1" si="3342"/>
        <v>0</v>
      </c>
      <c r="Q2289" s="1423">
        <f t="shared" ca="1" si="3343"/>
        <v>0</v>
      </c>
      <c r="R2289" s="1423">
        <f t="shared" ca="1" si="3344"/>
        <v>0</v>
      </c>
      <c r="S2289" s="1423">
        <f t="shared" ca="1" si="3345"/>
        <v>0</v>
      </c>
      <c r="T2289" s="1423">
        <f t="shared" ca="1" si="3346"/>
        <v>0</v>
      </c>
      <c r="U2289" s="1423">
        <f t="shared" ca="1" si="3347"/>
        <v>0</v>
      </c>
      <c r="V2289" s="1423">
        <f t="shared" ca="1" si="3348"/>
        <v>0</v>
      </c>
      <c r="W2289" s="1423">
        <f t="shared" ca="1" si="3349"/>
        <v>0</v>
      </c>
      <c r="X2289" s="202"/>
      <c r="Y2289" s="202"/>
      <c r="Z2289" s="202"/>
      <c r="AA2289" s="152"/>
      <c r="AB2289" s="152"/>
    </row>
    <row r="2290" spans="1:28" hidden="1" outlineLevel="1">
      <c r="A2290" s="199">
        <f t="shared" si="3350"/>
        <v>8</v>
      </c>
      <c r="B2290" s="190" t="str">
        <f t="shared" ca="1" si="3351"/>
        <v>Depreciated Net Capex 2023-24</v>
      </c>
      <c r="C2290" s="1426"/>
      <c r="D2290" s="1426"/>
      <c r="E2290" s="1426"/>
      <c r="F2290" s="1426"/>
      <c r="G2290" s="1426"/>
      <c r="H2290" s="1426"/>
      <c r="I2290" s="1426"/>
      <c r="J2290" s="1427"/>
      <c r="K2290" s="1428">
        <f>K2277</f>
        <v>0</v>
      </c>
      <c r="L2290" s="1423">
        <f ca="1">IF(K2314="n/a",K2290,IFERROR(IF((OFFSET($C2290,0,$A2290))&lt;0,
MIN(0,K2290-(OFFSET($C2290,0,$A2290)/(OFFSET($C2285,-$A2289,$A2290)))),
MAX(0,K2290-(OFFSET($C2290,0,$A2290)/(OFFSET($C2285,-$A2289,$A2290))))),0))</f>
        <v>0</v>
      </c>
      <c r="M2290" s="1423">
        <f t="shared" ca="1" si="3339"/>
        <v>0</v>
      </c>
      <c r="N2290" s="1423">
        <f t="shared" ca="1" si="3340"/>
        <v>0</v>
      </c>
      <c r="O2290" s="1423">
        <f t="shared" ca="1" si="3341"/>
        <v>0</v>
      </c>
      <c r="P2290" s="1423">
        <f t="shared" ca="1" si="3342"/>
        <v>0</v>
      </c>
      <c r="Q2290" s="1423">
        <f t="shared" ca="1" si="3343"/>
        <v>0</v>
      </c>
      <c r="R2290" s="1423">
        <f t="shared" ca="1" si="3344"/>
        <v>0</v>
      </c>
      <c r="S2290" s="1423">
        <f t="shared" ca="1" si="3345"/>
        <v>0</v>
      </c>
      <c r="T2290" s="1423">
        <f t="shared" ca="1" si="3346"/>
        <v>0</v>
      </c>
      <c r="U2290" s="1423">
        <f t="shared" ca="1" si="3347"/>
        <v>0</v>
      </c>
      <c r="V2290" s="1423">
        <f t="shared" ca="1" si="3348"/>
        <v>0</v>
      </c>
      <c r="W2290" s="1423">
        <f t="shared" ca="1" si="3349"/>
        <v>0</v>
      </c>
      <c r="X2290" s="202"/>
      <c r="Y2290" s="202"/>
      <c r="Z2290" s="202"/>
      <c r="AA2290" s="152"/>
      <c r="AB2290" s="152"/>
    </row>
    <row r="2291" spans="1:28" hidden="1" outlineLevel="1">
      <c r="A2291" s="199">
        <f t="shared" si="3350"/>
        <v>9</v>
      </c>
      <c r="B2291" s="190" t="str">
        <f t="shared" ca="1" si="3351"/>
        <v>Depreciated Net Capex 2024-25</v>
      </c>
      <c r="C2291" s="1426"/>
      <c r="D2291" s="1426"/>
      <c r="E2291" s="1426"/>
      <c r="F2291" s="1426"/>
      <c r="G2291" s="1426"/>
      <c r="H2291" s="1426"/>
      <c r="I2291" s="1426"/>
      <c r="J2291" s="1426"/>
      <c r="K2291" s="1427"/>
      <c r="L2291" s="1428">
        <f>L2277</f>
        <v>0</v>
      </c>
      <c r="M2291" s="1423">
        <f ca="1">IF(L2315="n/a",L2291,IFERROR(IF((OFFSET($C2291,0,$A2291))&lt;0,
MIN(0,L2291-(OFFSET($C2291,0,$A2291)/(OFFSET($C2286,-$A2290,$A2291)))),
MAX(0,L2291-(OFFSET($C2291,0,$A2291)/(OFFSET($C2286,-$A2290,$A2291))))),0))</f>
        <v>0</v>
      </c>
      <c r="N2291" s="1423">
        <f t="shared" ca="1" si="3340"/>
        <v>0</v>
      </c>
      <c r="O2291" s="1423">
        <f t="shared" ca="1" si="3341"/>
        <v>0</v>
      </c>
      <c r="P2291" s="1423">
        <f t="shared" ca="1" si="3342"/>
        <v>0</v>
      </c>
      <c r="Q2291" s="1423">
        <f t="shared" ca="1" si="3343"/>
        <v>0</v>
      </c>
      <c r="R2291" s="1423">
        <f t="shared" ca="1" si="3344"/>
        <v>0</v>
      </c>
      <c r="S2291" s="1423">
        <f t="shared" ca="1" si="3345"/>
        <v>0</v>
      </c>
      <c r="T2291" s="1423">
        <f t="shared" ca="1" si="3346"/>
        <v>0</v>
      </c>
      <c r="U2291" s="1423">
        <f t="shared" ca="1" si="3347"/>
        <v>0</v>
      </c>
      <c r="V2291" s="1423">
        <f t="shared" ca="1" si="3348"/>
        <v>0</v>
      </c>
      <c r="W2291" s="1423">
        <f t="shared" ca="1" si="3349"/>
        <v>0</v>
      </c>
      <c r="X2291" s="202"/>
      <c r="Y2291" s="202"/>
      <c r="Z2291" s="202"/>
      <c r="AA2291" s="152"/>
      <c r="AB2291" s="152"/>
    </row>
    <row r="2292" spans="1:28" hidden="1" outlineLevel="1">
      <c r="A2292" s="199">
        <f t="shared" si="3350"/>
        <v>10</v>
      </c>
      <c r="B2292" s="190" t="str">
        <f t="shared" ca="1" si="3351"/>
        <v>Depreciated Net Capex 2025-26</v>
      </c>
      <c r="C2292" s="1426"/>
      <c r="D2292" s="1426"/>
      <c r="E2292" s="1426"/>
      <c r="F2292" s="1426"/>
      <c r="G2292" s="1426"/>
      <c r="H2292" s="1426"/>
      <c r="I2292" s="1426"/>
      <c r="J2292" s="1426"/>
      <c r="K2292" s="1426"/>
      <c r="L2292" s="1427"/>
      <c r="M2292" s="1428">
        <f>M2277</f>
        <v>0</v>
      </c>
      <c r="N2292" s="1423">
        <f ca="1">IF(M2316="n/a",M2292,IFERROR(IF((OFFSET($C2292,0,$A2292))&lt;0,
MIN(0,M2292-(OFFSET($C2292,0,$A2292)/(OFFSET($C2287,-$A2291,$A2292)))),
MAX(0,M2292-(OFFSET($C2292,0,$A2292)/(OFFSET($C2287,-$A2291,$A2292))))),0))</f>
        <v>0</v>
      </c>
      <c r="O2292" s="1423">
        <f t="shared" ca="1" si="3341"/>
        <v>0</v>
      </c>
      <c r="P2292" s="1423">
        <f t="shared" ca="1" si="3342"/>
        <v>0</v>
      </c>
      <c r="Q2292" s="1423">
        <f t="shared" ca="1" si="3343"/>
        <v>0</v>
      </c>
      <c r="R2292" s="1423">
        <f t="shared" ca="1" si="3344"/>
        <v>0</v>
      </c>
      <c r="S2292" s="1423">
        <f t="shared" ca="1" si="3345"/>
        <v>0</v>
      </c>
      <c r="T2292" s="1423">
        <f t="shared" ca="1" si="3346"/>
        <v>0</v>
      </c>
      <c r="U2292" s="1423">
        <f t="shared" ca="1" si="3347"/>
        <v>0</v>
      </c>
      <c r="V2292" s="1423">
        <f t="shared" ca="1" si="3348"/>
        <v>0</v>
      </c>
      <c r="W2292" s="1423">
        <f t="shared" ca="1" si="3349"/>
        <v>0</v>
      </c>
      <c r="X2292" s="202"/>
      <c r="Y2292" s="202"/>
      <c r="Z2292" s="202"/>
      <c r="AA2292" s="152"/>
      <c r="AB2292" s="152"/>
    </row>
    <row r="2293" spans="1:28" hidden="1" outlineLevel="1">
      <c r="A2293" s="199">
        <f t="shared" si="3350"/>
        <v>11</v>
      </c>
      <c r="B2293" s="190" t="str">
        <f t="shared" ca="1" si="3351"/>
        <v>Depreciated Net Capex 2026-27</v>
      </c>
      <c r="C2293" s="1426"/>
      <c r="D2293" s="1426"/>
      <c r="E2293" s="1426"/>
      <c r="F2293" s="1426"/>
      <c r="G2293" s="1426"/>
      <c r="H2293" s="1426"/>
      <c r="I2293" s="1426"/>
      <c r="J2293" s="1426"/>
      <c r="K2293" s="1426"/>
      <c r="L2293" s="1426"/>
      <c r="M2293" s="1427"/>
      <c r="N2293" s="1428">
        <f>N2277</f>
        <v>0</v>
      </c>
      <c r="O2293" s="1423">
        <f ca="1">IF(N2317="n/a",N2293,IFERROR(IF((OFFSET($C2293,0,$A2293))&lt;0,
MIN(0,N2293-(OFFSET($C2293,0,$A2293)/(OFFSET($C2288,-$A2292,$A2293)))),
MAX(0,N2293-(OFFSET($C2293,0,$A2293)/(OFFSET($C2288,-$A2292,$A2293))))),0))</f>
        <v>0</v>
      </c>
      <c r="P2293" s="1423">
        <f t="shared" ca="1" si="3342"/>
        <v>0</v>
      </c>
      <c r="Q2293" s="1423">
        <f t="shared" ca="1" si="3343"/>
        <v>0</v>
      </c>
      <c r="R2293" s="1423">
        <f t="shared" ca="1" si="3344"/>
        <v>0</v>
      </c>
      <c r="S2293" s="1423">
        <f t="shared" ca="1" si="3345"/>
        <v>0</v>
      </c>
      <c r="T2293" s="1423">
        <f t="shared" ca="1" si="3346"/>
        <v>0</v>
      </c>
      <c r="U2293" s="1423">
        <f t="shared" ca="1" si="3347"/>
        <v>0</v>
      </c>
      <c r="V2293" s="1423">
        <f t="shared" ca="1" si="3348"/>
        <v>0</v>
      </c>
      <c r="W2293" s="1423">
        <f t="shared" ca="1" si="3349"/>
        <v>0</v>
      </c>
      <c r="X2293" s="202"/>
      <c r="Y2293" s="202"/>
      <c r="Z2293" s="202"/>
      <c r="AA2293" s="152"/>
      <c r="AB2293" s="152"/>
    </row>
    <row r="2294" spans="1:28" hidden="1" outlineLevel="1">
      <c r="A2294" s="199">
        <f t="shared" si="3350"/>
        <v>12</v>
      </c>
      <c r="B2294" s="190" t="str">
        <f t="shared" ca="1" si="3351"/>
        <v>Depreciated Net Capex 2027-28</v>
      </c>
      <c r="C2294" s="1426"/>
      <c r="D2294" s="1426"/>
      <c r="E2294" s="1426"/>
      <c r="F2294" s="1426"/>
      <c r="G2294" s="1426"/>
      <c r="H2294" s="1426"/>
      <c r="I2294" s="1426"/>
      <c r="J2294" s="1426"/>
      <c r="K2294" s="1426"/>
      <c r="L2294" s="1426"/>
      <c r="M2294" s="1426"/>
      <c r="N2294" s="1427"/>
      <c r="O2294" s="1428">
        <f>O2277</f>
        <v>0</v>
      </c>
      <c r="P2294" s="1423">
        <f ca="1">IF(O2318="n/a",O2294,IFERROR(IF((OFFSET($C2294,0,$A2294))&lt;0,
MIN(0,O2294-(OFFSET($C2294,0,$A2294)/(OFFSET($C2289,-$A2293,$A2294)))),
MAX(0,O2294-(OFFSET($C2294,0,$A2294)/(OFFSET($C2289,-$A2293,$A2294))))),0))</f>
        <v>0</v>
      </c>
      <c r="Q2294" s="1423">
        <f t="shared" ca="1" si="3343"/>
        <v>0</v>
      </c>
      <c r="R2294" s="1423">
        <f t="shared" ca="1" si="3344"/>
        <v>0</v>
      </c>
      <c r="S2294" s="1423">
        <f t="shared" ca="1" si="3345"/>
        <v>0</v>
      </c>
      <c r="T2294" s="1423">
        <f t="shared" ca="1" si="3346"/>
        <v>0</v>
      </c>
      <c r="U2294" s="1423">
        <f t="shared" ca="1" si="3347"/>
        <v>0</v>
      </c>
      <c r="V2294" s="1423">
        <f t="shared" ca="1" si="3348"/>
        <v>0</v>
      </c>
      <c r="W2294" s="1423">
        <f t="shared" ca="1" si="3349"/>
        <v>0</v>
      </c>
      <c r="X2294" s="202"/>
      <c r="Y2294" s="202"/>
      <c r="Z2294" s="202"/>
      <c r="AA2294" s="152"/>
      <c r="AB2294" s="152"/>
    </row>
    <row r="2295" spans="1:28" hidden="1" outlineLevel="1">
      <c r="A2295" s="199">
        <f t="shared" si="3350"/>
        <v>13</v>
      </c>
      <c r="B2295" s="190" t="str">
        <f t="shared" ca="1" si="3351"/>
        <v>Depreciated Net Capex 2028-29</v>
      </c>
      <c r="C2295" s="1426"/>
      <c r="D2295" s="1426"/>
      <c r="E2295" s="1426"/>
      <c r="F2295" s="1426"/>
      <c r="G2295" s="1426"/>
      <c r="H2295" s="1426"/>
      <c r="I2295" s="1426"/>
      <c r="J2295" s="1426"/>
      <c r="K2295" s="1426"/>
      <c r="L2295" s="1426"/>
      <c r="M2295" s="1426"/>
      <c r="N2295" s="1426"/>
      <c r="O2295" s="1427"/>
      <c r="P2295" s="1428">
        <f>P2277</f>
        <v>0</v>
      </c>
      <c r="Q2295" s="1423">
        <f ca="1">IF(P2319="n/a",P2295,IFERROR(IF((OFFSET($C2295,0,$A2295))&lt;0,
MIN(0,P2295-(OFFSET($C2295,0,$A2295)/(OFFSET($C2290,-$A2294,$A2295)))),
MAX(0,P2295-(OFFSET($C2295,0,$A2295)/(OFFSET($C2290,-$A2294,$A2295))))),0))</f>
        <v>0</v>
      </c>
      <c r="R2295" s="1423">
        <f t="shared" ca="1" si="3344"/>
        <v>0</v>
      </c>
      <c r="S2295" s="1423">
        <f t="shared" ca="1" si="3345"/>
        <v>0</v>
      </c>
      <c r="T2295" s="1423">
        <f t="shared" ca="1" si="3346"/>
        <v>0</v>
      </c>
      <c r="U2295" s="1423">
        <f t="shared" ca="1" si="3347"/>
        <v>0</v>
      </c>
      <c r="V2295" s="1423">
        <f t="shared" ca="1" si="3348"/>
        <v>0</v>
      </c>
      <c r="W2295" s="1423">
        <f t="shared" ca="1" si="3349"/>
        <v>0</v>
      </c>
      <c r="X2295" s="202"/>
      <c r="Y2295" s="202"/>
      <c r="Z2295" s="202"/>
      <c r="AA2295" s="152"/>
      <c r="AB2295" s="152"/>
    </row>
    <row r="2296" spans="1:28" hidden="1" outlineLevel="1">
      <c r="A2296" s="199">
        <f t="shared" si="3350"/>
        <v>14</v>
      </c>
      <c r="B2296" s="190" t="str">
        <f t="shared" ca="1" si="3351"/>
        <v>Depreciated Net Capex 2029-30</v>
      </c>
      <c r="C2296" s="1426"/>
      <c r="D2296" s="1426"/>
      <c r="E2296" s="1426"/>
      <c r="F2296" s="1426"/>
      <c r="G2296" s="1426"/>
      <c r="H2296" s="1426"/>
      <c r="I2296" s="1426"/>
      <c r="J2296" s="1426"/>
      <c r="K2296" s="1426"/>
      <c r="L2296" s="1426"/>
      <c r="M2296" s="1426"/>
      <c r="N2296" s="1426"/>
      <c r="O2296" s="1426"/>
      <c r="P2296" s="1427"/>
      <c r="Q2296" s="1428">
        <f>Q2277</f>
        <v>0</v>
      </c>
      <c r="R2296" s="1423">
        <f ca="1">IF(Q2320="n/a",Q2296,IFERROR(IF((OFFSET($C2296,0,$A2296))&lt;0,
MIN(0,Q2296-(OFFSET($C2296,0,$A2296)/(OFFSET($C2291,-$A2295,$A2296)))),
MAX(0,Q2296-(OFFSET($C2296,0,$A2296)/(OFFSET($C2291,-$A2295,$A2296))))),0))</f>
        <v>0</v>
      </c>
      <c r="S2296" s="1423">
        <f t="shared" ca="1" si="3345"/>
        <v>0</v>
      </c>
      <c r="T2296" s="1423">
        <f t="shared" ca="1" si="3346"/>
        <v>0</v>
      </c>
      <c r="U2296" s="1423">
        <f t="shared" ca="1" si="3347"/>
        <v>0</v>
      </c>
      <c r="V2296" s="1423">
        <f t="shared" ca="1" si="3348"/>
        <v>0</v>
      </c>
      <c r="W2296" s="1423">
        <f t="shared" ca="1" si="3349"/>
        <v>0</v>
      </c>
      <c r="X2296" s="202"/>
      <c r="Y2296" s="202"/>
      <c r="Z2296" s="202"/>
      <c r="AA2296" s="152"/>
      <c r="AB2296" s="152"/>
    </row>
    <row r="2297" spans="1:28" hidden="1" outlineLevel="1">
      <c r="A2297" s="199">
        <f t="shared" si="3350"/>
        <v>15</v>
      </c>
      <c r="B2297" s="190" t="str">
        <f t="shared" ca="1" si="3351"/>
        <v>Depreciated Net Capex 2030-31</v>
      </c>
      <c r="C2297" s="1426"/>
      <c r="D2297" s="1426"/>
      <c r="E2297" s="1426"/>
      <c r="F2297" s="1426"/>
      <c r="G2297" s="1426"/>
      <c r="H2297" s="1426"/>
      <c r="I2297" s="1426"/>
      <c r="J2297" s="1426"/>
      <c r="K2297" s="1426"/>
      <c r="L2297" s="1426"/>
      <c r="M2297" s="1426"/>
      <c r="N2297" s="1426"/>
      <c r="O2297" s="1426"/>
      <c r="P2297" s="1426"/>
      <c r="Q2297" s="1427"/>
      <c r="R2297" s="1428">
        <f>R2277</f>
        <v>0</v>
      </c>
      <c r="S2297" s="1423">
        <f ca="1">IF(R2321="n/a",R2297,IFERROR(IF((OFFSET($C2297,0,$A2297))&lt;0,
MIN(0,R2297-(OFFSET($C2297,0,$A2297)/(OFFSET($C2292,-$A2296,$A2297)))),
MAX(0,R2297-(OFFSET($C2297,0,$A2297)/(OFFSET($C2292,-$A2296,$A2297))))),0))</f>
        <v>0</v>
      </c>
      <c r="T2297" s="1423">
        <f t="shared" ca="1" si="3346"/>
        <v>0</v>
      </c>
      <c r="U2297" s="1423">
        <f t="shared" ca="1" si="3347"/>
        <v>0</v>
      </c>
      <c r="V2297" s="1423">
        <f t="shared" ca="1" si="3348"/>
        <v>0</v>
      </c>
      <c r="W2297" s="1423">
        <f t="shared" ca="1" si="3349"/>
        <v>0</v>
      </c>
      <c r="X2297" s="202"/>
      <c r="Y2297" s="202"/>
      <c r="Z2297" s="202"/>
      <c r="AA2297" s="152"/>
      <c r="AB2297" s="152"/>
    </row>
    <row r="2298" spans="1:28" hidden="1" outlineLevel="1">
      <c r="A2298" s="199">
        <f t="shared" si="3350"/>
        <v>16</v>
      </c>
      <c r="B2298" s="190" t="str">
        <f t="shared" ca="1" si="3351"/>
        <v>Depreciated Net Capex 2031-32</v>
      </c>
      <c r="C2298" s="1426"/>
      <c r="D2298" s="1426"/>
      <c r="E2298" s="1426"/>
      <c r="F2298" s="1426"/>
      <c r="G2298" s="1426"/>
      <c r="H2298" s="1426"/>
      <c r="I2298" s="1426"/>
      <c r="J2298" s="1426"/>
      <c r="K2298" s="1426"/>
      <c r="L2298" s="1426"/>
      <c r="M2298" s="1426"/>
      <c r="N2298" s="1426"/>
      <c r="O2298" s="1426"/>
      <c r="P2298" s="1426"/>
      <c r="Q2298" s="1426"/>
      <c r="R2298" s="1427"/>
      <c r="S2298" s="1428">
        <f>S2277</f>
        <v>0</v>
      </c>
      <c r="T2298" s="1423">
        <f ca="1">IF(S2322="n/a",S2298,IFERROR(IF((OFFSET($C2298,0,$A2298))&lt;0,
MIN(0,S2298-(OFFSET($C2298,0,$A2298)/(OFFSET($C2293,-$A2297,$A2298)))),
MAX(0,S2298-(OFFSET($C2298,0,$A2298)/(OFFSET($C2293,-$A2297,$A2298))))),0))</f>
        <v>0</v>
      </c>
      <c r="U2298" s="1423">
        <f t="shared" ca="1" si="3347"/>
        <v>0</v>
      </c>
      <c r="V2298" s="1423">
        <f t="shared" ca="1" si="3348"/>
        <v>0</v>
      </c>
      <c r="W2298" s="1423">
        <f t="shared" ca="1" si="3349"/>
        <v>0</v>
      </c>
      <c r="X2298" s="202"/>
      <c r="Y2298" s="202"/>
      <c r="Z2298" s="202"/>
      <c r="AA2298" s="152"/>
      <c r="AB2298" s="152"/>
    </row>
    <row r="2299" spans="1:28" hidden="1" outlineLevel="1">
      <c r="A2299" s="199">
        <f t="shared" si="3350"/>
        <v>17</v>
      </c>
      <c r="B2299" s="190" t="str">
        <f t="shared" ca="1" si="3351"/>
        <v>Depreciated Net Capex 2032-33</v>
      </c>
      <c r="C2299" s="1426"/>
      <c r="D2299" s="1426"/>
      <c r="E2299" s="1426"/>
      <c r="F2299" s="1426"/>
      <c r="G2299" s="1426"/>
      <c r="H2299" s="1426"/>
      <c r="I2299" s="1426"/>
      <c r="J2299" s="1426"/>
      <c r="K2299" s="1426"/>
      <c r="L2299" s="1426"/>
      <c r="M2299" s="1426"/>
      <c r="N2299" s="1426"/>
      <c r="O2299" s="1426"/>
      <c r="P2299" s="1426"/>
      <c r="Q2299" s="1426"/>
      <c r="R2299" s="1426"/>
      <c r="S2299" s="1427"/>
      <c r="T2299" s="1428">
        <f>T2277</f>
        <v>0</v>
      </c>
      <c r="U2299" s="1423">
        <f ca="1">IF(T2323="n/a",T2299,IFERROR(IF((OFFSET($C2299,0,$A2299))&lt;0,
MIN(0,T2299-(OFFSET($C2299,0,$A2299)/(OFFSET($C2294,-$A2298,$A2299)))),
MAX(0,T2299-(OFFSET($C2299,0,$A2299)/(OFFSET($C2294,-$A2298,$A2299))))),0))</f>
        <v>0</v>
      </c>
      <c r="V2299" s="1423">
        <f t="shared" ca="1" si="3348"/>
        <v>0</v>
      </c>
      <c r="W2299" s="1423">
        <f t="shared" ca="1" si="3349"/>
        <v>0</v>
      </c>
      <c r="X2299" s="202"/>
      <c r="Y2299" s="202"/>
      <c r="Z2299" s="202"/>
      <c r="AA2299" s="152"/>
      <c r="AB2299" s="152"/>
    </row>
    <row r="2300" spans="1:28" hidden="1" outlineLevel="1">
      <c r="A2300" s="199">
        <f t="shared" si="3350"/>
        <v>18</v>
      </c>
      <c r="B2300" s="190" t="str">
        <f t="shared" ca="1" si="3351"/>
        <v>Depreciated Net Capex 2033-34</v>
      </c>
      <c r="C2300" s="1426"/>
      <c r="D2300" s="1426"/>
      <c r="E2300" s="1426"/>
      <c r="F2300" s="1426"/>
      <c r="G2300" s="1426"/>
      <c r="H2300" s="1426"/>
      <c r="I2300" s="1426"/>
      <c r="J2300" s="1426"/>
      <c r="K2300" s="1426"/>
      <c r="L2300" s="1426"/>
      <c r="M2300" s="1426"/>
      <c r="N2300" s="1426"/>
      <c r="O2300" s="1426"/>
      <c r="P2300" s="1426"/>
      <c r="Q2300" s="1426"/>
      <c r="R2300" s="1426"/>
      <c r="S2300" s="1426"/>
      <c r="T2300" s="1427"/>
      <c r="U2300" s="1428">
        <f>U2277</f>
        <v>0</v>
      </c>
      <c r="V2300" s="1423">
        <f ca="1">IF(U2324="n/a",U2300,IFERROR(IF((OFFSET($C2300,0,$A2300))&lt;0,
MIN(0,U2300-(OFFSET($C2300,0,$A2300)/(OFFSET($C2295,-$A2299,$A2300)))),
MAX(0,U2300-(OFFSET($C2300,0,$A2300)/(OFFSET($C2295,-$A2299,$A2300))))),0))</f>
        <v>0</v>
      </c>
      <c r="W2300" s="1423">
        <f t="shared" ca="1" si="3349"/>
        <v>0</v>
      </c>
      <c r="X2300" s="202"/>
      <c r="Y2300" s="202"/>
      <c r="Z2300" s="202"/>
      <c r="AA2300" s="152"/>
      <c r="AB2300" s="152"/>
    </row>
    <row r="2301" spans="1:28" hidden="1" outlineLevel="1">
      <c r="A2301" s="199">
        <f t="shared" si="3350"/>
        <v>19</v>
      </c>
      <c r="B2301" s="190" t="str">
        <f t="shared" ca="1" si="3351"/>
        <v>Depreciated Net Capex 2034-35</v>
      </c>
      <c r="C2301" s="1426"/>
      <c r="D2301" s="1426"/>
      <c r="E2301" s="1426"/>
      <c r="F2301" s="1426"/>
      <c r="G2301" s="1426"/>
      <c r="H2301" s="1426"/>
      <c r="I2301" s="1426"/>
      <c r="J2301" s="1426"/>
      <c r="K2301" s="1426"/>
      <c r="L2301" s="1426"/>
      <c r="M2301" s="1426"/>
      <c r="N2301" s="1426"/>
      <c r="O2301" s="1426"/>
      <c r="P2301" s="1426"/>
      <c r="Q2301" s="1426"/>
      <c r="R2301" s="1426"/>
      <c r="S2301" s="1426"/>
      <c r="T2301" s="1426"/>
      <c r="U2301" s="1427"/>
      <c r="V2301" s="1428">
        <f>V2277</f>
        <v>0</v>
      </c>
      <c r="W2301" s="1423">
        <f ca="1">IF(V2325="n/a",V2301,IFERROR(IF((OFFSET($C2301,0,$A2301))&lt;0,
MIN(0,V2301-(OFFSET($C2301,0,$A2301)/(OFFSET($C2296,-$A2300,$A2301)))),
MAX(0,V2301-(OFFSET($C2301,0,$A2301)/(OFFSET($C2296,-$A2300,$A2301))))),0))</f>
        <v>0</v>
      </c>
      <c r="X2301" s="202"/>
      <c r="Y2301" s="202"/>
      <c r="Z2301" s="202"/>
      <c r="AA2301" s="152"/>
      <c r="AB2301" s="152"/>
    </row>
    <row r="2302" spans="1:28" hidden="1" outlineLevel="1">
      <c r="A2302" s="199">
        <f t="shared" si="3350"/>
        <v>20</v>
      </c>
      <c r="B2302" s="190" t="str">
        <f t="shared" ca="1" si="3351"/>
        <v>Depreciated Net Capex 2035-36</v>
      </c>
      <c r="C2302" s="1426"/>
      <c r="D2302" s="1426"/>
      <c r="E2302" s="1426"/>
      <c r="F2302" s="1426"/>
      <c r="G2302" s="1426"/>
      <c r="H2302" s="1426"/>
      <c r="I2302" s="1426"/>
      <c r="J2302" s="1426"/>
      <c r="K2302" s="1426"/>
      <c r="L2302" s="1426"/>
      <c r="M2302" s="1426"/>
      <c r="N2302" s="1426"/>
      <c r="O2302" s="1426"/>
      <c r="P2302" s="1426"/>
      <c r="Q2302" s="1426"/>
      <c r="R2302" s="1426"/>
      <c r="S2302" s="1426"/>
      <c r="T2302" s="1426"/>
      <c r="U2302" s="1426"/>
      <c r="V2302" s="1427"/>
      <c r="W2302" s="1423">
        <f>W2277</f>
        <v>0</v>
      </c>
      <c r="X2302" s="152"/>
      <c r="Y2302" s="152"/>
      <c r="Z2302" s="152"/>
      <c r="AA2302" s="152"/>
      <c r="AB2302" s="152"/>
    </row>
    <row r="2303" spans="1:28" hidden="1" outlineLevel="1">
      <c r="A2303" s="152"/>
      <c r="B2303" s="200"/>
      <c r="C2303" s="1423"/>
      <c r="D2303" s="1423"/>
      <c r="E2303" s="1423"/>
      <c r="F2303" s="1423"/>
      <c r="G2303" s="1423"/>
      <c r="H2303" s="1423"/>
      <c r="I2303" s="1423"/>
      <c r="J2303" s="1423"/>
      <c r="K2303" s="1423"/>
      <c r="L2303" s="1423"/>
      <c r="M2303" s="1423"/>
      <c r="N2303" s="1423"/>
      <c r="O2303" s="1423"/>
      <c r="P2303" s="1423"/>
      <c r="Q2303" s="1423"/>
      <c r="R2303" s="1423"/>
      <c r="S2303" s="1423"/>
      <c r="T2303" s="1423"/>
      <c r="U2303" s="1423"/>
      <c r="V2303" s="1423"/>
      <c r="W2303" s="1423"/>
      <c r="X2303" s="152"/>
      <c r="Y2303" s="152"/>
      <c r="Z2303" s="152"/>
      <c r="AA2303" s="152"/>
      <c r="AB2303" s="152"/>
    </row>
    <row r="2304" spans="1:28" hidden="1" outlineLevel="1">
      <c r="A2304" s="152"/>
      <c r="B2304" s="200"/>
      <c r="C2304" s="1423"/>
      <c r="D2304" s="1423"/>
      <c r="E2304" s="1423"/>
      <c r="F2304" s="1423"/>
      <c r="G2304" s="1423"/>
      <c r="H2304" s="1423"/>
      <c r="I2304" s="1423"/>
      <c r="J2304" s="1423"/>
      <c r="K2304" s="1423"/>
      <c r="L2304" s="1423"/>
      <c r="M2304" s="1423"/>
      <c r="N2304" s="1423"/>
      <c r="O2304" s="1423"/>
      <c r="P2304" s="1423"/>
      <c r="Q2304" s="1423"/>
      <c r="R2304" s="1423"/>
      <c r="S2304" s="1423"/>
      <c r="T2304" s="1423"/>
      <c r="U2304" s="1423"/>
      <c r="V2304" s="1423"/>
      <c r="W2304" s="1423"/>
      <c r="X2304" s="152"/>
      <c r="Y2304" s="152"/>
      <c r="Z2304" s="152"/>
      <c r="AA2304" s="152"/>
      <c r="AB2304" s="152"/>
    </row>
    <row r="2305" spans="1:28" hidden="1" outlineLevel="1">
      <c r="A2305" s="152"/>
      <c r="B2305" s="190" t="s">
        <v>194</v>
      </c>
      <c r="C2305" s="1423"/>
      <c r="D2305" s="1423">
        <f t="shared" ref="D2305" ca="1" si="3352">IF(AND(C2305&lt;1,D2279=0),0,
IF(D2279=0,C2305-1,
IF(C2305&lt;1,D2280,
(((C2305-1)*(C2281-(C2281/(C2305))))+(D2279*D2280))/(D2281))))</f>
        <v>0</v>
      </c>
      <c r="E2305" s="1423">
        <f t="shared" ref="E2305" ca="1" si="3353">IF(AND(D2305&lt;1,E2279=0),0,
IF(E2279=0,D2305-1,
IF(D2305&lt;1,E2280,
(((D2305-1)*(D2281-(D2281/(D2305))))+(E2279*E2280))/(E2281))))</f>
        <v>0</v>
      </c>
      <c r="F2305" s="1423">
        <f t="shared" ref="F2305" ca="1" si="3354">IF(AND(E2305&lt;1,F2279=0),0,
IF(F2279=0,E2305-1,
IF(E2305&lt;1,F2280,
(((E2305-1)*(E2281-(E2281/(E2305))))+(F2279*F2280))/(F2281))))</f>
        <v>0</v>
      </c>
      <c r="G2305" s="1423">
        <f t="shared" ref="G2305" ca="1" si="3355">IF(AND(F2305&lt;1,G2279=0),0,
IF(G2279=0,F2305-1,
IF(F2305&lt;1,G2280,
(((F2305-1)*(F2281-(F2281/(F2305))))+(G2279*G2280))/(G2281))))</f>
        <v>0</v>
      </c>
      <c r="H2305" s="1423">
        <f ca="1">IF(AND(G2305&lt;1,H2279=0),0,
IF(H2279=0,G2305-1,
IF(G2305&lt;1,H2280,
(((G2305-1)*(G2281-(G2281/(G2305))))+(H2279*H2280))/(H2281))))</f>
        <v>0</v>
      </c>
      <c r="I2305" s="1423">
        <f t="shared" ref="I2305" ca="1" si="3356">IF(AND(H2305&lt;1,I2279=0),0,
IF(I2279=0,H2305-1,
IF(H2305&lt;1,I2280,
(((H2305-1)*(H2281-(H2281/(H2305))))+(I2279*I2280))/(I2281))))</f>
        <v>0</v>
      </c>
      <c r="J2305" s="1423">
        <f t="shared" ref="J2305" ca="1" si="3357">IF(AND(I2305&lt;1,J2279=0),0,
IF(J2279=0,I2305-1,
IF(I2305&lt;1,J2280,
(((I2305-1)*(I2281-(I2281/(I2305))))+(J2279*J2280))/(J2281))))</f>
        <v>0</v>
      </c>
      <c r="K2305" s="1423">
        <f t="shared" ref="K2305" ca="1" si="3358">IF(AND(J2305&lt;1,K2279=0),0,
IF(K2279=0,J2305-1,
IF(J2305&lt;1,K2280,
(((J2305-1)*(J2281-(J2281/(J2305))))+(K2279*K2280))/(K2281))))</f>
        <v>0</v>
      </c>
      <c r="L2305" s="1423">
        <f t="shared" ref="L2305" ca="1" si="3359">IF(AND(K2305&lt;1,L2279=0),0,
IF(L2279=0,K2305-1,
IF(K2305&lt;1,L2280,
(((K2305-1)*(K2281-(K2281/(K2305))))+(L2279*L2280))/(L2281))))</f>
        <v>0</v>
      </c>
      <c r="M2305" s="1423">
        <f ca="1">IF(AND(L2305&lt;1,M2279=0),0,
IF(M2279=0,L2305-1,
IF(L2305&lt;1,M2280,
(((L2305-1)*(L2281-(L2281/(L2305))))+(M2279*M2280))/(M2281))))</f>
        <v>0</v>
      </c>
      <c r="N2305" s="1423">
        <f t="shared" ref="N2305" ca="1" si="3360">IF(AND(M2305&lt;1,N2279=0),0,
IF(N2279=0,M2305-1,
IF(M2305&lt;1,N2280,
(((M2305-1)*(M2281-(M2281/(M2305))))+(N2279*N2280))/(N2281))))</f>
        <v>0</v>
      </c>
      <c r="O2305" s="1423">
        <f t="shared" ref="O2305" ca="1" si="3361">IF(AND(N2305&lt;1,O2279=0),0,
IF(O2279=0,N2305-1,
IF(N2305&lt;1,O2280,
(((N2305-1)*(N2281-(N2281/(N2305))))+(O2279*O2280))/(O2281))))</f>
        <v>0</v>
      </c>
      <c r="P2305" s="1423">
        <f t="shared" ref="P2305" ca="1" si="3362">IF(AND(O2305&lt;1,P2279=0),0,
IF(P2279=0,O2305-1,
IF(O2305&lt;1,P2280,
(((O2305-1)*(O2281-(O2281/(O2305))))+(P2279*P2280))/(P2281))))</f>
        <v>0</v>
      </c>
      <c r="Q2305" s="1423">
        <f t="shared" ref="Q2305" ca="1" si="3363">IF(AND(P2305&lt;1,Q2279=0),0,
IF(Q2279=0,P2305-1,
IF(P2305&lt;1,Q2280,
(((P2305-1)*(P2281-(P2281/(P2305))))+(Q2279*Q2280))/(Q2281))))</f>
        <v>0</v>
      </c>
      <c r="R2305" s="1423">
        <f t="shared" ref="R2305" ca="1" si="3364">IF(AND(Q2305&lt;1,R2279=0),0,
IF(R2279=0,Q2305-1,
IF(Q2305&lt;1,R2280,
(((Q2305-1)*(Q2281-(Q2281/(Q2305))))+(R2279*R2280))/(R2281))))</f>
        <v>0</v>
      </c>
      <c r="S2305" s="1423">
        <f t="shared" ref="S2305" ca="1" si="3365">IF(AND(R2305&lt;1,S2279=0),0,
IF(S2279=0,R2305-1,
IF(R2305&lt;1,S2280,
(((R2305-1)*(R2281-(R2281/(R2305))))+(S2279*S2280))/(S2281))))</f>
        <v>0</v>
      </c>
      <c r="T2305" s="1423">
        <f t="shared" ref="T2305" ca="1" si="3366">IF(AND(S2305&lt;1,T2279=0),0,
IF(T2279=0,S2305-1,
IF(S2305&lt;1,T2280,
(((S2305-1)*(S2281-(S2281/(S2305))))+(T2279*T2280))/(T2281))))</f>
        <v>0</v>
      </c>
      <c r="U2305" s="1423">
        <f t="shared" ref="U2305" ca="1" si="3367">IF(AND(T2305&lt;1,U2279=0),0,
IF(U2279=0,T2305-1,
IF(T2305&lt;1,U2280,
(((T2305-1)*(T2281-(T2281/(T2305))))+(U2279*U2280))/(U2281))))</f>
        <v>0</v>
      </c>
      <c r="V2305" s="1423">
        <f t="shared" ref="V2305" ca="1" si="3368">IF(AND(U2305&lt;1,V2279=0),0,
IF(V2279=0,U2305-1,
IF(U2305&lt;1,V2280,
(((U2305-1)*(U2281-(U2281/(U2305))))+(V2279*V2280))/(V2281))))</f>
        <v>0</v>
      </c>
      <c r="W2305" s="1423">
        <f t="shared" ref="W2305" ca="1" si="3369">IF(AND(V2305&lt;1,W2279=0),0,
IF(W2279=0,V2305-1,
IF(V2305&lt;1,W2280,
(((V2305-1)*(V2281-(V2281/(V2305))))+(W2279*W2280))/(W2281))))</f>
        <v>0</v>
      </c>
      <c r="X2305" s="152"/>
      <c r="Y2305" s="152"/>
      <c r="Z2305" s="152"/>
      <c r="AA2305" s="152"/>
      <c r="AB2305" s="152"/>
    </row>
    <row r="2306" spans="1:28" hidden="1" outlineLevel="1">
      <c r="A2306" s="152"/>
      <c r="B2306" s="190" t="s">
        <v>193</v>
      </c>
      <c r="C2306" s="1423">
        <f ca="1">C2278</f>
        <v>0</v>
      </c>
      <c r="D2306" s="1423">
        <f t="shared" ref="D2306" ca="1" si="3370">IF(C2306="n/a","n/a",MAX(0,C2306-1))</f>
        <v>0</v>
      </c>
      <c r="E2306" s="1423">
        <f t="shared" ref="E2306:E2307" ca="1" si="3371">IF(D2306="n/a","n/a",MAX(0,D2306-1))</f>
        <v>0</v>
      </c>
      <c r="F2306" s="1423">
        <f t="shared" ref="F2306:F2308" ca="1" si="3372">IF(E2306="n/a","n/a",MAX(0,E2306-1))</f>
        <v>0</v>
      </c>
      <c r="G2306" s="1423">
        <f t="shared" ref="G2306:G2309" ca="1" si="3373">IF(F2306="n/a","n/a",MAX(0,F2306-1))</f>
        <v>0</v>
      </c>
      <c r="H2306" s="1423">
        <f t="shared" ref="H2306:H2310" ca="1" si="3374">IF(G2306="n/a","n/a",MAX(0,G2306-1))</f>
        <v>0</v>
      </c>
      <c r="I2306" s="1423">
        <f t="shared" ref="I2306:I2311" ca="1" si="3375">IF(H2306="n/a","n/a",MAX(0,H2306-1))</f>
        <v>0</v>
      </c>
      <c r="J2306" s="1423">
        <f t="shared" ref="J2306:J2312" ca="1" si="3376">IF(I2306="n/a","n/a",MAX(0,I2306-1))</f>
        <v>0</v>
      </c>
      <c r="K2306" s="1423">
        <f t="shared" ref="K2306:K2313" ca="1" si="3377">IF(J2306="n/a","n/a",MAX(0,J2306-1))</f>
        <v>0</v>
      </c>
      <c r="L2306" s="1423">
        <f t="shared" ref="L2306:L2314" ca="1" si="3378">IF(K2306="n/a","n/a",MAX(0,K2306-1))</f>
        <v>0</v>
      </c>
      <c r="M2306" s="1423">
        <f t="shared" ref="M2306:M2315" ca="1" si="3379">IF(L2306="n/a","n/a",MAX(0,L2306-1))</f>
        <v>0</v>
      </c>
      <c r="N2306" s="1423">
        <f t="shared" ref="N2306:N2316" ca="1" si="3380">IF(M2306="n/a","n/a",MAX(0,M2306-1))</f>
        <v>0</v>
      </c>
      <c r="O2306" s="1423">
        <f t="shared" ref="O2306:O2317" ca="1" si="3381">IF(N2306="n/a","n/a",MAX(0,N2306-1))</f>
        <v>0</v>
      </c>
      <c r="P2306" s="1423">
        <f t="shared" ref="P2306:P2318" ca="1" si="3382">IF(O2306="n/a","n/a",MAX(0,O2306-1))</f>
        <v>0</v>
      </c>
      <c r="Q2306" s="1423">
        <f t="shared" ref="Q2306:Q2319" ca="1" si="3383">IF(P2306="n/a","n/a",MAX(0,P2306-1))</f>
        <v>0</v>
      </c>
      <c r="R2306" s="1423">
        <f t="shared" ref="R2306:R2320" ca="1" si="3384">IF(Q2306="n/a","n/a",MAX(0,Q2306-1))</f>
        <v>0</v>
      </c>
      <c r="S2306" s="1423">
        <f t="shared" ref="S2306:S2321" ca="1" si="3385">IF(R2306="n/a","n/a",MAX(0,R2306-1))</f>
        <v>0</v>
      </c>
      <c r="T2306" s="1423">
        <f t="shared" ref="T2306:T2322" ca="1" si="3386">IF(S2306="n/a","n/a",MAX(0,S2306-1))</f>
        <v>0</v>
      </c>
      <c r="U2306" s="1423">
        <f t="shared" ref="U2306:U2323" ca="1" si="3387">IF(T2306="n/a","n/a",MAX(0,T2306-1))</f>
        <v>0</v>
      </c>
      <c r="V2306" s="1423">
        <f t="shared" ref="V2306:V2324" ca="1" si="3388">IF(U2306="n/a","n/a",MAX(0,U2306-1))</f>
        <v>0</v>
      </c>
      <c r="W2306" s="1423">
        <f t="shared" ref="W2306:W2324" ca="1" si="3389">IF(V2306="n/a","n/a",MAX(0,V2306-1))</f>
        <v>0</v>
      </c>
      <c r="X2306" s="152"/>
      <c r="Y2306" s="152"/>
      <c r="Z2306" s="152"/>
      <c r="AA2306" s="152"/>
      <c r="AB2306" s="152"/>
    </row>
    <row r="2307" spans="1:28" hidden="1" outlineLevel="1">
      <c r="A2307" s="152"/>
      <c r="B2307" s="190" t="str">
        <f t="shared" ref="B2307:B2326" ca="1" si="3390">"RL Capex "&amp;OFFSET($C$6,0,A2283)</f>
        <v>RL Capex 2016-17</v>
      </c>
      <c r="C2307" s="1424"/>
      <c r="D2307" s="1428">
        <f>D2278</f>
        <v>0</v>
      </c>
      <c r="E2307" s="1423">
        <f t="shared" si="3371"/>
        <v>0</v>
      </c>
      <c r="F2307" s="1423">
        <f t="shared" si="3372"/>
        <v>0</v>
      </c>
      <c r="G2307" s="1423">
        <f t="shared" si="3373"/>
        <v>0</v>
      </c>
      <c r="H2307" s="1423">
        <f t="shared" si="3374"/>
        <v>0</v>
      </c>
      <c r="I2307" s="1423">
        <f t="shared" si="3375"/>
        <v>0</v>
      </c>
      <c r="J2307" s="1423">
        <f t="shared" si="3376"/>
        <v>0</v>
      </c>
      <c r="K2307" s="1423">
        <f t="shared" si="3377"/>
        <v>0</v>
      </c>
      <c r="L2307" s="1423">
        <f t="shared" si="3378"/>
        <v>0</v>
      </c>
      <c r="M2307" s="1423">
        <f t="shared" si="3379"/>
        <v>0</v>
      </c>
      <c r="N2307" s="1423">
        <f t="shared" si="3380"/>
        <v>0</v>
      </c>
      <c r="O2307" s="1423">
        <f t="shared" si="3381"/>
        <v>0</v>
      </c>
      <c r="P2307" s="1423">
        <f t="shared" si="3382"/>
        <v>0</v>
      </c>
      <c r="Q2307" s="1423">
        <f t="shared" si="3383"/>
        <v>0</v>
      </c>
      <c r="R2307" s="1423">
        <f t="shared" si="3384"/>
        <v>0</v>
      </c>
      <c r="S2307" s="1423">
        <f t="shared" si="3385"/>
        <v>0</v>
      </c>
      <c r="T2307" s="1423">
        <f t="shared" si="3386"/>
        <v>0</v>
      </c>
      <c r="U2307" s="1423">
        <f t="shared" si="3387"/>
        <v>0</v>
      </c>
      <c r="V2307" s="1423">
        <f t="shared" si="3388"/>
        <v>0</v>
      </c>
      <c r="W2307" s="1423">
        <f t="shared" si="3389"/>
        <v>0</v>
      </c>
      <c r="X2307" s="152"/>
      <c r="Y2307" s="152"/>
      <c r="Z2307" s="152"/>
      <c r="AA2307" s="152"/>
      <c r="AB2307" s="152"/>
    </row>
    <row r="2308" spans="1:28" hidden="1" outlineLevel="1">
      <c r="A2308" s="152"/>
      <c r="B2308" s="190" t="str">
        <f t="shared" ca="1" si="3390"/>
        <v>RL Capex 2017-18</v>
      </c>
      <c r="C2308" s="1429"/>
      <c r="D2308" s="1424"/>
      <c r="E2308" s="1428">
        <f>E2278</f>
        <v>0</v>
      </c>
      <c r="F2308" s="1423">
        <f t="shared" si="3372"/>
        <v>0</v>
      </c>
      <c r="G2308" s="1423">
        <f t="shared" si="3373"/>
        <v>0</v>
      </c>
      <c r="H2308" s="1423">
        <f t="shared" si="3374"/>
        <v>0</v>
      </c>
      <c r="I2308" s="1423">
        <f t="shared" si="3375"/>
        <v>0</v>
      </c>
      <c r="J2308" s="1423">
        <f t="shared" si="3376"/>
        <v>0</v>
      </c>
      <c r="K2308" s="1423">
        <f t="shared" si="3377"/>
        <v>0</v>
      </c>
      <c r="L2308" s="1423">
        <f t="shared" si="3378"/>
        <v>0</v>
      </c>
      <c r="M2308" s="1423">
        <f t="shared" si="3379"/>
        <v>0</v>
      </c>
      <c r="N2308" s="1423">
        <f t="shared" si="3380"/>
        <v>0</v>
      </c>
      <c r="O2308" s="1423">
        <f t="shared" si="3381"/>
        <v>0</v>
      </c>
      <c r="P2308" s="1423">
        <f t="shared" si="3382"/>
        <v>0</v>
      </c>
      <c r="Q2308" s="1423">
        <f t="shared" si="3383"/>
        <v>0</v>
      </c>
      <c r="R2308" s="1423">
        <f t="shared" si="3384"/>
        <v>0</v>
      </c>
      <c r="S2308" s="1423">
        <f t="shared" si="3385"/>
        <v>0</v>
      </c>
      <c r="T2308" s="1423">
        <f t="shared" si="3386"/>
        <v>0</v>
      </c>
      <c r="U2308" s="1423">
        <f t="shared" si="3387"/>
        <v>0</v>
      </c>
      <c r="V2308" s="1423">
        <f t="shared" si="3388"/>
        <v>0</v>
      </c>
      <c r="W2308" s="1423">
        <f t="shared" si="3389"/>
        <v>0</v>
      </c>
      <c r="X2308" s="152"/>
      <c r="Y2308" s="152"/>
      <c r="Z2308" s="152"/>
      <c r="AA2308" s="152"/>
      <c r="AB2308" s="152"/>
    </row>
    <row r="2309" spans="1:28" hidden="1" outlineLevel="1">
      <c r="A2309" s="152"/>
      <c r="B2309" s="190" t="str">
        <f t="shared" ca="1" si="3390"/>
        <v>RL Capex 2018-19</v>
      </c>
      <c r="C2309" s="1429"/>
      <c r="D2309" s="1429"/>
      <c r="E2309" s="1424"/>
      <c r="F2309" s="1428">
        <f>F2278</f>
        <v>0</v>
      </c>
      <c r="G2309" s="1423">
        <f t="shared" si="3373"/>
        <v>0</v>
      </c>
      <c r="H2309" s="1423">
        <f t="shared" si="3374"/>
        <v>0</v>
      </c>
      <c r="I2309" s="1423">
        <f t="shared" si="3375"/>
        <v>0</v>
      </c>
      <c r="J2309" s="1423">
        <f t="shared" si="3376"/>
        <v>0</v>
      </c>
      <c r="K2309" s="1423">
        <f t="shared" si="3377"/>
        <v>0</v>
      </c>
      <c r="L2309" s="1423">
        <f t="shared" si="3378"/>
        <v>0</v>
      </c>
      <c r="M2309" s="1423">
        <f t="shared" si="3379"/>
        <v>0</v>
      </c>
      <c r="N2309" s="1423">
        <f t="shared" si="3380"/>
        <v>0</v>
      </c>
      <c r="O2309" s="1423">
        <f t="shared" si="3381"/>
        <v>0</v>
      </c>
      <c r="P2309" s="1423">
        <f t="shared" si="3382"/>
        <v>0</v>
      </c>
      <c r="Q2309" s="1423">
        <f t="shared" si="3383"/>
        <v>0</v>
      </c>
      <c r="R2309" s="1423">
        <f t="shared" si="3384"/>
        <v>0</v>
      </c>
      <c r="S2309" s="1423">
        <f t="shared" si="3385"/>
        <v>0</v>
      </c>
      <c r="T2309" s="1423">
        <f t="shared" si="3386"/>
        <v>0</v>
      </c>
      <c r="U2309" s="1423">
        <f t="shared" si="3387"/>
        <v>0</v>
      </c>
      <c r="V2309" s="1423">
        <f t="shared" si="3388"/>
        <v>0</v>
      </c>
      <c r="W2309" s="1423">
        <f t="shared" si="3389"/>
        <v>0</v>
      </c>
      <c r="X2309" s="152"/>
      <c r="Y2309" s="152"/>
      <c r="Z2309" s="152"/>
      <c r="AA2309" s="152"/>
      <c r="AB2309" s="152"/>
    </row>
    <row r="2310" spans="1:28" hidden="1" outlineLevel="1">
      <c r="A2310" s="152"/>
      <c r="B2310" s="190" t="str">
        <f t="shared" ca="1" si="3390"/>
        <v>RL Capex 2019-20</v>
      </c>
      <c r="C2310" s="1429"/>
      <c r="D2310" s="1429"/>
      <c r="E2310" s="1429"/>
      <c r="F2310" s="1424"/>
      <c r="G2310" s="1428">
        <f>G2278</f>
        <v>0</v>
      </c>
      <c r="H2310" s="1423">
        <f t="shared" si="3374"/>
        <v>0</v>
      </c>
      <c r="I2310" s="1423">
        <f t="shared" si="3375"/>
        <v>0</v>
      </c>
      <c r="J2310" s="1423">
        <f t="shared" si="3376"/>
        <v>0</v>
      </c>
      <c r="K2310" s="1423">
        <f t="shared" si="3377"/>
        <v>0</v>
      </c>
      <c r="L2310" s="1423">
        <f t="shared" si="3378"/>
        <v>0</v>
      </c>
      <c r="M2310" s="1423">
        <f t="shared" si="3379"/>
        <v>0</v>
      </c>
      <c r="N2310" s="1423">
        <f t="shared" si="3380"/>
        <v>0</v>
      </c>
      <c r="O2310" s="1423">
        <f t="shared" si="3381"/>
        <v>0</v>
      </c>
      <c r="P2310" s="1423">
        <f t="shared" si="3382"/>
        <v>0</v>
      </c>
      <c r="Q2310" s="1423">
        <f t="shared" si="3383"/>
        <v>0</v>
      </c>
      <c r="R2310" s="1423">
        <f t="shared" si="3384"/>
        <v>0</v>
      </c>
      <c r="S2310" s="1423">
        <f t="shared" si="3385"/>
        <v>0</v>
      </c>
      <c r="T2310" s="1423">
        <f t="shared" si="3386"/>
        <v>0</v>
      </c>
      <c r="U2310" s="1423">
        <f t="shared" si="3387"/>
        <v>0</v>
      </c>
      <c r="V2310" s="1423">
        <f t="shared" si="3388"/>
        <v>0</v>
      </c>
      <c r="W2310" s="1423">
        <f t="shared" si="3389"/>
        <v>0</v>
      </c>
      <c r="X2310" s="152"/>
      <c r="Y2310" s="152"/>
      <c r="Z2310" s="152"/>
      <c r="AA2310" s="152"/>
      <c r="AB2310" s="152"/>
    </row>
    <row r="2311" spans="1:28" hidden="1" outlineLevel="1">
      <c r="A2311" s="152"/>
      <c r="B2311" s="190" t="str">
        <f t="shared" ca="1" si="3390"/>
        <v>RL Capex 2020-21</v>
      </c>
      <c r="C2311" s="1429"/>
      <c r="D2311" s="1429"/>
      <c r="E2311" s="1429"/>
      <c r="F2311" s="1429"/>
      <c r="G2311" s="1424"/>
      <c r="H2311" s="1428">
        <f>H2278</f>
        <v>0</v>
      </c>
      <c r="I2311" s="1423">
        <f t="shared" si="3375"/>
        <v>0</v>
      </c>
      <c r="J2311" s="1423">
        <f t="shared" si="3376"/>
        <v>0</v>
      </c>
      <c r="K2311" s="1423">
        <f t="shared" si="3377"/>
        <v>0</v>
      </c>
      <c r="L2311" s="1423">
        <f t="shared" si="3378"/>
        <v>0</v>
      </c>
      <c r="M2311" s="1423">
        <f t="shared" si="3379"/>
        <v>0</v>
      </c>
      <c r="N2311" s="1423">
        <f t="shared" si="3380"/>
        <v>0</v>
      </c>
      <c r="O2311" s="1423">
        <f t="shared" si="3381"/>
        <v>0</v>
      </c>
      <c r="P2311" s="1423">
        <f t="shared" si="3382"/>
        <v>0</v>
      </c>
      <c r="Q2311" s="1423">
        <f t="shared" si="3383"/>
        <v>0</v>
      </c>
      <c r="R2311" s="1423">
        <f t="shared" si="3384"/>
        <v>0</v>
      </c>
      <c r="S2311" s="1423">
        <f t="shared" si="3385"/>
        <v>0</v>
      </c>
      <c r="T2311" s="1423">
        <f t="shared" si="3386"/>
        <v>0</v>
      </c>
      <c r="U2311" s="1423">
        <f t="shared" si="3387"/>
        <v>0</v>
      </c>
      <c r="V2311" s="1423">
        <f t="shared" si="3388"/>
        <v>0</v>
      </c>
      <c r="W2311" s="1423">
        <f t="shared" si="3389"/>
        <v>0</v>
      </c>
      <c r="X2311" s="152"/>
      <c r="Y2311" s="152"/>
      <c r="Z2311" s="152"/>
      <c r="AA2311" s="152"/>
      <c r="AB2311" s="152"/>
    </row>
    <row r="2312" spans="1:28" hidden="1" outlineLevel="1">
      <c r="A2312" s="152"/>
      <c r="B2312" s="190" t="str">
        <f t="shared" ca="1" si="3390"/>
        <v>RL Capex 2021-22</v>
      </c>
      <c r="C2312" s="1429"/>
      <c r="D2312" s="1429"/>
      <c r="E2312" s="1429"/>
      <c r="F2312" s="1429"/>
      <c r="G2312" s="1429"/>
      <c r="H2312" s="1424"/>
      <c r="I2312" s="1428">
        <f>I2278</f>
        <v>0</v>
      </c>
      <c r="J2312" s="1423">
        <f t="shared" si="3376"/>
        <v>0</v>
      </c>
      <c r="K2312" s="1423">
        <f t="shared" si="3377"/>
        <v>0</v>
      </c>
      <c r="L2312" s="1423">
        <f t="shared" si="3378"/>
        <v>0</v>
      </c>
      <c r="M2312" s="1423">
        <f t="shared" si="3379"/>
        <v>0</v>
      </c>
      <c r="N2312" s="1423">
        <f t="shared" si="3380"/>
        <v>0</v>
      </c>
      <c r="O2312" s="1423">
        <f t="shared" si="3381"/>
        <v>0</v>
      </c>
      <c r="P2312" s="1423">
        <f t="shared" si="3382"/>
        <v>0</v>
      </c>
      <c r="Q2312" s="1423">
        <f t="shared" si="3383"/>
        <v>0</v>
      </c>
      <c r="R2312" s="1423">
        <f t="shared" si="3384"/>
        <v>0</v>
      </c>
      <c r="S2312" s="1423">
        <f t="shared" si="3385"/>
        <v>0</v>
      </c>
      <c r="T2312" s="1423">
        <f t="shared" si="3386"/>
        <v>0</v>
      </c>
      <c r="U2312" s="1423">
        <f t="shared" si="3387"/>
        <v>0</v>
      </c>
      <c r="V2312" s="1423">
        <f t="shared" si="3388"/>
        <v>0</v>
      </c>
      <c r="W2312" s="1423">
        <f t="shared" si="3389"/>
        <v>0</v>
      </c>
      <c r="X2312" s="152"/>
      <c r="Y2312" s="152"/>
      <c r="Z2312" s="152"/>
      <c r="AA2312" s="152"/>
      <c r="AB2312" s="152"/>
    </row>
    <row r="2313" spans="1:28" hidden="1" outlineLevel="1">
      <c r="A2313" s="152"/>
      <c r="B2313" s="190" t="str">
        <f t="shared" ca="1" si="3390"/>
        <v>RL Capex 2022-23</v>
      </c>
      <c r="C2313" s="1429"/>
      <c r="D2313" s="1429"/>
      <c r="E2313" s="1429"/>
      <c r="F2313" s="1429"/>
      <c r="G2313" s="1429"/>
      <c r="H2313" s="1429"/>
      <c r="I2313" s="1424"/>
      <c r="J2313" s="1428">
        <f>J2278</f>
        <v>0</v>
      </c>
      <c r="K2313" s="1423">
        <f t="shared" si="3377"/>
        <v>0</v>
      </c>
      <c r="L2313" s="1423">
        <f t="shared" si="3378"/>
        <v>0</v>
      </c>
      <c r="M2313" s="1423">
        <f t="shared" si="3379"/>
        <v>0</v>
      </c>
      <c r="N2313" s="1423">
        <f t="shared" si="3380"/>
        <v>0</v>
      </c>
      <c r="O2313" s="1423">
        <f t="shared" si="3381"/>
        <v>0</v>
      </c>
      <c r="P2313" s="1423">
        <f t="shared" si="3382"/>
        <v>0</v>
      </c>
      <c r="Q2313" s="1423">
        <f t="shared" si="3383"/>
        <v>0</v>
      </c>
      <c r="R2313" s="1423">
        <f t="shared" si="3384"/>
        <v>0</v>
      </c>
      <c r="S2313" s="1423">
        <f t="shared" si="3385"/>
        <v>0</v>
      </c>
      <c r="T2313" s="1423">
        <f t="shared" si="3386"/>
        <v>0</v>
      </c>
      <c r="U2313" s="1423">
        <f t="shared" si="3387"/>
        <v>0</v>
      </c>
      <c r="V2313" s="1423">
        <f t="shared" si="3388"/>
        <v>0</v>
      </c>
      <c r="W2313" s="1423">
        <f t="shared" si="3389"/>
        <v>0</v>
      </c>
      <c r="X2313" s="152"/>
      <c r="Y2313" s="152"/>
      <c r="Z2313" s="152"/>
      <c r="AA2313" s="152"/>
      <c r="AB2313" s="152"/>
    </row>
    <row r="2314" spans="1:28" hidden="1" outlineLevel="1">
      <c r="A2314" s="152"/>
      <c r="B2314" s="190" t="str">
        <f t="shared" ca="1" si="3390"/>
        <v>RL Capex 2023-24</v>
      </c>
      <c r="C2314" s="1429"/>
      <c r="D2314" s="1429"/>
      <c r="E2314" s="1429"/>
      <c r="F2314" s="1429"/>
      <c r="G2314" s="1429"/>
      <c r="H2314" s="1429"/>
      <c r="I2314" s="1429"/>
      <c r="J2314" s="1424"/>
      <c r="K2314" s="1428">
        <f>K2278</f>
        <v>0</v>
      </c>
      <c r="L2314" s="1423">
        <f t="shared" si="3378"/>
        <v>0</v>
      </c>
      <c r="M2314" s="1423">
        <f t="shared" si="3379"/>
        <v>0</v>
      </c>
      <c r="N2314" s="1423">
        <f t="shared" si="3380"/>
        <v>0</v>
      </c>
      <c r="O2314" s="1423">
        <f t="shared" si="3381"/>
        <v>0</v>
      </c>
      <c r="P2314" s="1423">
        <f t="shared" si="3382"/>
        <v>0</v>
      </c>
      <c r="Q2314" s="1423">
        <f t="shared" si="3383"/>
        <v>0</v>
      </c>
      <c r="R2314" s="1423">
        <f t="shared" si="3384"/>
        <v>0</v>
      </c>
      <c r="S2314" s="1423">
        <f t="shared" si="3385"/>
        <v>0</v>
      </c>
      <c r="T2314" s="1423">
        <f t="shared" si="3386"/>
        <v>0</v>
      </c>
      <c r="U2314" s="1423">
        <f t="shared" si="3387"/>
        <v>0</v>
      </c>
      <c r="V2314" s="1423">
        <f t="shared" si="3388"/>
        <v>0</v>
      </c>
      <c r="W2314" s="1423">
        <f t="shared" si="3389"/>
        <v>0</v>
      </c>
      <c r="X2314" s="152"/>
      <c r="Y2314" s="152"/>
      <c r="Z2314" s="152"/>
      <c r="AA2314" s="152"/>
      <c r="AB2314" s="152"/>
    </row>
    <row r="2315" spans="1:28" hidden="1" outlineLevel="1">
      <c r="A2315" s="152"/>
      <c r="B2315" s="190" t="str">
        <f t="shared" ca="1" si="3390"/>
        <v>RL Capex 2024-25</v>
      </c>
      <c r="C2315" s="1429"/>
      <c r="D2315" s="1429"/>
      <c r="E2315" s="1429"/>
      <c r="F2315" s="1429"/>
      <c r="G2315" s="1429"/>
      <c r="H2315" s="1429"/>
      <c r="I2315" s="1429"/>
      <c r="J2315" s="1429"/>
      <c r="K2315" s="1424"/>
      <c r="L2315" s="1428">
        <f>L2278</f>
        <v>0</v>
      </c>
      <c r="M2315" s="1423">
        <f t="shared" si="3379"/>
        <v>0</v>
      </c>
      <c r="N2315" s="1423">
        <f t="shared" si="3380"/>
        <v>0</v>
      </c>
      <c r="O2315" s="1423">
        <f t="shared" si="3381"/>
        <v>0</v>
      </c>
      <c r="P2315" s="1423">
        <f t="shared" si="3382"/>
        <v>0</v>
      </c>
      <c r="Q2315" s="1423">
        <f t="shared" si="3383"/>
        <v>0</v>
      </c>
      <c r="R2315" s="1423">
        <f t="shared" si="3384"/>
        <v>0</v>
      </c>
      <c r="S2315" s="1423">
        <f t="shared" si="3385"/>
        <v>0</v>
      </c>
      <c r="T2315" s="1423">
        <f t="shared" si="3386"/>
        <v>0</v>
      </c>
      <c r="U2315" s="1423">
        <f t="shared" si="3387"/>
        <v>0</v>
      </c>
      <c r="V2315" s="1423">
        <f t="shared" si="3388"/>
        <v>0</v>
      </c>
      <c r="W2315" s="1423">
        <f t="shared" si="3389"/>
        <v>0</v>
      </c>
      <c r="X2315" s="152"/>
      <c r="Y2315" s="152"/>
      <c r="Z2315" s="152"/>
      <c r="AA2315" s="152"/>
      <c r="AB2315" s="152"/>
    </row>
    <row r="2316" spans="1:28" hidden="1" outlineLevel="1">
      <c r="A2316" s="152"/>
      <c r="B2316" s="190" t="str">
        <f t="shared" ca="1" si="3390"/>
        <v>RL Capex 2025-26</v>
      </c>
      <c r="C2316" s="1429"/>
      <c r="D2316" s="1429"/>
      <c r="E2316" s="1429"/>
      <c r="F2316" s="1429"/>
      <c r="G2316" s="1429"/>
      <c r="H2316" s="1429"/>
      <c r="I2316" s="1429"/>
      <c r="J2316" s="1429"/>
      <c r="K2316" s="1429"/>
      <c r="L2316" s="1424"/>
      <c r="M2316" s="1428">
        <f>M2278</f>
        <v>0</v>
      </c>
      <c r="N2316" s="1423">
        <f t="shared" si="3380"/>
        <v>0</v>
      </c>
      <c r="O2316" s="1423">
        <f t="shared" si="3381"/>
        <v>0</v>
      </c>
      <c r="P2316" s="1423">
        <f t="shared" si="3382"/>
        <v>0</v>
      </c>
      <c r="Q2316" s="1423">
        <f t="shared" si="3383"/>
        <v>0</v>
      </c>
      <c r="R2316" s="1423">
        <f t="shared" si="3384"/>
        <v>0</v>
      </c>
      <c r="S2316" s="1423">
        <f t="shared" si="3385"/>
        <v>0</v>
      </c>
      <c r="T2316" s="1423">
        <f t="shared" si="3386"/>
        <v>0</v>
      </c>
      <c r="U2316" s="1423">
        <f t="shared" si="3387"/>
        <v>0</v>
      </c>
      <c r="V2316" s="1423">
        <f t="shared" si="3388"/>
        <v>0</v>
      </c>
      <c r="W2316" s="1423">
        <f t="shared" si="3389"/>
        <v>0</v>
      </c>
      <c r="X2316" s="152"/>
      <c r="Y2316" s="152"/>
      <c r="Z2316" s="152"/>
      <c r="AA2316" s="152"/>
      <c r="AB2316" s="152"/>
    </row>
    <row r="2317" spans="1:28" hidden="1" outlineLevel="1">
      <c r="A2317" s="152"/>
      <c r="B2317" s="190" t="str">
        <f t="shared" ca="1" si="3390"/>
        <v>RL Capex 2026-27</v>
      </c>
      <c r="C2317" s="1429"/>
      <c r="D2317" s="1429"/>
      <c r="E2317" s="1429"/>
      <c r="F2317" s="1429"/>
      <c r="G2317" s="1429"/>
      <c r="H2317" s="1429"/>
      <c r="I2317" s="1429"/>
      <c r="J2317" s="1429"/>
      <c r="K2317" s="1429"/>
      <c r="L2317" s="1429"/>
      <c r="M2317" s="1424"/>
      <c r="N2317" s="1428">
        <f>N2278</f>
        <v>0</v>
      </c>
      <c r="O2317" s="1423">
        <f t="shared" si="3381"/>
        <v>0</v>
      </c>
      <c r="P2317" s="1423">
        <f t="shared" si="3382"/>
        <v>0</v>
      </c>
      <c r="Q2317" s="1423">
        <f t="shared" si="3383"/>
        <v>0</v>
      </c>
      <c r="R2317" s="1423">
        <f t="shared" si="3384"/>
        <v>0</v>
      </c>
      <c r="S2317" s="1423">
        <f t="shared" si="3385"/>
        <v>0</v>
      </c>
      <c r="T2317" s="1423">
        <f t="shared" si="3386"/>
        <v>0</v>
      </c>
      <c r="U2317" s="1423">
        <f t="shared" si="3387"/>
        <v>0</v>
      </c>
      <c r="V2317" s="1423">
        <f t="shared" si="3388"/>
        <v>0</v>
      </c>
      <c r="W2317" s="1423">
        <f t="shared" si="3389"/>
        <v>0</v>
      </c>
      <c r="X2317" s="152"/>
      <c r="Y2317" s="152"/>
      <c r="Z2317" s="152"/>
      <c r="AA2317" s="152"/>
      <c r="AB2317" s="152"/>
    </row>
    <row r="2318" spans="1:28" hidden="1" outlineLevel="1">
      <c r="A2318" s="152"/>
      <c r="B2318" s="190" t="str">
        <f t="shared" ca="1" si="3390"/>
        <v>RL Capex 2027-28</v>
      </c>
      <c r="C2318" s="1429"/>
      <c r="D2318" s="1429"/>
      <c r="E2318" s="1429"/>
      <c r="F2318" s="1429"/>
      <c r="G2318" s="1429"/>
      <c r="H2318" s="1429"/>
      <c r="I2318" s="1429"/>
      <c r="J2318" s="1429"/>
      <c r="K2318" s="1429"/>
      <c r="L2318" s="1429"/>
      <c r="M2318" s="1429"/>
      <c r="N2318" s="1424"/>
      <c r="O2318" s="1428">
        <f>O2278</f>
        <v>0</v>
      </c>
      <c r="P2318" s="1423">
        <f t="shared" si="3382"/>
        <v>0</v>
      </c>
      <c r="Q2318" s="1423">
        <f t="shared" si="3383"/>
        <v>0</v>
      </c>
      <c r="R2318" s="1423">
        <f t="shared" si="3384"/>
        <v>0</v>
      </c>
      <c r="S2318" s="1423">
        <f t="shared" si="3385"/>
        <v>0</v>
      </c>
      <c r="T2318" s="1423">
        <f t="shared" si="3386"/>
        <v>0</v>
      </c>
      <c r="U2318" s="1423">
        <f t="shared" si="3387"/>
        <v>0</v>
      </c>
      <c r="V2318" s="1423">
        <f t="shared" si="3388"/>
        <v>0</v>
      </c>
      <c r="W2318" s="1423">
        <f t="shared" si="3389"/>
        <v>0</v>
      </c>
      <c r="X2318" s="152"/>
      <c r="Y2318" s="152"/>
      <c r="Z2318" s="152"/>
      <c r="AA2318" s="152"/>
      <c r="AB2318" s="152"/>
    </row>
    <row r="2319" spans="1:28" hidden="1" outlineLevel="1">
      <c r="A2319" s="152"/>
      <c r="B2319" s="190" t="str">
        <f t="shared" ca="1" si="3390"/>
        <v>RL Capex 2028-29</v>
      </c>
      <c r="C2319" s="1429"/>
      <c r="D2319" s="1429"/>
      <c r="E2319" s="1429"/>
      <c r="F2319" s="1429"/>
      <c r="G2319" s="1429"/>
      <c r="H2319" s="1429"/>
      <c r="I2319" s="1429"/>
      <c r="J2319" s="1429"/>
      <c r="K2319" s="1429"/>
      <c r="L2319" s="1429"/>
      <c r="M2319" s="1429"/>
      <c r="N2319" s="1429"/>
      <c r="O2319" s="1424"/>
      <c r="P2319" s="1428">
        <f>P2278</f>
        <v>0</v>
      </c>
      <c r="Q2319" s="1423">
        <f t="shared" si="3383"/>
        <v>0</v>
      </c>
      <c r="R2319" s="1423">
        <f t="shared" si="3384"/>
        <v>0</v>
      </c>
      <c r="S2319" s="1423">
        <f t="shared" si="3385"/>
        <v>0</v>
      </c>
      <c r="T2319" s="1423">
        <f t="shared" si="3386"/>
        <v>0</v>
      </c>
      <c r="U2319" s="1423">
        <f t="shared" si="3387"/>
        <v>0</v>
      </c>
      <c r="V2319" s="1423">
        <f t="shared" si="3388"/>
        <v>0</v>
      </c>
      <c r="W2319" s="1423">
        <f t="shared" si="3389"/>
        <v>0</v>
      </c>
      <c r="X2319" s="152"/>
      <c r="Y2319" s="152"/>
      <c r="Z2319" s="152"/>
      <c r="AA2319" s="152"/>
      <c r="AB2319" s="152"/>
    </row>
    <row r="2320" spans="1:28" hidden="1" outlineLevel="1">
      <c r="A2320" s="152"/>
      <c r="B2320" s="190" t="str">
        <f t="shared" ca="1" si="3390"/>
        <v>RL Capex 2029-30</v>
      </c>
      <c r="C2320" s="1429"/>
      <c r="D2320" s="1429"/>
      <c r="E2320" s="1429"/>
      <c r="F2320" s="1429"/>
      <c r="G2320" s="1429"/>
      <c r="H2320" s="1429"/>
      <c r="I2320" s="1429"/>
      <c r="J2320" s="1429"/>
      <c r="K2320" s="1429"/>
      <c r="L2320" s="1429"/>
      <c r="M2320" s="1429"/>
      <c r="N2320" s="1429"/>
      <c r="O2320" s="1429"/>
      <c r="P2320" s="1424"/>
      <c r="Q2320" s="1428">
        <f>Q2278</f>
        <v>0</v>
      </c>
      <c r="R2320" s="1423">
        <f t="shared" si="3384"/>
        <v>0</v>
      </c>
      <c r="S2320" s="1423">
        <f t="shared" si="3385"/>
        <v>0</v>
      </c>
      <c r="T2320" s="1423">
        <f t="shared" si="3386"/>
        <v>0</v>
      </c>
      <c r="U2320" s="1423">
        <f t="shared" si="3387"/>
        <v>0</v>
      </c>
      <c r="V2320" s="1423">
        <f t="shared" si="3388"/>
        <v>0</v>
      </c>
      <c r="W2320" s="1423">
        <f t="shared" si="3389"/>
        <v>0</v>
      </c>
      <c r="X2320" s="152"/>
      <c r="Y2320" s="152"/>
      <c r="Z2320" s="152"/>
      <c r="AA2320" s="152"/>
      <c r="AB2320" s="152"/>
    </row>
    <row r="2321" spans="1:28" hidden="1" outlineLevel="1">
      <c r="A2321" s="152"/>
      <c r="B2321" s="190" t="str">
        <f t="shared" ca="1" si="3390"/>
        <v>RL Capex 2030-31</v>
      </c>
      <c r="C2321" s="1429"/>
      <c r="D2321" s="1429"/>
      <c r="E2321" s="1429"/>
      <c r="F2321" s="1429"/>
      <c r="G2321" s="1429"/>
      <c r="H2321" s="1429"/>
      <c r="I2321" s="1429"/>
      <c r="J2321" s="1429"/>
      <c r="K2321" s="1429"/>
      <c r="L2321" s="1429"/>
      <c r="M2321" s="1429"/>
      <c r="N2321" s="1429"/>
      <c r="O2321" s="1429"/>
      <c r="P2321" s="1429"/>
      <c r="Q2321" s="1424"/>
      <c r="R2321" s="1428">
        <f>R2278</f>
        <v>0</v>
      </c>
      <c r="S2321" s="1423">
        <f t="shared" si="3385"/>
        <v>0</v>
      </c>
      <c r="T2321" s="1423">
        <f t="shared" si="3386"/>
        <v>0</v>
      </c>
      <c r="U2321" s="1423">
        <f t="shared" si="3387"/>
        <v>0</v>
      </c>
      <c r="V2321" s="1423">
        <f t="shared" si="3388"/>
        <v>0</v>
      </c>
      <c r="W2321" s="1423">
        <f t="shared" si="3389"/>
        <v>0</v>
      </c>
      <c r="X2321" s="152"/>
      <c r="Y2321" s="152"/>
      <c r="Z2321" s="152"/>
      <c r="AA2321" s="152"/>
      <c r="AB2321" s="152"/>
    </row>
    <row r="2322" spans="1:28" hidden="1" outlineLevel="1">
      <c r="A2322" s="152"/>
      <c r="B2322" s="190" t="str">
        <f t="shared" ca="1" si="3390"/>
        <v>RL Capex 2031-32</v>
      </c>
      <c r="C2322" s="1429"/>
      <c r="D2322" s="1429"/>
      <c r="E2322" s="1429"/>
      <c r="F2322" s="1429"/>
      <c r="G2322" s="1429"/>
      <c r="H2322" s="1429"/>
      <c r="I2322" s="1429"/>
      <c r="J2322" s="1429"/>
      <c r="K2322" s="1429"/>
      <c r="L2322" s="1429"/>
      <c r="M2322" s="1429"/>
      <c r="N2322" s="1429"/>
      <c r="O2322" s="1429"/>
      <c r="P2322" s="1429"/>
      <c r="Q2322" s="1429"/>
      <c r="R2322" s="1424"/>
      <c r="S2322" s="1428">
        <f>S2278</f>
        <v>0</v>
      </c>
      <c r="T2322" s="1423">
        <f t="shared" si="3386"/>
        <v>0</v>
      </c>
      <c r="U2322" s="1423">
        <f t="shared" si="3387"/>
        <v>0</v>
      </c>
      <c r="V2322" s="1423">
        <f t="shared" si="3388"/>
        <v>0</v>
      </c>
      <c r="W2322" s="1423">
        <f t="shared" si="3389"/>
        <v>0</v>
      </c>
      <c r="X2322" s="152"/>
      <c r="Y2322" s="152"/>
      <c r="Z2322" s="152"/>
      <c r="AA2322" s="152"/>
      <c r="AB2322" s="152"/>
    </row>
    <row r="2323" spans="1:28" hidden="1" outlineLevel="1">
      <c r="A2323" s="152"/>
      <c r="B2323" s="190" t="str">
        <f t="shared" ca="1" si="3390"/>
        <v>RL Capex 2032-33</v>
      </c>
      <c r="C2323" s="1429"/>
      <c r="D2323" s="1429"/>
      <c r="E2323" s="1429"/>
      <c r="F2323" s="1429"/>
      <c r="G2323" s="1429"/>
      <c r="H2323" s="1429"/>
      <c r="I2323" s="1429"/>
      <c r="J2323" s="1429"/>
      <c r="K2323" s="1429"/>
      <c r="L2323" s="1429"/>
      <c r="M2323" s="1429"/>
      <c r="N2323" s="1429"/>
      <c r="O2323" s="1429"/>
      <c r="P2323" s="1429"/>
      <c r="Q2323" s="1429"/>
      <c r="R2323" s="1429"/>
      <c r="S2323" s="1424"/>
      <c r="T2323" s="1428">
        <f>T2278</f>
        <v>0</v>
      </c>
      <c r="U2323" s="1423">
        <f t="shared" si="3387"/>
        <v>0</v>
      </c>
      <c r="V2323" s="1423">
        <f t="shared" si="3388"/>
        <v>0</v>
      </c>
      <c r="W2323" s="1423">
        <f t="shared" si="3389"/>
        <v>0</v>
      </c>
      <c r="X2323" s="152"/>
      <c r="Y2323" s="152"/>
      <c r="Z2323" s="152"/>
      <c r="AA2323" s="152"/>
      <c r="AB2323" s="152"/>
    </row>
    <row r="2324" spans="1:28" hidden="1" outlineLevel="1">
      <c r="A2324" s="152"/>
      <c r="B2324" s="190" t="str">
        <f t="shared" ca="1" si="3390"/>
        <v>RL Capex 2033-34</v>
      </c>
      <c r="C2324" s="1429"/>
      <c r="D2324" s="1429"/>
      <c r="E2324" s="1429"/>
      <c r="F2324" s="1429"/>
      <c r="G2324" s="1429"/>
      <c r="H2324" s="1429"/>
      <c r="I2324" s="1429"/>
      <c r="J2324" s="1429"/>
      <c r="K2324" s="1429"/>
      <c r="L2324" s="1429"/>
      <c r="M2324" s="1429"/>
      <c r="N2324" s="1429"/>
      <c r="O2324" s="1429"/>
      <c r="P2324" s="1429"/>
      <c r="Q2324" s="1429"/>
      <c r="R2324" s="1429"/>
      <c r="S2324" s="1429"/>
      <c r="T2324" s="1424"/>
      <c r="U2324" s="1428">
        <f>U2278</f>
        <v>0</v>
      </c>
      <c r="V2324" s="1423">
        <f t="shared" si="3388"/>
        <v>0</v>
      </c>
      <c r="W2324" s="1423">
        <f t="shared" si="3389"/>
        <v>0</v>
      </c>
      <c r="X2324" s="152"/>
      <c r="Y2324" s="152"/>
      <c r="Z2324" s="152"/>
      <c r="AA2324" s="152"/>
      <c r="AB2324" s="152"/>
    </row>
    <row r="2325" spans="1:28" hidden="1" outlineLevel="1">
      <c r="A2325" s="152"/>
      <c r="B2325" s="190" t="str">
        <f t="shared" ca="1" si="3390"/>
        <v>RL Capex 2034-35</v>
      </c>
      <c r="C2325" s="1429"/>
      <c r="D2325" s="1429"/>
      <c r="E2325" s="1429"/>
      <c r="F2325" s="1429"/>
      <c r="G2325" s="1429"/>
      <c r="H2325" s="1429"/>
      <c r="I2325" s="1429"/>
      <c r="J2325" s="1429"/>
      <c r="K2325" s="1429"/>
      <c r="L2325" s="1429"/>
      <c r="M2325" s="1429"/>
      <c r="N2325" s="1429"/>
      <c r="O2325" s="1429"/>
      <c r="P2325" s="1429"/>
      <c r="Q2325" s="1429"/>
      <c r="R2325" s="1429"/>
      <c r="S2325" s="1429"/>
      <c r="T2325" s="1429"/>
      <c r="U2325" s="1424"/>
      <c r="V2325" s="1428">
        <f>V2278</f>
        <v>0</v>
      </c>
      <c r="W2325" s="1423">
        <f>IF(V2325="n/a","n/a",MAX(0,V2325-1))</f>
        <v>0</v>
      </c>
      <c r="X2325" s="152"/>
      <c r="Y2325" s="152"/>
      <c r="Z2325" s="152"/>
      <c r="AA2325" s="152"/>
      <c r="AB2325" s="152"/>
    </row>
    <row r="2326" spans="1:28" hidden="1" outlineLevel="1">
      <c r="A2326" s="152"/>
      <c r="B2326" s="190" t="str">
        <f t="shared" ca="1" si="3390"/>
        <v>RL Capex 2035-36</v>
      </c>
      <c r="C2326" s="1429"/>
      <c r="D2326" s="1429"/>
      <c r="E2326" s="1429"/>
      <c r="F2326" s="1429"/>
      <c r="G2326" s="1429"/>
      <c r="H2326" s="1429"/>
      <c r="I2326" s="1429"/>
      <c r="J2326" s="1429"/>
      <c r="K2326" s="1429"/>
      <c r="L2326" s="1429"/>
      <c r="M2326" s="1429"/>
      <c r="N2326" s="1429"/>
      <c r="O2326" s="1429"/>
      <c r="P2326" s="1429"/>
      <c r="Q2326" s="1429"/>
      <c r="R2326" s="1429"/>
      <c r="S2326" s="1429"/>
      <c r="T2326" s="1429"/>
      <c r="U2326" s="1429"/>
      <c r="V2326" s="1424"/>
      <c r="W2326" s="1423">
        <f>W2278</f>
        <v>0</v>
      </c>
      <c r="X2326" s="152"/>
      <c r="Y2326" s="152"/>
      <c r="Z2326" s="152"/>
      <c r="AA2326" s="152"/>
      <c r="AB2326" s="152"/>
    </row>
    <row r="2327" spans="1:28" hidden="1" outlineLevel="1">
      <c r="A2327" s="152"/>
      <c r="B2327" s="200"/>
      <c r="C2327" s="1423"/>
      <c r="D2327" s="1423"/>
      <c r="E2327" s="1423"/>
      <c r="F2327" s="1423"/>
      <c r="G2327" s="1423"/>
      <c r="H2327" s="1423"/>
      <c r="I2327" s="1423"/>
      <c r="J2327" s="1423"/>
      <c r="K2327" s="1423"/>
      <c r="L2327" s="1423"/>
      <c r="M2327" s="1423"/>
      <c r="N2327" s="1423"/>
      <c r="O2327" s="1423"/>
      <c r="P2327" s="1423"/>
      <c r="Q2327" s="1423"/>
      <c r="R2327" s="1423"/>
      <c r="S2327" s="1423"/>
      <c r="T2327" s="1423"/>
      <c r="U2327" s="1423"/>
      <c r="V2327" s="1423"/>
      <c r="W2327" s="1423"/>
      <c r="X2327" s="152"/>
      <c r="Y2327" s="152"/>
      <c r="Z2327" s="152"/>
      <c r="AA2327" s="152"/>
      <c r="AB2327" s="152"/>
    </row>
    <row r="2328" spans="1:28" collapsed="1">
      <c r="A2328" s="194"/>
      <c r="B2328" s="204" t="s">
        <v>123</v>
      </c>
      <c r="C2328" s="1430">
        <f ca="1">(IF(OR($C2278&lt;&gt;"n/a",C2278&lt;&gt;"n/a"),IF(SUM(C2281:C2303)=0,0,IF((SUMPRODUCT(C2281:C2303,C2305:C2327)/SUM(C2281:C2303))&lt;0,1,(SUMPRODUCT(C2281:C2303,C2305:C2327)/SUM(C2281:C2303)))),"n/a"))</f>
        <v>0</v>
      </c>
      <c r="D2328" s="1430">
        <f ca="1">(IF(OR($C2278&lt;&gt;"n/a",D2278&lt;&gt;"n/a"),IF(SUM(D2281:D2303)=0,0,IF((SUMPRODUCT(D2281:D2303,D2305:D2327)/SUM(D2281:D2303))&lt;0,1,(SUMPRODUCT(D2281:D2303,D2305:D2327)/SUM(D2281:D2303)))),"n/a"))</f>
        <v>0</v>
      </c>
      <c r="E2328" s="1430">
        <f t="shared" ref="E2328:W2328" ca="1" si="3391">(IF(OR($C2278&lt;&gt;"n/a",E2278&lt;&gt;"n/a"),IF(SUM(E2281:E2303)=0,0,IF((SUMPRODUCT(E2281:E2303,E2305:E2327)/SUM(E2281:E2303))&lt;0,1,(SUMPRODUCT(E2281:E2303,E2305:E2327)/SUM(E2281:E2303)))),"n/a"))</f>
        <v>0</v>
      </c>
      <c r="F2328" s="1430">
        <f t="shared" ca="1" si="3391"/>
        <v>0</v>
      </c>
      <c r="G2328" s="1430">
        <f t="shared" ca="1" si="3391"/>
        <v>0</v>
      </c>
      <c r="H2328" s="1430">
        <f t="shared" ca="1" si="3391"/>
        <v>0</v>
      </c>
      <c r="I2328" s="1430">
        <f t="shared" ca="1" si="3391"/>
        <v>0</v>
      </c>
      <c r="J2328" s="1430">
        <f t="shared" ca="1" si="3391"/>
        <v>0</v>
      </c>
      <c r="K2328" s="1430">
        <f t="shared" ca="1" si="3391"/>
        <v>0</v>
      </c>
      <c r="L2328" s="1430">
        <f t="shared" ca="1" si="3391"/>
        <v>0</v>
      </c>
      <c r="M2328" s="1430">
        <f t="shared" ca="1" si="3391"/>
        <v>0</v>
      </c>
      <c r="N2328" s="1430">
        <f t="shared" ca="1" si="3391"/>
        <v>0</v>
      </c>
      <c r="O2328" s="1430">
        <f t="shared" ca="1" si="3391"/>
        <v>0</v>
      </c>
      <c r="P2328" s="1430">
        <f t="shared" ca="1" si="3391"/>
        <v>0</v>
      </c>
      <c r="Q2328" s="1430">
        <f t="shared" ca="1" si="3391"/>
        <v>0</v>
      </c>
      <c r="R2328" s="1430">
        <f t="shared" ca="1" si="3391"/>
        <v>0</v>
      </c>
      <c r="S2328" s="1430">
        <f t="shared" ca="1" si="3391"/>
        <v>0</v>
      </c>
      <c r="T2328" s="1430">
        <f t="shared" ca="1" si="3391"/>
        <v>0</v>
      </c>
      <c r="U2328" s="1430">
        <f t="shared" ca="1" si="3391"/>
        <v>0</v>
      </c>
      <c r="V2328" s="1430">
        <f t="shared" ca="1" si="3391"/>
        <v>0</v>
      </c>
      <c r="W2328" s="1430">
        <f t="shared" ca="1" si="3391"/>
        <v>0</v>
      </c>
      <c r="X2328" s="152"/>
      <c r="Y2328" s="152"/>
      <c r="Z2328" s="152"/>
      <c r="AA2328" s="152"/>
      <c r="AB2328" s="152"/>
    </row>
    <row r="2329" spans="1:28">
      <c r="A2329" s="152"/>
      <c r="B2329" s="152"/>
      <c r="C2329" s="1423"/>
      <c r="D2329" s="1423"/>
      <c r="E2329" s="1423"/>
      <c r="F2329" s="1423"/>
      <c r="G2329" s="1423"/>
      <c r="H2329" s="1423"/>
      <c r="I2329" s="1423"/>
      <c r="J2329" s="1423"/>
      <c r="K2329" s="1423"/>
      <c r="L2329" s="1423"/>
      <c r="M2329" s="1423"/>
      <c r="N2329" s="1423"/>
      <c r="O2329" s="1423"/>
      <c r="P2329" s="1423"/>
      <c r="Q2329" s="1423"/>
      <c r="R2329" s="1423"/>
      <c r="S2329" s="1423"/>
      <c r="T2329" s="1423"/>
      <c r="U2329" s="1423"/>
      <c r="V2329" s="1423"/>
      <c r="W2329" s="1423"/>
      <c r="X2329" s="152"/>
      <c r="Y2329" s="152"/>
      <c r="Z2329" s="152"/>
      <c r="AA2329" s="152"/>
      <c r="AB2329" s="152"/>
    </row>
    <row r="2330" spans="1:28">
      <c r="A2330" s="269" t="s">
        <v>110</v>
      </c>
      <c r="B2330" s="270">
        <f>VLOOKUP($A2330,'RFM input'!$E$7:$F$56,2,FALSE)</f>
        <v>0</v>
      </c>
      <c r="C2330" s="1431"/>
      <c r="D2330" s="1431"/>
      <c r="E2330" s="1432"/>
      <c r="F2330" s="1432"/>
      <c r="G2330" s="1432"/>
      <c r="H2330" s="1432"/>
      <c r="I2330" s="1432"/>
      <c r="J2330" s="1432"/>
      <c r="K2330" s="1432"/>
      <c r="L2330" s="1432"/>
      <c r="M2330" s="1432"/>
      <c r="N2330" s="1432"/>
      <c r="O2330" s="1432"/>
      <c r="P2330" s="1432"/>
      <c r="Q2330" s="1432"/>
      <c r="R2330" s="1432"/>
      <c r="S2330" s="1432"/>
      <c r="T2330" s="1432"/>
      <c r="U2330" s="1432"/>
      <c r="V2330" s="1432"/>
      <c r="W2330" s="1432"/>
      <c r="X2330" s="152"/>
      <c r="Y2330" s="152"/>
      <c r="Z2330" s="152"/>
      <c r="AA2330" s="152"/>
      <c r="AB2330" s="152"/>
    </row>
    <row r="2331" spans="1:28">
      <c r="A2331" s="215">
        <f>VALUE(REPLACE(A2330,1,12,""))</f>
        <v>44</v>
      </c>
      <c r="B2331" s="193" t="s">
        <v>126</v>
      </c>
      <c r="C2331" s="1416">
        <f ca="1">IF($D$6='TAB roll forward'!$H$4,OFFSET('TAB roll forward'!$H$7,A2331,0),"enter input")</f>
        <v>0</v>
      </c>
      <c r="D2331" s="1417">
        <f>IF(LEFT(D$6,4)&lt;LEFT('RFM input'!$G$60,4),"enter input",IF(LEFT(D$6,4)&gt;LEFT('RFM input'!$Q$60,4),0,
INDEX('RFM input'!$G$61:$Q$110,$A2331,MATCH(D$6,'RFM input'!$G$60:$Q$60,0))
   -INDEX('RFM input'!$G$115:$Q$164,$A2331,MATCH(D$6,'RFM input'!$G$60:$Q$60,0))))</f>
        <v>0</v>
      </c>
      <c r="E2331" s="1417">
        <f>IF(LEFT(E$6,4)&lt;LEFT('RFM input'!$G$60,4),"enter input",IF(LEFT(E$6,4)&gt;LEFT('RFM input'!$Q$60,4),0,
INDEX('RFM input'!$G$61:$Q$110,$A2331,MATCH(E$6,'RFM input'!$G$60:$Q$60,0))
   -INDEX('RFM input'!$G$115:$Q$164,$A2331,MATCH(E$6,'RFM input'!$G$60:$Q$60,0))))</f>
        <v>0</v>
      </c>
      <c r="F2331" s="1417">
        <f>IF(LEFT(F$6,4)&lt;LEFT('RFM input'!$G$60,4),"enter input",IF(LEFT(F$6,4)&gt;LEFT('RFM input'!$Q$60,4),0,
INDEX('RFM input'!$G$61:$Q$110,$A2331,MATCH(F$6,'RFM input'!$G$60:$Q$60,0))
   -INDEX('RFM input'!$G$115:$Q$164,$A2331,MATCH(F$6,'RFM input'!$G$60:$Q$60,0))))</f>
        <v>0</v>
      </c>
      <c r="G2331" s="1417">
        <f>IF(LEFT(G$6,4)&lt;LEFT('RFM input'!$G$60,4),"enter input",IF(LEFT(G$6,4)&gt;LEFT('RFM input'!$Q$60,4),0,
INDEX('RFM input'!$G$61:$Q$110,$A2331,MATCH(G$6,'RFM input'!$G$60:$Q$60,0))
   -INDEX('RFM input'!$G$115:$Q$164,$A2331,MATCH(G$6,'RFM input'!$G$60:$Q$60,0))))</f>
        <v>0</v>
      </c>
      <c r="H2331" s="1417">
        <f>IF(LEFT(H$6,4)&lt;LEFT('RFM input'!$G$60,4),"enter input",IF(LEFT(H$6,4)&gt;LEFT('RFM input'!$Q$60,4),0,
INDEX('RFM input'!$G$61:$Q$110,$A2331,MATCH(H$6,'RFM input'!$G$60:$Q$60,0))
   -INDEX('RFM input'!$G$115:$Q$164,$A2331,MATCH(H$6,'RFM input'!$G$60:$Q$60,0))))</f>
        <v>0</v>
      </c>
      <c r="I2331" s="1417">
        <f>IF(LEFT(I$6,4)&lt;LEFT('RFM input'!$G$60,4),"enter input",IF(LEFT(I$6,4)&gt;LEFT('RFM input'!$Q$60,4),0,
INDEX('RFM input'!$G$61:$Q$110,$A2331,MATCH(I$6,'RFM input'!$G$60:$Q$60,0))
   -INDEX('RFM input'!$G$115:$Q$164,$A2331,MATCH(I$6,'RFM input'!$G$60:$Q$60,0))))</f>
        <v>0</v>
      </c>
      <c r="J2331" s="1417">
        <f>IF(LEFT(J$6,4)&lt;LEFT('RFM input'!$G$60,4),"enter input",IF(LEFT(J$6,4)&gt;LEFT('RFM input'!$Q$60,4),0,
INDEX('RFM input'!$G$61:$Q$110,$A2331,MATCH(J$6,'RFM input'!$G$60:$Q$60,0))
   -INDEX('RFM input'!$G$115:$Q$164,$A2331,MATCH(J$6,'RFM input'!$G$60:$Q$60,0))))</f>
        <v>0</v>
      </c>
      <c r="K2331" s="1417">
        <f>IF(LEFT(K$6,4)&lt;LEFT('RFM input'!$G$60,4),"enter input",IF(LEFT(K$6,4)&gt;LEFT('RFM input'!$Q$60,4),0,
INDEX('RFM input'!$G$61:$Q$110,$A2331,MATCH(K$6,'RFM input'!$G$60:$Q$60,0))
   -INDEX('RFM input'!$G$115:$Q$164,$A2331,MATCH(K$6,'RFM input'!$G$60:$Q$60,0))))</f>
        <v>0</v>
      </c>
      <c r="L2331" s="1417">
        <f>IF(LEFT(L$6,4)&lt;LEFT('RFM input'!$G$60,4),"enter input",IF(LEFT(L$6,4)&gt;LEFT('RFM input'!$Q$60,4),0,
INDEX('RFM input'!$G$61:$Q$110,$A2331,MATCH(L$6,'RFM input'!$G$60:$Q$60,0))
   -INDEX('RFM input'!$G$115:$Q$164,$A2331,MATCH(L$6,'RFM input'!$G$60:$Q$60,0))))</f>
        <v>0</v>
      </c>
      <c r="M2331" s="1417">
        <f>IF(LEFT(M$6,4)&lt;LEFT('RFM input'!$G$60,4),"enter input",IF(LEFT(M$6,4)&gt;LEFT('RFM input'!$Q$60,4),0,
INDEX('RFM input'!$G$61:$Q$110,$A2331,MATCH(M$6,'RFM input'!$G$60:$Q$60,0))
   -INDEX('RFM input'!$G$115:$Q$164,$A2331,MATCH(M$6,'RFM input'!$G$60:$Q$60,0))))</f>
        <v>0</v>
      </c>
      <c r="N2331" s="1417">
        <f>IF(LEFT(N$6,4)&lt;LEFT('RFM input'!$G$60,4),"enter input",IF(LEFT(N$6,4)&gt;LEFT('RFM input'!$Q$60,4),0,
INDEX('RFM input'!$G$61:$Q$110,$A2331,MATCH(N$6,'RFM input'!$G$60:$Q$60,0))
   -INDEX('RFM input'!$G$115:$Q$164,$A2331,MATCH(N$6,'RFM input'!$G$60:$Q$60,0))))</f>
        <v>0</v>
      </c>
      <c r="O2331" s="1417">
        <f>IF(LEFT(O$6,4)&lt;LEFT('RFM input'!$G$60,4),"enter input",IF(LEFT(O$6,4)&gt;LEFT('RFM input'!$Q$60,4),0,
INDEX('RFM input'!$G$61:$Q$110,$A2331,MATCH(O$6,'RFM input'!$G$60:$Q$60,0))
   -INDEX('RFM input'!$G$115:$Q$164,$A2331,MATCH(O$6,'RFM input'!$G$60:$Q$60,0))))</f>
        <v>0</v>
      </c>
      <c r="P2331" s="1417">
        <f>IF(LEFT(P$6,4)&lt;LEFT('RFM input'!$G$60,4),"enter input",IF(LEFT(P$6,4)&gt;LEFT('RFM input'!$Q$60,4),0,
INDEX('RFM input'!$G$61:$Q$110,$A2331,MATCH(P$6,'RFM input'!$G$60:$Q$60,0))
   -INDEX('RFM input'!$G$115:$Q$164,$A2331,MATCH(P$6,'RFM input'!$G$60:$Q$60,0))))</f>
        <v>0</v>
      </c>
      <c r="Q2331" s="1417">
        <f>IF(LEFT(Q$6,4)&lt;LEFT('RFM input'!$G$60,4),"enter input",IF(LEFT(Q$6,4)&gt;LEFT('RFM input'!$Q$60,4),0,
INDEX('RFM input'!$G$61:$Q$110,$A2331,MATCH(Q$6,'RFM input'!$G$60:$Q$60,0))
   -INDEX('RFM input'!$G$115:$Q$164,$A2331,MATCH(Q$6,'RFM input'!$G$60:$Q$60,0))))</f>
        <v>0</v>
      </c>
      <c r="R2331" s="1417">
        <f>IF(LEFT(R$6,4)&lt;LEFT('RFM input'!$G$60,4),"enter input",IF(LEFT(R$6,4)&gt;LEFT('RFM input'!$Q$60,4),0,
INDEX('RFM input'!$G$61:$Q$110,$A2331,MATCH(R$6,'RFM input'!$G$60:$Q$60,0))
   -INDEX('RFM input'!$G$115:$Q$164,$A2331,MATCH(R$6,'RFM input'!$G$60:$Q$60,0))))</f>
        <v>0</v>
      </c>
      <c r="S2331" s="1417">
        <f>IF(LEFT(S$6,4)&lt;LEFT('RFM input'!$G$60,4),"enter input",IF(LEFT(S$6,4)&gt;LEFT('RFM input'!$Q$60,4),0,
INDEX('RFM input'!$G$61:$Q$110,$A2331,MATCH(S$6,'RFM input'!$G$60:$Q$60,0))
   -INDEX('RFM input'!$G$115:$Q$164,$A2331,MATCH(S$6,'RFM input'!$G$60:$Q$60,0))))</f>
        <v>0</v>
      </c>
      <c r="T2331" s="1417">
        <f>IF(LEFT(T$6,4)&lt;LEFT('RFM input'!$G$60,4),"enter input",IF(LEFT(T$6,4)&gt;LEFT('RFM input'!$Q$60,4),0,
INDEX('RFM input'!$G$61:$Q$110,$A2331,MATCH(T$6,'RFM input'!$G$60:$Q$60,0))
   -INDEX('RFM input'!$G$115:$Q$164,$A2331,MATCH(T$6,'RFM input'!$G$60:$Q$60,0))))</f>
        <v>0</v>
      </c>
      <c r="U2331" s="1417">
        <f>IF(LEFT(U$6,4)&lt;LEFT('RFM input'!$G$60,4),"enter input",IF(LEFT(U$6,4)&gt;LEFT('RFM input'!$Q$60,4),0,
INDEX('RFM input'!$G$61:$Q$110,$A2331,MATCH(U$6,'RFM input'!$G$60:$Q$60,0))
   -INDEX('RFM input'!$G$115:$Q$164,$A2331,MATCH(U$6,'RFM input'!$G$60:$Q$60,0))))</f>
        <v>0</v>
      </c>
      <c r="V2331" s="1417">
        <f>IF(LEFT(V$6,4)&lt;LEFT('RFM input'!$G$60,4),"enter input",IF(LEFT(V$6,4)&gt;LEFT('RFM input'!$Q$60,4),0,
INDEX('RFM input'!$G$61:$Q$110,$A2331,MATCH(V$6,'RFM input'!$G$60:$Q$60,0))
   -INDEX('RFM input'!$G$115:$Q$164,$A2331,MATCH(V$6,'RFM input'!$G$60:$Q$60,0))))</f>
        <v>0</v>
      </c>
      <c r="W2331" s="1417">
        <f>IF(LEFT(W$6,4)&lt;LEFT('RFM input'!$G$60,4),"enter input",IF(LEFT(W$6,4)&gt;LEFT('RFM input'!$Q$60,4),0,
INDEX('RFM input'!$G$61:$Q$110,$A2331,MATCH(W$6,'RFM input'!$G$60:$Q$60,0))
   -INDEX('RFM input'!$G$115:$Q$164,$A2331,MATCH(W$6,'RFM input'!$G$60:$Q$60,0))))</f>
        <v>0</v>
      </c>
      <c r="X2331" s="152"/>
      <c r="Y2331" s="152"/>
      <c r="Z2331" s="152"/>
      <c r="AA2331" s="152"/>
      <c r="AB2331" s="152"/>
    </row>
    <row r="2332" spans="1:28">
      <c r="A2332" s="152"/>
      <c r="B2332" s="152" t="s">
        <v>205</v>
      </c>
      <c r="C2332" s="1418">
        <f ca="1">IF($D$6='TAB roll forward'!$H$4,OFFSET('RFM input'!$S$6,$A2331,0),"enter input")</f>
        <v>0</v>
      </c>
      <c r="D2332" s="1417">
        <f>IF(LEFT(D$6,4)&lt;=LEFT('RFM input'!$G$60,4),"enter input",IF(LEFT(D$6,4)&gt;LEFT('RFM input'!$Q$60,4),0,
IF(MATCH(D$6,'RFM input'!$H$60:$Q$60,0),INDEX('RFM input'!$T$7:$T$56,$A2331,1,1))))</f>
        <v>0</v>
      </c>
      <c r="E2332" s="1417">
        <f>IF(LEFT(E$6,4)&lt;=LEFT('RFM input'!$G$60,4),"enter input",IF(LEFT(E$6,4)&gt;LEFT('RFM input'!$Q$60,4),0,
IF(MATCH(E$6,'RFM input'!$H$60:$Q$60,0),INDEX('RFM input'!$T$7:$T$56,$A2331,1,1))))</f>
        <v>0</v>
      </c>
      <c r="F2332" s="1417">
        <f>IF(LEFT(F$6,4)&lt;=LEFT('RFM input'!$G$60,4),"enter input",IF(LEFT(F$6,4)&gt;LEFT('RFM input'!$Q$60,4),0,
IF(MATCH(F$6,'RFM input'!$H$60:$Q$60,0),INDEX('RFM input'!$T$7:$T$56,$A2331,1,1))))</f>
        <v>0</v>
      </c>
      <c r="G2332" s="1417">
        <f>IF(LEFT(G$6,4)&lt;=LEFT('RFM input'!$G$60,4),"enter input",IF(LEFT(G$6,4)&gt;LEFT('RFM input'!$Q$60,4),0,
IF(MATCH(G$6,'RFM input'!$H$60:$Q$60,0),INDEX('RFM input'!$T$7:$T$56,$A2331,1,1))))</f>
        <v>0</v>
      </c>
      <c r="H2332" s="1417">
        <f>IF(LEFT(H$6,4)&lt;=LEFT('RFM input'!$G$60,4),"enter input",IF(LEFT(H$6,4)&gt;LEFT('RFM input'!$Q$60,4),0,
IF(MATCH(H$6,'RFM input'!$H$60:$Q$60,0),INDEX('RFM input'!$T$7:$T$56,$A2331,1,1))))</f>
        <v>0</v>
      </c>
      <c r="I2332" s="1417">
        <f>IF(LEFT(I$6,4)&lt;=LEFT('RFM input'!$G$60,4),"enter input",IF(LEFT(I$6,4)&gt;LEFT('RFM input'!$Q$60,4),0,
IF(MATCH(I$6,'RFM input'!$H$60:$Q$60,0),INDEX('RFM input'!$T$7:$T$56,$A2331,1,1))))</f>
        <v>0</v>
      </c>
      <c r="J2332" s="1417">
        <f>IF(LEFT(J$6,4)&lt;=LEFT('RFM input'!$G$60,4),"enter input",IF(LEFT(J$6,4)&gt;LEFT('RFM input'!$Q$60,4),0,
IF(MATCH(J$6,'RFM input'!$H$60:$Q$60,0),INDEX('RFM input'!$T$7:$T$56,$A2331,1,1))))</f>
        <v>0</v>
      </c>
      <c r="K2332" s="1417">
        <f>IF(LEFT(K$6,4)&lt;=LEFT('RFM input'!$G$60,4),"enter input",IF(LEFT(K$6,4)&gt;LEFT('RFM input'!$Q$60,4),0,
IF(MATCH(K$6,'RFM input'!$H$60:$Q$60,0),INDEX('RFM input'!$T$7:$T$56,$A2331,1,1))))</f>
        <v>0</v>
      </c>
      <c r="L2332" s="1417">
        <f>IF(LEFT(L$6,4)&lt;=LEFT('RFM input'!$G$60,4),"enter input",IF(LEFT(L$6,4)&gt;LEFT('RFM input'!$Q$60,4),0,
IF(MATCH(L$6,'RFM input'!$H$60:$Q$60,0),INDEX('RFM input'!$T$7:$T$56,$A2331,1,1))))</f>
        <v>0</v>
      </c>
      <c r="M2332" s="1417">
        <f>IF(LEFT(M$6,4)&lt;=LEFT('RFM input'!$G$60,4),"enter input",IF(LEFT(M$6,4)&gt;LEFT('RFM input'!$Q$60,4),0,
IF(MATCH(M$6,'RFM input'!$H$60:$Q$60,0),INDEX('RFM input'!$T$7:$T$56,$A2331,1,1))))</f>
        <v>0</v>
      </c>
      <c r="N2332" s="1417">
        <f>IF(LEFT(N$6,4)&lt;=LEFT('RFM input'!$G$60,4),"enter input",IF(LEFT(N$6,4)&gt;LEFT('RFM input'!$Q$60,4),0,
IF(MATCH(N$6,'RFM input'!$H$60:$Q$60,0),INDEX('RFM input'!$T$7:$T$56,$A2331,1,1))))</f>
        <v>0</v>
      </c>
      <c r="O2332" s="1417">
        <f>IF(LEFT(O$6,4)&lt;=LEFT('RFM input'!$G$60,4),"enter input",IF(LEFT(O$6,4)&gt;LEFT('RFM input'!$Q$60,4),0,
IF(MATCH(O$6,'RFM input'!$H$60:$Q$60,0),INDEX('RFM input'!$T$7:$T$56,$A2331,1,1))))</f>
        <v>0</v>
      </c>
      <c r="P2332" s="1417">
        <f>IF(LEFT(P$6,4)&lt;=LEFT('RFM input'!$G$60,4),"enter input",IF(LEFT(P$6,4)&gt;LEFT('RFM input'!$Q$60,4),0,
IF(MATCH(P$6,'RFM input'!$H$60:$Q$60,0),INDEX('RFM input'!$T$7:$T$56,$A2331,1,1))))</f>
        <v>0</v>
      </c>
      <c r="Q2332" s="1417">
        <f>IF(LEFT(Q$6,4)&lt;=LEFT('RFM input'!$G$60,4),"enter input",IF(LEFT(Q$6,4)&gt;LEFT('RFM input'!$Q$60,4),0,
IF(MATCH(Q$6,'RFM input'!$H$60:$Q$60,0),INDEX('RFM input'!$T$7:$T$56,$A2331,1,1))))</f>
        <v>0</v>
      </c>
      <c r="R2332" s="1417">
        <f>IF(LEFT(R$6,4)&lt;=LEFT('RFM input'!$G$60,4),"enter input",IF(LEFT(R$6,4)&gt;LEFT('RFM input'!$Q$60,4),0,
IF(MATCH(R$6,'RFM input'!$H$60:$Q$60,0),INDEX('RFM input'!$T$7:$T$56,$A2331,1,1))))</f>
        <v>0</v>
      </c>
      <c r="S2332" s="1417">
        <f>IF(LEFT(S$6,4)&lt;=LEFT('RFM input'!$G$60,4),"enter input",IF(LEFT(S$6,4)&gt;LEFT('RFM input'!$Q$60,4),0,
IF(MATCH(S$6,'RFM input'!$H$60:$Q$60,0),INDEX('RFM input'!$T$7:$T$56,$A2331,1,1))))</f>
        <v>0</v>
      </c>
      <c r="T2332" s="1417">
        <f>IF(LEFT(T$6,4)&lt;=LEFT('RFM input'!$G$60,4),"enter input",IF(LEFT(T$6,4)&gt;LEFT('RFM input'!$Q$60,4),0,
IF(MATCH(T$6,'RFM input'!$H$60:$Q$60,0),INDEX('RFM input'!$T$7:$T$56,$A2331,1,1))))</f>
        <v>0</v>
      </c>
      <c r="U2332" s="1417">
        <f>IF(LEFT(U$6,4)&lt;=LEFT('RFM input'!$G$60,4),"enter input",IF(LEFT(U$6,4)&gt;LEFT('RFM input'!$Q$60,4),0,
IF(MATCH(U$6,'RFM input'!$H$60:$Q$60,0),INDEX('RFM input'!$T$7:$T$56,$A2331,1,1))))</f>
        <v>0</v>
      </c>
      <c r="V2332" s="1417">
        <f>IF(LEFT(V$6,4)&lt;=LEFT('RFM input'!$G$60,4),"enter input",IF(LEFT(V$6,4)&gt;LEFT('RFM input'!$Q$60,4),0,
IF(MATCH(V$6,'RFM input'!$H$60:$Q$60,0),INDEX('RFM input'!$T$7:$T$56,$A2331,1,1))))</f>
        <v>0</v>
      </c>
      <c r="W2332" s="1417">
        <f>IF(LEFT(W$6,4)&lt;=LEFT('RFM input'!$G$60,4),"enter input",IF(LEFT(W$6,4)&gt;LEFT('RFM input'!$Q$60,4),0,
IF(MATCH(W$6,'RFM input'!$H$60:$Q$60,0),INDEX('RFM input'!$T$7:$T$56,$A2331,1,1))))</f>
        <v>0</v>
      </c>
      <c r="X2332" s="152"/>
      <c r="Y2332" s="152"/>
      <c r="Z2332" s="152"/>
      <c r="AA2332" s="152"/>
      <c r="AB2332" s="152"/>
    </row>
    <row r="2333" spans="1:28">
      <c r="A2333" s="152"/>
      <c r="B2333" s="193" t="s">
        <v>192</v>
      </c>
      <c r="C2333" s="1419"/>
      <c r="D2333" s="1420">
        <f ca="1">IF(LEFT(D$6,4)&lt;=LEFT('RFM input'!$G$60,4),"enter input",IF(LEFT(D$6,4)&gt;LEFT('RFM input'!$Q$60,4),0,
IF(D$6=(OFFSET('RFM input'!$G$60,0,'RFM input'!$V$7)),OFFSET('RFM input'!$H$411,$A2331,0),0)))</f>
        <v>0</v>
      </c>
      <c r="E2333" s="1417">
        <f ca="1">IF(LEFT(E$6,4)&lt;=LEFT('RFM input'!$G$60,4),"enter input",IF(LEFT(E$6,4)&gt;LEFT('RFM input'!$Q$60,4),0,
IF(E$6=(OFFSET('RFM input'!$G$60,0,'RFM input'!$V$7)),OFFSET('RFM input'!$H$411,$A2331,0),0)))</f>
        <v>0</v>
      </c>
      <c r="F2333" s="1417">
        <f ca="1">IF(LEFT(F$6,4)&lt;=LEFT('RFM input'!$G$60,4),"enter input",IF(LEFT(F$6,4)&gt;LEFT('RFM input'!$Q$60,4),0,
IF(F$6=(OFFSET('RFM input'!$G$60,0,'RFM input'!$V$7)),OFFSET('RFM input'!$H$411,$A2331,0),0)))</f>
        <v>0</v>
      </c>
      <c r="G2333" s="1417">
        <f ca="1">IF(LEFT(G$6,4)&lt;=LEFT('RFM input'!$G$60,4),"enter input",IF(LEFT(G$6,4)&gt;LEFT('RFM input'!$Q$60,4),0,
IF(G$6=(OFFSET('RFM input'!$G$60,0,'RFM input'!$V$7)),OFFSET('RFM input'!$H$411,$A2331,0),0)))</f>
        <v>0</v>
      </c>
      <c r="H2333" s="1417">
        <f ca="1">IF(LEFT(H$6,4)&lt;=LEFT('RFM input'!$G$60,4),"enter input",IF(LEFT(H$6,4)&gt;LEFT('RFM input'!$Q$60,4),0,
IF(H$6=(OFFSET('RFM input'!$G$60,0,'RFM input'!$V$7)),OFFSET('RFM input'!$H$411,$A2331,0),0)))</f>
        <v>0</v>
      </c>
      <c r="I2333" s="1417">
        <f ca="1">IF(LEFT(I$6,4)&lt;=LEFT('RFM input'!$G$60,4),"enter input",IF(LEFT(I$6,4)&gt;LEFT('RFM input'!$Q$60,4),0,
IF(I$6=(OFFSET('RFM input'!$G$60,0,'RFM input'!$V$7)),OFFSET('RFM input'!$H$411,$A2331,0),0)))</f>
        <v>0</v>
      </c>
      <c r="J2333" s="1417">
        <f ca="1">IF(LEFT(J$6,4)&lt;=LEFT('RFM input'!$G$60,4),"enter input",IF(LEFT(J$6,4)&gt;LEFT('RFM input'!$Q$60,4),0,
IF(J$6=(OFFSET('RFM input'!$G$60,0,'RFM input'!$V$7)),OFFSET('RFM input'!$H$411,$A2331,0),0)))</f>
        <v>0</v>
      </c>
      <c r="K2333" s="1417">
        <f ca="1">IF(LEFT(K$6,4)&lt;=LEFT('RFM input'!$G$60,4),"enter input",IF(LEFT(K$6,4)&gt;LEFT('RFM input'!$Q$60,4),0,
IF(K$6=(OFFSET('RFM input'!$G$60,0,'RFM input'!$V$7)),OFFSET('RFM input'!$H$411,$A2331,0),0)))</f>
        <v>0</v>
      </c>
      <c r="L2333" s="1417">
        <f ca="1">IF(LEFT(L$6,4)&lt;=LEFT('RFM input'!$G$60,4),"enter input",IF(LEFT(L$6,4)&gt;LEFT('RFM input'!$Q$60,4),0,
IF(L$6=(OFFSET('RFM input'!$G$60,0,'RFM input'!$V$7)),OFFSET('RFM input'!$H$411,$A2331,0),0)))</f>
        <v>0</v>
      </c>
      <c r="M2333" s="1417">
        <f ca="1">IF(LEFT(M$6,4)&lt;=LEFT('RFM input'!$G$60,4),"enter input",IF(LEFT(M$6,4)&gt;LEFT('RFM input'!$Q$60,4),0,
IF(M$6=(OFFSET('RFM input'!$G$60,0,'RFM input'!$V$7)),OFFSET('RFM input'!$H$411,$A2331,0),0)))</f>
        <v>0</v>
      </c>
      <c r="N2333" s="1417">
        <f ca="1">IF(LEFT(N$6,4)&lt;=LEFT('RFM input'!$G$60,4),"enter input",IF(LEFT(N$6,4)&gt;LEFT('RFM input'!$Q$60,4),0,
IF(N$6=(OFFSET('RFM input'!$G$60,0,'RFM input'!$V$7)),OFFSET('RFM input'!$H$411,$A2331,0),0)))</f>
        <v>0</v>
      </c>
      <c r="O2333" s="1417">
        <f ca="1">IF(LEFT(O$6,4)&lt;=LEFT('RFM input'!$G$60,4),"enter input",IF(LEFT(O$6,4)&gt;LEFT('RFM input'!$Q$60,4),0,
IF(O$6=(OFFSET('RFM input'!$G$60,0,'RFM input'!$V$7)),OFFSET('RFM input'!$H$411,$A2331,0),0)))</f>
        <v>0</v>
      </c>
      <c r="P2333" s="1417">
        <f ca="1">IF(LEFT(P$6,4)&lt;=LEFT('RFM input'!$G$60,4),"enter input",IF(LEFT(P$6,4)&gt;LEFT('RFM input'!$Q$60,4),0,
IF(P$6=(OFFSET('RFM input'!$G$60,0,'RFM input'!$V$7)),OFFSET('RFM input'!$H$411,$A2331,0),0)))</f>
        <v>0</v>
      </c>
      <c r="Q2333" s="1417">
        <f ca="1">IF(LEFT(Q$6,4)&lt;=LEFT('RFM input'!$G$60,4),"enter input",IF(LEFT(Q$6,4)&gt;LEFT('RFM input'!$Q$60,4),0,
IF(Q$6=(OFFSET('RFM input'!$G$60,0,'RFM input'!$V$7)),OFFSET('RFM input'!$H$411,$A2331,0),0)))</f>
        <v>0</v>
      </c>
      <c r="R2333" s="1417">
        <f ca="1">IF(LEFT(R$6,4)&lt;=LEFT('RFM input'!$G$60,4),"enter input",IF(LEFT(R$6,4)&gt;LEFT('RFM input'!$Q$60,4),0,
IF(R$6=(OFFSET('RFM input'!$G$60,0,'RFM input'!$V$7)),OFFSET('RFM input'!$H$411,$A2331,0),0)))</f>
        <v>0</v>
      </c>
      <c r="S2333" s="1417">
        <f ca="1">IF(LEFT(S$6,4)&lt;=LEFT('RFM input'!$G$60,4),"enter input",IF(LEFT(S$6,4)&gt;LEFT('RFM input'!$Q$60,4),0,
IF(S$6=(OFFSET('RFM input'!$G$60,0,'RFM input'!$V$7)),OFFSET('RFM input'!$H$411,$A2331,0),0)))</f>
        <v>0</v>
      </c>
      <c r="T2333" s="1417">
        <f ca="1">IF(LEFT(T$6,4)&lt;=LEFT('RFM input'!$G$60,4),"enter input",IF(LEFT(T$6,4)&gt;LEFT('RFM input'!$Q$60,4),0,
IF(T$6=(OFFSET('RFM input'!$G$60,0,'RFM input'!$V$7)),OFFSET('RFM input'!$H$411,$A2331,0),0)))</f>
        <v>0</v>
      </c>
      <c r="U2333" s="1417">
        <f ca="1">IF(LEFT(U$6,4)&lt;=LEFT('RFM input'!$G$60,4),"enter input",IF(LEFT(U$6,4)&gt;LEFT('RFM input'!$Q$60,4),0,
IF(U$6=(OFFSET('RFM input'!$G$60,0,'RFM input'!$V$7)),OFFSET('RFM input'!$H$411,$A2331,0),0)))</f>
        <v>0</v>
      </c>
      <c r="V2333" s="1417">
        <f ca="1">IF(LEFT(V$6,4)&lt;=LEFT('RFM input'!$G$60,4),"enter input",IF(LEFT(V$6,4)&gt;LEFT('RFM input'!$Q$60,4),0,
IF(V$6=(OFFSET('RFM input'!$G$60,0,'RFM input'!$V$7)),OFFSET('RFM input'!$H$411,$A2331,0),0)))</f>
        <v>0</v>
      </c>
      <c r="W2333" s="1417">
        <f ca="1">IF(LEFT(W$6,4)&lt;=LEFT('RFM input'!$G$60,4),"enter input",IF(LEFT(W$6,4)&gt;LEFT('RFM input'!$Q$60,4),0,
IF(W$6=(OFFSET('RFM input'!$G$60,0,'RFM input'!$V$7)),OFFSET('RFM input'!$H$411,$A2331,0),0)))</f>
        <v>0</v>
      </c>
      <c r="X2333" s="152"/>
      <c r="Y2333" s="152"/>
      <c r="Z2333" s="152"/>
      <c r="AA2333" s="152"/>
      <c r="AB2333" s="152"/>
    </row>
    <row r="2334" spans="1:28">
      <c r="A2334" s="152"/>
      <c r="B2334" s="193" t="s">
        <v>200</v>
      </c>
      <c r="C2334" s="1419"/>
      <c r="D2334" s="1418">
        <f ca="1">IF(LEFT(D$6,4)&lt;=LEFT('RFM input'!$G$60,4),"enter input",IF(LEFT(D$6,4)&gt;LEFT('RFM input'!$Q$60,4),0,
IF(D$6=(OFFSET('RFM input'!$G$60,0,'RFM input'!$V$7)),OFFSET('RFM input'!$J$411,$A2331,0),0)))</f>
        <v>0</v>
      </c>
      <c r="E2334" s="1422">
        <f ca="1">IF(LEFT(E$6,4)&lt;=LEFT('RFM input'!$G$60,4),"enter input",IF(LEFT(E$6,4)&gt;LEFT('RFM input'!$Q$60,4),0,
IF(E$6=(OFFSET('RFM input'!$G$60,0,'RFM input'!$V$7)),OFFSET('RFM input'!$J$411,$A2331,0),0)))</f>
        <v>0</v>
      </c>
      <c r="F2334" s="1422">
        <f ca="1">IF(LEFT(F$6,4)&lt;=LEFT('RFM input'!$G$60,4),"enter input",IF(LEFT(F$6,4)&gt;LEFT('RFM input'!$Q$60,4),0,
IF(F$6=(OFFSET('RFM input'!$G$60,0,'RFM input'!$V$7)),OFFSET('RFM input'!$J$411,$A2331,0),0)))</f>
        <v>0</v>
      </c>
      <c r="G2334" s="1422">
        <f ca="1">IF(LEFT(G$6,4)&lt;=LEFT('RFM input'!$G$60,4),"enter input",IF(LEFT(G$6,4)&gt;LEFT('RFM input'!$Q$60,4),0,
IF(G$6=(OFFSET('RFM input'!$G$60,0,'RFM input'!$V$7)),OFFSET('RFM input'!$J$411,$A2331,0),0)))</f>
        <v>0</v>
      </c>
      <c r="H2334" s="1422">
        <f ca="1">IF(LEFT(H$6,4)&lt;=LEFT('RFM input'!$G$60,4),"enter input",IF(LEFT(H$6,4)&gt;LEFT('RFM input'!$Q$60,4),0,
IF(H$6=(OFFSET('RFM input'!$G$60,0,'RFM input'!$V$7)),OFFSET('RFM input'!$J$411,$A2331,0),0)))</f>
        <v>0</v>
      </c>
      <c r="I2334" s="1422">
        <f ca="1">IF(LEFT(I$6,4)&lt;=LEFT('RFM input'!$G$60,4),"enter input",IF(LEFT(I$6,4)&gt;LEFT('RFM input'!$Q$60,4),0,
IF(I$6=(OFFSET('RFM input'!$G$60,0,'RFM input'!$V$7)),OFFSET('RFM input'!$J$411,$A2331,0),0)))</f>
        <v>0</v>
      </c>
      <c r="J2334" s="1422">
        <f ca="1">IF(LEFT(J$6,4)&lt;=LEFT('RFM input'!$G$60,4),"enter input",IF(LEFT(J$6,4)&gt;LEFT('RFM input'!$Q$60,4),0,
IF(J$6=(OFFSET('RFM input'!$G$60,0,'RFM input'!$V$7)),OFFSET('RFM input'!$J$411,$A2331,0),0)))</f>
        <v>0</v>
      </c>
      <c r="K2334" s="1422">
        <f ca="1">IF(LEFT(K$6,4)&lt;=LEFT('RFM input'!$G$60,4),"enter input",IF(LEFT(K$6,4)&gt;LEFT('RFM input'!$Q$60,4),0,
IF(K$6=(OFFSET('RFM input'!$G$60,0,'RFM input'!$V$7)),OFFSET('RFM input'!$J$411,$A2331,0),0)))</f>
        <v>0</v>
      </c>
      <c r="L2334" s="1422">
        <f ca="1">IF(LEFT(L$6,4)&lt;=LEFT('RFM input'!$G$60,4),"enter input",IF(LEFT(L$6,4)&gt;LEFT('RFM input'!$Q$60,4),0,
IF(L$6=(OFFSET('RFM input'!$G$60,0,'RFM input'!$V$7)),OFFSET('RFM input'!$J$411,$A2331,0),0)))</f>
        <v>0</v>
      </c>
      <c r="M2334" s="1422">
        <f ca="1">IF(LEFT(M$6,4)&lt;=LEFT('RFM input'!$G$60,4),"enter input",IF(LEFT(M$6,4)&gt;LEFT('RFM input'!$Q$60,4),0,
IF(M$6=(OFFSET('RFM input'!$G$60,0,'RFM input'!$V$7)),OFFSET('RFM input'!$J$411,$A2331,0),0)))</f>
        <v>0</v>
      </c>
      <c r="N2334" s="1422">
        <f ca="1">IF(LEFT(N$6,4)&lt;=LEFT('RFM input'!$G$60,4),"enter input",IF(LEFT(N$6,4)&gt;LEFT('RFM input'!$Q$60,4),0,
IF(N$6=(OFFSET('RFM input'!$G$60,0,'RFM input'!$V$7)),OFFSET('RFM input'!$J$411,$A2331,0),0)))</f>
        <v>0</v>
      </c>
      <c r="O2334" s="1422">
        <f ca="1">IF(LEFT(O$6,4)&lt;=LEFT('RFM input'!$G$60,4),"enter input",IF(LEFT(O$6,4)&gt;LEFT('RFM input'!$Q$60,4),0,
IF(O$6=(OFFSET('RFM input'!$G$60,0,'RFM input'!$V$7)),OFFSET('RFM input'!$J$411,$A2331,0),0)))</f>
        <v>0</v>
      </c>
      <c r="P2334" s="1422">
        <f ca="1">IF(LEFT(P$6,4)&lt;=LEFT('RFM input'!$G$60,4),"enter input",IF(LEFT(P$6,4)&gt;LEFT('RFM input'!$Q$60,4),0,
IF(P$6=(OFFSET('RFM input'!$G$60,0,'RFM input'!$V$7)),OFFSET('RFM input'!$J$411,$A2331,0),0)))</f>
        <v>0</v>
      </c>
      <c r="Q2334" s="1422">
        <f ca="1">IF(LEFT(Q$6,4)&lt;=LEFT('RFM input'!$G$60,4),"enter input",IF(LEFT(Q$6,4)&gt;LEFT('RFM input'!$Q$60,4),0,
IF(Q$6=(OFFSET('RFM input'!$G$60,0,'RFM input'!$V$7)),OFFSET('RFM input'!$J$411,$A2331,0),0)))</f>
        <v>0</v>
      </c>
      <c r="R2334" s="1422">
        <f ca="1">IF(LEFT(R$6,4)&lt;=LEFT('RFM input'!$G$60,4),"enter input",IF(LEFT(R$6,4)&gt;LEFT('RFM input'!$Q$60,4),0,
IF(R$6=(OFFSET('RFM input'!$G$60,0,'RFM input'!$V$7)),OFFSET('RFM input'!$J$411,$A2331,0),0)))</f>
        <v>0</v>
      </c>
      <c r="S2334" s="1422">
        <f ca="1">IF(LEFT(S$6,4)&lt;=LEFT('RFM input'!$G$60,4),"enter input",IF(LEFT(S$6,4)&gt;LEFT('RFM input'!$Q$60,4),0,
IF(S$6=(OFFSET('RFM input'!$G$60,0,'RFM input'!$V$7)),OFFSET('RFM input'!$J$411,$A2331,0),0)))</f>
        <v>0</v>
      </c>
      <c r="T2334" s="1422">
        <f ca="1">IF(LEFT(T$6,4)&lt;=LEFT('RFM input'!$G$60,4),"enter input",IF(LEFT(T$6,4)&gt;LEFT('RFM input'!$Q$60,4),0,
IF(T$6=(OFFSET('RFM input'!$G$60,0,'RFM input'!$V$7)),OFFSET('RFM input'!$J$411,$A2331,0),0)))</f>
        <v>0</v>
      </c>
      <c r="U2334" s="1422">
        <f ca="1">IF(LEFT(U$6,4)&lt;=LEFT('RFM input'!$G$60,4),"enter input",IF(LEFT(U$6,4)&gt;LEFT('RFM input'!$Q$60,4),0,
IF(U$6=(OFFSET('RFM input'!$G$60,0,'RFM input'!$V$7)),OFFSET('RFM input'!$J$411,$A2331,0),0)))</f>
        <v>0</v>
      </c>
      <c r="V2334" s="1422">
        <f ca="1">IF(LEFT(V$6,4)&lt;=LEFT('RFM input'!$G$60,4),"enter input",IF(LEFT(V$6,4)&gt;LEFT('RFM input'!$Q$60,4),0,
IF(V$6=(OFFSET('RFM input'!$G$60,0,'RFM input'!$V$7)),OFFSET('RFM input'!$J$411,$A2331,0),0)))</f>
        <v>0</v>
      </c>
      <c r="W2334" s="1422">
        <f ca="1">IF(LEFT(W$6,4)&lt;=LEFT('RFM input'!$G$60,4),"enter input",IF(LEFT(W$6,4)&gt;LEFT('RFM input'!$Q$60,4),0,
IF(W$6=(OFFSET('RFM input'!$G$60,0,'RFM input'!$V$7)),OFFSET('RFM input'!$J$411,$A2331,0),0)))</f>
        <v>0</v>
      </c>
      <c r="X2334" s="152"/>
      <c r="Y2334" s="152"/>
      <c r="Z2334" s="152"/>
      <c r="AA2334" s="152"/>
      <c r="AB2334" s="152"/>
    </row>
    <row r="2335" spans="1:28" hidden="1" outlineLevel="1">
      <c r="A2335" s="235">
        <v>-1</v>
      </c>
      <c r="B2335" s="190" t="s">
        <v>195</v>
      </c>
      <c r="C2335" s="1423"/>
      <c r="D2335" s="1423">
        <f t="shared" ref="D2335" ca="1" si="3392">IF(AND(D2333=0,C2335=0),0,
IF(AND(D2333&lt;&gt;0,C2335=0),D2333,
IF(AND(D2334&lt;&gt;0,C2335&lt;&gt;0),(C2335-(C2335/C2359))+D2333,
IF(C2359&lt;1,0,(C2335-(C2335/C2359))))))</f>
        <v>0</v>
      </c>
      <c r="E2335" s="1423">
        <f t="shared" ref="E2335" ca="1" si="3393">IF(AND(E2333=0,D2335=0),0,
IF(AND(E2333&lt;&gt;0,D2335=0),E2333,
IF(AND(E2334&lt;&gt;0,D2335&lt;&gt;0),(D2335-(D2335/D2359))+E2333,
IF(D2359&lt;1,0,(D2335-(D2335/D2359))))))</f>
        <v>0</v>
      </c>
      <c r="F2335" s="1423">
        <f t="shared" ref="F2335" ca="1" si="3394">IF(AND(F2333=0,E2335=0),0,
IF(AND(F2333&lt;&gt;0,E2335=0),F2333,
IF(AND(F2334&lt;&gt;0,E2335&lt;&gt;0),(E2335-(E2335/E2359))+F2333,
IF(E2359&lt;1,0,(E2335-(E2335/E2359))))))</f>
        <v>0</v>
      </c>
      <c r="G2335" s="1423">
        <f t="shared" ref="G2335" ca="1" si="3395">IF(AND(G2333=0,F2335=0),0,
IF(AND(G2333&lt;&gt;0,F2335=0),G2333,
IF(AND(G2334&lt;&gt;0,F2335&lt;&gt;0),(F2335-(F2335/F2359))+G2333,
IF(F2359&lt;1,0,(F2335-(F2335/F2359))))))</f>
        <v>0</v>
      </c>
      <c r="H2335" s="1423">
        <f ca="1">IF(AND(H2333=0,G2335=0),0,
IF(AND(H2333&lt;&gt;0,G2335=0),H2333,
IF(AND(H2334&lt;&gt;0,G2335&lt;&gt;0),(G2335-(G2335/G2359))+H2333,
IF(G2359&lt;1,0,(G2335-(G2335/G2359))))))</f>
        <v>0</v>
      </c>
      <c r="I2335" s="1423">
        <f t="shared" ref="I2335" ca="1" si="3396">IF(AND(I2333=0,H2335=0),0,
IF(AND(I2333&lt;&gt;0,H2335=0),I2333,
IF(AND(I2334&lt;&gt;0,H2335&lt;&gt;0),(H2335-(H2335/H2359))+I2333,
IF(H2359&lt;1,0,(H2335-(H2335/H2359))))))</f>
        <v>0</v>
      </c>
      <c r="J2335" s="1423">
        <f t="shared" ref="J2335" ca="1" si="3397">IF(AND(J2333=0,I2335=0),0,
IF(AND(J2333&lt;&gt;0,I2335=0),J2333,
IF(AND(J2334&lt;&gt;0,I2335&lt;&gt;0),(I2335-(I2335/I2359))+J2333,
IF(I2359&lt;1,0,(I2335-(I2335/I2359))))))</f>
        <v>0</v>
      </c>
      <c r="K2335" s="1423">
        <f t="shared" ref="K2335" ca="1" si="3398">IF(AND(K2333=0,J2335=0),0,
IF(AND(K2333&lt;&gt;0,J2335=0),K2333,
IF(AND(K2334&lt;&gt;0,J2335&lt;&gt;0),(J2335-(J2335/J2359))+K2333,
IF(J2359&lt;1,0,(J2335-(J2335/J2359))))))</f>
        <v>0</v>
      </c>
      <c r="L2335" s="1423">
        <f t="shared" ref="L2335" ca="1" si="3399">IF(AND(L2333=0,K2335=0),0,
IF(AND(L2333&lt;&gt;0,K2335=0),L2333,
IF(AND(L2334&lt;&gt;0,K2335&lt;&gt;0),(K2335-(K2335/K2359))+L2333,
IF(K2359&lt;1,0,(K2335-(K2335/K2359))))))</f>
        <v>0</v>
      </c>
      <c r="M2335" s="1423">
        <f t="shared" ref="M2335" ca="1" si="3400">IF(AND(M2333=0,L2335=0),0,
IF(AND(M2333&lt;&gt;0,L2335=0),M2333,
IF(AND(M2334&lt;&gt;0,L2335&lt;&gt;0),(L2335-(L2335/L2359))+M2333,
IF(L2359&lt;1,0,(L2335-(L2335/L2359))))))</f>
        <v>0</v>
      </c>
      <c r="N2335" s="1423">
        <f t="shared" ref="N2335" ca="1" si="3401">IF(AND(N2333=0,M2335=0),0,
IF(AND(N2333&lt;&gt;0,M2335=0),N2333,
IF(AND(N2334&lt;&gt;0,M2335&lt;&gt;0),(M2335-(M2335/M2359))+N2333,
IF(M2359&lt;1,0,(M2335-(M2335/M2359))))))</f>
        <v>0</v>
      </c>
      <c r="O2335" s="1423">
        <f t="shared" ref="O2335" ca="1" si="3402">IF(AND(O2333=0,N2335=0),0,
IF(AND(O2333&lt;&gt;0,N2335=0),O2333,
IF(AND(O2334&lt;&gt;0,N2335&lt;&gt;0),(N2335-(N2335/N2359))+O2333,
IF(N2359&lt;1,0,(N2335-(N2335/N2359))))))</f>
        <v>0</v>
      </c>
      <c r="P2335" s="1423">
        <f t="shared" ref="P2335" ca="1" si="3403">IF(AND(P2333=0,O2335=0),0,
IF(AND(P2333&lt;&gt;0,O2335=0),P2333,
IF(AND(P2334&lt;&gt;0,O2335&lt;&gt;0),(O2335-(O2335/O2359))+P2333,
IF(O2359&lt;1,0,(O2335-(O2335/O2359))))))</f>
        <v>0</v>
      </c>
      <c r="Q2335" s="1423">
        <f t="shared" ref="Q2335" ca="1" si="3404">IF(AND(Q2333=0,P2335=0),0,
IF(AND(Q2333&lt;&gt;0,P2335=0),Q2333,
IF(AND(Q2334&lt;&gt;0,P2335&lt;&gt;0),(P2335-(P2335/P2359))+Q2333,
IF(P2359&lt;1,0,(P2335-(P2335/P2359))))))</f>
        <v>0</v>
      </c>
      <c r="R2335" s="1423">
        <f t="shared" ref="R2335" ca="1" si="3405">IF(AND(R2333=0,Q2335=0),0,
IF(AND(R2333&lt;&gt;0,Q2335=0),R2333,
IF(AND(R2334&lt;&gt;0,Q2335&lt;&gt;0),(Q2335-(Q2335/Q2359))+R2333,
IF(Q2359&lt;1,0,(Q2335-(Q2335/Q2359))))))</f>
        <v>0</v>
      </c>
      <c r="S2335" s="1423">
        <f t="shared" ref="S2335" ca="1" si="3406">IF(AND(S2333=0,R2335=0),0,
IF(AND(S2333&lt;&gt;0,R2335=0),S2333,
IF(AND(S2334&lt;&gt;0,R2335&lt;&gt;0),(R2335-(R2335/R2359))+S2333,
IF(R2359&lt;1,0,(R2335-(R2335/R2359))))))</f>
        <v>0</v>
      </c>
      <c r="T2335" s="1423">
        <f t="shared" ref="T2335" ca="1" si="3407">IF(AND(T2333=0,S2335=0),0,
IF(AND(T2333&lt;&gt;0,S2335=0),T2333,
IF(AND(T2334&lt;&gt;0,S2335&lt;&gt;0),(S2335-(S2335/S2359))+T2333,
IF(S2359&lt;1,0,(S2335-(S2335/S2359))))))</f>
        <v>0</v>
      </c>
      <c r="U2335" s="1423">
        <f t="shared" ref="U2335" ca="1" si="3408">IF(AND(U2333=0,T2335=0),0,
IF(AND(U2333&lt;&gt;0,T2335=0),U2333,
IF(AND(U2334&lt;&gt;0,T2335&lt;&gt;0),(T2335-(T2335/T2359))+U2333,
IF(T2359&lt;1,0,(T2335-(T2335/T2359))))))</f>
        <v>0</v>
      </c>
      <c r="V2335" s="1423">
        <f t="shared" ref="V2335" ca="1" si="3409">IF(AND(V2333=0,U2335=0),0,
IF(AND(V2333&lt;&gt;0,U2335=0),V2333,
IF(AND(V2334&lt;&gt;0,U2335&lt;&gt;0),(U2335-(U2335/U2359))+V2333,
IF(U2359&lt;1,0,(U2335-(U2335/U2359))))))</f>
        <v>0</v>
      </c>
      <c r="W2335" s="1423">
        <f t="shared" ref="W2335" ca="1" si="3410">IF(AND(W2333=0,V2335=0),0,
IF(AND(W2333&lt;&gt;0,V2335=0),W2333,
IF(AND(W2334&lt;&gt;0,V2335&lt;&gt;0),(V2335-(V2335/V2359))+W2333,
IF(V2359&lt;1,0,(V2335-(V2335/V2359))))))</f>
        <v>0</v>
      </c>
      <c r="X2335" s="152"/>
      <c r="Y2335" s="152"/>
      <c r="Z2335" s="152"/>
      <c r="AA2335" s="152"/>
      <c r="AB2335" s="152"/>
    </row>
    <row r="2336" spans="1:28" hidden="1" outlineLevel="1">
      <c r="A2336" s="199">
        <f>A2335+1</f>
        <v>0</v>
      </c>
      <c r="B2336" s="190" t="s">
        <v>527</v>
      </c>
      <c r="C2336" s="1423">
        <f ca="1">C2331</f>
        <v>0</v>
      </c>
      <c r="D2336" s="1423">
        <f ca="1">IF(C2360="n/a",C2336,IFERROR(IF((OFFSET($C2336,0,$A2336))&lt;0,
MIN(0,C2336-(OFFSET($C2336,0,$A2336)/(OFFSET($C2331,-$A2335,$A2336)))),
MAX(0,C2336-(OFFSET($C2336,0,$A2336)/(OFFSET($C2331,-$A2335,$A2336))))),0))</f>
        <v>0</v>
      </c>
      <c r="E2336" s="1423">
        <f t="shared" ref="E2336" ca="1" si="3411">IF(D2360="n/a",D2336,IFERROR(IF((OFFSET($C2336,0,$A2336))&lt;0,
MIN(0,D2336-(OFFSET($C2336,0,$A2336)/(OFFSET($C2331,-$A2335,$A2336)))),
MAX(0,D2336-(OFFSET($C2336,0,$A2336)/(OFFSET($C2331,-$A2335,$A2336))))),0))</f>
        <v>0</v>
      </c>
      <c r="F2336" s="1423">
        <f t="shared" ref="F2336:F2337" ca="1" si="3412">IF(E2360="n/a",E2336,IFERROR(IF((OFFSET($C2336,0,$A2336))&lt;0,
MIN(0,E2336-(OFFSET($C2336,0,$A2336)/(OFFSET($C2331,-$A2335,$A2336)))),
MAX(0,E2336-(OFFSET($C2336,0,$A2336)/(OFFSET($C2331,-$A2335,$A2336))))),0))</f>
        <v>0</v>
      </c>
      <c r="G2336" s="1423">
        <f t="shared" ref="G2336:G2338" ca="1" si="3413">IF(F2360="n/a",F2336,IFERROR(IF((OFFSET($C2336,0,$A2336))&lt;0,
MIN(0,F2336-(OFFSET($C2336,0,$A2336)/(OFFSET($C2331,-$A2335,$A2336)))),
MAX(0,F2336-(OFFSET($C2336,0,$A2336)/(OFFSET($C2331,-$A2335,$A2336))))),0))</f>
        <v>0</v>
      </c>
      <c r="H2336" s="1423">
        <f t="shared" ref="H2336:H2339" ca="1" si="3414">IF(G2360="n/a",G2336,IFERROR(IF((OFFSET($C2336,0,$A2336))&lt;0,
MIN(0,G2336-(OFFSET($C2336,0,$A2336)/(OFFSET($C2331,-$A2335,$A2336)))),
MAX(0,G2336-(OFFSET($C2336,0,$A2336)/(OFFSET($C2331,-$A2335,$A2336))))),0))</f>
        <v>0</v>
      </c>
      <c r="I2336" s="1423">
        <f t="shared" ref="I2336:I2340" ca="1" si="3415">IF(H2360="n/a",H2336,IFERROR(IF((OFFSET($C2336,0,$A2336))&lt;0,
MIN(0,H2336-(OFFSET($C2336,0,$A2336)/(OFFSET($C2331,-$A2335,$A2336)))),
MAX(0,H2336-(OFFSET($C2336,0,$A2336)/(OFFSET($C2331,-$A2335,$A2336))))),0))</f>
        <v>0</v>
      </c>
      <c r="J2336" s="1423">
        <f t="shared" ref="J2336:J2341" ca="1" si="3416">IF(I2360="n/a",I2336,IFERROR(IF((OFFSET($C2336,0,$A2336))&lt;0,
MIN(0,I2336-(OFFSET($C2336,0,$A2336)/(OFFSET($C2331,-$A2335,$A2336)))),
MAX(0,I2336-(OFFSET($C2336,0,$A2336)/(OFFSET($C2331,-$A2335,$A2336))))),0))</f>
        <v>0</v>
      </c>
      <c r="K2336" s="1423">
        <f t="shared" ref="K2336:K2342" ca="1" si="3417">IF(J2360="n/a",J2336,IFERROR(IF((OFFSET($C2336,0,$A2336))&lt;0,
MIN(0,J2336-(OFFSET($C2336,0,$A2336)/(OFFSET($C2331,-$A2335,$A2336)))),
MAX(0,J2336-(OFFSET($C2336,0,$A2336)/(OFFSET($C2331,-$A2335,$A2336))))),0))</f>
        <v>0</v>
      </c>
      <c r="L2336" s="1423">
        <f t="shared" ref="L2336:L2343" ca="1" si="3418">IF(K2360="n/a",K2336,IFERROR(IF((OFFSET($C2336,0,$A2336))&lt;0,
MIN(0,K2336-(OFFSET($C2336,0,$A2336)/(OFFSET($C2331,-$A2335,$A2336)))),
MAX(0,K2336-(OFFSET($C2336,0,$A2336)/(OFFSET($C2331,-$A2335,$A2336))))),0))</f>
        <v>0</v>
      </c>
      <c r="M2336" s="1423">
        <f t="shared" ref="M2336:M2344" ca="1" si="3419">IF(L2360="n/a",L2336,IFERROR(IF((OFFSET($C2336,0,$A2336))&lt;0,
MIN(0,L2336-(OFFSET($C2336,0,$A2336)/(OFFSET($C2331,-$A2335,$A2336)))),
MAX(0,L2336-(OFFSET($C2336,0,$A2336)/(OFFSET($C2331,-$A2335,$A2336))))),0))</f>
        <v>0</v>
      </c>
      <c r="N2336" s="1423">
        <f t="shared" ref="N2336:N2345" ca="1" si="3420">IF(M2360="n/a",M2336,IFERROR(IF((OFFSET($C2336,0,$A2336))&lt;0,
MIN(0,M2336-(OFFSET($C2336,0,$A2336)/(OFFSET($C2331,-$A2335,$A2336)))),
MAX(0,M2336-(OFFSET($C2336,0,$A2336)/(OFFSET($C2331,-$A2335,$A2336))))),0))</f>
        <v>0</v>
      </c>
      <c r="O2336" s="1423">
        <f t="shared" ref="O2336:O2346" ca="1" si="3421">IF(N2360="n/a",N2336,IFERROR(IF((OFFSET($C2336,0,$A2336))&lt;0,
MIN(0,N2336-(OFFSET($C2336,0,$A2336)/(OFFSET($C2331,-$A2335,$A2336)))),
MAX(0,N2336-(OFFSET($C2336,0,$A2336)/(OFFSET($C2331,-$A2335,$A2336))))),0))</f>
        <v>0</v>
      </c>
      <c r="P2336" s="1423">
        <f t="shared" ref="P2336:P2347" ca="1" si="3422">IF(O2360="n/a",O2336,IFERROR(IF((OFFSET($C2336,0,$A2336))&lt;0,
MIN(0,O2336-(OFFSET($C2336,0,$A2336)/(OFFSET($C2331,-$A2335,$A2336)))),
MAX(0,O2336-(OFFSET($C2336,0,$A2336)/(OFFSET($C2331,-$A2335,$A2336))))),0))</f>
        <v>0</v>
      </c>
      <c r="Q2336" s="1423">
        <f t="shared" ref="Q2336:Q2348" ca="1" si="3423">IF(P2360="n/a",P2336,IFERROR(IF((OFFSET($C2336,0,$A2336))&lt;0,
MIN(0,P2336-(OFFSET($C2336,0,$A2336)/(OFFSET($C2331,-$A2335,$A2336)))),
MAX(0,P2336-(OFFSET($C2336,0,$A2336)/(OFFSET($C2331,-$A2335,$A2336))))),0))</f>
        <v>0</v>
      </c>
      <c r="R2336" s="1423">
        <f t="shared" ref="R2336:R2349" ca="1" si="3424">IF(Q2360="n/a",Q2336,IFERROR(IF((OFFSET($C2336,0,$A2336))&lt;0,
MIN(0,Q2336-(OFFSET($C2336,0,$A2336)/(OFFSET($C2331,-$A2335,$A2336)))),
MAX(0,Q2336-(OFFSET($C2336,0,$A2336)/(OFFSET($C2331,-$A2335,$A2336))))),0))</f>
        <v>0</v>
      </c>
      <c r="S2336" s="1423">
        <f t="shared" ref="S2336:S2350" ca="1" si="3425">IF(R2360="n/a",R2336,IFERROR(IF((OFFSET($C2336,0,$A2336))&lt;0,
MIN(0,R2336-(OFFSET($C2336,0,$A2336)/(OFFSET($C2331,-$A2335,$A2336)))),
MAX(0,R2336-(OFFSET($C2336,0,$A2336)/(OFFSET($C2331,-$A2335,$A2336))))),0))</f>
        <v>0</v>
      </c>
      <c r="T2336" s="1423">
        <f t="shared" ref="T2336:T2351" ca="1" si="3426">IF(S2360="n/a",S2336,IFERROR(IF((OFFSET($C2336,0,$A2336))&lt;0,
MIN(0,S2336-(OFFSET($C2336,0,$A2336)/(OFFSET($C2331,-$A2335,$A2336)))),
MAX(0,S2336-(OFFSET($C2336,0,$A2336)/(OFFSET($C2331,-$A2335,$A2336))))),0))</f>
        <v>0</v>
      </c>
      <c r="U2336" s="1423">
        <f t="shared" ref="U2336:U2352" ca="1" si="3427">IF(T2360="n/a",T2336,IFERROR(IF((OFFSET($C2336,0,$A2336))&lt;0,
MIN(0,T2336-(OFFSET($C2336,0,$A2336)/(OFFSET($C2331,-$A2335,$A2336)))),
MAX(0,T2336-(OFFSET($C2336,0,$A2336)/(OFFSET($C2331,-$A2335,$A2336))))),0))</f>
        <v>0</v>
      </c>
      <c r="V2336" s="1423">
        <f t="shared" ref="V2336:V2353" ca="1" si="3428">IF(U2360="n/a",U2336,IFERROR(IF((OFFSET($C2336,0,$A2336))&lt;0,
MIN(0,U2336-(OFFSET($C2336,0,$A2336)/(OFFSET($C2331,-$A2335,$A2336)))),
MAX(0,U2336-(OFFSET($C2336,0,$A2336)/(OFFSET($C2331,-$A2335,$A2336))))),0))</f>
        <v>0</v>
      </c>
      <c r="W2336" s="1423">
        <f t="shared" ref="W2336:W2354" ca="1" si="3429">IF(V2360="n/a",V2336,IFERROR(IF((OFFSET($C2336,0,$A2336))&lt;0,
MIN(0,V2336-(OFFSET($C2336,0,$A2336)/(OFFSET($C2331,-$A2335,$A2336)))),
MAX(0,V2336-(OFFSET($C2336,0,$A2336)/(OFFSET($C2331,-$A2335,$A2336))))),0))</f>
        <v>0</v>
      </c>
      <c r="X2336" s="152"/>
      <c r="Y2336" s="152"/>
      <c r="Z2336" s="152"/>
      <c r="AA2336" s="152"/>
      <c r="AB2336" s="152"/>
    </row>
    <row r="2337" spans="1:28" hidden="1" outlineLevel="1">
      <c r="A2337" s="199">
        <f t="shared" ref="A2337:A2356" si="3430">A2336+1</f>
        <v>1</v>
      </c>
      <c r="B2337" s="190" t="str">
        <f t="shared" ref="B2337:B2356" ca="1" si="3431">"Depreciated Net Capex "&amp;OFFSET($C$6,0,A2337)</f>
        <v>Depreciated Net Capex 2016-17</v>
      </c>
      <c r="C2337" s="1424"/>
      <c r="D2337" s="1425">
        <f>D2331</f>
        <v>0</v>
      </c>
      <c r="E2337" s="1423">
        <f ca="1">IF(D2361="n/a",D2337,IFERROR(IF((OFFSET($C2337,0,$A2337))&lt;0,
MIN(0,D2337-(OFFSET($C2337,0,$A2337)/(OFFSET($C2332,-$A2336,$A2337)))),
MAX(0,D2337-(OFFSET($C2337,0,$A2337)/(OFFSET($C2332,-$A2336,$A2337))))),0))</f>
        <v>0</v>
      </c>
      <c r="F2337" s="1423">
        <f t="shared" ca="1" si="3412"/>
        <v>0</v>
      </c>
      <c r="G2337" s="1423">
        <f t="shared" ca="1" si="3413"/>
        <v>0</v>
      </c>
      <c r="H2337" s="1423">
        <f t="shared" ca="1" si="3414"/>
        <v>0</v>
      </c>
      <c r="I2337" s="1423">
        <f t="shared" ca="1" si="3415"/>
        <v>0</v>
      </c>
      <c r="J2337" s="1423">
        <f t="shared" ca="1" si="3416"/>
        <v>0</v>
      </c>
      <c r="K2337" s="1423">
        <f t="shared" ca="1" si="3417"/>
        <v>0</v>
      </c>
      <c r="L2337" s="1423">
        <f t="shared" ca="1" si="3418"/>
        <v>0</v>
      </c>
      <c r="M2337" s="1423">
        <f t="shared" ca="1" si="3419"/>
        <v>0</v>
      </c>
      <c r="N2337" s="1423">
        <f t="shared" ca="1" si="3420"/>
        <v>0</v>
      </c>
      <c r="O2337" s="1423">
        <f t="shared" ca="1" si="3421"/>
        <v>0</v>
      </c>
      <c r="P2337" s="1423">
        <f t="shared" ca="1" si="3422"/>
        <v>0</v>
      </c>
      <c r="Q2337" s="1423">
        <f t="shared" ca="1" si="3423"/>
        <v>0</v>
      </c>
      <c r="R2337" s="1423">
        <f t="shared" ca="1" si="3424"/>
        <v>0</v>
      </c>
      <c r="S2337" s="1423">
        <f t="shared" ca="1" si="3425"/>
        <v>0</v>
      </c>
      <c r="T2337" s="1423">
        <f t="shared" ca="1" si="3426"/>
        <v>0</v>
      </c>
      <c r="U2337" s="1423">
        <f t="shared" ca="1" si="3427"/>
        <v>0</v>
      </c>
      <c r="V2337" s="1423">
        <f t="shared" ca="1" si="3428"/>
        <v>0</v>
      </c>
      <c r="W2337" s="1423">
        <f t="shared" ca="1" si="3429"/>
        <v>0</v>
      </c>
      <c r="X2337" s="152"/>
      <c r="Y2337" s="152"/>
      <c r="Z2337" s="152"/>
      <c r="AA2337" s="152"/>
      <c r="AB2337" s="152"/>
    </row>
    <row r="2338" spans="1:28" hidden="1" outlineLevel="1">
      <c r="A2338" s="199">
        <f t="shared" si="3430"/>
        <v>2</v>
      </c>
      <c r="B2338" s="190" t="str">
        <f t="shared" ca="1" si="3431"/>
        <v>Depreciated Net Capex 2017-18</v>
      </c>
      <c r="C2338" s="1426"/>
      <c r="D2338" s="1427"/>
      <c r="E2338" s="1425">
        <f>E2331</f>
        <v>0</v>
      </c>
      <c r="F2338" s="1423">
        <f ca="1">IF(E2362="n/a",E2338,IFERROR(IF((OFFSET($C2338,0,$A2338))&lt;0,
MIN(0,E2338-(OFFSET($C2338,0,$A2338)/(OFFSET($C2333,-$A2337,$A2338)))),
MAX(0,E2338-(OFFSET($C2338,0,$A2338)/(OFFSET($C2333,-$A2337,$A2338))))),0))</f>
        <v>0</v>
      </c>
      <c r="G2338" s="1423">
        <f t="shared" ca="1" si="3413"/>
        <v>0</v>
      </c>
      <c r="H2338" s="1423">
        <f t="shared" ca="1" si="3414"/>
        <v>0</v>
      </c>
      <c r="I2338" s="1423">
        <f t="shared" ca="1" si="3415"/>
        <v>0</v>
      </c>
      <c r="J2338" s="1423">
        <f t="shared" ca="1" si="3416"/>
        <v>0</v>
      </c>
      <c r="K2338" s="1423">
        <f t="shared" ca="1" si="3417"/>
        <v>0</v>
      </c>
      <c r="L2338" s="1423">
        <f t="shared" ca="1" si="3418"/>
        <v>0</v>
      </c>
      <c r="M2338" s="1423">
        <f t="shared" ca="1" si="3419"/>
        <v>0</v>
      </c>
      <c r="N2338" s="1423">
        <f t="shared" ca="1" si="3420"/>
        <v>0</v>
      </c>
      <c r="O2338" s="1423">
        <f t="shared" ca="1" si="3421"/>
        <v>0</v>
      </c>
      <c r="P2338" s="1423">
        <f t="shared" ca="1" si="3422"/>
        <v>0</v>
      </c>
      <c r="Q2338" s="1423">
        <f t="shared" ca="1" si="3423"/>
        <v>0</v>
      </c>
      <c r="R2338" s="1423">
        <f t="shared" ca="1" si="3424"/>
        <v>0</v>
      </c>
      <c r="S2338" s="1423">
        <f t="shared" ca="1" si="3425"/>
        <v>0</v>
      </c>
      <c r="T2338" s="1423">
        <f t="shared" ca="1" si="3426"/>
        <v>0</v>
      </c>
      <c r="U2338" s="1423">
        <f t="shared" ca="1" si="3427"/>
        <v>0</v>
      </c>
      <c r="V2338" s="1423">
        <f t="shared" ca="1" si="3428"/>
        <v>0</v>
      </c>
      <c r="W2338" s="1423">
        <f t="shared" ca="1" si="3429"/>
        <v>0</v>
      </c>
      <c r="X2338" s="202"/>
      <c r="Y2338" s="152"/>
      <c r="Z2338" s="152"/>
      <c r="AA2338" s="152"/>
      <c r="AB2338" s="152"/>
    </row>
    <row r="2339" spans="1:28" hidden="1" outlineLevel="1">
      <c r="A2339" s="199">
        <f t="shared" si="3430"/>
        <v>3</v>
      </c>
      <c r="B2339" s="190" t="str">
        <f t="shared" ca="1" si="3431"/>
        <v>Depreciated Net Capex 2018-19</v>
      </c>
      <c r="C2339" s="1426"/>
      <c r="D2339" s="1426"/>
      <c r="E2339" s="1427"/>
      <c r="F2339" s="1428">
        <f>F2331</f>
        <v>0</v>
      </c>
      <c r="G2339" s="1423">
        <f ca="1">IF(F2363="n/a",F2339,IFERROR(IF((OFFSET($C2339,0,$A2339))&lt;0,
MIN(0,F2339-(OFFSET($C2339,0,$A2339)/(OFFSET($C2334,-$A2338,$A2339)))),
MAX(0,F2339-(OFFSET($C2339,0,$A2339)/(OFFSET($C2334,-$A2338,$A2339))))),0))</f>
        <v>0</v>
      </c>
      <c r="H2339" s="1423">
        <f t="shared" ca="1" si="3414"/>
        <v>0</v>
      </c>
      <c r="I2339" s="1423">
        <f t="shared" ca="1" si="3415"/>
        <v>0</v>
      </c>
      <c r="J2339" s="1423">
        <f t="shared" ca="1" si="3416"/>
        <v>0</v>
      </c>
      <c r="K2339" s="1423">
        <f t="shared" ca="1" si="3417"/>
        <v>0</v>
      </c>
      <c r="L2339" s="1423">
        <f t="shared" ca="1" si="3418"/>
        <v>0</v>
      </c>
      <c r="M2339" s="1423">
        <f t="shared" ca="1" si="3419"/>
        <v>0</v>
      </c>
      <c r="N2339" s="1423">
        <f t="shared" ca="1" si="3420"/>
        <v>0</v>
      </c>
      <c r="O2339" s="1423">
        <f t="shared" ca="1" si="3421"/>
        <v>0</v>
      </c>
      <c r="P2339" s="1423">
        <f t="shared" ca="1" si="3422"/>
        <v>0</v>
      </c>
      <c r="Q2339" s="1423">
        <f t="shared" ca="1" si="3423"/>
        <v>0</v>
      </c>
      <c r="R2339" s="1423">
        <f t="shared" ca="1" si="3424"/>
        <v>0</v>
      </c>
      <c r="S2339" s="1423">
        <f t="shared" ca="1" si="3425"/>
        <v>0</v>
      </c>
      <c r="T2339" s="1423">
        <f t="shared" ca="1" si="3426"/>
        <v>0</v>
      </c>
      <c r="U2339" s="1423">
        <f t="shared" ca="1" si="3427"/>
        <v>0</v>
      </c>
      <c r="V2339" s="1423">
        <f t="shared" ca="1" si="3428"/>
        <v>0</v>
      </c>
      <c r="W2339" s="1423">
        <f t="shared" ca="1" si="3429"/>
        <v>0</v>
      </c>
      <c r="X2339" s="202"/>
      <c r="Y2339" s="202"/>
      <c r="Z2339" s="152"/>
      <c r="AA2339" s="152"/>
      <c r="AB2339" s="152"/>
    </row>
    <row r="2340" spans="1:28" hidden="1" outlineLevel="1">
      <c r="A2340" s="199">
        <f t="shared" si="3430"/>
        <v>4</v>
      </c>
      <c r="B2340" s="190" t="str">
        <f t="shared" ca="1" si="3431"/>
        <v>Depreciated Net Capex 2019-20</v>
      </c>
      <c r="C2340" s="1426"/>
      <c r="D2340" s="1426"/>
      <c r="E2340" s="1426"/>
      <c r="F2340" s="1427"/>
      <c r="G2340" s="1428">
        <f>G2331</f>
        <v>0</v>
      </c>
      <c r="H2340" s="1423">
        <f ca="1">IF(G2364="n/a",G2340,IFERROR(IF((OFFSET($C2340,0,$A2340))&lt;0,
MIN(0,G2340-(OFFSET($C2340,0,$A2340)/(OFFSET($C2335,-$A2339,$A2340)))),
MAX(0,G2340-(OFFSET($C2340,0,$A2340)/(OFFSET($C2335,-$A2339,$A2340))))),0))</f>
        <v>0</v>
      </c>
      <c r="I2340" s="1423">
        <f t="shared" ca="1" si="3415"/>
        <v>0</v>
      </c>
      <c r="J2340" s="1423">
        <f t="shared" ca="1" si="3416"/>
        <v>0</v>
      </c>
      <c r="K2340" s="1423">
        <f t="shared" ca="1" si="3417"/>
        <v>0</v>
      </c>
      <c r="L2340" s="1423">
        <f t="shared" ca="1" si="3418"/>
        <v>0</v>
      </c>
      <c r="M2340" s="1423">
        <f t="shared" ca="1" si="3419"/>
        <v>0</v>
      </c>
      <c r="N2340" s="1423">
        <f t="shared" ca="1" si="3420"/>
        <v>0</v>
      </c>
      <c r="O2340" s="1423">
        <f t="shared" ca="1" si="3421"/>
        <v>0</v>
      </c>
      <c r="P2340" s="1423">
        <f t="shared" ca="1" si="3422"/>
        <v>0</v>
      </c>
      <c r="Q2340" s="1423">
        <f t="shared" ca="1" si="3423"/>
        <v>0</v>
      </c>
      <c r="R2340" s="1423">
        <f t="shared" ca="1" si="3424"/>
        <v>0</v>
      </c>
      <c r="S2340" s="1423">
        <f t="shared" ca="1" si="3425"/>
        <v>0</v>
      </c>
      <c r="T2340" s="1423">
        <f t="shared" ca="1" si="3426"/>
        <v>0</v>
      </c>
      <c r="U2340" s="1423">
        <f t="shared" ca="1" si="3427"/>
        <v>0</v>
      </c>
      <c r="V2340" s="1423">
        <f t="shared" ca="1" si="3428"/>
        <v>0</v>
      </c>
      <c r="W2340" s="1423">
        <f t="shared" ca="1" si="3429"/>
        <v>0</v>
      </c>
      <c r="X2340" s="202"/>
      <c r="Y2340" s="202"/>
      <c r="Z2340" s="202"/>
      <c r="AA2340" s="152"/>
      <c r="AB2340" s="152"/>
    </row>
    <row r="2341" spans="1:28" hidden="1" outlineLevel="1">
      <c r="A2341" s="199">
        <f t="shared" si="3430"/>
        <v>5</v>
      </c>
      <c r="B2341" s="190" t="str">
        <f t="shared" ca="1" si="3431"/>
        <v>Depreciated Net Capex 2020-21</v>
      </c>
      <c r="C2341" s="1426"/>
      <c r="D2341" s="1426"/>
      <c r="E2341" s="1426"/>
      <c r="F2341" s="1426"/>
      <c r="G2341" s="1427"/>
      <c r="H2341" s="1428">
        <f>H2331</f>
        <v>0</v>
      </c>
      <c r="I2341" s="1423">
        <f ca="1">IF(H2365="n/a",H2341,IFERROR(IF((OFFSET($C2341,0,$A2341))&lt;0,
MIN(0,H2341-(OFFSET($C2341,0,$A2341)/(OFFSET($C2336,-$A2340,$A2341)))),
MAX(0,H2341-(OFFSET($C2341,0,$A2341)/(OFFSET($C2336,-$A2340,$A2341))))),0))</f>
        <v>0</v>
      </c>
      <c r="J2341" s="1423">
        <f t="shared" ca="1" si="3416"/>
        <v>0</v>
      </c>
      <c r="K2341" s="1423">
        <f t="shared" ca="1" si="3417"/>
        <v>0</v>
      </c>
      <c r="L2341" s="1423">
        <f t="shared" ca="1" si="3418"/>
        <v>0</v>
      </c>
      <c r="M2341" s="1423">
        <f t="shared" ca="1" si="3419"/>
        <v>0</v>
      </c>
      <c r="N2341" s="1423">
        <f t="shared" ca="1" si="3420"/>
        <v>0</v>
      </c>
      <c r="O2341" s="1423">
        <f t="shared" ca="1" si="3421"/>
        <v>0</v>
      </c>
      <c r="P2341" s="1423">
        <f t="shared" ca="1" si="3422"/>
        <v>0</v>
      </c>
      <c r="Q2341" s="1423">
        <f t="shared" ca="1" si="3423"/>
        <v>0</v>
      </c>
      <c r="R2341" s="1423">
        <f t="shared" ca="1" si="3424"/>
        <v>0</v>
      </c>
      <c r="S2341" s="1423">
        <f t="shared" ca="1" si="3425"/>
        <v>0</v>
      </c>
      <c r="T2341" s="1423">
        <f t="shared" ca="1" si="3426"/>
        <v>0</v>
      </c>
      <c r="U2341" s="1423">
        <f t="shared" ca="1" si="3427"/>
        <v>0</v>
      </c>
      <c r="V2341" s="1423">
        <f t="shared" ca="1" si="3428"/>
        <v>0</v>
      </c>
      <c r="W2341" s="1423">
        <f t="shared" ca="1" si="3429"/>
        <v>0</v>
      </c>
      <c r="X2341" s="202"/>
      <c r="Y2341" s="202"/>
      <c r="Z2341" s="202"/>
      <c r="AA2341" s="152"/>
      <c r="AB2341" s="152"/>
    </row>
    <row r="2342" spans="1:28" hidden="1" outlineLevel="1">
      <c r="A2342" s="199">
        <f t="shared" si="3430"/>
        <v>6</v>
      </c>
      <c r="B2342" s="190" t="str">
        <f t="shared" ca="1" si="3431"/>
        <v>Depreciated Net Capex 2021-22</v>
      </c>
      <c r="C2342" s="1426"/>
      <c r="D2342" s="1426"/>
      <c r="E2342" s="1426"/>
      <c r="F2342" s="1426"/>
      <c r="G2342" s="1426"/>
      <c r="H2342" s="1427"/>
      <c r="I2342" s="1428">
        <f>I2331</f>
        <v>0</v>
      </c>
      <c r="J2342" s="1423">
        <f ca="1">IF(I2366="n/a",I2342,IFERROR(IF((OFFSET($C2342,0,$A2342))&lt;0,
MIN(0,I2342-(OFFSET($C2342,0,$A2342)/(OFFSET($C2337,-$A2341,$A2342)))),
MAX(0,I2342-(OFFSET($C2342,0,$A2342)/(OFFSET($C2337,-$A2341,$A2342))))),0))</f>
        <v>0</v>
      </c>
      <c r="K2342" s="1423">
        <f t="shared" ca="1" si="3417"/>
        <v>0</v>
      </c>
      <c r="L2342" s="1423">
        <f t="shared" ca="1" si="3418"/>
        <v>0</v>
      </c>
      <c r="M2342" s="1423">
        <f t="shared" ca="1" si="3419"/>
        <v>0</v>
      </c>
      <c r="N2342" s="1423">
        <f t="shared" ca="1" si="3420"/>
        <v>0</v>
      </c>
      <c r="O2342" s="1423">
        <f t="shared" ca="1" si="3421"/>
        <v>0</v>
      </c>
      <c r="P2342" s="1423">
        <f t="shared" ca="1" si="3422"/>
        <v>0</v>
      </c>
      <c r="Q2342" s="1423">
        <f t="shared" ca="1" si="3423"/>
        <v>0</v>
      </c>
      <c r="R2342" s="1423">
        <f t="shared" ca="1" si="3424"/>
        <v>0</v>
      </c>
      <c r="S2342" s="1423">
        <f t="shared" ca="1" si="3425"/>
        <v>0</v>
      </c>
      <c r="T2342" s="1423">
        <f t="shared" ca="1" si="3426"/>
        <v>0</v>
      </c>
      <c r="U2342" s="1423">
        <f t="shared" ca="1" si="3427"/>
        <v>0</v>
      </c>
      <c r="V2342" s="1423">
        <f t="shared" ca="1" si="3428"/>
        <v>0</v>
      </c>
      <c r="W2342" s="1423">
        <f t="shared" ca="1" si="3429"/>
        <v>0</v>
      </c>
      <c r="X2342" s="202"/>
      <c r="Y2342" s="202"/>
      <c r="Z2342" s="202"/>
      <c r="AA2342" s="152"/>
      <c r="AB2342" s="152"/>
    </row>
    <row r="2343" spans="1:28" hidden="1" outlineLevel="1">
      <c r="A2343" s="199">
        <f t="shared" si="3430"/>
        <v>7</v>
      </c>
      <c r="B2343" s="190" t="str">
        <f t="shared" ca="1" si="3431"/>
        <v>Depreciated Net Capex 2022-23</v>
      </c>
      <c r="C2343" s="1426"/>
      <c r="D2343" s="1426"/>
      <c r="E2343" s="1426"/>
      <c r="F2343" s="1426"/>
      <c r="G2343" s="1426"/>
      <c r="H2343" s="1426"/>
      <c r="I2343" s="1427"/>
      <c r="J2343" s="1428">
        <f>J2331</f>
        <v>0</v>
      </c>
      <c r="K2343" s="1423">
        <f ca="1">IF(J2367="n/a",J2343,IFERROR(IF((OFFSET($C2343,0,$A2343))&lt;0,
MIN(0,J2343-(OFFSET($C2343,0,$A2343)/(OFFSET($C2338,-$A2342,$A2343)))),
MAX(0,J2343-(OFFSET($C2343,0,$A2343)/(OFFSET($C2338,-$A2342,$A2343))))),0))</f>
        <v>0</v>
      </c>
      <c r="L2343" s="1423">
        <f t="shared" ca="1" si="3418"/>
        <v>0</v>
      </c>
      <c r="M2343" s="1423">
        <f t="shared" ca="1" si="3419"/>
        <v>0</v>
      </c>
      <c r="N2343" s="1423">
        <f t="shared" ca="1" si="3420"/>
        <v>0</v>
      </c>
      <c r="O2343" s="1423">
        <f t="shared" ca="1" si="3421"/>
        <v>0</v>
      </c>
      <c r="P2343" s="1423">
        <f t="shared" ca="1" si="3422"/>
        <v>0</v>
      </c>
      <c r="Q2343" s="1423">
        <f t="shared" ca="1" si="3423"/>
        <v>0</v>
      </c>
      <c r="R2343" s="1423">
        <f t="shared" ca="1" si="3424"/>
        <v>0</v>
      </c>
      <c r="S2343" s="1423">
        <f t="shared" ca="1" si="3425"/>
        <v>0</v>
      </c>
      <c r="T2343" s="1423">
        <f t="shared" ca="1" si="3426"/>
        <v>0</v>
      </c>
      <c r="U2343" s="1423">
        <f t="shared" ca="1" si="3427"/>
        <v>0</v>
      </c>
      <c r="V2343" s="1423">
        <f t="shared" ca="1" si="3428"/>
        <v>0</v>
      </c>
      <c r="W2343" s="1423">
        <f t="shared" ca="1" si="3429"/>
        <v>0</v>
      </c>
      <c r="X2343" s="202"/>
      <c r="Y2343" s="202"/>
      <c r="Z2343" s="202"/>
      <c r="AA2343" s="152"/>
      <c r="AB2343" s="152"/>
    </row>
    <row r="2344" spans="1:28" hidden="1" outlineLevel="1">
      <c r="A2344" s="199">
        <f t="shared" si="3430"/>
        <v>8</v>
      </c>
      <c r="B2344" s="190" t="str">
        <f t="shared" ca="1" si="3431"/>
        <v>Depreciated Net Capex 2023-24</v>
      </c>
      <c r="C2344" s="1426"/>
      <c r="D2344" s="1426"/>
      <c r="E2344" s="1426"/>
      <c r="F2344" s="1426"/>
      <c r="G2344" s="1426"/>
      <c r="H2344" s="1426"/>
      <c r="I2344" s="1426"/>
      <c r="J2344" s="1427"/>
      <c r="K2344" s="1428">
        <f>K2331</f>
        <v>0</v>
      </c>
      <c r="L2344" s="1423">
        <f ca="1">IF(K2368="n/a",K2344,IFERROR(IF((OFFSET($C2344,0,$A2344))&lt;0,
MIN(0,K2344-(OFFSET($C2344,0,$A2344)/(OFFSET($C2339,-$A2343,$A2344)))),
MAX(0,K2344-(OFFSET($C2344,0,$A2344)/(OFFSET($C2339,-$A2343,$A2344))))),0))</f>
        <v>0</v>
      </c>
      <c r="M2344" s="1423">
        <f t="shared" ca="1" si="3419"/>
        <v>0</v>
      </c>
      <c r="N2344" s="1423">
        <f t="shared" ca="1" si="3420"/>
        <v>0</v>
      </c>
      <c r="O2344" s="1423">
        <f t="shared" ca="1" si="3421"/>
        <v>0</v>
      </c>
      <c r="P2344" s="1423">
        <f t="shared" ca="1" si="3422"/>
        <v>0</v>
      </c>
      <c r="Q2344" s="1423">
        <f t="shared" ca="1" si="3423"/>
        <v>0</v>
      </c>
      <c r="R2344" s="1423">
        <f t="shared" ca="1" si="3424"/>
        <v>0</v>
      </c>
      <c r="S2344" s="1423">
        <f t="shared" ca="1" si="3425"/>
        <v>0</v>
      </c>
      <c r="T2344" s="1423">
        <f t="shared" ca="1" si="3426"/>
        <v>0</v>
      </c>
      <c r="U2344" s="1423">
        <f t="shared" ca="1" si="3427"/>
        <v>0</v>
      </c>
      <c r="V2344" s="1423">
        <f t="shared" ca="1" si="3428"/>
        <v>0</v>
      </c>
      <c r="W2344" s="1423">
        <f t="shared" ca="1" si="3429"/>
        <v>0</v>
      </c>
      <c r="X2344" s="202"/>
      <c r="Y2344" s="202"/>
      <c r="Z2344" s="202"/>
      <c r="AA2344" s="152"/>
      <c r="AB2344" s="152"/>
    </row>
    <row r="2345" spans="1:28" hidden="1" outlineLevel="1">
      <c r="A2345" s="199">
        <f t="shared" si="3430"/>
        <v>9</v>
      </c>
      <c r="B2345" s="190" t="str">
        <f t="shared" ca="1" si="3431"/>
        <v>Depreciated Net Capex 2024-25</v>
      </c>
      <c r="C2345" s="1426"/>
      <c r="D2345" s="1426"/>
      <c r="E2345" s="1426"/>
      <c r="F2345" s="1426"/>
      <c r="G2345" s="1426"/>
      <c r="H2345" s="1426"/>
      <c r="I2345" s="1426"/>
      <c r="J2345" s="1426"/>
      <c r="K2345" s="1427"/>
      <c r="L2345" s="1428">
        <f>L2331</f>
        <v>0</v>
      </c>
      <c r="M2345" s="1423">
        <f ca="1">IF(L2369="n/a",L2345,IFERROR(IF((OFFSET($C2345,0,$A2345))&lt;0,
MIN(0,L2345-(OFFSET($C2345,0,$A2345)/(OFFSET($C2340,-$A2344,$A2345)))),
MAX(0,L2345-(OFFSET($C2345,0,$A2345)/(OFFSET($C2340,-$A2344,$A2345))))),0))</f>
        <v>0</v>
      </c>
      <c r="N2345" s="1423">
        <f t="shared" ca="1" si="3420"/>
        <v>0</v>
      </c>
      <c r="O2345" s="1423">
        <f t="shared" ca="1" si="3421"/>
        <v>0</v>
      </c>
      <c r="P2345" s="1423">
        <f t="shared" ca="1" si="3422"/>
        <v>0</v>
      </c>
      <c r="Q2345" s="1423">
        <f t="shared" ca="1" si="3423"/>
        <v>0</v>
      </c>
      <c r="R2345" s="1423">
        <f t="shared" ca="1" si="3424"/>
        <v>0</v>
      </c>
      <c r="S2345" s="1423">
        <f t="shared" ca="1" si="3425"/>
        <v>0</v>
      </c>
      <c r="T2345" s="1423">
        <f t="shared" ca="1" si="3426"/>
        <v>0</v>
      </c>
      <c r="U2345" s="1423">
        <f t="shared" ca="1" si="3427"/>
        <v>0</v>
      </c>
      <c r="V2345" s="1423">
        <f t="shared" ca="1" si="3428"/>
        <v>0</v>
      </c>
      <c r="W2345" s="1423">
        <f t="shared" ca="1" si="3429"/>
        <v>0</v>
      </c>
      <c r="X2345" s="202"/>
      <c r="Y2345" s="202"/>
      <c r="Z2345" s="202"/>
      <c r="AA2345" s="152"/>
      <c r="AB2345" s="152"/>
    </row>
    <row r="2346" spans="1:28" hidden="1" outlineLevel="1">
      <c r="A2346" s="199">
        <f t="shared" si="3430"/>
        <v>10</v>
      </c>
      <c r="B2346" s="190" t="str">
        <f t="shared" ca="1" si="3431"/>
        <v>Depreciated Net Capex 2025-26</v>
      </c>
      <c r="C2346" s="1426"/>
      <c r="D2346" s="1426"/>
      <c r="E2346" s="1426"/>
      <c r="F2346" s="1426"/>
      <c r="G2346" s="1426"/>
      <c r="H2346" s="1426"/>
      <c r="I2346" s="1426"/>
      <c r="J2346" s="1426"/>
      <c r="K2346" s="1426"/>
      <c r="L2346" s="1427"/>
      <c r="M2346" s="1428">
        <f>M2331</f>
        <v>0</v>
      </c>
      <c r="N2346" s="1423">
        <f ca="1">IF(M2370="n/a",M2346,IFERROR(IF((OFFSET($C2346,0,$A2346))&lt;0,
MIN(0,M2346-(OFFSET($C2346,0,$A2346)/(OFFSET($C2341,-$A2345,$A2346)))),
MAX(0,M2346-(OFFSET($C2346,0,$A2346)/(OFFSET($C2341,-$A2345,$A2346))))),0))</f>
        <v>0</v>
      </c>
      <c r="O2346" s="1423">
        <f t="shared" ca="1" si="3421"/>
        <v>0</v>
      </c>
      <c r="P2346" s="1423">
        <f t="shared" ca="1" si="3422"/>
        <v>0</v>
      </c>
      <c r="Q2346" s="1423">
        <f t="shared" ca="1" si="3423"/>
        <v>0</v>
      </c>
      <c r="R2346" s="1423">
        <f t="shared" ca="1" si="3424"/>
        <v>0</v>
      </c>
      <c r="S2346" s="1423">
        <f t="shared" ca="1" si="3425"/>
        <v>0</v>
      </c>
      <c r="T2346" s="1423">
        <f t="shared" ca="1" si="3426"/>
        <v>0</v>
      </c>
      <c r="U2346" s="1423">
        <f t="shared" ca="1" si="3427"/>
        <v>0</v>
      </c>
      <c r="V2346" s="1423">
        <f t="shared" ca="1" si="3428"/>
        <v>0</v>
      </c>
      <c r="W2346" s="1423">
        <f t="shared" ca="1" si="3429"/>
        <v>0</v>
      </c>
      <c r="X2346" s="202"/>
      <c r="Y2346" s="202"/>
      <c r="Z2346" s="202"/>
      <c r="AA2346" s="152"/>
      <c r="AB2346" s="152"/>
    </row>
    <row r="2347" spans="1:28" hidden="1" outlineLevel="1">
      <c r="A2347" s="199">
        <f t="shared" si="3430"/>
        <v>11</v>
      </c>
      <c r="B2347" s="190" t="str">
        <f t="shared" ca="1" si="3431"/>
        <v>Depreciated Net Capex 2026-27</v>
      </c>
      <c r="C2347" s="1426"/>
      <c r="D2347" s="1426"/>
      <c r="E2347" s="1426"/>
      <c r="F2347" s="1426"/>
      <c r="G2347" s="1426"/>
      <c r="H2347" s="1426"/>
      <c r="I2347" s="1426"/>
      <c r="J2347" s="1426"/>
      <c r="K2347" s="1426"/>
      <c r="L2347" s="1426"/>
      <c r="M2347" s="1427"/>
      <c r="N2347" s="1428">
        <f>N2331</f>
        <v>0</v>
      </c>
      <c r="O2347" s="1423">
        <f ca="1">IF(N2371="n/a",N2347,IFERROR(IF((OFFSET($C2347,0,$A2347))&lt;0,
MIN(0,N2347-(OFFSET($C2347,0,$A2347)/(OFFSET($C2342,-$A2346,$A2347)))),
MAX(0,N2347-(OFFSET($C2347,0,$A2347)/(OFFSET($C2342,-$A2346,$A2347))))),0))</f>
        <v>0</v>
      </c>
      <c r="P2347" s="1423">
        <f t="shared" ca="1" si="3422"/>
        <v>0</v>
      </c>
      <c r="Q2347" s="1423">
        <f t="shared" ca="1" si="3423"/>
        <v>0</v>
      </c>
      <c r="R2347" s="1423">
        <f t="shared" ca="1" si="3424"/>
        <v>0</v>
      </c>
      <c r="S2347" s="1423">
        <f t="shared" ca="1" si="3425"/>
        <v>0</v>
      </c>
      <c r="T2347" s="1423">
        <f t="shared" ca="1" si="3426"/>
        <v>0</v>
      </c>
      <c r="U2347" s="1423">
        <f t="shared" ca="1" si="3427"/>
        <v>0</v>
      </c>
      <c r="V2347" s="1423">
        <f t="shared" ca="1" si="3428"/>
        <v>0</v>
      </c>
      <c r="W2347" s="1423">
        <f t="shared" ca="1" si="3429"/>
        <v>0</v>
      </c>
      <c r="X2347" s="202"/>
      <c r="Y2347" s="202"/>
      <c r="Z2347" s="202"/>
      <c r="AA2347" s="152"/>
      <c r="AB2347" s="152"/>
    </row>
    <row r="2348" spans="1:28" hidden="1" outlineLevel="1">
      <c r="A2348" s="199">
        <f t="shared" si="3430"/>
        <v>12</v>
      </c>
      <c r="B2348" s="190" t="str">
        <f t="shared" ca="1" si="3431"/>
        <v>Depreciated Net Capex 2027-28</v>
      </c>
      <c r="C2348" s="1426"/>
      <c r="D2348" s="1426"/>
      <c r="E2348" s="1426"/>
      <c r="F2348" s="1426"/>
      <c r="G2348" s="1426"/>
      <c r="H2348" s="1426"/>
      <c r="I2348" s="1426"/>
      <c r="J2348" s="1426"/>
      <c r="K2348" s="1426"/>
      <c r="L2348" s="1426"/>
      <c r="M2348" s="1426"/>
      <c r="N2348" s="1427"/>
      <c r="O2348" s="1428">
        <f>O2331</f>
        <v>0</v>
      </c>
      <c r="P2348" s="1423">
        <f ca="1">IF(O2372="n/a",O2348,IFERROR(IF((OFFSET($C2348,0,$A2348))&lt;0,
MIN(0,O2348-(OFFSET($C2348,0,$A2348)/(OFFSET($C2343,-$A2347,$A2348)))),
MAX(0,O2348-(OFFSET($C2348,0,$A2348)/(OFFSET($C2343,-$A2347,$A2348))))),0))</f>
        <v>0</v>
      </c>
      <c r="Q2348" s="1423">
        <f t="shared" ca="1" si="3423"/>
        <v>0</v>
      </c>
      <c r="R2348" s="1423">
        <f t="shared" ca="1" si="3424"/>
        <v>0</v>
      </c>
      <c r="S2348" s="1423">
        <f t="shared" ca="1" si="3425"/>
        <v>0</v>
      </c>
      <c r="T2348" s="1423">
        <f t="shared" ca="1" si="3426"/>
        <v>0</v>
      </c>
      <c r="U2348" s="1423">
        <f t="shared" ca="1" si="3427"/>
        <v>0</v>
      </c>
      <c r="V2348" s="1423">
        <f t="shared" ca="1" si="3428"/>
        <v>0</v>
      </c>
      <c r="W2348" s="1423">
        <f t="shared" ca="1" si="3429"/>
        <v>0</v>
      </c>
      <c r="X2348" s="202"/>
      <c r="Y2348" s="202"/>
      <c r="Z2348" s="202"/>
      <c r="AA2348" s="152"/>
      <c r="AB2348" s="152"/>
    </row>
    <row r="2349" spans="1:28" hidden="1" outlineLevel="1">
      <c r="A2349" s="199">
        <f t="shared" si="3430"/>
        <v>13</v>
      </c>
      <c r="B2349" s="190" t="str">
        <f t="shared" ca="1" si="3431"/>
        <v>Depreciated Net Capex 2028-29</v>
      </c>
      <c r="C2349" s="1426"/>
      <c r="D2349" s="1426"/>
      <c r="E2349" s="1426"/>
      <c r="F2349" s="1426"/>
      <c r="G2349" s="1426"/>
      <c r="H2349" s="1426"/>
      <c r="I2349" s="1426"/>
      <c r="J2349" s="1426"/>
      <c r="K2349" s="1426"/>
      <c r="L2349" s="1426"/>
      <c r="M2349" s="1426"/>
      <c r="N2349" s="1426"/>
      <c r="O2349" s="1427"/>
      <c r="P2349" s="1428">
        <f>P2331</f>
        <v>0</v>
      </c>
      <c r="Q2349" s="1423">
        <f ca="1">IF(P2373="n/a",P2349,IFERROR(IF((OFFSET($C2349,0,$A2349))&lt;0,
MIN(0,P2349-(OFFSET($C2349,0,$A2349)/(OFFSET($C2344,-$A2348,$A2349)))),
MAX(0,P2349-(OFFSET($C2349,0,$A2349)/(OFFSET($C2344,-$A2348,$A2349))))),0))</f>
        <v>0</v>
      </c>
      <c r="R2349" s="1423">
        <f t="shared" ca="1" si="3424"/>
        <v>0</v>
      </c>
      <c r="S2349" s="1423">
        <f t="shared" ca="1" si="3425"/>
        <v>0</v>
      </c>
      <c r="T2349" s="1423">
        <f t="shared" ca="1" si="3426"/>
        <v>0</v>
      </c>
      <c r="U2349" s="1423">
        <f t="shared" ca="1" si="3427"/>
        <v>0</v>
      </c>
      <c r="V2349" s="1423">
        <f t="shared" ca="1" si="3428"/>
        <v>0</v>
      </c>
      <c r="W2349" s="1423">
        <f t="shared" ca="1" si="3429"/>
        <v>0</v>
      </c>
      <c r="X2349" s="202"/>
      <c r="Y2349" s="202"/>
      <c r="Z2349" s="202"/>
      <c r="AA2349" s="152"/>
      <c r="AB2349" s="152"/>
    </row>
    <row r="2350" spans="1:28" hidden="1" outlineLevel="1">
      <c r="A2350" s="199">
        <f t="shared" si="3430"/>
        <v>14</v>
      </c>
      <c r="B2350" s="190" t="str">
        <f t="shared" ca="1" si="3431"/>
        <v>Depreciated Net Capex 2029-30</v>
      </c>
      <c r="C2350" s="1426"/>
      <c r="D2350" s="1426"/>
      <c r="E2350" s="1426"/>
      <c r="F2350" s="1426"/>
      <c r="G2350" s="1426"/>
      <c r="H2350" s="1426"/>
      <c r="I2350" s="1426"/>
      <c r="J2350" s="1426"/>
      <c r="K2350" s="1426"/>
      <c r="L2350" s="1426"/>
      <c r="M2350" s="1426"/>
      <c r="N2350" s="1426"/>
      <c r="O2350" s="1426"/>
      <c r="P2350" s="1427"/>
      <c r="Q2350" s="1428">
        <f>Q2331</f>
        <v>0</v>
      </c>
      <c r="R2350" s="1423">
        <f ca="1">IF(Q2374="n/a",Q2350,IFERROR(IF((OFFSET($C2350,0,$A2350))&lt;0,
MIN(0,Q2350-(OFFSET($C2350,0,$A2350)/(OFFSET($C2345,-$A2349,$A2350)))),
MAX(0,Q2350-(OFFSET($C2350,0,$A2350)/(OFFSET($C2345,-$A2349,$A2350))))),0))</f>
        <v>0</v>
      </c>
      <c r="S2350" s="1423">
        <f t="shared" ca="1" si="3425"/>
        <v>0</v>
      </c>
      <c r="T2350" s="1423">
        <f t="shared" ca="1" si="3426"/>
        <v>0</v>
      </c>
      <c r="U2350" s="1423">
        <f t="shared" ca="1" si="3427"/>
        <v>0</v>
      </c>
      <c r="V2350" s="1423">
        <f t="shared" ca="1" si="3428"/>
        <v>0</v>
      </c>
      <c r="W2350" s="1423">
        <f t="shared" ca="1" si="3429"/>
        <v>0</v>
      </c>
      <c r="X2350" s="202"/>
      <c r="Y2350" s="202"/>
      <c r="Z2350" s="202"/>
      <c r="AA2350" s="152"/>
      <c r="AB2350" s="152"/>
    </row>
    <row r="2351" spans="1:28" hidden="1" outlineLevel="1">
      <c r="A2351" s="199">
        <f t="shared" si="3430"/>
        <v>15</v>
      </c>
      <c r="B2351" s="190" t="str">
        <f t="shared" ca="1" si="3431"/>
        <v>Depreciated Net Capex 2030-31</v>
      </c>
      <c r="C2351" s="1426"/>
      <c r="D2351" s="1426"/>
      <c r="E2351" s="1426"/>
      <c r="F2351" s="1426"/>
      <c r="G2351" s="1426"/>
      <c r="H2351" s="1426"/>
      <c r="I2351" s="1426"/>
      <c r="J2351" s="1426"/>
      <c r="K2351" s="1426"/>
      <c r="L2351" s="1426"/>
      <c r="M2351" s="1426"/>
      <c r="N2351" s="1426"/>
      <c r="O2351" s="1426"/>
      <c r="P2351" s="1426"/>
      <c r="Q2351" s="1427"/>
      <c r="R2351" s="1428">
        <f>R2331</f>
        <v>0</v>
      </c>
      <c r="S2351" s="1423">
        <f ca="1">IF(R2375="n/a",R2351,IFERROR(IF((OFFSET($C2351,0,$A2351))&lt;0,
MIN(0,R2351-(OFFSET($C2351,0,$A2351)/(OFFSET($C2346,-$A2350,$A2351)))),
MAX(0,R2351-(OFFSET($C2351,0,$A2351)/(OFFSET($C2346,-$A2350,$A2351))))),0))</f>
        <v>0</v>
      </c>
      <c r="T2351" s="1423">
        <f t="shared" ca="1" si="3426"/>
        <v>0</v>
      </c>
      <c r="U2351" s="1423">
        <f t="shared" ca="1" si="3427"/>
        <v>0</v>
      </c>
      <c r="V2351" s="1423">
        <f t="shared" ca="1" si="3428"/>
        <v>0</v>
      </c>
      <c r="W2351" s="1423">
        <f t="shared" ca="1" si="3429"/>
        <v>0</v>
      </c>
      <c r="X2351" s="202"/>
      <c r="Y2351" s="202"/>
      <c r="Z2351" s="202"/>
      <c r="AA2351" s="152"/>
      <c r="AB2351" s="152"/>
    </row>
    <row r="2352" spans="1:28" hidden="1" outlineLevel="1">
      <c r="A2352" s="199">
        <f t="shared" si="3430"/>
        <v>16</v>
      </c>
      <c r="B2352" s="190" t="str">
        <f t="shared" ca="1" si="3431"/>
        <v>Depreciated Net Capex 2031-32</v>
      </c>
      <c r="C2352" s="1426"/>
      <c r="D2352" s="1426"/>
      <c r="E2352" s="1426"/>
      <c r="F2352" s="1426"/>
      <c r="G2352" s="1426"/>
      <c r="H2352" s="1426"/>
      <c r="I2352" s="1426"/>
      <c r="J2352" s="1426"/>
      <c r="K2352" s="1426"/>
      <c r="L2352" s="1426"/>
      <c r="M2352" s="1426"/>
      <c r="N2352" s="1426"/>
      <c r="O2352" s="1426"/>
      <c r="P2352" s="1426"/>
      <c r="Q2352" s="1426"/>
      <c r="R2352" s="1427"/>
      <c r="S2352" s="1428">
        <f>S2331</f>
        <v>0</v>
      </c>
      <c r="T2352" s="1423">
        <f ca="1">IF(S2376="n/a",S2352,IFERROR(IF((OFFSET($C2352,0,$A2352))&lt;0,
MIN(0,S2352-(OFFSET($C2352,0,$A2352)/(OFFSET($C2347,-$A2351,$A2352)))),
MAX(0,S2352-(OFFSET($C2352,0,$A2352)/(OFFSET($C2347,-$A2351,$A2352))))),0))</f>
        <v>0</v>
      </c>
      <c r="U2352" s="1423">
        <f t="shared" ca="1" si="3427"/>
        <v>0</v>
      </c>
      <c r="V2352" s="1423">
        <f t="shared" ca="1" si="3428"/>
        <v>0</v>
      </c>
      <c r="W2352" s="1423">
        <f t="shared" ca="1" si="3429"/>
        <v>0</v>
      </c>
      <c r="X2352" s="202"/>
      <c r="Y2352" s="202"/>
      <c r="Z2352" s="202"/>
      <c r="AA2352" s="152"/>
      <c r="AB2352" s="152"/>
    </row>
    <row r="2353" spans="1:28" hidden="1" outlineLevel="1">
      <c r="A2353" s="199">
        <f t="shared" si="3430"/>
        <v>17</v>
      </c>
      <c r="B2353" s="190" t="str">
        <f t="shared" ca="1" si="3431"/>
        <v>Depreciated Net Capex 2032-33</v>
      </c>
      <c r="C2353" s="1426"/>
      <c r="D2353" s="1426"/>
      <c r="E2353" s="1426"/>
      <c r="F2353" s="1426"/>
      <c r="G2353" s="1426"/>
      <c r="H2353" s="1426"/>
      <c r="I2353" s="1426"/>
      <c r="J2353" s="1426"/>
      <c r="K2353" s="1426"/>
      <c r="L2353" s="1426"/>
      <c r="M2353" s="1426"/>
      <c r="N2353" s="1426"/>
      <c r="O2353" s="1426"/>
      <c r="P2353" s="1426"/>
      <c r="Q2353" s="1426"/>
      <c r="R2353" s="1426"/>
      <c r="S2353" s="1427"/>
      <c r="T2353" s="1428">
        <f>T2331</f>
        <v>0</v>
      </c>
      <c r="U2353" s="1423">
        <f ca="1">IF(T2377="n/a",T2353,IFERROR(IF((OFFSET($C2353,0,$A2353))&lt;0,
MIN(0,T2353-(OFFSET($C2353,0,$A2353)/(OFFSET($C2348,-$A2352,$A2353)))),
MAX(0,T2353-(OFFSET($C2353,0,$A2353)/(OFFSET($C2348,-$A2352,$A2353))))),0))</f>
        <v>0</v>
      </c>
      <c r="V2353" s="1423">
        <f t="shared" ca="1" si="3428"/>
        <v>0</v>
      </c>
      <c r="W2353" s="1423">
        <f t="shared" ca="1" si="3429"/>
        <v>0</v>
      </c>
      <c r="X2353" s="202"/>
      <c r="Y2353" s="202"/>
      <c r="Z2353" s="202"/>
      <c r="AA2353" s="152"/>
      <c r="AB2353" s="152"/>
    </row>
    <row r="2354" spans="1:28" hidden="1" outlineLevel="1">
      <c r="A2354" s="199">
        <f t="shared" si="3430"/>
        <v>18</v>
      </c>
      <c r="B2354" s="190" t="str">
        <f t="shared" ca="1" si="3431"/>
        <v>Depreciated Net Capex 2033-34</v>
      </c>
      <c r="C2354" s="1426"/>
      <c r="D2354" s="1426"/>
      <c r="E2354" s="1426"/>
      <c r="F2354" s="1426"/>
      <c r="G2354" s="1426"/>
      <c r="H2354" s="1426"/>
      <c r="I2354" s="1426"/>
      <c r="J2354" s="1426"/>
      <c r="K2354" s="1426"/>
      <c r="L2354" s="1426"/>
      <c r="M2354" s="1426"/>
      <c r="N2354" s="1426"/>
      <c r="O2354" s="1426"/>
      <c r="P2354" s="1426"/>
      <c r="Q2354" s="1426"/>
      <c r="R2354" s="1426"/>
      <c r="S2354" s="1426"/>
      <c r="T2354" s="1427"/>
      <c r="U2354" s="1428">
        <f>U2331</f>
        <v>0</v>
      </c>
      <c r="V2354" s="1423">
        <f ca="1">IF(U2378="n/a",U2354,IFERROR(IF((OFFSET($C2354,0,$A2354))&lt;0,
MIN(0,U2354-(OFFSET($C2354,0,$A2354)/(OFFSET($C2349,-$A2353,$A2354)))),
MAX(0,U2354-(OFFSET($C2354,0,$A2354)/(OFFSET($C2349,-$A2353,$A2354))))),0))</f>
        <v>0</v>
      </c>
      <c r="W2354" s="1423">
        <f t="shared" ca="1" si="3429"/>
        <v>0</v>
      </c>
      <c r="X2354" s="202"/>
      <c r="Y2354" s="202"/>
      <c r="Z2354" s="202"/>
      <c r="AA2354" s="152"/>
      <c r="AB2354" s="152"/>
    </row>
    <row r="2355" spans="1:28" hidden="1" outlineLevel="1">
      <c r="A2355" s="199">
        <f t="shared" si="3430"/>
        <v>19</v>
      </c>
      <c r="B2355" s="190" t="str">
        <f t="shared" ca="1" si="3431"/>
        <v>Depreciated Net Capex 2034-35</v>
      </c>
      <c r="C2355" s="1426"/>
      <c r="D2355" s="1426"/>
      <c r="E2355" s="1426"/>
      <c r="F2355" s="1426"/>
      <c r="G2355" s="1426"/>
      <c r="H2355" s="1426"/>
      <c r="I2355" s="1426"/>
      <c r="J2355" s="1426"/>
      <c r="K2355" s="1426"/>
      <c r="L2355" s="1426"/>
      <c r="M2355" s="1426"/>
      <c r="N2355" s="1426"/>
      <c r="O2355" s="1426"/>
      <c r="P2355" s="1426"/>
      <c r="Q2355" s="1426"/>
      <c r="R2355" s="1426"/>
      <c r="S2355" s="1426"/>
      <c r="T2355" s="1426"/>
      <c r="U2355" s="1427"/>
      <c r="V2355" s="1428">
        <f>V2331</f>
        <v>0</v>
      </c>
      <c r="W2355" s="1423">
        <f ca="1">IF(V2379="n/a",V2355,IFERROR(IF((OFFSET($C2355,0,$A2355))&lt;0,
MIN(0,V2355-(OFFSET($C2355,0,$A2355)/(OFFSET($C2350,-$A2354,$A2355)))),
MAX(0,V2355-(OFFSET($C2355,0,$A2355)/(OFFSET($C2350,-$A2354,$A2355))))),0))</f>
        <v>0</v>
      </c>
      <c r="X2355" s="202"/>
      <c r="Y2355" s="202"/>
      <c r="Z2355" s="202"/>
      <c r="AA2355" s="152"/>
      <c r="AB2355" s="152"/>
    </row>
    <row r="2356" spans="1:28" hidden="1" outlineLevel="1">
      <c r="A2356" s="199">
        <f t="shared" si="3430"/>
        <v>20</v>
      </c>
      <c r="B2356" s="190" t="str">
        <f t="shared" ca="1" si="3431"/>
        <v>Depreciated Net Capex 2035-36</v>
      </c>
      <c r="C2356" s="1426"/>
      <c r="D2356" s="1426"/>
      <c r="E2356" s="1426"/>
      <c r="F2356" s="1426"/>
      <c r="G2356" s="1426"/>
      <c r="H2356" s="1426"/>
      <c r="I2356" s="1426"/>
      <c r="J2356" s="1426"/>
      <c r="K2356" s="1426"/>
      <c r="L2356" s="1426"/>
      <c r="M2356" s="1426"/>
      <c r="N2356" s="1426"/>
      <c r="O2356" s="1426"/>
      <c r="P2356" s="1426"/>
      <c r="Q2356" s="1426"/>
      <c r="R2356" s="1426"/>
      <c r="S2356" s="1426"/>
      <c r="T2356" s="1426"/>
      <c r="U2356" s="1426"/>
      <c r="V2356" s="1427"/>
      <c r="W2356" s="1423">
        <f>W2331</f>
        <v>0</v>
      </c>
      <c r="X2356" s="152"/>
      <c r="Y2356" s="152"/>
      <c r="Z2356" s="152"/>
      <c r="AA2356" s="152"/>
      <c r="AB2356" s="152"/>
    </row>
    <row r="2357" spans="1:28" hidden="1" outlineLevel="1">
      <c r="A2357" s="152"/>
      <c r="B2357" s="200"/>
      <c r="C2357" s="1423"/>
      <c r="D2357" s="1423"/>
      <c r="E2357" s="1423"/>
      <c r="F2357" s="1423"/>
      <c r="G2357" s="1423"/>
      <c r="H2357" s="1423"/>
      <c r="I2357" s="1423"/>
      <c r="J2357" s="1423"/>
      <c r="K2357" s="1423"/>
      <c r="L2357" s="1423"/>
      <c r="M2357" s="1423"/>
      <c r="N2357" s="1423"/>
      <c r="O2357" s="1423"/>
      <c r="P2357" s="1423"/>
      <c r="Q2357" s="1423"/>
      <c r="R2357" s="1423"/>
      <c r="S2357" s="1423"/>
      <c r="T2357" s="1423"/>
      <c r="U2357" s="1423"/>
      <c r="V2357" s="1423"/>
      <c r="W2357" s="1423"/>
      <c r="X2357" s="152"/>
      <c r="Y2357" s="152"/>
      <c r="Z2357" s="152"/>
      <c r="AA2357" s="152"/>
      <c r="AB2357" s="152"/>
    </row>
    <row r="2358" spans="1:28" hidden="1" outlineLevel="1">
      <c r="A2358" s="152"/>
      <c r="B2358" s="200"/>
      <c r="C2358" s="1423"/>
      <c r="D2358" s="1423"/>
      <c r="E2358" s="1423"/>
      <c r="F2358" s="1423"/>
      <c r="G2358" s="1423"/>
      <c r="H2358" s="1423"/>
      <c r="I2358" s="1423"/>
      <c r="J2358" s="1423"/>
      <c r="K2358" s="1423"/>
      <c r="L2358" s="1423"/>
      <c r="M2358" s="1423"/>
      <c r="N2358" s="1423"/>
      <c r="O2358" s="1423"/>
      <c r="P2358" s="1423"/>
      <c r="Q2358" s="1423"/>
      <c r="R2358" s="1423"/>
      <c r="S2358" s="1423"/>
      <c r="T2358" s="1423"/>
      <c r="U2358" s="1423"/>
      <c r="V2358" s="1423"/>
      <c r="W2358" s="1423"/>
      <c r="X2358" s="152"/>
      <c r="Y2358" s="152"/>
      <c r="Z2358" s="152"/>
      <c r="AA2358" s="152"/>
      <c r="AB2358" s="152"/>
    </row>
    <row r="2359" spans="1:28" hidden="1" outlineLevel="1">
      <c r="A2359" s="152"/>
      <c r="B2359" s="190" t="s">
        <v>194</v>
      </c>
      <c r="C2359" s="1423"/>
      <c r="D2359" s="1423">
        <f t="shared" ref="D2359" ca="1" si="3432">IF(AND(C2359&lt;1,D2333=0),0,
IF(D2333=0,C2359-1,
IF(C2359&lt;1,D2334,
(((C2359-1)*(C2335-(C2335/(C2359))))+(D2333*D2334))/(D2335))))</f>
        <v>0</v>
      </c>
      <c r="E2359" s="1423">
        <f t="shared" ref="E2359" ca="1" si="3433">IF(AND(D2359&lt;1,E2333=0),0,
IF(E2333=0,D2359-1,
IF(D2359&lt;1,E2334,
(((D2359-1)*(D2335-(D2335/(D2359))))+(E2333*E2334))/(E2335))))</f>
        <v>0</v>
      </c>
      <c r="F2359" s="1423">
        <f t="shared" ref="F2359" ca="1" si="3434">IF(AND(E2359&lt;1,F2333=0),0,
IF(F2333=0,E2359-1,
IF(E2359&lt;1,F2334,
(((E2359-1)*(E2335-(E2335/(E2359))))+(F2333*F2334))/(F2335))))</f>
        <v>0</v>
      </c>
      <c r="G2359" s="1423">
        <f t="shared" ref="G2359" ca="1" si="3435">IF(AND(F2359&lt;1,G2333=0),0,
IF(G2333=0,F2359-1,
IF(F2359&lt;1,G2334,
(((F2359-1)*(F2335-(F2335/(F2359))))+(G2333*G2334))/(G2335))))</f>
        <v>0</v>
      </c>
      <c r="H2359" s="1423">
        <f ca="1">IF(AND(G2359&lt;1,H2333=0),0,
IF(H2333=0,G2359-1,
IF(G2359&lt;1,H2334,
(((G2359-1)*(G2335-(G2335/(G2359))))+(H2333*H2334))/(H2335))))</f>
        <v>0</v>
      </c>
      <c r="I2359" s="1423">
        <f t="shared" ref="I2359" ca="1" si="3436">IF(AND(H2359&lt;1,I2333=0),0,
IF(I2333=0,H2359-1,
IF(H2359&lt;1,I2334,
(((H2359-1)*(H2335-(H2335/(H2359))))+(I2333*I2334))/(I2335))))</f>
        <v>0</v>
      </c>
      <c r="J2359" s="1423">
        <f t="shared" ref="J2359" ca="1" si="3437">IF(AND(I2359&lt;1,J2333=0),0,
IF(J2333=0,I2359-1,
IF(I2359&lt;1,J2334,
(((I2359-1)*(I2335-(I2335/(I2359))))+(J2333*J2334))/(J2335))))</f>
        <v>0</v>
      </c>
      <c r="K2359" s="1423">
        <f t="shared" ref="K2359" ca="1" si="3438">IF(AND(J2359&lt;1,K2333=0),0,
IF(K2333=0,J2359-1,
IF(J2359&lt;1,K2334,
(((J2359-1)*(J2335-(J2335/(J2359))))+(K2333*K2334))/(K2335))))</f>
        <v>0</v>
      </c>
      <c r="L2359" s="1423">
        <f t="shared" ref="L2359" ca="1" si="3439">IF(AND(K2359&lt;1,L2333=0),0,
IF(L2333=0,K2359-1,
IF(K2359&lt;1,L2334,
(((K2359-1)*(K2335-(K2335/(K2359))))+(L2333*L2334))/(L2335))))</f>
        <v>0</v>
      </c>
      <c r="M2359" s="1423">
        <f ca="1">IF(AND(L2359&lt;1,M2333=0),0,
IF(M2333=0,L2359-1,
IF(L2359&lt;1,M2334,
(((L2359-1)*(L2335-(L2335/(L2359))))+(M2333*M2334))/(M2335))))</f>
        <v>0</v>
      </c>
      <c r="N2359" s="1423">
        <f t="shared" ref="N2359" ca="1" si="3440">IF(AND(M2359&lt;1,N2333=0),0,
IF(N2333=0,M2359-1,
IF(M2359&lt;1,N2334,
(((M2359-1)*(M2335-(M2335/(M2359))))+(N2333*N2334))/(N2335))))</f>
        <v>0</v>
      </c>
      <c r="O2359" s="1423">
        <f t="shared" ref="O2359" ca="1" si="3441">IF(AND(N2359&lt;1,O2333=0),0,
IF(O2333=0,N2359-1,
IF(N2359&lt;1,O2334,
(((N2359-1)*(N2335-(N2335/(N2359))))+(O2333*O2334))/(O2335))))</f>
        <v>0</v>
      </c>
      <c r="P2359" s="1423">
        <f t="shared" ref="P2359" ca="1" si="3442">IF(AND(O2359&lt;1,P2333=0),0,
IF(P2333=0,O2359-1,
IF(O2359&lt;1,P2334,
(((O2359-1)*(O2335-(O2335/(O2359))))+(P2333*P2334))/(P2335))))</f>
        <v>0</v>
      </c>
      <c r="Q2359" s="1423">
        <f t="shared" ref="Q2359" ca="1" si="3443">IF(AND(P2359&lt;1,Q2333=0),0,
IF(Q2333=0,P2359-1,
IF(P2359&lt;1,Q2334,
(((P2359-1)*(P2335-(P2335/(P2359))))+(Q2333*Q2334))/(Q2335))))</f>
        <v>0</v>
      </c>
      <c r="R2359" s="1423">
        <f t="shared" ref="R2359" ca="1" si="3444">IF(AND(Q2359&lt;1,R2333=0),0,
IF(R2333=0,Q2359-1,
IF(Q2359&lt;1,R2334,
(((Q2359-1)*(Q2335-(Q2335/(Q2359))))+(R2333*R2334))/(R2335))))</f>
        <v>0</v>
      </c>
      <c r="S2359" s="1423">
        <f t="shared" ref="S2359" ca="1" si="3445">IF(AND(R2359&lt;1,S2333=0),0,
IF(S2333=0,R2359-1,
IF(R2359&lt;1,S2334,
(((R2359-1)*(R2335-(R2335/(R2359))))+(S2333*S2334))/(S2335))))</f>
        <v>0</v>
      </c>
      <c r="T2359" s="1423">
        <f t="shared" ref="T2359" ca="1" si="3446">IF(AND(S2359&lt;1,T2333=0),0,
IF(T2333=0,S2359-1,
IF(S2359&lt;1,T2334,
(((S2359-1)*(S2335-(S2335/(S2359))))+(T2333*T2334))/(T2335))))</f>
        <v>0</v>
      </c>
      <c r="U2359" s="1423">
        <f t="shared" ref="U2359" ca="1" si="3447">IF(AND(T2359&lt;1,U2333=0),0,
IF(U2333=0,T2359-1,
IF(T2359&lt;1,U2334,
(((T2359-1)*(T2335-(T2335/(T2359))))+(U2333*U2334))/(U2335))))</f>
        <v>0</v>
      </c>
      <c r="V2359" s="1423">
        <f t="shared" ref="V2359" ca="1" si="3448">IF(AND(U2359&lt;1,V2333=0),0,
IF(V2333=0,U2359-1,
IF(U2359&lt;1,V2334,
(((U2359-1)*(U2335-(U2335/(U2359))))+(V2333*V2334))/(V2335))))</f>
        <v>0</v>
      </c>
      <c r="W2359" s="1423">
        <f t="shared" ref="W2359" ca="1" si="3449">IF(AND(V2359&lt;1,W2333=0),0,
IF(W2333=0,V2359-1,
IF(V2359&lt;1,W2334,
(((V2359-1)*(V2335-(V2335/(V2359))))+(W2333*W2334))/(W2335))))</f>
        <v>0</v>
      </c>
      <c r="X2359" s="152"/>
      <c r="Y2359" s="152"/>
      <c r="Z2359" s="152"/>
      <c r="AA2359" s="152"/>
      <c r="AB2359" s="152"/>
    </row>
    <row r="2360" spans="1:28" hidden="1" outlineLevel="1">
      <c r="A2360" s="152"/>
      <c r="B2360" s="190" t="s">
        <v>193</v>
      </c>
      <c r="C2360" s="1423">
        <f ca="1">C2332</f>
        <v>0</v>
      </c>
      <c r="D2360" s="1423">
        <f t="shared" ref="D2360" ca="1" si="3450">IF(C2360="n/a","n/a",MAX(0,C2360-1))</f>
        <v>0</v>
      </c>
      <c r="E2360" s="1423">
        <f t="shared" ref="E2360:E2361" ca="1" si="3451">IF(D2360="n/a","n/a",MAX(0,D2360-1))</f>
        <v>0</v>
      </c>
      <c r="F2360" s="1423">
        <f t="shared" ref="F2360:F2362" ca="1" si="3452">IF(E2360="n/a","n/a",MAX(0,E2360-1))</f>
        <v>0</v>
      </c>
      <c r="G2360" s="1423">
        <f t="shared" ref="G2360:G2363" ca="1" si="3453">IF(F2360="n/a","n/a",MAX(0,F2360-1))</f>
        <v>0</v>
      </c>
      <c r="H2360" s="1423">
        <f t="shared" ref="H2360:H2364" ca="1" si="3454">IF(G2360="n/a","n/a",MAX(0,G2360-1))</f>
        <v>0</v>
      </c>
      <c r="I2360" s="1423">
        <f t="shared" ref="I2360:I2365" ca="1" si="3455">IF(H2360="n/a","n/a",MAX(0,H2360-1))</f>
        <v>0</v>
      </c>
      <c r="J2360" s="1423">
        <f t="shared" ref="J2360:J2366" ca="1" si="3456">IF(I2360="n/a","n/a",MAX(0,I2360-1))</f>
        <v>0</v>
      </c>
      <c r="K2360" s="1423">
        <f t="shared" ref="K2360:K2367" ca="1" si="3457">IF(J2360="n/a","n/a",MAX(0,J2360-1))</f>
        <v>0</v>
      </c>
      <c r="L2360" s="1423">
        <f t="shared" ref="L2360:L2368" ca="1" si="3458">IF(K2360="n/a","n/a",MAX(0,K2360-1))</f>
        <v>0</v>
      </c>
      <c r="M2360" s="1423">
        <f t="shared" ref="M2360:M2369" ca="1" si="3459">IF(L2360="n/a","n/a",MAX(0,L2360-1))</f>
        <v>0</v>
      </c>
      <c r="N2360" s="1423">
        <f t="shared" ref="N2360:N2370" ca="1" si="3460">IF(M2360="n/a","n/a",MAX(0,M2360-1))</f>
        <v>0</v>
      </c>
      <c r="O2360" s="1423">
        <f t="shared" ref="O2360:O2371" ca="1" si="3461">IF(N2360="n/a","n/a",MAX(0,N2360-1))</f>
        <v>0</v>
      </c>
      <c r="P2360" s="1423">
        <f t="shared" ref="P2360:P2372" ca="1" si="3462">IF(O2360="n/a","n/a",MAX(0,O2360-1))</f>
        <v>0</v>
      </c>
      <c r="Q2360" s="1423">
        <f t="shared" ref="Q2360:Q2373" ca="1" si="3463">IF(P2360="n/a","n/a",MAX(0,P2360-1))</f>
        <v>0</v>
      </c>
      <c r="R2360" s="1423">
        <f t="shared" ref="R2360:R2374" ca="1" si="3464">IF(Q2360="n/a","n/a",MAX(0,Q2360-1))</f>
        <v>0</v>
      </c>
      <c r="S2360" s="1423">
        <f t="shared" ref="S2360:S2375" ca="1" si="3465">IF(R2360="n/a","n/a",MAX(0,R2360-1))</f>
        <v>0</v>
      </c>
      <c r="T2360" s="1423">
        <f t="shared" ref="T2360:T2376" ca="1" si="3466">IF(S2360="n/a","n/a",MAX(0,S2360-1))</f>
        <v>0</v>
      </c>
      <c r="U2360" s="1423">
        <f t="shared" ref="U2360:U2377" ca="1" si="3467">IF(T2360="n/a","n/a",MAX(0,T2360-1))</f>
        <v>0</v>
      </c>
      <c r="V2360" s="1423">
        <f t="shared" ref="V2360:V2378" ca="1" si="3468">IF(U2360="n/a","n/a",MAX(0,U2360-1))</f>
        <v>0</v>
      </c>
      <c r="W2360" s="1423">
        <f t="shared" ref="W2360:W2378" ca="1" si="3469">IF(V2360="n/a","n/a",MAX(0,V2360-1))</f>
        <v>0</v>
      </c>
      <c r="X2360" s="152"/>
      <c r="Y2360" s="152"/>
      <c r="Z2360" s="152"/>
      <c r="AA2360" s="152"/>
      <c r="AB2360" s="152"/>
    </row>
    <row r="2361" spans="1:28" hidden="1" outlineLevel="1">
      <c r="A2361" s="152"/>
      <c r="B2361" s="190" t="str">
        <f t="shared" ref="B2361:B2380" ca="1" si="3470">"RL Capex "&amp;OFFSET($C$6,0,A2337)</f>
        <v>RL Capex 2016-17</v>
      </c>
      <c r="C2361" s="1424"/>
      <c r="D2361" s="1428">
        <f>D2332</f>
        <v>0</v>
      </c>
      <c r="E2361" s="1423">
        <f t="shared" si="3451"/>
        <v>0</v>
      </c>
      <c r="F2361" s="1423">
        <f t="shared" si="3452"/>
        <v>0</v>
      </c>
      <c r="G2361" s="1423">
        <f t="shared" si="3453"/>
        <v>0</v>
      </c>
      <c r="H2361" s="1423">
        <f t="shared" si="3454"/>
        <v>0</v>
      </c>
      <c r="I2361" s="1423">
        <f t="shared" si="3455"/>
        <v>0</v>
      </c>
      <c r="J2361" s="1423">
        <f t="shared" si="3456"/>
        <v>0</v>
      </c>
      <c r="K2361" s="1423">
        <f t="shared" si="3457"/>
        <v>0</v>
      </c>
      <c r="L2361" s="1423">
        <f t="shared" si="3458"/>
        <v>0</v>
      </c>
      <c r="M2361" s="1423">
        <f t="shared" si="3459"/>
        <v>0</v>
      </c>
      <c r="N2361" s="1423">
        <f t="shared" si="3460"/>
        <v>0</v>
      </c>
      <c r="O2361" s="1423">
        <f t="shared" si="3461"/>
        <v>0</v>
      </c>
      <c r="P2361" s="1423">
        <f t="shared" si="3462"/>
        <v>0</v>
      </c>
      <c r="Q2361" s="1423">
        <f t="shared" si="3463"/>
        <v>0</v>
      </c>
      <c r="R2361" s="1423">
        <f t="shared" si="3464"/>
        <v>0</v>
      </c>
      <c r="S2361" s="1423">
        <f t="shared" si="3465"/>
        <v>0</v>
      </c>
      <c r="T2361" s="1423">
        <f t="shared" si="3466"/>
        <v>0</v>
      </c>
      <c r="U2361" s="1423">
        <f t="shared" si="3467"/>
        <v>0</v>
      </c>
      <c r="V2361" s="1423">
        <f t="shared" si="3468"/>
        <v>0</v>
      </c>
      <c r="W2361" s="1423">
        <f t="shared" si="3469"/>
        <v>0</v>
      </c>
      <c r="X2361" s="152"/>
      <c r="Y2361" s="152"/>
      <c r="Z2361" s="152"/>
      <c r="AA2361" s="152"/>
      <c r="AB2361" s="152"/>
    </row>
    <row r="2362" spans="1:28" hidden="1" outlineLevel="1">
      <c r="A2362" s="152"/>
      <c r="B2362" s="190" t="str">
        <f t="shared" ca="1" si="3470"/>
        <v>RL Capex 2017-18</v>
      </c>
      <c r="C2362" s="1429"/>
      <c r="D2362" s="1424"/>
      <c r="E2362" s="1428">
        <f>E2332</f>
        <v>0</v>
      </c>
      <c r="F2362" s="1423">
        <f t="shared" si="3452"/>
        <v>0</v>
      </c>
      <c r="G2362" s="1423">
        <f t="shared" si="3453"/>
        <v>0</v>
      </c>
      <c r="H2362" s="1423">
        <f t="shared" si="3454"/>
        <v>0</v>
      </c>
      <c r="I2362" s="1423">
        <f t="shared" si="3455"/>
        <v>0</v>
      </c>
      <c r="J2362" s="1423">
        <f t="shared" si="3456"/>
        <v>0</v>
      </c>
      <c r="K2362" s="1423">
        <f t="shared" si="3457"/>
        <v>0</v>
      </c>
      <c r="L2362" s="1423">
        <f t="shared" si="3458"/>
        <v>0</v>
      </c>
      <c r="M2362" s="1423">
        <f t="shared" si="3459"/>
        <v>0</v>
      </c>
      <c r="N2362" s="1423">
        <f t="shared" si="3460"/>
        <v>0</v>
      </c>
      <c r="O2362" s="1423">
        <f t="shared" si="3461"/>
        <v>0</v>
      </c>
      <c r="P2362" s="1423">
        <f t="shared" si="3462"/>
        <v>0</v>
      </c>
      <c r="Q2362" s="1423">
        <f t="shared" si="3463"/>
        <v>0</v>
      </c>
      <c r="R2362" s="1423">
        <f t="shared" si="3464"/>
        <v>0</v>
      </c>
      <c r="S2362" s="1423">
        <f t="shared" si="3465"/>
        <v>0</v>
      </c>
      <c r="T2362" s="1423">
        <f t="shared" si="3466"/>
        <v>0</v>
      </c>
      <c r="U2362" s="1423">
        <f t="shared" si="3467"/>
        <v>0</v>
      </c>
      <c r="V2362" s="1423">
        <f t="shared" si="3468"/>
        <v>0</v>
      </c>
      <c r="W2362" s="1423">
        <f t="shared" si="3469"/>
        <v>0</v>
      </c>
      <c r="X2362" s="152"/>
      <c r="Y2362" s="152"/>
      <c r="Z2362" s="152"/>
      <c r="AA2362" s="152"/>
      <c r="AB2362" s="152"/>
    </row>
    <row r="2363" spans="1:28" hidden="1" outlineLevel="1">
      <c r="A2363" s="152"/>
      <c r="B2363" s="190" t="str">
        <f t="shared" ca="1" si="3470"/>
        <v>RL Capex 2018-19</v>
      </c>
      <c r="C2363" s="1429"/>
      <c r="D2363" s="1429"/>
      <c r="E2363" s="1424"/>
      <c r="F2363" s="1428">
        <f>F2332</f>
        <v>0</v>
      </c>
      <c r="G2363" s="1423">
        <f t="shared" si="3453"/>
        <v>0</v>
      </c>
      <c r="H2363" s="1423">
        <f t="shared" si="3454"/>
        <v>0</v>
      </c>
      <c r="I2363" s="1423">
        <f t="shared" si="3455"/>
        <v>0</v>
      </c>
      <c r="J2363" s="1423">
        <f t="shared" si="3456"/>
        <v>0</v>
      </c>
      <c r="K2363" s="1423">
        <f t="shared" si="3457"/>
        <v>0</v>
      </c>
      <c r="L2363" s="1423">
        <f t="shared" si="3458"/>
        <v>0</v>
      </c>
      <c r="M2363" s="1423">
        <f t="shared" si="3459"/>
        <v>0</v>
      </c>
      <c r="N2363" s="1423">
        <f t="shared" si="3460"/>
        <v>0</v>
      </c>
      <c r="O2363" s="1423">
        <f t="shared" si="3461"/>
        <v>0</v>
      </c>
      <c r="P2363" s="1423">
        <f t="shared" si="3462"/>
        <v>0</v>
      </c>
      <c r="Q2363" s="1423">
        <f t="shared" si="3463"/>
        <v>0</v>
      </c>
      <c r="R2363" s="1423">
        <f t="shared" si="3464"/>
        <v>0</v>
      </c>
      <c r="S2363" s="1423">
        <f t="shared" si="3465"/>
        <v>0</v>
      </c>
      <c r="T2363" s="1423">
        <f t="shared" si="3466"/>
        <v>0</v>
      </c>
      <c r="U2363" s="1423">
        <f t="shared" si="3467"/>
        <v>0</v>
      </c>
      <c r="V2363" s="1423">
        <f t="shared" si="3468"/>
        <v>0</v>
      </c>
      <c r="W2363" s="1423">
        <f t="shared" si="3469"/>
        <v>0</v>
      </c>
      <c r="X2363" s="152"/>
      <c r="Y2363" s="152"/>
      <c r="Z2363" s="152"/>
      <c r="AA2363" s="152"/>
      <c r="AB2363" s="152"/>
    </row>
    <row r="2364" spans="1:28" hidden="1" outlineLevel="1">
      <c r="A2364" s="152"/>
      <c r="B2364" s="190" t="str">
        <f t="shared" ca="1" si="3470"/>
        <v>RL Capex 2019-20</v>
      </c>
      <c r="C2364" s="1429"/>
      <c r="D2364" s="1429"/>
      <c r="E2364" s="1429"/>
      <c r="F2364" s="1424"/>
      <c r="G2364" s="1428">
        <f>G2332</f>
        <v>0</v>
      </c>
      <c r="H2364" s="1423">
        <f t="shared" si="3454"/>
        <v>0</v>
      </c>
      <c r="I2364" s="1423">
        <f t="shared" si="3455"/>
        <v>0</v>
      </c>
      <c r="J2364" s="1423">
        <f t="shared" si="3456"/>
        <v>0</v>
      </c>
      <c r="K2364" s="1423">
        <f t="shared" si="3457"/>
        <v>0</v>
      </c>
      <c r="L2364" s="1423">
        <f t="shared" si="3458"/>
        <v>0</v>
      </c>
      <c r="M2364" s="1423">
        <f t="shared" si="3459"/>
        <v>0</v>
      </c>
      <c r="N2364" s="1423">
        <f t="shared" si="3460"/>
        <v>0</v>
      </c>
      <c r="O2364" s="1423">
        <f t="shared" si="3461"/>
        <v>0</v>
      </c>
      <c r="P2364" s="1423">
        <f t="shared" si="3462"/>
        <v>0</v>
      </c>
      <c r="Q2364" s="1423">
        <f t="shared" si="3463"/>
        <v>0</v>
      </c>
      <c r="R2364" s="1423">
        <f t="shared" si="3464"/>
        <v>0</v>
      </c>
      <c r="S2364" s="1423">
        <f t="shared" si="3465"/>
        <v>0</v>
      </c>
      <c r="T2364" s="1423">
        <f t="shared" si="3466"/>
        <v>0</v>
      </c>
      <c r="U2364" s="1423">
        <f t="shared" si="3467"/>
        <v>0</v>
      </c>
      <c r="V2364" s="1423">
        <f t="shared" si="3468"/>
        <v>0</v>
      </c>
      <c r="W2364" s="1423">
        <f t="shared" si="3469"/>
        <v>0</v>
      </c>
      <c r="X2364" s="152"/>
      <c r="Y2364" s="152"/>
      <c r="Z2364" s="152"/>
      <c r="AA2364" s="152"/>
      <c r="AB2364" s="152"/>
    </row>
    <row r="2365" spans="1:28" hidden="1" outlineLevel="1">
      <c r="A2365" s="152"/>
      <c r="B2365" s="190" t="str">
        <f t="shared" ca="1" si="3470"/>
        <v>RL Capex 2020-21</v>
      </c>
      <c r="C2365" s="1429"/>
      <c r="D2365" s="1429"/>
      <c r="E2365" s="1429"/>
      <c r="F2365" s="1429"/>
      <c r="G2365" s="1424"/>
      <c r="H2365" s="1428">
        <f>H2332</f>
        <v>0</v>
      </c>
      <c r="I2365" s="1423">
        <f t="shared" si="3455"/>
        <v>0</v>
      </c>
      <c r="J2365" s="1423">
        <f t="shared" si="3456"/>
        <v>0</v>
      </c>
      <c r="K2365" s="1423">
        <f t="shared" si="3457"/>
        <v>0</v>
      </c>
      <c r="L2365" s="1423">
        <f t="shared" si="3458"/>
        <v>0</v>
      </c>
      <c r="M2365" s="1423">
        <f t="shared" si="3459"/>
        <v>0</v>
      </c>
      <c r="N2365" s="1423">
        <f t="shared" si="3460"/>
        <v>0</v>
      </c>
      <c r="O2365" s="1423">
        <f t="shared" si="3461"/>
        <v>0</v>
      </c>
      <c r="P2365" s="1423">
        <f t="shared" si="3462"/>
        <v>0</v>
      </c>
      <c r="Q2365" s="1423">
        <f t="shared" si="3463"/>
        <v>0</v>
      </c>
      <c r="R2365" s="1423">
        <f t="shared" si="3464"/>
        <v>0</v>
      </c>
      <c r="S2365" s="1423">
        <f t="shared" si="3465"/>
        <v>0</v>
      </c>
      <c r="T2365" s="1423">
        <f t="shared" si="3466"/>
        <v>0</v>
      </c>
      <c r="U2365" s="1423">
        <f t="shared" si="3467"/>
        <v>0</v>
      </c>
      <c r="V2365" s="1423">
        <f t="shared" si="3468"/>
        <v>0</v>
      </c>
      <c r="W2365" s="1423">
        <f t="shared" si="3469"/>
        <v>0</v>
      </c>
      <c r="X2365" s="152"/>
      <c r="Y2365" s="152"/>
      <c r="Z2365" s="152"/>
      <c r="AA2365" s="152"/>
      <c r="AB2365" s="152"/>
    </row>
    <row r="2366" spans="1:28" hidden="1" outlineLevel="1">
      <c r="A2366" s="152"/>
      <c r="B2366" s="190" t="str">
        <f t="shared" ca="1" si="3470"/>
        <v>RL Capex 2021-22</v>
      </c>
      <c r="C2366" s="1429"/>
      <c r="D2366" s="1429"/>
      <c r="E2366" s="1429"/>
      <c r="F2366" s="1429"/>
      <c r="G2366" s="1429"/>
      <c r="H2366" s="1424"/>
      <c r="I2366" s="1428">
        <f>I2332</f>
        <v>0</v>
      </c>
      <c r="J2366" s="1423">
        <f t="shared" si="3456"/>
        <v>0</v>
      </c>
      <c r="K2366" s="1423">
        <f t="shared" si="3457"/>
        <v>0</v>
      </c>
      <c r="L2366" s="1423">
        <f t="shared" si="3458"/>
        <v>0</v>
      </c>
      <c r="M2366" s="1423">
        <f t="shared" si="3459"/>
        <v>0</v>
      </c>
      <c r="N2366" s="1423">
        <f t="shared" si="3460"/>
        <v>0</v>
      </c>
      <c r="O2366" s="1423">
        <f t="shared" si="3461"/>
        <v>0</v>
      </c>
      <c r="P2366" s="1423">
        <f t="shared" si="3462"/>
        <v>0</v>
      </c>
      <c r="Q2366" s="1423">
        <f t="shared" si="3463"/>
        <v>0</v>
      </c>
      <c r="R2366" s="1423">
        <f t="shared" si="3464"/>
        <v>0</v>
      </c>
      <c r="S2366" s="1423">
        <f t="shared" si="3465"/>
        <v>0</v>
      </c>
      <c r="T2366" s="1423">
        <f t="shared" si="3466"/>
        <v>0</v>
      </c>
      <c r="U2366" s="1423">
        <f t="shared" si="3467"/>
        <v>0</v>
      </c>
      <c r="V2366" s="1423">
        <f t="shared" si="3468"/>
        <v>0</v>
      </c>
      <c r="W2366" s="1423">
        <f t="shared" si="3469"/>
        <v>0</v>
      </c>
      <c r="X2366" s="152"/>
      <c r="Y2366" s="152"/>
      <c r="Z2366" s="152"/>
      <c r="AA2366" s="152"/>
      <c r="AB2366" s="152"/>
    </row>
    <row r="2367" spans="1:28" hidden="1" outlineLevel="1">
      <c r="A2367" s="152"/>
      <c r="B2367" s="190" t="str">
        <f t="shared" ca="1" si="3470"/>
        <v>RL Capex 2022-23</v>
      </c>
      <c r="C2367" s="1429"/>
      <c r="D2367" s="1429"/>
      <c r="E2367" s="1429"/>
      <c r="F2367" s="1429"/>
      <c r="G2367" s="1429"/>
      <c r="H2367" s="1429"/>
      <c r="I2367" s="1424"/>
      <c r="J2367" s="1428">
        <f>J2332</f>
        <v>0</v>
      </c>
      <c r="K2367" s="1423">
        <f t="shared" si="3457"/>
        <v>0</v>
      </c>
      <c r="L2367" s="1423">
        <f t="shared" si="3458"/>
        <v>0</v>
      </c>
      <c r="M2367" s="1423">
        <f t="shared" si="3459"/>
        <v>0</v>
      </c>
      <c r="N2367" s="1423">
        <f t="shared" si="3460"/>
        <v>0</v>
      </c>
      <c r="O2367" s="1423">
        <f t="shared" si="3461"/>
        <v>0</v>
      </c>
      <c r="P2367" s="1423">
        <f t="shared" si="3462"/>
        <v>0</v>
      </c>
      <c r="Q2367" s="1423">
        <f t="shared" si="3463"/>
        <v>0</v>
      </c>
      <c r="R2367" s="1423">
        <f t="shared" si="3464"/>
        <v>0</v>
      </c>
      <c r="S2367" s="1423">
        <f t="shared" si="3465"/>
        <v>0</v>
      </c>
      <c r="T2367" s="1423">
        <f t="shared" si="3466"/>
        <v>0</v>
      </c>
      <c r="U2367" s="1423">
        <f t="shared" si="3467"/>
        <v>0</v>
      </c>
      <c r="V2367" s="1423">
        <f t="shared" si="3468"/>
        <v>0</v>
      </c>
      <c r="W2367" s="1423">
        <f t="shared" si="3469"/>
        <v>0</v>
      </c>
      <c r="X2367" s="152"/>
      <c r="Y2367" s="152"/>
      <c r="Z2367" s="152"/>
      <c r="AA2367" s="152"/>
      <c r="AB2367" s="152"/>
    </row>
    <row r="2368" spans="1:28" hidden="1" outlineLevel="1">
      <c r="A2368" s="152"/>
      <c r="B2368" s="190" t="str">
        <f t="shared" ca="1" si="3470"/>
        <v>RL Capex 2023-24</v>
      </c>
      <c r="C2368" s="1429"/>
      <c r="D2368" s="1429"/>
      <c r="E2368" s="1429"/>
      <c r="F2368" s="1429"/>
      <c r="G2368" s="1429"/>
      <c r="H2368" s="1429"/>
      <c r="I2368" s="1429"/>
      <c r="J2368" s="1424"/>
      <c r="K2368" s="1428">
        <f>K2332</f>
        <v>0</v>
      </c>
      <c r="L2368" s="1423">
        <f t="shared" si="3458"/>
        <v>0</v>
      </c>
      <c r="M2368" s="1423">
        <f t="shared" si="3459"/>
        <v>0</v>
      </c>
      <c r="N2368" s="1423">
        <f t="shared" si="3460"/>
        <v>0</v>
      </c>
      <c r="O2368" s="1423">
        <f t="shared" si="3461"/>
        <v>0</v>
      </c>
      <c r="P2368" s="1423">
        <f t="shared" si="3462"/>
        <v>0</v>
      </c>
      <c r="Q2368" s="1423">
        <f t="shared" si="3463"/>
        <v>0</v>
      </c>
      <c r="R2368" s="1423">
        <f t="shared" si="3464"/>
        <v>0</v>
      </c>
      <c r="S2368" s="1423">
        <f t="shared" si="3465"/>
        <v>0</v>
      </c>
      <c r="T2368" s="1423">
        <f t="shared" si="3466"/>
        <v>0</v>
      </c>
      <c r="U2368" s="1423">
        <f t="shared" si="3467"/>
        <v>0</v>
      </c>
      <c r="V2368" s="1423">
        <f t="shared" si="3468"/>
        <v>0</v>
      </c>
      <c r="W2368" s="1423">
        <f t="shared" si="3469"/>
        <v>0</v>
      </c>
      <c r="X2368" s="152"/>
      <c r="Y2368" s="152"/>
      <c r="Z2368" s="152"/>
      <c r="AA2368" s="152"/>
      <c r="AB2368" s="152"/>
    </row>
    <row r="2369" spans="1:28" hidden="1" outlineLevel="1">
      <c r="A2369" s="152"/>
      <c r="B2369" s="190" t="str">
        <f t="shared" ca="1" si="3470"/>
        <v>RL Capex 2024-25</v>
      </c>
      <c r="C2369" s="1429"/>
      <c r="D2369" s="1429"/>
      <c r="E2369" s="1429"/>
      <c r="F2369" s="1429"/>
      <c r="G2369" s="1429"/>
      <c r="H2369" s="1429"/>
      <c r="I2369" s="1429"/>
      <c r="J2369" s="1429"/>
      <c r="K2369" s="1424"/>
      <c r="L2369" s="1428">
        <f>L2332</f>
        <v>0</v>
      </c>
      <c r="M2369" s="1423">
        <f t="shared" si="3459"/>
        <v>0</v>
      </c>
      <c r="N2369" s="1423">
        <f t="shared" si="3460"/>
        <v>0</v>
      </c>
      <c r="O2369" s="1423">
        <f t="shared" si="3461"/>
        <v>0</v>
      </c>
      <c r="P2369" s="1423">
        <f t="shared" si="3462"/>
        <v>0</v>
      </c>
      <c r="Q2369" s="1423">
        <f t="shared" si="3463"/>
        <v>0</v>
      </c>
      <c r="R2369" s="1423">
        <f t="shared" si="3464"/>
        <v>0</v>
      </c>
      <c r="S2369" s="1423">
        <f t="shared" si="3465"/>
        <v>0</v>
      </c>
      <c r="T2369" s="1423">
        <f t="shared" si="3466"/>
        <v>0</v>
      </c>
      <c r="U2369" s="1423">
        <f t="shared" si="3467"/>
        <v>0</v>
      </c>
      <c r="V2369" s="1423">
        <f t="shared" si="3468"/>
        <v>0</v>
      </c>
      <c r="W2369" s="1423">
        <f t="shared" si="3469"/>
        <v>0</v>
      </c>
      <c r="X2369" s="152"/>
      <c r="Y2369" s="152"/>
      <c r="Z2369" s="152"/>
      <c r="AA2369" s="152"/>
      <c r="AB2369" s="152"/>
    </row>
    <row r="2370" spans="1:28" hidden="1" outlineLevel="1">
      <c r="A2370" s="152"/>
      <c r="B2370" s="190" t="str">
        <f t="shared" ca="1" si="3470"/>
        <v>RL Capex 2025-26</v>
      </c>
      <c r="C2370" s="1429"/>
      <c r="D2370" s="1429"/>
      <c r="E2370" s="1429"/>
      <c r="F2370" s="1429"/>
      <c r="G2370" s="1429"/>
      <c r="H2370" s="1429"/>
      <c r="I2370" s="1429"/>
      <c r="J2370" s="1429"/>
      <c r="K2370" s="1429"/>
      <c r="L2370" s="1424"/>
      <c r="M2370" s="1428">
        <f>M2332</f>
        <v>0</v>
      </c>
      <c r="N2370" s="1423">
        <f t="shared" si="3460"/>
        <v>0</v>
      </c>
      <c r="O2370" s="1423">
        <f t="shared" si="3461"/>
        <v>0</v>
      </c>
      <c r="P2370" s="1423">
        <f t="shared" si="3462"/>
        <v>0</v>
      </c>
      <c r="Q2370" s="1423">
        <f t="shared" si="3463"/>
        <v>0</v>
      </c>
      <c r="R2370" s="1423">
        <f t="shared" si="3464"/>
        <v>0</v>
      </c>
      <c r="S2370" s="1423">
        <f t="shared" si="3465"/>
        <v>0</v>
      </c>
      <c r="T2370" s="1423">
        <f t="shared" si="3466"/>
        <v>0</v>
      </c>
      <c r="U2370" s="1423">
        <f t="shared" si="3467"/>
        <v>0</v>
      </c>
      <c r="V2370" s="1423">
        <f t="shared" si="3468"/>
        <v>0</v>
      </c>
      <c r="W2370" s="1423">
        <f t="shared" si="3469"/>
        <v>0</v>
      </c>
      <c r="X2370" s="152"/>
      <c r="Y2370" s="152"/>
      <c r="Z2370" s="152"/>
      <c r="AA2370" s="152"/>
      <c r="AB2370" s="152"/>
    </row>
    <row r="2371" spans="1:28" hidden="1" outlineLevel="1">
      <c r="A2371" s="152"/>
      <c r="B2371" s="190" t="str">
        <f t="shared" ca="1" si="3470"/>
        <v>RL Capex 2026-27</v>
      </c>
      <c r="C2371" s="1429"/>
      <c r="D2371" s="1429"/>
      <c r="E2371" s="1429"/>
      <c r="F2371" s="1429"/>
      <c r="G2371" s="1429"/>
      <c r="H2371" s="1429"/>
      <c r="I2371" s="1429"/>
      <c r="J2371" s="1429"/>
      <c r="K2371" s="1429"/>
      <c r="L2371" s="1429"/>
      <c r="M2371" s="1424"/>
      <c r="N2371" s="1428">
        <f>N2332</f>
        <v>0</v>
      </c>
      <c r="O2371" s="1423">
        <f t="shared" si="3461"/>
        <v>0</v>
      </c>
      <c r="P2371" s="1423">
        <f t="shared" si="3462"/>
        <v>0</v>
      </c>
      <c r="Q2371" s="1423">
        <f t="shared" si="3463"/>
        <v>0</v>
      </c>
      <c r="R2371" s="1423">
        <f t="shared" si="3464"/>
        <v>0</v>
      </c>
      <c r="S2371" s="1423">
        <f t="shared" si="3465"/>
        <v>0</v>
      </c>
      <c r="T2371" s="1423">
        <f t="shared" si="3466"/>
        <v>0</v>
      </c>
      <c r="U2371" s="1423">
        <f t="shared" si="3467"/>
        <v>0</v>
      </c>
      <c r="V2371" s="1423">
        <f t="shared" si="3468"/>
        <v>0</v>
      </c>
      <c r="W2371" s="1423">
        <f t="shared" si="3469"/>
        <v>0</v>
      </c>
      <c r="X2371" s="152"/>
      <c r="Y2371" s="152"/>
      <c r="Z2371" s="152"/>
      <c r="AA2371" s="152"/>
      <c r="AB2371" s="152"/>
    </row>
    <row r="2372" spans="1:28" hidden="1" outlineLevel="1">
      <c r="A2372" s="152"/>
      <c r="B2372" s="190" t="str">
        <f t="shared" ca="1" si="3470"/>
        <v>RL Capex 2027-28</v>
      </c>
      <c r="C2372" s="1429"/>
      <c r="D2372" s="1429"/>
      <c r="E2372" s="1429"/>
      <c r="F2372" s="1429"/>
      <c r="G2372" s="1429"/>
      <c r="H2372" s="1429"/>
      <c r="I2372" s="1429"/>
      <c r="J2372" s="1429"/>
      <c r="K2372" s="1429"/>
      <c r="L2372" s="1429"/>
      <c r="M2372" s="1429"/>
      <c r="N2372" s="1424"/>
      <c r="O2372" s="1428">
        <f>O2332</f>
        <v>0</v>
      </c>
      <c r="P2372" s="1423">
        <f t="shared" si="3462"/>
        <v>0</v>
      </c>
      <c r="Q2372" s="1423">
        <f t="shared" si="3463"/>
        <v>0</v>
      </c>
      <c r="R2372" s="1423">
        <f t="shared" si="3464"/>
        <v>0</v>
      </c>
      <c r="S2372" s="1423">
        <f t="shared" si="3465"/>
        <v>0</v>
      </c>
      <c r="T2372" s="1423">
        <f t="shared" si="3466"/>
        <v>0</v>
      </c>
      <c r="U2372" s="1423">
        <f t="shared" si="3467"/>
        <v>0</v>
      </c>
      <c r="V2372" s="1423">
        <f t="shared" si="3468"/>
        <v>0</v>
      </c>
      <c r="W2372" s="1423">
        <f t="shared" si="3469"/>
        <v>0</v>
      </c>
      <c r="X2372" s="152"/>
      <c r="Y2372" s="152"/>
      <c r="Z2372" s="152"/>
      <c r="AA2372" s="152"/>
      <c r="AB2372" s="152"/>
    </row>
    <row r="2373" spans="1:28" hidden="1" outlineLevel="1">
      <c r="A2373" s="152"/>
      <c r="B2373" s="190" t="str">
        <f t="shared" ca="1" si="3470"/>
        <v>RL Capex 2028-29</v>
      </c>
      <c r="C2373" s="1429"/>
      <c r="D2373" s="1429"/>
      <c r="E2373" s="1429"/>
      <c r="F2373" s="1429"/>
      <c r="G2373" s="1429"/>
      <c r="H2373" s="1429"/>
      <c r="I2373" s="1429"/>
      <c r="J2373" s="1429"/>
      <c r="K2373" s="1429"/>
      <c r="L2373" s="1429"/>
      <c r="M2373" s="1429"/>
      <c r="N2373" s="1429"/>
      <c r="O2373" s="1424"/>
      <c r="P2373" s="1428">
        <f>P2332</f>
        <v>0</v>
      </c>
      <c r="Q2373" s="1423">
        <f t="shared" si="3463"/>
        <v>0</v>
      </c>
      <c r="R2373" s="1423">
        <f t="shared" si="3464"/>
        <v>0</v>
      </c>
      <c r="S2373" s="1423">
        <f t="shared" si="3465"/>
        <v>0</v>
      </c>
      <c r="T2373" s="1423">
        <f t="shared" si="3466"/>
        <v>0</v>
      </c>
      <c r="U2373" s="1423">
        <f t="shared" si="3467"/>
        <v>0</v>
      </c>
      <c r="V2373" s="1423">
        <f t="shared" si="3468"/>
        <v>0</v>
      </c>
      <c r="W2373" s="1423">
        <f t="shared" si="3469"/>
        <v>0</v>
      </c>
      <c r="X2373" s="152"/>
      <c r="Y2373" s="152"/>
      <c r="Z2373" s="152"/>
      <c r="AA2373" s="152"/>
      <c r="AB2373" s="152"/>
    </row>
    <row r="2374" spans="1:28" hidden="1" outlineLevel="1">
      <c r="A2374" s="152"/>
      <c r="B2374" s="190" t="str">
        <f t="shared" ca="1" si="3470"/>
        <v>RL Capex 2029-30</v>
      </c>
      <c r="C2374" s="1429"/>
      <c r="D2374" s="1429"/>
      <c r="E2374" s="1429"/>
      <c r="F2374" s="1429"/>
      <c r="G2374" s="1429"/>
      <c r="H2374" s="1429"/>
      <c r="I2374" s="1429"/>
      <c r="J2374" s="1429"/>
      <c r="K2374" s="1429"/>
      <c r="L2374" s="1429"/>
      <c r="M2374" s="1429"/>
      <c r="N2374" s="1429"/>
      <c r="O2374" s="1429"/>
      <c r="P2374" s="1424"/>
      <c r="Q2374" s="1428">
        <f>Q2332</f>
        <v>0</v>
      </c>
      <c r="R2374" s="1423">
        <f t="shared" si="3464"/>
        <v>0</v>
      </c>
      <c r="S2374" s="1423">
        <f t="shared" si="3465"/>
        <v>0</v>
      </c>
      <c r="T2374" s="1423">
        <f t="shared" si="3466"/>
        <v>0</v>
      </c>
      <c r="U2374" s="1423">
        <f t="shared" si="3467"/>
        <v>0</v>
      </c>
      <c r="V2374" s="1423">
        <f t="shared" si="3468"/>
        <v>0</v>
      </c>
      <c r="W2374" s="1423">
        <f t="shared" si="3469"/>
        <v>0</v>
      </c>
      <c r="X2374" s="152"/>
      <c r="Y2374" s="152"/>
      <c r="Z2374" s="152"/>
      <c r="AA2374" s="152"/>
      <c r="AB2374" s="152"/>
    </row>
    <row r="2375" spans="1:28" hidden="1" outlineLevel="1">
      <c r="A2375" s="152"/>
      <c r="B2375" s="190" t="str">
        <f t="shared" ca="1" si="3470"/>
        <v>RL Capex 2030-31</v>
      </c>
      <c r="C2375" s="1429"/>
      <c r="D2375" s="1429"/>
      <c r="E2375" s="1429"/>
      <c r="F2375" s="1429"/>
      <c r="G2375" s="1429"/>
      <c r="H2375" s="1429"/>
      <c r="I2375" s="1429"/>
      <c r="J2375" s="1429"/>
      <c r="K2375" s="1429"/>
      <c r="L2375" s="1429"/>
      <c r="M2375" s="1429"/>
      <c r="N2375" s="1429"/>
      <c r="O2375" s="1429"/>
      <c r="P2375" s="1429"/>
      <c r="Q2375" s="1424"/>
      <c r="R2375" s="1428">
        <f>R2332</f>
        <v>0</v>
      </c>
      <c r="S2375" s="1423">
        <f t="shared" si="3465"/>
        <v>0</v>
      </c>
      <c r="T2375" s="1423">
        <f t="shared" si="3466"/>
        <v>0</v>
      </c>
      <c r="U2375" s="1423">
        <f t="shared" si="3467"/>
        <v>0</v>
      </c>
      <c r="V2375" s="1423">
        <f t="shared" si="3468"/>
        <v>0</v>
      </c>
      <c r="W2375" s="1423">
        <f t="shared" si="3469"/>
        <v>0</v>
      </c>
      <c r="X2375" s="152"/>
      <c r="Y2375" s="152"/>
      <c r="Z2375" s="152"/>
      <c r="AA2375" s="152"/>
      <c r="AB2375" s="152"/>
    </row>
    <row r="2376" spans="1:28" hidden="1" outlineLevel="1">
      <c r="A2376" s="152"/>
      <c r="B2376" s="190" t="str">
        <f t="shared" ca="1" si="3470"/>
        <v>RL Capex 2031-32</v>
      </c>
      <c r="C2376" s="1429"/>
      <c r="D2376" s="1429"/>
      <c r="E2376" s="1429"/>
      <c r="F2376" s="1429"/>
      <c r="G2376" s="1429"/>
      <c r="H2376" s="1429"/>
      <c r="I2376" s="1429"/>
      <c r="J2376" s="1429"/>
      <c r="K2376" s="1429"/>
      <c r="L2376" s="1429"/>
      <c r="M2376" s="1429"/>
      <c r="N2376" s="1429"/>
      <c r="O2376" s="1429"/>
      <c r="P2376" s="1429"/>
      <c r="Q2376" s="1429"/>
      <c r="R2376" s="1424"/>
      <c r="S2376" s="1428">
        <f>S2332</f>
        <v>0</v>
      </c>
      <c r="T2376" s="1423">
        <f t="shared" si="3466"/>
        <v>0</v>
      </c>
      <c r="U2376" s="1423">
        <f t="shared" si="3467"/>
        <v>0</v>
      </c>
      <c r="V2376" s="1423">
        <f t="shared" si="3468"/>
        <v>0</v>
      </c>
      <c r="W2376" s="1423">
        <f t="shared" si="3469"/>
        <v>0</v>
      </c>
      <c r="X2376" s="152"/>
      <c r="Y2376" s="152"/>
      <c r="Z2376" s="152"/>
      <c r="AA2376" s="152"/>
      <c r="AB2376" s="152"/>
    </row>
    <row r="2377" spans="1:28" hidden="1" outlineLevel="1">
      <c r="A2377" s="152"/>
      <c r="B2377" s="190" t="str">
        <f t="shared" ca="1" si="3470"/>
        <v>RL Capex 2032-33</v>
      </c>
      <c r="C2377" s="1429"/>
      <c r="D2377" s="1429"/>
      <c r="E2377" s="1429"/>
      <c r="F2377" s="1429"/>
      <c r="G2377" s="1429"/>
      <c r="H2377" s="1429"/>
      <c r="I2377" s="1429"/>
      <c r="J2377" s="1429"/>
      <c r="K2377" s="1429"/>
      <c r="L2377" s="1429"/>
      <c r="M2377" s="1429"/>
      <c r="N2377" s="1429"/>
      <c r="O2377" s="1429"/>
      <c r="P2377" s="1429"/>
      <c r="Q2377" s="1429"/>
      <c r="R2377" s="1429"/>
      <c r="S2377" s="1424"/>
      <c r="T2377" s="1428">
        <f>T2332</f>
        <v>0</v>
      </c>
      <c r="U2377" s="1423">
        <f t="shared" si="3467"/>
        <v>0</v>
      </c>
      <c r="V2377" s="1423">
        <f t="shared" si="3468"/>
        <v>0</v>
      </c>
      <c r="W2377" s="1423">
        <f t="shared" si="3469"/>
        <v>0</v>
      </c>
      <c r="X2377" s="152"/>
      <c r="Y2377" s="152"/>
      <c r="Z2377" s="152"/>
      <c r="AA2377" s="152"/>
      <c r="AB2377" s="152"/>
    </row>
    <row r="2378" spans="1:28" hidden="1" outlineLevel="1">
      <c r="A2378" s="152"/>
      <c r="B2378" s="190" t="str">
        <f t="shared" ca="1" si="3470"/>
        <v>RL Capex 2033-34</v>
      </c>
      <c r="C2378" s="1429"/>
      <c r="D2378" s="1429"/>
      <c r="E2378" s="1429"/>
      <c r="F2378" s="1429"/>
      <c r="G2378" s="1429"/>
      <c r="H2378" s="1429"/>
      <c r="I2378" s="1429"/>
      <c r="J2378" s="1429"/>
      <c r="K2378" s="1429"/>
      <c r="L2378" s="1429"/>
      <c r="M2378" s="1429"/>
      <c r="N2378" s="1429"/>
      <c r="O2378" s="1429"/>
      <c r="P2378" s="1429"/>
      <c r="Q2378" s="1429"/>
      <c r="R2378" s="1429"/>
      <c r="S2378" s="1429"/>
      <c r="T2378" s="1424"/>
      <c r="U2378" s="1428">
        <f>U2332</f>
        <v>0</v>
      </c>
      <c r="V2378" s="1423">
        <f t="shared" si="3468"/>
        <v>0</v>
      </c>
      <c r="W2378" s="1423">
        <f t="shared" si="3469"/>
        <v>0</v>
      </c>
      <c r="X2378" s="152"/>
      <c r="Y2378" s="152"/>
      <c r="Z2378" s="152"/>
      <c r="AA2378" s="152"/>
      <c r="AB2378" s="152"/>
    </row>
    <row r="2379" spans="1:28" hidden="1" outlineLevel="1">
      <c r="A2379" s="152"/>
      <c r="B2379" s="190" t="str">
        <f t="shared" ca="1" si="3470"/>
        <v>RL Capex 2034-35</v>
      </c>
      <c r="C2379" s="1429"/>
      <c r="D2379" s="1429"/>
      <c r="E2379" s="1429"/>
      <c r="F2379" s="1429"/>
      <c r="G2379" s="1429"/>
      <c r="H2379" s="1429"/>
      <c r="I2379" s="1429"/>
      <c r="J2379" s="1429"/>
      <c r="K2379" s="1429"/>
      <c r="L2379" s="1429"/>
      <c r="M2379" s="1429"/>
      <c r="N2379" s="1429"/>
      <c r="O2379" s="1429"/>
      <c r="P2379" s="1429"/>
      <c r="Q2379" s="1429"/>
      <c r="R2379" s="1429"/>
      <c r="S2379" s="1429"/>
      <c r="T2379" s="1429"/>
      <c r="U2379" s="1424"/>
      <c r="V2379" s="1428">
        <f>V2332</f>
        <v>0</v>
      </c>
      <c r="W2379" s="1423">
        <f>IF(V2379="n/a","n/a",MAX(0,V2379-1))</f>
        <v>0</v>
      </c>
      <c r="X2379" s="152"/>
      <c r="Y2379" s="152"/>
      <c r="Z2379" s="152"/>
      <c r="AA2379" s="152"/>
      <c r="AB2379" s="152"/>
    </row>
    <row r="2380" spans="1:28" hidden="1" outlineLevel="1">
      <c r="A2380" s="152"/>
      <c r="B2380" s="190" t="str">
        <f t="shared" ca="1" si="3470"/>
        <v>RL Capex 2035-36</v>
      </c>
      <c r="C2380" s="1429"/>
      <c r="D2380" s="1429"/>
      <c r="E2380" s="1429"/>
      <c r="F2380" s="1429"/>
      <c r="G2380" s="1429"/>
      <c r="H2380" s="1429"/>
      <c r="I2380" s="1429"/>
      <c r="J2380" s="1429"/>
      <c r="K2380" s="1429"/>
      <c r="L2380" s="1429"/>
      <c r="M2380" s="1429"/>
      <c r="N2380" s="1429"/>
      <c r="O2380" s="1429"/>
      <c r="P2380" s="1429"/>
      <c r="Q2380" s="1429"/>
      <c r="R2380" s="1429"/>
      <c r="S2380" s="1429"/>
      <c r="T2380" s="1429"/>
      <c r="U2380" s="1429"/>
      <c r="V2380" s="1424"/>
      <c r="W2380" s="1423">
        <f>W2332</f>
        <v>0</v>
      </c>
      <c r="X2380" s="152"/>
      <c r="Y2380" s="152"/>
      <c r="Z2380" s="152"/>
      <c r="AA2380" s="152"/>
      <c r="AB2380" s="152"/>
    </row>
    <row r="2381" spans="1:28" hidden="1" outlineLevel="1">
      <c r="A2381" s="152"/>
      <c r="B2381" s="200"/>
      <c r="C2381" s="1423"/>
      <c r="D2381" s="1423"/>
      <c r="E2381" s="1423"/>
      <c r="F2381" s="1423"/>
      <c r="G2381" s="1423"/>
      <c r="H2381" s="1423"/>
      <c r="I2381" s="1423"/>
      <c r="J2381" s="1423"/>
      <c r="K2381" s="1423"/>
      <c r="L2381" s="1423"/>
      <c r="M2381" s="1423"/>
      <c r="N2381" s="1423"/>
      <c r="O2381" s="1423"/>
      <c r="P2381" s="1423"/>
      <c r="Q2381" s="1423"/>
      <c r="R2381" s="1423"/>
      <c r="S2381" s="1423"/>
      <c r="T2381" s="1423"/>
      <c r="U2381" s="1423"/>
      <c r="V2381" s="1423"/>
      <c r="W2381" s="1423"/>
      <c r="X2381" s="152"/>
      <c r="Y2381" s="152"/>
      <c r="Z2381" s="152"/>
      <c r="AA2381" s="152"/>
      <c r="AB2381" s="152"/>
    </row>
    <row r="2382" spans="1:28" collapsed="1">
      <c r="A2382" s="194"/>
      <c r="B2382" s="204" t="s">
        <v>123</v>
      </c>
      <c r="C2382" s="1430">
        <f ca="1">(IF(OR($C2332&lt;&gt;"n/a",C2332&lt;&gt;"n/a"),IF(SUM(C2335:C2357)=0,0,IF((SUMPRODUCT(C2335:C2357,C2359:C2381)/SUM(C2335:C2357))&lt;0,1,(SUMPRODUCT(C2335:C2357,C2359:C2381)/SUM(C2335:C2357)))),"n/a"))</f>
        <v>0</v>
      </c>
      <c r="D2382" s="1430">
        <f ca="1">(IF(OR($C2332&lt;&gt;"n/a",D2332&lt;&gt;"n/a"),IF(SUM(D2335:D2357)=0,0,IF((SUMPRODUCT(D2335:D2357,D2359:D2381)/SUM(D2335:D2357))&lt;0,1,(SUMPRODUCT(D2335:D2357,D2359:D2381)/SUM(D2335:D2357)))),"n/a"))</f>
        <v>0</v>
      </c>
      <c r="E2382" s="1430">
        <f t="shared" ref="E2382:W2382" ca="1" si="3471">(IF(OR($C2332&lt;&gt;"n/a",E2332&lt;&gt;"n/a"),IF(SUM(E2335:E2357)=0,0,IF((SUMPRODUCT(E2335:E2357,E2359:E2381)/SUM(E2335:E2357))&lt;0,1,(SUMPRODUCT(E2335:E2357,E2359:E2381)/SUM(E2335:E2357)))),"n/a"))</f>
        <v>0</v>
      </c>
      <c r="F2382" s="1430">
        <f t="shared" ca="1" si="3471"/>
        <v>0</v>
      </c>
      <c r="G2382" s="1430">
        <f t="shared" ca="1" si="3471"/>
        <v>0</v>
      </c>
      <c r="H2382" s="1430">
        <f t="shared" ca="1" si="3471"/>
        <v>0</v>
      </c>
      <c r="I2382" s="1430">
        <f t="shared" ca="1" si="3471"/>
        <v>0</v>
      </c>
      <c r="J2382" s="1430">
        <f t="shared" ca="1" si="3471"/>
        <v>0</v>
      </c>
      <c r="K2382" s="1430">
        <f t="shared" ca="1" si="3471"/>
        <v>0</v>
      </c>
      <c r="L2382" s="1430">
        <f t="shared" ca="1" si="3471"/>
        <v>0</v>
      </c>
      <c r="M2382" s="1430">
        <f t="shared" ca="1" si="3471"/>
        <v>0</v>
      </c>
      <c r="N2382" s="1430">
        <f t="shared" ca="1" si="3471"/>
        <v>0</v>
      </c>
      <c r="O2382" s="1430">
        <f t="shared" ca="1" si="3471"/>
        <v>0</v>
      </c>
      <c r="P2382" s="1430">
        <f t="shared" ca="1" si="3471"/>
        <v>0</v>
      </c>
      <c r="Q2382" s="1430">
        <f t="shared" ca="1" si="3471"/>
        <v>0</v>
      </c>
      <c r="R2382" s="1430">
        <f t="shared" ca="1" si="3471"/>
        <v>0</v>
      </c>
      <c r="S2382" s="1430">
        <f t="shared" ca="1" si="3471"/>
        <v>0</v>
      </c>
      <c r="T2382" s="1430">
        <f t="shared" ca="1" si="3471"/>
        <v>0</v>
      </c>
      <c r="U2382" s="1430">
        <f t="shared" ca="1" si="3471"/>
        <v>0</v>
      </c>
      <c r="V2382" s="1430">
        <f t="shared" ca="1" si="3471"/>
        <v>0</v>
      </c>
      <c r="W2382" s="1430">
        <f t="shared" ca="1" si="3471"/>
        <v>0</v>
      </c>
      <c r="X2382" s="152"/>
      <c r="Y2382" s="152"/>
      <c r="Z2382" s="152"/>
      <c r="AA2382" s="152"/>
      <c r="AB2382" s="152"/>
    </row>
    <row r="2383" spans="1:28">
      <c r="A2383" s="152"/>
      <c r="B2383" s="152"/>
      <c r="C2383" s="1423"/>
      <c r="D2383" s="1423"/>
      <c r="E2383" s="1423"/>
      <c r="F2383" s="1423"/>
      <c r="G2383" s="1423"/>
      <c r="H2383" s="1423"/>
      <c r="I2383" s="1423"/>
      <c r="J2383" s="1423"/>
      <c r="K2383" s="1423"/>
      <c r="L2383" s="1423"/>
      <c r="M2383" s="1423"/>
      <c r="N2383" s="1423"/>
      <c r="O2383" s="1423"/>
      <c r="P2383" s="1423"/>
      <c r="Q2383" s="1423"/>
      <c r="R2383" s="1423"/>
      <c r="S2383" s="1423"/>
      <c r="T2383" s="1423"/>
      <c r="U2383" s="1423"/>
      <c r="V2383" s="1423"/>
      <c r="W2383" s="1423"/>
      <c r="X2383" s="152"/>
      <c r="Y2383" s="152"/>
      <c r="Z2383" s="152"/>
      <c r="AA2383" s="152"/>
      <c r="AB2383" s="152"/>
    </row>
    <row r="2384" spans="1:28">
      <c r="A2384" s="269" t="s">
        <v>111</v>
      </c>
      <c r="B2384" s="270">
        <f>VLOOKUP($A2384,'RFM input'!$E$7:$F$56,2,FALSE)</f>
        <v>0</v>
      </c>
      <c r="C2384" s="1431"/>
      <c r="D2384" s="1431"/>
      <c r="E2384" s="1432"/>
      <c r="F2384" s="1432"/>
      <c r="G2384" s="1432"/>
      <c r="H2384" s="1432"/>
      <c r="I2384" s="1432"/>
      <c r="J2384" s="1432"/>
      <c r="K2384" s="1432"/>
      <c r="L2384" s="1432"/>
      <c r="M2384" s="1432"/>
      <c r="N2384" s="1432"/>
      <c r="O2384" s="1432"/>
      <c r="P2384" s="1432"/>
      <c r="Q2384" s="1432"/>
      <c r="R2384" s="1432"/>
      <c r="S2384" s="1432"/>
      <c r="T2384" s="1432"/>
      <c r="U2384" s="1432"/>
      <c r="V2384" s="1432"/>
      <c r="W2384" s="1432"/>
      <c r="X2384" s="152"/>
      <c r="Y2384" s="152"/>
      <c r="Z2384" s="152"/>
      <c r="AA2384" s="152"/>
      <c r="AB2384" s="152"/>
    </row>
    <row r="2385" spans="1:28">
      <c r="A2385" s="215">
        <f>VALUE(REPLACE(A2384,1,12,""))</f>
        <v>45</v>
      </c>
      <c r="B2385" s="193" t="s">
        <v>126</v>
      </c>
      <c r="C2385" s="1416">
        <f ca="1">IF($D$6='TAB roll forward'!$H$4,OFFSET('TAB roll forward'!$H$7,A2385,0),"enter input")</f>
        <v>0</v>
      </c>
      <c r="D2385" s="1417">
        <f>IF(LEFT(D$6,4)&lt;LEFT('RFM input'!$G$60,4),"enter input",IF(LEFT(D$6,4)&gt;LEFT('RFM input'!$Q$60,4),0,
INDEX('RFM input'!$G$61:$Q$110,$A2385,MATCH(D$6,'RFM input'!$G$60:$Q$60,0))
   -INDEX('RFM input'!$G$115:$Q$164,$A2385,MATCH(D$6,'RFM input'!$G$60:$Q$60,0))))</f>
        <v>0</v>
      </c>
      <c r="E2385" s="1417">
        <f>IF(LEFT(E$6,4)&lt;LEFT('RFM input'!$G$60,4),"enter input",IF(LEFT(E$6,4)&gt;LEFT('RFM input'!$Q$60,4),0,
INDEX('RFM input'!$G$61:$Q$110,$A2385,MATCH(E$6,'RFM input'!$G$60:$Q$60,0))
   -INDEX('RFM input'!$G$115:$Q$164,$A2385,MATCH(E$6,'RFM input'!$G$60:$Q$60,0))))</f>
        <v>0</v>
      </c>
      <c r="F2385" s="1417">
        <f>IF(LEFT(F$6,4)&lt;LEFT('RFM input'!$G$60,4),"enter input",IF(LEFT(F$6,4)&gt;LEFT('RFM input'!$Q$60,4),0,
INDEX('RFM input'!$G$61:$Q$110,$A2385,MATCH(F$6,'RFM input'!$G$60:$Q$60,0))
   -INDEX('RFM input'!$G$115:$Q$164,$A2385,MATCH(F$6,'RFM input'!$G$60:$Q$60,0))))</f>
        <v>0</v>
      </c>
      <c r="G2385" s="1417">
        <f>IF(LEFT(G$6,4)&lt;LEFT('RFM input'!$G$60,4),"enter input",IF(LEFT(G$6,4)&gt;LEFT('RFM input'!$Q$60,4),0,
INDEX('RFM input'!$G$61:$Q$110,$A2385,MATCH(G$6,'RFM input'!$G$60:$Q$60,0))
   -INDEX('RFM input'!$G$115:$Q$164,$A2385,MATCH(G$6,'RFM input'!$G$60:$Q$60,0))))</f>
        <v>0</v>
      </c>
      <c r="H2385" s="1417">
        <f>IF(LEFT(H$6,4)&lt;LEFT('RFM input'!$G$60,4),"enter input",IF(LEFT(H$6,4)&gt;LEFT('RFM input'!$Q$60,4),0,
INDEX('RFM input'!$G$61:$Q$110,$A2385,MATCH(H$6,'RFM input'!$G$60:$Q$60,0))
   -INDEX('RFM input'!$G$115:$Q$164,$A2385,MATCH(H$6,'RFM input'!$G$60:$Q$60,0))))</f>
        <v>0</v>
      </c>
      <c r="I2385" s="1417">
        <f>IF(LEFT(I$6,4)&lt;LEFT('RFM input'!$G$60,4),"enter input",IF(LEFT(I$6,4)&gt;LEFT('RFM input'!$Q$60,4),0,
INDEX('RFM input'!$G$61:$Q$110,$A2385,MATCH(I$6,'RFM input'!$G$60:$Q$60,0))
   -INDEX('RFM input'!$G$115:$Q$164,$A2385,MATCH(I$6,'RFM input'!$G$60:$Q$60,0))))</f>
        <v>0</v>
      </c>
      <c r="J2385" s="1417">
        <f>IF(LEFT(J$6,4)&lt;LEFT('RFM input'!$G$60,4),"enter input",IF(LEFT(J$6,4)&gt;LEFT('RFM input'!$Q$60,4),0,
INDEX('RFM input'!$G$61:$Q$110,$A2385,MATCH(J$6,'RFM input'!$G$60:$Q$60,0))
   -INDEX('RFM input'!$G$115:$Q$164,$A2385,MATCH(J$6,'RFM input'!$G$60:$Q$60,0))))</f>
        <v>0</v>
      </c>
      <c r="K2385" s="1417">
        <f>IF(LEFT(K$6,4)&lt;LEFT('RFM input'!$G$60,4),"enter input",IF(LEFT(K$6,4)&gt;LEFT('RFM input'!$Q$60,4),0,
INDEX('RFM input'!$G$61:$Q$110,$A2385,MATCH(K$6,'RFM input'!$G$60:$Q$60,0))
   -INDEX('RFM input'!$G$115:$Q$164,$A2385,MATCH(K$6,'RFM input'!$G$60:$Q$60,0))))</f>
        <v>0</v>
      </c>
      <c r="L2385" s="1417">
        <f>IF(LEFT(L$6,4)&lt;LEFT('RFM input'!$G$60,4),"enter input",IF(LEFT(L$6,4)&gt;LEFT('RFM input'!$Q$60,4),0,
INDEX('RFM input'!$G$61:$Q$110,$A2385,MATCH(L$6,'RFM input'!$G$60:$Q$60,0))
   -INDEX('RFM input'!$G$115:$Q$164,$A2385,MATCH(L$6,'RFM input'!$G$60:$Q$60,0))))</f>
        <v>0</v>
      </c>
      <c r="M2385" s="1417">
        <f>IF(LEFT(M$6,4)&lt;LEFT('RFM input'!$G$60,4),"enter input",IF(LEFT(M$6,4)&gt;LEFT('RFM input'!$Q$60,4),0,
INDEX('RFM input'!$G$61:$Q$110,$A2385,MATCH(M$6,'RFM input'!$G$60:$Q$60,0))
   -INDEX('RFM input'!$G$115:$Q$164,$A2385,MATCH(M$6,'RFM input'!$G$60:$Q$60,0))))</f>
        <v>0</v>
      </c>
      <c r="N2385" s="1417">
        <f>IF(LEFT(N$6,4)&lt;LEFT('RFM input'!$G$60,4),"enter input",IF(LEFT(N$6,4)&gt;LEFT('RFM input'!$Q$60,4),0,
INDEX('RFM input'!$G$61:$Q$110,$A2385,MATCH(N$6,'RFM input'!$G$60:$Q$60,0))
   -INDEX('RFM input'!$G$115:$Q$164,$A2385,MATCH(N$6,'RFM input'!$G$60:$Q$60,0))))</f>
        <v>0</v>
      </c>
      <c r="O2385" s="1417">
        <f>IF(LEFT(O$6,4)&lt;LEFT('RFM input'!$G$60,4),"enter input",IF(LEFT(O$6,4)&gt;LEFT('RFM input'!$Q$60,4),0,
INDEX('RFM input'!$G$61:$Q$110,$A2385,MATCH(O$6,'RFM input'!$G$60:$Q$60,0))
   -INDEX('RFM input'!$G$115:$Q$164,$A2385,MATCH(O$6,'RFM input'!$G$60:$Q$60,0))))</f>
        <v>0</v>
      </c>
      <c r="P2385" s="1417">
        <f>IF(LEFT(P$6,4)&lt;LEFT('RFM input'!$G$60,4),"enter input",IF(LEFT(P$6,4)&gt;LEFT('RFM input'!$Q$60,4),0,
INDEX('RFM input'!$G$61:$Q$110,$A2385,MATCH(P$6,'RFM input'!$G$60:$Q$60,0))
   -INDEX('RFM input'!$G$115:$Q$164,$A2385,MATCH(P$6,'RFM input'!$G$60:$Q$60,0))))</f>
        <v>0</v>
      </c>
      <c r="Q2385" s="1417">
        <f>IF(LEFT(Q$6,4)&lt;LEFT('RFM input'!$G$60,4),"enter input",IF(LEFT(Q$6,4)&gt;LEFT('RFM input'!$Q$60,4),0,
INDEX('RFM input'!$G$61:$Q$110,$A2385,MATCH(Q$6,'RFM input'!$G$60:$Q$60,0))
   -INDEX('RFM input'!$G$115:$Q$164,$A2385,MATCH(Q$6,'RFM input'!$G$60:$Q$60,0))))</f>
        <v>0</v>
      </c>
      <c r="R2385" s="1417">
        <f>IF(LEFT(R$6,4)&lt;LEFT('RFM input'!$G$60,4),"enter input",IF(LEFT(R$6,4)&gt;LEFT('RFM input'!$Q$60,4),0,
INDEX('RFM input'!$G$61:$Q$110,$A2385,MATCH(R$6,'RFM input'!$G$60:$Q$60,0))
   -INDEX('RFM input'!$G$115:$Q$164,$A2385,MATCH(R$6,'RFM input'!$G$60:$Q$60,0))))</f>
        <v>0</v>
      </c>
      <c r="S2385" s="1417">
        <f>IF(LEFT(S$6,4)&lt;LEFT('RFM input'!$G$60,4),"enter input",IF(LEFT(S$6,4)&gt;LEFT('RFM input'!$Q$60,4),0,
INDEX('RFM input'!$G$61:$Q$110,$A2385,MATCH(S$6,'RFM input'!$G$60:$Q$60,0))
   -INDEX('RFM input'!$G$115:$Q$164,$A2385,MATCH(S$6,'RFM input'!$G$60:$Q$60,0))))</f>
        <v>0</v>
      </c>
      <c r="T2385" s="1417">
        <f>IF(LEFT(T$6,4)&lt;LEFT('RFM input'!$G$60,4),"enter input",IF(LEFT(T$6,4)&gt;LEFT('RFM input'!$Q$60,4),0,
INDEX('RFM input'!$G$61:$Q$110,$A2385,MATCH(T$6,'RFM input'!$G$60:$Q$60,0))
   -INDEX('RFM input'!$G$115:$Q$164,$A2385,MATCH(T$6,'RFM input'!$G$60:$Q$60,0))))</f>
        <v>0</v>
      </c>
      <c r="U2385" s="1417">
        <f>IF(LEFT(U$6,4)&lt;LEFT('RFM input'!$G$60,4),"enter input",IF(LEFT(U$6,4)&gt;LEFT('RFM input'!$Q$60,4),0,
INDEX('RFM input'!$G$61:$Q$110,$A2385,MATCH(U$6,'RFM input'!$G$60:$Q$60,0))
   -INDEX('RFM input'!$G$115:$Q$164,$A2385,MATCH(U$6,'RFM input'!$G$60:$Q$60,0))))</f>
        <v>0</v>
      </c>
      <c r="V2385" s="1417">
        <f>IF(LEFT(V$6,4)&lt;LEFT('RFM input'!$G$60,4),"enter input",IF(LEFT(V$6,4)&gt;LEFT('RFM input'!$Q$60,4),0,
INDEX('RFM input'!$G$61:$Q$110,$A2385,MATCH(V$6,'RFM input'!$G$60:$Q$60,0))
   -INDEX('RFM input'!$G$115:$Q$164,$A2385,MATCH(V$6,'RFM input'!$G$60:$Q$60,0))))</f>
        <v>0</v>
      </c>
      <c r="W2385" s="1417">
        <f>IF(LEFT(W$6,4)&lt;LEFT('RFM input'!$G$60,4),"enter input",IF(LEFT(W$6,4)&gt;LEFT('RFM input'!$Q$60,4),0,
INDEX('RFM input'!$G$61:$Q$110,$A2385,MATCH(W$6,'RFM input'!$G$60:$Q$60,0))
   -INDEX('RFM input'!$G$115:$Q$164,$A2385,MATCH(W$6,'RFM input'!$G$60:$Q$60,0))))</f>
        <v>0</v>
      </c>
      <c r="X2385" s="152"/>
      <c r="Y2385" s="152"/>
      <c r="Z2385" s="152"/>
      <c r="AA2385" s="152"/>
      <c r="AB2385" s="152"/>
    </row>
    <row r="2386" spans="1:28">
      <c r="A2386" s="152"/>
      <c r="B2386" s="152" t="s">
        <v>205</v>
      </c>
      <c r="C2386" s="1418">
        <f ca="1">IF($D$6='TAB roll forward'!$H$4,OFFSET('RFM input'!$S$6,$A2385,0),"enter input")</f>
        <v>0</v>
      </c>
      <c r="D2386" s="1417">
        <f>IF(LEFT(D$6,4)&lt;=LEFT('RFM input'!$G$60,4),"enter input",IF(LEFT(D$6,4)&gt;LEFT('RFM input'!$Q$60,4),0,
IF(MATCH(D$6,'RFM input'!$H$60:$Q$60,0),INDEX('RFM input'!$T$7:$T$56,$A2385,1,1))))</f>
        <v>0</v>
      </c>
      <c r="E2386" s="1417">
        <f>IF(LEFT(E$6,4)&lt;=LEFT('RFM input'!$G$60,4),"enter input",IF(LEFT(E$6,4)&gt;LEFT('RFM input'!$Q$60,4),0,
IF(MATCH(E$6,'RFM input'!$H$60:$Q$60,0),INDEX('RFM input'!$T$7:$T$56,$A2385,1,1))))</f>
        <v>0</v>
      </c>
      <c r="F2386" s="1417">
        <f>IF(LEFT(F$6,4)&lt;=LEFT('RFM input'!$G$60,4),"enter input",IF(LEFT(F$6,4)&gt;LEFT('RFM input'!$Q$60,4),0,
IF(MATCH(F$6,'RFM input'!$H$60:$Q$60,0),INDEX('RFM input'!$T$7:$T$56,$A2385,1,1))))</f>
        <v>0</v>
      </c>
      <c r="G2386" s="1417">
        <f>IF(LEFT(G$6,4)&lt;=LEFT('RFM input'!$G$60,4),"enter input",IF(LEFT(G$6,4)&gt;LEFT('RFM input'!$Q$60,4),0,
IF(MATCH(G$6,'RFM input'!$H$60:$Q$60,0),INDEX('RFM input'!$T$7:$T$56,$A2385,1,1))))</f>
        <v>0</v>
      </c>
      <c r="H2386" s="1417">
        <f>IF(LEFT(H$6,4)&lt;=LEFT('RFM input'!$G$60,4),"enter input",IF(LEFT(H$6,4)&gt;LEFT('RFM input'!$Q$60,4),0,
IF(MATCH(H$6,'RFM input'!$H$60:$Q$60,0),INDEX('RFM input'!$T$7:$T$56,$A2385,1,1))))</f>
        <v>0</v>
      </c>
      <c r="I2386" s="1417">
        <f>IF(LEFT(I$6,4)&lt;=LEFT('RFM input'!$G$60,4),"enter input",IF(LEFT(I$6,4)&gt;LEFT('RFM input'!$Q$60,4),0,
IF(MATCH(I$6,'RFM input'!$H$60:$Q$60,0),INDEX('RFM input'!$T$7:$T$56,$A2385,1,1))))</f>
        <v>0</v>
      </c>
      <c r="J2386" s="1417">
        <f>IF(LEFT(J$6,4)&lt;=LEFT('RFM input'!$G$60,4),"enter input",IF(LEFT(J$6,4)&gt;LEFT('RFM input'!$Q$60,4),0,
IF(MATCH(J$6,'RFM input'!$H$60:$Q$60,0),INDEX('RFM input'!$T$7:$T$56,$A2385,1,1))))</f>
        <v>0</v>
      </c>
      <c r="K2386" s="1417">
        <f>IF(LEFT(K$6,4)&lt;=LEFT('RFM input'!$G$60,4),"enter input",IF(LEFT(K$6,4)&gt;LEFT('RFM input'!$Q$60,4),0,
IF(MATCH(K$6,'RFM input'!$H$60:$Q$60,0),INDEX('RFM input'!$T$7:$T$56,$A2385,1,1))))</f>
        <v>0</v>
      </c>
      <c r="L2386" s="1417">
        <f>IF(LEFT(L$6,4)&lt;=LEFT('RFM input'!$G$60,4),"enter input",IF(LEFT(L$6,4)&gt;LEFT('RFM input'!$Q$60,4),0,
IF(MATCH(L$6,'RFM input'!$H$60:$Q$60,0),INDEX('RFM input'!$T$7:$T$56,$A2385,1,1))))</f>
        <v>0</v>
      </c>
      <c r="M2386" s="1417">
        <f>IF(LEFT(M$6,4)&lt;=LEFT('RFM input'!$G$60,4),"enter input",IF(LEFT(M$6,4)&gt;LEFT('RFM input'!$Q$60,4),0,
IF(MATCH(M$6,'RFM input'!$H$60:$Q$60,0),INDEX('RFM input'!$T$7:$T$56,$A2385,1,1))))</f>
        <v>0</v>
      </c>
      <c r="N2386" s="1417">
        <f>IF(LEFT(N$6,4)&lt;=LEFT('RFM input'!$G$60,4),"enter input",IF(LEFT(N$6,4)&gt;LEFT('RFM input'!$Q$60,4),0,
IF(MATCH(N$6,'RFM input'!$H$60:$Q$60,0),INDEX('RFM input'!$T$7:$T$56,$A2385,1,1))))</f>
        <v>0</v>
      </c>
      <c r="O2386" s="1417">
        <f>IF(LEFT(O$6,4)&lt;=LEFT('RFM input'!$G$60,4),"enter input",IF(LEFT(O$6,4)&gt;LEFT('RFM input'!$Q$60,4),0,
IF(MATCH(O$6,'RFM input'!$H$60:$Q$60,0),INDEX('RFM input'!$T$7:$T$56,$A2385,1,1))))</f>
        <v>0</v>
      </c>
      <c r="P2386" s="1417">
        <f>IF(LEFT(P$6,4)&lt;=LEFT('RFM input'!$G$60,4),"enter input",IF(LEFT(P$6,4)&gt;LEFT('RFM input'!$Q$60,4),0,
IF(MATCH(P$6,'RFM input'!$H$60:$Q$60,0),INDEX('RFM input'!$T$7:$T$56,$A2385,1,1))))</f>
        <v>0</v>
      </c>
      <c r="Q2386" s="1417">
        <f>IF(LEFT(Q$6,4)&lt;=LEFT('RFM input'!$G$60,4),"enter input",IF(LEFT(Q$6,4)&gt;LEFT('RFM input'!$Q$60,4),0,
IF(MATCH(Q$6,'RFM input'!$H$60:$Q$60,0),INDEX('RFM input'!$T$7:$T$56,$A2385,1,1))))</f>
        <v>0</v>
      </c>
      <c r="R2386" s="1417">
        <f>IF(LEFT(R$6,4)&lt;=LEFT('RFM input'!$G$60,4),"enter input",IF(LEFT(R$6,4)&gt;LEFT('RFM input'!$Q$60,4),0,
IF(MATCH(R$6,'RFM input'!$H$60:$Q$60,0),INDEX('RFM input'!$T$7:$T$56,$A2385,1,1))))</f>
        <v>0</v>
      </c>
      <c r="S2386" s="1417">
        <f>IF(LEFT(S$6,4)&lt;=LEFT('RFM input'!$G$60,4),"enter input",IF(LEFT(S$6,4)&gt;LEFT('RFM input'!$Q$60,4),0,
IF(MATCH(S$6,'RFM input'!$H$60:$Q$60,0),INDEX('RFM input'!$T$7:$T$56,$A2385,1,1))))</f>
        <v>0</v>
      </c>
      <c r="T2386" s="1417">
        <f>IF(LEFT(T$6,4)&lt;=LEFT('RFM input'!$G$60,4),"enter input",IF(LEFT(T$6,4)&gt;LEFT('RFM input'!$Q$60,4),0,
IF(MATCH(T$6,'RFM input'!$H$60:$Q$60,0),INDEX('RFM input'!$T$7:$T$56,$A2385,1,1))))</f>
        <v>0</v>
      </c>
      <c r="U2386" s="1417">
        <f>IF(LEFT(U$6,4)&lt;=LEFT('RFM input'!$G$60,4),"enter input",IF(LEFT(U$6,4)&gt;LEFT('RFM input'!$Q$60,4),0,
IF(MATCH(U$6,'RFM input'!$H$60:$Q$60,0),INDEX('RFM input'!$T$7:$T$56,$A2385,1,1))))</f>
        <v>0</v>
      </c>
      <c r="V2386" s="1417">
        <f>IF(LEFT(V$6,4)&lt;=LEFT('RFM input'!$G$60,4),"enter input",IF(LEFT(V$6,4)&gt;LEFT('RFM input'!$Q$60,4),0,
IF(MATCH(V$6,'RFM input'!$H$60:$Q$60,0),INDEX('RFM input'!$T$7:$T$56,$A2385,1,1))))</f>
        <v>0</v>
      </c>
      <c r="W2386" s="1417">
        <f>IF(LEFT(W$6,4)&lt;=LEFT('RFM input'!$G$60,4),"enter input",IF(LEFT(W$6,4)&gt;LEFT('RFM input'!$Q$60,4),0,
IF(MATCH(W$6,'RFM input'!$H$60:$Q$60,0),INDEX('RFM input'!$T$7:$T$56,$A2385,1,1))))</f>
        <v>0</v>
      </c>
      <c r="X2386" s="152"/>
      <c r="Y2386" s="152"/>
      <c r="Z2386" s="152"/>
      <c r="AA2386" s="152"/>
      <c r="AB2386" s="152"/>
    </row>
    <row r="2387" spans="1:28">
      <c r="A2387" s="152"/>
      <c r="B2387" s="193" t="s">
        <v>192</v>
      </c>
      <c r="C2387" s="1419"/>
      <c r="D2387" s="1420">
        <f ca="1">IF(LEFT(D$6,4)&lt;=LEFT('RFM input'!$G$60,4),"enter input",IF(LEFT(D$6,4)&gt;LEFT('RFM input'!$Q$60,4),0,
IF(D$6=(OFFSET('RFM input'!$G$60,0,'RFM input'!$V$7)),OFFSET('RFM input'!$H$411,$A2385,0),0)))</f>
        <v>0</v>
      </c>
      <c r="E2387" s="1417">
        <f ca="1">IF(LEFT(E$6,4)&lt;=LEFT('RFM input'!$G$60,4),"enter input",IF(LEFT(E$6,4)&gt;LEFT('RFM input'!$Q$60,4),0,
IF(E$6=(OFFSET('RFM input'!$G$60,0,'RFM input'!$V$7)),OFFSET('RFM input'!$H$411,$A2385,0),0)))</f>
        <v>0</v>
      </c>
      <c r="F2387" s="1417">
        <f ca="1">IF(LEFT(F$6,4)&lt;=LEFT('RFM input'!$G$60,4),"enter input",IF(LEFT(F$6,4)&gt;LEFT('RFM input'!$Q$60,4),0,
IF(F$6=(OFFSET('RFM input'!$G$60,0,'RFM input'!$V$7)),OFFSET('RFM input'!$H$411,$A2385,0),0)))</f>
        <v>0</v>
      </c>
      <c r="G2387" s="1417">
        <f ca="1">IF(LEFT(G$6,4)&lt;=LEFT('RFM input'!$G$60,4),"enter input",IF(LEFT(G$6,4)&gt;LEFT('RFM input'!$Q$60,4),0,
IF(G$6=(OFFSET('RFM input'!$G$60,0,'RFM input'!$V$7)),OFFSET('RFM input'!$H$411,$A2385,0),0)))</f>
        <v>0</v>
      </c>
      <c r="H2387" s="1417">
        <f ca="1">IF(LEFT(H$6,4)&lt;=LEFT('RFM input'!$G$60,4),"enter input",IF(LEFT(H$6,4)&gt;LEFT('RFM input'!$Q$60,4),0,
IF(H$6=(OFFSET('RFM input'!$G$60,0,'RFM input'!$V$7)),OFFSET('RFM input'!$H$411,$A2385,0),0)))</f>
        <v>0</v>
      </c>
      <c r="I2387" s="1417">
        <f ca="1">IF(LEFT(I$6,4)&lt;=LEFT('RFM input'!$G$60,4),"enter input",IF(LEFT(I$6,4)&gt;LEFT('RFM input'!$Q$60,4),0,
IF(I$6=(OFFSET('RFM input'!$G$60,0,'RFM input'!$V$7)),OFFSET('RFM input'!$H$411,$A2385,0),0)))</f>
        <v>0</v>
      </c>
      <c r="J2387" s="1417">
        <f ca="1">IF(LEFT(J$6,4)&lt;=LEFT('RFM input'!$G$60,4),"enter input",IF(LEFT(J$6,4)&gt;LEFT('RFM input'!$Q$60,4),0,
IF(J$6=(OFFSET('RFM input'!$G$60,0,'RFM input'!$V$7)),OFFSET('RFM input'!$H$411,$A2385,0),0)))</f>
        <v>0</v>
      </c>
      <c r="K2387" s="1417">
        <f ca="1">IF(LEFT(K$6,4)&lt;=LEFT('RFM input'!$G$60,4),"enter input",IF(LEFT(K$6,4)&gt;LEFT('RFM input'!$Q$60,4),0,
IF(K$6=(OFFSET('RFM input'!$G$60,0,'RFM input'!$V$7)),OFFSET('RFM input'!$H$411,$A2385,0),0)))</f>
        <v>0</v>
      </c>
      <c r="L2387" s="1417">
        <f ca="1">IF(LEFT(L$6,4)&lt;=LEFT('RFM input'!$G$60,4),"enter input",IF(LEFT(L$6,4)&gt;LEFT('RFM input'!$Q$60,4),0,
IF(L$6=(OFFSET('RFM input'!$G$60,0,'RFM input'!$V$7)),OFFSET('RFM input'!$H$411,$A2385,0),0)))</f>
        <v>0</v>
      </c>
      <c r="M2387" s="1417">
        <f ca="1">IF(LEFT(M$6,4)&lt;=LEFT('RFM input'!$G$60,4),"enter input",IF(LEFT(M$6,4)&gt;LEFT('RFM input'!$Q$60,4),0,
IF(M$6=(OFFSET('RFM input'!$G$60,0,'RFM input'!$V$7)),OFFSET('RFM input'!$H$411,$A2385,0),0)))</f>
        <v>0</v>
      </c>
      <c r="N2387" s="1417">
        <f ca="1">IF(LEFT(N$6,4)&lt;=LEFT('RFM input'!$G$60,4),"enter input",IF(LEFT(N$6,4)&gt;LEFT('RFM input'!$Q$60,4),0,
IF(N$6=(OFFSET('RFM input'!$G$60,0,'RFM input'!$V$7)),OFFSET('RFM input'!$H$411,$A2385,0),0)))</f>
        <v>0</v>
      </c>
      <c r="O2387" s="1417">
        <f ca="1">IF(LEFT(O$6,4)&lt;=LEFT('RFM input'!$G$60,4),"enter input",IF(LEFT(O$6,4)&gt;LEFT('RFM input'!$Q$60,4),0,
IF(O$6=(OFFSET('RFM input'!$G$60,0,'RFM input'!$V$7)),OFFSET('RFM input'!$H$411,$A2385,0),0)))</f>
        <v>0</v>
      </c>
      <c r="P2387" s="1417">
        <f ca="1">IF(LEFT(P$6,4)&lt;=LEFT('RFM input'!$G$60,4),"enter input",IF(LEFT(P$6,4)&gt;LEFT('RFM input'!$Q$60,4),0,
IF(P$6=(OFFSET('RFM input'!$G$60,0,'RFM input'!$V$7)),OFFSET('RFM input'!$H$411,$A2385,0),0)))</f>
        <v>0</v>
      </c>
      <c r="Q2387" s="1417">
        <f ca="1">IF(LEFT(Q$6,4)&lt;=LEFT('RFM input'!$G$60,4),"enter input",IF(LEFT(Q$6,4)&gt;LEFT('RFM input'!$Q$60,4),0,
IF(Q$6=(OFFSET('RFM input'!$G$60,0,'RFM input'!$V$7)),OFFSET('RFM input'!$H$411,$A2385,0),0)))</f>
        <v>0</v>
      </c>
      <c r="R2387" s="1417">
        <f ca="1">IF(LEFT(R$6,4)&lt;=LEFT('RFM input'!$G$60,4),"enter input",IF(LEFT(R$6,4)&gt;LEFT('RFM input'!$Q$60,4),0,
IF(R$6=(OFFSET('RFM input'!$G$60,0,'RFM input'!$V$7)),OFFSET('RFM input'!$H$411,$A2385,0),0)))</f>
        <v>0</v>
      </c>
      <c r="S2387" s="1417">
        <f ca="1">IF(LEFT(S$6,4)&lt;=LEFT('RFM input'!$G$60,4),"enter input",IF(LEFT(S$6,4)&gt;LEFT('RFM input'!$Q$60,4),0,
IF(S$6=(OFFSET('RFM input'!$G$60,0,'RFM input'!$V$7)),OFFSET('RFM input'!$H$411,$A2385,0),0)))</f>
        <v>0</v>
      </c>
      <c r="T2387" s="1417">
        <f ca="1">IF(LEFT(T$6,4)&lt;=LEFT('RFM input'!$G$60,4),"enter input",IF(LEFT(T$6,4)&gt;LEFT('RFM input'!$Q$60,4),0,
IF(T$6=(OFFSET('RFM input'!$G$60,0,'RFM input'!$V$7)),OFFSET('RFM input'!$H$411,$A2385,0),0)))</f>
        <v>0</v>
      </c>
      <c r="U2387" s="1417">
        <f ca="1">IF(LEFT(U$6,4)&lt;=LEFT('RFM input'!$G$60,4),"enter input",IF(LEFT(U$6,4)&gt;LEFT('RFM input'!$Q$60,4),0,
IF(U$6=(OFFSET('RFM input'!$G$60,0,'RFM input'!$V$7)),OFFSET('RFM input'!$H$411,$A2385,0),0)))</f>
        <v>0</v>
      </c>
      <c r="V2387" s="1417">
        <f ca="1">IF(LEFT(V$6,4)&lt;=LEFT('RFM input'!$G$60,4),"enter input",IF(LEFT(V$6,4)&gt;LEFT('RFM input'!$Q$60,4),0,
IF(V$6=(OFFSET('RFM input'!$G$60,0,'RFM input'!$V$7)),OFFSET('RFM input'!$H$411,$A2385,0),0)))</f>
        <v>0</v>
      </c>
      <c r="W2387" s="1417">
        <f ca="1">IF(LEFT(W$6,4)&lt;=LEFT('RFM input'!$G$60,4),"enter input",IF(LEFT(W$6,4)&gt;LEFT('RFM input'!$Q$60,4),0,
IF(W$6=(OFFSET('RFM input'!$G$60,0,'RFM input'!$V$7)),OFFSET('RFM input'!$H$411,$A2385,0),0)))</f>
        <v>0</v>
      </c>
      <c r="X2387" s="152"/>
      <c r="Y2387" s="152"/>
      <c r="Z2387" s="152"/>
      <c r="AA2387" s="152"/>
      <c r="AB2387" s="152"/>
    </row>
    <row r="2388" spans="1:28">
      <c r="A2388" s="152"/>
      <c r="B2388" s="193" t="s">
        <v>200</v>
      </c>
      <c r="C2388" s="1419"/>
      <c r="D2388" s="1418">
        <f ca="1">IF(LEFT(D$6,4)&lt;=LEFT('RFM input'!$G$60,4),"enter input",IF(LEFT(D$6,4)&gt;LEFT('RFM input'!$Q$60,4),0,
IF(D$6=(OFFSET('RFM input'!$G$60,0,'RFM input'!$V$7)),OFFSET('RFM input'!$J$411,$A2385,0),0)))</f>
        <v>0</v>
      </c>
      <c r="E2388" s="1422">
        <f ca="1">IF(LEFT(E$6,4)&lt;=LEFT('RFM input'!$G$60,4),"enter input",IF(LEFT(E$6,4)&gt;LEFT('RFM input'!$Q$60,4),0,
IF(E$6=(OFFSET('RFM input'!$G$60,0,'RFM input'!$V$7)),OFFSET('RFM input'!$J$411,$A2385,0),0)))</f>
        <v>0</v>
      </c>
      <c r="F2388" s="1422">
        <f ca="1">IF(LEFT(F$6,4)&lt;=LEFT('RFM input'!$G$60,4),"enter input",IF(LEFT(F$6,4)&gt;LEFT('RFM input'!$Q$60,4),0,
IF(F$6=(OFFSET('RFM input'!$G$60,0,'RFM input'!$V$7)),OFFSET('RFM input'!$J$411,$A2385,0),0)))</f>
        <v>0</v>
      </c>
      <c r="G2388" s="1422">
        <f ca="1">IF(LEFT(G$6,4)&lt;=LEFT('RFM input'!$G$60,4),"enter input",IF(LEFT(G$6,4)&gt;LEFT('RFM input'!$Q$60,4),0,
IF(G$6=(OFFSET('RFM input'!$G$60,0,'RFM input'!$V$7)),OFFSET('RFM input'!$J$411,$A2385,0),0)))</f>
        <v>0</v>
      </c>
      <c r="H2388" s="1422">
        <f ca="1">IF(LEFT(H$6,4)&lt;=LEFT('RFM input'!$G$60,4),"enter input",IF(LEFT(H$6,4)&gt;LEFT('RFM input'!$Q$60,4),0,
IF(H$6=(OFFSET('RFM input'!$G$60,0,'RFM input'!$V$7)),OFFSET('RFM input'!$J$411,$A2385,0),0)))</f>
        <v>0</v>
      </c>
      <c r="I2388" s="1422">
        <f ca="1">IF(LEFT(I$6,4)&lt;=LEFT('RFM input'!$G$60,4),"enter input",IF(LEFT(I$6,4)&gt;LEFT('RFM input'!$Q$60,4),0,
IF(I$6=(OFFSET('RFM input'!$G$60,0,'RFM input'!$V$7)),OFFSET('RFM input'!$J$411,$A2385,0),0)))</f>
        <v>0</v>
      </c>
      <c r="J2388" s="1422">
        <f ca="1">IF(LEFT(J$6,4)&lt;=LEFT('RFM input'!$G$60,4),"enter input",IF(LEFT(J$6,4)&gt;LEFT('RFM input'!$Q$60,4),0,
IF(J$6=(OFFSET('RFM input'!$G$60,0,'RFM input'!$V$7)),OFFSET('RFM input'!$J$411,$A2385,0),0)))</f>
        <v>0</v>
      </c>
      <c r="K2388" s="1422">
        <f ca="1">IF(LEFT(K$6,4)&lt;=LEFT('RFM input'!$G$60,4),"enter input",IF(LEFT(K$6,4)&gt;LEFT('RFM input'!$Q$60,4),0,
IF(K$6=(OFFSET('RFM input'!$G$60,0,'RFM input'!$V$7)),OFFSET('RFM input'!$J$411,$A2385,0),0)))</f>
        <v>0</v>
      </c>
      <c r="L2388" s="1422">
        <f ca="1">IF(LEFT(L$6,4)&lt;=LEFT('RFM input'!$G$60,4),"enter input",IF(LEFT(L$6,4)&gt;LEFT('RFM input'!$Q$60,4),0,
IF(L$6=(OFFSET('RFM input'!$G$60,0,'RFM input'!$V$7)),OFFSET('RFM input'!$J$411,$A2385,0),0)))</f>
        <v>0</v>
      </c>
      <c r="M2388" s="1422">
        <f ca="1">IF(LEFT(M$6,4)&lt;=LEFT('RFM input'!$G$60,4),"enter input",IF(LEFT(M$6,4)&gt;LEFT('RFM input'!$Q$60,4),0,
IF(M$6=(OFFSET('RFM input'!$G$60,0,'RFM input'!$V$7)),OFFSET('RFM input'!$J$411,$A2385,0),0)))</f>
        <v>0</v>
      </c>
      <c r="N2388" s="1422">
        <f ca="1">IF(LEFT(N$6,4)&lt;=LEFT('RFM input'!$G$60,4),"enter input",IF(LEFT(N$6,4)&gt;LEFT('RFM input'!$Q$60,4),0,
IF(N$6=(OFFSET('RFM input'!$G$60,0,'RFM input'!$V$7)),OFFSET('RFM input'!$J$411,$A2385,0),0)))</f>
        <v>0</v>
      </c>
      <c r="O2388" s="1422">
        <f ca="1">IF(LEFT(O$6,4)&lt;=LEFT('RFM input'!$G$60,4),"enter input",IF(LEFT(O$6,4)&gt;LEFT('RFM input'!$Q$60,4),0,
IF(O$6=(OFFSET('RFM input'!$G$60,0,'RFM input'!$V$7)),OFFSET('RFM input'!$J$411,$A2385,0),0)))</f>
        <v>0</v>
      </c>
      <c r="P2388" s="1422">
        <f ca="1">IF(LEFT(P$6,4)&lt;=LEFT('RFM input'!$G$60,4),"enter input",IF(LEFT(P$6,4)&gt;LEFT('RFM input'!$Q$60,4),0,
IF(P$6=(OFFSET('RFM input'!$G$60,0,'RFM input'!$V$7)),OFFSET('RFM input'!$J$411,$A2385,0),0)))</f>
        <v>0</v>
      </c>
      <c r="Q2388" s="1422">
        <f ca="1">IF(LEFT(Q$6,4)&lt;=LEFT('RFM input'!$G$60,4),"enter input",IF(LEFT(Q$6,4)&gt;LEFT('RFM input'!$Q$60,4),0,
IF(Q$6=(OFFSET('RFM input'!$G$60,0,'RFM input'!$V$7)),OFFSET('RFM input'!$J$411,$A2385,0),0)))</f>
        <v>0</v>
      </c>
      <c r="R2388" s="1422">
        <f ca="1">IF(LEFT(R$6,4)&lt;=LEFT('RFM input'!$G$60,4),"enter input",IF(LEFT(R$6,4)&gt;LEFT('RFM input'!$Q$60,4),0,
IF(R$6=(OFFSET('RFM input'!$G$60,0,'RFM input'!$V$7)),OFFSET('RFM input'!$J$411,$A2385,0),0)))</f>
        <v>0</v>
      </c>
      <c r="S2388" s="1422">
        <f ca="1">IF(LEFT(S$6,4)&lt;=LEFT('RFM input'!$G$60,4),"enter input",IF(LEFT(S$6,4)&gt;LEFT('RFM input'!$Q$60,4),0,
IF(S$6=(OFFSET('RFM input'!$G$60,0,'RFM input'!$V$7)),OFFSET('RFM input'!$J$411,$A2385,0),0)))</f>
        <v>0</v>
      </c>
      <c r="T2388" s="1422">
        <f ca="1">IF(LEFT(T$6,4)&lt;=LEFT('RFM input'!$G$60,4),"enter input",IF(LEFT(T$6,4)&gt;LEFT('RFM input'!$Q$60,4),0,
IF(T$6=(OFFSET('RFM input'!$G$60,0,'RFM input'!$V$7)),OFFSET('RFM input'!$J$411,$A2385,0),0)))</f>
        <v>0</v>
      </c>
      <c r="U2388" s="1422">
        <f ca="1">IF(LEFT(U$6,4)&lt;=LEFT('RFM input'!$G$60,4),"enter input",IF(LEFT(U$6,4)&gt;LEFT('RFM input'!$Q$60,4),0,
IF(U$6=(OFFSET('RFM input'!$G$60,0,'RFM input'!$V$7)),OFFSET('RFM input'!$J$411,$A2385,0),0)))</f>
        <v>0</v>
      </c>
      <c r="V2388" s="1422">
        <f ca="1">IF(LEFT(V$6,4)&lt;=LEFT('RFM input'!$G$60,4),"enter input",IF(LEFT(V$6,4)&gt;LEFT('RFM input'!$Q$60,4),0,
IF(V$6=(OFFSET('RFM input'!$G$60,0,'RFM input'!$V$7)),OFFSET('RFM input'!$J$411,$A2385,0),0)))</f>
        <v>0</v>
      </c>
      <c r="W2388" s="1422">
        <f ca="1">IF(LEFT(W$6,4)&lt;=LEFT('RFM input'!$G$60,4),"enter input",IF(LEFT(W$6,4)&gt;LEFT('RFM input'!$Q$60,4),0,
IF(W$6=(OFFSET('RFM input'!$G$60,0,'RFM input'!$V$7)),OFFSET('RFM input'!$J$411,$A2385,0),0)))</f>
        <v>0</v>
      </c>
      <c r="X2388" s="152"/>
      <c r="Y2388" s="152"/>
      <c r="Z2388" s="152"/>
      <c r="AA2388" s="152"/>
      <c r="AB2388" s="152"/>
    </row>
    <row r="2389" spans="1:28" hidden="1" outlineLevel="1">
      <c r="A2389" s="235">
        <v>-1</v>
      </c>
      <c r="B2389" s="190" t="s">
        <v>195</v>
      </c>
      <c r="C2389" s="1423"/>
      <c r="D2389" s="1423">
        <f t="shared" ref="D2389" ca="1" si="3472">IF(AND(D2387=0,C2389=0),0,
IF(AND(D2387&lt;&gt;0,C2389=0),D2387,
IF(AND(D2388&lt;&gt;0,C2389&lt;&gt;0),(C2389-(C2389/C2413))+D2387,
IF(C2413&lt;1,0,(C2389-(C2389/C2413))))))</f>
        <v>0</v>
      </c>
      <c r="E2389" s="1423">
        <f t="shared" ref="E2389" ca="1" si="3473">IF(AND(E2387=0,D2389=0),0,
IF(AND(E2387&lt;&gt;0,D2389=0),E2387,
IF(AND(E2388&lt;&gt;0,D2389&lt;&gt;0),(D2389-(D2389/D2413))+E2387,
IF(D2413&lt;1,0,(D2389-(D2389/D2413))))))</f>
        <v>0</v>
      </c>
      <c r="F2389" s="1423">
        <f t="shared" ref="F2389" ca="1" si="3474">IF(AND(F2387=0,E2389=0),0,
IF(AND(F2387&lt;&gt;0,E2389=0),F2387,
IF(AND(F2388&lt;&gt;0,E2389&lt;&gt;0),(E2389-(E2389/E2413))+F2387,
IF(E2413&lt;1,0,(E2389-(E2389/E2413))))))</f>
        <v>0</v>
      </c>
      <c r="G2389" s="1423">
        <f t="shared" ref="G2389" ca="1" si="3475">IF(AND(G2387=0,F2389=0),0,
IF(AND(G2387&lt;&gt;0,F2389=0),G2387,
IF(AND(G2388&lt;&gt;0,F2389&lt;&gt;0),(F2389-(F2389/F2413))+G2387,
IF(F2413&lt;1,0,(F2389-(F2389/F2413))))))</f>
        <v>0</v>
      </c>
      <c r="H2389" s="1423">
        <f ca="1">IF(AND(H2387=0,G2389=0),0,
IF(AND(H2387&lt;&gt;0,G2389=0),H2387,
IF(AND(H2388&lt;&gt;0,G2389&lt;&gt;0),(G2389-(G2389/G2413))+H2387,
IF(G2413&lt;1,0,(G2389-(G2389/G2413))))))</f>
        <v>0</v>
      </c>
      <c r="I2389" s="1423">
        <f t="shared" ref="I2389" ca="1" si="3476">IF(AND(I2387=0,H2389=0),0,
IF(AND(I2387&lt;&gt;0,H2389=0),I2387,
IF(AND(I2388&lt;&gt;0,H2389&lt;&gt;0),(H2389-(H2389/H2413))+I2387,
IF(H2413&lt;1,0,(H2389-(H2389/H2413))))))</f>
        <v>0</v>
      </c>
      <c r="J2389" s="1423">
        <f t="shared" ref="J2389" ca="1" si="3477">IF(AND(J2387=0,I2389=0),0,
IF(AND(J2387&lt;&gt;0,I2389=0),J2387,
IF(AND(J2388&lt;&gt;0,I2389&lt;&gt;0),(I2389-(I2389/I2413))+J2387,
IF(I2413&lt;1,0,(I2389-(I2389/I2413))))))</f>
        <v>0</v>
      </c>
      <c r="K2389" s="1423">
        <f t="shared" ref="K2389" ca="1" si="3478">IF(AND(K2387=0,J2389=0),0,
IF(AND(K2387&lt;&gt;0,J2389=0),K2387,
IF(AND(K2388&lt;&gt;0,J2389&lt;&gt;0),(J2389-(J2389/J2413))+K2387,
IF(J2413&lt;1,0,(J2389-(J2389/J2413))))))</f>
        <v>0</v>
      </c>
      <c r="L2389" s="1423">
        <f t="shared" ref="L2389" ca="1" si="3479">IF(AND(L2387=0,K2389=0),0,
IF(AND(L2387&lt;&gt;0,K2389=0),L2387,
IF(AND(L2388&lt;&gt;0,K2389&lt;&gt;0),(K2389-(K2389/K2413))+L2387,
IF(K2413&lt;1,0,(K2389-(K2389/K2413))))))</f>
        <v>0</v>
      </c>
      <c r="M2389" s="1423">
        <f t="shared" ref="M2389" ca="1" si="3480">IF(AND(M2387=0,L2389=0),0,
IF(AND(M2387&lt;&gt;0,L2389=0),M2387,
IF(AND(M2388&lt;&gt;0,L2389&lt;&gt;0),(L2389-(L2389/L2413))+M2387,
IF(L2413&lt;1,0,(L2389-(L2389/L2413))))))</f>
        <v>0</v>
      </c>
      <c r="N2389" s="1423">
        <f t="shared" ref="N2389" ca="1" si="3481">IF(AND(N2387=0,M2389=0),0,
IF(AND(N2387&lt;&gt;0,M2389=0),N2387,
IF(AND(N2388&lt;&gt;0,M2389&lt;&gt;0),(M2389-(M2389/M2413))+N2387,
IF(M2413&lt;1,0,(M2389-(M2389/M2413))))))</f>
        <v>0</v>
      </c>
      <c r="O2389" s="1423">
        <f t="shared" ref="O2389" ca="1" si="3482">IF(AND(O2387=0,N2389=0),0,
IF(AND(O2387&lt;&gt;0,N2389=0),O2387,
IF(AND(O2388&lt;&gt;0,N2389&lt;&gt;0),(N2389-(N2389/N2413))+O2387,
IF(N2413&lt;1,0,(N2389-(N2389/N2413))))))</f>
        <v>0</v>
      </c>
      <c r="P2389" s="1423">
        <f t="shared" ref="P2389" ca="1" si="3483">IF(AND(P2387=0,O2389=0),0,
IF(AND(P2387&lt;&gt;0,O2389=0),P2387,
IF(AND(P2388&lt;&gt;0,O2389&lt;&gt;0),(O2389-(O2389/O2413))+P2387,
IF(O2413&lt;1,0,(O2389-(O2389/O2413))))))</f>
        <v>0</v>
      </c>
      <c r="Q2389" s="1423">
        <f t="shared" ref="Q2389" ca="1" si="3484">IF(AND(Q2387=0,P2389=0),0,
IF(AND(Q2387&lt;&gt;0,P2389=0),Q2387,
IF(AND(Q2388&lt;&gt;0,P2389&lt;&gt;0),(P2389-(P2389/P2413))+Q2387,
IF(P2413&lt;1,0,(P2389-(P2389/P2413))))))</f>
        <v>0</v>
      </c>
      <c r="R2389" s="1423">
        <f t="shared" ref="R2389" ca="1" si="3485">IF(AND(R2387=0,Q2389=0),0,
IF(AND(R2387&lt;&gt;0,Q2389=0),R2387,
IF(AND(R2388&lt;&gt;0,Q2389&lt;&gt;0),(Q2389-(Q2389/Q2413))+R2387,
IF(Q2413&lt;1,0,(Q2389-(Q2389/Q2413))))))</f>
        <v>0</v>
      </c>
      <c r="S2389" s="1423">
        <f t="shared" ref="S2389" ca="1" si="3486">IF(AND(S2387=0,R2389=0),0,
IF(AND(S2387&lt;&gt;0,R2389=0),S2387,
IF(AND(S2388&lt;&gt;0,R2389&lt;&gt;0),(R2389-(R2389/R2413))+S2387,
IF(R2413&lt;1,0,(R2389-(R2389/R2413))))))</f>
        <v>0</v>
      </c>
      <c r="T2389" s="1423">
        <f t="shared" ref="T2389" ca="1" si="3487">IF(AND(T2387=0,S2389=0),0,
IF(AND(T2387&lt;&gt;0,S2389=0),T2387,
IF(AND(T2388&lt;&gt;0,S2389&lt;&gt;0),(S2389-(S2389/S2413))+T2387,
IF(S2413&lt;1,0,(S2389-(S2389/S2413))))))</f>
        <v>0</v>
      </c>
      <c r="U2389" s="1423">
        <f t="shared" ref="U2389" ca="1" si="3488">IF(AND(U2387=0,T2389=0),0,
IF(AND(U2387&lt;&gt;0,T2389=0),U2387,
IF(AND(U2388&lt;&gt;0,T2389&lt;&gt;0),(T2389-(T2389/T2413))+U2387,
IF(T2413&lt;1,0,(T2389-(T2389/T2413))))))</f>
        <v>0</v>
      </c>
      <c r="V2389" s="1423">
        <f t="shared" ref="V2389" ca="1" si="3489">IF(AND(V2387=0,U2389=0),0,
IF(AND(V2387&lt;&gt;0,U2389=0),V2387,
IF(AND(V2388&lt;&gt;0,U2389&lt;&gt;0),(U2389-(U2389/U2413))+V2387,
IF(U2413&lt;1,0,(U2389-(U2389/U2413))))))</f>
        <v>0</v>
      </c>
      <c r="W2389" s="1423">
        <f t="shared" ref="W2389" ca="1" si="3490">IF(AND(W2387=0,V2389=0),0,
IF(AND(W2387&lt;&gt;0,V2389=0),W2387,
IF(AND(W2388&lt;&gt;0,V2389&lt;&gt;0),(V2389-(V2389/V2413))+W2387,
IF(V2413&lt;1,0,(V2389-(V2389/V2413))))))</f>
        <v>0</v>
      </c>
      <c r="X2389" s="152"/>
      <c r="Y2389" s="152"/>
      <c r="Z2389" s="152"/>
      <c r="AA2389" s="152"/>
      <c r="AB2389" s="152"/>
    </row>
    <row r="2390" spans="1:28" hidden="1" outlineLevel="1">
      <c r="A2390" s="199">
        <f>A2389+1</f>
        <v>0</v>
      </c>
      <c r="B2390" s="190" t="s">
        <v>527</v>
      </c>
      <c r="C2390" s="1423">
        <f ca="1">C2385</f>
        <v>0</v>
      </c>
      <c r="D2390" s="1423">
        <f ca="1">IF(C2414="n/a",C2390,IFERROR(IF((OFFSET($C2390,0,$A2390))&lt;0,
MIN(0,C2390-(OFFSET($C2390,0,$A2390)/(OFFSET($C2385,-$A2389,$A2390)))),
MAX(0,C2390-(OFFSET($C2390,0,$A2390)/(OFFSET($C2385,-$A2389,$A2390))))),0))</f>
        <v>0</v>
      </c>
      <c r="E2390" s="1423">
        <f t="shared" ref="E2390" ca="1" si="3491">IF(D2414="n/a",D2390,IFERROR(IF((OFFSET($C2390,0,$A2390))&lt;0,
MIN(0,D2390-(OFFSET($C2390,0,$A2390)/(OFFSET($C2385,-$A2389,$A2390)))),
MAX(0,D2390-(OFFSET($C2390,0,$A2390)/(OFFSET($C2385,-$A2389,$A2390))))),0))</f>
        <v>0</v>
      </c>
      <c r="F2390" s="1423">
        <f t="shared" ref="F2390:F2391" ca="1" si="3492">IF(E2414="n/a",E2390,IFERROR(IF((OFFSET($C2390,0,$A2390))&lt;0,
MIN(0,E2390-(OFFSET($C2390,0,$A2390)/(OFFSET($C2385,-$A2389,$A2390)))),
MAX(0,E2390-(OFFSET($C2390,0,$A2390)/(OFFSET($C2385,-$A2389,$A2390))))),0))</f>
        <v>0</v>
      </c>
      <c r="G2390" s="1423">
        <f t="shared" ref="G2390:G2392" ca="1" si="3493">IF(F2414="n/a",F2390,IFERROR(IF((OFFSET($C2390,0,$A2390))&lt;0,
MIN(0,F2390-(OFFSET($C2390,0,$A2390)/(OFFSET($C2385,-$A2389,$A2390)))),
MAX(0,F2390-(OFFSET($C2390,0,$A2390)/(OFFSET($C2385,-$A2389,$A2390))))),0))</f>
        <v>0</v>
      </c>
      <c r="H2390" s="1423">
        <f t="shared" ref="H2390:H2393" ca="1" si="3494">IF(G2414="n/a",G2390,IFERROR(IF((OFFSET($C2390,0,$A2390))&lt;0,
MIN(0,G2390-(OFFSET($C2390,0,$A2390)/(OFFSET($C2385,-$A2389,$A2390)))),
MAX(0,G2390-(OFFSET($C2390,0,$A2390)/(OFFSET($C2385,-$A2389,$A2390))))),0))</f>
        <v>0</v>
      </c>
      <c r="I2390" s="1423">
        <f t="shared" ref="I2390:I2394" ca="1" si="3495">IF(H2414="n/a",H2390,IFERROR(IF((OFFSET($C2390,0,$A2390))&lt;0,
MIN(0,H2390-(OFFSET($C2390,0,$A2390)/(OFFSET($C2385,-$A2389,$A2390)))),
MAX(0,H2390-(OFFSET($C2390,0,$A2390)/(OFFSET($C2385,-$A2389,$A2390))))),0))</f>
        <v>0</v>
      </c>
      <c r="J2390" s="1423">
        <f t="shared" ref="J2390:J2395" ca="1" si="3496">IF(I2414="n/a",I2390,IFERROR(IF((OFFSET($C2390,0,$A2390))&lt;0,
MIN(0,I2390-(OFFSET($C2390,0,$A2390)/(OFFSET($C2385,-$A2389,$A2390)))),
MAX(0,I2390-(OFFSET($C2390,0,$A2390)/(OFFSET($C2385,-$A2389,$A2390))))),0))</f>
        <v>0</v>
      </c>
      <c r="K2390" s="1423">
        <f t="shared" ref="K2390:K2396" ca="1" si="3497">IF(J2414="n/a",J2390,IFERROR(IF((OFFSET($C2390,0,$A2390))&lt;0,
MIN(0,J2390-(OFFSET($C2390,0,$A2390)/(OFFSET($C2385,-$A2389,$A2390)))),
MAX(0,J2390-(OFFSET($C2390,0,$A2390)/(OFFSET($C2385,-$A2389,$A2390))))),0))</f>
        <v>0</v>
      </c>
      <c r="L2390" s="1423">
        <f t="shared" ref="L2390:L2397" ca="1" si="3498">IF(K2414="n/a",K2390,IFERROR(IF((OFFSET($C2390,0,$A2390))&lt;0,
MIN(0,K2390-(OFFSET($C2390,0,$A2390)/(OFFSET($C2385,-$A2389,$A2390)))),
MAX(0,K2390-(OFFSET($C2390,0,$A2390)/(OFFSET($C2385,-$A2389,$A2390))))),0))</f>
        <v>0</v>
      </c>
      <c r="M2390" s="1423">
        <f t="shared" ref="M2390:M2398" ca="1" si="3499">IF(L2414="n/a",L2390,IFERROR(IF((OFFSET($C2390,0,$A2390))&lt;0,
MIN(0,L2390-(OFFSET($C2390,0,$A2390)/(OFFSET($C2385,-$A2389,$A2390)))),
MAX(0,L2390-(OFFSET($C2390,0,$A2390)/(OFFSET($C2385,-$A2389,$A2390))))),0))</f>
        <v>0</v>
      </c>
      <c r="N2390" s="1423">
        <f t="shared" ref="N2390:N2399" ca="1" si="3500">IF(M2414="n/a",M2390,IFERROR(IF((OFFSET($C2390,0,$A2390))&lt;0,
MIN(0,M2390-(OFFSET($C2390,0,$A2390)/(OFFSET($C2385,-$A2389,$A2390)))),
MAX(0,M2390-(OFFSET($C2390,0,$A2390)/(OFFSET($C2385,-$A2389,$A2390))))),0))</f>
        <v>0</v>
      </c>
      <c r="O2390" s="1423">
        <f t="shared" ref="O2390:O2400" ca="1" si="3501">IF(N2414="n/a",N2390,IFERROR(IF((OFFSET($C2390,0,$A2390))&lt;0,
MIN(0,N2390-(OFFSET($C2390,0,$A2390)/(OFFSET($C2385,-$A2389,$A2390)))),
MAX(0,N2390-(OFFSET($C2390,0,$A2390)/(OFFSET($C2385,-$A2389,$A2390))))),0))</f>
        <v>0</v>
      </c>
      <c r="P2390" s="1423">
        <f t="shared" ref="P2390:P2401" ca="1" si="3502">IF(O2414="n/a",O2390,IFERROR(IF((OFFSET($C2390,0,$A2390))&lt;0,
MIN(0,O2390-(OFFSET($C2390,0,$A2390)/(OFFSET($C2385,-$A2389,$A2390)))),
MAX(0,O2390-(OFFSET($C2390,0,$A2390)/(OFFSET($C2385,-$A2389,$A2390))))),0))</f>
        <v>0</v>
      </c>
      <c r="Q2390" s="1423">
        <f t="shared" ref="Q2390:Q2402" ca="1" si="3503">IF(P2414="n/a",P2390,IFERROR(IF((OFFSET($C2390,0,$A2390))&lt;0,
MIN(0,P2390-(OFFSET($C2390,0,$A2390)/(OFFSET($C2385,-$A2389,$A2390)))),
MAX(0,P2390-(OFFSET($C2390,0,$A2390)/(OFFSET($C2385,-$A2389,$A2390))))),0))</f>
        <v>0</v>
      </c>
      <c r="R2390" s="1423">
        <f t="shared" ref="R2390:R2403" ca="1" si="3504">IF(Q2414="n/a",Q2390,IFERROR(IF((OFFSET($C2390,0,$A2390))&lt;0,
MIN(0,Q2390-(OFFSET($C2390,0,$A2390)/(OFFSET($C2385,-$A2389,$A2390)))),
MAX(0,Q2390-(OFFSET($C2390,0,$A2390)/(OFFSET($C2385,-$A2389,$A2390))))),0))</f>
        <v>0</v>
      </c>
      <c r="S2390" s="1423">
        <f t="shared" ref="S2390:S2404" ca="1" si="3505">IF(R2414="n/a",R2390,IFERROR(IF((OFFSET($C2390,0,$A2390))&lt;0,
MIN(0,R2390-(OFFSET($C2390,0,$A2390)/(OFFSET($C2385,-$A2389,$A2390)))),
MAX(0,R2390-(OFFSET($C2390,0,$A2390)/(OFFSET($C2385,-$A2389,$A2390))))),0))</f>
        <v>0</v>
      </c>
      <c r="T2390" s="1423">
        <f t="shared" ref="T2390:T2405" ca="1" si="3506">IF(S2414="n/a",S2390,IFERROR(IF((OFFSET($C2390,0,$A2390))&lt;0,
MIN(0,S2390-(OFFSET($C2390,0,$A2390)/(OFFSET($C2385,-$A2389,$A2390)))),
MAX(0,S2390-(OFFSET($C2390,0,$A2390)/(OFFSET($C2385,-$A2389,$A2390))))),0))</f>
        <v>0</v>
      </c>
      <c r="U2390" s="1423">
        <f t="shared" ref="U2390:U2406" ca="1" si="3507">IF(T2414="n/a",T2390,IFERROR(IF((OFFSET($C2390,0,$A2390))&lt;0,
MIN(0,T2390-(OFFSET($C2390,0,$A2390)/(OFFSET($C2385,-$A2389,$A2390)))),
MAX(0,T2390-(OFFSET($C2390,0,$A2390)/(OFFSET($C2385,-$A2389,$A2390))))),0))</f>
        <v>0</v>
      </c>
      <c r="V2390" s="1423">
        <f t="shared" ref="V2390:V2407" ca="1" si="3508">IF(U2414="n/a",U2390,IFERROR(IF((OFFSET($C2390,0,$A2390))&lt;0,
MIN(0,U2390-(OFFSET($C2390,0,$A2390)/(OFFSET($C2385,-$A2389,$A2390)))),
MAX(0,U2390-(OFFSET($C2390,0,$A2390)/(OFFSET($C2385,-$A2389,$A2390))))),0))</f>
        <v>0</v>
      </c>
      <c r="W2390" s="1423">
        <f t="shared" ref="W2390:W2408" ca="1" si="3509">IF(V2414="n/a",V2390,IFERROR(IF((OFFSET($C2390,0,$A2390))&lt;0,
MIN(0,V2390-(OFFSET($C2390,0,$A2390)/(OFFSET($C2385,-$A2389,$A2390)))),
MAX(0,V2390-(OFFSET($C2390,0,$A2390)/(OFFSET($C2385,-$A2389,$A2390))))),0))</f>
        <v>0</v>
      </c>
      <c r="X2390" s="152"/>
      <c r="Y2390" s="152"/>
      <c r="Z2390" s="152"/>
      <c r="AA2390" s="152"/>
      <c r="AB2390" s="152"/>
    </row>
    <row r="2391" spans="1:28" hidden="1" outlineLevel="1">
      <c r="A2391" s="199">
        <f t="shared" ref="A2391:A2410" si="3510">A2390+1</f>
        <v>1</v>
      </c>
      <c r="B2391" s="190" t="str">
        <f t="shared" ref="B2391:B2410" ca="1" si="3511">"Depreciated Net Capex "&amp;OFFSET($C$6,0,A2391)</f>
        <v>Depreciated Net Capex 2016-17</v>
      </c>
      <c r="C2391" s="1424"/>
      <c r="D2391" s="1425">
        <f>D2385</f>
        <v>0</v>
      </c>
      <c r="E2391" s="1423">
        <f ca="1">IF(D2415="n/a",D2391,IFERROR(IF((OFFSET($C2391,0,$A2391))&lt;0,
MIN(0,D2391-(OFFSET($C2391,0,$A2391)/(OFFSET($C2386,-$A2390,$A2391)))),
MAX(0,D2391-(OFFSET($C2391,0,$A2391)/(OFFSET($C2386,-$A2390,$A2391))))),0))</f>
        <v>0</v>
      </c>
      <c r="F2391" s="1423">
        <f t="shared" ca="1" si="3492"/>
        <v>0</v>
      </c>
      <c r="G2391" s="1423">
        <f t="shared" ca="1" si="3493"/>
        <v>0</v>
      </c>
      <c r="H2391" s="1423">
        <f t="shared" ca="1" si="3494"/>
        <v>0</v>
      </c>
      <c r="I2391" s="1423">
        <f t="shared" ca="1" si="3495"/>
        <v>0</v>
      </c>
      <c r="J2391" s="1423">
        <f t="shared" ca="1" si="3496"/>
        <v>0</v>
      </c>
      <c r="K2391" s="1423">
        <f t="shared" ca="1" si="3497"/>
        <v>0</v>
      </c>
      <c r="L2391" s="1423">
        <f t="shared" ca="1" si="3498"/>
        <v>0</v>
      </c>
      <c r="M2391" s="1423">
        <f t="shared" ca="1" si="3499"/>
        <v>0</v>
      </c>
      <c r="N2391" s="1423">
        <f t="shared" ca="1" si="3500"/>
        <v>0</v>
      </c>
      <c r="O2391" s="1423">
        <f t="shared" ca="1" si="3501"/>
        <v>0</v>
      </c>
      <c r="P2391" s="1423">
        <f t="shared" ca="1" si="3502"/>
        <v>0</v>
      </c>
      <c r="Q2391" s="1423">
        <f t="shared" ca="1" si="3503"/>
        <v>0</v>
      </c>
      <c r="R2391" s="1423">
        <f t="shared" ca="1" si="3504"/>
        <v>0</v>
      </c>
      <c r="S2391" s="1423">
        <f t="shared" ca="1" si="3505"/>
        <v>0</v>
      </c>
      <c r="T2391" s="1423">
        <f t="shared" ca="1" si="3506"/>
        <v>0</v>
      </c>
      <c r="U2391" s="1423">
        <f t="shared" ca="1" si="3507"/>
        <v>0</v>
      </c>
      <c r="V2391" s="1423">
        <f t="shared" ca="1" si="3508"/>
        <v>0</v>
      </c>
      <c r="W2391" s="1423">
        <f t="shared" ca="1" si="3509"/>
        <v>0</v>
      </c>
      <c r="X2391" s="152"/>
      <c r="Y2391" s="152"/>
      <c r="Z2391" s="152"/>
      <c r="AA2391" s="152"/>
      <c r="AB2391" s="152"/>
    </row>
    <row r="2392" spans="1:28" hidden="1" outlineLevel="1">
      <c r="A2392" s="199">
        <f t="shared" si="3510"/>
        <v>2</v>
      </c>
      <c r="B2392" s="190" t="str">
        <f t="shared" ca="1" si="3511"/>
        <v>Depreciated Net Capex 2017-18</v>
      </c>
      <c r="C2392" s="1426"/>
      <c r="D2392" s="1427"/>
      <c r="E2392" s="1425">
        <f>E2385</f>
        <v>0</v>
      </c>
      <c r="F2392" s="1423">
        <f ca="1">IF(E2416="n/a",E2392,IFERROR(IF((OFFSET($C2392,0,$A2392))&lt;0,
MIN(0,E2392-(OFFSET($C2392,0,$A2392)/(OFFSET($C2387,-$A2391,$A2392)))),
MAX(0,E2392-(OFFSET($C2392,0,$A2392)/(OFFSET($C2387,-$A2391,$A2392))))),0))</f>
        <v>0</v>
      </c>
      <c r="G2392" s="1423">
        <f t="shared" ca="1" si="3493"/>
        <v>0</v>
      </c>
      <c r="H2392" s="1423">
        <f t="shared" ca="1" si="3494"/>
        <v>0</v>
      </c>
      <c r="I2392" s="1423">
        <f t="shared" ca="1" si="3495"/>
        <v>0</v>
      </c>
      <c r="J2392" s="1423">
        <f t="shared" ca="1" si="3496"/>
        <v>0</v>
      </c>
      <c r="K2392" s="1423">
        <f t="shared" ca="1" si="3497"/>
        <v>0</v>
      </c>
      <c r="L2392" s="1423">
        <f t="shared" ca="1" si="3498"/>
        <v>0</v>
      </c>
      <c r="M2392" s="1423">
        <f t="shared" ca="1" si="3499"/>
        <v>0</v>
      </c>
      <c r="N2392" s="1423">
        <f t="shared" ca="1" si="3500"/>
        <v>0</v>
      </c>
      <c r="O2392" s="1423">
        <f t="shared" ca="1" si="3501"/>
        <v>0</v>
      </c>
      <c r="P2392" s="1423">
        <f t="shared" ca="1" si="3502"/>
        <v>0</v>
      </c>
      <c r="Q2392" s="1423">
        <f t="shared" ca="1" si="3503"/>
        <v>0</v>
      </c>
      <c r="R2392" s="1423">
        <f t="shared" ca="1" si="3504"/>
        <v>0</v>
      </c>
      <c r="S2392" s="1423">
        <f t="shared" ca="1" si="3505"/>
        <v>0</v>
      </c>
      <c r="T2392" s="1423">
        <f t="shared" ca="1" si="3506"/>
        <v>0</v>
      </c>
      <c r="U2392" s="1423">
        <f t="shared" ca="1" si="3507"/>
        <v>0</v>
      </c>
      <c r="V2392" s="1423">
        <f t="shared" ca="1" si="3508"/>
        <v>0</v>
      </c>
      <c r="W2392" s="1423">
        <f t="shared" ca="1" si="3509"/>
        <v>0</v>
      </c>
      <c r="X2392" s="202"/>
      <c r="Y2392" s="152"/>
      <c r="Z2392" s="152"/>
      <c r="AA2392" s="152"/>
      <c r="AB2392" s="152"/>
    </row>
    <row r="2393" spans="1:28" hidden="1" outlineLevel="1">
      <c r="A2393" s="199">
        <f t="shared" si="3510"/>
        <v>3</v>
      </c>
      <c r="B2393" s="190" t="str">
        <f t="shared" ca="1" si="3511"/>
        <v>Depreciated Net Capex 2018-19</v>
      </c>
      <c r="C2393" s="1426"/>
      <c r="D2393" s="1426"/>
      <c r="E2393" s="1427"/>
      <c r="F2393" s="1428">
        <f>F2385</f>
        <v>0</v>
      </c>
      <c r="G2393" s="1423">
        <f ca="1">IF(F2417="n/a",F2393,IFERROR(IF((OFFSET($C2393,0,$A2393))&lt;0,
MIN(0,F2393-(OFFSET($C2393,0,$A2393)/(OFFSET($C2388,-$A2392,$A2393)))),
MAX(0,F2393-(OFFSET($C2393,0,$A2393)/(OFFSET($C2388,-$A2392,$A2393))))),0))</f>
        <v>0</v>
      </c>
      <c r="H2393" s="1423">
        <f t="shared" ca="1" si="3494"/>
        <v>0</v>
      </c>
      <c r="I2393" s="1423">
        <f t="shared" ca="1" si="3495"/>
        <v>0</v>
      </c>
      <c r="J2393" s="1423">
        <f t="shared" ca="1" si="3496"/>
        <v>0</v>
      </c>
      <c r="K2393" s="1423">
        <f t="shared" ca="1" si="3497"/>
        <v>0</v>
      </c>
      <c r="L2393" s="1423">
        <f t="shared" ca="1" si="3498"/>
        <v>0</v>
      </c>
      <c r="M2393" s="1423">
        <f t="shared" ca="1" si="3499"/>
        <v>0</v>
      </c>
      <c r="N2393" s="1423">
        <f t="shared" ca="1" si="3500"/>
        <v>0</v>
      </c>
      <c r="O2393" s="1423">
        <f t="shared" ca="1" si="3501"/>
        <v>0</v>
      </c>
      <c r="P2393" s="1423">
        <f t="shared" ca="1" si="3502"/>
        <v>0</v>
      </c>
      <c r="Q2393" s="1423">
        <f t="shared" ca="1" si="3503"/>
        <v>0</v>
      </c>
      <c r="R2393" s="1423">
        <f t="shared" ca="1" si="3504"/>
        <v>0</v>
      </c>
      <c r="S2393" s="1423">
        <f t="shared" ca="1" si="3505"/>
        <v>0</v>
      </c>
      <c r="T2393" s="1423">
        <f t="shared" ca="1" si="3506"/>
        <v>0</v>
      </c>
      <c r="U2393" s="1423">
        <f t="shared" ca="1" si="3507"/>
        <v>0</v>
      </c>
      <c r="V2393" s="1423">
        <f t="shared" ca="1" si="3508"/>
        <v>0</v>
      </c>
      <c r="W2393" s="1423">
        <f t="shared" ca="1" si="3509"/>
        <v>0</v>
      </c>
      <c r="X2393" s="202"/>
      <c r="Y2393" s="202"/>
      <c r="Z2393" s="152"/>
      <c r="AA2393" s="152"/>
      <c r="AB2393" s="152"/>
    </row>
    <row r="2394" spans="1:28" hidden="1" outlineLevel="1">
      <c r="A2394" s="199">
        <f t="shared" si="3510"/>
        <v>4</v>
      </c>
      <c r="B2394" s="190" t="str">
        <f t="shared" ca="1" si="3511"/>
        <v>Depreciated Net Capex 2019-20</v>
      </c>
      <c r="C2394" s="1426"/>
      <c r="D2394" s="1426"/>
      <c r="E2394" s="1426"/>
      <c r="F2394" s="1427"/>
      <c r="G2394" s="1428">
        <f>G2385</f>
        <v>0</v>
      </c>
      <c r="H2394" s="1423">
        <f ca="1">IF(G2418="n/a",G2394,IFERROR(IF((OFFSET($C2394,0,$A2394))&lt;0,
MIN(0,G2394-(OFFSET($C2394,0,$A2394)/(OFFSET($C2389,-$A2393,$A2394)))),
MAX(0,G2394-(OFFSET($C2394,0,$A2394)/(OFFSET($C2389,-$A2393,$A2394))))),0))</f>
        <v>0</v>
      </c>
      <c r="I2394" s="1423">
        <f t="shared" ca="1" si="3495"/>
        <v>0</v>
      </c>
      <c r="J2394" s="1423">
        <f t="shared" ca="1" si="3496"/>
        <v>0</v>
      </c>
      <c r="K2394" s="1423">
        <f t="shared" ca="1" si="3497"/>
        <v>0</v>
      </c>
      <c r="L2394" s="1423">
        <f t="shared" ca="1" si="3498"/>
        <v>0</v>
      </c>
      <c r="M2394" s="1423">
        <f t="shared" ca="1" si="3499"/>
        <v>0</v>
      </c>
      <c r="N2394" s="1423">
        <f t="shared" ca="1" si="3500"/>
        <v>0</v>
      </c>
      <c r="O2394" s="1423">
        <f t="shared" ca="1" si="3501"/>
        <v>0</v>
      </c>
      <c r="P2394" s="1423">
        <f t="shared" ca="1" si="3502"/>
        <v>0</v>
      </c>
      <c r="Q2394" s="1423">
        <f t="shared" ca="1" si="3503"/>
        <v>0</v>
      </c>
      <c r="R2394" s="1423">
        <f t="shared" ca="1" si="3504"/>
        <v>0</v>
      </c>
      <c r="S2394" s="1423">
        <f t="shared" ca="1" si="3505"/>
        <v>0</v>
      </c>
      <c r="T2394" s="1423">
        <f t="shared" ca="1" si="3506"/>
        <v>0</v>
      </c>
      <c r="U2394" s="1423">
        <f t="shared" ca="1" si="3507"/>
        <v>0</v>
      </c>
      <c r="V2394" s="1423">
        <f t="shared" ca="1" si="3508"/>
        <v>0</v>
      </c>
      <c r="W2394" s="1423">
        <f t="shared" ca="1" si="3509"/>
        <v>0</v>
      </c>
      <c r="X2394" s="202"/>
      <c r="Y2394" s="202"/>
      <c r="Z2394" s="202"/>
      <c r="AA2394" s="152"/>
      <c r="AB2394" s="152"/>
    </row>
    <row r="2395" spans="1:28" hidden="1" outlineLevel="1">
      <c r="A2395" s="199">
        <f t="shared" si="3510"/>
        <v>5</v>
      </c>
      <c r="B2395" s="190" t="str">
        <f t="shared" ca="1" si="3511"/>
        <v>Depreciated Net Capex 2020-21</v>
      </c>
      <c r="C2395" s="1426"/>
      <c r="D2395" s="1426"/>
      <c r="E2395" s="1426"/>
      <c r="F2395" s="1426"/>
      <c r="G2395" s="1427"/>
      <c r="H2395" s="1428">
        <f>H2385</f>
        <v>0</v>
      </c>
      <c r="I2395" s="1423">
        <f ca="1">IF(H2419="n/a",H2395,IFERROR(IF((OFFSET($C2395,0,$A2395))&lt;0,
MIN(0,H2395-(OFFSET($C2395,0,$A2395)/(OFFSET($C2390,-$A2394,$A2395)))),
MAX(0,H2395-(OFFSET($C2395,0,$A2395)/(OFFSET($C2390,-$A2394,$A2395))))),0))</f>
        <v>0</v>
      </c>
      <c r="J2395" s="1423">
        <f t="shared" ca="1" si="3496"/>
        <v>0</v>
      </c>
      <c r="K2395" s="1423">
        <f t="shared" ca="1" si="3497"/>
        <v>0</v>
      </c>
      <c r="L2395" s="1423">
        <f t="shared" ca="1" si="3498"/>
        <v>0</v>
      </c>
      <c r="M2395" s="1423">
        <f t="shared" ca="1" si="3499"/>
        <v>0</v>
      </c>
      <c r="N2395" s="1423">
        <f t="shared" ca="1" si="3500"/>
        <v>0</v>
      </c>
      <c r="O2395" s="1423">
        <f t="shared" ca="1" si="3501"/>
        <v>0</v>
      </c>
      <c r="P2395" s="1423">
        <f t="shared" ca="1" si="3502"/>
        <v>0</v>
      </c>
      <c r="Q2395" s="1423">
        <f t="shared" ca="1" si="3503"/>
        <v>0</v>
      </c>
      <c r="R2395" s="1423">
        <f t="shared" ca="1" si="3504"/>
        <v>0</v>
      </c>
      <c r="S2395" s="1423">
        <f t="shared" ca="1" si="3505"/>
        <v>0</v>
      </c>
      <c r="T2395" s="1423">
        <f t="shared" ca="1" si="3506"/>
        <v>0</v>
      </c>
      <c r="U2395" s="1423">
        <f t="shared" ca="1" si="3507"/>
        <v>0</v>
      </c>
      <c r="V2395" s="1423">
        <f t="shared" ca="1" si="3508"/>
        <v>0</v>
      </c>
      <c r="W2395" s="1423">
        <f t="shared" ca="1" si="3509"/>
        <v>0</v>
      </c>
      <c r="X2395" s="202"/>
      <c r="Y2395" s="202"/>
      <c r="Z2395" s="202"/>
      <c r="AA2395" s="152"/>
      <c r="AB2395" s="152"/>
    </row>
    <row r="2396" spans="1:28" hidden="1" outlineLevel="1">
      <c r="A2396" s="199">
        <f t="shared" si="3510"/>
        <v>6</v>
      </c>
      <c r="B2396" s="190" t="str">
        <f t="shared" ca="1" si="3511"/>
        <v>Depreciated Net Capex 2021-22</v>
      </c>
      <c r="C2396" s="1426"/>
      <c r="D2396" s="1426"/>
      <c r="E2396" s="1426"/>
      <c r="F2396" s="1426"/>
      <c r="G2396" s="1426"/>
      <c r="H2396" s="1427"/>
      <c r="I2396" s="1428">
        <f>I2385</f>
        <v>0</v>
      </c>
      <c r="J2396" s="1423">
        <f ca="1">IF(I2420="n/a",I2396,IFERROR(IF((OFFSET($C2396,0,$A2396))&lt;0,
MIN(0,I2396-(OFFSET($C2396,0,$A2396)/(OFFSET($C2391,-$A2395,$A2396)))),
MAX(0,I2396-(OFFSET($C2396,0,$A2396)/(OFFSET($C2391,-$A2395,$A2396))))),0))</f>
        <v>0</v>
      </c>
      <c r="K2396" s="1423">
        <f t="shared" ca="1" si="3497"/>
        <v>0</v>
      </c>
      <c r="L2396" s="1423">
        <f t="shared" ca="1" si="3498"/>
        <v>0</v>
      </c>
      <c r="M2396" s="1423">
        <f t="shared" ca="1" si="3499"/>
        <v>0</v>
      </c>
      <c r="N2396" s="1423">
        <f t="shared" ca="1" si="3500"/>
        <v>0</v>
      </c>
      <c r="O2396" s="1423">
        <f t="shared" ca="1" si="3501"/>
        <v>0</v>
      </c>
      <c r="P2396" s="1423">
        <f t="shared" ca="1" si="3502"/>
        <v>0</v>
      </c>
      <c r="Q2396" s="1423">
        <f t="shared" ca="1" si="3503"/>
        <v>0</v>
      </c>
      <c r="R2396" s="1423">
        <f t="shared" ca="1" si="3504"/>
        <v>0</v>
      </c>
      <c r="S2396" s="1423">
        <f t="shared" ca="1" si="3505"/>
        <v>0</v>
      </c>
      <c r="T2396" s="1423">
        <f t="shared" ca="1" si="3506"/>
        <v>0</v>
      </c>
      <c r="U2396" s="1423">
        <f t="shared" ca="1" si="3507"/>
        <v>0</v>
      </c>
      <c r="V2396" s="1423">
        <f t="shared" ca="1" si="3508"/>
        <v>0</v>
      </c>
      <c r="W2396" s="1423">
        <f t="shared" ca="1" si="3509"/>
        <v>0</v>
      </c>
      <c r="X2396" s="202"/>
      <c r="Y2396" s="202"/>
      <c r="Z2396" s="202"/>
      <c r="AA2396" s="152"/>
      <c r="AB2396" s="152"/>
    </row>
    <row r="2397" spans="1:28" hidden="1" outlineLevel="1">
      <c r="A2397" s="199">
        <f t="shared" si="3510"/>
        <v>7</v>
      </c>
      <c r="B2397" s="190" t="str">
        <f t="shared" ca="1" si="3511"/>
        <v>Depreciated Net Capex 2022-23</v>
      </c>
      <c r="C2397" s="1426"/>
      <c r="D2397" s="1426"/>
      <c r="E2397" s="1426"/>
      <c r="F2397" s="1426"/>
      <c r="G2397" s="1426"/>
      <c r="H2397" s="1426"/>
      <c r="I2397" s="1427"/>
      <c r="J2397" s="1428">
        <f>J2385</f>
        <v>0</v>
      </c>
      <c r="K2397" s="1423">
        <f ca="1">IF(J2421="n/a",J2397,IFERROR(IF((OFFSET($C2397,0,$A2397))&lt;0,
MIN(0,J2397-(OFFSET($C2397,0,$A2397)/(OFFSET($C2392,-$A2396,$A2397)))),
MAX(0,J2397-(OFFSET($C2397,0,$A2397)/(OFFSET($C2392,-$A2396,$A2397))))),0))</f>
        <v>0</v>
      </c>
      <c r="L2397" s="1423">
        <f t="shared" ca="1" si="3498"/>
        <v>0</v>
      </c>
      <c r="M2397" s="1423">
        <f t="shared" ca="1" si="3499"/>
        <v>0</v>
      </c>
      <c r="N2397" s="1423">
        <f t="shared" ca="1" si="3500"/>
        <v>0</v>
      </c>
      <c r="O2397" s="1423">
        <f t="shared" ca="1" si="3501"/>
        <v>0</v>
      </c>
      <c r="P2397" s="1423">
        <f t="shared" ca="1" si="3502"/>
        <v>0</v>
      </c>
      <c r="Q2397" s="1423">
        <f t="shared" ca="1" si="3503"/>
        <v>0</v>
      </c>
      <c r="R2397" s="1423">
        <f t="shared" ca="1" si="3504"/>
        <v>0</v>
      </c>
      <c r="S2397" s="1423">
        <f t="shared" ca="1" si="3505"/>
        <v>0</v>
      </c>
      <c r="T2397" s="1423">
        <f t="shared" ca="1" si="3506"/>
        <v>0</v>
      </c>
      <c r="U2397" s="1423">
        <f t="shared" ca="1" si="3507"/>
        <v>0</v>
      </c>
      <c r="V2397" s="1423">
        <f t="shared" ca="1" si="3508"/>
        <v>0</v>
      </c>
      <c r="W2397" s="1423">
        <f t="shared" ca="1" si="3509"/>
        <v>0</v>
      </c>
      <c r="X2397" s="202"/>
      <c r="Y2397" s="202"/>
      <c r="Z2397" s="202"/>
      <c r="AA2397" s="152"/>
      <c r="AB2397" s="152"/>
    </row>
    <row r="2398" spans="1:28" hidden="1" outlineLevel="1">
      <c r="A2398" s="199">
        <f t="shared" si="3510"/>
        <v>8</v>
      </c>
      <c r="B2398" s="190" t="str">
        <f t="shared" ca="1" si="3511"/>
        <v>Depreciated Net Capex 2023-24</v>
      </c>
      <c r="C2398" s="1426"/>
      <c r="D2398" s="1426"/>
      <c r="E2398" s="1426"/>
      <c r="F2398" s="1426"/>
      <c r="G2398" s="1426"/>
      <c r="H2398" s="1426"/>
      <c r="I2398" s="1426"/>
      <c r="J2398" s="1427"/>
      <c r="K2398" s="1428">
        <f>K2385</f>
        <v>0</v>
      </c>
      <c r="L2398" s="1423">
        <f ca="1">IF(K2422="n/a",K2398,IFERROR(IF((OFFSET($C2398,0,$A2398))&lt;0,
MIN(0,K2398-(OFFSET($C2398,0,$A2398)/(OFFSET($C2393,-$A2397,$A2398)))),
MAX(0,K2398-(OFFSET($C2398,0,$A2398)/(OFFSET($C2393,-$A2397,$A2398))))),0))</f>
        <v>0</v>
      </c>
      <c r="M2398" s="1423">
        <f t="shared" ca="1" si="3499"/>
        <v>0</v>
      </c>
      <c r="N2398" s="1423">
        <f t="shared" ca="1" si="3500"/>
        <v>0</v>
      </c>
      <c r="O2398" s="1423">
        <f t="shared" ca="1" si="3501"/>
        <v>0</v>
      </c>
      <c r="P2398" s="1423">
        <f t="shared" ca="1" si="3502"/>
        <v>0</v>
      </c>
      <c r="Q2398" s="1423">
        <f t="shared" ca="1" si="3503"/>
        <v>0</v>
      </c>
      <c r="R2398" s="1423">
        <f t="shared" ca="1" si="3504"/>
        <v>0</v>
      </c>
      <c r="S2398" s="1423">
        <f t="shared" ca="1" si="3505"/>
        <v>0</v>
      </c>
      <c r="T2398" s="1423">
        <f t="shared" ca="1" si="3506"/>
        <v>0</v>
      </c>
      <c r="U2398" s="1423">
        <f t="shared" ca="1" si="3507"/>
        <v>0</v>
      </c>
      <c r="V2398" s="1423">
        <f t="shared" ca="1" si="3508"/>
        <v>0</v>
      </c>
      <c r="W2398" s="1423">
        <f t="shared" ca="1" si="3509"/>
        <v>0</v>
      </c>
      <c r="X2398" s="202"/>
      <c r="Y2398" s="202"/>
      <c r="Z2398" s="202"/>
      <c r="AA2398" s="152"/>
      <c r="AB2398" s="152"/>
    </row>
    <row r="2399" spans="1:28" hidden="1" outlineLevel="1">
      <c r="A2399" s="199">
        <f t="shared" si="3510"/>
        <v>9</v>
      </c>
      <c r="B2399" s="190" t="str">
        <f t="shared" ca="1" si="3511"/>
        <v>Depreciated Net Capex 2024-25</v>
      </c>
      <c r="C2399" s="1426"/>
      <c r="D2399" s="1426"/>
      <c r="E2399" s="1426"/>
      <c r="F2399" s="1426"/>
      <c r="G2399" s="1426"/>
      <c r="H2399" s="1426"/>
      <c r="I2399" s="1426"/>
      <c r="J2399" s="1426"/>
      <c r="K2399" s="1427"/>
      <c r="L2399" s="1428">
        <f>L2385</f>
        <v>0</v>
      </c>
      <c r="M2399" s="1423">
        <f ca="1">IF(L2423="n/a",L2399,IFERROR(IF((OFFSET($C2399,0,$A2399))&lt;0,
MIN(0,L2399-(OFFSET($C2399,0,$A2399)/(OFFSET($C2394,-$A2398,$A2399)))),
MAX(0,L2399-(OFFSET($C2399,0,$A2399)/(OFFSET($C2394,-$A2398,$A2399))))),0))</f>
        <v>0</v>
      </c>
      <c r="N2399" s="1423">
        <f t="shared" ca="1" si="3500"/>
        <v>0</v>
      </c>
      <c r="O2399" s="1423">
        <f t="shared" ca="1" si="3501"/>
        <v>0</v>
      </c>
      <c r="P2399" s="1423">
        <f t="shared" ca="1" si="3502"/>
        <v>0</v>
      </c>
      <c r="Q2399" s="1423">
        <f t="shared" ca="1" si="3503"/>
        <v>0</v>
      </c>
      <c r="R2399" s="1423">
        <f t="shared" ca="1" si="3504"/>
        <v>0</v>
      </c>
      <c r="S2399" s="1423">
        <f t="shared" ca="1" si="3505"/>
        <v>0</v>
      </c>
      <c r="T2399" s="1423">
        <f t="shared" ca="1" si="3506"/>
        <v>0</v>
      </c>
      <c r="U2399" s="1423">
        <f t="shared" ca="1" si="3507"/>
        <v>0</v>
      </c>
      <c r="V2399" s="1423">
        <f t="shared" ca="1" si="3508"/>
        <v>0</v>
      </c>
      <c r="W2399" s="1423">
        <f t="shared" ca="1" si="3509"/>
        <v>0</v>
      </c>
      <c r="X2399" s="202"/>
      <c r="Y2399" s="202"/>
      <c r="Z2399" s="202"/>
      <c r="AA2399" s="152"/>
      <c r="AB2399" s="152"/>
    </row>
    <row r="2400" spans="1:28" hidden="1" outlineLevel="1">
      <c r="A2400" s="199">
        <f t="shared" si="3510"/>
        <v>10</v>
      </c>
      <c r="B2400" s="190" t="str">
        <f t="shared" ca="1" si="3511"/>
        <v>Depreciated Net Capex 2025-26</v>
      </c>
      <c r="C2400" s="1426"/>
      <c r="D2400" s="1426"/>
      <c r="E2400" s="1426"/>
      <c r="F2400" s="1426"/>
      <c r="G2400" s="1426"/>
      <c r="H2400" s="1426"/>
      <c r="I2400" s="1426"/>
      <c r="J2400" s="1426"/>
      <c r="K2400" s="1426"/>
      <c r="L2400" s="1427"/>
      <c r="M2400" s="1428">
        <f>M2385</f>
        <v>0</v>
      </c>
      <c r="N2400" s="1423">
        <f ca="1">IF(M2424="n/a",M2400,IFERROR(IF((OFFSET($C2400,0,$A2400))&lt;0,
MIN(0,M2400-(OFFSET($C2400,0,$A2400)/(OFFSET($C2395,-$A2399,$A2400)))),
MAX(0,M2400-(OFFSET($C2400,0,$A2400)/(OFFSET($C2395,-$A2399,$A2400))))),0))</f>
        <v>0</v>
      </c>
      <c r="O2400" s="1423">
        <f t="shared" ca="1" si="3501"/>
        <v>0</v>
      </c>
      <c r="P2400" s="1423">
        <f t="shared" ca="1" si="3502"/>
        <v>0</v>
      </c>
      <c r="Q2400" s="1423">
        <f t="shared" ca="1" si="3503"/>
        <v>0</v>
      </c>
      <c r="R2400" s="1423">
        <f t="shared" ca="1" si="3504"/>
        <v>0</v>
      </c>
      <c r="S2400" s="1423">
        <f t="shared" ca="1" si="3505"/>
        <v>0</v>
      </c>
      <c r="T2400" s="1423">
        <f t="shared" ca="1" si="3506"/>
        <v>0</v>
      </c>
      <c r="U2400" s="1423">
        <f t="shared" ca="1" si="3507"/>
        <v>0</v>
      </c>
      <c r="V2400" s="1423">
        <f t="shared" ca="1" si="3508"/>
        <v>0</v>
      </c>
      <c r="W2400" s="1423">
        <f t="shared" ca="1" si="3509"/>
        <v>0</v>
      </c>
      <c r="X2400" s="202"/>
      <c r="Y2400" s="202"/>
      <c r="Z2400" s="202"/>
      <c r="AA2400" s="152"/>
      <c r="AB2400" s="152"/>
    </row>
    <row r="2401" spans="1:28" hidden="1" outlineLevel="1">
      <c r="A2401" s="199">
        <f t="shared" si="3510"/>
        <v>11</v>
      </c>
      <c r="B2401" s="190" t="str">
        <f t="shared" ca="1" si="3511"/>
        <v>Depreciated Net Capex 2026-27</v>
      </c>
      <c r="C2401" s="1426"/>
      <c r="D2401" s="1426"/>
      <c r="E2401" s="1426"/>
      <c r="F2401" s="1426"/>
      <c r="G2401" s="1426"/>
      <c r="H2401" s="1426"/>
      <c r="I2401" s="1426"/>
      <c r="J2401" s="1426"/>
      <c r="K2401" s="1426"/>
      <c r="L2401" s="1426"/>
      <c r="M2401" s="1427"/>
      <c r="N2401" s="1428">
        <f>N2385</f>
        <v>0</v>
      </c>
      <c r="O2401" s="1423">
        <f ca="1">IF(N2425="n/a",N2401,IFERROR(IF((OFFSET($C2401,0,$A2401))&lt;0,
MIN(0,N2401-(OFFSET($C2401,0,$A2401)/(OFFSET($C2396,-$A2400,$A2401)))),
MAX(0,N2401-(OFFSET($C2401,0,$A2401)/(OFFSET($C2396,-$A2400,$A2401))))),0))</f>
        <v>0</v>
      </c>
      <c r="P2401" s="1423">
        <f t="shared" ca="1" si="3502"/>
        <v>0</v>
      </c>
      <c r="Q2401" s="1423">
        <f t="shared" ca="1" si="3503"/>
        <v>0</v>
      </c>
      <c r="R2401" s="1423">
        <f t="shared" ca="1" si="3504"/>
        <v>0</v>
      </c>
      <c r="S2401" s="1423">
        <f t="shared" ca="1" si="3505"/>
        <v>0</v>
      </c>
      <c r="T2401" s="1423">
        <f t="shared" ca="1" si="3506"/>
        <v>0</v>
      </c>
      <c r="U2401" s="1423">
        <f t="shared" ca="1" si="3507"/>
        <v>0</v>
      </c>
      <c r="V2401" s="1423">
        <f t="shared" ca="1" si="3508"/>
        <v>0</v>
      </c>
      <c r="W2401" s="1423">
        <f t="shared" ca="1" si="3509"/>
        <v>0</v>
      </c>
      <c r="X2401" s="202"/>
      <c r="Y2401" s="202"/>
      <c r="Z2401" s="202"/>
      <c r="AA2401" s="152"/>
      <c r="AB2401" s="152"/>
    </row>
    <row r="2402" spans="1:28" hidden="1" outlineLevel="1">
      <c r="A2402" s="199">
        <f t="shared" si="3510"/>
        <v>12</v>
      </c>
      <c r="B2402" s="190" t="str">
        <f t="shared" ca="1" si="3511"/>
        <v>Depreciated Net Capex 2027-28</v>
      </c>
      <c r="C2402" s="1426"/>
      <c r="D2402" s="1426"/>
      <c r="E2402" s="1426"/>
      <c r="F2402" s="1426"/>
      <c r="G2402" s="1426"/>
      <c r="H2402" s="1426"/>
      <c r="I2402" s="1426"/>
      <c r="J2402" s="1426"/>
      <c r="K2402" s="1426"/>
      <c r="L2402" s="1426"/>
      <c r="M2402" s="1426"/>
      <c r="N2402" s="1427"/>
      <c r="O2402" s="1428">
        <f>O2385</f>
        <v>0</v>
      </c>
      <c r="P2402" s="1423">
        <f ca="1">IF(O2426="n/a",O2402,IFERROR(IF((OFFSET($C2402,0,$A2402))&lt;0,
MIN(0,O2402-(OFFSET($C2402,0,$A2402)/(OFFSET($C2397,-$A2401,$A2402)))),
MAX(0,O2402-(OFFSET($C2402,0,$A2402)/(OFFSET($C2397,-$A2401,$A2402))))),0))</f>
        <v>0</v>
      </c>
      <c r="Q2402" s="1423">
        <f t="shared" ca="1" si="3503"/>
        <v>0</v>
      </c>
      <c r="R2402" s="1423">
        <f t="shared" ca="1" si="3504"/>
        <v>0</v>
      </c>
      <c r="S2402" s="1423">
        <f t="shared" ca="1" si="3505"/>
        <v>0</v>
      </c>
      <c r="T2402" s="1423">
        <f t="shared" ca="1" si="3506"/>
        <v>0</v>
      </c>
      <c r="U2402" s="1423">
        <f t="shared" ca="1" si="3507"/>
        <v>0</v>
      </c>
      <c r="V2402" s="1423">
        <f t="shared" ca="1" si="3508"/>
        <v>0</v>
      </c>
      <c r="W2402" s="1423">
        <f t="shared" ca="1" si="3509"/>
        <v>0</v>
      </c>
      <c r="X2402" s="202"/>
      <c r="Y2402" s="202"/>
      <c r="Z2402" s="202"/>
      <c r="AA2402" s="152"/>
      <c r="AB2402" s="152"/>
    </row>
    <row r="2403" spans="1:28" hidden="1" outlineLevel="1">
      <c r="A2403" s="199">
        <f t="shared" si="3510"/>
        <v>13</v>
      </c>
      <c r="B2403" s="190" t="str">
        <f t="shared" ca="1" si="3511"/>
        <v>Depreciated Net Capex 2028-29</v>
      </c>
      <c r="C2403" s="1426"/>
      <c r="D2403" s="1426"/>
      <c r="E2403" s="1426"/>
      <c r="F2403" s="1426"/>
      <c r="G2403" s="1426"/>
      <c r="H2403" s="1426"/>
      <c r="I2403" s="1426"/>
      <c r="J2403" s="1426"/>
      <c r="K2403" s="1426"/>
      <c r="L2403" s="1426"/>
      <c r="M2403" s="1426"/>
      <c r="N2403" s="1426"/>
      <c r="O2403" s="1427"/>
      <c r="P2403" s="1428">
        <f>P2385</f>
        <v>0</v>
      </c>
      <c r="Q2403" s="1423">
        <f ca="1">IF(P2427="n/a",P2403,IFERROR(IF((OFFSET($C2403,0,$A2403))&lt;0,
MIN(0,P2403-(OFFSET($C2403,0,$A2403)/(OFFSET($C2398,-$A2402,$A2403)))),
MAX(0,P2403-(OFFSET($C2403,0,$A2403)/(OFFSET($C2398,-$A2402,$A2403))))),0))</f>
        <v>0</v>
      </c>
      <c r="R2403" s="1423">
        <f t="shared" ca="1" si="3504"/>
        <v>0</v>
      </c>
      <c r="S2403" s="1423">
        <f t="shared" ca="1" si="3505"/>
        <v>0</v>
      </c>
      <c r="T2403" s="1423">
        <f t="shared" ca="1" si="3506"/>
        <v>0</v>
      </c>
      <c r="U2403" s="1423">
        <f t="shared" ca="1" si="3507"/>
        <v>0</v>
      </c>
      <c r="V2403" s="1423">
        <f t="shared" ca="1" si="3508"/>
        <v>0</v>
      </c>
      <c r="W2403" s="1423">
        <f t="shared" ca="1" si="3509"/>
        <v>0</v>
      </c>
      <c r="X2403" s="202"/>
      <c r="Y2403" s="202"/>
      <c r="Z2403" s="202"/>
      <c r="AA2403" s="152"/>
      <c r="AB2403" s="152"/>
    </row>
    <row r="2404" spans="1:28" hidden="1" outlineLevel="1">
      <c r="A2404" s="199">
        <f t="shared" si="3510"/>
        <v>14</v>
      </c>
      <c r="B2404" s="190" t="str">
        <f t="shared" ca="1" si="3511"/>
        <v>Depreciated Net Capex 2029-30</v>
      </c>
      <c r="C2404" s="1426"/>
      <c r="D2404" s="1426"/>
      <c r="E2404" s="1426"/>
      <c r="F2404" s="1426"/>
      <c r="G2404" s="1426"/>
      <c r="H2404" s="1426"/>
      <c r="I2404" s="1426"/>
      <c r="J2404" s="1426"/>
      <c r="K2404" s="1426"/>
      <c r="L2404" s="1426"/>
      <c r="M2404" s="1426"/>
      <c r="N2404" s="1426"/>
      <c r="O2404" s="1426"/>
      <c r="P2404" s="1427"/>
      <c r="Q2404" s="1428">
        <f>Q2385</f>
        <v>0</v>
      </c>
      <c r="R2404" s="1423">
        <f ca="1">IF(Q2428="n/a",Q2404,IFERROR(IF((OFFSET($C2404,0,$A2404))&lt;0,
MIN(0,Q2404-(OFFSET($C2404,0,$A2404)/(OFFSET($C2399,-$A2403,$A2404)))),
MAX(0,Q2404-(OFFSET($C2404,0,$A2404)/(OFFSET($C2399,-$A2403,$A2404))))),0))</f>
        <v>0</v>
      </c>
      <c r="S2404" s="1423">
        <f t="shared" ca="1" si="3505"/>
        <v>0</v>
      </c>
      <c r="T2404" s="1423">
        <f t="shared" ca="1" si="3506"/>
        <v>0</v>
      </c>
      <c r="U2404" s="1423">
        <f t="shared" ca="1" si="3507"/>
        <v>0</v>
      </c>
      <c r="V2404" s="1423">
        <f t="shared" ca="1" si="3508"/>
        <v>0</v>
      </c>
      <c r="W2404" s="1423">
        <f t="shared" ca="1" si="3509"/>
        <v>0</v>
      </c>
      <c r="X2404" s="202"/>
      <c r="Y2404" s="202"/>
      <c r="Z2404" s="202"/>
      <c r="AA2404" s="152"/>
      <c r="AB2404" s="152"/>
    </row>
    <row r="2405" spans="1:28" hidden="1" outlineLevel="1">
      <c r="A2405" s="199">
        <f t="shared" si="3510"/>
        <v>15</v>
      </c>
      <c r="B2405" s="190" t="str">
        <f t="shared" ca="1" si="3511"/>
        <v>Depreciated Net Capex 2030-31</v>
      </c>
      <c r="C2405" s="1426"/>
      <c r="D2405" s="1426"/>
      <c r="E2405" s="1426"/>
      <c r="F2405" s="1426"/>
      <c r="G2405" s="1426"/>
      <c r="H2405" s="1426"/>
      <c r="I2405" s="1426"/>
      <c r="J2405" s="1426"/>
      <c r="K2405" s="1426"/>
      <c r="L2405" s="1426"/>
      <c r="M2405" s="1426"/>
      <c r="N2405" s="1426"/>
      <c r="O2405" s="1426"/>
      <c r="P2405" s="1426"/>
      <c r="Q2405" s="1427"/>
      <c r="R2405" s="1428">
        <f>R2385</f>
        <v>0</v>
      </c>
      <c r="S2405" s="1423">
        <f ca="1">IF(R2429="n/a",R2405,IFERROR(IF((OFFSET($C2405,0,$A2405))&lt;0,
MIN(0,R2405-(OFFSET($C2405,0,$A2405)/(OFFSET($C2400,-$A2404,$A2405)))),
MAX(0,R2405-(OFFSET($C2405,0,$A2405)/(OFFSET($C2400,-$A2404,$A2405))))),0))</f>
        <v>0</v>
      </c>
      <c r="T2405" s="1423">
        <f t="shared" ca="1" si="3506"/>
        <v>0</v>
      </c>
      <c r="U2405" s="1423">
        <f t="shared" ca="1" si="3507"/>
        <v>0</v>
      </c>
      <c r="V2405" s="1423">
        <f t="shared" ca="1" si="3508"/>
        <v>0</v>
      </c>
      <c r="W2405" s="1423">
        <f t="shared" ca="1" si="3509"/>
        <v>0</v>
      </c>
      <c r="X2405" s="202"/>
      <c r="Y2405" s="202"/>
      <c r="Z2405" s="202"/>
      <c r="AA2405" s="152"/>
      <c r="AB2405" s="152"/>
    </row>
    <row r="2406" spans="1:28" hidden="1" outlineLevel="1">
      <c r="A2406" s="199">
        <f t="shared" si="3510"/>
        <v>16</v>
      </c>
      <c r="B2406" s="190" t="str">
        <f t="shared" ca="1" si="3511"/>
        <v>Depreciated Net Capex 2031-32</v>
      </c>
      <c r="C2406" s="1426"/>
      <c r="D2406" s="1426"/>
      <c r="E2406" s="1426"/>
      <c r="F2406" s="1426"/>
      <c r="G2406" s="1426"/>
      <c r="H2406" s="1426"/>
      <c r="I2406" s="1426"/>
      <c r="J2406" s="1426"/>
      <c r="K2406" s="1426"/>
      <c r="L2406" s="1426"/>
      <c r="M2406" s="1426"/>
      <c r="N2406" s="1426"/>
      <c r="O2406" s="1426"/>
      <c r="P2406" s="1426"/>
      <c r="Q2406" s="1426"/>
      <c r="R2406" s="1427"/>
      <c r="S2406" s="1428">
        <f>S2385</f>
        <v>0</v>
      </c>
      <c r="T2406" s="1423">
        <f ca="1">IF(S2430="n/a",S2406,IFERROR(IF((OFFSET($C2406,0,$A2406))&lt;0,
MIN(0,S2406-(OFFSET($C2406,0,$A2406)/(OFFSET($C2401,-$A2405,$A2406)))),
MAX(0,S2406-(OFFSET($C2406,0,$A2406)/(OFFSET($C2401,-$A2405,$A2406))))),0))</f>
        <v>0</v>
      </c>
      <c r="U2406" s="1423">
        <f t="shared" ca="1" si="3507"/>
        <v>0</v>
      </c>
      <c r="V2406" s="1423">
        <f t="shared" ca="1" si="3508"/>
        <v>0</v>
      </c>
      <c r="W2406" s="1423">
        <f t="shared" ca="1" si="3509"/>
        <v>0</v>
      </c>
      <c r="X2406" s="202"/>
      <c r="Y2406" s="202"/>
      <c r="Z2406" s="202"/>
      <c r="AA2406" s="152"/>
      <c r="AB2406" s="152"/>
    </row>
    <row r="2407" spans="1:28" hidden="1" outlineLevel="1">
      <c r="A2407" s="199">
        <f t="shared" si="3510"/>
        <v>17</v>
      </c>
      <c r="B2407" s="190" t="str">
        <f t="shared" ca="1" si="3511"/>
        <v>Depreciated Net Capex 2032-33</v>
      </c>
      <c r="C2407" s="1426"/>
      <c r="D2407" s="1426"/>
      <c r="E2407" s="1426"/>
      <c r="F2407" s="1426"/>
      <c r="G2407" s="1426"/>
      <c r="H2407" s="1426"/>
      <c r="I2407" s="1426"/>
      <c r="J2407" s="1426"/>
      <c r="K2407" s="1426"/>
      <c r="L2407" s="1426"/>
      <c r="M2407" s="1426"/>
      <c r="N2407" s="1426"/>
      <c r="O2407" s="1426"/>
      <c r="P2407" s="1426"/>
      <c r="Q2407" s="1426"/>
      <c r="R2407" s="1426"/>
      <c r="S2407" s="1427"/>
      <c r="T2407" s="1428">
        <f>T2385</f>
        <v>0</v>
      </c>
      <c r="U2407" s="1423">
        <f ca="1">IF(T2431="n/a",T2407,IFERROR(IF((OFFSET($C2407,0,$A2407))&lt;0,
MIN(0,T2407-(OFFSET($C2407,0,$A2407)/(OFFSET($C2402,-$A2406,$A2407)))),
MAX(0,T2407-(OFFSET($C2407,0,$A2407)/(OFFSET($C2402,-$A2406,$A2407))))),0))</f>
        <v>0</v>
      </c>
      <c r="V2407" s="1423">
        <f t="shared" ca="1" si="3508"/>
        <v>0</v>
      </c>
      <c r="W2407" s="1423">
        <f t="shared" ca="1" si="3509"/>
        <v>0</v>
      </c>
      <c r="X2407" s="202"/>
      <c r="Y2407" s="202"/>
      <c r="Z2407" s="202"/>
      <c r="AA2407" s="152"/>
      <c r="AB2407" s="152"/>
    </row>
    <row r="2408" spans="1:28" hidden="1" outlineLevel="1">
      <c r="A2408" s="199">
        <f t="shared" si="3510"/>
        <v>18</v>
      </c>
      <c r="B2408" s="190" t="str">
        <f t="shared" ca="1" si="3511"/>
        <v>Depreciated Net Capex 2033-34</v>
      </c>
      <c r="C2408" s="1426"/>
      <c r="D2408" s="1426"/>
      <c r="E2408" s="1426"/>
      <c r="F2408" s="1426"/>
      <c r="G2408" s="1426"/>
      <c r="H2408" s="1426"/>
      <c r="I2408" s="1426"/>
      <c r="J2408" s="1426"/>
      <c r="K2408" s="1426"/>
      <c r="L2408" s="1426"/>
      <c r="M2408" s="1426"/>
      <c r="N2408" s="1426"/>
      <c r="O2408" s="1426"/>
      <c r="P2408" s="1426"/>
      <c r="Q2408" s="1426"/>
      <c r="R2408" s="1426"/>
      <c r="S2408" s="1426"/>
      <c r="T2408" s="1427"/>
      <c r="U2408" s="1428">
        <f>U2385</f>
        <v>0</v>
      </c>
      <c r="V2408" s="1423">
        <f ca="1">IF(U2432="n/a",U2408,IFERROR(IF((OFFSET($C2408,0,$A2408))&lt;0,
MIN(0,U2408-(OFFSET($C2408,0,$A2408)/(OFFSET($C2403,-$A2407,$A2408)))),
MAX(0,U2408-(OFFSET($C2408,0,$A2408)/(OFFSET($C2403,-$A2407,$A2408))))),0))</f>
        <v>0</v>
      </c>
      <c r="W2408" s="1423">
        <f t="shared" ca="1" si="3509"/>
        <v>0</v>
      </c>
      <c r="X2408" s="202"/>
      <c r="Y2408" s="202"/>
      <c r="Z2408" s="202"/>
      <c r="AA2408" s="152"/>
      <c r="AB2408" s="152"/>
    </row>
    <row r="2409" spans="1:28" hidden="1" outlineLevel="1">
      <c r="A2409" s="199">
        <f t="shared" si="3510"/>
        <v>19</v>
      </c>
      <c r="B2409" s="190" t="str">
        <f t="shared" ca="1" si="3511"/>
        <v>Depreciated Net Capex 2034-35</v>
      </c>
      <c r="C2409" s="1426"/>
      <c r="D2409" s="1426"/>
      <c r="E2409" s="1426"/>
      <c r="F2409" s="1426"/>
      <c r="G2409" s="1426"/>
      <c r="H2409" s="1426"/>
      <c r="I2409" s="1426"/>
      <c r="J2409" s="1426"/>
      <c r="K2409" s="1426"/>
      <c r="L2409" s="1426"/>
      <c r="M2409" s="1426"/>
      <c r="N2409" s="1426"/>
      <c r="O2409" s="1426"/>
      <c r="P2409" s="1426"/>
      <c r="Q2409" s="1426"/>
      <c r="R2409" s="1426"/>
      <c r="S2409" s="1426"/>
      <c r="T2409" s="1426"/>
      <c r="U2409" s="1427"/>
      <c r="V2409" s="1428">
        <f>V2385</f>
        <v>0</v>
      </c>
      <c r="W2409" s="1423">
        <f ca="1">IF(V2433="n/a",V2409,IFERROR(IF((OFFSET($C2409,0,$A2409))&lt;0,
MIN(0,V2409-(OFFSET($C2409,0,$A2409)/(OFFSET($C2404,-$A2408,$A2409)))),
MAX(0,V2409-(OFFSET($C2409,0,$A2409)/(OFFSET($C2404,-$A2408,$A2409))))),0))</f>
        <v>0</v>
      </c>
      <c r="X2409" s="202"/>
      <c r="Y2409" s="202"/>
      <c r="Z2409" s="202"/>
      <c r="AA2409" s="152"/>
      <c r="AB2409" s="152"/>
    </row>
    <row r="2410" spans="1:28" hidden="1" outlineLevel="1">
      <c r="A2410" s="199">
        <f t="shared" si="3510"/>
        <v>20</v>
      </c>
      <c r="B2410" s="190" t="str">
        <f t="shared" ca="1" si="3511"/>
        <v>Depreciated Net Capex 2035-36</v>
      </c>
      <c r="C2410" s="1426"/>
      <c r="D2410" s="1426"/>
      <c r="E2410" s="1426"/>
      <c r="F2410" s="1426"/>
      <c r="G2410" s="1426"/>
      <c r="H2410" s="1426"/>
      <c r="I2410" s="1426"/>
      <c r="J2410" s="1426"/>
      <c r="K2410" s="1426"/>
      <c r="L2410" s="1426"/>
      <c r="M2410" s="1426"/>
      <c r="N2410" s="1426"/>
      <c r="O2410" s="1426"/>
      <c r="P2410" s="1426"/>
      <c r="Q2410" s="1426"/>
      <c r="R2410" s="1426"/>
      <c r="S2410" s="1426"/>
      <c r="T2410" s="1426"/>
      <c r="U2410" s="1426"/>
      <c r="V2410" s="1427"/>
      <c r="W2410" s="1423">
        <f>W2385</f>
        <v>0</v>
      </c>
      <c r="X2410" s="152"/>
      <c r="Y2410" s="152"/>
      <c r="Z2410" s="152"/>
      <c r="AA2410" s="152"/>
      <c r="AB2410" s="152"/>
    </row>
    <row r="2411" spans="1:28" hidden="1" outlineLevel="1">
      <c r="A2411" s="152"/>
      <c r="B2411" s="200"/>
      <c r="C2411" s="1423"/>
      <c r="D2411" s="1423"/>
      <c r="E2411" s="1423"/>
      <c r="F2411" s="1423"/>
      <c r="G2411" s="1423"/>
      <c r="H2411" s="1423"/>
      <c r="I2411" s="1423"/>
      <c r="J2411" s="1423"/>
      <c r="K2411" s="1423"/>
      <c r="L2411" s="1423"/>
      <c r="M2411" s="1423"/>
      <c r="N2411" s="1423"/>
      <c r="O2411" s="1423"/>
      <c r="P2411" s="1423"/>
      <c r="Q2411" s="1423"/>
      <c r="R2411" s="1423"/>
      <c r="S2411" s="1423"/>
      <c r="T2411" s="1423"/>
      <c r="U2411" s="1423"/>
      <c r="V2411" s="1423"/>
      <c r="W2411" s="1423"/>
      <c r="X2411" s="152"/>
      <c r="Y2411" s="152"/>
      <c r="Z2411" s="152"/>
      <c r="AA2411" s="152"/>
      <c r="AB2411" s="152"/>
    </row>
    <row r="2412" spans="1:28" hidden="1" outlineLevel="1">
      <c r="A2412" s="152"/>
      <c r="B2412" s="200"/>
      <c r="C2412" s="1423"/>
      <c r="D2412" s="1423"/>
      <c r="E2412" s="1423"/>
      <c r="F2412" s="1423"/>
      <c r="G2412" s="1423"/>
      <c r="H2412" s="1423"/>
      <c r="I2412" s="1423"/>
      <c r="J2412" s="1423"/>
      <c r="K2412" s="1423"/>
      <c r="L2412" s="1423"/>
      <c r="M2412" s="1423"/>
      <c r="N2412" s="1423"/>
      <c r="O2412" s="1423"/>
      <c r="P2412" s="1423"/>
      <c r="Q2412" s="1423"/>
      <c r="R2412" s="1423"/>
      <c r="S2412" s="1423"/>
      <c r="T2412" s="1423"/>
      <c r="U2412" s="1423"/>
      <c r="V2412" s="1423"/>
      <c r="W2412" s="1423"/>
      <c r="X2412" s="152"/>
      <c r="Y2412" s="152"/>
      <c r="Z2412" s="152"/>
      <c r="AA2412" s="152"/>
      <c r="AB2412" s="152"/>
    </row>
    <row r="2413" spans="1:28" hidden="1" outlineLevel="1">
      <c r="A2413" s="152"/>
      <c r="B2413" s="190" t="s">
        <v>194</v>
      </c>
      <c r="C2413" s="1423"/>
      <c r="D2413" s="1423">
        <f t="shared" ref="D2413" ca="1" si="3512">IF(AND(C2413&lt;1,D2387=0),0,
IF(D2387=0,C2413-1,
IF(C2413&lt;1,D2388,
(((C2413-1)*(C2389-(C2389/(C2413))))+(D2387*D2388))/(D2389))))</f>
        <v>0</v>
      </c>
      <c r="E2413" s="1423">
        <f t="shared" ref="E2413" ca="1" si="3513">IF(AND(D2413&lt;1,E2387=0),0,
IF(E2387=0,D2413-1,
IF(D2413&lt;1,E2388,
(((D2413-1)*(D2389-(D2389/(D2413))))+(E2387*E2388))/(E2389))))</f>
        <v>0</v>
      </c>
      <c r="F2413" s="1423">
        <f t="shared" ref="F2413" ca="1" si="3514">IF(AND(E2413&lt;1,F2387=0),0,
IF(F2387=0,E2413-1,
IF(E2413&lt;1,F2388,
(((E2413-1)*(E2389-(E2389/(E2413))))+(F2387*F2388))/(F2389))))</f>
        <v>0</v>
      </c>
      <c r="G2413" s="1423">
        <f t="shared" ref="G2413" ca="1" si="3515">IF(AND(F2413&lt;1,G2387=0),0,
IF(G2387=0,F2413-1,
IF(F2413&lt;1,G2388,
(((F2413-1)*(F2389-(F2389/(F2413))))+(G2387*G2388))/(G2389))))</f>
        <v>0</v>
      </c>
      <c r="H2413" s="1423">
        <f ca="1">IF(AND(G2413&lt;1,H2387=0),0,
IF(H2387=0,G2413-1,
IF(G2413&lt;1,H2388,
(((G2413-1)*(G2389-(G2389/(G2413))))+(H2387*H2388))/(H2389))))</f>
        <v>0</v>
      </c>
      <c r="I2413" s="1423">
        <f t="shared" ref="I2413" ca="1" si="3516">IF(AND(H2413&lt;1,I2387=0),0,
IF(I2387=0,H2413-1,
IF(H2413&lt;1,I2388,
(((H2413-1)*(H2389-(H2389/(H2413))))+(I2387*I2388))/(I2389))))</f>
        <v>0</v>
      </c>
      <c r="J2413" s="1423">
        <f t="shared" ref="J2413" ca="1" si="3517">IF(AND(I2413&lt;1,J2387=0),0,
IF(J2387=0,I2413-1,
IF(I2413&lt;1,J2388,
(((I2413-1)*(I2389-(I2389/(I2413))))+(J2387*J2388))/(J2389))))</f>
        <v>0</v>
      </c>
      <c r="K2413" s="1423">
        <f t="shared" ref="K2413" ca="1" si="3518">IF(AND(J2413&lt;1,K2387=0),0,
IF(K2387=0,J2413-1,
IF(J2413&lt;1,K2388,
(((J2413-1)*(J2389-(J2389/(J2413))))+(K2387*K2388))/(K2389))))</f>
        <v>0</v>
      </c>
      <c r="L2413" s="1423">
        <f t="shared" ref="L2413" ca="1" si="3519">IF(AND(K2413&lt;1,L2387=0),0,
IF(L2387=0,K2413-1,
IF(K2413&lt;1,L2388,
(((K2413-1)*(K2389-(K2389/(K2413))))+(L2387*L2388))/(L2389))))</f>
        <v>0</v>
      </c>
      <c r="M2413" s="1423">
        <f ca="1">IF(AND(L2413&lt;1,M2387=0),0,
IF(M2387=0,L2413-1,
IF(L2413&lt;1,M2388,
(((L2413-1)*(L2389-(L2389/(L2413))))+(M2387*M2388))/(M2389))))</f>
        <v>0</v>
      </c>
      <c r="N2413" s="1423">
        <f t="shared" ref="N2413" ca="1" si="3520">IF(AND(M2413&lt;1,N2387=0),0,
IF(N2387=0,M2413-1,
IF(M2413&lt;1,N2388,
(((M2413-1)*(M2389-(M2389/(M2413))))+(N2387*N2388))/(N2389))))</f>
        <v>0</v>
      </c>
      <c r="O2413" s="1423">
        <f t="shared" ref="O2413" ca="1" si="3521">IF(AND(N2413&lt;1,O2387=0),0,
IF(O2387=0,N2413-1,
IF(N2413&lt;1,O2388,
(((N2413-1)*(N2389-(N2389/(N2413))))+(O2387*O2388))/(O2389))))</f>
        <v>0</v>
      </c>
      <c r="P2413" s="1423">
        <f t="shared" ref="P2413" ca="1" si="3522">IF(AND(O2413&lt;1,P2387=0),0,
IF(P2387=0,O2413-1,
IF(O2413&lt;1,P2388,
(((O2413-1)*(O2389-(O2389/(O2413))))+(P2387*P2388))/(P2389))))</f>
        <v>0</v>
      </c>
      <c r="Q2413" s="1423">
        <f t="shared" ref="Q2413" ca="1" si="3523">IF(AND(P2413&lt;1,Q2387=0),0,
IF(Q2387=0,P2413-1,
IF(P2413&lt;1,Q2388,
(((P2413-1)*(P2389-(P2389/(P2413))))+(Q2387*Q2388))/(Q2389))))</f>
        <v>0</v>
      </c>
      <c r="R2413" s="1423">
        <f t="shared" ref="R2413" ca="1" si="3524">IF(AND(Q2413&lt;1,R2387=0),0,
IF(R2387=0,Q2413-1,
IF(Q2413&lt;1,R2388,
(((Q2413-1)*(Q2389-(Q2389/(Q2413))))+(R2387*R2388))/(R2389))))</f>
        <v>0</v>
      </c>
      <c r="S2413" s="1423">
        <f t="shared" ref="S2413" ca="1" si="3525">IF(AND(R2413&lt;1,S2387=0),0,
IF(S2387=0,R2413-1,
IF(R2413&lt;1,S2388,
(((R2413-1)*(R2389-(R2389/(R2413))))+(S2387*S2388))/(S2389))))</f>
        <v>0</v>
      </c>
      <c r="T2413" s="1423">
        <f t="shared" ref="T2413" ca="1" si="3526">IF(AND(S2413&lt;1,T2387=0),0,
IF(T2387=0,S2413-1,
IF(S2413&lt;1,T2388,
(((S2413-1)*(S2389-(S2389/(S2413))))+(T2387*T2388))/(T2389))))</f>
        <v>0</v>
      </c>
      <c r="U2413" s="1423">
        <f t="shared" ref="U2413" ca="1" si="3527">IF(AND(T2413&lt;1,U2387=0),0,
IF(U2387=0,T2413-1,
IF(T2413&lt;1,U2388,
(((T2413-1)*(T2389-(T2389/(T2413))))+(U2387*U2388))/(U2389))))</f>
        <v>0</v>
      </c>
      <c r="V2413" s="1423">
        <f t="shared" ref="V2413" ca="1" si="3528">IF(AND(U2413&lt;1,V2387=0),0,
IF(V2387=0,U2413-1,
IF(U2413&lt;1,V2388,
(((U2413-1)*(U2389-(U2389/(U2413))))+(V2387*V2388))/(V2389))))</f>
        <v>0</v>
      </c>
      <c r="W2413" s="1423">
        <f t="shared" ref="W2413" ca="1" si="3529">IF(AND(V2413&lt;1,W2387=0),0,
IF(W2387=0,V2413-1,
IF(V2413&lt;1,W2388,
(((V2413-1)*(V2389-(V2389/(V2413))))+(W2387*W2388))/(W2389))))</f>
        <v>0</v>
      </c>
      <c r="X2413" s="152"/>
      <c r="Y2413" s="152"/>
      <c r="Z2413" s="152"/>
      <c r="AA2413" s="152"/>
      <c r="AB2413" s="152"/>
    </row>
    <row r="2414" spans="1:28" hidden="1" outlineLevel="1">
      <c r="A2414" s="152"/>
      <c r="B2414" s="190" t="s">
        <v>193</v>
      </c>
      <c r="C2414" s="1423">
        <f ca="1">C2386</f>
        <v>0</v>
      </c>
      <c r="D2414" s="1423">
        <f t="shared" ref="D2414" ca="1" si="3530">IF(C2414="n/a","n/a",MAX(0,C2414-1))</f>
        <v>0</v>
      </c>
      <c r="E2414" s="1423">
        <f t="shared" ref="E2414:E2415" ca="1" si="3531">IF(D2414="n/a","n/a",MAX(0,D2414-1))</f>
        <v>0</v>
      </c>
      <c r="F2414" s="1423">
        <f t="shared" ref="F2414:F2416" ca="1" si="3532">IF(E2414="n/a","n/a",MAX(0,E2414-1))</f>
        <v>0</v>
      </c>
      <c r="G2414" s="1423">
        <f t="shared" ref="G2414:G2417" ca="1" si="3533">IF(F2414="n/a","n/a",MAX(0,F2414-1))</f>
        <v>0</v>
      </c>
      <c r="H2414" s="1423">
        <f t="shared" ref="H2414:H2418" ca="1" si="3534">IF(G2414="n/a","n/a",MAX(0,G2414-1))</f>
        <v>0</v>
      </c>
      <c r="I2414" s="1423">
        <f t="shared" ref="I2414:I2419" ca="1" si="3535">IF(H2414="n/a","n/a",MAX(0,H2414-1))</f>
        <v>0</v>
      </c>
      <c r="J2414" s="1423">
        <f t="shared" ref="J2414:J2420" ca="1" si="3536">IF(I2414="n/a","n/a",MAX(0,I2414-1))</f>
        <v>0</v>
      </c>
      <c r="K2414" s="1423">
        <f t="shared" ref="K2414:K2421" ca="1" si="3537">IF(J2414="n/a","n/a",MAX(0,J2414-1))</f>
        <v>0</v>
      </c>
      <c r="L2414" s="1423">
        <f t="shared" ref="L2414:L2422" ca="1" si="3538">IF(K2414="n/a","n/a",MAX(0,K2414-1))</f>
        <v>0</v>
      </c>
      <c r="M2414" s="1423">
        <f t="shared" ref="M2414:M2423" ca="1" si="3539">IF(L2414="n/a","n/a",MAX(0,L2414-1))</f>
        <v>0</v>
      </c>
      <c r="N2414" s="1423">
        <f t="shared" ref="N2414:N2424" ca="1" si="3540">IF(M2414="n/a","n/a",MAX(0,M2414-1))</f>
        <v>0</v>
      </c>
      <c r="O2414" s="1423">
        <f t="shared" ref="O2414:O2425" ca="1" si="3541">IF(N2414="n/a","n/a",MAX(0,N2414-1))</f>
        <v>0</v>
      </c>
      <c r="P2414" s="1423">
        <f t="shared" ref="P2414:P2426" ca="1" si="3542">IF(O2414="n/a","n/a",MAX(0,O2414-1))</f>
        <v>0</v>
      </c>
      <c r="Q2414" s="1423">
        <f t="shared" ref="Q2414:Q2427" ca="1" si="3543">IF(P2414="n/a","n/a",MAX(0,P2414-1))</f>
        <v>0</v>
      </c>
      <c r="R2414" s="1423">
        <f t="shared" ref="R2414:R2428" ca="1" si="3544">IF(Q2414="n/a","n/a",MAX(0,Q2414-1))</f>
        <v>0</v>
      </c>
      <c r="S2414" s="1423">
        <f t="shared" ref="S2414:S2429" ca="1" si="3545">IF(R2414="n/a","n/a",MAX(0,R2414-1))</f>
        <v>0</v>
      </c>
      <c r="T2414" s="1423">
        <f t="shared" ref="T2414:T2430" ca="1" si="3546">IF(S2414="n/a","n/a",MAX(0,S2414-1))</f>
        <v>0</v>
      </c>
      <c r="U2414" s="1423">
        <f t="shared" ref="U2414:U2431" ca="1" si="3547">IF(T2414="n/a","n/a",MAX(0,T2414-1))</f>
        <v>0</v>
      </c>
      <c r="V2414" s="1423">
        <f t="shared" ref="V2414:V2432" ca="1" si="3548">IF(U2414="n/a","n/a",MAX(0,U2414-1))</f>
        <v>0</v>
      </c>
      <c r="W2414" s="1423">
        <f t="shared" ref="W2414:W2432" ca="1" si="3549">IF(V2414="n/a","n/a",MAX(0,V2414-1))</f>
        <v>0</v>
      </c>
      <c r="X2414" s="152"/>
      <c r="Y2414" s="152"/>
      <c r="Z2414" s="152"/>
      <c r="AA2414" s="152"/>
      <c r="AB2414" s="152"/>
    </row>
    <row r="2415" spans="1:28" hidden="1" outlineLevel="1">
      <c r="A2415" s="152"/>
      <c r="B2415" s="190" t="str">
        <f t="shared" ref="B2415:B2434" ca="1" si="3550">"RL Capex "&amp;OFFSET($C$6,0,A2391)</f>
        <v>RL Capex 2016-17</v>
      </c>
      <c r="C2415" s="1424"/>
      <c r="D2415" s="1428">
        <f>D2386</f>
        <v>0</v>
      </c>
      <c r="E2415" s="1423">
        <f t="shared" si="3531"/>
        <v>0</v>
      </c>
      <c r="F2415" s="1423">
        <f t="shared" si="3532"/>
        <v>0</v>
      </c>
      <c r="G2415" s="1423">
        <f t="shared" si="3533"/>
        <v>0</v>
      </c>
      <c r="H2415" s="1423">
        <f t="shared" si="3534"/>
        <v>0</v>
      </c>
      <c r="I2415" s="1423">
        <f t="shared" si="3535"/>
        <v>0</v>
      </c>
      <c r="J2415" s="1423">
        <f t="shared" si="3536"/>
        <v>0</v>
      </c>
      <c r="K2415" s="1423">
        <f t="shared" si="3537"/>
        <v>0</v>
      </c>
      <c r="L2415" s="1423">
        <f t="shared" si="3538"/>
        <v>0</v>
      </c>
      <c r="M2415" s="1423">
        <f t="shared" si="3539"/>
        <v>0</v>
      </c>
      <c r="N2415" s="1423">
        <f t="shared" si="3540"/>
        <v>0</v>
      </c>
      <c r="O2415" s="1423">
        <f t="shared" si="3541"/>
        <v>0</v>
      </c>
      <c r="P2415" s="1423">
        <f t="shared" si="3542"/>
        <v>0</v>
      </c>
      <c r="Q2415" s="1423">
        <f t="shared" si="3543"/>
        <v>0</v>
      </c>
      <c r="R2415" s="1423">
        <f t="shared" si="3544"/>
        <v>0</v>
      </c>
      <c r="S2415" s="1423">
        <f t="shared" si="3545"/>
        <v>0</v>
      </c>
      <c r="T2415" s="1423">
        <f t="shared" si="3546"/>
        <v>0</v>
      </c>
      <c r="U2415" s="1423">
        <f t="shared" si="3547"/>
        <v>0</v>
      </c>
      <c r="V2415" s="1423">
        <f t="shared" si="3548"/>
        <v>0</v>
      </c>
      <c r="W2415" s="1423">
        <f t="shared" si="3549"/>
        <v>0</v>
      </c>
      <c r="X2415" s="152"/>
      <c r="Y2415" s="152"/>
      <c r="Z2415" s="152"/>
      <c r="AA2415" s="152"/>
      <c r="AB2415" s="152"/>
    </row>
    <row r="2416" spans="1:28" hidden="1" outlineLevel="1">
      <c r="A2416" s="152"/>
      <c r="B2416" s="190" t="str">
        <f t="shared" ca="1" si="3550"/>
        <v>RL Capex 2017-18</v>
      </c>
      <c r="C2416" s="1429"/>
      <c r="D2416" s="1424"/>
      <c r="E2416" s="1428">
        <f>E2386</f>
        <v>0</v>
      </c>
      <c r="F2416" s="1423">
        <f t="shared" si="3532"/>
        <v>0</v>
      </c>
      <c r="G2416" s="1423">
        <f t="shared" si="3533"/>
        <v>0</v>
      </c>
      <c r="H2416" s="1423">
        <f t="shared" si="3534"/>
        <v>0</v>
      </c>
      <c r="I2416" s="1423">
        <f t="shared" si="3535"/>
        <v>0</v>
      </c>
      <c r="J2416" s="1423">
        <f t="shared" si="3536"/>
        <v>0</v>
      </c>
      <c r="K2416" s="1423">
        <f t="shared" si="3537"/>
        <v>0</v>
      </c>
      <c r="L2416" s="1423">
        <f t="shared" si="3538"/>
        <v>0</v>
      </c>
      <c r="M2416" s="1423">
        <f t="shared" si="3539"/>
        <v>0</v>
      </c>
      <c r="N2416" s="1423">
        <f t="shared" si="3540"/>
        <v>0</v>
      </c>
      <c r="O2416" s="1423">
        <f t="shared" si="3541"/>
        <v>0</v>
      </c>
      <c r="P2416" s="1423">
        <f t="shared" si="3542"/>
        <v>0</v>
      </c>
      <c r="Q2416" s="1423">
        <f t="shared" si="3543"/>
        <v>0</v>
      </c>
      <c r="R2416" s="1423">
        <f t="shared" si="3544"/>
        <v>0</v>
      </c>
      <c r="S2416" s="1423">
        <f t="shared" si="3545"/>
        <v>0</v>
      </c>
      <c r="T2416" s="1423">
        <f t="shared" si="3546"/>
        <v>0</v>
      </c>
      <c r="U2416" s="1423">
        <f t="shared" si="3547"/>
        <v>0</v>
      </c>
      <c r="V2416" s="1423">
        <f t="shared" si="3548"/>
        <v>0</v>
      </c>
      <c r="W2416" s="1423">
        <f t="shared" si="3549"/>
        <v>0</v>
      </c>
      <c r="X2416" s="152"/>
      <c r="Y2416" s="152"/>
      <c r="Z2416" s="152"/>
      <c r="AA2416" s="152"/>
      <c r="AB2416" s="152"/>
    </row>
    <row r="2417" spans="1:28" hidden="1" outlineLevel="1">
      <c r="A2417" s="152"/>
      <c r="B2417" s="190" t="str">
        <f t="shared" ca="1" si="3550"/>
        <v>RL Capex 2018-19</v>
      </c>
      <c r="C2417" s="1429"/>
      <c r="D2417" s="1429"/>
      <c r="E2417" s="1424"/>
      <c r="F2417" s="1428">
        <f>F2386</f>
        <v>0</v>
      </c>
      <c r="G2417" s="1423">
        <f t="shared" si="3533"/>
        <v>0</v>
      </c>
      <c r="H2417" s="1423">
        <f t="shared" si="3534"/>
        <v>0</v>
      </c>
      <c r="I2417" s="1423">
        <f t="shared" si="3535"/>
        <v>0</v>
      </c>
      <c r="J2417" s="1423">
        <f t="shared" si="3536"/>
        <v>0</v>
      </c>
      <c r="K2417" s="1423">
        <f t="shared" si="3537"/>
        <v>0</v>
      </c>
      <c r="L2417" s="1423">
        <f t="shared" si="3538"/>
        <v>0</v>
      </c>
      <c r="M2417" s="1423">
        <f t="shared" si="3539"/>
        <v>0</v>
      </c>
      <c r="N2417" s="1423">
        <f t="shared" si="3540"/>
        <v>0</v>
      </c>
      <c r="O2417" s="1423">
        <f t="shared" si="3541"/>
        <v>0</v>
      </c>
      <c r="P2417" s="1423">
        <f t="shared" si="3542"/>
        <v>0</v>
      </c>
      <c r="Q2417" s="1423">
        <f t="shared" si="3543"/>
        <v>0</v>
      </c>
      <c r="R2417" s="1423">
        <f t="shared" si="3544"/>
        <v>0</v>
      </c>
      <c r="S2417" s="1423">
        <f t="shared" si="3545"/>
        <v>0</v>
      </c>
      <c r="T2417" s="1423">
        <f t="shared" si="3546"/>
        <v>0</v>
      </c>
      <c r="U2417" s="1423">
        <f t="shared" si="3547"/>
        <v>0</v>
      </c>
      <c r="V2417" s="1423">
        <f t="shared" si="3548"/>
        <v>0</v>
      </c>
      <c r="W2417" s="1423">
        <f t="shared" si="3549"/>
        <v>0</v>
      </c>
      <c r="X2417" s="152"/>
      <c r="Y2417" s="152"/>
      <c r="Z2417" s="152"/>
      <c r="AA2417" s="152"/>
      <c r="AB2417" s="152"/>
    </row>
    <row r="2418" spans="1:28" hidden="1" outlineLevel="1">
      <c r="A2418" s="152"/>
      <c r="B2418" s="190" t="str">
        <f t="shared" ca="1" si="3550"/>
        <v>RL Capex 2019-20</v>
      </c>
      <c r="C2418" s="1429"/>
      <c r="D2418" s="1429"/>
      <c r="E2418" s="1429"/>
      <c r="F2418" s="1424"/>
      <c r="G2418" s="1428">
        <f>G2386</f>
        <v>0</v>
      </c>
      <c r="H2418" s="1423">
        <f t="shared" si="3534"/>
        <v>0</v>
      </c>
      <c r="I2418" s="1423">
        <f t="shared" si="3535"/>
        <v>0</v>
      </c>
      <c r="J2418" s="1423">
        <f t="shared" si="3536"/>
        <v>0</v>
      </c>
      <c r="K2418" s="1423">
        <f t="shared" si="3537"/>
        <v>0</v>
      </c>
      <c r="L2418" s="1423">
        <f t="shared" si="3538"/>
        <v>0</v>
      </c>
      <c r="M2418" s="1423">
        <f t="shared" si="3539"/>
        <v>0</v>
      </c>
      <c r="N2418" s="1423">
        <f t="shared" si="3540"/>
        <v>0</v>
      </c>
      <c r="O2418" s="1423">
        <f t="shared" si="3541"/>
        <v>0</v>
      </c>
      <c r="P2418" s="1423">
        <f t="shared" si="3542"/>
        <v>0</v>
      </c>
      <c r="Q2418" s="1423">
        <f t="shared" si="3543"/>
        <v>0</v>
      </c>
      <c r="R2418" s="1423">
        <f t="shared" si="3544"/>
        <v>0</v>
      </c>
      <c r="S2418" s="1423">
        <f t="shared" si="3545"/>
        <v>0</v>
      </c>
      <c r="T2418" s="1423">
        <f t="shared" si="3546"/>
        <v>0</v>
      </c>
      <c r="U2418" s="1423">
        <f t="shared" si="3547"/>
        <v>0</v>
      </c>
      <c r="V2418" s="1423">
        <f t="shared" si="3548"/>
        <v>0</v>
      </c>
      <c r="W2418" s="1423">
        <f t="shared" si="3549"/>
        <v>0</v>
      </c>
      <c r="X2418" s="152"/>
      <c r="Y2418" s="152"/>
      <c r="Z2418" s="152"/>
      <c r="AA2418" s="152"/>
      <c r="AB2418" s="152"/>
    </row>
    <row r="2419" spans="1:28" hidden="1" outlineLevel="1">
      <c r="A2419" s="152"/>
      <c r="B2419" s="190" t="str">
        <f t="shared" ca="1" si="3550"/>
        <v>RL Capex 2020-21</v>
      </c>
      <c r="C2419" s="1429"/>
      <c r="D2419" s="1429"/>
      <c r="E2419" s="1429"/>
      <c r="F2419" s="1429"/>
      <c r="G2419" s="1424"/>
      <c r="H2419" s="1428">
        <f>H2386</f>
        <v>0</v>
      </c>
      <c r="I2419" s="1423">
        <f t="shared" si="3535"/>
        <v>0</v>
      </c>
      <c r="J2419" s="1423">
        <f t="shared" si="3536"/>
        <v>0</v>
      </c>
      <c r="K2419" s="1423">
        <f t="shared" si="3537"/>
        <v>0</v>
      </c>
      <c r="L2419" s="1423">
        <f t="shared" si="3538"/>
        <v>0</v>
      </c>
      <c r="M2419" s="1423">
        <f t="shared" si="3539"/>
        <v>0</v>
      </c>
      <c r="N2419" s="1423">
        <f t="shared" si="3540"/>
        <v>0</v>
      </c>
      <c r="O2419" s="1423">
        <f t="shared" si="3541"/>
        <v>0</v>
      </c>
      <c r="P2419" s="1423">
        <f t="shared" si="3542"/>
        <v>0</v>
      </c>
      <c r="Q2419" s="1423">
        <f t="shared" si="3543"/>
        <v>0</v>
      </c>
      <c r="R2419" s="1423">
        <f t="shared" si="3544"/>
        <v>0</v>
      </c>
      <c r="S2419" s="1423">
        <f t="shared" si="3545"/>
        <v>0</v>
      </c>
      <c r="T2419" s="1423">
        <f t="shared" si="3546"/>
        <v>0</v>
      </c>
      <c r="U2419" s="1423">
        <f t="shared" si="3547"/>
        <v>0</v>
      </c>
      <c r="V2419" s="1423">
        <f t="shared" si="3548"/>
        <v>0</v>
      </c>
      <c r="W2419" s="1423">
        <f t="shared" si="3549"/>
        <v>0</v>
      </c>
      <c r="X2419" s="152"/>
      <c r="Y2419" s="152"/>
      <c r="Z2419" s="152"/>
      <c r="AA2419" s="152"/>
      <c r="AB2419" s="152"/>
    </row>
    <row r="2420" spans="1:28" hidden="1" outlineLevel="1">
      <c r="A2420" s="152"/>
      <c r="B2420" s="190" t="str">
        <f t="shared" ca="1" si="3550"/>
        <v>RL Capex 2021-22</v>
      </c>
      <c r="C2420" s="1429"/>
      <c r="D2420" s="1429"/>
      <c r="E2420" s="1429"/>
      <c r="F2420" s="1429"/>
      <c r="G2420" s="1429"/>
      <c r="H2420" s="1424"/>
      <c r="I2420" s="1428">
        <f>I2386</f>
        <v>0</v>
      </c>
      <c r="J2420" s="1423">
        <f t="shared" si="3536"/>
        <v>0</v>
      </c>
      <c r="K2420" s="1423">
        <f t="shared" si="3537"/>
        <v>0</v>
      </c>
      <c r="L2420" s="1423">
        <f t="shared" si="3538"/>
        <v>0</v>
      </c>
      <c r="M2420" s="1423">
        <f t="shared" si="3539"/>
        <v>0</v>
      </c>
      <c r="N2420" s="1423">
        <f t="shared" si="3540"/>
        <v>0</v>
      </c>
      <c r="O2420" s="1423">
        <f t="shared" si="3541"/>
        <v>0</v>
      </c>
      <c r="P2420" s="1423">
        <f t="shared" si="3542"/>
        <v>0</v>
      </c>
      <c r="Q2420" s="1423">
        <f t="shared" si="3543"/>
        <v>0</v>
      </c>
      <c r="R2420" s="1423">
        <f t="shared" si="3544"/>
        <v>0</v>
      </c>
      <c r="S2420" s="1423">
        <f t="shared" si="3545"/>
        <v>0</v>
      </c>
      <c r="T2420" s="1423">
        <f t="shared" si="3546"/>
        <v>0</v>
      </c>
      <c r="U2420" s="1423">
        <f t="shared" si="3547"/>
        <v>0</v>
      </c>
      <c r="V2420" s="1423">
        <f t="shared" si="3548"/>
        <v>0</v>
      </c>
      <c r="W2420" s="1423">
        <f t="shared" si="3549"/>
        <v>0</v>
      </c>
      <c r="X2420" s="152"/>
      <c r="Y2420" s="152"/>
      <c r="Z2420" s="152"/>
      <c r="AA2420" s="152"/>
      <c r="AB2420" s="152"/>
    </row>
    <row r="2421" spans="1:28" hidden="1" outlineLevel="1">
      <c r="A2421" s="152"/>
      <c r="B2421" s="190" t="str">
        <f t="shared" ca="1" si="3550"/>
        <v>RL Capex 2022-23</v>
      </c>
      <c r="C2421" s="1429"/>
      <c r="D2421" s="1429"/>
      <c r="E2421" s="1429"/>
      <c r="F2421" s="1429"/>
      <c r="G2421" s="1429"/>
      <c r="H2421" s="1429"/>
      <c r="I2421" s="1424"/>
      <c r="J2421" s="1428">
        <f>J2386</f>
        <v>0</v>
      </c>
      <c r="K2421" s="1423">
        <f t="shared" si="3537"/>
        <v>0</v>
      </c>
      <c r="L2421" s="1423">
        <f t="shared" si="3538"/>
        <v>0</v>
      </c>
      <c r="M2421" s="1423">
        <f t="shared" si="3539"/>
        <v>0</v>
      </c>
      <c r="N2421" s="1423">
        <f t="shared" si="3540"/>
        <v>0</v>
      </c>
      <c r="O2421" s="1423">
        <f t="shared" si="3541"/>
        <v>0</v>
      </c>
      <c r="P2421" s="1423">
        <f t="shared" si="3542"/>
        <v>0</v>
      </c>
      <c r="Q2421" s="1423">
        <f t="shared" si="3543"/>
        <v>0</v>
      </c>
      <c r="R2421" s="1423">
        <f t="shared" si="3544"/>
        <v>0</v>
      </c>
      <c r="S2421" s="1423">
        <f t="shared" si="3545"/>
        <v>0</v>
      </c>
      <c r="T2421" s="1423">
        <f t="shared" si="3546"/>
        <v>0</v>
      </c>
      <c r="U2421" s="1423">
        <f t="shared" si="3547"/>
        <v>0</v>
      </c>
      <c r="V2421" s="1423">
        <f t="shared" si="3548"/>
        <v>0</v>
      </c>
      <c r="W2421" s="1423">
        <f t="shared" si="3549"/>
        <v>0</v>
      </c>
      <c r="X2421" s="152"/>
      <c r="Y2421" s="152"/>
      <c r="Z2421" s="152"/>
      <c r="AA2421" s="152"/>
      <c r="AB2421" s="152"/>
    </row>
    <row r="2422" spans="1:28" hidden="1" outlineLevel="1">
      <c r="A2422" s="152"/>
      <c r="B2422" s="190" t="str">
        <f t="shared" ca="1" si="3550"/>
        <v>RL Capex 2023-24</v>
      </c>
      <c r="C2422" s="1429"/>
      <c r="D2422" s="1429"/>
      <c r="E2422" s="1429"/>
      <c r="F2422" s="1429"/>
      <c r="G2422" s="1429"/>
      <c r="H2422" s="1429"/>
      <c r="I2422" s="1429"/>
      <c r="J2422" s="1424"/>
      <c r="K2422" s="1428">
        <f>K2386</f>
        <v>0</v>
      </c>
      <c r="L2422" s="1423">
        <f t="shared" si="3538"/>
        <v>0</v>
      </c>
      <c r="M2422" s="1423">
        <f t="shared" si="3539"/>
        <v>0</v>
      </c>
      <c r="N2422" s="1423">
        <f t="shared" si="3540"/>
        <v>0</v>
      </c>
      <c r="O2422" s="1423">
        <f t="shared" si="3541"/>
        <v>0</v>
      </c>
      <c r="P2422" s="1423">
        <f t="shared" si="3542"/>
        <v>0</v>
      </c>
      <c r="Q2422" s="1423">
        <f t="shared" si="3543"/>
        <v>0</v>
      </c>
      <c r="R2422" s="1423">
        <f t="shared" si="3544"/>
        <v>0</v>
      </c>
      <c r="S2422" s="1423">
        <f t="shared" si="3545"/>
        <v>0</v>
      </c>
      <c r="T2422" s="1423">
        <f t="shared" si="3546"/>
        <v>0</v>
      </c>
      <c r="U2422" s="1423">
        <f t="shared" si="3547"/>
        <v>0</v>
      </c>
      <c r="V2422" s="1423">
        <f t="shared" si="3548"/>
        <v>0</v>
      </c>
      <c r="W2422" s="1423">
        <f t="shared" si="3549"/>
        <v>0</v>
      </c>
      <c r="X2422" s="152"/>
      <c r="Y2422" s="152"/>
      <c r="Z2422" s="152"/>
      <c r="AA2422" s="152"/>
      <c r="AB2422" s="152"/>
    </row>
    <row r="2423" spans="1:28" hidden="1" outlineLevel="1">
      <c r="A2423" s="152"/>
      <c r="B2423" s="190" t="str">
        <f t="shared" ca="1" si="3550"/>
        <v>RL Capex 2024-25</v>
      </c>
      <c r="C2423" s="1429"/>
      <c r="D2423" s="1429"/>
      <c r="E2423" s="1429"/>
      <c r="F2423" s="1429"/>
      <c r="G2423" s="1429"/>
      <c r="H2423" s="1429"/>
      <c r="I2423" s="1429"/>
      <c r="J2423" s="1429"/>
      <c r="K2423" s="1424"/>
      <c r="L2423" s="1428">
        <f>L2386</f>
        <v>0</v>
      </c>
      <c r="M2423" s="1423">
        <f t="shared" si="3539"/>
        <v>0</v>
      </c>
      <c r="N2423" s="1423">
        <f t="shared" si="3540"/>
        <v>0</v>
      </c>
      <c r="O2423" s="1423">
        <f t="shared" si="3541"/>
        <v>0</v>
      </c>
      <c r="P2423" s="1423">
        <f t="shared" si="3542"/>
        <v>0</v>
      </c>
      <c r="Q2423" s="1423">
        <f t="shared" si="3543"/>
        <v>0</v>
      </c>
      <c r="R2423" s="1423">
        <f t="shared" si="3544"/>
        <v>0</v>
      </c>
      <c r="S2423" s="1423">
        <f t="shared" si="3545"/>
        <v>0</v>
      </c>
      <c r="T2423" s="1423">
        <f t="shared" si="3546"/>
        <v>0</v>
      </c>
      <c r="U2423" s="1423">
        <f t="shared" si="3547"/>
        <v>0</v>
      </c>
      <c r="V2423" s="1423">
        <f t="shared" si="3548"/>
        <v>0</v>
      </c>
      <c r="W2423" s="1423">
        <f t="shared" si="3549"/>
        <v>0</v>
      </c>
      <c r="X2423" s="152"/>
      <c r="Y2423" s="152"/>
      <c r="Z2423" s="152"/>
      <c r="AA2423" s="152"/>
      <c r="AB2423" s="152"/>
    </row>
    <row r="2424" spans="1:28" hidden="1" outlineLevel="1">
      <c r="A2424" s="152"/>
      <c r="B2424" s="190" t="str">
        <f t="shared" ca="1" si="3550"/>
        <v>RL Capex 2025-26</v>
      </c>
      <c r="C2424" s="1429"/>
      <c r="D2424" s="1429"/>
      <c r="E2424" s="1429"/>
      <c r="F2424" s="1429"/>
      <c r="G2424" s="1429"/>
      <c r="H2424" s="1429"/>
      <c r="I2424" s="1429"/>
      <c r="J2424" s="1429"/>
      <c r="K2424" s="1429"/>
      <c r="L2424" s="1424"/>
      <c r="M2424" s="1428">
        <f>M2386</f>
        <v>0</v>
      </c>
      <c r="N2424" s="1423">
        <f t="shared" si="3540"/>
        <v>0</v>
      </c>
      <c r="O2424" s="1423">
        <f t="shared" si="3541"/>
        <v>0</v>
      </c>
      <c r="P2424" s="1423">
        <f t="shared" si="3542"/>
        <v>0</v>
      </c>
      <c r="Q2424" s="1423">
        <f t="shared" si="3543"/>
        <v>0</v>
      </c>
      <c r="R2424" s="1423">
        <f t="shared" si="3544"/>
        <v>0</v>
      </c>
      <c r="S2424" s="1423">
        <f t="shared" si="3545"/>
        <v>0</v>
      </c>
      <c r="T2424" s="1423">
        <f t="shared" si="3546"/>
        <v>0</v>
      </c>
      <c r="U2424" s="1423">
        <f t="shared" si="3547"/>
        <v>0</v>
      </c>
      <c r="V2424" s="1423">
        <f t="shared" si="3548"/>
        <v>0</v>
      </c>
      <c r="W2424" s="1423">
        <f t="shared" si="3549"/>
        <v>0</v>
      </c>
      <c r="X2424" s="152"/>
      <c r="Y2424" s="152"/>
      <c r="Z2424" s="152"/>
      <c r="AA2424" s="152"/>
      <c r="AB2424" s="152"/>
    </row>
    <row r="2425" spans="1:28" hidden="1" outlineLevel="1">
      <c r="A2425" s="152"/>
      <c r="B2425" s="190" t="str">
        <f t="shared" ca="1" si="3550"/>
        <v>RL Capex 2026-27</v>
      </c>
      <c r="C2425" s="1429"/>
      <c r="D2425" s="1429"/>
      <c r="E2425" s="1429"/>
      <c r="F2425" s="1429"/>
      <c r="G2425" s="1429"/>
      <c r="H2425" s="1429"/>
      <c r="I2425" s="1429"/>
      <c r="J2425" s="1429"/>
      <c r="K2425" s="1429"/>
      <c r="L2425" s="1429"/>
      <c r="M2425" s="1424"/>
      <c r="N2425" s="1428">
        <f>N2386</f>
        <v>0</v>
      </c>
      <c r="O2425" s="1423">
        <f t="shared" si="3541"/>
        <v>0</v>
      </c>
      <c r="P2425" s="1423">
        <f t="shared" si="3542"/>
        <v>0</v>
      </c>
      <c r="Q2425" s="1423">
        <f t="shared" si="3543"/>
        <v>0</v>
      </c>
      <c r="R2425" s="1423">
        <f t="shared" si="3544"/>
        <v>0</v>
      </c>
      <c r="S2425" s="1423">
        <f t="shared" si="3545"/>
        <v>0</v>
      </c>
      <c r="T2425" s="1423">
        <f t="shared" si="3546"/>
        <v>0</v>
      </c>
      <c r="U2425" s="1423">
        <f t="shared" si="3547"/>
        <v>0</v>
      </c>
      <c r="V2425" s="1423">
        <f t="shared" si="3548"/>
        <v>0</v>
      </c>
      <c r="W2425" s="1423">
        <f t="shared" si="3549"/>
        <v>0</v>
      </c>
      <c r="X2425" s="152"/>
      <c r="Y2425" s="152"/>
      <c r="Z2425" s="152"/>
      <c r="AA2425" s="152"/>
      <c r="AB2425" s="152"/>
    </row>
    <row r="2426" spans="1:28" hidden="1" outlineLevel="1">
      <c r="A2426" s="152"/>
      <c r="B2426" s="190" t="str">
        <f t="shared" ca="1" si="3550"/>
        <v>RL Capex 2027-28</v>
      </c>
      <c r="C2426" s="1429"/>
      <c r="D2426" s="1429"/>
      <c r="E2426" s="1429"/>
      <c r="F2426" s="1429"/>
      <c r="G2426" s="1429"/>
      <c r="H2426" s="1429"/>
      <c r="I2426" s="1429"/>
      <c r="J2426" s="1429"/>
      <c r="K2426" s="1429"/>
      <c r="L2426" s="1429"/>
      <c r="M2426" s="1429"/>
      <c r="N2426" s="1424"/>
      <c r="O2426" s="1428">
        <f>O2386</f>
        <v>0</v>
      </c>
      <c r="P2426" s="1423">
        <f t="shared" si="3542"/>
        <v>0</v>
      </c>
      <c r="Q2426" s="1423">
        <f t="shared" si="3543"/>
        <v>0</v>
      </c>
      <c r="R2426" s="1423">
        <f t="shared" si="3544"/>
        <v>0</v>
      </c>
      <c r="S2426" s="1423">
        <f t="shared" si="3545"/>
        <v>0</v>
      </c>
      <c r="T2426" s="1423">
        <f t="shared" si="3546"/>
        <v>0</v>
      </c>
      <c r="U2426" s="1423">
        <f t="shared" si="3547"/>
        <v>0</v>
      </c>
      <c r="V2426" s="1423">
        <f t="shared" si="3548"/>
        <v>0</v>
      </c>
      <c r="W2426" s="1423">
        <f t="shared" si="3549"/>
        <v>0</v>
      </c>
      <c r="X2426" s="152"/>
      <c r="Y2426" s="152"/>
      <c r="Z2426" s="152"/>
      <c r="AA2426" s="152"/>
      <c r="AB2426" s="152"/>
    </row>
    <row r="2427" spans="1:28" hidden="1" outlineLevel="1">
      <c r="A2427" s="152"/>
      <c r="B2427" s="190" t="str">
        <f t="shared" ca="1" si="3550"/>
        <v>RL Capex 2028-29</v>
      </c>
      <c r="C2427" s="1429"/>
      <c r="D2427" s="1429"/>
      <c r="E2427" s="1429"/>
      <c r="F2427" s="1429"/>
      <c r="G2427" s="1429"/>
      <c r="H2427" s="1429"/>
      <c r="I2427" s="1429"/>
      <c r="J2427" s="1429"/>
      <c r="K2427" s="1429"/>
      <c r="L2427" s="1429"/>
      <c r="M2427" s="1429"/>
      <c r="N2427" s="1429"/>
      <c r="O2427" s="1424"/>
      <c r="P2427" s="1428">
        <f>P2386</f>
        <v>0</v>
      </c>
      <c r="Q2427" s="1423">
        <f t="shared" si="3543"/>
        <v>0</v>
      </c>
      <c r="R2427" s="1423">
        <f t="shared" si="3544"/>
        <v>0</v>
      </c>
      <c r="S2427" s="1423">
        <f t="shared" si="3545"/>
        <v>0</v>
      </c>
      <c r="T2427" s="1423">
        <f t="shared" si="3546"/>
        <v>0</v>
      </c>
      <c r="U2427" s="1423">
        <f t="shared" si="3547"/>
        <v>0</v>
      </c>
      <c r="V2427" s="1423">
        <f t="shared" si="3548"/>
        <v>0</v>
      </c>
      <c r="W2427" s="1423">
        <f t="shared" si="3549"/>
        <v>0</v>
      </c>
      <c r="X2427" s="152"/>
      <c r="Y2427" s="152"/>
      <c r="Z2427" s="152"/>
      <c r="AA2427" s="152"/>
      <c r="AB2427" s="152"/>
    </row>
    <row r="2428" spans="1:28" hidden="1" outlineLevel="1">
      <c r="A2428" s="152"/>
      <c r="B2428" s="190" t="str">
        <f t="shared" ca="1" si="3550"/>
        <v>RL Capex 2029-30</v>
      </c>
      <c r="C2428" s="1429"/>
      <c r="D2428" s="1429"/>
      <c r="E2428" s="1429"/>
      <c r="F2428" s="1429"/>
      <c r="G2428" s="1429"/>
      <c r="H2428" s="1429"/>
      <c r="I2428" s="1429"/>
      <c r="J2428" s="1429"/>
      <c r="K2428" s="1429"/>
      <c r="L2428" s="1429"/>
      <c r="M2428" s="1429"/>
      <c r="N2428" s="1429"/>
      <c r="O2428" s="1429"/>
      <c r="P2428" s="1424"/>
      <c r="Q2428" s="1428">
        <f>Q2386</f>
        <v>0</v>
      </c>
      <c r="R2428" s="1423">
        <f t="shared" si="3544"/>
        <v>0</v>
      </c>
      <c r="S2428" s="1423">
        <f t="shared" si="3545"/>
        <v>0</v>
      </c>
      <c r="T2428" s="1423">
        <f t="shared" si="3546"/>
        <v>0</v>
      </c>
      <c r="U2428" s="1423">
        <f t="shared" si="3547"/>
        <v>0</v>
      </c>
      <c r="V2428" s="1423">
        <f t="shared" si="3548"/>
        <v>0</v>
      </c>
      <c r="W2428" s="1423">
        <f t="shared" si="3549"/>
        <v>0</v>
      </c>
      <c r="X2428" s="152"/>
      <c r="Y2428" s="152"/>
      <c r="Z2428" s="152"/>
      <c r="AA2428" s="152"/>
      <c r="AB2428" s="152"/>
    </row>
    <row r="2429" spans="1:28" hidden="1" outlineLevel="1">
      <c r="A2429" s="152"/>
      <c r="B2429" s="190" t="str">
        <f t="shared" ca="1" si="3550"/>
        <v>RL Capex 2030-31</v>
      </c>
      <c r="C2429" s="1429"/>
      <c r="D2429" s="1429"/>
      <c r="E2429" s="1429"/>
      <c r="F2429" s="1429"/>
      <c r="G2429" s="1429"/>
      <c r="H2429" s="1429"/>
      <c r="I2429" s="1429"/>
      <c r="J2429" s="1429"/>
      <c r="K2429" s="1429"/>
      <c r="L2429" s="1429"/>
      <c r="M2429" s="1429"/>
      <c r="N2429" s="1429"/>
      <c r="O2429" s="1429"/>
      <c r="P2429" s="1429"/>
      <c r="Q2429" s="1424"/>
      <c r="R2429" s="1428">
        <f>R2386</f>
        <v>0</v>
      </c>
      <c r="S2429" s="1423">
        <f t="shared" si="3545"/>
        <v>0</v>
      </c>
      <c r="T2429" s="1423">
        <f t="shared" si="3546"/>
        <v>0</v>
      </c>
      <c r="U2429" s="1423">
        <f t="shared" si="3547"/>
        <v>0</v>
      </c>
      <c r="V2429" s="1423">
        <f t="shared" si="3548"/>
        <v>0</v>
      </c>
      <c r="W2429" s="1423">
        <f t="shared" si="3549"/>
        <v>0</v>
      </c>
      <c r="X2429" s="152"/>
      <c r="Y2429" s="152"/>
      <c r="Z2429" s="152"/>
      <c r="AA2429" s="152"/>
      <c r="AB2429" s="152"/>
    </row>
    <row r="2430" spans="1:28" hidden="1" outlineLevel="1">
      <c r="A2430" s="152"/>
      <c r="B2430" s="190" t="str">
        <f t="shared" ca="1" si="3550"/>
        <v>RL Capex 2031-32</v>
      </c>
      <c r="C2430" s="1429"/>
      <c r="D2430" s="1429"/>
      <c r="E2430" s="1429"/>
      <c r="F2430" s="1429"/>
      <c r="G2430" s="1429"/>
      <c r="H2430" s="1429"/>
      <c r="I2430" s="1429"/>
      <c r="J2430" s="1429"/>
      <c r="K2430" s="1429"/>
      <c r="L2430" s="1429"/>
      <c r="M2430" s="1429"/>
      <c r="N2430" s="1429"/>
      <c r="O2430" s="1429"/>
      <c r="P2430" s="1429"/>
      <c r="Q2430" s="1429"/>
      <c r="R2430" s="1424"/>
      <c r="S2430" s="1428">
        <f>S2386</f>
        <v>0</v>
      </c>
      <c r="T2430" s="1423">
        <f t="shared" si="3546"/>
        <v>0</v>
      </c>
      <c r="U2430" s="1423">
        <f t="shared" si="3547"/>
        <v>0</v>
      </c>
      <c r="V2430" s="1423">
        <f t="shared" si="3548"/>
        <v>0</v>
      </c>
      <c r="W2430" s="1423">
        <f t="shared" si="3549"/>
        <v>0</v>
      </c>
      <c r="X2430" s="152"/>
      <c r="Y2430" s="152"/>
      <c r="Z2430" s="152"/>
      <c r="AA2430" s="152"/>
      <c r="AB2430" s="152"/>
    </row>
    <row r="2431" spans="1:28" hidden="1" outlineLevel="1">
      <c r="A2431" s="152"/>
      <c r="B2431" s="190" t="str">
        <f t="shared" ca="1" si="3550"/>
        <v>RL Capex 2032-33</v>
      </c>
      <c r="C2431" s="1429"/>
      <c r="D2431" s="1429"/>
      <c r="E2431" s="1429"/>
      <c r="F2431" s="1429"/>
      <c r="G2431" s="1429"/>
      <c r="H2431" s="1429"/>
      <c r="I2431" s="1429"/>
      <c r="J2431" s="1429"/>
      <c r="K2431" s="1429"/>
      <c r="L2431" s="1429"/>
      <c r="M2431" s="1429"/>
      <c r="N2431" s="1429"/>
      <c r="O2431" s="1429"/>
      <c r="P2431" s="1429"/>
      <c r="Q2431" s="1429"/>
      <c r="R2431" s="1429"/>
      <c r="S2431" s="1424"/>
      <c r="T2431" s="1428">
        <f>T2386</f>
        <v>0</v>
      </c>
      <c r="U2431" s="1423">
        <f t="shared" si="3547"/>
        <v>0</v>
      </c>
      <c r="V2431" s="1423">
        <f t="shared" si="3548"/>
        <v>0</v>
      </c>
      <c r="W2431" s="1423">
        <f t="shared" si="3549"/>
        <v>0</v>
      </c>
      <c r="X2431" s="152"/>
      <c r="Y2431" s="152"/>
      <c r="Z2431" s="152"/>
      <c r="AA2431" s="152"/>
      <c r="AB2431" s="152"/>
    </row>
    <row r="2432" spans="1:28" hidden="1" outlineLevel="1">
      <c r="A2432" s="152"/>
      <c r="B2432" s="190" t="str">
        <f t="shared" ca="1" si="3550"/>
        <v>RL Capex 2033-34</v>
      </c>
      <c r="C2432" s="1429"/>
      <c r="D2432" s="1429"/>
      <c r="E2432" s="1429"/>
      <c r="F2432" s="1429"/>
      <c r="G2432" s="1429"/>
      <c r="H2432" s="1429"/>
      <c r="I2432" s="1429"/>
      <c r="J2432" s="1429"/>
      <c r="K2432" s="1429"/>
      <c r="L2432" s="1429"/>
      <c r="M2432" s="1429"/>
      <c r="N2432" s="1429"/>
      <c r="O2432" s="1429"/>
      <c r="P2432" s="1429"/>
      <c r="Q2432" s="1429"/>
      <c r="R2432" s="1429"/>
      <c r="S2432" s="1429"/>
      <c r="T2432" s="1424"/>
      <c r="U2432" s="1428">
        <f>U2386</f>
        <v>0</v>
      </c>
      <c r="V2432" s="1423">
        <f t="shared" si="3548"/>
        <v>0</v>
      </c>
      <c r="W2432" s="1423">
        <f t="shared" si="3549"/>
        <v>0</v>
      </c>
      <c r="X2432" s="152"/>
      <c r="Y2432" s="152"/>
      <c r="Z2432" s="152"/>
      <c r="AA2432" s="152"/>
      <c r="AB2432" s="152"/>
    </row>
    <row r="2433" spans="1:28" hidden="1" outlineLevel="1">
      <c r="A2433" s="152"/>
      <c r="B2433" s="190" t="str">
        <f t="shared" ca="1" si="3550"/>
        <v>RL Capex 2034-35</v>
      </c>
      <c r="C2433" s="1429"/>
      <c r="D2433" s="1429"/>
      <c r="E2433" s="1429"/>
      <c r="F2433" s="1429"/>
      <c r="G2433" s="1429"/>
      <c r="H2433" s="1429"/>
      <c r="I2433" s="1429"/>
      <c r="J2433" s="1429"/>
      <c r="K2433" s="1429"/>
      <c r="L2433" s="1429"/>
      <c r="M2433" s="1429"/>
      <c r="N2433" s="1429"/>
      <c r="O2433" s="1429"/>
      <c r="P2433" s="1429"/>
      <c r="Q2433" s="1429"/>
      <c r="R2433" s="1429"/>
      <c r="S2433" s="1429"/>
      <c r="T2433" s="1429"/>
      <c r="U2433" s="1424"/>
      <c r="V2433" s="1428">
        <f>V2386</f>
        <v>0</v>
      </c>
      <c r="W2433" s="1423">
        <f>IF(V2433="n/a","n/a",MAX(0,V2433-1))</f>
        <v>0</v>
      </c>
      <c r="X2433" s="152"/>
      <c r="Y2433" s="152"/>
      <c r="Z2433" s="152"/>
      <c r="AA2433" s="152"/>
      <c r="AB2433" s="152"/>
    </row>
    <row r="2434" spans="1:28" hidden="1" outlineLevel="1">
      <c r="A2434" s="152"/>
      <c r="B2434" s="190" t="str">
        <f t="shared" ca="1" si="3550"/>
        <v>RL Capex 2035-36</v>
      </c>
      <c r="C2434" s="1429"/>
      <c r="D2434" s="1429"/>
      <c r="E2434" s="1429"/>
      <c r="F2434" s="1429"/>
      <c r="G2434" s="1429"/>
      <c r="H2434" s="1429"/>
      <c r="I2434" s="1429"/>
      <c r="J2434" s="1429"/>
      <c r="K2434" s="1429"/>
      <c r="L2434" s="1429"/>
      <c r="M2434" s="1429"/>
      <c r="N2434" s="1429"/>
      <c r="O2434" s="1429"/>
      <c r="P2434" s="1429"/>
      <c r="Q2434" s="1429"/>
      <c r="R2434" s="1429"/>
      <c r="S2434" s="1429"/>
      <c r="T2434" s="1429"/>
      <c r="U2434" s="1429"/>
      <c r="V2434" s="1424"/>
      <c r="W2434" s="1423">
        <f>W2386</f>
        <v>0</v>
      </c>
      <c r="X2434" s="152"/>
      <c r="Y2434" s="152"/>
      <c r="Z2434" s="152"/>
      <c r="AA2434" s="152"/>
      <c r="AB2434" s="152"/>
    </row>
    <row r="2435" spans="1:28" hidden="1" outlineLevel="1">
      <c r="A2435" s="152"/>
      <c r="B2435" s="200"/>
      <c r="C2435" s="1423"/>
      <c r="D2435" s="1423"/>
      <c r="E2435" s="1423"/>
      <c r="F2435" s="1423"/>
      <c r="G2435" s="1423"/>
      <c r="H2435" s="1423"/>
      <c r="I2435" s="1423"/>
      <c r="J2435" s="1423"/>
      <c r="K2435" s="1423"/>
      <c r="L2435" s="1423"/>
      <c r="M2435" s="1423"/>
      <c r="N2435" s="1423"/>
      <c r="O2435" s="1423"/>
      <c r="P2435" s="1423"/>
      <c r="Q2435" s="1423"/>
      <c r="R2435" s="1423"/>
      <c r="S2435" s="1423"/>
      <c r="T2435" s="1423"/>
      <c r="U2435" s="1423"/>
      <c r="V2435" s="1423"/>
      <c r="W2435" s="1423"/>
      <c r="X2435" s="152"/>
      <c r="Y2435" s="152"/>
      <c r="Z2435" s="152"/>
      <c r="AA2435" s="152"/>
      <c r="AB2435" s="152"/>
    </row>
    <row r="2436" spans="1:28" collapsed="1">
      <c r="A2436" s="194"/>
      <c r="B2436" s="204" t="s">
        <v>123</v>
      </c>
      <c r="C2436" s="1430">
        <f ca="1">(IF(OR($C2386&lt;&gt;"n/a",C2386&lt;&gt;"n/a"),IF(SUM(C2389:C2411)=0,0,IF((SUMPRODUCT(C2389:C2411,C2413:C2435)/SUM(C2389:C2411))&lt;0,1,(SUMPRODUCT(C2389:C2411,C2413:C2435)/SUM(C2389:C2411)))),"n/a"))</f>
        <v>0</v>
      </c>
      <c r="D2436" s="1430">
        <f ca="1">(IF(OR($C2386&lt;&gt;"n/a",D2386&lt;&gt;"n/a"),IF(SUM(D2389:D2411)=0,0,IF((SUMPRODUCT(D2389:D2411,D2413:D2435)/SUM(D2389:D2411))&lt;0,1,(SUMPRODUCT(D2389:D2411,D2413:D2435)/SUM(D2389:D2411)))),"n/a"))</f>
        <v>0</v>
      </c>
      <c r="E2436" s="1430">
        <f t="shared" ref="E2436:W2436" ca="1" si="3551">(IF(OR($C2386&lt;&gt;"n/a",E2386&lt;&gt;"n/a"),IF(SUM(E2389:E2411)=0,0,IF((SUMPRODUCT(E2389:E2411,E2413:E2435)/SUM(E2389:E2411))&lt;0,1,(SUMPRODUCT(E2389:E2411,E2413:E2435)/SUM(E2389:E2411)))),"n/a"))</f>
        <v>0</v>
      </c>
      <c r="F2436" s="1430">
        <f t="shared" ca="1" si="3551"/>
        <v>0</v>
      </c>
      <c r="G2436" s="1430">
        <f t="shared" ca="1" si="3551"/>
        <v>0</v>
      </c>
      <c r="H2436" s="1430">
        <f t="shared" ca="1" si="3551"/>
        <v>0</v>
      </c>
      <c r="I2436" s="1430">
        <f t="shared" ca="1" si="3551"/>
        <v>0</v>
      </c>
      <c r="J2436" s="1430">
        <f t="shared" ca="1" si="3551"/>
        <v>0</v>
      </c>
      <c r="K2436" s="1430">
        <f t="shared" ca="1" si="3551"/>
        <v>0</v>
      </c>
      <c r="L2436" s="1430">
        <f t="shared" ca="1" si="3551"/>
        <v>0</v>
      </c>
      <c r="M2436" s="1430">
        <f t="shared" ca="1" si="3551"/>
        <v>0</v>
      </c>
      <c r="N2436" s="1430">
        <f t="shared" ca="1" si="3551"/>
        <v>0</v>
      </c>
      <c r="O2436" s="1430">
        <f t="shared" ca="1" si="3551"/>
        <v>0</v>
      </c>
      <c r="P2436" s="1430">
        <f t="shared" ca="1" si="3551"/>
        <v>0</v>
      </c>
      <c r="Q2436" s="1430">
        <f t="shared" ca="1" si="3551"/>
        <v>0</v>
      </c>
      <c r="R2436" s="1430">
        <f t="shared" ca="1" si="3551"/>
        <v>0</v>
      </c>
      <c r="S2436" s="1430">
        <f t="shared" ca="1" si="3551"/>
        <v>0</v>
      </c>
      <c r="T2436" s="1430">
        <f t="shared" ca="1" si="3551"/>
        <v>0</v>
      </c>
      <c r="U2436" s="1430">
        <f t="shared" ca="1" si="3551"/>
        <v>0</v>
      </c>
      <c r="V2436" s="1430">
        <f t="shared" ca="1" si="3551"/>
        <v>0</v>
      </c>
      <c r="W2436" s="1430">
        <f t="shared" ca="1" si="3551"/>
        <v>0</v>
      </c>
      <c r="X2436" s="152"/>
      <c r="Y2436" s="152"/>
      <c r="Z2436" s="152"/>
      <c r="AA2436" s="152"/>
      <c r="AB2436" s="152"/>
    </row>
    <row r="2437" spans="1:28">
      <c r="A2437" s="152"/>
      <c r="B2437" s="152"/>
      <c r="C2437" s="1423"/>
      <c r="D2437" s="1423"/>
      <c r="E2437" s="1423"/>
      <c r="F2437" s="1423"/>
      <c r="G2437" s="1423"/>
      <c r="H2437" s="1423"/>
      <c r="I2437" s="1423"/>
      <c r="J2437" s="1423"/>
      <c r="K2437" s="1423"/>
      <c r="L2437" s="1423"/>
      <c r="M2437" s="1423"/>
      <c r="N2437" s="1423"/>
      <c r="O2437" s="1423"/>
      <c r="P2437" s="1423"/>
      <c r="Q2437" s="1423"/>
      <c r="R2437" s="1423"/>
      <c r="S2437" s="1423"/>
      <c r="T2437" s="1423"/>
      <c r="U2437" s="1423"/>
      <c r="V2437" s="1423"/>
      <c r="W2437" s="1423"/>
      <c r="X2437" s="152"/>
      <c r="Y2437" s="152"/>
      <c r="Z2437" s="152"/>
      <c r="AA2437" s="152"/>
      <c r="AB2437" s="152"/>
    </row>
    <row r="2438" spans="1:28">
      <c r="A2438" s="269" t="s">
        <v>112</v>
      </c>
      <c r="B2438" s="270">
        <f>VLOOKUP($A2438,'RFM input'!$E$7:$F$56,2,FALSE)</f>
        <v>0</v>
      </c>
      <c r="C2438" s="1431"/>
      <c r="D2438" s="1431"/>
      <c r="E2438" s="1432"/>
      <c r="F2438" s="1432"/>
      <c r="G2438" s="1432"/>
      <c r="H2438" s="1432"/>
      <c r="I2438" s="1432"/>
      <c r="J2438" s="1432"/>
      <c r="K2438" s="1432"/>
      <c r="L2438" s="1432"/>
      <c r="M2438" s="1432"/>
      <c r="N2438" s="1432"/>
      <c r="O2438" s="1432"/>
      <c r="P2438" s="1432"/>
      <c r="Q2438" s="1432"/>
      <c r="R2438" s="1432"/>
      <c r="S2438" s="1432"/>
      <c r="T2438" s="1432"/>
      <c r="U2438" s="1432"/>
      <c r="V2438" s="1432"/>
      <c r="W2438" s="1432"/>
      <c r="X2438" s="152"/>
      <c r="Y2438" s="152"/>
      <c r="Z2438" s="152"/>
      <c r="AA2438" s="152"/>
      <c r="AB2438" s="152"/>
    </row>
    <row r="2439" spans="1:28">
      <c r="A2439" s="215">
        <f>VALUE(REPLACE(A2438,1,12,""))</f>
        <v>46</v>
      </c>
      <c r="B2439" s="193" t="s">
        <v>126</v>
      </c>
      <c r="C2439" s="1416">
        <f ca="1">IF($D$6='TAB roll forward'!$H$4,OFFSET('TAB roll forward'!$H$7,A2439,0),"enter input")</f>
        <v>0</v>
      </c>
      <c r="D2439" s="1417">
        <f>IF(LEFT(D$6,4)&lt;LEFT('RFM input'!$G$60,4),"enter input",IF(LEFT(D$6,4)&gt;LEFT('RFM input'!$Q$60,4),0,
INDEX('RFM input'!$G$61:$Q$110,$A2439,MATCH(D$6,'RFM input'!$G$60:$Q$60,0))
   -INDEX('RFM input'!$G$115:$Q$164,$A2439,MATCH(D$6,'RFM input'!$G$60:$Q$60,0))))</f>
        <v>0</v>
      </c>
      <c r="E2439" s="1417">
        <f>IF(LEFT(E$6,4)&lt;LEFT('RFM input'!$G$60,4),"enter input",IF(LEFT(E$6,4)&gt;LEFT('RFM input'!$Q$60,4),0,
INDEX('RFM input'!$G$61:$Q$110,$A2439,MATCH(E$6,'RFM input'!$G$60:$Q$60,0))
   -INDEX('RFM input'!$G$115:$Q$164,$A2439,MATCH(E$6,'RFM input'!$G$60:$Q$60,0))))</f>
        <v>0</v>
      </c>
      <c r="F2439" s="1417">
        <f>IF(LEFT(F$6,4)&lt;LEFT('RFM input'!$G$60,4),"enter input",IF(LEFT(F$6,4)&gt;LEFT('RFM input'!$Q$60,4),0,
INDEX('RFM input'!$G$61:$Q$110,$A2439,MATCH(F$6,'RFM input'!$G$60:$Q$60,0))
   -INDEX('RFM input'!$G$115:$Q$164,$A2439,MATCH(F$6,'RFM input'!$G$60:$Q$60,0))))</f>
        <v>0</v>
      </c>
      <c r="G2439" s="1417">
        <f>IF(LEFT(G$6,4)&lt;LEFT('RFM input'!$G$60,4),"enter input",IF(LEFT(G$6,4)&gt;LEFT('RFM input'!$Q$60,4),0,
INDEX('RFM input'!$G$61:$Q$110,$A2439,MATCH(G$6,'RFM input'!$G$60:$Q$60,0))
   -INDEX('RFM input'!$G$115:$Q$164,$A2439,MATCH(G$6,'RFM input'!$G$60:$Q$60,0))))</f>
        <v>0</v>
      </c>
      <c r="H2439" s="1417">
        <f>IF(LEFT(H$6,4)&lt;LEFT('RFM input'!$G$60,4),"enter input",IF(LEFT(H$6,4)&gt;LEFT('RFM input'!$Q$60,4),0,
INDEX('RFM input'!$G$61:$Q$110,$A2439,MATCH(H$6,'RFM input'!$G$60:$Q$60,0))
   -INDEX('RFM input'!$G$115:$Q$164,$A2439,MATCH(H$6,'RFM input'!$G$60:$Q$60,0))))</f>
        <v>0</v>
      </c>
      <c r="I2439" s="1417">
        <f>IF(LEFT(I$6,4)&lt;LEFT('RFM input'!$G$60,4),"enter input",IF(LEFT(I$6,4)&gt;LEFT('RFM input'!$Q$60,4),0,
INDEX('RFM input'!$G$61:$Q$110,$A2439,MATCH(I$6,'RFM input'!$G$60:$Q$60,0))
   -INDEX('RFM input'!$G$115:$Q$164,$A2439,MATCH(I$6,'RFM input'!$G$60:$Q$60,0))))</f>
        <v>0</v>
      </c>
      <c r="J2439" s="1417">
        <f>IF(LEFT(J$6,4)&lt;LEFT('RFM input'!$G$60,4),"enter input",IF(LEFT(J$6,4)&gt;LEFT('RFM input'!$Q$60,4),0,
INDEX('RFM input'!$G$61:$Q$110,$A2439,MATCH(J$6,'RFM input'!$G$60:$Q$60,0))
   -INDEX('RFM input'!$G$115:$Q$164,$A2439,MATCH(J$6,'RFM input'!$G$60:$Q$60,0))))</f>
        <v>0</v>
      </c>
      <c r="K2439" s="1417">
        <f>IF(LEFT(K$6,4)&lt;LEFT('RFM input'!$G$60,4),"enter input",IF(LEFT(K$6,4)&gt;LEFT('RFM input'!$Q$60,4),0,
INDEX('RFM input'!$G$61:$Q$110,$A2439,MATCH(K$6,'RFM input'!$G$60:$Q$60,0))
   -INDEX('RFM input'!$G$115:$Q$164,$A2439,MATCH(K$6,'RFM input'!$G$60:$Q$60,0))))</f>
        <v>0</v>
      </c>
      <c r="L2439" s="1417">
        <f>IF(LEFT(L$6,4)&lt;LEFT('RFM input'!$G$60,4),"enter input",IF(LEFT(L$6,4)&gt;LEFT('RFM input'!$Q$60,4),0,
INDEX('RFM input'!$G$61:$Q$110,$A2439,MATCH(L$6,'RFM input'!$G$60:$Q$60,0))
   -INDEX('RFM input'!$G$115:$Q$164,$A2439,MATCH(L$6,'RFM input'!$G$60:$Q$60,0))))</f>
        <v>0</v>
      </c>
      <c r="M2439" s="1417">
        <f>IF(LEFT(M$6,4)&lt;LEFT('RFM input'!$G$60,4),"enter input",IF(LEFT(M$6,4)&gt;LEFT('RFM input'!$Q$60,4),0,
INDEX('RFM input'!$G$61:$Q$110,$A2439,MATCH(M$6,'RFM input'!$G$60:$Q$60,0))
   -INDEX('RFM input'!$G$115:$Q$164,$A2439,MATCH(M$6,'RFM input'!$G$60:$Q$60,0))))</f>
        <v>0</v>
      </c>
      <c r="N2439" s="1417">
        <f>IF(LEFT(N$6,4)&lt;LEFT('RFM input'!$G$60,4),"enter input",IF(LEFT(N$6,4)&gt;LEFT('RFM input'!$Q$60,4),0,
INDEX('RFM input'!$G$61:$Q$110,$A2439,MATCH(N$6,'RFM input'!$G$60:$Q$60,0))
   -INDEX('RFM input'!$G$115:$Q$164,$A2439,MATCH(N$6,'RFM input'!$G$60:$Q$60,0))))</f>
        <v>0</v>
      </c>
      <c r="O2439" s="1417">
        <f>IF(LEFT(O$6,4)&lt;LEFT('RFM input'!$G$60,4),"enter input",IF(LEFT(O$6,4)&gt;LEFT('RFM input'!$Q$60,4),0,
INDEX('RFM input'!$G$61:$Q$110,$A2439,MATCH(O$6,'RFM input'!$G$60:$Q$60,0))
   -INDEX('RFM input'!$G$115:$Q$164,$A2439,MATCH(O$6,'RFM input'!$G$60:$Q$60,0))))</f>
        <v>0</v>
      </c>
      <c r="P2439" s="1417">
        <f>IF(LEFT(P$6,4)&lt;LEFT('RFM input'!$G$60,4),"enter input",IF(LEFT(P$6,4)&gt;LEFT('RFM input'!$Q$60,4),0,
INDEX('RFM input'!$G$61:$Q$110,$A2439,MATCH(P$6,'RFM input'!$G$60:$Q$60,0))
   -INDEX('RFM input'!$G$115:$Q$164,$A2439,MATCH(P$6,'RFM input'!$G$60:$Q$60,0))))</f>
        <v>0</v>
      </c>
      <c r="Q2439" s="1417">
        <f>IF(LEFT(Q$6,4)&lt;LEFT('RFM input'!$G$60,4),"enter input",IF(LEFT(Q$6,4)&gt;LEFT('RFM input'!$Q$60,4),0,
INDEX('RFM input'!$G$61:$Q$110,$A2439,MATCH(Q$6,'RFM input'!$G$60:$Q$60,0))
   -INDEX('RFM input'!$G$115:$Q$164,$A2439,MATCH(Q$6,'RFM input'!$G$60:$Q$60,0))))</f>
        <v>0</v>
      </c>
      <c r="R2439" s="1417">
        <f>IF(LEFT(R$6,4)&lt;LEFT('RFM input'!$G$60,4),"enter input",IF(LEFT(R$6,4)&gt;LEFT('RFM input'!$Q$60,4),0,
INDEX('RFM input'!$G$61:$Q$110,$A2439,MATCH(R$6,'RFM input'!$G$60:$Q$60,0))
   -INDEX('RFM input'!$G$115:$Q$164,$A2439,MATCH(R$6,'RFM input'!$G$60:$Q$60,0))))</f>
        <v>0</v>
      </c>
      <c r="S2439" s="1417">
        <f>IF(LEFT(S$6,4)&lt;LEFT('RFM input'!$G$60,4),"enter input",IF(LEFT(S$6,4)&gt;LEFT('RFM input'!$Q$60,4),0,
INDEX('RFM input'!$G$61:$Q$110,$A2439,MATCH(S$6,'RFM input'!$G$60:$Q$60,0))
   -INDEX('RFM input'!$G$115:$Q$164,$A2439,MATCH(S$6,'RFM input'!$G$60:$Q$60,0))))</f>
        <v>0</v>
      </c>
      <c r="T2439" s="1417">
        <f>IF(LEFT(T$6,4)&lt;LEFT('RFM input'!$G$60,4),"enter input",IF(LEFT(T$6,4)&gt;LEFT('RFM input'!$Q$60,4),0,
INDEX('RFM input'!$G$61:$Q$110,$A2439,MATCH(T$6,'RFM input'!$G$60:$Q$60,0))
   -INDEX('RFM input'!$G$115:$Q$164,$A2439,MATCH(T$6,'RFM input'!$G$60:$Q$60,0))))</f>
        <v>0</v>
      </c>
      <c r="U2439" s="1417">
        <f>IF(LEFT(U$6,4)&lt;LEFT('RFM input'!$G$60,4),"enter input",IF(LEFT(U$6,4)&gt;LEFT('RFM input'!$Q$60,4),0,
INDEX('RFM input'!$G$61:$Q$110,$A2439,MATCH(U$6,'RFM input'!$G$60:$Q$60,0))
   -INDEX('RFM input'!$G$115:$Q$164,$A2439,MATCH(U$6,'RFM input'!$G$60:$Q$60,0))))</f>
        <v>0</v>
      </c>
      <c r="V2439" s="1417">
        <f>IF(LEFT(V$6,4)&lt;LEFT('RFM input'!$G$60,4),"enter input",IF(LEFT(V$6,4)&gt;LEFT('RFM input'!$Q$60,4),0,
INDEX('RFM input'!$G$61:$Q$110,$A2439,MATCH(V$6,'RFM input'!$G$60:$Q$60,0))
   -INDEX('RFM input'!$G$115:$Q$164,$A2439,MATCH(V$6,'RFM input'!$G$60:$Q$60,0))))</f>
        <v>0</v>
      </c>
      <c r="W2439" s="1417">
        <f>IF(LEFT(W$6,4)&lt;LEFT('RFM input'!$G$60,4),"enter input",IF(LEFT(W$6,4)&gt;LEFT('RFM input'!$Q$60,4),0,
INDEX('RFM input'!$G$61:$Q$110,$A2439,MATCH(W$6,'RFM input'!$G$60:$Q$60,0))
   -INDEX('RFM input'!$G$115:$Q$164,$A2439,MATCH(W$6,'RFM input'!$G$60:$Q$60,0))))</f>
        <v>0</v>
      </c>
      <c r="X2439" s="152"/>
      <c r="Y2439" s="152"/>
      <c r="Z2439" s="152"/>
      <c r="AA2439" s="152"/>
      <c r="AB2439" s="152"/>
    </row>
    <row r="2440" spans="1:28">
      <c r="A2440" s="152"/>
      <c r="B2440" s="152" t="s">
        <v>205</v>
      </c>
      <c r="C2440" s="1418">
        <f ca="1">IF($D$6='TAB roll forward'!$H$4,OFFSET('RFM input'!$S$6,$A2439,0),"enter input")</f>
        <v>0</v>
      </c>
      <c r="D2440" s="1417">
        <f>IF(LEFT(D$6,4)&lt;=LEFT('RFM input'!$G$60,4),"enter input",IF(LEFT(D$6,4)&gt;LEFT('RFM input'!$Q$60,4),0,
IF(MATCH(D$6,'RFM input'!$H$60:$Q$60,0),INDEX('RFM input'!$T$7:$T$56,$A2439,1,1))))</f>
        <v>0</v>
      </c>
      <c r="E2440" s="1417">
        <f>IF(LEFT(E$6,4)&lt;=LEFT('RFM input'!$G$60,4),"enter input",IF(LEFT(E$6,4)&gt;LEFT('RFM input'!$Q$60,4),0,
IF(MATCH(E$6,'RFM input'!$H$60:$Q$60,0),INDEX('RFM input'!$T$7:$T$56,$A2439,1,1))))</f>
        <v>0</v>
      </c>
      <c r="F2440" s="1417">
        <f>IF(LEFT(F$6,4)&lt;=LEFT('RFM input'!$G$60,4),"enter input",IF(LEFT(F$6,4)&gt;LEFT('RFM input'!$Q$60,4),0,
IF(MATCH(F$6,'RFM input'!$H$60:$Q$60,0),INDEX('RFM input'!$T$7:$T$56,$A2439,1,1))))</f>
        <v>0</v>
      </c>
      <c r="G2440" s="1417">
        <f>IF(LEFT(G$6,4)&lt;=LEFT('RFM input'!$G$60,4),"enter input",IF(LEFT(G$6,4)&gt;LEFT('RFM input'!$Q$60,4),0,
IF(MATCH(G$6,'RFM input'!$H$60:$Q$60,0),INDEX('RFM input'!$T$7:$T$56,$A2439,1,1))))</f>
        <v>0</v>
      </c>
      <c r="H2440" s="1417">
        <f>IF(LEFT(H$6,4)&lt;=LEFT('RFM input'!$G$60,4),"enter input",IF(LEFT(H$6,4)&gt;LEFT('RFM input'!$Q$60,4),0,
IF(MATCH(H$6,'RFM input'!$H$60:$Q$60,0),INDEX('RFM input'!$T$7:$T$56,$A2439,1,1))))</f>
        <v>0</v>
      </c>
      <c r="I2440" s="1417">
        <f>IF(LEFT(I$6,4)&lt;=LEFT('RFM input'!$G$60,4),"enter input",IF(LEFT(I$6,4)&gt;LEFT('RFM input'!$Q$60,4),0,
IF(MATCH(I$6,'RFM input'!$H$60:$Q$60,0),INDEX('RFM input'!$T$7:$T$56,$A2439,1,1))))</f>
        <v>0</v>
      </c>
      <c r="J2440" s="1417">
        <f>IF(LEFT(J$6,4)&lt;=LEFT('RFM input'!$G$60,4),"enter input",IF(LEFT(J$6,4)&gt;LEFT('RFM input'!$Q$60,4),0,
IF(MATCH(J$6,'RFM input'!$H$60:$Q$60,0),INDEX('RFM input'!$T$7:$T$56,$A2439,1,1))))</f>
        <v>0</v>
      </c>
      <c r="K2440" s="1417">
        <f>IF(LEFT(K$6,4)&lt;=LEFT('RFM input'!$G$60,4),"enter input",IF(LEFT(K$6,4)&gt;LEFT('RFM input'!$Q$60,4),0,
IF(MATCH(K$6,'RFM input'!$H$60:$Q$60,0),INDEX('RFM input'!$T$7:$T$56,$A2439,1,1))))</f>
        <v>0</v>
      </c>
      <c r="L2440" s="1417">
        <f>IF(LEFT(L$6,4)&lt;=LEFT('RFM input'!$G$60,4),"enter input",IF(LEFT(L$6,4)&gt;LEFT('RFM input'!$Q$60,4),0,
IF(MATCH(L$6,'RFM input'!$H$60:$Q$60,0),INDEX('RFM input'!$T$7:$T$56,$A2439,1,1))))</f>
        <v>0</v>
      </c>
      <c r="M2440" s="1417">
        <f>IF(LEFT(M$6,4)&lt;=LEFT('RFM input'!$G$60,4),"enter input",IF(LEFT(M$6,4)&gt;LEFT('RFM input'!$Q$60,4),0,
IF(MATCH(M$6,'RFM input'!$H$60:$Q$60,0),INDEX('RFM input'!$T$7:$T$56,$A2439,1,1))))</f>
        <v>0</v>
      </c>
      <c r="N2440" s="1417">
        <f>IF(LEFT(N$6,4)&lt;=LEFT('RFM input'!$G$60,4),"enter input",IF(LEFT(N$6,4)&gt;LEFT('RFM input'!$Q$60,4),0,
IF(MATCH(N$6,'RFM input'!$H$60:$Q$60,0),INDEX('RFM input'!$T$7:$T$56,$A2439,1,1))))</f>
        <v>0</v>
      </c>
      <c r="O2440" s="1417">
        <f>IF(LEFT(O$6,4)&lt;=LEFT('RFM input'!$G$60,4),"enter input",IF(LEFT(O$6,4)&gt;LEFT('RFM input'!$Q$60,4),0,
IF(MATCH(O$6,'RFM input'!$H$60:$Q$60,0),INDEX('RFM input'!$T$7:$T$56,$A2439,1,1))))</f>
        <v>0</v>
      </c>
      <c r="P2440" s="1417">
        <f>IF(LEFT(P$6,4)&lt;=LEFT('RFM input'!$G$60,4),"enter input",IF(LEFT(P$6,4)&gt;LEFT('RFM input'!$Q$60,4),0,
IF(MATCH(P$6,'RFM input'!$H$60:$Q$60,0),INDEX('RFM input'!$T$7:$T$56,$A2439,1,1))))</f>
        <v>0</v>
      </c>
      <c r="Q2440" s="1417">
        <f>IF(LEFT(Q$6,4)&lt;=LEFT('RFM input'!$G$60,4),"enter input",IF(LEFT(Q$6,4)&gt;LEFT('RFM input'!$Q$60,4),0,
IF(MATCH(Q$6,'RFM input'!$H$60:$Q$60,0),INDEX('RFM input'!$T$7:$T$56,$A2439,1,1))))</f>
        <v>0</v>
      </c>
      <c r="R2440" s="1417">
        <f>IF(LEFT(R$6,4)&lt;=LEFT('RFM input'!$G$60,4),"enter input",IF(LEFT(R$6,4)&gt;LEFT('RFM input'!$Q$60,4),0,
IF(MATCH(R$6,'RFM input'!$H$60:$Q$60,0),INDEX('RFM input'!$T$7:$T$56,$A2439,1,1))))</f>
        <v>0</v>
      </c>
      <c r="S2440" s="1417">
        <f>IF(LEFT(S$6,4)&lt;=LEFT('RFM input'!$G$60,4),"enter input",IF(LEFT(S$6,4)&gt;LEFT('RFM input'!$Q$60,4),0,
IF(MATCH(S$6,'RFM input'!$H$60:$Q$60,0),INDEX('RFM input'!$T$7:$T$56,$A2439,1,1))))</f>
        <v>0</v>
      </c>
      <c r="T2440" s="1417">
        <f>IF(LEFT(T$6,4)&lt;=LEFT('RFM input'!$G$60,4),"enter input",IF(LEFT(T$6,4)&gt;LEFT('RFM input'!$Q$60,4),0,
IF(MATCH(T$6,'RFM input'!$H$60:$Q$60,0),INDEX('RFM input'!$T$7:$T$56,$A2439,1,1))))</f>
        <v>0</v>
      </c>
      <c r="U2440" s="1417">
        <f>IF(LEFT(U$6,4)&lt;=LEFT('RFM input'!$G$60,4),"enter input",IF(LEFT(U$6,4)&gt;LEFT('RFM input'!$Q$60,4),0,
IF(MATCH(U$6,'RFM input'!$H$60:$Q$60,0),INDEX('RFM input'!$T$7:$T$56,$A2439,1,1))))</f>
        <v>0</v>
      </c>
      <c r="V2440" s="1417">
        <f>IF(LEFT(V$6,4)&lt;=LEFT('RFM input'!$G$60,4),"enter input",IF(LEFT(V$6,4)&gt;LEFT('RFM input'!$Q$60,4),0,
IF(MATCH(V$6,'RFM input'!$H$60:$Q$60,0),INDEX('RFM input'!$T$7:$T$56,$A2439,1,1))))</f>
        <v>0</v>
      </c>
      <c r="W2440" s="1417">
        <f>IF(LEFT(W$6,4)&lt;=LEFT('RFM input'!$G$60,4),"enter input",IF(LEFT(W$6,4)&gt;LEFT('RFM input'!$Q$60,4),0,
IF(MATCH(W$6,'RFM input'!$H$60:$Q$60,0),INDEX('RFM input'!$T$7:$T$56,$A2439,1,1))))</f>
        <v>0</v>
      </c>
      <c r="X2440" s="152"/>
      <c r="Y2440" s="152"/>
      <c r="Z2440" s="152"/>
      <c r="AA2440" s="152"/>
      <c r="AB2440" s="152"/>
    </row>
    <row r="2441" spans="1:28">
      <c r="A2441" s="152"/>
      <c r="B2441" s="193" t="s">
        <v>192</v>
      </c>
      <c r="C2441" s="1419"/>
      <c r="D2441" s="1420">
        <f ca="1">IF(LEFT(D$6,4)&lt;=LEFT('RFM input'!$G$60,4),"enter input",IF(LEFT(D$6,4)&gt;LEFT('RFM input'!$Q$60,4),0,
IF(D$6=(OFFSET('RFM input'!$G$60,0,'RFM input'!$V$7)),OFFSET('RFM input'!$H$411,$A2439,0),0)))</f>
        <v>0</v>
      </c>
      <c r="E2441" s="1417">
        <f ca="1">IF(LEFT(E$6,4)&lt;=LEFT('RFM input'!$G$60,4),"enter input",IF(LEFT(E$6,4)&gt;LEFT('RFM input'!$Q$60,4),0,
IF(E$6=(OFFSET('RFM input'!$G$60,0,'RFM input'!$V$7)),OFFSET('RFM input'!$H$411,$A2439,0),0)))</f>
        <v>0</v>
      </c>
      <c r="F2441" s="1417">
        <f ca="1">IF(LEFT(F$6,4)&lt;=LEFT('RFM input'!$G$60,4),"enter input",IF(LEFT(F$6,4)&gt;LEFT('RFM input'!$Q$60,4),0,
IF(F$6=(OFFSET('RFM input'!$G$60,0,'RFM input'!$V$7)),OFFSET('RFM input'!$H$411,$A2439,0),0)))</f>
        <v>0</v>
      </c>
      <c r="G2441" s="1417">
        <f ca="1">IF(LEFT(G$6,4)&lt;=LEFT('RFM input'!$G$60,4),"enter input",IF(LEFT(G$6,4)&gt;LEFT('RFM input'!$Q$60,4),0,
IF(G$6=(OFFSET('RFM input'!$G$60,0,'RFM input'!$V$7)),OFFSET('RFM input'!$H$411,$A2439,0),0)))</f>
        <v>0</v>
      </c>
      <c r="H2441" s="1417">
        <f ca="1">IF(LEFT(H$6,4)&lt;=LEFT('RFM input'!$G$60,4),"enter input",IF(LEFT(H$6,4)&gt;LEFT('RFM input'!$Q$60,4),0,
IF(H$6=(OFFSET('RFM input'!$G$60,0,'RFM input'!$V$7)),OFFSET('RFM input'!$H$411,$A2439,0),0)))</f>
        <v>0</v>
      </c>
      <c r="I2441" s="1417">
        <f ca="1">IF(LEFT(I$6,4)&lt;=LEFT('RFM input'!$G$60,4),"enter input",IF(LEFT(I$6,4)&gt;LEFT('RFM input'!$Q$60,4),0,
IF(I$6=(OFFSET('RFM input'!$G$60,0,'RFM input'!$V$7)),OFFSET('RFM input'!$H$411,$A2439,0),0)))</f>
        <v>0</v>
      </c>
      <c r="J2441" s="1417">
        <f ca="1">IF(LEFT(J$6,4)&lt;=LEFT('RFM input'!$G$60,4),"enter input",IF(LEFT(J$6,4)&gt;LEFT('RFM input'!$Q$60,4),0,
IF(J$6=(OFFSET('RFM input'!$G$60,0,'RFM input'!$V$7)),OFFSET('RFM input'!$H$411,$A2439,0),0)))</f>
        <v>0</v>
      </c>
      <c r="K2441" s="1417">
        <f ca="1">IF(LEFT(K$6,4)&lt;=LEFT('RFM input'!$G$60,4),"enter input",IF(LEFT(K$6,4)&gt;LEFT('RFM input'!$Q$60,4),0,
IF(K$6=(OFFSET('RFM input'!$G$60,0,'RFM input'!$V$7)),OFFSET('RFM input'!$H$411,$A2439,0),0)))</f>
        <v>0</v>
      </c>
      <c r="L2441" s="1417">
        <f ca="1">IF(LEFT(L$6,4)&lt;=LEFT('RFM input'!$G$60,4),"enter input",IF(LEFT(L$6,4)&gt;LEFT('RFM input'!$Q$60,4),0,
IF(L$6=(OFFSET('RFM input'!$G$60,0,'RFM input'!$V$7)),OFFSET('RFM input'!$H$411,$A2439,0),0)))</f>
        <v>0</v>
      </c>
      <c r="M2441" s="1417">
        <f ca="1">IF(LEFT(M$6,4)&lt;=LEFT('RFM input'!$G$60,4),"enter input",IF(LEFT(M$6,4)&gt;LEFT('RFM input'!$Q$60,4),0,
IF(M$6=(OFFSET('RFM input'!$G$60,0,'RFM input'!$V$7)),OFFSET('RFM input'!$H$411,$A2439,0),0)))</f>
        <v>0</v>
      </c>
      <c r="N2441" s="1417">
        <f ca="1">IF(LEFT(N$6,4)&lt;=LEFT('RFM input'!$G$60,4),"enter input",IF(LEFT(N$6,4)&gt;LEFT('RFM input'!$Q$60,4),0,
IF(N$6=(OFFSET('RFM input'!$G$60,0,'RFM input'!$V$7)),OFFSET('RFM input'!$H$411,$A2439,0),0)))</f>
        <v>0</v>
      </c>
      <c r="O2441" s="1417">
        <f ca="1">IF(LEFT(O$6,4)&lt;=LEFT('RFM input'!$G$60,4),"enter input",IF(LEFT(O$6,4)&gt;LEFT('RFM input'!$Q$60,4),0,
IF(O$6=(OFFSET('RFM input'!$G$60,0,'RFM input'!$V$7)),OFFSET('RFM input'!$H$411,$A2439,0),0)))</f>
        <v>0</v>
      </c>
      <c r="P2441" s="1417">
        <f ca="1">IF(LEFT(P$6,4)&lt;=LEFT('RFM input'!$G$60,4),"enter input",IF(LEFT(P$6,4)&gt;LEFT('RFM input'!$Q$60,4),0,
IF(P$6=(OFFSET('RFM input'!$G$60,0,'RFM input'!$V$7)),OFFSET('RFM input'!$H$411,$A2439,0),0)))</f>
        <v>0</v>
      </c>
      <c r="Q2441" s="1417">
        <f ca="1">IF(LEFT(Q$6,4)&lt;=LEFT('RFM input'!$G$60,4),"enter input",IF(LEFT(Q$6,4)&gt;LEFT('RFM input'!$Q$60,4),0,
IF(Q$6=(OFFSET('RFM input'!$G$60,0,'RFM input'!$V$7)),OFFSET('RFM input'!$H$411,$A2439,0),0)))</f>
        <v>0</v>
      </c>
      <c r="R2441" s="1417">
        <f ca="1">IF(LEFT(R$6,4)&lt;=LEFT('RFM input'!$G$60,4),"enter input",IF(LEFT(R$6,4)&gt;LEFT('RFM input'!$Q$60,4),0,
IF(R$6=(OFFSET('RFM input'!$G$60,0,'RFM input'!$V$7)),OFFSET('RFM input'!$H$411,$A2439,0),0)))</f>
        <v>0</v>
      </c>
      <c r="S2441" s="1417">
        <f ca="1">IF(LEFT(S$6,4)&lt;=LEFT('RFM input'!$G$60,4),"enter input",IF(LEFT(S$6,4)&gt;LEFT('RFM input'!$Q$60,4),0,
IF(S$6=(OFFSET('RFM input'!$G$60,0,'RFM input'!$V$7)),OFFSET('RFM input'!$H$411,$A2439,0),0)))</f>
        <v>0</v>
      </c>
      <c r="T2441" s="1417">
        <f ca="1">IF(LEFT(T$6,4)&lt;=LEFT('RFM input'!$G$60,4),"enter input",IF(LEFT(T$6,4)&gt;LEFT('RFM input'!$Q$60,4),0,
IF(T$6=(OFFSET('RFM input'!$G$60,0,'RFM input'!$V$7)),OFFSET('RFM input'!$H$411,$A2439,0),0)))</f>
        <v>0</v>
      </c>
      <c r="U2441" s="1417">
        <f ca="1">IF(LEFT(U$6,4)&lt;=LEFT('RFM input'!$G$60,4),"enter input",IF(LEFT(U$6,4)&gt;LEFT('RFM input'!$Q$60,4),0,
IF(U$6=(OFFSET('RFM input'!$G$60,0,'RFM input'!$V$7)),OFFSET('RFM input'!$H$411,$A2439,0),0)))</f>
        <v>0</v>
      </c>
      <c r="V2441" s="1417">
        <f ca="1">IF(LEFT(V$6,4)&lt;=LEFT('RFM input'!$G$60,4),"enter input",IF(LEFT(V$6,4)&gt;LEFT('RFM input'!$Q$60,4),0,
IF(V$6=(OFFSET('RFM input'!$G$60,0,'RFM input'!$V$7)),OFFSET('RFM input'!$H$411,$A2439,0),0)))</f>
        <v>0</v>
      </c>
      <c r="W2441" s="1417">
        <f ca="1">IF(LEFT(W$6,4)&lt;=LEFT('RFM input'!$G$60,4),"enter input",IF(LEFT(W$6,4)&gt;LEFT('RFM input'!$Q$60,4),0,
IF(W$6=(OFFSET('RFM input'!$G$60,0,'RFM input'!$V$7)),OFFSET('RFM input'!$H$411,$A2439,0),0)))</f>
        <v>0</v>
      </c>
      <c r="X2441" s="152"/>
      <c r="Y2441" s="152"/>
      <c r="Z2441" s="152"/>
      <c r="AA2441" s="152"/>
      <c r="AB2441" s="152"/>
    </row>
    <row r="2442" spans="1:28">
      <c r="A2442" s="152"/>
      <c r="B2442" s="193" t="s">
        <v>200</v>
      </c>
      <c r="C2442" s="1419"/>
      <c r="D2442" s="1418">
        <f ca="1">IF(LEFT(D$6,4)&lt;=LEFT('RFM input'!$G$60,4),"enter input",IF(LEFT(D$6,4)&gt;LEFT('RFM input'!$Q$60,4),0,
IF(D$6=(OFFSET('RFM input'!$G$60,0,'RFM input'!$V$7)),OFFSET('RFM input'!$J$411,$A2439,0),0)))</f>
        <v>0</v>
      </c>
      <c r="E2442" s="1422">
        <f ca="1">IF(LEFT(E$6,4)&lt;=LEFT('RFM input'!$G$60,4),"enter input",IF(LEFT(E$6,4)&gt;LEFT('RFM input'!$Q$60,4),0,
IF(E$6=(OFFSET('RFM input'!$G$60,0,'RFM input'!$V$7)),OFFSET('RFM input'!$J$411,$A2439,0),0)))</f>
        <v>0</v>
      </c>
      <c r="F2442" s="1422">
        <f ca="1">IF(LEFT(F$6,4)&lt;=LEFT('RFM input'!$G$60,4),"enter input",IF(LEFT(F$6,4)&gt;LEFT('RFM input'!$Q$60,4),0,
IF(F$6=(OFFSET('RFM input'!$G$60,0,'RFM input'!$V$7)),OFFSET('RFM input'!$J$411,$A2439,0),0)))</f>
        <v>0</v>
      </c>
      <c r="G2442" s="1422">
        <f ca="1">IF(LEFT(G$6,4)&lt;=LEFT('RFM input'!$G$60,4),"enter input",IF(LEFT(G$6,4)&gt;LEFT('RFM input'!$Q$60,4),0,
IF(G$6=(OFFSET('RFM input'!$G$60,0,'RFM input'!$V$7)),OFFSET('RFM input'!$J$411,$A2439,0),0)))</f>
        <v>0</v>
      </c>
      <c r="H2442" s="1422">
        <f ca="1">IF(LEFT(H$6,4)&lt;=LEFT('RFM input'!$G$60,4),"enter input",IF(LEFT(H$6,4)&gt;LEFT('RFM input'!$Q$60,4),0,
IF(H$6=(OFFSET('RFM input'!$G$60,0,'RFM input'!$V$7)),OFFSET('RFM input'!$J$411,$A2439,0),0)))</f>
        <v>0</v>
      </c>
      <c r="I2442" s="1422">
        <f ca="1">IF(LEFT(I$6,4)&lt;=LEFT('RFM input'!$G$60,4),"enter input",IF(LEFT(I$6,4)&gt;LEFT('RFM input'!$Q$60,4),0,
IF(I$6=(OFFSET('RFM input'!$G$60,0,'RFM input'!$V$7)),OFFSET('RFM input'!$J$411,$A2439,0),0)))</f>
        <v>0</v>
      </c>
      <c r="J2442" s="1422">
        <f ca="1">IF(LEFT(J$6,4)&lt;=LEFT('RFM input'!$G$60,4),"enter input",IF(LEFT(J$6,4)&gt;LEFT('RFM input'!$Q$60,4),0,
IF(J$6=(OFFSET('RFM input'!$G$60,0,'RFM input'!$V$7)),OFFSET('RFM input'!$J$411,$A2439,0),0)))</f>
        <v>0</v>
      </c>
      <c r="K2442" s="1422">
        <f ca="1">IF(LEFT(K$6,4)&lt;=LEFT('RFM input'!$G$60,4),"enter input",IF(LEFT(K$6,4)&gt;LEFT('RFM input'!$Q$60,4),0,
IF(K$6=(OFFSET('RFM input'!$G$60,0,'RFM input'!$V$7)),OFFSET('RFM input'!$J$411,$A2439,0),0)))</f>
        <v>0</v>
      </c>
      <c r="L2442" s="1422">
        <f ca="1">IF(LEFT(L$6,4)&lt;=LEFT('RFM input'!$G$60,4),"enter input",IF(LEFT(L$6,4)&gt;LEFT('RFM input'!$Q$60,4),0,
IF(L$6=(OFFSET('RFM input'!$G$60,0,'RFM input'!$V$7)),OFFSET('RFM input'!$J$411,$A2439,0),0)))</f>
        <v>0</v>
      </c>
      <c r="M2442" s="1422">
        <f ca="1">IF(LEFT(M$6,4)&lt;=LEFT('RFM input'!$G$60,4),"enter input",IF(LEFT(M$6,4)&gt;LEFT('RFM input'!$Q$60,4),0,
IF(M$6=(OFFSET('RFM input'!$G$60,0,'RFM input'!$V$7)),OFFSET('RFM input'!$J$411,$A2439,0),0)))</f>
        <v>0</v>
      </c>
      <c r="N2442" s="1422">
        <f ca="1">IF(LEFT(N$6,4)&lt;=LEFT('RFM input'!$G$60,4),"enter input",IF(LEFT(N$6,4)&gt;LEFT('RFM input'!$Q$60,4),0,
IF(N$6=(OFFSET('RFM input'!$G$60,0,'RFM input'!$V$7)),OFFSET('RFM input'!$J$411,$A2439,0),0)))</f>
        <v>0</v>
      </c>
      <c r="O2442" s="1422">
        <f ca="1">IF(LEFT(O$6,4)&lt;=LEFT('RFM input'!$G$60,4),"enter input",IF(LEFT(O$6,4)&gt;LEFT('RFM input'!$Q$60,4),0,
IF(O$6=(OFFSET('RFM input'!$G$60,0,'RFM input'!$V$7)),OFFSET('RFM input'!$J$411,$A2439,0),0)))</f>
        <v>0</v>
      </c>
      <c r="P2442" s="1422">
        <f ca="1">IF(LEFT(P$6,4)&lt;=LEFT('RFM input'!$G$60,4),"enter input",IF(LEFT(P$6,4)&gt;LEFT('RFM input'!$Q$60,4),0,
IF(P$6=(OFFSET('RFM input'!$G$60,0,'RFM input'!$V$7)),OFFSET('RFM input'!$J$411,$A2439,0),0)))</f>
        <v>0</v>
      </c>
      <c r="Q2442" s="1422">
        <f ca="1">IF(LEFT(Q$6,4)&lt;=LEFT('RFM input'!$G$60,4),"enter input",IF(LEFT(Q$6,4)&gt;LEFT('RFM input'!$Q$60,4),0,
IF(Q$6=(OFFSET('RFM input'!$G$60,0,'RFM input'!$V$7)),OFFSET('RFM input'!$J$411,$A2439,0),0)))</f>
        <v>0</v>
      </c>
      <c r="R2442" s="1422">
        <f ca="1">IF(LEFT(R$6,4)&lt;=LEFT('RFM input'!$G$60,4),"enter input",IF(LEFT(R$6,4)&gt;LEFT('RFM input'!$Q$60,4),0,
IF(R$6=(OFFSET('RFM input'!$G$60,0,'RFM input'!$V$7)),OFFSET('RFM input'!$J$411,$A2439,0),0)))</f>
        <v>0</v>
      </c>
      <c r="S2442" s="1422">
        <f ca="1">IF(LEFT(S$6,4)&lt;=LEFT('RFM input'!$G$60,4),"enter input",IF(LEFT(S$6,4)&gt;LEFT('RFM input'!$Q$60,4),0,
IF(S$6=(OFFSET('RFM input'!$G$60,0,'RFM input'!$V$7)),OFFSET('RFM input'!$J$411,$A2439,0),0)))</f>
        <v>0</v>
      </c>
      <c r="T2442" s="1422">
        <f ca="1">IF(LEFT(T$6,4)&lt;=LEFT('RFM input'!$G$60,4),"enter input",IF(LEFT(T$6,4)&gt;LEFT('RFM input'!$Q$60,4),0,
IF(T$6=(OFFSET('RFM input'!$G$60,0,'RFM input'!$V$7)),OFFSET('RFM input'!$J$411,$A2439,0),0)))</f>
        <v>0</v>
      </c>
      <c r="U2442" s="1422">
        <f ca="1">IF(LEFT(U$6,4)&lt;=LEFT('RFM input'!$G$60,4),"enter input",IF(LEFT(U$6,4)&gt;LEFT('RFM input'!$Q$60,4),0,
IF(U$6=(OFFSET('RFM input'!$G$60,0,'RFM input'!$V$7)),OFFSET('RFM input'!$J$411,$A2439,0),0)))</f>
        <v>0</v>
      </c>
      <c r="V2442" s="1422">
        <f ca="1">IF(LEFT(V$6,4)&lt;=LEFT('RFM input'!$G$60,4),"enter input",IF(LEFT(V$6,4)&gt;LEFT('RFM input'!$Q$60,4),0,
IF(V$6=(OFFSET('RFM input'!$G$60,0,'RFM input'!$V$7)),OFFSET('RFM input'!$J$411,$A2439,0),0)))</f>
        <v>0</v>
      </c>
      <c r="W2442" s="1422">
        <f ca="1">IF(LEFT(W$6,4)&lt;=LEFT('RFM input'!$G$60,4),"enter input",IF(LEFT(W$6,4)&gt;LEFT('RFM input'!$Q$60,4),0,
IF(W$6=(OFFSET('RFM input'!$G$60,0,'RFM input'!$V$7)),OFFSET('RFM input'!$J$411,$A2439,0),0)))</f>
        <v>0</v>
      </c>
      <c r="X2442" s="152"/>
      <c r="Y2442" s="152"/>
      <c r="Z2442" s="152"/>
      <c r="AA2442" s="152"/>
      <c r="AB2442" s="152"/>
    </row>
    <row r="2443" spans="1:28" hidden="1" outlineLevel="1">
      <c r="A2443" s="235">
        <v>-1</v>
      </c>
      <c r="B2443" s="190" t="s">
        <v>195</v>
      </c>
      <c r="C2443" s="1423"/>
      <c r="D2443" s="1423">
        <f t="shared" ref="D2443" ca="1" si="3552">IF(AND(D2441=0,C2443=0),0,
IF(AND(D2441&lt;&gt;0,C2443=0),D2441,
IF(AND(D2442&lt;&gt;0,C2443&lt;&gt;0),(C2443-(C2443/C2467))+D2441,
IF(C2467&lt;1,0,(C2443-(C2443/C2467))))))</f>
        <v>0</v>
      </c>
      <c r="E2443" s="1423">
        <f t="shared" ref="E2443" ca="1" si="3553">IF(AND(E2441=0,D2443=0),0,
IF(AND(E2441&lt;&gt;0,D2443=0),E2441,
IF(AND(E2442&lt;&gt;0,D2443&lt;&gt;0),(D2443-(D2443/D2467))+E2441,
IF(D2467&lt;1,0,(D2443-(D2443/D2467))))))</f>
        <v>0</v>
      </c>
      <c r="F2443" s="1423">
        <f t="shared" ref="F2443" ca="1" si="3554">IF(AND(F2441=0,E2443=0),0,
IF(AND(F2441&lt;&gt;0,E2443=0),F2441,
IF(AND(F2442&lt;&gt;0,E2443&lt;&gt;0),(E2443-(E2443/E2467))+F2441,
IF(E2467&lt;1,0,(E2443-(E2443/E2467))))))</f>
        <v>0</v>
      </c>
      <c r="G2443" s="1423">
        <f t="shared" ref="G2443" ca="1" si="3555">IF(AND(G2441=0,F2443=0),0,
IF(AND(G2441&lt;&gt;0,F2443=0),G2441,
IF(AND(G2442&lt;&gt;0,F2443&lt;&gt;0),(F2443-(F2443/F2467))+G2441,
IF(F2467&lt;1,0,(F2443-(F2443/F2467))))))</f>
        <v>0</v>
      </c>
      <c r="H2443" s="1423">
        <f ca="1">IF(AND(H2441=0,G2443=0),0,
IF(AND(H2441&lt;&gt;0,G2443=0),H2441,
IF(AND(H2442&lt;&gt;0,G2443&lt;&gt;0),(G2443-(G2443/G2467))+H2441,
IF(G2467&lt;1,0,(G2443-(G2443/G2467))))))</f>
        <v>0</v>
      </c>
      <c r="I2443" s="1423">
        <f t="shared" ref="I2443" ca="1" si="3556">IF(AND(I2441=0,H2443=0),0,
IF(AND(I2441&lt;&gt;0,H2443=0),I2441,
IF(AND(I2442&lt;&gt;0,H2443&lt;&gt;0),(H2443-(H2443/H2467))+I2441,
IF(H2467&lt;1,0,(H2443-(H2443/H2467))))))</f>
        <v>0</v>
      </c>
      <c r="J2443" s="1423">
        <f t="shared" ref="J2443" ca="1" si="3557">IF(AND(J2441=0,I2443=0),0,
IF(AND(J2441&lt;&gt;0,I2443=0),J2441,
IF(AND(J2442&lt;&gt;0,I2443&lt;&gt;0),(I2443-(I2443/I2467))+J2441,
IF(I2467&lt;1,0,(I2443-(I2443/I2467))))))</f>
        <v>0</v>
      </c>
      <c r="K2443" s="1423">
        <f t="shared" ref="K2443" ca="1" si="3558">IF(AND(K2441=0,J2443=0),0,
IF(AND(K2441&lt;&gt;0,J2443=0),K2441,
IF(AND(K2442&lt;&gt;0,J2443&lt;&gt;0),(J2443-(J2443/J2467))+K2441,
IF(J2467&lt;1,0,(J2443-(J2443/J2467))))))</f>
        <v>0</v>
      </c>
      <c r="L2443" s="1423">
        <f t="shared" ref="L2443" ca="1" si="3559">IF(AND(L2441=0,K2443=0),0,
IF(AND(L2441&lt;&gt;0,K2443=0),L2441,
IF(AND(L2442&lt;&gt;0,K2443&lt;&gt;0),(K2443-(K2443/K2467))+L2441,
IF(K2467&lt;1,0,(K2443-(K2443/K2467))))))</f>
        <v>0</v>
      </c>
      <c r="M2443" s="1423">
        <f t="shared" ref="M2443" ca="1" si="3560">IF(AND(M2441=0,L2443=0),0,
IF(AND(M2441&lt;&gt;0,L2443=0),M2441,
IF(AND(M2442&lt;&gt;0,L2443&lt;&gt;0),(L2443-(L2443/L2467))+M2441,
IF(L2467&lt;1,0,(L2443-(L2443/L2467))))))</f>
        <v>0</v>
      </c>
      <c r="N2443" s="1423">
        <f t="shared" ref="N2443" ca="1" si="3561">IF(AND(N2441=0,M2443=0),0,
IF(AND(N2441&lt;&gt;0,M2443=0),N2441,
IF(AND(N2442&lt;&gt;0,M2443&lt;&gt;0),(M2443-(M2443/M2467))+N2441,
IF(M2467&lt;1,0,(M2443-(M2443/M2467))))))</f>
        <v>0</v>
      </c>
      <c r="O2443" s="1423">
        <f t="shared" ref="O2443" ca="1" si="3562">IF(AND(O2441=0,N2443=0),0,
IF(AND(O2441&lt;&gt;0,N2443=0),O2441,
IF(AND(O2442&lt;&gt;0,N2443&lt;&gt;0),(N2443-(N2443/N2467))+O2441,
IF(N2467&lt;1,0,(N2443-(N2443/N2467))))))</f>
        <v>0</v>
      </c>
      <c r="P2443" s="1423">
        <f t="shared" ref="P2443" ca="1" si="3563">IF(AND(P2441=0,O2443=0),0,
IF(AND(P2441&lt;&gt;0,O2443=0),P2441,
IF(AND(P2442&lt;&gt;0,O2443&lt;&gt;0),(O2443-(O2443/O2467))+P2441,
IF(O2467&lt;1,0,(O2443-(O2443/O2467))))))</f>
        <v>0</v>
      </c>
      <c r="Q2443" s="1423">
        <f t="shared" ref="Q2443" ca="1" si="3564">IF(AND(Q2441=0,P2443=0),0,
IF(AND(Q2441&lt;&gt;0,P2443=0),Q2441,
IF(AND(Q2442&lt;&gt;0,P2443&lt;&gt;0),(P2443-(P2443/P2467))+Q2441,
IF(P2467&lt;1,0,(P2443-(P2443/P2467))))))</f>
        <v>0</v>
      </c>
      <c r="R2443" s="1423">
        <f t="shared" ref="R2443" ca="1" si="3565">IF(AND(R2441=0,Q2443=0),0,
IF(AND(R2441&lt;&gt;0,Q2443=0),R2441,
IF(AND(R2442&lt;&gt;0,Q2443&lt;&gt;0),(Q2443-(Q2443/Q2467))+R2441,
IF(Q2467&lt;1,0,(Q2443-(Q2443/Q2467))))))</f>
        <v>0</v>
      </c>
      <c r="S2443" s="1423">
        <f t="shared" ref="S2443" ca="1" si="3566">IF(AND(S2441=0,R2443=0),0,
IF(AND(S2441&lt;&gt;0,R2443=0),S2441,
IF(AND(S2442&lt;&gt;0,R2443&lt;&gt;0),(R2443-(R2443/R2467))+S2441,
IF(R2467&lt;1,0,(R2443-(R2443/R2467))))))</f>
        <v>0</v>
      </c>
      <c r="T2443" s="1423">
        <f t="shared" ref="T2443" ca="1" si="3567">IF(AND(T2441=0,S2443=0),0,
IF(AND(T2441&lt;&gt;0,S2443=0),T2441,
IF(AND(T2442&lt;&gt;0,S2443&lt;&gt;0),(S2443-(S2443/S2467))+T2441,
IF(S2467&lt;1,0,(S2443-(S2443/S2467))))))</f>
        <v>0</v>
      </c>
      <c r="U2443" s="1423">
        <f t="shared" ref="U2443" ca="1" si="3568">IF(AND(U2441=0,T2443=0),0,
IF(AND(U2441&lt;&gt;0,T2443=0),U2441,
IF(AND(U2442&lt;&gt;0,T2443&lt;&gt;0),(T2443-(T2443/T2467))+U2441,
IF(T2467&lt;1,0,(T2443-(T2443/T2467))))))</f>
        <v>0</v>
      </c>
      <c r="V2443" s="1423">
        <f t="shared" ref="V2443" ca="1" si="3569">IF(AND(V2441=0,U2443=0),0,
IF(AND(V2441&lt;&gt;0,U2443=0),V2441,
IF(AND(V2442&lt;&gt;0,U2443&lt;&gt;0),(U2443-(U2443/U2467))+V2441,
IF(U2467&lt;1,0,(U2443-(U2443/U2467))))))</f>
        <v>0</v>
      </c>
      <c r="W2443" s="1423">
        <f t="shared" ref="W2443" ca="1" si="3570">IF(AND(W2441=0,V2443=0),0,
IF(AND(W2441&lt;&gt;0,V2443=0),W2441,
IF(AND(W2442&lt;&gt;0,V2443&lt;&gt;0),(V2443-(V2443/V2467))+W2441,
IF(V2467&lt;1,0,(V2443-(V2443/V2467))))))</f>
        <v>0</v>
      </c>
      <c r="X2443" s="152"/>
      <c r="Y2443" s="152"/>
      <c r="Z2443" s="152"/>
      <c r="AA2443" s="152"/>
      <c r="AB2443" s="152"/>
    </row>
    <row r="2444" spans="1:28" hidden="1" outlineLevel="1">
      <c r="A2444" s="199">
        <f>A2443+1</f>
        <v>0</v>
      </c>
      <c r="B2444" s="190" t="s">
        <v>527</v>
      </c>
      <c r="C2444" s="1423">
        <f ca="1">C2439</f>
        <v>0</v>
      </c>
      <c r="D2444" s="1423">
        <f ca="1">IF(C2468="n/a",C2444,IFERROR(IF((OFFSET($C2444,0,$A2444))&lt;0,
MIN(0,C2444-(OFFSET($C2444,0,$A2444)/(OFFSET($C2439,-$A2443,$A2444)))),
MAX(0,C2444-(OFFSET($C2444,0,$A2444)/(OFFSET($C2439,-$A2443,$A2444))))),0))</f>
        <v>0</v>
      </c>
      <c r="E2444" s="1423">
        <f t="shared" ref="E2444" ca="1" si="3571">IF(D2468="n/a",D2444,IFERROR(IF((OFFSET($C2444,0,$A2444))&lt;0,
MIN(0,D2444-(OFFSET($C2444,0,$A2444)/(OFFSET($C2439,-$A2443,$A2444)))),
MAX(0,D2444-(OFFSET($C2444,0,$A2444)/(OFFSET($C2439,-$A2443,$A2444))))),0))</f>
        <v>0</v>
      </c>
      <c r="F2444" s="1423">
        <f t="shared" ref="F2444:F2445" ca="1" si="3572">IF(E2468="n/a",E2444,IFERROR(IF((OFFSET($C2444,0,$A2444))&lt;0,
MIN(0,E2444-(OFFSET($C2444,0,$A2444)/(OFFSET($C2439,-$A2443,$A2444)))),
MAX(0,E2444-(OFFSET($C2444,0,$A2444)/(OFFSET($C2439,-$A2443,$A2444))))),0))</f>
        <v>0</v>
      </c>
      <c r="G2444" s="1423">
        <f t="shared" ref="G2444:G2446" ca="1" si="3573">IF(F2468="n/a",F2444,IFERROR(IF((OFFSET($C2444,0,$A2444))&lt;0,
MIN(0,F2444-(OFFSET($C2444,0,$A2444)/(OFFSET($C2439,-$A2443,$A2444)))),
MAX(0,F2444-(OFFSET($C2444,0,$A2444)/(OFFSET($C2439,-$A2443,$A2444))))),0))</f>
        <v>0</v>
      </c>
      <c r="H2444" s="1423">
        <f t="shared" ref="H2444:H2447" ca="1" si="3574">IF(G2468="n/a",G2444,IFERROR(IF((OFFSET($C2444,0,$A2444))&lt;0,
MIN(0,G2444-(OFFSET($C2444,0,$A2444)/(OFFSET($C2439,-$A2443,$A2444)))),
MAX(0,G2444-(OFFSET($C2444,0,$A2444)/(OFFSET($C2439,-$A2443,$A2444))))),0))</f>
        <v>0</v>
      </c>
      <c r="I2444" s="1423">
        <f t="shared" ref="I2444:I2448" ca="1" si="3575">IF(H2468="n/a",H2444,IFERROR(IF((OFFSET($C2444,0,$A2444))&lt;0,
MIN(0,H2444-(OFFSET($C2444,0,$A2444)/(OFFSET($C2439,-$A2443,$A2444)))),
MAX(0,H2444-(OFFSET($C2444,0,$A2444)/(OFFSET($C2439,-$A2443,$A2444))))),0))</f>
        <v>0</v>
      </c>
      <c r="J2444" s="1423">
        <f t="shared" ref="J2444:J2449" ca="1" si="3576">IF(I2468="n/a",I2444,IFERROR(IF((OFFSET($C2444,0,$A2444))&lt;0,
MIN(0,I2444-(OFFSET($C2444,0,$A2444)/(OFFSET($C2439,-$A2443,$A2444)))),
MAX(0,I2444-(OFFSET($C2444,0,$A2444)/(OFFSET($C2439,-$A2443,$A2444))))),0))</f>
        <v>0</v>
      </c>
      <c r="K2444" s="1423">
        <f t="shared" ref="K2444:K2450" ca="1" si="3577">IF(J2468="n/a",J2444,IFERROR(IF((OFFSET($C2444,0,$A2444))&lt;0,
MIN(0,J2444-(OFFSET($C2444,0,$A2444)/(OFFSET($C2439,-$A2443,$A2444)))),
MAX(0,J2444-(OFFSET($C2444,0,$A2444)/(OFFSET($C2439,-$A2443,$A2444))))),0))</f>
        <v>0</v>
      </c>
      <c r="L2444" s="1423">
        <f t="shared" ref="L2444:L2451" ca="1" si="3578">IF(K2468="n/a",K2444,IFERROR(IF((OFFSET($C2444,0,$A2444))&lt;0,
MIN(0,K2444-(OFFSET($C2444,0,$A2444)/(OFFSET($C2439,-$A2443,$A2444)))),
MAX(0,K2444-(OFFSET($C2444,0,$A2444)/(OFFSET($C2439,-$A2443,$A2444))))),0))</f>
        <v>0</v>
      </c>
      <c r="M2444" s="1423">
        <f t="shared" ref="M2444:M2452" ca="1" si="3579">IF(L2468="n/a",L2444,IFERROR(IF((OFFSET($C2444,0,$A2444))&lt;0,
MIN(0,L2444-(OFFSET($C2444,0,$A2444)/(OFFSET($C2439,-$A2443,$A2444)))),
MAX(0,L2444-(OFFSET($C2444,0,$A2444)/(OFFSET($C2439,-$A2443,$A2444))))),0))</f>
        <v>0</v>
      </c>
      <c r="N2444" s="1423">
        <f t="shared" ref="N2444:N2453" ca="1" si="3580">IF(M2468="n/a",M2444,IFERROR(IF((OFFSET($C2444,0,$A2444))&lt;0,
MIN(0,M2444-(OFFSET($C2444,0,$A2444)/(OFFSET($C2439,-$A2443,$A2444)))),
MAX(0,M2444-(OFFSET($C2444,0,$A2444)/(OFFSET($C2439,-$A2443,$A2444))))),0))</f>
        <v>0</v>
      </c>
      <c r="O2444" s="1423">
        <f t="shared" ref="O2444:O2454" ca="1" si="3581">IF(N2468="n/a",N2444,IFERROR(IF((OFFSET($C2444,0,$A2444))&lt;0,
MIN(0,N2444-(OFFSET($C2444,0,$A2444)/(OFFSET($C2439,-$A2443,$A2444)))),
MAX(0,N2444-(OFFSET($C2444,0,$A2444)/(OFFSET($C2439,-$A2443,$A2444))))),0))</f>
        <v>0</v>
      </c>
      <c r="P2444" s="1423">
        <f t="shared" ref="P2444:P2455" ca="1" si="3582">IF(O2468="n/a",O2444,IFERROR(IF((OFFSET($C2444,0,$A2444))&lt;0,
MIN(0,O2444-(OFFSET($C2444,0,$A2444)/(OFFSET($C2439,-$A2443,$A2444)))),
MAX(0,O2444-(OFFSET($C2444,0,$A2444)/(OFFSET($C2439,-$A2443,$A2444))))),0))</f>
        <v>0</v>
      </c>
      <c r="Q2444" s="1423">
        <f t="shared" ref="Q2444:Q2456" ca="1" si="3583">IF(P2468="n/a",P2444,IFERROR(IF((OFFSET($C2444,0,$A2444))&lt;0,
MIN(0,P2444-(OFFSET($C2444,0,$A2444)/(OFFSET($C2439,-$A2443,$A2444)))),
MAX(0,P2444-(OFFSET($C2444,0,$A2444)/(OFFSET($C2439,-$A2443,$A2444))))),0))</f>
        <v>0</v>
      </c>
      <c r="R2444" s="1423">
        <f t="shared" ref="R2444:R2457" ca="1" si="3584">IF(Q2468="n/a",Q2444,IFERROR(IF((OFFSET($C2444,0,$A2444))&lt;0,
MIN(0,Q2444-(OFFSET($C2444,0,$A2444)/(OFFSET($C2439,-$A2443,$A2444)))),
MAX(0,Q2444-(OFFSET($C2444,0,$A2444)/(OFFSET($C2439,-$A2443,$A2444))))),0))</f>
        <v>0</v>
      </c>
      <c r="S2444" s="1423">
        <f t="shared" ref="S2444:S2458" ca="1" si="3585">IF(R2468="n/a",R2444,IFERROR(IF((OFFSET($C2444,0,$A2444))&lt;0,
MIN(0,R2444-(OFFSET($C2444,0,$A2444)/(OFFSET($C2439,-$A2443,$A2444)))),
MAX(0,R2444-(OFFSET($C2444,0,$A2444)/(OFFSET($C2439,-$A2443,$A2444))))),0))</f>
        <v>0</v>
      </c>
      <c r="T2444" s="1423">
        <f t="shared" ref="T2444:T2459" ca="1" si="3586">IF(S2468="n/a",S2444,IFERROR(IF((OFFSET($C2444,0,$A2444))&lt;0,
MIN(0,S2444-(OFFSET($C2444,0,$A2444)/(OFFSET($C2439,-$A2443,$A2444)))),
MAX(0,S2444-(OFFSET($C2444,0,$A2444)/(OFFSET($C2439,-$A2443,$A2444))))),0))</f>
        <v>0</v>
      </c>
      <c r="U2444" s="1423">
        <f t="shared" ref="U2444:U2460" ca="1" si="3587">IF(T2468="n/a",T2444,IFERROR(IF((OFFSET($C2444,0,$A2444))&lt;0,
MIN(0,T2444-(OFFSET($C2444,0,$A2444)/(OFFSET($C2439,-$A2443,$A2444)))),
MAX(0,T2444-(OFFSET($C2444,0,$A2444)/(OFFSET($C2439,-$A2443,$A2444))))),0))</f>
        <v>0</v>
      </c>
      <c r="V2444" s="1423">
        <f t="shared" ref="V2444:V2461" ca="1" si="3588">IF(U2468="n/a",U2444,IFERROR(IF((OFFSET($C2444,0,$A2444))&lt;0,
MIN(0,U2444-(OFFSET($C2444,0,$A2444)/(OFFSET($C2439,-$A2443,$A2444)))),
MAX(0,U2444-(OFFSET($C2444,0,$A2444)/(OFFSET($C2439,-$A2443,$A2444))))),0))</f>
        <v>0</v>
      </c>
      <c r="W2444" s="1423">
        <f t="shared" ref="W2444:W2462" ca="1" si="3589">IF(V2468="n/a",V2444,IFERROR(IF((OFFSET($C2444,0,$A2444))&lt;0,
MIN(0,V2444-(OFFSET($C2444,0,$A2444)/(OFFSET($C2439,-$A2443,$A2444)))),
MAX(0,V2444-(OFFSET($C2444,0,$A2444)/(OFFSET($C2439,-$A2443,$A2444))))),0))</f>
        <v>0</v>
      </c>
      <c r="X2444" s="152"/>
      <c r="Y2444" s="152"/>
      <c r="Z2444" s="152"/>
      <c r="AA2444" s="152"/>
      <c r="AB2444" s="152"/>
    </row>
    <row r="2445" spans="1:28" hidden="1" outlineLevel="1">
      <c r="A2445" s="199">
        <f t="shared" ref="A2445:A2464" si="3590">A2444+1</f>
        <v>1</v>
      </c>
      <c r="B2445" s="190" t="str">
        <f t="shared" ref="B2445:B2464" ca="1" si="3591">"Depreciated Net Capex "&amp;OFFSET($C$6,0,A2445)</f>
        <v>Depreciated Net Capex 2016-17</v>
      </c>
      <c r="C2445" s="1424"/>
      <c r="D2445" s="1425">
        <f>D2439</f>
        <v>0</v>
      </c>
      <c r="E2445" s="1423">
        <f ca="1">IF(D2469="n/a",D2445,IFERROR(IF((OFFSET($C2445,0,$A2445))&lt;0,
MIN(0,D2445-(OFFSET($C2445,0,$A2445)/(OFFSET($C2440,-$A2444,$A2445)))),
MAX(0,D2445-(OFFSET($C2445,0,$A2445)/(OFFSET($C2440,-$A2444,$A2445))))),0))</f>
        <v>0</v>
      </c>
      <c r="F2445" s="1423">
        <f t="shared" ca="1" si="3572"/>
        <v>0</v>
      </c>
      <c r="G2445" s="1423">
        <f t="shared" ca="1" si="3573"/>
        <v>0</v>
      </c>
      <c r="H2445" s="1423">
        <f t="shared" ca="1" si="3574"/>
        <v>0</v>
      </c>
      <c r="I2445" s="1423">
        <f t="shared" ca="1" si="3575"/>
        <v>0</v>
      </c>
      <c r="J2445" s="1423">
        <f t="shared" ca="1" si="3576"/>
        <v>0</v>
      </c>
      <c r="K2445" s="1423">
        <f t="shared" ca="1" si="3577"/>
        <v>0</v>
      </c>
      <c r="L2445" s="1423">
        <f t="shared" ca="1" si="3578"/>
        <v>0</v>
      </c>
      <c r="M2445" s="1423">
        <f t="shared" ca="1" si="3579"/>
        <v>0</v>
      </c>
      <c r="N2445" s="1423">
        <f t="shared" ca="1" si="3580"/>
        <v>0</v>
      </c>
      <c r="O2445" s="1423">
        <f t="shared" ca="1" si="3581"/>
        <v>0</v>
      </c>
      <c r="P2445" s="1423">
        <f t="shared" ca="1" si="3582"/>
        <v>0</v>
      </c>
      <c r="Q2445" s="1423">
        <f t="shared" ca="1" si="3583"/>
        <v>0</v>
      </c>
      <c r="R2445" s="1423">
        <f t="shared" ca="1" si="3584"/>
        <v>0</v>
      </c>
      <c r="S2445" s="1423">
        <f t="shared" ca="1" si="3585"/>
        <v>0</v>
      </c>
      <c r="T2445" s="1423">
        <f t="shared" ca="1" si="3586"/>
        <v>0</v>
      </c>
      <c r="U2445" s="1423">
        <f t="shared" ca="1" si="3587"/>
        <v>0</v>
      </c>
      <c r="V2445" s="1423">
        <f t="shared" ca="1" si="3588"/>
        <v>0</v>
      </c>
      <c r="W2445" s="1423">
        <f t="shared" ca="1" si="3589"/>
        <v>0</v>
      </c>
      <c r="X2445" s="152"/>
      <c r="Y2445" s="152"/>
      <c r="Z2445" s="152"/>
      <c r="AA2445" s="152"/>
      <c r="AB2445" s="152"/>
    </row>
    <row r="2446" spans="1:28" hidden="1" outlineLevel="1">
      <c r="A2446" s="199">
        <f t="shared" si="3590"/>
        <v>2</v>
      </c>
      <c r="B2446" s="190" t="str">
        <f t="shared" ca="1" si="3591"/>
        <v>Depreciated Net Capex 2017-18</v>
      </c>
      <c r="C2446" s="1426"/>
      <c r="D2446" s="1427"/>
      <c r="E2446" s="1425">
        <f>E2439</f>
        <v>0</v>
      </c>
      <c r="F2446" s="1423">
        <f ca="1">IF(E2470="n/a",E2446,IFERROR(IF((OFFSET($C2446,0,$A2446))&lt;0,
MIN(0,E2446-(OFFSET($C2446,0,$A2446)/(OFFSET($C2441,-$A2445,$A2446)))),
MAX(0,E2446-(OFFSET($C2446,0,$A2446)/(OFFSET($C2441,-$A2445,$A2446))))),0))</f>
        <v>0</v>
      </c>
      <c r="G2446" s="1423">
        <f t="shared" ca="1" si="3573"/>
        <v>0</v>
      </c>
      <c r="H2446" s="1423">
        <f t="shared" ca="1" si="3574"/>
        <v>0</v>
      </c>
      <c r="I2446" s="1423">
        <f t="shared" ca="1" si="3575"/>
        <v>0</v>
      </c>
      <c r="J2446" s="1423">
        <f t="shared" ca="1" si="3576"/>
        <v>0</v>
      </c>
      <c r="K2446" s="1423">
        <f t="shared" ca="1" si="3577"/>
        <v>0</v>
      </c>
      <c r="L2446" s="1423">
        <f t="shared" ca="1" si="3578"/>
        <v>0</v>
      </c>
      <c r="M2446" s="1423">
        <f t="shared" ca="1" si="3579"/>
        <v>0</v>
      </c>
      <c r="N2446" s="1423">
        <f t="shared" ca="1" si="3580"/>
        <v>0</v>
      </c>
      <c r="O2446" s="1423">
        <f t="shared" ca="1" si="3581"/>
        <v>0</v>
      </c>
      <c r="P2446" s="1423">
        <f t="shared" ca="1" si="3582"/>
        <v>0</v>
      </c>
      <c r="Q2446" s="1423">
        <f t="shared" ca="1" si="3583"/>
        <v>0</v>
      </c>
      <c r="R2446" s="1423">
        <f t="shared" ca="1" si="3584"/>
        <v>0</v>
      </c>
      <c r="S2446" s="1423">
        <f t="shared" ca="1" si="3585"/>
        <v>0</v>
      </c>
      <c r="T2446" s="1423">
        <f t="shared" ca="1" si="3586"/>
        <v>0</v>
      </c>
      <c r="U2446" s="1423">
        <f t="shared" ca="1" si="3587"/>
        <v>0</v>
      </c>
      <c r="V2446" s="1423">
        <f t="shared" ca="1" si="3588"/>
        <v>0</v>
      </c>
      <c r="W2446" s="1423">
        <f t="shared" ca="1" si="3589"/>
        <v>0</v>
      </c>
      <c r="X2446" s="202"/>
      <c r="Y2446" s="152"/>
      <c r="Z2446" s="152"/>
      <c r="AA2446" s="152"/>
      <c r="AB2446" s="152"/>
    </row>
    <row r="2447" spans="1:28" hidden="1" outlineLevel="1">
      <c r="A2447" s="199">
        <f t="shared" si="3590"/>
        <v>3</v>
      </c>
      <c r="B2447" s="190" t="str">
        <f t="shared" ca="1" si="3591"/>
        <v>Depreciated Net Capex 2018-19</v>
      </c>
      <c r="C2447" s="1426"/>
      <c r="D2447" s="1426"/>
      <c r="E2447" s="1427"/>
      <c r="F2447" s="1428">
        <f>F2439</f>
        <v>0</v>
      </c>
      <c r="G2447" s="1423">
        <f ca="1">IF(F2471="n/a",F2447,IFERROR(IF((OFFSET($C2447,0,$A2447))&lt;0,
MIN(0,F2447-(OFFSET($C2447,0,$A2447)/(OFFSET($C2442,-$A2446,$A2447)))),
MAX(0,F2447-(OFFSET($C2447,0,$A2447)/(OFFSET($C2442,-$A2446,$A2447))))),0))</f>
        <v>0</v>
      </c>
      <c r="H2447" s="1423">
        <f t="shared" ca="1" si="3574"/>
        <v>0</v>
      </c>
      <c r="I2447" s="1423">
        <f t="shared" ca="1" si="3575"/>
        <v>0</v>
      </c>
      <c r="J2447" s="1423">
        <f t="shared" ca="1" si="3576"/>
        <v>0</v>
      </c>
      <c r="K2447" s="1423">
        <f t="shared" ca="1" si="3577"/>
        <v>0</v>
      </c>
      <c r="L2447" s="1423">
        <f t="shared" ca="1" si="3578"/>
        <v>0</v>
      </c>
      <c r="M2447" s="1423">
        <f t="shared" ca="1" si="3579"/>
        <v>0</v>
      </c>
      <c r="N2447" s="1423">
        <f t="shared" ca="1" si="3580"/>
        <v>0</v>
      </c>
      <c r="O2447" s="1423">
        <f t="shared" ca="1" si="3581"/>
        <v>0</v>
      </c>
      <c r="P2447" s="1423">
        <f t="shared" ca="1" si="3582"/>
        <v>0</v>
      </c>
      <c r="Q2447" s="1423">
        <f t="shared" ca="1" si="3583"/>
        <v>0</v>
      </c>
      <c r="R2447" s="1423">
        <f t="shared" ca="1" si="3584"/>
        <v>0</v>
      </c>
      <c r="S2447" s="1423">
        <f t="shared" ca="1" si="3585"/>
        <v>0</v>
      </c>
      <c r="T2447" s="1423">
        <f t="shared" ca="1" si="3586"/>
        <v>0</v>
      </c>
      <c r="U2447" s="1423">
        <f t="shared" ca="1" si="3587"/>
        <v>0</v>
      </c>
      <c r="V2447" s="1423">
        <f t="shared" ca="1" si="3588"/>
        <v>0</v>
      </c>
      <c r="W2447" s="1423">
        <f t="shared" ca="1" si="3589"/>
        <v>0</v>
      </c>
      <c r="X2447" s="202"/>
      <c r="Y2447" s="202"/>
      <c r="Z2447" s="152"/>
      <c r="AA2447" s="152"/>
      <c r="AB2447" s="152"/>
    </row>
    <row r="2448" spans="1:28" hidden="1" outlineLevel="1">
      <c r="A2448" s="199">
        <f t="shared" si="3590"/>
        <v>4</v>
      </c>
      <c r="B2448" s="190" t="str">
        <f t="shared" ca="1" si="3591"/>
        <v>Depreciated Net Capex 2019-20</v>
      </c>
      <c r="C2448" s="1426"/>
      <c r="D2448" s="1426"/>
      <c r="E2448" s="1426"/>
      <c r="F2448" s="1427"/>
      <c r="G2448" s="1428">
        <f>G2439</f>
        <v>0</v>
      </c>
      <c r="H2448" s="1423">
        <f ca="1">IF(G2472="n/a",G2448,IFERROR(IF((OFFSET($C2448,0,$A2448))&lt;0,
MIN(0,G2448-(OFFSET($C2448,0,$A2448)/(OFFSET($C2443,-$A2447,$A2448)))),
MAX(0,G2448-(OFFSET($C2448,0,$A2448)/(OFFSET($C2443,-$A2447,$A2448))))),0))</f>
        <v>0</v>
      </c>
      <c r="I2448" s="1423">
        <f t="shared" ca="1" si="3575"/>
        <v>0</v>
      </c>
      <c r="J2448" s="1423">
        <f t="shared" ca="1" si="3576"/>
        <v>0</v>
      </c>
      <c r="K2448" s="1423">
        <f t="shared" ca="1" si="3577"/>
        <v>0</v>
      </c>
      <c r="L2448" s="1423">
        <f t="shared" ca="1" si="3578"/>
        <v>0</v>
      </c>
      <c r="M2448" s="1423">
        <f t="shared" ca="1" si="3579"/>
        <v>0</v>
      </c>
      <c r="N2448" s="1423">
        <f t="shared" ca="1" si="3580"/>
        <v>0</v>
      </c>
      <c r="O2448" s="1423">
        <f t="shared" ca="1" si="3581"/>
        <v>0</v>
      </c>
      <c r="P2448" s="1423">
        <f t="shared" ca="1" si="3582"/>
        <v>0</v>
      </c>
      <c r="Q2448" s="1423">
        <f t="shared" ca="1" si="3583"/>
        <v>0</v>
      </c>
      <c r="R2448" s="1423">
        <f t="shared" ca="1" si="3584"/>
        <v>0</v>
      </c>
      <c r="S2448" s="1423">
        <f t="shared" ca="1" si="3585"/>
        <v>0</v>
      </c>
      <c r="T2448" s="1423">
        <f t="shared" ca="1" si="3586"/>
        <v>0</v>
      </c>
      <c r="U2448" s="1423">
        <f t="shared" ca="1" si="3587"/>
        <v>0</v>
      </c>
      <c r="V2448" s="1423">
        <f t="shared" ca="1" si="3588"/>
        <v>0</v>
      </c>
      <c r="W2448" s="1423">
        <f t="shared" ca="1" si="3589"/>
        <v>0</v>
      </c>
      <c r="X2448" s="202"/>
      <c r="Y2448" s="202"/>
      <c r="Z2448" s="202"/>
      <c r="AA2448" s="152"/>
      <c r="AB2448" s="152"/>
    </row>
    <row r="2449" spans="1:28" hidden="1" outlineLevel="1">
      <c r="A2449" s="199">
        <f t="shared" si="3590"/>
        <v>5</v>
      </c>
      <c r="B2449" s="190" t="str">
        <f t="shared" ca="1" si="3591"/>
        <v>Depreciated Net Capex 2020-21</v>
      </c>
      <c r="C2449" s="1426"/>
      <c r="D2449" s="1426"/>
      <c r="E2449" s="1426"/>
      <c r="F2449" s="1426"/>
      <c r="G2449" s="1427"/>
      <c r="H2449" s="1428">
        <f>H2439</f>
        <v>0</v>
      </c>
      <c r="I2449" s="1423">
        <f ca="1">IF(H2473="n/a",H2449,IFERROR(IF((OFFSET($C2449,0,$A2449))&lt;0,
MIN(0,H2449-(OFFSET($C2449,0,$A2449)/(OFFSET($C2444,-$A2448,$A2449)))),
MAX(0,H2449-(OFFSET($C2449,0,$A2449)/(OFFSET($C2444,-$A2448,$A2449))))),0))</f>
        <v>0</v>
      </c>
      <c r="J2449" s="1423">
        <f t="shared" ca="1" si="3576"/>
        <v>0</v>
      </c>
      <c r="K2449" s="1423">
        <f t="shared" ca="1" si="3577"/>
        <v>0</v>
      </c>
      <c r="L2449" s="1423">
        <f t="shared" ca="1" si="3578"/>
        <v>0</v>
      </c>
      <c r="M2449" s="1423">
        <f t="shared" ca="1" si="3579"/>
        <v>0</v>
      </c>
      <c r="N2449" s="1423">
        <f t="shared" ca="1" si="3580"/>
        <v>0</v>
      </c>
      <c r="O2449" s="1423">
        <f t="shared" ca="1" si="3581"/>
        <v>0</v>
      </c>
      <c r="P2449" s="1423">
        <f t="shared" ca="1" si="3582"/>
        <v>0</v>
      </c>
      <c r="Q2449" s="1423">
        <f t="shared" ca="1" si="3583"/>
        <v>0</v>
      </c>
      <c r="R2449" s="1423">
        <f t="shared" ca="1" si="3584"/>
        <v>0</v>
      </c>
      <c r="S2449" s="1423">
        <f t="shared" ca="1" si="3585"/>
        <v>0</v>
      </c>
      <c r="T2449" s="1423">
        <f t="shared" ca="1" si="3586"/>
        <v>0</v>
      </c>
      <c r="U2449" s="1423">
        <f t="shared" ca="1" si="3587"/>
        <v>0</v>
      </c>
      <c r="V2449" s="1423">
        <f t="shared" ca="1" si="3588"/>
        <v>0</v>
      </c>
      <c r="W2449" s="1423">
        <f t="shared" ca="1" si="3589"/>
        <v>0</v>
      </c>
      <c r="X2449" s="202"/>
      <c r="Y2449" s="202"/>
      <c r="Z2449" s="202"/>
      <c r="AA2449" s="152"/>
      <c r="AB2449" s="152"/>
    </row>
    <row r="2450" spans="1:28" hidden="1" outlineLevel="1">
      <c r="A2450" s="199">
        <f t="shared" si="3590"/>
        <v>6</v>
      </c>
      <c r="B2450" s="190" t="str">
        <f t="shared" ca="1" si="3591"/>
        <v>Depreciated Net Capex 2021-22</v>
      </c>
      <c r="C2450" s="1426"/>
      <c r="D2450" s="1426"/>
      <c r="E2450" s="1426"/>
      <c r="F2450" s="1426"/>
      <c r="G2450" s="1426"/>
      <c r="H2450" s="1427"/>
      <c r="I2450" s="1428">
        <f>I2439</f>
        <v>0</v>
      </c>
      <c r="J2450" s="1423">
        <f ca="1">IF(I2474="n/a",I2450,IFERROR(IF((OFFSET($C2450,0,$A2450))&lt;0,
MIN(0,I2450-(OFFSET($C2450,0,$A2450)/(OFFSET($C2445,-$A2449,$A2450)))),
MAX(0,I2450-(OFFSET($C2450,0,$A2450)/(OFFSET($C2445,-$A2449,$A2450))))),0))</f>
        <v>0</v>
      </c>
      <c r="K2450" s="1423">
        <f t="shared" ca="1" si="3577"/>
        <v>0</v>
      </c>
      <c r="L2450" s="1423">
        <f t="shared" ca="1" si="3578"/>
        <v>0</v>
      </c>
      <c r="M2450" s="1423">
        <f t="shared" ca="1" si="3579"/>
        <v>0</v>
      </c>
      <c r="N2450" s="1423">
        <f t="shared" ca="1" si="3580"/>
        <v>0</v>
      </c>
      <c r="O2450" s="1423">
        <f t="shared" ca="1" si="3581"/>
        <v>0</v>
      </c>
      <c r="P2450" s="1423">
        <f t="shared" ca="1" si="3582"/>
        <v>0</v>
      </c>
      <c r="Q2450" s="1423">
        <f t="shared" ca="1" si="3583"/>
        <v>0</v>
      </c>
      <c r="R2450" s="1423">
        <f t="shared" ca="1" si="3584"/>
        <v>0</v>
      </c>
      <c r="S2450" s="1423">
        <f t="shared" ca="1" si="3585"/>
        <v>0</v>
      </c>
      <c r="T2450" s="1423">
        <f t="shared" ca="1" si="3586"/>
        <v>0</v>
      </c>
      <c r="U2450" s="1423">
        <f t="shared" ca="1" si="3587"/>
        <v>0</v>
      </c>
      <c r="V2450" s="1423">
        <f t="shared" ca="1" si="3588"/>
        <v>0</v>
      </c>
      <c r="W2450" s="1423">
        <f t="shared" ca="1" si="3589"/>
        <v>0</v>
      </c>
      <c r="X2450" s="202"/>
      <c r="Y2450" s="202"/>
      <c r="Z2450" s="202"/>
      <c r="AA2450" s="152"/>
      <c r="AB2450" s="152"/>
    </row>
    <row r="2451" spans="1:28" hidden="1" outlineLevel="1">
      <c r="A2451" s="199">
        <f t="shared" si="3590"/>
        <v>7</v>
      </c>
      <c r="B2451" s="190" t="str">
        <f t="shared" ca="1" si="3591"/>
        <v>Depreciated Net Capex 2022-23</v>
      </c>
      <c r="C2451" s="1426"/>
      <c r="D2451" s="1426"/>
      <c r="E2451" s="1426"/>
      <c r="F2451" s="1426"/>
      <c r="G2451" s="1426"/>
      <c r="H2451" s="1426"/>
      <c r="I2451" s="1427"/>
      <c r="J2451" s="1428">
        <f>J2439</f>
        <v>0</v>
      </c>
      <c r="K2451" s="1423">
        <f ca="1">IF(J2475="n/a",J2451,IFERROR(IF((OFFSET($C2451,0,$A2451))&lt;0,
MIN(0,J2451-(OFFSET($C2451,0,$A2451)/(OFFSET($C2446,-$A2450,$A2451)))),
MAX(0,J2451-(OFFSET($C2451,0,$A2451)/(OFFSET($C2446,-$A2450,$A2451))))),0))</f>
        <v>0</v>
      </c>
      <c r="L2451" s="1423">
        <f t="shared" ca="1" si="3578"/>
        <v>0</v>
      </c>
      <c r="M2451" s="1423">
        <f t="shared" ca="1" si="3579"/>
        <v>0</v>
      </c>
      <c r="N2451" s="1423">
        <f t="shared" ca="1" si="3580"/>
        <v>0</v>
      </c>
      <c r="O2451" s="1423">
        <f t="shared" ca="1" si="3581"/>
        <v>0</v>
      </c>
      <c r="P2451" s="1423">
        <f t="shared" ca="1" si="3582"/>
        <v>0</v>
      </c>
      <c r="Q2451" s="1423">
        <f t="shared" ca="1" si="3583"/>
        <v>0</v>
      </c>
      <c r="R2451" s="1423">
        <f t="shared" ca="1" si="3584"/>
        <v>0</v>
      </c>
      <c r="S2451" s="1423">
        <f t="shared" ca="1" si="3585"/>
        <v>0</v>
      </c>
      <c r="T2451" s="1423">
        <f t="shared" ca="1" si="3586"/>
        <v>0</v>
      </c>
      <c r="U2451" s="1423">
        <f t="shared" ca="1" si="3587"/>
        <v>0</v>
      </c>
      <c r="V2451" s="1423">
        <f t="shared" ca="1" si="3588"/>
        <v>0</v>
      </c>
      <c r="W2451" s="1423">
        <f t="shared" ca="1" si="3589"/>
        <v>0</v>
      </c>
      <c r="X2451" s="202"/>
      <c r="Y2451" s="202"/>
      <c r="Z2451" s="202"/>
      <c r="AA2451" s="152"/>
      <c r="AB2451" s="152"/>
    </row>
    <row r="2452" spans="1:28" hidden="1" outlineLevel="1">
      <c r="A2452" s="199">
        <f t="shared" si="3590"/>
        <v>8</v>
      </c>
      <c r="B2452" s="190" t="str">
        <f t="shared" ca="1" si="3591"/>
        <v>Depreciated Net Capex 2023-24</v>
      </c>
      <c r="C2452" s="1426"/>
      <c r="D2452" s="1426"/>
      <c r="E2452" s="1426"/>
      <c r="F2452" s="1426"/>
      <c r="G2452" s="1426"/>
      <c r="H2452" s="1426"/>
      <c r="I2452" s="1426"/>
      <c r="J2452" s="1427"/>
      <c r="K2452" s="1428">
        <f>K2439</f>
        <v>0</v>
      </c>
      <c r="L2452" s="1423">
        <f ca="1">IF(K2476="n/a",K2452,IFERROR(IF((OFFSET($C2452,0,$A2452))&lt;0,
MIN(0,K2452-(OFFSET($C2452,0,$A2452)/(OFFSET($C2447,-$A2451,$A2452)))),
MAX(0,K2452-(OFFSET($C2452,0,$A2452)/(OFFSET($C2447,-$A2451,$A2452))))),0))</f>
        <v>0</v>
      </c>
      <c r="M2452" s="1423">
        <f t="shared" ca="1" si="3579"/>
        <v>0</v>
      </c>
      <c r="N2452" s="1423">
        <f t="shared" ca="1" si="3580"/>
        <v>0</v>
      </c>
      <c r="O2452" s="1423">
        <f t="shared" ca="1" si="3581"/>
        <v>0</v>
      </c>
      <c r="P2452" s="1423">
        <f t="shared" ca="1" si="3582"/>
        <v>0</v>
      </c>
      <c r="Q2452" s="1423">
        <f t="shared" ca="1" si="3583"/>
        <v>0</v>
      </c>
      <c r="R2452" s="1423">
        <f t="shared" ca="1" si="3584"/>
        <v>0</v>
      </c>
      <c r="S2452" s="1423">
        <f t="shared" ca="1" si="3585"/>
        <v>0</v>
      </c>
      <c r="T2452" s="1423">
        <f t="shared" ca="1" si="3586"/>
        <v>0</v>
      </c>
      <c r="U2452" s="1423">
        <f t="shared" ca="1" si="3587"/>
        <v>0</v>
      </c>
      <c r="V2452" s="1423">
        <f t="shared" ca="1" si="3588"/>
        <v>0</v>
      </c>
      <c r="W2452" s="1423">
        <f t="shared" ca="1" si="3589"/>
        <v>0</v>
      </c>
      <c r="X2452" s="202"/>
      <c r="Y2452" s="202"/>
      <c r="Z2452" s="202"/>
      <c r="AA2452" s="152"/>
      <c r="AB2452" s="152"/>
    </row>
    <row r="2453" spans="1:28" hidden="1" outlineLevel="1">
      <c r="A2453" s="199">
        <f t="shared" si="3590"/>
        <v>9</v>
      </c>
      <c r="B2453" s="190" t="str">
        <f t="shared" ca="1" si="3591"/>
        <v>Depreciated Net Capex 2024-25</v>
      </c>
      <c r="C2453" s="1426"/>
      <c r="D2453" s="1426"/>
      <c r="E2453" s="1426"/>
      <c r="F2453" s="1426"/>
      <c r="G2453" s="1426"/>
      <c r="H2453" s="1426"/>
      <c r="I2453" s="1426"/>
      <c r="J2453" s="1426"/>
      <c r="K2453" s="1427"/>
      <c r="L2453" s="1428">
        <f>L2439</f>
        <v>0</v>
      </c>
      <c r="M2453" s="1423">
        <f ca="1">IF(L2477="n/a",L2453,IFERROR(IF((OFFSET($C2453,0,$A2453))&lt;0,
MIN(0,L2453-(OFFSET($C2453,0,$A2453)/(OFFSET($C2448,-$A2452,$A2453)))),
MAX(0,L2453-(OFFSET($C2453,0,$A2453)/(OFFSET($C2448,-$A2452,$A2453))))),0))</f>
        <v>0</v>
      </c>
      <c r="N2453" s="1423">
        <f t="shared" ca="1" si="3580"/>
        <v>0</v>
      </c>
      <c r="O2453" s="1423">
        <f t="shared" ca="1" si="3581"/>
        <v>0</v>
      </c>
      <c r="P2453" s="1423">
        <f t="shared" ca="1" si="3582"/>
        <v>0</v>
      </c>
      <c r="Q2453" s="1423">
        <f t="shared" ca="1" si="3583"/>
        <v>0</v>
      </c>
      <c r="R2453" s="1423">
        <f t="shared" ca="1" si="3584"/>
        <v>0</v>
      </c>
      <c r="S2453" s="1423">
        <f t="shared" ca="1" si="3585"/>
        <v>0</v>
      </c>
      <c r="T2453" s="1423">
        <f t="shared" ca="1" si="3586"/>
        <v>0</v>
      </c>
      <c r="U2453" s="1423">
        <f t="shared" ca="1" si="3587"/>
        <v>0</v>
      </c>
      <c r="V2453" s="1423">
        <f t="shared" ca="1" si="3588"/>
        <v>0</v>
      </c>
      <c r="W2453" s="1423">
        <f t="shared" ca="1" si="3589"/>
        <v>0</v>
      </c>
      <c r="X2453" s="202"/>
      <c r="Y2453" s="202"/>
      <c r="Z2453" s="202"/>
      <c r="AA2453" s="152"/>
      <c r="AB2453" s="152"/>
    </row>
    <row r="2454" spans="1:28" hidden="1" outlineLevel="1">
      <c r="A2454" s="199">
        <f t="shared" si="3590"/>
        <v>10</v>
      </c>
      <c r="B2454" s="190" t="str">
        <f t="shared" ca="1" si="3591"/>
        <v>Depreciated Net Capex 2025-26</v>
      </c>
      <c r="C2454" s="1426"/>
      <c r="D2454" s="1426"/>
      <c r="E2454" s="1426"/>
      <c r="F2454" s="1426"/>
      <c r="G2454" s="1426"/>
      <c r="H2454" s="1426"/>
      <c r="I2454" s="1426"/>
      <c r="J2454" s="1426"/>
      <c r="K2454" s="1426"/>
      <c r="L2454" s="1427"/>
      <c r="M2454" s="1428">
        <f>M2439</f>
        <v>0</v>
      </c>
      <c r="N2454" s="1423">
        <f ca="1">IF(M2478="n/a",M2454,IFERROR(IF((OFFSET($C2454,0,$A2454))&lt;0,
MIN(0,M2454-(OFFSET($C2454,0,$A2454)/(OFFSET($C2449,-$A2453,$A2454)))),
MAX(0,M2454-(OFFSET($C2454,0,$A2454)/(OFFSET($C2449,-$A2453,$A2454))))),0))</f>
        <v>0</v>
      </c>
      <c r="O2454" s="1423">
        <f t="shared" ca="1" si="3581"/>
        <v>0</v>
      </c>
      <c r="P2454" s="1423">
        <f t="shared" ca="1" si="3582"/>
        <v>0</v>
      </c>
      <c r="Q2454" s="1423">
        <f t="shared" ca="1" si="3583"/>
        <v>0</v>
      </c>
      <c r="R2454" s="1423">
        <f t="shared" ca="1" si="3584"/>
        <v>0</v>
      </c>
      <c r="S2454" s="1423">
        <f t="shared" ca="1" si="3585"/>
        <v>0</v>
      </c>
      <c r="T2454" s="1423">
        <f t="shared" ca="1" si="3586"/>
        <v>0</v>
      </c>
      <c r="U2454" s="1423">
        <f t="shared" ca="1" si="3587"/>
        <v>0</v>
      </c>
      <c r="V2454" s="1423">
        <f t="shared" ca="1" si="3588"/>
        <v>0</v>
      </c>
      <c r="W2454" s="1423">
        <f t="shared" ca="1" si="3589"/>
        <v>0</v>
      </c>
      <c r="X2454" s="202"/>
      <c r="Y2454" s="202"/>
      <c r="Z2454" s="202"/>
      <c r="AA2454" s="152"/>
      <c r="AB2454" s="152"/>
    </row>
    <row r="2455" spans="1:28" hidden="1" outlineLevel="1">
      <c r="A2455" s="199">
        <f t="shared" si="3590"/>
        <v>11</v>
      </c>
      <c r="B2455" s="190" t="str">
        <f t="shared" ca="1" si="3591"/>
        <v>Depreciated Net Capex 2026-27</v>
      </c>
      <c r="C2455" s="1426"/>
      <c r="D2455" s="1426"/>
      <c r="E2455" s="1426"/>
      <c r="F2455" s="1426"/>
      <c r="G2455" s="1426"/>
      <c r="H2455" s="1426"/>
      <c r="I2455" s="1426"/>
      <c r="J2455" s="1426"/>
      <c r="K2455" s="1426"/>
      <c r="L2455" s="1426"/>
      <c r="M2455" s="1427"/>
      <c r="N2455" s="1428">
        <f>N2439</f>
        <v>0</v>
      </c>
      <c r="O2455" s="1423">
        <f ca="1">IF(N2479="n/a",N2455,IFERROR(IF((OFFSET($C2455,0,$A2455))&lt;0,
MIN(0,N2455-(OFFSET($C2455,0,$A2455)/(OFFSET($C2450,-$A2454,$A2455)))),
MAX(0,N2455-(OFFSET($C2455,0,$A2455)/(OFFSET($C2450,-$A2454,$A2455))))),0))</f>
        <v>0</v>
      </c>
      <c r="P2455" s="1423">
        <f t="shared" ca="1" si="3582"/>
        <v>0</v>
      </c>
      <c r="Q2455" s="1423">
        <f t="shared" ca="1" si="3583"/>
        <v>0</v>
      </c>
      <c r="R2455" s="1423">
        <f t="shared" ca="1" si="3584"/>
        <v>0</v>
      </c>
      <c r="S2455" s="1423">
        <f t="shared" ca="1" si="3585"/>
        <v>0</v>
      </c>
      <c r="T2455" s="1423">
        <f t="shared" ca="1" si="3586"/>
        <v>0</v>
      </c>
      <c r="U2455" s="1423">
        <f t="shared" ca="1" si="3587"/>
        <v>0</v>
      </c>
      <c r="V2455" s="1423">
        <f t="shared" ca="1" si="3588"/>
        <v>0</v>
      </c>
      <c r="W2455" s="1423">
        <f t="shared" ca="1" si="3589"/>
        <v>0</v>
      </c>
      <c r="X2455" s="202"/>
      <c r="Y2455" s="202"/>
      <c r="Z2455" s="202"/>
      <c r="AA2455" s="152"/>
      <c r="AB2455" s="152"/>
    </row>
    <row r="2456" spans="1:28" hidden="1" outlineLevel="1">
      <c r="A2456" s="199">
        <f t="shared" si="3590"/>
        <v>12</v>
      </c>
      <c r="B2456" s="190" t="str">
        <f t="shared" ca="1" si="3591"/>
        <v>Depreciated Net Capex 2027-28</v>
      </c>
      <c r="C2456" s="1426"/>
      <c r="D2456" s="1426"/>
      <c r="E2456" s="1426"/>
      <c r="F2456" s="1426"/>
      <c r="G2456" s="1426"/>
      <c r="H2456" s="1426"/>
      <c r="I2456" s="1426"/>
      <c r="J2456" s="1426"/>
      <c r="K2456" s="1426"/>
      <c r="L2456" s="1426"/>
      <c r="M2456" s="1426"/>
      <c r="N2456" s="1427"/>
      <c r="O2456" s="1428">
        <f>O2439</f>
        <v>0</v>
      </c>
      <c r="P2456" s="1423">
        <f ca="1">IF(O2480="n/a",O2456,IFERROR(IF((OFFSET($C2456,0,$A2456))&lt;0,
MIN(0,O2456-(OFFSET($C2456,0,$A2456)/(OFFSET($C2451,-$A2455,$A2456)))),
MAX(0,O2456-(OFFSET($C2456,0,$A2456)/(OFFSET($C2451,-$A2455,$A2456))))),0))</f>
        <v>0</v>
      </c>
      <c r="Q2456" s="1423">
        <f t="shared" ca="1" si="3583"/>
        <v>0</v>
      </c>
      <c r="R2456" s="1423">
        <f t="shared" ca="1" si="3584"/>
        <v>0</v>
      </c>
      <c r="S2456" s="1423">
        <f t="shared" ca="1" si="3585"/>
        <v>0</v>
      </c>
      <c r="T2456" s="1423">
        <f t="shared" ca="1" si="3586"/>
        <v>0</v>
      </c>
      <c r="U2456" s="1423">
        <f t="shared" ca="1" si="3587"/>
        <v>0</v>
      </c>
      <c r="V2456" s="1423">
        <f t="shared" ca="1" si="3588"/>
        <v>0</v>
      </c>
      <c r="W2456" s="1423">
        <f t="shared" ca="1" si="3589"/>
        <v>0</v>
      </c>
      <c r="X2456" s="202"/>
      <c r="Y2456" s="202"/>
      <c r="Z2456" s="202"/>
      <c r="AA2456" s="152"/>
      <c r="AB2456" s="152"/>
    </row>
    <row r="2457" spans="1:28" hidden="1" outlineLevel="1">
      <c r="A2457" s="199">
        <f t="shared" si="3590"/>
        <v>13</v>
      </c>
      <c r="B2457" s="190" t="str">
        <f t="shared" ca="1" si="3591"/>
        <v>Depreciated Net Capex 2028-29</v>
      </c>
      <c r="C2457" s="1426"/>
      <c r="D2457" s="1426"/>
      <c r="E2457" s="1426"/>
      <c r="F2457" s="1426"/>
      <c r="G2457" s="1426"/>
      <c r="H2457" s="1426"/>
      <c r="I2457" s="1426"/>
      <c r="J2457" s="1426"/>
      <c r="K2457" s="1426"/>
      <c r="L2457" s="1426"/>
      <c r="M2457" s="1426"/>
      <c r="N2457" s="1426"/>
      <c r="O2457" s="1427"/>
      <c r="P2457" s="1428">
        <f>P2439</f>
        <v>0</v>
      </c>
      <c r="Q2457" s="1423">
        <f ca="1">IF(P2481="n/a",P2457,IFERROR(IF((OFFSET($C2457,0,$A2457))&lt;0,
MIN(0,P2457-(OFFSET($C2457,0,$A2457)/(OFFSET($C2452,-$A2456,$A2457)))),
MAX(0,P2457-(OFFSET($C2457,0,$A2457)/(OFFSET($C2452,-$A2456,$A2457))))),0))</f>
        <v>0</v>
      </c>
      <c r="R2457" s="1423">
        <f t="shared" ca="1" si="3584"/>
        <v>0</v>
      </c>
      <c r="S2457" s="1423">
        <f t="shared" ca="1" si="3585"/>
        <v>0</v>
      </c>
      <c r="T2457" s="1423">
        <f t="shared" ca="1" si="3586"/>
        <v>0</v>
      </c>
      <c r="U2457" s="1423">
        <f t="shared" ca="1" si="3587"/>
        <v>0</v>
      </c>
      <c r="V2457" s="1423">
        <f t="shared" ca="1" si="3588"/>
        <v>0</v>
      </c>
      <c r="W2457" s="1423">
        <f t="shared" ca="1" si="3589"/>
        <v>0</v>
      </c>
      <c r="X2457" s="202"/>
      <c r="Y2457" s="202"/>
      <c r="Z2457" s="202"/>
      <c r="AA2457" s="152"/>
      <c r="AB2457" s="152"/>
    </row>
    <row r="2458" spans="1:28" hidden="1" outlineLevel="1">
      <c r="A2458" s="199">
        <f t="shared" si="3590"/>
        <v>14</v>
      </c>
      <c r="B2458" s="190" t="str">
        <f t="shared" ca="1" si="3591"/>
        <v>Depreciated Net Capex 2029-30</v>
      </c>
      <c r="C2458" s="1426"/>
      <c r="D2458" s="1426"/>
      <c r="E2458" s="1426"/>
      <c r="F2458" s="1426"/>
      <c r="G2458" s="1426"/>
      <c r="H2458" s="1426"/>
      <c r="I2458" s="1426"/>
      <c r="J2458" s="1426"/>
      <c r="K2458" s="1426"/>
      <c r="L2458" s="1426"/>
      <c r="M2458" s="1426"/>
      <c r="N2458" s="1426"/>
      <c r="O2458" s="1426"/>
      <c r="P2458" s="1427"/>
      <c r="Q2458" s="1428">
        <f>Q2439</f>
        <v>0</v>
      </c>
      <c r="R2458" s="1423">
        <f ca="1">IF(Q2482="n/a",Q2458,IFERROR(IF((OFFSET($C2458,0,$A2458))&lt;0,
MIN(0,Q2458-(OFFSET($C2458,0,$A2458)/(OFFSET($C2453,-$A2457,$A2458)))),
MAX(0,Q2458-(OFFSET($C2458,0,$A2458)/(OFFSET($C2453,-$A2457,$A2458))))),0))</f>
        <v>0</v>
      </c>
      <c r="S2458" s="1423">
        <f t="shared" ca="1" si="3585"/>
        <v>0</v>
      </c>
      <c r="T2458" s="1423">
        <f t="shared" ca="1" si="3586"/>
        <v>0</v>
      </c>
      <c r="U2458" s="1423">
        <f t="shared" ca="1" si="3587"/>
        <v>0</v>
      </c>
      <c r="V2458" s="1423">
        <f t="shared" ca="1" si="3588"/>
        <v>0</v>
      </c>
      <c r="W2458" s="1423">
        <f t="shared" ca="1" si="3589"/>
        <v>0</v>
      </c>
      <c r="X2458" s="202"/>
      <c r="Y2458" s="202"/>
      <c r="Z2458" s="202"/>
      <c r="AA2458" s="152"/>
      <c r="AB2458" s="152"/>
    </row>
    <row r="2459" spans="1:28" hidden="1" outlineLevel="1">
      <c r="A2459" s="199">
        <f t="shared" si="3590"/>
        <v>15</v>
      </c>
      <c r="B2459" s="190" t="str">
        <f t="shared" ca="1" si="3591"/>
        <v>Depreciated Net Capex 2030-31</v>
      </c>
      <c r="C2459" s="1426"/>
      <c r="D2459" s="1426"/>
      <c r="E2459" s="1426"/>
      <c r="F2459" s="1426"/>
      <c r="G2459" s="1426"/>
      <c r="H2459" s="1426"/>
      <c r="I2459" s="1426"/>
      <c r="J2459" s="1426"/>
      <c r="K2459" s="1426"/>
      <c r="L2459" s="1426"/>
      <c r="M2459" s="1426"/>
      <c r="N2459" s="1426"/>
      <c r="O2459" s="1426"/>
      <c r="P2459" s="1426"/>
      <c r="Q2459" s="1427"/>
      <c r="R2459" s="1428">
        <f>R2439</f>
        <v>0</v>
      </c>
      <c r="S2459" s="1423">
        <f ca="1">IF(R2483="n/a",R2459,IFERROR(IF((OFFSET($C2459,0,$A2459))&lt;0,
MIN(0,R2459-(OFFSET($C2459,0,$A2459)/(OFFSET($C2454,-$A2458,$A2459)))),
MAX(0,R2459-(OFFSET($C2459,0,$A2459)/(OFFSET($C2454,-$A2458,$A2459))))),0))</f>
        <v>0</v>
      </c>
      <c r="T2459" s="1423">
        <f t="shared" ca="1" si="3586"/>
        <v>0</v>
      </c>
      <c r="U2459" s="1423">
        <f t="shared" ca="1" si="3587"/>
        <v>0</v>
      </c>
      <c r="V2459" s="1423">
        <f t="shared" ca="1" si="3588"/>
        <v>0</v>
      </c>
      <c r="W2459" s="1423">
        <f t="shared" ca="1" si="3589"/>
        <v>0</v>
      </c>
      <c r="X2459" s="202"/>
      <c r="Y2459" s="202"/>
      <c r="Z2459" s="202"/>
      <c r="AA2459" s="152"/>
      <c r="AB2459" s="152"/>
    </row>
    <row r="2460" spans="1:28" hidden="1" outlineLevel="1">
      <c r="A2460" s="199">
        <f t="shared" si="3590"/>
        <v>16</v>
      </c>
      <c r="B2460" s="190" t="str">
        <f t="shared" ca="1" si="3591"/>
        <v>Depreciated Net Capex 2031-32</v>
      </c>
      <c r="C2460" s="1426"/>
      <c r="D2460" s="1426"/>
      <c r="E2460" s="1426"/>
      <c r="F2460" s="1426"/>
      <c r="G2460" s="1426"/>
      <c r="H2460" s="1426"/>
      <c r="I2460" s="1426"/>
      <c r="J2460" s="1426"/>
      <c r="K2460" s="1426"/>
      <c r="L2460" s="1426"/>
      <c r="M2460" s="1426"/>
      <c r="N2460" s="1426"/>
      <c r="O2460" s="1426"/>
      <c r="P2460" s="1426"/>
      <c r="Q2460" s="1426"/>
      <c r="R2460" s="1427"/>
      <c r="S2460" s="1428">
        <f>S2439</f>
        <v>0</v>
      </c>
      <c r="T2460" s="1423">
        <f ca="1">IF(S2484="n/a",S2460,IFERROR(IF((OFFSET($C2460,0,$A2460))&lt;0,
MIN(0,S2460-(OFFSET($C2460,0,$A2460)/(OFFSET($C2455,-$A2459,$A2460)))),
MAX(0,S2460-(OFFSET($C2460,0,$A2460)/(OFFSET($C2455,-$A2459,$A2460))))),0))</f>
        <v>0</v>
      </c>
      <c r="U2460" s="1423">
        <f t="shared" ca="1" si="3587"/>
        <v>0</v>
      </c>
      <c r="V2460" s="1423">
        <f t="shared" ca="1" si="3588"/>
        <v>0</v>
      </c>
      <c r="W2460" s="1423">
        <f t="shared" ca="1" si="3589"/>
        <v>0</v>
      </c>
      <c r="X2460" s="202"/>
      <c r="Y2460" s="202"/>
      <c r="Z2460" s="202"/>
      <c r="AA2460" s="152"/>
      <c r="AB2460" s="152"/>
    </row>
    <row r="2461" spans="1:28" hidden="1" outlineLevel="1">
      <c r="A2461" s="199">
        <f t="shared" si="3590"/>
        <v>17</v>
      </c>
      <c r="B2461" s="190" t="str">
        <f t="shared" ca="1" si="3591"/>
        <v>Depreciated Net Capex 2032-33</v>
      </c>
      <c r="C2461" s="1426"/>
      <c r="D2461" s="1426"/>
      <c r="E2461" s="1426"/>
      <c r="F2461" s="1426"/>
      <c r="G2461" s="1426"/>
      <c r="H2461" s="1426"/>
      <c r="I2461" s="1426"/>
      <c r="J2461" s="1426"/>
      <c r="K2461" s="1426"/>
      <c r="L2461" s="1426"/>
      <c r="M2461" s="1426"/>
      <c r="N2461" s="1426"/>
      <c r="O2461" s="1426"/>
      <c r="P2461" s="1426"/>
      <c r="Q2461" s="1426"/>
      <c r="R2461" s="1426"/>
      <c r="S2461" s="1427"/>
      <c r="T2461" s="1428">
        <f>T2439</f>
        <v>0</v>
      </c>
      <c r="U2461" s="1423">
        <f ca="1">IF(T2485="n/a",T2461,IFERROR(IF((OFFSET($C2461,0,$A2461))&lt;0,
MIN(0,T2461-(OFFSET($C2461,0,$A2461)/(OFFSET($C2456,-$A2460,$A2461)))),
MAX(0,T2461-(OFFSET($C2461,0,$A2461)/(OFFSET($C2456,-$A2460,$A2461))))),0))</f>
        <v>0</v>
      </c>
      <c r="V2461" s="1423">
        <f t="shared" ca="1" si="3588"/>
        <v>0</v>
      </c>
      <c r="W2461" s="1423">
        <f t="shared" ca="1" si="3589"/>
        <v>0</v>
      </c>
      <c r="X2461" s="202"/>
      <c r="Y2461" s="202"/>
      <c r="Z2461" s="202"/>
      <c r="AA2461" s="152"/>
      <c r="AB2461" s="152"/>
    </row>
    <row r="2462" spans="1:28" hidden="1" outlineLevel="1">
      <c r="A2462" s="199">
        <f t="shared" si="3590"/>
        <v>18</v>
      </c>
      <c r="B2462" s="190" t="str">
        <f t="shared" ca="1" si="3591"/>
        <v>Depreciated Net Capex 2033-34</v>
      </c>
      <c r="C2462" s="1426"/>
      <c r="D2462" s="1426"/>
      <c r="E2462" s="1426"/>
      <c r="F2462" s="1426"/>
      <c r="G2462" s="1426"/>
      <c r="H2462" s="1426"/>
      <c r="I2462" s="1426"/>
      <c r="J2462" s="1426"/>
      <c r="K2462" s="1426"/>
      <c r="L2462" s="1426"/>
      <c r="M2462" s="1426"/>
      <c r="N2462" s="1426"/>
      <c r="O2462" s="1426"/>
      <c r="P2462" s="1426"/>
      <c r="Q2462" s="1426"/>
      <c r="R2462" s="1426"/>
      <c r="S2462" s="1426"/>
      <c r="T2462" s="1427"/>
      <c r="U2462" s="1428">
        <f>U2439</f>
        <v>0</v>
      </c>
      <c r="V2462" s="1423">
        <f ca="1">IF(U2486="n/a",U2462,IFERROR(IF((OFFSET($C2462,0,$A2462))&lt;0,
MIN(0,U2462-(OFFSET($C2462,0,$A2462)/(OFFSET($C2457,-$A2461,$A2462)))),
MAX(0,U2462-(OFFSET($C2462,0,$A2462)/(OFFSET($C2457,-$A2461,$A2462))))),0))</f>
        <v>0</v>
      </c>
      <c r="W2462" s="1423">
        <f t="shared" ca="1" si="3589"/>
        <v>0</v>
      </c>
      <c r="X2462" s="202"/>
      <c r="Y2462" s="202"/>
      <c r="Z2462" s="202"/>
      <c r="AA2462" s="152"/>
      <c r="AB2462" s="152"/>
    </row>
    <row r="2463" spans="1:28" hidden="1" outlineLevel="1">
      <c r="A2463" s="199">
        <f t="shared" si="3590"/>
        <v>19</v>
      </c>
      <c r="B2463" s="190" t="str">
        <f t="shared" ca="1" si="3591"/>
        <v>Depreciated Net Capex 2034-35</v>
      </c>
      <c r="C2463" s="1426"/>
      <c r="D2463" s="1426"/>
      <c r="E2463" s="1426"/>
      <c r="F2463" s="1426"/>
      <c r="G2463" s="1426"/>
      <c r="H2463" s="1426"/>
      <c r="I2463" s="1426"/>
      <c r="J2463" s="1426"/>
      <c r="K2463" s="1426"/>
      <c r="L2463" s="1426"/>
      <c r="M2463" s="1426"/>
      <c r="N2463" s="1426"/>
      <c r="O2463" s="1426"/>
      <c r="P2463" s="1426"/>
      <c r="Q2463" s="1426"/>
      <c r="R2463" s="1426"/>
      <c r="S2463" s="1426"/>
      <c r="T2463" s="1426"/>
      <c r="U2463" s="1427"/>
      <c r="V2463" s="1428">
        <f>V2439</f>
        <v>0</v>
      </c>
      <c r="W2463" s="1423">
        <f ca="1">IF(V2487="n/a",V2463,IFERROR(IF((OFFSET($C2463,0,$A2463))&lt;0,
MIN(0,V2463-(OFFSET($C2463,0,$A2463)/(OFFSET($C2458,-$A2462,$A2463)))),
MAX(0,V2463-(OFFSET($C2463,0,$A2463)/(OFFSET($C2458,-$A2462,$A2463))))),0))</f>
        <v>0</v>
      </c>
      <c r="X2463" s="202"/>
      <c r="Y2463" s="202"/>
      <c r="Z2463" s="202"/>
      <c r="AA2463" s="152"/>
      <c r="AB2463" s="152"/>
    </row>
    <row r="2464" spans="1:28" hidden="1" outlineLevel="1">
      <c r="A2464" s="199">
        <f t="shared" si="3590"/>
        <v>20</v>
      </c>
      <c r="B2464" s="190" t="str">
        <f t="shared" ca="1" si="3591"/>
        <v>Depreciated Net Capex 2035-36</v>
      </c>
      <c r="C2464" s="1426"/>
      <c r="D2464" s="1426"/>
      <c r="E2464" s="1426"/>
      <c r="F2464" s="1426"/>
      <c r="G2464" s="1426"/>
      <c r="H2464" s="1426"/>
      <c r="I2464" s="1426"/>
      <c r="J2464" s="1426"/>
      <c r="K2464" s="1426"/>
      <c r="L2464" s="1426"/>
      <c r="M2464" s="1426"/>
      <c r="N2464" s="1426"/>
      <c r="O2464" s="1426"/>
      <c r="P2464" s="1426"/>
      <c r="Q2464" s="1426"/>
      <c r="R2464" s="1426"/>
      <c r="S2464" s="1426"/>
      <c r="T2464" s="1426"/>
      <c r="U2464" s="1426"/>
      <c r="V2464" s="1427"/>
      <c r="W2464" s="1423">
        <f>W2439</f>
        <v>0</v>
      </c>
      <c r="X2464" s="152"/>
      <c r="Y2464" s="152"/>
      <c r="Z2464" s="152"/>
      <c r="AA2464" s="152"/>
      <c r="AB2464" s="152"/>
    </row>
    <row r="2465" spans="1:28" hidden="1" outlineLevel="1">
      <c r="A2465" s="152"/>
      <c r="B2465" s="200"/>
      <c r="C2465" s="1423"/>
      <c r="D2465" s="1423"/>
      <c r="E2465" s="1423"/>
      <c r="F2465" s="1423"/>
      <c r="G2465" s="1423"/>
      <c r="H2465" s="1423"/>
      <c r="I2465" s="1423"/>
      <c r="J2465" s="1423"/>
      <c r="K2465" s="1423"/>
      <c r="L2465" s="1423"/>
      <c r="M2465" s="1423"/>
      <c r="N2465" s="1423"/>
      <c r="O2465" s="1423"/>
      <c r="P2465" s="1423"/>
      <c r="Q2465" s="1423"/>
      <c r="R2465" s="1423"/>
      <c r="S2465" s="1423"/>
      <c r="T2465" s="1423"/>
      <c r="U2465" s="1423"/>
      <c r="V2465" s="1423"/>
      <c r="W2465" s="1423"/>
      <c r="X2465" s="152"/>
      <c r="Y2465" s="152"/>
      <c r="Z2465" s="152"/>
      <c r="AA2465" s="152"/>
      <c r="AB2465" s="152"/>
    </row>
    <row r="2466" spans="1:28" hidden="1" outlineLevel="1">
      <c r="A2466" s="152"/>
      <c r="B2466" s="200"/>
      <c r="C2466" s="1423"/>
      <c r="D2466" s="1423"/>
      <c r="E2466" s="1423"/>
      <c r="F2466" s="1423"/>
      <c r="G2466" s="1423"/>
      <c r="H2466" s="1423"/>
      <c r="I2466" s="1423"/>
      <c r="J2466" s="1423"/>
      <c r="K2466" s="1423"/>
      <c r="L2466" s="1423"/>
      <c r="M2466" s="1423"/>
      <c r="N2466" s="1423"/>
      <c r="O2466" s="1423"/>
      <c r="P2466" s="1423"/>
      <c r="Q2466" s="1423"/>
      <c r="R2466" s="1423"/>
      <c r="S2466" s="1423"/>
      <c r="T2466" s="1423"/>
      <c r="U2466" s="1423"/>
      <c r="V2466" s="1423"/>
      <c r="W2466" s="1423"/>
      <c r="X2466" s="152"/>
      <c r="Y2466" s="152"/>
      <c r="Z2466" s="152"/>
      <c r="AA2466" s="152"/>
      <c r="AB2466" s="152"/>
    </row>
    <row r="2467" spans="1:28" hidden="1" outlineLevel="1">
      <c r="A2467" s="152"/>
      <c r="B2467" s="190" t="s">
        <v>194</v>
      </c>
      <c r="C2467" s="1423"/>
      <c r="D2467" s="1423">
        <f t="shared" ref="D2467" ca="1" si="3592">IF(AND(C2467&lt;1,D2441=0),0,
IF(D2441=0,C2467-1,
IF(C2467&lt;1,D2442,
(((C2467-1)*(C2443-(C2443/(C2467))))+(D2441*D2442))/(D2443))))</f>
        <v>0</v>
      </c>
      <c r="E2467" s="1423">
        <f t="shared" ref="E2467" ca="1" si="3593">IF(AND(D2467&lt;1,E2441=0),0,
IF(E2441=0,D2467-1,
IF(D2467&lt;1,E2442,
(((D2467-1)*(D2443-(D2443/(D2467))))+(E2441*E2442))/(E2443))))</f>
        <v>0</v>
      </c>
      <c r="F2467" s="1423">
        <f t="shared" ref="F2467" ca="1" si="3594">IF(AND(E2467&lt;1,F2441=0),0,
IF(F2441=0,E2467-1,
IF(E2467&lt;1,F2442,
(((E2467-1)*(E2443-(E2443/(E2467))))+(F2441*F2442))/(F2443))))</f>
        <v>0</v>
      </c>
      <c r="G2467" s="1423">
        <f t="shared" ref="G2467" ca="1" si="3595">IF(AND(F2467&lt;1,G2441=0),0,
IF(G2441=0,F2467-1,
IF(F2467&lt;1,G2442,
(((F2467-1)*(F2443-(F2443/(F2467))))+(G2441*G2442))/(G2443))))</f>
        <v>0</v>
      </c>
      <c r="H2467" s="1423">
        <f ca="1">IF(AND(G2467&lt;1,H2441=0),0,
IF(H2441=0,G2467-1,
IF(G2467&lt;1,H2442,
(((G2467-1)*(G2443-(G2443/(G2467))))+(H2441*H2442))/(H2443))))</f>
        <v>0</v>
      </c>
      <c r="I2467" s="1423">
        <f t="shared" ref="I2467" ca="1" si="3596">IF(AND(H2467&lt;1,I2441=0),0,
IF(I2441=0,H2467-1,
IF(H2467&lt;1,I2442,
(((H2467-1)*(H2443-(H2443/(H2467))))+(I2441*I2442))/(I2443))))</f>
        <v>0</v>
      </c>
      <c r="J2467" s="1423">
        <f t="shared" ref="J2467" ca="1" si="3597">IF(AND(I2467&lt;1,J2441=0),0,
IF(J2441=0,I2467-1,
IF(I2467&lt;1,J2442,
(((I2467-1)*(I2443-(I2443/(I2467))))+(J2441*J2442))/(J2443))))</f>
        <v>0</v>
      </c>
      <c r="K2467" s="1423">
        <f t="shared" ref="K2467" ca="1" si="3598">IF(AND(J2467&lt;1,K2441=0),0,
IF(K2441=0,J2467-1,
IF(J2467&lt;1,K2442,
(((J2467-1)*(J2443-(J2443/(J2467))))+(K2441*K2442))/(K2443))))</f>
        <v>0</v>
      </c>
      <c r="L2467" s="1423">
        <f t="shared" ref="L2467" ca="1" si="3599">IF(AND(K2467&lt;1,L2441=0),0,
IF(L2441=0,K2467-1,
IF(K2467&lt;1,L2442,
(((K2467-1)*(K2443-(K2443/(K2467))))+(L2441*L2442))/(L2443))))</f>
        <v>0</v>
      </c>
      <c r="M2467" s="1423">
        <f ca="1">IF(AND(L2467&lt;1,M2441=0),0,
IF(M2441=0,L2467-1,
IF(L2467&lt;1,M2442,
(((L2467-1)*(L2443-(L2443/(L2467))))+(M2441*M2442))/(M2443))))</f>
        <v>0</v>
      </c>
      <c r="N2467" s="1423">
        <f t="shared" ref="N2467" ca="1" si="3600">IF(AND(M2467&lt;1,N2441=0),0,
IF(N2441=0,M2467-1,
IF(M2467&lt;1,N2442,
(((M2467-1)*(M2443-(M2443/(M2467))))+(N2441*N2442))/(N2443))))</f>
        <v>0</v>
      </c>
      <c r="O2467" s="1423">
        <f t="shared" ref="O2467" ca="1" si="3601">IF(AND(N2467&lt;1,O2441=0),0,
IF(O2441=0,N2467-1,
IF(N2467&lt;1,O2442,
(((N2467-1)*(N2443-(N2443/(N2467))))+(O2441*O2442))/(O2443))))</f>
        <v>0</v>
      </c>
      <c r="P2467" s="1423">
        <f t="shared" ref="P2467" ca="1" si="3602">IF(AND(O2467&lt;1,P2441=0),0,
IF(P2441=0,O2467-1,
IF(O2467&lt;1,P2442,
(((O2467-1)*(O2443-(O2443/(O2467))))+(P2441*P2442))/(P2443))))</f>
        <v>0</v>
      </c>
      <c r="Q2467" s="1423">
        <f t="shared" ref="Q2467" ca="1" si="3603">IF(AND(P2467&lt;1,Q2441=0),0,
IF(Q2441=0,P2467-1,
IF(P2467&lt;1,Q2442,
(((P2467-1)*(P2443-(P2443/(P2467))))+(Q2441*Q2442))/(Q2443))))</f>
        <v>0</v>
      </c>
      <c r="R2467" s="1423">
        <f t="shared" ref="R2467" ca="1" si="3604">IF(AND(Q2467&lt;1,R2441=0),0,
IF(R2441=0,Q2467-1,
IF(Q2467&lt;1,R2442,
(((Q2467-1)*(Q2443-(Q2443/(Q2467))))+(R2441*R2442))/(R2443))))</f>
        <v>0</v>
      </c>
      <c r="S2467" s="1423">
        <f t="shared" ref="S2467" ca="1" si="3605">IF(AND(R2467&lt;1,S2441=0),0,
IF(S2441=0,R2467-1,
IF(R2467&lt;1,S2442,
(((R2467-1)*(R2443-(R2443/(R2467))))+(S2441*S2442))/(S2443))))</f>
        <v>0</v>
      </c>
      <c r="T2467" s="1423">
        <f t="shared" ref="T2467" ca="1" si="3606">IF(AND(S2467&lt;1,T2441=0),0,
IF(T2441=0,S2467-1,
IF(S2467&lt;1,T2442,
(((S2467-1)*(S2443-(S2443/(S2467))))+(T2441*T2442))/(T2443))))</f>
        <v>0</v>
      </c>
      <c r="U2467" s="1423">
        <f t="shared" ref="U2467" ca="1" si="3607">IF(AND(T2467&lt;1,U2441=0),0,
IF(U2441=0,T2467-1,
IF(T2467&lt;1,U2442,
(((T2467-1)*(T2443-(T2443/(T2467))))+(U2441*U2442))/(U2443))))</f>
        <v>0</v>
      </c>
      <c r="V2467" s="1423">
        <f t="shared" ref="V2467" ca="1" si="3608">IF(AND(U2467&lt;1,V2441=0),0,
IF(V2441=0,U2467-1,
IF(U2467&lt;1,V2442,
(((U2467-1)*(U2443-(U2443/(U2467))))+(V2441*V2442))/(V2443))))</f>
        <v>0</v>
      </c>
      <c r="W2467" s="1423">
        <f t="shared" ref="W2467" ca="1" si="3609">IF(AND(V2467&lt;1,W2441=0),0,
IF(W2441=0,V2467-1,
IF(V2467&lt;1,W2442,
(((V2467-1)*(V2443-(V2443/(V2467))))+(W2441*W2442))/(W2443))))</f>
        <v>0</v>
      </c>
      <c r="X2467" s="152"/>
      <c r="Y2467" s="152"/>
      <c r="Z2467" s="152"/>
      <c r="AA2467" s="152"/>
      <c r="AB2467" s="152"/>
    </row>
    <row r="2468" spans="1:28" hidden="1" outlineLevel="1">
      <c r="A2468" s="152"/>
      <c r="B2468" s="190" t="s">
        <v>193</v>
      </c>
      <c r="C2468" s="1423">
        <f ca="1">C2440</f>
        <v>0</v>
      </c>
      <c r="D2468" s="1423">
        <f t="shared" ref="D2468" ca="1" si="3610">IF(C2468="n/a","n/a",MAX(0,C2468-1))</f>
        <v>0</v>
      </c>
      <c r="E2468" s="1423">
        <f t="shared" ref="E2468:E2469" ca="1" si="3611">IF(D2468="n/a","n/a",MAX(0,D2468-1))</f>
        <v>0</v>
      </c>
      <c r="F2468" s="1423">
        <f t="shared" ref="F2468:F2470" ca="1" si="3612">IF(E2468="n/a","n/a",MAX(0,E2468-1))</f>
        <v>0</v>
      </c>
      <c r="G2468" s="1423">
        <f t="shared" ref="G2468:G2471" ca="1" si="3613">IF(F2468="n/a","n/a",MAX(0,F2468-1))</f>
        <v>0</v>
      </c>
      <c r="H2468" s="1423">
        <f t="shared" ref="H2468:H2472" ca="1" si="3614">IF(G2468="n/a","n/a",MAX(0,G2468-1))</f>
        <v>0</v>
      </c>
      <c r="I2468" s="1423">
        <f t="shared" ref="I2468:I2473" ca="1" si="3615">IF(H2468="n/a","n/a",MAX(0,H2468-1))</f>
        <v>0</v>
      </c>
      <c r="J2468" s="1423">
        <f t="shared" ref="J2468:J2474" ca="1" si="3616">IF(I2468="n/a","n/a",MAX(0,I2468-1))</f>
        <v>0</v>
      </c>
      <c r="K2468" s="1423">
        <f t="shared" ref="K2468:K2475" ca="1" si="3617">IF(J2468="n/a","n/a",MAX(0,J2468-1))</f>
        <v>0</v>
      </c>
      <c r="L2468" s="1423">
        <f t="shared" ref="L2468:L2476" ca="1" si="3618">IF(K2468="n/a","n/a",MAX(0,K2468-1))</f>
        <v>0</v>
      </c>
      <c r="M2468" s="1423">
        <f t="shared" ref="M2468:M2477" ca="1" si="3619">IF(L2468="n/a","n/a",MAX(0,L2468-1))</f>
        <v>0</v>
      </c>
      <c r="N2468" s="1423">
        <f t="shared" ref="N2468:N2478" ca="1" si="3620">IF(M2468="n/a","n/a",MAX(0,M2468-1))</f>
        <v>0</v>
      </c>
      <c r="O2468" s="1423">
        <f t="shared" ref="O2468:O2479" ca="1" si="3621">IF(N2468="n/a","n/a",MAX(0,N2468-1))</f>
        <v>0</v>
      </c>
      <c r="P2468" s="1423">
        <f t="shared" ref="P2468:P2480" ca="1" si="3622">IF(O2468="n/a","n/a",MAX(0,O2468-1))</f>
        <v>0</v>
      </c>
      <c r="Q2468" s="1423">
        <f t="shared" ref="Q2468:Q2481" ca="1" si="3623">IF(P2468="n/a","n/a",MAX(0,P2468-1))</f>
        <v>0</v>
      </c>
      <c r="R2468" s="1423">
        <f t="shared" ref="R2468:R2482" ca="1" si="3624">IF(Q2468="n/a","n/a",MAX(0,Q2468-1))</f>
        <v>0</v>
      </c>
      <c r="S2468" s="1423">
        <f t="shared" ref="S2468:S2483" ca="1" si="3625">IF(R2468="n/a","n/a",MAX(0,R2468-1))</f>
        <v>0</v>
      </c>
      <c r="T2468" s="1423">
        <f t="shared" ref="T2468:T2484" ca="1" si="3626">IF(S2468="n/a","n/a",MAX(0,S2468-1))</f>
        <v>0</v>
      </c>
      <c r="U2468" s="1423">
        <f t="shared" ref="U2468:U2485" ca="1" si="3627">IF(T2468="n/a","n/a",MAX(0,T2468-1))</f>
        <v>0</v>
      </c>
      <c r="V2468" s="1423">
        <f t="shared" ref="V2468:V2486" ca="1" si="3628">IF(U2468="n/a","n/a",MAX(0,U2468-1))</f>
        <v>0</v>
      </c>
      <c r="W2468" s="1423">
        <f t="shared" ref="W2468:W2486" ca="1" si="3629">IF(V2468="n/a","n/a",MAX(0,V2468-1))</f>
        <v>0</v>
      </c>
      <c r="X2468" s="152"/>
      <c r="Y2468" s="152"/>
      <c r="Z2468" s="152"/>
      <c r="AA2468" s="152"/>
      <c r="AB2468" s="152"/>
    </row>
    <row r="2469" spans="1:28" hidden="1" outlineLevel="1">
      <c r="A2469" s="152"/>
      <c r="B2469" s="190" t="str">
        <f t="shared" ref="B2469:B2488" ca="1" si="3630">"RL Capex "&amp;OFFSET($C$6,0,A2445)</f>
        <v>RL Capex 2016-17</v>
      </c>
      <c r="C2469" s="1424"/>
      <c r="D2469" s="1428">
        <f>D2440</f>
        <v>0</v>
      </c>
      <c r="E2469" s="1423">
        <f t="shared" si="3611"/>
        <v>0</v>
      </c>
      <c r="F2469" s="1423">
        <f t="shared" si="3612"/>
        <v>0</v>
      </c>
      <c r="G2469" s="1423">
        <f t="shared" si="3613"/>
        <v>0</v>
      </c>
      <c r="H2469" s="1423">
        <f t="shared" si="3614"/>
        <v>0</v>
      </c>
      <c r="I2469" s="1423">
        <f t="shared" si="3615"/>
        <v>0</v>
      </c>
      <c r="J2469" s="1423">
        <f t="shared" si="3616"/>
        <v>0</v>
      </c>
      <c r="K2469" s="1423">
        <f t="shared" si="3617"/>
        <v>0</v>
      </c>
      <c r="L2469" s="1423">
        <f t="shared" si="3618"/>
        <v>0</v>
      </c>
      <c r="M2469" s="1423">
        <f t="shared" si="3619"/>
        <v>0</v>
      </c>
      <c r="N2469" s="1423">
        <f t="shared" si="3620"/>
        <v>0</v>
      </c>
      <c r="O2469" s="1423">
        <f t="shared" si="3621"/>
        <v>0</v>
      </c>
      <c r="P2469" s="1423">
        <f t="shared" si="3622"/>
        <v>0</v>
      </c>
      <c r="Q2469" s="1423">
        <f t="shared" si="3623"/>
        <v>0</v>
      </c>
      <c r="R2469" s="1423">
        <f t="shared" si="3624"/>
        <v>0</v>
      </c>
      <c r="S2469" s="1423">
        <f t="shared" si="3625"/>
        <v>0</v>
      </c>
      <c r="T2469" s="1423">
        <f t="shared" si="3626"/>
        <v>0</v>
      </c>
      <c r="U2469" s="1423">
        <f t="shared" si="3627"/>
        <v>0</v>
      </c>
      <c r="V2469" s="1423">
        <f t="shared" si="3628"/>
        <v>0</v>
      </c>
      <c r="W2469" s="1423">
        <f t="shared" si="3629"/>
        <v>0</v>
      </c>
      <c r="X2469" s="152"/>
      <c r="Y2469" s="152"/>
      <c r="Z2469" s="152"/>
      <c r="AA2469" s="152"/>
      <c r="AB2469" s="152"/>
    </row>
    <row r="2470" spans="1:28" hidden="1" outlineLevel="1">
      <c r="A2470" s="152"/>
      <c r="B2470" s="190" t="str">
        <f t="shared" ca="1" si="3630"/>
        <v>RL Capex 2017-18</v>
      </c>
      <c r="C2470" s="1429"/>
      <c r="D2470" s="1424"/>
      <c r="E2470" s="1428">
        <f>E2440</f>
        <v>0</v>
      </c>
      <c r="F2470" s="1423">
        <f t="shared" si="3612"/>
        <v>0</v>
      </c>
      <c r="G2470" s="1423">
        <f t="shared" si="3613"/>
        <v>0</v>
      </c>
      <c r="H2470" s="1423">
        <f t="shared" si="3614"/>
        <v>0</v>
      </c>
      <c r="I2470" s="1423">
        <f t="shared" si="3615"/>
        <v>0</v>
      </c>
      <c r="J2470" s="1423">
        <f t="shared" si="3616"/>
        <v>0</v>
      </c>
      <c r="K2470" s="1423">
        <f t="shared" si="3617"/>
        <v>0</v>
      </c>
      <c r="L2470" s="1423">
        <f t="shared" si="3618"/>
        <v>0</v>
      </c>
      <c r="M2470" s="1423">
        <f t="shared" si="3619"/>
        <v>0</v>
      </c>
      <c r="N2470" s="1423">
        <f t="shared" si="3620"/>
        <v>0</v>
      </c>
      <c r="O2470" s="1423">
        <f t="shared" si="3621"/>
        <v>0</v>
      </c>
      <c r="P2470" s="1423">
        <f t="shared" si="3622"/>
        <v>0</v>
      </c>
      <c r="Q2470" s="1423">
        <f t="shared" si="3623"/>
        <v>0</v>
      </c>
      <c r="R2470" s="1423">
        <f t="shared" si="3624"/>
        <v>0</v>
      </c>
      <c r="S2470" s="1423">
        <f t="shared" si="3625"/>
        <v>0</v>
      </c>
      <c r="T2470" s="1423">
        <f t="shared" si="3626"/>
        <v>0</v>
      </c>
      <c r="U2470" s="1423">
        <f t="shared" si="3627"/>
        <v>0</v>
      </c>
      <c r="V2470" s="1423">
        <f t="shared" si="3628"/>
        <v>0</v>
      </c>
      <c r="W2470" s="1423">
        <f t="shared" si="3629"/>
        <v>0</v>
      </c>
      <c r="X2470" s="152"/>
      <c r="Y2470" s="152"/>
      <c r="Z2470" s="152"/>
      <c r="AA2470" s="152"/>
      <c r="AB2470" s="152"/>
    </row>
    <row r="2471" spans="1:28" hidden="1" outlineLevel="1">
      <c r="A2471" s="152"/>
      <c r="B2471" s="190" t="str">
        <f t="shared" ca="1" si="3630"/>
        <v>RL Capex 2018-19</v>
      </c>
      <c r="C2471" s="1429"/>
      <c r="D2471" s="1429"/>
      <c r="E2471" s="1424"/>
      <c r="F2471" s="1428">
        <f>F2440</f>
        <v>0</v>
      </c>
      <c r="G2471" s="1423">
        <f t="shared" si="3613"/>
        <v>0</v>
      </c>
      <c r="H2471" s="1423">
        <f t="shared" si="3614"/>
        <v>0</v>
      </c>
      <c r="I2471" s="1423">
        <f t="shared" si="3615"/>
        <v>0</v>
      </c>
      <c r="J2471" s="1423">
        <f t="shared" si="3616"/>
        <v>0</v>
      </c>
      <c r="K2471" s="1423">
        <f t="shared" si="3617"/>
        <v>0</v>
      </c>
      <c r="L2471" s="1423">
        <f t="shared" si="3618"/>
        <v>0</v>
      </c>
      <c r="M2471" s="1423">
        <f t="shared" si="3619"/>
        <v>0</v>
      </c>
      <c r="N2471" s="1423">
        <f t="shared" si="3620"/>
        <v>0</v>
      </c>
      <c r="O2471" s="1423">
        <f t="shared" si="3621"/>
        <v>0</v>
      </c>
      <c r="P2471" s="1423">
        <f t="shared" si="3622"/>
        <v>0</v>
      </c>
      <c r="Q2471" s="1423">
        <f t="shared" si="3623"/>
        <v>0</v>
      </c>
      <c r="R2471" s="1423">
        <f t="shared" si="3624"/>
        <v>0</v>
      </c>
      <c r="S2471" s="1423">
        <f t="shared" si="3625"/>
        <v>0</v>
      </c>
      <c r="T2471" s="1423">
        <f t="shared" si="3626"/>
        <v>0</v>
      </c>
      <c r="U2471" s="1423">
        <f t="shared" si="3627"/>
        <v>0</v>
      </c>
      <c r="V2471" s="1423">
        <f t="shared" si="3628"/>
        <v>0</v>
      </c>
      <c r="W2471" s="1423">
        <f t="shared" si="3629"/>
        <v>0</v>
      </c>
      <c r="X2471" s="152"/>
      <c r="Y2471" s="152"/>
      <c r="Z2471" s="152"/>
      <c r="AA2471" s="152"/>
      <c r="AB2471" s="152"/>
    </row>
    <row r="2472" spans="1:28" hidden="1" outlineLevel="1">
      <c r="A2472" s="152"/>
      <c r="B2472" s="190" t="str">
        <f t="shared" ca="1" si="3630"/>
        <v>RL Capex 2019-20</v>
      </c>
      <c r="C2472" s="1429"/>
      <c r="D2472" s="1429"/>
      <c r="E2472" s="1429"/>
      <c r="F2472" s="1424"/>
      <c r="G2472" s="1428">
        <f>G2440</f>
        <v>0</v>
      </c>
      <c r="H2472" s="1423">
        <f t="shared" si="3614"/>
        <v>0</v>
      </c>
      <c r="I2472" s="1423">
        <f t="shared" si="3615"/>
        <v>0</v>
      </c>
      <c r="J2472" s="1423">
        <f t="shared" si="3616"/>
        <v>0</v>
      </c>
      <c r="K2472" s="1423">
        <f t="shared" si="3617"/>
        <v>0</v>
      </c>
      <c r="L2472" s="1423">
        <f t="shared" si="3618"/>
        <v>0</v>
      </c>
      <c r="M2472" s="1423">
        <f t="shared" si="3619"/>
        <v>0</v>
      </c>
      <c r="N2472" s="1423">
        <f t="shared" si="3620"/>
        <v>0</v>
      </c>
      <c r="O2472" s="1423">
        <f t="shared" si="3621"/>
        <v>0</v>
      </c>
      <c r="P2472" s="1423">
        <f t="shared" si="3622"/>
        <v>0</v>
      </c>
      <c r="Q2472" s="1423">
        <f t="shared" si="3623"/>
        <v>0</v>
      </c>
      <c r="R2472" s="1423">
        <f t="shared" si="3624"/>
        <v>0</v>
      </c>
      <c r="S2472" s="1423">
        <f t="shared" si="3625"/>
        <v>0</v>
      </c>
      <c r="T2472" s="1423">
        <f t="shared" si="3626"/>
        <v>0</v>
      </c>
      <c r="U2472" s="1423">
        <f t="shared" si="3627"/>
        <v>0</v>
      </c>
      <c r="V2472" s="1423">
        <f t="shared" si="3628"/>
        <v>0</v>
      </c>
      <c r="W2472" s="1423">
        <f t="shared" si="3629"/>
        <v>0</v>
      </c>
      <c r="X2472" s="152"/>
      <c r="Y2472" s="152"/>
      <c r="Z2472" s="152"/>
      <c r="AA2472" s="152"/>
      <c r="AB2472" s="152"/>
    </row>
    <row r="2473" spans="1:28" hidden="1" outlineLevel="1">
      <c r="A2473" s="152"/>
      <c r="B2473" s="190" t="str">
        <f t="shared" ca="1" si="3630"/>
        <v>RL Capex 2020-21</v>
      </c>
      <c r="C2473" s="1429"/>
      <c r="D2473" s="1429"/>
      <c r="E2473" s="1429"/>
      <c r="F2473" s="1429"/>
      <c r="G2473" s="1424"/>
      <c r="H2473" s="1428">
        <f>H2440</f>
        <v>0</v>
      </c>
      <c r="I2473" s="1423">
        <f t="shared" si="3615"/>
        <v>0</v>
      </c>
      <c r="J2473" s="1423">
        <f t="shared" si="3616"/>
        <v>0</v>
      </c>
      <c r="K2473" s="1423">
        <f t="shared" si="3617"/>
        <v>0</v>
      </c>
      <c r="L2473" s="1423">
        <f t="shared" si="3618"/>
        <v>0</v>
      </c>
      <c r="M2473" s="1423">
        <f t="shared" si="3619"/>
        <v>0</v>
      </c>
      <c r="N2473" s="1423">
        <f t="shared" si="3620"/>
        <v>0</v>
      </c>
      <c r="O2473" s="1423">
        <f t="shared" si="3621"/>
        <v>0</v>
      </c>
      <c r="P2473" s="1423">
        <f t="shared" si="3622"/>
        <v>0</v>
      </c>
      <c r="Q2473" s="1423">
        <f t="shared" si="3623"/>
        <v>0</v>
      </c>
      <c r="R2473" s="1423">
        <f t="shared" si="3624"/>
        <v>0</v>
      </c>
      <c r="S2473" s="1423">
        <f t="shared" si="3625"/>
        <v>0</v>
      </c>
      <c r="T2473" s="1423">
        <f t="shared" si="3626"/>
        <v>0</v>
      </c>
      <c r="U2473" s="1423">
        <f t="shared" si="3627"/>
        <v>0</v>
      </c>
      <c r="V2473" s="1423">
        <f t="shared" si="3628"/>
        <v>0</v>
      </c>
      <c r="W2473" s="1423">
        <f t="shared" si="3629"/>
        <v>0</v>
      </c>
      <c r="X2473" s="152"/>
      <c r="Y2473" s="152"/>
      <c r="Z2473" s="152"/>
      <c r="AA2473" s="152"/>
      <c r="AB2473" s="152"/>
    </row>
    <row r="2474" spans="1:28" hidden="1" outlineLevel="1">
      <c r="A2474" s="152"/>
      <c r="B2474" s="190" t="str">
        <f t="shared" ca="1" si="3630"/>
        <v>RL Capex 2021-22</v>
      </c>
      <c r="C2474" s="1429"/>
      <c r="D2474" s="1429"/>
      <c r="E2474" s="1429"/>
      <c r="F2474" s="1429"/>
      <c r="G2474" s="1429"/>
      <c r="H2474" s="1424"/>
      <c r="I2474" s="1428">
        <f>I2440</f>
        <v>0</v>
      </c>
      <c r="J2474" s="1423">
        <f t="shared" si="3616"/>
        <v>0</v>
      </c>
      <c r="K2474" s="1423">
        <f t="shared" si="3617"/>
        <v>0</v>
      </c>
      <c r="L2474" s="1423">
        <f t="shared" si="3618"/>
        <v>0</v>
      </c>
      <c r="M2474" s="1423">
        <f t="shared" si="3619"/>
        <v>0</v>
      </c>
      <c r="N2474" s="1423">
        <f t="shared" si="3620"/>
        <v>0</v>
      </c>
      <c r="O2474" s="1423">
        <f t="shared" si="3621"/>
        <v>0</v>
      </c>
      <c r="P2474" s="1423">
        <f t="shared" si="3622"/>
        <v>0</v>
      </c>
      <c r="Q2474" s="1423">
        <f t="shared" si="3623"/>
        <v>0</v>
      </c>
      <c r="R2474" s="1423">
        <f t="shared" si="3624"/>
        <v>0</v>
      </c>
      <c r="S2474" s="1423">
        <f t="shared" si="3625"/>
        <v>0</v>
      </c>
      <c r="T2474" s="1423">
        <f t="shared" si="3626"/>
        <v>0</v>
      </c>
      <c r="U2474" s="1423">
        <f t="shared" si="3627"/>
        <v>0</v>
      </c>
      <c r="V2474" s="1423">
        <f t="shared" si="3628"/>
        <v>0</v>
      </c>
      <c r="W2474" s="1423">
        <f t="shared" si="3629"/>
        <v>0</v>
      </c>
      <c r="X2474" s="152"/>
      <c r="Y2474" s="152"/>
      <c r="Z2474" s="152"/>
      <c r="AA2474" s="152"/>
      <c r="AB2474" s="152"/>
    </row>
    <row r="2475" spans="1:28" hidden="1" outlineLevel="1">
      <c r="A2475" s="152"/>
      <c r="B2475" s="190" t="str">
        <f t="shared" ca="1" si="3630"/>
        <v>RL Capex 2022-23</v>
      </c>
      <c r="C2475" s="1429"/>
      <c r="D2475" s="1429"/>
      <c r="E2475" s="1429"/>
      <c r="F2475" s="1429"/>
      <c r="G2475" s="1429"/>
      <c r="H2475" s="1429"/>
      <c r="I2475" s="1424"/>
      <c r="J2475" s="1428">
        <f>J2440</f>
        <v>0</v>
      </c>
      <c r="K2475" s="1423">
        <f t="shared" si="3617"/>
        <v>0</v>
      </c>
      <c r="L2475" s="1423">
        <f t="shared" si="3618"/>
        <v>0</v>
      </c>
      <c r="M2475" s="1423">
        <f t="shared" si="3619"/>
        <v>0</v>
      </c>
      <c r="N2475" s="1423">
        <f t="shared" si="3620"/>
        <v>0</v>
      </c>
      <c r="O2475" s="1423">
        <f t="shared" si="3621"/>
        <v>0</v>
      </c>
      <c r="P2475" s="1423">
        <f t="shared" si="3622"/>
        <v>0</v>
      </c>
      <c r="Q2475" s="1423">
        <f t="shared" si="3623"/>
        <v>0</v>
      </c>
      <c r="R2475" s="1423">
        <f t="shared" si="3624"/>
        <v>0</v>
      </c>
      <c r="S2475" s="1423">
        <f t="shared" si="3625"/>
        <v>0</v>
      </c>
      <c r="T2475" s="1423">
        <f t="shared" si="3626"/>
        <v>0</v>
      </c>
      <c r="U2475" s="1423">
        <f t="shared" si="3627"/>
        <v>0</v>
      </c>
      <c r="V2475" s="1423">
        <f t="shared" si="3628"/>
        <v>0</v>
      </c>
      <c r="W2475" s="1423">
        <f t="shared" si="3629"/>
        <v>0</v>
      </c>
      <c r="X2475" s="152"/>
      <c r="Y2475" s="152"/>
      <c r="Z2475" s="152"/>
      <c r="AA2475" s="152"/>
      <c r="AB2475" s="152"/>
    </row>
    <row r="2476" spans="1:28" hidden="1" outlineLevel="1">
      <c r="A2476" s="152"/>
      <c r="B2476" s="190" t="str">
        <f t="shared" ca="1" si="3630"/>
        <v>RL Capex 2023-24</v>
      </c>
      <c r="C2476" s="1429"/>
      <c r="D2476" s="1429"/>
      <c r="E2476" s="1429"/>
      <c r="F2476" s="1429"/>
      <c r="G2476" s="1429"/>
      <c r="H2476" s="1429"/>
      <c r="I2476" s="1429"/>
      <c r="J2476" s="1424"/>
      <c r="K2476" s="1428">
        <f>K2440</f>
        <v>0</v>
      </c>
      <c r="L2476" s="1423">
        <f t="shared" si="3618"/>
        <v>0</v>
      </c>
      <c r="M2476" s="1423">
        <f t="shared" si="3619"/>
        <v>0</v>
      </c>
      <c r="N2476" s="1423">
        <f t="shared" si="3620"/>
        <v>0</v>
      </c>
      <c r="O2476" s="1423">
        <f t="shared" si="3621"/>
        <v>0</v>
      </c>
      <c r="P2476" s="1423">
        <f t="shared" si="3622"/>
        <v>0</v>
      </c>
      <c r="Q2476" s="1423">
        <f t="shared" si="3623"/>
        <v>0</v>
      </c>
      <c r="R2476" s="1423">
        <f t="shared" si="3624"/>
        <v>0</v>
      </c>
      <c r="S2476" s="1423">
        <f t="shared" si="3625"/>
        <v>0</v>
      </c>
      <c r="T2476" s="1423">
        <f t="shared" si="3626"/>
        <v>0</v>
      </c>
      <c r="U2476" s="1423">
        <f t="shared" si="3627"/>
        <v>0</v>
      </c>
      <c r="V2476" s="1423">
        <f t="shared" si="3628"/>
        <v>0</v>
      </c>
      <c r="W2476" s="1423">
        <f t="shared" si="3629"/>
        <v>0</v>
      </c>
      <c r="X2476" s="152"/>
      <c r="Y2476" s="152"/>
      <c r="Z2476" s="152"/>
      <c r="AA2476" s="152"/>
      <c r="AB2476" s="152"/>
    </row>
    <row r="2477" spans="1:28" hidden="1" outlineLevel="1">
      <c r="A2477" s="152"/>
      <c r="B2477" s="190" t="str">
        <f t="shared" ca="1" si="3630"/>
        <v>RL Capex 2024-25</v>
      </c>
      <c r="C2477" s="1429"/>
      <c r="D2477" s="1429"/>
      <c r="E2477" s="1429"/>
      <c r="F2477" s="1429"/>
      <c r="G2477" s="1429"/>
      <c r="H2477" s="1429"/>
      <c r="I2477" s="1429"/>
      <c r="J2477" s="1429"/>
      <c r="K2477" s="1424"/>
      <c r="L2477" s="1428">
        <f>L2440</f>
        <v>0</v>
      </c>
      <c r="M2477" s="1423">
        <f t="shared" si="3619"/>
        <v>0</v>
      </c>
      <c r="N2477" s="1423">
        <f t="shared" si="3620"/>
        <v>0</v>
      </c>
      <c r="O2477" s="1423">
        <f t="shared" si="3621"/>
        <v>0</v>
      </c>
      <c r="P2477" s="1423">
        <f t="shared" si="3622"/>
        <v>0</v>
      </c>
      <c r="Q2477" s="1423">
        <f t="shared" si="3623"/>
        <v>0</v>
      </c>
      <c r="R2477" s="1423">
        <f t="shared" si="3624"/>
        <v>0</v>
      </c>
      <c r="S2477" s="1423">
        <f t="shared" si="3625"/>
        <v>0</v>
      </c>
      <c r="T2477" s="1423">
        <f t="shared" si="3626"/>
        <v>0</v>
      </c>
      <c r="U2477" s="1423">
        <f t="shared" si="3627"/>
        <v>0</v>
      </c>
      <c r="V2477" s="1423">
        <f t="shared" si="3628"/>
        <v>0</v>
      </c>
      <c r="W2477" s="1423">
        <f t="shared" si="3629"/>
        <v>0</v>
      </c>
      <c r="X2477" s="152"/>
      <c r="Y2477" s="152"/>
      <c r="Z2477" s="152"/>
      <c r="AA2477" s="152"/>
      <c r="AB2477" s="152"/>
    </row>
    <row r="2478" spans="1:28" hidden="1" outlineLevel="1">
      <c r="A2478" s="152"/>
      <c r="B2478" s="190" t="str">
        <f t="shared" ca="1" si="3630"/>
        <v>RL Capex 2025-26</v>
      </c>
      <c r="C2478" s="1429"/>
      <c r="D2478" s="1429"/>
      <c r="E2478" s="1429"/>
      <c r="F2478" s="1429"/>
      <c r="G2478" s="1429"/>
      <c r="H2478" s="1429"/>
      <c r="I2478" s="1429"/>
      <c r="J2478" s="1429"/>
      <c r="K2478" s="1429"/>
      <c r="L2478" s="1424"/>
      <c r="M2478" s="1428">
        <f>M2440</f>
        <v>0</v>
      </c>
      <c r="N2478" s="1423">
        <f t="shared" si="3620"/>
        <v>0</v>
      </c>
      <c r="O2478" s="1423">
        <f t="shared" si="3621"/>
        <v>0</v>
      </c>
      <c r="P2478" s="1423">
        <f t="shared" si="3622"/>
        <v>0</v>
      </c>
      <c r="Q2478" s="1423">
        <f t="shared" si="3623"/>
        <v>0</v>
      </c>
      <c r="R2478" s="1423">
        <f t="shared" si="3624"/>
        <v>0</v>
      </c>
      <c r="S2478" s="1423">
        <f t="shared" si="3625"/>
        <v>0</v>
      </c>
      <c r="T2478" s="1423">
        <f t="shared" si="3626"/>
        <v>0</v>
      </c>
      <c r="U2478" s="1423">
        <f t="shared" si="3627"/>
        <v>0</v>
      </c>
      <c r="V2478" s="1423">
        <f t="shared" si="3628"/>
        <v>0</v>
      </c>
      <c r="W2478" s="1423">
        <f t="shared" si="3629"/>
        <v>0</v>
      </c>
      <c r="X2478" s="152"/>
      <c r="Y2478" s="152"/>
      <c r="Z2478" s="152"/>
      <c r="AA2478" s="152"/>
      <c r="AB2478" s="152"/>
    </row>
    <row r="2479" spans="1:28" hidden="1" outlineLevel="1">
      <c r="A2479" s="152"/>
      <c r="B2479" s="190" t="str">
        <f t="shared" ca="1" si="3630"/>
        <v>RL Capex 2026-27</v>
      </c>
      <c r="C2479" s="1429"/>
      <c r="D2479" s="1429"/>
      <c r="E2479" s="1429"/>
      <c r="F2479" s="1429"/>
      <c r="G2479" s="1429"/>
      <c r="H2479" s="1429"/>
      <c r="I2479" s="1429"/>
      <c r="J2479" s="1429"/>
      <c r="K2479" s="1429"/>
      <c r="L2479" s="1429"/>
      <c r="M2479" s="1424"/>
      <c r="N2479" s="1428">
        <f>N2440</f>
        <v>0</v>
      </c>
      <c r="O2479" s="1423">
        <f t="shared" si="3621"/>
        <v>0</v>
      </c>
      <c r="P2479" s="1423">
        <f t="shared" si="3622"/>
        <v>0</v>
      </c>
      <c r="Q2479" s="1423">
        <f t="shared" si="3623"/>
        <v>0</v>
      </c>
      <c r="R2479" s="1423">
        <f t="shared" si="3624"/>
        <v>0</v>
      </c>
      <c r="S2479" s="1423">
        <f t="shared" si="3625"/>
        <v>0</v>
      </c>
      <c r="T2479" s="1423">
        <f t="shared" si="3626"/>
        <v>0</v>
      </c>
      <c r="U2479" s="1423">
        <f t="shared" si="3627"/>
        <v>0</v>
      </c>
      <c r="V2479" s="1423">
        <f t="shared" si="3628"/>
        <v>0</v>
      </c>
      <c r="W2479" s="1423">
        <f t="shared" si="3629"/>
        <v>0</v>
      </c>
      <c r="X2479" s="152"/>
      <c r="Y2479" s="152"/>
      <c r="Z2479" s="152"/>
      <c r="AA2479" s="152"/>
      <c r="AB2479" s="152"/>
    </row>
    <row r="2480" spans="1:28" hidden="1" outlineLevel="1">
      <c r="A2480" s="152"/>
      <c r="B2480" s="190" t="str">
        <f t="shared" ca="1" si="3630"/>
        <v>RL Capex 2027-28</v>
      </c>
      <c r="C2480" s="1429"/>
      <c r="D2480" s="1429"/>
      <c r="E2480" s="1429"/>
      <c r="F2480" s="1429"/>
      <c r="G2480" s="1429"/>
      <c r="H2480" s="1429"/>
      <c r="I2480" s="1429"/>
      <c r="J2480" s="1429"/>
      <c r="K2480" s="1429"/>
      <c r="L2480" s="1429"/>
      <c r="M2480" s="1429"/>
      <c r="N2480" s="1424"/>
      <c r="O2480" s="1428">
        <f>O2440</f>
        <v>0</v>
      </c>
      <c r="P2480" s="1423">
        <f t="shared" si="3622"/>
        <v>0</v>
      </c>
      <c r="Q2480" s="1423">
        <f t="shared" si="3623"/>
        <v>0</v>
      </c>
      <c r="R2480" s="1423">
        <f t="shared" si="3624"/>
        <v>0</v>
      </c>
      <c r="S2480" s="1423">
        <f t="shared" si="3625"/>
        <v>0</v>
      </c>
      <c r="T2480" s="1423">
        <f t="shared" si="3626"/>
        <v>0</v>
      </c>
      <c r="U2480" s="1423">
        <f t="shared" si="3627"/>
        <v>0</v>
      </c>
      <c r="V2480" s="1423">
        <f t="shared" si="3628"/>
        <v>0</v>
      </c>
      <c r="W2480" s="1423">
        <f t="shared" si="3629"/>
        <v>0</v>
      </c>
      <c r="X2480" s="152"/>
      <c r="Y2480" s="152"/>
      <c r="Z2480" s="152"/>
      <c r="AA2480" s="152"/>
      <c r="AB2480" s="152"/>
    </row>
    <row r="2481" spans="1:28" hidden="1" outlineLevel="1">
      <c r="A2481" s="152"/>
      <c r="B2481" s="190" t="str">
        <f t="shared" ca="1" si="3630"/>
        <v>RL Capex 2028-29</v>
      </c>
      <c r="C2481" s="1429"/>
      <c r="D2481" s="1429"/>
      <c r="E2481" s="1429"/>
      <c r="F2481" s="1429"/>
      <c r="G2481" s="1429"/>
      <c r="H2481" s="1429"/>
      <c r="I2481" s="1429"/>
      <c r="J2481" s="1429"/>
      <c r="K2481" s="1429"/>
      <c r="L2481" s="1429"/>
      <c r="M2481" s="1429"/>
      <c r="N2481" s="1429"/>
      <c r="O2481" s="1424"/>
      <c r="P2481" s="1428">
        <f>P2440</f>
        <v>0</v>
      </c>
      <c r="Q2481" s="1423">
        <f t="shared" si="3623"/>
        <v>0</v>
      </c>
      <c r="R2481" s="1423">
        <f t="shared" si="3624"/>
        <v>0</v>
      </c>
      <c r="S2481" s="1423">
        <f t="shared" si="3625"/>
        <v>0</v>
      </c>
      <c r="T2481" s="1423">
        <f t="shared" si="3626"/>
        <v>0</v>
      </c>
      <c r="U2481" s="1423">
        <f t="shared" si="3627"/>
        <v>0</v>
      </c>
      <c r="V2481" s="1423">
        <f t="shared" si="3628"/>
        <v>0</v>
      </c>
      <c r="W2481" s="1423">
        <f t="shared" si="3629"/>
        <v>0</v>
      </c>
      <c r="X2481" s="152"/>
      <c r="Y2481" s="152"/>
      <c r="Z2481" s="152"/>
      <c r="AA2481" s="152"/>
      <c r="AB2481" s="152"/>
    </row>
    <row r="2482" spans="1:28" hidden="1" outlineLevel="1">
      <c r="A2482" s="152"/>
      <c r="B2482" s="190" t="str">
        <f t="shared" ca="1" si="3630"/>
        <v>RL Capex 2029-30</v>
      </c>
      <c r="C2482" s="1429"/>
      <c r="D2482" s="1429"/>
      <c r="E2482" s="1429"/>
      <c r="F2482" s="1429"/>
      <c r="G2482" s="1429"/>
      <c r="H2482" s="1429"/>
      <c r="I2482" s="1429"/>
      <c r="J2482" s="1429"/>
      <c r="K2482" s="1429"/>
      <c r="L2482" s="1429"/>
      <c r="M2482" s="1429"/>
      <c r="N2482" s="1429"/>
      <c r="O2482" s="1429"/>
      <c r="P2482" s="1424"/>
      <c r="Q2482" s="1428">
        <f>Q2440</f>
        <v>0</v>
      </c>
      <c r="R2482" s="1423">
        <f t="shared" si="3624"/>
        <v>0</v>
      </c>
      <c r="S2482" s="1423">
        <f t="shared" si="3625"/>
        <v>0</v>
      </c>
      <c r="T2482" s="1423">
        <f t="shared" si="3626"/>
        <v>0</v>
      </c>
      <c r="U2482" s="1423">
        <f t="shared" si="3627"/>
        <v>0</v>
      </c>
      <c r="V2482" s="1423">
        <f t="shared" si="3628"/>
        <v>0</v>
      </c>
      <c r="W2482" s="1423">
        <f t="shared" si="3629"/>
        <v>0</v>
      </c>
      <c r="X2482" s="152"/>
      <c r="Y2482" s="152"/>
      <c r="Z2482" s="152"/>
      <c r="AA2482" s="152"/>
      <c r="AB2482" s="152"/>
    </row>
    <row r="2483" spans="1:28" hidden="1" outlineLevel="1">
      <c r="A2483" s="152"/>
      <c r="B2483" s="190" t="str">
        <f t="shared" ca="1" si="3630"/>
        <v>RL Capex 2030-31</v>
      </c>
      <c r="C2483" s="1429"/>
      <c r="D2483" s="1429"/>
      <c r="E2483" s="1429"/>
      <c r="F2483" s="1429"/>
      <c r="G2483" s="1429"/>
      <c r="H2483" s="1429"/>
      <c r="I2483" s="1429"/>
      <c r="J2483" s="1429"/>
      <c r="K2483" s="1429"/>
      <c r="L2483" s="1429"/>
      <c r="M2483" s="1429"/>
      <c r="N2483" s="1429"/>
      <c r="O2483" s="1429"/>
      <c r="P2483" s="1429"/>
      <c r="Q2483" s="1424"/>
      <c r="R2483" s="1428">
        <f>R2440</f>
        <v>0</v>
      </c>
      <c r="S2483" s="1423">
        <f t="shared" si="3625"/>
        <v>0</v>
      </c>
      <c r="T2483" s="1423">
        <f t="shared" si="3626"/>
        <v>0</v>
      </c>
      <c r="U2483" s="1423">
        <f t="shared" si="3627"/>
        <v>0</v>
      </c>
      <c r="V2483" s="1423">
        <f t="shared" si="3628"/>
        <v>0</v>
      </c>
      <c r="W2483" s="1423">
        <f t="shared" si="3629"/>
        <v>0</v>
      </c>
      <c r="X2483" s="152"/>
      <c r="Y2483" s="152"/>
      <c r="Z2483" s="152"/>
      <c r="AA2483" s="152"/>
      <c r="AB2483" s="152"/>
    </row>
    <row r="2484" spans="1:28" hidden="1" outlineLevel="1">
      <c r="A2484" s="152"/>
      <c r="B2484" s="190" t="str">
        <f t="shared" ca="1" si="3630"/>
        <v>RL Capex 2031-32</v>
      </c>
      <c r="C2484" s="1429"/>
      <c r="D2484" s="1429"/>
      <c r="E2484" s="1429"/>
      <c r="F2484" s="1429"/>
      <c r="G2484" s="1429"/>
      <c r="H2484" s="1429"/>
      <c r="I2484" s="1429"/>
      <c r="J2484" s="1429"/>
      <c r="K2484" s="1429"/>
      <c r="L2484" s="1429"/>
      <c r="M2484" s="1429"/>
      <c r="N2484" s="1429"/>
      <c r="O2484" s="1429"/>
      <c r="P2484" s="1429"/>
      <c r="Q2484" s="1429"/>
      <c r="R2484" s="1424"/>
      <c r="S2484" s="1428">
        <f>S2440</f>
        <v>0</v>
      </c>
      <c r="T2484" s="1423">
        <f t="shared" si="3626"/>
        <v>0</v>
      </c>
      <c r="U2484" s="1423">
        <f t="shared" si="3627"/>
        <v>0</v>
      </c>
      <c r="V2484" s="1423">
        <f t="shared" si="3628"/>
        <v>0</v>
      </c>
      <c r="W2484" s="1423">
        <f t="shared" si="3629"/>
        <v>0</v>
      </c>
      <c r="X2484" s="152"/>
      <c r="Y2484" s="152"/>
      <c r="Z2484" s="152"/>
      <c r="AA2484" s="152"/>
      <c r="AB2484" s="152"/>
    </row>
    <row r="2485" spans="1:28" hidden="1" outlineLevel="1">
      <c r="A2485" s="152"/>
      <c r="B2485" s="190" t="str">
        <f t="shared" ca="1" si="3630"/>
        <v>RL Capex 2032-33</v>
      </c>
      <c r="C2485" s="1429"/>
      <c r="D2485" s="1429"/>
      <c r="E2485" s="1429"/>
      <c r="F2485" s="1429"/>
      <c r="G2485" s="1429"/>
      <c r="H2485" s="1429"/>
      <c r="I2485" s="1429"/>
      <c r="J2485" s="1429"/>
      <c r="K2485" s="1429"/>
      <c r="L2485" s="1429"/>
      <c r="M2485" s="1429"/>
      <c r="N2485" s="1429"/>
      <c r="O2485" s="1429"/>
      <c r="P2485" s="1429"/>
      <c r="Q2485" s="1429"/>
      <c r="R2485" s="1429"/>
      <c r="S2485" s="1424"/>
      <c r="T2485" s="1428">
        <f>T2440</f>
        <v>0</v>
      </c>
      <c r="U2485" s="1423">
        <f t="shared" si="3627"/>
        <v>0</v>
      </c>
      <c r="V2485" s="1423">
        <f t="shared" si="3628"/>
        <v>0</v>
      </c>
      <c r="W2485" s="1423">
        <f t="shared" si="3629"/>
        <v>0</v>
      </c>
      <c r="X2485" s="152"/>
      <c r="Y2485" s="152"/>
      <c r="Z2485" s="152"/>
      <c r="AA2485" s="152"/>
      <c r="AB2485" s="152"/>
    </row>
    <row r="2486" spans="1:28" hidden="1" outlineLevel="1">
      <c r="A2486" s="152"/>
      <c r="B2486" s="190" t="str">
        <f t="shared" ca="1" si="3630"/>
        <v>RL Capex 2033-34</v>
      </c>
      <c r="C2486" s="1429"/>
      <c r="D2486" s="1429"/>
      <c r="E2486" s="1429"/>
      <c r="F2486" s="1429"/>
      <c r="G2486" s="1429"/>
      <c r="H2486" s="1429"/>
      <c r="I2486" s="1429"/>
      <c r="J2486" s="1429"/>
      <c r="K2486" s="1429"/>
      <c r="L2486" s="1429"/>
      <c r="M2486" s="1429"/>
      <c r="N2486" s="1429"/>
      <c r="O2486" s="1429"/>
      <c r="P2486" s="1429"/>
      <c r="Q2486" s="1429"/>
      <c r="R2486" s="1429"/>
      <c r="S2486" s="1429"/>
      <c r="T2486" s="1424"/>
      <c r="U2486" s="1428">
        <f>U2440</f>
        <v>0</v>
      </c>
      <c r="V2486" s="1423">
        <f t="shared" si="3628"/>
        <v>0</v>
      </c>
      <c r="W2486" s="1423">
        <f t="shared" si="3629"/>
        <v>0</v>
      </c>
      <c r="X2486" s="152"/>
      <c r="Y2486" s="152"/>
      <c r="Z2486" s="152"/>
      <c r="AA2486" s="152"/>
      <c r="AB2486" s="152"/>
    </row>
    <row r="2487" spans="1:28" hidden="1" outlineLevel="1">
      <c r="A2487" s="152"/>
      <c r="B2487" s="190" t="str">
        <f t="shared" ca="1" si="3630"/>
        <v>RL Capex 2034-35</v>
      </c>
      <c r="C2487" s="1429"/>
      <c r="D2487" s="1429"/>
      <c r="E2487" s="1429"/>
      <c r="F2487" s="1429"/>
      <c r="G2487" s="1429"/>
      <c r="H2487" s="1429"/>
      <c r="I2487" s="1429"/>
      <c r="J2487" s="1429"/>
      <c r="K2487" s="1429"/>
      <c r="L2487" s="1429"/>
      <c r="M2487" s="1429"/>
      <c r="N2487" s="1429"/>
      <c r="O2487" s="1429"/>
      <c r="P2487" s="1429"/>
      <c r="Q2487" s="1429"/>
      <c r="R2487" s="1429"/>
      <c r="S2487" s="1429"/>
      <c r="T2487" s="1429"/>
      <c r="U2487" s="1424"/>
      <c r="V2487" s="1428">
        <f>V2440</f>
        <v>0</v>
      </c>
      <c r="W2487" s="1423">
        <f>IF(V2487="n/a","n/a",MAX(0,V2487-1))</f>
        <v>0</v>
      </c>
      <c r="X2487" s="152"/>
      <c r="Y2487" s="152"/>
      <c r="Z2487" s="152"/>
      <c r="AA2487" s="152"/>
      <c r="AB2487" s="152"/>
    </row>
    <row r="2488" spans="1:28" hidden="1" outlineLevel="1">
      <c r="A2488" s="152"/>
      <c r="B2488" s="190" t="str">
        <f t="shared" ca="1" si="3630"/>
        <v>RL Capex 2035-36</v>
      </c>
      <c r="C2488" s="1429"/>
      <c r="D2488" s="1429"/>
      <c r="E2488" s="1429"/>
      <c r="F2488" s="1429"/>
      <c r="G2488" s="1429"/>
      <c r="H2488" s="1429"/>
      <c r="I2488" s="1429"/>
      <c r="J2488" s="1429"/>
      <c r="K2488" s="1429"/>
      <c r="L2488" s="1429"/>
      <c r="M2488" s="1429"/>
      <c r="N2488" s="1429"/>
      <c r="O2488" s="1429"/>
      <c r="P2488" s="1429"/>
      <c r="Q2488" s="1429"/>
      <c r="R2488" s="1429"/>
      <c r="S2488" s="1429"/>
      <c r="T2488" s="1429"/>
      <c r="U2488" s="1429"/>
      <c r="V2488" s="1424"/>
      <c r="W2488" s="1423">
        <f>W2440</f>
        <v>0</v>
      </c>
      <c r="X2488" s="152"/>
      <c r="Y2488" s="152"/>
      <c r="Z2488" s="152"/>
      <c r="AA2488" s="152"/>
      <c r="AB2488" s="152"/>
    </row>
    <row r="2489" spans="1:28" hidden="1" outlineLevel="1">
      <c r="A2489" s="152"/>
      <c r="B2489" s="200"/>
      <c r="C2489" s="1423"/>
      <c r="D2489" s="1423"/>
      <c r="E2489" s="1423"/>
      <c r="F2489" s="1423"/>
      <c r="G2489" s="1423"/>
      <c r="H2489" s="1423"/>
      <c r="I2489" s="1423"/>
      <c r="J2489" s="1423"/>
      <c r="K2489" s="1423"/>
      <c r="L2489" s="1423"/>
      <c r="M2489" s="1423"/>
      <c r="N2489" s="1423"/>
      <c r="O2489" s="1423"/>
      <c r="P2489" s="1423"/>
      <c r="Q2489" s="1423"/>
      <c r="R2489" s="1423"/>
      <c r="S2489" s="1423"/>
      <c r="T2489" s="1423"/>
      <c r="U2489" s="1423"/>
      <c r="V2489" s="1423"/>
      <c r="W2489" s="1423"/>
      <c r="X2489" s="152"/>
      <c r="Y2489" s="152"/>
      <c r="Z2489" s="152"/>
      <c r="AA2489" s="152"/>
      <c r="AB2489" s="152"/>
    </row>
    <row r="2490" spans="1:28" collapsed="1">
      <c r="A2490" s="194"/>
      <c r="B2490" s="204" t="s">
        <v>123</v>
      </c>
      <c r="C2490" s="1430">
        <f ca="1">(IF(OR($C2440&lt;&gt;"n/a",C2440&lt;&gt;"n/a"),IF(SUM(C2443:C2465)=0,0,IF((SUMPRODUCT(C2443:C2465,C2467:C2489)/SUM(C2443:C2465))&lt;0,1,(SUMPRODUCT(C2443:C2465,C2467:C2489)/SUM(C2443:C2465)))),"n/a"))</f>
        <v>0</v>
      </c>
      <c r="D2490" s="1430">
        <f ca="1">(IF(OR($C2440&lt;&gt;"n/a",D2440&lt;&gt;"n/a"),IF(SUM(D2443:D2465)=0,0,IF((SUMPRODUCT(D2443:D2465,D2467:D2489)/SUM(D2443:D2465))&lt;0,1,(SUMPRODUCT(D2443:D2465,D2467:D2489)/SUM(D2443:D2465)))),"n/a"))</f>
        <v>0</v>
      </c>
      <c r="E2490" s="1430">
        <f t="shared" ref="E2490:W2490" ca="1" si="3631">(IF(OR($C2440&lt;&gt;"n/a",E2440&lt;&gt;"n/a"),IF(SUM(E2443:E2465)=0,0,IF((SUMPRODUCT(E2443:E2465,E2467:E2489)/SUM(E2443:E2465))&lt;0,1,(SUMPRODUCT(E2443:E2465,E2467:E2489)/SUM(E2443:E2465)))),"n/a"))</f>
        <v>0</v>
      </c>
      <c r="F2490" s="1430">
        <f t="shared" ca="1" si="3631"/>
        <v>0</v>
      </c>
      <c r="G2490" s="1430">
        <f t="shared" ca="1" si="3631"/>
        <v>0</v>
      </c>
      <c r="H2490" s="1430">
        <f t="shared" ca="1" si="3631"/>
        <v>0</v>
      </c>
      <c r="I2490" s="1430">
        <f t="shared" ca="1" si="3631"/>
        <v>0</v>
      </c>
      <c r="J2490" s="1430">
        <f t="shared" ca="1" si="3631"/>
        <v>0</v>
      </c>
      <c r="K2490" s="1430">
        <f t="shared" ca="1" si="3631"/>
        <v>0</v>
      </c>
      <c r="L2490" s="1430">
        <f t="shared" ca="1" si="3631"/>
        <v>0</v>
      </c>
      <c r="M2490" s="1430">
        <f t="shared" ca="1" si="3631"/>
        <v>0</v>
      </c>
      <c r="N2490" s="1430">
        <f t="shared" ca="1" si="3631"/>
        <v>0</v>
      </c>
      <c r="O2490" s="1430">
        <f t="shared" ca="1" si="3631"/>
        <v>0</v>
      </c>
      <c r="P2490" s="1430">
        <f t="shared" ca="1" si="3631"/>
        <v>0</v>
      </c>
      <c r="Q2490" s="1430">
        <f t="shared" ca="1" si="3631"/>
        <v>0</v>
      </c>
      <c r="R2490" s="1430">
        <f t="shared" ca="1" si="3631"/>
        <v>0</v>
      </c>
      <c r="S2490" s="1430">
        <f t="shared" ca="1" si="3631"/>
        <v>0</v>
      </c>
      <c r="T2490" s="1430">
        <f t="shared" ca="1" si="3631"/>
        <v>0</v>
      </c>
      <c r="U2490" s="1430">
        <f t="shared" ca="1" si="3631"/>
        <v>0</v>
      </c>
      <c r="V2490" s="1430">
        <f t="shared" ca="1" si="3631"/>
        <v>0</v>
      </c>
      <c r="W2490" s="1430">
        <f t="shared" ca="1" si="3631"/>
        <v>0</v>
      </c>
      <c r="X2490" s="152"/>
      <c r="Y2490" s="152"/>
      <c r="Z2490" s="152"/>
      <c r="AA2490" s="152"/>
      <c r="AB2490" s="152"/>
    </row>
    <row r="2491" spans="1:28">
      <c r="A2491" s="152"/>
      <c r="B2491" s="152"/>
      <c r="C2491" s="1423"/>
      <c r="D2491" s="1423"/>
      <c r="E2491" s="1423"/>
      <c r="F2491" s="1423"/>
      <c r="G2491" s="1423"/>
      <c r="H2491" s="1423"/>
      <c r="I2491" s="1423"/>
      <c r="J2491" s="1423"/>
      <c r="K2491" s="1423"/>
      <c r="L2491" s="1423"/>
      <c r="M2491" s="1423"/>
      <c r="N2491" s="1423"/>
      <c r="O2491" s="1423"/>
      <c r="P2491" s="1423"/>
      <c r="Q2491" s="1423"/>
      <c r="R2491" s="1423"/>
      <c r="S2491" s="1423"/>
      <c r="T2491" s="1423"/>
      <c r="U2491" s="1423"/>
      <c r="V2491" s="1423"/>
      <c r="W2491" s="1423"/>
      <c r="X2491" s="152"/>
      <c r="Y2491" s="152"/>
      <c r="Z2491" s="152"/>
      <c r="AA2491" s="152"/>
      <c r="AB2491" s="152"/>
    </row>
    <row r="2492" spans="1:28">
      <c r="A2492" s="269" t="s">
        <v>113</v>
      </c>
      <c r="B2492" s="270">
        <f>VLOOKUP($A2492,'RFM input'!$E$7:$F$56,2,FALSE)</f>
        <v>0</v>
      </c>
      <c r="C2492" s="1431"/>
      <c r="D2492" s="1431"/>
      <c r="E2492" s="1432"/>
      <c r="F2492" s="1432"/>
      <c r="G2492" s="1432"/>
      <c r="H2492" s="1432"/>
      <c r="I2492" s="1432"/>
      <c r="J2492" s="1432"/>
      <c r="K2492" s="1432"/>
      <c r="L2492" s="1432"/>
      <c r="M2492" s="1432"/>
      <c r="N2492" s="1432"/>
      <c r="O2492" s="1432"/>
      <c r="P2492" s="1432"/>
      <c r="Q2492" s="1432"/>
      <c r="R2492" s="1432"/>
      <c r="S2492" s="1432"/>
      <c r="T2492" s="1432"/>
      <c r="U2492" s="1432"/>
      <c r="V2492" s="1432"/>
      <c r="W2492" s="1432"/>
      <c r="X2492" s="152"/>
      <c r="Y2492" s="152"/>
      <c r="Z2492" s="152"/>
      <c r="AA2492" s="152"/>
      <c r="AB2492" s="152"/>
    </row>
    <row r="2493" spans="1:28">
      <c r="A2493" s="215">
        <f>VALUE(REPLACE(A2492,1,12,""))</f>
        <v>47</v>
      </c>
      <c r="B2493" s="193" t="s">
        <v>126</v>
      </c>
      <c r="C2493" s="1416">
        <f ca="1">IF($D$6='TAB roll forward'!$H$4,OFFSET('TAB roll forward'!$H$7,A2493,0),"enter input")</f>
        <v>0</v>
      </c>
      <c r="D2493" s="1417">
        <f>IF(LEFT(D$6,4)&lt;LEFT('RFM input'!$G$60,4),"enter input",IF(LEFT(D$6,4)&gt;LEFT('RFM input'!$Q$60,4),0,
INDEX('RFM input'!$G$61:$Q$110,$A2493,MATCH(D$6,'RFM input'!$G$60:$Q$60,0))
   -INDEX('RFM input'!$G$115:$Q$164,$A2493,MATCH(D$6,'RFM input'!$G$60:$Q$60,0))))</f>
        <v>0</v>
      </c>
      <c r="E2493" s="1417">
        <f>IF(LEFT(E$6,4)&lt;LEFT('RFM input'!$G$60,4),"enter input",IF(LEFT(E$6,4)&gt;LEFT('RFM input'!$Q$60,4),0,
INDEX('RFM input'!$G$61:$Q$110,$A2493,MATCH(E$6,'RFM input'!$G$60:$Q$60,0))
   -INDEX('RFM input'!$G$115:$Q$164,$A2493,MATCH(E$6,'RFM input'!$G$60:$Q$60,0))))</f>
        <v>0</v>
      </c>
      <c r="F2493" s="1417">
        <f>IF(LEFT(F$6,4)&lt;LEFT('RFM input'!$G$60,4),"enter input",IF(LEFT(F$6,4)&gt;LEFT('RFM input'!$Q$60,4),0,
INDEX('RFM input'!$G$61:$Q$110,$A2493,MATCH(F$6,'RFM input'!$G$60:$Q$60,0))
   -INDEX('RFM input'!$G$115:$Q$164,$A2493,MATCH(F$6,'RFM input'!$G$60:$Q$60,0))))</f>
        <v>0</v>
      </c>
      <c r="G2493" s="1417">
        <f>IF(LEFT(G$6,4)&lt;LEFT('RFM input'!$G$60,4),"enter input",IF(LEFT(G$6,4)&gt;LEFT('RFM input'!$Q$60,4),0,
INDEX('RFM input'!$G$61:$Q$110,$A2493,MATCH(G$6,'RFM input'!$G$60:$Q$60,0))
   -INDEX('RFM input'!$G$115:$Q$164,$A2493,MATCH(G$6,'RFM input'!$G$60:$Q$60,0))))</f>
        <v>0</v>
      </c>
      <c r="H2493" s="1417">
        <f>IF(LEFT(H$6,4)&lt;LEFT('RFM input'!$G$60,4),"enter input",IF(LEFT(H$6,4)&gt;LEFT('RFM input'!$Q$60,4),0,
INDEX('RFM input'!$G$61:$Q$110,$A2493,MATCH(H$6,'RFM input'!$G$60:$Q$60,0))
   -INDEX('RFM input'!$G$115:$Q$164,$A2493,MATCH(H$6,'RFM input'!$G$60:$Q$60,0))))</f>
        <v>0</v>
      </c>
      <c r="I2493" s="1417">
        <f>IF(LEFT(I$6,4)&lt;LEFT('RFM input'!$G$60,4),"enter input",IF(LEFT(I$6,4)&gt;LEFT('RFM input'!$Q$60,4),0,
INDEX('RFM input'!$G$61:$Q$110,$A2493,MATCH(I$6,'RFM input'!$G$60:$Q$60,0))
   -INDEX('RFM input'!$G$115:$Q$164,$A2493,MATCH(I$6,'RFM input'!$G$60:$Q$60,0))))</f>
        <v>0</v>
      </c>
      <c r="J2493" s="1417">
        <f>IF(LEFT(J$6,4)&lt;LEFT('RFM input'!$G$60,4),"enter input",IF(LEFT(J$6,4)&gt;LEFT('RFM input'!$Q$60,4),0,
INDEX('RFM input'!$G$61:$Q$110,$A2493,MATCH(J$6,'RFM input'!$G$60:$Q$60,0))
   -INDEX('RFM input'!$G$115:$Q$164,$A2493,MATCH(J$6,'RFM input'!$G$60:$Q$60,0))))</f>
        <v>0</v>
      </c>
      <c r="K2493" s="1417">
        <f>IF(LEFT(K$6,4)&lt;LEFT('RFM input'!$G$60,4),"enter input",IF(LEFT(K$6,4)&gt;LEFT('RFM input'!$Q$60,4),0,
INDEX('RFM input'!$G$61:$Q$110,$A2493,MATCH(K$6,'RFM input'!$G$60:$Q$60,0))
   -INDEX('RFM input'!$G$115:$Q$164,$A2493,MATCH(K$6,'RFM input'!$G$60:$Q$60,0))))</f>
        <v>0</v>
      </c>
      <c r="L2493" s="1417">
        <f>IF(LEFT(L$6,4)&lt;LEFT('RFM input'!$G$60,4),"enter input",IF(LEFT(L$6,4)&gt;LEFT('RFM input'!$Q$60,4),0,
INDEX('RFM input'!$G$61:$Q$110,$A2493,MATCH(L$6,'RFM input'!$G$60:$Q$60,0))
   -INDEX('RFM input'!$G$115:$Q$164,$A2493,MATCH(L$6,'RFM input'!$G$60:$Q$60,0))))</f>
        <v>0</v>
      </c>
      <c r="M2493" s="1417">
        <f>IF(LEFT(M$6,4)&lt;LEFT('RFM input'!$G$60,4),"enter input",IF(LEFT(M$6,4)&gt;LEFT('RFM input'!$Q$60,4),0,
INDEX('RFM input'!$G$61:$Q$110,$A2493,MATCH(M$6,'RFM input'!$G$60:$Q$60,0))
   -INDEX('RFM input'!$G$115:$Q$164,$A2493,MATCH(M$6,'RFM input'!$G$60:$Q$60,0))))</f>
        <v>0</v>
      </c>
      <c r="N2493" s="1417">
        <f>IF(LEFT(N$6,4)&lt;LEFT('RFM input'!$G$60,4),"enter input",IF(LEFT(N$6,4)&gt;LEFT('RFM input'!$Q$60,4),0,
INDEX('RFM input'!$G$61:$Q$110,$A2493,MATCH(N$6,'RFM input'!$G$60:$Q$60,0))
   -INDEX('RFM input'!$G$115:$Q$164,$A2493,MATCH(N$6,'RFM input'!$G$60:$Q$60,0))))</f>
        <v>0</v>
      </c>
      <c r="O2493" s="1417">
        <f>IF(LEFT(O$6,4)&lt;LEFT('RFM input'!$G$60,4),"enter input",IF(LEFT(O$6,4)&gt;LEFT('RFM input'!$Q$60,4),0,
INDEX('RFM input'!$G$61:$Q$110,$A2493,MATCH(O$6,'RFM input'!$G$60:$Q$60,0))
   -INDEX('RFM input'!$G$115:$Q$164,$A2493,MATCH(O$6,'RFM input'!$G$60:$Q$60,0))))</f>
        <v>0</v>
      </c>
      <c r="P2493" s="1417">
        <f>IF(LEFT(P$6,4)&lt;LEFT('RFM input'!$G$60,4),"enter input",IF(LEFT(P$6,4)&gt;LEFT('RFM input'!$Q$60,4),0,
INDEX('RFM input'!$G$61:$Q$110,$A2493,MATCH(P$6,'RFM input'!$G$60:$Q$60,0))
   -INDEX('RFM input'!$G$115:$Q$164,$A2493,MATCH(P$6,'RFM input'!$G$60:$Q$60,0))))</f>
        <v>0</v>
      </c>
      <c r="Q2493" s="1417">
        <f>IF(LEFT(Q$6,4)&lt;LEFT('RFM input'!$G$60,4),"enter input",IF(LEFT(Q$6,4)&gt;LEFT('RFM input'!$Q$60,4),0,
INDEX('RFM input'!$G$61:$Q$110,$A2493,MATCH(Q$6,'RFM input'!$G$60:$Q$60,0))
   -INDEX('RFM input'!$G$115:$Q$164,$A2493,MATCH(Q$6,'RFM input'!$G$60:$Q$60,0))))</f>
        <v>0</v>
      </c>
      <c r="R2493" s="1417">
        <f>IF(LEFT(R$6,4)&lt;LEFT('RFM input'!$G$60,4),"enter input",IF(LEFT(R$6,4)&gt;LEFT('RFM input'!$Q$60,4),0,
INDEX('RFM input'!$G$61:$Q$110,$A2493,MATCH(R$6,'RFM input'!$G$60:$Q$60,0))
   -INDEX('RFM input'!$G$115:$Q$164,$A2493,MATCH(R$6,'RFM input'!$G$60:$Q$60,0))))</f>
        <v>0</v>
      </c>
      <c r="S2493" s="1417">
        <f>IF(LEFT(S$6,4)&lt;LEFT('RFM input'!$G$60,4),"enter input",IF(LEFT(S$6,4)&gt;LEFT('RFM input'!$Q$60,4),0,
INDEX('RFM input'!$G$61:$Q$110,$A2493,MATCH(S$6,'RFM input'!$G$60:$Q$60,0))
   -INDEX('RFM input'!$G$115:$Q$164,$A2493,MATCH(S$6,'RFM input'!$G$60:$Q$60,0))))</f>
        <v>0</v>
      </c>
      <c r="T2493" s="1417">
        <f>IF(LEFT(T$6,4)&lt;LEFT('RFM input'!$G$60,4),"enter input",IF(LEFT(T$6,4)&gt;LEFT('RFM input'!$Q$60,4),0,
INDEX('RFM input'!$G$61:$Q$110,$A2493,MATCH(T$6,'RFM input'!$G$60:$Q$60,0))
   -INDEX('RFM input'!$G$115:$Q$164,$A2493,MATCH(T$6,'RFM input'!$G$60:$Q$60,0))))</f>
        <v>0</v>
      </c>
      <c r="U2493" s="1417">
        <f>IF(LEFT(U$6,4)&lt;LEFT('RFM input'!$G$60,4),"enter input",IF(LEFT(U$6,4)&gt;LEFT('RFM input'!$Q$60,4),0,
INDEX('RFM input'!$G$61:$Q$110,$A2493,MATCH(U$6,'RFM input'!$G$60:$Q$60,0))
   -INDEX('RFM input'!$G$115:$Q$164,$A2493,MATCH(U$6,'RFM input'!$G$60:$Q$60,0))))</f>
        <v>0</v>
      </c>
      <c r="V2493" s="1417">
        <f>IF(LEFT(V$6,4)&lt;LEFT('RFM input'!$G$60,4),"enter input",IF(LEFT(V$6,4)&gt;LEFT('RFM input'!$Q$60,4),0,
INDEX('RFM input'!$G$61:$Q$110,$A2493,MATCH(V$6,'RFM input'!$G$60:$Q$60,0))
   -INDEX('RFM input'!$G$115:$Q$164,$A2493,MATCH(V$6,'RFM input'!$G$60:$Q$60,0))))</f>
        <v>0</v>
      </c>
      <c r="W2493" s="1417">
        <f>IF(LEFT(W$6,4)&lt;LEFT('RFM input'!$G$60,4),"enter input",IF(LEFT(W$6,4)&gt;LEFT('RFM input'!$Q$60,4),0,
INDEX('RFM input'!$G$61:$Q$110,$A2493,MATCH(W$6,'RFM input'!$G$60:$Q$60,0))
   -INDEX('RFM input'!$G$115:$Q$164,$A2493,MATCH(W$6,'RFM input'!$G$60:$Q$60,0))))</f>
        <v>0</v>
      </c>
      <c r="X2493" s="152"/>
      <c r="Y2493" s="152"/>
      <c r="Z2493" s="152"/>
      <c r="AA2493" s="152"/>
      <c r="AB2493" s="152"/>
    </row>
    <row r="2494" spans="1:28">
      <c r="A2494" s="152"/>
      <c r="B2494" s="152" t="s">
        <v>205</v>
      </c>
      <c r="C2494" s="1418">
        <f ca="1">IF($D$6='TAB roll forward'!$H$4,OFFSET('RFM input'!$S$6,$A2493,0),"enter input")</f>
        <v>0</v>
      </c>
      <c r="D2494" s="1417">
        <f>IF(LEFT(D$6,4)&lt;=LEFT('RFM input'!$G$60,4),"enter input",IF(LEFT(D$6,4)&gt;LEFT('RFM input'!$Q$60,4),0,
IF(MATCH(D$6,'RFM input'!$H$60:$Q$60,0),INDEX('RFM input'!$T$7:$T$56,$A2493,1,1))))</f>
        <v>0</v>
      </c>
      <c r="E2494" s="1417">
        <f>IF(LEFT(E$6,4)&lt;=LEFT('RFM input'!$G$60,4),"enter input",IF(LEFT(E$6,4)&gt;LEFT('RFM input'!$Q$60,4),0,
IF(MATCH(E$6,'RFM input'!$H$60:$Q$60,0),INDEX('RFM input'!$T$7:$T$56,$A2493,1,1))))</f>
        <v>0</v>
      </c>
      <c r="F2494" s="1417">
        <f>IF(LEFT(F$6,4)&lt;=LEFT('RFM input'!$G$60,4),"enter input",IF(LEFT(F$6,4)&gt;LEFT('RFM input'!$Q$60,4),0,
IF(MATCH(F$6,'RFM input'!$H$60:$Q$60,0),INDEX('RFM input'!$T$7:$T$56,$A2493,1,1))))</f>
        <v>0</v>
      </c>
      <c r="G2494" s="1417">
        <f>IF(LEFT(G$6,4)&lt;=LEFT('RFM input'!$G$60,4),"enter input",IF(LEFT(G$6,4)&gt;LEFT('RFM input'!$Q$60,4),0,
IF(MATCH(G$6,'RFM input'!$H$60:$Q$60,0),INDEX('RFM input'!$T$7:$T$56,$A2493,1,1))))</f>
        <v>0</v>
      </c>
      <c r="H2494" s="1417">
        <f>IF(LEFT(H$6,4)&lt;=LEFT('RFM input'!$G$60,4),"enter input",IF(LEFT(H$6,4)&gt;LEFT('RFM input'!$Q$60,4),0,
IF(MATCH(H$6,'RFM input'!$H$60:$Q$60,0),INDEX('RFM input'!$T$7:$T$56,$A2493,1,1))))</f>
        <v>0</v>
      </c>
      <c r="I2494" s="1417">
        <f>IF(LEFT(I$6,4)&lt;=LEFT('RFM input'!$G$60,4),"enter input",IF(LEFT(I$6,4)&gt;LEFT('RFM input'!$Q$60,4),0,
IF(MATCH(I$6,'RFM input'!$H$60:$Q$60,0),INDEX('RFM input'!$T$7:$T$56,$A2493,1,1))))</f>
        <v>0</v>
      </c>
      <c r="J2494" s="1417">
        <f>IF(LEFT(J$6,4)&lt;=LEFT('RFM input'!$G$60,4),"enter input",IF(LEFT(J$6,4)&gt;LEFT('RFM input'!$Q$60,4),0,
IF(MATCH(J$6,'RFM input'!$H$60:$Q$60,0),INDEX('RFM input'!$T$7:$T$56,$A2493,1,1))))</f>
        <v>0</v>
      </c>
      <c r="K2494" s="1417">
        <f>IF(LEFT(K$6,4)&lt;=LEFT('RFM input'!$G$60,4),"enter input",IF(LEFT(K$6,4)&gt;LEFT('RFM input'!$Q$60,4),0,
IF(MATCH(K$6,'RFM input'!$H$60:$Q$60,0),INDEX('RFM input'!$T$7:$T$56,$A2493,1,1))))</f>
        <v>0</v>
      </c>
      <c r="L2494" s="1417">
        <f>IF(LEFT(L$6,4)&lt;=LEFT('RFM input'!$G$60,4),"enter input",IF(LEFT(L$6,4)&gt;LEFT('RFM input'!$Q$60,4),0,
IF(MATCH(L$6,'RFM input'!$H$60:$Q$60,0),INDEX('RFM input'!$T$7:$T$56,$A2493,1,1))))</f>
        <v>0</v>
      </c>
      <c r="M2494" s="1417">
        <f>IF(LEFT(M$6,4)&lt;=LEFT('RFM input'!$G$60,4),"enter input",IF(LEFT(M$6,4)&gt;LEFT('RFM input'!$Q$60,4),0,
IF(MATCH(M$6,'RFM input'!$H$60:$Q$60,0),INDEX('RFM input'!$T$7:$T$56,$A2493,1,1))))</f>
        <v>0</v>
      </c>
      <c r="N2494" s="1417">
        <f>IF(LEFT(N$6,4)&lt;=LEFT('RFM input'!$G$60,4),"enter input",IF(LEFT(N$6,4)&gt;LEFT('RFM input'!$Q$60,4),0,
IF(MATCH(N$6,'RFM input'!$H$60:$Q$60,0),INDEX('RFM input'!$T$7:$T$56,$A2493,1,1))))</f>
        <v>0</v>
      </c>
      <c r="O2494" s="1417">
        <f>IF(LEFT(O$6,4)&lt;=LEFT('RFM input'!$G$60,4),"enter input",IF(LEFT(O$6,4)&gt;LEFT('RFM input'!$Q$60,4),0,
IF(MATCH(O$6,'RFM input'!$H$60:$Q$60,0),INDEX('RFM input'!$T$7:$T$56,$A2493,1,1))))</f>
        <v>0</v>
      </c>
      <c r="P2494" s="1417">
        <f>IF(LEFT(P$6,4)&lt;=LEFT('RFM input'!$G$60,4),"enter input",IF(LEFT(P$6,4)&gt;LEFT('RFM input'!$Q$60,4),0,
IF(MATCH(P$6,'RFM input'!$H$60:$Q$60,0),INDEX('RFM input'!$T$7:$T$56,$A2493,1,1))))</f>
        <v>0</v>
      </c>
      <c r="Q2494" s="1417">
        <f>IF(LEFT(Q$6,4)&lt;=LEFT('RFM input'!$G$60,4),"enter input",IF(LEFT(Q$6,4)&gt;LEFT('RFM input'!$Q$60,4),0,
IF(MATCH(Q$6,'RFM input'!$H$60:$Q$60,0),INDEX('RFM input'!$T$7:$T$56,$A2493,1,1))))</f>
        <v>0</v>
      </c>
      <c r="R2494" s="1417">
        <f>IF(LEFT(R$6,4)&lt;=LEFT('RFM input'!$G$60,4),"enter input",IF(LEFT(R$6,4)&gt;LEFT('RFM input'!$Q$60,4),0,
IF(MATCH(R$6,'RFM input'!$H$60:$Q$60,0),INDEX('RFM input'!$T$7:$T$56,$A2493,1,1))))</f>
        <v>0</v>
      </c>
      <c r="S2494" s="1417">
        <f>IF(LEFT(S$6,4)&lt;=LEFT('RFM input'!$G$60,4),"enter input",IF(LEFT(S$6,4)&gt;LEFT('RFM input'!$Q$60,4),0,
IF(MATCH(S$6,'RFM input'!$H$60:$Q$60,0),INDEX('RFM input'!$T$7:$T$56,$A2493,1,1))))</f>
        <v>0</v>
      </c>
      <c r="T2494" s="1417">
        <f>IF(LEFT(T$6,4)&lt;=LEFT('RFM input'!$G$60,4),"enter input",IF(LEFT(T$6,4)&gt;LEFT('RFM input'!$Q$60,4),0,
IF(MATCH(T$6,'RFM input'!$H$60:$Q$60,0),INDEX('RFM input'!$T$7:$T$56,$A2493,1,1))))</f>
        <v>0</v>
      </c>
      <c r="U2494" s="1417">
        <f>IF(LEFT(U$6,4)&lt;=LEFT('RFM input'!$G$60,4),"enter input",IF(LEFT(U$6,4)&gt;LEFT('RFM input'!$Q$60,4),0,
IF(MATCH(U$6,'RFM input'!$H$60:$Q$60,0),INDEX('RFM input'!$T$7:$T$56,$A2493,1,1))))</f>
        <v>0</v>
      </c>
      <c r="V2494" s="1417">
        <f>IF(LEFT(V$6,4)&lt;=LEFT('RFM input'!$G$60,4),"enter input",IF(LEFT(V$6,4)&gt;LEFT('RFM input'!$Q$60,4),0,
IF(MATCH(V$6,'RFM input'!$H$60:$Q$60,0),INDEX('RFM input'!$T$7:$T$56,$A2493,1,1))))</f>
        <v>0</v>
      </c>
      <c r="W2494" s="1417">
        <f>IF(LEFT(W$6,4)&lt;=LEFT('RFM input'!$G$60,4),"enter input",IF(LEFT(W$6,4)&gt;LEFT('RFM input'!$Q$60,4),0,
IF(MATCH(W$6,'RFM input'!$H$60:$Q$60,0),INDEX('RFM input'!$T$7:$T$56,$A2493,1,1))))</f>
        <v>0</v>
      </c>
      <c r="X2494" s="152"/>
      <c r="Y2494" s="152"/>
      <c r="Z2494" s="152"/>
      <c r="AA2494" s="152"/>
      <c r="AB2494" s="152"/>
    </row>
    <row r="2495" spans="1:28">
      <c r="A2495" s="152"/>
      <c r="B2495" s="193" t="s">
        <v>192</v>
      </c>
      <c r="C2495" s="1419"/>
      <c r="D2495" s="1420">
        <f ca="1">IF(LEFT(D$6,4)&lt;=LEFT('RFM input'!$G$60,4),"enter input",IF(LEFT(D$6,4)&gt;LEFT('RFM input'!$Q$60,4),0,
IF(D$6=(OFFSET('RFM input'!$G$60,0,'RFM input'!$V$7)),OFFSET('RFM input'!$H$411,$A2493,0),0)))</f>
        <v>0</v>
      </c>
      <c r="E2495" s="1417">
        <f ca="1">IF(LEFT(E$6,4)&lt;=LEFT('RFM input'!$G$60,4),"enter input",IF(LEFT(E$6,4)&gt;LEFT('RFM input'!$Q$60,4),0,
IF(E$6=(OFFSET('RFM input'!$G$60,0,'RFM input'!$V$7)),OFFSET('RFM input'!$H$411,$A2493,0),0)))</f>
        <v>0</v>
      </c>
      <c r="F2495" s="1417">
        <f ca="1">IF(LEFT(F$6,4)&lt;=LEFT('RFM input'!$G$60,4),"enter input",IF(LEFT(F$6,4)&gt;LEFT('RFM input'!$Q$60,4),0,
IF(F$6=(OFFSET('RFM input'!$G$60,0,'RFM input'!$V$7)),OFFSET('RFM input'!$H$411,$A2493,0),0)))</f>
        <v>0</v>
      </c>
      <c r="G2495" s="1417">
        <f ca="1">IF(LEFT(G$6,4)&lt;=LEFT('RFM input'!$G$60,4),"enter input",IF(LEFT(G$6,4)&gt;LEFT('RFM input'!$Q$60,4),0,
IF(G$6=(OFFSET('RFM input'!$G$60,0,'RFM input'!$V$7)),OFFSET('RFM input'!$H$411,$A2493,0),0)))</f>
        <v>0</v>
      </c>
      <c r="H2495" s="1417">
        <f ca="1">IF(LEFT(H$6,4)&lt;=LEFT('RFM input'!$G$60,4),"enter input",IF(LEFT(H$6,4)&gt;LEFT('RFM input'!$Q$60,4),0,
IF(H$6=(OFFSET('RFM input'!$G$60,0,'RFM input'!$V$7)),OFFSET('RFM input'!$H$411,$A2493,0),0)))</f>
        <v>0</v>
      </c>
      <c r="I2495" s="1417">
        <f ca="1">IF(LEFT(I$6,4)&lt;=LEFT('RFM input'!$G$60,4),"enter input",IF(LEFT(I$6,4)&gt;LEFT('RFM input'!$Q$60,4),0,
IF(I$6=(OFFSET('RFM input'!$G$60,0,'RFM input'!$V$7)),OFFSET('RFM input'!$H$411,$A2493,0),0)))</f>
        <v>0</v>
      </c>
      <c r="J2495" s="1417">
        <f ca="1">IF(LEFT(J$6,4)&lt;=LEFT('RFM input'!$G$60,4),"enter input",IF(LEFT(J$6,4)&gt;LEFT('RFM input'!$Q$60,4),0,
IF(J$6=(OFFSET('RFM input'!$G$60,0,'RFM input'!$V$7)),OFFSET('RFM input'!$H$411,$A2493,0),0)))</f>
        <v>0</v>
      </c>
      <c r="K2495" s="1417">
        <f ca="1">IF(LEFT(K$6,4)&lt;=LEFT('RFM input'!$G$60,4),"enter input",IF(LEFT(K$6,4)&gt;LEFT('RFM input'!$Q$60,4),0,
IF(K$6=(OFFSET('RFM input'!$G$60,0,'RFM input'!$V$7)),OFFSET('RFM input'!$H$411,$A2493,0),0)))</f>
        <v>0</v>
      </c>
      <c r="L2495" s="1417">
        <f ca="1">IF(LEFT(L$6,4)&lt;=LEFT('RFM input'!$G$60,4),"enter input",IF(LEFT(L$6,4)&gt;LEFT('RFM input'!$Q$60,4),0,
IF(L$6=(OFFSET('RFM input'!$G$60,0,'RFM input'!$V$7)),OFFSET('RFM input'!$H$411,$A2493,0),0)))</f>
        <v>0</v>
      </c>
      <c r="M2495" s="1417">
        <f ca="1">IF(LEFT(M$6,4)&lt;=LEFT('RFM input'!$G$60,4),"enter input",IF(LEFT(M$6,4)&gt;LEFT('RFM input'!$Q$60,4),0,
IF(M$6=(OFFSET('RFM input'!$G$60,0,'RFM input'!$V$7)),OFFSET('RFM input'!$H$411,$A2493,0),0)))</f>
        <v>0</v>
      </c>
      <c r="N2495" s="1417">
        <f ca="1">IF(LEFT(N$6,4)&lt;=LEFT('RFM input'!$G$60,4),"enter input",IF(LEFT(N$6,4)&gt;LEFT('RFM input'!$Q$60,4),0,
IF(N$6=(OFFSET('RFM input'!$G$60,0,'RFM input'!$V$7)),OFFSET('RFM input'!$H$411,$A2493,0),0)))</f>
        <v>0</v>
      </c>
      <c r="O2495" s="1417">
        <f ca="1">IF(LEFT(O$6,4)&lt;=LEFT('RFM input'!$G$60,4),"enter input",IF(LEFT(O$6,4)&gt;LEFT('RFM input'!$Q$60,4),0,
IF(O$6=(OFFSET('RFM input'!$G$60,0,'RFM input'!$V$7)),OFFSET('RFM input'!$H$411,$A2493,0),0)))</f>
        <v>0</v>
      </c>
      <c r="P2495" s="1417">
        <f ca="1">IF(LEFT(P$6,4)&lt;=LEFT('RFM input'!$G$60,4),"enter input",IF(LEFT(P$6,4)&gt;LEFT('RFM input'!$Q$60,4),0,
IF(P$6=(OFFSET('RFM input'!$G$60,0,'RFM input'!$V$7)),OFFSET('RFM input'!$H$411,$A2493,0),0)))</f>
        <v>0</v>
      </c>
      <c r="Q2495" s="1417">
        <f ca="1">IF(LEFT(Q$6,4)&lt;=LEFT('RFM input'!$G$60,4),"enter input",IF(LEFT(Q$6,4)&gt;LEFT('RFM input'!$Q$60,4),0,
IF(Q$6=(OFFSET('RFM input'!$G$60,0,'RFM input'!$V$7)),OFFSET('RFM input'!$H$411,$A2493,0),0)))</f>
        <v>0</v>
      </c>
      <c r="R2495" s="1417">
        <f ca="1">IF(LEFT(R$6,4)&lt;=LEFT('RFM input'!$G$60,4),"enter input",IF(LEFT(R$6,4)&gt;LEFT('RFM input'!$Q$60,4),0,
IF(R$6=(OFFSET('RFM input'!$G$60,0,'RFM input'!$V$7)),OFFSET('RFM input'!$H$411,$A2493,0),0)))</f>
        <v>0</v>
      </c>
      <c r="S2495" s="1417">
        <f ca="1">IF(LEFT(S$6,4)&lt;=LEFT('RFM input'!$G$60,4),"enter input",IF(LEFT(S$6,4)&gt;LEFT('RFM input'!$Q$60,4),0,
IF(S$6=(OFFSET('RFM input'!$G$60,0,'RFM input'!$V$7)),OFFSET('RFM input'!$H$411,$A2493,0),0)))</f>
        <v>0</v>
      </c>
      <c r="T2495" s="1417">
        <f ca="1">IF(LEFT(T$6,4)&lt;=LEFT('RFM input'!$G$60,4),"enter input",IF(LEFT(T$6,4)&gt;LEFT('RFM input'!$Q$60,4),0,
IF(T$6=(OFFSET('RFM input'!$G$60,0,'RFM input'!$V$7)),OFFSET('RFM input'!$H$411,$A2493,0),0)))</f>
        <v>0</v>
      </c>
      <c r="U2495" s="1417">
        <f ca="1">IF(LEFT(U$6,4)&lt;=LEFT('RFM input'!$G$60,4),"enter input",IF(LEFT(U$6,4)&gt;LEFT('RFM input'!$Q$60,4),0,
IF(U$6=(OFFSET('RFM input'!$G$60,0,'RFM input'!$V$7)),OFFSET('RFM input'!$H$411,$A2493,0),0)))</f>
        <v>0</v>
      </c>
      <c r="V2495" s="1417">
        <f ca="1">IF(LEFT(V$6,4)&lt;=LEFT('RFM input'!$G$60,4),"enter input",IF(LEFT(V$6,4)&gt;LEFT('RFM input'!$Q$60,4),0,
IF(V$6=(OFFSET('RFM input'!$G$60,0,'RFM input'!$V$7)),OFFSET('RFM input'!$H$411,$A2493,0),0)))</f>
        <v>0</v>
      </c>
      <c r="W2495" s="1417">
        <f ca="1">IF(LEFT(W$6,4)&lt;=LEFT('RFM input'!$G$60,4),"enter input",IF(LEFT(W$6,4)&gt;LEFT('RFM input'!$Q$60,4),0,
IF(W$6=(OFFSET('RFM input'!$G$60,0,'RFM input'!$V$7)),OFFSET('RFM input'!$H$411,$A2493,0),0)))</f>
        <v>0</v>
      </c>
      <c r="X2495" s="152"/>
      <c r="Y2495" s="152"/>
      <c r="Z2495" s="152"/>
      <c r="AA2495" s="152"/>
      <c r="AB2495" s="152"/>
    </row>
    <row r="2496" spans="1:28">
      <c r="A2496" s="152"/>
      <c r="B2496" s="193" t="s">
        <v>200</v>
      </c>
      <c r="C2496" s="1419"/>
      <c r="D2496" s="1418">
        <f ca="1">IF(LEFT(D$6,4)&lt;=LEFT('RFM input'!$G$60,4),"enter input",IF(LEFT(D$6,4)&gt;LEFT('RFM input'!$Q$60,4),0,
IF(D$6=(OFFSET('RFM input'!$G$60,0,'RFM input'!$V$7)),OFFSET('RFM input'!$J$411,$A2493,0),0)))</f>
        <v>0</v>
      </c>
      <c r="E2496" s="1422">
        <f ca="1">IF(LEFT(E$6,4)&lt;=LEFT('RFM input'!$G$60,4),"enter input",IF(LEFT(E$6,4)&gt;LEFT('RFM input'!$Q$60,4),0,
IF(E$6=(OFFSET('RFM input'!$G$60,0,'RFM input'!$V$7)),OFFSET('RFM input'!$J$411,$A2493,0),0)))</f>
        <v>0</v>
      </c>
      <c r="F2496" s="1422">
        <f ca="1">IF(LEFT(F$6,4)&lt;=LEFT('RFM input'!$G$60,4),"enter input",IF(LEFT(F$6,4)&gt;LEFT('RFM input'!$Q$60,4),0,
IF(F$6=(OFFSET('RFM input'!$G$60,0,'RFM input'!$V$7)),OFFSET('RFM input'!$J$411,$A2493,0),0)))</f>
        <v>0</v>
      </c>
      <c r="G2496" s="1422">
        <f ca="1">IF(LEFT(G$6,4)&lt;=LEFT('RFM input'!$G$60,4),"enter input",IF(LEFT(G$6,4)&gt;LEFT('RFM input'!$Q$60,4),0,
IF(G$6=(OFFSET('RFM input'!$G$60,0,'RFM input'!$V$7)),OFFSET('RFM input'!$J$411,$A2493,0),0)))</f>
        <v>0</v>
      </c>
      <c r="H2496" s="1422">
        <f ca="1">IF(LEFT(H$6,4)&lt;=LEFT('RFM input'!$G$60,4),"enter input",IF(LEFT(H$6,4)&gt;LEFT('RFM input'!$Q$60,4),0,
IF(H$6=(OFFSET('RFM input'!$G$60,0,'RFM input'!$V$7)),OFFSET('RFM input'!$J$411,$A2493,0),0)))</f>
        <v>0</v>
      </c>
      <c r="I2496" s="1422">
        <f ca="1">IF(LEFT(I$6,4)&lt;=LEFT('RFM input'!$G$60,4),"enter input",IF(LEFT(I$6,4)&gt;LEFT('RFM input'!$Q$60,4),0,
IF(I$6=(OFFSET('RFM input'!$G$60,0,'RFM input'!$V$7)),OFFSET('RFM input'!$J$411,$A2493,0),0)))</f>
        <v>0</v>
      </c>
      <c r="J2496" s="1422">
        <f ca="1">IF(LEFT(J$6,4)&lt;=LEFT('RFM input'!$G$60,4),"enter input",IF(LEFT(J$6,4)&gt;LEFT('RFM input'!$Q$60,4),0,
IF(J$6=(OFFSET('RFM input'!$G$60,0,'RFM input'!$V$7)),OFFSET('RFM input'!$J$411,$A2493,0),0)))</f>
        <v>0</v>
      </c>
      <c r="K2496" s="1422">
        <f ca="1">IF(LEFT(K$6,4)&lt;=LEFT('RFM input'!$G$60,4),"enter input",IF(LEFT(K$6,4)&gt;LEFT('RFM input'!$Q$60,4),0,
IF(K$6=(OFFSET('RFM input'!$G$60,0,'RFM input'!$V$7)),OFFSET('RFM input'!$J$411,$A2493,0),0)))</f>
        <v>0</v>
      </c>
      <c r="L2496" s="1422">
        <f ca="1">IF(LEFT(L$6,4)&lt;=LEFT('RFM input'!$G$60,4),"enter input",IF(LEFT(L$6,4)&gt;LEFT('RFM input'!$Q$60,4),0,
IF(L$6=(OFFSET('RFM input'!$G$60,0,'RFM input'!$V$7)),OFFSET('RFM input'!$J$411,$A2493,0),0)))</f>
        <v>0</v>
      </c>
      <c r="M2496" s="1422">
        <f ca="1">IF(LEFT(M$6,4)&lt;=LEFT('RFM input'!$G$60,4),"enter input",IF(LEFT(M$6,4)&gt;LEFT('RFM input'!$Q$60,4),0,
IF(M$6=(OFFSET('RFM input'!$G$60,0,'RFM input'!$V$7)),OFFSET('RFM input'!$J$411,$A2493,0),0)))</f>
        <v>0</v>
      </c>
      <c r="N2496" s="1422">
        <f ca="1">IF(LEFT(N$6,4)&lt;=LEFT('RFM input'!$G$60,4),"enter input",IF(LEFT(N$6,4)&gt;LEFT('RFM input'!$Q$60,4),0,
IF(N$6=(OFFSET('RFM input'!$G$60,0,'RFM input'!$V$7)),OFFSET('RFM input'!$J$411,$A2493,0),0)))</f>
        <v>0</v>
      </c>
      <c r="O2496" s="1422">
        <f ca="1">IF(LEFT(O$6,4)&lt;=LEFT('RFM input'!$G$60,4),"enter input",IF(LEFT(O$6,4)&gt;LEFT('RFM input'!$Q$60,4),0,
IF(O$6=(OFFSET('RFM input'!$G$60,0,'RFM input'!$V$7)),OFFSET('RFM input'!$J$411,$A2493,0),0)))</f>
        <v>0</v>
      </c>
      <c r="P2496" s="1422">
        <f ca="1">IF(LEFT(P$6,4)&lt;=LEFT('RFM input'!$G$60,4),"enter input",IF(LEFT(P$6,4)&gt;LEFT('RFM input'!$Q$60,4),0,
IF(P$6=(OFFSET('RFM input'!$G$60,0,'RFM input'!$V$7)),OFFSET('RFM input'!$J$411,$A2493,0),0)))</f>
        <v>0</v>
      </c>
      <c r="Q2496" s="1422">
        <f ca="1">IF(LEFT(Q$6,4)&lt;=LEFT('RFM input'!$G$60,4),"enter input",IF(LEFT(Q$6,4)&gt;LEFT('RFM input'!$Q$60,4),0,
IF(Q$6=(OFFSET('RFM input'!$G$60,0,'RFM input'!$V$7)),OFFSET('RFM input'!$J$411,$A2493,0),0)))</f>
        <v>0</v>
      </c>
      <c r="R2496" s="1422">
        <f ca="1">IF(LEFT(R$6,4)&lt;=LEFT('RFM input'!$G$60,4),"enter input",IF(LEFT(R$6,4)&gt;LEFT('RFM input'!$Q$60,4),0,
IF(R$6=(OFFSET('RFM input'!$G$60,0,'RFM input'!$V$7)),OFFSET('RFM input'!$J$411,$A2493,0),0)))</f>
        <v>0</v>
      </c>
      <c r="S2496" s="1422">
        <f ca="1">IF(LEFT(S$6,4)&lt;=LEFT('RFM input'!$G$60,4),"enter input",IF(LEFT(S$6,4)&gt;LEFT('RFM input'!$Q$60,4),0,
IF(S$6=(OFFSET('RFM input'!$G$60,0,'RFM input'!$V$7)),OFFSET('RFM input'!$J$411,$A2493,0),0)))</f>
        <v>0</v>
      </c>
      <c r="T2496" s="1422">
        <f ca="1">IF(LEFT(T$6,4)&lt;=LEFT('RFM input'!$G$60,4),"enter input",IF(LEFT(T$6,4)&gt;LEFT('RFM input'!$Q$60,4),0,
IF(T$6=(OFFSET('RFM input'!$G$60,0,'RFM input'!$V$7)),OFFSET('RFM input'!$J$411,$A2493,0),0)))</f>
        <v>0</v>
      </c>
      <c r="U2496" s="1422">
        <f ca="1">IF(LEFT(U$6,4)&lt;=LEFT('RFM input'!$G$60,4),"enter input",IF(LEFT(U$6,4)&gt;LEFT('RFM input'!$Q$60,4),0,
IF(U$6=(OFFSET('RFM input'!$G$60,0,'RFM input'!$V$7)),OFFSET('RFM input'!$J$411,$A2493,0),0)))</f>
        <v>0</v>
      </c>
      <c r="V2496" s="1422">
        <f ca="1">IF(LEFT(V$6,4)&lt;=LEFT('RFM input'!$G$60,4),"enter input",IF(LEFT(V$6,4)&gt;LEFT('RFM input'!$Q$60,4),0,
IF(V$6=(OFFSET('RFM input'!$G$60,0,'RFM input'!$V$7)),OFFSET('RFM input'!$J$411,$A2493,0),0)))</f>
        <v>0</v>
      </c>
      <c r="W2496" s="1422">
        <f ca="1">IF(LEFT(W$6,4)&lt;=LEFT('RFM input'!$G$60,4),"enter input",IF(LEFT(W$6,4)&gt;LEFT('RFM input'!$Q$60,4),0,
IF(W$6=(OFFSET('RFM input'!$G$60,0,'RFM input'!$V$7)),OFFSET('RFM input'!$J$411,$A2493,0),0)))</f>
        <v>0</v>
      </c>
      <c r="X2496" s="152"/>
      <c r="Y2496" s="152"/>
      <c r="Z2496" s="152"/>
      <c r="AA2496" s="152"/>
      <c r="AB2496" s="152"/>
    </row>
    <row r="2497" spans="1:28" hidden="1" outlineLevel="1">
      <c r="A2497" s="235">
        <v>-1</v>
      </c>
      <c r="B2497" s="190" t="s">
        <v>195</v>
      </c>
      <c r="C2497" s="1423"/>
      <c r="D2497" s="1423">
        <f t="shared" ref="D2497" ca="1" si="3632">IF(AND(D2495=0,C2497=0),0,
IF(AND(D2495&lt;&gt;0,C2497=0),D2495,
IF(AND(D2496&lt;&gt;0,C2497&lt;&gt;0),(C2497-(C2497/C2521))+D2495,
IF(C2521&lt;1,0,(C2497-(C2497/C2521))))))</f>
        <v>0</v>
      </c>
      <c r="E2497" s="1423">
        <f t="shared" ref="E2497" ca="1" si="3633">IF(AND(E2495=0,D2497=0),0,
IF(AND(E2495&lt;&gt;0,D2497=0),E2495,
IF(AND(E2496&lt;&gt;0,D2497&lt;&gt;0),(D2497-(D2497/D2521))+E2495,
IF(D2521&lt;1,0,(D2497-(D2497/D2521))))))</f>
        <v>0</v>
      </c>
      <c r="F2497" s="1423">
        <f t="shared" ref="F2497" ca="1" si="3634">IF(AND(F2495=0,E2497=0),0,
IF(AND(F2495&lt;&gt;0,E2497=0),F2495,
IF(AND(F2496&lt;&gt;0,E2497&lt;&gt;0),(E2497-(E2497/E2521))+F2495,
IF(E2521&lt;1,0,(E2497-(E2497/E2521))))))</f>
        <v>0</v>
      </c>
      <c r="G2497" s="1423">
        <f t="shared" ref="G2497" ca="1" si="3635">IF(AND(G2495=0,F2497=0),0,
IF(AND(G2495&lt;&gt;0,F2497=0),G2495,
IF(AND(G2496&lt;&gt;0,F2497&lt;&gt;0),(F2497-(F2497/F2521))+G2495,
IF(F2521&lt;1,0,(F2497-(F2497/F2521))))))</f>
        <v>0</v>
      </c>
      <c r="H2497" s="1423">
        <f ca="1">IF(AND(H2495=0,G2497=0),0,
IF(AND(H2495&lt;&gt;0,G2497=0),H2495,
IF(AND(H2496&lt;&gt;0,G2497&lt;&gt;0),(G2497-(G2497/G2521))+H2495,
IF(G2521&lt;1,0,(G2497-(G2497/G2521))))))</f>
        <v>0</v>
      </c>
      <c r="I2497" s="1423">
        <f t="shared" ref="I2497" ca="1" si="3636">IF(AND(I2495=0,H2497=0),0,
IF(AND(I2495&lt;&gt;0,H2497=0),I2495,
IF(AND(I2496&lt;&gt;0,H2497&lt;&gt;0),(H2497-(H2497/H2521))+I2495,
IF(H2521&lt;1,0,(H2497-(H2497/H2521))))))</f>
        <v>0</v>
      </c>
      <c r="J2497" s="1423">
        <f t="shared" ref="J2497" ca="1" si="3637">IF(AND(J2495=0,I2497=0),0,
IF(AND(J2495&lt;&gt;0,I2497=0),J2495,
IF(AND(J2496&lt;&gt;0,I2497&lt;&gt;0),(I2497-(I2497/I2521))+J2495,
IF(I2521&lt;1,0,(I2497-(I2497/I2521))))))</f>
        <v>0</v>
      </c>
      <c r="K2497" s="1423">
        <f t="shared" ref="K2497" ca="1" si="3638">IF(AND(K2495=0,J2497=0),0,
IF(AND(K2495&lt;&gt;0,J2497=0),K2495,
IF(AND(K2496&lt;&gt;0,J2497&lt;&gt;0),(J2497-(J2497/J2521))+K2495,
IF(J2521&lt;1,0,(J2497-(J2497/J2521))))))</f>
        <v>0</v>
      </c>
      <c r="L2497" s="1423">
        <f t="shared" ref="L2497" ca="1" si="3639">IF(AND(L2495=0,K2497=0),0,
IF(AND(L2495&lt;&gt;0,K2497=0),L2495,
IF(AND(L2496&lt;&gt;0,K2497&lt;&gt;0),(K2497-(K2497/K2521))+L2495,
IF(K2521&lt;1,0,(K2497-(K2497/K2521))))))</f>
        <v>0</v>
      </c>
      <c r="M2497" s="1423">
        <f t="shared" ref="M2497" ca="1" si="3640">IF(AND(M2495=0,L2497=0),0,
IF(AND(M2495&lt;&gt;0,L2497=0),M2495,
IF(AND(M2496&lt;&gt;0,L2497&lt;&gt;0),(L2497-(L2497/L2521))+M2495,
IF(L2521&lt;1,0,(L2497-(L2497/L2521))))))</f>
        <v>0</v>
      </c>
      <c r="N2497" s="1423">
        <f t="shared" ref="N2497" ca="1" si="3641">IF(AND(N2495=0,M2497=0),0,
IF(AND(N2495&lt;&gt;0,M2497=0),N2495,
IF(AND(N2496&lt;&gt;0,M2497&lt;&gt;0),(M2497-(M2497/M2521))+N2495,
IF(M2521&lt;1,0,(M2497-(M2497/M2521))))))</f>
        <v>0</v>
      </c>
      <c r="O2497" s="1423">
        <f t="shared" ref="O2497" ca="1" si="3642">IF(AND(O2495=0,N2497=0),0,
IF(AND(O2495&lt;&gt;0,N2497=0),O2495,
IF(AND(O2496&lt;&gt;0,N2497&lt;&gt;0),(N2497-(N2497/N2521))+O2495,
IF(N2521&lt;1,0,(N2497-(N2497/N2521))))))</f>
        <v>0</v>
      </c>
      <c r="P2497" s="1423">
        <f t="shared" ref="P2497" ca="1" si="3643">IF(AND(P2495=0,O2497=0),0,
IF(AND(P2495&lt;&gt;0,O2497=0),P2495,
IF(AND(P2496&lt;&gt;0,O2497&lt;&gt;0),(O2497-(O2497/O2521))+P2495,
IF(O2521&lt;1,0,(O2497-(O2497/O2521))))))</f>
        <v>0</v>
      </c>
      <c r="Q2497" s="1423">
        <f t="shared" ref="Q2497" ca="1" si="3644">IF(AND(Q2495=0,P2497=0),0,
IF(AND(Q2495&lt;&gt;0,P2497=0),Q2495,
IF(AND(Q2496&lt;&gt;0,P2497&lt;&gt;0),(P2497-(P2497/P2521))+Q2495,
IF(P2521&lt;1,0,(P2497-(P2497/P2521))))))</f>
        <v>0</v>
      </c>
      <c r="R2497" s="1423">
        <f t="shared" ref="R2497" ca="1" si="3645">IF(AND(R2495=0,Q2497=0),0,
IF(AND(R2495&lt;&gt;0,Q2497=0),R2495,
IF(AND(R2496&lt;&gt;0,Q2497&lt;&gt;0),(Q2497-(Q2497/Q2521))+R2495,
IF(Q2521&lt;1,0,(Q2497-(Q2497/Q2521))))))</f>
        <v>0</v>
      </c>
      <c r="S2497" s="1423">
        <f t="shared" ref="S2497" ca="1" si="3646">IF(AND(S2495=0,R2497=0),0,
IF(AND(S2495&lt;&gt;0,R2497=0),S2495,
IF(AND(S2496&lt;&gt;0,R2497&lt;&gt;0),(R2497-(R2497/R2521))+S2495,
IF(R2521&lt;1,0,(R2497-(R2497/R2521))))))</f>
        <v>0</v>
      </c>
      <c r="T2497" s="1423">
        <f t="shared" ref="T2497" ca="1" si="3647">IF(AND(T2495=0,S2497=0),0,
IF(AND(T2495&lt;&gt;0,S2497=0),T2495,
IF(AND(T2496&lt;&gt;0,S2497&lt;&gt;0),(S2497-(S2497/S2521))+T2495,
IF(S2521&lt;1,0,(S2497-(S2497/S2521))))))</f>
        <v>0</v>
      </c>
      <c r="U2497" s="1423">
        <f t="shared" ref="U2497" ca="1" si="3648">IF(AND(U2495=0,T2497=0),0,
IF(AND(U2495&lt;&gt;0,T2497=0),U2495,
IF(AND(U2496&lt;&gt;0,T2497&lt;&gt;0),(T2497-(T2497/T2521))+U2495,
IF(T2521&lt;1,0,(T2497-(T2497/T2521))))))</f>
        <v>0</v>
      </c>
      <c r="V2497" s="1423">
        <f t="shared" ref="V2497" ca="1" si="3649">IF(AND(V2495=0,U2497=0),0,
IF(AND(V2495&lt;&gt;0,U2497=0),V2495,
IF(AND(V2496&lt;&gt;0,U2497&lt;&gt;0),(U2497-(U2497/U2521))+V2495,
IF(U2521&lt;1,0,(U2497-(U2497/U2521))))))</f>
        <v>0</v>
      </c>
      <c r="W2497" s="1423">
        <f t="shared" ref="W2497" ca="1" si="3650">IF(AND(W2495=0,V2497=0),0,
IF(AND(W2495&lt;&gt;0,V2497=0),W2495,
IF(AND(W2496&lt;&gt;0,V2497&lt;&gt;0),(V2497-(V2497/V2521))+W2495,
IF(V2521&lt;1,0,(V2497-(V2497/V2521))))))</f>
        <v>0</v>
      </c>
      <c r="X2497" s="152"/>
      <c r="Y2497" s="152"/>
      <c r="Z2497" s="152"/>
      <c r="AA2497" s="152"/>
      <c r="AB2497" s="152"/>
    </row>
    <row r="2498" spans="1:28" hidden="1" outlineLevel="1">
      <c r="A2498" s="199">
        <f>A2497+1</f>
        <v>0</v>
      </c>
      <c r="B2498" s="190" t="s">
        <v>527</v>
      </c>
      <c r="C2498" s="1423">
        <f ca="1">C2493</f>
        <v>0</v>
      </c>
      <c r="D2498" s="1423">
        <f ca="1">IF(C2522="n/a",C2498,IFERROR(IF((OFFSET($C2498,0,$A2498))&lt;0,
MIN(0,C2498-(OFFSET($C2498,0,$A2498)/(OFFSET($C2493,-$A2497,$A2498)))),
MAX(0,C2498-(OFFSET($C2498,0,$A2498)/(OFFSET($C2493,-$A2497,$A2498))))),0))</f>
        <v>0</v>
      </c>
      <c r="E2498" s="1423">
        <f t="shared" ref="E2498" ca="1" si="3651">IF(D2522="n/a",D2498,IFERROR(IF((OFFSET($C2498,0,$A2498))&lt;0,
MIN(0,D2498-(OFFSET($C2498,0,$A2498)/(OFFSET($C2493,-$A2497,$A2498)))),
MAX(0,D2498-(OFFSET($C2498,0,$A2498)/(OFFSET($C2493,-$A2497,$A2498))))),0))</f>
        <v>0</v>
      </c>
      <c r="F2498" s="1423">
        <f t="shared" ref="F2498:F2499" ca="1" si="3652">IF(E2522="n/a",E2498,IFERROR(IF((OFFSET($C2498,0,$A2498))&lt;0,
MIN(0,E2498-(OFFSET($C2498,0,$A2498)/(OFFSET($C2493,-$A2497,$A2498)))),
MAX(0,E2498-(OFFSET($C2498,0,$A2498)/(OFFSET($C2493,-$A2497,$A2498))))),0))</f>
        <v>0</v>
      </c>
      <c r="G2498" s="1423">
        <f t="shared" ref="G2498:G2500" ca="1" si="3653">IF(F2522="n/a",F2498,IFERROR(IF((OFFSET($C2498,0,$A2498))&lt;0,
MIN(0,F2498-(OFFSET($C2498,0,$A2498)/(OFFSET($C2493,-$A2497,$A2498)))),
MAX(0,F2498-(OFFSET($C2498,0,$A2498)/(OFFSET($C2493,-$A2497,$A2498))))),0))</f>
        <v>0</v>
      </c>
      <c r="H2498" s="1423">
        <f t="shared" ref="H2498:H2501" ca="1" si="3654">IF(G2522="n/a",G2498,IFERROR(IF((OFFSET($C2498,0,$A2498))&lt;0,
MIN(0,G2498-(OFFSET($C2498,0,$A2498)/(OFFSET($C2493,-$A2497,$A2498)))),
MAX(0,G2498-(OFFSET($C2498,0,$A2498)/(OFFSET($C2493,-$A2497,$A2498))))),0))</f>
        <v>0</v>
      </c>
      <c r="I2498" s="1423">
        <f t="shared" ref="I2498:I2502" ca="1" si="3655">IF(H2522="n/a",H2498,IFERROR(IF((OFFSET($C2498,0,$A2498))&lt;0,
MIN(0,H2498-(OFFSET($C2498,0,$A2498)/(OFFSET($C2493,-$A2497,$A2498)))),
MAX(0,H2498-(OFFSET($C2498,0,$A2498)/(OFFSET($C2493,-$A2497,$A2498))))),0))</f>
        <v>0</v>
      </c>
      <c r="J2498" s="1423">
        <f t="shared" ref="J2498:J2503" ca="1" si="3656">IF(I2522="n/a",I2498,IFERROR(IF((OFFSET($C2498,0,$A2498))&lt;0,
MIN(0,I2498-(OFFSET($C2498,0,$A2498)/(OFFSET($C2493,-$A2497,$A2498)))),
MAX(0,I2498-(OFFSET($C2498,0,$A2498)/(OFFSET($C2493,-$A2497,$A2498))))),0))</f>
        <v>0</v>
      </c>
      <c r="K2498" s="1423">
        <f t="shared" ref="K2498:K2504" ca="1" si="3657">IF(J2522="n/a",J2498,IFERROR(IF((OFFSET($C2498,0,$A2498))&lt;0,
MIN(0,J2498-(OFFSET($C2498,0,$A2498)/(OFFSET($C2493,-$A2497,$A2498)))),
MAX(0,J2498-(OFFSET($C2498,0,$A2498)/(OFFSET($C2493,-$A2497,$A2498))))),0))</f>
        <v>0</v>
      </c>
      <c r="L2498" s="1423">
        <f t="shared" ref="L2498:L2505" ca="1" si="3658">IF(K2522="n/a",K2498,IFERROR(IF((OFFSET($C2498,0,$A2498))&lt;0,
MIN(0,K2498-(OFFSET($C2498,0,$A2498)/(OFFSET($C2493,-$A2497,$A2498)))),
MAX(0,K2498-(OFFSET($C2498,0,$A2498)/(OFFSET($C2493,-$A2497,$A2498))))),0))</f>
        <v>0</v>
      </c>
      <c r="M2498" s="1423">
        <f t="shared" ref="M2498:M2506" ca="1" si="3659">IF(L2522="n/a",L2498,IFERROR(IF((OFFSET($C2498,0,$A2498))&lt;0,
MIN(0,L2498-(OFFSET($C2498,0,$A2498)/(OFFSET($C2493,-$A2497,$A2498)))),
MAX(0,L2498-(OFFSET($C2498,0,$A2498)/(OFFSET($C2493,-$A2497,$A2498))))),0))</f>
        <v>0</v>
      </c>
      <c r="N2498" s="1423">
        <f t="shared" ref="N2498:N2507" ca="1" si="3660">IF(M2522="n/a",M2498,IFERROR(IF((OFFSET($C2498,0,$A2498))&lt;0,
MIN(0,M2498-(OFFSET($C2498,0,$A2498)/(OFFSET($C2493,-$A2497,$A2498)))),
MAX(0,M2498-(OFFSET($C2498,0,$A2498)/(OFFSET($C2493,-$A2497,$A2498))))),0))</f>
        <v>0</v>
      </c>
      <c r="O2498" s="1423">
        <f t="shared" ref="O2498:O2508" ca="1" si="3661">IF(N2522="n/a",N2498,IFERROR(IF((OFFSET($C2498,0,$A2498))&lt;0,
MIN(0,N2498-(OFFSET($C2498,0,$A2498)/(OFFSET($C2493,-$A2497,$A2498)))),
MAX(0,N2498-(OFFSET($C2498,0,$A2498)/(OFFSET($C2493,-$A2497,$A2498))))),0))</f>
        <v>0</v>
      </c>
      <c r="P2498" s="1423">
        <f t="shared" ref="P2498:P2509" ca="1" si="3662">IF(O2522="n/a",O2498,IFERROR(IF((OFFSET($C2498,0,$A2498))&lt;0,
MIN(0,O2498-(OFFSET($C2498,0,$A2498)/(OFFSET($C2493,-$A2497,$A2498)))),
MAX(0,O2498-(OFFSET($C2498,0,$A2498)/(OFFSET($C2493,-$A2497,$A2498))))),0))</f>
        <v>0</v>
      </c>
      <c r="Q2498" s="1423">
        <f t="shared" ref="Q2498:Q2510" ca="1" si="3663">IF(P2522="n/a",P2498,IFERROR(IF((OFFSET($C2498,0,$A2498))&lt;0,
MIN(0,P2498-(OFFSET($C2498,0,$A2498)/(OFFSET($C2493,-$A2497,$A2498)))),
MAX(0,P2498-(OFFSET($C2498,0,$A2498)/(OFFSET($C2493,-$A2497,$A2498))))),0))</f>
        <v>0</v>
      </c>
      <c r="R2498" s="1423">
        <f t="shared" ref="R2498:R2511" ca="1" si="3664">IF(Q2522="n/a",Q2498,IFERROR(IF((OFFSET($C2498,0,$A2498))&lt;0,
MIN(0,Q2498-(OFFSET($C2498,0,$A2498)/(OFFSET($C2493,-$A2497,$A2498)))),
MAX(0,Q2498-(OFFSET($C2498,0,$A2498)/(OFFSET($C2493,-$A2497,$A2498))))),0))</f>
        <v>0</v>
      </c>
      <c r="S2498" s="1423">
        <f t="shared" ref="S2498:S2512" ca="1" si="3665">IF(R2522="n/a",R2498,IFERROR(IF((OFFSET($C2498,0,$A2498))&lt;0,
MIN(0,R2498-(OFFSET($C2498,0,$A2498)/(OFFSET($C2493,-$A2497,$A2498)))),
MAX(0,R2498-(OFFSET($C2498,0,$A2498)/(OFFSET($C2493,-$A2497,$A2498))))),0))</f>
        <v>0</v>
      </c>
      <c r="T2498" s="1423">
        <f t="shared" ref="T2498:T2513" ca="1" si="3666">IF(S2522="n/a",S2498,IFERROR(IF((OFFSET($C2498,0,$A2498))&lt;0,
MIN(0,S2498-(OFFSET($C2498,0,$A2498)/(OFFSET($C2493,-$A2497,$A2498)))),
MAX(0,S2498-(OFFSET($C2498,0,$A2498)/(OFFSET($C2493,-$A2497,$A2498))))),0))</f>
        <v>0</v>
      </c>
      <c r="U2498" s="1423">
        <f t="shared" ref="U2498:U2514" ca="1" si="3667">IF(T2522="n/a",T2498,IFERROR(IF((OFFSET($C2498,0,$A2498))&lt;0,
MIN(0,T2498-(OFFSET($C2498,0,$A2498)/(OFFSET($C2493,-$A2497,$A2498)))),
MAX(0,T2498-(OFFSET($C2498,0,$A2498)/(OFFSET($C2493,-$A2497,$A2498))))),0))</f>
        <v>0</v>
      </c>
      <c r="V2498" s="1423">
        <f t="shared" ref="V2498:V2515" ca="1" si="3668">IF(U2522="n/a",U2498,IFERROR(IF((OFFSET($C2498,0,$A2498))&lt;0,
MIN(0,U2498-(OFFSET($C2498,0,$A2498)/(OFFSET($C2493,-$A2497,$A2498)))),
MAX(0,U2498-(OFFSET($C2498,0,$A2498)/(OFFSET($C2493,-$A2497,$A2498))))),0))</f>
        <v>0</v>
      </c>
      <c r="W2498" s="1423">
        <f t="shared" ref="W2498:W2516" ca="1" si="3669">IF(V2522="n/a",V2498,IFERROR(IF((OFFSET($C2498,0,$A2498))&lt;0,
MIN(0,V2498-(OFFSET($C2498,0,$A2498)/(OFFSET($C2493,-$A2497,$A2498)))),
MAX(0,V2498-(OFFSET($C2498,0,$A2498)/(OFFSET($C2493,-$A2497,$A2498))))),0))</f>
        <v>0</v>
      </c>
      <c r="X2498" s="152"/>
      <c r="Y2498" s="152"/>
      <c r="Z2498" s="152"/>
      <c r="AA2498" s="152"/>
      <c r="AB2498" s="152"/>
    </row>
    <row r="2499" spans="1:28" hidden="1" outlineLevel="1">
      <c r="A2499" s="199">
        <f t="shared" ref="A2499:A2518" si="3670">A2498+1</f>
        <v>1</v>
      </c>
      <c r="B2499" s="190" t="str">
        <f t="shared" ref="B2499:B2518" ca="1" si="3671">"Depreciated Net Capex "&amp;OFFSET($C$6,0,A2499)</f>
        <v>Depreciated Net Capex 2016-17</v>
      </c>
      <c r="C2499" s="1424"/>
      <c r="D2499" s="1425">
        <f>D2493</f>
        <v>0</v>
      </c>
      <c r="E2499" s="1423">
        <f ca="1">IF(D2523="n/a",D2499,IFERROR(IF((OFFSET($C2499,0,$A2499))&lt;0,
MIN(0,D2499-(OFFSET($C2499,0,$A2499)/(OFFSET($C2494,-$A2498,$A2499)))),
MAX(0,D2499-(OFFSET($C2499,0,$A2499)/(OFFSET($C2494,-$A2498,$A2499))))),0))</f>
        <v>0</v>
      </c>
      <c r="F2499" s="1423">
        <f t="shared" ca="1" si="3652"/>
        <v>0</v>
      </c>
      <c r="G2499" s="1423">
        <f t="shared" ca="1" si="3653"/>
        <v>0</v>
      </c>
      <c r="H2499" s="1423">
        <f t="shared" ca="1" si="3654"/>
        <v>0</v>
      </c>
      <c r="I2499" s="1423">
        <f t="shared" ca="1" si="3655"/>
        <v>0</v>
      </c>
      <c r="J2499" s="1423">
        <f t="shared" ca="1" si="3656"/>
        <v>0</v>
      </c>
      <c r="K2499" s="1423">
        <f t="shared" ca="1" si="3657"/>
        <v>0</v>
      </c>
      <c r="L2499" s="1423">
        <f t="shared" ca="1" si="3658"/>
        <v>0</v>
      </c>
      <c r="M2499" s="1423">
        <f t="shared" ca="1" si="3659"/>
        <v>0</v>
      </c>
      <c r="N2499" s="1423">
        <f t="shared" ca="1" si="3660"/>
        <v>0</v>
      </c>
      <c r="O2499" s="1423">
        <f t="shared" ca="1" si="3661"/>
        <v>0</v>
      </c>
      <c r="P2499" s="1423">
        <f t="shared" ca="1" si="3662"/>
        <v>0</v>
      </c>
      <c r="Q2499" s="1423">
        <f t="shared" ca="1" si="3663"/>
        <v>0</v>
      </c>
      <c r="R2499" s="1423">
        <f t="shared" ca="1" si="3664"/>
        <v>0</v>
      </c>
      <c r="S2499" s="1423">
        <f t="shared" ca="1" si="3665"/>
        <v>0</v>
      </c>
      <c r="T2499" s="1423">
        <f t="shared" ca="1" si="3666"/>
        <v>0</v>
      </c>
      <c r="U2499" s="1423">
        <f t="shared" ca="1" si="3667"/>
        <v>0</v>
      </c>
      <c r="V2499" s="1423">
        <f t="shared" ca="1" si="3668"/>
        <v>0</v>
      </c>
      <c r="W2499" s="1423">
        <f t="shared" ca="1" si="3669"/>
        <v>0</v>
      </c>
      <c r="X2499" s="152"/>
      <c r="Y2499" s="152"/>
      <c r="Z2499" s="152"/>
      <c r="AA2499" s="152"/>
      <c r="AB2499" s="152"/>
    </row>
    <row r="2500" spans="1:28" hidden="1" outlineLevel="1">
      <c r="A2500" s="199">
        <f t="shared" si="3670"/>
        <v>2</v>
      </c>
      <c r="B2500" s="190" t="str">
        <f t="shared" ca="1" si="3671"/>
        <v>Depreciated Net Capex 2017-18</v>
      </c>
      <c r="C2500" s="1426"/>
      <c r="D2500" s="1427"/>
      <c r="E2500" s="1425">
        <f>E2493</f>
        <v>0</v>
      </c>
      <c r="F2500" s="1423">
        <f ca="1">IF(E2524="n/a",E2500,IFERROR(IF((OFFSET($C2500,0,$A2500))&lt;0,
MIN(0,E2500-(OFFSET($C2500,0,$A2500)/(OFFSET($C2495,-$A2499,$A2500)))),
MAX(0,E2500-(OFFSET($C2500,0,$A2500)/(OFFSET($C2495,-$A2499,$A2500))))),0))</f>
        <v>0</v>
      </c>
      <c r="G2500" s="1423">
        <f t="shared" ca="1" si="3653"/>
        <v>0</v>
      </c>
      <c r="H2500" s="1423">
        <f t="shared" ca="1" si="3654"/>
        <v>0</v>
      </c>
      <c r="I2500" s="1423">
        <f t="shared" ca="1" si="3655"/>
        <v>0</v>
      </c>
      <c r="J2500" s="1423">
        <f t="shared" ca="1" si="3656"/>
        <v>0</v>
      </c>
      <c r="K2500" s="1423">
        <f t="shared" ca="1" si="3657"/>
        <v>0</v>
      </c>
      <c r="L2500" s="1423">
        <f t="shared" ca="1" si="3658"/>
        <v>0</v>
      </c>
      <c r="M2500" s="1423">
        <f t="shared" ca="1" si="3659"/>
        <v>0</v>
      </c>
      <c r="N2500" s="1423">
        <f t="shared" ca="1" si="3660"/>
        <v>0</v>
      </c>
      <c r="O2500" s="1423">
        <f t="shared" ca="1" si="3661"/>
        <v>0</v>
      </c>
      <c r="P2500" s="1423">
        <f t="shared" ca="1" si="3662"/>
        <v>0</v>
      </c>
      <c r="Q2500" s="1423">
        <f t="shared" ca="1" si="3663"/>
        <v>0</v>
      </c>
      <c r="R2500" s="1423">
        <f t="shared" ca="1" si="3664"/>
        <v>0</v>
      </c>
      <c r="S2500" s="1423">
        <f t="shared" ca="1" si="3665"/>
        <v>0</v>
      </c>
      <c r="T2500" s="1423">
        <f t="shared" ca="1" si="3666"/>
        <v>0</v>
      </c>
      <c r="U2500" s="1423">
        <f t="shared" ca="1" si="3667"/>
        <v>0</v>
      </c>
      <c r="V2500" s="1423">
        <f t="shared" ca="1" si="3668"/>
        <v>0</v>
      </c>
      <c r="W2500" s="1423">
        <f t="shared" ca="1" si="3669"/>
        <v>0</v>
      </c>
      <c r="X2500" s="202"/>
      <c r="Y2500" s="152"/>
      <c r="Z2500" s="152"/>
      <c r="AA2500" s="152"/>
      <c r="AB2500" s="152"/>
    </row>
    <row r="2501" spans="1:28" hidden="1" outlineLevel="1">
      <c r="A2501" s="199">
        <f t="shared" si="3670"/>
        <v>3</v>
      </c>
      <c r="B2501" s="190" t="str">
        <f t="shared" ca="1" si="3671"/>
        <v>Depreciated Net Capex 2018-19</v>
      </c>
      <c r="C2501" s="1426"/>
      <c r="D2501" s="1426"/>
      <c r="E2501" s="1427"/>
      <c r="F2501" s="1428">
        <f>F2493</f>
        <v>0</v>
      </c>
      <c r="G2501" s="1423">
        <f ca="1">IF(F2525="n/a",F2501,IFERROR(IF((OFFSET($C2501,0,$A2501))&lt;0,
MIN(0,F2501-(OFFSET($C2501,0,$A2501)/(OFFSET($C2496,-$A2500,$A2501)))),
MAX(0,F2501-(OFFSET($C2501,0,$A2501)/(OFFSET($C2496,-$A2500,$A2501))))),0))</f>
        <v>0</v>
      </c>
      <c r="H2501" s="1423">
        <f t="shared" ca="1" si="3654"/>
        <v>0</v>
      </c>
      <c r="I2501" s="1423">
        <f t="shared" ca="1" si="3655"/>
        <v>0</v>
      </c>
      <c r="J2501" s="1423">
        <f t="shared" ca="1" si="3656"/>
        <v>0</v>
      </c>
      <c r="K2501" s="1423">
        <f t="shared" ca="1" si="3657"/>
        <v>0</v>
      </c>
      <c r="L2501" s="1423">
        <f t="shared" ca="1" si="3658"/>
        <v>0</v>
      </c>
      <c r="M2501" s="1423">
        <f t="shared" ca="1" si="3659"/>
        <v>0</v>
      </c>
      <c r="N2501" s="1423">
        <f t="shared" ca="1" si="3660"/>
        <v>0</v>
      </c>
      <c r="O2501" s="1423">
        <f t="shared" ca="1" si="3661"/>
        <v>0</v>
      </c>
      <c r="P2501" s="1423">
        <f t="shared" ca="1" si="3662"/>
        <v>0</v>
      </c>
      <c r="Q2501" s="1423">
        <f t="shared" ca="1" si="3663"/>
        <v>0</v>
      </c>
      <c r="R2501" s="1423">
        <f t="shared" ca="1" si="3664"/>
        <v>0</v>
      </c>
      <c r="S2501" s="1423">
        <f t="shared" ca="1" si="3665"/>
        <v>0</v>
      </c>
      <c r="T2501" s="1423">
        <f t="shared" ca="1" si="3666"/>
        <v>0</v>
      </c>
      <c r="U2501" s="1423">
        <f t="shared" ca="1" si="3667"/>
        <v>0</v>
      </c>
      <c r="V2501" s="1423">
        <f t="shared" ca="1" si="3668"/>
        <v>0</v>
      </c>
      <c r="W2501" s="1423">
        <f t="shared" ca="1" si="3669"/>
        <v>0</v>
      </c>
      <c r="X2501" s="202"/>
      <c r="Y2501" s="202"/>
      <c r="Z2501" s="152"/>
      <c r="AA2501" s="152"/>
      <c r="AB2501" s="152"/>
    </row>
    <row r="2502" spans="1:28" hidden="1" outlineLevel="1">
      <c r="A2502" s="199">
        <f t="shared" si="3670"/>
        <v>4</v>
      </c>
      <c r="B2502" s="190" t="str">
        <f t="shared" ca="1" si="3671"/>
        <v>Depreciated Net Capex 2019-20</v>
      </c>
      <c r="C2502" s="1426"/>
      <c r="D2502" s="1426"/>
      <c r="E2502" s="1426"/>
      <c r="F2502" s="1427"/>
      <c r="G2502" s="1428">
        <f>G2493</f>
        <v>0</v>
      </c>
      <c r="H2502" s="1423">
        <f ca="1">IF(G2526="n/a",G2502,IFERROR(IF((OFFSET($C2502,0,$A2502))&lt;0,
MIN(0,G2502-(OFFSET($C2502,0,$A2502)/(OFFSET($C2497,-$A2501,$A2502)))),
MAX(0,G2502-(OFFSET($C2502,0,$A2502)/(OFFSET($C2497,-$A2501,$A2502))))),0))</f>
        <v>0</v>
      </c>
      <c r="I2502" s="1423">
        <f t="shared" ca="1" si="3655"/>
        <v>0</v>
      </c>
      <c r="J2502" s="1423">
        <f t="shared" ca="1" si="3656"/>
        <v>0</v>
      </c>
      <c r="K2502" s="1423">
        <f t="shared" ca="1" si="3657"/>
        <v>0</v>
      </c>
      <c r="L2502" s="1423">
        <f t="shared" ca="1" si="3658"/>
        <v>0</v>
      </c>
      <c r="M2502" s="1423">
        <f t="shared" ca="1" si="3659"/>
        <v>0</v>
      </c>
      <c r="N2502" s="1423">
        <f t="shared" ca="1" si="3660"/>
        <v>0</v>
      </c>
      <c r="O2502" s="1423">
        <f t="shared" ca="1" si="3661"/>
        <v>0</v>
      </c>
      <c r="P2502" s="1423">
        <f t="shared" ca="1" si="3662"/>
        <v>0</v>
      </c>
      <c r="Q2502" s="1423">
        <f t="shared" ca="1" si="3663"/>
        <v>0</v>
      </c>
      <c r="R2502" s="1423">
        <f t="shared" ca="1" si="3664"/>
        <v>0</v>
      </c>
      <c r="S2502" s="1423">
        <f t="shared" ca="1" si="3665"/>
        <v>0</v>
      </c>
      <c r="T2502" s="1423">
        <f t="shared" ca="1" si="3666"/>
        <v>0</v>
      </c>
      <c r="U2502" s="1423">
        <f t="shared" ca="1" si="3667"/>
        <v>0</v>
      </c>
      <c r="V2502" s="1423">
        <f t="shared" ca="1" si="3668"/>
        <v>0</v>
      </c>
      <c r="W2502" s="1423">
        <f t="shared" ca="1" si="3669"/>
        <v>0</v>
      </c>
      <c r="X2502" s="202"/>
      <c r="Y2502" s="202"/>
      <c r="Z2502" s="202"/>
      <c r="AA2502" s="152"/>
      <c r="AB2502" s="152"/>
    </row>
    <row r="2503" spans="1:28" hidden="1" outlineLevel="1">
      <c r="A2503" s="199">
        <f t="shared" si="3670"/>
        <v>5</v>
      </c>
      <c r="B2503" s="190" t="str">
        <f t="shared" ca="1" si="3671"/>
        <v>Depreciated Net Capex 2020-21</v>
      </c>
      <c r="C2503" s="1426"/>
      <c r="D2503" s="1426"/>
      <c r="E2503" s="1426"/>
      <c r="F2503" s="1426"/>
      <c r="G2503" s="1427"/>
      <c r="H2503" s="1428">
        <f>H2493</f>
        <v>0</v>
      </c>
      <c r="I2503" s="1423">
        <f ca="1">IF(H2527="n/a",H2503,IFERROR(IF((OFFSET($C2503,0,$A2503))&lt;0,
MIN(0,H2503-(OFFSET($C2503,0,$A2503)/(OFFSET($C2498,-$A2502,$A2503)))),
MAX(0,H2503-(OFFSET($C2503,0,$A2503)/(OFFSET($C2498,-$A2502,$A2503))))),0))</f>
        <v>0</v>
      </c>
      <c r="J2503" s="1423">
        <f t="shared" ca="1" si="3656"/>
        <v>0</v>
      </c>
      <c r="K2503" s="1423">
        <f t="shared" ca="1" si="3657"/>
        <v>0</v>
      </c>
      <c r="L2503" s="1423">
        <f t="shared" ca="1" si="3658"/>
        <v>0</v>
      </c>
      <c r="M2503" s="1423">
        <f t="shared" ca="1" si="3659"/>
        <v>0</v>
      </c>
      <c r="N2503" s="1423">
        <f t="shared" ca="1" si="3660"/>
        <v>0</v>
      </c>
      <c r="O2503" s="1423">
        <f t="shared" ca="1" si="3661"/>
        <v>0</v>
      </c>
      <c r="P2503" s="1423">
        <f t="shared" ca="1" si="3662"/>
        <v>0</v>
      </c>
      <c r="Q2503" s="1423">
        <f t="shared" ca="1" si="3663"/>
        <v>0</v>
      </c>
      <c r="R2503" s="1423">
        <f t="shared" ca="1" si="3664"/>
        <v>0</v>
      </c>
      <c r="S2503" s="1423">
        <f t="shared" ca="1" si="3665"/>
        <v>0</v>
      </c>
      <c r="T2503" s="1423">
        <f t="shared" ca="1" si="3666"/>
        <v>0</v>
      </c>
      <c r="U2503" s="1423">
        <f t="shared" ca="1" si="3667"/>
        <v>0</v>
      </c>
      <c r="V2503" s="1423">
        <f t="shared" ca="1" si="3668"/>
        <v>0</v>
      </c>
      <c r="W2503" s="1423">
        <f t="shared" ca="1" si="3669"/>
        <v>0</v>
      </c>
      <c r="X2503" s="202"/>
      <c r="Y2503" s="202"/>
      <c r="Z2503" s="202"/>
      <c r="AA2503" s="152"/>
      <c r="AB2503" s="152"/>
    </row>
    <row r="2504" spans="1:28" hidden="1" outlineLevel="1">
      <c r="A2504" s="199">
        <f t="shared" si="3670"/>
        <v>6</v>
      </c>
      <c r="B2504" s="190" t="str">
        <f t="shared" ca="1" si="3671"/>
        <v>Depreciated Net Capex 2021-22</v>
      </c>
      <c r="C2504" s="1426"/>
      <c r="D2504" s="1426"/>
      <c r="E2504" s="1426"/>
      <c r="F2504" s="1426"/>
      <c r="G2504" s="1426"/>
      <c r="H2504" s="1427"/>
      <c r="I2504" s="1428">
        <f>I2493</f>
        <v>0</v>
      </c>
      <c r="J2504" s="1423">
        <f ca="1">IF(I2528="n/a",I2504,IFERROR(IF((OFFSET($C2504,0,$A2504))&lt;0,
MIN(0,I2504-(OFFSET($C2504,0,$A2504)/(OFFSET($C2499,-$A2503,$A2504)))),
MAX(0,I2504-(OFFSET($C2504,0,$A2504)/(OFFSET($C2499,-$A2503,$A2504))))),0))</f>
        <v>0</v>
      </c>
      <c r="K2504" s="1423">
        <f t="shared" ca="1" si="3657"/>
        <v>0</v>
      </c>
      <c r="L2504" s="1423">
        <f t="shared" ca="1" si="3658"/>
        <v>0</v>
      </c>
      <c r="M2504" s="1423">
        <f t="shared" ca="1" si="3659"/>
        <v>0</v>
      </c>
      <c r="N2504" s="1423">
        <f t="shared" ca="1" si="3660"/>
        <v>0</v>
      </c>
      <c r="O2504" s="1423">
        <f t="shared" ca="1" si="3661"/>
        <v>0</v>
      </c>
      <c r="P2504" s="1423">
        <f t="shared" ca="1" si="3662"/>
        <v>0</v>
      </c>
      <c r="Q2504" s="1423">
        <f t="shared" ca="1" si="3663"/>
        <v>0</v>
      </c>
      <c r="R2504" s="1423">
        <f t="shared" ca="1" si="3664"/>
        <v>0</v>
      </c>
      <c r="S2504" s="1423">
        <f t="shared" ca="1" si="3665"/>
        <v>0</v>
      </c>
      <c r="T2504" s="1423">
        <f t="shared" ca="1" si="3666"/>
        <v>0</v>
      </c>
      <c r="U2504" s="1423">
        <f t="shared" ca="1" si="3667"/>
        <v>0</v>
      </c>
      <c r="V2504" s="1423">
        <f t="shared" ca="1" si="3668"/>
        <v>0</v>
      </c>
      <c r="W2504" s="1423">
        <f t="shared" ca="1" si="3669"/>
        <v>0</v>
      </c>
      <c r="X2504" s="202"/>
      <c r="Y2504" s="202"/>
      <c r="Z2504" s="202"/>
      <c r="AA2504" s="152"/>
      <c r="AB2504" s="152"/>
    </row>
    <row r="2505" spans="1:28" hidden="1" outlineLevel="1">
      <c r="A2505" s="199">
        <f t="shared" si="3670"/>
        <v>7</v>
      </c>
      <c r="B2505" s="190" t="str">
        <f t="shared" ca="1" si="3671"/>
        <v>Depreciated Net Capex 2022-23</v>
      </c>
      <c r="C2505" s="1426"/>
      <c r="D2505" s="1426"/>
      <c r="E2505" s="1426"/>
      <c r="F2505" s="1426"/>
      <c r="G2505" s="1426"/>
      <c r="H2505" s="1426"/>
      <c r="I2505" s="1427"/>
      <c r="J2505" s="1428">
        <f>J2493</f>
        <v>0</v>
      </c>
      <c r="K2505" s="1423">
        <f ca="1">IF(J2529="n/a",J2505,IFERROR(IF((OFFSET($C2505,0,$A2505))&lt;0,
MIN(0,J2505-(OFFSET($C2505,0,$A2505)/(OFFSET($C2500,-$A2504,$A2505)))),
MAX(0,J2505-(OFFSET($C2505,0,$A2505)/(OFFSET($C2500,-$A2504,$A2505))))),0))</f>
        <v>0</v>
      </c>
      <c r="L2505" s="1423">
        <f t="shared" ca="1" si="3658"/>
        <v>0</v>
      </c>
      <c r="M2505" s="1423">
        <f t="shared" ca="1" si="3659"/>
        <v>0</v>
      </c>
      <c r="N2505" s="1423">
        <f t="shared" ca="1" si="3660"/>
        <v>0</v>
      </c>
      <c r="O2505" s="1423">
        <f t="shared" ca="1" si="3661"/>
        <v>0</v>
      </c>
      <c r="P2505" s="1423">
        <f t="shared" ca="1" si="3662"/>
        <v>0</v>
      </c>
      <c r="Q2505" s="1423">
        <f t="shared" ca="1" si="3663"/>
        <v>0</v>
      </c>
      <c r="R2505" s="1423">
        <f t="shared" ca="1" si="3664"/>
        <v>0</v>
      </c>
      <c r="S2505" s="1423">
        <f t="shared" ca="1" si="3665"/>
        <v>0</v>
      </c>
      <c r="T2505" s="1423">
        <f t="shared" ca="1" si="3666"/>
        <v>0</v>
      </c>
      <c r="U2505" s="1423">
        <f t="shared" ca="1" si="3667"/>
        <v>0</v>
      </c>
      <c r="V2505" s="1423">
        <f t="shared" ca="1" si="3668"/>
        <v>0</v>
      </c>
      <c r="W2505" s="1423">
        <f t="shared" ca="1" si="3669"/>
        <v>0</v>
      </c>
      <c r="X2505" s="202"/>
      <c r="Y2505" s="202"/>
      <c r="Z2505" s="202"/>
      <c r="AA2505" s="152"/>
      <c r="AB2505" s="152"/>
    </row>
    <row r="2506" spans="1:28" hidden="1" outlineLevel="1">
      <c r="A2506" s="199">
        <f t="shared" si="3670"/>
        <v>8</v>
      </c>
      <c r="B2506" s="190" t="str">
        <f t="shared" ca="1" si="3671"/>
        <v>Depreciated Net Capex 2023-24</v>
      </c>
      <c r="C2506" s="1426"/>
      <c r="D2506" s="1426"/>
      <c r="E2506" s="1426"/>
      <c r="F2506" s="1426"/>
      <c r="G2506" s="1426"/>
      <c r="H2506" s="1426"/>
      <c r="I2506" s="1426"/>
      <c r="J2506" s="1427"/>
      <c r="K2506" s="1428">
        <f>K2493</f>
        <v>0</v>
      </c>
      <c r="L2506" s="1423">
        <f ca="1">IF(K2530="n/a",K2506,IFERROR(IF((OFFSET($C2506,0,$A2506))&lt;0,
MIN(0,K2506-(OFFSET($C2506,0,$A2506)/(OFFSET($C2501,-$A2505,$A2506)))),
MAX(0,K2506-(OFFSET($C2506,0,$A2506)/(OFFSET($C2501,-$A2505,$A2506))))),0))</f>
        <v>0</v>
      </c>
      <c r="M2506" s="1423">
        <f t="shared" ca="1" si="3659"/>
        <v>0</v>
      </c>
      <c r="N2506" s="1423">
        <f t="shared" ca="1" si="3660"/>
        <v>0</v>
      </c>
      <c r="O2506" s="1423">
        <f t="shared" ca="1" si="3661"/>
        <v>0</v>
      </c>
      <c r="P2506" s="1423">
        <f t="shared" ca="1" si="3662"/>
        <v>0</v>
      </c>
      <c r="Q2506" s="1423">
        <f t="shared" ca="1" si="3663"/>
        <v>0</v>
      </c>
      <c r="R2506" s="1423">
        <f t="shared" ca="1" si="3664"/>
        <v>0</v>
      </c>
      <c r="S2506" s="1423">
        <f t="shared" ca="1" si="3665"/>
        <v>0</v>
      </c>
      <c r="T2506" s="1423">
        <f t="shared" ca="1" si="3666"/>
        <v>0</v>
      </c>
      <c r="U2506" s="1423">
        <f t="shared" ca="1" si="3667"/>
        <v>0</v>
      </c>
      <c r="V2506" s="1423">
        <f t="shared" ca="1" si="3668"/>
        <v>0</v>
      </c>
      <c r="W2506" s="1423">
        <f t="shared" ca="1" si="3669"/>
        <v>0</v>
      </c>
      <c r="X2506" s="202"/>
      <c r="Y2506" s="202"/>
      <c r="Z2506" s="202"/>
      <c r="AA2506" s="152"/>
      <c r="AB2506" s="152"/>
    </row>
    <row r="2507" spans="1:28" hidden="1" outlineLevel="1">
      <c r="A2507" s="199">
        <f t="shared" si="3670"/>
        <v>9</v>
      </c>
      <c r="B2507" s="190" t="str">
        <f t="shared" ca="1" si="3671"/>
        <v>Depreciated Net Capex 2024-25</v>
      </c>
      <c r="C2507" s="1426"/>
      <c r="D2507" s="1426"/>
      <c r="E2507" s="1426"/>
      <c r="F2507" s="1426"/>
      <c r="G2507" s="1426"/>
      <c r="H2507" s="1426"/>
      <c r="I2507" s="1426"/>
      <c r="J2507" s="1426"/>
      <c r="K2507" s="1427"/>
      <c r="L2507" s="1428">
        <f>L2493</f>
        <v>0</v>
      </c>
      <c r="M2507" s="1423">
        <f ca="1">IF(L2531="n/a",L2507,IFERROR(IF((OFFSET($C2507,0,$A2507))&lt;0,
MIN(0,L2507-(OFFSET($C2507,0,$A2507)/(OFFSET($C2502,-$A2506,$A2507)))),
MAX(0,L2507-(OFFSET($C2507,0,$A2507)/(OFFSET($C2502,-$A2506,$A2507))))),0))</f>
        <v>0</v>
      </c>
      <c r="N2507" s="1423">
        <f t="shared" ca="1" si="3660"/>
        <v>0</v>
      </c>
      <c r="O2507" s="1423">
        <f t="shared" ca="1" si="3661"/>
        <v>0</v>
      </c>
      <c r="P2507" s="1423">
        <f t="shared" ca="1" si="3662"/>
        <v>0</v>
      </c>
      <c r="Q2507" s="1423">
        <f t="shared" ca="1" si="3663"/>
        <v>0</v>
      </c>
      <c r="R2507" s="1423">
        <f t="shared" ca="1" si="3664"/>
        <v>0</v>
      </c>
      <c r="S2507" s="1423">
        <f t="shared" ca="1" si="3665"/>
        <v>0</v>
      </c>
      <c r="T2507" s="1423">
        <f t="shared" ca="1" si="3666"/>
        <v>0</v>
      </c>
      <c r="U2507" s="1423">
        <f t="shared" ca="1" si="3667"/>
        <v>0</v>
      </c>
      <c r="V2507" s="1423">
        <f t="shared" ca="1" si="3668"/>
        <v>0</v>
      </c>
      <c r="W2507" s="1423">
        <f t="shared" ca="1" si="3669"/>
        <v>0</v>
      </c>
      <c r="X2507" s="202"/>
      <c r="Y2507" s="202"/>
      <c r="Z2507" s="202"/>
      <c r="AA2507" s="152"/>
      <c r="AB2507" s="152"/>
    </row>
    <row r="2508" spans="1:28" hidden="1" outlineLevel="1">
      <c r="A2508" s="199">
        <f t="shared" si="3670"/>
        <v>10</v>
      </c>
      <c r="B2508" s="190" t="str">
        <f t="shared" ca="1" si="3671"/>
        <v>Depreciated Net Capex 2025-26</v>
      </c>
      <c r="C2508" s="1426"/>
      <c r="D2508" s="1426"/>
      <c r="E2508" s="1426"/>
      <c r="F2508" s="1426"/>
      <c r="G2508" s="1426"/>
      <c r="H2508" s="1426"/>
      <c r="I2508" s="1426"/>
      <c r="J2508" s="1426"/>
      <c r="K2508" s="1426"/>
      <c r="L2508" s="1427"/>
      <c r="M2508" s="1428">
        <f>M2493</f>
        <v>0</v>
      </c>
      <c r="N2508" s="1423">
        <f ca="1">IF(M2532="n/a",M2508,IFERROR(IF((OFFSET($C2508,0,$A2508))&lt;0,
MIN(0,M2508-(OFFSET($C2508,0,$A2508)/(OFFSET($C2503,-$A2507,$A2508)))),
MAX(0,M2508-(OFFSET($C2508,0,$A2508)/(OFFSET($C2503,-$A2507,$A2508))))),0))</f>
        <v>0</v>
      </c>
      <c r="O2508" s="1423">
        <f t="shared" ca="1" si="3661"/>
        <v>0</v>
      </c>
      <c r="P2508" s="1423">
        <f t="shared" ca="1" si="3662"/>
        <v>0</v>
      </c>
      <c r="Q2508" s="1423">
        <f t="shared" ca="1" si="3663"/>
        <v>0</v>
      </c>
      <c r="R2508" s="1423">
        <f t="shared" ca="1" si="3664"/>
        <v>0</v>
      </c>
      <c r="S2508" s="1423">
        <f t="shared" ca="1" si="3665"/>
        <v>0</v>
      </c>
      <c r="T2508" s="1423">
        <f t="shared" ca="1" si="3666"/>
        <v>0</v>
      </c>
      <c r="U2508" s="1423">
        <f t="shared" ca="1" si="3667"/>
        <v>0</v>
      </c>
      <c r="V2508" s="1423">
        <f t="shared" ca="1" si="3668"/>
        <v>0</v>
      </c>
      <c r="W2508" s="1423">
        <f t="shared" ca="1" si="3669"/>
        <v>0</v>
      </c>
      <c r="X2508" s="202"/>
      <c r="Y2508" s="202"/>
      <c r="Z2508" s="202"/>
      <c r="AA2508" s="152"/>
      <c r="AB2508" s="152"/>
    </row>
    <row r="2509" spans="1:28" hidden="1" outlineLevel="1">
      <c r="A2509" s="199">
        <f t="shared" si="3670"/>
        <v>11</v>
      </c>
      <c r="B2509" s="190" t="str">
        <f t="shared" ca="1" si="3671"/>
        <v>Depreciated Net Capex 2026-27</v>
      </c>
      <c r="C2509" s="1426"/>
      <c r="D2509" s="1426"/>
      <c r="E2509" s="1426"/>
      <c r="F2509" s="1426"/>
      <c r="G2509" s="1426"/>
      <c r="H2509" s="1426"/>
      <c r="I2509" s="1426"/>
      <c r="J2509" s="1426"/>
      <c r="K2509" s="1426"/>
      <c r="L2509" s="1426"/>
      <c r="M2509" s="1427"/>
      <c r="N2509" s="1428">
        <f>N2493</f>
        <v>0</v>
      </c>
      <c r="O2509" s="1423">
        <f ca="1">IF(N2533="n/a",N2509,IFERROR(IF((OFFSET($C2509,0,$A2509))&lt;0,
MIN(0,N2509-(OFFSET($C2509,0,$A2509)/(OFFSET($C2504,-$A2508,$A2509)))),
MAX(0,N2509-(OFFSET($C2509,0,$A2509)/(OFFSET($C2504,-$A2508,$A2509))))),0))</f>
        <v>0</v>
      </c>
      <c r="P2509" s="1423">
        <f t="shared" ca="1" si="3662"/>
        <v>0</v>
      </c>
      <c r="Q2509" s="1423">
        <f t="shared" ca="1" si="3663"/>
        <v>0</v>
      </c>
      <c r="R2509" s="1423">
        <f t="shared" ca="1" si="3664"/>
        <v>0</v>
      </c>
      <c r="S2509" s="1423">
        <f t="shared" ca="1" si="3665"/>
        <v>0</v>
      </c>
      <c r="T2509" s="1423">
        <f t="shared" ca="1" si="3666"/>
        <v>0</v>
      </c>
      <c r="U2509" s="1423">
        <f t="shared" ca="1" si="3667"/>
        <v>0</v>
      </c>
      <c r="V2509" s="1423">
        <f t="shared" ca="1" si="3668"/>
        <v>0</v>
      </c>
      <c r="W2509" s="1423">
        <f t="shared" ca="1" si="3669"/>
        <v>0</v>
      </c>
      <c r="X2509" s="202"/>
      <c r="Y2509" s="202"/>
      <c r="Z2509" s="202"/>
      <c r="AA2509" s="152"/>
      <c r="AB2509" s="152"/>
    </row>
    <row r="2510" spans="1:28" hidden="1" outlineLevel="1">
      <c r="A2510" s="199">
        <f t="shared" si="3670"/>
        <v>12</v>
      </c>
      <c r="B2510" s="190" t="str">
        <f t="shared" ca="1" si="3671"/>
        <v>Depreciated Net Capex 2027-28</v>
      </c>
      <c r="C2510" s="1426"/>
      <c r="D2510" s="1426"/>
      <c r="E2510" s="1426"/>
      <c r="F2510" s="1426"/>
      <c r="G2510" s="1426"/>
      <c r="H2510" s="1426"/>
      <c r="I2510" s="1426"/>
      <c r="J2510" s="1426"/>
      <c r="K2510" s="1426"/>
      <c r="L2510" s="1426"/>
      <c r="M2510" s="1426"/>
      <c r="N2510" s="1427"/>
      <c r="O2510" s="1428">
        <f>O2493</f>
        <v>0</v>
      </c>
      <c r="P2510" s="1423">
        <f ca="1">IF(O2534="n/a",O2510,IFERROR(IF((OFFSET($C2510,0,$A2510))&lt;0,
MIN(0,O2510-(OFFSET($C2510,0,$A2510)/(OFFSET($C2505,-$A2509,$A2510)))),
MAX(0,O2510-(OFFSET($C2510,0,$A2510)/(OFFSET($C2505,-$A2509,$A2510))))),0))</f>
        <v>0</v>
      </c>
      <c r="Q2510" s="1423">
        <f t="shared" ca="1" si="3663"/>
        <v>0</v>
      </c>
      <c r="R2510" s="1423">
        <f t="shared" ca="1" si="3664"/>
        <v>0</v>
      </c>
      <c r="S2510" s="1423">
        <f t="shared" ca="1" si="3665"/>
        <v>0</v>
      </c>
      <c r="T2510" s="1423">
        <f t="shared" ca="1" si="3666"/>
        <v>0</v>
      </c>
      <c r="U2510" s="1423">
        <f t="shared" ca="1" si="3667"/>
        <v>0</v>
      </c>
      <c r="V2510" s="1423">
        <f t="shared" ca="1" si="3668"/>
        <v>0</v>
      </c>
      <c r="W2510" s="1423">
        <f t="shared" ca="1" si="3669"/>
        <v>0</v>
      </c>
      <c r="X2510" s="202"/>
      <c r="Y2510" s="202"/>
      <c r="Z2510" s="202"/>
      <c r="AA2510" s="152"/>
      <c r="AB2510" s="152"/>
    </row>
    <row r="2511" spans="1:28" hidden="1" outlineLevel="1">
      <c r="A2511" s="199">
        <f t="shared" si="3670"/>
        <v>13</v>
      </c>
      <c r="B2511" s="190" t="str">
        <f t="shared" ca="1" si="3671"/>
        <v>Depreciated Net Capex 2028-29</v>
      </c>
      <c r="C2511" s="1426"/>
      <c r="D2511" s="1426"/>
      <c r="E2511" s="1426"/>
      <c r="F2511" s="1426"/>
      <c r="G2511" s="1426"/>
      <c r="H2511" s="1426"/>
      <c r="I2511" s="1426"/>
      <c r="J2511" s="1426"/>
      <c r="K2511" s="1426"/>
      <c r="L2511" s="1426"/>
      <c r="M2511" s="1426"/>
      <c r="N2511" s="1426"/>
      <c r="O2511" s="1427"/>
      <c r="P2511" s="1428">
        <f>P2493</f>
        <v>0</v>
      </c>
      <c r="Q2511" s="1423">
        <f ca="1">IF(P2535="n/a",P2511,IFERROR(IF((OFFSET($C2511,0,$A2511))&lt;0,
MIN(0,P2511-(OFFSET($C2511,0,$A2511)/(OFFSET($C2506,-$A2510,$A2511)))),
MAX(0,P2511-(OFFSET($C2511,0,$A2511)/(OFFSET($C2506,-$A2510,$A2511))))),0))</f>
        <v>0</v>
      </c>
      <c r="R2511" s="1423">
        <f t="shared" ca="1" si="3664"/>
        <v>0</v>
      </c>
      <c r="S2511" s="1423">
        <f t="shared" ca="1" si="3665"/>
        <v>0</v>
      </c>
      <c r="T2511" s="1423">
        <f t="shared" ca="1" si="3666"/>
        <v>0</v>
      </c>
      <c r="U2511" s="1423">
        <f t="shared" ca="1" si="3667"/>
        <v>0</v>
      </c>
      <c r="V2511" s="1423">
        <f t="shared" ca="1" si="3668"/>
        <v>0</v>
      </c>
      <c r="W2511" s="1423">
        <f t="shared" ca="1" si="3669"/>
        <v>0</v>
      </c>
      <c r="X2511" s="202"/>
      <c r="Y2511" s="202"/>
      <c r="Z2511" s="202"/>
      <c r="AA2511" s="152"/>
      <c r="AB2511" s="152"/>
    </row>
    <row r="2512" spans="1:28" hidden="1" outlineLevel="1">
      <c r="A2512" s="199">
        <f t="shared" si="3670"/>
        <v>14</v>
      </c>
      <c r="B2512" s="190" t="str">
        <f t="shared" ca="1" si="3671"/>
        <v>Depreciated Net Capex 2029-30</v>
      </c>
      <c r="C2512" s="1426"/>
      <c r="D2512" s="1426"/>
      <c r="E2512" s="1426"/>
      <c r="F2512" s="1426"/>
      <c r="G2512" s="1426"/>
      <c r="H2512" s="1426"/>
      <c r="I2512" s="1426"/>
      <c r="J2512" s="1426"/>
      <c r="K2512" s="1426"/>
      <c r="L2512" s="1426"/>
      <c r="M2512" s="1426"/>
      <c r="N2512" s="1426"/>
      <c r="O2512" s="1426"/>
      <c r="P2512" s="1427"/>
      <c r="Q2512" s="1428">
        <f>Q2493</f>
        <v>0</v>
      </c>
      <c r="R2512" s="1423">
        <f ca="1">IF(Q2536="n/a",Q2512,IFERROR(IF((OFFSET($C2512,0,$A2512))&lt;0,
MIN(0,Q2512-(OFFSET($C2512,0,$A2512)/(OFFSET($C2507,-$A2511,$A2512)))),
MAX(0,Q2512-(OFFSET($C2512,0,$A2512)/(OFFSET($C2507,-$A2511,$A2512))))),0))</f>
        <v>0</v>
      </c>
      <c r="S2512" s="1423">
        <f t="shared" ca="1" si="3665"/>
        <v>0</v>
      </c>
      <c r="T2512" s="1423">
        <f t="shared" ca="1" si="3666"/>
        <v>0</v>
      </c>
      <c r="U2512" s="1423">
        <f t="shared" ca="1" si="3667"/>
        <v>0</v>
      </c>
      <c r="V2512" s="1423">
        <f t="shared" ca="1" si="3668"/>
        <v>0</v>
      </c>
      <c r="W2512" s="1423">
        <f t="shared" ca="1" si="3669"/>
        <v>0</v>
      </c>
      <c r="X2512" s="202"/>
      <c r="Y2512" s="202"/>
      <c r="Z2512" s="202"/>
      <c r="AA2512" s="152"/>
      <c r="AB2512" s="152"/>
    </row>
    <row r="2513" spans="1:28" hidden="1" outlineLevel="1">
      <c r="A2513" s="199">
        <f t="shared" si="3670"/>
        <v>15</v>
      </c>
      <c r="B2513" s="190" t="str">
        <f t="shared" ca="1" si="3671"/>
        <v>Depreciated Net Capex 2030-31</v>
      </c>
      <c r="C2513" s="1426"/>
      <c r="D2513" s="1426"/>
      <c r="E2513" s="1426"/>
      <c r="F2513" s="1426"/>
      <c r="G2513" s="1426"/>
      <c r="H2513" s="1426"/>
      <c r="I2513" s="1426"/>
      <c r="J2513" s="1426"/>
      <c r="K2513" s="1426"/>
      <c r="L2513" s="1426"/>
      <c r="M2513" s="1426"/>
      <c r="N2513" s="1426"/>
      <c r="O2513" s="1426"/>
      <c r="P2513" s="1426"/>
      <c r="Q2513" s="1427"/>
      <c r="R2513" s="1428">
        <f>R2493</f>
        <v>0</v>
      </c>
      <c r="S2513" s="1423">
        <f ca="1">IF(R2537="n/a",R2513,IFERROR(IF((OFFSET($C2513,0,$A2513))&lt;0,
MIN(0,R2513-(OFFSET($C2513,0,$A2513)/(OFFSET($C2508,-$A2512,$A2513)))),
MAX(0,R2513-(OFFSET($C2513,0,$A2513)/(OFFSET($C2508,-$A2512,$A2513))))),0))</f>
        <v>0</v>
      </c>
      <c r="T2513" s="1423">
        <f t="shared" ca="1" si="3666"/>
        <v>0</v>
      </c>
      <c r="U2513" s="1423">
        <f t="shared" ca="1" si="3667"/>
        <v>0</v>
      </c>
      <c r="V2513" s="1423">
        <f t="shared" ca="1" si="3668"/>
        <v>0</v>
      </c>
      <c r="W2513" s="1423">
        <f t="shared" ca="1" si="3669"/>
        <v>0</v>
      </c>
      <c r="X2513" s="202"/>
      <c r="Y2513" s="202"/>
      <c r="Z2513" s="202"/>
      <c r="AA2513" s="152"/>
      <c r="AB2513" s="152"/>
    </row>
    <row r="2514" spans="1:28" hidden="1" outlineLevel="1">
      <c r="A2514" s="199">
        <f t="shared" si="3670"/>
        <v>16</v>
      </c>
      <c r="B2514" s="190" t="str">
        <f t="shared" ca="1" si="3671"/>
        <v>Depreciated Net Capex 2031-32</v>
      </c>
      <c r="C2514" s="1426"/>
      <c r="D2514" s="1426"/>
      <c r="E2514" s="1426"/>
      <c r="F2514" s="1426"/>
      <c r="G2514" s="1426"/>
      <c r="H2514" s="1426"/>
      <c r="I2514" s="1426"/>
      <c r="J2514" s="1426"/>
      <c r="K2514" s="1426"/>
      <c r="L2514" s="1426"/>
      <c r="M2514" s="1426"/>
      <c r="N2514" s="1426"/>
      <c r="O2514" s="1426"/>
      <c r="P2514" s="1426"/>
      <c r="Q2514" s="1426"/>
      <c r="R2514" s="1427"/>
      <c r="S2514" s="1428">
        <f>S2493</f>
        <v>0</v>
      </c>
      <c r="T2514" s="1423">
        <f ca="1">IF(S2538="n/a",S2514,IFERROR(IF((OFFSET($C2514,0,$A2514))&lt;0,
MIN(0,S2514-(OFFSET($C2514,0,$A2514)/(OFFSET($C2509,-$A2513,$A2514)))),
MAX(0,S2514-(OFFSET($C2514,0,$A2514)/(OFFSET($C2509,-$A2513,$A2514))))),0))</f>
        <v>0</v>
      </c>
      <c r="U2514" s="1423">
        <f t="shared" ca="1" si="3667"/>
        <v>0</v>
      </c>
      <c r="V2514" s="1423">
        <f t="shared" ca="1" si="3668"/>
        <v>0</v>
      </c>
      <c r="W2514" s="1423">
        <f t="shared" ca="1" si="3669"/>
        <v>0</v>
      </c>
      <c r="X2514" s="202"/>
      <c r="Y2514" s="202"/>
      <c r="Z2514" s="202"/>
      <c r="AA2514" s="152"/>
      <c r="AB2514" s="152"/>
    </row>
    <row r="2515" spans="1:28" hidden="1" outlineLevel="1">
      <c r="A2515" s="199">
        <f t="shared" si="3670"/>
        <v>17</v>
      </c>
      <c r="B2515" s="190" t="str">
        <f t="shared" ca="1" si="3671"/>
        <v>Depreciated Net Capex 2032-33</v>
      </c>
      <c r="C2515" s="1426"/>
      <c r="D2515" s="1426"/>
      <c r="E2515" s="1426"/>
      <c r="F2515" s="1426"/>
      <c r="G2515" s="1426"/>
      <c r="H2515" s="1426"/>
      <c r="I2515" s="1426"/>
      <c r="J2515" s="1426"/>
      <c r="K2515" s="1426"/>
      <c r="L2515" s="1426"/>
      <c r="M2515" s="1426"/>
      <c r="N2515" s="1426"/>
      <c r="O2515" s="1426"/>
      <c r="P2515" s="1426"/>
      <c r="Q2515" s="1426"/>
      <c r="R2515" s="1426"/>
      <c r="S2515" s="1427"/>
      <c r="T2515" s="1428">
        <f>T2493</f>
        <v>0</v>
      </c>
      <c r="U2515" s="1423">
        <f ca="1">IF(T2539="n/a",T2515,IFERROR(IF((OFFSET($C2515,0,$A2515))&lt;0,
MIN(0,T2515-(OFFSET($C2515,0,$A2515)/(OFFSET($C2510,-$A2514,$A2515)))),
MAX(0,T2515-(OFFSET($C2515,0,$A2515)/(OFFSET($C2510,-$A2514,$A2515))))),0))</f>
        <v>0</v>
      </c>
      <c r="V2515" s="1423">
        <f t="shared" ca="1" si="3668"/>
        <v>0</v>
      </c>
      <c r="W2515" s="1423">
        <f t="shared" ca="1" si="3669"/>
        <v>0</v>
      </c>
      <c r="X2515" s="202"/>
      <c r="Y2515" s="202"/>
      <c r="Z2515" s="202"/>
      <c r="AA2515" s="152"/>
      <c r="AB2515" s="152"/>
    </row>
    <row r="2516" spans="1:28" hidden="1" outlineLevel="1">
      <c r="A2516" s="199">
        <f t="shared" si="3670"/>
        <v>18</v>
      </c>
      <c r="B2516" s="190" t="str">
        <f t="shared" ca="1" si="3671"/>
        <v>Depreciated Net Capex 2033-34</v>
      </c>
      <c r="C2516" s="1426"/>
      <c r="D2516" s="1426"/>
      <c r="E2516" s="1426"/>
      <c r="F2516" s="1426"/>
      <c r="G2516" s="1426"/>
      <c r="H2516" s="1426"/>
      <c r="I2516" s="1426"/>
      <c r="J2516" s="1426"/>
      <c r="K2516" s="1426"/>
      <c r="L2516" s="1426"/>
      <c r="M2516" s="1426"/>
      <c r="N2516" s="1426"/>
      <c r="O2516" s="1426"/>
      <c r="P2516" s="1426"/>
      <c r="Q2516" s="1426"/>
      <c r="R2516" s="1426"/>
      <c r="S2516" s="1426"/>
      <c r="T2516" s="1427"/>
      <c r="U2516" s="1428">
        <f>U2493</f>
        <v>0</v>
      </c>
      <c r="V2516" s="1423">
        <f ca="1">IF(U2540="n/a",U2516,IFERROR(IF((OFFSET($C2516,0,$A2516))&lt;0,
MIN(0,U2516-(OFFSET($C2516,0,$A2516)/(OFFSET($C2511,-$A2515,$A2516)))),
MAX(0,U2516-(OFFSET($C2516,0,$A2516)/(OFFSET($C2511,-$A2515,$A2516))))),0))</f>
        <v>0</v>
      </c>
      <c r="W2516" s="1423">
        <f t="shared" ca="1" si="3669"/>
        <v>0</v>
      </c>
      <c r="X2516" s="202"/>
      <c r="Y2516" s="202"/>
      <c r="Z2516" s="202"/>
      <c r="AA2516" s="152"/>
      <c r="AB2516" s="152"/>
    </row>
    <row r="2517" spans="1:28" hidden="1" outlineLevel="1">
      <c r="A2517" s="199">
        <f t="shared" si="3670"/>
        <v>19</v>
      </c>
      <c r="B2517" s="190" t="str">
        <f t="shared" ca="1" si="3671"/>
        <v>Depreciated Net Capex 2034-35</v>
      </c>
      <c r="C2517" s="1426"/>
      <c r="D2517" s="1426"/>
      <c r="E2517" s="1426"/>
      <c r="F2517" s="1426"/>
      <c r="G2517" s="1426"/>
      <c r="H2517" s="1426"/>
      <c r="I2517" s="1426"/>
      <c r="J2517" s="1426"/>
      <c r="K2517" s="1426"/>
      <c r="L2517" s="1426"/>
      <c r="M2517" s="1426"/>
      <c r="N2517" s="1426"/>
      <c r="O2517" s="1426"/>
      <c r="P2517" s="1426"/>
      <c r="Q2517" s="1426"/>
      <c r="R2517" s="1426"/>
      <c r="S2517" s="1426"/>
      <c r="T2517" s="1426"/>
      <c r="U2517" s="1427"/>
      <c r="V2517" s="1428">
        <f>V2493</f>
        <v>0</v>
      </c>
      <c r="W2517" s="1423">
        <f ca="1">IF(V2541="n/a",V2517,IFERROR(IF((OFFSET($C2517,0,$A2517))&lt;0,
MIN(0,V2517-(OFFSET($C2517,0,$A2517)/(OFFSET($C2512,-$A2516,$A2517)))),
MAX(0,V2517-(OFFSET($C2517,0,$A2517)/(OFFSET($C2512,-$A2516,$A2517))))),0))</f>
        <v>0</v>
      </c>
      <c r="X2517" s="202"/>
      <c r="Y2517" s="202"/>
      <c r="Z2517" s="202"/>
      <c r="AA2517" s="152"/>
      <c r="AB2517" s="152"/>
    </row>
    <row r="2518" spans="1:28" hidden="1" outlineLevel="1">
      <c r="A2518" s="199">
        <f t="shared" si="3670"/>
        <v>20</v>
      </c>
      <c r="B2518" s="190" t="str">
        <f t="shared" ca="1" si="3671"/>
        <v>Depreciated Net Capex 2035-36</v>
      </c>
      <c r="C2518" s="1426"/>
      <c r="D2518" s="1426"/>
      <c r="E2518" s="1426"/>
      <c r="F2518" s="1426"/>
      <c r="G2518" s="1426"/>
      <c r="H2518" s="1426"/>
      <c r="I2518" s="1426"/>
      <c r="J2518" s="1426"/>
      <c r="K2518" s="1426"/>
      <c r="L2518" s="1426"/>
      <c r="M2518" s="1426"/>
      <c r="N2518" s="1426"/>
      <c r="O2518" s="1426"/>
      <c r="P2518" s="1426"/>
      <c r="Q2518" s="1426"/>
      <c r="R2518" s="1426"/>
      <c r="S2518" s="1426"/>
      <c r="T2518" s="1426"/>
      <c r="U2518" s="1426"/>
      <c r="V2518" s="1427"/>
      <c r="W2518" s="1423">
        <f>W2493</f>
        <v>0</v>
      </c>
      <c r="X2518" s="152"/>
      <c r="Y2518" s="152"/>
      <c r="Z2518" s="152"/>
      <c r="AA2518" s="152"/>
      <c r="AB2518" s="152"/>
    </row>
    <row r="2519" spans="1:28" hidden="1" outlineLevel="1">
      <c r="A2519" s="152"/>
      <c r="B2519" s="200"/>
      <c r="C2519" s="1423"/>
      <c r="D2519" s="1423"/>
      <c r="E2519" s="1423"/>
      <c r="F2519" s="1423"/>
      <c r="G2519" s="1423"/>
      <c r="H2519" s="1423"/>
      <c r="I2519" s="1423"/>
      <c r="J2519" s="1423"/>
      <c r="K2519" s="1423"/>
      <c r="L2519" s="1423"/>
      <c r="M2519" s="1423"/>
      <c r="N2519" s="1423"/>
      <c r="O2519" s="1423"/>
      <c r="P2519" s="1423"/>
      <c r="Q2519" s="1423"/>
      <c r="R2519" s="1423"/>
      <c r="S2519" s="1423"/>
      <c r="T2519" s="1423"/>
      <c r="U2519" s="1423"/>
      <c r="V2519" s="1423"/>
      <c r="W2519" s="1423"/>
      <c r="X2519" s="152"/>
      <c r="Y2519" s="152"/>
      <c r="Z2519" s="152"/>
      <c r="AA2519" s="152"/>
      <c r="AB2519" s="152"/>
    </row>
    <row r="2520" spans="1:28" hidden="1" outlineLevel="1">
      <c r="A2520" s="152"/>
      <c r="B2520" s="200"/>
      <c r="C2520" s="1423"/>
      <c r="D2520" s="1423"/>
      <c r="E2520" s="1423"/>
      <c r="F2520" s="1423"/>
      <c r="G2520" s="1423"/>
      <c r="H2520" s="1423"/>
      <c r="I2520" s="1423"/>
      <c r="J2520" s="1423"/>
      <c r="K2520" s="1423"/>
      <c r="L2520" s="1423"/>
      <c r="M2520" s="1423"/>
      <c r="N2520" s="1423"/>
      <c r="O2520" s="1423"/>
      <c r="P2520" s="1423"/>
      <c r="Q2520" s="1423"/>
      <c r="R2520" s="1423"/>
      <c r="S2520" s="1423"/>
      <c r="T2520" s="1423"/>
      <c r="U2520" s="1423"/>
      <c r="V2520" s="1423"/>
      <c r="W2520" s="1423"/>
      <c r="X2520" s="152"/>
      <c r="Y2520" s="152"/>
      <c r="Z2520" s="152"/>
      <c r="AA2520" s="152"/>
      <c r="AB2520" s="152"/>
    </row>
    <row r="2521" spans="1:28" hidden="1" outlineLevel="1">
      <c r="A2521" s="152"/>
      <c r="B2521" s="190" t="s">
        <v>194</v>
      </c>
      <c r="C2521" s="1423"/>
      <c r="D2521" s="1423">
        <f t="shared" ref="D2521" ca="1" si="3672">IF(AND(C2521&lt;1,D2495=0),0,
IF(D2495=0,C2521-1,
IF(C2521&lt;1,D2496,
(((C2521-1)*(C2497-(C2497/(C2521))))+(D2495*D2496))/(D2497))))</f>
        <v>0</v>
      </c>
      <c r="E2521" s="1423">
        <f t="shared" ref="E2521" ca="1" si="3673">IF(AND(D2521&lt;1,E2495=0),0,
IF(E2495=0,D2521-1,
IF(D2521&lt;1,E2496,
(((D2521-1)*(D2497-(D2497/(D2521))))+(E2495*E2496))/(E2497))))</f>
        <v>0</v>
      </c>
      <c r="F2521" s="1423">
        <f t="shared" ref="F2521" ca="1" si="3674">IF(AND(E2521&lt;1,F2495=0),0,
IF(F2495=0,E2521-1,
IF(E2521&lt;1,F2496,
(((E2521-1)*(E2497-(E2497/(E2521))))+(F2495*F2496))/(F2497))))</f>
        <v>0</v>
      </c>
      <c r="G2521" s="1423">
        <f t="shared" ref="G2521" ca="1" si="3675">IF(AND(F2521&lt;1,G2495=0),0,
IF(G2495=0,F2521-1,
IF(F2521&lt;1,G2496,
(((F2521-1)*(F2497-(F2497/(F2521))))+(G2495*G2496))/(G2497))))</f>
        <v>0</v>
      </c>
      <c r="H2521" s="1423">
        <f ca="1">IF(AND(G2521&lt;1,H2495=0),0,
IF(H2495=0,G2521-1,
IF(G2521&lt;1,H2496,
(((G2521-1)*(G2497-(G2497/(G2521))))+(H2495*H2496))/(H2497))))</f>
        <v>0</v>
      </c>
      <c r="I2521" s="1423">
        <f t="shared" ref="I2521" ca="1" si="3676">IF(AND(H2521&lt;1,I2495=0),0,
IF(I2495=0,H2521-1,
IF(H2521&lt;1,I2496,
(((H2521-1)*(H2497-(H2497/(H2521))))+(I2495*I2496))/(I2497))))</f>
        <v>0</v>
      </c>
      <c r="J2521" s="1423">
        <f t="shared" ref="J2521" ca="1" si="3677">IF(AND(I2521&lt;1,J2495=0),0,
IF(J2495=0,I2521-1,
IF(I2521&lt;1,J2496,
(((I2521-1)*(I2497-(I2497/(I2521))))+(J2495*J2496))/(J2497))))</f>
        <v>0</v>
      </c>
      <c r="K2521" s="1423">
        <f t="shared" ref="K2521" ca="1" si="3678">IF(AND(J2521&lt;1,K2495=0),0,
IF(K2495=0,J2521-1,
IF(J2521&lt;1,K2496,
(((J2521-1)*(J2497-(J2497/(J2521))))+(K2495*K2496))/(K2497))))</f>
        <v>0</v>
      </c>
      <c r="L2521" s="1423">
        <f t="shared" ref="L2521" ca="1" si="3679">IF(AND(K2521&lt;1,L2495=0),0,
IF(L2495=0,K2521-1,
IF(K2521&lt;1,L2496,
(((K2521-1)*(K2497-(K2497/(K2521))))+(L2495*L2496))/(L2497))))</f>
        <v>0</v>
      </c>
      <c r="M2521" s="1423">
        <f ca="1">IF(AND(L2521&lt;1,M2495=0),0,
IF(M2495=0,L2521-1,
IF(L2521&lt;1,M2496,
(((L2521-1)*(L2497-(L2497/(L2521))))+(M2495*M2496))/(M2497))))</f>
        <v>0</v>
      </c>
      <c r="N2521" s="1423">
        <f t="shared" ref="N2521" ca="1" si="3680">IF(AND(M2521&lt;1,N2495=0),0,
IF(N2495=0,M2521-1,
IF(M2521&lt;1,N2496,
(((M2521-1)*(M2497-(M2497/(M2521))))+(N2495*N2496))/(N2497))))</f>
        <v>0</v>
      </c>
      <c r="O2521" s="1423">
        <f t="shared" ref="O2521" ca="1" si="3681">IF(AND(N2521&lt;1,O2495=0),0,
IF(O2495=0,N2521-1,
IF(N2521&lt;1,O2496,
(((N2521-1)*(N2497-(N2497/(N2521))))+(O2495*O2496))/(O2497))))</f>
        <v>0</v>
      </c>
      <c r="P2521" s="1423">
        <f t="shared" ref="P2521" ca="1" si="3682">IF(AND(O2521&lt;1,P2495=0),0,
IF(P2495=0,O2521-1,
IF(O2521&lt;1,P2496,
(((O2521-1)*(O2497-(O2497/(O2521))))+(P2495*P2496))/(P2497))))</f>
        <v>0</v>
      </c>
      <c r="Q2521" s="1423">
        <f t="shared" ref="Q2521" ca="1" si="3683">IF(AND(P2521&lt;1,Q2495=0),0,
IF(Q2495=0,P2521-1,
IF(P2521&lt;1,Q2496,
(((P2521-1)*(P2497-(P2497/(P2521))))+(Q2495*Q2496))/(Q2497))))</f>
        <v>0</v>
      </c>
      <c r="R2521" s="1423">
        <f t="shared" ref="R2521" ca="1" si="3684">IF(AND(Q2521&lt;1,R2495=0),0,
IF(R2495=0,Q2521-1,
IF(Q2521&lt;1,R2496,
(((Q2521-1)*(Q2497-(Q2497/(Q2521))))+(R2495*R2496))/(R2497))))</f>
        <v>0</v>
      </c>
      <c r="S2521" s="1423">
        <f t="shared" ref="S2521" ca="1" si="3685">IF(AND(R2521&lt;1,S2495=0),0,
IF(S2495=0,R2521-1,
IF(R2521&lt;1,S2496,
(((R2521-1)*(R2497-(R2497/(R2521))))+(S2495*S2496))/(S2497))))</f>
        <v>0</v>
      </c>
      <c r="T2521" s="1423">
        <f t="shared" ref="T2521" ca="1" si="3686">IF(AND(S2521&lt;1,T2495=0),0,
IF(T2495=0,S2521-1,
IF(S2521&lt;1,T2496,
(((S2521-1)*(S2497-(S2497/(S2521))))+(T2495*T2496))/(T2497))))</f>
        <v>0</v>
      </c>
      <c r="U2521" s="1423">
        <f t="shared" ref="U2521" ca="1" si="3687">IF(AND(T2521&lt;1,U2495=0),0,
IF(U2495=0,T2521-1,
IF(T2521&lt;1,U2496,
(((T2521-1)*(T2497-(T2497/(T2521))))+(U2495*U2496))/(U2497))))</f>
        <v>0</v>
      </c>
      <c r="V2521" s="1423">
        <f t="shared" ref="V2521" ca="1" si="3688">IF(AND(U2521&lt;1,V2495=0),0,
IF(V2495=0,U2521-1,
IF(U2521&lt;1,V2496,
(((U2521-1)*(U2497-(U2497/(U2521))))+(V2495*V2496))/(V2497))))</f>
        <v>0</v>
      </c>
      <c r="W2521" s="1423">
        <f t="shared" ref="W2521" ca="1" si="3689">IF(AND(V2521&lt;1,W2495=0),0,
IF(W2495=0,V2521-1,
IF(V2521&lt;1,W2496,
(((V2521-1)*(V2497-(V2497/(V2521))))+(W2495*W2496))/(W2497))))</f>
        <v>0</v>
      </c>
      <c r="X2521" s="152"/>
      <c r="Y2521" s="152"/>
      <c r="Z2521" s="152"/>
      <c r="AA2521" s="152"/>
      <c r="AB2521" s="152"/>
    </row>
    <row r="2522" spans="1:28" hidden="1" outlineLevel="1">
      <c r="A2522" s="152"/>
      <c r="B2522" s="190" t="s">
        <v>193</v>
      </c>
      <c r="C2522" s="1423">
        <f ca="1">C2494</f>
        <v>0</v>
      </c>
      <c r="D2522" s="1423">
        <f t="shared" ref="D2522" ca="1" si="3690">IF(C2522="n/a","n/a",MAX(0,C2522-1))</f>
        <v>0</v>
      </c>
      <c r="E2522" s="1423">
        <f t="shared" ref="E2522:E2523" ca="1" si="3691">IF(D2522="n/a","n/a",MAX(0,D2522-1))</f>
        <v>0</v>
      </c>
      <c r="F2522" s="1423">
        <f t="shared" ref="F2522:F2524" ca="1" si="3692">IF(E2522="n/a","n/a",MAX(0,E2522-1))</f>
        <v>0</v>
      </c>
      <c r="G2522" s="1423">
        <f t="shared" ref="G2522:G2525" ca="1" si="3693">IF(F2522="n/a","n/a",MAX(0,F2522-1))</f>
        <v>0</v>
      </c>
      <c r="H2522" s="1423">
        <f t="shared" ref="H2522:H2526" ca="1" si="3694">IF(G2522="n/a","n/a",MAX(0,G2522-1))</f>
        <v>0</v>
      </c>
      <c r="I2522" s="1423">
        <f t="shared" ref="I2522:I2527" ca="1" si="3695">IF(H2522="n/a","n/a",MAX(0,H2522-1))</f>
        <v>0</v>
      </c>
      <c r="J2522" s="1423">
        <f t="shared" ref="J2522:J2528" ca="1" si="3696">IF(I2522="n/a","n/a",MAX(0,I2522-1))</f>
        <v>0</v>
      </c>
      <c r="K2522" s="1423">
        <f t="shared" ref="K2522:K2529" ca="1" si="3697">IF(J2522="n/a","n/a",MAX(0,J2522-1))</f>
        <v>0</v>
      </c>
      <c r="L2522" s="1423">
        <f t="shared" ref="L2522:L2530" ca="1" si="3698">IF(K2522="n/a","n/a",MAX(0,K2522-1))</f>
        <v>0</v>
      </c>
      <c r="M2522" s="1423">
        <f t="shared" ref="M2522:M2531" ca="1" si="3699">IF(L2522="n/a","n/a",MAX(0,L2522-1))</f>
        <v>0</v>
      </c>
      <c r="N2522" s="1423">
        <f t="shared" ref="N2522:N2532" ca="1" si="3700">IF(M2522="n/a","n/a",MAX(0,M2522-1))</f>
        <v>0</v>
      </c>
      <c r="O2522" s="1423">
        <f t="shared" ref="O2522:O2533" ca="1" si="3701">IF(N2522="n/a","n/a",MAX(0,N2522-1))</f>
        <v>0</v>
      </c>
      <c r="P2522" s="1423">
        <f t="shared" ref="P2522:P2534" ca="1" si="3702">IF(O2522="n/a","n/a",MAX(0,O2522-1))</f>
        <v>0</v>
      </c>
      <c r="Q2522" s="1423">
        <f t="shared" ref="Q2522:Q2535" ca="1" si="3703">IF(P2522="n/a","n/a",MAX(0,P2522-1))</f>
        <v>0</v>
      </c>
      <c r="R2522" s="1423">
        <f t="shared" ref="R2522:R2536" ca="1" si="3704">IF(Q2522="n/a","n/a",MAX(0,Q2522-1))</f>
        <v>0</v>
      </c>
      <c r="S2522" s="1423">
        <f t="shared" ref="S2522:S2537" ca="1" si="3705">IF(R2522="n/a","n/a",MAX(0,R2522-1))</f>
        <v>0</v>
      </c>
      <c r="T2522" s="1423">
        <f t="shared" ref="T2522:T2538" ca="1" si="3706">IF(S2522="n/a","n/a",MAX(0,S2522-1))</f>
        <v>0</v>
      </c>
      <c r="U2522" s="1423">
        <f t="shared" ref="U2522:U2539" ca="1" si="3707">IF(T2522="n/a","n/a",MAX(0,T2522-1))</f>
        <v>0</v>
      </c>
      <c r="V2522" s="1423">
        <f t="shared" ref="V2522:V2540" ca="1" si="3708">IF(U2522="n/a","n/a",MAX(0,U2522-1))</f>
        <v>0</v>
      </c>
      <c r="W2522" s="1423">
        <f t="shared" ref="W2522:W2540" ca="1" si="3709">IF(V2522="n/a","n/a",MAX(0,V2522-1))</f>
        <v>0</v>
      </c>
      <c r="X2522" s="152"/>
      <c r="Y2522" s="152"/>
      <c r="Z2522" s="152"/>
      <c r="AA2522" s="152"/>
      <c r="AB2522" s="152"/>
    </row>
    <row r="2523" spans="1:28" hidden="1" outlineLevel="1">
      <c r="A2523" s="152"/>
      <c r="B2523" s="190" t="str">
        <f t="shared" ref="B2523:B2542" ca="1" si="3710">"RL Capex "&amp;OFFSET($C$6,0,A2499)</f>
        <v>RL Capex 2016-17</v>
      </c>
      <c r="C2523" s="1424"/>
      <c r="D2523" s="1428">
        <f>D2494</f>
        <v>0</v>
      </c>
      <c r="E2523" s="1423">
        <f t="shared" si="3691"/>
        <v>0</v>
      </c>
      <c r="F2523" s="1423">
        <f t="shared" si="3692"/>
        <v>0</v>
      </c>
      <c r="G2523" s="1423">
        <f t="shared" si="3693"/>
        <v>0</v>
      </c>
      <c r="H2523" s="1423">
        <f t="shared" si="3694"/>
        <v>0</v>
      </c>
      <c r="I2523" s="1423">
        <f t="shared" si="3695"/>
        <v>0</v>
      </c>
      <c r="J2523" s="1423">
        <f t="shared" si="3696"/>
        <v>0</v>
      </c>
      <c r="K2523" s="1423">
        <f t="shared" si="3697"/>
        <v>0</v>
      </c>
      <c r="L2523" s="1423">
        <f t="shared" si="3698"/>
        <v>0</v>
      </c>
      <c r="M2523" s="1423">
        <f t="shared" si="3699"/>
        <v>0</v>
      </c>
      <c r="N2523" s="1423">
        <f t="shared" si="3700"/>
        <v>0</v>
      </c>
      <c r="O2523" s="1423">
        <f t="shared" si="3701"/>
        <v>0</v>
      </c>
      <c r="P2523" s="1423">
        <f t="shared" si="3702"/>
        <v>0</v>
      </c>
      <c r="Q2523" s="1423">
        <f t="shared" si="3703"/>
        <v>0</v>
      </c>
      <c r="R2523" s="1423">
        <f t="shared" si="3704"/>
        <v>0</v>
      </c>
      <c r="S2523" s="1423">
        <f t="shared" si="3705"/>
        <v>0</v>
      </c>
      <c r="T2523" s="1423">
        <f t="shared" si="3706"/>
        <v>0</v>
      </c>
      <c r="U2523" s="1423">
        <f t="shared" si="3707"/>
        <v>0</v>
      </c>
      <c r="V2523" s="1423">
        <f t="shared" si="3708"/>
        <v>0</v>
      </c>
      <c r="W2523" s="1423">
        <f t="shared" si="3709"/>
        <v>0</v>
      </c>
      <c r="X2523" s="152"/>
      <c r="Y2523" s="152"/>
      <c r="Z2523" s="152"/>
      <c r="AA2523" s="152"/>
      <c r="AB2523" s="152"/>
    </row>
    <row r="2524" spans="1:28" hidden="1" outlineLevel="1">
      <c r="A2524" s="152"/>
      <c r="B2524" s="190" t="str">
        <f t="shared" ca="1" si="3710"/>
        <v>RL Capex 2017-18</v>
      </c>
      <c r="C2524" s="1429"/>
      <c r="D2524" s="1424"/>
      <c r="E2524" s="1428">
        <f>E2494</f>
        <v>0</v>
      </c>
      <c r="F2524" s="1423">
        <f t="shared" si="3692"/>
        <v>0</v>
      </c>
      <c r="G2524" s="1423">
        <f t="shared" si="3693"/>
        <v>0</v>
      </c>
      <c r="H2524" s="1423">
        <f t="shared" si="3694"/>
        <v>0</v>
      </c>
      <c r="I2524" s="1423">
        <f t="shared" si="3695"/>
        <v>0</v>
      </c>
      <c r="J2524" s="1423">
        <f t="shared" si="3696"/>
        <v>0</v>
      </c>
      <c r="K2524" s="1423">
        <f t="shared" si="3697"/>
        <v>0</v>
      </c>
      <c r="L2524" s="1423">
        <f t="shared" si="3698"/>
        <v>0</v>
      </c>
      <c r="M2524" s="1423">
        <f t="shared" si="3699"/>
        <v>0</v>
      </c>
      <c r="N2524" s="1423">
        <f t="shared" si="3700"/>
        <v>0</v>
      </c>
      <c r="O2524" s="1423">
        <f t="shared" si="3701"/>
        <v>0</v>
      </c>
      <c r="P2524" s="1423">
        <f t="shared" si="3702"/>
        <v>0</v>
      </c>
      <c r="Q2524" s="1423">
        <f t="shared" si="3703"/>
        <v>0</v>
      </c>
      <c r="R2524" s="1423">
        <f t="shared" si="3704"/>
        <v>0</v>
      </c>
      <c r="S2524" s="1423">
        <f t="shared" si="3705"/>
        <v>0</v>
      </c>
      <c r="T2524" s="1423">
        <f t="shared" si="3706"/>
        <v>0</v>
      </c>
      <c r="U2524" s="1423">
        <f t="shared" si="3707"/>
        <v>0</v>
      </c>
      <c r="V2524" s="1423">
        <f t="shared" si="3708"/>
        <v>0</v>
      </c>
      <c r="W2524" s="1423">
        <f t="shared" si="3709"/>
        <v>0</v>
      </c>
      <c r="X2524" s="152"/>
      <c r="Y2524" s="152"/>
      <c r="Z2524" s="152"/>
      <c r="AA2524" s="152"/>
      <c r="AB2524" s="152"/>
    </row>
    <row r="2525" spans="1:28" hidden="1" outlineLevel="1">
      <c r="A2525" s="152"/>
      <c r="B2525" s="190" t="str">
        <f t="shared" ca="1" si="3710"/>
        <v>RL Capex 2018-19</v>
      </c>
      <c r="C2525" s="1429"/>
      <c r="D2525" s="1429"/>
      <c r="E2525" s="1424"/>
      <c r="F2525" s="1428">
        <f>F2494</f>
        <v>0</v>
      </c>
      <c r="G2525" s="1423">
        <f t="shared" si="3693"/>
        <v>0</v>
      </c>
      <c r="H2525" s="1423">
        <f t="shared" si="3694"/>
        <v>0</v>
      </c>
      <c r="I2525" s="1423">
        <f t="shared" si="3695"/>
        <v>0</v>
      </c>
      <c r="J2525" s="1423">
        <f t="shared" si="3696"/>
        <v>0</v>
      </c>
      <c r="K2525" s="1423">
        <f t="shared" si="3697"/>
        <v>0</v>
      </c>
      <c r="L2525" s="1423">
        <f t="shared" si="3698"/>
        <v>0</v>
      </c>
      <c r="M2525" s="1423">
        <f t="shared" si="3699"/>
        <v>0</v>
      </c>
      <c r="N2525" s="1423">
        <f t="shared" si="3700"/>
        <v>0</v>
      </c>
      <c r="O2525" s="1423">
        <f t="shared" si="3701"/>
        <v>0</v>
      </c>
      <c r="P2525" s="1423">
        <f t="shared" si="3702"/>
        <v>0</v>
      </c>
      <c r="Q2525" s="1423">
        <f t="shared" si="3703"/>
        <v>0</v>
      </c>
      <c r="R2525" s="1423">
        <f t="shared" si="3704"/>
        <v>0</v>
      </c>
      <c r="S2525" s="1423">
        <f t="shared" si="3705"/>
        <v>0</v>
      </c>
      <c r="T2525" s="1423">
        <f t="shared" si="3706"/>
        <v>0</v>
      </c>
      <c r="U2525" s="1423">
        <f t="shared" si="3707"/>
        <v>0</v>
      </c>
      <c r="V2525" s="1423">
        <f t="shared" si="3708"/>
        <v>0</v>
      </c>
      <c r="W2525" s="1423">
        <f t="shared" si="3709"/>
        <v>0</v>
      </c>
      <c r="X2525" s="152"/>
      <c r="Y2525" s="152"/>
      <c r="Z2525" s="152"/>
      <c r="AA2525" s="152"/>
      <c r="AB2525" s="152"/>
    </row>
    <row r="2526" spans="1:28" hidden="1" outlineLevel="1">
      <c r="A2526" s="152"/>
      <c r="B2526" s="190" t="str">
        <f t="shared" ca="1" si="3710"/>
        <v>RL Capex 2019-20</v>
      </c>
      <c r="C2526" s="1429"/>
      <c r="D2526" s="1429"/>
      <c r="E2526" s="1429"/>
      <c r="F2526" s="1424"/>
      <c r="G2526" s="1428">
        <f>G2494</f>
        <v>0</v>
      </c>
      <c r="H2526" s="1423">
        <f t="shared" si="3694"/>
        <v>0</v>
      </c>
      <c r="I2526" s="1423">
        <f t="shared" si="3695"/>
        <v>0</v>
      </c>
      <c r="J2526" s="1423">
        <f t="shared" si="3696"/>
        <v>0</v>
      </c>
      <c r="K2526" s="1423">
        <f t="shared" si="3697"/>
        <v>0</v>
      </c>
      <c r="L2526" s="1423">
        <f t="shared" si="3698"/>
        <v>0</v>
      </c>
      <c r="M2526" s="1423">
        <f t="shared" si="3699"/>
        <v>0</v>
      </c>
      <c r="N2526" s="1423">
        <f t="shared" si="3700"/>
        <v>0</v>
      </c>
      <c r="O2526" s="1423">
        <f t="shared" si="3701"/>
        <v>0</v>
      </c>
      <c r="P2526" s="1423">
        <f t="shared" si="3702"/>
        <v>0</v>
      </c>
      <c r="Q2526" s="1423">
        <f t="shared" si="3703"/>
        <v>0</v>
      </c>
      <c r="R2526" s="1423">
        <f t="shared" si="3704"/>
        <v>0</v>
      </c>
      <c r="S2526" s="1423">
        <f t="shared" si="3705"/>
        <v>0</v>
      </c>
      <c r="T2526" s="1423">
        <f t="shared" si="3706"/>
        <v>0</v>
      </c>
      <c r="U2526" s="1423">
        <f t="shared" si="3707"/>
        <v>0</v>
      </c>
      <c r="V2526" s="1423">
        <f t="shared" si="3708"/>
        <v>0</v>
      </c>
      <c r="W2526" s="1423">
        <f t="shared" si="3709"/>
        <v>0</v>
      </c>
      <c r="X2526" s="152"/>
      <c r="Y2526" s="152"/>
      <c r="Z2526" s="152"/>
      <c r="AA2526" s="152"/>
      <c r="AB2526" s="152"/>
    </row>
    <row r="2527" spans="1:28" hidden="1" outlineLevel="1">
      <c r="A2527" s="152"/>
      <c r="B2527" s="190" t="str">
        <f t="shared" ca="1" si="3710"/>
        <v>RL Capex 2020-21</v>
      </c>
      <c r="C2527" s="1429"/>
      <c r="D2527" s="1429"/>
      <c r="E2527" s="1429"/>
      <c r="F2527" s="1429"/>
      <c r="G2527" s="1424"/>
      <c r="H2527" s="1428">
        <f>H2494</f>
        <v>0</v>
      </c>
      <c r="I2527" s="1423">
        <f t="shared" si="3695"/>
        <v>0</v>
      </c>
      <c r="J2527" s="1423">
        <f t="shared" si="3696"/>
        <v>0</v>
      </c>
      <c r="K2527" s="1423">
        <f t="shared" si="3697"/>
        <v>0</v>
      </c>
      <c r="L2527" s="1423">
        <f t="shared" si="3698"/>
        <v>0</v>
      </c>
      <c r="M2527" s="1423">
        <f t="shared" si="3699"/>
        <v>0</v>
      </c>
      <c r="N2527" s="1423">
        <f t="shared" si="3700"/>
        <v>0</v>
      </c>
      <c r="O2527" s="1423">
        <f t="shared" si="3701"/>
        <v>0</v>
      </c>
      <c r="P2527" s="1423">
        <f t="shared" si="3702"/>
        <v>0</v>
      </c>
      <c r="Q2527" s="1423">
        <f t="shared" si="3703"/>
        <v>0</v>
      </c>
      <c r="R2527" s="1423">
        <f t="shared" si="3704"/>
        <v>0</v>
      </c>
      <c r="S2527" s="1423">
        <f t="shared" si="3705"/>
        <v>0</v>
      </c>
      <c r="T2527" s="1423">
        <f t="shared" si="3706"/>
        <v>0</v>
      </c>
      <c r="U2527" s="1423">
        <f t="shared" si="3707"/>
        <v>0</v>
      </c>
      <c r="V2527" s="1423">
        <f t="shared" si="3708"/>
        <v>0</v>
      </c>
      <c r="W2527" s="1423">
        <f t="shared" si="3709"/>
        <v>0</v>
      </c>
      <c r="X2527" s="152"/>
      <c r="Y2527" s="152"/>
      <c r="Z2527" s="152"/>
      <c r="AA2527" s="152"/>
      <c r="AB2527" s="152"/>
    </row>
    <row r="2528" spans="1:28" hidden="1" outlineLevel="1">
      <c r="A2528" s="152"/>
      <c r="B2528" s="190" t="str">
        <f t="shared" ca="1" si="3710"/>
        <v>RL Capex 2021-22</v>
      </c>
      <c r="C2528" s="1429"/>
      <c r="D2528" s="1429"/>
      <c r="E2528" s="1429"/>
      <c r="F2528" s="1429"/>
      <c r="G2528" s="1429"/>
      <c r="H2528" s="1424"/>
      <c r="I2528" s="1428">
        <f>I2494</f>
        <v>0</v>
      </c>
      <c r="J2528" s="1423">
        <f t="shared" si="3696"/>
        <v>0</v>
      </c>
      <c r="K2528" s="1423">
        <f t="shared" si="3697"/>
        <v>0</v>
      </c>
      <c r="L2528" s="1423">
        <f t="shared" si="3698"/>
        <v>0</v>
      </c>
      <c r="M2528" s="1423">
        <f t="shared" si="3699"/>
        <v>0</v>
      </c>
      <c r="N2528" s="1423">
        <f t="shared" si="3700"/>
        <v>0</v>
      </c>
      <c r="O2528" s="1423">
        <f t="shared" si="3701"/>
        <v>0</v>
      </c>
      <c r="P2528" s="1423">
        <f t="shared" si="3702"/>
        <v>0</v>
      </c>
      <c r="Q2528" s="1423">
        <f t="shared" si="3703"/>
        <v>0</v>
      </c>
      <c r="R2528" s="1423">
        <f t="shared" si="3704"/>
        <v>0</v>
      </c>
      <c r="S2528" s="1423">
        <f t="shared" si="3705"/>
        <v>0</v>
      </c>
      <c r="T2528" s="1423">
        <f t="shared" si="3706"/>
        <v>0</v>
      </c>
      <c r="U2528" s="1423">
        <f t="shared" si="3707"/>
        <v>0</v>
      </c>
      <c r="V2528" s="1423">
        <f t="shared" si="3708"/>
        <v>0</v>
      </c>
      <c r="W2528" s="1423">
        <f t="shared" si="3709"/>
        <v>0</v>
      </c>
      <c r="X2528" s="152"/>
      <c r="Y2528" s="152"/>
      <c r="Z2528" s="152"/>
      <c r="AA2528" s="152"/>
      <c r="AB2528" s="152"/>
    </row>
    <row r="2529" spans="1:28" hidden="1" outlineLevel="1">
      <c r="A2529" s="152"/>
      <c r="B2529" s="190" t="str">
        <f t="shared" ca="1" si="3710"/>
        <v>RL Capex 2022-23</v>
      </c>
      <c r="C2529" s="1429"/>
      <c r="D2529" s="1429"/>
      <c r="E2529" s="1429"/>
      <c r="F2529" s="1429"/>
      <c r="G2529" s="1429"/>
      <c r="H2529" s="1429"/>
      <c r="I2529" s="1424"/>
      <c r="J2529" s="1428">
        <f>J2494</f>
        <v>0</v>
      </c>
      <c r="K2529" s="1423">
        <f t="shared" si="3697"/>
        <v>0</v>
      </c>
      <c r="L2529" s="1423">
        <f t="shared" si="3698"/>
        <v>0</v>
      </c>
      <c r="M2529" s="1423">
        <f t="shared" si="3699"/>
        <v>0</v>
      </c>
      <c r="N2529" s="1423">
        <f t="shared" si="3700"/>
        <v>0</v>
      </c>
      <c r="O2529" s="1423">
        <f t="shared" si="3701"/>
        <v>0</v>
      </c>
      <c r="P2529" s="1423">
        <f t="shared" si="3702"/>
        <v>0</v>
      </c>
      <c r="Q2529" s="1423">
        <f t="shared" si="3703"/>
        <v>0</v>
      </c>
      <c r="R2529" s="1423">
        <f t="shared" si="3704"/>
        <v>0</v>
      </c>
      <c r="S2529" s="1423">
        <f t="shared" si="3705"/>
        <v>0</v>
      </c>
      <c r="T2529" s="1423">
        <f t="shared" si="3706"/>
        <v>0</v>
      </c>
      <c r="U2529" s="1423">
        <f t="shared" si="3707"/>
        <v>0</v>
      </c>
      <c r="V2529" s="1423">
        <f t="shared" si="3708"/>
        <v>0</v>
      </c>
      <c r="W2529" s="1423">
        <f t="shared" si="3709"/>
        <v>0</v>
      </c>
      <c r="X2529" s="152"/>
      <c r="Y2529" s="152"/>
      <c r="Z2529" s="152"/>
      <c r="AA2529" s="152"/>
      <c r="AB2529" s="152"/>
    </row>
    <row r="2530" spans="1:28" hidden="1" outlineLevel="1">
      <c r="A2530" s="152"/>
      <c r="B2530" s="190" t="str">
        <f t="shared" ca="1" si="3710"/>
        <v>RL Capex 2023-24</v>
      </c>
      <c r="C2530" s="1429"/>
      <c r="D2530" s="1429"/>
      <c r="E2530" s="1429"/>
      <c r="F2530" s="1429"/>
      <c r="G2530" s="1429"/>
      <c r="H2530" s="1429"/>
      <c r="I2530" s="1429"/>
      <c r="J2530" s="1424"/>
      <c r="K2530" s="1428">
        <f>K2494</f>
        <v>0</v>
      </c>
      <c r="L2530" s="1423">
        <f t="shared" si="3698"/>
        <v>0</v>
      </c>
      <c r="M2530" s="1423">
        <f t="shared" si="3699"/>
        <v>0</v>
      </c>
      <c r="N2530" s="1423">
        <f t="shared" si="3700"/>
        <v>0</v>
      </c>
      <c r="O2530" s="1423">
        <f t="shared" si="3701"/>
        <v>0</v>
      </c>
      <c r="P2530" s="1423">
        <f t="shared" si="3702"/>
        <v>0</v>
      </c>
      <c r="Q2530" s="1423">
        <f t="shared" si="3703"/>
        <v>0</v>
      </c>
      <c r="R2530" s="1423">
        <f t="shared" si="3704"/>
        <v>0</v>
      </c>
      <c r="S2530" s="1423">
        <f t="shared" si="3705"/>
        <v>0</v>
      </c>
      <c r="T2530" s="1423">
        <f t="shared" si="3706"/>
        <v>0</v>
      </c>
      <c r="U2530" s="1423">
        <f t="shared" si="3707"/>
        <v>0</v>
      </c>
      <c r="V2530" s="1423">
        <f t="shared" si="3708"/>
        <v>0</v>
      </c>
      <c r="W2530" s="1423">
        <f t="shared" si="3709"/>
        <v>0</v>
      </c>
      <c r="X2530" s="152"/>
      <c r="Y2530" s="152"/>
      <c r="Z2530" s="152"/>
      <c r="AA2530" s="152"/>
      <c r="AB2530" s="152"/>
    </row>
    <row r="2531" spans="1:28" hidden="1" outlineLevel="1">
      <c r="A2531" s="152"/>
      <c r="B2531" s="190" t="str">
        <f t="shared" ca="1" si="3710"/>
        <v>RL Capex 2024-25</v>
      </c>
      <c r="C2531" s="1429"/>
      <c r="D2531" s="1429"/>
      <c r="E2531" s="1429"/>
      <c r="F2531" s="1429"/>
      <c r="G2531" s="1429"/>
      <c r="H2531" s="1429"/>
      <c r="I2531" s="1429"/>
      <c r="J2531" s="1429"/>
      <c r="K2531" s="1424"/>
      <c r="L2531" s="1428">
        <f>L2494</f>
        <v>0</v>
      </c>
      <c r="M2531" s="1423">
        <f t="shared" si="3699"/>
        <v>0</v>
      </c>
      <c r="N2531" s="1423">
        <f t="shared" si="3700"/>
        <v>0</v>
      </c>
      <c r="O2531" s="1423">
        <f t="shared" si="3701"/>
        <v>0</v>
      </c>
      <c r="P2531" s="1423">
        <f t="shared" si="3702"/>
        <v>0</v>
      </c>
      <c r="Q2531" s="1423">
        <f t="shared" si="3703"/>
        <v>0</v>
      </c>
      <c r="R2531" s="1423">
        <f t="shared" si="3704"/>
        <v>0</v>
      </c>
      <c r="S2531" s="1423">
        <f t="shared" si="3705"/>
        <v>0</v>
      </c>
      <c r="T2531" s="1423">
        <f t="shared" si="3706"/>
        <v>0</v>
      </c>
      <c r="U2531" s="1423">
        <f t="shared" si="3707"/>
        <v>0</v>
      </c>
      <c r="V2531" s="1423">
        <f t="shared" si="3708"/>
        <v>0</v>
      </c>
      <c r="W2531" s="1423">
        <f t="shared" si="3709"/>
        <v>0</v>
      </c>
      <c r="X2531" s="152"/>
      <c r="Y2531" s="152"/>
      <c r="Z2531" s="152"/>
      <c r="AA2531" s="152"/>
      <c r="AB2531" s="152"/>
    </row>
    <row r="2532" spans="1:28" hidden="1" outlineLevel="1">
      <c r="A2532" s="152"/>
      <c r="B2532" s="190" t="str">
        <f t="shared" ca="1" si="3710"/>
        <v>RL Capex 2025-26</v>
      </c>
      <c r="C2532" s="1429"/>
      <c r="D2532" s="1429"/>
      <c r="E2532" s="1429"/>
      <c r="F2532" s="1429"/>
      <c r="G2532" s="1429"/>
      <c r="H2532" s="1429"/>
      <c r="I2532" s="1429"/>
      <c r="J2532" s="1429"/>
      <c r="K2532" s="1429"/>
      <c r="L2532" s="1424"/>
      <c r="M2532" s="1428">
        <f>M2494</f>
        <v>0</v>
      </c>
      <c r="N2532" s="1423">
        <f t="shared" si="3700"/>
        <v>0</v>
      </c>
      <c r="O2532" s="1423">
        <f t="shared" si="3701"/>
        <v>0</v>
      </c>
      <c r="P2532" s="1423">
        <f t="shared" si="3702"/>
        <v>0</v>
      </c>
      <c r="Q2532" s="1423">
        <f t="shared" si="3703"/>
        <v>0</v>
      </c>
      <c r="R2532" s="1423">
        <f t="shared" si="3704"/>
        <v>0</v>
      </c>
      <c r="S2532" s="1423">
        <f t="shared" si="3705"/>
        <v>0</v>
      </c>
      <c r="T2532" s="1423">
        <f t="shared" si="3706"/>
        <v>0</v>
      </c>
      <c r="U2532" s="1423">
        <f t="shared" si="3707"/>
        <v>0</v>
      </c>
      <c r="V2532" s="1423">
        <f t="shared" si="3708"/>
        <v>0</v>
      </c>
      <c r="W2532" s="1423">
        <f t="shared" si="3709"/>
        <v>0</v>
      </c>
      <c r="X2532" s="152"/>
      <c r="Y2532" s="152"/>
      <c r="Z2532" s="152"/>
      <c r="AA2532" s="152"/>
      <c r="AB2532" s="152"/>
    </row>
    <row r="2533" spans="1:28" hidden="1" outlineLevel="1">
      <c r="A2533" s="152"/>
      <c r="B2533" s="190" t="str">
        <f t="shared" ca="1" si="3710"/>
        <v>RL Capex 2026-27</v>
      </c>
      <c r="C2533" s="1429"/>
      <c r="D2533" s="1429"/>
      <c r="E2533" s="1429"/>
      <c r="F2533" s="1429"/>
      <c r="G2533" s="1429"/>
      <c r="H2533" s="1429"/>
      <c r="I2533" s="1429"/>
      <c r="J2533" s="1429"/>
      <c r="K2533" s="1429"/>
      <c r="L2533" s="1429"/>
      <c r="M2533" s="1424"/>
      <c r="N2533" s="1428">
        <f>N2494</f>
        <v>0</v>
      </c>
      <c r="O2533" s="1423">
        <f t="shared" si="3701"/>
        <v>0</v>
      </c>
      <c r="P2533" s="1423">
        <f t="shared" si="3702"/>
        <v>0</v>
      </c>
      <c r="Q2533" s="1423">
        <f t="shared" si="3703"/>
        <v>0</v>
      </c>
      <c r="R2533" s="1423">
        <f t="shared" si="3704"/>
        <v>0</v>
      </c>
      <c r="S2533" s="1423">
        <f t="shared" si="3705"/>
        <v>0</v>
      </c>
      <c r="T2533" s="1423">
        <f t="shared" si="3706"/>
        <v>0</v>
      </c>
      <c r="U2533" s="1423">
        <f t="shared" si="3707"/>
        <v>0</v>
      </c>
      <c r="V2533" s="1423">
        <f t="shared" si="3708"/>
        <v>0</v>
      </c>
      <c r="W2533" s="1423">
        <f t="shared" si="3709"/>
        <v>0</v>
      </c>
      <c r="X2533" s="152"/>
      <c r="Y2533" s="152"/>
      <c r="Z2533" s="152"/>
      <c r="AA2533" s="152"/>
      <c r="AB2533" s="152"/>
    </row>
    <row r="2534" spans="1:28" hidden="1" outlineLevel="1">
      <c r="A2534" s="152"/>
      <c r="B2534" s="190" t="str">
        <f t="shared" ca="1" si="3710"/>
        <v>RL Capex 2027-28</v>
      </c>
      <c r="C2534" s="1429"/>
      <c r="D2534" s="1429"/>
      <c r="E2534" s="1429"/>
      <c r="F2534" s="1429"/>
      <c r="G2534" s="1429"/>
      <c r="H2534" s="1429"/>
      <c r="I2534" s="1429"/>
      <c r="J2534" s="1429"/>
      <c r="K2534" s="1429"/>
      <c r="L2534" s="1429"/>
      <c r="M2534" s="1429"/>
      <c r="N2534" s="1424"/>
      <c r="O2534" s="1428">
        <f>O2494</f>
        <v>0</v>
      </c>
      <c r="P2534" s="1423">
        <f t="shared" si="3702"/>
        <v>0</v>
      </c>
      <c r="Q2534" s="1423">
        <f t="shared" si="3703"/>
        <v>0</v>
      </c>
      <c r="R2534" s="1423">
        <f t="shared" si="3704"/>
        <v>0</v>
      </c>
      <c r="S2534" s="1423">
        <f t="shared" si="3705"/>
        <v>0</v>
      </c>
      <c r="T2534" s="1423">
        <f t="shared" si="3706"/>
        <v>0</v>
      </c>
      <c r="U2534" s="1423">
        <f t="shared" si="3707"/>
        <v>0</v>
      </c>
      <c r="V2534" s="1423">
        <f t="shared" si="3708"/>
        <v>0</v>
      </c>
      <c r="W2534" s="1423">
        <f t="shared" si="3709"/>
        <v>0</v>
      </c>
      <c r="X2534" s="152"/>
      <c r="Y2534" s="152"/>
      <c r="Z2534" s="152"/>
      <c r="AA2534" s="152"/>
      <c r="AB2534" s="152"/>
    </row>
    <row r="2535" spans="1:28" hidden="1" outlineLevel="1">
      <c r="A2535" s="152"/>
      <c r="B2535" s="190" t="str">
        <f t="shared" ca="1" si="3710"/>
        <v>RL Capex 2028-29</v>
      </c>
      <c r="C2535" s="1429"/>
      <c r="D2535" s="1429"/>
      <c r="E2535" s="1429"/>
      <c r="F2535" s="1429"/>
      <c r="G2535" s="1429"/>
      <c r="H2535" s="1429"/>
      <c r="I2535" s="1429"/>
      <c r="J2535" s="1429"/>
      <c r="K2535" s="1429"/>
      <c r="L2535" s="1429"/>
      <c r="M2535" s="1429"/>
      <c r="N2535" s="1429"/>
      <c r="O2535" s="1424"/>
      <c r="P2535" s="1428">
        <f>P2494</f>
        <v>0</v>
      </c>
      <c r="Q2535" s="1423">
        <f t="shared" si="3703"/>
        <v>0</v>
      </c>
      <c r="R2535" s="1423">
        <f t="shared" si="3704"/>
        <v>0</v>
      </c>
      <c r="S2535" s="1423">
        <f t="shared" si="3705"/>
        <v>0</v>
      </c>
      <c r="T2535" s="1423">
        <f t="shared" si="3706"/>
        <v>0</v>
      </c>
      <c r="U2535" s="1423">
        <f t="shared" si="3707"/>
        <v>0</v>
      </c>
      <c r="V2535" s="1423">
        <f t="shared" si="3708"/>
        <v>0</v>
      </c>
      <c r="W2535" s="1423">
        <f t="shared" si="3709"/>
        <v>0</v>
      </c>
      <c r="X2535" s="152"/>
      <c r="Y2535" s="152"/>
      <c r="Z2535" s="152"/>
      <c r="AA2535" s="152"/>
      <c r="AB2535" s="152"/>
    </row>
    <row r="2536" spans="1:28" hidden="1" outlineLevel="1">
      <c r="A2536" s="152"/>
      <c r="B2536" s="190" t="str">
        <f t="shared" ca="1" si="3710"/>
        <v>RL Capex 2029-30</v>
      </c>
      <c r="C2536" s="1429"/>
      <c r="D2536" s="1429"/>
      <c r="E2536" s="1429"/>
      <c r="F2536" s="1429"/>
      <c r="G2536" s="1429"/>
      <c r="H2536" s="1429"/>
      <c r="I2536" s="1429"/>
      <c r="J2536" s="1429"/>
      <c r="K2536" s="1429"/>
      <c r="L2536" s="1429"/>
      <c r="M2536" s="1429"/>
      <c r="N2536" s="1429"/>
      <c r="O2536" s="1429"/>
      <c r="P2536" s="1424"/>
      <c r="Q2536" s="1428">
        <f>Q2494</f>
        <v>0</v>
      </c>
      <c r="R2536" s="1423">
        <f t="shared" si="3704"/>
        <v>0</v>
      </c>
      <c r="S2536" s="1423">
        <f t="shared" si="3705"/>
        <v>0</v>
      </c>
      <c r="T2536" s="1423">
        <f t="shared" si="3706"/>
        <v>0</v>
      </c>
      <c r="U2536" s="1423">
        <f t="shared" si="3707"/>
        <v>0</v>
      </c>
      <c r="V2536" s="1423">
        <f t="shared" si="3708"/>
        <v>0</v>
      </c>
      <c r="W2536" s="1423">
        <f t="shared" si="3709"/>
        <v>0</v>
      </c>
      <c r="X2536" s="152"/>
      <c r="Y2536" s="152"/>
      <c r="Z2536" s="152"/>
      <c r="AA2536" s="152"/>
      <c r="AB2536" s="152"/>
    </row>
    <row r="2537" spans="1:28" hidden="1" outlineLevel="1">
      <c r="A2537" s="152"/>
      <c r="B2537" s="190" t="str">
        <f t="shared" ca="1" si="3710"/>
        <v>RL Capex 2030-31</v>
      </c>
      <c r="C2537" s="1429"/>
      <c r="D2537" s="1429"/>
      <c r="E2537" s="1429"/>
      <c r="F2537" s="1429"/>
      <c r="G2537" s="1429"/>
      <c r="H2537" s="1429"/>
      <c r="I2537" s="1429"/>
      <c r="J2537" s="1429"/>
      <c r="K2537" s="1429"/>
      <c r="L2537" s="1429"/>
      <c r="M2537" s="1429"/>
      <c r="N2537" s="1429"/>
      <c r="O2537" s="1429"/>
      <c r="P2537" s="1429"/>
      <c r="Q2537" s="1424"/>
      <c r="R2537" s="1428">
        <f>R2494</f>
        <v>0</v>
      </c>
      <c r="S2537" s="1423">
        <f t="shared" si="3705"/>
        <v>0</v>
      </c>
      <c r="T2537" s="1423">
        <f t="shared" si="3706"/>
        <v>0</v>
      </c>
      <c r="U2537" s="1423">
        <f t="shared" si="3707"/>
        <v>0</v>
      </c>
      <c r="V2537" s="1423">
        <f t="shared" si="3708"/>
        <v>0</v>
      </c>
      <c r="W2537" s="1423">
        <f t="shared" si="3709"/>
        <v>0</v>
      </c>
      <c r="X2537" s="152"/>
      <c r="Y2537" s="152"/>
      <c r="Z2537" s="152"/>
      <c r="AA2537" s="152"/>
      <c r="AB2537" s="152"/>
    </row>
    <row r="2538" spans="1:28" hidden="1" outlineLevel="1">
      <c r="A2538" s="152"/>
      <c r="B2538" s="190" t="str">
        <f t="shared" ca="1" si="3710"/>
        <v>RL Capex 2031-32</v>
      </c>
      <c r="C2538" s="1429"/>
      <c r="D2538" s="1429"/>
      <c r="E2538" s="1429"/>
      <c r="F2538" s="1429"/>
      <c r="G2538" s="1429"/>
      <c r="H2538" s="1429"/>
      <c r="I2538" s="1429"/>
      <c r="J2538" s="1429"/>
      <c r="K2538" s="1429"/>
      <c r="L2538" s="1429"/>
      <c r="M2538" s="1429"/>
      <c r="N2538" s="1429"/>
      <c r="O2538" s="1429"/>
      <c r="P2538" s="1429"/>
      <c r="Q2538" s="1429"/>
      <c r="R2538" s="1424"/>
      <c r="S2538" s="1428">
        <f>S2494</f>
        <v>0</v>
      </c>
      <c r="T2538" s="1423">
        <f t="shared" si="3706"/>
        <v>0</v>
      </c>
      <c r="U2538" s="1423">
        <f t="shared" si="3707"/>
        <v>0</v>
      </c>
      <c r="V2538" s="1423">
        <f t="shared" si="3708"/>
        <v>0</v>
      </c>
      <c r="W2538" s="1423">
        <f t="shared" si="3709"/>
        <v>0</v>
      </c>
      <c r="X2538" s="152"/>
      <c r="Y2538" s="152"/>
      <c r="Z2538" s="152"/>
      <c r="AA2538" s="152"/>
      <c r="AB2538" s="152"/>
    </row>
    <row r="2539" spans="1:28" hidden="1" outlineLevel="1">
      <c r="A2539" s="152"/>
      <c r="B2539" s="190" t="str">
        <f t="shared" ca="1" si="3710"/>
        <v>RL Capex 2032-33</v>
      </c>
      <c r="C2539" s="1429"/>
      <c r="D2539" s="1429"/>
      <c r="E2539" s="1429"/>
      <c r="F2539" s="1429"/>
      <c r="G2539" s="1429"/>
      <c r="H2539" s="1429"/>
      <c r="I2539" s="1429"/>
      <c r="J2539" s="1429"/>
      <c r="K2539" s="1429"/>
      <c r="L2539" s="1429"/>
      <c r="M2539" s="1429"/>
      <c r="N2539" s="1429"/>
      <c r="O2539" s="1429"/>
      <c r="P2539" s="1429"/>
      <c r="Q2539" s="1429"/>
      <c r="R2539" s="1429"/>
      <c r="S2539" s="1424"/>
      <c r="T2539" s="1428">
        <f>T2494</f>
        <v>0</v>
      </c>
      <c r="U2539" s="1423">
        <f t="shared" si="3707"/>
        <v>0</v>
      </c>
      <c r="V2539" s="1423">
        <f t="shared" si="3708"/>
        <v>0</v>
      </c>
      <c r="W2539" s="1423">
        <f t="shared" si="3709"/>
        <v>0</v>
      </c>
      <c r="X2539" s="152"/>
      <c r="Y2539" s="152"/>
      <c r="Z2539" s="152"/>
      <c r="AA2539" s="152"/>
      <c r="AB2539" s="152"/>
    </row>
    <row r="2540" spans="1:28" hidden="1" outlineLevel="1">
      <c r="A2540" s="152"/>
      <c r="B2540" s="190" t="str">
        <f t="shared" ca="1" si="3710"/>
        <v>RL Capex 2033-34</v>
      </c>
      <c r="C2540" s="1429"/>
      <c r="D2540" s="1429"/>
      <c r="E2540" s="1429"/>
      <c r="F2540" s="1429"/>
      <c r="G2540" s="1429"/>
      <c r="H2540" s="1429"/>
      <c r="I2540" s="1429"/>
      <c r="J2540" s="1429"/>
      <c r="K2540" s="1429"/>
      <c r="L2540" s="1429"/>
      <c r="M2540" s="1429"/>
      <c r="N2540" s="1429"/>
      <c r="O2540" s="1429"/>
      <c r="P2540" s="1429"/>
      <c r="Q2540" s="1429"/>
      <c r="R2540" s="1429"/>
      <c r="S2540" s="1429"/>
      <c r="T2540" s="1424"/>
      <c r="U2540" s="1428">
        <f>U2494</f>
        <v>0</v>
      </c>
      <c r="V2540" s="1423">
        <f t="shared" si="3708"/>
        <v>0</v>
      </c>
      <c r="W2540" s="1423">
        <f t="shared" si="3709"/>
        <v>0</v>
      </c>
      <c r="X2540" s="152"/>
      <c r="Y2540" s="152"/>
      <c r="Z2540" s="152"/>
      <c r="AA2540" s="152"/>
      <c r="AB2540" s="152"/>
    </row>
    <row r="2541" spans="1:28" hidden="1" outlineLevel="1">
      <c r="A2541" s="152"/>
      <c r="B2541" s="190" t="str">
        <f t="shared" ca="1" si="3710"/>
        <v>RL Capex 2034-35</v>
      </c>
      <c r="C2541" s="1429"/>
      <c r="D2541" s="1429"/>
      <c r="E2541" s="1429"/>
      <c r="F2541" s="1429"/>
      <c r="G2541" s="1429"/>
      <c r="H2541" s="1429"/>
      <c r="I2541" s="1429"/>
      <c r="J2541" s="1429"/>
      <c r="K2541" s="1429"/>
      <c r="L2541" s="1429"/>
      <c r="M2541" s="1429"/>
      <c r="N2541" s="1429"/>
      <c r="O2541" s="1429"/>
      <c r="P2541" s="1429"/>
      <c r="Q2541" s="1429"/>
      <c r="R2541" s="1429"/>
      <c r="S2541" s="1429"/>
      <c r="T2541" s="1429"/>
      <c r="U2541" s="1424"/>
      <c r="V2541" s="1428">
        <f>V2494</f>
        <v>0</v>
      </c>
      <c r="W2541" s="1423">
        <f>IF(V2541="n/a","n/a",MAX(0,V2541-1))</f>
        <v>0</v>
      </c>
      <c r="X2541" s="152"/>
      <c r="Y2541" s="152"/>
      <c r="Z2541" s="152"/>
      <c r="AA2541" s="152"/>
      <c r="AB2541" s="152"/>
    </row>
    <row r="2542" spans="1:28" hidden="1" outlineLevel="1">
      <c r="A2542" s="152"/>
      <c r="B2542" s="190" t="str">
        <f t="shared" ca="1" si="3710"/>
        <v>RL Capex 2035-36</v>
      </c>
      <c r="C2542" s="1429"/>
      <c r="D2542" s="1429"/>
      <c r="E2542" s="1429"/>
      <c r="F2542" s="1429"/>
      <c r="G2542" s="1429"/>
      <c r="H2542" s="1429"/>
      <c r="I2542" s="1429"/>
      <c r="J2542" s="1429"/>
      <c r="K2542" s="1429"/>
      <c r="L2542" s="1429"/>
      <c r="M2542" s="1429"/>
      <c r="N2542" s="1429"/>
      <c r="O2542" s="1429"/>
      <c r="P2542" s="1429"/>
      <c r="Q2542" s="1429"/>
      <c r="R2542" s="1429"/>
      <c r="S2542" s="1429"/>
      <c r="T2542" s="1429"/>
      <c r="U2542" s="1429"/>
      <c r="V2542" s="1424"/>
      <c r="W2542" s="1423">
        <f>W2494</f>
        <v>0</v>
      </c>
      <c r="X2542" s="152"/>
      <c r="Y2542" s="152"/>
      <c r="Z2542" s="152"/>
      <c r="AA2542" s="152"/>
      <c r="AB2542" s="152"/>
    </row>
    <row r="2543" spans="1:28" hidden="1" outlineLevel="1">
      <c r="A2543" s="152"/>
      <c r="B2543" s="200"/>
      <c r="C2543" s="1423"/>
      <c r="D2543" s="1423"/>
      <c r="E2543" s="1423"/>
      <c r="F2543" s="1423"/>
      <c r="G2543" s="1423"/>
      <c r="H2543" s="1423"/>
      <c r="I2543" s="1423"/>
      <c r="J2543" s="1423"/>
      <c r="K2543" s="1423"/>
      <c r="L2543" s="1423"/>
      <c r="M2543" s="1423"/>
      <c r="N2543" s="1423"/>
      <c r="O2543" s="1423"/>
      <c r="P2543" s="1423"/>
      <c r="Q2543" s="1423"/>
      <c r="R2543" s="1423"/>
      <c r="S2543" s="1423"/>
      <c r="T2543" s="1423"/>
      <c r="U2543" s="1423"/>
      <c r="V2543" s="1423"/>
      <c r="W2543" s="1423"/>
      <c r="X2543" s="152"/>
      <c r="Y2543" s="152"/>
      <c r="Z2543" s="152"/>
      <c r="AA2543" s="152"/>
      <c r="AB2543" s="152"/>
    </row>
    <row r="2544" spans="1:28" collapsed="1">
      <c r="A2544" s="194"/>
      <c r="B2544" s="204" t="s">
        <v>123</v>
      </c>
      <c r="C2544" s="1430">
        <f ca="1">(IF(OR($C2494&lt;&gt;"n/a",C2494&lt;&gt;"n/a"),IF(SUM(C2497:C2519)=0,0,IF((SUMPRODUCT(C2497:C2519,C2521:C2543)/SUM(C2497:C2519))&lt;0,1,(SUMPRODUCT(C2497:C2519,C2521:C2543)/SUM(C2497:C2519)))),"n/a"))</f>
        <v>0</v>
      </c>
      <c r="D2544" s="1430">
        <f ca="1">(IF(OR($C2494&lt;&gt;"n/a",D2494&lt;&gt;"n/a"),IF(SUM(D2497:D2519)=0,0,IF((SUMPRODUCT(D2497:D2519,D2521:D2543)/SUM(D2497:D2519))&lt;0,1,(SUMPRODUCT(D2497:D2519,D2521:D2543)/SUM(D2497:D2519)))),"n/a"))</f>
        <v>0</v>
      </c>
      <c r="E2544" s="1430">
        <f t="shared" ref="E2544:W2544" ca="1" si="3711">(IF(OR($C2494&lt;&gt;"n/a",E2494&lt;&gt;"n/a"),IF(SUM(E2497:E2519)=0,0,IF((SUMPRODUCT(E2497:E2519,E2521:E2543)/SUM(E2497:E2519))&lt;0,1,(SUMPRODUCT(E2497:E2519,E2521:E2543)/SUM(E2497:E2519)))),"n/a"))</f>
        <v>0</v>
      </c>
      <c r="F2544" s="1430">
        <f t="shared" ca="1" si="3711"/>
        <v>0</v>
      </c>
      <c r="G2544" s="1430">
        <f t="shared" ca="1" si="3711"/>
        <v>0</v>
      </c>
      <c r="H2544" s="1430">
        <f t="shared" ca="1" si="3711"/>
        <v>0</v>
      </c>
      <c r="I2544" s="1430">
        <f t="shared" ca="1" si="3711"/>
        <v>0</v>
      </c>
      <c r="J2544" s="1430">
        <f t="shared" ca="1" si="3711"/>
        <v>0</v>
      </c>
      <c r="K2544" s="1430">
        <f t="shared" ca="1" si="3711"/>
        <v>0</v>
      </c>
      <c r="L2544" s="1430">
        <f t="shared" ca="1" si="3711"/>
        <v>0</v>
      </c>
      <c r="M2544" s="1430">
        <f t="shared" ca="1" si="3711"/>
        <v>0</v>
      </c>
      <c r="N2544" s="1430">
        <f t="shared" ca="1" si="3711"/>
        <v>0</v>
      </c>
      <c r="O2544" s="1430">
        <f t="shared" ca="1" si="3711"/>
        <v>0</v>
      </c>
      <c r="P2544" s="1430">
        <f t="shared" ca="1" si="3711"/>
        <v>0</v>
      </c>
      <c r="Q2544" s="1430">
        <f t="shared" ca="1" si="3711"/>
        <v>0</v>
      </c>
      <c r="R2544" s="1430">
        <f t="shared" ca="1" si="3711"/>
        <v>0</v>
      </c>
      <c r="S2544" s="1430">
        <f t="shared" ca="1" si="3711"/>
        <v>0</v>
      </c>
      <c r="T2544" s="1430">
        <f t="shared" ca="1" si="3711"/>
        <v>0</v>
      </c>
      <c r="U2544" s="1430">
        <f t="shared" ca="1" si="3711"/>
        <v>0</v>
      </c>
      <c r="V2544" s="1430">
        <f t="shared" ca="1" si="3711"/>
        <v>0</v>
      </c>
      <c r="W2544" s="1430">
        <f t="shared" ca="1" si="3711"/>
        <v>0</v>
      </c>
      <c r="X2544" s="152"/>
      <c r="Y2544" s="152"/>
      <c r="Z2544" s="152"/>
      <c r="AA2544" s="152"/>
      <c r="AB2544" s="152"/>
    </row>
    <row r="2545" spans="1:28">
      <c r="A2545" s="152"/>
      <c r="B2545" s="152"/>
      <c r="C2545" s="1423"/>
      <c r="D2545" s="1423"/>
      <c r="E2545" s="1423"/>
      <c r="F2545" s="1423"/>
      <c r="G2545" s="1423"/>
      <c r="H2545" s="1423"/>
      <c r="I2545" s="1423"/>
      <c r="J2545" s="1423"/>
      <c r="K2545" s="1423"/>
      <c r="L2545" s="1423"/>
      <c r="M2545" s="1423"/>
      <c r="N2545" s="1423"/>
      <c r="O2545" s="1423"/>
      <c r="P2545" s="1423"/>
      <c r="Q2545" s="1423"/>
      <c r="R2545" s="1423"/>
      <c r="S2545" s="1423"/>
      <c r="T2545" s="1423"/>
      <c r="U2545" s="1423"/>
      <c r="V2545" s="1423"/>
      <c r="W2545" s="1423"/>
      <c r="X2545" s="152"/>
      <c r="Y2545" s="152"/>
      <c r="Z2545" s="152"/>
      <c r="AA2545" s="152"/>
      <c r="AB2545" s="152"/>
    </row>
    <row r="2546" spans="1:28">
      <c r="A2546" s="269" t="s">
        <v>114</v>
      </c>
      <c r="B2546" s="270">
        <f>VLOOKUP($A2546,'RFM input'!$E$7:$F$56,2,FALSE)</f>
        <v>0</v>
      </c>
      <c r="C2546" s="1431"/>
      <c r="D2546" s="1431"/>
      <c r="E2546" s="1432"/>
      <c r="F2546" s="1432"/>
      <c r="G2546" s="1432"/>
      <c r="H2546" s="1432"/>
      <c r="I2546" s="1432"/>
      <c r="J2546" s="1432"/>
      <c r="K2546" s="1432"/>
      <c r="L2546" s="1432"/>
      <c r="M2546" s="1432"/>
      <c r="N2546" s="1432"/>
      <c r="O2546" s="1432"/>
      <c r="P2546" s="1432"/>
      <c r="Q2546" s="1432"/>
      <c r="R2546" s="1432"/>
      <c r="S2546" s="1432"/>
      <c r="T2546" s="1432"/>
      <c r="U2546" s="1432"/>
      <c r="V2546" s="1432"/>
      <c r="W2546" s="1432"/>
      <c r="X2546" s="152"/>
      <c r="Y2546" s="152"/>
      <c r="Z2546" s="152"/>
      <c r="AA2546" s="152"/>
      <c r="AB2546" s="152"/>
    </row>
    <row r="2547" spans="1:28">
      <c r="A2547" s="215">
        <f>VALUE(REPLACE(A2546,1,12,""))</f>
        <v>48</v>
      </c>
      <c r="B2547" s="193" t="s">
        <v>126</v>
      </c>
      <c r="C2547" s="1416">
        <f ca="1">IF($D$6='TAB roll forward'!$H$4,OFFSET('TAB roll forward'!$H$7,A2547,0),"enter input")</f>
        <v>0</v>
      </c>
      <c r="D2547" s="1417">
        <f>IF(LEFT(D$6,4)&lt;LEFT('RFM input'!$G$60,4),"enter input",IF(LEFT(D$6,4)&gt;LEFT('RFM input'!$Q$60,4),0,
INDEX('RFM input'!$G$61:$Q$110,$A2547,MATCH(D$6,'RFM input'!$G$60:$Q$60,0))
   -INDEX('RFM input'!$G$115:$Q$164,$A2547,MATCH(D$6,'RFM input'!$G$60:$Q$60,0))))</f>
        <v>0</v>
      </c>
      <c r="E2547" s="1417">
        <f>IF(LEFT(E$6,4)&lt;LEFT('RFM input'!$G$60,4),"enter input",IF(LEFT(E$6,4)&gt;LEFT('RFM input'!$Q$60,4),0,
INDEX('RFM input'!$G$61:$Q$110,$A2547,MATCH(E$6,'RFM input'!$G$60:$Q$60,0))
   -INDEX('RFM input'!$G$115:$Q$164,$A2547,MATCH(E$6,'RFM input'!$G$60:$Q$60,0))))</f>
        <v>0</v>
      </c>
      <c r="F2547" s="1417">
        <f>IF(LEFT(F$6,4)&lt;LEFT('RFM input'!$G$60,4),"enter input",IF(LEFT(F$6,4)&gt;LEFT('RFM input'!$Q$60,4),0,
INDEX('RFM input'!$G$61:$Q$110,$A2547,MATCH(F$6,'RFM input'!$G$60:$Q$60,0))
   -INDEX('RFM input'!$G$115:$Q$164,$A2547,MATCH(F$6,'RFM input'!$G$60:$Q$60,0))))</f>
        <v>0</v>
      </c>
      <c r="G2547" s="1417">
        <f>IF(LEFT(G$6,4)&lt;LEFT('RFM input'!$G$60,4),"enter input",IF(LEFT(G$6,4)&gt;LEFT('RFM input'!$Q$60,4),0,
INDEX('RFM input'!$G$61:$Q$110,$A2547,MATCH(G$6,'RFM input'!$G$60:$Q$60,0))
   -INDEX('RFM input'!$G$115:$Q$164,$A2547,MATCH(G$6,'RFM input'!$G$60:$Q$60,0))))</f>
        <v>0</v>
      </c>
      <c r="H2547" s="1417">
        <f>IF(LEFT(H$6,4)&lt;LEFT('RFM input'!$G$60,4),"enter input",IF(LEFT(H$6,4)&gt;LEFT('RFM input'!$Q$60,4),0,
INDEX('RFM input'!$G$61:$Q$110,$A2547,MATCH(H$6,'RFM input'!$G$60:$Q$60,0))
   -INDEX('RFM input'!$G$115:$Q$164,$A2547,MATCH(H$6,'RFM input'!$G$60:$Q$60,0))))</f>
        <v>0</v>
      </c>
      <c r="I2547" s="1417">
        <f>IF(LEFT(I$6,4)&lt;LEFT('RFM input'!$G$60,4),"enter input",IF(LEFT(I$6,4)&gt;LEFT('RFM input'!$Q$60,4),0,
INDEX('RFM input'!$G$61:$Q$110,$A2547,MATCH(I$6,'RFM input'!$G$60:$Q$60,0))
   -INDEX('RFM input'!$G$115:$Q$164,$A2547,MATCH(I$6,'RFM input'!$G$60:$Q$60,0))))</f>
        <v>0</v>
      </c>
      <c r="J2547" s="1417">
        <f>IF(LEFT(J$6,4)&lt;LEFT('RFM input'!$G$60,4),"enter input",IF(LEFT(J$6,4)&gt;LEFT('RFM input'!$Q$60,4),0,
INDEX('RFM input'!$G$61:$Q$110,$A2547,MATCH(J$6,'RFM input'!$G$60:$Q$60,0))
   -INDEX('RFM input'!$G$115:$Q$164,$A2547,MATCH(J$6,'RFM input'!$G$60:$Q$60,0))))</f>
        <v>0</v>
      </c>
      <c r="K2547" s="1417">
        <f>IF(LEFT(K$6,4)&lt;LEFT('RFM input'!$G$60,4),"enter input",IF(LEFT(K$6,4)&gt;LEFT('RFM input'!$Q$60,4),0,
INDEX('RFM input'!$G$61:$Q$110,$A2547,MATCH(K$6,'RFM input'!$G$60:$Q$60,0))
   -INDEX('RFM input'!$G$115:$Q$164,$A2547,MATCH(K$6,'RFM input'!$G$60:$Q$60,0))))</f>
        <v>0</v>
      </c>
      <c r="L2547" s="1417">
        <f>IF(LEFT(L$6,4)&lt;LEFT('RFM input'!$G$60,4),"enter input",IF(LEFT(L$6,4)&gt;LEFT('RFM input'!$Q$60,4),0,
INDEX('RFM input'!$G$61:$Q$110,$A2547,MATCH(L$6,'RFM input'!$G$60:$Q$60,0))
   -INDEX('RFM input'!$G$115:$Q$164,$A2547,MATCH(L$6,'RFM input'!$G$60:$Q$60,0))))</f>
        <v>0</v>
      </c>
      <c r="M2547" s="1417">
        <f>IF(LEFT(M$6,4)&lt;LEFT('RFM input'!$G$60,4),"enter input",IF(LEFT(M$6,4)&gt;LEFT('RFM input'!$Q$60,4),0,
INDEX('RFM input'!$G$61:$Q$110,$A2547,MATCH(M$6,'RFM input'!$G$60:$Q$60,0))
   -INDEX('RFM input'!$G$115:$Q$164,$A2547,MATCH(M$6,'RFM input'!$G$60:$Q$60,0))))</f>
        <v>0</v>
      </c>
      <c r="N2547" s="1417">
        <f>IF(LEFT(N$6,4)&lt;LEFT('RFM input'!$G$60,4),"enter input",IF(LEFT(N$6,4)&gt;LEFT('RFM input'!$Q$60,4),0,
INDEX('RFM input'!$G$61:$Q$110,$A2547,MATCH(N$6,'RFM input'!$G$60:$Q$60,0))
   -INDEX('RFM input'!$G$115:$Q$164,$A2547,MATCH(N$6,'RFM input'!$G$60:$Q$60,0))))</f>
        <v>0</v>
      </c>
      <c r="O2547" s="1417">
        <f>IF(LEFT(O$6,4)&lt;LEFT('RFM input'!$G$60,4),"enter input",IF(LEFT(O$6,4)&gt;LEFT('RFM input'!$Q$60,4),0,
INDEX('RFM input'!$G$61:$Q$110,$A2547,MATCH(O$6,'RFM input'!$G$60:$Q$60,0))
   -INDEX('RFM input'!$G$115:$Q$164,$A2547,MATCH(O$6,'RFM input'!$G$60:$Q$60,0))))</f>
        <v>0</v>
      </c>
      <c r="P2547" s="1417">
        <f>IF(LEFT(P$6,4)&lt;LEFT('RFM input'!$G$60,4),"enter input",IF(LEFT(P$6,4)&gt;LEFT('RFM input'!$Q$60,4),0,
INDEX('RFM input'!$G$61:$Q$110,$A2547,MATCH(P$6,'RFM input'!$G$60:$Q$60,0))
   -INDEX('RFM input'!$G$115:$Q$164,$A2547,MATCH(P$6,'RFM input'!$G$60:$Q$60,0))))</f>
        <v>0</v>
      </c>
      <c r="Q2547" s="1417">
        <f>IF(LEFT(Q$6,4)&lt;LEFT('RFM input'!$G$60,4),"enter input",IF(LEFT(Q$6,4)&gt;LEFT('RFM input'!$Q$60,4),0,
INDEX('RFM input'!$G$61:$Q$110,$A2547,MATCH(Q$6,'RFM input'!$G$60:$Q$60,0))
   -INDEX('RFM input'!$G$115:$Q$164,$A2547,MATCH(Q$6,'RFM input'!$G$60:$Q$60,0))))</f>
        <v>0</v>
      </c>
      <c r="R2547" s="1417">
        <f>IF(LEFT(R$6,4)&lt;LEFT('RFM input'!$G$60,4),"enter input",IF(LEFT(R$6,4)&gt;LEFT('RFM input'!$Q$60,4),0,
INDEX('RFM input'!$G$61:$Q$110,$A2547,MATCH(R$6,'RFM input'!$G$60:$Q$60,0))
   -INDEX('RFM input'!$G$115:$Q$164,$A2547,MATCH(R$6,'RFM input'!$G$60:$Q$60,0))))</f>
        <v>0</v>
      </c>
      <c r="S2547" s="1417">
        <f>IF(LEFT(S$6,4)&lt;LEFT('RFM input'!$G$60,4),"enter input",IF(LEFT(S$6,4)&gt;LEFT('RFM input'!$Q$60,4),0,
INDEX('RFM input'!$G$61:$Q$110,$A2547,MATCH(S$6,'RFM input'!$G$60:$Q$60,0))
   -INDEX('RFM input'!$G$115:$Q$164,$A2547,MATCH(S$6,'RFM input'!$G$60:$Q$60,0))))</f>
        <v>0</v>
      </c>
      <c r="T2547" s="1417">
        <f>IF(LEFT(T$6,4)&lt;LEFT('RFM input'!$G$60,4),"enter input",IF(LEFT(T$6,4)&gt;LEFT('RFM input'!$Q$60,4),0,
INDEX('RFM input'!$G$61:$Q$110,$A2547,MATCH(T$6,'RFM input'!$G$60:$Q$60,0))
   -INDEX('RFM input'!$G$115:$Q$164,$A2547,MATCH(T$6,'RFM input'!$G$60:$Q$60,0))))</f>
        <v>0</v>
      </c>
      <c r="U2547" s="1417">
        <f>IF(LEFT(U$6,4)&lt;LEFT('RFM input'!$G$60,4),"enter input",IF(LEFT(U$6,4)&gt;LEFT('RFM input'!$Q$60,4),0,
INDEX('RFM input'!$G$61:$Q$110,$A2547,MATCH(U$6,'RFM input'!$G$60:$Q$60,0))
   -INDEX('RFM input'!$G$115:$Q$164,$A2547,MATCH(U$6,'RFM input'!$G$60:$Q$60,0))))</f>
        <v>0</v>
      </c>
      <c r="V2547" s="1417">
        <f>IF(LEFT(V$6,4)&lt;LEFT('RFM input'!$G$60,4),"enter input",IF(LEFT(V$6,4)&gt;LEFT('RFM input'!$Q$60,4),0,
INDEX('RFM input'!$G$61:$Q$110,$A2547,MATCH(V$6,'RFM input'!$G$60:$Q$60,0))
   -INDEX('RFM input'!$G$115:$Q$164,$A2547,MATCH(V$6,'RFM input'!$G$60:$Q$60,0))))</f>
        <v>0</v>
      </c>
      <c r="W2547" s="1417">
        <f>IF(LEFT(W$6,4)&lt;LEFT('RFM input'!$G$60,4),"enter input",IF(LEFT(W$6,4)&gt;LEFT('RFM input'!$Q$60,4),0,
INDEX('RFM input'!$G$61:$Q$110,$A2547,MATCH(W$6,'RFM input'!$G$60:$Q$60,0))
   -INDEX('RFM input'!$G$115:$Q$164,$A2547,MATCH(W$6,'RFM input'!$G$60:$Q$60,0))))</f>
        <v>0</v>
      </c>
      <c r="X2547" s="152"/>
      <c r="Y2547" s="152"/>
      <c r="Z2547" s="152"/>
      <c r="AA2547" s="152"/>
      <c r="AB2547" s="152"/>
    </row>
    <row r="2548" spans="1:28">
      <c r="A2548" s="152"/>
      <c r="B2548" s="152" t="s">
        <v>205</v>
      </c>
      <c r="C2548" s="1418">
        <f ca="1">IF($D$6='TAB roll forward'!$H$4,OFFSET('RFM input'!$S$6,$A2547,0),"enter input")</f>
        <v>0</v>
      </c>
      <c r="D2548" s="1417">
        <f>IF(LEFT(D$6,4)&lt;=LEFT('RFM input'!$G$60,4),"enter input",IF(LEFT(D$6,4)&gt;LEFT('RFM input'!$Q$60,4),0,
IF(MATCH(D$6,'RFM input'!$H$60:$Q$60,0),INDEX('RFM input'!$T$7:$T$56,$A2547,1,1))))</f>
        <v>0</v>
      </c>
      <c r="E2548" s="1417">
        <f>IF(LEFT(E$6,4)&lt;=LEFT('RFM input'!$G$60,4),"enter input",IF(LEFT(E$6,4)&gt;LEFT('RFM input'!$Q$60,4),0,
IF(MATCH(E$6,'RFM input'!$H$60:$Q$60,0),INDEX('RFM input'!$T$7:$T$56,$A2547,1,1))))</f>
        <v>0</v>
      </c>
      <c r="F2548" s="1417">
        <f>IF(LEFT(F$6,4)&lt;=LEFT('RFM input'!$G$60,4),"enter input",IF(LEFT(F$6,4)&gt;LEFT('RFM input'!$Q$60,4),0,
IF(MATCH(F$6,'RFM input'!$H$60:$Q$60,0),INDEX('RFM input'!$T$7:$T$56,$A2547,1,1))))</f>
        <v>0</v>
      </c>
      <c r="G2548" s="1417">
        <f>IF(LEFT(G$6,4)&lt;=LEFT('RFM input'!$G$60,4),"enter input",IF(LEFT(G$6,4)&gt;LEFT('RFM input'!$Q$60,4),0,
IF(MATCH(G$6,'RFM input'!$H$60:$Q$60,0),INDEX('RFM input'!$T$7:$T$56,$A2547,1,1))))</f>
        <v>0</v>
      </c>
      <c r="H2548" s="1417">
        <f>IF(LEFT(H$6,4)&lt;=LEFT('RFM input'!$G$60,4),"enter input",IF(LEFT(H$6,4)&gt;LEFT('RFM input'!$Q$60,4),0,
IF(MATCH(H$6,'RFM input'!$H$60:$Q$60,0),INDEX('RFM input'!$T$7:$T$56,$A2547,1,1))))</f>
        <v>0</v>
      </c>
      <c r="I2548" s="1417">
        <f>IF(LEFT(I$6,4)&lt;=LEFT('RFM input'!$G$60,4),"enter input",IF(LEFT(I$6,4)&gt;LEFT('RFM input'!$Q$60,4),0,
IF(MATCH(I$6,'RFM input'!$H$60:$Q$60,0),INDEX('RFM input'!$T$7:$T$56,$A2547,1,1))))</f>
        <v>0</v>
      </c>
      <c r="J2548" s="1417">
        <f>IF(LEFT(J$6,4)&lt;=LEFT('RFM input'!$G$60,4),"enter input",IF(LEFT(J$6,4)&gt;LEFT('RFM input'!$Q$60,4),0,
IF(MATCH(J$6,'RFM input'!$H$60:$Q$60,0),INDEX('RFM input'!$T$7:$T$56,$A2547,1,1))))</f>
        <v>0</v>
      </c>
      <c r="K2548" s="1417">
        <f>IF(LEFT(K$6,4)&lt;=LEFT('RFM input'!$G$60,4),"enter input",IF(LEFT(K$6,4)&gt;LEFT('RFM input'!$Q$60,4),0,
IF(MATCH(K$6,'RFM input'!$H$60:$Q$60,0),INDEX('RFM input'!$T$7:$T$56,$A2547,1,1))))</f>
        <v>0</v>
      </c>
      <c r="L2548" s="1417">
        <f>IF(LEFT(L$6,4)&lt;=LEFT('RFM input'!$G$60,4),"enter input",IF(LEFT(L$6,4)&gt;LEFT('RFM input'!$Q$60,4),0,
IF(MATCH(L$6,'RFM input'!$H$60:$Q$60,0),INDEX('RFM input'!$T$7:$T$56,$A2547,1,1))))</f>
        <v>0</v>
      </c>
      <c r="M2548" s="1417">
        <f>IF(LEFT(M$6,4)&lt;=LEFT('RFM input'!$G$60,4),"enter input",IF(LEFT(M$6,4)&gt;LEFT('RFM input'!$Q$60,4),0,
IF(MATCH(M$6,'RFM input'!$H$60:$Q$60,0),INDEX('RFM input'!$T$7:$T$56,$A2547,1,1))))</f>
        <v>0</v>
      </c>
      <c r="N2548" s="1417">
        <f>IF(LEFT(N$6,4)&lt;=LEFT('RFM input'!$G$60,4),"enter input",IF(LEFT(N$6,4)&gt;LEFT('RFM input'!$Q$60,4),0,
IF(MATCH(N$6,'RFM input'!$H$60:$Q$60,0),INDEX('RFM input'!$T$7:$T$56,$A2547,1,1))))</f>
        <v>0</v>
      </c>
      <c r="O2548" s="1417">
        <f>IF(LEFT(O$6,4)&lt;=LEFT('RFM input'!$G$60,4),"enter input",IF(LEFT(O$6,4)&gt;LEFT('RFM input'!$Q$60,4),0,
IF(MATCH(O$6,'RFM input'!$H$60:$Q$60,0),INDEX('RFM input'!$T$7:$T$56,$A2547,1,1))))</f>
        <v>0</v>
      </c>
      <c r="P2548" s="1417">
        <f>IF(LEFT(P$6,4)&lt;=LEFT('RFM input'!$G$60,4),"enter input",IF(LEFT(P$6,4)&gt;LEFT('RFM input'!$Q$60,4),0,
IF(MATCH(P$6,'RFM input'!$H$60:$Q$60,0),INDEX('RFM input'!$T$7:$T$56,$A2547,1,1))))</f>
        <v>0</v>
      </c>
      <c r="Q2548" s="1417">
        <f>IF(LEFT(Q$6,4)&lt;=LEFT('RFM input'!$G$60,4),"enter input",IF(LEFT(Q$6,4)&gt;LEFT('RFM input'!$Q$60,4),0,
IF(MATCH(Q$6,'RFM input'!$H$60:$Q$60,0),INDEX('RFM input'!$T$7:$T$56,$A2547,1,1))))</f>
        <v>0</v>
      </c>
      <c r="R2548" s="1417">
        <f>IF(LEFT(R$6,4)&lt;=LEFT('RFM input'!$G$60,4),"enter input",IF(LEFT(R$6,4)&gt;LEFT('RFM input'!$Q$60,4),0,
IF(MATCH(R$6,'RFM input'!$H$60:$Q$60,0),INDEX('RFM input'!$T$7:$T$56,$A2547,1,1))))</f>
        <v>0</v>
      </c>
      <c r="S2548" s="1417">
        <f>IF(LEFT(S$6,4)&lt;=LEFT('RFM input'!$G$60,4),"enter input",IF(LEFT(S$6,4)&gt;LEFT('RFM input'!$Q$60,4),0,
IF(MATCH(S$6,'RFM input'!$H$60:$Q$60,0),INDEX('RFM input'!$T$7:$T$56,$A2547,1,1))))</f>
        <v>0</v>
      </c>
      <c r="T2548" s="1417">
        <f>IF(LEFT(T$6,4)&lt;=LEFT('RFM input'!$G$60,4),"enter input",IF(LEFT(T$6,4)&gt;LEFT('RFM input'!$Q$60,4),0,
IF(MATCH(T$6,'RFM input'!$H$60:$Q$60,0),INDEX('RFM input'!$T$7:$T$56,$A2547,1,1))))</f>
        <v>0</v>
      </c>
      <c r="U2548" s="1417">
        <f>IF(LEFT(U$6,4)&lt;=LEFT('RFM input'!$G$60,4),"enter input",IF(LEFT(U$6,4)&gt;LEFT('RFM input'!$Q$60,4),0,
IF(MATCH(U$6,'RFM input'!$H$60:$Q$60,0),INDEX('RFM input'!$T$7:$T$56,$A2547,1,1))))</f>
        <v>0</v>
      </c>
      <c r="V2548" s="1417">
        <f>IF(LEFT(V$6,4)&lt;=LEFT('RFM input'!$G$60,4),"enter input",IF(LEFT(V$6,4)&gt;LEFT('RFM input'!$Q$60,4),0,
IF(MATCH(V$6,'RFM input'!$H$60:$Q$60,0),INDEX('RFM input'!$T$7:$T$56,$A2547,1,1))))</f>
        <v>0</v>
      </c>
      <c r="W2548" s="1417">
        <f>IF(LEFT(W$6,4)&lt;=LEFT('RFM input'!$G$60,4),"enter input",IF(LEFT(W$6,4)&gt;LEFT('RFM input'!$Q$60,4),0,
IF(MATCH(W$6,'RFM input'!$H$60:$Q$60,0),INDEX('RFM input'!$T$7:$T$56,$A2547,1,1))))</f>
        <v>0</v>
      </c>
      <c r="X2548" s="152"/>
      <c r="Y2548" s="152"/>
      <c r="Z2548" s="152"/>
      <c r="AA2548" s="152"/>
      <c r="AB2548" s="152"/>
    </row>
    <row r="2549" spans="1:28">
      <c r="A2549" s="152"/>
      <c r="B2549" s="193" t="s">
        <v>192</v>
      </c>
      <c r="C2549" s="1419"/>
      <c r="D2549" s="1420">
        <f ca="1">IF(LEFT(D$6,4)&lt;=LEFT('RFM input'!$G$60,4),"enter input",IF(LEFT(D$6,4)&gt;LEFT('RFM input'!$Q$60,4),0,
IF(D$6=(OFFSET('RFM input'!$G$60,0,'RFM input'!$V$7)),OFFSET('RFM input'!$H$411,$A2547,0),0)))</f>
        <v>0</v>
      </c>
      <c r="E2549" s="1417">
        <f ca="1">IF(LEFT(E$6,4)&lt;=LEFT('RFM input'!$G$60,4),"enter input",IF(LEFT(E$6,4)&gt;LEFT('RFM input'!$Q$60,4),0,
IF(E$6=(OFFSET('RFM input'!$G$60,0,'RFM input'!$V$7)),OFFSET('RFM input'!$H$411,$A2547,0),0)))</f>
        <v>0</v>
      </c>
      <c r="F2549" s="1417">
        <f ca="1">IF(LEFT(F$6,4)&lt;=LEFT('RFM input'!$G$60,4),"enter input",IF(LEFT(F$6,4)&gt;LEFT('RFM input'!$Q$60,4),0,
IF(F$6=(OFFSET('RFM input'!$G$60,0,'RFM input'!$V$7)),OFFSET('RFM input'!$H$411,$A2547,0),0)))</f>
        <v>0</v>
      </c>
      <c r="G2549" s="1417">
        <f ca="1">IF(LEFT(G$6,4)&lt;=LEFT('RFM input'!$G$60,4),"enter input",IF(LEFT(G$6,4)&gt;LEFT('RFM input'!$Q$60,4),0,
IF(G$6=(OFFSET('RFM input'!$G$60,0,'RFM input'!$V$7)),OFFSET('RFM input'!$H$411,$A2547,0),0)))</f>
        <v>0</v>
      </c>
      <c r="H2549" s="1417">
        <f ca="1">IF(LEFT(H$6,4)&lt;=LEFT('RFM input'!$G$60,4),"enter input",IF(LEFT(H$6,4)&gt;LEFT('RFM input'!$Q$60,4),0,
IF(H$6=(OFFSET('RFM input'!$G$60,0,'RFM input'!$V$7)),OFFSET('RFM input'!$H$411,$A2547,0),0)))</f>
        <v>0</v>
      </c>
      <c r="I2549" s="1417">
        <f ca="1">IF(LEFT(I$6,4)&lt;=LEFT('RFM input'!$G$60,4),"enter input",IF(LEFT(I$6,4)&gt;LEFT('RFM input'!$Q$60,4),0,
IF(I$6=(OFFSET('RFM input'!$G$60,0,'RFM input'!$V$7)),OFFSET('RFM input'!$H$411,$A2547,0),0)))</f>
        <v>0</v>
      </c>
      <c r="J2549" s="1417">
        <f ca="1">IF(LEFT(J$6,4)&lt;=LEFT('RFM input'!$G$60,4),"enter input",IF(LEFT(J$6,4)&gt;LEFT('RFM input'!$Q$60,4),0,
IF(J$6=(OFFSET('RFM input'!$G$60,0,'RFM input'!$V$7)),OFFSET('RFM input'!$H$411,$A2547,0),0)))</f>
        <v>0</v>
      </c>
      <c r="K2549" s="1417">
        <f ca="1">IF(LEFT(K$6,4)&lt;=LEFT('RFM input'!$G$60,4),"enter input",IF(LEFT(K$6,4)&gt;LEFT('RFM input'!$Q$60,4),0,
IF(K$6=(OFFSET('RFM input'!$G$60,0,'RFM input'!$V$7)),OFFSET('RFM input'!$H$411,$A2547,0),0)))</f>
        <v>0</v>
      </c>
      <c r="L2549" s="1417">
        <f ca="1">IF(LEFT(L$6,4)&lt;=LEFT('RFM input'!$G$60,4),"enter input",IF(LEFT(L$6,4)&gt;LEFT('RFM input'!$Q$60,4),0,
IF(L$6=(OFFSET('RFM input'!$G$60,0,'RFM input'!$V$7)),OFFSET('RFM input'!$H$411,$A2547,0),0)))</f>
        <v>0</v>
      </c>
      <c r="M2549" s="1417">
        <f ca="1">IF(LEFT(M$6,4)&lt;=LEFT('RFM input'!$G$60,4),"enter input",IF(LEFT(M$6,4)&gt;LEFT('RFM input'!$Q$60,4),0,
IF(M$6=(OFFSET('RFM input'!$G$60,0,'RFM input'!$V$7)),OFFSET('RFM input'!$H$411,$A2547,0),0)))</f>
        <v>0</v>
      </c>
      <c r="N2549" s="1417">
        <f ca="1">IF(LEFT(N$6,4)&lt;=LEFT('RFM input'!$G$60,4),"enter input",IF(LEFT(N$6,4)&gt;LEFT('RFM input'!$Q$60,4),0,
IF(N$6=(OFFSET('RFM input'!$G$60,0,'RFM input'!$V$7)),OFFSET('RFM input'!$H$411,$A2547,0),0)))</f>
        <v>0</v>
      </c>
      <c r="O2549" s="1417">
        <f ca="1">IF(LEFT(O$6,4)&lt;=LEFT('RFM input'!$G$60,4),"enter input",IF(LEFT(O$6,4)&gt;LEFT('RFM input'!$Q$60,4),0,
IF(O$6=(OFFSET('RFM input'!$G$60,0,'RFM input'!$V$7)),OFFSET('RFM input'!$H$411,$A2547,0),0)))</f>
        <v>0</v>
      </c>
      <c r="P2549" s="1417">
        <f ca="1">IF(LEFT(P$6,4)&lt;=LEFT('RFM input'!$G$60,4),"enter input",IF(LEFT(P$6,4)&gt;LEFT('RFM input'!$Q$60,4),0,
IF(P$6=(OFFSET('RFM input'!$G$60,0,'RFM input'!$V$7)),OFFSET('RFM input'!$H$411,$A2547,0),0)))</f>
        <v>0</v>
      </c>
      <c r="Q2549" s="1417">
        <f ca="1">IF(LEFT(Q$6,4)&lt;=LEFT('RFM input'!$G$60,4),"enter input",IF(LEFT(Q$6,4)&gt;LEFT('RFM input'!$Q$60,4),0,
IF(Q$6=(OFFSET('RFM input'!$G$60,0,'RFM input'!$V$7)),OFFSET('RFM input'!$H$411,$A2547,0),0)))</f>
        <v>0</v>
      </c>
      <c r="R2549" s="1417">
        <f ca="1">IF(LEFT(R$6,4)&lt;=LEFT('RFM input'!$G$60,4),"enter input",IF(LEFT(R$6,4)&gt;LEFT('RFM input'!$Q$60,4),0,
IF(R$6=(OFFSET('RFM input'!$G$60,0,'RFM input'!$V$7)),OFFSET('RFM input'!$H$411,$A2547,0),0)))</f>
        <v>0</v>
      </c>
      <c r="S2549" s="1417">
        <f ca="1">IF(LEFT(S$6,4)&lt;=LEFT('RFM input'!$G$60,4),"enter input",IF(LEFT(S$6,4)&gt;LEFT('RFM input'!$Q$60,4),0,
IF(S$6=(OFFSET('RFM input'!$G$60,0,'RFM input'!$V$7)),OFFSET('RFM input'!$H$411,$A2547,0),0)))</f>
        <v>0</v>
      </c>
      <c r="T2549" s="1417">
        <f ca="1">IF(LEFT(T$6,4)&lt;=LEFT('RFM input'!$G$60,4),"enter input",IF(LEFT(T$6,4)&gt;LEFT('RFM input'!$Q$60,4),0,
IF(T$6=(OFFSET('RFM input'!$G$60,0,'RFM input'!$V$7)),OFFSET('RFM input'!$H$411,$A2547,0),0)))</f>
        <v>0</v>
      </c>
      <c r="U2549" s="1417">
        <f ca="1">IF(LEFT(U$6,4)&lt;=LEFT('RFM input'!$G$60,4),"enter input",IF(LEFT(U$6,4)&gt;LEFT('RFM input'!$Q$60,4),0,
IF(U$6=(OFFSET('RFM input'!$G$60,0,'RFM input'!$V$7)),OFFSET('RFM input'!$H$411,$A2547,0),0)))</f>
        <v>0</v>
      </c>
      <c r="V2549" s="1417">
        <f ca="1">IF(LEFT(V$6,4)&lt;=LEFT('RFM input'!$G$60,4),"enter input",IF(LEFT(V$6,4)&gt;LEFT('RFM input'!$Q$60,4),0,
IF(V$6=(OFFSET('RFM input'!$G$60,0,'RFM input'!$V$7)),OFFSET('RFM input'!$H$411,$A2547,0),0)))</f>
        <v>0</v>
      </c>
      <c r="W2549" s="1417">
        <f ca="1">IF(LEFT(W$6,4)&lt;=LEFT('RFM input'!$G$60,4),"enter input",IF(LEFT(W$6,4)&gt;LEFT('RFM input'!$Q$60,4),0,
IF(W$6=(OFFSET('RFM input'!$G$60,0,'RFM input'!$V$7)),OFFSET('RFM input'!$H$411,$A2547,0),0)))</f>
        <v>0</v>
      </c>
      <c r="X2549" s="152"/>
      <c r="Y2549" s="152"/>
      <c r="Z2549" s="152"/>
      <c r="AA2549" s="152"/>
      <c r="AB2549" s="152"/>
    </row>
    <row r="2550" spans="1:28">
      <c r="A2550" s="152"/>
      <c r="B2550" s="193" t="s">
        <v>200</v>
      </c>
      <c r="C2550" s="1419"/>
      <c r="D2550" s="1418">
        <f ca="1">IF(LEFT(D$6,4)&lt;=LEFT('RFM input'!$G$60,4),"enter input",IF(LEFT(D$6,4)&gt;LEFT('RFM input'!$Q$60,4),0,
IF(D$6=(OFFSET('RFM input'!$G$60,0,'RFM input'!$V$7)),OFFSET('RFM input'!$J$411,$A2547,0),0)))</f>
        <v>0</v>
      </c>
      <c r="E2550" s="1422">
        <f ca="1">IF(LEFT(E$6,4)&lt;=LEFT('RFM input'!$G$60,4),"enter input",IF(LEFT(E$6,4)&gt;LEFT('RFM input'!$Q$60,4),0,
IF(E$6=(OFFSET('RFM input'!$G$60,0,'RFM input'!$V$7)),OFFSET('RFM input'!$J$411,$A2547,0),0)))</f>
        <v>0</v>
      </c>
      <c r="F2550" s="1422">
        <f ca="1">IF(LEFT(F$6,4)&lt;=LEFT('RFM input'!$G$60,4),"enter input",IF(LEFT(F$6,4)&gt;LEFT('RFM input'!$Q$60,4),0,
IF(F$6=(OFFSET('RFM input'!$G$60,0,'RFM input'!$V$7)),OFFSET('RFM input'!$J$411,$A2547,0),0)))</f>
        <v>0</v>
      </c>
      <c r="G2550" s="1422">
        <f ca="1">IF(LEFT(G$6,4)&lt;=LEFT('RFM input'!$G$60,4),"enter input",IF(LEFT(G$6,4)&gt;LEFT('RFM input'!$Q$60,4),0,
IF(G$6=(OFFSET('RFM input'!$G$60,0,'RFM input'!$V$7)),OFFSET('RFM input'!$J$411,$A2547,0),0)))</f>
        <v>0</v>
      </c>
      <c r="H2550" s="1422">
        <f ca="1">IF(LEFT(H$6,4)&lt;=LEFT('RFM input'!$G$60,4),"enter input",IF(LEFT(H$6,4)&gt;LEFT('RFM input'!$Q$60,4),0,
IF(H$6=(OFFSET('RFM input'!$G$60,0,'RFM input'!$V$7)),OFFSET('RFM input'!$J$411,$A2547,0),0)))</f>
        <v>0</v>
      </c>
      <c r="I2550" s="1422">
        <f ca="1">IF(LEFT(I$6,4)&lt;=LEFT('RFM input'!$G$60,4),"enter input",IF(LEFT(I$6,4)&gt;LEFT('RFM input'!$Q$60,4),0,
IF(I$6=(OFFSET('RFM input'!$G$60,0,'RFM input'!$V$7)),OFFSET('RFM input'!$J$411,$A2547,0),0)))</f>
        <v>0</v>
      </c>
      <c r="J2550" s="1422">
        <f ca="1">IF(LEFT(J$6,4)&lt;=LEFT('RFM input'!$G$60,4),"enter input",IF(LEFT(J$6,4)&gt;LEFT('RFM input'!$Q$60,4),0,
IF(J$6=(OFFSET('RFM input'!$G$60,0,'RFM input'!$V$7)),OFFSET('RFM input'!$J$411,$A2547,0),0)))</f>
        <v>0</v>
      </c>
      <c r="K2550" s="1422">
        <f ca="1">IF(LEFT(K$6,4)&lt;=LEFT('RFM input'!$G$60,4),"enter input",IF(LEFT(K$6,4)&gt;LEFT('RFM input'!$Q$60,4),0,
IF(K$6=(OFFSET('RFM input'!$G$60,0,'RFM input'!$V$7)),OFFSET('RFM input'!$J$411,$A2547,0),0)))</f>
        <v>0</v>
      </c>
      <c r="L2550" s="1422">
        <f ca="1">IF(LEFT(L$6,4)&lt;=LEFT('RFM input'!$G$60,4),"enter input",IF(LEFT(L$6,4)&gt;LEFT('RFM input'!$Q$60,4),0,
IF(L$6=(OFFSET('RFM input'!$G$60,0,'RFM input'!$V$7)),OFFSET('RFM input'!$J$411,$A2547,0),0)))</f>
        <v>0</v>
      </c>
      <c r="M2550" s="1422">
        <f ca="1">IF(LEFT(M$6,4)&lt;=LEFT('RFM input'!$G$60,4),"enter input",IF(LEFT(M$6,4)&gt;LEFT('RFM input'!$Q$60,4),0,
IF(M$6=(OFFSET('RFM input'!$G$60,0,'RFM input'!$V$7)),OFFSET('RFM input'!$J$411,$A2547,0),0)))</f>
        <v>0</v>
      </c>
      <c r="N2550" s="1422">
        <f ca="1">IF(LEFT(N$6,4)&lt;=LEFT('RFM input'!$G$60,4),"enter input",IF(LEFT(N$6,4)&gt;LEFT('RFM input'!$Q$60,4),0,
IF(N$6=(OFFSET('RFM input'!$G$60,0,'RFM input'!$V$7)),OFFSET('RFM input'!$J$411,$A2547,0),0)))</f>
        <v>0</v>
      </c>
      <c r="O2550" s="1422">
        <f ca="1">IF(LEFT(O$6,4)&lt;=LEFT('RFM input'!$G$60,4),"enter input",IF(LEFT(O$6,4)&gt;LEFT('RFM input'!$Q$60,4),0,
IF(O$6=(OFFSET('RFM input'!$G$60,0,'RFM input'!$V$7)),OFFSET('RFM input'!$J$411,$A2547,0),0)))</f>
        <v>0</v>
      </c>
      <c r="P2550" s="1422">
        <f ca="1">IF(LEFT(P$6,4)&lt;=LEFT('RFM input'!$G$60,4),"enter input",IF(LEFT(P$6,4)&gt;LEFT('RFM input'!$Q$60,4),0,
IF(P$6=(OFFSET('RFM input'!$G$60,0,'RFM input'!$V$7)),OFFSET('RFM input'!$J$411,$A2547,0),0)))</f>
        <v>0</v>
      </c>
      <c r="Q2550" s="1422">
        <f ca="1">IF(LEFT(Q$6,4)&lt;=LEFT('RFM input'!$G$60,4),"enter input",IF(LEFT(Q$6,4)&gt;LEFT('RFM input'!$Q$60,4),0,
IF(Q$6=(OFFSET('RFM input'!$G$60,0,'RFM input'!$V$7)),OFFSET('RFM input'!$J$411,$A2547,0),0)))</f>
        <v>0</v>
      </c>
      <c r="R2550" s="1422">
        <f ca="1">IF(LEFT(R$6,4)&lt;=LEFT('RFM input'!$G$60,4),"enter input",IF(LEFT(R$6,4)&gt;LEFT('RFM input'!$Q$60,4),0,
IF(R$6=(OFFSET('RFM input'!$G$60,0,'RFM input'!$V$7)),OFFSET('RFM input'!$J$411,$A2547,0),0)))</f>
        <v>0</v>
      </c>
      <c r="S2550" s="1422">
        <f ca="1">IF(LEFT(S$6,4)&lt;=LEFT('RFM input'!$G$60,4),"enter input",IF(LEFT(S$6,4)&gt;LEFT('RFM input'!$Q$60,4),0,
IF(S$6=(OFFSET('RFM input'!$G$60,0,'RFM input'!$V$7)),OFFSET('RFM input'!$J$411,$A2547,0),0)))</f>
        <v>0</v>
      </c>
      <c r="T2550" s="1422">
        <f ca="1">IF(LEFT(T$6,4)&lt;=LEFT('RFM input'!$G$60,4),"enter input",IF(LEFT(T$6,4)&gt;LEFT('RFM input'!$Q$60,4),0,
IF(T$6=(OFFSET('RFM input'!$G$60,0,'RFM input'!$V$7)),OFFSET('RFM input'!$J$411,$A2547,0),0)))</f>
        <v>0</v>
      </c>
      <c r="U2550" s="1422">
        <f ca="1">IF(LEFT(U$6,4)&lt;=LEFT('RFM input'!$G$60,4),"enter input",IF(LEFT(U$6,4)&gt;LEFT('RFM input'!$Q$60,4),0,
IF(U$6=(OFFSET('RFM input'!$G$60,0,'RFM input'!$V$7)),OFFSET('RFM input'!$J$411,$A2547,0),0)))</f>
        <v>0</v>
      </c>
      <c r="V2550" s="1422">
        <f ca="1">IF(LEFT(V$6,4)&lt;=LEFT('RFM input'!$G$60,4),"enter input",IF(LEFT(V$6,4)&gt;LEFT('RFM input'!$Q$60,4),0,
IF(V$6=(OFFSET('RFM input'!$G$60,0,'RFM input'!$V$7)),OFFSET('RFM input'!$J$411,$A2547,0),0)))</f>
        <v>0</v>
      </c>
      <c r="W2550" s="1422">
        <f ca="1">IF(LEFT(W$6,4)&lt;=LEFT('RFM input'!$G$60,4),"enter input",IF(LEFT(W$6,4)&gt;LEFT('RFM input'!$Q$60,4),0,
IF(W$6=(OFFSET('RFM input'!$G$60,0,'RFM input'!$V$7)),OFFSET('RFM input'!$J$411,$A2547,0),0)))</f>
        <v>0</v>
      </c>
      <c r="X2550" s="152"/>
      <c r="Y2550" s="152"/>
      <c r="Z2550" s="152"/>
      <c r="AA2550" s="152"/>
      <c r="AB2550" s="152"/>
    </row>
    <row r="2551" spans="1:28" hidden="1" outlineLevel="1">
      <c r="A2551" s="235">
        <v>-1</v>
      </c>
      <c r="B2551" s="190" t="s">
        <v>195</v>
      </c>
      <c r="C2551" s="1423"/>
      <c r="D2551" s="1423">
        <f t="shared" ref="D2551" ca="1" si="3712">IF(AND(D2549=0,C2551=0),0,
IF(AND(D2549&lt;&gt;0,C2551=0),D2549,
IF(AND(D2550&lt;&gt;0,C2551&lt;&gt;0),(C2551-(C2551/C2575))+D2549,
IF(C2575&lt;1,0,(C2551-(C2551/C2575))))))</f>
        <v>0</v>
      </c>
      <c r="E2551" s="1423">
        <f t="shared" ref="E2551" ca="1" si="3713">IF(AND(E2549=0,D2551=0),0,
IF(AND(E2549&lt;&gt;0,D2551=0),E2549,
IF(AND(E2550&lt;&gt;0,D2551&lt;&gt;0),(D2551-(D2551/D2575))+E2549,
IF(D2575&lt;1,0,(D2551-(D2551/D2575))))))</f>
        <v>0</v>
      </c>
      <c r="F2551" s="1423">
        <f t="shared" ref="F2551" ca="1" si="3714">IF(AND(F2549=0,E2551=0),0,
IF(AND(F2549&lt;&gt;0,E2551=0),F2549,
IF(AND(F2550&lt;&gt;0,E2551&lt;&gt;0),(E2551-(E2551/E2575))+F2549,
IF(E2575&lt;1,0,(E2551-(E2551/E2575))))))</f>
        <v>0</v>
      </c>
      <c r="G2551" s="1423">
        <f t="shared" ref="G2551" ca="1" si="3715">IF(AND(G2549=0,F2551=0),0,
IF(AND(G2549&lt;&gt;0,F2551=0),G2549,
IF(AND(G2550&lt;&gt;0,F2551&lt;&gt;0),(F2551-(F2551/F2575))+G2549,
IF(F2575&lt;1,0,(F2551-(F2551/F2575))))))</f>
        <v>0</v>
      </c>
      <c r="H2551" s="1423">
        <f ca="1">IF(AND(H2549=0,G2551=0),0,
IF(AND(H2549&lt;&gt;0,G2551=0),H2549,
IF(AND(H2550&lt;&gt;0,G2551&lt;&gt;0),(G2551-(G2551/G2575))+H2549,
IF(G2575&lt;1,0,(G2551-(G2551/G2575))))))</f>
        <v>0</v>
      </c>
      <c r="I2551" s="1423">
        <f t="shared" ref="I2551" ca="1" si="3716">IF(AND(I2549=0,H2551=0),0,
IF(AND(I2549&lt;&gt;0,H2551=0),I2549,
IF(AND(I2550&lt;&gt;0,H2551&lt;&gt;0),(H2551-(H2551/H2575))+I2549,
IF(H2575&lt;1,0,(H2551-(H2551/H2575))))))</f>
        <v>0</v>
      </c>
      <c r="J2551" s="1423">
        <f t="shared" ref="J2551" ca="1" si="3717">IF(AND(J2549=0,I2551=0),0,
IF(AND(J2549&lt;&gt;0,I2551=0),J2549,
IF(AND(J2550&lt;&gt;0,I2551&lt;&gt;0),(I2551-(I2551/I2575))+J2549,
IF(I2575&lt;1,0,(I2551-(I2551/I2575))))))</f>
        <v>0</v>
      </c>
      <c r="K2551" s="1423">
        <f t="shared" ref="K2551" ca="1" si="3718">IF(AND(K2549=0,J2551=0),0,
IF(AND(K2549&lt;&gt;0,J2551=0),K2549,
IF(AND(K2550&lt;&gt;0,J2551&lt;&gt;0),(J2551-(J2551/J2575))+K2549,
IF(J2575&lt;1,0,(J2551-(J2551/J2575))))))</f>
        <v>0</v>
      </c>
      <c r="L2551" s="1423">
        <f t="shared" ref="L2551" ca="1" si="3719">IF(AND(L2549=0,K2551=0),0,
IF(AND(L2549&lt;&gt;0,K2551=0),L2549,
IF(AND(L2550&lt;&gt;0,K2551&lt;&gt;0),(K2551-(K2551/K2575))+L2549,
IF(K2575&lt;1,0,(K2551-(K2551/K2575))))))</f>
        <v>0</v>
      </c>
      <c r="M2551" s="1423">
        <f t="shared" ref="M2551" ca="1" si="3720">IF(AND(M2549=0,L2551=0),0,
IF(AND(M2549&lt;&gt;0,L2551=0),M2549,
IF(AND(M2550&lt;&gt;0,L2551&lt;&gt;0),(L2551-(L2551/L2575))+M2549,
IF(L2575&lt;1,0,(L2551-(L2551/L2575))))))</f>
        <v>0</v>
      </c>
      <c r="N2551" s="1423">
        <f t="shared" ref="N2551" ca="1" si="3721">IF(AND(N2549=0,M2551=0),0,
IF(AND(N2549&lt;&gt;0,M2551=0),N2549,
IF(AND(N2550&lt;&gt;0,M2551&lt;&gt;0),(M2551-(M2551/M2575))+N2549,
IF(M2575&lt;1,0,(M2551-(M2551/M2575))))))</f>
        <v>0</v>
      </c>
      <c r="O2551" s="1423">
        <f t="shared" ref="O2551" ca="1" si="3722">IF(AND(O2549=0,N2551=0),0,
IF(AND(O2549&lt;&gt;0,N2551=0),O2549,
IF(AND(O2550&lt;&gt;0,N2551&lt;&gt;0),(N2551-(N2551/N2575))+O2549,
IF(N2575&lt;1,0,(N2551-(N2551/N2575))))))</f>
        <v>0</v>
      </c>
      <c r="P2551" s="1423">
        <f t="shared" ref="P2551" ca="1" si="3723">IF(AND(P2549=0,O2551=0),0,
IF(AND(P2549&lt;&gt;0,O2551=0),P2549,
IF(AND(P2550&lt;&gt;0,O2551&lt;&gt;0),(O2551-(O2551/O2575))+P2549,
IF(O2575&lt;1,0,(O2551-(O2551/O2575))))))</f>
        <v>0</v>
      </c>
      <c r="Q2551" s="1423">
        <f t="shared" ref="Q2551" ca="1" si="3724">IF(AND(Q2549=0,P2551=0),0,
IF(AND(Q2549&lt;&gt;0,P2551=0),Q2549,
IF(AND(Q2550&lt;&gt;0,P2551&lt;&gt;0),(P2551-(P2551/P2575))+Q2549,
IF(P2575&lt;1,0,(P2551-(P2551/P2575))))))</f>
        <v>0</v>
      </c>
      <c r="R2551" s="1423">
        <f t="shared" ref="R2551" ca="1" si="3725">IF(AND(R2549=0,Q2551=0),0,
IF(AND(R2549&lt;&gt;0,Q2551=0),R2549,
IF(AND(R2550&lt;&gt;0,Q2551&lt;&gt;0),(Q2551-(Q2551/Q2575))+R2549,
IF(Q2575&lt;1,0,(Q2551-(Q2551/Q2575))))))</f>
        <v>0</v>
      </c>
      <c r="S2551" s="1423">
        <f t="shared" ref="S2551" ca="1" si="3726">IF(AND(S2549=0,R2551=0),0,
IF(AND(S2549&lt;&gt;0,R2551=0),S2549,
IF(AND(S2550&lt;&gt;0,R2551&lt;&gt;0),(R2551-(R2551/R2575))+S2549,
IF(R2575&lt;1,0,(R2551-(R2551/R2575))))))</f>
        <v>0</v>
      </c>
      <c r="T2551" s="1423">
        <f t="shared" ref="T2551" ca="1" si="3727">IF(AND(T2549=0,S2551=0),0,
IF(AND(T2549&lt;&gt;0,S2551=0),T2549,
IF(AND(T2550&lt;&gt;0,S2551&lt;&gt;0),(S2551-(S2551/S2575))+T2549,
IF(S2575&lt;1,0,(S2551-(S2551/S2575))))))</f>
        <v>0</v>
      </c>
      <c r="U2551" s="1423">
        <f t="shared" ref="U2551" ca="1" si="3728">IF(AND(U2549=0,T2551=0),0,
IF(AND(U2549&lt;&gt;0,T2551=0),U2549,
IF(AND(U2550&lt;&gt;0,T2551&lt;&gt;0),(T2551-(T2551/T2575))+U2549,
IF(T2575&lt;1,0,(T2551-(T2551/T2575))))))</f>
        <v>0</v>
      </c>
      <c r="V2551" s="1423">
        <f t="shared" ref="V2551" ca="1" si="3729">IF(AND(V2549=0,U2551=0),0,
IF(AND(V2549&lt;&gt;0,U2551=0),V2549,
IF(AND(V2550&lt;&gt;0,U2551&lt;&gt;0),(U2551-(U2551/U2575))+V2549,
IF(U2575&lt;1,0,(U2551-(U2551/U2575))))))</f>
        <v>0</v>
      </c>
      <c r="W2551" s="1423">
        <f t="shared" ref="W2551" ca="1" si="3730">IF(AND(W2549=0,V2551=0),0,
IF(AND(W2549&lt;&gt;0,V2551=0),W2549,
IF(AND(W2550&lt;&gt;0,V2551&lt;&gt;0),(V2551-(V2551/V2575))+W2549,
IF(V2575&lt;1,0,(V2551-(V2551/V2575))))))</f>
        <v>0</v>
      </c>
      <c r="X2551" s="152"/>
      <c r="Y2551" s="152"/>
      <c r="Z2551" s="152"/>
      <c r="AA2551" s="152"/>
      <c r="AB2551" s="152"/>
    </row>
    <row r="2552" spans="1:28" hidden="1" outlineLevel="1">
      <c r="A2552" s="199">
        <f>A2551+1</f>
        <v>0</v>
      </c>
      <c r="B2552" s="190" t="s">
        <v>527</v>
      </c>
      <c r="C2552" s="1423">
        <f ca="1">C2547</f>
        <v>0</v>
      </c>
      <c r="D2552" s="1423">
        <f ca="1">IF(C2576="n/a",C2552,IFERROR(IF((OFFSET($C2552,0,$A2552))&lt;0,
MIN(0,C2552-(OFFSET($C2552,0,$A2552)/(OFFSET($C2547,-$A2551,$A2552)))),
MAX(0,C2552-(OFFSET($C2552,0,$A2552)/(OFFSET($C2547,-$A2551,$A2552))))),0))</f>
        <v>0</v>
      </c>
      <c r="E2552" s="1423">
        <f t="shared" ref="E2552" ca="1" si="3731">IF(D2576="n/a",D2552,IFERROR(IF((OFFSET($C2552,0,$A2552))&lt;0,
MIN(0,D2552-(OFFSET($C2552,0,$A2552)/(OFFSET($C2547,-$A2551,$A2552)))),
MAX(0,D2552-(OFFSET($C2552,0,$A2552)/(OFFSET($C2547,-$A2551,$A2552))))),0))</f>
        <v>0</v>
      </c>
      <c r="F2552" s="1423">
        <f t="shared" ref="F2552:F2553" ca="1" si="3732">IF(E2576="n/a",E2552,IFERROR(IF((OFFSET($C2552,0,$A2552))&lt;0,
MIN(0,E2552-(OFFSET($C2552,0,$A2552)/(OFFSET($C2547,-$A2551,$A2552)))),
MAX(0,E2552-(OFFSET($C2552,0,$A2552)/(OFFSET($C2547,-$A2551,$A2552))))),0))</f>
        <v>0</v>
      </c>
      <c r="G2552" s="1423">
        <f t="shared" ref="G2552:G2554" ca="1" si="3733">IF(F2576="n/a",F2552,IFERROR(IF((OFFSET($C2552,0,$A2552))&lt;0,
MIN(0,F2552-(OFFSET($C2552,0,$A2552)/(OFFSET($C2547,-$A2551,$A2552)))),
MAX(0,F2552-(OFFSET($C2552,0,$A2552)/(OFFSET($C2547,-$A2551,$A2552))))),0))</f>
        <v>0</v>
      </c>
      <c r="H2552" s="1423">
        <f t="shared" ref="H2552:H2555" ca="1" si="3734">IF(G2576="n/a",G2552,IFERROR(IF((OFFSET($C2552,0,$A2552))&lt;0,
MIN(0,G2552-(OFFSET($C2552,0,$A2552)/(OFFSET($C2547,-$A2551,$A2552)))),
MAX(0,G2552-(OFFSET($C2552,0,$A2552)/(OFFSET($C2547,-$A2551,$A2552))))),0))</f>
        <v>0</v>
      </c>
      <c r="I2552" s="1423">
        <f t="shared" ref="I2552:I2556" ca="1" si="3735">IF(H2576="n/a",H2552,IFERROR(IF((OFFSET($C2552,0,$A2552))&lt;0,
MIN(0,H2552-(OFFSET($C2552,0,$A2552)/(OFFSET($C2547,-$A2551,$A2552)))),
MAX(0,H2552-(OFFSET($C2552,0,$A2552)/(OFFSET($C2547,-$A2551,$A2552))))),0))</f>
        <v>0</v>
      </c>
      <c r="J2552" s="1423">
        <f t="shared" ref="J2552:J2557" ca="1" si="3736">IF(I2576="n/a",I2552,IFERROR(IF((OFFSET($C2552,0,$A2552))&lt;0,
MIN(0,I2552-(OFFSET($C2552,0,$A2552)/(OFFSET($C2547,-$A2551,$A2552)))),
MAX(0,I2552-(OFFSET($C2552,0,$A2552)/(OFFSET($C2547,-$A2551,$A2552))))),0))</f>
        <v>0</v>
      </c>
      <c r="K2552" s="1423">
        <f t="shared" ref="K2552:K2558" ca="1" si="3737">IF(J2576="n/a",J2552,IFERROR(IF((OFFSET($C2552,0,$A2552))&lt;0,
MIN(0,J2552-(OFFSET($C2552,0,$A2552)/(OFFSET($C2547,-$A2551,$A2552)))),
MAX(0,J2552-(OFFSET($C2552,0,$A2552)/(OFFSET($C2547,-$A2551,$A2552))))),0))</f>
        <v>0</v>
      </c>
      <c r="L2552" s="1423">
        <f t="shared" ref="L2552:L2559" ca="1" si="3738">IF(K2576="n/a",K2552,IFERROR(IF((OFFSET($C2552,0,$A2552))&lt;0,
MIN(0,K2552-(OFFSET($C2552,0,$A2552)/(OFFSET($C2547,-$A2551,$A2552)))),
MAX(0,K2552-(OFFSET($C2552,0,$A2552)/(OFFSET($C2547,-$A2551,$A2552))))),0))</f>
        <v>0</v>
      </c>
      <c r="M2552" s="1423">
        <f t="shared" ref="M2552:M2560" ca="1" si="3739">IF(L2576="n/a",L2552,IFERROR(IF((OFFSET($C2552,0,$A2552))&lt;0,
MIN(0,L2552-(OFFSET($C2552,0,$A2552)/(OFFSET($C2547,-$A2551,$A2552)))),
MAX(0,L2552-(OFFSET($C2552,0,$A2552)/(OFFSET($C2547,-$A2551,$A2552))))),0))</f>
        <v>0</v>
      </c>
      <c r="N2552" s="1423">
        <f t="shared" ref="N2552:N2561" ca="1" si="3740">IF(M2576="n/a",M2552,IFERROR(IF((OFFSET($C2552,0,$A2552))&lt;0,
MIN(0,M2552-(OFFSET($C2552,0,$A2552)/(OFFSET($C2547,-$A2551,$A2552)))),
MAX(0,M2552-(OFFSET($C2552,0,$A2552)/(OFFSET($C2547,-$A2551,$A2552))))),0))</f>
        <v>0</v>
      </c>
      <c r="O2552" s="1423">
        <f t="shared" ref="O2552:O2562" ca="1" si="3741">IF(N2576="n/a",N2552,IFERROR(IF((OFFSET($C2552,0,$A2552))&lt;0,
MIN(0,N2552-(OFFSET($C2552,0,$A2552)/(OFFSET($C2547,-$A2551,$A2552)))),
MAX(0,N2552-(OFFSET($C2552,0,$A2552)/(OFFSET($C2547,-$A2551,$A2552))))),0))</f>
        <v>0</v>
      </c>
      <c r="P2552" s="1423">
        <f t="shared" ref="P2552:P2563" ca="1" si="3742">IF(O2576="n/a",O2552,IFERROR(IF((OFFSET($C2552,0,$A2552))&lt;0,
MIN(0,O2552-(OFFSET($C2552,0,$A2552)/(OFFSET($C2547,-$A2551,$A2552)))),
MAX(0,O2552-(OFFSET($C2552,0,$A2552)/(OFFSET($C2547,-$A2551,$A2552))))),0))</f>
        <v>0</v>
      </c>
      <c r="Q2552" s="1423">
        <f t="shared" ref="Q2552:Q2564" ca="1" si="3743">IF(P2576="n/a",P2552,IFERROR(IF((OFFSET($C2552,0,$A2552))&lt;0,
MIN(0,P2552-(OFFSET($C2552,0,$A2552)/(OFFSET($C2547,-$A2551,$A2552)))),
MAX(0,P2552-(OFFSET($C2552,0,$A2552)/(OFFSET($C2547,-$A2551,$A2552))))),0))</f>
        <v>0</v>
      </c>
      <c r="R2552" s="1423">
        <f t="shared" ref="R2552:R2565" ca="1" si="3744">IF(Q2576="n/a",Q2552,IFERROR(IF((OFFSET($C2552,0,$A2552))&lt;0,
MIN(0,Q2552-(OFFSET($C2552,0,$A2552)/(OFFSET($C2547,-$A2551,$A2552)))),
MAX(0,Q2552-(OFFSET($C2552,0,$A2552)/(OFFSET($C2547,-$A2551,$A2552))))),0))</f>
        <v>0</v>
      </c>
      <c r="S2552" s="1423">
        <f t="shared" ref="S2552:S2566" ca="1" si="3745">IF(R2576="n/a",R2552,IFERROR(IF((OFFSET($C2552,0,$A2552))&lt;0,
MIN(0,R2552-(OFFSET($C2552,0,$A2552)/(OFFSET($C2547,-$A2551,$A2552)))),
MAX(0,R2552-(OFFSET($C2552,0,$A2552)/(OFFSET($C2547,-$A2551,$A2552))))),0))</f>
        <v>0</v>
      </c>
      <c r="T2552" s="1423">
        <f t="shared" ref="T2552:T2567" ca="1" si="3746">IF(S2576="n/a",S2552,IFERROR(IF((OFFSET($C2552,0,$A2552))&lt;0,
MIN(0,S2552-(OFFSET($C2552,0,$A2552)/(OFFSET($C2547,-$A2551,$A2552)))),
MAX(0,S2552-(OFFSET($C2552,0,$A2552)/(OFFSET($C2547,-$A2551,$A2552))))),0))</f>
        <v>0</v>
      </c>
      <c r="U2552" s="1423">
        <f t="shared" ref="U2552:U2568" ca="1" si="3747">IF(T2576="n/a",T2552,IFERROR(IF((OFFSET($C2552,0,$A2552))&lt;0,
MIN(0,T2552-(OFFSET($C2552,0,$A2552)/(OFFSET($C2547,-$A2551,$A2552)))),
MAX(0,T2552-(OFFSET($C2552,0,$A2552)/(OFFSET($C2547,-$A2551,$A2552))))),0))</f>
        <v>0</v>
      </c>
      <c r="V2552" s="1423">
        <f t="shared" ref="V2552:V2569" ca="1" si="3748">IF(U2576="n/a",U2552,IFERROR(IF((OFFSET($C2552,0,$A2552))&lt;0,
MIN(0,U2552-(OFFSET($C2552,0,$A2552)/(OFFSET($C2547,-$A2551,$A2552)))),
MAX(0,U2552-(OFFSET($C2552,0,$A2552)/(OFFSET($C2547,-$A2551,$A2552))))),0))</f>
        <v>0</v>
      </c>
      <c r="W2552" s="1423">
        <f t="shared" ref="W2552:W2570" ca="1" si="3749">IF(V2576="n/a",V2552,IFERROR(IF((OFFSET($C2552,0,$A2552))&lt;0,
MIN(0,V2552-(OFFSET($C2552,0,$A2552)/(OFFSET($C2547,-$A2551,$A2552)))),
MAX(0,V2552-(OFFSET($C2552,0,$A2552)/(OFFSET($C2547,-$A2551,$A2552))))),0))</f>
        <v>0</v>
      </c>
      <c r="X2552" s="152"/>
      <c r="Y2552" s="152"/>
      <c r="Z2552" s="152"/>
      <c r="AA2552" s="152"/>
      <c r="AB2552" s="152"/>
    </row>
    <row r="2553" spans="1:28" hidden="1" outlineLevel="1">
      <c r="A2553" s="199">
        <f t="shared" ref="A2553:A2572" si="3750">A2552+1</f>
        <v>1</v>
      </c>
      <c r="B2553" s="190" t="str">
        <f t="shared" ref="B2553:B2572" ca="1" si="3751">"Depreciated Net Capex "&amp;OFFSET($C$6,0,A2553)</f>
        <v>Depreciated Net Capex 2016-17</v>
      </c>
      <c r="C2553" s="1424"/>
      <c r="D2553" s="1425">
        <f>D2547</f>
        <v>0</v>
      </c>
      <c r="E2553" s="1423">
        <f ca="1">IF(D2577="n/a",D2553,IFERROR(IF((OFFSET($C2553,0,$A2553))&lt;0,
MIN(0,D2553-(OFFSET($C2553,0,$A2553)/(OFFSET($C2548,-$A2552,$A2553)))),
MAX(0,D2553-(OFFSET($C2553,0,$A2553)/(OFFSET($C2548,-$A2552,$A2553))))),0))</f>
        <v>0</v>
      </c>
      <c r="F2553" s="1423">
        <f t="shared" ca="1" si="3732"/>
        <v>0</v>
      </c>
      <c r="G2553" s="1423">
        <f t="shared" ca="1" si="3733"/>
        <v>0</v>
      </c>
      <c r="H2553" s="1423">
        <f t="shared" ca="1" si="3734"/>
        <v>0</v>
      </c>
      <c r="I2553" s="1423">
        <f t="shared" ca="1" si="3735"/>
        <v>0</v>
      </c>
      <c r="J2553" s="1423">
        <f t="shared" ca="1" si="3736"/>
        <v>0</v>
      </c>
      <c r="K2553" s="1423">
        <f t="shared" ca="1" si="3737"/>
        <v>0</v>
      </c>
      <c r="L2553" s="1423">
        <f t="shared" ca="1" si="3738"/>
        <v>0</v>
      </c>
      <c r="M2553" s="1423">
        <f t="shared" ca="1" si="3739"/>
        <v>0</v>
      </c>
      <c r="N2553" s="1423">
        <f t="shared" ca="1" si="3740"/>
        <v>0</v>
      </c>
      <c r="O2553" s="1423">
        <f t="shared" ca="1" si="3741"/>
        <v>0</v>
      </c>
      <c r="P2553" s="1423">
        <f t="shared" ca="1" si="3742"/>
        <v>0</v>
      </c>
      <c r="Q2553" s="1423">
        <f t="shared" ca="1" si="3743"/>
        <v>0</v>
      </c>
      <c r="R2553" s="1423">
        <f t="shared" ca="1" si="3744"/>
        <v>0</v>
      </c>
      <c r="S2553" s="1423">
        <f t="shared" ca="1" si="3745"/>
        <v>0</v>
      </c>
      <c r="T2553" s="1423">
        <f t="shared" ca="1" si="3746"/>
        <v>0</v>
      </c>
      <c r="U2553" s="1423">
        <f t="shared" ca="1" si="3747"/>
        <v>0</v>
      </c>
      <c r="V2553" s="1423">
        <f t="shared" ca="1" si="3748"/>
        <v>0</v>
      </c>
      <c r="W2553" s="1423">
        <f t="shared" ca="1" si="3749"/>
        <v>0</v>
      </c>
      <c r="X2553" s="152"/>
      <c r="Y2553" s="152"/>
      <c r="Z2553" s="152"/>
      <c r="AA2553" s="152"/>
      <c r="AB2553" s="152"/>
    </row>
    <row r="2554" spans="1:28" hidden="1" outlineLevel="1">
      <c r="A2554" s="199">
        <f t="shared" si="3750"/>
        <v>2</v>
      </c>
      <c r="B2554" s="190" t="str">
        <f t="shared" ca="1" si="3751"/>
        <v>Depreciated Net Capex 2017-18</v>
      </c>
      <c r="C2554" s="1426"/>
      <c r="D2554" s="1427"/>
      <c r="E2554" s="1425">
        <f>E2547</f>
        <v>0</v>
      </c>
      <c r="F2554" s="1423">
        <f ca="1">IF(E2578="n/a",E2554,IFERROR(IF((OFFSET($C2554,0,$A2554))&lt;0,
MIN(0,E2554-(OFFSET($C2554,0,$A2554)/(OFFSET($C2549,-$A2553,$A2554)))),
MAX(0,E2554-(OFFSET($C2554,0,$A2554)/(OFFSET($C2549,-$A2553,$A2554))))),0))</f>
        <v>0</v>
      </c>
      <c r="G2554" s="1423">
        <f t="shared" ca="1" si="3733"/>
        <v>0</v>
      </c>
      <c r="H2554" s="1423">
        <f t="shared" ca="1" si="3734"/>
        <v>0</v>
      </c>
      <c r="I2554" s="1423">
        <f t="shared" ca="1" si="3735"/>
        <v>0</v>
      </c>
      <c r="J2554" s="1423">
        <f t="shared" ca="1" si="3736"/>
        <v>0</v>
      </c>
      <c r="K2554" s="1423">
        <f t="shared" ca="1" si="3737"/>
        <v>0</v>
      </c>
      <c r="L2554" s="1423">
        <f t="shared" ca="1" si="3738"/>
        <v>0</v>
      </c>
      <c r="M2554" s="1423">
        <f t="shared" ca="1" si="3739"/>
        <v>0</v>
      </c>
      <c r="N2554" s="1423">
        <f t="shared" ca="1" si="3740"/>
        <v>0</v>
      </c>
      <c r="O2554" s="1423">
        <f t="shared" ca="1" si="3741"/>
        <v>0</v>
      </c>
      <c r="P2554" s="1423">
        <f t="shared" ca="1" si="3742"/>
        <v>0</v>
      </c>
      <c r="Q2554" s="1423">
        <f t="shared" ca="1" si="3743"/>
        <v>0</v>
      </c>
      <c r="R2554" s="1423">
        <f t="shared" ca="1" si="3744"/>
        <v>0</v>
      </c>
      <c r="S2554" s="1423">
        <f t="shared" ca="1" si="3745"/>
        <v>0</v>
      </c>
      <c r="T2554" s="1423">
        <f t="shared" ca="1" si="3746"/>
        <v>0</v>
      </c>
      <c r="U2554" s="1423">
        <f t="shared" ca="1" si="3747"/>
        <v>0</v>
      </c>
      <c r="V2554" s="1423">
        <f t="shared" ca="1" si="3748"/>
        <v>0</v>
      </c>
      <c r="W2554" s="1423">
        <f t="shared" ca="1" si="3749"/>
        <v>0</v>
      </c>
      <c r="X2554" s="202"/>
      <c r="Y2554" s="152"/>
      <c r="Z2554" s="152"/>
      <c r="AA2554" s="152"/>
      <c r="AB2554" s="152"/>
    </row>
    <row r="2555" spans="1:28" hidden="1" outlineLevel="1">
      <c r="A2555" s="199">
        <f t="shared" si="3750"/>
        <v>3</v>
      </c>
      <c r="B2555" s="190" t="str">
        <f t="shared" ca="1" si="3751"/>
        <v>Depreciated Net Capex 2018-19</v>
      </c>
      <c r="C2555" s="1426"/>
      <c r="D2555" s="1426"/>
      <c r="E2555" s="1427"/>
      <c r="F2555" s="1428">
        <f>F2547</f>
        <v>0</v>
      </c>
      <c r="G2555" s="1423">
        <f ca="1">IF(F2579="n/a",F2555,IFERROR(IF((OFFSET($C2555,0,$A2555))&lt;0,
MIN(0,F2555-(OFFSET($C2555,0,$A2555)/(OFFSET($C2550,-$A2554,$A2555)))),
MAX(0,F2555-(OFFSET($C2555,0,$A2555)/(OFFSET($C2550,-$A2554,$A2555))))),0))</f>
        <v>0</v>
      </c>
      <c r="H2555" s="1423">
        <f t="shared" ca="1" si="3734"/>
        <v>0</v>
      </c>
      <c r="I2555" s="1423">
        <f t="shared" ca="1" si="3735"/>
        <v>0</v>
      </c>
      <c r="J2555" s="1423">
        <f t="shared" ca="1" si="3736"/>
        <v>0</v>
      </c>
      <c r="K2555" s="1423">
        <f t="shared" ca="1" si="3737"/>
        <v>0</v>
      </c>
      <c r="L2555" s="1423">
        <f t="shared" ca="1" si="3738"/>
        <v>0</v>
      </c>
      <c r="M2555" s="1423">
        <f t="shared" ca="1" si="3739"/>
        <v>0</v>
      </c>
      <c r="N2555" s="1423">
        <f t="shared" ca="1" si="3740"/>
        <v>0</v>
      </c>
      <c r="O2555" s="1423">
        <f t="shared" ca="1" si="3741"/>
        <v>0</v>
      </c>
      <c r="P2555" s="1423">
        <f t="shared" ca="1" si="3742"/>
        <v>0</v>
      </c>
      <c r="Q2555" s="1423">
        <f t="shared" ca="1" si="3743"/>
        <v>0</v>
      </c>
      <c r="R2555" s="1423">
        <f t="shared" ca="1" si="3744"/>
        <v>0</v>
      </c>
      <c r="S2555" s="1423">
        <f t="shared" ca="1" si="3745"/>
        <v>0</v>
      </c>
      <c r="T2555" s="1423">
        <f t="shared" ca="1" si="3746"/>
        <v>0</v>
      </c>
      <c r="U2555" s="1423">
        <f t="shared" ca="1" si="3747"/>
        <v>0</v>
      </c>
      <c r="V2555" s="1423">
        <f t="shared" ca="1" si="3748"/>
        <v>0</v>
      </c>
      <c r="W2555" s="1423">
        <f t="shared" ca="1" si="3749"/>
        <v>0</v>
      </c>
      <c r="X2555" s="202"/>
      <c r="Y2555" s="202"/>
      <c r="Z2555" s="152"/>
      <c r="AA2555" s="152"/>
      <c r="AB2555" s="152"/>
    </row>
    <row r="2556" spans="1:28" hidden="1" outlineLevel="1">
      <c r="A2556" s="199">
        <f t="shared" si="3750"/>
        <v>4</v>
      </c>
      <c r="B2556" s="190" t="str">
        <f t="shared" ca="1" si="3751"/>
        <v>Depreciated Net Capex 2019-20</v>
      </c>
      <c r="C2556" s="1426"/>
      <c r="D2556" s="1426"/>
      <c r="E2556" s="1426"/>
      <c r="F2556" s="1427"/>
      <c r="G2556" s="1428">
        <f>G2547</f>
        <v>0</v>
      </c>
      <c r="H2556" s="1423">
        <f ca="1">IF(G2580="n/a",G2556,IFERROR(IF((OFFSET($C2556,0,$A2556))&lt;0,
MIN(0,G2556-(OFFSET($C2556,0,$A2556)/(OFFSET($C2551,-$A2555,$A2556)))),
MAX(0,G2556-(OFFSET($C2556,0,$A2556)/(OFFSET($C2551,-$A2555,$A2556))))),0))</f>
        <v>0</v>
      </c>
      <c r="I2556" s="1423">
        <f t="shared" ca="1" si="3735"/>
        <v>0</v>
      </c>
      <c r="J2556" s="1423">
        <f t="shared" ca="1" si="3736"/>
        <v>0</v>
      </c>
      <c r="K2556" s="1423">
        <f t="shared" ca="1" si="3737"/>
        <v>0</v>
      </c>
      <c r="L2556" s="1423">
        <f t="shared" ca="1" si="3738"/>
        <v>0</v>
      </c>
      <c r="M2556" s="1423">
        <f t="shared" ca="1" si="3739"/>
        <v>0</v>
      </c>
      <c r="N2556" s="1423">
        <f t="shared" ca="1" si="3740"/>
        <v>0</v>
      </c>
      <c r="O2556" s="1423">
        <f t="shared" ca="1" si="3741"/>
        <v>0</v>
      </c>
      <c r="P2556" s="1423">
        <f t="shared" ca="1" si="3742"/>
        <v>0</v>
      </c>
      <c r="Q2556" s="1423">
        <f t="shared" ca="1" si="3743"/>
        <v>0</v>
      </c>
      <c r="R2556" s="1423">
        <f t="shared" ca="1" si="3744"/>
        <v>0</v>
      </c>
      <c r="S2556" s="1423">
        <f t="shared" ca="1" si="3745"/>
        <v>0</v>
      </c>
      <c r="T2556" s="1423">
        <f t="shared" ca="1" si="3746"/>
        <v>0</v>
      </c>
      <c r="U2556" s="1423">
        <f t="shared" ca="1" si="3747"/>
        <v>0</v>
      </c>
      <c r="V2556" s="1423">
        <f t="shared" ca="1" si="3748"/>
        <v>0</v>
      </c>
      <c r="W2556" s="1423">
        <f t="shared" ca="1" si="3749"/>
        <v>0</v>
      </c>
      <c r="X2556" s="202"/>
      <c r="Y2556" s="202"/>
      <c r="Z2556" s="202"/>
      <c r="AA2556" s="152"/>
      <c r="AB2556" s="152"/>
    </row>
    <row r="2557" spans="1:28" hidden="1" outlineLevel="1">
      <c r="A2557" s="199">
        <f t="shared" si="3750"/>
        <v>5</v>
      </c>
      <c r="B2557" s="190" t="str">
        <f t="shared" ca="1" si="3751"/>
        <v>Depreciated Net Capex 2020-21</v>
      </c>
      <c r="C2557" s="1426"/>
      <c r="D2557" s="1426"/>
      <c r="E2557" s="1426"/>
      <c r="F2557" s="1426"/>
      <c r="G2557" s="1427"/>
      <c r="H2557" s="1428">
        <f>H2547</f>
        <v>0</v>
      </c>
      <c r="I2557" s="1423">
        <f ca="1">IF(H2581="n/a",H2557,IFERROR(IF((OFFSET($C2557,0,$A2557))&lt;0,
MIN(0,H2557-(OFFSET($C2557,0,$A2557)/(OFFSET($C2552,-$A2556,$A2557)))),
MAX(0,H2557-(OFFSET($C2557,0,$A2557)/(OFFSET($C2552,-$A2556,$A2557))))),0))</f>
        <v>0</v>
      </c>
      <c r="J2557" s="1423">
        <f t="shared" ca="1" si="3736"/>
        <v>0</v>
      </c>
      <c r="K2557" s="1423">
        <f t="shared" ca="1" si="3737"/>
        <v>0</v>
      </c>
      <c r="L2557" s="1423">
        <f t="shared" ca="1" si="3738"/>
        <v>0</v>
      </c>
      <c r="M2557" s="1423">
        <f t="shared" ca="1" si="3739"/>
        <v>0</v>
      </c>
      <c r="N2557" s="1423">
        <f t="shared" ca="1" si="3740"/>
        <v>0</v>
      </c>
      <c r="O2557" s="1423">
        <f t="shared" ca="1" si="3741"/>
        <v>0</v>
      </c>
      <c r="P2557" s="1423">
        <f t="shared" ca="1" si="3742"/>
        <v>0</v>
      </c>
      <c r="Q2557" s="1423">
        <f t="shared" ca="1" si="3743"/>
        <v>0</v>
      </c>
      <c r="R2557" s="1423">
        <f t="shared" ca="1" si="3744"/>
        <v>0</v>
      </c>
      <c r="S2557" s="1423">
        <f t="shared" ca="1" si="3745"/>
        <v>0</v>
      </c>
      <c r="T2557" s="1423">
        <f t="shared" ca="1" si="3746"/>
        <v>0</v>
      </c>
      <c r="U2557" s="1423">
        <f t="shared" ca="1" si="3747"/>
        <v>0</v>
      </c>
      <c r="V2557" s="1423">
        <f t="shared" ca="1" si="3748"/>
        <v>0</v>
      </c>
      <c r="W2557" s="1423">
        <f t="shared" ca="1" si="3749"/>
        <v>0</v>
      </c>
      <c r="X2557" s="202"/>
      <c r="Y2557" s="202"/>
      <c r="Z2557" s="202"/>
      <c r="AA2557" s="152"/>
      <c r="AB2557" s="152"/>
    </row>
    <row r="2558" spans="1:28" hidden="1" outlineLevel="1">
      <c r="A2558" s="199">
        <f t="shared" si="3750"/>
        <v>6</v>
      </c>
      <c r="B2558" s="190" t="str">
        <f t="shared" ca="1" si="3751"/>
        <v>Depreciated Net Capex 2021-22</v>
      </c>
      <c r="C2558" s="1426"/>
      <c r="D2558" s="1426"/>
      <c r="E2558" s="1426"/>
      <c r="F2558" s="1426"/>
      <c r="G2558" s="1426"/>
      <c r="H2558" s="1427"/>
      <c r="I2558" s="1428">
        <f>I2547</f>
        <v>0</v>
      </c>
      <c r="J2558" s="1423">
        <f ca="1">IF(I2582="n/a",I2558,IFERROR(IF((OFFSET($C2558,0,$A2558))&lt;0,
MIN(0,I2558-(OFFSET($C2558,0,$A2558)/(OFFSET($C2553,-$A2557,$A2558)))),
MAX(0,I2558-(OFFSET($C2558,0,$A2558)/(OFFSET($C2553,-$A2557,$A2558))))),0))</f>
        <v>0</v>
      </c>
      <c r="K2558" s="1423">
        <f t="shared" ca="1" si="3737"/>
        <v>0</v>
      </c>
      <c r="L2558" s="1423">
        <f t="shared" ca="1" si="3738"/>
        <v>0</v>
      </c>
      <c r="M2558" s="1423">
        <f t="shared" ca="1" si="3739"/>
        <v>0</v>
      </c>
      <c r="N2558" s="1423">
        <f t="shared" ca="1" si="3740"/>
        <v>0</v>
      </c>
      <c r="O2558" s="1423">
        <f t="shared" ca="1" si="3741"/>
        <v>0</v>
      </c>
      <c r="P2558" s="1423">
        <f t="shared" ca="1" si="3742"/>
        <v>0</v>
      </c>
      <c r="Q2558" s="1423">
        <f t="shared" ca="1" si="3743"/>
        <v>0</v>
      </c>
      <c r="R2558" s="1423">
        <f t="shared" ca="1" si="3744"/>
        <v>0</v>
      </c>
      <c r="S2558" s="1423">
        <f t="shared" ca="1" si="3745"/>
        <v>0</v>
      </c>
      <c r="T2558" s="1423">
        <f t="shared" ca="1" si="3746"/>
        <v>0</v>
      </c>
      <c r="U2558" s="1423">
        <f t="shared" ca="1" si="3747"/>
        <v>0</v>
      </c>
      <c r="V2558" s="1423">
        <f t="shared" ca="1" si="3748"/>
        <v>0</v>
      </c>
      <c r="W2558" s="1423">
        <f t="shared" ca="1" si="3749"/>
        <v>0</v>
      </c>
      <c r="X2558" s="202"/>
      <c r="Y2558" s="202"/>
      <c r="Z2558" s="202"/>
      <c r="AA2558" s="152"/>
      <c r="AB2558" s="152"/>
    </row>
    <row r="2559" spans="1:28" hidden="1" outlineLevel="1">
      <c r="A2559" s="199">
        <f t="shared" si="3750"/>
        <v>7</v>
      </c>
      <c r="B2559" s="190" t="str">
        <f t="shared" ca="1" si="3751"/>
        <v>Depreciated Net Capex 2022-23</v>
      </c>
      <c r="C2559" s="1426"/>
      <c r="D2559" s="1426"/>
      <c r="E2559" s="1426"/>
      <c r="F2559" s="1426"/>
      <c r="G2559" s="1426"/>
      <c r="H2559" s="1426"/>
      <c r="I2559" s="1427"/>
      <c r="J2559" s="1428">
        <f>J2547</f>
        <v>0</v>
      </c>
      <c r="K2559" s="1423">
        <f ca="1">IF(J2583="n/a",J2559,IFERROR(IF((OFFSET($C2559,0,$A2559))&lt;0,
MIN(0,J2559-(OFFSET($C2559,0,$A2559)/(OFFSET($C2554,-$A2558,$A2559)))),
MAX(0,J2559-(OFFSET($C2559,0,$A2559)/(OFFSET($C2554,-$A2558,$A2559))))),0))</f>
        <v>0</v>
      </c>
      <c r="L2559" s="1423">
        <f t="shared" ca="1" si="3738"/>
        <v>0</v>
      </c>
      <c r="M2559" s="1423">
        <f t="shared" ca="1" si="3739"/>
        <v>0</v>
      </c>
      <c r="N2559" s="1423">
        <f t="shared" ca="1" si="3740"/>
        <v>0</v>
      </c>
      <c r="O2559" s="1423">
        <f t="shared" ca="1" si="3741"/>
        <v>0</v>
      </c>
      <c r="P2559" s="1423">
        <f t="shared" ca="1" si="3742"/>
        <v>0</v>
      </c>
      <c r="Q2559" s="1423">
        <f t="shared" ca="1" si="3743"/>
        <v>0</v>
      </c>
      <c r="R2559" s="1423">
        <f t="shared" ca="1" si="3744"/>
        <v>0</v>
      </c>
      <c r="S2559" s="1423">
        <f t="shared" ca="1" si="3745"/>
        <v>0</v>
      </c>
      <c r="T2559" s="1423">
        <f t="shared" ca="1" si="3746"/>
        <v>0</v>
      </c>
      <c r="U2559" s="1423">
        <f t="shared" ca="1" si="3747"/>
        <v>0</v>
      </c>
      <c r="V2559" s="1423">
        <f t="shared" ca="1" si="3748"/>
        <v>0</v>
      </c>
      <c r="W2559" s="1423">
        <f t="shared" ca="1" si="3749"/>
        <v>0</v>
      </c>
      <c r="X2559" s="202"/>
      <c r="Y2559" s="202"/>
      <c r="Z2559" s="202"/>
      <c r="AA2559" s="152"/>
      <c r="AB2559" s="152"/>
    </row>
    <row r="2560" spans="1:28" hidden="1" outlineLevel="1">
      <c r="A2560" s="199">
        <f t="shared" si="3750"/>
        <v>8</v>
      </c>
      <c r="B2560" s="190" t="str">
        <f t="shared" ca="1" si="3751"/>
        <v>Depreciated Net Capex 2023-24</v>
      </c>
      <c r="C2560" s="1426"/>
      <c r="D2560" s="1426"/>
      <c r="E2560" s="1426"/>
      <c r="F2560" s="1426"/>
      <c r="G2560" s="1426"/>
      <c r="H2560" s="1426"/>
      <c r="I2560" s="1426"/>
      <c r="J2560" s="1427"/>
      <c r="K2560" s="1428">
        <f>K2547</f>
        <v>0</v>
      </c>
      <c r="L2560" s="1423">
        <f ca="1">IF(K2584="n/a",K2560,IFERROR(IF((OFFSET($C2560,0,$A2560))&lt;0,
MIN(0,K2560-(OFFSET($C2560,0,$A2560)/(OFFSET($C2555,-$A2559,$A2560)))),
MAX(0,K2560-(OFFSET($C2560,0,$A2560)/(OFFSET($C2555,-$A2559,$A2560))))),0))</f>
        <v>0</v>
      </c>
      <c r="M2560" s="1423">
        <f t="shared" ca="1" si="3739"/>
        <v>0</v>
      </c>
      <c r="N2560" s="1423">
        <f t="shared" ca="1" si="3740"/>
        <v>0</v>
      </c>
      <c r="O2560" s="1423">
        <f t="shared" ca="1" si="3741"/>
        <v>0</v>
      </c>
      <c r="P2560" s="1423">
        <f t="shared" ca="1" si="3742"/>
        <v>0</v>
      </c>
      <c r="Q2560" s="1423">
        <f t="shared" ca="1" si="3743"/>
        <v>0</v>
      </c>
      <c r="R2560" s="1423">
        <f t="shared" ca="1" si="3744"/>
        <v>0</v>
      </c>
      <c r="S2560" s="1423">
        <f t="shared" ca="1" si="3745"/>
        <v>0</v>
      </c>
      <c r="T2560" s="1423">
        <f t="shared" ca="1" si="3746"/>
        <v>0</v>
      </c>
      <c r="U2560" s="1423">
        <f t="shared" ca="1" si="3747"/>
        <v>0</v>
      </c>
      <c r="V2560" s="1423">
        <f t="shared" ca="1" si="3748"/>
        <v>0</v>
      </c>
      <c r="W2560" s="1423">
        <f t="shared" ca="1" si="3749"/>
        <v>0</v>
      </c>
      <c r="X2560" s="202"/>
      <c r="Y2560" s="202"/>
      <c r="Z2560" s="202"/>
      <c r="AA2560" s="152"/>
      <c r="AB2560" s="152"/>
    </row>
    <row r="2561" spans="1:28" hidden="1" outlineLevel="1">
      <c r="A2561" s="199">
        <f t="shared" si="3750"/>
        <v>9</v>
      </c>
      <c r="B2561" s="190" t="str">
        <f t="shared" ca="1" si="3751"/>
        <v>Depreciated Net Capex 2024-25</v>
      </c>
      <c r="C2561" s="1426"/>
      <c r="D2561" s="1426"/>
      <c r="E2561" s="1426"/>
      <c r="F2561" s="1426"/>
      <c r="G2561" s="1426"/>
      <c r="H2561" s="1426"/>
      <c r="I2561" s="1426"/>
      <c r="J2561" s="1426"/>
      <c r="K2561" s="1427"/>
      <c r="L2561" s="1428">
        <f>L2547</f>
        <v>0</v>
      </c>
      <c r="M2561" s="1423">
        <f ca="1">IF(L2585="n/a",L2561,IFERROR(IF((OFFSET($C2561,0,$A2561))&lt;0,
MIN(0,L2561-(OFFSET($C2561,0,$A2561)/(OFFSET($C2556,-$A2560,$A2561)))),
MAX(0,L2561-(OFFSET($C2561,0,$A2561)/(OFFSET($C2556,-$A2560,$A2561))))),0))</f>
        <v>0</v>
      </c>
      <c r="N2561" s="1423">
        <f t="shared" ca="1" si="3740"/>
        <v>0</v>
      </c>
      <c r="O2561" s="1423">
        <f t="shared" ca="1" si="3741"/>
        <v>0</v>
      </c>
      <c r="P2561" s="1423">
        <f t="shared" ca="1" si="3742"/>
        <v>0</v>
      </c>
      <c r="Q2561" s="1423">
        <f t="shared" ca="1" si="3743"/>
        <v>0</v>
      </c>
      <c r="R2561" s="1423">
        <f t="shared" ca="1" si="3744"/>
        <v>0</v>
      </c>
      <c r="S2561" s="1423">
        <f t="shared" ca="1" si="3745"/>
        <v>0</v>
      </c>
      <c r="T2561" s="1423">
        <f t="shared" ca="1" si="3746"/>
        <v>0</v>
      </c>
      <c r="U2561" s="1423">
        <f t="shared" ca="1" si="3747"/>
        <v>0</v>
      </c>
      <c r="V2561" s="1423">
        <f t="shared" ca="1" si="3748"/>
        <v>0</v>
      </c>
      <c r="W2561" s="1423">
        <f t="shared" ca="1" si="3749"/>
        <v>0</v>
      </c>
      <c r="X2561" s="202"/>
      <c r="Y2561" s="202"/>
      <c r="Z2561" s="202"/>
      <c r="AA2561" s="152"/>
      <c r="AB2561" s="152"/>
    </row>
    <row r="2562" spans="1:28" hidden="1" outlineLevel="1">
      <c r="A2562" s="199">
        <f t="shared" si="3750"/>
        <v>10</v>
      </c>
      <c r="B2562" s="190" t="str">
        <f t="shared" ca="1" si="3751"/>
        <v>Depreciated Net Capex 2025-26</v>
      </c>
      <c r="C2562" s="1426"/>
      <c r="D2562" s="1426"/>
      <c r="E2562" s="1426"/>
      <c r="F2562" s="1426"/>
      <c r="G2562" s="1426"/>
      <c r="H2562" s="1426"/>
      <c r="I2562" s="1426"/>
      <c r="J2562" s="1426"/>
      <c r="K2562" s="1426"/>
      <c r="L2562" s="1427"/>
      <c r="M2562" s="1428">
        <f>M2547</f>
        <v>0</v>
      </c>
      <c r="N2562" s="1423">
        <f ca="1">IF(M2586="n/a",M2562,IFERROR(IF((OFFSET($C2562,0,$A2562))&lt;0,
MIN(0,M2562-(OFFSET($C2562,0,$A2562)/(OFFSET($C2557,-$A2561,$A2562)))),
MAX(0,M2562-(OFFSET($C2562,0,$A2562)/(OFFSET($C2557,-$A2561,$A2562))))),0))</f>
        <v>0</v>
      </c>
      <c r="O2562" s="1423">
        <f t="shared" ca="1" si="3741"/>
        <v>0</v>
      </c>
      <c r="P2562" s="1423">
        <f t="shared" ca="1" si="3742"/>
        <v>0</v>
      </c>
      <c r="Q2562" s="1423">
        <f t="shared" ca="1" si="3743"/>
        <v>0</v>
      </c>
      <c r="R2562" s="1423">
        <f t="shared" ca="1" si="3744"/>
        <v>0</v>
      </c>
      <c r="S2562" s="1423">
        <f t="shared" ca="1" si="3745"/>
        <v>0</v>
      </c>
      <c r="T2562" s="1423">
        <f t="shared" ca="1" si="3746"/>
        <v>0</v>
      </c>
      <c r="U2562" s="1423">
        <f t="shared" ca="1" si="3747"/>
        <v>0</v>
      </c>
      <c r="V2562" s="1423">
        <f t="shared" ca="1" si="3748"/>
        <v>0</v>
      </c>
      <c r="W2562" s="1423">
        <f t="shared" ca="1" si="3749"/>
        <v>0</v>
      </c>
      <c r="X2562" s="202"/>
      <c r="Y2562" s="202"/>
      <c r="Z2562" s="202"/>
      <c r="AA2562" s="152"/>
      <c r="AB2562" s="152"/>
    </row>
    <row r="2563" spans="1:28" hidden="1" outlineLevel="1">
      <c r="A2563" s="199">
        <f t="shared" si="3750"/>
        <v>11</v>
      </c>
      <c r="B2563" s="190" t="str">
        <f t="shared" ca="1" si="3751"/>
        <v>Depreciated Net Capex 2026-27</v>
      </c>
      <c r="C2563" s="1426"/>
      <c r="D2563" s="1426"/>
      <c r="E2563" s="1426"/>
      <c r="F2563" s="1426"/>
      <c r="G2563" s="1426"/>
      <c r="H2563" s="1426"/>
      <c r="I2563" s="1426"/>
      <c r="J2563" s="1426"/>
      <c r="K2563" s="1426"/>
      <c r="L2563" s="1426"/>
      <c r="M2563" s="1427"/>
      <c r="N2563" s="1428">
        <f>N2547</f>
        <v>0</v>
      </c>
      <c r="O2563" s="1423">
        <f ca="1">IF(N2587="n/a",N2563,IFERROR(IF((OFFSET($C2563,0,$A2563))&lt;0,
MIN(0,N2563-(OFFSET($C2563,0,$A2563)/(OFFSET($C2558,-$A2562,$A2563)))),
MAX(0,N2563-(OFFSET($C2563,0,$A2563)/(OFFSET($C2558,-$A2562,$A2563))))),0))</f>
        <v>0</v>
      </c>
      <c r="P2563" s="1423">
        <f t="shared" ca="1" si="3742"/>
        <v>0</v>
      </c>
      <c r="Q2563" s="1423">
        <f t="shared" ca="1" si="3743"/>
        <v>0</v>
      </c>
      <c r="R2563" s="1423">
        <f t="shared" ca="1" si="3744"/>
        <v>0</v>
      </c>
      <c r="S2563" s="1423">
        <f t="shared" ca="1" si="3745"/>
        <v>0</v>
      </c>
      <c r="T2563" s="1423">
        <f t="shared" ca="1" si="3746"/>
        <v>0</v>
      </c>
      <c r="U2563" s="1423">
        <f t="shared" ca="1" si="3747"/>
        <v>0</v>
      </c>
      <c r="V2563" s="1423">
        <f t="shared" ca="1" si="3748"/>
        <v>0</v>
      </c>
      <c r="W2563" s="1423">
        <f t="shared" ca="1" si="3749"/>
        <v>0</v>
      </c>
      <c r="X2563" s="202"/>
      <c r="Y2563" s="202"/>
      <c r="Z2563" s="202"/>
      <c r="AA2563" s="152"/>
      <c r="AB2563" s="152"/>
    </row>
    <row r="2564" spans="1:28" hidden="1" outlineLevel="1">
      <c r="A2564" s="199">
        <f t="shared" si="3750"/>
        <v>12</v>
      </c>
      <c r="B2564" s="190" t="str">
        <f t="shared" ca="1" si="3751"/>
        <v>Depreciated Net Capex 2027-28</v>
      </c>
      <c r="C2564" s="1426"/>
      <c r="D2564" s="1426"/>
      <c r="E2564" s="1426"/>
      <c r="F2564" s="1426"/>
      <c r="G2564" s="1426"/>
      <c r="H2564" s="1426"/>
      <c r="I2564" s="1426"/>
      <c r="J2564" s="1426"/>
      <c r="K2564" s="1426"/>
      <c r="L2564" s="1426"/>
      <c r="M2564" s="1426"/>
      <c r="N2564" s="1427"/>
      <c r="O2564" s="1428">
        <f>O2547</f>
        <v>0</v>
      </c>
      <c r="P2564" s="1423">
        <f ca="1">IF(O2588="n/a",O2564,IFERROR(IF((OFFSET($C2564,0,$A2564))&lt;0,
MIN(0,O2564-(OFFSET($C2564,0,$A2564)/(OFFSET($C2559,-$A2563,$A2564)))),
MAX(0,O2564-(OFFSET($C2564,0,$A2564)/(OFFSET($C2559,-$A2563,$A2564))))),0))</f>
        <v>0</v>
      </c>
      <c r="Q2564" s="1423">
        <f t="shared" ca="1" si="3743"/>
        <v>0</v>
      </c>
      <c r="R2564" s="1423">
        <f t="shared" ca="1" si="3744"/>
        <v>0</v>
      </c>
      <c r="S2564" s="1423">
        <f t="shared" ca="1" si="3745"/>
        <v>0</v>
      </c>
      <c r="T2564" s="1423">
        <f t="shared" ca="1" si="3746"/>
        <v>0</v>
      </c>
      <c r="U2564" s="1423">
        <f t="shared" ca="1" si="3747"/>
        <v>0</v>
      </c>
      <c r="V2564" s="1423">
        <f t="shared" ca="1" si="3748"/>
        <v>0</v>
      </c>
      <c r="W2564" s="1423">
        <f t="shared" ca="1" si="3749"/>
        <v>0</v>
      </c>
      <c r="X2564" s="202"/>
      <c r="Y2564" s="202"/>
      <c r="Z2564" s="202"/>
      <c r="AA2564" s="152"/>
      <c r="AB2564" s="152"/>
    </row>
    <row r="2565" spans="1:28" hidden="1" outlineLevel="1">
      <c r="A2565" s="199">
        <f t="shared" si="3750"/>
        <v>13</v>
      </c>
      <c r="B2565" s="190" t="str">
        <f t="shared" ca="1" si="3751"/>
        <v>Depreciated Net Capex 2028-29</v>
      </c>
      <c r="C2565" s="1426"/>
      <c r="D2565" s="1426"/>
      <c r="E2565" s="1426"/>
      <c r="F2565" s="1426"/>
      <c r="G2565" s="1426"/>
      <c r="H2565" s="1426"/>
      <c r="I2565" s="1426"/>
      <c r="J2565" s="1426"/>
      <c r="K2565" s="1426"/>
      <c r="L2565" s="1426"/>
      <c r="M2565" s="1426"/>
      <c r="N2565" s="1426"/>
      <c r="O2565" s="1427"/>
      <c r="P2565" s="1428">
        <f>P2547</f>
        <v>0</v>
      </c>
      <c r="Q2565" s="1423">
        <f ca="1">IF(P2589="n/a",P2565,IFERROR(IF((OFFSET($C2565,0,$A2565))&lt;0,
MIN(0,P2565-(OFFSET($C2565,0,$A2565)/(OFFSET($C2560,-$A2564,$A2565)))),
MAX(0,P2565-(OFFSET($C2565,0,$A2565)/(OFFSET($C2560,-$A2564,$A2565))))),0))</f>
        <v>0</v>
      </c>
      <c r="R2565" s="1423">
        <f t="shared" ca="1" si="3744"/>
        <v>0</v>
      </c>
      <c r="S2565" s="1423">
        <f t="shared" ca="1" si="3745"/>
        <v>0</v>
      </c>
      <c r="T2565" s="1423">
        <f t="shared" ca="1" si="3746"/>
        <v>0</v>
      </c>
      <c r="U2565" s="1423">
        <f t="shared" ca="1" si="3747"/>
        <v>0</v>
      </c>
      <c r="V2565" s="1423">
        <f t="shared" ca="1" si="3748"/>
        <v>0</v>
      </c>
      <c r="W2565" s="1423">
        <f t="shared" ca="1" si="3749"/>
        <v>0</v>
      </c>
      <c r="X2565" s="202"/>
      <c r="Y2565" s="202"/>
      <c r="Z2565" s="202"/>
      <c r="AA2565" s="152"/>
      <c r="AB2565" s="152"/>
    </row>
    <row r="2566" spans="1:28" hidden="1" outlineLevel="1">
      <c r="A2566" s="199">
        <f t="shared" si="3750"/>
        <v>14</v>
      </c>
      <c r="B2566" s="190" t="str">
        <f t="shared" ca="1" si="3751"/>
        <v>Depreciated Net Capex 2029-30</v>
      </c>
      <c r="C2566" s="1426"/>
      <c r="D2566" s="1426"/>
      <c r="E2566" s="1426"/>
      <c r="F2566" s="1426"/>
      <c r="G2566" s="1426"/>
      <c r="H2566" s="1426"/>
      <c r="I2566" s="1426"/>
      <c r="J2566" s="1426"/>
      <c r="K2566" s="1426"/>
      <c r="L2566" s="1426"/>
      <c r="M2566" s="1426"/>
      <c r="N2566" s="1426"/>
      <c r="O2566" s="1426"/>
      <c r="P2566" s="1427"/>
      <c r="Q2566" s="1428">
        <f>Q2547</f>
        <v>0</v>
      </c>
      <c r="R2566" s="1423">
        <f ca="1">IF(Q2590="n/a",Q2566,IFERROR(IF((OFFSET($C2566,0,$A2566))&lt;0,
MIN(0,Q2566-(OFFSET($C2566,0,$A2566)/(OFFSET($C2561,-$A2565,$A2566)))),
MAX(0,Q2566-(OFFSET($C2566,0,$A2566)/(OFFSET($C2561,-$A2565,$A2566))))),0))</f>
        <v>0</v>
      </c>
      <c r="S2566" s="1423">
        <f t="shared" ca="1" si="3745"/>
        <v>0</v>
      </c>
      <c r="T2566" s="1423">
        <f t="shared" ca="1" si="3746"/>
        <v>0</v>
      </c>
      <c r="U2566" s="1423">
        <f t="shared" ca="1" si="3747"/>
        <v>0</v>
      </c>
      <c r="V2566" s="1423">
        <f t="shared" ca="1" si="3748"/>
        <v>0</v>
      </c>
      <c r="W2566" s="1423">
        <f t="shared" ca="1" si="3749"/>
        <v>0</v>
      </c>
      <c r="X2566" s="202"/>
      <c r="Y2566" s="202"/>
      <c r="Z2566" s="202"/>
      <c r="AA2566" s="152"/>
      <c r="AB2566" s="152"/>
    </row>
    <row r="2567" spans="1:28" hidden="1" outlineLevel="1">
      <c r="A2567" s="199">
        <f t="shared" si="3750"/>
        <v>15</v>
      </c>
      <c r="B2567" s="190" t="str">
        <f t="shared" ca="1" si="3751"/>
        <v>Depreciated Net Capex 2030-31</v>
      </c>
      <c r="C2567" s="1426"/>
      <c r="D2567" s="1426"/>
      <c r="E2567" s="1426"/>
      <c r="F2567" s="1426"/>
      <c r="G2567" s="1426"/>
      <c r="H2567" s="1426"/>
      <c r="I2567" s="1426"/>
      <c r="J2567" s="1426"/>
      <c r="K2567" s="1426"/>
      <c r="L2567" s="1426"/>
      <c r="M2567" s="1426"/>
      <c r="N2567" s="1426"/>
      <c r="O2567" s="1426"/>
      <c r="P2567" s="1426"/>
      <c r="Q2567" s="1427"/>
      <c r="R2567" s="1428">
        <f>R2547</f>
        <v>0</v>
      </c>
      <c r="S2567" s="1423">
        <f ca="1">IF(R2591="n/a",R2567,IFERROR(IF((OFFSET($C2567,0,$A2567))&lt;0,
MIN(0,R2567-(OFFSET($C2567,0,$A2567)/(OFFSET($C2562,-$A2566,$A2567)))),
MAX(0,R2567-(OFFSET($C2567,0,$A2567)/(OFFSET($C2562,-$A2566,$A2567))))),0))</f>
        <v>0</v>
      </c>
      <c r="T2567" s="1423">
        <f t="shared" ca="1" si="3746"/>
        <v>0</v>
      </c>
      <c r="U2567" s="1423">
        <f t="shared" ca="1" si="3747"/>
        <v>0</v>
      </c>
      <c r="V2567" s="1423">
        <f t="shared" ca="1" si="3748"/>
        <v>0</v>
      </c>
      <c r="W2567" s="1423">
        <f t="shared" ca="1" si="3749"/>
        <v>0</v>
      </c>
      <c r="X2567" s="202"/>
      <c r="Y2567" s="202"/>
      <c r="Z2567" s="202"/>
      <c r="AA2567" s="152"/>
      <c r="AB2567" s="152"/>
    </row>
    <row r="2568" spans="1:28" hidden="1" outlineLevel="1">
      <c r="A2568" s="199">
        <f t="shared" si="3750"/>
        <v>16</v>
      </c>
      <c r="B2568" s="190" t="str">
        <f t="shared" ca="1" si="3751"/>
        <v>Depreciated Net Capex 2031-32</v>
      </c>
      <c r="C2568" s="1426"/>
      <c r="D2568" s="1426"/>
      <c r="E2568" s="1426"/>
      <c r="F2568" s="1426"/>
      <c r="G2568" s="1426"/>
      <c r="H2568" s="1426"/>
      <c r="I2568" s="1426"/>
      <c r="J2568" s="1426"/>
      <c r="K2568" s="1426"/>
      <c r="L2568" s="1426"/>
      <c r="M2568" s="1426"/>
      <c r="N2568" s="1426"/>
      <c r="O2568" s="1426"/>
      <c r="P2568" s="1426"/>
      <c r="Q2568" s="1426"/>
      <c r="R2568" s="1427"/>
      <c r="S2568" s="1428">
        <f>S2547</f>
        <v>0</v>
      </c>
      <c r="T2568" s="1423">
        <f ca="1">IF(S2592="n/a",S2568,IFERROR(IF((OFFSET($C2568,0,$A2568))&lt;0,
MIN(0,S2568-(OFFSET($C2568,0,$A2568)/(OFFSET($C2563,-$A2567,$A2568)))),
MAX(0,S2568-(OFFSET($C2568,0,$A2568)/(OFFSET($C2563,-$A2567,$A2568))))),0))</f>
        <v>0</v>
      </c>
      <c r="U2568" s="1423">
        <f t="shared" ca="1" si="3747"/>
        <v>0</v>
      </c>
      <c r="V2568" s="1423">
        <f t="shared" ca="1" si="3748"/>
        <v>0</v>
      </c>
      <c r="W2568" s="1423">
        <f t="shared" ca="1" si="3749"/>
        <v>0</v>
      </c>
      <c r="X2568" s="202"/>
      <c r="Y2568" s="202"/>
      <c r="Z2568" s="202"/>
      <c r="AA2568" s="152"/>
      <c r="AB2568" s="152"/>
    </row>
    <row r="2569" spans="1:28" hidden="1" outlineLevel="1">
      <c r="A2569" s="199">
        <f t="shared" si="3750"/>
        <v>17</v>
      </c>
      <c r="B2569" s="190" t="str">
        <f t="shared" ca="1" si="3751"/>
        <v>Depreciated Net Capex 2032-33</v>
      </c>
      <c r="C2569" s="1426"/>
      <c r="D2569" s="1426"/>
      <c r="E2569" s="1426"/>
      <c r="F2569" s="1426"/>
      <c r="G2569" s="1426"/>
      <c r="H2569" s="1426"/>
      <c r="I2569" s="1426"/>
      <c r="J2569" s="1426"/>
      <c r="K2569" s="1426"/>
      <c r="L2569" s="1426"/>
      <c r="M2569" s="1426"/>
      <c r="N2569" s="1426"/>
      <c r="O2569" s="1426"/>
      <c r="P2569" s="1426"/>
      <c r="Q2569" s="1426"/>
      <c r="R2569" s="1426"/>
      <c r="S2569" s="1427"/>
      <c r="T2569" s="1428">
        <f>T2547</f>
        <v>0</v>
      </c>
      <c r="U2569" s="1423">
        <f ca="1">IF(T2593="n/a",T2569,IFERROR(IF((OFFSET($C2569,0,$A2569))&lt;0,
MIN(0,T2569-(OFFSET($C2569,0,$A2569)/(OFFSET($C2564,-$A2568,$A2569)))),
MAX(0,T2569-(OFFSET($C2569,0,$A2569)/(OFFSET($C2564,-$A2568,$A2569))))),0))</f>
        <v>0</v>
      </c>
      <c r="V2569" s="1423">
        <f t="shared" ca="1" si="3748"/>
        <v>0</v>
      </c>
      <c r="W2569" s="1423">
        <f t="shared" ca="1" si="3749"/>
        <v>0</v>
      </c>
      <c r="X2569" s="202"/>
      <c r="Y2569" s="202"/>
      <c r="Z2569" s="202"/>
      <c r="AA2569" s="152"/>
      <c r="AB2569" s="152"/>
    </row>
    <row r="2570" spans="1:28" hidden="1" outlineLevel="1">
      <c r="A2570" s="199">
        <f t="shared" si="3750"/>
        <v>18</v>
      </c>
      <c r="B2570" s="190" t="str">
        <f t="shared" ca="1" si="3751"/>
        <v>Depreciated Net Capex 2033-34</v>
      </c>
      <c r="C2570" s="1426"/>
      <c r="D2570" s="1426"/>
      <c r="E2570" s="1426"/>
      <c r="F2570" s="1426"/>
      <c r="G2570" s="1426"/>
      <c r="H2570" s="1426"/>
      <c r="I2570" s="1426"/>
      <c r="J2570" s="1426"/>
      <c r="K2570" s="1426"/>
      <c r="L2570" s="1426"/>
      <c r="M2570" s="1426"/>
      <c r="N2570" s="1426"/>
      <c r="O2570" s="1426"/>
      <c r="P2570" s="1426"/>
      <c r="Q2570" s="1426"/>
      <c r="R2570" s="1426"/>
      <c r="S2570" s="1426"/>
      <c r="T2570" s="1427"/>
      <c r="U2570" s="1428">
        <f>U2547</f>
        <v>0</v>
      </c>
      <c r="V2570" s="1423">
        <f ca="1">IF(U2594="n/a",U2570,IFERROR(IF((OFFSET($C2570,0,$A2570))&lt;0,
MIN(0,U2570-(OFFSET($C2570,0,$A2570)/(OFFSET($C2565,-$A2569,$A2570)))),
MAX(0,U2570-(OFFSET($C2570,0,$A2570)/(OFFSET($C2565,-$A2569,$A2570))))),0))</f>
        <v>0</v>
      </c>
      <c r="W2570" s="1423">
        <f t="shared" ca="1" si="3749"/>
        <v>0</v>
      </c>
      <c r="X2570" s="202"/>
      <c r="Y2570" s="202"/>
      <c r="Z2570" s="202"/>
      <c r="AA2570" s="152"/>
      <c r="AB2570" s="152"/>
    </row>
    <row r="2571" spans="1:28" hidden="1" outlineLevel="1">
      <c r="A2571" s="199">
        <f t="shared" si="3750"/>
        <v>19</v>
      </c>
      <c r="B2571" s="190" t="str">
        <f t="shared" ca="1" si="3751"/>
        <v>Depreciated Net Capex 2034-35</v>
      </c>
      <c r="C2571" s="1426"/>
      <c r="D2571" s="1426"/>
      <c r="E2571" s="1426"/>
      <c r="F2571" s="1426"/>
      <c r="G2571" s="1426"/>
      <c r="H2571" s="1426"/>
      <c r="I2571" s="1426"/>
      <c r="J2571" s="1426"/>
      <c r="K2571" s="1426"/>
      <c r="L2571" s="1426"/>
      <c r="M2571" s="1426"/>
      <c r="N2571" s="1426"/>
      <c r="O2571" s="1426"/>
      <c r="P2571" s="1426"/>
      <c r="Q2571" s="1426"/>
      <c r="R2571" s="1426"/>
      <c r="S2571" s="1426"/>
      <c r="T2571" s="1426"/>
      <c r="U2571" s="1427"/>
      <c r="V2571" s="1428">
        <f>V2547</f>
        <v>0</v>
      </c>
      <c r="W2571" s="1423">
        <f ca="1">IF(V2595="n/a",V2571,IFERROR(IF((OFFSET($C2571,0,$A2571))&lt;0,
MIN(0,V2571-(OFFSET($C2571,0,$A2571)/(OFFSET($C2566,-$A2570,$A2571)))),
MAX(0,V2571-(OFFSET($C2571,0,$A2571)/(OFFSET($C2566,-$A2570,$A2571))))),0))</f>
        <v>0</v>
      </c>
      <c r="X2571" s="202"/>
      <c r="Y2571" s="202"/>
      <c r="Z2571" s="202"/>
      <c r="AA2571" s="152"/>
      <c r="AB2571" s="152"/>
    </row>
    <row r="2572" spans="1:28" hidden="1" outlineLevel="1">
      <c r="A2572" s="199">
        <f t="shared" si="3750"/>
        <v>20</v>
      </c>
      <c r="B2572" s="190" t="str">
        <f t="shared" ca="1" si="3751"/>
        <v>Depreciated Net Capex 2035-36</v>
      </c>
      <c r="C2572" s="1426"/>
      <c r="D2572" s="1426"/>
      <c r="E2572" s="1426"/>
      <c r="F2572" s="1426"/>
      <c r="G2572" s="1426"/>
      <c r="H2572" s="1426"/>
      <c r="I2572" s="1426"/>
      <c r="J2572" s="1426"/>
      <c r="K2572" s="1426"/>
      <c r="L2572" s="1426"/>
      <c r="M2572" s="1426"/>
      <c r="N2572" s="1426"/>
      <c r="O2572" s="1426"/>
      <c r="P2572" s="1426"/>
      <c r="Q2572" s="1426"/>
      <c r="R2572" s="1426"/>
      <c r="S2572" s="1426"/>
      <c r="T2572" s="1426"/>
      <c r="U2572" s="1426"/>
      <c r="V2572" s="1427"/>
      <c r="W2572" s="1423">
        <f>W2547</f>
        <v>0</v>
      </c>
      <c r="X2572" s="152"/>
      <c r="Y2572" s="152"/>
      <c r="Z2572" s="152"/>
      <c r="AA2572" s="152"/>
      <c r="AB2572" s="152"/>
    </row>
    <row r="2573" spans="1:28" hidden="1" outlineLevel="1">
      <c r="A2573" s="152"/>
      <c r="B2573" s="200"/>
      <c r="C2573" s="1423"/>
      <c r="D2573" s="1423"/>
      <c r="E2573" s="1423"/>
      <c r="F2573" s="1423"/>
      <c r="G2573" s="1423"/>
      <c r="H2573" s="1423"/>
      <c r="I2573" s="1423"/>
      <c r="J2573" s="1423"/>
      <c r="K2573" s="1423"/>
      <c r="L2573" s="1423"/>
      <c r="M2573" s="1423"/>
      <c r="N2573" s="1423"/>
      <c r="O2573" s="1423"/>
      <c r="P2573" s="1423"/>
      <c r="Q2573" s="1423"/>
      <c r="R2573" s="1423"/>
      <c r="S2573" s="1423"/>
      <c r="T2573" s="1423"/>
      <c r="U2573" s="1423"/>
      <c r="V2573" s="1423"/>
      <c r="W2573" s="1423"/>
      <c r="X2573" s="152"/>
      <c r="Y2573" s="152"/>
      <c r="Z2573" s="152"/>
      <c r="AA2573" s="152"/>
      <c r="AB2573" s="152"/>
    </row>
    <row r="2574" spans="1:28" hidden="1" outlineLevel="1">
      <c r="A2574" s="152"/>
      <c r="B2574" s="200"/>
      <c r="C2574" s="1423"/>
      <c r="D2574" s="1423"/>
      <c r="E2574" s="1423"/>
      <c r="F2574" s="1423"/>
      <c r="G2574" s="1423"/>
      <c r="H2574" s="1423"/>
      <c r="I2574" s="1423"/>
      <c r="J2574" s="1423"/>
      <c r="K2574" s="1423"/>
      <c r="L2574" s="1423"/>
      <c r="M2574" s="1423"/>
      <c r="N2574" s="1423"/>
      <c r="O2574" s="1423"/>
      <c r="P2574" s="1423"/>
      <c r="Q2574" s="1423"/>
      <c r="R2574" s="1423"/>
      <c r="S2574" s="1423"/>
      <c r="T2574" s="1423"/>
      <c r="U2574" s="1423"/>
      <c r="V2574" s="1423"/>
      <c r="W2574" s="1423"/>
      <c r="X2574" s="152"/>
      <c r="Y2574" s="152"/>
      <c r="Z2574" s="152"/>
      <c r="AA2574" s="152"/>
      <c r="AB2574" s="152"/>
    </row>
    <row r="2575" spans="1:28" hidden="1" outlineLevel="1">
      <c r="A2575" s="152"/>
      <c r="B2575" s="190" t="s">
        <v>194</v>
      </c>
      <c r="C2575" s="1423"/>
      <c r="D2575" s="1423">
        <f t="shared" ref="D2575" ca="1" si="3752">IF(AND(C2575&lt;1,D2549=0),0,
IF(D2549=0,C2575-1,
IF(C2575&lt;1,D2550,
(((C2575-1)*(C2551-(C2551/(C2575))))+(D2549*D2550))/(D2551))))</f>
        <v>0</v>
      </c>
      <c r="E2575" s="1423">
        <f t="shared" ref="E2575" ca="1" si="3753">IF(AND(D2575&lt;1,E2549=0),0,
IF(E2549=0,D2575-1,
IF(D2575&lt;1,E2550,
(((D2575-1)*(D2551-(D2551/(D2575))))+(E2549*E2550))/(E2551))))</f>
        <v>0</v>
      </c>
      <c r="F2575" s="1423">
        <f t="shared" ref="F2575" ca="1" si="3754">IF(AND(E2575&lt;1,F2549=0),0,
IF(F2549=0,E2575-1,
IF(E2575&lt;1,F2550,
(((E2575-1)*(E2551-(E2551/(E2575))))+(F2549*F2550))/(F2551))))</f>
        <v>0</v>
      </c>
      <c r="G2575" s="1423">
        <f t="shared" ref="G2575" ca="1" si="3755">IF(AND(F2575&lt;1,G2549=0),0,
IF(G2549=0,F2575-1,
IF(F2575&lt;1,G2550,
(((F2575-1)*(F2551-(F2551/(F2575))))+(G2549*G2550))/(G2551))))</f>
        <v>0</v>
      </c>
      <c r="H2575" s="1423">
        <f ca="1">IF(AND(G2575&lt;1,H2549=0),0,
IF(H2549=0,G2575-1,
IF(G2575&lt;1,H2550,
(((G2575-1)*(G2551-(G2551/(G2575))))+(H2549*H2550))/(H2551))))</f>
        <v>0</v>
      </c>
      <c r="I2575" s="1423">
        <f t="shared" ref="I2575" ca="1" si="3756">IF(AND(H2575&lt;1,I2549=0),0,
IF(I2549=0,H2575-1,
IF(H2575&lt;1,I2550,
(((H2575-1)*(H2551-(H2551/(H2575))))+(I2549*I2550))/(I2551))))</f>
        <v>0</v>
      </c>
      <c r="J2575" s="1423">
        <f t="shared" ref="J2575" ca="1" si="3757">IF(AND(I2575&lt;1,J2549=0),0,
IF(J2549=0,I2575-1,
IF(I2575&lt;1,J2550,
(((I2575-1)*(I2551-(I2551/(I2575))))+(J2549*J2550))/(J2551))))</f>
        <v>0</v>
      </c>
      <c r="K2575" s="1423">
        <f t="shared" ref="K2575" ca="1" si="3758">IF(AND(J2575&lt;1,K2549=0),0,
IF(K2549=0,J2575-1,
IF(J2575&lt;1,K2550,
(((J2575-1)*(J2551-(J2551/(J2575))))+(K2549*K2550))/(K2551))))</f>
        <v>0</v>
      </c>
      <c r="L2575" s="1423">
        <f t="shared" ref="L2575" ca="1" si="3759">IF(AND(K2575&lt;1,L2549=0),0,
IF(L2549=0,K2575-1,
IF(K2575&lt;1,L2550,
(((K2575-1)*(K2551-(K2551/(K2575))))+(L2549*L2550))/(L2551))))</f>
        <v>0</v>
      </c>
      <c r="M2575" s="1423">
        <f ca="1">IF(AND(L2575&lt;1,M2549=0),0,
IF(M2549=0,L2575-1,
IF(L2575&lt;1,M2550,
(((L2575-1)*(L2551-(L2551/(L2575))))+(M2549*M2550))/(M2551))))</f>
        <v>0</v>
      </c>
      <c r="N2575" s="1423">
        <f t="shared" ref="N2575" ca="1" si="3760">IF(AND(M2575&lt;1,N2549=0),0,
IF(N2549=0,M2575-1,
IF(M2575&lt;1,N2550,
(((M2575-1)*(M2551-(M2551/(M2575))))+(N2549*N2550))/(N2551))))</f>
        <v>0</v>
      </c>
      <c r="O2575" s="1423">
        <f t="shared" ref="O2575" ca="1" si="3761">IF(AND(N2575&lt;1,O2549=0),0,
IF(O2549=0,N2575-1,
IF(N2575&lt;1,O2550,
(((N2575-1)*(N2551-(N2551/(N2575))))+(O2549*O2550))/(O2551))))</f>
        <v>0</v>
      </c>
      <c r="P2575" s="1423">
        <f t="shared" ref="P2575" ca="1" si="3762">IF(AND(O2575&lt;1,P2549=0),0,
IF(P2549=0,O2575-1,
IF(O2575&lt;1,P2550,
(((O2575-1)*(O2551-(O2551/(O2575))))+(P2549*P2550))/(P2551))))</f>
        <v>0</v>
      </c>
      <c r="Q2575" s="1423">
        <f t="shared" ref="Q2575" ca="1" si="3763">IF(AND(P2575&lt;1,Q2549=0),0,
IF(Q2549=0,P2575-1,
IF(P2575&lt;1,Q2550,
(((P2575-1)*(P2551-(P2551/(P2575))))+(Q2549*Q2550))/(Q2551))))</f>
        <v>0</v>
      </c>
      <c r="R2575" s="1423">
        <f t="shared" ref="R2575" ca="1" si="3764">IF(AND(Q2575&lt;1,R2549=0),0,
IF(R2549=0,Q2575-1,
IF(Q2575&lt;1,R2550,
(((Q2575-1)*(Q2551-(Q2551/(Q2575))))+(R2549*R2550))/(R2551))))</f>
        <v>0</v>
      </c>
      <c r="S2575" s="1423">
        <f t="shared" ref="S2575" ca="1" si="3765">IF(AND(R2575&lt;1,S2549=0),0,
IF(S2549=0,R2575-1,
IF(R2575&lt;1,S2550,
(((R2575-1)*(R2551-(R2551/(R2575))))+(S2549*S2550))/(S2551))))</f>
        <v>0</v>
      </c>
      <c r="T2575" s="1423">
        <f t="shared" ref="T2575" ca="1" si="3766">IF(AND(S2575&lt;1,T2549=0),0,
IF(T2549=0,S2575-1,
IF(S2575&lt;1,T2550,
(((S2575-1)*(S2551-(S2551/(S2575))))+(T2549*T2550))/(T2551))))</f>
        <v>0</v>
      </c>
      <c r="U2575" s="1423">
        <f t="shared" ref="U2575" ca="1" si="3767">IF(AND(T2575&lt;1,U2549=0),0,
IF(U2549=0,T2575-1,
IF(T2575&lt;1,U2550,
(((T2575-1)*(T2551-(T2551/(T2575))))+(U2549*U2550))/(U2551))))</f>
        <v>0</v>
      </c>
      <c r="V2575" s="1423">
        <f t="shared" ref="V2575" ca="1" si="3768">IF(AND(U2575&lt;1,V2549=0),0,
IF(V2549=0,U2575-1,
IF(U2575&lt;1,V2550,
(((U2575-1)*(U2551-(U2551/(U2575))))+(V2549*V2550))/(V2551))))</f>
        <v>0</v>
      </c>
      <c r="W2575" s="1423">
        <f t="shared" ref="W2575" ca="1" si="3769">IF(AND(V2575&lt;1,W2549=0),0,
IF(W2549=0,V2575-1,
IF(V2575&lt;1,W2550,
(((V2575-1)*(V2551-(V2551/(V2575))))+(W2549*W2550))/(W2551))))</f>
        <v>0</v>
      </c>
      <c r="X2575" s="152"/>
      <c r="Y2575" s="152"/>
      <c r="Z2575" s="152"/>
      <c r="AA2575" s="152"/>
      <c r="AB2575" s="152"/>
    </row>
    <row r="2576" spans="1:28" hidden="1" outlineLevel="1">
      <c r="A2576" s="152"/>
      <c r="B2576" s="190" t="s">
        <v>193</v>
      </c>
      <c r="C2576" s="1423">
        <f ca="1">C2548</f>
        <v>0</v>
      </c>
      <c r="D2576" s="1423">
        <f t="shared" ref="D2576" ca="1" si="3770">IF(C2576="n/a","n/a",MAX(0,C2576-1))</f>
        <v>0</v>
      </c>
      <c r="E2576" s="1423">
        <f t="shared" ref="E2576:E2577" ca="1" si="3771">IF(D2576="n/a","n/a",MAX(0,D2576-1))</f>
        <v>0</v>
      </c>
      <c r="F2576" s="1423">
        <f t="shared" ref="F2576:F2578" ca="1" si="3772">IF(E2576="n/a","n/a",MAX(0,E2576-1))</f>
        <v>0</v>
      </c>
      <c r="G2576" s="1423">
        <f t="shared" ref="G2576:G2579" ca="1" si="3773">IF(F2576="n/a","n/a",MAX(0,F2576-1))</f>
        <v>0</v>
      </c>
      <c r="H2576" s="1423">
        <f t="shared" ref="H2576:H2580" ca="1" si="3774">IF(G2576="n/a","n/a",MAX(0,G2576-1))</f>
        <v>0</v>
      </c>
      <c r="I2576" s="1423">
        <f t="shared" ref="I2576:I2581" ca="1" si="3775">IF(H2576="n/a","n/a",MAX(0,H2576-1))</f>
        <v>0</v>
      </c>
      <c r="J2576" s="1423">
        <f t="shared" ref="J2576:J2582" ca="1" si="3776">IF(I2576="n/a","n/a",MAX(0,I2576-1))</f>
        <v>0</v>
      </c>
      <c r="K2576" s="1423">
        <f t="shared" ref="K2576:K2583" ca="1" si="3777">IF(J2576="n/a","n/a",MAX(0,J2576-1))</f>
        <v>0</v>
      </c>
      <c r="L2576" s="1423">
        <f t="shared" ref="L2576:L2584" ca="1" si="3778">IF(K2576="n/a","n/a",MAX(0,K2576-1))</f>
        <v>0</v>
      </c>
      <c r="M2576" s="1423">
        <f t="shared" ref="M2576:M2585" ca="1" si="3779">IF(L2576="n/a","n/a",MAX(0,L2576-1))</f>
        <v>0</v>
      </c>
      <c r="N2576" s="1423">
        <f t="shared" ref="N2576:N2586" ca="1" si="3780">IF(M2576="n/a","n/a",MAX(0,M2576-1))</f>
        <v>0</v>
      </c>
      <c r="O2576" s="1423">
        <f t="shared" ref="O2576:O2587" ca="1" si="3781">IF(N2576="n/a","n/a",MAX(0,N2576-1))</f>
        <v>0</v>
      </c>
      <c r="P2576" s="1423">
        <f t="shared" ref="P2576:P2588" ca="1" si="3782">IF(O2576="n/a","n/a",MAX(0,O2576-1))</f>
        <v>0</v>
      </c>
      <c r="Q2576" s="1423">
        <f t="shared" ref="Q2576:Q2589" ca="1" si="3783">IF(P2576="n/a","n/a",MAX(0,P2576-1))</f>
        <v>0</v>
      </c>
      <c r="R2576" s="1423">
        <f t="shared" ref="R2576:R2590" ca="1" si="3784">IF(Q2576="n/a","n/a",MAX(0,Q2576-1))</f>
        <v>0</v>
      </c>
      <c r="S2576" s="1423">
        <f t="shared" ref="S2576:S2591" ca="1" si="3785">IF(R2576="n/a","n/a",MAX(0,R2576-1))</f>
        <v>0</v>
      </c>
      <c r="T2576" s="1423">
        <f t="shared" ref="T2576:T2592" ca="1" si="3786">IF(S2576="n/a","n/a",MAX(0,S2576-1))</f>
        <v>0</v>
      </c>
      <c r="U2576" s="1423">
        <f t="shared" ref="U2576:U2593" ca="1" si="3787">IF(T2576="n/a","n/a",MAX(0,T2576-1))</f>
        <v>0</v>
      </c>
      <c r="V2576" s="1423">
        <f t="shared" ref="V2576:V2594" ca="1" si="3788">IF(U2576="n/a","n/a",MAX(0,U2576-1))</f>
        <v>0</v>
      </c>
      <c r="W2576" s="1423">
        <f t="shared" ref="W2576:W2594" ca="1" si="3789">IF(V2576="n/a","n/a",MAX(0,V2576-1))</f>
        <v>0</v>
      </c>
      <c r="X2576" s="152"/>
      <c r="Y2576" s="152"/>
      <c r="Z2576" s="152"/>
      <c r="AA2576" s="152"/>
      <c r="AB2576" s="152"/>
    </row>
    <row r="2577" spans="1:28" hidden="1" outlineLevel="1">
      <c r="A2577" s="152"/>
      <c r="B2577" s="190" t="str">
        <f t="shared" ref="B2577:B2596" ca="1" si="3790">"RL Capex "&amp;OFFSET($C$6,0,A2553)</f>
        <v>RL Capex 2016-17</v>
      </c>
      <c r="C2577" s="1424"/>
      <c r="D2577" s="1428">
        <f>D2548</f>
        <v>0</v>
      </c>
      <c r="E2577" s="1423">
        <f t="shared" si="3771"/>
        <v>0</v>
      </c>
      <c r="F2577" s="1423">
        <f t="shared" si="3772"/>
        <v>0</v>
      </c>
      <c r="G2577" s="1423">
        <f t="shared" si="3773"/>
        <v>0</v>
      </c>
      <c r="H2577" s="1423">
        <f t="shared" si="3774"/>
        <v>0</v>
      </c>
      <c r="I2577" s="1423">
        <f t="shared" si="3775"/>
        <v>0</v>
      </c>
      <c r="J2577" s="1423">
        <f t="shared" si="3776"/>
        <v>0</v>
      </c>
      <c r="K2577" s="1423">
        <f t="shared" si="3777"/>
        <v>0</v>
      </c>
      <c r="L2577" s="1423">
        <f t="shared" si="3778"/>
        <v>0</v>
      </c>
      <c r="M2577" s="1423">
        <f t="shared" si="3779"/>
        <v>0</v>
      </c>
      <c r="N2577" s="1423">
        <f t="shared" si="3780"/>
        <v>0</v>
      </c>
      <c r="O2577" s="1423">
        <f t="shared" si="3781"/>
        <v>0</v>
      </c>
      <c r="P2577" s="1423">
        <f t="shared" si="3782"/>
        <v>0</v>
      </c>
      <c r="Q2577" s="1423">
        <f t="shared" si="3783"/>
        <v>0</v>
      </c>
      <c r="R2577" s="1423">
        <f t="shared" si="3784"/>
        <v>0</v>
      </c>
      <c r="S2577" s="1423">
        <f t="shared" si="3785"/>
        <v>0</v>
      </c>
      <c r="T2577" s="1423">
        <f t="shared" si="3786"/>
        <v>0</v>
      </c>
      <c r="U2577" s="1423">
        <f t="shared" si="3787"/>
        <v>0</v>
      </c>
      <c r="V2577" s="1423">
        <f t="shared" si="3788"/>
        <v>0</v>
      </c>
      <c r="W2577" s="1423">
        <f t="shared" si="3789"/>
        <v>0</v>
      </c>
      <c r="X2577" s="152"/>
      <c r="Y2577" s="152"/>
      <c r="Z2577" s="152"/>
      <c r="AA2577" s="152"/>
      <c r="AB2577" s="152"/>
    </row>
    <row r="2578" spans="1:28" hidden="1" outlineLevel="1">
      <c r="A2578" s="152"/>
      <c r="B2578" s="190" t="str">
        <f t="shared" ca="1" si="3790"/>
        <v>RL Capex 2017-18</v>
      </c>
      <c r="C2578" s="1429"/>
      <c r="D2578" s="1424"/>
      <c r="E2578" s="1428">
        <f>E2548</f>
        <v>0</v>
      </c>
      <c r="F2578" s="1423">
        <f t="shared" si="3772"/>
        <v>0</v>
      </c>
      <c r="G2578" s="1423">
        <f t="shared" si="3773"/>
        <v>0</v>
      </c>
      <c r="H2578" s="1423">
        <f t="shared" si="3774"/>
        <v>0</v>
      </c>
      <c r="I2578" s="1423">
        <f t="shared" si="3775"/>
        <v>0</v>
      </c>
      <c r="J2578" s="1423">
        <f t="shared" si="3776"/>
        <v>0</v>
      </c>
      <c r="K2578" s="1423">
        <f t="shared" si="3777"/>
        <v>0</v>
      </c>
      <c r="L2578" s="1423">
        <f t="shared" si="3778"/>
        <v>0</v>
      </c>
      <c r="M2578" s="1423">
        <f t="shared" si="3779"/>
        <v>0</v>
      </c>
      <c r="N2578" s="1423">
        <f t="shared" si="3780"/>
        <v>0</v>
      </c>
      <c r="O2578" s="1423">
        <f t="shared" si="3781"/>
        <v>0</v>
      </c>
      <c r="P2578" s="1423">
        <f t="shared" si="3782"/>
        <v>0</v>
      </c>
      <c r="Q2578" s="1423">
        <f t="shared" si="3783"/>
        <v>0</v>
      </c>
      <c r="R2578" s="1423">
        <f t="shared" si="3784"/>
        <v>0</v>
      </c>
      <c r="S2578" s="1423">
        <f t="shared" si="3785"/>
        <v>0</v>
      </c>
      <c r="T2578" s="1423">
        <f t="shared" si="3786"/>
        <v>0</v>
      </c>
      <c r="U2578" s="1423">
        <f t="shared" si="3787"/>
        <v>0</v>
      </c>
      <c r="V2578" s="1423">
        <f t="shared" si="3788"/>
        <v>0</v>
      </c>
      <c r="W2578" s="1423">
        <f t="shared" si="3789"/>
        <v>0</v>
      </c>
      <c r="X2578" s="152"/>
      <c r="Y2578" s="152"/>
      <c r="Z2578" s="152"/>
      <c r="AA2578" s="152"/>
      <c r="AB2578" s="152"/>
    </row>
    <row r="2579" spans="1:28" hidden="1" outlineLevel="1">
      <c r="A2579" s="152"/>
      <c r="B2579" s="190" t="str">
        <f t="shared" ca="1" si="3790"/>
        <v>RL Capex 2018-19</v>
      </c>
      <c r="C2579" s="1429"/>
      <c r="D2579" s="1429"/>
      <c r="E2579" s="1424"/>
      <c r="F2579" s="1428">
        <f>F2548</f>
        <v>0</v>
      </c>
      <c r="G2579" s="1423">
        <f t="shared" si="3773"/>
        <v>0</v>
      </c>
      <c r="H2579" s="1423">
        <f t="shared" si="3774"/>
        <v>0</v>
      </c>
      <c r="I2579" s="1423">
        <f t="shared" si="3775"/>
        <v>0</v>
      </c>
      <c r="J2579" s="1423">
        <f t="shared" si="3776"/>
        <v>0</v>
      </c>
      <c r="K2579" s="1423">
        <f t="shared" si="3777"/>
        <v>0</v>
      </c>
      <c r="L2579" s="1423">
        <f t="shared" si="3778"/>
        <v>0</v>
      </c>
      <c r="M2579" s="1423">
        <f t="shared" si="3779"/>
        <v>0</v>
      </c>
      <c r="N2579" s="1423">
        <f t="shared" si="3780"/>
        <v>0</v>
      </c>
      <c r="O2579" s="1423">
        <f t="shared" si="3781"/>
        <v>0</v>
      </c>
      <c r="P2579" s="1423">
        <f t="shared" si="3782"/>
        <v>0</v>
      </c>
      <c r="Q2579" s="1423">
        <f t="shared" si="3783"/>
        <v>0</v>
      </c>
      <c r="R2579" s="1423">
        <f t="shared" si="3784"/>
        <v>0</v>
      </c>
      <c r="S2579" s="1423">
        <f t="shared" si="3785"/>
        <v>0</v>
      </c>
      <c r="T2579" s="1423">
        <f t="shared" si="3786"/>
        <v>0</v>
      </c>
      <c r="U2579" s="1423">
        <f t="shared" si="3787"/>
        <v>0</v>
      </c>
      <c r="V2579" s="1423">
        <f t="shared" si="3788"/>
        <v>0</v>
      </c>
      <c r="W2579" s="1423">
        <f t="shared" si="3789"/>
        <v>0</v>
      </c>
      <c r="X2579" s="152"/>
      <c r="Y2579" s="152"/>
      <c r="Z2579" s="152"/>
      <c r="AA2579" s="152"/>
      <c r="AB2579" s="152"/>
    </row>
    <row r="2580" spans="1:28" hidden="1" outlineLevel="1">
      <c r="A2580" s="152"/>
      <c r="B2580" s="190" t="str">
        <f t="shared" ca="1" si="3790"/>
        <v>RL Capex 2019-20</v>
      </c>
      <c r="C2580" s="1429"/>
      <c r="D2580" s="1429"/>
      <c r="E2580" s="1429"/>
      <c r="F2580" s="1424"/>
      <c r="G2580" s="1428">
        <f>G2548</f>
        <v>0</v>
      </c>
      <c r="H2580" s="1423">
        <f t="shared" si="3774"/>
        <v>0</v>
      </c>
      <c r="I2580" s="1423">
        <f t="shared" si="3775"/>
        <v>0</v>
      </c>
      <c r="J2580" s="1423">
        <f t="shared" si="3776"/>
        <v>0</v>
      </c>
      <c r="K2580" s="1423">
        <f t="shared" si="3777"/>
        <v>0</v>
      </c>
      <c r="L2580" s="1423">
        <f t="shared" si="3778"/>
        <v>0</v>
      </c>
      <c r="M2580" s="1423">
        <f t="shared" si="3779"/>
        <v>0</v>
      </c>
      <c r="N2580" s="1423">
        <f t="shared" si="3780"/>
        <v>0</v>
      </c>
      <c r="O2580" s="1423">
        <f t="shared" si="3781"/>
        <v>0</v>
      </c>
      <c r="P2580" s="1423">
        <f t="shared" si="3782"/>
        <v>0</v>
      </c>
      <c r="Q2580" s="1423">
        <f t="shared" si="3783"/>
        <v>0</v>
      </c>
      <c r="R2580" s="1423">
        <f t="shared" si="3784"/>
        <v>0</v>
      </c>
      <c r="S2580" s="1423">
        <f t="shared" si="3785"/>
        <v>0</v>
      </c>
      <c r="T2580" s="1423">
        <f t="shared" si="3786"/>
        <v>0</v>
      </c>
      <c r="U2580" s="1423">
        <f t="shared" si="3787"/>
        <v>0</v>
      </c>
      <c r="V2580" s="1423">
        <f t="shared" si="3788"/>
        <v>0</v>
      </c>
      <c r="W2580" s="1423">
        <f t="shared" si="3789"/>
        <v>0</v>
      </c>
      <c r="X2580" s="152"/>
      <c r="Y2580" s="152"/>
      <c r="Z2580" s="152"/>
      <c r="AA2580" s="152"/>
      <c r="AB2580" s="152"/>
    </row>
    <row r="2581" spans="1:28" hidden="1" outlineLevel="1">
      <c r="A2581" s="152"/>
      <c r="B2581" s="190" t="str">
        <f t="shared" ca="1" si="3790"/>
        <v>RL Capex 2020-21</v>
      </c>
      <c r="C2581" s="1429"/>
      <c r="D2581" s="1429"/>
      <c r="E2581" s="1429"/>
      <c r="F2581" s="1429"/>
      <c r="G2581" s="1424"/>
      <c r="H2581" s="1428">
        <f>H2548</f>
        <v>0</v>
      </c>
      <c r="I2581" s="1423">
        <f t="shared" si="3775"/>
        <v>0</v>
      </c>
      <c r="J2581" s="1423">
        <f t="shared" si="3776"/>
        <v>0</v>
      </c>
      <c r="K2581" s="1423">
        <f t="shared" si="3777"/>
        <v>0</v>
      </c>
      <c r="L2581" s="1423">
        <f t="shared" si="3778"/>
        <v>0</v>
      </c>
      <c r="M2581" s="1423">
        <f t="shared" si="3779"/>
        <v>0</v>
      </c>
      <c r="N2581" s="1423">
        <f t="shared" si="3780"/>
        <v>0</v>
      </c>
      <c r="O2581" s="1423">
        <f t="shared" si="3781"/>
        <v>0</v>
      </c>
      <c r="P2581" s="1423">
        <f t="shared" si="3782"/>
        <v>0</v>
      </c>
      <c r="Q2581" s="1423">
        <f t="shared" si="3783"/>
        <v>0</v>
      </c>
      <c r="R2581" s="1423">
        <f t="shared" si="3784"/>
        <v>0</v>
      </c>
      <c r="S2581" s="1423">
        <f t="shared" si="3785"/>
        <v>0</v>
      </c>
      <c r="T2581" s="1423">
        <f t="shared" si="3786"/>
        <v>0</v>
      </c>
      <c r="U2581" s="1423">
        <f t="shared" si="3787"/>
        <v>0</v>
      </c>
      <c r="V2581" s="1423">
        <f t="shared" si="3788"/>
        <v>0</v>
      </c>
      <c r="W2581" s="1423">
        <f t="shared" si="3789"/>
        <v>0</v>
      </c>
      <c r="X2581" s="152"/>
      <c r="Y2581" s="152"/>
      <c r="Z2581" s="152"/>
      <c r="AA2581" s="152"/>
      <c r="AB2581" s="152"/>
    </row>
    <row r="2582" spans="1:28" hidden="1" outlineLevel="1">
      <c r="A2582" s="152"/>
      <c r="B2582" s="190" t="str">
        <f t="shared" ca="1" si="3790"/>
        <v>RL Capex 2021-22</v>
      </c>
      <c r="C2582" s="1429"/>
      <c r="D2582" s="1429"/>
      <c r="E2582" s="1429"/>
      <c r="F2582" s="1429"/>
      <c r="G2582" s="1429"/>
      <c r="H2582" s="1424"/>
      <c r="I2582" s="1428">
        <f>I2548</f>
        <v>0</v>
      </c>
      <c r="J2582" s="1423">
        <f t="shared" si="3776"/>
        <v>0</v>
      </c>
      <c r="K2582" s="1423">
        <f t="shared" si="3777"/>
        <v>0</v>
      </c>
      <c r="L2582" s="1423">
        <f t="shared" si="3778"/>
        <v>0</v>
      </c>
      <c r="M2582" s="1423">
        <f t="shared" si="3779"/>
        <v>0</v>
      </c>
      <c r="N2582" s="1423">
        <f t="shared" si="3780"/>
        <v>0</v>
      </c>
      <c r="O2582" s="1423">
        <f t="shared" si="3781"/>
        <v>0</v>
      </c>
      <c r="P2582" s="1423">
        <f t="shared" si="3782"/>
        <v>0</v>
      </c>
      <c r="Q2582" s="1423">
        <f t="shared" si="3783"/>
        <v>0</v>
      </c>
      <c r="R2582" s="1423">
        <f t="shared" si="3784"/>
        <v>0</v>
      </c>
      <c r="S2582" s="1423">
        <f t="shared" si="3785"/>
        <v>0</v>
      </c>
      <c r="T2582" s="1423">
        <f t="shared" si="3786"/>
        <v>0</v>
      </c>
      <c r="U2582" s="1423">
        <f t="shared" si="3787"/>
        <v>0</v>
      </c>
      <c r="V2582" s="1423">
        <f t="shared" si="3788"/>
        <v>0</v>
      </c>
      <c r="W2582" s="1423">
        <f t="shared" si="3789"/>
        <v>0</v>
      </c>
      <c r="X2582" s="152"/>
      <c r="Y2582" s="152"/>
      <c r="Z2582" s="152"/>
      <c r="AA2582" s="152"/>
      <c r="AB2582" s="152"/>
    </row>
    <row r="2583" spans="1:28" hidden="1" outlineLevel="1">
      <c r="A2583" s="152"/>
      <c r="B2583" s="190" t="str">
        <f t="shared" ca="1" si="3790"/>
        <v>RL Capex 2022-23</v>
      </c>
      <c r="C2583" s="1429"/>
      <c r="D2583" s="1429"/>
      <c r="E2583" s="1429"/>
      <c r="F2583" s="1429"/>
      <c r="G2583" s="1429"/>
      <c r="H2583" s="1429"/>
      <c r="I2583" s="1424"/>
      <c r="J2583" s="1428">
        <f>J2548</f>
        <v>0</v>
      </c>
      <c r="K2583" s="1423">
        <f t="shared" si="3777"/>
        <v>0</v>
      </c>
      <c r="L2583" s="1423">
        <f t="shared" si="3778"/>
        <v>0</v>
      </c>
      <c r="M2583" s="1423">
        <f t="shared" si="3779"/>
        <v>0</v>
      </c>
      <c r="N2583" s="1423">
        <f t="shared" si="3780"/>
        <v>0</v>
      </c>
      <c r="O2583" s="1423">
        <f t="shared" si="3781"/>
        <v>0</v>
      </c>
      <c r="P2583" s="1423">
        <f t="shared" si="3782"/>
        <v>0</v>
      </c>
      <c r="Q2583" s="1423">
        <f t="shared" si="3783"/>
        <v>0</v>
      </c>
      <c r="R2583" s="1423">
        <f t="shared" si="3784"/>
        <v>0</v>
      </c>
      <c r="S2583" s="1423">
        <f t="shared" si="3785"/>
        <v>0</v>
      </c>
      <c r="T2583" s="1423">
        <f t="shared" si="3786"/>
        <v>0</v>
      </c>
      <c r="U2583" s="1423">
        <f t="shared" si="3787"/>
        <v>0</v>
      </c>
      <c r="V2583" s="1423">
        <f t="shared" si="3788"/>
        <v>0</v>
      </c>
      <c r="W2583" s="1423">
        <f t="shared" si="3789"/>
        <v>0</v>
      </c>
      <c r="X2583" s="152"/>
      <c r="Y2583" s="152"/>
      <c r="Z2583" s="152"/>
      <c r="AA2583" s="152"/>
      <c r="AB2583" s="152"/>
    </row>
    <row r="2584" spans="1:28" hidden="1" outlineLevel="1">
      <c r="A2584" s="152"/>
      <c r="B2584" s="190" t="str">
        <f t="shared" ca="1" si="3790"/>
        <v>RL Capex 2023-24</v>
      </c>
      <c r="C2584" s="1429"/>
      <c r="D2584" s="1429"/>
      <c r="E2584" s="1429"/>
      <c r="F2584" s="1429"/>
      <c r="G2584" s="1429"/>
      <c r="H2584" s="1429"/>
      <c r="I2584" s="1429"/>
      <c r="J2584" s="1424"/>
      <c r="K2584" s="1428">
        <f>K2548</f>
        <v>0</v>
      </c>
      <c r="L2584" s="1423">
        <f t="shared" si="3778"/>
        <v>0</v>
      </c>
      <c r="M2584" s="1423">
        <f t="shared" si="3779"/>
        <v>0</v>
      </c>
      <c r="N2584" s="1423">
        <f t="shared" si="3780"/>
        <v>0</v>
      </c>
      <c r="O2584" s="1423">
        <f t="shared" si="3781"/>
        <v>0</v>
      </c>
      <c r="P2584" s="1423">
        <f t="shared" si="3782"/>
        <v>0</v>
      </c>
      <c r="Q2584" s="1423">
        <f t="shared" si="3783"/>
        <v>0</v>
      </c>
      <c r="R2584" s="1423">
        <f t="shared" si="3784"/>
        <v>0</v>
      </c>
      <c r="S2584" s="1423">
        <f t="shared" si="3785"/>
        <v>0</v>
      </c>
      <c r="T2584" s="1423">
        <f t="shared" si="3786"/>
        <v>0</v>
      </c>
      <c r="U2584" s="1423">
        <f t="shared" si="3787"/>
        <v>0</v>
      </c>
      <c r="V2584" s="1423">
        <f t="shared" si="3788"/>
        <v>0</v>
      </c>
      <c r="W2584" s="1423">
        <f t="shared" si="3789"/>
        <v>0</v>
      </c>
      <c r="X2584" s="152"/>
      <c r="Y2584" s="152"/>
      <c r="Z2584" s="152"/>
      <c r="AA2584" s="152"/>
      <c r="AB2584" s="152"/>
    </row>
    <row r="2585" spans="1:28" hidden="1" outlineLevel="1">
      <c r="A2585" s="152"/>
      <c r="B2585" s="190" t="str">
        <f t="shared" ca="1" si="3790"/>
        <v>RL Capex 2024-25</v>
      </c>
      <c r="C2585" s="1429"/>
      <c r="D2585" s="1429"/>
      <c r="E2585" s="1429"/>
      <c r="F2585" s="1429"/>
      <c r="G2585" s="1429"/>
      <c r="H2585" s="1429"/>
      <c r="I2585" s="1429"/>
      <c r="J2585" s="1429"/>
      <c r="K2585" s="1424"/>
      <c r="L2585" s="1428">
        <f>L2548</f>
        <v>0</v>
      </c>
      <c r="M2585" s="1423">
        <f t="shared" si="3779"/>
        <v>0</v>
      </c>
      <c r="N2585" s="1423">
        <f t="shared" si="3780"/>
        <v>0</v>
      </c>
      <c r="O2585" s="1423">
        <f t="shared" si="3781"/>
        <v>0</v>
      </c>
      <c r="P2585" s="1423">
        <f t="shared" si="3782"/>
        <v>0</v>
      </c>
      <c r="Q2585" s="1423">
        <f t="shared" si="3783"/>
        <v>0</v>
      </c>
      <c r="R2585" s="1423">
        <f t="shared" si="3784"/>
        <v>0</v>
      </c>
      <c r="S2585" s="1423">
        <f t="shared" si="3785"/>
        <v>0</v>
      </c>
      <c r="T2585" s="1423">
        <f t="shared" si="3786"/>
        <v>0</v>
      </c>
      <c r="U2585" s="1423">
        <f t="shared" si="3787"/>
        <v>0</v>
      </c>
      <c r="V2585" s="1423">
        <f t="shared" si="3788"/>
        <v>0</v>
      </c>
      <c r="W2585" s="1423">
        <f t="shared" si="3789"/>
        <v>0</v>
      </c>
      <c r="X2585" s="152"/>
      <c r="Y2585" s="152"/>
      <c r="Z2585" s="152"/>
      <c r="AA2585" s="152"/>
      <c r="AB2585" s="152"/>
    </row>
    <row r="2586" spans="1:28" hidden="1" outlineLevel="1">
      <c r="A2586" s="152"/>
      <c r="B2586" s="190" t="str">
        <f t="shared" ca="1" si="3790"/>
        <v>RL Capex 2025-26</v>
      </c>
      <c r="C2586" s="1429"/>
      <c r="D2586" s="1429"/>
      <c r="E2586" s="1429"/>
      <c r="F2586" s="1429"/>
      <c r="G2586" s="1429"/>
      <c r="H2586" s="1429"/>
      <c r="I2586" s="1429"/>
      <c r="J2586" s="1429"/>
      <c r="K2586" s="1429"/>
      <c r="L2586" s="1424"/>
      <c r="M2586" s="1428">
        <f>M2548</f>
        <v>0</v>
      </c>
      <c r="N2586" s="1423">
        <f t="shared" si="3780"/>
        <v>0</v>
      </c>
      <c r="O2586" s="1423">
        <f t="shared" si="3781"/>
        <v>0</v>
      </c>
      <c r="P2586" s="1423">
        <f t="shared" si="3782"/>
        <v>0</v>
      </c>
      <c r="Q2586" s="1423">
        <f t="shared" si="3783"/>
        <v>0</v>
      </c>
      <c r="R2586" s="1423">
        <f t="shared" si="3784"/>
        <v>0</v>
      </c>
      <c r="S2586" s="1423">
        <f t="shared" si="3785"/>
        <v>0</v>
      </c>
      <c r="T2586" s="1423">
        <f t="shared" si="3786"/>
        <v>0</v>
      </c>
      <c r="U2586" s="1423">
        <f t="shared" si="3787"/>
        <v>0</v>
      </c>
      <c r="V2586" s="1423">
        <f t="shared" si="3788"/>
        <v>0</v>
      </c>
      <c r="W2586" s="1423">
        <f t="shared" si="3789"/>
        <v>0</v>
      </c>
      <c r="X2586" s="152"/>
      <c r="Y2586" s="152"/>
      <c r="Z2586" s="152"/>
      <c r="AA2586" s="152"/>
      <c r="AB2586" s="152"/>
    </row>
    <row r="2587" spans="1:28" hidden="1" outlineLevel="1">
      <c r="A2587" s="152"/>
      <c r="B2587" s="190" t="str">
        <f t="shared" ca="1" si="3790"/>
        <v>RL Capex 2026-27</v>
      </c>
      <c r="C2587" s="1429"/>
      <c r="D2587" s="1429"/>
      <c r="E2587" s="1429"/>
      <c r="F2587" s="1429"/>
      <c r="G2587" s="1429"/>
      <c r="H2587" s="1429"/>
      <c r="I2587" s="1429"/>
      <c r="J2587" s="1429"/>
      <c r="K2587" s="1429"/>
      <c r="L2587" s="1429"/>
      <c r="M2587" s="1424"/>
      <c r="N2587" s="1428">
        <f>N2548</f>
        <v>0</v>
      </c>
      <c r="O2587" s="1423">
        <f t="shared" si="3781"/>
        <v>0</v>
      </c>
      <c r="P2587" s="1423">
        <f t="shared" si="3782"/>
        <v>0</v>
      </c>
      <c r="Q2587" s="1423">
        <f t="shared" si="3783"/>
        <v>0</v>
      </c>
      <c r="R2587" s="1423">
        <f t="shared" si="3784"/>
        <v>0</v>
      </c>
      <c r="S2587" s="1423">
        <f t="shared" si="3785"/>
        <v>0</v>
      </c>
      <c r="T2587" s="1423">
        <f t="shared" si="3786"/>
        <v>0</v>
      </c>
      <c r="U2587" s="1423">
        <f t="shared" si="3787"/>
        <v>0</v>
      </c>
      <c r="V2587" s="1423">
        <f t="shared" si="3788"/>
        <v>0</v>
      </c>
      <c r="W2587" s="1423">
        <f t="shared" si="3789"/>
        <v>0</v>
      </c>
      <c r="X2587" s="152"/>
      <c r="Y2587" s="152"/>
      <c r="Z2587" s="152"/>
      <c r="AA2587" s="152"/>
      <c r="AB2587" s="152"/>
    </row>
    <row r="2588" spans="1:28" hidden="1" outlineLevel="1">
      <c r="A2588" s="152"/>
      <c r="B2588" s="190" t="str">
        <f t="shared" ca="1" si="3790"/>
        <v>RL Capex 2027-28</v>
      </c>
      <c r="C2588" s="1429"/>
      <c r="D2588" s="1429"/>
      <c r="E2588" s="1429"/>
      <c r="F2588" s="1429"/>
      <c r="G2588" s="1429"/>
      <c r="H2588" s="1429"/>
      <c r="I2588" s="1429"/>
      <c r="J2588" s="1429"/>
      <c r="K2588" s="1429"/>
      <c r="L2588" s="1429"/>
      <c r="M2588" s="1429"/>
      <c r="N2588" s="1424"/>
      <c r="O2588" s="1428">
        <f>O2548</f>
        <v>0</v>
      </c>
      <c r="P2588" s="1423">
        <f t="shared" si="3782"/>
        <v>0</v>
      </c>
      <c r="Q2588" s="1423">
        <f t="shared" si="3783"/>
        <v>0</v>
      </c>
      <c r="R2588" s="1423">
        <f t="shared" si="3784"/>
        <v>0</v>
      </c>
      <c r="S2588" s="1423">
        <f t="shared" si="3785"/>
        <v>0</v>
      </c>
      <c r="T2588" s="1423">
        <f t="shared" si="3786"/>
        <v>0</v>
      </c>
      <c r="U2588" s="1423">
        <f t="shared" si="3787"/>
        <v>0</v>
      </c>
      <c r="V2588" s="1423">
        <f t="shared" si="3788"/>
        <v>0</v>
      </c>
      <c r="W2588" s="1423">
        <f t="shared" si="3789"/>
        <v>0</v>
      </c>
      <c r="X2588" s="152"/>
      <c r="Y2588" s="152"/>
      <c r="Z2588" s="152"/>
      <c r="AA2588" s="152"/>
      <c r="AB2588" s="152"/>
    </row>
    <row r="2589" spans="1:28" hidden="1" outlineLevel="1">
      <c r="A2589" s="152"/>
      <c r="B2589" s="190" t="str">
        <f t="shared" ca="1" si="3790"/>
        <v>RL Capex 2028-29</v>
      </c>
      <c r="C2589" s="1429"/>
      <c r="D2589" s="1429"/>
      <c r="E2589" s="1429"/>
      <c r="F2589" s="1429"/>
      <c r="G2589" s="1429"/>
      <c r="H2589" s="1429"/>
      <c r="I2589" s="1429"/>
      <c r="J2589" s="1429"/>
      <c r="K2589" s="1429"/>
      <c r="L2589" s="1429"/>
      <c r="M2589" s="1429"/>
      <c r="N2589" s="1429"/>
      <c r="O2589" s="1424"/>
      <c r="P2589" s="1428">
        <f>P2548</f>
        <v>0</v>
      </c>
      <c r="Q2589" s="1423">
        <f t="shared" si="3783"/>
        <v>0</v>
      </c>
      <c r="R2589" s="1423">
        <f t="shared" si="3784"/>
        <v>0</v>
      </c>
      <c r="S2589" s="1423">
        <f t="shared" si="3785"/>
        <v>0</v>
      </c>
      <c r="T2589" s="1423">
        <f t="shared" si="3786"/>
        <v>0</v>
      </c>
      <c r="U2589" s="1423">
        <f t="shared" si="3787"/>
        <v>0</v>
      </c>
      <c r="V2589" s="1423">
        <f t="shared" si="3788"/>
        <v>0</v>
      </c>
      <c r="W2589" s="1423">
        <f t="shared" si="3789"/>
        <v>0</v>
      </c>
      <c r="X2589" s="152"/>
      <c r="Y2589" s="152"/>
      <c r="Z2589" s="152"/>
      <c r="AA2589" s="152"/>
      <c r="AB2589" s="152"/>
    </row>
    <row r="2590" spans="1:28" hidden="1" outlineLevel="1">
      <c r="A2590" s="152"/>
      <c r="B2590" s="190" t="str">
        <f t="shared" ca="1" si="3790"/>
        <v>RL Capex 2029-30</v>
      </c>
      <c r="C2590" s="1429"/>
      <c r="D2590" s="1429"/>
      <c r="E2590" s="1429"/>
      <c r="F2590" s="1429"/>
      <c r="G2590" s="1429"/>
      <c r="H2590" s="1429"/>
      <c r="I2590" s="1429"/>
      <c r="J2590" s="1429"/>
      <c r="K2590" s="1429"/>
      <c r="L2590" s="1429"/>
      <c r="M2590" s="1429"/>
      <c r="N2590" s="1429"/>
      <c r="O2590" s="1429"/>
      <c r="P2590" s="1424"/>
      <c r="Q2590" s="1428">
        <f>Q2548</f>
        <v>0</v>
      </c>
      <c r="R2590" s="1423">
        <f t="shared" si="3784"/>
        <v>0</v>
      </c>
      <c r="S2590" s="1423">
        <f t="shared" si="3785"/>
        <v>0</v>
      </c>
      <c r="T2590" s="1423">
        <f t="shared" si="3786"/>
        <v>0</v>
      </c>
      <c r="U2590" s="1423">
        <f t="shared" si="3787"/>
        <v>0</v>
      </c>
      <c r="V2590" s="1423">
        <f t="shared" si="3788"/>
        <v>0</v>
      </c>
      <c r="W2590" s="1423">
        <f t="shared" si="3789"/>
        <v>0</v>
      </c>
      <c r="X2590" s="152"/>
      <c r="Y2590" s="152"/>
      <c r="Z2590" s="152"/>
      <c r="AA2590" s="152"/>
      <c r="AB2590" s="152"/>
    </row>
    <row r="2591" spans="1:28" hidden="1" outlineLevel="1">
      <c r="A2591" s="152"/>
      <c r="B2591" s="190" t="str">
        <f t="shared" ca="1" si="3790"/>
        <v>RL Capex 2030-31</v>
      </c>
      <c r="C2591" s="1429"/>
      <c r="D2591" s="1429"/>
      <c r="E2591" s="1429"/>
      <c r="F2591" s="1429"/>
      <c r="G2591" s="1429"/>
      <c r="H2591" s="1429"/>
      <c r="I2591" s="1429"/>
      <c r="J2591" s="1429"/>
      <c r="K2591" s="1429"/>
      <c r="L2591" s="1429"/>
      <c r="M2591" s="1429"/>
      <c r="N2591" s="1429"/>
      <c r="O2591" s="1429"/>
      <c r="P2591" s="1429"/>
      <c r="Q2591" s="1424"/>
      <c r="R2591" s="1428">
        <f>R2548</f>
        <v>0</v>
      </c>
      <c r="S2591" s="1423">
        <f t="shared" si="3785"/>
        <v>0</v>
      </c>
      <c r="T2591" s="1423">
        <f t="shared" si="3786"/>
        <v>0</v>
      </c>
      <c r="U2591" s="1423">
        <f t="shared" si="3787"/>
        <v>0</v>
      </c>
      <c r="V2591" s="1423">
        <f t="shared" si="3788"/>
        <v>0</v>
      </c>
      <c r="W2591" s="1423">
        <f t="shared" si="3789"/>
        <v>0</v>
      </c>
      <c r="X2591" s="152"/>
      <c r="Y2591" s="152"/>
      <c r="Z2591" s="152"/>
      <c r="AA2591" s="152"/>
      <c r="AB2591" s="152"/>
    </row>
    <row r="2592" spans="1:28" hidden="1" outlineLevel="1">
      <c r="A2592" s="152"/>
      <c r="B2592" s="190" t="str">
        <f t="shared" ca="1" si="3790"/>
        <v>RL Capex 2031-32</v>
      </c>
      <c r="C2592" s="1429"/>
      <c r="D2592" s="1429"/>
      <c r="E2592" s="1429"/>
      <c r="F2592" s="1429"/>
      <c r="G2592" s="1429"/>
      <c r="H2592" s="1429"/>
      <c r="I2592" s="1429"/>
      <c r="J2592" s="1429"/>
      <c r="K2592" s="1429"/>
      <c r="L2592" s="1429"/>
      <c r="M2592" s="1429"/>
      <c r="N2592" s="1429"/>
      <c r="O2592" s="1429"/>
      <c r="P2592" s="1429"/>
      <c r="Q2592" s="1429"/>
      <c r="R2592" s="1424"/>
      <c r="S2592" s="1428">
        <f>S2548</f>
        <v>0</v>
      </c>
      <c r="T2592" s="1423">
        <f t="shared" si="3786"/>
        <v>0</v>
      </c>
      <c r="U2592" s="1423">
        <f t="shared" si="3787"/>
        <v>0</v>
      </c>
      <c r="V2592" s="1423">
        <f t="shared" si="3788"/>
        <v>0</v>
      </c>
      <c r="W2592" s="1423">
        <f t="shared" si="3789"/>
        <v>0</v>
      </c>
      <c r="X2592" s="152"/>
      <c r="Y2592" s="152"/>
      <c r="Z2592" s="152"/>
      <c r="AA2592" s="152"/>
      <c r="AB2592" s="152"/>
    </row>
    <row r="2593" spans="1:28" hidden="1" outlineLevel="1">
      <c r="A2593" s="152"/>
      <c r="B2593" s="190" t="str">
        <f t="shared" ca="1" si="3790"/>
        <v>RL Capex 2032-33</v>
      </c>
      <c r="C2593" s="1429"/>
      <c r="D2593" s="1429"/>
      <c r="E2593" s="1429"/>
      <c r="F2593" s="1429"/>
      <c r="G2593" s="1429"/>
      <c r="H2593" s="1429"/>
      <c r="I2593" s="1429"/>
      <c r="J2593" s="1429"/>
      <c r="K2593" s="1429"/>
      <c r="L2593" s="1429"/>
      <c r="M2593" s="1429"/>
      <c r="N2593" s="1429"/>
      <c r="O2593" s="1429"/>
      <c r="P2593" s="1429"/>
      <c r="Q2593" s="1429"/>
      <c r="R2593" s="1429"/>
      <c r="S2593" s="1424"/>
      <c r="T2593" s="1428">
        <f>T2548</f>
        <v>0</v>
      </c>
      <c r="U2593" s="1423">
        <f t="shared" si="3787"/>
        <v>0</v>
      </c>
      <c r="V2593" s="1423">
        <f t="shared" si="3788"/>
        <v>0</v>
      </c>
      <c r="W2593" s="1423">
        <f t="shared" si="3789"/>
        <v>0</v>
      </c>
      <c r="X2593" s="152"/>
      <c r="Y2593" s="152"/>
      <c r="Z2593" s="152"/>
      <c r="AA2593" s="152"/>
      <c r="AB2593" s="152"/>
    </row>
    <row r="2594" spans="1:28" hidden="1" outlineLevel="1">
      <c r="A2594" s="152"/>
      <c r="B2594" s="190" t="str">
        <f t="shared" ca="1" si="3790"/>
        <v>RL Capex 2033-34</v>
      </c>
      <c r="C2594" s="1429"/>
      <c r="D2594" s="1429"/>
      <c r="E2594" s="1429"/>
      <c r="F2594" s="1429"/>
      <c r="G2594" s="1429"/>
      <c r="H2594" s="1429"/>
      <c r="I2594" s="1429"/>
      <c r="J2594" s="1429"/>
      <c r="K2594" s="1429"/>
      <c r="L2594" s="1429"/>
      <c r="M2594" s="1429"/>
      <c r="N2594" s="1429"/>
      <c r="O2594" s="1429"/>
      <c r="P2594" s="1429"/>
      <c r="Q2594" s="1429"/>
      <c r="R2594" s="1429"/>
      <c r="S2594" s="1429"/>
      <c r="T2594" s="1424"/>
      <c r="U2594" s="1428">
        <f>U2548</f>
        <v>0</v>
      </c>
      <c r="V2594" s="1423">
        <f t="shared" si="3788"/>
        <v>0</v>
      </c>
      <c r="W2594" s="1423">
        <f t="shared" si="3789"/>
        <v>0</v>
      </c>
      <c r="X2594" s="152"/>
      <c r="Y2594" s="152"/>
      <c r="Z2594" s="152"/>
      <c r="AA2594" s="152"/>
      <c r="AB2594" s="152"/>
    </row>
    <row r="2595" spans="1:28" hidden="1" outlineLevel="1">
      <c r="A2595" s="152"/>
      <c r="B2595" s="190" t="str">
        <f t="shared" ca="1" si="3790"/>
        <v>RL Capex 2034-35</v>
      </c>
      <c r="C2595" s="1429"/>
      <c r="D2595" s="1429"/>
      <c r="E2595" s="1429"/>
      <c r="F2595" s="1429"/>
      <c r="G2595" s="1429"/>
      <c r="H2595" s="1429"/>
      <c r="I2595" s="1429"/>
      <c r="J2595" s="1429"/>
      <c r="K2595" s="1429"/>
      <c r="L2595" s="1429"/>
      <c r="M2595" s="1429"/>
      <c r="N2595" s="1429"/>
      <c r="O2595" s="1429"/>
      <c r="P2595" s="1429"/>
      <c r="Q2595" s="1429"/>
      <c r="R2595" s="1429"/>
      <c r="S2595" s="1429"/>
      <c r="T2595" s="1429"/>
      <c r="U2595" s="1424"/>
      <c r="V2595" s="1428">
        <f>V2548</f>
        <v>0</v>
      </c>
      <c r="W2595" s="1423">
        <f>IF(V2595="n/a","n/a",MAX(0,V2595-1))</f>
        <v>0</v>
      </c>
      <c r="X2595" s="152"/>
      <c r="Y2595" s="152"/>
      <c r="Z2595" s="152"/>
      <c r="AA2595" s="152"/>
      <c r="AB2595" s="152"/>
    </row>
    <row r="2596" spans="1:28" hidden="1" outlineLevel="1">
      <c r="A2596" s="152"/>
      <c r="B2596" s="190" t="str">
        <f t="shared" ca="1" si="3790"/>
        <v>RL Capex 2035-36</v>
      </c>
      <c r="C2596" s="1429"/>
      <c r="D2596" s="1429"/>
      <c r="E2596" s="1429"/>
      <c r="F2596" s="1429"/>
      <c r="G2596" s="1429"/>
      <c r="H2596" s="1429"/>
      <c r="I2596" s="1429"/>
      <c r="J2596" s="1429"/>
      <c r="K2596" s="1429"/>
      <c r="L2596" s="1429"/>
      <c r="M2596" s="1429"/>
      <c r="N2596" s="1429"/>
      <c r="O2596" s="1429"/>
      <c r="P2596" s="1429"/>
      <c r="Q2596" s="1429"/>
      <c r="R2596" s="1429"/>
      <c r="S2596" s="1429"/>
      <c r="T2596" s="1429"/>
      <c r="U2596" s="1429"/>
      <c r="V2596" s="1424"/>
      <c r="W2596" s="1423">
        <f>W2548</f>
        <v>0</v>
      </c>
      <c r="X2596" s="152"/>
      <c r="Y2596" s="152"/>
      <c r="Z2596" s="152"/>
      <c r="AA2596" s="152"/>
      <c r="AB2596" s="152"/>
    </row>
    <row r="2597" spans="1:28" hidden="1" outlineLevel="1">
      <c r="A2597" s="152"/>
      <c r="B2597" s="200"/>
      <c r="C2597" s="1423"/>
      <c r="D2597" s="1423"/>
      <c r="E2597" s="1423"/>
      <c r="F2597" s="1423"/>
      <c r="G2597" s="1423"/>
      <c r="H2597" s="1423"/>
      <c r="I2597" s="1423"/>
      <c r="J2597" s="1423"/>
      <c r="K2597" s="1423"/>
      <c r="L2597" s="1423"/>
      <c r="M2597" s="1423"/>
      <c r="N2597" s="1423"/>
      <c r="O2597" s="1423"/>
      <c r="P2597" s="1423"/>
      <c r="Q2597" s="1423"/>
      <c r="R2597" s="1423"/>
      <c r="S2597" s="1423"/>
      <c r="T2597" s="1423"/>
      <c r="U2597" s="1423"/>
      <c r="V2597" s="1423"/>
      <c r="W2597" s="1423"/>
      <c r="X2597" s="152"/>
      <c r="Y2597" s="152"/>
      <c r="Z2597" s="152"/>
      <c r="AA2597" s="152"/>
      <c r="AB2597" s="152"/>
    </row>
    <row r="2598" spans="1:28" collapsed="1">
      <c r="A2598" s="194"/>
      <c r="B2598" s="204" t="s">
        <v>123</v>
      </c>
      <c r="C2598" s="1430">
        <f ca="1">(IF(OR($C2548&lt;&gt;"n/a",C2548&lt;&gt;"n/a"),IF(SUM(C2551:C2573)=0,0,IF((SUMPRODUCT(C2551:C2573,C2575:C2597)/SUM(C2551:C2573))&lt;0,1,(SUMPRODUCT(C2551:C2573,C2575:C2597)/SUM(C2551:C2573)))),"n/a"))</f>
        <v>0</v>
      </c>
      <c r="D2598" s="1430">
        <f ca="1">(IF(OR($C2548&lt;&gt;"n/a",D2548&lt;&gt;"n/a"),IF(SUM(D2551:D2573)=0,0,IF((SUMPRODUCT(D2551:D2573,D2575:D2597)/SUM(D2551:D2573))&lt;0,1,(SUMPRODUCT(D2551:D2573,D2575:D2597)/SUM(D2551:D2573)))),"n/a"))</f>
        <v>0</v>
      </c>
      <c r="E2598" s="1430">
        <f t="shared" ref="E2598:W2598" ca="1" si="3791">(IF(OR($C2548&lt;&gt;"n/a",E2548&lt;&gt;"n/a"),IF(SUM(E2551:E2573)=0,0,IF((SUMPRODUCT(E2551:E2573,E2575:E2597)/SUM(E2551:E2573))&lt;0,1,(SUMPRODUCT(E2551:E2573,E2575:E2597)/SUM(E2551:E2573)))),"n/a"))</f>
        <v>0</v>
      </c>
      <c r="F2598" s="1430">
        <f t="shared" ca="1" si="3791"/>
        <v>0</v>
      </c>
      <c r="G2598" s="1430">
        <f t="shared" ca="1" si="3791"/>
        <v>0</v>
      </c>
      <c r="H2598" s="1430">
        <f t="shared" ca="1" si="3791"/>
        <v>0</v>
      </c>
      <c r="I2598" s="1430">
        <f t="shared" ca="1" si="3791"/>
        <v>0</v>
      </c>
      <c r="J2598" s="1430">
        <f t="shared" ca="1" si="3791"/>
        <v>0</v>
      </c>
      <c r="K2598" s="1430">
        <f t="shared" ca="1" si="3791"/>
        <v>0</v>
      </c>
      <c r="L2598" s="1430">
        <f t="shared" ca="1" si="3791"/>
        <v>0</v>
      </c>
      <c r="M2598" s="1430">
        <f t="shared" ca="1" si="3791"/>
        <v>0</v>
      </c>
      <c r="N2598" s="1430">
        <f t="shared" ca="1" si="3791"/>
        <v>0</v>
      </c>
      <c r="O2598" s="1430">
        <f t="shared" ca="1" si="3791"/>
        <v>0</v>
      </c>
      <c r="P2598" s="1430">
        <f t="shared" ca="1" si="3791"/>
        <v>0</v>
      </c>
      <c r="Q2598" s="1430">
        <f t="shared" ca="1" si="3791"/>
        <v>0</v>
      </c>
      <c r="R2598" s="1430">
        <f t="shared" ca="1" si="3791"/>
        <v>0</v>
      </c>
      <c r="S2598" s="1430">
        <f t="shared" ca="1" si="3791"/>
        <v>0</v>
      </c>
      <c r="T2598" s="1430">
        <f t="shared" ca="1" si="3791"/>
        <v>0</v>
      </c>
      <c r="U2598" s="1430">
        <f t="shared" ca="1" si="3791"/>
        <v>0</v>
      </c>
      <c r="V2598" s="1430">
        <f t="shared" ca="1" si="3791"/>
        <v>0</v>
      </c>
      <c r="W2598" s="1430">
        <f t="shared" ca="1" si="3791"/>
        <v>0</v>
      </c>
      <c r="X2598" s="152"/>
      <c r="Y2598" s="152"/>
      <c r="Z2598" s="152"/>
      <c r="AA2598" s="152"/>
      <c r="AB2598" s="152"/>
    </row>
    <row r="2599" spans="1:28">
      <c r="A2599" s="152"/>
      <c r="B2599" s="152"/>
      <c r="C2599" s="1423"/>
      <c r="D2599" s="1423"/>
      <c r="E2599" s="1423"/>
      <c r="F2599" s="1423"/>
      <c r="G2599" s="1423"/>
      <c r="H2599" s="1423"/>
      <c r="I2599" s="1423"/>
      <c r="J2599" s="1423"/>
      <c r="K2599" s="1423"/>
      <c r="L2599" s="1423"/>
      <c r="M2599" s="1423"/>
      <c r="N2599" s="1423"/>
      <c r="O2599" s="1423"/>
      <c r="P2599" s="1423"/>
      <c r="Q2599" s="1423"/>
      <c r="R2599" s="1423"/>
      <c r="S2599" s="1423"/>
      <c r="T2599" s="1423"/>
      <c r="U2599" s="1423"/>
      <c r="V2599" s="1423"/>
      <c r="W2599" s="1423"/>
      <c r="X2599" s="152"/>
      <c r="Y2599" s="152"/>
      <c r="Z2599" s="152"/>
      <c r="AA2599" s="152"/>
      <c r="AB2599" s="152"/>
    </row>
    <row r="2600" spans="1:28">
      <c r="A2600" s="269" t="s">
        <v>115</v>
      </c>
      <c r="B2600" s="270">
        <f>VLOOKUP($A2600,'RFM input'!$E$7:$F$56,2,FALSE)</f>
        <v>0</v>
      </c>
      <c r="C2600" s="1431"/>
      <c r="D2600" s="1431"/>
      <c r="E2600" s="1432"/>
      <c r="F2600" s="1432"/>
      <c r="G2600" s="1432"/>
      <c r="H2600" s="1432"/>
      <c r="I2600" s="1432"/>
      <c r="J2600" s="1432"/>
      <c r="K2600" s="1432"/>
      <c r="L2600" s="1432"/>
      <c r="M2600" s="1432"/>
      <c r="N2600" s="1432"/>
      <c r="O2600" s="1432"/>
      <c r="P2600" s="1432"/>
      <c r="Q2600" s="1432"/>
      <c r="R2600" s="1432"/>
      <c r="S2600" s="1432"/>
      <c r="T2600" s="1432"/>
      <c r="U2600" s="1432"/>
      <c r="V2600" s="1432"/>
      <c r="W2600" s="1432"/>
      <c r="X2600" s="152"/>
      <c r="Y2600" s="152"/>
      <c r="Z2600" s="152"/>
      <c r="AA2600" s="152"/>
      <c r="AB2600" s="152"/>
    </row>
    <row r="2601" spans="1:28">
      <c r="A2601" s="215">
        <f>VALUE(REPLACE(A2600,1,12,""))</f>
        <v>49</v>
      </c>
      <c r="B2601" s="193" t="s">
        <v>126</v>
      </c>
      <c r="C2601" s="1416">
        <f ca="1">IF($D$6='TAB roll forward'!$H$4,OFFSET('TAB roll forward'!$H$7,A2601,0),"enter input")</f>
        <v>0</v>
      </c>
      <c r="D2601" s="1417">
        <f>IF(LEFT(D$6,4)&lt;LEFT('RFM input'!$G$60,4),"enter input",IF(LEFT(D$6,4)&gt;LEFT('RFM input'!$Q$60,4),0,
INDEX('RFM input'!$G$61:$Q$110,$A2601,MATCH(D$6,'RFM input'!$G$60:$Q$60,0))
   -INDEX('RFM input'!$G$115:$Q$164,$A2601,MATCH(D$6,'RFM input'!$G$60:$Q$60,0))))</f>
        <v>0</v>
      </c>
      <c r="E2601" s="1417">
        <f>IF(LEFT(E$6,4)&lt;LEFT('RFM input'!$G$60,4),"enter input",IF(LEFT(E$6,4)&gt;LEFT('RFM input'!$Q$60,4),0,
INDEX('RFM input'!$G$61:$Q$110,$A2601,MATCH(E$6,'RFM input'!$G$60:$Q$60,0))
   -INDEX('RFM input'!$G$115:$Q$164,$A2601,MATCH(E$6,'RFM input'!$G$60:$Q$60,0))))</f>
        <v>0</v>
      </c>
      <c r="F2601" s="1417">
        <f>IF(LEFT(F$6,4)&lt;LEFT('RFM input'!$G$60,4),"enter input",IF(LEFT(F$6,4)&gt;LEFT('RFM input'!$Q$60,4),0,
INDEX('RFM input'!$G$61:$Q$110,$A2601,MATCH(F$6,'RFM input'!$G$60:$Q$60,0))
   -INDEX('RFM input'!$G$115:$Q$164,$A2601,MATCH(F$6,'RFM input'!$G$60:$Q$60,0))))</f>
        <v>0</v>
      </c>
      <c r="G2601" s="1417">
        <f>IF(LEFT(G$6,4)&lt;LEFT('RFM input'!$G$60,4),"enter input",IF(LEFT(G$6,4)&gt;LEFT('RFM input'!$Q$60,4),0,
INDEX('RFM input'!$G$61:$Q$110,$A2601,MATCH(G$6,'RFM input'!$G$60:$Q$60,0))
   -INDEX('RFM input'!$G$115:$Q$164,$A2601,MATCH(G$6,'RFM input'!$G$60:$Q$60,0))))</f>
        <v>0</v>
      </c>
      <c r="H2601" s="1417">
        <f>IF(LEFT(H$6,4)&lt;LEFT('RFM input'!$G$60,4),"enter input",IF(LEFT(H$6,4)&gt;LEFT('RFM input'!$Q$60,4),0,
INDEX('RFM input'!$G$61:$Q$110,$A2601,MATCH(H$6,'RFM input'!$G$60:$Q$60,0))
   -INDEX('RFM input'!$G$115:$Q$164,$A2601,MATCH(H$6,'RFM input'!$G$60:$Q$60,0))))</f>
        <v>0</v>
      </c>
      <c r="I2601" s="1417">
        <f>IF(LEFT(I$6,4)&lt;LEFT('RFM input'!$G$60,4),"enter input",IF(LEFT(I$6,4)&gt;LEFT('RFM input'!$Q$60,4),0,
INDEX('RFM input'!$G$61:$Q$110,$A2601,MATCH(I$6,'RFM input'!$G$60:$Q$60,0))
   -INDEX('RFM input'!$G$115:$Q$164,$A2601,MATCH(I$6,'RFM input'!$G$60:$Q$60,0))))</f>
        <v>0</v>
      </c>
      <c r="J2601" s="1417">
        <f>IF(LEFT(J$6,4)&lt;LEFT('RFM input'!$G$60,4),"enter input",IF(LEFT(J$6,4)&gt;LEFT('RFM input'!$Q$60,4),0,
INDEX('RFM input'!$G$61:$Q$110,$A2601,MATCH(J$6,'RFM input'!$G$60:$Q$60,0))
   -INDEX('RFM input'!$G$115:$Q$164,$A2601,MATCH(J$6,'RFM input'!$G$60:$Q$60,0))))</f>
        <v>0</v>
      </c>
      <c r="K2601" s="1417">
        <f>IF(LEFT(K$6,4)&lt;LEFT('RFM input'!$G$60,4),"enter input",IF(LEFT(K$6,4)&gt;LEFT('RFM input'!$Q$60,4),0,
INDEX('RFM input'!$G$61:$Q$110,$A2601,MATCH(K$6,'RFM input'!$G$60:$Q$60,0))
   -INDEX('RFM input'!$G$115:$Q$164,$A2601,MATCH(K$6,'RFM input'!$G$60:$Q$60,0))))</f>
        <v>0</v>
      </c>
      <c r="L2601" s="1417">
        <f>IF(LEFT(L$6,4)&lt;LEFT('RFM input'!$G$60,4),"enter input",IF(LEFT(L$6,4)&gt;LEFT('RFM input'!$Q$60,4),0,
INDEX('RFM input'!$G$61:$Q$110,$A2601,MATCH(L$6,'RFM input'!$G$60:$Q$60,0))
   -INDEX('RFM input'!$G$115:$Q$164,$A2601,MATCH(L$6,'RFM input'!$G$60:$Q$60,0))))</f>
        <v>0</v>
      </c>
      <c r="M2601" s="1417">
        <f>IF(LEFT(M$6,4)&lt;LEFT('RFM input'!$G$60,4),"enter input",IF(LEFT(M$6,4)&gt;LEFT('RFM input'!$Q$60,4),0,
INDEX('RFM input'!$G$61:$Q$110,$A2601,MATCH(M$6,'RFM input'!$G$60:$Q$60,0))
   -INDEX('RFM input'!$G$115:$Q$164,$A2601,MATCH(M$6,'RFM input'!$G$60:$Q$60,0))))</f>
        <v>0</v>
      </c>
      <c r="N2601" s="1417">
        <f>IF(LEFT(N$6,4)&lt;LEFT('RFM input'!$G$60,4),"enter input",IF(LEFT(N$6,4)&gt;LEFT('RFM input'!$Q$60,4),0,
INDEX('RFM input'!$G$61:$Q$110,$A2601,MATCH(N$6,'RFM input'!$G$60:$Q$60,0))
   -INDEX('RFM input'!$G$115:$Q$164,$A2601,MATCH(N$6,'RFM input'!$G$60:$Q$60,0))))</f>
        <v>0</v>
      </c>
      <c r="O2601" s="1417">
        <f>IF(LEFT(O$6,4)&lt;LEFT('RFM input'!$G$60,4),"enter input",IF(LEFT(O$6,4)&gt;LEFT('RFM input'!$Q$60,4),0,
INDEX('RFM input'!$G$61:$Q$110,$A2601,MATCH(O$6,'RFM input'!$G$60:$Q$60,0))
   -INDEX('RFM input'!$G$115:$Q$164,$A2601,MATCH(O$6,'RFM input'!$G$60:$Q$60,0))))</f>
        <v>0</v>
      </c>
      <c r="P2601" s="1417">
        <f>IF(LEFT(P$6,4)&lt;LEFT('RFM input'!$G$60,4),"enter input",IF(LEFT(P$6,4)&gt;LEFT('RFM input'!$Q$60,4),0,
INDEX('RFM input'!$G$61:$Q$110,$A2601,MATCH(P$6,'RFM input'!$G$60:$Q$60,0))
   -INDEX('RFM input'!$G$115:$Q$164,$A2601,MATCH(P$6,'RFM input'!$G$60:$Q$60,0))))</f>
        <v>0</v>
      </c>
      <c r="Q2601" s="1417">
        <f>IF(LEFT(Q$6,4)&lt;LEFT('RFM input'!$G$60,4),"enter input",IF(LEFT(Q$6,4)&gt;LEFT('RFM input'!$Q$60,4),0,
INDEX('RFM input'!$G$61:$Q$110,$A2601,MATCH(Q$6,'RFM input'!$G$60:$Q$60,0))
   -INDEX('RFM input'!$G$115:$Q$164,$A2601,MATCH(Q$6,'RFM input'!$G$60:$Q$60,0))))</f>
        <v>0</v>
      </c>
      <c r="R2601" s="1417">
        <f>IF(LEFT(R$6,4)&lt;LEFT('RFM input'!$G$60,4),"enter input",IF(LEFT(R$6,4)&gt;LEFT('RFM input'!$Q$60,4),0,
INDEX('RFM input'!$G$61:$Q$110,$A2601,MATCH(R$6,'RFM input'!$G$60:$Q$60,0))
   -INDEX('RFM input'!$G$115:$Q$164,$A2601,MATCH(R$6,'RFM input'!$G$60:$Q$60,0))))</f>
        <v>0</v>
      </c>
      <c r="S2601" s="1417">
        <f>IF(LEFT(S$6,4)&lt;LEFT('RFM input'!$G$60,4),"enter input",IF(LEFT(S$6,4)&gt;LEFT('RFM input'!$Q$60,4),0,
INDEX('RFM input'!$G$61:$Q$110,$A2601,MATCH(S$6,'RFM input'!$G$60:$Q$60,0))
   -INDEX('RFM input'!$G$115:$Q$164,$A2601,MATCH(S$6,'RFM input'!$G$60:$Q$60,0))))</f>
        <v>0</v>
      </c>
      <c r="T2601" s="1417">
        <f>IF(LEFT(T$6,4)&lt;LEFT('RFM input'!$G$60,4),"enter input",IF(LEFT(T$6,4)&gt;LEFT('RFM input'!$Q$60,4),0,
INDEX('RFM input'!$G$61:$Q$110,$A2601,MATCH(T$6,'RFM input'!$G$60:$Q$60,0))
   -INDEX('RFM input'!$G$115:$Q$164,$A2601,MATCH(T$6,'RFM input'!$G$60:$Q$60,0))))</f>
        <v>0</v>
      </c>
      <c r="U2601" s="1417">
        <f>IF(LEFT(U$6,4)&lt;LEFT('RFM input'!$G$60,4),"enter input",IF(LEFT(U$6,4)&gt;LEFT('RFM input'!$Q$60,4),0,
INDEX('RFM input'!$G$61:$Q$110,$A2601,MATCH(U$6,'RFM input'!$G$60:$Q$60,0))
   -INDEX('RFM input'!$G$115:$Q$164,$A2601,MATCH(U$6,'RFM input'!$G$60:$Q$60,0))))</f>
        <v>0</v>
      </c>
      <c r="V2601" s="1417">
        <f>IF(LEFT(V$6,4)&lt;LEFT('RFM input'!$G$60,4),"enter input",IF(LEFT(V$6,4)&gt;LEFT('RFM input'!$Q$60,4),0,
INDEX('RFM input'!$G$61:$Q$110,$A2601,MATCH(V$6,'RFM input'!$G$60:$Q$60,0))
   -INDEX('RFM input'!$G$115:$Q$164,$A2601,MATCH(V$6,'RFM input'!$G$60:$Q$60,0))))</f>
        <v>0</v>
      </c>
      <c r="W2601" s="1417">
        <f>IF(LEFT(W$6,4)&lt;LEFT('RFM input'!$G$60,4),"enter input",IF(LEFT(W$6,4)&gt;LEFT('RFM input'!$Q$60,4),0,
INDEX('RFM input'!$G$61:$Q$110,$A2601,MATCH(W$6,'RFM input'!$G$60:$Q$60,0))
   -INDEX('RFM input'!$G$115:$Q$164,$A2601,MATCH(W$6,'RFM input'!$G$60:$Q$60,0))))</f>
        <v>0</v>
      </c>
      <c r="X2601" s="152"/>
      <c r="Y2601" s="152"/>
      <c r="Z2601" s="152"/>
      <c r="AA2601" s="152"/>
      <c r="AB2601" s="152"/>
    </row>
    <row r="2602" spans="1:28">
      <c r="A2602" s="152"/>
      <c r="B2602" s="152" t="s">
        <v>205</v>
      </c>
      <c r="C2602" s="1418">
        <f ca="1">IF($D$6='TAB roll forward'!$H$4,OFFSET('RFM input'!$S$6,$A2601,0),"enter input")</f>
        <v>0</v>
      </c>
      <c r="D2602" s="1417">
        <f>IF(LEFT(D$6,4)&lt;=LEFT('RFM input'!$G$60,4),"enter input",IF(LEFT(D$6,4)&gt;LEFT('RFM input'!$Q$60,4),0,
IF(MATCH(D$6,'RFM input'!$H$60:$Q$60,0),INDEX('RFM input'!$T$7:$T$56,$A2601,1,1))))</f>
        <v>0</v>
      </c>
      <c r="E2602" s="1417">
        <f>IF(LEFT(E$6,4)&lt;=LEFT('RFM input'!$G$60,4),"enter input",IF(LEFT(E$6,4)&gt;LEFT('RFM input'!$Q$60,4),0,
IF(MATCH(E$6,'RFM input'!$H$60:$Q$60,0),INDEX('RFM input'!$T$7:$T$56,$A2601,1,1))))</f>
        <v>0</v>
      </c>
      <c r="F2602" s="1417">
        <f>IF(LEFT(F$6,4)&lt;=LEFT('RFM input'!$G$60,4),"enter input",IF(LEFT(F$6,4)&gt;LEFT('RFM input'!$Q$60,4),0,
IF(MATCH(F$6,'RFM input'!$H$60:$Q$60,0),INDEX('RFM input'!$T$7:$T$56,$A2601,1,1))))</f>
        <v>0</v>
      </c>
      <c r="G2602" s="1417">
        <f>IF(LEFT(G$6,4)&lt;=LEFT('RFM input'!$G$60,4),"enter input",IF(LEFT(G$6,4)&gt;LEFT('RFM input'!$Q$60,4),0,
IF(MATCH(G$6,'RFM input'!$H$60:$Q$60,0),INDEX('RFM input'!$T$7:$T$56,$A2601,1,1))))</f>
        <v>0</v>
      </c>
      <c r="H2602" s="1417">
        <f>IF(LEFT(H$6,4)&lt;=LEFT('RFM input'!$G$60,4),"enter input",IF(LEFT(H$6,4)&gt;LEFT('RFM input'!$Q$60,4),0,
IF(MATCH(H$6,'RFM input'!$H$60:$Q$60,0),INDEX('RFM input'!$T$7:$T$56,$A2601,1,1))))</f>
        <v>0</v>
      </c>
      <c r="I2602" s="1417">
        <f>IF(LEFT(I$6,4)&lt;=LEFT('RFM input'!$G$60,4),"enter input",IF(LEFT(I$6,4)&gt;LEFT('RFM input'!$Q$60,4),0,
IF(MATCH(I$6,'RFM input'!$H$60:$Q$60,0),INDEX('RFM input'!$T$7:$T$56,$A2601,1,1))))</f>
        <v>0</v>
      </c>
      <c r="J2602" s="1417">
        <f>IF(LEFT(J$6,4)&lt;=LEFT('RFM input'!$G$60,4),"enter input",IF(LEFT(J$6,4)&gt;LEFT('RFM input'!$Q$60,4),0,
IF(MATCH(J$6,'RFM input'!$H$60:$Q$60,0),INDEX('RFM input'!$T$7:$T$56,$A2601,1,1))))</f>
        <v>0</v>
      </c>
      <c r="K2602" s="1417">
        <f>IF(LEFT(K$6,4)&lt;=LEFT('RFM input'!$G$60,4),"enter input",IF(LEFT(K$6,4)&gt;LEFT('RFM input'!$Q$60,4),0,
IF(MATCH(K$6,'RFM input'!$H$60:$Q$60,0),INDEX('RFM input'!$T$7:$T$56,$A2601,1,1))))</f>
        <v>0</v>
      </c>
      <c r="L2602" s="1417">
        <f>IF(LEFT(L$6,4)&lt;=LEFT('RFM input'!$G$60,4),"enter input",IF(LEFT(L$6,4)&gt;LEFT('RFM input'!$Q$60,4),0,
IF(MATCH(L$6,'RFM input'!$H$60:$Q$60,0),INDEX('RFM input'!$T$7:$T$56,$A2601,1,1))))</f>
        <v>0</v>
      </c>
      <c r="M2602" s="1417">
        <f>IF(LEFT(M$6,4)&lt;=LEFT('RFM input'!$G$60,4),"enter input",IF(LEFT(M$6,4)&gt;LEFT('RFM input'!$Q$60,4),0,
IF(MATCH(M$6,'RFM input'!$H$60:$Q$60,0),INDEX('RFM input'!$T$7:$T$56,$A2601,1,1))))</f>
        <v>0</v>
      </c>
      <c r="N2602" s="1417">
        <f>IF(LEFT(N$6,4)&lt;=LEFT('RFM input'!$G$60,4),"enter input",IF(LEFT(N$6,4)&gt;LEFT('RFM input'!$Q$60,4),0,
IF(MATCH(N$6,'RFM input'!$H$60:$Q$60,0),INDEX('RFM input'!$T$7:$T$56,$A2601,1,1))))</f>
        <v>0</v>
      </c>
      <c r="O2602" s="1417">
        <f>IF(LEFT(O$6,4)&lt;=LEFT('RFM input'!$G$60,4),"enter input",IF(LEFT(O$6,4)&gt;LEFT('RFM input'!$Q$60,4),0,
IF(MATCH(O$6,'RFM input'!$H$60:$Q$60,0),INDEX('RFM input'!$T$7:$T$56,$A2601,1,1))))</f>
        <v>0</v>
      </c>
      <c r="P2602" s="1417">
        <f>IF(LEFT(P$6,4)&lt;=LEFT('RFM input'!$G$60,4),"enter input",IF(LEFT(P$6,4)&gt;LEFT('RFM input'!$Q$60,4),0,
IF(MATCH(P$6,'RFM input'!$H$60:$Q$60,0),INDEX('RFM input'!$T$7:$T$56,$A2601,1,1))))</f>
        <v>0</v>
      </c>
      <c r="Q2602" s="1417">
        <f>IF(LEFT(Q$6,4)&lt;=LEFT('RFM input'!$G$60,4),"enter input",IF(LEFT(Q$6,4)&gt;LEFT('RFM input'!$Q$60,4),0,
IF(MATCH(Q$6,'RFM input'!$H$60:$Q$60,0),INDEX('RFM input'!$T$7:$T$56,$A2601,1,1))))</f>
        <v>0</v>
      </c>
      <c r="R2602" s="1417">
        <f>IF(LEFT(R$6,4)&lt;=LEFT('RFM input'!$G$60,4),"enter input",IF(LEFT(R$6,4)&gt;LEFT('RFM input'!$Q$60,4),0,
IF(MATCH(R$6,'RFM input'!$H$60:$Q$60,0),INDEX('RFM input'!$T$7:$T$56,$A2601,1,1))))</f>
        <v>0</v>
      </c>
      <c r="S2602" s="1417">
        <f>IF(LEFT(S$6,4)&lt;=LEFT('RFM input'!$G$60,4),"enter input",IF(LEFT(S$6,4)&gt;LEFT('RFM input'!$Q$60,4),0,
IF(MATCH(S$6,'RFM input'!$H$60:$Q$60,0),INDEX('RFM input'!$T$7:$T$56,$A2601,1,1))))</f>
        <v>0</v>
      </c>
      <c r="T2602" s="1417">
        <f>IF(LEFT(T$6,4)&lt;=LEFT('RFM input'!$G$60,4),"enter input",IF(LEFT(T$6,4)&gt;LEFT('RFM input'!$Q$60,4),0,
IF(MATCH(T$6,'RFM input'!$H$60:$Q$60,0),INDEX('RFM input'!$T$7:$T$56,$A2601,1,1))))</f>
        <v>0</v>
      </c>
      <c r="U2602" s="1417">
        <f>IF(LEFT(U$6,4)&lt;=LEFT('RFM input'!$G$60,4),"enter input",IF(LEFT(U$6,4)&gt;LEFT('RFM input'!$Q$60,4),0,
IF(MATCH(U$6,'RFM input'!$H$60:$Q$60,0),INDEX('RFM input'!$T$7:$T$56,$A2601,1,1))))</f>
        <v>0</v>
      </c>
      <c r="V2602" s="1417">
        <f>IF(LEFT(V$6,4)&lt;=LEFT('RFM input'!$G$60,4),"enter input",IF(LEFT(V$6,4)&gt;LEFT('RFM input'!$Q$60,4),0,
IF(MATCH(V$6,'RFM input'!$H$60:$Q$60,0),INDEX('RFM input'!$T$7:$T$56,$A2601,1,1))))</f>
        <v>0</v>
      </c>
      <c r="W2602" s="1417">
        <f>IF(LEFT(W$6,4)&lt;=LEFT('RFM input'!$G$60,4),"enter input",IF(LEFT(W$6,4)&gt;LEFT('RFM input'!$Q$60,4),0,
IF(MATCH(W$6,'RFM input'!$H$60:$Q$60,0),INDEX('RFM input'!$T$7:$T$56,$A2601,1,1))))</f>
        <v>0</v>
      </c>
      <c r="X2602" s="152"/>
      <c r="Y2602" s="152"/>
      <c r="Z2602" s="152"/>
      <c r="AA2602" s="152"/>
      <c r="AB2602" s="152"/>
    </row>
    <row r="2603" spans="1:28">
      <c r="A2603" s="152"/>
      <c r="B2603" s="193" t="s">
        <v>192</v>
      </c>
      <c r="C2603" s="1419"/>
      <c r="D2603" s="1420">
        <f ca="1">IF(LEFT(D$6,4)&lt;=LEFT('RFM input'!$G$60,4),"enter input",IF(LEFT(D$6,4)&gt;LEFT('RFM input'!$Q$60,4),0,
IF(D$6=(OFFSET('RFM input'!$G$60,0,'RFM input'!$V$7)),OFFSET('RFM input'!$H$411,$A2601,0),0)))</f>
        <v>0</v>
      </c>
      <c r="E2603" s="1417">
        <f ca="1">IF(LEFT(E$6,4)&lt;=LEFT('RFM input'!$G$60,4),"enter input",IF(LEFT(E$6,4)&gt;LEFT('RFM input'!$Q$60,4),0,
IF(E$6=(OFFSET('RFM input'!$G$60,0,'RFM input'!$V$7)),OFFSET('RFM input'!$H$411,$A2601,0),0)))</f>
        <v>0</v>
      </c>
      <c r="F2603" s="1417">
        <f ca="1">IF(LEFT(F$6,4)&lt;=LEFT('RFM input'!$G$60,4),"enter input",IF(LEFT(F$6,4)&gt;LEFT('RFM input'!$Q$60,4),0,
IF(F$6=(OFFSET('RFM input'!$G$60,0,'RFM input'!$V$7)),OFFSET('RFM input'!$H$411,$A2601,0),0)))</f>
        <v>0</v>
      </c>
      <c r="G2603" s="1417">
        <f ca="1">IF(LEFT(G$6,4)&lt;=LEFT('RFM input'!$G$60,4),"enter input",IF(LEFT(G$6,4)&gt;LEFT('RFM input'!$Q$60,4),0,
IF(G$6=(OFFSET('RFM input'!$G$60,0,'RFM input'!$V$7)),OFFSET('RFM input'!$H$411,$A2601,0),0)))</f>
        <v>0</v>
      </c>
      <c r="H2603" s="1417">
        <f ca="1">IF(LEFT(H$6,4)&lt;=LEFT('RFM input'!$G$60,4),"enter input",IF(LEFT(H$6,4)&gt;LEFT('RFM input'!$Q$60,4),0,
IF(H$6=(OFFSET('RFM input'!$G$60,0,'RFM input'!$V$7)),OFFSET('RFM input'!$H$411,$A2601,0),0)))</f>
        <v>0</v>
      </c>
      <c r="I2603" s="1417">
        <f ca="1">IF(LEFT(I$6,4)&lt;=LEFT('RFM input'!$G$60,4),"enter input",IF(LEFT(I$6,4)&gt;LEFT('RFM input'!$Q$60,4),0,
IF(I$6=(OFFSET('RFM input'!$G$60,0,'RFM input'!$V$7)),OFFSET('RFM input'!$H$411,$A2601,0),0)))</f>
        <v>0</v>
      </c>
      <c r="J2603" s="1417">
        <f ca="1">IF(LEFT(J$6,4)&lt;=LEFT('RFM input'!$G$60,4),"enter input",IF(LEFT(J$6,4)&gt;LEFT('RFM input'!$Q$60,4),0,
IF(J$6=(OFFSET('RFM input'!$G$60,0,'RFM input'!$V$7)),OFFSET('RFM input'!$H$411,$A2601,0),0)))</f>
        <v>0</v>
      </c>
      <c r="K2603" s="1417">
        <f ca="1">IF(LEFT(K$6,4)&lt;=LEFT('RFM input'!$G$60,4),"enter input",IF(LEFT(K$6,4)&gt;LEFT('RFM input'!$Q$60,4),0,
IF(K$6=(OFFSET('RFM input'!$G$60,0,'RFM input'!$V$7)),OFFSET('RFM input'!$H$411,$A2601,0),0)))</f>
        <v>0</v>
      </c>
      <c r="L2603" s="1417">
        <f ca="1">IF(LEFT(L$6,4)&lt;=LEFT('RFM input'!$G$60,4),"enter input",IF(LEFT(L$6,4)&gt;LEFT('RFM input'!$Q$60,4),0,
IF(L$6=(OFFSET('RFM input'!$G$60,0,'RFM input'!$V$7)),OFFSET('RFM input'!$H$411,$A2601,0),0)))</f>
        <v>0</v>
      </c>
      <c r="M2603" s="1417">
        <f ca="1">IF(LEFT(M$6,4)&lt;=LEFT('RFM input'!$G$60,4),"enter input",IF(LEFT(M$6,4)&gt;LEFT('RFM input'!$Q$60,4),0,
IF(M$6=(OFFSET('RFM input'!$G$60,0,'RFM input'!$V$7)),OFFSET('RFM input'!$H$411,$A2601,0),0)))</f>
        <v>0</v>
      </c>
      <c r="N2603" s="1417">
        <f ca="1">IF(LEFT(N$6,4)&lt;=LEFT('RFM input'!$G$60,4),"enter input",IF(LEFT(N$6,4)&gt;LEFT('RFM input'!$Q$60,4),0,
IF(N$6=(OFFSET('RFM input'!$G$60,0,'RFM input'!$V$7)),OFFSET('RFM input'!$H$411,$A2601,0),0)))</f>
        <v>0</v>
      </c>
      <c r="O2603" s="1417">
        <f ca="1">IF(LEFT(O$6,4)&lt;=LEFT('RFM input'!$G$60,4),"enter input",IF(LEFT(O$6,4)&gt;LEFT('RFM input'!$Q$60,4),0,
IF(O$6=(OFFSET('RFM input'!$G$60,0,'RFM input'!$V$7)),OFFSET('RFM input'!$H$411,$A2601,0),0)))</f>
        <v>0</v>
      </c>
      <c r="P2603" s="1417">
        <f ca="1">IF(LEFT(P$6,4)&lt;=LEFT('RFM input'!$G$60,4),"enter input",IF(LEFT(P$6,4)&gt;LEFT('RFM input'!$Q$60,4),0,
IF(P$6=(OFFSET('RFM input'!$G$60,0,'RFM input'!$V$7)),OFFSET('RFM input'!$H$411,$A2601,0),0)))</f>
        <v>0</v>
      </c>
      <c r="Q2603" s="1417">
        <f ca="1">IF(LEFT(Q$6,4)&lt;=LEFT('RFM input'!$G$60,4),"enter input",IF(LEFT(Q$6,4)&gt;LEFT('RFM input'!$Q$60,4),0,
IF(Q$6=(OFFSET('RFM input'!$G$60,0,'RFM input'!$V$7)),OFFSET('RFM input'!$H$411,$A2601,0),0)))</f>
        <v>0</v>
      </c>
      <c r="R2603" s="1417">
        <f ca="1">IF(LEFT(R$6,4)&lt;=LEFT('RFM input'!$G$60,4),"enter input",IF(LEFT(R$6,4)&gt;LEFT('RFM input'!$Q$60,4),0,
IF(R$6=(OFFSET('RFM input'!$G$60,0,'RFM input'!$V$7)),OFFSET('RFM input'!$H$411,$A2601,0),0)))</f>
        <v>0</v>
      </c>
      <c r="S2603" s="1417">
        <f ca="1">IF(LEFT(S$6,4)&lt;=LEFT('RFM input'!$G$60,4),"enter input",IF(LEFT(S$6,4)&gt;LEFT('RFM input'!$Q$60,4),0,
IF(S$6=(OFFSET('RFM input'!$G$60,0,'RFM input'!$V$7)),OFFSET('RFM input'!$H$411,$A2601,0),0)))</f>
        <v>0</v>
      </c>
      <c r="T2603" s="1417">
        <f ca="1">IF(LEFT(T$6,4)&lt;=LEFT('RFM input'!$G$60,4),"enter input",IF(LEFT(T$6,4)&gt;LEFT('RFM input'!$Q$60,4),0,
IF(T$6=(OFFSET('RFM input'!$G$60,0,'RFM input'!$V$7)),OFFSET('RFM input'!$H$411,$A2601,0),0)))</f>
        <v>0</v>
      </c>
      <c r="U2603" s="1417">
        <f ca="1">IF(LEFT(U$6,4)&lt;=LEFT('RFM input'!$G$60,4),"enter input",IF(LEFT(U$6,4)&gt;LEFT('RFM input'!$Q$60,4),0,
IF(U$6=(OFFSET('RFM input'!$G$60,0,'RFM input'!$V$7)),OFFSET('RFM input'!$H$411,$A2601,0),0)))</f>
        <v>0</v>
      </c>
      <c r="V2603" s="1417">
        <f ca="1">IF(LEFT(V$6,4)&lt;=LEFT('RFM input'!$G$60,4),"enter input",IF(LEFT(V$6,4)&gt;LEFT('RFM input'!$Q$60,4),0,
IF(V$6=(OFFSET('RFM input'!$G$60,0,'RFM input'!$V$7)),OFFSET('RFM input'!$H$411,$A2601,0),0)))</f>
        <v>0</v>
      </c>
      <c r="W2603" s="1417">
        <f ca="1">IF(LEFT(W$6,4)&lt;=LEFT('RFM input'!$G$60,4),"enter input",IF(LEFT(W$6,4)&gt;LEFT('RFM input'!$Q$60,4),0,
IF(W$6=(OFFSET('RFM input'!$G$60,0,'RFM input'!$V$7)),OFFSET('RFM input'!$H$411,$A2601,0),0)))</f>
        <v>0</v>
      </c>
      <c r="X2603" s="152"/>
      <c r="Y2603" s="152"/>
      <c r="Z2603" s="152"/>
      <c r="AA2603" s="152"/>
      <c r="AB2603" s="152"/>
    </row>
    <row r="2604" spans="1:28">
      <c r="A2604" s="152"/>
      <c r="B2604" s="193" t="s">
        <v>200</v>
      </c>
      <c r="C2604" s="1419"/>
      <c r="D2604" s="1418">
        <f ca="1">IF(LEFT(D$6,4)&lt;=LEFT('RFM input'!$G$60,4),"enter input",IF(LEFT(D$6,4)&gt;LEFT('RFM input'!$Q$60,4),0,
IF(D$6=(OFFSET('RFM input'!$G$60,0,'RFM input'!$V$7)),OFFSET('RFM input'!$J$411,$A2601,0),0)))</f>
        <v>0</v>
      </c>
      <c r="E2604" s="1422">
        <f ca="1">IF(LEFT(E$6,4)&lt;=LEFT('RFM input'!$G$60,4),"enter input",IF(LEFT(E$6,4)&gt;LEFT('RFM input'!$Q$60,4),0,
IF(E$6=(OFFSET('RFM input'!$G$60,0,'RFM input'!$V$7)),OFFSET('RFM input'!$J$411,$A2601,0),0)))</f>
        <v>0</v>
      </c>
      <c r="F2604" s="1422">
        <f ca="1">IF(LEFT(F$6,4)&lt;=LEFT('RFM input'!$G$60,4),"enter input",IF(LEFT(F$6,4)&gt;LEFT('RFM input'!$Q$60,4),0,
IF(F$6=(OFFSET('RFM input'!$G$60,0,'RFM input'!$V$7)),OFFSET('RFM input'!$J$411,$A2601,0),0)))</f>
        <v>0</v>
      </c>
      <c r="G2604" s="1422">
        <f ca="1">IF(LEFT(G$6,4)&lt;=LEFT('RFM input'!$G$60,4),"enter input",IF(LEFT(G$6,4)&gt;LEFT('RFM input'!$Q$60,4),0,
IF(G$6=(OFFSET('RFM input'!$G$60,0,'RFM input'!$V$7)),OFFSET('RFM input'!$J$411,$A2601,0),0)))</f>
        <v>0</v>
      </c>
      <c r="H2604" s="1422">
        <f ca="1">IF(LEFT(H$6,4)&lt;=LEFT('RFM input'!$G$60,4),"enter input",IF(LEFT(H$6,4)&gt;LEFT('RFM input'!$Q$60,4),0,
IF(H$6=(OFFSET('RFM input'!$G$60,0,'RFM input'!$V$7)),OFFSET('RFM input'!$J$411,$A2601,0),0)))</f>
        <v>0</v>
      </c>
      <c r="I2604" s="1422">
        <f ca="1">IF(LEFT(I$6,4)&lt;=LEFT('RFM input'!$G$60,4),"enter input",IF(LEFT(I$6,4)&gt;LEFT('RFM input'!$Q$60,4),0,
IF(I$6=(OFFSET('RFM input'!$G$60,0,'RFM input'!$V$7)),OFFSET('RFM input'!$J$411,$A2601,0),0)))</f>
        <v>0</v>
      </c>
      <c r="J2604" s="1422">
        <f ca="1">IF(LEFT(J$6,4)&lt;=LEFT('RFM input'!$G$60,4),"enter input",IF(LEFT(J$6,4)&gt;LEFT('RFM input'!$Q$60,4),0,
IF(J$6=(OFFSET('RFM input'!$G$60,0,'RFM input'!$V$7)),OFFSET('RFM input'!$J$411,$A2601,0),0)))</f>
        <v>0</v>
      </c>
      <c r="K2604" s="1422">
        <f ca="1">IF(LEFT(K$6,4)&lt;=LEFT('RFM input'!$G$60,4),"enter input",IF(LEFT(K$6,4)&gt;LEFT('RFM input'!$Q$60,4),0,
IF(K$6=(OFFSET('RFM input'!$G$60,0,'RFM input'!$V$7)),OFFSET('RFM input'!$J$411,$A2601,0),0)))</f>
        <v>0</v>
      </c>
      <c r="L2604" s="1422">
        <f ca="1">IF(LEFT(L$6,4)&lt;=LEFT('RFM input'!$G$60,4),"enter input",IF(LEFT(L$6,4)&gt;LEFT('RFM input'!$Q$60,4),0,
IF(L$6=(OFFSET('RFM input'!$G$60,0,'RFM input'!$V$7)),OFFSET('RFM input'!$J$411,$A2601,0),0)))</f>
        <v>0</v>
      </c>
      <c r="M2604" s="1422">
        <f ca="1">IF(LEFT(M$6,4)&lt;=LEFT('RFM input'!$G$60,4),"enter input",IF(LEFT(M$6,4)&gt;LEFT('RFM input'!$Q$60,4),0,
IF(M$6=(OFFSET('RFM input'!$G$60,0,'RFM input'!$V$7)),OFFSET('RFM input'!$J$411,$A2601,0),0)))</f>
        <v>0</v>
      </c>
      <c r="N2604" s="1422">
        <f ca="1">IF(LEFT(N$6,4)&lt;=LEFT('RFM input'!$G$60,4),"enter input",IF(LEFT(N$6,4)&gt;LEFT('RFM input'!$Q$60,4),0,
IF(N$6=(OFFSET('RFM input'!$G$60,0,'RFM input'!$V$7)),OFFSET('RFM input'!$J$411,$A2601,0),0)))</f>
        <v>0</v>
      </c>
      <c r="O2604" s="1422">
        <f ca="1">IF(LEFT(O$6,4)&lt;=LEFT('RFM input'!$G$60,4),"enter input",IF(LEFT(O$6,4)&gt;LEFT('RFM input'!$Q$60,4),0,
IF(O$6=(OFFSET('RFM input'!$G$60,0,'RFM input'!$V$7)),OFFSET('RFM input'!$J$411,$A2601,0),0)))</f>
        <v>0</v>
      </c>
      <c r="P2604" s="1422">
        <f ca="1">IF(LEFT(P$6,4)&lt;=LEFT('RFM input'!$G$60,4),"enter input",IF(LEFT(P$6,4)&gt;LEFT('RFM input'!$Q$60,4),0,
IF(P$6=(OFFSET('RFM input'!$G$60,0,'RFM input'!$V$7)),OFFSET('RFM input'!$J$411,$A2601,0),0)))</f>
        <v>0</v>
      </c>
      <c r="Q2604" s="1422">
        <f ca="1">IF(LEFT(Q$6,4)&lt;=LEFT('RFM input'!$G$60,4),"enter input",IF(LEFT(Q$6,4)&gt;LEFT('RFM input'!$Q$60,4),0,
IF(Q$6=(OFFSET('RFM input'!$G$60,0,'RFM input'!$V$7)),OFFSET('RFM input'!$J$411,$A2601,0),0)))</f>
        <v>0</v>
      </c>
      <c r="R2604" s="1422">
        <f ca="1">IF(LEFT(R$6,4)&lt;=LEFT('RFM input'!$G$60,4),"enter input",IF(LEFT(R$6,4)&gt;LEFT('RFM input'!$Q$60,4),0,
IF(R$6=(OFFSET('RFM input'!$G$60,0,'RFM input'!$V$7)),OFFSET('RFM input'!$J$411,$A2601,0),0)))</f>
        <v>0</v>
      </c>
      <c r="S2604" s="1422">
        <f ca="1">IF(LEFT(S$6,4)&lt;=LEFT('RFM input'!$G$60,4),"enter input",IF(LEFT(S$6,4)&gt;LEFT('RFM input'!$Q$60,4),0,
IF(S$6=(OFFSET('RFM input'!$G$60,0,'RFM input'!$V$7)),OFFSET('RFM input'!$J$411,$A2601,0),0)))</f>
        <v>0</v>
      </c>
      <c r="T2604" s="1422">
        <f ca="1">IF(LEFT(T$6,4)&lt;=LEFT('RFM input'!$G$60,4),"enter input",IF(LEFT(T$6,4)&gt;LEFT('RFM input'!$Q$60,4),0,
IF(T$6=(OFFSET('RFM input'!$G$60,0,'RFM input'!$V$7)),OFFSET('RFM input'!$J$411,$A2601,0),0)))</f>
        <v>0</v>
      </c>
      <c r="U2604" s="1422">
        <f ca="1">IF(LEFT(U$6,4)&lt;=LEFT('RFM input'!$G$60,4),"enter input",IF(LEFT(U$6,4)&gt;LEFT('RFM input'!$Q$60,4),0,
IF(U$6=(OFFSET('RFM input'!$G$60,0,'RFM input'!$V$7)),OFFSET('RFM input'!$J$411,$A2601,0),0)))</f>
        <v>0</v>
      </c>
      <c r="V2604" s="1422">
        <f ca="1">IF(LEFT(V$6,4)&lt;=LEFT('RFM input'!$G$60,4),"enter input",IF(LEFT(V$6,4)&gt;LEFT('RFM input'!$Q$60,4),0,
IF(V$6=(OFFSET('RFM input'!$G$60,0,'RFM input'!$V$7)),OFFSET('RFM input'!$J$411,$A2601,0),0)))</f>
        <v>0</v>
      </c>
      <c r="W2604" s="1422">
        <f ca="1">IF(LEFT(W$6,4)&lt;=LEFT('RFM input'!$G$60,4),"enter input",IF(LEFT(W$6,4)&gt;LEFT('RFM input'!$Q$60,4),0,
IF(W$6=(OFFSET('RFM input'!$G$60,0,'RFM input'!$V$7)),OFFSET('RFM input'!$J$411,$A2601,0),0)))</f>
        <v>0</v>
      </c>
      <c r="X2604" s="152"/>
      <c r="Y2604" s="152"/>
      <c r="Z2604" s="152"/>
      <c r="AA2604" s="152"/>
      <c r="AB2604" s="152"/>
    </row>
    <row r="2605" spans="1:28" hidden="1" outlineLevel="1">
      <c r="A2605" s="235">
        <v>-1</v>
      </c>
      <c r="B2605" s="190" t="s">
        <v>195</v>
      </c>
      <c r="C2605" s="1423"/>
      <c r="D2605" s="1423">
        <f t="shared" ref="D2605" ca="1" si="3792">IF(AND(D2603=0,C2605=0),0,
IF(AND(D2603&lt;&gt;0,C2605=0),D2603,
IF(AND(D2604&lt;&gt;0,C2605&lt;&gt;0),(C2605-(C2605/C2629))+D2603,
IF(C2629&lt;1,0,(C2605-(C2605/C2629))))))</f>
        <v>0</v>
      </c>
      <c r="E2605" s="1423">
        <f t="shared" ref="E2605" ca="1" si="3793">IF(AND(E2603=0,D2605=0),0,
IF(AND(E2603&lt;&gt;0,D2605=0),E2603,
IF(AND(E2604&lt;&gt;0,D2605&lt;&gt;0),(D2605-(D2605/D2629))+E2603,
IF(D2629&lt;1,0,(D2605-(D2605/D2629))))))</f>
        <v>0</v>
      </c>
      <c r="F2605" s="1423">
        <f t="shared" ref="F2605" ca="1" si="3794">IF(AND(F2603=0,E2605=0),0,
IF(AND(F2603&lt;&gt;0,E2605=0),F2603,
IF(AND(F2604&lt;&gt;0,E2605&lt;&gt;0),(E2605-(E2605/E2629))+F2603,
IF(E2629&lt;1,0,(E2605-(E2605/E2629))))))</f>
        <v>0</v>
      </c>
      <c r="G2605" s="1423">
        <f t="shared" ref="G2605" ca="1" si="3795">IF(AND(G2603=0,F2605=0),0,
IF(AND(G2603&lt;&gt;0,F2605=0),G2603,
IF(AND(G2604&lt;&gt;0,F2605&lt;&gt;0),(F2605-(F2605/F2629))+G2603,
IF(F2629&lt;1,0,(F2605-(F2605/F2629))))))</f>
        <v>0</v>
      </c>
      <c r="H2605" s="1423">
        <f ca="1">IF(AND(H2603=0,G2605=0),0,
IF(AND(H2603&lt;&gt;0,G2605=0),H2603,
IF(AND(H2604&lt;&gt;0,G2605&lt;&gt;0),(G2605-(G2605/G2629))+H2603,
IF(G2629&lt;1,0,(G2605-(G2605/G2629))))))</f>
        <v>0</v>
      </c>
      <c r="I2605" s="1423">
        <f t="shared" ref="I2605" ca="1" si="3796">IF(AND(I2603=0,H2605=0),0,
IF(AND(I2603&lt;&gt;0,H2605=0),I2603,
IF(AND(I2604&lt;&gt;0,H2605&lt;&gt;0),(H2605-(H2605/H2629))+I2603,
IF(H2629&lt;1,0,(H2605-(H2605/H2629))))))</f>
        <v>0</v>
      </c>
      <c r="J2605" s="1423">
        <f t="shared" ref="J2605" ca="1" si="3797">IF(AND(J2603=0,I2605=0),0,
IF(AND(J2603&lt;&gt;0,I2605=0),J2603,
IF(AND(J2604&lt;&gt;0,I2605&lt;&gt;0),(I2605-(I2605/I2629))+J2603,
IF(I2629&lt;1,0,(I2605-(I2605/I2629))))))</f>
        <v>0</v>
      </c>
      <c r="K2605" s="1423">
        <f t="shared" ref="K2605" ca="1" si="3798">IF(AND(K2603=0,J2605=0),0,
IF(AND(K2603&lt;&gt;0,J2605=0),K2603,
IF(AND(K2604&lt;&gt;0,J2605&lt;&gt;0),(J2605-(J2605/J2629))+K2603,
IF(J2629&lt;1,0,(J2605-(J2605/J2629))))))</f>
        <v>0</v>
      </c>
      <c r="L2605" s="1423">
        <f t="shared" ref="L2605" ca="1" si="3799">IF(AND(L2603=0,K2605=0),0,
IF(AND(L2603&lt;&gt;0,K2605=0),L2603,
IF(AND(L2604&lt;&gt;0,K2605&lt;&gt;0),(K2605-(K2605/K2629))+L2603,
IF(K2629&lt;1,0,(K2605-(K2605/K2629))))))</f>
        <v>0</v>
      </c>
      <c r="M2605" s="1423">
        <f t="shared" ref="M2605" ca="1" si="3800">IF(AND(M2603=0,L2605=0),0,
IF(AND(M2603&lt;&gt;0,L2605=0),M2603,
IF(AND(M2604&lt;&gt;0,L2605&lt;&gt;0),(L2605-(L2605/L2629))+M2603,
IF(L2629&lt;1,0,(L2605-(L2605/L2629))))))</f>
        <v>0</v>
      </c>
      <c r="N2605" s="1423">
        <f t="shared" ref="N2605" ca="1" si="3801">IF(AND(N2603=0,M2605=0),0,
IF(AND(N2603&lt;&gt;0,M2605=0),N2603,
IF(AND(N2604&lt;&gt;0,M2605&lt;&gt;0),(M2605-(M2605/M2629))+N2603,
IF(M2629&lt;1,0,(M2605-(M2605/M2629))))))</f>
        <v>0</v>
      </c>
      <c r="O2605" s="1423">
        <f t="shared" ref="O2605" ca="1" si="3802">IF(AND(O2603=0,N2605=0),0,
IF(AND(O2603&lt;&gt;0,N2605=0),O2603,
IF(AND(O2604&lt;&gt;0,N2605&lt;&gt;0),(N2605-(N2605/N2629))+O2603,
IF(N2629&lt;1,0,(N2605-(N2605/N2629))))))</f>
        <v>0</v>
      </c>
      <c r="P2605" s="1423">
        <f t="shared" ref="P2605" ca="1" si="3803">IF(AND(P2603=0,O2605=0),0,
IF(AND(P2603&lt;&gt;0,O2605=0),P2603,
IF(AND(P2604&lt;&gt;0,O2605&lt;&gt;0),(O2605-(O2605/O2629))+P2603,
IF(O2629&lt;1,0,(O2605-(O2605/O2629))))))</f>
        <v>0</v>
      </c>
      <c r="Q2605" s="1423">
        <f t="shared" ref="Q2605" ca="1" si="3804">IF(AND(Q2603=0,P2605=0),0,
IF(AND(Q2603&lt;&gt;0,P2605=0),Q2603,
IF(AND(Q2604&lt;&gt;0,P2605&lt;&gt;0),(P2605-(P2605/P2629))+Q2603,
IF(P2629&lt;1,0,(P2605-(P2605/P2629))))))</f>
        <v>0</v>
      </c>
      <c r="R2605" s="1423">
        <f t="shared" ref="R2605" ca="1" si="3805">IF(AND(R2603=0,Q2605=0),0,
IF(AND(R2603&lt;&gt;0,Q2605=0),R2603,
IF(AND(R2604&lt;&gt;0,Q2605&lt;&gt;0),(Q2605-(Q2605/Q2629))+R2603,
IF(Q2629&lt;1,0,(Q2605-(Q2605/Q2629))))))</f>
        <v>0</v>
      </c>
      <c r="S2605" s="1423">
        <f t="shared" ref="S2605" ca="1" si="3806">IF(AND(S2603=0,R2605=0),0,
IF(AND(S2603&lt;&gt;0,R2605=0),S2603,
IF(AND(S2604&lt;&gt;0,R2605&lt;&gt;0),(R2605-(R2605/R2629))+S2603,
IF(R2629&lt;1,0,(R2605-(R2605/R2629))))))</f>
        <v>0</v>
      </c>
      <c r="T2605" s="1423">
        <f t="shared" ref="T2605" ca="1" si="3807">IF(AND(T2603=0,S2605=0),0,
IF(AND(T2603&lt;&gt;0,S2605=0),T2603,
IF(AND(T2604&lt;&gt;0,S2605&lt;&gt;0),(S2605-(S2605/S2629))+T2603,
IF(S2629&lt;1,0,(S2605-(S2605/S2629))))))</f>
        <v>0</v>
      </c>
      <c r="U2605" s="1423">
        <f t="shared" ref="U2605" ca="1" si="3808">IF(AND(U2603=0,T2605=0),0,
IF(AND(U2603&lt;&gt;0,T2605=0),U2603,
IF(AND(U2604&lt;&gt;0,T2605&lt;&gt;0),(T2605-(T2605/T2629))+U2603,
IF(T2629&lt;1,0,(T2605-(T2605/T2629))))))</f>
        <v>0</v>
      </c>
      <c r="V2605" s="1423">
        <f t="shared" ref="V2605" ca="1" si="3809">IF(AND(V2603=0,U2605=0),0,
IF(AND(V2603&lt;&gt;0,U2605=0),V2603,
IF(AND(V2604&lt;&gt;0,U2605&lt;&gt;0),(U2605-(U2605/U2629))+V2603,
IF(U2629&lt;1,0,(U2605-(U2605/U2629))))))</f>
        <v>0</v>
      </c>
      <c r="W2605" s="1423">
        <f t="shared" ref="W2605" ca="1" si="3810">IF(AND(W2603=0,V2605=0),0,
IF(AND(W2603&lt;&gt;0,V2605=0),W2603,
IF(AND(W2604&lt;&gt;0,V2605&lt;&gt;0),(V2605-(V2605/V2629))+W2603,
IF(V2629&lt;1,0,(V2605-(V2605/V2629))))))</f>
        <v>0</v>
      </c>
      <c r="X2605" s="152"/>
      <c r="Y2605" s="152"/>
      <c r="Z2605" s="152"/>
      <c r="AA2605" s="152"/>
      <c r="AB2605" s="152"/>
    </row>
    <row r="2606" spans="1:28" hidden="1" outlineLevel="1">
      <c r="A2606" s="199">
        <f>A2605+1</f>
        <v>0</v>
      </c>
      <c r="B2606" s="190" t="s">
        <v>527</v>
      </c>
      <c r="C2606" s="1423">
        <f ca="1">C2601</f>
        <v>0</v>
      </c>
      <c r="D2606" s="1423">
        <f ca="1">IF(C2630="n/a",C2606,IFERROR(IF((OFFSET($C2606,0,$A2606))&lt;0,
MIN(0,C2606-(OFFSET($C2606,0,$A2606)/(OFFSET($C2601,-$A2605,$A2606)))),
MAX(0,C2606-(OFFSET($C2606,0,$A2606)/(OFFSET($C2601,-$A2605,$A2606))))),0))</f>
        <v>0</v>
      </c>
      <c r="E2606" s="1423">
        <f t="shared" ref="E2606" ca="1" si="3811">IF(D2630="n/a",D2606,IFERROR(IF((OFFSET($C2606,0,$A2606))&lt;0,
MIN(0,D2606-(OFFSET($C2606,0,$A2606)/(OFFSET($C2601,-$A2605,$A2606)))),
MAX(0,D2606-(OFFSET($C2606,0,$A2606)/(OFFSET($C2601,-$A2605,$A2606))))),0))</f>
        <v>0</v>
      </c>
      <c r="F2606" s="1423">
        <f t="shared" ref="F2606:F2607" ca="1" si="3812">IF(E2630="n/a",E2606,IFERROR(IF((OFFSET($C2606,0,$A2606))&lt;0,
MIN(0,E2606-(OFFSET($C2606,0,$A2606)/(OFFSET($C2601,-$A2605,$A2606)))),
MAX(0,E2606-(OFFSET($C2606,0,$A2606)/(OFFSET($C2601,-$A2605,$A2606))))),0))</f>
        <v>0</v>
      </c>
      <c r="G2606" s="1423">
        <f t="shared" ref="G2606:G2608" ca="1" si="3813">IF(F2630="n/a",F2606,IFERROR(IF((OFFSET($C2606,0,$A2606))&lt;0,
MIN(0,F2606-(OFFSET($C2606,0,$A2606)/(OFFSET($C2601,-$A2605,$A2606)))),
MAX(0,F2606-(OFFSET($C2606,0,$A2606)/(OFFSET($C2601,-$A2605,$A2606))))),0))</f>
        <v>0</v>
      </c>
      <c r="H2606" s="1423">
        <f t="shared" ref="H2606:H2609" ca="1" si="3814">IF(G2630="n/a",G2606,IFERROR(IF((OFFSET($C2606,0,$A2606))&lt;0,
MIN(0,G2606-(OFFSET($C2606,0,$A2606)/(OFFSET($C2601,-$A2605,$A2606)))),
MAX(0,G2606-(OFFSET($C2606,0,$A2606)/(OFFSET($C2601,-$A2605,$A2606))))),0))</f>
        <v>0</v>
      </c>
      <c r="I2606" s="1423">
        <f t="shared" ref="I2606:I2610" ca="1" si="3815">IF(H2630="n/a",H2606,IFERROR(IF((OFFSET($C2606,0,$A2606))&lt;0,
MIN(0,H2606-(OFFSET($C2606,0,$A2606)/(OFFSET($C2601,-$A2605,$A2606)))),
MAX(0,H2606-(OFFSET($C2606,0,$A2606)/(OFFSET($C2601,-$A2605,$A2606))))),0))</f>
        <v>0</v>
      </c>
      <c r="J2606" s="1423">
        <f t="shared" ref="J2606:J2611" ca="1" si="3816">IF(I2630="n/a",I2606,IFERROR(IF((OFFSET($C2606,0,$A2606))&lt;0,
MIN(0,I2606-(OFFSET($C2606,0,$A2606)/(OFFSET($C2601,-$A2605,$A2606)))),
MAX(0,I2606-(OFFSET($C2606,0,$A2606)/(OFFSET($C2601,-$A2605,$A2606))))),0))</f>
        <v>0</v>
      </c>
      <c r="K2606" s="1423">
        <f t="shared" ref="K2606:K2612" ca="1" si="3817">IF(J2630="n/a",J2606,IFERROR(IF((OFFSET($C2606,0,$A2606))&lt;0,
MIN(0,J2606-(OFFSET($C2606,0,$A2606)/(OFFSET($C2601,-$A2605,$A2606)))),
MAX(0,J2606-(OFFSET($C2606,0,$A2606)/(OFFSET($C2601,-$A2605,$A2606))))),0))</f>
        <v>0</v>
      </c>
      <c r="L2606" s="1423">
        <f t="shared" ref="L2606:L2613" ca="1" si="3818">IF(K2630="n/a",K2606,IFERROR(IF((OFFSET($C2606,0,$A2606))&lt;0,
MIN(0,K2606-(OFFSET($C2606,0,$A2606)/(OFFSET($C2601,-$A2605,$A2606)))),
MAX(0,K2606-(OFFSET($C2606,0,$A2606)/(OFFSET($C2601,-$A2605,$A2606))))),0))</f>
        <v>0</v>
      </c>
      <c r="M2606" s="1423">
        <f t="shared" ref="M2606:M2614" ca="1" si="3819">IF(L2630="n/a",L2606,IFERROR(IF((OFFSET($C2606,0,$A2606))&lt;0,
MIN(0,L2606-(OFFSET($C2606,0,$A2606)/(OFFSET($C2601,-$A2605,$A2606)))),
MAX(0,L2606-(OFFSET($C2606,0,$A2606)/(OFFSET($C2601,-$A2605,$A2606))))),0))</f>
        <v>0</v>
      </c>
      <c r="N2606" s="1423">
        <f t="shared" ref="N2606:N2615" ca="1" si="3820">IF(M2630="n/a",M2606,IFERROR(IF((OFFSET($C2606,0,$A2606))&lt;0,
MIN(0,M2606-(OFFSET($C2606,0,$A2606)/(OFFSET($C2601,-$A2605,$A2606)))),
MAX(0,M2606-(OFFSET($C2606,0,$A2606)/(OFFSET($C2601,-$A2605,$A2606))))),0))</f>
        <v>0</v>
      </c>
      <c r="O2606" s="1423">
        <f t="shared" ref="O2606:O2616" ca="1" si="3821">IF(N2630="n/a",N2606,IFERROR(IF((OFFSET($C2606,0,$A2606))&lt;0,
MIN(0,N2606-(OFFSET($C2606,0,$A2606)/(OFFSET($C2601,-$A2605,$A2606)))),
MAX(0,N2606-(OFFSET($C2606,0,$A2606)/(OFFSET($C2601,-$A2605,$A2606))))),0))</f>
        <v>0</v>
      </c>
      <c r="P2606" s="1423">
        <f t="shared" ref="P2606:P2617" ca="1" si="3822">IF(O2630="n/a",O2606,IFERROR(IF((OFFSET($C2606,0,$A2606))&lt;0,
MIN(0,O2606-(OFFSET($C2606,0,$A2606)/(OFFSET($C2601,-$A2605,$A2606)))),
MAX(0,O2606-(OFFSET($C2606,0,$A2606)/(OFFSET($C2601,-$A2605,$A2606))))),0))</f>
        <v>0</v>
      </c>
      <c r="Q2606" s="1423">
        <f t="shared" ref="Q2606:Q2618" ca="1" si="3823">IF(P2630="n/a",P2606,IFERROR(IF((OFFSET($C2606,0,$A2606))&lt;0,
MIN(0,P2606-(OFFSET($C2606,0,$A2606)/(OFFSET($C2601,-$A2605,$A2606)))),
MAX(0,P2606-(OFFSET($C2606,0,$A2606)/(OFFSET($C2601,-$A2605,$A2606))))),0))</f>
        <v>0</v>
      </c>
      <c r="R2606" s="1423">
        <f t="shared" ref="R2606:R2619" ca="1" si="3824">IF(Q2630="n/a",Q2606,IFERROR(IF((OFFSET($C2606,0,$A2606))&lt;0,
MIN(0,Q2606-(OFFSET($C2606,0,$A2606)/(OFFSET($C2601,-$A2605,$A2606)))),
MAX(0,Q2606-(OFFSET($C2606,0,$A2606)/(OFFSET($C2601,-$A2605,$A2606))))),0))</f>
        <v>0</v>
      </c>
      <c r="S2606" s="1423">
        <f t="shared" ref="S2606:S2620" ca="1" si="3825">IF(R2630="n/a",R2606,IFERROR(IF((OFFSET($C2606,0,$A2606))&lt;0,
MIN(0,R2606-(OFFSET($C2606,0,$A2606)/(OFFSET($C2601,-$A2605,$A2606)))),
MAX(0,R2606-(OFFSET($C2606,0,$A2606)/(OFFSET($C2601,-$A2605,$A2606))))),0))</f>
        <v>0</v>
      </c>
      <c r="T2606" s="1423">
        <f t="shared" ref="T2606:T2621" ca="1" si="3826">IF(S2630="n/a",S2606,IFERROR(IF((OFFSET($C2606,0,$A2606))&lt;0,
MIN(0,S2606-(OFFSET($C2606,0,$A2606)/(OFFSET($C2601,-$A2605,$A2606)))),
MAX(0,S2606-(OFFSET($C2606,0,$A2606)/(OFFSET($C2601,-$A2605,$A2606))))),0))</f>
        <v>0</v>
      </c>
      <c r="U2606" s="1423">
        <f t="shared" ref="U2606:U2622" ca="1" si="3827">IF(T2630="n/a",T2606,IFERROR(IF((OFFSET($C2606,0,$A2606))&lt;0,
MIN(0,T2606-(OFFSET($C2606,0,$A2606)/(OFFSET($C2601,-$A2605,$A2606)))),
MAX(0,T2606-(OFFSET($C2606,0,$A2606)/(OFFSET($C2601,-$A2605,$A2606))))),0))</f>
        <v>0</v>
      </c>
      <c r="V2606" s="1423">
        <f t="shared" ref="V2606:V2623" ca="1" si="3828">IF(U2630="n/a",U2606,IFERROR(IF((OFFSET($C2606,0,$A2606))&lt;0,
MIN(0,U2606-(OFFSET($C2606,0,$A2606)/(OFFSET($C2601,-$A2605,$A2606)))),
MAX(0,U2606-(OFFSET($C2606,0,$A2606)/(OFFSET($C2601,-$A2605,$A2606))))),0))</f>
        <v>0</v>
      </c>
      <c r="W2606" s="1423">
        <f t="shared" ref="W2606:W2624" ca="1" si="3829">IF(V2630="n/a",V2606,IFERROR(IF((OFFSET($C2606,0,$A2606))&lt;0,
MIN(0,V2606-(OFFSET($C2606,0,$A2606)/(OFFSET($C2601,-$A2605,$A2606)))),
MAX(0,V2606-(OFFSET($C2606,0,$A2606)/(OFFSET($C2601,-$A2605,$A2606))))),0))</f>
        <v>0</v>
      </c>
      <c r="X2606" s="152"/>
      <c r="Y2606" s="152"/>
      <c r="Z2606" s="152"/>
      <c r="AA2606" s="152"/>
      <c r="AB2606" s="152"/>
    </row>
    <row r="2607" spans="1:28" hidden="1" outlineLevel="1">
      <c r="A2607" s="199">
        <f t="shared" ref="A2607:A2626" si="3830">A2606+1</f>
        <v>1</v>
      </c>
      <c r="B2607" s="190" t="str">
        <f t="shared" ref="B2607:B2626" ca="1" si="3831">"Depreciated Net Capex "&amp;OFFSET($C$6,0,A2607)</f>
        <v>Depreciated Net Capex 2016-17</v>
      </c>
      <c r="C2607" s="1424"/>
      <c r="D2607" s="1425">
        <f>D2601</f>
        <v>0</v>
      </c>
      <c r="E2607" s="1423">
        <f ca="1">IF(D2631="n/a",D2607,IFERROR(IF((OFFSET($C2607,0,$A2607))&lt;0,
MIN(0,D2607-(OFFSET($C2607,0,$A2607)/(OFFSET($C2602,-$A2606,$A2607)))),
MAX(0,D2607-(OFFSET($C2607,0,$A2607)/(OFFSET($C2602,-$A2606,$A2607))))),0))</f>
        <v>0</v>
      </c>
      <c r="F2607" s="1423">
        <f t="shared" ca="1" si="3812"/>
        <v>0</v>
      </c>
      <c r="G2607" s="1423">
        <f t="shared" ca="1" si="3813"/>
        <v>0</v>
      </c>
      <c r="H2607" s="1423">
        <f t="shared" ca="1" si="3814"/>
        <v>0</v>
      </c>
      <c r="I2607" s="1423">
        <f t="shared" ca="1" si="3815"/>
        <v>0</v>
      </c>
      <c r="J2607" s="1423">
        <f t="shared" ca="1" si="3816"/>
        <v>0</v>
      </c>
      <c r="K2607" s="1423">
        <f t="shared" ca="1" si="3817"/>
        <v>0</v>
      </c>
      <c r="L2607" s="1423">
        <f t="shared" ca="1" si="3818"/>
        <v>0</v>
      </c>
      <c r="M2607" s="1423">
        <f t="shared" ca="1" si="3819"/>
        <v>0</v>
      </c>
      <c r="N2607" s="1423">
        <f t="shared" ca="1" si="3820"/>
        <v>0</v>
      </c>
      <c r="O2607" s="1423">
        <f t="shared" ca="1" si="3821"/>
        <v>0</v>
      </c>
      <c r="P2607" s="1423">
        <f t="shared" ca="1" si="3822"/>
        <v>0</v>
      </c>
      <c r="Q2607" s="1423">
        <f t="shared" ca="1" si="3823"/>
        <v>0</v>
      </c>
      <c r="R2607" s="1423">
        <f t="shared" ca="1" si="3824"/>
        <v>0</v>
      </c>
      <c r="S2607" s="1423">
        <f t="shared" ca="1" si="3825"/>
        <v>0</v>
      </c>
      <c r="T2607" s="1423">
        <f t="shared" ca="1" si="3826"/>
        <v>0</v>
      </c>
      <c r="U2607" s="1423">
        <f t="shared" ca="1" si="3827"/>
        <v>0</v>
      </c>
      <c r="V2607" s="1423">
        <f t="shared" ca="1" si="3828"/>
        <v>0</v>
      </c>
      <c r="W2607" s="1423">
        <f t="shared" ca="1" si="3829"/>
        <v>0</v>
      </c>
      <c r="X2607" s="152"/>
      <c r="Y2607" s="152"/>
      <c r="Z2607" s="152"/>
      <c r="AA2607" s="152"/>
      <c r="AB2607" s="152"/>
    </row>
    <row r="2608" spans="1:28" hidden="1" outlineLevel="1">
      <c r="A2608" s="199">
        <f t="shared" si="3830"/>
        <v>2</v>
      </c>
      <c r="B2608" s="190" t="str">
        <f t="shared" ca="1" si="3831"/>
        <v>Depreciated Net Capex 2017-18</v>
      </c>
      <c r="C2608" s="1426"/>
      <c r="D2608" s="1427"/>
      <c r="E2608" s="1425">
        <f>E2601</f>
        <v>0</v>
      </c>
      <c r="F2608" s="1423">
        <f ca="1">IF(E2632="n/a",E2608,IFERROR(IF((OFFSET($C2608,0,$A2608))&lt;0,
MIN(0,E2608-(OFFSET($C2608,0,$A2608)/(OFFSET($C2603,-$A2607,$A2608)))),
MAX(0,E2608-(OFFSET($C2608,0,$A2608)/(OFFSET($C2603,-$A2607,$A2608))))),0))</f>
        <v>0</v>
      </c>
      <c r="G2608" s="1423">
        <f t="shared" ca="1" si="3813"/>
        <v>0</v>
      </c>
      <c r="H2608" s="1423">
        <f t="shared" ca="1" si="3814"/>
        <v>0</v>
      </c>
      <c r="I2608" s="1423">
        <f t="shared" ca="1" si="3815"/>
        <v>0</v>
      </c>
      <c r="J2608" s="1423">
        <f t="shared" ca="1" si="3816"/>
        <v>0</v>
      </c>
      <c r="K2608" s="1423">
        <f t="shared" ca="1" si="3817"/>
        <v>0</v>
      </c>
      <c r="L2608" s="1423">
        <f t="shared" ca="1" si="3818"/>
        <v>0</v>
      </c>
      <c r="M2608" s="1423">
        <f t="shared" ca="1" si="3819"/>
        <v>0</v>
      </c>
      <c r="N2608" s="1423">
        <f t="shared" ca="1" si="3820"/>
        <v>0</v>
      </c>
      <c r="O2608" s="1423">
        <f t="shared" ca="1" si="3821"/>
        <v>0</v>
      </c>
      <c r="P2608" s="1423">
        <f t="shared" ca="1" si="3822"/>
        <v>0</v>
      </c>
      <c r="Q2608" s="1423">
        <f t="shared" ca="1" si="3823"/>
        <v>0</v>
      </c>
      <c r="R2608" s="1423">
        <f t="shared" ca="1" si="3824"/>
        <v>0</v>
      </c>
      <c r="S2608" s="1423">
        <f t="shared" ca="1" si="3825"/>
        <v>0</v>
      </c>
      <c r="T2608" s="1423">
        <f t="shared" ca="1" si="3826"/>
        <v>0</v>
      </c>
      <c r="U2608" s="1423">
        <f t="shared" ca="1" si="3827"/>
        <v>0</v>
      </c>
      <c r="V2608" s="1423">
        <f t="shared" ca="1" si="3828"/>
        <v>0</v>
      </c>
      <c r="W2608" s="1423">
        <f t="shared" ca="1" si="3829"/>
        <v>0</v>
      </c>
      <c r="X2608" s="202"/>
      <c r="Y2608" s="152"/>
      <c r="Z2608" s="152"/>
      <c r="AA2608" s="152"/>
      <c r="AB2608" s="152"/>
    </row>
    <row r="2609" spans="1:28" hidden="1" outlineLevel="1">
      <c r="A2609" s="199">
        <f t="shared" si="3830"/>
        <v>3</v>
      </c>
      <c r="B2609" s="190" t="str">
        <f t="shared" ca="1" si="3831"/>
        <v>Depreciated Net Capex 2018-19</v>
      </c>
      <c r="C2609" s="1426"/>
      <c r="D2609" s="1426"/>
      <c r="E2609" s="1427"/>
      <c r="F2609" s="1428">
        <f>F2601</f>
        <v>0</v>
      </c>
      <c r="G2609" s="1423">
        <f ca="1">IF(F2633="n/a",F2609,IFERROR(IF((OFFSET($C2609,0,$A2609))&lt;0,
MIN(0,F2609-(OFFSET($C2609,0,$A2609)/(OFFSET($C2604,-$A2608,$A2609)))),
MAX(0,F2609-(OFFSET($C2609,0,$A2609)/(OFFSET($C2604,-$A2608,$A2609))))),0))</f>
        <v>0</v>
      </c>
      <c r="H2609" s="1423">
        <f t="shared" ca="1" si="3814"/>
        <v>0</v>
      </c>
      <c r="I2609" s="1423">
        <f t="shared" ca="1" si="3815"/>
        <v>0</v>
      </c>
      <c r="J2609" s="1423">
        <f t="shared" ca="1" si="3816"/>
        <v>0</v>
      </c>
      <c r="K2609" s="1423">
        <f t="shared" ca="1" si="3817"/>
        <v>0</v>
      </c>
      <c r="L2609" s="1423">
        <f t="shared" ca="1" si="3818"/>
        <v>0</v>
      </c>
      <c r="M2609" s="1423">
        <f t="shared" ca="1" si="3819"/>
        <v>0</v>
      </c>
      <c r="N2609" s="1423">
        <f t="shared" ca="1" si="3820"/>
        <v>0</v>
      </c>
      <c r="O2609" s="1423">
        <f t="shared" ca="1" si="3821"/>
        <v>0</v>
      </c>
      <c r="P2609" s="1423">
        <f t="shared" ca="1" si="3822"/>
        <v>0</v>
      </c>
      <c r="Q2609" s="1423">
        <f t="shared" ca="1" si="3823"/>
        <v>0</v>
      </c>
      <c r="R2609" s="1423">
        <f t="shared" ca="1" si="3824"/>
        <v>0</v>
      </c>
      <c r="S2609" s="1423">
        <f t="shared" ca="1" si="3825"/>
        <v>0</v>
      </c>
      <c r="T2609" s="1423">
        <f t="shared" ca="1" si="3826"/>
        <v>0</v>
      </c>
      <c r="U2609" s="1423">
        <f t="shared" ca="1" si="3827"/>
        <v>0</v>
      </c>
      <c r="V2609" s="1423">
        <f t="shared" ca="1" si="3828"/>
        <v>0</v>
      </c>
      <c r="W2609" s="1423">
        <f t="shared" ca="1" si="3829"/>
        <v>0</v>
      </c>
      <c r="X2609" s="202"/>
      <c r="Y2609" s="202"/>
      <c r="Z2609" s="152"/>
      <c r="AA2609" s="152"/>
      <c r="AB2609" s="152"/>
    </row>
    <row r="2610" spans="1:28" hidden="1" outlineLevel="1">
      <c r="A2610" s="199">
        <f t="shared" si="3830"/>
        <v>4</v>
      </c>
      <c r="B2610" s="190" t="str">
        <f t="shared" ca="1" si="3831"/>
        <v>Depreciated Net Capex 2019-20</v>
      </c>
      <c r="C2610" s="1426"/>
      <c r="D2610" s="1426"/>
      <c r="E2610" s="1426"/>
      <c r="F2610" s="1427"/>
      <c r="G2610" s="1428">
        <f>G2601</f>
        <v>0</v>
      </c>
      <c r="H2610" s="1423">
        <f ca="1">IF(G2634="n/a",G2610,IFERROR(IF((OFFSET($C2610,0,$A2610))&lt;0,
MIN(0,G2610-(OFFSET($C2610,0,$A2610)/(OFFSET($C2605,-$A2609,$A2610)))),
MAX(0,G2610-(OFFSET($C2610,0,$A2610)/(OFFSET($C2605,-$A2609,$A2610))))),0))</f>
        <v>0</v>
      </c>
      <c r="I2610" s="1423">
        <f t="shared" ca="1" si="3815"/>
        <v>0</v>
      </c>
      <c r="J2610" s="1423">
        <f t="shared" ca="1" si="3816"/>
        <v>0</v>
      </c>
      <c r="K2610" s="1423">
        <f t="shared" ca="1" si="3817"/>
        <v>0</v>
      </c>
      <c r="L2610" s="1423">
        <f t="shared" ca="1" si="3818"/>
        <v>0</v>
      </c>
      <c r="M2610" s="1423">
        <f t="shared" ca="1" si="3819"/>
        <v>0</v>
      </c>
      <c r="N2610" s="1423">
        <f t="shared" ca="1" si="3820"/>
        <v>0</v>
      </c>
      <c r="O2610" s="1423">
        <f t="shared" ca="1" si="3821"/>
        <v>0</v>
      </c>
      <c r="P2610" s="1423">
        <f t="shared" ca="1" si="3822"/>
        <v>0</v>
      </c>
      <c r="Q2610" s="1423">
        <f t="shared" ca="1" si="3823"/>
        <v>0</v>
      </c>
      <c r="R2610" s="1423">
        <f t="shared" ca="1" si="3824"/>
        <v>0</v>
      </c>
      <c r="S2610" s="1423">
        <f t="shared" ca="1" si="3825"/>
        <v>0</v>
      </c>
      <c r="T2610" s="1423">
        <f t="shared" ca="1" si="3826"/>
        <v>0</v>
      </c>
      <c r="U2610" s="1423">
        <f t="shared" ca="1" si="3827"/>
        <v>0</v>
      </c>
      <c r="V2610" s="1423">
        <f t="shared" ca="1" si="3828"/>
        <v>0</v>
      </c>
      <c r="W2610" s="1423">
        <f t="shared" ca="1" si="3829"/>
        <v>0</v>
      </c>
      <c r="X2610" s="202"/>
      <c r="Y2610" s="202"/>
      <c r="Z2610" s="202"/>
      <c r="AA2610" s="152"/>
      <c r="AB2610" s="152"/>
    </row>
    <row r="2611" spans="1:28" hidden="1" outlineLevel="1">
      <c r="A2611" s="199">
        <f t="shared" si="3830"/>
        <v>5</v>
      </c>
      <c r="B2611" s="190" t="str">
        <f t="shared" ca="1" si="3831"/>
        <v>Depreciated Net Capex 2020-21</v>
      </c>
      <c r="C2611" s="1426"/>
      <c r="D2611" s="1426"/>
      <c r="E2611" s="1426"/>
      <c r="F2611" s="1426"/>
      <c r="G2611" s="1427"/>
      <c r="H2611" s="1428">
        <f>H2601</f>
        <v>0</v>
      </c>
      <c r="I2611" s="1423">
        <f ca="1">IF(H2635="n/a",H2611,IFERROR(IF((OFFSET($C2611,0,$A2611))&lt;0,
MIN(0,H2611-(OFFSET($C2611,0,$A2611)/(OFFSET($C2606,-$A2610,$A2611)))),
MAX(0,H2611-(OFFSET($C2611,0,$A2611)/(OFFSET($C2606,-$A2610,$A2611))))),0))</f>
        <v>0</v>
      </c>
      <c r="J2611" s="1423">
        <f t="shared" ca="1" si="3816"/>
        <v>0</v>
      </c>
      <c r="K2611" s="1423">
        <f t="shared" ca="1" si="3817"/>
        <v>0</v>
      </c>
      <c r="L2611" s="1423">
        <f t="shared" ca="1" si="3818"/>
        <v>0</v>
      </c>
      <c r="M2611" s="1423">
        <f t="shared" ca="1" si="3819"/>
        <v>0</v>
      </c>
      <c r="N2611" s="1423">
        <f t="shared" ca="1" si="3820"/>
        <v>0</v>
      </c>
      <c r="O2611" s="1423">
        <f t="shared" ca="1" si="3821"/>
        <v>0</v>
      </c>
      <c r="P2611" s="1423">
        <f t="shared" ca="1" si="3822"/>
        <v>0</v>
      </c>
      <c r="Q2611" s="1423">
        <f t="shared" ca="1" si="3823"/>
        <v>0</v>
      </c>
      <c r="R2611" s="1423">
        <f t="shared" ca="1" si="3824"/>
        <v>0</v>
      </c>
      <c r="S2611" s="1423">
        <f t="shared" ca="1" si="3825"/>
        <v>0</v>
      </c>
      <c r="T2611" s="1423">
        <f t="shared" ca="1" si="3826"/>
        <v>0</v>
      </c>
      <c r="U2611" s="1423">
        <f t="shared" ca="1" si="3827"/>
        <v>0</v>
      </c>
      <c r="V2611" s="1423">
        <f t="shared" ca="1" si="3828"/>
        <v>0</v>
      </c>
      <c r="W2611" s="1423">
        <f t="shared" ca="1" si="3829"/>
        <v>0</v>
      </c>
      <c r="X2611" s="202"/>
      <c r="Y2611" s="202"/>
      <c r="Z2611" s="202"/>
      <c r="AA2611" s="152"/>
      <c r="AB2611" s="152"/>
    </row>
    <row r="2612" spans="1:28" hidden="1" outlineLevel="1">
      <c r="A2612" s="199">
        <f t="shared" si="3830"/>
        <v>6</v>
      </c>
      <c r="B2612" s="190" t="str">
        <f t="shared" ca="1" si="3831"/>
        <v>Depreciated Net Capex 2021-22</v>
      </c>
      <c r="C2612" s="1426"/>
      <c r="D2612" s="1426"/>
      <c r="E2612" s="1426"/>
      <c r="F2612" s="1426"/>
      <c r="G2612" s="1426"/>
      <c r="H2612" s="1427"/>
      <c r="I2612" s="1428">
        <f>I2601</f>
        <v>0</v>
      </c>
      <c r="J2612" s="1423">
        <f ca="1">IF(I2636="n/a",I2612,IFERROR(IF((OFFSET($C2612,0,$A2612))&lt;0,
MIN(0,I2612-(OFFSET($C2612,0,$A2612)/(OFFSET($C2607,-$A2611,$A2612)))),
MAX(0,I2612-(OFFSET($C2612,0,$A2612)/(OFFSET($C2607,-$A2611,$A2612))))),0))</f>
        <v>0</v>
      </c>
      <c r="K2612" s="1423">
        <f t="shared" ca="1" si="3817"/>
        <v>0</v>
      </c>
      <c r="L2612" s="1423">
        <f t="shared" ca="1" si="3818"/>
        <v>0</v>
      </c>
      <c r="M2612" s="1423">
        <f t="shared" ca="1" si="3819"/>
        <v>0</v>
      </c>
      <c r="N2612" s="1423">
        <f t="shared" ca="1" si="3820"/>
        <v>0</v>
      </c>
      <c r="O2612" s="1423">
        <f t="shared" ca="1" si="3821"/>
        <v>0</v>
      </c>
      <c r="P2612" s="1423">
        <f t="shared" ca="1" si="3822"/>
        <v>0</v>
      </c>
      <c r="Q2612" s="1423">
        <f t="shared" ca="1" si="3823"/>
        <v>0</v>
      </c>
      <c r="R2612" s="1423">
        <f t="shared" ca="1" si="3824"/>
        <v>0</v>
      </c>
      <c r="S2612" s="1423">
        <f t="shared" ca="1" si="3825"/>
        <v>0</v>
      </c>
      <c r="T2612" s="1423">
        <f t="shared" ca="1" si="3826"/>
        <v>0</v>
      </c>
      <c r="U2612" s="1423">
        <f t="shared" ca="1" si="3827"/>
        <v>0</v>
      </c>
      <c r="V2612" s="1423">
        <f t="shared" ca="1" si="3828"/>
        <v>0</v>
      </c>
      <c r="W2612" s="1423">
        <f t="shared" ca="1" si="3829"/>
        <v>0</v>
      </c>
      <c r="X2612" s="202"/>
      <c r="Y2612" s="202"/>
      <c r="Z2612" s="202"/>
      <c r="AA2612" s="152"/>
      <c r="AB2612" s="152"/>
    </row>
    <row r="2613" spans="1:28" hidden="1" outlineLevel="1">
      <c r="A2613" s="199">
        <f t="shared" si="3830"/>
        <v>7</v>
      </c>
      <c r="B2613" s="190" t="str">
        <f t="shared" ca="1" si="3831"/>
        <v>Depreciated Net Capex 2022-23</v>
      </c>
      <c r="C2613" s="1426"/>
      <c r="D2613" s="1426"/>
      <c r="E2613" s="1426"/>
      <c r="F2613" s="1426"/>
      <c r="G2613" s="1426"/>
      <c r="H2613" s="1426"/>
      <c r="I2613" s="1427"/>
      <c r="J2613" s="1428">
        <f>J2601</f>
        <v>0</v>
      </c>
      <c r="K2613" s="1423">
        <f ca="1">IF(J2637="n/a",J2613,IFERROR(IF((OFFSET($C2613,0,$A2613))&lt;0,
MIN(0,J2613-(OFFSET($C2613,0,$A2613)/(OFFSET($C2608,-$A2612,$A2613)))),
MAX(0,J2613-(OFFSET($C2613,0,$A2613)/(OFFSET($C2608,-$A2612,$A2613))))),0))</f>
        <v>0</v>
      </c>
      <c r="L2613" s="1423">
        <f t="shared" ca="1" si="3818"/>
        <v>0</v>
      </c>
      <c r="M2613" s="1423">
        <f t="shared" ca="1" si="3819"/>
        <v>0</v>
      </c>
      <c r="N2613" s="1423">
        <f t="shared" ca="1" si="3820"/>
        <v>0</v>
      </c>
      <c r="O2613" s="1423">
        <f t="shared" ca="1" si="3821"/>
        <v>0</v>
      </c>
      <c r="P2613" s="1423">
        <f t="shared" ca="1" si="3822"/>
        <v>0</v>
      </c>
      <c r="Q2613" s="1423">
        <f t="shared" ca="1" si="3823"/>
        <v>0</v>
      </c>
      <c r="R2613" s="1423">
        <f t="shared" ca="1" si="3824"/>
        <v>0</v>
      </c>
      <c r="S2613" s="1423">
        <f t="shared" ca="1" si="3825"/>
        <v>0</v>
      </c>
      <c r="T2613" s="1423">
        <f t="shared" ca="1" si="3826"/>
        <v>0</v>
      </c>
      <c r="U2613" s="1423">
        <f t="shared" ca="1" si="3827"/>
        <v>0</v>
      </c>
      <c r="V2613" s="1423">
        <f t="shared" ca="1" si="3828"/>
        <v>0</v>
      </c>
      <c r="W2613" s="1423">
        <f t="shared" ca="1" si="3829"/>
        <v>0</v>
      </c>
      <c r="X2613" s="202"/>
      <c r="Y2613" s="202"/>
      <c r="Z2613" s="202"/>
      <c r="AA2613" s="152"/>
      <c r="AB2613" s="152"/>
    </row>
    <row r="2614" spans="1:28" hidden="1" outlineLevel="1">
      <c r="A2614" s="199">
        <f t="shared" si="3830"/>
        <v>8</v>
      </c>
      <c r="B2614" s="190" t="str">
        <f t="shared" ca="1" si="3831"/>
        <v>Depreciated Net Capex 2023-24</v>
      </c>
      <c r="C2614" s="1426"/>
      <c r="D2614" s="1426"/>
      <c r="E2614" s="1426"/>
      <c r="F2614" s="1426"/>
      <c r="G2614" s="1426"/>
      <c r="H2614" s="1426"/>
      <c r="I2614" s="1426"/>
      <c r="J2614" s="1427"/>
      <c r="K2614" s="1428">
        <f>K2601</f>
        <v>0</v>
      </c>
      <c r="L2614" s="1423">
        <f ca="1">IF(K2638="n/a",K2614,IFERROR(IF((OFFSET($C2614,0,$A2614))&lt;0,
MIN(0,K2614-(OFFSET($C2614,0,$A2614)/(OFFSET($C2609,-$A2613,$A2614)))),
MAX(0,K2614-(OFFSET($C2614,0,$A2614)/(OFFSET($C2609,-$A2613,$A2614))))),0))</f>
        <v>0</v>
      </c>
      <c r="M2614" s="1423">
        <f t="shared" ca="1" si="3819"/>
        <v>0</v>
      </c>
      <c r="N2614" s="1423">
        <f t="shared" ca="1" si="3820"/>
        <v>0</v>
      </c>
      <c r="O2614" s="1423">
        <f t="shared" ca="1" si="3821"/>
        <v>0</v>
      </c>
      <c r="P2614" s="1423">
        <f t="shared" ca="1" si="3822"/>
        <v>0</v>
      </c>
      <c r="Q2614" s="1423">
        <f t="shared" ca="1" si="3823"/>
        <v>0</v>
      </c>
      <c r="R2614" s="1423">
        <f t="shared" ca="1" si="3824"/>
        <v>0</v>
      </c>
      <c r="S2614" s="1423">
        <f t="shared" ca="1" si="3825"/>
        <v>0</v>
      </c>
      <c r="T2614" s="1423">
        <f t="shared" ca="1" si="3826"/>
        <v>0</v>
      </c>
      <c r="U2614" s="1423">
        <f t="shared" ca="1" si="3827"/>
        <v>0</v>
      </c>
      <c r="V2614" s="1423">
        <f t="shared" ca="1" si="3828"/>
        <v>0</v>
      </c>
      <c r="W2614" s="1423">
        <f t="shared" ca="1" si="3829"/>
        <v>0</v>
      </c>
      <c r="X2614" s="202"/>
      <c r="Y2614" s="202"/>
      <c r="Z2614" s="202"/>
      <c r="AA2614" s="152"/>
      <c r="AB2614" s="152"/>
    </row>
    <row r="2615" spans="1:28" hidden="1" outlineLevel="1">
      <c r="A2615" s="199">
        <f t="shared" si="3830"/>
        <v>9</v>
      </c>
      <c r="B2615" s="190" t="str">
        <f t="shared" ca="1" si="3831"/>
        <v>Depreciated Net Capex 2024-25</v>
      </c>
      <c r="C2615" s="1426"/>
      <c r="D2615" s="1426"/>
      <c r="E2615" s="1426"/>
      <c r="F2615" s="1426"/>
      <c r="G2615" s="1426"/>
      <c r="H2615" s="1426"/>
      <c r="I2615" s="1426"/>
      <c r="J2615" s="1426"/>
      <c r="K2615" s="1427"/>
      <c r="L2615" s="1428">
        <f>L2601</f>
        <v>0</v>
      </c>
      <c r="M2615" s="1423">
        <f ca="1">IF(L2639="n/a",L2615,IFERROR(IF((OFFSET($C2615,0,$A2615))&lt;0,
MIN(0,L2615-(OFFSET($C2615,0,$A2615)/(OFFSET($C2610,-$A2614,$A2615)))),
MAX(0,L2615-(OFFSET($C2615,0,$A2615)/(OFFSET($C2610,-$A2614,$A2615))))),0))</f>
        <v>0</v>
      </c>
      <c r="N2615" s="1423">
        <f t="shared" ca="1" si="3820"/>
        <v>0</v>
      </c>
      <c r="O2615" s="1423">
        <f t="shared" ca="1" si="3821"/>
        <v>0</v>
      </c>
      <c r="P2615" s="1423">
        <f t="shared" ca="1" si="3822"/>
        <v>0</v>
      </c>
      <c r="Q2615" s="1423">
        <f t="shared" ca="1" si="3823"/>
        <v>0</v>
      </c>
      <c r="R2615" s="1423">
        <f t="shared" ca="1" si="3824"/>
        <v>0</v>
      </c>
      <c r="S2615" s="1423">
        <f t="shared" ca="1" si="3825"/>
        <v>0</v>
      </c>
      <c r="T2615" s="1423">
        <f t="shared" ca="1" si="3826"/>
        <v>0</v>
      </c>
      <c r="U2615" s="1423">
        <f t="shared" ca="1" si="3827"/>
        <v>0</v>
      </c>
      <c r="V2615" s="1423">
        <f t="shared" ca="1" si="3828"/>
        <v>0</v>
      </c>
      <c r="W2615" s="1423">
        <f t="shared" ca="1" si="3829"/>
        <v>0</v>
      </c>
      <c r="X2615" s="202"/>
      <c r="Y2615" s="202"/>
      <c r="Z2615" s="202"/>
      <c r="AA2615" s="152"/>
      <c r="AB2615" s="152"/>
    </row>
    <row r="2616" spans="1:28" hidden="1" outlineLevel="1">
      <c r="A2616" s="199">
        <f t="shared" si="3830"/>
        <v>10</v>
      </c>
      <c r="B2616" s="190" t="str">
        <f t="shared" ca="1" si="3831"/>
        <v>Depreciated Net Capex 2025-26</v>
      </c>
      <c r="C2616" s="1426"/>
      <c r="D2616" s="1426"/>
      <c r="E2616" s="1426"/>
      <c r="F2616" s="1426"/>
      <c r="G2616" s="1426"/>
      <c r="H2616" s="1426"/>
      <c r="I2616" s="1426"/>
      <c r="J2616" s="1426"/>
      <c r="K2616" s="1426"/>
      <c r="L2616" s="1427"/>
      <c r="M2616" s="1428">
        <f>M2601</f>
        <v>0</v>
      </c>
      <c r="N2616" s="1423">
        <f ca="1">IF(M2640="n/a",M2616,IFERROR(IF((OFFSET($C2616,0,$A2616))&lt;0,
MIN(0,M2616-(OFFSET($C2616,0,$A2616)/(OFFSET($C2611,-$A2615,$A2616)))),
MAX(0,M2616-(OFFSET($C2616,0,$A2616)/(OFFSET($C2611,-$A2615,$A2616))))),0))</f>
        <v>0</v>
      </c>
      <c r="O2616" s="1423">
        <f t="shared" ca="1" si="3821"/>
        <v>0</v>
      </c>
      <c r="P2616" s="1423">
        <f t="shared" ca="1" si="3822"/>
        <v>0</v>
      </c>
      <c r="Q2616" s="1423">
        <f t="shared" ca="1" si="3823"/>
        <v>0</v>
      </c>
      <c r="R2616" s="1423">
        <f t="shared" ca="1" si="3824"/>
        <v>0</v>
      </c>
      <c r="S2616" s="1423">
        <f t="shared" ca="1" si="3825"/>
        <v>0</v>
      </c>
      <c r="T2616" s="1423">
        <f t="shared" ca="1" si="3826"/>
        <v>0</v>
      </c>
      <c r="U2616" s="1423">
        <f t="shared" ca="1" si="3827"/>
        <v>0</v>
      </c>
      <c r="V2616" s="1423">
        <f t="shared" ca="1" si="3828"/>
        <v>0</v>
      </c>
      <c r="W2616" s="1423">
        <f t="shared" ca="1" si="3829"/>
        <v>0</v>
      </c>
      <c r="X2616" s="202"/>
      <c r="Y2616" s="202"/>
      <c r="Z2616" s="202"/>
      <c r="AA2616" s="152"/>
      <c r="AB2616" s="152"/>
    </row>
    <row r="2617" spans="1:28" hidden="1" outlineLevel="1">
      <c r="A2617" s="199">
        <f t="shared" si="3830"/>
        <v>11</v>
      </c>
      <c r="B2617" s="190" t="str">
        <f t="shared" ca="1" si="3831"/>
        <v>Depreciated Net Capex 2026-27</v>
      </c>
      <c r="C2617" s="1426"/>
      <c r="D2617" s="1426"/>
      <c r="E2617" s="1426"/>
      <c r="F2617" s="1426"/>
      <c r="G2617" s="1426"/>
      <c r="H2617" s="1426"/>
      <c r="I2617" s="1426"/>
      <c r="J2617" s="1426"/>
      <c r="K2617" s="1426"/>
      <c r="L2617" s="1426"/>
      <c r="M2617" s="1427"/>
      <c r="N2617" s="1428">
        <f>N2601</f>
        <v>0</v>
      </c>
      <c r="O2617" s="1423">
        <f ca="1">IF(N2641="n/a",N2617,IFERROR(IF((OFFSET($C2617,0,$A2617))&lt;0,
MIN(0,N2617-(OFFSET($C2617,0,$A2617)/(OFFSET($C2612,-$A2616,$A2617)))),
MAX(0,N2617-(OFFSET($C2617,0,$A2617)/(OFFSET($C2612,-$A2616,$A2617))))),0))</f>
        <v>0</v>
      </c>
      <c r="P2617" s="1423">
        <f t="shared" ca="1" si="3822"/>
        <v>0</v>
      </c>
      <c r="Q2617" s="1423">
        <f t="shared" ca="1" si="3823"/>
        <v>0</v>
      </c>
      <c r="R2617" s="1423">
        <f t="shared" ca="1" si="3824"/>
        <v>0</v>
      </c>
      <c r="S2617" s="1423">
        <f t="shared" ca="1" si="3825"/>
        <v>0</v>
      </c>
      <c r="T2617" s="1423">
        <f t="shared" ca="1" si="3826"/>
        <v>0</v>
      </c>
      <c r="U2617" s="1423">
        <f t="shared" ca="1" si="3827"/>
        <v>0</v>
      </c>
      <c r="V2617" s="1423">
        <f t="shared" ca="1" si="3828"/>
        <v>0</v>
      </c>
      <c r="W2617" s="1423">
        <f t="shared" ca="1" si="3829"/>
        <v>0</v>
      </c>
      <c r="X2617" s="202"/>
      <c r="Y2617" s="202"/>
      <c r="Z2617" s="202"/>
      <c r="AA2617" s="152"/>
      <c r="AB2617" s="152"/>
    </row>
    <row r="2618" spans="1:28" hidden="1" outlineLevel="1">
      <c r="A2618" s="199">
        <f t="shared" si="3830"/>
        <v>12</v>
      </c>
      <c r="B2618" s="190" t="str">
        <f t="shared" ca="1" si="3831"/>
        <v>Depreciated Net Capex 2027-28</v>
      </c>
      <c r="C2618" s="1426"/>
      <c r="D2618" s="1426"/>
      <c r="E2618" s="1426"/>
      <c r="F2618" s="1426"/>
      <c r="G2618" s="1426"/>
      <c r="H2618" s="1426"/>
      <c r="I2618" s="1426"/>
      <c r="J2618" s="1426"/>
      <c r="K2618" s="1426"/>
      <c r="L2618" s="1426"/>
      <c r="M2618" s="1426"/>
      <c r="N2618" s="1427"/>
      <c r="O2618" s="1428">
        <f>O2601</f>
        <v>0</v>
      </c>
      <c r="P2618" s="1423">
        <f ca="1">IF(O2642="n/a",O2618,IFERROR(IF((OFFSET($C2618,0,$A2618))&lt;0,
MIN(0,O2618-(OFFSET($C2618,0,$A2618)/(OFFSET($C2613,-$A2617,$A2618)))),
MAX(0,O2618-(OFFSET($C2618,0,$A2618)/(OFFSET($C2613,-$A2617,$A2618))))),0))</f>
        <v>0</v>
      </c>
      <c r="Q2618" s="1423">
        <f t="shared" ca="1" si="3823"/>
        <v>0</v>
      </c>
      <c r="R2618" s="1423">
        <f t="shared" ca="1" si="3824"/>
        <v>0</v>
      </c>
      <c r="S2618" s="1423">
        <f t="shared" ca="1" si="3825"/>
        <v>0</v>
      </c>
      <c r="T2618" s="1423">
        <f t="shared" ca="1" si="3826"/>
        <v>0</v>
      </c>
      <c r="U2618" s="1423">
        <f t="shared" ca="1" si="3827"/>
        <v>0</v>
      </c>
      <c r="V2618" s="1423">
        <f t="shared" ca="1" si="3828"/>
        <v>0</v>
      </c>
      <c r="W2618" s="1423">
        <f t="shared" ca="1" si="3829"/>
        <v>0</v>
      </c>
      <c r="X2618" s="202"/>
      <c r="Y2618" s="202"/>
      <c r="Z2618" s="202"/>
      <c r="AA2618" s="152"/>
      <c r="AB2618" s="152"/>
    </row>
    <row r="2619" spans="1:28" hidden="1" outlineLevel="1">
      <c r="A2619" s="199">
        <f t="shared" si="3830"/>
        <v>13</v>
      </c>
      <c r="B2619" s="190" t="str">
        <f t="shared" ca="1" si="3831"/>
        <v>Depreciated Net Capex 2028-29</v>
      </c>
      <c r="C2619" s="1426"/>
      <c r="D2619" s="1426"/>
      <c r="E2619" s="1426"/>
      <c r="F2619" s="1426"/>
      <c r="G2619" s="1426"/>
      <c r="H2619" s="1426"/>
      <c r="I2619" s="1426"/>
      <c r="J2619" s="1426"/>
      <c r="K2619" s="1426"/>
      <c r="L2619" s="1426"/>
      <c r="M2619" s="1426"/>
      <c r="N2619" s="1426"/>
      <c r="O2619" s="1427"/>
      <c r="P2619" s="1428">
        <f>P2601</f>
        <v>0</v>
      </c>
      <c r="Q2619" s="1423">
        <f ca="1">IF(P2643="n/a",P2619,IFERROR(IF((OFFSET($C2619,0,$A2619))&lt;0,
MIN(0,P2619-(OFFSET($C2619,0,$A2619)/(OFFSET($C2614,-$A2618,$A2619)))),
MAX(0,P2619-(OFFSET($C2619,0,$A2619)/(OFFSET($C2614,-$A2618,$A2619))))),0))</f>
        <v>0</v>
      </c>
      <c r="R2619" s="1423">
        <f t="shared" ca="1" si="3824"/>
        <v>0</v>
      </c>
      <c r="S2619" s="1423">
        <f t="shared" ca="1" si="3825"/>
        <v>0</v>
      </c>
      <c r="T2619" s="1423">
        <f t="shared" ca="1" si="3826"/>
        <v>0</v>
      </c>
      <c r="U2619" s="1423">
        <f t="shared" ca="1" si="3827"/>
        <v>0</v>
      </c>
      <c r="V2619" s="1423">
        <f t="shared" ca="1" si="3828"/>
        <v>0</v>
      </c>
      <c r="W2619" s="1423">
        <f t="shared" ca="1" si="3829"/>
        <v>0</v>
      </c>
      <c r="X2619" s="202"/>
      <c r="Y2619" s="202"/>
      <c r="Z2619" s="202"/>
      <c r="AA2619" s="152"/>
      <c r="AB2619" s="152"/>
    </row>
    <row r="2620" spans="1:28" hidden="1" outlineLevel="1">
      <c r="A2620" s="199">
        <f t="shared" si="3830"/>
        <v>14</v>
      </c>
      <c r="B2620" s="190" t="str">
        <f t="shared" ca="1" si="3831"/>
        <v>Depreciated Net Capex 2029-30</v>
      </c>
      <c r="C2620" s="1426"/>
      <c r="D2620" s="1426"/>
      <c r="E2620" s="1426"/>
      <c r="F2620" s="1426"/>
      <c r="G2620" s="1426"/>
      <c r="H2620" s="1426"/>
      <c r="I2620" s="1426"/>
      <c r="J2620" s="1426"/>
      <c r="K2620" s="1426"/>
      <c r="L2620" s="1426"/>
      <c r="M2620" s="1426"/>
      <c r="N2620" s="1426"/>
      <c r="O2620" s="1426"/>
      <c r="P2620" s="1427"/>
      <c r="Q2620" s="1428">
        <f>Q2601</f>
        <v>0</v>
      </c>
      <c r="R2620" s="1423">
        <f ca="1">IF(Q2644="n/a",Q2620,IFERROR(IF((OFFSET($C2620,0,$A2620))&lt;0,
MIN(0,Q2620-(OFFSET($C2620,0,$A2620)/(OFFSET($C2615,-$A2619,$A2620)))),
MAX(0,Q2620-(OFFSET($C2620,0,$A2620)/(OFFSET($C2615,-$A2619,$A2620))))),0))</f>
        <v>0</v>
      </c>
      <c r="S2620" s="1423">
        <f t="shared" ca="1" si="3825"/>
        <v>0</v>
      </c>
      <c r="T2620" s="1423">
        <f t="shared" ca="1" si="3826"/>
        <v>0</v>
      </c>
      <c r="U2620" s="1423">
        <f t="shared" ca="1" si="3827"/>
        <v>0</v>
      </c>
      <c r="V2620" s="1423">
        <f t="shared" ca="1" si="3828"/>
        <v>0</v>
      </c>
      <c r="W2620" s="1423">
        <f t="shared" ca="1" si="3829"/>
        <v>0</v>
      </c>
      <c r="X2620" s="202"/>
      <c r="Y2620" s="202"/>
      <c r="Z2620" s="202"/>
      <c r="AA2620" s="152"/>
      <c r="AB2620" s="152"/>
    </row>
    <row r="2621" spans="1:28" hidden="1" outlineLevel="1">
      <c r="A2621" s="199">
        <f t="shared" si="3830"/>
        <v>15</v>
      </c>
      <c r="B2621" s="190" t="str">
        <f t="shared" ca="1" si="3831"/>
        <v>Depreciated Net Capex 2030-31</v>
      </c>
      <c r="C2621" s="1426"/>
      <c r="D2621" s="1426"/>
      <c r="E2621" s="1426"/>
      <c r="F2621" s="1426"/>
      <c r="G2621" s="1426"/>
      <c r="H2621" s="1426"/>
      <c r="I2621" s="1426"/>
      <c r="J2621" s="1426"/>
      <c r="K2621" s="1426"/>
      <c r="L2621" s="1426"/>
      <c r="M2621" s="1426"/>
      <c r="N2621" s="1426"/>
      <c r="O2621" s="1426"/>
      <c r="P2621" s="1426"/>
      <c r="Q2621" s="1427"/>
      <c r="R2621" s="1428">
        <f>R2601</f>
        <v>0</v>
      </c>
      <c r="S2621" s="1423">
        <f ca="1">IF(R2645="n/a",R2621,IFERROR(IF((OFFSET($C2621,0,$A2621))&lt;0,
MIN(0,R2621-(OFFSET($C2621,0,$A2621)/(OFFSET($C2616,-$A2620,$A2621)))),
MAX(0,R2621-(OFFSET($C2621,0,$A2621)/(OFFSET($C2616,-$A2620,$A2621))))),0))</f>
        <v>0</v>
      </c>
      <c r="T2621" s="1423">
        <f t="shared" ca="1" si="3826"/>
        <v>0</v>
      </c>
      <c r="U2621" s="1423">
        <f t="shared" ca="1" si="3827"/>
        <v>0</v>
      </c>
      <c r="V2621" s="1423">
        <f t="shared" ca="1" si="3828"/>
        <v>0</v>
      </c>
      <c r="W2621" s="1423">
        <f t="shared" ca="1" si="3829"/>
        <v>0</v>
      </c>
      <c r="X2621" s="202"/>
      <c r="Y2621" s="202"/>
      <c r="Z2621" s="202"/>
      <c r="AA2621" s="152"/>
      <c r="AB2621" s="152"/>
    </row>
    <row r="2622" spans="1:28" hidden="1" outlineLevel="1">
      <c r="A2622" s="199">
        <f t="shared" si="3830"/>
        <v>16</v>
      </c>
      <c r="B2622" s="190" t="str">
        <f t="shared" ca="1" si="3831"/>
        <v>Depreciated Net Capex 2031-32</v>
      </c>
      <c r="C2622" s="1426"/>
      <c r="D2622" s="1426"/>
      <c r="E2622" s="1426"/>
      <c r="F2622" s="1426"/>
      <c r="G2622" s="1426"/>
      <c r="H2622" s="1426"/>
      <c r="I2622" s="1426"/>
      <c r="J2622" s="1426"/>
      <c r="K2622" s="1426"/>
      <c r="L2622" s="1426"/>
      <c r="M2622" s="1426"/>
      <c r="N2622" s="1426"/>
      <c r="O2622" s="1426"/>
      <c r="P2622" s="1426"/>
      <c r="Q2622" s="1426"/>
      <c r="R2622" s="1427"/>
      <c r="S2622" s="1428">
        <f>S2601</f>
        <v>0</v>
      </c>
      <c r="T2622" s="1423">
        <f ca="1">IF(S2646="n/a",S2622,IFERROR(IF((OFFSET($C2622,0,$A2622))&lt;0,
MIN(0,S2622-(OFFSET($C2622,0,$A2622)/(OFFSET($C2617,-$A2621,$A2622)))),
MAX(0,S2622-(OFFSET($C2622,0,$A2622)/(OFFSET($C2617,-$A2621,$A2622))))),0))</f>
        <v>0</v>
      </c>
      <c r="U2622" s="1423">
        <f t="shared" ca="1" si="3827"/>
        <v>0</v>
      </c>
      <c r="V2622" s="1423">
        <f t="shared" ca="1" si="3828"/>
        <v>0</v>
      </c>
      <c r="W2622" s="1423">
        <f t="shared" ca="1" si="3829"/>
        <v>0</v>
      </c>
      <c r="X2622" s="202"/>
      <c r="Y2622" s="202"/>
      <c r="Z2622" s="202"/>
      <c r="AA2622" s="152"/>
      <c r="AB2622" s="152"/>
    </row>
    <row r="2623" spans="1:28" hidden="1" outlineLevel="1">
      <c r="A2623" s="199">
        <f t="shared" si="3830"/>
        <v>17</v>
      </c>
      <c r="B2623" s="190" t="str">
        <f t="shared" ca="1" si="3831"/>
        <v>Depreciated Net Capex 2032-33</v>
      </c>
      <c r="C2623" s="1426"/>
      <c r="D2623" s="1426"/>
      <c r="E2623" s="1426"/>
      <c r="F2623" s="1426"/>
      <c r="G2623" s="1426"/>
      <c r="H2623" s="1426"/>
      <c r="I2623" s="1426"/>
      <c r="J2623" s="1426"/>
      <c r="K2623" s="1426"/>
      <c r="L2623" s="1426"/>
      <c r="M2623" s="1426"/>
      <c r="N2623" s="1426"/>
      <c r="O2623" s="1426"/>
      <c r="P2623" s="1426"/>
      <c r="Q2623" s="1426"/>
      <c r="R2623" s="1426"/>
      <c r="S2623" s="1427"/>
      <c r="T2623" s="1428">
        <f>T2601</f>
        <v>0</v>
      </c>
      <c r="U2623" s="1423">
        <f ca="1">IF(T2647="n/a",T2623,IFERROR(IF((OFFSET($C2623,0,$A2623))&lt;0,
MIN(0,T2623-(OFFSET($C2623,0,$A2623)/(OFFSET($C2618,-$A2622,$A2623)))),
MAX(0,T2623-(OFFSET($C2623,0,$A2623)/(OFFSET($C2618,-$A2622,$A2623))))),0))</f>
        <v>0</v>
      </c>
      <c r="V2623" s="1423">
        <f t="shared" ca="1" si="3828"/>
        <v>0</v>
      </c>
      <c r="W2623" s="1423">
        <f t="shared" ca="1" si="3829"/>
        <v>0</v>
      </c>
      <c r="X2623" s="202"/>
      <c r="Y2623" s="202"/>
      <c r="Z2623" s="202"/>
      <c r="AA2623" s="152"/>
      <c r="AB2623" s="152"/>
    </row>
    <row r="2624" spans="1:28" hidden="1" outlineLevel="1">
      <c r="A2624" s="199">
        <f t="shared" si="3830"/>
        <v>18</v>
      </c>
      <c r="B2624" s="190" t="str">
        <f t="shared" ca="1" si="3831"/>
        <v>Depreciated Net Capex 2033-34</v>
      </c>
      <c r="C2624" s="1426"/>
      <c r="D2624" s="1426"/>
      <c r="E2624" s="1426"/>
      <c r="F2624" s="1426"/>
      <c r="G2624" s="1426"/>
      <c r="H2624" s="1426"/>
      <c r="I2624" s="1426"/>
      <c r="J2624" s="1426"/>
      <c r="K2624" s="1426"/>
      <c r="L2624" s="1426"/>
      <c r="M2624" s="1426"/>
      <c r="N2624" s="1426"/>
      <c r="O2624" s="1426"/>
      <c r="P2624" s="1426"/>
      <c r="Q2624" s="1426"/>
      <c r="R2624" s="1426"/>
      <c r="S2624" s="1426"/>
      <c r="T2624" s="1427"/>
      <c r="U2624" s="1428">
        <f>U2601</f>
        <v>0</v>
      </c>
      <c r="V2624" s="1423">
        <f ca="1">IF(U2648="n/a",U2624,IFERROR(IF((OFFSET($C2624,0,$A2624))&lt;0,
MIN(0,U2624-(OFFSET($C2624,0,$A2624)/(OFFSET($C2619,-$A2623,$A2624)))),
MAX(0,U2624-(OFFSET($C2624,0,$A2624)/(OFFSET($C2619,-$A2623,$A2624))))),0))</f>
        <v>0</v>
      </c>
      <c r="W2624" s="1423">
        <f t="shared" ca="1" si="3829"/>
        <v>0</v>
      </c>
      <c r="X2624" s="202"/>
      <c r="Y2624" s="202"/>
      <c r="Z2624" s="202"/>
      <c r="AA2624" s="152"/>
      <c r="AB2624" s="152"/>
    </row>
    <row r="2625" spans="1:28" hidden="1" outlineLevel="1">
      <c r="A2625" s="199">
        <f t="shared" si="3830"/>
        <v>19</v>
      </c>
      <c r="B2625" s="190" t="str">
        <f t="shared" ca="1" si="3831"/>
        <v>Depreciated Net Capex 2034-35</v>
      </c>
      <c r="C2625" s="1426"/>
      <c r="D2625" s="1426"/>
      <c r="E2625" s="1426"/>
      <c r="F2625" s="1426"/>
      <c r="G2625" s="1426"/>
      <c r="H2625" s="1426"/>
      <c r="I2625" s="1426"/>
      <c r="J2625" s="1426"/>
      <c r="K2625" s="1426"/>
      <c r="L2625" s="1426"/>
      <c r="M2625" s="1426"/>
      <c r="N2625" s="1426"/>
      <c r="O2625" s="1426"/>
      <c r="P2625" s="1426"/>
      <c r="Q2625" s="1426"/>
      <c r="R2625" s="1426"/>
      <c r="S2625" s="1426"/>
      <c r="T2625" s="1426"/>
      <c r="U2625" s="1427"/>
      <c r="V2625" s="1428">
        <f>V2601</f>
        <v>0</v>
      </c>
      <c r="W2625" s="1423">
        <f ca="1">IF(V2649="n/a",V2625,IFERROR(IF((OFFSET($C2625,0,$A2625))&lt;0,
MIN(0,V2625-(OFFSET($C2625,0,$A2625)/(OFFSET($C2620,-$A2624,$A2625)))),
MAX(0,V2625-(OFFSET($C2625,0,$A2625)/(OFFSET($C2620,-$A2624,$A2625))))),0))</f>
        <v>0</v>
      </c>
      <c r="X2625" s="202"/>
      <c r="Y2625" s="202"/>
      <c r="Z2625" s="202"/>
      <c r="AA2625" s="152"/>
      <c r="AB2625" s="152"/>
    </row>
    <row r="2626" spans="1:28" hidden="1" outlineLevel="1">
      <c r="A2626" s="199">
        <f t="shared" si="3830"/>
        <v>20</v>
      </c>
      <c r="B2626" s="190" t="str">
        <f t="shared" ca="1" si="3831"/>
        <v>Depreciated Net Capex 2035-36</v>
      </c>
      <c r="C2626" s="1426"/>
      <c r="D2626" s="1426"/>
      <c r="E2626" s="1426"/>
      <c r="F2626" s="1426"/>
      <c r="G2626" s="1426"/>
      <c r="H2626" s="1426"/>
      <c r="I2626" s="1426"/>
      <c r="J2626" s="1426"/>
      <c r="K2626" s="1426"/>
      <c r="L2626" s="1426"/>
      <c r="M2626" s="1426"/>
      <c r="N2626" s="1426"/>
      <c r="O2626" s="1426"/>
      <c r="P2626" s="1426"/>
      <c r="Q2626" s="1426"/>
      <c r="R2626" s="1426"/>
      <c r="S2626" s="1426"/>
      <c r="T2626" s="1426"/>
      <c r="U2626" s="1426"/>
      <c r="V2626" s="1427"/>
      <c r="W2626" s="1423">
        <f>W2601</f>
        <v>0</v>
      </c>
      <c r="X2626" s="152"/>
      <c r="Y2626" s="152"/>
      <c r="Z2626" s="152"/>
      <c r="AA2626" s="152"/>
      <c r="AB2626" s="152"/>
    </row>
    <row r="2627" spans="1:28" hidden="1" outlineLevel="1">
      <c r="A2627" s="152"/>
      <c r="B2627" s="200"/>
      <c r="C2627" s="1423"/>
      <c r="D2627" s="1423"/>
      <c r="E2627" s="1423"/>
      <c r="F2627" s="1423"/>
      <c r="G2627" s="1423"/>
      <c r="H2627" s="1423"/>
      <c r="I2627" s="1423"/>
      <c r="J2627" s="1423"/>
      <c r="K2627" s="1423"/>
      <c r="L2627" s="1423"/>
      <c r="M2627" s="1423"/>
      <c r="N2627" s="1423"/>
      <c r="O2627" s="1423"/>
      <c r="P2627" s="1423"/>
      <c r="Q2627" s="1423"/>
      <c r="R2627" s="1423"/>
      <c r="S2627" s="1423"/>
      <c r="T2627" s="1423"/>
      <c r="U2627" s="1423"/>
      <c r="V2627" s="1423"/>
      <c r="W2627" s="1423"/>
      <c r="X2627" s="152"/>
      <c r="Y2627" s="152"/>
      <c r="Z2627" s="152"/>
      <c r="AA2627" s="152"/>
      <c r="AB2627" s="152"/>
    </row>
    <row r="2628" spans="1:28" hidden="1" outlineLevel="1">
      <c r="A2628" s="152"/>
      <c r="B2628" s="200"/>
      <c r="C2628" s="1423"/>
      <c r="D2628" s="1423"/>
      <c r="E2628" s="1423"/>
      <c r="F2628" s="1423"/>
      <c r="G2628" s="1423"/>
      <c r="H2628" s="1423"/>
      <c r="I2628" s="1423"/>
      <c r="J2628" s="1423"/>
      <c r="K2628" s="1423"/>
      <c r="L2628" s="1423"/>
      <c r="M2628" s="1423"/>
      <c r="N2628" s="1423"/>
      <c r="O2628" s="1423"/>
      <c r="P2628" s="1423"/>
      <c r="Q2628" s="1423"/>
      <c r="R2628" s="1423"/>
      <c r="S2628" s="1423"/>
      <c r="T2628" s="1423"/>
      <c r="U2628" s="1423"/>
      <c r="V2628" s="1423"/>
      <c r="W2628" s="1423"/>
      <c r="X2628" s="152"/>
      <c r="Y2628" s="152"/>
      <c r="Z2628" s="152"/>
      <c r="AA2628" s="152"/>
      <c r="AB2628" s="152"/>
    </row>
    <row r="2629" spans="1:28" hidden="1" outlineLevel="1">
      <c r="A2629" s="152"/>
      <c r="B2629" s="190" t="s">
        <v>194</v>
      </c>
      <c r="C2629" s="1423"/>
      <c r="D2629" s="1423">
        <f t="shared" ref="D2629" ca="1" si="3832">IF(AND(C2629&lt;1,D2603=0),0,
IF(D2603=0,C2629-1,
IF(C2629&lt;1,D2604,
(((C2629-1)*(C2605-(C2605/(C2629))))+(D2603*D2604))/(D2605))))</f>
        <v>0</v>
      </c>
      <c r="E2629" s="1423">
        <f t="shared" ref="E2629" ca="1" si="3833">IF(AND(D2629&lt;1,E2603=0),0,
IF(E2603=0,D2629-1,
IF(D2629&lt;1,E2604,
(((D2629-1)*(D2605-(D2605/(D2629))))+(E2603*E2604))/(E2605))))</f>
        <v>0</v>
      </c>
      <c r="F2629" s="1423">
        <f t="shared" ref="F2629" ca="1" si="3834">IF(AND(E2629&lt;1,F2603=0),0,
IF(F2603=0,E2629-1,
IF(E2629&lt;1,F2604,
(((E2629-1)*(E2605-(E2605/(E2629))))+(F2603*F2604))/(F2605))))</f>
        <v>0</v>
      </c>
      <c r="G2629" s="1423">
        <f t="shared" ref="G2629" ca="1" si="3835">IF(AND(F2629&lt;1,G2603=0),0,
IF(G2603=0,F2629-1,
IF(F2629&lt;1,G2604,
(((F2629-1)*(F2605-(F2605/(F2629))))+(G2603*G2604))/(G2605))))</f>
        <v>0</v>
      </c>
      <c r="H2629" s="1423">
        <f ca="1">IF(AND(G2629&lt;1,H2603=0),0,
IF(H2603=0,G2629-1,
IF(G2629&lt;1,H2604,
(((G2629-1)*(G2605-(G2605/(G2629))))+(H2603*H2604))/(H2605))))</f>
        <v>0</v>
      </c>
      <c r="I2629" s="1423">
        <f t="shared" ref="I2629" ca="1" si="3836">IF(AND(H2629&lt;1,I2603=0),0,
IF(I2603=0,H2629-1,
IF(H2629&lt;1,I2604,
(((H2629-1)*(H2605-(H2605/(H2629))))+(I2603*I2604))/(I2605))))</f>
        <v>0</v>
      </c>
      <c r="J2629" s="1423">
        <f t="shared" ref="J2629" ca="1" si="3837">IF(AND(I2629&lt;1,J2603=0),0,
IF(J2603=0,I2629-1,
IF(I2629&lt;1,J2604,
(((I2629-1)*(I2605-(I2605/(I2629))))+(J2603*J2604))/(J2605))))</f>
        <v>0</v>
      </c>
      <c r="K2629" s="1423">
        <f t="shared" ref="K2629" ca="1" si="3838">IF(AND(J2629&lt;1,K2603=0),0,
IF(K2603=0,J2629-1,
IF(J2629&lt;1,K2604,
(((J2629-1)*(J2605-(J2605/(J2629))))+(K2603*K2604))/(K2605))))</f>
        <v>0</v>
      </c>
      <c r="L2629" s="1423">
        <f t="shared" ref="L2629" ca="1" si="3839">IF(AND(K2629&lt;1,L2603=0),0,
IF(L2603=0,K2629-1,
IF(K2629&lt;1,L2604,
(((K2629-1)*(K2605-(K2605/(K2629))))+(L2603*L2604))/(L2605))))</f>
        <v>0</v>
      </c>
      <c r="M2629" s="1423">
        <f ca="1">IF(AND(L2629&lt;1,M2603=0),0,
IF(M2603=0,L2629-1,
IF(L2629&lt;1,M2604,
(((L2629-1)*(L2605-(L2605/(L2629))))+(M2603*M2604))/(M2605))))</f>
        <v>0</v>
      </c>
      <c r="N2629" s="1423">
        <f t="shared" ref="N2629" ca="1" si="3840">IF(AND(M2629&lt;1,N2603=0),0,
IF(N2603=0,M2629-1,
IF(M2629&lt;1,N2604,
(((M2629-1)*(M2605-(M2605/(M2629))))+(N2603*N2604))/(N2605))))</f>
        <v>0</v>
      </c>
      <c r="O2629" s="1423">
        <f t="shared" ref="O2629" ca="1" si="3841">IF(AND(N2629&lt;1,O2603=0),0,
IF(O2603=0,N2629-1,
IF(N2629&lt;1,O2604,
(((N2629-1)*(N2605-(N2605/(N2629))))+(O2603*O2604))/(O2605))))</f>
        <v>0</v>
      </c>
      <c r="P2629" s="1423">
        <f t="shared" ref="P2629" ca="1" si="3842">IF(AND(O2629&lt;1,P2603=0),0,
IF(P2603=0,O2629-1,
IF(O2629&lt;1,P2604,
(((O2629-1)*(O2605-(O2605/(O2629))))+(P2603*P2604))/(P2605))))</f>
        <v>0</v>
      </c>
      <c r="Q2629" s="1423">
        <f t="shared" ref="Q2629" ca="1" si="3843">IF(AND(P2629&lt;1,Q2603=0),0,
IF(Q2603=0,P2629-1,
IF(P2629&lt;1,Q2604,
(((P2629-1)*(P2605-(P2605/(P2629))))+(Q2603*Q2604))/(Q2605))))</f>
        <v>0</v>
      </c>
      <c r="R2629" s="1423">
        <f t="shared" ref="R2629" ca="1" si="3844">IF(AND(Q2629&lt;1,R2603=0),0,
IF(R2603=0,Q2629-1,
IF(Q2629&lt;1,R2604,
(((Q2629-1)*(Q2605-(Q2605/(Q2629))))+(R2603*R2604))/(R2605))))</f>
        <v>0</v>
      </c>
      <c r="S2629" s="1423">
        <f t="shared" ref="S2629" ca="1" si="3845">IF(AND(R2629&lt;1,S2603=0),0,
IF(S2603=0,R2629-1,
IF(R2629&lt;1,S2604,
(((R2629-1)*(R2605-(R2605/(R2629))))+(S2603*S2604))/(S2605))))</f>
        <v>0</v>
      </c>
      <c r="T2629" s="1423">
        <f t="shared" ref="T2629" ca="1" si="3846">IF(AND(S2629&lt;1,T2603=0),0,
IF(T2603=0,S2629-1,
IF(S2629&lt;1,T2604,
(((S2629-1)*(S2605-(S2605/(S2629))))+(T2603*T2604))/(T2605))))</f>
        <v>0</v>
      </c>
      <c r="U2629" s="1423">
        <f t="shared" ref="U2629" ca="1" si="3847">IF(AND(T2629&lt;1,U2603=0),0,
IF(U2603=0,T2629-1,
IF(T2629&lt;1,U2604,
(((T2629-1)*(T2605-(T2605/(T2629))))+(U2603*U2604))/(U2605))))</f>
        <v>0</v>
      </c>
      <c r="V2629" s="1423">
        <f t="shared" ref="V2629" ca="1" si="3848">IF(AND(U2629&lt;1,V2603=0),0,
IF(V2603=0,U2629-1,
IF(U2629&lt;1,V2604,
(((U2629-1)*(U2605-(U2605/(U2629))))+(V2603*V2604))/(V2605))))</f>
        <v>0</v>
      </c>
      <c r="W2629" s="1423">
        <f t="shared" ref="W2629" ca="1" si="3849">IF(AND(V2629&lt;1,W2603=0),0,
IF(W2603=0,V2629-1,
IF(V2629&lt;1,W2604,
(((V2629-1)*(V2605-(V2605/(V2629))))+(W2603*W2604))/(W2605))))</f>
        <v>0</v>
      </c>
      <c r="X2629" s="152"/>
      <c r="Y2629" s="152"/>
      <c r="Z2629" s="152"/>
      <c r="AA2629" s="152"/>
      <c r="AB2629" s="152"/>
    </row>
    <row r="2630" spans="1:28" hidden="1" outlineLevel="1">
      <c r="A2630" s="152"/>
      <c r="B2630" s="190" t="s">
        <v>193</v>
      </c>
      <c r="C2630" s="1423">
        <f ca="1">C2602</f>
        <v>0</v>
      </c>
      <c r="D2630" s="1423">
        <f t="shared" ref="D2630" ca="1" si="3850">IF(C2630="n/a","n/a",MAX(0,C2630-1))</f>
        <v>0</v>
      </c>
      <c r="E2630" s="1423">
        <f t="shared" ref="E2630:E2631" ca="1" si="3851">IF(D2630="n/a","n/a",MAX(0,D2630-1))</f>
        <v>0</v>
      </c>
      <c r="F2630" s="1423">
        <f t="shared" ref="F2630:F2632" ca="1" si="3852">IF(E2630="n/a","n/a",MAX(0,E2630-1))</f>
        <v>0</v>
      </c>
      <c r="G2630" s="1423">
        <f t="shared" ref="G2630:G2633" ca="1" si="3853">IF(F2630="n/a","n/a",MAX(0,F2630-1))</f>
        <v>0</v>
      </c>
      <c r="H2630" s="1423">
        <f t="shared" ref="H2630:H2634" ca="1" si="3854">IF(G2630="n/a","n/a",MAX(0,G2630-1))</f>
        <v>0</v>
      </c>
      <c r="I2630" s="1423">
        <f t="shared" ref="I2630:I2635" ca="1" si="3855">IF(H2630="n/a","n/a",MAX(0,H2630-1))</f>
        <v>0</v>
      </c>
      <c r="J2630" s="1423">
        <f t="shared" ref="J2630:J2636" ca="1" si="3856">IF(I2630="n/a","n/a",MAX(0,I2630-1))</f>
        <v>0</v>
      </c>
      <c r="K2630" s="1423">
        <f t="shared" ref="K2630:K2637" ca="1" si="3857">IF(J2630="n/a","n/a",MAX(0,J2630-1))</f>
        <v>0</v>
      </c>
      <c r="L2630" s="1423">
        <f t="shared" ref="L2630:L2638" ca="1" si="3858">IF(K2630="n/a","n/a",MAX(0,K2630-1))</f>
        <v>0</v>
      </c>
      <c r="M2630" s="1423">
        <f t="shared" ref="M2630:M2639" ca="1" si="3859">IF(L2630="n/a","n/a",MAX(0,L2630-1))</f>
        <v>0</v>
      </c>
      <c r="N2630" s="1423">
        <f t="shared" ref="N2630:N2640" ca="1" si="3860">IF(M2630="n/a","n/a",MAX(0,M2630-1))</f>
        <v>0</v>
      </c>
      <c r="O2630" s="1423">
        <f t="shared" ref="O2630:O2641" ca="1" si="3861">IF(N2630="n/a","n/a",MAX(0,N2630-1))</f>
        <v>0</v>
      </c>
      <c r="P2630" s="1423">
        <f t="shared" ref="P2630:P2642" ca="1" si="3862">IF(O2630="n/a","n/a",MAX(0,O2630-1))</f>
        <v>0</v>
      </c>
      <c r="Q2630" s="1423">
        <f t="shared" ref="Q2630:Q2643" ca="1" si="3863">IF(P2630="n/a","n/a",MAX(0,P2630-1))</f>
        <v>0</v>
      </c>
      <c r="R2630" s="1423">
        <f t="shared" ref="R2630:R2644" ca="1" si="3864">IF(Q2630="n/a","n/a",MAX(0,Q2630-1))</f>
        <v>0</v>
      </c>
      <c r="S2630" s="1423">
        <f t="shared" ref="S2630:S2645" ca="1" si="3865">IF(R2630="n/a","n/a",MAX(0,R2630-1))</f>
        <v>0</v>
      </c>
      <c r="T2630" s="1423">
        <f t="shared" ref="T2630:T2646" ca="1" si="3866">IF(S2630="n/a","n/a",MAX(0,S2630-1))</f>
        <v>0</v>
      </c>
      <c r="U2630" s="1423">
        <f t="shared" ref="U2630:U2647" ca="1" si="3867">IF(T2630="n/a","n/a",MAX(0,T2630-1))</f>
        <v>0</v>
      </c>
      <c r="V2630" s="1423">
        <f t="shared" ref="V2630:V2648" ca="1" si="3868">IF(U2630="n/a","n/a",MAX(0,U2630-1))</f>
        <v>0</v>
      </c>
      <c r="W2630" s="1423">
        <f t="shared" ref="W2630:W2648" ca="1" si="3869">IF(V2630="n/a","n/a",MAX(0,V2630-1))</f>
        <v>0</v>
      </c>
      <c r="X2630" s="152"/>
      <c r="Y2630" s="152"/>
      <c r="Z2630" s="152"/>
      <c r="AA2630" s="152"/>
      <c r="AB2630" s="152"/>
    </row>
    <row r="2631" spans="1:28" hidden="1" outlineLevel="1">
      <c r="A2631" s="152"/>
      <c r="B2631" s="190" t="str">
        <f t="shared" ref="B2631:B2650" ca="1" si="3870">"RL Capex "&amp;OFFSET($C$6,0,A2607)</f>
        <v>RL Capex 2016-17</v>
      </c>
      <c r="C2631" s="1424"/>
      <c r="D2631" s="1428">
        <f>D2602</f>
        <v>0</v>
      </c>
      <c r="E2631" s="1423">
        <f t="shared" si="3851"/>
        <v>0</v>
      </c>
      <c r="F2631" s="1423">
        <f t="shared" si="3852"/>
        <v>0</v>
      </c>
      <c r="G2631" s="1423">
        <f t="shared" si="3853"/>
        <v>0</v>
      </c>
      <c r="H2631" s="1423">
        <f t="shared" si="3854"/>
        <v>0</v>
      </c>
      <c r="I2631" s="1423">
        <f t="shared" si="3855"/>
        <v>0</v>
      </c>
      <c r="J2631" s="1423">
        <f t="shared" si="3856"/>
        <v>0</v>
      </c>
      <c r="K2631" s="1423">
        <f t="shared" si="3857"/>
        <v>0</v>
      </c>
      <c r="L2631" s="1423">
        <f t="shared" si="3858"/>
        <v>0</v>
      </c>
      <c r="M2631" s="1423">
        <f t="shared" si="3859"/>
        <v>0</v>
      </c>
      <c r="N2631" s="1423">
        <f t="shared" si="3860"/>
        <v>0</v>
      </c>
      <c r="O2631" s="1423">
        <f t="shared" si="3861"/>
        <v>0</v>
      </c>
      <c r="P2631" s="1423">
        <f t="shared" si="3862"/>
        <v>0</v>
      </c>
      <c r="Q2631" s="1423">
        <f t="shared" si="3863"/>
        <v>0</v>
      </c>
      <c r="R2631" s="1423">
        <f t="shared" si="3864"/>
        <v>0</v>
      </c>
      <c r="S2631" s="1423">
        <f t="shared" si="3865"/>
        <v>0</v>
      </c>
      <c r="T2631" s="1423">
        <f t="shared" si="3866"/>
        <v>0</v>
      </c>
      <c r="U2631" s="1423">
        <f t="shared" si="3867"/>
        <v>0</v>
      </c>
      <c r="V2631" s="1423">
        <f t="shared" si="3868"/>
        <v>0</v>
      </c>
      <c r="W2631" s="1423">
        <f t="shared" si="3869"/>
        <v>0</v>
      </c>
      <c r="X2631" s="152"/>
      <c r="Y2631" s="152"/>
      <c r="Z2631" s="152"/>
      <c r="AA2631" s="152"/>
      <c r="AB2631" s="152"/>
    </row>
    <row r="2632" spans="1:28" hidden="1" outlineLevel="1">
      <c r="A2632" s="152"/>
      <c r="B2632" s="190" t="str">
        <f t="shared" ca="1" si="3870"/>
        <v>RL Capex 2017-18</v>
      </c>
      <c r="C2632" s="1429"/>
      <c r="D2632" s="1424"/>
      <c r="E2632" s="1428">
        <f>E2602</f>
        <v>0</v>
      </c>
      <c r="F2632" s="1423">
        <f t="shared" si="3852"/>
        <v>0</v>
      </c>
      <c r="G2632" s="1423">
        <f t="shared" si="3853"/>
        <v>0</v>
      </c>
      <c r="H2632" s="1423">
        <f t="shared" si="3854"/>
        <v>0</v>
      </c>
      <c r="I2632" s="1423">
        <f t="shared" si="3855"/>
        <v>0</v>
      </c>
      <c r="J2632" s="1423">
        <f t="shared" si="3856"/>
        <v>0</v>
      </c>
      <c r="K2632" s="1423">
        <f t="shared" si="3857"/>
        <v>0</v>
      </c>
      <c r="L2632" s="1423">
        <f t="shared" si="3858"/>
        <v>0</v>
      </c>
      <c r="M2632" s="1423">
        <f t="shared" si="3859"/>
        <v>0</v>
      </c>
      <c r="N2632" s="1423">
        <f t="shared" si="3860"/>
        <v>0</v>
      </c>
      <c r="O2632" s="1423">
        <f t="shared" si="3861"/>
        <v>0</v>
      </c>
      <c r="P2632" s="1423">
        <f t="shared" si="3862"/>
        <v>0</v>
      </c>
      <c r="Q2632" s="1423">
        <f t="shared" si="3863"/>
        <v>0</v>
      </c>
      <c r="R2632" s="1423">
        <f t="shared" si="3864"/>
        <v>0</v>
      </c>
      <c r="S2632" s="1423">
        <f t="shared" si="3865"/>
        <v>0</v>
      </c>
      <c r="T2632" s="1423">
        <f t="shared" si="3866"/>
        <v>0</v>
      </c>
      <c r="U2632" s="1423">
        <f t="shared" si="3867"/>
        <v>0</v>
      </c>
      <c r="V2632" s="1423">
        <f t="shared" si="3868"/>
        <v>0</v>
      </c>
      <c r="W2632" s="1423">
        <f t="shared" si="3869"/>
        <v>0</v>
      </c>
      <c r="X2632" s="152"/>
      <c r="Y2632" s="152"/>
      <c r="Z2632" s="152"/>
      <c r="AA2632" s="152"/>
      <c r="AB2632" s="152"/>
    </row>
    <row r="2633" spans="1:28" hidden="1" outlineLevel="1">
      <c r="A2633" s="152"/>
      <c r="B2633" s="190" t="str">
        <f t="shared" ca="1" si="3870"/>
        <v>RL Capex 2018-19</v>
      </c>
      <c r="C2633" s="1429"/>
      <c r="D2633" s="1429"/>
      <c r="E2633" s="1424"/>
      <c r="F2633" s="1428">
        <f>F2602</f>
        <v>0</v>
      </c>
      <c r="G2633" s="1423">
        <f t="shared" si="3853"/>
        <v>0</v>
      </c>
      <c r="H2633" s="1423">
        <f t="shared" si="3854"/>
        <v>0</v>
      </c>
      <c r="I2633" s="1423">
        <f t="shared" si="3855"/>
        <v>0</v>
      </c>
      <c r="J2633" s="1423">
        <f t="shared" si="3856"/>
        <v>0</v>
      </c>
      <c r="K2633" s="1423">
        <f t="shared" si="3857"/>
        <v>0</v>
      </c>
      <c r="L2633" s="1423">
        <f t="shared" si="3858"/>
        <v>0</v>
      </c>
      <c r="M2633" s="1423">
        <f t="shared" si="3859"/>
        <v>0</v>
      </c>
      <c r="N2633" s="1423">
        <f t="shared" si="3860"/>
        <v>0</v>
      </c>
      <c r="O2633" s="1423">
        <f t="shared" si="3861"/>
        <v>0</v>
      </c>
      <c r="P2633" s="1423">
        <f t="shared" si="3862"/>
        <v>0</v>
      </c>
      <c r="Q2633" s="1423">
        <f t="shared" si="3863"/>
        <v>0</v>
      </c>
      <c r="R2633" s="1423">
        <f t="shared" si="3864"/>
        <v>0</v>
      </c>
      <c r="S2633" s="1423">
        <f t="shared" si="3865"/>
        <v>0</v>
      </c>
      <c r="T2633" s="1423">
        <f t="shared" si="3866"/>
        <v>0</v>
      </c>
      <c r="U2633" s="1423">
        <f t="shared" si="3867"/>
        <v>0</v>
      </c>
      <c r="V2633" s="1423">
        <f t="shared" si="3868"/>
        <v>0</v>
      </c>
      <c r="W2633" s="1423">
        <f t="shared" si="3869"/>
        <v>0</v>
      </c>
      <c r="X2633" s="152"/>
      <c r="Y2633" s="152"/>
      <c r="Z2633" s="152"/>
      <c r="AA2633" s="152"/>
      <c r="AB2633" s="152"/>
    </row>
    <row r="2634" spans="1:28" hidden="1" outlineLevel="1">
      <c r="A2634" s="152"/>
      <c r="B2634" s="190" t="str">
        <f t="shared" ca="1" si="3870"/>
        <v>RL Capex 2019-20</v>
      </c>
      <c r="C2634" s="1429"/>
      <c r="D2634" s="1429"/>
      <c r="E2634" s="1429"/>
      <c r="F2634" s="1424"/>
      <c r="G2634" s="1428">
        <f>G2602</f>
        <v>0</v>
      </c>
      <c r="H2634" s="1423">
        <f t="shared" si="3854"/>
        <v>0</v>
      </c>
      <c r="I2634" s="1423">
        <f t="shared" si="3855"/>
        <v>0</v>
      </c>
      <c r="J2634" s="1423">
        <f t="shared" si="3856"/>
        <v>0</v>
      </c>
      <c r="K2634" s="1423">
        <f t="shared" si="3857"/>
        <v>0</v>
      </c>
      <c r="L2634" s="1423">
        <f t="shared" si="3858"/>
        <v>0</v>
      </c>
      <c r="M2634" s="1423">
        <f t="shared" si="3859"/>
        <v>0</v>
      </c>
      <c r="N2634" s="1423">
        <f t="shared" si="3860"/>
        <v>0</v>
      </c>
      <c r="O2634" s="1423">
        <f t="shared" si="3861"/>
        <v>0</v>
      </c>
      <c r="P2634" s="1423">
        <f t="shared" si="3862"/>
        <v>0</v>
      </c>
      <c r="Q2634" s="1423">
        <f t="shared" si="3863"/>
        <v>0</v>
      </c>
      <c r="R2634" s="1423">
        <f t="shared" si="3864"/>
        <v>0</v>
      </c>
      <c r="S2634" s="1423">
        <f t="shared" si="3865"/>
        <v>0</v>
      </c>
      <c r="T2634" s="1423">
        <f t="shared" si="3866"/>
        <v>0</v>
      </c>
      <c r="U2634" s="1423">
        <f t="shared" si="3867"/>
        <v>0</v>
      </c>
      <c r="V2634" s="1423">
        <f t="shared" si="3868"/>
        <v>0</v>
      </c>
      <c r="W2634" s="1423">
        <f t="shared" si="3869"/>
        <v>0</v>
      </c>
      <c r="X2634" s="152"/>
      <c r="Y2634" s="152"/>
      <c r="Z2634" s="152"/>
      <c r="AA2634" s="152"/>
      <c r="AB2634" s="152"/>
    </row>
    <row r="2635" spans="1:28" hidden="1" outlineLevel="1">
      <c r="A2635" s="152"/>
      <c r="B2635" s="190" t="str">
        <f t="shared" ca="1" si="3870"/>
        <v>RL Capex 2020-21</v>
      </c>
      <c r="C2635" s="1429"/>
      <c r="D2635" s="1429"/>
      <c r="E2635" s="1429"/>
      <c r="F2635" s="1429"/>
      <c r="G2635" s="1424"/>
      <c r="H2635" s="1428">
        <f>H2602</f>
        <v>0</v>
      </c>
      <c r="I2635" s="1423">
        <f t="shared" si="3855"/>
        <v>0</v>
      </c>
      <c r="J2635" s="1423">
        <f t="shared" si="3856"/>
        <v>0</v>
      </c>
      <c r="K2635" s="1423">
        <f t="shared" si="3857"/>
        <v>0</v>
      </c>
      <c r="L2635" s="1423">
        <f t="shared" si="3858"/>
        <v>0</v>
      </c>
      <c r="M2635" s="1423">
        <f t="shared" si="3859"/>
        <v>0</v>
      </c>
      <c r="N2635" s="1423">
        <f t="shared" si="3860"/>
        <v>0</v>
      </c>
      <c r="O2635" s="1423">
        <f t="shared" si="3861"/>
        <v>0</v>
      </c>
      <c r="P2635" s="1423">
        <f t="shared" si="3862"/>
        <v>0</v>
      </c>
      <c r="Q2635" s="1423">
        <f t="shared" si="3863"/>
        <v>0</v>
      </c>
      <c r="R2635" s="1423">
        <f t="shared" si="3864"/>
        <v>0</v>
      </c>
      <c r="S2635" s="1423">
        <f t="shared" si="3865"/>
        <v>0</v>
      </c>
      <c r="T2635" s="1423">
        <f t="shared" si="3866"/>
        <v>0</v>
      </c>
      <c r="U2635" s="1423">
        <f t="shared" si="3867"/>
        <v>0</v>
      </c>
      <c r="V2635" s="1423">
        <f t="shared" si="3868"/>
        <v>0</v>
      </c>
      <c r="W2635" s="1423">
        <f t="shared" si="3869"/>
        <v>0</v>
      </c>
      <c r="X2635" s="152"/>
      <c r="Y2635" s="152"/>
      <c r="Z2635" s="152"/>
      <c r="AA2635" s="152"/>
      <c r="AB2635" s="152"/>
    </row>
    <row r="2636" spans="1:28" hidden="1" outlineLevel="1">
      <c r="A2636" s="152"/>
      <c r="B2636" s="190" t="str">
        <f t="shared" ca="1" si="3870"/>
        <v>RL Capex 2021-22</v>
      </c>
      <c r="C2636" s="1429"/>
      <c r="D2636" s="1429"/>
      <c r="E2636" s="1429"/>
      <c r="F2636" s="1429"/>
      <c r="G2636" s="1429"/>
      <c r="H2636" s="1424"/>
      <c r="I2636" s="1428">
        <f>I2602</f>
        <v>0</v>
      </c>
      <c r="J2636" s="1423">
        <f t="shared" si="3856"/>
        <v>0</v>
      </c>
      <c r="K2636" s="1423">
        <f t="shared" si="3857"/>
        <v>0</v>
      </c>
      <c r="L2636" s="1423">
        <f t="shared" si="3858"/>
        <v>0</v>
      </c>
      <c r="M2636" s="1423">
        <f t="shared" si="3859"/>
        <v>0</v>
      </c>
      <c r="N2636" s="1423">
        <f t="shared" si="3860"/>
        <v>0</v>
      </c>
      <c r="O2636" s="1423">
        <f t="shared" si="3861"/>
        <v>0</v>
      </c>
      <c r="P2636" s="1423">
        <f t="shared" si="3862"/>
        <v>0</v>
      </c>
      <c r="Q2636" s="1423">
        <f t="shared" si="3863"/>
        <v>0</v>
      </c>
      <c r="R2636" s="1423">
        <f t="shared" si="3864"/>
        <v>0</v>
      </c>
      <c r="S2636" s="1423">
        <f t="shared" si="3865"/>
        <v>0</v>
      </c>
      <c r="T2636" s="1423">
        <f t="shared" si="3866"/>
        <v>0</v>
      </c>
      <c r="U2636" s="1423">
        <f t="shared" si="3867"/>
        <v>0</v>
      </c>
      <c r="V2636" s="1423">
        <f t="shared" si="3868"/>
        <v>0</v>
      </c>
      <c r="W2636" s="1423">
        <f t="shared" si="3869"/>
        <v>0</v>
      </c>
      <c r="X2636" s="152"/>
      <c r="Y2636" s="152"/>
      <c r="Z2636" s="152"/>
      <c r="AA2636" s="152"/>
      <c r="AB2636" s="152"/>
    </row>
    <row r="2637" spans="1:28" hidden="1" outlineLevel="1">
      <c r="A2637" s="152"/>
      <c r="B2637" s="190" t="str">
        <f t="shared" ca="1" si="3870"/>
        <v>RL Capex 2022-23</v>
      </c>
      <c r="C2637" s="1429"/>
      <c r="D2637" s="1429"/>
      <c r="E2637" s="1429"/>
      <c r="F2637" s="1429"/>
      <c r="G2637" s="1429"/>
      <c r="H2637" s="1429"/>
      <c r="I2637" s="1424"/>
      <c r="J2637" s="1428">
        <f>J2602</f>
        <v>0</v>
      </c>
      <c r="K2637" s="1423">
        <f t="shared" si="3857"/>
        <v>0</v>
      </c>
      <c r="L2637" s="1423">
        <f t="shared" si="3858"/>
        <v>0</v>
      </c>
      <c r="M2637" s="1423">
        <f t="shared" si="3859"/>
        <v>0</v>
      </c>
      <c r="N2637" s="1423">
        <f t="shared" si="3860"/>
        <v>0</v>
      </c>
      <c r="O2637" s="1423">
        <f t="shared" si="3861"/>
        <v>0</v>
      </c>
      <c r="P2637" s="1423">
        <f t="shared" si="3862"/>
        <v>0</v>
      </c>
      <c r="Q2637" s="1423">
        <f t="shared" si="3863"/>
        <v>0</v>
      </c>
      <c r="R2637" s="1423">
        <f t="shared" si="3864"/>
        <v>0</v>
      </c>
      <c r="S2637" s="1423">
        <f t="shared" si="3865"/>
        <v>0</v>
      </c>
      <c r="T2637" s="1423">
        <f t="shared" si="3866"/>
        <v>0</v>
      </c>
      <c r="U2637" s="1423">
        <f t="shared" si="3867"/>
        <v>0</v>
      </c>
      <c r="V2637" s="1423">
        <f t="shared" si="3868"/>
        <v>0</v>
      </c>
      <c r="W2637" s="1423">
        <f t="shared" si="3869"/>
        <v>0</v>
      </c>
      <c r="X2637" s="152"/>
      <c r="Y2637" s="152"/>
      <c r="Z2637" s="152"/>
      <c r="AA2637" s="152"/>
      <c r="AB2637" s="152"/>
    </row>
    <row r="2638" spans="1:28" hidden="1" outlineLevel="1">
      <c r="A2638" s="152"/>
      <c r="B2638" s="190" t="str">
        <f t="shared" ca="1" si="3870"/>
        <v>RL Capex 2023-24</v>
      </c>
      <c r="C2638" s="1429"/>
      <c r="D2638" s="1429"/>
      <c r="E2638" s="1429"/>
      <c r="F2638" s="1429"/>
      <c r="G2638" s="1429"/>
      <c r="H2638" s="1429"/>
      <c r="I2638" s="1429"/>
      <c r="J2638" s="1424"/>
      <c r="K2638" s="1428">
        <f>K2602</f>
        <v>0</v>
      </c>
      <c r="L2638" s="1423">
        <f t="shared" si="3858"/>
        <v>0</v>
      </c>
      <c r="M2638" s="1423">
        <f t="shared" si="3859"/>
        <v>0</v>
      </c>
      <c r="N2638" s="1423">
        <f t="shared" si="3860"/>
        <v>0</v>
      </c>
      <c r="O2638" s="1423">
        <f t="shared" si="3861"/>
        <v>0</v>
      </c>
      <c r="P2638" s="1423">
        <f t="shared" si="3862"/>
        <v>0</v>
      </c>
      <c r="Q2638" s="1423">
        <f t="shared" si="3863"/>
        <v>0</v>
      </c>
      <c r="R2638" s="1423">
        <f t="shared" si="3864"/>
        <v>0</v>
      </c>
      <c r="S2638" s="1423">
        <f t="shared" si="3865"/>
        <v>0</v>
      </c>
      <c r="T2638" s="1423">
        <f t="shared" si="3866"/>
        <v>0</v>
      </c>
      <c r="U2638" s="1423">
        <f t="shared" si="3867"/>
        <v>0</v>
      </c>
      <c r="V2638" s="1423">
        <f t="shared" si="3868"/>
        <v>0</v>
      </c>
      <c r="W2638" s="1423">
        <f t="shared" si="3869"/>
        <v>0</v>
      </c>
      <c r="X2638" s="152"/>
      <c r="Y2638" s="152"/>
      <c r="Z2638" s="152"/>
      <c r="AA2638" s="152"/>
      <c r="AB2638" s="152"/>
    </row>
    <row r="2639" spans="1:28" hidden="1" outlineLevel="1">
      <c r="A2639" s="152"/>
      <c r="B2639" s="190" t="str">
        <f t="shared" ca="1" si="3870"/>
        <v>RL Capex 2024-25</v>
      </c>
      <c r="C2639" s="1429"/>
      <c r="D2639" s="1429"/>
      <c r="E2639" s="1429"/>
      <c r="F2639" s="1429"/>
      <c r="G2639" s="1429"/>
      <c r="H2639" s="1429"/>
      <c r="I2639" s="1429"/>
      <c r="J2639" s="1429"/>
      <c r="K2639" s="1424"/>
      <c r="L2639" s="1428">
        <f>L2602</f>
        <v>0</v>
      </c>
      <c r="M2639" s="1423">
        <f t="shared" si="3859"/>
        <v>0</v>
      </c>
      <c r="N2639" s="1423">
        <f t="shared" si="3860"/>
        <v>0</v>
      </c>
      <c r="O2639" s="1423">
        <f t="shared" si="3861"/>
        <v>0</v>
      </c>
      <c r="P2639" s="1423">
        <f t="shared" si="3862"/>
        <v>0</v>
      </c>
      <c r="Q2639" s="1423">
        <f t="shared" si="3863"/>
        <v>0</v>
      </c>
      <c r="R2639" s="1423">
        <f t="shared" si="3864"/>
        <v>0</v>
      </c>
      <c r="S2639" s="1423">
        <f t="shared" si="3865"/>
        <v>0</v>
      </c>
      <c r="T2639" s="1423">
        <f t="shared" si="3866"/>
        <v>0</v>
      </c>
      <c r="U2639" s="1423">
        <f t="shared" si="3867"/>
        <v>0</v>
      </c>
      <c r="V2639" s="1423">
        <f t="shared" si="3868"/>
        <v>0</v>
      </c>
      <c r="W2639" s="1423">
        <f t="shared" si="3869"/>
        <v>0</v>
      </c>
      <c r="X2639" s="152"/>
      <c r="Y2639" s="152"/>
      <c r="Z2639" s="152"/>
      <c r="AA2639" s="152"/>
      <c r="AB2639" s="152"/>
    </row>
    <row r="2640" spans="1:28" hidden="1" outlineLevel="1">
      <c r="A2640" s="152"/>
      <c r="B2640" s="190" t="str">
        <f t="shared" ca="1" si="3870"/>
        <v>RL Capex 2025-26</v>
      </c>
      <c r="C2640" s="1429"/>
      <c r="D2640" s="1429"/>
      <c r="E2640" s="1429"/>
      <c r="F2640" s="1429"/>
      <c r="G2640" s="1429"/>
      <c r="H2640" s="1429"/>
      <c r="I2640" s="1429"/>
      <c r="J2640" s="1429"/>
      <c r="K2640" s="1429"/>
      <c r="L2640" s="1424"/>
      <c r="M2640" s="1428">
        <f>M2602</f>
        <v>0</v>
      </c>
      <c r="N2640" s="1423">
        <f t="shared" si="3860"/>
        <v>0</v>
      </c>
      <c r="O2640" s="1423">
        <f t="shared" si="3861"/>
        <v>0</v>
      </c>
      <c r="P2640" s="1423">
        <f t="shared" si="3862"/>
        <v>0</v>
      </c>
      <c r="Q2640" s="1423">
        <f t="shared" si="3863"/>
        <v>0</v>
      </c>
      <c r="R2640" s="1423">
        <f t="shared" si="3864"/>
        <v>0</v>
      </c>
      <c r="S2640" s="1423">
        <f t="shared" si="3865"/>
        <v>0</v>
      </c>
      <c r="T2640" s="1423">
        <f t="shared" si="3866"/>
        <v>0</v>
      </c>
      <c r="U2640" s="1423">
        <f t="shared" si="3867"/>
        <v>0</v>
      </c>
      <c r="V2640" s="1423">
        <f t="shared" si="3868"/>
        <v>0</v>
      </c>
      <c r="W2640" s="1423">
        <f t="shared" si="3869"/>
        <v>0</v>
      </c>
      <c r="X2640" s="152"/>
      <c r="Y2640" s="152"/>
      <c r="Z2640" s="152"/>
      <c r="AA2640" s="152"/>
      <c r="AB2640" s="152"/>
    </row>
    <row r="2641" spans="1:28" hidden="1" outlineLevel="1">
      <c r="A2641" s="152"/>
      <c r="B2641" s="190" t="str">
        <f t="shared" ca="1" si="3870"/>
        <v>RL Capex 2026-27</v>
      </c>
      <c r="C2641" s="1429"/>
      <c r="D2641" s="1429"/>
      <c r="E2641" s="1429"/>
      <c r="F2641" s="1429"/>
      <c r="G2641" s="1429"/>
      <c r="H2641" s="1429"/>
      <c r="I2641" s="1429"/>
      <c r="J2641" s="1429"/>
      <c r="K2641" s="1429"/>
      <c r="L2641" s="1429"/>
      <c r="M2641" s="1424"/>
      <c r="N2641" s="1428">
        <f>N2602</f>
        <v>0</v>
      </c>
      <c r="O2641" s="1423">
        <f t="shared" si="3861"/>
        <v>0</v>
      </c>
      <c r="P2641" s="1423">
        <f t="shared" si="3862"/>
        <v>0</v>
      </c>
      <c r="Q2641" s="1423">
        <f t="shared" si="3863"/>
        <v>0</v>
      </c>
      <c r="R2641" s="1423">
        <f t="shared" si="3864"/>
        <v>0</v>
      </c>
      <c r="S2641" s="1423">
        <f t="shared" si="3865"/>
        <v>0</v>
      </c>
      <c r="T2641" s="1423">
        <f t="shared" si="3866"/>
        <v>0</v>
      </c>
      <c r="U2641" s="1423">
        <f t="shared" si="3867"/>
        <v>0</v>
      </c>
      <c r="V2641" s="1423">
        <f t="shared" si="3868"/>
        <v>0</v>
      </c>
      <c r="W2641" s="1423">
        <f t="shared" si="3869"/>
        <v>0</v>
      </c>
      <c r="X2641" s="152"/>
      <c r="Y2641" s="152"/>
      <c r="Z2641" s="152"/>
      <c r="AA2641" s="152"/>
      <c r="AB2641" s="152"/>
    </row>
    <row r="2642" spans="1:28" hidden="1" outlineLevel="1">
      <c r="A2642" s="152"/>
      <c r="B2642" s="190" t="str">
        <f t="shared" ca="1" si="3870"/>
        <v>RL Capex 2027-28</v>
      </c>
      <c r="C2642" s="1429"/>
      <c r="D2642" s="1429"/>
      <c r="E2642" s="1429"/>
      <c r="F2642" s="1429"/>
      <c r="G2642" s="1429"/>
      <c r="H2642" s="1429"/>
      <c r="I2642" s="1429"/>
      <c r="J2642" s="1429"/>
      <c r="K2642" s="1429"/>
      <c r="L2642" s="1429"/>
      <c r="M2642" s="1429"/>
      <c r="N2642" s="1424"/>
      <c r="O2642" s="1428">
        <f>O2602</f>
        <v>0</v>
      </c>
      <c r="P2642" s="1423">
        <f t="shared" si="3862"/>
        <v>0</v>
      </c>
      <c r="Q2642" s="1423">
        <f t="shared" si="3863"/>
        <v>0</v>
      </c>
      <c r="R2642" s="1423">
        <f t="shared" si="3864"/>
        <v>0</v>
      </c>
      <c r="S2642" s="1423">
        <f t="shared" si="3865"/>
        <v>0</v>
      </c>
      <c r="T2642" s="1423">
        <f t="shared" si="3866"/>
        <v>0</v>
      </c>
      <c r="U2642" s="1423">
        <f t="shared" si="3867"/>
        <v>0</v>
      </c>
      <c r="V2642" s="1423">
        <f t="shared" si="3868"/>
        <v>0</v>
      </c>
      <c r="W2642" s="1423">
        <f t="shared" si="3869"/>
        <v>0</v>
      </c>
      <c r="X2642" s="152"/>
      <c r="Y2642" s="152"/>
      <c r="Z2642" s="152"/>
      <c r="AA2642" s="152"/>
      <c r="AB2642" s="152"/>
    </row>
    <row r="2643" spans="1:28" hidden="1" outlineLevel="1">
      <c r="A2643" s="152"/>
      <c r="B2643" s="190" t="str">
        <f t="shared" ca="1" si="3870"/>
        <v>RL Capex 2028-29</v>
      </c>
      <c r="C2643" s="1429"/>
      <c r="D2643" s="1429"/>
      <c r="E2643" s="1429"/>
      <c r="F2643" s="1429"/>
      <c r="G2643" s="1429"/>
      <c r="H2643" s="1429"/>
      <c r="I2643" s="1429"/>
      <c r="J2643" s="1429"/>
      <c r="K2643" s="1429"/>
      <c r="L2643" s="1429"/>
      <c r="M2643" s="1429"/>
      <c r="N2643" s="1429"/>
      <c r="O2643" s="1424"/>
      <c r="P2643" s="1428">
        <f>P2602</f>
        <v>0</v>
      </c>
      <c r="Q2643" s="1423">
        <f t="shared" si="3863"/>
        <v>0</v>
      </c>
      <c r="R2643" s="1423">
        <f t="shared" si="3864"/>
        <v>0</v>
      </c>
      <c r="S2643" s="1423">
        <f t="shared" si="3865"/>
        <v>0</v>
      </c>
      <c r="T2643" s="1423">
        <f t="shared" si="3866"/>
        <v>0</v>
      </c>
      <c r="U2643" s="1423">
        <f t="shared" si="3867"/>
        <v>0</v>
      </c>
      <c r="V2643" s="1423">
        <f t="shared" si="3868"/>
        <v>0</v>
      </c>
      <c r="W2643" s="1423">
        <f t="shared" si="3869"/>
        <v>0</v>
      </c>
      <c r="X2643" s="152"/>
      <c r="Y2643" s="152"/>
      <c r="Z2643" s="152"/>
      <c r="AA2643" s="152"/>
      <c r="AB2643" s="152"/>
    </row>
    <row r="2644" spans="1:28" hidden="1" outlineLevel="1">
      <c r="A2644" s="152"/>
      <c r="B2644" s="190" t="str">
        <f t="shared" ca="1" si="3870"/>
        <v>RL Capex 2029-30</v>
      </c>
      <c r="C2644" s="1429"/>
      <c r="D2644" s="1429"/>
      <c r="E2644" s="1429"/>
      <c r="F2644" s="1429"/>
      <c r="G2644" s="1429"/>
      <c r="H2644" s="1429"/>
      <c r="I2644" s="1429"/>
      <c r="J2644" s="1429"/>
      <c r="K2644" s="1429"/>
      <c r="L2644" s="1429"/>
      <c r="M2644" s="1429"/>
      <c r="N2644" s="1429"/>
      <c r="O2644" s="1429"/>
      <c r="P2644" s="1424"/>
      <c r="Q2644" s="1428">
        <f>Q2602</f>
        <v>0</v>
      </c>
      <c r="R2644" s="1423">
        <f t="shared" si="3864"/>
        <v>0</v>
      </c>
      <c r="S2644" s="1423">
        <f t="shared" si="3865"/>
        <v>0</v>
      </c>
      <c r="T2644" s="1423">
        <f t="shared" si="3866"/>
        <v>0</v>
      </c>
      <c r="U2644" s="1423">
        <f t="shared" si="3867"/>
        <v>0</v>
      </c>
      <c r="V2644" s="1423">
        <f t="shared" si="3868"/>
        <v>0</v>
      </c>
      <c r="W2644" s="1423">
        <f t="shared" si="3869"/>
        <v>0</v>
      </c>
      <c r="X2644" s="152"/>
      <c r="Y2644" s="152"/>
      <c r="Z2644" s="152"/>
      <c r="AA2644" s="152"/>
      <c r="AB2644" s="152"/>
    </row>
    <row r="2645" spans="1:28" hidden="1" outlineLevel="1">
      <c r="A2645" s="152"/>
      <c r="B2645" s="190" t="str">
        <f t="shared" ca="1" si="3870"/>
        <v>RL Capex 2030-31</v>
      </c>
      <c r="C2645" s="1429"/>
      <c r="D2645" s="1429"/>
      <c r="E2645" s="1429"/>
      <c r="F2645" s="1429"/>
      <c r="G2645" s="1429"/>
      <c r="H2645" s="1429"/>
      <c r="I2645" s="1429"/>
      <c r="J2645" s="1429"/>
      <c r="K2645" s="1429"/>
      <c r="L2645" s="1429"/>
      <c r="M2645" s="1429"/>
      <c r="N2645" s="1429"/>
      <c r="O2645" s="1429"/>
      <c r="P2645" s="1429"/>
      <c r="Q2645" s="1424"/>
      <c r="R2645" s="1428">
        <f>R2602</f>
        <v>0</v>
      </c>
      <c r="S2645" s="1423">
        <f t="shared" si="3865"/>
        <v>0</v>
      </c>
      <c r="T2645" s="1423">
        <f t="shared" si="3866"/>
        <v>0</v>
      </c>
      <c r="U2645" s="1423">
        <f t="shared" si="3867"/>
        <v>0</v>
      </c>
      <c r="V2645" s="1423">
        <f t="shared" si="3868"/>
        <v>0</v>
      </c>
      <c r="W2645" s="1423">
        <f t="shared" si="3869"/>
        <v>0</v>
      </c>
      <c r="X2645" s="152"/>
      <c r="Y2645" s="152"/>
      <c r="Z2645" s="152"/>
      <c r="AA2645" s="152"/>
      <c r="AB2645" s="152"/>
    </row>
    <row r="2646" spans="1:28" hidden="1" outlineLevel="1">
      <c r="A2646" s="152"/>
      <c r="B2646" s="190" t="str">
        <f t="shared" ca="1" si="3870"/>
        <v>RL Capex 2031-32</v>
      </c>
      <c r="C2646" s="1429"/>
      <c r="D2646" s="1429"/>
      <c r="E2646" s="1429"/>
      <c r="F2646" s="1429"/>
      <c r="G2646" s="1429"/>
      <c r="H2646" s="1429"/>
      <c r="I2646" s="1429"/>
      <c r="J2646" s="1429"/>
      <c r="K2646" s="1429"/>
      <c r="L2646" s="1429"/>
      <c r="M2646" s="1429"/>
      <c r="N2646" s="1429"/>
      <c r="O2646" s="1429"/>
      <c r="P2646" s="1429"/>
      <c r="Q2646" s="1429"/>
      <c r="R2646" s="1424"/>
      <c r="S2646" s="1428">
        <f>S2602</f>
        <v>0</v>
      </c>
      <c r="T2646" s="1423">
        <f t="shared" si="3866"/>
        <v>0</v>
      </c>
      <c r="U2646" s="1423">
        <f t="shared" si="3867"/>
        <v>0</v>
      </c>
      <c r="V2646" s="1423">
        <f t="shared" si="3868"/>
        <v>0</v>
      </c>
      <c r="W2646" s="1423">
        <f t="shared" si="3869"/>
        <v>0</v>
      </c>
      <c r="X2646" s="152"/>
      <c r="Y2646" s="152"/>
      <c r="Z2646" s="152"/>
      <c r="AA2646" s="152"/>
      <c r="AB2646" s="152"/>
    </row>
    <row r="2647" spans="1:28" hidden="1" outlineLevel="1">
      <c r="A2647" s="152"/>
      <c r="B2647" s="190" t="str">
        <f t="shared" ca="1" si="3870"/>
        <v>RL Capex 2032-33</v>
      </c>
      <c r="C2647" s="1429"/>
      <c r="D2647" s="1429"/>
      <c r="E2647" s="1429"/>
      <c r="F2647" s="1429"/>
      <c r="G2647" s="1429"/>
      <c r="H2647" s="1429"/>
      <c r="I2647" s="1429"/>
      <c r="J2647" s="1429"/>
      <c r="K2647" s="1429"/>
      <c r="L2647" s="1429"/>
      <c r="M2647" s="1429"/>
      <c r="N2647" s="1429"/>
      <c r="O2647" s="1429"/>
      <c r="P2647" s="1429"/>
      <c r="Q2647" s="1429"/>
      <c r="R2647" s="1429"/>
      <c r="S2647" s="1424"/>
      <c r="T2647" s="1428">
        <f>T2602</f>
        <v>0</v>
      </c>
      <c r="U2647" s="1423">
        <f t="shared" si="3867"/>
        <v>0</v>
      </c>
      <c r="V2647" s="1423">
        <f t="shared" si="3868"/>
        <v>0</v>
      </c>
      <c r="W2647" s="1423">
        <f t="shared" si="3869"/>
        <v>0</v>
      </c>
      <c r="X2647" s="152"/>
      <c r="Y2647" s="152"/>
      <c r="Z2647" s="152"/>
      <c r="AA2647" s="152"/>
      <c r="AB2647" s="152"/>
    </row>
    <row r="2648" spans="1:28" hidden="1" outlineLevel="1">
      <c r="A2648" s="152"/>
      <c r="B2648" s="190" t="str">
        <f t="shared" ca="1" si="3870"/>
        <v>RL Capex 2033-34</v>
      </c>
      <c r="C2648" s="1429"/>
      <c r="D2648" s="1429"/>
      <c r="E2648" s="1429"/>
      <c r="F2648" s="1429"/>
      <c r="G2648" s="1429"/>
      <c r="H2648" s="1429"/>
      <c r="I2648" s="1429"/>
      <c r="J2648" s="1429"/>
      <c r="K2648" s="1429"/>
      <c r="L2648" s="1429"/>
      <c r="M2648" s="1429"/>
      <c r="N2648" s="1429"/>
      <c r="O2648" s="1429"/>
      <c r="P2648" s="1429"/>
      <c r="Q2648" s="1429"/>
      <c r="R2648" s="1429"/>
      <c r="S2648" s="1429"/>
      <c r="T2648" s="1424"/>
      <c r="U2648" s="1428">
        <f>U2602</f>
        <v>0</v>
      </c>
      <c r="V2648" s="1423">
        <f t="shared" si="3868"/>
        <v>0</v>
      </c>
      <c r="W2648" s="1423">
        <f t="shared" si="3869"/>
        <v>0</v>
      </c>
      <c r="X2648" s="152"/>
      <c r="Y2648" s="152"/>
      <c r="Z2648" s="152"/>
      <c r="AA2648" s="152"/>
      <c r="AB2648" s="152"/>
    </row>
    <row r="2649" spans="1:28" hidden="1" outlineLevel="1">
      <c r="A2649" s="152"/>
      <c r="B2649" s="190" t="str">
        <f t="shared" ca="1" si="3870"/>
        <v>RL Capex 2034-35</v>
      </c>
      <c r="C2649" s="1429"/>
      <c r="D2649" s="1429"/>
      <c r="E2649" s="1429"/>
      <c r="F2649" s="1429"/>
      <c r="G2649" s="1429"/>
      <c r="H2649" s="1429"/>
      <c r="I2649" s="1429"/>
      <c r="J2649" s="1429"/>
      <c r="K2649" s="1429"/>
      <c r="L2649" s="1429"/>
      <c r="M2649" s="1429"/>
      <c r="N2649" s="1429"/>
      <c r="O2649" s="1429"/>
      <c r="P2649" s="1429"/>
      <c r="Q2649" s="1429"/>
      <c r="R2649" s="1429"/>
      <c r="S2649" s="1429"/>
      <c r="T2649" s="1429"/>
      <c r="U2649" s="1424"/>
      <c r="V2649" s="1428">
        <f>V2602</f>
        <v>0</v>
      </c>
      <c r="W2649" s="1423">
        <f>IF(V2649="n/a","n/a",MAX(0,V2649-1))</f>
        <v>0</v>
      </c>
      <c r="X2649" s="152"/>
      <c r="Y2649" s="152"/>
      <c r="Z2649" s="152"/>
      <c r="AA2649" s="152"/>
      <c r="AB2649" s="152"/>
    </row>
    <row r="2650" spans="1:28" hidden="1" outlineLevel="1">
      <c r="A2650" s="152"/>
      <c r="B2650" s="190" t="str">
        <f t="shared" ca="1" si="3870"/>
        <v>RL Capex 2035-36</v>
      </c>
      <c r="C2650" s="1429"/>
      <c r="D2650" s="1429"/>
      <c r="E2650" s="1429"/>
      <c r="F2650" s="1429"/>
      <c r="G2650" s="1429"/>
      <c r="H2650" s="1429"/>
      <c r="I2650" s="1429"/>
      <c r="J2650" s="1429"/>
      <c r="K2650" s="1429"/>
      <c r="L2650" s="1429"/>
      <c r="M2650" s="1429"/>
      <c r="N2650" s="1429"/>
      <c r="O2650" s="1429"/>
      <c r="P2650" s="1429"/>
      <c r="Q2650" s="1429"/>
      <c r="R2650" s="1429"/>
      <c r="S2650" s="1429"/>
      <c r="T2650" s="1429"/>
      <c r="U2650" s="1429"/>
      <c r="V2650" s="1424"/>
      <c r="W2650" s="1423">
        <f>W2602</f>
        <v>0</v>
      </c>
      <c r="X2650" s="152"/>
      <c r="Y2650" s="152"/>
      <c r="Z2650" s="152"/>
      <c r="AA2650" s="152"/>
      <c r="AB2650" s="152"/>
    </row>
    <row r="2651" spans="1:28" hidden="1" outlineLevel="1">
      <c r="A2651" s="152"/>
      <c r="B2651" s="200"/>
      <c r="C2651" s="1423"/>
      <c r="D2651" s="1423"/>
      <c r="E2651" s="1423"/>
      <c r="F2651" s="1423"/>
      <c r="G2651" s="1423"/>
      <c r="H2651" s="1423"/>
      <c r="I2651" s="1423"/>
      <c r="J2651" s="1423"/>
      <c r="K2651" s="1423"/>
      <c r="L2651" s="1423"/>
      <c r="M2651" s="1423"/>
      <c r="N2651" s="1423"/>
      <c r="O2651" s="1423"/>
      <c r="P2651" s="1423"/>
      <c r="Q2651" s="1423"/>
      <c r="R2651" s="1423"/>
      <c r="S2651" s="1423"/>
      <c r="T2651" s="1423"/>
      <c r="U2651" s="1423"/>
      <c r="V2651" s="1423"/>
      <c r="W2651" s="1423"/>
      <c r="X2651" s="152"/>
      <c r="Y2651" s="152"/>
      <c r="Z2651" s="152"/>
      <c r="AA2651" s="152"/>
      <c r="AB2651" s="152"/>
    </row>
    <row r="2652" spans="1:28" collapsed="1">
      <c r="A2652" s="194"/>
      <c r="B2652" s="204" t="s">
        <v>123</v>
      </c>
      <c r="C2652" s="1430">
        <f ca="1">(IF(OR($C2602&lt;&gt;"n/a",C2602&lt;&gt;"n/a"),IF(SUM(C2605:C2627)=0,0,IF((SUMPRODUCT(C2605:C2627,C2629:C2651)/SUM(C2605:C2627))&lt;0,1,(SUMPRODUCT(C2605:C2627,C2629:C2651)/SUM(C2605:C2627)))),"n/a"))</f>
        <v>0</v>
      </c>
      <c r="D2652" s="1430">
        <f ca="1">(IF(OR($C2602&lt;&gt;"n/a",D2602&lt;&gt;"n/a"),IF(SUM(D2605:D2627)=0,0,IF((SUMPRODUCT(D2605:D2627,D2629:D2651)/SUM(D2605:D2627))&lt;0,1,(SUMPRODUCT(D2605:D2627,D2629:D2651)/SUM(D2605:D2627)))),"n/a"))</f>
        <v>0</v>
      </c>
      <c r="E2652" s="1430">
        <f t="shared" ref="E2652:W2652" ca="1" si="3871">(IF(OR($C2602&lt;&gt;"n/a",E2602&lt;&gt;"n/a"),IF(SUM(E2605:E2627)=0,0,IF((SUMPRODUCT(E2605:E2627,E2629:E2651)/SUM(E2605:E2627))&lt;0,1,(SUMPRODUCT(E2605:E2627,E2629:E2651)/SUM(E2605:E2627)))),"n/a"))</f>
        <v>0</v>
      </c>
      <c r="F2652" s="1430">
        <f t="shared" ca="1" si="3871"/>
        <v>0</v>
      </c>
      <c r="G2652" s="1430">
        <f t="shared" ca="1" si="3871"/>
        <v>0</v>
      </c>
      <c r="H2652" s="1430">
        <f t="shared" ca="1" si="3871"/>
        <v>0</v>
      </c>
      <c r="I2652" s="1430">
        <f t="shared" ca="1" si="3871"/>
        <v>0</v>
      </c>
      <c r="J2652" s="1430">
        <f t="shared" ca="1" si="3871"/>
        <v>0</v>
      </c>
      <c r="K2652" s="1430">
        <f t="shared" ca="1" si="3871"/>
        <v>0</v>
      </c>
      <c r="L2652" s="1430">
        <f t="shared" ca="1" si="3871"/>
        <v>0</v>
      </c>
      <c r="M2652" s="1430">
        <f t="shared" ca="1" si="3871"/>
        <v>0</v>
      </c>
      <c r="N2652" s="1430">
        <f t="shared" ca="1" si="3871"/>
        <v>0</v>
      </c>
      <c r="O2652" s="1430">
        <f t="shared" ca="1" si="3871"/>
        <v>0</v>
      </c>
      <c r="P2652" s="1430">
        <f t="shared" ca="1" si="3871"/>
        <v>0</v>
      </c>
      <c r="Q2652" s="1430">
        <f t="shared" ca="1" si="3871"/>
        <v>0</v>
      </c>
      <c r="R2652" s="1430">
        <f t="shared" ca="1" si="3871"/>
        <v>0</v>
      </c>
      <c r="S2652" s="1430">
        <f t="shared" ca="1" si="3871"/>
        <v>0</v>
      </c>
      <c r="T2652" s="1430">
        <f t="shared" ca="1" si="3871"/>
        <v>0</v>
      </c>
      <c r="U2652" s="1430">
        <f t="shared" ca="1" si="3871"/>
        <v>0</v>
      </c>
      <c r="V2652" s="1430">
        <f t="shared" ca="1" si="3871"/>
        <v>0</v>
      </c>
      <c r="W2652" s="1430">
        <f t="shared" ca="1" si="3871"/>
        <v>0</v>
      </c>
      <c r="X2652" s="152"/>
      <c r="Y2652" s="152"/>
      <c r="Z2652" s="152"/>
      <c r="AA2652" s="152"/>
      <c r="AB2652" s="152"/>
    </row>
    <row r="2653" spans="1:28">
      <c r="A2653" s="152"/>
      <c r="B2653" s="152"/>
      <c r="C2653" s="1423"/>
      <c r="D2653" s="1423"/>
      <c r="E2653" s="1423"/>
      <c r="F2653" s="1423"/>
      <c r="G2653" s="1423"/>
      <c r="H2653" s="1423"/>
      <c r="I2653" s="1423"/>
      <c r="J2653" s="1423"/>
      <c r="K2653" s="1423"/>
      <c r="L2653" s="1423"/>
      <c r="M2653" s="1423"/>
      <c r="N2653" s="1423"/>
      <c r="O2653" s="1423"/>
      <c r="P2653" s="1423"/>
      <c r="Q2653" s="1423"/>
      <c r="R2653" s="1423"/>
      <c r="S2653" s="1423"/>
      <c r="T2653" s="1423"/>
      <c r="U2653" s="1423"/>
      <c r="V2653" s="1423"/>
      <c r="W2653" s="1423"/>
      <c r="X2653" s="152"/>
      <c r="Y2653" s="152"/>
      <c r="Z2653" s="152"/>
      <c r="AA2653" s="152"/>
      <c r="AB2653" s="152"/>
    </row>
    <row r="2654" spans="1:28">
      <c r="A2654" s="269" t="s">
        <v>116</v>
      </c>
      <c r="B2654" s="270">
        <f>VLOOKUP($A2654,'RFM input'!$E$7:$F$56,2,FALSE)</f>
        <v>0</v>
      </c>
      <c r="C2654" s="1431"/>
      <c r="D2654" s="1431"/>
      <c r="E2654" s="1432"/>
      <c r="F2654" s="1432"/>
      <c r="G2654" s="1432"/>
      <c r="H2654" s="1432"/>
      <c r="I2654" s="1432"/>
      <c r="J2654" s="1432"/>
      <c r="K2654" s="1432"/>
      <c r="L2654" s="1432"/>
      <c r="M2654" s="1432"/>
      <c r="N2654" s="1432"/>
      <c r="O2654" s="1432"/>
      <c r="P2654" s="1432"/>
      <c r="Q2654" s="1432"/>
      <c r="R2654" s="1432"/>
      <c r="S2654" s="1432"/>
      <c r="T2654" s="1432"/>
      <c r="U2654" s="1432"/>
      <c r="V2654" s="1432"/>
      <c r="W2654" s="1432"/>
      <c r="X2654" s="152"/>
      <c r="Y2654" s="152"/>
      <c r="Z2654" s="152"/>
      <c r="AA2654" s="152"/>
      <c r="AB2654" s="152"/>
    </row>
    <row r="2655" spans="1:28">
      <c r="A2655" s="215">
        <f>VALUE(REPLACE(A2654,1,12,""))</f>
        <v>50</v>
      </c>
      <c r="B2655" s="193" t="s">
        <v>126</v>
      </c>
      <c r="C2655" s="1416">
        <f ca="1">IF($D$6='TAB roll forward'!$H$4,OFFSET('TAB roll forward'!$H$7,A2655,0),"enter input")</f>
        <v>0</v>
      </c>
      <c r="D2655" s="1417">
        <f>IF(LEFT(D$6,4)&lt;LEFT('RFM input'!$G$60,4),"enter input",IF(LEFT(D$6,4)&gt;LEFT('RFM input'!$Q$60,4),0,
INDEX('RFM input'!$G$61:$Q$110,$A2655,MATCH(D$6,'RFM input'!$G$60:$Q$60,0))
   -INDEX('RFM input'!$G$115:$Q$164,$A2655,MATCH(D$6,'RFM input'!$G$60:$Q$60,0))))</f>
        <v>0</v>
      </c>
      <c r="E2655" s="1417">
        <f>IF(LEFT(E$6,4)&lt;LEFT('RFM input'!$G$60,4),"enter input",IF(LEFT(E$6,4)&gt;LEFT('RFM input'!$Q$60,4),0,
INDEX('RFM input'!$G$61:$Q$110,$A2655,MATCH(E$6,'RFM input'!$G$60:$Q$60,0))
   -INDEX('RFM input'!$G$115:$Q$164,$A2655,MATCH(E$6,'RFM input'!$G$60:$Q$60,0))))</f>
        <v>0</v>
      </c>
      <c r="F2655" s="1417">
        <f>IF(LEFT(F$6,4)&lt;LEFT('RFM input'!$G$60,4),"enter input",IF(LEFT(F$6,4)&gt;LEFT('RFM input'!$Q$60,4),0,
INDEX('RFM input'!$G$61:$Q$110,$A2655,MATCH(F$6,'RFM input'!$G$60:$Q$60,0))
   -INDEX('RFM input'!$G$115:$Q$164,$A2655,MATCH(F$6,'RFM input'!$G$60:$Q$60,0))))</f>
        <v>0</v>
      </c>
      <c r="G2655" s="1417">
        <f>IF(LEFT(G$6,4)&lt;LEFT('RFM input'!$G$60,4),"enter input",IF(LEFT(G$6,4)&gt;LEFT('RFM input'!$Q$60,4),0,
INDEX('RFM input'!$G$61:$Q$110,$A2655,MATCH(G$6,'RFM input'!$G$60:$Q$60,0))
   -INDEX('RFM input'!$G$115:$Q$164,$A2655,MATCH(G$6,'RFM input'!$G$60:$Q$60,0))))</f>
        <v>0</v>
      </c>
      <c r="H2655" s="1417">
        <f>IF(LEFT(H$6,4)&lt;LEFT('RFM input'!$G$60,4),"enter input",IF(LEFT(H$6,4)&gt;LEFT('RFM input'!$Q$60,4),0,
INDEX('RFM input'!$G$61:$Q$110,$A2655,MATCH(H$6,'RFM input'!$G$60:$Q$60,0))
   -INDEX('RFM input'!$G$115:$Q$164,$A2655,MATCH(H$6,'RFM input'!$G$60:$Q$60,0))))</f>
        <v>0</v>
      </c>
      <c r="I2655" s="1417">
        <f>IF(LEFT(I$6,4)&lt;LEFT('RFM input'!$G$60,4),"enter input",IF(LEFT(I$6,4)&gt;LEFT('RFM input'!$Q$60,4),0,
INDEX('RFM input'!$G$61:$Q$110,$A2655,MATCH(I$6,'RFM input'!$G$60:$Q$60,0))
   -INDEX('RFM input'!$G$115:$Q$164,$A2655,MATCH(I$6,'RFM input'!$G$60:$Q$60,0))))</f>
        <v>0</v>
      </c>
      <c r="J2655" s="1417">
        <f>IF(LEFT(J$6,4)&lt;LEFT('RFM input'!$G$60,4),"enter input",IF(LEFT(J$6,4)&gt;LEFT('RFM input'!$Q$60,4),0,
INDEX('RFM input'!$G$61:$Q$110,$A2655,MATCH(J$6,'RFM input'!$G$60:$Q$60,0))
   -INDEX('RFM input'!$G$115:$Q$164,$A2655,MATCH(J$6,'RFM input'!$G$60:$Q$60,0))))</f>
        <v>0</v>
      </c>
      <c r="K2655" s="1417">
        <f>IF(LEFT(K$6,4)&lt;LEFT('RFM input'!$G$60,4),"enter input",IF(LEFT(K$6,4)&gt;LEFT('RFM input'!$Q$60,4),0,
INDEX('RFM input'!$G$61:$Q$110,$A2655,MATCH(K$6,'RFM input'!$G$60:$Q$60,0))
   -INDEX('RFM input'!$G$115:$Q$164,$A2655,MATCH(K$6,'RFM input'!$G$60:$Q$60,0))))</f>
        <v>0</v>
      </c>
      <c r="L2655" s="1417">
        <f>IF(LEFT(L$6,4)&lt;LEFT('RFM input'!$G$60,4),"enter input",IF(LEFT(L$6,4)&gt;LEFT('RFM input'!$Q$60,4),0,
INDEX('RFM input'!$G$61:$Q$110,$A2655,MATCH(L$6,'RFM input'!$G$60:$Q$60,0))
   -INDEX('RFM input'!$G$115:$Q$164,$A2655,MATCH(L$6,'RFM input'!$G$60:$Q$60,0))))</f>
        <v>0</v>
      </c>
      <c r="M2655" s="1417">
        <f>IF(LEFT(M$6,4)&lt;LEFT('RFM input'!$G$60,4),"enter input",IF(LEFT(M$6,4)&gt;LEFT('RFM input'!$Q$60,4),0,
INDEX('RFM input'!$G$61:$Q$110,$A2655,MATCH(M$6,'RFM input'!$G$60:$Q$60,0))
   -INDEX('RFM input'!$G$115:$Q$164,$A2655,MATCH(M$6,'RFM input'!$G$60:$Q$60,0))))</f>
        <v>0</v>
      </c>
      <c r="N2655" s="1417">
        <f>IF(LEFT(N$6,4)&lt;LEFT('RFM input'!$G$60,4),"enter input",IF(LEFT(N$6,4)&gt;LEFT('RFM input'!$Q$60,4),0,
INDEX('RFM input'!$G$61:$Q$110,$A2655,MATCH(N$6,'RFM input'!$G$60:$Q$60,0))
   -INDEX('RFM input'!$G$115:$Q$164,$A2655,MATCH(N$6,'RFM input'!$G$60:$Q$60,0))))</f>
        <v>0</v>
      </c>
      <c r="O2655" s="1417">
        <f>IF(LEFT(O$6,4)&lt;LEFT('RFM input'!$G$60,4),"enter input",IF(LEFT(O$6,4)&gt;LEFT('RFM input'!$Q$60,4),0,
INDEX('RFM input'!$G$61:$Q$110,$A2655,MATCH(O$6,'RFM input'!$G$60:$Q$60,0))
   -INDEX('RFM input'!$G$115:$Q$164,$A2655,MATCH(O$6,'RFM input'!$G$60:$Q$60,0))))</f>
        <v>0</v>
      </c>
      <c r="P2655" s="1417">
        <f>IF(LEFT(P$6,4)&lt;LEFT('RFM input'!$G$60,4),"enter input",IF(LEFT(P$6,4)&gt;LEFT('RFM input'!$Q$60,4),0,
INDEX('RFM input'!$G$61:$Q$110,$A2655,MATCH(P$6,'RFM input'!$G$60:$Q$60,0))
   -INDEX('RFM input'!$G$115:$Q$164,$A2655,MATCH(P$6,'RFM input'!$G$60:$Q$60,0))))</f>
        <v>0</v>
      </c>
      <c r="Q2655" s="1417">
        <f>IF(LEFT(Q$6,4)&lt;LEFT('RFM input'!$G$60,4),"enter input",IF(LEFT(Q$6,4)&gt;LEFT('RFM input'!$Q$60,4),0,
INDEX('RFM input'!$G$61:$Q$110,$A2655,MATCH(Q$6,'RFM input'!$G$60:$Q$60,0))
   -INDEX('RFM input'!$G$115:$Q$164,$A2655,MATCH(Q$6,'RFM input'!$G$60:$Q$60,0))))</f>
        <v>0</v>
      </c>
      <c r="R2655" s="1417">
        <f>IF(LEFT(R$6,4)&lt;LEFT('RFM input'!$G$60,4),"enter input",IF(LEFT(R$6,4)&gt;LEFT('RFM input'!$Q$60,4),0,
INDEX('RFM input'!$G$61:$Q$110,$A2655,MATCH(R$6,'RFM input'!$G$60:$Q$60,0))
   -INDEX('RFM input'!$G$115:$Q$164,$A2655,MATCH(R$6,'RFM input'!$G$60:$Q$60,0))))</f>
        <v>0</v>
      </c>
      <c r="S2655" s="1417">
        <f>IF(LEFT(S$6,4)&lt;LEFT('RFM input'!$G$60,4),"enter input",IF(LEFT(S$6,4)&gt;LEFT('RFM input'!$Q$60,4),0,
INDEX('RFM input'!$G$61:$Q$110,$A2655,MATCH(S$6,'RFM input'!$G$60:$Q$60,0))
   -INDEX('RFM input'!$G$115:$Q$164,$A2655,MATCH(S$6,'RFM input'!$G$60:$Q$60,0))))</f>
        <v>0</v>
      </c>
      <c r="T2655" s="1417">
        <f>IF(LEFT(T$6,4)&lt;LEFT('RFM input'!$G$60,4),"enter input",IF(LEFT(T$6,4)&gt;LEFT('RFM input'!$Q$60,4),0,
INDEX('RFM input'!$G$61:$Q$110,$A2655,MATCH(T$6,'RFM input'!$G$60:$Q$60,0))
   -INDEX('RFM input'!$G$115:$Q$164,$A2655,MATCH(T$6,'RFM input'!$G$60:$Q$60,0))))</f>
        <v>0</v>
      </c>
      <c r="U2655" s="1417">
        <f>IF(LEFT(U$6,4)&lt;LEFT('RFM input'!$G$60,4),"enter input",IF(LEFT(U$6,4)&gt;LEFT('RFM input'!$Q$60,4),0,
INDEX('RFM input'!$G$61:$Q$110,$A2655,MATCH(U$6,'RFM input'!$G$60:$Q$60,0))
   -INDEX('RFM input'!$G$115:$Q$164,$A2655,MATCH(U$6,'RFM input'!$G$60:$Q$60,0))))</f>
        <v>0</v>
      </c>
      <c r="V2655" s="1417">
        <f>IF(LEFT(V$6,4)&lt;LEFT('RFM input'!$G$60,4),"enter input",IF(LEFT(V$6,4)&gt;LEFT('RFM input'!$Q$60,4),0,
INDEX('RFM input'!$G$61:$Q$110,$A2655,MATCH(V$6,'RFM input'!$G$60:$Q$60,0))
   -INDEX('RFM input'!$G$115:$Q$164,$A2655,MATCH(V$6,'RFM input'!$G$60:$Q$60,0))))</f>
        <v>0</v>
      </c>
      <c r="W2655" s="1417">
        <f>IF(LEFT(W$6,4)&lt;LEFT('RFM input'!$G$60,4),"enter input",IF(LEFT(W$6,4)&gt;LEFT('RFM input'!$Q$60,4),0,
INDEX('RFM input'!$G$61:$Q$110,$A2655,MATCH(W$6,'RFM input'!$G$60:$Q$60,0))
   -INDEX('RFM input'!$G$115:$Q$164,$A2655,MATCH(W$6,'RFM input'!$G$60:$Q$60,0))))</f>
        <v>0</v>
      </c>
      <c r="X2655" s="152"/>
      <c r="Y2655" s="152"/>
      <c r="Z2655" s="152"/>
      <c r="AA2655" s="152"/>
      <c r="AB2655" s="152"/>
    </row>
    <row r="2656" spans="1:28">
      <c r="A2656" s="152"/>
      <c r="B2656" s="152" t="s">
        <v>205</v>
      </c>
      <c r="C2656" s="1418">
        <f ca="1">IF($D$6='TAB roll forward'!$H$4,OFFSET('RFM input'!$S$6,$A2655,0),"enter input")</f>
        <v>0</v>
      </c>
      <c r="D2656" s="1417">
        <f>IF(LEFT(D$6,4)&lt;=LEFT('RFM input'!$G$60,4),"enter input",IF(LEFT(D$6,4)&gt;LEFT('RFM input'!$Q$60,4),0,
IF(MATCH(D$6,'RFM input'!$H$60:$Q$60,0),INDEX('RFM input'!$T$7:$T$56,$A2655,1,1))))</f>
        <v>0</v>
      </c>
      <c r="E2656" s="1417">
        <f>IF(LEFT(E$6,4)&lt;=LEFT('RFM input'!$G$60,4),"enter input",IF(LEFT(E$6,4)&gt;LEFT('RFM input'!$Q$60,4),0,
IF(MATCH(E$6,'RFM input'!$H$60:$Q$60,0),INDEX('RFM input'!$T$7:$T$56,$A2655,1,1))))</f>
        <v>0</v>
      </c>
      <c r="F2656" s="1417">
        <f>IF(LEFT(F$6,4)&lt;=LEFT('RFM input'!$G$60,4),"enter input",IF(LEFT(F$6,4)&gt;LEFT('RFM input'!$Q$60,4),0,
IF(MATCH(F$6,'RFM input'!$H$60:$Q$60,0),INDEX('RFM input'!$T$7:$T$56,$A2655,1,1))))</f>
        <v>0</v>
      </c>
      <c r="G2656" s="1417">
        <f>IF(LEFT(G$6,4)&lt;=LEFT('RFM input'!$G$60,4),"enter input",IF(LEFT(G$6,4)&gt;LEFT('RFM input'!$Q$60,4),0,
IF(MATCH(G$6,'RFM input'!$H$60:$Q$60,0),INDEX('RFM input'!$T$7:$T$56,$A2655,1,1))))</f>
        <v>0</v>
      </c>
      <c r="H2656" s="1417">
        <f>IF(LEFT(H$6,4)&lt;=LEFT('RFM input'!$G$60,4),"enter input",IF(LEFT(H$6,4)&gt;LEFT('RFM input'!$Q$60,4),0,
IF(MATCH(H$6,'RFM input'!$H$60:$Q$60,0),INDEX('RFM input'!$T$7:$T$56,$A2655,1,1))))</f>
        <v>0</v>
      </c>
      <c r="I2656" s="1417">
        <f>IF(LEFT(I$6,4)&lt;=LEFT('RFM input'!$G$60,4),"enter input",IF(LEFT(I$6,4)&gt;LEFT('RFM input'!$Q$60,4),0,
IF(MATCH(I$6,'RFM input'!$H$60:$Q$60,0),INDEX('RFM input'!$T$7:$T$56,$A2655,1,1))))</f>
        <v>0</v>
      </c>
      <c r="J2656" s="1417">
        <f>IF(LEFT(J$6,4)&lt;=LEFT('RFM input'!$G$60,4),"enter input",IF(LEFT(J$6,4)&gt;LEFT('RFM input'!$Q$60,4),0,
IF(MATCH(J$6,'RFM input'!$H$60:$Q$60,0),INDEX('RFM input'!$T$7:$T$56,$A2655,1,1))))</f>
        <v>0</v>
      </c>
      <c r="K2656" s="1417">
        <f>IF(LEFT(K$6,4)&lt;=LEFT('RFM input'!$G$60,4),"enter input",IF(LEFT(K$6,4)&gt;LEFT('RFM input'!$Q$60,4),0,
IF(MATCH(K$6,'RFM input'!$H$60:$Q$60,0),INDEX('RFM input'!$T$7:$T$56,$A2655,1,1))))</f>
        <v>0</v>
      </c>
      <c r="L2656" s="1417">
        <f>IF(LEFT(L$6,4)&lt;=LEFT('RFM input'!$G$60,4),"enter input",IF(LEFT(L$6,4)&gt;LEFT('RFM input'!$Q$60,4),0,
IF(MATCH(L$6,'RFM input'!$H$60:$Q$60,0),INDEX('RFM input'!$T$7:$T$56,$A2655,1,1))))</f>
        <v>0</v>
      </c>
      <c r="M2656" s="1417">
        <f>IF(LEFT(M$6,4)&lt;=LEFT('RFM input'!$G$60,4),"enter input",IF(LEFT(M$6,4)&gt;LEFT('RFM input'!$Q$60,4),0,
IF(MATCH(M$6,'RFM input'!$H$60:$Q$60,0),INDEX('RFM input'!$T$7:$T$56,$A2655,1,1))))</f>
        <v>0</v>
      </c>
      <c r="N2656" s="1417">
        <f>IF(LEFT(N$6,4)&lt;=LEFT('RFM input'!$G$60,4),"enter input",IF(LEFT(N$6,4)&gt;LEFT('RFM input'!$Q$60,4),0,
IF(MATCH(N$6,'RFM input'!$H$60:$Q$60,0),INDEX('RFM input'!$T$7:$T$56,$A2655,1,1))))</f>
        <v>0</v>
      </c>
      <c r="O2656" s="1417">
        <f>IF(LEFT(O$6,4)&lt;=LEFT('RFM input'!$G$60,4),"enter input",IF(LEFT(O$6,4)&gt;LEFT('RFM input'!$Q$60,4),0,
IF(MATCH(O$6,'RFM input'!$H$60:$Q$60,0),INDEX('RFM input'!$T$7:$T$56,$A2655,1,1))))</f>
        <v>0</v>
      </c>
      <c r="P2656" s="1417">
        <f>IF(LEFT(P$6,4)&lt;=LEFT('RFM input'!$G$60,4),"enter input",IF(LEFT(P$6,4)&gt;LEFT('RFM input'!$Q$60,4),0,
IF(MATCH(P$6,'RFM input'!$H$60:$Q$60,0),INDEX('RFM input'!$T$7:$T$56,$A2655,1,1))))</f>
        <v>0</v>
      </c>
      <c r="Q2656" s="1417">
        <f>IF(LEFT(Q$6,4)&lt;=LEFT('RFM input'!$G$60,4),"enter input",IF(LEFT(Q$6,4)&gt;LEFT('RFM input'!$Q$60,4),0,
IF(MATCH(Q$6,'RFM input'!$H$60:$Q$60,0),INDEX('RFM input'!$T$7:$T$56,$A2655,1,1))))</f>
        <v>0</v>
      </c>
      <c r="R2656" s="1417">
        <f>IF(LEFT(R$6,4)&lt;=LEFT('RFM input'!$G$60,4),"enter input",IF(LEFT(R$6,4)&gt;LEFT('RFM input'!$Q$60,4),0,
IF(MATCH(R$6,'RFM input'!$H$60:$Q$60,0),INDEX('RFM input'!$T$7:$T$56,$A2655,1,1))))</f>
        <v>0</v>
      </c>
      <c r="S2656" s="1417">
        <f>IF(LEFT(S$6,4)&lt;=LEFT('RFM input'!$G$60,4),"enter input",IF(LEFT(S$6,4)&gt;LEFT('RFM input'!$Q$60,4),0,
IF(MATCH(S$6,'RFM input'!$H$60:$Q$60,0),INDEX('RFM input'!$T$7:$T$56,$A2655,1,1))))</f>
        <v>0</v>
      </c>
      <c r="T2656" s="1417">
        <f>IF(LEFT(T$6,4)&lt;=LEFT('RFM input'!$G$60,4),"enter input",IF(LEFT(T$6,4)&gt;LEFT('RFM input'!$Q$60,4),0,
IF(MATCH(T$6,'RFM input'!$H$60:$Q$60,0),INDEX('RFM input'!$T$7:$T$56,$A2655,1,1))))</f>
        <v>0</v>
      </c>
      <c r="U2656" s="1417">
        <f>IF(LEFT(U$6,4)&lt;=LEFT('RFM input'!$G$60,4),"enter input",IF(LEFT(U$6,4)&gt;LEFT('RFM input'!$Q$60,4),0,
IF(MATCH(U$6,'RFM input'!$H$60:$Q$60,0),INDEX('RFM input'!$T$7:$T$56,$A2655,1,1))))</f>
        <v>0</v>
      </c>
      <c r="V2656" s="1417">
        <f>IF(LEFT(V$6,4)&lt;=LEFT('RFM input'!$G$60,4),"enter input",IF(LEFT(V$6,4)&gt;LEFT('RFM input'!$Q$60,4),0,
IF(MATCH(V$6,'RFM input'!$H$60:$Q$60,0),INDEX('RFM input'!$T$7:$T$56,$A2655,1,1))))</f>
        <v>0</v>
      </c>
      <c r="W2656" s="1417">
        <f>IF(LEFT(W$6,4)&lt;=LEFT('RFM input'!$G$60,4),"enter input",IF(LEFT(W$6,4)&gt;LEFT('RFM input'!$Q$60,4),0,
IF(MATCH(W$6,'RFM input'!$H$60:$Q$60,0),INDEX('RFM input'!$T$7:$T$56,$A2655,1,1))))</f>
        <v>0</v>
      </c>
      <c r="X2656" s="152"/>
      <c r="Y2656" s="152"/>
      <c r="Z2656" s="152"/>
      <c r="AA2656" s="152"/>
      <c r="AB2656" s="152"/>
    </row>
    <row r="2657" spans="1:28">
      <c r="A2657" s="152"/>
      <c r="B2657" s="193" t="s">
        <v>192</v>
      </c>
      <c r="C2657" s="1419"/>
      <c r="D2657" s="1420">
        <f ca="1">IF(LEFT(D$6,4)&lt;=LEFT('RFM input'!$G$60,4),"enter input",IF(LEFT(D$6,4)&gt;LEFT('RFM input'!$Q$60,4),0,
IF(D$6=(OFFSET('RFM input'!$G$60,0,'RFM input'!$V$7)),OFFSET('RFM input'!$H$411,$A2655,0),0)))</f>
        <v>0</v>
      </c>
      <c r="E2657" s="1417">
        <f ca="1">IF(LEFT(E$6,4)&lt;=LEFT('RFM input'!$G$60,4),"enter input",IF(LEFT(E$6,4)&gt;LEFT('RFM input'!$Q$60,4),0,
IF(E$6=(OFFSET('RFM input'!$G$60,0,'RFM input'!$V$7)),OFFSET('RFM input'!$H$411,$A2655,0),0)))</f>
        <v>0</v>
      </c>
      <c r="F2657" s="1417">
        <f ca="1">IF(LEFT(F$6,4)&lt;=LEFT('RFM input'!$G$60,4),"enter input",IF(LEFT(F$6,4)&gt;LEFT('RFM input'!$Q$60,4),0,
IF(F$6=(OFFSET('RFM input'!$G$60,0,'RFM input'!$V$7)),OFFSET('RFM input'!$H$411,$A2655,0),0)))</f>
        <v>0</v>
      </c>
      <c r="G2657" s="1417">
        <f ca="1">IF(LEFT(G$6,4)&lt;=LEFT('RFM input'!$G$60,4),"enter input",IF(LEFT(G$6,4)&gt;LEFT('RFM input'!$Q$60,4),0,
IF(G$6=(OFFSET('RFM input'!$G$60,0,'RFM input'!$V$7)),OFFSET('RFM input'!$H$411,$A2655,0),0)))</f>
        <v>0</v>
      </c>
      <c r="H2657" s="1417">
        <f ca="1">IF(LEFT(H$6,4)&lt;=LEFT('RFM input'!$G$60,4),"enter input",IF(LEFT(H$6,4)&gt;LEFT('RFM input'!$Q$60,4),0,
IF(H$6=(OFFSET('RFM input'!$G$60,0,'RFM input'!$V$7)),OFFSET('RFM input'!$H$411,$A2655,0),0)))</f>
        <v>0</v>
      </c>
      <c r="I2657" s="1417">
        <f ca="1">IF(LEFT(I$6,4)&lt;=LEFT('RFM input'!$G$60,4),"enter input",IF(LEFT(I$6,4)&gt;LEFT('RFM input'!$Q$60,4),0,
IF(I$6=(OFFSET('RFM input'!$G$60,0,'RFM input'!$V$7)),OFFSET('RFM input'!$H$411,$A2655,0),0)))</f>
        <v>0</v>
      </c>
      <c r="J2657" s="1417">
        <f ca="1">IF(LEFT(J$6,4)&lt;=LEFT('RFM input'!$G$60,4),"enter input",IF(LEFT(J$6,4)&gt;LEFT('RFM input'!$Q$60,4),0,
IF(J$6=(OFFSET('RFM input'!$G$60,0,'RFM input'!$V$7)),OFFSET('RFM input'!$H$411,$A2655,0),0)))</f>
        <v>0</v>
      </c>
      <c r="K2657" s="1417">
        <f ca="1">IF(LEFT(K$6,4)&lt;=LEFT('RFM input'!$G$60,4),"enter input",IF(LEFT(K$6,4)&gt;LEFT('RFM input'!$Q$60,4),0,
IF(K$6=(OFFSET('RFM input'!$G$60,0,'RFM input'!$V$7)),OFFSET('RFM input'!$H$411,$A2655,0),0)))</f>
        <v>0</v>
      </c>
      <c r="L2657" s="1417">
        <f ca="1">IF(LEFT(L$6,4)&lt;=LEFT('RFM input'!$G$60,4),"enter input",IF(LEFT(L$6,4)&gt;LEFT('RFM input'!$Q$60,4),0,
IF(L$6=(OFFSET('RFM input'!$G$60,0,'RFM input'!$V$7)),OFFSET('RFM input'!$H$411,$A2655,0),0)))</f>
        <v>0</v>
      </c>
      <c r="M2657" s="1417">
        <f ca="1">IF(LEFT(M$6,4)&lt;=LEFT('RFM input'!$G$60,4),"enter input",IF(LEFT(M$6,4)&gt;LEFT('RFM input'!$Q$60,4),0,
IF(M$6=(OFFSET('RFM input'!$G$60,0,'RFM input'!$V$7)),OFFSET('RFM input'!$H$411,$A2655,0),0)))</f>
        <v>0</v>
      </c>
      <c r="N2657" s="1417">
        <f ca="1">IF(LEFT(N$6,4)&lt;=LEFT('RFM input'!$G$60,4),"enter input",IF(LEFT(N$6,4)&gt;LEFT('RFM input'!$Q$60,4),0,
IF(N$6=(OFFSET('RFM input'!$G$60,0,'RFM input'!$V$7)),OFFSET('RFM input'!$H$411,$A2655,0),0)))</f>
        <v>0</v>
      </c>
      <c r="O2657" s="1417">
        <f ca="1">IF(LEFT(O$6,4)&lt;=LEFT('RFM input'!$G$60,4),"enter input",IF(LEFT(O$6,4)&gt;LEFT('RFM input'!$Q$60,4),0,
IF(O$6=(OFFSET('RFM input'!$G$60,0,'RFM input'!$V$7)),OFFSET('RFM input'!$H$411,$A2655,0),0)))</f>
        <v>0</v>
      </c>
      <c r="P2657" s="1417">
        <f ca="1">IF(LEFT(P$6,4)&lt;=LEFT('RFM input'!$G$60,4),"enter input",IF(LEFT(P$6,4)&gt;LEFT('RFM input'!$Q$60,4),0,
IF(P$6=(OFFSET('RFM input'!$G$60,0,'RFM input'!$V$7)),OFFSET('RFM input'!$H$411,$A2655,0),0)))</f>
        <v>0</v>
      </c>
      <c r="Q2657" s="1417">
        <f ca="1">IF(LEFT(Q$6,4)&lt;=LEFT('RFM input'!$G$60,4),"enter input",IF(LEFT(Q$6,4)&gt;LEFT('RFM input'!$Q$60,4),0,
IF(Q$6=(OFFSET('RFM input'!$G$60,0,'RFM input'!$V$7)),OFFSET('RFM input'!$H$411,$A2655,0),0)))</f>
        <v>0</v>
      </c>
      <c r="R2657" s="1417">
        <f ca="1">IF(LEFT(R$6,4)&lt;=LEFT('RFM input'!$G$60,4),"enter input",IF(LEFT(R$6,4)&gt;LEFT('RFM input'!$Q$60,4),0,
IF(R$6=(OFFSET('RFM input'!$G$60,0,'RFM input'!$V$7)),OFFSET('RFM input'!$H$411,$A2655,0),0)))</f>
        <v>0</v>
      </c>
      <c r="S2657" s="1417">
        <f ca="1">IF(LEFT(S$6,4)&lt;=LEFT('RFM input'!$G$60,4),"enter input",IF(LEFT(S$6,4)&gt;LEFT('RFM input'!$Q$60,4),0,
IF(S$6=(OFFSET('RFM input'!$G$60,0,'RFM input'!$V$7)),OFFSET('RFM input'!$H$411,$A2655,0),0)))</f>
        <v>0</v>
      </c>
      <c r="T2657" s="1417">
        <f ca="1">IF(LEFT(T$6,4)&lt;=LEFT('RFM input'!$G$60,4),"enter input",IF(LEFT(T$6,4)&gt;LEFT('RFM input'!$Q$60,4),0,
IF(T$6=(OFFSET('RFM input'!$G$60,0,'RFM input'!$V$7)),OFFSET('RFM input'!$H$411,$A2655,0),0)))</f>
        <v>0</v>
      </c>
      <c r="U2657" s="1417">
        <f ca="1">IF(LEFT(U$6,4)&lt;=LEFT('RFM input'!$G$60,4),"enter input",IF(LEFT(U$6,4)&gt;LEFT('RFM input'!$Q$60,4),0,
IF(U$6=(OFFSET('RFM input'!$G$60,0,'RFM input'!$V$7)),OFFSET('RFM input'!$H$411,$A2655,0),0)))</f>
        <v>0</v>
      </c>
      <c r="V2657" s="1417">
        <f ca="1">IF(LEFT(V$6,4)&lt;=LEFT('RFM input'!$G$60,4),"enter input",IF(LEFT(V$6,4)&gt;LEFT('RFM input'!$Q$60,4),0,
IF(V$6=(OFFSET('RFM input'!$G$60,0,'RFM input'!$V$7)),OFFSET('RFM input'!$H$411,$A2655,0),0)))</f>
        <v>0</v>
      </c>
      <c r="W2657" s="1417">
        <f ca="1">IF(LEFT(W$6,4)&lt;=LEFT('RFM input'!$G$60,4),"enter input",IF(LEFT(W$6,4)&gt;LEFT('RFM input'!$Q$60,4),0,
IF(W$6=(OFFSET('RFM input'!$G$60,0,'RFM input'!$V$7)),OFFSET('RFM input'!$H$411,$A2655,0),0)))</f>
        <v>0</v>
      </c>
      <c r="X2657" s="152"/>
      <c r="Y2657" s="152"/>
      <c r="Z2657" s="152"/>
      <c r="AA2657" s="152"/>
      <c r="AB2657" s="152"/>
    </row>
    <row r="2658" spans="1:28">
      <c r="A2658" s="152"/>
      <c r="B2658" s="193" t="s">
        <v>200</v>
      </c>
      <c r="C2658" s="1419"/>
      <c r="D2658" s="1418">
        <f ca="1">IF(LEFT(D$6,4)&lt;=LEFT('RFM input'!$G$60,4),"enter input",IF(LEFT(D$6,4)&gt;LEFT('RFM input'!$Q$60,4),0,
IF(D$6=(OFFSET('RFM input'!$G$60,0,'RFM input'!$V$7)),OFFSET('RFM input'!$J$411,$A2655,0),0)))</f>
        <v>0</v>
      </c>
      <c r="E2658" s="1422">
        <f ca="1">IF(LEFT(E$6,4)&lt;=LEFT('RFM input'!$G$60,4),"enter input",IF(LEFT(E$6,4)&gt;LEFT('RFM input'!$Q$60,4),0,
IF(E$6=(OFFSET('RFM input'!$G$60,0,'RFM input'!$V$7)),OFFSET('RFM input'!$J$411,$A2655,0),0)))</f>
        <v>0</v>
      </c>
      <c r="F2658" s="1422">
        <f ca="1">IF(LEFT(F$6,4)&lt;=LEFT('RFM input'!$G$60,4),"enter input",IF(LEFT(F$6,4)&gt;LEFT('RFM input'!$Q$60,4),0,
IF(F$6=(OFFSET('RFM input'!$G$60,0,'RFM input'!$V$7)),OFFSET('RFM input'!$J$411,$A2655,0),0)))</f>
        <v>0</v>
      </c>
      <c r="G2658" s="1422">
        <f ca="1">IF(LEFT(G$6,4)&lt;=LEFT('RFM input'!$G$60,4),"enter input",IF(LEFT(G$6,4)&gt;LEFT('RFM input'!$Q$60,4),0,
IF(G$6=(OFFSET('RFM input'!$G$60,0,'RFM input'!$V$7)),OFFSET('RFM input'!$J$411,$A2655,0),0)))</f>
        <v>0</v>
      </c>
      <c r="H2658" s="1422">
        <f ca="1">IF(LEFT(H$6,4)&lt;=LEFT('RFM input'!$G$60,4),"enter input",IF(LEFT(H$6,4)&gt;LEFT('RFM input'!$Q$60,4),0,
IF(H$6=(OFFSET('RFM input'!$G$60,0,'RFM input'!$V$7)),OFFSET('RFM input'!$J$411,$A2655,0),0)))</f>
        <v>0</v>
      </c>
      <c r="I2658" s="1422">
        <f ca="1">IF(LEFT(I$6,4)&lt;=LEFT('RFM input'!$G$60,4),"enter input",IF(LEFT(I$6,4)&gt;LEFT('RFM input'!$Q$60,4),0,
IF(I$6=(OFFSET('RFM input'!$G$60,0,'RFM input'!$V$7)),OFFSET('RFM input'!$J$411,$A2655,0),0)))</f>
        <v>0</v>
      </c>
      <c r="J2658" s="1422">
        <f ca="1">IF(LEFT(J$6,4)&lt;=LEFT('RFM input'!$G$60,4),"enter input",IF(LEFT(J$6,4)&gt;LEFT('RFM input'!$Q$60,4),0,
IF(J$6=(OFFSET('RFM input'!$G$60,0,'RFM input'!$V$7)),OFFSET('RFM input'!$J$411,$A2655,0),0)))</f>
        <v>0</v>
      </c>
      <c r="K2658" s="1422">
        <f ca="1">IF(LEFT(K$6,4)&lt;=LEFT('RFM input'!$G$60,4),"enter input",IF(LEFT(K$6,4)&gt;LEFT('RFM input'!$Q$60,4),0,
IF(K$6=(OFFSET('RFM input'!$G$60,0,'RFM input'!$V$7)),OFFSET('RFM input'!$J$411,$A2655,0),0)))</f>
        <v>0</v>
      </c>
      <c r="L2658" s="1422">
        <f ca="1">IF(LEFT(L$6,4)&lt;=LEFT('RFM input'!$G$60,4),"enter input",IF(LEFT(L$6,4)&gt;LEFT('RFM input'!$Q$60,4),0,
IF(L$6=(OFFSET('RFM input'!$G$60,0,'RFM input'!$V$7)),OFFSET('RFM input'!$J$411,$A2655,0),0)))</f>
        <v>0</v>
      </c>
      <c r="M2658" s="1422">
        <f ca="1">IF(LEFT(M$6,4)&lt;=LEFT('RFM input'!$G$60,4),"enter input",IF(LEFT(M$6,4)&gt;LEFT('RFM input'!$Q$60,4),0,
IF(M$6=(OFFSET('RFM input'!$G$60,0,'RFM input'!$V$7)),OFFSET('RFM input'!$J$411,$A2655,0),0)))</f>
        <v>0</v>
      </c>
      <c r="N2658" s="1422">
        <f ca="1">IF(LEFT(N$6,4)&lt;=LEFT('RFM input'!$G$60,4),"enter input",IF(LEFT(N$6,4)&gt;LEFT('RFM input'!$Q$60,4),0,
IF(N$6=(OFFSET('RFM input'!$G$60,0,'RFM input'!$V$7)),OFFSET('RFM input'!$J$411,$A2655,0),0)))</f>
        <v>0</v>
      </c>
      <c r="O2658" s="1422">
        <f ca="1">IF(LEFT(O$6,4)&lt;=LEFT('RFM input'!$G$60,4),"enter input",IF(LEFT(O$6,4)&gt;LEFT('RFM input'!$Q$60,4),0,
IF(O$6=(OFFSET('RFM input'!$G$60,0,'RFM input'!$V$7)),OFFSET('RFM input'!$J$411,$A2655,0),0)))</f>
        <v>0</v>
      </c>
      <c r="P2658" s="1422">
        <f ca="1">IF(LEFT(P$6,4)&lt;=LEFT('RFM input'!$G$60,4),"enter input",IF(LEFT(P$6,4)&gt;LEFT('RFM input'!$Q$60,4),0,
IF(P$6=(OFFSET('RFM input'!$G$60,0,'RFM input'!$V$7)),OFFSET('RFM input'!$J$411,$A2655,0),0)))</f>
        <v>0</v>
      </c>
      <c r="Q2658" s="1422">
        <f ca="1">IF(LEFT(Q$6,4)&lt;=LEFT('RFM input'!$G$60,4),"enter input",IF(LEFT(Q$6,4)&gt;LEFT('RFM input'!$Q$60,4),0,
IF(Q$6=(OFFSET('RFM input'!$G$60,0,'RFM input'!$V$7)),OFFSET('RFM input'!$J$411,$A2655,0),0)))</f>
        <v>0</v>
      </c>
      <c r="R2658" s="1422">
        <f ca="1">IF(LEFT(R$6,4)&lt;=LEFT('RFM input'!$G$60,4),"enter input",IF(LEFT(R$6,4)&gt;LEFT('RFM input'!$Q$60,4),0,
IF(R$6=(OFFSET('RFM input'!$G$60,0,'RFM input'!$V$7)),OFFSET('RFM input'!$J$411,$A2655,0),0)))</f>
        <v>0</v>
      </c>
      <c r="S2658" s="1422">
        <f ca="1">IF(LEFT(S$6,4)&lt;=LEFT('RFM input'!$G$60,4),"enter input",IF(LEFT(S$6,4)&gt;LEFT('RFM input'!$Q$60,4),0,
IF(S$6=(OFFSET('RFM input'!$G$60,0,'RFM input'!$V$7)),OFFSET('RFM input'!$J$411,$A2655,0),0)))</f>
        <v>0</v>
      </c>
      <c r="T2658" s="1422">
        <f ca="1">IF(LEFT(T$6,4)&lt;=LEFT('RFM input'!$G$60,4),"enter input",IF(LEFT(T$6,4)&gt;LEFT('RFM input'!$Q$60,4),0,
IF(T$6=(OFFSET('RFM input'!$G$60,0,'RFM input'!$V$7)),OFFSET('RFM input'!$J$411,$A2655,0),0)))</f>
        <v>0</v>
      </c>
      <c r="U2658" s="1422">
        <f ca="1">IF(LEFT(U$6,4)&lt;=LEFT('RFM input'!$G$60,4),"enter input",IF(LEFT(U$6,4)&gt;LEFT('RFM input'!$Q$60,4),0,
IF(U$6=(OFFSET('RFM input'!$G$60,0,'RFM input'!$V$7)),OFFSET('RFM input'!$J$411,$A2655,0),0)))</f>
        <v>0</v>
      </c>
      <c r="V2658" s="1422">
        <f ca="1">IF(LEFT(V$6,4)&lt;=LEFT('RFM input'!$G$60,4),"enter input",IF(LEFT(V$6,4)&gt;LEFT('RFM input'!$Q$60,4),0,
IF(V$6=(OFFSET('RFM input'!$G$60,0,'RFM input'!$V$7)),OFFSET('RFM input'!$J$411,$A2655,0),0)))</f>
        <v>0</v>
      </c>
      <c r="W2658" s="1422">
        <f ca="1">IF(LEFT(W$6,4)&lt;=LEFT('RFM input'!$G$60,4),"enter input",IF(LEFT(W$6,4)&gt;LEFT('RFM input'!$Q$60,4),0,
IF(W$6=(OFFSET('RFM input'!$G$60,0,'RFM input'!$V$7)),OFFSET('RFM input'!$J$411,$A2655,0),0)))</f>
        <v>0</v>
      </c>
      <c r="X2658" s="152"/>
      <c r="Y2658" s="152"/>
      <c r="Z2658" s="152"/>
      <c r="AA2658" s="152"/>
      <c r="AB2658" s="152"/>
    </row>
    <row r="2659" spans="1:28" hidden="1" outlineLevel="1">
      <c r="A2659" s="235">
        <v>-1</v>
      </c>
      <c r="B2659" s="190" t="s">
        <v>195</v>
      </c>
      <c r="C2659" s="1423"/>
      <c r="D2659" s="1423">
        <f t="shared" ref="D2659" ca="1" si="3872">IF(AND(D2657=0,C2659=0),0,
IF(AND(D2657&lt;&gt;0,C2659=0),D2657,
IF(AND(D2658&lt;&gt;0,C2659&lt;&gt;0),(C2659-(C2659/C2683))+D2657,
IF(C2683&lt;1,0,(C2659-(C2659/C2683))))))</f>
        <v>0</v>
      </c>
      <c r="E2659" s="1423">
        <f t="shared" ref="E2659" ca="1" si="3873">IF(AND(E2657=0,D2659=0),0,
IF(AND(E2657&lt;&gt;0,D2659=0),E2657,
IF(AND(E2658&lt;&gt;0,D2659&lt;&gt;0),(D2659-(D2659/D2683))+E2657,
IF(D2683&lt;1,0,(D2659-(D2659/D2683))))))</f>
        <v>0</v>
      </c>
      <c r="F2659" s="1423">
        <f t="shared" ref="F2659" ca="1" si="3874">IF(AND(F2657=0,E2659=0),0,
IF(AND(F2657&lt;&gt;0,E2659=0),F2657,
IF(AND(F2658&lt;&gt;0,E2659&lt;&gt;0),(E2659-(E2659/E2683))+F2657,
IF(E2683&lt;1,0,(E2659-(E2659/E2683))))))</f>
        <v>0</v>
      </c>
      <c r="G2659" s="1423">
        <f t="shared" ref="G2659" ca="1" si="3875">IF(AND(G2657=0,F2659=0),0,
IF(AND(G2657&lt;&gt;0,F2659=0),G2657,
IF(AND(G2658&lt;&gt;0,F2659&lt;&gt;0),(F2659-(F2659/F2683))+G2657,
IF(F2683&lt;1,0,(F2659-(F2659/F2683))))))</f>
        <v>0</v>
      </c>
      <c r="H2659" s="1423">
        <f ca="1">IF(AND(H2657=0,G2659=0),0,
IF(AND(H2657&lt;&gt;0,G2659=0),H2657,
IF(AND(H2658&lt;&gt;0,G2659&lt;&gt;0),(G2659-(G2659/G2683))+H2657,
IF(G2683&lt;1,0,(G2659-(G2659/G2683))))))</f>
        <v>0</v>
      </c>
      <c r="I2659" s="1423">
        <f t="shared" ref="I2659" ca="1" si="3876">IF(AND(I2657=0,H2659=0),0,
IF(AND(I2657&lt;&gt;0,H2659=0),I2657,
IF(AND(I2658&lt;&gt;0,H2659&lt;&gt;0),(H2659-(H2659/H2683))+I2657,
IF(H2683&lt;1,0,(H2659-(H2659/H2683))))))</f>
        <v>0</v>
      </c>
      <c r="J2659" s="1423">
        <f t="shared" ref="J2659" ca="1" si="3877">IF(AND(J2657=0,I2659=0),0,
IF(AND(J2657&lt;&gt;0,I2659=0),J2657,
IF(AND(J2658&lt;&gt;0,I2659&lt;&gt;0),(I2659-(I2659/I2683))+J2657,
IF(I2683&lt;1,0,(I2659-(I2659/I2683))))))</f>
        <v>0</v>
      </c>
      <c r="K2659" s="1423">
        <f t="shared" ref="K2659" ca="1" si="3878">IF(AND(K2657=0,J2659=0),0,
IF(AND(K2657&lt;&gt;0,J2659=0),K2657,
IF(AND(K2658&lt;&gt;0,J2659&lt;&gt;0),(J2659-(J2659/J2683))+K2657,
IF(J2683&lt;1,0,(J2659-(J2659/J2683))))))</f>
        <v>0</v>
      </c>
      <c r="L2659" s="1423">
        <f t="shared" ref="L2659" ca="1" si="3879">IF(AND(L2657=0,K2659=0),0,
IF(AND(L2657&lt;&gt;0,K2659=0),L2657,
IF(AND(L2658&lt;&gt;0,K2659&lt;&gt;0),(K2659-(K2659/K2683))+L2657,
IF(K2683&lt;1,0,(K2659-(K2659/K2683))))))</f>
        <v>0</v>
      </c>
      <c r="M2659" s="1423">
        <f t="shared" ref="M2659" ca="1" si="3880">IF(AND(M2657=0,L2659=0),0,
IF(AND(M2657&lt;&gt;0,L2659=0),M2657,
IF(AND(M2658&lt;&gt;0,L2659&lt;&gt;0),(L2659-(L2659/L2683))+M2657,
IF(L2683&lt;1,0,(L2659-(L2659/L2683))))))</f>
        <v>0</v>
      </c>
      <c r="N2659" s="1423">
        <f t="shared" ref="N2659" ca="1" si="3881">IF(AND(N2657=0,M2659=0),0,
IF(AND(N2657&lt;&gt;0,M2659=0),N2657,
IF(AND(N2658&lt;&gt;0,M2659&lt;&gt;0),(M2659-(M2659/M2683))+N2657,
IF(M2683&lt;1,0,(M2659-(M2659/M2683))))))</f>
        <v>0</v>
      </c>
      <c r="O2659" s="1423">
        <f t="shared" ref="O2659" ca="1" si="3882">IF(AND(O2657=0,N2659=0),0,
IF(AND(O2657&lt;&gt;0,N2659=0),O2657,
IF(AND(O2658&lt;&gt;0,N2659&lt;&gt;0),(N2659-(N2659/N2683))+O2657,
IF(N2683&lt;1,0,(N2659-(N2659/N2683))))))</f>
        <v>0</v>
      </c>
      <c r="P2659" s="1423">
        <f t="shared" ref="P2659" ca="1" si="3883">IF(AND(P2657=0,O2659=0),0,
IF(AND(P2657&lt;&gt;0,O2659=0),P2657,
IF(AND(P2658&lt;&gt;0,O2659&lt;&gt;0),(O2659-(O2659/O2683))+P2657,
IF(O2683&lt;1,0,(O2659-(O2659/O2683))))))</f>
        <v>0</v>
      </c>
      <c r="Q2659" s="1423">
        <f t="shared" ref="Q2659" ca="1" si="3884">IF(AND(Q2657=0,P2659=0),0,
IF(AND(Q2657&lt;&gt;0,P2659=0),Q2657,
IF(AND(Q2658&lt;&gt;0,P2659&lt;&gt;0),(P2659-(P2659/P2683))+Q2657,
IF(P2683&lt;1,0,(P2659-(P2659/P2683))))))</f>
        <v>0</v>
      </c>
      <c r="R2659" s="1423">
        <f t="shared" ref="R2659" ca="1" si="3885">IF(AND(R2657=0,Q2659=0),0,
IF(AND(R2657&lt;&gt;0,Q2659=0),R2657,
IF(AND(R2658&lt;&gt;0,Q2659&lt;&gt;0),(Q2659-(Q2659/Q2683))+R2657,
IF(Q2683&lt;1,0,(Q2659-(Q2659/Q2683))))))</f>
        <v>0</v>
      </c>
      <c r="S2659" s="1423">
        <f t="shared" ref="S2659" ca="1" si="3886">IF(AND(S2657=0,R2659=0),0,
IF(AND(S2657&lt;&gt;0,R2659=0),S2657,
IF(AND(S2658&lt;&gt;0,R2659&lt;&gt;0),(R2659-(R2659/R2683))+S2657,
IF(R2683&lt;1,0,(R2659-(R2659/R2683))))))</f>
        <v>0</v>
      </c>
      <c r="T2659" s="1423">
        <f t="shared" ref="T2659" ca="1" si="3887">IF(AND(T2657=0,S2659=0),0,
IF(AND(T2657&lt;&gt;0,S2659=0),T2657,
IF(AND(T2658&lt;&gt;0,S2659&lt;&gt;0),(S2659-(S2659/S2683))+T2657,
IF(S2683&lt;1,0,(S2659-(S2659/S2683))))))</f>
        <v>0</v>
      </c>
      <c r="U2659" s="1423">
        <f t="shared" ref="U2659" ca="1" si="3888">IF(AND(U2657=0,T2659=0),0,
IF(AND(U2657&lt;&gt;0,T2659=0),U2657,
IF(AND(U2658&lt;&gt;0,T2659&lt;&gt;0),(T2659-(T2659/T2683))+U2657,
IF(T2683&lt;1,0,(T2659-(T2659/T2683))))))</f>
        <v>0</v>
      </c>
      <c r="V2659" s="1423">
        <f t="shared" ref="V2659" ca="1" si="3889">IF(AND(V2657=0,U2659=0),0,
IF(AND(V2657&lt;&gt;0,U2659=0),V2657,
IF(AND(V2658&lt;&gt;0,U2659&lt;&gt;0),(U2659-(U2659/U2683))+V2657,
IF(U2683&lt;1,0,(U2659-(U2659/U2683))))))</f>
        <v>0</v>
      </c>
      <c r="W2659" s="1423">
        <f t="shared" ref="W2659" ca="1" si="3890">IF(AND(W2657=0,V2659=0),0,
IF(AND(W2657&lt;&gt;0,V2659=0),W2657,
IF(AND(W2658&lt;&gt;0,V2659&lt;&gt;0),(V2659-(V2659/V2683))+W2657,
IF(V2683&lt;1,0,(V2659-(V2659/V2683))))))</f>
        <v>0</v>
      </c>
      <c r="X2659" s="152"/>
      <c r="Y2659" s="152"/>
      <c r="Z2659" s="152"/>
      <c r="AA2659" s="152"/>
      <c r="AB2659" s="152"/>
    </row>
    <row r="2660" spans="1:28" hidden="1" outlineLevel="1">
      <c r="A2660" s="199">
        <f>A2659+1</f>
        <v>0</v>
      </c>
      <c r="B2660" s="190" t="s">
        <v>527</v>
      </c>
      <c r="C2660" s="1423">
        <f ca="1">C2655</f>
        <v>0</v>
      </c>
      <c r="D2660" s="1423">
        <f ca="1">IF(C2684="n/a",C2660,IFERROR(IF((OFFSET($C2660,0,$A2660))&lt;0,
MIN(0,C2660-(OFFSET($C2660,0,$A2660)/(OFFSET($C2655,-$A2659,$A2660)))),
MAX(0,C2660-(OFFSET($C2660,0,$A2660)/(OFFSET($C2655,-$A2659,$A2660))))),0))</f>
        <v>0</v>
      </c>
      <c r="E2660" s="1423">
        <f t="shared" ref="E2660" ca="1" si="3891">IF(D2684="n/a",D2660,IFERROR(IF((OFFSET($C2660,0,$A2660))&lt;0,
MIN(0,D2660-(OFFSET($C2660,0,$A2660)/(OFFSET($C2655,-$A2659,$A2660)))),
MAX(0,D2660-(OFFSET($C2660,0,$A2660)/(OFFSET($C2655,-$A2659,$A2660))))),0))</f>
        <v>0</v>
      </c>
      <c r="F2660" s="1423">
        <f t="shared" ref="F2660:F2661" ca="1" si="3892">IF(E2684="n/a",E2660,IFERROR(IF((OFFSET($C2660,0,$A2660))&lt;0,
MIN(0,E2660-(OFFSET($C2660,0,$A2660)/(OFFSET($C2655,-$A2659,$A2660)))),
MAX(0,E2660-(OFFSET($C2660,0,$A2660)/(OFFSET($C2655,-$A2659,$A2660))))),0))</f>
        <v>0</v>
      </c>
      <c r="G2660" s="1423">
        <f t="shared" ref="G2660:G2662" ca="1" si="3893">IF(F2684="n/a",F2660,IFERROR(IF((OFFSET($C2660,0,$A2660))&lt;0,
MIN(0,F2660-(OFFSET($C2660,0,$A2660)/(OFFSET($C2655,-$A2659,$A2660)))),
MAX(0,F2660-(OFFSET($C2660,0,$A2660)/(OFFSET($C2655,-$A2659,$A2660))))),0))</f>
        <v>0</v>
      </c>
      <c r="H2660" s="1423">
        <f t="shared" ref="H2660:H2663" ca="1" si="3894">IF(G2684="n/a",G2660,IFERROR(IF((OFFSET($C2660,0,$A2660))&lt;0,
MIN(0,G2660-(OFFSET($C2660,0,$A2660)/(OFFSET($C2655,-$A2659,$A2660)))),
MAX(0,G2660-(OFFSET($C2660,0,$A2660)/(OFFSET($C2655,-$A2659,$A2660))))),0))</f>
        <v>0</v>
      </c>
      <c r="I2660" s="1423">
        <f t="shared" ref="I2660:I2664" ca="1" si="3895">IF(H2684="n/a",H2660,IFERROR(IF((OFFSET($C2660,0,$A2660))&lt;0,
MIN(0,H2660-(OFFSET($C2660,0,$A2660)/(OFFSET($C2655,-$A2659,$A2660)))),
MAX(0,H2660-(OFFSET($C2660,0,$A2660)/(OFFSET($C2655,-$A2659,$A2660))))),0))</f>
        <v>0</v>
      </c>
      <c r="J2660" s="1423">
        <f t="shared" ref="J2660:J2665" ca="1" si="3896">IF(I2684="n/a",I2660,IFERROR(IF((OFFSET($C2660,0,$A2660))&lt;0,
MIN(0,I2660-(OFFSET($C2660,0,$A2660)/(OFFSET($C2655,-$A2659,$A2660)))),
MAX(0,I2660-(OFFSET($C2660,0,$A2660)/(OFFSET($C2655,-$A2659,$A2660))))),0))</f>
        <v>0</v>
      </c>
      <c r="K2660" s="1423">
        <f t="shared" ref="K2660:K2666" ca="1" si="3897">IF(J2684="n/a",J2660,IFERROR(IF((OFFSET($C2660,0,$A2660))&lt;0,
MIN(0,J2660-(OFFSET($C2660,0,$A2660)/(OFFSET($C2655,-$A2659,$A2660)))),
MAX(0,J2660-(OFFSET($C2660,0,$A2660)/(OFFSET($C2655,-$A2659,$A2660))))),0))</f>
        <v>0</v>
      </c>
      <c r="L2660" s="1423">
        <f t="shared" ref="L2660:L2667" ca="1" si="3898">IF(K2684="n/a",K2660,IFERROR(IF((OFFSET($C2660,0,$A2660))&lt;0,
MIN(0,K2660-(OFFSET($C2660,0,$A2660)/(OFFSET($C2655,-$A2659,$A2660)))),
MAX(0,K2660-(OFFSET($C2660,0,$A2660)/(OFFSET($C2655,-$A2659,$A2660))))),0))</f>
        <v>0</v>
      </c>
      <c r="M2660" s="1423">
        <f t="shared" ref="M2660:M2668" ca="1" si="3899">IF(L2684="n/a",L2660,IFERROR(IF((OFFSET($C2660,0,$A2660))&lt;0,
MIN(0,L2660-(OFFSET($C2660,0,$A2660)/(OFFSET($C2655,-$A2659,$A2660)))),
MAX(0,L2660-(OFFSET($C2660,0,$A2660)/(OFFSET($C2655,-$A2659,$A2660))))),0))</f>
        <v>0</v>
      </c>
      <c r="N2660" s="1423">
        <f t="shared" ref="N2660:N2669" ca="1" si="3900">IF(M2684="n/a",M2660,IFERROR(IF((OFFSET($C2660,0,$A2660))&lt;0,
MIN(0,M2660-(OFFSET($C2660,0,$A2660)/(OFFSET($C2655,-$A2659,$A2660)))),
MAX(0,M2660-(OFFSET($C2660,0,$A2660)/(OFFSET($C2655,-$A2659,$A2660))))),0))</f>
        <v>0</v>
      </c>
      <c r="O2660" s="1423">
        <f t="shared" ref="O2660:O2670" ca="1" si="3901">IF(N2684="n/a",N2660,IFERROR(IF((OFFSET($C2660,0,$A2660))&lt;0,
MIN(0,N2660-(OFFSET($C2660,0,$A2660)/(OFFSET($C2655,-$A2659,$A2660)))),
MAX(0,N2660-(OFFSET($C2660,0,$A2660)/(OFFSET($C2655,-$A2659,$A2660))))),0))</f>
        <v>0</v>
      </c>
      <c r="P2660" s="1423">
        <f t="shared" ref="P2660:P2671" ca="1" si="3902">IF(O2684="n/a",O2660,IFERROR(IF((OFFSET($C2660,0,$A2660))&lt;0,
MIN(0,O2660-(OFFSET($C2660,0,$A2660)/(OFFSET($C2655,-$A2659,$A2660)))),
MAX(0,O2660-(OFFSET($C2660,0,$A2660)/(OFFSET($C2655,-$A2659,$A2660))))),0))</f>
        <v>0</v>
      </c>
      <c r="Q2660" s="1423">
        <f t="shared" ref="Q2660:Q2672" ca="1" si="3903">IF(P2684="n/a",P2660,IFERROR(IF((OFFSET($C2660,0,$A2660))&lt;0,
MIN(0,P2660-(OFFSET($C2660,0,$A2660)/(OFFSET($C2655,-$A2659,$A2660)))),
MAX(0,P2660-(OFFSET($C2660,0,$A2660)/(OFFSET($C2655,-$A2659,$A2660))))),0))</f>
        <v>0</v>
      </c>
      <c r="R2660" s="1423">
        <f t="shared" ref="R2660:R2673" ca="1" si="3904">IF(Q2684="n/a",Q2660,IFERROR(IF((OFFSET($C2660,0,$A2660))&lt;0,
MIN(0,Q2660-(OFFSET($C2660,0,$A2660)/(OFFSET($C2655,-$A2659,$A2660)))),
MAX(0,Q2660-(OFFSET($C2660,0,$A2660)/(OFFSET($C2655,-$A2659,$A2660))))),0))</f>
        <v>0</v>
      </c>
      <c r="S2660" s="1423">
        <f t="shared" ref="S2660:S2674" ca="1" si="3905">IF(R2684="n/a",R2660,IFERROR(IF((OFFSET($C2660,0,$A2660))&lt;0,
MIN(0,R2660-(OFFSET($C2660,0,$A2660)/(OFFSET($C2655,-$A2659,$A2660)))),
MAX(0,R2660-(OFFSET($C2660,0,$A2660)/(OFFSET($C2655,-$A2659,$A2660))))),0))</f>
        <v>0</v>
      </c>
      <c r="T2660" s="1423">
        <f t="shared" ref="T2660:T2675" ca="1" si="3906">IF(S2684="n/a",S2660,IFERROR(IF((OFFSET($C2660,0,$A2660))&lt;0,
MIN(0,S2660-(OFFSET($C2660,0,$A2660)/(OFFSET($C2655,-$A2659,$A2660)))),
MAX(0,S2660-(OFFSET($C2660,0,$A2660)/(OFFSET($C2655,-$A2659,$A2660))))),0))</f>
        <v>0</v>
      </c>
      <c r="U2660" s="1423">
        <f t="shared" ref="U2660:U2676" ca="1" si="3907">IF(T2684="n/a",T2660,IFERROR(IF((OFFSET($C2660,0,$A2660))&lt;0,
MIN(0,T2660-(OFFSET($C2660,0,$A2660)/(OFFSET($C2655,-$A2659,$A2660)))),
MAX(0,T2660-(OFFSET($C2660,0,$A2660)/(OFFSET($C2655,-$A2659,$A2660))))),0))</f>
        <v>0</v>
      </c>
      <c r="V2660" s="1423">
        <f t="shared" ref="V2660:V2677" ca="1" si="3908">IF(U2684="n/a",U2660,IFERROR(IF((OFFSET($C2660,0,$A2660))&lt;0,
MIN(0,U2660-(OFFSET($C2660,0,$A2660)/(OFFSET($C2655,-$A2659,$A2660)))),
MAX(0,U2660-(OFFSET($C2660,0,$A2660)/(OFFSET($C2655,-$A2659,$A2660))))),0))</f>
        <v>0</v>
      </c>
      <c r="W2660" s="1423">
        <f t="shared" ref="W2660:W2678" ca="1" si="3909">IF(V2684="n/a",V2660,IFERROR(IF((OFFSET($C2660,0,$A2660))&lt;0,
MIN(0,V2660-(OFFSET($C2660,0,$A2660)/(OFFSET($C2655,-$A2659,$A2660)))),
MAX(0,V2660-(OFFSET($C2660,0,$A2660)/(OFFSET($C2655,-$A2659,$A2660))))),0))</f>
        <v>0</v>
      </c>
      <c r="X2660" s="152"/>
      <c r="Y2660" s="152"/>
      <c r="Z2660" s="152"/>
      <c r="AA2660" s="152"/>
      <c r="AB2660" s="152"/>
    </row>
    <row r="2661" spans="1:28" hidden="1" outlineLevel="1">
      <c r="A2661" s="199">
        <f t="shared" ref="A2661:A2680" si="3910">A2660+1</f>
        <v>1</v>
      </c>
      <c r="B2661" s="190" t="str">
        <f t="shared" ref="B2661:B2680" ca="1" si="3911">"Depreciated Net Capex "&amp;OFFSET($C$6,0,A2661)</f>
        <v>Depreciated Net Capex 2016-17</v>
      </c>
      <c r="C2661" s="1424"/>
      <c r="D2661" s="1425">
        <f>D2655</f>
        <v>0</v>
      </c>
      <c r="E2661" s="1423">
        <f ca="1">IF(D2685="n/a",D2661,IFERROR(IF((OFFSET($C2661,0,$A2661))&lt;0,
MIN(0,D2661-(OFFSET($C2661,0,$A2661)/(OFFSET($C2656,-$A2660,$A2661)))),
MAX(0,D2661-(OFFSET($C2661,0,$A2661)/(OFFSET($C2656,-$A2660,$A2661))))),0))</f>
        <v>0</v>
      </c>
      <c r="F2661" s="1423">
        <f t="shared" ca="1" si="3892"/>
        <v>0</v>
      </c>
      <c r="G2661" s="1423">
        <f t="shared" ca="1" si="3893"/>
        <v>0</v>
      </c>
      <c r="H2661" s="1423">
        <f t="shared" ca="1" si="3894"/>
        <v>0</v>
      </c>
      <c r="I2661" s="1423">
        <f t="shared" ca="1" si="3895"/>
        <v>0</v>
      </c>
      <c r="J2661" s="1423">
        <f t="shared" ca="1" si="3896"/>
        <v>0</v>
      </c>
      <c r="K2661" s="1423">
        <f t="shared" ca="1" si="3897"/>
        <v>0</v>
      </c>
      <c r="L2661" s="1423">
        <f t="shared" ca="1" si="3898"/>
        <v>0</v>
      </c>
      <c r="M2661" s="1423">
        <f t="shared" ca="1" si="3899"/>
        <v>0</v>
      </c>
      <c r="N2661" s="1423">
        <f t="shared" ca="1" si="3900"/>
        <v>0</v>
      </c>
      <c r="O2661" s="1423">
        <f t="shared" ca="1" si="3901"/>
        <v>0</v>
      </c>
      <c r="P2661" s="1423">
        <f t="shared" ca="1" si="3902"/>
        <v>0</v>
      </c>
      <c r="Q2661" s="1423">
        <f t="shared" ca="1" si="3903"/>
        <v>0</v>
      </c>
      <c r="R2661" s="1423">
        <f t="shared" ca="1" si="3904"/>
        <v>0</v>
      </c>
      <c r="S2661" s="1423">
        <f t="shared" ca="1" si="3905"/>
        <v>0</v>
      </c>
      <c r="T2661" s="1423">
        <f t="shared" ca="1" si="3906"/>
        <v>0</v>
      </c>
      <c r="U2661" s="1423">
        <f t="shared" ca="1" si="3907"/>
        <v>0</v>
      </c>
      <c r="V2661" s="1423">
        <f t="shared" ca="1" si="3908"/>
        <v>0</v>
      </c>
      <c r="W2661" s="1423">
        <f t="shared" ca="1" si="3909"/>
        <v>0</v>
      </c>
      <c r="X2661" s="152"/>
      <c r="Y2661" s="152"/>
      <c r="Z2661" s="152"/>
      <c r="AA2661" s="152"/>
      <c r="AB2661" s="152"/>
    </row>
    <row r="2662" spans="1:28" hidden="1" outlineLevel="1">
      <c r="A2662" s="199">
        <f t="shared" si="3910"/>
        <v>2</v>
      </c>
      <c r="B2662" s="190" t="str">
        <f t="shared" ca="1" si="3911"/>
        <v>Depreciated Net Capex 2017-18</v>
      </c>
      <c r="C2662" s="1426"/>
      <c r="D2662" s="1427"/>
      <c r="E2662" s="1425">
        <f>E2655</f>
        <v>0</v>
      </c>
      <c r="F2662" s="1423">
        <f ca="1">IF(E2686="n/a",E2662,IFERROR(IF((OFFSET($C2662,0,$A2662))&lt;0,
MIN(0,E2662-(OFFSET($C2662,0,$A2662)/(OFFSET($C2657,-$A2661,$A2662)))),
MAX(0,E2662-(OFFSET($C2662,0,$A2662)/(OFFSET($C2657,-$A2661,$A2662))))),0))</f>
        <v>0</v>
      </c>
      <c r="G2662" s="1423">
        <f t="shared" ca="1" si="3893"/>
        <v>0</v>
      </c>
      <c r="H2662" s="1423">
        <f t="shared" ca="1" si="3894"/>
        <v>0</v>
      </c>
      <c r="I2662" s="1423">
        <f t="shared" ca="1" si="3895"/>
        <v>0</v>
      </c>
      <c r="J2662" s="1423">
        <f t="shared" ca="1" si="3896"/>
        <v>0</v>
      </c>
      <c r="K2662" s="1423">
        <f t="shared" ca="1" si="3897"/>
        <v>0</v>
      </c>
      <c r="L2662" s="1423">
        <f t="shared" ca="1" si="3898"/>
        <v>0</v>
      </c>
      <c r="M2662" s="1423">
        <f t="shared" ca="1" si="3899"/>
        <v>0</v>
      </c>
      <c r="N2662" s="1423">
        <f t="shared" ca="1" si="3900"/>
        <v>0</v>
      </c>
      <c r="O2662" s="1423">
        <f t="shared" ca="1" si="3901"/>
        <v>0</v>
      </c>
      <c r="P2662" s="1423">
        <f t="shared" ca="1" si="3902"/>
        <v>0</v>
      </c>
      <c r="Q2662" s="1423">
        <f t="shared" ca="1" si="3903"/>
        <v>0</v>
      </c>
      <c r="R2662" s="1423">
        <f t="shared" ca="1" si="3904"/>
        <v>0</v>
      </c>
      <c r="S2662" s="1423">
        <f t="shared" ca="1" si="3905"/>
        <v>0</v>
      </c>
      <c r="T2662" s="1423">
        <f t="shared" ca="1" si="3906"/>
        <v>0</v>
      </c>
      <c r="U2662" s="1423">
        <f t="shared" ca="1" si="3907"/>
        <v>0</v>
      </c>
      <c r="V2662" s="1423">
        <f t="shared" ca="1" si="3908"/>
        <v>0</v>
      </c>
      <c r="W2662" s="1423">
        <f t="shared" ca="1" si="3909"/>
        <v>0</v>
      </c>
      <c r="X2662" s="202"/>
      <c r="Y2662" s="152"/>
      <c r="Z2662" s="152"/>
      <c r="AA2662" s="152"/>
      <c r="AB2662" s="152"/>
    </row>
    <row r="2663" spans="1:28" hidden="1" outlineLevel="1">
      <c r="A2663" s="199">
        <f t="shared" si="3910"/>
        <v>3</v>
      </c>
      <c r="B2663" s="190" t="str">
        <f t="shared" ca="1" si="3911"/>
        <v>Depreciated Net Capex 2018-19</v>
      </c>
      <c r="C2663" s="1426"/>
      <c r="D2663" s="1426"/>
      <c r="E2663" s="1427"/>
      <c r="F2663" s="1428">
        <f>F2655</f>
        <v>0</v>
      </c>
      <c r="G2663" s="1423">
        <f ca="1">IF(F2687="n/a",F2663,IFERROR(IF((OFFSET($C2663,0,$A2663))&lt;0,
MIN(0,F2663-(OFFSET($C2663,0,$A2663)/(OFFSET($C2658,-$A2662,$A2663)))),
MAX(0,F2663-(OFFSET($C2663,0,$A2663)/(OFFSET($C2658,-$A2662,$A2663))))),0))</f>
        <v>0</v>
      </c>
      <c r="H2663" s="1423">
        <f t="shared" ca="1" si="3894"/>
        <v>0</v>
      </c>
      <c r="I2663" s="1423">
        <f t="shared" ca="1" si="3895"/>
        <v>0</v>
      </c>
      <c r="J2663" s="1423">
        <f t="shared" ca="1" si="3896"/>
        <v>0</v>
      </c>
      <c r="K2663" s="1423">
        <f t="shared" ca="1" si="3897"/>
        <v>0</v>
      </c>
      <c r="L2663" s="1423">
        <f t="shared" ca="1" si="3898"/>
        <v>0</v>
      </c>
      <c r="M2663" s="1423">
        <f t="shared" ca="1" si="3899"/>
        <v>0</v>
      </c>
      <c r="N2663" s="1423">
        <f t="shared" ca="1" si="3900"/>
        <v>0</v>
      </c>
      <c r="O2663" s="1423">
        <f t="shared" ca="1" si="3901"/>
        <v>0</v>
      </c>
      <c r="P2663" s="1423">
        <f t="shared" ca="1" si="3902"/>
        <v>0</v>
      </c>
      <c r="Q2663" s="1423">
        <f t="shared" ca="1" si="3903"/>
        <v>0</v>
      </c>
      <c r="R2663" s="1423">
        <f t="shared" ca="1" si="3904"/>
        <v>0</v>
      </c>
      <c r="S2663" s="1423">
        <f t="shared" ca="1" si="3905"/>
        <v>0</v>
      </c>
      <c r="T2663" s="1423">
        <f t="shared" ca="1" si="3906"/>
        <v>0</v>
      </c>
      <c r="U2663" s="1423">
        <f t="shared" ca="1" si="3907"/>
        <v>0</v>
      </c>
      <c r="V2663" s="1423">
        <f t="shared" ca="1" si="3908"/>
        <v>0</v>
      </c>
      <c r="W2663" s="1423">
        <f t="shared" ca="1" si="3909"/>
        <v>0</v>
      </c>
      <c r="X2663" s="202"/>
      <c r="Y2663" s="202"/>
      <c r="Z2663" s="152"/>
      <c r="AA2663" s="152"/>
      <c r="AB2663" s="152"/>
    </row>
    <row r="2664" spans="1:28" hidden="1" outlineLevel="1">
      <c r="A2664" s="199">
        <f t="shared" si="3910"/>
        <v>4</v>
      </c>
      <c r="B2664" s="190" t="str">
        <f t="shared" ca="1" si="3911"/>
        <v>Depreciated Net Capex 2019-20</v>
      </c>
      <c r="C2664" s="1426"/>
      <c r="D2664" s="1426"/>
      <c r="E2664" s="1426"/>
      <c r="F2664" s="1427"/>
      <c r="G2664" s="1428">
        <f>G2655</f>
        <v>0</v>
      </c>
      <c r="H2664" s="1423">
        <f ca="1">IF(G2688="n/a",G2664,IFERROR(IF((OFFSET($C2664,0,$A2664))&lt;0,
MIN(0,G2664-(OFFSET($C2664,0,$A2664)/(OFFSET($C2659,-$A2663,$A2664)))),
MAX(0,G2664-(OFFSET($C2664,0,$A2664)/(OFFSET($C2659,-$A2663,$A2664))))),0))</f>
        <v>0</v>
      </c>
      <c r="I2664" s="1423">
        <f t="shared" ca="1" si="3895"/>
        <v>0</v>
      </c>
      <c r="J2664" s="1423">
        <f t="shared" ca="1" si="3896"/>
        <v>0</v>
      </c>
      <c r="K2664" s="1423">
        <f t="shared" ca="1" si="3897"/>
        <v>0</v>
      </c>
      <c r="L2664" s="1423">
        <f t="shared" ca="1" si="3898"/>
        <v>0</v>
      </c>
      <c r="M2664" s="1423">
        <f t="shared" ca="1" si="3899"/>
        <v>0</v>
      </c>
      <c r="N2664" s="1423">
        <f t="shared" ca="1" si="3900"/>
        <v>0</v>
      </c>
      <c r="O2664" s="1423">
        <f t="shared" ca="1" si="3901"/>
        <v>0</v>
      </c>
      <c r="P2664" s="1423">
        <f t="shared" ca="1" si="3902"/>
        <v>0</v>
      </c>
      <c r="Q2664" s="1423">
        <f t="shared" ca="1" si="3903"/>
        <v>0</v>
      </c>
      <c r="R2664" s="1423">
        <f t="shared" ca="1" si="3904"/>
        <v>0</v>
      </c>
      <c r="S2664" s="1423">
        <f t="shared" ca="1" si="3905"/>
        <v>0</v>
      </c>
      <c r="T2664" s="1423">
        <f t="shared" ca="1" si="3906"/>
        <v>0</v>
      </c>
      <c r="U2664" s="1423">
        <f t="shared" ca="1" si="3907"/>
        <v>0</v>
      </c>
      <c r="V2664" s="1423">
        <f t="shared" ca="1" si="3908"/>
        <v>0</v>
      </c>
      <c r="W2664" s="1423">
        <f t="shared" ca="1" si="3909"/>
        <v>0</v>
      </c>
      <c r="X2664" s="202"/>
      <c r="Y2664" s="202"/>
      <c r="Z2664" s="202"/>
      <c r="AA2664" s="152"/>
      <c r="AB2664" s="152"/>
    </row>
    <row r="2665" spans="1:28" hidden="1" outlineLevel="1">
      <c r="A2665" s="199">
        <f t="shared" si="3910"/>
        <v>5</v>
      </c>
      <c r="B2665" s="190" t="str">
        <f t="shared" ca="1" si="3911"/>
        <v>Depreciated Net Capex 2020-21</v>
      </c>
      <c r="C2665" s="1426"/>
      <c r="D2665" s="1426"/>
      <c r="E2665" s="1426"/>
      <c r="F2665" s="1426"/>
      <c r="G2665" s="1427"/>
      <c r="H2665" s="1428">
        <f>H2655</f>
        <v>0</v>
      </c>
      <c r="I2665" s="1423">
        <f ca="1">IF(H2689="n/a",H2665,IFERROR(IF((OFFSET($C2665,0,$A2665))&lt;0,
MIN(0,H2665-(OFFSET($C2665,0,$A2665)/(OFFSET($C2660,-$A2664,$A2665)))),
MAX(0,H2665-(OFFSET($C2665,0,$A2665)/(OFFSET($C2660,-$A2664,$A2665))))),0))</f>
        <v>0</v>
      </c>
      <c r="J2665" s="1423">
        <f t="shared" ca="1" si="3896"/>
        <v>0</v>
      </c>
      <c r="K2665" s="1423">
        <f t="shared" ca="1" si="3897"/>
        <v>0</v>
      </c>
      <c r="L2665" s="1423">
        <f t="shared" ca="1" si="3898"/>
        <v>0</v>
      </c>
      <c r="M2665" s="1423">
        <f t="shared" ca="1" si="3899"/>
        <v>0</v>
      </c>
      <c r="N2665" s="1423">
        <f t="shared" ca="1" si="3900"/>
        <v>0</v>
      </c>
      <c r="O2665" s="1423">
        <f t="shared" ca="1" si="3901"/>
        <v>0</v>
      </c>
      <c r="P2665" s="1423">
        <f t="shared" ca="1" si="3902"/>
        <v>0</v>
      </c>
      <c r="Q2665" s="1423">
        <f t="shared" ca="1" si="3903"/>
        <v>0</v>
      </c>
      <c r="R2665" s="1423">
        <f t="shared" ca="1" si="3904"/>
        <v>0</v>
      </c>
      <c r="S2665" s="1423">
        <f t="shared" ca="1" si="3905"/>
        <v>0</v>
      </c>
      <c r="T2665" s="1423">
        <f t="shared" ca="1" si="3906"/>
        <v>0</v>
      </c>
      <c r="U2665" s="1423">
        <f t="shared" ca="1" si="3907"/>
        <v>0</v>
      </c>
      <c r="V2665" s="1423">
        <f t="shared" ca="1" si="3908"/>
        <v>0</v>
      </c>
      <c r="W2665" s="1423">
        <f t="shared" ca="1" si="3909"/>
        <v>0</v>
      </c>
      <c r="X2665" s="202"/>
      <c r="Y2665" s="202"/>
      <c r="Z2665" s="202"/>
      <c r="AA2665" s="152"/>
      <c r="AB2665" s="152"/>
    </row>
    <row r="2666" spans="1:28" hidden="1" outlineLevel="1">
      <c r="A2666" s="199">
        <f t="shared" si="3910"/>
        <v>6</v>
      </c>
      <c r="B2666" s="190" t="str">
        <f t="shared" ca="1" si="3911"/>
        <v>Depreciated Net Capex 2021-22</v>
      </c>
      <c r="C2666" s="1426"/>
      <c r="D2666" s="1426"/>
      <c r="E2666" s="1426"/>
      <c r="F2666" s="1426"/>
      <c r="G2666" s="1426"/>
      <c r="H2666" s="1427"/>
      <c r="I2666" s="1428">
        <f>I2655</f>
        <v>0</v>
      </c>
      <c r="J2666" s="1423">
        <f ca="1">IF(I2690="n/a",I2666,IFERROR(IF((OFFSET($C2666,0,$A2666))&lt;0,
MIN(0,I2666-(OFFSET($C2666,0,$A2666)/(OFFSET($C2661,-$A2665,$A2666)))),
MAX(0,I2666-(OFFSET($C2666,0,$A2666)/(OFFSET($C2661,-$A2665,$A2666))))),0))</f>
        <v>0</v>
      </c>
      <c r="K2666" s="1423">
        <f t="shared" ca="1" si="3897"/>
        <v>0</v>
      </c>
      <c r="L2666" s="1423">
        <f t="shared" ca="1" si="3898"/>
        <v>0</v>
      </c>
      <c r="M2666" s="1423">
        <f t="shared" ca="1" si="3899"/>
        <v>0</v>
      </c>
      <c r="N2666" s="1423">
        <f t="shared" ca="1" si="3900"/>
        <v>0</v>
      </c>
      <c r="O2666" s="1423">
        <f t="shared" ca="1" si="3901"/>
        <v>0</v>
      </c>
      <c r="P2666" s="1423">
        <f t="shared" ca="1" si="3902"/>
        <v>0</v>
      </c>
      <c r="Q2666" s="1423">
        <f t="shared" ca="1" si="3903"/>
        <v>0</v>
      </c>
      <c r="R2666" s="1423">
        <f t="shared" ca="1" si="3904"/>
        <v>0</v>
      </c>
      <c r="S2666" s="1423">
        <f t="shared" ca="1" si="3905"/>
        <v>0</v>
      </c>
      <c r="T2666" s="1423">
        <f t="shared" ca="1" si="3906"/>
        <v>0</v>
      </c>
      <c r="U2666" s="1423">
        <f t="shared" ca="1" si="3907"/>
        <v>0</v>
      </c>
      <c r="V2666" s="1423">
        <f t="shared" ca="1" si="3908"/>
        <v>0</v>
      </c>
      <c r="W2666" s="1423">
        <f t="shared" ca="1" si="3909"/>
        <v>0</v>
      </c>
      <c r="X2666" s="202"/>
      <c r="Y2666" s="202"/>
      <c r="Z2666" s="202"/>
      <c r="AA2666" s="152"/>
      <c r="AB2666" s="152"/>
    </row>
    <row r="2667" spans="1:28" hidden="1" outlineLevel="1">
      <c r="A2667" s="199">
        <f t="shared" si="3910"/>
        <v>7</v>
      </c>
      <c r="B2667" s="190" t="str">
        <f t="shared" ca="1" si="3911"/>
        <v>Depreciated Net Capex 2022-23</v>
      </c>
      <c r="C2667" s="1426"/>
      <c r="D2667" s="1426"/>
      <c r="E2667" s="1426"/>
      <c r="F2667" s="1426"/>
      <c r="G2667" s="1426"/>
      <c r="H2667" s="1426"/>
      <c r="I2667" s="1427"/>
      <c r="J2667" s="1428">
        <f>J2655</f>
        <v>0</v>
      </c>
      <c r="K2667" s="1423">
        <f ca="1">IF(J2691="n/a",J2667,IFERROR(IF((OFFSET($C2667,0,$A2667))&lt;0,
MIN(0,J2667-(OFFSET($C2667,0,$A2667)/(OFFSET($C2662,-$A2666,$A2667)))),
MAX(0,J2667-(OFFSET($C2667,0,$A2667)/(OFFSET($C2662,-$A2666,$A2667))))),0))</f>
        <v>0</v>
      </c>
      <c r="L2667" s="1423">
        <f t="shared" ca="1" si="3898"/>
        <v>0</v>
      </c>
      <c r="M2667" s="1423">
        <f t="shared" ca="1" si="3899"/>
        <v>0</v>
      </c>
      <c r="N2667" s="1423">
        <f t="shared" ca="1" si="3900"/>
        <v>0</v>
      </c>
      <c r="O2667" s="1423">
        <f t="shared" ca="1" si="3901"/>
        <v>0</v>
      </c>
      <c r="P2667" s="1423">
        <f t="shared" ca="1" si="3902"/>
        <v>0</v>
      </c>
      <c r="Q2667" s="1423">
        <f t="shared" ca="1" si="3903"/>
        <v>0</v>
      </c>
      <c r="R2667" s="1423">
        <f t="shared" ca="1" si="3904"/>
        <v>0</v>
      </c>
      <c r="S2667" s="1423">
        <f t="shared" ca="1" si="3905"/>
        <v>0</v>
      </c>
      <c r="T2667" s="1423">
        <f t="shared" ca="1" si="3906"/>
        <v>0</v>
      </c>
      <c r="U2667" s="1423">
        <f t="shared" ca="1" si="3907"/>
        <v>0</v>
      </c>
      <c r="V2667" s="1423">
        <f t="shared" ca="1" si="3908"/>
        <v>0</v>
      </c>
      <c r="W2667" s="1423">
        <f t="shared" ca="1" si="3909"/>
        <v>0</v>
      </c>
      <c r="X2667" s="202"/>
      <c r="Y2667" s="202"/>
      <c r="Z2667" s="202"/>
      <c r="AA2667" s="152"/>
      <c r="AB2667" s="152"/>
    </row>
    <row r="2668" spans="1:28" hidden="1" outlineLevel="1">
      <c r="A2668" s="199">
        <f t="shared" si="3910"/>
        <v>8</v>
      </c>
      <c r="B2668" s="190" t="str">
        <f t="shared" ca="1" si="3911"/>
        <v>Depreciated Net Capex 2023-24</v>
      </c>
      <c r="C2668" s="1426"/>
      <c r="D2668" s="1426"/>
      <c r="E2668" s="1426"/>
      <c r="F2668" s="1426"/>
      <c r="G2668" s="1426"/>
      <c r="H2668" s="1426"/>
      <c r="I2668" s="1426"/>
      <c r="J2668" s="1427"/>
      <c r="K2668" s="1428">
        <f>K2655</f>
        <v>0</v>
      </c>
      <c r="L2668" s="1423">
        <f ca="1">IF(K2692="n/a",K2668,IFERROR(IF((OFFSET($C2668,0,$A2668))&lt;0,
MIN(0,K2668-(OFFSET($C2668,0,$A2668)/(OFFSET($C2663,-$A2667,$A2668)))),
MAX(0,K2668-(OFFSET($C2668,0,$A2668)/(OFFSET($C2663,-$A2667,$A2668))))),0))</f>
        <v>0</v>
      </c>
      <c r="M2668" s="1423">
        <f t="shared" ca="1" si="3899"/>
        <v>0</v>
      </c>
      <c r="N2668" s="1423">
        <f t="shared" ca="1" si="3900"/>
        <v>0</v>
      </c>
      <c r="O2668" s="1423">
        <f t="shared" ca="1" si="3901"/>
        <v>0</v>
      </c>
      <c r="P2668" s="1423">
        <f t="shared" ca="1" si="3902"/>
        <v>0</v>
      </c>
      <c r="Q2668" s="1423">
        <f t="shared" ca="1" si="3903"/>
        <v>0</v>
      </c>
      <c r="R2668" s="1423">
        <f t="shared" ca="1" si="3904"/>
        <v>0</v>
      </c>
      <c r="S2668" s="1423">
        <f t="shared" ca="1" si="3905"/>
        <v>0</v>
      </c>
      <c r="T2668" s="1423">
        <f t="shared" ca="1" si="3906"/>
        <v>0</v>
      </c>
      <c r="U2668" s="1423">
        <f t="shared" ca="1" si="3907"/>
        <v>0</v>
      </c>
      <c r="V2668" s="1423">
        <f t="shared" ca="1" si="3908"/>
        <v>0</v>
      </c>
      <c r="W2668" s="1423">
        <f t="shared" ca="1" si="3909"/>
        <v>0</v>
      </c>
      <c r="X2668" s="202"/>
      <c r="Y2668" s="202"/>
      <c r="Z2668" s="202"/>
      <c r="AA2668" s="152"/>
      <c r="AB2668" s="152"/>
    </row>
    <row r="2669" spans="1:28" hidden="1" outlineLevel="1">
      <c r="A2669" s="199">
        <f t="shared" si="3910"/>
        <v>9</v>
      </c>
      <c r="B2669" s="190" t="str">
        <f t="shared" ca="1" si="3911"/>
        <v>Depreciated Net Capex 2024-25</v>
      </c>
      <c r="C2669" s="1426"/>
      <c r="D2669" s="1426"/>
      <c r="E2669" s="1426"/>
      <c r="F2669" s="1426"/>
      <c r="G2669" s="1426"/>
      <c r="H2669" s="1426"/>
      <c r="I2669" s="1426"/>
      <c r="J2669" s="1426"/>
      <c r="K2669" s="1427"/>
      <c r="L2669" s="1428">
        <f>L2655</f>
        <v>0</v>
      </c>
      <c r="M2669" s="1423">
        <f ca="1">IF(L2693="n/a",L2669,IFERROR(IF((OFFSET($C2669,0,$A2669))&lt;0,
MIN(0,L2669-(OFFSET($C2669,0,$A2669)/(OFFSET($C2664,-$A2668,$A2669)))),
MAX(0,L2669-(OFFSET($C2669,0,$A2669)/(OFFSET($C2664,-$A2668,$A2669))))),0))</f>
        <v>0</v>
      </c>
      <c r="N2669" s="1423">
        <f t="shared" ca="1" si="3900"/>
        <v>0</v>
      </c>
      <c r="O2669" s="1423">
        <f t="shared" ca="1" si="3901"/>
        <v>0</v>
      </c>
      <c r="P2669" s="1423">
        <f t="shared" ca="1" si="3902"/>
        <v>0</v>
      </c>
      <c r="Q2669" s="1423">
        <f t="shared" ca="1" si="3903"/>
        <v>0</v>
      </c>
      <c r="R2669" s="1423">
        <f t="shared" ca="1" si="3904"/>
        <v>0</v>
      </c>
      <c r="S2669" s="1423">
        <f t="shared" ca="1" si="3905"/>
        <v>0</v>
      </c>
      <c r="T2669" s="1423">
        <f t="shared" ca="1" si="3906"/>
        <v>0</v>
      </c>
      <c r="U2669" s="1423">
        <f t="shared" ca="1" si="3907"/>
        <v>0</v>
      </c>
      <c r="V2669" s="1423">
        <f t="shared" ca="1" si="3908"/>
        <v>0</v>
      </c>
      <c r="W2669" s="1423">
        <f t="shared" ca="1" si="3909"/>
        <v>0</v>
      </c>
      <c r="X2669" s="202"/>
      <c r="Y2669" s="202"/>
      <c r="Z2669" s="202"/>
      <c r="AA2669" s="152"/>
      <c r="AB2669" s="152"/>
    </row>
    <row r="2670" spans="1:28" hidden="1" outlineLevel="1">
      <c r="A2670" s="199">
        <f t="shared" si="3910"/>
        <v>10</v>
      </c>
      <c r="B2670" s="190" t="str">
        <f t="shared" ca="1" si="3911"/>
        <v>Depreciated Net Capex 2025-26</v>
      </c>
      <c r="C2670" s="1426"/>
      <c r="D2670" s="1426"/>
      <c r="E2670" s="1426"/>
      <c r="F2670" s="1426"/>
      <c r="G2670" s="1426"/>
      <c r="H2670" s="1426"/>
      <c r="I2670" s="1426"/>
      <c r="J2670" s="1426"/>
      <c r="K2670" s="1426"/>
      <c r="L2670" s="1427"/>
      <c r="M2670" s="1428">
        <f>M2655</f>
        <v>0</v>
      </c>
      <c r="N2670" s="1423">
        <f ca="1">IF(M2694="n/a",M2670,IFERROR(IF((OFFSET($C2670,0,$A2670))&lt;0,
MIN(0,M2670-(OFFSET($C2670,0,$A2670)/(OFFSET($C2665,-$A2669,$A2670)))),
MAX(0,M2670-(OFFSET($C2670,0,$A2670)/(OFFSET($C2665,-$A2669,$A2670))))),0))</f>
        <v>0</v>
      </c>
      <c r="O2670" s="1423">
        <f t="shared" ca="1" si="3901"/>
        <v>0</v>
      </c>
      <c r="P2670" s="1423">
        <f t="shared" ca="1" si="3902"/>
        <v>0</v>
      </c>
      <c r="Q2670" s="1423">
        <f t="shared" ca="1" si="3903"/>
        <v>0</v>
      </c>
      <c r="R2670" s="1423">
        <f t="shared" ca="1" si="3904"/>
        <v>0</v>
      </c>
      <c r="S2670" s="1423">
        <f t="shared" ca="1" si="3905"/>
        <v>0</v>
      </c>
      <c r="T2670" s="1423">
        <f t="shared" ca="1" si="3906"/>
        <v>0</v>
      </c>
      <c r="U2670" s="1423">
        <f t="shared" ca="1" si="3907"/>
        <v>0</v>
      </c>
      <c r="V2670" s="1423">
        <f t="shared" ca="1" si="3908"/>
        <v>0</v>
      </c>
      <c r="W2670" s="1423">
        <f t="shared" ca="1" si="3909"/>
        <v>0</v>
      </c>
      <c r="X2670" s="202"/>
      <c r="Y2670" s="202"/>
      <c r="Z2670" s="202"/>
      <c r="AA2670" s="152"/>
      <c r="AB2670" s="152"/>
    </row>
    <row r="2671" spans="1:28" hidden="1" outlineLevel="1">
      <c r="A2671" s="199">
        <f t="shared" si="3910"/>
        <v>11</v>
      </c>
      <c r="B2671" s="190" t="str">
        <f t="shared" ca="1" si="3911"/>
        <v>Depreciated Net Capex 2026-27</v>
      </c>
      <c r="C2671" s="1426"/>
      <c r="D2671" s="1426"/>
      <c r="E2671" s="1426"/>
      <c r="F2671" s="1426"/>
      <c r="G2671" s="1426"/>
      <c r="H2671" s="1426"/>
      <c r="I2671" s="1426"/>
      <c r="J2671" s="1426"/>
      <c r="K2671" s="1426"/>
      <c r="L2671" s="1426"/>
      <c r="M2671" s="1427"/>
      <c r="N2671" s="1428">
        <f>N2655</f>
        <v>0</v>
      </c>
      <c r="O2671" s="1423">
        <f ca="1">IF(N2695="n/a",N2671,IFERROR(IF((OFFSET($C2671,0,$A2671))&lt;0,
MIN(0,N2671-(OFFSET($C2671,0,$A2671)/(OFFSET($C2666,-$A2670,$A2671)))),
MAX(0,N2671-(OFFSET($C2671,0,$A2671)/(OFFSET($C2666,-$A2670,$A2671))))),0))</f>
        <v>0</v>
      </c>
      <c r="P2671" s="1423">
        <f t="shared" ca="1" si="3902"/>
        <v>0</v>
      </c>
      <c r="Q2671" s="1423">
        <f t="shared" ca="1" si="3903"/>
        <v>0</v>
      </c>
      <c r="R2671" s="1423">
        <f t="shared" ca="1" si="3904"/>
        <v>0</v>
      </c>
      <c r="S2671" s="1423">
        <f t="shared" ca="1" si="3905"/>
        <v>0</v>
      </c>
      <c r="T2671" s="1423">
        <f t="shared" ca="1" si="3906"/>
        <v>0</v>
      </c>
      <c r="U2671" s="1423">
        <f t="shared" ca="1" si="3907"/>
        <v>0</v>
      </c>
      <c r="V2671" s="1423">
        <f t="shared" ca="1" si="3908"/>
        <v>0</v>
      </c>
      <c r="W2671" s="1423">
        <f t="shared" ca="1" si="3909"/>
        <v>0</v>
      </c>
      <c r="X2671" s="202"/>
      <c r="Y2671" s="202"/>
      <c r="Z2671" s="202"/>
      <c r="AA2671" s="152"/>
      <c r="AB2671" s="152"/>
    </row>
    <row r="2672" spans="1:28" hidden="1" outlineLevel="1">
      <c r="A2672" s="199">
        <f t="shared" si="3910"/>
        <v>12</v>
      </c>
      <c r="B2672" s="190" t="str">
        <f t="shared" ca="1" si="3911"/>
        <v>Depreciated Net Capex 2027-28</v>
      </c>
      <c r="C2672" s="1426"/>
      <c r="D2672" s="1426"/>
      <c r="E2672" s="1426"/>
      <c r="F2672" s="1426"/>
      <c r="G2672" s="1426"/>
      <c r="H2672" s="1426"/>
      <c r="I2672" s="1426"/>
      <c r="J2672" s="1426"/>
      <c r="K2672" s="1426"/>
      <c r="L2672" s="1426"/>
      <c r="M2672" s="1426"/>
      <c r="N2672" s="1427"/>
      <c r="O2672" s="1428">
        <f>O2655</f>
        <v>0</v>
      </c>
      <c r="P2672" s="1423">
        <f ca="1">IF(O2696="n/a",O2672,IFERROR(IF((OFFSET($C2672,0,$A2672))&lt;0,
MIN(0,O2672-(OFFSET($C2672,0,$A2672)/(OFFSET($C2667,-$A2671,$A2672)))),
MAX(0,O2672-(OFFSET($C2672,0,$A2672)/(OFFSET($C2667,-$A2671,$A2672))))),0))</f>
        <v>0</v>
      </c>
      <c r="Q2672" s="1423">
        <f t="shared" ca="1" si="3903"/>
        <v>0</v>
      </c>
      <c r="R2672" s="1423">
        <f t="shared" ca="1" si="3904"/>
        <v>0</v>
      </c>
      <c r="S2672" s="1423">
        <f t="shared" ca="1" si="3905"/>
        <v>0</v>
      </c>
      <c r="T2672" s="1423">
        <f t="shared" ca="1" si="3906"/>
        <v>0</v>
      </c>
      <c r="U2672" s="1423">
        <f t="shared" ca="1" si="3907"/>
        <v>0</v>
      </c>
      <c r="V2672" s="1423">
        <f t="shared" ca="1" si="3908"/>
        <v>0</v>
      </c>
      <c r="W2672" s="1423">
        <f t="shared" ca="1" si="3909"/>
        <v>0</v>
      </c>
      <c r="X2672" s="202"/>
      <c r="Y2672" s="202"/>
      <c r="Z2672" s="202"/>
      <c r="AA2672" s="152"/>
      <c r="AB2672" s="152"/>
    </row>
    <row r="2673" spans="1:28" hidden="1" outlineLevel="1">
      <c r="A2673" s="199">
        <f t="shared" si="3910"/>
        <v>13</v>
      </c>
      <c r="B2673" s="190" t="str">
        <f t="shared" ca="1" si="3911"/>
        <v>Depreciated Net Capex 2028-29</v>
      </c>
      <c r="C2673" s="1426"/>
      <c r="D2673" s="1426"/>
      <c r="E2673" s="1426"/>
      <c r="F2673" s="1426"/>
      <c r="G2673" s="1426"/>
      <c r="H2673" s="1426"/>
      <c r="I2673" s="1426"/>
      <c r="J2673" s="1426"/>
      <c r="K2673" s="1426"/>
      <c r="L2673" s="1426"/>
      <c r="M2673" s="1426"/>
      <c r="N2673" s="1426"/>
      <c r="O2673" s="1427"/>
      <c r="P2673" s="1428">
        <f>P2655</f>
        <v>0</v>
      </c>
      <c r="Q2673" s="1423">
        <f ca="1">IF(P2697="n/a",P2673,IFERROR(IF((OFFSET($C2673,0,$A2673))&lt;0,
MIN(0,P2673-(OFFSET($C2673,0,$A2673)/(OFFSET($C2668,-$A2672,$A2673)))),
MAX(0,P2673-(OFFSET($C2673,0,$A2673)/(OFFSET($C2668,-$A2672,$A2673))))),0))</f>
        <v>0</v>
      </c>
      <c r="R2673" s="1423">
        <f t="shared" ca="1" si="3904"/>
        <v>0</v>
      </c>
      <c r="S2673" s="1423">
        <f t="shared" ca="1" si="3905"/>
        <v>0</v>
      </c>
      <c r="T2673" s="1423">
        <f t="shared" ca="1" si="3906"/>
        <v>0</v>
      </c>
      <c r="U2673" s="1423">
        <f t="shared" ca="1" si="3907"/>
        <v>0</v>
      </c>
      <c r="V2673" s="1423">
        <f t="shared" ca="1" si="3908"/>
        <v>0</v>
      </c>
      <c r="W2673" s="1423">
        <f t="shared" ca="1" si="3909"/>
        <v>0</v>
      </c>
      <c r="X2673" s="202"/>
      <c r="Y2673" s="202"/>
      <c r="Z2673" s="202"/>
      <c r="AA2673" s="152"/>
      <c r="AB2673" s="152"/>
    </row>
    <row r="2674" spans="1:28" hidden="1" outlineLevel="1">
      <c r="A2674" s="199">
        <f t="shared" si="3910"/>
        <v>14</v>
      </c>
      <c r="B2674" s="190" t="str">
        <f t="shared" ca="1" si="3911"/>
        <v>Depreciated Net Capex 2029-30</v>
      </c>
      <c r="C2674" s="1426"/>
      <c r="D2674" s="1426"/>
      <c r="E2674" s="1426"/>
      <c r="F2674" s="1426"/>
      <c r="G2674" s="1426"/>
      <c r="H2674" s="1426"/>
      <c r="I2674" s="1426"/>
      <c r="J2674" s="1426"/>
      <c r="K2674" s="1426"/>
      <c r="L2674" s="1426"/>
      <c r="M2674" s="1426"/>
      <c r="N2674" s="1426"/>
      <c r="O2674" s="1426"/>
      <c r="P2674" s="1427"/>
      <c r="Q2674" s="1428">
        <f>Q2655</f>
        <v>0</v>
      </c>
      <c r="R2674" s="1423">
        <f ca="1">IF(Q2698="n/a",Q2674,IFERROR(IF((OFFSET($C2674,0,$A2674))&lt;0,
MIN(0,Q2674-(OFFSET($C2674,0,$A2674)/(OFFSET($C2669,-$A2673,$A2674)))),
MAX(0,Q2674-(OFFSET($C2674,0,$A2674)/(OFFSET($C2669,-$A2673,$A2674))))),0))</f>
        <v>0</v>
      </c>
      <c r="S2674" s="1423">
        <f t="shared" ca="1" si="3905"/>
        <v>0</v>
      </c>
      <c r="T2674" s="1423">
        <f t="shared" ca="1" si="3906"/>
        <v>0</v>
      </c>
      <c r="U2674" s="1423">
        <f t="shared" ca="1" si="3907"/>
        <v>0</v>
      </c>
      <c r="V2674" s="1423">
        <f t="shared" ca="1" si="3908"/>
        <v>0</v>
      </c>
      <c r="W2674" s="1423">
        <f t="shared" ca="1" si="3909"/>
        <v>0</v>
      </c>
      <c r="X2674" s="202"/>
      <c r="Y2674" s="202"/>
      <c r="Z2674" s="202"/>
      <c r="AA2674" s="152"/>
      <c r="AB2674" s="152"/>
    </row>
    <row r="2675" spans="1:28" hidden="1" outlineLevel="1">
      <c r="A2675" s="199">
        <f t="shared" si="3910"/>
        <v>15</v>
      </c>
      <c r="B2675" s="190" t="str">
        <f t="shared" ca="1" si="3911"/>
        <v>Depreciated Net Capex 2030-31</v>
      </c>
      <c r="C2675" s="1426"/>
      <c r="D2675" s="1426"/>
      <c r="E2675" s="1426"/>
      <c r="F2675" s="1426"/>
      <c r="G2675" s="1426"/>
      <c r="H2675" s="1426"/>
      <c r="I2675" s="1426"/>
      <c r="J2675" s="1426"/>
      <c r="K2675" s="1426"/>
      <c r="L2675" s="1426"/>
      <c r="M2675" s="1426"/>
      <c r="N2675" s="1426"/>
      <c r="O2675" s="1426"/>
      <c r="P2675" s="1426"/>
      <c r="Q2675" s="1427"/>
      <c r="R2675" s="1428">
        <f>R2655</f>
        <v>0</v>
      </c>
      <c r="S2675" s="1423">
        <f ca="1">IF(R2699="n/a",R2675,IFERROR(IF((OFFSET($C2675,0,$A2675))&lt;0,
MIN(0,R2675-(OFFSET($C2675,0,$A2675)/(OFFSET($C2670,-$A2674,$A2675)))),
MAX(0,R2675-(OFFSET($C2675,0,$A2675)/(OFFSET($C2670,-$A2674,$A2675))))),0))</f>
        <v>0</v>
      </c>
      <c r="T2675" s="1423">
        <f t="shared" ca="1" si="3906"/>
        <v>0</v>
      </c>
      <c r="U2675" s="1423">
        <f t="shared" ca="1" si="3907"/>
        <v>0</v>
      </c>
      <c r="V2675" s="1423">
        <f t="shared" ca="1" si="3908"/>
        <v>0</v>
      </c>
      <c r="W2675" s="1423">
        <f t="shared" ca="1" si="3909"/>
        <v>0</v>
      </c>
      <c r="X2675" s="202"/>
      <c r="Y2675" s="202"/>
      <c r="Z2675" s="202"/>
      <c r="AA2675" s="152"/>
      <c r="AB2675" s="152"/>
    </row>
    <row r="2676" spans="1:28" hidden="1" outlineLevel="1">
      <c r="A2676" s="199">
        <f t="shared" si="3910"/>
        <v>16</v>
      </c>
      <c r="B2676" s="190" t="str">
        <f t="shared" ca="1" si="3911"/>
        <v>Depreciated Net Capex 2031-32</v>
      </c>
      <c r="C2676" s="1426"/>
      <c r="D2676" s="1426"/>
      <c r="E2676" s="1426"/>
      <c r="F2676" s="1426"/>
      <c r="G2676" s="1426"/>
      <c r="H2676" s="1426"/>
      <c r="I2676" s="1426"/>
      <c r="J2676" s="1426"/>
      <c r="K2676" s="1426"/>
      <c r="L2676" s="1426"/>
      <c r="M2676" s="1426"/>
      <c r="N2676" s="1426"/>
      <c r="O2676" s="1426"/>
      <c r="P2676" s="1426"/>
      <c r="Q2676" s="1426"/>
      <c r="R2676" s="1427"/>
      <c r="S2676" s="1428">
        <f>S2655</f>
        <v>0</v>
      </c>
      <c r="T2676" s="1423">
        <f ca="1">IF(S2700="n/a",S2676,IFERROR(IF((OFFSET($C2676,0,$A2676))&lt;0,
MIN(0,S2676-(OFFSET($C2676,0,$A2676)/(OFFSET($C2671,-$A2675,$A2676)))),
MAX(0,S2676-(OFFSET($C2676,0,$A2676)/(OFFSET($C2671,-$A2675,$A2676))))),0))</f>
        <v>0</v>
      </c>
      <c r="U2676" s="1423">
        <f t="shared" ca="1" si="3907"/>
        <v>0</v>
      </c>
      <c r="V2676" s="1423">
        <f t="shared" ca="1" si="3908"/>
        <v>0</v>
      </c>
      <c r="W2676" s="1423">
        <f t="shared" ca="1" si="3909"/>
        <v>0</v>
      </c>
      <c r="X2676" s="202"/>
      <c r="Y2676" s="202"/>
      <c r="Z2676" s="202"/>
      <c r="AA2676" s="152"/>
      <c r="AB2676" s="152"/>
    </row>
    <row r="2677" spans="1:28" hidden="1" outlineLevel="1">
      <c r="A2677" s="199">
        <f t="shared" si="3910"/>
        <v>17</v>
      </c>
      <c r="B2677" s="190" t="str">
        <f t="shared" ca="1" si="3911"/>
        <v>Depreciated Net Capex 2032-33</v>
      </c>
      <c r="C2677" s="1426"/>
      <c r="D2677" s="1426"/>
      <c r="E2677" s="1426"/>
      <c r="F2677" s="1426"/>
      <c r="G2677" s="1426"/>
      <c r="H2677" s="1426"/>
      <c r="I2677" s="1426"/>
      <c r="J2677" s="1426"/>
      <c r="K2677" s="1426"/>
      <c r="L2677" s="1426"/>
      <c r="M2677" s="1426"/>
      <c r="N2677" s="1426"/>
      <c r="O2677" s="1426"/>
      <c r="P2677" s="1426"/>
      <c r="Q2677" s="1426"/>
      <c r="R2677" s="1426"/>
      <c r="S2677" s="1427"/>
      <c r="T2677" s="1428">
        <f>T2655</f>
        <v>0</v>
      </c>
      <c r="U2677" s="1423">
        <f ca="1">IF(T2701="n/a",T2677,IFERROR(IF((OFFSET($C2677,0,$A2677))&lt;0,
MIN(0,T2677-(OFFSET($C2677,0,$A2677)/(OFFSET($C2672,-$A2676,$A2677)))),
MAX(0,T2677-(OFFSET($C2677,0,$A2677)/(OFFSET($C2672,-$A2676,$A2677))))),0))</f>
        <v>0</v>
      </c>
      <c r="V2677" s="1423">
        <f t="shared" ca="1" si="3908"/>
        <v>0</v>
      </c>
      <c r="W2677" s="1423">
        <f t="shared" ca="1" si="3909"/>
        <v>0</v>
      </c>
      <c r="X2677" s="202"/>
      <c r="Y2677" s="202"/>
      <c r="Z2677" s="202"/>
      <c r="AA2677" s="152"/>
      <c r="AB2677" s="152"/>
    </row>
    <row r="2678" spans="1:28" hidden="1" outlineLevel="1">
      <c r="A2678" s="199">
        <f t="shared" si="3910"/>
        <v>18</v>
      </c>
      <c r="B2678" s="190" t="str">
        <f t="shared" ca="1" si="3911"/>
        <v>Depreciated Net Capex 2033-34</v>
      </c>
      <c r="C2678" s="1426"/>
      <c r="D2678" s="1426"/>
      <c r="E2678" s="1426"/>
      <c r="F2678" s="1426"/>
      <c r="G2678" s="1426"/>
      <c r="H2678" s="1426"/>
      <c r="I2678" s="1426"/>
      <c r="J2678" s="1426"/>
      <c r="K2678" s="1426"/>
      <c r="L2678" s="1426"/>
      <c r="M2678" s="1426"/>
      <c r="N2678" s="1426"/>
      <c r="O2678" s="1426"/>
      <c r="P2678" s="1426"/>
      <c r="Q2678" s="1426"/>
      <c r="R2678" s="1426"/>
      <c r="S2678" s="1426"/>
      <c r="T2678" s="1427"/>
      <c r="U2678" s="1428">
        <f>U2655</f>
        <v>0</v>
      </c>
      <c r="V2678" s="1423">
        <f ca="1">IF(U2702="n/a",U2678,IFERROR(IF((OFFSET($C2678,0,$A2678))&lt;0,
MIN(0,U2678-(OFFSET($C2678,0,$A2678)/(OFFSET($C2673,-$A2677,$A2678)))),
MAX(0,U2678-(OFFSET($C2678,0,$A2678)/(OFFSET($C2673,-$A2677,$A2678))))),0))</f>
        <v>0</v>
      </c>
      <c r="W2678" s="1423">
        <f t="shared" ca="1" si="3909"/>
        <v>0</v>
      </c>
      <c r="X2678" s="202"/>
      <c r="Y2678" s="202"/>
      <c r="Z2678" s="202"/>
      <c r="AA2678" s="152"/>
      <c r="AB2678" s="152"/>
    </row>
    <row r="2679" spans="1:28" hidden="1" outlineLevel="1">
      <c r="A2679" s="199">
        <f t="shared" si="3910"/>
        <v>19</v>
      </c>
      <c r="B2679" s="190" t="str">
        <f t="shared" ca="1" si="3911"/>
        <v>Depreciated Net Capex 2034-35</v>
      </c>
      <c r="C2679" s="1426"/>
      <c r="D2679" s="1426"/>
      <c r="E2679" s="1426"/>
      <c r="F2679" s="1426"/>
      <c r="G2679" s="1426"/>
      <c r="H2679" s="1426"/>
      <c r="I2679" s="1426"/>
      <c r="J2679" s="1426"/>
      <c r="K2679" s="1426"/>
      <c r="L2679" s="1426"/>
      <c r="M2679" s="1426"/>
      <c r="N2679" s="1426"/>
      <c r="O2679" s="1426"/>
      <c r="P2679" s="1426"/>
      <c r="Q2679" s="1426"/>
      <c r="R2679" s="1426"/>
      <c r="S2679" s="1426"/>
      <c r="T2679" s="1426"/>
      <c r="U2679" s="1427"/>
      <c r="V2679" s="1428">
        <f>V2655</f>
        <v>0</v>
      </c>
      <c r="W2679" s="1423">
        <f ca="1">IF(V2703="n/a",V2679,IFERROR(IF((OFFSET($C2679,0,$A2679))&lt;0,
MIN(0,V2679-(OFFSET($C2679,0,$A2679)/(OFFSET($C2674,-$A2678,$A2679)))),
MAX(0,V2679-(OFFSET($C2679,0,$A2679)/(OFFSET($C2674,-$A2678,$A2679))))),0))</f>
        <v>0</v>
      </c>
      <c r="X2679" s="202"/>
      <c r="Y2679" s="202"/>
      <c r="Z2679" s="202"/>
      <c r="AA2679" s="152"/>
      <c r="AB2679" s="152"/>
    </row>
    <row r="2680" spans="1:28" hidden="1" outlineLevel="1">
      <c r="A2680" s="199">
        <f t="shared" si="3910"/>
        <v>20</v>
      </c>
      <c r="B2680" s="190" t="str">
        <f t="shared" ca="1" si="3911"/>
        <v>Depreciated Net Capex 2035-36</v>
      </c>
      <c r="C2680" s="1426"/>
      <c r="D2680" s="1426"/>
      <c r="E2680" s="1426"/>
      <c r="F2680" s="1426"/>
      <c r="G2680" s="1426"/>
      <c r="H2680" s="1426"/>
      <c r="I2680" s="1426"/>
      <c r="J2680" s="1426"/>
      <c r="K2680" s="1426"/>
      <c r="L2680" s="1426"/>
      <c r="M2680" s="1426"/>
      <c r="N2680" s="1426"/>
      <c r="O2680" s="1426"/>
      <c r="P2680" s="1426"/>
      <c r="Q2680" s="1426"/>
      <c r="R2680" s="1426"/>
      <c r="S2680" s="1426"/>
      <c r="T2680" s="1426"/>
      <c r="U2680" s="1426"/>
      <c r="V2680" s="1427"/>
      <c r="W2680" s="1423">
        <f>W2655</f>
        <v>0</v>
      </c>
      <c r="X2680" s="152"/>
      <c r="Y2680" s="152"/>
      <c r="Z2680" s="152"/>
      <c r="AA2680" s="152"/>
      <c r="AB2680" s="152"/>
    </row>
    <row r="2681" spans="1:28" hidden="1" outlineLevel="1">
      <c r="A2681" s="152"/>
      <c r="B2681" s="200"/>
      <c r="C2681" s="1423"/>
      <c r="D2681" s="1423"/>
      <c r="E2681" s="1423"/>
      <c r="F2681" s="1423"/>
      <c r="G2681" s="1423"/>
      <c r="H2681" s="1423"/>
      <c r="I2681" s="1423"/>
      <c r="J2681" s="1423"/>
      <c r="K2681" s="1423"/>
      <c r="L2681" s="1423"/>
      <c r="M2681" s="1423"/>
      <c r="N2681" s="1423"/>
      <c r="O2681" s="1423"/>
      <c r="P2681" s="1423"/>
      <c r="Q2681" s="1423"/>
      <c r="R2681" s="1423"/>
      <c r="S2681" s="1423"/>
      <c r="T2681" s="1423"/>
      <c r="U2681" s="1423"/>
      <c r="V2681" s="1423"/>
      <c r="W2681" s="1423"/>
      <c r="X2681" s="152"/>
      <c r="Y2681" s="152"/>
      <c r="Z2681" s="152"/>
      <c r="AA2681" s="152"/>
      <c r="AB2681" s="152"/>
    </row>
    <row r="2682" spans="1:28" hidden="1" outlineLevel="1">
      <c r="A2682" s="152"/>
      <c r="B2682" s="200"/>
      <c r="C2682" s="1423"/>
      <c r="D2682" s="1423"/>
      <c r="E2682" s="1423"/>
      <c r="F2682" s="1423"/>
      <c r="G2682" s="1423"/>
      <c r="H2682" s="1423"/>
      <c r="I2682" s="1423"/>
      <c r="J2682" s="1423"/>
      <c r="K2682" s="1423"/>
      <c r="L2682" s="1423"/>
      <c r="M2682" s="1423"/>
      <c r="N2682" s="1423"/>
      <c r="O2682" s="1423"/>
      <c r="P2682" s="1423"/>
      <c r="Q2682" s="1423"/>
      <c r="R2682" s="1423"/>
      <c r="S2682" s="1423"/>
      <c r="T2682" s="1423"/>
      <c r="U2682" s="1423"/>
      <c r="V2682" s="1423"/>
      <c r="W2682" s="1423"/>
      <c r="X2682" s="152"/>
      <c r="Y2682" s="152"/>
      <c r="Z2682" s="152"/>
      <c r="AA2682" s="152"/>
      <c r="AB2682" s="152"/>
    </row>
    <row r="2683" spans="1:28" hidden="1" outlineLevel="1">
      <c r="A2683" s="152"/>
      <c r="B2683" s="190" t="s">
        <v>194</v>
      </c>
      <c r="C2683" s="1423"/>
      <c r="D2683" s="1423">
        <f t="shared" ref="D2683" ca="1" si="3912">IF(AND(C2683&lt;1,D2657=0),0,
IF(D2657=0,C2683-1,
IF(C2683&lt;1,D2658,
(((C2683-1)*(C2659-(C2659/(C2683))))+(D2657*D2658))/(D2659))))</f>
        <v>0</v>
      </c>
      <c r="E2683" s="1423">
        <f t="shared" ref="E2683" ca="1" si="3913">IF(AND(D2683&lt;1,E2657=0),0,
IF(E2657=0,D2683-1,
IF(D2683&lt;1,E2658,
(((D2683-1)*(D2659-(D2659/(D2683))))+(E2657*E2658))/(E2659))))</f>
        <v>0</v>
      </c>
      <c r="F2683" s="1423">
        <f t="shared" ref="F2683" ca="1" si="3914">IF(AND(E2683&lt;1,F2657=0),0,
IF(F2657=0,E2683-1,
IF(E2683&lt;1,F2658,
(((E2683-1)*(E2659-(E2659/(E2683))))+(F2657*F2658))/(F2659))))</f>
        <v>0</v>
      </c>
      <c r="G2683" s="1423">
        <f t="shared" ref="G2683" ca="1" si="3915">IF(AND(F2683&lt;1,G2657=0),0,
IF(G2657=0,F2683-1,
IF(F2683&lt;1,G2658,
(((F2683-1)*(F2659-(F2659/(F2683))))+(G2657*G2658))/(G2659))))</f>
        <v>0</v>
      </c>
      <c r="H2683" s="1423">
        <f ca="1">IF(AND(G2683&lt;1,H2657=0),0,
IF(H2657=0,G2683-1,
IF(G2683&lt;1,H2658,
(((G2683-1)*(G2659-(G2659/(G2683))))+(H2657*H2658))/(H2659))))</f>
        <v>0</v>
      </c>
      <c r="I2683" s="1423">
        <f t="shared" ref="I2683" ca="1" si="3916">IF(AND(H2683&lt;1,I2657=0),0,
IF(I2657=0,H2683-1,
IF(H2683&lt;1,I2658,
(((H2683-1)*(H2659-(H2659/(H2683))))+(I2657*I2658))/(I2659))))</f>
        <v>0</v>
      </c>
      <c r="J2683" s="1423">
        <f t="shared" ref="J2683" ca="1" si="3917">IF(AND(I2683&lt;1,J2657=0),0,
IF(J2657=0,I2683-1,
IF(I2683&lt;1,J2658,
(((I2683-1)*(I2659-(I2659/(I2683))))+(J2657*J2658))/(J2659))))</f>
        <v>0</v>
      </c>
      <c r="K2683" s="1423">
        <f t="shared" ref="K2683" ca="1" si="3918">IF(AND(J2683&lt;1,K2657=0),0,
IF(K2657=0,J2683-1,
IF(J2683&lt;1,K2658,
(((J2683-1)*(J2659-(J2659/(J2683))))+(K2657*K2658))/(K2659))))</f>
        <v>0</v>
      </c>
      <c r="L2683" s="1423">
        <f t="shared" ref="L2683" ca="1" si="3919">IF(AND(K2683&lt;1,L2657=0),0,
IF(L2657=0,K2683-1,
IF(K2683&lt;1,L2658,
(((K2683-1)*(K2659-(K2659/(K2683))))+(L2657*L2658))/(L2659))))</f>
        <v>0</v>
      </c>
      <c r="M2683" s="1423">
        <f ca="1">IF(AND(L2683&lt;1,M2657=0),0,
IF(M2657=0,L2683-1,
IF(L2683&lt;1,M2658,
(((L2683-1)*(L2659-(L2659/(L2683))))+(M2657*M2658))/(M2659))))</f>
        <v>0</v>
      </c>
      <c r="N2683" s="1423">
        <f t="shared" ref="N2683" ca="1" si="3920">IF(AND(M2683&lt;1,N2657=0),0,
IF(N2657=0,M2683-1,
IF(M2683&lt;1,N2658,
(((M2683-1)*(M2659-(M2659/(M2683))))+(N2657*N2658))/(N2659))))</f>
        <v>0</v>
      </c>
      <c r="O2683" s="1423">
        <f t="shared" ref="O2683" ca="1" si="3921">IF(AND(N2683&lt;1,O2657=0),0,
IF(O2657=0,N2683-1,
IF(N2683&lt;1,O2658,
(((N2683-1)*(N2659-(N2659/(N2683))))+(O2657*O2658))/(O2659))))</f>
        <v>0</v>
      </c>
      <c r="P2683" s="1423">
        <f t="shared" ref="P2683" ca="1" si="3922">IF(AND(O2683&lt;1,P2657=0),0,
IF(P2657=0,O2683-1,
IF(O2683&lt;1,P2658,
(((O2683-1)*(O2659-(O2659/(O2683))))+(P2657*P2658))/(P2659))))</f>
        <v>0</v>
      </c>
      <c r="Q2683" s="1423">
        <f t="shared" ref="Q2683" ca="1" si="3923">IF(AND(P2683&lt;1,Q2657=0),0,
IF(Q2657=0,P2683-1,
IF(P2683&lt;1,Q2658,
(((P2683-1)*(P2659-(P2659/(P2683))))+(Q2657*Q2658))/(Q2659))))</f>
        <v>0</v>
      </c>
      <c r="R2683" s="1423">
        <f t="shared" ref="R2683" ca="1" si="3924">IF(AND(Q2683&lt;1,R2657=0),0,
IF(R2657=0,Q2683-1,
IF(Q2683&lt;1,R2658,
(((Q2683-1)*(Q2659-(Q2659/(Q2683))))+(R2657*R2658))/(R2659))))</f>
        <v>0</v>
      </c>
      <c r="S2683" s="1423">
        <f t="shared" ref="S2683" ca="1" si="3925">IF(AND(R2683&lt;1,S2657=0),0,
IF(S2657=0,R2683-1,
IF(R2683&lt;1,S2658,
(((R2683-1)*(R2659-(R2659/(R2683))))+(S2657*S2658))/(S2659))))</f>
        <v>0</v>
      </c>
      <c r="T2683" s="1423">
        <f t="shared" ref="T2683" ca="1" si="3926">IF(AND(S2683&lt;1,T2657=0),0,
IF(T2657=0,S2683-1,
IF(S2683&lt;1,T2658,
(((S2683-1)*(S2659-(S2659/(S2683))))+(T2657*T2658))/(T2659))))</f>
        <v>0</v>
      </c>
      <c r="U2683" s="1423">
        <f t="shared" ref="U2683" ca="1" si="3927">IF(AND(T2683&lt;1,U2657=0),0,
IF(U2657=0,T2683-1,
IF(T2683&lt;1,U2658,
(((T2683-1)*(T2659-(T2659/(T2683))))+(U2657*U2658))/(U2659))))</f>
        <v>0</v>
      </c>
      <c r="V2683" s="1423">
        <f t="shared" ref="V2683" ca="1" si="3928">IF(AND(U2683&lt;1,V2657=0),0,
IF(V2657=0,U2683-1,
IF(U2683&lt;1,V2658,
(((U2683-1)*(U2659-(U2659/(U2683))))+(V2657*V2658))/(V2659))))</f>
        <v>0</v>
      </c>
      <c r="W2683" s="1423">
        <f t="shared" ref="W2683" ca="1" si="3929">IF(AND(V2683&lt;1,W2657=0),0,
IF(W2657=0,V2683-1,
IF(V2683&lt;1,W2658,
(((V2683-1)*(V2659-(V2659/(V2683))))+(W2657*W2658))/(W2659))))</f>
        <v>0</v>
      </c>
      <c r="X2683" s="152"/>
      <c r="Y2683" s="152"/>
      <c r="Z2683" s="152"/>
      <c r="AA2683" s="152"/>
      <c r="AB2683" s="152"/>
    </row>
    <row r="2684" spans="1:28" hidden="1" outlineLevel="1">
      <c r="A2684" s="152"/>
      <c r="B2684" s="190" t="s">
        <v>193</v>
      </c>
      <c r="C2684" s="1423">
        <f ca="1">C2656</f>
        <v>0</v>
      </c>
      <c r="D2684" s="1423">
        <f t="shared" ref="D2684" ca="1" si="3930">IF(C2684="n/a","n/a",MAX(0,C2684-1))</f>
        <v>0</v>
      </c>
      <c r="E2684" s="1423">
        <f t="shared" ref="E2684:E2685" ca="1" si="3931">IF(D2684="n/a","n/a",MAX(0,D2684-1))</f>
        <v>0</v>
      </c>
      <c r="F2684" s="1423">
        <f t="shared" ref="F2684:F2686" ca="1" si="3932">IF(E2684="n/a","n/a",MAX(0,E2684-1))</f>
        <v>0</v>
      </c>
      <c r="G2684" s="1423">
        <f t="shared" ref="G2684:G2687" ca="1" si="3933">IF(F2684="n/a","n/a",MAX(0,F2684-1))</f>
        <v>0</v>
      </c>
      <c r="H2684" s="1423">
        <f t="shared" ref="H2684:H2688" ca="1" si="3934">IF(G2684="n/a","n/a",MAX(0,G2684-1))</f>
        <v>0</v>
      </c>
      <c r="I2684" s="1423">
        <f t="shared" ref="I2684:I2689" ca="1" si="3935">IF(H2684="n/a","n/a",MAX(0,H2684-1))</f>
        <v>0</v>
      </c>
      <c r="J2684" s="1423">
        <f t="shared" ref="J2684:J2690" ca="1" si="3936">IF(I2684="n/a","n/a",MAX(0,I2684-1))</f>
        <v>0</v>
      </c>
      <c r="K2684" s="1423">
        <f t="shared" ref="K2684:K2691" ca="1" si="3937">IF(J2684="n/a","n/a",MAX(0,J2684-1))</f>
        <v>0</v>
      </c>
      <c r="L2684" s="1423">
        <f t="shared" ref="L2684:L2692" ca="1" si="3938">IF(K2684="n/a","n/a",MAX(0,K2684-1))</f>
        <v>0</v>
      </c>
      <c r="M2684" s="1423">
        <f t="shared" ref="M2684:M2693" ca="1" si="3939">IF(L2684="n/a","n/a",MAX(0,L2684-1))</f>
        <v>0</v>
      </c>
      <c r="N2684" s="1423">
        <f t="shared" ref="N2684:N2694" ca="1" si="3940">IF(M2684="n/a","n/a",MAX(0,M2684-1))</f>
        <v>0</v>
      </c>
      <c r="O2684" s="1423">
        <f t="shared" ref="O2684:O2695" ca="1" si="3941">IF(N2684="n/a","n/a",MAX(0,N2684-1))</f>
        <v>0</v>
      </c>
      <c r="P2684" s="1423">
        <f t="shared" ref="P2684:P2696" ca="1" si="3942">IF(O2684="n/a","n/a",MAX(0,O2684-1))</f>
        <v>0</v>
      </c>
      <c r="Q2684" s="1423">
        <f t="shared" ref="Q2684:Q2697" ca="1" si="3943">IF(P2684="n/a","n/a",MAX(0,P2684-1))</f>
        <v>0</v>
      </c>
      <c r="R2684" s="1423">
        <f t="shared" ref="R2684:R2698" ca="1" si="3944">IF(Q2684="n/a","n/a",MAX(0,Q2684-1))</f>
        <v>0</v>
      </c>
      <c r="S2684" s="1423">
        <f t="shared" ref="S2684:S2699" ca="1" si="3945">IF(R2684="n/a","n/a",MAX(0,R2684-1))</f>
        <v>0</v>
      </c>
      <c r="T2684" s="1423">
        <f t="shared" ref="T2684:T2700" ca="1" si="3946">IF(S2684="n/a","n/a",MAX(0,S2684-1))</f>
        <v>0</v>
      </c>
      <c r="U2684" s="1423">
        <f t="shared" ref="U2684:U2701" ca="1" si="3947">IF(T2684="n/a","n/a",MAX(0,T2684-1))</f>
        <v>0</v>
      </c>
      <c r="V2684" s="1423">
        <f t="shared" ref="V2684:V2702" ca="1" si="3948">IF(U2684="n/a","n/a",MAX(0,U2684-1))</f>
        <v>0</v>
      </c>
      <c r="W2684" s="1423">
        <f t="shared" ref="W2684:W2702" ca="1" si="3949">IF(V2684="n/a","n/a",MAX(0,V2684-1))</f>
        <v>0</v>
      </c>
      <c r="X2684" s="152"/>
      <c r="Y2684" s="152"/>
      <c r="Z2684" s="152"/>
      <c r="AA2684" s="152"/>
      <c r="AB2684" s="152"/>
    </row>
    <row r="2685" spans="1:28" hidden="1" outlineLevel="1">
      <c r="A2685" s="152"/>
      <c r="B2685" s="190" t="str">
        <f t="shared" ref="B2685:B2704" ca="1" si="3950">"RL Capex "&amp;OFFSET($C$6,0,A2661)</f>
        <v>RL Capex 2016-17</v>
      </c>
      <c r="C2685" s="1424"/>
      <c r="D2685" s="1428">
        <f>D2656</f>
        <v>0</v>
      </c>
      <c r="E2685" s="1423">
        <f t="shared" si="3931"/>
        <v>0</v>
      </c>
      <c r="F2685" s="1423">
        <f t="shared" si="3932"/>
        <v>0</v>
      </c>
      <c r="G2685" s="1423">
        <f t="shared" si="3933"/>
        <v>0</v>
      </c>
      <c r="H2685" s="1423">
        <f t="shared" si="3934"/>
        <v>0</v>
      </c>
      <c r="I2685" s="1423">
        <f t="shared" si="3935"/>
        <v>0</v>
      </c>
      <c r="J2685" s="1423">
        <f t="shared" si="3936"/>
        <v>0</v>
      </c>
      <c r="K2685" s="1423">
        <f t="shared" si="3937"/>
        <v>0</v>
      </c>
      <c r="L2685" s="1423">
        <f t="shared" si="3938"/>
        <v>0</v>
      </c>
      <c r="M2685" s="1423">
        <f t="shared" si="3939"/>
        <v>0</v>
      </c>
      <c r="N2685" s="1423">
        <f t="shared" si="3940"/>
        <v>0</v>
      </c>
      <c r="O2685" s="1423">
        <f t="shared" si="3941"/>
        <v>0</v>
      </c>
      <c r="P2685" s="1423">
        <f t="shared" si="3942"/>
        <v>0</v>
      </c>
      <c r="Q2685" s="1423">
        <f t="shared" si="3943"/>
        <v>0</v>
      </c>
      <c r="R2685" s="1423">
        <f t="shared" si="3944"/>
        <v>0</v>
      </c>
      <c r="S2685" s="1423">
        <f t="shared" si="3945"/>
        <v>0</v>
      </c>
      <c r="T2685" s="1423">
        <f t="shared" si="3946"/>
        <v>0</v>
      </c>
      <c r="U2685" s="1423">
        <f t="shared" si="3947"/>
        <v>0</v>
      </c>
      <c r="V2685" s="1423">
        <f t="shared" si="3948"/>
        <v>0</v>
      </c>
      <c r="W2685" s="1423">
        <f t="shared" si="3949"/>
        <v>0</v>
      </c>
      <c r="X2685" s="152"/>
      <c r="Y2685" s="152"/>
      <c r="Z2685" s="152"/>
      <c r="AA2685" s="152"/>
      <c r="AB2685" s="152"/>
    </row>
    <row r="2686" spans="1:28" hidden="1" outlineLevel="1">
      <c r="A2686" s="152"/>
      <c r="B2686" s="190" t="str">
        <f t="shared" ca="1" si="3950"/>
        <v>RL Capex 2017-18</v>
      </c>
      <c r="C2686" s="1429"/>
      <c r="D2686" s="1424"/>
      <c r="E2686" s="1428">
        <f>E2656</f>
        <v>0</v>
      </c>
      <c r="F2686" s="1423">
        <f t="shared" si="3932"/>
        <v>0</v>
      </c>
      <c r="G2686" s="1423">
        <f t="shared" si="3933"/>
        <v>0</v>
      </c>
      <c r="H2686" s="1423">
        <f t="shared" si="3934"/>
        <v>0</v>
      </c>
      <c r="I2686" s="1423">
        <f t="shared" si="3935"/>
        <v>0</v>
      </c>
      <c r="J2686" s="1423">
        <f t="shared" si="3936"/>
        <v>0</v>
      </c>
      <c r="K2686" s="1423">
        <f t="shared" si="3937"/>
        <v>0</v>
      </c>
      <c r="L2686" s="1423">
        <f t="shared" si="3938"/>
        <v>0</v>
      </c>
      <c r="M2686" s="1423">
        <f t="shared" si="3939"/>
        <v>0</v>
      </c>
      <c r="N2686" s="1423">
        <f t="shared" si="3940"/>
        <v>0</v>
      </c>
      <c r="O2686" s="1423">
        <f t="shared" si="3941"/>
        <v>0</v>
      </c>
      <c r="P2686" s="1423">
        <f t="shared" si="3942"/>
        <v>0</v>
      </c>
      <c r="Q2686" s="1423">
        <f t="shared" si="3943"/>
        <v>0</v>
      </c>
      <c r="R2686" s="1423">
        <f t="shared" si="3944"/>
        <v>0</v>
      </c>
      <c r="S2686" s="1423">
        <f t="shared" si="3945"/>
        <v>0</v>
      </c>
      <c r="T2686" s="1423">
        <f t="shared" si="3946"/>
        <v>0</v>
      </c>
      <c r="U2686" s="1423">
        <f t="shared" si="3947"/>
        <v>0</v>
      </c>
      <c r="V2686" s="1423">
        <f t="shared" si="3948"/>
        <v>0</v>
      </c>
      <c r="W2686" s="1423">
        <f t="shared" si="3949"/>
        <v>0</v>
      </c>
      <c r="X2686" s="152"/>
      <c r="Y2686" s="152"/>
      <c r="Z2686" s="152"/>
      <c r="AA2686" s="152"/>
      <c r="AB2686" s="152"/>
    </row>
    <row r="2687" spans="1:28" hidden="1" outlineLevel="1">
      <c r="A2687" s="152"/>
      <c r="B2687" s="190" t="str">
        <f t="shared" ca="1" si="3950"/>
        <v>RL Capex 2018-19</v>
      </c>
      <c r="C2687" s="1429"/>
      <c r="D2687" s="1429"/>
      <c r="E2687" s="1424"/>
      <c r="F2687" s="1428">
        <f>F2656</f>
        <v>0</v>
      </c>
      <c r="G2687" s="1423">
        <f t="shared" si="3933"/>
        <v>0</v>
      </c>
      <c r="H2687" s="1423">
        <f t="shared" si="3934"/>
        <v>0</v>
      </c>
      <c r="I2687" s="1423">
        <f t="shared" si="3935"/>
        <v>0</v>
      </c>
      <c r="J2687" s="1423">
        <f t="shared" si="3936"/>
        <v>0</v>
      </c>
      <c r="K2687" s="1423">
        <f t="shared" si="3937"/>
        <v>0</v>
      </c>
      <c r="L2687" s="1423">
        <f t="shared" si="3938"/>
        <v>0</v>
      </c>
      <c r="M2687" s="1423">
        <f t="shared" si="3939"/>
        <v>0</v>
      </c>
      <c r="N2687" s="1423">
        <f t="shared" si="3940"/>
        <v>0</v>
      </c>
      <c r="O2687" s="1423">
        <f t="shared" si="3941"/>
        <v>0</v>
      </c>
      <c r="P2687" s="1423">
        <f t="shared" si="3942"/>
        <v>0</v>
      </c>
      <c r="Q2687" s="1423">
        <f t="shared" si="3943"/>
        <v>0</v>
      </c>
      <c r="R2687" s="1423">
        <f t="shared" si="3944"/>
        <v>0</v>
      </c>
      <c r="S2687" s="1423">
        <f t="shared" si="3945"/>
        <v>0</v>
      </c>
      <c r="T2687" s="1423">
        <f t="shared" si="3946"/>
        <v>0</v>
      </c>
      <c r="U2687" s="1423">
        <f t="shared" si="3947"/>
        <v>0</v>
      </c>
      <c r="V2687" s="1423">
        <f t="shared" si="3948"/>
        <v>0</v>
      </c>
      <c r="W2687" s="1423">
        <f t="shared" si="3949"/>
        <v>0</v>
      </c>
      <c r="X2687" s="152"/>
      <c r="Y2687" s="152"/>
      <c r="Z2687" s="152"/>
      <c r="AA2687" s="152"/>
      <c r="AB2687" s="152"/>
    </row>
    <row r="2688" spans="1:28" hidden="1" outlineLevel="1">
      <c r="A2688" s="152"/>
      <c r="B2688" s="190" t="str">
        <f t="shared" ca="1" si="3950"/>
        <v>RL Capex 2019-20</v>
      </c>
      <c r="C2688" s="1429"/>
      <c r="D2688" s="1429"/>
      <c r="E2688" s="1429"/>
      <c r="F2688" s="1424"/>
      <c r="G2688" s="1428">
        <f>G2656</f>
        <v>0</v>
      </c>
      <c r="H2688" s="1423">
        <f t="shared" si="3934"/>
        <v>0</v>
      </c>
      <c r="I2688" s="1423">
        <f t="shared" si="3935"/>
        <v>0</v>
      </c>
      <c r="J2688" s="1423">
        <f t="shared" si="3936"/>
        <v>0</v>
      </c>
      <c r="K2688" s="1423">
        <f t="shared" si="3937"/>
        <v>0</v>
      </c>
      <c r="L2688" s="1423">
        <f t="shared" si="3938"/>
        <v>0</v>
      </c>
      <c r="M2688" s="1423">
        <f t="shared" si="3939"/>
        <v>0</v>
      </c>
      <c r="N2688" s="1423">
        <f t="shared" si="3940"/>
        <v>0</v>
      </c>
      <c r="O2688" s="1423">
        <f t="shared" si="3941"/>
        <v>0</v>
      </c>
      <c r="P2688" s="1423">
        <f t="shared" si="3942"/>
        <v>0</v>
      </c>
      <c r="Q2688" s="1423">
        <f t="shared" si="3943"/>
        <v>0</v>
      </c>
      <c r="R2688" s="1423">
        <f t="shared" si="3944"/>
        <v>0</v>
      </c>
      <c r="S2688" s="1423">
        <f t="shared" si="3945"/>
        <v>0</v>
      </c>
      <c r="T2688" s="1423">
        <f t="shared" si="3946"/>
        <v>0</v>
      </c>
      <c r="U2688" s="1423">
        <f t="shared" si="3947"/>
        <v>0</v>
      </c>
      <c r="V2688" s="1423">
        <f t="shared" si="3948"/>
        <v>0</v>
      </c>
      <c r="W2688" s="1423">
        <f t="shared" si="3949"/>
        <v>0</v>
      </c>
      <c r="X2688" s="152"/>
      <c r="Y2688" s="152"/>
      <c r="Z2688" s="152"/>
      <c r="AA2688" s="152"/>
      <c r="AB2688" s="152"/>
    </row>
    <row r="2689" spans="1:28" hidden="1" outlineLevel="1">
      <c r="A2689" s="152"/>
      <c r="B2689" s="190" t="str">
        <f t="shared" ca="1" si="3950"/>
        <v>RL Capex 2020-21</v>
      </c>
      <c r="C2689" s="1429"/>
      <c r="D2689" s="1429"/>
      <c r="E2689" s="1429"/>
      <c r="F2689" s="1429"/>
      <c r="G2689" s="1424"/>
      <c r="H2689" s="1428">
        <f>H2656</f>
        <v>0</v>
      </c>
      <c r="I2689" s="1423">
        <f t="shared" si="3935"/>
        <v>0</v>
      </c>
      <c r="J2689" s="1423">
        <f t="shared" si="3936"/>
        <v>0</v>
      </c>
      <c r="K2689" s="1423">
        <f t="shared" si="3937"/>
        <v>0</v>
      </c>
      <c r="L2689" s="1423">
        <f t="shared" si="3938"/>
        <v>0</v>
      </c>
      <c r="M2689" s="1423">
        <f t="shared" si="3939"/>
        <v>0</v>
      </c>
      <c r="N2689" s="1423">
        <f t="shared" si="3940"/>
        <v>0</v>
      </c>
      <c r="O2689" s="1423">
        <f t="shared" si="3941"/>
        <v>0</v>
      </c>
      <c r="P2689" s="1423">
        <f t="shared" si="3942"/>
        <v>0</v>
      </c>
      <c r="Q2689" s="1423">
        <f t="shared" si="3943"/>
        <v>0</v>
      </c>
      <c r="R2689" s="1423">
        <f t="shared" si="3944"/>
        <v>0</v>
      </c>
      <c r="S2689" s="1423">
        <f t="shared" si="3945"/>
        <v>0</v>
      </c>
      <c r="T2689" s="1423">
        <f t="shared" si="3946"/>
        <v>0</v>
      </c>
      <c r="U2689" s="1423">
        <f t="shared" si="3947"/>
        <v>0</v>
      </c>
      <c r="V2689" s="1423">
        <f t="shared" si="3948"/>
        <v>0</v>
      </c>
      <c r="W2689" s="1423">
        <f t="shared" si="3949"/>
        <v>0</v>
      </c>
      <c r="X2689" s="152"/>
      <c r="Y2689" s="152"/>
      <c r="Z2689" s="152"/>
      <c r="AA2689" s="152"/>
      <c r="AB2689" s="152"/>
    </row>
    <row r="2690" spans="1:28" hidden="1" outlineLevel="1">
      <c r="A2690" s="152"/>
      <c r="B2690" s="190" t="str">
        <f t="shared" ca="1" si="3950"/>
        <v>RL Capex 2021-22</v>
      </c>
      <c r="C2690" s="1429"/>
      <c r="D2690" s="1429"/>
      <c r="E2690" s="1429"/>
      <c r="F2690" s="1429"/>
      <c r="G2690" s="1429"/>
      <c r="H2690" s="1424"/>
      <c r="I2690" s="1428">
        <f>I2656</f>
        <v>0</v>
      </c>
      <c r="J2690" s="1423">
        <f t="shared" si="3936"/>
        <v>0</v>
      </c>
      <c r="K2690" s="1423">
        <f t="shared" si="3937"/>
        <v>0</v>
      </c>
      <c r="L2690" s="1423">
        <f t="shared" si="3938"/>
        <v>0</v>
      </c>
      <c r="M2690" s="1423">
        <f t="shared" si="3939"/>
        <v>0</v>
      </c>
      <c r="N2690" s="1423">
        <f t="shared" si="3940"/>
        <v>0</v>
      </c>
      <c r="O2690" s="1423">
        <f t="shared" si="3941"/>
        <v>0</v>
      </c>
      <c r="P2690" s="1423">
        <f t="shared" si="3942"/>
        <v>0</v>
      </c>
      <c r="Q2690" s="1423">
        <f t="shared" si="3943"/>
        <v>0</v>
      </c>
      <c r="R2690" s="1423">
        <f t="shared" si="3944"/>
        <v>0</v>
      </c>
      <c r="S2690" s="1423">
        <f t="shared" si="3945"/>
        <v>0</v>
      </c>
      <c r="T2690" s="1423">
        <f t="shared" si="3946"/>
        <v>0</v>
      </c>
      <c r="U2690" s="1423">
        <f t="shared" si="3947"/>
        <v>0</v>
      </c>
      <c r="V2690" s="1423">
        <f t="shared" si="3948"/>
        <v>0</v>
      </c>
      <c r="W2690" s="1423">
        <f t="shared" si="3949"/>
        <v>0</v>
      </c>
      <c r="X2690" s="152"/>
      <c r="Y2690" s="152"/>
      <c r="Z2690" s="152"/>
      <c r="AA2690" s="152"/>
      <c r="AB2690" s="152"/>
    </row>
    <row r="2691" spans="1:28" hidden="1" outlineLevel="1">
      <c r="A2691" s="152"/>
      <c r="B2691" s="190" t="str">
        <f t="shared" ca="1" si="3950"/>
        <v>RL Capex 2022-23</v>
      </c>
      <c r="C2691" s="1429"/>
      <c r="D2691" s="1429"/>
      <c r="E2691" s="1429"/>
      <c r="F2691" s="1429"/>
      <c r="G2691" s="1429"/>
      <c r="H2691" s="1429"/>
      <c r="I2691" s="1424"/>
      <c r="J2691" s="1428">
        <f>J2656</f>
        <v>0</v>
      </c>
      <c r="K2691" s="1423">
        <f t="shared" si="3937"/>
        <v>0</v>
      </c>
      <c r="L2691" s="1423">
        <f t="shared" si="3938"/>
        <v>0</v>
      </c>
      <c r="M2691" s="1423">
        <f t="shared" si="3939"/>
        <v>0</v>
      </c>
      <c r="N2691" s="1423">
        <f t="shared" si="3940"/>
        <v>0</v>
      </c>
      <c r="O2691" s="1423">
        <f t="shared" si="3941"/>
        <v>0</v>
      </c>
      <c r="P2691" s="1423">
        <f t="shared" si="3942"/>
        <v>0</v>
      </c>
      <c r="Q2691" s="1423">
        <f t="shared" si="3943"/>
        <v>0</v>
      </c>
      <c r="R2691" s="1423">
        <f t="shared" si="3944"/>
        <v>0</v>
      </c>
      <c r="S2691" s="1423">
        <f t="shared" si="3945"/>
        <v>0</v>
      </c>
      <c r="T2691" s="1423">
        <f t="shared" si="3946"/>
        <v>0</v>
      </c>
      <c r="U2691" s="1423">
        <f t="shared" si="3947"/>
        <v>0</v>
      </c>
      <c r="V2691" s="1423">
        <f t="shared" si="3948"/>
        <v>0</v>
      </c>
      <c r="W2691" s="1423">
        <f t="shared" si="3949"/>
        <v>0</v>
      </c>
      <c r="X2691" s="152"/>
      <c r="Y2691" s="152"/>
      <c r="Z2691" s="152"/>
      <c r="AA2691" s="152"/>
      <c r="AB2691" s="152"/>
    </row>
    <row r="2692" spans="1:28" hidden="1" outlineLevel="1">
      <c r="A2692" s="152"/>
      <c r="B2692" s="190" t="str">
        <f t="shared" ca="1" si="3950"/>
        <v>RL Capex 2023-24</v>
      </c>
      <c r="C2692" s="1429"/>
      <c r="D2692" s="1429"/>
      <c r="E2692" s="1429"/>
      <c r="F2692" s="1429"/>
      <c r="G2692" s="1429"/>
      <c r="H2692" s="1429"/>
      <c r="I2692" s="1429"/>
      <c r="J2692" s="1424"/>
      <c r="K2692" s="1428">
        <f>K2656</f>
        <v>0</v>
      </c>
      <c r="L2692" s="1423">
        <f t="shared" si="3938"/>
        <v>0</v>
      </c>
      <c r="M2692" s="1423">
        <f t="shared" si="3939"/>
        <v>0</v>
      </c>
      <c r="N2692" s="1423">
        <f t="shared" si="3940"/>
        <v>0</v>
      </c>
      <c r="O2692" s="1423">
        <f t="shared" si="3941"/>
        <v>0</v>
      </c>
      <c r="P2692" s="1423">
        <f t="shared" si="3942"/>
        <v>0</v>
      </c>
      <c r="Q2692" s="1423">
        <f t="shared" si="3943"/>
        <v>0</v>
      </c>
      <c r="R2692" s="1423">
        <f t="shared" si="3944"/>
        <v>0</v>
      </c>
      <c r="S2692" s="1423">
        <f t="shared" si="3945"/>
        <v>0</v>
      </c>
      <c r="T2692" s="1423">
        <f t="shared" si="3946"/>
        <v>0</v>
      </c>
      <c r="U2692" s="1423">
        <f t="shared" si="3947"/>
        <v>0</v>
      </c>
      <c r="V2692" s="1423">
        <f t="shared" si="3948"/>
        <v>0</v>
      </c>
      <c r="W2692" s="1423">
        <f t="shared" si="3949"/>
        <v>0</v>
      </c>
      <c r="X2692" s="152"/>
      <c r="Y2692" s="152"/>
      <c r="Z2692" s="152"/>
      <c r="AA2692" s="152"/>
      <c r="AB2692" s="152"/>
    </row>
    <row r="2693" spans="1:28" hidden="1" outlineLevel="1">
      <c r="A2693" s="152"/>
      <c r="B2693" s="190" t="str">
        <f t="shared" ca="1" si="3950"/>
        <v>RL Capex 2024-25</v>
      </c>
      <c r="C2693" s="1429"/>
      <c r="D2693" s="1429"/>
      <c r="E2693" s="1429"/>
      <c r="F2693" s="1429"/>
      <c r="G2693" s="1429"/>
      <c r="H2693" s="1429"/>
      <c r="I2693" s="1429"/>
      <c r="J2693" s="1429"/>
      <c r="K2693" s="1424"/>
      <c r="L2693" s="1428">
        <f>L2656</f>
        <v>0</v>
      </c>
      <c r="M2693" s="1423">
        <f t="shared" si="3939"/>
        <v>0</v>
      </c>
      <c r="N2693" s="1423">
        <f t="shared" si="3940"/>
        <v>0</v>
      </c>
      <c r="O2693" s="1423">
        <f t="shared" si="3941"/>
        <v>0</v>
      </c>
      <c r="P2693" s="1423">
        <f t="shared" si="3942"/>
        <v>0</v>
      </c>
      <c r="Q2693" s="1423">
        <f t="shared" si="3943"/>
        <v>0</v>
      </c>
      <c r="R2693" s="1423">
        <f t="shared" si="3944"/>
        <v>0</v>
      </c>
      <c r="S2693" s="1423">
        <f t="shared" si="3945"/>
        <v>0</v>
      </c>
      <c r="T2693" s="1423">
        <f t="shared" si="3946"/>
        <v>0</v>
      </c>
      <c r="U2693" s="1423">
        <f t="shared" si="3947"/>
        <v>0</v>
      </c>
      <c r="V2693" s="1423">
        <f t="shared" si="3948"/>
        <v>0</v>
      </c>
      <c r="W2693" s="1423">
        <f t="shared" si="3949"/>
        <v>0</v>
      </c>
      <c r="X2693" s="152"/>
      <c r="Y2693" s="152"/>
      <c r="Z2693" s="152"/>
      <c r="AA2693" s="152"/>
      <c r="AB2693" s="152"/>
    </row>
    <row r="2694" spans="1:28" hidden="1" outlineLevel="1">
      <c r="A2694" s="152"/>
      <c r="B2694" s="190" t="str">
        <f t="shared" ca="1" si="3950"/>
        <v>RL Capex 2025-26</v>
      </c>
      <c r="C2694" s="1429"/>
      <c r="D2694" s="1429"/>
      <c r="E2694" s="1429"/>
      <c r="F2694" s="1429"/>
      <c r="G2694" s="1429"/>
      <c r="H2694" s="1429"/>
      <c r="I2694" s="1429"/>
      <c r="J2694" s="1429"/>
      <c r="K2694" s="1429"/>
      <c r="L2694" s="1424"/>
      <c r="M2694" s="1428">
        <f>M2656</f>
        <v>0</v>
      </c>
      <c r="N2694" s="1423">
        <f t="shared" si="3940"/>
        <v>0</v>
      </c>
      <c r="O2694" s="1423">
        <f t="shared" si="3941"/>
        <v>0</v>
      </c>
      <c r="P2694" s="1423">
        <f t="shared" si="3942"/>
        <v>0</v>
      </c>
      <c r="Q2694" s="1423">
        <f t="shared" si="3943"/>
        <v>0</v>
      </c>
      <c r="R2694" s="1423">
        <f t="shared" si="3944"/>
        <v>0</v>
      </c>
      <c r="S2694" s="1423">
        <f t="shared" si="3945"/>
        <v>0</v>
      </c>
      <c r="T2694" s="1423">
        <f t="shared" si="3946"/>
        <v>0</v>
      </c>
      <c r="U2694" s="1423">
        <f t="shared" si="3947"/>
        <v>0</v>
      </c>
      <c r="V2694" s="1423">
        <f t="shared" si="3948"/>
        <v>0</v>
      </c>
      <c r="W2694" s="1423">
        <f t="shared" si="3949"/>
        <v>0</v>
      </c>
      <c r="X2694" s="152"/>
      <c r="Y2694" s="152"/>
      <c r="Z2694" s="152"/>
      <c r="AA2694" s="152"/>
      <c r="AB2694" s="152"/>
    </row>
    <row r="2695" spans="1:28" hidden="1" outlineLevel="1">
      <c r="A2695" s="152"/>
      <c r="B2695" s="190" t="str">
        <f t="shared" ca="1" si="3950"/>
        <v>RL Capex 2026-27</v>
      </c>
      <c r="C2695" s="1429"/>
      <c r="D2695" s="1429"/>
      <c r="E2695" s="1429"/>
      <c r="F2695" s="1429"/>
      <c r="G2695" s="1429"/>
      <c r="H2695" s="1429"/>
      <c r="I2695" s="1429"/>
      <c r="J2695" s="1429"/>
      <c r="K2695" s="1429"/>
      <c r="L2695" s="1429"/>
      <c r="M2695" s="1424"/>
      <c r="N2695" s="1428">
        <f>N2656</f>
        <v>0</v>
      </c>
      <c r="O2695" s="1423">
        <f t="shared" si="3941"/>
        <v>0</v>
      </c>
      <c r="P2695" s="1423">
        <f t="shared" si="3942"/>
        <v>0</v>
      </c>
      <c r="Q2695" s="1423">
        <f t="shared" si="3943"/>
        <v>0</v>
      </c>
      <c r="R2695" s="1423">
        <f t="shared" si="3944"/>
        <v>0</v>
      </c>
      <c r="S2695" s="1423">
        <f t="shared" si="3945"/>
        <v>0</v>
      </c>
      <c r="T2695" s="1423">
        <f t="shared" si="3946"/>
        <v>0</v>
      </c>
      <c r="U2695" s="1423">
        <f t="shared" si="3947"/>
        <v>0</v>
      </c>
      <c r="V2695" s="1423">
        <f t="shared" si="3948"/>
        <v>0</v>
      </c>
      <c r="W2695" s="1423">
        <f t="shared" si="3949"/>
        <v>0</v>
      </c>
      <c r="X2695" s="152"/>
      <c r="Y2695" s="152"/>
      <c r="Z2695" s="152"/>
      <c r="AA2695" s="152"/>
      <c r="AB2695" s="152"/>
    </row>
    <row r="2696" spans="1:28" hidden="1" outlineLevel="1">
      <c r="A2696" s="152"/>
      <c r="B2696" s="190" t="str">
        <f t="shared" ca="1" si="3950"/>
        <v>RL Capex 2027-28</v>
      </c>
      <c r="C2696" s="1429"/>
      <c r="D2696" s="1429"/>
      <c r="E2696" s="1429"/>
      <c r="F2696" s="1429"/>
      <c r="G2696" s="1429"/>
      <c r="H2696" s="1429"/>
      <c r="I2696" s="1429"/>
      <c r="J2696" s="1429"/>
      <c r="K2696" s="1429"/>
      <c r="L2696" s="1429"/>
      <c r="M2696" s="1429"/>
      <c r="N2696" s="1424"/>
      <c r="O2696" s="1428">
        <f>O2656</f>
        <v>0</v>
      </c>
      <c r="P2696" s="1423">
        <f t="shared" si="3942"/>
        <v>0</v>
      </c>
      <c r="Q2696" s="1423">
        <f t="shared" si="3943"/>
        <v>0</v>
      </c>
      <c r="R2696" s="1423">
        <f t="shared" si="3944"/>
        <v>0</v>
      </c>
      <c r="S2696" s="1423">
        <f t="shared" si="3945"/>
        <v>0</v>
      </c>
      <c r="T2696" s="1423">
        <f t="shared" si="3946"/>
        <v>0</v>
      </c>
      <c r="U2696" s="1423">
        <f t="shared" si="3947"/>
        <v>0</v>
      </c>
      <c r="V2696" s="1423">
        <f t="shared" si="3948"/>
        <v>0</v>
      </c>
      <c r="W2696" s="1423">
        <f t="shared" si="3949"/>
        <v>0</v>
      </c>
      <c r="X2696" s="152"/>
      <c r="Y2696" s="152"/>
      <c r="Z2696" s="152"/>
      <c r="AA2696" s="152"/>
      <c r="AB2696" s="152"/>
    </row>
    <row r="2697" spans="1:28" hidden="1" outlineLevel="1">
      <c r="A2697" s="152"/>
      <c r="B2697" s="190" t="str">
        <f t="shared" ca="1" si="3950"/>
        <v>RL Capex 2028-29</v>
      </c>
      <c r="C2697" s="1429"/>
      <c r="D2697" s="1429"/>
      <c r="E2697" s="1429"/>
      <c r="F2697" s="1429"/>
      <c r="G2697" s="1429"/>
      <c r="H2697" s="1429"/>
      <c r="I2697" s="1429"/>
      <c r="J2697" s="1429"/>
      <c r="K2697" s="1429"/>
      <c r="L2697" s="1429"/>
      <c r="M2697" s="1429"/>
      <c r="N2697" s="1429"/>
      <c r="O2697" s="1424"/>
      <c r="P2697" s="1428">
        <f>P2656</f>
        <v>0</v>
      </c>
      <c r="Q2697" s="1423">
        <f t="shared" si="3943"/>
        <v>0</v>
      </c>
      <c r="R2697" s="1423">
        <f t="shared" si="3944"/>
        <v>0</v>
      </c>
      <c r="S2697" s="1423">
        <f t="shared" si="3945"/>
        <v>0</v>
      </c>
      <c r="T2697" s="1423">
        <f t="shared" si="3946"/>
        <v>0</v>
      </c>
      <c r="U2697" s="1423">
        <f t="shared" si="3947"/>
        <v>0</v>
      </c>
      <c r="V2697" s="1423">
        <f t="shared" si="3948"/>
        <v>0</v>
      </c>
      <c r="W2697" s="1423">
        <f t="shared" si="3949"/>
        <v>0</v>
      </c>
      <c r="X2697" s="152"/>
      <c r="Y2697" s="152"/>
      <c r="Z2697" s="152"/>
      <c r="AA2697" s="152"/>
      <c r="AB2697" s="152"/>
    </row>
    <row r="2698" spans="1:28" hidden="1" outlineLevel="1">
      <c r="A2698" s="152"/>
      <c r="B2698" s="190" t="str">
        <f t="shared" ca="1" si="3950"/>
        <v>RL Capex 2029-30</v>
      </c>
      <c r="C2698" s="1429"/>
      <c r="D2698" s="1429"/>
      <c r="E2698" s="1429"/>
      <c r="F2698" s="1429"/>
      <c r="G2698" s="1429"/>
      <c r="H2698" s="1429"/>
      <c r="I2698" s="1429"/>
      <c r="J2698" s="1429"/>
      <c r="K2698" s="1429"/>
      <c r="L2698" s="1429"/>
      <c r="M2698" s="1429"/>
      <c r="N2698" s="1429"/>
      <c r="O2698" s="1429"/>
      <c r="P2698" s="1424"/>
      <c r="Q2698" s="1428">
        <f>Q2656</f>
        <v>0</v>
      </c>
      <c r="R2698" s="1423">
        <f t="shared" si="3944"/>
        <v>0</v>
      </c>
      <c r="S2698" s="1423">
        <f t="shared" si="3945"/>
        <v>0</v>
      </c>
      <c r="T2698" s="1423">
        <f t="shared" si="3946"/>
        <v>0</v>
      </c>
      <c r="U2698" s="1423">
        <f t="shared" si="3947"/>
        <v>0</v>
      </c>
      <c r="V2698" s="1423">
        <f t="shared" si="3948"/>
        <v>0</v>
      </c>
      <c r="W2698" s="1423">
        <f t="shared" si="3949"/>
        <v>0</v>
      </c>
      <c r="X2698" s="152"/>
      <c r="Y2698" s="152"/>
      <c r="Z2698" s="152"/>
      <c r="AA2698" s="152"/>
      <c r="AB2698" s="152"/>
    </row>
    <row r="2699" spans="1:28" hidden="1" outlineLevel="1">
      <c r="A2699" s="152"/>
      <c r="B2699" s="190" t="str">
        <f t="shared" ca="1" si="3950"/>
        <v>RL Capex 2030-31</v>
      </c>
      <c r="C2699" s="1429"/>
      <c r="D2699" s="1429"/>
      <c r="E2699" s="1429"/>
      <c r="F2699" s="1429"/>
      <c r="G2699" s="1429"/>
      <c r="H2699" s="1429"/>
      <c r="I2699" s="1429"/>
      <c r="J2699" s="1429"/>
      <c r="K2699" s="1429"/>
      <c r="L2699" s="1429"/>
      <c r="M2699" s="1429"/>
      <c r="N2699" s="1429"/>
      <c r="O2699" s="1429"/>
      <c r="P2699" s="1429"/>
      <c r="Q2699" s="1424"/>
      <c r="R2699" s="1428">
        <f>R2656</f>
        <v>0</v>
      </c>
      <c r="S2699" s="1423">
        <f t="shared" si="3945"/>
        <v>0</v>
      </c>
      <c r="T2699" s="1423">
        <f t="shared" si="3946"/>
        <v>0</v>
      </c>
      <c r="U2699" s="1423">
        <f t="shared" si="3947"/>
        <v>0</v>
      </c>
      <c r="V2699" s="1423">
        <f t="shared" si="3948"/>
        <v>0</v>
      </c>
      <c r="W2699" s="1423">
        <f t="shared" si="3949"/>
        <v>0</v>
      </c>
      <c r="X2699" s="152"/>
      <c r="Y2699" s="152"/>
      <c r="Z2699" s="152"/>
      <c r="AA2699" s="152"/>
      <c r="AB2699" s="152"/>
    </row>
    <row r="2700" spans="1:28" hidden="1" outlineLevel="1">
      <c r="A2700" s="152"/>
      <c r="B2700" s="190" t="str">
        <f t="shared" ca="1" si="3950"/>
        <v>RL Capex 2031-32</v>
      </c>
      <c r="C2700" s="1429"/>
      <c r="D2700" s="1429"/>
      <c r="E2700" s="1429"/>
      <c r="F2700" s="1429"/>
      <c r="G2700" s="1429"/>
      <c r="H2700" s="1429"/>
      <c r="I2700" s="1429"/>
      <c r="J2700" s="1429"/>
      <c r="K2700" s="1429"/>
      <c r="L2700" s="1429"/>
      <c r="M2700" s="1429"/>
      <c r="N2700" s="1429"/>
      <c r="O2700" s="1429"/>
      <c r="P2700" s="1429"/>
      <c r="Q2700" s="1429"/>
      <c r="R2700" s="1424"/>
      <c r="S2700" s="1428">
        <f>S2656</f>
        <v>0</v>
      </c>
      <c r="T2700" s="1423">
        <f t="shared" si="3946"/>
        <v>0</v>
      </c>
      <c r="U2700" s="1423">
        <f t="shared" si="3947"/>
        <v>0</v>
      </c>
      <c r="V2700" s="1423">
        <f t="shared" si="3948"/>
        <v>0</v>
      </c>
      <c r="W2700" s="1423">
        <f t="shared" si="3949"/>
        <v>0</v>
      </c>
      <c r="X2700" s="152"/>
      <c r="Y2700" s="152"/>
      <c r="Z2700" s="152"/>
      <c r="AA2700" s="152"/>
      <c r="AB2700" s="152"/>
    </row>
    <row r="2701" spans="1:28" hidden="1" outlineLevel="1">
      <c r="A2701" s="152"/>
      <c r="B2701" s="190" t="str">
        <f t="shared" ca="1" si="3950"/>
        <v>RL Capex 2032-33</v>
      </c>
      <c r="C2701" s="1429"/>
      <c r="D2701" s="1429"/>
      <c r="E2701" s="1429"/>
      <c r="F2701" s="1429"/>
      <c r="G2701" s="1429"/>
      <c r="H2701" s="1429"/>
      <c r="I2701" s="1429"/>
      <c r="J2701" s="1429"/>
      <c r="K2701" s="1429"/>
      <c r="L2701" s="1429"/>
      <c r="M2701" s="1429"/>
      <c r="N2701" s="1429"/>
      <c r="O2701" s="1429"/>
      <c r="P2701" s="1429"/>
      <c r="Q2701" s="1429"/>
      <c r="R2701" s="1429"/>
      <c r="S2701" s="1424"/>
      <c r="T2701" s="1428">
        <f>T2656</f>
        <v>0</v>
      </c>
      <c r="U2701" s="1423">
        <f t="shared" si="3947"/>
        <v>0</v>
      </c>
      <c r="V2701" s="1423">
        <f t="shared" si="3948"/>
        <v>0</v>
      </c>
      <c r="W2701" s="1423">
        <f t="shared" si="3949"/>
        <v>0</v>
      </c>
      <c r="X2701" s="152"/>
      <c r="Y2701" s="152"/>
      <c r="Z2701" s="152"/>
      <c r="AA2701" s="152"/>
      <c r="AB2701" s="152"/>
    </row>
    <row r="2702" spans="1:28" hidden="1" outlineLevel="1">
      <c r="A2702" s="152"/>
      <c r="B2702" s="190" t="str">
        <f t="shared" ca="1" si="3950"/>
        <v>RL Capex 2033-34</v>
      </c>
      <c r="C2702" s="1429"/>
      <c r="D2702" s="1429"/>
      <c r="E2702" s="1429"/>
      <c r="F2702" s="1429"/>
      <c r="G2702" s="1429"/>
      <c r="H2702" s="1429"/>
      <c r="I2702" s="1429"/>
      <c r="J2702" s="1429"/>
      <c r="K2702" s="1429"/>
      <c r="L2702" s="1429"/>
      <c r="M2702" s="1429"/>
      <c r="N2702" s="1429"/>
      <c r="O2702" s="1429"/>
      <c r="P2702" s="1429"/>
      <c r="Q2702" s="1429"/>
      <c r="R2702" s="1429"/>
      <c r="S2702" s="1429"/>
      <c r="T2702" s="1424"/>
      <c r="U2702" s="1428">
        <f>U2656</f>
        <v>0</v>
      </c>
      <c r="V2702" s="1423">
        <f t="shared" si="3948"/>
        <v>0</v>
      </c>
      <c r="W2702" s="1423">
        <f t="shared" si="3949"/>
        <v>0</v>
      </c>
      <c r="X2702" s="152"/>
      <c r="Y2702" s="152"/>
      <c r="Z2702" s="152"/>
      <c r="AA2702" s="152"/>
      <c r="AB2702" s="152"/>
    </row>
    <row r="2703" spans="1:28" hidden="1" outlineLevel="1">
      <c r="A2703" s="152"/>
      <c r="B2703" s="190" t="str">
        <f t="shared" ca="1" si="3950"/>
        <v>RL Capex 2034-35</v>
      </c>
      <c r="C2703" s="1429"/>
      <c r="D2703" s="1429"/>
      <c r="E2703" s="1429"/>
      <c r="F2703" s="1429"/>
      <c r="G2703" s="1429"/>
      <c r="H2703" s="1429"/>
      <c r="I2703" s="1429"/>
      <c r="J2703" s="1429"/>
      <c r="K2703" s="1429"/>
      <c r="L2703" s="1429"/>
      <c r="M2703" s="1429"/>
      <c r="N2703" s="1429"/>
      <c r="O2703" s="1429"/>
      <c r="P2703" s="1429"/>
      <c r="Q2703" s="1429"/>
      <c r="R2703" s="1429"/>
      <c r="S2703" s="1429"/>
      <c r="T2703" s="1429"/>
      <c r="U2703" s="1424"/>
      <c r="V2703" s="1428">
        <f>V2656</f>
        <v>0</v>
      </c>
      <c r="W2703" s="1423">
        <f>IF(V2703="n/a","n/a",MAX(0,V2703-1))</f>
        <v>0</v>
      </c>
      <c r="X2703" s="152"/>
      <c r="Y2703" s="152"/>
      <c r="Z2703" s="152"/>
      <c r="AA2703" s="152"/>
      <c r="AB2703" s="152"/>
    </row>
    <row r="2704" spans="1:28" hidden="1" outlineLevel="1">
      <c r="A2704" s="152"/>
      <c r="B2704" s="190" t="str">
        <f t="shared" ca="1" si="3950"/>
        <v>RL Capex 2035-36</v>
      </c>
      <c r="C2704" s="1429"/>
      <c r="D2704" s="1429"/>
      <c r="E2704" s="1429"/>
      <c r="F2704" s="1429"/>
      <c r="G2704" s="1429"/>
      <c r="H2704" s="1429"/>
      <c r="I2704" s="1429"/>
      <c r="J2704" s="1429"/>
      <c r="K2704" s="1429"/>
      <c r="L2704" s="1429"/>
      <c r="M2704" s="1429"/>
      <c r="N2704" s="1429"/>
      <c r="O2704" s="1429"/>
      <c r="P2704" s="1429"/>
      <c r="Q2704" s="1429"/>
      <c r="R2704" s="1429"/>
      <c r="S2704" s="1429"/>
      <c r="T2704" s="1429"/>
      <c r="U2704" s="1429"/>
      <c r="V2704" s="1424"/>
      <c r="W2704" s="1423">
        <f>W2656</f>
        <v>0</v>
      </c>
      <c r="X2704" s="152"/>
      <c r="Y2704" s="152"/>
      <c r="Z2704" s="152"/>
      <c r="AA2704" s="152"/>
      <c r="AB2704" s="152"/>
    </row>
    <row r="2705" spans="1:28" hidden="1" outlineLevel="1">
      <c r="A2705" s="152"/>
      <c r="B2705" s="200"/>
      <c r="C2705" s="1423"/>
      <c r="D2705" s="1423"/>
      <c r="E2705" s="1423"/>
      <c r="F2705" s="1423"/>
      <c r="G2705" s="1423"/>
      <c r="H2705" s="1423"/>
      <c r="I2705" s="1423"/>
      <c r="J2705" s="1423"/>
      <c r="K2705" s="1423"/>
      <c r="L2705" s="1423"/>
      <c r="M2705" s="1423"/>
      <c r="N2705" s="1423"/>
      <c r="O2705" s="1423"/>
      <c r="P2705" s="1423"/>
      <c r="Q2705" s="1423"/>
      <c r="R2705" s="1423"/>
      <c r="S2705" s="1423"/>
      <c r="T2705" s="1423"/>
      <c r="U2705" s="1423"/>
      <c r="V2705" s="1423"/>
      <c r="W2705" s="1423"/>
      <c r="X2705" s="152"/>
      <c r="Y2705" s="152"/>
      <c r="Z2705" s="152"/>
      <c r="AA2705" s="152"/>
      <c r="AB2705" s="152"/>
    </row>
    <row r="2706" spans="1:28" collapsed="1">
      <c r="A2706" s="194"/>
      <c r="B2706" s="204" t="s">
        <v>123</v>
      </c>
      <c r="C2706" s="1430">
        <f ca="1">(IF(OR($C2656&lt;&gt;"n/a",C2656&lt;&gt;"n/a"),IF(SUM(C2659:C2681)=0,0,IF((SUMPRODUCT(C2659:C2681,C2683:C2705)/SUM(C2659:C2681))&lt;0,1,(SUMPRODUCT(C2659:C2681,C2683:C2705)/SUM(C2659:C2681)))),"n/a"))</f>
        <v>0</v>
      </c>
      <c r="D2706" s="1430">
        <f ca="1">(IF(OR($C2656&lt;&gt;"n/a",D2656&lt;&gt;"n/a"),IF(SUM(D2659:D2681)=0,0,IF((SUMPRODUCT(D2659:D2681,D2683:D2705)/SUM(D2659:D2681))&lt;0,1,(SUMPRODUCT(D2659:D2681,D2683:D2705)/SUM(D2659:D2681)))),"n/a"))</f>
        <v>0</v>
      </c>
      <c r="E2706" s="1430">
        <f t="shared" ref="E2706:W2706" ca="1" si="3951">(IF(OR($C2656&lt;&gt;"n/a",E2656&lt;&gt;"n/a"),IF(SUM(E2659:E2681)=0,0,IF((SUMPRODUCT(E2659:E2681,E2683:E2705)/SUM(E2659:E2681))&lt;0,1,(SUMPRODUCT(E2659:E2681,E2683:E2705)/SUM(E2659:E2681)))),"n/a"))</f>
        <v>0</v>
      </c>
      <c r="F2706" s="1430">
        <f t="shared" ca="1" si="3951"/>
        <v>0</v>
      </c>
      <c r="G2706" s="1430">
        <f t="shared" ca="1" si="3951"/>
        <v>0</v>
      </c>
      <c r="H2706" s="1430">
        <f t="shared" ca="1" si="3951"/>
        <v>0</v>
      </c>
      <c r="I2706" s="1430">
        <f t="shared" ca="1" si="3951"/>
        <v>0</v>
      </c>
      <c r="J2706" s="1430">
        <f t="shared" ca="1" si="3951"/>
        <v>0</v>
      </c>
      <c r="K2706" s="1430">
        <f t="shared" ca="1" si="3951"/>
        <v>0</v>
      </c>
      <c r="L2706" s="1430">
        <f t="shared" ca="1" si="3951"/>
        <v>0</v>
      </c>
      <c r="M2706" s="1430">
        <f t="shared" ca="1" si="3951"/>
        <v>0</v>
      </c>
      <c r="N2706" s="1430">
        <f t="shared" ca="1" si="3951"/>
        <v>0</v>
      </c>
      <c r="O2706" s="1430">
        <f t="shared" ca="1" si="3951"/>
        <v>0</v>
      </c>
      <c r="P2706" s="1430">
        <f t="shared" ca="1" si="3951"/>
        <v>0</v>
      </c>
      <c r="Q2706" s="1430">
        <f t="shared" ca="1" si="3951"/>
        <v>0</v>
      </c>
      <c r="R2706" s="1430">
        <f t="shared" ca="1" si="3951"/>
        <v>0</v>
      </c>
      <c r="S2706" s="1430">
        <f t="shared" ca="1" si="3951"/>
        <v>0</v>
      </c>
      <c r="T2706" s="1430">
        <f t="shared" ca="1" si="3951"/>
        <v>0</v>
      </c>
      <c r="U2706" s="1430">
        <f t="shared" ca="1" si="3951"/>
        <v>0</v>
      </c>
      <c r="V2706" s="1430">
        <f t="shared" ca="1" si="3951"/>
        <v>0</v>
      </c>
      <c r="W2706" s="1430">
        <f t="shared" ca="1" si="3951"/>
        <v>0</v>
      </c>
      <c r="X2706" s="152"/>
      <c r="Y2706" s="152"/>
      <c r="Z2706" s="152"/>
      <c r="AA2706" s="152"/>
      <c r="AB2706" s="152"/>
    </row>
    <row r="2707" spans="1:28">
      <c r="A2707" s="152"/>
      <c r="B2707" s="152"/>
      <c r="C2707" s="197"/>
      <c r="D2707" s="197"/>
      <c r="E2707" s="197"/>
      <c r="F2707" s="197"/>
      <c r="G2707" s="197"/>
      <c r="H2707" s="197"/>
      <c r="I2707" s="197"/>
      <c r="J2707" s="197"/>
      <c r="K2707" s="197"/>
      <c r="L2707" s="197"/>
      <c r="M2707" s="197"/>
      <c r="N2707" s="197"/>
      <c r="O2707" s="197"/>
      <c r="P2707" s="197"/>
      <c r="Q2707" s="197"/>
      <c r="R2707" s="197"/>
      <c r="S2707" s="197"/>
      <c r="T2707" s="197"/>
      <c r="U2707" s="197"/>
      <c r="V2707" s="197"/>
      <c r="W2707" s="197"/>
      <c r="X2707" s="152"/>
      <c r="Y2707" s="152"/>
      <c r="Z2707" s="152"/>
      <c r="AA2707" s="152"/>
      <c r="AB2707" s="152"/>
    </row>
    <row r="2708" spans="1:28">
      <c r="A2708" s="152"/>
      <c r="B2708" s="152"/>
      <c r="C2708" s="197"/>
      <c r="D2708" s="197"/>
      <c r="E2708" s="197"/>
      <c r="F2708" s="197"/>
      <c r="G2708" s="197"/>
      <c r="H2708" s="197"/>
      <c r="I2708" s="197"/>
      <c r="J2708" s="197"/>
      <c r="K2708" s="197"/>
      <c r="L2708" s="197"/>
      <c r="M2708" s="197"/>
      <c r="N2708" s="197"/>
      <c r="O2708" s="197"/>
      <c r="P2708" s="197"/>
      <c r="Q2708" s="197"/>
      <c r="R2708" s="197"/>
      <c r="S2708" s="197"/>
      <c r="T2708" s="197"/>
      <c r="U2708" s="197"/>
      <c r="V2708" s="197"/>
      <c r="W2708" s="197"/>
      <c r="X2708" s="152"/>
      <c r="Y2708" s="152"/>
      <c r="Z2708" s="152"/>
      <c r="AA2708" s="152"/>
      <c r="AB2708" s="152"/>
    </row>
    <row r="2709" spans="1:28">
      <c r="A2709" s="152"/>
      <c r="B2709" s="152"/>
      <c r="C2709" s="197"/>
      <c r="D2709" s="197"/>
      <c r="E2709" s="197"/>
      <c r="F2709" s="197"/>
      <c r="G2709" s="197"/>
      <c r="H2709" s="197"/>
      <c r="I2709" s="197"/>
      <c r="J2709" s="197"/>
      <c r="K2709" s="197"/>
      <c r="L2709" s="197"/>
      <c r="M2709" s="197"/>
      <c r="N2709" s="197"/>
      <c r="O2709" s="197"/>
      <c r="P2709" s="197"/>
      <c r="Q2709" s="197"/>
      <c r="R2709" s="197"/>
      <c r="S2709" s="197"/>
      <c r="T2709" s="197"/>
      <c r="U2709" s="197"/>
      <c r="V2709" s="197"/>
      <c r="W2709" s="197"/>
      <c r="X2709" s="152"/>
      <c r="Y2709" s="152"/>
      <c r="Z2709" s="152"/>
      <c r="AA2709" s="152"/>
      <c r="AB2709" s="152"/>
    </row>
    <row r="2710" spans="1:28">
      <c r="A2710" s="152"/>
      <c r="B2710" s="152"/>
      <c r="C2710" s="197"/>
      <c r="D2710" s="197"/>
      <c r="E2710" s="197"/>
      <c r="F2710" s="197"/>
      <c r="G2710" s="197"/>
      <c r="H2710" s="197"/>
      <c r="I2710" s="197"/>
      <c r="J2710" s="197"/>
      <c r="K2710" s="197"/>
      <c r="L2710" s="197"/>
      <c r="M2710" s="197"/>
      <c r="N2710" s="197"/>
      <c r="O2710" s="197"/>
      <c r="P2710" s="197"/>
      <c r="Q2710" s="197"/>
      <c r="R2710" s="197"/>
      <c r="S2710" s="197"/>
      <c r="T2710" s="197"/>
      <c r="U2710" s="197"/>
      <c r="V2710" s="197"/>
      <c r="W2710" s="197"/>
      <c r="X2710" s="152"/>
      <c r="Y2710" s="152"/>
      <c r="Z2710" s="152"/>
      <c r="AA2710" s="152"/>
      <c r="AB2710" s="152"/>
    </row>
    <row r="2711" spans="1:28">
      <c r="A2711" s="152"/>
      <c r="B2711" s="152"/>
      <c r="C2711" s="152"/>
      <c r="D2711" s="152"/>
      <c r="E2711" s="152"/>
      <c r="F2711" s="152"/>
      <c r="G2711" s="152"/>
      <c r="H2711" s="152"/>
      <c r="I2711" s="152"/>
      <c r="J2711" s="152"/>
      <c r="K2711" s="152"/>
      <c r="L2711" s="152"/>
      <c r="M2711" s="152"/>
      <c r="N2711" s="152"/>
      <c r="O2711" s="152"/>
      <c r="P2711" s="152"/>
      <c r="Q2711" s="152"/>
      <c r="R2711" s="152"/>
      <c r="S2711" s="152"/>
      <c r="T2711" s="152"/>
      <c r="U2711" s="152"/>
      <c r="V2711" s="152"/>
      <c r="W2711" s="152"/>
      <c r="X2711" s="152"/>
      <c r="Y2711" s="152"/>
      <c r="Z2711" s="152"/>
      <c r="AA2711" s="152"/>
      <c r="AB2711" s="152"/>
    </row>
    <row r="2712" spans="1:28">
      <c r="A2712" s="152"/>
      <c r="B2712" s="152"/>
      <c r="C2712" s="152"/>
      <c r="D2712" s="152"/>
      <c r="E2712" s="152"/>
      <c r="F2712" s="152"/>
      <c r="G2712" s="152"/>
      <c r="H2712" s="152"/>
      <c r="I2712" s="152"/>
      <c r="J2712" s="152"/>
      <c r="K2712" s="152"/>
      <c r="L2712" s="152"/>
      <c r="M2712" s="152"/>
      <c r="N2712" s="152"/>
      <c r="O2712" s="152"/>
      <c r="P2712" s="152"/>
      <c r="Q2712" s="152"/>
      <c r="R2712" s="152"/>
      <c r="S2712" s="152"/>
      <c r="T2712" s="152"/>
      <c r="U2712" s="152"/>
      <c r="V2712" s="152"/>
      <c r="W2712" s="152"/>
      <c r="X2712" s="152"/>
      <c r="Y2712" s="152"/>
      <c r="Z2712" s="152"/>
      <c r="AA2712" s="152"/>
      <c r="AB2712" s="152"/>
    </row>
    <row r="2713" spans="1:28">
      <c r="A2713" s="152"/>
      <c r="B2713" s="152"/>
      <c r="C2713" s="152"/>
      <c r="D2713" s="152"/>
      <c r="E2713" s="152"/>
      <c r="F2713" s="152"/>
      <c r="G2713" s="152"/>
      <c r="H2713" s="152"/>
      <c r="I2713" s="152"/>
      <c r="J2713" s="152"/>
      <c r="K2713" s="152"/>
      <c r="L2713" s="152"/>
      <c r="M2713" s="152"/>
      <c r="N2713" s="152"/>
      <c r="O2713" s="152"/>
      <c r="P2713" s="152"/>
      <c r="Q2713" s="152"/>
      <c r="R2713" s="152"/>
      <c r="S2713" s="152"/>
      <c r="T2713" s="152"/>
      <c r="U2713" s="152"/>
      <c r="V2713" s="152"/>
      <c r="W2713" s="152"/>
      <c r="X2713" s="152"/>
      <c r="Y2713" s="152"/>
      <c r="Z2713" s="152"/>
      <c r="AA2713" s="152"/>
      <c r="AB2713" s="152"/>
    </row>
    <row r="2714" spans="1:28">
      <c r="A2714" s="152"/>
      <c r="B2714" s="152"/>
      <c r="C2714" s="152"/>
      <c r="D2714" s="152"/>
      <c r="E2714" s="152"/>
      <c r="F2714" s="152"/>
      <c r="G2714" s="152"/>
      <c r="H2714" s="152"/>
      <c r="I2714" s="152"/>
      <c r="J2714" s="152"/>
      <c r="K2714" s="152"/>
      <c r="L2714" s="152"/>
      <c r="M2714" s="152"/>
      <c r="N2714" s="152"/>
      <c r="O2714" s="152"/>
      <c r="P2714" s="152"/>
      <c r="Q2714" s="152"/>
      <c r="R2714" s="152"/>
      <c r="S2714" s="152"/>
      <c r="T2714" s="152"/>
      <c r="U2714" s="152"/>
      <c r="V2714" s="152"/>
      <c r="W2714" s="152"/>
      <c r="X2714" s="152"/>
      <c r="Y2714" s="152"/>
      <c r="Z2714" s="152"/>
      <c r="AA2714" s="152"/>
      <c r="AB2714" s="152"/>
    </row>
    <row r="2715" spans="1:28">
      <c r="A2715" s="152"/>
      <c r="B2715" s="152"/>
      <c r="C2715" s="152"/>
      <c r="D2715" s="152"/>
      <c r="E2715" s="152"/>
      <c r="F2715" s="152"/>
      <c r="G2715" s="152"/>
      <c r="H2715" s="152"/>
      <c r="I2715" s="152"/>
      <c r="J2715" s="152"/>
      <c r="K2715" s="152"/>
      <c r="L2715" s="152"/>
      <c r="M2715" s="152"/>
      <c r="N2715" s="152"/>
      <c r="O2715" s="152"/>
      <c r="P2715" s="152"/>
      <c r="Q2715" s="152"/>
      <c r="R2715" s="152"/>
      <c r="S2715" s="152"/>
      <c r="T2715" s="152"/>
      <c r="U2715" s="152"/>
      <c r="V2715" s="152"/>
      <c r="W2715" s="152"/>
      <c r="X2715" s="152"/>
      <c r="Y2715" s="152"/>
      <c r="Z2715" s="152"/>
      <c r="AA2715" s="152"/>
      <c r="AB2715" s="152"/>
    </row>
    <row r="2716" spans="1:28">
      <c r="A2716" s="152"/>
      <c r="B2716" s="152"/>
      <c r="C2716" s="152"/>
      <c r="D2716" s="152"/>
      <c r="E2716" s="152"/>
      <c r="F2716" s="152"/>
      <c r="G2716" s="152"/>
      <c r="H2716" s="152"/>
      <c r="I2716" s="152"/>
      <c r="J2716" s="152"/>
      <c r="K2716" s="152"/>
      <c r="L2716" s="152"/>
      <c r="M2716" s="152"/>
      <c r="N2716" s="152"/>
      <c r="O2716" s="152"/>
      <c r="P2716" s="152"/>
      <c r="Q2716" s="152"/>
      <c r="R2716" s="152"/>
      <c r="S2716" s="152"/>
      <c r="T2716" s="152"/>
      <c r="U2716" s="152"/>
      <c r="V2716" s="152"/>
      <c r="W2716" s="152"/>
      <c r="X2716" s="152"/>
      <c r="Y2716" s="152"/>
      <c r="Z2716" s="152"/>
      <c r="AA2716" s="152"/>
      <c r="AB2716" s="152"/>
    </row>
    <row r="2717" spans="1:28">
      <c r="A2717" s="152"/>
      <c r="B2717" s="152"/>
      <c r="C2717" s="152"/>
      <c r="D2717" s="152"/>
      <c r="E2717" s="152"/>
      <c r="F2717" s="152"/>
      <c r="G2717" s="152"/>
      <c r="H2717" s="152"/>
      <c r="I2717" s="152"/>
      <c r="J2717" s="152"/>
      <c r="K2717" s="152"/>
      <c r="L2717" s="152"/>
      <c r="M2717" s="152"/>
      <c r="N2717" s="152"/>
      <c r="O2717" s="152"/>
      <c r="P2717" s="152"/>
      <c r="Q2717" s="152"/>
      <c r="R2717" s="152"/>
      <c r="S2717" s="152"/>
      <c r="T2717" s="152"/>
      <c r="U2717" s="152"/>
      <c r="V2717" s="152"/>
      <c r="W2717" s="152"/>
      <c r="X2717" s="152"/>
      <c r="Y2717" s="152"/>
      <c r="Z2717" s="152"/>
      <c r="AA2717" s="152"/>
      <c r="AB2717" s="152"/>
    </row>
    <row r="2718" spans="1:28">
      <c r="A2718" s="152"/>
      <c r="B2718" s="152"/>
      <c r="C2718" s="152"/>
      <c r="D2718" s="152"/>
      <c r="E2718" s="152"/>
      <c r="F2718" s="152"/>
      <c r="G2718" s="152"/>
      <c r="H2718" s="152"/>
      <c r="I2718" s="152"/>
      <c r="J2718" s="152"/>
      <c r="K2718" s="152"/>
      <c r="L2718" s="152"/>
      <c r="M2718" s="152"/>
      <c r="N2718" s="152"/>
      <c r="O2718" s="152"/>
      <c r="P2718" s="152"/>
      <c r="Q2718" s="152"/>
      <c r="R2718" s="152"/>
      <c r="S2718" s="152"/>
      <c r="T2718" s="152"/>
      <c r="U2718" s="152"/>
      <c r="V2718" s="152"/>
      <c r="W2718" s="152"/>
      <c r="X2718" s="152"/>
      <c r="Y2718" s="152"/>
      <c r="Z2718" s="152"/>
      <c r="AA2718" s="152"/>
      <c r="AB2718" s="152"/>
    </row>
    <row r="2719" spans="1:28">
      <c r="A2719" s="152"/>
      <c r="B2719" s="152"/>
      <c r="C2719" s="152"/>
      <c r="D2719" s="152"/>
      <c r="E2719" s="152"/>
      <c r="F2719" s="152"/>
      <c r="G2719" s="152"/>
      <c r="H2719" s="152"/>
      <c r="I2719" s="152"/>
      <c r="J2719" s="152"/>
      <c r="K2719" s="152"/>
      <c r="L2719" s="152"/>
      <c r="M2719" s="152"/>
      <c r="N2719" s="152"/>
      <c r="O2719" s="152"/>
      <c r="P2719" s="152"/>
      <c r="Q2719" s="152"/>
      <c r="R2719" s="152"/>
      <c r="S2719" s="152"/>
      <c r="T2719" s="152"/>
      <c r="U2719" s="152"/>
      <c r="V2719" s="152"/>
      <c r="W2719" s="152"/>
      <c r="X2719" s="152"/>
      <c r="Y2719" s="152"/>
      <c r="Z2719" s="152"/>
      <c r="AA2719" s="152"/>
      <c r="AB2719" s="152"/>
    </row>
    <row r="2720" spans="1:28">
      <c r="A2720" s="152"/>
      <c r="B2720" s="152"/>
      <c r="C2720" s="152"/>
      <c r="D2720" s="152"/>
      <c r="E2720" s="152"/>
      <c r="F2720" s="152"/>
      <c r="G2720" s="152"/>
      <c r="H2720" s="152"/>
      <c r="I2720" s="152"/>
      <c r="J2720" s="152"/>
      <c r="K2720" s="152"/>
      <c r="L2720" s="152"/>
      <c r="M2720" s="152"/>
      <c r="N2720" s="152"/>
      <c r="O2720" s="152"/>
      <c r="P2720" s="152"/>
      <c r="Q2720" s="152"/>
      <c r="R2720" s="152"/>
      <c r="S2720" s="152"/>
      <c r="T2720" s="152"/>
      <c r="U2720" s="152"/>
      <c r="V2720" s="152"/>
      <c r="W2720" s="152"/>
      <c r="X2720" s="152"/>
      <c r="Y2720" s="152"/>
      <c r="Z2720" s="152"/>
      <c r="AA2720" s="152"/>
      <c r="AB2720" s="152"/>
    </row>
    <row r="2721" spans="1:28">
      <c r="A2721" s="152"/>
      <c r="B2721" s="152"/>
      <c r="C2721" s="152"/>
      <c r="D2721" s="152"/>
      <c r="E2721" s="152"/>
      <c r="F2721" s="152"/>
      <c r="G2721" s="152"/>
      <c r="H2721" s="152"/>
      <c r="I2721" s="152"/>
      <c r="J2721" s="152"/>
      <c r="K2721" s="152"/>
      <c r="L2721" s="152"/>
      <c r="M2721" s="152"/>
      <c r="N2721" s="152"/>
      <c r="O2721" s="152"/>
      <c r="P2721" s="152"/>
      <c r="Q2721" s="152"/>
      <c r="R2721" s="152"/>
      <c r="S2721" s="152"/>
      <c r="T2721" s="152"/>
      <c r="U2721" s="152"/>
      <c r="V2721" s="152"/>
      <c r="W2721" s="152"/>
      <c r="X2721" s="152"/>
      <c r="Y2721" s="152"/>
      <c r="Z2721" s="152"/>
      <c r="AA2721" s="152"/>
      <c r="AB2721" s="152"/>
    </row>
    <row r="2722" spans="1:28">
      <c r="A2722" s="152"/>
      <c r="B2722" s="152"/>
      <c r="C2722" s="152"/>
      <c r="D2722" s="152"/>
      <c r="E2722" s="152"/>
      <c r="F2722" s="152"/>
      <c r="G2722" s="152"/>
      <c r="H2722" s="152"/>
      <c r="I2722" s="152"/>
      <c r="J2722" s="152"/>
      <c r="K2722" s="152"/>
      <c r="L2722" s="152"/>
      <c r="M2722" s="152"/>
      <c r="N2722" s="152"/>
      <c r="O2722" s="152"/>
      <c r="P2722" s="152"/>
      <c r="Q2722" s="152"/>
      <c r="R2722" s="152"/>
      <c r="S2722" s="152"/>
      <c r="T2722" s="152"/>
      <c r="U2722" s="152"/>
      <c r="V2722" s="152"/>
      <c r="W2722" s="152"/>
      <c r="X2722" s="152"/>
      <c r="Y2722" s="152"/>
      <c r="Z2722" s="152"/>
      <c r="AA2722" s="152"/>
      <c r="AB2722" s="152"/>
    </row>
    <row r="2723" spans="1:28">
      <c r="A2723" s="152"/>
      <c r="B2723" s="152"/>
      <c r="C2723" s="152"/>
      <c r="D2723" s="152"/>
      <c r="E2723" s="152"/>
      <c r="F2723" s="152"/>
      <c r="G2723" s="152"/>
      <c r="H2723" s="152"/>
      <c r="I2723" s="152"/>
      <c r="J2723" s="152"/>
      <c r="K2723" s="152"/>
      <c r="L2723" s="152"/>
      <c r="M2723" s="152"/>
      <c r="N2723" s="152"/>
      <c r="O2723" s="152"/>
      <c r="P2723" s="152"/>
      <c r="Q2723" s="152"/>
      <c r="R2723" s="152"/>
      <c r="S2723" s="152"/>
      <c r="T2723" s="152"/>
      <c r="U2723" s="152"/>
      <c r="V2723" s="152"/>
      <c r="W2723" s="152"/>
      <c r="X2723" s="152"/>
      <c r="Y2723" s="152"/>
      <c r="Z2723" s="152"/>
      <c r="AA2723" s="152"/>
      <c r="AB2723" s="152"/>
    </row>
    <row r="2724" spans="1:28">
      <c r="A2724" s="152"/>
      <c r="B2724" s="152"/>
      <c r="C2724" s="152"/>
      <c r="D2724" s="152"/>
      <c r="E2724" s="152"/>
      <c r="F2724" s="152"/>
      <c r="G2724" s="152"/>
      <c r="H2724" s="152"/>
      <c r="I2724" s="152"/>
      <c r="J2724" s="152"/>
      <c r="K2724" s="152"/>
      <c r="L2724" s="152"/>
      <c r="M2724" s="152"/>
      <c r="N2724" s="152"/>
      <c r="O2724" s="152"/>
      <c r="P2724" s="152"/>
      <c r="Q2724" s="152"/>
      <c r="R2724" s="152"/>
      <c r="S2724" s="152"/>
      <c r="T2724" s="152"/>
      <c r="U2724" s="152"/>
      <c r="V2724" s="152"/>
      <c r="W2724" s="152"/>
      <c r="X2724" s="152"/>
      <c r="Y2724" s="152"/>
      <c r="Z2724" s="152"/>
      <c r="AA2724" s="152"/>
      <c r="AB2724" s="152"/>
    </row>
    <row r="2725" spans="1:28">
      <c r="A2725" s="152"/>
      <c r="B2725" s="152"/>
      <c r="C2725" s="152"/>
      <c r="D2725" s="152"/>
      <c r="E2725" s="152"/>
      <c r="F2725" s="152"/>
      <c r="G2725" s="152"/>
      <c r="H2725" s="152"/>
      <c r="I2725" s="152"/>
      <c r="J2725" s="152"/>
      <c r="K2725" s="152"/>
      <c r="L2725" s="152"/>
      <c r="M2725" s="152"/>
      <c r="N2725" s="152"/>
      <c r="O2725" s="152"/>
      <c r="P2725" s="152"/>
      <c r="Q2725" s="152"/>
      <c r="R2725" s="152"/>
      <c r="S2725" s="152"/>
      <c r="T2725" s="152"/>
      <c r="U2725" s="152"/>
      <c r="V2725" s="152"/>
      <c r="W2725" s="152"/>
      <c r="X2725" s="152"/>
      <c r="Y2725" s="152"/>
      <c r="Z2725" s="152"/>
      <c r="AA2725" s="152"/>
      <c r="AB2725" s="152"/>
    </row>
    <row r="2726" spans="1:28">
      <c r="A2726" s="152"/>
      <c r="B2726" s="152"/>
      <c r="C2726" s="152"/>
      <c r="D2726" s="152"/>
      <c r="E2726" s="152"/>
      <c r="F2726" s="152"/>
      <c r="G2726" s="152"/>
      <c r="H2726" s="152"/>
      <c r="I2726" s="152"/>
      <c r="J2726" s="152"/>
      <c r="K2726" s="152"/>
      <c r="L2726" s="152"/>
      <c r="M2726" s="152"/>
      <c r="N2726" s="152"/>
      <c r="O2726" s="152"/>
      <c r="P2726" s="152"/>
      <c r="Q2726" s="152"/>
      <c r="R2726" s="152"/>
      <c r="S2726" s="152"/>
      <c r="T2726" s="152"/>
      <c r="U2726" s="152"/>
      <c r="V2726" s="152"/>
      <c r="W2726" s="152"/>
      <c r="X2726" s="152"/>
      <c r="Y2726" s="152"/>
      <c r="Z2726" s="152"/>
      <c r="AA2726" s="152"/>
      <c r="AB2726" s="152"/>
    </row>
    <row r="2727" spans="1:28">
      <c r="A2727" s="152"/>
      <c r="B2727" s="152"/>
      <c r="C2727" s="152"/>
      <c r="D2727" s="152"/>
      <c r="E2727" s="152"/>
      <c r="F2727" s="152"/>
      <c r="G2727" s="152"/>
      <c r="H2727" s="152"/>
      <c r="I2727" s="152"/>
      <c r="J2727" s="152"/>
      <c r="K2727" s="152"/>
      <c r="L2727" s="152"/>
      <c r="M2727" s="152"/>
      <c r="N2727" s="152"/>
      <c r="O2727" s="152"/>
      <c r="P2727" s="152"/>
      <c r="Q2727" s="152"/>
      <c r="R2727" s="152"/>
      <c r="S2727" s="152"/>
      <c r="T2727" s="152"/>
      <c r="U2727" s="152"/>
      <c r="V2727" s="152"/>
      <c r="W2727" s="152"/>
      <c r="X2727" s="152"/>
      <c r="Y2727" s="152"/>
      <c r="Z2727" s="152"/>
      <c r="AA2727" s="152"/>
      <c r="AB2727" s="152"/>
    </row>
    <row r="2728" spans="1:28">
      <c r="A2728" s="152"/>
      <c r="B2728" s="152"/>
      <c r="C2728" s="152"/>
      <c r="D2728" s="152"/>
      <c r="E2728" s="152"/>
      <c r="F2728" s="152"/>
      <c r="G2728" s="152"/>
      <c r="H2728" s="152"/>
      <c r="I2728" s="152"/>
      <c r="J2728" s="152"/>
      <c r="K2728" s="152"/>
      <c r="L2728" s="152"/>
      <c r="M2728" s="152"/>
      <c r="N2728" s="152"/>
      <c r="O2728" s="152"/>
      <c r="P2728" s="152"/>
      <c r="Q2728" s="152"/>
      <c r="R2728" s="152"/>
      <c r="S2728" s="152"/>
      <c r="T2728" s="152"/>
      <c r="U2728" s="152"/>
      <c r="V2728" s="152"/>
      <c r="W2728" s="152"/>
      <c r="X2728" s="152"/>
      <c r="Y2728" s="152"/>
      <c r="Z2728" s="152"/>
      <c r="AA2728" s="152"/>
      <c r="AB2728" s="152"/>
    </row>
    <row r="2729" spans="1:28">
      <c r="A2729" s="152"/>
      <c r="B2729" s="152"/>
      <c r="C2729" s="152"/>
      <c r="D2729" s="152"/>
      <c r="E2729" s="152"/>
      <c r="F2729" s="152"/>
      <c r="G2729" s="152"/>
      <c r="H2729" s="152"/>
      <c r="I2729" s="152"/>
      <c r="J2729" s="152"/>
      <c r="K2729" s="152"/>
      <c r="L2729" s="152"/>
      <c r="M2729" s="152"/>
      <c r="N2729" s="152"/>
      <c r="O2729" s="152"/>
      <c r="P2729" s="152"/>
      <c r="Q2729" s="152"/>
      <c r="R2729" s="152"/>
      <c r="S2729" s="152"/>
      <c r="T2729" s="152"/>
      <c r="U2729" s="152"/>
      <c r="V2729" s="152"/>
      <c r="W2729" s="152"/>
      <c r="X2729" s="152"/>
      <c r="Y2729" s="152"/>
      <c r="Z2729" s="152"/>
      <c r="AA2729" s="152"/>
      <c r="AB2729" s="152"/>
    </row>
    <row r="2730" spans="1:28">
      <c r="A2730" s="152"/>
      <c r="B2730" s="152"/>
      <c r="C2730" s="152"/>
      <c r="D2730" s="152"/>
      <c r="E2730" s="152"/>
      <c r="F2730" s="152"/>
      <c r="G2730" s="152"/>
      <c r="H2730" s="152"/>
      <c r="I2730" s="152"/>
      <c r="J2730" s="152"/>
      <c r="K2730" s="152"/>
      <c r="L2730" s="152"/>
      <c r="M2730" s="152"/>
      <c r="N2730" s="152"/>
      <c r="O2730" s="152"/>
      <c r="P2730" s="152"/>
      <c r="Q2730" s="152"/>
      <c r="R2730" s="152"/>
      <c r="S2730" s="152"/>
      <c r="T2730" s="152"/>
      <c r="U2730" s="152"/>
      <c r="V2730" s="152"/>
      <c r="W2730" s="152"/>
      <c r="X2730" s="152"/>
      <c r="Y2730" s="152"/>
      <c r="Z2730" s="152"/>
      <c r="AA2730" s="152"/>
      <c r="AB2730" s="152"/>
    </row>
    <row r="2731" spans="1:28">
      <c r="A2731" s="152"/>
      <c r="B2731" s="152"/>
      <c r="C2731" s="152"/>
      <c r="D2731" s="152"/>
      <c r="E2731" s="152"/>
      <c r="F2731" s="152"/>
      <c r="G2731" s="152"/>
      <c r="H2731" s="152"/>
      <c r="I2731" s="152"/>
      <c r="J2731" s="152"/>
      <c r="K2731" s="152"/>
      <c r="L2731" s="152"/>
      <c r="M2731" s="152"/>
      <c r="N2731" s="152"/>
      <c r="O2731" s="152"/>
      <c r="P2731" s="152"/>
      <c r="Q2731" s="152"/>
      <c r="R2731" s="152"/>
      <c r="S2731" s="152"/>
      <c r="T2731" s="152"/>
      <c r="U2731" s="152"/>
      <c r="V2731" s="152"/>
      <c r="W2731" s="152"/>
      <c r="X2731" s="152"/>
      <c r="Y2731" s="152"/>
      <c r="Z2731" s="152"/>
      <c r="AA2731" s="152"/>
      <c r="AB2731" s="152"/>
    </row>
    <row r="2732" spans="1:28">
      <c r="A2732" s="152"/>
      <c r="B2732" s="152"/>
      <c r="C2732" s="152"/>
      <c r="D2732" s="152"/>
      <c r="E2732" s="152"/>
      <c r="F2732" s="152"/>
      <c r="G2732" s="152"/>
      <c r="H2732" s="152"/>
      <c r="I2732" s="152"/>
      <c r="J2732" s="152"/>
      <c r="K2732" s="152"/>
      <c r="L2732" s="152"/>
      <c r="M2732" s="152"/>
      <c r="N2732" s="152"/>
      <c r="O2732" s="152"/>
      <c r="P2732" s="152"/>
      <c r="Q2732" s="152"/>
      <c r="R2732" s="152"/>
      <c r="S2732" s="152"/>
      <c r="T2732" s="152"/>
      <c r="U2732" s="152"/>
      <c r="V2732" s="152"/>
      <c r="W2732" s="152"/>
      <c r="X2732" s="152"/>
      <c r="Y2732" s="152"/>
      <c r="Z2732" s="152"/>
      <c r="AA2732" s="152"/>
      <c r="AB2732" s="152"/>
    </row>
    <row r="2733" spans="1:28">
      <c r="A2733" s="152"/>
      <c r="B2733" s="152"/>
      <c r="C2733" s="152"/>
      <c r="D2733" s="152"/>
      <c r="E2733" s="152"/>
      <c r="F2733" s="152"/>
      <c r="G2733" s="152"/>
      <c r="H2733" s="152"/>
      <c r="I2733" s="152"/>
      <c r="J2733" s="152"/>
      <c r="K2733" s="152"/>
      <c r="L2733" s="152"/>
      <c r="M2733" s="152"/>
      <c r="N2733" s="152"/>
      <c r="O2733" s="152"/>
      <c r="P2733" s="152"/>
      <c r="Q2733" s="152"/>
      <c r="R2733" s="152"/>
      <c r="S2733" s="152"/>
      <c r="T2733" s="152"/>
      <c r="U2733" s="152"/>
      <c r="V2733" s="152"/>
      <c r="W2733" s="152"/>
      <c r="X2733" s="152"/>
      <c r="Y2733" s="152"/>
      <c r="Z2733" s="152"/>
      <c r="AA2733" s="152"/>
      <c r="AB2733" s="152"/>
    </row>
    <row r="2734" spans="1:28">
      <c r="A2734" s="152"/>
      <c r="B2734" s="152"/>
      <c r="C2734" s="152"/>
      <c r="D2734" s="152"/>
      <c r="E2734" s="152"/>
      <c r="F2734" s="152"/>
      <c r="G2734" s="152"/>
      <c r="H2734" s="152"/>
      <c r="I2734" s="152"/>
      <c r="J2734" s="152"/>
      <c r="K2734" s="152"/>
      <c r="L2734" s="152"/>
      <c r="M2734" s="152"/>
      <c r="N2734" s="152"/>
      <c r="O2734" s="152"/>
      <c r="P2734" s="152"/>
      <c r="Q2734" s="152"/>
      <c r="R2734" s="152"/>
      <c r="S2734" s="152"/>
      <c r="T2734" s="152"/>
      <c r="U2734" s="152"/>
      <c r="V2734" s="152"/>
      <c r="W2734" s="152"/>
      <c r="X2734" s="152"/>
      <c r="Y2734" s="152"/>
      <c r="Z2734" s="152"/>
      <c r="AA2734" s="152"/>
      <c r="AB2734" s="152"/>
    </row>
    <row r="2735" spans="1:28">
      <c r="A2735" s="152"/>
      <c r="B2735" s="152"/>
      <c r="C2735" s="152"/>
      <c r="D2735" s="152"/>
      <c r="E2735" s="152"/>
      <c r="F2735" s="152"/>
      <c r="G2735" s="152"/>
      <c r="H2735" s="152"/>
      <c r="I2735" s="152"/>
      <c r="J2735" s="152"/>
      <c r="K2735" s="152"/>
      <c r="L2735" s="152"/>
      <c r="M2735" s="152"/>
      <c r="N2735" s="152"/>
      <c r="O2735" s="152"/>
      <c r="P2735" s="152"/>
      <c r="Q2735" s="152"/>
      <c r="R2735" s="152"/>
      <c r="S2735" s="152"/>
      <c r="T2735" s="152"/>
      <c r="U2735" s="152"/>
      <c r="V2735" s="152"/>
      <c r="W2735" s="152"/>
      <c r="X2735" s="152"/>
      <c r="Y2735" s="152"/>
      <c r="Z2735" s="152"/>
      <c r="AA2735" s="152"/>
      <c r="AB2735" s="152"/>
    </row>
    <row r="2736" spans="1:28">
      <c r="A2736" s="152"/>
      <c r="B2736" s="152"/>
      <c r="C2736" s="152"/>
      <c r="D2736" s="152"/>
      <c r="E2736" s="152"/>
      <c r="F2736" s="152"/>
      <c r="G2736" s="152"/>
      <c r="H2736" s="152"/>
      <c r="I2736" s="152"/>
      <c r="J2736" s="152"/>
      <c r="K2736" s="152"/>
      <c r="L2736" s="152"/>
      <c r="M2736" s="152"/>
      <c r="N2736" s="152"/>
      <c r="O2736" s="152"/>
      <c r="P2736" s="152"/>
      <c r="Q2736" s="152"/>
      <c r="R2736" s="152"/>
      <c r="S2736" s="152"/>
      <c r="T2736" s="152"/>
      <c r="U2736" s="152"/>
      <c r="V2736" s="152"/>
      <c r="W2736" s="152"/>
      <c r="X2736" s="152"/>
      <c r="Y2736" s="152"/>
      <c r="Z2736" s="152"/>
      <c r="AA2736" s="152"/>
      <c r="AB2736" s="152"/>
    </row>
    <row r="2737" spans="1:28">
      <c r="A2737" s="152"/>
      <c r="B2737" s="152"/>
      <c r="C2737" s="152"/>
      <c r="D2737" s="152"/>
      <c r="E2737" s="152"/>
      <c r="F2737" s="152"/>
      <c r="G2737" s="152"/>
      <c r="H2737" s="152"/>
      <c r="I2737" s="152"/>
      <c r="J2737" s="152"/>
      <c r="K2737" s="152"/>
      <c r="L2737" s="152"/>
      <c r="M2737" s="152"/>
      <c r="N2737" s="152"/>
      <c r="O2737" s="152"/>
      <c r="P2737" s="152"/>
      <c r="Q2737" s="152"/>
      <c r="R2737" s="152"/>
      <c r="S2737" s="152"/>
      <c r="T2737" s="152"/>
      <c r="U2737" s="152"/>
      <c r="V2737" s="152"/>
      <c r="W2737" s="152"/>
      <c r="X2737" s="152"/>
      <c r="Y2737" s="152"/>
      <c r="Z2737" s="152"/>
      <c r="AA2737" s="152"/>
      <c r="AB2737" s="152"/>
    </row>
    <row r="2738" spans="1:28">
      <c r="A2738" s="152"/>
      <c r="B2738" s="152"/>
      <c r="C2738" s="152"/>
      <c r="D2738" s="152"/>
      <c r="E2738" s="152"/>
      <c r="F2738" s="152"/>
      <c r="G2738" s="152"/>
      <c r="H2738" s="152"/>
      <c r="I2738" s="152"/>
      <c r="J2738" s="152"/>
      <c r="K2738" s="152"/>
      <c r="L2738" s="152"/>
      <c r="M2738" s="152"/>
      <c r="N2738" s="152"/>
      <c r="O2738" s="152"/>
      <c r="P2738" s="152"/>
      <c r="Q2738" s="152"/>
      <c r="R2738" s="152"/>
      <c r="S2738" s="152"/>
      <c r="T2738" s="152"/>
      <c r="U2738" s="152"/>
      <c r="V2738" s="152"/>
      <c r="W2738" s="152"/>
      <c r="X2738" s="152"/>
      <c r="Y2738" s="152"/>
      <c r="Z2738" s="152"/>
      <c r="AA2738" s="152"/>
      <c r="AB2738" s="152"/>
    </row>
    <row r="2739" spans="1:28">
      <c r="A2739" s="152"/>
      <c r="B2739" s="152"/>
      <c r="C2739" s="152"/>
      <c r="D2739" s="152"/>
      <c r="E2739" s="152"/>
      <c r="F2739" s="152"/>
      <c r="G2739" s="152"/>
      <c r="H2739" s="152"/>
      <c r="I2739" s="152"/>
      <c r="J2739" s="152"/>
      <c r="K2739" s="152"/>
      <c r="L2739" s="152"/>
      <c r="M2739" s="152"/>
      <c r="N2739" s="152"/>
      <c r="O2739" s="152"/>
      <c r="P2739" s="152"/>
      <c r="Q2739" s="152"/>
      <c r="R2739" s="152"/>
      <c r="S2739" s="152"/>
      <c r="T2739" s="152"/>
      <c r="U2739" s="152"/>
      <c r="V2739" s="152"/>
      <c r="W2739" s="152"/>
      <c r="X2739" s="152"/>
      <c r="Y2739" s="152"/>
      <c r="Z2739" s="152"/>
      <c r="AA2739" s="152"/>
      <c r="AB2739" s="152"/>
    </row>
    <row r="2740" spans="1:28">
      <c r="A2740" s="152"/>
      <c r="B2740" s="152"/>
      <c r="C2740" s="152"/>
      <c r="D2740" s="152"/>
      <c r="E2740" s="152"/>
      <c r="F2740" s="152"/>
      <c r="G2740" s="152"/>
      <c r="H2740" s="152"/>
      <c r="I2740" s="152"/>
      <c r="J2740" s="152"/>
      <c r="K2740" s="152"/>
      <c r="L2740" s="152"/>
      <c r="M2740" s="152"/>
      <c r="N2740" s="152"/>
      <c r="O2740" s="152"/>
      <c r="P2740" s="152"/>
      <c r="Q2740" s="152"/>
      <c r="R2740" s="152"/>
      <c r="S2740" s="152"/>
      <c r="T2740" s="152"/>
      <c r="U2740" s="152"/>
      <c r="V2740" s="152"/>
      <c r="W2740" s="152"/>
      <c r="X2740" s="152"/>
      <c r="Y2740" s="152"/>
      <c r="Z2740" s="152"/>
      <c r="AA2740" s="152"/>
      <c r="AB2740" s="152"/>
    </row>
    <row r="2741" spans="1:28">
      <c r="A2741" s="152"/>
      <c r="B2741" s="152"/>
      <c r="C2741" s="152"/>
      <c r="D2741" s="152"/>
      <c r="E2741" s="152"/>
      <c r="F2741" s="152"/>
      <c r="G2741" s="152"/>
      <c r="H2741" s="152"/>
      <c r="I2741" s="152"/>
      <c r="J2741" s="152"/>
      <c r="K2741" s="152"/>
      <c r="L2741" s="152"/>
      <c r="M2741" s="152"/>
      <c r="N2741" s="152"/>
      <c r="O2741" s="152"/>
      <c r="P2741" s="152"/>
      <c r="Q2741" s="152"/>
      <c r="R2741" s="152"/>
      <c r="S2741" s="152"/>
      <c r="T2741" s="152"/>
      <c r="U2741" s="152"/>
      <c r="V2741" s="152"/>
      <c r="W2741" s="152"/>
      <c r="X2741" s="152"/>
      <c r="Y2741" s="152"/>
      <c r="Z2741" s="152"/>
      <c r="AA2741" s="152"/>
      <c r="AB2741" s="152"/>
    </row>
    <row r="2742" spans="1:28">
      <c r="A2742" s="152"/>
      <c r="B2742" s="152"/>
      <c r="C2742" s="152"/>
      <c r="D2742" s="152"/>
      <c r="E2742" s="152"/>
      <c r="F2742" s="152"/>
      <c r="G2742" s="152"/>
      <c r="H2742" s="152"/>
      <c r="I2742" s="152"/>
      <c r="J2742" s="152"/>
      <c r="K2742" s="152"/>
      <c r="L2742" s="152"/>
      <c r="M2742" s="152"/>
      <c r="N2742" s="152"/>
      <c r="O2742" s="152"/>
      <c r="P2742" s="152"/>
      <c r="Q2742" s="152"/>
      <c r="R2742" s="152"/>
      <c r="S2742" s="152"/>
      <c r="T2742" s="152"/>
      <c r="U2742" s="152"/>
      <c r="V2742" s="152"/>
      <c r="W2742" s="152"/>
      <c r="X2742" s="152"/>
      <c r="Y2742" s="152"/>
      <c r="Z2742" s="152"/>
      <c r="AA2742" s="152"/>
      <c r="AB2742" s="152"/>
    </row>
    <row r="2743" spans="1:28">
      <c r="A2743" s="152"/>
      <c r="B2743" s="152"/>
      <c r="C2743" s="152"/>
      <c r="D2743" s="152"/>
      <c r="E2743" s="152"/>
      <c r="F2743" s="152"/>
      <c r="G2743" s="152"/>
      <c r="H2743" s="152"/>
      <c r="I2743" s="152"/>
      <c r="J2743" s="152"/>
      <c r="K2743" s="152"/>
      <c r="L2743" s="152"/>
      <c r="M2743" s="152"/>
      <c r="N2743" s="152"/>
      <c r="O2743" s="152"/>
      <c r="P2743" s="152"/>
      <c r="Q2743" s="152"/>
      <c r="R2743" s="152"/>
      <c r="S2743" s="152"/>
      <c r="T2743" s="152"/>
      <c r="U2743" s="152"/>
      <c r="V2743" s="152"/>
      <c r="W2743" s="152"/>
      <c r="X2743" s="152"/>
      <c r="Y2743" s="152"/>
      <c r="Z2743" s="152"/>
      <c r="AA2743" s="152"/>
      <c r="AB2743" s="152"/>
    </row>
    <row r="2744" spans="1:28">
      <c r="A2744" s="152"/>
      <c r="B2744" s="152"/>
      <c r="C2744" s="152"/>
      <c r="D2744" s="152"/>
      <c r="E2744" s="152"/>
      <c r="F2744" s="152"/>
      <c r="G2744" s="152"/>
      <c r="H2744" s="152"/>
      <c r="I2744" s="152"/>
      <c r="J2744" s="152"/>
      <c r="K2744" s="152"/>
      <c r="L2744" s="152"/>
      <c r="M2744" s="152"/>
      <c r="N2744" s="152"/>
      <c r="O2744" s="152"/>
      <c r="P2744" s="152"/>
      <c r="Q2744" s="152"/>
      <c r="R2744" s="152"/>
      <c r="S2744" s="152"/>
      <c r="T2744" s="152"/>
      <c r="U2744" s="152"/>
      <c r="V2744" s="152"/>
      <c r="W2744" s="152"/>
      <c r="X2744" s="152"/>
      <c r="Y2744" s="152"/>
      <c r="Z2744" s="152"/>
      <c r="AA2744" s="152"/>
      <c r="AB2744" s="152"/>
    </row>
    <row r="2745" spans="1:28">
      <c r="A2745" s="152"/>
      <c r="B2745" s="152"/>
      <c r="C2745" s="152"/>
      <c r="D2745" s="152"/>
      <c r="E2745" s="152"/>
      <c r="F2745" s="152"/>
      <c r="G2745" s="152"/>
      <c r="H2745" s="152"/>
      <c r="I2745" s="152"/>
      <c r="J2745" s="152"/>
      <c r="K2745" s="152"/>
      <c r="L2745" s="152"/>
      <c r="M2745" s="152"/>
      <c r="N2745" s="152"/>
      <c r="O2745" s="152"/>
      <c r="P2745" s="152"/>
      <c r="Q2745" s="152"/>
      <c r="R2745" s="152"/>
      <c r="S2745" s="152"/>
      <c r="T2745" s="152"/>
      <c r="U2745" s="152"/>
      <c r="V2745" s="152"/>
      <c r="W2745" s="152"/>
      <c r="X2745" s="152"/>
      <c r="Y2745" s="152"/>
      <c r="Z2745" s="152"/>
      <c r="AA2745" s="152"/>
      <c r="AB2745" s="152"/>
    </row>
    <row r="2746" spans="1:28">
      <c r="A2746" s="152"/>
      <c r="B2746" s="152"/>
      <c r="C2746" s="152"/>
      <c r="D2746" s="152"/>
      <c r="E2746" s="152"/>
      <c r="F2746" s="152"/>
      <c r="G2746" s="152"/>
      <c r="H2746" s="152"/>
      <c r="I2746" s="152"/>
      <c r="J2746" s="152"/>
      <c r="K2746" s="152"/>
      <c r="L2746" s="152"/>
      <c r="M2746" s="152"/>
      <c r="N2746" s="152"/>
      <c r="O2746" s="152"/>
      <c r="P2746" s="152"/>
      <c r="Q2746" s="152"/>
      <c r="R2746" s="152"/>
      <c r="S2746" s="152"/>
      <c r="T2746" s="152"/>
      <c r="U2746" s="152"/>
      <c r="V2746" s="152"/>
      <c r="W2746" s="152"/>
      <c r="X2746" s="152"/>
      <c r="Y2746" s="152"/>
      <c r="Z2746" s="152"/>
      <c r="AA2746" s="152"/>
      <c r="AB2746" s="152"/>
    </row>
    <row r="2747" spans="1:28">
      <c r="A2747" s="152"/>
      <c r="B2747" s="152"/>
      <c r="C2747" s="152"/>
      <c r="D2747" s="152"/>
      <c r="E2747" s="152"/>
      <c r="F2747" s="152"/>
      <c r="G2747" s="152"/>
      <c r="H2747" s="152"/>
      <c r="I2747" s="152"/>
      <c r="J2747" s="152"/>
      <c r="K2747" s="152"/>
      <c r="L2747" s="152"/>
      <c r="M2747" s="152"/>
      <c r="N2747" s="152"/>
      <c r="O2747" s="152"/>
      <c r="P2747" s="152"/>
      <c r="Q2747" s="152"/>
      <c r="R2747" s="152"/>
      <c r="S2747" s="152"/>
      <c r="T2747" s="152"/>
      <c r="U2747" s="152"/>
      <c r="V2747" s="152"/>
      <c r="W2747" s="152"/>
      <c r="X2747" s="152"/>
      <c r="Y2747" s="152"/>
      <c r="Z2747" s="152"/>
      <c r="AA2747" s="152"/>
      <c r="AB2747" s="152"/>
    </row>
    <row r="2748" spans="1:28">
      <c r="A2748" s="152"/>
      <c r="B2748" s="152"/>
      <c r="C2748" s="152"/>
      <c r="D2748" s="152"/>
      <c r="E2748" s="152"/>
      <c r="F2748" s="152"/>
      <c r="G2748" s="152"/>
      <c r="H2748" s="152"/>
      <c r="I2748" s="152"/>
      <c r="J2748" s="152"/>
      <c r="K2748" s="152"/>
      <c r="L2748" s="152"/>
      <c r="M2748" s="152"/>
      <c r="N2748" s="152"/>
      <c r="O2748" s="152"/>
      <c r="P2748" s="152"/>
      <c r="Q2748" s="152"/>
      <c r="R2748" s="152"/>
      <c r="S2748" s="152"/>
      <c r="T2748" s="152"/>
      <c r="U2748" s="152"/>
      <c r="V2748" s="152"/>
      <c r="W2748" s="152"/>
      <c r="X2748" s="152"/>
      <c r="Y2748" s="152"/>
      <c r="Z2748" s="152"/>
      <c r="AA2748" s="152"/>
      <c r="AB2748" s="152"/>
    </row>
    <row r="2749" spans="1:28">
      <c r="A2749" s="152"/>
      <c r="B2749" s="152"/>
      <c r="C2749" s="152"/>
      <c r="D2749" s="152"/>
      <c r="E2749" s="152"/>
      <c r="F2749" s="152"/>
      <c r="G2749" s="152"/>
      <c r="H2749" s="152"/>
      <c r="I2749" s="152"/>
      <c r="J2749" s="152"/>
      <c r="K2749" s="152"/>
      <c r="L2749" s="152"/>
      <c r="M2749" s="152"/>
      <c r="N2749" s="152"/>
      <c r="O2749" s="152"/>
      <c r="P2749" s="152"/>
      <c r="Q2749" s="152"/>
      <c r="R2749" s="152"/>
      <c r="S2749" s="152"/>
      <c r="T2749" s="152"/>
      <c r="U2749" s="152"/>
      <c r="V2749" s="152"/>
      <c r="W2749" s="152"/>
      <c r="X2749" s="152"/>
      <c r="Y2749" s="152"/>
      <c r="Z2749" s="152"/>
      <c r="AA2749" s="152"/>
      <c r="AB2749" s="152"/>
    </row>
    <row r="2750" spans="1:28">
      <c r="A2750" s="152"/>
      <c r="B2750" s="152"/>
      <c r="C2750" s="152"/>
      <c r="D2750" s="152"/>
      <c r="E2750" s="152"/>
      <c r="F2750" s="152"/>
      <c r="G2750" s="152"/>
      <c r="H2750" s="152"/>
      <c r="I2750" s="152"/>
      <c r="J2750" s="152"/>
      <c r="K2750" s="152"/>
      <c r="L2750" s="152"/>
      <c r="M2750" s="152"/>
      <c r="N2750" s="152"/>
      <c r="O2750" s="152"/>
      <c r="P2750" s="152"/>
      <c r="Q2750" s="152"/>
      <c r="R2750" s="152"/>
      <c r="S2750" s="152"/>
      <c r="T2750" s="152"/>
      <c r="U2750" s="152"/>
      <c r="V2750" s="152"/>
      <c r="W2750" s="152"/>
      <c r="X2750" s="152"/>
      <c r="Y2750" s="152"/>
      <c r="Z2750" s="152"/>
      <c r="AA2750" s="152"/>
      <c r="AB2750" s="152"/>
    </row>
  </sheetData>
  <printOptions headings="1"/>
  <pageMargins left="0.70866141732283472" right="0.70866141732283472" top="0.74803149606299213" bottom="0.74803149606299213" header="0.31496062992125984" footer="0.31496062992125984"/>
  <pageSetup paperSize="9" scale="48" fitToHeight="0" orientation="landscape" r:id="rId1"/>
  <headerFooter>
    <oddHeader>&amp;C&amp;A</oddHeader>
    <oddFooter>&amp;LAppendix A - Transmission roll forward model - version 3&amp;R &amp;P</oddFooter>
  </headerFooter>
  <rowBreaks count="4" manualBreakCount="4">
    <brk id="547" max="22" man="1"/>
    <brk id="1141" max="22" man="1"/>
    <brk id="1681" max="22" man="1"/>
    <brk id="2275" max="22"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A1:Z64"/>
  <sheetViews>
    <sheetView showGridLines="0" zoomScale="90" zoomScaleNormal="90" workbookViewId="0"/>
  </sheetViews>
  <sheetFormatPr defaultColWidth="9.140625" defaultRowHeight="12.75" outlineLevelRow="1"/>
  <cols>
    <col min="1" max="2" width="1.42578125" style="152" customWidth="1"/>
    <col min="3" max="4" width="1.5703125" style="152" customWidth="1"/>
    <col min="5" max="5" width="29.5703125" style="152" customWidth="1"/>
    <col min="6" max="9" width="14.42578125" style="152" customWidth="1"/>
    <col min="10" max="11" width="15.42578125" style="152" customWidth="1"/>
    <col min="12" max="12" width="14.42578125" style="152" customWidth="1"/>
    <col min="13" max="13" width="12.42578125" style="152" customWidth="1"/>
    <col min="14" max="14" width="11.42578125" style="152" customWidth="1"/>
    <col min="15" max="15" width="14.42578125" style="152" customWidth="1"/>
    <col min="16" max="17" width="12.5703125" style="152" customWidth="1"/>
    <col min="18" max="18" width="13.5703125" style="152" customWidth="1"/>
    <col min="19" max="16384" width="9.140625" style="152"/>
  </cols>
  <sheetData>
    <row r="1" spans="1:26">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5.75">
      <c r="A2" s="127"/>
      <c r="B2" s="38"/>
      <c r="C2" s="29"/>
      <c r="D2" s="29"/>
      <c r="E2" s="176" t="str">
        <f>'DMS input'!$C$16&amp;" - PTRM Input Summary"&amp;" - DNSP RFM - version "&amp;Intro!$M$4</f>
        <v>Aus Gas Qld - PTRM Input Summary - DNSP RFM - version 3</v>
      </c>
      <c r="F2" s="29"/>
      <c r="G2" s="29"/>
      <c r="H2" s="29"/>
      <c r="I2" s="29"/>
      <c r="J2" s="29"/>
      <c r="K2" s="29"/>
      <c r="L2" s="29"/>
      <c r="M2" s="29"/>
      <c r="N2" s="29"/>
      <c r="O2" s="29"/>
      <c r="P2" s="29"/>
      <c r="Q2" s="29"/>
      <c r="R2" s="29"/>
      <c r="S2" s="29"/>
      <c r="T2" s="29"/>
      <c r="U2" s="29"/>
      <c r="V2" s="29"/>
      <c r="W2" s="29"/>
      <c r="X2" s="29"/>
      <c r="Y2" s="29"/>
      <c r="Z2" s="29"/>
    </row>
    <row r="3" spans="1:26">
      <c r="A3" s="29"/>
      <c r="B3" s="29"/>
      <c r="C3" s="29"/>
      <c r="D3" s="29"/>
      <c r="E3" s="29"/>
      <c r="F3" s="29"/>
      <c r="G3" s="29"/>
      <c r="H3" s="29"/>
      <c r="I3" s="29"/>
      <c r="J3" s="29"/>
      <c r="K3" s="29"/>
      <c r="L3" s="1464" t="str">
        <f ca="1">IF('RAB remaining lives'!E8&lt;&gt;"",
"If remaining life values are required for the PTRM, additional inputs are required in the RAB remaining lives sheet","")</f>
        <v/>
      </c>
      <c r="M3" s="379"/>
      <c r="N3" s="127"/>
      <c r="O3" s="1464" t="str">
        <f ca="1">IF('TAB remaining lives'!D7&lt;&gt;"",
"If tax remaining life values are required for the PTRM, additional inputs are required in the TAB remaining lives sheet","")</f>
        <v/>
      </c>
      <c r="P3" s="29"/>
      <c r="Q3" s="29"/>
      <c r="R3" s="29"/>
      <c r="S3" s="29"/>
      <c r="T3" s="29"/>
      <c r="U3" s="29"/>
      <c r="V3" s="29"/>
      <c r="W3" s="29"/>
      <c r="X3" s="29"/>
      <c r="Y3" s="29"/>
      <c r="Z3" s="29"/>
    </row>
    <row r="4" spans="1:26" ht="16.5" customHeight="1">
      <c r="A4" s="56"/>
      <c r="B4" s="57"/>
      <c r="C4" s="56"/>
      <c r="D4" s="56"/>
      <c r="E4" s="56"/>
      <c r="F4" s="56"/>
      <c r="G4" s="95"/>
      <c r="H4" s="95"/>
      <c r="I4" s="95"/>
      <c r="J4" s="95"/>
      <c r="K4" s="264"/>
      <c r="L4" s="95"/>
      <c r="M4" s="95"/>
      <c r="N4" s="95"/>
      <c r="O4" s="95"/>
      <c r="P4" s="95"/>
      <c r="Q4" s="95"/>
      <c r="R4" s="95"/>
      <c r="S4" s="29"/>
      <c r="T4" s="29"/>
      <c r="U4" s="29"/>
      <c r="V4" s="29"/>
      <c r="W4" s="29"/>
      <c r="X4" s="29"/>
      <c r="Y4" s="29"/>
      <c r="Z4" s="29"/>
    </row>
    <row r="5" spans="1:26">
      <c r="A5" s="48"/>
      <c r="B5" s="98"/>
      <c r="C5" s="98"/>
      <c r="D5" s="98"/>
      <c r="E5" s="1583" t="str">
        <f>"Opening Regulatory Asset Base for "&amp;Q7&amp;" ($m Nominal)"</f>
        <v>Opening Regulatory Asset Base for 2023-24 ($m Nominal)</v>
      </c>
      <c r="F5" s="1583"/>
      <c r="G5" s="1583"/>
      <c r="H5" s="1583"/>
      <c r="I5" s="137"/>
      <c r="J5" s="137"/>
      <c r="K5" s="265"/>
      <c r="L5" s="137"/>
      <c r="M5" s="48"/>
      <c r="N5" s="48"/>
      <c r="O5" s="48"/>
      <c r="P5" s="48"/>
      <c r="Q5" s="48"/>
      <c r="R5" s="48"/>
      <c r="S5" s="29"/>
      <c r="T5" s="29"/>
      <c r="U5" s="29"/>
      <c r="V5" s="29"/>
      <c r="W5" s="29"/>
      <c r="X5" s="29"/>
      <c r="Y5" s="29"/>
      <c r="Z5" s="29"/>
    </row>
    <row r="6" spans="1:26" s="236" customFormat="1" ht="51.75" customHeight="1">
      <c r="A6" s="286"/>
      <c r="B6" s="286"/>
      <c r="C6" s="140"/>
      <c r="D6" s="140"/>
      <c r="E6" s="141"/>
      <c r="F6" s="141"/>
      <c r="G6" s="1599" t="s">
        <v>44</v>
      </c>
      <c r="H6" s="1599"/>
      <c r="I6" s="1599"/>
      <c r="J6" s="143" t="s">
        <v>532</v>
      </c>
      <c r="K6" s="266" t="s">
        <v>543</v>
      </c>
      <c r="L6" s="1463" t="s">
        <v>52</v>
      </c>
      <c r="M6" s="144" t="s">
        <v>49</v>
      </c>
      <c r="N6" s="187" t="s">
        <v>54</v>
      </c>
      <c r="O6" s="187" t="s">
        <v>53</v>
      </c>
      <c r="P6" s="187" t="s">
        <v>48</v>
      </c>
      <c r="Q6" s="187" t="s">
        <v>129</v>
      </c>
      <c r="R6" s="143" t="s">
        <v>50</v>
      </c>
      <c r="S6" s="140"/>
      <c r="T6" s="140"/>
      <c r="U6" s="140"/>
      <c r="V6" s="29"/>
      <c r="W6" s="140"/>
      <c r="X6" s="140"/>
      <c r="Y6" s="140"/>
      <c r="Z6" s="140"/>
    </row>
    <row r="7" spans="1:26">
      <c r="A7" s="283">
        <v>3</v>
      </c>
      <c r="B7" s="283">
        <v>7</v>
      </c>
      <c r="C7" s="241"/>
      <c r="D7" s="241"/>
      <c r="E7" s="1595" t="str">
        <f>'RFM input'!E7</f>
        <v>Asset Class 1</v>
      </c>
      <c r="F7" s="1596"/>
      <c r="G7" s="343" t="str">
        <f>Asset1</f>
        <v>Mains</v>
      </c>
      <c r="H7" s="344"/>
      <c r="I7" s="344"/>
      <c r="J7" s="1433">
        <f>HLOOKUP(IF('RFM input'!$V$7="",5,'RFM input'!$V$7),'Total RAB roll forward'!$I$632:$Q$683,A7,FALSE)</f>
        <v>403.77788317863292</v>
      </c>
      <c r="K7" s="267"/>
      <c r="L7" s="1440">
        <f ca="1">IF(OR($J7&lt;0,AND($J7&gt;0,
(INDEX('RAB remaining lives'!$A$6:$W$2711,MATCH($E7,'RAB remaining lives'!$A$6:$A$2711,0)+ROWS('RAB remaining lives'!$B$13:$B$65)-1,MATCH($Q$7,'RAB remaining lives'!$A$6:$W$6,0)-1))=0)),MIN(INDEX('RFM input'!$K$7:$K$56,MATCH($E7,$E$7:$E$56,0),1),'RFM input'!$V$7),
(INDEX('RAB remaining lives'!$A$6:$W$2711,MATCH($E7,'RAB remaining lives'!$A$6:$A$2711,0)+ROWS('RAB remaining lives'!$B$13:$B$65)-1,MATCH(($Q$7),'RAB remaining lives'!$A$6:$W$6,0)-1)))</f>
        <v>33.740416654558288</v>
      </c>
      <c r="M7" s="1436"/>
      <c r="N7" s="1437">
        <f>HLOOKUP(IF('RFM input'!$V$7="",5,'RFM input'!$V$7),'TAB roll forward'!$J$2:$R$57,B7,FALSE)</f>
        <v>204.00084546198488</v>
      </c>
      <c r="O7" s="1440">
        <f ca="1">IF(OR($N7&lt;0,AND($N7&gt;0,(
INDEX('TAB remaining lives'!$A$6:$W$2706,MATCH($E7,'TAB remaining lives'!$A$6:$A$2706,0)+ROWS('TAB remaining lives'!$B$8:$B$60)-1,MATCH(($Q$7),'TAB remaining lives'!$A$6:$W$6,0)-1))=0)),MIN(INDEX('RFM input'!$T$7:$T$56,MATCH($E7,$E$7:$E$56,0),1),'RFM input'!$V$7),
(INDEX('TAB remaining lives'!$A$6:$W$2706,MATCH($E7,'TAB remaining lives'!$A$6:$A$2706,0)+ROWS('TAB remaining lives'!$B$8:$B$60)-1,MATCH(($Q$7),'TAB remaining lives'!$A$6:$W$6,0)-1)))</f>
        <v>13.771304385782138</v>
      </c>
      <c r="P7" s="145"/>
      <c r="Q7" s="147" t="str">
        <f>HLOOKUP(IF('RFM input'!V7="",5,'RFM input'!V7),'TAB roll forward'!I2:R4,3,FALSE)</f>
        <v>2023-24</v>
      </c>
      <c r="R7" s="146"/>
      <c r="S7" s="29"/>
      <c r="T7" s="83"/>
      <c r="U7" s="83"/>
      <c r="V7" s="83"/>
      <c r="W7" s="83"/>
      <c r="X7" s="29"/>
      <c r="Y7" s="29"/>
      <c r="Z7" s="29"/>
    </row>
    <row r="8" spans="1:26">
      <c r="A8" s="283">
        <f>A7+1</f>
        <v>4</v>
      </c>
      <c r="B8" s="283">
        <f>B7+1</f>
        <v>8</v>
      </c>
      <c r="C8" s="241"/>
      <c r="D8" s="241"/>
      <c r="E8" s="1595" t="str">
        <f>'RFM input'!E8</f>
        <v>Asset Class 2</v>
      </c>
      <c r="F8" s="1596"/>
      <c r="G8" s="345" t="str">
        <f>Asset2</f>
        <v>Inlets</v>
      </c>
      <c r="H8" s="346"/>
      <c r="I8" s="346"/>
      <c r="J8" s="1434">
        <f>HLOOKUP(IF('RFM input'!$V$7="",5,'RFM input'!$V$7),'Total RAB roll forward'!$I$632:$Q$683,A8,FALSE)</f>
        <v>120.01515917462308</v>
      </c>
      <c r="K8" s="268"/>
      <c r="L8" s="1441">
        <f ca="1">IF(OR($J8&lt;0,AND($J8&gt;0,
(INDEX('RAB remaining lives'!$A$6:$W$2711,MATCH($E8,'RAB remaining lives'!$A$6:$A$2711,0)+ROWS('RAB remaining lives'!$B$13:$B$65)-1,MATCH($Q$7,'RAB remaining lives'!$A$6:$W$6,0)-1))=0)),MIN(INDEX('RFM input'!$K$7:$K$56,MATCH($E8,$E$7:$E$56,0),1),'RFM input'!$V$7),
(INDEX('RAB remaining lives'!$A$6:$W$2711,MATCH($E8,'RAB remaining lives'!$A$6:$A$2711,0)+ROWS('RAB remaining lives'!$B$13:$B$65)-1,MATCH(($Q$7),'RAB remaining lives'!$A$6:$W$6,0)-1)))</f>
        <v>34.262143817349909</v>
      </c>
      <c r="M8" s="1438"/>
      <c r="N8" s="233">
        <f>HLOOKUP(IF('RFM input'!$V$7="",5,'RFM input'!$V$7),'TAB roll forward'!$J$2:$R$57,B8,FALSE)</f>
        <v>53.154973019733603</v>
      </c>
      <c r="O8" s="1441">
        <f ca="1">IF(OR($N8&lt;0,AND($N8&gt;0,(
INDEX('TAB remaining lives'!$A$6:$W$2706,MATCH($E8,'TAB remaining lives'!$A$6:$A$2706,0)+ROWS('TAB remaining lives'!$B$8:$B$60)-1,MATCH(($Q$7),'TAB remaining lives'!$A$6:$W$6,0)-1))=0)),MIN(INDEX('RFM input'!$T$7:$T$56,MATCH($E8,$E$7:$E$56,0),1),'RFM input'!$V$7),
(INDEX('TAB remaining lives'!$A$6:$W$2706,MATCH($E8,'TAB remaining lives'!$A$6:$A$2706,0)+ROWS('TAB remaining lives'!$B$8:$B$60)-1,MATCH(($Q$7),'TAB remaining lives'!$A$6:$W$6,0)-1)))</f>
        <v>12.986467079315423</v>
      </c>
      <c r="P8" s="142"/>
      <c r="Q8" s="138"/>
      <c r="R8" s="4"/>
      <c r="S8" s="29"/>
      <c r="T8" s="83"/>
      <c r="U8" s="83"/>
      <c r="V8" s="83"/>
      <c r="W8" s="83"/>
      <c r="X8" s="29"/>
      <c r="Y8" s="29"/>
      <c r="Z8" s="29"/>
    </row>
    <row r="9" spans="1:26">
      <c r="A9" s="283">
        <f t="shared" ref="A9:B24" si="0">A8+1</f>
        <v>5</v>
      </c>
      <c r="B9" s="283">
        <f t="shared" si="0"/>
        <v>9</v>
      </c>
      <c r="C9" s="241"/>
      <c r="D9" s="241"/>
      <c r="E9" s="1595" t="str">
        <f>'RFM input'!E9</f>
        <v>Asset Class 3</v>
      </c>
      <c r="F9" s="1596"/>
      <c r="G9" s="345" t="str">
        <f>Asset3</f>
        <v>Meters</v>
      </c>
      <c r="H9" s="346"/>
      <c r="I9" s="346"/>
      <c r="J9" s="1434">
        <f>HLOOKUP(IF('RFM input'!$V$7="",5,'RFM input'!$V$7),'Total RAB roll forward'!$I$632:$Q$683,A9,FALSE)</f>
        <v>22.979833548772593</v>
      </c>
      <c r="K9" s="268"/>
      <c r="L9" s="1441">
        <f ca="1">IF(OR($J9&lt;0,AND($J9&gt;0,
(INDEX('RAB remaining lives'!$A$6:$W$2711,MATCH($E9,'RAB remaining lives'!$A$6:$A$2711,0)+ROWS('RAB remaining lives'!$B$13:$B$65)-1,MATCH($Q$7,'RAB remaining lives'!$A$6:$W$6,0)-1))=0)),MIN(INDEX('RFM input'!$K$7:$K$56,MATCH($E9,$E$7:$E$56,0),1),'RFM input'!$V$7),
(INDEX('RAB remaining lives'!$A$6:$W$2711,MATCH($E9,'RAB remaining lives'!$A$6:$A$2711,0)+ROWS('RAB remaining lives'!$B$13:$B$65)-1,MATCH(($Q$7),'RAB remaining lives'!$A$6:$W$6,0)-1)))</f>
        <v>9.1717752562710722</v>
      </c>
      <c r="M9" s="1438"/>
      <c r="N9" s="233">
        <f>HLOOKUP(IF('RFM input'!$V$7="",5,'RFM input'!$V$7),'TAB roll forward'!$J$2:$R$57,B9,FALSE)</f>
        <v>19.331097530037752</v>
      </c>
      <c r="O9" s="1441">
        <f ca="1">IF(OR($N9&lt;0,AND($N9&gt;0,(
INDEX('TAB remaining lives'!$A$6:$W$2706,MATCH($E9,'TAB remaining lives'!$A$6:$A$2706,0)+ROWS('TAB remaining lives'!$B$8:$B$60)-1,MATCH(($Q$7),'TAB remaining lives'!$A$6:$W$6,0)-1))=0)),MIN(INDEX('RFM input'!$T$7:$T$56,MATCH($E9,$E$7:$E$56,0),1),'RFM input'!$V$7),
(INDEX('TAB remaining lives'!$A$6:$W$2706,MATCH($E9,'TAB remaining lives'!$A$6:$A$2706,0)+ROWS('TAB remaining lives'!$B$8:$B$60)-1,MATCH(($Q$7),'TAB remaining lives'!$A$6:$W$6,0)-1)))</f>
        <v>8.9013309401810652</v>
      </c>
      <c r="P9" s="142"/>
      <c r="Q9" s="138"/>
      <c r="R9" s="4"/>
      <c r="S9" s="29"/>
      <c r="T9" s="83"/>
      <c r="U9" s="83"/>
      <c r="V9" s="83"/>
      <c r="W9" s="83"/>
      <c r="X9" s="29"/>
      <c r="Y9" s="29"/>
      <c r="Z9" s="29"/>
    </row>
    <row r="10" spans="1:26">
      <c r="A10" s="283">
        <f t="shared" si="0"/>
        <v>6</v>
      </c>
      <c r="B10" s="283">
        <f t="shared" si="0"/>
        <v>10</v>
      </c>
      <c r="C10" s="241"/>
      <c r="D10" s="241"/>
      <c r="E10" s="1595" t="str">
        <f>'RFM input'!E10</f>
        <v>Asset Class 4</v>
      </c>
      <c r="F10" s="1596"/>
      <c r="G10" s="345" t="str">
        <f>Asset4</f>
        <v>Telemetry</v>
      </c>
      <c r="H10" s="346"/>
      <c r="I10" s="346"/>
      <c r="J10" s="1434">
        <f>HLOOKUP(IF('RFM input'!$V$7="",5,'RFM input'!$V$7),'Total RAB roll forward'!$I$632:$Q$683,A10,FALSE)</f>
        <v>1.5989635233710837</v>
      </c>
      <c r="K10" s="268"/>
      <c r="L10" s="1441">
        <f ca="1">IF(OR($J10&lt;0,AND($J10&gt;0,
(INDEX('RAB remaining lives'!$A$6:$W$2711,MATCH($E10,'RAB remaining lives'!$A$6:$A$2711,0)+ROWS('RAB remaining lives'!$B$13:$B$65)-1,MATCH($Q$7,'RAB remaining lives'!$A$6:$W$6,0)-1))=0)),MIN(INDEX('RFM input'!$K$7:$K$56,MATCH($E10,$E$7:$E$56,0),1),'RFM input'!$V$7),
(INDEX('RAB remaining lives'!$A$6:$W$2711,MATCH($E10,'RAB remaining lives'!$A$6:$A$2711,0)+ROWS('RAB remaining lives'!$B$13:$B$65)-1,MATCH(($Q$7),'RAB remaining lives'!$A$6:$W$6,0)-1)))</f>
        <v>15.728344195585725</v>
      </c>
      <c r="M10" s="1438"/>
      <c r="N10" s="233">
        <f>HLOOKUP(IF('RFM input'!$V$7="",5,'RFM input'!$V$7),'TAB roll forward'!$J$2:$R$57,B10,FALSE)</f>
        <v>0.72812700049236545</v>
      </c>
      <c r="O10" s="1441">
        <f ca="1">IF(OR($N10&lt;0,AND($N10&gt;0,(
INDEX('TAB remaining lives'!$A$6:$W$2706,MATCH($E10,'TAB remaining lives'!$A$6:$A$2706,0)+ROWS('TAB remaining lives'!$B$8:$B$60)-1,MATCH(($Q$7),'TAB remaining lives'!$A$6:$W$6,0)-1))=0)),MIN(INDEX('RFM input'!$T$7:$T$56,MATCH($E10,$E$7:$E$56,0),1),'RFM input'!$V$7),
(INDEX('TAB remaining lives'!$A$6:$W$2706,MATCH($E10,'TAB remaining lives'!$A$6:$A$2706,0)+ROWS('TAB remaining lives'!$B$8:$B$60)-1,MATCH(($Q$7),'TAB remaining lives'!$A$6:$W$6,0)-1)))</f>
        <v>4.6348038100171891</v>
      </c>
      <c r="P10" s="142"/>
      <c r="Q10" s="138"/>
      <c r="R10" s="4"/>
      <c r="S10" s="29"/>
      <c r="T10" s="83"/>
      <c r="U10" s="83"/>
      <c r="V10" s="83"/>
      <c r="W10" s="83"/>
      <c r="X10" s="29"/>
      <c r="Y10" s="29"/>
      <c r="Z10" s="29"/>
    </row>
    <row r="11" spans="1:26">
      <c r="A11" s="283">
        <f t="shared" si="0"/>
        <v>7</v>
      </c>
      <c r="B11" s="283">
        <f t="shared" si="0"/>
        <v>11</v>
      </c>
      <c r="C11" s="241"/>
      <c r="D11" s="241"/>
      <c r="E11" s="1595" t="str">
        <f>'RFM input'!E11</f>
        <v>Asset Class 5</v>
      </c>
      <c r="F11" s="1596"/>
      <c r="G11" s="345" t="str">
        <f>Asset5</f>
        <v>IT System</v>
      </c>
      <c r="H11" s="346"/>
      <c r="I11" s="346"/>
      <c r="J11" s="1434">
        <f>HLOOKUP(IF('RFM input'!$V$7="",5,'RFM input'!$V$7),'Total RAB roll forward'!$I$632:$Q$683,A11,FALSE)</f>
        <v>12.056009716826228</v>
      </c>
      <c r="K11" s="268"/>
      <c r="L11" s="1441">
        <f ca="1">IF(OR($J11&lt;0,AND($J11&gt;0,
(INDEX('RAB remaining lives'!$A$6:$W$2711,MATCH($E11,'RAB remaining lives'!$A$6:$A$2711,0)+ROWS('RAB remaining lives'!$B$13:$B$65)-1,MATCH($Q$7,'RAB remaining lives'!$A$6:$W$6,0)-1))=0)),MIN(INDEX('RFM input'!$K$7:$K$56,MATCH($E11,$E$7:$E$56,0),1),'RFM input'!$V$7),
(INDEX('RAB remaining lives'!$A$6:$W$2711,MATCH($E11,'RAB remaining lives'!$A$6:$A$2711,0)+ROWS('RAB remaining lives'!$B$13:$B$65)-1,MATCH(($Q$7),'RAB remaining lives'!$A$6:$W$6,0)-1)))</f>
        <v>3.1166517439958015</v>
      </c>
      <c r="M11" s="1438"/>
      <c r="N11" s="233">
        <f>HLOOKUP(IF('RFM input'!$V$7="",5,'RFM input'!$V$7),'TAB roll forward'!$J$2:$R$57,B11,FALSE)</f>
        <v>3.3954685585892936</v>
      </c>
      <c r="O11" s="1441">
        <f ca="1">IF(OR($N11&lt;0,AND($N11&gt;0,(
INDEX('TAB remaining lives'!$A$6:$W$2706,MATCH($E11,'TAB remaining lives'!$A$6:$A$2706,0)+ROWS('TAB remaining lives'!$B$8:$B$60)-1,MATCH(($Q$7),'TAB remaining lives'!$A$6:$W$6,0)-1))=0)),MIN(INDEX('RFM input'!$T$7:$T$56,MATCH($E11,$E$7:$E$56,0),1),'RFM input'!$V$7),
(INDEX('TAB remaining lives'!$A$6:$W$2706,MATCH($E11,'TAB remaining lives'!$A$6:$A$2706,0)+ROWS('TAB remaining lives'!$B$8:$B$60)-1,MATCH(($Q$7),'TAB remaining lives'!$A$6:$W$6,0)-1)))</f>
        <v>2.8096959629601765</v>
      </c>
      <c r="P11" s="142"/>
      <c r="Q11" s="138"/>
      <c r="R11" s="4"/>
      <c r="S11" s="29"/>
      <c r="T11" s="83"/>
      <c r="U11" s="83"/>
      <c r="V11" s="83"/>
      <c r="W11" s="83"/>
      <c r="X11" s="29"/>
      <c r="Y11" s="29"/>
      <c r="Z11" s="29"/>
    </row>
    <row r="12" spans="1:26">
      <c r="A12" s="283">
        <f t="shared" si="0"/>
        <v>8</v>
      </c>
      <c r="B12" s="283">
        <f t="shared" si="0"/>
        <v>12</v>
      </c>
      <c r="C12" s="241"/>
      <c r="D12" s="241"/>
      <c r="E12" s="1595" t="str">
        <f>'RFM input'!E12</f>
        <v>Asset Class 6</v>
      </c>
      <c r="F12" s="1596"/>
      <c r="G12" s="345" t="str">
        <f>Asset6</f>
        <v>Other Distribution System Equipment</v>
      </c>
      <c r="H12" s="346"/>
      <c r="I12" s="346"/>
      <c r="J12" s="1434">
        <f>HLOOKUP(IF('RFM input'!$V$7="",5,'RFM input'!$V$7),'Total RAB roll forward'!$I$632:$Q$683,A12,FALSE)</f>
        <v>17.232230540449116</v>
      </c>
      <c r="K12" s="268"/>
      <c r="L12" s="1441">
        <f ca="1">IF(OR($J12&lt;0,AND($J12&gt;0,
(INDEX('RAB remaining lives'!$A$6:$W$2711,MATCH($E12,'RAB remaining lives'!$A$6:$A$2711,0)+ROWS('RAB remaining lives'!$B$13:$B$65)-1,MATCH($Q$7,'RAB remaining lives'!$A$6:$W$6,0)-1))=0)),MIN(INDEX('RFM input'!$K$7:$K$56,MATCH($E12,$E$7:$E$56,0),1),'RFM input'!$V$7),
(INDEX('RAB remaining lives'!$A$6:$W$2711,MATCH($E12,'RAB remaining lives'!$A$6:$A$2711,0)+ROWS('RAB remaining lives'!$B$13:$B$65)-1,MATCH(($Q$7),'RAB remaining lives'!$A$6:$W$6,0)-1)))</f>
        <v>27.641539685711411</v>
      </c>
      <c r="M12" s="1438"/>
      <c r="N12" s="233">
        <f>HLOOKUP(IF('RFM input'!$V$7="",5,'RFM input'!$V$7),'TAB roll forward'!$J$2:$R$57,B12,FALSE)</f>
        <v>10.404287796662164</v>
      </c>
      <c r="O12" s="1441">
        <f ca="1">IF(OR($N12&lt;0,AND($N12&gt;0,(
INDEX('TAB remaining lives'!$A$6:$W$2706,MATCH($E12,'TAB remaining lives'!$A$6:$A$2706,0)+ROWS('TAB remaining lives'!$B$8:$B$60)-1,MATCH(($Q$7),'TAB remaining lives'!$A$6:$W$6,0)-1))=0)),MIN(INDEX('RFM input'!$T$7:$T$56,MATCH($E12,$E$7:$E$56,0),1),'RFM input'!$V$7),
(INDEX('TAB remaining lives'!$A$6:$W$2706,MATCH($E12,'TAB remaining lives'!$A$6:$A$2706,0)+ROWS('TAB remaining lives'!$B$8:$B$60)-1,MATCH(($Q$7),'TAB remaining lives'!$A$6:$W$6,0)-1)))</f>
        <v>14.074768841440182</v>
      </c>
      <c r="P12" s="142"/>
      <c r="Q12" s="138"/>
      <c r="R12" s="4"/>
      <c r="S12" s="29"/>
      <c r="T12" s="83"/>
      <c r="U12" s="83"/>
      <c r="V12" s="83"/>
      <c r="W12" s="83"/>
      <c r="X12" s="29"/>
      <c r="Y12" s="29"/>
      <c r="Z12" s="29"/>
    </row>
    <row r="13" spans="1:26">
      <c r="A13" s="283">
        <f t="shared" si="0"/>
        <v>9</v>
      </c>
      <c r="B13" s="283">
        <f t="shared" si="0"/>
        <v>13</v>
      </c>
      <c r="C13" s="241"/>
      <c r="D13" s="241"/>
      <c r="E13" s="1595" t="str">
        <f>'RFM input'!E13</f>
        <v>Asset Class 7</v>
      </c>
      <c r="F13" s="1596"/>
      <c r="G13" s="345" t="str">
        <f>Asset7</f>
        <v>Other</v>
      </c>
      <c r="H13" s="346"/>
      <c r="I13" s="346"/>
      <c r="J13" s="1434">
        <f>HLOOKUP(IF('RFM input'!$V$7="",5,'RFM input'!$V$7),'Total RAB roll forward'!$I$632:$Q$683,A13,FALSE)</f>
        <v>-4.027626760602207E-2</v>
      </c>
      <c r="K13" s="268"/>
      <c r="L13" s="1441">
        <f ca="1">IF(OR($J13&lt;0,AND($J13&gt;0,
(INDEX('RAB remaining lives'!$A$6:$W$2711,MATCH($E13,'RAB remaining lives'!$A$6:$A$2711,0)+ROWS('RAB remaining lives'!$B$13:$B$65)-1,MATCH($Q$7,'RAB remaining lives'!$A$6:$W$6,0)-1))=0)),MIN(INDEX('RFM input'!$K$7:$K$56,MATCH($E13,$E$7:$E$56,0),1),'RFM input'!$V$7),
(INDEX('RAB remaining lives'!$A$6:$W$2711,MATCH($E13,'RAB remaining lives'!$A$6:$A$2711,0)+ROWS('RAB remaining lives'!$B$13:$B$65)-1,MATCH(($Q$7),'RAB remaining lives'!$A$6:$W$6,0)-1)))</f>
        <v>7</v>
      </c>
      <c r="M13" s="1438"/>
      <c r="N13" s="233">
        <f>HLOOKUP(IF('RFM input'!$V$7="",5,'RFM input'!$V$7),'TAB roll forward'!$J$2:$R$57,B13,FALSE)</f>
        <v>-1.15672E-2</v>
      </c>
      <c r="O13" s="1441">
        <f ca="1">IF(OR($N13&lt;0,AND($N13&gt;0,(
INDEX('TAB remaining lives'!$A$6:$W$2706,MATCH($E13,'TAB remaining lives'!$A$6:$A$2706,0)+ROWS('TAB remaining lives'!$B$8:$B$60)-1,MATCH(($Q$7),'TAB remaining lives'!$A$6:$W$6,0)-1))=0)),MIN(INDEX('RFM input'!$T$7:$T$56,MATCH($E13,$E$7:$E$56,0),1),'RFM input'!$V$7),
(INDEX('TAB remaining lives'!$A$6:$W$2706,MATCH($E13,'TAB remaining lives'!$A$6:$A$2706,0)+ROWS('TAB remaining lives'!$B$8:$B$60)-1,MATCH(($Q$7),'TAB remaining lives'!$A$6:$W$6,0)-1)))</f>
        <v>7</v>
      </c>
      <c r="P13" s="142"/>
      <c r="Q13" s="138"/>
      <c r="R13" s="4"/>
      <c r="S13" s="29"/>
      <c r="T13" s="83"/>
      <c r="U13" s="83"/>
      <c r="V13" s="83"/>
      <c r="W13" s="83"/>
      <c r="X13" s="29"/>
      <c r="Y13" s="29"/>
      <c r="Z13" s="29"/>
    </row>
    <row r="14" spans="1:26">
      <c r="A14" s="283">
        <f t="shared" si="0"/>
        <v>10</v>
      </c>
      <c r="B14" s="283">
        <f t="shared" si="0"/>
        <v>14</v>
      </c>
      <c r="C14" s="241"/>
      <c r="D14" s="241"/>
      <c r="E14" s="1595" t="str">
        <f>'RFM input'!E14</f>
        <v>Asset Class 8</v>
      </c>
      <c r="F14" s="1596"/>
      <c r="G14" s="345">
        <f>Asset8</f>
        <v>0</v>
      </c>
      <c r="H14" s="346"/>
      <c r="I14" s="346"/>
      <c r="J14" s="1434">
        <f>HLOOKUP(IF('RFM input'!$V$7="",5,'RFM input'!$V$7),'Total RAB roll forward'!$I$632:$Q$683,A14,FALSE)</f>
        <v>0</v>
      </c>
      <c r="K14" s="268"/>
      <c r="L14" s="1441">
        <f ca="1">IF(OR($J14&lt;0,AND($J14&gt;0,
(INDEX('RAB remaining lives'!$A$6:$W$2711,MATCH($E14,'RAB remaining lives'!$A$6:$A$2711,0)+ROWS('RAB remaining lives'!$B$13:$B$65)-1,MATCH($Q$7,'RAB remaining lives'!$A$6:$W$6,0)-1))=0)),MIN(INDEX('RFM input'!$K$7:$K$56,MATCH($E14,$E$7:$E$56,0),1),'RFM input'!$V$7),
(INDEX('RAB remaining lives'!$A$6:$W$2711,MATCH($E14,'RAB remaining lives'!$A$6:$A$2711,0)+ROWS('RAB remaining lives'!$B$13:$B$65)-1,MATCH(($Q$7),'RAB remaining lives'!$A$6:$W$6,0)-1)))</f>
        <v>0</v>
      </c>
      <c r="M14" s="1438"/>
      <c r="N14" s="233">
        <f>HLOOKUP(IF('RFM input'!$V$7="",5,'RFM input'!$V$7),'TAB roll forward'!$J$2:$R$57,B14,FALSE)</f>
        <v>0</v>
      </c>
      <c r="O14" s="1441">
        <f ca="1">IF(OR($N14&lt;0,AND($N14&gt;0,(
INDEX('TAB remaining lives'!$A$6:$W$2706,MATCH($E14,'TAB remaining lives'!$A$6:$A$2706,0)+ROWS('TAB remaining lives'!$B$8:$B$60)-1,MATCH(($Q$7),'TAB remaining lives'!$A$6:$W$6,0)-1))=0)),MIN(INDEX('RFM input'!$T$7:$T$56,MATCH($E14,$E$7:$E$56,0),1),'RFM input'!$V$7),
(INDEX('TAB remaining lives'!$A$6:$W$2706,MATCH($E14,'TAB remaining lives'!$A$6:$A$2706,0)+ROWS('TAB remaining lives'!$B$8:$B$60)-1,MATCH(($Q$7),'TAB remaining lives'!$A$6:$W$6,0)-1)))</f>
        <v>0</v>
      </c>
      <c r="P14" s="142"/>
      <c r="Q14" s="138"/>
      <c r="R14" s="4"/>
      <c r="S14" s="29"/>
      <c r="T14" s="83"/>
      <c r="U14" s="83"/>
      <c r="V14" s="83"/>
      <c r="W14" s="29"/>
      <c r="X14" s="29"/>
      <c r="Y14" s="29"/>
      <c r="Z14" s="29"/>
    </row>
    <row r="15" spans="1:26">
      <c r="A15" s="283">
        <f t="shared" si="0"/>
        <v>11</v>
      </c>
      <c r="B15" s="283">
        <f t="shared" si="0"/>
        <v>15</v>
      </c>
      <c r="C15" s="241"/>
      <c r="D15" s="241"/>
      <c r="E15" s="1595" t="str">
        <f>'RFM input'!E15</f>
        <v>Asset Class 9</v>
      </c>
      <c r="F15" s="1596"/>
      <c r="G15" s="1597">
        <f>Asset9</f>
        <v>0</v>
      </c>
      <c r="H15" s="1598"/>
      <c r="I15" s="1598"/>
      <c r="J15" s="1434">
        <f>HLOOKUP(IF('RFM input'!$V$7="",5,'RFM input'!$V$7),'Total RAB roll forward'!$I$632:$Q$683,A15,FALSE)</f>
        <v>0</v>
      </c>
      <c r="K15" s="268"/>
      <c r="L15" s="1441">
        <f ca="1">IF(OR($J15&lt;0,AND($J15&gt;0,
(INDEX('RAB remaining lives'!$A$6:$W$2711,MATCH($E15,'RAB remaining lives'!$A$6:$A$2711,0)+ROWS('RAB remaining lives'!$B$13:$B$65)-1,MATCH($Q$7,'RAB remaining lives'!$A$6:$W$6,0)-1))=0)),MIN(INDEX('RFM input'!$K$7:$K$56,MATCH($E15,$E$7:$E$56,0),1),'RFM input'!$V$7),
(INDEX('RAB remaining lives'!$A$6:$W$2711,MATCH($E15,'RAB remaining lives'!$A$6:$A$2711,0)+ROWS('RAB remaining lives'!$B$13:$B$65)-1,MATCH(($Q$7),'RAB remaining lives'!$A$6:$W$6,0)-1)))</f>
        <v>0</v>
      </c>
      <c r="M15" s="1438"/>
      <c r="N15" s="233">
        <f>HLOOKUP(IF('RFM input'!$V$7="",5,'RFM input'!$V$7),'TAB roll forward'!$J$2:$R$57,B15,FALSE)</f>
        <v>0</v>
      </c>
      <c r="O15" s="1441">
        <f ca="1">IF(OR($N15&lt;0,AND($N15&gt;0,(
INDEX('TAB remaining lives'!$A$6:$W$2706,MATCH($E15,'TAB remaining lives'!$A$6:$A$2706,0)+ROWS('TAB remaining lives'!$B$8:$B$60)-1,MATCH(($Q$7),'TAB remaining lives'!$A$6:$W$6,0)-1))=0)),MIN(INDEX('RFM input'!$T$7:$T$56,MATCH($E15,$E$7:$E$56,0),1),'RFM input'!$V$7),
(INDEX('TAB remaining lives'!$A$6:$W$2706,MATCH($E15,'TAB remaining lives'!$A$6:$A$2706,0)+ROWS('TAB remaining lives'!$B$8:$B$60)-1,MATCH(($Q$7),'TAB remaining lives'!$A$6:$W$6,0)-1)))</f>
        <v>0</v>
      </c>
      <c r="P15" s="142"/>
      <c r="Q15" s="138"/>
      <c r="R15" s="4"/>
      <c r="S15" s="29"/>
      <c r="T15" s="83"/>
      <c r="U15" s="83"/>
      <c r="V15" s="83"/>
      <c r="W15" s="29"/>
      <c r="X15" s="29"/>
      <c r="Y15" s="29"/>
      <c r="Z15" s="29"/>
    </row>
    <row r="16" spans="1:26">
      <c r="A16" s="283">
        <f t="shared" si="0"/>
        <v>12</v>
      </c>
      <c r="B16" s="283">
        <f t="shared" si="0"/>
        <v>16</v>
      </c>
      <c r="C16" s="241"/>
      <c r="D16" s="241"/>
      <c r="E16" s="1595" t="str">
        <f>'RFM input'!E16</f>
        <v>Asset Class 10</v>
      </c>
      <c r="F16" s="1596"/>
      <c r="G16" s="1597">
        <f>Asset10</f>
        <v>0</v>
      </c>
      <c r="H16" s="1598"/>
      <c r="I16" s="1598"/>
      <c r="J16" s="1434">
        <f>HLOOKUP(IF('RFM input'!$V$7="",5,'RFM input'!$V$7),'Total RAB roll forward'!$I$632:$Q$683,A16,FALSE)</f>
        <v>0</v>
      </c>
      <c r="K16" s="268"/>
      <c r="L16" s="1441">
        <f ca="1">IF(OR($J16&lt;0,AND($J16&gt;0,
(INDEX('RAB remaining lives'!$A$6:$W$2711,MATCH($E16,'RAB remaining lives'!$A$6:$A$2711,0)+ROWS('RAB remaining lives'!$B$13:$B$65)-1,MATCH($Q$7,'RAB remaining lives'!$A$6:$W$6,0)-1))=0)),MIN(INDEX('RFM input'!$K$7:$K$56,MATCH($E16,$E$7:$E$56,0),1),'RFM input'!$V$7),
(INDEX('RAB remaining lives'!$A$6:$W$2711,MATCH($E16,'RAB remaining lives'!$A$6:$A$2711,0)+ROWS('RAB remaining lives'!$B$13:$B$65)-1,MATCH(($Q$7),'RAB remaining lives'!$A$6:$W$6,0)-1)))</f>
        <v>0</v>
      </c>
      <c r="M16" s="1438"/>
      <c r="N16" s="233">
        <f>HLOOKUP(IF('RFM input'!$V$7="",5,'RFM input'!$V$7),'TAB roll forward'!$J$2:$R$57,B16,FALSE)</f>
        <v>0</v>
      </c>
      <c r="O16" s="1441">
        <f ca="1">IF(OR($N16&lt;0,AND($N16&gt;0,(
INDEX('TAB remaining lives'!$A$6:$W$2706,MATCH($E16,'TAB remaining lives'!$A$6:$A$2706,0)+ROWS('TAB remaining lives'!$B$8:$B$60)-1,MATCH(($Q$7),'TAB remaining lives'!$A$6:$W$6,0)-1))=0)),MIN(INDEX('RFM input'!$T$7:$T$56,MATCH($E16,$E$7:$E$56,0),1),'RFM input'!$V$7),
(INDEX('TAB remaining lives'!$A$6:$W$2706,MATCH($E16,'TAB remaining lives'!$A$6:$A$2706,0)+ROWS('TAB remaining lives'!$B$8:$B$60)-1,MATCH(($Q$7),'TAB remaining lives'!$A$6:$W$6,0)-1)))</f>
        <v>0</v>
      </c>
      <c r="P16" s="142"/>
      <c r="Q16" s="138"/>
      <c r="R16" s="4"/>
      <c r="S16" s="29"/>
      <c r="T16" s="83"/>
      <c r="U16" s="83"/>
      <c r="V16" s="83"/>
      <c r="W16" s="29"/>
      <c r="X16" s="29"/>
      <c r="Y16" s="29"/>
      <c r="Z16" s="29"/>
    </row>
    <row r="17" spans="1:26">
      <c r="A17" s="283">
        <f t="shared" si="0"/>
        <v>13</v>
      </c>
      <c r="B17" s="283">
        <f t="shared" si="0"/>
        <v>17</v>
      </c>
      <c r="C17" s="241"/>
      <c r="D17" s="241"/>
      <c r="E17" s="1595" t="str">
        <f>'RFM input'!E17</f>
        <v>Asset Class 11</v>
      </c>
      <c r="F17" s="1596"/>
      <c r="G17" s="1597">
        <f>Asset11</f>
        <v>0</v>
      </c>
      <c r="H17" s="1598"/>
      <c r="I17" s="1598"/>
      <c r="J17" s="1434">
        <f>HLOOKUP(IF('RFM input'!$V$7="",5,'RFM input'!$V$7),'Total RAB roll forward'!$I$632:$Q$683,A17,FALSE)</f>
        <v>0</v>
      </c>
      <c r="K17" s="268"/>
      <c r="L17" s="1441">
        <f ca="1">IF(OR($J17&lt;0,AND($J17&gt;0,
(INDEX('RAB remaining lives'!$A$6:$W$2711,MATCH($E17,'RAB remaining lives'!$A$6:$A$2711,0)+ROWS('RAB remaining lives'!$B$13:$B$65)-1,MATCH($Q$7,'RAB remaining lives'!$A$6:$W$6,0)-1))=0)),MIN(INDEX('RFM input'!$K$7:$K$56,MATCH($E17,$E$7:$E$56,0),1),'RFM input'!$V$7),
(INDEX('RAB remaining lives'!$A$6:$W$2711,MATCH($E17,'RAB remaining lives'!$A$6:$A$2711,0)+ROWS('RAB remaining lives'!$B$13:$B$65)-1,MATCH(($Q$7),'RAB remaining lives'!$A$6:$W$6,0)-1)))</f>
        <v>0</v>
      </c>
      <c r="M17" s="1438"/>
      <c r="N17" s="233">
        <f>HLOOKUP(IF('RFM input'!$V$7="",5,'RFM input'!$V$7),'TAB roll forward'!$J$2:$R$57,B17,FALSE)</f>
        <v>0</v>
      </c>
      <c r="O17" s="1441">
        <f ca="1">IF(OR($N17&lt;0,AND($N17&gt;0,(
INDEX('TAB remaining lives'!$A$6:$W$2706,MATCH($E17,'TAB remaining lives'!$A$6:$A$2706,0)+ROWS('TAB remaining lives'!$B$8:$B$60)-1,MATCH(($Q$7),'TAB remaining lives'!$A$6:$W$6,0)-1))=0)),MIN(INDEX('RFM input'!$T$7:$T$56,MATCH($E17,$E$7:$E$56,0),1),'RFM input'!$V$7),
(INDEX('TAB remaining lives'!$A$6:$W$2706,MATCH($E17,'TAB remaining lives'!$A$6:$A$2706,0)+ROWS('TAB remaining lives'!$B$8:$B$60)-1,MATCH(($Q$7),'TAB remaining lives'!$A$6:$W$6,0)-1)))</f>
        <v>0</v>
      </c>
      <c r="P17" s="142"/>
      <c r="Q17" s="138"/>
      <c r="R17" s="4"/>
      <c r="S17" s="29"/>
      <c r="T17" s="83"/>
      <c r="U17" s="83"/>
      <c r="V17" s="83"/>
      <c r="W17" s="29"/>
      <c r="X17" s="29"/>
      <c r="Y17" s="29"/>
      <c r="Z17" s="29"/>
    </row>
    <row r="18" spans="1:26">
      <c r="A18" s="283">
        <f t="shared" si="0"/>
        <v>14</v>
      </c>
      <c r="B18" s="283">
        <f t="shared" si="0"/>
        <v>18</v>
      </c>
      <c r="C18" s="241"/>
      <c r="D18" s="241"/>
      <c r="E18" s="1595" t="str">
        <f>'RFM input'!E18</f>
        <v>Asset Class 12</v>
      </c>
      <c r="F18" s="1596"/>
      <c r="G18" s="1597">
        <f>Asset12</f>
        <v>0</v>
      </c>
      <c r="H18" s="1598"/>
      <c r="I18" s="1598"/>
      <c r="J18" s="1434">
        <f>HLOOKUP(IF('RFM input'!$V$7="",5,'RFM input'!$V$7),'Total RAB roll forward'!$I$632:$Q$683,A18,FALSE)</f>
        <v>0</v>
      </c>
      <c r="K18" s="268"/>
      <c r="L18" s="1441">
        <f ca="1">IF(OR($J18&lt;0,AND($J18&gt;0,
(INDEX('RAB remaining lives'!$A$6:$W$2711,MATCH($E18,'RAB remaining lives'!$A$6:$A$2711,0)+ROWS('RAB remaining lives'!$B$13:$B$65)-1,MATCH($Q$7,'RAB remaining lives'!$A$6:$W$6,0)-1))=0)),MIN(INDEX('RFM input'!$K$7:$K$56,MATCH($E18,$E$7:$E$56,0),1),'RFM input'!$V$7),
(INDEX('RAB remaining lives'!$A$6:$W$2711,MATCH($E18,'RAB remaining lives'!$A$6:$A$2711,0)+ROWS('RAB remaining lives'!$B$13:$B$65)-1,MATCH(($Q$7),'RAB remaining lives'!$A$6:$W$6,0)-1)))</f>
        <v>0</v>
      </c>
      <c r="M18" s="1438"/>
      <c r="N18" s="233">
        <f>HLOOKUP(IF('RFM input'!$V$7="",5,'RFM input'!$V$7),'TAB roll forward'!$J$2:$R$57,B18,FALSE)</f>
        <v>0</v>
      </c>
      <c r="O18" s="1441">
        <f ca="1">IF(OR($N18&lt;0,AND($N18&gt;0,(
INDEX('TAB remaining lives'!$A$6:$W$2706,MATCH($E18,'TAB remaining lives'!$A$6:$A$2706,0)+ROWS('TAB remaining lives'!$B$8:$B$60)-1,MATCH(($Q$7),'TAB remaining lives'!$A$6:$W$6,0)-1))=0)),MIN(INDEX('RFM input'!$T$7:$T$56,MATCH($E18,$E$7:$E$56,0),1),'RFM input'!$V$7),
(INDEX('TAB remaining lives'!$A$6:$W$2706,MATCH($E18,'TAB remaining lives'!$A$6:$A$2706,0)+ROWS('TAB remaining lives'!$B$8:$B$60)-1,MATCH(($Q$7),'TAB remaining lives'!$A$6:$W$6,0)-1)))</f>
        <v>0</v>
      </c>
      <c r="P18" s="142"/>
      <c r="Q18" s="138"/>
      <c r="R18" s="4"/>
      <c r="S18" s="29"/>
      <c r="T18" s="83"/>
      <c r="U18" s="83"/>
      <c r="V18" s="83"/>
      <c r="W18" s="29"/>
      <c r="X18" s="29"/>
      <c r="Y18" s="29"/>
      <c r="Z18" s="29"/>
    </row>
    <row r="19" spans="1:26">
      <c r="A19" s="283">
        <f t="shared" si="0"/>
        <v>15</v>
      </c>
      <c r="B19" s="283">
        <f t="shared" si="0"/>
        <v>19</v>
      </c>
      <c r="C19" s="241"/>
      <c r="D19" s="241"/>
      <c r="E19" s="1595" t="str">
        <f>'RFM input'!E19</f>
        <v>Asset Class 13</v>
      </c>
      <c r="F19" s="1596"/>
      <c r="G19" s="1597">
        <f>Asset13</f>
        <v>0</v>
      </c>
      <c r="H19" s="1598"/>
      <c r="I19" s="1598"/>
      <c r="J19" s="1434">
        <f>HLOOKUP(IF('RFM input'!$V$7="",5,'RFM input'!$V$7),'Total RAB roll forward'!$I$632:$Q$683,A19,FALSE)</f>
        <v>0</v>
      </c>
      <c r="K19" s="268"/>
      <c r="L19" s="1441">
        <f ca="1">IF(OR($J19&lt;0,AND($J19&gt;0,
(INDEX('RAB remaining lives'!$A$6:$W$2711,MATCH($E19,'RAB remaining lives'!$A$6:$A$2711,0)+ROWS('RAB remaining lives'!$B$13:$B$65)-1,MATCH($Q$7,'RAB remaining lives'!$A$6:$W$6,0)-1))=0)),MIN(INDEX('RFM input'!$K$7:$K$56,MATCH($E19,$E$7:$E$56,0),1),'RFM input'!$V$7),
(INDEX('RAB remaining lives'!$A$6:$W$2711,MATCH($E19,'RAB remaining lives'!$A$6:$A$2711,0)+ROWS('RAB remaining lives'!$B$13:$B$65)-1,MATCH(($Q$7),'RAB remaining lives'!$A$6:$W$6,0)-1)))</f>
        <v>0</v>
      </c>
      <c r="M19" s="1438"/>
      <c r="N19" s="233">
        <f>HLOOKUP(IF('RFM input'!$V$7="",5,'RFM input'!$V$7),'TAB roll forward'!$J$2:$R$57,B19,FALSE)</f>
        <v>0</v>
      </c>
      <c r="O19" s="1441">
        <f ca="1">IF(OR($N19&lt;0,AND($N19&gt;0,(
INDEX('TAB remaining lives'!$A$6:$W$2706,MATCH($E19,'TAB remaining lives'!$A$6:$A$2706,0)+ROWS('TAB remaining lives'!$B$8:$B$60)-1,MATCH(($Q$7),'TAB remaining lives'!$A$6:$W$6,0)-1))=0)),MIN(INDEX('RFM input'!$T$7:$T$56,MATCH($E19,$E$7:$E$56,0),1),'RFM input'!$V$7),
(INDEX('TAB remaining lives'!$A$6:$W$2706,MATCH($E19,'TAB remaining lives'!$A$6:$A$2706,0)+ROWS('TAB remaining lives'!$B$8:$B$60)-1,MATCH(($Q$7),'TAB remaining lives'!$A$6:$W$6,0)-1)))</f>
        <v>0</v>
      </c>
      <c r="P19" s="142"/>
      <c r="Q19" s="138"/>
      <c r="R19" s="4"/>
      <c r="S19" s="29"/>
      <c r="T19" s="83"/>
      <c r="U19" s="83"/>
      <c r="V19" s="83"/>
      <c r="W19" s="29"/>
      <c r="X19" s="29"/>
      <c r="Y19" s="29"/>
      <c r="Z19" s="29"/>
    </row>
    <row r="20" spans="1:26">
      <c r="A20" s="283">
        <f t="shared" si="0"/>
        <v>16</v>
      </c>
      <c r="B20" s="283">
        <f t="shared" si="0"/>
        <v>20</v>
      </c>
      <c r="C20" s="241"/>
      <c r="D20" s="241"/>
      <c r="E20" s="1595" t="str">
        <f>'RFM input'!E20</f>
        <v>Asset Class 14</v>
      </c>
      <c r="F20" s="1596"/>
      <c r="G20" s="1597">
        <f>Asset14</f>
        <v>0</v>
      </c>
      <c r="H20" s="1598"/>
      <c r="I20" s="1598"/>
      <c r="J20" s="1434">
        <f>HLOOKUP(IF('RFM input'!$V$7="",5,'RFM input'!$V$7),'Total RAB roll forward'!$I$632:$Q$683,A20,FALSE)</f>
        <v>0</v>
      </c>
      <c r="K20" s="268"/>
      <c r="L20" s="1441">
        <f ca="1">IF(OR($J20&lt;0,AND($J20&gt;0,
(INDEX('RAB remaining lives'!$A$6:$W$2711,MATCH($E20,'RAB remaining lives'!$A$6:$A$2711,0)+ROWS('RAB remaining lives'!$B$13:$B$65)-1,MATCH($Q$7,'RAB remaining lives'!$A$6:$W$6,0)-1))=0)),MIN(INDEX('RFM input'!$K$7:$K$56,MATCH($E20,$E$7:$E$56,0),1),'RFM input'!$V$7),
(INDEX('RAB remaining lives'!$A$6:$W$2711,MATCH($E20,'RAB remaining lives'!$A$6:$A$2711,0)+ROWS('RAB remaining lives'!$B$13:$B$65)-1,MATCH(($Q$7),'RAB remaining lives'!$A$6:$W$6,0)-1)))</f>
        <v>0</v>
      </c>
      <c r="M20" s="1438"/>
      <c r="N20" s="233">
        <f>HLOOKUP(IF('RFM input'!$V$7="",5,'RFM input'!$V$7),'TAB roll forward'!$J$2:$R$57,B20,FALSE)</f>
        <v>0</v>
      </c>
      <c r="O20" s="1441">
        <f ca="1">IF(OR($N20&lt;0,AND($N20&gt;0,(
INDEX('TAB remaining lives'!$A$6:$W$2706,MATCH($E20,'TAB remaining lives'!$A$6:$A$2706,0)+ROWS('TAB remaining lives'!$B$8:$B$60)-1,MATCH(($Q$7),'TAB remaining lives'!$A$6:$W$6,0)-1))=0)),MIN(INDEX('RFM input'!$T$7:$T$56,MATCH($E20,$E$7:$E$56,0),1),'RFM input'!$V$7),
(INDEX('TAB remaining lives'!$A$6:$W$2706,MATCH($E20,'TAB remaining lives'!$A$6:$A$2706,0)+ROWS('TAB remaining lives'!$B$8:$B$60)-1,MATCH(($Q$7),'TAB remaining lives'!$A$6:$W$6,0)-1)))</f>
        <v>0</v>
      </c>
      <c r="P20" s="142"/>
      <c r="Q20" s="138"/>
      <c r="R20" s="4"/>
      <c r="S20" s="29"/>
      <c r="T20" s="83"/>
      <c r="U20" s="83"/>
      <c r="V20" s="83"/>
      <c r="W20" s="29"/>
      <c r="X20" s="29"/>
      <c r="Y20" s="29"/>
      <c r="Z20" s="29"/>
    </row>
    <row r="21" spans="1:26">
      <c r="A21" s="283">
        <f t="shared" si="0"/>
        <v>17</v>
      </c>
      <c r="B21" s="283">
        <f t="shared" si="0"/>
        <v>21</v>
      </c>
      <c r="C21" s="241"/>
      <c r="D21" s="241"/>
      <c r="E21" s="1595" t="str">
        <f>'RFM input'!E21</f>
        <v>Asset Class 15</v>
      </c>
      <c r="F21" s="1596"/>
      <c r="G21" s="1597">
        <f>Asset15</f>
        <v>0</v>
      </c>
      <c r="H21" s="1598"/>
      <c r="I21" s="1598"/>
      <c r="J21" s="1434">
        <f>HLOOKUP(IF('RFM input'!$V$7="",5,'RFM input'!$V$7),'Total RAB roll forward'!$I$632:$Q$683,A21,FALSE)</f>
        <v>0</v>
      </c>
      <c r="K21" s="268"/>
      <c r="L21" s="1441">
        <f ca="1">IF(OR($J21&lt;0,AND($J21&gt;0,
(INDEX('RAB remaining lives'!$A$6:$W$2711,MATCH($E21,'RAB remaining lives'!$A$6:$A$2711,0)+ROWS('RAB remaining lives'!$B$13:$B$65)-1,MATCH($Q$7,'RAB remaining lives'!$A$6:$W$6,0)-1))=0)),MIN(INDEX('RFM input'!$K$7:$K$56,MATCH($E21,$E$7:$E$56,0),1),'RFM input'!$V$7),
(INDEX('RAB remaining lives'!$A$6:$W$2711,MATCH($E21,'RAB remaining lives'!$A$6:$A$2711,0)+ROWS('RAB remaining lives'!$B$13:$B$65)-1,MATCH(($Q$7),'RAB remaining lives'!$A$6:$W$6,0)-1)))</f>
        <v>0</v>
      </c>
      <c r="M21" s="1438"/>
      <c r="N21" s="233">
        <f>HLOOKUP(IF('RFM input'!$V$7="",5,'RFM input'!$V$7),'TAB roll forward'!$J$2:$R$57,B21,FALSE)</f>
        <v>0</v>
      </c>
      <c r="O21" s="1441">
        <f ca="1">IF(OR($N21&lt;0,AND($N21&gt;0,(
INDEX('TAB remaining lives'!$A$6:$W$2706,MATCH($E21,'TAB remaining lives'!$A$6:$A$2706,0)+ROWS('TAB remaining lives'!$B$8:$B$60)-1,MATCH(($Q$7),'TAB remaining lives'!$A$6:$W$6,0)-1))=0)),MIN(INDEX('RFM input'!$T$7:$T$56,MATCH($E21,$E$7:$E$56,0),1),'RFM input'!$V$7),
(INDEX('TAB remaining lives'!$A$6:$W$2706,MATCH($E21,'TAB remaining lives'!$A$6:$A$2706,0)+ROWS('TAB remaining lives'!$B$8:$B$60)-1,MATCH(($Q$7),'TAB remaining lives'!$A$6:$W$6,0)-1)))</f>
        <v>0</v>
      </c>
      <c r="P21" s="142"/>
      <c r="Q21" s="138"/>
      <c r="R21" s="4"/>
      <c r="S21" s="29"/>
      <c r="T21" s="83"/>
      <c r="U21" s="83"/>
      <c r="V21" s="83"/>
      <c r="W21" s="29"/>
      <c r="X21" s="29"/>
      <c r="Y21" s="29"/>
      <c r="Z21" s="29"/>
    </row>
    <row r="22" spans="1:26">
      <c r="A22" s="283">
        <f t="shared" si="0"/>
        <v>18</v>
      </c>
      <c r="B22" s="283">
        <f t="shared" si="0"/>
        <v>22</v>
      </c>
      <c r="C22" s="241"/>
      <c r="D22" s="241"/>
      <c r="E22" s="1595" t="str">
        <f>'RFM input'!E22</f>
        <v>Asset Class 16</v>
      </c>
      <c r="F22" s="1596"/>
      <c r="G22" s="1597">
        <f>Asset16</f>
        <v>0</v>
      </c>
      <c r="H22" s="1598"/>
      <c r="I22" s="1598"/>
      <c r="J22" s="1434">
        <f>HLOOKUP(IF('RFM input'!$V$7="",5,'RFM input'!$V$7),'Total RAB roll forward'!$I$632:$Q$683,A22,FALSE)</f>
        <v>0</v>
      </c>
      <c r="K22" s="268"/>
      <c r="L22" s="1441">
        <f ca="1">IF(OR($J22&lt;0,AND($J22&gt;0,
(INDEX('RAB remaining lives'!$A$6:$W$2711,MATCH($E22,'RAB remaining lives'!$A$6:$A$2711,0)+ROWS('RAB remaining lives'!$B$13:$B$65)-1,MATCH($Q$7,'RAB remaining lives'!$A$6:$W$6,0)-1))=0)),MIN(INDEX('RFM input'!$K$7:$K$56,MATCH($E22,$E$7:$E$56,0),1),'RFM input'!$V$7),
(INDEX('RAB remaining lives'!$A$6:$W$2711,MATCH($E22,'RAB remaining lives'!$A$6:$A$2711,0)+ROWS('RAB remaining lives'!$B$13:$B$65)-1,MATCH(($Q$7),'RAB remaining lives'!$A$6:$W$6,0)-1)))</f>
        <v>0</v>
      </c>
      <c r="M22" s="1438"/>
      <c r="N22" s="233">
        <f>HLOOKUP(IF('RFM input'!$V$7="",5,'RFM input'!$V$7),'TAB roll forward'!$J$2:$R$57,B22,FALSE)</f>
        <v>0</v>
      </c>
      <c r="O22" s="1441">
        <f ca="1">IF(OR($N22&lt;0,AND($N22&gt;0,(
INDEX('TAB remaining lives'!$A$6:$W$2706,MATCH($E22,'TAB remaining lives'!$A$6:$A$2706,0)+ROWS('TAB remaining lives'!$B$8:$B$60)-1,MATCH(($Q$7),'TAB remaining lives'!$A$6:$W$6,0)-1))=0)),MIN(INDEX('RFM input'!$T$7:$T$56,MATCH($E22,$E$7:$E$56,0),1),'RFM input'!$V$7),
(INDEX('TAB remaining lives'!$A$6:$W$2706,MATCH($E22,'TAB remaining lives'!$A$6:$A$2706,0)+ROWS('TAB remaining lives'!$B$8:$B$60)-1,MATCH(($Q$7),'TAB remaining lives'!$A$6:$W$6,0)-1)))</f>
        <v>0</v>
      </c>
      <c r="P22" s="142"/>
      <c r="Q22" s="138"/>
      <c r="R22" s="4"/>
      <c r="S22" s="29"/>
      <c r="T22" s="83"/>
      <c r="U22" s="83"/>
      <c r="V22" s="83"/>
      <c r="W22" s="29"/>
      <c r="X22" s="29"/>
      <c r="Y22" s="29"/>
      <c r="Z22" s="29"/>
    </row>
    <row r="23" spans="1:26">
      <c r="A23" s="283">
        <f t="shared" si="0"/>
        <v>19</v>
      </c>
      <c r="B23" s="283">
        <f t="shared" si="0"/>
        <v>23</v>
      </c>
      <c r="C23" s="241"/>
      <c r="D23" s="241"/>
      <c r="E23" s="1595" t="str">
        <f>'RFM input'!E23</f>
        <v>Asset Class 17</v>
      </c>
      <c r="F23" s="1596"/>
      <c r="G23" s="1597">
        <f>Asset17</f>
        <v>0</v>
      </c>
      <c r="H23" s="1598"/>
      <c r="I23" s="1598"/>
      <c r="J23" s="1434">
        <f>HLOOKUP(IF('RFM input'!$V$7="",5,'RFM input'!$V$7),'Total RAB roll forward'!$I$632:$Q$683,A23,FALSE)</f>
        <v>0</v>
      </c>
      <c r="K23" s="268"/>
      <c r="L23" s="1441">
        <f ca="1">IF(OR($J23&lt;0,AND($J23&gt;0,
(INDEX('RAB remaining lives'!$A$6:$W$2711,MATCH($E23,'RAB remaining lives'!$A$6:$A$2711,0)+ROWS('RAB remaining lives'!$B$13:$B$65)-1,MATCH($Q$7,'RAB remaining lives'!$A$6:$W$6,0)-1))=0)),MIN(INDEX('RFM input'!$K$7:$K$56,MATCH($E23,$E$7:$E$56,0),1),'RFM input'!$V$7),
(INDEX('RAB remaining lives'!$A$6:$W$2711,MATCH($E23,'RAB remaining lives'!$A$6:$A$2711,0)+ROWS('RAB remaining lives'!$B$13:$B$65)-1,MATCH(($Q$7),'RAB remaining lives'!$A$6:$W$6,0)-1)))</f>
        <v>0</v>
      </c>
      <c r="M23" s="1438"/>
      <c r="N23" s="233">
        <f>HLOOKUP(IF('RFM input'!$V$7="",5,'RFM input'!$V$7),'TAB roll forward'!$J$2:$R$57,B23,FALSE)</f>
        <v>0</v>
      </c>
      <c r="O23" s="1441">
        <f ca="1">IF(OR($N23&lt;0,AND($N23&gt;0,(
INDEX('TAB remaining lives'!$A$6:$W$2706,MATCH($E23,'TAB remaining lives'!$A$6:$A$2706,0)+ROWS('TAB remaining lives'!$B$8:$B$60)-1,MATCH(($Q$7),'TAB remaining lives'!$A$6:$W$6,0)-1))=0)),MIN(INDEX('RFM input'!$T$7:$T$56,MATCH($E23,$E$7:$E$56,0),1),'RFM input'!$V$7),
(INDEX('TAB remaining lives'!$A$6:$W$2706,MATCH($E23,'TAB remaining lives'!$A$6:$A$2706,0)+ROWS('TAB remaining lives'!$B$8:$B$60)-1,MATCH(($Q$7),'TAB remaining lives'!$A$6:$W$6,0)-1)))</f>
        <v>0</v>
      </c>
      <c r="P23" s="142"/>
      <c r="Q23" s="138"/>
      <c r="R23" s="4"/>
      <c r="S23" s="29"/>
      <c r="T23" s="83"/>
      <c r="U23" s="83"/>
      <c r="V23" s="83"/>
      <c r="W23" s="29"/>
      <c r="X23" s="29"/>
      <c r="Y23" s="29"/>
      <c r="Z23" s="29"/>
    </row>
    <row r="24" spans="1:26">
      <c r="A24" s="283">
        <f t="shared" si="0"/>
        <v>20</v>
      </c>
      <c r="B24" s="283">
        <f t="shared" si="0"/>
        <v>24</v>
      </c>
      <c r="C24" s="241"/>
      <c r="D24" s="241"/>
      <c r="E24" s="1595" t="str">
        <f>'RFM input'!E24</f>
        <v>Asset Class 18</v>
      </c>
      <c r="F24" s="1596"/>
      <c r="G24" s="1597">
        <f>Asset18</f>
        <v>0</v>
      </c>
      <c r="H24" s="1598"/>
      <c r="I24" s="1598"/>
      <c r="J24" s="1434">
        <f>HLOOKUP(IF('RFM input'!$V$7="",5,'RFM input'!$V$7),'Total RAB roll forward'!$I$632:$Q$683,A24,FALSE)</f>
        <v>0</v>
      </c>
      <c r="K24" s="268"/>
      <c r="L24" s="1441">
        <f ca="1">IF(OR($J24&lt;0,AND($J24&gt;0,
(INDEX('RAB remaining lives'!$A$6:$W$2711,MATCH($E24,'RAB remaining lives'!$A$6:$A$2711,0)+ROWS('RAB remaining lives'!$B$13:$B$65)-1,MATCH($Q$7,'RAB remaining lives'!$A$6:$W$6,0)-1))=0)),MIN(INDEX('RFM input'!$K$7:$K$56,MATCH($E24,$E$7:$E$56,0),1),'RFM input'!$V$7),
(INDEX('RAB remaining lives'!$A$6:$W$2711,MATCH($E24,'RAB remaining lives'!$A$6:$A$2711,0)+ROWS('RAB remaining lives'!$B$13:$B$65)-1,MATCH(($Q$7),'RAB remaining lives'!$A$6:$W$6,0)-1)))</f>
        <v>0</v>
      </c>
      <c r="M24" s="1438"/>
      <c r="N24" s="233">
        <f>HLOOKUP(IF('RFM input'!$V$7="",5,'RFM input'!$V$7),'TAB roll forward'!$J$2:$R$57,B24,FALSE)</f>
        <v>0</v>
      </c>
      <c r="O24" s="1441">
        <f ca="1">IF(OR($N24&lt;0,AND($N24&gt;0,(
INDEX('TAB remaining lives'!$A$6:$W$2706,MATCH($E24,'TAB remaining lives'!$A$6:$A$2706,0)+ROWS('TAB remaining lives'!$B$8:$B$60)-1,MATCH(($Q$7),'TAB remaining lives'!$A$6:$W$6,0)-1))=0)),MIN(INDEX('RFM input'!$T$7:$T$56,MATCH($E24,$E$7:$E$56,0),1),'RFM input'!$V$7),
(INDEX('TAB remaining lives'!$A$6:$W$2706,MATCH($E24,'TAB remaining lives'!$A$6:$A$2706,0)+ROWS('TAB remaining lives'!$B$8:$B$60)-1,MATCH(($Q$7),'TAB remaining lives'!$A$6:$W$6,0)-1)))</f>
        <v>0</v>
      </c>
      <c r="P24" s="142"/>
      <c r="Q24" s="138"/>
      <c r="R24" s="4"/>
      <c r="S24" s="29"/>
      <c r="T24" s="83"/>
      <c r="U24" s="83"/>
      <c r="V24" s="83"/>
      <c r="W24" s="29"/>
      <c r="X24" s="29"/>
      <c r="Y24" s="29"/>
      <c r="Z24" s="29"/>
    </row>
    <row r="25" spans="1:26">
      <c r="A25" s="283">
        <f t="shared" ref="A25:B40" si="1">A24+1</f>
        <v>21</v>
      </c>
      <c r="B25" s="283">
        <f t="shared" si="1"/>
        <v>25</v>
      </c>
      <c r="C25" s="241"/>
      <c r="D25" s="241"/>
      <c r="E25" s="1595" t="str">
        <f>'RFM input'!E25</f>
        <v>Asset Class 19</v>
      </c>
      <c r="F25" s="1596"/>
      <c r="G25" s="1597">
        <f>Asset19</f>
        <v>0</v>
      </c>
      <c r="H25" s="1598"/>
      <c r="I25" s="1598"/>
      <c r="J25" s="1434">
        <f>HLOOKUP(IF('RFM input'!$V$7="",5,'RFM input'!$V$7),'Total RAB roll forward'!$I$632:$Q$683,A25,FALSE)</f>
        <v>0</v>
      </c>
      <c r="K25" s="268"/>
      <c r="L25" s="1441">
        <f ca="1">IF(OR($J25&lt;0,AND($J25&gt;0,
(INDEX('RAB remaining lives'!$A$6:$W$2711,MATCH($E25,'RAB remaining lives'!$A$6:$A$2711,0)+ROWS('RAB remaining lives'!$B$13:$B$65)-1,MATCH($Q$7,'RAB remaining lives'!$A$6:$W$6,0)-1))=0)),MIN(INDEX('RFM input'!$K$7:$K$56,MATCH($E25,$E$7:$E$56,0),1),'RFM input'!$V$7),
(INDEX('RAB remaining lives'!$A$6:$W$2711,MATCH($E25,'RAB remaining lives'!$A$6:$A$2711,0)+ROWS('RAB remaining lives'!$B$13:$B$65)-1,MATCH(($Q$7),'RAB remaining lives'!$A$6:$W$6,0)-1)))</f>
        <v>0</v>
      </c>
      <c r="M25" s="1438"/>
      <c r="N25" s="233">
        <f>HLOOKUP(IF('RFM input'!$V$7="",5,'RFM input'!$V$7),'TAB roll forward'!$J$2:$R$57,B25,FALSE)</f>
        <v>0</v>
      </c>
      <c r="O25" s="1441">
        <f ca="1">IF(OR($N25&lt;0,AND($N25&gt;0,(
INDEX('TAB remaining lives'!$A$6:$W$2706,MATCH($E25,'TAB remaining lives'!$A$6:$A$2706,0)+ROWS('TAB remaining lives'!$B$8:$B$60)-1,MATCH(($Q$7),'TAB remaining lives'!$A$6:$W$6,0)-1))=0)),MIN(INDEX('RFM input'!$T$7:$T$56,MATCH($E25,$E$7:$E$56,0),1),'RFM input'!$V$7),
(INDEX('TAB remaining lives'!$A$6:$W$2706,MATCH($E25,'TAB remaining lives'!$A$6:$A$2706,0)+ROWS('TAB remaining lives'!$B$8:$B$60)-1,MATCH(($Q$7),'TAB remaining lives'!$A$6:$W$6,0)-1)))</f>
        <v>0</v>
      </c>
      <c r="P25" s="142"/>
      <c r="Q25" s="138"/>
      <c r="R25" s="4"/>
      <c r="S25" s="29"/>
      <c r="T25" s="83"/>
      <c r="U25" s="83"/>
      <c r="V25" s="83"/>
      <c r="W25" s="29"/>
      <c r="X25" s="29"/>
      <c r="Y25" s="29"/>
      <c r="Z25" s="29"/>
    </row>
    <row r="26" spans="1:26">
      <c r="A26" s="283">
        <f t="shared" si="1"/>
        <v>22</v>
      </c>
      <c r="B26" s="283">
        <f t="shared" si="1"/>
        <v>26</v>
      </c>
      <c r="C26" s="241"/>
      <c r="D26" s="241"/>
      <c r="E26" s="1595" t="str">
        <f>'RFM input'!E26</f>
        <v>Asset Class 20</v>
      </c>
      <c r="F26" s="1596"/>
      <c r="G26" s="1597">
        <f>Asset20</f>
        <v>0</v>
      </c>
      <c r="H26" s="1598"/>
      <c r="I26" s="1598"/>
      <c r="J26" s="1434">
        <f>HLOOKUP(IF('RFM input'!$V$7="",5,'RFM input'!$V$7),'Total RAB roll forward'!$I$632:$Q$683,A26,FALSE)</f>
        <v>0</v>
      </c>
      <c r="K26" s="268"/>
      <c r="L26" s="1441">
        <f ca="1">IF(OR($J26&lt;0,AND($J26&gt;0,
(INDEX('RAB remaining lives'!$A$6:$W$2711,MATCH($E26,'RAB remaining lives'!$A$6:$A$2711,0)+ROWS('RAB remaining lives'!$B$13:$B$65)-1,MATCH($Q$7,'RAB remaining lives'!$A$6:$W$6,0)-1))=0)),MIN(INDEX('RFM input'!$K$7:$K$56,MATCH($E26,$E$7:$E$56,0),1),'RFM input'!$V$7),
(INDEX('RAB remaining lives'!$A$6:$W$2711,MATCH($E26,'RAB remaining lives'!$A$6:$A$2711,0)+ROWS('RAB remaining lives'!$B$13:$B$65)-1,MATCH(($Q$7),'RAB remaining lives'!$A$6:$W$6,0)-1)))</f>
        <v>0</v>
      </c>
      <c r="M26" s="1438"/>
      <c r="N26" s="233">
        <f>HLOOKUP(IF('RFM input'!$V$7="",5,'RFM input'!$V$7),'TAB roll forward'!$J$2:$R$57,B26,FALSE)</f>
        <v>0</v>
      </c>
      <c r="O26" s="1441">
        <f ca="1">IF(OR($N26&lt;0,AND($N26&gt;0,(
INDEX('TAB remaining lives'!$A$6:$W$2706,MATCH($E26,'TAB remaining lives'!$A$6:$A$2706,0)+ROWS('TAB remaining lives'!$B$8:$B$60)-1,MATCH(($Q$7),'TAB remaining lives'!$A$6:$W$6,0)-1))=0)),MIN(INDEX('RFM input'!$T$7:$T$56,MATCH($E26,$E$7:$E$56,0),1),'RFM input'!$V$7),
(INDEX('TAB remaining lives'!$A$6:$W$2706,MATCH($E26,'TAB remaining lives'!$A$6:$A$2706,0)+ROWS('TAB remaining lives'!$B$8:$B$60)-1,MATCH(($Q$7),'TAB remaining lives'!$A$6:$W$6,0)-1)))</f>
        <v>0</v>
      </c>
      <c r="P26" s="142"/>
      <c r="Q26" s="138"/>
      <c r="R26" s="4"/>
      <c r="S26" s="29"/>
      <c r="T26" s="83"/>
      <c r="U26" s="83"/>
      <c r="V26" s="83"/>
      <c r="W26" s="29"/>
      <c r="X26" s="29"/>
      <c r="Y26" s="29"/>
      <c r="Z26" s="29"/>
    </row>
    <row r="27" spans="1:26">
      <c r="A27" s="283">
        <f t="shared" si="1"/>
        <v>23</v>
      </c>
      <c r="B27" s="283">
        <f t="shared" si="1"/>
        <v>27</v>
      </c>
      <c r="C27" s="241"/>
      <c r="D27" s="241"/>
      <c r="E27" s="1595" t="str">
        <f>'RFM input'!E27</f>
        <v>Asset Class 21</v>
      </c>
      <c r="F27" s="1596"/>
      <c r="G27" s="1597">
        <f>Asset21</f>
        <v>0</v>
      </c>
      <c r="H27" s="1598"/>
      <c r="I27" s="1598"/>
      <c r="J27" s="1434">
        <f>HLOOKUP(IF('RFM input'!$V$7="",5,'RFM input'!$V$7),'Total RAB roll forward'!$I$632:$Q$683,A27,FALSE)</f>
        <v>0</v>
      </c>
      <c r="K27" s="268"/>
      <c r="L27" s="1441">
        <f ca="1">IF(OR($J27&lt;0,AND($J27&gt;0,
(INDEX('RAB remaining lives'!$A$6:$W$2711,MATCH($E27,'RAB remaining lives'!$A$6:$A$2711,0)+ROWS('RAB remaining lives'!$B$13:$B$65)-1,MATCH($Q$7,'RAB remaining lives'!$A$6:$W$6,0)-1))=0)),MIN(INDEX('RFM input'!$K$7:$K$56,MATCH($E27,$E$7:$E$56,0),1),'RFM input'!$V$7),
(INDEX('RAB remaining lives'!$A$6:$W$2711,MATCH($E27,'RAB remaining lives'!$A$6:$A$2711,0)+ROWS('RAB remaining lives'!$B$13:$B$65)-1,MATCH(($Q$7),'RAB remaining lives'!$A$6:$W$6,0)-1)))</f>
        <v>0</v>
      </c>
      <c r="M27" s="1438"/>
      <c r="N27" s="233">
        <f>HLOOKUP(IF('RFM input'!$V$7="",5,'RFM input'!$V$7),'TAB roll forward'!$J$2:$R$57,B27,FALSE)</f>
        <v>0</v>
      </c>
      <c r="O27" s="1441">
        <f ca="1">IF(OR($N27&lt;0,AND($N27&gt;0,(
INDEX('TAB remaining lives'!$A$6:$W$2706,MATCH($E27,'TAB remaining lives'!$A$6:$A$2706,0)+ROWS('TAB remaining lives'!$B$8:$B$60)-1,MATCH(($Q$7),'TAB remaining lives'!$A$6:$W$6,0)-1))=0)),MIN(INDEX('RFM input'!$T$7:$T$56,MATCH($E27,$E$7:$E$56,0),1),'RFM input'!$V$7),
(INDEX('TAB remaining lives'!$A$6:$W$2706,MATCH($E27,'TAB remaining lives'!$A$6:$A$2706,0)+ROWS('TAB remaining lives'!$B$8:$B$60)-1,MATCH(($Q$7),'TAB remaining lives'!$A$6:$W$6,0)-1)))</f>
        <v>0</v>
      </c>
      <c r="P27" s="142"/>
      <c r="Q27" s="138"/>
      <c r="R27" s="4"/>
      <c r="S27" s="29"/>
      <c r="T27" s="83"/>
      <c r="U27" s="83"/>
      <c r="V27" s="83"/>
      <c r="W27" s="29"/>
      <c r="X27" s="29"/>
      <c r="Y27" s="29"/>
      <c r="Z27" s="29"/>
    </row>
    <row r="28" spans="1:26">
      <c r="A28" s="283">
        <f t="shared" si="1"/>
        <v>24</v>
      </c>
      <c r="B28" s="283">
        <f t="shared" si="1"/>
        <v>28</v>
      </c>
      <c r="C28" s="241"/>
      <c r="D28" s="241"/>
      <c r="E28" s="1595" t="str">
        <f>'RFM input'!E28</f>
        <v>Asset Class 22</v>
      </c>
      <c r="F28" s="1596"/>
      <c r="G28" s="1597">
        <f>Asset22</f>
        <v>0</v>
      </c>
      <c r="H28" s="1598"/>
      <c r="I28" s="1598"/>
      <c r="J28" s="1434">
        <f>HLOOKUP(IF('RFM input'!$V$7="",5,'RFM input'!$V$7),'Total RAB roll forward'!$I$632:$Q$683,A28,FALSE)</f>
        <v>0</v>
      </c>
      <c r="K28" s="268"/>
      <c r="L28" s="1441">
        <f ca="1">IF(OR($J28&lt;0,AND($J28&gt;0,
(INDEX('RAB remaining lives'!$A$6:$W$2711,MATCH($E28,'RAB remaining lives'!$A$6:$A$2711,0)+ROWS('RAB remaining lives'!$B$13:$B$65)-1,MATCH($Q$7,'RAB remaining lives'!$A$6:$W$6,0)-1))=0)),MIN(INDEX('RFM input'!$K$7:$K$56,MATCH($E28,$E$7:$E$56,0),1),'RFM input'!$V$7),
(INDEX('RAB remaining lives'!$A$6:$W$2711,MATCH($E28,'RAB remaining lives'!$A$6:$A$2711,0)+ROWS('RAB remaining lives'!$B$13:$B$65)-1,MATCH(($Q$7),'RAB remaining lives'!$A$6:$W$6,0)-1)))</f>
        <v>0</v>
      </c>
      <c r="M28" s="1438"/>
      <c r="N28" s="233">
        <f>HLOOKUP(IF('RFM input'!$V$7="",5,'RFM input'!$V$7),'TAB roll forward'!$J$2:$R$57,B28,FALSE)</f>
        <v>0</v>
      </c>
      <c r="O28" s="1441">
        <f ca="1">IF(OR($N28&lt;0,AND($N28&gt;0,(
INDEX('TAB remaining lives'!$A$6:$W$2706,MATCH($E28,'TAB remaining lives'!$A$6:$A$2706,0)+ROWS('TAB remaining lives'!$B$8:$B$60)-1,MATCH(($Q$7),'TAB remaining lives'!$A$6:$W$6,0)-1))=0)),MIN(INDEX('RFM input'!$T$7:$T$56,MATCH($E28,$E$7:$E$56,0),1),'RFM input'!$V$7),
(INDEX('TAB remaining lives'!$A$6:$W$2706,MATCH($E28,'TAB remaining lives'!$A$6:$A$2706,0)+ROWS('TAB remaining lives'!$B$8:$B$60)-1,MATCH(($Q$7),'TAB remaining lives'!$A$6:$W$6,0)-1)))</f>
        <v>0</v>
      </c>
      <c r="P28" s="142"/>
      <c r="Q28" s="138"/>
      <c r="R28" s="4"/>
      <c r="S28" s="29"/>
      <c r="T28" s="83"/>
      <c r="U28" s="83"/>
      <c r="V28" s="83"/>
      <c r="W28" s="29"/>
      <c r="X28" s="29"/>
      <c r="Y28" s="29"/>
      <c r="Z28" s="29"/>
    </row>
    <row r="29" spans="1:26">
      <c r="A29" s="283">
        <f t="shared" si="1"/>
        <v>25</v>
      </c>
      <c r="B29" s="283">
        <f t="shared" si="1"/>
        <v>29</v>
      </c>
      <c r="C29" s="241"/>
      <c r="D29" s="241"/>
      <c r="E29" s="1595" t="str">
        <f>'RFM input'!E29</f>
        <v>Asset Class 23</v>
      </c>
      <c r="F29" s="1596"/>
      <c r="G29" s="1597">
        <f>Asset23</f>
        <v>0</v>
      </c>
      <c r="H29" s="1598"/>
      <c r="I29" s="1598"/>
      <c r="J29" s="1434">
        <f>HLOOKUP(IF('RFM input'!$V$7="",5,'RFM input'!$V$7),'Total RAB roll forward'!$I$632:$Q$683,A29,FALSE)</f>
        <v>0</v>
      </c>
      <c r="K29" s="268"/>
      <c r="L29" s="1441">
        <f ca="1">IF(OR($J29&lt;0,AND($J29&gt;0,
(INDEX('RAB remaining lives'!$A$6:$W$2711,MATCH($E29,'RAB remaining lives'!$A$6:$A$2711,0)+ROWS('RAB remaining lives'!$B$13:$B$65)-1,MATCH($Q$7,'RAB remaining lives'!$A$6:$W$6,0)-1))=0)),MIN(INDEX('RFM input'!$K$7:$K$56,MATCH($E29,$E$7:$E$56,0),1),'RFM input'!$V$7),
(INDEX('RAB remaining lives'!$A$6:$W$2711,MATCH($E29,'RAB remaining lives'!$A$6:$A$2711,0)+ROWS('RAB remaining lives'!$B$13:$B$65)-1,MATCH(($Q$7),'RAB remaining lives'!$A$6:$W$6,0)-1)))</f>
        <v>0</v>
      </c>
      <c r="M29" s="1438"/>
      <c r="N29" s="233">
        <f>HLOOKUP(IF('RFM input'!$V$7="",5,'RFM input'!$V$7),'TAB roll forward'!$J$2:$R$57,B29,FALSE)</f>
        <v>0</v>
      </c>
      <c r="O29" s="1441">
        <f ca="1">IF(OR($N29&lt;0,AND($N29&gt;0,(
INDEX('TAB remaining lives'!$A$6:$W$2706,MATCH($E29,'TAB remaining lives'!$A$6:$A$2706,0)+ROWS('TAB remaining lives'!$B$8:$B$60)-1,MATCH(($Q$7),'TAB remaining lives'!$A$6:$W$6,0)-1))=0)),MIN(INDEX('RFM input'!$T$7:$T$56,MATCH($E29,$E$7:$E$56,0),1),'RFM input'!$V$7),
(INDEX('TAB remaining lives'!$A$6:$W$2706,MATCH($E29,'TAB remaining lives'!$A$6:$A$2706,0)+ROWS('TAB remaining lives'!$B$8:$B$60)-1,MATCH(($Q$7),'TAB remaining lives'!$A$6:$W$6,0)-1)))</f>
        <v>0</v>
      </c>
      <c r="P29" s="142"/>
      <c r="Q29" s="138"/>
      <c r="R29" s="4"/>
      <c r="S29" s="29"/>
      <c r="T29" s="83"/>
      <c r="U29" s="83"/>
      <c r="V29" s="83"/>
      <c r="W29" s="29"/>
      <c r="X29" s="29"/>
      <c r="Y29" s="29"/>
      <c r="Z29" s="29"/>
    </row>
    <row r="30" spans="1:26">
      <c r="A30" s="283">
        <f t="shared" si="1"/>
        <v>26</v>
      </c>
      <c r="B30" s="283">
        <f t="shared" si="1"/>
        <v>30</v>
      </c>
      <c r="C30" s="241"/>
      <c r="D30" s="241"/>
      <c r="E30" s="1595" t="str">
        <f>'RFM input'!E30</f>
        <v>Asset Class 24</v>
      </c>
      <c r="F30" s="1596"/>
      <c r="G30" s="1597">
        <f>Asset24</f>
        <v>0</v>
      </c>
      <c r="H30" s="1598"/>
      <c r="I30" s="1598"/>
      <c r="J30" s="1434">
        <f>HLOOKUP(IF('RFM input'!$V$7="",5,'RFM input'!$V$7),'Total RAB roll forward'!$I$632:$Q$683,A30,FALSE)</f>
        <v>0</v>
      </c>
      <c r="K30" s="268"/>
      <c r="L30" s="1441">
        <f ca="1">IF(OR($J30&lt;0,AND($J30&gt;0,
(INDEX('RAB remaining lives'!$A$6:$W$2711,MATCH($E30,'RAB remaining lives'!$A$6:$A$2711,0)+ROWS('RAB remaining lives'!$B$13:$B$65)-1,MATCH($Q$7,'RAB remaining lives'!$A$6:$W$6,0)-1))=0)),MIN(INDEX('RFM input'!$K$7:$K$56,MATCH($E30,$E$7:$E$56,0),1),'RFM input'!$V$7),
(INDEX('RAB remaining lives'!$A$6:$W$2711,MATCH($E30,'RAB remaining lives'!$A$6:$A$2711,0)+ROWS('RAB remaining lives'!$B$13:$B$65)-1,MATCH(($Q$7),'RAB remaining lives'!$A$6:$W$6,0)-1)))</f>
        <v>0</v>
      </c>
      <c r="M30" s="1438"/>
      <c r="N30" s="233">
        <f>HLOOKUP(IF('RFM input'!$V$7="",5,'RFM input'!$V$7),'TAB roll forward'!$J$2:$R$57,B30,FALSE)</f>
        <v>0</v>
      </c>
      <c r="O30" s="1441">
        <f ca="1">IF(OR($N30&lt;0,AND($N30&gt;0,(
INDEX('TAB remaining lives'!$A$6:$W$2706,MATCH($E30,'TAB remaining lives'!$A$6:$A$2706,0)+ROWS('TAB remaining lives'!$B$8:$B$60)-1,MATCH(($Q$7),'TAB remaining lives'!$A$6:$W$6,0)-1))=0)),MIN(INDEX('RFM input'!$T$7:$T$56,MATCH($E30,$E$7:$E$56,0),1),'RFM input'!$V$7),
(INDEX('TAB remaining lives'!$A$6:$W$2706,MATCH($E30,'TAB remaining lives'!$A$6:$A$2706,0)+ROWS('TAB remaining lives'!$B$8:$B$60)-1,MATCH(($Q$7),'TAB remaining lives'!$A$6:$W$6,0)-1)))</f>
        <v>0</v>
      </c>
      <c r="P30" s="142"/>
      <c r="Q30" s="138"/>
      <c r="R30" s="4"/>
      <c r="S30" s="29"/>
      <c r="T30" s="83"/>
      <c r="U30" s="83"/>
      <c r="V30" s="83"/>
      <c r="W30" s="29"/>
      <c r="X30" s="29"/>
      <c r="Y30" s="29"/>
      <c r="Z30" s="29"/>
    </row>
    <row r="31" spans="1:26">
      <c r="A31" s="283">
        <f t="shared" si="1"/>
        <v>27</v>
      </c>
      <c r="B31" s="283">
        <f t="shared" si="1"/>
        <v>31</v>
      </c>
      <c r="C31" s="241"/>
      <c r="D31" s="241"/>
      <c r="E31" s="1595" t="str">
        <f>'RFM input'!E31</f>
        <v>Asset Class 25</v>
      </c>
      <c r="F31" s="1596"/>
      <c r="G31" s="1597">
        <f>Asset25</f>
        <v>0</v>
      </c>
      <c r="H31" s="1598"/>
      <c r="I31" s="1598"/>
      <c r="J31" s="1434">
        <f>HLOOKUP(IF('RFM input'!$V$7="",5,'RFM input'!$V$7),'Total RAB roll forward'!$I$632:$Q$683,A31,FALSE)</f>
        <v>0</v>
      </c>
      <c r="K31" s="268"/>
      <c r="L31" s="1441">
        <f ca="1">IF(OR($J31&lt;0,AND($J31&gt;0,
(INDEX('RAB remaining lives'!$A$6:$W$2711,MATCH($E31,'RAB remaining lives'!$A$6:$A$2711,0)+ROWS('RAB remaining lives'!$B$13:$B$65)-1,MATCH($Q$7,'RAB remaining lives'!$A$6:$W$6,0)-1))=0)),MIN(INDEX('RFM input'!$K$7:$K$56,MATCH($E31,$E$7:$E$56,0),1),'RFM input'!$V$7),
(INDEX('RAB remaining lives'!$A$6:$W$2711,MATCH($E31,'RAB remaining lives'!$A$6:$A$2711,0)+ROWS('RAB remaining lives'!$B$13:$B$65)-1,MATCH(($Q$7),'RAB remaining lives'!$A$6:$W$6,0)-1)))</f>
        <v>0</v>
      </c>
      <c r="M31" s="1438"/>
      <c r="N31" s="233">
        <f>HLOOKUP(IF('RFM input'!$V$7="",5,'RFM input'!$V$7),'TAB roll forward'!$J$2:$R$57,B31,FALSE)</f>
        <v>0</v>
      </c>
      <c r="O31" s="1441">
        <f ca="1">IF(OR($N31&lt;0,AND($N31&gt;0,(
INDEX('TAB remaining lives'!$A$6:$W$2706,MATCH($E31,'TAB remaining lives'!$A$6:$A$2706,0)+ROWS('TAB remaining lives'!$B$8:$B$60)-1,MATCH(($Q$7),'TAB remaining lives'!$A$6:$W$6,0)-1))=0)),MIN(INDEX('RFM input'!$T$7:$T$56,MATCH($E31,$E$7:$E$56,0),1),'RFM input'!$V$7),
(INDEX('TAB remaining lives'!$A$6:$W$2706,MATCH($E31,'TAB remaining lives'!$A$6:$A$2706,0)+ROWS('TAB remaining lives'!$B$8:$B$60)-1,MATCH(($Q$7),'TAB remaining lives'!$A$6:$W$6,0)-1)))</f>
        <v>0</v>
      </c>
      <c r="P31" s="142"/>
      <c r="Q31" s="138"/>
      <c r="R31" s="4"/>
      <c r="S31" s="29"/>
      <c r="T31" s="83"/>
      <c r="U31" s="83"/>
      <c r="V31" s="83"/>
      <c r="W31" s="29"/>
      <c r="X31" s="29"/>
      <c r="Y31" s="29"/>
      <c r="Z31" s="29"/>
    </row>
    <row r="32" spans="1:26">
      <c r="A32" s="283">
        <f t="shared" si="1"/>
        <v>28</v>
      </c>
      <c r="B32" s="283">
        <f t="shared" si="1"/>
        <v>32</v>
      </c>
      <c r="C32" s="241"/>
      <c r="D32" s="241"/>
      <c r="E32" s="1595" t="str">
        <f>'RFM input'!E32</f>
        <v>Asset Class 26</v>
      </c>
      <c r="F32" s="1596"/>
      <c r="G32" s="1597">
        <f>Asset26</f>
        <v>0</v>
      </c>
      <c r="H32" s="1598"/>
      <c r="I32" s="1598"/>
      <c r="J32" s="1434">
        <f>HLOOKUP(IF('RFM input'!$V$7="",5,'RFM input'!$V$7),'Total RAB roll forward'!$I$632:$Q$683,A32,FALSE)</f>
        <v>0</v>
      </c>
      <c r="K32" s="268"/>
      <c r="L32" s="1441">
        <f ca="1">IF(OR($J32&lt;0,AND($J32&gt;0,
(INDEX('RAB remaining lives'!$A$6:$W$2711,MATCH($E32,'RAB remaining lives'!$A$6:$A$2711,0)+ROWS('RAB remaining lives'!$B$13:$B$65)-1,MATCH($Q$7,'RAB remaining lives'!$A$6:$W$6,0)-1))=0)),MIN(INDEX('RFM input'!$K$7:$K$56,MATCH($E32,$E$7:$E$56,0),1),'RFM input'!$V$7),
(INDEX('RAB remaining lives'!$A$6:$W$2711,MATCH($E32,'RAB remaining lives'!$A$6:$A$2711,0)+ROWS('RAB remaining lives'!$B$13:$B$65)-1,MATCH(($Q$7),'RAB remaining lives'!$A$6:$W$6,0)-1)))</f>
        <v>0</v>
      </c>
      <c r="M32" s="1438"/>
      <c r="N32" s="233">
        <f>HLOOKUP(IF('RFM input'!$V$7="",5,'RFM input'!$V$7),'TAB roll forward'!$J$2:$R$57,B32,FALSE)</f>
        <v>0</v>
      </c>
      <c r="O32" s="1441">
        <f ca="1">IF(OR($N32&lt;0,AND($N32&gt;0,(
INDEX('TAB remaining lives'!$A$6:$W$2706,MATCH($E32,'TAB remaining lives'!$A$6:$A$2706,0)+ROWS('TAB remaining lives'!$B$8:$B$60)-1,MATCH(($Q$7),'TAB remaining lives'!$A$6:$W$6,0)-1))=0)),MIN(INDEX('RFM input'!$T$7:$T$56,MATCH($E32,$E$7:$E$56,0),1),'RFM input'!$V$7),
(INDEX('TAB remaining lives'!$A$6:$W$2706,MATCH($E32,'TAB remaining lives'!$A$6:$A$2706,0)+ROWS('TAB remaining lives'!$B$8:$B$60)-1,MATCH(($Q$7),'TAB remaining lives'!$A$6:$W$6,0)-1)))</f>
        <v>0</v>
      </c>
      <c r="P32" s="142"/>
      <c r="Q32" s="138"/>
      <c r="R32" s="4"/>
      <c r="S32" s="29"/>
      <c r="T32" s="83"/>
      <c r="U32" s="83"/>
      <c r="V32" s="83"/>
      <c r="W32" s="29"/>
      <c r="X32" s="29"/>
      <c r="Y32" s="29"/>
      <c r="Z32" s="29"/>
    </row>
    <row r="33" spans="1:26">
      <c r="A33" s="283">
        <f t="shared" si="1"/>
        <v>29</v>
      </c>
      <c r="B33" s="283">
        <f t="shared" si="1"/>
        <v>33</v>
      </c>
      <c r="C33" s="241"/>
      <c r="D33" s="241"/>
      <c r="E33" s="1595" t="str">
        <f>'RFM input'!E33</f>
        <v>Asset Class 27</v>
      </c>
      <c r="F33" s="1596"/>
      <c r="G33" s="1597">
        <f>Asset27</f>
        <v>0</v>
      </c>
      <c r="H33" s="1598"/>
      <c r="I33" s="1598"/>
      <c r="J33" s="1434">
        <f>HLOOKUP(IF('RFM input'!$V$7="",5,'RFM input'!$V$7),'Total RAB roll forward'!$I$632:$Q$683,A33,FALSE)</f>
        <v>0</v>
      </c>
      <c r="K33" s="268"/>
      <c r="L33" s="1441">
        <f ca="1">IF(OR($J33&lt;0,AND($J33&gt;0,
(INDEX('RAB remaining lives'!$A$6:$W$2711,MATCH($E33,'RAB remaining lives'!$A$6:$A$2711,0)+ROWS('RAB remaining lives'!$B$13:$B$65)-1,MATCH($Q$7,'RAB remaining lives'!$A$6:$W$6,0)-1))=0)),MIN(INDEX('RFM input'!$K$7:$K$56,MATCH($E33,$E$7:$E$56,0),1),'RFM input'!$V$7),
(INDEX('RAB remaining lives'!$A$6:$W$2711,MATCH($E33,'RAB remaining lives'!$A$6:$A$2711,0)+ROWS('RAB remaining lives'!$B$13:$B$65)-1,MATCH(($Q$7),'RAB remaining lives'!$A$6:$W$6,0)-1)))</f>
        <v>0</v>
      </c>
      <c r="M33" s="1438"/>
      <c r="N33" s="233">
        <f>HLOOKUP(IF('RFM input'!$V$7="",5,'RFM input'!$V$7),'TAB roll forward'!$J$2:$R$57,B33,FALSE)</f>
        <v>0</v>
      </c>
      <c r="O33" s="1441">
        <f ca="1">IF(OR($N33&lt;0,AND($N33&gt;0,(
INDEX('TAB remaining lives'!$A$6:$W$2706,MATCH($E33,'TAB remaining lives'!$A$6:$A$2706,0)+ROWS('TAB remaining lives'!$B$8:$B$60)-1,MATCH(($Q$7),'TAB remaining lives'!$A$6:$W$6,0)-1))=0)),MIN(INDEX('RFM input'!$T$7:$T$56,MATCH($E33,$E$7:$E$56,0),1),'RFM input'!$V$7),
(INDEX('TAB remaining lives'!$A$6:$W$2706,MATCH($E33,'TAB remaining lives'!$A$6:$A$2706,0)+ROWS('TAB remaining lives'!$B$8:$B$60)-1,MATCH(($Q$7),'TAB remaining lives'!$A$6:$W$6,0)-1)))</f>
        <v>0</v>
      </c>
      <c r="P33" s="142"/>
      <c r="Q33" s="138"/>
      <c r="R33" s="4"/>
      <c r="S33" s="29"/>
      <c r="T33" s="83"/>
      <c r="U33" s="83"/>
      <c r="V33" s="83"/>
      <c r="W33" s="29"/>
      <c r="X33" s="29"/>
      <c r="Y33" s="29"/>
      <c r="Z33" s="29"/>
    </row>
    <row r="34" spans="1:26">
      <c r="A34" s="283">
        <f t="shared" si="1"/>
        <v>30</v>
      </c>
      <c r="B34" s="283">
        <f t="shared" si="1"/>
        <v>34</v>
      </c>
      <c r="C34" s="241"/>
      <c r="D34" s="241"/>
      <c r="E34" s="1595" t="str">
        <f>'RFM input'!E34</f>
        <v>Asset Class 28</v>
      </c>
      <c r="F34" s="1596"/>
      <c r="G34" s="1597">
        <f>Asset28</f>
        <v>0</v>
      </c>
      <c r="H34" s="1598"/>
      <c r="I34" s="1598"/>
      <c r="J34" s="1434">
        <f>HLOOKUP(IF('RFM input'!$V$7="",5,'RFM input'!$V$7),'Total RAB roll forward'!$I$632:$Q$683,A34,FALSE)</f>
        <v>0</v>
      </c>
      <c r="K34" s="268"/>
      <c r="L34" s="1441">
        <f ca="1">IF(OR($J34&lt;0,AND($J34&gt;0,
(INDEX('RAB remaining lives'!$A$6:$W$2711,MATCH($E34,'RAB remaining lives'!$A$6:$A$2711,0)+ROWS('RAB remaining lives'!$B$13:$B$65)-1,MATCH($Q$7,'RAB remaining lives'!$A$6:$W$6,0)-1))=0)),MIN(INDEX('RFM input'!$K$7:$K$56,MATCH($E34,$E$7:$E$56,0),1),'RFM input'!$V$7),
(INDEX('RAB remaining lives'!$A$6:$W$2711,MATCH($E34,'RAB remaining lives'!$A$6:$A$2711,0)+ROWS('RAB remaining lives'!$B$13:$B$65)-1,MATCH(($Q$7),'RAB remaining lives'!$A$6:$W$6,0)-1)))</f>
        <v>0</v>
      </c>
      <c r="M34" s="1438"/>
      <c r="N34" s="233">
        <f>HLOOKUP(IF('RFM input'!$V$7="",5,'RFM input'!$V$7),'TAB roll forward'!$J$2:$R$57,B34,FALSE)</f>
        <v>0</v>
      </c>
      <c r="O34" s="1441">
        <f ca="1">IF(OR($N34&lt;0,AND($N34&gt;0,(
INDEX('TAB remaining lives'!$A$6:$W$2706,MATCH($E34,'TAB remaining lives'!$A$6:$A$2706,0)+ROWS('TAB remaining lives'!$B$8:$B$60)-1,MATCH(($Q$7),'TAB remaining lives'!$A$6:$W$6,0)-1))=0)),MIN(INDEX('RFM input'!$T$7:$T$56,MATCH($E34,$E$7:$E$56,0),1),'RFM input'!$V$7),
(INDEX('TAB remaining lives'!$A$6:$W$2706,MATCH($E34,'TAB remaining lives'!$A$6:$A$2706,0)+ROWS('TAB remaining lives'!$B$8:$B$60)-1,MATCH(($Q$7),'TAB remaining lives'!$A$6:$W$6,0)-1)))</f>
        <v>0</v>
      </c>
      <c r="P34" s="142"/>
      <c r="Q34" s="138"/>
      <c r="R34" s="4"/>
      <c r="S34" s="29"/>
      <c r="T34" s="83"/>
      <c r="U34" s="83"/>
      <c r="V34" s="83"/>
      <c r="W34" s="29"/>
      <c r="X34" s="29"/>
      <c r="Y34" s="29"/>
      <c r="Z34" s="29"/>
    </row>
    <row r="35" spans="1:26">
      <c r="A35" s="283">
        <f t="shared" si="1"/>
        <v>31</v>
      </c>
      <c r="B35" s="283">
        <f t="shared" si="1"/>
        <v>35</v>
      </c>
      <c r="C35" s="241"/>
      <c r="D35" s="241"/>
      <c r="E35" s="1595" t="str">
        <f>'RFM input'!E35</f>
        <v>Asset Class 29</v>
      </c>
      <c r="F35" s="1596"/>
      <c r="G35" s="1597">
        <f>Asset29</f>
        <v>0</v>
      </c>
      <c r="H35" s="1598"/>
      <c r="I35" s="1598"/>
      <c r="J35" s="1434">
        <f>HLOOKUP(IF('RFM input'!$V$7="",5,'RFM input'!$V$7),'Total RAB roll forward'!$I$632:$Q$683,A35,FALSE)</f>
        <v>0</v>
      </c>
      <c r="K35" s="268"/>
      <c r="L35" s="1441">
        <f ca="1">IF(OR($J35&lt;0,AND($J35&gt;0,
(INDEX('RAB remaining lives'!$A$6:$W$2711,MATCH($E35,'RAB remaining lives'!$A$6:$A$2711,0)+ROWS('RAB remaining lives'!$B$13:$B$65)-1,MATCH($Q$7,'RAB remaining lives'!$A$6:$W$6,0)-1))=0)),MIN(INDEX('RFM input'!$K$7:$K$56,MATCH($E35,$E$7:$E$56,0),1),'RFM input'!$V$7),
(INDEX('RAB remaining lives'!$A$6:$W$2711,MATCH($E35,'RAB remaining lives'!$A$6:$A$2711,0)+ROWS('RAB remaining lives'!$B$13:$B$65)-1,MATCH(($Q$7),'RAB remaining lives'!$A$6:$W$6,0)-1)))</f>
        <v>0</v>
      </c>
      <c r="M35" s="1438"/>
      <c r="N35" s="233">
        <f>HLOOKUP(IF('RFM input'!$V$7="",5,'RFM input'!$V$7),'TAB roll forward'!$J$2:$R$57,B35,FALSE)</f>
        <v>0</v>
      </c>
      <c r="O35" s="1441">
        <f ca="1">IF(OR($N35&lt;0,AND($N35&gt;0,(
INDEX('TAB remaining lives'!$A$6:$W$2706,MATCH($E35,'TAB remaining lives'!$A$6:$A$2706,0)+ROWS('TAB remaining lives'!$B$8:$B$60)-1,MATCH(($Q$7),'TAB remaining lives'!$A$6:$W$6,0)-1))=0)),MIN(INDEX('RFM input'!$T$7:$T$56,MATCH($E35,$E$7:$E$56,0),1),'RFM input'!$V$7),
(INDEX('TAB remaining lives'!$A$6:$W$2706,MATCH($E35,'TAB remaining lives'!$A$6:$A$2706,0)+ROWS('TAB remaining lives'!$B$8:$B$60)-1,MATCH(($Q$7),'TAB remaining lives'!$A$6:$W$6,0)-1)))</f>
        <v>0</v>
      </c>
      <c r="P35" s="142"/>
      <c r="Q35" s="138"/>
      <c r="R35" s="4"/>
      <c r="S35" s="29"/>
      <c r="T35" s="83"/>
      <c r="U35" s="83"/>
      <c r="V35" s="83"/>
      <c r="W35" s="29"/>
      <c r="X35" s="29"/>
      <c r="Y35" s="29"/>
      <c r="Z35" s="29"/>
    </row>
    <row r="36" spans="1:26" outlineLevel="1">
      <c r="A36" s="283">
        <f t="shared" si="1"/>
        <v>32</v>
      </c>
      <c r="B36" s="283">
        <f t="shared" si="1"/>
        <v>36</v>
      </c>
      <c r="C36" s="241"/>
      <c r="D36" s="241"/>
      <c r="E36" s="1595" t="str">
        <f>'RFM input'!E36</f>
        <v>Asset Class 30</v>
      </c>
      <c r="F36" s="1596"/>
      <c r="G36" s="1597">
        <f>Asset30</f>
        <v>0</v>
      </c>
      <c r="H36" s="1598"/>
      <c r="I36" s="1598"/>
      <c r="J36" s="1434">
        <f>HLOOKUP(IF('RFM input'!$V$7="",5,'RFM input'!$V$7),'Total RAB roll forward'!$I$632:$Q$683,A36,FALSE)</f>
        <v>0</v>
      </c>
      <c r="K36" s="268"/>
      <c r="L36" s="1441">
        <f ca="1">IF(OR($J36&lt;0,AND($J36&gt;0,
(INDEX('RAB remaining lives'!$A$6:$W$2711,MATCH($E36,'RAB remaining lives'!$A$6:$A$2711,0)+ROWS('RAB remaining lives'!$B$13:$B$65)-1,MATCH($Q$7,'RAB remaining lives'!$A$6:$W$6,0)-1))=0)),MIN(INDEX('RFM input'!$K$7:$K$56,MATCH($E36,$E$7:$E$56,0),1),'RFM input'!$V$7),
(INDEX('RAB remaining lives'!$A$6:$W$2711,MATCH($E36,'RAB remaining lives'!$A$6:$A$2711,0)+ROWS('RAB remaining lives'!$B$13:$B$65)-1,MATCH(($Q$7),'RAB remaining lives'!$A$6:$W$6,0)-1)))</f>
        <v>0</v>
      </c>
      <c r="M36" s="1438"/>
      <c r="N36" s="233">
        <f>HLOOKUP(IF('RFM input'!$V$7="",5,'RFM input'!$V$7),'TAB roll forward'!$J$2:$R$57,B36,FALSE)</f>
        <v>0</v>
      </c>
      <c r="O36" s="1441">
        <f ca="1">IF(OR($N36&lt;0,AND($N36&gt;0,(
INDEX('TAB remaining lives'!$A$6:$W$2706,MATCH($E36,'TAB remaining lives'!$A$6:$A$2706,0)+ROWS('TAB remaining lives'!$B$8:$B$60)-1,MATCH(($Q$7),'TAB remaining lives'!$A$6:$W$6,0)-1))=0)),MIN(INDEX('RFM input'!$T$7:$T$56,MATCH($E36,$E$7:$E$56,0),1),'RFM input'!$V$7),
(INDEX('TAB remaining lives'!$A$6:$W$2706,MATCH($E36,'TAB remaining lives'!$A$6:$A$2706,0)+ROWS('TAB remaining lives'!$B$8:$B$60)-1,MATCH(($Q$7),'TAB remaining lives'!$A$6:$W$6,0)-1)))</f>
        <v>0</v>
      </c>
      <c r="P36" s="142"/>
      <c r="Q36" s="138"/>
      <c r="R36" s="4"/>
      <c r="S36" s="29"/>
      <c r="T36" s="83"/>
      <c r="U36" s="83"/>
      <c r="V36" s="83"/>
      <c r="W36" s="29"/>
      <c r="X36" s="29"/>
      <c r="Y36" s="29"/>
      <c r="Z36" s="29"/>
    </row>
    <row r="37" spans="1:26" outlineLevel="1">
      <c r="A37" s="283">
        <f t="shared" si="1"/>
        <v>33</v>
      </c>
      <c r="B37" s="283">
        <f t="shared" si="1"/>
        <v>37</v>
      </c>
      <c r="C37" s="241"/>
      <c r="D37" s="241"/>
      <c r="E37" s="1595" t="str">
        <f>'RFM input'!E37</f>
        <v>Asset Class 31</v>
      </c>
      <c r="F37" s="1596"/>
      <c r="G37" s="1597">
        <f>Asset31</f>
        <v>0</v>
      </c>
      <c r="H37" s="1598">
        <f>Asset31</f>
        <v>0</v>
      </c>
      <c r="I37" s="1598">
        <f>Asset31</f>
        <v>0</v>
      </c>
      <c r="J37" s="1434">
        <f>HLOOKUP(IF('RFM input'!$V$7="",5,'RFM input'!$V$7),'Total RAB roll forward'!$I$632:$Q$683,A37,FALSE)</f>
        <v>0</v>
      </c>
      <c r="K37" s="268"/>
      <c r="L37" s="1441">
        <f ca="1">IF(OR($J37&lt;0,AND($J37&gt;0,
(INDEX('RAB remaining lives'!$A$6:$W$2711,MATCH($E37,'RAB remaining lives'!$A$6:$A$2711,0)+ROWS('RAB remaining lives'!$B$13:$B$65)-1,MATCH($Q$7,'RAB remaining lives'!$A$6:$W$6,0)-1))=0)),MIN(INDEX('RFM input'!$K$7:$K$56,MATCH($E37,$E$7:$E$56,0),1),'RFM input'!$V$7),
(INDEX('RAB remaining lives'!$A$6:$W$2711,MATCH($E37,'RAB remaining lives'!$A$6:$A$2711,0)+ROWS('RAB remaining lives'!$B$13:$B$65)-1,MATCH(($Q$7),'RAB remaining lives'!$A$6:$W$6,0)-1)))</f>
        <v>0</v>
      </c>
      <c r="M37" s="1438"/>
      <c r="N37" s="233">
        <f>HLOOKUP(IF('RFM input'!$V$7="",5,'RFM input'!$V$7),'TAB roll forward'!$J$2:$R$57,B37,FALSE)</f>
        <v>0</v>
      </c>
      <c r="O37" s="1441">
        <f ca="1">IF(OR($N37&lt;0,AND($N37&gt;0,(
INDEX('TAB remaining lives'!$A$6:$W$2706,MATCH($E37,'TAB remaining lives'!$A$6:$A$2706,0)+ROWS('TAB remaining lives'!$B$8:$B$60)-1,MATCH(($Q$7),'TAB remaining lives'!$A$6:$W$6,0)-1))=0)),MIN(INDEX('RFM input'!$T$7:$T$56,MATCH($E37,$E$7:$E$56,0),1),'RFM input'!$V$7),
(INDEX('TAB remaining lives'!$A$6:$W$2706,MATCH($E37,'TAB remaining lives'!$A$6:$A$2706,0)+ROWS('TAB remaining lives'!$B$8:$B$60)-1,MATCH(($Q$7),'TAB remaining lives'!$A$6:$W$6,0)-1)))</f>
        <v>0</v>
      </c>
      <c r="P37" s="142"/>
      <c r="Q37" s="138"/>
      <c r="R37" s="4"/>
      <c r="S37" s="29"/>
      <c r="T37" s="83"/>
      <c r="U37" s="83"/>
      <c r="V37" s="83"/>
      <c r="W37" s="29"/>
      <c r="X37" s="29"/>
      <c r="Y37" s="29"/>
      <c r="Z37" s="29"/>
    </row>
    <row r="38" spans="1:26" outlineLevel="1">
      <c r="A38" s="283">
        <f t="shared" si="1"/>
        <v>34</v>
      </c>
      <c r="B38" s="283">
        <f t="shared" si="1"/>
        <v>38</v>
      </c>
      <c r="C38" s="241"/>
      <c r="D38" s="241"/>
      <c r="E38" s="1595" t="str">
        <f>'RFM input'!E38</f>
        <v>Asset Class 32</v>
      </c>
      <c r="F38" s="1596"/>
      <c r="G38" s="1597">
        <f>Asset32</f>
        <v>0</v>
      </c>
      <c r="H38" s="1598">
        <f>Asset32</f>
        <v>0</v>
      </c>
      <c r="I38" s="1598">
        <f>Asset32</f>
        <v>0</v>
      </c>
      <c r="J38" s="1434">
        <f>HLOOKUP(IF('RFM input'!$V$7="",5,'RFM input'!$V$7),'Total RAB roll forward'!$I$632:$Q$683,A38,FALSE)</f>
        <v>0</v>
      </c>
      <c r="K38" s="268"/>
      <c r="L38" s="1441">
        <f ca="1">IF(OR($J38&lt;0,AND($J38&gt;0,
(INDEX('RAB remaining lives'!$A$6:$W$2711,MATCH($E38,'RAB remaining lives'!$A$6:$A$2711,0)+ROWS('RAB remaining lives'!$B$13:$B$65)-1,MATCH($Q$7,'RAB remaining lives'!$A$6:$W$6,0)-1))=0)),MIN(INDEX('RFM input'!$K$7:$K$56,MATCH($E38,$E$7:$E$56,0),1),'RFM input'!$V$7),
(INDEX('RAB remaining lives'!$A$6:$W$2711,MATCH($E38,'RAB remaining lives'!$A$6:$A$2711,0)+ROWS('RAB remaining lives'!$B$13:$B$65)-1,MATCH(($Q$7),'RAB remaining lives'!$A$6:$W$6,0)-1)))</f>
        <v>0</v>
      </c>
      <c r="M38" s="1438"/>
      <c r="N38" s="233">
        <f>HLOOKUP(IF('RFM input'!$V$7="",5,'RFM input'!$V$7),'TAB roll forward'!$J$2:$R$57,B38,FALSE)</f>
        <v>0</v>
      </c>
      <c r="O38" s="1441">
        <f ca="1">IF(OR($N38&lt;0,AND($N38&gt;0,(
INDEX('TAB remaining lives'!$A$6:$W$2706,MATCH($E38,'TAB remaining lives'!$A$6:$A$2706,0)+ROWS('TAB remaining lives'!$B$8:$B$60)-1,MATCH(($Q$7),'TAB remaining lives'!$A$6:$W$6,0)-1))=0)),MIN(INDEX('RFM input'!$T$7:$T$56,MATCH($E38,$E$7:$E$56,0),1),'RFM input'!$V$7),
(INDEX('TAB remaining lives'!$A$6:$W$2706,MATCH($E38,'TAB remaining lives'!$A$6:$A$2706,0)+ROWS('TAB remaining lives'!$B$8:$B$60)-1,MATCH(($Q$7),'TAB remaining lives'!$A$6:$W$6,0)-1)))</f>
        <v>0</v>
      </c>
      <c r="P38" s="142"/>
      <c r="Q38" s="138"/>
      <c r="R38" s="4"/>
      <c r="S38" s="29"/>
      <c r="T38" s="83"/>
      <c r="U38" s="83"/>
      <c r="V38" s="83"/>
      <c r="W38" s="29"/>
      <c r="X38" s="29"/>
      <c r="Y38" s="29"/>
      <c r="Z38" s="29"/>
    </row>
    <row r="39" spans="1:26" outlineLevel="1">
      <c r="A39" s="283">
        <f t="shared" si="1"/>
        <v>35</v>
      </c>
      <c r="B39" s="283">
        <f t="shared" si="1"/>
        <v>39</v>
      </c>
      <c r="C39" s="241"/>
      <c r="D39" s="241"/>
      <c r="E39" s="1595" t="str">
        <f>'RFM input'!E39</f>
        <v>Asset Class 33</v>
      </c>
      <c r="F39" s="1596"/>
      <c r="G39" s="1597">
        <f>Asset33</f>
        <v>0</v>
      </c>
      <c r="H39" s="1598">
        <f>Asset33</f>
        <v>0</v>
      </c>
      <c r="I39" s="1598">
        <f>Asset33</f>
        <v>0</v>
      </c>
      <c r="J39" s="1434">
        <f>HLOOKUP(IF('RFM input'!$V$7="",5,'RFM input'!$V$7),'Total RAB roll forward'!$I$632:$Q$683,A39,FALSE)</f>
        <v>0</v>
      </c>
      <c r="K39" s="268"/>
      <c r="L39" s="1441">
        <f ca="1">IF(OR($J39&lt;0,AND($J39&gt;0,
(INDEX('RAB remaining lives'!$A$6:$W$2711,MATCH($E39,'RAB remaining lives'!$A$6:$A$2711,0)+ROWS('RAB remaining lives'!$B$13:$B$65)-1,MATCH($Q$7,'RAB remaining lives'!$A$6:$W$6,0)-1))=0)),MIN(INDEX('RFM input'!$K$7:$K$56,MATCH($E39,$E$7:$E$56,0),1),'RFM input'!$V$7),
(INDEX('RAB remaining lives'!$A$6:$W$2711,MATCH($E39,'RAB remaining lives'!$A$6:$A$2711,0)+ROWS('RAB remaining lives'!$B$13:$B$65)-1,MATCH(($Q$7),'RAB remaining lives'!$A$6:$W$6,0)-1)))</f>
        <v>0</v>
      </c>
      <c r="M39" s="1438"/>
      <c r="N39" s="233">
        <f>HLOOKUP(IF('RFM input'!$V$7="",5,'RFM input'!$V$7),'TAB roll forward'!$J$2:$R$57,B39,FALSE)</f>
        <v>0</v>
      </c>
      <c r="O39" s="1441">
        <f ca="1">IF(OR($N39&lt;0,AND($N39&gt;0,(
INDEX('TAB remaining lives'!$A$6:$W$2706,MATCH($E39,'TAB remaining lives'!$A$6:$A$2706,0)+ROWS('TAB remaining lives'!$B$8:$B$60)-1,MATCH(($Q$7),'TAB remaining lives'!$A$6:$W$6,0)-1))=0)),MIN(INDEX('RFM input'!$T$7:$T$56,MATCH($E39,$E$7:$E$56,0),1),'RFM input'!$V$7),
(INDEX('TAB remaining lives'!$A$6:$W$2706,MATCH($E39,'TAB remaining lives'!$A$6:$A$2706,0)+ROWS('TAB remaining lives'!$B$8:$B$60)-1,MATCH(($Q$7),'TAB remaining lives'!$A$6:$W$6,0)-1)))</f>
        <v>0</v>
      </c>
      <c r="P39" s="142"/>
      <c r="Q39" s="138"/>
      <c r="R39" s="4"/>
      <c r="S39" s="29"/>
      <c r="T39" s="83"/>
      <c r="U39" s="83"/>
      <c r="V39" s="83"/>
      <c r="W39" s="29"/>
      <c r="X39" s="29"/>
      <c r="Y39" s="29"/>
      <c r="Z39" s="29"/>
    </row>
    <row r="40" spans="1:26" outlineLevel="1">
      <c r="A40" s="283">
        <f t="shared" si="1"/>
        <v>36</v>
      </c>
      <c r="B40" s="283">
        <f t="shared" si="1"/>
        <v>40</v>
      </c>
      <c r="C40" s="241"/>
      <c r="D40" s="241"/>
      <c r="E40" s="1595" t="str">
        <f>'RFM input'!E40</f>
        <v>Asset Class 34</v>
      </c>
      <c r="F40" s="1596"/>
      <c r="G40" s="1597">
        <f>Asset34</f>
        <v>0</v>
      </c>
      <c r="H40" s="1598">
        <f>Asset34</f>
        <v>0</v>
      </c>
      <c r="I40" s="1598">
        <f>Asset34</f>
        <v>0</v>
      </c>
      <c r="J40" s="1434">
        <f>HLOOKUP(IF('RFM input'!$V$7="",5,'RFM input'!$V$7),'Total RAB roll forward'!$I$632:$Q$683,A40,FALSE)</f>
        <v>0</v>
      </c>
      <c r="K40" s="268"/>
      <c r="L40" s="1441">
        <f ca="1">IF(OR($J40&lt;0,AND($J40&gt;0,
(INDEX('RAB remaining lives'!$A$6:$W$2711,MATCH($E40,'RAB remaining lives'!$A$6:$A$2711,0)+ROWS('RAB remaining lives'!$B$13:$B$65)-1,MATCH($Q$7,'RAB remaining lives'!$A$6:$W$6,0)-1))=0)),MIN(INDEX('RFM input'!$K$7:$K$56,MATCH($E40,$E$7:$E$56,0),1),'RFM input'!$V$7),
(INDEX('RAB remaining lives'!$A$6:$W$2711,MATCH($E40,'RAB remaining lives'!$A$6:$A$2711,0)+ROWS('RAB remaining lives'!$B$13:$B$65)-1,MATCH(($Q$7),'RAB remaining lives'!$A$6:$W$6,0)-1)))</f>
        <v>0</v>
      </c>
      <c r="M40" s="1438"/>
      <c r="N40" s="233">
        <f>HLOOKUP(IF('RFM input'!$V$7="",5,'RFM input'!$V$7),'TAB roll forward'!$J$2:$R$57,B40,FALSE)</f>
        <v>0</v>
      </c>
      <c r="O40" s="1441">
        <f ca="1">IF(OR($N40&lt;0,AND($N40&gt;0,(
INDEX('TAB remaining lives'!$A$6:$W$2706,MATCH($E40,'TAB remaining lives'!$A$6:$A$2706,0)+ROWS('TAB remaining lives'!$B$8:$B$60)-1,MATCH(($Q$7),'TAB remaining lives'!$A$6:$W$6,0)-1))=0)),MIN(INDEX('RFM input'!$T$7:$T$56,MATCH($E40,$E$7:$E$56,0),1),'RFM input'!$V$7),
(INDEX('TAB remaining lives'!$A$6:$W$2706,MATCH($E40,'TAB remaining lives'!$A$6:$A$2706,0)+ROWS('TAB remaining lives'!$B$8:$B$60)-1,MATCH(($Q$7),'TAB remaining lives'!$A$6:$W$6,0)-1)))</f>
        <v>0</v>
      </c>
      <c r="P40" s="142"/>
      <c r="Q40" s="138"/>
      <c r="R40" s="4"/>
      <c r="S40" s="29"/>
      <c r="T40" s="83"/>
      <c r="U40" s="83"/>
      <c r="V40" s="83"/>
      <c r="W40" s="29"/>
      <c r="X40" s="29"/>
      <c r="Y40" s="29"/>
      <c r="Z40" s="29"/>
    </row>
    <row r="41" spans="1:26" outlineLevel="1">
      <c r="A41" s="283">
        <f t="shared" ref="A41:B56" si="2">A40+1</f>
        <v>37</v>
      </c>
      <c r="B41" s="283">
        <f t="shared" si="2"/>
        <v>41</v>
      </c>
      <c r="C41" s="241"/>
      <c r="D41" s="241"/>
      <c r="E41" s="1595" t="str">
        <f>'RFM input'!E41</f>
        <v>Asset Class 35</v>
      </c>
      <c r="F41" s="1596"/>
      <c r="G41" s="1597">
        <f>Asset35</f>
        <v>0</v>
      </c>
      <c r="H41" s="1598">
        <f>Asset35</f>
        <v>0</v>
      </c>
      <c r="I41" s="1598">
        <f>Asset35</f>
        <v>0</v>
      </c>
      <c r="J41" s="1434">
        <f>HLOOKUP(IF('RFM input'!$V$7="",5,'RFM input'!$V$7),'Total RAB roll forward'!$I$632:$Q$683,A41,FALSE)</f>
        <v>0</v>
      </c>
      <c r="K41" s="268"/>
      <c r="L41" s="1441">
        <f ca="1">IF(OR($J41&lt;0,AND($J41&gt;0,
(INDEX('RAB remaining lives'!$A$6:$W$2711,MATCH($E41,'RAB remaining lives'!$A$6:$A$2711,0)+ROWS('RAB remaining lives'!$B$13:$B$65)-1,MATCH($Q$7,'RAB remaining lives'!$A$6:$W$6,0)-1))=0)),MIN(INDEX('RFM input'!$K$7:$K$56,MATCH($E41,$E$7:$E$56,0),1),'RFM input'!$V$7),
(INDEX('RAB remaining lives'!$A$6:$W$2711,MATCH($E41,'RAB remaining lives'!$A$6:$A$2711,0)+ROWS('RAB remaining lives'!$B$13:$B$65)-1,MATCH(($Q$7),'RAB remaining lives'!$A$6:$W$6,0)-1)))</f>
        <v>0</v>
      </c>
      <c r="M41" s="1438"/>
      <c r="N41" s="233">
        <f>HLOOKUP(IF('RFM input'!$V$7="",5,'RFM input'!$V$7),'TAB roll forward'!$J$2:$R$57,B41,FALSE)</f>
        <v>0</v>
      </c>
      <c r="O41" s="1441">
        <f ca="1">IF(OR($N41&lt;0,AND($N41&gt;0,(
INDEX('TAB remaining lives'!$A$6:$W$2706,MATCH($E41,'TAB remaining lives'!$A$6:$A$2706,0)+ROWS('TAB remaining lives'!$B$8:$B$60)-1,MATCH(($Q$7),'TAB remaining lives'!$A$6:$W$6,0)-1))=0)),MIN(INDEX('RFM input'!$T$7:$T$56,MATCH($E41,$E$7:$E$56,0),1),'RFM input'!$V$7),
(INDEX('TAB remaining lives'!$A$6:$W$2706,MATCH($E41,'TAB remaining lives'!$A$6:$A$2706,0)+ROWS('TAB remaining lives'!$B$8:$B$60)-1,MATCH(($Q$7),'TAB remaining lives'!$A$6:$W$6,0)-1)))</f>
        <v>0</v>
      </c>
      <c r="P41" s="142"/>
      <c r="Q41" s="138"/>
      <c r="R41" s="4"/>
      <c r="S41" s="29"/>
      <c r="T41" s="83"/>
      <c r="U41" s="83"/>
      <c r="V41" s="83"/>
      <c r="W41" s="29"/>
      <c r="X41" s="29"/>
      <c r="Y41" s="29"/>
      <c r="Z41" s="29"/>
    </row>
    <row r="42" spans="1:26" outlineLevel="1">
      <c r="A42" s="283">
        <f t="shared" si="2"/>
        <v>38</v>
      </c>
      <c r="B42" s="283">
        <f t="shared" si="2"/>
        <v>42</v>
      </c>
      <c r="C42" s="241"/>
      <c r="D42" s="241"/>
      <c r="E42" s="1595" t="str">
        <f>'RFM input'!E42</f>
        <v>Asset Class 36</v>
      </c>
      <c r="F42" s="1596"/>
      <c r="G42" s="1597">
        <f>Asset36</f>
        <v>0</v>
      </c>
      <c r="H42" s="1598">
        <f>Asset36</f>
        <v>0</v>
      </c>
      <c r="I42" s="1598">
        <f>Asset36</f>
        <v>0</v>
      </c>
      <c r="J42" s="1434">
        <f>HLOOKUP(IF('RFM input'!$V$7="",5,'RFM input'!$V$7),'Total RAB roll forward'!$I$632:$Q$683,A42,FALSE)</f>
        <v>0</v>
      </c>
      <c r="K42" s="268"/>
      <c r="L42" s="1441">
        <f ca="1">IF(OR($J42&lt;0,AND($J42&gt;0,
(INDEX('RAB remaining lives'!$A$6:$W$2711,MATCH($E42,'RAB remaining lives'!$A$6:$A$2711,0)+ROWS('RAB remaining lives'!$B$13:$B$65)-1,MATCH($Q$7,'RAB remaining lives'!$A$6:$W$6,0)-1))=0)),MIN(INDEX('RFM input'!$K$7:$K$56,MATCH($E42,$E$7:$E$56,0),1),'RFM input'!$V$7),
(INDEX('RAB remaining lives'!$A$6:$W$2711,MATCH($E42,'RAB remaining lives'!$A$6:$A$2711,0)+ROWS('RAB remaining lives'!$B$13:$B$65)-1,MATCH(($Q$7),'RAB remaining lives'!$A$6:$W$6,0)-1)))</f>
        <v>0</v>
      </c>
      <c r="M42" s="1438"/>
      <c r="N42" s="233">
        <f>HLOOKUP(IF('RFM input'!$V$7="",5,'RFM input'!$V$7),'TAB roll forward'!$J$2:$R$57,B42,FALSE)</f>
        <v>0</v>
      </c>
      <c r="O42" s="1441">
        <f ca="1">IF(OR($N42&lt;0,AND($N42&gt;0,(
INDEX('TAB remaining lives'!$A$6:$W$2706,MATCH($E42,'TAB remaining lives'!$A$6:$A$2706,0)+ROWS('TAB remaining lives'!$B$8:$B$60)-1,MATCH(($Q$7),'TAB remaining lives'!$A$6:$W$6,0)-1))=0)),MIN(INDEX('RFM input'!$T$7:$T$56,MATCH($E42,$E$7:$E$56,0),1),'RFM input'!$V$7),
(INDEX('TAB remaining lives'!$A$6:$W$2706,MATCH($E42,'TAB remaining lives'!$A$6:$A$2706,0)+ROWS('TAB remaining lives'!$B$8:$B$60)-1,MATCH(($Q$7),'TAB remaining lives'!$A$6:$W$6,0)-1)))</f>
        <v>0</v>
      </c>
      <c r="P42" s="142"/>
      <c r="Q42" s="138"/>
      <c r="R42" s="4"/>
      <c r="S42" s="29"/>
      <c r="T42" s="83"/>
      <c r="U42" s="83"/>
      <c r="V42" s="83"/>
      <c r="W42" s="29"/>
      <c r="X42" s="29"/>
      <c r="Y42" s="29"/>
      <c r="Z42" s="29"/>
    </row>
    <row r="43" spans="1:26" outlineLevel="1">
      <c r="A43" s="283">
        <f t="shared" si="2"/>
        <v>39</v>
      </c>
      <c r="B43" s="283">
        <f t="shared" si="2"/>
        <v>43</v>
      </c>
      <c r="C43" s="241"/>
      <c r="D43" s="241"/>
      <c r="E43" s="1595" t="str">
        <f>'RFM input'!E43</f>
        <v>Asset Class 37</v>
      </c>
      <c r="F43" s="1596"/>
      <c r="G43" s="1597">
        <f>Asset37</f>
        <v>0</v>
      </c>
      <c r="H43" s="1598">
        <f>Asset37</f>
        <v>0</v>
      </c>
      <c r="I43" s="1598">
        <f>Asset37</f>
        <v>0</v>
      </c>
      <c r="J43" s="1434">
        <f>HLOOKUP(IF('RFM input'!$V$7="",5,'RFM input'!$V$7),'Total RAB roll forward'!$I$632:$Q$683,A43,FALSE)</f>
        <v>0</v>
      </c>
      <c r="K43" s="268"/>
      <c r="L43" s="1441">
        <f ca="1">IF(OR($J43&lt;0,AND($J43&gt;0,
(INDEX('RAB remaining lives'!$A$6:$W$2711,MATCH($E43,'RAB remaining lives'!$A$6:$A$2711,0)+ROWS('RAB remaining lives'!$B$13:$B$65)-1,MATCH($Q$7,'RAB remaining lives'!$A$6:$W$6,0)-1))=0)),MIN(INDEX('RFM input'!$K$7:$K$56,MATCH($E43,$E$7:$E$56,0),1),'RFM input'!$V$7),
(INDEX('RAB remaining lives'!$A$6:$W$2711,MATCH($E43,'RAB remaining lives'!$A$6:$A$2711,0)+ROWS('RAB remaining lives'!$B$13:$B$65)-1,MATCH(($Q$7),'RAB remaining lives'!$A$6:$W$6,0)-1)))</f>
        <v>0</v>
      </c>
      <c r="M43" s="1438"/>
      <c r="N43" s="233">
        <f>HLOOKUP(IF('RFM input'!$V$7="",5,'RFM input'!$V$7),'TAB roll forward'!$J$2:$R$57,B43,FALSE)</f>
        <v>0</v>
      </c>
      <c r="O43" s="1441">
        <f ca="1">IF(OR($N43&lt;0,AND($N43&gt;0,(
INDEX('TAB remaining lives'!$A$6:$W$2706,MATCH($E43,'TAB remaining lives'!$A$6:$A$2706,0)+ROWS('TAB remaining lives'!$B$8:$B$60)-1,MATCH(($Q$7),'TAB remaining lives'!$A$6:$W$6,0)-1))=0)),MIN(INDEX('RFM input'!$T$7:$T$56,MATCH($E43,$E$7:$E$56,0),1),'RFM input'!$V$7),
(INDEX('TAB remaining lives'!$A$6:$W$2706,MATCH($E43,'TAB remaining lives'!$A$6:$A$2706,0)+ROWS('TAB remaining lives'!$B$8:$B$60)-1,MATCH(($Q$7),'TAB remaining lives'!$A$6:$W$6,0)-1)))</f>
        <v>0</v>
      </c>
      <c r="P43" s="142"/>
      <c r="Q43" s="138"/>
      <c r="R43" s="4"/>
      <c r="S43" s="29"/>
      <c r="T43" s="83"/>
      <c r="U43" s="83"/>
      <c r="V43" s="83"/>
      <c r="W43" s="29"/>
      <c r="X43" s="29"/>
      <c r="Y43" s="29"/>
      <c r="Z43" s="29"/>
    </row>
    <row r="44" spans="1:26" outlineLevel="1">
      <c r="A44" s="283">
        <f t="shared" si="2"/>
        <v>40</v>
      </c>
      <c r="B44" s="283">
        <f t="shared" si="2"/>
        <v>44</v>
      </c>
      <c r="C44" s="241"/>
      <c r="D44" s="241"/>
      <c r="E44" s="1595" t="str">
        <f>'RFM input'!E44</f>
        <v>Asset Class 38</v>
      </c>
      <c r="F44" s="1596"/>
      <c r="G44" s="1597">
        <f>Asset38</f>
        <v>0</v>
      </c>
      <c r="H44" s="1598">
        <f>Asset38</f>
        <v>0</v>
      </c>
      <c r="I44" s="1598">
        <f>Asset38</f>
        <v>0</v>
      </c>
      <c r="J44" s="1434">
        <f>HLOOKUP(IF('RFM input'!$V$7="",5,'RFM input'!$V$7),'Total RAB roll forward'!$I$632:$Q$683,A44,FALSE)</f>
        <v>0</v>
      </c>
      <c r="K44" s="268"/>
      <c r="L44" s="1441">
        <f ca="1">IF(OR($J44&lt;0,AND($J44&gt;0,
(INDEX('RAB remaining lives'!$A$6:$W$2711,MATCH($E44,'RAB remaining lives'!$A$6:$A$2711,0)+ROWS('RAB remaining lives'!$B$13:$B$65)-1,MATCH($Q$7,'RAB remaining lives'!$A$6:$W$6,0)-1))=0)),MIN(INDEX('RFM input'!$K$7:$K$56,MATCH($E44,$E$7:$E$56,0),1),'RFM input'!$V$7),
(INDEX('RAB remaining lives'!$A$6:$W$2711,MATCH($E44,'RAB remaining lives'!$A$6:$A$2711,0)+ROWS('RAB remaining lives'!$B$13:$B$65)-1,MATCH(($Q$7),'RAB remaining lives'!$A$6:$W$6,0)-1)))</f>
        <v>0</v>
      </c>
      <c r="M44" s="1438"/>
      <c r="N44" s="233">
        <f>HLOOKUP(IF('RFM input'!$V$7="",5,'RFM input'!$V$7),'TAB roll forward'!$J$2:$R$57,B44,FALSE)</f>
        <v>0</v>
      </c>
      <c r="O44" s="1441">
        <f ca="1">IF(OR($N44&lt;0,AND($N44&gt;0,(
INDEX('TAB remaining lives'!$A$6:$W$2706,MATCH($E44,'TAB remaining lives'!$A$6:$A$2706,0)+ROWS('TAB remaining lives'!$B$8:$B$60)-1,MATCH(($Q$7),'TAB remaining lives'!$A$6:$W$6,0)-1))=0)),MIN(INDEX('RFM input'!$T$7:$T$56,MATCH($E44,$E$7:$E$56,0),1),'RFM input'!$V$7),
(INDEX('TAB remaining lives'!$A$6:$W$2706,MATCH($E44,'TAB remaining lives'!$A$6:$A$2706,0)+ROWS('TAB remaining lives'!$B$8:$B$60)-1,MATCH(($Q$7),'TAB remaining lives'!$A$6:$W$6,0)-1)))</f>
        <v>0</v>
      </c>
      <c r="P44" s="142"/>
      <c r="Q44" s="138"/>
      <c r="R44" s="4"/>
      <c r="S44" s="29"/>
      <c r="T44" s="83"/>
      <c r="U44" s="83"/>
      <c r="V44" s="83"/>
      <c r="W44" s="29"/>
      <c r="X44" s="29"/>
      <c r="Y44" s="29"/>
      <c r="Z44" s="29"/>
    </row>
    <row r="45" spans="1:26" outlineLevel="1">
      <c r="A45" s="283">
        <f t="shared" si="2"/>
        <v>41</v>
      </c>
      <c r="B45" s="283">
        <f t="shared" si="2"/>
        <v>45</v>
      </c>
      <c r="C45" s="241"/>
      <c r="D45" s="241"/>
      <c r="E45" s="1595" t="str">
        <f>'RFM input'!E45</f>
        <v>Asset Class 39</v>
      </c>
      <c r="F45" s="1596"/>
      <c r="G45" s="1597">
        <f>Asset39</f>
        <v>0</v>
      </c>
      <c r="H45" s="1598">
        <f>Asset39</f>
        <v>0</v>
      </c>
      <c r="I45" s="1598">
        <f>Asset39</f>
        <v>0</v>
      </c>
      <c r="J45" s="1434">
        <f>HLOOKUP(IF('RFM input'!$V$7="",5,'RFM input'!$V$7),'Total RAB roll forward'!$I$632:$Q$683,A45,FALSE)</f>
        <v>0</v>
      </c>
      <c r="K45" s="268"/>
      <c r="L45" s="1441">
        <f ca="1">IF(OR($J45&lt;0,AND($J45&gt;0,
(INDEX('RAB remaining lives'!$A$6:$W$2711,MATCH($E45,'RAB remaining lives'!$A$6:$A$2711,0)+ROWS('RAB remaining lives'!$B$13:$B$65)-1,MATCH($Q$7,'RAB remaining lives'!$A$6:$W$6,0)-1))=0)),MIN(INDEX('RFM input'!$K$7:$K$56,MATCH($E45,$E$7:$E$56,0),1),'RFM input'!$V$7),
(INDEX('RAB remaining lives'!$A$6:$W$2711,MATCH($E45,'RAB remaining lives'!$A$6:$A$2711,0)+ROWS('RAB remaining lives'!$B$13:$B$65)-1,MATCH(($Q$7),'RAB remaining lives'!$A$6:$W$6,0)-1)))</f>
        <v>0</v>
      </c>
      <c r="M45" s="1438"/>
      <c r="N45" s="233">
        <f>HLOOKUP(IF('RFM input'!$V$7="",5,'RFM input'!$V$7),'TAB roll forward'!$J$2:$R$57,B45,FALSE)</f>
        <v>0</v>
      </c>
      <c r="O45" s="1441">
        <f ca="1">IF(OR($N45&lt;0,AND($N45&gt;0,(
INDEX('TAB remaining lives'!$A$6:$W$2706,MATCH($E45,'TAB remaining lives'!$A$6:$A$2706,0)+ROWS('TAB remaining lives'!$B$8:$B$60)-1,MATCH(($Q$7),'TAB remaining lives'!$A$6:$W$6,0)-1))=0)),MIN(INDEX('RFM input'!$T$7:$T$56,MATCH($E45,$E$7:$E$56,0),1),'RFM input'!$V$7),
(INDEX('TAB remaining lives'!$A$6:$W$2706,MATCH($E45,'TAB remaining lives'!$A$6:$A$2706,0)+ROWS('TAB remaining lives'!$B$8:$B$60)-1,MATCH(($Q$7),'TAB remaining lives'!$A$6:$W$6,0)-1)))</f>
        <v>0</v>
      </c>
      <c r="P45" s="142"/>
      <c r="Q45" s="138"/>
      <c r="R45" s="4"/>
      <c r="S45" s="29"/>
      <c r="T45" s="83"/>
      <c r="U45" s="83"/>
      <c r="V45" s="83"/>
      <c r="W45" s="29"/>
      <c r="X45" s="29"/>
      <c r="Y45" s="29"/>
      <c r="Z45" s="29"/>
    </row>
    <row r="46" spans="1:26" outlineLevel="1">
      <c r="A46" s="283">
        <f t="shared" si="2"/>
        <v>42</v>
      </c>
      <c r="B46" s="283">
        <f t="shared" si="2"/>
        <v>46</v>
      </c>
      <c r="C46" s="241"/>
      <c r="D46" s="241"/>
      <c r="E46" s="1595" t="str">
        <f>'RFM input'!E46</f>
        <v>Asset Class 40</v>
      </c>
      <c r="F46" s="1596"/>
      <c r="G46" s="1597">
        <f>Asset40</f>
        <v>0</v>
      </c>
      <c r="H46" s="1598">
        <f>Asset40</f>
        <v>0</v>
      </c>
      <c r="I46" s="1598">
        <f>Asset40</f>
        <v>0</v>
      </c>
      <c r="J46" s="1434">
        <f>HLOOKUP(IF('RFM input'!$V$7="",5,'RFM input'!$V$7),'Total RAB roll forward'!$I$632:$Q$683,A46,FALSE)</f>
        <v>0</v>
      </c>
      <c r="K46" s="268"/>
      <c r="L46" s="1441">
        <f ca="1">IF(OR($J46&lt;0,AND($J46&gt;0,
(INDEX('RAB remaining lives'!$A$6:$W$2711,MATCH($E46,'RAB remaining lives'!$A$6:$A$2711,0)+ROWS('RAB remaining lives'!$B$13:$B$65)-1,MATCH($Q$7,'RAB remaining lives'!$A$6:$W$6,0)-1))=0)),MIN(INDEX('RFM input'!$K$7:$K$56,MATCH($E46,$E$7:$E$56,0),1),'RFM input'!$V$7),
(INDEX('RAB remaining lives'!$A$6:$W$2711,MATCH($E46,'RAB remaining lives'!$A$6:$A$2711,0)+ROWS('RAB remaining lives'!$B$13:$B$65)-1,MATCH(($Q$7),'RAB remaining lives'!$A$6:$W$6,0)-1)))</f>
        <v>0</v>
      </c>
      <c r="M46" s="1438"/>
      <c r="N46" s="233">
        <f>HLOOKUP(IF('RFM input'!$V$7="",5,'RFM input'!$V$7),'TAB roll forward'!$J$2:$R$57,B46,FALSE)</f>
        <v>0</v>
      </c>
      <c r="O46" s="1441">
        <f ca="1">IF(OR($N46&lt;0,AND($N46&gt;0,(
INDEX('TAB remaining lives'!$A$6:$W$2706,MATCH($E46,'TAB remaining lives'!$A$6:$A$2706,0)+ROWS('TAB remaining lives'!$B$8:$B$60)-1,MATCH(($Q$7),'TAB remaining lives'!$A$6:$W$6,0)-1))=0)),MIN(INDEX('RFM input'!$T$7:$T$56,MATCH($E46,$E$7:$E$56,0),1),'RFM input'!$V$7),
(INDEX('TAB remaining lives'!$A$6:$W$2706,MATCH($E46,'TAB remaining lives'!$A$6:$A$2706,0)+ROWS('TAB remaining lives'!$B$8:$B$60)-1,MATCH(($Q$7),'TAB remaining lives'!$A$6:$W$6,0)-1)))</f>
        <v>0</v>
      </c>
      <c r="P46" s="142"/>
      <c r="Q46" s="138"/>
      <c r="R46" s="4"/>
      <c r="S46" s="29"/>
      <c r="T46" s="83"/>
      <c r="U46" s="83"/>
      <c r="V46" s="83"/>
      <c r="W46" s="29"/>
      <c r="X46" s="29"/>
      <c r="Y46" s="29"/>
      <c r="Z46" s="29"/>
    </row>
    <row r="47" spans="1:26" outlineLevel="1">
      <c r="A47" s="283">
        <f t="shared" si="2"/>
        <v>43</v>
      </c>
      <c r="B47" s="283">
        <f t="shared" si="2"/>
        <v>47</v>
      </c>
      <c r="C47" s="241"/>
      <c r="D47" s="241"/>
      <c r="E47" s="1595" t="str">
        <f>'RFM input'!E47</f>
        <v>Asset Class 41</v>
      </c>
      <c r="F47" s="1596"/>
      <c r="G47" s="1597">
        <f>Asset41</f>
        <v>0</v>
      </c>
      <c r="H47" s="1598">
        <f>Asset41</f>
        <v>0</v>
      </c>
      <c r="I47" s="1598">
        <f>Asset41</f>
        <v>0</v>
      </c>
      <c r="J47" s="1434">
        <f>HLOOKUP(IF('RFM input'!$V$7="",5,'RFM input'!$V$7),'Total RAB roll forward'!$I$632:$Q$683,A47,FALSE)</f>
        <v>0</v>
      </c>
      <c r="K47" s="268"/>
      <c r="L47" s="1441">
        <f ca="1">IF(OR($J47&lt;0,AND($J47&gt;0,
(INDEX('RAB remaining lives'!$A$6:$W$2711,MATCH($E47,'RAB remaining lives'!$A$6:$A$2711,0)+ROWS('RAB remaining lives'!$B$13:$B$65)-1,MATCH($Q$7,'RAB remaining lives'!$A$6:$W$6,0)-1))=0)),MIN(INDEX('RFM input'!$K$7:$K$56,MATCH($E47,$E$7:$E$56,0),1),'RFM input'!$V$7),
(INDEX('RAB remaining lives'!$A$6:$W$2711,MATCH($E47,'RAB remaining lives'!$A$6:$A$2711,0)+ROWS('RAB remaining lives'!$B$13:$B$65)-1,MATCH(($Q$7),'RAB remaining lives'!$A$6:$W$6,0)-1)))</f>
        <v>0</v>
      </c>
      <c r="M47" s="1438"/>
      <c r="N47" s="233">
        <f>HLOOKUP(IF('RFM input'!$V$7="",5,'RFM input'!$V$7),'TAB roll forward'!$J$2:$R$57,B47,FALSE)</f>
        <v>0</v>
      </c>
      <c r="O47" s="1441">
        <f ca="1">IF(OR($N47&lt;0,AND($N47&gt;0,(
INDEX('TAB remaining lives'!$A$6:$W$2706,MATCH($E47,'TAB remaining lives'!$A$6:$A$2706,0)+ROWS('TAB remaining lives'!$B$8:$B$60)-1,MATCH(($Q$7),'TAB remaining lives'!$A$6:$W$6,0)-1))=0)),MIN(INDEX('RFM input'!$T$7:$T$56,MATCH($E47,$E$7:$E$56,0),1),'RFM input'!$V$7),
(INDEX('TAB remaining lives'!$A$6:$W$2706,MATCH($E47,'TAB remaining lives'!$A$6:$A$2706,0)+ROWS('TAB remaining lives'!$B$8:$B$60)-1,MATCH(($Q$7),'TAB remaining lives'!$A$6:$W$6,0)-1)))</f>
        <v>0</v>
      </c>
      <c r="P47" s="142"/>
      <c r="Q47" s="138"/>
      <c r="R47" s="4"/>
      <c r="S47" s="29"/>
      <c r="T47" s="83"/>
      <c r="U47" s="83"/>
      <c r="V47" s="83"/>
      <c r="W47" s="29"/>
      <c r="X47" s="29"/>
      <c r="Y47" s="29"/>
      <c r="Z47" s="29"/>
    </row>
    <row r="48" spans="1:26" outlineLevel="1">
      <c r="A48" s="283">
        <f t="shared" si="2"/>
        <v>44</v>
      </c>
      <c r="B48" s="283">
        <f t="shared" si="2"/>
        <v>48</v>
      </c>
      <c r="C48" s="241"/>
      <c r="D48" s="241"/>
      <c r="E48" s="1595" t="str">
        <f>'RFM input'!E48</f>
        <v>Asset Class 42</v>
      </c>
      <c r="F48" s="1596"/>
      <c r="G48" s="1597">
        <f>Asset42</f>
        <v>0</v>
      </c>
      <c r="H48" s="1598">
        <f>Asset42</f>
        <v>0</v>
      </c>
      <c r="I48" s="1598">
        <f>Asset42</f>
        <v>0</v>
      </c>
      <c r="J48" s="1434">
        <f>HLOOKUP(IF('RFM input'!$V$7="",5,'RFM input'!$V$7),'Total RAB roll forward'!$I$632:$Q$683,A48,FALSE)</f>
        <v>0</v>
      </c>
      <c r="K48" s="268"/>
      <c r="L48" s="1441">
        <f ca="1">IF(OR($J48&lt;0,AND($J48&gt;0,
(INDEX('RAB remaining lives'!$A$6:$W$2711,MATCH($E48,'RAB remaining lives'!$A$6:$A$2711,0)+ROWS('RAB remaining lives'!$B$13:$B$65)-1,MATCH($Q$7,'RAB remaining lives'!$A$6:$W$6,0)-1))=0)),MIN(INDEX('RFM input'!$K$7:$K$56,MATCH($E48,$E$7:$E$56,0),1),'RFM input'!$V$7),
(INDEX('RAB remaining lives'!$A$6:$W$2711,MATCH($E48,'RAB remaining lives'!$A$6:$A$2711,0)+ROWS('RAB remaining lives'!$B$13:$B$65)-1,MATCH(($Q$7),'RAB remaining lives'!$A$6:$W$6,0)-1)))</f>
        <v>0</v>
      </c>
      <c r="M48" s="1438"/>
      <c r="N48" s="233">
        <f>HLOOKUP(IF('RFM input'!$V$7="",5,'RFM input'!$V$7),'TAB roll forward'!$J$2:$R$57,B48,FALSE)</f>
        <v>0</v>
      </c>
      <c r="O48" s="1441">
        <f ca="1">IF(OR($N48&lt;0,AND($N48&gt;0,(
INDEX('TAB remaining lives'!$A$6:$W$2706,MATCH($E48,'TAB remaining lives'!$A$6:$A$2706,0)+ROWS('TAB remaining lives'!$B$8:$B$60)-1,MATCH(($Q$7),'TAB remaining lives'!$A$6:$W$6,0)-1))=0)),MIN(INDEX('RFM input'!$T$7:$T$56,MATCH($E48,$E$7:$E$56,0),1),'RFM input'!$V$7),
(INDEX('TAB remaining lives'!$A$6:$W$2706,MATCH($E48,'TAB remaining lives'!$A$6:$A$2706,0)+ROWS('TAB remaining lives'!$B$8:$B$60)-1,MATCH(($Q$7),'TAB remaining lives'!$A$6:$W$6,0)-1)))</f>
        <v>0</v>
      </c>
      <c r="P48" s="142"/>
      <c r="Q48" s="138"/>
      <c r="R48" s="4"/>
      <c r="S48" s="29"/>
      <c r="T48" s="83"/>
      <c r="U48" s="83"/>
      <c r="V48" s="83"/>
      <c r="W48" s="29"/>
      <c r="X48" s="29"/>
      <c r="Y48" s="29"/>
      <c r="Z48" s="29"/>
    </row>
    <row r="49" spans="1:26" outlineLevel="1">
      <c r="A49" s="283">
        <f t="shared" si="2"/>
        <v>45</v>
      </c>
      <c r="B49" s="283">
        <f t="shared" si="2"/>
        <v>49</v>
      </c>
      <c r="C49" s="241"/>
      <c r="D49" s="241"/>
      <c r="E49" s="1595" t="str">
        <f>'RFM input'!E49</f>
        <v>Asset Class 43</v>
      </c>
      <c r="F49" s="1596"/>
      <c r="G49" s="1597">
        <f>Asset43</f>
        <v>0</v>
      </c>
      <c r="H49" s="1598">
        <f>Asset43</f>
        <v>0</v>
      </c>
      <c r="I49" s="1598">
        <f>Asset43</f>
        <v>0</v>
      </c>
      <c r="J49" s="1434">
        <f>HLOOKUP(IF('RFM input'!$V$7="",5,'RFM input'!$V$7),'Total RAB roll forward'!$I$632:$Q$683,A49,FALSE)</f>
        <v>0</v>
      </c>
      <c r="K49" s="268"/>
      <c r="L49" s="1441">
        <f ca="1">IF(OR($J49&lt;0,AND($J49&gt;0,
(INDEX('RAB remaining lives'!$A$6:$W$2711,MATCH($E49,'RAB remaining lives'!$A$6:$A$2711,0)+ROWS('RAB remaining lives'!$B$13:$B$65)-1,MATCH($Q$7,'RAB remaining lives'!$A$6:$W$6,0)-1))=0)),MIN(INDEX('RFM input'!$K$7:$K$56,MATCH($E49,$E$7:$E$56,0),1),'RFM input'!$V$7),
(INDEX('RAB remaining lives'!$A$6:$W$2711,MATCH($E49,'RAB remaining lives'!$A$6:$A$2711,0)+ROWS('RAB remaining lives'!$B$13:$B$65)-1,MATCH(($Q$7),'RAB remaining lives'!$A$6:$W$6,0)-1)))</f>
        <v>0</v>
      </c>
      <c r="M49" s="1438"/>
      <c r="N49" s="233">
        <f>HLOOKUP(IF('RFM input'!$V$7="",5,'RFM input'!$V$7),'TAB roll forward'!$J$2:$R$57,B49,FALSE)</f>
        <v>0</v>
      </c>
      <c r="O49" s="1441">
        <f ca="1">IF(OR($N49&lt;0,AND($N49&gt;0,(
INDEX('TAB remaining lives'!$A$6:$W$2706,MATCH($E49,'TAB remaining lives'!$A$6:$A$2706,0)+ROWS('TAB remaining lives'!$B$8:$B$60)-1,MATCH(($Q$7),'TAB remaining lives'!$A$6:$W$6,0)-1))=0)),MIN(INDEX('RFM input'!$T$7:$T$56,MATCH($E49,$E$7:$E$56,0),1),'RFM input'!$V$7),
(INDEX('TAB remaining lives'!$A$6:$W$2706,MATCH($E49,'TAB remaining lives'!$A$6:$A$2706,0)+ROWS('TAB remaining lives'!$B$8:$B$60)-1,MATCH(($Q$7),'TAB remaining lives'!$A$6:$W$6,0)-1)))</f>
        <v>0</v>
      </c>
      <c r="P49" s="142"/>
      <c r="Q49" s="138"/>
      <c r="R49" s="4"/>
      <c r="S49" s="29"/>
      <c r="T49" s="83"/>
      <c r="U49" s="83"/>
      <c r="V49" s="83"/>
      <c r="W49" s="29"/>
      <c r="X49" s="29"/>
      <c r="Y49" s="29"/>
      <c r="Z49" s="29"/>
    </row>
    <row r="50" spans="1:26" outlineLevel="1">
      <c r="A50" s="283">
        <f t="shared" si="2"/>
        <v>46</v>
      </c>
      <c r="B50" s="283">
        <f t="shared" si="2"/>
        <v>50</v>
      </c>
      <c r="C50" s="241"/>
      <c r="D50" s="241"/>
      <c r="E50" s="1595" t="str">
        <f>'RFM input'!E50</f>
        <v>Asset Class 44</v>
      </c>
      <c r="F50" s="1596"/>
      <c r="G50" s="1597">
        <f>Asset44</f>
        <v>0</v>
      </c>
      <c r="H50" s="1598">
        <f>Asset44</f>
        <v>0</v>
      </c>
      <c r="I50" s="1598">
        <f>Asset44</f>
        <v>0</v>
      </c>
      <c r="J50" s="1434">
        <f>HLOOKUP(IF('RFM input'!$V$7="",5,'RFM input'!$V$7),'Total RAB roll forward'!$I$632:$Q$683,A50,FALSE)</f>
        <v>0</v>
      </c>
      <c r="K50" s="268"/>
      <c r="L50" s="1441">
        <f ca="1">IF(OR($J50&lt;0,AND($J50&gt;0,
(INDEX('RAB remaining lives'!$A$6:$W$2711,MATCH($E50,'RAB remaining lives'!$A$6:$A$2711,0)+ROWS('RAB remaining lives'!$B$13:$B$65)-1,MATCH($Q$7,'RAB remaining lives'!$A$6:$W$6,0)-1))=0)),MIN(INDEX('RFM input'!$K$7:$K$56,MATCH($E50,$E$7:$E$56,0),1),'RFM input'!$V$7),
(INDEX('RAB remaining lives'!$A$6:$W$2711,MATCH($E50,'RAB remaining lives'!$A$6:$A$2711,0)+ROWS('RAB remaining lives'!$B$13:$B$65)-1,MATCH(($Q$7),'RAB remaining lives'!$A$6:$W$6,0)-1)))</f>
        <v>0</v>
      </c>
      <c r="M50" s="1438"/>
      <c r="N50" s="233">
        <f>HLOOKUP(IF('RFM input'!$V$7="",5,'RFM input'!$V$7),'TAB roll forward'!$J$2:$R$57,B50,FALSE)</f>
        <v>0</v>
      </c>
      <c r="O50" s="1441">
        <f ca="1">IF(OR($N50&lt;0,AND($N50&gt;0,(
INDEX('TAB remaining lives'!$A$6:$W$2706,MATCH($E50,'TAB remaining lives'!$A$6:$A$2706,0)+ROWS('TAB remaining lives'!$B$8:$B$60)-1,MATCH(($Q$7),'TAB remaining lives'!$A$6:$W$6,0)-1))=0)),MIN(INDEX('RFM input'!$T$7:$T$56,MATCH($E50,$E$7:$E$56,0),1),'RFM input'!$V$7),
(INDEX('TAB remaining lives'!$A$6:$W$2706,MATCH($E50,'TAB remaining lives'!$A$6:$A$2706,0)+ROWS('TAB remaining lives'!$B$8:$B$60)-1,MATCH(($Q$7),'TAB remaining lives'!$A$6:$W$6,0)-1)))</f>
        <v>0</v>
      </c>
      <c r="P50" s="142"/>
      <c r="Q50" s="138"/>
      <c r="R50" s="4"/>
      <c r="S50" s="29"/>
      <c r="T50" s="83"/>
      <c r="U50" s="83"/>
      <c r="V50" s="83"/>
      <c r="W50" s="29"/>
      <c r="X50" s="29"/>
      <c r="Y50" s="29"/>
      <c r="Z50" s="29"/>
    </row>
    <row r="51" spans="1:26" outlineLevel="1">
      <c r="A51" s="283">
        <f t="shared" si="2"/>
        <v>47</v>
      </c>
      <c r="B51" s="283">
        <f t="shared" si="2"/>
        <v>51</v>
      </c>
      <c r="C51" s="241"/>
      <c r="D51" s="241"/>
      <c r="E51" s="1595" t="str">
        <f>'RFM input'!E51</f>
        <v>Asset Class 45</v>
      </c>
      <c r="F51" s="1596"/>
      <c r="G51" s="1597">
        <f>Asset45</f>
        <v>0</v>
      </c>
      <c r="H51" s="1598">
        <f>Asset45</f>
        <v>0</v>
      </c>
      <c r="I51" s="1598">
        <f>Asset45</f>
        <v>0</v>
      </c>
      <c r="J51" s="1434">
        <f>HLOOKUP(IF('RFM input'!$V$7="",5,'RFM input'!$V$7),'Total RAB roll forward'!$I$632:$Q$683,A51,FALSE)</f>
        <v>0</v>
      </c>
      <c r="K51" s="268"/>
      <c r="L51" s="1441">
        <f ca="1">IF(OR($J51&lt;0,AND($J51&gt;0,
(INDEX('RAB remaining lives'!$A$6:$W$2711,MATCH($E51,'RAB remaining lives'!$A$6:$A$2711,0)+ROWS('RAB remaining lives'!$B$13:$B$65)-1,MATCH($Q$7,'RAB remaining lives'!$A$6:$W$6,0)-1))=0)),MIN(INDEX('RFM input'!$K$7:$K$56,MATCH($E51,$E$7:$E$56,0),1),'RFM input'!$V$7),
(INDEX('RAB remaining lives'!$A$6:$W$2711,MATCH($E51,'RAB remaining lives'!$A$6:$A$2711,0)+ROWS('RAB remaining lives'!$B$13:$B$65)-1,MATCH(($Q$7),'RAB remaining lives'!$A$6:$W$6,0)-1)))</f>
        <v>0</v>
      </c>
      <c r="M51" s="1438"/>
      <c r="N51" s="233">
        <f>HLOOKUP(IF('RFM input'!$V$7="",5,'RFM input'!$V$7),'TAB roll forward'!$J$2:$R$57,B51,FALSE)</f>
        <v>0</v>
      </c>
      <c r="O51" s="1441">
        <f ca="1">IF(OR($N51&lt;0,AND($N51&gt;0,(
INDEX('TAB remaining lives'!$A$6:$W$2706,MATCH($E51,'TAB remaining lives'!$A$6:$A$2706,0)+ROWS('TAB remaining lives'!$B$8:$B$60)-1,MATCH(($Q$7),'TAB remaining lives'!$A$6:$W$6,0)-1))=0)),MIN(INDEX('RFM input'!$T$7:$T$56,MATCH($E51,$E$7:$E$56,0),1),'RFM input'!$V$7),
(INDEX('TAB remaining lives'!$A$6:$W$2706,MATCH($E51,'TAB remaining lives'!$A$6:$A$2706,0)+ROWS('TAB remaining lives'!$B$8:$B$60)-1,MATCH(($Q$7),'TAB remaining lives'!$A$6:$W$6,0)-1)))</f>
        <v>0</v>
      </c>
      <c r="P51" s="142"/>
      <c r="Q51" s="138"/>
      <c r="R51" s="4"/>
      <c r="S51" s="29"/>
      <c r="T51" s="83"/>
      <c r="U51" s="83"/>
      <c r="V51" s="83"/>
      <c r="W51" s="29"/>
      <c r="X51" s="29"/>
      <c r="Y51" s="29"/>
      <c r="Z51" s="29"/>
    </row>
    <row r="52" spans="1:26" outlineLevel="1">
      <c r="A52" s="283">
        <f t="shared" si="2"/>
        <v>48</v>
      </c>
      <c r="B52" s="283">
        <f t="shared" si="2"/>
        <v>52</v>
      </c>
      <c r="C52" s="241"/>
      <c r="D52" s="241"/>
      <c r="E52" s="1595" t="str">
        <f>'RFM input'!E52</f>
        <v>Asset Class 46</v>
      </c>
      <c r="F52" s="1596"/>
      <c r="G52" s="1597">
        <f>Asset46</f>
        <v>0</v>
      </c>
      <c r="H52" s="1598">
        <f>Asset46</f>
        <v>0</v>
      </c>
      <c r="I52" s="1598">
        <f>Asset46</f>
        <v>0</v>
      </c>
      <c r="J52" s="1434">
        <f>HLOOKUP(IF('RFM input'!$V$7="",5,'RFM input'!$V$7),'Total RAB roll forward'!$I$632:$Q$683,A52,FALSE)</f>
        <v>0</v>
      </c>
      <c r="K52" s="268"/>
      <c r="L52" s="1441">
        <f ca="1">IF(OR($J52&lt;0,AND($J52&gt;0,
(INDEX('RAB remaining lives'!$A$6:$W$2711,MATCH($E52,'RAB remaining lives'!$A$6:$A$2711,0)+ROWS('RAB remaining lives'!$B$13:$B$65)-1,MATCH($Q$7,'RAB remaining lives'!$A$6:$W$6,0)-1))=0)),MIN(INDEX('RFM input'!$K$7:$K$56,MATCH($E52,$E$7:$E$56,0),1),'RFM input'!$V$7),
(INDEX('RAB remaining lives'!$A$6:$W$2711,MATCH($E52,'RAB remaining lives'!$A$6:$A$2711,0)+ROWS('RAB remaining lives'!$B$13:$B$65)-1,MATCH(($Q$7),'RAB remaining lives'!$A$6:$W$6,0)-1)))</f>
        <v>0</v>
      </c>
      <c r="M52" s="1438"/>
      <c r="N52" s="233">
        <f>HLOOKUP(IF('RFM input'!$V$7="",5,'RFM input'!$V$7),'TAB roll forward'!$J$2:$R$57,B52,FALSE)</f>
        <v>0</v>
      </c>
      <c r="O52" s="1441">
        <f ca="1">IF(OR($N52&lt;0,AND($N52&gt;0,(
INDEX('TAB remaining lives'!$A$6:$W$2706,MATCH($E52,'TAB remaining lives'!$A$6:$A$2706,0)+ROWS('TAB remaining lives'!$B$8:$B$60)-1,MATCH(($Q$7),'TAB remaining lives'!$A$6:$W$6,0)-1))=0)),MIN(INDEX('RFM input'!$T$7:$T$56,MATCH($E52,$E$7:$E$56,0),1),'RFM input'!$V$7),
(INDEX('TAB remaining lives'!$A$6:$W$2706,MATCH($E52,'TAB remaining lives'!$A$6:$A$2706,0)+ROWS('TAB remaining lives'!$B$8:$B$60)-1,MATCH(($Q$7),'TAB remaining lives'!$A$6:$W$6,0)-1)))</f>
        <v>0</v>
      </c>
      <c r="P52" s="142"/>
      <c r="Q52" s="138"/>
      <c r="R52" s="4"/>
      <c r="S52" s="29"/>
      <c r="T52" s="83"/>
      <c r="U52" s="83"/>
      <c r="V52" s="83"/>
      <c r="W52" s="29"/>
      <c r="X52" s="29"/>
      <c r="Y52" s="29"/>
      <c r="Z52" s="29"/>
    </row>
    <row r="53" spans="1:26" outlineLevel="1">
      <c r="A53" s="283">
        <f t="shared" si="2"/>
        <v>49</v>
      </c>
      <c r="B53" s="283">
        <f t="shared" si="2"/>
        <v>53</v>
      </c>
      <c r="C53" s="241"/>
      <c r="D53" s="241"/>
      <c r="E53" s="1595" t="str">
        <f>'RFM input'!E53</f>
        <v>Asset Class 47</v>
      </c>
      <c r="F53" s="1596"/>
      <c r="G53" s="1597">
        <f>Asset47</f>
        <v>0</v>
      </c>
      <c r="H53" s="1598">
        <f>Asset47</f>
        <v>0</v>
      </c>
      <c r="I53" s="1598">
        <f>Asset47</f>
        <v>0</v>
      </c>
      <c r="J53" s="1434">
        <f>HLOOKUP(IF('RFM input'!$V$7="",5,'RFM input'!$V$7),'Total RAB roll forward'!$I$632:$Q$683,A53,FALSE)</f>
        <v>0</v>
      </c>
      <c r="K53" s="268"/>
      <c r="L53" s="1441">
        <f ca="1">IF(OR($J53&lt;0,AND($J53&gt;0,
(INDEX('RAB remaining lives'!$A$6:$W$2711,MATCH($E53,'RAB remaining lives'!$A$6:$A$2711,0)+ROWS('RAB remaining lives'!$B$13:$B$65)-1,MATCH($Q$7,'RAB remaining lives'!$A$6:$W$6,0)-1))=0)),MIN(INDEX('RFM input'!$K$7:$K$56,MATCH($E53,$E$7:$E$56,0),1),'RFM input'!$V$7),
(INDEX('RAB remaining lives'!$A$6:$W$2711,MATCH($E53,'RAB remaining lives'!$A$6:$A$2711,0)+ROWS('RAB remaining lives'!$B$13:$B$65)-1,MATCH(($Q$7),'RAB remaining lives'!$A$6:$W$6,0)-1)))</f>
        <v>0</v>
      </c>
      <c r="M53" s="1438"/>
      <c r="N53" s="233">
        <f>HLOOKUP(IF('RFM input'!$V$7="",5,'RFM input'!$V$7),'TAB roll forward'!$J$2:$R$57,B53,FALSE)</f>
        <v>0</v>
      </c>
      <c r="O53" s="1441">
        <f ca="1">IF(OR($N53&lt;0,AND($N53&gt;0,(
INDEX('TAB remaining lives'!$A$6:$W$2706,MATCH($E53,'TAB remaining lives'!$A$6:$A$2706,0)+ROWS('TAB remaining lives'!$B$8:$B$60)-1,MATCH(($Q$7),'TAB remaining lives'!$A$6:$W$6,0)-1))=0)),MIN(INDEX('RFM input'!$T$7:$T$56,MATCH($E53,$E$7:$E$56,0),1),'RFM input'!$V$7),
(INDEX('TAB remaining lives'!$A$6:$W$2706,MATCH($E53,'TAB remaining lives'!$A$6:$A$2706,0)+ROWS('TAB remaining lives'!$B$8:$B$60)-1,MATCH(($Q$7),'TAB remaining lives'!$A$6:$W$6,0)-1)))</f>
        <v>0</v>
      </c>
      <c r="P53" s="142"/>
      <c r="Q53" s="138"/>
      <c r="R53" s="4"/>
      <c r="S53" s="29"/>
      <c r="T53" s="83"/>
      <c r="U53" s="83"/>
      <c r="V53" s="83"/>
      <c r="W53" s="29"/>
      <c r="X53" s="29"/>
      <c r="Y53" s="29"/>
      <c r="Z53" s="29"/>
    </row>
    <row r="54" spans="1:26" outlineLevel="1">
      <c r="A54" s="283">
        <f t="shared" si="2"/>
        <v>50</v>
      </c>
      <c r="B54" s="283">
        <f t="shared" si="2"/>
        <v>54</v>
      </c>
      <c r="C54" s="241"/>
      <c r="D54" s="241"/>
      <c r="E54" s="1595" t="str">
        <f>'RFM input'!E54</f>
        <v>Asset Class 48</v>
      </c>
      <c r="F54" s="1596"/>
      <c r="G54" s="1597">
        <f>Asset48</f>
        <v>0</v>
      </c>
      <c r="H54" s="1598">
        <f>Asset48</f>
        <v>0</v>
      </c>
      <c r="I54" s="1598">
        <f>Asset48</f>
        <v>0</v>
      </c>
      <c r="J54" s="1434">
        <f>HLOOKUP(IF('RFM input'!$V$7="",5,'RFM input'!$V$7),'Total RAB roll forward'!$I$632:$Q$683,A54,FALSE)</f>
        <v>0</v>
      </c>
      <c r="K54" s="268"/>
      <c r="L54" s="1441">
        <f ca="1">IF(OR($J54&lt;0,AND($J54&gt;0,
(INDEX('RAB remaining lives'!$A$6:$W$2711,MATCH($E54,'RAB remaining lives'!$A$6:$A$2711,0)+ROWS('RAB remaining lives'!$B$13:$B$65)-1,MATCH($Q$7,'RAB remaining lives'!$A$6:$W$6,0)-1))=0)),MIN(INDEX('RFM input'!$K$7:$K$56,MATCH($E54,$E$7:$E$56,0),1),'RFM input'!$V$7),
(INDEX('RAB remaining lives'!$A$6:$W$2711,MATCH($E54,'RAB remaining lives'!$A$6:$A$2711,0)+ROWS('RAB remaining lives'!$B$13:$B$65)-1,MATCH(($Q$7),'RAB remaining lives'!$A$6:$W$6,0)-1)))</f>
        <v>0</v>
      </c>
      <c r="M54" s="1438"/>
      <c r="N54" s="233">
        <f>HLOOKUP(IF('RFM input'!$V$7="",5,'RFM input'!$V$7),'TAB roll forward'!$J$2:$R$57,B54,FALSE)</f>
        <v>0</v>
      </c>
      <c r="O54" s="1441">
        <f ca="1">IF(OR($N54&lt;0,AND($N54&gt;0,(
INDEX('TAB remaining lives'!$A$6:$W$2706,MATCH($E54,'TAB remaining lives'!$A$6:$A$2706,0)+ROWS('TAB remaining lives'!$B$8:$B$60)-1,MATCH(($Q$7),'TAB remaining lives'!$A$6:$W$6,0)-1))=0)),MIN(INDEX('RFM input'!$T$7:$T$56,MATCH($E54,$E$7:$E$56,0),1),'RFM input'!$V$7),
(INDEX('TAB remaining lives'!$A$6:$W$2706,MATCH($E54,'TAB remaining lives'!$A$6:$A$2706,0)+ROWS('TAB remaining lives'!$B$8:$B$60)-1,MATCH(($Q$7),'TAB remaining lives'!$A$6:$W$6,0)-1)))</f>
        <v>0</v>
      </c>
      <c r="P54" s="142"/>
      <c r="Q54" s="138"/>
      <c r="R54" s="4"/>
      <c r="S54" s="29"/>
      <c r="T54" s="83"/>
      <c r="U54" s="83"/>
      <c r="V54" s="83"/>
      <c r="W54" s="29"/>
      <c r="X54" s="29"/>
      <c r="Y54" s="29"/>
      <c r="Z54" s="29"/>
    </row>
    <row r="55" spans="1:26" outlineLevel="1">
      <c r="A55" s="283">
        <f t="shared" si="2"/>
        <v>51</v>
      </c>
      <c r="B55" s="283">
        <f t="shared" si="2"/>
        <v>55</v>
      </c>
      <c r="C55" s="241"/>
      <c r="D55" s="241"/>
      <c r="E55" s="1595" t="str">
        <f>'RFM input'!E55</f>
        <v>Asset Class 49</v>
      </c>
      <c r="F55" s="1596"/>
      <c r="G55" s="1597">
        <f>Asset49</f>
        <v>0</v>
      </c>
      <c r="H55" s="1598">
        <f>Asset49</f>
        <v>0</v>
      </c>
      <c r="I55" s="1598">
        <f>Asset49</f>
        <v>0</v>
      </c>
      <c r="J55" s="1434">
        <f>HLOOKUP(IF('RFM input'!$V$7="",5,'RFM input'!$V$7),'Total RAB roll forward'!$I$632:$Q$683,A55,FALSE)</f>
        <v>0</v>
      </c>
      <c r="K55" s="268"/>
      <c r="L55" s="1441">
        <f ca="1">IF(OR($J55&lt;0,AND($J55&gt;0,
(INDEX('RAB remaining lives'!$A$6:$W$2711,MATCH($E55,'RAB remaining lives'!$A$6:$A$2711,0)+ROWS('RAB remaining lives'!$B$13:$B$65)-1,MATCH($Q$7,'RAB remaining lives'!$A$6:$W$6,0)-1))=0)),MIN(INDEX('RFM input'!$K$7:$K$56,MATCH($E55,$E$7:$E$56,0),1),'RFM input'!$V$7),
(INDEX('RAB remaining lives'!$A$6:$W$2711,MATCH($E55,'RAB remaining lives'!$A$6:$A$2711,0)+ROWS('RAB remaining lives'!$B$13:$B$65)-1,MATCH(($Q$7),'RAB remaining lives'!$A$6:$W$6,0)-1)))</f>
        <v>0</v>
      </c>
      <c r="M55" s="1438"/>
      <c r="N55" s="233">
        <f>HLOOKUP(IF('RFM input'!$V$7="",5,'RFM input'!$V$7),'TAB roll forward'!$J$2:$R$57,B55,FALSE)</f>
        <v>0</v>
      </c>
      <c r="O55" s="1441">
        <f ca="1">IF(OR($N55&lt;0,AND($N55&gt;0,(
INDEX('TAB remaining lives'!$A$6:$W$2706,MATCH($E55,'TAB remaining lives'!$A$6:$A$2706,0)+ROWS('TAB remaining lives'!$B$8:$B$60)-1,MATCH(($Q$7),'TAB remaining lives'!$A$6:$W$6,0)-1))=0)),MIN(INDEX('RFM input'!$T$7:$T$56,MATCH($E55,$E$7:$E$56,0),1),'RFM input'!$V$7),
(INDEX('TAB remaining lives'!$A$6:$W$2706,MATCH($E55,'TAB remaining lives'!$A$6:$A$2706,0)+ROWS('TAB remaining lives'!$B$8:$B$60)-1,MATCH(($Q$7),'TAB remaining lives'!$A$6:$W$6,0)-1)))</f>
        <v>0</v>
      </c>
      <c r="P55" s="142"/>
      <c r="Q55" s="138"/>
      <c r="R55" s="4"/>
      <c r="S55" s="29"/>
      <c r="T55" s="83"/>
      <c r="U55" s="83"/>
      <c r="V55" s="83"/>
      <c r="W55" s="29"/>
      <c r="X55" s="29"/>
      <c r="Y55" s="29"/>
      <c r="Z55" s="29"/>
    </row>
    <row r="56" spans="1:26">
      <c r="A56" s="283">
        <f t="shared" si="2"/>
        <v>52</v>
      </c>
      <c r="B56" s="283">
        <f t="shared" si="2"/>
        <v>56</v>
      </c>
      <c r="C56" s="241"/>
      <c r="D56" s="241"/>
      <c r="E56" s="1595" t="str">
        <f>'RFM input'!E56</f>
        <v>Asset Class 50</v>
      </c>
      <c r="F56" s="1596"/>
      <c r="G56" s="1597">
        <f>Asset50</f>
        <v>0</v>
      </c>
      <c r="H56" s="1598">
        <f>Asset50</f>
        <v>0</v>
      </c>
      <c r="I56" s="1598">
        <f>Asset50</f>
        <v>0</v>
      </c>
      <c r="J56" s="1434">
        <f>HLOOKUP(IF('RFM input'!$V$7="",5,'RFM input'!$V$7),'Total RAB roll forward'!$I$632:$Q$683,A56,FALSE)</f>
        <v>0</v>
      </c>
      <c r="K56" s="268"/>
      <c r="L56" s="1441">
        <f ca="1">IF(OR($J56&lt;0,AND($J56&gt;0,
(INDEX('RAB remaining lives'!$A$6:$W$2711,MATCH($E56,'RAB remaining lives'!$A$6:$A$2711,0)+ROWS('RAB remaining lives'!$B$13:$B$65)-1,MATCH($Q$7,'RAB remaining lives'!$A$6:$W$6,0)-1))=0)),MIN(INDEX('RFM input'!$K$7:$K$56,MATCH($E56,$E$7:$E$56,0),1),'RFM input'!$V$7),
(INDEX('RAB remaining lives'!$A$6:$W$2711,MATCH($E56,'RAB remaining lives'!$A$6:$A$2711,0)+ROWS('RAB remaining lives'!$B$13:$B$65)-1,MATCH(($Q$7),'RAB remaining lives'!$A$6:$W$6,0)-1)))</f>
        <v>0</v>
      </c>
      <c r="M56" s="1438"/>
      <c r="N56" s="233">
        <f>HLOOKUP(IF('RFM input'!$V$7="",5,'RFM input'!$V$7),'TAB roll forward'!$J$2:$R$57,B56,FALSE)</f>
        <v>0</v>
      </c>
      <c r="O56" s="1441">
        <f ca="1">IF(OR($N56&lt;0,AND($N56&gt;0,(
INDEX('TAB remaining lives'!$A$6:$W$2706,MATCH($E56,'TAB remaining lives'!$A$6:$A$2706,0)+ROWS('TAB remaining lives'!$B$8:$B$60)-1,MATCH(($Q$7),'TAB remaining lives'!$A$6:$W$6,0)-1))=0)),MIN(INDEX('RFM input'!$T$7:$T$56,MATCH($E56,$E$7:$E$56,0),1),'RFM input'!$V$7),
(INDEX('TAB remaining lives'!$A$6:$W$2706,MATCH($E56,'TAB remaining lives'!$A$6:$A$2706,0)+ROWS('TAB remaining lives'!$B$8:$B$60)-1,MATCH(($Q$7),'TAB remaining lives'!$A$6:$W$6,0)-1)))</f>
        <v>0</v>
      </c>
      <c r="P56" s="142"/>
      <c r="Q56" s="138"/>
      <c r="R56" s="4"/>
      <c r="S56" s="29"/>
      <c r="T56" s="83"/>
      <c r="U56" s="83"/>
      <c r="V56" s="83"/>
      <c r="W56" s="29"/>
      <c r="X56" s="29"/>
      <c r="Y56" s="29"/>
      <c r="Z56" s="29"/>
    </row>
    <row r="57" spans="1:26">
      <c r="A57" s="283"/>
      <c r="B57" s="283"/>
      <c r="C57" s="3"/>
      <c r="D57" s="3"/>
      <c r="E57" s="83" t="s">
        <v>18</v>
      </c>
      <c r="F57" s="22"/>
      <c r="G57" s="129"/>
      <c r="H57" s="131"/>
      <c r="I57" s="130"/>
      <c r="J57" s="1435">
        <f>SUM(J7:J56)</f>
        <v>577.61980341506899</v>
      </c>
      <c r="K57" s="151">
        <f>SUM(K7:K56)</f>
        <v>0</v>
      </c>
      <c r="L57" s="1439"/>
      <c r="M57" s="1341"/>
      <c r="N57" s="248">
        <f>SUM(N7:N56)</f>
        <v>291.00323216750007</v>
      </c>
      <c r="O57" s="248"/>
      <c r="P57" s="3"/>
      <c r="Q57" s="3"/>
      <c r="R57" s="3"/>
      <c r="S57" s="29"/>
      <c r="T57" s="29"/>
      <c r="U57" s="29"/>
      <c r="V57" s="29"/>
      <c r="W57" s="29"/>
      <c r="X57" s="29"/>
      <c r="Y57" s="29"/>
      <c r="Z57" s="29"/>
    </row>
    <row r="58" spans="1:26">
      <c r="A58" s="283"/>
      <c r="B58" s="283"/>
      <c r="C58" s="3"/>
      <c r="D58" s="3"/>
      <c r="E58" s="22"/>
      <c r="F58" s="22"/>
      <c r="G58" s="129"/>
      <c r="H58" s="131"/>
      <c r="I58" s="130"/>
      <c r="J58" s="130"/>
      <c r="K58" s="130"/>
      <c r="L58" s="130"/>
      <c r="M58" s="80"/>
      <c r="N58" s="3"/>
      <c r="O58" s="3"/>
      <c r="P58" s="3"/>
      <c r="Q58" s="3"/>
      <c r="R58" s="3"/>
      <c r="S58" s="29"/>
      <c r="T58" s="29"/>
      <c r="U58" s="29"/>
      <c r="V58" s="29"/>
      <c r="W58" s="29"/>
      <c r="X58" s="29"/>
      <c r="Y58" s="29"/>
      <c r="Z58" s="29"/>
    </row>
    <row r="59" spans="1:26">
      <c r="A59" s="283"/>
      <c r="B59" s="283"/>
      <c r="C59" s="3"/>
      <c r="D59" s="3"/>
      <c r="E59" s="22"/>
      <c r="F59" s="22"/>
      <c r="G59" s="129"/>
      <c r="H59" s="131"/>
      <c r="I59" s="130"/>
      <c r="J59" s="130"/>
      <c r="K59" s="130"/>
      <c r="L59" s="130"/>
      <c r="M59" s="80"/>
      <c r="N59" s="3"/>
      <c r="O59" s="3"/>
      <c r="P59" s="3"/>
      <c r="Q59" s="3"/>
      <c r="R59" s="3"/>
      <c r="S59" s="29"/>
      <c r="T59" s="29"/>
      <c r="U59" s="29"/>
      <c r="V59" s="29"/>
      <c r="W59" s="29"/>
      <c r="X59" s="29"/>
      <c r="Y59" s="29"/>
      <c r="Z59" s="29"/>
    </row>
    <row r="60" spans="1:26">
      <c r="A60" s="283"/>
      <c r="B60" s="283"/>
      <c r="C60" s="3"/>
      <c r="D60" s="3"/>
      <c r="E60" s="22"/>
      <c r="F60" s="22"/>
      <c r="G60" s="129"/>
      <c r="H60" s="131"/>
      <c r="I60" s="130"/>
      <c r="J60" s="130"/>
      <c r="K60" s="130"/>
      <c r="L60" s="130"/>
      <c r="M60" s="80"/>
      <c r="N60" s="3"/>
      <c r="O60" s="3"/>
      <c r="P60" s="3"/>
      <c r="Q60" s="3"/>
      <c r="R60" s="3"/>
      <c r="S60" s="29"/>
      <c r="T60" s="29"/>
      <c r="U60" s="29"/>
      <c r="V60" s="29"/>
      <c r="W60" s="29"/>
      <c r="X60" s="29"/>
      <c r="Y60" s="29"/>
      <c r="Z60" s="29"/>
    </row>
    <row r="61" spans="1:26">
      <c r="A61" s="215"/>
      <c r="B61" s="215"/>
      <c r="E61" s="186"/>
      <c r="F61" s="186"/>
      <c r="G61" s="237"/>
      <c r="H61" s="190"/>
      <c r="I61" s="238"/>
      <c r="J61" s="238"/>
      <c r="K61" s="238"/>
      <c r="L61" s="238"/>
      <c r="M61" s="189"/>
      <c r="S61" s="155"/>
      <c r="T61" s="155"/>
      <c r="U61" s="155"/>
      <c r="V61" s="155"/>
      <c r="W61" s="155"/>
      <c r="X61" s="155"/>
      <c r="Y61" s="155"/>
      <c r="Z61" s="155"/>
    </row>
    <row r="62" spans="1:26">
      <c r="A62" s="215"/>
      <c r="B62" s="215"/>
      <c r="E62" s="186"/>
      <c r="F62" s="186"/>
      <c r="G62" s="237"/>
      <c r="H62" s="190"/>
      <c r="I62" s="238"/>
      <c r="J62" s="238"/>
      <c r="K62" s="238"/>
      <c r="L62" s="238"/>
      <c r="M62" s="189"/>
      <c r="S62" s="155"/>
      <c r="T62" s="155"/>
      <c r="U62" s="155"/>
      <c r="V62" s="155"/>
      <c r="W62" s="155"/>
      <c r="X62" s="155"/>
      <c r="Y62" s="155"/>
      <c r="Z62" s="155"/>
    </row>
    <row r="63" spans="1:26">
      <c r="A63" s="215"/>
      <c r="B63" s="215"/>
      <c r="E63" s="186"/>
      <c r="F63" s="186"/>
      <c r="G63" s="237"/>
      <c r="H63" s="190"/>
      <c r="I63" s="238"/>
      <c r="J63" s="238"/>
      <c r="K63" s="238"/>
      <c r="L63" s="238"/>
      <c r="M63" s="189"/>
      <c r="S63" s="155"/>
      <c r="T63" s="155"/>
      <c r="U63" s="155"/>
      <c r="V63" s="155"/>
      <c r="W63" s="155"/>
      <c r="X63" s="155"/>
      <c r="Y63" s="155"/>
      <c r="Z63" s="155"/>
    </row>
    <row r="64" spans="1:26">
      <c r="A64" s="215"/>
      <c r="B64" s="215"/>
      <c r="E64" s="186"/>
      <c r="F64" s="186"/>
      <c r="G64" s="237"/>
      <c r="H64" s="190"/>
      <c r="I64" s="238"/>
      <c r="J64" s="238"/>
      <c r="K64" s="238"/>
      <c r="L64" s="238"/>
      <c r="M64" s="189"/>
      <c r="S64" s="155"/>
      <c r="T64" s="155"/>
      <c r="U64" s="155"/>
      <c r="V64" s="155"/>
      <c r="W64" s="155"/>
      <c r="X64" s="155"/>
      <c r="Y64" s="155"/>
      <c r="Z64" s="155"/>
    </row>
  </sheetData>
  <dataConsolidate/>
  <mergeCells count="94">
    <mergeCell ref="E25:F25"/>
    <mergeCell ref="E26:F26"/>
    <mergeCell ref="E21:F21"/>
    <mergeCell ref="E22:F22"/>
    <mergeCell ref="E23:F23"/>
    <mergeCell ref="E24:F24"/>
    <mergeCell ref="E11:F11"/>
    <mergeCell ref="E12:F12"/>
    <mergeCell ref="G25:I25"/>
    <mergeCell ref="G26:I26"/>
    <mergeCell ref="G21:I21"/>
    <mergeCell ref="G22:I22"/>
    <mergeCell ref="G23:I23"/>
    <mergeCell ref="G24:I24"/>
    <mergeCell ref="E19:F19"/>
    <mergeCell ref="E20:F20"/>
    <mergeCell ref="E13:F13"/>
    <mergeCell ref="E14:F14"/>
    <mergeCell ref="E15:F15"/>
    <mergeCell ref="E16:F16"/>
    <mergeCell ref="E17:F17"/>
    <mergeCell ref="E18:F18"/>
    <mergeCell ref="E27:F27"/>
    <mergeCell ref="E28:F28"/>
    <mergeCell ref="E29:F29"/>
    <mergeCell ref="E30:F30"/>
    <mergeCell ref="E5:H5"/>
    <mergeCell ref="G6:I6"/>
    <mergeCell ref="E7:F7"/>
    <mergeCell ref="E8:F8"/>
    <mergeCell ref="G19:I19"/>
    <mergeCell ref="G20:I20"/>
    <mergeCell ref="G15:I15"/>
    <mergeCell ref="G16:I16"/>
    <mergeCell ref="G17:I17"/>
    <mergeCell ref="G18:I18"/>
    <mergeCell ref="E9:F9"/>
    <mergeCell ref="E10:F10"/>
    <mergeCell ref="G35:I35"/>
    <mergeCell ref="G36:I36"/>
    <mergeCell ref="E35:F35"/>
    <mergeCell ref="E36:F36"/>
    <mergeCell ref="G27:I27"/>
    <mergeCell ref="G28:I28"/>
    <mergeCell ref="G29:I29"/>
    <mergeCell ref="G30:I30"/>
    <mergeCell ref="G33:I33"/>
    <mergeCell ref="G34:I34"/>
    <mergeCell ref="E31:F31"/>
    <mergeCell ref="E32:F32"/>
    <mergeCell ref="E33:F33"/>
    <mergeCell ref="E34:F34"/>
    <mergeCell ref="G31:I31"/>
    <mergeCell ref="G32:I32"/>
    <mergeCell ref="E37:F37"/>
    <mergeCell ref="G37:I37"/>
    <mergeCell ref="E38:F38"/>
    <mergeCell ref="G38:I38"/>
    <mergeCell ref="E39:F39"/>
    <mergeCell ref="G39:I39"/>
    <mergeCell ref="E40:F40"/>
    <mergeCell ref="G40:I40"/>
    <mergeCell ref="E41:F41"/>
    <mergeCell ref="G41:I41"/>
    <mergeCell ref="E42:F42"/>
    <mergeCell ref="G42:I42"/>
    <mergeCell ref="E43:F43"/>
    <mergeCell ref="G43:I43"/>
    <mergeCell ref="E44:F44"/>
    <mergeCell ref="G44:I44"/>
    <mergeCell ref="E45:F45"/>
    <mergeCell ref="G45:I45"/>
    <mergeCell ref="E46:F46"/>
    <mergeCell ref="G46:I46"/>
    <mergeCell ref="E47:F47"/>
    <mergeCell ref="G47:I47"/>
    <mergeCell ref="E48:F48"/>
    <mergeCell ref="G48:I48"/>
    <mergeCell ref="E49:F49"/>
    <mergeCell ref="G49:I49"/>
    <mergeCell ref="E50:F50"/>
    <mergeCell ref="G50:I50"/>
    <mergeCell ref="E51:F51"/>
    <mergeCell ref="G51:I51"/>
    <mergeCell ref="E55:F55"/>
    <mergeCell ref="G55:I55"/>
    <mergeCell ref="E56:F56"/>
    <mergeCell ref="G56:I56"/>
    <mergeCell ref="E52:F52"/>
    <mergeCell ref="G52:I52"/>
    <mergeCell ref="E53:F53"/>
    <mergeCell ref="G53:I53"/>
    <mergeCell ref="E54:F54"/>
    <mergeCell ref="G54:I54"/>
  </mergeCells>
  <phoneticPr fontId="16" type="noConversion"/>
  <printOptions headings="1"/>
  <pageMargins left="0.70866141732283472" right="0.70866141732283472" top="0.74803149606299213" bottom="0.74803149606299213" header="0.31496062992125984" footer="0.31496062992125984"/>
  <pageSetup paperSize="9" scale="61" fitToHeight="0" orientation="landscape" r:id="rId1"/>
  <headerFooter alignWithMargins="0">
    <oddHeader>&amp;C&amp;A</oddHeader>
    <oddFooter>&amp;LAppendix A - Transmission roll forward model - version 3&amp;R &amp;P</oddFooter>
  </headerFooter>
  <colBreaks count="1" manualBreakCount="1">
    <brk id="16" max="56"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2:N166"/>
  <sheetViews>
    <sheetView showGridLines="0" zoomScale="90" zoomScaleNormal="90" workbookViewId="0">
      <selection activeCell="H177" sqref="H177"/>
    </sheetView>
  </sheetViews>
  <sheetFormatPr defaultRowHeight="12.75" outlineLevelRow="1"/>
  <cols>
    <col min="2" max="2" width="58.5703125" customWidth="1"/>
    <col min="4" max="4" width="10.85546875" customWidth="1"/>
  </cols>
  <sheetData>
    <row r="2" spans="1:14" ht="15.75">
      <c r="A2" s="176"/>
      <c r="B2" s="176" t="str">
        <f>'DMS input'!$C$16&amp;" - Inputs Working"&amp;" - DNSP RFM - version "&amp;Intro!$M$4</f>
        <v>Aus Gas Qld - Inputs Working - DNSP RFM - version 3</v>
      </c>
    </row>
    <row r="3" spans="1:14" ht="23.45" customHeight="1"/>
    <row r="4" spans="1:14" ht="15.75">
      <c r="B4" s="1581" t="s">
        <v>599</v>
      </c>
      <c r="C4" s="1581"/>
      <c r="D4" s="1581"/>
      <c r="E4" s="1600"/>
      <c r="F4" s="1600"/>
      <c r="G4" s="1600"/>
      <c r="H4" s="51"/>
      <c r="I4" s="51"/>
      <c r="J4" s="49"/>
      <c r="K4" s="49"/>
      <c r="L4" s="49"/>
      <c r="M4" s="49"/>
      <c r="N4" s="49"/>
    </row>
    <row r="5" spans="1:14">
      <c r="B5" s="24" t="s">
        <v>2</v>
      </c>
      <c r="C5" s="152"/>
      <c r="D5" s="188" t="str">
        <f>'RFM input'!G$60</f>
        <v>2015-16</v>
      </c>
      <c r="E5" s="188" t="str">
        <f>'RFM input'!H$60</f>
        <v>2016-17</v>
      </c>
      <c r="F5" s="188" t="str">
        <f>'RFM input'!I$60</f>
        <v>2017-18</v>
      </c>
      <c r="G5" s="188" t="str">
        <f>'RFM input'!J$60</f>
        <v>2018-19</v>
      </c>
      <c r="H5" s="188" t="str">
        <f>'RFM input'!K$60</f>
        <v>2019-20</v>
      </c>
      <c r="I5" s="188" t="str">
        <f>'RFM input'!L$60</f>
        <v>2020-21</v>
      </c>
      <c r="J5" s="188" t="str">
        <f>'RFM input'!M$60</f>
        <v>2021-22</v>
      </c>
      <c r="K5" s="188" t="str">
        <f>'RFM input'!N$60</f>
        <v>2022-23</v>
      </c>
      <c r="L5" s="188" t="str">
        <f>'RFM input'!O$60</f>
        <v>2023-24</v>
      </c>
      <c r="M5" s="188" t="str">
        <f>'RFM input'!P$60</f>
        <v>2024-25</v>
      </c>
      <c r="N5" s="188" t="str">
        <f>'RFM input'!Q$60</f>
        <v>2025-26</v>
      </c>
    </row>
    <row r="6" spans="1:14" hidden="1" outlineLevel="1">
      <c r="B6" s="104" t="str">
        <f>'RFM input'!F$7</f>
        <v>Mains</v>
      </c>
      <c r="C6" s="152"/>
      <c r="D6" s="1335">
        <v>42</v>
      </c>
      <c r="E6" s="342">
        <v>51</v>
      </c>
      <c r="F6" s="342">
        <v>14</v>
      </c>
      <c r="G6" s="342">
        <v>9</v>
      </c>
      <c r="H6" s="342">
        <v>16</v>
      </c>
      <c r="I6" s="342">
        <v>26</v>
      </c>
      <c r="J6" s="342"/>
      <c r="K6" s="342"/>
      <c r="L6" s="342"/>
      <c r="M6" s="342"/>
      <c r="N6" s="342"/>
    </row>
    <row r="7" spans="1:14" hidden="1" outlineLevel="1">
      <c r="B7" s="104" t="str">
        <f>'RFM input'!F$8</f>
        <v>Inlets</v>
      </c>
      <c r="C7" s="152"/>
      <c r="D7" s="1336">
        <v>23</v>
      </c>
      <c r="E7" s="333">
        <v>21</v>
      </c>
      <c r="F7" s="333">
        <v>11</v>
      </c>
      <c r="G7" s="333">
        <v>51.25</v>
      </c>
      <c r="H7" s="333">
        <v>9</v>
      </c>
      <c r="I7" s="333">
        <v>11</v>
      </c>
      <c r="J7" s="333"/>
      <c r="K7" s="333"/>
      <c r="L7" s="333"/>
      <c r="M7" s="333"/>
      <c r="N7" s="333"/>
    </row>
    <row r="8" spans="1:14" hidden="1" outlineLevel="1">
      <c r="B8" s="104" t="str">
        <f>'RFM input'!F$9</f>
        <v>Meters</v>
      </c>
      <c r="C8" s="152"/>
      <c r="D8" s="1336">
        <v>11</v>
      </c>
      <c r="E8" s="333">
        <v>12</v>
      </c>
      <c r="F8" s="333">
        <v>11</v>
      </c>
      <c r="G8" s="333">
        <v>11</v>
      </c>
      <c r="H8" s="333">
        <v>11</v>
      </c>
      <c r="I8" s="333">
        <v>11</v>
      </c>
      <c r="J8" s="333"/>
      <c r="K8" s="333"/>
      <c r="L8" s="333"/>
      <c r="M8" s="333"/>
      <c r="N8" s="333"/>
    </row>
    <row r="9" spans="1:14" hidden="1" outlineLevel="1">
      <c r="B9" s="104" t="str">
        <f>'RFM input'!F$10</f>
        <v>Telemetry</v>
      </c>
      <c r="C9" s="152"/>
      <c r="D9" s="1337">
        <v>10.25</v>
      </c>
      <c r="E9" s="333">
        <v>10</v>
      </c>
      <c r="F9" s="333">
        <v>10</v>
      </c>
      <c r="G9" s="333">
        <v>11</v>
      </c>
      <c r="H9" s="333">
        <v>10</v>
      </c>
      <c r="I9" s="333">
        <v>10</v>
      </c>
      <c r="J9" s="333"/>
      <c r="K9" s="333"/>
      <c r="L9" s="333"/>
      <c r="M9" s="333"/>
      <c r="N9" s="333"/>
    </row>
    <row r="10" spans="1:14" hidden="1" outlineLevel="1">
      <c r="B10" s="104" t="str">
        <f>'RFM input'!F$11</f>
        <v>IT System</v>
      </c>
      <c r="C10" s="152"/>
      <c r="D10" s="1337">
        <v>9.25</v>
      </c>
      <c r="E10" s="333">
        <v>10</v>
      </c>
      <c r="F10" s="333">
        <v>9</v>
      </c>
      <c r="G10" s="333">
        <v>9</v>
      </c>
      <c r="H10" s="333">
        <v>9</v>
      </c>
      <c r="I10" s="333">
        <v>9</v>
      </c>
      <c r="J10" s="333"/>
      <c r="K10" s="333"/>
      <c r="L10" s="333"/>
      <c r="M10" s="333"/>
      <c r="N10" s="333"/>
    </row>
    <row r="11" spans="1:14" hidden="1" outlineLevel="1">
      <c r="B11" s="104" t="str">
        <f>'RFM input'!F$12</f>
        <v>Other Distribution System Equipment</v>
      </c>
      <c r="C11" s="152"/>
      <c r="D11" s="1337">
        <v>8</v>
      </c>
      <c r="E11" s="333">
        <v>8.25</v>
      </c>
      <c r="F11" s="333">
        <v>8</v>
      </c>
      <c r="G11" s="333">
        <v>8</v>
      </c>
      <c r="H11" s="333">
        <v>8</v>
      </c>
      <c r="I11" s="333">
        <v>9</v>
      </c>
      <c r="J11" s="333"/>
      <c r="K11" s="333"/>
      <c r="L11" s="333"/>
      <c r="M11" s="333"/>
      <c r="N11" s="333"/>
    </row>
    <row r="12" spans="1:14" hidden="1" outlineLevel="1">
      <c r="B12" s="104" t="str">
        <f>'RFM input'!F$13</f>
        <v>Other</v>
      </c>
      <c r="C12" s="152"/>
      <c r="D12" s="1337">
        <v>7</v>
      </c>
      <c r="E12" s="333">
        <v>7.25</v>
      </c>
      <c r="F12" s="333">
        <v>7</v>
      </c>
      <c r="G12" s="333">
        <v>7</v>
      </c>
      <c r="H12" s="333">
        <v>8</v>
      </c>
      <c r="I12" s="333">
        <v>7</v>
      </c>
      <c r="J12" s="333"/>
      <c r="K12" s="333"/>
      <c r="L12" s="333"/>
      <c r="M12" s="333"/>
      <c r="N12" s="333"/>
    </row>
    <row r="13" spans="1:14" hidden="1" outlineLevel="1">
      <c r="B13" s="104">
        <f>'RFM input'!F$14</f>
        <v>0</v>
      </c>
      <c r="C13" s="152"/>
      <c r="D13" s="1337">
        <v>6</v>
      </c>
      <c r="E13" s="333">
        <v>6</v>
      </c>
      <c r="F13" s="333">
        <v>6</v>
      </c>
      <c r="G13" s="333">
        <v>6</v>
      </c>
      <c r="H13" s="333">
        <v>6</v>
      </c>
      <c r="I13" s="333">
        <v>6</v>
      </c>
      <c r="J13" s="333"/>
      <c r="K13" s="333"/>
      <c r="L13" s="333"/>
      <c r="M13" s="333"/>
      <c r="N13" s="333"/>
    </row>
    <row r="14" spans="1:14" hidden="1" outlineLevel="1">
      <c r="B14" s="104">
        <f>'RFM input'!F$15</f>
        <v>0</v>
      </c>
      <c r="C14" s="152"/>
      <c r="D14" s="1337">
        <v>0</v>
      </c>
      <c r="E14" s="333">
        <v>0</v>
      </c>
      <c r="F14" s="333">
        <v>0</v>
      </c>
      <c r="G14" s="333">
        <v>0</v>
      </c>
      <c r="H14" s="333">
        <v>0</v>
      </c>
      <c r="I14" s="333">
        <v>0</v>
      </c>
      <c r="J14" s="333"/>
      <c r="K14" s="333"/>
      <c r="L14" s="333"/>
      <c r="M14" s="333"/>
      <c r="N14" s="333"/>
    </row>
    <row r="15" spans="1:14" hidden="1" outlineLevel="1">
      <c r="B15" s="104">
        <f>'RFM input'!F$16</f>
        <v>0</v>
      </c>
      <c r="C15" s="152"/>
      <c r="D15" s="1337">
        <v>0</v>
      </c>
      <c r="E15" s="333">
        <v>0</v>
      </c>
      <c r="F15" s="333">
        <v>0</v>
      </c>
      <c r="G15" s="333">
        <v>0</v>
      </c>
      <c r="H15" s="333">
        <v>0</v>
      </c>
      <c r="I15" s="333">
        <v>0</v>
      </c>
      <c r="J15" s="333"/>
      <c r="K15" s="333"/>
      <c r="L15" s="333"/>
      <c r="M15" s="333"/>
      <c r="N15" s="333"/>
    </row>
    <row r="16" spans="1:14" hidden="1" outlineLevel="1">
      <c r="B16" s="104">
        <f>'RFM input'!F$17</f>
        <v>0</v>
      </c>
      <c r="C16" s="152"/>
      <c r="D16" s="1337">
        <v>0</v>
      </c>
      <c r="E16" s="333">
        <v>0</v>
      </c>
      <c r="F16" s="333">
        <v>0</v>
      </c>
      <c r="G16" s="333">
        <v>0</v>
      </c>
      <c r="H16" s="333">
        <v>0</v>
      </c>
      <c r="I16" s="333">
        <v>0</v>
      </c>
      <c r="J16" s="333"/>
      <c r="K16" s="333"/>
      <c r="L16" s="333"/>
      <c r="M16" s="333"/>
      <c r="N16" s="333"/>
    </row>
    <row r="17" spans="2:14" hidden="1" outlineLevel="1">
      <c r="B17" s="104">
        <f>'RFM input'!F$18</f>
        <v>0</v>
      </c>
      <c r="C17" s="152"/>
      <c r="D17" s="1337">
        <v>0</v>
      </c>
      <c r="E17" s="333">
        <v>0</v>
      </c>
      <c r="F17" s="333">
        <v>0</v>
      </c>
      <c r="G17" s="333">
        <v>0</v>
      </c>
      <c r="H17" s="333">
        <v>0</v>
      </c>
      <c r="I17" s="333">
        <v>0</v>
      </c>
      <c r="J17" s="333"/>
      <c r="K17" s="333"/>
      <c r="L17" s="333"/>
      <c r="M17" s="333"/>
      <c r="N17" s="333"/>
    </row>
    <row r="18" spans="2:14" hidden="1" outlineLevel="1">
      <c r="B18" s="104">
        <f>'RFM input'!F$19</f>
        <v>0</v>
      </c>
      <c r="C18" s="152"/>
      <c r="D18" s="1337">
        <v>0</v>
      </c>
      <c r="E18" s="333">
        <v>0</v>
      </c>
      <c r="F18" s="333">
        <v>0</v>
      </c>
      <c r="G18" s="333">
        <v>0</v>
      </c>
      <c r="H18" s="333">
        <v>0</v>
      </c>
      <c r="I18" s="333">
        <v>0</v>
      </c>
      <c r="J18" s="333"/>
      <c r="K18" s="333"/>
      <c r="L18" s="333"/>
      <c r="M18" s="333"/>
      <c r="N18" s="333"/>
    </row>
    <row r="19" spans="2:14" hidden="1" outlineLevel="1">
      <c r="B19" s="104">
        <f>'RFM input'!F$20</f>
        <v>0</v>
      </c>
      <c r="C19" s="152"/>
      <c r="D19" s="1337">
        <v>0</v>
      </c>
      <c r="E19" s="333">
        <v>0</v>
      </c>
      <c r="F19" s="333">
        <v>0</v>
      </c>
      <c r="G19" s="333">
        <v>0</v>
      </c>
      <c r="H19" s="333">
        <v>0</v>
      </c>
      <c r="I19" s="333">
        <v>0</v>
      </c>
      <c r="J19" s="333"/>
      <c r="K19" s="333"/>
      <c r="L19" s="333"/>
      <c r="M19" s="333"/>
      <c r="N19" s="333"/>
    </row>
    <row r="20" spans="2:14" hidden="1" outlineLevel="1">
      <c r="B20" s="104">
        <f>'RFM input'!F$21</f>
        <v>0</v>
      </c>
      <c r="C20" s="152"/>
      <c r="D20" s="1337">
        <v>0</v>
      </c>
      <c r="E20" s="333">
        <v>0</v>
      </c>
      <c r="F20" s="333">
        <v>0</v>
      </c>
      <c r="G20" s="333">
        <v>0</v>
      </c>
      <c r="H20" s="333">
        <v>0</v>
      </c>
      <c r="I20" s="333">
        <v>0</v>
      </c>
      <c r="J20" s="333"/>
      <c r="K20" s="333"/>
      <c r="L20" s="333"/>
      <c r="M20" s="333"/>
      <c r="N20" s="333"/>
    </row>
    <row r="21" spans="2:14" hidden="1" outlineLevel="1">
      <c r="B21" s="104">
        <f>'RFM input'!F$22</f>
        <v>0</v>
      </c>
      <c r="C21" s="152"/>
      <c r="D21" s="1337">
        <v>0</v>
      </c>
      <c r="E21" s="333">
        <v>0</v>
      </c>
      <c r="F21" s="333">
        <v>0</v>
      </c>
      <c r="G21" s="333">
        <v>0</v>
      </c>
      <c r="H21" s="333">
        <v>0</v>
      </c>
      <c r="I21" s="333">
        <v>0</v>
      </c>
      <c r="J21" s="333"/>
      <c r="K21" s="333"/>
      <c r="L21" s="333"/>
      <c r="M21" s="333"/>
      <c r="N21" s="333"/>
    </row>
    <row r="22" spans="2:14" hidden="1" outlineLevel="1">
      <c r="B22" s="104">
        <f>'RFM input'!F$23</f>
        <v>0</v>
      </c>
      <c r="C22" s="152"/>
      <c r="D22" s="1337">
        <v>0</v>
      </c>
      <c r="E22" s="333">
        <v>0</v>
      </c>
      <c r="F22" s="333">
        <v>0</v>
      </c>
      <c r="G22" s="333">
        <v>0</v>
      </c>
      <c r="H22" s="333">
        <v>0</v>
      </c>
      <c r="I22" s="333">
        <v>0</v>
      </c>
      <c r="J22" s="333"/>
      <c r="K22" s="333"/>
      <c r="L22" s="333"/>
      <c r="M22" s="333"/>
      <c r="N22" s="333"/>
    </row>
    <row r="23" spans="2:14" hidden="1" outlineLevel="1">
      <c r="B23" s="104">
        <f>'RFM input'!F$24</f>
        <v>0</v>
      </c>
      <c r="C23" s="152"/>
      <c r="D23" s="1337">
        <v>0</v>
      </c>
      <c r="E23" s="333">
        <v>0</v>
      </c>
      <c r="F23" s="333">
        <v>0</v>
      </c>
      <c r="G23" s="333">
        <v>0</v>
      </c>
      <c r="H23" s="333">
        <v>0</v>
      </c>
      <c r="I23" s="333">
        <v>0</v>
      </c>
      <c r="J23" s="333"/>
      <c r="K23" s="333"/>
      <c r="L23" s="333"/>
      <c r="M23" s="333"/>
      <c r="N23" s="333"/>
    </row>
    <row r="24" spans="2:14" hidden="1" outlineLevel="1">
      <c r="B24" s="104">
        <f>'RFM input'!F$25</f>
        <v>0</v>
      </c>
      <c r="C24" s="152"/>
      <c r="D24" s="1337">
        <v>0</v>
      </c>
      <c r="E24" s="333">
        <v>0</v>
      </c>
      <c r="F24" s="333">
        <v>0</v>
      </c>
      <c r="G24" s="333">
        <v>0</v>
      </c>
      <c r="H24" s="333">
        <v>0</v>
      </c>
      <c r="I24" s="333">
        <v>0</v>
      </c>
      <c r="J24" s="333"/>
      <c r="K24" s="333"/>
      <c r="L24" s="333"/>
      <c r="M24" s="333"/>
      <c r="N24" s="333"/>
    </row>
    <row r="25" spans="2:14" hidden="1" outlineLevel="1">
      <c r="B25" s="104">
        <f>'RFM input'!F$26</f>
        <v>0</v>
      </c>
      <c r="C25" s="153"/>
      <c r="D25" s="1337">
        <v>0</v>
      </c>
      <c r="E25" s="333">
        <v>0</v>
      </c>
      <c r="F25" s="333">
        <v>0</v>
      </c>
      <c r="G25" s="333">
        <v>0</v>
      </c>
      <c r="H25" s="333">
        <v>0</v>
      </c>
      <c r="I25" s="333">
        <v>0</v>
      </c>
      <c r="J25" s="333"/>
      <c r="K25" s="333"/>
      <c r="L25" s="333"/>
      <c r="M25" s="333"/>
      <c r="N25" s="333"/>
    </row>
    <row r="26" spans="2:14" hidden="1" outlineLevel="1">
      <c r="B26" s="104">
        <f>'RFM input'!F$27</f>
        <v>0</v>
      </c>
      <c r="C26" s="153"/>
      <c r="D26" s="1337">
        <v>0</v>
      </c>
      <c r="E26" s="333">
        <v>0</v>
      </c>
      <c r="F26" s="333">
        <v>0</v>
      </c>
      <c r="G26" s="333">
        <v>0</v>
      </c>
      <c r="H26" s="333">
        <v>0</v>
      </c>
      <c r="I26" s="333">
        <v>0</v>
      </c>
      <c r="J26" s="333"/>
      <c r="K26" s="333"/>
      <c r="L26" s="333"/>
      <c r="M26" s="333"/>
      <c r="N26" s="333"/>
    </row>
    <row r="27" spans="2:14" hidden="1" outlineLevel="1">
      <c r="B27" s="104">
        <f>'RFM input'!F$28</f>
        <v>0</v>
      </c>
      <c r="C27" s="153"/>
      <c r="D27" s="1337">
        <v>0</v>
      </c>
      <c r="E27" s="333">
        <v>0</v>
      </c>
      <c r="F27" s="333">
        <v>0</v>
      </c>
      <c r="G27" s="333">
        <v>0</v>
      </c>
      <c r="H27" s="333">
        <v>0</v>
      </c>
      <c r="I27" s="333">
        <v>0</v>
      </c>
      <c r="J27" s="333"/>
      <c r="K27" s="333"/>
      <c r="L27" s="333"/>
      <c r="M27" s="333"/>
      <c r="N27" s="333"/>
    </row>
    <row r="28" spans="2:14" hidden="1" outlineLevel="1">
      <c r="B28" s="104">
        <f>'RFM input'!F$29</f>
        <v>0</v>
      </c>
      <c r="C28" s="153"/>
      <c r="D28" s="1337">
        <v>0</v>
      </c>
      <c r="E28" s="333">
        <v>0</v>
      </c>
      <c r="F28" s="333">
        <v>0</v>
      </c>
      <c r="G28" s="333">
        <v>0</v>
      </c>
      <c r="H28" s="333">
        <v>0</v>
      </c>
      <c r="I28" s="333">
        <v>0</v>
      </c>
      <c r="J28" s="333"/>
      <c r="K28" s="333"/>
      <c r="L28" s="333"/>
      <c r="M28" s="333"/>
      <c r="N28" s="333"/>
    </row>
    <row r="29" spans="2:14" hidden="1" outlineLevel="1">
      <c r="B29" s="104">
        <f>'RFM input'!F$30</f>
        <v>0</v>
      </c>
      <c r="C29" s="153"/>
      <c r="D29" s="1337">
        <v>0</v>
      </c>
      <c r="E29" s="333">
        <v>0</v>
      </c>
      <c r="F29" s="333">
        <v>0</v>
      </c>
      <c r="G29" s="333">
        <v>0</v>
      </c>
      <c r="H29" s="333">
        <v>0</v>
      </c>
      <c r="I29" s="333">
        <v>0</v>
      </c>
      <c r="J29" s="333"/>
      <c r="K29" s="333"/>
      <c r="L29" s="333"/>
      <c r="M29" s="333"/>
      <c r="N29" s="333"/>
    </row>
    <row r="30" spans="2:14" hidden="1" outlineLevel="1">
      <c r="B30" s="104">
        <f>'RFM input'!F$31</f>
        <v>0</v>
      </c>
      <c r="C30" s="153"/>
      <c r="D30" s="1337">
        <v>0</v>
      </c>
      <c r="E30" s="333">
        <v>0</v>
      </c>
      <c r="F30" s="333">
        <v>0</v>
      </c>
      <c r="G30" s="333">
        <v>0</v>
      </c>
      <c r="H30" s="333">
        <v>0</v>
      </c>
      <c r="I30" s="333">
        <v>0</v>
      </c>
      <c r="J30" s="333"/>
      <c r="K30" s="333"/>
      <c r="L30" s="333"/>
      <c r="M30" s="333"/>
      <c r="N30" s="333"/>
    </row>
    <row r="31" spans="2:14" hidden="1" outlineLevel="1">
      <c r="B31" s="104">
        <f>'RFM input'!F$32</f>
        <v>0</v>
      </c>
      <c r="C31" s="153"/>
      <c r="D31" s="1337">
        <v>0</v>
      </c>
      <c r="E31" s="333">
        <v>0</v>
      </c>
      <c r="F31" s="333">
        <v>0</v>
      </c>
      <c r="G31" s="333">
        <v>0</v>
      </c>
      <c r="H31" s="333">
        <v>0</v>
      </c>
      <c r="I31" s="333">
        <v>0</v>
      </c>
      <c r="J31" s="333"/>
      <c r="K31" s="333"/>
      <c r="L31" s="333"/>
      <c r="M31" s="333"/>
      <c r="N31" s="333"/>
    </row>
    <row r="32" spans="2:14" hidden="1" outlineLevel="1">
      <c r="B32" s="104">
        <f>'RFM input'!F$33</f>
        <v>0</v>
      </c>
      <c r="C32" s="153"/>
      <c r="D32" s="1337">
        <v>0</v>
      </c>
      <c r="E32" s="333">
        <v>0</v>
      </c>
      <c r="F32" s="333">
        <v>0</v>
      </c>
      <c r="G32" s="333">
        <v>0</v>
      </c>
      <c r="H32" s="333">
        <v>0</v>
      </c>
      <c r="I32" s="333">
        <v>0</v>
      </c>
      <c r="J32" s="333"/>
      <c r="K32" s="333"/>
      <c r="L32" s="333"/>
      <c r="M32" s="333"/>
      <c r="N32" s="333"/>
    </row>
    <row r="33" spans="2:14" hidden="1" outlineLevel="1">
      <c r="B33" s="104">
        <f>'RFM input'!F$34</f>
        <v>0</v>
      </c>
      <c r="C33" s="153"/>
      <c r="D33" s="1337">
        <v>0</v>
      </c>
      <c r="E33" s="333">
        <v>0</v>
      </c>
      <c r="F33" s="333">
        <v>0</v>
      </c>
      <c r="G33" s="333">
        <v>0</v>
      </c>
      <c r="H33" s="333">
        <v>0</v>
      </c>
      <c r="I33" s="333">
        <v>0</v>
      </c>
      <c r="J33" s="333"/>
      <c r="K33" s="333"/>
      <c r="L33" s="333"/>
      <c r="M33" s="333"/>
      <c r="N33" s="333"/>
    </row>
    <row r="34" spans="2:14" hidden="1" outlineLevel="1">
      <c r="B34" s="104">
        <f>'RFM input'!F$35</f>
        <v>0</v>
      </c>
      <c r="C34" s="153"/>
      <c r="D34" s="1337">
        <v>0</v>
      </c>
      <c r="E34" s="333">
        <v>0</v>
      </c>
      <c r="F34" s="333">
        <v>0</v>
      </c>
      <c r="G34" s="333">
        <v>0</v>
      </c>
      <c r="H34" s="333">
        <v>0</v>
      </c>
      <c r="I34" s="333">
        <v>0</v>
      </c>
      <c r="J34" s="333"/>
      <c r="K34" s="333"/>
      <c r="L34" s="333"/>
      <c r="M34" s="333"/>
      <c r="N34" s="333"/>
    </row>
    <row r="35" spans="2:14" hidden="1" outlineLevel="1">
      <c r="B35" s="104">
        <f>'RFM input'!F$36</f>
        <v>0</v>
      </c>
      <c r="C35" s="153"/>
      <c r="D35" s="1337">
        <v>0</v>
      </c>
      <c r="E35" s="333">
        <v>0</v>
      </c>
      <c r="F35" s="333">
        <v>0</v>
      </c>
      <c r="G35" s="333">
        <v>0</v>
      </c>
      <c r="H35" s="333">
        <v>0</v>
      </c>
      <c r="I35" s="333">
        <v>0</v>
      </c>
      <c r="J35" s="333"/>
      <c r="K35" s="333"/>
      <c r="L35" s="333"/>
      <c r="M35" s="333"/>
      <c r="N35" s="333"/>
    </row>
    <row r="36" spans="2:14" hidden="1" outlineLevel="1">
      <c r="B36" s="104">
        <f>'RFM input'!F$37</f>
        <v>0</v>
      </c>
      <c r="C36" s="177"/>
      <c r="D36" s="1337">
        <v>0</v>
      </c>
      <c r="E36" s="333">
        <v>0</v>
      </c>
      <c r="F36" s="333">
        <v>0</v>
      </c>
      <c r="G36" s="333">
        <v>0</v>
      </c>
      <c r="H36" s="333">
        <v>0</v>
      </c>
      <c r="I36" s="333">
        <v>0</v>
      </c>
      <c r="J36" s="333"/>
      <c r="K36" s="333"/>
      <c r="L36" s="333"/>
      <c r="M36" s="333"/>
      <c r="N36" s="333"/>
    </row>
    <row r="37" spans="2:14" hidden="1" outlineLevel="1">
      <c r="B37" s="104">
        <f>'RFM input'!F$38</f>
        <v>0</v>
      </c>
      <c r="C37" s="177"/>
      <c r="D37" s="1337">
        <v>0</v>
      </c>
      <c r="E37" s="333">
        <v>0</v>
      </c>
      <c r="F37" s="333">
        <v>0</v>
      </c>
      <c r="G37" s="333">
        <v>0</v>
      </c>
      <c r="H37" s="333">
        <v>0</v>
      </c>
      <c r="I37" s="333">
        <v>0</v>
      </c>
      <c r="J37" s="333"/>
      <c r="K37" s="333"/>
      <c r="L37" s="333"/>
      <c r="M37" s="333"/>
      <c r="N37" s="333"/>
    </row>
    <row r="38" spans="2:14" hidden="1" outlineLevel="1">
      <c r="B38" s="104">
        <f>'RFM input'!F$39</f>
        <v>0</v>
      </c>
      <c r="C38" s="177"/>
      <c r="D38" s="1337">
        <v>0</v>
      </c>
      <c r="E38" s="333">
        <v>0</v>
      </c>
      <c r="F38" s="333">
        <v>0</v>
      </c>
      <c r="G38" s="333">
        <v>0</v>
      </c>
      <c r="H38" s="333">
        <v>0</v>
      </c>
      <c r="I38" s="333">
        <v>0</v>
      </c>
      <c r="J38" s="333"/>
      <c r="K38" s="333"/>
      <c r="L38" s="333"/>
      <c r="M38" s="333"/>
      <c r="N38" s="333"/>
    </row>
    <row r="39" spans="2:14" hidden="1" outlineLevel="1">
      <c r="B39" s="104">
        <f>'RFM input'!F$40</f>
        <v>0</v>
      </c>
      <c r="C39" s="177"/>
      <c r="D39" s="1337">
        <v>0</v>
      </c>
      <c r="E39" s="333">
        <v>0</v>
      </c>
      <c r="F39" s="333">
        <v>0</v>
      </c>
      <c r="G39" s="333">
        <v>0</v>
      </c>
      <c r="H39" s="333">
        <v>0</v>
      </c>
      <c r="I39" s="333">
        <v>0</v>
      </c>
      <c r="J39" s="333"/>
      <c r="K39" s="333"/>
      <c r="L39" s="333"/>
      <c r="M39" s="333"/>
      <c r="N39" s="333"/>
    </row>
    <row r="40" spans="2:14" hidden="1" outlineLevel="1">
      <c r="B40" s="104">
        <f>'RFM input'!F$41</f>
        <v>0</v>
      </c>
      <c r="C40" s="177"/>
      <c r="D40" s="1337">
        <v>0</v>
      </c>
      <c r="E40" s="333">
        <v>0</v>
      </c>
      <c r="F40" s="333">
        <v>0</v>
      </c>
      <c r="G40" s="333">
        <v>0</v>
      </c>
      <c r="H40" s="333">
        <v>0</v>
      </c>
      <c r="I40" s="333">
        <v>0</v>
      </c>
      <c r="J40" s="333"/>
      <c r="K40" s="333"/>
      <c r="L40" s="333"/>
      <c r="M40" s="333"/>
      <c r="N40" s="333"/>
    </row>
    <row r="41" spans="2:14" hidden="1" outlineLevel="1">
      <c r="B41" s="104">
        <f>'RFM input'!F$42</f>
        <v>0</v>
      </c>
      <c r="C41" s="177"/>
      <c r="D41" s="1337">
        <v>0</v>
      </c>
      <c r="E41" s="333">
        <v>0</v>
      </c>
      <c r="F41" s="333">
        <v>0</v>
      </c>
      <c r="G41" s="333">
        <v>0</v>
      </c>
      <c r="H41" s="333">
        <v>0</v>
      </c>
      <c r="I41" s="333">
        <v>0</v>
      </c>
      <c r="J41" s="333"/>
      <c r="K41" s="333"/>
      <c r="L41" s="333"/>
      <c r="M41" s="333"/>
      <c r="N41" s="333"/>
    </row>
    <row r="42" spans="2:14" hidden="1" outlineLevel="1">
      <c r="B42" s="104">
        <f>'RFM input'!F$43</f>
        <v>0</v>
      </c>
      <c r="C42" s="177"/>
      <c r="D42" s="1337">
        <v>0</v>
      </c>
      <c r="E42" s="333">
        <v>0</v>
      </c>
      <c r="F42" s="333">
        <v>0</v>
      </c>
      <c r="G42" s="333">
        <v>0</v>
      </c>
      <c r="H42" s="333">
        <v>0</v>
      </c>
      <c r="I42" s="333">
        <v>0</v>
      </c>
      <c r="J42" s="333"/>
      <c r="K42" s="333"/>
      <c r="L42" s="333"/>
      <c r="M42" s="333"/>
      <c r="N42" s="333"/>
    </row>
    <row r="43" spans="2:14" hidden="1" outlineLevel="1">
      <c r="B43" s="104">
        <f>'RFM input'!F$44</f>
        <v>0</v>
      </c>
      <c r="C43" s="177"/>
      <c r="D43" s="1337">
        <v>0</v>
      </c>
      <c r="E43" s="333">
        <v>0</v>
      </c>
      <c r="F43" s="333">
        <v>0</v>
      </c>
      <c r="G43" s="333">
        <v>0</v>
      </c>
      <c r="H43" s="333">
        <v>0</v>
      </c>
      <c r="I43" s="333">
        <v>0</v>
      </c>
      <c r="J43" s="333"/>
      <c r="K43" s="333"/>
      <c r="L43" s="333"/>
      <c r="M43" s="333"/>
      <c r="N43" s="333"/>
    </row>
    <row r="44" spans="2:14" hidden="1" outlineLevel="1">
      <c r="B44" s="104">
        <f>'RFM input'!F$45</f>
        <v>0</v>
      </c>
      <c r="C44" s="177"/>
      <c r="D44" s="1337">
        <v>0</v>
      </c>
      <c r="E44" s="333">
        <v>0</v>
      </c>
      <c r="F44" s="333">
        <v>0</v>
      </c>
      <c r="G44" s="333">
        <v>0</v>
      </c>
      <c r="H44" s="333">
        <v>0</v>
      </c>
      <c r="I44" s="333">
        <v>0</v>
      </c>
      <c r="J44" s="333"/>
      <c r="K44" s="333"/>
      <c r="L44" s="333"/>
      <c r="M44" s="333"/>
      <c r="N44" s="333"/>
    </row>
    <row r="45" spans="2:14" hidden="1" outlineLevel="1">
      <c r="B45" s="104">
        <f>'RFM input'!F$46</f>
        <v>0</v>
      </c>
      <c r="C45" s="177"/>
      <c r="D45" s="1337">
        <v>0</v>
      </c>
      <c r="E45" s="333">
        <v>0</v>
      </c>
      <c r="F45" s="333">
        <v>0</v>
      </c>
      <c r="G45" s="333">
        <v>0</v>
      </c>
      <c r="H45" s="333">
        <v>0</v>
      </c>
      <c r="I45" s="333">
        <v>0</v>
      </c>
      <c r="J45" s="333"/>
      <c r="K45" s="333"/>
      <c r="L45" s="333"/>
      <c r="M45" s="333"/>
      <c r="N45" s="333"/>
    </row>
    <row r="46" spans="2:14" hidden="1" outlineLevel="1">
      <c r="B46" s="104">
        <f>'RFM input'!F$47</f>
        <v>0</v>
      </c>
      <c r="C46" s="177"/>
      <c r="D46" s="1337">
        <v>0</v>
      </c>
      <c r="E46" s="333">
        <v>0</v>
      </c>
      <c r="F46" s="333">
        <v>0</v>
      </c>
      <c r="G46" s="333">
        <v>0</v>
      </c>
      <c r="H46" s="333">
        <v>0</v>
      </c>
      <c r="I46" s="333">
        <v>0</v>
      </c>
      <c r="J46" s="333"/>
      <c r="K46" s="333"/>
      <c r="L46" s="333"/>
      <c r="M46" s="333"/>
      <c r="N46" s="333"/>
    </row>
    <row r="47" spans="2:14" hidden="1" outlineLevel="1">
      <c r="B47" s="104">
        <f>'RFM input'!F$48</f>
        <v>0</v>
      </c>
      <c r="C47" s="177"/>
      <c r="D47" s="1337">
        <v>0</v>
      </c>
      <c r="E47" s="333">
        <v>0</v>
      </c>
      <c r="F47" s="333">
        <v>0</v>
      </c>
      <c r="G47" s="333">
        <v>0</v>
      </c>
      <c r="H47" s="333">
        <v>0</v>
      </c>
      <c r="I47" s="333">
        <v>0</v>
      </c>
      <c r="J47" s="333"/>
      <c r="K47" s="333"/>
      <c r="L47" s="333"/>
      <c r="M47" s="333"/>
      <c r="N47" s="333"/>
    </row>
    <row r="48" spans="2:14" hidden="1" outlineLevel="1">
      <c r="B48" s="104">
        <f>'RFM input'!F$49</f>
        <v>0</v>
      </c>
      <c r="C48" s="177"/>
      <c r="D48" s="1337">
        <v>0</v>
      </c>
      <c r="E48" s="333">
        <v>0</v>
      </c>
      <c r="F48" s="333">
        <v>0</v>
      </c>
      <c r="G48" s="333">
        <v>0</v>
      </c>
      <c r="H48" s="333">
        <v>0</v>
      </c>
      <c r="I48" s="333">
        <v>0</v>
      </c>
      <c r="J48" s="333"/>
      <c r="K48" s="333"/>
      <c r="L48" s="333"/>
      <c r="M48" s="333"/>
      <c r="N48" s="333"/>
    </row>
    <row r="49" spans="2:14" hidden="1" outlineLevel="1">
      <c r="B49" s="104">
        <f>'RFM input'!F$50</f>
        <v>0</v>
      </c>
      <c r="C49" s="177"/>
      <c r="D49" s="1337">
        <v>0</v>
      </c>
      <c r="E49" s="333">
        <v>0</v>
      </c>
      <c r="F49" s="333">
        <v>0</v>
      </c>
      <c r="G49" s="333">
        <v>0</v>
      </c>
      <c r="H49" s="333">
        <v>0</v>
      </c>
      <c r="I49" s="333">
        <v>0</v>
      </c>
      <c r="J49" s="333"/>
      <c r="K49" s="333"/>
      <c r="L49" s="333"/>
      <c r="M49" s="333"/>
      <c r="N49" s="333"/>
    </row>
    <row r="50" spans="2:14" hidden="1" outlineLevel="1">
      <c r="B50" s="104">
        <f>'RFM input'!F$51</f>
        <v>0</v>
      </c>
      <c r="C50" s="177"/>
      <c r="D50" s="1337">
        <v>0</v>
      </c>
      <c r="E50" s="333">
        <v>0</v>
      </c>
      <c r="F50" s="333">
        <v>0</v>
      </c>
      <c r="G50" s="333">
        <v>0</v>
      </c>
      <c r="H50" s="333">
        <v>0</v>
      </c>
      <c r="I50" s="333">
        <v>0</v>
      </c>
      <c r="J50" s="333"/>
      <c r="K50" s="333"/>
      <c r="L50" s="333"/>
      <c r="M50" s="333"/>
      <c r="N50" s="333"/>
    </row>
    <row r="51" spans="2:14" hidden="1" outlineLevel="1">
      <c r="B51" s="104">
        <f>'RFM input'!F$52</f>
        <v>0</v>
      </c>
      <c r="C51" s="177"/>
      <c r="D51" s="1337">
        <v>0</v>
      </c>
      <c r="E51" s="333">
        <v>0</v>
      </c>
      <c r="F51" s="333">
        <v>0</v>
      </c>
      <c r="G51" s="333">
        <v>0</v>
      </c>
      <c r="H51" s="333">
        <v>0</v>
      </c>
      <c r="I51" s="333">
        <v>0</v>
      </c>
      <c r="J51" s="333"/>
      <c r="K51" s="333"/>
      <c r="L51" s="333"/>
      <c r="M51" s="333"/>
      <c r="N51" s="333"/>
    </row>
    <row r="52" spans="2:14" hidden="1" outlineLevel="1">
      <c r="B52" s="104">
        <f>'RFM input'!F$53</f>
        <v>0</v>
      </c>
      <c r="C52" s="177"/>
      <c r="D52" s="1337">
        <v>0</v>
      </c>
      <c r="E52" s="333">
        <v>0</v>
      </c>
      <c r="F52" s="333">
        <v>0</v>
      </c>
      <c r="G52" s="333">
        <v>0</v>
      </c>
      <c r="H52" s="333">
        <v>0</v>
      </c>
      <c r="I52" s="333">
        <v>0</v>
      </c>
      <c r="J52" s="333"/>
      <c r="K52" s="333"/>
      <c r="L52" s="333"/>
      <c r="M52" s="333"/>
      <c r="N52" s="333"/>
    </row>
    <row r="53" spans="2:14" hidden="1" outlineLevel="1">
      <c r="B53" s="104">
        <f>'RFM input'!F$54</f>
        <v>0</v>
      </c>
      <c r="C53" s="177"/>
      <c r="D53" s="1337">
        <v>5</v>
      </c>
      <c r="E53" s="333">
        <v>5.25</v>
      </c>
      <c r="F53" s="333">
        <v>5</v>
      </c>
      <c r="G53" s="333">
        <v>5</v>
      </c>
      <c r="H53" s="333">
        <v>6</v>
      </c>
      <c r="I53" s="333">
        <v>5</v>
      </c>
      <c r="J53" s="333"/>
      <c r="K53" s="333"/>
      <c r="L53" s="333"/>
      <c r="M53" s="333"/>
      <c r="N53" s="333"/>
    </row>
    <row r="54" spans="2:14" hidden="1" outlineLevel="1">
      <c r="B54" s="104">
        <f>'RFM input'!F$55</f>
        <v>0</v>
      </c>
      <c r="C54" s="177"/>
      <c r="D54" s="1337">
        <v>4</v>
      </c>
      <c r="E54" s="333">
        <v>4</v>
      </c>
      <c r="F54" s="333">
        <v>4</v>
      </c>
      <c r="G54" s="333">
        <v>4</v>
      </c>
      <c r="H54" s="333">
        <v>4</v>
      </c>
      <c r="I54" s="333">
        <v>4</v>
      </c>
      <c r="J54" s="333"/>
      <c r="K54" s="333"/>
      <c r="L54" s="333"/>
      <c r="M54" s="333"/>
      <c r="N54" s="333"/>
    </row>
    <row r="55" spans="2:14" hidden="1" outlineLevel="1">
      <c r="B55" s="104">
        <f>'RFM input'!F$56</f>
        <v>0</v>
      </c>
      <c r="C55" s="177"/>
      <c r="D55" s="1337">
        <v>0</v>
      </c>
      <c r="E55" s="333">
        <v>0</v>
      </c>
      <c r="F55" s="333">
        <v>0</v>
      </c>
      <c r="G55" s="333">
        <v>0</v>
      </c>
      <c r="H55" s="333">
        <v>0</v>
      </c>
      <c r="I55" s="333">
        <v>0</v>
      </c>
      <c r="J55" s="333"/>
      <c r="K55" s="333"/>
      <c r="L55" s="333"/>
      <c r="M55" s="333"/>
      <c r="N55" s="333"/>
    </row>
    <row r="56" spans="2:14" collapsed="1">
      <c r="B56" s="104" t="s">
        <v>18</v>
      </c>
      <c r="C56" s="152"/>
      <c r="D56" s="150">
        <f>SUM(D6:D55)</f>
        <v>125.5</v>
      </c>
      <c r="E56" s="150">
        <f t="shared" ref="E56:N56" si="0">SUM(E6:E55)</f>
        <v>134.75</v>
      </c>
      <c r="F56" s="150">
        <f t="shared" si="0"/>
        <v>85</v>
      </c>
      <c r="G56" s="150">
        <f t="shared" si="0"/>
        <v>121.25</v>
      </c>
      <c r="H56" s="150">
        <f t="shared" si="0"/>
        <v>87</v>
      </c>
      <c r="I56" s="150">
        <f>SUM(I6:I55)</f>
        <v>98</v>
      </c>
      <c r="J56" s="150">
        <f t="shared" si="0"/>
        <v>0</v>
      </c>
      <c r="K56" s="150">
        <f t="shared" si="0"/>
        <v>0</v>
      </c>
      <c r="L56" s="150">
        <f t="shared" si="0"/>
        <v>0</v>
      </c>
      <c r="M56" s="150">
        <f t="shared" si="0"/>
        <v>0</v>
      </c>
      <c r="N56" s="150">
        <f t="shared" si="0"/>
        <v>0</v>
      </c>
    </row>
    <row r="59" spans="2:14" ht="15.75">
      <c r="B59" s="1581" t="s">
        <v>600</v>
      </c>
      <c r="C59" s="1581"/>
      <c r="D59" s="1581"/>
      <c r="E59" s="1600"/>
      <c r="F59" s="1600"/>
      <c r="G59" s="1600"/>
      <c r="H59" s="51"/>
      <c r="I59" s="51"/>
      <c r="J59" s="49"/>
      <c r="K59" s="49"/>
      <c r="L59" s="49"/>
      <c r="M59" s="49"/>
      <c r="N59" s="49"/>
    </row>
    <row r="60" spans="2:14">
      <c r="B60" s="24" t="s">
        <v>2</v>
      </c>
      <c r="C60" s="152"/>
      <c r="D60" s="188" t="s">
        <v>365</v>
      </c>
      <c r="E60" s="188" t="s">
        <v>366</v>
      </c>
      <c r="F60" s="188" t="s">
        <v>454</v>
      </c>
      <c r="G60" s="188" t="s">
        <v>455</v>
      </c>
      <c r="H60" s="188" t="s">
        <v>456</v>
      </c>
      <c r="I60" s="188" t="s">
        <v>498</v>
      </c>
      <c r="J60" s="188" t="s">
        <v>499</v>
      </c>
      <c r="K60" s="188" t="s">
        <v>500</v>
      </c>
      <c r="L60" s="188" t="s">
        <v>501</v>
      </c>
      <c r="M60" s="188" t="s">
        <v>502</v>
      </c>
      <c r="N60" s="188" t="s">
        <v>503</v>
      </c>
    </row>
    <row r="61" spans="2:14" hidden="1" outlineLevel="1">
      <c r="B61" s="104" t="str">
        <f>'RFM input'!F$7</f>
        <v>Mains</v>
      </c>
      <c r="C61" s="152"/>
      <c r="D61" s="1335">
        <v>-1</v>
      </c>
      <c r="E61" s="342">
        <v>-1</v>
      </c>
      <c r="F61" s="342">
        <v>-2</v>
      </c>
      <c r="G61" s="342">
        <v>-1</v>
      </c>
      <c r="H61" s="342">
        <v>-1</v>
      </c>
      <c r="I61" s="342">
        <v>-1</v>
      </c>
      <c r="J61" s="342"/>
      <c r="K61" s="342"/>
      <c r="L61" s="342"/>
      <c r="M61" s="342"/>
      <c r="N61" s="342"/>
    </row>
    <row r="62" spans="2:14" hidden="1" outlineLevel="1">
      <c r="B62" s="104" t="str">
        <f>'RFM input'!F$8</f>
        <v>Inlets</v>
      </c>
      <c r="C62" s="152"/>
      <c r="D62" s="1336">
        <v>-1</v>
      </c>
      <c r="E62" s="333">
        <v>-1</v>
      </c>
      <c r="F62" s="333">
        <v>-1</v>
      </c>
      <c r="G62" s="333">
        <v>-1.25</v>
      </c>
      <c r="H62" s="333">
        <v>-1</v>
      </c>
      <c r="I62" s="333">
        <v>-1</v>
      </c>
      <c r="J62" s="333"/>
      <c r="K62" s="333"/>
      <c r="L62" s="333"/>
      <c r="M62" s="333"/>
      <c r="N62" s="333"/>
    </row>
    <row r="63" spans="2:14" hidden="1" outlineLevel="1">
      <c r="B63" s="104" t="str">
        <f>'RFM input'!F$9</f>
        <v>Meters</v>
      </c>
      <c r="C63" s="152"/>
      <c r="D63" s="1336">
        <v>-1</v>
      </c>
      <c r="E63" s="333">
        <v>-2</v>
      </c>
      <c r="F63" s="333">
        <v>-1</v>
      </c>
      <c r="G63" s="333">
        <v>-1</v>
      </c>
      <c r="H63" s="333">
        <v>-1</v>
      </c>
      <c r="I63" s="333">
        <v>-1</v>
      </c>
      <c r="J63" s="333"/>
      <c r="K63" s="333"/>
      <c r="L63" s="333"/>
      <c r="M63" s="333"/>
      <c r="N63" s="333"/>
    </row>
    <row r="64" spans="2:14" hidden="1" outlineLevel="1">
      <c r="B64" s="104" t="str">
        <f>'RFM input'!F$10</f>
        <v>Telemetry</v>
      </c>
      <c r="C64" s="152"/>
      <c r="D64" s="1337">
        <v>-1.25</v>
      </c>
      <c r="E64" s="333">
        <v>-1</v>
      </c>
      <c r="F64" s="333">
        <v>-1</v>
      </c>
      <c r="G64" s="333">
        <v>-2</v>
      </c>
      <c r="H64" s="333">
        <v>-1</v>
      </c>
      <c r="I64" s="333">
        <v>-1</v>
      </c>
      <c r="J64" s="333"/>
      <c r="K64" s="333"/>
      <c r="L64" s="333"/>
      <c r="M64" s="333"/>
      <c r="N64" s="333"/>
    </row>
    <row r="65" spans="2:14" hidden="1" outlineLevel="1">
      <c r="B65" s="104" t="str">
        <f>'RFM input'!F$11</f>
        <v>IT System</v>
      </c>
      <c r="C65" s="152"/>
      <c r="D65" s="1337">
        <v>-1.25</v>
      </c>
      <c r="E65" s="333">
        <v>-2</v>
      </c>
      <c r="F65" s="333">
        <v>-1</v>
      </c>
      <c r="G65" s="333">
        <v>-1</v>
      </c>
      <c r="H65" s="333">
        <v>-1</v>
      </c>
      <c r="I65" s="333">
        <v>-1</v>
      </c>
      <c r="J65" s="333"/>
      <c r="K65" s="333"/>
      <c r="L65" s="333"/>
      <c r="M65" s="333"/>
      <c r="N65" s="333"/>
    </row>
    <row r="66" spans="2:14" hidden="1" outlineLevel="1">
      <c r="B66" s="104" t="str">
        <f>'RFM input'!F$12</f>
        <v>Other Distribution System Equipment</v>
      </c>
      <c r="C66" s="152"/>
      <c r="D66" s="1337">
        <v>-1</v>
      </c>
      <c r="E66" s="333">
        <v>-1.25</v>
      </c>
      <c r="F66" s="333">
        <v>-1</v>
      </c>
      <c r="G66" s="333">
        <v>-1</v>
      </c>
      <c r="H66" s="333">
        <v>-1</v>
      </c>
      <c r="I66" s="333">
        <v>-2</v>
      </c>
      <c r="J66" s="333"/>
      <c r="K66" s="333"/>
      <c r="L66" s="333"/>
      <c r="M66" s="333"/>
      <c r="N66" s="333"/>
    </row>
    <row r="67" spans="2:14" hidden="1" outlineLevel="1">
      <c r="B67" s="104" t="str">
        <f>'RFM input'!F$13</f>
        <v>Other</v>
      </c>
      <c r="C67" s="152"/>
      <c r="D67" s="1337">
        <v>-1</v>
      </c>
      <c r="E67" s="333">
        <v>-1.25</v>
      </c>
      <c r="F67" s="333">
        <v>-1</v>
      </c>
      <c r="G67" s="333">
        <v>-1</v>
      </c>
      <c r="H67" s="333">
        <v>-2</v>
      </c>
      <c r="I67" s="333">
        <v>-1</v>
      </c>
      <c r="J67" s="333"/>
      <c r="K67" s="333"/>
      <c r="L67" s="333"/>
      <c r="M67" s="333"/>
      <c r="N67" s="333"/>
    </row>
    <row r="68" spans="2:14" hidden="1" outlineLevel="1">
      <c r="B68" s="104">
        <f>'RFM input'!F$14</f>
        <v>0</v>
      </c>
      <c r="C68" s="152"/>
      <c r="D68" s="1337">
        <v>-1</v>
      </c>
      <c r="E68" s="333">
        <v>-1</v>
      </c>
      <c r="F68" s="333">
        <v>-1</v>
      </c>
      <c r="G68" s="333">
        <v>-1</v>
      </c>
      <c r="H68" s="333">
        <v>-1</v>
      </c>
      <c r="I68" s="333">
        <v>-1</v>
      </c>
      <c r="J68" s="333"/>
      <c r="K68" s="333"/>
      <c r="L68" s="333"/>
      <c r="M68" s="333"/>
      <c r="N68" s="333"/>
    </row>
    <row r="69" spans="2:14" hidden="1" outlineLevel="1">
      <c r="B69" s="104">
        <f>'RFM input'!F$15</f>
        <v>0</v>
      </c>
      <c r="C69" s="152"/>
      <c r="D69" s="1337"/>
      <c r="E69" s="333"/>
      <c r="F69" s="333"/>
      <c r="G69" s="333"/>
      <c r="H69" s="333"/>
      <c r="I69" s="333"/>
      <c r="J69" s="333"/>
      <c r="K69" s="333"/>
      <c r="L69" s="333"/>
      <c r="M69" s="333"/>
      <c r="N69" s="333"/>
    </row>
    <row r="70" spans="2:14" hidden="1" outlineLevel="1">
      <c r="B70" s="104">
        <f>'RFM input'!F$16</f>
        <v>0</v>
      </c>
      <c r="C70" s="152"/>
      <c r="D70" s="1337"/>
      <c r="E70" s="333"/>
      <c r="F70" s="333"/>
      <c r="G70" s="333"/>
      <c r="H70" s="333"/>
      <c r="I70" s="333"/>
      <c r="J70" s="333"/>
      <c r="K70" s="333"/>
      <c r="L70" s="333"/>
      <c r="M70" s="333"/>
      <c r="N70" s="333"/>
    </row>
    <row r="71" spans="2:14" hidden="1" outlineLevel="1">
      <c r="B71" s="104">
        <f>'RFM input'!F$17</f>
        <v>0</v>
      </c>
      <c r="C71" s="152"/>
      <c r="D71" s="1337"/>
      <c r="E71" s="333"/>
      <c r="F71" s="333"/>
      <c r="G71" s="333"/>
      <c r="H71" s="333"/>
      <c r="I71" s="333"/>
      <c r="J71" s="333"/>
      <c r="K71" s="333"/>
      <c r="L71" s="333"/>
      <c r="M71" s="333"/>
      <c r="N71" s="333"/>
    </row>
    <row r="72" spans="2:14" hidden="1" outlineLevel="1">
      <c r="B72" s="104">
        <f>'RFM input'!F$18</f>
        <v>0</v>
      </c>
      <c r="C72" s="152"/>
      <c r="D72" s="1337"/>
      <c r="E72" s="333"/>
      <c r="F72" s="333"/>
      <c r="G72" s="333"/>
      <c r="H72" s="333"/>
      <c r="I72" s="333"/>
      <c r="J72" s="333"/>
      <c r="K72" s="333"/>
      <c r="L72" s="333"/>
      <c r="M72" s="333"/>
      <c r="N72" s="333"/>
    </row>
    <row r="73" spans="2:14" hidden="1" outlineLevel="1">
      <c r="B73" s="104">
        <f>'RFM input'!F$19</f>
        <v>0</v>
      </c>
      <c r="C73" s="152"/>
      <c r="D73" s="1337"/>
      <c r="E73" s="333"/>
      <c r="F73" s="333"/>
      <c r="G73" s="333"/>
      <c r="H73" s="333"/>
      <c r="I73" s="333"/>
      <c r="J73" s="333"/>
      <c r="K73" s="333"/>
      <c r="L73" s="333"/>
      <c r="M73" s="333"/>
      <c r="N73" s="333"/>
    </row>
    <row r="74" spans="2:14" hidden="1" outlineLevel="1">
      <c r="B74" s="104">
        <f>'RFM input'!F$20</f>
        <v>0</v>
      </c>
      <c r="C74" s="152"/>
      <c r="D74" s="1337"/>
      <c r="E74" s="333"/>
      <c r="F74" s="333"/>
      <c r="G74" s="333"/>
      <c r="H74" s="333"/>
      <c r="I74" s="333"/>
      <c r="J74" s="333"/>
      <c r="K74" s="333"/>
      <c r="L74" s="333"/>
      <c r="M74" s="333"/>
      <c r="N74" s="333"/>
    </row>
    <row r="75" spans="2:14" hidden="1" outlineLevel="1">
      <c r="B75" s="104">
        <f>'RFM input'!F$21</f>
        <v>0</v>
      </c>
      <c r="C75" s="152"/>
      <c r="D75" s="1337"/>
      <c r="E75" s="333"/>
      <c r="F75" s="333"/>
      <c r="G75" s="333"/>
      <c r="H75" s="333"/>
      <c r="I75" s="333"/>
      <c r="J75" s="333"/>
      <c r="K75" s="333"/>
      <c r="L75" s="333"/>
      <c r="M75" s="333"/>
      <c r="N75" s="333"/>
    </row>
    <row r="76" spans="2:14" hidden="1" outlineLevel="1">
      <c r="B76" s="104">
        <f>'RFM input'!F$22</f>
        <v>0</v>
      </c>
      <c r="C76" s="152"/>
      <c r="D76" s="1337"/>
      <c r="E76" s="333"/>
      <c r="F76" s="333"/>
      <c r="G76" s="333"/>
      <c r="H76" s="333"/>
      <c r="I76" s="333"/>
      <c r="J76" s="333"/>
      <c r="K76" s="333"/>
      <c r="L76" s="333"/>
      <c r="M76" s="333"/>
      <c r="N76" s="333"/>
    </row>
    <row r="77" spans="2:14" hidden="1" outlineLevel="1">
      <c r="B77" s="104">
        <f>'RFM input'!F$23</f>
        <v>0</v>
      </c>
      <c r="C77" s="152"/>
      <c r="D77" s="1337"/>
      <c r="E77" s="333"/>
      <c r="F77" s="333"/>
      <c r="G77" s="333"/>
      <c r="H77" s="333"/>
      <c r="I77" s="333"/>
      <c r="J77" s="333"/>
      <c r="K77" s="333"/>
      <c r="L77" s="333"/>
      <c r="M77" s="333"/>
      <c r="N77" s="333"/>
    </row>
    <row r="78" spans="2:14" hidden="1" outlineLevel="1">
      <c r="B78" s="104">
        <f>'RFM input'!F$24</f>
        <v>0</v>
      </c>
      <c r="C78" s="152"/>
      <c r="D78" s="1337"/>
      <c r="E78" s="333"/>
      <c r="F78" s="333"/>
      <c r="G78" s="333"/>
      <c r="H78" s="333"/>
      <c r="I78" s="333"/>
      <c r="J78" s="333"/>
      <c r="K78" s="333"/>
      <c r="L78" s="333"/>
      <c r="M78" s="333"/>
      <c r="N78" s="333"/>
    </row>
    <row r="79" spans="2:14" hidden="1" outlineLevel="1">
      <c r="B79" s="104">
        <f>'RFM input'!F$25</f>
        <v>0</v>
      </c>
      <c r="C79" s="152"/>
      <c r="D79" s="1337"/>
      <c r="E79" s="333"/>
      <c r="F79" s="333"/>
      <c r="G79" s="333"/>
      <c r="H79" s="333"/>
      <c r="I79" s="333"/>
      <c r="J79" s="333"/>
      <c r="K79" s="333"/>
      <c r="L79" s="333"/>
      <c r="M79" s="333"/>
      <c r="N79" s="333"/>
    </row>
    <row r="80" spans="2:14" hidden="1" outlineLevel="1">
      <c r="B80" s="104">
        <f>'RFM input'!F$26</f>
        <v>0</v>
      </c>
      <c r="C80" s="153"/>
      <c r="D80" s="1337"/>
      <c r="E80" s="333"/>
      <c r="F80" s="333"/>
      <c r="G80" s="333"/>
      <c r="H80" s="333"/>
      <c r="I80" s="333"/>
      <c r="J80" s="333"/>
      <c r="K80" s="333"/>
      <c r="L80" s="333"/>
      <c r="M80" s="333"/>
      <c r="N80" s="333"/>
    </row>
    <row r="81" spans="2:14" hidden="1" outlineLevel="1">
      <c r="B81" s="104">
        <f>'RFM input'!F$27</f>
        <v>0</v>
      </c>
      <c r="C81" s="153"/>
      <c r="D81" s="1337"/>
      <c r="E81" s="333"/>
      <c r="F81" s="333"/>
      <c r="G81" s="333"/>
      <c r="H81" s="333"/>
      <c r="I81" s="333"/>
      <c r="J81" s="333"/>
      <c r="K81" s="333"/>
      <c r="L81" s="333"/>
      <c r="M81" s="333"/>
      <c r="N81" s="333"/>
    </row>
    <row r="82" spans="2:14" hidden="1" outlineLevel="1">
      <c r="B82" s="104">
        <f>'RFM input'!F$28</f>
        <v>0</v>
      </c>
      <c r="C82" s="153"/>
      <c r="D82" s="1337"/>
      <c r="E82" s="333"/>
      <c r="F82" s="333"/>
      <c r="G82" s="333"/>
      <c r="H82" s="333"/>
      <c r="I82" s="333"/>
      <c r="J82" s="333"/>
      <c r="K82" s="333"/>
      <c r="L82" s="333"/>
      <c r="M82" s="333"/>
      <c r="N82" s="333"/>
    </row>
    <row r="83" spans="2:14" hidden="1" outlineLevel="1">
      <c r="B83" s="104">
        <f>'RFM input'!F$29</f>
        <v>0</v>
      </c>
      <c r="C83" s="153"/>
      <c r="D83" s="1337"/>
      <c r="E83" s="333"/>
      <c r="F83" s="333"/>
      <c r="G83" s="333"/>
      <c r="H83" s="333"/>
      <c r="I83" s="333"/>
      <c r="J83" s="333"/>
      <c r="K83" s="333"/>
      <c r="L83" s="333"/>
      <c r="M83" s="333"/>
      <c r="N83" s="333"/>
    </row>
    <row r="84" spans="2:14" hidden="1" outlineLevel="1">
      <c r="B84" s="104">
        <f>'RFM input'!F$30</f>
        <v>0</v>
      </c>
      <c r="C84" s="153"/>
      <c r="D84" s="1337"/>
      <c r="E84" s="333"/>
      <c r="F84" s="333"/>
      <c r="G84" s="333"/>
      <c r="H84" s="333"/>
      <c r="I84" s="333"/>
      <c r="J84" s="333"/>
      <c r="K84" s="333"/>
      <c r="L84" s="333"/>
      <c r="M84" s="333"/>
      <c r="N84" s="333"/>
    </row>
    <row r="85" spans="2:14" hidden="1" outlineLevel="1">
      <c r="B85" s="104">
        <f>'RFM input'!F$31</f>
        <v>0</v>
      </c>
      <c r="C85" s="153"/>
      <c r="D85" s="1337"/>
      <c r="E85" s="333"/>
      <c r="F85" s="333"/>
      <c r="G85" s="333"/>
      <c r="H85" s="333"/>
      <c r="I85" s="333"/>
      <c r="J85" s="333"/>
      <c r="K85" s="333"/>
      <c r="L85" s="333"/>
      <c r="M85" s="333"/>
      <c r="N85" s="333"/>
    </row>
    <row r="86" spans="2:14" hidden="1" outlineLevel="1">
      <c r="B86" s="104">
        <f>'RFM input'!F$32</f>
        <v>0</v>
      </c>
      <c r="C86" s="153"/>
      <c r="D86" s="1337"/>
      <c r="E86" s="333"/>
      <c r="F86" s="333"/>
      <c r="G86" s="333"/>
      <c r="H86" s="333"/>
      <c r="I86" s="333"/>
      <c r="J86" s="333"/>
      <c r="K86" s="333"/>
      <c r="L86" s="333"/>
      <c r="M86" s="333"/>
      <c r="N86" s="333"/>
    </row>
    <row r="87" spans="2:14" hidden="1" outlineLevel="1">
      <c r="B87" s="104">
        <f>'RFM input'!F$33</f>
        <v>0</v>
      </c>
      <c r="C87" s="153"/>
      <c r="D87" s="1337"/>
      <c r="E87" s="333"/>
      <c r="F87" s="333"/>
      <c r="G87" s="333"/>
      <c r="H87" s="333"/>
      <c r="I87" s="333"/>
      <c r="J87" s="333"/>
      <c r="K87" s="333"/>
      <c r="L87" s="333"/>
      <c r="M87" s="333"/>
      <c r="N87" s="333"/>
    </row>
    <row r="88" spans="2:14" hidden="1" outlineLevel="1">
      <c r="B88" s="104">
        <f>'RFM input'!F$34</f>
        <v>0</v>
      </c>
      <c r="C88" s="153"/>
      <c r="D88" s="1337"/>
      <c r="E88" s="333"/>
      <c r="F88" s="333"/>
      <c r="G88" s="333"/>
      <c r="H88" s="333"/>
      <c r="I88" s="333"/>
      <c r="J88" s="333"/>
      <c r="K88" s="333"/>
      <c r="L88" s="333"/>
      <c r="M88" s="333"/>
      <c r="N88" s="333"/>
    </row>
    <row r="89" spans="2:14" hidden="1" outlineLevel="1">
      <c r="B89" s="104">
        <f>'RFM input'!F$35</f>
        <v>0</v>
      </c>
      <c r="C89" s="153"/>
      <c r="D89" s="1337"/>
      <c r="E89" s="333"/>
      <c r="F89" s="333"/>
      <c r="G89" s="333"/>
      <c r="H89" s="333"/>
      <c r="I89" s="333"/>
      <c r="J89" s="333"/>
      <c r="K89" s="333"/>
      <c r="L89" s="333"/>
      <c r="M89" s="333"/>
      <c r="N89" s="333"/>
    </row>
    <row r="90" spans="2:14" hidden="1" outlineLevel="1">
      <c r="B90" s="104">
        <f>'RFM input'!F$36</f>
        <v>0</v>
      </c>
      <c r="C90" s="153"/>
      <c r="D90" s="1337"/>
      <c r="E90" s="333"/>
      <c r="F90" s="333"/>
      <c r="G90" s="333"/>
      <c r="H90" s="333"/>
      <c r="I90" s="333"/>
      <c r="J90" s="333"/>
      <c r="K90" s="333"/>
      <c r="L90" s="333"/>
      <c r="M90" s="333"/>
      <c r="N90" s="333"/>
    </row>
    <row r="91" spans="2:14" hidden="1" outlineLevel="1">
      <c r="B91" s="104">
        <f>'RFM input'!F$37</f>
        <v>0</v>
      </c>
      <c r="C91" s="177"/>
      <c r="D91" s="1337"/>
      <c r="E91" s="333"/>
      <c r="F91" s="333"/>
      <c r="G91" s="333"/>
      <c r="H91" s="333"/>
      <c r="I91" s="333"/>
      <c r="J91" s="333"/>
      <c r="K91" s="333"/>
      <c r="L91" s="333"/>
      <c r="M91" s="333"/>
      <c r="N91" s="333"/>
    </row>
    <row r="92" spans="2:14" hidden="1" outlineLevel="1">
      <c r="B92" s="104">
        <f>'RFM input'!F$38</f>
        <v>0</v>
      </c>
      <c r="C92" s="177"/>
      <c r="D92" s="1337"/>
      <c r="E92" s="333"/>
      <c r="F92" s="333"/>
      <c r="G92" s="333"/>
      <c r="H92" s="333"/>
      <c r="I92" s="333"/>
      <c r="J92" s="333"/>
      <c r="K92" s="333"/>
      <c r="L92" s="333"/>
      <c r="M92" s="333"/>
      <c r="N92" s="333"/>
    </row>
    <row r="93" spans="2:14" hidden="1" outlineLevel="1">
      <c r="B93" s="104">
        <f>'RFM input'!F$39</f>
        <v>0</v>
      </c>
      <c r="C93" s="177"/>
      <c r="D93" s="1337"/>
      <c r="E93" s="333"/>
      <c r="F93" s="333"/>
      <c r="G93" s="333"/>
      <c r="H93" s="333"/>
      <c r="I93" s="333"/>
      <c r="J93" s="333"/>
      <c r="K93" s="333"/>
      <c r="L93" s="333"/>
      <c r="M93" s="333"/>
      <c r="N93" s="333"/>
    </row>
    <row r="94" spans="2:14" hidden="1" outlineLevel="1">
      <c r="B94" s="104">
        <f>'RFM input'!F$40</f>
        <v>0</v>
      </c>
      <c r="C94" s="177"/>
      <c r="D94" s="1337"/>
      <c r="E94" s="333"/>
      <c r="F94" s="333"/>
      <c r="G94" s="333"/>
      <c r="H94" s="333"/>
      <c r="I94" s="333"/>
      <c r="J94" s="333"/>
      <c r="K94" s="333"/>
      <c r="L94" s="333"/>
      <c r="M94" s="333"/>
      <c r="N94" s="333"/>
    </row>
    <row r="95" spans="2:14" hidden="1" outlineLevel="1">
      <c r="B95" s="104">
        <f>'RFM input'!F$41</f>
        <v>0</v>
      </c>
      <c r="C95" s="177"/>
      <c r="D95" s="1337"/>
      <c r="E95" s="333"/>
      <c r="F95" s="333"/>
      <c r="G95" s="333"/>
      <c r="H95" s="333"/>
      <c r="I95" s="333"/>
      <c r="J95" s="333"/>
      <c r="K95" s="333"/>
      <c r="L95" s="333"/>
      <c r="M95" s="333"/>
      <c r="N95" s="333"/>
    </row>
    <row r="96" spans="2:14" hidden="1" outlineLevel="1">
      <c r="B96" s="104">
        <f>'RFM input'!F$42</f>
        <v>0</v>
      </c>
      <c r="C96" s="177"/>
      <c r="D96" s="1337"/>
      <c r="E96" s="333"/>
      <c r="F96" s="333"/>
      <c r="G96" s="333"/>
      <c r="H96" s="333"/>
      <c r="I96" s="333"/>
      <c r="J96" s="333"/>
      <c r="K96" s="333"/>
      <c r="L96" s="333"/>
      <c r="M96" s="333"/>
      <c r="N96" s="333"/>
    </row>
    <row r="97" spans="2:14" hidden="1" outlineLevel="1">
      <c r="B97" s="104">
        <f>'RFM input'!F$43</f>
        <v>0</v>
      </c>
      <c r="C97" s="177"/>
      <c r="D97" s="1337"/>
      <c r="E97" s="333"/>
      <c r="F97" s="333"/>
      <c r="G97" s="333"/>
      <c r="H97" s="333"/>
      <c r="I97" s="333"/>
      <c r="J97" s="333"/>
      <c r="K97" s="333"/>
      <c r="L97" s="333"/>
      <c r="M97" s="333"/>
      <c r="N97" s="333"/>
    </row>
    <row r="98" spans="2:14" hidden="1" outlineLevel="1">
      <c r="B98" s="104">
        <f>'RFM input'!F$44</f>
        <v>0</v>
      </c>
      <c r="C98" s="177"/>
      <c r="D98" s="1337"/>
      <c r="E98" s="333"/>
      <c r="F98" s="333"/>
      <c r="G98" s="333"/>
      <c r="H98" s="333"/>
      <c r="I98" s="333"/>
      <c r="J98" s="333"/>
      <c r="K98" s="333"/>
      <c r="L98" s="333"/>
      <c r="M98" s="333"/>
      <c r="N98" s="333"/>
    </row>
    <row r="99" spans="2:14" hidden="1" outlineLevel="1">
      <c r="B99" s="104">
        <f>'RFM input'!F$45</f>
        <v>0</v>
      </c>
      <c r="C99" s="177"/>
      <c r="D99" s="1337"/>
      <c r="E99" s="333"/>
      <c r="F99" s="333"/>
      <c r="G99" s="333"/>
      <c r="H99" s="333"/>
      <c r="I99" s="333"/>
      <c r="J99" s="333"/>
      <c r="K99" s="333"/>
      <c r="L99" s="333"/>
      <c r="M99" s="333"/>
      <c r="N99" s="333"/>
    </row>
    <row r="100" spans="2:14" hidden="1" outlineLevel="1">
      <c r="B100" s="104">
        <f>'RFM input'!F$46</f>
        <v>0</v>
      </c>
      <c r="C100" s="177"/>
      <c r="D100" s="1337"/>
      <c r="E100" s="333"/>
      <c r="F100" s="333"/>
      <c r="G100" s="333"/>
      <c r="H100" s="333"/>
      <c r="I100" s="333"/>
      <c r="J100" s="333"/>
      <c r="K100" s="333"/>
      <c r="L100" s="333"/>
      <c r="M100" s="333"/>
      <c r="N100" s="333"/>
    </row>
    <row r="101" spans="2:14" hidden="1" outlineLevel="1">
      <c r="B101" s="104">
        <f>'RFM input'!F$47</f>
        <v>0</v>
      </c>
      <c r="C101" s="177"/>
      <c r="D101" s="1337"/>
      <c r="E101" s="333"/>
      <c r="F101" s="333"/>
      <c r="G101" s="333"/>
      <c r="H101" s="333"/>
      <c r="I101" s="333"/>
      <c r="J101" s="333"/>
      <c r="K101" s="333"/>
      <c r="L101" s="333"/>
      <c r="M101" s="333"/>
      <c r="N101" s="333"/>
    </row>
    <row r="102" spans="2:14" hidden="1" outlineLevel="1">
      <c r="B102" s="104">
        <f>'RFM input'!F$48</f>
        <v>0</v>
      </c>
      <c r="C102" s="177"/>
      <c r="D102" s="1337"/>
      <c r="E102" s="333"/>
      <c r="F102" s="333"/>
      <c r="G102" s="333"/>
      <c r="H102" s="333"/>
      <c r="I102" s="333"/>
      <c r="J102" s="333"/>
      <c r="K102" s="333"/>
      <c r="L102" s="333"/>
      <c r="M102" s="333"/>
      <c r="N102" s="333"/>
    </row>
    <row r="103" spans="2:14" hidden="1" outlineLevel="1">
      <c r="B103" s="104">
        <f>'RFM input'!F$49</f>
        <v>0</v>
      </c>
      <c r="C103" s="177"/>
      <c r="D103" s="1337"/>
      <c r="E103" s="333"/>
      <c r="F103" s="333"/>
      <c r="G103" s="333"/>
      <c r="H103" s="333"/>
      <c r="I103" s="333"/>
      <c r="J103" s="333"/>
      <c r="K103" s="333"/>
      <c r="L103" s="333"/>
      <c r="M103" s="333"/>
      <c r="N103" s="333"/>
    </row>
    <row r="104" spans="2:14" hidden="1" outlineLevel="1">
      <c r="B104" s="104">
        <f>'RFM input'!F$50</f>
        <v>0</v>
      </c>
      <c r="C104" s="177"/>
      <c r="D104" s="1337"/>
      <c r="E104" s="333"/>
      <c r="F104" s="333"/>
      <c r="G104" s="333"/>
      <c r="H104" s="333"/>
      <c r="I104" s="333"/>
      <c r="J104" s="333"/>
      <c r="K104" s="333"/>
      <c r="L104" s="333"/>
      <c r="M104" s="333"/>
      <c r="N104" s="333"/>
    </row>
    <row r="105" spans="2:14" hidden="1" outlineLevel="1">
      <c r="B105" s="104">
        <f>'RFM input'!F$51</f>
        <v>0</v>
      </c>
      <c r="C105" s="177"/>
      <c r="D105" s="1337"/>
      <c r="E105" s="333"/>
      <c r="F105" s="333"/>
      <c r="G105" s="333"/>
      <c r="H105" s="333"/>
      <c r="I105" s="333"/>
      <c r="J105" s="333"/>
      <c r="K105" s="333"/>
      <c r="L105" s="333"/>
      <c r="M105" s="333"/>
      <c r="N105" s="333"/>
    </row>
    <row r="106" spans="2:14" hidden="1" outlineLevel="1">
      <c r="B106" s="104">
        <f>'RFM input'!F$52</f>
        <v>0</v>
      </c>
      <c r="C106" s="177"/>
      <c r="D106" s="1337"/>
      <c r="E106" s="333"/>
      <c r="F106" s="333"/>
      <c r="G106" s="333"/>
      <c r="H106" s="333"/>
      <c r="I106" s="333"/>
      <c r="J106" s="333"/>
      <c r="K106" s="333"/>
      <c r="L106" s="333"/>
      <c r="M106" s="333"/>
      <c r="N106" s="333"/>
    </row>
    <row r="107" spans="2:14" hidden="1" outlineLevel="1">
      <c r="B107" s="104">
        <f>'RFM input'!F$53</f>
        <v>0</v>
      </c>
      <c r="C107" s="177"/>
      <c r="D107" s="1337"/>
      <c r="E107" s="333"/>
      <c r="F107" s="333"/>
      <c r="G107" s="333"/>
      <c r="H107" s="333"/>
      <c r="I107" s="333"/>
      <c r="J107" s="333"/>
      <c r="K107" s="333"/>
      <c r="L107" s="333"/>
      <c r="M107" s="333"/>
      <c r="N107" s="333"/>
    </row>
    <row r="108" spans="2:14" hidden="1" outlineLevel="1">
      <c r="B108" s="104">
        <f>'RFM input'!F$54</f>
        <v>0</v>
      </c>
      <c r="C108" s="177"/>
      <c r="D108" s="1337">
        <v>-1</v>
      </c>
      <c r="E108" s="333">
        <v>-1.25</v>
      </c>
      <c r="F108" s="333">
        <v>-1</v>
      </c>
      <c r="G108" s="333">
        <v>-1</v>
      </c>
      <c r="H108" s="333">
        <v>-2</v>
      </c>
      <c r="I108" s="333">
        <v>-1</v>
      </c>
      <c r="J108" s="333"/>
      <c r="K108" s="333"/>
      <c r="L108" s="333"/>
      <c r="M108" s="333"/>
      <c r="N108" s="333"/>
    </row>
    <row r="109" spans="2:14" hidden="1" outlineLevel="1">
      <c r="B109" s="104">
        <f>'RFM input'!F$55</f>
        <v>0</v>
      </c>
      <c r="C109" s="177"/>
      <c r="D109" s="1337">
        <v>-1</v>
      </c>
      <c r="E109" s="333">
        <v>-1</v>
      </c>
      <c r="F109" s="333">
        <v>-1</v>
      </c>
      <c r="G109" s="333">
        <v>-1</v>
      </c>
      <c r="H109" s="333">
        <v>-1</v>
      </c>
      <c r="I109" s="333">
        <v>-1</v>
      </c>
      <c r="J109" s="333"/>
      <c r="K109" s="333"/>
      <c r="L109" s="333"/>
      <c r="M109" s="333"/>
      <c r="N109" s="333"/>
    </row>
    <row r="110" spans="2:14" hidden="1" outlineLevel="1">
      <c r="B110" s="104">
        <f>'RFM input'!F$56</f>
        <v>0</v>
      </c>
      <c r="C110" s="177"/>
      <c r="D110" s="1337"/>
      <c r="E110" s="333"/>
      <c r="F110" s="333"/>
      <c r="G110" s="333"/>
      <c r="H110" s="333"/>
      <c r="I110" s="333"/>
      <c r="J110" s="333"/>
      <c r="K110" s="333"/>
      <c r="L110" s="333"/>
      <c r="M110" s="333"/>
      <c r="N110" s="333"/>
    </row>
    <row r="111" spans="2:14" collapsed="1">
      <c r="B111" s="104" t="s">
        <v>18</v>
      </c>
      <c r="C111" s="152"/>
      <c r="D111" s="150">
        <f>SUM(D61:D110)</f>
        <v>-10.5</v>
      </c>
      <c r="E111" s="150">
        <f t="shared" ref="E111" si="1">SUM(E61:E110)</f>
        <v>-12.75</v>
      </c>
      <c r="F111" s="150">
        <f t="shared" ref="F111" si="2">SUM(F61:F110)</f>
        <v>-11</v>
      </c>
      <c r="G111" s="150">
        <f t="shared" ref="G111" si="3">SUM(G61:G110)</f>
        <v>-11.25</v>
      </c>
      <c r="H111" s="150">
        <f t="shared" ref="H111" si="4">SUM(H61:H110)</f>
        <v>-12</v>
      </c>
      <c r="I111" s="150">
        <f t="shared" ref="I111" si="5">SUM(I61:I110)</f>
        <v>-11</v>
      </c>
      <c r="J111" s="150">
        <f t="shared" ref="J111" si="6">SUM(J61:J110)</f>
        <v>0</v>
      </c>
      <c r="K111" s="150">
        <f t="shared" ref="K111" si="7">SUM(K61:K110)</f>
        <v>0</v>
      </c>
      <c r="L111" s="150">
        <f t="shared" ref="L111" si="8">SUM(L61:L110)</f>
        <v>0</v>
      </c>
      <c r="M111" s="150">
        <f t="shared" ref="M111" si="9">SUM(M61:M110)</f>
        <v>0</v>
      </c>
      <c r="N111" s="150">
        <f t="shared" ref="N111" si="10">SUM(N61:N110)</f>
        <v>0</v>
      </c>
    </row>
    <row r="114" spans="2:14" ht="15.75">
      <c r="B114" s="1581" t="s">
        <v>601</v>
      </c>
      <c r="C114" s="1581"/>
      <c r="D114" s="1581"/>
      <c r="E114" s="1600"/>
      <c r="F114" s="1600"/>
      <c r="G114" s="1600"/>
      <c r="H114" s="51"/>
      <c r="I114" s="51"/>
      <c r="J114" s="49"/>
      <c r="K114" s="49"/>
      <c r="L114" s="49"/>
      <c r="M114" s="49"/>
      <c r="N114" s="49"/>
    </row>
    <row r="115" spans="2:14">
      <c r="B115" s="24" t="s">
        <v>2</v>
      </c>
      <c r="C115" s="152"/>
      <c r="D115" s="188" t="s">
        <v>365</v>
      </c>
      <c r="E115" s="188" t="s">
        <v>366</v>
      </c>
      <c r="F115" s="188" t="s">
        <v>454</v>
      </c>
      <c r="G115" s="188" t="s">
        <v>455</v>
      </c>
      <c r="H115" s="188" t="s">
        <v>456</v>
      </c>
      <c r="I115" s="188" t="s">
        <v>498</v>
      </c>
      <c r="J115" s="188" t="s">
        <v>499</v>
      </c>
      <c r="K115" s="188" t="s">
        <v>500</v>
      </c>
      <c r="L115" s="188" t="s">
        <v>501</v>
      </c>
      <c r="M115" s="188" t="s">
        <v>502</v>
      </c>
      <c r="N115" s="188" t="s">
        <v>503</v>
      </c>
    </row>
    <row r="116" spans="2:14" hidden="1" outlineLevel="1">
      <c r="B116" s="104" t="str">
        <f>'RFM input'!F$7</f>
        <v>Mains</v>
      </c>
      <c r="C116" s="152"/>
      <c r="D116" s="1467">
        <f t="shared" ref="D116:H116" si="11">D6+D61</f>
        <v>41</v>
      </c>
      <c r="E116" s="1468">
        <f t="shared" si="11"/>
        <v>50</v>
      </c>
      <c r="F116" s="1468">
        <f t="shared" si="11"/>
        <v>12</v>
      </c>
      <c r="G116" s="1468">
        <f t="shared" si="11"/>
        <v>8</v>
      </c>
      <c r="H116" s="1468">
        <f t="shared" si="11"/>
        <v>15</v>
      </c>
      <c r="I116" s="1468">
        <f>I6+I61</f>
        <v>25</v>
      </c>
      <c r="J116" s="1468"/>
      <c r="K116" s="1468"/>
      <c r="L116" s="1468"/>
      <c r="M116" s="1468"/>
      <c r="N116" s="1468"/>
    </row>
    <row r="117" spans="2:14" hidden="1" outlineLevel="1">
      <c r="B117" s="104" t="str">
        <f>'RFM input'!F$8</f>
        <v>Inlets</v>
      </c>
      <c r="C117" s="152"/>
      <c r="D117" s="1469">
        <f t="shared" ref="D117:I117" si="12">D7+D62</f>
        <v>22</v>
      </c>
      <c r="E117" s="1470">
        <f t="shared" si="12"/>
        <v>20</v>
      </c>
      <c r="F117" s="1470">
        <f t="shared" si="12"/>
        <v>10</v>
      </c>
      <c r="G117" s="1470">
        <f t="shared" si="12"/>
        <v>50</v>
      </c>
      <c r="H117" s="1470">
        <f t="shared" si="12"/>
        <v>8</v>
      </c>
      <c r="I117" s="1470">
        <f t="shared" si="12"/>
        <v>10</v>
      </c>
      <c r="J117" s="1470"/>
      <c r="K117" s="1470"/>
      <c r="L117" s="1470"/>
      <c r="M117" s="1470"/>
      <c r="N117" s="1470"/>
    </row>
    <row r="118" spans="2:14" hidden="1" outlineLevel="1">
      <c r="B118" s="104" t="str">
        <f>'RFM input'!F$9</f>
        <v>Meters</v>
      </c>
      <c r="C118" s="152"/>
      <c r="D118" s="1469">
        <f t="shared" ref="D118:I118" si="13">D8+D63</f>
        <v>10</v>
      </c>
      <c r="E118" s="1470">
        <f t="shared" si="13"/>
        <v>10</v>
      </c>
      <c r="F118" s="1470">
        <f t="shared" si="13"/>
        <v>10</v>
      </c>
      <c r="G118" s="1470">
        <f t="shared" si="13"/>
        <v>10</v>
      </c>
      <c r="H118" s="1470">
        <f t="shared" si="13"/>
        <v>10</v>
      </c>
      <c r="I118" s="1470">
        <f t="shared" si="13"/>
        <v>10</v>
      </c>
      <c r="J118" s="1470"/>
      <c r="K118" s="1470"/>
      <c r="L118" s="1470"/>
      <c r="M118" s="1470"/>
      <c r="N118" s="1470"/>
    </row>
    <row r="119" spans="2:14" hidden="1" outlineLevel="1">
      <c r="B119" s="104" t="str">
        <f>'RFM input'!F$10</f>
        <v>Telemetry</v>
      </c>
      <c r="C119" s="152"/>
      <c r="D119" s="1469">
        <f t="shared" ref="D119:I119" si="14">D9+D64</f>
        <v>9</v>
      </c>
      <c r="E119" s="1470">
        <f t="shared" si="14"/>
        <v>9</v>
      </c>
      <c r="F119" s="1470">
        <f t="shared" si="14"/>
        <v>9</v>
      </c>
      <c r="G119" s="1470">
        <f t="shared" si="14"/>
        <v>9</v>
      </c>
      <c r="H119" s="1470">
        <f t="shared" si="14"/>
        <v>9</v>
      </c>
      <c r="I119" s="1470">
        <f t="shared" si="14"/>
        <v>9</v>
      </c>
      <c r="J119" s="1470"/>
      <c r="K119" s="1470"/>
      <c r="L119" s="1470"/>
      <c r="M119" s="1470"/>
      <c r="N119" s="1470"/>
    </row>
    <row r="120" spans="2:14" hidden="1" outlineLevel="1">
      <c r="B120" s="104" t="str">
        <f>'RFM input'!F$11</f>
        <v>IT System</v>
      </c>
      <c r="C120" s="152"/>
      <c r="D120" s="1469">
        <f t="shared" ref="D120:I120" si="15">D10+D65</f>
        <v>8</v>
      </c>
      <c r="E120" s="1470">
        <f t="shared" si="15"/>
        <v>8</v>
      </c>
      <c r="F120" s="1470">
        <f t="shared" si="15"/>
        <v>8</v>
      </c>
      <c r="G120" s="1470">
        <f t="shared" si="15"/>
        <v>8</v>
      </c>
      <c r="H120" s="1470">
        <f t="shared" si="15"/>
        <v>8</v>
      </c>
      <c r="I120" s="1470">
        <f t="shared" si="15"/>
        <v>8</v>
      </c>
      <c r="J120" s="1470"/>
      <c r="K120" s="1470"/>
      <c r="L120" s="1470"/>
      <c r="M120" s="1470"/>
      <c r="N120" s="1470"/>
    </row>
    <row r="121" spans="2:14" hidden="1" outlineLevel="1">
      <c r="B121" s="104" t="str">
        <f>'RFM input'!F$12</f>
        <v>Other Distribution System Equipment</v>
      </c>
      <c r="C121" s="152"/>
      <c r="D121" s="1469">
        <f t="shared" ref="D121:I121" si="16">D11+D66</f>
        <v>7</v>
      </c>
      <c r="E121" s="1470">
        <f t="shared" si="16"/>
        <v>7</v>
      </c>
      <c r="F121" s="1470">
        <f t="shared" si="16"/>
        <v>7</v>
      </c>
      <c r="G121" s="1470">
        <f t="shared" si="16"/>
        <v>7</v>
      </c>
      <c r="H121" s="1470">
        <f t="shared" si="16"/>
        <v>7</v>
      </c>
      <c r="I121" s="1470">
        <f t="shared" si="16"/>
        <v>7</v>
      </c>
      <c r="J121" s="1470"/>
      <c r="K121" s="1470"/>
      <c r="L121" s="1470"/>
      <c r="M121" s="1470"/>
      <c r="N121" s="1470"/>
    </row>
    <row r="122" spans="2:14" hidden="1" outlineLevel="1">
      <c r="B122" s="104" t="str">
        <f>'RFM input'!F$13</f>
        <v>Other</v>
      </c>
      <c r="C122" s="152"/>
      <c r="D122" s="1469">
        <f t="shared" ref="D122:I122" si="17">D12+D67</f>
        <v>6</v>
      </c>
      <c r="E122" s="1470">
        <f t="shared" si="17"/>
        <v>6</v>
      </c>
      <c r="F122" s="1470">
        <f t="shared" si="17"/>
        <v>6</v>
      </c>
      <c r="G122" s="1470">
        <f t="shared" si="17"/>
        <v>6</v>
      </c>
      <c r="H122" s="1470">
        <f t="shared" si="17"/>
        <v>6</v>
      </c>
      <c r="I122" s="1470">
        <f t="shared" si="17"/>
        <v>6</v>
      </c>
      <c r="J122" s="1470"/>
      <c r="K122" s="1470"/>
      <c r="L122" s="1470"/>
      <c r="M122" s="1470"/>
      <c r="N122" s="1470"/>
    </row>
    <row r="123" spans="2:14" hidden="1" outlineLevel="1">
      <c r="B123" s="104">
        <f>'RFM input'!F$14</f>
        <v>0</v>
      </c>
      <c r="C123" s="152"/>
      <c r="D123" s="1469">
        <f t="shared" ref="D123:I123" si="18">D13+D68</f>
        <v>5</v>
      </c>
      <c r="E123" s="1470">
        <f t="shared" si="18"/>
        <v>5</v>
      </c>
      <c r="F123" s="1470">
        <f t="shared" si="18"/>
        <v>5</v>
      </c>
      <c r="G123" s="1470">
        <f t="shared" si="18"/>
        <v>5</v>
      </c>
      <c r="H123" s="1470">
        <f t="shared" si="18"/>
        <v>5</v>
      </c>
      <c r="I123" s="1470">
        <f t="shared" si="18"/>
        <v>5</v>
      </c>
      <c r="J123" s="1470"/>
      <c r="K123" s="1470"/>
      <c r="L123" s="1470"/>
      <c r="M123" s="1470"/>
      <c r="N123" s="1470"/>
    </row>
    <row r="124" spans="2:14" hidden="1" outlineLevel="1">
      <c r="B124" s="104">
        <f>'RFM input'!F$15</f>
        <v>0</v>
      </c>
      <c r="C124" s="152"/>
      <c r="D124" s="1469">
        <f t="shared" ref="D124:I124" si="19">D14+D69</f>
        <v>0</v>
      </c>
      <c r="E124" s="1470">
        <f t="shared" si="19"/>
        <v>0</v>
      </c>
      <c r="F124" s="1470">
        <f t="shared" si="19"/>
        <v>0</v>
      </c>
      <c r="G124" s="1470">
        <f t="shared" si="19"/>
        <v>0</v>
      </c>
      <c r="H124" s="1470">
        <f t="shared" si="19"/>
        <v>0</v>
      </c>
      <c r="I124" s="1470">
        <f t="shared" si="19"/>
        <v>0</v>
      </c>
      <c r="J124" s="1470"/>
      <c r="K124" s="1470"/>
      <c r="L124" s="1470"/>
      <c r="M124" s="1470"/>
      <c r="N124" s="1470"/>
    </row>
    <row r="125" spans="2:14" hidden="1" outlineLevel="1">
      <c r="B125" s="104">
        <f>'RFM input'!F$16</f>
        <v>0</v>
      </c>
      <c r="C125" s="152"/>
      <c r="D125" s="1469">
        <f t="shared" ref="D125:I125" si="20">D15+D70</f>
        <v>0</v>
      </c>
      <c r="E125" s="1470">
        <f t="shared" si="20"/>
        <v>0</v>
      </c>
      <c r="F125" s="1470">
        <f t="shared" si="20"/>
        <v>0</v>
      </c>
      <c r="G125" s="1470">
        <f t="shared" si="20"/>
        <v>0</v>
      </c>
      <c r="H125" s="1470">
        <f t="shared" si="20"/>
        <v>0</v>
      </c>
      <c r="I125" s="1470">
        <f t="shared" si="20"/>
        <v>0</v>
      </c>
      <c r="J125" s="1470"/>
      <c r="K125" s="1470"/>
      <c r="L125" s="1470"/>
      <c r="M125" s="1470"/>
      <c r="N125" s="1470"/>
    </row>
    <row r="126" spans="2:14" hidden="1" outlineLevel="1">
      <c r="B126" s="104">
        <f>'RFM input'!F$17</f>
        <v>0</v>
      </c>
      <c r="C126" s="152"/>
      <c r="D126" s="1469">
        <f t="shared" ref="D126:I126" si="21">D16+D71</f>
        <v>0</v>
      </c>
      <c r="E126" s="1470">
        <f t="shared" si="21"/>
        <v>0</v>
      </c>
      <c r="F126" s="1470">
        <f t="shared" si="21"/>
        <v>0</v>
      </c>
      <c r="G126" s="1470">
        <f t="shared" si="21"/>
        <v>0</v>
      </c>
      <c r="H126" s="1470">
        <f t="shared" si="21"/>
        <v>0</v>
      </c>
      <c r="I126" s="1470">
        <f t="shared" si="21"/>
        <v>0</v>
      </c>
      <c r="J126" s="1470"/>
      <c r="K126" s="1470"/>
      <c r="L126" s="1470"/>
      <c r="M126" s="1470"/>
      <c r="N126" s="1470"/>
    </row>
    <row r="127" spans="2:14" hidden="1" outlineLevel="1">
      <c r="B127" s="104">
        <f>'RFM input'!F$18</f>
        <v>0</v>
      </c>
      <c r="C127" s="152"/>
      <c r="D127" s="1469">
        <f t="shared" ref="D127:I127" si="22">D17+D72</f>
        <v>0</v>
      </c>
      <c r="E127" s="1470">
        <f t="shared" si="22"/>
        <v>0</v>
      </c>
      <c r="F127" s="1470">
        <f t="shared" si="22"/>
        <v>0</v>
      </c>
      <c r="G127" s="1470">
        <f t="shared" si="22"/>
        <v>0</v>
      </c>
      <c r="H127" s="1470">
        <f t="shared" si="22"/>
        <v>0</v>
      </c>
      <c r="I127" s="1470">
        <f t="shared" si="22"/>
        <v>0</v>
      </c>
      <c r="J127" s="1470"/>
      <c r="K127" s="1470"/>
      <c r="L127" s="1470"/>
      <c r="M127" s="1470"/>
      <c r="N127" s="1470"/>
    </row>
    <row r="128" spans="2:14" hidden="1" outlineLevel="1">
      <c r="B128" s="104">
        <f>'RFM input'!F$19</f>
        <v>0</v>
      </c>
      <c r="C128" s="152"/>
      <c r="D128" s="1469">
        <f t="shared" ref="D128:I128" si="23">D18+D73</f>
        <v>0</v>
      </c>
      <c r="E128" s="1470">
        <f t="shared" si="23"/>
        <v>0</v>
      </c>
      <c r="F128" s="1470">
        <f t="shared" si="23"/>
        <v>0</v>
      </c>
      <c r="G128" s="1470">
        <f t="shared" si="23"/>
        <v>0</v>
      </c>
      <c r="H128" s="1470">
        <f t="shared" si="23"/>
        <v>0</v>
      </c>
      <c r="I128" s="1470">
        <f t="shared" si="23"/>
        <v>0</v>
      </c>
      <c r="J128" s="1470"/>
      <c r="K128" s="1470"/>
      <c r="L128" s="1470"/>
      <c r="M128" s="1470"/>
      <c r="N128" s="1470"/>
    </row>
    <row r="129" spans="2:14" hidden="1" outlineLevel="1">
      <c r="B129" s="104">
        <f>'RFM input'!F$20</f>
        <v>0</v>
      </c>
      <c r="C129" s="152"/>
      <c r="D129" s="1469">
        <f t="shared" ref="D129:I129" si="24">D19+D74</f>
        <v>0</v>
      </c>
      <c r="E129" s="1470">
        <f t="shared" si="24"/>
        <v>0</v>
      </c>
      <c r="F129" s="1470">
        <f t="shared" si="24"/>
        <v>0</v>
      </c>
      <c r="G129" s="1470">
        <f t="shared" si="24"/>
        <v>0</v>
      </c>
      <c r="H129" s="1470">
        <f t="shared" si="24"/>
        <v>0</v>
      </c>
      <c r="I129" s="1470">
        <f t="shared" si="24"/>
        <v>0</v>
      </c>
      <c r="J129" s="1470"/>
      <c r="K129" s="1470"/>
      <c r="L129" s="1470"/>
      <c r="M129" s="1470"/>
      <c r="N129" s="1470"/>
    </row>
    <row r="130" spans="2:14" hidden="1" outlineLevel="1">
      <c r="B130" s="104">
        <f>'RFM input'!F$21</f>
        <v>0</v>
      </c>
      <c r="C130" s="152"/>
      <c r="D130" s="1469">
        <f t="shared" ref="D130:I130" si="25">D20+D75</f>
        <v>0</v>
      </c>
      <c r="E130" s="1470">
        <f t="shared" si="25"/>
        <v>0</v>
      </c>
      <c r="F130" s="1470">
        <f t="shared" si="25"/>
        <v>0</v>
      </c>
      <c r="G130" s="1470">
        <f t="shared" si="25"/>
        <v>0</v>
      </c>
      <c r="H130" s="1470">
        <f t="shared" si="25"/>
        <v>0</v>
      </c>
      <c r="I130" s="1470">
        <f t="shared" si="25"/>
        <v>0</v>
      </c>
      <c r="J130" s="1470"/>
      <c r="K130" s="1470"/>
      <c r="L130" s="1470"/>
      <c r="M130" s="1470"/>
      <c r="N130" s="1470"/>
    </row>
    <row r="131" spans="2:14" hidden="1" outlineLevel="1">
      <c r="B131" s="104">
        <f>'RFM input'!F$22</f>
        <v>0</v>
      </c>
      <c r="C131" s="152"/>
      <c r="D131" s="1469">
        <f t="shared" ref="D131:I131" si="26">D21+D76</f>
        <v>0</v>
      </c>
      <c r="E131" s="1470">
        <f t="shared" si="26"/>
        <v>0</v>
      </c>
      <c r="F131" s="1470">
        <f t="shared" si="26"/>
        <v>0</v>
      </c>
      <c r="G131" s="1470">
        <f t="shared" si="26"/>
        <v>0</v>
      </c>
      <c r="H131" s="1470">
        <f t="shared" si="26"/>
        <v>0</v>
      </c>
      <c r="I131" s="1470">
        <f t="shared" si="26"/>
        <v>0</v>
      </c>
      <c r="J131" s="1470"/>
      <c r="K131" s="1470"/>
      <c r="L131" s="1470"/>
      <c r="M131" s="1470"/>
      <c r="N131" s="1470"/>
    </row>
    <row r="132" spans="2:14" hidden="1" outlineLevel="1">
      <c r="B132" s="104">
        <f>'RFM input'!F$23</f>
        <v>0</v>
      </c>
      <c r="C132" s="152"/>
      <c r="D132" s="1469">
        <f t="shared" ref="D132:I132" si="27">D22+D77</f>
        <v>0</v>
      </c>
      <c r="E132" s="1470">
        <f t="shared" si="27"/>
        <v>0</v>
      </c>
      <c r="F132" s="1470">
        <f t="shared" si="27"/>
        <v>0</v>
      </c>
      <c r="G132" s="1470">
        <f t="shared" si="27"/>
        <v>0</v>
      </c>
      <c r="H132" s="1470">
        <f t="shared" si="27"/>
        <v>0</v>
      </c>
      <c r="I132" s="1470">
        <f t="shared" si="27"/>
        <v>0</v>
      </c>
      <c r="J132" s="1470"/>
      <c r="K132" s="1470"/>
      <c r="L132" s="1470"/>
      <c r="M132" s="1470"/>
      <c r="N132" s="1470"/>
    </row>
    <row r="133" spans="2:14" hidden="1" outlineLevel="1">
      <c r="B133" s="104">
        <f>'RFM input'!F$24</f>
        <v>0</v>
      </c>
      <c r="C133" s="152"/>
      <c r="D133" s="1469">
        <f t="shared" ref="D133:I133" si="28">D23+D78</f>
        <v>0</v>
      </c>
      <c r="E133" s="1470">
        <f t="shared" si="28"/>
        <v>0</v>
      </c>
      <c r="F133" s="1470">
        <f t="shared" si="28"/>
        <v>0</v>
      </c>
      <c r="G133" s="1470">
        <f t="shared" si="28"/>
        <v>0</v>
      </c>
      <c r="H133" s="1470">
        <f t="shared" si="28"/>
        <v>0</v>
      </c>
      <c r="I133" s="1470">
        <f t="shared" si="28"/>
        <v>0</v>
      </c>
      <c r="J133" s="1470"/>
      <c r="K133" s="1470"/>
      <c r="L133" s="1470"/>
      <c r="M133" s="1470"/>
      <c r="N133" s="1470"/>
    </row>
    <row r="134" spans="2:14" hidden="1" outlineLevel="1">
      <c r="B134" s="104">
        <f>'RFM input'!F$25</f>
        <v>0</v>
      </c>
      <c r="C134" s="152"/>
      <c r="D134" s="1469">
        <f t="shared" ref="D134:I134" si="29">D24+D79</f>
        <v>0</v>
      </c>
      <c r="E134" s="1470">
        <f t="shared" si="29"/>
        <v>0</v>
      </c>
      <c r="F134" s="1470">
        <f t="shared" si="29"/>
        <v>0</v>
      </c>
      <c r="G134" s="1470">
        <f t="shared" si="29"/>
        <v>0</v>
      </c>
      <c r="H134" s="1470">
        <f t="shared" si="29"/>
        <v>0</v>
      </c>
      <c r="I134" s="1470">
        <f t="shared" si="29"/>
        <v>0</v>
      </c>
      <c r="J134" s="1470"/>
      <c r="K134" s="1470"/>
      <c r="L134" s="1470"/>
      <c r="M134" s="1470"/>
      <c r="N134" s="1470"/>
    </row>
    <row r="135" spans="2:14" hidden="1" outlineLevel="1">
      <c r="B135" s="104">
        <f>'RFM input'!F$26</f>
        <v>0</v>
      </c>
      <c r="C135" s="153"/>
      <c r="D135" s="1469">
        <f t="shared" ref="D135:I135" si="30">D25+D80</f>
        <v>0</v>
      </c>
      <c r="E135" s="1470">
        <f t="shared" si="30"/>
        <v>0</v>
      </c>
      <c r="F135" s="1470">
        <f t="shared" si="30"/>
        <v>0</v>
      </c>
      <c r="G135" s="1470">
        <f t="shared" si="30"/>
        <v>0</v>
      </c>
      <c r="H135" s="1470">
        <f t="shared" si="30"/>
        <v>0</v>
      </c>
      <c r="I135" s="1470">
        <f t="shared" si="30"/>
        <v>0</v>
      </c>
      <c r="J135" s="1470"/>
      <c r="K135" s="1470"/>
      <c r="L135" s="1470"/>
      <c r="M135" s="1470"/>
      <c r="N135" s="1470"/>
    </row>
    <row r="136" spans="2:14" hidden="1" outlineLevel="1">
      <c r="B136" s="104">
        <f>'RFM input'!F$27</f>
        <v>0</v>
      </c>
      <c r="C136" s="153"/>
      <c r="D136" s="1469">
        <f t="shared" ref="D136:I136" si="31">D26+D81</f>
        <v>0</v>
      </c>
      <c r="E136" s="1470">
        <f t="shared" si="31"/>
        <v>0</v>
      </c>
      <c r="F136" s="1470">
        <f t="shared" si="31"/>
        <v>0</v>
      </c>
      <c r="G136" s="1470">
        <f t="shared" si="31"/>
        <v>0</v>
      </c>
      <c r="H136" s="1470">
        <f t="shared" si="31"/>
        <v>0</v>
      </c>
      <c r="I136" s="1470">
        <f t="shared" si="31"/>
        <v>0</v>
      </c>
      <c r="J136" s="1470"/>
      <c r="K136" s="1470"/>
      <c r="L136" s="1470"/>
      <c r="M136" s="1470"/>
      <c r="N136" s="1470"/>
    </row>
    <row r="137" spans="2:14" hidden="1" outlineLevel="1">
      <c r="B137" s="104">
        <f>'RFM input'!F$28</f>
        <v>0</v>
      </c>
      <c r="C137" s="153"/>
      <c r="D137" s="1469">
        <f t="shared" ref="D137:I137" si="32">D27+D82</f>
        <v>0</v>
      </c>
      <c r="E137" s="1470">
        <f t="shared" si="32"/>
        <v>0</v>
      </c>
      <c r="F137" s="1470">
        <f t="shared" si="32"/>
        <v>0</v>
      </c>
      <c r="G137" s="1470">
        <f t="shared" si="32"/>
        <v>0</v>
      </c>
      <c r="H137" s="1470">
        <f t="shared" si="32"/>
        <v>0</v>
      </c>
      <c r="I137" s="1470">
        <f t="shared" si="32"/>
        <v>0</v>
      </c>
      <c r="J137" s="1470"/>
      <c r="K137" s="1470"/>
      <c r="L137" s="1470"/>
      <c r="M137" s="1470"/>
      <c r="N137" s="1470"/>
    </row>
    <row r="138" spans="2:14" hidden="1" outlineLevel="1">
      <c r="B138" s="104">
        <f>'RFM input'!F$29</f>
        <v>0</v>
      </c>
      <c r="C138" s="153"/>
      <c r="D138" s="1469">
        <f t="shared" ref="D138:I138" si="33">D28+D83</f>
        <v>0</v>
      </c>
      <c r="E138" s="1470">
        <f t="shared" si="33"/>
        <v>0</v>
      </c>
      <c r="F138" s="1470">
        <f t="shared" si="33"/>
        <v>0</v>
      </c>
      <c r="G138" s="1470">
        <f t="shared" si="33"/>
        <v>0</v>
      </c>
      <c r="H138" s="1470">
        <f t="shared" si="33"/>
        <v>0</v>
      </c>
      <c r="I138" s="1470">
        <f t="shared" si="33"/>
        <v>0</v>
      </c>
      <c r="J138" s="1470"/>
      <c r="K138" s="1470"/>
      <c r="L138" s="1470"/>
      <c r="M138" s="1470"/>
      <c r="N138" s="1470"/>
    </row>
    <row r="139" spans="2:14" hidden="1" outlineLevel="1">
      <c r="B139" s="104">
        <f>'RFM input'!F$30</f>
        <v>0</v>
      </c>
      <c r="C139" s="153"/>
      <c r="D139" s="1469">
        <f t="shared" ref="D139:I139" si="34">D29+D84</f>
        <v>0</v>
      </c>
      <c r="E139" s="1470">
        <f t="shared" si="34"/>
        <v>0</v>
      </c>
      <c r="F139" s="1470">
        <f t="shared" si="34"/>
        <v>0</v>
      </c>
      <c r="G139" s="1470">
        <f t="shared" si="34"/>
        <v>0</v>
      </c>
      <c r="H139" s="1470">
        <f t="shared" si="34"/>
        <v>0</v>
      </c>
      <c r="I139" s="1470">
        <f t="shared" si="34"/>
        <v>0</v>
      </c>
      <c r="J139" s="1470"/>
      <c r="K139" s="1470"/>
      <c r="L139" s="1470"/>
      <c r="M139" s="1470"/>
      <c r="N139" s="1470"/>
    </row>
    <row r="140" spans="2:14" hidden="1" outlineLevel="1">
      <c r="B140" s="104">
        <f>'RFM input'!F$31</f>
        <v>0</v>
      </c>
      <c r="C140" s="153"/>
      <c r="D140" s="1469">
        <f t="shared" ref="D140:I140" si="35">D30+D85</f>
        <v>0</v>
      </c>
      <c r="E140" s="1470">
        <f t="shared" si="35"/>
        <v>0</v>
      </c>
      <c r="F140" s="1470">
        <f t="shared" si="35"/>
        <v>0</v>
      </c>
      <c r="G140" s="1470">
        <f t="shared" si="35"/>
        <v>0</v>
      </c>
      <c r="H140" s="1470">
        <f t="shared" si="35"/>
        <v>0</v>
      </c>
      <c r="I140" s="1470">
        <f t="shared" si="35"/>
        <v>0</v>
      </c>
      <c r="J140" s="1470"/>
      <c r="K140" s="1470"/>
      <c r="L140" s="1470"/>
      <c r="M140" s="1470"/>
      <c r="N140" s="1470"/>
    </row>
    <row r="141" spans="2:14" hidden="1" outlineLevel="1">
      <c r="B141" s="104">
        <f>'RFM input'!F$32</f>
        <v>0</v>
      </c>
      <c r="C141" s="153"/>
      <c r="D141" s="1469">
        <f t="shared" ref="D141:I141" si="36">D31+D86</f>
        <v>0</v>
      </c>
      <c r="E141" s="1470">
        <f t="shared" si="36"/>
        <v>0</v>
      </c>
      <c r="F141" s="1470">
        <f t="shared" si="36"/>
        <v>0</v>
      </c>
      <c r="G141" s="1470">
        <f t="shared" si="36"/>
        <v>0</v>
      </c>
      <c r="H141" s="1470">
        <f t="shared" si="36"/>
        <v>0</v>
      </c>
      <c r="I141" s="1470">
        <f t="shared" si="36"/>
        <v>0</v>
      </c>
      <c r="J141" s="1470"/>
      <c r="K141" s="1470"/>
      <c r="L141" s="1470"/>
      <c r="M141" s="1470"/>
      <c r="N141" s="1470"/>
    </row>
    <row r="142" spans="2:14" hidden="1" outlineLevel="1">
      <c r="B142" s="104">
        <f>'RFM input'!F$33</f>
        <v>0</v>
      </c>
      <c r="C142" s="153"/>
      <c r="D142" s="1469">
        <f t="shared" ref="D142:I142" si="37">D32+D87</f>
        <v>0</v>
      </c>
      <c r="E142" s="1470">
        <f t="shared" si="37"/>
        <v>0</v>
      </c>
      <c r="F142" s="1470">
        <f t="shared" si="37"/>
        <v>0</v>
      </c>
      <c r="G142" s="1470">
        <f t="shared" si="37"/>
        <v>0</v>
      </c>
      <c r="H142" s="1470">
        <f t="shared" si="37"/>
        <v>0</v>
      </c>
      <c r="I142" s="1470">
        <f t="shared" si="37"/>
        <v>0</v>
      </c>
      <c r="J142" s="1470"/>
      <c r="K142" s="1470"/>
      <c r="L142" s="1470"/>
      <c r="M142" s="1470"/>
      <c r="N142" s="1470"/>
    </row>
    <row r="143" spans="2:14" hidden="1" outlineLevel="1">
      <c r="B143" s="104">
        <f>'RFM input'!F$34</f>
        <v>0</v>
      </c>
      <c r="C143" s="153"/>
      <c r="D143" s="1469">
        <f t="shared" ref="D143:I143" si="38">D33+D88</f>
        <v>0</v>
      </c>
      <c r="E143" s="1470">
        <f t="shared" si="38"/>
        <v>0</v>
      </c>
      <c r="F143" s="1470">
        <f t="shared" si="38"/>
        <v>0</v>
      </c>
      <c r="G143" s="1470">
        <f t="shared" si="38"/>
        <v>0</v>
      </c>
      <c r="H143" s="1470">
        <f t="shared" si="38"/>
        <v>0</v>
      </c>
      <c r="I143" s="1470">
        <f t="shared" si="38"/>
        <v>0</v>
      </c>
      <c r="J143" s="1470"/>
      <c r="K143" s="1470"/>
      <c r="L143" s="1470"/>
      <c r="M143" s="1470"/>
      <c r="N143" s="1470"/>
    </row>
    <row r="144" spans="2:14" hidden="1" outlineLevel="1">
      <c r="B144" s="104">
        <f>'RFM input'!F$35</f>
        <v>0</v>
      </c>
      <c r="C144" s="153"/>
      <c r="D144" s="1469">
        <f t="shared" ref="D144:I144" si="39">D34+D89</f>
        <v>0</v>
      </c>
      <c r="E144" s="1470">
        <f t="shared" si="39"/>
        <v>0</v>
      </c>
      <c r="F144" s="1470">
        <f t="shared" si="39"/>
        <v>0</v>
      </c>
      <c r="G144" s="1470">
        <f t="shared" si="39"/>
        <v>0</v>
      </c>
      <c r="H144" s="1470">
        <f t="shared" si="39"/>
        <v>0</v>
      </c>
      <c r="I144" s="1470">
        <f t="shared" si="39"/>
        <v>0</v>
      </c>
      <c r="J144" s="1470"/>
      <c r="K144" s="1470"/>
      <c r="L144" s="1470"/>
      <c r="M144" s="1470"/>
      <c r="N144" s="1470"/>
    </row>
    <row r="145" spans="2:14" hidden="1" outlineLevel="1">
      <c r="B145" s="104">
        <f>'RFM input'!F$36</f>
        <v>0</v>
      </c>
      <c r="C145" s="153"/>
      <c r="D145" s="1469">
        <f t="shared" ref="D145:I145" si="40">D35+D90</f>
        <v>0</v>
      </c>
      <c r="E145" s="1470">
        <f t="shared" si="40"/>
        <v>0</v>
      </c>
      <c r="F145" s="1470">
        <f t="shared" si="40"/>
        <v>0</v>
      </c>
      <c r="G145" s="1470">
        <f t="shared" si="40"/>
        <v>0</v>
      </c>
      <c r="H145" s="1470">
        <f t="shared" si="40"/>
        <v>0</v>
      </c>
      <c r="I145" s="1470">
        <f t="shared" si="40"/>
        <v>0</v>
      </c>
      <c r="J145" s="1470"/>
      <c r="K145" s="1470"/>
      <c r="L145" s="1470"/>
      <c r="M145" s="1470"/>
      <c r="N145" s="1470"/>
    </row>
    <row r="146" spans="2:14" hidden="1" outlineLevel="1">
      <c r="B146" s="104">
        <f>'RFM input'!F$37</f>
        <v>0</v>
      </c>
      <c r="C146" s="177"/>
      <c r="D146" s="1469">
        <f t="shared" ref="D146:I146" si="41">D36+D91</f>
        <v>0</v>
      </c>
      <c r="E146" s="1470">
        <f t="shared" si="41"/>
        <v>0</v>
      </c>
      <c r="F146" s="1470">
        <f t="shared" si="41"/>
        <v>0</v>
      </c>
      <c r="G146" s="1470">
        <f t="shared" si="41"/>
        <v>0</v>
      </c>
      <c r="H146" s="1470">
        <f t="shared" si="41"/>
        <v>0</v>
      </c>
      <c r="I146" s="1470">
        <f t="shared" si="41"/>
        <v>0</v>
      </c>
      <c r="J146" s="1470"/>
      <c r="K146" s="1470"/>
      <c r="L146" s="1470"/>
      <c r="M146" s="1470"/>
      <c r="N146" s="1470"/>
    </row>
    <row r="147" spans="2:14" hidden="1" outlineLevel="1">
      <c r="B147" s="104">
        <f>'RFM input'!F$38</f>
        <v>0</v>
      </c>
      <c r="C147" s="177"/>
      <c r="D147" s="1469">
        <f t="shared" ref="D147:I147" si="42">D37+D92</f>
        <v>0</v>
      </c>
      <c r="E147" s="1470">
        <f t="shared" si="42"/>
        <v>0</v>
      </c>
      <c r="F147" s="1470">
        <f t="shared" si="42"/>
        <v>0</v>
      </c>
      <c r="G147" s="1470">
        <f t="shared" si="42"/>
        <v>0</v>
      </c>
      <c r="H147" s="1470">
        <f t="shared" si="42"/>
        <v>0</v>
      </c>
      <c r="I147" s="1470">
        <f t="shared" si="42"/>
        <v>0</v>
      </c>
      <c r="J147" s="1470"/>
      <c r="K147" s="1470"/>
      <c r="L147" s="1470"/>
      <c r="M147" s="1470"/>
      <c r="N147" s="1470"/>
    </row>
    <row r="148" spans="2:14" hidden="1" outlineLevel="1">
      <c r="B148" s="104">
        <f>'RFM input'!F$39</f>
        <v>0</v>
      </c>
      <c r="C148" s="177"/>
      <c r="D148" s="1469">
        <f t="shared" ref="D148:I148" si="43">D38+D93</f>
        <v>0</v>
      </c>
      <c r="E148" s="1470">
        <f t="shared" si="43"/>
        <v>0</v>
      </c>
      <c r="F148" s="1470">
        <f t="shared" si="43"/>
        <v>0</v>
      </c>
      <c r="G148" s="1470">
        <f t="shared" si="43"/>
        <v>0</v>
      </c>
      <c r="H148" s="1470">
        <f t="shared" si="43"/>
        <v>0</v>
      </c>
      <c r="I148" s="1470">
        <f t="shared" si="43"/>
        <v>0</v>
      </c>
      <c r="J148" s="1470"/>
      <c r="K148" s="1470"/>
      <c r="L148" s="1470"/>
      <c r="M148" s="1470"/>
      <c r="N148" s="1470"/>
    </row>
    <row r="149" spans="2:14" hidden="1" outlineLevel="1">
      <c r="B149" s="104">
        <f>'RFM input'!F$40</f>
        <v>0</v>
      </c>
      <c r="C149" s="177"/>
      <c r="D149" s="1469">
        <f t="shared" ref="D149:I149" si="44">D39+D94</f>
        <v>0</v>
      </c>
      <c r="E149" s="1470">
        <f t="shared" si="44"/>
        <v>0</v>
      </c>
      <c r="F149" s="1470">
        <f t="shared" si="44"/>
        <v>0</v>
      </c>
      <c r="G149" s="1470">
        <f t="shared" si="44"/>
        <v>0</v>
      </c>
      <c r="H149" s="1470">
        <f t="shared" si="44"/>
        <v>0</v>
      </c>
      <c r="I149" s="1470">
        <f t="shared" si="44"/>
        <v>0</v>
      </c>
      <c r="J149" s="1470"/>
      <c r="K149" s="1470"/>
      <c r="L149" s="1470"/>
      <c r="M149" s="1470"/>
      <c r="N149" s="1470"/>
    </row>
    <row r="150" spans="2:14" hidden="1" outlineLevel="1">
      <c r="B150" s="104">
        <f>'RFM input'!F$41</f>
        <v>0</v>
      </c>
      <c r="C150" s="177"/>
      <c r="D150" s="1469">
        <f t="shared" ref="D150:I150" si="45">D40+D95</f>
        <v>0</v>
      </c>
      <c r="E150" s="1470">
        <f t="shared" si="45"/>
        <v>0</v>
      </c>
      <c r="F150" s="1470">
        <f t="shared" si="45"/>
        <v>0</v>
      </c>
      <c r="G150" s="1470">
        <f t="shared" si="45"/>
        <v>0</v>
      </c>
      <c r="H150" s="1470">
        <f t="shared" si="45"/>
        <v>0</v>
      </c>
      <c r="I150" s="1470">
        <f t="shared" si="45"/>
        <v>0</v>
      </c>
      <c r="J150" s="1470"/>
      <c r="K150" s="1470"/>
      <c r="L150" s="1470"/>
      <c r="M150" s="1470"/>
      <c r="N150" s="1470"/>
    </row>
    <row r="151" spans="2:14" hidden="1" outlineLevel="1">
      <c r="B151" s="104">
        <f>'RFM input'!F$42</f>
        <v>0</v>
      </c>
      <c r="C151" s="177"/>
      <c r="D151" s="1469">
        <f t="shared" ref="D151:I151" si="46">D41+D96</f>
        <v>0</v>
      </c>
      <c r="E151" s="1470">
        <f t="shared" si="46"/>
        <v>0</v>
      </c>
      <c r="F151" s="1470">
        <f t="shared" si="46"/>
        <v>0</v>
      </c>
      <c r="G151" s="1470">
        <f t="shared" si="46"/>
        <v>0</v>
      </c>
      <c r="H151" s="1470">
        <f t="shared" si="46"/>
        <v>0</v>
      </c>
      <c r="I151" s="1470">
        <f t="shared" si="46"/>
        <v>0</v>
      </c>
      <c r="J151" s="1470"/>
      <c r="K151" s="1470"/>
      <c r="L151" s="1470"/>
      <c r="M151" s="1470"/>
      <c r="N151" s="1470"/>
    </row>
    <row r="152" spans="2:14" hidden="1" outlineLevel="1">
      <c r="B152" s="104">
        <f>'RFM input'!F$43</f>
        <v>0</v>
      </c>
      <c r="C152" s="177"/>
      <c r="D152" s="1469">
        <f t="shared" ref="D152:I152" si="47">D42+D97</f>
        <v>0</v>
      </c>
      <c r="E152" s="1470">
        <f t="shared" si="47"/>
        <v>0</v>
      </c>
      <c r="F152" s="1470">
        <f t="shared" si="47"/>
        <v>0</v>
      </c>
      <c r="G152" s="1470">
        <f t="shared" si="47"/>
        <v>0</v>
      </c>
      <c r="H152" s="1470">
        <f t="shared" si="47"/>
        <v>0</v>
      </c>
      <c r="I152" s="1470">
        <f t="shared" si="47"/>
        <v>0</v>
      </c>
      <c r="J152" s="1470"/>
      <c r="K152" s="1470"/>
      <c r="L152" s="1470"/>
      <c r="M152" s="1470"/>
      <c r="N152" s="1470"/>
    </row>
    <row r="153" spans="2:14" hidden="1" outlineLevel="1">
      <c r="B153" s="104">
        <f>'RFM input'!F$44</f>
        <v>0</v>
      </c>
      <c r="C153" s="177"/>
      <c r="D153" s="1469">
        <f t="shared" ref="D153:I153" si="48">D43+D98</f>
        <v>0</v>
      </c>
      <c r="E153" s="1470">
        <f t="shared" si="48"/>
        <v>0</v>
      </c>
      <c r="F153" s="1470">
        <f t="shared" si="48"/>
        <v>0</v>
      </c>
      <c r="G153" s="1470">
        <f t="shared" si="48"/>
        <v>0</v>
      </c>
      <c r="H153" s="1470">
        <f t="shared" si="48"/>
        <v>0</v>
      </c>
      <c r="I153" s="1470">
        <f t="shared" si="48"/>
        <v>0</v>
      </c>
      <c r="J153" s="1470"/>
      <c r="K153" s="1470"/>
      <c r="L153" s="1470"/>
      <c r="M153" s="1470"/>
      <c r="N153" s="1470"/>
    </row>
    <row r="154" spans="2:14" hidden="1" outlineLevel="1">
      <c r="B154" s="104">
        <f>'RFM input'!F$45</f>
        <v>0</v>
      </c>
      <c r="C154" s="177"/>
      <c r="D154" s="1469">
        <f t="shared" ref="D154:I154" si="49">D44+D99</f>
        <v>0</v>
      </c>
      <c r="E154" s="1470">
        <f t="shared" si="49"/>
        <v>0</v>
      </c>
      <c r="F154" s="1470">
        <f t="shared" si="49"/>
        <v>0</v>
      </c>
      <c r="G154" s="1470">
        <f t="shared" si="49"/>
        <v>0</v>
      </c>
      <c r="H154" s="1470">
        <f t="shared" si="49"/>
        <v>0</v>
      </c>
      <c r="I154" s="1470">
        <f t="shared" si="49"/>
        <v>0</v>
      </c>
      <c r="J154" s="1470"/>
      <c r="K154" s="1470"/>
      <c r="L154" s="1470"/>
      <c r="M154" s="1470"/>
      <c r="N154" s="1470"/>
    </row>
    <row r="155" spans="2:14" hidden="1" outlineLevel="1">
      <c r="B155" s="104">
        <f>'RFM input'!F$46</f>
        <v>0</v>
      </c>
      <c r="C155" s="177"/>
      <c r="D155" s="1469">
        <f t="shared" ref="D155:I155" si="50">D45+D100</f>
        <v>0</v>
      </c>
      <c r="E155" s="1470">
        <f t="shared" si="50"/>
        <v>0</v>
      </c>
      <c r="F155" s="1470">
        <f t="shared" si="50"/>
        <v>0</v>
      </c>
      <c r="G155" s="1470">
        <f t="shared" si="50"/>
        <v>0</v>
      </c>
      <c r="H155" s="1470">
        <f t="shared" si="50"/>
        <v>0</v>
      </c>
      <c r="I155" s="1470">
        <f t="shared" si="50"/>
        <v>0</v>
      </c>
      <c r="J155" s="1470"/>
      <c r="K155" s="1470"/>
      <c r="L155" s="1470"/>
      <c r="M155" s="1470"/>
      <c r="N155" s="1470"/>
    </row>
    <row r="156" spans="2:14" hidden="1" outlineLevel="1">
      <c r="B156" s="104">
        <f>'RFM input'!F$47</f>
        <v>0</v>
      </c>
      <c r="C156" s="177"/>
      <c r="D156" s="1469">
        <f t="shared" ref="D156:I156" si="51">D46+D101</f>
        <v>0</v>
      </c>
      <c r="E156" s="1470">
        <f t="shared" si="51"/>
        <v>0</v>
      </c>
      <c r="F156" s="1470">
        <f t="shared" si="51"/>
        <v>0</v>
      </c>
      <c r="G156" s="1470">
        <f t="shared" si="51"/>
        <v>0</v>
      </c>
      <c r="H156" s="1470">
        <f t="shared" si="51"/>
        <v>0</v>
      </c>
      <c r="I156" s="1470">
        <f t="shared" si="51"/>
        <v>0</v>
      </c>
      <c r="J156" s="1470"/>
      <c r="K156" s="1470"/>
      <c r="L156" s="1470"/>
      <c r="M156" s="1470"/>
      <c r="N156" s="1470"/>
    </row>
    <row r="157" spans="2:14" hidden="1" outlineLevel="1">
      <c r="B157" s="104">
        <f>'RFM input'!F$48</f>
        <v>0</v>
      </c>
      <c r="C157" s="177"/>
      <c r="D157" s="1469">
        <f t="shared" ref="D157:I157" si="52">D47+D102</f>
        <v>0</v>
      </c>
      <c r="E157" s="1470">
        <f t="shared" si="52"/>
        <v>0</v>
      </c>
      <c r="F157" s="1470">
        <f t="shared" si="52"/>
        <v>0</v>
      </c>
      <c r="G157" s="1470">
        <f t="shared" si="52"/>
        <v>0</v>
      </c>
      <c r="H157" s="1470">
        <f t="shared" si="52"/>
        <v>0</v>
      </c>
      <c r="I157" s="1470">
        <f t="shared" si="52"/>
        <v>0</v>
      </c>
      <c r="J157" s="1470"/>
      <c r="K157" s="1470"/>
      <c r="L157" s="1470"/>
      <c r="M157" s="1470"/>
      <c r="N157" s="1470"/>
    </row>
    <row r="158" spans="2:14" hidden="1" outlineLevel="1">
      <c r="B158" s="104">
        <f>'RFM input'!F$49</f>
        <v>0</v>
      </c>
      <c r="C158" s="177"/>
      <c r="D158" s="1469">
        <f t="shared" ref="D158:I158" si="53">D48+D103</f>
        <v>0</v>
      </c>
      <c r="E158" s="1470">
        <f t="shared" si="53"/>
        <v>0</v>
      </c>
      <c r="F158" s="1470">
        <f t="shared" si="53"/>
        <v>0</v>
      </c>
      <c r="G158" s="1470">
        <f t="shared" si="53"/>
        <v>0</v>
      </c>
      <c r="H158" s="1470">
        <f t="shared" si="53"/>
        <v>0</v>
      </c>
      <c r="I158" s="1470">
        <f t="shared" si="53"/>
        <v>0</v>
      </c>
      <c r="J158" s="1470"/>
      <c r="K158" s="1470"/>
      <c r="L158" s="1470"/>
      <c r="M158" s="1470"/>
      <c r="N158" s="1470"/>
    </row>
    <row r="159" spans="2:14" hidden="1" outlineLevel="1">
      <c r="B159" s="104">
        <f>'RFM input'!F$50</f>
        <v>0</v>
      </c>
      <c r="C159" s="177"/>
      <c r="D159" s="1469">
        <f t="shared" ref="D159:I159" si="54">D49+D104</f>
        <v>0</v>
      </c>
      <c r="E159" s="1470">
        <f t="shared" si="54"/>
        <v>0</v>
      </c>
      <c r="F159" s="1470">
        <f t="shared" si="54"/>
        <v>0</v>
      </c>
      <c r="G159" s="1470">
        <f t="shared" si="54"/>
        <v>0</v>
      </c>
      <c r="H159" s="1470">
        <f t="shared" si="54"/>
        <v>0</v>
      </c>
      <c r="I159" s="1470">
        <f t="shared" si="54"/>
        <v>0</v>
      </c>
      <c r="J159" s="1470"/>
      <c r="K159" s="1470"/>
      <c r="L159" s="1470"/>
      <c r="M159" s="1470"/>
      <c r="N159" s="1470"/>
    </row>
    <row r="160" spans="2:14" hidden="1" outlineLevel="1">
      <c r="B160" s="104">
        <f>'RFM input'!F$51</f>
        <v>0</v>
      </c>
      <c r="C160" s="177"/>
      <c r="D160" s="1469">
        <f t="shared" ref="D160:I160" si="55">D50+D105</f>
        <v>0</v>
      </c>
      <c r="E160" s="1470">
        <f t="shared" si="55"/>
        <v>0</v>
      </c>
      <c r="F160" s="1470">
        <f t="shared" si="55"/>
        <v>0</v>
      </c>
      <c r="G160" s="1470">
        <f t="shared" si="55"/>
        <v>0</v>
      </c>
      <c r="H160" s="1470">
        <f t="shared" si="55"/>
        <v>0</v>
      </c>
      <c r="I160" s="1470">
        <f t="shared" si="55"/>
        <v>0</v>
      </c>
      <c r="J160" s="1470"/>
      <c r="K160" s="1470"/>
      <c r="L160" s="1470"/>
      <c r="M160" s="1470"/>
      <c r="N160" s="1470"/>
    </row>
    <row r="161" spans="2:14" hidden="1" outlineLevel="1">
      <c r="B161" s="104">
        <f>'RFM input'!F$52</f>
        <v>0</v>
      </c>
      <c r="C161" s="177"/>
      <c r="D161" s="1469">
        <f t="shared" ref="D161:I161" si="56">D51+D106</f>
        <v>0</v>
      </c>
      <c r="E161" s="1470">
        <f t="shared" si="56"/>
        <v>0</v>
      </c>
      <c r="F161" s="1470">
        <f t="shared" si="56"/>
        <v>0</v>
      </c>
      <c r="G161" s="1470">
        <f t="shared" si="56"/>
        <v>0</v>
      </c>
      <c r="H161" s="1470">
        <f t="shared" si="56"/>
        <v>0</v>
      </c>
      <c r="I161" s="1470">
        <f t="shared" si="56"/>
        <v>0</v>
      </c>
      <c r="J161" s="1470"/>
      <c r="K161" s="1470"/>
      <c r="L161" s="1470"/>
      <c r="M161" s="1470"/>
      <c r="N161" s="1470"/>
    </row>
    <row r="162" spans="2:14" hidden="1" outlineLevel="1">
      <c r="B162" s="104">
        <f>'RFM input'!F$53</f>
        <v>0</v>
      </c>
      <c r="C162" s="177"/>
      <c r="D162" s="1469">
        <f t="shared" ref="D162:I162" si="57">D52+D107</f>
        <v>0</v>
      </c>
      <c r="E162" s="1470">
        <f t="shared" si="57"/>
        <v>0</v>
      </c>
      <c r="F162" s="1470">
        <f t="shared" si="57"/>
        <v>0</v>
      </c>
      <c r="G162" s="1470">
        <f t="shared" si="57"/>
        <v>0</v>
      </c>
      <c r="H162" s="1470">
        <f t="shared" si="57"/>
        <v>0</v>
      </c>
      <c r="I162" s="1470">
        <f t="shared" si="57"/>
        <v>0</v>
      </c>
      <c r="J162" s="1470"/>
      <c r="K162" s="1470"/>
      <c r="L162" s="1470"/>
      <c r="M162" s="1470"/>
      <c r="N162" s="1470"/>
    </row>
    <row r="163" spans="2:14" hidden="1" outlineLevel="1">
      <c r="B163" s="104">
        <f>'RFM input'!F$54</f>
        <v>0</v>
      </c>
      <c r="C163" s="177"/>
      <c r="D163" s="1469">
        <f t="shared" ref="D163:I163" si="58">D53+D108</f>
        <v>4</v>
      </c>
      <c r="E163" s="1470">
        <f t="shared" si="58"/>
        <v>4</v>
      </c>
      <c r="F163" s="1470">
        <f t="shared" si="58"/>
        <v>4</v>
      </c>
      <c r="G163" s="1470">
        <f t="shared" si="58"/>
        <v>4</v>
      </c>
      <c r="H163" s="1470">
        <f t="shared" si="58"/>
        <v>4</v>
      </c>
      <c r="I163" s="1470">
        <f t="shared" si="58"/>
        <v>4</v>
      </c>
      <c r="J163" s="1470"/>
      <c r="K163" s="1470"/>
      <c r="L163" s="1470"/>
      <c r="M163" s="1470"/>
      <c r="N163" s="1470"/>
    </row>
    <row r="164" spans="2:14" hidden="1" outlineLevel="1">
      <c r="B164" s="104">
        <f>'RFM input'!F$55</f>
        <v>0</v>
      </c>
      <c r="C164" s="177"/>
      <c r="D164" s="1469">
        <f t="shared" ref="D164:I164" si="59">D54+D109</f>
        <v>3</v>
      </c>
      <c r="E164" s="1470">
        <f t="shared" si="59"/>
        <v>3</v>
      </c>
      <c r="F164" s="1470">
        <f t="shared" si="59"/>
        <v>3</v>
      </c>
      <c r="G164" s="1470">
        <f t="shared" si="59"/>
        <v>3</v>
      </c>
      <c r="H164" s="1470">
        <f t="shared" si="59"/>
        <v>3</v>
      </c>
      <c r="I164" s="1470">
        <f t="shared" si="59"/>
        <v>3</v>
      </c>
      <c r="J164" s="1470"/>
      <c r="K164" s="1470"/>
      <c r="L164" s="1470"/>
      <c r="M164" s="1470"/>
      <c r="N164" s="1470"/>
    </row>
    <row r="165" spans="2:14" hidden="1" outlineLevel="1">
      <c r="B165" s="104">
        <f>'RFM input'!F$56</f>
        <v>0</v>
      </c>
      <c r="C165" s="177"/>
      <c r="D165" s="1469">
        <f t="shared" ref="D165:I165" si="60">D55+D110</f>
        <v>0</v>
      </c>
      <c r="E165" s="1470">
        <f t="shared" si="60"/>
        <v>0</v>
      </c>
      <c r="F165" s="1470">
        <f t="shared" si="60"/>
        <v>0</v>
      </c>
      <c r="G165" s="1470">
        <f t="shared" si="60"/>
        <v>0</v>
      </c>
      <c r="H165" s="1470">
        <f t="shared" si="60"/>
        <v>0</v>
      </c>
      <c r="I165" s="1470">
        <f t="shared" si="60"/>
        <v>0</v>
      </c>
      <c r="J165" s="1470"/>
      <c r="K165" s="1470"/>
      <c r="L165" s="1470"/>
      <c r="M165" s="1470"/>
      <c r="N165" s="1470"/>
    </row>
    <row r="166" spans="2:14" collapsed="1">
      <c r="B166" s="104" t="s">
        <v>18</v>
      </c>
      <c r="C166" s="152"/>
      <c r="D166" s="150">
        <f>SUM(D116:D165)</f>
        <v>115</v>
      </c>
      <c r="E166" s="150">
        <f t="shared" ref="E166" si="61">SUM(E116:E165)</f>
        <v>122</v>
      </c>
      <c r="F166" s="150">
        <f t="shared" ref="F166" si="62">SUM(F116:F165)</f>
        <v>74</v>
      </c>
      <c r="G166" s="150">
        <f t="shared" ref="G166" si="63">SUM(G116:G165)</f>
        <v>110</v>
      </c>
      <c r="H166" s="150">
        <f t="shared" ref="H166" si="64">SUM(H116:H165)</f>
        <v>75</v>
      </c>
      <c r="I166" s="150">
        <f t="shared" ref="I166" si="65">SUM(I116:I165)</f>
        <v>87</v>
      </c>
      <c r="J166" s="150">
        <f t="shared" ref="J166" si="66">SUM(J116:J165)</f>
        <v>0</v>
      </c>
      <c r="K166" s="150">
        <f t="shared" ref="K166" si="67">SUM(K116:K165)</f>
        <v>0</v>
      </c>
      <c r="L166" s="150">
        <f t="shared" ref="L166" si="68">SUM(L116:L165)</f>
        <v>0</v>
      </c>
      <c r="M166" s="150">
        <f t="shared" ref="M166" si="69">SUM(M116:M165)</f>
        <v>0</v>
      </c>
      <c r="N166" s="150">
        <f t="shared" ref="N166" si="70">SUM(N116:N165)</f>
        <v>0</v>
      </c>
    </row>
  </sheetData>
  <mergeCells count="3">
    <mergeCell ref="B4:G4"/>
    <mergeCell ref="B59:G59"/>
    <mergeCell ref="B114:G114"/>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Button 1">
              <controlPr defaultSize="0" print="0" autoFill="0" autoPict="0" macro="[0]!ClearSheet">
                <anchor moveWithCells="1" sizeWithCells="1">
                  <from>
                    <xdr:col>6</xdr:col>
                    <xdr:colOff>133350</xdr:colOff>
                    <xdr:row>1</xdr:row>
                    <xdr:rowOff>19050</xdr:rowOff>
                  </from>
                  <to>
                    <xdr:col>10</xdr:col>
                    <xdr:colOff>9525</xdr:colOff>
                    <xdr:row>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theme="0" tint="-0.499984740745262"/>
  </sheetPr>
  <dimension ref="A1:AK107"/>
  <sheetViews>
    <sheetView showGridLines="0" zoomScale="90" zoomScaleNormal="90" workbookViewId="0">
      <pane xSplit="2" topLeftCell="C1" activePane="topRight" state="frozen"/>
      <selection activeCell="AL19" sqref="AL19"/>
      <selection pane="topRight" activeCell="AL19" sqref="AL19"/>
    </sheetView>
  </sheetViews>
  <sheetFormatPr defaultColWidth="9.140625" defaultRowHeight="15"/>
  <cols>
    <col min="1" max="1" width="16.7109375" style="419" customWidth="1"/>
    <col min="2" max="2" width="33.85546875" style="422" customWidth="1"/>
    <col min="3" max="3" width="60.5703125" style="422" customWidth="1"/>
    <col min="4" max="4" width="38.85546875" style="419" customWidth="1"/>
    <col min="5" max="5" width="26.42578125" style="424" customWidth="1"/>
    <col min="6" max="6" width="22.140625" style="419" customWidth="1"/>
    <col min="7" max="7" width="27.28515625" style="419" customWidth="1"/>
    <col min="8" max="8" width="28.28515625" style="422" customWidth="1"/>
    <col min="9" max="9" width="19" style="423" customWidth="1"/>
    <col min="10" max="10" width="25.7109375" style="422" customWidth="1"/>
    <col min="11" max="11" width="27.85546875" style="422" customWidth="1"/>
    <col min="12" max="12" width="27.5703125" style="421" customWidth="1"/>
    <col min="13" max="13" width="27.85546875" style="419" customWidth="1"/>
    <col min="14" max="14" width="21" style="419" customWidth="1"/>
    <col min="15" max="15" width="34.28515625" style="420" customWidth="1"/>
    <col min="16" max="16" width="21" style="420" customWidth="1"/>
    <col min="17" max="18" width="22.28515625" style="420" customWidth="1"/>
    <col min="19" max="20" width="25" style="420" customWidth="1"/>
    <col min="21" max="21" width="22.5703125" style="420" customWidth="1"/>
    <col min="22" max="23" width="23.85546875" style="420" customWidth="1"/>
    <col min="24" max="24" width="26.42578125" style="419" customWidth="1"/>
    <col min="25" max="25" width="37.85546875" style="419" customWidth="1"/>
    <col min="26" max="26" width="21.28515625" style="419" customWidth="1"/>
    <col min="27" max="28" width="27" style="419" customWidth="1"/>
    <col min="29" max="30" width="30.140625" style="419" customWidth="1"/>
    <col min="31" max="31" width="25.140625" style="419" customWidth="1"/>
    <col min="32" max="32" width="28.85546875" style="419" customWidth="1"/>
    <col min="33" max="33" width="28.5703125" style="419" customWidth="1"/>
    <col min="34" max="34" width="25.140625" style="419" customWidth="1"/>
    <col min="35" max="35" width="30" style="419" customWidth="1"/>
    <col min="36" max="36" width="32" style="419" customWidth="1"/>
    <col min="37" max="37" width="28.5703125" style="419" customWidth="1"/>
    <col min="38" max="16384" width="9.140625" style="419"/>
  </cols>
  <sheetData>
    <row r="1" spans="1:37" ht="51" customHeight="1">
      <c r="B1" s="704" t="s">
        <v>880</v>
      </c>
      <c r="C1" s="703"/>
      <c r="D1" s="703"/>
      <c r="E1" s="703"/>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3"/>
      <c r="AK1" s="703"/>
    </row>
    <row r="2" spans="1:37" ht="24.75" customHeight="1" thickBot="1">
      <c r="B2" s="419"/>
      <c r="C2" s="419"/>
      <c r="E2" s="419"/>
      <c r="H2" s="419"/>
      <c r="I2" s="419"/>
      <c r="J2" s="419"/>
      <c r="K2" s="419"/>
      <c r="L2" s="419"/>
      <c r="O2" s="419"/>
      <c r="P2" s="419"/>
      <c r="Q2" s="419"/>
      <c r="R2" s="419"/>
      <c r="S2" s="419"/>
      <c r="T2" s="419"/>
      <c r="U2" s="419"/>
      <c r="V2" s="419"/>
      <c r="W2" s="419"/>
    </row>
    <row r="3" spans="1:37" ht="15" customHeight="1">
      <c r="B3" s="852" t="s">
        <v>133</v>
      </c>
      <c r="C3" s="851"/>
      <c r="D3" s="851"/>
      <c r="E3" s="851"/>
      <c r="F3" s="851"/>
      <c r="G3" s="850"/>
      <c r="H3" s="419"/>
      <c r="I3" s="419"/>
      <c r="J3" s="419"/>
      <c r="K3" s="419"/>
      <c r="L3" s="419"/>
    </row>
    <row r="4" spans="1:37">
      <c r="B4" s="849" t="s">
        <v>134</v>
      </c>
      <c r="C4" s="847">
        <v>42751</v>
      </c>
      <c r="D4" s="845" t="s">
        <v>457</v>
      </c>
      <c r="E4" s="846"/>
      <c r="F4" s="845"/>
      <c r="G4" s="844"/>
      <c r="H4" s="419"/>
      <c r="I4" s="419"/>
      <c r="J4" s="419"/>
      <c r="K4" s="419"/>
      <c r="L4" s="419"/>
    </row>
    <row r="5" spans="1:37">
      <c r="B5" s="849"/>
      <c r="C5" s="847">
        <v>42660</v>
      </c>
      <c r="D5" s="845" t="s">
        <v>458</v>
      </c>
      <c r="E5" s="846"/>
      <c r="F5" s="845"/>
      <c r="G5" s="844"/>
      <c r="H5" s="419"/>
      <c r="I5" s="419"/>
      <c r="J5" s="419"/>
      <c r="K5" s="419"/>
      <c r="L5" s="419"/>
    </row>
    <row r="6" spans="1:37">
      <c r="B6" s="849"/>
      <c r="C6" s="847">
        <v>42767</v>
      </c>
      <c r="D6" s="845" t="s">
        <v>459</v>
      </c>
      <c r="E6" s="846"/>
      <c r="F6" s="845"/>
      <c r="G6" s="844"/>
      <c r="H6" s="419"/>
      <c r="I6" s="419"/>
      <c r="J6" s="419"/>
      <c r="K6" s="419"/>
      <c r="L6" s="419"/>
    </row>
    <row r="7" spans="1:37">
      <c r="B7" s="848"/>
      <c r="C7" s="847">
        <v>42797</v>
      </c>
      <c r="D7" s="845" t="s">
        <v>460</v>
      </c>
      <c r="E7" s="846"/>
      <c r="F7" s="845"/>
      <c r="G7" s="844"/>
      <c r="H7" s="419"/>
      <c r="I7" s="419"/>
      <c r="J7" s="419"/>
      <c r="K7" s="419"/>
      <c r="L7" s="419"/>
    </row>
    <row r="8" spans="1:37">
      <c r="B8" s="848"/>
      <c r="C8" s="847">
        <v>43187</v>
      </c>
      <c r="D8" s="845" t="s">
        <v>879</v>
      </c>
      <c r="E8" s="846"/>
      <c r="F8" s="845"/>
      <c r="G8" s="844"/>
      <c r="H8" s="419"/>
      <c r="I8" s="419"/>
      <c r="J8" s="419"/>
      <c r="K8" s="419"/>
      <c r="L8" s="419"/>
    </row>
    <row r="9" spans="1:37" ht="15.75" thickBot="1">
      <c r="B9" s="843"/>
      <c r="C9" s="842" t="s">
        <v>878</v>
      </c>
      <c r="D9" s="841">
        <v>5</v>
      </c>
      <c r="E9" s="841"/>
      <c r="F9" s="840"/>
      <c r="G9" s="839"/>
      <c r="H9" s="419"/>
      <c r="I9" s="419"/>
      <c r="J9" s="419"/>
      <c r="K9" s="419"/>
      <c r="L9" s="419"/>
    </row>
    <row r="10" spans="1:37" ht="15.75" thickBot="1">
      <c r="B10" s="419"/>
      <c r="C10" s="419"/>
      <c r="E10" s="419"/>
      <c r="H10" s="419"/>
      <c r="I10" s="419"/>
      <c r="J10" s="419"/>
      <c r="K10" s="419"/>
      <c r="L10" s="419"/>
      <c r="O10" s="419"/>
      <c r="P10" s="419"/>
      <c r="Q10" s="419"/>
      <c r="R10" s="419"/>
      <c r="S10" s="419"/>
      <c r="T10" s="419"/>
      <c r="U10" s="419"/>
      <c r="V10" s="419"/>
      <c r="W10" s="419"/>
    </row>
    <row r="11" spans="1:37" ht="16.5" thickBot="1">
      <c r="B11" s="838"/>
      <c r="C11" s="836"/>
      <c r="D11" s="836"/>
      <c r="E11" s="836"/>
      <c r="F11" s="836"/>
      <c r="G11" s="836"/>
      <c r="H11" s="836"/>
      <c r="I11" s="836"/>
      <c r="J11" s="836"/>
      <c r="K11" s="836"/>
      <c r="L11" s="836"/>
      <c r="M11" s="836"/>
      <c r="N11" s="836"/>
      <c r="O11" s="837"/>
      <c r="P11" s="837"/>
      <c r="Q11" s="837"/>
      <c r="R11" s="837"/>
      <c r="S11" s="837"/>
      <c r="T11" s="837"/>
      <c r="U11" s="837"/>
      <c r="V11" s="837"/>
      <c r="W11" s="837"/>
      <c r="X11" s="836"/>
      <c r="Y11" s="836"/>
      <c r="Z11" s="1509" t="s">
        <v>461</v>
      </c>
      <c r="AA11" s="1509"/>
      <c r="AB11" s="1509"/>
      <c r="AC11" s="1509"/>
      <c r="AD11" s="1509"/>
      <c r="AE11" s="1509"/>
      <c r="AF11" s="1509"/>
      <c r="AG11" s="1509"/>
      <c r="AH11" s="1509"/>
      <c r="AI11" s="1509"/>
      <c r="AJ11" s="1509"/>
      <c r="AK11" s="835"/>
    </row>
    <row r="12" spans="1:37">
      <c r="B12" s="833"/>
      <c r="C12" s="831"/>
      <c r="D12" s="831"/>
      <c r="E12" s="831"/>
      <c r="F12" s="831"/>
      <c r="G12" s="831"/>
      <c r="H12" s="831"/>
      <c r="I12" s="831"/>
      <c r="J12" s="831"/>
      <c r="K12" s="831"/>
      <c r="L12" s="831"/>
      <c r="M12" s="831"/>
      <c r="N12" s="832"/>
      <c r="O12" s="832"/>
      <c r="P12" s="832"/>
      <c r="Q12" s="832"/>
      <c r="R12" s="832"/>
      <c r="S12" s="832"/>
      <c r="T12" s="832"/>
      <c r="U12" s="832"/>
      <c r="V12" s="832"/>
      <c r="W12" s="831"/>
      <c r="X12" s="831"/>
      <c r="Y12" s="831"/>
      <c r="Z12" s="1510" t="s">
        <v>206</v>
      </c>
      <c r="AA12" s="1511"/>
      <c r="AB12" s="1511"/>
      <c r="AC12" s="1511"/>
      <c r="AD12" s="834" t="s">
        <v>174</v>
      </c>
      <c r="AE12" s="1512" t="s">
        <v>207</v>
      </c>
      <c r="AF12" s="1513"/>
      <c r="AG12" s="1513"/>
      <c r="AH12" s="1513"/>
      <c r="AI12" s="1514"/>
      <c r="AJ12" s="1515"/>
      <c r="AK12" s="507"/>
    </row>
    <row r="13" spans="1:37">
      <c r="B13" s="833"/>
      <c r="C13" s="831"/>
      <c r="D13" s="831"/>
      <c r="E13" s="831"/>
      <c r="F13" s="831"/>
      <c r="G13" s="831"/>
      <c r="H13" s="831"/>
      <c r="I13" s="831"/>
      <c r="J13" s="831"/>
      <c r="K13" s="831"/>
      <c r="L13" s="831"/>
      <c r="M13" s="831"/>
      <c r="N13" s="832"/>
      <c r="O13" s="832"/>
      <c r="P13" s="832"/>
      <c r="Q13" s="832"/>
      <c r="R13" s="832"/>
      <c r="S13" s="832"/>
      <c r="T13" s="832"/>
      <c r="U13" s="832"/>
      <c r="V13" s="832"/>
      <c r="W13" s="831"/>
      <c r="X13" s="831"/>
      <c r="Y13" s="831"/>
      <c r="Z13" s="830"/>
      <c r="AA13" s="829"/>
      <c r="AB13" s="829"/>
      <c r="AC13" s="829"/>
      <c r="AD13" s="828"/>
      <c r="AE13" s="827"/>
      <c r="AF13" s="826"/>
      <c r="AG13" s="826"/>
      <c r="AH13" s="826"/>
      <c r="AI13" s="825"/>
      <c r="AJ13" s="1516"/>
      <c r="AK13" s="507"/>
    </row>
    <row r="14" spans="1:37" ht="15.75" thickBot="1">
      <c r="B14" s="824"/>
      <c r="C14" s="823"/>
      <c r="D14" s="817"/>
      <c r="E14" s="822"/>
      <c r="F14" s="817"/>
      <c r="G14" s="817"/>
      <c r="H14" s="820"/>
      <c r="I14" s="821"/>
      <c r="J14" s="820"/>
      <c r="K14" s="820"/>
      <c r="L14" s="819"/>
      <c r="M14" s="817"/>
      <c r="N14" s="818"/>
      <c r="O14" s="818"/>
      <c r="P14" s="818"/>
      <c r="Q14" s="818"/>
      <c r="R14" s="818"/>
      <c r="S14" s="818"/>
      <c r="T14" s="818"/>
      <c r="U14" s="818"/>
      <c r="V14" s="818"/>
      <c r="W14" s="817"/>
      <c r="X14" s="817"/>
      <c r="Y14" s="817"/>
      <c r="Z14" s="816" t="s">
        <v>208</v>
      </c>
      <c r="AA14" s="815" t="s">
        <v>209</v>
      </c>
      <c r="AB14" s="815" t="s">
        <v>210</v>
      </c>
      <c r="AC14" s="815" t="s">
        <v>211</v>
      </c>
      <c r="AD14" s="814" t="s">
        <v>212</v>
      </c>
      <c r="AE14" s="813"/>
      <c r="AF14" s="812"/>
      <c r="AG14" s="812"/>
      <c r="AH14" s="812"/>
      <c r="AI14" s="811"/>
      <c r="AJ14" s="1517"/>
      <c r="AK14" s="810"/>
    </row>
    <row r="15" spans="1:37" s="605" customFormat="1" ht="40.5" customHeight="1">
      <c r="A15" s="809"/>
      <c r="B15" s="1313" t="s">
        <v>148</v>
      </c>
      <c r="C15" s="1314" t="s">
        <v>213</v>
      </c>
      <c r="D15" s="1315" t="s">
        <v>149</v>
      </c>
      <c r="E15" s="1316" t="s">
        <v>156</v>
      </c>
      <c r="F15" s="1317" t="s">
        <v>151</v>
      </c>
      <c r="G15" s="1317" t="s">
        <v>152</v>
      </c>
      <c r="H15" s="1317" t="s">
        <v>153</v>
      </c>
      <c r="I15" s="1317" t="s">
        <v>214</v>
      </c>
      <c r="J15" s="1317" t="s">
        <v>215</v>
      </c>
      <c r="K15" s="1318" t="s">
        <v>154</v>
      </c>
      <c r="L15" s="1319" t="s">
        <v>155</v>
      </c>
      <c r="M15" s="1319" t="s">
        <v>877</v>
      </c>
      <c r="N15" s="1320" t="s">
        <v>216</v>
      </c>
      <c r="O15" s="1321" t="s">
        <v>217</v>
      </c>
      <c r="P15" s="1322" t="s">
        <v>218</v>
      </c>
      <c r="Q15" s="1323" t="s">
        <v>219</v>
      </c>
      <c r="R15" s="1323" t="s">
        <v>220</v>
      </c>
      <c r="S15" s="1323" t="s">
        <v>150</v>
      </c>
      <c r="T15" s="1323" t="s">
        <v>221</v>
      </c>
      <c r="U15" s="1324" t="s">
        <v>222</v>
      </c>
      <c r="V15" s="1324" t="s">
        <v>223</v>
      </c>
      <c r="W15" s="1324" t="s">
        <v>224</v>
      </c>
      <c r="X15" s="1324" t="s">
        <v>225</v>
      </c>
      <c r="Y15" s="1324" t="s">
        <v>226</v>
      </c>
      <c r="Z15" s="1325" t="s">
        <v>227</v>
      </c>
      <c r="AA15" s="1325" t="s">
        <v>228</v>
      </c>
      <c r="AB15" s="1325" t="s">
        <v>229</v>
      </c>
      <c r="AC15" s="1325" t="s">
        <v>230</v>
      </c>
      <c r="AD15" s="1325" t="s">
        <v>231</v>
      </c>
      <c r="AE15" s="1326" t="s">
        <v>232</v>
      </c>
      <c r="AF15" s="1325" t="s">
        <v>233</v>
      </c>
      <c r="AG15" s="1325" t="s">
        <v>234</v>
      </c>
      <c r="AH15" s="1325" t="s">
        <v>235</v>
      </c>
      <c r="AI15" s="1327" t="s">
        <v>236</v>
      </c>
      <c r="AJ15" s="1328" t="s">
        <v>876</v>
      </c>
      <c r="AK15" s="1329" t="s">
        <v>875</v>
      </c>
    </row>
    <row r="16" spans="1:37">
      <c r="B16" s="1308" t="s">
        <v>160</v>
      </c>
      <c r="C16" s="785" t="s">
        <v>160</v>
      </c>
      <c r="D16" s="784">
        <v>67505337385</v>
      </c>
      <c r="E16" s="783" t="s">
        <v>78</v>
      </c>
      <c r="F16" s="776" t="s">
        <v>82</v>
      </c>
      <c r="G16" s="776" t="s">
        <v>158</v>
      </c>
      <c r="H16" s="781" t="s">
        <v>132</v>
      </c>
      <c r="I16" s="782" t="s">
        <v>237</v>
      </c>
      <c r="J16" s="781" t="s">
        <v>238</v>
      </c>
      <c r="K16" s="780">
        <v>5</v>
      </c>
      <c r="L16" s="792">
        <v>5</v>
      </c>
      <c r="M16" s="791">
        <v>5</v>
      </c>
      <c r="N16" s="777">
        <v>5</v>
      </c>
      <c r="O16" s="790" t="s">
        <v>239</v>
      </c>
      <c r="P16" s="775" t="s">
        <v>251</v>
      </c>
      <c r="Q16" s="774"/>
      <c r="R16" s="774" t="s">
        <v>249</v>
      </c>
      <c r="S16" s="774" t="s">
        <v>78</v>
      </c>
      <c r="T16" s="773">
        <v>2000</v>
      </c>
      <c r="U16" s="775" t="s">
        <v>462</v>
      </c>
      <c r="V16" s="774"/>
      <c r="W16" s="774" t="s">
        <v>249</v>
      </c>
      <c r="X16" s="774" t="s">
        <v>78</v>
      </c>
      <c r="Y16" s="773">
        <v>2001</v>
      </c>
      <c r="Z16" s="772" t="s">
        <v>244</v>
      </c>
      <c r="AA16" s="771" t="s">
        <v>244</v>
      </c>
      <c r="AB16" s="771" t="s">
        <v>244</v>
      </c>
      <c r="AC16" s="771" t="s">
        <v>244</v>
      </c>
      <c r="AD16" s="771" t="s">
        <v>243</v>
      </c>
      <c r="AE16" s="772" t="s">
        <v>208</v>
      </c>
      <c r="AF16" s="771" t="s">
        <v>209</v>
      </c>
      <c r="AG16" s="771" t="s">
        <v>210</v>
      </c>
      <c r="AH16" s="770" t="s">
        <v>245</v>
      </c>
      <c r="AI16" s="769"/>
      <c r="AJ16" s="768" t="s">
        <v>244</v>
      </c>
      <c r="AK16" s="1311" t="str">
        <f t="shared" ref="AK16:AK33" si="0">B16</f>
        <v>Ausgrid</v>
      </c>
    </row>
    <row r="17" spans="2:37">
      <c r="B17" s="1309" t="s">
        <v>161</v>
      </c>
      <c r="C17" s="767" t="s">
        <v>161</v>
      </c>
      <c r="D17" s="766">
        <v>67505337385</v>
      </c>
      <c r="E17" s="765" t="s">
        <v>78</v>
      </c>
      <c r="F17" s="758" t="s">
        <v>82</v>
      </c>
      <c r="G17" s="758" t="s">
        <v>158</v>
      </c>
      <c r="H17" s="763" t="s">
        <v>132</v>
      </c>
      <c r="I17" s="764" t="s">
        <v>237</v>
      </c>
      <c r="J17" s="763" t="s">
        <v>238</v>
      </c>
      <c r="K17" s="762">
        <v>5</v>
      </c>
      <c r="L17" s="789">
        <v>5</v>
      </c>
      <c r="M17" s="788">
        <v>5</v>
      </c>
      <c r="N17" s="759">
        <v>5</v>
      </c>
      <c r="O17" s="758" t="s">
        <v>246</v>
      </c>
      <c r="P17" s="757" t="s">
        <v>251</v>
      </c>
      <c r="Q17" s="756"/>
      <c r="R17" s="756" t="s">
        <v>249</v>
      </c>
      <c r="S17" s="756" t="s">
        <v>78</v>
      </c>
      <c r="T17" s="755">
        <v>2000</v>
      </c>
      <c r="U17" s="757" t="s">
        <v>462</v>
      </c>
      <c r="V17" s="756"/>
      <c r="W17" s="756" t="s">
        <v>249</v>
      </c>
      <c r="X17" s="756" t="s">
        <v>78</v>
      </c>
      <c r="Y17" s="755">
        <v>2001</v>
      </c>
      <c r="Z17" s="754" t="s">
        <v>244</v>
      </c>
      <c r="AA17" s="753" t="s">
        <v>244</v>
      </c>
      <c r="AB17" s="753" t="s">
        <v>244</v>
      </c>
      <c r="AC17" s="753" t="s">
        <v>244</v>
      </c>
      <c r="AD17" s="753" t="s">
        <v>243</v>
      </c>
      <c r="AE17" s="754" t="s">
        <v>208</v>
      </c>
      <c r="AF17" s="753" t="s">
        <v>209</v>
      </c>
      <c r="AG17" s="753" t="s">
        <v>210</v>
      </c>
      <c r="AH17" s="752" t="s">
        <v>245</v>
      </c>
      <c r="AI17" s="751"/>
      <c r="AJ17" s="750" t="s">
        <v>243</v>
      </c>
      <c r="AK17" s="1312" t="str">
        <f t="shared" si="0"/>
        <v>Ausgrid (Tx Assets)</v>
      </c>
    </row>
    <row r="18" spans="2:37">
      <c r="B18" s="1308" t="s">
        <v>162</v>
      </c>
      <c r="C18" s="785" t="s">
        <v>464</v>
      </c>
      <c r="D18" s="784">
        <v>91064651118</v>
      </c>
      <c r="E18" s="783" t="s">
        <v>163</v>
      </c>
      <c r="F18" s="776" t="s">
        <v>82</v>
      </c>
      <c r="G18" s="776" t="s">
        <v>158</v>
      </c>
      <c r="H18" s="781" t="s">
        <v>132</v>
      </c>
      <c r="I18" s="782" t="s">
        <v>252</v>
      </c>
      <c r="J18" s="781" t="s">
        <v>253</v>
      </c>
      <c r="K18" s="780">
        <v>5</v>
      </c>
      <c r="L18" s="792">
        <v>5</v>
      </c>
      <c r="M18" s="791">
        <v>5</v>
      </c>
      <c r="N18" s="777">
        <v>2</v>
      </c>
      <c r="O18" s="790" t="s">
        <v>254</v>
      </c>
      <c r="P18" s="775" t="s">
        <v>255</v>
      </c>
      <c r="Q18" s="774" t="s">
        <v>256</v>
      </c>
      <c r="R18" s="774" t="s">
        <v>257</v>
      </c>
      <c r="S18" s="774" t="s">
        <v>163</v>
      </c>
      <c r="T18" s="773">
        <v>3006</v>
      </c>
      <c r="U18" s="808" t="s">
        <v>258</v>
      </c>
      <c r="V18" s="774"/>
      <c r="W18" s="774" t="s">
        <v>259</v>
      </c>
      <c r="X18" s="774" t="s">
        <v>163</v>
      </c>
      <c r="Y18" s="773">
        <v>8001</v>
      </c>
      <c r="Z18" s="772" t="s">
        <v>243</v>
      </c>
      <c r="AA18" s="771" t="s">
        <v>244</v>
      </c>
      <c r="AB18" s="771" t="s">
        <v>244</v>
      </c>
      <c r="AC18" s="771" t="s">
        <v>244</v>
      </c>
      <c r="AD18" s="771" t="s">
        <v>243</v>
      </c>
      <c r="AE18" s="772" t="s">
        <v>208</v>
      </c>
      <c r="AF18" s="771" t="s">
        <v>209</v>
      </c>
      <c r="AG18" s="771" t="s">
        <v>210</v>
      </c>
      <c r="AH18" s="770" t="s">
        <v>245</v>
      </c>
      <c r="AI18" s="769"/>
      <c r="AJ18" s="768" t="s">
        <v>244</v>
      </c>
      <c r="AK18" s="1311" t="str">
        <f t="shared" si="0"/>
        <v>AusNet (D)</v>
      </c>
    </row>
    <row r="19" spans="2:37">
      <c r="B19" s="1310" t="s">
        <v>164</v>
      </c>
      <c r="C19" s="806" t="s">
        <v>164</v>
      </c>
      <c r="D19" s="805">
        <v>11222333444</v>
      </c>
      <c r="E19" s="804" t="s">
        <v>78</v>
      </c>
      <c r="F19" s="758" t="s">
        <v>82</v>
      </c>
      <c r="G19" s="758" t="s">
        <v>158</v>
      </c>
      <c r="H19" s="758" t="s">
        <v>132</v>
      </c>
      <c r="I19" s="796" t="s">
        <v>237</v>
      </c>
      <c r="J19" s="758" t="s">
        <v>238</v>
      </c>
      <c r="K19" s="807">
        <v>5</v>
      </c>
      <c r="L19" s="789">
        <v>5</v>
      </c>
      <c r="M19" s="788">
        <v>5</v>
      </c>
      <c r="N19" s="759">
        <v>2</v>
      </c>
      <c r="O19" s="758" t="s">
        <v>246</v>
      </c>
      <c r="P19" s="757" t="s">
        <v>74</v>
      </c>
      <c r="Q19" s="756"/>
      <c r="R19" s="756" t="s">
        <v>249</v>
      </c>
      <c r="S19" s="756" t="s">
        <v>78</v>
      </c>
      <c r="T19" s="755">
        <v>2000</v>
      </c>
      <c r="U19" s="757" t="s">
        <v>79</v>
      </c>
      <c r="V19" s="756"/>
      <c r="W19" s="756" t="s">
        <v>249</v>
      </c>
      <c r="X19" s="756" t="s">
        <v>78</v>
      </c>
      <c r="Y19" s="755">
        <v>2000</v>
      </c>
      <c r="Z19" s="754" t="s">
        <v>244</v>
      </c>
      <c r="AA19" s="753" t="s">
        <v>244</v>
      </c>
      <c r="AB19" s="753" t="s">
        <v>244</v>
      </c>
      <c r="AC19" s="753" t="s">
        <v>244</v>
      </c>
      <c r="AD19" s="753" t="s">
        <v>243</v>
      </c>
      <c r="AE19" s="754" t="s">
        <v>208</v>
      </c>
      <c r="AF19" s="753" t="s">
        <v>209</v>
      </c>
      <c r="AG19" s="753" t="s">
        <v>210</v>
      </c>
      <c r="AH19" s="752" t="s">
        <v>245</v>
      </c>
      <c r="AI19" s="751"/>
      <c r="AJ19" s="750" t="s">
        <v>244</v>
      </c>
      <c r="AK19" s="1312" t="str">
        <f t="shared" si="0"/>
        <v>Australian Distribution Co.</v>
      </c>
    </row>
    <row r="20" spans="2:37">
      <c r="B20" s="1310" t="s">
        <v>465</v>
      </c>
      <c r="C20" s="806" t="s">
        <v>466</v>
      </c>
      <c r="D20" s="805">
        <v>11222333444</v>
      </c>
      <c r="E20" s="804" t="s">
        <v>163</v>
      </c>
      <c r="F20" s="758" t="s">
        <v>82</v>
      </c>
      <c r="G20" s="758" t="s">
        <v>158</v>
      </c>
      <c r="H20" s="758" t="s">
        <v>132</v>
      </c>
      <c r="I20" s="782" t="s">
        <v>252</v>
      </c>
      <c r="J20" s="781" t="s">
        <v>253</v>
      </c>
      <c r="K20" s="807">
        <v>5</v>
      </c>
      <c r="L20" s="789">
        <v>5</v>
      </c>
      <c r="M20" s="788">
        <v>5</v>
      </c>
      <c r="N20" s="759">
        <v>2</v>
      </c>
      <c r="O20" s="758" t="s">
        <v>246</v>
      </c>
      <c r="P20" s="757" t="s">
        <v>74</v>
      </c>
      <c r="Q20" s="756"/>
      <c r="R20" s="756" t="s">
        <v>261</v>
      </c>
      <c r="S20" s="756" t="s">
        <v>163</v>
      </c>
      <c r="T20" s="755">
        <v>3000</v>
      </c>
      <c r="U20" s="757" t="s">
        <v>79</v>
      </c>
      <c r="V20" s="756"/>
      <c r="W20" s="756" t="s">
        <v>261</v>
      </c>
      <c r="X20" s="756" t="s">
        <v>163</v>
      </c>
      <c r="Y20" s="755">
        <v>3000</v>
      </c>
      <c r="Z20" s="754" t="s">
        <v>243</v>
      </c>
      <c r="AA20" s="753" t="s">
        <v>243</v>
      </c>
      <c r="AB20" s="753" t="s">
        <v>243</v>
      </c>
      <c r="AC20" s="753" t="s">
        <v>243</v>
      </c>
      <c r="AD20" s="753" t="s">
        <v>243</v>
      </c>
      <c r="AE20" s="754" t="s">
        <v>208</v>
      </c>
      <c r="AF20" s="753" t="s">
        <v>209</v>
      </c>
      <c r="AG20" s="753" t="s">
        <v>210</v>
      </c>
      <c r="AH20" s="752" t="s">
        <v>245</v>
      </c>
      <c r="AI20" s="751"/>
      <c r="AJ20" s="750" t="s">
        <v>244</v>
      </c>
      <c r="AK20" s="1312" t="str">
        <f t="shared" si="0"/>
        <v>Australian Distribution Co. (Vic)</v>
      </c>
    </row>
    <row r="21" spans="2:37">
      <c r="B21" s="1308" t="s">
        <v>165</v>
      </c>
      <c r="C21" s="785" t="s">
        <v>165</v>
      </c>
      <c r="D21" s="784">
        <v>76064651056</v>
      </c>
      <c r="E21" s="783" t="s">
        <v>163</v>
      </c>
      <c r="F21" s="776" t="s">
        <v>82</v>
      </c>
      <c r="G21" s="776" t="s">
        <v>158</v>
      </c>
      <c r="H21" s="781" t="s">
        <v>132</v>
      </c>
      <c r="I21" s="782" t="s">
        <v>252</v>
      </c>
      <c r="J21" s="781" t="s">
        <v>253</v>
      </c>
      <c r="K21" s="780">
        <v>5</v>
      </c>
      <c r="L21" s="792">
        <v>5</v>
      </c>
      <c r="M21" s="791">
        <v>5</v>
      </c>
      <c r="N21" s="777">
        <v>2</v>
      </c>
      <c r="O21" s="790" t="s">
        <v>254</v>
      </c>
      <c r="P21" s="775" t="s">
        <v>260</v>
      </c>
      <c r="Q21" s="774"/>
      <c r="R21" s="774" t="s">
        <v>261</v>
      </c>
      <c r="S21" s="774" t="s">
        <v>163</v>
      </c>
      <c r="T21" s="773">
        <v>3000</v>
      </c>
      <c r="U21" s="775" t="s">
        <v>262</v>
      </c>
      <c r="V21" s="774"/>
      <c r="W21" s="774" t="s">
        <v>261</v>
      </c>
      <c r="X21" s="774" t="s">
        <v>163</v>
      </c>
      <c r="Y21" s="797">
        <v>8001</v>
      </c>
      <c r="Z21" s="772" t="s">
        <v>244</v>
      </c>
      <c r="AA21" s="771" t="s">
        <v>244</v>
      </c>
      <c r="AB21" s="771" t="s">
        <v>243</v>
      </c>
      <c r="AC21" s="771" t="s">
        <v>243</v>
      </c>
      <c r="AD21" s="771" t="s">
        <v>243</v>
      </c>
      <c r="AE21" s="772" t="s">
        <v>208</v>
      </c>
      <c r="AF21" s="771" t="s">
        <v>209</v>
      </c>
      <c r="AG21" s="771" t="s">
        <v>210</v>
      </c>
      <c r="AH21" s="770" t="s">
        <v>245</v>
      </c>
      <c r="AI21" s="769"/>
      <c r="AJ21" s="768" t="s">
        <v>244</v>
      </c>
      <c r="AK21" s="1311" t="str">
        <f t="shared" si="0"/>
        <v>CitiPower</v>
      </c>
    </row>
    <row r="22" spans="2:37">
      <c r="B22" s="1309" t="s">
        <v>167</v>
      </c>
      <c r="C22" s="767" t="s">
        <v>167</v>
      </c>
      <c r="D22" s="766">
        <v>11247365823</v>
      </c>
      <c r="E22" s="765" t="s">
        <v>78</v>
      </c>
      <c r="F22" s="758" t="s">
        <v>82</v>
      </c>
      <c r="G22" s="758" t="s">
        <v>158</v>
      </c>
      <c r="H22" s="763" t="s">
        <v>132</v>
      </c>
      <c r="I22" s="764" t="s">
        <v>237</v>
      </c>
      <c r="J22" s="763" t="s">
        <v>238</v>
      </c>
      <c r="K22" s="762">
        <v>5</v>
      </c>
      <c r="L22" s="789">
        <v>5</v>
      </c>
      <c r="M22" s="788">
        <v>5</v>
      </c>
      <c r="N22" s="759">
        <v>5</v>
      </c>
      <c r="O22" s="793" t="s">
        <v>239</v>
      </c>
      <c r="P22" s="757" t="s">
        <v>264</v>
      </c>
      <c r="Q22" s="756"/>
      <c r="R22" s="756" t="s">
        <v>265</v>
      </c>
      <c r="S22" s="756" t="s">
        <v>78</v>
      </c>
      <c r="T22" s="755">
        <v>2148</v>
      </c>
      <c r="U22" s="757" t="s">
        <v>266</v>
      </c>
      <c r="V22" s="756"/>
      <c r="W22" s="756" t="s">
        <v>267</v>
      </c>
      <c r="X22" s="756" t="s">
        <v>78</v>
      </c>
      <c r="Y22" s="795">
        <v>1730</v>
      </c>
      <c r="Z22" s="754" t="s">
        <v>244</v>
      </c>
      <c r="AA22" s="753" t="s">
        <v>244</v>
      </c>
      <c r="AB22" s="753" t="s">
        <v>244</v>
      </c>
      <c r="AC22" s="753" t="s">
        <v>244</v>
      </c>
      <c r="AD22" s="753" t="s">
        <v>243</v>
      </c>
      <c r="AE22" s="754" t="s">
        <v>208</v>
      </c>
      <c r="AF22" s="753" t="s">
        <v>209</v>
      </c>
      <c r="AG22" s="753" t="s">
        <v>210</v>
      </c>
      <c r="AH22" s="752" t="s">
        <v>245</v>
      </c>
      <c r="AI22" s="751"/>
      <c r="AJ22" s="750" t="s">
        <v>244</v>
      </c>
      <c r="AK22" s="1312" t="str">
        <f t="shared" si="0"/>
        <v>Endeavour Energy</v>
      </c>
    </row>
    <row r="23" spans="2:37">
      <c r="B23" s="1308" t="s">
        <v>168</v>
      </c>
      <c r="C23" s="785" t="s">
        <v>168</v>
      </c>
      <c r="D23" s="784">
        <v>40078849055</v>
      </c>
      <c r="E23" s="783" t="s">
        <v>166</v>
      </c>
      <c r="F23" s="776" t="s">
        <v>82</v>
      </c>
      <c r="G23" s="776" t="s">
        <v>158</v>
      </c>
      <c r="H23" s="776" t="s">
        <v>132</v>
      </c>
      <c r="I23" s="794" t="s">
        <v>237</v>
      </c>
      <c r="J23" s="776" t="s">
        <v>238</v>
      </c>
      <c r="K23" s="780">
        <v>5</v>
      </c>
      <c r="L23" s="792">
        <v>5</v>
      </c>
      <c r="M23" s="791">
        <v>5</v>
      </c>
      <c r="N23" s="777">
        <v>5</v>
      </c>
      <c r="O23" s="790" t="s">
        <v>268</v>
      </c>
      <c r="P23" s="775" t="s">
        <v>269</v>
      </c>
      <c r="Q23" s="774"/>
      <c r="R23" s="774" t="s">
        <v>270</v>
      </c>
      <c r="S23" s="774" t="s">
        <v>166</v>
      </c>
      <c r="T23" s="773">
        <v>4006</v>
      </c>
      <c r="U23" s="775" t="s">
        <v>269</v>
      </c>
      <c r="V23" s="774"/>
      <c r="W23" s="774" t="s">
        <v>270</v>
      </c>
      <c r="X23" s="774" t="s">
        <v>271</v>
      </c>
      <c r="Y23" s="797">
        <v>4006</v>
      </c>
      <c r="Z23" s="772" t="s">
        <v>244</v>
      </c>
      <c r="AA23" s="771" t="s">
        <v>244</v>
      </c>
      <c r="AB23" s="771" t="s">
        <v>244</v>
      </c>
      <c r="AC23" s="771" t="s">
        <v>243</v>
      </c>
      <c r="AD23" s="771" t="s">
        <v>243</v>
      </c>
      <c r="AE23" s="772" t="s">
        <v>208</v>
      </c>
      <c r="AF23" s="771" t="s">
        <v>209</v>
      </c>
      <c r="AG23" s="771" t="s">
        <v>210</v>
      </c>
      <c r="AH23" s="770" t="s">
        <v>245</v>
      </c>
      <c r="AI23" s="769"/>
      <c r="AJ23" s="768" t="s">
        <v>244</v>
      </c>
      <c r="AK23" s="1311" t="str">
        <f t="shared" si="0"/>
        <v>Energex</v>
      </c>
    </row>
    <row r="24" spans="2:37">
      <c r="B24" s="1309" t="s">
        <v>169</v>
      </c>
      <c r="C24" s="767" t="s">
        <v>169</v>
      </c>
      <c r="D24" s="766">
        <v>50087646062</v>
      </c>
      <c r="E24" s="765" t="s">
        <v>166</v>
      </c>
      <c r="F24" s="758" t="s">
        <v>82</v>
      </c>
      <c r="G24" s="758" t="s">
        <v>158</v>
      </c>
      <c r="H24" s="758" t="s">
        <v>132</v>
      </c>
      <c r="I24" s="796" t="s">
        <v>237</v>
      </c>
      <c r="J24" s="758" t="s">
        <v>238</v>
      </c>
      <c r="K24" s="762">
        <v>5</v>
      </c>
      <c r="L24" s="789">
        <v>5</v>
      </c>
      <c r="M24" s="788">
        <v>5</v>
      </c>
      <c r="N24" s="759">
        <v>5</v>
      </c>
      <c r="O24" s="793" t="s">
        <v>268</v>
      </c>
      <c r="P24" s="757" t="s">
        <v>272</v>
      </c>
      <c r="Q24" s="756"/>
      <c r="R24" s="756" t="s">
        <v>273</v>
      </c>
      <c r="S24" s="756" t="s">
        <v>166</v>
      </c>
      <c r="T24" s="755">
        <v>4810</v>
      </c>
      <c r="U24" s="757" t="s">
        <v>274</v>
      </c>
      <c r="V24" s="756"/>
      <c r="W24" s="756" t="s">
        <v>275</v>
      </c>
      <c r="X24" s="756" t="s">
        <v>271</v>
      </c>
      <c r="Y24" s="795">
        <v>4006</v>
      </c>
      <c r="Z24" s="754" t="s">
        <v>243</v>
      </c>
      <c r="AA24" s="753" t="s">
        <v>244</v>
      </c>
      <c r="AB24" s="753" t="s">
        <v>244</v>
      </c>
      <c r="AC24" s="753" t="s">
        <v>244</v>
      </c>
      <c r="AD24" s="753" t="s">
        <v>243</v>
      </c>
      <c r="AE24" s="754" t="s">
        <v>208</v>
      </c>
      <c r="AF24" s="753" t="s">
        <v>209</v>
      </c>
      <c r="AG24" s="753" t="s">
        <v>210</v>
      </c>
      <c r="AH24" s="752" t="s">
        <v>245</v>
      </c>
      <c r="AI24" s="751"/>
      <c r="AJ24" s="750" t="s">
        <v>244</v>
      </c>
      <c r="AK24" s="1312" t="str">
        <f t="shared" si="0"/>
        <v>Ergon Energy</v>
      </c>
    </row>
    <row r="25" spans="2:37">
      <c r="B25" s="1308" t="s">
        <v>170</v>
      </c>
      <c r="C25" s="785" t="s">
        <v>170</v>
      </c>
      <c r="D25" s="784">
        <v>37428185226</v>
      </c>
      <c r="E25" s="783" t="s">
        <v>78</v>
      </c>
      <c r="F25" s="776" t="s">
        <v>82</v>
      </c>
      <c r="G25" s="776" t="s">
        <v>158</v>
      </c>
      <c r="H25" s="776" t="s">
        <v>132</v>
      </c>
      <c r="I25" s="794" t="s">
        <v>237</v>
      </c>
      <c r="J25" s="776" t="s">
        <v>238</v>
      </c>
      <c r="K25" s="780">
        <v>5</v>
      </c>
      <c r="L25" s="792">
        <v>5</v>
      </c>
      <c r="M25" s="791">
        <v>5</v>
      </c>
      <c r="N25" s="777">
        <v>5</v>
      </c>
      <c r="O25" s="790" t="s">
        <v>239</v>
      </c>
      <c r="P25" s="775" t="s">
        <v>276</v>
      </c>
      <c r="Q25" s="774"/>
      <c r="R25" s="774" t="s">
        <v>277</v>
      </c>
      <c r="S25" s="774" t="s">
        <v>78</v>
      </c>
      <c r="T25" s="773">
        <v>2444</v>
      </c>
      <c r="U25" s="775" t="s">
        <v>278</v>
      </c>
      <c r="V25" s="774"/>
      <c r="W25" s="774" t="s">
        <v>277</v>
      </c>
      <c r="X25" s="774" t="s">
        <v>78</v>
      </c>
      <c r="Y25" s="797">
        <v>2444</v>
      </c>
      <c r="Z25" s="772" t="s">
        <v>243</v>
      </c>
      <c r="AA25" s="771" t="s">
        <v>244</v>
      </c>
      <c r="AB25" s="771" t="s">
        <v>244</v>
      </c>
      <c r="AC25" s="771" t="s">
        <v>244</v>
      </c>
      <c r="AD25" s="771" t="s">
        <v>243</v>
      </c>
      <c r="AE25" s="772" t="s">
        <v>208</v>
      </c>
      <c r="AF25" s="771" t="s">
        <v>209</v>
      </c>
      <c r="AG25" s="771" t="s">
        <v>210</v>
      </c>
      <c r="AH25" s="770" t="s">
        <v>245</v>
      </c>
      <c r="AI25" s="769"/>
      <c r="AJ25" s="768" t="s">
        <v>244</v>
      </c>
      <c r="AK25" s="1311" t="str">
        <f t="shared" si="0"/>
        <v>Essential Energy</v>
      </c>
    </row>
    <row r="26" spans="2:37">
      <c r="B26" s="1309" t="s">
        <v>874</v>
      </c>
      <c r="C26" s="767" t="s">
        <v>874</v>
      </c>
      <c r="D26" s="766">
        <v>76670568688</v>
      </c>
      <c r="E26" s="765" t="s">
        <v>157</v>
      </c>
      <c r="F26" s="758" t="s">
        <v>82</v>
      </c>
      <c r="G26" s="758" t="s">
        <v>158</v>
      </c>
      <c r="H26" s="763" t="s">
        <v>132</v>
      </c>
      <c r="I26" s="764" t="s">
        <v>237</v>
      </c>
      <c r="J26" s="763" t="s">
        <v>238</v>
      </c>
      <c r="K26" s="762">
        <v>5</v>
      </c>
      <c r="L26" s="761">
        <v>5</v>
      </c>
      <c r="M26" s="760">
        <v>5</v>
      </c>
      <c r="N26" s="759">
        <v>5</v>
      </c>
      <c r="O26" s="793" t="s">
        <v>239</v>
      </c>
      <c r="P26" s="800" t="s">
        <v>240</v>
      </c>
      <c r="Q26" s="756"/>
      <c r="R26" s="799" t="s">
        <v>241</v>
      </c>
      <c r="S26" s="798" t="s">
        <v>157</v>
      </c>
      <c r="T26" s="755">
        <v>2600</v>
      </c>
      <c r="U26" s="757" t="s">
        <v>242</v>
      </c>
      <c r="V26" s="756"/>
      <c r="W26" s="756" t="s">
        <v>241</v>
      </c>
      <c r="X26" s="756" t="s">
        <v>157</v>
      </c>
      <c r="Y26" s="795">
        <v>2601</v>
      </c>
      <c r="Z26" s="754" t="s">
        <v>243</v>
      </c>
      <c r="AA26" s="753" t="s">
        <v>244</v>
      </c>
      <c r="AB26" s="753" t="s">
        <v>244</v>
      </c>
      <c r="AC26" s="753" t="s">
        <v>243</v>
      </c>
      <c r="AD26" s="753" t="s">
        <v>243</v>
      </c>
      <c r="AE26" s="754" t="s">
        <v>208</v>
      </c>
      <c r="AF26" s="753" t="s">
        <v>209</v>
      </c>
      <c r="AG26" s="753" t="s">
        <v>210</v>
      </c>
      <c r="AH26" s="752" t="s">
        <v>245</v>
      </c>
      <c r="AI26" s="751"/>
      <c r="AJ26" s="750" t="s">
        <v>243</v>
      </c>
      <c r="AK26" s="1312" t="str">
        <f t="shared" si="0"/>
        <v>Evoenergy Distribution</v>
      </c>
    </row>
    <row r="27" spans="2:37">
      <c r="B27" s="1308" t="s">
        <v>873</v>
      </c>
      <c r="C27" s="785" t="s">
        <v>873</v>
      </c>
      <c r="D27" s="784">
        <v>76670568688</v>
      </c>
      <c r="E27" s="783" t="s">
        <v>157</v>
      </c>
      <c r="F27" s="776" t="s">
        <v>82</v>
      </c>
      <c r="G27" s="776" t="s">
        <v>158</v>
      </c>
      <c r="H27" s="781" t="s">
        <v>132</v>
      </c>
      <c r="I27" s="782" t="s">
        <v>237</v>
      </c>
      <c r="J27" s="781" t="s">
        <v>238</v>
      </c>
      <c r="K27" s="780">
        <v>5</v>
      </c>
      <c r="L27" s="792">
        <v>5</v>
      </c>
      <c r="M27" s="791">
        <v>5</v>
      </c>
      <c r="N27" s="777">
        <v>5</v>
      </c>
      <c r="O27" s="776" t="s">
        <v>246</v>
      </c>
      <c r="P27" s="803" t="s">
        <v>240</v>
      </c>
      <c r="Q27" s="774"/>
      <c r="R27" s="802" t="s">
        <v>241</v>
      </c>
      <c r="S27" s="801" t="s">
        <v>157</v>
      </c>
      <c r="T27" s="773">
        <v>2600</v>
      </c>
      <c r="U27" s="775" t="s">
        <v>242</v>
      </c>
      <c r="V27" s="774"/>
      <c r="W27" s="774" t="s">
        <v>241</v>
      </c>
      <c r="X27" s="774" t="s">
        <v>157</v>
      </c>
      <c r="Y27" s="797">
        <v>2601</v>
      </c>
      <c r="Z27" s="772" t="s">
        <v>243</v>
      </c>
      <c r="AA27" s="771" t="s">
        <v>244</v>
      </c>
      <c r="AB27" s="771" t="s">
        <v>244</v>
      </c>
      <c r="AC27" s="771" t="s">
        <v>243</v>
      </c>
      <c r="AD27" s="771" t="s">
        <v>243</v>
      </c>
      <c r="AE27" s="772" t="s">
        <v>208</v>
      </c>
      <c r="AF27" s="771" t="s">
        <v>209</v>
      </c>
      <c r="AG27" s="771" t="s">
        <v>210</v>
      </c>
      <c r="AH27" s="770" t="s">
        <v>245</v>
      </c>
      <c r="AI27" s="769"/>
      <c r="AJ27" s="768" t="s">
        <v>243</v>
      </c>
      <c r="AK27" s="1311" t="str">
        <f t="shared" si="0"/>
        <v>Evoenergy Distribution (Tx Assets)</v>
      </c>
    </row>
    <row r="28" spans="2:37">
      <c r="B28" s="1308" t="s">
        <v>171</v>
      </c>
      <c r="C28" s="785" t="s">
        <v>171</v>
      </c>
      <c r="D28" s="784">
        <v>82064651083</v>
      </c>
      <c r="E28" s="783" t="s">
        <v>163</v>
      </c>
      <c r="F28" s="776" t="s">
        <v>82</v>
      </c>
      <c r="G28" s="776" t="s">
        <v>158</v>
      </c>
      <c r="H28" s="781" t="s">
        <v>132</v>
      </c>
      <c r="I28" s="782" t="s">
        <v>252</v>
      </c>
      <c r="J28" s="781" t="s">
        <v>253</v>
      </c>
      <c r="K28" s="780">
        <v>5</v>
      </c>
      <c r="L28" s="792">
        <v>5</v>
      </c>
      <c r="M28" s="791">
        <v>5</v>
      </c>
      <c r="N28" s="777">
        <v>2</v>
      </c>
      <c r="O28" s="790" t="s">
        <v>254</v>
      </c>
      <c r="P28" s="775" t="s">
        <v>279</v>
      </c>
      <c r="Q28" s="774" t="s">
        <v>280</v>
      </c>
      <c r="R28" s="774" t="s">
        <v>261</v>
      </c>
      <c r="S28" s="774" t="s">
        <v>163</v>
      </c>
      <c r="T28" s="773">
        <v>3000</v>
      </c>
      <c r="U28" s="775" t="s">
        <v>281</v>
      </c>
      <c r="V28" s="774"/>
      <c r="W28" s="774" t="s">
        <v>261</v>
      </c>
      <c r="X28" s="774" t="s">
        <v>163</v>
      </c>
      <c r="Y28" s="797">
        <v>8001</v>
      </c>
      <c r="Z28" s="772" t="s">
        <v>243</v>
      </c>
      <c r="AA28" s="771" t="s">
        <v>244</v>
      </c>
      <c r="AB28" s="771" t="s">
        <v>244</v>
      </c>
      <c r="AC28" s="771" t="s">
        <v>243</v>
      </c>
      <c r="AD28" s="771" t="s">
        <v>243</v>
      </c>
      <c r="AE28" s="772" t="s">
        <v>208</v>
      </c>
      <c r="AF28" s="771" t="s">
        <v>209</v>
      </c>
      <c r="AG28" s="771" t="s">
        <v>210</v>
      </c>
      <c r="AH28" s="770" t="s">
        <v>245</v>
      </c>
      <c r="AI28" s="769"/>
      <c r="AJ28" s="768" t="s">
        <v>244</v>
      </c>
      <c r="AK28" s="1311" t="str">
        <f t="shared" si="0"/>
        <v>Jemena Electricity</v>
      </c>
    </row>
    <row r="29" spans="2:37" ht="15" customHeight="1">
      <c r="B29" s="1308" t="s">
        <v>468</v>
      </c>
      <c r="C29" s="785" t="s">
        <v>469</v>
      </c>
      <c r="D29" s="784">
        <v>15947352360</v>
      </c>
      <c r="E29" s="783" t="s">
        <v>248</v>
      </c>
      <c r="F29" s="776" t="s">
        <v>82</v>
      </c>
      <c r="G29" s="776" t="s">
        <v>158</v>
      </c>
      <c r="H29" s="781" t="s">
        <v>132</v>
      </c>
      <c r="I29" s="782" t="s">
        <v>237</v>
      </c>
      <c r="J29" s="781" t="s">
        <v>238</v>
      </c>
      <c r="K29" s="780">
        <v>5</v>
      </c>
      <c r="L29" s="779">
        <v>5</v>
      </c>
      <c r="M29" s="778">
        <v>5</v>
      </c>
      <c r="N29" s="777" t="s">
        <v>247</v>
      </c>
      <c r="O29" s="776" t="s">
        <v>246</v>
      </c>
      <c r="P29" s="775" t="s">
        <v>470</v>
      </c>
      <c r="Q29" s="774"/>
      <c r="R29" s="774" t="s">
        <v>471</v>
      </c>
      <c r="S29" s="774" t="s">
        <v>248</v>
      </c>
      <c r="T29" s="773">
        <v>801</v>
      </c>
      <c r="U29" s="775" t="s">
        <v>470</v>
      </c>
      <c r="V29" s="774"/>
      <c r="W29" s="774" t="s">
        <v>471</v>
      </c>
      <c r="X29" s="774" t="s">
        <v>248</v>
      </c>
      <c r="Y29" s="773">
        <v>801</v>
      </c>
      <c r="Z29" s="772" t="s">
        <v>244</v>
      </c>
      <c r="AA29" s="771" t="s">
        <v>244</v>
      </c>
      <c r="AB29" s="771" t="s">
        <v>244</v>
      </c>
      <c r="AC29" s="771" t="s">
        <v>244</v>
      </c>
      <c r="AD29" s="771" t="s">
        <v>243</v>
      </c>
      <c r="AE29" s="772" t="s">
        <v>208</v>
      </c>
      <c r="AF29" s="771" t="s">
        <v>209</v>
      </c>
      <c r="AG29" s="771" t="s">
        <v>210</v>
      </c>
      <c r="AH29" s="770" t="s">
        <v>245</v>
      </c>
      <c r="AI29" s="769"/>
      <c r="AJ29" s="768" t="s">
        <v>243</v>
      </c>
      <c r="AK29" s="1311" t="str">
        <f t="shared" si="0"/>
        <v>Power and Water</v>
      </c>
    </row>
    <row r="30" spans="2:37" ht="15" customHeight="1">
      <c r="B30" s="1309" t="s">
        <v>172</v>
      </c>
      <c r="C30" s="767" t="s">
        <v>172</v>
      </c>
      <c r="D30" s="766">
        <v>89064651109</v>
      </c>
      <c r="E30" s="765" t="s">
        <v>163</v>
      </c>
      <c r="F30" s="758" t="s">
        <v>82</v>
      </c>
      <c r="G30" s="758" t="s">
        <v>158</v>
      </c>
      <c r="H30" s="763" t="s">
        <v>132</v>
      </c>
      <c r="I30" s="782" t="s">
        <v>252</v>
      </c>
      <c r="J30" s="781" t="s">
        <v>253</v>
      </c>
      <c r="K30" s="762">
        <v>5</v>
      </c>
      <c r="L30" s="789">
        <v>5</v>
      </c>
      <c r="M30" s="788">
        <v>5</v>
      </c>
      <c r="N30" s="759">
        <v>2</v>
      </c>
      <c r="O30" s="793" t="s">
        <v>254</v>
      </c>
      <c r="P30" s="757" t="s">
        <v>260</v>
      </c>
      <c r="Q30" s="756"/>
      <c r="R30" s="756" t="s">
        <v>261</v>
      </c>
      <c r="S30" s="756" t="s">
        <v>163</v>
      </c>
      <c r="T30" s="755">
        <v>3000</v>
      </c>
      <c r="U30" s="757" t="s">
        <v>282</v>
      </c>
      <c r="V30" s="756"/>
      <c r="W30" s="756" t="s">
        <v>261</v>
      </c>
      <c r="X30" s="756" t="s">
        <v>163</v>
      </c>
      <c r="Y30" s="755">
        <v>8001</v>
      </c>
      <c r="Z30" s="754" t="s">
        <v>243</v>
      </c>
      <c r="AA30" s="753" t="s">
        <v>244</v>
      </c>
      <c r="AB30" s="753" t="s">
        <v>244</v>
      </c>
      <c r="AC30" s="753" t="s">
        <v>244</v>
      </c>
      <c r="AD30" s="753" t="s">
        <v>243</v>
      </c>
      <c r="AE30" s="754" t="s">
        <v>208</v>
      </c>
      <c r="AF30" s="753" t="s">
        <v>209</v>
      </c>
      <c r="AG30" s="753" t="s">
        <v>210</v>
      </c>
      <c r="AH30" s="752" t="s">
        <v>245</v>
      </c>
      <c r="AI30" s="751"/>
      <c r="AJ30" s="750" t="s">
        <v>244</v>
      </c>
      <c r="AK30" s="1312" t="str">
        <f t="shared" si="0"/>
        <v>Powercor Australia</v>
      </c>
    </row>
    <row r="31" spans="2:37">
      <c r="B31" s="1308" t="s">
        <v>173</v>
      </c>
      <c r="C31" s="785" t="s">
        <v>173</v>
      </c>
      <c r="D31" s="784">
        <v>13332330749</v>
      </c>
      <c r="E31" s="783" t="s">
        <v>159</v>
      </c>
      <c r="F31" s="776" t="s">
        <v>82</v>
      </c>
      <c r="G31" s="776" t="s">
        <v>158</v>
      </c>
      <c r="H31" s="781" t="s">
        <v>132</v>
      </c>
      <c r="I31" s="782" t="s">
        <v>237</v>
      </c>
      <c r="J31" s="781" t="s">
        <v>238</v>
      </c>
      <c r="K31" s="780">
        <v>5</v>
      </c>
      <c r="L31" s="792">
        <v>5</v>
      </c>
      <c r="M31" s="791">
        <v>5</v>
      </c>
      <c r="N31" s="777">
        <v>5</v>
      </c>
      <c r="O31" s="790" t="s">
        <v>268</v>
      </c>
      <c r="P31" s="775" t="s">
        <v>283</v>
      </c>
      <c r="Q31" s="774"/>
      <c r="R31" s="774" t="s">
        <v>284</v>
      </c>
      <c r="S31" s="774" t="s">
        <v>159</v>
      </c>
      <c r="T31" s="773">
        <v>5035</v>
      </c>
      <c r="U31" s="775" t="s">
        <v>285</v>
      </c>
      <c r="V31" s="774"/>
      <c r="W31" s="774" t="s">
        <v>263</v>
      </c>
      <c r="X31" s="774" t="s">
        <v>159</v>
      </c>
      <c r="Y31" s="773">
        <v>5000</v>
      </c>
      <c r="Z31" s="772" t="s">
        <v>244</v>
      </c>
      <c r="AA31" s="771" t="s">
        <v>244</v>
      </c>
      <c r="AB31" s="771" t="s">
        <v>244</v>
      </c>
      <c r="AC31" s="771" t="s">
        <v>244</v>
      </c>
      <c r="AD31" s="771" t="s">
        <v>243</v>
      </c>
      <c r="AE31" s="772" t="s">
        <v>208</v>
      </c>
      <c r="AF31" s="771" t="s">
        <v>209</v>
      </c>
      <c r="AG31" s="771" t="s">
        <v>210</v>
      </c>
      <c r="AH31" s="770" t="s">
        <v>245</v>
      </c>
      <c r="AI31" s="769"/>
      <c r="AJ31" s="768" t="s">
        <v>244</v>
      </c>
      <c r="AK31" s="1311" t="str">
        <f t="shared" si="0"/>
        <v>SA Power Networks</v>
      </c>
    </row>
    <row r="32" spans="2:37">
      <c r="B32" s="1309" t="s">
        <v>174</v>
      </c>
      <c r="C32" s="767" t="s">
        <v>174</v>
      </c>
      <c r="D32" s="766">
        <v>24167357299</v>
      </c>
      <c r="E32" s="765" t="s">
        <v>175</v>
      </c>
      <c r="F32" s="758" t="s">
        <v>82</v>
      </c>
      <c r="G32" s="758" t="s">
        <v>158</v>
      </c>
      <c r="H32" s="763" t="s">
        <v>132</v>
      </c>
      <c r="I32" s="764" t="s">
        <v>237</v>
      </c>
      <c r="J32" s="763" t="s">
        <v>238</v>
      </c>
      <c r="K32" s="762">
        <v>5</v>
      </c>
      <c r="L32" s="789">
        <v>5</v>
      </c>
      <c r="M32" s="788">
        <v>5</v>
      </c>
      <c r="N32" s="759">
        <v>5</v>
      </c>
      <c r="O32" s="758" t="s">
        <v>246</v>
      </c>
      <c r="P32" s="757" t="s">
        <v>290</v>
      </c>
      <c r="Q32" s="756"/>
      <c r="R32" s="756" t="s">
        <v>291</v>
      </c>
      <c r="S32" s="756" t="s">
        <v>175</v>
      </c>
      <c r="T32" s="755">
        <v>7008</v>
      </c>
      <c r="U32" s="757" t="s">
        <v>292</v>
      </c>
      <c r="V32" s="756"/>
      <c r="W32" s="756" t="s">
        <v>293</v>
      </c>
      <c r="X32" s="756" t="s">
        <v>175</v>
      </c>
      <c r="Y32" s="755">
        <v>7009</v>
      </c>
      <c r="Z32" s="754" t="s">
        <v>244</v>
      </c>
      <c r="AA32" s="753" t="s">
        <v>244</v>
      </c>
      <c r="AB32" s="753" t="s">
        <v>244</v>
      </c>
      <c r="AC32" s="753" t="s">
        <v>244</v>
      </c>
      <c r="AD32" s="753" t="s">
        <v>244</v>
      </c>
      <c r="AE32" s="787" t="s">
        <v>286</v>
      </c>
      <c r="AF32" s="786" t="s">
        <v>287</v>
      </c>
      <c r="AG32" s="786" t="s">
        <v>209</v>
      </c>
      <c r="AH32" s="752" t="s">
        <v>288</v>
      </c>
      <c r="AI32" s="751" t="s">
        <v>289</v>
      </c>
      <c r="AJ32" s="750" t="s">
        <v>244</v>
      </c>
      <c r="AK32" s="1312" t="str">
        <f t="shared" si="0"/>
        <v>TasNetworks (D)</v>
      </c>
    </row>
    <row r="33" spans="2:37">
      <c r="B33" s="1308" t="s">
        <v>176</v>
      </c>
      <c r="C33" s="785" t="s">
        <v>176</v>
      </c>
      <c r="D33" s="784">
        <v>70064651029</v>
      </c>
      <c r="E33" s="783" t="s">
        <v>163</v>
      </c>
      <c r="F33" s="776" t="s">
        <v>82</v>
      </c>
      <c r="G33" s="776" t="s">
        <v>158</v>
      </c>
      <c r="H33" s="781" t="s">
        <v>132</v>
      </c>
      <c r="I33" s="782" t="s">
        <v>252</v>
      </c>
      <c r="J33" s="781" t="s">
        <v>253</v>
      </c>
      <c r="K33" s="780">
        <v>5</v>
      </c>
      <c r="L33" s="779">
        <v>5</v>
      </c>
      <c r="M33" s="778">
        <v>5</v>
      </c>
      <c r="N33" s="777">
        <v>2</v>
      </c>
      <c r="O33" s="776" t="s">
        <v>254</v>
      </c>
      <c r="P33" s="775" t="s">
        <v>467</v>
      </c>
      <c r="Q33" s="774"/>
      <c r="R33" s="774" t="s">
        <v>295</v>
      </c>
      <c r="S33" s="774" t="s">
        <v>163</v>
      </c>
      <c r="T33" s="773">
        <v>3149</v>
      </c>
      <c r="U33" s="775" t="s">
        <v>294</v>
      </c>
      <c r="V33" s="774"/>
      <c r="W33" s="774" t="s">
        <v>295</v>
      </c>
      <c r="X33" s="774" t="s">
        <v>163</v>
      </c>
      <c r="Y33" s="773">
        <v>3170</v>
      </c>
      <c r="Z33" s="772" t="s">
        <v>243</v>
      </c>
      <c r="AA33" s="771" t="s">
        <v>244</v>
      </c>
      <c r="AB33" s="771" t="s">
        <v>244</v>
      </c>
      <c r="AC33" s="771" t="s">
        <v>243</v>
      </c>
      <c r="AD33" s="771" t="s">
        <v>243</v>
      </c>
      <c r="AE33" s="772" t="s">
        <v>208</v>
      </c>
      <c r="AF33" s="771" t="s">
        <v>209</v>
      </c>
      <c r="AG33" s="771" t="s">
        <v>210</v>
      </c>
      <c r="AH33" s="770" t="s">
        <v>245</v>
      </c>
      <c r="AI33" s="769"/>
      <c r="AJ33" s="768" t="s">
        <v>244</v>
      </c>
      <c r="AK33" s="1311" t="str">
        <f t="shared" si="0"/>
        <v>United Energy</v>
      </c>
    </row>
    <row r="34" spans="2:37">
      <c r="C34" s="693"/>
      <c r="X34" s="420"/>
    </row>
    <row r="35" spans="2:37">
      <c r="C35" s="693"/>
      <c r="X35" s="420"/>
    </row>
    <row r="36" spans="2:37">
      <c r="C36" s="693"/>
      <c r="X36" s="420"/>
    </row>
    <row r="37" spans="2:37" ht="15.75" thickBot="1">
      <c r="C37" s="693"/>
      <c r="H37" s="419"/>
      <c r="I37" s="419"/>
      <c r="J37" s="419"/>
      <c r="K37" s="419"/>
      <c r="X37" s="420"/>
    </row>
    <row r="38" spans="2:37" ht="47.25" customHeight="1" thickBot="1">
      <c r="B38" s="1507" t="s">
        <v>472</v>
      </c>
      <c r="C38" s="1508"/>
      <c r="D38" s="1508"/>
      <c r="E38" s="1508"/>
      <c r="H38" s="419"/>
      <c r="I38" s="419"/>
      <c r="J38" s="419"/>
      <c r="K38" s="419"/>
      <c r="L38" s="422"/>
      <c r="M38" s="422"/>
      <c r="N38" s="421"/>
      <c r="O38" s="419"/>
      <c r="P38" s="419"/>
      <c r="X38" s="420"/>
      <c r="Y38" s="420"/>
    </row>
    <row r="39" spans="2:37" ht="31.5" customHeight="1" thickBot="1">
      <c r="B39" s="749" t="s">
        <v>136</v>
      </c>
      <c r="C39" s="748" t="s">
        <v>872</v>
      </c>
      <c r="D39" s="747" t="s">
        <v>871</v>
      </c>
      <c r="E39" s="746" t="s">
        <v>870</v>
      </c>
      <c r="H39" s="419"/>
      <c r="I39" s="419"/>
      <c r="J39" s="419"/>
      <c r="K39" s="419"/>
      <c r="L39" s="745"/>
      <c r="M39" s="745"/>
      <c r="N39" s="744"/>
      <c r="O39" s="419"/>
      <c r="P39" s="419"/>
      <c r="X39" s="420"/>
      <c r="Y39" s="420"/>
    </row>
    <row r="40" spans="2:37">
      <c r="B40" s="743" t="s">
        <v>309</v>
      </c>
      <c r="C40" s="743" t="s">
        <v>869</v>
      </c>
      <c r="D40" s="742" t="str">
        <f>IF(dms_MultiYear_ResponseFlag="yes","NEW HISTORICAL ANNUAL REPORTING","ANNUAL REPORTING")</f>
        <v>ANNUAL REPORTING</v>
      </c>
      <c r="E40" s="741">
        <v>1</v>
      </c>
      <c r="H40" s="419"/>
      <c r="I40" s="419"/>
      <c r="J40" s="419"/>
      <c r="K40" s="419"/>
      <c r="L40" s="422"/>
      <c r="M40" s="422"/>
      <c r="N40" s="421"/>
      <c r="O40" s="419"/>
      <c r="P40" s="419"/>
      <c r="X40" s="420"/>
      <c r="Y40" s="420"/>
    </row>
    <row r="41" spans="2:37">
      <c r="B41" s="739" t="s">
        <v>137</v>
      </c>
      <c r="C41" s="739" t="s">
        <v>868</v>
      </c>
      <c r="D41" s="738" t="str">
        <f>IF(dms_MultiYear_ResponseFlag="yes","NEW HISTORICAL CATEGORY ANALYSIS","CATEGORY ANALYSIS")</f>
        <v>CATEGORY ANALYSIS</v>
      </c>
      <c r="E41" s="740">
        <v>1</v>
      </c>
      <c r="H41" s="419"/>
      <c r="I41" s="419"/>
      <c r="J41" s="419"/>
      <c r="K41" s="419"/>
      <c r="L41" s="422"/>
      <c r="M41" s="422"/>
      <c r="N41" s="421"/>
      <c r="O41" s="419"/>
      <c r="P41" s="419"/>
      <c r="X41" s="420"/>
      <c r="Y41" s="420"/>
    </row>
    <row r="42" spans="2:37">
      <c r="B42" s="739" t="s">
        <v>867</v>
      </c>
      <c r="C42" s="739" t="s">
        <v>866</v>
      </c>
      <c r="D42" s="738" t="s">
        <v>865</v>
      </c>
      <c r="E42" s="740">
        <v>5</v>
      </c>
      <c r="H42" s="419"/>
      <c r="I42" s="419"/>
      <c r="J42" s="419"/>
      <c r="K42" s="419"/>
      <c r="L42" s="419"/>
      <c r="M42" s="422"/>
      <c r="N42" s="421"/>
      <c r="O42" s="419"/>
      <c r="P42" s="419"/>
      <c r="X42" s="420"/>
      <c r="Y42" s="420"/>
    </row>
    <row r="43" spans="2:37">
      <c r="B43" s="739" t="s">
        <v>140</v>
      </c>
      <c r="C43" s="739" t="s">
        <v>140</v>
      </c>
      <c r="D43" s="738" t="s">
        <v>140</v>
      </c>
      <c r="E43" s="740">
        <v>5</v>
      </c>
      <c r="H43" s="419"/>
      <c r="I43" s="419"/>
      <c r="J43" s="419"/>
      <c r="K43" s="419"/>
      <c r="L43" s="419"/>
      <c r="M43" s="422"/>
      <c r="N43" s="421"/>
      <c r="O43" s="419"/>
      <c r="P43" s="419"/>
      <c r="X43" s="420"/>
      <c r="Y43" s="420"/>
    </row>
    <row r="44" spans="2:37">
      <c r="B44" s="739" t="s">
        <v>141</v>
      </c>
      <c r="C44" s="739" t="s">
        <v>864</v>
      </c>
      <c r="D44" s="738" t="str">
        <f>IF(dms_MultiYear_ResponseFlag="yes","NEW HISTORICAL ECONOMIC BENCHMARKING","ECONOMIC BENCHMARKING")</f>
        <v>ECONOMIC BENCHMARKING</v>
      </c>
      <c r="E44" s="737">
        <v>1</v>
      </c>
      <c r="H44" s="419"/>
      <c r="I44" s="419"/>
      <c r="J44" s="419"/>
      <c r="K44" s="419"/>
      <c r="L44" s="419"/>
      <c r="M44" s="422"/>
      <c r="N44" s="421"/>
      <c r="O44" s="419"/>
      <c r="P44" s="419"/>
      <c r="X44" s="420"/>
      <c r="Y44" s="420"/>
    </row>
    <row r="45" spans="2:37">
      <c r="B45" s="739" t="s">
        <v>863</v>
      </c>
      <c r="C45" s="739" t="s">
        <v>862</v>
      </c>
      <c r="D45" s="738" t="s">
        <v>861</v>
      </c>
      <c r="E45" s="737">
        <v>5</v>
      </c>
      <c r="H45" s="419"/>
      <c r="I45" s="419"/>
      <c r="J45" s="419"/>
      <c r="K45" s="419"/>
      <c r="L45" s="419"/>
      <c r="M45" s="422"/>
      <c r="N45" s="421"/>
      <c r="O45" s="419"/>
      <c r="P45" s="419"/>
      <c r="X45" s="420"/>
      <c r="Y45" s="420"/>
    </row>
    <row r="46" spans="2:37">
      <c r="B46" s="739" t="s">
        <v>142</v>
      </c>
      <c r="C46" s="739" t="s">
        <v>860</v>
      </c>
      <c r="D46" s="738" t="s">
        <v>143</v>
      </c>
      <c r="E46" s="737">
        <v>5</v>
      </c>
      <c r="H46" s="419"/>
      <c r="I46" s="419"/>
      <c r="J46" s="419"/>
      <c r="K46" s="419"/>
      <c r="L46" s="419"/>
      <c r="M46" s="422"/>
      <c r="N46" s="421"/>
      <c r="O46" s="419"/>
      <c r="P46" s="419"/>
      <c r="X46" s="420"/>
      <c r="Y46" s="420"/>
    </row>
    <row r="47" spans="2:37">
      <c r="B47" s="739" t="s">
        <v>144</v>
      </c>
      <c r="C47" s="739" t="s">
        <v>859</v>
      </c>
      <c r="D47" s="738" t="s">
        <v>139</v>
      </c>
      <c r="E47" s="737">
        <v>5</v>
      </c>
      <c r="H47" s="419"/>
      <c r="I47" s="419"/>
      <c r="J47" s="419"/>
      <c r="K47" s="419"/>
      <c r="L47" s="419"/>
      <c r="M47" s="422"/>
      <c r="N47" s="421"/>
      <c r="O47" s="419"/>
      <c r="P47" s="419"/>
      <c r="X47" s="420"/>
      <c r="Y47" s="420"/>
    </row>
    <row r="48" spans="2:37">
      <c r="B48" s="739" t="s">
        <v>95</v>
      </c>
      <c r="C48" s="739" t="s">
        <v>547</v>
      </c>
      <c r="D48" s="738" t="s">
        <v>145</v>
      </c>
      <c r="E48" s="737">
        <v>5</v>
      </c>
      <c r="H48" s="419"/>
      <c r="I48" s="419"/>
      <c r="J48" s="419"/>
      <c r="K48" s="419"/>
      <c r="L48" s="419"/>
      <c r="M48" s="422"/>
      <c r="N48" s="421"/>
      <c r="O48" s="419"/>
      <c r="P48" s="419"/>
      <c r="X48" s="420"/>
      <c r="Y48" s="420"/>
    </row>
    <row r="49" spans="2:25" ht="15.75" thickBot="1">
      <c r="B49" s="736" t="s">
        <v>146</v>
      </c>
      <c r="C49" s="736" t="s">
        <v>858</v>
      </c>
      <c r="D49" s="735" t="s">
        <v>147</v>
      </c>
      <c r="E49" s="734">
        <v>1</v>
      </c>
      <c r="H49" s="419"/>
      <c r="I49" s="419"/>
      <c r="J49" s="419"/>
      <c r="K49" s="419"/>
      <c r="L49" s="419"/>
      <c r="M49" s="422"/>
      <c r="N49" s="421"/>
      <c r="O49" s="419"/>
      <c r="P49" s="419"/>
      <c r="X49" s="420"/>
      <c r="Y49" s="420"/>
    </row>
    <row r="50" spans="2:25" s="420" customFormat="1">
      <c r="E50" s="573"/>
    </row>
    <row r="51" spans="2:25">
      <c r="B51" s="419"/>
      <c r="C51" s="420"/>
      <c r="D51" s="420"/>
      <c r="E51" s="573"/>
      <c r="F51" s="420"/>
      <c r="G51" s="420"/>
      <c r="H51" s="420"/>
      <c r="I51" s="420"/>
      <c r="J51" s="420"/>
      <c r="K51" s="420"/>
      <c r="L51" s="420"/>
      <c r="O51" s="419"/>
      <c r="P51" s="419"/>
      <c r="Q51" s="419"/>
      <c r="R51" s="419"/>
      <c r="S51" s="419"/>
      <c r="T51" s="419"/>
      <c r="U51" s="419"/>
      <c r="V51" s="419"/>
    </row>
    <row r="52" spans="2:25">
      <c r="C52" s="733"/>
      <c r="E52" s="705"/>
    </row>
    <row r="53" spans="2:25" ht="15.75" thickBot="1">
      <c r="B53" s="732" t="s">
        <v>237</v>
      </c>
      <c r="C53" s="731" t="s">
        <v>252</v>
      </c>
      <c r="E53" s="730" t="s">
        <v>857</v>
      </c>
      <c r="G53" s="730" t="s">
        <v>856</v>
      </c>
      <c r="H53" s="419"/>
      <c r="I53" s="729" t="s">
        <v>855</v>
      </c>
    </row>
    <row r="54" spans="2:25" ht="15.75" thickBot="1">
      <c r="B54" s="728" t="s">
        <v>854</v>
      </c>
      <c r="C54" s="727" t="s">
        <v>853</v>
      </c>
      <c r="D54" s="726" t="s">
        <v>852</v>
      </c>
      <c r="E54" s="724" t="e">
        <f ca="1">INDEX(INDIRECT(dms_RPT),dms_PRCP_start_row)</f>
        <v>#N/A</v>
      </c>
      <c r="F54" s="726" t="s">
        <v>340</v>
      </c>
      <c r="G54" s="724" t="e">
        <f ca="1">INDEX(INDIRECT(dms_RPT),dms_CRCP_start_row)</f>
        <v>#N/A</v>
      </c>
      <c r="H54" s="725">
        <f>FRCP_y1</f>
        <v>2021</v>
      </c>
      <c r="I54" s="724" t="e">
        <f ca="1">INDEX(INDIRECT(dms_RPT),dms_FRCP_start_row)</f>
        <v>#N/A</v>
      </c>
    </row>
    <row r="55" spans="2:25">
      <c r="B55" s="710" t="s">
        <v>851</v>
      </c>
      <c r="C55" s="709" t="s">
        <v>850</v>
      </c>
      <c r="D55" s="721" t="s">
        <v>849</v>
      </c>
      <c r="E55" s="723" t="e">
        <f ca="1">INDEX(INDIRECT(dms_RPT),dms_PRCP_start_row+1)</f>
        <v>#N/A</v>
      </c>
      <c r="F55" s="721" t="s">
        <v>342</v>
      </c>
      <c r="G55" s="720" t="e">
        <f ca="1">INDEX(INDIRECT(dms_RPT),dms_CRCP_start_row+1)</f>
        <v>#N/A</v>
      </c>
      <c r="H55" s="722" t="s">
        <v>848</v>
      </c>
      <c r="I55" s="720" t="e">
        <f ca="1">INDEX(INDIRECT(dms_RPT),dms_FRCP_start_row+1)</f>
        <v>#N/A</v>
      </c>
    </row>
    <row r="56" spans="2:25">
      <c r="B56" s="710" t="s">
        <v>847</v>
      </c>
      <c r="C56" s="709" t="s">
        <v>846</v>
      </c>
      <c r="D56" s="721" t="s">
        <v>845</v>
      </c>
      <c r="E56" s="720" t="e">
        <f ca="1">INDEX(INDIRECT(dms_RPT),dms_PRCP_start_row+2)</f>
        <v>#N/A</v>
      </c>
      <c r="F56" s="721" t="s">
        <v>345</v>
      </c>
      <c r="G56" s="720" t="e">
        <f ca="1">INDEX(INDIRECT(dms_RPT),dms_CRCP_start_row+2)</f>
        <v>#N/A</v>
      </c>
      <c r="H56" s="721" t="s">
        <v>844</v>
      </c>
      <c r="I56" s="720" t="e">
        <f ca="1">INDEX(INDIRECT(dms_RPT),dms_FRCP_start_row+2)</f>
        <v>#N/A</v>
      </c>
    </row>
    <row r="57" spans="2:25">
      <c r="B57" s="710" t="s">
        <v>843</v>
      </c>
      <c r="C57" s="709" t="s">
        <v>842</v>
      </c>
      <c r="D57" s="721" t="s">
        <v>841</v>
      </c>
      <c r="E57" s="720" t="e">
        <f ca="1">INDEX(INDIRECT(dms_RPT),dms_PRCP_start_row+3)</f>
        <v>#N/A</v>
      </c>
      <c r="F57" s="721" t="s">
        <v>348</v>
      </c>
      <c r="G57" s="720" t="e">
        <f ca="1">INDEX(INDIRECT(dms_RPT),dms_CRCP_start_row+3)</f>
        <v>#N/A</v>
      </c>
      <c r="H57" s="721" t="s">
        <v>840</v>
      </c>
      <c r="I57" s="720" t="e">
        <f ca="1">INDEX(INDIRECT(dms_RPT),dms_FRCP_start_row+3)</f>
        <v>#N/A</v>
      </c>
    </row>
    <row r="58" spans="2:25">
      <c r="B58" s="710" t="s">
        <v>839</v>
      </c>
      <c r="C58" s="709" t="s">
        <v>838</v>
      </c>
      <c r="D58" s="721" t="s">
        <v>837</v>
      </c>
      <c r="E58" s="720" t="e">
        <f ca="1">INDEX(INDIRECT(dms_RPT),dms_PRCP_start_row+4)</f>
        <v>#N/A</v>
      </c>
      <c r="F58" s="721" t="s">
        <v>351</v>
      </c>
      <c r="G58" s="720" t="e">
        <f ca="1">INDEX(INDIRECT(dms_RPT),dms_CRCP_start_row+4)</f>
        <v>#N/A</v>
      </c>
      <c r="H58" s="721" t="s">
        <v>836</v>
      </c>
      <c r="I58" s="720" t="e">
        <f ca="1">INDEX(INDIRECT(dms_RPT),dms_FRCP_start_row+4)</f>
        <v>#N/A</v>
      </c>
    </row>
    <row r="59" spans="2:25">
      <c r="B59" s="710" t="s">
        <v>835</v>
      </c>
      <c r="C59" s="709" t="s">
        <v>834</v>
      </c>
      <c r="D59" s="721" t="s">
        <v>833</v>
      </c>
      <c r="E59" s="720" t="e">
        <f ca="1">INDEX(INDIRECT(dms_RPT),dms_PRCP_start_row+5)</f>
        <v>#N/A</v>
      </c>
      <c r="F59" s="721" t="s">
        <v>353</v>
      </c>
      <c r="G59" s="720" t="e">
        <f ca="1">INDEX(INDIRECT(dms_RPT),dms_CRCP_start_row+5)</f>
        <v>#N/A</v>
      </c>
      <c r="H59" s="721" t="s">
        <v>832</v>
      </c>
      <c r="I59" s="720" t="e">
        <f ca="1">INDEX(INDIRECT(dms_RPT),dms_FRCP_start_row+5)</f>
        <v>#N/A</v>
      </c>
    </row>
    <row r="60" spans="2:25">
      <c r="B60" s="710" t="s">
        <v>831</v>
      </c>
      <c r="C60" s="709" t="s">
        <v>830</v>
      </c>
      <c r="D60" s="721" t="s">
        <v>829</v>
      </c>
      <c r="E60" s="720" t="e">
        <f ca="1">INDEX(INDIRECT(dms_RPT),dms_PRCP_start_row+6)</f>
        <v>#N/A</v>
      </c>
      <c r="F60" s="721" t="s">
        <v>355</v>
      </c>
      <c r="G60" s="720" t="e">
        <f ca="1">INDEX(INDIRECT(dms_RPT),dms_CRCP_start_row+6)</f>
        <v>#N/A</v>
      </c>
      <c r="H60" s="721" t="s">
        <v>828</v>
      </c>
      <c r="I60" s="720" t="e">
        <f ca="1">INDEX(INDIRECT(dms_RPT),dms_FRCP_start_row+6)</f>
        <v>#N/A</v>
      </c>
    </row>
    <row r="61" spans="2:25">
      <c r="B61" s="710" t="s">
        <v>827</v>
      </c>
      <c r="C61" s="709" t="s">
        <v>826</v>
      </c>
      <c r="D61" s="721" t="s">
        <v>825</v>
      </c>
      <c r="E61" s="720" t="e">
        <f ca="1">INDEX(INDIRECT(dms_RPT),dms_PRCP_start_row+7)</f>
        <v>#N/A</v>
      </c>
      <c r="F61" s="721" t="s">
        <v>357</v>
      </c>
      <c r="G61" s="720" t="e">
        <f ca="1">INDEX(INDIRECT(dms_RPT),dms_CRCP_start_row+7)</f>
        <v>#N/A</v>
      </c>
      <c r="H61" s="721" t="s">
        <v>824</v>
      </c>
      <c r="I61" s="720" t="e">
        <f ca="1">INDEX(INDIRECT(dms_RPT),dms_FRCP_start_row+7)</f>
        <v>#N/A</v>
      </c>
      <c r="J61" s="419"/>
      <c r="K61" s="419"/>
      <c r="L61" s="419"/>
    </row>
    <row r="62" spans="2:25">
      <c r="B62" s="710" t="s">
        <v>823</v>
      </c>
      <c r="C62" s="709" t="s">
        <v>822</v>
      </c>
      <c r="D62" s="721" t="s">
        <v>821</v>
      </c>
      <c r="E62" s="720" t="e">
        <f ca="1">INDEX(INDIRECT(dms_RPT),dms_PRCP_start_row+8)</f>
        <v>#N/A</v>
      </c>
      <c r="F62" s="721" t="s">
        <v>358</v>
      </c>
      <c r="G62" s="720" t="e">
        <f ca="1">INDEX(INDIRECT(dms_RPT),dms_CRCP_start_row+8)</f>
        <v>#N/A</v>
      </c>
      <c r="H62" s="721" t="s">
        <v>820</v>
      </c>
      <c r="I62" s="720" t="e">
        <f ca="1">INDEX(INDIRECT(dms_RPT),dms_FRCP_start_row+8)</f>
        <v>#N/A</v>
      </c>
      <c r="J62" s="419"/>
      <c r="K62" s="419"/>
      <c r="L62" s="419"/>
    </row>
    <row r="63" spans="2:25">
      <c r="B63" s="710" t="s">
        <v>819</v>
      </c>
      <c r="C63" s="709" t="s">
        <v>818</v>
      </c>
      <c r="D63" s="721" t="s">
        <v>817</v>
      </c>
      <c r="E63" s="720" t="e">
        <f ca="1">INDEX(INDIRECT(dms_RPT),dms_PRCP_start_row+9)</f>
        <v>#N/A</v>
      </c>
      <c r="F63" s="721" t="s">
        <v>360</v>
      </c>
      <c r="G63" s="720" t="e">
        <f ca="1">INDEX(INDIRECT(dms_RPT),dms_CRCP_start_row+9)</f>
        <v>#N/A</v>
      </c>
      <c r="H63" s="721" t="s">
        <v>816</v>
      </c>
      <c r="I63" s="720" t="e">
        <f ca="1">INDEX(INDIRECT(dms_RPT),dms_FRCP_start_row+9)</f>
        <v>#N/A</v>
      </c>
      <c r="J63" s="419"/>
      <c r="K63" s="419"/>
      <c r="L63" s="419"/>
    </row>
    <row r="64" spans="2:25">
      <c r="B64" s="710" t="s">
        <v>815</v>
      </c>
      <c r="C64" s="709" t="s">
        <v>814</v>
      </c>
      <c r="D64" s="721" t="s">
        <v>813</v>
      </c>
      <c r="E64" s="720" t="e">
        <f ca="1">INDEX(INDIRECT(dms_RPT),dms_PRCP_start_row+10)</f>
        <v>#N/A</v>
      </c>
      <c r="F64" s="721" t="s">
        <v>491</v>
      </c>
      <c r="G64" s="720" t="e">
        <f ca="1">INDEX(INDIRECT(dms_RPT),dms_CRCP_start_row+10)</f>
        <v>#N/A</v>
      </c>
      <c r="H64" s="721" t="s">
        <v>812</v>
      </c>
      <c r="I64" s="720" t="e">
        <f ca="1">INDEX(INDIRECT(dms_RPT),dms_FRCP_start_row+10)</f>
        <v>#N/A</v>
      </c>
      <c r="J64" s="419"/>
      <c r="K64" s="419"/>
      <c r="L64" s="419"/>
    </row>
    <row r="65" spans="2:12">
      <c r="B65" s="710" t="s">
        <v>811</v>
      </c>
      <c r="C65" s="709" t="s">
        <v>810</v>
      </c>
      <c r="D65" s="721" t="s">
        <v>809</v>
      </c>
      <c r="E65" s="720" t="e">
        <f ca="1">INDEX(INDIRECT(dms_RPT),dms_PRCP_start_row+11)</f>
        <v>#N/A</v>
      </c>
      <c r="F65" s="721" t="s">
        <v>492</v>
      </c>
      <c r="G65" s="720" t="e">
        <f ca="1">INDEX(INDIRECT(dms_RPT),dms_CRCP_start_row+11)</f>
        <v>#N/A</v>
      </c>
      <c r="H65" s="721" t="s">
        <v>808</v>
      </c>
      <c r="I65" s="720" t="e">
        <f ca="1">INDEX(INDIRECT(dms_RPT),dms_FRCP_start_row+11)</f>
        <v>#N/A</v>
      </c>
      <c r="J65" s="419"/>
      <c r="K65" s="419"/>
      <c r="L65" s="419"/>
    </row>
    <row r="66" spans="2:12">
      <c r="B66" s="710" t="s">
        <v>807</v>
      </c>
      <c r="C66" s="709" t="s">
        <v>250</v>
      </c>
      <c r="D66" s="721" t="s">
        <v>806</v>
      </c>
      <c r="E66" s="720" t="e">
        <f ca="1">INDEX(INDIRECT(dms_RPT),dms_PRCP_start_row+12)</f>
        <v>#N/A</v>
      </c>
      <c r="F66" s="721" t="s">
        <v>493</v>
      </c>
      <c r="G66" s="720" t="e">
        <f ca="1">INDEX(INDIRECT(dms_RPT),dms_CRCP_start_row+12)</f>
        <v>#N/A</v>
      </c>
      <c r="H66" s="721" t="s">
        <v>805</v>
      </c>
      <c r="I66" s="720" t="e">
        <f ca="1">INDEX(INDIRECT(dms_RPT),dms_FRCP_start_row+12)</f>
        <v>#N/A</v>
      </c>
      <c r="J66" s="419"/>
      <c r="K66" s="419"/>
      <c r="L66" s="419"/>
    </row>
    <row r="67" spans="2:12">
      <c r="B67" s="710" t="s">
        <v>804</v>
      </c>
      <c r="C67" s="709" t="s">
        <v>463</v>
      </c>
      <c r="D67" s="721" t="s">
        <v>803</v>
      </c>
      <c r="E67" s="720" t="e">
        <f ca="1">INDEX(INDIRECT(dms_RPT),dms_PRCP_start_row+13)</f>
        <v>#N/A</v>
      </c>
      <c r="F67" s="721" t="s">
        <v>494</v>
      </c>
      <c r="G67" s="720" t="e">
        <f ca="1">INDEX(INDIRECT(dms_RPT),dms_CRCP_start_row+13)</f>
        <v>#N/A</v>
      </c>
      <c r="H67" s="721" t="s">
        <v>802</v>
      </c>
      <c r="I67" s="720" t="e">
        <f ca="1">INDEX(INDIRECT(dms_RPT),dms_FRCP_start_row+13)</f>
        <v>#N/A</v>
      </c>
      <c r="J67" s="419"/>
      <c r="K67" s="419"/>
      <c r="L67" s="419"/>
    </row>
    <row r="68" spans="2:12">
      <c r="B68" s="710" t="s">
        <v>801</v>
      </c>
      <c r="C68" s="709" t="s">
        <v>800</v>
      </c>
      <c r="D68" s="721" t="s">
        <v>799</v>
      </c>
      <c r="E68" s="720" t="e">
        <f ca="1">INDEX(INDIRECT(dms_RPT),dms_PRCP_start_row+14)</f>
        <v>#N/A</v>
      </c>
      <c r="F68" s="721" t="s">
        <v>495</v>
      </c>
      <c r="G68" s="720" t="e">
        <f ca="1">INDEX(INDIRECT(dms_RPT),dms_CRCP_start_row+14)</f>
        <v>#N/A</v>
      </c>
      <c r="H68" s="721" t="s">
        <v>798</v>
      </c>
      <c r="I68" s="720" t="e">
        <f ca="1">INDEX(INDIRECT(dms_RPT),dms_FRCP_start_row+14)</f>
        <v>#N/A</v>
      </c>
      <c r="J68" s="419"/>
      <c r="K68" s="419"/>
      <c r="L68" s="419"/>
    </row>
    <row r="69" spans="2:12" ht="15.75" thickBot="1">
      <c r="B69" s="710" t="s">
        <v>797</v>
      </c>
      <c r="C69" s="709" t="s">
        <v>796</v>
      </c>
      <c r="D69" s="719" t="s">
        <v>795</v>
      </c>
      <c r="E69" s="718" t="e">
        <f ca="1">INDEX(INDIRECT(dms_RPT),dms_PRCP_start_row+15)</f>
        <v>#N/A</v>
      </c>
      <c r="F69" s="719" t="s">
        <v>794</v>
      </c>
      <c r="G69" s="718" t="e">
        <f ca="1">INDEX(INDIRECT(dms_RPT),dms_CRCP_start_row+15)</f>
        <v>#N/A</v>
      </c>
      <c r="H69" s="719" t="s">
        <v>793</v>
      </c>
      <c r="I69" s="718" t="e">
        <f ca="1">INDEX(INDIRECT(dms_RPT),dms_FRCP_start_row+15)</f>
        <v>#N/A</v>
      </c>
      <c r="J69" s="419"/>
      <c r="K69" s="419"/>
      <c r="L69" s="419"/>
    </row>
    <row r="70" spans="2:12">
      <c r="B70" s="710" t="s">
        <v>792</v>
      </c>
      <c r="C70" s="709" t="s">
        <v>791</v>
      </c>
      <c r="E70" s="419"/>
      <c r="H70" s="419"/>
      <c r="I70" s="419"/>
      <c r="J70" s="419"/>
      <c r="K70" s="419"/>
      <c r="L70" s="419"/>
    </row>
    <row r="71" spans="2:12" ht="15.75" thickBot="1">
      <c r="B71" s="710" t="s">
        <v>790</v>
      </c>
      <c r="C71" s="709" t="s">
        <v>789</v>
      </c>
      <c r="E71" s="419"/>
      <c r="H71" s="419"/>
      <c r="I71" s="419"/>
      <c r="J71" s="419"/>
      <c r="K71" s="419"/>
      <c r="L71" s="419"/>
    </row>
    <row r="72" spans="2:12">
      <c r="B72" s="710" t="s">
        <v>341</v>
      </c>
      <c r="C72" s="709" t="s">
        <v>496</v>
      </c>
      <c r="D72" s="717"/>
      <c r="E72" s="716" t="s">
        <v>788</v>
      </c>
      <c r="H72" s="419"/>
      <c r="I72" s="419"/>
      <c r="J72" s="419"/>
      <c r="K72" s="419"/>
      <c r="L72" s="419"/>
    </row>
    <row r="73" spans="2:12">
      <c r="B73" s="710" t="s">
        <v>343</v>
      </c>
      <c r="C73" s="709" t="s">
        <v>497</v>
      </c>
      <c r="D73" s="714" t="s">
        <v>787</v>
      </c>
      <c r="E73" s="713" t="str">
        <f ca="1">IFERROR(INDEX(INDIRECT(dms_RPT),dms_CRY_start_row),0)</f>
        <v>2006-07</v>
      </c>
      <c r="H73" s="419"/>
      <c r="I73" s="419"/>
      <c r="J73" s="419"/>
      <c r="K73" s="419"/>
      <c r="L73" s="419"/>
    </row>
    <row r="74" spans="2:12">
      <c r="B74" s="710" t="s">
        <v>346</v>
      </c>
      <c r="C74" s="709" t="s">
        <v>347</v>
      </c>
      <c r="D74" s="714" t="s">
        <v>786</v>
      </c>
      <c r="E74" s="713" t="str">
        <f ca="1">IFERROR(INDEX(INDIRECT(dms_RPT),dms_CRY_start_row+1),0)</f>
        <v>1987-88</v>
      </c>
      <c r="H74" s="419"/>
      <c r="I74" s="419"/>
      <c r="J74" s="419"/>
      <c r="K74" s="419"/>
      <c r="L74" s="419"/>
    </row>
    <row r="75" spans="2:12">
      <c r="B75" s="710" t="s">
        <v>349</v>
      </c>
      <c r="C75" s="709" t="s">
        <v>350</v>
      </c>
      <c r="D75" s="714" t="s">
        <v>785</v>
      </c>
      <c r="E75" s="713" t="str">
        <f ca="1">IFERROR(INDEX(INDIRECT(dms_RPT),dms_CRY_start_row+2),0)</f>
        <v>1988-89</v>
      </c>
      <c r="H75" s="419"/>
      <c r="I75" s="419"/>
      <c r="J75" s="419"/>
      <c r="K75" s="419"/>
      <c r="L75" s="419"/>
    </row>
    <row r="76" spans="2:12">
      <c r="B76" s="710" t="s">
        <v>352</v>
      </c>
      <c r="C76" s="709">
        <v>2010</v>
      </c>
      <c r="D76" s="714" t="s">
        <v>784</v>
      </c>
      <c r="E76" s="713" t="str">
        <f ca="1">IFERROR(INDEX(INDIRECT(dms_RPT),dms_CRY_start_row+3),0)</f>
        <v>1989-90</v>
      </c>
      <c r="H76" s="419"/>
      <c r="I76" s="419"/>
      <c r="J76" s="419"/>
      <c r="K76" s="419"/>
      <c r="L76" s="419"/>
    </row>
    <row r="77" spans="2:12">
      <c r="B77" s="710" t="s">
        <v>354</v>
      </c>
      <c r="C77" s="709">
        <v>2011</v>
      </c>
      <c r="D77" s="714" t="s">
        <v>783</v>
      </c>
      <c r="E77" s="713" t="str">
        <f ca="1">IFERROR(INDEX(INDIRECT(dms_RPT),dms_CRY_start_row+4),0)</f>
        <v>1990-91</v>
      </c>
      <c r="H77" s="419"/>
      <c r="I77" s="419"/>
      <c r="J77" s="419"/>
      <c r="K77" s="419"/>
      <c r="L77" s="419"/>
    </row>
    <row r="78" spans="2:12">
      <c r="B78" s="710" t="s">
        <v>356</v>
      </c>
      <c r="C78" s="709">
        <v>2012</v>
      </c>
      <c r="D78" s="714" t="s">
        <v>782</v>
      </c>
      <c r="E78" s="713" t="str">
        <f ca="1">IFERROR(INDEX(INDIRECT(dms_RPT),dms_CRY_start_row+5),0)</f>
        <v>1991-92</v>
      </c>
      <c r="H78" s="419"/>
      <c r="I78" s="419"/>
      <c r="J78" s="419"/>
      <c r="K78" s="419"/>
      <c r="L78" s="419"/>
    </row>
    <row r="79" spans="2:12">
      <c r="B79" s="710" t="s">
        <v>131</v>
      </c>
      <c r="C79" s="709">
        <v>2013</v>
      </c>
      <c r="D79" s="714" t="s">
        <v>781</v>
      </c>
      <c r="E79" s="713" t="str">
        <f ca="1">IFERROR(INDEX(INDIRECT(dms_RPT),dms_CRY_start_row+6),0)</f>
        <v>1992-93</v>
      </c>
      <c r="H79" s="419"/>
      <c r="I79" s="419"/>
      <c r="J79" s="419"/>
      <c r="K79" s="419"/>
      <c r="L79" s="419"/>
    </row>
    <row r="80" spans="2:12">
      <c r="B80" s="710" t="s">
        <v>359</v>
      </c>
      <c r="C80" s="709">
        <v>2014</v>
      </c>
      <c r="D80" s="714" t="s">
        <v>780</v>
      </c>
      <c r="E80" s="713" t="str">
        <f ca="1">IFERROR(INDEX(INDIRECT(dms_RPT),dms_CRY_start_row+7),0)</f>
        <v>1993-94</v>
      </c>
      <c r="H80" s="419"/>
      <c r="I80" s="419"/>
      <c r="J80" s="419"/>
      <c r="K80" s="419"/>
      <c r="L80" s="419"/>
    </row>
    <row r="81" spans="2:9">
      <c r="B81" s="710" t="s">
        <v>361</v>
      </c>
      <c r="C81" s="709">
        <v>2015</v>
      </c>
      <c r="D81" s="714" t="s">
        <v>779</v>
      </c>
      <c r="E81" s="713" t="str">
        <f ca="1">IFERROR(INDEX(INDIRECT(dms_RPT),dms_CRY_start_row+8),0)</f>
        <v>1994-95</v>
      </c>
      <c r="I81" s="715"/>
    </row>
    <row r="82" spans="2:9">
      <c r="B82" s="710" t="s">
        <v>362</v>
      </c>
      <c r="C82" s="709">
        <v>2016</v>
      </c>
      <c r="D82" s="714" t="s">
        <v>778</v>
      </c>
      <c r="E82" s="713" t="str">
        <f ca="1">IFERROR(INDEX(INDIRECT(dms_RPT),dms_CRY_start_row+9),0)</f>
        <v>1995-96</v>
      </c>
      <c r="I82" s="715"/>
    </row>
    <row r="83" spans="2:9">
      <c r="B83" s="710" t="s">
        <v>363</v>
      </c>
      <c r="C83" s="709">
        <v>2017</v>
      </c>
      <c r="D83" s="714" t="s">
        <v>777</v>
      </c>
      <c r="E83" s="713" t="str">
        <f ca="1">IFERROR(INDEX(INDIRECT(dms_RPT),dms_CRY_start_row+10),0)</f>
        <v>1996-97</v>
      </c>
    </row>
    <row r="84" spans="2:9">
      <c r="B84" s="710" t="s">
        <v>364</v>
      </c>
      <c r="C84" s="709">
        <v>2018</v>
      </c>
      <c r="D84" s="714" t="s">
        <v>776</v>
      </c>
      <c r="E84" s="713" t="str">
        <f ca="1">IFERROR(INDEX(INDIRECT(dms_RPT),dms_CRY_start_row+11),0)</f>
        <v>1997-98</v>
      </c>
    </row>
    <row r="85" spans="2:9">
      <c r="B85" s="710" t="s">
        <v>365</v>
      </c>
      <c r="C85" s="709">
        <v>2019</v>
      </c>
      <c r="D85" s="714" t="s">
        <v>775</v>
      </c>
      <c r="E85" s="713" t="str">
        <f ca="1">IFERROR(INDEX(INDIRECT(dms_RPT),dms_CRY_start_row+12),0)</f>
        <v>1998-99</v>
      </c>
    </row>
    <row r="86" spans="2:9">
      <c r="B86" s="710" t="s">
        <v>366</v>
      </c>
      <c r="C86" s="709">
        <v>2020</v>
      </c>
      <c r="D86" s="714" t="s">
        <v>774</v>
      </c>
      <c r="E86" s="713" t="str">
        <f ca="1">IFERROR(INDEX(INDIRECT(dms_RPT),dms_CRY_start_row+13),0)</f>
        <v>1999-00</v>
      </c>
      <c r="H86" s="419"/>
      <c r="I86" s="419"/>
    </row>
    <row r="87" spans="2:9">
      <c r="B87" s="710" t="s">
        <v>454</v>
      </c>
      <c r="C87" s="709">
        <v>2021</v>
      </c>
      <c r="D87" s="714" t="s">
        <v>773</v>
      </c>
      <c r="E87" s="713" t="str">
        <f ca="1">IFERROR(INDEX(INDIRECT(dms_RPT),dms_CRY_start_row+14),0)</f>
        <v>2000-01</v>
      </c>
      <c r="H87" s="419"/>
      <c r="I87" s="419"/>
    </row>
    <row r="88" spans="2:9" ht="15.75" thickBot="1">
      <c r="B88" s="710" t="s">
        <v>455</v>
      </c>
      <c r="C88" s="709">
        <v>2022</v>
      </c>
      <c r="D88" s="712" t="s">
        <v>772</v>
      </c>
      <c r="E88" s="711" t="str">
        <f ca="1">IFERROR(INDEX(INDIRECT(dms_RPT),dms_CRY_start_row+15),0)</f>
        <v>2001-02</v>
      </c>
      <c r="H88" s="419"/>
      <c r="I88" s="419"/>
    </row>
    <row r="89" spans="2:9">
      <c r="B89" s="710" t="s">
        <v>456</v>
      </c>
      <c r="C89" s="709">
        <v>2023</v>
      </c>
      <c r="E89" s="419"/>
      <c r="H89" s="419"/>
      <c r="I89" s="419"/>
    </row>
    <row r="90" spans="2:9">
      <c r="B90" s="710" t="s">
        <v>498</v>
      </c>
      <c r="C90" s="709">
        <v>2024</v>
      </c>
      <c r="E90" s="419"/>
      <c r="H90" s="419"/>
      <c r="I90" s="419"/>
    </row>
    <row r="91" spans="2:9">
      <c r="B91" s="710" t="s">
        <v>499</v>
      </c>
      <c r="C91" s="709">
        <v>2025</v>
      </c>
      <c r="E91" s="419"/>
      <c r="H91" s="419"/>
      <c r="I91" s="419"/>
    </row>
    <row r="92" spans="2:9">
      <c r="B92" s="710" t="s">
        <v>500</v>
      </c>
      <c r="C92" s="709">
        <v>2026</v>
      </c>
      <c r="E92" s="419"/>
      <c r="H92" s="419"/>
      <c r="I92" s="419"/>
    </row>
    <row r="93" spans="2:9">
      <c r="B93" s="710" t="s">
        <v>501</v>
      </c>
      <c r="C93" s="709">
        <v>2027</v>
      </c>
      <c r="E93" s="419"/>
      <c r="H93" s="419"/>
      <c r="I93" s="419"/>
    </row>
    <row r="94" spans="2:9">
      <c r="B94" s="710" t="s">
        <v>502</v>
      </c>
      <c r="C94" s="709">
        <v>2028</v>
      </c>
      <c r="E94" s="419"/>
      <c r="H94" s="419"/>
      <c r="I94" s="419"/>
    </row>
    <row r="95" spans="2:9">
      <c r="B95" s="710" t="s">
        <v>503</v>
      </c>
      <c r="C95" s="709">
        <v>2029</v>
      </c>
      <c r="E95" s="419"/>
      <c r="H95" s="419"/>
      <c r="I95" s="419"/>
    </row>
    <row r="96" spans="2:9">
      <c r="B96" s="710" t="s">
        <v>504</v>
      </c>
      <c r="C96" s="709">
        <v>2030</v>
      </c>
      <c r="E96" s="419"/>
      <c r="H96" s="419"/>
      <c r="I96" s="419"/>
    </row>
    <row r="97" spans="1:22">
      <c r="B97" s="710" t="s">
        <v>505</v>
      </c>
      <c r="C97" s="709">
        <v>2031</v>
      </c>
      <c r="E97" s="419"/>
      <c r="H97" s="419"/>
      <c r="I97" s="419"/>
    </row>
    <row r="98" spans="1:22">
      <c r="B98" s="710" t="s">
        <v>506</v>
      </c>
      <c r="C98" s="709">
        <v>2032</v>
      </c>
      <c r="E98" s="419"/>
      <c r="H98" s="419"/>
      <c r="I98" s="419"/>
    </row>
    <row r="99" spans="1:22">
      <c r="B99" s="710" t="s">
        <v>507</v>
      </c>
      <c r="C99" s="709">
        <v>2033</v>
      </c>
      <c r="E99" s="419"/>
      <c r="H99" s="419"/>
      <c r="I99" s="419"/>
    </row>
    <row r="100" spans="1:22">
      <c r="B100" s="710" t="s">
        <v>508</v>
      </c>
      <c r="C100" s="709">
        <v>2034</v>
      </c>
      <c r="E100" s="419"/>
      <c r="H100" s="419"/>
      <c r="I100" s="419"/>
    </row>
    <row r="101" spans="1:22">
      <c r="B101" s="710" t="s">
        <v>509</v>
      </c>
      <c r="C101" s="709">
        <v>2035</v>
      </c>
      <c r="E101" s="419"/>
      <c r="H101" s="419"/>
      <c r="I101" s="419"/>
    </row>
    <row r="102" spans="1:22">
      <c r="B102" s="710" t="s">
        <v>510</v>
      </c>
      <c r="C102" s="709">
        <v>2036</v>
      </c>
      <c r="E102" s="419"/>
      <c r="H102" s="419"/>
      <c r="I102" s="419"/>
    </row>
    <row r="103" spans="1:22" ht="15.75" thickBot="1">
      <c r="B103" s="708" t="s">
        <v>771</v>
      </c>
      <c r="C103" s="707" t="s">
        <v>770</v>
      </c>
      <c r="E103" s="706"/>
    </row>
    <row r="104" spans="1:22" s="420" customFormat="1">
      <c r="A104" s="419"/>
      <c r="B104" s="421"/>
      <c r="C104" s="419"/>
      <c r="D104" s="419"/>
      <c r="E104" s="705"/>
      <c r="F104" s="419"/>
      <c r="G104" s="419"/>
      <c r="H104" s="422"/>
      <c r="I104" s="423"/>
      <c r="J104" s="422"/>
      <c r="K104" s="422"/>
      <c r="L104" s="421"/>
      <c r="M104" s="419"/>
      <c r="N104" s="419"/>
      <c r="O104" s="419"/>
      <c r="P104" s="419"/>
      <c r="Q104" s="419"/>
      <c r="R104" s="419"/>
      <c r="S104" s="419"/>
      <c r="T104" s="419"/>
      <c r="U104" s="419"/>
      <c r="V104" s="419"/>
    </row>
    <row r="105" spans="1:22" s="420" customFormat="1">
      <c r="A105" s="419"/>
      <c r="B105" s="419"/>
      <c r="C105" s="419"/>
      <c r="D105" s="419"/>
      <c r="E105" s="424"/>
      <c r="F105" s="419"/>
      <c r="G105" s="419"/>
      <c r="H105" s="419"/>
      <c r="I105" s="419"/>
      <c r="J105" s="419"/>
      <c r="K105" s="419"/>
      <c r="L105" s="419"/>
      <c r="M105" s="419"/>
      <c r="N105" s="419"/>
      <c r="O105" s="419"/>
      <c r="P105" s="419"/>
      <c r="Q105" s="419"/>
      <c r="R105" s="419"/>
      <c r="S105" s="419"/>
      <c r="T105" s="419"/>
      <c r="U105" s="419"/>
      <c r="V105" s="419"/>
    </row>
    <row r="106" spans="1:22" s="420" customFormat="1">
      <c r="A106" s="419"/>
      <c r="B106" s="419"/>
      <c r="C106" s="419"/>
      <c r="D106" s="419"/>
      <c r="E106" s="424"/>
      <c r="F106" s="419"/>
      <c r="G106" s="419"/>
      <c r="H106" s="419"/>
      <c r="I106" s="419"/>
      <c r="J106" s="419"/>
      <c r="K106" s="419"/>
      <c r="L106" s="419"/>
      <c r="M106" s="419"/>
      <c r="N106" s="419"/>
      <c r="O106" s="419"/>
      <c r="P106" s="419"/>
      <c r="Q106" s="419"/>
      <c r="R106" s="419"/>
      <c r="S106" s="419"/>
      <c r="T106" s="419"/>
      <c r="U106" s="419"/>
      <c r="V106" s="419"/>
    </row>
    <row r="107" spans="1:22" s="420" customFormat="1">
      <c r="A107" s="419"/>
      <c r="B107" s="419"/>
      <c r="C107" s="419"/>
      <c r="D107" s="419"/>
      <c r="E107" s="424"/>
      <c r="F107" s="419"/>
      <c r="G107" s="419"/>
      <c r="H107" s="419"/>
      <c r="I107" s="419"/>
      <c r="J107" s="419"/>
      <c r="K107" s="419"/>
      <c r="L107" s="419"/>
      <c r="M107" s="419"/>
      <c r="N107" s="419"/>
    </row>
  </sheetData>
  <mergeCells count="5">
    <mergeCell ref="B38:E38"/>
    <mergeCell ref="Z11:AJ11"/>
    <mergeCell ref="Z12:AC12"/>
    <mergeCell ref="AE12:AI12"/>
    <mergeCell ref="AJ12:AJ14"/>
  </mergeCells>
  <conditionalFormatting sqref="AJ16:AJ33">
    <cfRule type="cellIs" dxfId="76" priority="7" operator="equal">
      <formula>"YES"</formula>
    </cfRule>
  </conditionalFormatting>
  <conditionalFormatting sqref="Z16:AD33">
    <cfRule type="containsText" dxfId="75" priority="6" operator="containsText" text="YES">
      <formula>NOT(ISERROR(SEARCH("YES",Z16)))</formula>
    </cfRule>
  </conditionalFormatting>
  <dataValidations count="1">
    <dataValidation type="textLength" operator="greaterThan" showInputMessage="1" showErrorMessage="1" sqref="R27:R28 P27:P28" xr:uid="{00000000-0002-0000-0100-000000000000}">
      <formula1>1</formula1>
    </dataValidation>
  </dataValidations>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0" tint="-0.499984740745262"/>
    <pageSetUpPr autoPageBreaks="0"/>
  </sheetPr>
  <dimension ref="A1:CL152"/>
  <sheetViews>
    <sheetView showGridLines="0" zoomScale="90" zoomScaleNormal="90" workbookViewId="0">
      <selection activeCell="AL19" sqref="AL19"/>
    </sheetView>
  </sheetViews>
  <sheetFormatPr defaultColWidth="9.140625" defaultRowHeight="15"/>
  <cols>
    <col min="1" max="1" width="36.28515625" style="419" customWidth="1"/>
    <col min="2" max="2" width="44.5703125" style="422" customWidth="1"/>
    <col min="3" max="3" width="24.140625" style="422" customWidth="1"/>
    <col min="4" max="4" width="33.42578125" style="422" customWidth="1"/>
    <col min="5" max="7" width="17.28515625" style="422" customWidth="1"/>
    <col min="8" max="9" width="13.28515625" style="422" customWidth="1"/>
    <col min="10" max="12" width="13.7109375" style="419" customWidth="1"/>
    <col min="13" max="16384" width="9.140625" style="422"/>
  </cols>
  <sheetData>
    <row r="1" spans="1:51" s="419" customFormat="1" ht="51" customHeight="1">
      <c r="B1" s="704" t="s">
        <v>1105</v>
      </c>
      <c r="C1" s="703"/>
      <c r="D1" s="703"/>
      <c r="E1" s="703"/>
      <c r="F1" s="703"/>
      <c r="G1" s="703"/>
      <c r="H1" s="703"/>
      <c r="I1" s="703"/>
      <c r="J1" s="703"/>
      <c r="K1" s="703"/>
    </row>
    <row r="2" spans="1:51" s="419" customFormat="1" ht="24.75" customHeight="1"/>
    <row r="3" spans="1:51" ht="20.25">
      <c r="B3" s="1233" t="s">
        <v>451</v>
      </c>
      <c r="C3" s="1232" t="s">
        <v>452</v>
      </c>
      <c r="D3" s="1231" t="s">
        <v>453</v>
      </c>
      <c r="E3" s="1230"/>
      <c r="F3" s="1230"/>
      <c r="G3" s="1230"/>
      <c r="H3" s="1230"/>
      <c r="I3" s="1230"/>
      <c r="J3" s="1230"/>
      <c r="K3" s="1230"/>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419"/>
      <c r="AV3" s="419"/>
      <c r="AW3" s="419"/>
      <c r="AX3" s="419"/>
      <c r="AY3" s="419"/>
    </row>
    <row r="4" spans="1:51" ht="15.75" thickBot="1">
      <c r="B4" s="122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row>
    <row r="5" spans="1:51" s="419" customFormat="1">
      <c r="B5" s="1228" t="s">
        <v>1104</v>
      </c>
      <c r="C5" s="1225"/>
      <c r="D5" s="1227"/>
      <c r="E5" s="1226"/>
      <c r="F5" s="1225"/>
      <c r="G5" s="1225"/>
      <c r="H5" s="1225"/>
      <c r="I5" s="835"/>
    </row>
    <row r="6" spans="1:51" s="419" customFormat="1">
      <c r="B6" s="1224" t="s">
        <v>1103</v>
      </c>
      <c r="C6" s="426"/>
      <c r="D6" s="1223"/>
      <c r="E6" s="1223"/>
      <c r="F6" s="1223"/>
      <c r="G6" s="1223"/>
      <c r="H6" s="1223"/>
      <c r="I6" s="1222"/>
    </row>
    <row r="7" spans="1:51" s="419" customFormat="1" ht="15.75" thickBot="1">
      <c r="B7" s="1221" t="s">
        <v>1102</v>
      </c>
      <c r="C7" s="1187"/>
      <c r="D7" s="1220"/>
      <c r="E7" s="1220"/>
      <c r="F7" s="1220"/>
      <c r="G7" s="1220"/>
      <c r="H7" s="1220"/>
      <c r="I7" s="1219"/>
    </row>
    <row r="8" spans="1:51" s="419" customFormat="1" ht="15.75" thickBot="1">
      <c r="B8" s="1218"/>
      <c r="C8" s="1218"/>
      <c r="D8" s="1218"/>
      <c r="E8" s="1218"/>
      <c r="F8" s="1218"/>
      <c r="G8" s="1218"/>
      <c r="H8" s="1218"/>
      <c r="I8" s="1218"/>
    </row>
    <row r="9" spans="1:51" s="419" customFormat="1">
      <c r="A9" s="1217"/>
      <c r="B9" s="1205" t="s">
        <v>1101</v>
      </c>
      <c r="C9" s="1216" t="str">
        <f>INDEX(dms_TradingNameFull_List,MATCH(dms_TradingName,dms_TradingName_List))</f>
        <v>Australian Distribution Co.</v>
      </c>
      <c r="D9" s="1215"/>
      <c r="E9" s="1203" t="s">
        <v>1100</v>
      </c>
      <c r="F9" s="1207"/>
      <c r="G9" s="1207"/>
      <c r="H9" s="1207"/>
      <c r="I9" s="1206"/>
    </row>
    <row r="10" spans="1:51" s="419" customFormat="1">
      <c r="A10" s="426"/>
      <c r="B10" s="1205" t="s">
        <v>70</v>
      </c>
      <c r="C10" s="1216" t="str">
        <f>dms_TradingName</f>
        <v>Australian Distribution Co.</v>
      </c>
      <c r="D10" s="1215"/>
      <c r="E10" s="1203"/>
      <c r="F10" s="1207"/>
      <c r="G10" s="1207"/>
      <c r="H10" s="1207"/>
      <c r="I10" s="1206"/>
    </row>
    <row r="11" spans="1:51" s="419" customFormat="1">
      <c r="A11" s="1192" t="s">
        <v>1099</v>
      </c>
      <c r="B11" s="1214" t="s">
        <v>1098</v>
      </c>
      <c r="C11" s="1213" t="s">
        <v>95</v>
      </c>
      <c r="D11" s="1212" t="s">
        <v>417</v>
      </c>
      <c r="E11" s="1211"/>
      <c r="F11" s="1210"/>
      <c r="G11" s="1210"/>
      <c r="H11" s="1210"/>
      <c r="I11" s="1209"/>
    </row>
    <row r="12" spans="1:51" s="419" customFormat="1">
      <c r="A12" s="1522" t="s">
        <v>1097</v>
      </c>
      <c r="B12" s="1205" t="s">
        <v>84</v>
      </c>
      <c r="C12" s="1204" t="str">
        <f>dms_Selected_Source</f>
        <v>Regulatory proposal</v>
      </c>
      <c r="D12" s="1203" t="s">
        <v>1096</v>
      </c>
      <c r="E12" s="1208"/>
      <c r="F12" s="1207"/>
      <c r="G12" s="1207"/>
      <c r="H12" s="1207"/>
      <c r="I12" s="1206"/>
    </row>
    <row r="13" spans="1:51" s="419" customFormat="1">
      <c r="A13" s="1523"/>
      <c r="B13" s="1205" t="s">
        <v>1095</v>
      </c>
      <c r="C13" s="1204" t="s">
        <v>90</v>
      </c>
      <c r="D13" s="1203" t="s">
        <v>1094</v>
      </c>
      <c r="E13" s="1525"/>
      <c r="F13" s="1525"/>
      <c r="G13" s="1525"/>
      <c r="H13" s="1525"/>
      <c r="I13" s="1526"/>
    </row>
    <row r="14" spans="1:51" s="419" customFormat="1">
      <c r="A14" s="1523"/>
      <c r="B14" s="1205" t="s">
        <v>1093</v>
      </c>
      <c r="C14" s="1204" t="s">
        <v>89</v>
      </c>
      <c r="D14" s="1203" t="s">
        <v>1092</v>
      </c>
      <c r="E14" s="1200"/>
      <c r="F14" s="1200"/>
      <c r="G14" s="1200"/>
      <c r="H14" s="1200"/>
      <c r="I14" s="1199"/>
    </row>
    <row r="15" spans="1:51" s="419" customFormat="1" ht="39" customHeight="1">
      <c r="A15" s="1523"/>
      <c r="B15" s="1202" t="s">
        <v>1091</v>
      </c>
      <c r="C15" s="1527" t="str">
        <f>dms_Amendment_Text</f>
        <v>.</v>
      </c>
      <c r="D15" s="1527"/>
      <c r="E15" s="1527"/>
      <c r="F15" s="1201" t="s">
        <v>1090</v>
      </c>
      <c r="G15" s="1200"/>
      <c r="H15" s="1200"/>
      <c r="I15" s="1199"/>
    </row>
    <row r="16" spans="1:51" s="419" customFormat="1" ht="15" customHeight="1" thickBot="1">
      <c r="A16" s="1524"/>
      <c r="B16" s="1198" t="s">
        <v>1089</v>
      </c>
      <c r="C16" s="1197" t="str">
        <f>dms_Typed_Submission_Date</f>
        <v>dd/mm/yy</v>
      </c>
      <c r="D16" s="1196" t="s">
        <v>409</v>
      </c>
      <c r="E16" s="1195"/>
      <c r="F16" s="1194"/>
      <c r="G16" s="1194"/>
      <c r="H16" s="1194"/>
      <c r="I16" s="1193"/>
    </row>
    <row r="17" spans="1:11" s="419" customFormat="1" ht="15" customHeight="1" thickBot="1">
      <c r="B17" s="422"/>
      <c r="C17" s="422"/>
      <c r="D17" s="422"/>
      <c r="E17" s="422"/>
      <c r="F17" s="422"/>
      <c r="G17" s="422"/>
      <c r="H17" s="422"/>
      <c r="I17" s="422"/>
    </row>
    <row r="18" spans="1:11" s="419" customFormat="1" ht="15.75" thickBot="1">
      <c r="A18" s="1192" t="s">
        <v>1088</v>
      </c>
      <c r="B18" s="1191" t="s">
        <v>177</v>
      </c>
      <c r="C18" s="1190" t="s">
        <v>178</v>
      </c>
      <c r="D18" s="1189"/>
      <c r="E18" s="1189"/>
      <c r="F18" s="1189"/>
      <c r="G18" s="1189"/>
      <c r="H18" s="1189"/>
      <c r="I18" s="1188"/>
      <c r="J18" s="1187"/>
      <c r="K18" s="1187"/>
    </row>
    <row r="19" spans="1:11" s="419" customFormat="1">
      <c r="A19" s="1528" t="s">
        <v>1087</v>
      </c>
      <c r="B19" s="1186" t="s">
        <v>1086</v>
      </c>
      <c r="C19" s="925" t="s">
        <v>90</v>
      </c>
      <c r="D19" s="924" t="s">
        <v>1085</v>
      </c>
      <c r="E19" s="1185" t="s">
        <v>1084</v>
      </c>
      <c r="F19" s="1184"/>
      <c r="G19" s="1184"/>
      <c r="H19" s="1184"/>
      <c r="I19" s="1184"/>
      <c r="J19" s="1183"/>
      <c r="K19" s="1182"/>
    </row>
    <row r="20" spans="1:11" s="745" customFormat="1">
      <c r="A20" s="1529"/>
      <c r="B20" s="1178" t="s">
        <v>81</v>
      </c>
      <c r="C20" s="1181" t="str">
        <f>INDEX(dms_Sector_List,MATCH(dms_TradingName,dms_TradingName_List))</f>
        <v>Electricity</v>
      </c>
      <c r="D20" s="895" t="s">
        <v>410</v>
      </c>
      <c r="E20" s="1180" t="s">
        <v>411</v>
      </c>
      <c r="F20" s="992"/>
      <c r="G20" s="992"/>
      <c r="H20" s="992"/>
      <c r="I20" s="992"/>
      <c r="J20" s="1177"/>
      <c r="K20" s="1176"/>
    </row>
    <row r="21" spans="1:11" s="419" customFormat="1">
      <c r="A21" s="1529"/>
      <c r="B21" s="1178" t="s">
        <v>83</v>
      </c>
      <c r="C21" s="920" t="str">
        <f>INDEX(dms_Segment_List,MATCH(dms_TradingName,dms_TradingName_List))</f>
        <v>Distribution</v>
      </c>
      <c r="D21" s="895" t="s">
        <v>412</v>
      </c>
      <c r="E21" s="1180" t="s">
        <v>413</v>
      </c>
      <c r="F21" s="992"/>
      <c r="G21" s="992"/>
      <c r="H21" s="992"/>
      <c r="I21" s="992"/>
      <c r="J21" s="1177"/>
      <c r="K21" s="1176"/>
    </row>
    <row r="22" spans="1:11" s="419" customFormat="1">
      <c r="A22" s="1529"/>
      <c r="B22" s="1178" t="s">
        <v>86</v>
      </c>
      <c r="C22" s="1181" t="e">
        <f ca="1">dms_RYE_result</f>
        <v>#N/A</v>
      </c>
      <c r="D22" s="895" t="s">
        <v>138</v>
      </c>
      <c r="E22" s="1180" t="s">
        <v>414</v>
      </c>
      <c r="F22" s="992"/>
      <c r="G22" s="992"/>
      <c r="H22" s="992"/>
      <c r="I22" s="992"/>
      <c r="J22" s="1177"/>
      <c r="K22" s="1176"/>
    </row>
    <row r="23" spans="1:11" s="419" customFormat="1">
      <c r="A23" s="1529"/>
      <c r="B23" s="1178" t="s">
        <v>87</v>
      </c>
      <c r="C23" s="920" t="str">
        <f>INDEX(dms_RPT_List,MATCH(dms_TradingName,dms_TradingName_List))</f>
        <v>Financial</v>
      </c>
      <c r="D23" s="895" t="s">
        <v>415</v>
      </c>
      <c r="E23" s="1180" t="s">
        <v>416</v>
      </c>
      <c r="F23" s="992"/>
      <c r="G23" s="992"/>
      <c r="H23" s="992"/>
      <c r="I23" s="992"/>
      <c r="J23" s="1177"/>
      <c r="K23" s="1176"/>
    </row>
    <row r="24" spans="1:11" s="419" customFormat="1">
      <c r="A24" s="1529"/>
      <c r="B24" s="1178" t="s">
        <v>446</v>
      </c>
      <c r="C24" s="1022" t="s">
        <v>323</v>
      </c>
      <c r="D24" s="895" t="s">
        <v>447</v>
      </c>
      <c r="E24" s="1179" t="s">
        <v>1083</v>
      </c>
      <c r="F24" s="893"/>
      <c r="G24" s="893"/>
      <c r="H24" s="893"/>
      <c r="I24" s="893"/>
      <c r="J24" s="893"/>
      <c r="K24" s="892"/>
    </row>
    <row r="25" spans="1:11" s="419" customFormat="1">
      <c r="A25" s="1529"/>
      <c r="B25" s="1178" t="s">
        <v>88</v>
      </c>
      <c r="C25" s="920" t="s">
        <v>89</v>
      </c>
      <c r="D25" s="919" t="s">
        <v>418</v>
      </c>
      <c r="E25" s="964" t="s">
        <v>419</v>
      </c>
      <c r="F25" s="992"/>
      <c r="G25" s="992"/>
      <c r="H25" s="992"/>
      <c r="I25" s="992"/>
      <c r="J25" s="1177"/>
      <c r="K25" s="1176"/>
    </row>
    <row r="26" spans="1:11" s="419" customFormat="1" ht="15.75" customHeight="1" thickBot="1">
      <c r="A26" s="1530"/>
      <c r="B26" s="1175" t="s">
        <v>187</v>
      </c>
      <c r="C26" s="1174" t="str">
        <f>INDEX(dms_JurisdictionList,MATCH(dms_TradingName,dms_TradingName_List))</f>
        <v>NSW</v>
      </c>
      <c r="D26" s="1152" t="s">
        <v>426</v>
      </c>
      <c r="E26" s="1173" t="s">
        <v>427</v>
      </c>
      <c r="F26" s="1172"/>
      <c r="G26" s="1172"/>
      <c r="H26" s="1172"/>
      <c r="I26" s="1172"/>
      <c r="J26" s="1171"/>
      <c r="K26" s="1170"/>
    </row>
    <row r="27" spans="1:11" s="419" customFormat="1" ht="22.5" customHeight="1" thickBot="1">
      <c r="A27" s="1531" t="s">
        <v>1082</v>
      </c>
      <c r="B27" s="1169" t="s">
        <v>1081</v>
      </c>
      <c r="C27" s="1168"/>
      <c r="D27" s="1168"/>
      <c r="E27" s="1145"/>
      <c r="F27" s="1144"/>
      <c r="G27" s="1144"/>
      <c r="H27" s="1144"/>
      <c r="I27" s="1144"/>
      <c r="J27" s="1144"/>
      <c r="K27" s="1143"/>
    </row>
    <row r="28" spans="1:11" s="420" customFormat="1" ht="22.5" customHeight="1">
      <c r="A28" s="1532"/>
      <c r="B28" s="1167" t="s">
        <v>1080</v>
      </c>
      <c r="C28" s="1166" t="str">
        <f>IFERROR(CRY,"NO")</f>
        <v>NO</v>
      </c>
      <c r="D28" s="1165"/>
      <c r="E28" s="1164"/>
      <c r="F28" s="1164"/>
      <c r="G28" s="1164"/>
      <c r="H28" s="1164"/>
      <c r="I28" s="1164"/>
      <c r="J28" s="1164"/>
      <c r="K28" s="1163"/>
    </row>
    <row r="29" spans="1:11" s="419" customFormat="1">
      <c r="A29" s="1532"/>
      <c r="B29" s="1162" t="s">
        <v>1079</v>
      </c>
      <c r="C29" s="1022" t="str">
        <f>IFERROR(IF(dms_RPT="calendar",CRY-1,LEFT(CRY,4)),"CRY not present")</f>
        <v>CRY not present</v>
      </c>
      <c r="D29" s="1161" t="s">
        <v>1078</v>
      </c>
      <c r="E29" s="1021" t="s">
        <v>1077</v>
      </c>
      <c r="F29" s="1161"/>
      <c r="G29" s="1161"/>
      <c r="H29" s="1161"/>
      <c r="I29" s="1161"/>
      <c r="J29" s="1160"/>
      <c r="K29" s="1159"/>
    </row>
    <row r="30" spans="1:11" s="419" customFormat="1">
      <c r="A30" s="1532"/>
      <c r="B30" s="1158" t="s">
        <v>420</v>
      </c>
      <c r="C30" s="920" t="str">
        <f>INDEX(dms_RPTMonth_List,MATCH(dms_TradingName,dms_TradingName_List))</f>
        <v>June</v>
      </c>
      <c r="D30" s="919" t="s">
        <v>421</v>
      </c>
      <c r="E30" s="895" t="s">
        <v>422</v>
      </c>
      <c r="F30" s="919"/>
      <c r="G30" s="919"/>
      <c r="H30" s="919"/>
      <c r="I30" s="919"/>
      <c r="J30" s="1156"/>
      <c r="K30" s="1155"/>
    </row>
    <row r="31" spans="1:11" s="419" customFormat="1" ht="14.25" customHeight="1">
      <c r="A31" s="1532"/>
      <c r="B31" s="1158" t="s">
        <v>179</v>
      </c>
      <c r="C31" s="1157" t="e">
        <f ca="1">IF(dms_SingleYearModel="yes",CONCATENATE(dms_RPTMonth)&amp;" "&amp;VALUE((LEFT(dms_CRY_start_year,2)&amp;RIGHT(dms_CRY_start_year,2))),CONCATENATE(dms_RPTMonth)&amp;" "&amp;dms_DollarReal_year)</f>
        <v>#N/A</v>
      </c>
      <c r="D31" s="895" t="s">
        <v>423</v>
      </c>
      <c r="E31" s="895" t="s">
        <v>1076</v>
      </c>
      <c r="F31" s="919"/>
      <c r="G31" s="919"/>
      <c r="H31" s="919"/>
      <c r="I31" s="919"/>
      <c r="J31" s="1156"/>
      <c r="K31" s="1155"/>
    </row>
    <row r="32" spans="1:11" s="419" customFormat="1" ht="24" customHeight="1" thickBot="1">
      <c r="A32" s="1533"/>
      <c r="B32" s="1154" t="s">
        <v>511</v>
      </c>
      <c r="C32" s="1153" t="e">
        <f ca="1">CONCATENATE(dms_RPTMonth)&amp;" "&amp;dms_Previous_DollarReal_year</f>
        <v>#N/A</v>
      </c>
      <c r="D32" s="1152" t="s">
        <v>512</v>
      </c>
      <c r="E32" s="1152" t="s">
        <v>513</v>
      </c>
      <c r="F32" s="1151"/>
      <c r="G32" s="1151"/>
      <c r="H32" s="1151"/>
      <c r="I32" s="1151"/>
      <c r="J32" s="1150"/>
      <c r="K32" s="1149"/>
    </row>
    <row r="33" spans="1:90" s="419" customFormat="1" ht="24" customHeight="1" thickBot="1">
      <c r="B33" s="1148" t="s">
        <v>1075</v>
      </c>
      <c r="C33" s="1090"/>
      <c r="D33" s="1090"/>
      <c r="E33" s="1090"/>
      <c r="F33" s="1089"/>
      <c r="G33" s="1089"/>
      <c r="H33" s="1089"/>
      <c r="I33" s="1089"/>
      <c r="J33" s="1089"/>
      <c r="K33" s="1088"/>
      <c r="AL33" s="1505"/>
      <c r="AM33" s="1505"/>
      <c r="AN33" s="1505"/>
      <c r="AO33" s="1505"/>
      <c r="AP33" s="1505"/>
      <c r="AQ33" s="1505"/>
      <c r="AR33" s="1505"/>
      <c r="AS33" s="1505"/>
      <c r="AT33" s="1505"/>
      <c r="AU33" s="1505"/>
      <c r="AV33" s="1505"/>
      <c r="AW33" s="1505"/>
      <c r="AX33" s="1505"/>
      <c r="AY33" s="1505"/>
      <c r="AZ33" s="1505"/>
      <c r="BA33" s="1505"/>
      <c r="BB33" s="1505"/>
      <c r="BC33" s="1505"/>
      <c r="BD33" s="1505"/>
      <c r="BE33" s="1505"/>
      <c r="BF33" s="1505"/>
      <c r="BG33" s="1505"/>
      <c r="BQ33" s="1505"/>
      <c r="BR33" s="1505"/>
      <c r="BS33" s="1505"/>
      <c r="BT33" s="1505"/>
      <c r="BU33" s="1505"/>
      <c r="BV33" s="1505"/>
      <c r="BW33" s="1505"/>
      <c r="BX33" s="1505"/>
      <c r="BY33" s="1505"/>
      <c r="BZ33" s="1505"/>
      <c r="CA33" s="1505"/>
      <c r="CB33" s="1505"/>
      <c r="CC33" s="1505"/>
      <c r="CD33" s="1505"/>
      <c r="CE33" s="1505"/>
      <c r="CF33" s="1505"/>
      <c r="CG33" s="1505"/>
      <c r="CH33" s="1505"/>
      <c r="CI33" s="1505"/>
      <c r="CJ33" s="1505"/>
      <c r="CK33" s="1505"/>
      <c r="CL33" s="1505"/>
    </row>
    <row r="34" spans="1:90" s="420" customFormat="1" ht="30.75" customHeight="1" thickBot="1">
      <c r="B34" s="1147" t="s">
        <v>92</v>
      </c>
      <c r="C34" s="1146" t="str">
        <f>INDEX(dms_FormControl_List,MATCH(dms_TradingName,dms_TradingName_List))</f>
        <v>Revenue cap</v>
      </c>
      <c r="D34" s="1021" t="s">
        <v>424</v>
      </c>
      <c r="E34" s="1020" t="s">
        <v>425</v>
      </c>
      <c r="F34" s="1019"/>
      <c r="G34" s="1019"/>
      <c r="H34" s="1019"/>
      <c r="I34" s="1019"/>
      <c r="J34" s="1018"/>
      <c r="K34" s="1017"/>
      <c r="AL34" s="1505"/>
      <c r="AM34" s="1505"/>
      <c r="AN34" s="1505"/>
      <c r="AO34" s="1505"/>
      <c r="AP34" s="1505"/>
      <c r="AQ34" s="1505"/>
      <c r="AR34" s="1505"/>
      <c r="AS34" s="1505"/>
      <c r="AT34" s="1505"/>
      <c r="AU34" s="1505"/>
      <c r="AV34" s="1505"/>
      <c r="AW34" s="1505"/>
      <c r="AX34" s="1505"/>
      <c r="AY34" s="1505"/>
      <c r="AZ34" s="1505"/>
      <c r="BA34" s="1505"/>
      <c r="BB34" s="1505"/>
      <c r="BC34" s="1505"/>
      <c r="BD34" s="1505"/>
      <c r="BE34" s="1505"/>
      <c r="BF34" s="1505"/>
      <c r="BG34" s="1505"/>
      <c r="BQ34" s="1505"/>
      <c r="BR34" s="1505"/>
      <c r="BS34" s="1505"/>
      <c r="BT34" s="1505"/>
      <c r="BU34" s="1505"/>
      <c r="BV34" s="1505"/>
      <c r="BW34" s="1505"/>
      <c r="BX34" s="1505"/>
      <c r="BY34" s="1505"/>
      <c r="BZ34" s="1505"/>
      <c r="CA34" s="1505"/>
      <c r="CB34" s="1505"/>
      <c r="CC34" s="1505"/>
      <c r="CD34" s="1505"/>
      <c r="CE34" s="1505"/>
      <c r="CF34" s="1505"/>
      <c r="CG34" s="1505"/>
      <c r="CH34" s="1505"/>
      <c r="CI34" s="1505"/>
      <c r="CJ34" s="1505"/>
      <c r="CK34" s="1505"/>
      <c r="CL34" s="1505"/>
    </row>
    <row r="35" spans="1:90" s="419" customFormat="1" ht="24" customHeight="1" thickBot="1">
      <c r="A35" s="1518" t="s">
        <v>1074</v>
      </c>
      <c r="B35" s="942" t="s">
        <v>1073</v>
      </c>
      <c r="C35" s="941"/>
      <c r="D35" s="1145"/>
      <c r="E35" s="1145"/>
      <c r="F35" s="1144"/>
      <c r="G35" s="1144"/>
      <c r="H35" s="1144"/>
      <c r="I35" s="1144"/>
      <c r="J35" s="1144"/>
      <c r="K35" s="1143"/>
      <c r="AL35" s="1505"/>
      <c r="AM35" s="1505"/>
      <c r="AN35" s="1505"/>
      <c r="AO35" s="1505"/>
      <c r="AP35" s="1505"/>
      <c r="AQ35" s="1505"/>
      <c r="AR35" s="1505"/>
      <c r="AS35" s="1505"/>
      <c r="AT35" s="1505"/>
      <c r="AU35" s="1505"/>
      <c r="AV35" s="1505"/>
      <c r="AW35" s="1505"/>
      <c r="AX35" s="1505"/>
      <c r="AY35" s="1505"/>
      <c r="AZ35" s="1505"/>
      <c r="BA35" s="1505"/>
      <c r="BB35" s="1505"/>
      <c r="BC35" s="1505"/>
      <c r="BD35" s="1505"/>
      <c r="BE35" s="1505"/>
      <c r="BF35" s="1505"/>
      <c r="BG35" s="1505"/>
      <c r="BQ35" s="1505"/>
      <c r="BR35" s="1505"/>
      <c r="BS35" s="1505"/>
      <c r="BT35" s="1505"/>
      <c r="BU35" s="1505"/>
      <c r="BV35" s="1505"/>
      <c r="BW35" s="1505"/>
      <c r="BX35" s="1505"/>
      <c r="BY35" s="1505"/>
      <c r="BZ35" s="1505"/>
      <c r="CA35" s="1505"/>
      <c r="CB35" s="1505"/>
      <c r="CC35" s="1505"/>
      <c r="CD35" s="1505"/>
      <c r="CE35" s="1505"/>
      <c r="CF35" s="1505"/>
      <c r="CG35" s="1505"/>
      <c r="CH35" s="1505"/>
      <c r="CI35" s="1505"/>
      <c r="CJ35" s="1505"/>
      <c r="CK35" s="1505"/>
      <c r="CL35" s="1505"/>
    </row>
    <row r="36" spans="1:90" s="419" customFormat="1">
      <c r="A36" s="1519"/>
      <c r="B36" s="1142" t="s">
        <v>1072</v>
      </c>
      <c r="C36" s="1141">
        <f>FRCP_y1</f>
        <v>2021</v>
      </c>
      <c r="D36" s="1140" t="s">
        <v>1071</v>
      </c>
      <c r="E36" s="1139" t="s">
        <v>1070</v>
      </c>
      <c r="F36" s="1138"/>
      <c r="G36" s="1138"/>
      <c r="H36" s="1138"/>
      <c r="I36" s="1138"/>
      <c r="J36" s="1138"/>
      <c r="K36" s="1137"/>
    </row>
    <row r="37" spans="1:90" s="419" customFormat="1">
      <c r="A37" s="1519"/>
      <c r="B37" s="1122" t="s">
        <v>1069</v>
      </c>
      <c r="C37" s="1136" t="e">
        <f ca="1">IFERROR(CRY,CRCP_y4)</f>
        <v>#N/A</v>
      </c>
      <c r="D37" s="1120" t="s">
        <v>1068</v>
      </c>
      <c r="E37" s="1135"/>
      <c r="F37" s="1134"/>
      <c r="G37" s="1134"/>
      <c r="H37" s="1134"/>
      <c r="I37" s="1134"/>
      <c r="J37" s="1134"/>
      <c r="K37" s="1133"/>
    </row>
    <row r="38" spans="1:90" s="419" customFormat="1">
      <c r="A38" s="1519"/>
      <c r="B38" s="1122" t="s">
        <v>1067</v>
      </c>
      <c r="C38" s="1136">
        <f ca="1">IFERROR(MATCH(dms_CRY_start_year,INDIRECT(dms_RPT),0),0)</f>
        <v>0</v>
      </c>
      <c r="D38" s="1120" t="s">
        <v>1066</v>
      </c>
      <c r="E38" s="1135"/>
      <c r="F38" s="1134"/>
      <c r="G38" s="1134"/>
      <c r="H38" s="1134"/>
      <c r="I38" s="1134"/>
      <c r="J38" s="1134"/>
      <c r="K38" s="1133"/>
    </row>
    <row r="39" spans="1:90" s="419" customFormat="1">
      <c r="A39" s="1519"/>
      <c r="B39" s="1126" t="s">
        <v>1065</v>
      </c>
      <c r="C39" s="1132" t="e">
        <f ca="1">MATCH(dms_start_year,INDIRECT(dms_RPT),0)</f>
        <v>#N/A</v>
      </c>
      <c r="D39" s="1124" t="s">
        <v>1064</v>
      </c>
      <c r="E39" s="1113" t="s">
        <v>1063</v>
      </c>
      <c r="F39" s="1128"/>
      <c r="G39" s="1128"/>
      <c r="H39" s="1128"/>
      <c r="I39" s="1128"/>
      <c r="J39" s="1128"/>
      <c r="K39" s="1127"/>
    </row>
    <row r="40" spans="1:90" s="419" customFormat="1">
      <c r="A40" s="1519"/>
      <c r="B40" s="1102" t="s">
        <v>1062</v>
      </c>
      <c r="C40" s="1101" t="e">
        <f ca="1">dms_FRCP_start_row-dms_CRCPlength_Num</f>
        <v>#N/A</v>
      </c>
      <c r="D40" s="1100" t="s">
        <v>1061</v>
      </c>
      <c r="E40" s="1099" t="s">
        <v>1060</v>
      </c>
      <c r="F40" s="1098"/>
      <c r="G40" s="1098"/>
      <c r="H40" s="1098"/>
      <c r="I40" s="1098"/>
      <c r="J40" s="1098"/>
      <c r="K40" s="1097"/>
    </row>
    <row r="41" spans="1:90" s="419" customFormat="1">
      <c r="A41" s="1519"/>
      <c r="B41" s="1102" t="s">
        <v>1059</v>
      </c>
      <c r="C41" s="1101" t="e">
        <f ca="1">dms_FRCP_start_row-dms_CRCPlength_Num-dms_PRCPlength_Num</f>
        <v>#N/A</v>
      </c>
      <c r="D41" s="1100" t="s">
        <v>1058</v>
      </c>
      <c r="E41" s="1099" t="s">
        <v>1057</v>
      </c>
      <c r="F41" s="1098"/>
      <c r="G41" s="1098"/>
      <c r="H41" s="1098"/>
      <c r="I41" s="1098"/>
      <c r="J41" s="1098"/>
      <c r="K41" s="1097"/>
    </row>
    <row r="42" spans="1:90" s="419" customFormat="1">
      <c r="A42" s="1519"/>
      <c r="B42" s="1131" t="s">
        <v>1056</v>
      </c>
      <c r="C42" s="1130" t="e">
        <f ca="1">dms_FRCP_start_row+(dms_FRCPlength_Num-1)</f>
        <v>#N/A</v>
      </c>
      <c r="D42" s="1129" t="s">
        <v>1055</v>
      </c>
      <c r="E42" s="1109" t="s">
        <v>1054</v>
      </c>
      <c r="F42" s="1108"/>
      <c r="G42" s="1108"/>
      <c r="H42" s="1108"/>
      <c r="I42" s="1108"/>
      <c r="J42" s="1108"/>
      <c r="K42" s="1107"/>
    </row>
    <row r="43" spans="1:90" s="419" customFormat="1">
      <c r="A43" s="1519"/>
      <c r="B43" s="1126" t="s">
        <v>1053</v>
      </c>
      <c r="C43" s="1125" t="e">
        <f ca="1">INDEX(INDIRECT(dms_RPT),dms_FRCP_start_row)</f>
        <v>#N/A</v>
      </c>
      <c r="D43" s="1124" t="s">
        <v>1052</v>
      </c>
      <c r="E43" s="1113" t="s">
        <v>1051</v>
      </c>
      <c r="F43" s="1128"/>
      <c r="G43" s="1128"/>
      <c r="H43" s="1128"/>
      <c r="I43" s="1128"/>
      <c r="J43" s="1128"/>
      <c r="K43" s="1127"/>
    </row>
    <row r="44" spans="1:90" s="419" customFormat="1">
      <c r="A44" s="1519"/>
      <c r="B44" s="1102" t="s">
        <v>1050</v>
      </c>
      <c r="C44" s="1101" t="e">
        <f ca="1">INDEX(INDIRECT(dms_RPT),dms_CRCP_start_row)</f>
        <v>#N/A</v>
      </c>
      <c r="D44" s="1100" t="s">
        <v>1049</v>
      </c>
      <c r="E44" s="1099" t="s">
        <v>1048</v>
      </c>
      <c r="F44" s="1098"/>
      <c r="G44" s="1098"/>
      <c r="H44" s="1098"/>
      <c r="I44" s="1098"/>
      <c r="J44" s="1098"/>
      <c r="K44" s="1097"/>
    </row>
    <row r="45" spans="1:90" s="419" customFormat="1">
      <c r="A45" s="1519"/>
      <c r="B45" s="1112" t="s">
        <v>1047</v>
      </c>
      <c r="C45" s="1111" t="e">
        <f ca="1">INDEX(INDIRECT(dms_RPT),dms_PRCP_start_row)</f>
        <v>#N/A</v>
      </c>
      <c r="D45" s="1110" t="s">
        <v>1046</v>
      </c>
      <c r="E45" s="1109" t="s">
        <v>1045</v>
      </c>
      <c r="F45" s="1108"/>
      <c r="G45" s="1108"/>
      <c r="H45" s="1108"/>
      <c r="I45" s="1108"/>
      <c r="J45" s="1108"/>
      <c r="K45" s="1107"/>
    </row>
    <row r="46" spans="1:90" s="419" customFormat="1">
      <c r="A46" s="1519"/>
      <c r="B46" s="1126" t="s">
        <v>1044</v>
      </c>
      <c r="C46" s="1125" t="e">
        <f ca="1">INDEX(INDIRECT(dms_RPT),dms_FRCP_start_row+dms_FRCPlength_Num-1)</f>
        <v>#N/A</v>
      </c>
      <c r="D46" s="1124" t="s">
        <v>1043</v>
      </c>
      <c r="E46" s="1099" t="s">
        <v>1042</v>
      </c>
      <c r="F46" s="1098"/>
      <c r="G46" s="1098"/>
      <c r="H46" s="1098"/>
      <c r="I46" s="1098"/>
      <c r="J46" s="1098"/>
      <c r="K46" s="1097"/>
    </row>
    <row r="47" spans="1:90" s="419" customFormat="1">
      <c r="A47" s="1519"/>
      <c r="B47" s="1102" t="s">
        <v>1041</v>
      </c>
      <c r="C47" s="1101" t="e">
        <f ca="1">INDEX(INDIRECT(dms_RPT),dms_CRCP_start_row+dms_CRCPlength_Num-1)</f>
        <v>#N/A</v>
      </c>
      <c r="D47" s="1100" t="s">
        <v>1040</v>
      </c>
      <c r="E47" s="1099" t="s">
        <v>1039</v>
      </c>
      <c r="F47" s="1098"/>
      <c r="G47" s="1098"/>
      <c r="H47" s="1098"/>
      <c r="I47" s="1098"/>
      <c r="J47" s="1098"/>
      <c r="K47" s="1097"/>
    </row>
    <row r="48" spans="1:90" s="419" customFormat="1">
      <c r="A48" s="1519"/>
      <c r="B48" s="1112" t="s">
        <v>1038</v>
      </c>
      <c r="C48" s="1111" t="e">
        <f ca="1">INDEX(INDIRECT(dms_RPT),dms_PRCP_start_row+dms_FRCPlength_Num-1)</f>
        <v>#N/A</v>
      </c>
      <c r="D48" s="1110" t="s">
        <v>1037</v>
      </c>
      <c r="E48" s="1109" t="s">
        <v>1036</v>
      </c>
      <c r="F48" s="1108"/>
      <c r="G48" s="1108"/>
      <c r="H48" s="1108"/>
      <c r="I48" s="1108"/>
      <c r="J48" s="1108"/>
      <c r="K48" s="1107"/>
    </row>
    <row r="49" spans="1:11" s="419" customFormat="1">
      <c r="A49" s="1519"/>
      <c r="B49" s="1126" t="s">
        <v>1035</v>
      </c>
      <c r="C49" s="1125" t="e">
        <f ca="1">INDEX(INDIRECT(dms_RPT),dms_RYE_start_row)</f>
        <v>#N/A</v>
      </c>
      <c r="D49" s="1124" t="s">
        <v>1034</v>
      </c>
      <c r="E49" s="1099" t="s">
        <v>1033</v>
      </c>
      <c r="F49" s="1098"/>
      <c r="G49" s="1098"/>
      <c r="H49" s="1098"/>
      <c r="I49" s="1098"/>
      <c r="J49" s="1098"/>
      <c r="K49" s="1097"/>
    </row>
    <row r="50" spans="1:11" s="419" customFormat="1">
      <c r="A50" s="1519"/>
      <c r="B50" s="1112" t="s">
        <v>1032</v>
      </c>
      <c r="C50" s="1123" t="e">
        <f>FRY</f>
        <v>#NAME?</v>
      </c>
      <c r="D50" s="1110" t="s">
        <v>1031</v>
      </c>
      <c r="E50" s="1109" t="s">
        <v>1030</v>
      </c>
      <c r="F50" s="1108"/>
      <c r="G50" s="1108"/>
      <c r="H50" s="1108"/>
      <c r="I50" s="1108"/>
      <c r="J50" s="1108"/>
      <c r="K50" s="1107"/>
    </row>
    <row r="51" spans="1:11" s="419" customFormat="1">
      <c r="A51" s="1519"/>
      <c r="B51" s="1122" t="s">
        <v>1029</v>
      </c>
      <c r="C51" s="1121" t="e">
        <f ca="1">LEFT(CRCP_final_year,2)&amp;RIGHT(CRCP_final_year,2)</f>
        <v>#N/A</v>
      </c>
      <c r="D51" s="1120" t="s">
        <v>1028</v>
      </c>
      <c r="E51" s="1119" t="s">
        <v>1027</v>
      </c>
      <c r="F51" s="1118"/>
      <c r="G51" s="1118"/>
      <c r="H51" s="1118"/>
      <c r="I51" s="1118"/>
      <c r="J51" s="1118"/>
      <c r="K51" s="1117"/>
    </row>
    <row r="52" spans="1:11" s="419" customFormat="1">
      <c r="A52" s="1519"/>
      <c r="B52" s="1116" t="s">
        <v>1026</v>
      </c>
      <c r="C52" s="1115" t="e">
        <f ca="1">LEFT(PRCP_final_year,2)&amp;RIGHT(PRCP_final_year,2)</f>
        <v>#N/A</v>
      </c>
      <c r="D52" s="1114" t="s">
        <v>1025</v>
      </c>
      <c r="E52" s="1109" t="s">
        <v>1024</v>
      </c>
      <c r="F52" s="1108"/>
      <c r="G52" s="1108"/>
      <c r="H52" s="1108"/>
      <c r="I52" s="1108"/>
      <c r="J52" s="1108"/>
      <c r="K52" s="1107"/>
    </row>
    <row r="53" spans="1:11" s="419" customFormat="1">
      <c r="A53" s="1519"/>
      <c r="B53" s="1106" t="s">
        <v>1023</v>
      </c>
      <c r="C53" s="1105">
        <f>IFERROR(LEFT(CRY,2)&amp;RIGHT(CRY,2),0)</f>
        <v>0</v>
      </c>
      <c r="D53" s="1104" t="s">
        <v>1022</v>
      </c>
      <c r="E53" s="1113" t="s">
        <v>1021</v>
      </c>
      <c r="F53" s="1098"/>
      <c r="G53" s="1098"/>
      <c r="H53" s="1098"/>
      <c r="I53" s="1098"/>
      <c r="J53" s="1098"/>
      <c r="K53" s="1097"/>
    </row>
    <row r="54" spans="1:11" s="419" customFormat="1">
      <c r="A54" s="1519"/>
      <c r="B54" s="1102" t="s">
        <v>1020</v>
      </c>
      <c r="C54" s="1101" t="e">
        <f ca="1">IF(dms_Model_Span&gt;1,IF(dms_Model="RFM",(LEFT(dms_DollarReal_year,2)&amp;RIGHT(dms_DollarReal_year,2)),(LEFT(dms_Reset_final_year,2)&amp;RIGHT(dms_Reset_final_year,2))),0)</f>
        <v>#N/A</v>
      </c>
      <c r="D54" s="1100" t="s">
        <v>1019</v>
      </c>
      <c r="E54" s="1099" t="s">
        <v>1018</v>
      </c>
      <c r="F54" s="1098"/>
      <c r="G54" s="1098"/>
      <c r="H54" s="1098"/>
      <c r="I54" s="1098"/>
      <c r="J54" s="1098"/>
      <c r="K54" s="1097"/>
    </row>
    <row r="55" spans="1:11" s="419" customFormat="1">
      <c r="A55" s="1519"/>
      <c r="B55" s="1102" t="s">
        <v>1017</v>
      </c>
      <c r="C55" s="1101">
        <f>IF(dms_MultiYear_ResponseFlag="Yes",(LEFT(dms_Specified_FinalYear,2)&amp;RIGHT(dms_Specified_FinalYear,2)),0)</f>
        <v>0</v>
      </c>
      <c r="D55" s="1100" t="s">
        <v>1016</v>
      </c>
      <c r="E55" s="1099" t="s">
        <v>1015</v>
      </c>
      <c r="F55" s="1098"/>
      <c r="G55" s="1098"/>
      <c r="H55" s="1098"/>
      <c r="I55" s="1098"/>
      <c r="J55" s="1098"/>
      <c r="K55" s="1097"/>
    </row>
    <row r="56" spans="1:11" s="419" customFormat="1">
      <c r="A56" s="1519"/>
      <c r="B56" s="1102" t="s">
        <v>1014</v>
      </c>
      <c r="C56" s="1101">
        <f>INDEX(dms_Model_Span_List,MATCH(dms_Model,dms_Model_List))</f>
        <v>5</v>
      </c>
      <c r="D56" s="1100" t="s">
        <v>1013</v>
      </c>
      <c r="E56" s="1099" t="s">
        <v>1012</v>
      </c>
      <c r="F56" s="1098"/>
      <c r="G56" s="1098"/>
      <c r="H56" s="1098"/>
      <c r="I56" s="1098"/>
      <c r="J56" s="1098"/>
      <c r="K56" s="1097"/>
    </row>
    <row r="57" spans="1:11" s="419" customFormat="1">
      <c r="A57" s="1519"/>
      <c r="B57" s="1112" t="s">
        <v>1011</v>
      </c>
      <c r="C57" s="1111" t="e">
        <f ca="1">IF(dms_MultiYear_ResponseFlag="yes",dms_Specified_RYE,(IF(dms_Model_Span&gt;1,dms_Reset_RYE,dms_CRY_RYE)))</f>
        <v>#N/A</v>
      </c>
      <c r="D57" s="1110" t="s">
        <v>1010</v>
      </c>
      <c r="E57" s="1109" t="s">
        <v>1009</v>
      </c>
      <c r="F57" s="1108"/>
      <c r="G57" s="1108"/>
      <c r="H57" s="1108"/>
      <c r="I57" s="1108"/>
      <c r="J57" s="1108"/>
      <c r="K57" s="1107"/>
    </row>
    <row r="58" spans="1:11" s="419" customFormat="1">
      <c r="A58" s="1519"/>
      <c r="B58" s="1106" t="s">
        <v>1008</v>
      </c>
      <c r="C58" s="1105" t="e">
        <f ca="1">IF(dms_Reset_RYE&gt;0,CONCATENATE(FRCP_y1," to ",FRCP_final_year),0)</f>
        <v>#N/A</v>
      </c>
      <c r="D58" s="1104" t="s">
        <v>1007</v>
      </c>
      <c r="E58" s="1099" t="s">
        <v>1006</v>
      </c>
      <c r="F58" s="1103"/>
      <c r="G58" s="1098"/>
      <c r="H58" s="1098"/>
      <c r="I58" s="1098"/>
      <c r="J58" s="1098"/>
      <c r="K58" s="1097"/>
    </row>
    <row r="59" spans="1:11" s="419" customFormat="1">
      <c r="A59" s="1519"/>
      <c r="B59" s="1102" t="s">
        <v>1005</v>
      </c>
      <c r="C59" s="1101">
        <f>IF(dms_Specified_RYE&gt;0,CONCATENATE(CRY," to ",dms_Specified_FinalYear),0)</f>
        <v>0</v>
      </c>
      <c r="D59" s="1100" t="s">
        <v>1004</v>
      </c>
      <c r="E59" s="1099" t="s">
        <v>1003</v>
      </c>
      <c r="F59" s="1098"/>
      <c r="G59" s="1098"/>
      <c r="H59" s="1098"/>
      <c r="I59" s="1098"/>
      <c r="J59" s="1098"/>
      <c r="K59" s="1097"/>
    </row>
    <row r="60" spans="1:11" s="419" customFormat="1" ht="15.75" thickBot="1">
      <c r="A60" s="1519"/>
      <c r="B60" s="1096" t="s">
        <v>1002</v>
      </c>
      <c r="C60" s="1095" t="e">
        <f ca="1">IF(dms_MultiYear_Flag=1,dms_SpecifiedYear_Span,IF(dms_Model_Span&gt;1,dms_y1&amp;" - "&amp;FRCP_final_year,CRY))</f>
        <v>#N/A</v>
      </c>
      <c r="D60" s="1094" t="s">
        <v>1001</v>
      </c>
      <c r="E60" s="1093" t="s">
        <v>1000</v>
      </c>
      <c r="F60" s="1092"/>
      <c r="G60" s="1092"/>
      <c r="H60" s="1092"/>
      <c r="I60" s="1092"/>
      <c r="J60" s="1092"/>
      <c r="K60" s="1091"/>
    </row>
    <row r="61" spans="1:11" s="419" customFormat="1" ht="25.5" customHeight="1" thickBot="1">
      <c r="B61" s="942" t="s">
        <v>999</v>
      </c>
      <c r="C61" s="941"/>
      <c r="D61" s="1090"/>
      <c r="E61" s="1090"/>
      <c r="F61" s="1089"/>
      <c r="G61" s="1089"/>
      <c r="H61" s="1089"/>
      <c r="I61" s="1089"/>
      <c r="J61" s="1089"/>
      <c r="K61" s="1088"/>
    </row>
    <row r="62" spans="1:11" s="419" customFormat="1" ht="18">
      <c r="B62" s="1087" t="s">
        <v>998</v>
      </c>
      <c r="C62" s="1086" t="s">
        <v>178</v>
      </c>
      <c r="D62" s="1064"/>
      <c r="E62" s="1085"/>
      <c r="F62" s="1084"/>
      <c r="G62" s="1084"/>
      <c r="H62" s="1084"/>
      <c r="I62" s="1084"/>
      <c r="J62" s="1083"/>
      <c r="K62" s="1082"/>
    </row>
    <row r="63" spans="1:11" s="419" customFormat="1">
      <c r="B63" s="1029"/>
      <c r="C63" s="1081">
        <f>IF(dms_MultiYear_ResponseFlag="No",0,1)</f>
        <v>0</v>
      </c>
      <c r="D63" s="1076" t="s">
        <v>428</v>
      </c>
      <c r="E63" s="1080" t="s">
        <v>997</v>
      </c>
      <c r="F63" s="1074"/>
      <c r="G63" s="1074"/>
      <c r="H63" s="1074"/>
      <c r="I63" s="1074"/>
      <c r="J63" s="1079"/>
      <c r="K63" s="1078"/>
    </row>
    <row r="64" spans="1:11" s="419" customFormat="1" ht="25.5">
      <c r="B64" s="1029"/>
      <c r="C64" s="1077" t="str">
        <f>IF(dms_MultiYear_Flag=1,FRY,"not a Multiple year submission")</f>
        <v>not a Multiple year submission</v>
      </c>
      <c r="D64" s="1076" t="s">
        <v>429</v>
      </c>
      <c r="E64" s="1075" t="s">
        <v>996</v>
      </c>
      <c r="F64" s="1074"/>
      <c r="G64" s="1074"/>
      <c r="H64" s="1074"/>
      <c r="I64" s="1073"/>
      <c r="J64" s="1072"/>
      <c r="K64" s="1071"/>
    </row>
    <row r="65" spans="2:11" s="419" customFormat="1" ht="15.75" thickBot="1">
      <c r="B65" s="1070" t="s">
        <v>995</v>
      </c>
      <c r="C65" s="1028" t="str">
        <f>IFERROR(IF(dms_MultiYear_Flag=1,FRY,CRY),"not an ABC")</f>
        <v>not an ABC</v>
      </c>
      <c r="D65" s="1069" t="s">
        <v>994</v>
      </c>
      <c r="E65" s="1069" t="s">
        <v>993</v>
      </c>
      <c r="F65" s="1047"/>
      <c r="G65" s="1047" t="s">
        <v>992</v>
      </c>
      <c r="H65" s="1047"/>
      <c r="I65" s="1047"/>
      <c r="J65" s="1068"/>
      <c r="K65" s="1067"/>
    </row>
    <row r="66" spans="2:11" s="419" customFormat="1" ht="22.5" customHeight="1" thickBot="1">
      <c r="B66" s="942" t="s">
        <v>991</v>
      </c>
      <c r="C66" s="941"/>
      <c r="D66" s="941"/>
      <c r="E66" s="941"/>
      <c r="F66" s="940"/>
      <c r="G66" s="940"/>
      <c r="H66" s="940"/>
      <c r="I66" s="940"/>
      <c r="J66" s="940"/>
      <c r="K66" s="939"/>
    </row>
    <row r="67" spans="2:11" s="419" customFormat="1">
      <c r="B67" s="1037" t="s">
        <v>990</v>
      </c>
      <c r="C67" s="1066"/>
      <c r="D67" s="1056"/>
      <c r="E67" s="1055"/>
      <c r="F67" s="1025"/>
      <c r="G67" s="1025"/>
      <c r="H67" s="1025"/>
      <c r="I67" s="1025"/>
      <c r="J67" s="1054"/>
      <c r="K67" s="1053"/>
    </row>
    <row r="68" spans="2:11" s="419" customFormat="1">
      <c r="B68" s="1029" t="s">
        <v>989</v>
      </c>
      <c r="C68" s="1065">
        <f>INDEX(dms_PRCPlength_List,MATCH(dms_TradingName,dms_TradingName_List))</f>
        <v>5</v>
      </c>
      <c r="D68" s="1064" t="s">
        <v>988</v>
      </c>
      <c r="E68" s="1063" t="s">
        <v>987</v>
      </c>
      <c r="F68" s="1062"/>
      <c r="G68" s="1062"/>
      <c r="H68" s="1062"/>
      <c r="I68" s="1062"/>
      <c r="J68" s="1062"/>
      <c r="K68" s="1061"/>
    </row>
    <row r="69" spans="2:11" s="419" customFormat="1">
      <c r="B69" s="1029" t="s">
        <v>439</v>
      </c>
      <c r="C69" s="1060">
        <f>INDEX(dms_CRCPlength_List,MATCH(dms_TradingName,dms_TradingName_List))</f>
        <v>5</v>
      </c>
      <c r="D69" s="1027" t="s">
        <v>440</v>
      </c>
      <c r="E69" s="1026" t="s">
        <v>441</v>
      </c>
      <c r="F69" s="1025"/>
      <c r="G69" s="1025"/>
      <c r="H69" s="1025"/>
      <c r="I69" s="1025"/>
      <c r="J69" s="1025"/>
      <c r="K69" s="1024"/>
    </row>
    <row r="70" spans="2:11" s="419" customFormat="1">
      <c r="B70" s="1035" t="s">
        <v>201</v>
      </c>
      <c r="C70" s="1059">
        <f>INDEX(dms_FRCPlength_List,MATCH(dms_TradingName,dms_TradingName_List))</f>
        <v>5</v>
      </c>
      <c r="D70" s="1041" t="s">
        <v>436</v>
      </c>
      <c r="E70" s="1040" t="s">
        <v>437</v>
      </c>
      <c r="F70" s="1031"/>
      <c r="G70" s="1031"/>
      <c r="H70" s="1031"/>
      <c r="I70" s="1031"/>
      <c r="J70" s="1031"/>
      <c r="K70" s="1030"/>
    </row>
    <row r="71" spans="2:11" s="419" customFormat="1">
      <c r="B71" s="1058" t="s">
        <v>986</v>
      </c>
      <c r="C71" s="1056"/>
      <c r="D71" s="1056"/>
      <c r="E71" s="1055"/>
      <c r="F71" s="1025"/>
      <c r="G71" s="1025"/>
      <c r="H71" s="1025"/>
      <c r="I71" s="1025"/>
      <c r="J71" s="1054"/>
      <c r="K71" s="1053"/>
    </row>
    <row r="72" spans="2:11" s="419" customFormat="1">
      <c r="B72" s="1520" t="s">
        <v>985</v>
      </c>
      <c r="C72" s="1057">
        <f>IF(dms_Model="EB",1,0)</f>
        <v>0</v>
      </c>
      <c r="D72" s="1056" t="s">
        <v>430</v>
      </c>
      <c r="E72" s="1055"/>
      <c r="F72" s="1025"/>
      <c r="G72" s="1025"/>
      <c r="H72" s="1025"/>
      <c r="I72" s="1025"/>
      <c r="J72" s="1054"/>
      <c r="K72" s="1053"/>
    </row>
    <row r="73" spans="2:11" s="419" customFormat="1">
      <c r="B73" s="1520"/>
      <c r="C73" s="1052">
        <f>IF(dms_Model="CA",1,0)</f>
        <v>0</v>
      </c>
      <c r="D73" s="1051" t="s">
        <v>431</v>
      </c>
      <c r="E73" s="1048" t="s">
        <v>432</v>
      </c>
      <c r="F73" s="1046"/>
      <c r="G73" s="1046"/>
      <c r="H73" s="1046"/>
      <c r="I73" s="1046"/>
      <c r="J73" s="1045"/>
      <c r="K73" s="1044"/>
    </row>
    <row r="74" spans="2:11" s="419" customFormat="1">
      <c r="B74" s="1521"/>
      <c r="C74" s="1052">
        <f>IF(dms_Model="ARR",1,0)</f>
        <v>0</v>
      </c>
      <c r="D74" s="1051" t="s">
        <v>433</v>
      </c>
      <c r="E74" s="1048"/>
      <c r="F74" s="1046"/>
      <c r="G74" s="1046"/>
      <c r="H74" s="1046"/>
      <c r="I74" s="1046"/>
      <c r="J74" s="1045"/>
      <c r="K74" s="1044"/>
    </row>
    <row r="75" spans="2:11" s="419" customFormat="1">
      <c r="B75" s="1050" t="s">
        <v>984</v>
      </c>
      <c r="C75" s="1049" t="str">
        <f>IF(SUM(dms_SingleYear_Model)=1,"yes","no")</f>
        <v>no</v>
      </c>
      <c r="D75" s="1048" t="s">
        <v>983</v>
      </c>
      <c r="E75" s="1048" t="s">
        <v>982</v>
      </c>
      <c r="F75" s="1047"/>
      <c r="G75" s="1047"/>
      <c r="H75" s="1047"/>
      <c r="I75" s="1046"/>
      <c r="J75" s="1045"/>
      <c r="K75" s="1044"/>
    </row>
    <row r="76" spans="2:11" s="419" customFormat="1">
      <c r="B76" s="1043" t="s">
        <v>434</v>
      </c>
      <c r="C76" s="1042">
        <f>IF(AND(dms_SingleYearModel="yes",dms_MultiYear_Flag=0),CRY,0)</f>
        <v>0</v>
      </c>
      <c r="D76" s="1041" t="s">
        <v>435</v>
      </c>
      <c r="E76" s="1040" t="s">
        <v>981</v>
      </c>
      <c r="F76" s="1039"/>
      <c r="G76" s="1039"/>
      <c r="H76" s="1039"/>
      <c r="I76" s="1039"/>
      <c r="J76" s="1039"/>
      <c r="K76" s="1038"/>
    </row>
    <row r="77" spans="2:11" s="419" customFormat="1">
      <c r="B77" s="1037" t="s">
        <v>980</v>
      </c>
      <c r="C77" s="1028"/>
      <c r="D77" s="1027"/>
      <c r="E77" s="1026"/>
      <c r="F77" s="1025"/>
      <c r="G77" s="1025"/>
      <c r="H77" s="1025"/>
      <c r="I77" s="1025"/>
      <c r="J77" s="1025"/>
      <c r="K77" s="1024"/>
    </row>
    <row r="78" spans="2:11" s="419" customFormat="1">
      <c r="B78" s="1029"/>
      <c r="C78" s="1028"/>
      <c r="D78" s="1027"/>
      <c r="E78" s="1026"/>
      <c r="F78" s="1025"/>
      <c r="G78" s="1025"/>
      <c r="H78" s="1025"/>
      <c r="I78" s="1025"/>
      <c r="J78" s="1025"/>
      <c r="K78" s="1024"/>
    </row>
    <row r="79" spans="2:11" s="419" customFormat="1">
      <c r="B79" s="1029" t="s">
        <v>979</v>
      </c>
      <c r="C79" s="1028" t="str">
        <f>IF(dms_Model_Span&gt;1,"yes","no")</f>
        <v>yes</v>
      </c>
      <c r="D79" s="1027"/>
      <c r="E79" s="1026"/>
      <c r="F79" s="1025"/>
      <c r="G79" s="1025"/>
      <c r="H79" s="1025"/>
      <c r="I79" s="1025"/>
      <c r="J79" s="1025"/>
      <c r="K79" s="1024"/>
    </row>
    <row r="80" spans="2:11" s="419" customFormat="1">
      <c r="B80" s="1029" t="s">
        <v>978</v>
      </c>
      <c r="C80" s="1036" t="e">
        <f ca="1">IF(dms_Model_Span&gt;1,dms_Reset_final_year,0)</f>
        <v>#N/A</v>
      </c>
      <c r="D80" s="1027" t="s">
        <v>438</v>
      </c>
      <c r="E80" s="1026" t="s">
        <v>442</v>
      </c>
      <c r="F80" s="1025"/>
      <c r="G80" s="1025"/>
      <c r="H80" s="1025"/>
      <c r="I80" s="1025"/>
      <c r="J80" s="1025"/>
      <c r="K80" s="1024"/>
    </row>
    <row r="81" spans="2:12" s="419" customFormat="1">
      <c r="B81" s="1029"/>
      <c r="C81" s="1028"/>
      <c r="D81" s="1027"/>
      <c r="E81" s="1026"/>
      <c r="F81" s="1025"/>
      <c r="G81" s="1025"/>
      <c r="H81" s="1025"/>
      <c r="I81" s="1025"/>
      <c r="J81" s="1025"/>
      <c r="K81" s="1024"/>
    </row>
    <row r="82" spans="2:12" s="419" customFormat="1">
      <c r="B82" s="1029" t="s">
        <v>977</v>
      </c>
      <c r="C82" s="1028" t="str">
        <f>IF(dms_MultiYear_Flag=1,"yes","no")</f>
        <v>no</v>
      </c>
      <c r="D82" s="1027" t="s">
        <v>976</v>
      </c>
      <c r="E82" s="1026"/>
      <c r="F82" s="1025"/>
      <c r="G82" s="1025"/>
      <c r="H82" s="1025"/>
      <c r="I82" s="1025"/>
      <c r="J82" s="1025"/>
      <c r="K82" s="1024"/>
    </row>
    <row r="83" spans="2:12" s="419" customFormat="1">
      <c r="B83" s="1035" t="s">
        <v>975</v>
      </c>
      <c r="C83" s="1034">
        <f>IF(dms_MultiYear_Flag=1,C50,0)</f>
        <v>0</v>
      </c>
      <c r="D83" s="1033"/>
      <c r="E83" s="1032"/>
      <c r="F83" s="1031"/>
      <c r="G83" s="1031"/>
      <c r="H83" s="1031"/>
      <c r="I83" s="1031"/>
      <c r="J83" s="1031"/>
      <c r="K83" s="1030"/>
    </row>
    <row r="84" spans="2:12" s="419" customFormat="1" ht="15.75" thickBot="1">
      <c r="B84" s="1029"/>
      <c r="C84" s="1028"/>
      <c r="D84" s="1027"/>
      <c r="E84" s="1026"/>
      <c r="F84" s="1025"/>
      <c r="G84" s="1025"/>
      <c r="H84" s="1025"/>
      <c r="I84" s="1025"/>
      <c r="J84" s="1025"/>
      <c r="K84" s="1024"/>
    </row>
    <row r="85" spans="2:12" s="419" customFormat="1" ht="28.5" customHeight="1" thickBot="1">
      <c r="B85" s="942" t="s">
        <v>974</v>
      </c>
      <c r="C85" s="941"/>
      <c r="D85" s="941"/>
      <c r="E85" s="941"/>
      <c r="F85" s="940"/>
      <c r="G85" s="940"/>
      <c r="H85" s="940"/>
      <c r="I85" s="940"/>
      <c r="J85" s="940"/>
      <c r="K85" s="939"/>
    </row>
    <row r="86" spans="2:12" s="420" customFormat="1" ht="24.75" customHeight="1" thickBot="1">
      <c r="B86" s="1023" t="s">
        <v>514</v>
      </c>
      <c r="C86" s="1022" t="str">
        <f>IFERROR(IF(dms_Segment="Transmission",dms_Cal_Year_B4_CRY,CRY),"CRY not present")</f>
        <v>CRY not present</v>
      </c>
      <c r="D86" s="1021" t="s">
        <v>515</v>
      </c>
      <c r="E86" s="1020" t="s">
        <v>973</v>
      </c>
      <c r="F86" s="1019"/>
      <c r="G86" s="1019"/>
      <c r="H86" s="1019"/>
      <c r="I86" s="1019"/>
      <c r="J86" s="1018"/>
      <c r="K86" s="1017"/>
    </row>
    <row r="87" spans="2:12" s="979" customFormat="1" ht="27" customHeight="1" thickBot="1">
      <c r="B87" s="1016" t="s">
        <v>972</v>
      </c>
      <c r="C87" s="1015"/>
      <c r="D87" s="1015"/>
      <c r="E87" s="1015"/>
      <c r="F87" s="1014"/>
      <c r="G87" s="1014"/>
      <c r="H87" s="1014"/>
      <c r="I87" s="1014"/>
      <c r="J87" s="1014"/>
      <c r="K87" s="1013"/>
    </row>
    <row r="88" spans="2:12" s="419" customFormat="1">
      <c r="B88" s="952" t="s">
        <v>971</v>
      </c>
      <c r="C88" s="1010"/>
      <c r="D88" s="1009"/>
      <c r="E88" s="964" t="s">
        <v>970</v>
      </c>
      <c r="F88" s="1008"/>
      <c r="G88" s="1008"/>
      <c r="H88" s="1008"/>
      <c r="I88" s="1008"/>
      <c r="J88" s="1008"/>
      <c r="K88" s="1007"/>
    </row>
    <row r="89" spans="2:12" s="419" customFormat="1">
      <c r="B89" s="952"/>
      <c r="C89" s="1010" t="str">
        <f>IF(dms_Model&lt;&gt;"CA","not a CA","Is a CA")</f>
        <v>not a CA</v>
      </c>
      <c r="D89" s="1009"/>
      <c r="E89" s="969" t="s">
        <v>969</v>
      </c>
      <c r="F89" s="1008"/>
      <c r="G89" s="1008"/>
      <c r="H89" s="1008"/>
      <c r="I89" s="1008"/>
      <c r="J89" s="1008"/>
      <c r="K89" s="1007"/>
    </row>
    <row r="90" spans="2:12" s="419" customFormat="1">
      <c r="B90" s="1012" t="s">
        <v>968</v>
      </c>
      <c r="C90" s="1010" t="str">
        <f>IFERROR(IF(INDEX(dms_060301_Avg_Duration_Sustained_Int_Values,1,1)&lt;&gt;"","yes","no"),"no")</f>
        <v>no</v>
      </c>
      <c r="D90" s="1009" t="s">
        <v>967</v>
      </c>
      <c r="E90" s="950" t="s">
        <v>966</v>
      </c>
      <c r="F90" s="1008"/>
      <c r="G90" s="1008"/>
      <c r="H90" s="1008"/>
      <c r="I90" s="1008"/>
      <c r="J90" s="1008"/>
      <c r="K90" s="1007"/>
    </row>
    <row r="91" spans="2:12" s="419" customFormat="1">
      <c r="B91" s="1012"/>
      <c r="C91" s="1011" t="str">
        <f>IF(AND(dms_Model="CA",(dms_060301_checkvalue="no")),"error - NR not present","no errors")</f>
        <v>no errors</v>
      </c>
      <c r="D91" s="1009"/>
      <c r="E91" s="950" t="s">
        <v>965</v>
      </c>
      <c r="F91" s="1008"/>
      <c r="G91" s="1008"/>
      <c r="H91" s="1008"/>
      <c r="I91" s="1008"/>
      <c r="J91" s="1008"/>
      <c r="K91" s="1007"/>
    </row>
    <row r="92" spans="2:12" s="419" customFormat="1">
      <c r="B92" s="948" t="s">
        <v>964</v>
      </c>
      <c r="C92" s="1010" t="str">
        <f>IFERROR(IF(dms_Model="CA",LOOKUP(2,1/(dms_060301_Avg_Duration_Sustained_Int_Values&lt;&gt;""),(ROW(dms_060301_Avg_Duration_Sustained_Int_Values))),"not a CA"),"6.3 not present")</f>
        <v>not a CA</v>
      </c>
      <c r="D92" s="1009" t="s">
        <v>963</v>
      </c>
      <c r="E92" s="950" t="s">
        <v>962</v>
      </c>
      <c r="F92" s="1008"/>
      <c r="G92" s="1008"/>
      <c r="H92" s="1008"/>
      <c r="I92" s="1008"/>
      <c r="J92" s="1008"/>
      <c r="K92" s="1007"/>
    </row>
    <row r="93" spans="2:12" s="419" customFormat="1">
      <c r="B93" s="976" t="s">
        <v>961</v>
      </c>
      <c r="C93" s="1006" t="str">
        <f>IFERROR(IF(dms_Model="CA",(dms_060301_LastRow-15),"not a CA"),"error")</f>
        <v>not a CA</v>
      </c>
      <c r="D93" s="1005" t="s">
        <v>960</v>
      </c>
      <c r="E93" s="1004" t="s">
        <v>959</v>
      </c>
      <c r="F93" s="1003"/>
      <c r="G93" s="1003"/>
      <c r="H93" s="1003"/>
      <c r="I93" s="1003"/>
      <c r="J93" s="1003"/>
      <c r="K93" s="1002"/>
      <c r="L93" s="458"/>
    </row>
    <row r="94" spans="2:12" ht="15.75" thickBot="1">
      <c r="B94" s="1001" t="s">
        <v>443</v>
      </c>
      <c r="C94" s="1000">
        <f>INDEX(dms_663_List,MATCH(dms_TradingName,dms_TradingName_List))</f>
        <v>2</v>
      </c>
      <c r="D94" s="946" t="s">
        <v>444</v>
      </c>
      <c r="E94" s="950" t="s">
        <v>958</v>
      </c>
      <c r="F94" s="944"/>
      <c r="G94" s="944"/>
      <c r="H94" s="944"/>
      <c r="I94" s="944"/>
      <c r="J94" s="944"/>
      <c r="K94" s="943"/>
    </row>
    <row r="95" spans="2:12" s="419" customFormat="1" ht="21" customHeight="1" thickBot="1">
      <c r="B95" s="942" t="s">
        <v>957</v>
      </c>
      <c r="C95" s="941"/>
      <c r="D95" s="941"/>
      <c r="E95" s="941"/>
      <c r="F95" s="940"/>
      <c r="G95" s="940"/>
      <c r="H95" s="940"/>
      <c r="I95" s="940"/>
      <c r="J95" s="940"/>
      <c r="K95" s="939"/>
    </row>
    <row r="96" spans="2:12" ht="25.5">
      <c r="B96" s="952" t="s">
        <v>956</v>
      </c>
      <c r="C96" s="961" t="s">
        <v>955</v>
      </c>
      <c r="D96" s="998"/>
      <c r="E96" s="999" t="s">
        <v>954</v>
      </c>
      <c r="F96" s="996"/>
      <c r="G96" s="996"/>
      <c r="H96" s="944"/>
      <c r="I96" s="944"/>
      <c r="J96" s="944"/>
      <c r="K96" s="943"/>
    </row>
    <row r="97" spans="1:12">
      <c r="B97" s="948" t="s">
        <v>953</v>
      </c>
      <c r="C97" s="961" t="str">
        <f>IFERROR(IF(dms_LeapYear,"yes"),"no")</f>
        <v>no</v>
      </c>
      <c r="D97" s="998"/>
      <c r="E97" s="997"/>
      <c r="F97" s="996"/>
      <c r="G97" s="996"/>
      <c r="H97" s="944"/>
      <c r="I97" s="944"/>
      <c r="J97" s="944"/>
      <c r="K97" s="943"/>
    </row>
    <row r="98" spans="1:12">
      <c r="B98" s="994" t="s">
        <v>952</v>
      </c>
      <c r="C98" s="995" t="str">
        <f xml:space="preserve">
IFERROR(IF(MONTH(DATE(YEAR(dms_LeapYear),2,29))=2,"is a leap year","not a leap year"),
"dms_LeapYear not present")</f>
        <v>dms_LeapYear not present</v>
      </c>
      <c r="D98" s="946" t="s">
        <v>951</v>
      </c>
      <c r="E98" s="946" t="s">
        <v>950</v>
      </c>
      <c r="F98" s="944"/>
      <c r="G98" s="944"/>
      <c r="H98" s="944"/>
      <c r="I98" s="944"/>
      <c r="J98" s="944"/>
      <c r="K98" s="943"/>
    </row>
    <row r="99" spans="1:12">
      <c r="B99" s="994" t="s">
        <v>949</v>
      </c>
      <c r="C99" s="993">
        <f>IF(dms_LeapYear_Result="is a leap year",1827,1826)</f>
        <v>1826</v>
      </c>
      <c r="D99" s="946" t="s">
        <v>948</v>
      </c>
      <c r="E99" s="958" t="s">
        <v>947</v>
      </c>
      <c r="F99" s="944"/>
      <c r="G99" s="944"/>
      <c r="H99" s="992" t="s">
        <v>946</v>
      </c>
      <c r="I99" s="944"/>
      <c r="J99" s="944"/>
      <c r="K99" s="943"/>
    </row>
    <row r="100" spans="1:12">
      <c r="B100" s="994" t="s">
        <v>945</v>
      </c>
      <c r="C100" s="993">
        <f>IF(dms_LeapYear_Result="is a leap year",366,365)</f>
        <v>365</v>
      </c>
      <c r="D100" s="946" t="s">
        <v>944</v>
      </c>
      <c r="E100" s="958" t="s">
        <v>943</v>
      </c>
      <c r="F100" s="944"/>
      <c r="G100" s="944"/>
      <c r="H100" s="992" t="s">
        <v>942</v>
      </c>
      <c r="I100" s="944"/>
      <c r="J100" s="944"/>
      <c r="K100" s="943"/>
    </row>
    <row r="101" spans="1:12" ht="15.75" thickBot="1">
      <c r="B101" s="991" t="s">
        <v>941</v>
      </c>
      <c r="C101" s="990" t="str">
        <f>IF(dms_Model="ARR",dms_060701_ARR_MaxRows,IF(dms_Model="Reset",dms_060701_Reset_MaxRows,"not a relevant RIN type"))</f>
        <v>not a relevant RIN type</v>
      </c>
      <c r="D101" s="989" t="s">
        <v>940</v>
      </c>
      <c r="E101" s="988" t="s">
        <v>939</v>
      </c>
      <c r="F101" s="987"/>
      <c r="G101" s="987"/>
      <c r="H101" s="987"/>
      <c r="I101" s="987"/>
      <c r="J101" s="987"/>
      <c r="K101" s="986"/>
    </row>
    <row r="102" spans="1:12" s="978" customFormat="1" ht="24" customHeight="1">
      <c r="A102" s="979"/>
      <c r="B102" s="985" t="s">
        <v>938</v>
      </c>
      <c r="C102" s="984" t="str">
        <f>IF(dms_FifthFeeder_flag_NSP="NO","This NSP has only 4 feeder categories","This NSP has 5 feeder categories")</f>
        <v>This NSP has only 4 feeder categories</v>
      </c>
      <c r="D102" s="983"/>
      <c r="E102" s="982"/>
      <c r="F102" s="981"/>
      <c r="G102" s="981"/>
      <c r="H102" s="981"/>
      <c r="I102" s="981"/>
      <c r="J102" s="981"/>
      <c r="K102" s="980"/>
      <c r="L102" s="979"/>
    </row>
    <row r="103" spans="1:12">
      <c r="B103" s="948" t="s">
        <v>937</v>
      </c>
      <c r="C103" s="977">
        <f>IF(dms_FifthFeeder_flag_NSP="NO",10,12)</f>
        <v>10</v>
      </c>
      <c r="D103" s="946" t="s">
        <v>936</v>
      </c>
      <c r="E103" s="950" t="s">
        <v>935</v>
      </c>
      <c r="F103" s="944"/>
      <c r="G103" s="944"/>
      <c r="H103" s="944"/>
      <c r="I103" s="944"/>
      <c r="J103" s="944"/>
      <c r="K103" s="943"/>
    </row>
    <row r="104" spans="1:12">
      <c r="B104" s="976" t="s">
        <v>934</v>
      </c>
      <c r="C104" s="975">
        <f>IF(dms_Model="ARR",15,9)</f>
        <v>9</v>
      </c>
      <c r="D104" s="974" t="s">
        <v>933</v>
      </c>
      <c r="E104" s="973" t="s">
        <v>932</v>
      </c>
      <c r="F104" s="972"/>
      <c r="G104" s="972"/>
      <c r="H104" s="972"/>
      <c r="I104" s="972"/>
      <c r="J104" s="972"/>
      <c r="K104" s="971"/>
    </row>
    <row r="105" spans="1:12">
      <c r="B105" s="952" t="s">
        <v>931</v>
      </c>
      <c r="C105" s="947"/>
      <c r="D105" s="970"/>
      <c r="E105" s="964" t="s">
        <v>930</v>
      </c>
      <c r="F105" s="944"/>
      <c r="G105" s="944"/>
      <c r="H105" s="944"/>
      <c r="I105" s="944"/>
      <c r="J105" s="944"/>
      <c r="K105" s="943"/>
    </row>
    <row r="106" spans="1:12">
      <c r="B106" s="948" t="s">
        <v>929</v>
      </c>
      <c r="C106" s="947" t="e">
        <f ca="1">IF(dms_SingleYearModel="yes",(CONCATENATE(IF(LEN(CRY)=4,"1-Jan-","1-Jul-"),LEFT(CRY,4))),(CONCATENATE(IF(LEN(PRCP_y4)=4,"1-Jan-","1-Jul-"),LEFT(PRCP_y4,4))))</f>
        <v>#N/A</v>
      </c>
      <c r="D106" s="946" t="s">
        <v>660</v>
      </c>
      <c r="E106" s="969" t="s">
        <v>928</v>
      </c>
      <c r="F106" s="944"/>
      <c r="G106" s="944"/>
      <c r="H106" s="944"/>
      <c r="I106" s="944"/>
      <c r="J106" s="944"/>
      <c r="K106" s="943"/>
    </row>
    <row r="107" spans="1:12" ht="15.75" thickBot="1">
      <c r="B107" s="957" t="s">
        <v>927</v>
      </c>
      <c r="C107" s="968" t="e">
        <f ca="1">DATEVALUE(dms_060701_StartDateTxt)</f>
        <v>#N/A</v>
      </c>
      <c r="D107" s="910" t="s">
        <v>926</v>
      </c>
      <c r="E107" s="967" t="s">
        <v>925</v>
      </c>
      <c r="F107" s="966"/>
      <c r="G107" s="966"/>
      <c r="H107" s="966"/>
      <c r="I107" s="966"/>
      <c r="J107" s="966"/>
      <c r="K107" s="953"/>
      <c r="L107" s="458"/>
    </row>
    <row r="108" spans="1:12" s="419" customFormat="1" ht="15.75" thickBot="1">
      <c r="B108" s="942" t="s">
        <v>924</v>
      </c>
      <c r="C108" s="941"/>
      <c r="D108" s="941"/>
      <c r="E108" s="941"/>
      <c r="F108" s="940"/>
      <c r="G108" s="940"/>
      <c r="H108" s="940"/>
      <c r="I108" s="940"/>
      <c r="J108" s="940"/>
      <c r="K108" s="939"/>
    </row>
    <row r="109" spans="1:12" ht="38.25">
      <c r="B109" s="965" t="s">
        <v>923</v>
      </c>
      <c r="C109" s="961" t="s">
        <v>922</v>
      </c>
      <c r="D109" s="964"/>
      <c r="E109" s="964" t="s">
        <v>921</v>
      </c>
      <c r="F109" s="963"/>
      <c r="G109" s="963"/>
      <c r="H109" s="963"/>
      <c r="I109" s="963"/>
      <c r="J109" s="963"/>
      <c r="K109" s="962"/>
      <c r="L109" s="458"/>
    </row>
    <row r="110" spans="1:12">
      <c r="B110" s="952" t="s">
        <v>920</v>
      </c>
      <c r="C110" s="961" t="s">
        <v>452</v>
      </c>
      <c r="D110" s="960"/>
      <c r="E110" s="950" t="s">
        <v>919</v>
      </c>
      <c r="F110" s="944"/>
      <c r="G110" s="944"/>
      <c r="H110" s="944"/>
      <c r="I110" s="944"/>
      <c r="J110" s="944"/>
      <c r="K110" s="943"/>
      <c r="L110" s="458"/>
    </row>
    <row r="111" spans="1:12">
      <c r="B111" s="948" t="s">
        <v>918</v>
      </c>
      <c r="C111" s="947">
        <v>12</v>
      </c>
      <c r="D111" s="946" t="s">
        <v>917</v>
      </c>
      <c r="E111" s="950" t="s">
        <v>916</v>
      </c>
      <c r="F111" s="944"/>
      <c r="G111" s="944"/>
      <c r="H111" s="944"/>
      <c r="I111" s="944"/>
      <c r="J111" s="944"/>
      <c r="K111" s="943"/>
    </row>
    <row r="112" spans="1:12">
      <c r="B112" s="948" t="s">
        <v>915</v>
      </c>
      <c r="C112" s="959" t="s">
        <v>914</v>
      </c>
      <c r="D112" s="946" t="s">
        <v>913</v>
      </c>
      <c r="E112" s="958" t="s">
        <v>912</v>
      </c>
      <c r="F112" s="944"/>
      <c r="G112" s="944"/>
      <c r="H112" s="944"/>
      <c r="I112" s="944"/>
      <c r="J112" s="944"/>
      <c r="K112" s="943"/>
    </row>
    <row r="113" spans="2:11" ht="15.75" thickBot="1">
      <c r="B113" s="957" t="s">
        <v>911</v>
      </c>
      <c r="C113" s="956" t="str">
        <f>IFERROR(IF(dms_Model="ARR",(MAX(0,dms_0608_LastRow-dms_0608_OffsetRows)),"not an ARR"),"0")</f>
        <v>not an ARR</v>
      </c>
      <c r="D113" s="910" t="s">
        <v>910</v>
      </c>
      <c r="E113" s="909" t="s">
        <v>909</v>
      </c>
      <c r="F113" s="955"/>
      <c r="G113" s="954"/>
      <c r="H113" s="954"/>
      <c r="I113" s="954"/>
      <c r="J113" s="954"/>
      <c r="K113" s="953"/>
    </row>
    <row r="114" spans="2:11" s="419" customFormat="1" ht="15.75" thickBot="1">
      <c r="B114" s="942" t="s">
        <v>908</v>
      </c>
      <c r="C114" s="941"/>
      <c r="D114" s="941"/>
      <c r="E114" s="941"/>
      <c r="F114" s="940"/>
      <c r="G114" s="940"/>
      <c r="H114" s="940"/>
      <c r="I114" s="940"/>
      <c r="J114" s="940"/>
      <c r="K114" s="939"/>
    </row>
    <row r="115" spans="2:11">
      <c r="B115" s="952" t="s">
        <v>907</v>
      </c>
      <c r="C115" s="951"/>
      <c r="D115" s="946"/>
      <c r="E115" s="950"/>
      <c r="F115" s="949"/>
      <c r="G115" s="944"/>
      <c r="H115" s="944"/>
      <c r="I115" s="944"/>
      <c r="J115" s="944"/>
      <c r="K115" s="943"/>
    </row>
    <row r="116" spans="2:11">
      <c r="B116" s="948" t="s">
        <v>906</v>
      </c>
      <c r="C116" s="947" t="e">
        <f ca="1">LEFT(PRCP_y3,4)</f>
        <v>#N/A</v>
      </c>
      <c r="D116" s="946" t="s">
        <v>905</v>
      </c>
      <c r="E116" s="945" t="s">
        <v>904</v>
      </c>
      <c r="F116" s="944"/>
      <c r="G116" s="944"/>
      <c r="H116" s="944"/>
      <c r="I116" s="944"/>
      <c r="J116" s="944"/>
      <c r="K116" s="943"/>
    </row>
    <row r="117" spans="2:11" ht="15.75" thickBot="1">
      <c r="B117" s="891"/>
      <c r="C117" s="890"/>
      <c r="D117" s="889"/>
      <c r="E117" s="888"/>
      <c r="F117" s="887"/>
      <c r="G117" s="887"/>
      <c r="H117" s="887"/>
      <c r="I117" s="887"/>
      <c r="J117" s="887"/>
      <c r="K117" s="886"/>
    </row>
    <row r="118" spans="2:11" s="419" customFormat="1" ht="15.75" thickBot="1">
      <c r="B118" s="942" t="s">
        <v>903</v>
      </c>
      <c r="C118" s="941"/>
      <c r="D118" s="941"/>
      <c r="E118" s="941"/>
      <c r="F118" s="940"/>
      <c r="G118" s="940"/>
      <c r="H118" s="940"/>
      <c r="I118" s="940"/>
      <c r="J118" s="940"/>
      <c r="K118" s="939"/>
    </row>
    <row r="119" spans="2:11" s="419" customFormat="1" ht="14.25" customHeight="1">
      <c r="B119" s="938" t="s">
        <v>445</v>
      </c>
      <c r="C119" s="937" t="str">
        <f>INDEX(dms_DeterminationRef_List,MATCH(dms_TradingName,dms_TradingName_List))</f>
        <v>distribution determination</v>
      </c>
      <c r="D119" s="936" t="s">
        <v>516</v>
      </c>
      <c r="E119" s="935"/>
      <c r="F119" s="934"/>
      <c r="G119" s="934"/>
      <c r="H119" s="934"/>
      <c r="I119" s="934"/>
      <c r="J119" s="934"/>
      <c r="K119" s="933"/>
    </row>
    <row r="120" spans="2:11" s="419" customFormat="1" ht="14.25" customHeight="1">
      <c r="B120" s="932" t="s">
        <v>902</v>
      </c>
      <c r="C120" s="931" t="str">
        <f>INDEX(dms_Public_Lighting_List,MATCH(dms_TradingName,dms_TradingName_List))</f>
        <v>YES</v>
      </c>
      <c r="D120" s="930" t="s">
        <v>901</v>
      </c>
      <c r="E120" s="929" t="s">
        <v>900</v>
      </c>
      <c r="F120" s="928"/>
      <c r="G120" s="928"/>
      <c r="H120" s="928"/>
      <c r="I120" s="928"/>
      <c r="J120" s="928"/>
      <c r="K120" s="927"/>
    </row>
    <row r="121" spans="2:11" ht="15" customHeight="1">
      <c r="B121" s="926" t="s">
        <v>519</v>
      </c>
      <c r="C121" s="925" t="str">
        <f>INDEX(dms_CBD_flag,MATCH(dms_TradingName,dms_TradingName_List))</f>
        <v>YES</v>
      </c>
      <c r="D121" s="924" t="s">
        <v>520</v>
      </c>
      <c r="E121" s="924"/>
      <c r="F121" s="923"/>
      <c r="G121" s="923"/>
      <c r="H121" s="923"/>
      <c r="I121" s="923"/>
      <c r="J121" s="923"/>
      <c r="K121" s="922"/>
    </row>
    <row r="122" spans="2:11" ht="15" customHeight="1">
      <c r="B122" s="921" t="s">
        <v>521</v>
      </c>
      <c r="C122" s="920" t="str">
        <f>INDEX(dms_Urban_flag,MATCH(dms_TradingName,dms_TradingName_List))</f>
        <v>YES</v>
      </c>
      <c r="D122" s="895" t="s">
        <v>522</v>
      </c>
      <c r="E122" s="895"/>
      <c r="F122" s="919"/>
      <c r="G122" s="919"/>
      <c r="H122" s="919"/>
      <c r="I122" s="919"/>
      <c r="J122" s="919"/>
      <c r="K122" s="918"/>
    </row>
    <row r="123" spans="2:11" ht="15" customHeight="1">
      <c r="B123" s="921" t="s">
        <v>523</v>
      </c>
      <c r="C123" s="920" t="str">
        <f>INDEX(dms_ShortRural_flag,MATCH(dms_TradingName,dms_TradingName_List))</f>
        <v>YES</v>
      </c>
      <c r="D123" s="895" t="s">
        <v>524</v>
      </c>
      <c r="E123" s="895"/>
      <c r="F123" s="919"/>
      <c r="G123" s="919"/>
      <c r="H123" s="919"/>
      <c r="I123" s="919"/>
      <c r="J123" s="919"/>
      <c r="K123" s="918"/>
    </row>
    <row r="124" spans="2:11" ht="15" customHeight="1">
      <c r="B124" s="917" t="s">
        <v>525</v>
      </c>
      <c r="C124" s="916" t="str">
        <f>INDEX(dms_LongRural_flag,MATCH(dms_TradingName,dms_TradingName_List))</f>
        <v>YES</v>
      </c>
      <c r="D124" s="915" t="s">
        <v>526</v>
      </c>
      <c r="E124" s="915"/>
      <c r="F124" s="914"/>
      <c r="G124" s="914"/>
      <c r="H124" s="914"/>
      <c r="I124" s="914"/>
      <c r="J124" s="914"/>
      <c r="K124" s="913"/>
    </row>
    <row r="125" spans="2:11" ht="15.75" thickBot="1">
      <c r="B125" s="912" t="s">
        <v>899</v>
      </c>
      <c r="C125" s="911" t="str">
        <f>INDEX(dms_FeederType_5_flag,MATCH(dms_TradingName,dms_TradingName_List))</f>
        <v>NO</v>
      </c>
      <c r="D125" s="910" t="s">
        <v>898</v>
      </c>
      <c r="E125" s="909" t="s">
        <v>897</v>
      </c>
      <c r="F125" s="908"/>
      <c r="G125" s="908"/>
      <c r="H125" s="908"/>
      <c r="I125" s="908"/>
      <c r="J125" s="908"/>
      <c r="K125" s="907"/>
    </row>
    <row r="126" spans="2:11" ht="15.75" thickBot="1">
      <c r="B126" s="891"/>
      <c r="C126" s="890"/>
      <c r="D126" s="889"/>
      <c r="E126" s="888"/>
      <c r="F126" s="887"/>
      <c r="G126" s="887"/>
      <c r="H126" s="887"/>
      <c r="I126" s="887"/>
      <c r="J126" s="887"/>
      <c r="K126" s="886"/>
    </row>
    <row r="127" spans="2:11" s="419" customFormat="1" ht="15.75" thickBot="1">
      <c r="B127" s="900" t="s">
        <v>896</v>
      </c>
      <c r="C127" s="899"/>
      <c r="D127" s="899"/>
      <c r="E127" s="899"/>
      <c r="F127" s="898"/>
      <c r="G127" s="898"/>
      <c r="H127" s="898"/>
      <c r="I127" s="898"/>
      <c r="J127" s="898"/>
      <c r="K127" s="897"/>
    </row>
    <row r="128" spans="2:11" ht="15.75" thickBot="1">
      <c r="B128" s="906" t="s">
        <v>448</v>
      </c>
      <c r="C128" s="905" t="s">
        <v>243</v>
      </c>
      <c r="D128" s="904" t="s">
        <v>449</v>
      </c>
      <c r="E128" s="903" t="s">
        <v>450</v>
      </c>
      <c r="F128" s="902"/>
      <c r="G128" s="902"/>
      <c r="H128" s="902"/>
      <c r="I128" s="902"/>
      <c r="J128" s="902"/>
      <c r="K128" s="901"/>
    </row>
    <row r="129" spans="2:11" s="419" customFormat="1" ht="15.75" thickBot="1"/>
    <row r="130" spans="2:11" s="419" customFormat="1" ht="15.75" thickBot="1">
      <c r="B130" s="900" t="s">
        <v>895</v>
      </c>
      <c r="C130" s="899"/>
      <c r="D130" s="899"/>
      <c r="E130" s="899"/>
      <c r="F130" s="898"/>
      <c r="G130" s="898"/>
      <c r="H130" s="898"/>
      <c r="I130" s="898"/>
      <c r="J130" s="898"/>
      <c r="K130" s="897"/>
    </row>
    <row r="131" spans="2:11">
      <c r="B131" s="896" t="s">
        <v>517</v>
      </c>
      <c r="C131" s="880" t="s">
        <v>243</v>
      </c>
      <c r="D131" s="895" t="s">
        <v>518</v>
      </c>
      <c r="E131" s="894"/>
      <c r="F131" s="893"/>
      <c r="G131" s="893"/>
      <c r="H131" s="893"/>
      <c r="I131" s="893"/>
      <c r="J131" s="893"/>
      <c r="K131" s="892"/>
    </row>
    <row r="132" spans="2:11" s="419" customFormat="1"/>
    <row r="133" spans="2:11" ht="15.75" thickBot="1">
      <c r="B133" s="891"/>
      <c r="C133" s="890"/>
      <c r="D133" s="889"/>
      <c r="E133" s="888"/>
      <c r="F133" s="887"/>
      <c r="G133" s="887"/>
      <c r="H133" s="887"/>
      <c r="I133" s="887"/>
      <c r="J133" s="887"/>
      <c r="K133" s="886"/>
    </row>
    <row r="134" spans="2:11" ht="15.75" thickBot="1">
      <c r="B134" s="885" t="s">
        <v>894</v>
      </c>
      <c r="C134" s="884"/>
      <c r="D134" s="884"/>
      <c r="E134" s="884"/>
      <c r="F134" s="883"/>
      <c r="G134" s="883"/>
      <c r="H134" s="883"/>
      <c r="I134" s="883"/>
      <c r="J134" s="883"/>
      <c r="K134" s="882"/>
    </row>
    <row r="135" spans="2:11">
      <c r="B135" s="881" t="s">
        <v>893</v>
      </c>
      <c r="C135" s="880" t="s">
        <v>243</v>
      </c>
      <c r="D135" s="879" t="s">
        <v>892</v>
      </c>
      <c r="E135" s="878"/>
      <c r="F135" s="877"/>
      <c r="G135" s="877"/>
      <c r="H135" s="877"/>
      <c r="I135" s="877"/>
      <c r="J135" s="877"/>
      <c r="K135" s="876"/>
    </row>
    <row r="136" spans="2:11">
      <c r="B136" s="870"/>
      <c r="C136" s="875" t="s">
        <v>891</v>
      </c>
      <c r="D136" s="874" t="s">
        <v>890</v>
      </c>
      <c r="E136" s="873"/>
      <c r="F136" s="872"/>
      <c r="G136" s="872"/>
      <c r="H136" s="872"/>
      <c r="I136" s="872"/>
      <c r="J136" s="872"/>
      <c r="K136" s="871"/>
    </row>
    <row r="137" spans="2:11">
      <c r="B137" s="870"/>
      <c r="C137" s="869">
        <v>2013</v>
      </c>
      <c r="D137" s="868" t="s">
        <v>889</v>
      </c>
      <c r="E137" s="867"/>
      <c r="F137" s="866"/>
      <c r="G137" s="866"/>
      <c r="H137" s="866"/>
      <c r="I137" s="866"/>
      <c r="J137" s="866"/>
      <c r="K137" s="865"/>
    </row>
    <row r="138" spans="2:11">
      <c r="B138" s="870"/>
      <c r="C138" s="869">
        <v>2014</v>
      </c>
      <c r="D138" s="868" t="s">
        <v>888</v>
      </c>
      <c r="E138" s="867"/>
      <c r="F138" s="866"/>
      <c r="G138" s="866"/>
      <c r="H138" s="866"/>
      <c r="I138" s="866"/>
      <c r="J138" s="866"/>
      <c r="K138" s="865"/>
    </row>
    <row r="139" spans="2:11">
      <c r="B139" s="870"/>
      <c r="C139" s="869">
        <v>2015</v>
      </c>
      <c r="D139" s="868" t="s">
        <v>887</v>
      </c>
      <c r="E139" s="867"/>
      <c r="F139" s="866"/>
      <c r="G139" s="866"/>
      <c r="H139" s="866"/>
      <c r="I139" s="866"/>
      <c r="J139" s="866"/>
      <c r="K139" s="865"/>
    </row>
    <row r="140" spans="2:11">
      <c r="B140" s="870"/>
      <c r="C140" s="869">
        <v>2016</v>
      </c>
      <c r="D140" s="868" t="s">
        <v>886</v>
      </c>
      <c r="E140" s="867"/>
      <c r="F140" s="866"/>
      <c r="G140" s="866"/>
      <c r="H140" s="866"/>
      <c r="I140" s="866"/>
      <c r="J140" s="866"/>
      <c r="K140" s="865"/>
    </row>
    <row r="141" spans="2:11">
      <c r="B141" s="864"/>
      <c r="C141" s="863">
        <v>2017</v>
      </c>
      <c r="D141" s="862" t="s">
        <v>885</v>
      </c>
      <c r="E141" s="861"/>
      <c r="F141" s="860"/>
      <c r="G141" s="860"/>
      <c r="H141" s="860"/>
      <c r="I141" s="860"/>
      <c r="J141" s="860"/>
      <c r="K141" s="859"/>
    </row>
    <row r="142" spans="2:11">
      <c r="B142" s="864"/>
      <c r="C142" s="863">
        <v>2018</v>
      </c>
      <c r="D142" s="862" t="s">
        <v>884</v>
      </c>
      <c r="E142" s="861"/>
      <c r="F142" s="860"/>
      <c r="G142" s="860"/>
      <c r="H142" s="860"/>
      <c r="I142" s="860"/>
      <c r="J142" s="860"/>
      <c r="K142" s="859"/>
    </row>
    <row r="143" spans="2:11">
      <c r="B143" s="864"/>
      <c r="C143" s="863">
        <v>2019</v>
      </c>
      <c r="D143" s="862" t="s">
        <v>883</v>
      </c>
      <c r="E143" s="861"/>
      <c r="F143" s="860"/>
      <c r="G143" s="860"/>
      <c r="H143" s="860"/>
      <c r="I143" s="860"/>
      <c r="J143" s="860"/>
      <c r="K143" s="859"/>
    </row>
    <row r="144" spans="2:11">
      <c r="B144" s="864"/>
      <c r="C144" s="863">
        <v>2020</v>
      </c>
      <c r="D144" s="862" t="s">
        <v>882</v>
      </c>
      <c r="E144" s="861"/>
      <c r="F144" s="860"/>
      <c r="G144" s="860"/>
      <c r="H144" s="860"/>
      <c r="I144" s="860"/>
      <c r="J144" s="860"/>
      <c r="K144" s="859"/>
    </row>
    <row r="145" spans="2:11" ht="15.75" thickBot="1">
      <c r="B145" s="858"/>
      <c r="C145" s="857">
        <v>2021</v>
      </c>
      <c r="D145" s="856" t="s">
        <v>881</v>
      </c>
      <c r="E145" s="855"/>
      <c r="F145" s="854"/>
      <c r="G145" s="854"/>
      <c r="H145" s="854"/>
      <c r="I145" s="854"/>
      <c r="J145" s="854"/>
      <c r="K145" s="853"/>
    </row>
    <row r="146" spans="2:11">
      <c r="B146" s="419"/>
      <c r="C146" s="419"/>
    </row>
    <row r="147" spans="2:11">
      <c r="B147" s="419"/>
      <c r="C147" s="419"/>
    </row>
    <row r="148" spans="2:11">
      <c r="B148" s="419"/>
      <c r="C148" s="419"/>
      <c r="D148" s="419"/>
      <c r="E148" s="419"/>
      <c r="F148" s="419"/>
      <c r="G148" s="419"/>
      <c r="H148" s="419"/>
      <c r="I148" s="419"/>
    </row>
    <row r="149" spans="2:11">
      <c r="B149" s="419"/>
      <c r="C149" s="419"/>
      <c r="D149" s="419"/>
      <c r="E149" s="419"/>
      <c r="F149" s="419"/>
      <c r="G149" s="419"/>
      <c r="H149" s="419"/>
      <c r="I149" s="419"/>
    </row>
    <row r="150" spans="2:11">
      <c r="B150" s="419"/>
      <c r="C150" s="419"/>
      <c r="D150" s="419"/>
      <c r="E150" s="419"/>
      <c r="F150" s="419"/>
      <c r="G150" s="419"/>
      <c r="H150" s="419"/>
      <c r="I150" s="419"/>
    </row>
    <row r="151" spans="2:11">
      <c r="B151" s="419"/>
      <c r="C151" s="419"/>
      <c r="D151" s="419"/>
      <c r="E151" s="419"/>
      <c r="F151" s="419"/>
      <c r="G151" s="419"/>
      <c r="H151" s="419"/>
      <c r="I151" s="419"/>
    </row>
    <row r="152" spans="2:11">
      <c r="B152" s="419"/>
      <c r="C152" s="419"/>
      <c r="D152" s="419"/>
      <c r="E152" s="419"/>
      <c r="F152" s="419"/>
      <c r="G152" s="419"/>
      <c r="H152" s="419"/>
      <c r="I152" s="419"/>
    </row>
  </sheetData>
  <sheetProtection formatColumns="0" formatRows="0" insertRows="0" autoFilter="0"/>
  <dataConsolidate/>
  <mergeCells count="13">
    <mergeCell ref="A12:A16"/>
    <mergeCell ref="E13:I13"/>
    <mergeCell ref="C15:E15"/>
    <mergeCell ref="A19:A26"/>
    <mergeCell ref="A27:A32"/>
    <mergeCell ref="A35:A60"/>
    <mergeCell ref="AL35:BG35"/>
    <mergeCell ref="BQ35:CL35"/>
    <mergeCell ref="AL33:BG33"/>
    <mergeCell ref="B72:B74"/>
    <mergeCell ref="BQ33:CL33"/>
    <mergeCell ref="AL34:BG34"/>
    <mergeCell ref="BQ34:CL34"/>
  </mergeCells>
  <conditionalFormatting sqref="C24">
    <cfRule type="expression" dxfId="40" priority="13">
      <formula>SUM(dms_SingleYear_Model)&gt;0</formula>
    </cfRule>
  </conditionalFormatting>
  <conditionalFormatting sqref="C64">
    <cfRule type="expression" dxfId="39" priority="12">
      <formula>dms_MultiYear_Flag=1</formula>
    </cfRule>
  </conditionalFormatting>
  <conditionalFormatting sqref="B87">
    <cfRule type="expression" dxfId="38" priority="11">
      <formula>dms_Model="CA"</formula>
    </cfRule>
  </conditionalFormatting>
  <conditionalFormatting sqref="B85">
    <cfRule type="expression" dxfId="37" priority="10">
      <formula>dms_Model="EB"</formula>
    </cfRule>
  </conditionalFormatting>
  <conditionalFormatting sqref="B108">
    <cfRule type="expression" dxfId="36" priority="9">
      <formula>dms_Model="ARR"</formula>
    </cfRule>
  </conditionalFormatting>
  <conditionalFormatting sqref="B95">
    <cfRule type="expression" dxfId="35" priority="8">
      <formula>IF(OR(dms_Model="ARR",dms_Model="Reset"),"True")</formula>
    </cfRule>
  </conditionalFormatting>
  <conditionalFormatting sqref="C93">
    <cfRule type="cellIs" dxfId="34" priority="7" operator="equal">
      <formula>"error"</formula>
    </cfRule>
  </conditionalFormatting>
  <conditionalFormatting sqref="C131 C135">
    <cfRule type="cellIs" dxfId="33" priority="5" operator="equal">
      <formula>"YES"</formula>
    </cfRule>
  </conditionalFormatting>
  <conditionalFormatting sqref="C62">
    <cfRule type="cellIs" dxfId="32" priority="4" operator="equal">
      <formula>"YES"</formula>
    </cfRule>
  </conditionalFormatting>
  <conditionalFormatting sqref="B114">
    <cfRule type="expression" dxfId="31" priority="3">
      <formula>AND(dms_Model="Reset",dms_Segment="Transmission")</formula>
    </cfRule>
  </conditionalFormatting>
  <conditionalFormatting sqref="C80 C83">
    <cfRule type="cellIs" dxfId="30" priority="2" operator="greaterThan">
      <formula>0</formula>
    </cfRule>
  </conditionalFormatting>
  <conditionalFormatting sqref="C76">
    <cfRule type="cellIs" dxfId="29" priority="1" operator="greaterThan">
      <formula>0</formula>
    </cfRule>
  </conditionalFormatting>
  <dataValidations count="9">
    <dataValidation type="list" allowBlank="1" showInputMessage="1" showErrorMessage="1" sqref="C12" xr:uid="{00000000-0002-0000-0200-000000000000}">
      <formula1>dms_SourceList</formula1>
    </dataValidation>
    <dataValidation type="list" allowBlank="1" showInputMessage="1" showErrorMessage="1" sqref="C18 C62" xr:uid="{00000000-0002-0000-0200-000001000000}">
      <formula1>"Yes, No"</formula1>
    </dataValidation>
    <dataValidation type="list" allowBlank="1" showInputMessage="1" showErrorMessage="1" sqref="C25" xr:uid="{00000000-0002-0000-0200-000002000000}">
      <formula1>"Public, Confidential"</formula1>
    </dataValidation>
    <dataValidation type="list" allowBlank="1" showInputMessage="1" showErrorMessage="1" sqref="C23" xr:uid="{00000000-0002-0000-0200-000003000000}">
      <formula1>"Financial, Calendar, Other"</formula1>
    </dataValidation>
    <dataValidation type="list" allowBlank="1" showInputMessage="1" showErrorMessage="1" sqref="C13" xr:uid="{00000000-0002-0000-0200-000004000000}">
      <formula1>dms_DataQuality_List</formula1>
    </dataValidation>
    <dataValidation type="list" allowBlank="1" showInputMessage="1" showErrorMessage="1" promptTitle="Model" prompt="Make sure corresponding Source type is correctly selected !!!_x000a__x000a_eg: ABC=Reporting, Reset=Regulatory proposal  etc" sqref="C11" xr:uid="{00000000-0002-0000-0200-000005000000}">
      <formula1>dms_Model_List</formula1>
    </dataValidation>
    <dataValidation allowBlank="1" showInputMessage="1" showErrorMessage="1" prompt="If this is a MultiRYE historical ABC RIN then this value is set from the value specified in cell C75 - otherwise it is taken from the values calculated in FRCP_y5 (or whichever is last relevant year)." sqref="C84" xr:uid="{00000000-0002-0000-0200-000006000000}"/>
    <dataValidation type="list" allowBlank="1" showInputMessage="1" showErrorMessage="1" sqref="C128 C135 C131" xr:uid="{00000000-0002-0000-0200-000007000000}">
      <formula1>"YES, NO"</formula1>
    </dataValidation>
    <dataValidation type="list" allowBlank="1" showInputMessage="1" showErrorMessage="1" sqref="C14" xr:uid="{00000000-0002-0000-0200-000008000000}">
      <formula1>dms_Confid_status_List</formula1>
    </dataValidation>
  </dataValidations>
  <pageMargins left="0.25" right="0.25" top="0.75" bottom="0.75" header="0.3" footer="0.3"/>
  <pageSetup paperSize="9" scale="90" orientation="landscape" r:id="rId1"/>
  <extLst>
    <ext xmlns:x14="http://schemas.microsoft.com/office/spreadsheetml/2009/9/main" uri="{78C0D931-6437-407d-A8EE-F0AAD7539E65}">
      <x14:conditionalFormattings>
        <x14:conditionalFormatting xmlns:xm="http://schemas.microsoft.com/office/excel/2006/main">
          <x14:cfRule type="containsText" priority="6" operator="containsText" id="{1A665606-4228-43BF-A1CF-D804992A055E}">
            <xm:f>NOT(ISERROR(SEARCH("error - NR not present",C91)))</xm:f>
            <xm:f>"error - NR not present"</xm:f>
            <x14:dxf>
              <font>
                <color rgb="FF9C0006"/>
              </font>
              <fill>
                <patternFill>
                  <bgColor rgb="FFFFC7CE"/>
                </patternFill>
              </fill>
            </x14:dxf>
          </x14:cfRule>
          <xm:sqref>C91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theme="4" tint="-0.499984740745262"/>
  </sheetPr>
  <dimension ref="A1:CU71"/>
  <sheetViews>
    <sheetView showGridLines="0" zoomScale="90" zoomScaleNormal="90" workbookViewId="0">
      <selection activeCell="AL19" sqref="AL19"/>
    </sheetView>
  </sheetViews>
  <sheetFormatPr defaultColWidth="9.140625" defaultRowHeight="15"/>
  <cols>
    <col min="1" max="96" width="2.7109375" style="419" customWidth="1"/>
    <col min="97" max="16384" width="9.140625" style="419"/>
  </cols>
  <sheetData>
    <row r="1" spans="1:96" ht="44.25" customHeight="1">
      <c r="H1" s="1556"/>
      <c r="I1" s="1556"/>
      <c r="J1" s="1556"/>
      <c r="K1" s="1556"/>
      <c r="L1" s="1556"/>
      <c r="M1" s="1556"/>
      <c r="N1" s="1556"/>
      <c r="O1" s="1556"/>
      <c r="P1" s="1556"/>
      <c r="Q1" s="1304"/>
      <c r="R1" s="1304"/>
      <c r="S1" s="1304"/>
      <c r="T1" s="1304"/>
      <c r="U1" s="1304"/>
      <c r="V1" s="1307" t="str">
        <f>INDEX(dms_Worksheet_List,MATCH(dms_Model,dms_Model_List))</f>
        <v>ROLL FORWARD MODEL</v>
      </c>
      <c r="W1" s="1306"/>
      <c r="X1" s="1306"/>
      <c r="Y1" s="1306"/>
      <c r="Z1" s="1306"/>
      <c r="AA1" s="1306"/>
      <c r="AB1" s="1306"/>
      <c r="AC1" s="1306"/>
      <c r="AD1" s="1306"/>
      <c r="AE1" s="1306"/>
      <c r="AF1" s="1306"/>
      <c r="AG1" s="1306"/>
      <c r="AH1" s="1306"/>
      <c r="AI1" s="1306"/>
      <c r="AJ1" s="1306"/>
      <c r="AK1" s="1306"/>
      <c r="AL1" s="1306"/>
      <c r="AM1" s="1306"/>
      <c r="AN1" s="1306"/>
      <c r="AO1" s="1306"/>
      <c r="AP1" s="1306"/>
      <c r="AQ1" s="1306"/>
      <c r="AR1" s="1306"/>
      <c r="AS1" s="1306"/>
      <c r="AT1" s="1306"/>
      <c r="AU1" s="1306"/>
      <c r="AV1" s="1306"/>
      <c r="AW1" s="1306"/>
      <c r="AX1" s="1306"/>
      <c r="AY1" s="1306"/>
      <c r="AZ1" s="1306"/>
      <c r="BA1" s="1306"/>
      <c r="BB1" s="1306"/>
      <c r="BC1" s="1306"/>
      <c r="BD1" s="1306"/>
      <c r="BE1" s="1306"/>
      <c r="BF1" s="1306"/>
      <c r="BG1" s="1306"/>
      <c r="BH1" s="1306"/>
      <c r="BI1" s="1302"/>
      <c r="BJ1" s="1302"/>
      <c r="BK1" s="1302"/>
      <c r="BL1" s="1302"/>
      <c r="BM1" s="1302"/>
      <c r="BN1" s="1302"/>
      <c r="BO1" s="1302"/>
      <c r="BP1" s="1302"/>
      <c r="BQ1" s="1302"/>
      <c r="BR1" s="1302"/>
      <c r="BS1" s="1302"/>
      <c r="BT1" s="1302"/>
      <c r="BU1" s="1302"/>
      <c r="BV1" s="1302"/>
      <c r="BW1" s="1302"/>
      <c r="BX1" s="1302"/>
      <c r="BY1" s="1301"/>
      <c r="BZ1" s="1301"/>
      <c r="CA1" s="1301"/>
      <c r="CB1" s="1301"/>
      <c r="CC1" s="1301"/>
      <c r="CD1" s="1301"/>
      <c r="CE1" s="1301"/>
      <c r="CF1" s="1301"/>
      <c r="CG1" s="1301"/>
      <c r="CH1" s="1301"/>
      <c r="CI1" s="1301"/>
      <c r="CJ1" s="1301"/>
      <c r="CK1" s="1301"/>
      <c r="CL1" s="1301"/>
      <c r="CM1" s="1301"/>
      <c r="CN1" s="1301"/>
      <c r="CO1" s="1301"/>
      <c r="CP1" s="1301"/>
    </row>
    <row r="2" spans="1:96" ht="44.25" customHeight="1">
      <c r="H2" s="1556"/>
      <c r="I2" s="1556"/>
      <c r="J2" s="1556"/>
      <c r="K2" s="1556"/>
      <c r="L2" s="1556"/>
      <c r="M2" s="1556"/>
      <c r="N2" s="1556"/>
      <c r="O2" s="1556"/>
      <c r="P2" s="1556"/>
      <c r="Q2" s="1304"/>
      <c r="R2" s="1304"/>
      <c r="S2" s="1304"/>
      <c r="T2" s="1304"/>
      <c r="U2" s="1304"/>
      <c r="V2" s="1305" t="str">
        <f>INDEX(dms_TradingNameFull_List,MATCH(dms_TradingName,dms_TradingName_List))</f>
        <v>Australian Distribution Co.</v>
      </c>
      <c r="W2" s="1305"/>
      <c r="X2" s="1305"/>
      <c r="Y2" s="1305"/>
      <c r="Z2" s="1305"/>
      <c r="AA2" s="1305"/>
      <c r="AB2" s="1305"/>
      <c r="AC2" s="1305"/>
      <c r="AD2" s="1305"/>
      <c r="AE2" s="1305"/>
      <c r="AF2" s="1305"/>
      <c r="AG2" s="1305"/>
      <c r="AH2" s="1305"/>
      <c r="AI2" s="1305"/>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2"/>
      <c r="BJ2" s="1302"/>
      <c r="BK2" s="1302"/>
      <c r="BL2" s="1302"/>
      <c r="BM2" s="1302"/>
      <c r="BN2" s="1302"/>
      <c r="BO2" s="1302"/>
      <c r="BP2" s="1302"/>
      <c r="BQ2" s="1302"/>
      <c r="BR2" s="1302"/>
      <c r="BS2" s="1302"/>
      <c r="BT2" s="1302"/>
      <c r="BU2" s="1302"/>
      <c r="BV2" s="1302"/>
      <c r="BW2" s="1302"/>
      <c r="BX2" s="1302"/>
      <c r="BY2" s="1301"/>
      <c r="BZ2" s="1301"/>
      <c r="CA2" s="1301"/>
      <c r="CB2" s="1301"/>
      <c r="CC2" s="1301"/>
      <c r="CD2" s="1301"/>
      <c r="CE2" s="1301"/>
      <c r="CF2" s="1301"/>
      <c r="CG2" s="1301"/>
      <c r="CH2" s="1301"/>
      <c r="CI2" s="1301"/>
      <c r="CJ2" s="1301"/>
      <c r="CK2" s="1301"/>
      <c r="CL2" s="1301"/>
      <c r="CM2" s="1301"/>
      <c r="CN2" s="1301"/>
      <c r="CO2" s="1301"/>
      <c r="CP2" s="1301"/>
    </row>
    <row r="3" spans="1:96" ht="44.25" customHeight="1">
      <c r="H3" s="1556"/>
      <c r="I3" s="1556"/>
      <c r="J3" s="1556"/>
      <c r="K3" s="1556"/>
      <c r="L3" s="1556"/>
      <c r="M3" s="1556"/>
      <c r="N3" s="1556"/>
      <c r="O3" s="1556"/>
      <c r="P3" s="1556"/>
      <c r="Q3" s="1304"/>
      <c r="R3" s="1304"/>
      <c r="S3" s="1304"/>
      <c r="T3" s="1304"/>
      <c r="U3" s="1304"/>
      <c r="V3" s="1303" t="e">
        <f ca="1">dms_Header_Span</f>
        <v>#N/A</v>
      </c>
      <c r="W3" s="1303"/>
      <c r="X3" s="1303"/>
      <c r="Y3" s="1303"/>
      <c r="Z3" s="1303"/>
      <c r="AA3" s="1303"/>
      <c r="AB3" s="1303"/>
      <c r="AC3" s="1303"/>
      <c r="AD3" s="1303"/>
      <c r="AE3" s="1303"/>
      <c r="AF3" s="1303"/>
      <c r="AG3" s="1303"/>
      <c r="AH3" s="1303"/>
      <c r="AI3" s="1303"/>
      <c r="AJ3" s="1303"/>
      <c r="AK3" s="1303"/>
      <c r="AL3" s="1303"/>
      <c r="AM3" s="1303"/>
      <c r="AN3" s="1303"/>
      <c r="AO3" s="1303"/>
      <c r="AP3" s="1303"/>
      <c r="AQ3" s="1303"/>
      <c r="AR3" s="1303"/>
      <c r="AS3" s="1303"/>
      <c r="AT3" s="1303"/>
      <c r="AU3" s="1303"/>
      <c r="AV3" s="1303"/>
      <c r="AW3" s="1303"/>
      <c r="AX3" s="1303"/>
      <c r="AY3" s="1303"/>
      <c r="AZ3" s="1303"/>
      <c r="BA3" s="1303"/>
      <c r="BB3" s="1303"/>
      <c r="BC3" s="1303"/>
      <c r="BD3" s="1303"/>
      <c r="BE3" s="1303"/>
      <c r="BF3" s="1303"/>
      <c r="BG3" s="1303"/>
      <c r="BH3" s="1303"/>
      <c r="BI3" s="1302"/>
      <c r="BJ3" s="1302"/>
      <c r="BK3" s="1302"/>
      <c r="BL3" s="1302"/>
      <c r="BM3" s="1302"/>
      <c r="BN3" s="1302"/>
      <c r="BO3" s="1302"/>
      <c r="BP3" s="1302"/>
      <c r="BQ3" s="1302"/>
      <c r="BR3" s="1302"/>
      <c r="BS3" s="1302"/>
      <c r="BT3" s="1302"/>
      <c r="BU3" s="1302"/>
      <c r="BV3" s="1302"/>
      <c r="BW3" s="1302"/>
      <c r="BX3" s="1302"/>
      <c r="BY3" s="1301"/>
      <c r="BZ3" s="1301"/>
      <c r="CA3" s="1301"/>
      <c r="CB3" s="1301"/>
      <c r="CC3" s="1301"/>
      <c r="CD3" s="1301"/>
      <c r="CE3" s="1301"/>
      <c r="CF3" s="1301"/>
      <c r="CG3" s="1301"/>
      <c r="CH3" s="1301"/>
      <c r="CI3" s="1301"/>
      <c r="CJ3" s="1301"/>
      <c r="CK3" s="1301"/>
      <c r="CL3" s="1301"/>
      <c r="CM3" s="1301"/>
      <c r="CN3" s="1301"/>
      <c r="CO3" s="1301"/>
      <c r="CP3" s="1301"/>
    </row>
    <row r="4" spans="1:96" ht="31.5" customHeight="1">
      <c r="Q4" s="1300"/>
      <c r="R4" s="1300"/>
      <c r="S4" s="1300"/>
      <c r="T4" s="1300"/>
      <c r="U4" s="1300"/>
      <c r="V4" s="1557" t="s">
        <v>135</v>
      </c>
      <c r="W4" s="1557"/>
      <c r="X4" s="1557"/>
      <c r="Y4" s="1557"/>
      <c r="Z4" s="1557"/>
      <c r="AA4" s="1557"/>
      <c r="AB4" s="1557"/>
      <c r="AC4" s="1557"/>
      <c r="AD4" s="1557"/>
      <c r="AE4" s="1557"/>
      <c r="AF4" s="1557"/>
      <c r="AG4" s="1557"/>
      <c r="AH4" s="1557"/>
      <c r="AI4" s="1557"/>
      <c r="AJ4" s="1557"/>
      <c r="AK4" s="1557"/>
      <c r="AL4" s="1557"/>
      <c r="AM4" s="1557"/>
      <c r="AN4" s="1557"/>
      <c r="AO4" s="1557"/>
      <c r="AP4" s="1557"/>
      <c r="AQ4" s="1557"/>
      <c r="AR4" s="1557"/>
      <c r="AS4" s="1557"/>
      <c r="AT4" s="1557"/>
      <c r="AU4" s="1557"/>
      <c r="AV4" s="1557"/>
      <c r="AW4" s="1557"/>
      <c r="AX4" s="1557"/>
      <c r="AY4" s="1557"/>
      <c r="AZ4" s="1557"/>
      <c r="BA4" s="1557"/>
      <c r="BB4" s="1557"/>
      <c r="BC4" s="1557"/>
      <c r="BD4" s="1557"/>
      <c r="BE4" s="1557"/>
      <c r="BF4" s="1557"/>
      <c r="BG4" s="1300"/>
      <c r="BH4" s="1300"/>
      <c r="BI4" s="1300"/>
      <c r="BJ4" s="1300"/>
      <c r="BK4" s="1300"/>
      <c r="BL4" s="1300"/>
      <c r="BM4" s="1300"/>
      <c r="BN4" s="1300"/>
      <c r="BO4" s="1300"/>
      <c r="BP4" s="1300"/>
      <c r="BQ4" s="1300"/>
      <c r="BR4" s="1300"/>
      <c r="BS4" s="1300"/>
      <c r="BT4" s="1300"/>
      <c r="BU4" s="1300"/>
      <c r="BV4" s="1300"/>
      <c r="BW4" s="1300"/>
      <c r="BX4" s="1300"/>
      <c r="BY4" s="1299"/>
      <c r="BZ4" s="1299"/>
      <c r="CA4" s="1299"/>
      <c r="CB4" s="1299"/>
      <c r="CC4" s="1299"/>
      <c r="CD4" s="1299"/>
      <c r="CE4" s="1299"/>
      <c r="CF4" s="1299"/>
      <c r="CG4" s="1299"/>
      <c r="CH4" s="1299"/>
      <c r="CI4" s="1299"/>
      <c r="CJ4" s="1299"/>
      <c r="CK4" s="1299"/>
      <c r="CL4" s="1299"/>
      <c r="CM4" s="1299"/>
      <c r="CN4" s="1299"/>
      <c r="CO4" s="1299"/>
      <c r="CP4" s="1299"/>
    </row>
    <row r="6" spans="1:96" ht="20.25">
      <c r="H6" s="1294"/>
      <c r="I6" s="1294"/>
      <c r="J6" s="1294"/>
      <c r="K6" s="1294"/>
      <c r="L6" s="1294"/>
      <c r="M6" s="1294"/>
      <c r="N6" s="1294"/>
      <c r="O6" s="1294"/>
      <c r="P6" s="1294"/>
      <c r="Q6" s="1296"/>
      <c r="R6" s="1296"/>
      <c r="S6" s="1296"/>
      <c r="T6" s="1296"/>
      <c r="U6" s="1296"/>
      <c r="V6" s="1298" t="s">
        <v>1132</v>
      </c>
      <c r="W6" s="1297"/>
      <c r="X6" s="1297"/>
      <c r="Y6" s="1297"/>
      <c r="Z6" s="1297"/>
      <c r="AA6" s="1297"/>
      <c r="AB6" s="1297"/>
      <c r="AC6" s="1297"/>
      <c r="AD6" s="1297"/>
      <c r="AE6" s="1297"/>
      <c r="AF6" s="1297"/>
      <c r="AG6" s="1297"/>
      <c r="AH6" s="1297"/>
      <c r="AI6" s="1297"/>
      <c r="AJ6" s="1297"/>
      <c r="AK6" s="1297"/>
      <c r="AL6" s="1297"/>
      <c r="AM6" s="1297"/>
      <c r="AN6" s="1297"/>
      <c r="AO6" s="1297"/>
      <c r="AP6" s="1297"/>
      <c r="AQ6" s="1297"/>
      <c r="AR6" s="1297"/>
      <c r="AS6" s="1297"/>
      <c r="AT6" s="1297"/>
      <c r="AU6" s="1297"/>
      <c r="AV6" s="1297"/>
      <c r="AW6" s="1297"/>
      <c r="AX6" s="1297"/>
      <c r="AY6" s="1297"/>
      <c r="AZ6" s="1297"/>
      <c r="BA6" s="1297"/>
      <c r="BB6" s="1297"/>
      <c r="BC6" s="1297"/>
      <c r="BD6" s="1297"/>
      <c r="BE6" s="1297"/>
      <c r="BF6" s="1297"/>
      <c r="BG6" s="1297"/>
      <c r="BH6" s="1297"/>
      <c r="BI6" s="1297"/>
      <c r="BJ6" s="1297"/>
      <c r="BK6" s="1297"/>
      <c r="BL6" s="1297"/>
      <c r="BM6" s="1297"/>
      <c r="BN6" s="1297"/>
      <c r="BO6" s="1297"/>
      <c r="BP6" s="1297"/>
      <c r="BQ6" s="1297"/>
      <c r="BR6" s="1297"/>
      <c r="BS6" s="1297"/>
      <c r="BT6" s="1297"/>
      <c r="BU6" s="1297"/>
      <c r="BV6" s="1297"/>
      <c r="BW6" s="1297"/>
      <c r="BX6" s="1297"/>
      <c r="BY6" s="1296"/>
      <c r="BZ6" s="1296"/>
      <c r="CA6" s="1296"/>
      <c r="CB6" s="1296"/>
      <c r="CC6" s="1296"/>
      <c r="CD6" s="1296"/>
      <c r="CE6" s="1296"/>
      <c r="CF6" s="1296"/>
      <c r="CG6" s="1296"/>
      <c r="CH6" s="1296"/>
      <c r="CI6" s="1296"/>
      <c r="CJ6" s="1296"/>
      <c r="CK6" s="1296"/>
      <c r="CL6" s="1296"/>
      <c r="CM6" s="1296"/>
      <c r="CN6" s="1296"/>
      <c r="CO6" s="1296"/>
      <c r="CP6" s="1296"/>
    </row>
    <row r="7" spans="1:96" ht="50.25" customHeight="1">
      <c r="H7" s="1294"/>
      <c r="I7" s="1294"/>
      <c r="J7" s="1294"/>
      <c r="K7" s="1294"/>
      <c r="L7" s="1294"/>
      <c r="M7" s="1294"/>
      <c r="N7" s="1294"/>
      <c r="O7" s="1294"/>
      <c r="P7" s="1294"/>
      <c r="Q7" s="1296"/>
      <c r="R7" s="1296"/>
      <c r="S7" s="1296"/>
      <c r="T7" s="1296"/>
      <c r="U7" s="1296"/>
      <c r="V7" s="1558" t="s">
        <v>1131</v>
      </c>
      <c r="W7" s="1558"/>
      <c r="X7" s="1558"/>
      <c r="Y7" s="1558"/>
      <c r="Z7" s="1558"/>
      <c r="AA7" s="1558"/>
      <c r="AB7" s="1558"/>
      <c r="AC7" s="1558"/>
      <c r="AD7" s="1558"/>
      <c r="AE7" s="1558"/>
      <c r="AF7" s="1558"/>
      <c r="AG7" s="1558"/>
      <c r="AH7" s="1558"/>
      <c r="AI7" s="1558"/>
      <c r="AJ7" s="1558"/>
      <c r="AK7" s="1558"/>
      <c r="AL7" s="1558"/>
      <c r="AM7" s="1558"/>
      <c r="AN7" s="1558"/>
      <c r="AO7" s="1558"/>
      <c r="AP7" s="1558"/>
      <c r="AQ7" s="1558"/>
      <c r="AR7" s="1558"/>
      <c r="AS7" s="1558"/>
      <c r="AT7" s="1558"/>
      <c r="AU7" s="1558"/>
      <c r="AV7" s="1558"/>
      <c r="AW7" s="1558"/>
      <c r="AX7" s="1558"/>
      <c r="AY7" s="1558"/>
      <c r="AZ7" s="1558"/>
      <c r="BA7" s="1558"/>
      <c r="BB7" s="1558"/>
      <c r="BC7" s="1558"/>
      <c r="BD7" s="1558"/>
      <c r="BE7" s="1558"/>
      <c r="BF7" s="1558"/>
      <c r="BG7" s="1558"/>
      <c r="BH7" s="1558"/>
      <c r="BI7" s="1558"/>
      <c r="BJ7" s="1558"/>
      <c r="BK7" s="1558"/>
      <c r="BL7" s="1558"/>
      <c r="BM7" s="1558"/>
      <c r="BN7" s="1558"/>
      <c r="BO7" s="1558"/>
      <c r="BP7" s="1558"/>
      <c r="BQ7" s="1558"/>
      <c r="BR7" s="1558"/>
      <c r="BS7" s="1558"/>
      <c r="BT7" s="1558"/>
      <c r="BU7" s="1558"/>
      <c r="BV7" s="1558"/>
      <c r="BW7" s="1558"/>
      <c r="BX7" s="1558"/>
      <c r="BY7" s="1296"/>
      <c r="BZ7" s="1296"/>
      <c r="CA7" s="1296"/>
      <c r="CB7" s="1296"/>
      <c r="CC7" s="1296"/>
      <c r="CD7" s="1296"/>
      <c r="CE7" s="1296"/>
      <c r="CF7" s="1296"/>
      <c r="CG7" s="1296"/>
      <c r="CH7" s="1296"/>
      <c r="CI7" s="1296"/>
      <c r="CJ7" s="1296"/>
      <c r="CK7" s="1296"/>
      <c r="CL7" s="1296"/>
      <c r="CM7" s="1296"/>
      <c r="CN7" s="1296"/>
      <c r="CO7" s="1296"/>
      <c r="CP7" s="1296"/>
    </row>
    <row r="8" spans="1:96" ht="20.25">
      <c r="H8" s="1294"/>
      <c r="I8" s="1294"/>
      <c r="J8" s="1294"/>
      <c r="K8" s="1294"/>
      <c r="L8" s="1294"/>
      <c r="M8" s="1294"/>
      <c r="N8" s="1294"/>
      <c r="O8" s="1294"/>
      <c r="P8" s="1294"/>
      <c r="Q8" s="1294"/>
      <c r="R8" s="1294"/>
      <c r="S8" s="1294"/>
      <c r="T8" s="1294"/>
      <c r="U8" s="1294"/>
      <c r="V8" s="1295"/>
      <c r="W8" s="1295"/>
      <c r="X8" s="1295"/>
      <c r="Y8" s="1295"/>
      <c r="Z8" s="1295"/>
      <c r="AA8" s="1295"/>
      <c r="AB8" s="1295"/>
      <c r="AC8" s="1295"/>
      <c r="AD8" s="1295"/>
      <c r="AE8" s="1295"/>
      <c r="AF8" s="1295"/>
      <c r="AG8" s="1295"/>
      <c r="AH8" s="1295"/>
      <c r="AI8" s="1295"/>
      <c r="AJ8" s="1295"/>
      <c r="AK8" s="1295"/>
      <c r="AL8" s="1295"/>
      <c r="AM8" s="1295"/>
      <c r="AN8" s="1295"/>
      <c r="AO8" s="1295"/>
      <c r="AP8" s="1295"/>
      <c r="AQ8" s="1295"/>
      <c r="AR8" s="1295"/>
      <c r="AS8" s="1295"/>
      <c r="AT8" s="1295"/>
      <c r="AU8" s="1295"/>
      <c r="AV8" s="1295"/>
      <c r="AW8" s="1295"/>
      <c r="AX8" s="1295"/>
      <c r="AY8" s="1295"/>
      <c r="AZ8" s="1295"/>
      <c r="BA8" s="1295"/>
      <c r="BB8" s="1295"/>
      <c r="BC8" s="1295"/>
      <c r="BD8" s="1295"/>
      <c r="BE8" s="1295"/>
      <c r="BF8" s="1295"/>
      <c r="BG8" s="1295"/>
      <c r="BH8" s="1295"/>
      <c r="BI8" s="1295"/>
      <c r="BJ8" s="1295"/>
      <c r="BK8" s="1295"/>
      <c r="BL8" s="1295"/>
      <c r="BM8" s="1295"/>
      <c r="BN8" s="1295"/>
      <c r="BO8" s="1295"/>
      <c r="BP8" s="1295"/>
      <c r="BQ8" s="1295"/>
      <c r="BR8" s="1295"/>
      <c r="BS8" s="1295"/>
      <c r="BT8" s="1295"/>
      <c r="BU8" s="1295"/>
      <c r="BV8" s="1295"/>
      <c r="BW8" s="1295"/>
      <c r="BX8" s="1295"/>
      <c r="BY8" s="1294"/>
      <c r="BZ8" s="1294"/>
      <c r="CA8" s="1294"/>
      <c r="CB8" s="1294"/>
      <c r="CC8" s="1294"/>
      <c r="CD8" s="1294"/>
      <c r="CE8" s="1294"/>
      <c r="CF8" s="1294"/>
      <c r="CG8" s="1294"/>
      <c r="CH8" s="1294"/>
      <c r="CI8" s="1294"/>
      <c r="CJ8" s="1294"/>
      <c r="CK8" s="1294"/>
      <c r="CL8" s="1294"/>
      <c r="CM8" s="1294"/>
      <c r="CN8" s="1294"/>
      <c r="CO8" s="1294"/>
      <c r="CP8" s="1294"/>
    </row>
    <row r="9" spans="1:96" s="1292" customFormat="1" ht="45" customHeight="1">
      <c r="H9" s="1293"/>
      <c r="I9" s="1293"/>
      <c r="J9" s="1293"/>
      <c r="K9" s="1293"/>
      <c r="L9" s="1293"/>
      <c r="M9" s="1293"/>
      <c r="N9" s="1293"/>
      <c r="O9" s="1293"/>
      <c r="P9" s="1293"/>
      <c r="Q9" s="1559" t="s">
        <v>1130</v>
      </c>
      <c r="R9" s="1559"/>
      <c r="S9" s="1559"/>
      <c r="T9" s="1559"/>
      <c r="U9" s="1559"/>
      <c r="V9" s="1559"/>
      <c r="W9" s="1559"/>
      <c r="X9" s="1559"/>
      <c r="Y9" s="1559"/>
      <c r="Z9" s="1559"/>
      <c r="AA9" s="1559"/>
      <c r="AB9" s="1559"/>
      <c r="AC9" s="1559"/>
      <c r="AD9" s="1559"/>
      <c r="AE9" s="1559"/>
      <c r="AF9" s="1559"/>
      <c r="AG9" s="1559"/>
      <c r="AH9" s="1559"/>
      <c r="AI9" s="1559"/>
      <c r="AJ9" s="1559"/>
      <c r="AK9" s="1559"/>
      <c r="AL9" s="1559"/>
      <c r="AM9" s="1559"/>
      <c r="AN9" s="1559"/>
      <c r="AO9" s="1559"/>
      <c r="AP9" s="1559"/>
      <c r="AQ9" s="1559"/>
      <c r="AR9" s="1559"/>
      <c r="AS9" s="1559"/>
      <c r="AT9" s="1559"/>
      <c r="AU9" s="1559"/>
      <c r="AV9" s="1559"/>
      <c r="AW9" s="1559"/>
      <c r="AX9" s="1559"/>
      <c r="AY9" s="1559"/>
      <c r="AZ9" s="1559"/>
      <c r="BA9" s="1559"/>
      <c r="BB9" s="1559"/>
      <c r="BC9" s="1559"/>
      <c r="BD9" s="1559"/>
      <c r="BE9" s="1559"/>
      <c r="BF9" s="1559"/>
      <c r="BG9" s="1559"/>
      <c r="BH9" s="1559"/>
      <c r="BI9" s="1559"/>
      <c r="BJ9" s="1559"/>
      <c r="BK9" s="1559"/>
      <c r="BL9" s="1559"/>
      <c r="BM9" s="1559"/>
      <c r="BN9" s="1559"/>
      <c r="BO9" s="1559"/>
      <c r="BP9" s="1559"/>
      <c r="BQ9" s="1559"/>
      <c r="BR9" s="1559"/>
      <c r="BS9" s="1559"/>
      <c r="BT9" s="1559"/>
      <c r="BU9" s="1559"/>
      <c r="BV9" s="1559"/>
      <c r="BW9" s="1559"/>
      <c r="BX9" s="1559"/>
      <c r="BY9" s="1559"/>
      <c r="BZ9" s="1559"/>
      <c r="CA9" s="1559"/>
      <c r="CB9" s="1559"/>
      <c r="CC9" s="1559"/>
      <c r="CD9" s="1559"/>
      <c r="CE9" s="1559"/>
      <c r="CF9" s="1559"/>
      <c r="CG9" s="1559"/>
      <c r="CH9" s="1559"/>
      <c r="CI9" s="1559"/>
      <c r="CJ9" s="1559"/>
      <c r="CK9" s="1559"/>
      <c r="CL9" s="1559"/>
      <c r="CM9" s="1559"/>
      <c r="CN9" s="1559"/>
      <c r="CO9" s="1559"/>
      <c r="CP9" s="1559"/>
      <c r="CQ9" s="419"/>
      <c r="CR9" s="419"/>
    </row>
    <row r="10" spans="1:96">
      <c r="H10" s="1287"/>
      <c r="I10" s="1287"/>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287"/>
      <c r="AH10" s="1287"/>
      <c r="AI10" s="1287"/>
      <c r="AJ10" s="1287"/>
      <c r="AK10" s="1287"/>
      <c r="AL10" s="1287"/>
      <c r="AM10" s="1287"/>
      <c r="AN10" s="1287"/>
      <c r="AO10" s="1287"/>
      <c r="AP10" s="1287"/>
      <c r="AQ10" s="1287"/>
      <c r="AR10" s="1287"/>
      <c r="AS10" s="1287"/>
      <c r="AT10" s="1287"/>
      <c r="AU10" s="1287"/>
      <c r="AV10" s="1287"/>
      <c r="AW10" s="1287"/>
      <c r="AX10" s="1287"/>
      <c r="AY10" s="1287"/>
      <c r="AZ10" s="1287"/>
      <c r="BA10" s="1287"/>
      <c r="BB10" s="1287"/>
      <c r="BC10" s="1287"/>
      <c r="BD10" s="1287"/>
      <c r="BE10" s="1287"/>
      <c r="BF10" s="1287"/>
      <c r="BG10" s="1287"/>
      <c r="BH10" s="1287"/>
      <c r="BI10" s="1287"/>
      <c r="BJ10" s="1287"/>
      <c r="BK10" s="1287"/>
      <c r="BL10" s="1287"/>
      <c r="BM10" s="1287"/>
      <c r="BN10" s="1287"/>
      <c r="BO10" s="1287"/>
      <c r="BP10" s="1287"/>
      <c r="BQ10" s="1287"/>
      <c r="BR10" s="1287"/>
      <c r="BS10" s="1287"/>
      <c r="BT10" s="1287"/>
      <c r="BU10" s="1287"/>
      <c r="BV10" s="1287"/>
      <c r="BW10" s="1287"/>
      <c r="BX10" s="1287"/>
      <c r="BY10" s="1287"/>
      <c r="BZ10" s="1287"/>
      <c r="CA10" s="1287"/>
      <c r="CB10" s="1287"/>
      <c r="CC10" s="1287"/>
      <c r="CD10" s="1287"/>
      <c r="CE10" s="1287"/>
      <c r="CF10" s="1287"/>
      <c r="CG10" s="1287"/>
      <c r="CH10" s="1287"/>
      <c r="CI10" s="1287"/>
      <c r="CJ10" s="1287"/>
      <c r="CK10" s="1287"/>
      <c r="CL10" s="1287"/>
      <c r="CM10" s="1287"/>
      <c r="CN10" s="1287"/>
      <c r="CO10" s="1287"/>
      <c r="CP10" s="1287"/>
    </row>
    <row r="11" spans="1:96" ht="12" customHeight="1">
      <c r="H11" s="1290"/>
      <c r="I11" s="1290"/>
      <c r="J11" s="1290"/>
      <c r="K11" s="1290"/>
      <c r="L11" s="1290"/>
      <c r="M11" s="1290"/>
      <c r="N11" s="1290"/>
      <c r="O11" s="1290"/>
      <c r="P11" s="1290"/>
      <c r="Q11" s="1291"/>
      <c r="R11" s="1291"/>
      <c r="S11" s="1291"/>
      <c r="T11" s="1291"/>
      <c r="U11" s="1291"/>
      <c r="V11" s="1291"/>
      <c r="W11" s="1291"/>
      <c r="X11" s="1291"/>
      <c r="Y11" s="1291"/>
      <c r="Z11" s="1291"/>
      <c r="AA11" s="1291"/>
      <c r="AB11" s="1291"/>
      <c r="AC11" s="1291"/>
      <c r="AD11" s="1291"/>
      <c r="AE11" s="1291"/>
      <c r="AF11" s="1291"/>
      <c r="AG11" s="1291"/>
      <c r="AH11" s="1291"/>
      <c r="AI11" s="1291"/>
      <c r="AJ11" s="1291"/>
      <c r="AK11" s="1291"/>
      <c r="AL11" s="1291"/>
      <c r="AM11" s="1291"/>
      <c r="AN11" s="1291"/>
      <c r="AO11" s="1291"/>
      <c r="AP11" s="1291"/>
      <c r="AQ11" s="1291"/>
      <c r="AR11" s="1291"/>
      <c r="AS11" s="1291"/>
      <c r="AT11" s="1291"/>
      <c r="AU11" s="1291"/>
      <c r="AV11" s="1291"/>
      <c r="AW11" s="1291"/>
      <c r="AX11" s="1291"/>
      <c r="AY11" s="1291"/>
      <c r="AZ11" s="1291"/>
      <c r="BA11" s="1291"/>
      <c r="BB11" s="1291"/>
      <c r="BC11" s="1291"/>
      <c r="BD11" s="1291"/>
      <c r="BE11" s="1291"/>
      <c r="BF11" s="1291"/>
      <c r="BG11" s="1291"/>
      <c r="BH11" s="1291"/>
      <c r="BI11" s="1291"/>
      <c r="BJ11" s="1291"/>
      <c r="BK11" s="1291"/>
      <c r="BL11" s="1291"/>
      <c r="BM11" s="1291"/>
      <c r="BN11" s="1291"/>
      <c r="BO11" s="1291"/>
      <c r="BP11" s="1291"/>
      <c r="BQ11" s="1291"/>
      <c r="BR11" s="1291"/>
      <c r="BS11" s="1291"/>
      <c r="BT11" s="1291"/>
      <c r="BU11" s="1291"/>
      <c r="BV11" s="1291"/>
      <c r="BW11" s="1291"/>
      <c r="BX11" s="1291"/>
      <c r="BY11" s="1291"/>
      <c r="BZ11" s="1291"/>
      <c r="CA11" s="1291"/>
      <c r="CB11" s="1291"/>
      <c r="CC11" s="1291"/>
      <c r="CD11" s="1291"/>
      <c r="CE11" s="1291"/>
      <c r="CF11" s="1291"/>
      <c r="CG11" s="1291"/>
      <c r="CH11" s="1291"/>
      <c r="CI11" s="1291"/>
      <c r="CJ11" s="1291"/>
      <c r="CK11" s="1291"/>
      <c r="CL11" s="1291"/>
      <c r="CM11" s="1291"/>
      <c r="CN11" s="1291"/>
      <c r="CO11" s="1291"/>
      <c r="CP11" s="1291"/>
    </row>
    <row r="12" spans="1:96" ht="30">
      <c r="H12" s="1290"/>
      <c r="I12" s="1290"/>
      <c r="J12" s="1290"/>
      <c r="K12" s="1290"/>
      <c r="L12" s="1290"/>
      <c r="M12" s="1290"/>
      <c r="N12" s="1290"/>
      <c r="O12" s="1290"/>
      <c r="P12" s="1290"/>
      <c r="Q12" s="1288"/>
      <c r="R12" s="1288"/>
      <c r="S12" s="1288"/>
      <c r="T12" s="1288"/>
      <c r="U12" s="1288"/>
      <c r="V12" s="1247" t="s">
        <v>405</v>
      </c>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T12" s="1247"/>
      <c r="AU12" s="1247"/>
      <c r="AV12" s="1247"/>
      <c r="AW12" s="1247"/>
      <c r="AX12" s="1247"/>
      <c r="AY12" s="1247"/>
      <c r="AZ12" s="1247"/>
      <c r="BA12" s="1247"/>
      <c r="BB12" s="1247"/>
      <c r="BC12" s="1247"/>
      <c r="BD12" s="1247"/>
      <c r="BE12" s="1247"/>
      <c r="BF12" s="1247"/>
      <c r="BG12" s="1247"/>
      <c r="BH12" s="1247"/>
      <c r="BI12" s="1247"/>
      <c r="BJ12" s="1247"/>
      <c r="BK12" s="1247"/>
      <c r="BL12" s="1247"/>
      <c r="BM12" s="1247"/>
      <c r="BN12" s="1247"/>
      <c r="BO12" s="1247"/>
      <c r="BP12" s="1247"/>
      <c r="BQ12" s="1247"/>
      <c r="BR12" s="1247"/>
      <c r="BS12" s="1247"/>
      <c r="BT12" s="1247"/>
      <c r="BU12" s="1247"/>
      <c r="BV12" s="1247"/>
      <c r="BW12" s="1247"/>
      <c r="BX12" s="1247"/>
      <c r="BY12" s="1247"/>
      <c r="BZ12" s="1247"/>
      <c r="CA12" s="1247"/>
      <c r="CB12" s="1247"/>
      <c r="CC12" s="1247"/>
      <c r="CD12" s="1247"/>
      <c r="CE12" s="1247"/>
      <c r="CF12" s="1247"/>
      <c r="CG12" s="1247"/>
      <c r="CH12" s="1247"/>
      <c r="CI12" s="1247"/>
      <c r="CJ12" s="1289"/>
      <c r="CK12" s="1289"/>
      <c r="CL12" s="1289"/>
      <c r="CM12" s="1288"/>
      <c r="CN12" s="1288"/>
      <c r="CO12" s="1288"/>
      <c r="CP12" s="1288"/>
    </row>
    <row r="13" spans="1:96">
      <c r="H13" s="1287"/>
      <c r="I13" s="1287"/>
      <c r="J13" s="1287"/>
      <c r="K13" s="1287"/>
      <c r="L13" s="1287"/>
      <c r="M13" s="1287"/>
      <c r="N13" s="1287"/>
      <c r="O13" s="1287"/>
      <c r="P13" s="1287"/>
      <c r="Q13" s="1285"/>
      <c r="R13" s="1285"/>
      <c r="S13" s="1285"/>
      <c r="T13" s="1285"/>
      <c r="U13" s="1286"/>
      <c r="V13" s="1286"/>
      <c r="W13" s="1286"/>
      <c r="X13" s="1286"/>
      <c r="Y13" s="1286"/>
      <c r="Z13" s="1286"/>
      <c r="AA13" s="1286"/>
      <c r="AB13" s="1286"/>
      <c r="AC13" s="1286"/>
      <c r="AD13" s="1286"/>
      <c r="AE13" s="1286"/>
      <c r="AF13" s="1286"/>
      <c r="AG13" s="1286"/>
      <c r="AH13" s="1286"/>
      <c r="AI13" s="1286"/>
      <c r="AJ13" s="1286"/>
      <c r="AK13" s="1285"/>
      <c r="AL13" s="1285"/>
      <c r="AM13" s="1285"/>
      <c r="AN13" s="1285"/>
      <c r="AO13" s="1285"/>
      <c r="AP13" s="1285"/>
      <c r="AQ13" s="1285"/>
      <c r="AR13" s="1285"/>
      <c r="AS13" s="1285"/>
      <c r="AT13" s="1285"/>
      <c r="AU13" s="1285"/>
      <c r="AV13" s="1285"/>
      <c r="AW13" s="1285"/>
      <c r="AX13" s="1285"/>
      <c r="AY13" s="1285"/>
      <c r="AZ13" s="1285"/>
      <c r="BA13" s="1285"/>
      <c r="BB13" s="1285"/>
      <c r="BC13" s="1285"/>
      <c r="BD13" s="1285"/>
      <c r="BE13" s="1285"/>
      <c r="BF13" s="1285"/>
      <c r="BG13" s="1285"/>
      <c r="BH13" s="1285"/>
      <c r="BI13" s="1285"/>
      <c r="BJ13" s="1285"/>
      <c r="BK13" s="1285"/>
      <c r="BL13" s="1285"/>
      <c r="BM13" s="1285"/>
      <c r="BN13" s="1285"/>
      <c r="BO13" s="1285"/>
      <c r="BP13" s="1285"/>
      <c r="BQ13" s="1285"/>
      <c r="BR13" s="1285"/>
      <c r="BS13" s="1285"/>
      <c r="BT13" s="1285"/>
      <c r="BU13" s="1285"/>
      <c r="BV13" s="1285"/>
      <c r="BW13" s="1285"/>
      <c r="BX13" s="1285"/>
      <c r="BY13" s="1285"/>
      <c r="BZ13" s="1285"/>
      <c r="CA13" s="1285"/>
      <c r="CB13" s="1285"/>
      <c r="CC13" s="1285"/>
      <c r="CD13" s="1285"/>
      <c r="CE13" s="1285"/>
      <c r="CF13" s="1285"/>
      <c r="CG13" s="1285"/>
      <c r="CH13" s="1285"/>
      <c r="CI13" s="1285"/>
      <c r="CJ13" s="1285"/>
      <c r="CK13" s="1285"/>
      <c r="CL13" s="1285"/>
      <c r="CM13" s="1285"/>
      <c r="CN13" s="1285"/>
      <c r="CO13" s="1285"/>
      <c r="CP13" s="1285"/>
    </row>
    <row r="14" spans="1:96" ht="18">
      <c r="H14" s="1238"/>
      <c r="I14" s="1238"/>
      <c r="J14" s="1238"/>
      <c r="K14" s="1238"/>
      <c r="L14" s="1238"/>
      <c r="M14" s="1238"/>
      <c r="N14" s="1238"/>
      <c r="O14" s="1238"/>
      <c r="P14" s="1238"/>
      <c r="Q14" s="1236"/>
      <c r="R14" s="1236"/>
      <c r="S14" s="1236"/>
      <c r="T14" s="1236"/>
      <c r="U14" s="1235"/>
      <c r="V14" s="1269" t="s">
        <v>1129</v>
      </c>
      <c r="W14" s="1269"/>
      <c r="X14" s="1269"/>
      <c r="Y14" s="1269"/>
      <c r="Z14" s="1269"/>
      <c r="AA14" s="1269"/>
      <c r="AB14" s="1269"/>
      <c r="AC14" s="1269"/>
      <c r="AD14" s="1269"/>
      <c r="AE14" s="1269"/>
      <c r="AF14" s="1269"/>
      <c r="AG14" s="1269"/>
      <c r="AH14" s="1269"/>
      <c r="AI14" s="1269"/>
      <c r="AJ14" s="1269"/>
      <c r="AK14" s="1269"/>
      <c r="AL14" s="1269"/>
      <c r="AM14" s="1269"/>
      <c r="AN14" s="1269"/>
      <c r="AO14" s="1269"/>
      <c r="AP14" s="1269"/>
      <c r="AQ14" s="1269"/>
      <c r="AR14" s="1269"/>
      <c r="AS14" s="1269"/>
      <c r="AT14" s="1269"/>
      <c r="AU14" s="1269"/>
      <c r="AV14" s="1269"/>
      <c r="AW14" s="1269"/>
      <c r="AX14" s="1269"/>
      <c r="AY14" s="1269"/>
      <c r="AZ14" s="1269"/>
      <c r="BA14" s="1269"/>
      <c r="BB14" s="1269"/>
      <c r="BC14" s="1269"/>
      <c r="BD14" s="1269"/>
      <c r="BE14" s="1269"/>
      <c r="BF14" s="1269"/>
      <c r="BG14" s="1269"/>
      <c r="BH14" s="1236"/>
      <c r="BI14" s="1236"/>
      <c r="BJ14" s="1236"/>
      <c r="BK14" s="1236"/>
      <c r="BL14" s="1236"/>
      <c r="BM14" s="1236"/>
      <c r="BN14" s="1236"/>
      <c r="BO14" s="1236"/>
      <c r="BP14" s="1236"/>
      <c r="BQ14" s="1236"/>
      <c r="BR14" s="1236"/>
      <c r="BS14" s="1236"/>
      <c r="BT14" s="1236"/>
      <c r="BU14" s="1236"/>
      <c r="BV14" s="1236"/>
      <c r="BW14" s="1236"/>
      <c r="BX14" s="1236"/>
      <c r="BY14" s="1236"/>
      <c r="BZ14" s="1236"/>
      <c r="CA14" s="1236"/>
      <c r="CB14" s="1236"/>
      <c r="CC14" s="1236"/>
      <c r="CD14" s="1236"/>
      <c r="CE14" s="1236"/>
      <c r="CF14" s="1236"/>
      <c r="CG14" s="1236"/>
      <c r="CH14" s="1236"/>
      <c r="CI14" s="1236"/>
      <c r="CJ14" s="1236"/>
      <c r="CK14" s="1236"/>
      <c r="CL14" s="1236"/>
      <c r="CM14" s="1236"/>
      <c r="CN14" s="1236"/>
      <c r="CO14" s="1236"/>
      <c r="CP14" s="1236"/>
    </row>
    <row r="15" spans="1:96">
      <c r="H15" s="1238"/>
      <c r="I15" s="1238"/>
      <c r="J15" s="1238"/>
      <c r="K15" s="1238"/>
      <c r="L15" s="1238"/>
      <c r="M15" s="1238"/>
      <c r="N15" s="1238"/>
      <c r="O15" s="1238"/>
      <c r="P15" s="1238"/>
      <c r="Q15" s="1236"/>
      <c r="R15" s="1236"/>
      <c r="S15" s="1236"/>
      <c r="T15" s="1236"/>
      <c r="U15" s="1235"/>
      <c r="V15" s="1235"/>
      <c r="W15" s="1235"/>
      <c r="X15" s="1235"/>
      <c r="Y15" s="1235"/>
      <c r="Z15" s="1235"/>
      <c r="AA15" s="1235"/>
      <c r="AB15" s="1235"/>
      <c r="AC15" s="1235"/>
      <c r="AD15" s="1235"/>
      <c r="AE15" s="1235"/>
      <c r="AF15" s="1235"/>
      <c r="AG15" s="1235"/>
      <c r="AH15" s="1235"/>
      <c r="AI15" s="1235"/>
      <c r="AJ15" s="1235"/>
      <c r="AK15" s="1236"/>
      <c r="AL15" s="1236"/>
      <c r="AM15" s="1236"/>
      <c r="AN15" s="1236"/>
      <c r="AO15" s="1236"/>
      <c r="AP15" s="1236"/>
      <c r="AQ15" s="1236"/>
      <c r="AR15" s="1236"/>
      <c r="AS15" s="1236"/>
      <c r="AT15" s="1236"/>
      <c r="AU15" s="1236"/>
      <c r="AV15" s="1236"/>
      <c r="AW15" s="1236"/>
      <c r="AX15" s="1236"/>
      <c r="AY15" s="1236"/>
      <c r="AZ15" s="1236"/>
      <c r="BA15" s="1236"/>
      <c r="BB15" s="1236"/>
      <c r="BC15" s="1236"/>
      <c r="BD15" s="1236"/>
      <c r="BE15" s="1236"/>
      <c r="BF15" s="1236"/>
      <c r="BG15" s="1236"/>
      <c r="BH15" s="1236"/>
      <c r="BI15" s="1236"/>
      <c r="BJ15" s="1236"/>
      <c r="BK15" s="1236"/>
      <c r="BL15" s="1236"/>
      <c r="BM15" s="1236"/>
      <c r="BN15" s="1236"/>
      <c r="BO15" s="1236"/>
      <c r="BP15" s="1236"/>
      <c r="BQ15" s="1236"/>
      <c r="BR15" s="1236"/>
      <c r="BS15" s="1236"/>
      <c r="BT15" s="1236"/>
      <c r="BU15" s="1236"/>
      <c r="BV15" s="1236"/>
      <c r="BW15" s="1236"/>
      <c r="BX15" s="1236"/>
      <c r="BY15" s="1236"/>
      <c r="BZ15" s="1236"/>
      <c r="CA15" s="1236"/>
      <c r="CB15" s="1236"/>
      <c r="CC15" s="1236"/>
      <c r="CD15" s="1236"/>
      <c r="CE15" s="1236"/>
      <c r="CF15" s="1236"/>
      <c r="CG15" s="1236"/>
      <c r="CH15" s="1236"/>
      <c r="CI15" s="1236"/>
      <c r="CJ15" s="1236"/>
      <c r="CK15" s="1236"/>
      <c r="CL15" s="1236"/>
      <c r="CM15" s="1236"/>
      <c r="CN15" s="1236"/>
      <c r="CO15" s="1236"/>
      <c r="CP15" s="1236"/>
    </row>
    <row r="16" spans="1:96" s="420" customFormat="1" ht="27.75" customHeight="1">
      <c r="A16" s="419"/>
      <c r="H16" s="1284"/>
      <c r="I16" s="1284"/>
      <c r="J16" s="1284"/>
      <c r="K16" s="1284"/>
      <c r="L16" s="1284"/>
      <c r="M16" s="1284"/>
      <c r="N16" s="1284"/>
      <c r="O16" s="1284"/>
      <c r="P16" s="1284"/>
      <c r="Q16" s="1282"/>
      <c r="R16" s="1282"/>
      <c r="S16" s="1282"/>
      <c r="T16" s="1282"/>
      <c r="U16" s="1283"/>
      <c r="V16" s="1560" t="s">
        <v>406</v>
      </c>
      <c r="W16" s="1560"/>
      <c r="X16" s="1560"/>
      <c r="Y16" s="1560"/>
      <c r="Z16" s="1560"/>
      <c r="AA16" s="1560"/>
      <c r="AB16" s="1560"/>
      <c r="AC16" s="1560"/>
      <c r="AD16" s="1560"/>
      <c r="AE16" s="1560"/>
      <c r="AF16" s="1560"/>
      <c r="AG16" s="1560"/>
      <c r="AH16" s="1560"/>
      <c r="AI16" s="1560"/>
      <c r="AJ16" s="1560"/>
      <c r="AK16" s="1282"/>
      <c r="AL16" s="1561" t="str">
        <f>'DMS input'!C14</f>
        <v>Australian Distribution Co.</v>
      </c>
      <c r="AM16" s="1561"/>
      <c r="AN16" s="1561"/>
      <c r="AO16" s="1561"/>
      <c r="AP16" s="1561"/>
      <c r="AQ16" s="1561"/>
      <c r="AR16" s="1561"/>
      <c r="AS16" s="1561"/>
      <c r="AT16" s="1561"/>
      <c r="AU16" s="1561"/>
      <c r="AV16" s="1561"/>
      <c r="AW16" s="1561"/>
      <c r="AX16" s="1561"/>
      <c r="AY16" s="1561"/>
      <c r="AZ16" s="1561"/>
      <c r="BA16" s="1561"/>
      <c r="BB16" s="1561"/>
      <c r="BC16" s="1561"/>
      <c r="BD16" s="1561"/>
      <c r="BE16" s="1561"/>
      <c r="BF16" s="1561"/>
      <c r="BG16" s="1561"/>
      <c r="BH16" s="1282"/>
      <c r="BI16" s="1282"/>
      <c r="BJ16" s="1282"/>
      <c r="BK16" s="1282"/>
      <c r="BL16" s="1282"/>
      <c r="BM16" s="1282"/>
      <c r="BN16" s="1282"/>
      <c r="BO16" s="1282"/>
      <c r="BP16" s="1282"/>
      <c r="BQ16" s="1282"/>
      <c r="BR16" s="1282"/>
      <c r="BS16" s="1282"/>
      <c r="BT16" s="1282"/>
      <c r="BU16" s="1282"/>
      <c r="BV16" s="1282"/>
      <c r="BW16" s="1282"/>
      <c r="BX16" s="1282"/>
      <c r="BY16" s="1282"/>
      <c r="BZ16" s="1282"/>
      <c r="CA16" s="1282"/>
      <c r="CB16" s="1282"/>
      <c r="CC16" s="1282"/>
      <c r="CD16" s="1282"/>
      <c r="CE16" s="1282"/>
      <c r="CF16" s="1282"/>
      <c r="CG16" s="1282"/>
      <c r="CH16" s="1282"/>
      <c r="CI16" s="1282"/>
      <c r="CJ16" s="1282"/>
      <c r="CK16" s="1282"/>
      <c r="CL16" s="1282"/>
      <c r="CM16" s="1282"/>
      <c r="CN16" s="1282"/>
      <c r="CO16" s="1282"/>
      <c r="CP16" s="1282"/>
      <c r="CQ16" s="419"/>
      <c r="CR16" s="419"/>
    </row>
    <row r="17" spans="1:99" s="1278" customFormat="1" ht="25.5" customHeight="1">
      <c r="A17" s="419"/>
      <c r="H17" s="1281"/>
      <c r="I17" s="1281"/>
      <c r="J17" s="1281"/>
      <c r="K17" s="1281"/>
      <c r="L17" s="1281"/>
      <c r="M17" s="1281"/>
      <c r="N17" s="1281"/>
      <c r="O17" s="1281"/>
      <c r="P17" s="1281"/>
      <c r="Q17" s="1279"/>
      <c r="R17" s="1279"/>
      <c r="S17" s="1279"/>
      <c r="T17" s="1279"/>
      <c r="U17" s="1280"/>
      <c r="V17" s="1553" t="s">
        <v>1128</v>
      </c>
      <c r="W17" s="1554"/>
      <c r="X17" s="1554"/>
      <c r="Y17" s="1554"/>
      <c r="Z17" s="1554"/>
      <c r="AA17" s="1554"/>
      <c r="AB17" s="1554"/>
      <c r="AC17" s="1554"/>
      <c r="AD17" s="1554"/>
      <c r="AE17" s="1554"/>
      <c r="AF17" s="1554"/>
      <c r="AG17" s="1554"/>
      <c r="AH17" s="1554"/>
      <c r="AI17" s="1554"/>
      <c r="AJ17" s="1554"/>
      <c r="AK17" s="1279"/>
      <c r="AL17" s="1555">
        <f>INDEX(dms_ABN_List,MATCH(dms_TradingName,dms_TradingName_List))</f>
        <v>11222333444</v>
      </c>
      <c r="AM17" s="1555"/>
      <c r="AN17" s="1555"/>
      <c r="AO17" s="1555"/>
      <c r="AP17" s="1555"/>
      <c r="AQ17" s="1555"/>
      <c r="AR17" s="1555"/>
      <c r="AS17" s="1555"/>
      <c r="AT17" s="1555"/>
      <c r="AU17" s="1555"/>
      <c r="AV17" s="1555"/>
      <c r="AW17" s="1555"/>
      <c r="AX17" s="1279"/>
      <c r="AY17" s="1279"/>
      <c r="AZ17" s="1279"/>
      <c r="BA17" s="1279"/>
      <c r="BB17" s="1279"/>
      <c r="BC17" s="1279"/>
      <c r="BD17" s="1279"/>
      <c r="BE17" s="1279"/>
      <c r="BF17" s="1279"/>
      <c r="BG17" s="1279"/>
      <c r="BH17" s="1279"/>
      <c r="BI17" s="1279"/>
      <c r="BJ17" s="1279"/>
      <c r="BK17" s="1279"/>
      <c r="BL17" s="1279"/>
      <c r="BM17" s="1279"/>
      <c r="BN17" s="1279"/>
      <c r="BO17" s="1279"/>
      <c r="BP17" s="1279"/>
      <c r="BQ17" s="1279"/>
      <c r="BR17" s="1279"/>
      <c r="BS17" s="1279"/>
      <c r="BT17" s="1279"/>
      <c r="BU17" s="1279"/>
      <c r="BV17" s="1279"/>
      <c r="BW17" s="1279"/>
      <c r="BX17" s="1279"/>
      <c r="BY17" s="1279"/>
      <c r="BZ17" s="1279"/>
      <c r="CA17" s="1279"/>
      <c r="CB17" s="1279"/>
      <c r="CC17" s="1279"/>
      <c r="CD17" s="1279"/>
      <c r="CE17" s="1279"/>
      <c r="CF17" s="1279"/>
      <c r="CG17" s="1279"/>
      <c r="CH17" s="1279"/>
      <c r="CI17" s="1279"/>
      <c r="CJ17" s="1279"/>
      <c r="CK17" s="1279"/>
      <c r="CL17" s="1279"/>
      <c r="CM17" s="1279"/>
      <c r="CN17" s="1279"/>
      <c r="CO17" s="1279"/>
      <c r="CP17" s="1279"/>
      <c r="CQ17" s="419"/>
      <c r="CR17" s="419"/>
    </row>
    <row r="18" spans="1:99">
      <c r="H18" s="1238"/>
      <c r="I18" s="1238"/>
      <c r="J18" s="1238"/>
      <c r="K18" s="1238"/>
      <c r="L18" s="1238"/>
      <c r="M18" s="1238"/>
      <c r="N18" s="1238"/>
      <c r="O18" s="1238"/>
      <c r="P18" s="1238"/>
      <c r="Q18" s="1236"/>
      <c r="R18" s="1236"/>
      <c r="S18" s="1236"/>
      <c r="T18" s="1236"/>
      <c r="U18" s="1235"/>
      <c r="V18" s="1235"/>
      <c r="W18" s="1235"/>
      <c r="X18" s="1235"/>
      <c r="Y18" s="1235"/>
      <c r="Z18" s="1235"/>
      <c r="AA18" s="1235"/>
      <c r="AB18" s="1235"/>
      <c r="AC18" s="1235"/>
      <c r="AD18" s="1235"/>
      <c r="AE18" s="1235"/>
      <c r="AF18" s="1235"/>
      <c r="AG18" s="1235"/>
      <c r="AH18" s="1235"/>
      <c r="AI18" s="1235"/>
      <c r="AJ18" s="1235"/>
      <c r="AK18" s="1236"/>
      <c r="AL18" s="1236"/>
      <c r="AM18" s="1236"/>
      <c r="AN18" s="1236"/>
      <c r="AO18" s="1236"/>
      <c r="AP18" s="1236"/>
      <c r="AQ18" s="1236"/>
      <c r="AR18" s="1236"/>
      <c r="AS18" s="1236"/>
      <c r="AT18" s="1236"/>
      <c r="AU18" s="1236"/>
      <c r="AV18" s="1236"/>
      <c r="AW18" s="1236"/>
      <c r="AX18" s="1236"/>
      <c r="AY18" s="1236"/>
      <c r="AZ18" s="1236"/>
      <c r="BA18" s="1236"/>
      <c r="BB18" s="1236"/>
      <c r="BC18" s="1236"/>
      <c r="BD18" s="1236"/>
      <c r="BE18" s="1236"/>
      <c r="BF18" s="1236"/>
      <c r="BG18" s="1236"/>
      <c r="BH18" s="1236"/>
      <c r="BI18" s="1236"/>
      <c r="BJ18" s="1236"/>
      <c r="BK18" s="1236"/>
      <c r="BL18" s="1236"/>
      <c r="BM18" s="1236"/>
      <c r="BN18" s="1236"/>
      <c r="BO18" s="1236"/>
      <c r="BP18" s="1236"/>
      <c r="BQ18" s="1236"/>
      <c r="BR18" s="1236"/>
      <c r="BS18" s="1236"/>
      <c r="BT18" s="1236"/>
      <c r="BU18" s="1236"/>
      <c r="BV18" s="1236"/>
      <c r="BW18" s="1236"/>
      <c r="BX18" s="1236"/>
      <c r="BY18" s="1236"/>
      <c r="BZ18" s="1236"/>
      <c r="CA18" s="1236"/>
      <c r="CB18" s="1236"/>
      <c r="CC18" s="1236"/>
      <c r="CD18" s="1236"/>
      <c r="CE18" s="1236"/>
      <c r="CF18" s="1236"/>
      <c r="CG18" s="1236"/>
      <c r="CH18" s="1236"/>
      <c r="CI18" s="1236"/>
      <c r="CJ18" s="1236"/>
      <c r="CK18" s="1236"/>
      <c r="CL18" s="1236"/>
      <c r="CM18" s="1236"/>
      <c r="CN18" s="1236"/>
      <c r="CO18" s="1236"/>
      <c r="CP18" s="1236"/>
    </row>
    <row r="19" spans="1:99">
      <c r="H19" s="1238"/>
      <c r="I19" s="1238"/>
      <c r="J19" s="1238"/>
      <c r="K19" s="1238"/>
      <c r="L19" s="1238"/>
      <c r="M19" s="1238"/>
      <c r="N19" s="1238"/>
      <c r="O19" s="1238"/>
      <c r="P19" s="1238"/>
      <c r="Q19" s="1236"/>
      <c r="R19" s="1236"/>
      <c r="S19" s="1236"/>
      <c r="T19" s="1236"/>
      <c r="U19" s="1235"/>
      <c r="V19" s="1235"/>
      <c r="W19" s="1235"/>
      <c r="X19" s="1235"/>
      <c r="Y19" s="1235"/>
      <c r="Z19" s="1235"/>
      <c r="AA19" s="1235"/>
      <c r="AB19" s="1235"/>
      <c r="AC19" s="1277"/>
      <c r="AD19" s="1235"/>
      <c r="AE19" s="1235"/>
      <c r="AF19" s="1235"/>
      <c r="AG19" s="1235"/>
      <c r="AH19" s="1235"/>
      <c r="AI19" s="1235"/>
      <c r="AJ19" s="1235"/>
      <c r="AK19" s="1236"/>
      <c r="AL19" s="1236"/>
      <c r="AM19" s="1236"/>
      <c r="AN19" s="1236"/>
      <c r="AO19" s="1236"/>
      <c r="AP19" s="1236"/>
      <c r="AQ19" s="1236"/>
      <c r="AR19" s="1236"/>
      <c r="AS19" s="1236"/>
      <c r="AT19" s="1236"/>
      <c r="AU19" s="1236"/>
      <c r="AV19" s="1236"/>
      <c r="AW19" s="1236"/>
      <c r="AX19" s="1236"/>
      <c r="AY19" s="1236"/>
      <c r="AZ19" s="1236"/>
      <c r="BA19" s="1236"/>
      <c r="BB19" s="1236"/>
      <c r="BC19" s="1236"/>
      <c r="BD19" s="1236"/>
      <c r="BE19" s="1236"/>
      <c r="BF19" s="1236"/>
      <c r="BG19" s="1236"/>
      <c r="BH19" s="1236"/>
      <c r="BI19" s="1236"/>
      <c r="BJ19" s="1236"/>
      <c r="BK19" s="1236"/>
      <c r="BL19" s="1236"/>
      <c r="BM19" s="1236"/>
      <c r="BN19" s="1236"/>
      <c r="BO19" s="1236"/>
      <c r="BP19" s="1236"/>
      <c r="BQ19" s="1236"/>
      <c r="BR19" s="1236"/>
      <c r="BS19" s="1236"/>
      <c r="BT19" s="1236"/>
      <c r="BU19" s="1236"/>
      <c r="BV19" s="1236"/>
      <c r="BW19" s="1236"/>
      <c r="BX19" s="1236"/>
      <c r="BY19" s="1236"/>
      <c r="BZ19" s="1236"/>
      <c r="CA19" s="1236"/>
      <c r="CB19" s="1236"/>
      <c r="CC19" s="1236"/>
      <c r="CD19" s="1236"/>
      <c r="CE19" s="1236"/>
      <c r="CF19" s="1236"/>
      <c r="CG19" s="1236"/>
      <c r="CH19" s="1236"/>
      <c r="CI19" s="1236"/>
      <c r="CJ19" s="1236"/>
      <c r="CK19" s="1236"/>
      <c r="CL19" s="1236"/>
      <c r="CM19" s="1236"/>
      <c r="CN19" s="1236"/>
      <c r="CO19" s="1236"/>
      <c r="CP19" s="1236"/>
    </row>
    <row r="20" spans="1:99">
      <c r="H20" s="1238"/>
      <c r="I20" s="1238"/>
      <c r="J20" s="1238"/>
      <c r="K20" s="1238"/>
      <c r="L20" s="1238"/>
      <c r="M20" s="1238"/>
      <c r="N20" s="1238"/>
      <c r="O20" s="1238"/>
      <c r="P20" s="1238"/>
      <c r="Q20" s="1236"/>
      <c r="R20" s="1236"/>
      <c r="S20" s="1236"/>
      <c r="T20" s="1236"/>
      <c r="U20" s="1235"/>
      <c r="V20" s="1235"/>
      <c r="W20" s="1235"/>
      <c r="X20" s="1235"/>
      <c r="Y20" s="1235"/>
      <c r="Z20" s="1235"/>
      <c r="AA20" s="1235"/>
      <c r="AB20" s="1235"/>
      <c r="AC20" s="1235"/>
      <c r="AD20" s="1235"/>
      <c r="AE20" s="1235"/>
      <c r="AF20" s="1235"/>
      <c r="AG20" s="1235"/>
      <c r="AH20" s="1235"/>
      <c r="AI20" s="1235"/>
      <c r="AJ20" s="1235"/>
      <c r="AK20" s="1236"/>
      <c r="AL20" s="1236"/>
      <c r="AM20" s="1236"/>
      <c r="AN20" s="1236"/>
      <c r="AO20" s="1236"/>
      <c r="AP20" s="1236"/>
      <c r="AQ20" s="1236"/>
      <c r="AR20" s="1236"/>
      <c r="AS20" s="1236"/>
      <c r="AT20" s="1236"/>
      <c r="AU20" s="1236"/>
      <c r="AV20" s="1236"/>
      <c r="AW20" s="1236"/>
      <c r="AX20" s="1236"/>
      <c r="AY20" s="1236"/>
      <c r="AZ20" s="1236"/>
      <c r="BA20" s="1236"/>
      <c r="BB20" s="1236"/>
      <c r="BC20" s="1236"/>
      <c r="BD20" s="1236"/>
      <c r="BE20" s="1236"/>
      <c r="BF20" s="1236"/>
      <c r="BG20" s="1236"/>
      <c r="BH20" s="1236"/>
      <c r="BI20" s="1236"/>
      <c r="BJ20" s="1236"/>
      <c r="BK20" s="1236"/>
      <c r="BL20" s="1236"/>
      <c r="BM20" s="1236"/>
      <c r="BN20" s="1236"/>
      <c r="BO20" s="1236"/>
      <c r="BP20" s="1236"/>
      <c r="BQ20" s="1236"/>
      <c r="BR20" s="1236"/>
      <c r="BS20" s="1236"/>
      <c r="BT20" s="1236"/>
      <c r="BU20" s="1236"/>
      <c r="BV20" s="1236"/>
      <c r="BW20" s="1236"/>
      <c r="BX20" s="1236"/>
      <c r="BY20" s="1236"/>
      <c r="BZ20" s="1236"/>
      <c r="CA20" s="1236"/>
      <c r="CB20" s="1236"/>
      <c r="CC20" s="1236"/>
      <c r="CD20" s="1236"/>
      <c r="CE20" s="1236"/>
      <c r="CF20" s="1236"/>
      <c r="CG20" s="1236"/>
      <c r="CH20" s="1236"/>
      <c r="CI20" s="1236"/>
      <c r="CJ20" s="1236"/>
      <c r="CK20" s="1236"/>
      <c r="CL20" s="1236"/>
      <c r="CM20" s="1236"/>
      <c r="CN20" s="1236"/>
      <c r="CO20" s="1236"/>
      <c r="CP20" s="1236"/>
    </row>
    <row r="21" spans="1:99" ht="15" customHeight="1">
      <c r="H21" s="1238"/>
      <c r="I21" s="1238"/>
      <c r="J21" s="1238"/>
      <c r="K21" s="1238"/>
      <c r="L21" s="1238"/>
      <c r="M21" s="1238"/>
      <c r="N21" s="1238"/>
      <c r="O21" s="1238"/>
      <c r="P21" s="1238"/>
      <c r="Q21" s="1236"/>
      <c r="R21" s="1236"/>
      <c r="S21" s="1236"/>
      <c r="T21" s="1236"/>
      <c r="U21" s="1268"/>
      <c r="V21" s="1269" t="s">
        <v>1127</v>
      </c>
      <c r="W21" s="1269"/>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69"/>
      <c r="AS21" s="1269"/>
      <c r="AT21" s="1269"/>
      <c r="AU21" s="1269"/>
      <c r="AV21" s="1269"/>
      <c r="AW21" s="1269"/>
      <c r="AX21" s="1269"/>
      <c r="AY21" s="1269"/>
      <c r="AZ21" s="1269"/>
      <c r="BA21" s="1269"/>
      <c r="BB21" s="1269"/>
      <c r="BC21" s="1269"/>
      <c r="BD21" s="1269"/>
      <c r="BE21" s="1269"/>
      <c r="BF21" s="1269"/>
      <c r="BG21" s="1269"/>
      <c r="BH21" s="1236"/>
      <c r="BI21" s="1274"/>
      <c r="BJ21" s="1276"/>
      <c r="BK21" s="1276"/>
      <c r="BL21" s="1276"/>
      <c r="BM21" s="1276"/>
      <c r="BN21" s="1276"/>
      <c r="BO21" s="1276"/>
      <c r="BP21" s="1276"/>
      <c r="BQ21" s="1275" t="s">
        <v>1126</v>
      </c>
      <c r="BR21" s="1275"/>
      <c r="BS21" s="1275"/>
      <c r="BT21" s="1275"/>
      <c r="BU21" s="1275"/>
      <c r="BV21" s="1275"/>
      <c r="BW21" s="1275"/>
      <c r="BX21" s="1275"/>
      <c r="BY21" s="1275"/>
      <c r="BZ21" s="1275"/>
      <c r="CA21" s="1275"/>
      <c r="CB21" s="1275"/>
      <c r="CC21" s="1275"/>
      <c r="CD21" s="1275"/>
      <c r="CE21" s="1275"/>
      <c r="CF21" s="1275"/>
      <c r="CG21" s="1275"/>
      <c r="CH21" s="1275"/>
      <c r="CI21" s="1275"/>
      <c r="CJ21" s="1275"/>
      <c r="CK21" s="1275"/>
      <c r="CL21" s="1275"/>
      <c r="CM21" s="1275"/>
      <c r="CN21" s="1275"/>
      <c r="CO21" s="1275"/>
      <c r="CP21" s="1275"/>
    </row>
    <row r="22" spans="1:99">
      <c r="H22" s="1238"/>
      <c r="I22" s="1238"/>
      <c r="J22" s="1238"/>
      <c r="K22" s="1238"/>
      <c r="L22" s="1238"/>
      <c r="M22" s="1238"/>
      <c r="N22" s="1238"/>
      <c r="O22" s="1238"/>
      <c r="P22" s="1238"/>
      <c r="Q22" s="1236"/>
      <c r="R22" s="1236"/>
      <c r="S22" s="1236"/>
      <c r="T22" s="1236"/>
      <c r="U22" s="1235"/>
      <c r="V22" s="1235"/>
      <c r="W22" s="1235"/>
      <c r="X22" s="1235"/>
      <c r="Y22" s="1235"/>
      <c r="Z22" s="1235"/>
      <c r="AA22" s="1235"/>
      <c r="AB22" s="1235"/>
      <c r="AC22" s="1235"/>
      <c r="AD22" s="1235"/>
      <c r="AE22" s="1235"/>
      <c r="AF22" s="1235"/>
      <c r="AG22" s="1235"/>
      <c r="AH22" s="1235"/>
      <c r="AI22" s="1235"/>
      <c r="AJ22" s="1235"/>
      <c r="AK22" s="1274"/>
      <c r="AL22" s="1274"/>
      <c r="AM22" s="1273"/>
      <c r="AN22" s="1273"/>
      <c r="AO22" s="1273"/>
      <c r="AP22" s="1273"/>
      <c r="AQ22" s="1273"/>
      <c r="AR22" s="1273"/>
      <c r="AS22" s="1273"/>
      <c r="AT22" s="1273"/>
      <c r="AU22" s="1273"/>
      <c r="AV22" s="1273"/>
      <c r="AW22" s="1273"/>
      <c r="AX22" s="1273"/>
      <c r="AY22" s="1273"/>
      <c r="AZ22" s="1273"/>
      <c r="BA22" s="1273"/>
      <c r="BB22" s="1273"/>
      <c r="BC22" s="1273"/>
      <c r="BD22" s="1273"/>
      <c r="BE22" s="1273"/>
      <c r="BF22" s="1273"/>
      <c r="BG22" s="1273"/>
      <c r="BH22" s="1235"/>
      <c r="BI22" s="1235"/>
      <c r="BJ22" s="1235"/>
      <c r="BK22" s="1235"/>
      <c r="BL22" s="1235"/>
      <c r="BM22" s="1235"/>
      <c r="BN22" s="1235"/>
      <c r="BO22" s="1235"/>
      <c r="BP22" s="1235"/>
      <c r="BQ22" s="1274"/>
      <c r="BR22" s="1273"/>
      <c r="BS22" s="1273"/>
      <c r="BT22" s="1273"/>
      <c r="BU22" s="1273"/>
      <c r="BV22" s="1273"/>
      <c r="BW22" s="1273"/>
      <c r="BX22" s="1273"/>
      <c r="BY22" s="1273"/>
      <c r="BZ22" s="1273"/>
      <c r="CA22" s="1273"/>
      <c r="CB22" s="1273"/>
      <c r="CC22" s="1273"/>
      <c r="CD22" s="1273"/>
      <c r="CE22" s="1273"/>
      <c r="CF22" s="1273"/>
      <c r="CG22" s="1273"/>
      <c r="CH22" s="1273"/>
      <c r="CI22" s="1273"/>
      <c r="CJ22" s="1273"/>
      <c r="CK22" s="1273"/>
      <c r="CL22" s="1273"/>
      <c r="CM22" s="1236"/>
      <c r="CN22" s="1236"/>
      <c r="CO22" s="1236"/>
      <c r="CP22" s="1236"/>
    </row>
    <row r="23" spans="1:99">
      <c r="H23" s="1238"/>
      <c r="I23" s="1238"/>
      <c r="J23" s="1238"/>
      <c r="K23" s="1238"/>
      <c r="L23" s="1238"/>
      <c r="M23" s="1238"/>
      <c r="N23" s="1238"/>
      <c r="O23" s="1238"/>
      <c r="P23" s="1238"/>
      <c r="Q23" s="1236"/>
      <c r="R23" s="1236"/>
      <c r="S23" s="1236"/>
      <c r="T23" s="1236"/>
      <c r="U23" s="1235"/>
      <c r="V23" s="1543" t="s">
        <v>73</v>
      </c>
      <c r="W23" s="1543"/>
      <c r="X23" s="1543"/>
      <c r="Y23" s="1543"/>
      <c r="Z23" s="1543"/>
      <c r="AA23" s="1543"/>
      <c r="AB23" s="1543"/>
      <c r="AC23" s="1543"/>
      <c r="AD23" s="1543"/>
      <c r="AE23" s="1543"/>
      <c r="AF23" s="1543"/>
      <c r="AG23" s="1543"/>
      <c r="AH23" s="1543"/>
      <c r="AI23" s="1543"/>
      <c r="AJ23" s="1543"/>
      <c r="AK23" s="1236"/>
      <c r="AL23" s="1550" t="str">
        <f>INDEX(dms_Addr1_List,MATCH(dms_TradingName,dms_TradingName_List))</f>
        <v>123 Straight Street</v>
      </c>
      <c r="AM23" s="1551"/>
      <c r="AN23" s="1551"/>
      <c r="AO23" s="1551"/>
      <c r="AP23" s="1551"/>
      <c r="AQ23" s="1551"/>
      <c r="AR23" s="1551"/>
      <c r="AS23" s="1551"/>
      <c r="AT23" s="1551"/>
      <c r="AU23" s="1551"/>
      <c r="AV23" s="1551"/>
      <c r="AW23" s="1551"/>
      <c r="AX23" s="1551"/>
      <c r="AY23" s="1551"/>
      <c r="AZ23" s="1551"/>
      <c r="BA23" s="1551"/>
      <c r="BB23" s="1551"/>
      <c r="BC23" s="1551"/>
      <c r="BD23" s="1551"/>
      <c r="BE23" s="1551"/>
      <c r="BF23" s="1551"/>
      <c r="BG23" s="1552"/>
      <c r="BH23" s="1235"/>
      <c r="BI23" s="1543" t="s">
        <v>73</v>
      </c>
      <c r="BJ23" s="1543"/>
      <c r="BK23" s="1543"/>
      <c r="BL23" s="1543"/>
      <c r="BM23" s="1543"/>
      <c r="BN23" s="1543"/>
      <c r="BO23" s="1543"/>
      <c r="BP23" s="1267"/>
      <c r="BQ23" s="1550" t="str">
        <f>INDEX(dms_PAddr1_List,MATCH(dms_TradingName,dms_TradingName_List))</f>
        <v>PO Box 123</v>
      </c>
      <c r="BR23" s="1551"/>
      <c r="BS23" s="1551"/>
      <c r="BT23" s="1551"/>
      <c r="BU23" s="1551"/>
      <c r="BV23" s="1551"/>
      <c r="BW23" s="1551"/>
      <c r="BX23" s="1551"/>
      <c r="BY23" s="1551"/>
      <c r="BZ23" s="1551"/>
      <c r="CA23" s="1551"/>
      <c r="CB23" s="1551"/>
      <c r="CC23" s="1551"/>
      <c r="CD23" s="1551"/>
      <c r="CE23" s="1551"/>
      <c r="CF23" s="1551"/>
      <c r="CG23" s="1551"/>
      <c r="CH23" s="1551"/>
      <c r="CI23" s="1551"/>
      <c r="CJ23" s="1551"/>
      <c r="CK23" s="1551"/>
      <c r="CL23" s="1552"/>
      <c r="CM23" s="1236"/>
      <c r="CN23" s="1236"/>
      <c r="CO23" s="1236"/>
      <c r="CP23" s="1236"/>
    </row>
    <row r="24" spans="1:99">
      <c r="H24" s="1238"/>
      <c r="I24" s="1238"/>
      <c r="J24" s="1238"/>
      <c r="K24" s="1238"/>
      <c r="L24" s="1238"/>
      <c r="M24" s="1238"/>
      <c r="N24" s="1238"/>
      <c r="O24" s="1238"/>
      <c r="P24" s="1238"/>
      <c r="Q24" s="1236"/>
      <c r="R24" s="1236"/>
      <c r="S24" s="1236"/>
      <c r="T24" s="1236"/>
      <c r="U24" s="1235"/>
      <c r="V24" s="1543" t="s">
        <v>75</v>
      </c>
      <c r="W24" s="1543"/>
      <c r="X24" s="1543"/>
      <c r="Y24" s="1543"/>
      <c r="Z24" s="1543"/>
      <c r="AA24" s="1543"/>
      <c r="AB24" s="1543"/>
      <c r="AC24" s="1543"/>
      <c r="AD24" s="1543"/>
      <c r="AE24" s="1543"/>
      <c r="AF24" s="1543"/>
      <c r="AG24" s="1543"/>
      <c r="AH24" s="1543"/>
      <c r="AI24" s="1543"/>
      <c r="AJ24" s="1543"/>
      <c r="AK24" s="1236"/>
      <c r="AL24" s="1550" t="str">
        <f>IF(ISBLANK(INDEX(dms_Addr2_List,MATCH(dms_TradingName,dms_TradingName_List))),"",(INDEX(dms_Addr2_List,MATCH(dms_TradingName,dms_TradingName_List))))</f>
        <v/>
      </c>
      <c r="AM24" s="1551"/>
      <c r="AN24" s="1551"/>
      <c r="AO24" s="1551"/>
      <c r="AP24" s="1551"/>
      <c r="AQ24" s="1551"/>
      <c r="AR24" s="1551"/>
      <c r="AS24" s="1551"/>
      <c r="AT24" s="1551"/>
      <c r="AU24" s="1551"/>
      <c r="AV24" s="1551"/>
      <c r="AW24" s="1551"/>
      <c r="AX24" s="1551"/>
      <c r="AY24" s="1551"/>
      <c r="AZ24" s="1551"/>
      <c r="BA24" s="1551"/>
      <c r="BB24" s="1551"/>
      <c r="BC24" s="1551"/>
      <c r="BD24" s="1551"/>
      <c r="BE24" s="1551"/>
      <c r="BF24" s="1551"/>
      <c r="BG24" s="1552"/>
      <c r="BH24" s="1235"/>
      <c r="BI24" s="1543" t="s">
        <v>75</v>
      </c>
      <c r="BJ24" s="1543"/>
      <c r="BK24" s="1543"/>
      <c r="BL24" s="1543"/>
      <c r="BM24" s="1543"/>
      <c r="BN24" s="1543"/>
      <c r="BO24" s="1543"/>
      <c r="BP24" s="1267"/>
      <c r="BQ24" s="1550" t="str">
        <f>IF(ISBLANK(INDEX(dms_PAddr2_List,MATCH(dms_TradingName,dms_TradingName_List))),"",(INDEX(dms_PAddr2_List,MATCH(dms_TradingName,dms_TradingName_List))))</f>
        <v/>
      </c>
      <c r="BR24" s="1551"/>
      <c r="BS24" s="1551"/>
      <c r="BT24" s="1551"/>
      <c r="BU24" s="1551"/>
      <c r="BV24" s="1551"/>
      <c r="BW24" s="1551"/>
      <c r="BX24" s="1551"/>
      <c r="BY24" s="1551"/>
      <c r="BZ24" s="1551"/>
      <c r="CA24" s="1551"/>
      <c r="CB24" s="1551"/>
      <c r="CC24" s="1551"/>
      <c r="CD24" s="1551"/>
      <c r="CE24" s="1551"/>
      <c r="CF24" s="1551"/>
      <c r="CG24" s="1551"/>
      <c r="CH24" s="1551"/>
      <c r="CI24" s="1551"/>
      <c r="CJ24" s="1551"/>
      <c r="CK24" s="1551"/>
      <c r="CL24" s="1552"/>
      <c r="CM24" s="1236"/>
      <c r="CN24" s="1236"/>
      <c r="CO24" s="1236"/>
      <c r="CP24" s="1236"/>
    </row>
    <row r="25" spans="1:99">
      <c r="H25" s="1238"/>
      <c r="I25" s="1238"/>
      <c r="J25" s="1238"/>
      <c r="K25" s="1238"/>
      <c r="L25" s="1238"/>
      <c r="M25" s="1238"/>
      <c r="N25" s="1238"/>
      <c r="O25" s="1238"/>
      <c r="P25" s="1238"/>
      <c r="Q25" s="1236"/>
      <c r="R25" s="1236"/>
      <c r="S25" s="1236"/>
      <c r="T25" s="1236"/>
      <c r="U25" s="1235"/>
      <c r="V25" s="1543" t="s">
        <v>76</v>
      </c>
      <c r="W25" s="1543"/>
      <c r="X25" s="1543"/>
      <c r="Y25" s="1543"/>
      <c r="Z25" s="1543"/>
      <c r="AA25" s="1543"/>
      <c r="AB25" s="1543"/>
      <c r="AC25" s="1543"/>
      <c r="AD25" s="1543"/>
      <c r="AE25" s="1543"/>
      <c r="AF25" s="1543"/>
      <c r="AG25" s="1543"/>
      <c r="AH25" s="1543"/>
      <c r="AI25" s="1543"/>
      <c r="AJ25" s="1543"/>
      <c r="AK25" s="1236"/>
      <c r="AL25" s="1547" t="str">
        <f>INDEX(dms_Suburb_List,MATCH(dms_TradingName,dms_TradingName_List))</f>
        <v>SYDNEY</v>
      </c>
      <c r="AM25" s="1547"/>
      <c r="AN25" s="1547"/>
      <c r="AO25" s="1547"/>
      <c r="AP25" s="1547"/>
      <c r="AQ25" s="1547"/>
      <c r="AR25" s="1547"/>
      <c r="AS25" s="1547"/>
      <c r="AT25" s="1547"/>
      <c r="AU25" s="1547"/>
      <c r="AV25" s="1547"/>
      <c r="AW25" s="1547"/>
      <c r="AX25" s="1547"/>
      <c r="AY25" s="1547"/>
      <c r="AZ25" s="1547"/>
      <c r="BA25" s="1272"/>
      <c r="BB25" s="1272"/>
      <c r="BC25" s="1272"/>
      <c r="BD25" s="1272"/>
      <c r="BE25" s="1272"/>
      <c r="BF25" s="1272"/>
      <c r="BG25" s="1272"/>
      <c r="BH25" s="1235"/>
      <c r="BI25" s="1543" t="s">
        <v>76</v>
      </c>
      <c r="BJ25" s="1543"/>
      <c r="BK25" s="1543"/>
      <c r="BL25" s="1543"/>
      <c r="BM25" s="1543"/>
      <c r="BN25" s="1543"/>
      <c r="BO25" s="1543"/>
      <c r="BP25" s="1267"/>
      <c r="BQ25" s="1547" t="str">
        <f>INDEX(dms_PSuburb_List,MATCH(dms_TradingName,dms_TradingName_List))</f>
        <v>SYDNEY</v>
      </c>
      <c r="BR25" s="1547"/>
      <c r="BS25" s="1547"/>
      <c r="BT25" s="1547"/>
      <c r="BU25" s="1547"/>
      <c r="BV25" s="1547"/>
      <c r="BW25" s="1547"/>
      <c r="BX25" s="1547"/>
      <c r="BY25" s="1547"/>
      <c r="BZ25" s="1547"/>
      <c r="CA25" s="1547"/>
      <c r="CB25" s="1547"/>
      <c r="CC25" s="1547"/>
      <c r="CD25" s="1547"/>
      <c r="CE25" s="1547"/>
      <c r="CF25" s="1272"/>
      <c r="CG25" s="1272"/>
      <c r="CH25" s="1272"/>
      <c r="CI25" s="1272"/>
      <c r="CJ25" s="1272"/>
      <c r="CK25" s="1272"/>
      <c r="CL25" s="1272"/>
      <c r="CM25" s="1236"/>
      <c r="CN25" s="1236"/>
      <c r="CO25" s="1236"/>
      <c r="CP25" s="1236"/>
    </row>
    <row r="26" spans="1:99">
      <c r="H26" s="1238"/>
      <c r="I26" s="1238"/>
      <c r="J26" s="1238"/>
      <c r="K26" s="1238"/>
      <c r="L26" s="1238"/>
      <c r="M26" s="1238"/>
      <c r="N26" s="1238"/>
      <c r="O26" s="1238"/>
      <c r="P26" s="1238"/>
      <c r="Q26" s="1236"/>
      <c r="R26" s="1236"/>
      <c r="S26" s="1236"/>
      <c r="T26" s="1236"/>
      <c r="U26" s="1235"/>
      <c r="V26" s="1543" t="s">
        <v>77</v>
      </c>
      <c r="W26" s="1543"/>
      <c r="X26" s="1543"/>
      <c r="Y26" s="1543"/>
      <c r="Z26" s="1543"/>
      <c r="AA26" s="1543"/>
      <c r="AB26" s="1543"/>
      <c r="AC26" s="1543"/>
      <c r="AD26" s="1543"/>
      <c r="AE26" s="1543"/>
      <c r="AF26" s="1543"/>
      <c r="AG26" s="1543"/>
      <c r="AH26" s="1543"/>
      <c r="AI26" s="1543"/>
      <c r="AJ26" s="1543"/>
      <c r="AK26" s="1236"/>
      <c r="AL26" s="1548" t="str">
        <f>INDEX(dms_State_List,MATCH(dms_TradingName,dms_TradingName_List))</f>
        <v>NSW</v>
      </c>
      <c r="AM26" s="1548"/>
      <c r="AN26" s="1548"/>
      <c r="AO26" s="1548"/>
      <c r="AP26" s="1236"/>
      <c r="AQ26" s="1270"/>
      <c r="AR26" s="1236"/>
      <c r="AS26" s="1236"/>
      <c r="AT26" s="1236"/>
      <c r="AU26" s="1236"/>
      <c r="AV26" s="1270" t="s">
        <v>1125</v>
      </c>
      <c r="AW26" s="1270"/>
      <c r="AX26" s="1549"/>
      <c r="AY26" s="1549"/>
      <c r="AZ26" s="1549"/>
      <c r="BA26" s="1236"/>
      <c r="BB26" s="1236"/>
      <c r="BC26" s="1236"/>
      <c r="BD26" s="1236"/>
      <c r="BE26" s="1236"/>
      <c r="BF26" s="1236"/>
      <c r="BG26" s="1236"/>
      <c r="BH26" s="1235"/>
      <c r="BI26" s="1543" t="s">
        <v>77</v>
      </c>
      <c r="BJ26" s="1543"/>
      <c r="BK26" s="1543"/>
      <c r="BL26" s="1543"/>
      <c r="BM26" s="1543"/>
      <c r="BN26" s="1543"/>
      <c r="BO26" s="1543"/>
      <c r="BP26" s="1267"/>
      <c r="BQ26" s="1548" t="str">
        <f>INDEX(dms_PState_List,MATCH(dms_TradingName,dms_TradingName_List))</f>
        <v>NSW</v>
      </c>
      <c r="BR26" s="1548"/>
      <c r="BS26" s="1548"/>
      <c r="BT26" s="1548"/>
      <c r="BU26" s="1236"/>
      <c r="BV26" s="1236"/>
      <c r="BW26" s="1271"/>
      <c r="BX26" s="1236"/>
      <c r="BY26" s="1236"/>
      <c r="BZ26" s="1236"/>
      <c r="CA26" s="1270" t="s">
        <v>1125</v>
      </c>
      <c r="CB26" s="1236"/>
      <c r="CC26" s="1549"/>
      <c r="CD26" s="1549"/>
      <c r="CE26" s="1549"/>
      <c r="CF26" s="1236"/>
      <c r="CG26" s="1236"/>
      <c r="CH26" s="1236"/>
      <c r="CI26" s="1236"/>
      <c r="CJ26" s="1236"/>
      <c r="CK26" s="1236"/>
      <c r="CL26" s="1236"/>
      <c r="CM26" s="1236"/>
      <c r="CN26" s="1236"/>
      <c r="CO26" s="1236"/>
      <c r="CP26" s="1236"/>
    </row>
    <row r="27" spans="1:99">
      <c r="H27" s="1238"/>
      <c r="I27" s="1238"/>
      <c r="J27" s="1238"/>
      <c r="K27" s="1238"/>
      <c r="L27" s="1238"/>
      <c r="M27" s="1238"/>
      <c r="N27" s="1238"/>
      <c r="O27" s="1238"/>
      <c r="P27" s="1238"/>
      <c r="Q27" s="1236"/>
      <c r="R27" s="1236"/>
      <c r="S27" s="1236"/>
      <c r="T27" s="1236"/>
      <c r="U27" s="1235"/>
      <c r="V27" s="1235"/>
      <c r="W27" s="1235"/>
      <c r="X27" s="1235"/>
      <c r="Y27" s="1235"/>
      <c r="Z27" s="1235"/>
      <c r="AA27" s="1235"/>
      <c r="AB27" s="1235"/>
      <c r="AC27" s="1235"/>
      <c r="AD27" s="1235"/>
      <c r="AE27" s="1235"/>
      <c r="AF27" s="1235"/>
      <c r="AG27" s="1235"/>
      <c r="AH27" s="1235"/>
      <c r="AI27" s="1235"/>
      <c r="AJ27" s="1235"/>
      <c r="AK27" s="1236"/>
      <c r="AL27" s="1236"/>
      <c r="AM27" s="1236"/>
      <c r="AN27" s="1236"/>
      <c r="AO27" s="1236"/>
      <c r="AP27" s="1236"/>
      <c r="AQ27" s="1236"/>
      <c r="AR27" s="1236"/>
      <c r="AS27" s="1236"/>
      <c r="AT27" s="1236"/>
      <c r="AU27" s="1236"/>
      <c r="AV27" s="1236"/>
      <c r="AW27" s="1236"/>
      <c r="AX27" s="1236"/>
      <c r="AY27" s="1236"/>
      <c r="AZ27" s="1236"/>
      <c r="BA27" s="1236"/>
      <c r="BB27" s="1236"/>
      <c r="BC27" s="1236"/>
      <c r="BD27" s="1236"/>
      <c r="BE27" s="1236"/>
      <c r="BF27" s="1236"/>
      <c r="BG27" s="1236"/>
      <c r="BH27" s="1235"/>
      <c r="BI27" s="1235"/>
      <c r="BJ27" s="1235"/>
      <c r="BK27" s="1235"/>
      <c r="BL27" s="1235"/>
      <c r="BM27" s="1235"/>
      <c r="BN27" s="1235"/>
      <c r="BO27" s="1235"/>
      <c r="BP27" s="1235"/>
      <c r="BQ27" s="1236"/>
      <c r="BR27" s="1236"/>
      <c r="BS27" s="1236"/>
      <c r="BT27" s="1236"/>
      <c r="BU27" s="1236"/>
      <c r="BV27" s="1236"/>
      <c r="BW27" s="1236"/>
      <c r="BX27" s="1236"/>
      <c r="BY27" s="1236"/>
      <c r="BZ27" s="1236"/>
      <c r="CA27" s="1236"/>
      <c r="CB27" s="1236"/>
      <c r="CC27" s="1236"/>
      <c r="CD27" s="1236"/>
      <c r="CE27" s="1236"/>
      <c r="CF27" s="1236"/>
      <c r="CG27" s="1236"/>
      <c r="CH27" s="1236"/>
      <c r="CI27" s="1236"/>
      <c r="CJ27" s="1236"/>
      <c r="CK27" s="1236"/>
      <c r="CL27" s="1236"/>
      <c r="CM27" s="1236"/>
      <c r="CN27" s="1236"/>
      <c r="CO27" s="1236"/>
      <c r="CP27" s="1236"/>
      <c r="CU27" s="458"/>
    </row>
    <row r="28" spans="1:99">
      <c r="H28" s="1238"/>
      <c r="I28" s="1238"/>
      <c r="J28" s="1238"/>
      <c r="K28" s="1238"/>
      <c r="L28" s="1238"/>
      <c r="M28" s="1238"/>
      <c r="N28" s="1238"/>
      <c r="O28" s="1238"/>
      <c r="P28" s="1238"/>
      <c r="Q28" s="1236"/>
      <c r="R28" s="1236"/>
      <c r="S28" s="1236"/>
      <c r="T28" s="1236"/>
      <c r="U28" s="1235"/>
      <c r="V28" s="1235"/>
      <c r="W28" s="1235"/>
      <c r="X28" s="1235"/>
      <c r="Y28" s="1235"/>
      <c r="Z28" s="1235"/>
      <c r="AA28" s="1235"/>
      <c r="AB28" s="1235"/>
      <c r="AC28" s="1235"/>
      <c r="AD28" s="1235"/>
      <c r="AE28" s="1235"/>
      <c r="AF28" s="1235"/>
      <c r="AG28" s="1235"/>
      <c r="AH28" s="1235"/>
      <c r="AI28" s="1235"/>
      <c r="AJ28" s="1235"/>
      <c r="AK28" s="1236"/>
      <c r="AL28" s="1236"/>
      <c r="AM28" s="1236"/>
      <c r="AN28" s="1236"/>
      <c r="AO28" s="1236"/>
      <c r="AP28" s="1236"/>
      <c r="AQ28" s="1236"/>
      <c r="AR28" s="1236"/>
      <c r="AS28" s="1236"/>
      <c r="AT28" s="1236"/>
      <c r="AU28" s="1236"/>
      <c r="AV28" s="1236"/>
      <c r="AW28" s="1236"/>
      <c r="AX28" s="1236"/>
      <c r="AY28" s="1236"/>
      <c r="AZ28" s="1236"/>
      <c r="BA28" s="1236" t="s">
        <v>118</v>
      </c>
      <c r="BB28" s="1236"/>
      <c r="BC28" s="1236"/>
      <c r="BD28" s="1236"/>
      <c r="BE28" s="1236"/>
      <c r="BF28" s="1236"/>
      <c r="BG28" s="1236"/>
      <c r="BH28" s="1236"/>
      <c r="BI28" s="1236"/>
      <c r="BJ28" s="1236"/>
      <c r="BK28" s="1236"/>
      <c r="BL28" s="1236"/>
      <c r="BM28" s="1236"/>
      <c r="BN28" s="1236"/>
      <c r="BO28" s="1236"/>
      <c r="BP28" s="1236"/>
      <c r="BQ28" s="1236"/>
      <c r="BR28" s="1236"/>
      <c r="BS28" s="1236"/>
      <c r="BT28" s="1236"/>
      <c r="BU28" s="1236"/>
      <c r="BV28" s="1236"/>
      <c r="BW28" s="1236"/>
      <c r="BX28" s="1236"/>
      <c r="BY28" s="1236"/>
      <c r="BZ28" s="1236"/>
      <c r="CA28" s="1236"/>
      <c r="CB28" s="1236"/>
      <c r="CC28" s="1236"/>
      <c r="CD28" s="1236"/>
      <c r="CE28" s="1236"/>
      <c r="CF28" s="1236"/>
      <c r="CG28" s="1236"/>
      <c r="CH28" s="1236"/>
      <c r="CI28" s="1236"/>
      <c r="CJ28" s="1236"/>
      <c r="CK28" s="1236"/>
      <c r="CL28" s="1236"/>
      <c r="CM28" s="1236"/>
      <c r="CN28" s="1236"/>
      <c r="CO28" s="1236"/>
      <c r="CP28" s="1236"/>
    </row>
    <row r="29" spans="1:99">
      <c r="H29" s="1238"/>
      <c r="I29" s="1238"/>
      <c r="J29" s="1238"/>
      <c r="K29" s="1238"/>
      <c r="L29" s="1238"/>
      <c r="M29" s="1238"/>
      <c r="N29" s="1238"/>
      <c r="O29" s="1238"/>
      <c r="P29" s="1238"/>
      <c r="Q29" s="1236"/>
      <c r="R29" s="1236"/>
      <c r="S29" s="1236"/>
      <c r="T29" s="1236"/>
      <c r="U29" s="1235"/>
      <c r="V29" s="1235"/>
      <c r="W29" s="1235"/>
      <c r="X29" s="1235"/>
      <c r="Y29" s="1235"/>
      <c r="Z29" s="1235"/>
      <c r="AA29" s="1235"/>
      <c r="AB29" s="1235"/>
      <c r="AC29" s="1235"/>
      <c r="AD29" s="1235"/>
      <c r="AE29" s="1235"/>
      <c r="AF29" s="1235"/>
      <c r="AG29" s="1235"/>
      <c r="AH29" s="1235"/>
      <c r="AI29" s="1235"/>
      <c r="AJ29" s="1235"/>
      <c r="AK29" s="1236"/>
      <c r="AL29" s="1236"/>
      <c r="AM29" s="1236"/>
      <c r="AN29" s="1236"/>
      <c r="AO29" s="1236"/>
      <c r="AP29" s="1236"/>
      <c r="AQ29" s="1236"/>
      <c r="AR29" s="1236"/>
      <c r="AS29" s="1236"/>
      <c r="AT29" s="1236"/>
      <c r="AU29" s="1236"/>
      <c r="AV29" s="1236"/>
      <c r="AW29" s="1236"/>
      <c r="AX29" s="1236"/>
      <c r="AY29" s="1236"/>
      <c r="AZ29" s="1236"/>
      <c r="BA29" s="1236"/>
      <c r="BB29" s="1236"/>
      <c r="BC29" s="1236"/>
      <c r="BD29" s="1236"/>
      <c r="BE29" s="1236"/>
      <c r="BF29" s="1236"/>
      <c r="BG29" s="1236"/>
      <c r="BH29" s="1236"/>
      <c r="BI29" s="1236"/>
      <c r="BJ29" s="1236"/>
      <c r="BK29" s="1236"/>
      <c r="BL29" s="1236"/>
      <c r="BM29" s="1236"/>
      <c r="BN29" s="1236"/>
      <c r="BO29" s="1236"/>
      <c r="BP29" s="1236"/>
      <c r="BQ29" s="1236"/>
      <c r="BR29" s="1236"/>
      <c r="BS29" s="1236"/>
      <c r="BT29" s="1236"/>
      <c r="BU29" s="1236"/>
      <c r="BV29" s="1236"/>
      <c r="BW29" s="1236"/>
      <c r="BX29" s="1236"/>
      <c r="BY29" s="1236"/>
      <c r="BZ29" s="1236"/>
      <c r="CA29" s="1236"/>
      <c r="CB29" s="1236"/>
      <c r="CC29" s="1236"/>
      <c r="CD29" s="1236"/>
      <c r="CE29" s="1236"/>
      <c r="CF29" s="1236"/>
      <c r="CG29" s="1236"/>
      <c r="CH29" s="1236"/>
      <c r="CI29" s="1236"/>
      <c r="CJ29" s="1236"/>
      <c r="CK29" s="1236"/>
      <c r="CL29" s="1236"/>
      <c r="CM29" s="1236"/>
      <c r="CN29" s="1236"/>
      <c r="CO29" s="1236"/>
      <c r="CP29" s="1236"/>
    </row>
    <row r="30" spans="1:99" ht="18">
      <c r="H30" s="1238"/>
      <c r="I30" s="1238"/>
      <c r="J30" s="1238"/>
      <c r="K30" s="1238"/>
      <c r="L30" s="1238"/>
      <c r="M30" s="1238"/>
      <c r="N30" s="1238"/>
      <c r="O30" s="1238"/>
      <c r="P30" s="1238"/>
      <c r="Q30" s="1236"/>
      <c r="R30" s="1236"/>
      <c r="S30" s="1236"/>
      <c r="T30" s="1236"/>
      <c r="U30" s="1236"/>
      <c r="V30" s="1269" t="s">
        <v>1124</v>
      </c>
      <c r="W30" s="1269"/>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69"/>
      <c r="AS30" s="1269"/>
      <c r="AT30" s="1269"/>
      <c r="AU30" s="1269"/>
      <c r="AV30" s="1269"/>
      <c r="AW30" s="1269"/>
      <c r="AX30" s="1269"/>
      <c r="AY30" s="1269"/>
      <c r="AZ30" s="1269"/>
      <c r="BA30" s="1269"/>
      <c r="BB30" s="1269"/>
      <c r="BC30" s="1269"/>
      <c r="BD30" s="1269"/>
      <c r="BE30" s="1269"/>
      <c r="BF30" s="1269"/>
      <c r="BG30" s="1269"/>
      <c r="BH30" s="1236"/>
      <c r="BI30" s="1236"/>
      <c r="BJ30" s="1236"/>
      <c r="BK30" s="1236"/>
      <c r="BL30" s="1236"/>
      <c r="BM30" s="1236"/>
      <c r="BN30" s="1236"/>
      <c r="BO30" s="1236"/>
      <c r="BP30" s="1236"/>
      <c r="BQ30" s="1236"/>
      <c r="BR30" s="1236"/>
      <c r="BS30" s="1236"/>
      <c r="BT30" s="1236"/>
      <c r="BU30" s="1236"/>
      <c r="BV30" s="1236"/>
      <c r="BW30" s="1236"/>
      <c r="BX30" s="1236"/>
      <c r="BY30" s="1236"/>
      <c r="BZ30" s="1236"/>
      <c r="CA30" s="1236"/>
      <c r="CB30" s="1236"/>
      <c r="CC30" s="1236"/>
      <c r="CD30" s="1236"/>
      <c r="CE30" s="1236"/>
      <c r="CF30" s="1236"/>
      <c r="CG30" s="1236"/>
      <c r="CH30" s="1236"/>
      <c r="CI30" s="1236"/>
      <c r="CJ30" s="1236"/>
      <c r="CK30" s="1236"/>
      <c r="CL30" s="1236"/>
      <c r="CM30" s="1236"/>
      <c r="CN30" s="1236"/>
      <c r="CO30" s="1236"/>
      <c r="CP30" s="1236"/>
    </row>
    <row r="31" spans="1:99">
      <c r="H31" s="1238"/>
      <c r="I31" s="1238"/>
      <c r="J31" s="1238"/>
      <c r="K31" s="1238"/>
      <c r="L31" s="1238"/>
      <c r="M31" s="1238"/>
      <c r="N31" s="1238"/>
      <c r="O31" s="1238"/>
      <c r="P31" s="1238"/>
      <c r="Q31" s="1236"/>
      <c r="R31" s="1236"/>
      <c r="S31" s="1236"/>
      <c r="T31" s="1236"/>
      <c r="U31" s="1235"/>
      <c r="V31" s="1235"/>
      <c r="W31" s="1235"/>
      <c r="X31" s="1235"/>
      <c r="Y31" s="1235"/>
      <c r="Z31" s="1235"/>
      <c r="AA31" s="1235"/>
      <c r="AB31" s="1235"/>
      <c r="AC31" s="1235"/>
      <c r="AD31" s="1235"/>
      <c r="AE31" s="1235"/>
      <c r="AF31" s="1235"/>
      <c r="AG31" s="1235"/>
      <c r="AH31" s="1235"/>
      <c r="AI31" s="1235"/>
      <c r="AJ31" s="1235"/>
      <c r="AK31" s="1236"/>
      <c r="AL31" s="1236"/>
      <c r="AM31" s="1236"/>
      <c r="AN31" s="1236"/>
      <c r="AO31" s="1236"/>
      <c r="AP31" s="1236"/>
      <c r="AQ31" s="1236"/>
      <c r="AR31" s="1236"/>
      <c r="AS31" s="1236"/>
      <c r="AT31" s="1236"/>
      <c r="AU31" s="1236"/>
      <c r="AV31" s="1236"/>
      <c r="AW31" s="1236"/>
      <c r="AX31" s="1236"/>
      <c r="AY31" s="1236"/>
      <c r="AZ31" s="1236"/>
      <c r="BA31" s="1236"/>
      <c r="BB31" s="1236"/>
      <c r="BC31" s="1236"/>
      <c r="BD31" s="1236"/>
      <c r="BE31" s="1236"/>
      <c r="BF31" s="1236"/>
      <c r="BG31" s="1236"/>
      <c r="BH31" s="1236"/>
      <c r="BI31" s="1236"/>
      <c r="BJ31" s="1236"/>
      <c r="BK31" s="1236"/>
      <c r="BL31" s="1236"/>
      <c r="BM31" s="1236"/>
      <c r="BN31" s="1236"/>
      <c r="BO31" s="1236"/>
      <c r="BP31" s="1236"/>
      <c r="BQ31" s="1236"/>
      <c r="BR31" s="1236"/>
      <c r="BS31" s="1236"/>
      <c r="BT31" s="1236"/>
      <c r="BU31" s="1236"/>
      <c r="BV31" s="1236"/>
      <c r="BW31" s="1236"/>
      <c r="BX31" s="1236"/>
      <c r="BY31" s="1236"/>
      <c r="BZ31" s="1236"/>
      <c r="CA31" s="1236"/>
      <c r="CB31" s="1236"/>
      <c r="CC31" s="1236"/>
      <c r="CD31" s="1236"/>
      <c r="CE31" s="1236"/>
      <c r="CF31" s="1236"/>
      <c r="CG31" s="1236"/>
      <c r="CH31" s="1236"/>
      <c r="CI31" s="1236"/>
      <c r="CJ31" s="1236"/>
      <c r="CK31" s="1236"/>
      <c r="CL31" s="1236"/>
      <c r="CM31" s="1236"/>
      <c r="CN31" s="1236"/>
      <c r="CO31" s="1236"/>
      <c r="CP31" s="1236"/>
    </row>
    <row r="32" spans="1:99">
      <c r="H32" s="1238"/>
      <c r="I32" s="1238"/>
      <c r="J32" s="1238"/>
      <c r="K32" s="1238"/>
      <c r="L32" s="1238"/>
      <c r="M32" s="1238"/>
      <c r="N32" s="1238"/>
      <c r="O32" s="1238"/>
      <c r="P32" s="1238"/>
      <c r="Q32" s="1236"/>
      <c r="R32" s="1236"/>
      <c r="S32" s="1236"/>
      <c r="T32" s="1236"/>
      <c r="U32" s="1235"/>
      <c r="V32" s="1543" t="s">
        <v>875</v>
      </c>
      <c r="W32" s="1543"/>
      <c r="X32" s="1543"/>
      <c r="Y32" s="1543"/>
      <c r="Z32" s="1543"/>
      <c r="AA32" s="1543"/>
      <c r="AB32" s="1543"/>
      <c r="AC32" s="1543"/>
      <c r="AD32" s="1543"/>
      <c r="AE32" s="1543"/>
      <c r="AF32" s="1543"/>
      <c r="AG32" s="1543"/>
      <c r="AH32" s="1543"/>
      <c r="AI32" s="1543"/>
      <c r="AJ32" s="1543"/>
      <c r="AK32" s="1236"/>
      <c r="AL32" s="1544" t="s">
        <v>1123</v>
      </c>
      <c r="AM32" s="1544"/>
      <c r="AN32" s="1544"/>
      <c r="AO32" s="1544"/>
      <c r="AP32" s="1544"/>
      <c r="AQ32" s="1544"/>
      <c r="AR32" s="1544"/>
      <c r="AS32" s="1544"/>
      <c r="AT32" s="1544"/>
      <c r="AU32" s="1544"/>
      <c r="AV32" s="1544"/>
      <c r="AW32" s="1544"/>
      <c r="AX32" s="1544"/>
      <c r="AY32" s="1544"/>
      <c r="AZ32" s="1544"/>
      <c r="BA32" s="1544"/>
      <c r="BB32" s="1544"/>
      <c r="BC32" s="1544"/>
      <c r="BD32" s="1544"/>
      <c r="BE32" s="1544"/>
      <c r="BF32" s="1544"/>
      <c r="BG32" s="1544"/>
      <c r="BH32" s="1236"/>
      <c r="BI32" s="1543" t="s">
        <v>875</v>
      </c>
      <c r="BJ32" s="1543"/>
      <c r="BK32" s="1543"/>
      <c r="BL32" s="1543"/>
      <c r="BM32" s="1543"/>
      <c r="BN32" s="1543"/>
      <c r="BO32" s="1543"/>
      <c r="BP32" s="1267"/>
      <c r="BQ32" s="1544" t="s">
        <v>1123</v>
      </c>
      <c r="BR32" s="1544"/>
      <c r="BS32" s="1544"/>
      <c r="BT32" s="1544"/>
      <c r="BU32" s="1544"/>
      <c r="BV32" s="1544"/>
      <c r="BW32" s="1544"/>
      <c r="BX32" s="1544"/>
      <c r="BY32" s="1544"/>
      <c r="BZ32" s="1544"/>
      <c r="CA32" s="1544"/>
      <c r="CB32" s="1544"/>
      <c r="CC32" s="1544"/>
      <c r="CD32" s="1544"/>
      <c r="CE32" s="1544"/>
      <c r="CF32" s="1544"/>
      <c r="CG32" s="1544"/>
      <c r="CH32" s="1544"/>
      <c r="CI32" s="1544"/>
      <c r="CJ32" s="1544"/>
      <c r="CK32" s="1544"/>
      <c r="CL32" s="1544"/>
      <c r="CM32" s="1236"/>
      <c r="CN32" s="1236"/>
      <c r="CO32" s="1236"/>
      <c r="CP32" s="1236"/>
    </row>
    <row r="33" spans="2:94">
      <c r="H33" s="1238"/>
      <c r="I33" s="1238"/>
      <c r="J33" s="1238"/>
      <c r="K33" s="1238"/>
      <c r="L33" s="1238"/>
      <c r="M33" s="1238"/>
      <c r="N33" s="1238"/>
      <c r="O33" s="1238"/>
      <c r="P33" s="1238"/>
      <c r="Q33" s="1236"/>
      <c r="R33" s="1236"/>
      <c r="S33" s="1236"/>
      <c r="T33" s="1236"/>
      <c r="U33" s="1235"/>
      <c r="V33" s="1543" t="s">
        <v>1122</v>
      </c>
      <c r="W33" s="1543"/>
      <c r="X33" s="1543"/>
      <c r="Y33" s="1543"/>
      <c r="Z33" s="1543"/>
      <c r="AA33" s="1543"/>
      <c r="AB33" s="1543"/>
      <c r="AC33" s="1543"/>
      <c r="AD33" s="1543"/>
      <c r="AE33" s="1543"/>
      <c r="AF33" s="1543"/>
      <c r="AG33" s="1543"/>
      <c r="AH33" s="1543"/>
      <c r="AI33" s="1543"/>
      <c r="AJ33" s="1543"/>
      <c r="AK33" s="1236"/>
      <c r="AL33" s="1546" t="s">
        <v>1121</v>
      </c>
      <c r="AM33" s="1546"/>
      <c r="AN33" s="1546"/>
      <c r="AO33" s="1546"/>
      <c r="AP33" s="1546"/>
      <c r="AQ33" s="1546"/>
      <c r="AR33" s="1546"/>
      <c r="AS33" s="1546"/>
      <c r="AT33" s="1546"/>
      <c r="AU33" s="1546"/>
      <c r="AV33" s="1546"/>
      <c r="AW33" s="1546"/>
      <c r="AX33" s="1546"/>
      <c r="AY33" s="1546"/>
      <c r="AZ33" s="1546"/>
      <c r="BA33" s="1546"/>
      <c r="BB33" s="1546"/>
      <c r="BC33" s="1546"/>
      <c r="BD33" s="1546"/>
      <c r="BE33" s="1546"/>
      <c r="BF33" s="1546"/>
      <c r="BG33" s="1546"/>
      <c r="BH33" s="1268"/>
      <c r="BI33" s="1543" t="s">
        <v>1122</v>
      </c>
      <c r="BJ33" s="1543"/>
      <c r="BK33" s="1543"/>
      <c r="BL33" s="1543"/>
      <c r="BM33" s="1543"/>
      <c r="BN33" s="1543"/>
      <c r="BO33" s="1543"/>
      <c r="BP33" s="1267"/>
      <c r="BQ33" s="1546" t="s">
        <v>1121</v>
      </c>
      <c r="BR33" s="1546"/>
      <c r="BS33" s="1546"/>
      <c r="BT33" s="1546"/>
      <c r="BU33" s="1546"/>
      <c r="BV33" s="1546"/>
      <c r="BW33" s="1546"/>
      <c r="BX33" s="1546"/>
      <c r="BY33" s="1546"/>
      <c r="BZ33" s="1546"/>
      <c r="CA33" s="1546"/>
      <c r="CB33" s="1546"/>
      <c r="CC33" s="1546"/>
      <c r="CD33" s="1546"/>
      <c r="CE33" s="1546"/>
      <c r="CF33" s="1546"/>
      <c r="CG33" s="1546"/>
      <c r="CH33" s="1546"/>
      <c r="CI33" s="1546"/>
      <c r="CJ33" s="1546"/>
      <c r="CK33" s="1546"/>
      <c r="CL33" s="1546"/>
      <c r="CM33" s="1236"/>
      <c r="CN33" s="1236"/>
      <c r="CO33" s="1236"/>
      <c r="CP33" s="1236"/>
    </row>
    <row r="34" spans="2:94">
      <c r="H34" s="1238"/>
      <c r="I34" s="1238"/>
      <c r="J34" s="1238"/>
      <c r="K34" s="1238"/>
      <c r="L34" s="1238"/>
      <c r="M34" s="1238"/>
      <c r="N34" s="1238"/>
      <c r="O34" s="1238"/>
      <c r="P34" s="1238"/>
      <c r="Q34" s="1236"/>
      <c r="R34" s="1236"/>
      <c r="S34" s="1236"/>
      <c r="T34" s="1236"/>
      <c r="U34" s="1235"/>
      <c r="V34" s="1543" t="s">
        <v>1120</v>
      </c>
      <c r="W34" s="1543"/>
      <c r="X34" s="1543"/>
      <c r="Y34" s="1543"/>
      <c r="Z34" s="1543"/>
      <c r="AA34" s="1543"/>
      <c r="AB34" s="1543"/>
      <c r="AC34" s="1543"/>
      <c r="AD34" s="1543"/>
      <c r="AE34" s="1543"/>
      <c r="AF34" s="1543"/>
      <c r="AG34" s="1543"/>
      <c r="AH34" s="1543"/>
      <c r="AI34" s="1543"/>
      <c r="AJ34" s="1543"/>
      <c r="AK34" s="1236"/>
      <c r="AL34" s="1544" t="s">
        <v>1119</v>
      </c>
      <c r="AM34" s="1544"/>
      <c r="AN34" s="1544"/>
      <c r="AO34" s="1544"/>
      <c r="AP34" s="1544"/>
      <c r="AQ34" s="1544"/>
      <c r="AR34" s="1544"/>
      <c r="AS34" s="1544"/>
      <c r="AT34" s="1544"/>
      <c r="AU34" s="1544"/>
      <c r="AV34" s="1544"/>
      <c r="AW34" s="1544"/>
      <c r="AX34" s="1544"/>
      <c r="AY34" s="1544"/>
      <c r="AZ34" s="1544"/>
      <c r="BA34" s="1544"/>
      <c r="BB34" s="1544"/>
      <c r="BC34" s="1544"/>
      <c r="BD34" s="1544"/>
      <c r="BE34" s="1544"/>
      <c r="BF34" s="1544"/>
      <c r="BG34" s="1544"/>
      <c r="BH34" s="1236"/>
      <c r="BI34" s="1543" t="s">
        <v>1120</v>
      </c>
      <c r="BJ34" s="1543"/>
      <c r="BK34" s="1543"/>
      <c r="BL34" s="1543"/>
      <c r="BM34" s="1543"/>
      <c r="BN34" s="1543"/>
      <c r="BO34" s="1543"/>
      <c r="BP34" s="1267"/>
      <c r="BQ34" s="1544" t="s">
        <v>1119</v>
      </c>
      <c r="BR34" s="1544"/>
      <c r="BS34" s="1544"/>
      <c r="BT34" s="1544"/>
      <c r="BU34" s="1544"/>
      <c r="BV34" s="1544"/>
      <c r="BW34" s="1544"/>
      <c r="BX34" s="1544"/>
      <c r="BY34" s="1544"/>
      <c r="BZ34" s="1544"/>
      <c r="CA34" s="1544"/>
      <c r="CB34" s="1544"/>
      <c r="CC34" s="1544"/>
      <c r="CD34" s="1544"/>
      <c r="CE34" s="1544"/>
      <c r="CF34" s="1544"/>
      <c r="CG34" s="1544"/>
      <c r="CH34" s="1544"/>
      <c r="CI34" s="1544"/>
      <c r="CJ34" s="1544"/>
      <c r="CK34" s="1544"/>
      <c r="CL34" s="1544"/>
      <c r="CM34" s="1236"/>
      <c r="CN34" s="1236"/>
      <c r="CO34" s="1236"/>
      <c r="CP34" s="1236"/>
    </row>
    <row r="35" spans="2:94">
      <c r="H35" s="1238"/>
      <c r="I35" s="1238"/>
      <c r="J35" s="1238"/>
      <c r="K35" s="1238"/>
      <c r="L35" s="1238"/>
      <c r="M35" s="1238"/>
      <c r="N35" s="1238"/>
      <c r="O35" s="1238"/>
      <c r="P35" s="1238"/>
      <c r="Q35" s="1236"/>
      <c r="R35" s="1236"/>
      <c r="S35" s="1236"/>
      <c r="T35" s="1236"/>
      <c r="U35" s="1235"/>
      <c r="V35" s="1235"/>
      <c r="W35" s="1235"/>
      <c r="X35" s="1235"/>
      <c r="Y35" s="1235"/>
      <c r="Z35" s="1235"/>
      <c r="AA35" s="1235"/>
      <c r="AB35" s="1235"/>
      <c r="AC35" s="1235"/>
      <c r="AD35" s="1235"/>
      <c r="AE35" s="1235"/>
      <c r="AF35" s="1235"/>
      <c r="AG35" s="1235"/>
      <c r="AH35" s="1235"/>
      <c r="AI35" s="1235"/>
      <c r="AJ35" s="1235"/>
      <c r="AK35" s="1236"/>
      <c r="AL35" s="1236"/>
      <c r="AM35" s="1236"/>
      <c r="AN35" s="1236"/>
      <c r="AO35" s="1236"/>
      <c r="AP35" s="1236"/>
      <c r="AQ35" s="1236"/>
      <c r="AR35" s="1236"/>
      <c r="AS35" s="1236"/>
      <c r="AT35" s="1236"/>
      <c r="AU35" s="1236"/>
      <c r="AV35" s="1236"/>
      <c r="AW35" s="1236"/>
      <c r="AX35" s="1236"/>
      <c r="AY35" s="1236"/>
      <c r="AZ35" s="1236"/>
      <c r="BA35" s="1236"/>
      <c r="BB35" s="1236"/>
      <c r="BC35" s="1236"/>
      <c r="BD35" s="1236"/>
      <c r="BE35" s="1236"/>
      <c r="BF35" s="1236"/>
      <c r="BG35" s="1236"/>
      <c r="BH35" s="1236"/>
      <c r="BI35" s="1236"/>
      <c r="BJ35" s="1236"/>
      <c r="BK35" s="1236"/>
      <c r="BL35" s="1236"/>
      <c r="BM35" s="1236"/>
      <c r="BN35" s="1236"/>
      <c r="BO35" s="1236"/>
      <c r="BP35" s="1236"/>
      <c r="BQ35" s="1236"/>
      <c r="BR35" s="1236"/>
      <c r="BS35" s="1236"/>
      <c r="BT35" s="1236"/>
      <c r="BU35" s="1236"/>
      <c r="BV35" s="1236"/>
      <c r="BW35" s="1236"/>
      <c r="BX35" s="1236"/>
      <c r="BY35" s="1236"/>
      <c r="BZ35" s="1236"/>
      <c r="CA35" s="1236"/>
      <c r="CB35" s="1236"/>
      <c r="CC35" s="1236"/>
      <c r="CD35" s="1236"/>
      <c r="CE35" s="1236"/>
      <c r="CF35" s="1236"/>
      <c r="CG35" s="1236"/>
      <c r="CH35" s="1236"/>
      <c r="CI35" s="1236"/>
      <c r="CJ35" s="1236"/>
      <c r="CK35" s="1236"/>
      <c r="CL35" s="1236"/>
      <c r="CM35" s="1236"/>
      <c r="CN35" s="1236"/>
      <c r="CO35" s="1236"/>
      <c r="CP35" s="1236"/>
    </row>
    <row r="36" spans="2:94">
      <c r="H36" s="1238"/>
      <c r="I36" s="1238"/>
      <c r="J36" s="1238"/>
      <c r="K36" s="1238"/>
      <c r="L36" s="1238"/>
      <c r="M36" s="1238"/>
      <c r="N36" s="1238"/>
      <c r="O36" s="1238"/>
      <c r="P36" s="1238"/>
      <c r="Q36" s="1236"/>
      <c r="R36" s="1236"/>
      <c r="S36" s="1236"/>
      <c r="T36" s="1236"/>
      <c r="U36" s="1235"/>
      <c r="V36" s="1235"/>
      <c r="W36" s="1235"/>
      <c r="X36" s="1235"/>
      <c r="Y36" s="1235"/>
      <c r="Z36" s="1235"/>
      <c r="AA36" s="1235"/>
      <c r="AB36" s="1235"/>
      <c r="AC36" s="1235"/>
      <c r="AD36" s="1235"/>
      <c r="AE36" s="1235"/>
      <c r="AF36" s="1235"/>
      <c r="AG36" s="1235"/>
      <c r="AH36" s="1235"/>
      <c r="AI36" s="1235"/>
      <c r="AJ36" s="1235"/>
      <c r="AK36" s="1236"/>
      <c r="AL36" s="1236"/>
      <c r="AM36" s="1236"/>
      <c r="AN36" s="1236"/>
      <c r="AO36" s="1236"/>
      <c r="AP36" s="1236"/>
      <c r="AQ36" s="1236"/>
      <c r="AR36" s="1236"/>
      <c r="AS36" s="1236"/>
      <c r="AT36" s="1236"/>
      <c r="AU36" s="1236"/>
      <c r="AV36" s="1236"/>
      <c r="AW36" s="1236"/>
      <c r="AX36" s="1236"/>
      <c r="AY36" s="1236"/>
      <c r="AZ36" s="1236"/>
      <c r="BA36" s="1236"/>
      <c r="BB36" s="1236"/>
      <c r="BC36" s="1236"/>
      <c r="BD36" s="1236"/>
      <c r="BE36" s="1236"/>
      <c r="BF36" s="1236"/>
      <c r="BG36" s="1236"/>
      <c r="BH36" s="1236"/>
      <c r="BI36" s="1236"/>
      <c r="BJ36" s="1236"/>
      <c r="BK36" s="1236"/>
      <c r="BL36" s="1236"/>
      <c r="BM36" s="1236"/>
      <c r="BN36" s="1236"/>
      <c r="BO36" s="1236"/>
      <c r="BP36" s="1236"/>
      <c r="BQ36" s="1236"/>
      <c r="BR36" s="1236"/>
      <c r="BS36" s="1236"/>
      <c r="BT36" s="1236"/>
      <c r="BU36" s="1236"/>
      <c r="BV36" s="1236"/>
      <c r="BW36" s="1236"/>
      <c r="BX36" s="1236"/>
      <c r="BY36" s="1236"/>
      <c r="BZ36" s="1236"/>
      <c r="CA36" s="1236"/>
      <c r="CB36" s="1236"/>
      <c r="CC36" s="1236"/>
      <c r="CD36" s="1236"/>
      <c r="CE36" s="1236"/>
      <c r="CF36" s="1236"/>
      <c r="CG36" s="1236"/>
      <c r="CH36" s="1236"/>
      <c r="CI36" s="1236"/>
      <c r="CJ36" s="1236"/>
      <c r="CK36" s="1236"/>
      <c r="CL36" s="1236"/>
      <c r="CM36" s="1236"/>
      <c r="CN36" s="1236"/>
      <c r="CO36" s="1236"/>
      <c r="CP36" s="1236"/>
    </row>
    <row r="37" spans="2:94">
      <c r="H37" s="1249"/>
      <c r="I37" s="1249"/>
      <c r="J37" s="1249"/>
      <c r="K37" s="1249"/>
      <c r="L37" s="1249"/>
      <c r="M37" s="1249"/>
      <c r="N37" s="1249"/>
      <c r="O37" s="1249"/>
      <c r="P37" s="1249"/>
      <c r="Q37" s="1249"/>
      <c r="R37" s="1249"/>
      <c r="S37" s="1249"/>
      <c r="T37" s="1249"/>
      <c r="U37" s="1249"/>
      <c r="V37" s="1249"/>
      <c r="W37" s="1249"/>
      <c r="X37" s="1249"/>
      <c r="Y37" s="1249"/>
      <c r="Z37" s="1249"/>
      <c r="AA37" s="1249"/>
      <c r="AB37" s="1249"/>
      <c r="AC37" s="1249"/>
      <c r="AD37" s="1249"/>
      <c r="AE37" s="1249"/>
      <c r="AF37" s="1250"/>
      <c r="AG37" s="1250"/>
      <c r="AH37" s="1250"/>
      <c r="AI37" s="1250"/>
      <c r="AJ37" s="1250"/>
      <c r="AK37" s="1250"/>
      <c r="AL37" s="1250"/>
      <c r="AM37" s="1250"/>
      <c r="AN37" s="1250"/>
      <c r="AO37" s="1250"/>
      <c r="AP37" s="1250"/>
      <c r="AQ37" s="1250"/>
      <c r="AR37" s="1250"/>
      <c r="AS37" s="1250"/>
      <c r="AT37" s="1250"/>
      <c r="AU37" s="1250"/>
      <c r="AV37" s="1250"/>
      <c r="AW37" s="1250"/>
      <c r="AX37" s="1250"/>
      <c r="AY37" s="1249"/>
      <c r="AZ37" s="1249"/>
      <c r="BA37" s="1249"/>
      <c r="BB37" s="1249"/>
      <c r="BC37" s="1249"/>
      <c r="BD37" s="1249"/>
      <c r="BE37" s="1249"/>
      <c r="BF37" s="1249"/>
      <c r="BG37" s="1249"/>
      <c r="BH37" s="1249"/>
      <c r="BI37" s="1249"/>
      <c r="BJ37" s="1249"/>
      <c r="BK37" s="1249"/>
      <c r="BL37" s="1249"/>
      <c r="BM37" s="1249"/>
      <c r="BN37" s="1249"/>
      <c r="BO37" s="1249"/>
      <c r="BP37" s="1249"/>
      <c r="BQ37" s="1249"/>
      <c r="BR37" s="1249"/>
      <c r="BS37" s="1249"/>
      <c r="BT37" s="1249"/>
      <c r="BU37" s="1249"/>
      <c r="BV37" s="1249"/>
      <c r="BW37" s="1249"/>
      <c r="BX37" s="1249"/>
      <c r="BY37" s="1249"/>
      <c r="BZ37" s="1249"/>
      <c r="CA37" s="1249"/>
      <c r="CB37" s="1249"/>
      <c r="CC37" s="1249"/>
      <c r="CD37" s="1249"/>
      <c r="CE37" s="1249"/>
      <c r="CF37" s="1249"/>
      <c r="CG37" s="1249"/>
      <c r="CH37" s="1249"/>
      <c r="CI37" s="1249"/>
      <c r="CJ37" s="1249"/>
      <c r="CK37" s="1249"/>
      <c r="CL37" s="1249"/>
      <c r="CM37" s="1249"/>
      <c r="CN37" s="1249"/>
      <c r="CO37" s="1249"/>
      <c r="CP37" s="1249"/>
    </row>
    <row r="38" spans="2:94">
      <c r="H38" s="1266"/>
      <c r="I38" s="1266"/>
      <c r="J38" s="1266"/>
      <c r="Q38" s="1235"/>
      <c r="R38" s="1235"/>
      <c r="S38" s="1235"/>
      <c r="T38" s="1235"/>
      <c r="U38" s="1235"/>
      <c r="V38" s="1235"/>
      <c r="W38" s="1235"/>
      <c r="X38" s="1235"/>
      <c r="Y38" s="1235"/>
      <c r="Z38" s="1235"/>
      <c r="AA38" s="1235"/>
      <c r="AB38" s="1235"/>
      <c r="AC38" s="1235"/>
      <c r="AD38" s="1235"/>
      <c r="AE38" s="1235"/>
      <c r="AF38" s="1235"/>
      <c r="AG38" s="1235"/>
      <c r="AH38" s="1235"/>
      <c r="AI38" s="1235"/>
      <c r="AJ38" s="1235"/>
      <c r="AK38" s="1235"/>
      <c r="AL38" s="1235"/>
      <c r="AM38" s="1235"/>
      <c r="AN38" s="1235"/>
      <c r="AO38" s="1235"/>
      <c r="AP38" s="1235"/>
      <c r="AQ38" s="1235"/>
      <c r="AR38" s="1235"/>
      <c r="AS38" s="1235"/>
      <c r="AT38" s="1235"/>
      <c r="AU38" s="1235"/>
      <c r="AV38" s="1235"/>
      <c r="AW38" s="1235"/>
      <c r="AX38" s="1235"/>
      <c r="AY38" s="1235"/>
      <c r="AZ38" s="1235"/>
      <c r="BA38" s="1235"/>
      <c r="BB38" s="1235"/>
      <c r="BC38" s="1235"/>
      <c r="BD38" s="1235"/>
      <c r="BE38" s="1235"/>
      <c r="BF38" s="1235"/>
      <c r="BG38" s="1235"/>
      <c r="BH38" s="1235"/>
      <c r="BI38" s="1235"/>
      <c r="BJ38" s="1235"/>
      <c r="BK38" s="1235"/>
      <c r="BL38" s="1235"/>
      <c r="BM38" s="1235"/>
      <c r="BN38" s="1235"/>
      <c r="BO38" s="1235"/>
      <c r="BP38" s="1235"/>
      <c r="BQ38" s="1235"/>
      <c r="BR38" s="1235"/>
      <c r="BS38" s="1235"/>
      <c r="BT38" s="1235"/>
      <c r="BU38" s="1235"/>
      <c r="BV38" s="1235"/>
      <c r="BW38" s="1235"/>
      <c r="BX38" s="1235"/>
      <c r="BY38" s="1235"/>
      <c r="BZ38" s="1235"/>
      <c r="CA38" s="1235"/>
      <c r="CB38" s="1235"/>
      <c r="CC38" s="1235"/>
      <c r="CD38" s="1235"/>
      <c r="CE38" s="1235"/>
      <c r="CF38" s="1235"/>
      <c r="CG38" s="1235"/>
      <c r="CH38" s="1235"/>
      <c r="CI38" s="1235"/>
      <c r="CJ38" s="1235"/>
      <c r="CK38" s="1235"/>
      <c r="CL38" s="1235"/>
      <c r="CM38" s="1235"/>
      <c r="CN38" s="1235"/>
      <c r="CO38" s="1235"/>
      <c r="CP38" s="1235"/>
    </row>
    <row r="39" spans="2:94" ht="30">
      <c r="H39" s="1248"/>
      <c r="I39" s="1248"/>
      <c r="J39" s="1248"/>
      <c r="Q39" s="1247" t="s">
        <v>407</v>
      </c>
      <c r="R39" s="1247"/>
      <c r="S39" s="1247"/>
      <c r="T39" s="1247"/>
      <c r="U39" s="1247"/>
      <c r="V39" s="1247"/>
      <c r="W39" s="1247"/>
      <c r="X39" s="1247"/>
      <c r="Y39" s="1247"/>
      <c r="Z39" s="1247"/>
      <c r="AA39" s="1247"/>
      <c r="AB39" s="1247"/>
      <c r="AC39" s="1247"/>
      <c r="AD39" s="1247"/>
      <c r="AE39" s="1247"/>
      <c r="AF39" s="1247"/>
      <c r="AG39" s="1247"/>
      <c r="AH39" s="1247"/>
      <c r="AI39" s="1247"/>
      <c r="AJ39" s="1247"/>
      <c r="AK39" s="1247"/>
      <c r="AL39" s="1247"/>
      <c r="AM39" s="1247"/>
      <c r="AN39" s="1247"/>
      <c r="AO39" s="1247"/>
      <c r="AP39" s="1247"/>
      <c r="AQ39" s="1247"/>
      <c r="AR39" s="1247"/>
      <c r="AS39" s="1247"/>
      <c r="AT39" s="1247"/>
      <c r="AU39" s="1247"/>
      <c r="AV39" s="1247"/>
      <c r="AW39" s="1247"/>
      <c r="AX39" s="1247"/>
      <c r="AY39" s="1247"/>
      <c r="AZ39" s="1247"/>
      <c r="BA39" s="1247"/>
      <c r="BB39" s="1247"/>
      <c r="BC39" s="1247"/>
      <c r="BD39" s="1247"/>
      <c r="BE39" s="1247"/>
      <c r="BF39" s="1247"/>
      <c r="BG39" s="1247"/>
      <c r="BH39" s="1247"/>
      <c r="BI39" s="1247"/>
      <c r="BJ39" s="1247"/>
      <c r="BK39" s="1247"/>
      <c r="BL39" s="1247"/>
      <c r="BM39" s="1247"/>
      <c r="BN39" s="1247"/>
      <c r="BO39" s="1247"/>
      <c r="BP39" s="1247"/>
      <c r="BQ39" s="1247"/>
      <c r="BR39" s="1247"/>
      <c r="BS39" s="1247"/>
      <c r="BT39" s="1247"/>
      <c r="BU39" s="1247"/>
      <c r="BV39" s="1247"/>
      <c r="BW39" s="1247"/>
      <c r="BX39" s="1247"/>
      <c r="BY39" s="1247"/>
      <c r="BZ39" s="1247"/>
      <c r="CA39" s="1247"/>
      <c r="CB39" s="1247"/>
      <c r="CC39" s="1247"/>
      <c r="CD39" s="1247"/>
      <c r="CE39" s="1247"/>
      <c r="CF39" s="1247"/>
      <c r="CG39" s="1247"/>
      <c r="CH39" s="1247"/>
      <c r="CI39" s="1247"/>
      <c r="CJ39" s="1247"/>
      <c r="CK39" s="1247"/>
      <c r="CL39" s="1247"/>
      <c r="CM39" s="1247"/>
      <c r="CN39" s="1247"/>
      <c r="CO39" s="1247"/>
      <c r="CP39" s="1247"/>
    </row>
    <row r="40" spans="2:94">
      <c r="H40" s="1243"/>
      <c r="I40" s="1243"/>
      <c r="J40" s="1243"/>
      <c r="Q40" s="1240"/>
      <c r="R40" s="1240"/>
      <c r="S40" s="1240"/>
      <c r="T40" s="1240"/>
      <c r="U40" s="1240"/>
      <c r="V40" s="1240"/>
      <c r="W40" s="1240"/>
      <c r="X40" s="1240"/>
      <c r="Y40" s="1240"/>
      <c r="Z40" s="1240"/>
      <c r="AA40" s="1240"/>
      <c r="AB40" s="1240"/>
      <c r="AC40" s="1241"/>
      <c r="AD40" s="1241"/>
      <c r="AE40" s="1241"/>
      <c r="AF40" s="1241"/>
      <c r="AG40" s="1241"/>
      <c r="AH40" s="1241"/>
      <c r="AI40" s="1241"/>
      <c r="AJ40" s="1241"/>
      <c r="AK40" s="1241"/>
      <c r="AL40" s="1241"/>
      <c r="AM40" s="1241"/>
      <c r="AN40" s="1241"/>
      <c r="AO40" s="1241"/>
      <c r="AP40" s="1241"/>
      <c r="AQ40" s="1241"/>
      <c r="AR40" s="1241"/>
      <c r="AS40" s="1241"/>
      <c r="AT40" s="1241"/>
      <c r="AU40" s="1241"/>
      <c r="AV40" s="1241"/>
      <c r="AW40" s="1241"/>
      <c r="AX40" s="1241"/>
      <c r="AY40" s="1241"/>
      <c r="AZ40" s="1241"/>
      <c r="BA40" s="1241"/>
      <c r="BB40" s="1241"/>
      <c r="BC40" s="1241"/>
      <c r="BD40" s="1241"/>
      <c r="BE40" s="1241"/>
      <c r="BF40" s="1241"/>
      <c r="BG40" s="1241"/>
      <c r="BH40" s="1241"/>
      <c r="BI40" s="1241"/>
      <c r="BJ40" s="1241"/>
      <c r="BK40" s="1241"/>
      <c r="BL40" s="1241"/>
      <c r="BM40" s="1241"/>
      <c r="BN40" s="1241"/>
      <c r="BO40" s="1241"/>
      <c r="BP40" s="1241"/>
      <c r="BQ40" s="1241"/>
      <c r="BR40" s="1241"/>
      <c r="BS40" s="1241"/>
      <c r="BT40" s="1241"/>
      <c r="BU40" s="1241"/>
      <c r="BV40" s="1241"/>
      <c r="BW40" s="1241"/>
      <c r="BX40" s="1241"/>
      <c r="BY40" s="1241"/>
      <c r="BZ40" s="1241"/>
      <c r="CA40" s="1241"/>
      <c r="CB40" s="1241"/>
      <c r="CC40" s="1241"/>
      <c r="CD40" s="1241"/>
      <c r="CE40" s="1241"/>
      <c r="CF40" s="1241"/>
      <c r="CG40" s="1241"/>
      <c r="CH40" s="1241"/>
      <c r="CI40" s="1241"/>
      <c r="CJ40" s="1241"/>
      <c r="CK40" s="1241"/>
      <c r="CL40" s="1241"/>
      <c r="CM40" s="1241"/>
      <c r="CN40" s="1241"/>
      <c r="CO40" s="1240"/>
      <c r="CP40" s="1240"/>
    </row>
    <row r="41" spans="2:94">
      <c r="H41" s="1243"/>
      <c r="I41" s="1243"/>
      <c r="J41" s="1243"/>
      <c r="Q41" s="1240"/>
      <c r="R41" s="1240"/>
      <c r="S41" s="1240"/>
      <c r="T41" s="1240"/>
      <c r="U41" s="1241"/>
      <c r="V41" s="1241"/>
      <c r="W41" s="1241"/>
      <c r="X41" s="1241"/>
      <c r="Y41" s="1241"/>
      <c r="Z41" s="1240"/>
      <c r="AA41" s="1240"/>
      <c r="AB41" s="1240"/>
      <c r="AC41" s="1240"/>
      <c r="AD41" s="1240"/>
      <c r="AE41" s="1240"/>
      <c r="AF41" s="1240"/>
      <c r="AG41" s="1240"/>
      <c r="AH41" s="1240"/>
      <c r="AI41" s="1240"/>
      <c r="AJ41" s="1240"/>
      <c r="AK41" s="1240"/>
      <c r="AL41" s="1264"/>
      <c r="AM41" s="1265"/>
      <c r="AN41" s="1265"/>
      <c r="AO41" s="1263"/>
      <c r="AP41" s="1263"/>
      <c r="AQ41" s="1263"/>
      <c r="AR41" s="1263"/>
      <c r="AS41" s="1263"/>
      <c r="AT41" s="1263"/>
      <c r="AU41" s="1264"/>
      <c r="AV41" s="1263"/>
      <c r="AW41" s="1263"/>
      <c r="AX41" s="1263"/>
      <c r="AY41" s="1263"/>
      <c r="AZ41" s="1263"/>
      <c r="BA41" s="1263"/>
      <c r="BB41" s="1263"/>
      <c r="BC41" s="1263"/>
      <c r="BD41" s="1264"/>
      <c r="BE41" s="1263"/>
      <c r="BF41" s="1263"/>
      <c r="BG41" s="1263"/>
      <c r="BH41" s="1263"/>
      <c r="BI41" s="1263"/>
      <c r="BJ41" s="1263"/>
      <c r="BK41" s="1263"/>
      <c r="BL41" s="1263"/>
      <c r="BM41" s="1264"/>
      <c r="BN41" s="1263"/>
      <c r="BO41" s="1263"/>
      <c r="BP41" s="1263"/>
      <c r="BQ41" s="1263"/>
      <c r="BR41" s="1263"/>
      <c r="BS41" s="1263"/>
      <c r="BT41" s="1263"/>
      <c r="BU41" s="1263"/>
      <c r="BV41" s="1264"/>
      <c r="BW41" s="1263"/>
      <c r="BX41" s="1263"/>
      <c r="BY41" s="1263"/>
      <c r="BZ41" s="1263"/>
      <c r="CA41" s="1263"/>
      <c r="CB41" s="1263"/>
      <c r="CC41" s="1263"/>
      <c r="CD41" s="1263"/>
      <c r="CE41" s="1241"/>
      <c r="CF41" s="1241"/>
      <c r="CG41" s="1241"/>
      <c r="CH41" s="1241"/>
      <c r="CI41" s="1241"/>
      <c r="CJ41" s="1241"/>
      <c r="CK41" s="1241"/>
      <c r="CL41" s="1241"/>
      <c r="CM41" s="1241"/>
      <c r="CN41" s="1241"/>
      <c r="CO41" s="1240"/>
      <c r="CP41" s="1240"/>
    </row>
    <row r="42" spans="2:94" ht="15.75" customHeight="1">
      <c r="B42" s="458"/>
      <c r="H42" s="1243"/>
      <c r="I42" s="1243"/>
      <c r="J42" s="1243"/>
      <c r="Q42" s="1251"/>
      <c r="R42" s="1251"/>
      <c r="S42" s="1251"/>
      <c r="T42" s="1251"/>
      <c r="U42" s="1251"/>
      <c r="V42" s="1251"/>
      <c r="W42" s="1241"/>
      <c r="X42" s="1241"/>
      <c r="Y42" s="1241"/>
      <c r="Z42" s="1534" t="s">
        <v>1118</v>
      </c>
      <c r="AA42" s="1534"/>
      <c r="AB42" s="1534"/>
      <c r="AC42" s="1534"/>
      <c r="AD42" s="1534"/>
      <c r="AE42" s="1534"/>
      <c r="AF42" s="1534"/>
      <c r="AG42" s="1534"/>
      <c r="AH42" s="1534"/>
      <c r="AI42" s="1534"/>
      <c r="AJ42" s="1239"/>
      <c r="AK42" s="1239"/>
      <c r="AL42" s="1545">
        <v>2021</v>
      </c>
      <c r="AM42" s="1545"/>
      <c r="AN42" s="1545"/>
      <c r="AO42" s="1545"/>
      <c r="AP42" s="1545"/>
      <c r="AQ42" s="1545"/>
      <c r="AR42" s="1545"/>
      <c r="AS42" s="1545"/>
      <c r="AT42" s="1254"/>
      <c r="AU42" s="1541" t="e">
        <f ca="1">FRCP_y2</f>
        <v>#N/A</v>
      </c>
      <c r="AV42" s="1541"/>
      <c r="AW42" s="1541"/>
      <c r="AX42" s="1541"/>
      <c r="AY42" s="1541"/>
      <c r="AZ42" s="1541"/>
      <c r="BA42" s="1541"/>
      <c r="BB42" s="1541"/>
      <c r="BC42" s="1254"/>
      <c r="BD42" s="1541" t="e">
        <f ca="1">FRCP_y3</f>
        <v>#N/A</v>
      </c>
      <c r="BE42" s="1541"/>
      <c r="BF42" s="1541"/>
      <c r="BG42" s="1541"/>
      <c r="BH42" s="1541"/>
      <c r="BI42" s="1541"/>
      <c r="BJ42" s="1541"/>
      <c r="BK42" s="1541"/>
      <c r="BL42" s="1254"/>
      <c r="BM42" s="1541" t="e">
        <f ca="1">FRCP_y4</f>
        <v>#N/A</v>
      </c>
      <c r="BN42" s="1541"/>
      <c r="BO42" s="1541"/>
      <c r="BP42" s="1541"/>
      <c r="BQ42" s="1541"/>
      <c r="BR42" s="1541"/>
      <c r="BS42" s="1541"/>
      <c r="BT42" s="1541"/>
      <c r="BU42" s="1254"/>
      <c r="BV42" s="1542" t="e">
        <f ca="1">FRCP_y5</f>
        <v>#N/A</v>
      </c>
      <c r="BW42" s="1542"/>
      <c r="BX42" s="1542"/>
      <c r="BY42" s="1542"/>
      <c r="BZ42" s="1542"/>
      <c r="CA42" s="1542"/>
      <c r="CB42" s="1542"/>
      <c r="CC42" s="1542"/>
      <c r="CD42" s="1241"/>
      <c r="CE42" s="1241"/>
      <c r="CF42" s="1241"/>
      <c r="CG42" s="1241"/>
      <c r="CH42" s="1241"/>
      <c r="CI42" s="1241"/>
      <c r="CJ42" s="1241"/>
      <c r="CK42" s="1241"/>
      <c r="CL42" s="1241"/>
      <c r="CM42" s="1241"/>
      <c r="CN42" s="1241"/>
      <c r="CO42" s="1240"/>
      <c r="CP42" s="1240"/>
    </row>
    <row r="43" spans="2:94" ht="18">
      <c r="B43" s="458"/>
      <c r="H43" s="1243"/>
      <c r="I43" s="1243"/>
      <c r="J43" s="1243"/>
      <c r="Q43" s="1251"/>
      <c r="R43" s="1251"/>
      <c r="S43" s="1251"/>
      <c r="T43" s="1251"/>
      <c r="U43" s="1251"/>
      <c r="V43" s="1251"/>
      <c r="W43" s="1241"/>
      <c r="X43" s="1241"/>
      <c r="Y43" s="1241"/>
      <c r="Z43" s="1239"/>
      <c r="AA43" s="1262"/>
      <c r="AB43" s="1262"/>
      <c r="AC43" s="1262"/>
      <c r="AD43" s="1262"/>
      <c r="AE43" s="1262"/>
      <c r="AF43" s="1262"/>
      <c r="AG43" s="1262"/>
      <c r="AH43" s="1262"/>
      <c r="AI43" s="1262"/>
      <c r="AJ43" s="1262"/>
      <c r="AK43" s="1262"/>
      <c r="AL43" s="1542" t="e">
        <f ca="1">FRCP_y6</f>
        <v>#N/A</v>
      </c>
      <c r="AM43" s="1542"/>
      <c r="AN43" s="1542"/>
      <c r="AO43" s="1542"/>
      <c r="AP43" s="1542"/>
      <c r="AQ43" s="1542"/>
      <c r="AR43" s="1542"/>
      <c r="AS43" s="1542"/>
      <c r="AT43" s="1261"/>
      <c r="AU43" s="1542" t="e">
        <f ca="1">FRCP_y7</f>
        <v>#N/A</v>
      </c>
      <c r="AV43" s="1542"/>
      <c r="AW43" s="1542"/>
      <c r="AX43" s="1542"/>
      <c r="AY43" s="1542"/>
      <c r="AZ43" s="1542"/>
      <c r="BA43" s="1542"/>
      <c r="BB43" s="1542"/>
      <c r="BC43" s="1261"/>
      <c r="BD43" s="1542" t="e">
        <f ca="1">FRCP_y8</f>
        <v>#N/A</v>
      </c>
      <c r="BE43" s="1542"/>
      <c r="BF43" s="1542"/>
      <c r="BG43" s="1542"/>
      <c r="BH43" s="1542"/>
      <c r="BI43" s="1542"/>
      <c r="BJ43" s="1542"/>
      <c r="BK43" s="1542"/>
      <c r="BL43" s="1256"/>
      <c r="BM43" s="1542" t="e">
        <f ca="1">FRCP_y9</f>
        <v>#N/A</v>
      </c>
      <c r="BN43" s="1542"/>
      <c r="BO43" s="1542"/>
      <c r="BP43" s="1542"/>
      <c r="BQ43" s="1542"/>
      <c r="BR43" s="1542"/>
      <c r="BS43" s="1542"/>
      <c r="BT43" s="1542"/>
      <c r="BU43" s="1256"/>
      <c r="BV43" s="1542" t="e">
        <f ca="1">FRCP_y10</f>
        <v>#N/A</v>
      </c>
      <c r="BW43" s="1542"/>
      <c r="BX43" s="1542"/>
      <c r="BY43" s="1542"/>
      <c r="BZ43" s="1542"/>
      <c r="CA43" s="1542"/>
      <c r="CB43" s="1542"/>
      <c r="CC43" s="1542"/>
      <c r="CD43" s="1241"/>
      <c r="CE43" s="1241"/>
      <c r="CF43" s="1241"/>
      <c r="CG43" s="1241"/>
      <c r="CH43" s="1241"/>
      <c r="CI43" s="1241"/>
      <c r="CJ43" s="1241"/>
      <c r="CK43" s="1241"/>
      <c r="CL43" s="1241"/>
      <c r="CM43" s="1241"/>
      <c r="CN43" s="1241"/>
      <c r="CO43" s="1240"/>
      <c r="CP43" s="1240"/>
    </row>
    <row r="44" spans="2:94" ht="15" customHeight="1">
      <c r="H44" s="1243"/>
      <c r="I44" s="1243"/>
      <c r="J44" s="1243"/>
      <c r="Q44" s="1251"/>
      <c r="R44" s="1251"/>
      <c r="S44" s="1251"/>
      <c r="T44" s="1251"/>
      <c r="U44" s="1251"/>
      <c r="V44" s="1251"/>
      <c r="W44" s="1241"/>
      <c r="X44" s="1241"/>
      <c r="Y44" s="1241"/>
      <c r="Z44" s="1239"/>
      <c r="AA44" s="1239"/>
      <c r="AB44" s="1239"/>
      <c r="AC44" s="1239"/>
      <c r="AD44" s="1239"/>
      <c r="AE44" s="1239"/>
      <c r="AF44" s="1239"/>
      <c r="AG44" s="1239"/>
      <c r="AH44" s="1239"/>
      <c r="AI44" s="1239"/>
      <c r="AJ44" s="1239"/>
      <c r="AK44" s="1239"/>
      <c r="AL44" s="1542" t="e">
        <f ca="1">FRCP_y11</f>
        <v>#N/A</v>
      </c>
      <c r="AM44" s="1542"/>
      <c r="AN44" s="1542"/>
      <c r="AO44" s="1542"/>
      <c r="AP44" s="1542"/>
      <c r="AQ44" s="1542"/>
      <c r="AR44" s="1542"/>
      <c r="AS44" s="1542"/>
      <c r="AT44" s="1258"/>
      <c r="AU44" s="1542" t="e">
        <f ca="1">FRCP_y12</f>
        <v>#N/A</v>
      </c>
      <c r="AV44" s="1542"/>
      <c r="AW44" s="1542"/>
      <c r="AX44" s="1542"/>
      <c r="AY44" s="1542"/>
      <c r="AZ44" s="1542"/>
      <c r="BA44" s="1542"/>
      <c r="BB44" s="1542"/>
      <c r="BC44" s="1258"/>
      <c r="BD44" s="1542" t="e">
        <f ca="1">FRCP_y13</f>
        <v>#N/A</v>
      </c>
      <c r="BE44" s="1542"/>
      <c r="BF44" s="1542"/>
      <c r="BG44" s="1542"/>
      <c r="BH44" s="1542"/>
      <c r="BI44" s="1542"/>
      <c r="BJ44" s="1542"/>
      <c r="BK44" s="1542"/>
      <c r="BL44" s="1258"/>
      <c r="BM44" s="1542" t="e">
        <f ca="1">FRCP_y14</f>
        <v>#N/A</v>
      </c>
      <c r="BN44" s="1542"/>
      <c r="BO44" s="1542"/>
      <c r="BP44" s="1542"/>
      <c r="BQ44" s="1542"/>
      <c r="BR44" s="1542"/>
      <c r="BS44" s="1542"/>
      <c r="BT44" s="1542"/>
      <c r="BU44" s="1258"/>
      <c r="BV44" s="1542" t="e">
        <f ca="1">FRCP_y15</f>
        <v>#N/A</v>
      </c>
      <c r="BW44" s="1542"/>
      <c r="BX44" s="1542"/>
      <c r="BY44" s="1542"/>
      <c r="BZ44" s="1542"/>
      <c r="CA44" s="1542"/>
      <c r="CB44" s="1542"/>
      <c r="CC44" s="1542"/>
      <c r="CD44" s="1241"/>
      <c r="CE44" s="1241"/>
      <c r="CF44" s="1241"/>
      <c r="CG44" s="1241"/>
      <c r="CH44" s="1241"/>
      <c r="CI44" s="1241"/>
      <c r="CJ44" s="1241"/>
      <c r="CK44" s="1241"/>
      <c r="CL44" s="1241"/>
      <c r="CM44" s="1241"/>
      <c r="CN44" s="1241"/>
      <c r="CO44" s="1240"/>
      <c r="CP44" s="1251"/>
    </row>
    <row r="45" spans="2:94" ht="15" customHeight="1">
      <c r="B45" s="686"/>
      <c r="H45" s="1243"/>
      <c r="I45" s="1243"/>
      <c r="J45" s="1243"/>
      <c r="Q45" s="1251"/>
      <c r="R45" s="1251"/>
      <c r="S45" s="1251"/>
      <c r="T45" s="1251"/>
      <c r="U45" s="1251"/>
      <c r="V45" s="1251"/>
      <c r="W45" s="1241"/>
      <c r="X45" s="1241"/>
      <c r="Y45" s="1241"/>
      <c r="Z45" s="1239"/>
      <c r="AA45" s="1239"/>
      <c r="AB45" s="1239"/>
      <c r="AC45" s="1239"/>
      <c r="AD45" s="1239"/>
      <c r="AE45" s="1239"/>
      <c r="AF45" s="1239"/>
      <c r="AG45" s="1239"/>
      <c r="AH45" s="1239"/>
      <c r="AI45" s="1239"/>
      <c r="AJ45" s="1239"/>
      <c r="AK45" s="1239"/>
      <c r="AL45" s="1259"/>
      <c r="AM45" s="1260"/>
      <c r="AN45" s="1260"/>
      <c r="AO45" s="1258"/>
      <c r="AP45" s="1258"/>
      <c r="AQ45" s="1258"/>
      <c r="AR45" s="1258"/>
      <c r="AS45" s="1258"/>
      <c r="AT45" s="1258"/>
      <c r="AU45" s="1259"/>
      <c r="AV45" s="1258"/>
      <c r="AW45" s="1258"/>
      <c r="AX45" s="1258"/>
      <c r="AY45" s="1258"/>
      <c r="AZ45" s="1258"/>
      <c r="BA45" s="1258"/>
      <c r="BB45" s="1258"/>
      <c r="BC45" s="1258"/>
      <c r="BD45" s="1259"/>
      <c r="BE45" s="1258"/>
      <c r="BF45" s="1258"/>
      <c r="BG45" s="1258"/>
      <c r="BH45" s="1258"/>
      <c r="BI45" s="1258"/>
      <c r="BJ45" s="1258"/>
      <c r="BK45" s="1258"/>
      <c r="BL45" s="1258"/>
      <c r="BM45" s="1259"/>
      <c r="BN45" s="1258"/>
      <c r="BO45" s="1258"/>
      <c r="BP45" s="1258"/>
      <c r="BQ45" s="1258"/>
      <c r="BR45" s="1258"/>
      <c r="BS45" s="1258"/>
      <c r="BT45" s="1258"/>
      <c r="BU45" s="1258"/>
      <c r="BV45" s="1259"/>
      <c r="BW45" s="1258"/>
      <c r="BX45" s="1258"/>
      <c r="BY45" s="1258"/>
      <c r="BZ45" s="1258"/>
      <c r="CA45" s="1258"/>
      <c r="CB45" s="1258"/>
      <c r="CC45" s="1258"/>
      <c r="CD45" s="1241"/>
      <c r="CE45" s="1241"/>
      <c r="CF45" s="1241"/>
      <c r="CG45" s="1241"/>
      <c r="CH45" s="1241"/>
      <c r="CI45" s="1241"/>
      <c r="CJ45" s="1241"/>
      <c r="CK45" s="1241"/>
      <c r="CL45" s="1241"/>
      <c r="CM45" s="1241"/>
      <c r="CN45" s="1241"/>
      <c r="CO45" s="1240"/>
      <c r="CP45" s="1251"/>
    </row>
    <row r="46" spans="2:94" ht="15.75" customHeight="1">
      <c r="B46" s="686"/>
      <c r="H46" s="1243"/>
      <c r="I46" s="1243"/>
      <c r="J46" s="1243"/>
      <c r="Q46" s="1251"/>
      <c r="R46" s="1251"/>
      <c r="S46" s="1251"/>
      <c r="T46" s="1251"/>
      <c r="U46" s="1251"/>
      <c r="V46" s="1251"/>
      <c r="W46" s="1241"/>
      <c r="X46" s="1251" t="s">
        <v>1117</v>
      </c>
      <c r="Y46" s="1241"/>
      <c r="Z46" s="1534" t="s">
        <v>1116</v>
      </c>
      <c r="AA46" s="1534"/>
      <c r="AB46" s="1534"/>
      <c r="AC46" s="1534"/>
      <c r="AD46" s="1534"/>
      <c r="AE46" s="1534"/>
      <c r="AF46" s="1534"/>
      <c r="AG46" s="1534"/>
      <c r="AH46" s="1534"/>
      <c r="AI46" s="1534"/>
      <c r="AJ46" s="1239"/>
      <c r="AK46" s="1239"/>
      <c r="AL46" s="1541" t="e">
        <f ca="1">CRCP_y1</f>
        <v>#N/A</v>
      </c>
      <c r="AM46" s="1541"/>
      <c r="AN46" s="1541"/>
      <c r="AO46" s="1541"/>
      <c r="AP46" s="1541"/>
      <c r="AQ46" s="1541"/>
      <c r="AR46" s="1541"/>
      <c r="AS46" s="1541"/>
      <c r="AT46" s="1254"/>
      <c r="AU46" s="1541" t="e">
        <f ca="1">CRCP_y2</f>
        <v>#N/A</v>
      </c>
      <c r="AV46" s="1541"/>
      <c r="AW46" s="1541"/>
      <c r="AX46" s="1541"/>
      <c r="AY46" s="1541"/>
      <c r="AZ46" s="1541"/>
      <c r="BA46" s="1541"/>
      <c r="BB46" s="1541"/>
      <c r="BC46" s="1254"/>
      <c r="BD46" s="1541" t="e">
        <f ca="1">CRCP_y3</f>
        <v>#N/A</v>
      </c>
      <c r="BE46" s="1541"/>
      <c r="BF46" s="1541"/>
      <c r="BG46" s="1541"/>
      <c r="BH46" s="1541"/>
      <c r="BI46" s="1541"/>
      <c r="BJ46" s="1541"/>
      <c r="BK46" s="1541"/>
      <c r="BL46" s="1254"/>
      <c r="BM46" s="1541" t="e">
        <f ca="1">CRCP_y4</f>
        <v>#N/A</v>
      </c>
      <c r="BN46" s="1541"/>
      <c r="BO46" s="1541"/>
      <c r="BP46" s="1541"/>
      <c r="BQ46" s="1541"/>
      <c r="BR46" s="1541"/>
      <c r="BS46" s="1541"/>
      <c r="BT46" s="1541"/>
      <c r="BU46" s="1254"/>
      <c r="BV46" s="1541" t="e">
        <f ca="1">CRCP_y5</f>
        <v>#N/A</v>
      </c>
      <c r="BW46" s="1541"/>
      <c r="BX46" s="1541"/>
      <c r="BY46" s="1541"/>
      <c r="BZ46" s="1541"/>
      <c r="CA46" s="1541"/>
      <c r="CB46" s="1541"/>
      <c r="CC46" s="1541"/>
      <c r="CD46" s="1241"/>
      <c r="CE46" s="1241"/>
      <c r="CF46" s="1241"/>
      <c r="CG46" s="1241"/>
      <c r="CH46" s="1241"/>
      <c r="CI46" s="1241"/>
      <c r="CJ46" s="1241"/>
      <c r="CK46" s="1241"/>
      <c r="CL46" s="1241"/>
      <c r="CM46" s="1241"/>
      <c r="CN46" s="1241"/>
      <c r="CO46" s="1240"/>
      <c r="CP46" s="1251"/>
    </row>
    <row r="47" spans="2:94" ht="15" customHeight="1">
      <c r="H47" s="1243"/>
      <c r="I47" s="1243"/>
      <c r="J47" s="1243"/>
      <c r="Q47" s="1251"/>
      <c r="R47" s="1251"/>
      <c r="S47" s="1251"/>
      <c r="T47" s="1251"/>
      <c r="U47" s="1251"/>
      <c r="V47" s="1251"/>
      <c r="W47" s="1241"/>
      <c r="X47" s="1241"/>
      <c r="Y47" s="1241"/>
      <c r="Z47" s="1239"/>
      <c r="AA47" s="1239"/>
      <c r="AB47" s="1239"/>
      <c r="AC47" s="1239"/>
      <c r="AD47" s="1239"/>
      <c r="AE47" s="1239"/>
      <c r="AF47" s="1239"/>
      <c r="AG47" s="1239"/>
      <c r="AH47" s="1239"/>
      <c r="AI47" s="1239"/>
      <c r="AJ47" s="1239"/>
      <c r="AK47" s="1239"/>
      <c r="AL47" s="1542" t="e">
        <f ca="1">CRCP_y6</f>
        <v>#N/A</v>
      </c>
      <c r="AM47" s="1542"/>
      <c r="AN47" s="1542"/>
      <c r="AO47" s="1542"/>
      <c r="AP47" s="1542"/>
      <c r="AQ47" s="1542"/>
      <c r="AR47" s="1542"/>
      <c r="AS47" s="1542"/>
      <c r="AT47" s="1253"/>
      <c r="AU47" s="1542" t="e">
        <f ca="1">CRCP_y7</f>
        <v>#N/A</v>
      </c>
      <c r="AV47" s="1542"/>
      <c r="AW47" s="1542"/>
      <c r="AX47" s="1542"/>
      <c r="AY47" s="1542"/>
      <c r="AZ47" s="1542"/>
      <c r="BA47" s="1542"/>
      <c r="BB47" s="1542"/>
      <c r="BC47" s="1252"/>
      <c r="BD47" s="1542" t="e">
        <f ca="1">CRCP_y8</f>
        <v>#N/A</v>
      </c>
      <c r="BE47" s="1542"/>
      <c r="BF47" s="1542"/>
      <c r="BG47" s="1542"/>
      <c r="BH47" s="1542"/>
      <c r="BI47" s="1542"/>
      <c r="BJ47" s="1542"/>
      <c r="BK47" s="1542"/>
      <c r="BL47" s="1252"/>
      <c r="BM47" s="1542" t="e">
        <f ca="1">CRCP_y9</f>
        <v>#N/A</v>
      </c>
      <c r="BN47" s="1542"/>
      <c r="BO47" s="1542"/>
      <c r="BP47" s="1542"/>
      <c r="BQ47" s="1542"/>
      <c r="BR47" s="1542"/>
      <c r="BS47" s="1542"/>
      <c r="BT47" s="1542"/>
      <c r="BU47" s="1252"/>
      <c r="BV47" s="1542" t="e">
        <f ca="1">CRCP_y10</f>
        <v>#N/A</v>
      </c>
      <c r="BW47" s="1542"/>
      <c r="BX47" s="1542"/>
      <c r="BY47" s="1542"/>
      <c r="BZ47" s="1542"/>
      <c r="CA47" s="1542"/>
      <c r="CB47" s="1542"/>
      <c r="CC47" s="1542"/>
      <c r="CD47" s="1241"/>
      <c r="CE47" s="1241"/>
      <c r="CF47" s="1241"/>
      <c r="CG47" s="1241"/>
      <c r="CH47" s="1241"/>
      <c r="CI47" s="1241"/>
      <c r="CJ47" s="1241"/>
      <c r="CK47" s="1241"/>
      <c r="CL47" s="1241"/>
      <c r="CM47" s="1241"/>
      <c r="CN47" s="1241"/>
      <c r="CO47" s="1240"/>
      <c r="CP47" s="1251"/>
    </row>
    <row r="48" spans="2:94" ht="15" customHeight="1">
      <c r="H48" s="1243"/>
      <c r="I48" s="1243"/>
      <c r="J48" s="1243"/>
      <c r="Q48" s="1251"/>
      <c r="R48" s="1251"/>
      <c r="S48" s="1251"/>
      <c r="T48" s="1251"/>
      <c r="U48" s="1251"/>
      <c r="V48" s="1251"/>
      <c r="W48" s="1241"/>
      <c r="X48" s="1241"/>
      <c r="Y48" s="1241"/>
      <c r="Z48" s="1239"/>
      <c r="AA48" s="1239"/>
      <c r="AB48" s="1239"/>
      <c r="AC48" s="1239"/>
      <c r="AD48" s="1239"/>
      <c r="AE48" s="1239"/>
      <c r="AF48" s="1239"/>
      <c r="AG48" s="1239"/>
      <c r="AH48" s="1239"/>
      <c r="AI48" s="1239"/>
      <c r="AJ48" s="1239"/>
      <c r="AK48" s="1239"/>
      <c r="AL48" s="1542" t="e">
        <f ca="1">CRCP_y11</f>
        <v>#N/A</v>
      </c>
      <c r="AM48" s="1542"/>
      <c r="AN48" s="1542"/>
      <c r="AO48" s="1542"/>
      <c r="AP48" s="1542"/>
      <c r="AQ48" s="1542"/>
      <c r="AR48" s="1542"/>
      <c r="AS48" s="1542"/>
      <c r="AT48" s="1253"/>
      <c r="AU48" s="1542" t="e">
        <f ca="1">CRCP_y12</f>
        <v>#N/A</v>
      </c>
      <c r="AV48" s="1542"/>
      <c r="AW48" s="1542"/>
      <c r="AX48" s="1542"/>
      <c r="AY48" s="1542"/>
      <c r="AZ48" s="1542"/>
      <c r="BA48" s="1542"/>
      <c r="BB48" s="1542"/>
      <c r="BC48" s="1252"/>
      <c r="BD48" s="1542" t="e">
        <f ca="1">CRCP_y13</f>
        <v>#N/A</v>
      </c>
      <c r="BE48" s="1542"/>
      <c r="BF48" s="1542"/>
      <c r="BG48" s="1542"/>
      <c r="BH48" s="1542"/>
      <c r="BI48" s="1542"/>
      <c r="BJ48" s="1542"/>
      <c r="BK48" s="1542"/>
      <c r="BL48" s="1252"/>
      <c r="BM48" s="1542" t="e">
        <f ca="1">CRCP_y14</f>
        <v>#N/A</v>
      </c>
      <c r="BN48" s="1542"/>
      <c r="BO48" s="1542"/>
      <c r="BP48" s="1542"/>
      <c r="BQ48" s="1542"/>
      <c r="BR48" s="1542"/>
      <c r="BS48" s="1542"/>
      <c r="BT48" s="1542"/>
      <c r="BU48" s="1252"/>
      <c r="BV48" s="1542" t="e">
        <f ca="1">CRCP_y15</f>
        <v>#N/A</v>
      </c>
      <c r="BW48" s="1542"/>
      <c r="BX48" s="1542"/>
      <c r="BY48" s="1542"/>
      <c r="BZ48" s="1542"/>
      <c r="CA48" s="1542"/>
      <c r="CB48" s="1542"/>
      <c r="CC48" s="1542"/>
      <c r="CD48" s="1241"/>
      <c r="CE48" s="1241"/>
      <c r="CF48" s="1241"/>
      <c r="CG48" s="1241"/>
      <c r="CH48" s="1241"/>
      <c r="CI48" s="1241"/>
      <c r="CJ48" s="1241"/>
      <c r="CK48" s="1241"/>
      <c r="CL48" s="1241"/>
      <c r="CM48" s="1241"/>
      <c r="CN48" s="1241"/>
      <c r="CO48" s="1240"/>
      <c r="CP48" s="1251"/>
    </row>
    <row r="49" spans="8:94" ht="15" customHeight="1">
      <c r="H49" s="1243"/>
      <c r="I49" s="1243"/>
      <c r="J49" s="1243"/>
      <c r="Q49" s="1251"/>
      <c r="R49" s="1251"/>
      <c r="S49" s="1251"/>
      <c r="T49" s="1251"/>
      <c r="U49" s="1251"/>
      <c r="V49" s="1251"/>
      <c r="W49" s="1241"/>
      <c r="X49" s="1241"/>
      <c r="Y49" s="1241"/>
      <c r="Z49" s="1239"/>
      <c r="AA49" s="1239"/>
      <c r="AB49" s="1239"/>
      <c r="AC49" s="1239"/>
      <c r="AD49" s="1239"/>
      <c r="AE49" s="1239"/>
      <c r="AF49" s="1239"/>
      <c r="AG49" s="1239"/>
      <c r="AH49" s="1239"/>
      <c r="AI49" s="1239"/>
      <c r="AJ49" s="1239"/>
      <c r="AK49" s="1239"/>
      <c r="AL49" s="1257"/>
      <c r="AM49" s="1257"/>
      <c r="AN49" s="1257"/>
      <c r="AO49" s="1256"/>
      <c r="AP49" s="1256"/>
      <c r="AQ49" s="1256"/>
      <c r="AR49" s="1256"/>
      <c r="AS49" s="1256"/>
      <c r="AT49" s="1256"/>
      <c r="AU49" s="1257"/>
      <c r="AV49" s="1256"/>
      <c r="AW49" s="1256"/>
      <c r="AX49" s="1256"/>
      <c r="AY49" s="1256"/>
      <c r="AZ49" s="1256"/>
      <c r="BA49" s="1256"/>
      <c r="BB49" s="1256"/>
      <c r="BC49" s="1256"/>
      <c r="BD49" s="1257"/>
      <c r="BE49" s="1256"/>
      <c r="BF49" s="1256"/>
      <c r="BG49" s="1256"/>
      <c r="BH49" s="1256"/>
      <c r="BI49" s="1256"/>
      <c r="BJ49" s="1256"/>
      <c r="BK49" s="1256"/>
      <c r="BL49" s="1256"/>
      <c r="BM49" s="1257"/>
      <c r="BN49" s="1256"/>
      <c r="BO49" s="1256"/>
      <c r="BP49" s="1256"/>
      <c r="BQ49" s="1256"/>
      <c r="BR49" s="1256"/>
      <c r="BS49" s="1256"/>
      <c r="BT49" s="1256"/>
      <c r="BU49" s="1256"/>
      <c r="BV49" s="1257"/>
      <c r="BW49" s="1256"/>
      <c r="BX49" s="1256"/>
      <c r="BY49" s="1256"/>
      <c r="BZ49" s="1256"/>
      <c r="CA49" s="1256"/>
      <c r="CB49" s="1256"/>
      <c r="CC49" s="1255"/>
      <c r="CD49" s="1241"/>
      <c r="CE49" s="1241"/>
      <c r="CF49" s="1241"/>
      <c r="CG49" s="1241"/>
      <c r="CH49" s="1241"/>
      <c r="CI49" s="1241"/>
      <c r="CJ49" s="1241"/>
      <c r="CK49" s="1241"/>
      <c r="CL49" s="1241"/>
      <c r="CM49" s="1241"/>
      <c r="CN49" s="1241"/>
      <c r="CO49" s="1240"/>
      <c r="CP49" s="1251"/>
    </row>
    <row r="50" spans="8:94" ht="15.75" customHeight="1">
      <c r="H50" s="1243"/>
      <c r="I50" s="1243"/>
      <c r="J50" s="1243"/>
      <c r="Q50" s="1251"/>
      <c r="R50" s="1251"/>
      <c r="S50" s="1251"/>
      <c r="T50" s="1251"/>
      <c r="U50" s="1251"/>
      <c r="V50" s="1251"/>
      <c r="W50" s="1241"/>
      <c r="X50" s="1241"/>
      <c r="Y50" s="1241"/>
      <c r="Z50" s="1534" t="s">
        <v>1115</v>
      </c>
      <c r="AA50" s="1534"/>
      <c r="AB50" s="1534"/>
      <c r="AC50" s="1534"/>
      <c r="AD50" s="1534"/>
      <c r="AE50" s="1534"/>
      <c r="AF50" s="1534"/>
      <c r="AG50" s="1534"/>
      <c r="AH50" s="1534"/>
      <c r="AI50" s="1534"/>
      <c r="AJ50" s="1239"/>
      <c r="AK50" s="1239"/>
      <c r="AL50" s="1541" t="e">
        <f ca="1">PRCP_y1</f>
        <v>#N/A</v>
      </c>
      <c r="AM50" s="1541"/>
      <c r="AN50" s="1541"/>
      <c r="AO50" s="1541"/>
      <c r="AP50" s="1541"/>
      <c r="AQ50" s="1541"/>
      <c r="AR50" s="1541"/>
      <c r="AS50" s="1541"/>
      <c r="AT50" s="1254"/>
      <c r="AU50" s="1541" t="e">
        <f ca="1">PRCP_y2</f>
        <v>#N/A</v>
      </c>
      <c r="AV50" s="1541"/>
      <c r="AW50" s="1541"/>
      <c r="AX50" s="1541"/>
      <c r="AY50" s="1541"/>
      <c r="AZ50" s="1541"/>
      <c r="BA50" s="1541"/>
      <c r="BB50" s="1541"/>
      <c r="BC50" s="1254"/>
      <c r="BD50" s="1541" t="e">
        <f ca="1">PRCP_y3</f>
        <v>#N/A</v>
      </c>
      <c r="BE50" s="1541"/>
      <c r="BF50" s="1541"/>
      <c r="BG50" s="1541"/>
      <c r="BH50" s="1541"/>
      <c r="BI50" s="1541"/>
      <c r="BJ50" s="1541"/>
      <c r="BK50" s="1541"/>
      <c r="BL50" s="1254"/>
      <c r="BM50" s="1541" t="e">
        <f ca="1">PRCP_y4</f>
        <v>#N/A</v>
      </c>
      <c r="BN50" s="1541"/>
      <c r="BO50" s="1541"/>
      <c r="BP50" s="1541"/>
      <c r="BQ50" s="1541"/>
      <c r="BR50" s="1541"/>
      <c r="BS50" s="1541"/>
      <c r="BT50" s="1541"/>
      <c r="BU50" s="1254"/>
      <c r="BV50" s="1541" t="e">
        <f ca="1">PRCP_y5</f>
        <v>#N/A</v>
      </c>
      <c r="BW50" s="1541"/>
      <c r="BX50" s="1541"/>
      <c r="BY50" s="1541"/>
      <c r="BZ50" s="1541"/>
      <c r="CA50" s="1541"/>
      <c r="CB50" s="1541"/>
      <c r="CC50" s="1541"/>
      <c r="CD50" s="1241"/>
      <c r="CE50" s="1241"/>
      <c r="CF50" s="1241"/>
      <c r="CG50" s="1241"/>
      <c r="CH50" s="1241"/>
      <c r="CI50" s="1241"/>
      <c r="CJ50" s="1241"/>
      <c r="CK50" s="1241"/>
      <c r="CL50" s="1241"/>
      <c r="CM50" s="1241"/>
      <c r="CN50" s="1241"/>
      <c r="CO50" s="1240"/>
      <c r="CP50" s="1251"/>
    </row>
    <row r="51" spans="8:94" ht="15.75">
      <c r="H51" s="1243"/>
      <c r="I51" s="1243"/>
      <c r="J51" s="1243"/>
      <c r="Q51" s="1240"/>
      <c r="R51" s="1240"/>
      <c r="S51" s="1240"/>
      <c r="T51" s="1240"/>
      <c r="U51" s="1241"/>
      <c r="V51" s="1241"/>
      <c r="W51" s="1241"/>
      <c r="X51" s="1241"/>
      <c r="Y51" s="1241"/>
      <c r="Z51" s="1239"/>
      <c r="AA51" s="1239"/>
      <c r="AB51" s="1239"/>
      <c r="AC51" s="1239"/>
      <c r="AD51" s="1239"/>
      <c r="AE51" s="1239"/>
      <c r="AF51" s="1239"/>
      <c r="AG51" s="1239"/>
      <c r="AH51" s="1239"/>
      <c r="AI51" s="1239"/>
      <c r="AJ51" s="1239"/>
      <c r="AK51" s="1239"/>
      <c r="AL51" s="1542" t="e">
        <f ca="1">PRCP_y6</f>
        <v>#N/A</v>
      </c>
      <c r="AM51" s="1542"/>
      <c r="AN51" s="1542"/>
      <c r="AO51" s="1542"/>
      <c r="AP51" s="1542"/>
      <c r="AQ51" s="1542"/>
      <c r="AR51" s="1542"/>
      <c r="AS51" s="1542"/>
      <c r="AT51" s="1253"/>
      <c r="AU51" s="1542" t="e">
        <f ca="1">PRCP_y7</f>
        <v>#N/A</v>
      </c>
      <c r="AV51" s="1542"/>
      <c r="AW51" s="1542"/>
      <c r="AX51" s="1542"/>
      <c r="AY51" s="1542"/>
      <c r="AZ51" s="1542"/>
      <c r="BA51" s="1542"/>
      <c r="BB51" s="1542"/>
      <c r="BC51" s="1252"/>
      <c r="BD51" s="1542" t="e">
        <f ca="1">PRCP_y8</f>
        <v>#N/A</v>
      </c>
      <c r="BE51" s="1542"/>
      <c r="BF51" s="1542"/>
      <c r="BG51" s="1542"/>
      <c r="BH51" s="1542"/>
      <c r="BI51" s="1542"/>
      <c r="BJ51" s="1542"/>
      <c r="BK51" s="1542"/>
      <c r="BL51" s="1252"/>
      <c r="BM51" s="1542" t="e">
        <f ca="1">PRCP_y9</f>
        <v>#N/A</v>
      </c>
      <c r="BN51" s="1542"/>
      <c r="BO51" s="1542"/>
      <c r="BP51" s="1542"/>
      <c r="BQ51" s="1542"/>
      <c r="BR51" s="1542"/>
      <c r="BS51" s="1542"/>
      <c r="BT51" s="1542"/>
      <c r="BU51" s="1252"/>
      <c r="BV51" s="1542" t="e">
        <f ca="1">PRCP_y10</f>
        <v>#N/A</v>
      </c>
      <c r="BW51" s="1542"/>
      <c r="BX51" s="1542"/>
      <c r="BY51" s="1542"/>
      <c r="BZ51" s="1542"/>
      <c r="CA51" s="1542"/>
      <c r="CB51" s="1542"/>
      <c r="CC51" s="1542"/>
      <c r="CD51" s="1241"/>
      <c r="CE51" s="1241"/>
      <c r="CF51" s="1241"/>
      <c r="CG51" s="1241"/>
      <c r="CH51" s="1241"/>
      <c r="CI51" s="1241"/>
      <c r="CJ51" s="1241"/>
      <c r="CK51" s="1241"/>
      <c r="CL51" s="1241"/>
      <c r="CM51" s="1241"/>
      <c r="CN51" s="1241"/>
      <c r="CO51" s="1240"/>
      <c r="CP51" s="1240"/>
    </row>
    <row r="52" spans="8:94" s="426" customFormat="1">
      <c r="H52" s="1249"/>
      <c r="I52" s="1249"/>
      <c r="J52" s="1249"/>
      <c r="K52" s="419"/>
      <c r="L52" s="419"/>
      <c r="M52" s="419"/>
      <c r="N52" s="419"/>
      <c r="O52" s="419"/>
      <c r="P52" s="419"/>
      <c r="Q52" s="1249"/>
      <c r="R52" s="1249"/>
      <c r="S52" s="1249"/>
      <c r="T52" s="1249"/>
      <c r="U52" s="1249"/>
      <c r="V52" s="1249"/>
      <c r="W52" s="1249"/>
      <c r="X52" s="1249"/>
      <c r="Y52" s="1249"/>
      <c r="Z52" s="1250"/>
      <c r="AA52" s="1250"/>
      <c r="AB52" s="1250"/>
      <c r="AC52" s="1250"/>
      <c r="AD52" s="1250"/>
      <c r="AE52" s="1250"/>
      <c r="AF52" s="1250"/>
      <c r="AG52" s="1250"/>
      <c r="AH52" s="1250"/>
      <c r="AI52" s="1250"/>
      <c r="AJ52" s="1250"/>
      <c r="AK52" s="1250"/>
      <c r="AL52" s="1250"/>
      <c r="AM52" s="1250"/>
      <c r="AN52" s="1250"/>
      <c r="AO52" s="1250"/>
      <c r="AP52" s="1250"/>
      <c r="AQ52" s="1250"/>
      <c r="AR52" s="1250"/>
      <c r="AS52" s="1249"/>
      <c r="AT52" s="1249"/>
      <c r="AU52" s="1249"/>
      <c r="AV52" s="1249"/>
      <c r="AW52" s="1249"/>
      <c r="AX52" s="1249"/>
      <c r="AY52" s="1249"/>
      <c r="AZ52" s="1249"/>
      <c r="BA52" s="1249"/>
      <c r="BB52" s="1249"/>
      <c r="BC52" s="1249"/>
      <c r="BD52" s="1249"/>
      <c r="BE52" s="1249"/>
      <c r="BF52" s="1249"/>
      <c r="BG52" s="1249"/>
      <c r="BH52" s="1249"/>
      <c r="BI52" s="1249"/>
      <c r="BJ52" s="1249"/>
      <c r="BK52" s="1249"/>
      <c r="BL52" s="1249"/>
      <c r="BM52" s="1249"/>
      <c r="BN52" s="1249"/>
      <c r="BO52" s="1249"/>
      <c r="BP52" s="1249"/>
      <c r="BQ52" s="1249"/>
      <c r="BR52" s="1249"/>
      <c r="BS52" s="1249"/>
      <c r="BT52" s="1249"/>
      <c r="BU52" s="1249"/>
      <c r="BV52" s="1249"/>
      <c r="BW52" s="1249"/>
      <c r="BX52" s="1249"/>
      <c r="BY52" s="1249"/>
      <c r="BZ52" s="1249"/>
      <c r="CA52" s="1249"/>
      <c r="CB52" s="1249"/>
      <c r="CC52" s="1249"/>
      <c r="CD52" s="1249"/>
      <c r="CE52" s="1249"/>
      <c r="CF52" s="1249"/>
      <c r="CG52" s="1249"/>
      <c r="CH52" s="1249"/>
      <c r="CI52" s="1249"/>
      <c r="CJ52" s="1249"/>
      <c r="CK52" s="1249"/>
      <c r="CL52" s="1249"/>
      <c r="CM52" s="1249"/>
      <c r="CN52" s="1249"/>
      <c r="CO52" s="1249"/>
      <c r="CP52" s="1249"/>
    </row>
    <row r="53" spans="8:94" ht="15.75" customHeight="1">
      <c r="H53" s="1243"/>
      <c r="I53" s="1243"/>
      <c r="J53" s="1243"/>
      <c r="Q53" s="1240"/>
      <c r="R53" s="1240"/>
      <c r="S53" s="1240"/>
      <c r="T53" s="1240"/>
      <c r="U53" s="1246"/>
      <c r="V53" s="1246"/>
      <c r="W53" s="1246"/>
      <c r="X53" s="1246"/>
      <c r="Y53" s="1241"/>
      <c r="Z53" s="1239"/>
      <c r="AA53" s="1239"/>
      <c r="AB53" s="1239"/>
      <c r="AC53" s="1239"/>
      <c r="AD53" s="1239"/>
      <c r="AE53" s="1239"/>
      <c r="AF53" s="1239"/>
      <c r="AG53" s="1239"/>
      <c r="AH53" s="1239"/>
      <c r="AI53" s="1239"/>
      <c r="AJ53" s="1239"/>
      <c r="AK53" s="1239"/>
      <c r="AL53" s="1239"/>
      <c r="AM53" s="1239"/>
      <c r="AN53" s="1239"/>
      <c r="AO53" s="1242"/>
      <c r="AP53" s="1242"/>
      <c r="AQ53" s="1242"/>
      <c r="AR53" s="1242"/>
      <c r="AS53" s="1241"/>
      <c r="AT53" s="1241"/>
      <c r="AU53" s="1241"/>
      <c r="AV53" s="1241"/>
      <c r="AW53" s="1241"/>
      <c r="AX53" s="1241"/>
      <c r="AY53" s="1241"/>
      <c r="AZ53" s="1241"/>
      <c r="BA53" s="1241"/>
      <c r="BB53" s="1241"/>
      <c r="BC53" s="1241"/>
      <c r="BD53" s="1241"/>
      <c r="BE53" s="1241"/>
      <c r="BF53" s="1241"/>
      <c r="BG53" s="1241"/>
      <c r="BH53" s="1241"/>
      <c r="BI53" s="1241"/>
      <c r="BJ53" s="1241"/>
      <c r="BK53" s="1241"/>
      <c r="BL53" s="1241"/>
      <c r="BM53" s="1241"/>
      <c r="BN53" s="1241"/>
      <c r="BO53" s="1241"/>
      <c r="BP53" s="1241"/>
      <c r="BQ53" s="1241"/>
      <c r="BR53" s="1241"/>
      <c r="BS53" s="1241"/>
      <c r="BT53" s="1241"/>
      <c r="BU53" s="1241"/>
      <c r="BV53" s="1241"/>
      <c r="BW53" s="1241"/>
      <c r="BX53" s="1241"/>
      <c r="BY53" s="1241"/>
      <c r="BZ53" s="1241"/>
      <c r="CA53" s="1241"/>
      <c r="CB53" s="1241"/>
      <c r="CC53" s="1241"/>
      <c r="CD53" s="1241"/>
      <c r="CE53" s="1241"/>
      <c r="CF53" s="1241"/>
      <c r="CG53" s="1241"/>
      <c r="CH53" s="1241"/>
      <c r="CI53" s="1241"/>
      <c r="CJ53" s="1241"/>
      <c r="CK53" s="1241"/>
      <c r="CL53" s="1241"/>
      <c r="CM53" s="1241"/>
      <c r="CN53" s="1241"/>
      <c r="CO53" s="1240"/>
      <c r="CP53" s="1240"/>
    </row>
    <row r="54" spans="8:94" ht="30">
      <c r="H54" s="1248"/>
      <c r="I54" s="1248"/>
      <c r="J54" s="1248"/>
      <c r="Q54" s="1247" t="s">
        <v>1114</v>
      </c>
      <c r="R54" s="1247"/>
      <c r="S54" s="1247"/>
      <c r="T54" s="1247"/>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T54" s="1247"/>
      <c r="AU54" s="1247"/>
      <c r="AV54" s="1247"/>
      <c r="AW54" s="1247"/>
      <c r="AX54" s="1247"/>
      <c r="AY54" s="1247"/>
      <c r="AZ54" s="1247"/>
      <c r="BA54" s="1247"/>
      <c r="BB54" s="1247"/>
      <c r="BC54" s="1247"/>
      <c r="BD54" s="1247"/>
      <c r="BE54" s="1247"/>
      <c r="BF54" s="1247"/>
      <c r="BG54" s="1247"/>
      <c r="BH54" s="1247"/>
      <c r="BI54" s="1247"/>
      <c r="BJ54" s="1247"/>
      <c r="BK54" s="1247"/>
      <c r="BL54" s="1247"/>
      <c r="BM54" s="1247"/>
      <c r="BN54" s="1247"/>
      <c r="BO54" s="1247"/>
      <c r="BP54" s="1247"/>
      <c r="BQ54" s="1247"/>
      <c r="BR54" s="1247"/>
      <c r="BS54" s="1247"/>
      <c r="BT54" s="1247"/>
      <c r="BU54" s="1247"/>
      <c r="BV54" s="1247"/>
      <c r="BW54" s="1247"/>
      <c r="BX54" s="1247"/>
      <c r="BY54" s="1247"/>
      <c r="BZ54" s="1247"/>
      <c r="CA54" s="1247"/>
      <c r="CB54" s="1247"/>
      <c r="CC54" s="1247"/>
      <c r="CD54" s="1247"/>
      <c r="CE54" s="1247"/>
      <c r="CF54" s="1247"/>
      <c r="CG54" s="1247"/>
      <c r="CH54" s="1247"/>
      <c r="CI54" s="1247"/>
      <c r="CJ54" s="1247"/>
      <c r="CK54" s="1247"/>
      <c r="CL54" s="1247"/>
      <c r="CM54" s="1247"/>
      <c r="CN54" s="1247"/>
      <c r="CO54" s="1247"/>
      <c r="CP54" s="1247"/>
    </row>
    <row r="55" spans="8:94" ht="18">
      <c r="Q55" s="1240"/>
      <c r="R55" s="1240"/>
      <c r="S55" s="1240"/>
      <c r="T55" s="1240"/>
      <c r="U55" s="1246"/>
      <c r="V55" s="1246"/>
      <c r="W55" s="1246"/>
      <c r="X55" s="1246"/>
      <c r="Y55" s="1241"/>
      <c r="Z55" s="1239"/>
      <c r="AA55" s="1239"/>
      <c r="AB55" s="1239"/>
      <c r="AC55" s="1239"/>
      <c r="AD55" s="1239"/>
      <c r="AE55" s="1239"/>
      <c r="AF55" s="1239"/>
      <c r="AG55" s="1239"/>
      <c r="AH55" s="1239"/>
      <c r="AI55" s="1239"/>
      <c r="AJ55" s="1239"/>
      <c r="AK55" s="1239"/>
      <c r="AL55" s="1239"/>
      <c r="AM55" s="1239"/>
      <c r="AN55" s="1239"/>
      <c r="AO55" s="1242"/>
      <c r="AP55" s="1242"/>
      <c r="AQ55" s="1242"/>
      <c r="AR55" s="1242"/>
      <c r="AS55" s="1241"/>
      <c r="AT55" s="1241"/>
      <c r="AU55" s="1241"/>
      <c r="AV55" s="1241"/>
      <c r="AW55" s="1241"/>
      <c r="AX55" s="1241"/>
      <c r="AY55" s="1241"/>
      <c r="AZ55" s="1241"/>
      <c r="BA55" s="1241"/>
      <c r="BB55" s="1241"/>
      <c r="BC55" s="1241"/>
      <c r="BD55" s="1241"/>
      <c r="BE55" s="1241"/>
      <c r="BF55" s="1241"/>
      <c r="BG55" s="1241"/>
      <c r="BH55" s="1241"/>
      <c r="BI55" s="1241"/>
      <c r="BJ55" s="1241"/>
      <c r="BK55" s="1241"/>
      <c r="BL55" s="1241"/>
      <c r="BM55" s="1241"/>
      <c r="BN55" s="1241"/>
      <c r="BO55" s="1241"/>
      <c r="BP55" s="1241"/>
      <c r="BQ55" s="1241"/>
      <c r="BR55" s="1241"/>
      <c r="BS55" s="1241"/>
      <c r="BT55" s="1241"/>
      <c r="BU55" s="1241"/>
      <c r="BV55" s="1241"/>
      <c r="BW55" s="1241"/>
      <c r="BX55" s="1241"/>
      <c r="BY55" s="1241"/>
      <c r="BZ55" s="1241"/>
      <c r="CA55" s="1241"/>
      <c r="CB55" s="1241"/>
      <c r="CC55" s="1241"/>
      <c r="CD55" s="1241"/>
      <c r="CE55" s="1241"/>
      <c r="CF55" s="1241"/>
      <c r="CG55" s="1241"/>
      <c r="CH55" s="1241"/>
      <c r="CI55" s="1241"/>
      <c r="CJ55" s="1241"/>
      <c r="CK55" s="1241"/>
      <c r="CL55" s="1241"/>
      <c r="CM55" s="1241"/>
      <c r="CN55" s="1241"/>
      <c r="CO55" s="1240"/>
      <c r="CP55" s="1240"/>
    </row>
    <row r="56" spans="8:94" ht="18">
      <c r="Q56" s="1240"/>
      <c r="R56" s="1240"/>
      <c r="S56" s="1240"/>
      <c r="T56" s="1240"/>
      <c r="U56" s="1246"/>
      <c r="V56" s="1246"/>
      <c r="W56" s="1246"/>
      <c r="X56" s="1246"/>
      <c r="Y56" s="1241"/>
      <c r="Z56" s="1534" t="s">
        <v>1113</v>
      </c>
      <c r="AA56" s="1534"/>
      <c r="AB56" s="1534"/>
      <c r="AC56" s="1534"/>
      <c r="AD56" s="1534"/>
      <c r="AE56" s="1534"/>
      <c r="AF56" s="1534"/>
      <c r="AG56" s="1534"/>
      <c r="AH56" s="1534"/>
      <c r="AI56" s="1534"/>
      <c r="AJ56" s="1241"/>
      <c r="AK56" s="1241"/>
      <c r="AL56" s="1535" t="str">
        <f ca="1">INDIRECT(dms_Model)</f>
        <v>Roll Forward Model</v>
      </c>
      <c r="AM56" s="1535"/>
      <c r="AN56" s="1535"/>
      <c r="AO56" s="1535"/>
      <c r="AP56" s="1535"/>
      <c r="AQ56" s="1535"/>
      <c r="AR56" s="1535"/>
      <c r="AS56" s="1535"/>
      <c r="AT56" s="1535"/>
      <c r="AU56" s="1535"/>
      <c r="AV56" s="1535"/>
      <c r="AW56" s="1535"/>
      <c r="AX56" s="1535"/>
      <c r="AY56" s="1535"/>
      <c r="AZ56" s="1535"/>
      <c r="BA56" s="1535"/>
      <c r="BB56" s="1241"/>
      <c r="BC56" s="1241"/>
      <c r="BD56" s="1241"/>
      <c r="BE56" s="1241"/>
      <c r="BF56" s="1241"/>
      <c r="BG56" s="1241"/>
      <c r="BH56" s="1241"/>
      <c r="BI56" s="1241"/>
      <c r="BJ56" s="1241"/>
      <c r="BK56" s="1241"/>
      <c r="BL56" s="1241"/>
      <c r="BM56" s="1241"/>
      <c r="BN56" s="1241"/>
      <c r="BO56" s="1241"/>
      <c r="BP56" s="1241"/>
      <c r="BQ56" s="1241"/>
      <c r="BR56" s="1241"/>
      <c r="BS56" s="1241"/>
      <c r="BT56" s="1241"/>
      <c r="BU56" s="1241"/>
      <c r="BV56" s="1241"/>
      <c r="BW56" s="1241"/>
      <c r="BX56" s="1241"/>
      <c r="BY56" s="1241"/>
      <c r="BZ56" s="1241"/>
      <c r="CA56" s="1241"/>
      <c r="CB56" s="1241"/>
      <c r="CC56" s="1241"/>
      <c r="CD56" s="1241"/>
      <c r="CE56" s="1241"/>
      <c r="CF56" s="1241"/>
      <c r="CG56" s="1241"/>
      <c r="CH56" s="1241"/>
      <c r="CI56" s="1241"/>
      <c r="CJ56" s="1241"/>
      <c r="CK56" s="1241"/>
      <c r="CL56" s="1241"/>
      <c r="CM56" s="1241"/>
      <c r="CN56" s="1241"/>
      <c r="CO56" s="1240"/>
      <c r="CP56" s="1240"/>
    </row>
    <row r="57" spans="8:94" ht="18">
      <c r="Q57" s="1240"/>
      <c r="R57" s="1240"/>
      <c r="S57" s="1240"/>
      <c r="T57" s="1240"/>
      <c r="U57" s="1246"/>
      <c r="V57" s="1246"/>
      <c r="W57" s="1246"/>
      <c r="X57" s="1246"/>
      <c r="Y57" s="1241"/>
      <c r="Z57" s="1239"/>
      <c r="AA57" s="1239"/>
      <c r="AB57" s="1239"/>
      <c r="AC57" s="1239"/>
      <c r="AD57" s="1239"/>
      <c r="AE57" s="1239"/>
      <c r="AF57" s="1239"/>
      <c r="AG57" s="1239"/>
      <c r="AH57" s="1239"/>
      <c r="AI57" s="1239"/>
      <c r="AJ57" s="1239"/>
      <c r="AK57" s="1239"/>
      <c r="AL57" s="1239"/>
      <c r="AM57" s="1239"/>
      <c r="AN57" s="1239"/>
      <c r="AO57" s="1242"/>
      <c r="AP57" s="1242"/>
      <c r="AQ57" s="1242"/>
      <c r="AR57" s="1242"/>
      <c r="AS57" s="1241"/>
      <c r="AT57" s="1241"/>
      <c r="AU57" s="1241"/>
      <c r="AV57" s="1241"/>
      <c r="AW57" s="1241"/>
      <c r="AX57" s="1241"/>
      <c r="AY57" s="1241"/>
      <c r="AZ57" s="1241"/>
      <c r="BA57" s="1241"/>
      <c r="BB57" s="1241"/>
      <c r="BC57" s="1241"/>
      <c r="BD57" s="1241"/>
      <c r="BE57" s="1241"/>
      <c r="BF57" s="1241"/>
      <c r="BG57" s="1241"/>
      <c r="BH57" s="1241"/>
      <c r="BI57" s="1241"/>
      <c r="BJ57" s="1241"/>
      <c r="BK57" s="1241"/>
      <c r="BL57" s="1241"/>
      <c r="BM57" s="1241"/>
      <c r="BN57" s="1241"/>
      <c r="BO57" s="1241"/>
      <c r="BP57" s="1241"/>
      <c r="BQ57" s="1241"/>
      <c r="BR57" s="1241"/>
      <c r="BS57" s="1241"/>
      <c r="BT57" s="1241"/>
      <c r="BU57" s="1241"/>
      <c r="BV57" s="1241"/>
      <c r="BW57" s="1241"/>
      <c r="BX57" s="1241"/>
      <c r="BY57" s="1241"/>
      <c r="BZ57" s="1241"/>
      <c r="CA57" s="1241"/>
      <c r="CB57" s="1241"/>
      <c r="CC57" s="1241"/>
      <c r="CD57" s="1241"/>
      <c r="CE57" s="1241"/>
      <c r="CF57" s="1241"/>
      <c r="CG57" s="1241"/>
      <c r="CH57" s="1241"/>
      <c r="CI57" s="1241"/>
      <c r="CJ57" s="1241"/>
      <c r="CK57" s="1241"/>
      <c r="CL57" s="1241"/>
      <c r="CM57" s="1241"/>
      <c r="CN57" s="1241"/>
      <c r="CO57" s="1240"/>
      <c r="CP57" s="1240"/>
    </row>
    <row r="58" spans="8:94" ht="15.75" customHeight="1">
      <c r="H58" s="1243"/>
      <c r="I58" s="1243"/>
      <c r="J58" s="1243"/>
      <c r="Q58" s="1244"/>
      <c r="R58" s="1244"/>
      <c r="S58" s="1244"/>
      <c r="T58" s="1244"/>
      <c r="U58" s="1244"/>
      <c r="V58" s="1244"/>
      <c r="W58" s="1239"/>
      <c r="X58" s="1239"/>
      <c r="Y58" s="1239"/>
      <c r="Z58" s="1534" t="s">
        <v>84</v>
      </c>
      <c r="AA58" s="1534"/>
      <c r="AB58" s="1534"/>
      <c r="AC58" s="1534"/>
      <c r="AD58" s="1534"/>
      <c r="AE58" s="1534"/>
      <c r="AF58" s="1534"/>
      <c r="AG58" s="1534"/>
      <c r="AH58" s="1534"/>
      <c r="AI58" s="1534"/>
      <c r="AJ58" s="1241"/>
      <c r="AK58" s="1241"/>
      <c r="AL58" s="1540" t="s">
        <v>85</v>
      </c>
      <c r="AM58" s="1540"/>
      <c r="AN58" s="1540"/>
      <c r="AO58" s="1540"/>
      <c r="AP58" s="1540"/>
      <c r="AQ58" s="1540"/>
      <c r="AR58" s="1540"/>
      <c r="AS58" s="1540"/>
      <c r="AT58" s="1540"/>
      <c r="AU58" s="1540"/>
      <c r="AV58" s="1540"/>
      <c r="AW58" s="1540"/>
      <c r="AX58" s="1540"/>
      <c r="AY58" s="1540"/>
      <c r="AZ58" s="1540"/>
      <c r="BA58" s="1540"/>
      <c r="BB58" s="1241"/>
      <c r="BC58" s="1241"/>
      <c r="BD58" s="1241"/>
      <c r="BE58" s="1241"/>
      <c r="BF58" s="1241"/>
      <c r="BG58" s="1241"/>
      <c r="BH58" s="1241"/>
      <c r="BI58" s="1241"/>
      <c r="BJ58" s="1241"/>
      <c r="BK58" s="1241"/>
      <c r="BL58" s="1241"/>
      <c r="BM58" s="1241"/>
      <c r="BN58" s="1241"/>
      <c r="BO58" s="1241"/>
      <c r="BP58" s="1241"/>
      <c r="BQ58" s="1241"/>
      <c r="BR58" s="1241"/>
      <c r="BS58" s="1241"/>
      <c r="BT58" s="1241"/>
      <c r="BU58" s="1241"/>
      <c r="BV58" s="1241"/>
      <c r="BW58" s="1241"/>
      <c r="BX58" s="1241"/>
      <c r="BY58" s="1241"/>
      <c r="BZ58" s="1241"/>
      <c r="CA58" s="1241"/>
      <c r="CB58" s="1241"/>
      <c r="CC58" s="1241"/>
      <c r="CD58" s="1241"/>
      <c r="CE58" s="1241"/>
      <c r="CF58" s="1241"/>
      <c r="CG58" s="1241"/>
      <c r="CH58" s="1241"/>
      <c r="CI58" s="1241"/>
      <c r="CJ58" s="1241"/>
      <c r="CK58" s="1241"/>
      <c r="CL58" s="1241"/>
      <c r="CM58" s="1241"/>
      <c r="CN58" s="1241"/>
      <c r="CO58" s="1240"/>
      <c r="CP58" s="1240"/>
    </row>
    <row r="59" spans="8:94" ht="15" customHeight="1">
      <c r="H59" s="1243"/>
      <c r="I59" s="1243"/>
      <c r="J59" s="1243"/>
      <c r="Q59" s="1244"/>
      <c r="R59" s="1244"/>
      <c r="S59" s="1244"/>
      <c r="T59" s="1244"/>
      <c r="U59" s="1244"/>
      <c r="V59" s="1244"/>
      <c r="W59" s="1239"/>
      <c r="X59" s="1239"/>
      <c r="Y59" s="1239"/>
      <c r="Z59" s="1239"/>
      <c r="AA59" s="1239"/>
      <c r="AB59" s="1239"/>
      <c r="AC59" s="1239"/>
      <c r="AD59" s="1239"/>
      <c r="AE59" s="1242"/>
      <c r="AF59" s="1242"/>
      <c r="AG59" s="1242"/>
      <c r="AH59" s="1242"/>
      <c r="AI59" s="1241"/>
      <c r="AJ59" s="1241"/>
      <c r="AK59" s="1241"/>
      <c r="AL59" s="1241"/>
      <c r="AM59" s="1241"/>
      <c r="AN59" s="1241"/>
      <c r="AO59" s="1241"/>
      <c r="AP59" s="1241"/>
      <c r="AQ59" s="1241"/>
      <c r="AR59" s="1241"/>
      <c r="AS59" s="1241"/>
      <c r="AT59" s="1241"/>
      <c r="AU59" s="1241"/>
      <c r="AV59" s="1241"/>
      <c r="AW59" s="1241"/>
      <c r="AX59" s="1241"/>
      <c r="AY59" s="1241"/>
      <c r="AZ59" s="1241"/>
      <c r="BA59" s="1241"/>
      <c r="BB59" s="1241"/>
      <c r="BC59" s="1241"/>
      <c r="BD59" s="1241"/>
      <c r="BE59" s="1241"/>
      <c r="BF59" s="1241"/>
      <c r="BG59" s="1241"/>
      <c r="BH59" s="1241"/>
      <c r="BI59" s="1241"/>
      <c r="BJ59" s="1241"/>
      <c r="BK59" s="1241"/>
      <c r="BL59" s="1241"/>
      <c r="BM59" s="1241"/>
      <c r="BN59" s="1241"/>
      <c r="BO59" s="1241"/>
      <c r="BP59" s="1241"/>
      <c r="BQ59" s="1241"/>
      <c r="BR59" s="1241"/>
      <c r="BS59" s="1241"/>
      <c r="BT59" s="1241"/>
      <c r="BU59" s="1241"/>
      <c r="BV59" s="1241"/>
      <c r="BW59" s="1241"/>
      <c r="BX59" s="1241"/>
      <c r="BY59" s="1241"/>
      <c r="BZ59" s="1241"/>
      <c r="CA59" s="1241"/>
      <c r="CB59" s="1241"/>
      <c r="CC59" s="1241"/>
      <c r="CD59" s="1241"/>
      <c r="CE59" s="1241"/>
      <c r="CF59" s="1241"/>
      <c r="CG59" s="1241"/>
      <c r="CH59" s="1241"/>
      <c r="CI59" s="1241"/>
      <c r="CJ59" s="1241"/>
      <c r="CK59" s="1241"/>
      <c r="CL59" s="1241"/>
      <c r="CM59" s="1241"/>
      <c r="CN59" s="1241"/>
      <c r="CO59" s="1240"/>
      <c r="CP59" s="1240"/>
    </row>
    <row r="60" spans="8:94" ht="15.75" customHeight="1">
      <c r="H60" s="1243"/>
      <c r="I60" s="1243"/>
      <c r="J60" s="1243"/>
      <c r="Q60" s="1244"/>
      <c r="R60" s="1244"/>
      <c r="S60" s="1244"/>
      <c r="T60" s="1244"/>
      <c r="U60" s="1244"/>
      <c r="V60" s="1244"/>
      <c r="W60" s="1244"/>
      <c r="X60" s="1244" t="s">
        <v>1112</v>
      </c>
      <c r="Y60" s="1239"/>
      <c r="Z60" s="1534" t="s">
        <v>1111</v>
      </c>
      <c r="AA60" s="1534"/>
      <c r="AB60" s="1534"/>
      <c r="AC60" s="1534"/>
      <c r="AD60" s="1534"/>
      <c r="AE60" s="1534"/>
      <c r="AF60" s="1534"/>
      <c r="AG60" s="1534"/>
      <c r="AH60" s="1534"/>
      <c r="AI60" s="1534"/>
      <c r="AJ60" s="1241"/>
      <c r="AK60" s="1241"/>
      <c r="AL60" s="1540" t="s">
        <v>90</v>
      </c>
      <c r="AM60" s="1540"/>
      <c r="AN60" s="1540"/>
      <c r="AO60" s="1540"/>
      <c r="AP60" s="1540"/>
      <c r="AQ60" s="1540"/>
      <c r="AR60" s="1540"/>
      <c r="AS60" s="1540"/>
      <c r="AT60" s="1540"/>
      <c r="AU60" s="1540"/>
      <c r="AV60" s="1540"/>
      <c r="AW60" s="1540"/>
      <c r="AX60" s="1540"/>
      <c r="AY60" s="1540"/>
      <c r="AZ60" s="1540"/>
      <c r="BA60" s="1540"/>
      <c r="BB60" s="1241"/>
      <c r="BC60" s="1241"/>
      <c r="BD60" s="1241"/>
      <c r="BE60" s="1241"/>
      <c r="BF60" s="1241"/>
      <c r="BG60" s="1241"/>
      <c r="BH60" s="1241"/>
      <c r="BI60" s="1241"/>
      <c r="BJ60" s="1241"/>
      <c r="BK60" s="1241"/>
      <c r="BL60" s="1241"/>
      <c r="BM60" s="1241"/>
      <c r="BN60" s="1241"/>
      <c r="BO60" s="1241"/>
      <c r="BP60" s="1241"/>
      <c r="BQ60" s="1241"/>
      <c r="BR60" s="1241"/>
      <c r="BS60" s="1241"/>
      <c r="BT60" s="1241"/>
      <c r="BU60" s="1241"/>
      <c r="BV60" s="1241"/>
      <c r="BW60" s="1241"/>
      <c r="BX60" s="1241"/>
      <c r="BY60" s="1241"/>
      <c r="BZ60" s="1241"/>
      <c r="CA60" s="1241"/>
      <c r="CB60" s="1241"/>
      <c r="CC60" s="1241"/>
      <c r="CD60" s="1241"/>
      <c r="CE60" s="1241"/>
      <c r="CF60" s="1241"/>
      <c r="CG60" s="1241"/>
      <c r="CH60" s="1241"/>
      <c r="CI60" s="1241"/>
      <c r="CJ60" s="1241"/>
      <c r="CK60" s="1241"/>
      <c r="CL60" s="1241"/>
      <c r="CM60" s="1240"/>
      <c r="CN60" s="1240"/>
      <c r="CO60" s="1239"/>
      <c r="CP60" s="1244"/>
    </row>
    <row r="61" spans="8:94" ht="15" customHeight="1">
      <c r="H61" s="1243"/>
      <c r="I61" s="1243"/>
      <c r="J61" s="1243"/>
      <c r="Q61" s="1244"/>
      <c r="R61" s="1244"/>
      <c r="S61" s="1244"/>
      <c r="T61" s="1244"/>
      <c r="U61" s="1244"/>
      <c r="V61" s="1244"/>
      <c r="W61" s="1239"/>
      <c r="X61" s="1239"/>
      <c r="Y61" s="1239"/>
      <c r="Z61" s="1239"/>
      <c r="AA61" s="1239"/>
      <c r="AB61" s="1239"/>
      <c r="AC61" s="1239"/>
      <c r="AD61" s="1239"/>
      <c r="AE61" s="1242"/>
      <c r="AF61" s="1242"/>
      <c r="AG61" s="1242"/>
      <c r="AH61" s="1242"/>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D61" s="1241"/>
      <c r="BE61" s="1241"/>
      <c r="BF61" s="1241"/>
      <c r="BG61" s="1241"/>
      <c r="BH61" s="1241"/>
      <c r="BI61" s="1241"/>
      <c r="BJ61" s="1241"/>
      <c r="BK61" s="1241"/>
      <c r="BL61" s="1241"/>
      <c r="BM61" s="1241"/>
      <c r="BN61" s="1241"/>
      <c r="BO61" s="1241"/>
      <c r="BP61" s="1241"/>
      <c r="BQ61" s="1241"/>
      <c r="BR61" s="1241"/>
      <c r="BS61" s="1241"/>
      <c r="BT61" s="1241"/>
      <c r="BU61" s="1241"/>
      <c r="BV61" s="1241"/>
      <c r="BW61" s="1241"/>
      <c r="BX61" s="1241"/>
      <c r="BY61" s="1241"/>
      <c r="BZ61" s="1241"/>
      <c r="CA61" s="1241"/>
      <c r="CB61" s="1241"/>
      <c r="CC61" s="1241"/>
      <c r="CD61" s="1241"/>
      <c r="CE61" s="1241"/>
      <c r="CF61" s="1241"/>
      <c r="CG61" s="1241"/>
      <c r="CH61" s="1241"/>
      <c r="CI61" s="1241"/>
      <c r="CJ61" s="1241"/>
      <c r="CK61" s="1241"/>
      <c r="CL61" s="1241"/>
      <c r="CM61" s="1240"/>
      <c r="CN61" s="1240"/>
      <c r="CO61" s="1239"/>
      <c r="CP61" s="1244"/>
    </row>
    <row r="62" spans="8:94" ht="15.75" customHeight="1">
      <c r="H62" s="1243"/>
      <c r="I62" s="1243"/>
      <c r="J62" s="1243"/>
      <c r="Q62" s="1244"/>
      <c r="R62" s="1244"/>
      <c r="S62" s="1244"/>
      <c r="T62" s="1244"/>
      <c r="U62" s="1244"/>
      <c r="V62" s="1244"/>
      <c r="W62" s="1239"/>
      <c r="X62" s="1239"/>
      <c r="Y62" s="1239"/>
      <c r="Z62" s="1534" t="s">
        <v>1110</v>
      </c>
      <c r="AA62" s="1534"/>
      <c r="AB62" s="1534"/>
      <c r="AC62" s="1534"/>
      <c r="AD62" s="1534"/>
      <c r="AE62" s="1534"/>
      <c r="AF62" s="1534"/>
      <c r="AG62" s="1534"/>
      <c r="AH62" s="1534"/>
      <c r="AI62" s="1534"/>
      <c r="AJ62" s="1241"/>
      <c r="AK62" s="1241"/>
      <c r="AL62" s="1540" t="s">
        <v>89</v>
      </c>
      <c r="AM62" s="1540"/>
      <c r="AN62" s="1540"/>
      <c r="AO62" s="1540"/>
      <c r="AP62" s="1540"/>
      <c r="AQ62" s="1540"/>
      <c r="AR62" s="1540"/>
      <c r="AS62" s="1540"/>
      <c r="AT62" s="1540"/>
      <c r="AU62" s="1540"/>
      <c r="AV62" s="1540"/>
      <c r="AW62" s="1540"/>
      <c r="AX62" s="1540"/>
      <c r="AY62" s="1540"/>
      <c r="AZ62" s="1540"/>
      <c r="BA62" s="1540"/>
      <c r="BB62" s="1241"/>
      <c r="BC62" s="1241"/>
      <c r="BD62" s="1241"/>
      <c r="BE62" s="1241"/>
      <c r="BF62" s="1241"/>
      <c r="BG62" s="1241"/>
      <c r="BH62" s="1241"/>
      <c r="BI62" s="1241"/>
      <c r="BJ62" s="1241"/>
      <c r="BK62" s="1241"/>
      <c r="BL62" s="1241"/>
      <c r="BM62" s="1241"/>
      <c r="BN62" s="1241"/>
      <c r="BO62" s="1241"/>
      <c r="BP62" s="1241"/>
      <c r="BQ62" s="1241"/>
      <c r="BR62" s="1241"/>
      <c r="BS62" s="1241"/>
      <c r="BT62" s="1241"/>
      <c r="BU62" s="1241"/>
      <c r="BV62" s="1241"/>
      <c r="BW62" s="1241"/>
      <c r="BX62" s="1241"/>
      <c r="BY62" s="1241"/>
      <c r="BZ62" s="1241"/>
      <c r="CA62" s="1241"/>
      <c r="CB62" s="1241"/>
      <c r="CC62" s="1241"/>
      <c r="CD62" s="1241"/>
      <c r="CE62" s="1241"/>
      <c r="CF62" s="1241"/>
      <c r="CG62" s="1241"/>
      <c r="CH62" s="1241"/>
      <c r="CI62" s="1241"/>
      <c r="CJ62" s="1241"/>
      <c r="CK62" s="1241"/>
      <c r="CL62" s="1241"/>
      <c r="CM62" s="1240"/>
      <c r="CN62" s="1240"/>
      <c r="CO62" s="1239"/>
      <c r="CP62" s="1244"/>
    </row>
    <row r="63" spans="8:94" ht="15" customHeight="1">
      <c r="H63" s="1243"/>
      <c r="I63" s="1243"/>
      <c r="J63" s="1243"/>
      <c r="Q63" s="1244"/>
      <c r="R63" s="1244"/>
      <c r="S63" s="1244"/>
      <c r="T63" s="1244"/>
      <c r="U63" s="1244"/>
      <c r="V63" s="1244"/>
      <c r="W63" s="1239"/>
      <c r="X63" s="1239"/>
      <c r="Y63" s="1239"/>
      <c r="Z63" s="1239"/>
      <c r="AA63" s="1239"/>
      <c r="AB63" s="1239"/>
      <c r="AC63" s="1239"/>
      <c r="AD63" s="1239"/>
      <c r="AE63" s="1242"/>
      <c r="AF63" s="1242"/>
      <c r="AG63" s="1242"/>
      <c r="AH63" s="1242"/>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D63" s="1241"/>
      <c r="BE63" s="1241"/>
      <c r="BF63" s="1241"/>
      <c r="BG63" s="1241"/>
      <c r="BH63" s="1241"/>
      <c r="BI63" s="1241"/>
      <c r="BJ63" s="1241"/>
      <c r="BK63" s="1241"/>
      <c r="BL63" s="1241"/>
      <c r="BM63" s="1241"/>
      <c r="BN63" s="1241"/>
      <c r="BO63" s="1241"/>
      <c r="BP63" s="1241"/>
      <c r="BQ63" s="1241"/>
      <c r="BR63" s="1241"/>
      <c r="BS63" s="1241"/>
      <c r="BT63" s="1241"/>
      <c r="BU63" s="1241"/>
      <c r="BV63" s="1241"/>
      <c r="BW63" s="1241"/>
      <c r="BX63" s="1241"/>
      <c r="BY63" s="1241"/>
      <c r="BZ63" s="1241"/>
      <c r="CA63" s="1241"/>
      <c r="CB63" s="1241"/>
      <c r="CC63" s="1241"/>
      <c r="CD63" s="1241"/>
      <c r="CE63" s="1241"/>
      <c r="CF63" s="1241"/>
      <c r="CG63" s="1241"/>
      <c r="CH63" s="1241"/>
      <c r="CI63" s="1241"/>
      <c r="CJ63" s="1241"/>
      <c r="CK63" s="1241"/>
      <c r="CL63" s="1241"/>
      <c r="CM63" s="1240"/>
      <c r="CN63" s="1240"/>
      <c r="CO63" s="1239"/>
      <c r="CP63" s="1244"/>
    </row>
    <row r="64" spans="8:94" ht="15" customHeight="1">
      <c r="H64" s="1243"/>
      <c r="I64" s="1243"/>
      <c r="J64" s="1243"/>
      <c r="Q64" s="1244"/>
      <c r="R64" s="1244"/>
      <c r="S64" s="1244"/>
      <c r="T64" s="1244"/>
      <c r="U64" s="1244"/>
      <c r="V64" s="1244"/>
      <c r="W64" s="1239"/>
      <c r="X64" s="1239"/>
      <c r="Y64" s="1239"/>
      <c r="Z64" s="1536" t="s">
        <v>1109</v>
      </c>
      <c r="AA64" s="1536"/>
      <c r="AB64" s="1536"/>
      <c r="AC64" s="1536"/>
      <c r="AD64" s="1536"/>
      <c r="AE64" s="1536"/>
      <c r="AF64" s="1536"/>
      <c r="AG64" s="1536"/>
      <c r="AH64" s="1536"/>
      <c r="AI64" s="1536"/>
      <c r="AJ64" s="1241"/>
      <c r="AK64" s="1241"/>
      <c r="AL64" s="1537" t="s">
        <v>1108</v>
      </c>
      <c r="AM64" s="1537"/>
      <c r="AN64" s="1537"/>
      <c r="AO64" s="1537"/>
      <c r="AP64" s="1537"/>
      <c r="AQ64" s="1537"/>
      <c r="AR64" s="1537"/>
      <c r="AS64" s="1537"/>
      <c r="AT64" s="1537"/>
      <c r="AU64" s="1537"/>
      <c r="AV64" s="1537"/>
      <c r="AW64" s="1537"/>
      <c r="AX64" s="1537"/>
      <c r="AY64" s="1537"/>
      <c r="AZ64" s="1537"/>
      <c r="BA64" s="1537"/>
      <c r="BB64" s="1537"/>
      <c r="BC64" s="1537"/>
      <c r="BD64" s="1537"/>
      <c r="BE64" s="1537"/>
      <c r="BF64" s="1537"/>
      <c r="BG64" s="1537"/>
      <c r="BH64" s="1537"/>
      <c r="BI64" s="1537"/>
      <c r="BJ64" s="1537"/>
      <c r="BK64" s="1537"/>
      <c r="BL64" s="1537"/>
      <c r="BM64" s="1537"/>
      <c r="BN64" s="1537"/>
      <c r="BO64" s="1537"/>
      <c r="BP64" s="1537"/>
      <c r="BQ64" s="1537"/>
      <c r="BR64" s="1537"/>
      <c r="BS64" s="1537"/>
      <c r="BT64" s="1537"/>
      <c r="BU64" s="1537"/>
      <c r="BV64" s="1537"/>
      <c r="BW64" s="1537"/>
      <c r="BX64" s="1537"/>
      <c r="BY64" s="1537"/>
      <c r="BZ64" s="1537"/>
      <c r="CA64" s="1537"/>
      <c r="CB64" s="1537"/>
      <c r="CC64" s="1537"/>
      <c r="CD64" s="1537"/>
      <c r="CE64" s="1241"/>
      <c r="CF64" s="1241"/>
      <c r="CG64" s="1241"/>
      <c r="CH64" s="1241"/>
      <c r="CI64" s="1241"/>
      <c r="CJ64" s="1241"/>
      <c r="CK64" s="1241"/>
      <c r="CL64" s="1241"/>
      <c r="CM64" s="1240"/>
      <c r="CN64" s="1240"/>
      <c r="CO64" s="1239"/>
      <c r="CP64" s="1244"/>
    </row>
    <row r="65" spans="8:94" ht="15" customHeight="1">
      <c r="H65" s="1243"/>
      <c r="I65" s="1243"/>
      <c r="J65" s="1243"/>
      <c r="Q65" s="1244"/>
      <c r="R65" s="1244"/>
      <c r="S65" s="1244"/>
      <c r="T65" s="1244"/>
      <c r="U65" s="1244"/>
      <c r="V65" s="1244"/>
      <c r="W65" s="1239"/>
      <c r="X65" s="1239"/>
      <c r="Y65" s="1239"/>
      <c r="Z65" s="1536"/>
      <c r="AA65" s="1536"/>
      <c r="AB65" s="1536"/>
      <c r="AC65" s="1536"/>
      <c r="AD65" s="1536"/>
      <c r="AE65" s="1536"/>
      <c r="AF65" s="1536"/>
      <c r="AG65" s="1536"/>
      <c r="AH65" s="1536"/>
      <c r="AI65" s="1536"/>
      <c r="AJ65" s="1241"/>
      <c r="AK65" s="1241"/>
      <c r="AL65" s="1537"/>
      <c r="AM65" s="1537"/>
      <c r="AN65" s="1537"/>
      <c r="AO65" s="1537"/>
      <c r="AP65" s="1537"/>
      <c r="AQ65" s="1537"/>
      <c r="AR65" s="1537"/>
      <c r="AS65" s="1537"/>
      <c r="AT65" s="1537"/>
      <c r="AU65" s="1537"/>
      <c r="AV65" s="1537"/>
      <c r="AW65" s="1537"/>
      <c r="AX65" s="1537"/>
      <c r="AY65" s="1537"/>
      <c r="AZ65" s="1537"/>
      <c r="BA65" s="1537"/>
      <c r="BB65" s="1537"/>
      <c r="BC65" s="1537"/>
      <c r="BD65" s="1537"/>
      <c r="BE65" s="1537"/>
      <c r="BF65" s="1537"/>
      <c r="BG65" s="1537"/>
      <c r="BH65" s="1537"/>
      <c r="BI65" s="1537"/>
      <c r="BJ65" s="1537"/>
      <c r="BK65" s="1537"/>
      <c r="BL65" s="1537"/>
      <c r="BM65" s="1537"/>
      <c r="BN65" s="1537"/>
      <c r="BO65" s="1537"/>
      <c r="BP65" s="1537"/>
      <c r="BQ65" s="1537"/>
      <c r="BR65" s="1537"/>
      <c r="BS65" s="1537"/>
      <c r="BT65" s="1537"/>
      <c r="BU65" s="1537"/>
      <c r="BV65" s="1537"/>
      <c r="BW65" s="1537"/>
      <c r="BX65" s="1537"/>
      <c r="BY65" s="1537"/>
      <c r="BZ65" s="1537"/>
      <c r="CA65" s="1537"/>
      <c r="CB65" s="1537"/>
      <c r="CC65" s="1537"/>
      <c r="CD65" s="1537"/>
      <c r="CE65" s="1241"/>
      <c r="CF65" s="1241"/>
      <c r="CG65" s="1241"/>
      <c r="CH65" s="1241"/>
      <c r="CI65" s="1241"/>
      <c r="CJ65" s="1241"/>
      <c r="CK65" s="1241"/>
      <c r="CL65" s="1241"/>
      <c r="CM65" s="1240"/>
      <c r="CN65" s="1240"/>
      <c r="CO65" s="1239"/>
      <c r="CP65" s="1244"/>
    </row>
    <row r="66" spans="8:94" ht="15" customHeight="1">
      <c r="H66" s="1243"/>
      <c r="I66" s="1243"/>
      <c r="J66" s="1243"/>
      <c r="Q66" s="1244"/>
      <c r="R66" s="1244"/>
      <c r="S66" s="1244"/>
      <c r="T66" s="1244"/>
      <c r="U66" s="1244"/>
      <c r="V66" s="1244"/>
      <c r="W66" s="1239"/>
      <c r="X66" s="1239"/>
      <c r="Y66" s="1239"/>
      <c r="Z66" s="1536"/>
      <c r="AA66" s="1536"/>
      <c r="AB66" s="1536"/>
      <c r="AC66" s="1536"/>
      <c r="AD66" s="1536"/>
      <c r="AE66" s="1536"/>
      <c r="AF66" s="1536"/>
      <c r="AG66" s="1536"/>
      <c r="AH66" s="1536"/>
      <c r="AI66" s="1536"/>
      <c r="AJ66" s="1241"/>
      <c r="AK66" s="1241"/>
      <c r="AL66" s="1537"/>
      <c r="AM66" s="1537"/>
      <c r="AN66" s="1537"/>
      <c r="AO66" s="1537"/>
      <c r="AP66" s="1537"/>
      <c r="AQ66" s="1537"/>
      <c r="AR66" s="1537"/>
      <c r="AS66" s="1537"/>
      <c r="AT66" s="1537"/>
      <c r="AU66" s="1537"/>
      <c r="AV66" s="1537"/>
      <c r="AW66" s="1537"/>
      <c r="AX66" s="1537"/>
      <c r="AY66" s="1537"/>
      <c r="AZ66" s="1537"/>
      <c r="BA66" s="1537"/>
      <c r="BB66" s="1537"/>
      <c r="BC66" s="1537"/>
      <c r="BD66" s="1537"/>
      <c r="BE66" s="1537"/>
      <c r="BF66" s="1537"/>
      <c r="BG66" s="1537"/>
      <c r="BH66" s="1537"/>
      <c r="BI66" s="1537"/>
      <c r="BJ66" s="1537"/>
      <c r="BK66" s="1537"/>
      <c r="BL66" s="1537"/>
      <c r="BM66" s="1537"/>
      <c r="BN66" s="1537"/>
      <c r="BO66" s="1537"/>
      <c r="BP66" s="1537"/>
      <c r="BQ66" s="1537"/>
      <c r="BR66" s="1537"/>
      <c r="BS66" s="1537"/>
      <c r="BT66" s="1537"/>
      <c r="BU66" s="1537"/>
      <c r="BV66" s="1537"/>
      <c r="BW66" s="1537"/>
      <c r="BX66" s="1537"/>
      <c r="BY66" s="1537"/>
      <c r="BZ66" s="1537"/>
      <c r="CA66" s="1537"/>
      <c r="CB66" s="1537"/>
      <c r="CC66" s="1537"/>
      <c r="CD66" s="1537"/>
      <c r="CE66" s="1241"/>
      <c r="CF66" s="1241"/>
      <c r="CG66" s="1241"/>
      <c r="CH66" s="1241"/>
      <c r="CI66" s="1241"/>
      <c r="CJ66" s="1241"/>
      <c r="CK66" s="1241"/>
      <c r="CL66" s="1241"/>
      <c r="CM66" s="1240"/>
      <c r="CN66" s="1240"/>
      <c r="CO66" s="1239"/>
      <c r="CP66" s="1244"/>
    </row>
    <row r="67" spans="8:94" ht="15" customHeight="1">
      <c r="H67" s="1243"/>
      <c r="I67" s="1243"/>
      <c r="J67" s="1243"/>
      <c r="Q67" s="1244"/>
      <c r="R67" s="1244"/>
      <c r="S67" s="1244"/>
      <c r="T67" s="1244"/>
      <c r="U67" s="1244"/>
      <c r="V67" s="1244"/>
      <c r="W67" s="1239"/>
      <c r="X67" s="1239"/>
      <c r="Y67" s="1239"/>
      <c r="Z67" s="1239"/>
      <c r="AA67" s="1239"/>
      <c r="AB67" s="1239"/>
      <c r="AC67" s="1239"/>
      <c r="AD67" s="1239"/>
      <c r="AE67" s="1242"/>
      <c r="AF67" s="1242"/>
      <c r="AG67" s="1242"/>
      <c r="AH67" s="1242"/>
      <c r="AI67" s="1241"/>
      <c r="AJ67" s="1241"/>
      <c r="AK67" s="1241"/>
      <c r="AL67" s="1241"/>
      <c r="AM67" s="1241"/>
      <c r="AN67" s="1241"/>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241"/>
      <c r="BL67" s="1241"/>
      <c r="BM67" s="1241"/>
      <c r="BN67" s="1241"/>
      <c r="BO67" s="1241"/>
      <c r="BP67" s="1241"/>
      <c r="BQ67" s="1241"/>
      <c r="BR67" s="1241"/>
      <c r="BS67" s="1241"/>
      <c r="BT67" s="1241"/>
      <c r="BU67" s="1241"/>
      <c r="BV67" s="1241"/>
      <c r="BW67" s="1241"/>
      <c r="BX67" s="1241"/>
      <c r="BY67" s="1241"/>
      <c r="BZ67" s="1241"/>
      <c r="CA67" s="1241"/>
      <c r="CB67" s="1241"/>
      <c r="CC67" s="1241"/>
      <c r="CD67" s="1241"/>
      <c r="CE67" s="1241"/>
      <c r="CF67" s="1241"/>
      <c r="CG67" s="1241"/>
      <c r="CH67" s="1241"/>
      <c r="CI67" s="1241"/>
      <c r="CJ67" s="1241"/>
      <c r="CK67" s="1241"/>
      <c r="CL67" s="1241"/>
      <c r="CM67" s="1240"/>
      <c r="CN67" s="1240"/>
      <c r="CO67" s="1239"/>
      <c r="CP67" s="1244"/>
    </row>
    <row r="68" spans="8:94" ht="15.75" customHeight="1">
      <c r="H68" s="1243"/>
      <c r="I68" s="1243"/>
      <c r="J68" s="1243"/>
      <c r="Q68" s="1244"/>
      <c r="R68" s="1244"/>
      <c r="S68" s="1244"/>
      <c r="T68" s="1244"/>
      <c r="U68" s="1244"/>
      <c r="V68" s="1244"/>
      <c r="W68" s="1239"/>
      <c r="X68" s="1239"/>
      <c r="Y68" s="1239"/>
      <c r="Z68" s="1534" t="s">
        <v>408</v>
      </c>
      <c r="AA68" s="1534"/>
      <c r="AB68" s="1534"/>
      <c r="AC68" s="1534"/>
      <c r="AD68" s="1534"/>
      <c r="AE68" s="1534"/>
      <c r="AF68" s="1534"/>
      <c r="AG68" s="1534"/>
      <c r="AH68" s="1534"/>
      <c r="AI68" s="1534"/>
      <c r="AJ68" s="1241"/>
      <c r="AK68" s="1241"/>
      <c r="AL68" s="1538" t="s">
        <v>1107</v>
      </c>
      <c r="AM68" s="1539"/>
      <c r="AN68" s="1539"/>
      <c r="AO68" s="1539"/>
      <c r="AP68" s="1539"/>
      <c r="AQ68" s="1539"/>
      <c r="AR68" s="1539"/>
      <c r="AS68" s="1539"/>
      <c r="AT68" s="1539"/>
      <c r="AU68" s="1539"/>
      <c r="AV68" s="1539"/>
      <c r="AW68" s="1539"/>
      <c r="AX68" s="1539"/>
      <c r="AY68" s="1539"/>
      <c r="AZ68" s="1539"/>
      <c r="BA68" s="1539"/>
      <c r="BB68" s="1241"/>
      <c r="BC68" s="1241"/>
      <c r="BD68" s="1245" t="s">
        <v>1106</v>
      </c>
      <c r="BE68" s="1241"/>
      <c r="BF68" s="1241"/>
      <c r="BG68" s="1241"/>
      <c r="BH68" s="1241"/>
      <c r="BI68" s="1241"/>
      <c r="BJ68" s="1241"/>
      <c r="BK68" s="1241"/>
      <c r="BL68" s="1241"/>
      <c r="BM68" s="1241"/>
      <c r="BN68" s="1241"/>
      <c r="BO68" s="1241"/>
      <c r="BP68" s="1241"/>
      <c r="BQ68" s="1241"/>
      <c r="BR68" s="1241"/>
      <c r="BS68" s="1241"/>
      <c r="BT68" s="1241"/>
      <c r="BU68" s="1241"/>
      <c r="BV68" s="1241"/>
      <c r="BW68" s="1241"/>
      <c r="BX68" s="1241"/>
      <c r="BY68" s="1241"/>
      <c r="BZ68" s="1241"/>
      <c r="CA68" s="1241"/>
      <c r="CB68" s="1241"/>
      <c r="CC68" s="1241"/>
      <c r="CD68" s="1241"/>
      <c r="CE68" s="1241"/>
      <c r="CF68" s="1241"/>
      <c r="CG68" s="1241"/>
      <c r="CH68" s="1241"/>
      <c r="CI68" s="1241"/>
      <c r="CJ68" s="1241"/>
      <c r="CK68" s="1241"/>
      <c r="CL68" s="1241"/>
      <c r="CM68" s="1240"/>
      <c r="CN68" s="1240"/>
      <c r="CO68" s="1239"/>
      <c r="CP68" s="1244"/>
    </row>
    <row r="69" spans="8:94">
      <c r="H69" s="1243"/>
      <c r="I69" s="1243"/>
      <c r="J69" s="1243"/>
      <c r="Q69" s="1239"/>
      <c r="R69" s="1239"/>
      <c r="S69" s="1239"/>
      <c r="T69" s="1239"/>
      <c r="U69" s="1239"/>
      <c r="V69" s="1239"/>
      <c r="W69" s="1239"/>
      <c r="X69" s="1239"/>
      <c r="Y69" s="1239"/>
      <c r="Z69" s="1239"/>
      <c r="AA69" s="1239"/>
      <c r="AB69" s="1239"/>
      <c r="AC69" s="1239"/>
      <c r="AD69" s="1239"/>
      <c r="AE69" s="1242"/>
      <c r="AF69" s="1242"/>
      <c r="AG69" s="1242"/>
      <c r="AH69" s="1242"/>
      <c r="AI69" s="1241"/>
      <c r="AJ69" s="1241"/>
      <c r="AK69" s="1241"/>
      <c r="AL69" s="1241"/>
      <c r="AM69" s="1241"/>
      <c r="AN69" s="1241"/>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0"/>
      <c r="CN69" s="1240"/>
      <c r="CO69" s="1239"/>
      <c r="CP69" s="1239"/>
    </row>
    <row r="70" spans="8:94">
      <c r="H70" s="1243"/>
      <c r="I70" s="1243"/>
      <c r="J70" s="1243"/>
      <c r="Q70" s="1239"/>
      <c r="R70" s="1239"/>
      <c r="S70" s="1239"/>
      <c r="T70" s="1239"/>
      <c r="U70" s="1239"/>
      <c r="V70" s="1239"/>
      <c r="W70" s="1239"/>
      <c r="X70" s="1239"/>
      <c r="Y70" s="1239"/>
      <c r="Z70" s="1239"/>
      <c r="AA70" s="1239"/>
      <c r="AB70" s="1239"/>
      <c r="AC70" s="1239"/>
      <c r="AD70" s="1239"/>
      <c r="AE70" s="1242"/>
      <c r="AF70" s="1242"/>
      <c r="AG70" s="1242"/>
      <c r="AH70" s="1242"/>
      <c r="AI70" s="1241"/>
      <c r="AJ70" s="1241"/>
      <c r="AK70" s="1241"/>
      <c r="AL70" s="1241"/>
      <c r="AM70" s="1241"/>
      <c r="AN70" s="1241"/>
      <c r="AO70" s="1241"/>
      <c r="AP70" s="1241"/>
      <c r="AQ70" s="1241"/>
      <c r="AR70" s="1241"/>
      <c r="AS70" s="1241"/>
      <c r="AT70" s="1241"/>
      <c r="AU70" s="1241"/>
      <c r="AV70" s="1241"/>
      <c r="AW70" s="1241"/>
      <c r="AX70" s="1241"/>
      <c r="AY70" s="1241"/>
      <c r="AZ70" s="1241"/>
      <c r="BA70" s="1241"/>
      <c r="BB70" s="1241"/>
      <c r="BC70" s="1241"/>
      <c r="BD70" s="1241"/>
      <c r="BE70" s="1241"/>
      <c r="BF70" s="1241"/>
      <c r="BG70" s="1241"/>
      <c r="BH70" s="1241"/>
      <c r="BI70" s="1241"/>
      <c r="BJ70" s="1241"/>
      <c r="BK70" s="1241"/>
      <c r="BL70" s="1241"/>
      <c r="BM70" s="1241"/>
      <c r="BN70" s="1241"/>
      <c r="BO70" s="1241"/>
      <c r="BP70" s="1241"/>
      <c r="BQ70" s="1241"/>
      <c r="BR70" s="1241"/>
      <c r="BS70" s="1241"/>
      <c r="BT70" s="1241"/>
      <c r="BU70" s="1241"/>
      <c r="BV70" s="1241"/>
      <c r="BW70" s="1241"/>
      <c r="BX70" s="1241"/>
      <c r="BY70" s="1241"/>
      <c r="BZ70" s="1241"/>
      <c r="CA70" s="1241"/>
      <c r="CB70" s="1241"/>
      <c r="CC70" s="1241"/>
      <c r="CD70" s="1241"/>
      <c r="CE70" s="1241"/>
      <c r="CF70" s="1241"/>
      <c r="CG70" s="1241"/>
      <c r="CH70" s="1241"/>
      <c r="CI70" s="1241"/>
      <c r="CJ70" s="1241"/>
      <c r="CK70" s="1241"/>
      <c r="CL70" s="1241"/>
      <c r="CM70" s="1240"/>
      <c r="CN70" s="1240"/>
      <c r="CO70" s="1239"/>
      <c r="CP70" s="1239"/>
    </row>
    <row r="71" spans="8:94" ht="15.75">
      <c r="H71" s="1238"/>
      <c r="I71" s="1238"/>
      <c r="J71" s="1238"/>
      <c r="Q71" s="1234"/>
      <c r="R71" s="1234"/>
      <c r="S71" s="1237"/>
      <c r="T71" s="1237"/>
      <c r="U71" s="1237"/>
      <c r="V71" s="1237"/>
      <c r="W71" s="1237"/>
      <c r="X71" s="1237"/>
      <c r="Y71" s="1237"/>
      <c r="Z71" s="1237"/>
      <c r="AA71" s="1237"/>
      <c r="AB71" s="1237"/>
      <c r="AC71" s="1237"/>
      <c r="AD71" s="1237"/>
      <c r="AE71" s="1237"/>
      <c r="AF71" s="1237"/>
      <c r="AG71" s="1237"/>
      <c r="AH71" s="1237"/>
      <c r="AI71" s="1236"/>
      <c r="AJ71" s="1236"/>
      <c r="AK71" s="1236"/>
      <c r="AL71" s="1236"/>
      <c r="AM71" s="1236"/>
      <c r="AN71" s="1236"/>
      <c r="AO71" s="1236"/>
      <c r="AP71" s="1236"/>
      <c r="AQ71" s="1236"/>
      <c r="AR71" s="1236"/>
      <c r="AS71" s="1236"/>
      <c r="AT71" s="1236"/>
      <c r="AU71" s="1236"/>
      <c r="AV71" s="1236"/>
      <c r="AW71" s="1236"/>
      <c r="AX71" s="1236"/>
      <c r="AY71" s="1236"/>
      <c r="AZ71" s="1236"/>
      <c r="BA71" s="1236"/>
      <c r="BB71" s="1236"/>
      <c r="BC71" s="1236"/>
      <c r="BD71" s="1236"/>
      <c r="BE71" s="1236"/>
      <c r="BF71" s="1236"/>
      <c r="BG71" s="1236"/>
      <c r="BH71" s="1236"/>
      <c r="BI71" s="1236"/>
      <c r="BJ71" s="1236"/>
      <c r="BK71" s="1236"/>
      <c r="BL71" s="1236"/>
      <c r="BM71" s="1236"/>
      <c r="BN71" s="1236"/>
      <c r="BO71" s="1236"/>
      <c r="BP71" s="1236"/>
      <c r="BQ71" s="1236"/>
      <c r="BR71" s="1236"/>
      <c r="BS71" s="1236"/>
      <c r="BT71" s="1236"/>
      <c r="BU71" s="1236"/>
      <c r="BV71" s="1236"/>
      <c r="BW71" s="1236"/>
      <c r="BX71" s="1236"/>
      <c r="BY71" s="1236"/>
      <c r="BZ71" s="1236"/>
      <c r="CA71" s="1236"/>
      <c r="CB71" s="1236"/>
      <c r="CC71" s="1236"/>
      <c r="CD71" s="1236"/>
      <c r="CE71" s="1236"/>
      <c r="CF71" s="1236"/>
      <c r="CG71" s="1236"/>
      <c r="CH71" s="1236"/>
      <c r="CI71" s="1236"/>
      <c r="CJ71" s="1236"/>
      <c r="CK71" s="1236"/>
      <c r="CL71" s="1236"/>
      <c r="CM71" s="1235"/>
      <c r="CN71" s="1235"/>
      <c r="CO71" s="1234"/>
      <c r="CP71" s="1234"/>
    </row>
  </sheetData>
  <mergeCells count="93">
    <mergeCell ref="H1:P3"/>
    <mergeCell ref="V4:BF4"/>
    <mergeCell ref="V7:BX7"/>
    <mergeCell ref="Q9:CP9"/>
    <mergeCell ref="V16:AJ16"/>
    <mergeCell ref="AL16:BG16"/>
    <mergeCell ref="V17:AJ17"/>
    <mergeCell ref="AL17:AW17"/>
    <mergeCell ref="V23:AJ23"/>
    <mergeCell ref="AL23:BG23"/>
    <mergeCell ref="BI23:BO23"/>
    <mergeCell ref="BQ23:CL23"/>
    <mergeCell ref="V24:AJ24"/>
    <mergeCell ref="AL24:BG24"/>
    <mergeCell ref="BI24:BO24"/>
    <mergeCell ref="BQ24:CL24"/>
    <mergeCell ref="V25:AJ25"/>
    <mergeCell ref="AL25:AZ25"/>
    <mergeCell ref="BI25:BO25"/>
    <mergeCell ref="BQ25:CE25"/>
    <mergeCell ref="V26:AJ26"/>
    <mergeCell ref="AL26:AO26"/>
    <mergeCell ref="AX26:AZ26"/>
    <mergeCell ref="BI26:BO26"/>
    <mergeCell ref="BQ26:BT26"/>
    <mergeCell ref="CC26:CE26"/>
    <mergeCell ref="V32:AJ32"/>
    <mergeCell ref="AL32:BG32"/>
    <mergeCell ref="BI32:BO32"/>
    <mergeCell ref="BQ32:CL32"/>
    <mergeCell ref="V33:AJ33"/>
    <mergeCell ref="AL33:BG33"/>
    <mergeCell ref="BI33:BO33"/>
    <mergeCell ref="BQ33:CL33"/>
    <mergeCell ref="V34:AJ34"/>
    <mergeCell ref="AL34:BG34"/>
    <mergeCell ref="BI34:BO34"/>
    <mergeCell ref="BQ34:CL34"/>
    <mergeCell ref="Z42:AI42"/>
    <mergeCell ref="AL42:AS42"/>
    <mergeCell ref="AU42:BB42"/>
    <mergeCell ref="BD42:BK42"/>
    <mergeCell ref="BM42:BT42"/>
    <mergeCell ref="BV42:CC42"/>
    <mergeCell ref="AL43:AS43"/>
    <mergeCell ref="AU43:BB43"/>
    <mergeCell ref="BD43:BK43"/>
    <mergeCell ref="BM43:BT43"/>
    <mergeCell ref="BV43:CC43"/>
    <mergeCell ref="AL44:AS44"/>
    <mergeCell ref="AU44:BB44"/>
    <mergeCell ref="BD44:BK44"/>
    <mergeCell ref="BM44:BT44"/>
    <mergeCell ref="BV44:CC44"/>
    <mergeCell ref="Z46:AI46"/>
    <mergeCell ref="AL46:AS46"/>
    <mergeCell ref="AU46:BB46"/>
    <mergeCell ref="BD46:BK46"/>
    <mergeCell ref="BM46:BT46"/>
    <mergeCell ref="BV46:CC46"/>
    <mergeCell ref="AL47:AS47"/>
    <mergeCell ref="AU47:BB47"/>
    <mergeCell ref="BD47:BK47"/>
    <mergeCell ref="BM47:BT47"/>
    <mergeCell ref="BV47:CC47"/>
    <mergeCell ref="AL48:AS48"/>
    <mergeCell ref="AU48:BB48"/>
    <mergeCell ref="BD48:BK48"/>
    <mergeCell ref="BM48:BT48"/>
    <mergeCell ref="BV48:CC48"/>
    <mergeCell ref="Z50:AI50"/>
    <mergeCell ref="AL50:AS50"/>
    <mergeCell ref="AU50:BB50"/>
    <mergeCell ref="BD50:BK50"/>
    <mergeCell ref="BM50:BT50"/>
    <mergeCell ref="BV50:CC50"/>
    <mergeCell ref="AL51:AS51"/>
    <mergeCell ref="AU51:BB51"/>
    <mergeCell ref="BD51:BK51"/>
    <mergeCell ref="BM51:BT51"/>
    <mergeCell ref="BV51:CC51"/>
    <mergeCell ref="Z56:AI56"/>
    <mergeCell ref="AL56:BA56"/>
    <mergeCell ref="Z64:AI66"/>
    <mergeCell ref="AL64:CD66"/>
    <mergeCell ref="Z68:AI68"/>
    <mergeCell ref="AL68:BA68"/>
    <mergeCell ref="Z58:AI58"/>
    <mergeCell ref="AL58:BA58"/>
    <mergeCell ref="Z60:AI60"/>
    <mergeCell ref="AL60:BA60"/>
    <mergeCell ref="Z62:AI62"/>
    <mergeCell ref="AL62:BA62"/>
  </mergeCells>
  <conditionalFormatting sqref="AL43">
    <cfRule type="expression" dxfId="27" priority="34">
      <formula>dms_FRCPlength_Num&lt;6</formula>
    </cfRule>
  </conditionalFormatting>
  <conditionalFormatting sqref="AU43">
    <cfRule type="expression" dxfId="26" priority="33">
      <formula>dms_FRCPlength_Num&lt;7</formula>
    </cfRule>
  </conditionalFormatting>
  <conditionalFormatting sqref="BD43">
    <cfRule type="expression" dxfId="25" priority="32">
      <formula>dms_FRCPlength_Num&lt;8</formula>
    </cfRule>
  </conditionalFormatting>
  <conditionalFormatting sqref="BV43">
    <cfRule type="expression" dxfId="24" priority="31">
      <formula>dms_FRCPlength_Num&lt;10</formula>
    </cfRule>
  </conditionalFormatting>
  <conditionalFormatting sqref="AL47">
    <cfRule type="expression" dxfId="23" priority="30">
      <formula>dms_CRCPlength_Num&lt;6</formula>
    </cfRule>
  </conditionalFormatting>
  <conditionalFormatting sqref="AL42:AS42">
    <cfRule type="expression" dxfId="22" priority="28" stopIfTrue="1">
      <formula>(INDEX(dms_Model_Span_List,MATCH(dms_Model,dms_Model_List))&gt;1)</formula>
    </cfRule>
  </conditionalFormatting>
  <conditionalFormatting sqref="AL62:BA62">
    <cfRule type="cellIs" dxfId="21" priority="27" operator="equal">
      <formula>"Confidential"</formula>
    </cfRule>
  </conditionalFormatting>
  <conditionalFormatting sqref="AL44">
    <cfRule type="expression" dxfId="20" priority="26">
      <formula>dms_FRCPlength_Num&lt;11</formula>
    </cfRule>
  </conditionalFormatting>
  <conditionalFormatting sqref="BM43">
    <cfRule type="expression" dxfId="19" priority="25">
      <formula>dms_FRCPlength_Num&lt;9</formula>
    </cfRule>
  </conditionalFormatting>
  <conditionalFormatting sqref="AU47">
    <cfRule type="expression" dxfId="18" priority="24">
      <formula>dms_CRCPlength_Num&lt;7</formula>
    </cfRule>
  </conditionalFormatting>
  <conditionalFormatting sqref="BD47">
    <cfRule type="expression" dxfId="17" priority="23">
      <formula>dms_CRCPlength_Num&lt;8</formula>
    </cfRule>
  </conditionalFormatting>
  <conditionalFormatting sqref="BM47">
    <cfRule type="expression" dxfId="16" priority="22">
      <formula>dms_CRCPlength_Num&lt;9</formula>
    </cfRule>
  </conditionalFormatting>
  <conditionalFormatting sqref="BV47">
    <cfRule type="expression" dxfId="15" priority="21">
      <formula>dms_CRCPlength_Num&lt;10</formula>
    </cfRule>
  </conditionalFormatting>
  <conditionalFormatting sqref="AL48">
    <cfRule type="expression" dxfId="14" priority="20">
      <formula>dms_CRCPlength_Num&lt;11</formula>
    </cfRule>
  </conditionalFormatting>
  <conditionalFormatting sqref="AU48">
    <cfRule type="expression" dxfId="13" priority="19">
      <formula>dms_CRCPlength_Num&lt;12</formula>
    </cfRule>
  </conditionalFormatting>
  <conditionalFormatting sqref="BD48">
    <cfRule type="expression" dxfId="12" priority="18">
      <formula>dms_CRCPlength_Num&lt;13</formula>
    </cfRule>
  </conditionalFormatting>
  <conditionalFormatting sqref="BM48">
    <cfRule type="expression" dxfId="11" priority="17">
      <formula>dms_CRCPlength_Num&lt;14</formula>
    </cfRule>
  </conditionalFormatting>
  <conditionalFormatting sqref="BV48">
    <cfRule type="expression" dxfId="10" priority="16">
      <formula>dms_CRCPlength_Num&lt;15</formula>
    </cfRule>
  </conditionalFormatting>
  <conditionalFormatting sqref="AU44">
    <cfRule type="expression" dxfId="9" priority="15">
      <formula>dms_FRCPlength_Num&lt;12</formula>
    </cfRule>
  </conditionalFormatting>
  <conditionalFormatting sqref="BD44">
    <cfRule type="expression" dxfId="8" priority="14">
      <formula>dms_FRCPlength_Num&lt;13</formula>
    </cfRule>
  </conditionalFormatting>
  <conditionalFormatting sqref="BM44">
    <cfRule type="expression" dxfId="7" priority="13">
      <formula>dms_FRCPlength_Num&lt;14</formula>
    </cfRule>
  </conditionalFormatting>
  <conditionalFormatting sqref="BV44">
    <cfRule type="expression" dxfId="6" priority="12">
      <formula>dms_FRCPlength_Num&lt;15</formula>
    </cfRule>
  </conditionalFormatting>
  <conditionalFormatting sqref="AL51">
    <cfRule type="expression" dxfId="5" priority="11">
      <formula>dms_PRCPlength_Num&lt;6</formula>
    </cfRule>
  </conditionalFormatting>
  <conditionalFormatting sqref="AU51">
    <cfRule type="expression" dxfId="4" priority="9">
      <formula>dms_PRCPlength_Num&lt;7</formula>
    </cfRule>
  </conditionalFormatting>
  <conditionalFormatting sqref="BD51">
    <cfRule type="expression" dxfId="3" priority="8">
      <formula>dms_PRCPlength_Num&lt;8</formula>
    </cfRule>
  </conditionalFormatting>
  <conditionalFormatting sqref="BM51">
    <cfRule type="expression" dxfId="2" priority="7">
      <formula>dms_PRCPlength_Num&lt;9</formula>
    </cfRule>
  </conditionalFormatting>
  <conditionalFormatting sqref="BV51">
    <cfRule type="expression" dxfId="1" priority="6">
      <formula>dms_PRCPlength_Num&lt;10</formula>
    </cfRule>
  </conditionalFormatting>
  <conditionalFormatting sqref="BV42">
    <cfRule type="expression" dxfId="0" priority="1">
      <formula>dms_FRCPlength_Num&lt;5</formula>
    </cfRule>
  </conditionalFormatting>
  <dataValidations count="6">
    <dataValidation type="list" allowBlank="1" showInputMessage="1" showErrorMessage="1" sqref="AL58:BA58" xr:uid="{00000000-0002-0000-0300-000000000000}">
      <formula1>dms_SourceList</formula1>
    </dataValidation>
    <dataValidation type="list" allowBlank="1" showInputMessage="1" showErrorMessage="1" sqref="AL60:BA60" xr:uid="{00000000-0002-0000-0300-000001000000}">
      <formula1>dms_DataQuality_List</formula1>
    </dataValidation>
    <dataValidation type="list" allowBlank="1" showInputMessage="1" showErrorMessage="1" sqref="AL62:BA62" xr:uid="{00000000-0002-0000-0300-000002000000}">
      <formula1>dms_Confid_status_List</formula1>
    </dataValidation>
    <dataValidation allowBlank="1" showInputMessage="1" showErrorMessage="1" promptTitle="Submission Date" prompt="-- enter date file submitted to AER -- " sqref="AL68:BA68" xr:uid="{00000000-0002-0000-0300-000003000000}"/>
    <dataValidation type="list" allowBlank="1" showInputMessage="1" showErrorMessage="1" sqref="AL42:AS42" xr:uid="{00000000-0002-0000-0300-000004000000}">
      <formula1>INDIRECT(dms_RPT)</formula1>
    </dataValidation>
    <dataValidation type="list" allowBlank="1" showInputMessage="1" showErrorMessage="1" sqref="AL16:BG16" xr:uid="{00000000-0002-0000-0300-000005000000}">
      <formula1>dms_TradingName_List</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AZ100"/>
  <sheetViews>
    <sheetView showGridLines="0" zoomScale="90" zoomScaleNormal="90" workbookViewId="0"/>
  </sheetViews>
  <sheetFormatPr defaultColWidth="9.140625" defaultRowHeight="12.75"/>
  <cols>
    <col min="1" max="1" width="2.42578125" style="239" customWidth="1"/>
    <col min="2" max="2" width="15.5703125" style="239" customWidth="1"/>
    <col min="3" max="3" width="9.140625" style="239"/>
    <col min="4" max="4" width="11.5703125" style="239" customWidth="1"/>
    <col min="5" max="16384" width="9.140625" style="239"/>
  </cols>
  <sheetData>
    <row r="1" spans="1:52" ht="44.25" customHeight="1">
      <c r="A1" s="288"/>
      <c r="B1" s="288"/>
      <c r="D1" s="289"/>
      <c r="E1" s="290"/>
      <c r="G1" s="291"/>
      <c r="H1" s="288"/>
      <c r="I1" s="288"/>
      <c r="J1" s="288"/>
      <c r="K1" s="288"/>
      <c r="L1" s="292"/>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row>
    <row r="2" spans="1:52" ht="44.25" customHeight="1">
      <c r="A2" s="288"/>
      <c r="B2" s="293"/>
      <c r="C2" s="293"/>
      <c r="D2" s="294"/>
      <c r="E2" s="293"/>
      <c r="F2" s="294"/>
      <c r="G2" s="295" t="s">
        <v>546</v>
      </c>
      <c r="H2" s="293"/>
      <c r="I2" s="293"/>
      <c r="J2" s="293"/>
      <c r="K2" s="293"/>
      <c r="L2" s="293"/>
      <c r="M2" s="293"/>
      <c r="N2" s="293"/>
      <c r="O2" s="293"/>
      <c r="P2" s="293"/>
      <c r="Q2" s="293"/>
      <c r="R2" s="293"/>
      <c r="S2" s="293"/>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row>
    <row r="3" spans="1:52" ht="54.95" customHeight="1">
      <c r="A3" s="288"/>
      <c r="B3" s="293"/>
      <c r="C3" s="293"/>
      <c r="D3" s="294"/>
      <c r="E3" s="293"/>
      <c r="F3" s="296"/>
      <c r="G3" s="293"/>
      <c r="H3" s="293"/>
      <c r="I3" s="297" t="s">
        <v>547</v>
      </c>
      <c r="J3" s="293"/>
      <c r="K3" s="293"/>
      <c r="L3" s="293"/>
      <c r="M3" s="293"/>
      <c r="N3" s="293"/>
      <c r="O3" s="293"/>
      <c r="P3" s="293"/>
      <c r="Q3" s="293"/>
      <c r="R3" s="293"/>
      <c r="S3" s="293"/>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row>
    <row r="4" spans="1:52" ht="36" customHeight="1">
      <c r="A4" s="288"/>
      <c r="B4" s="293"/>
      <c r="C4" s="293"/>
      <c r="D4" s="294"/>
      <c r="E4" s="293"/>
      <c r="F4" s="296"/>
      <c r="G4" s="297"/>
      <c r="H4" s="293"/>
      <c r="I4" s="293"/>
      <c r="J4" s="293"/>
      <c r="K4" s="293"/>
      <c r="L4" s="298" t="s">
        <v>548</v>
      </c>
      <c r="M4" s="1442">
        <v>3</v>
      </c>
      <c r="N4" s="299"/>
      <c r="O4" s="293"/>
      <c r="P4" s="293"/>
      <c r="Q4" s="293"/>
      <c r="R4" s="293"/>
      <c r="S4" s="293"/>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row>
    <row r="5" spans="1:52" ht="36" customHeight="1">
      <c r="A5" s="288"/>
      <c r="B5" s="293"/>
      <c r="C5" s="293"/>
      <c r="D5" s="294"/>
      <c r="E5" s="293"/>
      <c r="F5" s="296"/>
      <c r="G5" s="297"/>
      <c r="H5" s="293"/>
      <c r="I5" s="293"/>
      <c r="J5" s="293"/>
      <c r="K5" s="293"/>
      <c r="L5" s="298" t="s">
        <v>549</v>
      </c>
      <c r="M5" s="1443" t="s">
        <v>1136</v>
      </c>
      <c r="N5" s="293"/>
      <c r="O5" s="293"/>
      <c r="P5" s="293"/>
      <c r="Q5" s="293"/>
      <c r="R5" s="293"/>
      <c r="S5" s="293"/>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row>
    <row r="6" spans="1:52">
      <c r="A6" s="288"/>
      <c r="B6" s="288"/>
      <c r="C6" s="288"/>
      <c r="D6" s="288"/>
      <c r="E6" s="288"/>
      <c r="F6" s="288"/>
      <c r="G6" s="288"/>
      <c r="H6" s="288"/>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row>
    <row r="7" spans="1:52">
      <c r="A7" s="300"/>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row>
    <row r="8" spans="1:52" ht="27">
      <c r="A8" s="301"/>
      <c r="B8" s="302" t="s">
        <v>551</v>
      </c>
      <c r="C8" s="301"/>
      <c r="D8" s="301"/>
      <c r="E8" s="301"/>
      <c r="F8" s="301"/>
      <c r="G8" s="301"/>
      <c r="H8" s="303"/>
      <c r="I8" s="301"/>
      <c r="J8" s="304" t="s">
        <v>605</v>
      </c>
      <c r="K8" s="303"/>
      <c r="L8" s="301"/>
      <c r="M8" s="301"/>
      <c r="N8" s="303"/>
      <c r="O8" s="303"/>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row>
    <row r="9" spans="1:52" ht="15.75">
      <c r="A9" s="301"/>
      <c r="B9" s="301"/>
      <c r="C9" s="301"/>
      <c r="D9" s="301"/>
      <c r="E9" s="301"/>
      <c r="F9" s="301"/>
      <c r="G9" s="301"/>
      <c r="H9" s="303"/>
      <c r="I9" s="301"/>
      <c r="J9" s="305"/>
      <c r="K9" s="303"/>
      <c r="L9" s="301"/>
      <c r="M9" s="301"/>
      <c r="N9" s="301"/>
      <c r="O9" s="301"/>
      <c r="P9" s="301"/>
      <c r="Q9" s="301"/>
      <c r="R9" s="301"/>
      <c r="S9" s="301"/>
      <c r="T9" s="301"/>
      <c r="U9" s="301"/>
      <c r="V9" s="301"/>
      <c r="W9" s="301"/>
      <c r="X9" s="301"/>
      <c r="Y9" s="301"/>
      <c r="Z9" s="301"/>
      <c r="AA9" s="301"/>
      <c r="AB9" s="301"/>
      <c r="AC9" s="301"/>
      <c r="AD9" s="301"/>
      <c r="AE9" s="301"/>
      <c r="AF9" s="301"/>
      <c r="AG9" s="301"/>
      <c r="AH9" s="301"/>
      <c r="AI9" s="301"/>
      <c r="AJ9" s="301"/>
      <c r="AK9" s="301"/>
      <c r="AL9" s="301"/>
      <c r="AM9" s="301"/>
      <c r="AN9" s="301"/>
      <c r="AO9" s="301"/>
      <c r="AP9" s="301"/>
      <c r="AQ9" s="301"/>
      <c r="AR9" s="301"/>
      <c r="AS9" s="301"/>
      <c r="AT9" s="301"/>
      <c r="AU9" s="301"/>
      <c r="AV9" s="301"/>
      <c r="AW9" s="301"/>
      <c r="AX9" s="301"/>
      <c r="AY9" s="301"/>
      <c r="AZ9" s="301"/>
    </row>
    <row r="10" spans="1:52">
      <c r="A10" s="306"/>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row>
    <row r="11" spans="1:52" ht="27" customHeight="1">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row>
    <row r="12" spans="1:52">
      <c r="A12" s="288"/>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row>
    <row r="13" spans="1:52" ht="15">
      <c r="A13" s="288"/>
      <c r="B13" s="288"/>
      <c r="C13" s="308"/>
      <c r="D13" s="308"/>
      <c r="E13" s="308"/>
      <c r="F13" s="308"/>
      <c r="G13" s="308"/>
      <c r="H13" s="308"/>
      <c r="I13" s="308"/>
      <c r="J13" s="308"/>
      <c r="K13" s="308"/>
      <c r="L13" s="30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row>
    <row r="14" spans="1:52" ht="28.5" customHeight="1">
      <c r="A14" s="288"/>
      <c r="B14" s="288"/>
      <c r="C14" s="1562" t="s">
        <v>552</v>
      </c>
      <c r="D14" s="1562"/>
      <c r="E14" s="1562"/>
      <c r="F14" s="1562"/>
      <c r="G14" s="1562"/>
      <c r="H14" s="1562"/>
      <c r="I14" s="1562"/>
      <c r="J14" s="1562"/>
      <c r="K14" s="1562"/>
      <c r="L14" s="1562"/>
      <c r="M14" s="1562"/>
      <c r="N14" s="1562"/>
      <c r="O14" s="1562"/>
      <c r="P14" s="1562"/>
      <c r="Q14" s="1562"/>
      <c r="R14" s="1562"/>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row>
    <row r="15" spans="1:52" ht="15">
      <c r="A15" s="288"/>
      <c r="B15" s="288"/>
      <c r="C15" s="294" t="s">
        <v>553</v>
      </c>
      <c r="D15" s="309"/>
      <c r="E15" s="309"/>
      <c r="F15" s="309"/>
      <c r="G15" s="309"/>
      <c r="H15" s="309"/>
      <c r="I15" s="309"/>
      <c r="J15" s="309"/>
      <c r="K15" s="309"/>
      <c r="L15" s="309"/>
      <c r="M15" s="293"/>
      <c r="N15" s="293"/>
      <c r="O15" s="293"/>
      <c r="P15" s="293"/>
      <c r="Q15" s="293"/>
      <c r="R15" s="293"/>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row>
    <row r="16" spans="1:52" ht="15">
      <c r="A16" s="288"/>
      <c r="B16" s="288"/>
      <c r="C16" s="309"/>
      <c r="D16" s="309"/>
      <c r="E16" s="309"/>
      <c r="F16" s="309"/>
      <c r="G16" s="309"/>
      <c r="H16" s="309"/>
      <c r="I16" s="309"/>
      <c r="J16" s="309"/>
      <c r="K16" s="309"/>
      <c r="L16" s="309"/>
      <c r="M16" s="293"/>
      <c r="N16" s="293"/>
      <c r="O16" s="293"/>
      <c r="P16" s="293"/>
      <c r="Q16" s="293"/>
      <c r="R16" s="293"/>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row>
    <row r="17" spans="1:52" ht="15.75">
      <c r="A17" s="288"/>
      <c r="B17" s="288"/>
      <c r="C17" s="310" t="s">
        <v>554</v>
      </c>
      <c r="D17" s="309"/>
      <c r="E17" s="309"/>
      <c r="F17" s="309"/>
      <c r="G17" s="309"/>
      <c r="H17" s="309"/>
      <c r="I17" s="309"/>
      <c r="J17" s="309"/>
      <c r="K17" s="309"/>
      <c r="L17" s="309"/>
      <c r="M17" s="293"/>
      <c r="N17" s="293"/>
      <c r="O17" s="293"/>
      <c r="P17" s="293"/>
      <c r="Q17" s="293"/>
      <c r="R17" s="293"/>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row>
    <row r="18" spans="1:52" ht="15">
      <c r="A18" s="288"/>
      <c r="B18" s="288"/>
      <c r="C18" s="294" t="s">
        <v>555</v>
      </c>
      <c r="D18" s="294"/>
      <c r="E18" s="294"/>
      <c r="F18" s="294"/>
      <c r="G18" s="294"/>
      <c r="H18" s="294"/>
      <c r="I18" s="294"/>
      <c r="J18" s="294"/>
      <c r="K18" s="294"/>
      <c r="L18" s="309"/>
      <c r="M18" s="293"/>
      <c r="N18" s="293"/>
      <c r="O18" s="293"/>
      <c r="P18" s="293"/>
      <c r="Q18" s="293"/>
      <c r="R18" s="293"/>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row>
    <row r="19" spans="1:52" ht="15">
      <c r="A19" s="288"/>
      <c r="B19" s="288"/>
      <c r="C19" s="309"/>
      <c r="D19" s="309"/>
      <c r="E19" s="309"/>
      <c r="F19" s="309"/>
      <c r="G19" s="309"/>
      <c r="H19" s="309"/>
      <c r="I19" s="309"/>
      <c r="J19" s="309"/>
      <c r="K19" s="309"/>
      <c r="L19" s="309"/>
      <c r="M19" s="293"/>
      <c r="N19" s="293"/>
      <c r="O19" s="293"/>
      <c r="P19" s="293"/>
      <c r="Q19" s="293"/>
      <c r="R19" s="293"/>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row>
    <row r="20" spans="1:52" ht="15">
      <c r="A20" s="288"/>
      <c r="B20" s="288"/>
      <c r="C20" s="311" t="s">
        <v>556</v>
      </c>
      <c r="D20" s="294"/>
      <c r="E20" s="294"/>
      <c r="F20" s="294"/>
      <c r="G20" s="294"/>
      <c r="H20" s="294"/>
      <c r="I20" s="294"/>
      <c r="J20" s="294"/>
      <c r="K20" s="309"/>
      <c r="L20" s="309"/>
      <c r="M20" s="293"/>
      <c r="N20" s="293"/>
      <c r="O20" s="293"/>
      <c r="P20" s="293"/>
      <c r="Q20" s="293"/>
      <c r="R20" s="293"/>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row>
    <row r="21" spans="1:52" ht="15">
      <c r="A21" s="288"/>
      <c r="B21" s="288"/>
      <c r="C21" s="294" t="s">
        <v>557</v>
      </c>
      <c r="D21" s="294"/>
      <c r="E21" s="294"/>
      <c r="F21" s="294"/>
      <c r="G21" s="294"/>
      <c r="H21" s="294"/>
      <c r="I21" s="294"/>
      <c r="J21" s="294"/>
      <c r="K21" s="309"/>
      <c r="L21" s="309"/>
      <c r="M21" s="293"/>
      <c r="N21" s="293"/>
      <c r="O21" s="293"/>
      <c r="P21" s="293"/>
      <c r="Q21" s="293"/>
      <c r="R21" s="293"/>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row>
    <row r="22" spans="1:52" ht="15">
      <c r="A22" s="288"/>
      <c r="B22" s="288"/>
      <c r="C22" s="294" t="s">
        <v>558</v>
      </c>
      <c r="D22" s="294"/>
      <c r="E22" s="294"/>
      <c r="F22" s="294"/>
      <c r="G22" s="294"/>
      <c r="H22" s="294"/>
      <c r="I22" s="294"/>
      <c r="J22" s="294"/>
      <c r="K22" s="309"/>
      <c r="L22" s="309"/>
      <c r="M22" s="293"/>
      <c r="N22" s="293"/>
      <c r="O22" s="293"/>
      <c r="P22" s="293"/>
      <c r="Q22" s="293"/>
      <c r="R22" s="293"/>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row>
    <row r="23" spans="1:52" ht="15">
      <c r="A23" s="288"/>
      <c r="B23" s="288"/>
      <c r="C23" s="294"/>
      <c r="D23" s="294"/>
      <c r="E23" s="294"/>
      <c r="F23" s="294"/>
      <c r="G23" s="294"/>
      <c r="H23" s="294"/>
      <c r="I23" s="294"/>
      <c r="J23" s="294"/>
      <c r="K23" s="309"/>
      <c r="L23" s="309"/>
      <c r="M23" s="293"/>
      <c r="N23" s="293"/>
      <c r="O23" s="293"/>
      <c r="P23" s="293"/>
      <c r="Q23" s="293"/>
      <c r="R23" s="293"/>
      <c r="S23" s="293"/>
      <c r="T23" s="288"/>
      <c r="U23" s="288"/>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row>
    <row r="24" spans="1:52" ht="15">
      <c r="A24" s="288"/>
      <c r="B24" s="288"/>
      <c r="C24" s="311" t="s">
        <v>559</v>
      </c>
      <c r="D24" s="294"/>
      <c r="E24" s="294"/>
      <c r="F24" s="294"/>
      <c r="G24" s="294"/>
      <c r="H24" s="294"/>
      <c r="I24" s="294"/>
      <c r="J24" s="294"/>
      <c r="K24" s="309"/>
      <c r="L24" s="309"/>
      <c r="M24" s="293"/>
      <c r="N24" s="293"/>
      <c r="O24" s="293"/>
      <c r="P24" s="293"/>
      <c r="Q24" s="293"/>
      <c r="R24" s="293"/>
      <c r="S24" s="293"/>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row>
    <row r="25" spans="1:52">
      <c r="A25" s="288"/>
      <c r="B25" s="288"/>
      <c r="C25" s="294" t="s">
        <v>560</v>
      </c>
      <c r="D25" s="294"/>
      <c r="E25" s="294"/>
      <c r="F25" s="294"/>
      <c r="G25" s="294"/>
      <c r="H25" s="294"/>
      <c r="I25" s="294"/>
      <c r="J25" s="294"/>
      <c r="K25" s="293"/>
      <c r="L25" s="293"/>
      <c r="M25" s="293"/>
      <c r="N25" s="293"/>
      <c r="O25" s="293"/>
      <c r="P25" s="293"/>
      <c r="Q25" s="293"/>
      <c r="R25" s="293"/>
      <c r="S25" s="293"/>
      <c r="T25" s="293"/>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row>
    <row r="26" spans="1:52">
      <c r="A26" s="288"/>
      <c r="B26" s="288"/>
      <c r="C26" s="294" t="s">
        <v>561</v>
      </c>
      <c r="D26" s="294"/>
      <c r="E26" s="294"/>
      <c r="F26" s="294"/>
      <c r="G26" s="294"/>
      <c r="H26" s="294"/>
      <c r="I26" s="294"/>
      <c r="J26" s="294"/>
      <c r="K26" s="293"/>
      <c r="L26" s="293"/>
      <c r="M26" s="293"/>
      <c r="N26" s="293"/>
      <c r="O26" s="293"/>
      <c r="P26" s="293"/>
      <c r="Q26" s="293"/>
      <c r="R26" s="293"/>
      <c r="S26" s="293"/>
      <c r="T26" s="293"/>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row>
    <row r="27" spans="1:52">
      <c r="A27" s="288"/>
      <c r="B27" s="288"/>
      <c r="C27" s="294" t="s">
        <v>562</v>
      </c>
      <c r="D27" s="294"/>
      <c r="E27" s="294"/>
      <c r="F27" s="294"/>
      <c r="G27" s="294"/>
      <c r="H27" s="294"/>
      <c r="I27" s="294"/>
      <c r="J27" s="294"/>
      <c r="K27" s="293"/>
      <c r="L27" s="293"/>
      <c r="M27" s="293"/>
      <c r="N27" s="293"/>
      <c r="O27" s="293"/>
      <c r="P27" s="293"/>
      <c r="Q27" s="293"/>
      <c r="R27" s="293"/>
      <c r="S27" s="293"/>
      <c r="T27" s="293"/>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row>
    <row r="28" spans="1:52">
      <c r="A28" s="288"/>
      <c r="B28" s="288"/>
      <c r="C28" s="294"/>
      <c r="D28" s="294"/>
      <c r="E28" s="294"/>
      <c r="F28" s="294"/>
      <c r="G28" s="294"/>
      <c r="H28" s="294"/>
      <c r="I28" s="294"/>
      <c r="J28" s="294"/>
      <c r="K28" s="293"/>
      <c r="L28" s="293"/>
      <c r="M28" s="293"/>
      <c r="N28" s="293"/>
      <c r="O28" s="293"/>
      <c r="P28" s="293"/>
      <c r="Q28" s="293"/>
      <c r="R28" s="293"/>
      <c r="S28" s="293"/>
      <c r="T28" s="293"/>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row>
    <row r="29" spans="1:52">
      <c r="A29" s="288"/>
      <c r="B29" s="288"/>
      <c r="C29" s="311" t="s">
        <v>563</v>
      </c>
      <c r="D29" s="294"/>
      <c r="E29" s="294"/>
      <c r="F29" s="293"/>
      <c r="G29" s="293"/>
      <c r="H29" s="293"/>
      <c r="I29" s="293"/>
      <c r="J29" s="293"/>
      <c r="K29" s="293"/>
      <c r="L29" s="293"/>
      <c r="M29" s="293"/>
      <c r="N29" s="293"/>
      <c r="O29" s="293"/>
      <c r="P29" s="293"/>
      <c r="Q29" s="293"/>
      <c r="R29" s="293"/>
      <c r="S29" s="293"/>
      <c r="T29" s="293"/>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row>
    <row r="30" spans="1:52">
      <c r="A30" s="288"/>
      <c r="B30" s="288"/>
      <c r="C30" s="294" t="s">
        <v>564</v>
      </c>
      <c r="D30" s="294"/>
      <c r="E30" s="294"/>
      <c r="F30" s="293"/>
      <c r="G30" s="293"/>
      <c r="H30" s="293"/>
      <c r="I30" s="293"/>
      <c r="J30" s="293"/>
      <c r="K30" s="293"/>
      <c r="L30" s="293"/>
      <c r="M30" s="293"/>
      <c r="N30" s="293"/>
      <c r="O30" s="293"/>
      <c r="P30" s="293"/>
      <c r="Q30" s="293"/>
      <c r="R30" s="293"/>
      <c r="S30" s="293"/>
      <c r="T30" s="293"/>
      <c r="U30" s="288"/>
      <c r="V30" s="288"/>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row>
    <row r="31" spans="1:52">
      <c r="A31" s="288"/>
      <c r="B31" s="288"/>
      <c r="C31" s="293"/>
      <c r="D31" s="294"/>
      <c r="E31" s="294"/>
      <c r="F31" s="293"/>
      <c r="G31" s="293"/>
      <c r="H31" s="293"/>
      <c r="I31" s="293"/>
      <c r="J31" s="293"/>
      <c r="K31" s="293"/>
      <c r="L31" s="293"/>
      <c r="M31" s="293"/>
      <c r="N31" s="293"/>
      <c r="O31" s="293"/>
      <c r="P31" s="293"/>
      <c r="Q31" s="293"/>
      <c r="R31" s="293"/>
      <c r="S31" s="293"/>
      <c r="T31" s="293"/>
      <c r="U31" s="288"/>
      <c r="V31" s="288"/>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row>
    <row r="32" spans="1:52">
      <c r="A32" s="288"/>
      <c r="B32" s="288"/>
      <c r="C32" s="293"/>
      <c r="D32" s="293"/>
      <c r="E32" s="293"/>
      <c r="F32" s="293"/>
      <c r="G32" s="293"/>
      <c r="H32" s="293"/>
      <c r="I32" s="293"/>
      <c r="J32" s="293"/>
      <c r="K32" s="293"/>
      <c r="L32" s="293"/>
      <c r="M32" s="293"/>
      <c r="N32" s="293"/>
      <c r="O32" s="293"/>
      <c r="P32" s="293"/>
      <c r="Q32" s="293"/>
      <c r="R32" s="293"/>
      <c r="S32" s="293"/>
      <c r="T32" s="293"/>
      <c r="U32" s="288"/>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row>
    <row r="33" spans="1:52" ht="15.75">
      <c r="A33" s="288"/>
      <c r="B33" s="288"/>
      <c r="C33" s="310" t="s">
        <v>565</v>
      </c>
      <c r="D33" s="309"/>
      <c r="E33" s="309"/>
      <c r="F33" s="309"/>
      <c r="G33" s="309"/>
      <c r="H33" s="309"/>
      <c r="I33" s="309"/>
      <c r="J33" s="309"/>
      <c r="K33" s="309"/>
      <c r="L33" s="309"/>
      <c r="M33" s="293"/>
      <c r="N33" s="293"/>
      <c r="O33" s="293"/>
      <c r="P33" s="293"/>
      <c r="Q33" s="293"/>
      <c r="R33" s="293"/>
      <c r="S33" s="293"/>
      <c r="T33" s="293"/>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row>
    <row r="34" spans="1:52" ht="15">
      <c r="A34" s="288"/>
      <c r="B34" s="288"/>
      <c r="C34" s="309"/>
      <c r="D34" s="309"/>
      <c r="E34" s="309"/>
      <c r="F34" s="309"/>
      <c r="G34" s="309"/>
      <c r="H34" s="309"/>
      <c r="I34" s="309"/>
      <c r="J34" s="309"/>
      <c r="K34" s="309"/>
      <c r="L34" s="309"/>
      <c r="M34" s="293"/>
      <c r="N34" s="293"/>
      <c r="O34" s="293"/>
      <c r="P34" s="293"/>
      <c r="Q34" s="293"/>
      <c r="R34" s="293"/>
      <c r="S34" s="293"/>
      <c r="T34" s="288"/>
      <c r="U34" s="288"/>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row>
    <row r="35" spans="1:52">
      <c r="A35" s="288"/>
      <c r="B35" s="288"/>
      <c r="C35" s="312" t="s">
        <v>566</v>
      </c>
      <c r="D35" s="312" t="s">
        <v>567</v>
      </c>
      <c r="E35" s="312"/>
      <c r="F35" s="312" t="s">
        <v>568</v>
      </c>
      <c r="G35" s="312"/>
      <c r="H35" s="312"/>
      <c r="I35" s="312"/>
      <c r="J35" s="312"/>
      <c r="K35" s="312"/>
      <c r="L35" s="312"/>
      <c r="M35" s="312"/>
      <c r="N35" s="312"/>
      <c r="O35" s="312"/>
      <c r="P35" s="312"/>
      <c r="Q35" s="312"/>
      <c r="R35" s="312"/>
      <c r="T35" s="288"/>
      <c r="U35" s="288"/>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row>
    <row r="36" spans="1:52">
      <c r="A36" s="288"/>
      <c r="B36" s="288"/>
      <c r="C36" s="313">
        <v>1</v>
      </c>
      <c r="D36" s="314" t="s">
        <v>569</v>
      </c>
      <c r="E36" s="314"/>
      <c r="F36" s="315" t="s">
        <v>570</v>
      </c>
      <c r="G36" s="294"/>
      <c r="H36" s="294"/>
      <c r="I36" s="294"/>
      <c r="J36" s="294"/>
      <c r="K36" s="294"/>
      <c r="L36" s="294"/>
      <c r="M36" s="294"/>
      <c r="N36" s="294"/>
      <c r="O36" s="294"/>
      <c r="P36" s="294"/>
      <c r="Q36" s="294"/>
      <c r="R36" s="294"/>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row>
    <row r="37" spans="1:52">
      <c r="A37" s="288"/>
      <c r="B37" s="288"/>
      <c r="C37" s="316"/>
      <c r="D37" s="317"/>
      <c r="E37" s="317"/>
      <c r="F37" s="318"/>
      <c r="G37" s="294"/>
      <c r="H37" s="294"/>
      <c r="I37" s="294"/>
      <c r="J37" s="294"/>
      <c r="K37" s="294"/>
      <c r="L37" s="294"/>
      <c r="M37" s="294"/>
      <c r="N37" s="294"/>
      <c r="O37" s="294"/>
      <c r="P37" s="294"/>
      <c r="Q37" s="294"/>
      <c r="R37" s="294"/>
      <c r="S37" s="294"/>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row>
    <row r="38" spans="1:52">
      <c r="A38" s="288"/>
      <c r="B38" s="288"/>
      <c r="C38" s="316">
        <v>2</v>
      </c>
      <c r="D38" s="317" t="s">
        <v>550</v>
      </c>
      <c r="E38" s="317"/>
      <c r="F38" s="318" t="s">
        <v>571</v>
      </c>
      <c r="G38" s="294"/>
      <c r="H38" s="294"/>
      <c r="I38" s="294"/>
      <c r="J38" s="294"/>
      <c r="K38" s="294"/>
      <c r="L38" s="294"/>
      <c r="M38" s="294"/>
      <c r="N38" s="294"/>
      <c r="O38" s="294"/>
      <c r="P38" s="294"/>
      <c r="Q38" s="294"/>
      <c r="R38" s="294"/>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row>
    <row r="39" spans="1:52">
      <c r="A39" s="288"/>
      <c r="B39" s="288"/>
      <c r="C39" s="316"/>
      <c r="D39" s="317"/>
      <c r="E39" s="317"/>
      <c r="F39" s="294" t="s">
        <v>572</v>
      </c>
      <c r="G39" s="293"/>
      <c r="H39" s="293"/>
      <c r="I39" s="293"/>
      <c r="J39" s="293"/>
      <c r="K39" s="293"/>
      <c r="L39" s="293"/>
      <c r="M39" s="293"/>
      <c r="N39" s="293"/>
      <c r="O39" s="293"/>
      <c r="P39" s="293"/>
      <c r="Q39" s="293"/>
      <c r="R39" s="293"/>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row>
    <row r="40" spans="1:52">
      <c r="A40" s="288"/>
      <c r="B40" s="288"/>
      <c r="C40" s="316"/>
      <c r="D40" s="317"/>
      <c r="E40" s="317"/>
      <c r="F40" s="294" t="s">
        <v>573</v>
      </c>
      <c r="G40" s="293"/>
      <c r="H40" s="293"/>
      <c r="I40" s="293"/>
      <c r="J40" s="293"/>
      <c r="K40" s="293"/>
      <c r="L40" s="293"/>
      <c r="M40" s="293"/>
      <c r="N40" s="293"/>
      <c r="O40" s="293"/>
      <c r="P40" s="293"/>
      <c r="Q40" s="293"/>
      <c r="R40" s="293"/>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row>
    <row r="41" spans="1:52">
      <c r="A41" s="288"/>
      <c r="B41" s="288"/>
      <c r="C41" s="316"/>
      <c r="D41" s="317"/>
      <c r="E41" s="317"/>
      <c r="F41" s="294" t="s">
        <v>574</v>
      </c>
      <c r="G41" s="293"/>
      <c r="H41" s="293"/>
      <c r="I41" s="293"/>
      <c r="J41" s="293"/>
      <c r="K41" s="293"/>
      <c r="L41" s="293"/>
      <c r="M41" s="293"/>
      <c r="N41" s="293"/>
      <c r="O41" s="293"/>
      <c r="P41" s="293"/>
      <c r="Q41" s="293"/>
      <c r="R41" s="293"/>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row>
    <row r="42" spans="1:52">
      <c r="A42" s="288"/>
      <c r="B42" s="288"/>
      <c r="C42" s="316"/>
      <c r="D42" s="317"/>
      <c r="E42" s="317"/>
      <c r="F42" s="294" t="s">
        <v>575</v>
      </c>
      <c r="G42" s="293"/>
      <c r="H42" s="293"/>
      <c r="I42" s="293"/>
      <c r="J42" s="293"/>
      <c r="K42" s="293"/>
      <c r="L42" s="293"/>
      <c r="M42" s="293"/>
      <c r="N42" s="293"/>
      <c r="O42" s="293"/>
      <c r="P42" s="293"/>
      <c r="Q42" s="293"/>
      <c r="R42" s="293"/>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row>
    <row r="43" spans="1:52">
      <c r="A43" s="288"/>
      <c r="B43" s="288"/>
      <c r="C43" s="316"/>
      <c r="D43" s="317"/>
      <c r="E43" s="317"/>
      <c r="F43" s="294" t="s">
        <v>576</v>
      </c>
      <c r="G43" s="293"/>
      <c r="H43" s="293"/>
      <c r="I43" s="293"/>
      <c r="J43" s="293"/>
      <c r="K43" s="293"/>
      <c r="L43" s="293"/>
      <c r="M43" s="293"/>
      <c r="N43" s="293"/>
      <c r="O43" s="293"/>
      <c r="P43" s="293"/>
      <c r="Q43" s="293"/>
      <c r="R43" s="293"/>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row>
    <row r="44" spans="1:52">
      <c r="A44" s="288"/>
      <c r="B44" s="288"/>
      <c r="C44" s="293"/>
      <c r="D44" s="293"/>
      <c r="E44" s="293"/>
      <c r="F44" s="293"/>
      <c r="G44" s="293"/>
      <c r="H44" s="293"/>
      <c r="I44" s="293"/>
      <c r="J44" s="293"/>
      <c r="K44" s="293"/>
      <c r="L44" s="293"/>
      <c r="M44" s="293"/>
      <c r="N44" s="293"/>
      <c r="O44" s="293"/>
      <c r="P44" s="293"/>
      <c r="Q44" s="293"/>
      <c r="R44" s="293"/>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row>
    <row r="45" spans="1:52">
      <c r="A45" s="288"/>
      <c r="B45" s="288"/>
      <c r="C45" s="1444">
        <v>3</v>
      </c>
      <c r="D45" s="1445" t="s">
        <v>1136</v>
      </c>
      <c r="E45" s="293"/>
      <c r="F45" s="293" t="s">
        <v>577</v>
      </c>
      <c r="G45" s="293"/>
      <c r="H45" s="293"/>
      <c r="I45" s="293"/>
      <c r="J45" s="293"/>
      <c r="K45" s="293"/>
      <c r="L45" s="293"/>
      <c r="M45" s="293"/>
      <c r="N45" s="293"/>
      <c r="O45" s="293"/>
      <c r="P45" s="293"/>
      <c r="Q45" s="293"/>
      <c r="R45" s="293"/>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row>
    <row r="46" spans="1:52">
      <c r="A46" s="288"/>
      <c r="B46" s="288"/>
      <c r="C46" s="293"/>
      <c r="D46" s="293"/>
      <c r="E46" s="293"/>
      <c r="F46" s="293" t="s">
        <v>578</v>
      </c>
      <c r="G46" s="293"/>
      <c r="H46" s="293"/>
      <c r="I46" s="293"/>
      <c r="J46" s="293"/>
      <c r="K46" s="293"/>
      <c r="L46" s="293"/>
      <c r="M46" s="293"/>
      <c r="N46" s="293"/>
      <c r="O46" s="293"/>
      <c r="P46" s="293"/>
      <c r="Q46" s="293"/>
      <c r="R46" s="293"/>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row>
    <row r="47" spans="1:52">
      <c r="A47" s="288"/>
      <c r="B47" s="288"/>
      <c r="C47" s="293"/>
      <c r="D47" s="293"/>
      <c r="E47" s="293"/>
      <c r="F47" s="293" t="s">
        <v>590</v>
      </c>
      <c r="G47" s="293"/>
      <c r="H47" s="293"/>
      <c r="I47" s="293"/>
      <c r="J47" s="293"/>
      <c r="K47" s="293"/>
      <c r="L47" s="293"/>
      <c r="M47" s="293"/>
      <c r="N47" s="293"/>
      <c r="O47" s="293"/>
      <c r="P47" s="293"/>
      <c r="Q47" s="293"/>
      <c r="R47" s="293"/>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row>
    <row r="48" spans="1:52">
      <c r="A48" s="288"/>
      <c r="B48" s="288"/>
      <c r="C48" s="293"/>
      <c r="D48" s="293"/>
      <c r="E48" s="293"/>
      <c r="F48" s="293" t="s">
        <v>579</v>
      </c>
      <c r="G48" s="293"/>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row>
    <row r="49" spans="1:52">
      <c r="A49" s="288"/>
      <c r="B49" s="288"/>
      <c r="C49" s="293"/>
      <c r="D49" s="293"/>
      <c r="E49" s="293"/>
      <c r="F49" s="293"/>
      <c r="G49" s="293"/>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row>
    <row r="50" spans="1:52">
      <c r="A50" s="288"/>
      <c r="B50" s="288"/>
      <c r="C50" s="293"/>
      <c r="D50" s="293"/>
      <c r="E50" s="293"/>
      <c r="F50" s="293"/>
      <c r="G50" s="293"/>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row>
    <row r="51" spans="1:52">
      <c r="A51" s="288"/>
      <c r="B51" s="288"/>
      <c r="C51" s="293"/>
      <c r="D51" s="293"/>
      <c r="E51" s="293"/>
      <c r="F51" s="293"/>
      <c r="G51" s="293"/>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row>
    <row r="52" spans="1:52">
      <c r="A52" s="288"/>
      <c r="B52" s="288"/>
      <c r="C52" s="288"/>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row>
    <row r="53" spans="1:52">
      <c r="A53" s="288"/>
      <c r="B53" s="288"/>
      <c r="C53" s="288"/>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row>
    <row r="54" spans="1:52">
      <c r="A54" s="288"/>
      <c r="B54" s="288"/>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row>
    <row r="55" spans="1:52">
      <c r="A55" s="288"/>
      <c r="B55" s="288"/>
      <c r="C55" s="288"/>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row>
    <row r="56" spans="1:52">
      <c r="A56" s="288"/>
      <c r="B56" s="288"/>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row>
    <row r="57" spans="1:52">
      <c r="A57" s="288"/>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row>
    <row r="58" spans="1:52">
      <c r="A58" s="288"/>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row>
    <row r="59" spans="1:52">
      <c r="A59" s="288"/>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row>
    <row r="60" spans="1:52">
      <c r="A60" s="288"/>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row>
    <row r="61" spans="1:52">
      <c r="A61" s="288"/>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row>
    <row r="62" spans="1:52">
      <c r="A62" s="288"/>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row>
    <row r="63" spans="1:52">
      <c r="A63" s="288"/>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row>
    <row r="64" spans="1:52">
      <c r="A64" s="288"/>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row>
    <row r="65" spans="1:52">
      <c r="A65" s="288"/>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row>
    <row r="66" spans="1:52">
      <c r="A66" s="288"/>
      <c r="B66" s="288"/>
      <c r="C66" s="288"/>
      <c r="D66" s="288"/>
      <c r="E66" s="288"/>
      <c r="F66" s="288"/>
      <c r="G66" s="288"/>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row>
    <row r="67" spans="1:52">
      <c r="A67" s="288"/>
      <c r="B67" s="288"/>
      <c r="C67" s="288"/>
      <c r="D67" s="288"/>
      <c r="E67" s="288"/>
      <c r="F67" s="288"/>
      <c r="G67" s="288"/>
      <c r="H67" s="288"/>
      <c r="I67" s="288"/>
      <c r="J67" s="288"/>
      <c r="K67" s="288"/>
      <c r="L67" s="288"/>
      <c r="M67" s="288"/>
      <c r="N67" s="288"/>
      <c r="O67" s="288"/>
      <c r="P67" s="288"/>
      <c r="Q67" s="288"/>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row>
    <row r="68" spans="1:52">
      <c r="A68" s="288"/>
      <c r="B68" s="288"/>
      <c r="C68" s="288"/>
      <c r="D68" s="288"/>
      <c r="E68" s="288"/>
      <c r="F68" s="288"/>
      <c r="G68" s="288"/>
      <c r="H68" s="288"/>
      <c r="I68" s="28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c r="AQ68" s="288"/>
      <c r="AR68" s="288"/>
      <c r="AS68" s="288"/>
      <c r="AT68" s="288"/>
      <c r="AU68" s="288"/>
      <c r="AV68" s="288"/>
      <c r="AW68" s="288"/>
      <c r="AX68" s="288"/>
      <c r="AY68" s="288"/>
      <c r="AZ68" s="288"/>
    </row>
    <row r="69" spans="1:52">
      <c r="A69" s="288"/>
      <c r="B69" s="288"/>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row>
    <row r="70" spans="1:52">
      <c r="A70" s="288"/>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row>
    <row r="71" spans="1:52">
      <c r="A71" s="288"/>
      <c r="B71" s="288"/>
      <c r="C71" s="288"/>
      <c r="D71" s="288"/>
      <c r="E71" s="288"/>
      <c r="F71" s="288"/>
      <c r="G71" s="288"/>
      <c r="H71" s="288"/>
      <c r="I71" s="288"/>
      <c r="J71" s="288"/>
      <c r="K71" s="288"/>
      <c r="L71" s="288"/>
      <c r="M71" s="288"/>
      <c r="N71" s="288"/>
      <c r="O71" s="288"/>
      <c r="P71" s="288"/>
      <c r="Q71" s="288"/>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row>
    <row r="72" spans="1:52">
      <c r="A72" s="288"/>
      <c r="B72" s="288"/>
      <c r="C72" s="288"/>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AA72" s="288"/>
      <c r="AB72" s="288"/>
      <c r="AC72" s="288"/>
      <c r="AD72" s="288"/>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row>
    <row r="73" spans="1:52">
      <c r="A73" s="288"/>
      <c r="B73" s="288"/>
      <c r="C73" s="288"/>
      <c r="D73" s="288"/>
      <c r="E73" s="288"/>
      <c r="F73" s="288"/>
      <c r="G73" s="288"/>
      <c r="H73" s="288"/>
      <c r="I73" s="288"/>
      <c r="J73" s="288"/>
      <c r="K73" s="288"/>
      <c r="L73" s="288"/>
      <c r="M73" s="288"/>
      <c r="N73" s="288"/>
      <c r="O73" s="288"/>
      <c r="P73" s="288"/>
      <c r="Q73" s="288"/>
      <c r="R73" s="288"/>
      <c r="S73" s="288"/>
      <c r="T73" s="288"/>
      <c r="U73" s="288"/>
      <c r="V73" s="288"/>
      <c r="W73" s="288"/>
      <c r="X73" s="288"/>
      <c r="Y73" s="288"/>
      <c r="Z73" s="288"/>
      <c r="AA73" s="288"/>
      <c r="AB73" s="288"/>
      <c r="AC73" s="288"/>
      <c r="AD73" s="288"/>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row>
    <row r="74" spans="1:52">
      <c r="A74" s="288"/>
      <c r="B74" s="288"/>
      <c r="C74" s="288"/>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288"/>
      <c r="AC74" s="288"/>
      <c r="AD74" s="288"/>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row>
    <row r="75" spans="1:52">
      <c r="A75" s="288"/>
      <c r="B75" s="288"/>
      <c r="C75" s="288"/>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row>
    <row r="76" spans="1:52">
      <c r="A76" s="288"/>
      <c r="B76" s="288"/>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8"/>
      <c r="AJ76" s="288"/>
      <c r="AK76" s="288"/>
      <c r="AL76" s="288"/>
      <c r="AM76" s="288"/>
      <c r="AN76" s="288"/>
      <c r="AO76" s="288"/>
      <c r="AP76" s="288"/>
      <c r="AQ76" s="288"/>
      <c r="AR76" s="288"/>
      <c r="AS76" s="288"/>
      <c r="AT76" s="288"/>
      <c r="AU76" s="288"/>
      <c r="AV76" s="288"/>
      <c r="AW76" s="288"/>
      <c r="AX76" s="288"/>
      <c r="AY76" s="288"/>
      <c r="AZ76" s="288"/>
    </row>
    <row r="77" spans="1:52">
      <c r="A77" s="288"/>
      <c r="B77" s="288"/>
      <c r="C77" s="288"/>
      <c r="D77" s="288"/>
      <c r="E77" s="288"/>
      <c r="F77" s="288"/>
      <c r="G77" s="288"/>
      <c r="H77" s="288"/>
      <c r="I77" s="288"/>
      <c r="J77" s="288"/>
      <c r="K77" s="288"/>
      <c r="L77" s="288"/>
      <c r="M77" s="288"/>
      <c r="N77" s="288"/>
      <c r="O77" s="288"/>
      <c r="P77" s="288"/>
      <c r="Q77" s="288"/>
      <c r="R77" s="288"/>
      <c r="S77" s="288"/>
      <c r="T77" s="288"/>
      <c r="U77" s="288"/>
      <c r="V77" s="288"/>
      <c r="W77" s="288"/>
      <c r="X77" s="288"/>
      <c r="Y77" s="288"/>
      <c r="Z77" s="288"/>
      <c r="AA77" s="288"/>
      <c r="AB77" s="288"/>
      <c r="AC77" s="288"/>
      <c r="AD77" s="288"/>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row>
    <row r="78" spans="1:52">
      <c r="A78" s="288"/>
      <c r="B78" s="288"/>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288"/>
      <c r="AC78" s="288"/>
      <c r="AD78" s="288"/>
      <c r="AE78" s="288"/>
      <c r="AF78" s="288"/>
      <c r="AG78" s="288"/>
      <c r="AH78" s="288"/>
      <c r="AI78" s="288"/>
      <c r="AJ78" s="288"/>
      <c r="AK78" s="288"/>
      <c r="AL78" s="288"/>
      <c r="AM78" s="288"/>
      <c r="AN78" s="288"/>
      <c r="AO78" s="288"/>
      <c r="AP78" s="288"/>
      <c r="AQ78" s="288"/>
      <c r="AR78" s="288"/>
      <c r="AS78" s="288"/>
      <c r="AT78" s="288"/>
      <c r="AU78" s="288"/>
      <c r="AV78" s="288"/>
      <c r="AW78" s="288"/>
      <c r="AX78" s="288"/>
      <c r="AY78" s="288"/>
      <c r="AZ78" s="288"/>
    </row>
    <row r="79" spans="1:52">
      <c r="A79" s="288"/>
      <c r="B79" s="288"/>
      <c r="C79" s="288"/>
      <c r="D79" s="288"/>
      <c r="E79" s="288"/>
      <c r="F79" s="288"/>
      <c r="G79" s="288"/>
      <c r="H79" s="288"/>
      <c r="I79" s="288"/>
      <c r="J79" s="288"/>
      <c r="K79" s="288"/>
      <c r="L79" s="288"/>
      <c r="M79" s="288"/>
      <c r="N79" s="288"/>
      <c r="O79" s="288"/>
      <c r="P79" s="288"/>
      <c r="Q79" s="288"/>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row>
    <row r="80" spans="1:52">
      <c r="A80" s="288"/>
      <c r="B80" s="288"/>
      <c r="C80" s="288"/>
      <c r="D80" s="288"/>
      <c r="E80" s="288"/>
      <c r="F80" s="288"/>
      <c r="G80" s="288"/>
      <c r="H80" s="288"/>
      <c r="I80" s="288"/>
      <c r="J80" s="288"/>
      <c r="K80" s="288"/>
      <c r="L80" s="288"/>
      <c r="M80" s="288"/>
      <c r="N80" s="288"/>
      <c r="O80" s="288"/>
      <c r="P80" s="288"/>
      <c r="Q80" s="288"/>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row>
    <row r="81" spans="1:52">
      <c r="A81" s="288"/>
      <c r="B81" s="288"/>
      <c r="C81" s="288"/>
      <c r="D81" s="288"/>
      <c r="E81" s="288"/>
      <c r="F81" s="288"/>
      <c r="G81" s="288"/>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row>
    <row r="82" spans="1:52">
      <c r="A82" s="288"/>
      <c r="B82" s="288"/>
      <c r="C82" s="288"/>
      <c r="D82" s="288"/>
      <c r="E82" s="288"/>
      <c r="F82" s="288"/>
      <c r="G82" s="288"/>
      <c r="H82" s="288"/>
      <c r="I82" s="288"/>
      <c r="J82" s="288"/>
      <c r="K82" s="288"/>
      <c r="L82" s="288"/>
      <c r="M82" s="288"/>
      <c r="N82" s="288"/>
      <c r="O82" s="288"/>
      <c r="P82" s="288"/>
      <c r="Q82" s="288"/>
      <c r="R82" s="288"/>
      <c r="S82" s="288"/>
      <c r="T82" s="288"/>
      <c r="U82" s="288"/>
      <c r="V82" s="288"/>
      <c r="W82" s="288"/>
      <c r="X82" s="288"/>
      <c r="Y82" s="288"/>
      <c r="Z82" s="288"/>
      <c r="AA82" s="288"/>
      <c r="AB82" s="288"/>
      <c r="AC82" s="288"/>
      <c r="AD82" s="288"/>
      <c r="AE82" s="288"/>
      <c r="AF82" s="288"/>
      <c r="AG82" s="288"/>
      <c r="AH82" s="288"/>
      <c r="AI82" s="288"/>
      <c r="AJ82" s="288"/>
      <c r="AK82" s="288"/>
      <c r="AL82" s="288"/>
      <c r="AM82" s="288"/>
      <c r="AN82" s="288"/>
      <c r="AO82" s="288"/>
      <c r="AP82" s="288"/>
      <c r="AQ82" s="288"/>
      <c r="AR82" s="288"/>
      <c r="AS82" s="288"/>
      <c r="AT82" s="288"/>
      <c r="AU82" s="288"/>
      <c r="AV82" s="288"/>
      <c r="AW82" s="288"/>
      <c r="AX82" s="288"/>
      <c r="AY82" s="288"/>
      <c r="AZ82" s="288"/>
    </row>
    <row r="83" spans="1:52">
      <c r="A83" s="288"/>
      <c r="B83" s="288"/>
      <c r="C83" s="288"/>
      <c r="D83" s="288"/>
      <c r="E83" s="288"/>
      <c r="F83" s="288"/>
      <c r="G83" s="288"/>
      <c r="H83" s="288"/>
      <c r="I83" s="288"/>
      <c r="J83" s="288"/>
      <c r="K83" s="288"/>
      <c r="L83" s="288"/>
      <c r="M83" s="288"/>
      <c r="N83" s="288"/>
      <c r="O83" s="288"/>
      <c r="P83" s="288"/>
      <c r="Q83" s="288"/>
      <c r="R83" s="288"/>
      <c r="S83" s="288"/>
      <c r="T83" s="288"/>
      <c r="U83" s="288"/>
      <c r="V83" s="288"/>
      <c r="W83" s="288"/>
      <c r="X83" s="288"/>
      <c r="Y83" s="288"/>
      <c r="Z83" s="288"/>
      <c r="AA83" s="288"/>
      <c r="AB83" s="288"/>
      <c r="AC83" s="288"/>
      <c r="AD83" s="288"/>
      <c r="AE83" s="288"/>
      <c r="AF83" s="288"/>
      <c r="AG83" s="288"/>
      <c r="AH83" s="288"/>
      <c r="AI83" s="288"/>
      <c r="AJ83" s="288"/>
      <c r="AK83" s="288"/>
      <c r="AL83" s="288"/>
      <c r="AM83" s="288"/>
      <c r="AN83" s="288"/>
      <c r="AO83" s="288"/>
      <c r="AP83" s="288"/>
      <c r="AQ83" s="288"/>
      <c r="AR83" s="288"/>
      <c r="AS83" s="288"/>
      <c r="AT83" s="288"/>
      <c r="AU83" s="288"/>
      <c r="AV83" s="288"/>
      <c r="AW83" s="288"/>
      <c r="AX83" s="288"/>
      <c r="AY83" s="288"/>
      <c r="AZ83" s="288"/>
    </row>
    <row r="84" spans="1:52">
      <c r="A84" s="288"/>
      <c r="B84" s="288"/>
      <c r="C84" s="288"/>
      <c r="D84" s="288"/>
      <c r="E84" s="288"/>
      <c r="F84" s="288"/>
      <c r="G84" s="288"/>
      <c r="H84" s="288"/>
      <c r="I84" s="288"/>
      <c r="J84" s="288"/>
      <c r="K84" s="288"/>
      <c r="L84" s="288"/>
      <c r="M84" s="288"/>
      <c r="N84" s="288"/>
      <c r="O84" s="288"/>
      <c r="P84" s="288"/>
      <c r="Q84" s="288"/>
      <c r="R84" s="288"/>
      <c r="S84" s="288"/>
      <c r="T84" s="288"/>
      <c r="U84" s="288"/>
      <c r="V84" s="288"/>
      <c r="W84" s="288"/>
      <c r="X84" s="288"/>
      <c r="Y84" s="288"/>
      <c r="Z84" s="288"/>
      <c r="AA84" s="288"/>
      <c r="AB84" s="288"/>
      <c r="AC84" s="288"/>
      <c r="AD84" s="288"/>
      <c r="AE84" s="288"/>
      <c r="AF84" s="288"/>
      <c r="AG84" s="288"/>
      <c r="AH84" s="288"/>
      <c r="AI84" s="288"/>
      <c r="AJ84" s="288"/>
      <c r="AK84" s="288"/>
      <c r="AL84" s="288"/>
      <c r="AM84" s="288"/>
      <c r="AN84" s="288"/>
      <c r="AO84" s="288"/>
      <c r="AP84" s="288"/>
      <c r="AQ84" s="288"/>
      <c r="AR84" s="288"/>
      <c r="AS84" s="288"/>
      <c r="AT84" s="288"/>
      <c r="AU84" s="288"/>
      <c r="AV84" s="288"/>
      <c r="AW84" s="288"/>
      <c r="AX84" s="288"/>
      <c r="AY84" s="288"/>
      <c r="AZ84" s="288"/>
    </row>
    <row r="85" spans="1:52">
      <c r="A85" s="288"/>
      <c r="B85" s="288"/>
      <c r="C85" s="288"/>
      <c r="D85" s="288"/>
      <c r="E85" s="288"/>
      <c r="F85" s="288"/>
      <c r="G85" s="288"/>
      <c r="H85" s="288"/>
      <c r="I85" s="288"/>
      <c r="J85" s="288"/>
      <c r="K85" s="288"/>
      <c r="L85" s="288"/>
      <c r="M85" s="288"/>
      <c r="N85" s="288"/>
      <c r="O85" s="288"/>
      <c r="P85" s="288"/>
      <c r="Q85" s="288"/>
      <c r="R85" s="288"/>
      <c r="S85" s="288"/>
      <c r="T85" s="288"/>
      <c r="U85" s="288"/>
      <c r="V85" s="288"/>
      <c r="W85" s="288"/>
      <c r="X85" s="288"/>
      <c r="Y85" s="288"/>
      <c r="Z85" s="288"/>
      <c r="AA85" s="288"/>
      <c r="AB85" s="288"/>
      <c r="AC85" s="288"/>
      <c r="AD85" s="288"/>
      <c r="AE85" s="288"/>
      <c r="AF85" s="288"/>
      <c r="AG85" s="288"/>
      <c r="AH85" s="288"/>
      <c r="AI85" s="288"/>
      <c r="AJ85" s="288"/>
      <c r="AK85" s="288"/>
      <c r="AL85" s="288"/>
      <c r="AM85" s="288"/>
      <c r="AN85" s="288"/>
      <c r="AO85" s="288"/>
      <c r="AP85" s="288"/>
      <c r="AQ85" s="288"/>
      <c r="AR85" s="288"/>
      <c r="AS85" s="288"/>
      <c r="AT85" s="288"/>
      <c r="AU85" s="288"/>
      <c r="AV85" s="288"/>
      <c r="AW85" s="288"/>
      <c r="AX85" s="288"/>
      <c r="AY85" s="288"/>
      <c r="AZ85" s="288"/>
    </row>
    <row r="86" spans="1:52">
      <c r="A86" s="288"/>
      <c r="B86" s="288"/>
      <c r="C86" s="288"/>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row>
    <row r="87" spans="1:52">
      <c r="A87" s="288"/>
      <c r="B87" s="288"/>
      <c r="C87" s="288"/>
      <c r="D87" s="288"/>
      <c r="E87" s="288"/>
      <c r="F87" s="288"/>
      <c r="G87" s="288"/>
      <c r="H87" s="288"/>
      <c r="I87" s="288"/>
      <c r="J87" s="288"/>
      <c r="K87" s="288"/>
      <c r="L87" s="288"/>
      <c r="M87" s="288"/>
      <c r="N87" s="288"/>
      <c r="O87" s="288"/>
      <c r="P87" s="288"/>
      <c r="Q87" s="288"/>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row>
    <row r="88" spans="1:52">
      <c r="A88" s="288"/>
      <c r="B88" s="288"/>
      <c r="C88" s="288"/>
      <c r="D88" s="288"/>
      <c r="E88" s="288"/>
      <c r="F88" s="288"/>
      <c r="G88" s="288"/>
      <c r="H88" s="288"/>
      <c r="I88" s="288"/>
      <c r="J88" s="288"/>
      <c r="K88" s="288"/>
      <c r="L88" s="288"/>
      <c r="M88" s="288"/>
      <c r="N88" s="288"/>
      <c r="O88" s="288"/>
      <c r="P88" s="288"/>
      <c r="Q88" s="288"/>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row>
    <row r="89" spans="1:52">
      <c r="A89" s="288"/>
      <c r="B89" s="288"/>
      <c r="C89" s="288"/>
      <c r="D89" s="288"/>
      <c r="E89" s="288"/>
      <c r="F89" s="288"/>
      <c r="G89" s="288"/>
      <c r="H89" s="288"/>
      <c r="I89" s="288"/>
      <c r="J89" s="288"/>
      <c r="K89" s="288"/>
      <c r="L89" s="288"/>
      <c r="M89" s="288"/>
      <c r="N89" s="288"/>
      <c r="O89" s="288"/>
      <c r="P89" s="288"/>
      <c r="Q89" s="288"/>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row>
    <row r="90" spans="1:52">
      <c r="A90" s="288"/>
      <c r="B90" s="288"/>
      <c r="C90" s="288"/>
      <c r="D90" s="288"/>
      <c r="E90" s="288"/>
      <c r="F90" s="288"/>
      <c r="G90" s="288"/>
      <c r="H90" s="288"/>
      <c r="I90" s="288"/>
      <c r="J90" s="288"/>
      <c r="K90" s="288"/>
      <c r="L90" s="288"/>
      <c r="M90" s="288"/>
      <c r="N90" s="288"/>
      <c r="O90" s="288"/>
      <c r="P90" s="288"/>
      <c r="Q90" s="288"/>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row>
    <row r="91" spans="1:52">
      <c r="A91" s="288"/>
      <c r="B91" s="288"/>
      <c r="C91" s="288"/>
      <c r="D91" s="288"/>
      <c r="E91" s="288"/>
      <c r="F91" s="288"/>
      <c r="G91" s="288"/>
      <c r="H91" s="288"/>
      <c r="I91" s="288"/>
      <c r="J91" s="288"/>
      <c r="K91" s="288"/>
      <c r="L91" s="288"/>
      <c r="M91" s="288"/>
      <c r="N91" s="288"/>
      <c r="O91" s="288"/>
      <c r="P91" s="288"/>
      <c r="Q91" s="288"/>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row>
    <row r="92" spans="1:52">
      <c r="A92" s="288"/>
      <c r="B92" s="288"/>
      <c r="C92" s="288"/>
      <c r="D92" s="288"/>
      <c r="E92" s="288"/>
      <c r="F92" s="288"/>
      <c r="G92" s="288"/>
      <c r="H92" s="288"/>
      <c r="I92" s="288"/>
      <c r="J92" s="288"/>
      <c r="K92" s="288"/>
      <c r="L92" s="288"/>
      <c r="M92" s="288"/>
      <c r="N92" s="288"/>
      <c r="O92" s="288"/>
      <c r="P92" s="288"/>
      <c r="Q92" s="288"/>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row>
    <row r="93" spans="1:52">
      <c r="A93" s="288"/>
      <c r="B93" s="288"/>
      <c r="C93" s="288"/>
      <c r="D93" s="288"/>
      <c r="E93" s="288"/>
      <c r="F93" s="288"/>
      <c r="G93" s="288"/>
      <c r="H93" s="288"/>
      <c r="I93" s="288"/>
      <c r="J93" s="288"/>
      <c r="K93" s="288"/>
      <c r="L93" s="288"/>
      <c r="M93" s="288"/>
      <c r="N93" s="288"/>
      <c r="O93" s="288"/>
      <c r="P93" s="288"/>
      <c r="Q93" s="288"/>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row>
    <row r="94" spans="1:52">
      <c r="A94" s="288"/>
      <c r="B94" s="288"/>
      <c r="C94" s="288"/>
      <c r="D94" s="288"/>
      <c r="E94" s="288"/>
      <c r="F94" s="288"/>
      <c r="G94" s="288"/>
      <c r="H94" s="288"/>
      <c r="I94" s="288"/>
      <c r="J94" s="288"/>
      <c r="K94" s="288"/>
      <c r="L94" s="288"/>
      <c r="M94" s="288"/>
      <c r="N94" s="288"/>
      <c r="O94" s="288"/>
      <c r="P94" s="288"/>
      <c r="Q94" s="288"/>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row>
    <row r="95" spans="1:52">
      <c r="A95" s="288"/>
      <c r="B95" s="288"/>
      <c r="C95" s="288"/>
      <c r="D95" s="288"/>
      <c r="E95" s="288"/>
      <c r="F95" s="288"/>
      <c r="G95" s="288"/>
      <c r="H95" s="288"/>
      <c r="I95" s="288"/>
      <c r="J95" s="288"/>
      <c r="K95" s="288"/>
      <c r="L95" s="288"/>
      <c r="M95" s="288"/>
      <c r="N95" s="288"/>
      <c r="O95" s="288"/>
      <c r="P95" s="288"/>
      <c r="Q95" s="288"/>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row>
    <row r="96" spans="1:52">
      <c r="A96" s="288"/>
      <c r="B96" s="288"/>
      <c r="C96" s="288"/>
      <c r="D96" s="288"/>
      <c r="E96" s="288"/>
      <c r="F96" s="288"/>
      <c r="G96" s="288"/>
      <c r="H96" s="288"/>
      <c r="I96" s="288"/>
      <c r="J96" s="288"/>
      <c r="K96" s="288"/>
      <c r="L96" s="288"/>
      <c r="M96" s="288"/>
      <c r="N96" s="288"/>
      <c r="O96" s="288"/>
      <c r="P96" s="288"/>
      <c r="Q96" s="288"/>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row>
    <row r="97" spans="1:52">
      <c r="A97" s="288"/>
      <c r="B97" s="288"/>
      <c r="C97" s="288"/>
      <c r="D97" s="288"/>
      <c r="E97" s="288"/>
      <c r="F97" s="288"/>
      <c r="G97" s="288"/>
      <c r="H97" s="288"/>
      <c r="I97" s="288"/>
      <c r="J97" s="288"/>
      <c r="K97" s="288"/>
      <c r="L97" s="288"/>
      <c r="M97" s="288"/>
      <c r="N97" s="288"/>
      <c r="O97" s="288"/>
      <c r="P97" s="288"/>
      <c r="Q97" s="288"/>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row>
    <row r="98" spans="1:52">
      <c r="A98" s="288"/>
      <c r="B98" s="288"/>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row>
    <row r="99" spans="1:52">
      <c r="A99" s="288"/>
      <c r="B99" s="288"/>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row>
    <row r="100" spans="1:52">
      <c r="A100" s="288"/>
      <c r="B100" s="288"/>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row>
  </sheetData>
  <mergeCells count="1">
    <mergeCell ref="C14:R14"/>
  </mergeCells>
  <printOptions headings="1"/>
  <pageMargins left="0.74803149606299213" right="0.74803149606299213" top="0.98425196850393704" bottom="0.98425196850393704" header="0.51181102362204722" footer="0.51181102362204722"/>
  <pageSetup paperSize="9" scale="56" orientation="landscape" r:id="rId1"/>
  <headerFooter alignWithMargins="0">
    <oddHeader>&amp;A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pageSetUpPr fitToPage="1"/>
  </sheetPr>
  <dimension ref="A1:Y86"/>
  <sheetViews>
    <sheetView showGridLines="0" tabSelected="1" zoomScale="90" zoomScaleNormal="90" workbookViewId="0">
      <selection activeCell="C16" sqref="C16:E16"/>
    </sheetView>
  </sheetViews>
  <sheetFormatPr defaultRowHeight="12.75"/>
  <cols>
    <col min="1" max="1" width="5.5703125" style="174" customWidth="1"/>
    <col min="2" max="2" width="41.5703125" style="158" customWidth="1"/>
    <col min="3" max="3" width="12" style="158" bestFit="1" customWidth="1"/>
    <col min="4" max="14" width="11.42578125" style="158" customWidth="1"/>
    <col min="15" max="256" width="9.42578125" style="158"/>
    <col min="257" max="257" width="24.5703125" style="158" customWidth="1"/>
    <col min="258" max="258" width="60.5703125" style="158" bestFit="1" customWidth="1"/>
    <col min="259" max="264" width="17.42578125" style="158" customWidth="1"/>
    <col min="265" max="512" width="9.42578125" style="158"/>
    <col min="513" max="513" width="24.5703125" style="158" customWidth="1"/>
    <col min="514" max="514" width="60.5703125" style="158" bestFit="1" customWidth="1"/>
    <col min="515" max="520" width="17.42578125" style="158" customWidth="1"/>
    <col min="521" max="768" width="9.42578125" style="158"/>
    <col min="769" max="769" width="24.5703125" style="158" customWidth="1"/>
    <col min="770" max="770" width="60.5703125" style="158" bestFit="1" customWidth="1"/>
    <col min="771" max="776" width="17.42578125" style="158" customWidth="1"/>
    <col min="777" max="1024" width="9.42578125" style="158"/>
    <col min="1025" max="1025" width="24.5703125" style="158" customWidth="1"/>
    <col min="1026" max="1026" width="60.5703125" style="158" bestFit="1" customWidth="1"/>
    <col min="1027" max="1032" width="17.42578125" style="158" customWidth="1"/>
    <col min="1033" max="1280" width="9.42578125" style="158"/>
    <col min="1281" max="1281" width="24.5703125" style="158" customWidth="1"/>
    <col min="1282" max="1282" width="60.5703125" style="158" bestFit="1" customWidth="1"/>
    <col min="1283" max="1288" width="17.42578125" style="158" customWidth="1"/>
    <col min="1289" max="1536" width="9.42578125" style="158"/>
    <col min="1537" max="1537" width="24.5703125" style="158" customWidth="1"/>
    <col min="1538" max="1538" width="60.5703125" style="158" bestFit="1" customWidth="1"/>
    <col min="1539" max="1544" width="17.42578125" style="158" customWidth="1"/>
    <col min="1545" max="1792" width="9.42578125" style="158"/>
    <col min="1793" max="1793" width="24.5703125" style="158" customWidth="1"/>
    <col min="1794" max="1794" width="60.5703125" style="158" bestFit="1" customWidth="1"/>
    <col min="1795" max="1800" width="17.42578125" style="158" customWidth="1"/>
    <col min="1801" max="2048" width="9.42578125" style="158"/>
    <col min="2049" max="2049" width="24.5703125" style="158" customWidth="1"/>
    <col min="2050" max="2050" width="60.5703125" style="158" bestFit="1" customWidth="1"/>
    <col min="2051" max="2056" width="17.42578125" style="158" customWidth="1"/>
    <col min="2057" max="2304" width="9.42578125" style="158"/>
    <col min="2305" max="2305" width="24.5703125" style="158" customWidth="1"/>
    <col min="2306" max="2306" width="60.5703125" style="158" bestFit="1" customWidth="1"/>
    <col min="2307" max="2312" width="17.42578125" style="158" customWidth="1"/>
    <col min="2313" max="2560" width="9.42578125" style="158"/>
    <col min="2561" max="2561" width="24.5703125" style="158" customWidth="1"/>
    <col min="2562" max="2562" width="60.5703125" style="158" bestFit="1" customWidth="1"/>
    <col min="2563" max="2568" width="17.42578125" style="158" customWidth="1"/>
    <col min="2569" max="2816" width="9.42578125" style="158"/>
    <col min="2817" max="2817" width="24.5703125" style="158" customWidth="1"/>
    <col min="2818" max="2818" width="60.5703125" style="158" bestFit="1" customWidth="1"/>
    <col min="2819" max="2824" width="17.42578125" style="158" customWidth="1"/>
    <col min="2825" max="3072" width="9.42578125" style="158"/>
    <col min="3073" max="3073" width="24.5703125" style="158" customWidth="1"/>
    <col min="3074" max="3074" width="60.5703125" style="158" bestFit="1" customWidth="1"/>
    <col min="3075" max="3080" width="17.42578125" style="158" customWidth="1"/>
    <col min="3081" max="3328" width="9.42578125" style="158"/>
    <col min="3329" max="3329" width="24.5703125" style="158" customWidth="1"/>
    <col min="3330" max="3330" width="60.5703125" style="158" bestFit="1" customWidth="1"/>
    <col min="3331" max="3336" width="17.42578125" style="158" customWidth="1"/>
    <col min="3337" max="3584" width="9.42578125" style="158"/>
    <col min="3585" max="3585" width="24.5703125" style="158" customWidth="1"/>
    <col min="3586" max="3586" width="60.5703125" style="158" bestFit="1" customWidth="1"/>
    <col min="3587" max="3592" width="17.42578125" style="158" customWidth="1"/>
    <col min="3593" max="3840" width="9.42578125" style="158"/>
    <col min="3841" max="3841" width="24.5703125" style="158" customWidth="1"/>
    <col min="3842" max="3842" width="60.5703125" style="158" bestFit="1" customWidth="1"/>
    <col min="3843" max="3848" width="17.42578125" style="158" customWidth="1"/>
    <col min="3849" max="4096" width="9.42578125" style="158"/>
    <col min="4097" max="4097" width="24.5703125" style="158" customWidth="1"/>
    <col min="4098" max="4098" width="60.5703125" style="158" bestFit="1" customWidth="1"/>
    <col min="4099" max="4104" width="17.42578125" style="158" customWidth="1"/>
    <col min="4105" max="4352" width="9.42578125" style="158"/>
    <col min="4353" max="4353" width="24.5703125" style="158" customWidth="1"/>
    <col min="4354" max="4354" width="60.5703125" style="158" bestFit="1" customWidth="1"/>
    <col min="4355" max="4360" width="17.42578125" style="158" customWidth="1"/>
    <col min="4361" max="4608" width="9.42578125" style="158"/>
    <col min="4609" max="4609" width="24.5703125" style="158" customWidth="1"/>
    <col min="4610" max="4610" width="60.5703125" style="158" bestFit="1" customWidth="1"/>
    <col min="4611" max="4616" width="17.42578125" style="158" customWidth="1"/>
    <col min="4617" max="4864" width="9.42578125" style="158"/>
    <col min="4865" max="4865" width="24.5703125" style="158" customWidth="1"/>
    <col min="4866" max="4866" width="60.5703125" style="158" bestFit="1" customWidth="1"/>
    <col min="4867" max="4872" width="17.42578125" style="158" customWidth="1"/>
    <col min="4873" max="5120" width="9.42578125" style="158"/>
    <col min="5121" max="5121" width="24.5703125" style="158" customWidth="1"/>
    <col min="5122" max="5122" width="60.5703125" style="158" bestFit="1" customWidth="1"/>
    <col min="5123" max="5128" width="17.42578125" style="158" customWidth="1"/>
    <col min="5129" max="5376" width="9.42578125" style="158"/>
    <col min="5377" max="5377" width="24.5703125" style="158" customWidth="1"/>
    <col min="5378" max="5378" width="60.5703125" style="158" bestFit="1" customWidth="1"/>
    <col min="5379" max="5384" width="17.42578125" style="158" customWidth="1"/>
    <col min="5385" max="5632" width="9.42578125" style="158"/>
    <col min="5633" max="5633" width="24.5703125" style="158" customWidth="1"/>
    <col min="5634" max="5634" width="60.5703125" style="158" bestFit="1" customWidth="1"/>
    <col min="5635" max="5640" width="17.42578125" style="158" customWidth="1"/>
    <col min="5641" max="5888" width="9.42578125" style="158"/>
    <col min="5889" max="5889" width="24.5703125" style="158" customWidth="1"/>
    <col min="5890" max="5890" width="60.5703125" style="158" bestFit="1" customWidth="1"/>
    <col min="5891" max="5896" width="17.42578125" style="158" customWidth="1"/>
    <col min="5897" max="6144" width="9.42578125" style="158"/>
    <col min="6145" max="6145" width="24.5703125" style="158" customWidth="1"/>
    <col min="6146" max="6146" width="60.5703125" style="158" bestFit="1" customWidth="1"/>
    <col min="6147" max="6152" width="17.42578125" style="158" customWidth="1"/>
    <col min="6153" max="6400" width="9.42578125" style="158"/>
    <col min="6401" max="6401" width="24.5703125" style="158" customWidth="1"/>
    <col min="6402" max="6402" width="60.5703125" style="158" bestFit="1" customWidth="1"/>
    <col min="6403" max="6408" width="17.42578125" style="158" customWidth="1"/>
    <col min="6409" max="6656" width="9.42578125" style="158"/>
    <col min="6657" max="6657" width="24.5703125" style="158" customWidth="1"/>
    <col min="6658" max="6658" width="60.5703125" style="158" bestFit="1" customWidth="1"/>
    <col min="6659" max="6664" width="17.42578125" style="158" customWidth="1"/>
    <col min="6665" max="6912" width="9.42578125" style="158"/>
    <col min="6913" max="6913" width="24.5703125" style="158" customWidth="1"/>
    <col min="6914" max="6914" width="60.5703125" style="158" bestFit="1" customWidth="1"/>
    <col min="6915" max="6920" width="17.42578125" style="158" customWidth="1"/>
    <col min="6921" max="7168" width="9.42578125" style="158"/>
    <col min="7169" max="7169" width="24.5703125" style="158" customWidth="1"/>
    <col min="7170" max="7170" width="60.5703125" style="158" bestFit="1" customWidth="1"/>
    <col min="7171" max="7176" width="17.42578125" style="158" customWidth="1"/>
    <col min="7177" max="7424" width="9.42578125" style="158"/>
    <col min="7425" max="7425" width="24.5703125" style="158" customWidth="1"/>
    <col min="7426" max="7426" width="60.5703125" style="158" bestFit="1" customWidth="1"/>
    <col min="7427" max="7432" width="17.42578125" style="158" customWidth="1"/>
    <col min="7433" max="7680" width="9.42578125" style="158"/>
    <col min="7681" max="7681" width="24.5703125" style="158" customWidth="1"/>
    <col min="7682" max="7682" width="60.5703125" style="158" bestFit="1" customWidth="1"/>
    <col min="7683" max="7688" width="17.42578125" style="158" customWidth="1"/>
    <col min="7689" max="7936" width="9.42578125" style="158"/>
    <col min="7937" max="7937" width="24.5703125" style="158" customWidth="1"/>
    <col min="7938" max="7938" width="60.5703125" style="158" bestFit="1" customWidth="1"/>
    <col min="7939" max="7944" width="17.42578125" style="158" customWidth="1"/>
    <col min="7945" max="8192" width="9.42578125" style="158"/>
    <col min="8193" max="8193" width="24.5703125" style="158" customWidth="1"/>
    <col min="8194" max="8194" width="60.5703125" style="158" bestFit="1" customWidth="1"/>
    <col min="8195" max="8200" width="17.42578125" style="158" customWidth="1"/>
    <col min="8201" max="8448" width="9.42578125" style="158"/>
    <col min="8449" max="8449" width="24.5703125" style="158" customWidth="1"/>
    <col min="8450" max="8450" width="60.5703125" style="158" bestFit="1" customWidth="1"/>
    <col min="8451" max="8456" width="17.42578125" style="158" customWidth="1"/>
    <col min="8457" max="8704" width="9.42578125" style="158"/>
    <col min="8705" max="8705" width="24.5703125" style="158" customWidth="1"/>
    <col min="8706" max="8706" width="60.5703125" style="158" bestFit="1" customWidth="1"/>
    <col min="8707" max="8712" width="17.42578125" style="158" customWidth="1"/>
    <col min="8713" max="8960" width="9.42578125" style="158"/>
    <col min="8961" max="8961" width="24.5703125" style="158" customWidth="1"/>
    <col min="8962" max="8962" width="60.5703125" style="158" bestFit="1" customWidth="1"/>
    <col min="8963" max="8968" width="17.42578125" style="158" customWidth="1"/>
    <col min="8969" max="9216" width="9.42578125" style="158"/>
    <col min="9217" max="9217" width="24.5703125" style="158" customWidth="1"/>
    <col min="9218" max="9218" width="60.5703125" style="158" bestFit="1" customWidth="1"/>
    <col min="9219" max="9224" width="17.42578125" style="158" customWidth="1"/>
    <col min="9225" max="9472" width="9.42578125" style="158"/>
    <col min="9473" max="9473" width="24.5703125" style="158" customWidth="1"/>
    <col min="9474" max="9474" width="60.5703125" style="158" bestFit="1" customWidth="1"/>
    <col min="9475" max="9480" width="17.42578125" style="158" customWidth="1"/>
    <col min="9481" max="9728" width="9.42578125" style="158"/>
    <col min="9729" max="9729" width="24.5703125" style="158" customWidth="1"/>
    <col min="9730" max="9730" width="60.5703125" style="158" bestFit="1" customWidth="1"/>
    <col min="9731" max="9736" width="17.42578125" style="158" customWidth="1"/>
    <col min="9737" max="9984" width="9.42578125" style="158"/>
    <col min="9985" max="9985" width="24.5703125" style="158" customWidth="1"/>
    <col min="9986" max="9986" width="60.5703125" style="158" bestFit="1" customWidth="1"/>
    <col min="9987" max="9992" width="17.42578125" style="158" customWidth="1"/>
    <col min="9993" max="10240" width="9.42578125" style="158"/>
    <col min="10241" max="10241" width="24.5703125" style="158" customWidth="1"/>
    <col min="10242" max="10242" width="60.5703125" style="158" bestFit="1" customWidth="1"/>
    <col min="10243" max="10248" width="17.42578125" style="158" customWidth="1"/>
    <col min="10249" max="10496" width="9.42578125" style="158"/>
    <col min="10497" max="10497" width="24.5703125" style="158" customWidth="1"/>
    <col min="10498" max="10498" width="60.5703125" style="158" bestFit="1" customWidth="1"/>
    <col min="10499" max="10504" width="17.42578125" style="158" customWidth="1"/>
    <col min="10505" max="10752" width="9.42578125" style="158"/>
    <col min="10753" max="10753" width="24.5703125" style="158" customWidth="1"/>
    <col min="10754" max="10754" width="60.5703125" style="158" bestFit="1" customWidth="1"/>
    <col min="10755" max="10760" width="17.42578125" style="158" customWidth="1"/>
    <col min="10761" max="11008" width="9.42578125" style="158"/>
    <col min="11009" max="11009" width="24.5703125" style="158" customWidth="1"/>
    <col min="11010" max="11010" width="60.5703125" style="158" bestFit="1" customWidth="1"/>
    <col min="11011" max="11016" width="17.42578125" style="158" customWidth="1"/>
    <col min="11017" max="11264" width="9.42578125" style="158"/>
    <col min="11265" max="11265" width="24.5703125" style="158" customWidth="1"/>
    <col min="11266" max="11266" width="60.5703125" style="158" bestFit="1" customWidth="1"/>
    <col min="11267" max="11272" width="17.42578125" style="158" customWidth="1"/>
    <col min="11273" max="11520" width="9.42578125" style="158"/>
    <col min="11521" max="11521" width="24.5703125" style="158" customWidth="1"/>
    <col min="11522" max="11522" width="60.5703125" style="158" bestFit="1" customWidth="1"/>
    <col min="11523" max="11528" width="17.42578125" style="158" customWidth="1"/>
    <col min="11529" max="11776" width="9.42578125" style="158"/>
    <col min="11777" max="11777" width="24.5703125" style="158" customWidth="1"/>
    <col min="11778" max="11778" width="60.5703125" style="158" bestFit="1" customWidth="1"/>
    <col min="11779" max="11784" width="17.42578125" style="158" customWidth="1"/>
    <col min="11785" max="12032" width="9.42578125" style="158"/>
    <col min="12033" max="12033" width="24.5703125" style="158" customWidth="1"/>
    <col min="12034" max="12034" width="60.5703125" style="158" bestFit="1" customWidth="1"/>
    <col min="12035" max="12040" width="17.42578125" style="158" customWidth="1"/>
    <col min="12041" max="12288" width="9.42578125" style="158"/>
    <col min="12289" max="12289" width="24.5703125" style="158" customWidth="1"/>
    <col min="12290" max="12290" width="60.5703125" style="158" bestFit="1" customWidth="1"/>
    <col min="12291" max="12296" width="17.42578125" style="158" customWidth="1"/>
    <col min="12297" max="12544" width="9.42578125" style="158"/>
    <col min="12545" max="12545" width="24.5703125" style="158" customWidth="1"/>
    <col min="12546" max="12546" width="60.5703125" style="158" bestFit="1" customWidth="1"/>
    <col min="12547" max="12552" width="17.42578125" style="158" customWidth="1"/>
    <col min="12553" max="12800" width="9.42578125" style="158"/>
    <col min="12801" max="12801" width="24.5703125" style="158" customWidth="1"/>
    <col min="12802" max="12802" width="60.5703125" style="158" bestFit="1" customWidth="1"/>
    <col min="12803" max="12808" width="17.42578125" style="158" customWidth="1"/>
    <col min="12809" max="13056" width="9.42578125" style="158"/>
    <col min="13057" max="13057" width="24.5703125" style="158" customWidth="1"/>
    <col min="13058" max="13058" width="60.5703125" style="158" bestFit="1" customWidth="1"/>
    <col min="13059" max="13064" width="17.42578125" style="158" customWidth="1"/>
    <col min="13065" max="13312" width="9.42578125" style="158"/>
    <col min="13313" max="13313" width="24.5703125" style="158" customWidth="1"/>
    <col min="13314" max="13314" width="60.5703125" style="158" bestFit="1" customWidth="1"/>
    <col min="13315" max="13320" width="17.42578125" style="158" customWidth="1"/>
    <col min="13321" max="13568" width="9.42578125" style="158"/>
    <col min="13569" max="13569" width="24.5703125" style="158" customWidth="1"/>
    <col min="13570" max="13570" width="60.5703125" style="158" bestFit="1" customWidth="1"/>
    <col min="13571" max="13576" width="17.42578125" style="158" customWidth="1"/>
    <col min="13577" max="13824" width="9.42578125" style="158"/>
    <col min="13825" max="13825" width="24.5703125" style="158" customWidth="1"/>
    <col min="13826" max="13826" width="60.5703125" style="158" bestFit="1" customWidth="1"/>
    <col min="13827" max="13832" width="17.42578125" style="158" customWidth="1"/>
    <col min="13833" max="14080" width="9.42578125" style="158"/>
    <col min="14081" max="14081" width="24.5703125" style="158" customWidth="1"/>
    <col min="14082" max="14082" width="60.5703125" style="158" bestFit="1" customWidth="1"/>
    <col min="14083" max="14088" width="17.42578125" style="158" customWidth="1"/>
    <col min="14089" max="14336" width="9.42578125" style="158"/>
    <col min="14337" max="14337" width="24.5703125" style="158" customWidth="1"/>
    <col min="14338" max="14338" width="60.5703125" style="158" bestFit="1" customWidth="1"/>
    <col min="14339" max="14344" width="17.42578125" style="158" customWidth="1"/>
    <col min="14345" max="14592" width="9.42578125" style="158"/>
    <col min="14593" max="14593" width="24.5703125" style="158" customWidth="1"/>
    <col min="14594" max="14594" width="60.5703125" style="158" bestFit="1" customWidth="1"/>
    <col min="14595" max="14600" width="17.42578125" style="158" customWidth="1"/>
    <col min="14601" max="14848" width="9.42578125" style="158"/>
    <col min="14849" max="14849" width="24.5703125" style="158" customWidth="1"/>
    <col min="14850" max="14850" width="60.5703125" style="158" bestFit="1" customWidth="1"/>
    <col min="14851" max="14856" width="17.42578125" style="158" customWidth="1"/>
    <col min="14857" max="15104" width="9.42578125" style="158"/>
    <col min="15105" max="15105" width="24.5703125" style="158" customWidth="1"/>
    <col min="15106" max="15106" width="60.5703125" style="158" bestFit="1" customWidth="1"/>
    <col min="15107" max="15112" width="17.42578125" style="158" customWidth="1"/>
    <col min="15113" max="15360" width="9.42578125" style="158"/>
    <col min="15361" max="15361" width="24.5703125" style="158" customWidth="1"/>
    <col min="15362" max="15362" width="60.5703125" style="158" bestFit="1" customWidth="1"/>
    <col min="15363" max="15368" width="17.42578125" style="158" customWidth="1"/>
    <col min="15369" max="15616" width="9.42578125" style="158"/>
    <col min="15617" max="15617" width="24.5703125" style="158" customWidth="1"/>
    <col min="15618" max="15618" width="60.5703125" style="158" bestFit="1" customWidth="1"/>
    <col min="15619" max="15624" width="17.42578125" style="158" customWidth="1"/>
    <col min="15625" max="15872" width="9.42578125" style="158"/>
    <col min="15873" max="15873" width="24.5703125" style="158" customWidth="1"/>
    <col min="15874" max="15874" width="60.5703125" style="158" bestFit="1" customWidth="1"/>
    <col min="15875" max="15880" width="17.42578125" style="158" customWidth="1"/>
    <col min="15881" max="16128" width="9.42578125" style="158"/>
    <col min="16129" max="16129" width="24.5703125" style="158" customWidth="1"/>
    <col min="16130" max="16130" width="60.5703125" style="158" bestFit="1" customWidth="1"/>
    <col min="16131" max="16136" width="17.42578125" style="158" customWidth="1"/>
    <col min="16137" max="16384" width="9.42578125" style="158"/>
  </cols>
  <sheetData>
    <row r="1" spans="1:25" ht="12.75" customHeight="1">
      <c r="A1" s="156"/>
      <c r="B1" s="157"/>
      <c r="C1" s="156"/>
      <c r="D1" s="156"/>
      <c r="E1" s="156"/>
      <c r="F1" s="156"/>
      <c r="G1" s="156"/>
      <c r="H1" s="156"/>
      <c r="I1" s="156"/>
      <c r="J1" s="156"/>
      <c r="K1" s="156"/>
      <c r="L1" s="156"/>
      <c r="M1" s="156"/>
      <c r="N1" s="156"/>
      <c r="O1" s="156"/>
      <c r="P1" s="156"/>
      <c r="Q1" s="156"/>
      <c r="R1" s="156"/>
      <c r="S1" s="156"/>
      <c r="T1" s="156"/>
      <c r="U1" s="156"/>
      <c r="V1" s="156"/>
      <c r="W1" s="156"/>
      <c r="X1" s="156"/>
      <c r="Y1" s="156"/>
    </row>
    <row r="2" spans="1:25" ht="12.75" customHeight="1">
      <c r="A2" s="156"/>
      <c r="B2" s="1567" t="str">
        <f>$C$16&amp;" - DMS Input"&amp;" - DNSP RFM - version "&amp;Intro!$M$4</f>
        <v>Aus Gas Qld - DMS Input - DNSP RFM - version 3</v>
      </c>
      <c r="C2" s="1567"/>
      <c r="D2" s="156"/>
      <c r="E2" s="156"/>
      <c r="F2" s="156"/>
      <c r="G2" s="1568" t="s">
        <v>39</v>
      </c>
      <c r="H2" s="1569"/>
      <c r="I2" s="156"/>
      <c r="J2" s="156"/>
      <c r="K2" s="156"/>
      <c r="L2" s="156"/>
      <c r="M2" s="156"/>
      <c r="N2" s="156"/>
      <c r="O2" s="156"/>
      <c r="P2" s="156"/>
      <c r="Q2" s="156"/>
      <c r="R2" s="156"/>
      <c r="S2" s="156"/>
      <c r="T2" s="156"/>
      <c r="U2" s="156"/>
      <c r="V2" s="156"/>
      <c r="W2" s="156"/>
      <c r="X2" s="156"/>
      <c r="Y2" s="156"/>
    </row>
    <row r="3" spans="1:25" ht="12.75" customHeight="1">
      <c r="A3" s="156"/>
      <c r="B3" s="157"/>
      <c r="C3" s="157"/>
      <c r="D3" s="157"/>
      <c r="E3" s="156"/>
      <c r="F3" s="156"/>
      <c r="G3" s="157"/>
      <c r="H3" s="157"/>
      <c r="I3" s="157"/>
      <c r="J3" s="157"/>
      <c r="K3" s="156"/>
      <c r="L3" s="156"/>
      <c r="M3" s="156"/>
      <c r="N3" s="156"/>
      <c r="O3" s="156"/>
      <c r="P3" s="156"/>
      <c r="Q3" s="156"/>
      <c r="R3" s="156"/>
      <c r="S3" s="156"/>
      <c r="T3" s="156"/>
      <c r="U3" s="156"/>
      <c r="V3" s="156"/>
      <c r="W3" s="156"/>
      <c r="X3" s="156"/>
      <c r="Y3" s="156"/>
    </row>
    <row r="4" spans="1:25" ht="12.75" customHeight="1">
      <c r="A4" s="159"/>
      <c r="B4" s="159"/>
      <c r="C4" s="159"/>
      <c r="D4" s="159"/>
      <c r="E4" s="159"/>
      <c r="F4" s="159"/>
      <c r="G4" s="159"/>
      <c r="H4" s="159"/>
      <c r="I4" s="159"/>
      <c r="J4" s="159"/>
      <c r="K4" s="159"/>
      <c r="L4" s="159"/>
      <c r="M4" s="159"/>
      <c r="N4" s="160"/>
      <c r="O4" s="160"/>
      <c r="P4" s="156"/>
      <c r="Q4" s="156"/>
      <c r="R4" s="156"/>
      <c r="S4" s="156"/>
      <c r="T4" s="156"/>
      <c r="U4" s="156"/>
      <c r="V4" s="156"/>
      <c r="W4" s="156"/>
      <c r="X4" s="156"/>
      <c r="Y4" s="156"/>
    </row>
    <row r="5" spans="1:25" ht="12.75" customHeight="1">
      <c r="A5" s="156"/>
      <c r="B5" s="156"/>
      <c r="C5" s="156"/>
      <c r="D5" s="156"/>
      <c r="E5" s="156"/>
      <c r="F5" s="156"/>
      <c r="G5" s="156"/>
      <c r="H5" s="156"/>
      <c r="I5" s="156"/>
      <c r="J5" s="156"/>
      <c r="K5" s="156"/>
      <c r="L5" s="156"/>
      <c r="M5" s="156"/>
      <c r="N5" s="156"/>
      <c r="O5" s="156"/>
      <c r="P5" s="156"/>
      <c r="Q5" s="156"/>
      <c r="R5" s="156"/>
      <c r="S5" s="156"/>
      <c r="T5" s="156"/>
      <c r="U5" s="156"/>
      <c r="V5" s="156"/>
      <c r="W5" s="156"/>
      <c r="X5" s="156"/>
      <c r="Y5" s="156"/>
    </row>
    <row r="6" spans="1:25" ht="12.75" customHeight="1">
      <c r="A6" s="156"/>
      <c r="B6" s="156" t="s">
        <v>93</v>
      </c>
      <c r="C6" s="156"/>
      <c r="D6" s="156"/>
      <c r="E6" s="156"/>
      <c r="F6" s="156"/>
      <c r="G6" s="156"/>
      <c r="H6" s="156"/>
      <c r="I6" s="156"/>
      <c r="J6" s="156"/>
      <c r="K6" s="156"/>
      <c r="L6" s="156"/>
      <c r="M6" s="156"/>
      <c r="N6" s="156"/>
      <c r="O6" s="156"/>
      <c r="P6" s="156"/>
      <c r="Q6" s="156"/>
      <c r="R6" s="156"/>
      <c r="S6" s="156"/>
      <c r="T6" s="156"/>
      <c r="U6" s="156"/>
      <c r="V6" s="156"/>
      <c r="W6" s="156"/>
      <c r="X6" s="156"/>
      <c r="Y6" s="156"/>
    </row>
    <row r="7" spans="1:25" ht="12.75" customHeight="1">
      <c r="A7" s="161"/>
      <c r="B7" s="162" t="s">
        <v>94</v>
      </c>
      <c r="C7" s="162"/>
      <c r="D7" s="162"/>
      <c r="E7" s="162"/>
      <c r="F7" s="162"/>
      <c r="G7" s="162"/>
      <c r="H7" s="162"/>
      <c r="I7" s="162"/>
      <c r="J7" s="156"/>
      <c r="K7" s="156"/>
      <c r="L7" s="156"/>
      <c r="M7" s="156"/>
      <c r="N7" s="156"/>
      <c r="O7" s="156"/>
      <c r="P7" s="156"/>
      <c r="Q7" s="156"/>
      <c r="R7" s="156"/>
      <c r="S7" s="156"/>
      <c r="T7" s="156"/>
      <c r="U7" s="156"/>
      <c r="V7" s="156"/>
      <c r="W7" s="156"/>
      <c r="X7" s="156"/>
      <c r="Y7" s="156"/>
    </row>
    <row r="8" spans="1:25" ht="12.75" customHeight="1">
      <c r="A8" s="161"/>
      <c r="B8" s="1330" t="s">
        <v>1133</v>
      </c>
      <c r="C8" s="162"/>
      <c r="D8" s="162"/>
      <c r="E8" s="162"/>
      <c r="F8" s="162"/>
      <c r="G8" s="162"/>
      <c r="H8" s="162"/>
      <c r="I8" s="162"/>
      <c r="J8" s="156"/>
      <c r="K8" s="156"/>
      <c r="L8" s="156"/>
      <c r="M8" s="156"/>
      <c r="N8" s="156"/>
      <c r="O8" s="156"/>
      <c r="P8" s="156"/>
      <c r="Q8" s="156"/>
      <c r="R8" s="156"/>
      <c r="S8" s="156"/>
      <c r="T8" s="156"/>
      <c r="U8" s="156"/>
      <c r="V8" s="156"/>
      <c r="W8" s="156"/>
      <c r="X8" s="156"/>
      <c r="Y8" s="156"/>
    </row>
    <row r="9" spans="1:25" ht="12.75" customHeight="1">
      <c r="A9" s="163"/>
      <c r="B9" s="1330" t="s">
        <v>68</v>
      </c>
      <c r="C9" s="164"/>
      <c r="D9" s="164"/>
      <c r="E9" s="164"/>
      <c r="F9" s="164"/>
      <c r="G9" s="164"/>
      <c r="H9" s="164"/>
      <c r="I9" s="164"/>
      <c r="J9" s="156"/>
      <c r="K9" s="156"/>
      <c r="L9" s="156"/>
      <c r="M9" s="156"/>
      <c r="N9" s="156"/>
      <c r="O9" s="156"/>
      <c r="P9" s="156"/>
      <c r="Q9" s="156"/>
      <c r="R9" s="156"/>
      <c r="S9" s="156"/>
      <c r="T9" s="156"/>
      <c r="U9" s="156"/>
      <c r="V9" s="156"/>
      <c r="W9" s="156"/>
      <c r="X9" s="156"/>
      <c r="Y9" s="156"/>
    </row>
    <row r="10" spans="1:25" ht="12.75" customHeight="1">
      <c r="A10" s="163"/>
      <c r="B10" s="162"/>
      <c r="C10" s="164"/>
      <c r="D10" s="164"/>
      <c r="E10" s="164"/>
      <c r="F10" s="164"/>
      <c r="G10" s="164"/>
      <c r="H10" s="164"/>
      <c r="I10" s="164"/>
      <c r="J10" s="156"/>
      <c r="K10" s="156"/>
      <c r="L10" s="156"/>
      <c r="M10" s="156"/>
      <c r="N10" s="156"/>
      <c r="O10" s="156"/>
      <c r="P10" s="156"/>
      <c r="Q10" s="156"/>
      <c r="R10" s="156"/>
      <c r="S10" s="156"/>
      <c r="T10" s="156"/>
      <c r="U10" s="156"/>
      <c r="V10" s="156"/>
      <c r="W10" s="156"/>
      <c r="X10" s="156"/>
      <c r="Y10" s="156"/>
    </row>
    <row r="11" spans="1:25" ht="12.75" customHeight="1">
      <c r="A11" s="165"/>
      <c r="B11" s="165"/>
      <c r="C11" s="165"/>
      <c r="D11" s="165"/>
      <c r="E11" s="165"/>
      <c r="F11" s="165"/>
      <c r="G11" s="165"/>
      <c r="H11" s="165"/>
      <c r="I11" s="165"/>
      <c r="J11" s="156"/>
      <c r="K11" s="156"/>
      <c r="L11" s="156"/>
      <c r="M11" s="156"/>
      <c r="N11" s="156"/>
      <c r="O11" s="156"/>
      <c r="P11" s="156"/>
      <c r="Q11" s="156"/>
      <c r="R11" s="156"/>
      <c r="S11" s="156"/>
      <c r="T11" s="156"/>
      <c r="U11" s="156"/>
      <c r="V11" s="156"/>
      <c r="W11" s="156"/>
      <c r="X11" s="156"/>
      <c r="Y11" s="156"/>
    </row>
    <row r="12" spans="1:25" ht="12.75" customHeight="1">
      <c r="A12" s="166"/>
      <c r="B12" s="166" t="s">
        <v>69</v>
      </c>
      <c r="C12" s="166"/>
      <c r="D12" s="166"/>
      <c r="E12" s="166"/>
      <c r="F12" s="166"/>
      <c r="G12" s="166"/>
      <c r="H12" s="166"/>
      <c r="I12" s="166"/>
      <c r="J12" s="166"/>
      <c r="K12" s="166"/>
      <c r="L12" s="166"/>
      <c r="M12" s="166"/>
      <c r="N12" s="167"/>
      <c r="O12" s="167"/>
      <c r="P12" s="156"/>
      <c r="Q12" s="156"/>
      <c r="R12" s="156"/>
      <c r="S12" s="156"/>
      <c r="T12" s="156"/>
      <c r="U12" s="156"/>
      <c r="V12" s="156"/>
      <c r="W12" s="156"/>
      <c r="X12" s="156"/>
      <c r="Y12" s="156"/>
    </row>
    <row r="13" spans="1:25" ht="12.75" customHeight="1">
      <c r="A13" s="163"/>
      <c r="B13" s="168"/>
      <c r="C13" s="165"/>
      <c r="D13" s="165"/>
      <c r="E13" s="165"/>
      <c r="F13" s="165"/>
      <c r="G13" s="165"/>
      <c r="H13" s="165"/>
      <c r="I13" s="165"/>
      <c r="J13" s="156"/>
      <c r="K13" s="156"/>
      <c r="L13" s="156"/>
      <c r="M13" s="156"/>
      <c r="N13" s="156"/>
      <c r="O13" s="156"/>
      <c r="P13" s="156"/>
      <c r="Q13" s="156"/>
      <c r="R13" s="156"/>
      <c r="S13" s="156"/>
      <c r="T13" s="156"/>
      <c r="U13" s="156"/>
      <c r="V13" s="156"/>
      <c r="W13" s="156"/>
      <c r="X13" s="156"/>
      <c r="Y13" s="156"/>
    </row>
    <row r="14" spans="1:25" ht="12.75" customHeight="1">
      <c r="A14" s="163"/>
      <c r="B14" s="169" t="s">
        <v>70</v>
      </c>
      <c r="C14" s="1570" t="s">
        <v>164</v>
      </c>
      <c r="D14" s="1571"/>
      <c r="E14" s="1571"/>
      <c r="F14" s="1571"/>
      <c r="G14" s="1571"/>
      <c r="H14" s="1571"/>
      <c r="I14" s="170"/>
      <c r="J14" s="156"/>
      <c r="K14" s="156"/>
      <c r="L14" s="156"/>
      <c r="M14" s="156"/>
      <c r="N14" s="156"/>
      <c r="O14" s="156"/>
      <c r="P14" s="156"/>
      <c r="Q14" s="156"/>
      <c r="R14" s="156"/>
      <c r="S14" s="156"/>
      <c r="T14" s="156"/>
      <c r="U14" s="156"/>
      <c r="V14" s="156"/>
      <c r="W14" s="156"/>
      <c r="X14" s="156"/>
      <c r="Y14" s="156"/>
    </row>
    <row r="15" spans="1:25" ht="12.75" customHeight="1">
      <c r="A15" s="163"/>
      <c r="B15" s="171" t="s">
        <v>71</v>
      </c>
      <c r="C15" s="1572">
        <v>19078551685</v>
      </c>
      <c r="D15" s="1573"/>
      <c r="E15" s="1573"/>
      <c r="F15" s="209"/>
      <c r="G15" s="209"/>
      <c r="H15" s="209"/>
      <c r="I15" s="165"/>
      <c r="J15" s="156"/>
      <c r="K15" s="156"/>
      <c r="L15" s="156"/>
      <c r="M15" s="156"/>
      <c r="N15" s="156"/>
      <c r="O15" s="156"/>
      <c r="P15" s="156"/>
      <c r="Q15" s="156"/>
      <c r="R15" s="156"/>
      <c r="S15" s="156"/>
      <c r="T15" s="156"/>
      <c r="U15" s="156"/>
      <c r="V15" s="156"/>
      <c r="W15" s="156"/>
      <c r="X15" s="156"/>
      <c r="Y15" s="156"/>
    </row>
    <row r="16" spans="1:25" ht="12.75" customHeight="1">
      <c r="A16" s="163"/>
      <c r="B16" s="169" t="s">
        <v>72</v>
      </c>
      <c r="C16" s="1574" t="s">
        <v>1149</v>
      </c>
      <c r="D16" s="1575"/>
      <c r="E16" s="1575"/>
      <c r="F16" s="165"/>
      <c r="G16" s="165"/>
      <c r="H16" s="165"/>
      <c r="I16" s="165"/>
      <c r="J16" s="156"/>
      <c r="K16" s="156"/>
      <c r="L16" s="156"/>
      <c r="M16" s="156"/>
      <c r="N16" s="156"/>
      <c r="O16" s="156"/>
      <c r="P16" s="156"/>
      <c r="Q16" s="156"/>
      <c r="R16" s="156"/>
      <c r="S16" s="156"/>
      <c r="T16" s="156"/>
      <c r="U16" s="156"/>
      <c r="V16" s="156"/>
      <c r="W16" s="156"/>
      <c r="X16" s="156"/>
      <c r="Y16" s="156"/>
    </row>
    <row r="17" spans="1:25" ht="12.75" customHeight="1">
      <c r="A17" s="163"/>
      <c r="B17" s="172"/>
      <c r="C17" s="170"/>
      <c r="D17" s="170"/>
      <c r="E17" s="170"/>
      <c r="F17" s="165"/>
      <c r="G17" s="165"/>
      <c r="H17" s="165"/>
      <c r="I17" s="165"/>
      <c r="J17" s="156"/>
      <c r="K17" s="156"/>
      <c r="L17" s="156"/>
      <c r="M17" s="156"/>
      <c r="N17" s="156"/>
      <c r="O17" s="156"/>
      <c r="P17" s="156"/>
      <c r="Q17" s="156"/>
      <c r="R17" s="156"/>
      <c r="S17" s="156"/>
      <c r="T17" s="156"/>
      <c r="U17" s="156"/>
      <c r="V17" s="156"/>
      <c r="W17" s="156"/>
      <c r="X17" s="156"/>
      <c r="Y17" s="156"/>
    </row>
    <row r="18" spans="1:25" ht="12.75" customHeight="1">
      <c r="A18" s="163"/>
      <c r="B18" s="172"/>
      <c r="C18" s="170"/>
      <c r="D18" s="170"/>
      <c r="E18" s="170"/>
      <c r="F18" s="165"/>
      <c r="G18" s="165"/>
      <c r="H18" s="165"/>
      <c r="I18" s="165"/>
      <c r="J18" s="156"/>
      <c r="K18" s="156"/>
      <c r="L18" s="156"/>
      <c r="M18" s="156"/>
      <c r="N18" s="156"/>
      <c r="O18" s="156"/>
      <c r="P18" s="156"/>
      <c r="Q18" s="156"/>
      <c r="R18" s="156"/>
      <c r="S18" s="156"/>
      <c r="T18" s="156"/>
      <c r="U18" s="156"/>
      <c r="V18" s="156"/>
      <c r="W18" s="156"/>
      <c r="X18" s="156"/>
      <c r="Y18" s="156"/>
    </row>
    <row r="19" spans="1:25" ht="12.75" customHeight="1">
      <c r="A19" s="166"/>
      <c r="B19" s="166" t="s">
        <v>80</v>
      </c>
      <c r="C19" s="166"/>
      <c r="D19" s="166"/>
      <c r="E19" s="166"/>
      <c r="F19" s="166"/>
      <c r="G19" s="166"/>
      <c r="H19" s="166"/>
      <c r="I19" s="166"/>
      <c r="J19" s="166"/>
      <c r="K19" s="166"/>
      <c r="L19" s="166"/>
      <c r="M19" s="166"/>
      <c r="N19" s="167"/>
      <c r="O19" s="167"/>
      <c r="P19" s="156"/>
      <c r="Q19" s="156"/>
      <c r="R19" s="156"/>
      <c r="S19" s="156"/>
      <c r="T19" s="156"/>
      <c r="U19" s="156"/>
      <c r="V19" s="156"/>
      <c r="W19" s="156"/>
      <c r="X19" s="156"/>
      <c r="Y19" s="156"/>
    </row>
    <row r="20" spans="1:25" ht="12.75" customHeight="1">
      <c r="A20" s="163"/>
      <c r="B20" s="165"/>
      <c r="C20" s="165"/>
      <c r="D20" s="165"/>
      <c r="E20" s="165"/>
      <c r="F20" s="165"/>
      <c r="G20" s="165"/>
      <c r="H20" s="165"/>
      <c r="I20" s="165"/>
      <c r="J20" s="156"/>
      <c r="K20" s="156"/>
      <c r="L20" s="156"/>
      <c r="M20" s="156"/>
      <c r="N20" s="156"/>
      <c r="O20" s="156"/>
      <c r="P20" s="156"/>
      <c r="Q20" s="156"/>
      <c r="R20" s="156"/>
      <c r="S20" s="156"/>
      <c r="T20" s="156"/>
      <c r="U20" s="156"/>
      <c r="V20" s="156"/>
      <c r="W20" s="156"/>
      <c r="X20" s="156"/>
      <c r="Y20" s="156"/>
    </row>
    <row r="21" spans="1:25" ht="12.75" customHeight="1">
      <c r="A21" s="161"/>
      <c r="B21" s="173"/>
      <c r="C21" s="156"/>
      <c r="D21" s="156"/>
      <c r="E21" s="156"/>
      <c r="F21" s="156"/>
      <c r="G21" s="156"/>
      <c r="H21" s="156"/>
      <c r="I21" s="156"/>
      <c r="J21" s="156"/>
      <c r="K21" s="156"/>
      <c r="L21" s="156"/>
      <c r="M21" s="156"/>
      <c r="N21" s="156"/>
      <c r="O21" s="156"/>
      <c r="P21" s="156"/>
      <c r="Q21" s="156"/>
      <c r="R21" s="156"/>
      <c r="S21" s="156"/>
      <c r="T21" s="156"/>
      <c r="U21" s="156"/>
      <c r="V21" s="156"/>
      <c r="W21" s="156"/>
      <c r="X21" s="156"/>
      <c r="Y21" s="156"/>
    </row>
    <row r="22" spans="1:25" ht="12.75" customHeight="1">
      <c r="A22" s="210"/>
      <c r="B22" s="211" t="s">
        <v>84</v>
      </c>
      <c r="C22" s="1563" t="s">
        <v>85</v>
      </c>
      <c r="D22" s="1564"/>
      <c r="E22" s="1564"/>
      <c r="F22" s="152"/>
      <c r="G22" s="152"/>
      <c r="H22" s="152"/>
      <c r="I22" s="152"/>
      <c r="J22" s="156"/>
      <c r="K22" s="156"/>
      <c r="L22" s="156"/>
      <c r="M22" s="156"/>
      <c r="N22" s="156"/>
      <c r="O22" s="156"/>
      <c r="P22" s="156"/>
      <c r="Q22" s="156"/>
      <c r="R22" s="156"/>
      <c r="S22" s="156"/>
      <c r="T22" s="156"/>
      <c r="U22" s="156"/>
      <c r="V22" s="156"/>
      <c r="W22" s="156"/>
      <c r="X22" s="156"/>
      <c r="Y22" s="156"/>
    </row>
    <row r="23" spans="1:25" ht="25.5" customHeight="1">
      <c r="A23" s="210"/>
      <c r="B23" s="212" t="s">
        <v>91</v>
      </c>
      <c r="C23" s="1565"/>
      <c r="D23" s="1566"/>
      <c r="E23" s="1566"/>
      <c r="F23" s="1566"/>
      <c r="G23" s="1566"/>
      <c r="H23" s="1566"/>
      <c r="I23" s="1566"/>
      <c r="J23" s="156"/>
      <c r="K23" s="156"/>
      <c r="L23" s="156"/>
      <c r="M23" s="156"/>
      <c r="N23" s="156"/>
      <c r="O23" s="156"/>
      <c r="P23" s="156"/>
      <c r="Q23" s="156"/>
      <c r="R23" s="156"/>
      <c r="S23" s="156"/>
      <c r="T23" s="156"/>
      <c r="U23" s="156"/>
      <c r="V23" s="156"/>
      <c r="W23" s="156"/>
      <c r="X23" s="156"/>
      <c r="Y23" s="156"/>
    </row>
    <row r="24" spans="1:25">
      <c r="A24" s="161"/>
      <c r="B24" s="156"/>
      <c r="C24" s="156"/>
      <c r="D24" s="156"/>
      <c r="E24" s="156"/>
      <c r="F24" s="156"/>
      <c r="G24" s="156"/>
      <c r="H24" s="156"/>
      <c r="I24" s="156"/>
      <c r="J24" s="156"/>
      <c r="K24" s="156"/>
      <c r="L24" s="156"/>
      <c r="M24" s="156"/>
      <c r="N24" s="156"/>
      <c r="O24" s="156"/>
      <c r="P24" s="156"/>
      <c r="Q24" s="156"/>
      <c r="R24" s="156"/>
      <c r="S24" s="156"/>
      <c r="T24" s="156"/>
      <c r="U24" s="156"/>
      <c r="V24" s="156"/>
      <c r="W24" s="156"/>
      <c r="X24" s="156"/>
      <c r="Y24" s="156"/>
    </row>
    <row r="25" spans="1:25">
      <c r="A25" s="161"/>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row>
    <row r="26" spans="1:25">
      <c r="A26" s="161"/>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row>
    <row r="27" spans="1:25">
      <c r="A27" s="161"/>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row>
    <row r="28" spans="1:25">
      <c r="A28" s="161"/>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row>
    <row r="29" spans="1:25">
      <c r="A29" s="161"/>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row>
    <row r="30" spans="1:25">
      <c r="A30" s="161"/>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row>
    <row r="31" spans="1:25">
      <c r="A31" s="161"/>
      <c r="B31" s="156"/>
      <c r="C31" s="156"/>
      <c r="D31" s="156"/>
      <c r="E31" s="156"/>
      <c r="F31" s="156"/>
      <c r="G31" s="156"/>
      <c r="H31" s="156"/>
      <c r="I31" s="156"/>
      <c r="J31" s="156"/>
      <c r="K31" s="156"/>
      <c r="L31" s="156"/>
      <c r="M31" s="156"/>
      <c r="N31" s="156"/>
      <c r="O31" s="156"/>
      <c r="P31" s="156"/>
      <c r="Q31" s="156"/>
      <c r="R31" s="156"/>
      <c r="S31" s="156"/>
      <c r="T31" s="156"/>
      <c r="U31" s="156"/>
      <c r="V31" s="156"/>
      <c r="W31" s="156"/>
      <c r="X31" s="156"/>
      <c r="Y31" s="156"/>
    </row>
    <row r="32" spans="1:25">
      <c r="A32" s="161"/>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row>
    <row r="33" spans="1:25">
      <c r="A33" s="161"/>
      <c r="B33" s="156"/>
      <c r="C33" s="156"/>
      <c r="D33" s="156"/>
      <c r="E33" s="156"/>
      <c r="F33" s="156"/>
      <c r="G33" s="156"/>
      <c r="H33" s="156"/>
      <c r="I33" s="156"/>
      <c r="J33" s="156"/>
      <c r="K33" s="156"/>
      <c r="L33" s="156"/>
      <c r="M33" s="156"/>
      <c r="N33" s="156"/>
      <c r="O33" s="156"/>
      <c r="P33" s="156"/>
      <c r="Q33" s="156"/>
      <c r="R33" s="156"/>
      <c r="S33" s="156"/>
      <c r="T33" s="156"/>
      <c r="U33" s="156"/>
      <c r="V33" s="156"/>
      <c r="W33" s="156"/>
      <c r="X33" s="156"/>
      <c r="Y33" s="156"/>
    </row>
    <row r="34" spans="1:25">
      <c r="A34" s="161"/>
      <c r="B34" s="156"/>
      <c r="C34" s="156"/>
      <c r="D34" s="156"/>
      <c r="E34" s="156"/>
      <c r="F34" s="156"/>
      <c r="G34" s="156"/>
      <c r="H34" s="156"/>
      <c r="I34" s="156"/>
      <c r="J34" s="156"/>
      <c r="K34" s="156"/>
      <c r="L34" s="156"/>
      <c r="M34" s="156"/>
      <c r="N34" s="156"/>
      <c r="O34" s="156"/>
      <c r="P34" s="156"/>
      <c r="Q34" s="156"/>
      <c r="R34" s="156"/>
      <c r="S34" s="156"/>
      <c r="T34" s="156"/>
      <c r="U34" s="156"/>
      <c r="V34" s="156"/>
      <c r="W34" s="156"/>
      <c r="X34" s="156"/>
      <c r="Y34" s="156"/>
    </row>
    <row r="35" spans="1:25">
      <c r="A35" s="161"/>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row>
    <row r="36" spans="1:25">
      <c r="A36" s="161"/>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row>
    <row r="37" spans="1:25">
      <c r="A37" s="161"/>
      <c r="B37" s="156"/>
      <c r="C37" s="156"/>
      <c r="D37" s="156"/>
      <c r="E37" s="156"/>
      <c r="F37" s="156"/>
      <c r="G37" s="156"/>
      <c r="H37" s="156"/>
      <c r="I37" s="156"/>
      <c r="J37" s="156"/>
      <c r="K37" s="156"/>
      <c r="L37" s="156"/>
      <c r="M37" s="156"/>
      <c r="N37" s="156"/>
      <c r="O37" s="156"/>
      <c r="P37" s="156"/>
      <c r="Q37" s="156"/>
      <c r="R37" s="156"/>
      <c r="S37" s="156"/>
      <c r="T37" s="156"/>
      <c r="U37" s="156"/>
      <c r="V37" s="156"/>
      <c r="W37" s="156"/>
      <c r="X37" s="156"/>
      <c r="Y37" s="156"/>
    </row>
    <row r="38" spans="1:25">
      <c r="A38" s="161"/>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row>
    <row r="39" spans="1:25">
      <c r="A39" s="161"/>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row>
    <row r="40" spans="1:25">
      <c r="A40" s="161"/>
      <c r="B40" s="156"/>
      <c r="C40" s="156"/>
      <c r="D40" s="156"/>
      <c r="E40" s="156"/>
      <c r="F40" s="156"/>
      <c r="G40" s="156"/>
      <c r="H40" s="156"/>
      <c r="I40" s="156"/>
      <c r="J40" s="156"/>
      <c r="K40" s="156"/>
      <c r="L40" s="156"/>
      <c r="M40" s="156"/>
      <c r="N40" s="156"/>
      <c r="O40" s="156"/>
      <c r="P40" s="156"/>
      <c r="Q40" s="156"/>
      <c r="R40" s="156"/>
      <c r="S40" s="156"/>
      <c r="T40" s="156"/>
      <c r="U40" s="156"/>
      <c r="V40" s="156"/>
      <c r="W40" s="156"/>
      <c r="X40" s="156"/>
      <c r="Y40" s="156"/>
    </row>
    <row r="41" spans="1:25">
      <c r="A41" s="161"/>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row>
    <row r="42" spans="1:25">
      <c r="A42" s="161"/>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row>
    <row r="43" spans="1:25">
      <c r="A43" s="161"/>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row>
    <row r="44" spans="1:25">
      <c r="A44" s="161"/>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row>
    <row r="45" spans="1:25">
      <c r="A45" s="161"/>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row>
    <row r="46" spans="1:25">
      <c r="A46" s="161"/>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row>
    <row r="47" spans="1:25">
      <c r="A47" s="161"/>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row>
    <row r="48" spans="1:25">
      <c r="A48" s="161"/>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row>
    <row r="49" spans="1:25">
      <c r="A49" s="161"/>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row>
    <row r="50" spans="1:25">
      <c r="A50" s="161"/>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row>
    <row r="51" spans="1:25">
      <c r="A51" s="161"/>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row>
    <row r="52" spans="1:25">
      <c r="A52" s="161"/>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row>
    <row r="53" spans="1:25">
      <c r="A53" s="161"/>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row>
    <row r="54" spans="1:25">
      <c r="A54" s="161"/>
      <c r="B54" s="156"/>
      <c r="C54" s="156"/>
      <c r="D54" s="156"/>
      <c r="E54" s="156"/>
      <c r="F54" s="156"/>
      <c r="G54" s="156"/>
      <c r="H54" s="156"/>
      <c r="I54" s="156"/>
      <c r="J54" s="156"/>
      <c r="K54" s="156"/>
      <c r="L54" s="156"/>
      <c r="M54" s="156"/>
      <c r="N54" s="156"/>
      <c r="O54" s="156"/>
      <c r="P54" s="156"/>
      <c r="Q54" s="156"/>
      <c r="R54" s="156"/>
      <c r="S54" s="156"/>
      <c r="T54" s="156"/>
      <c r="U54" s="156"/>
      <c r="V54" s="156"/>
      <c r="W54" s="156"/>
      <c r="X54" s="156"/>
      <c r="Y54" s="156"/>
    </row>
    <row r="55" spans="1:25">
      <c r="A55" s="161"/>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156"/>
    </row>
    <row r="56" spans="1:25">
      <c r="A56" s="161"/>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156"/>
    </row>
    <row r="57" spans="1:25">
      <c r="A57" s="161"/>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row>
    <row r="58" spans="1:25">
      <c r="A58" s="161"/>
      <c r="B58" s="156"/>
      <c r="C58" s="156"/>
      <c r="D58" s="156"/>
      <c r="E58" s="156"/>
      <c r="F58" s="156"/>
      <c r="G58" s="156"/>
      <c r="H58" s="156"/>
      <c r="I58" s="156"/>
      <c r="J58" s="156"/>
      <c r="K58" s="156"/>
      <c r="L58" s="156"/>
      <c r="M58" s="156"/>
      <c r="N58" s="156"/>
      <c r="O58" s="156"/>
      <c r="P58" s="156"/>
      <c r="Q58" s="156"/>
      <c r="R58" s="156"/>
      <c r="S58" s="156"/>
      <c r="T58" s="156"/>
      <c r="U58" s="156"/>
      <c r="V58" s="156"/>
      <c r="W58" s="156"/>
      <c r="X58" s="156"/>
      <c r="Y58" s="156"/>
    </row>
    <row r="59" spans="1:25">
      <c r="A59" s="161"/>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row>
    <row r="60" spans="1:25">
      <c r="A60" s="161"/>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156"/>
    </row>
    <row r="61" spans="1:25">
      <c r="A61" s="161"/>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row>
    <row r="62" spans="1:25">
      <c r="A62" s="161"/>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row>
    <row r="63" spans="1:25">
      <c r="A63" s="161"/>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row>
    <row r="64" spans="1:25">
      <c r="A64" s="161"/>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row>
    <row r="65" spans="1:25">
      <c r="A65" s="161"/>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row>
    <row r="66" spans="1:25">
      <c r="A66" s="161"/>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row>
    <row r="67" spans="1:25">
      <c r="A67" s="161"/>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row>
    <row r="68" spans="1:25">
      <c r="A68" s="161"/>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row>
    <row r="69" spans="1:25">
      <c r="A69" s="161"/>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row>
    <row r="70" spans="1:25">
      <c r="A70" s="161"/>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row>
    <row r="71" spans="1:25">
      <c r="A71" s="161"/>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row>
    <row r="72" spans="1:25">
      <c r="A72" s="161"/>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row>
    <row r="73" spans="1:25">
      <c r="A73" s="161"/>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row>
    <row r="74" spans="1:25">
      <c r="A74" s="161"/>
      <c r="B74" s="156"/>
      <c r="C74" s="156"/>
      <c r="D74" s="156"/>
      <c r="E74" s="156"/>
      <c r="F74" s="156"/>
      <c r="G74" s="156"/>
      <c r="H74" s="156"/>
      <c r="I74" s="156"/>
      <c r="J74" s="156"/>
      <c r="K74" s="156"/>
      <c r="L74" s="156"/>
      <c r="M74" s="156"/>
      <c r="N74" s="156"/>
      <c r="O74" s="156"/>
      <c r="P74" s="156"/>
      <c r="Q74" s="156"/>
      <c r="R74" s="156"/>
      <c r="S74" s="156"/>
      <c r="T74" s="156"/>
      <c r="U74" s="156"/>
      <c r="V74" s="156"/>
      <c r="W74" s="156"/>
      <c r="X74" s="156"/>
      <c r="Y74" s="156"/>
    </row>
    <row r="75" spans="1:25">
      <c r="A75" s="161"/>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row>
    <row r="76" spans="1:25">
      <c r="A76" s="161"/>
      <c r="B76" s="156"/>
      <c r="C76" s="156"/>
      <c r="D76" s="156"/>
      <c r="E76" s="156"/>
      <c r="F76" s="156"/>
      <c r="G76" s="156"/>
      <c r="H76" s="156"/>
      <c r="I76" s="156"/>
      <c r="J76" s="156"/>
      <c r="K76" s="156"/>
      <c r="L76" s="156"/>
      <c r="M76" s="156"/>
      <c r="N76" s="156"/>
      <c r="O76" s="156"/>
      <c r="P76" s="156"/>
      <c r="Q76" s="156"/>
      <c r="R76" s="156"/>
      <c r="S76" s="156"/>
      <c r="T76" s="156"/>
      <c r="U76" s="156"/>
      <c r="V76" s="156"/>
      <c r="W76" s="156"/>
      <c r="X76" s="156"/>
      <c r="Y76" s="156"/>
    </row>
    <row r="77" spans="1:25">
      <c r="A77" s="161"/>
      <c r="B77" s="156"/>
      <c r="C77" s="156"/>
      <c r="D77" s="156"/>
      <c r="E77" s="156"/>
      <c r="F77" s="156"/>
      <c r="G77" s="156"/>
      <c r="H77" s="156"/>
      <c r="I77" s="156"/>
      <c r="J77" s="156"/>
      <c r="K77" s="156"/>
      <c r="L77" s="156"/>
      <c r="M77" s="156"/>
      <c r="N77" s="156"/>
      <c r="O77" s="156"/>
      <c r="P77" s="156"/>
      <c r="Q77" s="156"/>
      <c r="R77" s="156"/>
      <c r="S77" s="156"/>
      <c r="T77" s="156"/>
      <c r="U77" s="156"/>
      <c r="V77" s="156"/>
      <c r="W77" s="156"/>
      <c r="X77" s="156"/>
      <c r="Y77" s="156"/>
    </row>
    <row r="78" spans="1:25">
      <c r="A78" s="161"/>
      <c r="B78" s="156"/>
      <c r="C78" s="156"/>
      <c r="D78" s="156"/>
      <c r="E78" s="156"/>
      <c r="F78" s="156"/>
      <c r="G78" s="156"/>
      <c r="H78" s="156"/>
      <c r="I78" s="156"/>
      <c r="J78" s="156"/>
      <c r="K78" s="156"/>
      <c r="L78" s="156"/>
      <c r="M78" s="156"/>
      <c r="N78" s="156"/>
      <c r="O78" s="156"/>
      <c r="P78" s="156"/>
      <c r="Q78" s="156"/>
      <c r="R78" s="156"/>
      <c r="S78" s="156"/>
      <c r="T78" s="156"/>
      <c r="U78" s="156"/>
      <c r="V78" s="156"/>
      <c r="W78" s="156"/>
      <c r="X78" s="156"/>
      <c r="Y78" s="156"/>
    </row>
    <row r="79" spans="1:25">
      <c r="A79" s="161"/>
      <c r="B79" s="156"/>
      <c r="C79" s="156"/>
      <c r="D79" s="156"/>
      <c r="E79" s="156"/>
      <c r="F79" s="156"/>
      <c r="G79" s="156"/>
      <c r="H79" s="156"/>
      <c r="I79" s="156"/>
      <c r="J79" s="156"/>
      <c r="K79" s="156"/>
      <c r="L79" s="156"/>
      <c r="M79" s="156"/>
      <c r="N79" s="156"/>
      <c r="O79" s="156"/>
      <c r="P79" s="156"/>
      <c r="Q79" s="156"/>
      <c r="R79" s="156"/>
      <c r="S79" s="156"/>
      <c r="T79" s="156"/>
      <c r="U79" s="156"/>
      <c r="V79" s="156"/>
      <c r="W79" s="156"/>
      <c r="X79" s="156"/>
      <c r="Y79" s="156"/>
    </row>
    <row r="80" spans="1:25">
      <c r="A80" s="161"/>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row>
    <row r="81" spans="1:25">
      <c r="A81" s="161"/>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row>
    <row r="82" spans="1:25">
      <c r="A82" s="161"/>
      <c r="B82" s="156"/>
      <c r="C82" s="156"/>
      <c r="D82" s="156"/>
      <c r="E82" s="156"/>
      <c r="F82" s="156"/>
      <c r="G82" s="156"/>
      <c r="H82" s="156"/>
      <c r="I82" s="156"/>
      <c r="J82" s="156"/>
      <c r="K82" s="156"/>
      <c r="L82" s="156"/>
      <c r="M82" s="156"/>
      <c r="N82" s="156"/>
      <c r="O82" s="156"/>
      <c r="P82" s="156"/>
      <c r="Q82" s="156"/>
      <c r="R82" s="156"/>
      <c r="S82" s="156"/>
      <c r="T82" s="156"/>
      <c r="U82" s="156"/>
      <c r="V82" s="156"/>
      <c r="W82" s="156"/>
      <c r="X82" s="156"/>
      <c r="Y82" s="156"/>
    </row>
    <row r="83" spans="1:25">
      <c r="A83" s="161"/>
      <c r="B83" s="156"/>
      <c r="C83" s="156"/>
      <c r="D83" s="156"/>
      <c r="E83" s="156"/>
      <c r="F83" s="156"/>
      <c r="G83" s="156"/>
      <c r="H83" s="156"/>
      <c r="I83" s="156"/>
      <c r="J83" s="156"/>
      <c r="K83" s="156"/>
      <c r="L83" s="156"/>
      <c r="M83" s="156"/>
      <c r="N83" s="156"/>
      <c r="O83" s="156"/>
      <c r="P83" s="156"/>
      <c r="Q83" s="156"/>
      <c r="R83" s="156"/>
      <c r="S83" s="156"/>
      <c r="T83" s="156"/>
      <c r="U83" s="156"/>
      <c r="V83" s="156"/>
      <c r="W83" s="156"/>
      <c r="X83" s="156"/>
      <c r="Y83" s="156"/>
    </row>
    <row r="84" spans="1:25">
      <c r="A84" s="161"/>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row>
    <row r="85" spans="1:25">
      <c r="A85" s="161"/>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row>
    <row r="86" spans="1:25">
      <c r="A86" s="161"/>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row>
  </sheetData>
  <mergeCells count="7">
    <mergeCell ref="C22:E22"/>
    <mergeCell ref="C23:I23"/>
    <mergeCell ref="B2:C2"/>
    <mergeCell ref="G2:H2"/>
    <mergeCell ref="C14:H14"/>
    <mergeCell ref="C15:E15"/>
    <mergeCell ref="C16:E16"/>
  </mergeCells>
  <dataValidations count="18">
    <dataValidation type="list" allowBlank="1" showInputMessage="1" showErrorMessage="1" sqref="WVK98304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xr:uid="{00000000-0002-0000-0500-000000000000}">
      <formula1>"Revenue Cap,Revenue Yield,Weighted Average Price Cap"</formula1>
    </dataValidation>
    <dataValidation type="list" allowBlank="1" showInputMessage="1" showErrorMessage="1" sqref="WVK98304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xr:uid="{00000000-0002-0000-0500-000001000000}">
      <formula1>"Reset, EB, CA, PTRM, RFM, CPI, WACC"</formula1>
    </dataValidation>
    <dataValidation type="list" allowBlank="1" showInputMessage="1" showErrorMessage="1" sqref="WVK983037 C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C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C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C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C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C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C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C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C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C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C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C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C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C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C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00000000-0002-0000-0500-000002000000}">
      <formula1>"Electricity, Gas"</formula1>
    </dataValidation>
    <dataValidation type="list" allowBlank="1" showInputMessage="1" showErrorMessage="1" sqref="WVK983038 C65534 IY65534 SU65534 ACQ65534 AMM65534 AWI65534 BGE65534 BQA65534 BZW65534 CJS65534 CTO65534 DDK65534 DNG65534 DXC65534 EGY65534 EQU65534 FAQ65534 FKM65534 FUI65534 GEE65534 GOA65534 GXW65534 HHS65534 HRO65534 IBK65534 ILG65534 IVC65534 JEY65534 JOU65534 JYQ65534 KIM65534 KSI65534 LCE65534 LMA65534 LVW65534 MFS65534 MPO65534 MZK65534 NJG65534 NTC65534 OCY65534 OMU65534 OWQ65534 PGM65534 PQI65534 QAE65534 QKA65534 QTW65534 RDS65534 RNO65534 RXK65534 SHG65534 SRC65534 TAY65534 TKU65534 TUQ65534 UEM65534 UOI65534 UYE65534 VIA65534 VRW65534 WBS65534 WLO65534 WVK65534 C131070 IY131070 SU131070 ACQ131070 AMM131070 AWI131070 BGE131070 BQA131070 BZW131070 CJS131070 CTO131070 DDK131070 DNG131070 DXC131070 EGY131070 EQU131070 FAQ131070 FKM131070 FUI131070 GEE131070 GOA131070 GXW131070 HHS131070 HRO131070 IBK131070 ILG131070 IVC131070 JEY131070 JOU131070 JYQ131070 KIM131070 KSI131070 LCE131070 LMA131070 LVW131070 MFS131070 MPO131070 MZK131070 NJG131070 NTC131070 OCY131070 OMU131070 OWQ131070 PGM131070 PQI131070 QAE131070 QKA131070 QTW131070 RDS131070 RNO131070 RXK131070 SHG131070 SRC131070 TAY131070 TKU131070 TUQ131070 UEM131070 UOI131070 UYE131070 VIA131070 VRW131070 WBS131070 WLO131070 WVK131070 C196606 IY196606 SU196606 ACQ196606 AMM196606 AWI196606 BGE196606 BQA196606 BZW196606 CJS196606 CTO196606 DDK196606 DNG196606 DXC196606 EGY196606 EQU196606 FAQ196606 FKM196606 FUI196606 GEE196606 GOA196606 GXW196606 HHS196606 HRO196606 IBK196606 ILG196606 IVC196606 JEY196606 JOU196606 JYQ196606 KIM196606 KSI196606 LCE196606 LMA196606 LVW196606 MFS196606 MPO196606 MZK196606 NJG196606 NTC196606 OCY196606 OMU196606 OWQ196606 PGM196606 PQI196606 QAE196606 QKA196606 QTW196606 RDS196606 RNO196606 RXK196606 SHG196606 SRC196606 TAY196606 TKU196606 TUQ196606 UEM196606 UOI196606 UYE196606 VIA196606 VRW196606 WBS196606 WLO196606 WVK196606 C262142 IY262142 SU262142 ACQ262142 AMM262142 AWI262142 BGE262142 BQA262142 BZW262142 CJS262142 CTO262142 DDK262142 DNG262142 DXC262142 EGY262142 EQU262142 FAQ262142 FKM262142 FUI262142 GEE262142 GOA262142 GXW262142 HHS262142 HRO262142 IBK262142 ILG262142 IVC262142 JEY262142 JOU262142 JYQ262142 KIM262142 KSI262142 LCE262142 LMA262142 LVW262142 MFS262142 MPO262142 MZK262142 NJG262142 NTC262142 OCY262142 OMU262142 OWQ262142 PGM262142 PQI262142 QAE262142 QKA262142 QTW262142 RDS262142 RNO262142 RXK262142 SHG262142 SRC262142 TAY262142 TKU262142 TUQ262142 UEM262142 UOI262142 UYE262142 VIA262142 VRW262142 WBS262142 WLO262142 WVK262142 C327678 IY327678 SU327678 ACQ327678 AMM327678 AWI327678 BGE327678 BQA327678 BZW327678 CJS327678 CTO327678 DDK327678 DNG327678 DXC327678 EGY327678 EQU327678 FAQ327678 FKM327678 FUI327678 GEE327678 GOA327678 GXW327678 HHS327678 HRO327678 IBK327678 ILG327678 IVC327678 JEY327678 JOU327678 JYQ327678 KIM327678 KSI327678 LCE327678 LMA327678 LVW327678 MFS327678 MPO327678 MZK327678 NJG327678 NTC327678 OCY327678 OMU327678 OWQ327678 PGM327678 PQI327678 QAE327678 QKA327678 QTW327678 RDS327678 RNO327678 RXK327678 SHG327678 SRC327678 TAY327678 TKU327678 TUQ327678 UEM327678 UOI327678 UYE327678 VIA327678 VRW327678 WBS327678 WLO327678 WVK327678 C393214 IY393214 SU393214 ACQ393214 AMM393214 AWI393214 BGE393214 BQA393214 BZW393214 CJS393214 CTO393214 DDK393214 DNG393214 DXC393214 EGY393214 EQU393214 FAQ393214 FKM393214 FUI393214 GEE393214 GOA393214 GXW393214 HHS393214 HRO393214 IBK393214 ILG393214 IVC393214 JEY393214 JOU393214 JYQ393214 KIM393214 KSI393214 LCE393214 LMA393214 LVW393214 MFS393214 MPO393214 MZK393214 NJG393214 NTC393214 OCY393214 OMU393214 OWQ393214 PGM393214 PQI393214 QAE393214 QKA393214 QTW393214 RDS393214 RNO393214 RXK393214 SHG393214 SRC393214 TAY393214 TKU393214 TUQ393214 UEM393214 UOI393214 UYE393214 VIA393214 VRW393214 WBS393214 WLO393214 WVK393214 C458750 IY458750 SU458750 ACQ458750 AMM458750 AWI458750 BGE458750 BQA458750 BZW458750 CJS458750 CTO458750 DDK458750 DNG458750 DXC458750 EGY458750 EQU458750 FAQ458750 FKM458750 FUI458750 GEE458750 GOA458750 GXW458750 HHS458750 HRO458750 IBK458750 ILG458750 IVC458750 JEY458750 JOU458750 JYQ458750 KIM458750 KSI458750 LCE458750 LMA458750 LVW458750 MFS458750 MPO458750 MZK458750 NJG458750 NTC458750 OCY458750 OMU458750 OWQ458750 PGM458750 PQI458750 QAE458750 QKA458750 QTW458750 RDS458750 RNO458750 RXK458750 SHG458750 SRC458750 TAY458750 TKU458750 TUQ458750 UEM458750 UOI458750 UYE458750 VIA458750 VRW458750 WBS458750 WLO458750 WVK458750 C524286 IY524286 SU524286 ACQ524286 AMM524286 AWI524286 BGE524286 BQA524286 BZW524286 CJS524286 CTO524286 DDK524286 DNG524286 DXC524286 EGY524286 EQU524286 FAQ524286 FKM524286 FUI524286 GEE524286 GOA524286 GXW524286 HHS524286 HRO524286 IBK524286 ILG524286 IVC524286 JEY524286 JOU524286 JYQ524286 KIM524286 KSI524286 LCE524286 LMA524286 LVW524286 MFS524286 MPO524286 MZK524286 NJG524286 NTC524286 OCY524286 OMU524286 OWQ524286 PGM524286 PQI524286 QAE524286 QKA524286 QTW524286 RDS524286 RNO524286 RXK524286 SHG524286 SRC524286 TAY524286 TKU524286 TUQ524286 UEM524286 UOI524286 UYE524286 VIA524286 VRW524286 WBS524286 WLO524286 WVK524286 C589822 IY589822 SU589822 ACQ589822 AMM589822 AWI589822 BGE589822 BQA589822 BZW589822 CJS589822 CTO589822 DDK589822 DNG589822 DXC589822 EGY589822 EQU589822 FAQ589822 FKM589822 FUI589822 GEE589822 GOA589822 GXW589822 HHS589822 HRO589822 IBK589822 ILG589822 IVC589822 JEY589822 JOU589822 JYQ589822 KIM589822 KSI589822 LCE589822 LMA589822 LVW589822 MFS589822 MPO589822 MZK589822 NJG589822 NTC589822 OCY589822 OMU589822 OWQ589822 PGM589822 PQI589822 QAE589822 QKA589822 QTW589822 RDS589822 RNO589822 RXK589822 SHG589822 SRC589822 TAY589822 TKU589822 TUQ589822 UEM589822 UOI589822 UYE589822 VIA589822 VRW589822 WBS589822 WLO589822 WVK589822 C655358 IY655358 SU655358 ACQ655358 AMM655358 AWI655358 BGE655358 BQA655358 BZW655358 CJS655358 CTO655358 DDK655358 DNG655358 DXC655358 EGY655358 EQU655358 FAQ655358 FKM655358 FUI655358 GEE655358 GOA655358 GXW655358 HHS655358 HRO655358 IBK655358 ILG655358 IVC655358 JEY655358 JOU655358 JYQ655358 KIM655358 KSI655358 LCE655358 LMA655358 LVW655358 MFS655358 MPO655358 MZK655358 NJG655358 NTC655358 OCY655358 OMU655358 OWQ655358 PGM655358 PQI655358 QAE655358 QKA655358 QTW655358 RDS655358 RNO655358 RXK655358 SHG655358 SRC655358 TAY655358 TKU655358 TUQ655358 UEM655358 UOI655358 UYE655358 VIA655358 VRW655358 WBS655358 WLO655358 WVK655358 C720894 IY720894 SU720894 ACQ720894 AMM720894 AWI720894 BGE720894 BQA720894 BZW720894 CJS720894 CTO720894 DDK720894 DNG720894 DXC720894 EGY720894 EQU720894 FAQ720894 FKM720894 FUI720894 GEE720894 GOA720894 GXW720894 HHS720894 HRO720894 IBK720894 ILG720894 IVC720894 JEY720894 JOU720894 JYQ720894 KIM720894 KSI720894 LCE720894 LMA720894 LVW720894 MFS720894 MPO720894 MZK720894 NJG720894 NTC720894 OCY720894 OMU720894 OWQ720894 PGM720894 PQI720894 QAE720894 QKA720894 QTW720894 RDS720894 RNO720894 RXK720894 SHG720894 SRC720894 TAY720894 TKU720894 TUQ720894 UEM720894 UOI720894 UYE720894 VIA720894 VRW720894 WBS720894 WLO720894 WVK720894 C786430 IY786430 SU786430 ACQ786430 AMM786430 AWI786430 BGE786430 BQA786430 BZW786430 CJS786430 CTO786430 DDK786430 DNG786430 DXC786430 EGY786430 EQU786430 FAQ786430 FKM786430 FUI786430 GEE786430 GOA786430 GXW786430 HHS786430 HRO786430 IBK786430 ILG786430 IVC786430 JEY786430 JOU786430 JYQ786430 KIM786430 KSI786430 LCE786430 LMA786430 LVW786430 MFS786430 MPO786430 MZK786430 NJG786430 NTC786430 OCY786430 OMU786430 OWQ786430 PGM786430 PQI786430 QAE786430 QKA786430 QTW786430 RDS786430 RNO786430 RXK786430 SHG786430 SRC786430 TAY786430 TKU786430 TUQ786430 UEM786430 UOI786430 UYE786430 VIA786430 VRW786430 WBS786430 WLO786430 WVK786430 C851966 IY851966 SU851966 ACQ851966 AMM851966 AWI851966 BGE851966 BQA851966 BZW851966 CJS851966 CTO851966 DDK851966 DNG851966 DXC851966 EGY851966 EQU851966 FAQ851966 FKM851966 FUI851966 GEE851966 GOA851966 GXW851966 HHS851966 HRO851966 IBK851966 ILG851966 IVC851966 JEY851966 JOU851966 JYQ851966 KIM851966 KSI851966 LCE851966 LMA851966 LVW851966 MFS851966 MPO851966 MZK851966 NJG851966 NTC851966 OCY851966 OMU851966 OWQ851966 PGM851966 PQI851966 QAE851966 QKA851966 QTW851966 RDS851966 RNO851966 RXK851966 SHG851966 SRC851966 TAY851966 TKU851966 TUQ851966 UEM851966 UOI851966 UYE851966 VIA851966 VRW851966 WBS851966 WLO851966 WVK851966 C917502 IY917502 SU917502 ACQ917502 AMM917502 AWI917502 BGE917502 BQA917502 BZW917502 CJS917502 CTO917502 DDK917502 DNG917502 DXC917502 EGY917502 EQU917502 FAQ917502 FKM917502 FUI917502 GEE917502 GOA917502 GXW917502 HHS917502 HRO917502 IBK917502 ILG917502 IVC917502 JEY917502 JOU917502 JYQ917502 KIM917502 KSI917502 LCE917502 LMA917502 LVW917502 MFS917502 MPO917502 MZK917502 NJG917502 NTC917502 OCY917502 OMU917502 OWQ917502 PGM917502 PQI917502 QAE917502 QKA917502 QTW917502 RDS917502 RNO917502 RXK917502 SHG917502 SRC917502 TAY917502 TKU917502 TUQ917502 UEM917502 UOI917502 UYE917502 VIA917502 VRW917502 WBS917502 WLO917502 WVK917502 C983038 IY983038 SU983038 ACQ983038 AMM983038 AWI983038 BGE983038 BQA983038 BZW983038 CJS983038 CTO983038 DDK983038 DNG983038 DXC983038 EGY983038 EQU983038 FAQ983038 FKM983038 FUI983038 GEE983038 GOA983038 GXW983038 HHS983038 HRO983038 IBK983038 ILG983038 IVC983038 JEY983038 JOU983038 JYQ983038 KIM983038 KSI983038 LCE983038 LMA983038 LVW983038 MFS983038 MPO983038 MZK983038 NJG983038 NTC983038 OCY983038 OMU983038 OWQ983038 PGM983038 PQI983038 QAE983038 QKA983038 QTW983038 RDS983038 RNO983038 RXK983038 SHG983038 SRC983038 TAY983038 TKU983038 TUQ983038 UEM983038 UOI983038 UYE983038 VIA983038 VRW983038 WBS983038 WLO983038" xr:uid="{00000000-0002-0000-0500-000003000000}">
      <formula1>"Distribution, Transmission"</formula1>
    </dataValidation>
    <dataValidation type="whole" operator="greaterThan" showInputMessage="1" showErrorMessage="1" promptTitle="ABN / ACN" prompt="Please enter ABN / ACN without any spaces." sqref="WVK983008:WVM983008 IY15:JA15 SU15:SW15 ACQ15:ACS15 AMM15:AMO15 AWI15:AWK15 BGE15:BGG15 BQA15:BQC15 BZW15:BZY15 CJS15:CJU15 CTO15:CTQ15 DDK15:DDM15 DNG15:DNI15 DXC15:DXE15 EGY15:EHA15 EQU15:EQW15 FAQ15:FAS15 FKM15:FKO15 FUI15:FUK15 GEE15:GEG15 GOA15:GOC15 GXW15:GXY15 HHS15:HHU15 HRO15:HRQ15 IBK15:IBM15 ILG15:ILI15 IVC15:IVE15 JEY15:JFA15 JOU15:JOW15 JYQ15:JYS15 KIM15:KIO15 KSI15:KSK15 LCE15:LCG15 LMA15:LMC15 LVW15:LVY15 MFS15:MFU15 MPO15:MPQ15 MZK15:MZM15 NJG15:NJI15 NTC15:NTE15 OCY15:ODA15 OMU15:OMW15 OWQ15:OWS15 PGM15:PGO15 PQI15:PQK15 QAE15:QAG15 QKA15:QKC15 QTW15:QTY15 RDS15:RDU15 RNO15:RNQ15 RXK15:RXM15 SHG15:SHI15 SRC15:SRE15 TAY15:TBA15 TKU15:TKW15 TUQ15:TUS15 UEM15:UEO15 UOI15:UOK15 UYE15:UYG15 VIA15:VIC15 VRW15:VRY15 WBS15:WBU15 WLO15:WLQ15 WVK15:WVM15 C65504:E65504 IY65504:JA65504 SU65504:SW65504 ACQ65504:ACS65504 AMM65504:AMO65504 AWI65504:AWK65504 BGE65504:BGG65504 BQA65504:BQC65504 BZW65504:BZY65504 CJS65504:CJU65504 CTO65504:CTQ65504 DDK65504:DDM65504 DNG65504:DNI65504 DXC65504:DXE65504 EGY65504:EHA65504 EQU65504:EQW65504 FAQ65504:FAS65504 FKM65504:FKO65504 FUI65504:FUK65504 GEE65504:GEG65504 GOA65504:GOC65504 GXW65504:GXY65504 HHS65504:HHU65504 HRO65504:HRQ65504 IBK65504:IBM65504 ILG65504:ILI65504 IVC65504:IVE65504 JEY65504:JFA65504 JOU65504:JOW65504 JYQ65504:JYS65504 KIM65504:KIO65504 KSI65504:KSK65504 LCE65504:LCG65504 LMA65504:LMC65504 LVW65504:LVY65504 MFS65504:MFU65504 MPO65504:MPQ65504 MZK65504:MZM65504 NJG65504:NJI65504 NTC65504:NTE65504 OCY65504:ODA65504 OMU65504:OMW65504 OWQ65504:OWS65504 PGM65504:PGO65504 PQI65504:PQK65504 QAE65504:QAG65504 QKA65504:QKC65504 QTW65504:QTY65504 RDS65504:RDU65504 RNO65504:RNQ65504 RXK65504:RXM65504 SHG65504:SHI65504 SRC65504:SRE65504 TAY65504:TBA65504 TKU65504:TKW65504 TUQ65504:TUS65504 UEM65504:UEO65504 UOI65504:UOK65504 UYE65504:UYG65504 VIA65504:VIC65504 VRW65504:VRY65504 WBS65504:WBU65504 WLO65504:WLQ65504 WVK65504:WVM65504 C131040:E131040 IY131040:JA131040 SU131040:SW131040 ACQ131040:ACS131040 AMM131040:AMO131040 AWI131040:AWK131040 BGE131040:BGG131040 BQA131040:BQC131040 BZW131040:BZY131040 CJS131040:CJU131040 CTO131040:CTQ131040 DDK131040:DDM131040 DNG131040:DNI131040 DXC131040:DXE131040 EGY131040:EHA131040 EQU131040:EQW131040 FAQ131040:FAS131040 FKM131040:FKO131040 FUI131040:FUK131040 GEE131040:GEG131040 GOA131040:GOC131040 GXW131040:GXY131040 HHS131040:HHU131040 HRO131040:HRQ131040 IBK131040:IBM131040 ILG131040:ILI131040 IVC131040:IVE131040 JEY131040:JFA131040 JOU131040:JOW131040 JYQ131040:JYS131040 KIM131040:KIO131040 KSI131040:KSK131040 LCE131040:LCG131040 LMA131040:LMC131040 LVW131040:LVY131040 MFS131040:MFU131040 MPO131040:MPQ131040 MZK131040:MZM131040 NJG131040:NJI131040 NTC131040:NTE131040 OCY131040:ODA131040 OMU131040:OMW131040 OWQ131040:OWS131040 PGM131040:PGO131040 PQI131040:PQK131040 QAE131040:QAG131040 QKA131040:QKC131040 QTW131040:QTY131040 RDS131040:RDU131040 RNO131040:RNQ131040 RXK131040:RXM131040 SHG131040:SHI131040 SRC131040:SRE131040 TAY131040:TBA131040 TKU131040:TKW131040 TUQ131040:TUS131040 UEM131040:UEO131040 UOI131040:UOK131040 UYE131040:UYG131040 VIA131040:VIC131040 VRW131040:VRY131040 WBS131040:WBU131040 WLO131040:WLQ131040 WVK131040:WVM131040 C196576:E196576 IY196576:JA196576 SU196576:SW196576 ACQ196576:ACS196576 AMM196576:AMO196576 AWI196576:AWK196576 BGE196576:BGG196576 BQA196576:BQC196576 BZW196576:BZY196576 CJS196576:CJU196576 CTO196576:CTQ196576 DDK196576:DDM196576 DNG196576:DNI196576 DXC196576:DXE196576 EGY196576:EHA196576 EQU196576:EQW196576 FAQ196576:FAS196576 FKM196576:FKO196576 FUI196576:FUK196576 GEE196576:GEG196576 GOA196576:GOC196576 GXW196576:GXY196576 HHS196576:HHU196576 HRO196576:HRQ196576 IBK196576:IBM196576 ILG196576:ILI196576 IVC196576:IVE196576 JEY196576:JFA196576 JOU196576:JOW196576 JYQ196576:JYS196576 KIM196576:KIO196576 KSI196576:KSK196576 LCE196576:LCG196576 LMA196576:LMC196576 LVW196576:LVY196576 MFS196576:MFU196576 MPO196576:MPQ196576 MZK196576:MZM196576 NJG196576:NJI196576 NTC196576:NTE196576 OCY196576:ODA196576 OMU196576:OMW196576 OWQ196576:OWS196576 PGM196576:PGO196576 PQI196576:PQK196576 QAE196576:QAG196576 QKA196576:QKC196576 QTW196576:QTY196576 RDS196576:RDU196576 RNO196576:RNQ196576 RXK196576:RXM196576 SHG196576:SHI196576 SRC196576:SRE196576 TAY196576:TBA196576 TKU196576:TKW196576 TUQ196576:TUS196576 UEM196576:UEO196576 UOI196576:UOK196576 UYE196576:UYG196576 VIA196576:VIC196576 VRW196576:VRY196576 WBS196576:WBU196576 WLO196576:WLQ196576 WVK196576:WVM196576 C262112:E262112 IY262112:JA262112 SU262112:SW262112 ACQ262112:ACS262112 AMM262112:AMO262112 AWI262112:AWK262112 BGE262112:BGG262112 BQA262112:BQC262112 BZW262112:BZY262112 CJS262112:CJU262112 CTO262112:CTQ262112 DDK262112:DDM262112 DNG262112:DNI262112 DXC262112:DXE262112 EGY262112:EHA262112 EQU262112:EQW262112 FAQ262112:FAS262112 FKM262112:FKO262112 FUI262112:FUK262112 GEE262112:GEG262112 GOA262112:GOC262112 GXW262112:GXY262112 HHS262112:HHU262112 HRO262112:HRQ262112 IBK262112:IBM262112 ILG262112:ILI262112 IVC262112:IVE262112 JEY262112:JFA262112 JOU262112:JOW262112 JYQ262112:JYS262112 KIM262112:KIO262112 KSI262112:KSK262112 LCE262112:LCG262112 LMA262112:LMC262112 LVW262112:LVY262112 MFS262112:MFU262112 MPO262112:MPQ262112 MZK262112:MZM262112 NJG262112:NJI262112 NTC262112:NTE262112 OCY262112:ODA262112 OMU262112:OMW262112 OWQ262112:OWS262112 PGM262112:PGO262112 PQI262112:PQK262112 QAE262112:QAG262112 QKA262112:QKC262112 QTW262112:QTY262112 RDS262112:RDU262112 RNO262112:RNQ262112 RXK262112:RXM262112 SHG262112:SHI262112 SRC262112:SRE262112 TAY262112:TBA262112 TKU262112:TKW262112 TUQ262112:TUS262112 UEM262112:UEO262112 UOI262112:UOK262112 UYE262112:UYG262112 VIA262112:VIC262112 VRW262112:VRY262112 WBS262112:WBU262112 WLO262112:WLQ262112 WVK262112:WVM262112 C327648:E327648 IY327648:JA327648 SU327648:SW327648 ACQ327648:ACS327648 AMM327648:AMO327648 AWI327648:AWK327648 BGE327648:BGG327648 BQA327648:BQC327648 BZW327648:BZY327648 CJS327648:CJU327648 CTO327648:CTQ327648 DDK327648:DDM327648 DNG327648:DNI327648 DXC327648:DXE327648 EGY327648:EHA327648 EQU327648:EQW327648 FAQ327648:FAS327648 FKM327648:FKO327648 FUI327648:FUK327648 GEE327648:GEG327648 GOA327648:GOC327648 GXW327648:GXY327648 HHS327648:HHU327648 HRO327648:HRQ327648 IBK327648:IBM327648 ILG327648:ILI327648 IVC327648:IVE327648 JEY327648:JFA327648 JOU327648:JOW327648 JYQ327648:JYS327648 KIM327648:KIO327648 KSI327648:KSK327648 LCE327648:LCG327648 LMA327648:LMC327648 LVW327648:LVY327648 MFS327648:MFU327648 MPO327648:MPQ327648 MZK327648:MZM327648 NJG327648:NJI327648 NTC327648:NTE327648 OCY327648:ODA327648 OMU327648:OMW327648 OWQ327648:OWS327648 PGM327648:PGO327648 PQI327648:PQK327648 QAE327648:QAG327648 QKA327648:QKC327648 QTW327648:QTY327648 RDS327648:RDU327648 RNO327648:RNQ327648 RXK327648:RXM327648 SHG327648:SHI327648 SRC327648:SRE327648 TAY327648:TBA327648 TKU327648:TKW327648 TUQ327648:TUS327648 UEM327648:UEO327648 UOI327648:UOK327648 UYE327648:UYG327648 VIA327648:VIC327648 VRW327648:VRY327648 WBS327648:WBU327648 WLO327648:WLQ327648 WVK327648:WVM327648 C393184:E393184 IY393184:JA393184 SU393184:SW393184 ACQ393184:ACS393184 AMM393184:AMO393184 AWI393184:AWK393184 BGE393184:BGG393184 BQA393184:BQC393184 BZW393184:BZY393184 CJS393184:CJU393184 CTO393184:CTQ393184 DDK393184:DDM393184 DNG393184:DNI393184 DXC393184:DXE393184 EGY393184:EHA393184 EQU393184:EQW393184 FAQ393184:FAS393184 FKM393184:FKO393184 FUI393184:FUK393184 GEE393184:GEG393184 GOA393184:GOC393184 GXW393184:GXY393184 HHS393184:HHU393184 HRO393184:HRQ393184 IBK393184:IBM393184 ILG393184:ILI393184 IVC393184:IVE393184 JEY393184:JFA393184 JOU393184:JOW393184 JYQ393184:JYS393184 KIM393184:KIO393184 KSI393184:KSK393184 LCE393184:LCG393184 LMA393184:LMC393184 LVW393184:LVY393184 MFS393184:MFU393184 MPO393184:MPQ393184 MZK393184:MZM393184 NJG393184:NJI393184 NTC393184:NTE393184 OCY393184:ODA393184 OMU393184:OMW393184 OWQ393184:OWS393184 PGM393184:PGO393184 PQI393184:PQK393184 QAE393184:QAG393184 QKA393184:QKC393184 QTW393184:QTY393184 RDS393184:RDU393184 RNO393184:RNQ393184 RXK393184:RXM393184 SHG393184:SHI393184 SRC393184:SRE393184 TAY393184:TBA393184 TKU393184:TKW393184 TUQ393184:TUS393184 UEM393184:UEO393184 UOI393184:UOK393184 UYE393184:UYG393184 VIA393184:VIC393184 VRW393184:VRY393184 WBS393184:WBU393184 WLO393184:WLQ393184 WVK393184:WVM393184 C458720:E458720 IY458720:JA458720 SU458720:SW458720 ACQ458720:ACS458720 AMM458720:AMO458720 AWI458720:AWK458720 BGE458720:BGG458720 BQA458720:BQC458720 BZW458720:BZY458720 CJS458720:CJU458720 CTO458720:CTQ458720 DDK458720:DDM458720 DNG458720:DNI458720 DXC458720:DXE458720 EGY458720:EHA458720 EQU458720:EQW458720 FAQ458720:FAS458720 FKM458720:FKO458720 FUI458720:FUK458720 GEE458720:GEG458720 GOA458720:GOC458720 GXW458720:GXY458720 HHS458720:HHU458720 HRO458720:HRQ458720 IBK458720:IBM458720 ILG458720:ILI458720 IVC458720:IVE458720 JEY458720:JFA458720 JOU458720:JOW458720 JYQ458720:JYS458720 KIM458720:KIO458720 KSI458720:KSK458720 LCE458720:LCG458720 LMA458720:LMC458720 LVW458720:LVY458720 MFS458720:MFU458720 MPO458720:MPQ458720 MZK458720:MZM458720 NJG458720:NJI458720 NTC458720:NTE458720 OCY458720:ODA458720 OMU458720:OMW458720 OWQ458720:OWS458720 PGM458720:PGO458720 PQI458720:PQK458720 QAE458720:QAG458720 QKA458720:QKC458720 QTW458720:QTY458720 RDS458720:RDU458720 RNO458720:RNQ458720 RXK458720:RXM458720 SHG458720:SHI458720 SRC458720:SRE458720 TAY458720:TBA458720 TKU458720:TKW458720 TUQ458720:TUS458720 UEM458720:UEO458720 UOI458720:UOK458720 UYE458720:UYG458720 VIA458720:VIC458720 VRW458720:VRY458720 WBS458720:WBU458720 WLO458720:WLQ458720 WVK458720:WVM458720 C524256:E524256 IY524256:JA524256 SU524256:SW524256 ACQ524256:ACS524256 AMM524256:AMO524256 AWI524256:AWK524256 BGE524256:BGG524256 BQA524256:BQC524256 BZW524256:BZY524256 CJS524256:CJU524256 CTO524256:CTQ524256 DDK524256:DDM524256 DNG524256:DNI524256 DXC524256:DXE524256 EGY524256:EHA524256 EQU524256:EQW524256 FAQ524256:FAS524256 FKM524256:FKO524256 FUI524256:FUK524256 GEE524256:GEG524256 GOA524256:GOC524256 GXW524256:GXY524256 HHS524256:HHU524256 HRO524256:HRQ524256 IBK524256:IBM524256 ILG524256:ILI524256 IVC524256:IVE524256 JEY524256:JFA524256 JOU524256:JOW524256 JYQ524256:JYS524256 KIM524256:KIO524256 KSI524256:KSK524256 LCE524256:LCG524256 LMA524256:LMC524256 LVW524256:LVY524256 MFS524256:MFU524256 MPO524256:MPQ524256 MZK524256:MZM524256 NJG524256:NJI524256 NTC524256:NTE524256 OCY524256:ODA524256 OMU524256:OMW524256 OWQ524256:OWS524256 PGM524256:PGO524256 PQI524256:PQK524256 QAE524256:QAG524256 QKA524256:QKC524256 QTW524256:QTY524256 RDS524256:RDU524256 RNO524256:RNQ524256 RXK524256:RXM524256 SHG524256:SHI524256 SRC524256:SRE524256 TAY524256:TBA524256 TKU524256:TKW524256 TUQ524256:TUS524256 UEM524256:UEO524256 UOI524256:UOK524256 UYE524256:UYG524256 VIA524256:VIC524256 VRW524256:VRY524256 WBS524256:WBU524256 WLO524256:WLQ524256 WVK524256:WVM524256 C589792:E589792 IY589792:JA589792 SU589792:SW589792 ACQ589792:ACS589792 AMM589792:AMO589792 AWI589792:AWK589792 BGE589792:BGG589792 BQA589792:BQC589792 BZW589792:BZY589792 CJS589792:CJU589792 CTO589792:CTQ589792 DDK589792:DDM589792 DNG589792:DNI589792 DXC589792:DXE589792 EGY589792:EHA589792 EQU589792:EQW589792 FAQ589792:FAS589792 FKM589792:FKO589792 FUI589792:FUK589792 GEE589792:GEG589792 GOA589792:GOC589792 GXW589792:GXY589792 HHS589792:HHU589792 HRO589792:HRQ589792 IBK589792:IBM589792 ILG589792:ILI589792 IVC589792:IVE589792 JEY589792:JFA589792 JOU589792:JOW589792 JYQ589792:JYS589792 KIM589792:KIO589792 KSI589792:KSK589792 LCE589792:LCG589792 LMA589792:LMC589792 LVW589792:LVY589792 MFS589792:MFU589792 MPO589792:MPQ589792 MZK589792:MZM589792 NJG589792:NJI589792 NTC589792:NTE589792 OCY589792:ODA589792 OMU589792:OMW589792 OWQ589792:OWS589792 PGM589792:PGO589792 PQI589792:PQK589792 QAE589792:QAG589792 QKA589792:QKC589792 QTW589792:QTY589792 RDS589792:RDU589792 RNO589792:RNQ589792 RXK589792:RXM589792 SHG589792:SHI589792 SRC589792:SRE589792 TAY589792:TBA589792 TKU589792:TKW589792 TUQ589792:TUS589792 UEM589792:UEO589792 UOI589792:UOK589792 UYE589792:UYG589792 VIA589792:VIC589792 VRW589792:VRY589792 WBS589792:WBU589792 WLO589792:WLQ589792 WVK589792:WVM589792 C655328:E655328 IY655328:JA655328 SU655328:SW655328 ACQ655328:ACS655328 AMM655328:AMO655328 AWI655328:AWK655328 BGE655328:BGG655328 BQA655328:BQC655328 BZW655328:BZY655328 CJS655328:CJU655328 CTO655328:CTQ655328 DDK655328:DDM655328 DNG655328:DNI655328 DXC655328:DXE655328 EGY655328:EHA655328 EQU655328:EQW655328 FAQ655328:FAS655328 FKM655328:FKO655328 FUI655328:FUK655328 GEE655328:GEG655328 GOA655328:GOC655328 GXW655328:GXY655328 HHS655328:HHU655328 HRO655328:HRQ655328 IBK655328:IBM655328 ILG655328:ILI655328 IVC655328:IVE655328 JEY655328:JFA655328 JOU655328:JOW655328 JYQ655328:JYS655328 KIM655328:KIO655328 KSI655328:KSK655328 LCE655328:LCG655328 LMA655328:LMC655328 LVW655328:LVY655328 MFS655328:MFU655328 MPO655328:MPQ655328 MZK655328:MZM655328 NJG655328:NJI655328 NTC655328:NTE655328 OCY655328:ODA655328 OMU655328:OMW655328 OWQ655328:OWS655328 PGM655328:PGO655328 PQI655328:PQK655328 QAE655328:QAG655328 QKA655328:QKC655328 QTW655328:QTY655328 RDS655328:RDU655328 RNO655328:RNQ655328 RXK655328:RXM655328 SHG655328:SHI655328 SRC655328:SRE655328 TAY655328:TBA655328 TKU655328:TKW655328 TUQ655328:TUS655328 UEM655328:UEO655328 UOI655328:UOK655328 UYE655328:UYG655328 VIA655328:VIC655328 VRW655328:VRY655328 WBS655328:WBU655328 WLO655328:WLQ655328 WVK655328:WVM655328 C720864:E720864 IY720864:JA720864 SU720864:SW720864 ACQ720864:ACS720864 AMM720864:AMO720864 AWI720864:AWK720864 BGE720864:BGG720864 BQA720864:BQC720864 BZW720864:BZY720864 CJS720864:CJU720864 CTO720864:CTQ720864 DDK720864:DDM720864 DNG720864:DNI720864 DXC720864:DXE720864 EGY720864:EHA720864 EQU720864:EQW720864 FAQ720864:FAS720864 FKM720864:FKO720864 FUI720864:FUK720864 GEE720864:GEG720864 GOA720864:GOC720864 GXW720864:GXY720864 HHS720864:HHU720864 HRO720864:HRQ720864 IBK720864:IBM720864 ILG720864:ILI720864 IVC720864:IVE720864 JEY720864:JFA720864 JOU720864:JOW720864 JYQ720864:JYS720864 KIM720864:KIO720864 KSI720864:KSK720864 LCE720864:LCG720864 LMA720864:LMC720864 LVW720864:LVY720864 MFS720864:MFU720864 MPO720864:MPQ720864 MZK720864:MZM720864 NJG720864:NJI720864 NTC720864:NTE720864 OCY720864:ODA720864 OMU720864:OMW720864 OWQ720864:OWS720864 PGM720864:PGO720864 PQI720864:PQK720864 QAE720864:QAG720864 QKA720864:QKC720864 QTW720864:QTY720864 RDS720864:RDU720864 RNO720864:RNQ720864 RXK720864:RXM720864 SHG720864:SHI720864 SRC720864:SRE720864 TAY720864:TBA720864 TKU720864:TKW720864 TUQ720864:TUS720864 UEM720864:UEO720864 UOI720864:UOK720864 UYE720864:UYG720864 VIA720864:VIC720864 VRW720864:VRY720864 WBS720864:WBU720864 WLO720864:WLQ720864 WVK720864:WVM720864 C786400:E786400 IY786400:JA786400 SU786400:SW786400 ACQ786400:ACS786400 AMM786400:AMO786400 AWI786400:AWK786400 BGE786400:BGG786400 BQA786400:BQC786400 BZW786400:BZY786400 CJS786400:CJU786400 CTO786400:CTQ786400 DDK786400:DDM786400 DNG786400:DNI786400 DXC786400:DXE786400 EGY786400:EHA786400 EQU786400:EQW786400 FAQ786400:FAS786400 FKM786400:FKO786400 FUI786400:FUK786400 GEE786400:GEG786400 GOA786400:GOC786400 GXW786400:GXY786400 HHS786400:HHU786400 HRO786400:HRQ786400 IBK786400:IBM786400 ILG786400:ILI786400 IVC786400:IVE786400 JEY786400:JFA786400 JOU786400:JOW786400 JYQ786400:JYS786400 KIM786400:KIO786400 KSI786400:KSK786400 LCE786400:LCG786400 LMA786400:LMC786400 LVW786400:LVY786400 MFS786400:MFU786400 MPO786400:MPQ786400 MZK786400:MZM786400 NJG786400:NJI786400 NTC786400:NTE786400 OCY786400:ODA786400 OMU786400:OMW786400 OWQ786400:OWS786400 PGM786400:PGO786400 PQI786400:PQK786400 QAE786400:QAG786400 QKA786400:QKC786400 QTW786400:QTY786400 RDS786400:RDU786400 RNO786400:RNQ786400 RXK786400:RXM786400 SHG786400:SHI786400 SRC786400:SRE786400 TAY786400:TBA786400 TKU786400:TKW786400 TUQ786400:TUS786400 UEM786400:UEO786400 UOI786400:UOK786400 UYE786400:UYG786400 VIA786400:VIC786400 VRW786400:VRY786400 WBS786400:WBU786400 WLO786400:WLQ786400 WVK786400:WVM786400 C851936:E851936 IY851936:JA851936 SU851936:SW851936 ACQ851936:ACS851936 AMM851936:AMO851936 AWI851936:AWK851936 BGE851936:BGG851936 BQA851936:BQC851936 BZW851936:BZY851936 CJS851936:CJU851936 CTO851936:CTQ851936 DDK851936:DDM851936 DNG851936:DNI851936 DXC851936:DXE851936 EGY851936:EHA851936 EQU851936:EQW851936 FAQ851936:FAS851936 FKM851936:FKO851936 FUI851936:FUK851936 GEE851936:GEG851936 GOA851936:GOC851936 GXW851936:GXY851936 HHS851936:HHU851936 HRO851936:HRQ851936 IBK851936:IBM851936 ILG851936:ILI851936 IVC851936:IVE851936 JEY851936:JFA851936 JOU851936:JOW851936 JYQ851936:JYS851936 KIM851936:KIO851936 KSI851936:KSK851936 LCE851936:LCG851936 LMA851936:LMC851936 LVW851936:LVY851936 MFS851936:MFU851936 MPO851936:MPQ851936 MZK851936:MZM851936 NJG851936:NJI851936 NTC851936:NTE851936 OCY851936:ODA851936 OMU851936:OMW851936 OWQ851936:OWS851936 PGM851936:PGO851936 PQI851936:PQK851936 QAE851936:QAG851936 QKA851936:QKC851936 QTW851936:QTY851936 RDS851936:RDU851936 RNO851936:RNQ851936 RXK851936:RXM851936 SHG851936:SHI851936 SRC851936:SRE851936 TAY851936:TBA851936 TKU851936:TKW851936 TUQ851936:TUS851936 UEM851936:UEO851936 UOI851936:UOK851936 UYE851936:UYG851936 VIA851936:VIC851936 VRW851936:VRY851936 WBS851936:WBU851936 WLO851936:WLQ851936 WVK851936:WVM851936 C917472:E917472 IY917472:JA917472 SU917472:SW917472 ACQ917472:ACS917472 AMM917472:AMO917472 AWI917472:AWK917472 BGE917472:BGG917472 BQA917472:BQC917472 BZW917472:BZY917472 CJS917472:CJU917472 CTO917472:CTQ917472 DDK917472:DDM917472 DNG917472:DNI917472 DXC917472:DXE917472 EGY917472:EHA917472 EQU917472:EQW917472 FAQ917472:FAS917472 FKM917472:FKO917472 FUI917472:FUK917472 GEE917472:GEG917472 GOA917472:GOC917472 GXW917472:GXY917472 HHS917472:HHU917472 HRO917472:HRQ917472 IBK917472:IBM917472 ILG917472:ILI917472 IVC917472:IVE917472 JEY917472:JFA917472 JOU917472:JOW917472 JYQ917472:JYS917472 KIM917472:KIO917472 KSI917472:KSK917472 LCE917472:LCG917472 LMA917472:LMC917472 LVW917472:LVY917472 MFS917472:MFU917472 MPO917472:MPQ917472 MZK917472:MZM917472 NJG917472:NJI917472 NTC917472:NTE917472 OCY917472:ODA917472 OMU917472:OMW917472 OWQ917472:OWS917472 PGM917472:PGO917472 PQI917472:PQK917472 QAE917472:QAG917472 QKA917472:QKC917472 QTW917472:QTY917472 RDS917472:RDU917472 RNO917472:RNQ917472 RXK917472:RXM917472 SHG917472:SHI917472 SRC917472:SRE917472 TAY917472:TBA917472 TKU917472:TKW917472 TUQ917472:TUS917472 UEM917472:UEO917472 UOI917472:UOK917472 UYE917472:UYG917472 VIA917472:VIC917472 VRW917472:VRY917472 WBS917472:WBU917472 WLO917472:WLQ917472 WVK917472:WVM917472 C983008:E983008 IY983008:JA983008 SU983008:SW983008 ACQ983008:ACS983008 AMM983008:AMO983008 AWI983008:AWK983008 BGE983008:BGG983008 BQA983008:BQC983008 BZW983008:BZY983008 CJS983008:CJU983008 CTO983008:CTQ983008 DDK983008:DDM983008 DNG983008:DNI983008 DXC983008:DXE983008 EGY983008:EHA983008 EQU983008:EQW983008 FAQ983008:FAS983008 FKM983008:FKO983008 FUI983008:FUK983008 GEE983008:GEG983008 GOA983008:GOC983008 GXW983008:GXY983008 HHS983008:HHU983008 HRO983008:HRQ983008 IBK983008:IBM983008 ILG983008:ILI983008 IVC983008:IVE983008 JEY983008:JFA983008 JOU983008:JOW983008 JYQ983008:JYS983008 KIM983008:KIO983008 KSI983008:KSK983008 LCE983008:LCG983008 LMA983008:LMC983008 LVW983008:LVY983008 MFS983008:MFU983008 MPO983008:MPQ983008 MZK983008:MZM983008 NJG983008:NJI983008 NTC983008:NTE983008 OCY983008:ODA983008 OMU983008:OMW983008 OWQ983008:OWS983008 PGM983008:PGO983008 PQI983008:PQK983008 QAE983008:QAG983008 QKA983008:QKC983008 QTW983008:QTY983008 RDS983008:RDU983008 RNO983008:RNQ983008 RXK983008:RXM983008 SHG983008:SHI983008 SRC983008:SRE983008 TAY983008:TBA983008 TKU983008:TKW983008 TUQ983008:TUS983008 UEM983008:UEO983008 UOI983008:UOK983008 UYE983008:UYG983008 VIA983008:VIC983008 VRW983008:VRY983008 WBS983008:WBU983008 WLO983008:WLQ983008" xr:uid="{00000000-0002-0000-0500-000004000000}">
      <formula1>1</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les 3.1.1 &amp; 3.5.1" sqref="C65542:I65542 IY65542:JE65542 SU65542:TA65542 ACQ65542:ACW65542 AMM65542:AMS65542 AWI65542:AWO65542 BGE65542:BGK65542 BQA65542:BQG65542 BZW65542:CAC65542 CJS65542:CJY65542 CTO65542:CTU65542 DDK65542:DDQ65542 DNG65542:DNM65542 DXC65542:DXI65542 EGY65542:EHE65542 EQU65542:ERA65542 FAQ65542:FAW65542 FKM65542:FKS65542 FUI65542:FUO65542 GEE65542:GEK65542 GOA65542:GOG65542 GXW65542:GYC65542 HHS65542:HHY65542 HRO65542:HRU65542 IBK65542:IBQ65542 ILG65542:ILM65542 IVC65542:IVI65542 JEY65542:JFE65542 JOU65542:JPA65542 JYQ65542:JYW65542 KIM65542:KIS65542 KSI65542:KSO65542 LCE65542:LCK65542 LMA65542:LMG65542 LVW65542:LWC65542 MFS65542:MFY65542 MPO65542:MPU65542 MZK65542:MZQ65542 NJG65542:NJM65542 NTC65542:NTI65542 OCY65542:ODE65542 OMU65542:ONA65542 OWQ65542:OWW65542 PGM65542:PGS65542 PQI65542:PQO65542 QAE65542:QAK65542 QKA65542:QKG65542 QTW65542:QUC65542 RDS65542:RDY65542 RNO65542:RNU65542 RXK65542:RXQ65542 SHG65542:SHM65542 SRC65542:SRI65542 TAY65542:TBE65542 TKU65542:TLA65542 TUQ65542:TUW65542 UEM65542:UES65542 UOI65542:UOO65542 UYE65542:UYK65542 VIA65542:VIG65542 VRW65542:VSC65542 WBS65542:WBY65542 WLO65542:WLU65542 WVK65542:WVQ65542 C131078:I131078 IY131078:JE131078 SU131078:TA131078 ACQ131078:ACW131078 AMM131078:AMS131078 AWI131078:AWO131078 BGE131078:BGK131078 BQA131078:BQG131078 BZW131078:CAC131078 CJS131078:CJY131078 CTO131078:CTU131078 DDK131078:DDQ131078 DNG131078:DNM131078 DXC131078:DXI131078 EGY131078:EHE131078 EQU131078:ERA131078 FAQ131078:FAW131078 FKM131078:FKS131078 FUI131078:FUO131078 GEE131078:GEK131078 GOA131078:GOG131078 GXW131078:GYC131078 HHS131078:HHY131078 HRO131078:HRU131078 IBK131078:IBQ131078 ILG131078:ILM131078 IVC131078:IVI131078 JEY131078:JFE131078 JOU131078:JPA131078 JYQ131078:JYW131078 KIM131078:KIS131078 KSI131078:KSO131078 LCE131078:LCK131078 LMA131078:LMG131078 LVW131078:LWC131078 MFS131078:MFY131078 MPO131078:MPU131078 MZK131078:MZQ131078 NJG131078:NJM131078 NTC131078:NTI131078 OCY131078:ODE131078 OMU131078:ONA131078 OWQ131078:OWW131078 PGM131078:PGS131078 PQI131078:PQO131078 QAE131078:QAK131078 QKA131078:QKG131078 QTW131078:QUC131078 RDS131078:RDY131078 RNO131078:RNU131078 RXK131078:RXQ131078 SHG131078:SHM131078 SRC131078:SRI131078 TAY131078:TBE131078 TKU131078:TLA131078 TUQ131078:TUW131078 UEM131078:UES131078 UOI131078:UOO131078 UYE131078:UYK131078 VIA131078:VIG131078 VRW131078:VSC131078 WBS131078:WBY131078 WLO131078:WLU131078 WVK131078:WVQ131078 C196614:I196614 IY196614:JE196614 SU196614:TA196614 ACQ196614:ACW196614 AMM196614:AMS196614 AWI196614:AWO196614 BGE196614:BGK196614 BQA196614:BQG196614 BZW196614:CAC196614 CJS196614:CJY196614 CTO196614:CTU196614 DDK196614:DDQ196614 DNG196614:DNM196614 DXC196614:DXI196614 EGY196614:EHE196614 EQU196614:ERA196614 FAQ196614:FAW196614 FKM196614:FKS196614 FUI196614:FUO196614 GEE196614:GEK196614 GOA196614:GOG196614 GXW196614:GYC196614 HHS196614:HHY196614 HRO196614:HRU196614 IBK196614:IBQ196614 ILG196614:ILM196614 IVC196614:IVI196614 JEY196614:JFE196614 JOU196614:JPA196614 JYQ196614:JYW196614 KIM196614:KIS196614 KSI196614:KSO196614 LCE196614:LCK196614 LMA196614:LMG196614 LVW196614:LWC196614 MFS196614:MFY196614 MPO196614:MPU196614 MZK196614:MZQ196614 NJG196614:NJM196614 NTC196614:NTI196614 OCY196614:ODE196614 OMU196614:ONA196614 OWQ196614:OWW196614 PGM196614:PGS196614 PQI196614:PQO196614 QAE196614:QAK196614 QKA196614:QKG196614 QTW196614:QUC196614 RDS196614:RDY196614 RNO196614:RNU196614 RXK196614:RXQ196614 SHG196614:SHM196614 SRC196614:SRI196614 TAY196614:TBE196614 TKU196614:TLA196614 TUQ196614:TUW196614 UEM196614:UES196614 UOI196614:UOO196614 UYE196614:UYK196614 VIA196614:VIG196614 VRW196614:VSC196614 WBS196614:WBY196614 WLO196614:WLU196614 WVK196614:WVQ196614 C262150:I262150 IY262150:JE262150 SU262150:TA262150 ACQ262150:ACW262150 AMM262150:AMS262150 AWI262150:AWO262150 BGE262150:BGK262150 BQA262150:BQG262150 BZW262150:CAC262150 CJS262150:CJY262150 CTO262150:CTU262150 DDK262150:DDQ262150 DNG262150:DNM262150 DXC262150:DXI262150 EGY262150:EHE262150 EQU262150:ERA262150 FAQ262150:FAW262150 FKM262150:FKS262150 FUI262150:FUO262150 GEE262150:GEK262150 GOA262150:GOG262150 GXW262150:GYC262150 HHS262150:HHY262150 HRO262150:HRU262150 IBK262150:IBQ262150 ILG262150:ILM262150 IVC262150:IVI262150 JEY262150:JFE262150 JOU262150:JPA262150 JYQ262150:JYW262150 KIM262150:KIS262150 KSI262150:KSO262150 LCE262150:LCK262150 LMA262150:LMG262150 LVW262150:LWC262150 MFS262150:MFY262150 MPO262150:MPU262150 MZK262150:MZQ262150 NJG262150:NJM262150 NTC262150:NTI262150 OCY262150:ODE262150 OMU262150:ONA262150 OWQ262150:OWW262150 PGM262150:PGS262150 PQI262150:PQO262150 QAE262150:QAK262150 QKA262150:QKG262150 QTW262150:QUC262150 RDS262150:RDY262150 RNO262150:RNU262150 RXK262150:RXQ262150 SHG262150:SHM262150 SRC262150:SRI262150 TAY262150:TBE262150 TKU262150:TLA262150 TUQ262150:TUW262150 UEM262150:UES262150 UOI262150:UOO262150 UYE262150:UYK262150 VIA262150:VIG262150 VRW262150:VSC262150 WBS262150:WBY262150 WLO262150:WLU262150 WVK262150:WVQ262150 C327686:I327686 IY327686:JE327686 SU327686:TA327686 ACQ327686:ACW327686 AMM327686:AMS327686 AWI327686:AWO327686 BGE327686:BGK327686 BQA327686:BQG327686 BZW327686:CAC327686 CJS327686:CJY327686 CTO327686:CTU327686 DDK327686:DDQ327686 DNG327686:DNM327686 DXC327686:DXI327686 EGY327686:EHE327686 EQU327686:ERA327686 FAQ327686:FAW327686 FKM327686:FKS327686 FUI327686:FUO327686 GEE327686:GEK327686 GOA327686:GOG327686 GXW327686:GYC327686 HHS327686:HHY327686 HRO327686:HRU327686 IBK327686:IBQ327686 ILG327686:ILM327686 IVC327686:IVI327686 JEY327686:JFE327686 JOU327686:JPA327686 JYQ327686:JYW327686 KIM327686:KIS327686 KSI327686:KSO327686 LCE327686:LCK327686 LMA327686:LMG327686 LVW327686:LWC327686 MFS327686:MFY327686 MPO327686:MPU327686 MZK327686:MZQ327686 NJG327686:NJM327686 NTC327686:NTI327686 OCY327686:ODE327686 OMU327686:ONA327686 OWQ327686:OWW327686 PGM327686:PGS327686 PQI327686:PQO327686 QAE327686:QAK327686 QKA327686:QKG327686 QTW327686:QUC327686 RDS327686:RDY327686 RNO327686:RNU327686 RXK327686:RXQ327686 SHG327686:SHM327686 SRC327686:SRI327686 TAY327686:TBE327686 TKU327686:TLA327686 TUQ327686:TUW327686 UEM327686:UES327686 UOI327686:UOO327686 UYE327686:UYK327686 VIA327686:VIG327686 VRW327686:VSC327686 WBS327686:WBY327686 WLO327686:WLU327686 WVK327686:WVQ327686 C393222:I393222 IY393222:JE393222 SU393222:TA393222 ACQ393222:ACW393222 AMM393222:AMS393222 AWI393222:AWO393222 BGE393222:BGK393222 BQA393222:BQG393222 BZW393222:CAC393222 CJS393222:CJY393222 CTO393222:CTU393222 DDK393222:DDQ393222 DNG393222:DNM393222 DXC393222:DXI393222 EGY393222:EHE393222 EQU393222:ERA393222 FAQ393222:FAW393222 FKM393222:FKS393222 FUI393222:FUO393222 GEE393222:GEK393222 GOA393222:GOG393222 GXW393222:GYC393222 HHS393222:HHY393222 HRO393222:HRU393222 IBK393222:IBQ393222 ILG393222:ILM393222 IVC393222:IVI393222 JEY393222:JFE393222 JOU393222:JPA393222 JYQ393222:JYW393222 KIM393222:KIS393222 KSI393222:KSO393222 LCE393222:LCK393222 LMA393222:LMG393222 LVW393222:LWC393222 MFS393222:MFY393222 MPO393222:MPU393222 MZK393222:MZQ393222 NJG393222:NJM393222 NTC393222:NTI393222 OCY393222:ODE393222 OMU393222:ONA393222 OWQ393222:OWW393222 PGM393222:PGS393222 PQI393222:PQO393222 QAE393222:QAK393222 QKA393222:QKG393222 QTW393222:QUC393222 RDS393222:RDY393222 RNO393222:RNU393222 RXK393222:RXQ393222 SHG393222:SHM393222 SRC393222:SRI393222 TAY393222:TBE393222 TKU393222:TLA393222 TUQ393222:TUW393222 UEM393222:UES393222 UOI393222:UOO393222 UYE393222:UYK393222 VIA393222:VIG393222 VRW393222:VSC393222 WBS393222:WBY393222 WLO393222:WLU393222 WVK393222:WVQ393222 C458758:I458758 IY458758:JE458758 SU458758:TA458758 ACQ458758:ACW458758 AMM458758:AMS458758 AWI458758:AWO458758 BGE458758:BGK458758 BQA458758:BQG458758 BZW458758:CAC458758 CJS458758:CJY458758 CTO458758:CTU458758 DDK458758:DDQ458758 DNG458758:DNM458758 DXC458758:DXI458758 EGY458758:EHE458758 EQU458758:ERA458758 FAQ458758:FAW458758 FKM458758:FKS458758 FUI458758:FUO458758 GEE458758:GEK458758 GOA458758:GOG458758 GXW458758:GYC458758 HHS458758:HHY458758 HRO458758:HRU458758 IBK458758:IBQ458758 ILG458758:ILM458758 IVC458758:IVI458758 JEY458758:JFE458758 JOU458758:JPA458758 JYQ458758:JYW458758 KIM458758:KIS458758 KSI458758:KSO458758 LCE458758:LCK458758 LMA458758:LMG458758 LVW458758:LWC458758 MFS458758:MFY458758 MPO458758:MPU458758 MZK458758:MZQ458758 NJG458758:NJM458758 NTC458758:NTI458758 OCY458758:ODE458758 OMU458758:ONA458758 OWQ458758:OWW458758 PGM458758:PGS458758 PQI458758:PQO458758 QAE458758:QAK458758 QKA458758:QKG458758 QTW458758:QUC458758 RDS458758:RDY458758 RNO458758:RNU458758 RXK458758:RXQ458758 SHG458758:SHM458758 SRC458758:SRI458758 TAY458758:TBE458758 TKU458758:TLA458758 TUQ458758:TUW458758 UEM458758:UES458758 UOI458758:UOO458758 UYE458758:UYK458758 VIA458758:VIG458758 VRW458758:VSC458758 WBS458758:WBY458758 WLO458758:WLU458758 WVK458758:WVQ458758 C524294:I524294 IY524294:JE524294 SU524294:TA524294 ACQ524294:ACW524294 AMM524294:AMS524294 AWI524294:AWO524294 BGE524294:BGK524294 BQA524294:BQG524294 BZW524294:CAC524294 CJS524294:CJY524294 CTO524294:CTU524294 DDK524294:DDQ524294 DNG524294:DNM524294 DXC524294:DXI524294 EGY524294:EHE524294 EQU524294:ERA524294 FAQ524294:FAW524294 FKM524294:FKS524294 FUI524294:FUO524294 GEE524294:GEK524294 GOA524294:GOG524294 GXW524294:GYC524294 HHS524294:HHY524294 HRO524294:HRU524294 IBK524294:IBQ524294 ILG524294:ILM524294 IVC524294:IVI524294 JEY524294:JFE524294 JOU524294:JPA524294 JYQ524294:JYW524294 KIM524294:KIS524294 KSI524294:KSO524294 LCE524294:LCK524294 LMA524294:LMG524294 LVW524294:LWC524294 MFS524294:MFY524294 MPO524294:MPU524294 MZK524294:MZQ524294 NJG524294:NJM524294 NTC524294:NTI524294 OCY524294:ODE524294 OMU524294:ONA524294 OWQ524294:OWW524294 PGM524294:PGS524294 PQI524294:PQO524294 QAE524294:QAK524294 QKA524294:QKG524294 QTW524294:QUC524294 RDS524294:RDY524294 RNO524294:RNU524294 RXK524294:RXQ524294 SHG524294:SHM524294 SRC524294:SRI524294 TAY524294:TBE524294 TKU524294:TLA524294 TUQ524294:TUW524294 UEM524294:UES524294 UOI524294:UOO524294 UYE524294:UYK524294 VIA524294:VIG524294 VRW524294:VSC524294 WBS524294:WBY524294 WLO524294:WLU524294 WVK524294:WVQ524294 C589830:I589830 IY589830:JE589830 SU589830:TA589830 ACQ589830:ACW589830 AMM589830:AMS589830 AWI589830:AWO589830 BGE589830:BGK589830 BQA589830:BQG589830 BZW589830:CAC589830 CJS589830:CJY589830 CTO589830:CTU589830 DDK589830:DDQ589830 DNG589830:DNM589830 DXC589830:DXI589830 EGY589830:EHE589830 EQU589830:ERA589830 FAQ589830:FAW589830 FKM589830:FKS589830 FUI589830:FUO589830 GEE589830:GEK589830 GOA589830:GOG589830 GXW589830:GYC589830 HHS589830:HHY589830 HRO589830:HRU589830 IBK589830:IBQ589830 ILG589830:ILM589830 IVC589830:IVI589830 JEY589830:JFE589830 JOU589830:JPA589830 JYQ589830:JYW589830 KIM589830:KIS589830 KSI589830:KSO589830 LCE589830:LCK589830 LMA589830:LMG589830 LVW589830:LWC589830 MFS589830:MFY589830 MPO589830:MPU589830 MZK589830:MZQ589830 NJG589830:NJM589830 NTC589830:NTI589830 OCY589830:ODE589830 OMU589830:ONA589830 OWQ589830:OWW589830 PGM589830:PGS589830 PQI589830:PQO589830 QAE589830:QAK589830 QKA589830:QKG589830 QTW589830:QUC589830 RDS589830:RDY589830 RNO589830:RNU589830 RXK589830:RXQ589830 SHG589830:SHM589830 SRC589830:SRI589830 TAY589830:TBE589830 TKU589830:TLA589830 TUQ589830:TUW589830 UEM589830:UES589830 UOI589830:UOO589830 UYE589830:UYK589830 VIA589830:VIG589830 VRW589830:VSC589830 WBS589830:WBY589830 WLO589830:WLU589830 WVK589830:WVQ589830 C655366:I655366 IY655366:JE655366 SU655366:TA655366 ACQ655366:ACW655366 AMM655366:AMS655366 AWI655366:AWO655366 BGE655366:BGK655366 BQA655366:BQG655366 BZW655366:CAC655366 CJS655366:CJY655366 CTO655366:CTU655366 DDK655366:DDQ655366 DNG655366:DNM655366 DXC655366:DXI655366 EGY655366:EHE655366 EQU655366:ERA655366 FAQ655366:FAW655366 FKM655366:FKS655366 FUI655366:FUO655366 GEE655366:GEK655366 GOA655366:GOG655366 GXW655366:GYC655366 HHS655366:HHY655366 HRO655366:HRU655366 IBK655366:IBQ655366 ILG655366:ILM655366 IVC655366:IVI655366 JEY655366:JFE655366 JOU655366:JPA655366 JYQ655366:JYW655366 KIM655366:KIS655366 KSI655366:KSO655366 LCE655366:LCK655366 LMA655366:LMG655366 LVW655366:LWC655366 MFS655366:MFY655366 MPO655366:MPU655366 MZK655366:MZQ655366 NJG655366:NJM655366 NTC655366:NTI655366 OCY655366:ODE655366 OMU655366:ONA655366 OWQ655366:OWW655366 PGM655366:PGS655366 PQI655366:PQO655366 QAE655366:QAK655366 QKA655366:QKG655366 QTW655366:QUC655366 RDS655366:RDY655366 RNO655366:RNU655366 RXK655366:RXQ655366 SHG655366:SHM655366 SRC655366:SRI655366 TAY655366:TBE655366 TKU655366:TLA655366 TUQ655366:TUW655366 UEM655366:UES655366 UOI655366:UOO655366 UYE655366:UYK655366 VIA655366:VIG655366 VRW655366:VSC655366 WBS655366:WBY655366 WLO655366:WLU655366 WVK655366:WVQ655366 C720902:I720902 IY720902:JE720902 SU720902:TA720902 ACQ720902:ACW720902 AMM720902:AMS720902 AWI720902:AWO720902 BGE720902:BGK720902 BQA720902:BQG720902 BZW720902:CAC720902 CJS720902:CJY720902 CTO720902:CTU720902 DDK720902:DDQ720902 DNG720902:DNM720902 DXC720902:DXI720902 EGY720902:EHE720902 EQU720902:ERA720902 FAQ720902:FAW720902 FKM720902:FKS720902 FUI720902:FUO720902 GEE720902:GEK720902 GOA720902:GOG720902 GXW720902:GYC720902 HHS720902:HHY720902 HRO720902:HRU720902 IBK720902:IBQ720902 ILG720902:ILM720902 IVC720902:IVI720902 JEY720902:JFE720902 JOU720902:JPA720902 JYQ720902:JYW720902 KIM720902:KIS720902 KSI720902:KSO720902 LCE720902:LCK720902 LMA720902:LMG720902 LVW720902:LWC720902 MFS720902:MFY720902 MPO720902:MPU720902 MZK720902:MZQ720902 NJG720902:NJM720902 NTC720902:NTI720902 OCY720902:ODE720902 OMU720902:ONA720902 OWQ720902:OWW720902 PGM720902:PGS720902 PQI720902:PQO720902 QAE720902:QAK720902 QKA720902:QKG720902 QTW720902:QUC720902 RDS720902:RDY720902 RNO720902:RNU720902 RXK720902:RXQ720902 SHG720902:SHM720902 SRC720902:SRI720902 TAY720902:TBE720902 TKU720902:TLA720902 TUQ720902:TUW720902 UEM720902:UES720902 UOI720902:UOO720902 UYE720902:UYK720902 VIA720902:VIG720902 VRW720902:VSC720902 WBS720902:WBY720902 WLO720902:WLU720902 WVK720902:WVQ720902 C786438:I786438 IY786438:JE786438 SU786438:TA786438 ACQ786438:ACW786438 AMM786438:AMS786438 AWI786438:AWO786438 BGE786438:BGK786438 BQA786438:BQG786438 BZW786438:CAC786438 CJS786438:CJY786438 CTO786438:CTU786438 DDK786438:DDQ786438 DNG786438:DNM786438 DXC786438:DXI786438 EGY786438:EHE786438 EQU786438:ERA786438 FAQ786438:FAW786438 FKM786438:FKS786438 FUI786438:FUO786438 GEE786438:GEK786438 GOA786438:GOG786438 GXW786438:GYC786438 HHS786438:HHY786438 HRO786438:HRU786438 IBK786438:IBQ786438 ILG786438:ILM786438 IVC786438:IVI786438 JEY786438:JFE786438 JOU786438:JPA786438 JYQ786438:JYW786438 KIM786438:KIS786438 KSI786438:KSO786438 LCE786438:LCK786438 LMA786438:LMG786438 LVW786438:LWC786438 MFS786438:MFY786438 MPO786438:MPU786438 MZK786438:MZQ786438 NJG786438:NJM786438 NTC786438:NTI786438 OCY786438:ODE786438 OMU786438:ONA786438 OWQ786438:OWW786438 PGM786438:PGS786438 PQI786438:PQO786438 QAE786438:QAK786438 QKA786438:QKG786438 QTW786438:QUC786438 RDS786438:RDY786438 RNO786438:RNU786438 RXK786438:RXQ786438 SHG786438:SHM786438 SRC786438:SRI786438 TAY786438:TBE786438 TKU786438:TLA786438 TUQ786438:TUW786438 UEM786438:UES786438 UOI786438:UOO786438 UYE786438:UYK786438 VIA786438:VIG786438 VRW786438:VSC786438 WBS786438:WBY786438 WLO786438:WLU786438 WVK786438:WVQ786438 C851974:I851974 IY851974:JE851974 SU851974:TA851974 ACQ851974:ACW851974 AMM851974:AMS851974 AWI851974:AWO851974 BGE851974:BGK851974 BQA851974:BQG851974 BZW851974:CAC851974 CJS851974:CJY851974 CTO851974:CTU851974 DDK851974:DDQ851974 DNG851974:DNM851974 DXC851974:DXI851974 EGY851974:EHE851974 EQU851974:ERA851974 FAQ851974:FAW851974 FKM851974:FKS851974 FUI851974:FUO851974 GEE851974:GEK851974 GOA851974:GOG851974 GXW851974:GYC851974 HHS851974:HHY851974 HRO851974:HRU851974 IBK851974:IBQ851974 ILG851974:ILM851974 IVC851974:IVI851974 JEY851974:JFE851974 JOU851974:JPA851974 JYQ851974:JYW851974 KIM851974:KIS851974 KSI851974:KSO851974 LCE851974:LCK851974 LMA851974:LMG851974 LVW851974:LWC851974 MFS851974:MFY851974 MPO851974:MPU851974 MZK851974:MZQ851974 NJG851974:NJM851974 NTC851974:NTI851974 OCY851974:ODE851974 OMU851974:ONA851974 OWQ851974:OWW851974 PGM851974:PGS851974 PQI851974:PQO851974 QAE851974:QAK851974 QKA851974:QKG851974 QTW851974:QUC851974 RDS851974:RDY851974 RNO851974:RNU851974 RXK851974:RXQ851974 SHG851974:SHM851974 SRC851974:SRI851974 TAY851974:TBE851974 TKU851974:TLA851974 TUQ851974:TUW851974 UEM851974:UES851974 UOI851974:UOO851974 UYE851974:UYK851974 VIA851974:VIG851974 VRW851974:VSC851974 WBS851974:WBY851974 WLO851974:WLU851974 WVK851974:WVQ851974 C917510:I917510 IY917510:JE917510 SU917510:TA917510 ACQ917510:ACW917510 AMM917510:AMS917510 AWI917510:AWO917510 BGE917510:BGK917510 BQA917510:BQG917510 BZW917510:CAC917510 CJS917510:CJY917510 CTO917510:CTU917510 DDK917510:DDQ917510 DNG917510:DNM917510 DXC917510:DXI917510 EGY917510:EHE917510 EQU917510:ERA917510 FAQ917510:FAW917510 FKM917510:FKS917510 FUI917510:FUO917510 GEE917510:GEK917510 GOA917510:GOG917510 GXW917510:GYC917510 HHS917510:HHY917510 HRO917510:HRU917510 IBK917510:IBQ917510 ILG917510:ILM917510 IVC917510:IVI917510 JEY917510:JFE917510 JOU917510:JPA917510 JYQ917510:JYW917510 KIM917510:KIS917510 KSI917510:KSO917510 LCE917510:LCK917510 LMA917510:LMG917510 LVW917510:LWC917510 MFS917510:MFY917510 MPO917510:MPU917510 MZK917510:MZQ917510 NJG917510:NJM917510 NTC917510:NTI917510 OCY917510:ODE917510 OMU917510:ONA917510 OWQ917510:OWW917510 PGM917510:PGS917510 PQI917510:PQO917510 QAE917510:QAK917510 QKA917510:QKG917510 QTW917510:QUC917510 RDS917510:RDY917510 RNO917510:RNU917510 RXK917510:RXQ917510 SHG917510:SHM917510 SRC917510:SRI917510 TAY917510:TBE917510 TKU917510:TLA917510 TUQ917510:TUW917510 UEM917510:UES917510 UOI917510:UOO917510 UYE917510:UYK917510 VIA917510:VIG917510 VRW917510:VSC917510 WBS917510:WBY917510 WLO917510:WLU917510 WVK917510:WVQ917510 C983046:I983046 IY983046:JE983046 SU983046:TA983046 ACQ983046:ACW983046 AMM983046:AMS983046 AWI983046:AWO983046 BGE983046:BGK983046 BQA983046:BQG983046 BZW983046:CAC983046 CJS983046:CJY983046 CTO983046:CTU983046 DDK983046:DDQ983046 DNG983046:DNM983046 DXC983046:DXI983046 EGY983046:EHE983046 EQU983046:ERA983046 FAQ983046:FAW983046 FKM983046:FKS983046 FUI983046:FUO983046 GEE983046:GEK983046 GOA983046:GOG983046 GXW983046:GYC983046 HHS983046:HHY983046 HRO983046:HRU983046 IBK983046:IBQ983046 ILG983046:ILM983046 IVC983046:IVI983046 JEY983046:JFE983046 JOU983046:JPA983046 JYQ983046:JYW983046 KIM983046:KIS983046 KSI983046:KSO983046 LCE983046:LCK983046 LMA983046:LMG983046 LVW983046:LWC983046 MFS983046:MFY983046 MPO983046:MPU983046 MZK983046:MZQ983046 NJG983046:NJM983046 NTC983046:NTI983046 OCY983046:ODE983046 OMU983046:ONA983046 OWQ983046:OWW983046 PGM983046:PGS983046 PQI983046:PQO983046 QAE983046:QAK983046 QKA983046:QKG983046 QTW983046:QUC983046 RDS983046:RDY983046 RNO983046:RNU983046 RXK983046:RXQ983046 SHG983046:SHM983046 SRC983046:SRI983046 TAY983046:TBE983046 TKU983046:TLA983046 TUQ983046:TUW983046 UEM983046:UES983046 UOI983046:UOO983046 UYE983046:UYK983046 VIA983046:VIG983046 VRW983046:VSC983046 WBS983046:WBY983046 WLO983046:WLU983046 WVK983046:WVQ983046 WLO23:WLU23 WBS23:WBY23 VRW23:VSC23 VIA23:VIG23 UYE23:UYK23 UOI23:UOO23 UEM23:UES23 TUQ23:TUW23 TKU23:TLA23 TAY23:TBE23 SRC23:SRI23 SHG23:SHM23 RXK23:RXQ23 RNO23:RNU23 RDS23:RDY23 QTW23:QUC23 QKA23:QKG23 QAE23:QAK23 PQI23:PQO23 PGM23:PGS23 OWQ23:OWW23 OMU23:ONA23 OCY23:ODE23 NTC23:NTI23 NJG23:NJM23 MZK23:MZQ23 MPO23:MPU23 MFS23:MFY23 LVW23:LWC23 LMA23:LMG23 LCE23:LCK23 KSI23:KSO23 KIM23:KIS23 JYQ23:JYW23 JOU23:JPA23 JEY23:JFE23 IVC23:IVI23 ILG23:ILM23 IBK23:IBQ23 HRO23:HRU23 HHS23:HHY23 GXW23:GYC23 GOA23:GOG23 GEE23:GEK23 FUI23:FUO23 FKM23:FKS23 FAQ23:FAW23 EQU23:ERA23 EGY23:EHE23 DXC23:DXI23 DNG23:DNM23 DDK23:DDQ23 CTO23:CTU23 CJS23:CJY23 BZW23:CAC23 BQA23:BQG23 BGE23:BGK23 AWI23:AWO23 AMM23:AMS23 ACQ23:ACW23 SU23:TA23 IY23:JE23 WVK23:WVQ23" xr:uid="{00000000-0002-0000-0500-000005000000}">
      <formula1>150</formula1>
    </dataValidation>
    <dataValidation type="list" operator="lessThanOrEqual" showInputMessage="1" showErrorMessage="1" sqref="WVM983014 E65510 JA65510 SW65510 ACS65510 AMO65510 AWK65510 BGG65510 BQC65510 BZY65510 CJU65510 CTQ65510 DDM65510 DNI65510 DXE65510 EHA65510 EQW65510 FAS65510 FKO65510 FUK65510 GEG65510 GOC65510 GXY65510 HHU65510 HRQ65510 IBM65510 ILI65510 IVE65510 JFA65510 JOW65510 JYS65510 KIO65510 KSK65510 LCG65510 LMC65510 LVY65510 MFU65510 MPQ65510 MZM65510 NJI65510 NTE65510 ODA65510 OMW65510 OWS65510 PGO65510 PQK65510 QAG65510 QKC65510 QTY65510 RDU65510 RNQ65510 RXM65510 SHI65510 SRE65510 TBA65510 TKW65510 TUS65510 UEO65510 UOK65510 UYG65510 VIC65510 VRY65510 WBU65510 WLQ65510 WVM65510 E131046 JA131046 SW131046 ACS131046 AMO131046 AWK131046 BGG131046 BQC131046 BZY131046 CJU131046 CTQ131046 DDM131046 DNI131046 DXE131046 EHA131046 EQW131046 FAS131046 FKO131046 FUK131046 GEG131046 GOC131046 GXY131046 HHU131046 HRQ131046 IBM131046 ILI131046 IVE131046 JFA131046 JOW131046 JYS131046 KIO131046 KSK131046 LCG131046 LMC131046 LVY131046 MFU131046 MPQ131046 MZM131046 NJI131046 NTE131046 ODA131046 OMW131046 OWS131046 PGO131046 PQK131046 QAG131046 QKC131046 QTY131046 RDU131046 RNQ131046 RXM131046 SHI131046 SRE131046 TBA131046 TKW131046 TUS131046 UEO131046 UOK131046 UYG131046 VIC131046 VRY131046 WBU131046 WLQ131046 WVM131046 E196582 JA196582 SW196582 ACS196582 AMO196582 AWK196582 BGG196582 BQC196582 BZY196582 CJU196582 CTQ196582 DDM196582 DNI196582 DXE196582 EHA196582 EQW196582 FAS196582 FKO196582 FUK196582 GEG196582 GOC196582 GXY196582 HHU196582 HRQ196582 IBM196582 ILI196582 IVE196582 JFA196582 JOW196582 JYS196582 KIO196582 KSK196582 LCG196582 LMC196582 LVY196582 MFU196582 MPQ196582 MZM196582 NJI196582 NTE196582 ODA196582 OMW196582 OWS196582 PGO196582 PQK196582 QAG196582 QKC196582 QTY196582 RDU196582 RNQ196582 RXM196582 SHI196582 SRE196582 TBA196582 TKW196582 TUS196582 UEO196582 UOK196582 UYG196582 VIC196582 VRY196582 WBU196582 WLQ196582 WVM196582 E262118 JA262118 SW262118 ACS262118 AMO262118 AWK262118 BGG262118 BQC262118 BZY262118 CJU262118 CTQ262118 DDM262118 DNI262118 DXE262118 EHA262118 EQW262118 FAS262118 FKO262118 FUK262118 GEG262118 GOC262118 GXY262118 HHU262118 HRQ262118 IBM262118 ILI262118 IVE262118 JFA262118 JOW262118 JYS262118 KIO262118 KSK262118 LCG262118 LMC262118 LVY262118 MFU262118 MPQ262118 MZM262118 NJI262118 NTE262118 ODA262118 OMW262118 OWS262118 PGO262118 PQK262118 QAG262118 QKC262118 QTY262118 RDU262118 RNQ262118 RXM262118 SHI262118 SRE262118 TBA262118 TKW262118 TUS262118 UEO262118 UOK262118 UYG262118 VIC262118 VRY262118 WBU262118 WLQ262118 WVM262118 E327654 JA327654 SW327654 ACS327654 AMO327654 AWK327654 BGG327654 BQC327654 BZY327654 CJU327654 CTQ327654 DDM327654 DNI327654 DXE327654 EHA327654 EQW327654 FAS327654 FKO327654 FUK327654 GEG327654 GOC327654 GXY327654 HHU327654 HRQ327654 IBM327654 ILI327654 IVE327654 JFA327654 JOW327654 JYS327654 KIO327654 KSK327654 LCG327654 LMC327654 LVY327654 MFU327654 MPQ327654 MZM327654 NJI327654 NTE327654 ODA327654 OMW327654 OWS327654 PGO327654 PQK327654 QAG327654 QKC327654 QTY327654 RDU327654 RNQ327654 RXM327654 SHI327654 SRE327654 TBA327654 TKW327654 TUS327654 UEO327654 UOK327654 UYG327654 VIC327654 VRY327654 WBU327654 WLQ327654 WVM327654 E393190 JA393190 SW393190 ACS393190 AMO393190 AWK393190 BGG393190 BQC393190 BZY393190 CJU393190 CTQ393190 DDM393190 DNI393190 DXE393190 EHA393190 EQW393190 FAS393190 FKO393190 FUK393190 GEG393190 GOC393190 GXY393190 HHU393190 HRQ393190 IBM393190 ILI393190 IVE393190 JFA393190 JOW393190 JYS393190 KIO393190 KSK393190 LCG393190 LMC393190 LVY393190 MFU393190 MPQ393190 MZM393190 NJI393190 NTE393190 ODA393190 OMW393190 OWS393190 PGO393190 PQK393190 QAG393190 QKC393190 QTY393190 RDU393190 RNQ393190 RXM393190 SHI393190 SRE393190 TBA393190 TKW393190 TUS393190 UEO393190 UOK393190 UYG393190 VIC393190 VRY393190 WBU393190 WLQ393190 WVM393190 E458726 JA458726 SW458726 ACS458726 AMO458726 AWK458726 BGG458726 BQC458726 BZY458726 CJU458726 CTQ458726 DDM458726 DNI458726 DXE458726 EHA458726 EQW458726 FAS458726 FKO458726 FUK458726 GEG458726 GOC458726 GXY458726 HHU458726 HRQ458726 IBM458726 ILI458726 IVE458726 JFA458726 JOW458726 JYS458726 KIO458726 KSK458726 LCG458726 LMC458726 LVY458726 MFU458726 MPQ458726 MZM458726 NJI458726 NTE458726 ODA458726 OMW458726 OWS458726 PGO458726 PQK458726 QAG458726 QKC458726 QTY458726 RDU458726 RNQ458726 RXM458726 SHI458726 SRE458726 TBA458726 TKW458726 TUS458726 UEO458726 UOK458726 UYG458726 VIC458726 VRY458726 WBU458726 WLQ458726 WVM458726 E524262 JA524262 SW524262 ACS524262 AMO524262 AWK524262 BGG524262 BQC524262 BZY524262 CJU524262 CTQ524262 DDM524262 DNI524262 DXE524262 EHA524262 EQW524262 FAS524262 FKO524262 FUK524262 GEG524262 GOC524262 GXY524262 HHU524262 HRQ524262 IBM524262 ILI524262 IVE524262 JFA524262 JOW524262 JYS524262 KIO524262 KSK524262 LCG524262 LMC524262 LVY524262 MFU524262 MPQ524262 MZM524262 NJI524262 NTE524262 ODA524262 OMW524262 OWS524262 PGO524262 PQK524262 QAG524262 QKC524262 QTY524262 RDU524262 RNQ524262 RXM524262 SHI524262 SRE524262 TBA524262 TKW524262 TUS524262 UEO524262 UOK524262 UYG524262 VIC524262 VRY524262 WBU524262 WLQ524262 WVM524262 E589798 JA589798 SW589798 ACS589798 AMO589798 AWK589798 BGG589798 BQC589798 BZY589798 CJU589798 CTQ589798 DDM589798 DNI589798 DXE589798 EHA589798 EQW589798 FAS589798 FKO589798 FUK589798 GEG589798 GOC589798 GXY589798 HHU589798 HRQ589798 IBM589798 ILI589798 IVE589798 JFA589798 JOW589798 JYS589798 KIO589798 KSK589798 LCG589798 LMC589798 LVY589798 MFU589798 MPQ589798 MZM589798 NJI589798 NTE589798 ODA589798 OMW589798 OWS589798 PGO589798 PQK589798 QAG589798 QKC589798 QTY589798 RDU589798 RNQ589798 RXM589798 SHI589798 SRE589798 TBA589798 TKW589798 TUS589798 UEO589798 UOK589798 UYG589798 VIC589798 VRY589798 WBU589798 WLQ589798 WVM589798 E655334 JA655334 SW655334 ACS655334 AMO655334 AWK655334 BGG655334 BQC655334 BZY655334 CJU655334 CTQ655334 DDM655334 DNI655334 DXE655334 EHA655334 EQW655334 FAS655334 FKO655334 FUK655334 GEG655334 GOC655334 GXY655334 HHU655334 HRQ655334 IBM655334 ILI655334 IVE655334 JFA655334 JOW655334 JYS655334 KIO655334 KSK655334 LCG655334 LMC655334 LVY655334 MFU655334 MPQ655334 MZM655334 NJI655334 NTE655334 ODA655334 OMW655334 OWS655334 PGO655334 PQK655334 QAG655334 QKC655334 QTY655334 RDU655334 RNQ655334 RXM655334 SHI655334 SRE655334 TBA655334 TKW655334 TUS655334 UEO655334 UOK655334 UYG655334 VIC655334 VRY655334 WBU655334 WLQ655334 WVM655334 E720870 JA720870 SW720870 ACS720870 AMO720870 AWK720870 BGG720870 BQC720870 BZY720870 CJU720870 CTQ720870 DDM720870 DNI720870 DXE720870 EHA720870 EQW720870 FAS720870 FKO720870 FUK720870 GEG720870 GOC720870 GXY720870 HHU720870 HRQ720870 IBM720870 ILI720870 IVE720870 JFA720870 JOW720870 JYS720870 KIO720870 KSK720870 LCG720870 LMC720870 LVY720870 MFU720870 MPQ720870 MZM720870 NJI720870 NTE720870 ODA720870 OMW720870 OWS720870 PGO720870 PQK720870 QAG720870 QKC720870 QTY720870 RDU720870 RNQ720870 RXM720870 SHI720870 SRE720870 TBA720870 TKW720870 TUS720870 UEO720870 UOK720870 UYG720870 VIC720870 VRY720870 WBU720870 WLQ720870 WVM720870 E786406 JA786406 SW786406 ACS786406 AMO786406 AWK786406 BGG786406 BQC786406 BZY786406 CJU786406 CTQ786406 DDM786406 DNI786406 DXE786406 EHA786406 EQW786406 FAS786406 FKO786406 FUK786406 GEG786406 GOC786406 GXY786406 HHU786406 HRQ786406 IBM786406 ILI786406 IVE786406 JFA786406 JOW786406 JYS786406 KIO786406 KSK786406 LCG786406 LMC786406 LVY786406 MFU786406 MPQ786406 MZM786406 NJI786406 NTE786406 ODA786406 OMW786406 OWS786406 PGO786406 PQK786406 QAG786406 QKC786406 QTY786406 RDU786406 RNQ786406 RXM786406 SHI786406 SRE786406 TBA786406 TKW786406 TUS786406 UEO786406 UOK786406 UYG786406 VIC786406 VRY786406 WBU786406 WLQ786406 WVM786406 E851942 JA851942 SW851942 ACS851942 AMO851942 AWK851942 BGG851942 BQC851942 BZY851942 CJU851942 CTQ851942 DDM851942 DNI851942 DXE851942 EHA851942 EQW851942 FAS851942 FKO851942 FUK851942 GEG851942 GOC851942 GXY851942 HHU851942 HRQ851942 IBM851942 ILI851942 IVE851942 JFA851942 JOW851942 JYS851942 KIO851942 KSK851942 LCG851942 LMC851942 LVY851942 MFU851942 MPQ851942 MZM851942 NJI851942 NTE851942 ODA851942 OMW851942 OWS851942 PGO851942 PQK851942 QAG851942 QKC851942 QTY851942 RDU851942 RNQ851942 RXM851942 SHI851942 SRE851942 TBA851942 TKW851942 TUS851942 UEO851942 UOK851942 UYG851942 VIC851942 VRY851942 WBU851942 WLQ851942 WVM851942 E917478 JA917478 SW917478 ACS917478 AMO917478 AWK917478 BGG917478 BQC917478 BZY917478 CJU917478 CTQ917478 DDM917478 DNI917478 DXE917478 EHA917478 EQW917478 FAS917478 FKO917478 FUK917478 GEG917478 GOC917478 GXY917478 HHU917478 HRQ917478 IBM917478 ILI917478 IVE917478 JFA917478 JOW917478 JYS917478 KIO917478 KSK917478 LCG917478 LMC917478 LVY917478 MFU917478 MPQ917478 MZM917478 NJI917478 NTE917478 ODA917478 OMW917478 OWS917478 PGO917478 PQK917478 QAG917478 QKC917478 QTY917478 RDU917478 RNQ917478 RXM917478 SHI917478 SRE917478 TBA917478 TKW917478 TUS917478 UEO917478 UOK917478 UYG917478 VIC917478 VRY917478 WBU917478 WLQ917478 WVM917478 E983014 JA983014 SW983014 ACS983014 AMO983014 AWK983014 BGG983014 BQC983014 BZY983014 CJU983014 CTQ983014 DDM983014 DNI983014 DXE983014 EHA983014 EQW983014 FAS983014 FKO983014 FUK983014 GEG983014 GOC983014 GXY983014 HHU983014 HRQ983014 IBM983014 ILI983014 IVE983014 JFA983014 JOW983014 JYS983014 KIO983014 KSK983014 LCG983014 LMC983014 LVY983014 MFU983014 MPQ983014 MZM983014 NJI983014 NTE983014 ODA983014 OMW983014 OWS983014 PGO983014 PQK983014 QAG983014 QKC983014 QTY983014 RDU983014 RNQ983014 RXM983014 SHI983014 SRE983014 TBA983014 TKW983014 TUS983014 UEO983014 UOK983014 UYG983014 VIC983014 VRY983014 WBU983014 WLQ983014" xr:uid="{00000000-0002-0000-0500-000006000000}">
      <formula1>"ACT,QLD,NSW,Vic,Tas,SA"</formula1>
    </dataValidation>
    <dataValidation type="textLength" operator="lessThanOrEqual" showInputMessage="1" showErrorMessage="1" sqref="WVK983007:WVP983007 IY14:JD14 SU14:SZ14 ACQ14:ACV14 AMM14:AMR14 AWI14:AWN14 BGE14:BGJ14 BQA14:BQF14 BZW14:CAB14 CJS14:CJX14 CTO14:CTT14 DDK14:DDP14 DNG14:DNL14 DXC14:DXH14 EGY14:EHD14 EQU14:EQZ14 FAQ14:FAV14 FKM14:FKR14 FUI14:FUN14 GEE14:GEJ14 GOA14:GOF14 GXW14:GYB14 HHS14:HHX14 HRO14:HRT14 IBK14:IBP14 ILG14:ILL14 IVC14:IVH14 JEY14:JFD14 JOU14:JOZ14 JYQ14:JYV14 KIM14:KIR14 KSI14:KSN14 LCE14:LCJ14 LMA14:LMF14 LVW14:LWB14 MFS14:MFX14 MPO14:MPT14 MZK14:MZP14 NJG14:NJL14 NTC14:NTH14 OCY14:ODD14 OMU14:OMZ14 OWQ14:OWV14 PGM14:PGR14 PQI14:PQN14 QAE14:QAJ14 QKA14:QKF14 QTW14:QUB14 RDS14:RDX14 RNO14:RNT14 RXK14:RXP14 SHG14:SHL14 SRC14:SRH14 TAY14:TBD14 TKU14:TKZ14 TUQ14:TUV14 UEM14:UER14 UOI14:UON14 UYE14:UYJ14 VIA14:VIF14 VRW14:VSB14 WBS14:WBX14 WLO14:WLT14 WVK14:WVP14 C65503:H65503 IY65503:JD65503 SU65503:SZ65503 ACQ65503:ACV65503 AMM65503:AMR65503 AWI65503:AWN65503 BGE65503:BGJ65503 BQA65503:BQF65503 BZW65503:CAB65503 CJS65503:CJX65503 CTO65503:CTT65503 DDK65503:DDP65503 DNG65503:DNL65503 DXC65503:DXH65503 EGY65503:EHD65503 EQU65503:EQZ65503 FAQ65503:FAV65503 FKM65503:FKR65503 FUI65503:FUN65503 GEE65503:GEJ65503 GOA65503:GOF65503 GXW65503:GYB65503 HHS65503:HHX65503 HRO65503:HRT65503 IBK65503:IBP65503 ILG65503:ILL65503 IVC65503:IVH65503 JEY65503:JFD65503 JOU65503:JOZ65503 JYQ65503:JYV65503 KIM65503:KIR65503 KSI65503:KSN65503 LCE65503:LCJ65503 LMA65503:LMF65503 LVW65503:LWB65503 MFS65503:MFX65503 MPO65503:MPT65503 MZK65503:MZP65503 NJG65503:NJL65503 NTC65503:NTH65503 OCY65503:ODD65503 OMU65503:OMZ65503 OWQ65503:OWV65503 PGM65503:PGR65503 PQI65503:PQN65503 QAE65503:QAJ65503 QKA65503:QKF65503 QTW65503:QUB65503 RDS65503:RDX65503 RNO65503:RNT65503 RXK65503:RXP65503 SHG65503:SHL65503 SRC65503:SRH65503 TAY65503:TBD65503 TKU65503:TKZ65503 TUQ65503:TUV65503 UEM65503:UER65503 UOI65503:UON65503 UYE65503:UYJ65503 VIA65503:VIF65503 VRW65503:VSB65503 WBS65503:WBX65503 WLO65503:WLT65503 WVK65503:WVP65503 C131039:H131039 IY131039:JD131039 SU131039:SZ131039 ACQ131039:ACV131039 AMM131039:AMR131039 AWI131039:AWN131039 BGE131039:BGJ131039 BQA131039:BQF131039 BZW131039:CAB131039 CJS131039:CJX131039 CTO131039:CTT131039 DDK131039:DDP131039 DNG131039:DNL131039 DXC131039:DXH131039 EGY131039:EHD131039 EQU131039:EQZ131039 FAQ131039:FAV131039 FKM131039:FKR131039 FUI131039:FUN131039 GEE131039:GEJ131039 GOA131039:GOF131039 GXW131039:GYB131039 HHS131039:HHX131039 HRO131039:HRT131039 IBK131039:IBP131039 ILG131039:ILL131039 IVC131039:IVH131039 JEY131039:JFD131039 JOU131039:JOZ131039 JYQ131039:JYV131039 KIM131039:KIR131039 KSI131039:KSN131039 LCE131039:LCJ131039 LMA131039:LMF131039 LVW131039:LWB131039 MFS131039:MFX131039 MPO131039:MPT131039 MZK131039:MZP131039 NJG131039:NJL131039 NTC131039:NTH131039 OCY131039:ODD131039 OMU131039:OMZ131039 OWQ131039:OWV131039 PGM131039:PGR131039 PQI131039:PQN131039 QAE131039:QAJ131039 QKA131039:QKF131039 QTW131039:QUB131039 RDS131039:RDX131039 RNO131039:RNT131039 RXK131039:RXP131039 SHG131039:SHL131039 SRC131039:SRH131039 TAY131039:TBD131039 TKU131039:TKZ131039 TUQ131039:TUV131039 UEM131039:UER131039 UOI131039:UON131039 UYE131039:UYJ131039 VIA131039:VIF131039 VRW131039:VSB131039 WBS131039:WBX131039 WLO131039:WLT131039 WVK131039:WVP131039 C196575:H196575 IY196575:JD196575 SU196575:SZ196575 ACQ196575:ACV196575 AMM196575:AMR196575 AWI196575:AWN196575 BGE196575:BGJ196575 BQA196575:BQF196575 BZW196575:CAB196575 CJS196575:CJX196575 CTO196575:CTT196575 DDK196575:DDP196575 DNG196575:DNL196575 DXC196575:DXH196575 EGY196575:EHD196575 EQU196575:EQZ196575 FAQ196575:FAV196575 FKM196575:FKR196575 FUI196575:FUN196575 GEE196575:GEJ196575 GOA196575:GOF196575 GXW196575:GYB196575 HHS196575:HHX196575 HRO196575:HRT196575 IBK196575:IBP196575 ILG196575:ILL196575 IVC196575:IVH196575 JEY196575:JFD196575 JOU196575:JOZ196575 JYQ196575:JYV196575 KIM196575:KIR196575 KSI196575:KSN196575 LCE196575:LCJ196575 LMA196575:LMF196575 LVW196575:LWB196575 MFS196575:MFX196575 MPO196575:MPT196575 MZK196575:MZP196575 NJG196575:NJL196575 NTC196575:NTH196575 OCY196575:ODD196575 OMU196575:OMZ196575 OWQ196575:OWV196575 PGM196575:PGR196575 PQI196575:PQN196575 QAE196575:QAJ196575 QKA196575:QKF196575 QTW196575:QUB196575 RDS196575:RDX196575 RNO196575:RNT196575 RXK196575:RXP196575 SHG196575:SHL196575 SRC196575:SRH196575 TAY196575:TBD196575 TKU196575:TKZ196575 TUQ196575:TUV196575 UEM196575:UER196575 UOI196575:UON196575 UYE196575:UYJ196575 VIA196575:VIF196575 VRW196575:VSB196575 WBS196575:WBX196575 WLO196575:WLT196575 WVK196575:WVP196575 C262111:H262111 IY262111:JD262111 SU262111:SZ262111 ACQ262111:ACV262111 AMM262111:AMR262111 AWI262111:AWN262111 BGE262111:BGJ262111 BQA262111:BQF262111 BZW262111:CAB262111 CJS262111:CJX262111 CTO262111:CTT262111 DDK262111:DDP262111 DNG262111:DNL262111 DXC262111:DXH262111 EGY262111:EHD262111 EQU262111:EQZ262111 FAQ262111:FAV262111 FKM262111:FKR262111 FUI262111:FUN262111 GEE262111:GEJ262111 GOA262111:GOF262111 GXW262111:GYB262111 HHS262111:HHX262111 HRO262111:HRT262111 IBK262111:IBP262111 ILG262111:ILL262111 IVC262111:IVH262111 JEY262111:JFD262111 JOU262111:JOZ262111 JYQ262111:JYV262111 KIM262111:KIR262111 KSI262111:KSN262111 LCE262111:LCJ262111 LMA262111:LMF262111 LVW262111:LWB262111 MFS262111:MFX262111 MPO262111:MPT262111 MZK262111:MZP262111 NJG262111:NJL262111 NTC262111:NTH262111 OCY262111:ODD262111 OMU262111:OMZ262111 OWQ262111:OWV262111 PGM262111:PGR262111 PQI262111:PQN262111 QAE262111:QAJ262111 QKA262111:QKF262111 QTW262111:QUB262111 RDS262111:RDX262111 RNO262111:RNT262111 RXK262111:RXP262111 SHG262111:SHL262111 SRC262111:SRH262111 TAY262111:TBD262111 TKU262111:TKZ262111 TUQ262111:TUV262111 UEM262111:UER262111 UOI262111:UON262111 UYE262111:UYJ262111 VIA262111:VIF262111 VRW262111:VSB262111 WBS262111:WBX262111 WLO262111:WLT262111 WVK262111:WVP262111 C327647:H327647 IY327647:JD327647 SU327647:SZ327647 ACQ327647:ACV327647 AMM327647:AMR327647 AWI327647:AWN327647 BGE327647:BGJ327647 BQA327647:BQF327647 BZW327647:CAB327647 CJS327647:CJX327647 CTO327647:CTT327647 DDK327647:DDP327647 DNG327647:DNL327647 DXC327647:DXH327647 EGY327647:EHD327647 EQU327647:EQZ327647 FAQ327647:FAV327647 FKM327647:FKR327647 FUI327647:FUN327647 GEE327647:GEJ327647 GOA327647:GOF327647 GXW327647:GYB327647 HHS327647:HHX327647 HRO327647:HRT327647 IBK327647:IBP327647 ILG327647:ILL327647 IVC327647:IVH327647 JEY327647:JFD327647 JOU327647:JOZ327647 JYQ327647:JYV327647 KIM327647:KIR327647 KSI327647:KSN327647 LCE327647:LCJ327647 LMA327647:LMF327647 LVW327647:LWB327647 MFS327647:MFX327647 MPO327647:MPT327647 MZK327647:MZP327647 NJG327647:NJL327647 NTC327647:NTH327647 OCY327647:ODD327647 OMU327647:OMZ327647 OWQ327647:OWV327647 PGM327647:PGR327647 PQI327647:PQN327647 QAE327647:QAJ327647 QKA327647:QKF327647 QTW327647:QUB327647 RDS327647:RDX327647 RNO327647:RNT327647 RXK327647:RXP327647 SHG327647:SHL327647 SRC327647:SRH327647 TAY327647:TBD327647 TKU327647:TKZ327647 TUQ327647:TUV327647 UEM327647:UER327647 UOI327647:UON327647 UYE327647:UYJ327647 VIA327647:VIF327647 VRW327647:VSB327647 WBS327647:WBX327647 WLO327647:WLT327647 WVK327647:WVP327647 C393183:H393183 IY393183:JD393183 SU393183:SZ393183 ACQ393183:ACV393183 AMM393183:AMR393183 AWI393183:AWN393183 BGE393183:BGJ393183 BQA393183:BQF393183 BZW393183:CAB393183 CJS393183:CJX393183 CTO393183:CTT393183 DDK393183:DDP393183 DNG393183:DNL393183 DXC393183:DXH393183 EGY393183:EHD393183 EQU393183:EQZ393183 FAQ393183:FAV393183 FKM393183:FKR393183 FUI393183:FUN393183 GEE393183:GEJ393183 GOA393183:GOF393183 GXW393183:GYB393183 HHS393183:HHX393183 HRO393183:HRT393183 IBK393183:IBP393183 ILG393183:ILL393183 IVC393183:IVH393183 JEY393183:JFD393183 JOU393183:JOZ393183 JYQ393183:JYV393183 KIM393183:KIR393183 KSI393183:KSN393183 LCE393183:LCJ393183 LMA393183:LMF393183 LVW393183:LWB393183 MFS393183:MFX393183 MPO393183:MPT393183 MZK393183:MZP393183 NJG393183:NJL393183 NTC393183:NTH393183 OCY393183:ODD393183 OMU393183:OMZ393183 OWQ393183:OWV393183 PGM393183:PGR393183 PQI393183:PQN393183 QAE393183:QAJ393183 QKA393183:QKF393183 QTW393183:QUB393183 RDS393183:RDX393183 RNO393183:RNT393183 RXK393183:RXP393183 SHG393183:SHL393183 SRC393183:SRH393183 TAY393183:TBD393183 TKU393183:TKZ393183 TUQ393183:TUV393183 UEM393183:UER393183 UOI393183:UON393183 UYE393183:UYJ393183 VIA393183:VIF393183 VRW393183:VSB393183 WBS393183:WBX393183 WLO393183:WLT393183 WVK393183:WVP393183 C458719:H458719 IY458719:JD458719 SU458719:SZ458719 ACQ458719:ACV458719 AMM458719:AMR458719 AWI458719:AWN458719 BGE458719:BGJ458719 BQA458719:BQF458719 BZW458719:CAB458719 CJS458719:CJX458719 CTO458719:CTT458719 DDK458719:DDP458719 DNG458719:DNL458719 DXC458719:DXH458719 EGY458719:EHD458719 EQU458719:EQZ458719 FAQ458719:FAV458719 FKM458719:FKR458719 FUI458719:FUN458719 GEE458719:GEJ458719 GOA458719:GOF458719 GXW458719:GYB458719 HHS458719:HHX458719 HRO458719:HRT458719 IBK458719:IBP458719 ILG458719:ILL458719 IVC458719:IVH458719 JEY458719:JFD458719 JOU458719:JOZ458719 JYQ458719:JYV458719 KIM458719:KIR458719 KSI458719:KSN458719 LCE458719:LCJ458719 LMA458719:LMF458719 LVW458719:LWB458719 MFS458719:MFX458719 MPO458719:MPT458719 MZK458719:MZP458719 NJG458719:NJL458719 NTC458719:NTH458719 OCY458719:ODD458719 OMU458719:OMZ458719 OWQ458719:OWV458719 PGM458719:PGR458719 PQI458719:PQN458719 QAE458719:QAJ458719 QKA458719:QKF458719 QTW458719:QUB458719 RDS458719:RDX458719 RNO458719:RNT458719 RXK458719:RXP458719 SHG458719:SHL458719 SRC458719:SRH458719 TAY458719:TBD458719 TKU458719:TKZ458719 TUQ458719:TUV458719 UEM458719:UER458719 UOI458719:UON458719 UYE458719:UYJ458719 VIA458719:VIF458719 VRW458719:VSB458719 WBS458719:WBX458719 WLO458719:WLT458719 WVK458719:WVP458719 C524255:H524255 IY524255:JD524255 SU524255:SZ524255 ACQ524255:ACV524255 AMM524255:AMR524255 AWI524255:AWN524255 BGE524255:BGJ524255 BQA524255:BQF524255 BZW524255:CAB524255 CJS524255:CJX524255 CTO524255:CTT524255 DDK524255:DDP524255 DNG524255:DNL524255 DXC524255:DXH524255 EGY524255:EHD524255 EQU524255:EQZ524255 FAQ524255:FAV524255 FKM524255:FKR524255 FUI524255:FUN524255 GEE524255:GEJ524255 GOA524255:GOF524255 GXW524255:GYB524255 HHS524255:HHX524255 HRO524255:HRT524255 IBK524255:IBP524255 ILG524255:ILL524255 IVC524255:IVH524255 JEY524255:JFD524255 JOU524255:JOZ524255 JYQ524255:JYV524255 KIM524255:KIR524255 KSI524255:KSN524255 LCE524255:LCJ524255 LMA524255:LMF524255 LVW524255:LWB524255 MFS524255:MFX524255 MPO524255:MPT524255 MZK524255:MZP524255 NJG524255:NJL524255 NTC524255:NTH524255 OCY524255:ODD524255 OMU524255:OMZ524255 OWQ524255:OWV524255 PGM524255:PGR524255 PQI524255:PQN524255 QAE524255:QAJ524255 QKA524255:QKF524255 QTW524255:QUB524255 RDS524255:RDX524255 RNO524255:RNT524255 RXK524255:RXP524255 SHG524255:SHL524255 SRC524255:SRH524255 TAY524255:TBD524255 TKU524255:TKZ524255 TUQ524255:TUV524255 UEM524255:UER524255 UOI524255:UON524255 UYE524255:UYJ524255 VIA524255:VIF524255 VRW524255:VSB524255 WBS524255:WBX524255 WLO524255:WLT524255 WVK524255:WVP524255 C589791:H589791 IY589791:JD589791 SU589791:SZ589791 ACQ589791:ACV589791 AMM589791:AMR589791 AWI589791:AWN589791 BGE589791:BGJ589791 BQA589791:BQF589791 BZW589791:CAB589791 CJS589791:CJX589791 CTO589791:CTT589791 DDK589791:DDP589791 DNG589791:DNL589791 DXC589791:DXH589791 EGY589791:EHD589791 EQU589791:EQZ589791 FAQ589791:FAV589791 FKM589791:FKR589791 FUI589791:FUN589791 GEE589791:GEJ589791 GOA589791:GOF589791 GXW589791:GYB589791 HHS589791:HHX589791 HRO589791:HRT589791 IBK589791:IBP589791 ILG589791:ILL589791 IVC589791:IVH589791 JEY589791:JFD589791 JOU589791:JOZ589791 JYQ589791:JYV589791 KIM589791:KIR589791 KSI589791:KSN589791 LCE589791:LCJ589791 LMA589791:LMF589791 LVW589791:LWB589791 MFS589791:MFX589791 MPO589791:MPT589791 MZK589791:MZP589791 NJG589791:NJL589791 NTC589791:NTH589791 OCY589791:ODD589791 OMU589791:OMZ589791 OWQ589791:OWV589791 PGM589791:PGR589791 PQI589791:PQN589791 QAE589791:QAJ589791 QKA589791:QKF589791 QTW589791:QUB589791 RDS589791:RDX589791 RNO589791:RNT589791 RXK589791:RXP589791 SHG589791:SHL589791 SRC589791:SRH589791 TAY589791:TBD589791 TKU589791:TKZ589791 TUQ589791:TUV589791 UEM589791:UER589791 UOI589791:UON589791 UYE589791:UYJ589791 VIA589791:VIF589791 VRW589791:VSB589791 WBS589791:WBX589791 WLO589791:WLT589791 WVK589791:WVP589791 C655327:H655327 IY655327:JD655327 SU655327:SZ655327 ACQ655327:ACV655327 AMM655327:AMR655327 AWI655327:AWN655327 BGE655327:BGJ655327 BQA655327:BQF655327 BZW655327:CAB655327 CJS655327:CJX655327 CTO655327:CTT655327 DDK655327:DDP655327 DNG655327:DNL655327 DXC655327:DXH655327 EGY655327:EHD655327 EQU655327:EQZ655327 FAQ655327:FAV655327 FKM655327:FKR655327 FUI655327:FUN655327 GEE655327:GEJ655327 GOA655327:GOF655327 GXW655327:GYB655327 HHS655327:HHX655327 HRO655327:HRT655327 IBK655327:IBP655327 ILG655327:ILL655327 IVC655327:IVH655327 JEY655327:JFD655327 JOU655327:JOZ655327 JYQ655327:JYV655327 KIM655327:KIR655327 KSI655327:KSN655327 LCE655327:LCJ655327 LMA655327:LMF655327 LVW655327:LWB655327 MFS655327:MFX655327 MPO655327:MPT655327 MZK655327:MZP655327 NJG655327:NJL655327 NTC655327:NTH655327 OCY655327:ODD655327 OMU655327:OMZ655327 OWQ655327:OWV655327 PGM655327:PGR655327 PQI655327:PQN655327 QAE655327:QAJ655327 QKA655327:QKF655327 QTW655327:QUB655327 RDS655327:RDX655327 RNO655327:RNT655327 RXK655327:RXP655327 SHG655327:SHL655327 SRC655327:SRH655327 TAY655327:TBD655327 TKU655327:TKZ655327 TUQ655327:TUV655327 UEM655327:UER655327 UOI655327:UON655327 UYE655327:UYJ655327 VIA655327:VIF655327 VRW655327:VSB655327 WBS655327:WBX655327 WLO655327:WLT655327 WVK655327:WVP655327 C720863:H720863 IY720863:JD720863 SU720863:SZ720863 ACQ720863:ACV720863 AMM720863:AMR720863 AWI720863:AWN720863 BGE720863:BGJ720863 BQA720863:BQF720863 BZW720863:CAB720863 CJS720863:CJX720863 CTO720863:CTT720863 DDK720863:DDP720863 DNG720863:DNL720863 DXC720863:DXH720863 EGY720863:EHD720863 EQU720863:EQZ720863 FAQ720863:FAV720863 FKM720863:FKR720863 FUI720863:FUN720863 GEE720863:GEJ720863 GOA720863:GOF720863 GXW720863:GYB720863 HHS720863:HHX720863 HRO720863:HRT720863 IBK720863:IBP720863 ILG720863:ILL720863 IVC720863:IVH720863 JEY720863:JFD720863 JOU720863:JOZ720863 JYQ720863:JYV720863 KIM720863:KIR720863 KSI720863:KSN720863 LCE720863:LCJ720863 LMA720863:LMF720863 LVW720863:LWB720863 MFS720863:MFX720863 MPO720863:MPT720863 MZK720863:MZP720863 NJG720863:NJL720863 NTC720863:NTH720863 OCY720863:ODD720863 OMU720863:OMZ720863 OWQ720863:OWV720863 PGM720863:PGR720863 PQI720863:PQN720863 QAE720863:QAJ720863 QKA720863:QKF720863 QTW720863:QUB720863 RDS720863:RDX720863 RNO720863:RNT720863 RXK720863:RXP720863 SHG720863:SHL720863 SRC720863:SRH720863 TAY720863:TBD720863 TKU720863:TKZ720863 TUQ720863:TUV720863 UEM720863:UER720863 UOI720863:UON720863 UYE720863:UYJ720863 VIA720863:VIF720863 VRW720863:VSB720863 WBS720863:WBX720863 WLO720863:WLT720863 WVK720863:WVP720863 C786399:H786399 IY786399:JD786399 SU786399:SZ786399 ACQ786399:ACV786399 AMM786399:AMR786399 AWI786399:AWN786399 BGE786399:BGJ786399 BQA786399:BQF786399 BZW786399:CAB786399 CJS786399:CJX786399 CTO786399:CTT786399 DDK786399:DDP786399 DNG786399:DNL786399 DXC786399:DXH786399 EGY786399:EHD786399 EQU786399:EQZ786399 FAQ786399:FAV786399 FKM786399:FKR786399 FUI786399:FUN786399 GEE786399:GEJ786399 GOA786399:GOF786399 GXW786399:GYB786399 HHS786399:HHX786399 HRO786399:HRT786399 IBK786399:IBP786399 ILG786399:ILL786399 IVC786399:IVH786399 JEY786399:JFD786399 JOU786399:JOZ786399 JYQ786399:JYV786399 KIM786399:KIR786399 KSI786399:KSN786399 LCE786399:LCJ786399 LMA786399:LMF786399 LVW786399:LWB786399 MFS786399:MFX786399 MPO786399:MPT786399 MZK786399:MZP786399 NJG786399:NJL786399 NTC786399:NTH786399 OCY786399:ODD786399 OMU786399:OMZ786399 OWQ786399:OWV786399 PGM786399:PGR786399 PQI786399:PQN786399 QAE786399:QAJ786399 QKA786399:QKF786399 QTW786399:QUB786399 RDS786399:RDX786399 RNO786399:RNT786399 RXK786399:RXP786399 SHG786399:SHL786399 SRC786399:SRH786399 TAY786399:TBD786399 TKU786399:TKZ786399 TUQ786399:TUV786399 UEM786399:UER786399 UOI786399:UON786399 UYE786399:UYJ786399 VIA786399:VIF786399 VRW786399:VSB786399 WBS786399:WBX786399 WLO786399:WLT786399 WVK786399:WVP786399 C851935:H851935 IY851935:JD851935 SU851935:SZ851935 ACQ851935:ACV851935 AMM851935:AMR851935 AWI851935:AWN851935 BGE851935:BGJ851935 BQA851935:BQF851935 BZW851935:CAB851935 CJS851935:CJX851935 CTO851935:CTT851935 DDK851935:DDP851935 DNG851935:DNL851935 DXC851935:DXH851935 EGY851935:EHD851935 EQU851935:EQZ851935 FAQ851935:FAV851935 FKM851935:FKR851935 FUI851935:FUN851935 GEE851935:GEJ851935 GOA851935:GOF851935 GXW851935:GYB851935 HHS851935:HHX851935 HRO851935:HRT851935 IBK851935:IBP851935 ILG851935:ILL851935 IVC851935:IVH851935 JEY851935:JFD851935 JOU851935:JOZ851935 JYQ851935:JYV851935 KIM851935:KIR851935 KSI851935:KSN851935 LCE851935:LCJ851935 LMA851935:LMF851935 LVW851935:LWB851935 MFS851935:MFX851935 MPO851935:MPT851935 MZK851935:MZP851935 NJG851935:NJL851935 NTC851935:NTH851935 OCY851935:ODD851935 OMU851935:OMZ851935 OWQ851935:OWV851935 PGM851935:PGR851935 PQI851935:PQN851935 QAE851935:QAJ851935 QKA851935:QKF851935 QTW851935:QUB851935 RDS851935:RDX851935 RNO851935:RNT851935 RXK851935:RXP851935 SHG851935:SHL851935 SRC851935:SRH851935 TAY851935:TBD851935 TKU851935:TKZ851935 TUQ851935:TUV851935 UEM851935:UER851935 UOI851935:UON851935 UYE851935:UYJ851935 VIA851935:VIF851935 VRW851935:VSB851935 WBS851935:WBX851935 WLO851935:WLT851935 WVK851935:WVP851935 C917471:H917471 IY917471:JD917471 SU917471:SZ917471 ACQ917471:ACV917471 AMM917471:AMR917471 AWI917471:AWN917471 BGE917471:BGJ917471 BQA917471:BQF917471 BZW917471:CAB917471 CJS917471:CJX917471 CTO917471:CTT917471 DDK917471:DDP917471 DNG917471:DNL917471 DXC917471:DXH917471 EGY917471:EHD917471 EQU917471:EQZ917471 FAQ917471:FAV917471 FKM917471:FKR917471 FUI917471:FUN917471 GEE917471:GEJ917471 GOA917471:GOF917471 GXW917471:GYB917471 HHS917471:HHX917471 HRO917471:HRT917471 IBK917471:IBP917471 ILG917471:ILL917471 IVC917471:IVH917471 JEY917471:JFD917471 JOU917471:JOZ917471 JYQ917471:JYV917471 KIM917471:KIR917471 KSI917471:KSN917471 LCE917471:LCJ917471 LMA917471:LMF917471 LVW917471:LWB917471 MFS917471:MFX917471 MPO917471:MPT917471 MZK917471:MZP917471 NJG917471:NJL917471 NTC917471:NTH917471 OCY917471:ODD917471 OMU917471:OMZ917471 OWQ917471:OWV917471 PGM917471:PGR917471 PQI917471:PQN917471 QAE917471:QAJ917471 QKA917471:QKF917471 QTW917471:QUB917471 RDS917471:RDX917471 RNO917471:RNT917471 RXK917471:RXP917471 SHG917471:SHL917471 SRC917471:SRH917471 TAY917471:TBD917471 TKU917471:TKZ917471 TUQ917471:TUV917471 UEM917471:UER917471 UOI917471:UON917471 UYE917471:UYJ917471 VIA917471:VIF917471 VRW917471:VSB917471 WBS917471:WBX917471 WLO917471:WLT917471 WVK917471:WVP917471 C983007:H983007 IY983007:JD983007 SU983007:SZ983007 ACQ983007:ACV983007 AMM983007:AMR983007 AWI983007:AWN983007 BGE983007:BGJ983007 BQA983007:BQF983007 BZW983007:CAB983007 CJS983007:CJX983007 CTO983007:CTT983007 DDK983007:DDP983007 DNG983007:DNL983007 DXC983007:DXH983007 EGY983007:EHD983007 EQU983007:EQZ983007 FAQ983007:FAV983007 FKM983007:FKR983007 FUI983007:FUN983007 GEE983007:GEJ983007 GOA983007:GOF983007 GXW983007:GYB983007 HHS983007:HHX983007 HRO983007:HRT983007 IBK983007:IBP983007 ILG983007:ILL983007 IVC983007:IVH983007 JEY983007:JFD983007 JOU983007:JOZ983007 JYQ983007:JYV983007 KIM983007:KIR983007 KSI983007:KSN983007 LCE983007:LCJ983007 LMA983007:LMF983007 LVW983007:LWB983007 MFS983007:MFX983007 MPO983007:MPT983007 MZK983007:MZP983007 NJG983007:NJL983007 NTC983007:NTH983007 OCY983007:ODD983007 OMU983007:OMZ983007 OWQ983007:OWV983007 PGM983007:PGR983007 PQI983007:PQN983007 QAE983007:QAJ983007 QKA983007:QKF983007 QTW983007:QUB983007 RDS983007:RDX983007 RNO983007:RNT983007 RXK983007:RXP983007 SHG983007:SHL983007 SRC983007:SRH983007 TAY983007:TBD983007 TKU983007:TKZ983007 TUQ983007:TUV983007 UEM983007:UER983007 UOI983007:UON983007 UYE983007:UYJ983007 VIA983007:VIF983007 VRW983007:VSB983007 WBS983007:WBX983007 WLO983007:WLT983007" xr:uid="{00000000-0002-0000-0500-000007000000}">
      <formula1>150</formula1>
    </dataValidation>
    <dataValidation type="list" allowBlank="1" showInputMessage="1" showErrorMessage="1" sqref="WVK98304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xr:uid="{00000000-0002-0000-0500-000008000000}">
      <formula1>"Actual, Estimate, Consolidated, Public"</formula1>
    </dataValidation>
    <dataValidation type="list" allowBlank="1" showInputMessage="1" showErrorMessage="1" sqref="WVK983041 C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C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C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C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C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C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C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C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C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C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C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C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C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C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C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xr:uid="{00000000-0002-0000-0500-000009000000}">
      <formula1>"Financial, Calendar, Other"</formula1>
    </dataValidation>
    <dataValidation type="list" allowBlank="1" showInputMessage="1" showErrorMessage="1" sqref="C65535 IY65535 SU65535 ACQ65535 AMM65535 AWI65535 BGE65535 BQA65535 BZW65535 CJS65535 CTO65535 DDK65535 DNG65535 DXC65535 EGY65535 EQU65535 FAQ65535 FKM65535 FUI65535 GEE65535 GOA65535 GXW65535 HHS65535 HRO65535 IBK65535 ILG65535 IVC65535 JEY65535 JOU65535 JYQ65535 KIM65535 KSI65535 LCE65535 LMA65535 LVW65535 MFS65535 MPO65535 MZK65535 NJG65535 NTC65535 OCY65535 OMU65535 OWQ65535 PGM65535 PQI65535 QAE65535 QKA65535 QTW65535 RDS65535 RNO65535 RXK65535 SHG65535 SRC65535 TAY65535 TKU65535 TUQ65535 UEM65535 UOI65535 UYE65535 VIA65535 VRW65535 WBS65535 WLO65535 WVK65535 C131071 IY131071 SU131071 ACQ131071 AMM131071 AWI131071 BGE131071 BQA131071 BZW131071 CJS131071 CTO131071 DDK131071 DNG131071 DXC131071 EGY131071 EQU131071 FAQ131071 FKM131071 FUI131071 GEE131071 GOA131071 GXW131071 HHS131071 HRO131071 IBK131071 ILG131071 IVC131071 JEY131071 JOU131071 JYQ131071 KIM131071 KSI131071 LCE131071 LMA131071 LVW131071 MFS131071 MPO131071 MZK131071 NJG131071 NTC131071 OCY131071 OMU131071 OWQ131071 PGM131071 PQI131071 QAE131071 QKA131071 QTW131071 RDS131071 RNO131071 RXK131071 SHG131071 SRC131071 TAY131071 TKU131071 TUQ131071 UEM131071 UOI131071 UYE131071 VIA131071 VRW131071 WBS131071 WLO131071 WVK131071 C196607 IY196607 SU196607 ACQ196607 AMM196607 AWI196607 BGE196607 BQA196607 BZW196607 CJS196607 CTO196607 DDK196607 DNG196607 DXC196607 EGY196607 EQU196607 FAQ196607 FKM196607 FUI196607 GEE196607 GOA196607 GXW196607 HHS196607 HRO196607 IBK196607 ILG196607 IVC196607 JEY196607 JOU196607 JYQ196607 KIM196607 KSI196607 LCE196607 LMA196607 LVW196607 MFS196607 MPO196607 MZK196607 NJG196607 NTC196607 OCY196607 OMU196607 OWQ196607 PGM196607 PQI196607 QAE196607 QKA196607 QTW196607 RDS196607 RNO196607 RXK196607 SHG196607 SRC196607 TAY196607 TKU196607 TUQ196607 UEM196607 UOI196607 UYE196607 VIA196607 VRW196607 WBS196607 WLO196607 WVK196607 C262143 IY262143 SU262143 ACQ262143 AMM262143 AWI262143 BGE262143 BQA262143 BZW262143 CJS262143 CTO262143 DDK262143 DNG262143 DXC262143 EGY262143 EQU262143 FAQ262143 FKM262143 FUI262143 GEE262143 GOA262143 GXW262143 HHS262143 HRO262143 IBK262143 ILG262143 IVC262143 JEY262143 JOU262143 JYQ262143 KIM262143 KSI262143 LCE262143 LMA262143 LVW262143 MFS262143 MPO262143 MZK262143 NJG262143 NTC262143 OCY262143 OMU262143 OWQ262143 PGM262143 PQI262143 QAE262143 QKA262143 QTW262143 RDS262143 RNO262143 RXK262143 SHG262143 SRC262143 TAY262143 TKU262143 TUQ262143 UEM262143 UOI262143 UYE262143 VIA262143 VRW262143 WBS262143 WLO262143 WVK262143 C327679 IY327679 SU327679 ACQ327679 AMM327679 AWI327679 BGE327679 BQA327679 BZW327679 CJS327679 CTO327679 DDK327679 DNG327679 DXC327679 EGY327679 EQU327679 FAQ327679 FKM327679 FUI327679 GEE327679 GOA327679 GXW327679 HHS327679 HRO327679 IBK327679 ILG327679 IVC327679 JEY327679 JOU327679 JYQ327679 KIM327679 KSI327679 LCE327679 LMA327679 LVW327679 MFS327679 MPO327679 MZK327679 NJG327679 NTC327679 OCY327679 OMU327679 OWQ327679 PGM327679 PQI327679 QAE327679 QKA327679 QTW327679 RDS327679 RNO327679 RXK327679 SHG327679 SRC327679 TAY327679 TKU327679 TUQ327679 UEM327679 UOI327679 UYE327679 VIA327679 VRW327679 WBS327679 WLO327679 WVK327679 C393215 IY393215 SU393215 ACQ393215 AMM393215 AWI393215 BGE393215 BQA393215 BZW393215 CJS393215 CTO393215 DDK393215 DNG393215 DXC393215 EGY393215 EQU393215 FAQ393215 FKM393215 FUI393215 GEE393215 GOA393215 GXW393215 HHS393215 HRO393215 IBK393215 ILG393215 IVC393215 JEY393215 JOU393215 JYQ393215 KIM393215 KSI393215 LCE393215 LMA393215 LVW393215 MFS393215 MPO393215 MZK393215 NJG393215 NTC393215 OCY393215 OMU393215 OWQ393215 PGM393215 PQI393215 QAE393215 QKA393215 QTW393215 RDS393215 RNO393215 RXK393215 SHG393215 SRC393215 TAY393215 TKU393215 TUQ393215 UEM393215 UOI393215 UYE393215 VIA393215 VRW393215 WBS393215 WLO393215 WVK393215 C458751 IY458751 SU458751 ACQ458751 AMM458751 AWI458751 BGE458751 BQA458751 BZW458751 CJS458751 CTO458751 DDK458751 DNG458751 DXC458751 EGY458751 EQU458751 FAQ458751 FKM458751 FUI458751 GEE458751 GOA458751 GXW458751 HHS458751 HRO458751 IBK458751 ILG458751 IVC458751 JEY458751 JOU458751 JYQ458751 KIM458751 KSI458751 LCE458751 LMA458751 LVW458751 MFS458751 MPO458751 MZK458751 NJG458751 NTC458751 OCY458751 OMU458751 OWQ458751 PGM458751 PQI458751 QAE458751 QKA458751 QTW458751 RDS458751 RNO458751 RXK458751 SHG458751 SRC458751 TAY458751 TKU458751 TUQ458751 UEM458751 UOI458751 UYE458751 VIA458751 VRW458751 WBS458751 WLO458751 WVK458751 C524287 IY524287 SU524287 ACQ524287 AMM524287 AWI524287 BGE524287 BQA524287 BZW524287 CJS524287 CTO524287 DDK524287 DNG524287 DXC524287 EGY524287 EQU524287 FAQ524287 FKM524287 FUI524287 GEE524287 GOA524287 GXW524287 HHS524287 HRO524287 IBK524287 ILG524287 IVC524287 JEY524287 JOU524287 JYQ524287 KIM524287 KSI524287 LCE524287 LMA524287 LVW524287 MFS524287 MPO524287 MZK524287 NJG524287 NTC524287 OCY524287 OMU524287 OWQ524287 PGM524287 PQI524287 QAE524287 QKA524287 QTW524287 RDS524287 RNO524287 RXK524287 SHG524287 SRC524287 TAY524287 TKU524287 TUQ524287 UEM524287 UOI524287 UYE524287 VIA524287 VRW524287 WBS524287 WLO524287 WVK524287 C589823 IY589823 SU589823 ACQ589823 AMM589823 AWI589823 BGE589823 BQA589823 BZW589823 CJS589823 CTO589823 DDK589823 DNG589823 DXC589823 EGY589823 EQU589823 FAQ589823 FKM589823 FUI589823 GEE589823 GOA589823 GXW589823 HHS589823 HRO589823 IBK589823 ILG589823 IVC589823 JEY589823 JOU589823 JYQ589823 KIM589823 KSI589823 LCE589823 LMA589823 LVW589823 MFS589823 MPO589823 MZK589823 NJG589823 NTC589823 OCY589823 OMU589823 OWQ589823 PGM589823 PQI589823 QAE589823 QKA589823 QTW589823 RDS589823 RNO589823 RXK589823 SHG589823 SRC589823 TAY589823 TKU589823 TUQ589823 UEM589823 UOI589823 UYE589823 VIA589823 VRW589823 WBS589823 WLO589823 WVK589823 C655359 IY655359 SU655359 ACQ655359 AMM655359 AWI655359 BGE655359 BQA655359 BZW655359 CJS655359 CTO655359 DDK655359 DNG655359 DXC655359 EGY655359 EQU655359 FAQ655359 FKM655359 FUI655359 GEE655359 GOA655359 GXW655359 HHS655359 HRO655359 IBK655359 ILG655359 IVC655359 JEY655359 JOU655359 JYQ655359 KIM655359 KSI655359 LCE655359 LMA655359 LVW655359 MFS655359 MPO655359 MZK655359 NJG655359 NTC655359 OCY655359 OMU655359 OWQ655359 PGM655359 PQI655359 QAE655359 QKA655359 QTW655359 RDS655359 RNO655359 RXK655359 SHG655359 SRC655359 TAY655359 TKU655359 TUQ655359 UEM655359 UOI655359 UYE655359 VIA655359 VRW655359 WBS655359 WLO655359 WVK655359 C720895 IY720895 SU720895 ACQ720895 AMM720895 AWI720895 BGE720895 BQA720895 BZW720895 CJS720895 CTO720895 DDK720895 DNG720895 DXC720895 EGY720895 EQU720895 FAQ720895 FKM720895 FUI720895 GEE720895 GOA720895 GXW720895 HHS720895 HRO720895 IBK720895 ILG720895 IVC720895 JEY720895 JOU720895 JYQ720895 KIM720895 KSI720895 LCE720895 LMA720895 LVW720895 MFS720895 MPO720895 MZK720895 NJG720895 NTC720895 OCY720895 OMU720895 OWQ720895 PGM720895 PQI720895 QAE720895 QKA720895 QTW720895 RDS720895 RNO720895 RXK720895 SHG720895 SRC720895 TAY720895 TKU720895 TUQ720895 UEM720895 UOI720895 UYE720895 VIA720895 VRW720895 WBS720895 WLO720895 WVK720895 C786431 IY786431 SU786431 ACQ786431 AMM786431 AWI786431 BGE786431 BQA786431 BZW786431 CJS786431 CTO786431 DDK786431 DNG786431 DXC786431 EGY786431 EQU786431 FAQ786431 FKM786431 FUI786431 GEE786431 GOA786431 GXW786431 HHS786431 HRO786431 IBK786431 ILG786431 IVC786431 JEY786431 JOU786431 JYQ786431 KIM786431 KSI786431 LCE786431 LMA786431 LVW786431 MFS786431 MPO786431 MZK786431 NJG786431 NTC786431 OCY786431 OMU786431 OWQ786431 PGM786431 PQI786431 QAE786431 QKA786431 QTW786431 RDS786431 RNO786431 RXK786431 SHG786431 SRC786431 TAY786431 TKU786431 TUQ786431 UEM786431 UOI786431 UYE786431 VIA786431 VRW786431 WBS786431 WLO786431 WVK786431 C851967 IY851967 SU851967 ACQ851967 AMM851967 AWI851967 BGE851967 BQA851967 BZW851967 CJS851967 CTO851967 DDK851967 DNG851967 DXC851967 EGY851967 EQU851967 FAQ851967 FKM851967 FUI851967 GEE851967 GOA851967 GXW851967 HHS851967 HRO851967 IBK851967 ILG851967 IVC851967 JEY851967 JOU851967 JYQ851967 KIM851967 KSI851967 LCE851967 LMA851967 LVW851967 MFS851967 MPO851967 MZK851967 NJG851967 NTC851967 OCY851967 OMU851967 OWQ851967 PGM851967 PQI851967 QAE851967 QKA851967 QTW851967 RDS851967 RNO851967 RXK851967 SHG851967 SRC851967 TAY851967 TKU851967 TUQ851967 UEM851967 UOI851967 UYE851967 VIA851967 VRW851967 WBS851967 WLO851967 WVK851967 C917503 IY917503 SU917503 ACQ917503 AMM917503 AWI917503 BGE917503 BQA917503 BZW917503 CJS917503 CTO917503 DDK917503 DNG917503 DXC917503 EGY917503 EQU917503 FAQ917503 FKM917503 FUI917503 GEE917503 GOA917503 GXW917503 HHS917503 HRO917503 IBK917503 ILG917503 IVC917503 JEY917503 JOU917503 JYQ917503 KIM917503 KSI917503 LCE917503 LMA917503 LVW917503 MFS917503 MPO917503 MZK917503 NJG917503 NTC917503 OCY917503 OMU917503 OWQ917503 PGM917503 PQI917503 QAE917503 QKA917503 QTW917503 RDS917503 RNO917503 RXK917503 SHG917503 SRC917503 TAY917503 TKU917503 TUQ917503 UEM917503 UOI917503 UYE917503 VIA917503 VRW917503 WBS917503 WLO917503 WVK917503 C983039 IY983039 SU983039 ACQ983039 AMM983039 AWI983039 BGE983039 BQA983039 BZW983039 CJS983039 CTO983039 DDK983039 DNG983039 DXC983039 EGY983039 EQU983039 FAQ983039 FKM983039 FUI983039 GEE983039 GOA983039 GXW983039 HHS983039 HRO983039 IBK983039 ILG983039 IVC983039 JEY983039 JOU983039 JYQ983039 KIM983039 KSI983039 LCE983039 LMA983039 LVW983039 MFS983039 MPO983039 MZK983039 NJG983039 NTC983039 OCY983039 OMU983039 OWQ983039 PGM983039 PQI983039 QAE983039 QKA983039 QTW983039 RDS983039 RNO983039 RXK983039 SHG983039 SRC983039 TAY983039 TKU983039 TUQ983039 UEM983039 UOI983039 UYE983039 VIA983039 VRW983039 WBS983039 WLO983039 WVK983039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IY22" xr:uid="{00000000-0002-0000-0500-00000A000000}">
      <formula1>"Regulatory proposal, Revised regulatory proposal, After appeal, Draft decision, Final decision, Pass through decision, Contingent projects"</formula1>
    </dataValidation>
    <dataValidation type="list" allowBlank="1" showInputMessage="1" showErrorMessage="1" sqref="WVK983040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xr:uid="{00000000-0002-0000-0500-00000B000000}">
      <formula1>"1999,2000,2001,2002,2003,2004,2005,2006,2007,2008,2009,2010,2011,2012,2013,2014,2015,2016,2017,2018,2019,2020,2021,2022,2023,2024"</formula1>
    </dataValidation>
    <dataValidation type="whole" operator="greaterThan" showInputMessage="1" showErrorMessage="1" sqref="G65510 JC65510 SY65510 ACU65510 AMQ65510 AWM65510 BGI65510 BQE65510 CAA65510 CJW65510 CTS65510 DDO65510 DNK65510 DXG65510 EHC65510 EQY65510 FAU65510 FKQ65510 FUM65510 GEI65510 GOE65510 GYA65510 HHW65510 HRS65510 IBO65510 ILK65510 IVG65510 JFC65510 JOY65510 JYU65510 KIQ65510 KSM65510 LCI65510 LME65510 LWA65510 MFW65510 MPS65510 MZO65510 NJK65510 NTG65510 ODC65510 OMY65510 OWU65510 PGQ65510 PQM65510 QAI65510 QKE65510 QUA65510 RDW65510 RNS65510 RXO65510 SHK65510 SRG65510 TBC65510 TKY65510 TUU65510 UEQ65510 UOM65510 UYI65510 VIE65510 VSA65510 WBW65510 WLS65510 WVO65510 G131046 JC131046 SY131046 ACU131046 AMQ131046 AWM131046 BGI131046 BQE131046 CAA131046 CJW131046 CTS131046 DDO131046 DNK131046 DXG131046 EHC131046 EQY131046 FAU131046 FKQ131046 FUM131046 GEI131046 GOE131046 GYA131046 HHW131046 HRS131046 IBO131046 ILK131046 IVG131046 JFC131046 JOY131046 JYU131046 KIQ131046 KSM131046 LCI131046 LME131046 LWA131046 MFW131046 MPS131046 MZO131046 NJK131046 NTG131046 ODC131046 OMY131046 OWU131046 PGQ131046 PQM131046 QAI131046 QKE131046 QUA131046 RDW131046 RNS131046 RXO131046 SHK131046 SRG131046 TBC131046 TKY131046 TUU131046 UEQ131046 UOM131046 UYI131046 VIE131046 VSA131046 WBW131046 WLS131046 WVO131046 G196582 JC196582 SY196582 ACU196582 AMQ196582 AWM196582 BGI196582 BQE196582 CAA196582 CJW196582 CTS196582 DDO196582 DNK196582 DXG196582 EHC196582 EQY196582 FAU196582 FKQ196582 FUM196582 GEI196582 GOE196582 GYA196582 HHW196582 HRS196582 IBO196582 ILK196582 IVG196582 JFC196582 JOY196582 JYU196582 KIQ196582 KSM196582 LCI196582 LME196582 LWA196582 MFW196582 MPS196582 MZO196582 NJK196582 NTG196582 ODC196582 OMY196582 OWU196582 PGQ196582 PQM196582 QAI196582 QKE196582 QUA196582 RDW196582 RNS196582 RXO196582 SHK196582 SRG196582 TBC196582 TKY196582 TUU196582 UEQ196582 UOM196582 UYI196582 VIE196582 VSA196582 WBW196582 WLS196582 WVO196582 G262118 JC262118 SY262118 ACU262118 AMQ262118 AWM262118 BGI262118 BQE262118 CAA262118 CJW262118 CTS262118 DDO262118 DNK262118 DXG262118 EHC262118 EQY262118 FAU262118 FKQ262118 FUM262118 GEI262118 GOE262118 GYA262118 HHW262118 HRS262118 IBO262118 ILK262118 IVG262118 JFC262118 JOY262118 JYU262118 KIQ262118 KSM262118 LCI262118 LME262118 LWA262118 MFW262118 MPS262118 MZO262118 NJK262118 NTG262118 ODC262118 OMY262118 OWU262118 PGQ262118 PQM262118 QAI262118 QKE262118 QUA262118 RDW262118 RNS262118 RXO262118 SHK262118 SRG262118 TBC262118 TKY262118 TUU262118 UEQ262118 UOM262118 UYI262118 VIE262118 VSA262118 WBW262118 WLS262118 WVO262118 G327654 JC327654 SY327654 ACU327654 AMQ327654 AWM327654 BGI327654 BQE327654 CAA327654 CJW327654 CTS327654 DDO327654 DNK327654 DXG327654 EHC327654 EQY327654 FAU327654 FKQ327654 FUM327654 GEI327654 GOE327654 GYA327654 HHW327654 HRS327654 IBO327654 ILK327654 IVG327654 JFC327654 JOY327654 JYU327654 KIQ327654 KSM327654 LCI327654 LME327654 LWA327654 MFW327654 MPS327654 MZO327654 NJK327654 NTG327654 ODC327654 OMY327654 OWU327654 PGQ327654 PQM327654 QAI327654 QKE327654 QUA327654 RDW327654 RNS327654 RXO327654 SHK327654 SRG327654 TBC327654 TKY327654 TUU327654 UEQ327654 UOM327654 UYI327654 VIE327654 VSA327654 WBW327654 WLS327654 WVO327654 G393190 JC393190 SY393190 ACU393190 AMQ393190 AWM393190 BGI393190 BQE393190 CAA393190 CJW393190 CTS393190 DDO393190 DNK393190 DXG393190 EHC393190 EQY393190 FAU393190 FKQ393190 FUM393190 GEI393190 GOE393190 GYA393190 HHW393190 HRS393190 IBO393190 ILK393190 IVG393190 JFC393190 JOY393190 JYU393190 KIQ393190 KSM393190 LCI393190 LME393190 LWA393190 MFW393190 MPS393190 MZO393190 NJK393190 NTG393190 ODC393190 OMY393190 OWU393190 PGQ393190 PQM393190 QAI393190 QKE393190 QUA393190 RDW393190 RNS393190 RXO393190 SHK393190 SRG393190 TBC393190 TKY393190 TUU393190 UEQ393190 UOM393190 UYI393190 VIE393190 VSA393190 WBW393190 WLS393190 WVO393190 G458726 JC458726 SY458726 ACU458726 AMQ458726 AWM458726 BGI458726 BQE458726 CAA458726 CJW458726 CTS458726 DDO458726 DNK458726 DXG458726 EHC458726 EQY458726 FAU458726 FKQ458726 FUM458726 GEI458726 GOE458726 GYA458726 HHW458726 HRS458726 IBO458726 ILK458726 IVG458726 JFC458726 JOY458726 JYU458726 KIQ458726 KSM458726 LCI458726 LME458726 LWA458726 MFW458726 MPS458726 MZO458726 NJK458726 NTG458726 ODC458726 OMY458726 OWU458726 PGQ458726 PQM458726 QAI458726 QKE458726 QUA458726 RDW458726 RNS458726 RXO458726 SHK458726 SRG458726 TBC458726 TKY458726 TUU458726 UEQ458726 UOM458726 UYI458726 VIE458726 VSA458726 WBW458726 WLS458726 WVO458726 G524262 JC524262 SY524262 ACU524262 AMQ524262 AWM524262 BGI524262 BQE524262 CAA524262 CJW524262 CTS524262 DDO524262 DNK524262 DXG524262 EHC524262 EQY524262 FAU524262 FKQ524262 FUM524262 GEI524262 GOE524262 GYA524262 HHW524262 HRS524262 IBO524262 ILK524262 IVG524262 JFC524262 JOY524262 JYU524262 KIQ524262 KSM524262 LCI524262 LME524262 LWA524262 MFW524262 MPS524262 MZO524262 NJK524262 NTG524262 ODC524262 OMY524262 OWU524262 PGQ524262 PQM524262 QAI524262 QKE524262 QUA524262 RDW524262 RNS524262 RXO524262 SHK524262 SRG524262 TBC524262 TKY524262 TUU524262 UEQ524262 UOM524262 UYI524262 VIE524262 VSA524262 WBW524262 WLS524262 WVO524262 G589798 JC589798 SY589798 ACU589798 AMQ589798 AWM589798 BGI589798 BQE589798 CAA589798 CJW589798 CTS589798 DDO589798 DNK589798 DXG589798 EHC589798 EQY589798 FAU589798 FKQ589798 FUM589798 GEI589798 GOE589798 GYA589798 HHW589798 HRS589798 IBO589798 ILK589798 IVG589798 JFC589798 JOY589798 JYU589798 KIQ589798 KSM589798 LCI589798 LME589798 LWA589798 MFW589798 MPS589798 MZO589798 NJK589798 NTG589798 ODC589798 OMY589798 OWU589798 PGQ589798 PQM589798 QAI589798 QKE589798 QUA589798 RDW589798 RNS589798 RXO589798 SHK589798 SRG589798 TBC589798 TKY589798 TUU589798 UEQ589798 UOM589798 UYI589798 VIE589798 VSA589798 WBW589798 WLS589798 WVO589798 G655334 JC655334 SY655334 ACU655334 AMQ655334 AWM655334 BGI655334 BQE655334 CAA655334 CJW655334 CTS655334 DDO655334 DNK655334 DXG655334 EHC655334 EQY655334 FAU655334 FKQ655334 FUM655334 GEI655334 GOE655334 GYA655334 HHW655334 HRS655334 IBO655334 ILK655334 IVG655334 JFC655334 JOY655334 JYU655334 KIQ655334 KSM655334 LCI655334 LME655334 LWA655334 MFW655334 MPS655334 MZO655334 NJK655334 NTG655334 ODC655334 OMY655334 OWU655334 PGQ655334 PQM655334 QAI655334 QKE655334 QUA655334 RDW655334 RNS655334 RXO655334 SHK655334 SRG655334 TBC655334 TKY655334 TUU655334 UEQ655334 UOM655334 UYI655334 VIE655334 VSA655334 WBW655334 WLS655334 WVO655334 G720870 JC720870 SY720870 ACU720870 AMQ720870 AWM720870 BGI720870 BQE720870 CAA720870 CJW720870 CTS720870 DDO720870 DNK720870 DXG720870 EHC720870 EQY720870 FAU720870 FKQ720870 FUM720870 GEI720870 GOE720870 GYA720870 HHW720870 HRS720870 IBO720870 ILK720870 IVG720870 JFC720870 JOY720870 JYU720870 KIQ720870 KSM720870 LCI720870 LME720870 LWA720870 MFW720870 MPS720870 MZO720870 NJK720870 NTG720870 ODC720870 OMY720870 OWU720870 PGQ720870 PQM720870 QAI720870 QKE720870 QUA720870 RDW720870 RNS720870 RXO720870 SHK720870 SRG720870 TBC720870 TKY720870 TUU720870 UEQ720870 UOM720870 UYI720870 VIE720870 VSA720870 WBW720870 WLS720870 WVO720870 G786406 JC786406 SY786406 ACU786406 AMQ786406 AWM786406 BGI786406 BQE786406 CAA786406 CJW786406 CTS786406 DDO786406 DNK786406 DXG786406 EHC786406 EQY786406 FAU786406 FKQ786406 FUM786406 GEI786406 GOE786406 GYA786406 HHW786406 HRS786406 IBO786406 ILK786406 IVG786406 JFC786406 JOY786406 JYU786406 KIQ786406 KSM786406 LCI786406 LME786406 LWA786406 MFW786406 MPS786406 MZO786406 NJK786406 NTG786406 ODC786406 OMY786406 OWU786406 PGQ786406 PQM786406 QAI786406 QKE786406 QUA786406 RDW786406 RNS786406 RXO786406 SHK786406 SRG786406 TBC786406 TKY786406 TUU786406 UEQ786406 UOM786406 UYI786406 VIE786406 VSA786406 WBW786406 WLS786406 WVO786406 G851942 JC851942 SY851942 ACU851942 AMQ851942 AWM851942 BGI851942 BQE851942 CAA851942 CJW851942 CTS851942 DDO851942 DNK851942 DXG851942 EHC851942 EQY851942 FAU851942 FKQ851942 FUM851942 GEI851942 GOE851942 GYA851942 HHW851942 HRS851942 IBO851942 ILK851942 IVG851942 JFC851942 JOY851942 JYU851942 KIQ851942 KSM851942 LCI851942 LME851942 LWA851942 MFW851942 MPS851942 MZO851942 NJK851942 NTG851942 ODC851942 OMY851942 OWU851942 PGQ851942 PQM851942 QAI851942 QKE851942 QUA851942 RDW851942 RNS851942 RXO851942 SHK851942 SRG851942 TBC851942 TKY851942 TUU851942 UEQ851942 UOM851942 UYI851942 VIE851942 VSA851942 WBW851942 WLS851942 WVO851942 G917478 JC917478 SY917478 ACU917478 AMQ917478 AWM917478 BGI917478 BQE917478 CAA917478 CJW917478 CTS917478 DDO917478 DNK917478 DXG917478 EHC917478 EQY917478 FAU917478 FKQ917478 FUM917478 GEI917478 GOE917478 GYA917478 HHW917478 HRS917478 IBO917478 ILK917478 IVG917478 JFC917478 JOY917478 JYU917478 KIQ917478 KSM917478 LCI917478 LME917478 LWA917478 MFW917478 MPS917478 MZO917478 NJK917478 NTG917478 ODC917478 OMY917478 OWU917478 PGQ917478 PQM917478 QAI917478 QKE917478 QUA917478 RDW917478 RNS917478 RXO917478 SHK917478 SRG917478 TBC917478 TKY917478 TUU917478 UEQ917478 UOM917478 UYI917478 VIE917478 VSA917478 WBW917478 WLS917478 WVO917478 G983014 JC983014 SY983014 ACU983014 AMQ983014 AWM983014 BGI983014 BQE983014 CAA983014 CJW983014 CTS983014 DDO983014 DNK983014 DXG983014 EHC983014 EQY983014 FAU983014 FKQ983014 FUM983014 GEI983014 GOE983014 GYA983014 HHW983014 HRS983014 IBO983014 ILK983014 IVG983014 JFC983014 JOY983014 JYU983014 KIQ983014 KSM983014 LCI983014 LME983014 LWA983014 MFW983014 MPS983014 MZO983014 NJK983014 NTG983014 ODC983014 OMY983014 OWU983014 PGQ983014 PQM983014 QAI983014 QKE983014 QUA983014 RDW983014 RNS983014 RXO983014 SHK983014 SRG983014 TBC983014 TKY983014 TUU983014 UEQ983014 UOM983014 UYI983014 VIE983014 VSA983014 WBW983014 WLS983014 WVO983014 G65515 JC65515 SY65515 ACU65515 AMQ65515 AWM65515 BGI65515 BQE65515 CAA65515 CJW65515 CTS65515 DDO65515 DNK65515 DXG65515 EHC65515 EQY65515 FAU65515 FKQ65515 FUM65515 GEI65515 GOE65515 GYA65515 HHW65515 HRS65515 IBO65515 ILK65515 IVG65515 JFC65515 JOY65515 JYU65515 KIQ65515 KSM65515 LCI65515 LME65515 LWA65515 MFW65515 MPS65515 MZO65515 NJK65515 NTG65515 ODC65515 OMY65515 OWU65515 PGQ65515 PQM65515 QAI65515 QKE65515 QUA65515 RDW65515 RNS65515 RXO65515 SHK65515 SRG65515 TBC65515 TKY65515 TUU65515 UEQ65515 UOM65515 UYI65515 VIE65515 VSA65515 WBW65515 WLS65515 WVO65515 G131051 JC131051 SY131051 ACU131051 AMQ131051 AWM131051 BGI131051 BQE131051 CAA131051 CJW131051 CTS131051 DDO131051 DNK131051 DXG131051 EHC131051 EQY131051 FAU131051 FKQ131051 FUM131051 GEI131051 GOE131051 GYA131051 HHW131051 HRS131051 IBO131051 ILK131051 IVG131051 JFC131051 JOY131051 JYU131051 KIQ131051 KSM131051 LCI131051 LME131051 LWA131051 MFW131051 MPS131051 MZO131051 NJK131051 NTG131051 ODC131051 OMY131051 OWU131051 PGQ131051 PQM131051 QAI131051 QKE131051 QUA131051 RDW131051 RNS131051 RXO131051 SHK131051 SRG131051 TBC131051 TKY131051 TUU131051 UEQ131051 UOM131051 UYI131051 VIE131051 VSA131051 WBW131051 WLS131051 WVO131051 G196587 JC196587 SY196587 ACU196587 AMQ196587 AWM196587 BGI196587 BQE196587 CAA196587 CJW196587 CTS196587 DDO196587 DNK196587 DXG196587 EHC196587 EQY196587 FAU196587 FKQ196587 FUM196587 GEI196587 GOE196587 GYA196587 HHW196587 HRS196587 IBO196587 ILK196587 IVG196587 JFC196587 JOY196587 JYU196587 KIQ196587 KSM196587 LCI196587 LME196587 LWA196587 MFW196587 MPS196587 MZO196587 NJK196587 NTG196587 ODC196587 OMY196587 OWU196587 PGQ196587 PQM196587 QAI196587 QKE196587 QUA196587 RDW196587 RNS196587 RXO196587 SHK196587 SRG196587 TBC196587 TKY196587 TUU196587 UEQ196587 UOM196587 UYI196587 VIE196587 VSA196587 WBW196587 WLS196587 WVO196587 G262123 JC262123 SY262123 ACU262123 AMQ262123 AWM262123 BGI262123 BQE262123 CAA262123 CJW262123 CTS262123 DDO262123 DNK262123 DXG262123 EHC262123 EQY262123 FAU262123 FKQ262123 FUM262123 GEI262123 GOE262123 GYA262123 HHW262123 HRS262123 IBO262123 ILK262123 IVG262123 JFC262123 JOY262123 JYU262123 KIQ262123 KSM262123 LCI262123 LME262123 LWA262123 MFW262123 MPS262123 MZO262123 NJK262123 NTG262123 ODC262123 OMY262123 OWU262123 PGQ262123 PQM262123 QAI262123 QKE262123 QUA262123 RDW262123 RNS262123 RXO262123 SHK262123 SRG262123 TBC262123 TKY262123 TUU262123 UEQ262123 UOM262123 UYI262123 VIE262123 VSA262123 WBW262123 WLS262123 WVO262123 G327659 JC327659 SY327659 ACU327659 AMQ327659 AWM327659 BGI327659 BQE327659 CAA327659 CJW327659 CTS327659 DDO327659 DNK327659 DXG327659 EHC327659 EQY327659 FAU327659 FKQ327659 FUM327659 GEI327659 GOE327659 GYA327659 HHW327659 HRS327659 IBO327659 ILK327659 IVG327659 JFC327659 JOY327659 JYU327659 KIQ327659 KSM327659 LCI327659 LME327659 LWA327659 MFW327659 MPS327659 MZO327659 NJK327659 NTG327659 ODC327659 OMY327659 OWU327659 PGQ327659 PQM327659 QAI327659 QKE327659 QUA327659 RDW327659 RNS327659 RXO327659 SHK327659 SRG327659 TBC327659 TKY327659 TUU327659 UEQ327659 UOM327659 UYI327659 VIE327659 VSA327659 WBW327659 WLS327659 WVO327659 G393195 JC393195 SY393195 ACU393195 AMQ393195 AWM393195 BGI393195 BQE393195 CAA393195 CJW393195 CTS393195 DDO393195 DNK393195 DXG393195 EHC393195 EQY393195 FAU393195 FKQ393195 FUM393195 GEI393195 GOE393195 GYA393195 HHW393195 HRS393195 IBO393195 ILK393195 IVG393195 JFC393195 JOY393195 JYU393195 KIQ393195 KSM393195 LCI393195 LME393195 LWA393195 MFW393195 MPS393195 MZO393195 NJK393195 NTG393195 ODC393195 OMY393195 OWU393195 PGQ393195 PQM393195 QAI393195 QKE393195 QUA393195 RDW393195 RNS393195 RXO393195 SHK393195 SRG393195 TBC393195 TKY393195 TUU393195 UEQ393195 UOM393195 UYI393195 VIE393195 VSA393195 WBW393195 WLS393195 WVO393195 G458731 JC458731 SY458731 ACU458731 AMQ458731 AWM458731 BGI458731 BQE458731 CAA458731 CJW458731 CTS458731 DDO458731 DNK458731 DXG458731 EHC458731 EQY458731 FAU458731 FKQ458731 FUM458731 GEI458731 GOE458731 GYA458731 HHW458731 HRS458731 IBO458731 ILK458731 IVG458731 JFC458731 JOY458731 JYU458731 KIQ458731 KSM458731 LCI458731 LME458731 LWA458731 MFW458731 MPS458731 MZO458731 NJK458731 NTG458731 ODC458731 OMY458731 OWU458731 PGQ458731 PQM458731 QAI458731 QKE458731 QUA458731 RDW458731 RNS458731 RXO458731 SHK458731 SRG458731 TBC458731 TKY458731 TUU458731 UEQ458731 UOM458731 UYI458731 VIE458731 VSA458731 WBW458731 WLS458731 WVO458731 G524267 JC524267 SY524267 ACU524267 AMQ524267 AWM524267 BGI524267 BQE524267 CAA524267 CJW524267 CTS524267 DDO524267 DNK524267 DXG524267 EHC524267 EQY524267 FAU524267 FKQ524267 FUM524267 GEI524267 GOE524267 GYA524267 HHW524267 HRS524267 IBO524267 ILK524267 IVG524267 JFC524267 JOY524267 JYU524267 KIQ524267 KSM524267 LCI524267 LME524267 LWA524267 MFW524267 MPS524267 MZO524267 NJK524267 NTG524267 ODC524267 OMY524267 OWU524267 PGQ524267 PQM524267 QAI524267 QKE524267 QUA524267 RDW524267 RNS524267 RXO524267 SHK524267 SRG524267 TBC524267 TKY524267 TUU524267 UEQ524267 UOM524267 UYI524267 VIE524267 VSA524267 WBW524267 WLS524267 WVO524267 G589803 JC589803 SY589803 ACU589803 AMQ589803 AWM589803 BGI589803 BQE589803 CAA589803 CJW589803 CTS589803 DDO589803 DNK589803 DXG589803 EHC589803 EQY589803 FAU589803 FKQ589803 FUM589803 GEI589803 GOE589803 GYA589803 HHW589803 HRS589803 IBO589803 ILK589803 IVG589803 JFC589803 JOY589803 JYU589803 KIQ589803 KSM589803 LCI589803 LME589803 LWA589803 MFW589803 MPS589803 MZO589803 NJK589803 NTG589803 ODC589803 OMY589803 OWU589803 PGQ589803 PQM589803 QAI589803 QKE589803 QUA589803 RDW589803 RNS589803 RXO589803 SHK589803 SRG589803 TBC589803 TKY589803 TUU589803 UEQ589803 UOM589803 UYI589803 VIE589803 VSA589803 WBW589803 WLS589803 WVO589803 G655339 JC655339 SY655339 ACU655339 AMQ655339 AWM655339 BGI655339 BQE655339 CAA655339 CJW655339 CTS655339 DDO655339 DNK655339 DXG655339 EHC655339 EQY655339 FAU655339 FKQ655339 FUM655339 GEI655339 GOE655339 GYA655339 HHW655339 HRS655339 IBO655339 ILK655339 IVG655339 JFC655339 JOY655339 JYU655339 KIQ655339 KSM655339 LCI655339 LME655339 LWA655339 MFW655339 MPS655339 MZO655339 NJK655339 NTG655339 ODC655339 OMY655339 OWU655339 PGQ655339 PQM655339 QAI655339 QKE655339 QUA655339 RDW655339 RNS655339 RXO655339 SHK655339 SRG655339 TBC655339 TKY655339 TUU655339 UEQ655339 UOM655339 UYI655339 VIE655339 VSA655339 WBW655339 WLS655339 WVO655339 G720875 JC720875 SY720875 ACU720875 AMQ720875 AWM720875 BGI720875 BQE720875 CAA720875 CJW720875 CTS720875 DDO720875 DNK720875 DXG720875 EHC720875 EQY720875 FAU720875 FKQ720875 FUM720875 GEI720875 GOE720875 GYA720875 HHW720875 HRS720875 IBO720875 ILK720875 IVG720875 JFC720875 JOY720875 JYU720875 KIQ720875 KSM720875 LCI720875 LME720875 LWA720875 MFW720875 MPS720875 MZO720875 NJK720875 NTG720875 ODC720875 OMY720875 OWU720875 PGQ720875 PQM720875 QAI720875 QKE720875 QUA720875 RDW720875 RNS720875 RXO720875 SHK720875 SRG720875 TBC720875 TKY720875 TUU720875 UEQ720875 UOM720875 UYI720875 VIE720875 VSA720875 WBW720875 WLS720875 WVO720875 G786411 JC786411 SY786411 ACU786411 AMQ786411 AWM786411 BGI786411 BQE786411 CAA786411 CJW786411 CTS786411 DDO786411 DNK786411 DXG786411 EHC786411 EQY786411 FAU786411 FKQ786411 FUM786411 GEI786411 GOE786411 GYA786411 HHW786411 HRS786411 IBO786411 ILK786411 IVG786411 JFC786411 JOY786411 JYU786411 KIQ786411 KSM786411 LCI786411 LME786411 LWA786411 MFW786411 MPS786411 MZO786411 NJK786411 NTG786411 ODC786411 OMY786411 OWU786411 PGQ786411 PQM786411 QAI786411 QKE786411 QUA786411 RDW786411 RNS786411 RXO786411 SHK786411 SRG786411 TBC786411 TKY786411 TUU786411 UEQ786411 UOM786411 UYI786411 VIE786411 VSA786411 WBW786411 WLS786411 WVO786411 G851947 JC851947 SY851947 ACU851947 AMQ851947 AWM851947 BGI851947 BQE851947 CAA851947 CJW851947 CTS851947 DDO851947 DNK851947 DXG851947 EHC851947 EQY851947 FAU851947 FKQ851947 FUM851947 GEI851947 GOE851947 GYA851947 HHW851947 HRS851947 IBO851947 ILK851947 IVG851947 JFC851947 JOY851947 JYU851947 KIQ851947 KSM851947 LCI851947 LME851947 LWA851947 MFW851947 MPS851947 MZO851947 NJK851947 NTG851947 ODC851947 OMY851947 OWU851947 PGQ851947 PQM851947 QAI851947 QKE851947 QUA851947 RDW851947 RNS851947 RXO851947 SHK851947 SRG851947 TBC851947 TKY851947 TUU851947 UEQ851947 UOM851947 UYI851947 VIE851947 VSA851947 WBW851947 WLS851947 WVO851947 G917483 JC917483 SY917483 ACU917483 AMQ917483 AWM917483 BGI917483 BQE917483 CAA917483 CJW917483 CTS917483 DDO917483 DNK917483 DXG917483 EHC917483 EQY917483 FAU917483 FKQ917483 FUM917483 GEI917483 GOE917483 GYA917483 HHW917483 HRS917483 IBO917483 ILK917483 IVG917483 JFC917483 JOY917483 JYU917483 KIQ917483 KSM917483 LCI917483 LME917483 LWA917483 MFW917483 MPS917483 MZO917483 NJK917483 NTG917483 ODC917483 OMY917483 OWU917483 PGQ917483 PQM917483 QAI917483 QKE917483 QUA917483 RDW917483 RNS917483 RXO917483 SHK917483 SRG917483 TBC917483 TKY917483 TUU917483 UEQ917483 UOM917483 UYI917483 VIE917483 VSA917483 WBW917483 WLS917483 WVO917483 G983019 JC983019 SY983019 ACU983019 AMQ983019 AWM983019 BGI983019 BQE983019 CAA983019 CJW983019 CTS983019 DDO983019 DNK983019 DXG983019 EHC983019 EQY983019 FAU983019 FKQ983019 FUM983019 GEI983019 GOE983019 GYA983019 HHW983019 HRS983019 IBO983019 ILK983019 IVG983019 JFC983019 JOY983019 JYU983019 KIQ983019 KSM983019 LCI983019 LME983019 LWA983019 MFW983019 MPS983019 MZO983019 NJK983019 NTG983019 ODC983019 OMY983019 OWU983019 PGQ983019 PQM983019 QAI983019 QKE983019 QUA983019 RDW983019 RNS983019 RXO983019 SHK983019 SRG983019 TBC983019 TKY983019 TUU983019 UEQ983019 UOM983019 UYI983019 VIE983019 VSA983019 WBW983019 WLS983019 WVO983019" xr:uid="{00000000-0002-0000-0500-00000C000000}">
      <formula1>1</formula1>
    </dataValidation>
    <dataValidation type="textLength" operator="greaterThan" showInputMessage="1" showErrorMessage="1" sqref="WVM983016:WVP983016 E65509:H65509 JA65509:JD65509 SW65509:SZ65509 ACS65509:ACV65509 AMO65509:AMR65509 AWK65509:AWN65509 BGG65509:BGJ65509 BQC65509:BQF65509 BZY65509:CAB65509 CJU65509:CJX65509 CTQ65509:CTT65509 DDM65509:DDP65509 DNI65509:DNL65509 DXE65509:DXH65509 EHA65509:EHD65509 EQW65509:EQZ65509 FAS65509:FAV65509 FKO65509:FKR65509 FUK65509:FUN65509 GEG65509:GEJ65509 GOC65509:GOF65509 GXY65509:GYB65509 HHU65509:HHX65509 HRQ65509:HRT65509 IBM65509:IBP65509 ILI65509:ILL65509 IVE65509:IVH65509 JFA65509:JFD65509 JOW65509:JOZ65509 JYS65509:JYV65509 KIO65509:KIR65509 KSK65509:KSN65509 LCG65509:LCJ65509 LMC65509:LMF65509 LVY65509:LWB65509 MFU65509:MFX65509 MPQ65509:MPT65509 MZM65509:MZP65509 NJI65509:NJL65509 NTE65509:NTH65509 ODA65509:ODD65509 OMW65509:OMZ65509 OWS65509:OWV65509 PGO65509:PGR65509 PQK65509:PQN65509 QAG65509:QAJ65509 QKC65509:QKF65509 QTY65509:QUB65509 RDU65509:RDX65509 RNQ65509:RNT65509 RXM65509:RXP65509 SHI65509:SHL65509 SRE65509:SRH65509 TBA65509:TBD65509 TKW65509:TKZ65509 TUS65509:TUV65509 UEO65509:UER65509 UOK65509:UON65509 UYG65509:UYJ65509 VIC65509:VIF65509 VRY65509:VSB65509 WBU65509:WBX65509 WLQ65509:WLT65509 WVM65509:WVP65509 E131045:H131045 JA131045:JD131045 SW131045:SZ131045 ACS131045:ACV131045 AMO131045:AMR131045 AWK131045:AWN131045 BGG131045:BGJ131045 BQC131045:BQF131045 BZY131045:CAB131045 CJU131045:CJX131045 CTQ131045:CTT131045 DDM131045:DDP131045 DNI131045:DNL131045 DXE131045:DXH131045 EHA131045:EHD131045 EQW131045:EQZ131045 FAS131045:FAV131045 FKO131045:FKR131045 FUK131045:FUN131045 GEG131045:GEJ131045 GOC131045:GOF131045 GXY131045:GYB131045 HHU131045:HHX131045 HRQ131045:HRT131045 IBM131045:IBP131045 ILI131045:ILL131045 IVE131045:IVH131045 JFA131045:JFD131045 JOW131045:JOZ131045 JYS131045:JYV131045 KIO131045:KIR131045 KSK131045:KSN131045 LCG131045:LCJ131045 LMC131045:LMF131045 LVY131045:LWB131045 MFU131045:MFX131045 MPQ131045:MPT131045 MZM131045:MZP131045 NJI131045:NJL131045 NTE131045:NTH131045 ODA131045:ODD131045 OMW131045:OMZ131045 OWS131045:OWV131045 PGO131045:PGR131045 PQK131045:PQN131045 QAG131045:QAJ131045 QKC131045:QKF131045 QTY131045:QUB131045 RDU131045:RDX131045 RNQ131045:RNT131045 RXM131045:RXP131045 SHI131045:SHL131045 SRE131045:SRH131045 TBA131045:TBD131045 TKW131045:TKZ131045 TUS131045:TUV131045 UEO131045:UER131045 UOK131045:UON131045 UYG131045:UYJ131045 VIC131045:VIF131045 VRY131045:VSB131045 WBU131045:WBX131045 WLQ131045:WLT131045 WVM131045:WVP131045 E196581:H196581 JA196581:JD196581 SW196581:SZ196581 ACS196581:ACV196581 AMO196581:AMR196581 AWK196581:AWN196581 BGG196581:BGJ196581 BQC196581:BQF196581 BZY196581:CAB196581 CJU196581:CJX196581 CTQ196581:CTT196581 DDM196581:DDP196581 DNI196581:DNL196581 DXE196581:DXH196581 EHA196581:EHD196581 EQW196581:EQZ196581 FAS196581:FAV196581 FKO196581:FKR196581 FUK196581:FUN196581 GEG196581:GEJ196581 GOC196581:GOF196581 GXY196581:GYB196581 HHU196581:HHX196581 HRQ196581:HRT196581 IBM196581:IBP196581 ILI196581:ILL196581 IVE196581:IVH196581 JFA196581:JFD196581 JOW196581:JOZ196581 JYS196581:JYV196581 KIO196581:KIR196581 KSK196581:KSN196581 LCG196581:LCJ196581 LMC196581:LMF196581 LVY196581:LWB196581 MFU196581:MFX196581 MPQ196581:MPT196581 MZM196581:MZP196581 NJI196581:NJL196581 NTE196581:NTH196581 ODA196581:ODD196581 OMW196581:OMZ196581 OWS196581:OWV196581 PGO196581:PGR196581 PQK196581:PQN196581 QAG196581:QAJ196581 QKC196581:QKF196581 QTY196581:QUB196581 RDU196581:RDX196581 RNQ196581:RNT196581 RXM196581:RXP196581 SHI196581:SHL196581 SRE196581:SRH196581 TBA196581:TBD196581 TKW196581:TKZ196581 TUS196581:TUV196581 UEO196581:UER196581 UOK196581:UON196581 UYG196581:UYJ196581 VIC196581:VIF196581 VRY196581:VSB196581 WBU196581:WBX196581 WLQ196581:WLT196581 WVM196581:WVP196581 E262117:H262117 JA262117:JD262117 SW262117:SZ262117 ACS262117:ACV262117 AMO262117:AMR262117 AWK262117:AWN262117 BGG262117:BGJ262117 BQC262117:BQF262117 BZY262117:CAB262117 CJU262117:CJX262117 CTQ262117:CTT262117 DDM262117:DDP262117 DNI262117:DNL262117 DXE262117:DXH262117 EHA262117:EHD262117 EQW262117:EQZ262117 FAS262117:FAV262117 FKO262117:FKR262117 FUK262117:FUN262117 GEG262117:GEJ262117 GOC262117:GOF262117 GXY262117:GYB262117 HHU262117:HHX262117 HRQ262117:HRT262117 IBM262117:IBP262117 ILI262117:ILL262117 IVE262117:IVH262117 JFA262117:JFD262117 JOW262117:JOZ262117 JYS262117:JYV262117 KIO262117:KIR262117 KSK262117:KSN262117 LCG262117:LCJ262117 LMC262117:LMF262117 LVY262117:LWB262117 MFU262117:MFX262117 MPQ262117:MPT262117 MZM262117:MZP262117 NJI262117:NJL262117 NTE262117:NTH262117 ODA262117:ODD262117 OMW262117:OMZ262117 OWS262117:OWV262117 PGO262117:PGR262117 PQK262117:PQN262117 QAG262117:QAJ262117 QKC262117:QKF262117 QTY262117:QUB262117 RDU262117:RDX262117 RNQ262117:RNT262117 RXM262117:RXP262117 SHI262117:SHL262117 SRE262117:SRH262117 TBA262117:TBD262117 TKW262117:TKZ262117 TUS262117:TUV262117 UEO262117:UER262117 UOK262117:UON262117 UYG262117:UYJ262117 VIC262117:VIF262117 VRY262117:VSB262117 WBU262117:WBX262117 WLQ262117:WLT262117 WVM262117:WVP262117 E327653:H327653 JA327653:JD327653 SW327653:SZ327653 ACS327653:ACV327653 AMO327653:AMR327653 AWK327653:AWN327653 BGG327653:BGJ327653 BQC327653:BQF327653 BZY327653:CAB327653 CJU327653:CJX327653 CTQ327653:CTT327653 DDM327653:DDP327653 DNI327653:DNL327653 DXE327653:DXH327653 EHA327653:EHD327653 EQW327653:EQZ327653 FAS327653:FAV327653 FKO327653:FKR327653 FUK327653:FUN327653 GEG327653:GEJ327653 GOC327653:GOF327653 GXY327653:GYB327653 HHU327653:HHX327653 HRQ327653:HRT327653 IBM327653:IBP327653 ILI327653:ILL327653 IVE327653:IVH327653 JFA327653:JFD327653 JOW327653:JOZ327653 JYS327653:JYV327653 KIO327653:KIR327653 KSK327653:KSN327653 LCG327653:LCJ327653 LMC327653:LMF327653 LVY327653:LWB327653 MFU327653:MFX327653 MPQ327653:MPT327653 MZM327653:MZP327653 NJI327653:NJL327653 NTE327653:NTH327653 ODA327653:ODD327653 OMW327653:OMZ327653 OWS327653:OWV327653 PGO327653:PGR327653 PQK327653:PQN327653 QAG327653:QAJ327653 QKC327653:QKF327653 QTY327653:QUB327653 RDU327653:RDX327653 RNQ327653:RNT327653 RXM327653:RXP327653 SHI327653:SHL327653 SRE327653:SRH327653 TBA327653:TBD327653 TKW327653:TKZ327653 TUS327653:TUV327653 UEO327653:UER327653 UOK327653:UON327653 UYG327653:UYJ327653 VIC327653:VIF327653 VRY327653:VSB327653 WBU327653:WBX327653 WLQ327653:WLT327653 WVM327653:WVP327653 E393189:H393189 JA393189:JD393189 SW393189:SZ393189 ACS393189:ACV393189 AMO393189:AMR393189 AWK393189:AWN393189 BGG393189:BGJ393189 BQC393189:BQF393189 BZY393189:CAB393189 CJU393189:CJX393189 CTQ393189:CTT393189 DDM393189:DDP393189 DNI393189:DNL393189 DXE393189:DXH393189 EHA393189:EHD393189 EQW393189:EQZ393189 FAS393189:FAV393189 FKO393189:FKR393189 FUK393189:FUN393189 GEG393189:GEJ393189 GOC393189:GOF393189 GXY393189:GYB393189 HHU393189:HHX393189 HRQ393189:HRT393189 IBM393189:IBP393189 ILI393189:ILL393189 IVE393189:IVH393189 JFA393189:JFD393189 JOW393189:JOZ393189 JYS393189:JYV393189 KIO393189:KIR393189 KSK393189:KSN393189 LCG393189:LCJ393189 LMC393189:LMF393189 LVY393189:LWB393189 MFU393189:MFX393189 MPQ393189:MPT393189 MZM393189:MZP393189 NJI393189:NJL393189 NTE393189:NTH393189 ODA393189:ODD393189 OMW393189:OMZ393189 OWS393189:OWV393189 PGO393189:PGR393189 PQK393189:PQN393189 QAG393189:QAJ393189 QKC393189:QKF393189 QTY393189:QUB393189 RDU393189:RDX393189 RNQ393189:RNT393189 RXM393189:RXP393189 SHI393189:SHL393189 SRE393189:SRH393189 TBA393189:TBD393189 TKW393189:TKZ393189 TUS393189:TUV393189 UEO393189:UER393189 UOK393189:UON393189 UYG393189:UYJ393189 VIC393189:VIF393189 VRY393189:VSB393189 WBU393189:WBX393189 WLQ393189:WLT393189 WVM393189:WVP393189 E458725:H458725 JA458725:JD458725 SW458725:SZ458725 ACS458725:ACV458725 AMO458725:AMR458725 AWK458725:AWN458725 BGG458725:BGJ458725 BQC458725:BQF458725 BZY458725:CAB458725 CJU458725:CJX458725 CTQ458725:CTT458725 DDM458725:DDP458725 DNI458725:DNL458725 DXE458725:DXH458725 EHA458725:EHD458725 EQW458725:EQZ458725 FAS458725:FAV458725 FKO458725:FKR458725 FUK458725:FUN458725 GEG458725:GEJ458725 GOC458725:GOF458725 GXY458725:GYB458725 HHU458725:HHX458725 HRQ458725:HRT458725 IBM458725:IBP458725 ILI458725:ILL458725 IVE458725:IVH458725 JFA458725:JFD458725 JOW458725:JOZ458725 JYS458725:JYV458725 KIO458725:KIR458725 KSK458725:KSN458725 LCG458725:LCJ458725 LMC458725:LMF458725 LVY458725:LWB458725 MFU458725:MFX458725 MPQ458725:MPT458725 MZM458725:MZP458725 NJI458725:NJL458725 NTE458725:NTH458725 ODA458725:ODD458725 OMW458725:OMZ458725 OWS458725:OWV458725 PGO458725:PGR458725 PQK458725:PQN458725 QAG458725:QAJ458725 QKC458725:QKF458725 QTY458725:QUB458725 RDU458725:RDX458725 RNQ458725:RNT458725 RXM458725:RXP458725 SHI458725:SHL458725 SRE458725:SRH458725 TBA458725:TBD458725 TKW458725:TKZ458725 TUS458725:TUV458725 UEO458725:UER458725 UOK458725:UON458725 UYG458725:UYJ458725 VIC458725:VIF458725 VRY458725:VSB458725 WBU458725:WBX458725 WLQ458725:WLT458725 WVM458725:WVP458725 E524261:H524261 JA524261:JD524261 SW524261:SZ524261 ACS524261:ACV524261 AMO524261:AMR524261 AWK524261:AWN524261 BGG524261:BGJ524261 BQC524261:BQF524261 BZY524261:CAB524261 CJU524261:CJX524261 CTQ524261:CTT524261 DDM524261:DDP524261 DNI524261:DNL524261 DXE524261:DXH524261 EHA524261:EHD524261 EQW524261:EQZ524261 FAS524261:FAV524261 FKO524261:FKR524261 FUK524261:FUN524261 GEG524261:GEJ524261 GOC524261:GOF524261 GXY524261:GYB524261 HHU524261:HHX524261 HRQ524261:HRT524261 IBM524261:IBP524261 ILI524261:ILL524261 IVE524261:IVH524261 JFA524261:JFD524261 JOW524261:JOZ524261 JYS524261:JYV524261 KIO524261:KIR524261 KSK524261:KSN524261 LCG524261:LCJ524261 LMC524261:LMF524261 LVY524261:LWB524261 MFU524261:MFX524261 MPQ524261:MPT524261 MZM524261:MZP524261 NJI524261:NJL524261 NTE524261:NTH524261 ODA524261:ODD524261 OMW524261:OMZ524261 OWS524261:OWV524261 PGO524261:PGR524261 PQK524261:PQN524261 QAG524261:QAJ524261 QKC524261:QKF524261 QTY524261:QUB524261 RDU524261:RDX524261 RNQ524261:RNT524261 RXM524261:RXP524261 SHI524261:SHL524261 SRE524261:SRH524261 TBA524261:TBD524261 TKW524261:TKZ524261 TUS524261:TUV524261 UEO524261:UER524261 UOK524261:UON524261 UYG524261:UYJ524261 VIC524261:VIF524261 VRY524261:VSB524261 WBU524261:WBX524261 WLQ524261:WLT524261 WVM524261:WVP524261 E589797:H589797 JA589797:JD589797 SW589797:SZ589797 ACS589797:ACV589797 AMO589797:AMR589797 AWK589797:AWN589797 BGG589797:BGJ589797 BQC589797:BQF589797 BZY589797:CAB589797 CJU589797:CJX589797 CTQ589797:CTT589797 DDM589797:DDP589797 DNI589797:DNL589797 DXE589797:DXH589797 EHA589797:EHD589797 EQW589797:EQZ589797 FAS589797:FAV589797 FKO589797:FKR589797 FUK589797:FUN589797 GEG589797:GEJ589797 GOC589797:GOF589797 GXY589797:GYB589797 HHU589797:HHX589797 HRQ589797:HRT589797 IBM589797:IBP589797 ILI589797:ILL589797 IVE589797:IVH589797 JFA589797:JFD589797 JOW589797:JOZ589797 JYS589797:JYV589797 KIO589797:KIR589797 KSK589797:KSN589797 LCG589797:LCJ589797 LMC589797:LMF589797 LVY589797:LWB589797 MFU589797:MFX589797 MPQ589797:MPT589797 MZM589797:MZP589797 NJI589797:NJL589797 NTE589797:NTH589797 ODA589797:ODD589797 OMW589797:OMZ589797 OWS589797:OWV589797 PGO589797:PGR589797 PQK589797:PQN589797 QAG589797:QAJ589797 QKC589797:QKF589797 QTY589797:QUB589797 RDU589797:RDX589797 RNQ589797:RNT589797 RXM589797:RXP589797 SHI589797:SHL589797 SRE589797:SRH589797 TBA589797:TBD589797 TKW589797:TKZ589797 TUS589797:TUV589797 UEO589797:UER589797 UOK589797:UON589797 UYG589797:UYJ589797 VIC589797:VIF589797 VRY589797:VSB589797 WBU589797:WBX589797 WLQ589797:WLT589797 WVM589797:WVP589797 E655333:H655333 JA655333:JD655333 SW655333:SZ655333 ACS655333:ACV655333 AMO655333:AMR655333 AWK655333:AWN655333 BGG655333:BGJ655333 BQC655333:BQF655333 BZY655333:CAB655333 CJU655333:CJX655333 CTQ655333:CTT655333 DDM655333:DDP655333 DNI655333:DNL655333 DXE655333:DXH655333 EHA655333:EHD655333 EQW655333:EQZ655333 FAS655333:FAV655333 FKO655333:FKR655333 FUK655333:FUN655333 GEG655333:GEJ655333 GOC655333:GOF655333 GXY655333:GYB655333 HHU655333:HHX655333 HRQ655333:HRT655333 IBM655333:IBP655333 ILI655333:ILL655333 IVE655333:IVH655333 JFA655333:JFD655333 JOW655333:JOZ655333 JYS655333:JYV655333 KIO655333:KIR655333 KSK655333:KSN655333 LCG655333:LCJ655333 LMC655333:LMF655333 LVY655333:LWB655333 MFU655333:MFX655333 MPQ655333:MPT655333 MZM655333:MZP655333 NJI655333:NJL655333 NTE655333:NTH655333 ODA655333:ODD655333 OMW655333:OMZ655333 OWS655333:OWV655333 PGO655333:PGR655333 PQK655333:PQN655333 QAG655333:QAJ655333 QKC655333:QKF655333 QTY655333:QUB655333 RDU655333:RDX655333 RNQ655333:RNT655333 RXM655333:RXP655333 SHI655333:SHL655333 SRE655333:SRH655333 TBA655333:TBD655333 TKW655333:TKZ655333 TUS655333:TUV655333 UEO655333:UER655333 UOK655333:UON655333 UYG655333:UYJ655333 VIC655333:VIF655333 VRY655333:VSB655333 WBU655333:WBX655333 WLQ655333:WLT655333 WVM655333:WVP655333 E720869:H720869 JA720869:JD720869 SW720869:SZ720869 ACS720869:ACV720869 AMO720869:AMR720869 AWK720869:AWN720869 BGG720869:BGJ720869 BQC720869:BQF720869 BZY720869:CAB720869 CJU720869:CJX720869 CTQ720869:CTT720869 DDM720869:DDP720869 DNI720869:DNL720869 DXE720869:DXH720869 EHA720869:EHD720869 EQW720869:EQZ720869 FAS720869:FAV720869 FKO720869:FKR720869 FUK720869:FUN720869 GEG720869:GEJ720869 GOC720869:GOF720869 GXY720869:GYB720869 HHU720869:HHX720869 HRQ720869:HRT720869 IBM720869:IBP720869 ILI720869:ILL720869 IVE720869:IVH720869 JFA720869:JFD720869 JOW720869:JOZ720869 JYS720869:JYV720869 KIO720869:KIR720869 KSK720869:KSN720869 LCG720869:LCJ720869 LMC720869:LMF720869 LVY720869:LWB720869 MFU720869:MFX720869 MPQ720869:MPT720869 MZM720869:MZP720869 NJI720869:NJL720869 NTE720869:NTH720869 ODA720869:ODD720869 OMW720869:OMZ720869 OWS720869:OWV720869 PGO720869:PGR720869 PQK720869:PQN720869 QAG720869:QAJ720869 QKC720869:QKF720869 QTY720869:QUB720869 RDU720869:RDX720869 RNQ720869:RNT720869 RXM720869:RXP720869 SHI720869:SHL720869 SRE720869:SRH720869 TBA720869:TBD720869 TKW720869:TKZ720869 TUS720869:TUV720869 UEO720869:UER720869 UOK720869:UON720869 UYG720869:UYJ720869 VIC720869:VIF720869 VRY720869:VSB720869 WBU720869:WBX720869 WLQ720869:WLT720869 WVM720869:WVP720869 E786405:H786405 JA786405:JD786405 SW786405:SZ786405 ACS786405:ACV786405 AMO786405:AMR786405 AWK786405:AWN786405 BGG786405:BGJ786405 BQC786405:BQF786405 BZY786405:CAB786405 CJU786405:CJX786405 CTQ786405:CTT786405 DDM786405:DDP786405 DNI786405:DNL786405 DXE786405:DXH786405 EHA786405:EHD786405 EQW786405:EQZ786405 FAS786405:FAV786405 FKO786405:FKR786405 FUK786405:FUN786405 GEG786405:GEJ786405 GOC786405:GOF786405 GXY786405:GYB786405 HHU786405:HHX786405 HRQ786405:HRT786405 IBM786405:IBP786405 ILI786405:ILL786405 IVE786405:IVH786405 JFA786405:JFD786405 JOW786405:JOZ786405 JYS786405:JYV786405 KIO786405:KIR786405 KSK786405:KSN786405 LCG786405:LCJ786405 LMC786405:LMF786405 LVY786405:LWB786405 MFU786405:MFX786405 MPQ786405:MPT786405 MZM786405:MZP786405 NJI786405:NJL786405 NTE786405:NTH786405 ODA786405:ODD786405 OMW786405:OMZ786405 OWS786405:OWV786405 PGO786405:PGR786405 PQK786405:PQN786405 QAG786405:QAJ786405 QKC786405:QKF786405 QTY786405:QUB786405 RDU786405:RDX786405 RNQ786405:RNT786405 RXM786405:RXP786405 SHI786405:SHL786405 SRE786405:SRH786405 TBA786405:TBD786405 TKW786405:TKZ786405 TUS786405:TUV786405 UEO786405:UER786405 UOK786405:UON786405 UYG786405:UYJ786405 VIC786405:VIF786405 VRY786405:VSB786405 WBU786405:WBX786405 WLQ786405:WLT786405 WVM786405:WVP786405 E851941:H851941 JA851941:JD851941 SW851941:SZ851941 ACS851941:ACV851941 AMO851941:AMR851941 AWK851941:AWN851941 BGG851941:BGJ851941 BQC851941:BQF851941 BZY851941:CAB851941 CJU851941:CJX851941 CTQ851941:CTT851941 DDM851941:DDP851941 DNI851941:DNL851941 DXE851941:DXH851941 EHA851941:EHD851941 EQW851941:EQZ851941 FAS851941:FAV851941 FKO851941:FKR851941 FUK851941:FUN851941 GEG851941:GEJ851941 GOC851941:GOF851941 GXY851941:GYB851941 HHU851941:HHX851941 HRQ851941:HRT851941 IBM851941:IBP851941 ILI851941:ILL851941 IVE851941:IVH851941 JFA851941:JFD851941 JOW851941:JOZ851941 JYS851941:JYV851941 KIO851941:KIR851941 KSK851941:KSN851941 LCG851941:LCJ851941 LMC851941:LMF851941 LVY851941:LWB851941 MFU851941:MFX851941 MPQ851941:MPT851941 MZM851941:MZP851941 NJI851941:NJL851941 NTE851941:NTH851941 ODA851941:ODD851941 OMW851941:OMZ851941 OWS851941:OWV851941 PGO851941:PGR851941 PQK851941:PQN851941 QAG851941:QAJ851941 QKC851941:QKF851941 QTY851941:QUB851941 RDU851941:RDX851941 RNQ851941:RNT851941 RXM851941:RXP851941 SHI851941:SHL851941 SRE851941:SRH851941 TBA851941:TBD851941 TKW851941:TKZ851941 TUS851941:TUV851941 UEO851941:UER851941 UOK851941:UON851941 UYG851941:UYJ851941 VIC851941:VIF851941 VRY851941:VSB851941 WBU851941:WBX851941 WLQ851941:WLT851941 WVM851941:WVP851941 E917477:H917477 JA917477:JD917477 SW917477:SZ917477 ACS917477:ACV917477 AMO917477:AMR917477 AWK917477:AWN917477 BGG917477:BGJ917477 BQC917477:BQF917477 BZY917477:CAB917477 CJU917477:CJX917477 CTQ917477:CTT917477 DDM917477:DDP917477 DNI917477:DNL917477 DXE917477:DXH917477 EHA917477:EHD917477 EQW917477:EQZ917477 FAS917477:FAV917477 FKO917477:FKR917477 FUK917477:FUN917477 GEG917477:GEJ917477 GOC917477:GOF917477 GXY917477:GYB917477 HHU917477:HHX917477 HRQ917477:HRT917477 IBM917477:IBP917477 ILI917477:ILL917477 IVE917477:IVH917477 JFA917477:JFD917477 JOW917477:JOZ917477 JYS917477:JYV917477 KIO917477:KIR917477 KSK917477:KSN917477 LCG917477:LCJ917477 LMC917477:LMF917477 LVY917477:LWB917477 MFU917477:MFX917477 MPQ917477:MPT917477 MZM917477:MZP917477 NJI917477:NJL917477 NTE917477:NTH917477 ODA917477:ODD917477 OMW917477:OMZ917477 OWS917477:OWV917477 PGO917477:PGR917477 PQK917477:PQN917477 QAG917477:QAJ917477 QKC917477:QKF917477 QTY917477:QUB917477 RDU917477:RDX917477 RNQ917477:RNT917477 RXM917477:RXP917477 SHI917477:SHL917477 SRE917477:SRH917477 TBA917477:TBD917477 TKW917477:TKZ917477 TUS917477:TUV917477 UEO917477:UER917477 UOK917477:UON917477 UYG917477:UYJ917477 VIC917477:VIF917477 VRY917477:VSB917477 WBU917477:WBX917477 WLQ917477:WLT917477 WVM917477:WVP917477 E983013:H983013 JA983013:JD983013 SW983013:SZ983013 ACS983013:ACV983013 AMO983013:AMR983013 AWK983013:AWN983013 BGG983013:BGJ983013 BQC983013:BQF983013 BZY983013:CAB983013 CJU983013:CJX983013 CTQ983013:CTT983013 DDM983013:DDP983013 DNI983013:DNL983013 DXE983013:DXH983013 EHA983013:EHD983013 EQW983013:EQZ983013 FAS983013:FAV983013 FKO983013:FKR983013 FUK983013:FUN983013 GEG983013:GEJ983013 GOC983013:GOF983013 GXY983013:GYB983013 HHU983013:HHX983013 HRQ983013:HRT983013 IBM983013:IBP983013 ILI983013:ILL983013 IVE983013:IVH983013 JFA983013:JFD983013 JOW983013:JOZ983013 JYS983013:JYV983013 KIO983013:KIR983013 KSK983013:KSN983013 LCG983013:LCJ983013 LMC983013:LMF983013 LVY983013:LWB983013 MFU983013:MFX983013 MPQ983013:MPT983013 MZM983013:MZP983013 NJI983013:NJL983013 NTE983013:NTH983013 ODA983013:ODD983013 OMW983013:OMZ983013 OWS983013:OWV983013 PGO983013:PGR983013 PQK983013:PQN983013 QAG983013:QAJ983013 QKC983013:QKF983013 QTY983013:QUB983013 RDU983013:RDX983013 RNQ983013:RNT983013 RXM983013:RXP983013 SHI983013:SHL983013 SRE983013:SRH983013 TBA983013:TBD983013 TKW983013:TKZ983013 TUS983013:TUV983013 UEO983013:UER983013 UOK983013:UON983013 UYG983013:UYJ983013 VIC983013:VIF983013 VRY983013:VSB983013 WBU983013:WBX983013 WLQ983013:WLT983013 WVM983013:WVP983013 E65507:H65507 JA65507:JD65507 SW65507:SZ65507 ACS65507:ACV65507 AMO65507:AMR65507 AWK65507:AWN65507 BGG65507:BGJ65507 BQC65507:BQF65507 BZY65507:CAB65507 CJU65507:CJX65507 CTQ65507:CTT65507 DDM65507:DDP65507 DNI65507:DNL65507 DXE65507:DXH65507 EHA65507:EHD65507 EQW65507:EQZ65507 FAS65507:FAV65507 FKO65507:FKR65507 FUK65507:FUN65507 GEG65507:GEJ65507 GOC65507:GOF65507 GXY65507:GYB65507 HHU65507:HHX65507 HRQ65507:HRT65507 IBM65507:IBP65507 ILI65507:ILL65507 IVE65507:IVH65507 JFA65507:JFD65507 JOW65507:JOZ65507 JYS65507:JYV65507 KIO65507:KIR65507 KSK65507:KSN65507 LCG65507:LCJ65507 LMC65507:LMF65507 LVY65507:LWB65507 MFU65507:MFX65507 MPQ65507:MPT65507 MZM65507:MZP65507 NJI65507:NJL65507 NTE65507:NTH65507 ODA65507:ODD65507 OMW65507:OMZ65507 OWS65507:OWV65507 PGO65507:PGR65507 PQK65507:PQN65507 QAG65507:QAJ65507 QKC65507:QKF65507 QTY65507:QUB65507 RDU65507:RDX65507 RNQ65507:RNT65507 RXM65507:RXP65507 SHI65507:SHL65507 SRE65507:SRH65507 TBA65507:TBD65507 TKW65507:TKZ65507 TUS65507:TUV65507 UEO65507:UER65507 UOK65507:UON65507 UYG65507:UYJ65507 VIC65507:VIF65507 VRY65507:VSB65507 WBU65507:WBX65507 WLQ65507:WLT65507 WVM65507:WVP65507 E131043:H131043 JA131043:JD131043 SW131043:SZ131043 ACS131043:ACV131043 AMO131043:AMR131043 AWK131043:AWN131043 BGG131043:BGJ131043 BQC131043:BQF131043 BZY131043:CAB131043 CJU131043:CJX131043 CTQ131043:CTT131043 DDM131043:DDP131043 DNI131043:DNL131043 DXE131043:DXH131043 EHA131043:EHD131043 EQW131043:EQZ131043 FAS131043:FAV131043 FKO131043:FKR131043 FUK131043:FUN131043 GEG131043:GEJ131043 GOC131043:GOF131043 GXY131043:GYB131043 HHU131043:HHX131043 HRQ131043:HRT131043 IBM131043:IBP131043 ILI131043:ILL131043 IVE131043:IVH131043 JFA131043:JFD131043 JOW131043:JOZ131043 JYS131043:JYV131043 KIO131043:KIR131043 KSK131043:KSN131043 LCG131043:LCJ131043 LMC131043:LMF131043 LVY131043:LWB131043 MFU131043:MFX131043 MPQ131043:MPT131043 MZM131043:MZP131043 NJI131043:NJL131043 NTE131043:NTH131043 ODA131043:ODD131043 OMW131043:OMZ131043 OWS131043:OWV131043 PGO131043:PGR131043 PQK131043:PQN131043 QAG131043:QAJ131043 QKC131043:QKF131043 QTY131043:QUB131043 RDU131043:RDX131043 RNQ131043:RNT131043 RXM131043:RXP131043 SHI131043:SHL131043 SRE131043:SRH131043 TBA131043:TBD131043 TKW131043:TKZ131043 TUS131043:TUV131043 UEO131043:UER131043 UOK131043:UON131043 UYG131043:UYJ131043 VIC131043:VIF131043 VRY131043:VSB131043 WBU131043:WBX131043 WLQ131043:WLT131043 WVM131043:WVP131043 E196579:H196579 JA196579:JD196579 SW196579:SZ196579 ACS196579:ACV196579 AMO196579:AMR196579 AWK196579:AWN196579 BGG196579:BGJ196579 BQC196579:BQF196579 BZY196579:CAB196579 CJU196579:CJX196579 CTQ196579:CTT196579 DDM196579:DDP196579 DNI196579:DNL196579 DXE196579:DXH196579 EHA196579:EHD196579 EQW196579:EQZ196579 FAS196579:FAV196579 FKO196579:FKR196579 FUK196579:FUN196579 GEG196579:GEJ196579 GOC196579:GOF196579 GXY196579:GYB196579 HHU196579:HHX196579 HRQ196579:HRT196579 IBM196579:IBP196579 ILI196579:ILL196579 IVE196579:IVH196579 JFA196579:JFD196579 JOW196579:JOZ196579 JYS196579:JYV196579 KIO196579:KIR196579 KSK196579:KSN196579 LCG196579:LCJ196579 LMC196579:LMF196579 LVY196579:LWB196579 MFU196579:MFX196579 MPQ196579:MPT196579 MZM196579:MZP196579 NJI196579:NJL196579 NTE196579:NTH196579 ODA196579:ODD196579 OMW196579:OMZ196579 OWS196579:OWV196579 PGO196579:PGR196579 PQK196579:PQN196579 QAG196579:QAJ196579 QKC196579:QKF196579 QTY196579:QUB196579 RDU196579:RDX196579 RNQ196579:RNT196579 RXM196579:RXP196579 SHI196579:SHL196579 SRE196579:SRH196579 TBA196579:TBD196579 TKW196579:TKZ196579 TUS196579:TUV196579 UEO196579:UER196579 UOK196579:UON196579 UYG196579:UYJ196579 VIC196579:VIF196579 VRY196579:VSB196579 WBU196579:WBX196579 WLQ196579:WLT196579 WVM196579:WVP196579 E262115:H262115 JA262115:JD262115 SW262115:SZ262115 ACS262115:ACV262115 AMO262115:AMR262115 AWK262115:AWN262115 BGG262115:BGJ262115 BQC262115:BQF262115 BZY262115:CAB262115 CJU262115:CJX262115 CTQ262115:CTT262115 DDM262115:DDP262115 DNI262115:DNL262115 DXE262115:DXH262115 EHA262115:EHD262115 EQW262115:EQZ262115 FAS262115:FAV262115 FKO262115:FKR262115 FUK262115:FUN262115 GEG262115:GEJ262115 GOC262115:GOF262115 GXY262115:GYB262115 HHU262115:HHX262115 HRQ262115:HRT262115 IBM262115:IBP262115 ILI262115:ILL262115 IVE262115:IVH262115 JFA262115:JFD262115 JOW262115:JOZ262115 JYS262115:JYV262115 KIO262115:KIR262115 KSK262115:KSN262115 LCG262115:LCJ262115 LMC262115:LMF262115 LVY262115:LWB262115 MFU262115:MFX262115 MPQ262115:MPT262115 MZM262115:MZP262115 NJI262115:NJL262115 NTE262115:NTH262115 ODA262115:ODD262115 OMW262115:OMZ262115 OWS262115:OWV262115 PGO262115:PGR262115 PQK262115:PQN262115 QAG262115:QAJ262115 QKC262115:QKF262115 QTY262115:QUB262115 RDU262115:RDX262115 RNQ262115:RNT262115 RXM262115:RXP262115 SHI262115:SHL262115 SRE262115:SRH262115 TBA262115:TBD262115 TKW262115:TKZ262115 TUS262115:TUV262115 UEO262115:UER262115 UOK262115:UON262115 UYG262115:UYJ262115 VIC262115:VIF262115 VRY262115:VSB262115 WBU262115:WBX262115 WLQ262115:WLT262115 WVM262115:WVP262115 E327651:H327651 JA327651:JD327651 SW327651:SZ327651 ACS327651:ACV327651 AMO327651:AMR327651 AWK327651:AWN327651 BGG327651:BGJ327651 BQC327651:BQF327651 BZY327651:CAB327651 CJU327651:CJX327651 CTQ327651:CTT327651 DDM327651:DDP327651 DNI327651:DNL327651 DXE327651:DXH327651 EHA327651:EHD327651 EQW327651:EQZ327651 FAS327651:FAV327651 FKO327651:FKR327651 FUK327651:FUN327651 GEG327651:GEJ327651 GOC327651:GOF327651 GXY327651:GYB327651 HHU327651:HHX327651 HRQ327651:HRT327651 IBM327651:IBP327651 ILI327651:ILL327651 IVE327651:IVH327651 JFA327651:JFD327651 JOW327651:JOZ327651 JYS327651:JYV327651 KIO327651:KIR327651 KSK327651:KSN327651 LCG327651:LCJ327651 LMC327651:LMF327651 LVY327651:LWB327651 MFU327651:MFX327651 MPQ327651:MPT327651 MZM327651:MZP327651 NJI327651:NJL327651 NTE327651:NTH327651 ODA327651:ODD327651 OMW327651:OMZ327651 OWS327651:OWV327651 PGO327651:PGR327651 PQK327651:PQN327651 QAG327651:QAJ327651 QKC327651:QKF327651 QTY327651:QUB327651 RDU327651:RDX327651 RNQ327651:RNT327651 RXM327651:RXP327651 SHI327651:SHL327651 SRE327651:SRH327651 TBA327651:TBD327651 TKW327651:TKZ327651 TUS327651:TUV327651 UEO327651:UER327651 UOK327651:UON327651 UYG327651:UYJ327651 VIC327651:VIF327651 VRY327651:VSB327651 WBU327651:WBX327651 WLQ327651:WLT327651 WVM327651:WVP327651 E393187:H393187 JA393187:JD393187 SW393187:SZ393187 ACS393187:ACV393187 AMO393187:AMR393187 AWK393187:AWN393187 BGG393187:BGJ393187 BQC393187:BQF393187 BZY393187:CAB393187 CJU393187:CJX393187 CTQ393187:CTT393187 DDM393187:DDP393187 DNI393187:DNL393187 DXE393187:DXH393187 EHA393187:EHD393187 EQW393187:EQZ393187 FAS393187:FAV393187 FKO393187:FKR393187 FUK393187:FUN393187 GEG393187:GEJ393187 GOC393187:GOF393187 GXY393187:GYB393187 HHU393187:HHX393187 HRQ393187:HRT393187 IBM393187:IBP393187 ILI393187:ILL393187 IVE393187:IVH393187 JFA393187:JFD393187 JOW393187:JOZ393187 JYS393187:JYV393187 KIO393187:KIR393187 KSK393187:KSN393187 LCG393187:LCJ393187 LMC393187:LMF393187 LVY393187:LWB393187 MFU393187:MFX393187 MPQ393187:MPT393187 MZM393187:MZP393187 NJI393187:NJL393187 NTE393187:NTH393187 ODA393187:ODD393187 OMW393187:OMZ393187 OWS393187:OWV393187 PGO393187:PGR393187 PQK393187:PQN393187 QAG393187:QAJ393187 QKC393187:QKF393187 QTY393187:QUB393187 RDU393187:RDX393187 RNQ393187:RNT393187 RXM393187:RXP393187 SHI393187:SHL393187 SRE393187:SRH393187 TBA393187:TBD393187 TKW393187:TKZ393187 TUS393187:TUV393187 UEO393187:UER393187 UOK393187:UON393187 UYG393187:UYJ393187 VIC393187:VIF393187 VRY393187:VSB393187 WBU393187:WBX393187 WLQ393187:WLT393187 WVM393187:WVP393187 E458723:H458723 JA458723:JD458723 SW458723:SZ458723 ACS458723:ACV458723 AMO458723:AMR458723 AWK458723:AWN458723 BGG458723:BGJ458723 BQC458723:BQF458723 BZY458723:CAB458723 CJU458723:CJX458723 CTQ458723:CTT458723 DDM458723:DDP458723 DNI458723:DNL458723 DXE458723:DXH458723 EHA458723:EHD458723 EQW458723:EQZ458723 FAS458723:FAV458723 FKO458723:FKR458723 FUK458723:FUN458723 GEG458723:GEJ458723 GOC458723:GOF458723 GXY458723:GYB458723 HHU458723:HHX458723 HRQ458723:HRT458723 IBM458723:IBP458723 ILI458723:ILL458723 IVE458723:IVH458723 JFA458723:JFD458723 JOW458723:JOZ458723 JYS458723:JYV458723 KIO458723:KIR458723 KSK458723:KSN458723 LCG458723:LCJ458723 LMC458723:LMF458723 LVY458723:LWB458723 MFU458723:MFX458723 MPQ458723:MPT458723 MZM458723:MZP458723 NJI458723:NJL458723 NTE458723:NTH458723 ODA458723:ODD458723 OMW458723:OMZ458723 OWS458723:OWV458723 PGO458723:PGR458723 PQK458723:PQN458723 QAG458723:QAJ458723 QKC458723:QKF458723 QTY458723:QUB458723 RDU458723:RDX458723 RNQ458723:RNT458723 RXM458723:RXP458723 SHI458723:SHL458723 SRE458723:SRH458723 TBA458723:TBD458723 TKW458723:TKZ458723 TUS458723:TUV458723 UEO458723:UER458723 UOK458723:UON458723 UYG458723:UYJ458723 VIC458723:VIF458723 VRY458723:VSB458723 WBU458723:WBX458723 WLQ458723:WLT458723 WVM458723:WVP458723 E524259:H524259 JA524259:JD524259 SW524259:SZ524259 ACS524259:ACV524259 AMO524259:AMR524259 AWK524259:AWN524259 BGG524259:BGJ524259 BQC524259:BQF524259 BZY524259:CAB524259 CJU524259:CJX524259 CTQ524259:CTT524259 DDM524259:DDP524259 DNI524259:DNL524259 DXE524259:DXH524259 EHA524259:EHD524259 EQW524259:EQZ524259 FAS524259:FAV524259 FKO524259:FKR524259 FUK524259:FUN524259 GEG524259:GEJ524259 GOC524259:GOF524259 GXY524259:GYB524259 HHU524259:HHX524259 HRQ524259:HRT524259 IBM524259:IBP524259 ILI524259:ILL524259 IVE524259:IVH524259 JFA524259:JFD524259 JOW524259:JOZ524259 JYS524259:JYV524259 KIO524259:KIR524259 KSK524259:KSN524259 LCG524259:LCJ524259 LMC524259:LMF524259 LVY524259:LWB524259 MFU524259:MFX524259 MPQ524259:MPT524259 MZM524259:MZP524259 NJI524259:NJL524259 NTE524259:NTH524259 ODA524259:ODD524259 OMW524259:OMZ524259 OWS524259:OWV524259 PGO524259:PGR524259 PQK524259:PQN524259 QAG524259:QAJ524259 QKC524259:QKF524259 QTY524259:QUB524259 RDU524259:RDX524259 RNQ524259:RNT524259 RXM524259:RXP524259 SHI524259:SHL524259 SRE524259:SRH524259 TBA524259:TBD524259 TKW524259:TKZ524259 TUS524259:TUV524259 UEO524259:UER524259 UOK524259:UON524259 UYG524259:UYJ524259 VIC524259:VIF524259 VRY524259:VSB524259 WBU524259:WBX524259 WLQ524259:WLT524259 WVM524259:WVP524259 E589795:H589795 JA589795:JD589795 SW589795:SZ589795 ACS589795:ACV589795 AMO589795:AMR589795 AWK589795:AWN589795 BGG589795:BGJ589795 BQC589795:BQF589795 BZY589795:CAB589795 CJU589795:CJX589795 CTQ589795:CTT589795 DDM589795:DDP589795 DNI589795:DNL589795 DXE589795:DXH589795 EHA589795:EHD589795 EQW589795:EQZ589795 FAS589795:FAV589795 FKO589795:FKR589795 FUK589795:FUN589795 GEG589795:GEJ589795 GOC589795:GOF589795 GXY589795:GYB589795 HHU589795:HHX589795 HRQ589795:HRT589795 IBM589795:IBP589795 ILI589795:ILL589795 IVE589795:IVH589795 JFA589795:JFD589795 JOW589795:JOZ589795 JYS589795:JYV589795 KIO589795:KIR589795 KSK589795:KSN589795 LCG589795:LCJ589795 LMC589795:LMF589795 LVY589795:LWB589795 MFU589795:MFX589795 MPQ589795:MPT589795 MZM589795:MZP589795 NJI589795:NJL589795 NTE589795:NTH589795 ODA589795:ODD589795 OMW589795:OMZ589795 OWS589795:OWV589795 PGO589795:PGR589795 PQK589795:PQN589795 QAG589795:QAJ589795 QKC589795:QKF589795 QTY589795:QUB589795 RDU589795:RDX589795 RNQ589795:RNT589795 RXM589795:RXP589795 SHI589795:SHL589795 SRE589795:SRH589795 TBA589795:TBD589795 TKW589795:TKZ589795 TUS589795:TUV589795 UEO589795:UER589795 UOK589795:UON589795 UYG589795:UYJ589795 VIC589795:VIF589795 VRY589795:VSB589795 WBU589795:WBX589795 WLQ589795:WLT589795 WVM589795:WVP589795 E655331:H655331 JA655331:JD655331 SW655331:SZ655331 ACS655331:ACV655331 AMO655331:AMR655331 AWK655331:AWN655331 BGG655331:BGJ655331 BQC655331:BQF655331 BZY655331:CAB655331 CJU655331:CJX655331 CTQ655331:CTT655331 DDM655331:DDP655331 DNI655331:DNL655331 DXE655331:DXH655331 EHA655331:EHD655331 EQW655331:EQZ655331 FAS655331:FAV655331 FKO655331:FKR655331 FUK655331:FUN655331 GEG655331:GEJ655331 GOC655331:GOF655331 GXY655331:GYB655331 HHU655331:HHX655331 HRQ655331:HRT655331 IBM655331:IBP655331 ILI655331:ILL655331 IVE655331:IVH655331 JFA655331:JFD655331 JOW655331:JOZ655331 JYS655331:JYV655331 KIO655331:KIR655331 KSK655331:KSN655331 LCG655331:LCJ655331 LMC655331:LMF655331 LVY655331:LWB655331 MFU655331:MFX655331 MPQ655331:MPT655331 MZM655331:MZP655331 NJI655331:NJL655331 NTE655331:NTH655331 ODA655331:ODD655331 OMW655331:OMZ655331 OWS655331:OWV655331 PGO655331:PGR655331 PQK655331:PQN655331 QAG655331:QAJ655331 QKC655331:QKF655331 QTY655331:QUB655331 RDU655331:RDX655331 RNQ655331:RNT655331 RXM655331:RXP655331 SHI655331:SHL655331 SRE655331:SRH655331 TBA655331:TBD655331 TKW655331:TKZ655331 TUS655331:TUV655331 UEO655331:UER655331 UOK655331:UON655331 UYG655331:UYJ655331 VIC655331:VIF655331 VRY655331:VSB655331 WBU655331:WBX655331 WLQ655331:WLT655331 WVM655331:WVP655331 E720867:H720867 JA720867:JD720867 SW720867:SZ720867 ACS720867:ACV720867 AMO720867:AMR720867 AWK720867:AWN720867 BGG720867:BGJ720867 BQC720867:BQF720867 BZY720867:CAB720867 CJU720867:CJX720867 CTQ720867:CTT720867 DDM720867:DDP720867 DNI720867:DNL720867 DXE720867:DXH720867 EHA720867:EHD720867 EQW720867:EQZ720867 FAS720867:FAV720867 FKO720867:FKR720867 FUK720867:FUN720867 GEG720867:GEJ720867 GOC720867:GOF720867 GXY720867:GYB720867 HHU720867:HHX720867 HRQ720867:HRT720867 IBM720867:IBP720867 ILI720867:ILL720867 IVE720867:IVH720867 JFA720867:JFD720867 JOW720867:JOZ720867 JYS720867:JYV720867 KIO720867:KIR720867 KSK720867:KSN720867 LCG720867:LCJ720867 LMC720867:LMF720867 LVY720867:LWB720867 MFU720867:MFX720867 MPQ720867:MPT720867 MZM720867:MZP720867 NJI720867:NJL720867 NTE720867:NTH720867 ODA720867:ODD720867 OMW720867:OMZ720867 OWS720867:OWV720867 PGO720867:PGR720867 PQK720867:PQN720867 QAG720867:QAJ720867 QKC720867:QKF720867 QTY720867:QUB720867 RDU720867:RDX720867 RNQ720867:RNT720867 RXM720867:RXP720867 SHI720867:SHL720867 SRE720867:SRH720867 TBA720867:TBD720867 TKW720867:TKZ720867 TUS720867:TUV720867 UEO720867:UER720867 UOK720867:UON720867 UYG720867:UYJ720867 VIC720867:VIF720867 VRY720867:VSB720867 WBU720867:WBX720867 WLQ720867:WLT720867 WVM720867:WVP720867 E786403:H786403 JA786403:JD786403 SW786403:SZ786403 ACS786403:ACV786403 AMO786403:AMR786403 AWK786403:AWN786403 BGG786403:BGJ786403 BQC786403:BQF786403 BZY786403:CAB786403 CJU786403:CJX786403 CTQ786403:CTT786403 DDM786403:DDP786403 DNI786403:DNL786403 DXE786403:DXH786403 EHA786403:EHD786403 EQW786403:EQZ786403 FAS786403:FAV786403 FKO786403:FKR786403 FUK786403:FUN786403 GEG786403:GEJ786403 GOC786403:GOF786403 GXY786403:GYB786403 HHU786403:HHX786403 HRQ786403:HRT786403 IBM786403:IBP786403 ILI786403:ILL786403 IVE786403:IVH786403 JFA786403:JFD786403 JOW786403:JOZ786403 JYS786403:JYV786403 KIO786403:KIR786403 KSK786403:KSN786403 LCG786403:LCJ786403 LMC786403:LMF786403 LVY786403:LWB786403 MFU786403:MFX786403 MPQ786403:MPT786403 MZM786403:MZP786403 NJI786403:NJL786403 NTE786403:NTH786403 ODA786403:ODD786403 OMW786403:OMZ786403 OWS786403:OWV786403 PGO786403:PGR786403 PQK786403:PQN786403 QAG786403:QAJ786403 QKC786403:QKF786403 QTY786403:QUB786403 RDU786403:RDX786403 RNQ786403:RNT786403 RXM786403:RXP786403 SHI786403:SHL786403 SRE786403:SRH786403 TBA786403:TBD786403 TKW786403:TKZ786403 TUS786403:TUV786403 UEO786403:UER786403 UOK786403:UON786403 UYG786403:UYJ786403 VIC786403:VIF786403 VRY786403:VSB786403 WBU786403:WBX786403 WLQ786403:WLT786403 WVM786403:WVP786403 E851939:H851939 JA851939:JD851939 SW851939:SZ851939 ACS851939:ACV851939 AMO851939:AMR851939 AWK851939:AWN851939 BGG851939:BGJ851939 BQC851939:BQF851939 BZY851939:CAB851939 CJU851939:CJX851939 CTQ851939:CTT851939 DDM851939:DDP851939 DNI851939:DNL851939 DXE851939:DXH851939 EHA851939:EHD851939 EQW851939:EQZ851939 FAS851939:FAV851939 FKO851939:FKR851939 FUK851939:FUN851939 GEG851939:GEJ851939 GOC851939:GOF851939 GXY851939:GYB851939 HHU851939:HHX851939 HRQ851939:HRT851939 IBM851939:IBP851939 ILI851939:ILL851939 IVE851939:IVH851939 JFA851939:JFD851939 JOW851939:JOZ851939 JYS851939:JYV851939 KIO851939:KIR851939 KSK851939:KSN851939 LCG851939:LCJ851939 LMC851939:LMF851939 LVY851939:LWB851939 MFU851939:MFX851939 MPQ851939:MPT851939 MZM851939:MZP851939 NJI851939:NJL851939 NTE851939:NTH851939 ODA851939:ODD851939 OMW851939:OMZ851939 OWS851939:OWV851939 PGO851939:PGR851939 PQK851939:PQN851939 QAG851939:QAJ851939 QKC851939:QKF851939 QTY851939:QUB851939 RDU851939:RDX851939 RNQ851939:RNT851939 RXM851939:RXP851939 SHI851939:SHL851939 SRE851939:SRH851939 TBA851939:TBD851939 TKW851939:TKZ851939 TUS851939:TUV851939 UEO851939:UER851939 UOK851939:UON851939 UYG851939:UYJ851939 VIC851939:VIF851939 VRY851939:VSB851939 WBU851939:WBX851939 WLQ851939:WLT851939 WVM851939:WVP851939 E917475:H917475 JA917475:JD917475 SW917475:SZ917475 ACS917475:ACV917475 AMO917475:AMR917475 AWK917475:AWN917475 BGG917475:BGJ917475 BQC917475:BQF917475 BZY917475:CAB917475 CJU917475:CJX917475 CTQ917475:CTT917475 DDM917475:DDP917475 DNI917475:DNL917475 DXE917475:DXH917475 EHA917475:EHD917475 EQW917475:EQZ917475 FAS917475:FAV917475 FKO917475:FKR917475 FUK917475:FUN917475 GEG917475:GEJ917475 GOC917475:GOF917475 GXY917475:GYB917475 HHU917475:HHX917475 HRQ917475:HRT917475 IBM917475:IBP917475 ILI917475:ILL917475 IVE917475:IVH917475 JFA917475:JFD917475 JOW917475:JOZ917475 JYS917475:JYV917475 KIO917475:KIR917475 KSK917475:KSN917475 LCG917475:LCJ917475 LMC917475:LMF917475 LVY917475:LWB917475 MFU917475:MFX917475 MPQ917475:MPT917475 MZM917475:MZP917475 NJI917475:NJL917475 NTE917475:NTH917475 ODA917475:ODD917475 OMW917475:OMZ917475 OWS917475:OWV917475 PGO917475:PGR917475 PQK917475:PQN917475 QAG917475:QAJ917475 QKC917475:QKF917475 QTY917475:QUB917475 RDU917475:RDX917475 RNQ917475:RNT917475 RXM917475:RXP917475 SHI917475:SHL917475 SRE917475:SRH917475 TBA917475:TBD917475 TKW917475:TKZ917475 TUS917475:TUV917475 UEO917475:UER917475 UOK917475:UON917475 UYG917475:UYJ917475 VIC917475:VIF917475 VRY917475:VSB917475 WBU917475:WBX917475 WLQ917475:WLT917475 WVM917475:WVP917475 E983011:H983011 JA983011:JD983011 SW983011:SZ983011 ACS983011:ACV983011 AMO983011:AMR983011 AWK983011:AWN983011 BGG983011:BGJ983011 BQC983011:BQF983011 BZY983011:CAB983011 CJU983011:CJX983011 CTQ983011:CTT983011 DDM983011:DDP983011 DNI983011:DNL983011 DXE983011:DXH983011 EHA983011:EHD983011 EQW983011:EQZ983011 FAS983011:FAV983011 FKO983011:FKR983011 FUK983011:FUN983011 GEG983011:GEJ983011 GOC983011:GOF983011 GXY983011:GYB983011 HHU983011:HHX983011 HRQ983011:HRT983011 IBM983011:IBP983011 ILI983011:ILL983011 IVE983011:IVH983011 JFA983011:JFD983011 JOW983011:JOZ983011 JYS983011:JYV983011 KIO983011:KIR983011 KSK983011:KSN983011 LCG983011:LCJ983011 LMC983011:LMF983011 LVY983011:LWB983011 MFU983011:MFX983011 MPQ983011:MPT983011 MZM983011:MZP983011 NJI983011:NJL983011 NTE983011:NTH983011 ODA983011:ODD983011 OMW983011:OMZ983011 OWS983011:OWV983011 PGO983011:PGR983011 PQK983011:PQN983011 QAG983011:QAJ983011 QKC983011:QKF983011 QTY983011:QUB983011 RDU983011:RDX983011 RNQ983011:RNT983011 RXM983011:RXP983011 SHI983011:SHL983011 SRE983011:SRH983011 TBA983011:TBD983011 TKW983011:TKZ983011 TUS983011:TUV983011 UEO983011:UER983011 UOK983011:UON983011 UYG983011:UYJ983011 VIC983011:VIF983011 VRY983011:VSB983011 WBU983011:WBX983011 WLQ983011:WLT983011 WVM983011:WVP983011 E65514:H65514 JA65514:JD65514 SW65514:SZ65514 ACS65514:ACV65514 AMO65514:AMR65514 AWK65514:AWN65514 BGG65514:BGJ65514 BQC65514:BQF65514 BZY65514:CAB65514 CJU65514:CJX65514 CTQ65514:CTT65514 DDM65514:DDP65514 DNI65514:DNL65514 DXE65514:DXH65514 EHA65514:EHD65514 EQW65514:EQZ65514 FAS65514:FAV65514 FKO65514:FKR65514 FUK65514:FUN65514 GEG65514:GEJ65514 GOC65514:GOF65514 GXY65514:GYB65514 HHU65514:HHX65514 HRQ65514:HRT65514 IBM65514:IBP65514 ILI65514:ILL65514 IVE65514:IVH65514 JFA65514:JFD65514 JOW65514:JOZ65514 JYS65514:JYV65514 KIO65514:KIR65514 KSK65514:KSN65514 LCG65514:LCJ65514 LMC65514:LMF65514 LVY65514:LWB65514 MFU65514:MFX65514 MPQ65514:MPT65514 MZM65514:MZP65514 NJI65514:NJL65514 NTE65514:NTH65514 ODA65514:ODD65514 OMW65514:OMZ65514 OWS65514:OWV65514 PGO65514:PGR65514 PQK65514:PQN65514 QAG65514:QAJ65514 QKC65514:QKF65514 QTY65514:QUB65514 RDU65514:RDX65514 RNQ65514:RNT65514 RXM65514:RXP65514 SHI65514:SHL65514 SRE65514:SRH65514 TBA65514:TBD65514 TKW65514:TKZ65514 TUS65514:TUV65514 UEO65514:UER65514 UOK65514:UON65514 UYG65514:UYJ65514 VIC65514:VIF65514 VRY65514:VSB65514 WBU65514:WBX65514 WLQ65514:WLT65514 WVM65514:WVP65514 E131050:H131050 JA131050:JD131050 SW131050:SZ131050 ACS131050:ACV131050 AMO131050:AMR131050 AWK131050:AWN131050 BGG131050:BGJ131050 BQC131050:BQF131050 BZY131050:CAB131050 CJU131050:CJX131050 CTQ131050:CTT131050 DDM131050:DDP131050 DNI131050:DNL131050 DXE131050:DXH131050 EHA131050:EHD131050 EQW131050:EQZ131050 FAS131050:FAV131050 FKO131050:FKR131050 FUK131050:FUN131050 GEG131050:GEJ131050 GOC131050:GOF131050 GXY131050:GYB131050 HHU131050:HHX131050 HRQ131050:HRT131050 IBM131050:IBP131050 ILI131050:ILL131050 IVE131050:IVH131050 JFA131050:JFD131050 JOW131050:JOZ131050 JYS131050:JYV131050 KIO131050:KIR131050 KSK131050:KSN131050 LCG131050:LCJ131050 LMC131050:LMF131050 LVY131050:LWB131050 MFU131050:MFX131050 MPQ131050:MPT131050 MZM131050:MZP131050 NJI131050:NJL131050 NTE131050:NTH131050 ODA131050:ODD131050 OMW131050:OMZ131050 OWS131050:OWV131050 PGO131050:PGR131050 PQK131050:PQN131050 QAG131050:QAJ131050 QKC131050:QKF131050 QTY131050:QUB131050 RDU131050:RDX131050 RNQ131050:RNT131050 RXM131050:RXP131050 SHI131050:SHL131050 SRE131050:SRH131050 TBA131050:TBD131050 TKW131050:TKZ131050 TUS131050:TUV131050 UEO131050:UER131050 UOK131050:UON131050 UYG131050:UYJ131050 VIC131050:VIF131050 VRY131050:VSB131050 WBU131050:WBX131050 WLQ131050:WLT131050 WVM131050:WVP131050 E196586:H196586 JA196586:JD196586 SW196586:SZ196586 ACS196586:ACV196586 AMO196586:AMR196586 AWK196586:AWN196586 BGG196586:BGJ196586 BQC196586:BQF196586 BZY196586:CAB196586 CJU196586:CJX196586 CTQ196586:CTT196586 DDM196586:DDP196586 DNI196586:DNL196586 DXE196586:DXH196586 EHA196586:EHD196586 EQW196586:EQZ196586 FAS196586:FAV196586 FKO196586:FKR196586 FUK196586:FUN196586 GEG196586:GEJ196586 GOC196586:GOF196586 GXY196586:GYB196586 HHU196586:HHX196586 HRQ196586:HRT196586 IBM196586:IBP196586 ILI196586:ILL196586 IVE196586:IVH196586 JFA196586:JFD196586 JOW196586:JOZ196586 JYS196586:JYV196586 KIO196586:KIR196586 KSK196586:KSN196586 LCG196586:LCJ196586 LMC196586:LMF196586 LVY196586:LWB196586 MFU196586:MFX196586 MPQ196586:MPT196586 MZM196586:MZP196586 NJI196586:NJL196586 NTE196586:NTH196586 ODA196586:ODD196586 OMW196586:OMZ196586 OWS196586:OWV196586 PGO196586:PGR196586 PQK196586:PQN196586 QAG196586:QAJ196586 QKC196586:QKF196586 QTY196586:QUB196586 RDU196586:RDX196586 RNQ196586:RNT196586 RXM196586:RXP196586 SHI196586:SHL196586 SRE196586:SRH196586 TBA196586:TBD196586 TKW196586:TKZ196586 TUS196586:TUV196586 UEO196586:UER196586 UOK196586:UON196586 UYG196586:UYJ196586 VIC196586:VIF196586 VRY196586:VSB196586 WBU196586:WBX196586 WLQ196586:WLT196586 WVM196586:WVP196586 E262122:H262122 JA262122:JD262122 SW262122:SZ262122 ACS262122:ACV262122 AMO262122:AMR262122 AWK262122:AWN262122 BGG262122:BGJ262122 BQC262122:BQF262122 BZY262122:CAB262122 CJU262122:CJX262122 CTQ262122:CTT262122 DDM262122:DDP262122 DNI262122:DNL262122 DXE262122:DXH262122 EHA262122:EHD262122 EQW262122:EQZ262122 FAS262122:FAV262122 FKO262122:FKR262122 FUK262122:FUN262122 GEG262122:GEJ262122 GOC262122:GOF262122 GXY262122:GYB262122 HHU262122:HHX262122 HRQ262122:HRT262122 IBM262122:IBP262122 ILI262122:ILL262122 IVE262122:IVH262122 JFA262122:JFD262122 JOW262122:JOZ262122 JYS262122:JYV262122 KIO262122:KIR262122 KSK262122:KSN262122 LCG262122:LCJ262122 LMC262122:LMF262122 LVY262122:LWB262122 MFU262122:MFX262122 MPQ262122:MPT262122 MZM262122:MZP262122 NJI262122:NJL262122 NTE262122:NTH262122 ODA262122:ODD262122 OMW262122:OMZ262122 OWS262122:OWV262122 PGO262122:PGR262122 PQK262122:PQN262122 QAG262122:QAJ262122 QKC262122:QKF262122 QTY262122:QUB262122 RDU262122:RDX262122 RNQ262122:RNT262122 RXM262122:RXP262122 SHI262122:SHL262122 SRE262122:SRH262122 TBA262122:TBD262122 TKW262122:TKZ262122 TUS262122:TUV262122 UEO262122:UER262122 UOK262122:UON262122 UYG262122:UYJ262122 VIC262122:VIF262122 VRY262122:VSB262122 WBU262122:WBX262122 WLQ262122:WLT262122 WVM262122:WVP262122 E327658:H327658 JA327658:JD327658 SW327658:SZ327658 ACS327658:ACV327658 AMO327658:AMR327658 AWK327658:AWN327658 BGG327658:BGJ327658 BQC327658:BQF327658 BZY327658:CAB327658 CJU327658:CJX327658 CTQ327658:CTT327658 DDM327658:DDP327658 DNI327658:DNL327658 DXE327658:DXH327658 EHA327658:EHD327658 EQW327658:EQZ327658 FAS327658:FAV327658 FKO327658:FKR327658 FUK327658:FUN327658 GEG327658:GEJ327658 GOC327658:GOF327658 GXY327658:GYB327658 HHU327658:HHX327658 HRQ327658:HRT327658 IBM327658:IBP327658 ILI327658:ILL327658 IVE327658:IVH327658 JFA327658:JFD327658 JOW327658:JOZ327658 JYS327658:JYV327658 KIO327658:KIR327658 KSK327658:KSN327658 LCG327658:LCJ327658 LMC327658:LMF327658 LVY327658:LWB327658 MFU327658:MFX327658 MPQ327658:MPT327658 MZM327658:MZP327658 NJI327658:NJL327658 NTE327658:NTH327658 ODA327658:ODD327658 OMW327658:OMZ327658 OWS327658:OWV327658 PGO327658:PGR327658 PQK327658:PQN327658 QAG327658:QAJ327658 QKC327658:QKF327658 QTY327658:QUB327658 RDU327658:RDX327658 RNQ327658:RNT327658 RXM327658:RXP327658 SHI327658:SHL327658 SRE327658:SRH327658 TBA327658:TBD327658 TKW327658:TKZ327658 TUS327658:TUV327658 UEO327658:UER327658 UOK327658:UON327658 UYG327658:UYJ327658 VIC327658:VIF327658 VRY327658:VSB327658 WBU327658:WBX327658 WLQ327658:WLT327658 WVM327658:WVP327658 E393194:H393194 JA393194:JD393194 SW393194:SZ393194 ACS393194:ACV393194 AMO393194:AMR393194 AWK393194:AWN393194 BGG393194:BGJ393194 BQC393194:BQF393194 BZY393194:CAB393194 CJU393194:CJX393194 CTQ393194:CTT393194 DDM393194:DDP393194 DNI393194:DNL393194 DXE393194:DXH393194 EHA393194:EHD393194 EQW393194:EQZ393194 FAS393194:FAV393194 FKO393194:FKR393194 FUK393194:FUN393194 GEG393194:GEJ393194 GOC393194:GOF393194 GXY393194:GYB393194 HHU393194:HHX393194 HRQ393194:HRT393194 IBM393194:IBP393194 ILI393194:ILL393194 IVE393194:IVH393194 JFA393194:JFD393194 JOW393194:JOZ393194 JYS393194:JYV393194 KIO393194:KIR393194 KSK393194:KSN393194 LCG393194:LCJ393194 LMC393194:LMF393194 LVY393194:LWB393194 MFU393194:MFX393194 MPQ393194:MPT393194 MZM393194:MZP393194 NJI393194:NJL393194 NTE393194:NTH393194 ODA393194:ODD393194 OMW393194:OMZ393194 OWS393194:OWV393194 PGO393194:PGR393194 PQK393194:PQN393194 QAG393194:QAJ393194 QKC393194:QKF393194 QTY393194:QUB393194 RDU393194:RDX393194 RNQ393194:RNT393194 RXM393194:RXP393194 SHI393194:SHL393194 SRE393194:SRH393194 TBA393194:TBD393194 TKW393194:TKZ393194 TUS393194:TUV393194 UEO393194:UER393194 UOK393194:UON393194 UYG393194:UYJ393194 VIC393194:VIF393194 VRY393194:VSB393194 WBU393194:WBX393194 WLQ393194:WLT393194 WVM393194:WVP393194 E458730:H458730 JA458730:JD458730 SW458730:SZ458730 ACS458730:ACV458730 AMO458730:AMR458730 AWK458730:AWN458730 BGG458730:BGJ458730 BQC458730:BQF458730 BZY458730:CAB458730 CJU458730:CJX458730 CTQ458730:CTT458730 DDM458730:DDP458730 DNI458730:DNL458730 DXE458730:DXH458730 EHA458730:EHD458730 EQW458730:EQZ458730 FAS458730:FAV458730 FKO458730:FKR458730 FUK458730:FUN458730 GEG458730:GEJ458730 GOC458730:GOF458730 GXY458730:GYB458730 HHU458730:HHX458730 HRQ458730:HRT458730 IBM458730:IBP458730 ILI458730:ILL458730 IVE458730:IVH458730 JFA458730:JFD458730 JOW458730:JOZ458730 JYS458730:JYV458730 KIO458730:KIR458730 KSK458730:KSN458730 LCG458730:LCJ458730 LMC458730:LMF458730 LVY458730:LWB458730 MFU458730:MFX458730 MPQ458730:MPT458730 MZM458730:MZP458730 NJI458730:NJL458730 NTE458730:NTH458730 ODA458730:ODD458730 OMW458730:OMZ458730 OWS458730:OWV458730 PGO458730:PGR458730 PQK458730:PQN458730 QAG458730:QAJ458730 QKC458730:QKF458730 QTY458730:QUB458730 RDU458730:RDX458730 RNQ458730:RNT458730 RXM458730:RXP458730 SHI458730:SHL458730 SRE458730:SRH458730 TBA458730:TBD458730 TKW458730:TKZ458730 TUS458730:TUV458730 UEO458730:UER458730 UOK458730:UON458730 UYG458730:UYJ458730 VIC458730:VIF458730 VRY458730:VSB458730 WBU458730:WBX458730 WLQ458730:WLT458730 WVM458730:WVP458730 E524266:H524266 JA524266:JD524266 SW524266:SZ524266 ACS524266:ACV524266 AMO524266:AMR524266 AWK524266:AWN524266 BGG524266:BGJ524266 BQC524266:BQF524266 BZY524266:CAB524266 CJU524266:CJX524266 CTQ524266:CTT524266 DDM524266:DDP524266 DNI524266:DNL524266 DXE524266:DXH524266 EHA524266:EHD524266 EQW524266:EQZ524266 FAS524266:FAV524266 FKO524266:FKR524266 FUK524266:FUN524266 GEG524266:GEJ524266 GOC524266:GOF524266 GXY524266:GYB524266 HHU524266:HHX524266 HRQ524266:HRT524266 IBM524266:IBP524266 ILI524266:ILL524266 IVE524266:IVH524266 JFA524266:JFD524266 JOW524266:JOZ524266 JYS524266:JYV524266 KIO524266:KIR524266 KSK524266:KSN524266 LCG524266:LCJ524266 LMC524266:LMF524266 LVY524266:LWB524266 MFU524266:MFX524266 MPQ524266:MPT524266 MZM524266:MZP524266 NJI524266:NJL524266 NTE524266:NTH524266 ODA524266:ODD524266 OMW524266:OMZ524266 OWS524266:OWV524266 PGO524266:PGR524266 PQK524266:PQN524266 QAG524266:QAJ524266 QKC524266:QKF524266 QTY524266:QUB524266 RDU524266:RDX524266 RNQ524266:RNT524266 RXM524266:RXP524266 SHI524266:SHL524266 SRE524266:SRH524266 TBA524266:TBD524266 TKW524266:TKZ524266 TUS524266:TUV524266 UEO524266:UER524266 UOK524266:UON524266 UYG524266:UYJ524266 VIC524266:VIF524266 VRY524266:VSB524266 WBU524266:WBX524266 WLQ524266:WLT524266 WVM524266:WVP524266 E589802:H589802 JA589802:JD589802 SW589802:SZ589802 ACS589802:ACV589802 AMO589802:AMR589802 AWK589802:AWN589802 BGG589802:BGJ589802 BQC589802:BQF589802 BZY589802:CAB589802 CJU589802:CJX589802 CTQ589802:CTT589802 DDM589802:DDP589802 DNI589802:DNL589802 DXE589802:DXH589802 EHA589802:EHD589802 EQW589802:EQZ589802 FAS589802:FAV589802 FKO589802:FKR589802 FUK589802:FUN589802 GEG589802:GEJ589802 GOC589802:GOF589802 GXY589802:GYB589802 HHU589802:HHX589802 HRQ589802:HRT589802 IBM589802:IBP589802 ILI589802:ILL589802 IVE589802:IVH589802 JFA589802:JFD589802 JOW589802:JOZ589802 JYS589802:JYV589802 KIO589802:KIR589802 KSK589802:KSN589802 LCG589802:LCJ589802 LMC589802:LMF589802 LVY589802:LWB589802 MFU589802:MFX589802 MPQ589802:MPT589802 MZM589802:MZP589802 NJI589802:NJL589802 NTE589802:NTH589802 ODA589802:ODD589802 OMW589802:OMZ589802 OWS589802:OWV589802 PGO589802:PGR589802 PQK589802:PQN589802 QAG589802:QAJ589802 QKC589802:QKF589802 QTY589802:QUB589802 RDU589802:RDX589802 RNQ589802:RNT589802 RXM589802:RXP589802 SHI589802:SHL589802 SRE589802:SRH589802 TBA589802:TBD589802 TKW589802:TKZ589802 TUS589802:TUV589802 UEO589802:UER589802 UOK589802:UON589802 UYG589802:UYJ589802 VIC589802:VIF589802 VRY589802:VSB589802 WBU589802:WBX589802 WLQ589802:WLT589802 WVM589802:WVP589802 E655338:H655338 JA655338:JD655338 SW655338:SZ655338 ACS655338:ACV655338 AMO655338:AMR655338 AWK655338:AWN655338 BGG655338:BGJ655338 BQC655338:BQF655338 BZY655338:CAB655338 CJU655338:CJX655338 CTQ655338:CTT655338 DDM655338:DDP655338 DNI655338:DNL655338 DXE655338:DXH655338 EHA655338:EHD655338 EQW655338:EQZ655338 FAS655338:FAV655338 FKO655338:FKR655338 FUK655338:FUN655338 GEG655338:GEJ655338 GOC655338:GOF655338 GXY655338:GYB655338 HHU655338:HHX655338 HRQ655338:HRT655338 IBM655338:IBP655338 ILI655338:ILL655338 IVE655338:IVH655338 JFA655338:JFD655338 JOW655338:JOZ655338 JYS655338:JYV655338 KIO655338:KIR655338 KSK655338:KSN655338 LCG655338:LCJ655338 LMC655338:LMF655338 LVY655338:LWB655338 MFU655338:MFX655338 MPQ655338:MPT655338 MZM655338:MZP655338 NJI655338:NJL655338 NTE655338:NTH655338 ODA655338:ODD655338 OMW655338:OMZ655338 OWS655338:OWV655338 PGO655338:PGR655338 PQK655338:PQN655338 QAG655338:QAJ655338 QKC655338:QKF655338 QTY655338:QUB655338 RDU655338:RDX655338 RNQ655338:RNT655338 RXM655338:RXP655338 SHI655338:SHL655338 SRE655338:SRH655338 TBA655338:TBD655338 TKW655338:TKZ655338 TUS655338:TUV655338 UEO655338:UER655338 UOK655338:UON655338 UYG655338:UYJ655338 VIC655338:VIF655338 VRY655338:VSB655338 WBU655338:WBX655338 WLQ655338:WLT655338 WVM655338:WVP655338 E720874:H720874 JA720874:JD720874 SW720874:SZ720874 ACS720874:ACV720874 AMO720874:AMR720874 AWK720874:AWN720874 BGG720874:BGJ720874 BQC720874:BQF720874 BZY720874:CAB720874 CJU720874:CJX720874 CTQ720874:CTT720874 DDM720874:DDP720874 DNI720874:DNL720874 DXE720874:DXH720874 EHA720874:EHD720874 EQW720874:EQZ720874 FAS720874:FAV720874 FKO720874:FKR720874 FUK720874:FUN720874 GEG720874:GEJ720874 GOC720874:GOF720874 GXY720874:GYB720874 HHU720874:HHX720874 HRQ720874:HRT720874 IBM720874:IBP720874 ILI720874:ILL720874 IVE720874:IVH720874 JFA720874:JFD720874 JOW720874:JOZ720874 JYS720874:JYV720874 KIO720874:KIR720874 KSK720874:KSN720874 LCG720874:LCJ720874 LMC720874:LMF720874 LVY720874:LWB720874 MFU720874:MFX720874 MPQ720874:MPT720874 MZM720874:MZP720874 NJI720874:NJL720874 NTE720874:NTH720874 ODA720874:ODD720874 OMW720874:OMZ720874 OWS720874:OWV720874 PGO720874:PGR720874 PQK720874:PQN720874 QAG720874:QAJ720874 QKC720874:QKF720874 QTY720874:QUB720874 RDU720874:RDX720874 RNQ720874:RNT720874 RXM720874:RXP720874 SHI720874:SHL720874 SRE720874:SRH720874 TBA720874:TBD720874 TKW720874:TKZ720874 TUS720874:TUV720874 UEO720874:UER720874 UOK720874:UON720874 UYG720874:UYJ720874 VIC720874:VIF720874 VRY720874:VSB720874 WBU720874:WBX720874 WLQ720874:WLT720874 WVM720874:WVP720874 E786410:H786410 JA786410:JD786410 SW786410:SZ786410 ACS786410:ACV786410 AMO786410:AMR786410 AWK786410:AWN786410 BGG786410:BGJ786410 BQC786410:BQF786410 BZY786410:CAB786410 CJU786410:CJX786410 CTQ786410:CTT786410 DDM786410:DDP786410 DNI786410:DNL786410 DXE786410:DXH786410 EHA786410:EHD786410 EQW786410:EQZ786410 FAS786410:FAV786410 FKO786410:FKR786410 FUK786410:FUN786410 GEG786410:GEJ786410 GOC786410:GOF786410 GXY786410:GYB786410 HHU786410:HHX786410 HRQ786410:HRT786410 IBM786410:IBP786410 ILI786410:ILL786410 IVE786410:IVH786410 JFA786410:JFD786410 JOW786410:JOZ786410 JYS786410:JYV786410 KIO786410:KIR786410 KSK786410:KSN786410 LCG786410:LCJ786410 LMC786410:LMF786410 LVY786410:LWB786410 MFU786410:MFX786410 MPQ786410:MPT786410 MZM786410:MZP786410 NJI786410:NJL786410 NTE786410:NTH786410 ODA786410:ODD786410 OMW786410:OMZ786410 OWS786410:OWV786410 PGO786410:PGR786410 PQK786410:PQN786410 QAG786410:QAJ786410 QKC786410:QKF786410 QTY786410:QUB786410 RDU786410:RDX786410 RNQ786410:RNT786410 RXM786410:RXP786410 SHI786410:SHL786410 SRE786410:SRH786410 TBA786410:TBD786410 TKW786410:TKZ786410 TUS786410:TUV786410 UEO786410:UER786410 UOK786410:UON786410 UYG786410:UYJ786410 VIC786410:VIF786410 VRY786410:VSB786410 WBU786410:WBX786410 WLQ786410:WLT786410 WVM786410:WVP786410 E851946:H851946 JA851946:JD851946 SW851946:SZ851946 ACS851946:ACV851946 AMO851946:AMR851946 AWK851946:AWN851946 BGG851946:BGJ851946 BQC851946:BQF851946 BZY851946:CAB851946 CJU851946:CJX851946 CTQ851946:CTT851946 DDM851946:DDP851946 DNI851946:DNL851946 DXE851946:DXH851946 EHA851946:EHD851946 EQW851946:EQZ851946 FAS851946:FAV851946 FKO851946:FKR851946 FUK851946:FUN851946 GEG851946:GEJ851946 GOC851946:GOF851946 GXY851946:GYB851946 HHU851946:HHX851946 HRQ851946:HRT851946 IBM851946:IBP851946 ILI851946:ILL851946 IVE851946:IVH851946 JFA851946:JFD851946 JOW851946:JOZ851946 JYS851946:JYV851946 KIO851946:KIR851946 KSK851946:KSN851946 LCG851946:LCJ851946 LMC851946:LMF851946 LVY851946:LWB851946 MFU851946:MFX851946 MPQ851946:MPT851946 MZM851946:MZP851946 NJI851946:NJL851946 NTE851946:NTH851946 ODA851946:ODD851946 OMW851946:OMZ851946 OWS851946:OWV851946 PGO851946:PGR851946 PQK851946:PQN851946 QAG851946:QAJ851946 QKC851946:QKF851946 QTY851946:QUB851946 RDU851946:RDX851946 RNQ851946:RNT851946 RXM851946:RXP851946 SHI851946:SHL851946 SRE851946:SRH851946 TBA851946:TBD851946 TKW851946:TKZ851946 TUS851946:TUV851946 UEO851946:UER851946 UOK851946:UON851946 UYG851946:UYJ851946 VIC851946:VIF851946 VRY851946:VSB851946 WBU851946:WBX851946 WLQ851946:WLT851946 WVM851946:WVP851946 E917482:H917482 JA917482:JD917482 SW917482:SZ917482 ACS917482:ACV917482 AMO917482:AMR917482 AWK917482:AWN917482 BGG917482:BGJ917482 BQC917482:BQF917482 BZY917482:CAB917482 CJU917482:CJX917482 CTQ917482:CTT917482 DDM917482:DDP917482 DNI917482:DNL917482 DXE917482:DXH917482 EHA917482:EHD917482 EQW917482:EQZ917482 FAS917482:FAV917482 FKO917482:FKR917482 FUK917482:FUN917482 GEG917482:GEJ917482 GOC917482:GOF917482 GXY917482:GYB917482 HHU917482:HHX917482 HRQ917482:HRT917482 IBM917482:IBP917482 ILI917482:ILL917482 IVE917482:IVH917482 JFA917482:JFD917482 JOW917482:JOZ917482 JYS917482:JYV917482 KIO917482:KIR917482 KSK917482:KSN917482 LCG917482:LCJ917482 LMC917482:LMF917482 LVY917482:LWB917482 MFU917482:MFX917482 MPQ917482:MPT917482 MZM917482:MZP917482 NJI917482:NJL917482 NTE917482:NTH917482 ODA917482:ODD917482 OMW917482:OMZ917482 OWS917482:OWV917482 PGO917482:PGR917482 PQK917482:PQN917482 QAG917482:QAJ917482 QKC917482:QKF917482 QTY917482:QUB917482 RDU917482:RDX917482 RNQ917482:RNT917482 RXM917482:RXP917482 SHI917482:SHL917482 SRE917482:SRH917482 TBA917482:TBD917482 TKW917482:TKZ917482 TUS917482:TUV917482 UEO917482:UER917482 UOK917482:UON917482 UYG917482:UYJ917482 VIC917482:VIF917482 VRY917482:VSB917482 WBU917482:WBX917482 WLQ917482:WLT917482 WVM917482:WVP917482 E983018:H983018 JA983018:JD983018 SW983018:SZ983018 ACS983018:ACV983018 AMO983018:AMR983018 AWK983018:AWN983018 BGG983018:BGJ983018 BQC983018:BQF983018 BZY983018:CAB983018 CJU983018:CJX983018 CTQ983018:CTT983018 DDM983018:DDP983018 DNI983018:DNL983018 DXE983018:DXH983018 EHA983018:EHD983018 EQW983018:EQZ983018 FAS983018:FAV983018 FKO983018:FKR983018 FUK983018:FUN983018 GEG983018:GEJ983018 GOC983018:GOF983018 GXY983018:GYB983018 HHU983018:HHX983018 HRQ983018:HRT983018 IBM983018:IBP983018 ILI983018:ILL983018 IVE983018:IVH983018 JFA983018:JFD983018 JOW983018:JOZ983018 JYS983018:JYV983018 KIO983018:KIR983018 KSK983018:KSN983018 LCG983018:LCJ983018 LMC983018:LMF983018 LVY983018:LWB983018 MFU983018:MFX983018 MPQ983018:MPT983018 MZM983018:MZP983018 NJI983018:NJL983018 NTE983018:NTH983018 ODA983018:ODD983018 OMW983018:OMZ983018 OWS983018:OWV983018 PGO983018:PGR983018 PQK983018:PQN983018 QAG983018:QAJ983018 QKC983018:QKF983018 QTY983018:QUB983018 RDU983018:RDX983018 RNQ983018:RNT983018 RXM983018:RXP983018 SHI983018:SHL983018 SRE983018:SRH983018 TBA983018:TBD983018 TKW983018:TKZ983018 TUS983018:TUV983018 UEO983018:UER983018 UOK983018:UON983018 UYG983018:UYJ983018 VIC983018:VIF983018 VRY983018:VSB983018 WBU983018:WBX983018 WLQ983018:WLT983018 WVM983018:WVP983018 E65512:H65512 JA65512:JD65512 SW65512:SZ65512 ACS65512:ACV65512 AMO65512:AMR65512 AWK65512:AWN65512 BGG65512:BGJ65512 BQC65512:BQF65512 BZY65512:CAB65512 CJU65512:CJX65512 CTQ65512:CTT65512 DDM65512:DDP65512 DNI65512:DNL65512 DXE65512:DXH65512 EHA65512:EHD65512 EQW65512:EQZ65512 FAS65512:FAV65512 FKO65512:FKR65512 FUK65512:FUN65512 GEG65512:GEJ65512 GOC65512:GOF65512 GXY65512:GYB65512 HHU65512:HHX65512 HRQ65512:HRT65512 IBM65512:IBP65512 ILI65512:ILL65512 IVE65512:IVH65512 JFA65512:JFD65512 JOW65512:JOZ65512 JYS65512:JYV65512 KIO65512:KIR65512 KSK65512:KSN65512 LCG65512:LCJ65512 LMC65512:LMF65512 LVY65512:LWB65512 MFU65512:MFX65512 MPQ65512:MPT65512 MZM65512:MZP65512 NJI65512:NJL65512 NTE65512:NTH65512 ODA65512:ODD65512 OMW65512:OMZ65512 OWS65512:OWV65512 PGO65512:PGR65512 PQK65512:PQN65512 QAG65512:QAJ65512 QKC65512:QKF65512 QTY65512:QUB65512 RDU65512:RDX65512 RNQ65512:RNT65512 RXM65512:RXP65512 SHI65512:SHL65512 SRE65512:SRH65512 TBA65512:TBD65512 TKW65512:TKZ65512 TUS65512:TUV65512 UEO65512:UER65512 UOK65512:UON65512 UYG65512:UYJ65512 VIC65512:VIF65512 VRY65512:VSB65512 WBU65512:WBX65512 WLQ65512:WLT65512 WVM65512:WVP65512 E131048:H131048 JA131048:JD131048 SW131048:SZ131048 ACS131048:ACV131048 AMO131048:AMR131048 AWK131048:AWN131048 BGG131048:BGJ131048 BQC131048:BQF131048 BZY131048:CAB131048 CJU131048:CJX131048 CTQ131048:CTT131048 DDM131048:DDP131048 DNI131048:DNL131048 DXE131048:DXH131048 EHA131048:EHD131048 EQW131048:EQZ131048 FAS131048:FAV131048 FKO131048:FKR131048 FUK131048:FUN131048 GEG131048:GEJ131048 GOC131048:GOF131048 GXY131048:GYB131048 HHU131048:HHX131048 HRQ131048:HRT131048 IBM131048:IBP131048 ILI131048:ILL131048 IVE131048:IVH131048 JFA131048:JFD131048 JOW131048:JOZ131048 JYS131048:JYV131048 KIO131048:KIR131048 KSK131048:KSN131048 LCG131048:LCJ131048 LMC131048:LMF131048 LVY131048:LWB131048 MFU131048:MFX131048 MPQ131048:MPT131048 MZM131048:MZP131048 NJI131048:NJL131048 NTE131048:NTH131048 ODA131048:ODD131048 OMW131048:OMZ131048 OWS131048:OWV131048 PGO131048:PGR131048 PQK131048:PQN131048 QAG131048:QAJ131048 QKC131048:QKF131048 QTY131048:QUB131048 RDU131048:RDX131048 RNQ131048:RNT131048 RXM131048:RXP131048 SHI131048:SHL131048 SRE131048:SRH131048 TBA131048:TBD131048 TKW131048:TKZ131048 TUS131048:TUV131048 UEO131048:UER131048 UOK131048:UON131048 UYG131048:UYJ131048 VIC131048:VIF131048 VRY131048:VSB131048 WBU131048:WBX131048 WLQ131048:WLT131048 WVM131048:WVP131048 E196584:H196584 JA196584:JD196584 SW196584:SZ196584 ACS196584:ACV196584 AMO196584:AMR196584 AWK196584:AWN196584 BGG196584:BGJ196584 BQC196584:BQF196584 BZY196584:CAB196584 CJU196584:CJX196584 CTQ196584:CTT196584 DDM196584:DDP196584 DNI196584:DNL196584 DXE196584:DXH196584 EHA196584:EHD196584 EQW196584:EQZ196584 FAS196584:FAV196584 FKO196584:FKR196584 FUK196584:FUN196584 GEG196584:GEJ196584 GOC196584:GOF196584 GXY196584:GYB196584 HHU196584:HHX196584 HRQ196584:HRT196584 IBM196584:IBP196584 ILI196584:ILL196584 IVE196584:IVH196584 JFA196584:JFD196584 JOW196584:JOZ196584 JYS196584:JYV196584 KIO196584:KIR196584 KSK196584:KSN196584 LCG196584:LCJ196584 LMC196584:LMF196584 LVY196584:LWB196584 MFU196584:MFX196584 MPQ196584:MPT196584 MZM196584:MZP196584 NJI196584:NJL196584 NTE196584:NTH196584 ODA196584:ODD196584 OMW196584:OMZ196584 OWS196584:OWV196584 PGO196584:PGR196584 PQK196584:PQN196584 QAG196584:QAJ196584 QKC196584:QKF196584 QTY196584:QUB196584 RDU196584:RDX196584 RNQ196584:RNT196584 RXM196584:RXP196584 SHI196584:SHL196584 SRE196584:SRH196584 TBA196584:TBD196584 TKW196584:TKZ196584 TUS196584:TUV196584 UEO196584:UER196584 UOK196584:UON196584 UYG196584:UYJ196584 VIC196584:VIF196584 VRY196584:VSB196584 WBU196584:WBX196584 WLQ196584:WLT196584 WVM196584:WVP196584 E262120:H262120 JA262120:JD262120 SW262120:SZ262120 ACS262120:ACV262120 AMO262120:AMR262120 AWK262120:AWN262120 BGG262120:BGJ262120 BQC262120:BQF262120 BZY262120:CAB262120 CJU262120:CJX262120 CTQ262120:CTT262120 DDM262120:DDP262120 DNI262120:DNL262120 DXE262120:DXH262120 EHA262120:EHD262120 EQW262120:EQZ262120 FAS262120:FAV262120 FKO262120:FKR262120 FUK262120:FUN262120 GEG262120:GEJ262120 GOC262120:GOF262120 GXY262120:GYB262120 HHU262120:HHX262120 HRQ262120:HRT262120 IBM262120:IBP262120 ILI262120:ILL262120 IVE262120:IVH262120 JFA262120:JFD262120 JOW262120:JOZ262120 JYS262120:JYV262120 KIO262120:KIR262120 KSK262120:KSN262120 LCG262120:LCJ262120 LMC262120:LMF262120 LVY262120:LWB262120 MFU262120:MFX262120 MPQ262120:MPT262120 MZM262120:MZP262120 NJI262120:NJL262120 NTE262120:NTH262120 ODA262120:ODD262120 OMW262120:OMZ262120 OWS262120:OWV262120 PGO262120:PGR262120 PQK262120:PQN262120 QAG262120:QAJ262120 QKC262120:QKF262120 QTY262120:QUB262120 RDU262120:RDX262120 RNQ262120:RNT262120 RXM262120:RXP262120 SHI262120:SHL262120 SRE262120:SRH262120 TBA262120:TBD262120 TKW262120:TKZ262120 TUS262120:TUV262120 UEO262120:UER262120 UOK262120:UON262120 UYG262120:UYJ262120 VIC262120:VIF262120 VRY262120:VSB262120 WBU262120:WBX262120 WLQ262120:WLT262120 WVM262120:WVP262120 E327656:H327656 JA327656:JD327656 SW327656:SZ327656 ACS327656:ACV327656 AMO327656:AMR327656 AWK327656:AWN327656 BGG327656:BGJ327656 BQC327656:BQF327656 BZY327656:CAB327656 CJU327656:CJX327656 CTQ327656:CTT327656 DDM327656:DDP327656 DNI327656:DNL327656 DXE327656:DXH327656 EHA327656:EHD327656 EQW327656:EQZ327656 FAS327656:FAV327656 FKO327656:FKR327656 FUK327656:FUN327656 GEG327656:GEJ327656 GOC327656:GOF327656 GXY327656:GYB327656 HHU327656:HHX327656 HRQ327656:HRT327656 IBM327656:IBP327656 ILI327656:ILL327656 IVE327656:IVH327656 JFA327656:JFD327656 JOW327656:JOZ327656 JYS327656:JYV327656 KIO327656:KIR327656 KSK327656:KSN327656 LCG327656:LCJ327656 LMC327656:LMF327656 LVY327656:LWB327656 MFU327656:MFX327656 MPQ327656:MPT327656 MZM327656:MZP327656 NJI327656:NJL327656 NTE327656:NTH327656 ODA327656:ODD327656 OMW327656:OMZ327656 OWS327656:OWV327656 PGO327656:PGR327656 PQK327656:PQN327656 QAG327656:QAJ327656 QKC327656:QKF327656 QTY327656:QUB327656 RDU327656:RDX327656 RNQ327656:RNT327656 RXM327656:RXP327656 SHI327656:SHL327656 SRE327656:SRH327656 TBA327656:TBD327656 TKW327656:TKZ327656 TUS327656:TUV327656 UEO327656:UER327656 UOK327656:UON327656 UYG327656:UYJ327656 VIC327656:VIF327656 VRY327656:VSB327656 WBU327656:WBX327656 WLQ327656:WLT327656 WVM327656:WVP327656 E393192:H393192 JA393192:JD393192 SW393192:SZ393192 ACS393192:ACV393192 AMO393192:AMR393192 AWK393192:AWN393192 BGG393192:BGJ393192 BQC393192:BQF393192 BZY393192:CAB393192 CJU393192:CJX393192 CTQ393192:CTT393192 DDM393192:DDP393192 DNI393192:DNL393192 DXE393192:DXH393192 EHA393192:EHD393192 EQW393192:EQZ393192 FAS393192:FAV393192 FKO393192:FKR393192 FUK393192:FUN393192 GEG393192:GEJ393192 GOC393192:GOF393192 GXY393192:GYB393192 HHU393192:HHX393192 HRQ393192:HRT393192 IBM393192:IBP393192 ILI393192:ILL393192 IVE393192:IVH393192 JFA393192:JFD393192 JOW393192:JOZ393192 JYS393192:JYV393192 KIO393192:KIR393192 KSK393192:KSN393192 LCG393192:LCJ393192 LMC393192:LMF393192 LVY393192:LWB393192 MFU393192:MFX393192 MPQ393192:MPT393192 MZM393192:MZP393192 NJI393192:NJL393192 NTE393192:NTH393192 ODA393192:ODD393192 OMW393192:OMZ393192 OWS393192:OWV393192 PGO393192:PGR393192 PQK393192:PQN393192 QAG393192:QAJ393192 QKC393192:QKF393192 QTY393192:QUB393192 RDU393192:RDX393192 RNQ393192:RNT393192 RXM393192:RXP393192 SHI393192:SHL393192 SRE393192:SRH393192 TBA393192:TBD393192 TKW393192:TKZ393192 TUS393192:TUV393192 UEO393192:UER393192 UOK393192:UON393192 UYG393192:UYJ393192 VIC393192:VIF393192 VRY393192:VSB393192 WBU393192:WBX393192 WLQ393192:WLT393192 WVM393192:WVP393192 E458728:H458728 JA458728:JD458728 SW458728:SZ458728 ACS458728:ACV458728 AMO458728:AMR458728 AWK458728:AWN458728 BGG458728:BGJ458728 BQC458728:BQF458728 BZY458728:CAB458728 CJU458728:CJX458728 CTQ458728:CTT458728 DDM458728:DDP458728 DNI458728:DNL458728 DXE458728:DXH458728 EHA458728:EHD458728 EQW458728:EQZ458728 FAS458728:FAV458728 FKO458728:FKR458728 FUK458728:FUN458728 GEG458728:GEJ458728 GOC458728:GOF458728 GXY458728:GYB458728 HHU458728:HHX458728 HRQ458728:HRT458728 IBM458728:IBP458728 ILI458728:ILL458728 IVE458728:IVH458728 JFA458728:JFD458728 JOW458728:JOZ458728 JYS458728:JYV458728 KIO458728:KIR458728 KSK458728:KSN458728 LCG458728:LCJ458728 LMC458728:LMF458728 LVY458728:LWB458728 MFU458728:MFX458728 MPQ458728:MPT458728 MZM458728:MZP458728 NJI458728:NJL458728 NTE458728:NTH458728 ODA458728:ODD458728 OMW458728:OMZ458728 OWS458728:OWV458728 PGO458728:PGR458728 PQK458728:PQN458728 QAG458728:QAJ458728 QKC458728:QKF458728 QTY458728:QUB458728 RDU458728:RDX458728 RNQ458728:RNT458728 RXM458728:RXP458728 SHI458728:SHL458728 SRE458728:SRH458728 TBA458728:TBD458728 TKW458728:TKZ458728 TUS458728:TUV458728 UEO458728:UER458728 UOK458728:UON458728 UYG458728:UYJ458728 VIC458728:VIF458728 VRY458728:VSB458728 WBU458728:WBX458728 WLQ458728:WLT458728 WVM458728:WVP458728 E524264:H524264 JA524264:JD524264 SW524264:SZ524264 ACS524264:ACV524264 AMO524264:AMR524264 AWK524264:AWN524264 BGG524264:BGJ524264 BQC524264:BQF524264 BZY524264:CAB524264 CJU524264:CJX524264 CTQ524264:CTT524264 DDM524264:DDP524264 DNI524264:DNL524264 DXE524264:DXH524264 EHA524264:EHD524264 EQW524264:EQZ524264 FAS524264:FAV524264 FKO524264:FKR524264 FUK524264:FUN524264 GEG524264:GEJ524264 GOC524264:GOF524264 GXY524264:GYB524264 HHU524264:HHX524264 HRQ524264:HRT524264 IBM524264:IBP524264 ILI524264:ILL524264 IVE524264:IVH524264 JFA524264:JFD524264 JOW524264:JOZ524264 JYS524264:JYV524264 KIO524264:KIR524264 KSK524264:KSN524264 LCG524264:LCJ524264 LMC524264:LMF524264 LVY524264:LWB524264 MFU524264:MFX524264 MPQ524264:MPT524264 MZM524264:MZP524264 NJI524264:NJL524264 NTE524264:NTH524264 ODA524264:ODD524264 OMW524264:OMZ524264 OWS524264:OWV524264 PGO524264:PGR524264 PQK524264:PQN524264 QAG524264:QAJ524264 QKC524264:QKF524264 QTY524264:QUB524264 RDU524264:RDX524264 RNQ524264:RNT524264 RXM524264:RXP524264 SHI524264:SHL524264 SRE524264:SRH524264 TBA524264:TBD524264 TKW524264:TKZ524264 TUS524264:TUV524264 UEO524264:UER524264 UOK524264:UON524264 UYG524264:UYJ524264 VIC524264:VIF524264 VRY524264:VSB524264 WBU524264:WBX524264 WLQ524264:WLT524264 WVM524264:WVP524264 E589800:H589800 JA589800:JD589800 SW589800:SZ589800 ACS589800:ACV589800 AMO589800:AMR589800 AWK589800:AWN589800 BGG589800:BGJ589800 BQC589800:BQF589800 BZY589800:CAB589800 CJU589800:CJX589800 CTQ589800:CTT589800 DDM589800:DDP589800 DNI589800:DNL589800 DXE589800:DXH589800 EHA589800:EHD589800 EQW589800:EQZ589800 FAS589800:FAV589800 FKO589800:FKR589800 FUK589800:FUN589800 GEG589800:GEJ589800 GOC589800:GOF589800 GXY589800:GYB589800 HHU589800:HHX589800 HRQ589800:HRT589800 IBM589800:IBP589800 ILI589800:ILL589800 IVE589800:IVH589800 JFA589800:JFD589800 JOW589800:JOZ589800 JYS589800:JYV589800 KIO589800:KIR589800 KSK589800:KSN589800 LCG589800:LCJ589800 LMC589800:LMF589800 LVY589800:LWB589800 MFU589800:MFX589800 MPQ589800:MPT589800 MZM589800:MZP589800 NJI589800:NJL589800 NTE589800:NTH589800 ODA589800:ODD589800 OMW589800:OMZ589800 OWS589800:OWV589800 PGO589800:PGR589800 PQK589800:PQN589800 QAG589800:QAJ589800 QKC589800:QKF589800 QTY589800:QUB589800 RDU589800:RDX589800 RNQ589800:RNT589800 RXM589800:RXP589800 SHI589800:SHL589800 SRE589800:SRH589800 TBA589800:TBD589800 TKW589800:TKZ589800 TUS589800:TUV589800 UEO589800:UER589800 UOK589800:UON589800 UYG589800:UYJ589800 VIC589800:VIF589800 VRY589800:VSB589800 WBU589800:WBX589800 WLQ589800:WLT589800 WVM589800:WVP589800 E655336:H655336 JA655336:JD655336 SW655336:SZ655336 ACS655336:ACV655336 AMO655336:AMR655336 AWK655336:AWN655336 BGG655336:BGJ655336 BQC655336:BQF655336 BZY655336:CAB655336 CJU655336:CJX655336 CTQ655336:CTT655336 DDM655336:DDP655336 DNI655336:DNL655336 DXE655336:DXH655336 EHA655336:EHD655336 EQW655336:EQZ655336 FAS655336:FAV655336 FKO655336:FKR655336 FUK655336:FUN655336 GEG655336:GEJ655336 GOC655336:GOF655336 GXY655336:GYB655336 HHU655336:HHX655336 HRQ655336:HRT655336 IBM655336:IBP655336 ILI655336:ILL655336 IVE655336:IVH655336 JFA655336:JFD655336 JOW655336:JOZ655336 JYS655336:JYV655336 KIO655336:KIR655336 KSK655336:KSN655336 LCG655336:LCJ655336 LMC655336:LMF655336 LVY655336:LWB655336 MFU655336:MFX655336 MPQ655336:MPT655336 MZM655336:MZP655336 NJI655336:NJL655336 NTE655336:NTH655336 ODA655336:ODD655336 OMW655336:OMZ655336 OWS655336:OWV655336 PGO655336:PGR655336 PQK655336:PQN655336 QAG655336:QAJ655336 QKC655336:QKF655336 QTY655336:QUB655336 RDU655336:RDX655336 RNQ655336:RNT655336 RXM655336:RXP655336 SHI655336:SHL655336 SRE655336:SRH655336 TBA655336:TBD655336 TKW655336:TKZ655336 TUS655336:TUV655336 UEO655336:UER655336 UOK655336:UON655336 UYG655336:UYJ655336 VIC655336:VIF655336 VRY655336:VSB655336 WBU655336:WBX655336 WLQ655336:WLT655336 WVM655336:WVP655336 E720872:H720872 JA720872:JD720872 SW720872:SZ720872 ACS720872:ACV720872 AMO720872:AMR720872 AWK720872:AWN720872 BGG720872:BGJ720872 BQC720872:BQF720872 BZY720872:CAB720872 CJU720872:CJX720872 CTQ720872:CTT720872 DDM720872:DDP720872 DNI720872:DNL720872 DXE720872:DXH720872 EHA720872:EHD720872 EQW720872:EQZ720872 FAS720872:FAV720872 FKO720872:FKR720872 FUK720872:FUN720872 GEG720872:GEJ720872 GOC720872:GOF720872 GXY720872:GYB720872 HHU720872:HHX720872 HRQ720872:HRT720872 IBM720872:IBP720872 ILI720872:ILL720872 IVE720872:IVH720872 JFA720872:JFD720872 JOW720872:JOZ720872 JYS720872:JYV720872 KIO720872:KIR720872 KSK720872:KSN720872 LCG720872:LCJ720872 LMC720872:LMF720872 LVY720872:LWB720872 MFU720872:MFX720872 MPQ720872:MPT720872 MZM720872:MZP720872 NJI720872:NJL720872 NTE720872:NTH720872 ODA720872:ODD720872 OMW720872:OMZ720872 OWS720872:OWV720872 PGO720872:PGR720872 PQK720872:PQN720872 QAG720872:QAJ720872 QKC720872:QKF720872 QTY720872:QUB720872 RDU720872:RDX720872 RNQ720872:RNT720872 RXM720872:RXP720872 SHI720872:SHL720872 SRE720872:SRH720872 TBA720872:TBD720872 TKW720872:TKZ720872 TUS720872:TUV720872 UEO720872:UER720872 UOK720872:UON720872 UYG720872:UYJ720872 VIC720872:VIF720872 VRY720872:VSB720872 WBU720872:WBX720872 WLQ720872:WLT720872 WVM720872:WVP720872 E786408:H786408 JA786408:JD786408 SW786408:SZ786408 ACS786408:ACV786408 AMO786408:AMR786408 AWK786408:AWN786408 BGG786408:BGJ786408 BQC786408:BQF786408 BZY786408:CAB786408 CJU786408:CJX786408 CTQ786408:CTT786408 DDM786408:DDP786408 DNI786408:DNL786408 DXE786408:DXH786408 EHA786408:EHD786408 EQW786408:EQZ786408 FAS786408:FAV786408 FKO786408:FKR786408 FUK786408:FUN786408 GEG786408:GEJ786408 GOC786408:GOF786408 GXY786408:GYB786408 HHU786408:HHX786408 HRQ786408:HRT786408 IBM786408:IBP786408 ILI786408:ILL786408 IVE786408:IVH786408 JFA786408:JFD786408 JOW786408:JOZ786408 JYS786408:JYV786408 KIO786408:KIR786408 KSK786408:KSN786408 LCG786408:LCJ786408 LMC786408:LMF786408 LVY786408:LWB786408 MFU786408:MFX786408 MPQ786408:MPT786408 MZM786408:MZP786408 NJI786408:NJL786408 NTE786408:NTH786408 ODA786408:ODD786408 OMW786408:OMZ786408 OWS786408:OWV786408 PGO786408:PGR786408 PQK786408:PQN786408 QAG786408:QAJ786408 QKC786408:QKF786408 QTY786408:QUB786408 RDU786408:RDX786408 RNQ786408:RNT786408 RXM786408:RXP786408 SHI786408:SHL786408 SRE786408:SRH786408 TBA786408:TBD786408 TKW786408:TKZ786408 TUS786408:TUV786408 UEO786408:UER786408 UOK786408:UON786408 UYG786408:UYJ786408 VIC786408:VIF786408 VRY786408:VSB786408 WBU786408:WBX786408 WLQ786408:WLT786408 WVM786408:WVP786408 E851944:H851944 JA851944:JD851944 SW851944:SZ851944 ACS851944:ACV851944 AMO851944:AMR851944 AWK851944:AWN851944 BGG851944:BGJ851944 BQC851944:BQF851944 BZY851944:CAB851944 CJU851944:CJX851944 CTQ851944:CTT851944 DDM851944:DDP851944 DNI851944:DNL851944 DXE851944:DXH851944 EHA851944:EHD851944 EQW851944:EQZ851944 FAS851944:FAV851944 FKO851944:FKR851944 FUK851944:FUN851944 GEG851944:GEJ851944 GOC851944:GOF851944 GXY851944:GYB851944 HHU851944:HHX851944 HRQ851944:HRT851944 IBM851944:IBP851944 ILI851944:ILL851944 IVE851944:IVH851944 JFA851944:JFD851944 JOW851944:JOZ851944 JYS851944:JYV851944 KIO851944:KIR851944 KSK851944:KSN851944 LCG851944:LCJ851944 LMC851944:LMF851944 LVY851944:LWB851944 MFU851944:MFX851944 MPQ851944:MPT851944 MZM851944:MZP851944 NJI851944:NJL851944 NTE851944:NTH851944 ODA851944:ODD851944 OMW851944:OMZ851944 OWS851944:OWV851944 PGO851944:PGR851944 PQK851944:PQN851944 QAG851944:QAJ851944 QKC851944:QKF851944 QTY851944:QUB851944 RDU851944:RDX851944 RNQ851944:RNT851944 RXM851944:RXP851944 SHI851944:SHL851944 SRE851944:SRH851944 TBA851944:TBD851944 TKW851944:TKZ851944 TUS851944:TUV851944 UEO851944:UER851944 UOK851944:UON851944 UYG851944:UYJ851944 VIC851944:VIF851944 VRY851944:VSB851944 WBU851944:WBX851944 WLQ851944:WLT851944 WVM851944:WVP851944 E917480:H917480 JA917480:JD917480 SW917480:SZ917480 ACS917480:ACV917480 AMO917480:AMR917480 AWK917480:AWN917480 BGG917480:BGJ917480 BQC917480:BQF917480 BZY917480:CAB917480 CJU917480:CJX917480 CTQ917480:CTT917480 DDM917480:DDP917480 DNI917480:DNL917480 DXE917480:DXH917480 EHA917480:EHD917480 EQW917480:EQZ917480 FAS917480:FAV917480 FKO917480:FKR917480 FUK917480:FUN917480 GEG917480:GEJ917480 GOC917480:GOF917480 GXY917480:GYB917480 HHU917480:HHX917480 HRQ917480:HRT917480 IBM917480:IBP917480 ILI917480:ILL917480 IVE917480:IVH917480 JFA917480:JFD917480 JOW917480:JOZ917480 JYS917480:JYV917480 KIO917480:KIR917480 KSK917480:KSN917480 LCG917480:LCJ917480 LMC917480:LMF917480 LVY917480:LWB917480 MFU917480:MFX917480 MPQ917480:MPT917480 MZM917480:MZP917480 NJI917480:NJL917480 NTE917480:NTH917480 ODA917480:ODD917480 OMW917480:OMZ917480 OWS917480:OWV917480 PGO917480:PGR917480 PQK917480:PQN917480 QAG917480:QAJ917480 QKC917480:QKF917480 QTY917480:QUB917480 RDU917480:RDX917480 RNQ917480:RNT917480 RXM917480:RXP917480 SHI917480:SHL917480 SRE917480:SRH917480 TBA917480:TBD917480 TKW917480:TKZ917480 TUS917480:TUV917480 UEO917480:UER917480 UOK917480:UON917480 UYG917480:UYJ917480 VIC917480:VIF917480 VRY917480:VSB917480 WBU917480:WBX917480 WLQ917480:WLT917480 WVM917480:WVP917480 E983016:H983016 JA983016:JD983016 SW983016:SZ983016 ACS983016:ACV983016 AMO983016:AMR983016 AWK983016:AWN983016 BGG983016:BGJ983016 BQC983016:BQF983016 BZY983016:CAB983016 CJU983016:CJX983016 CTQ983016:CTT983016 DDM983016:DDP983016 DNI983016:DNL983016 DXE983016:DXH983016 EHA983016:EHD983016 EQW983016:EQZ983016 FAS983016:FAV983016 FKO983016:FKR983016 FUK983016:FUN983016 GEG983016:GEJ983016 GOC983016:GOF983016 GXY983016:GYB983016 HHU983016:HHX983016 HRQ983016:HRT983016 IBM983016:IBP983016 ILI983016:ILL983016 IVE983016:IVH983016 JFA983016:JFD983016 JOW983016:JOZ983016 JYS983016:JYV983016 KIO983016:KIR983016 KSK983016:KSN983016 LCG983016:LCJ983016 LMC983016:LMF983016 LVY983016:LWB983016 MFU983016:MFX983016 MPQ983016:MPT983016 MZM983016:MZP983016 NJI983016:NJL983016 NTE983016:NTH983016 ODA983016:ODD983016 OMW983016:OMZ983016 OWS983016:OWV983016 PGO983016:PGR983016 PQK983016:PQN983016 QAG983016:QAJ983016 QKC983016:QKF983016 QTY983016:QUB983016 RDU983016:RDX983016 RNQ983016:RNT983016 RXM983016:RXP983016 SHI983016:SHL983016 SRE983016:SRH983016 TBA983016:TBD983016 TKW983016:TKZ983016 TUS983016:TUV983016 UEO983016:UER983016 UOK983016:UON983016 UYG983016:UYJ983016 VIC983016:VIF983016 VRY983016:VSB983016 WBU983016:WBX983016 WLQ983016:WLT983016" xr:uid="{00000000-0002-0000-0500-00000D000000}">
      <formula1>1</formula1>
    </dataValidation>
    <dataValidation type="list" operator="lessThanOrEqual" showInputMessage="1" showErrorMessage="1" sqref="E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E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E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E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E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E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E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E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E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E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E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E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E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E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E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xr:uid="{00000000-0002-0000-0500-00000E000000}">
      <formula1>"ACT,Qld,NSW,Vic,Tas,SA"</formula1>
    </dataValidation>
    <dataValidation type="list" allowBlank="1" showInputMessage="1" showErrorMessage="1" errorTitle="Source" error="Use drop down list to select." promptTitle="Source" prompt="Use drop down list to select type of submission." sqref="C22:E22" xr:uid="{00000000-0002-0000-0500-00000F000000}">
      <formula1>dms_SourceList</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 X" sqref="C23:I23" xr:uid="{00000000-0002-0000-0500-000010000000}">
      <formula1>150</formula1>
    </dataValidation>
    <dataValidation type="list" allowBlank="1" showInputMessage="1" showErrorMessage="1" promptTitle="Trading Name" prompt="Use drop down to select business name. ABN will auto populate once business name is selected." sqref="C14:H14" xr:uid="{00000000-0002-0000-0500-000011000000}">
      <formula1>dms_TradingName_List</formula1>
    </dataValidation>
  </dataValidations>
  <printOptions headings="1"/>
  <pageMargins left="0.70866141732283472" right="0.70866141732283472" top="0.74803149606299213" bottom="0.74803149606299213" header="0.31496062992125984" footer="0.31496062992125984"/>
  <pageSetup paperSize="9" scale="44" orientation="landscape" r:id="rId1"/>
  <headerFooter>
    <oddHeader>&amp;C&amp;A</oddHeader>
    <oddFooter>&amp;LAppendix A - Transmission roll forward model - version 3&amp;R1</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AI532"/>
  <sheetViews>
    <sheetView showGridLines="0" zoomScale="80" zoomScaleNormal="80" workbookViewId="0"/>
  </sheetViews>
  <sheetFormatPr defaultRowHeight="12.75" outlineLevelRow="2"/>
  <cols>
    <col min="1" max="1" width="12.140625" customWidth="1"/>
    <col min="2" max="2" width="29.5703125" customWidth="1"/>
    <col min="3" max="3" width="1.28515625" customWidth="1"/>
    <col min="4" max="4" width="20.7109375" customWidth="1"/>
    <col min="5" max="5" width="49.140625" customWidth="1"/>
    <col min="6" max="6" width="21.28515625" customWidth="1"/>
    <col min="7" max="7" width="19.42578125" customWidth="1"/>
    <col min="8" max="19" width="17.28515625" customWidth="1"/>
    <col min="20" max="22" width="17" customWidth="1"/>
    <col min="23" max="24" width="12.5703125" customWidth="1"/>
    <col min="25" max="25" width="11.42578125" bestFit="1" customWidth="1"/>
    <col min="26" max="26" width="11.5703125" bestFit="1" customWidth="1"/>
    <col min="27" max="27" width="13.42578125" customWidth="1"/>
    <col min="28" max="28" width="12.42578125" customWidth="1"/>
    <col min="29" max="29" width="12" customWidth="1"/>
    <col min="30" max="30" width="12.42578125" customWidth="1"/>
    <col min="31" max="31" width="12.5703125" customWidth="1"/>
    <col min="32" max="32" width="12.42578125" customWidth="1"/>
    <col min="33" max="33" width="13.5703125" customWidth="1"/>
    <col min="34" max="34" width="14.85546875" customWidth="1"/>
  </cols>
  <sheetData>
    <row r="1" spans="1:35">
      <c r="A1" s="4"/>
      <c r="B1" s="4"/>
      <c r="C1" s="4"/>
      <c r="D1" s="4"/>
      <c r="E1" s="4"/>
      <c r="F1" s="33"/>
      <c r="G1" s="33"/>
      <c r="H1" s="33"/>
      <c r="I1" s="33"/>
      <c r="J1" s="33"/>
      <c r="K1" s="33"/>
      <c r="L1" s="33"/>
      <c r="M1" s="33"/>
      <c r="N1" s="33"/>
      <c r="O1" s="33"/>
      <c r="P1" s="33"/>
      <c r="Q1" s="33"/>
      <c r="R1" s="33"/>
      <c r="S1" s="33"/>
      <c r="T1" s="33"/>
      <c r="U1" s="33"/>
      <c r="V1" s="33"/>
      <c r="W1" s="33"/>
      <c r="X1" s="33"/>
      <c r="Y1" s="3"/>
      <c r="Z1" s="3"/>
      <c r="AA1" s="10"/>
      <c r="AB1" s="3"/>
      <c r="AC1" s="3"/>
      <c r="AD1" s="3"/>
    </row>
    <row r="2" spans="1:35" ht="16.5" customHeight="1">
      <c r="A2" s="4"/>
      <c r="B2" s="4"/>
      <c r="C2" s="4"/>
      <c r="D2" s="4"/>
      <c r="E2" s="1567" t="str">
        <f>'DMS input'!$C$16&amp;" - RFM Input"&amp;" - DNSP RFM - version "&amp;Intro!$M$4</f>
        <v>Aus Gas Qld - RFM Input - DNSP RFM - version 3</v>
      </c>
      <c r="F2" s="1567"/>
      <c r="G2" s="1584" t="s">
        <v>39</v>
      </c>
      <c r="H2" s="1585"/>
      <c r="I2" s="33"/>
      <c r="J2" s="33"/>
      <c r="K2" s="33"/>
      <c r="L2" s="33"/>
      <c r="M2" s="33"/>
      <c r="N2" s="33"/>
      <c r="O2" s="33"/>
      <c r="P2" s="33"/>
      <c r="Q2" s="33"/>
      <c r="R2" s="33"/>
      <c r="S2" s="33"/>
      <c r="T2" s="33"/>
      <c r="U2" s="33"/>
      <c r="V2" s="33"/>
      <c r="W2" s="33"/>
      <c r="X2" s="10"/>
      <c r="Y2" s="10"/>
      <c r="Z2" s="10"/>
      <c r="AA2" s="10"/>
      <c r="AB2" s="3"/>
      <c r="AC2" s="3"/>
      <c r="AD2" s="3"/>
    </row>
    <row r="3" spans="1:35">
      <c r="A3" s="36"/>
      <c r="B3" s="36"/>
      <c r="C3" s="36"/>
      <c r="D3" s="36"/>
      <c r="E3" s="36"/>
      <c r="F3" s="37"/>
      <c r="G3" s="37"/>
      <c r="H3" s="36"/>
      <c r="I3" s="36"/>
      <c r="J3" s="36"/>
      <c r="K3" s="33"/>
      <c r="L3" s="33"/>
      <c r="M3" s="33"/>
      <c r="N3" s="36"/>
      <c r="O3" s="36"/>
      <c r="P3" s="36"/>
      <c r="Q3" s="36"/>
      <c r="R3" s="36"/>
      <c r="S3" s="36"/>
      <c r="T3" s="36"/>
      <c r="U3" s="36"/>
      <c r="V3" s="36"/>
      <c r="W3" s="36"/>
      <c r="X3" s="35"/>
      <c r="Y3" s="35"/>
      <c r="Z3" s="35"/>
      <c r="AA3" s="35"/>
      <c r="AB3" s="29"/>
      <c r="AC3" s="29"/>
      <c r="AD3" s="29"/>
    </row>
    <row r="4" spans="1:35" ht="15.75">
      <c r="A4" s="44"/>
      <c r="B4" s="44"/>
      <c r="C4" s="44"/>
      <c r="D4" s="44"/>
      <c r="E4" s="44"/>
      <c r="F4" s="45"/>
      <c r="G4" s="45"/>
      <c r="H4" s="46"/>
      <c r="I4" s="47"/>
      <c r="J4" s="45"/>
      <c r="K4" s="44"/>
      <c r="L4" s="44"/>
      <c r="M4" s="44"/>
      <c r="N4" s="44"/>
      <c r="O4" s="44"/>
      <c r="P4" s="44"/>
      <c r="Q4" s="44"/>
      <c r="R4" s="44"/>
      <c r="S4" s="44"/>
      <c r="T4" s="44"/>
      <c r="U4" s="44"/>
      <c r="V4" s="44"/>
      <c r="W4" s="44"/>
      <c r="X4" s="44"/>
      <c r="Y4" s="44"/>
      <c r="Z4" s="44"/>
      <c r="AA4" s="44"/>
      <c r="AB4" s="27"/>
      <c r="AC4" s="27"/>
      <c r="AD4" s="27"/>
    </row>
    <row r="5" spans="1:35">
      <c r="A5" s="48"/>
      <c r="B5" s="48"/>
      <c r="C5" s="48"/>
      <c r="D5" s="48"/>
      <c r="E5" s="1583" t="str">
        <f>"Opening Regulatory Asset Base for "&amp;IF(LEN($U$7)&gt;4,CONCATENATE(LEFT($U$7,4)-1&amp;"-"&amp;IF($U$7&gt;"2009-10",,"0")&amp;RIGHT($U$7,2)-1),$U$7-1)&amp;" and Opening Tax Asset Base for "&amp;$U$7&amp;" ($m Nominal)"</f>
        <v>Opening Regulatory Asset Base for 2015-16 and Opening Tax Asset Base for 2016-17 ($m Nominal)</v>
      </c>
      <c r="F5" s="1583"/>
      <c r="G5" s="1583"/>
      <c r="H5" s="1583"/>
      <c r="I5" s="1583"/>
      <c r="J5" s="98"/>
      <c r="K5" s="98"/>
      <c r="L5" s="49"/>
      <c r="M5" s="50"/>
      <c r="N5" s="49"/>
      <c r="O5" s="49"/>
      <c r="P5" s="49"/>
      <c r="Q5" s="49"/>
      <c r="R5" s="49"/>
      <c r="S5" s="49"/>
      <c r="T5" s="49"/>
      <c r="U5" s="49"/>
      <c r="V5" s="50"/>
      <c r="W5" s="50"/>
      <c r="X5" s="50"/>
      <c r="Y5" s="50"/>
      <c r="Z5" s="50"/>
      <c r="AA5" s="50"/>
      <c r="AB5" s="28"/>
      <c r="AC5" s="3"/>
    </row>
    <row r="6" spans="1:35" ht="59.45" customHeight="1">
      <c r="A6" s="4"/>
      <c r="B6" s="4"/>
      <c r="C6" s="4"/>
      <c r="D6" s="4"/>
      <c r="E6" s="4"/>
      <c r="F6" s="1586" t="s">
        <v>44</v>
      </c>
      <c r="G6" s="1586"/>
      <c r="H6" s="1586"/>
      <c r="I6" s="219" t="s">
        <v>532</v>
      </c>
      <c r="J6" s="220" t="s">
        <v>52</v>
      </c>
      <c r="K6" s="220" t="s">
        <v>49</v>
      </c>
      <c r="L6" s="220" t="s">
        <v>533</v>
      </c>
      <c r="M6" s="220" t="s">
        <v>534</v>
      </c>
      <c r="N6" s="220" t="s">
        <v>1135</v>
      </c>
      <c r="O6" s="220" t="s">
        <v>535</v>
      </c>
      <c r="P6" s="220" t="s">
        <v>536</v>
      </c>
      <c r="Q6" s="220" t="s">
        <v>537</v>
      </c>
      <c r="R6" s="220" t="s">
        <v>54</v>
      </c>
      <c r="S6" s="220" t="s">
        <v>53</v>
      </c>
      <c r="T6" s="220" t="s">
        <v>48</v>
      </c>
      <c r="U6" s="220" t="s">
        <v>129</v>
      </c>
      <c r="V6" s="220" t="s">
        <v>50</v>
      </c>
      <c r="W6" s="2"/>
      <c r="X6" s="382"/>
      <c r="Y6" s="382"/>
      <c r="Z6" s="382"/>
      <c r="AA6" s="382"/>
      <c r="AB6" s="382"/>
      <c r="AC6" s="152"/>
      <c r="AD6" s="152"/>
      <c r="AE6" s="152"/>
      <c r="AF6" s="152"/>
      <c r="AG6" s="152"/>
      <c r="AH6" s="152"/>
      <c r="AI6" s="152"/>
    </row>
    <row r="7" spans="1:35">
      <c r="A7" s="4"/>
      <c r="B7" s="4"/>
      <c r="C7" s="4"/>
      <c r="D7" s="4"/>
      <c r="E7" s="104" t="s">
        <v>0</v>
      </c>
      <c r="F7" s="1591" t="s">
        <v>1137</v>
      </c>
      <c r="G7" s="1592"/>
      <c r="H7" s="1592"/>
      <c r="I7" s="253">
        <v>307.40493907947723</v>
      </c>
      <c r="J7" s="278">
        <v>40</v>
      </c>
      <c r="K7" s="279">
        <v>40</v>
      </c>
      <c r="L7" s="1331"/>
      <c r="M7" s="1331"/>
      <c r="N7" s="276"/>
      <c r="O7" s="1331"/>
      <c r="P7" s="1331"/>
      <c r="Q7" s="1331"/>
      <c r="R7" s="280">
        <v>160.1611103278789</v>
      </c>
      <c r="S7" s="278">
        <v>18.228581023571977</v>
      </c>
      <c r="T7" s="279">
        <v>20</v>
      </c>
      <c r="U7" s="261" t="s">
        <v>363</v>
      </c>
      <c r="V7" s="175">
        <v>7</v>
      </c>
      <c r="W7" s="2"/>
      <c r="X7" s="382"/>
      <c r="Y7" s="382"/>
      <c r="Z7" s="382"/>
      <c r="AA7" s="382"/>
      <c r="AB7" s="382"/>
      <c r="AC7" s="152"/>
      <c r="AD7" s="152"/>
      <c r="AE7" s="152"/>
      <c r="AF7" s="152"/>
      <c r="AG7" s="152"/>
      <c r="AH7" s="152"/>
      <c r="AI7" s="152"/>
    </row>
    <row r="8" spans="1:35">
      <c r="A8" s="4"/>
      <c r="B8" s="4"/>
      <c r="C8" s="4"/>
      <c r="D8" s="4"/>
      <c r="E8" s="104" t="s">
        <v>1</v>
      </c>
      <c r="F8" s="1577" t="s">
        <v>1138</v>
      </c>
      <c r="G8" s="1578"/>
      <c r="H8" s="1578"/>
      <c r="I8" s="254">
        <v>74.835251396459029</v>
      </c>
      <c r="J8" s="256">
        <v>40</v>
      </c>
      <c r="K8" s="255">
        <v>40</v>
      </c>
      <c r="L8" s="1332"/>
      <c r="M8" s="1332"/>
      <c r="N8" s="277"/>
      <c r="O8" s="1332"/>
      <c r="P8" s="1332"/>
      <c r="Q8" s="1332"/>
      <c r="R8" s="281">
        <v>39.404446851399534</v>
      </c>
      <c r="S8" s="256">
        <v>15.202063233473952</v>
      </c>
      <c r="T8" s="255">
        <v>20</v>
      </c>
      <c r="U8" s="2"/>
      <c r="V8" s="2"/>
      <c r="W8" s="2"/>
      <c r="X8" s="382"/>
      <c r="Y8" s="382"/>
      <c r="Z8" s="382"/>
      <c r="AA8" s="382"/>
      <c r="AB8" s="382"/>
      <c r="AC8" s="152"/>
      <c r="AD8" s="152"/>
      <c r="AE8" s="152"/>
      <c r="AF8" s="152"/>
      <c r="AG8" s="152"/>
      <c r="AH8" s="152"/>
      <c r="AI8" s="152"/>
    </row>
    <row r="9" spans="1:35">
      <c r="A9" s="4"/>
      <c r="B9" s="4"/>
      <c r="C9" s="4"/>
      <c r="D9" s="4"/>
      <c r="E9" s="104" t="s">
        <v>3</v>
      </c>
      <c r="F9" s="1577" t="s">
        <v>1139</v>
      </c>
      <c r="G9" s="1578"/>
      <c r="H9" s="1578"/>
      <c r="I9" s="254">
        <v>24.328597289033493</v>
      </c>
      <c r="J9" s="256">
        <v>8.274971900545264</v>
      </c>
      <c r="K9" s="255">
        <v>15</v>
      </c>
      <c r="L9" s="1332"/>
      <c r="M9" s="1332"/>
      <c r="N9" s="277"/>
      <c r="O9" s="1332"/>
      <c r="P9" s="1332"/>
      <c r="Q9" s="1332"/>
      <c r="R9" s="281">
        <v>17.07743641772727</v>
      </c>
      <c r="S9" s="256">
        <v>10.924841379338783</v>
      </c>
      <c r="T9" s="255">
        <v>15</v>
      </c>
      <c r="U9" s="2"/>
      <c r="V9" s="2"/>
      <c r="W9" s="2"/>
      <c r="X9" s="382"/>
      <c r="Y9" s="382"/>
      <c r="Z9" s="382"/>
      <c r="AA9" s="382"/>
      <c r="AB9" s="382"/>
      <c r="AC9" s="152"/>
      <c r="AD9" s="152"/>
      <c r="AE9" s="152"/>
      <c r="AF9" s="152"/>
      <c r="AG9" s="152"/>
      <c r="AH9" s="152"/>
      <c r="AI9" s="152"/>
    </row>
    <row r="10" spans="1:35">
      <c r="A10" s="4"/>
      <c r="B10" s="4"/>
      <c r="C10" s="4"/>
      <c r="D10" s="4"/>
      <c r="E10" s="104" t="s">
        <v>4</v>
      </c>
      <c r="F10" s="1577" t="s">
        <v>1140</v>
      </c>
      <c r="G10" s="1578"/>
      <c r="H10" s="1578"/>
      <c r="I10" s="254">
        <v>-0.58034433790308881</v>
      </c>
      <c r="J10" s="256">
        <v>3.5482112903845522</v>
      </c>
      <c r="K10" s="255">
        <v>20</v>
      </c>
      <c r="L10" s="1332"/>
      <c r="M10" s="1332"/>
      <c r="N10" s="277"/>
      <c r="O10" s="1332"/>
      <c r="P10" s="1332"/>
      <c r="Q10" s="1332"/>
      <c r="R10" s="281">
        <v>0.90087177605082724</v>
      </c>
      <c r="S10" s="256">
        <v>8.4419357937527693</v>
      </c>
      <c r="T10" s="255">
        <v>10</v>
      </c>
      <c r="U10" s="2"/>
      <c r="V10" s="2"/>
      <c r="W10" s="2"/>
      <c r="X10" s="382"/>
      <c r="Y10" s="382"/>
      <c r="Z10" s="382"/>
      <c r="AA10" s="382"/>
      <c r="AB10" s="382"/>
      <c r="AC10" s="152"/>
      <c r="AD10" s="152"/>
      <c r="AE10" s="152"/>
      <c r="AF10" s="152"/>
      <c r="AG10" s="152"/>
      <c r="AH10" s="152"/>
      <c r="AI10" s="152"/>
    </row>
    <row r="11" spans="1:35">
      <c r="A11" s="4"/>
      <c r="B11" s="4"/>
      <c r="C11" s="4"/>
      <c r="D11" s="4"/>
      <c r="E11" s="104" t="s">
        <v>5</v>
      </c>
      <c r="F11" s="1577" t="s">
        <v>1141</v>
      </c>
      <c r="G11" s="1578"/>
      <c r="H11" s="1578"/>
      <c r="I11" s="254">
        <v>6.3057802613645082</v>
      </c>
      <c r="J11" s="256">
        <v>8.8780671472526773</v>
      </c>
      <c r="K11" s="255">
        <v>5</v>
      </c>
      <c r="L11" s="1332"/>
      <c r="M11" s="1332"/>
      <c r="N11" s="277"/>
      <c r="O11" s="1332"/>
      <c r="P11" s="1332"/>
      <c r="Q11" s="1332"/>
      <c r="R11" s="281">
        <v>5.1793405862802731</v>
      </c>
      <c r="S11" s="256">
        <v>3.6344893898872339</v>
      </c>
      <c r="T11" s="255">
        <v>4</v>
      </c>
      <c r="U11" s="2"/>
      <c r="V11" s="2"/>
      <c r="W11" s="2"/>
      <c r="X11" s="382"/>
      <c r="Y11" s="382"/>
      <c r="Z11" s="382"/>
      <c r="AA11" s="382"/>
      <c r="AB11" s="382"/>
      <c r="AC11" s="152"/>
      <c r="AD11" s="152"/>
      <c r="AE11" s="152"/>
      <c r="AF11" s="152"/>
      <c r="AG11" s="152"/>
      <c r="AH11" s="152"/>
      <c r="AI11" s="152"/>
    </row>
    <row r="12" spans="1:35">
      <c r="A12" s="4"/>
      <c r="B12" s="4"/>
      <c r="C12" s="4"/>
      <c r="D12" s="4"/>
      <c r="E12" s="104" t="s">
        <v>6</v>
      </c>
      <c r="F12" s="1577" t="s">
        <v>1142</v>
      </c>
      <c r="G12" s="1578"/>
      <c r="H12" s="1578"/>
      <c r="I12" s="254">
        <v>9.3811826906979316</v>
      </c>
      <c r="J12" s="256">
        <v>26.31415851135737</v>
      </c>
      <c r="K12" s="255">
        <v>40</v>
      </c>
      <c r="L12" s="1332"/>
      <c r="M12" s="1332"/>
      <c r="N12" s="277"/>
      <c r="O12" s="1332"/>
      <c r="P12" s="1332"/>
      <c r="Q12" s="1332"/>
      <c r="R12" s="281">
        <v>6.7911361525084901</v>
      </c>
      <c r="S12" s="256">
        <v>17.058052355417484</v>
      </c>
      <c r="T12" s="255">
        <v>20</v>
      </c>
      <c r="U12" s="2"/>
      <c r="V12" s="2"/>
      <c r="W12" s="2"/>
      <c r="X12" s="382"/>
      <c r="Y12" s="382"/>
      <c r="Z12" s="382"/>
      <c r="AA12" s="382"/>
      <c r="AB12" s="382"/>
      <c r="AC12" s="152"/>
      <c r="AD12" s="152"/>
      <c r="AE12" s="152"/>
      <c r="AF12" s="152"/>
      <c r="AG12" s="152"/>
      <c r="AH12" s="152"/>
      <c r="AI12" s="152"/>
    </row>
    <row r="13" spans="1:35">
      <c r="A13" s="4"/>
      <c r="B13" s="4"/>
      <c r="C13" s="4"/>
      <c r="D13" s="4"/>
      <c r="E13" s="104" t="s">
        <v>7</v>
      </c>
      <c r="F13" s="1577" t="s">
        <v>335</v>
      </c>
      <c r="G13" s="1578"/>
      <c r="H13" s="1578"/>
      <c r="I13" s="254">
        <v>-2.144436143397346E-2</v>
      </c>
      <c r="J13" s="256" t="s">
        <v>130</v>
      </c>
      <c r="K13" s="255">
        <v>10</v>
      </c>
      <c r="L13" s="1332"/>
      <c r="M13" s="1332"/>
      <c r="N13" s="277"/>
      <c r="O13" s="1332"/>
      <c r="P13" s="1332"/>
      <c r="Q13" s="1332"/>
      <c r="R13" s="281">
        <v>0.19718286647050909</v>
      </c>
      <c r="S13" s="256">
        <v>1.5818277466198207</v>
      </c>
      <c r="T13" s="255">
        <v>10</v>
      </c>
      <c r="U13" s="2"/>
      <c r="V13" s="2"/>
      <c r="W13" s="2"/>
      <c r="X13" s="382"/>
      <c r="Y13" s="382"/>
      <c r="Z13" s="382"/>
      <c r="AA13" s="382"/>
      <c r="AB13" s="382"/>
      <c r="AC13" s="152"/>
      <c r="AD13" s="152"/>
      <c r="AE13" s="152"/>
      <c r="AF13" s="152"/>
      <c r="AG13" s="152"/>
      <c r="AH13" s="152"/>
      <c r="AI13" s="152"/>
    </row>
    <row r="14" spans="1:35">
      <c r="A14" s="4"/>
      <c r="B14" s="4"/>
      <c r="C14" s="4"/>
      <c r="D14" s="4"/>
      <c r="E14" s="104" t="s">
        <v>8</v>
      </c>
      <c r="F14" s="1577"/>
      <c r="G14" s="1578"/>
      <c r="H14" s="1578"/>
      <c r="I14" s="254"/>
      <c r="J14" s="256"/>
      <c r="K14" s="255"/>
      <c r="L14" s="1332"/>
      <c r="M14" s="1332"/>
      <c r="N14" s="277"/>
      <c r="O14" s="1332"/>
      <c r="P14" s="1332"/>
      <c r="Q14" s="1332"/>
      <c r="R14" s="281"/>
      <c r="S14" s="256"/>
      <c r="T14" s="255"/>
      <c r="U14" s="2"/>
      <c r="V14" s="2"/>
      <c r="W14" s="2"/>
      <c r="X14" s="382"/>
      <c r="Y14" s="382"/>
      <c r="Z14" s="382"/>
      <c r="AA14" s="382"/>
      <c r="AB14" s="382"/>
      <c r="AC14" s="152"/>
      <c r="AD14" s="152"/>
      <c r="AE14" s="152"/>
      <c r="AF14" s="152"/>
      <c r="AG14" s="152"/>
      <c r="AH14" s="152"/>
      <c r="AI14" s="152"/>
    </row>
    <row r="15" spans="1:35">
      <c r="A15" s="4"/>
      <c r="B15" s="4"/>
      <c r="C15" s="4"/>
      <c r="D15" s="4"/>
      <c r="E15" s="104" t="s">
        <v>9</v>
      </c>
      <c r="F15" s="1577"/>
      <c r="G15" s="1578"/>
      <c r="H15" s="1578"/>
      <c r="I15" s="254"/>
      <c r="J15" s="256"/>
      <c r="K15" s="255"/>
      <c r="L15" s="1332"/>
      <c r="M15" s="1332"/>
      <c r="N15" s="277"/>
      <c r="O15" s="1332"/>
      <c r="P15" s="1332"/>
      <c r="Q15" s="1332"/>
      <c r="R15" s="281"/>
      <c r="S15" s="256"/>
      <c r="T15" s="255"/>
      <c r="U15" s="2"/>
      <c r="V15" s="2"/>
      <c r="W15" s="2"/>
      <c r="X15" s="382"/>
      <c r="Y15" s="382"/>
      <c r="Z15" s="382"/>
      <c r="AA15" s="382"/>
      <c r="AB15" s="382"/>
      <c r="AC15" s="152"/>
      <c r="AD15" s="152"/>
      <c r="AE15" s="152"/>
      <c r="AF15" s="152"/>
      <c r="AG15" s="152"/>
      <c r="AH15" s="152"/>
      <c r="AI15" s="152"/>
    </row>
    <row r="16" spans="1:35">
      <c r="A16" s="4"/>
      <c r="B16" s="4"/>
      <c r="C16" s="4"/>
      <c r="D16" s="4"/>
      <c r="E16" s="104" t="s">
        <v>10</v>
      </c>
      <c r="F16" s="1577"/>
      <c r="G16" s="1578"/>
      <c r="H16" s="1578"/>
      <c r="I16" s="254"/>
      <c r="J16" s="256"/>
      <c r="K16" s="255"/>
      <c r="L16" s="1332"/>
      <c r="M16" s="1332"/>
      <c r="N16" s="277"/>
      <c r="O16" s="1332"/>
      <c r="P16" s="1332"/>
      <c r="Q16" s="1332"/>
      <c r="R16" s="281"/>
      <c r="S16" s="256"/>
      <c r="T16" s="255"/>
      <c r="U16" s="2"/>
      <c r="V16" s="2"/>
      <c r="W16" s="2"/>
      <c r="X16" s="382"/>
      <c r="Y16" s="382"/>
      <c r="Z16" s="382"/>
      <c r="AA16" s="382"/>
      <c r="AB16" s="382"/>
      <c r="AC16" s="152"/>
      <c r="AD16" s="152"/>
      <c r="AE16" s="152"/>
      <c r="AF16" s="152"/>
      <c r="AG16" s="152"/>
      <c r="AH16" s="152"/>
      <c r="AI16" s="152"/>
    </row>
    <row r="17" spans="1:35">
      <c r="A17" s="4"/>
      <c r="B17" s="4"/>
      <c r="C17" s="4"/>
      <c r="D17" s="4"/>
      <c r="E17" s="104" t="s">
        <v>11</v>
      </c>
      <c r="F17" s="1577"/>
      <c r="G17" s="1578"/>
      <c r="H17" s="1578"/>
      <c r="I17" s="254"/>
      <c r="J17" s="256"/>
      <c r="K17" s="255"/>
      <c r="L17" s="1332"/>
      <c r="M17" s="1332"/>
      <c r="N17" s="277"/>
      <c r="O17" s="1332"/>
      <c r="P17" s="1332"/>
      <c r="Q17" s="1332"/>
      <c r="R17" s="281"/>
      <c r="S17" s="256"/>
      <c r="T17" s="255"/>
      <c r="U17" s="2"/>
      <c r="V17" s="2"/>
      <c r="W17" s="2"/>
      <c r="X17" s="382"/>
      <c r="Y17" s="382"/>
      <c r="Z17" s="382"/>
      <c r="AA17" s="382"/>
      <c r="AB17" s="382"/>
      <c r="AC17" s="152"/>
      <c r="AD17" s="152"/>
      <c r="AE17" s="152"/>
      <c r="AF17" s="152"/>
      <c r="AG17" s="152"/>
      <c r="AH17" s="152"/>
      <c r="AI17" s="152"/>
    </row>
    <row r="18" spans="1:35">
      <c r="A18" s="4"/>
      <c r="B18" s="4"/>
      <c r="C18" s="4"/>
      <c r="D18" s="4"/>
      <c r="E18" s="104" t="s">
        <v>12</v>
      </c>
      <c r="F18" s="1577"/>
      <c r="G18" s="1578"/>
      <c r="H18" s="1578"/>
      <c r="I18" s="254"/>
      <c r="J18" s="256"/>
      <c r="K18" s="255"/>
      <c r="L18" s="1332"/>
      <c r="M18" s="1332"/>
      <c r="N18" s="277"/>
      <c r="O18" s="1332"/>
      <c r="P18" s="1332"/>
      <c r="Q18" s="1332"/>
      <c r="R18" s="281"/>
      <c r="S18" s="256"/>
      <c r="T18" s="255"/>
      <c r="U18" s="2"/>
      <c r="V18" s="2"/>
      <c r="W18" s="2"/>
      <c r="X18" s="382"/>
      <c r="Y18" s="382"/>
      <c r="Z18" s="382"/>
      <c r="AA18" s="382"/>
      <c r="AB18" s="382"/>
      <c r="AC18" s="152"/>
      <c r="AD18" s="152"/>
      <c r="AE18" s="152"/>
      <c r="AF18" s="152"/>
      <c r="AG18" s="152"/>
      <c r="AH18" s="152"/>
      <c r="AI18" s="152"/>
    </row>
    <row r="19" spans="1:35">
      <c r="A19" s="4"/>
      <c r="B19" s="4"/>
      <c r="C19" s="4"/>
      <c r="D19" s="4"/>
      <c r="E19" s="104" t="s">
        <v>13</v>
      </c>
      <c r="F19" s="1577"/>
      <c r="G19" s="1578"/>
      <c r="H19" s="1578"/>
      <c r="I19" s="254"/>
      <c r="J19" s="256"/>
      <c r="K19" s="255"/>
      <c r="L19" s="1332"/>
      <c r="M19" s="1332"/>
      <c r="N19" s="277"/>
      <c r="O19" s="1332"/>
      <c r="P19" s="1332"/>
      <c r="Q19" s="1332"/>
      <c r="R19" s="281"/>
      <c r="S19" s="256"/>
      <c r="T19" s="255"/>
      <c r="U19" s="2"/>
      <c r="V19" s="2"/>
      <c r="W19" s="2"/>
      <c r="X19" s="382"/>
      <c r="Y19" s="382"/>
      <c r="Z19" s="382"/>
      <c r="AA19" s="382"/>
      <c r="AB19" s="382"/>
      <c r="AC19" s="152"/>
      <c r="AD19" s="152"/>
      <c r="AE19" s="152"/>
      <c r="AF19" s="152"/>
      <c r="AG19" s="152"/>
      <c r="AH19" s="152"/>
      <c r="AI19" s="152"/>
    </row>
    <row r="20" spans="1:35">
      <c r="A20" s="4"/>
      <c r="B20" s="4"/>
      <c r="C20" s="4"/>
      <c r="D20" s="4"/>
      <c r="E20" s="104" t="s">
        <v>14</v>
      </c>
      <c r="F20" s="1577"/>
      <c r="G20" s="1578"/>
      <c r="H20" s="1578"/>
      <c r="I20" s="254"/>
      <c r="J20" s="256"/>
      <c r="K20" s="255"/>
      <c r="L20" s="1332"/>
      <c r="M20" s="1332"/>
      <c r="N20" s="277"/>
      <c r="O20" s="1332"/>
      <c r="P20" s="1332"/>
      <c r="Q20" s="1332"/>
      <c r="R20" s="281"/>
      <c r="S20" s="256"/>
      <c r="T20" s="255"/>
      <c r="U20" s="2"/>
      <c r="V20" s="2"/>
      <c r="W20" s="2"/>
      <c r="X20" s="382"/>
      <c r="Y20" s="382"/>
      <c r="Z20" s="382"/>
      <c r="AA20" s="382"/>
      <c r="AB20" s="382"/>
      <c r="AC20" s="152"/>
      <c r="AD20" s="152"/>
      <c r="AE20" s="152"/>
      <c r="AF20" s="152"/>
      <c r="AG20" s="152"/>
      <c r="AH20" s="152"/>
      <c r="AI20" s="152"/>
    </row>
    <row r="21" spans="1:35">
      <c r="A21" s="4"/>
      <c r="B21" s="4"/>
      <c r="C21" s="4"/>
      <c r="D21" s="4"/>
      <c r="E21" s="104" t="s">
        <v>15</v>
      </c>
      <c r="F21" s="1577"/>
      <c r="G21" s="1578"/>
      <c r="H21" s="1578"/>
      <c r="I21" s="254"/>
      <c r="J21" s="256"/>
      <c r="K21" s="255"/>
      <c r="L21" s="1332"/>
      <c r="M21" s="1332"/>
      <c r="N21" s="277"/>
      <c r="O21" s="1332"/>
      <c r="P21" s="1332"/>
      <c r="Q21" s="1332"/>
      <c r="R21" s="281"/>
      <c r="S21" s="256"/>
      <c r="T21" s="255"/>
      <c r="U21" s="2"/>
      <c r="V21" s="2"/>
      <c r="W21" s="2"/>
      <c r="X21" s="382"/>
      <c r="Y21" s="382"/>
      <c r="Z21" s="382"/>
      <c r="AA21" s="382"/>
      <c r="AB21" s="382"/>
      <c r="AC21" s="152"/>
      <c r="AD21" s="152"/>
      <c r="AE21" s="152"/>
      <c r="AF21" s="152"/>
      <c r="AG21" s="152"/>
      <c r="AH21" s="152"/>
      <c r="AI21" s="152"/>
    </row>
    <row r="22" spans="1:35">
      <c r="A22" s="4"/>
      <c r="B22" s="4"/>
      <c r="C22" s="4"/>
      <c r="D22" s="4"/>
      <c r="E22" s="104" t="s">
        <v>16</v>
      </c>
      <c r="F22" s="1577"/>
      <c r="G22" s="1578"/>
      <c r="H22" s="1578"/>
      <c r="I22" s="254"/>
      <c r="J22" s="256"/>
      <c r="K22" s="255"/>
      <c r="L22" s="1332"/>
      <c r="M22" s="1332"/>
      <c r="N22" s="277"/>
      <c r="O22" s="1332"/>
      <c r="P22" s="1332"/>
      <c r="Q22" s="1332"/>
      <c r="R22" s="281"/>
      <c r="S22" s="256"/>
      <c r="T22" s="255"/>
      <c r="U22" s="2"/>
      <c r="V22" s="2"/>
      <c r="W22" s="2"/>
      <c r="X22" s="382"/>
      <c r="Y22" s="382"/>
      <c r="Z22" s="382"/>
      <c r="AA22" s="382"/>
      <c r="AB22" s="382"/>
      <c r="AC22" s="152"/>
      <c r="AD22" s="152"/>
      <c r="AE22" s="152"/>
      <c r="AF22" s="152"/>
      <c r="AG22" s="152"/>
      <c r="AH22" s="152"/>
      <c r="AI22" s="152"/>
    </row>
    <row r="23" spans="1:35">
      <c r="A23" s="4"/>
      <c r="B23" s="4"/>
      <c r="C23" s="4"/>
      <c r="D23" s="4"/>
      <c r="E23" s="104" t="s">
        <v>17</v>
      </c>
      <c r="F23" s="1577"/>
      <c r="G23" s="1578"/>
      <c r="H23" s="1578"/>
      <c r="I23" s="254"/>
      <c r="J23" s="256"/>
      <c r="K23" s="255"/>
      <c r="L23" s="1332"/>
      <c r="M23" s="1332"/>
      <c r="N23" s="277"/>
      <c r="O23" s="1332"/>
      <c r="P23" s="1332"/>
      <c r="Q23" s="1332"/>
      <c r="R23" s="281"/>
      <c r="S23" s="256"/>
      <c r="T23" s="255"/>
      <c r="U23" s="2"/>
      <c r="V23" s="2"/>
      <c r="W23" s="2"/>
      <c r="X23" s="382"/>
      <c r="Y23" s="382"/>
      <c r="Z23" s="382"/>
      <c r="AA23" s="382"/>
      <c r="AB23" s="382"/>
      <c r="AC23" s="152"/>
      <c r="AD23" s="152"/>
      <c r="AE23" s="152"/>
      <c r="AF23" s="152"/>
      <c r="AG23" s="152"/>
      <c r="AH23" s="152"/>
      <c r="AI23" s="152"/>
    </row>
    <row r="24" spans="1:35">
      <c r="A24" s="4"/>
      <c r="B24" s="4"/>
      <c r="C24" s="4"/>
      <c r="D24" s="4"/>
      <c r="E24" s="149" t="s">
        <v>19</v>
      </c>
      <c r="F24" s="1577"/>
      <c r="G24" s="1578"/>
      <c r="H24" s="1578"/>
      <c r="I24" s="254"/>
      <c r="J24" s="256"/>
      <c r="K24" s="255"/>
      <c r="L24" s="1332"/>
      <c r="M24" s="1332"/>
      <c r="N24" s="277"/>
      <c r="O24" s="1332"/>
      <c r="P24" s="1332"/>
      <c r="Q24" s="1332"/>
      <c r="R24" s="281"/>
      <c r="S24" s="256"/>
      <c r="T24" s="255"/>
      <c r="U24" s="2"/>
      <c r="V24" s="2"/>
      <c r="W24" s="2"/>
      <c r="X24" s="382"/>
      <c r="Y24" s="382"/>
      <c r="Z24" s="382"/>
      <c r="AA24" s="382"/>
      <c r="AB24" s="382"/>
      <c r="AC24" s="152"/>
      <c r="AD24" s="152"/>
      <c r="AE24" s="152"/>
      <c r="AF24" s="152"/>
      <c r="AG24" s="152"/>
      <c r="AH24" s="152"/>
      <c r="AI24" s="152"/>
    </row>
    <row r="25" spans="1:35">
      <c r="A25" s="4"/>
      <c r="B25" s="4"/>
      <c r="C25" s="4"/>
      <c r="D25" s="4"/>
      <c r="E25" s="149" t="s">
        <v>20</v>
      </c>
      <c r="F25" s="1577"/>
      <c r="G25" s="1578"/>
      <c r="H25" s="1578"/>
      <c r="I25" s="254"/>
      <c r="J25" s="256"/>
      <c r="K25" s="255"/>
      <c r="L25" s="1332"/>
      <c r="M25" s="1332"/>
      <c r="N25" s="277"/>
      <c r="O25" s="1332"/>
      <c r="P25" s="1332"/>
      <c r="Q25" s="1332"/>
      <c r="R25" s="281"/>
      <c r="S25" s="256"/>
      <c r="T25" s="255"/>
      <c r="U25" s="2"/>
      <c r="V25" s="2"/>
      <c r="W25" s="2"/>
      <c r="X25" s="382"/>
      <c r="Y25" s="382"/>
      <c r="Z25" s="382"/>
      <c r="AA25" s="382"/>
      <c r="AB25" s="382"/>
      <c r="AC25" s="152"/>
      <c r="AD25" s="152"/>
      <c r="AE25" s="152"/>
      <c r="AF25" s="152"/>
      <c r="AG25" s="152"/>
      <c r="AH25" s="152"/>
      <c r="AI25" s="152"/>
    </row>
    <row r="26" spans="1:35">
      <c r="A26" s="4"/>
      <c r="B26" s="4"/>
      <c r="C26" s="4"/>
      <c r="D26" s="4"/>
      <c r="E26" s="149" t="s">
        <v>21</v>
      </c>
      <c r="F26" s="1577"/>
      <c r="G26" s="1578"/>
      <c r="H26" s="1578"/>
      <c r="I26" s="254"/>
      <c r="J26" s="256"/>
      <c r="K26" s="255"/>
      <c r="L26" s="1332"/>
      <c r="M26" s="1332"/>
      <c r="N26" s="277"/>
      <c r="O26" s="1332"/>
      <c r="P26" s="1332"/>
      <c r="Q26" s="1332"/>
      <c r="R26" s="281"/>
      <c r="S26" s="256"/>
      <c r="T26" s="255"/>
      <c r="U26" s="2"/>
      <c r="V26" s="2"/>
      <c r="W26" s="2"/>
      <c r="X26" s="382"/>
      <c r="Y26" s="382"/>
      <c r="Z26" s="382"/>
      <c r="AA26" s="382"/>
      <c r="AB26" s="382"/>
      <c r="AC26" s="152"/>
      <c r="AD26" s="152"/>
      <c r="AE26" s="152"/>
      <c r="AF26" s="152"/>
      <c r="AG26" s="152"/>
      <c r="AH26" s="152"/>
      <c r="AI26" s="152"/>
    </row>
    <row r="27" spans="1:35">
      <c r="A27" s="4"/>
      <c r="B27" s="4"/>
      <c r="C27" s="4"/>
      <c r="D27" s="4"/>
      <c r="E27" s="149" t="s">
        <v>55</v>
      </c>
      <c r="F27" s="1577"/>
      <c r="G27" s="1578"/>
      <c r="H27" s="1578"/>
      <c r="I27" s="254"/>
      <c r="J27" s="256"/>
      <c r="K27" s="255"/>
      <c r="L27" s="1332"/>
      <c r="M27" s="1332"/>
      <c r="N27" s="277"/>
      <c r="O27" s="1332"/>
      <c r="P27" s="1332"/>
      <c r="Q27" s="1332"/>
      <c r="R27" s="281"/>
      <c r="S27" s="256"/>
      <c r="T27" s="255"/>
      <c r="U27" s="2"/>
      <c r="V27" s="2"/>
      <c r="W27" s="2"/>
      <c r="X27" s="382"/>
      <c r="Y27" s="382"/>
      <c r="Z27" s="382"/>
      <c r="AA27" s="382"/>
      <c r="AB27" s="382"/>
      <c r="AC27" s="152"/>
      <c r="AD27" s="152"/>
      <c r="AE27" s="152"/>
      <c r="AF27" s="152"/>
      <c r="AG27" s="152"/>
      <c r="AH27" s="152"/>
      <c r="AI27" s="152"/>
    </row>
    <row r="28" spans="1:35">
      <c r="A28" s="4"/>
      <c r="B28" s="4"/>
      <c r="C28" s="4"/>
      <c r="D28" s="4"/>
      <c r="E28" s="149" t="s">
        <v>56</v>
      </c>
      <c r="F28" s="1577"/>
      <c r="G28" s="1578"/>
      <c r="H28" s="1578"/>
      <c r="I28" s="254"/>
      <c r="J28" s="256"/>
      <c r="K28" s="255"/>
      <c r="L28" s="1332"/>
      <c r="M28" s="1332"/>
      <c r="N28" s="277"/>
      <c r="O28" s="1332"/>
      <c r="P28" s="1332"/>
      <c r="Q28" s="1332"/>
      <c r="R28" s="281"/>
      <c r="S28" s="256"/>
      <c r="T28" s="255"/>
      <c r="U28" s="2"/>
      <c r="V28" s="2"/>
      <c r="W28" s="2"/>
      <c r="X28" s="382"/>
      <c r="Y28" s="382"/>
      <c r="Z28" s="382"/>
      <c r="AA28" s="382"/>
      <c r="AB28" s="382"/>
      <c r="AC28" s="152"/>
      <c r="AD28" s="152"/>
      <c r="AE28" s="152"/>
      <c r="AF28" s="152"/>
      <c r="AG28" s="152"/>
      <c r="AH28" s="152"/>
      <c r="AI28" s="152"/>
    </row>
    <row r="29" spans="1:35">
      <c r="A29" s="4"/>
      <c r="B29" s="4"/>
      <c r="C29" s="4"/>
      <c r="D29" s="4"/>
      <c r="E29" s="149" t="s">
        <v>57</v>
      </c>
      <c r="F29" s="1577"/>
      <c r="G29" s="1578"/>
      <c r="H29" s="1578"/>
      <c r="I29" s="254"/>
      <c r="J29" s="256"/>
      <c r="K29" s="255"/>
      <c r="L29" s="1332"/>
      <c r="M29" s="1332"/>
      <c r="N29" s="277"/>
      <c r="O29" s="1332"/>
      <c r="P29" s="1332"/>
      <c r="Q29" s="1332"/>
      <c r="R29" s="281"/>
      <c r="S29" s="256"/>
      <c r="T29" s="255"/>
      <c r="U29" s="2"/>
      <c r="V29" s="2"/>
      <c r="W29" s="2"/>
      <c r="X29" s="382"/>
      <c r="Y29" s="382"/>
      <c r="Z29" s="382"/>
      <c r="AA29" s="382"/>
      <c r="AB29" s="382"/>
      <c r="AC29" s="152"/>
      <c r="AD29" s="152"/>
      <c r="AE29" s="152"/>
      <c r="AF29" s="152"/>
      <c r="AG29" s="152"/>
      <c r="AH29" s="152"/>
      <c r="AI29" s="152"/>
    </row>
    <row r="30" spans="1:35">
      <c r="A30" s="4"/>
      <c r="B30" s="4"/>
      <c r="C30" s="4"/>
      <c r="D30" s="4"/>
      <c r="E30" s="149" t="s">
        <v>58</v>
      </c>
      <c r="F30" s="1577"/>
      <c r="G30" s="1578"/>
      <c r="H30" s="1578"/>
      <c r="I30" s="254"/>
      <c r="J30" s="256"/>
      <c r="K30" s="255"/>
      <c r="L30" s="1332"/>
      <c r="M30" s="1332"/>
      <c r="N30" s="277"/>
      <c r="O30" s="1332"/>
      <c r="P30" s="1332"/>
      <c r="Q30" s="1332"/>
      <c r="R30" s="281"/>
      <c r="S30" s="256"/>
      <c r="T30" s="255"/>
      <c r="U30" s="2"/>
      <c r="V30" s="2"/>
      <c r="W30" s="2"/>
      <c r="X30" s="382"/>
      <c r="Y30" s="382"/>
      <c r="Z30" s="382"/>
      <c r="AA30" s="382"/>
      <c r="AB30" s="382"/>
      <c r="AC30" s="152"/>
      <c r="AD30" s="152"/>
      <c r="AE30" s="152"/>
      <c r="AF30" s="152"/>
      <c r="AG30" s="152"/>
      <c r="AH30" s="152"/>
      <c r="AI30" s="152"/>
    </row>
    <row r="31" spans="1:35">
      <c r="A31" s="4"/>
      <c r="B31" s="4"/>
      <c r="C31" s="4"/>
      <c r="D31" s="4"/>
      <c r="E31" s="149" t="s">
        <v>59</v>
      </c>
      <c r="F31" s="1577"/>
      <c r="G31" s="1578"/>
      <c r="H31" s="1578"/>
      <c r="I31" s="254"/>
      <c r="J31" s="256"/>
      <c r="K31" s="255"/>
      <c r="L31" s="1332"/>
      <c r="M31" s="1332"/>
      <c r="N31" s="277"/>
      <c r="O31" s="1332"/>
      <c r="P31" s="1332"/>
      <c r="Q31" s="1332"/>
      <c r="R31" s="281"/>
      <c r="S31" s="256"/>
      <c r="T31" s="255"/>
      <c r="U31" s="2"/>
      <c r="V31" s="2"/>
      <c r="W31" s="2"/>
      <c r="X31" s="382"/>
      <c r="Y31" s="382"/>
      <c r="Z31" s="382"/>
      <c r="AA31" s="382"/>
      <c r="AB31" s="382"/>
      <c r="AC31" s="152"/>
      <c r="AD31" s="152"/>
      <c r="AE31" s="152"/>
      <c r="AF31" s="152"/>
      <c r="AG31" s="152"/>
      <c r="AH31" s="152"/>
      <c r="AI31" s="152"/>
    </row>
    <row r="32" spans="1:35">
      <c r="A32" s="4"/>
      <c r="B32" s="4"/>
      <c r="C32" s="4"/>
      <c r="D32" s="4"/>
      <c r="E32" s="149" t="s">
        <v>60</v>
      </c>
      <c r="F32" s="1577"/>
      <c r="G32" s="1578"/>
      <c r="H32" s="1578"/>
      <c r="I32" s="254"/>
      <c r="J32" s="256"/>
      <c r="K32" s="255"/>
      <c r="L32" s="1332"/>
      <c r="M32" s="1332"/>
      <c r="N32" s="277"/>
      <c r="O32" s="1332"/>
      <c r="P32" s="1332"/>
      <c r="Q32" s="1332"/>
      <c r="R32" s="281"/>
      <c r="S32" s="256"/>
      <c r="T32" s="255"/>
      <c r="U32" s="2"/>
      <c r="V32" s="2"/>
      <c r="W32" s="2"/>
      <c r="X32" s="382"/>
      <c r="Y32" s="382"/>
      <c r="Z32" s="382"/>
      <c r="AA32" s="382"/>
      <c r="AB32" s="382"/>
      <c r="AC32" s="152"/>
      <c r="AD32" s="152"/>
      <c r="AE32" s="152"/>
      <c r="AF32" s="152"/>
      <c r="AG32" s="152"/>
      <c r="AH32" s="152"/>
      <c r="AI32" s="152"/>
    </row>
    <row r="33" spans="1:35">
      <c r="A33" s="4"/>
      <c r="B33" s="4"/>
      <c r="C33" s="4"/>
      <c r="D33" s="4"/>
      <c r="E33" s="149" t="s">
        <v>61</v>
      </c>
      <c r="F33" s="1577"/>
      <c r="G33" s="1578"/>
      <c r="H33" s="1578"/>
      <c r="I33" s="254"/>
      <c r="J33" s="256"/>
      <c r="K33" s="255"/>
      <c r="L33" s="1332"/>
      <c r="M33" s="1332"/>
      <c r="N33" s="277"/>
      <c r="O33" s="1332"/>
      <c r="P33" s="1332"/>
      <c r="Q33" s="1332"/>
      <c r="R33" s="281"/>
      <c r="S33" s="256"/>
      <c r="T33" s="255"/>
      <c r="U33" s="2"/>
      <c r="V33" s="2"/>
      <c r="W33" s="2"/>
      <c r="X33" s="382"/>
      <c r="Y33" s="382"/>
      <c r="Z33" s="382"/>
      <c r="AA33" s="382"/>
      <c r="AB33" s="382"/>
      <c r="AC33" s="152"/>
      <c r="AD33" s="152"/>
      <c r="AE33" s="152"/>
      <c r="AF33" s="152"/>
      <c r="AG33" s="152"/>
      <c r="AH33" s="152"/>
      <c r="AI33" s="152"/>
    </row>
    <row r="34" spans="1:35">
      <c r="A34" s="4"/>
      <c r="B34" s="4"/>
      <c r="C34" s="4"/>
      <c r="D34" s="4"/>
      <c r="E34" s="149" t="s">
        <v>62</v>
      </c>
      <c r="F34" s="1577"/>
      <c r="G34" s="1578"/>
      <c r="H34" s="1578"/>
      <c r="I34" s="254"/>
      <c r="J34" s="256"/>
      <c r="K34" s="255"/>
      <c r="L34" s="1332"/>
      <c r="M34" s="1332"/>
      <c r="N34" s="277"/>
      <c r="O34" s="1332"/>
      <c r="P34" s="1332"/>
      <c r="Q34" s="1332"/>
      <c r="R34" s="281"/>
      <c r="S34" s="256"/>
      <c r="T34" s="255"/>
      <c r="U34" s="2"/>
      <c r="V34" s="2"/>
      <c r="W34" s="2"/>
      <c r="X34" s="382"/>
      <c r="Y34" s="382"/>
      <c r="Z34" s="382"/>
      <c r="AA34" s="382"/>
      <c r="AB34" s="382"/>
      <c r="AC34" s="152"/>
      <c r="AD34" s="152"/>
      <c r="AE34" s="152"/>
      <c r="AF34" s="152"/>
      <c r="AG34" s="152"/>
      <c r="AH34" s="152"/>
      <c r="AI34" s="152"/>
    </row>
    <row r="35" spans="1:35">
      <c r="A35" s="4"/>
      <c r="B35" s="4"/>
      <c r="C35" s="4"/>
      <c r="D35" s="4"/>
      <c r="E35" s="149" t="s">
        <v>63</v>
      </c>
      <c r="F35" s="1577"/>
      <c r="G35" s="1578"/>
      <c r="H35" s="1578"/>
      <c r="I35" s="254"/>
      <c r="J35" s="256"/>
      <c r="K35" s="255"/>
      <c r="L35" s="1332"/>
      <c r="M35" s="1332"/>
      <c r="N35" s="277"/>
      <c r="O35" s="1332"/>
      <c r="P35" s="1332"/>
      <c r="Q35" s="1332"/>
      <c r="R35" s="281"/>
      <c r="S35" s="256"/>
      <c r="T35" s="255"/>
      <c r="U35" s="2"/>
      <c r="V35" s="2"/>
      <c r="W35" s="2"/>
      <c r="X35" s="382"/>
      <c r="Y35" s="382"/>
      <c r="Z35" s="382"/>
      <c r="AA35" s="382"/>
      <c r="AB35" s="382"/>
      <c r="AC35" s="152"/>
      <c r="AD35" s="152"/>
      <c r="AE35" s="152"/>
      <c r="AF35" s="152"/>
      <c r="AG35" s="152"/>
      <c r="AH35" s="152"/>
      <c r="AI35" s="152"/>
    </row>
    <row r="36" spans="1:35">
      <c r="A36" s="4"/>
      <c r="B36" s="4"/>
      <c r="C36" s="4"/>
      <c r="D36" s="4"/>
      <c r="E36" s="149" t="s">
        <v>64</v>
      </c>
      <c r="F36" s="1577"/>
      <c r="G36" s="1578"/>
      <c r="H36" s="1578"/>
      <c r="I36" s="254"/>
      <c r="J36" s="256"/>
      <c r="K36" s="255"/>
      <c r="L36" s="1332"/>
      <c r="M36" s="1332"/>
      <c r="N36" s="277"/>
      <c r="O36" s="1332"/>
      <c r="P36" s="1332"/>
      <c r="Q36" s="1332"/>
      <c r="R36" s="281"/>
      <c r="S36" s="256"/>
      <c r="T36" s="255"/>
      <c r="U36" s="2"/>
      <c r="V36" s="2"/>
      <c r="W36" s="2"/>
      <c r="X36" s="382"/>
      <c r="Y36" s="382"/>
      <c r="Z36" s="382"/>
      <c r="AA36" s="382"/>
      <c r="AB36" s="382"/>
      <c r="AC36" s="152"/>
      <c r="AD36" s="152"/>
      <c r="AE36" s="152"/>
      <c r="AF36" s="152"/>
      <c r="AG36" s="152"/>
      <c r="AH36" s="152"/>
      <c r="AI36" s="152"/>
    </row>
    <row r="37" spans="1:35" ht="12.75" customHeight="1" outlineLevel="1">
      <c r="A37" s="4"/>
      <c r="B37" s="4"/>
      <c r="C37" s="4"/>
      <c r="D37" s="4"/>
      <c r="E37" s="185" t="s">
        <v>97</v>
      </c>
      <c r="F37" s="1577"/>
      <c r="G37" s="1578"/>
      <c r="H37" s="1578"/>
      <c r="I37" s="254"/>
      <c r="J37" s="255"/>
      <c r="K37" s="255"/>
      <c r="L37" s="1332"/>
      <c r="M37" s="1332"/>
      <c r="N37" s="1333"/>
      <c r="O37" s="1332"/>
      <c r="P37" s="1332"/>
      <c r="Q37" s="1332"/>
      <c r="R37" s="1332"/>
      <c r="S37" s="255"/>
      <c r="T37" s="255"/>
      <c r="U37" s="2"/>
      <c r="V37" s="2"/>
      <c r="W37" s="2"/>
      <c r="X37" s="382"/>
      <c r="Y37" s="382"/>
      <c r="Z37" s="382"/>
      <c r="AA37" s="382"/>
      <c r="AB37" s="382"/>
      <c r="AC37" s="152"/>
      <c r="AD37" s="152"/>
      <c r="AE37" s="152"/>
      <c r="AF37" s="152"/>
      <c r="AG37" s="152"/>
      <c r="AH37" s="152"/>
      <c r="AI37" s="152"/>
    </row>
    <row r="38" spans="1:35" ht="12.75" customHeight="1" outlineLevel="1">
      <c r="A38" s="4"/>
      <c r="B38" s="4"/>
      <c r="C38" s="4"/>
      <c r="D38" s="4"/>
      <c r="E38" s="149" t="s">
        <v>98</v>
      </c>
      <c r="F38" s="1577"/>
      <c r="G38" s="1578"/>
      <c r="H38" s="1578"/>
      <c r="I38" s="254"/>
      <c r="J38" s="255"/>
      <c r="K38" s="255"/>
      <c r="L38" s="1332"/>
      <c r="M38" s="1332"/>
      <c r="N38" s="1333"/>
      <c r="O38" s="1332"/>
      <c r="P38" s="1332"/>
      <c r="Q38" s="1332"/>
      <c r="R38" s="1332"/>
      <c r="S38" s="255"/>
      <c r="T38" s="255"/>
      <c r="U38" s="2"/>
      <c r="V38" s="2"/>
      <c r="W38" s="2"/>
      <c r="X38" s="382"/>
      <c r="Y38" s="382"/>
      <c r="Z38" s="382"/>
      <c r="AA38" s="382"/>
      <c r="AB38" s="382"/>
      <c r="AC38" s="152"/>
      <c r="AD38" s="152"/>
      <c r="AE38" s="152"/>
      <c r="AF38" s="152"/>
      <c r="AG38" s="152"/>
      <c r="AH38" s="152"/>
      <c r="AI38" s="152"/>
    </row>
    <row r="39" spans="1:35" ht="12.75" customHeight="1" outlineLevel="1">
      <c r="A39" s="4"/>
      <c r="B39" s="4"/>
      <c r="C39" s="4"/>
      <c r="D39" s="4"/>
      <c r="E39" s="149" t="s">
        <v>99</v>
      </c>
      <c r="F39" s="1577"/>
      <c r="G39" s="1578"/>
      <c r="H39" s="1578"/>
      <c r="I39" s="254"/>
      <c r="J39" s="255"/>
      <c r="K39" s="255"/>
      <c r="L39" s="1332"/>
      <c r="M39" s="1332"/>
      <c r="N39" s="1333"/>
      <c r="O39" s="1332"/>
      <c r="P39" s="1332"/>
      <c r="Q39" s="1332"/>
      <c r="R39" s="1332"/>
      <c r="S39" s="255"/>
      <c r="T39" s="255"/>
      <c r="U39" s="2"/>
      <c r="V39" s="2"/>
      <c r="W39" s="2"/>
      <c r="X39" s="382"/>
      <c r="Y39" s="382"/>
      <c r="Z39" s="382"/>
      <c r="AA39" s="382"/>
      <c r="AB39" s="382"/>
      <c r="AC39" s="152"/>
      <c r="AD39" s="152"/>
      <c r="AE39" s="152"/>
      <c r="AF39" s="152"/>
      <c r="AG39" s="152"/>
      <c r="AH39" s="152"/>
      <c r="AI39" s="152"/>
    </row>
    <row r="40" spans="1:35" ht="12.75" customHeight="1" outlineLevel="1">
      <c r="A40" s="4"/>
      <c r="B40" s="4"/>
      <c r="C40" s="4"/>
      <c r="D40" s="4"/>
      <c r="E40" s="149" t="s">
        <v>100</v>
      </c>
      <c r="F40" s="1577"/>
      <c r="G40" s="1578"/>
      <c r="H40" s="1578"/>
      <c r="I40" s="254"/>
      <c r="J40" s="255"/>
      <c r="K40" s="255"/>
      <c r="L40" s="1332"/>
      <c r="M40" s="1332"/>
      <c r="N40" s="1333"/>
      <c r="O40" s="1332"/>
      <c r="P40" s="1332"/>
      <c r="Q40" s="1332"/>
      <c r="R40" s="1332"/>
      <c r="S40" s="255"/>
      <c r="T40" s="255"/>
      <c r="U40" s="2"/>
      <c r="V40" s="2"/>
      <c r="W40" s="2"/>
      <c r="X40" s="382"/>
      <c r="Y40" s="382"/>
      <c r="Z40" s="382"/>
      <c r="AA40" s="382"/>
      <c r="AB40" s="382"/>
      <c r="AC40" s="152"/>
      <c r="AD40" s="152"/>
      <c r="AE40" s="152"/>
      <c r="AF40" s="152"/>
      <c r="AG40" s="152"/>
      <c r="AH40" s="152"/>
      <c r="AI40" s="152"/>
    </row>
    <row r="41" spans="1:35" ht="12.75" customHeight="1" outlineLevel="1">
      <c r="A41" s="4"/>
      <c r="B41" s="4"/>
      <c r="C41" s="4"/>
      <c r="D41" s="4"/>
      <c r="E41" s="149" t="s">
        <v>101</v>
      </c>
      <c r="F41" s="1577"/>
      <c r="G41" s="1578"/>
      <c r="H41" s="1578"/>
      <c r="I41" s="254"/>
      <c r="J41" s="255"/>
      <c r="K41" s="255"/>
      <c r="L41" s="1332"/>
      <c r="M41" s="1332"/>
      <c r="N41" s="1333"/>
      <c r="O41" s="1332"/>
      <c r="P41" s="1332"/>
      <c r="Q41" s="1332"/>
      <c r="R41" s="1332"/>
      <c r="S41" s="255"/>
      <c r="T41" s="255"/>
      <c r="U41" s="2"/>
      <c r="V41" s="2"/>
      <c r="W41" s="2"/>
      <c r="X41" s="382"/>
      <c r="Y41" s="382"/>
      <c r="Z41" s="382"/>
      <c r="AA41" s="382"/>
      <c r="AB41" s="382"/>
      <c r="AC41" s="152"/>
      <c r="AD41" s="152"/>
      <c r="AE41" s="152"/>
      <c r="AF41" s="152"/>
      <c r="AG41" s="152"/>
      <c r="AH41" s="152"/>
      <c r="AI41" s="152"/>
    </row>
    <row r="42" spans="1:35" ht="12.75" customHeight="1" outlineLevel="1">
      <c r="A42" s="4"/>
      <c r="B42" s="4"/>
      <c r="C42" s="4"/>
      <c r="D42" s="4"/>
      <c r="E42" s="149" t="s">
        <v>102</v>
      </c>
      <c r="F42" s="1577"/>
      <c r="G42" s="1578"/>
      <c r="H42" s="1578"/>
      <c r="I42" s="254"/>
      <c r="J42" s="255"/>
      <c r="K42" s="255"/>
      <c r="L42" s="1332"/>
      <c r="M42" s="1332"/>
      <c r="N42" s="1333"/>
      <c r="O42" s="1332"/>
      <c r="P42" s="1332"/>
      <c r="Q42" s="1332"/>
      <c r="R42" s="1332"/>
      <c r="S42" s="255"/>
      <c r="T42" s="255"/>
      <c r="U42" s="2"/>
      <c r="V42" s="2"/>
      <c r="W42" s="2"/>
      <c r="X42" s="382"/>
      <c r="Y42" s="382"/>
      <c r="Z42" s="382"/>
      <c r="AA42" s="382"/>
      <c r="AB42" s="382"/>
      <c r="AC42" s="152"/>
      <c r="AD42" s="152"/>
      <c r="AE42" s="152"/>
      <c r="AF42" s="152"/>
      <c r="AG42" s="152"/>
      <c r="AH42" s="152"/>
      <c r="AI42" s="152"/>
    </row>
    <row r="43" spans="1:35" ht="12.75" customHeight="1" outlineLevel="1">
      <c r="A43" s="4"/>
      <c r="B43" s="4"/>
      <c r="C43" s="4"/>
      <c r="D43" s="4"/>
      <c r="E43" s="149" t="s">
        <v>103</v>
      </c>
      <c r="F43" s="1577"/>
      <c r="G43" s="1578"/>
      <c r="H43" s="1578"/>
      <c r="I43" s="254"/>
      <c r="J43" s="255"/>
      <c r="K43" s="255"/>
      <c r="L43" s="1332"/>
      <c r="M43" s="1332"/>
      <c r="N43" s="1333"/>
      <c r="O43" s="1332"/>
      <c r="P43" s="1332"/>
      <c r="Q43" s="1332"/>
      <c r="R43" s="1332"/>
      <c r="S43" s="255"/>
      <c r="T43" s="255"/>
      <c r="U43" s="2"/>
      <c r="V43" s="2"/>
      <c r="W43" s="2"/>
      <c r="X43" s="382"/>
      <c r="Y43" s="382"/>
      <c r="Z43" s="382"/>
      <c r="AA43" s="382"/>
      <c r="AB43" s="382"/>
      <c r="AC43" s="152"/>
      <c r="AD43" s="152"/>
      <c r="AE43" s="152"/>
      <c r="AF43" s="152"/>
      <c r="AG43" s="152"/>
      <c r="AH43" s="152"/>
      <c r="AI43" s="152"/>
    </row>
    <row r="44" spans="1:35" ht="12.75" customHeight="1" outlineLevel="1">
      <c r="A44" s="4"/>
      <c r="B44" s="4"/>
      <c r="C44" s="4"/>
      <c r="D44" s="4"/>
      <c r="E44" s="149" t="s">
        <v>104</v>
      </c>
      <c r="F44" s="1577"/>
      <c r="G44" s="1578"/>
      <c r="H44" s="1578"/>
      <c r="I44" s="254"/>
      <c r="J44" s="255"/>
      <c r="K44" s="255"/>
      <c r="L44" s="1332"/>
      <c r="M44" s="1332"/>
      <c r="N44" s="1333"/>
      <c r="O44" s="1332"/>
      <c r="P44" s="1332"/>
      <c r="Q44" s="1332"/>
      <c r="R44" s="1332"/>
      <c r="S44" s="255"/>
      <c r="T44" s="255"/>
      <c r="U44" s="2"/>
      <c r="V44" s="2"/>
      <c r="W44" s="2"/>
      <c r="X44" s="382"/>
      <c r="Y44" s="382"/>
      <c r="Z44" s="382"/>
      <c r="AA44" s="382"/>
      <c r="AB44" s="382"/>
      <c r="AC44" s="152"/>
      <c r="AD44" s="152"/>
      <c r="AE44" s="152"/>
      <c r="AF44" s="152"/>
      <c r="AG44" s="152"/>
      <c r="AH44" s="152"/>
      <c r="AI44" s="152"/>
    </row>
    <row r="45" spans="1:35" ht="12.75" customHeight="1" outlineLevel="1">
      <c r="A45" s="4"/>
      <c r="B45" s="4"/>
      <c r="C45" s="4"/>
      <c r="D45" s="4"/>
      <c r="E45" s="149" t="s">
        <v>105</v>
      </c>
      <c r="F45" s="1577"/>
      <c r="G45" s="1578"/>
      <c r="H45" s="1578"/>
      <c r="I45" s="254"/>
      <c r="J45" s="255"/>
      <c r="K45" s="255"/>
      <c r="L45" s="1332"/>
      <c r="M45" s="1332"/>
      <c r="N45" s="1333"/>
      <c r="O45" s="1332"/>
      <c r="P45" s="1332"/>
      <c r="Q45" s="1332"/>
      <c r="R45" s="1332"/>
      <c r="S45" s="255"/>
      <c r="T45" s="255"/>
      <c r="U45" s="2"/>
      <c r="V45" s="2"/>
      <c r="W45" s="2"/>
      <c r="X45" s="382"/>
      <c r="Y45" s="382"/>
      <c r="Z45" s="382"/>
      <c r="AA45" s="382"/>
      <c r="AB45" s="382"/>
      <c r="AC45" s="152"/>
      <c r="AD45" s="152"/>
      <c r="AE45" s="152"/>
      <c r="AF45" s="152"/>
      <c r="AG45" s="152"/>
      <c r="AH45" s="152"/>
      <c r="AI45" s="152"/>
    </row>
    <row r="46" spans="1:35" ht="12.75" customHeight="1" outlineLevel="1">
      <c r="A46" s="4"/>
      <c r="B46" s="4"/>
      <c r="C46" s="4"/>
      <c r="D46" s="4"/>
      <c r="E46" s="149" t="s">
        <v>106</v>
      </c>
      <c r="F46" s="1577"/>
      <c r="G46" s="1578"/>
      <c r="H46" s="1578"/>
      <c r="I46" s="254"/>
      <c r="J46" s="255"/>
      <c r="K46" s="255"/>
      <c r="L46" s="1332"/>
      <c r="M46" s="1332"/>
      <c r="N46" s="1333"/>
      <c r="O46" s="1332"/>
      <c r="P46" s="1332"/>
      <c r="Q46" s="1332"/>
      <c r="R46" s="1332"/>
      <c r="S46" s="255"/>
      <c r="T46" s="255"/>
      <c r="U46" s="2"/>
      <c r="V46" s="2"/>
      <c r="W46" s="2"/>
      <c r="X46" s="382"/>
      <c r="Y46" s="382"/>
      <c r="Z46" s="382"/>
      <c r="AA46" s="382"/>
      <c r="AB46" s="382"/>
      <c r="AC46" s="152"/>
      <c r="AD46" s="152"/>
      <c r="AE46" s="152"/>
      <c r="AF46" s="152"/>
      <c r="AG46" s="152"/>
      <c r="AH46" s="152"/>
      <c r="AI46" s="152"/>
    </row>
    <row r="47" spans="1:35" ht="12.75" customHeight="1" outlineLevel="1">
      <c r="A47" s="4"/>
      <c r="B47" s="4"/>
      <c r="C47" s="4"/>
      <c r="D47" s="4"/>
      <c r="E47" s="149" t="s">
        <v>107</v>
      </c>
      <c r="F47" s="1577"/>
      <c r="G47" s="1578"/>
      <c r="H47" s="1578"/>
      <c r="I47" s="254"/>
      <c r="J47" s="255"/>
      <c r="K47" s="255"/>
      <c r="L47" s="1332"/>
      <c r="M47" s="1332"/>
      <c r="N47" s="1333"/>
      <c r="O47" s="1332"/>
      <c r="P47" s="1332"/>
      <c r="Q47" s="1332"/>
      <c r="R47" s="1332"/>
      <c r="S47" s="255"/>
      <c r="T47" s="255"/>
      <c r="U47" s="2"/>
      <c r="V47" s="2"/>
      <c r="W47" s="2"/>
      <c r="X47" s="382"/>
      <c r="Y47" s="382"/>
      <c r="Z47" s="382"/>
      <c r="AA47" s="382"/>
      <c r="AB47" s="382"/>
      <c r="AC47" s="152"/>
      <c r="AD47" s="152"/>
      <c r="AE47" s="152"/>
      <c r="AF47" s="152"/>
      <c r="AG47" s="152"/>
      <c r="AH47" s="152"/>
      <c r="AI47" s="152"/>
    </row>
    <row r="48" spans="1:35" ht="12.75" customHeight="1" outlineLevel="1">
      <c r="A48" s="4"/>
      <c r="B48" s="4"/>
      <c r="C48" s="4"/>
      <c r="D48" s="4"/>
      <c r="E48" s="149" t="s">
        <v>108</v>
      </c>
      <c r="F48" s="1577"/>
      <c r="G48" s="1578"/>
      <c r="H48" s="1578"/>
      <c r="I48" s="254"/>
      <c r="J48" s="255"/>
      <c r="K48" s="255"/>
      <c r="L48" s="1332"/>
      <c r="M48" s="1332"/>
      <c r="N48" s="1333"/>
      <c r="O48" s="1332"/>
      <c r="P48" s="1332"/>
      <c r="Q48" s="1332"/>
      <c r="R48" s="1332"/>
      <c r="S48" s="255"/>
      <c r="T48" s="255"/>
      <c r="U48" s="2"/>
      <c r="V48" s="2"/>
      <c r="W48" s="2"/>
      <c r="X48" s="382"/>
      <c r="Y48" s="382"/>
      <c r="Z48" s="382"/>
      <c r="AA48" s="382"/>
      <c r="AB48" s="382"/>
      <c r="AC48" s="152"/>
      <c r="AD48" s="152"/>
      <c r="AE48" s="152"/>
      <c r="AF48" s="152"/>
      <c r="AG48" s="152"/>
      <c r="AH48" s="152"/>
      <c r="AI48" s="152"/>
    </row>
    <row r="49" spans="1:35" ht="12.75" customHeight="1" outlineLevel="1">
      <c r="A49" s="4"/>
      <c r="B49" s="4"/>
      <c r="C49" s="4"/>
      <c r="D49" s="4"/>
      <c r="E49" s="149" t="s">
        <v>109</v>
      </c>
      <c r="F49" s="1577"/>
      <c r="G49" s="1578"/>
      <c r="H49" s="1578"/>
      <c r="I49" s="254"/>
      <c r="J49" s="255"/>
      <c r="K49" s="255"/>
      <c r="L49" s="1332"/>
      <c r="M49" s="1332"/>
      <c r="N49" s="1333"/>
      <c r="O49" s="1332"/>
      <c r="P49" s="1332"/>
      <c r="Q49" s="1332"/>
      <c r="R49" s="1332"/>
      <c r="S49" s="255"/>
      <c r="T49" s="255"/>
      <c r="U49" s="2"/>
      <c r="V49" s="2"/>
      <c r="W49" s="2"/>
      <c r="X49" s="382"/>
      <c r="Y49" s="382"/>
      <c r="Z49" s="382"/>
      <c r="AA49" s="382"/>
      <c r="AB49" s="382"/>
      <c r="AC49" s="152"/>
      <c r="AD49" s="152"/>
      <c r="AE49" s="152"/>
      <c r="AF49" s="152"/>
      <c r="AG49" s="152"/>
      <c r="AH49" s="152"/>
      <c r="AI49" s="152"/>
    </row>
    <row r="50" spans="1:35" ht="12.75" customHeight="1" outlineLevel="1">
      <c r="A50" s="4"/>
      <c r="B50" s="4"/>
      <c r="C50" s="4"/>
      <c r="D50" s="4"/>
      <c r="E50" s="149" t="s">
        <v>110</v>
      </c>
      <c r="F50" s="1577"/>
      <c r="G50" s="1578"/>
      <c r="H50" s="1578"/>
      <c r="I50" s="254"/>
      <c r="J50" s="255"/>
      <c r="K50" s="255"/>
      <c r="L50" s="1332"/>
      <c r="M50" s="1332"/>
      <c r="N50" s="1333"/>
      <c r="O50" s="1332"/>
      <c r="P50" s="1332"/>
      <c r="Q50" s="1332"/>
      <c r="R50" s="1332"/>
      <c r="S50" s="255"/>
      <c r="T50" s="255"/>
      <c r="U50" s="2"/>
      <c r="V50" s="2"/>
      <c r="W50" s="2"/>
      <c r="X50" s="382"/>
      <c r="Y50" s="382"/>
      <c r="Z50" s="382"/>
      <c r="AA50" s="382"/>
      <c r="AB50" s="382"/>
      <c r="AC50" s="152"/>
      <c r="AD50" s="152"/>
      <c r="AE50" s="152"/>
      <c r="AF50" s="152"/>
      <c r="AG50" s="152"/>
      <c r="AH50" s="152"/>
      <c r="AI50" s="152"/>
    </row>
    <row r="51" spans="1:35" ht="12.75" customHeight="1" outlineLevel="1">
      <c r="A51" s="4"/>
      <c r="B51" s="4"/>
      <c r="C51" s="4"/>
      <c r="D51" s="4"/>
      <c r="E51" s="149" t="s">
        <v>111</v>
      </c>
      <c r="F51" s="1577"/>
      <c r="G51" s="1578"/>
      <c r="H51" s="1578"/>
      <c r="I51" s="254"/>
      <c r="J51" s="255"/>
      <c r="K51" s="255"/>
      <c r="L51" s="1332"/>
      <c r="M51" s="1332"/>
      <c r="N51" s="1333"/>
      <c r="O51" s="1332"/>
      <c r="P51" s="1332"/>
      <c r="Q51" s="1332"/>
      <c r="R51" s="1332"/>
      <c r="S51" s="255"/>
      <c r="T51" s="255"/>
      <c r="U51" s="2"/>
      <c r="V51" s="2"/>
      <c r="W51" s="2"/>
      <c r="X51" s="382"/>
      <c r="Y51" s="382"/>
      <c r="Z51" s="382"/>
      <c r="AA51" s="382"/>
      <c r="AB51" s="382"/>
      <c r="AC51" s="152"/>
      <c r="AD51" s="152"/>
      <c r="AE51" s="152"/>
      <c r="AF51" s="152"/>
      <c r="AG51" s="152"/>
      <c r="AH51" s="152"/>
      <c r="AI51" s="152"/>
    </row>
    <row r="52" spans="1:35" ht="12.75" customHeight="1" outlineLevel="1">
      <c r="A52" s="4"/>
      <c r="B52" s="4"/>
      <c r="C52" s="4"/>
      <c r="D52" s="4"/>
      <c r="E52" s="149" t="s">
        <v>112</v>
      </c>
      <c r="F52" s="1577"/>
      <c r="G52" s="1578"/>
      <c r="H52" s="1578"/>
      <c r="I52" s="254"/>
      <c r="J52" s="255"/>
      <c r="K52" s="255"/>
      <c r="L52" s="1332"/>
      <c r="M52" s="1332"/>
      <c r="N52" s="1333"/>
      <c r="O52" s="1332"/>
      <c r="P52" s="1332"/>
      <c r="Q52" s="1332"/>
      <c r="R52" s="1332"/>
      <c r="S52" s="255"/>
      <c r="T52" s="255"/>
      <c r="U52" s="2"/>
      <c r="V52" s="2"/>
      <c r="W52" s="2"/>
      <c r="X52" s="382"/>
      <c r="Y52" s="382"/>
      <c r="Z52" s="382"/>
      <c r="AA52" s="382"/>
      <c r="AB52" s="382"/>
      <c r="AC52" s="152"/>
      <c r="AD52" s="152"/>
      <c r="AE52" s="152"/>
      <c r="AF52" s="152"/>
      <c r="AG52" s="152"/>
      <c r="AH52" s="152"/>
      <c r="AI52" s="152"/>
    </row>
    <row r="53" spans="1:35" ht="12.75" customHeight="1">
      <c r="A53" s="4"/>
      <c r="B53" s="4"/>
      <c r="C53" s="4"/>
      <c r="D53" s="4"/>
      <c r="E53" s="287" t="s">
        <v>113</v>
      </c>
      <c r="F53" s="1587"/>
      <c r="G53" s="1588"/>
      <c r="H53" s="1588"/>
      <c r="I53" s="253"/>
      <c r="J53" s="278"/>
      <c r="K53" s="279"/>
      <c r="L53" s="1331"/>
      <c r="M53" s="1331"/>
      <c r="N53" s="276"/>
      <c r="O53" s="1331"/>
      <c r="P53" s="1331"/>
      <c r="Q53" s="1331"/>
      <c r="R53" s="280"/>
      <c r="S53" s="278"/>
      <c r="T53" s="279"/>
      <c r="U53" s="2"/>
      <c r="V53" s="2"/>
      <c r="W53" s="2"/>
      <c r="X53" s="382"/>
      <c r="Y53" s="382"/>
      <c r="Z53" s="382"/>
      <c r="AA53" s="382"/>
      <c r="AB53" s="382"/>
      <c r="AC53" s="152"/>
      <c r="AD53" s="152"/>
      <c r="AE53" s="152"/>
      <c r="AF53" s="152"/>
      <c r="AG53" s="152"/>
      <c r="AH53" s="152"/>
      <c r="AI53" s="152"/>
    </row>
    <row r="54" spans="1:35" ht="12.75" customHeight="1">
      <c r="A54" s="4"/>
      <c r="B54" s="4"/>
      <c r="C54" s="4"/>
      <c r="D54" s="4"/>
      <c r="E54" s="149" t="s">
        <v>114</v>
      </c>
      <c r="F54" s="1577"/>
      <c r="G54" s="1578"/>
      <c r="H54" s="1578"/>
      <c r="I54" s="254"/>
      <c r="J54" s="255"/>
      <c r="K54" s="255"/>
      <c r="L54" s="1332"/>
      <c r="M54" s="1332"/>
      <c r="N54" s="1333"/>
      <c r="O54" s="1332"/>
      <c r="P54" s="1332"/>
      <c r="Q54" s="1332"/>
      <c r="R54" s="1332"/>
      <c r="S54" s="255"/>
      <c r="T54" s="255"/>
      <c r="U54" s="2"/>
      <c r="V54" s="2"/>
      <c r="W54" s="2"/>
      <c r="X54" s="382"/>
      <c r="Y54" s="382"/>
      <c r="Z54" s="382"/>
      <c r="AA54" s="382"/>
      <c r="AB54" s="382"/>
      <c r="AC54" s="152"/>
      <c r="AD54" s="152"/>
      <c r="AE54" s="152"/>
      <c r="AF54" s="152"/>
      <c r="AG54" s="152"/>
      <c r="AH54" s="152"/>
      <c r="AI54" s="152"/>
    </row>
    <row r="55" spans="1:35" ht="12.75" customHeight="1">
      <c r="A55" s="4"/>
      <c r="B55" s="4"/>
      <c r="C55" s="4"/>
      <c r="D55" s="4"/>
      <c r="E55" s="149" t="s">
        <v>115</v>
      </c>
      <c r="F55" s="1577"/>
      <c r="G55" s="1578"/>
      <c r="H55" s="1578"/>
      <c r="I55" s="254"/>
      <c r="J55" s="255"/>
      <c r="K55" s="255"/>
      <c r="L55" s="1332"/>
      <c r="M55" s="1332"/>
      <c r="N55" s="1333"/>
      <c r="O55" s="1332"/>
      <c r="P55" s="1332"/>
      <c r="Q55" s="1332"/>
      <c r="R55" s="1332"/>
      <c r="S55" s="255"/>
      <c r="T55" s="255"/>
      <c r="U55" s="2"/>
      <c r="V55" s="2"/>
      <c r="W55" s="2"/>
      <c r="X55" s="382"/>
      <c r="Y55" s="382"/>
      <c r="Z55" s="382"/>
      <c r="AA55" s="382"/>
      <c r="AB55" s="382"/>
      <c r="AC55" s="152"/>
      <c r="AD55" s="152"/>
      <c r="AE55" s="152"/>
      <c r="AF55" s="152"/>
      <c r="AG55" s="152"/>
      <c r="AH55" s="152"/>
      <c r="AI55" s="152"/>
    </row>
    <row r="56" spans="1:35">
      <c r="A56" s="4"/>
      <c r="B56" s="4"/>
      <c r="C56" s="4"/>
      <c r="D56" s="4"/>
      <c r="E56" s="149" t="s">
        <v>116</v>
      </c>
      <c r="F56" s="1589"/>
      <c r="G56" s="1590"/>
      <c r="H56" s="1590"/>
      <c r="I56" s="254"/>
      <c r="J56" s="256"/>
      <c r="K56" s="255"/>
      <c r="L56" s="1332"/>
      <c r="M56" s="1332"/>
      <c r="N56" s="1333"/>
      <c r="O56" s="1332"/>
      <c r="P56" s="1332"/>
      <c r="Q56" s="1332"/>
      <c r="R56" s="1332"/>
      <c r="S56" s="256"/>
      <c r="T56" s="255"/>
      <c r="U56" s="2"/>
      <c r="V56" s="2"/>
      <c r="W56" s="2"/>
      <c r="X56" s="382"/>
      <c r="Y56" s="382"/>
      <c r="Z56" s="382"/>
      <c r="AA56" s="382"/>
      <c r="AB56" s="382"/>
      <c r="AC56" s="152"/>
      <c r="AD56" s="152"/>
      <c r="AE56" s="152"/>
      <c r="AF56" s="152"/>
      <c r="AG56" s="152"/>
      <c r="AH56" s="152"/>
      <c r="AI56" s="152"/>
    </row>
    <row r="57" spans="1:35">
      <c r="A57" s="4"/>
      <c r="B57" s="4"/>
      <c r="C57" s="4"/>
      <c r="D57" s="4"/>
      <c r="E57" s="104" t="s">
        <v>18</v>
      </c>
      <c r="G57" s="97"/>
      <c r="H57" s="97"/>
      <c r="I57" s="154">
        <f>SUM(I7:I56)</f>
        <v>421.65396201769516</v>
      </c>
      <c r="J57" s="42"/>
      <c r="K57" s="23"/>
      <c r="L57" s="150">
        <f>SUM(L7:L56)</f>
        <v>0</v>
      </c>
      <c r="M57" s="154">
        <f>SUM(M7:M56)</f>
        <v>0</v>
      </c>
      <c r="N57" s="1334"/>
      <c r="O57" s="154">
        <f>SUM(O7:O56)</f>
        <v>0</v>
      </c>
      <c r="P57" s="154">
        <f>SUM(P7:P56)</f>
        <v>0</v>
      </c>
      <c r="Q57" s="154">
        <f>SUM(Q7:Q56)</f>
        <v>0</v>
      </c>
      <c r="R57" s="154">
        <f>SUM(R7:R56)</f>
        <v>229.71152497831582</v>
      </c>
      <c r="S57" s="42"/>
      <c r="T57" s="42"/>
      <c r="U57" s="42"/>
      <c r="W57" s="2"/>
      <c r="X57" s="382"/>
      <c r="Y57" s="382"/>
      <c r="Z57" s="382"/>
      <c r="AA57" s="382"/>
      <c r="AB57" s="382"/>
      <c r="AC57" s="152"/>
      <c r="AD57" s="152"/>
      <c r="AE57" s="152"/>
      <c r="AF57" s="152"/>
      <c r="AG57" s="152"/>
      <c r="AH57" s="152"/>
      <c r="AI57" s="152"/>
    </row>
    <row r="58" spans="1:35" ht="23.25" customHeight="1">
      <c r="A58" s="4"/>
      <c r="B58" s="4"/>
      <c r="C58" s="4"/>
      <c r="D58" s="4"/>
      <c r="E58" s="4"/>
      <c r="F58" s="4"/>
      <c r="G58" s="99"/>
      <c r="H58" s="33"/>
      <c r="I58" s="33"/>
      <c r="J58" s="33"/>
      <c r="K58" s="33"/>
      <c r="L58" s="33"/>
      <c r="M58" s="33"/>
      <c r="N58" s="105"/>
      <c r="O58" s="105"/>
      <c r="P58" s="105"/>
      <c r="Q58" s="105"/>
      <c r="R58" s="105"/>
      <c r="S58" s="105"/>
      <c r="T58" s="105"/>
      <c r="U58" s="105"/>
      <c r="V58" s="33"/>
      <c r="W58" s="2"/>
      <c r="X58" s="382"/>
      <c r="Y58" s="382"/>
      <c r="Z58" s="382"/>
      <c r="AA58" s="382"/>
      <c r="AB58" s="382"/>
      <c r="AC58" s="152"/>
      <c r="AD58" s="152"/>
      <c r="AE58" s="152"/>
      <c r="AF58" s="152"/>
      <c r="AG58" s="152"/>
      <c r="AH58" s="152"/>
      <c r="AI58" s="152"/>
    </row>
    <row r="59" spans="1:35" ht="13.5" customHeight="1">
      <c r="A59" s="48"/>
      <c r="B59" s="48"/>
      <c r="C59" s="48"/>
      <c r="D59" s="48"/>
      <c r="E59" s="1581" t="s">
        <v>117</v>
      </c>
      <c r="F59" s="1581"/>
      <c r="G59" s="1581"/>
      <c r="H59" s="98"/>
      <c r="I59" s="98"/>
      <c r="J59" s="98"/>
      <c r="K59" s="51"/>
      <c r="L59" s="51"/>
      <c r="M59" s="49"/>
      <c r="N59" s="49"/>
      <c r="O59" s="49"/>
      <c r="P59" s="49"/>
      <c r="Q59" s="49"/>
      <c r="R59" s="49"/>
      <c r="S59" s="49"/>
      <c r="T59" s="49"/>
      <c r="U59" s="49"/>
      <c r="V59" s="49"/>
      <c r="W59" s="2"/>
      <c r="X59" s="382"/>
      <c r="Y59" s="382"/>
      <c r="Z59" s="382"/>
      <c r="AA59" s="382"/>
      <c r="AB59" s="383"/>
      <c r="AC59" s="152"/>
      <c r="AD59" s="152"/>
      <c r="AE59" s="152"/>
      <c r="AF59" s="152"/>
      <c r="AG59" s="152"/>
      <c r="AH59" s="152"/>
      <c r="AI59" s="152"/>
    </row>
    <row r="60" spans="1:35">
      <c r="A60" s="4"/>
      <c r="B60" s="4"/>
      <c r="C60" s="4"/>
      <c r="D60" s="4"/>
      <c r="E60" s="24" t="s">
        <v>2</v>
      </c>
      <c r="F60" s="152"/>
      <c r="G60" s="1480" t="str">
        <f>IF(LEN(H60)&gt;4,CONCATENATE(LEFT(H60,4)-1&amp;"-"&amp;IF(H60&gt;"2009-10",,"0")&amp;RIGHT(H60,2)-1),H60-1)</f>
        <v>2015-16</v>
      </c>
      <c r="H60" s="188" t="str">
        <f>U7</f>
        <v>2016-17</v>
      </c>
      <c r="I60" s="188" t="str">
        <f>IF(LEN(H60)&gt;4,CONCATENATE(LEFT(H60,4)+1&amp;"-"&amp;IF(H60&gt;"2007-08",,"0")&amp;RIGHT(H60,2)+1),H60+1)</f>
        <v>2017-18</v>
      </c>
      <c r="J60" s="188" t="str">
        <f t="shared" ref="J60:Q60" si="0">IF(LEN(I60)&gt;4,CONCATENATE(LEFT(I60,4)+1&amp;"-"&amp;IF(I60&gt;"2007-08",,"0")&amp;RIGHT(I60,2)+1),I60+1)</f>
        <v>2018-19</v>
      </c>
      <c r="K60" s="188" t="str">
        <f t="shared" si="0"/>
        <v>2019-20</v>
      </c>
      <c r="L60" s="188" t="str">
        <f t="shared" si="0"/>
        <v>2020-21</v>
      </c>
      <c r="M60" s="188" t="str">
        <f t="shared" si="0"/>
        <v>2021-22</v>
      </c>
      <c r="N60" s="188" t="str">
        <f t="shared" si="0"/>
        <v>2022-23</v>
      </c>
      <c r="O60" s="188" t="str">
        <f t="shared" si="0"/>
        <v>2023-24</v>
      </c>
      <c r="P60" s="188" t="str">
        <f t="shared" si="0"/>
        <v>2024-25</v>
      </c>
      <c r="Q60" s="188" t="str">
        <f t="shared" si="0"/>
        <v>2025-26</v>
      </c>
      <c r="R60" s="94"/>
      <c r="S60" s="2"/>
      <c r="T60" s="2"/>
      <c r="U60" s="2"/>
      <c r="V60" s="2"/>
      <c r="W60" s="2"/>
      <c r="X60" s="152"/>
      <c r="Y60" s="152"/>
      <c r="Z60" s="152"/>
      <c r="AA60" s="152"/>
      <c r="AB60" s="152"/>
      <c r="AC60" s="152"/>
      <c r="AD60" s="152"/>
      <c r="AE60" s="152"/>
      <c r="AF60" s="152"/>
      <c r="AG60" s="152"/>
      <c r="AH60" s="152"/>
      <c r="AI60" s="152"/>
    </row>
    <row r="61" spans="1:35" outlineLevel="1">
      <c r="A61" s="4"/>
      <c r="B61" s="4"/>
      <c r="C61" s="4"/>
      <c r="D61" s="4"/>
      <c r="E61" s="104" t="str">
        <f>Asset1</f>
        <v>Mains</v>
      </c>
      <c r="F61" s="152"/>
      <c r="G61" s="1481">
        <v>19.576560976236312</v>
      </c>
      <c r="H61" s="342">
        <v>15.658028445032723</v>
      </c>
      <c r="I61" s="342">
        <v>19.260088500242386</v>
      </c>
      <c r="J61" s="342">
        <v>23.794430971210588</v>
      </c>
      <c r="K61" s="342">
        <v>19.056827713457906</v>
      </c>
      <c r="L61" s="342">
        <v>11.308164355385486</v>
      </c>
      <c r="M61" s="342">
        <v>17.305538158099527</v>
      </c>
      <c r="N61" s="342">
        <v>6.0275135814576961</v>
      </c>
      <c r="O61" s="342"/>
      <c r="P61" s="342"/>
      <c r="Q61" s="342"/>
      <c r="R61" s="355"/>
      <c r="S61" s="2"/>
      <c r="T61" s="2"/>
      <c r="U61" s="2"/>
      <c r="V61" s="2"/>
      <c r="W61" s="2"/>
      <c r="X61" s="152"/>
      <c r="Y61" s="152"/>
      <c r="Z61" s="152"/>
      <c r="AA61" s="152"/>
      <c r="AB61" s="152"/>
      <c r="AC61" s="152"/>
      <c r="AD61" s="152"/>
      <c r="AE61" s="152"/>
      <c r="AF61" s="152"/>
      <c r="AG61" s="152"/>
      <c r="AH61" s="152"/>
      <c r="AI61" s="152"/>
    </row>
    <row r="62" spans="1:35" outlineLevel="1">
      <c r="A62" s="4"/>
      <c r="B62" s="4"/>
      <c r="C62" s="4"/>
      <c r="D62" s="4"/>
      <c r="E62" s="104" t="str">
        <f>Asset2</f>
        <v>Inlets</v>
      </c>
      <c r="F62" s="152"/>
      <c r="G62" s="1482">
        <v>5.2524167648805182</v>
      </c>
      <c r="H62" s="333">
        <v>5.0805792841198203</v>
      </c>
      <c r="I62" s="333">
        <v>5.4560820744449376</v>
      </c>
      <c r="J62" s="333">
        <v>5.8461758780051181</v>
      </c>
      <c r="K62" s="333">
        <v>5.1741811968704745</v>
      </c>
      <c r="L62" s="333">
        <v>5.8341937754290756</v>
      </c>
      <c r="M62" s="333">
        <v>4.5710757538187599</v>
      </c>
      <c r="N62" s="333">
        <v>2.7442209566156053</v>
      </c>
      <c r="O62" s="333"/>
      <c r="P62" s="333"/>
      <c r="Q62" s="333"/>
      <c r="R62" s="355"/>
      <c r="S62" s="2"/>
      <c r="T62" s="2"/>
      <c r="U62" s="2"/>
      <c r="V62" s="2"/>
      <c r="W62" s="2"/>
      <c r="X62" s="152"/>
      <c r="Y62" s="152"/>
      <c r="Z62" s="152"/>
      <c r="AA62" s="152"/>
      <c r="AB62" s="152"/>
      <c r="AC62" s="152"/>
      <c r="AD62" s="152"/>
      <c r="AE62" s="152"/>
      <c r="AF62" s="152"/>
      <c r="AG62" s="152"/>
      <c r="AH62" s="152"/>
      <c r="AI62" s="152"/>
    </row>
    <row r="63" spans="1:35" outlineLevel="1">
      <c r="A63" s="4"/>
      <c r="B63" s="4"/>
      <c r="C63" s="4"/>
      <c r="D63" s="4"/>
      <c r="E63" s="104" t="str">
        <f>Asset3</f>
        <v>Meters</v>
      </c>
      <c r="F63" s="152"/>
      <c r="G63" s="1482">
        <v>2.4121722811828157</v>
      </c>
      <c r="H63" s="333">
        <v>2.9043043091550298</v>
      </c>
      <c r="I63" s="333">
        <v>2.9440507505501161</v>
      </c>
      <c r="J63" s="333">
        <v>3.4852089981836998</v>
      </c>
      <c r="K63" s="333">
        <v>1.8192726395160452</v>
      </c>
      <c r="L63" s="333">
        <v>2.1102837918944823</v>
      </c>
      <c r="M63" s="333">
        <v>1.9623152067392149</v>
      </c>
      <c r="N63" s="333">
        <v>0.95236333444207322</v>
      </c>
      <c r="O63" s="333"/>
      <c r="P63" s="333"/>
      <c r="Q63" s="333"/>
      <c r="R63" s="355"/>
      <c r="S63" s="2"/>
      <c r="T63" s="2"/>
      <c r="U63" s="2"/>
      <c r="V63" s="2"/>
      <c r="W63" s="2"/>
      <c r="X63" s="152"/>
      <c r="Y63" s="152"/>
      <c r="Z63" s="152"/>
      <c r="AA63" s="152"/>
      <c r="AB63" s="152"/>
      <c r="AC63" s="152"/>
      <c r="AD63" s="152"/>
      <c r="AE63" s="152"/>
      <c r="AF63" s="152"/>
      <c r="AG63" s="152"/>
      <c r="AH63" s="152"/>
      <c r="AI63" s="152"/>
    </row>
    <row r="64" spans="1:35" outlineLevel="1">
      <c r="A64" s="4"/>
      <c r="B64" s="4"/>
      <c r="C64" s="4"/>
      <c r="D64" s="4"/>
      <c r="E64" s="104" t="str">
        <f>Asset4</f>
        <v>Telemetry</v>
      </c>
      <c r="F64" s="152"/>
      <c r="G64" s="1482">
        <v>0.49616625845133966</v>
      </c>
      <c r="H64" s="333">
        <v>0.39043238351205295</v>
      </c>
      <c r="I64" s="333">
        <v>0.17168301791136867</v>
      </c>
      <c r="J64" s="333">
        <v>4.9379414650181835E-2</v>
      </c>
      <c r="K64" s="333">
        <v>0.10525956871572739</v>
      </c>
      <c r="L64" s="333">
        <v>6.5246932787471734E-2</v>
      </c>
      <c r="M64" s="333">
        <v>6.0220129696026775E-2</v>
      </c>
      <c r="N64" s="333">
        <v>3.7784634626060895E-2</v>
      </c>
      <c r="O64" s="333"/>
      <c r="P64" s="333"/>
      <c r="Q64" s="333"/>
      <c r="R64" s="355"/>
      <c r="S64" s="2"/>
      <c r="T64" s="2"/>
      <c r="U64" s="2"/>
      <c r="V64" s="2"/>
      <c r="W64" s="2"/>
      <c r="X64" s="152"/>
      <c r="Y64" s="152"/>
      <c r="Z64" s="152"/>
      <c r="AA64" s="152"/>
      <c r="AB64" s="152"/>
      <c r="AC64" s="152"/>
      <c r="AD64" s="152"/>
      <c r="AE64" s="152"/>
      <c r="AF64" s="152"/>
      <c r="AG64" s="152"/>
      <c r="AH64" s="152"/>
      <c r="AI64" s="152"/>
    </row>
    <row r="65" spans="1:35" outlineLevel="1">
      <c r="A65" s="4"/>
      <c r="B65" s="4"/>
      <c r="C65" s="4"/>
      <c r="D65" s="4"/>
      <c r="E65" s="104" t="str">
        <f>Asset5</f>
        <v>IT System</v>
      </c>
      <c r="F65" s="152"/>
      <c r="G65" s="1482">
        <v>3.6232018536071577</v>
      </c>
      <c r="H65" s="333">
        <v>0.1898858346720001</v>
      </c>
      <c r="I65" s="333">
        <v>0.51631117876599997</v>
      </c>
      <c r="J65" s="333">
        <v>0.88921402387412019</v>
      </c>
      <c r="K65" s="333">
        <v>1.4335010672874571</v>
      </c>
      <c r="L65" s="333">
        <v>1.5087705538296319</v>
      </c>
      <c r="M65" s="333">
        <v>1.9436581048472017</v>
      </c>
      <c r="N65" s="333">
        <v>0.82496443621721094</v>
      </c>
      <c r="O65" s="333"/>
      <c r="P65" s="333"/>
      <c r="Q65" s="333"/>
      <c r="R65" s="355"/>
      <c r="S65" s="2"/>
      <c r="T65" s="2"/>
      <c r="U65" s="2"/>
      <c r="V65" s="2"/>
      <c r="W65" s="2"/>
      <c r="X65" s="152"/>
      <c r="Y65" s="152"/>
      <c r="Z65" s="152"/>
      <c r="AA65" s="152"/>
      <c r="AB65" s="152"/>
      <c r="AC65" s="152"/>
      <c r="AD65" s="152"/>
      <c r="AE65" s="152"/>
      <c r="AF65" s="152"/>
      <c r="AG65" s="152"/>
      <c r="AH65" s="152"/>
      <c r="AI65" s="152"/>
    </row>
    <row r="66" spans="1:35" outlineLevel="1">
      <c r="A66" s="4"/>
      <c r="B66" s="4"/>
      <c r="C66" s="4"/>
      <c r="D66" s="4"/>
      <c r="E66" s="104" t="str">
        <f>Asset6</f>
        <v>Other Distribution System Equipment</v>
      </c>
      <c r="F66" s="152"/>
      <c r="G66" s="1482">
        <v>1.0443444854763313</v>
      </c>
      <c r="H66" s="333">
        <v>1.0590765327880023</v>
      </c>
      <c r="I66" s="333">
        <v>0.48068886631569696</v>
      </c>
      <c r="J66" s="333">
        <v>0.76123687370543058</v>
      </c>
      <c r="K66" s="333">
        <v>1.7733186749445713</v>
      </c>
      <c r="L66" s="333">
        <v>0.90826443592892436</v>
      </c>
      <c r="M66" s="333">
        <v>0.91752900100868973</v>
      </c>
      <c r="N66" s="333">
        <v>0.8769303290075372</v>
      </c>
      <c r="O66" s="333"/>
      <c r="P66" s="333"/>
      <c r="Q66" s="333"/>
      <c r="R66" s="355"/>
      <c r="S66" s="2"/>
      <c r="T66" s="2"/>
      <c r="U66" s="2"/>
      <c r="V66" s="2"/>
      <c r="W66" s="2"/>
      <c r="X66" s="152"/>
      <c r="Y66" s="152"/>
      <c r="Z66" s="152"/>
      <c r="AA66" s="152"/>
      <c r="AB66" s="152"/>
      <c r="AC66" s="152"/>
      <c r="AD66" s="152"/>
      <c r="AE66" s="152"/>
      <c r="AF66" s="152"/>
      <c r="AG66" s="152"/>
      <c r="AH66" s="152"/>
      <c r="AI66" s="152"/>
    </row>
    <row r="67" spans="1:35" outlineLevel="1">
      <c r="A67" s="4"/>
      <c r="B67" s="4"/>
      <c r="C67" s="4"/>
      <c r="D67" s="4"/>
      <c r="E67" s="104" t="str">
        <f>Asset7</f>
        <v>Other</v>
      </c>
      <c r="F67" s="152"/>
      <c r="G67" s="1482">
        <v>0</v>
      </c>
      <c r="H67" s="333">
        <v>0</v>
      </c>
      <c r="I67" s="333">
        <v>0</v>
      </c>
      <c r="J67" s="333">
        <v>0</v>
      </c>
      <c r="K67" s="333">
        <v>0</v>
      </c>
      <c r="L67" s="333">
        <v>0</v>
      </c>
      <c r="M67" s="333">
        <v>0</v>
      </c>
      <c r="N67" s="333">
        <v>0</v>
      </c>
      <c r="O67" s="333"/>
      <c r="P67" s="333"/>
      <c r="Q67" s="333"/>
      <c r="R67" s="355"/>
      <c r="S67" s="2"/>
      <c r="T67" s="2"/>
      <c r="U67" s="2"/>
      <c r="V67" s="2"/>
      <c r="W67" s="2"/>
      <c r="X67" s="152"/>
      <c r="Y67" s="152"/>
      <c r="Z67" s="152"/>
      <c r="AA67" s="152"/>
      <c r="AB67" s="152"/>
      <c r="AC67" s="152"/>
      <c r="AD67" s="152"/>
      <c r="AE67" s="152"/>
      <c r="AF67" s="152"/>
      <c r="AG67" s="152"/>
      <c r="AH67" s="152"/>
      <c r="AI67" s="152"/>
    </row>
    <row r="68" spans="1:35" outlineLevel="1">
      <c r="A68" s="4"/>
      <c r="B68" s="4"/>
      <c r="C68" s="4"/>
      <c r="D68" s="4"/>
      <c r="E68" s="104">
        <f>Asset8</f>
        <v>0</v>
      </c>
      <c r="F68" s="152"/>
      <c r="G68" s="1482"/>
      <c r="H68" s="333"/>
      <c r="I68" s="333"/>
      <c r="J68" s="333"/>
      <c r="K68" s="333"/>
      <c r="L68" s="1477"/>
      <c r="M68" s="333"/>
      <c r="N68" s="333"/>
      <c r="O68" s="333"/>
      <c r="P68" s="333"/>
      <c r="Q68" s="333"/>
      <c r="R68" s="355"/>
      <c r="S68" s="2"/>
      <c r="T68" s="2"/>
      <c r="U68" s="2"/>
      <c r="V68" s="2"/>
      <c r="W68" s="2"/>
      <c r="X68" s="152"/>
      <c r="Y68" s="152"/>
      <c r="Z68" s="152"/>
      <c r="AA68" s="152"/>
      <c r="AB68" s="152"/>
      <c r="AC68" s="152"/>
      <c r="AD68" s="152"/>
      <c r="AE68" s="152"/>
      <c r="AF68" s="152"/>
      <c r="AG68" s="152"/>
      <c r="AH68" s="152"/>
      <c r="AI68" s="152"/>
    </row>
    <row r="69" spans="1:35" outlineLevel="1">
      <c r="A69" s="4"/>
      <c r="B69" s="4"/>
      <c r="C69" s="4"/>
      <c r="D69" s="4"/>
      <c r="E69" s="104">
        <f>Asset9</f>
        <v>0</v>
      </c>
      <c r="F69" s="152"/>
      <c r="G69" s="1482"/>
      <c r="H69" s="333"/>
      <c r="I69" s="333"/>
      <c r="J69" s="333"/>
      <c r="K69" s="333"/>
      <c r="L69" s="1477"/>
      <c r="M69" s="333"/>
      <c r="N69" s="333"/>
      <c r="O69" s="333"/>
      <c r="P69" s="333"/>
      <c r="Q69" s="333"/>
      <c r="R69" s="355"/>
      <c r="S69" s="2"/>
      <c r="T69" s="2"/>
      <c r="U69" s="2"/>
      <c r="V69" s="2"/>
      <c r="W69" s="2"/>
      <c r="X69" s="152"/>
      <c r="Y69" s="152"/>
      <c r="Z69" s="152"/>
      <c r="AA69" s="152"/>
      <c r="AB69" s="152"/>
      <c r="AC69" s="152"/>
      <c r="AD69" s="152"/>
      <c r="AE69" s="152"/>
      <c r="AF69" s="152"/>
      <c r="AG69" s="152"/>
      <c r="AH69" s="152"/>
      <c r="AI69" s="152"/>
    </row>
    <row r="70" spans="1:35" outlineLevel="1">
      <c r="A70" s="4"/>
      <c r="B70" s="4"/>
      <c r="C70" s="4"/>
      <c r="D70" s="4"/>
      <c r="E70" s="104">
        <f>Asset10</f>
        <v>0</v>
      </c>
      <c r="F70" s="152"/>
      <c r="G70" s="1482"/>
      <c r="H70" s="333"/>
      <c r="I70" s="333"/>
      <c r="J70" s="333"/>
      <c r="K70" s="333"/>
      <c r="L70" s="1477"/>
      <c r="M70" s="333"/>
      <c r="N70" s="333"/>
      <c r="O70" s="333"/>
      <c r="P70" s="333"/>
      <c r="Q70" s="333"/>
      <c r="R70" s="355"/>
      <c r="S70" s="2"/>
      <c r="T70" s="2"/>
      <c r="U70" s="2"/>
      <c r="V70" s="2"/>
      <c r="W70" s="2"/>
      <c r="X70" s="152"/>
      <c r="Y70" s="152"/>
      <c r="Z70" s="152"/>
      <c r="AA70" s="152"/>
      <c r="AB70" s="152"/>
      <c r="AC70" s="152"/>
      <c r="AD70" s="152"/>
      <c r="AE70" s="152"/>
      <c r="AF70" s="152"/>
      <c r="AG70" s="152"/>
      <c r="AH70" s="152"/>
      <c r="AI70" s="152"/>
    </row>
    <row r="71" spans="1:35" outlineLevel="1">
      <c r="A71" s="4"/>
      <c r="B71" s="4"/>
      <c r="C71" s="4"/>
      <c r="D71" s="4"/>
      <c r="E71" s="104">
        <f>Asset11</f>
        <v>0</v>
      </c>
      <c r="F71" s="152"/>
      <c r="G71" s="1482"/>
      <c r="H71" s="333"/>
      <c r="I71" s="333"/>
      <c r="J71" s="333"/>
      <c r="K71" s="333"/>
      <c r="L71" s="1477"/>
      <c r="M71" s="333"/>
      <c r="N71" s="333"/>
      <c r="O71" s="333"/>
      <c r="P71" s="333"/>
      <c r="Q71" s="333"/>
      <c r="R71" s="355"/>
      <c r="S71" s="2"/>
      <c r="T71" s="2"/>
      <c r="U71" s="2"/>
      <c r="V71" s="2"/>
      <c r="W71" s="2"/>
      <c r="X71" s="152"/>
      <c r="Y71" s="152"/>
      <c r="Z71" s="152"/>
      <c r="AA71" s="152"/>
      <c r="AB71" s="152"/>
      <c r="AC71" s="152"/>
      <c r="AD71" s="152"/>
      <c r="AE71" s="152"/>
      <c r="AF71" s="152"/>
      <c r="AG71" s="152"/>
      <c r="AH71" s="152"/>
      <c r="AI71" s="152"/>
    </row>
    <row r="72" spans="1:35" outlineLevel="1">
      <c r="A72" s="4"/>
      <c r="B72" s="4"/>
      <c r="C72" s="4"/>
      <c r="D72" s="4"/>
      <c r="E72" s="104">
        <f>Asset12</f>
        <v>0</v>
      </c>
      <c r="F72" s="152"/>
      <c r="G72" s="1482"/>
      <c r="H72" s="333"/>
      <c r="I72" s="333"/>
      <c r="J72" s="333"/>
      <c r="K72" s="333"/>
      <c r="L72" s="1477"/>
      <c r="M72" s="333"/>
      <c r="N72" s="333"/>
      <c r="O72" s="333"/>
      <c r="P72" s="333"/>
      <c r="Q72" s="333"/>
      <c r="R72" s="355"/>
      <c r="S72" s="2"/>
      <c r="T72" s="2"/>
      <c r="U72" s="2"/>
      <c r="V72" s="2"/>
      <c r="W72" s="2"/>
      <c r="X72" s="152"/>
      <c r="Y72" s="152"/>
      <c r="Z72" s="152"/>
      <c r="AA72" s="152"/>
      <c r="AB72" s="152"/>
      <c r="AC72" s="152"/>
      <c r="AD72" s="152"/>
      <c r="AE72" s="152"/>
      <c r="AF72" s="152"/>
      <c r="AG72" s="152"/>
      <c r="AH72" s="152"/>
      <c r="AI72" s="152"/>
    </row>
    <row r="73" spans="1:35" outlineLevel="1">
      <c r="A73" s="4"/>
      <c r="B73" s="4"/>
      <c r="C73" s="4"/>
      <c r="D73" s="4"/>
      <c r="E73" s="104">
        <f>Asset13</f>
        <v>0</v>
      </c>
      <c r="F73" s="152"/>
      <c r="G73" s="1482"/>
      <c r="H73" s="333"/>
      <c r="I73" s="333"/>
      <c r="J73" s="333"/>
      <c r="K73" s="333"/>
      <c r="L73" s="1477"/>
      <c r="M73" s="333"/>
      <c r="N73" s="333"/>
      <c r="O73" s="333"/>
      <c r="P73" s="333"/>
      <c r="Q73" s="333"/>
      <c r="R73" s="355"/>
      <c r="S73" s="2"/>
      <c r="T73" s="2"/>
      <c r="U73" s="2"/>
      <c r="V73" s="2"/>
      <c r="W73" s="2"/>
      <c r="X73" s="152"/>
      <c r="Y73" s="152"/>
      <c r="Z73" s="152"/>
      <c r="AA73" s="152"/>
      <c r="AB73" s="152"/>
      <c r="AC73" s="152"/>
      <c r="AD73" s="152"/>
      <c r="AE73" s="152"/>
      <c r="AF73" s="152"/>
      <c r="AG73" s="152"/>
      <c r="AH73" s="152"/>
      <c r="AI73" s="152"/>
    </row>
    <row r="74" spans="1:35" outlineLevel="1">
      <c r="A74" s="4"/>
      <c r="B74" s="4"/>
      <c r="C74" s="4"/>
      <c r="D74" s="4"/>
      <c r="E74" s="104">
        <f>Asset14</f>
        <v>0</v>
      </c>
      <c r="F74" s="152"/>
      <c r="G74" s="1482"/>
      <c r="H74" s="333"/>
      <c r="I74" s="333"/>
      <c r="J74" s="333"/>
      <c r="K74" s="333"/>
      <c r="L74" s="1477"/>
      <c r="M74" s="333"/>
      <c r="N74" s="333"/>
      <c r="O74" s="333"/>
      <c r="P74" s="333"/>
      <c r="Q74" s="333"/>
      <c r="R74" s="355"/>
      <c r="S74" s="2"/>
      <c r="T74" s="2"/>
      <c r="U74" s="2"/>
      <c r="V74" s="2"/>
      <c r="W74" s="2"/>
      <c r="X74" s="152"/>
      <c r="Y74" s="152"/>
      <c r="Z74" s="152"/>
      <c r="AA74" s="152"/>
      <c r="AB74" s="152"/>
      <c r="AC74" s="152"/>
      <c r="AD74" s="152"/>
      <c r="AE74" s="152"/>
      <c r="AF74" s="152"/>
      <c r="AG74" s="152"/>
      <c r="AH74" s="152"/>
      <c r="AI74" s="152"/>
    </row>
    <row r="75" spans="1:35" outlineLevel="1">
      <c r="A75" s="4"/>
      <c r="B75" s="4"/>
      <c r="C75" s="4"/>
      <c r="D75" s="4"/>
      <c r="E75" s="104">
        <f>Asset15</f>
        <v>0</v>
      </c>
      <c r="F75" s="152"/>
      <c r="G75" s="1482"/>
      <c r="H75" s="333"/>
      <c r="I75" s="333"/>
      <c r="J75" s="333"/>
      <c r="K75" s="333"/>
      <c r="L75" s="1477"/>
      <c r="M75" s="333"/>
      <c r="N75" s="333"/>
      <c r="O75" s="333"/>
      <c r="P75" s="333"/>
      <c r="Q75" s="333"/>
      <c r="R75" s="355"/>
      <c r="S75" s="2"/>
      <c r="T75" s="2"/>
      <c r="U75" s="2"/>
      <c r="V75" s="2"/>
      <c r="W75" s="2"/>
      <c r="X75" s="152"/>
      <c r="Y75" s="152"/>
      <c r="Z75" s="152"/>
      <c r="AA75" s="152"/>
      <c r="AB75" s="152"/>
      <c r="AC75" s="152"/>
      <c r="AD75" s="152"/>
      <c r="AE75" s="152"/>
      <c r="AF75" s="152"/>
      <c r="AG75" s="152"/>
      <c r="AH75" s="152"/>
      <c r="AI75" s="152"/>
    </row>
    <row r="76" spans="1:35" outlineLevel="1">
      <c r="A76" s="4"/>
      <c r="B76" s="4"/>
      <c r="C76" s="4"/>
      <c r="D76" s="4"/>
      <c r="E76" s="104">
        <f>Asset16</f>
        <v>0</v>
      </c>
      <c r="F76" s="152"/>
      <c r="G76" s="1482"/>
      <c r="H76" s="333"/>
      <c r="I76" s="333"/>
      <c r="J76" s="333"/>
      <c r="K76" s="333"/>
      <c r="L76" s="1477"/>
      <c r="M76" s="333"/>
      <c r="N76" s="333"/>
      <c r="O76" s="333"/>
      <c r="P76" s="333"/>
      <c r="Q76" s="333"/>
      <c r="R76" s="355"/>
      <c r="S76" s="2"/>
      <c r="T76" s="2"/>
      <c r="U76" s="2"/>
      <c r="V76" s="2"/>
      <c r="W76" s="2"/>
      <c r="X76" s="152"/>
      <c r="Y76" s="152"/>
      <c r="Z76" s="152"/>
      <c r="AA76" s="152"/>
      <c r="AB76" s="152"/>
      <c r="AC76" s="152"/>
      <c r="AD76" s="152"/>
      <c r="AE76" s="152"/>
      <c r="AF76" s="152"/>
      <c r="AG76" s="152"/>
      <c r="AH76" s="152"/>
      <c r="AI76" s="152"/>
    </row>
    <row r="77" spans="1:35" outlineLevel="1">
      <c r="A77" s="4"/>
      <c r="B77" s="4"/>
      <c r="C77" s="4"/>
      <c r="D77" s="4"/>
      <c r="E77" s="104">
        <f>Asset17</f>
        <v>0</v>
      </c>
      <c r="F77" s="152"/>
      <c r="G77" s="1482"/>
      <c r="H77" s="333"/>
      <c r="I77" s="333"/>
      <c r="J77" s="333"/>
      <c r="K77" s="333"/>
      <c r="L77" s="1477"/>
      <c r="M77" s="333"/>
      <c r="N77" s="333"/>
      <c r="O77" s="333"/>
      <c r="P77" s="333"/>
      <c r="Q77" s="333"/>
      <c r="R77" s="355"/>
      <c r="S77" s="2"/>
      <c r="T77" s="2"/>
      <c r="U77" s="2"/>
      <c r="V77" s="2"/>
      <c r="W77" s="2"/>
      <c r="X77" s="152"/>
      <c r="Y77" s="152"/>
      <c r="Z77" s="152"/>
      <c r="AA77" s="152"/>
      <c r="AB77" s="152"/>
      <c r="AC77" s="152"/>
      <c r="AD77" s="152"/>
      <c r="AE77" s="152"/>
      <c r="AF77" s="152"/>
      <c r="AG77" s="152"/>
      <c r="AH77" s="152"/>
      <c r="AI77" s="152"/>
    </row>
    <row r="78" spans="1:35" outlineLevel="1">
      <c r="A78" s="4"/>
      <c r="B78" s="4"/>
      <c r="C78" s="4"/>
      <c r="D78" s="4"/>
      <c r="E78" s="104">
        <f>Asset18</f>
        <v>0</v>
      </c>
      <c r="F78" s="152"/>
      <c r="G78" s="1482"/>
      <c r="H78" s="333"/>
      <c r="I78" s="333"/>
      <c r="J78" s="333"/>
      <c r="K78" s="333"/>
      <c r="L78" s="1477"/>
      <c r="M78" s="333"/>
      <c r="N78" s="333"/>
      <c r="O78" s="333"/>
      <c r="P78" s="333"/>
      <c r="Q78" s="333"/>
      <c r="R78" s="355"/>
      <c r="S78" s="2"/>
      <c r="T78" s="2"/>
      <c r="U78" s="2"/>
      <c r="V78" s="2"/>
      <c r="W78" s="2"/>
      <c r="X78" s="152"/>
      <c r="Y78" s="152"/>
      <c r="Z78" s="152"/>
      <c r="AA78" s="152"/>
      <c r="AB78" s="152"/>
      <c r="AC78" s="152"/>
      <c r="AD78" s="152"/>
      <c r="AE78" s="152"/>
      <c r="AF78" s="152"/>
      <c r="AG78" s="152"/>
      <c r="AH78" s="152"/>
      <c r="AI78" s="152"/>
    </row>
    <row r="79" spans="1:35" outlineLevel="1">
      <c r="A79" s="4"/>
      <c r="B79" s="4"/>
      <c r="C79" s="4"/>
      <c r="D79" s="4"/>
      <c r="E79" s="104">
        <f>Asset19</f>
        <v>0</v>
      </c>
      <c r="F79" s="152"/>
      <c r="G79" s="1482"/>
      <c r="H79" s="333"/>
      <c r="I79" s="333"/>
      <c r="J79" s="333"/>
      <c r="K79" s="333"/>
      <c r="L79" s="1477"/>
      <c r="M79" s="333"/>
      <c r="N79" s="333"/>
      <c r="O79" s="333"/>
      <c r="P79" s="333"/>
      <c r="Q79" s="333"/>
      <c r="R79" s="355"/>
      <c r="S79" s="2"/>
      <c r="T79" s="2"/>
      <c r="U79" s="2"/>
      <c r="V79" s="2"/>
      <c r="W79" s="2"/>
      <c r="X79" s="152"/>
      <c r="Y79" s="152"/>
      <c r="Z79" s="152"/>
      <c r="AA79" s="152"/>
      <c r="AB79" s="152"/>
      <c r="AC79" s="152"/>
      <c r="AD79" s="152"/>
      <c r="AE79" s="152"/>
      <c r="AF79" s="152"/>
      <c r="AG79" s="152"/>
      <c r="AH79" s="152"/>
      <c r="AI79" s="152"/>
    </row>
    <row r="80" spans="1:35" outlineLevel="1">
      <c r="A80" s="4"/>
      <c r="B80" s="4"/>
      <c r="C80" s="4"/>
      <c r="D80" s="4"/>
      <c r="E80" s="104">
        <f>Asset20</f>
        <v>0</v>
      </c>
      <c r="F80" s="177"/>
      <c r="G80" s="1482"/>
      <c r="H80" s="333"/>
      <c r="I80" s="333"/>
      <c r="J80" s="333"/>
      <c r="K80" s="333"/>
      <c r="L80" s="1477"/>
      <c r="M80" s="333"/>
      <c r="N80" s="333"/>
      <c r="O80" s="333"/>
      <c r="P80" s="333"/>
      <c r="Q80" s="333"/>
      <c r="R80" s="355"/>
      <c r="S80" s="2"/>
      <c r="T80" s="2"/>
      <c r="U80" s="2"/>
      <c r="V80" s="2"/>
      <c r="W80" s="2"/>
      <c r="X80" s="152"/>
      <c r="Y80" s="152"/>
      <c r="Z80" s="152"/>
      <c r="AA80" s="152"/>
      <c r="AB80" s="152"/>
      <c r="AC80" s="152"/>
      <c r="AD80" s="152"/>
      <c r="AE80" s="152"/>
      <c r="AF80" s="152"/>
      <c r="AG80" s="152"/>
      <c r="AH80" s="152"/>
      <c r="AI80" s="152"/>
    </row>
    <row r="81" spans="1:35" outlineLevel="1">
      <c r="A81" s="4"/>
      <c r="B81" s="4"/>
      <c r="C81" s="4"/>
      <c r="D81" s="4"/>
      <c r="E81" s="104">
        <f>Asset21</f>
        <v>0</v>
      </c>
      <c r="F81" s="177"/>
      <c r="G81" s="1482"/>
      <c r="H81" s="333"/>
      <c r="I81" s="333"/>
      <c r="J81" s="333"/>
      <c r="K81" s="333"/>
      <c r="L81" s="1477"/>
      <c r="M81" s="333"/>
      <c r="N81" s="333"/>
      <c r="O81" s="333"/>
      <c r="P81" s="333"/>
      <c r="Q81" s="333"/>
      <c r="R81" s="355"/>
      <c r="S81" s="2"/>
      <c r="T81" s="2"/>
      <c r="U81" s="2"/>
      <c r="V81" s="2"/>
      <c r="W81" s="2"/>
      <c r="X81" s="152"/>
      <c r="Y81" s="152"/>
      <c r="Z81" s="152"/>
      <c r="AA81" s="152"/>
      <c r="AB81" s="152"/>
      <c r="AC81" s="152"/>
      <c r="AD81" s="152"/>
      <c r="AE81" s="152"/>
      <c r="AF81" s="152"/>
      <c r="AG81" s="152"/>
      <c r="AH81" s="152"/>
      <c r="AI81" s="152"/>
    </row>
    <row r="82" spans="1:35" outlineLevel="1">
      <c r="A82" s="4"/>
      <c r="B82" s="4"/>
      <c r="C82" s="4"/>
      <c r="D82" s="4"/>
      <c r="E82" s="104">
        <f>Asset22</f>
        <v>0</v>
      </c>
      <c r="F82" s="177"/>
      <c r="G82" s="1482"/>
      <c r="H82" s="333"/>
      <c r="I82" s="333"/>
      <c r="J82" s="333"/>
      <c r="K82" s="333"/>
      <c r="L82" s="1477"/>
      <c r="M82" s="333"/>
      <c r="N82" s="333"/>
      <c r="O82" s="333"/>
      <c r="P82" s="333"/>
      <c r="Q82" s="333"/>
      <c r="R82" s="355"/>
      <c r="S82" s="2"/>
      <c r="T82" s="2"/>
      <c r="U82" s="2"/>
      <c r="V82" s="2"/>
      <c r="W82" s="2"/>
      <c r="X82" s="152"/>
      <c r="Y82" s="152"/>
      <c r="Z82" s="152"/>
      <c r="AA82" s="152"/>
      <c r="AB82" s="152"/>
      <c r="AC82" s="152"/>
      <c r="AD82" s="152"/>
      <c r="AE82" s="152"/>
      <c r="AF82" s="152"/>
      <c r="AG82" s="152"/>
      <c r="AH82" s="152"/>
      <c r="AI82" s="152"/>
    </row>
    <row r="83" spans="1:35" outlineLevel="1">
      <c r="A83" s="4"/>
      <c r="B83" s="4"/>
      <c r="C83" s="4"/>
      <c r="D83" s="4"/>
      <c r="E83" s="104">
        <f>Asset23</f>
        <v>0</v>
      </c>
      <c r="F83" s="177"/>
      <c r="G83" s="1482"/>
      <c r="H83" s="333"/>
      <c r="I83" s="333"/>
      <c r="J83" s="333"/>
      <c r="K83" s="333"/>
      <c r="L83" s="1477"/>
      <c r="M83" s="333"/>
      <c r="N83" s="333"/>
      <c r="O83" s="333"/>
      <c r="P83" s="333"/>
      <c r="Q83" s="333"/>
      <c r="R83" s="355"/>
      <c r="S83" s="2"/>
      <c r="T83" s="2"/>
      <c r="U83" s="2"/>
      <c r="V83" s="2"/>
      <c r="W83" s="2"/>
      <c r="X83" s="152"/>
      <c r="Y83" s="152"/>
      <c r="Z83" s="152"/>
      <c r="AA83" s="152"/>
      <c r="AB83" s="152"/>
      <c r="AC83" s="152"/>
      <c r="AD83" s="152"/>
      <c r="AE83" s="152"/>
      <c r="AF83" s="152"/>
      <c r="AG83" s="152"/>
      <c r="AH83" s="152"/>
      <c r="AI83" s="152"/>
    </row>
    <row r="84" spans="1:35" outlineLevel="1">
      <c r="A84" s="4"/>
      <c r="B84" s="4"/>
      <c r="C84" s="4"/>
      <c r="D84" s="4"/>
      <c r="E84" s="104">
        <f>Asset24</f>
        <v>0</v>
      </c>
      <c r="F84" s="177"/>
      <c r="G84" s="1482"/>
      <c r="H84" s="333"/>
      <c r="I84" s="333"/>
      <c r="J84" s="333"/>
      <c r="K84" s="333"/>
      <c r="L84" s="1477"/>
      <c r="M84" s="333"/>
      <c r="N84" s="333"/>
      <c r="O84" s="333"/>
      <c r="P84" s="333"/>
      <c r="Q84" s="333"/>
      <c r="R84" s="355"/>
      <c r="S84" s="2"/>
      <c r="T84" s="2"/>
      <c r="U84" s="2"/>
      <c r="V84" s="2"/>
      <c r="W84" s="2"/>
      <c r="X84" s="152"/>
      <c r="Y84" s="152"/>
      <c r="Z84" s="152"/>
      <c r="AA84" s="152"/>
      <c r="AB84" s="152"/>
      <c r="AC84" s="152"/>
      <c r="AD84" s="152"/>
      <c r="AE84" s="152"/>
      <c r="AF84" s="152"/>
      <c r="AG84" s="152"/>
      <c r="AH84" s="152"/>
      <c r="AI84" s="152"/>
    </row>
    <row r="85" spans="1:35" outlineLevel="1">
      <c r="A85" s="4"/>
      <c r="B85" s="4"/>
      <c r="C85" s="4"/>
      <c r="D85" s="4"/>
      <c r="E85" s="104">
        <f>Asset25</f>
        <v>0</v>
      </c>
      <c r="F85" s="177"/>
      <c r="G85" s="1482"/>
      <c r="H85" s="333"/>
      <c r="I85" s="333"/>
      <c r="J85" s="333"/>
      <c r="K85" s="333"/>
      <c r="L85" s="1477"/>
      <c r="M85" s="333"/>
      <c r="N85" s="333"/>
      <c r="O85" s="333"/>
      <c r="P85" s="333"/>
      <c r="Q85" s="333"/>
      <c r="R85" s="355"/>
      <c r="S85" s="2"/>
      <c r="T85" s="2"/>
      <c r="U85" s="2"/>
      <c r="V85" s="2"/>
      <c r="W85" s="2"/>
      <c r="X85" s="152"/>
      <c r="Y85" s="152"/>
      <c r="Z85" s="152"/>
      <c r="AA85" s="152"/>
      <c r="AB85" s="152"/>
      <c r="AC85" s="152"/>
      <c r="AD85" s="152"/>
      <c r="AE85" s="152"/>
      <c r="AF85" s="152"/>
      <c r="AG85" s="152"/>
      <c r="AH85" s="152"/>
      <c r="AI85" s="152"/>
    </row>
    <row r="86" spans="1:35" outlineLevel="1">
      <c r="A86" s="4"/>
      <c r="B86" s="4"/>
      <c r="C86" s="4"/>
      <c r="D86" s="4"/>
      <c r="E86" s="104">
        <f>Asset26</f>
        <v>0</v>
      </c>
      <c r="F86" s="177"/>
      <c r="G86" s="1482"/>
      <c r="H86" s="333"/>
      <c r="I86" s="333"/>
      <c r="J86" s="333"/>
      <c r="K86" s="333"/>
      <c r="L86" s="1477"/>
      <c r="M86" s="333"/>
      <c r="N86" s="333"/>
      <c r="O86" s="333"/>
      <c r="P86" s="333"/>
      <c r="Q86" s="333"/>
      <c r="R86" s="355"/>
      <c r="S86" s="2"/>
      <c r="T86" s="2"/>
      <c r="U86" s="2"/>
      <c r="V86" s="2"/>
      <c r="W86" s="2"/>
      <c r="X86" s="152"/>
      <c r="Y86" s="152"/>
      <c r="Z86" s="152"/>
      <c r="AA86" s="152"/>
      <c r="AB86" s="152"/>
      <c r="AC86" s="152"/>
      <c r="AD86" s="152"/>
      <c r="AE86" s="152"/>
      <c r="AF86" s="152"/>
      <c r="AG86" s="152"/>
      <c r="AH86" s="152"/>
      <c r="AI86" s="152"/>
    </row>
    <row r="87" spans="1:35" outlineLevel="1">
      <c r="A87" s="4"/>
      <c r="B87" s="4"/>
      <c r="C87" s="4"/>
      <c r="D87" s="4"/>
      <c r="E87" s="104">
        <f>Asset27</f>
        <v>0</v>
      </c>
      <c r="F87" s="177"/>
      <c r="G87" s="1482"/>
      <c r="H87" s="333"/>
      <c r="I87" s="333"/>
      <c r="J87" s="333"/>
      <c r="K87" s="333"/>
      <c r="L87" s="1477"/>
      <c r="M87" s="333"/>
      <c r="N87" s="333"/>
      <c r="O87" s="333"/>
      <c r="P87" s="333"/>
      <c r="Q87" s="333"/>
      <c r="R87" s="355"/>
      <c r="S87" s="2"/>
      <c r="T87" s="2"/>
      <c r="U87" s="2"/>
      <c r="V87" s="2"/>
      <c r="W87" s="2"/>
      <c r="X87" s="152"/>
      <c r="Y87" s="152"/>
      <c r="Z87" s="152"/>
      <c r="AA87" s="152"/>
      <c r="AB87" s="152"/>
      <c r="AC87" s="152"/>
      <c r="AD87" s="152"/>
      <c r="AE87" s="152"/>
      <c r="AF87" s="152"/>
      <c r="AG87" s="152"/>
      <c r="AH87" s="152"/>
      <c r="AI87" s="152"/>
    </row>
    <row r="88" spans="1:35" outlineLevel="1">
      <c r="A88" s="4"/>
      <c r="B88" s="4"/>
      <c r="C88" s="4"/>
      <c r="D88" s="4"/>
      <c r="E88" s="104">
        <f>Asset28</f>
        <v>0</v>
      </c>
      <c r="F88" s="177"/>
      <c r="G88" s="1482"/>
      <c r="H88" s="333"/>
      <c r="I88" s="333"/>
      <c r="J88" s="333"/>
      <c r="K88" s="333"/>
      <c r="L88" s="1477"/>
      <c r="M88" s="333"/>
      <c r="N88" s="333"/>
      <c r="O88" s="333"/>
      <c r="P88" s="333"/>
      <c r="Q88" s="333"/>
      <c r="R88" s="355"/>
      <c r="S88" s="2"/>
      <c r="T88" s="2"/>
      <c r="U88" s="2"/>
      <c r="V88" s="2"/>
      <c r="W88" s="2"/>
      <c r="X88" s="152"/>
      <c r="Y88" s="152"/>
      <c r="Z88" s="152"/>
      <c r="AA88" s="152"/>
      <c r="AB88" s="152"/>
      <c r="AC88" s="152"/>
      <c r="AD88" s="152"/>
      <c r="AE88" s="152"/>
      <c r="AF88" s="152"/>
      <c r="AG88" s="152"/>
      <c r="AH88" s="152"/>
      <c r="AI88" s="152"/>
    </row>
    <row r="89" spans="1:35" outlineLevel="1">
      <c r="A89" s="4"/>
      <c r="B89" s="4"/>
      <c r="C89" s="4"/>
      <c r="D89" s="4"/>
      <c r="E89" s="104">
        <f>Asset29</f>
        <v>0</v>
      </c>
      <c r="F89" s="177"/>
      <c r="G89" s="1482"/>
      <c r="H89" s="333"/>
      <c r="I89" s="333"/>
      <c r="J89" s="333"/>
      <c r="K89" s="333"/>
      <c r="L89" s="1477"/>
      <c r="M89" s="333"/>
      <c r="N89" s="333"/>
      <c r="O89" s="333"/>
      <c r="P89" s="333"/>
      <c r="Q89" s="333"/>
      <c r="R89" s="355"/>
      <c r="S89" s="2"/>
      <c r="T89" s="2"/>
      <c r="U89" s="2"/>
      <c r="V89" s="2"/>
      <c r="W89" s="2"/>
      <c r="X89" s="152"/>
      <c r="Y89" s="152"/>
      <c r="Z89" s="152"/>
      <c r="AA89" s="152"/>
      <c r="AB89" s="152"/>
      <c r="AC89" s="152"/>
      <c r="AD89" s="152"/>
      <c r="AE89" s="152"/>
      <c r="AF89" s="152"/>
      <c r="AG89" s="152"/>
      <c r="AH89" s="152"/>
      <c r="AI89" s="152"/>
    </row>
    <row r="90" spans="1:35" outlineLevel="1">
      <c r="A90" s="4"/>
      <c r="B90" s="4"/>
      <c r="C90" s="4"/>
      <c r="D90" s="4"/>
      <c r="E90" s="104">
        <f>Asset30</f>
        <v>0</v>
      </c>
      <c r="F90" s="177"/>
      <c r="G90" s="1482"/>
      <c r="H90" s="333"/>
      <c r="I90" s="333"/>
      <c r="J90" s="333"/>
      <c r="K90" s="333"/>
      <c r="L90" s="1477"/>
      <c r="M90" s="333"/>
      <c r="N90" s="333"/>
      <c r="O90" s="333"/>
      <c r="P90" s="333"/>
      <c r="Q90" s="333"/>
      <c r="R90" s="355"/>
      <c r="S90" s="2"/>
      <c r="T90" s="2"/>
      <c r="U90" s="2"/>
      <c r="V90" s="2"/>
      <c r="W90" s="2"/>
      <c r="X90" s="152"/>
      <c r="Y90" s="152"/>
      <c r="Z90" s="152"/>
      <c r="AA90" s="152"/>
      <c r="AB90" s="152"/>
      <c r="AC90" s="152"/>
      <c r="AD90" s="152"/>
      <c r="AE90" s="152"/>
      <c r="AF90" s="152"/>
      <c r="AG90" s="152"/>
      <c r="AH90" s="152"/>
      <c r="AI90" s="152"/>
    </row>
    <row r="91" spans="1:35" outlineLevel="2">
      <c r="A91" s="4"/>
      <c r="B91" s="4"/>
      <c r="C91" s="4"/>
      <c r="D91" s="4"/>
      <c r="E91" s="104">
        <f>Asset31</f>
        <v>0</v>
      </c>
      <c r="F91" s="177"/>
      <c r="G91" s="1482"/>
      <c r="H91" s="333"/>
      <c r="I91" s="333"/>
      <c r="J91" s="333"/>
      <c r="K91" s="333"/>
      <c r="L91" s="1477"/>
      <c r="M91" s="333"/>
      <c r="N91" s="333"/>
      <c r="O91" s="333"/>
      <c r="P91" s="333"/>
      <c r="Q91" s="333"/>
      <c r="R91" s="355"/>
      <c r="S91" s="2"/>
      <c r="T91" s="2"/>
      <c r="U91" s="2"/>
      <c r="V91" s="2"/>
      <c r="W91" s="2"/>
      <c r="X91" s="152"/>
      <c r="Y91" s="152"/>
      <c r="Z91" s="152"/>
      <c r="AA91" s="152"/>
      <c r="AB91" s="152"/>
      <c r="AC91" s="152"/>
      <c r="AD91" s="152"/>
      <c r="AE91" s="152"/>
      <c r="AF91" s="152"/>
      <c r="AG91" s="152"/>
      <c r="AH91" s="152"/>
      <c r="AI91" s="152"/>
    </row>
    <row r="92" spans="1:35" outlineLevel="2">
      <c r="A92" s="4"/>
      <c r="B92" s="4"/>
      <c r="C92" s="4"/>
      <c r="D92" s="4"/>
      <c r="E92" s="104">
        <f>Asset32</f>
        <v>0</v>
      </c>
      <c r="F92" s="177"/>
      <c r="G92" s="1482"/>
      <c r="H92" s="333"/>
      <c r="I92" s="333"/>
      <c r="J92" s="333"/>
      <c r="K92" s="333"/>
      <c r="L92" s="1477"/>
      <c r="M92" s="333"/>
      <c r="N92" s="333"/>
      <c r="O92" s="333"/>
      <c r="P92" s="333"/>
      <c r="Q92" s="333"/>
      <c r="R92" s="355"/>
      <c r="S92" s="2"/>
      <c r="T92" s="2"/>
      <c r="U92" s="2"/>
      <c r="V92" s="2"/>
      <c r="W92" s="2"/>
      <c r="X92" s="152"/>
      <c r="Y92" s="152"/>
      <c r="Z92" s="152"/>
      <c r="AA92" s="152"/>
      <c r="AB92" s="152"/>
      <c r="AC92" s="152"/>
      <c r="AD92" s="152"/>
      <c r="AE92" s="152"/>
      <c r="AF92" s="152"/>
      <c r="AG92" s="152"/>
      <c r="AH92" s="152"/>
      <c r="AI92" s="152"/>
    </row>
    <row r="93" spans="1:35" outlineLevel="2">
      <c r="A93" s="4"/>
      <c r="B93" s="4"/>
      <c r="C93" s="4"/>
      <c r="D93" s="4"/>
      <c r="E93" s="104">
        <f>Asset33</f>
        <v>0</v>
      </c>
      <c r="F93" s="177"/>
      <c r="G93" s="1482"/>
      <c r="H93" s="333"/>
      <c r="I93" s="333"/>
      <c r="J93" s="333"/>
      <c r="K93" s="333"/>
      <c r="L93" s="1477"/>
      <c r="M93" s="333"/>
      <c r="N93" s="333"/>
      <c r="O93" s="333"/>
      <c r="P93" s="333"/>
      <c r="Q93" s="333"/>
      <c r="R93" s="355"/>
      <c r="S93" s="2"/>
      <c r="T93" s="2"/>
      <c r="U93" s="2"/>
      <c r="V93" s="2"/>
      <c r="W93" s="2"/>
      <c r="X93" s="152"/>
      <c r="Y93" s="152"/>
      <c r="Z93" s="152"/>
      <c r="AA93" s="152"/>
      <c r="AB93" s="152"/>
      <c r="AC93" s="152"/>
      <c r="AD93" s="152"/>
      <c r="AE93" s="152"/>
      <c r="AF93" s="152"/>
      <c r="AG93" s="152"/>
      <c r="AH93" s="152"/>
      <c r="AI93" s="152"/>
    </row>
    <row r="94" spans="1:35" outlineLevel="2">
      <c r="A94" s="4"/>
      <c r="B94" s="4"/>
      <c r="C94" s="4"/>
      <c r="D94" s="4"/>
      <c r="E94" s="104">
        <f>Asset34</f>
        <v>0</v>
      </c>
      <c r="F94" s="177"/>
      <c r="G94" s="1482"/>
      <c r="H94" s="333"/>
      <c r="I94" s="333"/>
      <c r="J94" s="333"/>
      <c r="K94" s="333"/>
      <c r="L94" s="1477"/>
      <c r="M94" s="333"/>
      <c r="N94" s="333"/>
      <c r="O94" s="333"/>
      <c r="P94" s="333"/>
      <c r="Q94" s="333"/>
      <c r="R94" s="355"/>
      <c r="S94" s="2"/>
      <c r="T94" s="2"/>
      <c r="U94" s="2"/>
      <c r="V94" s="2"/>
      <c r="W94" s="2"/>
      <c r="X94" s="152"/>
      <c r="Y94" s="152"/>
      <c r="Z94" s="152"/>
      <c r="AA94" s="152"/>
      <c r="AB94" s="152"/>
      <c r="AC94" s="152"/>
      <c r="AD94" s="152"/>
      <c r="AE94" s="152"/>
      <c r="AF94" s="152"/>
      <c r="AG94" s="152"/>
      <c r="AH94" s="152"/>
      <c r="AI94" s="152"/>
    </row>
    <row r="95" spans="1:35" outlineLevel="2">
      <c r="A95" s="4"/>
      <c r="B95" s="4"/>
      <c r="C95" s="4"/>
      <c r="D95" s="4"/>
      <c r="E95" s="104">
        <f>Asset35</f>
        <v>0</v>
      </c>
      <c r="F95" s="177"/>
      <c r="G95" s="1482"/>
      <c r="H95" s="333"/>
      <c r="I95" s="333"/>
      <c r="J95" s="333"/>
      <c r="K95" s="333"/>
      <c r="L95" s="1477"/>
      <c r="M95" s="333"/>
      <c r="N95" s="333"/>
      <c r="O95" s="333"/>
      <c r="P95" s="333"/>
      <c r="Q95" s="333"/>
      <c r="R95" s="355"/>
      <c r="S95" s="2"/>
      <c r="T95" s="2"/>
      <c r="U95" s="2"/>
      <c r="V95" s="2"/>
      <c r="W95" s="2"/>
      <c r="X95" s="152"/>
      <c r="Y95" s="152"/>
      <c r="Z95" s="152"/>
      <c r="AA95" s="152"/>
      <c r="AB95" s="152"/>
      <c r="AC95" s="152"/>
      <c r="AD95" s="152"/>
      <c r="AE95" s="152"/>
      <c r="AF95" s="152"/>
      <c r="AG95" s="152"/>
      <c r="AH95" s="152"/>
      <c r="AI95" s="152"/>
    </row>
    <row r="96" spans="1:35" outlineLevel="2">
      <c r="A96" s="4"/>
      <c r="B96" s="4"/>
      <c r="C96" s="4"/>
      <c r="D96" s="4"/>
      <c r="E96" s="104">
        <f>Asset36</f>
        <v>0</v>
      </c>
      <c r="F96" s="177"/>
      <c r="G96" s="1482"/>
      <c r="H96" s="333"/>
      <c r="I96" s="333"/>
      <c r="J96" s="333"/>
      <c r="K96" s="333"/>
      <c r="L96" s="1477"/>
      <c r="M96" s="333"/>
      <c r="N96" s="333"/>
      <c r="O96" s="333"/>
      <c r="P96" s="333"/>
      <c r="Q96" s="333"/>
      <c r="R96" s="355"/>
      <c r="S96" s="2"/>
      <c r="T96" s="2"/>
      <c r="U96" s="2"/>
      <c r="V96" s="2"/>
      <c r="W96" s="2"/>
      <c r="X96" s="152"/>
      <c r="Y96" s="152"/>
      <c r="Z96" s="152"/>
      <c r="AA96" s="152"/>
      <c r="AB96" s="152"/>
      <c r="AC96" s="152"/>
      <c r="AD96" s="152"/>
      <c r="AE96" s="152"/>
      <c r="AF96" s="152"/>
      <c r="AG96" s="152"/>
      <c r="AH96" s="152"/>
      <c r="AI96" s="152"/>
    </row>
    <row r="97" spans="1:35" outlineLevel="2">
      <c r="A97" s="4"/>
      <c r="B97" s="4"/>
      <c r="C97" s="4"/>
      <c r="D97" s="4"/>
      <c r="E97" s="104">
        <f>Asset37</f>
        <v>0</v>
      </c>
      <c r="F97" s="177"/>
      <c r="G97" s="1482"/>
      <c r="H97" s="333"/>
      <c r="I97" s="333"/>
      <c r="J97" s="333"/>
      <c r="K97" s="333"/>
      <c r="L97" s="1477"/>
      <c r="M97" s="333"/>
      <c r="N97" s="333"/>
      <c r="O97" s="333"/>
      <c r="P97" s="333"/>
      <c r="Q97" s="333"/>
      <c r="R97" s="355"/>
      <c r="S97" s="2"/>
      <c r="T97" s="2"/>
      <c r="U97" s="2"/>
      <c r="V97" s="2"/>
      <c r="W97" s="2"/>
      <c r="X97" s="152"/>
      <c r="Y97" s="152"/>
      <c r="Z97" s="152"/>
      <c r="AA97" s="152"/>
      <c r="AB97" s="152"/>
      <c r="AC97" s="152"/>
      <c r="AD97" s="152"/>
      <c r="AE97" s="152"/>
      <c r="AF97" s="152"/>
      <c r="AG97" s="152"/>
      <c r="AH97" s="152"/>
      <c r="AI97" s="152"/>
    </row>
    <row r="98" spans="1:35" outlineLevel="2">
      <c r="A98" s="4"/>
      <c r="B98" s="4"/>
      <c r="C98" s="4"/>
      <c r="D98" s="4"/>
      <c r="E98" s="104">
        <f>Asset38</f>
        <v>0</v>
      </c>
      <c r="F98" s="177"/>
      <c r="G98" s="1482"/>
      <c r="H98" s="333"/>
      <c r="I98" s="333"/>
      <c r="J98" s="333"/>
      <c r="K98" s="333"/>
      <c r="L98" s="1477"/>
      <c r="M98" s="333"/>
      <c r="N98" s="333"/>
      <c r="O98" s="333"/>
      <c r="P98" s="333"/>
      <c r="Q98" s="333"/>
      <c r="R98" s="355"/>
      <c r="S98" s="2"/>
      <c r="T98" s="2"/>
      <c r="U98" s="2"/>
      <c r="V98" s="2"/>
      <c r="W98" s="2"/>
      <c r="X98" s="152"/>
      <c r="Y98" s="152"/>
      <c r="Z98" s="152"/>
      <c r="AA98" s="152"/>
      <c r="AB98" s="152"/>
      <c r="AC98" s="152"/>
      <c r="AD98" s="152"/>
      <c r="AE98" s="152"/>
      <c r="AF98" s="152"/>
      <c r="AG98" s="152"/>
      <c r="AH98" s="152"/>
      <c r="AI98" s="152"/>
    </row>
    <row r="99" spans="1:35" outlineLevel="2">
      <c r="A99" s="4"/>
      <c r="B99" s="4"/>
      <c r="C99" s="4"/>
      <c r="D99" s="4"/>
      <c r="E99" s="104">
        <f>Asset39</f>
        <v>0</v>
      </c>
      <c r="F99" s="177"/>
      <c r="G99" s="1482"/>
      <c r="H99" s="333"/>
      <c r="I99" s="333"/>
      <c r="J99" s="333"/>
      <c r="K99" s="333"/>
      <c r="L99" s="1477"/>
      <c r="M99" s="333"/>
      <c r="N99" s="333"/>
      <c r="O99" s="333"/>
      <c r="P99" s="333"/>
      <c r="Q99" s="333"/>
      <c r="R99" s="355"/>
      <c r="S99" s="2"/>
      <c r="T99" s="2"/>
      <c r="U99" s="2"/>
      <c r="V99" s="2"/>
      <c r="W99" s="2"/>
      <c r="X99" s="152"/>
      <c r="Y99" s="152"/>
      <c r="Z99" s="152"/>
      <c r="AA99" s="152"/>
      <c r="AB99" s="152"/>
      <c r="AC99" s="152"/>
      <c r="AD99" s="152"/>
      <c r="AE99" s="152"/>
      <c r="AF99" s="152"/>
      <c r="AG99" s="152"/>
      <c r="AH99" s="152"/>
      <c r="AI99" s="152"/>
    </row>
    <row r="100" spans="1:35" outlineLevel="2">
      <c r="A100" s="4"/>
      <c r="B100" s="4"/>
      <c r="C100" s="4"/>
      <c r="D100" s="4"/>
      <c r="E100" s="104">
        <f>Asset40</f>
        <v>0</v>
      </c>
      <c r="F100" s="177"/>
      <c r="G100" s="1482"/>
      <c r="H100" s="333"/>
      <c r="I100" s="333"/>
      <c r="J100" s="333"/>
      <c r="K100" s="333"/>
      <c r="L100" s="1477"/>
      <c r="M100" s="333"/>
      <c r="N100" s="333"/>
      <c r="O100" s="333"/>
      <c r="P100" s="333"/>
      <c r="Q100" s="333"/>
      <c r="R100" s="355"/>
      <c r="S100" s="2"/>
      <c r="T100" s="2"/>
      <c r="U100" s="2"/>
      <c r="V100" s="2"/>
      <c r="W100" s="2"/>
      <c r="X100" s="152"/>
      <c r="Y100" s="152"/>
      <c r="Z100" s="152"/>
      <c r="AA100" s="152"/>
      <c r="AB100" s="152"/>
      <c r="AC100" s="152"/>
      <c r="AD100" s="152"/>
      <c r="AE100" s="152"/>
      <c r="AF100" s="152"/>
      <c r="AG100" s="152"/>
      <c r="AH100" s="152"/>
      <c r="AI100" s="152"/>
    </row>
    <row r="101" spans="1:35" outlineLevel="2">
      <c r="A101" s="4"/>
      <c r="B101" s="4"/>
      <c r="C101" s="4"/>
      <c r="D101" s="4"/>
      <c r="E101" s="104">
        <f>Asset41</f>
        <v>0</v>
      </c>
      <c r="F101" s="177"/>
      <c r="G101" s="1482"/>
      <c r="H101" s="333"/>
      <c r="I101" s="333"/>
      <c r="J101" s="333"/>
      <c r="K101" s="333"/>
      <c r="L101" s="1477"/>
      <c r="M101" s="333"/>
      <c r="N101" s="333"/>
      <c r="O101" s="333"/>
      <c r="P101" s="333"/>
      <c r="Q101" s="333"/>
      <c r="R101" s="355"/>
      <c r="S101" s="2"/>
      <c r="T101" s="2"/>
      <c r="U101" s="2"/>
      <c r="V101" s="2"/>
      <c r="W101" s="2"/>
      <c r="X101" s="152"/>
      <c r="Y101" s="152"/>
      <c r="Z101" s="152"/>
      <c r="AA101" s="152"/>
      <c r="AB101" s="152"/>
      <c r="AC101" s="152"/>
      <c r="AD101" s="152"/>
      <c r="AE101" s="152"/>
      <c r="AF101" s="152"/>
      <c r="AG101" s="152"/>
      <c r="AH101" s="152"/>
      <c r="AI101" s="152"/>
    </row>
    <row r="102" spans="1:35" outlineLevel="2">
      <c r="A102" s="4"/>
      <c r="B102" s="4"/>
      <c r="C102" s="4"/>
      <c r="D102" s="4"/>
      <c r="E102" s="104">
        <f>Asset42</f>
        <v>0</v>
      </c>
      <c r="F102" s="177"/>
      <c r="G102" s="1482"/>
      <c r="H102" s="333"/>
      <c r="I102" s="333"/>
      <c r="J102" s="333"/>
      <c r="K102" s="333"/>
      <c r="L102" s="1477"/>
      <c r="M102" s="333"/>
      <c r="N102" s="333"/>
      <c r="O102" s="333"/>
      <c r="P102" s="333"/>
      <c r="Q102" s="333"/>
      <c r="R102" s="355"/>
      <c r="S102" s="2"/>
      <c r="T102" s="2"/>
      <c r="U102" s="2"/>
      <c r="V102" s="2"/>
      <c r="W102" s="2"/>
      <c r="X102" s="152"/>
      <c r="Y102" s="152"/>
      <c r="Z102" s="152"/>
      <c r="AA102" s="152"/>
      <c r="AB102" s="152"/>
      <c r="AC102" s="152"/>
      <c r="AD102" s="152"/>
      <c r="AE102" s="152"/>
      <c r="AF102" s="152"/>
      <c r="AG102" s="152"/>
      <c r="AH102" s="152"/>
      <c r="AI102" s="152"/>
    </row>
    <row r="103" spans="1:35" outlineLevel="2">
      <c r="A103" s="4"/>
      <c r="B103" s="4"/>
      <c r="C103" s="4"/>
      <c r="D103" s="4"/>
      <c r="E103" s="104">
        <f>Asset43</f>
        <v>0</v>
      </c>
      <c r="F103" s="177"/>
      <c r="G103" s="1482"/>
      <c r="H103" s="333"/>
      <c r="I103" s="333"/>
      <c r="J103" s="333"/>
      <c r="K103" s="333"/>
      <c r="L103" s="1477"/>
      <c r="M103" s="333"/>
      <c r="N103" s="333"/>
      <c r="O103" s="333"/>
      <c r="P103" s="333"/>
      <c r="Q103" s="333"/>
      <c r="R103" s="355"/>
      <c r="S103" s="2"/>
      <c r="T103" s="2"/>
      <c r="U103" s="2"/>
      <c r="V103" s="2"/>
      <c r="W103" s="2"/>
      <c r="X103" s="152"/>
      <c r="Y103" s="152"/>
      <c r="Z103" s="152"/>
      <c r="AA103" s="152"/>
      <c r="AB103" s="152"/>
      <c r="AC103" s="152"/>
      <c r="AD103" s="152"/>
      <c r="AE103" s="152"/>
      <c r="AF103" s="152"/>
      <c r="AG103" s="152"/>
      <c r="AH103" s="152"/>
      <c r="AI103" s="152"/>
    </row>
    <row r="104" spans="1:35" outlineLevel="2">
      <c r="A104" s="4"/>
      <c r="B104" s="4"/>
      <c r="C104" s="4"/>
      <c r="D104" s="4"/>
      <c r="E104" s="104">
        <f>Asset44</f>
        <v>0</v>
      </c>
      <c r="F104" s="177"/>
      <c r="G104" s="1482"/>
      <c r="H104" s="333"/>
      <c r="I104" s="333"/>
      <c r="J104" s="333"/>
      <c r="K104" s="333"/>
      <c r="L104" s="1477"/>
      <c r="M104" s="333"/>
      <c r="N104" s="333"/>
      <c r="O104" s="333"/>
      <c r="P104" s="333"/>
      <c r="Q104" s="333"/>
      <c r="R104" s="355"/>
      <c r="S104" s="2"/>
      <c r="T104" s="2"/>
      <c r="U104" s="2"/>
      <c r="V104" s="2"/>
      <c r="W104" s="2"/>
      <c r="X104" s="152"/>
      <c r="Y104" s="152"/>
      <c r="Z104" s="152"/>
      <c r="AA104" s="152"/>
      <c r="AB104" s="152"/>
      <c r="AC104" s="152"/>
      <c r="AD104" s="152"/>
      <c r="AE104" s="152"/>
      <c r="AF104" s="152"/>
      <c r="AG104" s="152"/>
      <c r="AH104" s="152"/>
      <c r="AI104" s="152"/>
    </row>
    <row r="105" spans="1:35" outlineLevel="2">
      <c r="A105" s="4"/>
      <c r="B105" s="4"/>
      <c r="C105" s="4"/>
      <c r="D105" s="4"/>
      <c r="E105" s="104">
        <f>Asset45</f>
        <v>0</v>
      </c>
      <c r="F105" s="177"/>
      <c r="G105" s="1482"/>
      <c r="H105" s="333"/>
      <c r="I105" s="333"/>
      <c r="J105" s="333"/>
      <c r="K105" s="333"/>
      <c r="L105" s="1477"/>
      <c r="M105" s="333"/>
      <c r="N105" s="333"/>
      <c r="O105" s="333"/>
      <c r="P105" s="333"/>
      <c r="Q105" s="333"/>
      <c r="R105" s="355"/>
      <c r="S105" s="2"/>
      <c r="T105" s="2"/>
      <c r="U105" s="2"/>
      <c r="V105" s="2"/>
      <c r="W105" s="2"/>
      <c r="X105" s="152"/>
      <c r="Y105" s="152"/>
      <c r="Z105" s="152"/>
      <c r="AA105" s="152"/>
      <c r="AB105" s="152"/>
      <c r="AC105" s="152"/>
      <c r="AD105" s="152"/>
      <c r="AE105" s="152"/>
      <c r="AF105" s="152"/>
      <c r="AG105" s="152"/>
      <c r="AH105" s="152"/>
      <c r="AI105" s="152"/>
    </row>
    <row r="106" spans="1:35" outlineLevel="2">
      <c r="A106" s="4"/>
      <c r="B106" s="4"/>
      <c r="C106" s="4"/>
      <c r="D106" s="4"/>
      <c r="E106" s="104">
        <f>Asset46</f>
        <v>0</v>
      </c>
      <c r="F106" s="177"/>
      <c r="G106" s="1482"/>
      <c r="H106" s="333"/>
      <c r="I106" s="333"/>
      <c r="J106" s="333"/>
      <c r="K106" s="333"/>
      <c r="L106" s="1477"/>
      <c r="M106" s="333"/>
      <c r="N106" s="333"/>
      <c r="O106" s="333"/>
      <c r="P106" s="333"/>
      <c r="Q106" s="333"/>
      <c r="R106" s="355"/>
      <c r="S106" s="2"/>
      <c r="T106" s="2"/>
      <c r="U106" s="2"/>
      <c r="V106" s="2"/>
      <c r="W106" s="2"/>
      <c r="X106" s="152"/>
      <c r="Y106" s="152"/>
      <c r="Z106" s="152"/>
      <c r="AA106" s="152"/>
      <c r="AB106" s="152"/>
      <c r="AC106" s="152"/>
      <c r="AD106" s="152"/>
      <c r="AE106" s="152"/>
      <c r="AF106" s="152"/>
      <c r="AG106" s="152"/>
      <c r="AH106" s="152"/>
      <c r="AI106" s="152"/>
    </row>
    <row r="107" spans="1:35" outlineLevel="1">
      <c r="A107" s="4"/>
      <c r="B107" s="4"/>
      <c r="C107" s="4"/>
      <c r="D107" s="4"/>
      <c r="E107" s="104">
        <f>Asset47</f>
        <v>0</v>
      </c>
      <c r="F107" s="177"/>
      <c r="G107" s="1482"/>
      <c r="H107" s="333"/>
      <c r="I107" s="333"/>
      <c r="J107" s="333"/>
      <c r="K107" s="333"/>
      <c r="L107" s="1477"/>
      <c r="M107" s="333"/>
      <c r="N107" s="333"/>
      <c r="O107" s="333"/>
      <c r="P107" s="333"/>
      <c r="Q107" s="333"/>
      <c r="R107" s="355"/>
      <c r="S107" s="2"/>
      <c r="T107" s="2"/>
      <c r="U107" s="2"/>
      <c r="V107" s="2"/>
      <c r="W107" s="2"/>
      <c r="X107" s="152"/>
      <c r="Y107" s="152"/>
      <c r="Z107" s="152"/>
      <c r="AA107" s="152"/>
      <c r="AB107" s="152"/>
      <c r="AC107" s="152"/>
      <c r="AD107" s="152"/>
      <c r="AE107" s="152"/>
      <c r="AF107" s="152"/>
      <c r="AG107" s="152"/>
      <c r="AH107" s="152"/>
      <c r="AI107" s="152"/>
    </row>
    <row r="108" spans="1:35" outlineLevel="1">
      <c r="A108" s="4"/>
      <c r="B108" s="4"/>
      <c r="C108" s="4"/>
      <c r="D108" s="4"/>
      <c r="E108" s="104">
        <f>Asset48</f>
        <v>0</v>
      </c>
      <c r="F108" s="177"/>
      <c r="G108" s="1482"/>
      <c r="H108" s="333"/>
      <c r="I108" s="333"/>
      <c r="J108" s="333"/>
      <c r="K108" s="333"/>
      <c r="L108" s="1477"/>
      <c r="M108" s="333"/>
      <c r="N108" s="333"/>
      <c r="O108" s="333"/>
      <c r="P108" s="333"/>
      <c r="Q108" s="333"/>
      <c r="R108" s="355"/>
      <c r="S108" s="2"/>
      <c r="T108" s="2"/>
      <c r="U108" s="2"/>
      <c r="V108" s="2"/>
      <c r="W108" s="2"/>
      <c r="X108" s="152"/>
      <c r="Y108" s="152"/>
      <c r="Z108" s="152"/>
      <c r="AA108" s="152"/>
      <c r="AB108" s="152"/>
      <c r="AC108" s="152"/>
      <c r="AD108" s="152"/>
      <c r="AE108" s="152"/>
      <c r="AF108" s="152"/>
      <c r="AG108" s="152"/>
      <c r="AH108" s="152"/>
      <c r="AI108" s="152"/>
    </row>
    <row r="109" spans="1:35" outlineLevel="1">
      <c r="A109" s="4"/>
      <c r="B109" s="4"/>
      <c r="C109" s="4"/>
      <c r="D109" s="4"/>
      <c r="E109" s="104">
        <f>Asset49</f>
        <v>0</v>
      </c>
      <c r="F109" s="177"/>
      <c r="G109" s="1482"/>
      <c r="H109" s="333"/>
      <c r="I109" s="333"/>
      <c r="J109" s="333"/>
      <c r="K109" s="333"/>
      <c r="L109" s="1477"/>
      <c r="M109" s="333"/>
      <c r="N109" s="333"/>
      <c r="O109" s="333"/>
      <c r="P109" s="333"/>
      <c r="Q109" s="333"/>
      <c r="R109" s="355"/>
      <c r="S109" s="2"/>
      <c r="T109" s="2"/>
      <c r="U109" s="2"/>
      <c r="V109" s="2"/>
      <c r="W109" s="2"/>
      <c r="X109" s="152"/>
      <c r="Y109" s="152"/>
      <c r="Z109" s="152"/>
      <c r="AA109" s="152"/>
      <c r="AB109" s="152"/>
      <c r="AC109" s="152"/>
      <c r="AD109" s="152"/>
      <c r="AE109" s="152"/>
      <c r="AF109" s="152"/>
      <c r="AG109" s="152"/>
      <c r="AH109" s="152"/>
      <c r="AI109" s="152"/>
    </row>
    <row r="110" spans="1:35" outlineLevel="1">
      <c r="A110" s="4"/>
      <c r="B110" s="4"/>
      <c r="C110" s="4"/>
      <c r="D110" s="4"/>
      <c r="E110" s="104">
        <f>Asset50</f>
        <v>0</v>
      </c>
      <c r="F110" s="177"/>
      <c r="G110" s="1483"/>
      <c r="H110" s="333"/>
      <c r="I110" s="333"/>
      <c r="J110" s="333"/>
      <c r="K110" s="333"/>
      <c r="L110" s="1477"/>
      <c r="M110" s="333"/>
      <c r="N110" s="333"/>
      <c r="O110" s="333"/>
      <c r="P110" s="333"/>
      <c r="Q110" s="333"/>
      <c r="R110" s="355"/>
      <c r="S110" s="2"/>
      <c r="T110" s="2"/>
      <c r="U110" s="2"/>
      <c r="V110" s="2"/>
      <c r="W110" s="2"/>
      <c r="X110" s="152"/>
      <c r="Y110" s="152"/>
      <c r="Z110" s="152"/>
      <c r="AA110" s="152"/>
      <c r="AB110" s="152"/>
      <c r="AC110" s="152"/>
      <c r="AD110" s="152"/>
      <c r="AE110" s="152"/>
      <c r="AF110" s="152"/>
      <c r="AG110" s="152"/>
      <c r="AH110" s="152"/>
      <c r="AI110" s="152"/>
    </row>
    <row r="111" spans="1:35">
      <c r="A111" s="4"/>
      <c r="B111" s="4"/>
      <c r="C111" s="4"/>
      <c r="D111" s="4"/>
      <c r="E111" s="104" t="s">
        <v>18</v>
      </c>
      <c r="F111" s="152"/>
      <c r="G111" s="150">
        <f>SUM(G61:G110)</f>
        <v>32.404862619834475</v>
      </c>
      <c r="H111" s="1476">
        <f t="shared" ref="H111:Q111" si="1">SUM(H61:H110)</f>
        <v>25.28230678927963</v>
      </c>
      <c r="I111" s="150">
        <f t="shared" si="1"/>
        <v>28.828904388230505</v>
      </c>
      <c r="J111" s="150">
        <f t="shared" si="1"/>
        <v>34.825646159629137</v>
      </c>
      <c r="K111" s="150">
        <f t="shared" si="1"/>
        <v>29.362360860792183</v>
      </c>
      <c r="L111" s="1479">
        <f t="shared" si="1"/>
        <v>21.734923845255068</v>
      </c>
      <c r="M111" s="150">
        <f t="shared" si="1"/>
        <v>26.760336354209421</v>
      </c>
      <c r="N111" s="150">
        <f t="shared" si="1"/>
        <v>11.463777272366185</v>
      </c>
      <c r="O111" s="150">
        <f t="shared" si="1"/>
        <v>0</v>
      </c>
      <c r="P111" s="150">
        <f t="shared" si="1"/>
        <v>0</v>
      </c>
      <c r="Q111" s="150">
        <f t="shared" si="1"/>
        <v>0</v>
      </c>
      <c r="R111" s="1338"/>
      <c r="S111" s="23"/>
      <c r="T111" s="23"/>
      <c r="U111" s="23"/>
      <c r="V111" s="23"/>
      <c r="W111" s="2"/>
      <c r="X111" s="384"/>
      <c r="Y111" s="382"/>
      <c r="Z111" s="382"/>
      <c r="AA111" s="383"/>
      <c r="AB111" s="152"/>
      <c r="AC111" s="152"/>
      <c r="AD111" s="152"/>
      <c r="AE111" s="152"/>
      <c r="AF111" s="152"/>
      <c r="AG111" s="152"/>
      <c r="AH111" s="152"/>
      <c r="AI111" s="152"/>
    </row>
    <row r="112" spans="1:35" ht="23.25" customHeight="1">
      <c r="A112" s="3"/>
      <c r="B112" s="3"/>
      <c r="C112" s="3"/>
      <c r="D112" s="3"/>
      <c r="E112" s="3"/>
      <c r="F112" s="152"/>
      <c r="G112" s="248"/>
      <c r="H112" s="1339"/>
      <c r="I112" s="1340"/>
      <c r="J112" s="248"/>
      <c r="K112" s="248"/>
      <c r="L112" s="1478"/>
      <c r="M112" s="248"/>
      <c r="N112" s="248"/>
      <c r="O112" s="248"/>
      <c r="P112" s="248"/>
      <c r="Q112" s="248"/>
      <c r="R112" s="1341">
        <f>SUM(G111:Q111)</f>
        <v>210.66311828959661</v>
      </c>
      <c r="S112" s="3"/>
      <c r="T112" s="3"/>
      <c r="U112" s="3"/>
      <c r="V112" s="3"/>
      <c r="W112" s="2"/>
      <c r="X112" s="152"/>
      <c r="Y112" s="152"/>
      <c r="Z112" s="152"/>
      <c r="AA112" s="385"/>
      <c r="AB112" s="152"/>
      <c r="AC112" s="152"/>
      <c r="AD112" s="152"/>
      <c r="AE112" s="152"/>
      <c r="AF112" s="152"/>
      <c r="AG112" s="152"/>
      <c r="AH112" s="152"/>
      <c r="AI112" s="152"/>
    </row>
    <row r="113" spans="1:35" ht="13.5" customHeight="1">
      <c r="A113" s="48"/>
      <c r="B113" s="48"/>
      <c r="C113" s="48"/>
      <c r="D113" s="48"/>
      <c r="E113" s="1581" t="s">
        <v>41</v>
      </c>
      <c r="F113" s="1581"/>
      <c r="G113" s="1581"/>
      <c r="H113" s="98"/>
      <c r="I113" s="98"/>
      <c r="J113" s="98"/>
      <c r="K113" s="51"/>
      <c r="L113" s="51"/>
      <c r="M113" s="49"/>
      <c r="N113" s="49"/>
      <c r="O113" s="49"/>
      <c r="P113" s="49"/>
      <c r="Q113" s="49"/>
      <c r="R113" s="49"/>
      <c r="S113" s="49"/>
      <c r="T113" s="49"/>
      <c r="U113" s="49"/>
      <c r="V113" s="49"/>
      <c r="W113" s="2"/>
      <c r="X113" s="382"/>
      <c r="Y113" s="382"/>
      <c r="Z113" s="382"/>
      <c r="AA113" s="382"/>
      <c r="AB113" s="383"/>
      <c r="AC113" s="152"/>
      <c r="AD113" s="152"/>
      <c r="AE113" s="152"/>
      <c r="AF113" s="152"/>
      <c r="AG113" s="152"/>
      <c r="AH113" s="152"/>
      <c r="AI113" s="152"/>
    </row>
    <row r="114" spans="1:35">
      <c r="A114" s="4"/>
      <c r="B114" s="4"/>
      <c r="C114" s="4"/>
      <c r="D114" s="4"/>
      <c r="E114" s="24" t="s">
        <v>2</v>
      </c>
      <c r="F114" s="152"/>
      <c r="G114" s="120" t="str">
        <f>G$60</f>
        <v>2015-16</v>
      </c>
      <c r="H114" s="120" t="str">
        <f t="shared" ref="H114:Q114" si="2">H$60</f>
        <v>2016-17</v>
      </c>
      <c r="I114" s="120" t="str">
        <f t="shared" si="2"/>
        <v>2017-18</v>
      </c>
      <c r="J114" s="120" t="str">
        <f t="shared" si="2"/>
        <v>2018-19</v>
      </c>
      <c r="K114" s="120" t="str">
        <f t="shared" si="2"/>
        <v>2019-20</v>
      </c>
      <c r="L114" s="120" t="str">
        <f t="shared" si="2"/>
        <v>2020-21</v>
      </c>
      <c r="M114" s="120" t="str">
        <f t="shared" si="2"/>
        <v>2021-22</v>
      </c>
      <c r="N114" s="120" t="str">
        <f t="shared" si="2"/>
        <v>2022-23</v>
      </c>
      <c r="O114" s="120" t="str">
        <f t="shared" si="2"/>
        <v>2023-24</v>
      </c>
      <c r="P114" s="120" t="str">
        <f t="shared" si="2"/>
        <v>2024-25</v>
      </c>
      <c r="Q114" s="120" t="str">
        <f t="shared" si="2"/>
        <v>2025-26</v>
      </c>
      <c r="R114" s="2"/>
      <c r="S114" s="2"/>
      <c r="T114" s="2"/>
      <c r="U114" s="2"/>
      <c r="V114" s="2"/>
      <c r="W114" s="2"/>
      <c r="X114" s="152"/>
      <c r="Y114" s="152"/>
      <c r="Z114" s="152"/>
      <c r="AA114" s="152"/>
      <c r="AB114" s="152"/>
      <c r="AC114" s="152"/>
      <c r="AD114" s="152"/>
      <c r="AE114" s="152"/>
      <c r="AF114" s="152"/>
      <c r="AG114" s="152"/>
      <c r="AH114" s="152"/>
      <c r="AI114" s="152"/>
    </row>
    <row r="115" spans="1:35" outlineLevel="1">
      <c r="A115" s="4"/>
      <c r="B115" s="4"/>
      <c r="C115" s="4"/>
      <c r="D115" s="1474" t="s">
        <v>1144</v>
      </c>
      <c r="E115" s="104" t="str">
        <f>Asset1</f>
        <v>Mains</v>
      </c>
      <c r="F115" s="152"/>
      <c r="G115" s="1342"/>
      <c r="H115" s="342"/>
      <c r="I115" s="342"/>
      <c r="J115" s="342"/>
      <c r="K115" s="342"/>
      <c r="L115" s="342"/>
      <c r="M115" s="342"/>
      <c r="N115" s="342"/>
      <c r="O115" s="342"/>
      <c r="P115" s="342"/>
      <c r="Q115" s="342"/>
      <c r="R115" s="355"/>
      <c r="S115" s="2"/>
      <c r="T115" s="2"/>
      <c r="U115" s="2"/>
      <c r="V115" s="2"/>
      <c r="W115" s="2"/>
      <c r="X115" s="152"/>
      <c r="Y115" s="152"/>
      <c r="Z115" s="152"/>
      <c r="AA115" s="152"/>
      <c r="AB115" s="152"/>
      <c r="AC115" s="152"/>
      <c r="AD115" s="152"/>
      <c r="AE115" s="152"/>
      <c r="AF115" s="152"/>
      <c r="AG115" s="152"/>
      <c r="AH115" s="152"/>
      <c r="AI115" s="152"/>
    </row>
    <row r="116" spans="1:35" outlineLevel="1">
      <c r="A116" s="4"/>
      <c r="B116" s="4"/>
      <c r="C116" s="4"/>
      <c r="D116" s="1474" t="s">
        <v>1144</v>
      </c>
      <c r="E116" s="104" t="str">
        <f>Asset2</f>
        <v>Inlets</v>
      </c>
      <c r="F116" s="152"/>
      <c r="G116" s="1336"/>
      <c r="H116" s="333"/>
      <c r="I116" s="333"/>
      <c r="J116" s="333"/>
      <c r="K116" s="333"/>
      <c r="L116" s="333"/>
      <c r="M116" s="333"/>
      <c r="N116" s="333"/>
      <c r="O116" s="333"/>
      <c r="P116" s="333"/>
      <c r="Q116" s="333"/>
      <c r="R116" s="355"/>
      <c r="S116" s="2"/>
      <c r="T116" s="2"/>
      <c r="U116" s="2"/>
      <c r="V116" s="2"/>
      <c r="W116" s="2"/>
      <c r="X116" s="152"/>
      <c r="Y116" s="152"/>
      <c r="Z116" s="152"/>
      <c r="AA116" s="152"/>
      <c r="AB116" s="152"/>
      <c r="AC116" s="152"/>
      <c r="AD116" s="152"/>
      <c r="AE116" s="152"/>
      <c r="AF116" s="152"/>
      <c r="AG116" s="152"/>
      <c r="AH116" s="152"/>
      <c r="AI116" s="152"/>
    </row>
    <row r="117" spans="1:35" outlineLevel="1">
      <c r="A117" s="4"/>
      <c r="B117" s="4"/>
      <c r="C117" s="4"/>
      <c r="D117" s="1474" t="s">
        <v>1145</v>
      </c>
      <c r="E117" s="104" t="str">
        <f>Asset3</f>
        <v>Meters</v>
      </c>
      <c r="F117" s="152"/>
      <c r="G117" s="1336"/>
      <c r="H117" s="333"/>
      <c r="I117" s="333"/>
      <c r="J117" s="333"/>
      <c r="K117" s="333"/>
      <c r="L117" s="333"/>
      <c r="M117" s="333"/>
      <c r="N117" s="333"/>
      <c r="O117" s="333"/>
      <c r="P117" s="333"/>
      <c r="Q117" s="333"/>
      <c r="R117" s="355"/>
      <c r="S117" s="2"/>
      <c r="T117" s="2"/>
      <c r="U117" s="2"/>
      <c r="V117" s="2"/>
      <c r="W117" s="2"/>
      <c r="X117" s="152"/>
      <c r="Y117" s="152"/>
      <c r="Z117" s="152"/>
      <c r="AA117" s="152"/>
      <c r="AB117" s="152"/>
      <c r="AC117" s="152"/>
      <c r="AD117" s="152"/>
      <c r="AE117" s="152"/>
      <c r="AF117" s="152"/>
      <c r="AG117" s="152"/>
      <c r="AH117" s="152"/>
      <c r="AI117" s="152"/>
    </row>
    <row r="118" spans="1:35" outlineLevel="1">
      <c r="A118" s="4"/>
      <c r="B118" s="4"/>
      <c r="C118" s="4"/>
      <c r="D118" s="1474" t="s">
        <v>1146</v>
      </c>
      <c r="E118" s="104" t="str">
        <f>Asset4</f>
        <v>Telemetry</v>
      </c>
      <c r="F118" s="152"/>
      <c r="G118" s="1337"/>
      <c r="H118" s="333"/>
      <c r="I118" s="333"/>
      <c r="J118" s="333"/>
      <c r="K118" s="333"/>
      <c r="L118" s="333"/>
      <c r="M118" s="333"/>
      <c r="N118" s="333"/>
      <c r="O118" s="333"/>
      <c r="P118" s="333"/>
      <c r="Q118" s="333"/>
      <c r="R118" s="355"/>
      <c r="S118" s="2"/>
      <c r="T118" s="2"/>
      <c r="U118" s="2"/>
      <c r="V118" s="2"/>
      <c r="W118" s="2"/>
      <c r="X118" s="152"/>
      <c r="Y118" s="152"/>
      <c r="Z118" s="152"/>
      <c r="AA118" s="152"/>
      <c r="AB118" s="152"/>
      <c r="AC118" s="152"/>
      <c r="AD118" s="152"/>
      <c r="AE118" s="152"/>
      <c r="AF118" s="152"/>
      <c r="AG118" s="152"/>
      <c r="AH118" s="152"/>
      <c r="AI118" s="152"/>
    </row>
    <row r="119" spans="1:35" outlineLevel="1">
      <c r="A119" s="4"/>
      <c r="B119" s="4"/>
      <c r="C119" s="4"/>
      <c r="D119" s="1474" t="s">
        <v>1143</v>
      </c>
      <c r="E119" s="104" t="str">
        <f>Asset5</f>
        <v>IT System</v>
      </c>
      <c r="F119" s="152"/>
      <c r="G119" s="1337"/>
      <c r="H119" s="333"/>
      <c r="I119" s="333"/>
      <c r="J119" s="333"/>
      <c r="K119" s="333"/>
      <c r="L119" s="333"/>
      <c r="M119" s="333"/>
      <c r="N119" s="333"/>
      <c r="O119" s="333"/>
      <c r="P119" s="333"/>
      <c r="Q119" s="333"/>
      <c r="R119" s="355"/>
      <c r="S119" s="2"/>
      <c r="T119" s="2"/>
      <c r="U119" s="2"/>
      <c r="V119" s="2"/>
      <c r="W119" s="2"/>
      <c r="X119" s="152"/>
      <c r="Y119" s="152"/>
      <c r="Z119" s="152"/>
      <c r="AA119" s="152"/>
      <c r="AB119" s="152"/>
      <c r="AC119" s="152"/>
      <c r="AD119" s="152"/>
      <c r="AE119" s="152"/>
      <c r="AF119" s="152"/>
      <c r="AG119" s="152"/>
      <c r="AH119" s="152"/>
      <c r="AI119" s="152"/>
    </row>
    <row r="120" spans="1:35" outlineLevel="1">
      <c r="A120" s="4"/>
      <c r="B120" s="4"/>
      <c r="C120" s="4"/>
      <c r="D120" s="1474" t="s">
        <v>1147</v>
      </c>
      <c r="E120" s="104" t="str">
        <f>Asset6</f>
        <v>Other Distribution System Equipment</v>
      </c>
      <c r="F120" s="152"/>
      <c r="G120" s="1337"/>
      <c r="H120" s="1473"/>
      <c r="I120" s="333"/>
      <c r="J120" s="333"/>
      <c r="K120" s="333"/>
      <c r="L120" s="333"/>
      <c r="M120" s="333"/>
      <c r="N120" s="333"/>
      <c r="O120" s="333"/>
      <c r="P120" s="333"/>
      <c r="Q120" s="333"/>
      <c r="R120" s="355"/>
      <c r="S120" s="2"/>
      <c r="T120" s="2"/>
      <c r="U120" s="2"/>
      <c r="V120" s="2"/>
      <c r="W120" s="2"/>
      <c r="X120" s="152"/>
      <c r="Y120" s="152"/>
      <c r="Z120" s="152"/>
      <c r="AA120" s="152"/>
      <c r="AB120" s="152"/>
      <c r="AC120" s="152"/>
      <c r="AD120" s="152"/>
      <c r="AE120" s="152"/>
      <c r="AF120" s="152"/>
      <c r="AG120" s="152"/>
      <c r="AH120" s="152"/>
      <c r="AI120" s="152"/>
    </row>
    <row r="121" spans="1:35" outlineLevel="1">
      <c r="A121" s="4"/>
      <c r="B121" s="4"/>
      <c r="C121" s="4"/>
      <c r="D121" s="1474" t="s">
        <v>1148</v>
      </c>
      <c r="E121" s="104" t="str">
        <f>Asset7</f>
        <v>Other</v>
      </c>
      <c r="F121" s="152"/>
      <c r="G121" s="1337"/>
      <c r="H121" s="1473">
        <v>2.8917999999999999E-2</v>
      </c>
      <c r="I121" s="333"/>
      <c r="J121" s="333"/>
      <c r="K121" s="333"/>
      <c r="L121" s="333"/>
      <c r="M121" s="333"/>
      <c r="N121" s="333"/>
      <c r="O121" s="333"/>
      <c r="P121" s="333"/>
      <c r="Q121" s="333"/>
      <c r="R121" s="355"/>
      <c r="S121" s="2"/>
      <c r="T121" s="2"/>
      <c r="U121" s="2"/>
      <c r="V121" s="2"/>
      <c r="W121" s="2"/>
      <c r="X121" s="152"/>
      <c r="Y121" s="152"/>
      <c r="Z121" s="152"/>
      <c r="AA121" s="152"/>
      <c r="AB121" s="152"/>
      <c r="AC121" s="152"/>
      <c r="AD121" s="152"/>
      <c r="AE121" s="152"/>
      <c r="AF121" s="152"/>
      <c r="AG121" s="152"/>
      <c r="AH121" s="152"/>
      <c r="AI121" s="152"/>
    </row>
    <row r="122" spans="1:35" outlineLevel="1">
      <c r="A122" s="4"/>
      <c r="B122" s="4"/>
      <c r="C122" s="4"/>
      <c r="D122" s="4"/>
      <c r="E122" s="104">
        <f>Asset8</f>
        <v>0</v>
      </c>
      <c r="F122" s="152"/>
      <c r="G122" s="1337"/>
      <c r="H122" s="333"/>
      <c r="I122" s="333"/>
      <c r="J122" s="333"/>
      <c r="K122" s="333"/>
      <c r="L122" s="333"/>
      <c r="M122" s="333"/>
      <c r="N122" s="333"/>
      <c r="O122" s="333"/>
      <c r="P122" s="333"/>
      <c r="Q122" s="333"/>
      <c r="R122" s="355"/>
      <c r="S122" s="2"/>
      <c r="T122" s="2"/>
      <c r="U122" s="2"/>
      <c r="V122" s="2"/>
      <c r="W122" s="2"/>
      <c r="X122" s="152"/>
      <c r="Y122" s="152"/>
      <c r="Z122" s="152"/>
      <c r="AA122" s="152"/>
      <c r="AB122" s="152"/>
      <c r="AC122" s="152"/>
      <c r="AD122" s="152"/>
      <c r="AE122" s="152"/>
      <c r="AF122" s="152"/>
      <c r="AG122" s="152"/>
      <c r="AH122" s="152"/>
      <c r="AI122" s="152"/>
    </row>
    <row r="123" spans="1:35" outlineLevel="1">
      <c r="A123" s="4"/>
      <c r="B123" s="4"/>
      <c r="C123" s="4"/>
      <c r="D123" s="4"/>
      <c r="E123" s="104">
        <f>Asset9</f>
        <v>0</v>
      </c>
      <c r="F123" s="152"/>
      <c r="G123" s="1337"/>
      <c r="H123" s="333"/>
      <c r="I123" s="333"/>
      <c r="J123" s="333"/>
      <c r="K123" s="333"/>
      <c r="L123" s="333"/>
      <c r="M123" s="333"/>
      <c r="N123" s="333"/>
      <c r="O123" s="333"/>
      <c r="P123" s="333"/>
      <c r="Q123" s="333"/>
      <c r="R123" s="355"/>
      <c r="S123" s="2"/>
      <c r="T123" s="2"/>
      <c r="U123" s="2"/>
      <c r="V123" s="2"/>
      <c r="W123" s="2"/>
      <c r="X123" s="152"/>
      <c r="Y123" s="152"/>
      <c r="Z123" s="152"/>
      <c r="AA123" s="152"/>
      <c r="AB123" s="152"/>
      <c r="AC123" s="152"/>
      <c r="AD123" s="152"/>
      <c r="AE123" s="152"/>
      <c r="AF123" s="152"/>
      <c r="AG123" s="152"/>
      <c r="AH123" s="152"/>
      <c r="AI123" s="152"/>
    </row>
    <row r="124" spans="1:35" outlineLevel="1">
      <c r="A124" s="4"/>
      <c r="B124" s="4"/>
      <c r="C124" s="4"/>
      <c r="D124" s="4"/>
      <c r="E124" s="104">
        <f>Asset10</f>
        <v>0</v>
      </c>
      <c r="F124" s="152"/>
      <c r="G124" s="1337"/>
      <c r="H124" s="333"/>
      <c r="I124" s="333"/>
      <c r="J124" s="333"/>
      <c r="K124" s="333"/>
      <c r="L124" s="333"/>
      <c r="M124" s="333"/>
      <c r="N124" s="333"/>
      <c r="O124" s="333"/>
      <c r="P124" s="333"/>
      <c r="Q124" s="333"/>
      <c r="R124" s="355"/>
      <c r="S124" s="2"/>
      <c r="T124" s="2"/>
      <c r="U124" s="2"/>
      <c r="V124" s="2"/>
      <c r="W124" s="2"/>
      <c r="X124" s="152"/>
      <c r="Y124" s="152"/>
      <c r="Z124" s="152"/>
      <c r="AA124" s="152"/>
      <c r="AB124" s="152"/>
      <c r="AC124" s="152"/>
      <c r="AD124" s="152"/>
      <c r="AE124" s="152"/>
      <c r="AF124" s="152"/>
      <c r="AG124" s="152"/>
      <c r="AH124" s="152"/>
      <c r="AI124" s="152"/>
    </row>
    <row r="125" spans="1:35" outlineLevel="1">
      <c r="A125" s="4"/>
      <c r="B125" s="4"/>
      <c r="C125" s="4"/>
      <c r="D125" s="4"/>
      <c r="E125" s="104">
        <f>Asset11</f>
        <v>0</v>
      </c>
      <c r="F125" s="152"/>
      <c r="G125" s="1337"/>
      <c r="H125" s="333"/>
      <c r="I125" s="333"/>
      <c r="J125" s="333"/>
      <c r="K125" s="333"/>
      <c r="L125" s="333"/>
      <c r="M125" s="333"/>
      <c r="N125" s="333"/>
      <c r="O125" s="333"/>
      <c r="P125" s="333"/>
      <c r="Q125" s="333"/>
      <c r="R125" s="355"/>
      <c r="S125" s="2"/>
      <c r="T125" s="2"/>
      <c r="U125" s="2"/>
      <c r="V125" s="2"/>
      <c r="W125" s="2"/>
      <c r="X125" s="152"/>
      <c r="Y125" s="152"/>
      <c r="Z125" s="152"/>
      <c r="AA125" s="152"/>
      <c r="AB125" s="152"/>
      <c r="AC125" s="152"/>
      <c r="AD125" s="152"/>
      <c r="AE125" s="152"/>
      <c r="AF125" s="152"/>
      <c r="AG125" s="152"/>
      <c r="AH125" s="152"/>
      <c r="AI125" s="152"/>
    </row>
    <row r="126" spans="1:35" outlineLevel="1">
      <c r="A126" s="4"/>
      <c r="B126" s="4"/>
      <c r="C126" s="4"/>
      <c r="D126" s="4"/>
      <c r="E126" s="104">
        <f>Asset12</f>
        <v>0</v>
      </c>
      <c r="F126" s="152"/>
      <c r="G126" s="1337"/>
      <c r="H126" s="333"/>
      <c r="I126" s="333"/>
      <c r="J126" s="333"/>
      <c r="K126" s="333"/>
      <c r="L126" s="333"/>
      <c r="M126" s="333"/>
      <c r="N126" s="333"/>
      <c r="O126" s="333"/>
      <c r="P126" s="333"/>
      <c r="Q126" s="333"/>
      <c r="R126" s="355"/>
      <c r="S126" s="2"/>
      <c r="T126" s="2"/>
      <c r="U126" s="2"/>
      <c r="V126" s="2"/>
      <c r="W126" s="2"/>
      <c r="X126" s="152"/>
      <c r="Y126" s="152"/>
      <c r="Z126" s="152"/>
      <c r="AA126" s="152"/>
      <c r="AB126" s="152"/>
      <c r="AC126" s="152"/>
      <c r="AD126" s="152"/>
      <c r="AE126" s="152"/>
      <c r="AF126" s="152"/>
      <c r="AG126" s="152"/>
      <c r="AH126" s="152"/>
      <c r="AI126" s="152"/>
    </row>
    <row r="127" spans="1:35" outlineLevel="1">
      <c r="A127" s="4"/>
      <c r="B127" s="4"/>
      <c r="C127" s="4"/>
      <c r="D127" s="4"/>
      <c r="E127" s="104">
        <f>Asset13</f>
        <v>0</v>
      </c>
      <c r="F127" s="152"/>
      <c r="G127" s="1337"/>
      <c r="H127" s="333"/>
      <c r="I127" s="333"/>
      <c r="J127" s="333"/>
      <c r="K127" s="333"/>
      <c r="L127" s="333"/>
      <c r="M127" s="333"/>
      <c r="N127" s="333"/>
      <c r="O127" s="333"/>
      <c r="P127" s="333"/>
      <c r="Q127" s="333"/>
      <c r="R127" s="355"/>
      <c r="S127" s="2"/>
      <c r="T127" s="2"/>
      <c r="U127" s="2"/>
      <c r="V127" s="2"/>
      <c r="W127" s="2"/>
      <c r="X127" s="152"/>
      <c r="Y127" s="152"/>
      <c r="Z127" s="152"/>
      <c r="AA127" s="152"/>
      <c r="AB127" s="152"/>
      <c r="AC127" s="152"/>
      <c r="AD127" s="152"/>
      <c r="AE127" s="152"/>
      <c r="AF127" s="152"/>
      <c r="AG127" s="152"/>
      <c r="AH127" s="152"/>
      <c r="AI127" s="152"/>
    </row>
    <row r="128" spans="1:35" outlineLevel="1">
      <c r="A128" s="4"/>
      <c r="B128" s="4"/>
      <c r="C128" s="4"/>
      <c r="D128" s="4"/>
      <c r="E128" s="104">
        <f>Asset14</f>
        <v>0</v>
      </c>
      <c r="F128" s="152"/>
      <c r="G128" s="1337"/>
      <c r="H128" s="333"/>
      <c r="I128" s="333"/>
      <c r="J128" s="333"/>
      <c r="K128" s="333"/>
      <c r="L128" s="333"/>
      <c r="M128" s="333"/>
      <c r="N128" s="333"/>
      <c r="O128" s="333"/>
      <c r="P128" s="333"/>
      <c r="Q128" s="333"/>
      <c r="R128" s="355"/>
      <c r="S128" s="2"/>
      <c r="T128" s="2"/>
      <c r="U128" s="2"/>
      <c r="V128" s="2"/>
      <c r="W128" s="2"/>
      <c r="X128" s="152"/>
      <c r="Y128" s="152"/>
      <c r="Z128" s="152"/>
      <c r="AA128" s="152"/>
      <c r="AB128" s="152"/>
      <c r="AC128" s="152"/>
      <c r="AD128" s="152"/>
      <c r="AE128" s="152"/>
      <c r="AF128" s="152"/>
      <c r="AG128" s="152"/>
      <c r="AH128" s="152"/>
      <c r="AI128" s="152"/>
    </row>
    <row r="129" spans="1:35" outlineLevel="1">
      <c r="A129" s="4"/>
      <c r="B129" s="4"/>
      <c r="C129" s="4"/>
      <c r="D129" s="4"/>
      <c r="E129" s="104">
        <f>Asset15</f>
        <v>0</v>
      </c>
      <c r="F129" s="152"/>
      <c r="G129" s="1337"/>
      <c r="H129" s="333"/>
      <c r="I129" s="333"/>
      <c r="J129" s="333"/>
      <c r="K129" s="333"/>
      <c r="L129" s="333"/>
      <c r="M129" s="333"/>
      <c r="N129" s="333"/>
      <c r="O129" s="333"/>
      <c r="P129" s="333"/>
      <c r="Q129" s="333"/>
      <c r="R129" s="355"/>
      <c r="S129" s="2"/>
      <c r="T129" s="2"/>
      <c r="U129" s="2"/>
      <c r="V129" s="2"/>
      <c r="W129" s="2"/>
      <c r="X129" s="152"/>
      <c r="Y129" s="152"/>
      <c r="Z129" s="152"/>
      <c r="AA129" s="152"/>
      <c r="AB129" s="152"/>
      <c r="AC129" s="152"/>
      <c r="AD129" s="152"/>
      <c r="AE129" s="152"/>
      <c r="AF129" s="152"/>
      <c r="AG129" s="152"/>
      <c r="AH129" s="152"/>
      <c r="AI129" s="152"/>
    </row>
    <row r="130" spans="1:35" outlineLevel="1">
      <c r="A130" s="4"/>
      <c r="B130" s="4"/>
      <c r="C130" s="4"/>
      <c r="D130" s="4"/>
      <c r="E130" s="104">
        <f>Asset16</f>
        <v>0</v>
      </c>
      <c r="F130" s="152"/>
      <c r="G130" s="1337"/>
      <c r="H130" s="333"/>
      <c r="I130" s="333"/>
      <c r="J130" s="333"/>
      <c r="K130" s="333"/>
      <c r="L130" s="333"/>
      <c r="M130" s="333"/>
      <c r="N130" s="333"/>
      <c r="O130" s="333"/>
      <c r="P130" s="333"/>
      <c r="Q130" s="333"/>
      <c r="R130" s="355"/>
      <c r="S130" s="2"/>
      <c r="T130" s="2"/>
      <c r="U130" s="2"/>
      <c r="V130" s="2"/>
      <c r="W130" s="2"/>
      <c r="X130" s="152"/>
      <c r="Y130" s="152"/>
      <c r="Z130" s="152"/>
      <c r="AA130" s="152"/>
      <c r="AB130" s="152"/>
      <c r="AC130" s="152"/>
      <c r="AD130" s="152"/>
      <c r="AE130" s="152"/>
      <c r="AF130" s="152"/>
      <c r="AG130" s="152"/>
      <c r="AH130" s="152"/>
      <c r="AI130" s="152"/>
    </row>
    <row r="131" spans="1:35" outlineLevel="1">
      <c r="A131" s="4"/>
      <c r="B131" s="4"/>
      <c r="C131" s="4"/>
      <c r="D131" s="4"/>
      <c r="E131" s="104">
        <f>Asset17</f>
        <v>0</v>
      </c>
      <c r="F131" s="152"/>
      <c r="G131" s="1337"/>
      <c r="H131" s="333"/>
      <c r="I131" s="333"/>
      <c r="J131" s="333"/>
      <c r="K131" s="333"/>
      <c r="L131" s="333"/>
      <c r="M131" s="333"/>
      <c r="N131" s="333"/>
      <c r="O131" s="333"/>
      <c r="P131" s="333"/>
      <c r="Q131" s="333"/>
      <c r="R131" s="355"/>
      <c r="S131" s="2"/>
      <c r="T131" s="2"/>
      <c r="U131" s="2"/>
      <c r="V131" s="2"/>
      <c r="W131" s="2"/>
      <c r="X131" s="152"/>
      <c r="Y131" s="152"/>
      <c r="Z131" s="152"/>
      <c r="AA131" s="152"/>
      <c r="AB131" s="152"/>
      <c r="AC131" s="152"/>
      <c r="AD131" s="152"/>
      <c r="AE131" s="152"/>
      <c r="AF131" s="152"/>
      <c r="AG131" s="152"/>
      <c r="AH131" s="152"/>
      <c r="AI131" s="152"/>
    </row>
    <row r="132" spans="1:35" outlineLevel="1">
      <c r="A132" s="4"/>
      <c r="B132" s="4"/>
      <c r="C132" s="4"/>
      <c r="D132" s="4"/>
      <c r="E132" s="104">
        <f>Asset18</f>
        <v>0</v>
      </c>
      <c r="F132" s="152"/>
      <c r="G132" s="1337"/>
      <c r="H132" s="333"/>
      <c r="I132" s="333"/>
      <c r="J132" s="333"/>
      <c r="K132" s="333"/>
      <c r="L132" s="333"/>
      <c r="M132" s="333"/>
      <c r="N132" s="333"/>
      <c r="O132" s="333"/>
      <c r="P132" s="333"/>
      <c r="Q132" s="333"/>
      <c r="R132" s="355"/>
      <c r="S132" s="2"/>
      <c r="T132" s="2"/>
      <c r="U132" s="2"/>
      <c r="V132" s="2"/>
      <c r="W132" s="2"/>
      <c r="X132" s="152"/>
      <c r="Y132" s="152"/>
      <c r="Z132" s="152"/>
      <c r="AA132" s="152"/>
      <c r="AB132" s="152"/>
      <c r="AC132" s="152"/>
      <c r="AD132" s="152"/>
      <c r="AE132" s="152"/>
      <c r="AF132" s="152"/>
      <c r="AG132" s="152"/>
      <c r="AH132" s="152"/>
      <c r="AI132" s="152"/>
    </row>
    <row r="133" spans="1:35" outlineLevel="1">
      <c r="A133" s="4"/>
      <c r="B133" s="4"/>
      <c r="C133" s="4"/>
      <c r="D133" s="4"/>
      <c r="E133" s="104">
        <f>Asset19</f>
        <v>0</v>
      </c>
      <c r="F133" s="152"/>
      <c r="G133" s="1337"/>
      <c r="H133" s="333"/>
      <c r="I133" s="333"/>
      <c r="J133" s="333"/>
      <c r="K133" s="333"/>
      <c r="L133" s="333"/>
      <c r="M133" s="333"/>
      <c r="N133" s="333"/>
      <c r="O133" s="333"/>
      <c r="P133" s="333"/>
      <c r="Q133" s="333"/>
      <c r="R133" s="355"/>
      <c r="S133" s="2"/>
      <c r="T133" s="2"/>
      <c r="U133" s="2"/>
      <c r="V133" s="2"/>
      <c r="W133" s="2"/>
      <c r="X133" s="152"/>
      <c r="Y133" s="152"/>
      <c r="Z133" s="152"/>
      <c r="AA133" s="152"/>
      <c r="AB133" s="152"/>
      <c r="AC133" s="152"/>
      <c r="AD133" s="152"/>
      <c r="AE133" s="152"/>
      <c r="AF133" s="152"/>
      <c r="AG133" s="152"/>
      <c r="AH133" s="152"/>
      <c r="AI133" s="152"/>
    </row>
    <row r="134" spans="1:35" outlineLevel="1">
      <c r="A134" s="4"/>
      <c r="B134" s="4"/>
      <c r="C134" s="4"/>
      <c r="D134" s="4"/>
      <c r="E134" s="104">
        <f>Asset20</f>
        <v>0</v>
      </c>
      <c r="F134" s="153"/>
      <c r="G134" s="1337"/>
      <c r="H134" s="333"/>
      <c r="I134" s="333"/>
      <c r="J134" s="333"/>
      <c r="K134" s="333"/>
      <c r="L134" s="333"/>
      <c r="M134" s="333"/>
      <c r="N134" s="333"/>
      <c r="O134" s="333"/>
      <c r="P134" s="333"/>
      <c r="Q134" s="333"/>
      <c r="R134" s="355"/>
      <c r="S134" s="2"/>
      <c r="T134" s="2"/>
      <c r="U134" s="2"/>
      <c r="V134" s="2"/>
      <c r="W134" s="2"/>
      <c r="X134" s="152"/>
      <c r="Y134" s="152"/>
      <c r="Z134" s="152"/>
      <c r="AA134" s="152"/>
      <c r="AB134" s="152"/>
      <c r="AC134" s="152"/>
      <c r="AD134" s="152"/>
      <c r="AE134" s="152"/>
      <c r="AF134" s="152"/>
      <c r="AG134" s="152"/>
      <c r="AH134" s="152"/>
      <c r="AI134" s="152"/>
    </row>
    <row r="135" spans="1:35" outlineLevel="1">
      <c r="A135" s="4"/>
      <c r="B135" s="4"/>
      <c r="C135" s="4"/>
      <c r="D135" s="4"/>
      <c r="E135" s="104">
        <f>Asset21</f>
        <v>0</v>
      </c>
      <c r="F135" s="153"/>
      <c r="G135" s="1337"/>
      <c r="H135" s="333"/>
      <c r="I135" s="333"/>
      <c r="J135" s="333"/>
      <c r="K135" s="333"/>
      <c r="L135" s="333"/>
      <c r="M135" s="333"/>
      <c r="N135" s="333"/>
      <c r="O135" s="333"/>
      <c r="P135" s="333"/>
      <c r="Q135" s="333"/>
      <c r="R135" s="355"/>
      <c r="S135" s="2"/>
      <c r="T135" s="2"/>
      <c r="U135" s="2"/>
      <c r="V135" s="2"/>
      <c r="W135" s="2"/>
      <c r="X135" s="152"/>
      <c r="Y135" s="152"/>
      <c r="Z135" s="152"/>
      <c r="AA135" s="152"/>
      <c r="AB135" s="152"/>
      <c r="AC135" s="152"/>
      <c r="AD135" s="152"/>
      <c r="AE135" s="152"/>
      <c r="AF135" s="152"/>
      <c r="AG135" s="152"/>
      <c r="AH135" s="152"/>
      <c r="AI135" s="152"/>
    </row>
    <row r="136" spans="1:35" outlineLevel="1">
      <c r="A136" s="4"/>
      <c r="B136" s="4"/>
      <c r="C136" s="4"/>
      <c r="D136" s="4"/>
      <c r="E136" s="104">
        <f>Asset22</f>
        <v>0</v>
      </c>
      <c r="F136" s="153"/>
      <c r="G136" s="1337"/>
      <c r="H136" s="333"/>
      <c r="I136" s="333"/>
      <c r="J136" s="333"/>
      <c r="K136" s="333"/>
      <c r="L136" s="333"/>
      <c r="M136" s="333"/>
      <c r="N136" s="333"/>
      <c r="O136" s="333"/>
      <c r="P136" s="333"/>
      <c r="Q136" s="333"/>
      <c r="R136" s="355"/>
      <c r="S136" s="2"/>
      <c r="T136" s="2"/>
      <c r="U136" s="2"/>
      <c r="V136" s="2"/>
      <c r="W136" s="2"/>
      <c r="X136" s="152"/>
      <c r="Y136" s="152"/>
      <c r="Z136" s="152"/>
      <c r="AA136" s="152"/>
      <c r="AB136" s="152"/>
      <c r="AC136" s="152"/>
      <c r="AD136" s="152"/>
      <c r="AE136" s="152"/>
      <c r="AF136" s="152"/>
      <c r="AG136" s="152"/>
      <c r="AH136" s="152"/>
      <c r="AI136" s="152"/>
    </row>
    <row r="137" spans="1:35" outlineLevel="1">
      <c r="A137" s="4"/>
      <c r="B137" s="4"/>
      <c r="C137" s="4"/>
      <c r="D137" s="4"/>
      <c r="E137" s="104">
        <f>Asset23</f>
        <v>0</v>
      </c>
      <c r="F137" s="153"/>
      <c r="G137" s="1337"/>
      <c r="H137" s="333"/>
      <c r="I137" s="333"/>
      <c r="J137" s="333"/>
      <c r="K137" s="333"/>
      <c r="L137" s="333"/>
      <c r="M137" s="333"/>
      <c r="N137" s="333"/>
      <c r="O137" s="333"/>
      <c r="P137" s="333"/>
      <c r="Q137" s="333"/>
      <c r="R137" s="355"/>
      <c r="S137" s="2"/>
      <c r="T137" s="2"/>
      <c r="U137" s="2"/>
      <c r="V137" s="2"/>
      <c r="W137" s="2"/>
      <c r="X137" s="152"/>
      <c r="Y137" s="152"/>
      <c r="Z137" s="152"/>
      <c r="AA137" s="152"/>
      <c r="AB137" s="152"/>
      <c r="AC137" s="152"/>
      <c r="AD137" s="152"/>
      <c r="AE137" s="152"/>
      <c r="AF137" s="152"/>
      <c r="AG137" s="152"/>
      <c r="AH137" s="152"/>
      <c r="AI137" s="152"/>
    </row>
    <row r="138" spans="1:35" outlineLevel="1">
      <c r="A138" s="4"/>
      <c r="B138" s="4"/>
      <c r="C138" s="4"/>
      <c r="D138" s="4"/>
      <c r="E138" s="104">
        <f>Asset24</f>
        <v>0</v>
      </c>
      <c r="F138" s="153"/>
      <c r="G138" s="1337"/>
      <c r="H138" s="333"/>
      <c r="I138" s="333"/>
      <c r="J138" s="333"/>
      <c r="K138" s="333"/>
      <c r="L138" s="333"/>
      <c r="M138" s="333"/>
      <c r="N138" s="333"/>
      <c r="O138" s="333"/>
      <c r="P138" s="333"/>
      <c r="Q138" s="333"/>
      <c r="R138" s="355"/>
      <c r="S138" s="2"/>
      <c r="T138" s="2"/>
      <c r="U138" s="2"/>
      <c r="V138" s="2"/>
      <c r="W138" s="2"/>
      <c r="X138" s="152"/>
      <c r="Y138" s="152"/>
      <c r="Z138" s="152"/>
      <c r="AA138" s="152"/>
      <c r="AB138" s="152"/>
      <c r="AC138" s="152"/>
      <c r="AD138" s="152"/>
      <c r="AE138" s="152"/>
      <c r="AF138" s="152"/>
      <c r="AG138" s="152"/>
      <c r="AH138" s="152"/>
      <c r="AI138" s="152"/>
    </row>
    <row r="139" spans="1:35" outlineLevel="1">
      <c r="A139" s="4"/>
      <c r="B139" s="4"/>
      <c r="C139" s="4"/>
      <c r="D139" s="4"/>
      <c r="E139" s="104">
        <f>Asset25</f>
        <v>0</v>
      </c>
      <c r="F139" s="153"/>
      <c r="G139" s="1337"/>
      <c r="H139" s="333"/>
      <c r="I139" s="333"/>
      <c r="J139" s="333"/>
      <c r="K139" s="333"/>
      <c r="L139" s="333"/>
      <c r="M139" s="333"/>
      <c r="N139" s="333"/>
      <c r="O139" s="333"/>
      <c r="P139" s="333"/>
      <c r="Q139" s="333"/>
      <c r="R139" s="355"/>
      <c r="S139" s="2"/>
      <c r="T139" s="2"/>
      <c r="U139" s="2"/>
      <c r="V139" s="2"/>
      <c r="W139" s="2"/>
      <c r="X139" s="152"/>
      <c r="Y139" s="152"/>
      <c r="Z139" s="152"/>
      <c r="AA139" s="152"/>
      <c r="AB139" s="152"/>
      <c r="AC139" s="152"/>
      <c r="AD139" s="152"/>
      <c r="AE139" s="152"/>
      <c r="AF139" s="152"/>
      <c r="AG139" s="152"/>
      <c r="AH139" s="152"/>
      <c r="AI139" s="152"/>
    </row>
    <row r="140" spans="1:35" outlineLevel="1">
      <c r="A140" s="4"/>
      <c r="B140" s="4"/>
      <c r="C140" s="4"/>
      <c r="D140" s="4"/>
      <c r="E140" s="104">
        <f>Asset26</f>
        <v>0</v>
      </c>
      <c r="F140" s="153"/>
      <c r="G140" s="1337"/>
      <c r="H140" s="333"/>
      <c r="I140" s="333"/>
      <c r="J140" s="333"/>
      <c r="K140" s="333"/>
      <c r="L140" s="333"/>
      <c r="M140" s="333"/>
      <c r="N140" s="333"/>
      <c r="O140" s="333"/>
      <c r="P140" s="333"/>
      <c r="Q140" s="333"/>
      <c r="R140" s="355"/>
      <c r="S140" s="2"/>
      <c r="T140" s="2"/>
      <c r="U140" s="2"/>
      <c r="V140" s="2"/>
      <c r="W140" s="2"/>
      <c r="X140" s="152"/>
      <c r="Y140" s="152"/>
      <c r="Z140" s="152"/>
      <c r="AA140" s="152"/>
      <c r="AB140" s="152"/>
      <c r="AC140" s="152"/>
      <c r="AD140" s="152"/>
      <c r="AE140" s="152"/>
      <c r="AF140" s="152"/>
      <c r="AG140" s="152"/>
      <c r="AH140" s="152"/>
      <c r="AI140" s="152"/>
    </row>
    <row r="141" spans="1:35" outlineLevel="1">
      <c r="A141" s="4"/>
      <c r="B141" s="4"/>
      <c r="C141" s="4"/>
      <c r="D141" s="4"/>
      <c r="E141" s="104">
        <f>Asset27</f>
        <v>0</v>
      </c>
      <c r="F141" s="153"/>
      <c r="G141" s="1337"/>
      <c r="H141" s="333"/>
      <c r="I141" s="333"/>
      <c r="J141" s="333"/>
      <c r="K141" s="333"/>
      <c r="L141" s="333"/>
      <c r="M141" s="333"/>
      <c r="N141" s="333"/>
      <c r="O141" s="333"/>
      <c r="P141" s="333"/>
      <c r="Q141" s="333"/>
      <c r="R141" s="355"/>
      <c r="S141" s="2"/>
      <c r="T141" s="2"/>
      <c r="U141" s="2"/>
      <c r="V141" s="2"/>
      <c r="W141" s="2"/>
      <c r="X141" s="152"/>
      <c r="Y141" s="152"/>
      <c r="Z141" s="152"/>
      <c r="AA141" s="152"/>
      <c r="AB141" s="152"/>
      <c r="AC141" s="152"/>
      <c r="AD141" s="152"/>
      <c r="AE141" s="152"/>
      <c r="AF141" s="152"/>
      <c r="AG141" s="152"/>
      <c r="AH141" s="152"/>
      <c r="AI141" s="152"/>
    </row>
    <row r="142" spans="1:35" outlineLevel="1">
      <c r="A142" s="4"/>
      <c r="B142" s="4"/>
      <c r="C142" s="4"/>
      <c r="D142" s="4"/>
      <c r="E142" s="104">
        <f>Asset28</f>
        <v>0</v>
      </c>
      <c r="F142" s="153"/>
      <c r="G142" s="1337"/>
      <c r="H142" s="333"/>
      <c r="I142" s="333"/>
      <c r="J142" s="333"/>
      <c r="K142" s="333"/>
      <c r="L142" s="333"/>
      <c r="M142" s="333"/>
      <c r="N142" s="333"/>
      <c r="O142" s="333"/>
      <c r="P142" s="333"/>
      <c r="Q142" s="333"/>
      <c r="R142" s="355"/>
      <c r="S142" s="2"/>
      <c r="T142" s="2"/>
      <c r="U142" s="2"/>
      <c r="V142" s="2"/>
      <c r="W142" s="2"/>
      <c r="X142" s="152"/>
      <c r="Y142" s="152"/>
      <c r="Z142" s="152"/>
      <c r="AA142" s="152"/>
      <c r="AB142" s="152"/>
      <c r="AC142" s="152"/>
      <c r="AD142" s="152"/>
      <c r="AE142" s="152"/>
      <c r="AF142" s="152"/>
      <c r="AG142" s="152"/>
      <c r="AH142" s="152"/>
      <c r="AI142" s="152"/>
    </row>
    <row r="143" spans="1:35" outlineLevel="1">
      <c r="A143" s="4"/>
      <c r="B143" s="4"/>
      <c r="C143" s="4"/>
      <c r="D143" s="4"/>
      <c r="E143" s="104">
        <f>Asset29</f>
        <v>0</v>
      </c>
      <c r="F143" s="153"/>
      <c r="G143" s="1337"/>
      <c r="H143" s="333"/>
      <c r="I143" s="333"/>
      <c r="J143" s="333"/>
      <c r="K143" s="333"/>
      <c r="L143" s="333"/>
      <c r="M143" s="333"/>
      <c r="N143" s="333"/>
      <c r="O143" s="333"/>
      <c r="P143" s="333"/>
      <c r="Q143" s="333"/>
      <c r="R143" s="355"/>
      <c r="S143" s="2"/>
      <c r="T143" s="2"/>
      <c r="U143" s="2"/>
      <c r="V143" s="2"/>
      <c r="W143" s="2"/>
      <c r="X143" s="152"/>
      <c r="Y143" s="152"/>
      <c r="Z143" s="152"/>
      <c r="AA143" s="152"/>
      <c r="AB143" s="152"/>
      <c r="AC143" s="152"/>
      <c r="AD143" s="152"/>
      <c r="AE143" s="152"/>
      <c r="AF143" s="152"/>
      <c r="AG143" s="152"/>
      <c r="AH143" s="152"/>
      <c r="AI143" s="152"/>
    </row>
    <row r="144" spans="1:35" outlineLevel="1">
      <c r="A144" s="4"/>
      <c r="B144" s="4"/>
      <c r="C144" s="4"/>
      <c r="D144" s="4"/>
      <c r="E144" s="104">
        <f>Asset30</f>
        <v>0</v>
      </c>
      <c r="F144" s="153"/>
      <c r="G144" s="1337"/>
      <c r="H144" s="333"/>
      <c r="I144" s="333"/>
      <c r="J144" s="333"/>
      <c r="K144" s="333"/>
      <c r="L144" s="333"/>
      <c r="M144" s="333"/>
      <c r="N144" s="333"/>
      <c r="O144" s="333"/>
      <c r="P144" s="333"/>
      <c r="Q144" s="333"/>
      <c r="R144" s="355"/>
      <c r="S144" s="2"/>
      <c r="T144" s="2"/>
      <c r="U144" s="2"/>
      <c r="V144" s="2"/>
      <c r="W144" s="2"/>
      <c r="X144" s="152"/>
      <c r="Y144" s="152"/>
      <c r="Z144" s="152"/>
      <c r="AA144" s="152"/>
      <c r="AB144" s="152"/>
      <c r="AC144" s="152"/>
      <c r="AD144" s="152"/>
      <c r="AE144" s="152"/>
      <c r="AF144" s="152"/>
      <c r="AG144" s="152"/>
      <c r="AH144" s="152"/>
      <c r="AI144" s="152"/>
    </row>
    <row r="145" spans="1:35" outlineLevel="2">
      <c r="A145" s="4"/>
      <c r="B145" s="4"/>
      <c r="C145" s="4"/>
      <c r="D145" s="4"/>
      <c r="E145" s="104">
        <f>Asset31</f>
        <v>0</v>
      </c>
      <c r="F145" s="153"/>
      <c r="G145" s="1337"/>
      <c r="H145" s="333"/>
      <c r="I145" s="333"/>
      <c r="J145" s="333"/>
      <c r="K145" s="333"/>
      <c r="L145" s="333"/>
      <c r="M145" s="333"/>
      <c r="N145" s="333"/>
      <c r="O145" s="333"/>
      <c r="P145" s="333"/>
      <c r="Q145" s="333"/>
      <c r="R145" s="355"/>
      <c r="S145" s="2"/>
      <c r="T145" s="2"/>
      <c r="U145" s="2"/>
      <c r="V145" s="2"/>
      <c r="W145" s="2"/>
      <c r="X145" s="152"/>
      <c r="Y145" s="152"/>
      <c r="Z145" s="152"/>
      <c r="AA145" s="152"/>
      <c r="AB145" s="152"/>
      <c r="AC145" s="152"/>
      <c r="AD145" s="152"/>
      <c r="AE145" s="152"/>
      <c r="AF145" s="152"/>
      <c r="AG145" s="152"/>
      <c r="AH145" s="152"/>
      <c r="AI145" s="152"/>
    </row>
    <row r="146" spans="1:35" outlineLevel="2">
      <c r="A146" s="4"/>
      <c r="B146" s="4"/>
      <c r="C146" s="4"/>
      <c r="D146" s="4"/>
      <c r="E146" s="104">
        <f>Asset32</f>
        <v>0</v>
      </c>
      <c r="F146" s="153"/>
      <c r="G146" s="1337"/>
      <c r="H146" s="333"/>
      <c r="I146" s="333"/>
      <c r="J146" s="333"/>
      <c r="K146" s="333"/>
      <c r="L146" s="333"/>
      <c r="M146" s="333"/>
      <c r="N146" s="333"/>
      <c r="O146" s="333"/>
      <c r="P146" s="333"/>
      <c r="Q146" s="333"/>
      <c r="R146" s="355"/>
      <c r="S146" s="2"/>
      <c r="T146" s="2"/>
      <c r="U146" s="2"/>
      <c r="V146" s="2"/>
      <c r="W146" s="2"/>
      <c r="X146" s="152"/>
      <c r="Y146" s="152"/>
      <c r="Z146" s="152"/>
      <c r="AA146" s="152"/>
      <c r="AB146" s="152"/>
      <c r="AC146" s="152"/>
      <c r="AD146" s="152"/>
      <c r="AE146" s="152"/>
      <c r="AF146" s="152"/>
      <c r="AG146" s="152"/>
      <c r="AH146" s="152"/>
      <c r="AI146" s="152"/>
    </row>
    <row r="147" spans="1:35" outlineLevel="2">
      <c r="A147" s="4"/>
      <c r="B147" s="4"/>
      <c r="C147" s="4"/>
      <c r="D147" s="4"/>
      <c r="E147" s="104">
        <f>Asset33</f>
        <v>0</v>
      </c>
      <c r="F147" s="153"/>
      <c r="G147" s="1337"/>
      <c r="H147" s="333"/>
      <c r="I147" s="333"/>
      <c r="J147" s="333"/>
      <c r="K147" s="333"/>
      <c r="L147" s="333"/>
      <c r="M147" s="333"/>
      <c r="N147" s="333"/>
      <c r="O147" s="333"/>
      <c r="P147" s="333"/>
      <c r="Q147" s="333"/>
      <c r="R147" s="355"/>
      <c r="S147" s="2"/>
      <c r="T147" s="2"/>
      <c r="U147" s="2"/>
      <c r="V147" s="2"/>
      <c r="W147" s="2"/>
      <c r="X147" s="152"/>
      <c r="Y147" s="152"/>
      <c r="Z147" s="152"/>
      <c r="AA147" s="152"/>
      <c r="AB147" s="152"/>
      <c r="AC147" s="152"/>
      <c r="AD147" s="152"/>
      <c r="AE147" s="152"/>
      <c r="AF147" s="152"/>
      <c r="AG147" s="152"/>
      <c r="AH147" s="152"/>
      <c r="AI147" s="152"/>
    </row>
    <row r="148" spans="1:35" outlineLevel="2">
      <c r="A148" s="4"/>
      <c r="B148" s="4"/>
      <c r="C148" s="4"/>
      <c r="D148" s="4"/>
      <c r="E148" s="104">
        <f>Asset34</f>
        <v>0</v>
      </c>
      <c r="F148" s="153"/>
      <c r="G148" s="1337"/>
      <c r="H148" s="333"/>
      <c r="I148" s="333"/>
      <c r="J148" s="333"/>
      <c r="K148" s="333"/>
      <c r="L148" s="333"/>
      <c r="M148" s="333"/>
      <c r="N148" s="333"/>
      <c r="O148" s="333"/>
      <c r="P148" s="333"/>
      <c r="Q148" s="333"/>
      <c r="R148" s="355"/>
      <c r="S148" s="2"/>
      <c r="T148" s="2"/>
      <c r="U148" s="2"/>
      <c r="V148" s="2"/>
      <c r="W148" s="2"/>
      <c r="X148" s="152"/>
      <c r="Y148" s="152"/>
      <c r="Z148" s="152"/>
      <c r="AA148" s="152"/>
      <c r="AB148" s="152"/>
      <c r="AC148" s="152"/>
      <c r="AD148" s="152"/>
      <c r="AE148" s="152"/>
      <c r="AF148" s="152"/>
      <c r="AG148" s="152"/>
      <c r="AH148" s="152"/>
      <c r="AI148" s="152"/>
    </row>
    <row r="149" spans="1:35" outlineLevel="2">
      <c r="A149" s="4"/>
      <c r="B149" s="4"/>
      <c r="C149" s="4"/>
      <c r="D149" s="4"/>
      <c r="E149" s="104">
        <f>Asset35</f>
        <v>0</v>
      </c>
      <c r="F149" s="153"/>
      <c r="G149" s="1337"/>
      <c r="H149" s="333"/>
      <c r="I149" s="333"/>
      <c r="J149" s="333"/>
      <c r="K149" s="333"/>
      <c r="L149" s="333"/>
      <c r="M149" s="333"/>
      <c r="N149" s="333"/>
      <c r="O149" s="333"/>
      <c r="P149" s="333"/>
      <c r="Q149" s="333"/>
      <c r="R149" s="355"/>
      <c r="S149" s="2"/>
      <c r="T149" s="2"/>
      <c r="U149" s="2"/>
      <c r="V149" s="2"/>
      <c r="W149" s="2"/>
      <c r="X149" s="152"/>
      <c r="Y149" s="152"/>
      <c r="Z149" s="152"/>
      <c r="AA149" s="152"/>
      <c r="AB149" s="152"/>
      <c r="AC149" s="152"/>
      <c r="AD149" s="152"/>
      <c r="AE149" s="152"/>
      <c r="AF149" s="152"/>
      <c r="AG149" s="152"/>
      <c r="AH149" s="152"/>
      <c r="AI149" s="152"/>
    </row>
    <row r="150" spans="1:35" outlineLevel="2">
      <c r="A150" s="4"/>
      <c r="B150" s="4"/>
      <c r="C150" s="4"/>
      <c r="D150" s="4"/>
      <c r="E150" s="104">
        <f>Asset36</f>
        <v>0</v>
      </c>
      <c r="F150" s="153"/>
      <c r="G150" s="1337"/>
      <c r="H150" s="333"/>
      <c r="I150" s="333"/>
      <c r="J150" s="333"/>
      <c r="K150" s="333"/>
      <c r="L150" s="333"/>
      <c r="M150" s="333"/>
      <c r="N150" s="333"/>
      <c r="O150" s="333"/>
      <c r="P150" s="333"/>
      <c r="Q150" s="333"/>
      <c r="R150" s="355"/>
      <c r="S150" s="2"/>
      <c r="T150" s="2"/>
      <c r="U150" s="2"/>
      <c r="V150" s="2"/>
      <c r="W150" s="2"/>
      <c r="X150" s="152"/>
      <c r="Y150" s="152"/>
      <c r="Z150" s="152"/>
      <c r="AA150" s="152"/>
      <c r="AB150" s="152"/>
      <c r="AC150" s="152"/>
      <c r="AD150" s="152"/>
      <c r="AE150" s="152"/>
      <c r="AF150" s="152"/>
      <c r="AG150" s="152"/>
      <c r="AH150" s="152"/>
      <c r="AI150" s="152"/>
    </row>
    <row r="151" spans="1:35" outlineLevel="2">
      <c r="A151" s="4"/>
      <c r="B151" s="4"/>
      <c r="C151" s="4"/>
      <c r="D151" s="4"/>
      <c r="E151" s="104">
        <f>Asset37</f>
        <v>0</v>
      </c>
      <c r="F151" s="153"/>
      <c r="G151" s="1337"/>
      <c r="H151" s="333"/>
      <c r="I151" s="333"/>
      <c r="J151" s="333"/>
      <c r="K151" s="333"/>
      <c r="L151" s="333"/>
      <c r="M151" s="333"/>
      <c r="N151" s="333"/>
      <c r="O151" s="333"/>
      <c r="P151" s="333"/>
      <c r="Q151" s="333"/>
      <c r="R151" s="355"/>
      <c r="S151" s="2"/>
      <c r="T151" s="2"/>
      <c r="U151" s="2"/>
      <c r="V151" s="2"/>
      <c r="W151" s="2"/>
      <c r="X151" s="152"/>
      <c r="Y151" s="152"/>
      <c r="Z151" s="152"/>
      <c r="AA151" s="152"/>
      <c r="AB151" s="152"/>
      <c r="AC151" s="152"/>
      <c r="AD151" s="152"/>
      <c r="AE151" s="152"/>
      <c r="AF151" s="152"/>
      <c r="AG151" s="152"/>
      <c r="AH151" s="152"/>
      <c r="AI151" s="152"/>
    </row>
    <row r="152" spans="1:35" outlineLevel="2">
      <c r="A152" s="4"/>
      <c r="B152" s="4"/>
      <c r="C152" s="4"/>
      <c r="D152" s="4"/>
      <c r="E152" s="104">
        <f>Asset38</f>
        <v>0</v>
      </c>
      <c r="F152" s="153"/>
      <c r="G152" s="1337"/>
      <c r="H152" s="333"/>
      <c r="I152" s="333"/>
      <c r="J152" s="333"/>
      <c r="K152" s="333"/>
      <c r="L152" s="333"/>
      <c r="M152" s="333"/>
      <c r="N152" s="333"/>
      <c r="O152" s="333"/>
      <c r="P152" s="333"/>
      <c r="Q152" s="333"/>
      <c r="R152" s="355"/>
      <c r="S152" s="2"/>
      <c r="T152" s="2"/>
      <c r="U152" s="2"/>
      <c r="V152" s="2"/>
      <c r="W152" s="2"/>
      <c r="X152" s="152"/>
      <c r="Y152" s="152"/>
      <c r="Z152" s="152"/>
      <c r="AA152" s="152"/>
      <c r="AB152" s="152"/>
      <c r="AC152" s="152"/>
      <c r="AD152" s="152"/>
      <c r="AE152" s="152"/>
      <c r="AF152" s="152"/>
      <c r="AG152" s="152"/>
      <c r="AH152" s="152"/>
      <c r="AI152" s="152"/>
    </row>
    <row r="153" spans="1:35" outlineLevel="2">
      <c r="A153" s="4"/>
      <c r="B153" s="4"/>
      <c r="C153" s="4"/>
      <c r="D153" s="4"/>
      <c r="E153" s="104">
        <f>Asset39</f>
        <v>0</v>
      </c>
      <c r="F153" s="153"/>
      <c r="G153" s="1337"/>
      <c r="H153" s="333"/>
      <c r="I153" s="333"/>
      <c r="J153" s="333"/>
      <c r="K153" s="333"/>
      <c r="L153" s="333"/>
      <c r="M153" s="333"/>
      <c r="N153" s="333"/>
      <c r="O153" s="333"/>
      <c r="P153" s="333"/>
      <c r="Q153" s="333"/>
      <c r="R153" s="355"/>
      <c r="S153" s="2"/>
      <c r="T153" s="2"/>
      <c r="U153" s="2"/>
      <c r="V153" s="2"/>
      <c r="W153" s="2"/>
      <c r="X153" s="152"/>
      <c r="Y153" s="152"/>
      <c r="Z153" s="152"/>
      <c r="AA153" s="152"/>
      <c r="AB153" s="152"/>
      <c r="AC153" s="152"/>
      <c r="AD153" s="152"/>
      <c r="AE153" s="152"/>
      <c r="AF153" s="152"/>
      <c r="AG153" s="152"/>
      <c r="AH153" s="152"/>
      <c r="AI153" s="152"/>
    </row>
    <row r="154" spans="1:35" outlineLevel="2">
      <c r="A154" s="4"/>
      <c r="B154" s="4"/>
      <c r="C154" s="4"/>
      <c r="D154" s="4"/>
      <c r="E154" s="104">
        <f>Asset40</f>
        <v>0</v>
      </c>
      <c r="F154" s="153"/>
      <c r="G154" s="1337"/>
      <c r="H154" s="333"/>
      <c r="I154" s="333"/>
      <c r="J154" s="333"/>
      <c r="K154" s="333"/>
      <c r="L154" s="333"/>
      <c r="M154" s="333"/>
      <c r="N154" s="333"/>
      <c r="O154" s="333"/>
      <c r="P154" s="333"/>
      <c r="Q154" s="333"/>
      <c r="R154" s="355"/>
      <c r="S154" s="2"/>
      <c r="T154" s="2"/>
      <c r="U154" s="2"/>
      <c r="V154" s="2"/>
      <c r="W154" s="2"/>
      <c r="X154" s="152"/>
      <c r="Y154" s="152"/>
      <c r="Z154" s="152"/>
      <c r="AA154" s="152"/>
      <c r="AB154" s="152"/>
      <c r="AC154" s="152"/>
      <c r="AD154" s="152"/>
      <c r="AE154" s="152"/>
      <c r="AF154" s="152"/>
      <c r="AG154" s="152"/>
      <c r="AH154" s="152"/>
      <c r="AI154" s="152"/>
    </row>
    <row r="155" spans="1:35" outlineLevel="2">
      <c r="A155" s="4"/>
      <c r="B155" s="4"/>
      <c r="C155" s="4"/>
      <c r="D155" s="4"/>
      <c r="E155" s="104">
        <f>Asset41</f>
        <v>0</v>
      </c>
      <c r="F155" s="153"/>
      <c r="G155" s="1337"/>
      <c r="H155" s="333"/>
      <c r="I155" s="333"/>
      <c r="J155" s="333"/>
      <c r="K155" s="333"/>
      <c r="L155" s="333"/>
      <c r="M155" s="333"/>
      <c r="N155" s="333"/>
      <c r="O155" s="333"/>
      <c r="P155" s="333"/>
      <c r="Q155" s="333"/>
      <c r="R155" s="355"/>
      <c r="S155" s="2"/>
      <c r="T155" s="2"/>
      <c r="U155" s="2"/>
      <c r="V155" s="2"/>
      <c r="W155" s="2"/>
      <c r="X155" s="152"/>
      <c r="Y155" s="152"/>
      <c r="Z155" s="152"/>
      <c r="AA155" s="152"/>
      <c r="AB155" s="152"/>
      <c r="AC155" s="152"/>
      <c r="AD155" s="152"/>
      <c r="AE155" s="152"/>
      <c r="AF155" s="152"/>
      <c r="AG155" s="152"/>
      <c r="AH155" s="152"/>
      <c r="AI155" s="152"/>
    </row>
    <row r="156" spans="1:35" outlineLevel="2">
      <c r="A156" s="4"/>
      <c r="B156" s="4"/>
      <c r="C156" s="4"/>
      <c r="D156" s="4"/>
      <c r="E156" s="104">
        <f>Asset42</f>
        <v>0</v>
      </c>
      <c r="F156" s="153"/>
      <c r="G156" s="1337"/>
      <c r="H156" s="333"/>
      <c r="I156" s="333"/>
      <c r="J156" s="333"/>
      <c r="K156" s="333"/>
      <c r="L156" s="333"/>
      <c r="M156" s="333"/>
      <c r="N156" s="333"/>
      <c r="O156" s="333"/>
      <c r="P156" s="333"/>
      <c r="Q156" s="333"/>
      <c r="R156" s="355"/>
      <c r="S156" s="2"/>
      <c r="T156" s="2"/>
      <c r="U156" s="2"/>
      <c r="V156" s="2"/>
      <c r="W156" s="2"/>
      <c r="X156" s="152"/>
      <c r="Y156" s="152"/>
      <c r="Z156" s="152"/>
      <c r="AA156" s="152"/>
      <c r="AB156" s="152"/>
      <c r="AC156" s="152"/>
      <c r="AD156" s="152"/>
      <c r="AE156" s="152"/>
      <c r="AF156" s="152"/>
      <c r="AG156" s="152"/>
      <c r="AH156" s="152"/>
      <c r="AI156" s="152"/>
    </row>
    <row r="157" spans="1:35" outlineLevel="2">
      <c r="A157" s="4"/>
      <c r="B157" s="4"/>
      <c r="C157" s="4"/>
      <c r="D157" s="4"/>
      <c r="E157" s="104">
        <f>Asset43</f>
        <v>0</v>
      </c>
      <c r="F157" s="153"/>
      <c r="G157" s="1337"/>
      <c r="H157" s="333"/>
      <c r="I157" s="333"/>
      <c r="J157" s="333"/>
      <c r="K157" s="333"/>
      <c r="L157" s="333"/>
      <c r="M157" s="333"/>
      <c r="N157" s="333"/>
      <c r="O157" s="333"/>
      <c r="P157" s="333"/>
      <c r="Q157" s="333"/>
      <c r="R157" s="355"/>
      <c r="S157" s="2"/>
      <c r="T157" s="2"/>
      <c r="U157" s="2"/>
      <c r="V157" s="2"/>
      <c r="W157" s="2"/>
      <c r="X157" s="152"/>
      <c r="Y157" s="152"/>
      <c r="Z157" s="152"/>
      <c r="AA157" s="152"/>
      <c r="AB157" s="152"/>
      <c r="AC157" s="152"/>
      <c r="AD157" s="152"/>
      <c r="AE157" s="152"/>
      <c r="AF157" s="152"/>
      <c r="AG157" s="152"/>
      <c r="AH157" s="152"/>
      <c r="AI157" s="152"/>
    </row>
    <row r="158" spans="1:35" outlineLevel="2">
      <c r="A158" s="4"/>
      <c r="B158" s="4"/>
      <c r="C158" s="4"/>
      <c r="D158" s="4"/>
      <c r="E158" s="104">
        <f>Asset44</f>
        <v>0</v>
      </c>
      <c r="F158" s="153"/>
      <c r="G158" s="1337"/>
      <c r="H158" s="333"/>
      <c r="I158" s="333"/>
      <c r="J158" s="333"/>
      <c r="K158" s="333"/>
      <c r="L158" s="333"/>
      <c r="M158" s="333"/>
      <c r="N158" s="333"/>
      <c r="O158" s="333"/>
      <c r="P158" s="333"/>
      <c r="Q158" s="333"/>
      <c r="R158" s="355"/>
      <c r="S158" s="2"/>
      <c r="T158" s="2"/>
      <c r="U158" s="2"/>
      <c r="V158" s="2"/>
      <c r="W158" s="2"/>
      <c r="X158" s="152"/>
      <c r="Y158" s="152"/>
      <c r="Z158" s="152"/>
      <c r="AA158" s="152"/>
      <c r="AB158" s="152"/>
      <c r="AC158" s="152"/>
      <c r="AD158" s="152"/>
      <c r="AE158" s="152"/>
      <c r="AF158" s="152"/>
      <c r="AG158" s="152"/>
      <c r="AH158" s="152"/>
      <c r="AI158" s="152"/>
    </row>
    <row r="159" spans="1:35" outlineLevel="2">
      <c r="A159" s="4"/>
      <c r="B159" s="4"/>
      <c r="C159" s="4"/>
      <c r="D159" s="4"/>
      <c r="E159" s="104">
        <f>Asset45</f>
        <v>0</v>
      </c>
      <c r="F159" s="153"/>
      <c r="G159" s="1337"/>
      <c r="H159" s="333"/>
      <c r="I159" s="333"/>
      <c r="J159" s="333"/>
      <c r="K159" s="333"/>
      <c r="L159" s="333"/>
      <c r="M159" s="333"/>
      <c r="N159" s="333"/>
      <c r="O159" s="333"/>
      <c r="P159" s="333"/>
      <c r="Q159" s="333"/>
      <c r="R159" s="355"/>
      <c r="S159" s="2"/>
      <c r="T159" s="2"/>
      <c r="U159" s="2"/>
      <c r="V159" s="2"/>
      <c r="W159" s="2"/>
      <c r="X159" s="152"/>
      <c r="Y159" s="152"/>
      <c r="Z159" s="152"/>
      <c r="AA159" s="152"/>
      <c r="AB159" s="152"/>
      <c r="AC159" s="152"/>
      <c r="AD159" s="152"/>
      <c r="AE159" s="152"/>
      <c r="AF159" s="152"/>
      <c r="AG159" s="152"/>
      <c r="AH159" s="152"/>
      <c r="AI159" s="152"/>
    </row>
    <row r="160" spans="1:35" outlineLevel="2">
      <c r="A160" s="4"/>
      <c r="B160" s="4"/>
      <c r="C160" s="4"/>
      <c r="D160" s="4"/>
      <c r="E160" s="104">
        <f>Asset46</f>
        <v>0</v>
      </c>
      <c r="F160" s="153"/>
      <c r="G160" s="1337"/>
      <c r="H160" s="333"/>
      <c r="I160" s="333"/>
      <c r="J160" s="333"/>
      <c r="K160" s="333"/>
      <c r="L160" s="333"/>
      <c r="M160" s="333"/>
      <c r="N160" s="333"/>
      <c r="O160" s="333"/>
      <c r="P160" s="333"/>
      <c r="Q160" s="333"/>
      <c r="R160" s="355"/>
      <c r="S160" s="2"/>
      <c r="T160" s="2"/>
      <c r="U160" s="2"/>
      <c r="V160" s="2"/>
      <c r="W160" s="2"/>
      <c r="X160" s="152"/>
      <c r="Y160" s="152"/>
      <c r="Z160" s="152"/>
      <c r="AA160" s="152"/>
      <c r="AB160" s="152"/>
      <c r="AC160" s="152"/>
      <c r="AD160" s="152"/>
      <c r="AE160" s="152"/>
      <c r="AF160" s="152"/>
      <c r="AG160" s="152"/>
      <c r="AH160" s="152"/>
      <c r="AI160" s="152"/>
    </row>
    <row r="161" spans="1:35" outlineLevel="1">
      <c r="A161" s="4"/>
      <c r="B161" s="4"/>
      <c r="C161" s="4"/>
      <c r="D161" s="4"/>
      <c r="E161" s="104">
        <f>Asset47</f>
        <v>0</v>
      </c>
      <c r="F161" s="153"/>
      <c r="G161" s="1337"/>
      <c r="H161" s="333"/>
      <c r="I161" s="333"/>
      <c r="J161" s="333"/>
      <c r="K161" s="333"/>
      <c r="L161" s="333"/>
      <c r="M161" s="333"/>
      <c r="N161" s="333"/>
      <c r="O161" s="333"/>
      <c r="P161" s="333"/>
      <c r="Q161" s="333"/>
      <c r="R161" s="355"/>
      <c r="S161" s="2"/>
      <c r="T161" s="2"/>
      <c r="U161" s="2"/>
      <c r="V161" s="2"/>
      <c r="W161" s="2"/>
      <c r="X161" s="152"/>
      <c r="Y161" s="152"/>
      <c r="Z161" s="152"/>
      <c r="AA161" s="152"/>
      <c r="AB161" s="152"/>
      <c r="AC161" s="152"/>
      <c r="AD161" s="152"/>
      <c r="AE161" s="152"/>
      <c r="AF161" s="152"/>
      <c r="AG161" s="152"/>
      <c r="AH161" s="152"/>
      <c r="AI161" s="152"/>
    </row>
    <row r="162" spans="1:35" outlineLevel="1">
      <c r="A162" s="4"/>
      <c r="B162" s="4"/>
      <c r="C162" s="4"/>
      <c r="D162" s="4"/>
      <c r="E162" s="104">
        <f>Asset48</f>
        <v>0</v>
      </c>
      <c r="F162" s="153"/>
      <c r="G162" s="1337"/>
      <c r="H162" s="333"/>
      <c r="I162" s="333"/>
      <c r="J162" s="333"/>
      <c r="K162" s="333"/>
      <c r="L162" s="333"/>
      <c r="M162" s="333"/>
      <c r="N162" s="333"/>
      <c r="O162" s="333"/>
      <c r="P162" s="333"/>
      <c r="Q162" s="333"/>
      <c r="R162" s="355"/>
      <c r="S162" s="2"/>
      <c r="T162" s="2"/>
      <c r="U162" s="2"/>
      <c r="V162" s="2"/>
      <c r="W162" s="2"/>
      <c r="X162" s="152"/>
      <c r="Y162" s="152"/>
      <c r="Z162" s="152"/>
      <c r="AA162" s="152"/>
      <c r="AB162" s="152"/>
      <c r="AC162" s="152"/>
      <c r="AD162" s="152"/>
      <c r="AE162" s="152"/>
      <c r="AF162" s="152"/>
      <c r="AG162" s="152"/>
      <c r="AH162" s="152"/>
      <c r="AI162" s="152"/>
    </row>
    <row r="163" spans="1:35" outlineLevel="1">
      <c r="A163" s="4"/>
      <c r="B163" s="4"/>
      <c r="C163" s="4"/>
      <c r="D163" s="4"/>
      <c r="E163" s="104">
        <f>Asset49</f>
        <v>0</v>
      </c>
      <c r="F163" s="153"/>
      <c r="G163" s="1337"/>
      <c r="H163" s="333"/>
      <c r="I163" s="333"/>
      <c r="J163" s="333"/>
      <c r="K163" s="333"/>
      <c r="L163" s="333"/>
      <c r="M163" s="333"/>
      <c r="N163" s="333"/>
      <c r="O163" s="333"/>
      <c r="P163" s="333"/>
      <c r="Q163" s="333"/>
      <c r="R163" s="355"/>
      <c r="S163" s="2"/>
      <c r="T163" s="2"/>
      <c r="U163" s="2"/>
      <c r="V163" s="2"/>
      <c r="W163" s="2"/>
      <c r="X163" s="152"/>
      <c r="Y163" s="152"/>
      <c r="Z163" s="152"/>
      <c r="AA163" s="152"/>
      <c r="AB163" s="152"/>
      <c r="AC163" s="152"/>
      <c r="AD163" s="152"/>
      <c r="AE163" s="152"/>
      <c r="AF163" s="152"/>
      <c r="AG163" s="152"/>
      <c r="AH163" s="152"/>
      <c r="AI163" s="152"/>
    </row>
    <row r="164" spans="1:35" outlineLevel="1">
      <c r="A164" s="4"/>
      <c r="B164" s="4"/>
      <c r="C164" s="4"/>
      <c r="D164" s="4"/>
      <c r="E164" s="104">
        <f>Asset50</f>
        <v>0</v>
      </c>
      <c r="F164" s="153"/>
      <c r="G164" s="1337"/>
      <c r="H164" s="333"/>
      <c r="I164" s="333"/>
      <c r="J164" s="333"/>
      <c r="K164" s="333"/>
      <c r="L164" s="333"/>
      <c r="M164" s="333"/>
      <c r="N164" s="333"/>
      <c r="O164" s="333"/>
      <c r="P164" s="333"/>
      <c r="Q164" s="333"/>
      <c r="R164" s="355"/>
      <c r="S164" s="2"/>
      <c r="T164" s="2"/>
      <c r="U164" s="2"/>
      <c r="V164" s="2"/>
      <c r="W164" s="2"/>
      <c r="X164" s="152"/>
      <c r="Y164" s="152"/>
      <c r="Z164" s="152"/>
      <c r="AA164" s="152"/>
      <c r="AB164" s="152"/>
      <c r="AC164" s="152"/>
      <c r="AD164" s="152"/>
      <c r="AE164" s="152"/>
      <c r="AF164" s="152"/>
      <c r="AG164" s="152"/>
      <c r="AH164" s="152"/>
      <c r="AI164" s="152"/>
    </row>
    <row r="165" spans="1:35">
      <c r="A165" s="4"/>
      <c r="B165" s="4"/>
      <c r="C165" s="4"/>
      <c r="D165" s="4"/>
      <c r="E165" s="104" t="s">
        <v>18</v>
      </c>
      <c r="F165" s="152"/>
      <c r="G165" s="150">
        <f>SUM(G115:G164)</f>
        <v>0</v>
      </c>
      <c r="H165" s="150">
        <f t="shared" ref="H165:Q165" si="3">SUM(H115:H164)</f>
        <v>2.8917999999999999E-2</v>
      </c>
      <c r="I165" s="150">
        <f t="shared" si="3"/>
        <v>0</v>
      </c>
      <c r="J165" s="150">
        <f t="shared" si="3"/>
        <v>0</v>
      </c>
      <c r="K165" s="150">
        <f t="shared" si="3"/>
        <v>0</v>
      </c>
      <c r="L165" s="150">
        <f t="shared" si="3"/>
        <v>0</v>
      </c>
      <c r="M165" s="150">
        <f t="shared" si="3"/>
        <v>0</v>
      </c>
      <c r="N165" s="150">
        <f t="shared" si="3"/>
        <v>0</v>
      </c>
      <c r="O165" s="150">
        <f t="shared" si="3"/>
        <v>0</v>
      </c>
      <c r="P165" s="150">
        <f t="shared" si="3"/>
        <v>0</v>
      </c>
      <c r="Q165" s="150">
        <f t="shared" si="3"/>
        <v>0</v>
      </c>
      <c r="R165" s="1338"/>
      <c r="S165" s="23"/>
      <c r="T165" s="23"/>
      <c r="U165" s="23"/>
      <c r="V165" s="23"/>
      <c r="W165" s="2"/>
      <c r="X165" s="384"/>
      <c r="Y165" s="382"/>
      <c r="Z165" s="382"/>
      <c r="AA165" s="383"/>
      <c r="AB165" s="152"/>
      <c r="AC165" s="152"/>
      <c r="AD165" s="152"/>
      <c r="AE165" s="152"/>
      <c r="AF165" s="152"/>
      <c r="AG165" s="152"/>
      <c r="AH165" s="152"/>
      <c r="AI165" s="152"/>
    </row>
    <row r="166" spans="1:35" ht="22.5" customHeight="1">
      <c r="A166" s="3"/>
      <c r="B166" s="3"/>
      <c r="C166" s="3"/>
      <c r="D166" s="3"/>
      <c r="E166" s="3"/>
      <c r="F166" s="3"/>
      <c r="G166" s="248"/>
      <c r="H166" s="248"/>
      <c r="I166" s="248"/>
      <c r="J166" s="248"/>
      <c r="K166" s="248"/>
      <c r="L166" s="248"/>
      <c r="M166" s="248"/>
      <c r="N166" s="248"/>
      <c r="O166" s="248"/>
      <c r="P166" s="248"/>
      <c r="Q166" s="248"/>
      <c r="R166" s="1341">
        <f>SUM(G165:Q165)</f>
        <v>2.8917999999999999E-2</v>
      </c>
      <c r="S166" s="3"/>
      <c r="T166" s="3"/>
      <c r="U166" s="3"/>
      <c r="V166" s="3"/>
      <c r="W166" s="2"/>
      <c r="X166" s="152"/>
      <c r="Y166" s="152"/>
      <c r="Z166" s="152"/>
      <c r="AA166" s="152"/>
      <c r="AB166" s="152"/>
      <c r="AC166" s="152"/>
      <c r="AD166" s="152"/>
      <c r="AE166" s="152"/>
      <c r="AF166" s="152"/>
      <c r="AG166" s="152"/>
      <c r="AH166" s="152"/>
      <c r="AI166" s="152"/>
    </row>
    <row r="167" spans="1:35" ht="15.75">
      <c r="A167" s="48"/>
      <c r="B167" s="48"/>
      <c r="C167" s="48"/>
      <c r="D167" s="48"/>
      <c r="E167" s="1581" t="s">
        <v>1134</v>
      </c>
      <c r="F167" s="1581"/>
      <c r="G167" s="1581"/>
      <c r="H167" s="98"/>
      <c r="I167" s="98"/>
      <c r="J167" s="51"/>
      <c r="K167" s="51"/>
      <c r="L167" s="49"/>
      <c r="M167" s="49"/>
      <c r="N167" s="49"/>
      <c r="O167" s="49"/>
      <c r="P167" s="49"/>
      <c r="Q167" s="49"/>
      <c r="R167" s="49"/>
      <c r="S167" s="49"/>
      <c r="T167" s="49"/>
      <c r="U167" s="49"/>
      <c r="V167" s="49"/>
      <c r="W167" s="2"/>
      <c r="X167" s="152"/>
      <c r="Y167" s="152"/>
      <c r="Z167" s="152"/>
      <c r="AA167" s="152"/>
      <c r="AB167" s="152"/>
      <c r="AC167" s="152"/>
      <c r="AD167" s="152"/>
      <c r="AE167" s="152"/>
      <c r="AF167" s="152"/>
      <c r="AG167" s="152"/>
      <c r="AH167" s="152"/>
      <c r="AI167" s="152"/>
    </row>
    <row r="168" spans="1:35">
      <c r="A168" s="4"/>
      <c r="B168" s="4"/>
      <c r="C168" s="4"/>
      <c r="D168" s="4"/>
      <c r="E168" s="24" t="s">
        <v>2</v>
      </c>
      <c r="F168" s="3"/>
      <c r="G168" s="1485" t="str">
        <f>G$60</f>
        <v>2015-16</v>
      </c>
      <c r="H168" s="120" t="str">
        <f t="shared" ref="H168:Q168" si="4">H$60</f>
        <v>2016-17</v>
      </c>
      <c r="I168" s="120" t="str">
        <f t="shared" si="4"/>
        <v>2017-18</v>
      </c>
      <c r="J168" s="120" t="str">
        <f t="shared" si="4"/>
        <v>2018-19</v>
      </c>
      <c r="K168" s="120" t="str">
        <f t="shared" si="4"/>
        <v>2019-20</v>
      </c>
      <c r="L168" s="120" t="str">
        <f t="shared" si="4"/>
        <v>2020-21</v>
      </c>
      <c r="M168" s="120" t="str">
        <f t="shared" si="4"/>
        <v>2021-22</v>
      </c>
      <c r="N168" s="120" t="str">
        <f t="shared" si="4"/>
        <v>2022-23</v>
      </c>
      <c r="O168" s="120" t="str">
        <f t="shared" si="4"/>
        <v>2023-24</v>
      </c>
      <c r="P168" s="120" t="str">
        <f t="shared" si="4"/>
        <v>2024-25</v>
      </c>
      <c r="Q168" s="120" t="str">
        <f t="shared" si="4"/>
        <v>2025-26</v>
      </c>
      <c r="R168" s="2"/>
      <c r="S168" s="2"/>
      <c r="T168" s="2"/>
      <c r="U168" s="2"/>
      <c r="V168" s="2"/>
      <c r="W168" s="2"/>
      <c r="X168" s="152"/>
      <c r="Y168" s="152"/>
      <c r="Z168" s="152"/>
      <c r="AA168" s="152"/>
      <c r="AB168" s="152"/>
      <c r="AC168" s="152"/>
      <c r="AD168" s="152"/>
      <c r="AE168" s="152"/>
      <c r="AF168" s="152"/>
      <c r="AG168" s="152"/>
      <c r="AH168" s="152"/>
      <c r="AI168" s="152"/>
    </row>
    <row r="169" spans="1:35" outlineLevel="1">
      <c r="A169" s="4"/>
      <c r="B169" s="4"/>
      <c r="C169" s="4"/>
      <c r="D169" s="4"/>
      <c r="E169" s="104" t="str">
        <f>Asset1</f>
        <v>Mains</v>
      </c>
      <c r="F169" s="3"/>
      <c r="G169" s="1481">
        <v>4.7848452442986869</v>
      </c>
      <c r="H169" s="1484">
        <v>5.3304649397848438</v>
      </c>
      <c r="I169" s="1484">
        <v>7.836442817692638</v>
      </c>
      <c r="J169" s="1484">
        <v>12.684411840734169</v>
      </c>
      <c r="K169" s="1484">
        <v>9.4207913718759517</v>
      </c>
      <c r="L169" s="1484">
        <v>3.4392883552586659</v>
      </c>
      <c r="M169" s="1484">
        <v>2.496130629572122</v>
      </c>
      <c r="N169" s="333">
        <v>2.3773501352371755</v>
      </c>
      <c r="O169" s="333"/>
      <c r="P169" s="333"/>
      <c r="Q169" s="333"/>
      <c r="R169" s="355"/>
      <c r="S169" s="2"/>
      <c r="T169" s="2"/>
      <c r="U169" s="2"/>
      <c r="V169" s="2"/>
      <c r="W169" s="2"/>
      <c r="X169" s="152"/>
      <c r="Y169" s="152"/>
      <c r="Z169" s="152"/>
      <c r="AA169" s="152"/>
      <c r="AB169" s="152"/>
      <c r="AC169" s="152"/>
      <c r="AD169" s="152"/>
      <c r="AE169" s="152"/>
      <c r="AF169" s="152"/>
      <c r="AG169" s="152"/>
      <c r="AH169" s="152"/>
      <c r="AI169" s="152"/>
    </row>
    <row r="170" spans="1:35" outlineLevel="1">
      <c r="A170" s="4"/>
      <c r="B170" s="4"/>
      <c r="C170" s="4"/>
      <c r="D170" s="4"/>
      <c r="E170" s="104" t="str">
        <f>Asset2</f>
        <v>Inlets</v>
      </c>
      <c r="F170" s="3"/>
      <c r="G170" s="1482"/>
      <c r="H170" s="333">
        <v>0</v>
      </c>
      <c r="I170" s="333">
        <v>0</v>
      </c>
      <c r="J170" s="333">
        <v>0</v>
      </c>
      <c r="K170" s="333">
        <v>0</v>
      </c>
      <c r="L170" s="333">
        <v>0</v>
      </c>
      <c r="M170" s="333">
        <v>1.440046E-2</v>
      </c>
      <c r="N170" s="333">
        <v>0</v>
      </c>
      <c r="O170" s="333"/>
      <c r="P170" s="333"/>
      <c r="Q170" s="333"/>
      <c r="R170" s="355"/>
      <c r="S170" s="2"/>
      <c r="T170" s="2"/>
      <c r="U170" s="2"/>
      <c r="V170" s="2"/>
      <c r="W170" s="2"/>
      <c r="X170" s="152"/>
      <c r="Y170" s="152"/>
      <c r="Z170" s="152"/>
      <c r="AA170" s="152"/>
      <c r="AB170" s="152"/>
      <c r="AC170" s="152"/>
      <c r="AD170" s="152"/>
      <c r="AE170" s="152"/>
      <c r="AF170" s="152"/>
      <c r="AG170" s="152"/>
      <c r="AH170" s="152"/>
      <c r="AI170" s="152"/>
    </row>
    <row r="171" spans="1:35" outlineLevel="1">
      <c r="A171" s="4"/>
      <c r="B171" s="4"/>
      <c r="C171" s="4"/>
      <c r="D171" s="4"/>
      <c r="E171" s="104" t="str">
        <f>Asset3</f>
        <v>Meters</v>
      </c>
      <c r="F171" s="3"/>
      <c r="G171" s="1482"/>
      <c r="H171" s="333">
        <v>0</v>
      </c>
      <c r="I171" s="333">
        <v>0</v>
      </c>
      <c r="J171" s="333">
        <v>0</v>
      </c>
      <c r="K171" s="333">
        <v>0</v>
      </c>
      <c r="L171" s="333">
        <v>5.9096346751235658E-2</v>
      </c>
      <c r="M171" s="333">
        <v>3.6468679999999899E-2</v>
      </c>
      <c r="N171" s="333">
        <v>1.1096300000000001E-3</v>
      </c>
      <c r="O171" s="333"/>
      <c r="P171" s="333"/>
      <c r="Q171" s="333"/>
      <c r="R171" s="355"/>
      <c r="S171" s="2"/>
      <c r="T171" s="2"/>
      <c r="U171" s="2"/>
      <c r="V171" s="2"/>
      <c r="W171" s="2"/>
      <c r="X171" s="152"/>
      <c r="Y171" s="152"/>
      <c r="Z171" s="152"/>
      <c r="AA171" s="152"/>
      <c r="AB171" s="152"/>
      <c r="AC171" s="152"/>
      <c r="AD171" s="152"/>
      <c r="AE171" s="152"/>
      <c r="AF171" s="152"/>
      <c r="AG171" s="152"/>
      <c r="AH171" s="152"/>
      <c r="AI171" s="152"/>
    </row>
    <row r="172" spans="1:35" outlineLevel="1">
      <c r="A172" s="4"/>
      <c r="B172" s="4"/>
      <c r="C172" s="4"/>
      <c r="D172" s="4"/>
      <c r="E172" s="104" t="str">
        <f>Asset4</f>
        <v>Telemetry</v>
      </c>
      <c r="F172" s="3"/>
      <c r="G172" s="1482"/>
      <c r="H172" s="333"/>
      <c r="I172" s="333"/>
      <c r="J172" s="333"/>
      <c r="K172" s="333"/>
      <c r="L172" s="333"/>
      <c r="M172" s="333"/>
      <c r="N172" s="333"/>
      <c r="O172" s="333"/>
      <c r="P172" s="333"/>
      <c r="Q172" s="333"/>
      <c r="R172" s="355"/>
      <c r="S172" s="2"/>
      <c r="T172" s="2"/>
      <c r="U172" s="2"/>
      <c r="V172" s="2"/>
      <c r="W172" s="2"/>
      <c r="X172" s="152"/>
      <c r="Y172" s="152"/>
      <c r="Z172" s="152"/>
      <c r="AA172" s="152"/>
      <c r="AB172" s="152"/>
      <c r="AC172" s="152"/>
      <c r="AD172" s="152"/>
      <c r="AE172" s="152"/>
      <c r="AF172" s="152"/>
      <c r="AG172" s="152"/>
      <c r="AH172" s="152"/>
      <c r="AI172" s="152"/>
    </row>
    <row r="173" spans="1:35" outlineLevel="1">
      <c r="A173" s="4"/>
      <c r="B173" s="4"/>
      <c r="C173" s="4"/>
      <c r="D173" s="4"/>
      <c r="E173" s="104" t="str">
        <f>Asset5</f>
        <v>IT System</v>
      </c>
      <c r="F173" s="3"/>
      <c r="G173" s="1482"/>
      <c r="H173" s="333"/>
      <c r="I173" s="333"/>
      <c r="J173" s="333"/>
      <c r="K173" s="333"/>
      <c r="L173" s="333"/>
      <c r="M173" s="333"/>
      <c r="N173" s="333"/>
      <c r="O173" s="333"/>
      <c r="P173" s="333"/>
      <c r="Q173" s="333"/>
      <c r="R173" s="355"/>
      <c r="S173" s="2"/>
      <c r="T173" s="2"/>
      <c r="U173" s="2"/>
      <c r="V173" s="2"/>
      <c r="W173" s="2"/>
      <c r="X173" s="152"/>
      <c r="Y173" s="152"/>
      <c r="Z173" s="152"/>
      <c r="AA173" s="152"/>
      <c r="AB173" s="152"/>
      <c r="AC173" s="152"/>
      <c r="AD173" s="152"/>
      <c r="AE173" s="152"/>
      <c r="AF173" s="152"/>
      <c r="AG173" s="152"/>
      <c r="AH173" s="152"/>
      <c r="AI173" s="152"/>
    </row>
    <row r="174" spans="1:35" outlineLevel="1">
      <c r="A174" s="4"/>
      <c r="B174" s="4"/>
      <c r="C174" s="4"/>
      <c r="D174" s="4"/>
      <c r="E174" s="104" t="str">
        <f>Asset6</f>
        <v>Other Distribution System Equipment</v>
      </c>
      <c r="F174" s="3"/>
      <c r="G174" s="1482"/>
      <c r="H174" s="333"/>
      <c r="I174" s="333"/>
      <c r="J174" s="333"/>
      <c r="K174" s="333"/>
      <c r="L174" s="333"/>
      <c r="M174" s="333"/>
      <c r="N174" s="333"/>
      <c r="O174" s="333"/>
      <c r="P174" s="333"/>
      <c r="Q174" s="333"/>
      <c r="R174" s="355"/>
      <c r="S174" s="2"/>
      <c r="T174" s="2"/>
      <c r="U174" s="2"/>
      <c r="V174" s="2"/>
      <c r="W174" s="2"/>
      <c r="X174" s="152"/>
      <c r="Y174" s="152"/>
      <c r="Z174" s="152"/>
      <c r="AA174" s="152"/>
      <c r="AB174" s="152"/>
      <c r="AC174" s="152"/>
      <c r="AD174" s="152"/>
      <c r="AE174" s="152"/>
      <c r="AF174" s="152"/>
      <c r="AG174" s="152"/>
      <c r="AH174" s="152"/>
      <c r="AI174" s="152"/>
    </row>
    <row r="175" spans="1:35" outlineLevel="1">
      <c r="A175" s="4"/>
      <c r="B175" s="4"/>
      <c r="C175" s="4"/>
      <c r="D175" s="4"/>
      <c r="E175" s="104" t="str">
        <f>Asset7</f>
        <v>Other</v>
      </c>
      <c r="F175" s="3"/>
      <c r="G175" s="1482"/>
      <c r="H175" s="333"/>
      <c r="I175" s="333"/>
      <c r="J175" s="333"/>
      <c r="K175" s="333"/>
      <c r="L175" s="333"/>
      <c r="M175" s="333"/>
      <c r="N175" s="333"/>
      <c r="O175" s="333"/>
      <c r="P175" s="333"/>
      <c r="Q175" s="333"/>
      <c r="R175" s="355"/>
      <c r="S175" s="2"/>
      <c r="T175" s="2"/>
      <c r="U175" s="2"/>
      <c r="V175" s="2"/>
      <c r="W175" s="2"/>
      <c r="X175" s="152"/>
      <c r="Y175" s="152"/>
      <c r="Z175" s="152"/>
      <c r="AA175" s="152"/>
      <c r="AB175" s="152"/>
      <c r="AC175" s="152"/>
      <c r="AD175" s="152"/>
      <c r="AE175" s="152"/>
      <c r="AF175" s="152"/>
      <c r="AG175" s="152"/>
      <c r="AH175" s="152"/>
      <c r="AI175" s="152"/>
    </row>
    <row r="176" spans="1:35" outlineLevel="1">
      <c r="A176" s="4"/>
      <c r="B176" s="4"/>
      <c r="C176" s="4"/>
      <c r="D176" s="4"/>
      <c r="E176" s="104">
        <f>Asset8</f>
        <v>0</v>
      </c>
      <c r="F176" s="3"/>
      <c r="G176" s="1482"/>
      <c r="H176" s="333"/>
      <c r="I176" s="333"/>
      <c r="J176" s="333"/>
      <c r="K176" s="333"/>
      <c r="L176" s="333"/>
      <c r="M176" s="333"/>
      <c r="N176" s="333"/>
      <c r="O176" s="333"/>
      <c r="P176" s="333"/>
      <c r="Q176" s="333"/>
      <c r="R176" s="355"/>
      <c r="S176" s="2"/>
      <c r="T176" s="2"/>
      <c r="U176" s="2"/>
      <c r="V176" s="2"/>
      <c r="W176" s="2"/>
      <c r="X176" s="152"/>
      <c r="Y176" s="152"/>
      <c r="Z176" s="152"/>
      <c r="AA176" s="152"/>
      <c r="AB176" s="152"/>
      <c r="AC176" s="152"/>
      <c r="AD176" s="152"/>
      <c r="AE176" s="152"/>
      <c r="AF176" s="152"/>
      <c r="AG176" s="152"/>
      <c r="AH176" s="152"/>
      <c r="AI176" s="152"/>
    </row>
    <row r="177" spans="1:35" outlineLevel="1">
      <c r="A177" s="4"/>
      <c r="B177" s="4"/>
      <c r="C177" s="4"/>
      <c r="D177" s="4"/>
      <c r="E177" s="104">
        <f>Asset9</f>
        <v>0</v>
      </c>
      <c r="F177" s="3"/>
      <c r="G177" s="1482"/>
      <c r="H177" s="333"/>
      <c r="I177" s="333"/>
      <c r="J177" s="333"/>
      <c r="K177" s="333"/>
      <c r="L177" s="333"/>
      <c r="M177" s="333"/>
      <c r="N177" s="333"/>
      <c r="O177" s="333"/>
      <c r="P177" s="333"/>
      <c r="Q177" s="333"/>
      <c r="R177" s="355"/>
      <c r="S177" s="2"/>
      <c r="T177" s="2"/>
      <c r="U177" s="2"/>
      <c r="V177" s="2"/>
      <c r="W177" s="2"/>
      <c r="X177" s="152"/>
      <c r="Y177" s="152"/>
      <c r="Z177" s="152"/>
      <c r="AA177" s="152"/>
      <c r="AB177" s="152"/>
      <c r="AC177" s="152"/>
      <c r="AD177" s="152"/>
      <c r="AE177" s="152"/>
      <c r="AF177" s="152"/>
      <c r="AG177" s="152"/>
      <c r="AH177" s="152"/>
      <c r="AI177" s="152"/>
    </row>
    <row r="178" spans="1:35" outlineLevel="1">
      <c r="A178" s="4"/>
      <c r="B178" s="4"/>
      <c r="C178" s="4"/>
      <c r="D178" s="4"/>
      <c r="E178" s="104">
        <f>Asset10</f>
        <v>0</v>
      </c>
      <c r="F178" s="3"/>
      <c r="G178" s="1482"/>
      <c r="H178" s="333"/>
      <c r="I178" s="333"/>
      <c r="J178" s="333"/>
      <c r="K178" s="333"/>
      <c r="L178" s="333"/>
      <c r="M178" s="333"/>
      <c r="N178" s="333"/>
      <c r="O178" s="333"/>
      <c r="P178" s="333"/>
      <c r="Q178" s="333"/>
      <c r="R178" s="355"/>
      <c r="S178" s="2"/>
      <c r="T178" s="2"/>
      <c r="U178" s="2"/>
      <c r="V178" s="2"/>
      <c r="W178" s="2"/>
      <c r="X178" s="152"/>
      <c r="Y178" s="152"/>
      <c r="Z178" s="152"/>
      <c r="AA178" s="152"/>
      <c r="AB178" s="152"/>
      <c r="AC178" s="152"/>
      <c r="AD178" s="152"/>
      <c r="AE178" s="152"/>
      <c r="AF178" s="152"/>
      <c r="AG178" s="152"/>
      <c r="AH178" s="152"/>
      <c r="AI178" s="152"/>
    </row>
    <row r="179" spans="1:35" outlineLevel="1">
      <c r="A179" s="4"/>
      <c r="B179" s="4"/>
      <c r="C179" s="4"/>
      <c r="D179" s="4"/>
      <c r="E179" s="104">
        <f>Asset11</f>
        <v>0</v>
      </c>
      <c r="F179" s="3"/>
      <c r="G179" s="1482"/>
      <c r="H179" s="333"/>
      <c r="I179" s="333"/>
      <c r="J179" s="333"/>
      <c r="K179" s="333"/>
      <c r="L179" s="333"/>
      <c r="M179" s="333"/>
      <c r="N179" s="333"/>
      <c r="O179" s="333"/>
      <c r="P179" s="333"/>
      <c r="Q179" s="333"/>
      <c r="R179" s="355"/>
      <c r="S179" s="2"/>
      <c r="T179" s="2"/>
      <c r="U179" s="2"/>
      <c r="V179" s="2"/>
      <c r="W179" s="2"/>
      <c r="X179" s="152"/>
      <c r="Y179" s="152"/>
      <c r="Z179" s="152"/>
      <c r="AA179" s="152"/>
      <c r="AB179" s="152"/>
      <c r="AC179" s="152"/>
      <c r="AD179" s="152"/>
      <c r="AE179" s="152"/>
      <c r="AF179" s="152"/>
      <c r="AG179" s="152"/>
      <c r="AH179" s="152"/>
      <c r="AI179" s="152"/>
    </row>
    <row r="180" spans="1:35" outlineLevel="1">
      <c r="A180" s="4"/>
      <c r="B180" s="4"/>
      <c r="C180" s="4"/>
      <c r="D180" s="4"/>
      <c r="E180" s="104">
        <f>Asset12</f>
        <v>0</v>
      </c>
      <c r="F180" s="3"/>
      <c r="G180" s="1482"/>
      <c r="H180" s="333"/>
      <c r="I180" s="333"/>
      <c r="J180" s="333"/>
      <c r="K180" s="333"/>
      <c r="L180" s="333"/>
      <c r="M180" s="333"/>
      <c r="N180" s="333"/>
      <c r="O180" s="333"/>
      <c r="P180" s="333"/>
      <c r="Q180" s="333"/>
      <c r="R180" s="355"/>
      <c r="S180" s="2"/>
      <c r="T180" s="2"/>
      <c r="U180" s="2"/>
      <c r="V180" s="2"/>
      <c r="W180" s="2"/>
      <c r="X180" s="152"/>
      <c r="Y180" s="152"/>
      <c r="Z180" s="152"/>
      <c r="AA180" s="152"/>
      <c r="AB180" s="152"/>
      <c r="AC180" s="152"/>
      <c r="AD180" s="152"/>
      <c r="AE180" s="152"/>
      <c r="AF180" s="152"/>
      <c r="AG180" s="152"/>
      <c r="AH180" s="152"/>
      <c r="AI180" s="152"/>
    </row>
    <row r="181" spans="1:35" outlineLevel="1">
      <c r="A181" s="4"/>
      <c r="B181" s="4"/>
      <c r="C181" s="4"/>
      <c r="D181" s="4"/>
      <c r="E181" s="104">
        <f>Asset13</f>
        <v>0</v>
      </c>
      <c r="F181" s="3"/>
      <c r="G181" s="1482"/>
      <c r="H181" s="333"/>
      <c r="I181" s="333"/>
      <c r="J181" s="333"/>
      <c r="K181" s="333"/>
      <c r="L181" s="333"/>
      <c r="M181" s="333"/>
      <c r="N181" s="333"/>
      <c r="O181" s="333"/>
      <c r="P181" s="333"/>
      <c r="Q181" s="333"/>
      <c r="R181" s="355"/>
      <c r="S181" s="2"/>
      <c r="T181" s="2"/>
      <c r="U181" s="2"/>
      <c r="V181" s="2"/>
      <c r="W181" s="2"/>
      <c r="X181" s="152"/>
      <c r="Y181" s="152"/>
      <c r="Z181" s="152"/>
      <c r="AA181" s="152"/>
      <c r="AB181" s="152"/>
      <c r="AC181" s="152"/>
      <c r="AD181" s="152"/>
      <c r="AE181" s="152"/>
      <c r="AF181" s="152"/>
      <c r="AG181" s="152"/>
      <c r="AH181" s="152"/>
      <c r="AI181" s="152"/>
    </row>
    <row r="182" spans="1:35" outlineLevel="1">
      <c r="A182" s="4"/>
      <c r="B182" s="4"/>
      <c r="C182" s="4"/>
      <c r="D182" s="4"/>
      <c r="E182" s="104">
        <f>Asset14</f>
        <v>0</v>
      </c>
      <c r="F182" s="3"/>
      <c r="G182" s="1482"/>
      <c r="H182" s="333"/>
      <c r="I182" s="333"/>
      <c r="J182" s="333"/>
      <c r="K182" s="333"/>
      <c r="L182" s="333"/>
      <c r="M182" s="333"/>
      <c r="N182" s="333"/>
      <c r="O182" s="333"/>
      <c r="P182" s="333"/>
      <c r="Q182" s="333"/>
      <c r="R182" s="355"/>
      <c r="S182" s="2"/>
      <c r="T182" s="2"/>
      <c r="U182" s="2"/>
      <c r="V182" s="2"/>
      <c r="W182" s="2"/>
      <c r="X182" s="152"/>
      <c r="Y182" s="152"/>
      <c r="Z182" s="152"/>
      <c r="AA182" s="152"/>
      <c r="AB182" s="152"/>
      <c r="AC182" s="152"/>
      <c r="AD182" s="152"/>
      <c r="AE182" s="152"/>
      <c r="AF182" s="152"/>
      <c r="AG182" s="152"/>
      <c r="AH182" s="152"/>
      <c r="AI182" s="152"/>
    </row>
    <row r="183" spans="1:35" outlineLevel="1">
      <c r="A183" s="4"/>
      <c r="B183" s="4"/>
      <c r="C183" s="4"/>
      <c r="D183" s="4"/>
      <c r="E183" s="104">
        <f>Asset15</f>
        <v>0</v>
      </c>
      <c r="F183" s="3"/>
      <c r="G183" s="1482"/>
      <c r="H183" s="333"/>
      <c r="I183" s="333"/>
      <c r="J183" s="333"/>
      <c r="K183" s="333"/>
      <c r="L183" s="333"/>
      <c r="M183" s="333"/>
      <c r="N183" s="333"/>
      <c r="O183" s="333"/>
      <c r="P183" s="333"/>
      <c r="Q183" s="333"/>
      <c r="R183" s="355"/>
      <c r="S183" s="2"/>
      <c r="T183" s="2"/>
      <c r="U183" s="2"/>
      <c r="V183" s="2"/>
      <c r="W183" s="2"/>
      <c r="X183" s="152"/>
      <c r="Y183" s="152"/>
      <c r="Z183" s="152"/>
      <c r="AA183" s="152"/>
      <c r="AB183" s="152"/>
      <c r="AC183" s="152"/>
      <c r="AD183" s="152"/>
      <c r="AE183" s="152"/>
      <c r="AF183" s="152"/>
      <c r="AG183" s="152"/>
      <c r="AH183" s="152"/>
      <c r="AI183" s="152"/>
    </row>
    <row r="184" spans="1:35" outlineLevel="1">
      <c r="A184" s="4"/>
      <c r="B184" s="4"/>
      <c r="C184" s="4"/>
      <c r="D184" s="4"/>
      <c r="E184" s="104">
        <f>Asset16</f>
        <v>0</v>
      </c>
      <c r="F184" s="3"/>
      <c r="G184" s="1482"/>
      <c r="H184" s="333"/>
      <c r="I184" s="333"/>
      <c r="J184" s="333"/>
      <c r="K184" s="333"/>
      <c r="L184" s="333"/>
      <c r="M184" s="333"/>
      <c r="N184" s="333"/>
      <c r="O184" s="333"/>
      <c r="P184" s="333"/>
      <c r="Q184" s="333"/>
      <c r="R184" s="355"/>
      <c r="S184" s="2"/>
      <c r="T184" s="2"/>
      <c r="U184" s="2"/>
      <c r="V184" s="2"/>
      <c r="W184" s="2"/>
      <c r="X184" s="152"/>
      <c r="Y184" s="152"/>
      <c r="Z184" s="152"/>
      <c r="AA184" s="152"/>
      <c r="AB184" s="152"/>
      <c r="AC184" s="152"/>
      <c r="AD184" s="152"/>
      <c r="AE184" s="152"/>
      <c r="AF184" s="152"/>
      <c r="AG184" s="152"/>
      <c r="AH184" s="152"/>
      <c r="AI184" s="152"/>
    </row>
    <row r="185" spans="1:35" outlineLevel="1">
      <c r="A185" s="4"/>
      <c r="B185" s="4"/>
      <c r="C185" s="4"/>
      <c r="D185" s="4"/>
      <c r="E185" s="104">
        <f>Asset17</f>
        <v>0</v>
      </c>
      <c r="F185" s="3"/>
      <c r="G185" s="1482"/>
      <c r="H185" s="333"/>
      <c r="I185" s="333"/>
      <c r="J185" s="333"/>
      <c r="K185" s="333"/>
      <c r="L185" s="333"/>
      <c r="M185" s="333"/>
      <c r="N185" s="333"/>
      <c r="O185" s="333"/>
      <c r="P185" s="333"/>
      <c r="Q185" s="333"/>
      <c r="R185" s="355"/>
      <c r="S185" s="2"/>
      <c r="T185" s="2"/>
      <c r="U185" s="2"/>
      <c r="V185" s="2"/>
      <c r="W185" s="2"/>
      <c r="X185" s="152"/>
      <c r="Y185" s="152"/>
      <c r="Z185" s="152"/>
      <c r="AA185" s="152"/>
      <c r="AB185" s="152"/>
      <c r="AC185" s="152"/>
      <c r="AD185" s="152"/>
      <c r="AE185" s="152"/>
      <c r="AF185" s="152"/>
      <c r="AG185" s="152"/>
      <c r="AH185" s="152"/>
      <c r="AI185" s="152"/>
    </row>
    <row r="186" spans="1:35" outlineLevel="1">
      <c r="A186" s="4"/>
      <c r="B186" s="4"/>
      <c r="C186" s="4"/>
      <c r="D186" s="4"/>
      <c r="E186" s="104">
        <f>Asset18</f>
        <v>0</v>
      </c>
      <c r="F186" s="3"/>
      <c r="G186" s="1482"/>
      <c r="H186" s="333"/>
      <c r="I186" s="333"/>
      <c r="J186" s="333"/>
      <c r="K186" s="333"/>
      <c r="L186" s="333"/>
      <c r="M186" s="333"/>
      <c r="N186" s="333"/>
      <c r="O186" s="333"/>
      <c r="P186" s="333"/>
      <c r="Q186" s="333"/>
      <c r="R186" s="355"/>
      <c r="S186" s="2"/>
      <c r="T186" s="2"/>
      <c r="U186" s="2"/>
      <c r="V186" s="2"/>
      <c r="W186" s="2"/>
      <c r="X186" s="152"/>
      <c r="Y186" s="152"/>
      <c r="Z186" s="152"/>
      <c r="AA186" s="152"/>
      <c r="AB186" s="152"/>
      <c r="AC186" s="152"/>
      <c r="AD186" s="152"/>
      <c r="AE186" s="152"/>
      <c r="AF186" s="152"/>
      <c r="AG186" s="152"/>
      <c r="AH186" s="152"/>
      <c r="AI186" s="152"/>
    </row>
    <row r="187" spans="1:35" outlineLevel="1">
      <c r="A187" s="4"/>
      <c r="B187" s="4"/>
      <c r="C187" s="4"/>
      <c r="D187" s="4"/>
      <c r="E187" s="104">
        <f>Asset19</f>
        <v>0</v>
      </c>
      <c r="F187" s="3"/>
      <c r="G187" s="1482"/>
      <c r="H187" s="333"/>
      <c r="I187" s="333"/>
      <c r="J187" s="333"/>
      <c r="K187" s="333"/>
      <c r="L187" s="333"/>
      <c r="M187" s="333"/>
      <c r="N187" s="333"/>
      <c r="O187" s="333"/>
      <c r="P187" s="333"/>
      <c r="Q187" s="333"/>
      <c r="R187" s="355"/>
      <c r="S187" s="2"/>
      <c r="T187" s="2"/>
      <c r="U187" s="2"/>
      <c r="V187" s="2"/>
      <c r="W187" s="2"/>
      <c r="X187" s="152"/>
      <c r="Y187" s="152"/>
      <c r="Z187" s="152"/>
      <c r="AA187" s="152"/>
      <c r="AB187" s="152"/>
      <c r="AC187" s="152"/>
      <c r="AD187" s="152"/>
      <c r="AE187" s="152"/>
      <c r="AF187" s="152"/>
      <c r="AG187" s="152"/>
      <c r="AH187" s="152"/>
      <c r="AI187" s="152"/>
    </row>
    <row r="188" spans="1:35" outlineLevel="1">
      <c r="A188" s="4"/>
      <c r="B188" s="4"/>
      <c r="C188" s="4"/>
      <c r="D188" s="4"/>
      <c r="E188" s="104">
        <f>Asset20</f>
        <v>0</v>
      </c>
      <c r="F188" s="3"/>
      <c r="G188" s="1482"/>
      <c r="H188" s="333"/>
      <c r="I188" s="333"/>
      <c r="J188" s="333"/>
      <c r="K188" s="333"/>
      <c r="L188" s="333"/>
      <c r="M188" s="333"/>
      <c r="N188" s="333"/>
      <c r="O188" s="333"/>
      <c r="P188" s="333"/>
      <c r="Q188" s="333"/>
      <c r="R188" s="355"/>
      <c r="S188" s="2"/>
      <c r="T188" s="2"/>
      <c r="U188" s="2"/>
      <c r="V188" s="2"/>
      <c r="W188" s="2"/>
      <c r="X188" s="152"/>
      <c r="Y188" s="152"/>
      <c r="Z188" s="152"/>
      <c r="AA188" s="152"/>
      <c r="AB188" s="152"/>
      <c r="AC188" s="152"/>
      <c r="AD188" s="152"/>
      <c r="AE188" s="152"/>
      <c r="AF188" s="152"/>
      <c r="AG188" s="152"/>
      <c r="AH188" s="152"/>
      <c r="AI188" s="152"/>
    </row>
    <row r="189" spans="1:35" outlineLevel="1">
      <c r="A189" s="4"/>
      <c r="B189" s="4"/>
      <c r="C189" s="4"/>
      <c r="D189" s="4"/>
      <c r="E189" s="104">
        <f>Asset21</f>
        <v>0</v>
      </c>
      <c r="F189" s="3"/>
      <c r="G189" s="1482"/>
      <c r="H189" s="333"/>
      <c r="I189" s="333"/>
      <c r="J189" s="333"/>
      <c r="K189" s="333"/>
      <c r="L189" s="333"/>
      <c r="M189" s="333"/>
      <c r="N189" s="333"/>
      <c r="O189" s="333"/>
      <c r="P189" s="333"/>
      <c r="Q189" s="333"/>
      <c r="R189" s="355"/>
      <c r="S189" s="2"/>
      <c r="T189" s="2"/>
      <c r="U189" s="2"/>
      <c r="V189" s="2"/>
      <c r="W189" s="2"/>
      <c r="X189" s="152"/>
      <c r="Y189" s="152"/>
      <c r="Z189" s="152"/>
      <c r="AA189" s="152"/>
      <c r="AB189" s="152"/>
      <c r="AC189" s="152"/>
      <c r="AD189" s="152"/>
      <c r="AE189" s="152"/>
      <c r="AF189" s="152"/>
      <c r="AG189" s="152"/>
      <c r="AH189" s="152"/>
      <c r="AI189" s="152"/>
    </row>
    <row r="190" spans="1:35" outlineLevel="1">
      <c r="A190" s="4"/>
      <c r="B190" s="4"/>
      <c r="C190" s="4"/>
      <c r="D190" s="4"/>
      <c r="E190" s="104">
        <f>Asset22</f>
        <v>0</v>
      </c>
      <c r="F190" s="3"/>
      <c r="G190" s="1482"/>
      <c r="H190" s="333"/>
      <c r="I190" s="333"/>
      <c r="J190" s="333"/>
      <c r="K190" s="333"/>
      <c r="L190" s="333"/>
      <c r="M190" s="333"/>
      <c r="N190" s="333"/>
      <c r="O190" s="333"/>
      <c r="P190" s="333"/>
      <c r="Q190" s="333"/>
      <c r="R190" s="355"/>
      <c r="S190" s="2"/>
      <c r="T190" s="2"/>
      <c r="U190" s="2"/>
      <c r="V190" s="2"/>
      <c r="W190" s="2"/>
      <c r="X190" s="152"/>
      <c r="Y190" s="152"/>
      <c r="Z190" s="152"/>
      <c r="AA190" s="152"/>
      <c r="AB190" s="152"/>
      <c r="AC190" s="152"/>
      <c r="AD190" s="152"/>
      <c r="AE190" s="152"/>
      <c r="AF190" s="152"/>
      <c r="AG190" s="152"/>
      <c r="AH190" s="152"/>
      <c r="AI190" s="152"/>
    </row>
    <row r="191" spans="1:35" outlineLevel="1">
      <c r="A191" s="4"/>
      <c r="B191" s="4"/>
      <c r="C191" s="4"/>
      <c r="D191" s="4"/>
      <c r="E191" s="104">
        <f>Asset23</f>
        <v>0</v>
      </c>
      <c r="F191" s="3"/>
      <c r="G191" s="1482"/>
      <c r="H191" s="333"/>
      <c r="I191" s="333"/>
      <c r="J191" s="333"/>
      <c r="K191" s="333"/>
      <c r="L191" s="333"/>
      <c r="M191" s="333"/>
      <c r="N191" s="333"/>
      <c r="O191" s="333"/>
      <c r="P191" s="333"/>
      <c r="Q191" s="333"/>
      <c r="R191" s="355"/>
      <c r="S191" s="2"/>
      <c r="T191" s="2"/>
      <c r="U191" s="2"/>
      <c r="V191" s="2"/>
      <c r="W191" s="2"/>
      <c r="X191" s="152"/>
      <c r="Y191" s="152"/>
      <c r="Z191" s="152"/>
      <c r="AA191" s="152"/>
      <c r="AB191" s="152"/>
      <c r="AC191" s="152"/>
      <c r="AD191" s="152"/>
      <c r="AE191" s="152"/>
      <c r="AF191" s="152"/>
      <c r="AG191" s="152"/>
      <c r="AH191" s="152"/>
      <c r="AI191" s="152"/>
    </row>
    <row r="192" spans="1:35" outlineLevel="1">
      <c r="A192" s="4"/>
      <c r="B192" s="4"/>
      <c r="C192" s="4"/>
      <c r="D192" s="4"/>
      <c r="E192" s="104">
        <f>Asset24</f>
        <v>0</v>
      </c>
      <c r="F192" s="3"/>
      <c r="G192" s="1482"/>
      <c r="H192" s="333"/>
      <c r="I192" s="333"/>
      <c r="J192" s="333"/>
      <c r="K192" s="333"/>
      <c r="L192" s="333"/>
      <c r="M192" s="333"/>
      <c r="N192" s="333"/>
      <c r="O192" s="333"/>
      <c r="P192" s="333"/>
      <c r="Q192" s="333"/>
      <c r="R192" s="355"/>
      <c r="S192" s="2"/>
      <c r="T192" s="2"/>
      <c r="U192" s="2"/>
      <c r="V192" s="2"/>
      <c r="W192" s="2"/>
      <c r="X192" s="152"/>
      <c r="Y192" s="152"/>
      <c r="Z192" s="152"/>
      <c r="AA192" s="152"/>
      <c r="AB192" s="152"/>
      <c r="AC192" s="152"/>
      <c r="AD192" s="152"/>
      <c r="AE192" s="152"/>
      <c r="AF192" s="152"/>
      <c r="AG192" s="152"/>
      <c r="AH192" s="152"/>
      <c r="AI192" s="152"/>
    </row>
    <row r="193" spans="1:35" outlineLevel="1">
      <c r="A193" s="4"/>
      <c r="B193" s="4"/>
      <c r="C193" s="4"/>
      <c r="D193" s="4"/>
      <c r="E193" s="104">
        <f>Asset25</f>
        <v>0</v>
      </c>
      <c r="F193" s="3"/>
      <c r="G193" s="1482"/>
      <c r="H193" s="333"/>
      <c r="I193" s="333"/>
      <c r="J193" s="333"/>
      <c r="K193" s="333"/>
      <c r="L193" s="333"/>
      <c r="M193" s="333"/>
      <c r="N193" s="333"/>
      <c r="O193" s="333"/>
      <c r="P193" s="333"/>
      <c r="Q193" s="333"/>
      <c r="R193" s="355"/>
      <c r="S193" s="2"/>
      <c r="T193" s="2"/>
      <c r="U193" s="2"/>
      <c r="V193" s="2"/>
      <c r="W193" s="2"/>
      <c r="X193" s="152"/>
      <c r="Y193" s="152"/>
      <c r="Z193" s="152"/>
      <c r="AA193" s="152"/>
      <c r="AB193" s="152"/>
      <c r="AC193" s="152"/>
      <c r="AD193" s="152"/>
      <c r="AE193" s="152"/>
      <c r="AF193" s="152"/>
      <c r="AG193" s="152"/>
      <c r="AH193" s="152"/>
      <c r="AI193" s="152"/>
    </row>
    <row r="194" spans="1:35" outlineLevel="1">
      <c r="A194" s="4"/>
      <c r="B194" s="4"/>
      <c r="C194" s="4"/>
      <c r="D194" s="4"/>
      <c r="E194" s="104">
        <f>Asset26</f>
        <v>0</v>
      </c>
      <c r="F194" s="3"/>
      <c r="G194" s="1482"/>
      <c r="H194" s="333"/>
      <c r="I194" s="333"/>
      <c r="J194" s="333"/>
      <c r="K194" s="333"/>
      <c r="L194" s="333"/>
      <c r="M194" s="333"/>
      <c r="N194" s="333"/>
      <c r="O194" s="333"/>
      <c r="P194" s="333"/>
      <c r="Q194" s="333"/>
      <c r="R194" s="355"/>
      <c r="S194" s="2"/>
      <c r="T194" s="2"/>
      <c r="U194" s="2"/>
      <c r="V194" s="2"/>
      <c r="W194" s="2"/>
      <c r="X194" s="152"/>
      <c r="Y194" s="152"/>
      <c r="Z194" s="152"/>
      <c r="AA194" s="152"/>
      <c r="AB194" s="152"/>
      <c r="AC194" s="152"/>
      <c r="AD194" s="152"/>
      <c r="AE194" s="152"/>
      <c r="AF194" s="152"/>
      <c r="AG194" s="152"/>
      <c r="AH194" s="152"/>
      <c r="AI194" s="152"/>
    </row>
    <row r="195" spans="1:35" outlineLevel="1">
      <c r="A195" s="4"/>
      <c r="B195" s="4"/>
      <c r="C195" s="4"/>
      <c r="D195" s="4"/>
      <c r="E195" s="104">
        <f>Asset27</f>
        <v>0</v>
      </c>
      <c r="F195" s="3"/>
      <c r="G195" s="1482"/>
      <c r="H195" s="333"/>
      <c r="I195" s="333"/>
      <c r="J195" s="333"/>
      <c r="K195" s="333"/>
      <c r="L195" s="333"/>
      <c r="M195" s="333"/>
      <c r="N195" s="333"/>
      <c r="O195" s="333"/>
      <c r="P195" s="333"/>
      <c r="Q195" s="333"/>
      <c r="R195" s="355"/>
      <c r="S195" s="2"/>
      <c r="T195" s="2"/>
      <c r="U195" s="2"/>
      <c r="V195" s="2"/>
      <c r="W195" s="2"/>
      <c r="X195" s="152"/>
      <c r="Y195" s="152"/>
      <c r="Z195" s="152"/>
      <c r="AA195" s="152"/>
      <c r="AB195" s="152"/>
      <c r="AC195" s="152"/>
      <c r="AD195" s="152"/>
      <c r="AE195" s="152"/>
      <c r="AF195" s="152"/>
      <c r="AG195" s="152"/>
      <c r="AH195" s="152"/>
      <c r="AI195" s="152"/>
    </row>
    <row r="196" spans="1:35" outlineLevel="1">
      <c r="A196" s="4"/>
      <c r="B196" s="4"/>
      <c r="C196" s="4"/>
      <c r="D196" s="4"/>
      <c r="E196" s="104">
        <f>Asset28</f>
        <v>0</v>
      </c>
      <c r="F196" s="3"/>
      <c r="G196" s="1482"/>
      <c r="H196" s="333"/>
      <c r="I196" s="333"/>
      <c r="J196" s="333"/>
      <c r="K196" s="333"/>
      <c r="L196" s="333"/>
      <c r="M196" s="333"/>
      <c r="N196" s="333"/>
      <c r="O196" s="333"/>
      <c r="P196" s="333"/>
      <c r="Q196" s="333"/>
      <c r="R196" s="355"/>
      <c r="S196" s="2"/>
      <c r="T196" s="2"/>
      <c r="U196" s="2"/>
      <c r="V196" s="2"/>
      <c r="W196" s="2"/>
      <c r="X196" s="152"/>
      <c r="Y196" s="152"/>
      <c r="Z196" s="152"/>
      <c r="AA196" s="152"/>
      <c r="AB196" s="152"/>
      <c r="AC196" s="152"/>
      <c r="AD196" s="152"/>
      <c r="AE196" s="152"/>
      <c r="AF196" s="152"/>
      <c r="AG196" s="152"/>
      <c r="AH196" s="152"/>
      <c r="AI196" s="152"/>
    </row>
    <row r="197" spans="1:35" outlineLevel="1">
      <c r="A197" s="4"/>
      <c r="B197" s="4"/>
      <c r="C197" s="4"/>
      <c r="D197" s="4"/>
      <c r="E197" s="104">
        <f>Asset29</f>
        <v>0</v>
      </c>
      <c r="F197" s="3"/>
      <c r="G197" s="1482"/>
      <c r="H197" s="333"/>
      <c r="I197" s="333"/>
      <c r="J197" s="333"/>
      <c r="K197" s="333"/>
      <c r="L197" s="333"/>
      <c r="M197" s="333"/>
      <c r="N197" s="333"/>
      <c r="O197" s="333"/>
      <c r="P197" s="333"/>
      <c r="Q197" s="333"/>
      <c r="R197" s="355"/>
      <c r="S197" s="2"/>
      <c r="T197" s="2"/>
      <c r="U197" s="2"/>
      <c r="V197" s="2"/>
      <c r="W197" s="2"/>
      <c r="X197" s="152"/>
      <c r="Y197" s="152"/>
      <c r="Z197" s="152"/>
      <c r="AA197" s="152"/>
      <c r="AB197" s="152"/>
      <c r="AC197" s="152"/>
      <c r="AD197" s="152"/>
      <c r="AE197" s="152"/>
      <c r="AF197" s="152"/>
      <c r="AG197" s="152"/>
      <c r="AH197" s="152"/>
      <c r="AI197" s="152"/>
    </row>
    <row r="198" spans="1:35" outlineLevel="1">
      <c r="A198" s="4"/>
      <c r="B198" s="4"/>
      <c r="C198" s="4"/>
      <c r="D198" s="4"/>
      <c r="E198" s="104">
        <f>Asset30</f>
        <v>0</v>
      </c>
      <c r="F198" s="3"/>
      <c r="G198" s="1482"/>
      <c r="H198" s="333"/>
      <c r="I198" s="333"/>
      <c r="J198" s="333"/>
      <c r="K198" s="333"/>
      <c r="L198" s="333"/>
      <c r="M198" s="333"/>
      <c r="N198" s="333"/>
      <c r="O198" s="333"/>
      <c r="P198" s="333"/>
      <c r="Q198" s="333"/>
      <c r="R198" s="355"/>
      <c r="S198" s="2"/>
      <c r="T198" s="2"/>
      <c r="U198" s="2"/>
      <c r="V198" s="2"/>
      <c r="W198" s="2"/>
      <c r="X198" s="152"/>
      <c r="Y198" s="152"/>
      <c r="Z198" s="152"/>
      <c r="AA198" s="152"/>
      <c r="AB198" s="152"/>
      <c r="AC198" s="152"/>
      <c r="AD198" s="152"/>
      <c r="AE198" s="152"/>
      <c r="AF198" s="152"/>
      <c r="AG198" s="152"/>
      <c r="AH198" s="152"/>
      <c r="AI198" s="152"/>
    </row>
    <row r="199" spans="1:35" outlineLevel="2">
      <c r="A199" s="4"/>
      <c r="B199" s="4"/>
      <c r="C199" s="4"/>
      <c r="D199" s="4"/>
      <c r="E199" s="104">
        <f>Asset31</f>
        <v>0</v>
      </c>
      <c r="F199" s="3"/>
      <c r="G199" s="1482"/>
      <c r="H199" s="333"/>
      <c r="I199" s="333"/>
      <c r="J199" s="333"/>
      <c r="K199" s="333"/>
      <c r="L199" s="333"/>
      <c r="M199" s="333"/>
      <c r="N199" s="333"/>
      <c r="O199" s="333"/>
      <c r="P199" s="333"/>
      <c r="Q199" s="333"/>
      <c r="R199" s="355"/>
      <c r="S199" s="2"/>
      <c r="T199" s="2"/>
      <c r="U199" s="2"/>
      <c r="V199" s="2"/>
      <c r="W199" s="2"/>
      <c r="X199" s="152"/>
      <c r="Y199" s="152"/>
      <c r="Z199" s="152"/>
      <c r="AA199" s="152"/>
      <c r="AB199" s="152"/>
      <c r="AC199" s="152"/>
      <c r="AD199" s="152"/>
      <c r="AE199" s="152"/>
      <c r="AF199" s="152"/>
      <c r="AG199" s="152"/>
      <c r="AH199" s="152"/>
      <c r="AI199" s="152"/>
    </row>
    <row r="200" spans="1:35" outlineLevel="2">
      <c r="A200" s="4"/>
      <c r="B200" s="4"/>
      <c r="C200" s="4"/>
      <c r="D200" s="4"/>
      <c r="E200" s="104">
        <f>Asset32</f>
        <v>0</v>
      </c>
      <c r="F200" s="3"/>
      <c r="G200" s="1482"/>
      <c r="H200" s="333"/>
      <c r="I200" s="333"/>
      <c r="J200" s="333"/>
      <c r="K200" s="333"/>
      <c r="L200" s="333"/>
      <c r="M200" s="333"/>
      <c r="N200" s="333"/>
      <c r="O200" s="333"/>
      <c r="P200" s="333"/>
      <c r="Q200" s="333"/>
      <c r="R200" s="355"/>
      <c r="S200" s="2"/>
      <c r="T200" s="2"/>
      <c r="U200" s="2"/>
      <c r="V200" s="2"/>
      <c r="W200" s="2"/>
      <c r="X200" s="152"/>
      <c r="Y200" s="152"/>
      <c r="Z200" s="152"/>
      <c r="AA200" s="152"/>
      <c r="AB200" s="152"/>
      <c r="AC200" s="152"/>
      <c r="AD200" s="152"/>
      <c r="AE200" s="152"/>
      <c r="AF200" s="152"/>
      <c r="AG200" s="152"/>
      <c r="AH200" s="152"/>
      <c r="AI200" s="152"/>
    </row>
    <row r="201" spans="1:35" outlineLevel="2">
      <c r="A201" s="4"/>
      <c r="B201" s="4"/>
      <c r="C201" s="4"/>
      <c r="D201" s="4"/>
      <c r="E201" s="104">
        <f>Asset33</f>
        <v>0</v>
      </c>
      <c r="F201" s="3"/>
      <c r="G201" s="1482"/>
      <c r="H201" s="333"/>
      <c r="I201" s="333"/>
      <c r="J201" s="333"/>
      <c r="K201" s="333"/>
      <c r="L201" s="333"/>
      <c r="M201" s="333"/>
      <c r="N201" s="333"/>
      <c r="O201" s="333"/>
      <c r="P201" s="333"/>
      <c r="Q201" s="333"/>
      <c r="R201" s="355"/>
      <c r="S201" s="2"/>
      <c r="T201" s="2"/>
      <c r="U201" s="2"/>
      <c r="V201" s="2"/>
      <c r="W201" s="2"/>
      <c r="X201" s="152"/>
      <c r="Y201" s="152"/>
      <c r="Z201" s="152"/>
      <c r="AA201" s="152"/>
      <c r="AB201" s="152"/>
      <c r="AC201" s="152"/>
      <c r="AD201" s="152"/>
      <c r="AE201" s="152"/>
      <c r="AF201" s="152"/>
      <c r="AG201" s="152"/>
      <c r="AH201" s="152"/>
      <c r="AI201" s="152"/>
    </row>
    <row r="202" spans="1:35" outlineLevel="2">
      <c r="A202" s="4"/>
      <c r="B202" s="4"/>
      <c r="C202" s="4"/>
      <c r="D202" s="4"/>
      <c r="E202" s="104">
        <f>Asset34</f>
        <v>0</v>
      </c>
      <c r="F202" s="3"/>
      <c r="G202" s="1482"/>
      <c r="H202" s="333"/>
      <c r="I202" s="333"/>
      <c r="J202" s="333"/>
      <c r="K202" s="333"/>
      <c r="L202" s="333"/>
      <c r="M202" s="333"/>
      <c r="N202" s="333"/>
      <c r="O202" s="333"/>
      <c r="P202" s="333"/>
      <c r="Q202" s="333"/>
      <c r="R202" s="355"/>
      <c r="S202" s="2"/>
      <c r="T202" s="2"/>
      <c r="U202" s="2"/>
      <c r="V202" s="2"/>
      <c r="W202" s="2"/>
      <c r="X202" s="152"/>
      <c r="Y202" s="152"/>
      <c r="Z202" s="152"/>
      <c r="AA202" s="152"/>
      <c r="AB202" s="152"/>
      <c r="AC202" s="152"/>
      <c r="AD202" s="152"/>
      <c r="AE202" s="152"/>
      <c r="AF202" s="152"/>
      <c r="AG202" s="152"/>
      <c r="AH202" s="152"/>
      <c r="AI202" s="152"/>
    </row>
    <row r="203" spans="1:35" outlineLevel="2">
      <c r="A203" s="4"/>
      <c r="B203" s="4"/>
      <c r="C203" s="4"/>
      <c r="D203" s="4"/>
      <c r="E203" s="104">
        <f>Asset35</f>
        <v>0</v>
      </c>
      <c r="F203" s="3"/>
      <c r="G203" s="1482"/>
      <c r="H203" s="333"/>
      <c r="I203" s="333"/>
      <c r="J203" s="333"/>
      <c r="K203" s="333"/>
      <c r="L203" s="333"/>
      <c r="M203" s="333"/>
      <c r="N203" s="333"/>
      <c r="O203" s="333"/>
      <c r="P203" s="333"/>
      <c r="Q203" s="333"/>
      <c r="R203" s="355"/>
      <c r="S203" s="2"/>
      <c r="T203" s="2"/>
      <c r="U203" s="2"/>
      <c r="V203" s="2"/>
      <c r="W203" s="2"/>
      <c r="X203" s="152"/>
      <c r="Y203" s="152"/>
      <c r="Z203" s="152"/>
      <c r="AA203" s="152"/>
      <c r="AB203" s="152"/>
      <c r="AC203" s="152"/>
      <c r="AD203" s="152"/>
      <c r="AE203" s="152"/>
      <c r="AF203" s="152"/>
      <c r="AG203" s="152"/>
      <c r="AH203" s="152"/>
      <c r="AI203" s="152"/>
    </row>
    <row r="204" spans="1:35" outlineLevel="2">
      <c r="A204" s="4"/>
      <c r="B204" s="4"/>
      <c r="C204" s="4"/>
      <c r="D204" s="4"/>
      <c r="E204" s="104">
        <f>Asset36</f>
        <v>0</v>
      </c>
      <c r="F204" s="3"/>
      <c r="G204" s="1482"/>
      <c r="H204" s="333"/>
      <c r="I204" s="333"/>
      <c r="J204" s="333"/>
      <c r="K204" s="333"/>
      <c r="L204" s="333"/>
      <c r="M204" s="333"/>
      <c r="N204" s="333"/>
      <c r="O204" s="333"/>
      <c r="P204" s="333"/>
      <c r="Q204" s="333"/>
      <c r="R204" s="355"/>
      <c r="S204" s="2"/>
      <c r="T204" s="2"/>
      <c r="U204" s="2"/>
      <c r="V204" s="2"/>
      <c r="W204" s="2"/>
      <c r="X204" s="152"/>
      <c r="Y204" s="152"/>
      <c r="Z204" s="152"/>
      <c r="AA204" s="152"/>
      <c r="AB204" s="152"/>
      <c r="AC204" s="152"/>
      <c r="AD204" s="152"/>
      <c r="AE204" s="152"/>
      <c r="AF204" s="152"/>
      <c r="AG204" s="152"/>
      <c r="AH204" s="152"/>
      <c r="AI204" s="152"/>
    </row>
    <row r="205" spans="1:35" outlineLevel="2">
      <c r="A205" s="4"/>
      <c r="B205" s="4"/>
      <c r="C205" s="4"/>
      <c r="D205" s="4"/>
      <c r="E205" s="104">
        <f>Asset37</f>
        <v>0</v>
      </c>
      <c r="F205" s="3"/>
      <c r="G205" s="1482"/>
      <c r="H205" s="333"/>
      <c r="I205" s="333"/>
      <c r="J205" s="333"/>
      <c r="K205" s="333"/>
      <c r="L205" s="333"/>
      <c r="M205" s="333"/>
      <c r="N205" s="333"/>
      <c r="O205" s="333"/>
      <c r="P205" s="333"/>
      <c r="Q205" s="333"/>
      <c r="R205" s="355"/>
      <c r="S205" s="2"/>
      <c r="T205" s="2"/>
      <c r="U205" s="2"/>
      <c r="V205" s="2"/>
      <c r="W205" s="2"/>
      <c r="X205" s="152"/>
      <c r="Y205" s="152"/>
      <c r="Z205" s="152"/>
      <c r="AA205" s="152"/>
      <c r="AB205" s="152"/>
      <c r="AC205" s="152"/>
      <c r="AD205" s="152"/>
      <c r="AE205" s="152"/>
      <c r="AF205" s="152"/>
      <c r="AG205" s="152"/>
      <c r="AH205" s="152"/>
      <c r="AI205" s="152"/>
    </row>
    <row r="206" spans="1:35" outlineLevel="2">
      <c r="A206" s="4"/>
      <c r="B206" s="4"/>
      <c r="C206" s="4"/>
      <c r="D206" s="4"/>
      <c r="E206" s="104">
        <f>Asset38</f>
        <v>0</v>
      </c>
      <c r="F206" s="3"/>
      <c r="G206" s="1482"/>
      <c r="H206" s="333"/>
      <c r="I206" s="333"/>
      <c r="J206" s="333"/>
      <c r="K206" s="333"/>
      <c r="L206" s="333"/>
      <c r="M206" s="333"/>
      <c r="N206" s="333"/>
      <c r="O206" s="333"/>
      <c r="P206" s="333"/>
      <c r="Q206" s="333"/>
      <c r="R206" s="355"/>
      <c r="S206" s="2"/>
      <c r="T206" s="2"/>
      <c r="U206" s="2"/>
      <c r="V206" s="2"/>
      <c r="W206" s="2"/>
      <c r="X206" s="152"/>
      <c r="Y206" s="152"/>
      <c r="Z206" s="152"/>
      <c r="AA206" s="152"/>
      <c r="AB206" s="152"/>
      <c r="AC206" s="152"/>
      <c r="AD206" s="152"/>
      <c r="AE206" s="152"/>
      <c r="AF206" s="152"/>
      <c r="AG206" s="152"/>
      <c r="AH206" s="152"/>
      <c r="AI206" s="152"/>
    </row>
    <row r="207" spans="1:35" outlineLevel="2">
      <c r="A207" s="4"/>
      <c r="B207" s="4"/>
      <c r="C207" s="4"/>
      <c r="D207" s="4"/>
      <c r="E207" s="104">
        <f>Asset39</f>
        <v>0</v>
      </c>
      <c r="F207" s="3"/>
      <c r="G207" s="1482"/>
      <c r="H207" s="333"/>
      <c r="I207" s="333"/>
      <c r="J207" s="333"/>
      <c r="K207" s="333"/>
      <c r="L207" s="333"/>
      <c r="M207" s="333"/>
      <c r="N207" s="333"/>
      <c r="O207" s="333"/>
      <c r="P207" s="333"/>
      <c r="Q207" s="333"/>
      <c r="R207" s="355"/>
      <c r="S207" s="2"/>
      <c r="T207" s="2"/>
      <c r="U207" s="2"/>
      <c r="V207" s="2"/>
      <c r="W207" s="2"/>
      <c r="X207" s="152"/>
      <c r="Y207" s="152"/>
      <c r="Z207" s="152"/>
      <c r="AA207" s="152"/>
      <c r="AB207" s="152"/>
      <c r="AC207" s="152"/>
      <c r="AD207" s="152"/>
      <c r="AE207" s="152"/>
      <c r="AF207" s="152"/>
      <c r="AG207" s="152"/>
      <c r="AH207" s="152"/>
      <c r="AI207" s="152"/>
    </row>
    <row r="208" spans="1:35" outlineLevel="2">
      <c r="A208" s="4"/>
      <c r="B208" s="4"/>
      <c r="C208" s="4"/>
      <c r="D208" s="4"/>
      <c r="E208" s="104">
        <f>Asset40</f>
        <v>0</v>
      </c>
      <c r="F208" s="3"/>
      <c r="G208" s="1482"/>
      <c r="H208" s="333"/>
      <c r="I208" s="333"/>
      <c r="J208" s="333"/>
      <c r="K208" s="333"/>
      <c r="L208" s="333"/>
      <c r="M208" s="333"/>
      <c r="N208" s="333"/>
      <c r="O208" s="333"/>
      <c r="P208" s="333"/>
      <c r="Q208" s="333"/>
      <c r="R208" s="355"/>
      <c r="S208" s="2"/>
      <c r="T208" s="2"/>
      <c r="U208" s="2"/>
      <c r="V208" s="2"/>
      <c r="W208" s="2"/>
      <c r="X208" s="152"/>
      <c r="Y208" s="152"/>
      <c r="Z208" s="152"/>
      <c r="AA208" s="152"/>
      <c r="AB208" s="152"/>
      <c r="AC208" s="152"/>
      <c r="AD208" s="152"/>
      <c r="AE208" s="152"/>
      <c r="AF208" s="152"/>
      <c r="AG208" s="152"/>
      <c r="AH208" s="152"/>
      <c r="AI208" s="152"/>
    </row>
    <row r="209" spans="1:35" outlineLevel="2">
      <c r="A209" s="4"/>
      <c r="B209" s="4"/>
      <c r="C209" s="4"/>
      <c r="D209" s="4"/>
      <c r="E209" s="104">
        <f>Asset41</f>
        <v>0</v>
      </c>
      <c r="F209" s="3"/>
      <c r="G209" s="1482"/>
      <c r="H209" s="333"/>
      <c r="I209" s="333"/>
      <c r="J209" s="333"/>
      <c r="K209" s="333"/>
      <c r="L209" s="333"/>
      <c r="M209" s="333"/>
      <c r="N209" s="333"/>
      <c r="O209" s="333"/>
      <c r="P209" s="333"/>
      <c r="Q209" s="333"/>
      <c r="R209" s="355"/>
      <c r="S209" s="2"/>
      <c r="T209" s="2"/>
      <c r="U209" s="2"/>
      <c r="V209" s="2"/>
      <c r="W209" s="2"/>
      <c r="X209" s="152"/>
      <c r="Y209" s="152"/>
      <c r="Z209" s="152"/>
      <c r="AA209" s="152"/>
      <c r="AB209" s="152"/>
      <c r="AC209" s="152"/>
      <c r="AD209" s="152"/>
      <c r="AE209" s="152"/>
      <c r="AF209" s="152"/>
      <c r="AG209" s="152"/>
      <c r="AH209" s="152"/>
      <c r="AI209" s="152"/>
    </row>
    <row r="210" spans="1:35" outlineLevel="2">
      <c r="A210" s="4"/>
      <c r="B210" s="4"/>
      <c r="C210" s="4"/>
      <c r="D210" s="4"/>
      <c r="E210" s="104">
        <f>Asset42</f>
        <v>0</v>
      </c>
      <c r="F210" s="3"/>
      <c r="G210" s="1482"/>
      <c r="H210" s="333"/>
      <c r="I210" s="333"/>
      <c r="J210" s="333"/>
      <c r="K210" s="333"/>
      <c r="L210" s="333"/>
      <c r="M210" s="333"/>
      <c r="N210" s="333"/>
      <c r="O210" s="333"/>
      <c r="P210" s="333"/>
      <c r="Q210" s="333"/>
      <c r="R210" s="355"/>
      <c r="S210" s="2"/>
      <c r="T210" s="2"/>
      <c r="U210" s="2"/>
      <c r="V210" s="2"/>
      <c r="W210" s="2"/>
      <c r="X210" s="152"/>
      <c r="Y210" s="152"/>
      <c r="Z210" s="152"/>
      <c r="AA210" s="152"/>
      <c r="AB210" s="152"/>
      <c r="AC210" s="152"/>
      <c r="AD210" s="152"/>
      <c r="AE210" s="152"/>
      <c r="AF210" s="152"/>
      <c r="AG210" s="152"/>
      <c r="AH210" s="152"/>
      <c r="AI210" s="152"/>
    </row>
    <row r="211" spans="1:35" outlineLevel="2">
      <c r="A211" s="4"/>
      <c r="B211" s="4"/>
      <c r="C211" s="4"/>
      <c r="D211" s="4"/>
      <c r="E211" s="104">
        <f>Asset43</f>
        <v>0</v>
      </c>
      <c r="F211" s="3"/>
      <c r="G211" s="1482"/>
      <c r="H211" s="333"/>
      <c r="I211" s="333"/>
      <c r="J211" s="333"/>
      <c r="K211" s="333"/>
      <c r="L211" s="333"/>
      <c r="M211" s="333"/>
      <c r="N211" s="333"/>
      <c r="O211" s="333"/>
      <c r="P211" s="333"/>
      <c r="Q211" s="333"/>
      <c r="R211" s="355"/>
      <c r="S211" s="2"/>
      <c r="T211" s="2"/>
      <c r="U211" s="2"/>
      <c r="V211" s="2"/>
      <c r="W211" s="2"/>
      <c r="X211" s="152"/>
      <c r="Y211" s="152"/>
      <c r="Z211" s="152"/>
      <c r="AA211" s="152"/>
      <c r="AB211" s="152"/>
      <c r="AC211" s="152"/>
      <c r="AD211" s="152"/>
      <c r="AE211" s="152"/>
      <c r="AF211" s="152"/>
      <c r="AG211" s="152"/>
      <c r="AH211" s="152"/>
      <c r="AI211" s="152"/>
    </row>
    <row r="212" spans="1:35" outlineLevel="2">
      <c r="A212" s="4"/>
      <c r="B212" s="4"/>
      <c r="C212" s="4"/>
      <c r="D212" s="4"/>
      <c r="E212" s="104">
        <f>Asset44</f>
        <v>0</v>
      </c>
      <c r="F212" s="3"/>
      <c r="G212" s="1482"/>
      <c r="H212" s="333"/>
      <c r="I212" s="333"/>
      <c r="J212" s="333"/>
      <c r="K212" s="333"/>
      <c r="L212" s="333"/>
      <c r="M212" s="333"/>
      <c r="N212" s="333"/>
      <c r="O212" s="333"/>
      <c r="P212" s="333"/>
      <c r="Q212" s="333"/>
      <c r="R212" s="355"/>
      <c r="S212" s="2"/>
      <c r="T212" s="2"/>
      <c r="U212" s="2"/>
      <c r="V212" s="2"/>
      <c r="W212" s="2"/>
      <c r="X212" s="152"/>
      <c r="Y212" s="152"/>
      <c r="Z212" s="152"/>
      <c r="AA212" s="152"/>
      <c r="AB212" s="152"/>
      <c r="AC212" s="152"/>
      <c r="AD212" s="152"/>
      <c r="AE212" s="152"/>
      <c r="AF212" s="152"/>
      <c r="AG212" s="152"/>
      <c r="AH212" s="152"/>
      <c r="AI212" s="152"/>
    </row>
    <row r="213" spans="1:35" outlineLevel="2">
      <c r="A213" s="4"/>
      <c r="B213" s="4"/>
      <c r="C213" s="4"/>
      <c r="D213" s="4"/>
      <c r="E213" s="104">
        <f>Asset45</f>
        <v>0</v>
      </c>
      <c r="F213" s="3"/>
      <c r="G213" s="1482"/>
      <c r="H213" s="333"/>
      <c r="I213" s="333"/>
      <c r="J213" s="333"/>
      <c r="K213" s="333"/>
      <c r="L213" s="333"/>
      <c r="M213" s="333"/>
      <c r="N213" s="333"/>
      <c r="O213" s="333"/>
      <c r="P213" s="333"/>
      <c r="Q213" s="333"/>
      <c r="R213" s="355"/>
      <c r="S213" s="2"/>
      <c r="T213" s="2"/>
      <c r="U213" s="2"/>
      <c r="V213" s="2"/>
      <c r="W213" s="2"/>
      <c r="X213" s="152"/>
      <c r="Y213" s="152"/>
      <c r="Z213" s="152"/>
      <c r="AA213" s="152"/>
      <c r="AB213" s="152"/>
      <c r="AC213" s="152"/>
      <c r="AD213" s="152"/>
      <c r="AE213" s="152"/>
      <c r="AF213" s="152"/>
      <c r="AG213" s="152"/>
      <c r="AH213" s="152"/>
      <c r="AI213" s="152"/>
    </row>
    <row r="214" spans="1:35" outlineLevel="2">
      <c r="A214" s="4"/>
      <c r="B214" s="4"/>
      <c r="C214" s="4"/>
      <c r="D214" s="4"/>
      <c r="E214" s="104">
        <f>Asset46</f>
        <v>0</v>
      </c>
      <c r="F214" s="3"/>
      <c r="G214" s="1482"/>
      <c r="H214" s="333"/>
      <c r="I214" s="333"/>
      <c r="J214" s="333"/>
      <c r="K214" s="333"/>
      <c r="L214" s="333"/>
      <c r="M214" s="333"/>
      <c r="N214" s="333"/>
      <c r="O214" s="333"/>
      <c r="P214" s="333"/>
      <c r="Q214" s="333"/>
      <c r="R214" s="355"/>
      <c r="S214" s="2"/>
      <c r="T214" s="2"/>
      <c r="U214" s="2"/>
      <c r="V214" s="2"/>
      <c r="W214" s="2"/>
      <c r="X214" s="152"/>
      <c r="Y214" s="152"/>
      <c r="Z214" s="152"/>
      <c r="AA214" s="152"/>
      <c r="AB214" s="152"/>
      <c r="AC214" s="152"/>
      <c r="AD214" s="152"/>
      <c r="AE214" s="152"/>
      <c r="AF214" s="152"/>
      <c r="AG214" s="152"/>
      <c r="AH214" s="152"/>
      <c r="AI214" s="152"/>
    </row>
    <row r="215" spans="1:35" outlineLevel="1">
      <c r="A215" s="4"/>
      <c r="B215" s="4"/>
      <c r="C215" s="4"/>
      <c r="D215" s="4"/>
      <c r="E215" s="104">
        <f>Asset47</f>
        <v>0</v>
      </c>
      <c r="F215" s="3"/>
      <c r="G215" s="1482"/>
      <c r="H215" s="333"/>
      <c r="I215" s="333"/>
      <c r="J215" s="333"/>
      <c r="K215" s="333"/>
      <c r="L215" s="333"/>
      <c r="M215" s="333"/>
      <c r="N215" s="333"/>
      <c r="O215" s="333"/>
      <c r="P215" s="333"/>
      <c r="Q215" s="333"/>
      <c r="R215" s="355"/>
      <c r="S215" s="2"/>
      <c r="T215" s="2"/>
      <c r="U215" s="2"/>
      <c r="V215" s="2"/>
      <c r="W215" s="2"/>
      <c r="X215" s="152"/>
      <c r="Y215" s="152"/>
      <c r="Z215" s="152"/>
      <c r="AA215" s="152"/>
      <c r="AB215" s="152"/>
      <c r="AC215" s="152"/>
      <c r="AD215" s="152"/>
      <c r="AE215" s="152"/>
      <c r="AF215" s="152"/>
      <c r="AG215" s="152"/>
      <c r="AH215" s="152"/>
      <c r="AI215" s="152"/>
    </row>
    <row r="216" spans="1:35" outlineLevel="1">
      <c r="A216" s="4"/>
      <c r="B216" s="4"/>
      <c r="C216" s="4"/>
      <c r="D216" s="4"/>
      <c r="E216" s="104">
        <f>Asset48</f>
        <v>0</v>
      </c>
      <c r="F216" s="3"/>
      <c r="G216" s="1482"/>
      <c r="H216" s="333"/>
      <c r="I216" s="333"/>
      <c r="J216" s="333"/>
      <c r="K216" s="333"/>
      <c r="L216" s="333"/>
      <c r="M216" s="333"/>
      <c r="N216" s="333"/>
      <c r="O216" s="333"/>
      <c r="P216" s="333"/>
      <c r="Q216" s="333"/>
      <c r="R216" s="355"/>
      <c r="S216" s="2"/>
      <c r="T216" s="2"/>
      <c r="U216" s="2"/>
      <c r="V216" s="2"/>
      <c r="W216" s="2"/>
      <c r="X216" s="152"/>
      <c r="Y216" s="152"/>
      <c r="Z216" s="152"/>
      <c r="AA216" s="152"/>
      <c r="AB216" s="152"/>
      <c r="AC216" s="152"/>
      <c r="AD216" s="152"/>
      <c r="AE216" s="152"/>
      <c r="AF216" s="152"/>
      <c r="AG216" s="152"/>
      <c r="AH216" s="152"/>
      <c r="AI216" s="152"/>
    </row>
    <row r="217" spans="1:35" outlineLevel="1">
      <c r="A217" s="4"/>
      <c r="B217" s="4"/>
      <c r="C217" s="4"/>
      <c r="D217" s="4"/>
      <c r="E217" s="104">
        <f>Asset49</f>
        <v>0</v>
      </c>
      <c r="F217" s="3"/>
      <c r="G217" s="1482"/>
      <c r="H217" s="333"/>
      <c r="I217" s="333"/>
      <c r="J217" s="333"/>
      <c r="K217" s="333"/>
      <c r="L217" s="333"/>
      <c r="M217" s="333"/>
      <c r="N217" s="333"/>
      <c r="O217" s="333"/>
      <c r="P217" s="333"/>
      <c r="Q217" s="333"/>
      <c r="R217" s="355"/>
      <c r="S217" s="2"/>
      <c r="T217" s="2"/>
      <c r="U217" s="2"/>
      <c r="V217" s="2"/>
      <c r="W217" s="2"/>
      <c r="X217" s="152"/>
      <c r="Y217" s="152"/>
      <c r="Z217" s="152"/>
      <c r="AA217" s="152"/>
      <c r="AB217" s="152"/>
      <c r="AC217" s="152"/>
      <c r="AD217" s="152"/>
      <c r="AE217" s="152"/>
      <c r="AF217" s="152"/>
      <c r="AG217" s="152"/>
      <c r="AH217" s="152"/>
      <c r="AI217" s="152"/>
    </row>
    <row r="218" spans="1:35" outlineLevel="1">
      <c r="A218" s="4"/>
      <c r="B218" s="4"/>
      <c r="C218" s="4"/>
      <c r="D218" s="4"/>
      <c r="E218" s="104">
        <f>Asset50</f>
        <v>0</v>
      </c>
      <c r="F218" s="3"/>
      <c r="G218" s="1483"/>
      <c r="H218" s="333"/>
      <c r="I218" s="333"/>
      <c r="J218" s="333"/>
      <c r="K218" s="333"/>
      <c r="L218" s="333"/>
      <c r="M218" s="333"/>
      <c r="N218" s="333"/>
      <c r="O218" s="333"/>
      <c r="P218" s="333"/>
      <c r="Q218" s="333"/>
      <c r="R218" s="355"/>
      <c r="S218" s="2"/>
      <c r="T218" s="2"/>
      <c r="U218" s="2"/>
      <c r="V218" s="2"/>
      <c r="W218" s="2"/>
      <c r="X218" s="152"/>
      <c r="Y218" s="152"/>
      <c r="Z218" s="152"/>
      <c r="AA218" s="152"/>
      <c r="AB218" s="152"/>
      <c r="AC218" s="152"/>
      <c r="AD218" s="152"/>
      <c r="AE218" s="152"/>
      <c r="AF218" s="152"/>
      <c r="AG218" s="152"/>
      <c r="AH218" s="152"/>
      <c r="AI218" s="152"/>
    </row>
    <row r="219" spans="1:35">
      <c r="A219" s="4"/>
      <c r="B219" s="4"/>
      <c r="C219" s="4"/>
      <c r="D219" s="4"/>
      <c r="E219" s="104" t="s">
        <v>18</v>
      </c>
      <c r="F219" s="3"/>
      <c r="G219" s="150">
        <f>SUM(G169:G218)</f>
        <v>4.7848452442986869</v>
      </c>
      <c r="H219" s="150">
        <f t="shared" ref="H219:Q219" si="5">SUM(H169:H218)</f>
        <v>5.3304649397848438</v>
      </c>
      <c r="I219" s="150">
        <f t="shared" si="5"/>
        <v>7.836442817692638</v>
      </c>
      <c r="J219" s="150">
        <f t="shared" si="5"/>
        <v>12.684411840734169</v>
      </c>
      <c r="K219" s="150">
        <f t="shared" si="5"/>
        <v>9.4207913718759517</v>
      </c>
      <c r="L219" s="150">
        <f t="shared" si="5"/>
        <v>3.4983847020099015</v>
      </c>
      <c r="M219" s="150">
        <f t="shared" si="5"/>
        <v>2.546999769572122</v>
      </c>
      <c r="N219" s="150">
        <f t="shared" si="5"/>
        <v>2.3784597652371757</v>
      </c>
      <c r="O219" s="150">
        <f t="shared" si="5"/>
        <v>0</v>
      </c>
      <c r="P219" s="150">
        <f t="shared" si="5"/>
        <v>0</v>
      </c>
      <c r="Q219" s="150">
        <f t="shared" si="5"/>
        <v>0</v>
      </c>
      <c r="R219" s="355"/>
      <c r="S219" s="2"/>
      <c r="T219" s="2"/>
      <c r="U219" s="2"/>
      <c r="V219" s="2"/>
      <c r="W219" s="2"/>
      <c r="X219" s="152"/>
      <c r="Y219" s="152"/>
      <c r="Z219" s="152"/>
      <c r="AA219" s="152"/>
      <c r="AB219" s="152"/>
      <c r="AC219" s="152"/>
      <c r="AD219" s="152"/>
      <c r="AE219" s="152"/>
      <c r="AF219" s="152"/>
      <c r="AG219" s="152"/>
      <c r="AH219" s="152"/>
      <c r="AI219" s="152"/>
    </row>
    <row r="220" spans="1:35" ht="22.5" customHeight="1">
      <c r="A220" s="4"/>
      <c r="B220" s="4"/>
      <c r="C220" s="4"/>
      <c r="D220" s="4"/>
      <c r="E220" s="1"/>
      <c r="F220" s="152"/>
      <c r="G220" s="248"/>
      <c r="H220" s="1339"/>
      <c r="I220" s="1340"/>
      <c r="J220" s="248"/>
      <c r="K220" s="248"/>
      <c r="L220" s="1487"/>
      <c r="M220" s="248"/>
      <c r="N220" s="248"/>
      <c r="O220" s="248"/>
      <c r="P220" s="248"/>
      <c r="Q220" s="248"/>
      <c r="R220" s="1341">
        <f>SUM(G219:Q219)</f>
        <v>48.480800451205489</v>
      </c>
      <c r="S220" s="3"/>
      <c r="T220" s="3"/>
      <c r="U220" s="3"/>
      <c r="V220" s="3"/>
      <c r="W220" s="2"/>
      <c r="X220" s="152"/>
      <c r="Y220" s="152"/>
      <c r="Z220" s="152"/>
      <c r="AA220" s="152"/>
      <c r="AB220" s="152"/>
      <c r="AC220" s="152"/>
      <c r="AD220" s="152"/>
      <c r="AE220" s="152"/>
      <c r="AF220" s="152"/>
      <c r="AG220" s="152"/>
      <c r="AH220" s="152"/>
      <c r="AI220" s="152"/>
    </row>
    <row r="221" spans="1:35" ht="13.5" customHeight="1">
      <c r="A221" s="48"/>
      <c r="B221" s="48"/>
      <c r="C221" s="48"/>
      <c r="D221" s="48"/>
      <c r="E221" s="1583" t="str">
        <f>"Actual Net Capital Expenditure – As Incurred ($m Real "&amp;IF(LEN($U$7)&gt;4,CONCATENATE(LEFT($U$7, 4)-1 &amp;"-" &amp;IF($U$7&gt;"2009-10",,"0") &amp;RIGHT($U$7,2)-1),$U$7-1)&amp;")"</f>
        <v>Actual Net Capital Expenditure – As Incurred ($m Real 2015-16)</v>
      </c>
      <c r="F221" s="1583"/>
      <c r="G221" s="1583"/>
      <c r="H221" s="98"/>
      <c r="I221" s="98"/>
      <c r="J221" s="98"/>
      <c r="K221" s="51"/>
      <c r="L221" s="51"/>
      <c r="M221" s="49"/>
      <c r="N221" s="49"/>
      <c r="O221" s="49"/>
      <c r="P221" s="49"/>
      <c r="Q221" s="49"/>
      <c r="R221" s="49"/>
      <c r="S221" s="49"/>
      <c r="T221" s="49"/>
      <c r="U221" s="49"/>
      <c r="V221" s="49"/>
      <c r="W221" s="2"/>
      <c r="X221" s="152"/>
      <c r="Y221" s="152"/>
      <c r="Z221" s="152"/>
      <c r="AA221" s="152"/>
      <c r="AB221" s="152"/>
      <c r="AC221" s="152"/>
      <c r="AD221" s="152"/>
      <c r="AE221" s="152"/>
      <c r="AF221" s="152"/>
      <c r="AG221" s="152"/>
      <c r="AH221" s="152"/>
      <c r="AI221" s="152"/>
    </row>
    <row r="222" spans="1:35">
      <c r="A222" s="4"/>
      <c r="B222" s="4"/>
      <c r="C222" s="4"/>
      <c r="D222" s="4"/>
      <c r="E222" s="24" t="s">
        <v>2</v>
      </c>
      <c r="F222" s="152"/>
      <c r="G222" s="120" t="str">
        <f>G$60</f>
        <v>2015-16</v>
      </c>
      <c r="H222" s="120" t="str">
        <f t="shared" ref="H222:Q222" si="6">H$60</f>
        <v>2016-17</v>
      </c>
      <c r="I222" s="120" t="str">
        <f t="shared" si="6"/>
        <v>2017-18</v>
      </c>
      <c r="J222" s="120" t="str">
        <f t="shared" si="6"/>
        <v>2018-19</v>
      </c>
      <c r="K222" s="120" t="str">
        <f t="shared" si="6"/>
        <v>2019-20</v>
      </c>
      <c r="L222" s="120" t="str">
        <f t="shared" si="6"/>
        <v>2020-21</v>
      </c>
      <c r="M222" s="120" t="str">
        <f t="shared" si="6"/>
        <v>2021-22</v>
      </c>
      <c r="N222" s="120" t="str">
        <f t="shared" si="6"/>
        <v>2022-23</v>
      </c>
      <c r="O222" s="120" t="str">
        <f t="shared" si="6"/>
        <v>2023-24</v>
      </c>
      <c r="P222" s="120" t="str">
        <f t="shared" si="6"/>
        <v>2024-25</v>
      </c>
      <c r="Q222" s="120" t="str">
        <f t="shared" si="6"/>
        <v>2025-26</v>
      </c>
      <c r="R222" s="2"/>
      <c r="S222" s="2"/>
      <c r="T222" s="2"/>
      <c r="U222" s="2"/>
      <c r="V222" s="2"/>
      <c r="W222" s="2"/>
      <c r="X222" s="152"/>
      <c r="Y222" s="152"/>
      <c r="Z222" s="152"/>
      <c r="AA222" s="152"/>
      <c r="AB222" s="152"/>
      <c r="AC222" s="152"/>
      <c r="AD222" s="152"/>
      <c r="AE222" s="152"/>
      <c r="AF222" s="152"/>
      <c r="AG222" s="152"/>
      <c r="AH222" s="152"/>
      <c r="AI222" s="152"/>
    </row>
    <row r="223" spans="1:35" outlineLevel="1">
      <c r="A223" s="4"/>
      <c r="B223" s="4"/>
      <c r="C223" s="4"/>
      <c r="D223" s="4"/>
      <c r="E223" s="104" t="str">
        <f>Asset1</f>
        <v>Mains</v>
      </c>
      <c r="F223" s="152"/>
      <c r="G223" s="1343">
        <f t="shared" ref="G223:Q223" si="7">(G61-G115-G169)/G$283</f>
        <v>14.791715731937625</v>
      </c>
      <c r="H223" s="1344">
        <f t="shared" si="7"/>
        <v>10.19393514196371</v>
      </c>
      <c r="I223" s="1344">
        <f t="shared" si="7"/>
        <v>11.111822962893656</v>
      </c>
      <c r="J223" s="1344">
        <f t="shared" si="7"/>
        <v>10.604311297496553</v>
      </c>
      <c r="K223" s="1344">
        <f t="shared" si="7"/>
        <v>9.0362046661775803</v>
      </c>
      <c r="L223" s="1344">
        <f t="shared" si="7"/>
        <v>7.2456916431441236</v>
      </c>
      <c r="M223" s="1344">
        <f t="shared" si="7"/>
        <v>13.520285627614175</v>
      </c>
      <c r="N223" s="1344">
        <f t="shared" si="7"/>
        <v>3.219788201985605</v>
      </c>
      <c r="O223" s="1344">
        <f t="shared" si="7"/>
        <v>0</v>
      </c>
      <c r="P223" s="1344">
        <f t="shared" si="7"/>
        <v>0</v>
      </c>
      <c r="Q223" s="1344">
        <f t="shared" si="7"/>
        <v>0</v>
      </c>
      <c r="R223" s="355"/>
      <c r="S223" s="2"/>
      <c r="T223" s="2"/>
      <c r="U223" s="2"/>
      <c r="V223" s="2"/>
      <c r="W223" s="2"/>
      <c r="X223" s="152"/>
      <c r="Y223" s="152"/>
      <c r="Z223" s="152"/>
      <c r="AA223" s="152"/>
      <c r="AB223" s="152"/>
      <c r="AC223" s="152"/>
      <c r="AD223" s="152"/>
      <c r="AE223" s="152"/>
      <c r="AF223" s="152"/>
      <c r="AG223" s="152"/>
      <c r="AH223" s="152"/>
      <c r="AI223" s="152"/>
    </row>
    <row r="224" spans="1:35" outlineLevel="1">
      <c r="A224" s="4"/>
      <c r="B224" s="4"/>
      <c r="C224" s="4"/>
      <c r="D224" s="4"/>
      <c r="E224" s="104" t="str">
        <f>Asset2</f>
        <v>Inlets</v>
      </c>
      <c r="F224" s="152"/>
      <c r="G224" s="1345">
        <f t="shared" ref="G224:Q224" si="8">(G62-G116-G170)/G$283</f>
        <v>5.2524167648805182</v>
      </c>
      <c r="H224" s="1346">
        <f t="shared" si="8"/>
        <v>5.0148416593715037</v>
      </c>
      <c r="I224" s="1346">
        <f t="shared" si="8"/>
        <v>5.3071514792218091</v>
      </c>
      <c r="J224" s="1346">
        <f t="shared" si="8"/>
        <v>5.5800686013420986</v>
      </c>
      <c r="K224" s="1346">
        <f t="shared" si="8"/>
        <v>4.8520946390633357</v>
      </c>
      <c r="L224" s="1346">
        <f t="shared" si="8"/>
        <v>5.3721483325482096</v>
      </c>
      <c r="M224" s="1346">
        <f t="shared" si="8"/>
        <v>4.1600281014650706</v>
      </c>
      <c r="N224" s="1346">
        <f t="shared" si="8"/>
        <v>2.4206615374720872</v>
      </c>
      <c r="O224" s="1346">
        <f t="shared" si="8"/>
        <v>0</v>
      </c>
      <c r="P224" s="1346">
        <f t="shared" si="8"/>
        <v>0</v>
      </c>
      <c r="Q224" s="1346">
        <f t="shared" si="8"/>
        <v>0</v>
      </c>
      <c r="R224" s="355"/>
      <c r="S224" s="2"/>
      <c r="T224" s="2"/>
      <c r="U224" s="2"/>
      <c r="V224" s="2"/>
      <c r="W224" s="2"/>
      <c r="X224" s="152"/>
      <c r="Y224" s="152"/>
      <c r="Z224" s="152"/>
      <c r="AA224" s="152"/>
      <c r="AB224" s="152"/>
      <c r="AC224" s="152"/>
      <c r="AD224" s="152"/>
      <c r="AE224" s="152"/>
      <c r="AF224" s="152"/>
      <c r="AG224" s="152"/>
      <c r="AH224" s="152"/>
      <c r="AI224" s="152"/>
    </row>
    <row r="225" spans="1:35" outlineLevel="1">
      <c r="A225" s="4"/>
      <c r="B225" s="4"/>
      <c r="C225" s="4"/>
      <c r="D225" s="4"/>
      <c r="E225" s="104" t="str">
        <f>Asset3</f>
        <v>Meters</v>
      </c>
      <c r="F225" s="152"/>
      <c r="G225" s="1345">
        <f t="shared" ref="G225:Q225" si="9">(G63-G117-G171)/G$283</f>
        <v>2.4121722811828157</v>
      </c>
      <c r="H225" s="1346">
        <f t="shared" si="9"/>
        <v>2.8667255103304727</v>
      </c>
      <c r="I225" s="1346">
        <f t="shared" si="9"/>
        <v>2.8636891972112886</v>
      </c>
      <c r="J225" s="1346">
        <f t="shared" si="9"/>
        <v>3.3265686331893121</v>
      </c>
      <c r="K225" s="1346">
        <f t="shared" si="9"/>
        <v>1.7060251052919166</v>
      </c>
      <c r="L225" s="1346">
        <f t="shared" si="9"/>
        <v>1.8887413818132399</v>
      </c>
      <c r="M225" s="1346">
        <f t="shared" si="9"/>
        <v>1.7582064013233361</v>
      </c>
      <c r="N225" s="1346">
        <f t="shared" si="9"/>
        <v>0.83909542676206272</v>
      </c>
      <c r="O225" s="1346">
        <f t="shared" si="9"/>
        <v>0</v>
      </c>
      <c r="P225" s="1346">
        <f t="shared" si="9"/>
        <v>0</v>
      </c>
      <c r="Q225" s="1346">
        <f t="shared" si="9"/>
        <v>0</v>
      </c>
      <c r="R225" s="355"/>
      <c r="S225" s="2"/>
      <c r="T225" s="2"/>
      <c r="U225" s="2"/>
      <c r="V225" s="2"/>
      <c r="W225" s="2"/>
      <c r="X225" s="152"/>
      <c r="Y225" s="152"/>
      <c r="Z225" s="152"/>
      <c r="AA225" s="152"/>
      <c r="AB225" s="152"/>
      <c r="AC225" s="152"/>
      <c r="AD225" s="152"/>
      <c r="AE225" s="152"/>
      <c r="AF225" s="152"/>
      <c r="AG225" s="152"/>
      <c r="AH225" s="152"/>
      <c r="AI225" s="152"/>
    </row>
    <row r="226" spans="1:35" outlineLevel="1">
      <c r="A226" s="4"/>
      <c r="B226" s="4"/>
      <c r="C226" s="4"/>
      <c r="D226" s="4"/>
      <c r="E226" s="104" t="str">
        <f>Asset4</f>
        <v>Telemetry</v>
      </c>
      <c r="F226" s="152"/>
      <c r="G226" s="1345">
        <f t="shared" ref="G226:Q226" si="10">(G64-G118-G172)/G$283</f>
        <v>0.49616625845133966</v>
      </c>
      <c r="H226" s="1346">
        <f t="shared" si="10"/>
        <v>0.38538057818010396</v>
      </c>
      <c r="I226" s="1346">
        <f t="shared" si="10"/>
        <v>0.16699671486490206</v>
      </c>
      <c r="J226" s="1346">
        <f t="shared" si="10"/>
        <v>4.713175364408536E-2</v>
      </c>
      <c r="K226" s="1346">
        <f t="shared" si="10"/>
        <v>9.8707287132620447E-2</v>
      </c>
      <c r="L226" s="1346">
        <f t="shared" si="10"/>
        <v>6.0079629623258898E-2</v>
      </c>
      <c r="M226" s="1346">
        <f t="shared" si="10"/>
        <v>5.4978117960078378E-2</v>
      </c>
      <c r="N226" s="1346">
        <f t="shared" si="10"/>
        <v>3.3329609092243861E-2</v>
      </c>
      <c r="O226" s="1346">
        <f t="shared" si="10"/>
        <v>0</v>
      </c>
      <c r="P226" s="1346">
        <f t="shared" si="10"/>
        <v>0</v>
      </c>
      <c r="Q226" s="1346">
        <f t="shared" si="10"/>
        <v>0</v>
      </c>
      <c r="R226" s="355"/>
      <c r="S226" s="2"/>
      <c r="T226" s="2"/>
      <c r="U226" s="2"/>
      <c r="V226" s="2"/>
      <c r="W226" s="2"/>
      <c r="X226" s="152"/>
      <c r="Y226" s="152"/>
      <c r="Z226" s="152"/>
      <c r="AA226" s="152"/>
      <c r="AB226" s="152"/>
      <c r="AC226" s="152"/>
      <c r="AD226" s="152"/>
      <c r="AE226" s="152"/>
      <c r="AF226" s="152"/>
      <c r="AG226" s="152"/>
      <c r="AH226" s="152"/>
      <c r="AI226" s="152"/>
    </row>
    <row r="227" spans="1:35" outlineLevel="1">
      <c r="A227" s="4"/>
      <c r="B227" s="4"/>
      <c r="C227" s="4"/>
      <c r="D227" s="4"/>
      <c r="E227" s="104" t="str">
        <f>Asset5</f>
        <v>IT System</v>
      </c>
      <c r="F227" s="152"/>
      <c r="G227" s="1345">
        <f t="shared" ref="G227:Q227" si="11">(G65-G119-G173)/G$283</f>
        <v>3.6232018536071577</v>
      </c>
      <c r="H227" s="1346">
        <f t="shared" si="11"/>
        <v>0.1874289015061886</v>
      </c>
      <c r="I227" s="1346">
        <f t="shared" si="11"/>
        <v>0.50221781834275181</v>
      </c>
      <c r="J227" s="1346">
        <f t="shared" si="11"/>
        <v>0.8487386212859156</v>
      </c>
      <c r="K227" s="1346">
        <f t="shared" si="11"/>
        <v>1.3442673495632427</v>
      </c>
      <c r="L227" s="1346">
        <f t="shared" si="11"/>
        <v>1.3892817974421134</v>
      </c>
      <c r="M227" s="1346">
        <f t="shared" si="11"/>
        <v>1.7744675260870817</v>
      </c>
      <c r="N227" s="1346">
        <f t="shared" si="11"/>
        <v>0.72769638892203459</v>
      </c>
      <c r="O227" s="1346">
        <f t="shared" si="11"/>
        <v>0</v>
      </c>
      <c r="P227" s="1346">
        <f t="shared" si="11"/>
        <v>0</v>
      </c>
      <c r="Q227" s="1346">
        <f t="shared" si="11"/>
        <v>0</v>
      </c>
      <c r="R227" s="355"/>
      <c r="S227" s="2"/>
      <c r="T227" s="2"/>
      <c r="U227" s="2"/>
      <c r="V227" s="2"/>
      <c r="W227" s="2"/>
      <c r="X227" s="152"/>
      <c r="Y227" s="152"/>
      <c r="Z227" s="152"/>
      <c r="AA227" s="152"/>
      <c r="AB227" s="152"/>
      <c r="AC227" s="152"/>
      <c r="AD227" s="152"/>
      <c r="AE227" s="152"/>
      <c r="AF227" s="152"/>
      <c r="AG227" s="152"/>
      <c r="AH227" s="152"/>
      <c r="AI227" s="152"/>
    </row>
    <row r="228" spans="1:35" outlineLevel="1">
      <c r="A228" s="4"/>
      <c r="B228" s="4"/>
      <c r="C228" s="4"/>
      <c r="D228" s="4"/>
      <c r="E228" s="104" t="str">
        <f>Asset6</f>
        <v>Other Distribution System Equipment</v>
      </c>
      <c r="F228" s="152"/>
      <c r="G228" s="1345">
        <f t="shared" ref="G228:Q228" si="12">(G66-G120-G174)/G$283</f>
        <v>1.0443444854763313</v>
      </c>
      <c r="H228" s="1346">
        <f t="shared" si="12"/>
        <v>1.0453731395726307</v>
      </c>
      <c r="I228" s="1346">
        <f t="shared" si="12"/>
        <v>0.46756786153594193</v>
      </c>
      <c r="J228" s="1346">
        <f t="shared" si="12"/>
        <v>0.72658675787170268</v>
      </c>
      <c r="K228" s="1346">
        <f t="shared" si="12"/>
        <v>1.6629317197576379</v>
      </c>
      <c r="L228" s="1346">
        <f t="shared" si="12"/>
        <v>0.83633342717170223</v>
      </c>
      <c r="M228" s="1346">
        <f t="shared" si="12"/>
        <v>0.83766039535077297</v>
      </c>
      <c r="N228" s="1346">
        <f t="shared" si="12"/>
        <v>0.77353520435513201</v>
      </c>
      <c r="O228" s="1346">
        <f t="shared" si="12"/>
        <v>0</v>
      </c>
      <c r="P228" s="1346">
        <f t="shared" si="12"/>
        <v>0</v>
      </c>
      <c r="Q228" s="1346">
        <f t="shared" si="12"/>
        <v>0</v>
      </c>
      <c r="R228" s="355"/>
      <c r="S228" s="2"/>
      <c r="T228" s="2"/>
      <c r="U228" s="2"/>
      <c r="V228" s="2"/>
      <c r="W228" s="2"/>
      <c r="X228" s="152"/>
      <c r="Y228" s="152"/>
      <c r="Z228" s="152"/>
      <c r="AA228" s="152"/>
      <c r="AB228" s="152"/>
      <c r="AC228" s="152"/>
      <c r="AD228" s="152"/>
      <c r="AE228" s="152"/>
      <c r="AF228" s="152"/>
      <c r="AG228" s="152"/>
      <c r="AH228" s="152"/>
      <c r="AI228" s="152"/>
    </row>
    <row r="229" spans="1:35" outlineLevel="1">
      <c r="A229" s="4"/>
      <c r="B229" s="4"/>
      <c r="C229" s="4"/>
      <c r="D229" s="4"/>
      <c r="E229" s="104" t="str">
        <f>Asset7</f>
        <v>Other</v>
      </c>
      <c r="F229" s="152"/>
      <c r="G229" s="1345">
        <f t="shared" ref="G229:Q229" si="13">(G67-G121-G175)/G$283</f>
        <v>0</v>
      </c>
      <c r="H229" s="1346">
        <f t="shared" si="13"/>
        <v>-2.8543829944547131E-2</v>
      </c>
      <c r="I229" s="1346">
        <f t="shared" si="13"/>
        <v>0</v>
      </c>
      <c r="J229" s="1346">
        <f t="shared" si="13"/>
        <v>0</v>
      </c>
      <c r="K229" s="1346">
        <f t="shared" si="13"/>
        <v>0</v>
      </c>
      <c r="L229" s="1346">
        <f t="shared" si="13"/>
        <v>0</v>
      </c>
      <c r="M229" s="1346">
        <f t="shared" si="13"/>
        <v>0</v>
      </c>
      <c r="N229" s="1346">
        <f t="shared" si="13"/>
        <v>0</v>
      </c>
      <c r="O229" s="1346">
        <f t="shared" si="13"/>
        <v>0</v>
      </c>
      <c r="P229" s="1346">
        <f t="shared" si="13"/>
        <v>0</v>
      </c>
      <c r="Q229" s="1346">
        <f t="shared" si="13"/>
        <v>0</v>
      </c>
      <c r="R229" s="355"/>
      <c r="S229" s="2"/>
      <c r="T229" s="2"/>
      <c r="U229" s="2"/>
      <c r="V229" s="2"/>
      <c r="W229" s="2"/>
      <c r="X229" s="152"/>
      <c r="Y229" s="152"/>
      <c r="Z229" s="152"/>
      <c r="AA229" s="152"/>
      <c r="AB229" s="152"/>
      <c r="AC229" s="152"/>
      <c r="AD229" s="152"/>
      <c r="AE229" s="152"/>
      <c r="AF229" s="152"/>
      <c r="AG229" s="152"/>
      <c r="AH229" s="152"/>
      <c r="AI229" s="152"/>
    </row>
    <row r="230" spans="1:35" outlineLevel="1">
      <c r="A230" s="4"/>
      <c r="B230" s="4"/>
      <c r="C230" s="4"/>
      <c r="D230" s="4"/>
      <c r="E230" s="104">
        <f>Asset8</f>
        <v>0</v>
      </c>
      <c r="F230" s="152"/>
      <c r="G230" s="1345">
        <f t="shared" ref="G230:Q230" si="14">(G68-G122-G176)/G$283</f>
        <v>0</v>
      </c>
      <c r="H230" s="1346">
        <f t="shared" si="14"/>
        <v>0</v>
      </c>
      <c r="I230" s="1346">
        <f t="shared" si="14"/>
        <v>0</v>
      </c>
      <c r="J230" s="1346">
        <f t="shared" si="14"/>
        <v>0</v>
      </c>
      <c r="K230" s="1346">
        <f t="shared" si="14"/>
        <v>0</v>
      </c>
      <c r="L230" s="1346">
        <f t="shared" si="14"/>
        <v>0</v>
      </c>
      <c r="M230" s="1346">
        <f t="shared" si="14"/>
        <v>0</v>
      </c>
      <c r="N230" s="1346">
        <f t="shared" si="14"/>
        <v>0</v>
      </c>
      <c r="O230" s="1346">
        <f t="shared" si="14"/>
        <v>0</v>
      </c>
      <c r="P230" s="1346">
        <f t="shared" si="14"/>
        <v>0</v>
      </c>
      <c r="Q230" s="1346">
        <f t="shared" si="14"/>
        <v>0</v>
      </c>
      <c r="R230" s="355"/>
      <c r="S230" s="2"/>
      <c r="T230" s="2"/>
      <c r="U230" s="2"/>
      <c r="V230" s="2"/>
      <c r="W230" s="2"/>
      <c r="X230" s="152"/>
      <c r="Y230" s="152"/>
      <c r="Z230" s="152"/>
      <c r="AA230" s="152"/>
      <c r="AB230" s="152"/>
      <c r="AC230" s="152"/>
      <c r="AD230" s="152"/>
      <c r="AE230" s="152"/>
      <c r="AF230" s="152"/>
      <c r="AG230" s="152"/>
      <c r="AH230" s="152"/>
      <c r="AI230" s="152"/>
    </row>
    <row r="231" spans="1:35" outlineLevel="1">
      <c r="A231" s="4"/>
      <c r="B231" s="4"/>
      <c r="C231" s="4"/>
      <c r="D231" s="4"/>
      <c r="E231" s="104">
        <f>Asset9</f>
        <v>0</v>
      </c>
      <c r="F231" s="152"/>
      <c r="G231" s="1345">
        <f t="shared" ref="G231:Q231" si="15">(G69-G123-G177)/G$283</f>
        <v>0</v>
      </c>
      <c r="H231" s="1346">
        <f t="shared" si="15"/>
        <v>0</v>
      </c>
      <c r="I231" s="1346">
        <f t="shared" si="15"/>
        <v>0</v>
      </c>
      <c r="J231" s="1346">
        <f t="shared" si="15"/>
        <v>0</v>
      </c>
      <c r="K231" s="1346">
        <f t="shared" si="15"/>
        <v>0</v>
      </c>
      <c r="L231" s="1346">
        <f t="shared" si="15"/>
        <v>0</v>
      </c>
      <c r="M231" s="1346">
        <f t="shared" si="15"/>
        <v>0</v>
      </c>
      <c r="N231" s="1346">
        <f t="shared" si="15"/>
        <v>0</v>
      </c>
      <c r="O231" s="1346">
        <f t="shared" si="15"/>
        <v>0</v>
      </c>
      <c r="P231" s="1346">
        <f t="shared" si="15"/>
        <v>0</v>
      </c>
      <c r="Q231" s="1346">
        <f t="shared" si="15"/>
        <v>0</v>
      </c>
      <c r="R231" s="355"/>
      <c r="S231" s="2"/>
      <c r="T231" s="2"/>
      <c r="U231" s="2"/>
      <c r="V231" s="2"/>
      <c r="W231" s="2"/>
      <c r="X231" s="152"/>
      <c r="Y231" s="152"/>
      <c r="Z231" s="152"/>
      <c r="AA231" s="152"/>
      <c r="AB231" s="152"/>
      <c r="AC231" s="152"/>
      <c r="AD231" s="152"/>
      <c r="AE231" s="152"/>
      <c r="AF231" s="152"/>
      <c r="AG231" s="152"/>
      <c r="AH231" s="152"/>
      <c r="AI231" s="152"/>
    </row>
    <row r="232" spans="1:35" outlineLevel="1">
      <c r="A232" s="4"/>
      <c r="B232" s="4"/>
      <c r="C232" s="4"/>
      <c r="D232" s="4"/>
      <c r="E232" s="104">
        <f>Asset10</f>
        <v>0</v>
      </c>
      <c r="F232" s="152"/>
      <c r="G232" s="1345">
        <f t="shared" ref="G232:Q232" si="16">(G70-G124-G178)/G$283</f>
        <v>0</v>
      </c>
      <c r="H232" s="1346">
        <f t="shared" si="16"/>
        <v>0</v>
      </c>
      <c r="I232" s="1346">
        <f t="shared" si="16"/>
        <v>0</v>
      </c>
      <c r="J232" s="1346">
        <f t="shared" si="16"/>
        <v>0</v>
      </c>
      <c r="K232" s="1346">
        <f t="shared" si="16"/>
        <v>0</v>
      </c>
      <c r="L232" s="1346">
        <f t="shared" si="16"/>
        <v>0</v>
      </c>
      <c r="M232" s="1346">
        <f t="shared" si="16"/>
        <v>0</v>
      </c>
      <c r="N232" s="1346">
        <f t="shared" si="16"/>
        <v>0</v>
      </c>
      <c r="O232" s="1346">
        <f t="shared" si="16"/>
        <v>0</v>
      </c>
      <c r="P232" s="1346">
        <f t="shared" si="16"/>
        <v>0</v>
      </c>
      <c r="Q232" s="1346">
        <f t="shared" si="16"/>
        <v>0</v>
      </c>
      <c r="R232" s="355"/>
      <c r="S232" s="2"/>
      <c r="T232" s="2"/>
      <c r="U232" s="2"/>
      <c r="V232" s="2"/>
      <c r="W232" s="2"/>
      <c r="X232" s="152"/>
      <c r="Y232" s="152"/>
      <c r="Z232" s="152"/>
      <c r="AA232" s="152"/>
      <c r="AB232" s="152"/>
      <c r="AC232" s="152"/>
      <c r="AD232" s="152"/>
      <c r="AE232" s="152"/>
      <c r="AF232" s="152"/>
      <c r="AG232" s="152"/>
      <c r="AH232" s="152"/>
      <c r="AI232" s="152"/>
    </row>
    <row r="233" spans="1:35" outlineLevel="1">
      <c r="A233" s="4"/>
      <c r="B233" s="4"/>
      <c r="C233" s="4"/>
      <c r="D233" s="4"/>
      <c r="E233" s="104">
        <f>Asset11</f>
        <v>0</v>
      </c>
      <c r="F233" s="152"/>
      <c r="G233" s="1345">
        <f t="shared" ref="G233:Q233" si="17">(G71-G125-G179)/G$283</f>
        <v>0</v>
      </c>
      <c r="H233" s="1346">
        <f t="shared" si="17"/>
        <v>0</v>
      </c>
      <c r="I233" s="1346">
        <f t="shared" si="17"/>
        <v>0</v>
      </c>
      <c r="J233" s="1346">
        <f t="shared" si="17"/>
        <v>0</v>
      </c>
      <c r="K233" s="1346">
        <f t="shared" si="17"/>
        <v>0</v>
      </c>
      <c r="L233" s="1346">
        <f t="shared" si="17"/>
        <v>0</v>
      </c>
      <c r="M233" s="1346">
        <f t="shared" si="17"/>
        <v>0</v>
      </c>
      <c r="N233" s="1346">
        <f t="shared" si="17"/>
        <v>0</v>
      </c>
      <c r="O233" s="1346">
        <f t="shared" si="17"/>
        <v>0</v>
      </c>
      <c r="P233" s="1346">
        <f t="shared" si="17"/>
        <v>0</v>
      </c>
      <c r="Q233" s="1346">
        <f t="shared" si="17"/>
        <v>0</v>
      </c>
      <c r="R233" s="355"/>
      <c r="S233" s="2"/>
      <c r="T233" s="2"/>
      <c r="U233" s="2"/>
      <c r="V233" s="2"/>
      <c r="W233" s="2"/>
      <c r="X233" s="152"/>
      <c r="Y233" s="152"/>
      <c r="Z233" s="152"/>
      <c r="AA233" s="152"/>
      <c r="AB233" s="152"/>
      <c r="AC233" s="152"/>
      <c r="AD233" s="152"/>
      <c r="AE233" s="152"/>
      <c r="AF233" s="152"/>
      <c r="AG233" s="152"/>
      <c r="AH233" s="152"/>
      <c r="AI233" s="152"/>
    </row>
    <row r="234" spans="1:35" outlineLevel="1">
      <c r="A234" s="4"/>
      <c r="B234" s="4"/>
      <c r="C234" s="4"/>
      <c r="D234" s="4"/>
      <c r="E234" s="104">
        <f>Asset12</f>
        <v>0</v>
      </c>
      <c r="F234" s="152"/>
      <c r="G234" s="1345">
        <f t="shared" ref="G234:Q234" si="18">(G72-G126-G180)/G$283</f>
        <v>0</v>
      </c>
      <c r="H234" s="1346">
        <f t="shared" si="18"/>
        <v>0</v>
      </c>
      <c r="I234" s="1346">
        <f t="shared" si="18"/>
        <v>0</v>
      </c>
      <c r="J234" s="1346">
        <f t="shared" si="18"/>
        <v>0</v>
      </c>
      <c r="K234" s="1346">
        <f t="shared" si="18"/>
        <v>0</v>
      </c>
      <c r="L234" s="1346">
        <f t="shared" si="18"/>
        <v>0</v>
      </c>
      <c r="M234" s="1346">
        <f t="shared" si="18"/>
        <v>0</v>
      </c>
      <c r="N234" s="1346">
        <f t="shared" si="18"/>
        <v>0</v>
      </c>
      <c r="O234" s="1346">
        <f t="shared" si="18"/>
        <v>0</v>
      </c>
      <c r="P234" s="1346">
        <f t="shared" si="18"/>
        <v>0</v>
      </c>
      <c r="Q234" s="1346">
        <f t="shared" si="18"/>
        <v>0</v>
      </c>
      <c r="R234" s="355"/>
      <c r="S234" s="2"/>
      <c r="T234" s="2"/>
      <c r="U234" s="2"/>
      <c r="V234" s="2"/>
      <c r="W234" s="2"/>
      <c r="X234" s="152"/>
      <c r="Y234" s="152"/>
      <c r="Z234" s="152"/>
      <c r="AA234" s="152"/>
      <c r="AB234" s="152"/>
      <c r="AC234" s="152"/>
      <c r="AD234" s="152"/>
      <c r="AE234" s="152"/>
      <c r="AF234" s="152"/>
      <c r="AG234" s="152"/>
      <c r="AH234" s="152"/>
      <c r="AI234" s="152"/>
    </row>
    <row r="235" spans="1:35" outlineLevel="1">
      <c r="A235" s="4"/>
      <c r="B235" s="4"/>
      <c r="C235" s="4"/>
      <c r="D235" s="4"/>
      <c r="E235" s="104">
        <f>Asset13</f>
        <v>0</v>
      </c>
      <c r="F235" s="152"/>
      <c r="G235" s="1345">
        <f t="shared" ref="G235:Q235" si="19">(G73-G127-G181)/G$283</f>
        <v>0</v>
      </c>
      <c r="H235" s="1346">
        <f t="shared" si="19"/>
        <v>0</v>
      </c>
      <c r="I235" s="1346">
        <f t="shared" si="19"/>
        <v>0</v>
      </c>
      <c r="J235" s="1346">
        <f t="shared" si="19"/>
        <v>0</v>
      </c>
      <c r="K235" s="1346">
        <f t="shared" si="19"/>
        <v>0</v>
      </c>
      <c r="L235" s="1346">
        <f t="shared" si="19"/>
        <v>0</v>
      </c>
      <c r="M235" s="1346">
        <f t="shared" si="19"/>
        <v>0</v>
      </c>
      <c r="N235" s="1346">
        <f t="shared" si="19"/>
        <v>0</v>
      </c>
      <c r="O235" s="1346">
        <f t="shared" si="19"/>
        <v>0</v>
      </c>
      <c r="P235" s="1346">
        <f t="shared" si="19"/>
        <v>0</v>
      </c>
      <c r="Q235" s="1346">
        <f t="shared" si="19"/>
        <v>0</v>
      </c>
      <c r="R235" s="355"/>
      <c r="S235" s="2"/>
      <c r="T235" s="2"/>
      <c r="U235" s="2"/>
      <c r="V235" s="2"/>
      <c r="W235" s="2"/>
      <c r="X235" s="152"/>
      <c r="Y235" s="152"/>
      <c r="Z235" s="152"/>
      <c r="AA235" s="152"/>
      <c r="AB235" s="152"/>
      <c r="AC235" s="152"/>
      <c r="AD235" s="152"/>
      <c r="AE235" s="152"/>
      <c r="AF235" s="152"/>
      <c r="AG235" s="152"/>
      <c r="AH235" s="152"/>
      <c r="AI235" s="152"/>
    </row>
    <row r="236" spans="1:35" outlineLevel="1">
      <c r="A236" s="4"/>
      <c r="B236" s="4"/>
      <c r="C236" s="4"/>
      <c r="D236" s="4"/>
      <c r="E236" s="104">
        <f>Asset14</f>
        <v>0</v>
      </c>
      <c r="F236" s="152"/>
      <c r="G236" s="1345">
        <f t="shared" ref="G236:Q236" si="20">(G74-G128-G182)/G$283</f>
        <v>0</v>
      </c>
      <c r="H236" s="1346">
        <f t="shared" si="20"/>
        <v>0</v>
      </c>
      <c r="I236" s="1346">
        <f t="shared" si="20"/>
        <v>0</v>
      </c>
      <c r="J236" s="1346">
        <f t="shared" si="20"/>
        <v>0</v>
      </c>
      <c r="K236" s="1346">
        <f t="shared" si="20"/>
        <v>0</v>
      </c>
      <c r="L236" s="1346">
        <f t="shared" si="20"/>
        <v>0</v>
      </c>
      <c r="M236" s="1346">
        <f t="shared" si="20"/>
        <v>0</v>
      </c>
      <c r="N236" s="1346">
        <f t="shared" si="20"/>
        <v>0</v>
      </c>
      <c r="O236" s="1346">
        <f t="shared" si="20"/>
        <v>0</v>
      </c>
      <c r="P236" s="1346">
        <f t="shared" si="20"/>
        <v>0</v>
      </c>
      <c r="Q236" s="1346">
        <f t="shared" si="20"/>
        <v>0</v>
      </c>
      <c r="R236" s="355"/>
      <c r="S236" s="2"/>
      <c r="T236" s="2"/>
      <c r="U236" s="2"/>
      <c r="V236" s="2"/>
      <c r="W236" s="2"/>
      <c r="X236" s="152"/>
      <c r="Y236" s="152"/>
      <c r="Z236" s="152"/>
      <c r="AA236" s="152"/>
      <c r="AB236" s="152"/>
      <c r="AC236" s="152"/>
      <c r="AD236" s="152"/>
      <c r="AE236" s="152"/>
      <c r="AF236" s="152"/>
      <c r="AG236" s="152"/>
      <c r="AH236" s="152"/>
      <c r="AI236" s="152"/>
    </row>
    <row r="237" spans="1:35" outlineLevel="1">
      <c r="A237" s="4"/>
      <c r="B237" s="4"/>
      <c r="C237" s="4"/>
      <c r="D237" s="4"/>
      <c r="E237" s="104">
        <f>Asset15</f>
        <v>0</v>
      </c>
      <c r="F237" s="152"/>
      <c r="G237" s="1345">
        <f t="shared" ref="G237:Q237" si="21">(G75-G129-G183)/G$283</f>
        <v>0</v>
      </c>
      <c r="H237" s="1346">
        <f t="shared" si="21"/>
        <v>0</v>
      </c>
      <c r="I237" s="1346">
        <f t="shared" si="21"/>
        <v>0</v>
      </c>
      <c r="J237" s="1346">
        <f t="shared" si="21"/>
        <v>0</v>
      </c>
      <c r="K237" s="1346">
        <f t="shared" si="21"/>
        <v>0</v>
      </c>
      <c r="L237" s="1346">
        <f t="shared" si="21"/>
        <v>0</v>
      </c>
      <c r="M237" s="1346">
        <f t="shared" si="21"/>
        <v>0</v>
      </c>
      <c r="N237" s="1346">
        <f t="shared" si="21"/>
        <v>0</v>
      </c>
      <c r="O237" s="1346">
        <f t="shared" si="21"/>
        <v>0</v>
      </c>
      <c r="P237" s="1346">
        <f t="shared" si="21"/>
        <v>0</v>
      </c>
      <c r="Q237" s="1346">
        <f t="shared" si="21"/>
        <v>0</v>
      </c>
      <c r="R237" s="355"/>
      <c r="S237" s="2"/>
      <c r="T237" s="2"/>
      <c r="U237" s="2"/>
      <c r="V237" s="2"/>
      <c r="W237" s="2"/>
      <c r="X237" s="152"/>
      <c r="Y237" s="152"/>
      <c r="Z237" s="152"/>
      <c r="AA237" s="152"/>
      <c r="AB237" s="152"/>
      <c r="AC237" s="152"/>
      <c r="AD237" s="152"/>
      <c r="AE237" s="152"/>
      <c r="AF237" s="152"/>
      <c r="AG237" s="152"/>
      <c r="AH237" s="152"/>
      <c r="AI237" s="152"/>
    </row>
    <row r="238" spans="1:35" outlineLevel="1">
      <c r="A238" s="4"/>
      <c r="B238" s="4"/>
      <c r="C238" s="4"/>
      <c r="D238" s="4"/>
      <c r="E238" s="104">
        <f>Asset16</f>
        <v>0</v>
      </c>
      <c r="F238" s="152"/>
      <c r="G238" s="1345">
        <f t="shared" ref="G238:Q238" si="22">(G76-G130-G184)/G$283</f>
        <v>0</v>
      </c>
      <c r="H238" s="1346">
        <f t="shared" si="22"/>
        <v>0</v>
      </c>
      <c r="I238" s="1346">
        <f t="shared" si="22"/>
        <v>0</v>
      </c>
      <c r="J238" s="1346">
        <f t="shared" si="22"/>
        <v>0</v>
      </c>
      <c r="K238" s="1346">
        <f t="shared" si="22"/>
        <v>0</v>
      </c>
      <c r="L238" s="1346">
        <f t="shared" si="22"/>
        <v>0</v>
      </c>
      <c r="M238" s="1346">
        <f t="shared" si="22"/>
        <v>0</v>
      </c>
      <c r="N238" s="1346">
        <f t="shared" si="22"/>
        <v>0</v>
      </c>
      <c r="O238" s="1346">
        <f t="shared" si="22"/>
        <v>0</v>
      </c>
      <c r="P238" s="1346">
        <f t="shared" si="22"/>
        <v>0</v>
      </c>
      <c r="Q238" s="1346">
        <f t="shared" si="22"/>
        <v>0</v>
      </c>
      <c r="R238" s="355"/>
      <c r="S238" s="2"/>
      <c r="T238" s="2"/>
      <c r="U238" s="2"/>
      <c r="V238" s="2"/>
      <c r="W238" s="2"/>
      <c r="X238" s="152"/>
      <c r="Y238" s="152"/>
      <c r="Z238" s="152"/>
      <c r="AA238" s="152"/>
      <c r="AB238" s="152"/>
      <c r="AC238" s="152"/>
      <c r="AD238" s="152"/>
      <c r="AE238" s="152"/>
      <c r="AF238" s="152"/>
      <c r="AG238" s="152"/>
      <c r="AH238" s="152"/>
      <c r="AI238" s="152"/>
    </row>
    <row r="239" spans="1:35" outlineLevel="1">
      <c r="A239" s="4"/>
      <c r="B239" s="4"/>
      <c r="C239" s="4"/>
      <c r="D239" s="4"/>
      <c r="E239" s="104">
        <f>Asset17</f>
        <v>0</v>
      </c>
      <c r="F239" s="152"/>
      <c r="G239" s="1345">
        <f t="shared" ref="G239:Q239" si="23">(G77-G131-G185)/G$283</f>
        <v>0</v>
      </c>
      <c r="H239" s="1346">
        <f t="shared" si="23"/>
        <v>0</v>
      </c>
      <c r="I239" s="1346">
        <f t="shared" si="23"/>
        <v>0</v>
      </c>
      <c r="J239" s="1346">
        <f t="shared" si="23"/>
        <v>0</v>
      </c>
      <c r="K239" s="1346">
        <f t="shared" si="23"/>
        <v>0</v>
      </c>
      <c r="L239" s="1346">
        <f t="shared" si="23"/>
        <v>0</v>
      </c>
      <c r="M239" s="1346">
        <f t="shared" si="23"/>
        <v>0</v>
      </c>
      <c r="N239" s="1346">
        <f t="shared" si="23"/>
        <v>0</v>
      </c>
      <c r="O239" s="1346">
        <f t="shared" si="23"/>
        <v>0</v>
      </c>
      <c r="P239" s="1346">
        <f t="shared" si="23"/>
        <v>0</v>
      </c>
      <c r="Q239" s="1346">
        <f t="shared" si="23"/>
        <v>0</v>
      </c>
      <c r="R239" s="355"/>
      <c r="S239" s="2"/>
      <c r="T239" s="2"/>
      <c r="U239" s="2"/>
      <c r="V239" s="2"/>
      <c r="W239" s="2"/>
      <c r="X239" s="152"/>
      <c r="Y239" s="152"/>
      <c r="Z239" s="152"/>
      <c r="AA239" s="152"/>
      <c r="AB239" s="152"/>
      <c r="AC239" s="152"/>
      <c r="AD239" s="152"/>
      <c r="AE239" s="152"/>
      <c r="AF239" s="152"/>
      <c r="AG239" s="152"/>
      <c r="AH239" s="152"/>
      <c r="AI239" s="152"/>
    </row>
    <row r="240" spans="1:35" outlineLevel="1">
      <c r="A240" s="4"/>
      <c r="B240" s="4"/>
      <c r="C240" s="4"/>
      <c r="D240" s="4"/>
      <c r="E240" s="104">
        <f>Asset18</f>
        <v>0</v>
      </c>
      <c r="F240" s="152"/>
      <c r="G240" s="1345">
        <f t="shared" ref="G240:Q240" si="24">(G78-G132-G186)/G$283</f>
        <v>0</v>
      </c>
      <c r="H240" s="1346">
        <f t="shared" si="24"/>
        <v>0</v>
      </c>
      <c r="I240" s="1346">
        <f t="shared" si="24"/>
        <v>0</v>
      </c>
      <c r="J240" s="1346">
        <f t="shared" si="24"/>
        <v>0</v>
      </c>
      <c r="K240" s="1346">
        <f t="shared" si="24"/>
        <v>0</v>
      </c>
      <c r="L240" s="1346">
        <f t="shared" si="24"/>
        <v>0</v>
      </c>
      <c r="M240" s="1346">
        <f t="shared" si="24"/>
        <v>0</v>
      </c>
      <c r="N240" s="1346">
        <f t="shared" si="24"/>
        <v>0</v>
      </c>
      <c r="O240" s="1346">
        <f t="shared" si="24"/>
        <v>0</v>
      </c>
      <c r="P240" s="1346">
        <f t="shared" si="24"/>
        <v>0</v>
      </c>
      <c r="Q240" s="1346">
        <f t="shared" si="24"/>
        <v>0</v>
      </c>
      <c r="R240" s="355"/>
      <c r="S240" s="2"/>
      <c r="T240" s="2"/>
      <c r="U240" s="2"/>
      <c r="V240" s="2"/>
      <c r="W240" s="2"/>
      <c r="X240" s="152"/>
      <c r="Y240" s="152"/>
      <c r="Z240" s="152"/>
      <c r="AA240" s="152"/>
      <c r="AB240" s="152"/>
      <c r="AC240" s="152"/>
      <c r="AD240" s="152"/>
      <c r="AE240" s="152"/>
      <c r="AF240" s="152"/>
      <c r="AG240" s="152"/>
      <c r="AH240" s="152"/>
      <c r="AI240" s="152"/>
    </row>
    <row r="241" spans="1:35" outlineLevel="1">
      <c r="A241" s="4"/>
      <c r="B241" s="4"/>
      <c r="C241" s="4"/>
      <c r="D241" s="4"/>
      <c r="E241" s="104">
        <f>Asset19</f>
        <v>0</v>
      </c>
      <c r="F241" s="152"/>
      <c r="G241" s="1345">
        <f t="shared" ref="G241:Q241" si="25">(G79-G133-G187)/G$283</f>
        <v>0</v>
      </c>
      <c r="H241" s="1346">
        <f t="shared" si="25"/>
        <v>0</v>
      </c>
      <c r="I241" s="1346">
        <f t="shared" si="25"/>
        <v>0</v>
      </c>
      <c r="J241" s="1346">
        <f t="shared" si="25"/>
        <v>0</v>
      </c>
      <c r="K241" s="1346">
        <f t="shared" si="25"/>
        <v>0</v>
      </c>
      <c r="L241" s="1346">
        <f t="shared" si="25"/>
        <v>0</v>
      </c>
      <c r="M241" s="1346">
        <f t="shared" si="25"/>
        <v>0</v>
      </c>
      <c r="N241" s="1346">
        <f t="shared" si="25"/>
        <v>0</v>
      </c>
      <c r="O241" s="1346">
        <f t="shared" si="25"/>
        <v>0</v>
      </c>
      <c r="P241" s="1346">
        <f t="shared" si="25"/>
        <v>0</v>
      </c>
      <c r="Q241" s="1346">
        <f t="shared" si="25"/>
        <v>0</v>
      </c>
      <c r="R241" s="355"/>
      <c r="S241" s="2"/>
      <c r="T241" s="2"/>
      <c r="U241" s="2"/>
      <c r="V241" s="2"/>
      <c r="W241" s="2"/>
      <c r="X241" s="152"/>
      <c r="Y241" s="152"/>
      <c r="Z241" s="152"/>
      <c r="AA241" s="152"/>
      <c r="AB241" s="152"/>
      <c r="AC241" s="152"/>
      <c r="AD241" s="152"/>
      <c r="AE241" s="152"/>
      <c r="AF241" s="152"/>
      <c r="AG241" s="152"/>
      <c r="AH241" s="152"/>
      <c r="AI241" s="152"/>
    </row>
    <row r="242" spans="1:35" outlineLevel="1">
      <c r="A242" s="4"/>
      <c r="B242" s="4"/>
      <c r="C242" s="4"/>
      <c r="D242" s="4"/>
      <c r="E242" s="104">
        <f>Asset20</f>
        <v>0</v>
      </c>
      <c r="F242" s="152"/>
      <c r="G242" s="1345">
        <f t="shared" ref="G242:Q242" si="26">(G80-G134-G188)/G$283</f>
        <v>0</v>
      </c>
      <c r="H242" s="1346">
        <f t="shared" si="26"/>
        <v>0</v>
      </c>
      <c r="I242" s="1346">
        <f t="shared" si="26"/>
        <v>0</v>
      </c>
      <c r="J242" s="1346">
        <f t="shared" si="26"/>
        <v>0</v>
      </c>
      <c r="K242" s="1346">
        <f t="shared" si="26"/>
        <v>0</v>
      </c>
      <c r="L242" s="1346">
        <f t="shared" si="26"/>
        <v>0</v>
      </c>
      <c r="M242" s="1346">
        <f t="shared" si="26"/>
        <v>0</v>
      </c>
      <c r="N242" s="1346">
        <f t="shared" si="26"/>
        <v>0</v>
      </c>
      <c r="O242" s="1346">
        <f t="shared" si="26"/>
        <v>0</v>
      </c>
      <c r="P242" s="1346">
        <f t="shared" si="26"/>
        <v>0</v>
      </c>
      <c r="Q242" s="1346">
        <f t="shared" si="26"/>
        <v>0</v>
      </c>
      <c r="R242" s="355"/>
      <c r="S242" s="2"/>
      <c r="T242" s="2"/>
      <c r="U242" s="2"/>
      <c r="V242" s="2"/>
      <c r="W242" s="2"/>
      <c r="X242" s="152"/>
      <c r="Y242" s="152"/>
      <c r="Z242" s="152"/>
      <c r="AA242" s="152"/>
      <c r="AB242" s="152"/>
      <c r="AC242" s="152"/>
      <c r="AD242" s="152"/>
      <c r="AE242" s="152"/>
      <c r="AF242" s="152"/>
      <c r="AG242" s="152"/>
      <c r="AH242" s="152"/>
      <c r="AI242" s="152"/>
    </row>
    <row r="243" spans="1:35" outlineLevel="1">
      <c r="A243" s="4"/>
      <c r="B243" s="4"/>
      <c r="C243" s="4"/>
      <c r="D243" s="4"/>
      <c r="E243" s="104">
        <f>Asset21</f>
        <v>0</v>
      </c>
      <c r="F243" s="152"/>
      <c r="G243" s="1345">
        <f t="shared" ref="G243:Q243" si="27">(G81-G135-G189)/G$283</f>
        <v>0</v>
      </c>
      <c r="H243" s="1346">
        <f t="shared" si="27"/>
        <v>0</v>
      </c>
      <c r="I243" s="1346">
        <f t="shared" si="27"/>
        <v>0</v>
      </c>
      <c r="J243" s="1346">
        <f t="shared" si="27"/>
        <v>0</v>
      </c>
      <c r="K243" s="1346">
        <f t="shared" si="27"/>
        <v>0</v>
      </c>
      <c r="L243" s="1346">
        <f t="shared" si="27"/>
        <v>0</v>
      </c>
      <c r="M243" s="1346">
        <f t="shared" si="27"/>
        <v>0</v>
      </c>
      <c r="N243" s="1346">
        <f t="shared" si="27"/>
        <v>0</v>
      </c>
      <c r="O243" s="1346">
        <f t="shared" si="27"/>
        <v>0</v>
      </c>
      <c r="P243" s="1346">
        <f t="shared" si="27"/>
        <v>0</v>
      </c>
      <c r="Q243" s="1346">
        <f t="shared" si="27"/>
        <v>0</v>
      </c>
      <c r="R243" s="355"/>
      <c r="S243" s="2"/>
      <c r="T243" s="2"/>
      <c r="U243" s="2"/>
      <c r="V243" s="2"/>
      <c r="W243" s="3"/>
      <c r="X243" s="152"/>
      <c r="Y243" s="152"/>
      <c r="Z243" s="152"/>
      <c r="AA243" s="152"/>
      <c r="AB243" s="152"/>
      <c r="AC243" s="152"/>
      <c r="AD243" s="152"/>
      <c r="AE243" s="152"/>
      <c r="AF243" s="152"/>
      <c r="AG243" s="152"/>
      <c r="AH243" s="152"/>
      <c r="AI243" s="152"/>
    </row>
    <row r="244" spans="1:35" outlineLevel="1">
      <c r="A244" s="4"/>
      <c r="B244" s="4"/>
      <c r="C244" s="4"/>
      <c r="D244" s="4"/>
      <c r="E244" s="104">
        <f>Asset22</f>
        <v>0</v>
      </c>
      <c r="F244" s="152"/>
      <c r="G244" s="1345">
        <f t="shared" ref="G244:Q244" si="28">(G82-G136-G190)/G$283</f>
        <v>0</v>
      </c>
      <c r="H244" s="1346">
        <f t="shared" si="28"/>
        <v>0</v>
      </c>
      <c r="I244" s="1346">
        <f t="shared" si="28"/>
        <v>0</v>
      </c>
      <c r="J244" s="1346">
        <f t="shared" si="28"/>
        <v>0</v>
      </c>
      <c r="K244" s="1346">
        <f t="shared" si="28"/>
        <v>0</v>
      </c>
      <c r="L244" s="1346">
        <f t="shared" si="28"/>
        <v>0</v>
      </c>
      <c r="M244" s="1346">
        <f t="shared" si="28"/>
        <v>0</v>
      </c>
      <c r="N244" s="1346">
        <f t="shared" si="28"/>
        <v>0</v>
      </c>
      <c r="O244" s="1346">
        <f t="shared" si="28"/>
        <v>0</v>
      </c>
      <c r="P244" s="1346">
        <f t="shared" si="28"/>
        <v>0</v>
      </c>
      <c r="Q244" s="1346">
        <f t="shared" si="28"/>
        <v>0</v>
      </c>
      <c r="R244" s="355"/>
      <c r="S244" s="2"/>
      <c r="T244" s="2"/>
      <c r="U244" s="2"/>
      <c r="V244" s="2"/>
      <c r="W244" s="3"/>
      <c r="X244" s="152"/>
      <c r="Y244" s="152"/>
      <c r="Z244" s="152"/>
      <c r="AA244" s="152"/>
      <c r="AB244" s="152"/>
      <c r="AC244" s="152"/>
      <c r="AD244" s="152"/>
      <c r="AE244" s="152"/>
      <c r="AF244" s="152"/>
      <c r="AG244" s="152"/>
      <c r="AH244" s="152"/>
      <c r="AI244" s="152"/>
    </row>
    <row r="245" spans="1:35" outlineLevel="1">
      <c r="A245" s="4"/>
      <c r="B245" s="4"/>
      <c r="C245" s="4"/>
      <c r="D245" s="4"/>
      <c r="E245" s="104">
        <f>Asset23</f>
        <v>0</v>
      </c>
      <c r="F245" s="152"/>
      <c r="G245" s="1345">
        <f t="shared" ref="G245:Q245" si="29">(G83-G137-G191)/G$283</f>
        <v>0</v>
      </c>
      <c r="H245" s="1346">
        <f t="shared" si="29"/>
        <v>0</v>
      </c>
      <c r="I245" s="1346">
        <f t="shared" si="29"/>
        <v>0</v>
      </c>
      <c r="J245" s="1346">
        <f t="shared" si="29"/>
        <v>0</v>
      </c>
      <c r="K245" s="1346">
        <f t="shared" si="29"/>
        <v>0</v>
      </c>
      <c r="L245" s="1346">
        <f t="shared" si="29"/>
        <v>0</v>
      </c>
      <c r="M245" s="1346">
        <f t="shared" si="29"/>
        <v>0</v>
      </c>
      <c r="N245" s="1346">
        <f t="shared" si="29"/>
        <v>0</v>
      </c>
      <c r="O245" s="1346">
        <f t="shared" si="29"/>
        <v>0</v>
      </c>
      <c r="P245" s="1346">
        <f t="shared" si="29"/>
        <v>0</v>
      </c>
      <c r="Q245" s="1346">
        <f t="shared" si="29"/>
        <v>0</v>
      </c>
      <c r="R245" s="355"/>
      <c r="S245" s="2"/>
      <c r="T245" s="2"/>
      <c r="U245" s="2"/>
      <c r="V245" s="2"/>
      <c r="W245" s="3"/>
      <c r="X245" s="152"/>
      <c r="Y245" s="152"/>
      <c r="Z245" s="152"/>
      <c r="AA245" s="152"/>
      <c r="AB245" s="152"/>
      <c r="AC245" s="152"/>
      <c r="AD245" s="152"/>
      <c r="AE245" s="152"/>
      <c r="AF245" s="152"/>
      <c r="AG245" s="152"/>
      <c r="AH245" s="152"/>
      <c r="AI245" s="152"/>
    </row>
    <row r="246" spans="1:35" outlineLevel="1">
      <c r="A246" s="4"/>
      <c r="B246" s="4"/>
      <c r="C246" s="4"/>
      <c r="D246" s="4"/>
      <c r="E246" s="104">
        <f>Asset24</f>
        <v>0</v>
      </c>
      <c r="F246" s="152"/>
      <c r="G246" s="1345">
        <f t="shared" ref="G246:Q246" si="30">(G84-G138-G192)/G$283</f>
        <v>0</v>
      </c>
      <c r="H246" s="1346">
        <f t="shared" si="30"/>
        <v>0</v>
      </c>
      <c r="I246" s="1346">
        <f t="shared" si="30"/>
        <v>0</v>
      </c>
      <c r="J246" s="1346">
        <f t="shared" si="30"/>
        <v>0</v>
      </c>
      <c r="K246" s="1346">
        <f t="shared" si="30"/>
        <v>0</v>
      </c>
      <c r="L246" s="1346">
        <f t="shared" si="30"/>
        <v>0</v>
      </c>
      <c r="M246" s="1346">
        <f t="shared" si="30"/>
        <v>0</v>
      </c>
      <c r="N246" s="1346">
        <f t="shared" si="30"/>
        <v>0</v>
      </c>
      <c r="O246" s="1346">
        <f t="shared" si="30"/>
        <v>0</v>
      </c>
      <c r="P246" s="1346">
        <f t="shared" si="30"/>
        <v>0</v>
      </c>
      <c r="Q246" s="1346">
        <f t="shared" si="30"/>
        <v>0</v>
      </c>
      <c r="R246" s="355"/>
      <c r="S246" s="2"/>
      <c r="T246" s="2"/>
      <c r="U246" s="2"/>
      <c r="V246" s="2"/>
      <c r="W246" s="3"/>
      <c r="X246" s="152"/>
      <c r="Y246" s="152"/>
      <c r="Z246" s="152"/>
      <c r="AA246" s="152"/>
      <c r="AB246" s="152"/>
      <c r="AC246" s="152"/>
      <c r="AD246" s="152"/>
      <c r="AE246" s="152"/>
      <c r="AF246" s="152"/>
      <c r="AG246" s="152"/>
      <c r="AH246" s="152"/>
      <c r="AI246" s="152"/>
    </row>
    <row r="247" spans="1:35" outlineLevel="1">
      <c r="A247" s="4"/>
      <c r="B247" s="4"/>
      <c r="C247" s="4"/>
      <c r="D247" s="4"/>
      <c r="E247" s="104">
        <f>Asset25</f>
        <v>0</v>
      </c>
      <c r="F247" s="152"/>
      <c r="G247" s="1345">
        <f t="shared" ref="G247:Q247" si="31">(G85-G139-G193)/G$283</f>
        <v>0</v>
      </c>
      <c r="H247" s="1346">
        <f t="shared" si="31"/>
        <v>0</v>
      </c>
      <c r="I247" s="1346">
        <f t="shared" si="31"/>
        <v>0</v>
      </c>
      <c r="J247" s="1346">
        <f t="shared" si="31"/>
        <v>0</v>
      </c>
      <c r="K247" s="1346">
        <f t="shared" si="31"/>
        <v>0</v>
      </c>
      <c r="L247" s="1346">
        <f t="shared" si="31"/>
        <v>0</v>
      </c>
      <c r="M247" s="1346">
        <f t="shared" si="31"/>
        <v>0</v>
      </c>
      <c r="N247" s="1346">
        <f t="shared" si="31"/>
        <v>0</v>
      </c>
      <c r="O247" s="1346">
        <f t="shared" si="31"/>
        <v>0</v>
      </c>
      <c r="P247" s="1346">
        <f t="shared" si="31"/>
        <v>0</v>
      </c>
      <c r="Q247" s="1346">
        <f t="shared" si="31"/>
        <v>0</v>
      </c>
      <c r="R247" s="355"/>
      <c r="S247" s="2"/>
      <c r="T247" s="2"/>
      <c r="U247" s="2"/>
      <c r="V247" s="2"/>
      <c r="W247" s="3"/>
      <c r="X247" s="152"/>
      <c r="Y247" s="152"/>
      <c r="Z247" s="152"/>
      <c r="AA247" s="152"/>
      <c r="AB247" s="152"/>
      <c r="AC247" s="152"/>
      <c r="AD247" s="152"/>
      <c r="AE247" s="152"/>
      <c r="AF247" s="152"/>
      <c r="AG247" s="152"/>
      <c r="AH247" s="152"/>
      <c r="AI247" s="152"/>
    </row>
    <row r="248" spans="1:35" outlineLevel="1">
      <c r="A248" s="4"/>
      <c r="B248" s="4"/>
      <c r="C248" s="4"/>
      <c r="D248" s="4"/>
      <c r="E248" s="104">
        <f>Asset26</f>
        <v>0</v>
      </c>
      <c r="F248" s="152"/>
      <c r="G248" s="1345">
        <f t="shared" ref="G248:Q248" si="32">(G86-G140-G194)/G$283</f>
        <v>0</v>
      </c>
      <c r="H248" s="1346">
        <f t="shared" si="32"/>
        <v>0</v>
      </c>
      <c r="I248" s="1346">
        <f t="shared" si="32"/>
        <v>0</v>
      </c>
      <c r="J248" s="1346">
        <f t="shared" si="32"/>
        <v>0</v>
      </c>
      <c r="K248" s="1346">
        <f t="shared" si="32"/>
        <v>0</v>
      </c>
      <c r="L248" s="1346">
        <f t="shared" si="32"/>
        <v>0</v>
      </c>
      <c r="M248" s="1346">
        <f t="shared" si="32"/>
        <v>0</v>
      </c>
      <c r="N248" s="1346">
        <f t="shared" si="32"/>
        <v>0</v>
      </c>
      <c r="O248" s="1346">
        <f t="shared" si="32"/>
        <v>0</v>
      </c>
      <c r="P248" s="1346">
        <f t="shared" si="32"/>
        <v>0</v>
      </c>
      <c r="Q248" s="1346">
        <f t="shared" si="32"/>
        <v>0</v>
      </c>
      <c r="R248" s="355"/>
      <c r="S248" s="2"/>
      <c r="T248" s="2"/>
      <c r="U248" s="2"/>
      <c r="V248" s="2"/>
      <c r="W248" s="3"/>
      <c r="X248" s="152"/>
      <c r="Y248" s="152"/>
      <c r="Z248" s="152"/>
      <c r="AA248" s="152"/>
      <c r="AB248" s="152"/>
      <c r="AC248" s="152"/>
      <c r="AD248" s="152"/>
      <c r="AE248" s="152"/>
      <c r="AF248" s="152"/>
      <c r="AG248" s="152"/>
      <c r="AH248" s="152"/>
      <c r="AI248" s="152"/>
    </row>
    <row r="249" spans="1:35" outlineLevel="1">
      <c r="A249" s="4"/>
      <c r="B249" s="4"/>
      <c r="C249" s="4"/>
      <c r="D249" s="4"/>
      <c r="E249" s="104">
        <f>Asset27</f>
        <v>0</v>
      </c>
      <c r="F249" s="152"/>
      <c r="G249" s="1345">
        <f t="shared" ref="G249:Q249" si="33">(G87-G141-G195)/G$283</f>
        <v>0</v>
      </c>
      <c r="H249" s="1346">
        <f t="shared" si="33"/>
        <v>0</v>
      </c>
      <c r="I249" s="1346">
        <f t="shared" si="33"/>
        <v>0</v>
      </c>
      <c r="J249" s="1346">
        <f t="shared" si="33"/>
        <v>0</v>
      </c>
      <c r="K249" s="1346">
        <f t="shared" si="33"/>
        <v>0</v>
      </c>
      <c r="L249" s="1346">
        <f t="shared" si="33"/>
        <v>0</v>
      </c>
      <c r="M249" s="1346">
        <f t="shared" si="33"/>
        <v>0</v>
      </c>
      <c r="N249" s="1346">
        <f t="shared" si="33"/>
        <v>0</v>
      </c>
      <c r="O249" s="1346">
        <f t="shared" si="33"/>
        <v>0</v>
      </c>
      <c r="P249" s="1346">
        <f t="shared" si="33"/>
        <v>0</v>
      </c>
      <c r="Q249" s="1346">
        <f t="shared" si="33"/>
        <v>0</v>
      </c>
      <c r="R249" s="355"/>
      <c r="S249" s="2"/>
      <c r="T249" s="2"/>
      <c r="U249" s="2"/>
      <c r="V249" s="2"/>
      <c r="W249" s="3"/>
      <c r="X249" s="152"/>
      <c r="Y249" s="152"/>
      <c r="Z249" s="152"/>
      <c r="AA249" s="152"/>
      <c r="AB249" s="152"/>
      <c r="AC249" s="152"/>
      <c r="AD249" s="152"/>
      <c r="AE249" s="152"/>
      <c r="AF249" s="152"/>
      <c r="AG249" s="152"/>
      <c r="AH249" s="152"/>
      <c r="AI249" s="152"/>
    </row>
    <row r="250" spans="1:35" outlineLevel="1">
      <c r="A250" s="4"/>
      <c r="B250" s="4"/>
      <c r="C250" s="4"/>
      <c r="D250" s="4"/>
      <c r="E250" s="104">
        <f>Asset28</f>
        <v>0</v>
      </c>
      <c r="F250" s="152"/>
      <c r="G250" s="1345">
        <f t="shared" ref="G250:Q250" si="34">(G88-G142-G196)/G$283</f>
        <v>0</v>
      </c>
      <c r="H250" s="1346">
        <f t="shared" si="34"/>
        <v>0</v>
      </c>
      <c r="I250" s="1346">
        <f t="shared" si="34"/>
        <v>0</v>
      </c>
      <c r="J250" s="1346">
        <f t="shared" si="34"/>
        <v>0</v>
      </c>
      <c r="K250" s="1346">
        <f t="shared" si="34"/>
        <v>0</v>
      </c>
      <c r="L250" s="1346">
        <f t="shared" si="34"/>
        <v>0</v>
      </c>
      <c r="M250" s="1346">
        <f t="shared" si="34"/>
        <v>0</v>
      </c>
      <c r="N250" s="1346">
        <f t="shared" si="34"/>
        <v>0</v>
      </c>
      <c r="O250" s="1346">
        <f t="shared" si="34"/>
        <v>0</v>
      </c>
      <c r="P250" s="1346">
        <f t="shared" si="34"/>
        <v>0</v>
      </c>
      <c r="Q250" s="1346">
        <f t="shared" si="34"/>
        <v>0</v>
      </c>
      <c r="R250" s="355"/>
      <c r="S250" s="2"/>
      <c r="T250" s="2"/>
      <c r="U250" s="2"/>
      <c r="V250" s="2"/>
      <c r="W250" s="3"/>
      <c r="X250" s="152"/>
      <c r="Y250" s="152"/>
      <c r="Z250" s="152"/>
      <c r="AA250" s="152"/>
      <c r="AB250" s="152"/>
      <c r="AC250" s="152"/>
      <c r="AD250" s="152"/>
      <c r="AE250" s="152"/>
      <c r="AF250" s="152"/>
      <c r="AG250" s="152"/>
      <c r="AH250" s="152"/>
      <c r="AI250" s="152"/>
    </row>
    <row r="251" spans="1:35" outlineLevel="1">
      <c r="A251" s="4"/>
      <c r="B251" s="4"/>
      <c r="C251" s="4"/>
      <c r="D251" s="4"/>
      <c r="E251" s="104">
        <f>Asset29</f>
        <v>0</v>
      </c>
      <c r="F251" s="152"/>
      <c r="G251" s="1345">
        <f t="shared" ref="G251:Q251" si="35">(G89-G143-G197)/G$283</f>
        <v>0</v>
      </c>
      <c r="H251" s="1346">
        <f t="shared" si="35"/>
        <v>0</v>
      </c>
      <c r="I251" s="1346">
        <f t="shared" si="35"/>
        <v>0</v>
      </c>
      <c r="J251" s="1346">
        <f t="shared" si="35"/>
        <v>0</v>
      </c>
      <c r="K251" s="1346">
        <f t="shared" si="35"/>
        <v>0</v>
      </c>
      <c r="L251" s="1346">
        <f t="shared" si="35"/>
        <v>0</v>
      </c>
      <c r="M251" s="1346">
        <f t="shared" si="35"/>
        <v>0</v>
      </c>
      <c r="N251" s="1346">
        <f t="shared" si="35"/>
        <v>0</v>
      </c>
      <c r="O251" s="1346">
        <f t="shared" si="35"/>
        <v>0</v>
      </c>
      <c r="P251" s="1346">
        <f t="shared" si="35"/>
        <v>0</v>
      </c>
      <c r="Q251" s="1346">
        <f t="shared" si="35"/>
        <v>0</v>
      </c>
      <c r="R251" s="355"/>
      <c r="S251" s="2"/>
      <c r="T251" s="2"/>
      <c r="U251" s="2"/>
      <c r="V251" s="2"/>
      <c r="W251" s="3"/>
      <c r="X251" s="152"/>
      <c r="Y251" s="152"/>
      <c r="Z251" s="152"/>
      <c r="AA251" s="152"/>
      <c r="AB251" s="152"/>
      <c r="AC251" s="152"/>
      <c r="AD251" s="152"/>
      <c r="AE251" s="152"/>
      <c r="AF251" s="152"/>
      <c r="AG251" s="152"/>
      <c r="AH251" s="152"/>
      <c r="AI251" s="152"/>
    </row>
    <row r="252" spans="1:35" outlineLevel="1">
      <c r="A252" s="4"/>
      <c r="B252" s="4"/>
      <c r="C252" s="4"/>
      <c r="D252" s="4"/>
      <c r="E252" s="104">
        <f>Asset30</f>
        <v>0</v>
      </c>
      <c r="F252" s="152"/>
      <c r="G252" s="1345">
        <f t="shared" ref="G252:Q252" si="36">(G90-G144-G198)/G$283</f>
        <v>0</v>
      </c>
      <c r="H252" s="1346">
        <f t="shared" si="36"/>
        <v>0</v>
      </c>
      <c r="I252" s="1346">
        <f t="shared" si="36"/>
        <v>0</v>
      </c>
      <c r="J252" s="1346">
        <f t="shared" si="36"/>
        <v>0</v>
      </c>
      <c r="K252" s="1346">
        <f t="shared" si="36"/>
        <v>0</v>
      </c>
      <c r="L252" s="1346">
        <f t="shared" si="36"/>
        <v>0</v>
      </c>
      <c r="M252" s="1346">
        <f t="shared" si="36"/>
        <v>0</v>
      </c>
      <c r="N252" s="1346">
        <f t="shared" si="36"/>
        <v>0</v>
      </c>
      <c r="O252" s="1346">
        <f t="shared" si="36"/>
        <v>0</v>
      </c>
      <c r="P252" s="1346">
        <f t="shared" si="36"/>
        <v>0</v>
      </c>
      <c r="Q252" s="1346">
        <f t="shared" si="36"/>
        <v>0</v>
      </c>
      <c r="R252" s="355"/>
      <c r="S252" s="2"/>
      <c r="T252" s="2"/>
      <c r="U252" s="2"/>
      <c r="V252" s="2"/>
      <c r="W252" s="3"/>
      <c r="X252" s="152"/>
      <c r="Y252" s="152"/>
      <c r="Z252" s="152"/>
      <c r="AA252" s="152"/>
      <c r="AB252" s="152"/>
      <c r="AC252" s="152"/>
      <c r="AD252" s="152"/>
      <c r="AE252" s="152"/>
      <c r="AF252" s="152"/>
      <c r="AG252" s="152"/>
      <c r="AH252" s="152"/>
      <c r="AI252" s="152"/>
    </row>
    <row r="253" spans="1:35" outlineLevel="2">
      <c r="A253" s="4"/>
      <c r="B253" s="4"/>
      <c r="C253" s="4"/>
      <c r="D253" s="4"/>
      <c r="E253" s="104">
        <f>Asset31</f>
        <v>0</v>
      </c>
      <c r="F253" s="152"/>
      <c r="G253" s="1345">
        <f t="shared" ref="G253:Q253" si="37">(G91-G145-G199)/G$283</f>
        <v>0</v>
      </c>
      <c r="H253" s="1346">
        <f t="shared" si="37"/>
        <v>0</v>
      </c>
      <c r="I253" s="1346">
        <f t="shared" si="37"/>
        <v>0</v>
      </c>
      <c r="J253" s="1346">
        <f t="shared" si="37"/>
        <v>0</v>
      </c>
      <c r="K253" s="1346">
        <f t="shared" si="37"/>
        <v>0</v>
      </c>
      <c r="L253" s="1346">
        <f t="shared" si="37"/>
        <v>0</v>
      </c>
      <c r="M253" s="1346">
        <f t="shared" si="37"/>
        <v>0</v>
      </c>
      <c r="N253" s="1346">
        <f t="shared" si="37"/>
        <v>0</v>
      </c>
      <c r="O253" s="1346">
        <f t="shared" si="37"/>
        <v>0</v>
      </c>
      <c r="P253" s="1346">
        <f t="shared" si="37"/>
        <v>0</v>
      </c>
      <c r="Q253" s="1346">
        <f t="shared" si="37"/>
        <v>0</v>
      </c>
      <c r="R253" s="355"/>
      <c r="S253" s="2"/>
      <c r="T253" s="2"/>
      <c r="U253" s="2"/>
      <c r="V253" s="2"/>
      <c r="W253" s="3"/>
      <c r="X253" s="152"/>
      <c r="Y253" s="152"/>
      <c r="Z253" s="152"/>
      <c r="AA253" s="152"/>
      <c r="AB253" s="152"/>
      <c r="AC253" s="152"/>
      <c r="AD253" s="152"/>
      <c r="AE253" s="152"/>
      <c r="AF253" s="152"/>
      <c r="AG253" s="152"/>
      <c r="AH253" s="152"/>
      <c r="AI253" s="152"/>
    </row>
    <row r="254" spans="1:35" outlineLevel="2">
      <c r="A254" s="4"/>
      <c r="B254" s="4"/>
      <c r="C254" s="4"/>
      <c r="D254" s="4"/>
      <c r="E254" s="104">
        <f>Asset32</f>
        <v>0</v>
      </c>
      <c r="F254" s="152"/>
      <c r="G254" s="1345">
        <f t="shared" ref="G254:Q254" si="38">(G92-G146-G200)/G$283</f>
        <v>0</v>
      </c>
      <c r="H254" s="1346">
        <f t="shared" si="38"/>
        <v>0</v>
      </c>
      <c r="I254" s="1346">
        <f t="shared" si="38"/>
        <v>0</v>
      </c>
      <c r="J254" s="1346">
        <f t="shared" si="38"/>
        <v>0</v>
      </c>
      <c r="K254" s="1346">
        <f t="shared" si="38"/>
        <v>0</v>
      </c>
      <c r="L254" s="1346">
        <f t="shared" si="38"/>
        <v>0</v>
      </c>
      <c r="M254" s="1346">
        <f t="shared" si="38"/>
        <v>0</v>
      </c>
      <c r="N254" s="1346">
        <f t="shared" si="38"/>
        <v>0</v>
      </c>
      <c r="O254" s="1346">
        <f t="shared" si="38"/>
        <v>0</v>
      </c>
      <c r="P254" s="1346">
        <f t="shared" si="38"/>
        <v>0</v>
      </c>
      <c r="Q254" s="1346">
        <f t="shared" si="38"/>
        <v>0</v>
      </c>
      <c r="R254" s="355"/>
      <c r="S254" s="2"/>
      <c r="T254" s="2"/>
      <c r="U254" s="2"/>
      <c r="V254" s="2"/>
      <c r="W254" s="3"/>
      <c r="X254" s="152"/>
      <c r="Y254" s="152"/>
      <c r="Z254" s="152"/>
      <c r="AA254" s="152"/>
      <c r="AB254" s="152"/>
      <c r="AC254" s="152"/>
      <c r="AD254" s="152"/>
      <c r="AE254" s="152"/>
      <c r="AF254" s="152"/>
      <c r="AG254" s="152"/>
      <c r="AH254" s="152"/>
      <c r="AI254" s="152"/>
    </row>
    <row r="255" spans="1:35" outlineLevel="2">
      <c r="A255" s="4"/>
      <c r="B255" s="4"/>
      <c r="C255" s="4"/>
      <c r="D255" s="4"/>
      <c r="E255" s="104">
        <f>Asset33</f>
        <v>0</v>
      </c>
      <c r="F255" s="152"/>
      <c r="G255" s="1345">
        <f t="shared" ref="G255:Q255" si="39">(G93-G147-G201)/G$283</f>
        <v>0</v>
      </c>
      <c r="H255" s="1346">
        <f t="shared" si="39"/>
        <v>0</v>
      </c>
      <c r="I255" s="1346">
        <f t="shared" si="39"/>
        <v>0</v>
      </c>
      <c r="J255" s="1346">
        <f t="shared" si="39"/>
        <v>0</v>
      </c>
      <c r="K255" s="1346">
        <f t="shared" si="39"/>
        <v>0</v>
      </c>
      <c r="L255" s="1346">
        <f t="shared" si="39"/>
        <v>0</v>
      </c>
      <c r="M255" s="1346">
        <f t="shared" si="39"/>
        <v>0</v>
      </c>
      <c r="N255" s="1346">
        <f t="shared" si="39"/>
        <v>0</v>
      </c>
      <c r="O255" s="1346">
        <f t="shared" si="39"/>
        <v>0</v>
      </c>
      <c r="P255" s="1346">
        <f t="shared" si="39"/>
        <v>0</v>
      </c>
      <c r="Q255" s="1346">
        <f t="shared" si="39"/>
        <v>0</v>
      </c>
      <c r="R255" s="355"/>
      <c r="S255" s="2"/>
      <c r="T255" s="2"/>
      <c r="U255" s="2"/>
      <c r="V255" s="2"/>
      <c r="W255" s="3"/>
      <c r="X255" s="152"/>
      <c r="Y255" s="152"/>
      <c r="Z255" s="152"/>
      <c r="AA255" s="152"/>
      <c r="AB255" s="152"/>
      <c r="AC255" s="152"/>
      <c r="AD255" s="152"/>
      <c r="AE255" s="152"/>
      <c r="AF255" s="152"/>
      <c r="AG255" s="152"/>
      <c r="AH255" s="152"/>
      <c r="AI255" s="152"/>
    </row>
    <row r="256" spans="1:35" outlineLevel="2">
      <c r="A256" s="4"/>
      <c r="B256" s="4"/>
      <c r="C256" s="4"/>
      <c r="D256" s="4"/>
      <c r="E256" s="104">
        <f>Asset34</f>
        <v>0</v>
      </c>
      <c r="F256" s="152"/>
      <c r="G256" s="1345">
        <f t="shared" ref="G256:Q256" si="40">(G94-G148-G202)/G$283</f>
        <v>0</v>
      </c>
      <c r="H256" s="1346">
        <f t="shared" si="40"/>
        <v>0</v>
      </c>
      <c r="I256" s="1346">
        <f t="shared" si="40"/>
        <v>0</v>
      </c>
      <c r="J256" s="1346">
        <f t="shared" si="40"/>
        <v>0</v>
      </c>
      <c r="K256" s="1346">
        <f t="shared" si="40"/>
        <v>0</v>
      </c>
      <c r="L256" s="1346">
        <f t="shared" si="40"/>
        <v>0</v>
      </c>
      <c r="M256" s="1346">
        <f t="shared" si="40"/>
        <v>0</v>
      </c>
      <c r="N256" s="1346">
        <f t="shared" si="40"/>
        <v>0</v>
      </c>
      <c r="O256" s="1346">
        <f t="shared" si="40"/>
        <v>0</v>
      </c>
      <c r="P256" s="1346">
        <f t="shared" si="40"/>
        <v>0</v>
      </c>
      <c r="Q256" s="1346">
        <f t="shared" si="40"/>
        <v>0</v>
      </c>
      <c r="R256" s="355"/>
      <c r="S256" s="2"/>
      <c r="T256" s="2"/>
      <c r="U256" s="2"/>
      <c r="V256" s="2"/>
      <c r="W256" s="3"/>
      <c r="X256" s="152"/>
      <c r="Y256" s="152"/>
      <c r="Z256" s="152"/>
      <c r="AA256" s="152"/>
      <c r="AB256" s="152"/>
      <c r="AC256" s="152"/>
      <c r="AD256" s="152"/>
      <c r="AE256" s="152"/>
      <c r="AF256" s="152"/>
      <c r="AG256" s="152"/>
      <c r="AH256" s="152"/>
      <c r="AI256" s="152"/>
    </row>
    <row r="257" spans="1:35" outlineLevel="2">
      <c r="A257" s="4"/>
      <c r="B257" s="4"/>
      <c r="C257" s="4"/>
      <c r="D257" s="4"/>
      <c r="E257" s="104">
        <f>Asset35</f>
        <v>0</v>
      </c>
      <c r="F257" s="152"/>
      <c r="G257" s="1345">
        <f t="shared" ref="G257:Q257" si="41">(G95-G149-G203)/G$283</f>
        <v>0</v>
      </c>
      <c r="H257" s="1346">
        <f t="shared" si="41"/>
        <v>0</v>
      </c>
      <c r="I257" s="1346">
        <f t="shared" si="41"/>
        <v>0</v>
      </c>
      <c r="J257" s="1346">
        <f t="shared" si="41"/>
        <v>0</v>
      </c>
      <c r="K257" s="1346">
        <f t="shared" si="41"/>
        <v>0</v>
      </c>
      <c r="L257" s="1346">
        <f t="shared" si="41"/>
        <v>0</v>
      </c>
      <c r="M257" s="1346">
        <f t="shared" si="41"/>
        <v>0</v>
      </c>
      <c r="N257" s="1346">
        <f t="shared" si="41"/>
        <v>0</v>
      </c>
      <c r="O257" s="1346">
        <f t="shared" si="41"/>
        <v>0</v>
      </c>
      <c r="P257" s="1346">
        <f t="shared" si="41"/>
        <v>0</v>
      </c>
      <c r="Q257" s="1346">
        <f t="shared" si="41"/>
        <v>0</v>
      </c>
      <c r="R257" s="355"/>
      <c r="S257" s="2"/>
      <c r="T257" s="2"/>
      <c r="U257" s="2"/>
      <c r="V257" s="2"/>
      <c r="W257" s="3"/>
      <c r="X257" s="152"/>
      <c r="Y257" s="152"/>
      <c r="Z257" s="152"/>
      <c r="AA257" s="152"/>
      <c r="AB257" s="152"/>
      <c r="AC257" s="152"/>
      <c r="AD257" s="152"/>
      <c r="AE257" s="152"/>
      <c r="AF257" s="152"/>
      <c r="AG257" s="152"/>
      <c r="AH257" s="152"/>
      <c r="AI257" s="152"/>
    </row>
    <row r="258" spans="1:35" outlineLevel="2">
      <c r="A258" s="4"/>
      <c r="B258" s="4"/>
      <c r="C258" s="4"/>
      <c r="D258" s="4"/>
      <c r="E258" s="104">
        <f>Asset36</f>
        <v>0</v>
      </c>
      <c r="F258" s="152"/>
      <c r="G258" s="1345">
        <f t="shared" ref="G258:Q258" si="42">(G96-G150-G204)/G$283</f>
        <v>0</v>
      </c>
      <c r="H258" s="1346">
        <f t="shared" si="42"/>
        <v>0</v>
      </c>
      <c r="I258" s="1346">
        <f t="shared" si="42"/>
        <v>0</v>
      </c>
      <c r="J258" s="1346">
        <f t="shared" si="42"/>
        <v>0</v>
      </c>
      <c r="K258" s="1346">
        <f t="shared" si="42"/>
        <v>0</v>
      </c>
      <c r="L258" s="1346">
        <f t="shared" si="42"/>
        <v>0</v>
      </c>
      <c r="M258" s="1346">
        <f t="shared" si="42"/>
        <v>0</v>
      </c>
      <c r="N258" s="1346">
        <f t="shared" si="42"/>
        <v>0</v>
      </c>
      <c r="O258" s="1346">
        <f t="shared" si="42"/>
        <v>0</v>
      </c>
      <c r="P258" s="1346">
        <f t="shared" si="42"/>
        <v>0</v>
      </c>
      <c r="Q258" s="1346">
        <f t="shared" si="42"/>
        <v>0</v>
      </c>
      <c r="R258" s="355"/>
      <c r="S258" s="2"/>
      <c r="T258" s="2"/>
      <c r="U258" s="2"/>
      <c r="V258" s="2"/>
      <c r="W258" s="3"/>
      <c r="X258" s="152"/>
      <c r="Y258" s="152"/>
      <c r="Z258" s="152"/>
      <c r="AA258" s="152"/>
      <c r="AB258" s="152"/>
      <c r="AC258" s="152"/>
      <c r="AD258" s="152"/>
      <c r="AE258" s="152"/>
      <c r="AF258" s="152"/>
      <c r="AG258" s="152"/>
      <c r="AH258" s="152"/>
      <c r="AI258" s="152"/>
    </row>
    <row r="259" spans="1:35" outlineLevel="2">
      <c r="A259" s="4"/>
      <c r="B259" s="4"/>
      <c r="C259" s="4"/>
      <c r="D259" s="4"/>
      <c r="E259" s="104">
        <f>Asset37</f>
        <v>0</v>
      </c>
      <c r="F259" s="152"/>
      <c r="G259" s="1345">
        <f t="shared" ref="G259:Q259" si="43">(G97-G151-G205)/G$283</f>
        <v>0</v>
      </c>
      <c r="H259" s="1346">
        <f t="shared" si="43"/>
        <v>0</v>
      </c>
      <c r="I259" s="1346">
        <f t="shared" si="43"/>
        <v>0</v>
      </c>
      <c r="J259" s="1346">
        <f t="shared" si="43"/>
        <v>0</v>
      </c>
      <c r="K259" s="1346">
        <f t="shared" si="43"/>
        <v>0</v>
      </c>
      <c r="L259" s="1346">
        <f t="shared" si="43"/>
        <v>0</v>
      </c>
      <c r="M259" s="1346">
        <f t="shared" si="43"/>
        <v>0</v>
      </c>
      <c r="N259" s="1346">
        <f t="shared" si="43"/>
        <v>0</v>
      </c>
      <c r="O259" s="1346">
        <f t="shared" si="43"/>
        <v>0</v>
      </c>
      <c r="P259" s="1346">
        <f t="shared" si="43"/>
        <v>0</v>
      </c>
      <c r="Q259" s="1346">
        <f t="shared" si="43"/>
        <v>0</v>
      </c>
      <c r="R259" s="355"/>
      <c r="S259" s="2"/>
      <c r="T259" s="2"/>
      <c r="U259" s="2"/>
      <c r="V259" s="2"/>
      <c r="W259" s="3"/>
      <c r="X259" s="152"/>
      <c r="Y259" s="152"/>
      <c r="Z259" s="152"/>
      <c r="AA259" s="152"/>
      <c r="AB259" s="152"/>
      <c r="AC259" s="152"/>
      <c r="AD259" s="152"/>
      <c r="AE259" s="152"/>
      <c r="AF259" s="152"/>
      <c r="AG259" s="152"/>
      <c r="AH259" s="152"/>
      <c r="AI259" s="152"/>
    </row>
    <row r="260" spans="1:35" outlineLevel="2">
      <c r="A260" s="4"/>
      <c r="B260" s="4"/>
      <c r="C260" s="4"/>
      <c r="D260" s="4"/>
      <c r="E260" s="104">
        <f>Asset38</f>
        <v>0</v>
      </c>
      <c r="F260" s="152"/>
      <c r="G260" s="1345">
        <f t="shared" ref="G260:Q260" si="44">(G98-G152-G206)/G$283</f>
        <v>0</v>
      </c>
      <c r="H260" s="1346">
        <f t="shared" si="44"/>
        <v>0</v>
      </c>
      <c r="I260" s="1346">
        <f t="shared" si="44"/>
        <v>0</v>
      </c>
      <c r="J260" s="1346">
        <f t="shared" si="44"/>
        <v>0</v>
      </c>
      <c r="K260" s="1346">
        <f t="shared" si="44"/>
        <v>0</v>
      </c>
      <c r="L260" s="1346">
        <f t="shared" si="44"/>
        <v>0</v>
      </c>
      <c r="M260" s="1346">
        <f t="shared" si="44"/>
        <v>0</v>
      </c>
      <c r="N260" s="1346">
        <f t="shared" si="44"/>
        <v>0</v>
      </c>
      <c r="O260" s="1346">
        <f t="shared" si="44"/>
        <v>0</v>
      </c>
      <c r="P260" s="1346">
        <f t="shared" si="44"/>
        <v>0</v>
      </c>
      <c r="Q260" s="1346">
        <f t="shared" si="44"/>
        <v>0</v>
      </c>
      <c r="R260" s="355"/>
      <c r="S260" s="2"/>
      <c r="T260" s="2"/>
      <c r="U260" s="2"/>
      <c r="V260" s="2"/>
      <c r="W260" s="3"/>
      <c r="X260" s="152"/>
      <c r="Y260" s="152"/>
      <c r="Z260" s="152"/>
      <c r="AA260" s="152"/>
      <c r="AB260" s="152"/>
      <c r="AC260" s="152"/>
      <c r="AD260" s="152"/>
      <c r="AE260" s="152"/>
      <c r="AF260" s="152"/>
      <c r="AG260" s="152"/>
      <c r="AH260" s="152"/>
      <c r="AI260" s="152"/>
    </row>
    <row r="261" spans="1:35" outlineLevel="2">
      <c r="A261" s="4"/>
      <c r="B261" s="4"/>
      <c r="C261" s="4"/>
      <c r="D261" s="4"/>
      <c r="E261" s="104">
        <f>Asset39</f>
        <v>0</v>
      </c>
      <c r="F261" s="152"/>
      <c r="G261" s="1345">
        <f t="shared" ref="G261:Q261" si="45">(G99-G153-G207)/G$283</f>
        <v>0</v>
      </c>
      <c r="H261" s="1346">
        <f t="shared" si="45"/>
        <v>0</v>
      </c>
      <c r="I261" s="1346">
        <f t="shared" si="45"/>
        <v>0</v>
      </c>
      <c r="J261" s="1346">
        <f t="shared" si="45"/>
        <v>0</v>
      </c>
      <c r="K261" s="1346">
        <f t="shared" si="45"/>
        <v>0</v>
      </c>
      <c r="L261" s="1346">
        <f t="shared" si="45"/>
        <v>0</v>
      </c>
      <c r="M261" s="1346">
        <f t="shared" si="45"/>
        <v>0</v>
      </c>
      <c r="N261" s="1346">
        <f t="shared" si="45"/>
        <v>0</v>
      </c>
      <c r="O261" s="1346">
        <f t="shared" si="45"/>
        <v>0</v>
      </c>
      <c r="P261" s="1346">
        <f t="shared" si="45"/>
        <v>0</v>
      </c>
      <c r="Q261" s="1346">
        <f t="shared" si="45"/>
        <v>0</v>
      </c>
      <c r="R261" s="355"/>
      <c r="S261" s="2"/>
      <c r="T261" s="2"/>
      <c r="U261" s="2"/>
      <c r="V261" s="2"/>
      <c r="W261" s="3"/>
      <c r="X261" s="152"/>
      <c r="Y261" s="152"/>
      <c r="Z261" s="152"/>
      <c r="AA261" s="152"/>
      <c r="AB261" s="152"/>
      <c r="AC261" s="152"/>
      <c r="AD261" s="152"/>
      <c r="AE261" s="152"/>
      <c r="AF261" s="152"/>
      <c r="AG261" s="152"/>
      <c r="AH261" s="152"/>
      <c r="AI261" s="152"/>
    </row>
    <row r="262" spans="1:35" outlineLevel="2">
      <c r="A262" s="4"/>
      <c r="B262" s="4"/>
      <c r="C262" s="4"/>
      <c r="D262" s="4"/>
      <c r="E262" s="104">
        <f>Asset40</f>
        <v>0</v>
      </c>
      <c r="F262" s="152"/>
      <c r="G262" s="1345">
        <f t="shared" ref="G262:Q262" si="46">(G100-G154-G208)/G$283</f>
        <v>0</v>
      </c>
      <c r="H262" s="1346">
        <f t="shared" si="46"/>
        <v>0</v>
      </c>
      <c r="I262" s="1346">
        <f t="shared" si="46"/>
        <v>0</v>
      </c>
      <c r="J262" s="1346">
        <f t="shared" si="46"/>
        <v>0</v>
      </c>
      <c r="K262" s="1346">
        <f t="shared" si="46"/>
        <v>0</v>
      </c>
      <c r="L262" s="1346">
        <f t="shared" si="46"/>
        <v>0</v>
      </c>
      <c r="M262" s="1346">
        <f t="shared" si="46"/>
        <v>0</v>
      </c>
      <c r="N262" s="1346">
        <f t="shared" si="46"/>
        <v>0</v>
      </c>
      <c r="O262" s="1346">
        <f t="shared" si="46"/>
        <v>0</v>
      </c>
      <c r="P262" s="1346">
        <f t="shared" si="46"/>
        <v>0</v>
      </c>
      <c r="Q262" s="1346">
        <f t="shared" si="46"/>
        <v>0</v>
      </c>
      <c r="R262" s="355"/>
      <c r="S262" s="2"/>
      <c r="T262" s="2"/>
      <c r="U262" s="2"/>
      <c r="V262" s="2"/>
      <c r="W262" s="3"/>
      <c r="X262" s="152"/>
      <c r="Y262" s="152"/>
      <c r="Z262" s="152"/>
      <c r="AA262" s="152"/>
      <c r="AB262" s="152"/>
      <c r="AC262" s="152"/>
      <c r="AD262" s="152"/>
      <c r="AE262" s="152"/>
      <c r="AF262" s="152"/>
      <c r="AG262" s="152"/>
      <c r="AH262" s="152"/>
      <c r="AI262" s="152"/>
    </row>
    <row r="263" spans="1:35" outlineLevel="2">
      <c r="A263" s="4"/>
      <c r="B263" s="4"/>
      <c r="C263" s="4"/>
      <c r="D263" s="4"/>
      <c r="E263" s="104">
        <f>Asset41</f>
        <v>0</v>
      </c>
      <c r="F263" s="152"/>
      <c r="G263" s="1345">
        <f t="shared" ref="G263:Q263" si="47">(G101-G155-G209)/G$283</f>
        <v>0</v>
      </c>
      <c r="H263" s="1346">
        <f t="shared" si="47"/>
        <v>0</v>
      </c>
      <c r="I263" s="1346">
        <f t="shared" si="47"/>
        <v>0</v>
      </c>
      <c r="J263" s="1346">
        <f t="shared" si="47"/>
        <v>0</v>
      </c>
      <c r="K263" s="1346">
        <f t="shared" si="47"/>
        <v>0</v>
      </c>
      <c r="L263" s="1346">
        <f t="shared" si="47"/>
        <v>0</v>
      </c>
      <c r="M263" s="1346">
        <f t="shared" si="47"/>
        <v>0</v>
      </c>
      <c r="N263" s="1346">
        <f t="shared" si="47"/>
        <v>0</v>
      </c>
      <c r="O263" s="1346">
        <f t="shared" si="47"/>
        <v>0</v>
      </c>
      <c r="P263" s="1346">
        <f t="shared" si="47"/>
        <v>0</v>
      </c>
      <c r="Q263" s="1346">
        <f t="shared" si="47"/>
        <v>0</v>
      </c>
      <c r="R263" s="355"/>
      <c r="S263" s="2"/>
      <c r="T263" s="2"/>
      <c r="U263" s="2"/>
      <c r="V263" s="2"/>
      <c r="W263" s="3"/>
      <c r="X263" s="152"/>
      <c r="Y263" s="152"/>
      <c r="Z263" s="152"/>
      <c r="AA263" s="152"/>
      <c r="AB263" s="152"/>
      <c r="AC263" s="152"/>
      <c r="AD263" s="152"/>
      <c r="AE263" s="152"/>
      <c r="AF263" s="152"/>
      <c r="AG263" s="152"/>
      <c r="AH263" s="152"/>
      <c r="AI263" s="152"/>
    </row>
    <row r="264" spans="1:35" outlineLevel="2">
      <c r="A264" s="4"/>
      <c r="B264" s="4"/>
      <c r="C264" s="4"/>
      <c r="D264" s="4"/>
      <c r="E264" s="104">
        <f>Asset42</f>
        <v>0</v>
      </c>
      <c r="F264" s="152"/>
      <c r="G264" s="1345">
        <f t="shared" ref="G264:Q264" si="48">(G102-G156-G210)/G$283</f>
        <v>0</v>
      </c>
      <c r="H264" s="1346">
        <f t="shared" si="48"/>
        <v>0</v>
      </c>
      <c r="I264" s="1346">
        <f t="shared" si="48"/>
        <v>0</v>
      </c>
      <c r="J264" s="1346">
        <f t="shared" si="48"/>
        <v>0</v>
      </c>
      <c r="K264" s="1346">
        <f t="shared" si="48"/>
        <v>0</v>
      </c>
      <c r="L264" s="1346">
        <f t="shared" si="48"/>
        <v>0</v>
      </c>
      <c r="M264" s="1346">
        <f t="shared" si="48"/>
        <v>0</v>
      </c>
      <c r="N264" s="1346">
        <f t="shared" si="48"/>
        <v>0</v>
      </c>
      <c r="O264" s="1346">
        <f t="shared" si="48"/>
        <v>0</v>
      </c>
      <c r="P264" s="1346">
        <f t="shared" si="48"/>
        <v>0</v>
      </c>
      <c r="Q264" s="1346">
        <f t="shared" si="48"/>
        <v>0</v>
      </c>
      <c r="R264" s="355"/>
      <c r="S264" s="2"/>
      <c r="T264" s="2"/>
      <c r="U264" s="2"/>
      <c r="V264" s="2"/>
      <c r="W264" s="3"/>
      <c r="X264" s="152"/>
      <c r="Y264" s="152"/>
      <c r="Z264" s="152"/>
      <c r="AA264" s="152"/>
      <c r="AB264" s="152"/>
      <c r="AC264" s="152"/>
      <c r="AD264" s="152"/>
      <c r="AE264" s="152"/>
      <c r="AF264" s="152"/>
      <c r="AG264" s="152"/>
      <c r="AH264" s="152"/>
      <c r="AI264" s="152"/>
    </row>
    <row r="265" spans="1:35" outlineLevel="2">
      <c r="A265" s="4"/>
      <c r="B265" s="4"/>
      <c r="C265" s="4"/>
      <c r="D265" s="4"/>
      <c r="E265" s="104">
        <f>Asset43</f>
        <v>0</v>
      </c>
      <c r="F265" s="152"/>
      <c r="G265" s="1345">
        <f t="shared" ref="G265:Q265" si="49">(G103-G157-G211)/G$283</f>
        <v>0</v>
      </c>
      <c r="H265" s="1346">
        <f t="shared" si="49"/>
        <v>0</v>
      </c>
      <c r="I265" s="1346">
        <f t="shared" si="49"/>
        <v>0</v>
      </c>
      <c r="J265" s="1346">
        <f t="shared" si="49"/>
        <v>0</v>
      </c>
      <c r="K265" s="1346">
        <f t="shared" si="49"/>
        <v>0</v>
      </c>
      <c r="L265" s="1346">
        <f t="shared" si="49"/>
        <v>0</v>
      </c>
      <c r="M265" s="1346">
        <f t="shared" si="49"/>
        <v>0</v>
      </c>
      <c r="N265" s="1346">
        <f t="shared" si="49"/>
        <v>0</v>
      </c>
      <c r="O265" s="1346">
        <f t="shared" si="49"/>
        <v>0</v>
      </c>
      <c r="P265" s="1346">
        <f t="shared" si="49"/>
        <v>0</v>
      </c>
      <c r="Q265" s="1346">
        <f t="shared" si="49"/>
        <v>0</v>
      </c>
      <c r="R265" s="355"/>
      <c r="S265" s="2"/>
      <c r="T265" s="2"/>
      <c r="U265" s="2"/>
      <c r="V265" s="2"/>
      <c r="W265" s="3"/>
      <c r="X265" s="152"/>
      <c r="Y265" s="152"/>
      <c r="Z265" s="152"/>
      <c r="AA265" s="152"/>
      <c r="AB265" s="152"/>
      <c r="AC265" s="152"/>
      <c r="AD265" s="152"/>
      <c r="AE265" s="152"/>
      <c r="AF265" s="152"/>
      <c r="AG265" s="152"/>
      <c r="AH265" s="152"/>
      <c r="AI265" s="152"/>
    </row>
    <row r="266" spans="1:35" outlineLevel="2">
      <c r="A266" s="4"/>
      <c r="B266" s="4"/>
      <c r="C266" s="4"/>
      <c r="D266" s="4"/>
      <c r="E266" s="104">
        <f>Asset44</f>
        <v>0</v>
      </c>
      <c r="F266" s="152"/>
      <c r="G266" s="1345">
        <f t="shared" ref="G266:Q266" si="50">(G104-G158-G212)/G$283</f>
        <v>0</v>
      </c>
      <c r="H266" s="1346">
        <f t="shared" si="50"/>
        <v>0</v>
      </c>
      <c r="I266" s="1346">
        <f t="shared" si="50"/>
        <v>0</v>
      </c>
      <c r="J266" s="1346">
        <f t="shared" si="50"/>
        <v>0</v>
      </c>
      <c r="K266" s="1346">
        <f t="shared" si="50"/>
        <v>0</v>
      </c>
      <c r="L266" s="1346">
        <f t="shared" si="50"/>
        <v>0</v>
      </c>
      <c r="M266" s="1346">
        <f t="shared" si="50"/>
        <v>0</v>
      </c>
      <c r="N266" s="1346">
        <f t="shared" si="50"/>
        <v>0</v>
      </c>
      <c r="O266" s="1346">
        <f t="shared" si="50"/>
        <v>0</v>
      </c>
      <c r="P266" s="1346">
        <f t="shared" si="50"/>
        <v>0</v>
      </c>
      <c r="Q266" s="1346">
        <f t="shared" si="50"/>
        <v>0</v>
      </c>
      <c r="R266" s="355"/>
      <c r="S266" s="2"/>
      <c r="T266" s="2"/>
      <c r="U266" s="2"/>
      <c r="V266" s="2"/>
      <c r="W266" s="3"/>
      <c r="X266" s="152"/>
      <c r="Y266" s="152"/>
      <c r="Z266" s="152"/>
      <c r="AA266" s="152"/>
      <c r="AB266" s="152"/>
      <c r="AC266" s="152"/>
      <c r="AD266" s="152"/>
      <c r="AE266" s="152"/>
      <c r="AF266" s="152"/>
      <c r="AG266" s="152"/>
      <c r="AH266" s="152"/>
      <c r="AI266" s="152"/>
    </row>
    <row r="267" spans="1:35" outlineLevel="2">
      <c r="A267" s="4"/>
      <c r="B267" s="4"/>
      <c r="C267" s="4"/>
      <c r="D267" s="4"/>
      <c r="E267" s="104">
        <f>Asset45</f>
        <v>0</v>
      </c>
      <c r="F267" s="152"/>
      <c r="G267" s="1345">
        <f t="shared" ref="G267:Q267" si="51">(G105-G159-G213)/G$283</f>
        <v>0</v>
      </c>
      <c r="H267" s="1346">
        <f t="shared" si="51"/>
        <v>0</v>
      </c>
      <c r="I267" s="1346">
        <f t="shared" si="51"/>
        <v>0</v>
      </c>
      <c r="J267" s="1346">
        <f t="shared" si="51"/>
        <v>0</v>
      </c>
      <c r="K267" s="1346">
        <f t="shared" si="51"/>
        <v>0</v>
      </c>
      <c r="L267" s="1346">
        <f t="shared" si="51"/>
        <v>0</v>
      </c>
      <c r="M267" s="1346">
        <f t="shared" si="51"/>
        <v>0</v>
      </c>
      <c r="N267" s="1346">
        <f t="shared" si="51"/>
        <v>0</v>
      </c>
      <c r="O267" s="1346">
        <f t="shared" si="51"/>
        <v>0</v>
      </c>
      <c r="P267" s="1346">
        <f t="shared" si="51"/>
        <v>0</v>
      </c>
      <c r="Q267" s="1346">
        <f t="shared" si="51"/>
        <v>0</v>
      </c>
      <c r="R267" s="355"/>
      <c r="S267" s="2"/>
      <c r="T267" s="2"/>
      <c r="U267" s="2"/>
      <c r="V267" s="2"/>
      <c r="W267" s="3"/>
      <c r="X267" s="152"/>
      <c r="Y267" s="152"/>
      <c r="Z267" s="152"/>
      <c r="AA267" s="152"/>
      <c r="AB267" s="152"/>
      <c r="AC267" s="152"/>
      <c r="AD267" s="152"/>
      <c r="AE267" s="152"/>
      <c r="AF267" s="152"/>
      <c r="AG267" s="152"/>
      <c r="AH267" s="152"/>
      <c r="AI267" s="152"/>
    </row>
    <row r="268" spans="1:35" outlineLevel="2">
      <c r="A268" s="4"/>
      <c r="B268" s="4"/>
      <c r="C268" s="4"/>
      <c r="D268" s="4"/>
      <c r="E268" s="104">
        <f>Asset46</f>
        <v>0</v>
      </c>
      <c r="F268" s="152"/>
      <c r="G268" s="1345">
        <f t="shared" ref="G268:Q268" si="52">(G106-G160-G214)/G$283</f>
        <v>0</v>
      </c>
      <c r="H268" s="1346">
        <f t="shared" si="52"/>
        <v>0</v>
      </c>
      <c r="I268" s="1346">
        <f t="shared" si="52"/>
        <v>0</v>
      </c>
      <c r="J268" s="1346">
        <f t="shared" si="52"/>
        <v>0</v>
      </c>
      <c r="K268" s="1346">
        <f t="shared" si="52"/>
        <v>0</v>
      </c>
      <c r="L268" s="1346">
        <f t="shared" si="52"/>
        <v>0</v>
      </c>
      <c r="M268" s="1346">
        <f t="shared" si="52"/>
        <v>0</v>
      </c>
      <c r="N268" s="1346">
        <f t="shared" si="52"/>
        <v>0</v>
      </c>
      <c r="O268" s="1346">
        <f t="shared" si="52"/>
        <v>0</v>
      </c>
      <c r="P268" s="1346">
        <f t="shared" si="52"/>
        <v>0</v>
      </c>
      <c r="Q268" s="1346">
        <f t="shared" si="52"/>
        <v>0</v>
      </c>
      <c r="R268" s="355"/>
      <c r="S268" s="2"/>
      <c r="T268" s="2"/>
      <c r="U268" s="2"/>
      <c r="V268" s="2"/>
      <c r="W268" s="3"/>
      <c r="X268" s="152"/>
      <c r="Y268" s="152"/>
      <c r="Z268" s="152"/>
      <c r="AA268" s="152"/>
      <c r="AB268" s="152"/>
      <c r="AC268" s="152"/>
      <c r="AD268" s="152"/>
      <c r="AE268" s="152"/>
      <c r="AF268" s="152"/>
      <c r="AG268" s="152"/>
      <c r="AH268" s="152"/>
      <c r="AI268" s="152"/>
    </row>
    <row r="269" spans="1:35" outlineLevel="1">
      <c r="A269" s="4"/>
      <c r="B269" s="4"/>
      <c r="C269" s="4"/>
      <c r="D269" s="4"/>
      <c r="E269" s="104">
        <f>Asset47</f>
        <v>0</v>
      </c>
      <c r="F269" s="152"/>
      <c r="G269" s="1345">
        <f t="shared" ref="G269:Q269" si="53">(G107-G161-G215)/G$283</f>
        <v>0</v>
      </c>
      <c r="H269" s="1346">
        <f t="shared" si="53"/>
        <v>0</v>
      </c>
      <c r="I269" s="1346">
        <f t="shared" si="53"/>
        <v>0</v>
      </c>
      <c r="J269" s="1346">
        <f t="shared" si="53"/>
        <v>0</v>
      </c>
      <c r="K269" s="1346">
        <f t="shared" si="53"/>
        <v>0</v>
      </c>
      <c r="L269" s="1346">
        <f t="shared" si="53"/>
        <v>0</v>
      </c>
      <c r="M269" s="1346">
        <f t="shared" si="53"/>
        <v>0</v>
      </c>
      <c r="N269" s="1346">
        <f t="shared" si="53"/>
        <v>0</v>
      </c>
      <c r="O269" s="1346">
        <f t="shared" si="53"/>
        <v>0</v>
      </c>
      <c r="P269" s="1346">
        <f t="shared" si="53"/>
        <v>0</v>
      </c>
      <c r="Q269" s="1346">
        <f t="shared" si="53"/>
        <v>0</v>
      </c>
      <c r="R269" s="355"/>
      <c r="S269" s="2"/>
      <c r="T269" s="2"/>
      <c r="U269" s="2"/>
      <c r="V269" s="2"/>
      <c r="W269" s="3"/>
      <c r="X269" s="152"/>
      <c r="Y269" s="152"/>
      <c r="Z269" s="152"/>
      <c r="AA269" s="152"/>
      <c r="AB269" s="152"/>
      <c r="AC269" s="152"/>
      <c r="AD269" s="152"/>
      <c r="AE269" s="152"/>
      <c r="AF269" s="152"/>
      <c r="AG269" s="152"/>
      <c r="AH269" s="152"/>
      <c r="AI269" s="152"/>
    </row>
    <row r="270" spans="1:35" outlineLevel="1">
      <c r="A270" s="4"/>
      <c r="B270" s="4"/>
      <c r="C270" s="4"/>
      <c r="D270" s="4"/>
      <c r="E270" s="104">
        <f>Asset48</f>
        <v>0</v>
      </c>
      <c r="F270" s="152"/>
      <c r="G270" s="1345">
        <f t="shared" ref="G270:Q270" si="54">(G108-G162-G216)/G$283</f>
        <v>0</v>
      </c>
      <c r="H270" s="1346">
        <f t="shared" si="54"/>
        <v>0</v>
      </c>
      <c r="I270" s="1346">
        <f t="shared" si="54"/>
        <v>0</v>
      </c>
      <c r="J270" s="1346">
        <f t="shared" si="54"/>
        <v>0</v>
      </c>
      <c r="K270" s="1346">
        <f t="shared" si="54"/>
        <v>0</v>
      </c>
      <c r="L270" s="1346">
        <f t="shared" si="54"/>
        <v>0</v>
      </c>
      <c r="M270" s="1346">
        <f t="shared" si="54"/>
        <v>0</v>
      </c>
      <c r="N270" s="1346">
        <f t="shared" si="54"/>
        <v>0</v>
      </c>
      <c r="O270" s="1346">
        <f t="shared" si="54"/>
        <v>0</v>
      </c>
      <c r="P270" s="1346">
        <f t="shared" si="54"/>
        <v>0</v>
      </c>
      <c r="Q270" s="1346">
        <f t="shared" si="54"/>
        <v>0</v>
      </c>
      <c r="R270" s="355"/>
      <c r="S270" s="2"/>
      <c r="T270" s="2"/>
      <c r="U270" s="2"/>
      <c r="V270" s="2"/>
      <c r="W270" s="3"/>
      <c r="X270" s="152"/>
      <c r="Y270" s="152"/>
      <c r="Z270" s="152"/>
      <c r="AA270" s="152"/>
      <c r="AB270" s="152"/>
      <c r="AC270" s="152"/>
      <c r="AD270" s="152"/>
      <c r="AE270" s="152"/>
      <c r="AF270" s="152"/>
      <c r="AG270" s="152"/>
      <c r="AH270" s="152"/>
      <c r="AI270" s="152"/>
    </row>
    <row r="271" spans="1:35" outlineLevel="1">
      <c r="A271" s="4"/>
      <c r="B271" s="4"/>
      <c r="C271" s="4"/>
      <c r="D271" s="4"/>
      <c r="E271" s="104">
        <f>Asset49</f>
        <v>0</v>
      </c>
      <c r="F271" s="152"/>
      <c r="G271" s="1345">
        <f t="shared" ref="G271:Q271" si="55">(G109-G163-G217)/G$283</f>
        <v>0</v>
      </c>
      <c r="H271" s="1346">
        <f t="shared" si="55"/>
        <v>0</v>
      </c>
      <c r="I271" s="1346">
        <f t="shared" si="55"/>
        <v>0</v>
      </c>
      <c r="J271" s="1346">
        <f t="shared" si="55"/>
        <v>0</v>
      </c>
      <c r="K271" s="1346">
        <f t="shared" si="55"/>
        <v>0</v>
      </c>
      <c r="L271" s="1346">
        <f t="shared" si="55"/>
        <v>0</v>
      </c>
      <c r="M271" s="1346">
        <f t="shared" si="55"/>
        <v>0</v>
      </c>
      <c r="N271" s="1346">
        <f t="shared" si="55"/>
        <v>0</v>
      </c>
      <c r="O271" s="1346">
        <f t="shared" si="55"/>
        <v>0</v>
      </c>
      <c r="P271" s="1346">
        <f t="shared" si="55"/>
        <v>0</v>
      </c>
      <c r="Q271" s="1346">
        <f t="shared" si="55"/>
        <v>0</v>
      </c>
      <c r="R271" s="355"/>
      <c r="S271" s="2"/>
      <c r="T271" s="2"/>
      <c r="U271" s="2"/>
      <c r="V271" s="2"/>
      <c r="W271" s="3"/>
      <c r="X271" s="152"/>
      <c r="Y271" s="152"/>
      <c r="Z271" s="152"/>
      <c r="AA271" s="152"/>
      <c r="AB271" s="152"/>
      <c r="AC271" s="152"/>
      <c r="AD271" s="152"/>
      <c r="AE271" s="152"/>
      <c r="AF271" s="152"/>
      <c r="AG271" s="152"/>
      <c r="AH271" s="152"/>
      <c r="AI271" s="152"/>
    </row>
    <row r="272" spans="1:35" outlineLevel="1">
      <c r="A272" s="4"/>
      <c r="B272" s="4"/>
      <c r="C272" s="4"/>
      <c r="D272" s="4"/>
      <c r="E272" s="104">
        <f>Asset50</f>
        <v>0</v>
      </c>
      <c r="F272" s="152"/>
      <c r="G272" s="1345">
        <f t="shared" ref="G272:Q272" si="56">(G110-G164-G218)/G$283</f>
        <v>0</v>
      </c>
      <c r="H272" s="1346">
        <f t="shared" si="56"/>
        <v>0</v>
      </c>
      <c r="I272" s="1346">
        <f t="shared" si="56"/>
        <v>0</v>
      </c>
      <c r="J272" s="1346">
        <f t="shared" si="56"/>
        <v>0</v>
      </c>
      <c r="K272" s="1346">
        <f t="shared" si="56"/>
        <v>0</v>
      </c>
      <c r="L272" s="1346">
        <f t="shared" si="56"/>
        <v>0</v>
      </c>
      <c r="M272" s="1346">
        <f t="shared" si="56"/>
        <v>0</v>
      </c>
      <c r="N272" s="1346">
        <f t="shared" si="56"/>
        <v>0</v>
      </c>
      <c r="O272" s="1346">
        <f t="shared" si="56"/>
        <v>0</v>
      </c>
      <c r="P272" s="1346">
        <f t="shared" si="56"/>
        <v>0</v>
      </c>
      <c r="Q272" s="1346">
        <f t="shared" si="56"/>
        <v>0</v>
      </c>
      <c r="R272" s="355"/>
      <c r="S272" s="2"/>
      <c r="T272" s="2"/>
      <c r="U272" s="2"/>
      <c r="V272" s="2"/>
      <c r="W272" s="3"/>
      <c r="X272" s="152"/>
      <c r="Y272" s="152"/>
      <c r="Z272" s="152"/>
      <c r="AA272" s="152"/>
      <c r="AB272" s="152"/>
      <c r="AC272" s="152"/>
      <c r="AD272" s="152"/>
      <c r="AE272" s="152"/>
      <c r="AF272" s="152"/>
      <c r="AG272" s="152"/>
      <c r="AH272" s="152"/>
      <c r="AI272" s="152"/>
    </row>
    <row r="273" spans="1:35">
      <c r="A273" s="4"/>
      <c r="B273" s="4"/>
      <c r="C273" s="4"/>
      <c r="D273" s="4"/>
      <c r="E273" s="104" t="s">
        <v>18</v>
      </c>
      <c r="G273" s="150">
        <f>SUM(G223:G272)</f>
        <v>27.620017375535785</v>
      </c>
      <c r="H273" s="150">
        <f t="shared" ref="H273:Q273" si="57">SUM(H223:H272)</f>
        <v>19.665141100980065</v>
      </c>
      <c r="I273" s="150">
        <f t="shared" si="57"/>
        <v>20.419446034070351</v>
      </c>
      <c r="J273" s="150">
        <f t="shared" si="57"/>
        <v>21.133405664829663</v>
      </c>
      <c r="K273" s="150">
        <f t="shared" si="57"/>
        <v>18.700230766986333</v>
      </c>
      <c r="L273" s="150">
        <f t="shared" si="57"/>
        <v>16.792276211742646</v>
      </c>
      <c r="M273" s="150">
        <f t="shared" si="57"/>
        <v>22.105626169800516</v>
      </c>
      <c r="N273" s="150">
        <f t="shared" si="57"/>
        <v>8.0141063685891645</v>
      </c>
      <c r="O273" s="150">
        <f t="shared" si="57"/>
        <v>0</v>
      </c>
      <c r="P273" s="150">
        <f t="shared" si="57"/>
        <v>0</v>
      </c>
      <c r="Q273" s="150">
        <f t="shared" si="57"/>
        <v>0</v>
      </c>
      <c r="R273" s="1338"/>
      <c r="S273" s="23"/>
      <c r="T273" s="23"/>
      <c r="U273" s="23"/>
      <c r="V273" s="23"/>
      <c r="W273" s="3"/>
      <c r="X273" s="152"/>
      <c r="Y273" s="152"/>
      <c r="Z273" s="152"/>
      <c r="AA273" s="152"/>
      <c r="AB273" s="152"/>
      <c r="AC273" s="152"/>
      <c r="AD273" s="152"/>
      <c r="AE273" s="152"/>
      <c r="AF273" s="152"/>
      <c r="AG273" s="152"/>
      <c r="AH273" s="152"/>
      <c r="AI273" s="152"/>
    </row>
    <row r="274" spans="1:35" ht="23.25" customHeight="1">
      <c r="A274" s="4"/>
      <c r="B274" s="4"/>
      <c r="C274" s="4"/>
      <c r="D274" s="4"/>
      <c r="E274" s="4"/>
      <c r="F274" s="25"/>
      <c r="G274" s="1347"/>
      <c r="H274" s="1347"/>
      <c r="I274" s="1347"/>
      <c r="J274" s="1347"/>
      <c r="K274" s="1347"/>
      <c r="L274" s="1347"/>
      <c r="M274" s="1347"/>
      <c r="N274" s="1338"/>
      <c r="O274" s="1338"/>
      <c r="P274" s="1338"/>
      <c r="Q274" s="1338"/>
      <c r="R274" s="1341">
        <f>SUM(G273:Q273)</f>
        <v>154.45024969253453</v>
      </c>
      <c r="S274" s="23"/>
      <c r="T274" s="23"/>
      <c r="U274" s="23"/>
      <c r="V274" s="23"/>
      <c r="W274" s="3"/>
      <c r="X274" s="152"/>
      <c r="Y274" s="152"/>
      <c r="Z274" s="152"/>
      <c r="AA274" s="152"/>
      <c r="AB274" s="152"/>
      <c r="AC274" s="152"/>
      <c r="AD274" s="152"/>
      <c r="AE274" s="152"/>
      <c r="AF274" s="152"/>
      <c r="AG274" s="152"/>
      <c r="AH274" s="152"/>
      <c r="AI274" s="152"/>
    </row>
    <row r="275" spans="1:35">
      <c r="A275" s="52"/>
      <c r="B275" s="52"/>
      <c r="C275" s="52"/>
      <c r="D275" s="52"/>
      <c r="E275" s="1580" t="s">
        <v>528</v>
      </c>
      <c r="F275" s="1580"/>
      <c r="G275" s="1580"/>
      <c r="H275" s="98"/>
      <c r="I275" s="98"/>
      <c r="J275" s="98"/>
      <c r="K275" s="98"/>
      <c r="L275" s="98"/>
      <c r="M275" s="98"/>
      <c r="N275" s="98"/>
      <c r="O275" s="98"/>
      <c r="P275" s="98"/>
      <c r="Q275" s="98"/>
      <c r="R275" s="98"/>
      <c r="S275" s="98"/>
      <c r="T275" s="98"/>
      <c r="U275" s="98"/>
      <c r="V275" s="98"/>
      <c r="W275" s="3"/>
      <c r="X275" s="152"/>
      <c r="Y275" s="152"/>
      <c r="Z275" s="152"/>
      <c r="AA275" s="152"/>
      <c r="AB275" s="152"/>
      <c r="AC275" s="152"/>
      <c r="AD275" s="152"/>
      <c r="AE275" s="152"/>
      <c r="AF275" s="152"/>
      <c r="AG275" s="152"/>
      <c r="AH275" s="152"/>
      <c r="AI275" s="152"/>
    </row>
    <row r="276" spans="1:35">
      <c r="A276" s="3"/>
      <c r="B276" s="3"/>
      <c r="C276" s="3"/>
      <c r="D276" s="3"/>
      <c r="E276" s="192"/>
      <c r="F276" s="24"/>
      <c r="G276" s="178" t="s">
        <v>529</v>
      </c>
      <c r="H276" s="179"/>
      <c r="I276" s="31"/>
      <c r="J276" s="31"/>
      <c r="K276" s="31"/>
      <c r="L276" s="31"/>
      <c r="M276" s="3"/>
      <c r="N276" s="3"/>
      <c r="O276" s="3"/>
      <c r="P276" s="3"/>
      <c r="Q276" s="121"/>
      <c r="R276" s="3"/>
      <c r="S276" s="3"/>
      <c r="T276" s="3"/>
      <c r="U276" s="3"/>
      <c r="V276" s="3"/>
      <c r="W276" s="3"/>
      <c r="X276" s="152"/>
      <c r="Y276" s="152"/>
      <c r="Z276" s="152"/>
      <c r="AA276" s="152"/>
      <c r="AB276" s="152"/>
      <c r="AC276" s="152"/>
      <c r="AD276" s="152"/>
      <c r="AE276" s="152"/>
      <c r="AF276" s="152"/>
      <c r="AG276" s="152"/>
      <c r="AH276" s="152"/>
      <c r="AI276" s="152"/>
    </row>
    <row r="277" spans="1:35">
      <c r="A277" s="3"/>
      <c r="B277" s="3"/>
      <c r="C277" s="3"/>
      <c r="D277" s="3"/>
      <c r="E277" s="191" t="s">
        <v>529</v>
      </c>
      <c r="F277" s="24"/>
      <c r="G277" s="180" t="s">
        <v>530</v>
      </c>
      <c r="H277" s="181"/>
      <c r="I277" s="31"/>
      <c r="J277" s="31"/>
      <c r="K277" s="31"/>
      <c r="L277" s="386"/>
      <c r="M277" s="3"/>
      <c r="N277" s="3"/>
      <c r="O277" s="3"/>
      <c r="P277" s="3"/>
      <c r="Q277" s="121"/>
      <c r="R277" s="3"/>
      <c r="S277" s="3"/>
      <c r="T277" s="3"/>
      <c r="U277" s="3"/>
      <c r="V277" s="3"/>
      <c r="W277" s="3"/>
      <c r="X277" s="152"/>
      <c r="Y277" s="152"/>
      <c r="Z277" s="152"/>
      <c r="AA277" s="152"/>
      <c r="AB277" s="152"/>
      <c r="AC277" s="152"/>
      <c r="AD277" s="152"/>
      <c r="AE277" s="152"/>
      <c r="AF277" s="152"/>
      <c r="AG277" s="152"/>
      <c r="AH277" s="152"/>
      <c r="AI277" s="152"/>
    </row>
    <row r="278" spans="1:35">
      <c r="A278" s="3"/>
      <c r="B278" s="3"/>
      <c r="C278" s="3"/>
      <c r="D278" s="3"/>
      <c r="E278" s="192"/>
      <c r="F278" s="24"/>
      <c r="G278" s="183" t="str">
        <f>IF(E277=G276,"Partially-lagged","All-lagged")</f>
        <v>Partially-lagged</v>
      </c>
      <c r="H278" s="184"/>
      <c r="I278" s="31"/>
      <c r="J278" s="31"/>
      <c r="K278" s="31"/>
      <c r="L278" s="31"/>
      <c r="M278" s="3"/>
      <c r="N278" s="3"/>
      <c r="O278" s="3"/>
      <c r="P278" s="3"/>
      <c r="Q278" s="121"/>
      <c r="R278" s="3"/>
      <c r="S278" s="3"/>
      <c r="T278" s="3"/>
      <c r="U278" s="3"/>
      <c r="V278" s="3"/>
      <c r="W278" s="3"/>
      <c r="X278" s="152"/>
      <c r="Y278" s="152"/>
      <c r="Z278" s="152"/>
      <c r="AA278" s="152"/>
      <c r="AB278" s="152"/>
      <c r="AC278" s="152"/>
      <c r="AD278" s="152"/>
      <c r="AE278" s="152"/>
      <c r="AF278" s="152"/>
      <c r="AG278" s="152"/>
      <c r="AH278" s="152"/>
      <c r="AI278" s="152"/>
    </row>
    <row r="279" spans="1:35">
      <c r="A279" s="3"/>
      <c r="B279" s="3"/>
      <c r="C279" s="3"/>
      <c r="D279" s="3"/>
      <c r="E279" s="192"/>
      <c r="F279" s="24"/>
      <c r="G279" s="31"/>
      <c r="H279" s="31"/>
      <c r="I279" s="31"/>
      <c r="J279" s="31"/>
      <c r="K279" s="31"/>
      <c r="L279" s="31"/>
      <c r="M279" s="3"/>
      <c r="N279" s="3"/>
      <c r="O279" s="3"/>
      <c r="P279" s="3"/>
      <c r="Q279" s="121"/>
      <c r="R279" s="3"/>
      <c r="S279" s="3"/>
      <c r="T279" s="3"/>
      <c r="U279" s="3"/>
      <c r="V279" s="3"/>
      <c r="W279" s="3"/>
      <c r="X279" s="152"/>
      <c r="Y279" s="152"/>
      <c r="Z279" s="152"/>
      <c r="AA279" s="152"/>
      <c r="AB279" s="152"/>
      <c r="AC279" s="152"/>
      <c r="AD279" s="152"/>
      <c r="AE279" s="152"/>
      <c r="AF279" s="152"/>
      <c r="AG279" s="152"/>
      <c r="AH279" s="152"/>
      <c r="AI279" s="152"/>
    </row>
    <row r="280" spans="1:35" ht="14.25" customHeight="1">
      <c r="A280" s="52"/>
      <c r="B280" s="52"/>
      <c r="C280" s="52"/>
      <c r="D280" s="52"/>
      <c r="E280" s="1580" t="s">
        <v>22</v>
      </c>
      <c r="F280" s="1580"/>
      <c r="G280" s="1580"/>
      <c r="H280" s="68"/>
      <c r="I280" s="68"/>
      <c r="J280" s="53"/>
      <c r="K280" s="54"/>
      <c r="L280" s="54"/>
      <c r="M280" s="54"/>
      <c r="N280" s="54"/>
      <c r="O280" s="54"/>
      <c r="P280" s="54"/>
      <c r="Q280" s="54"/>
      <c r="R280" s="54"/>
      <c r="S280" s="54"/>
      <c r="T280" s="54"/>
      <c r="U280" s="54"/>
      <c r="V280" s="54"/>
      <c r="W280" s="3"/>
      <c r="X280" s="152"/>
      <c r="Y280" s="152"/>
      <c r="Z280" s="152"/>
      <c r="AA280" s="152"/>
      <c r="AB280" s="152"/>
      <c r="AC280" s="152"/>
      <c r="AD280" s="152"/>
      <c r="AE280" s="152"/>
      <c r="AF280" s="152"/>
      <c r="AG280" s="152"/>
      <c r="AH280" s="152"/>
      <c r="AI280" s="152"/>
    </row>
    <row r="281" spans="1:35" ht="14.25" customHeight="1">
      <c r="A281" s="4"/>
      <c r="B281" s="4"/>
      <c r="C281" s="4"/>
      <c r="D281" s="4"/>
      <c r="E281" s="24" t="s">
        <v>2</v>
      </c>
      <c r="F281" s="1446" t="str">
        <f>IF(LEN(G281)&gt;4,CONCATENATE(LEFT(G281,4)-1&amp;"-"&amp;IF(G281&gt;"2009-10",,"0")&amp;RIGHT(G281,2)-1),G281-1)</f>
        <v>2014-15</v>
      </c>
      <c r="G281" s="94" t="str">
        <f>G$60</f>
        <v>2015-16</v>
      </c>
      <c r="H281" s="94" t="str">
        <f t="shared" ref="H281:Q281" si="58">H$60</f>
        <v>2016-17</v>
      </c>
      <c r="I281" s="94" t="str">
        <f t="shared" si="58"/>
        <v>2017-18</v>
      </c>
      <c r="J281" s="94" t="str">
        <f t="shared" si="58"/>
        <v>2018-19</v>
      </c>
      <c r="K281" s="94" t="str">
        <f t="shared" si="58"/>
        <v>2019-20</v>
      </c>
      <c r="L281" s="94" t="str">
        <f t="shared" si="58"/>
        <v>2020-21</v>
      </c>
      <c r="M281" s="94" t="str">
        <f t="shared" si="58"/>
        <v>2021-22</v>
      </c>
      <c r="N281" s="94" t="str">
        <f t="shared" si="58"/>
        <v>2022-23</v>
      </c>
      <c r="O281" s="94" t="str">
        <f t="shared" si="58"/>
        <v>2023-24</v>
      </c>
      <c r="P281" s="94" t="str">
        <f t="shared" si="58"/>
        <v>2024-25</v>
      </c>
      <c r="Q281" s="94" t="str">
        <f t="shared" si="58"/>
        <v>2025-26</v>
      </c>
      <c r="R281" s="5"/>
      <c r="S281" s="5"/>
      <c r="T281" s="5"/>
      <c r="U281" s="5"/>
      <c r="V281" s="5"/>
      <c r="W281" s="3"/>
      <c r="X281" s="152"/>
      <c r="Y281" s="152"/>
      <c r="Z281" s="152"/>
      <c r="AA281" s="152"/>
      <c r="AB281" s="152"/>
      <c r="AC281" s="152"/>
      <c r="AD281" s="152"/>
      <c r="AE281" s="152"/>
      <c r="AF281" s="152"/>
      <c r="AG281" s="152"/>
      <c r="AH281" s="152"/>
      <c r="AI281" s="152"/>
    </row>
    <row r="282" spans="1:35" ht="12.75" customHeight="1">
      <c r="A282" s="4"/>
      <c r="B282" s="4"/>
      <c r="C282" s="4"/>
      <c r="D282" s="4"/>
      <c r="E282" s="1451" t="str">
        <f>IF($E$277=$G$276,"Actual ","Lagged Actual ")&amp;"CPI Inflation Rate"</f>
        <v>Actual CPI Inflation Rate</v>
      </c>
      <c r="F282" s="1448">
        <v>1.3282732447817747E-2</v>
      </c>
      <c r="G282" s="319">
        <v>1.3108614232209881E-2</v>
      </c>
      <c r="H282" s="78">
        <v>1.4760147601476037E-2</v>
      </c>
      <c r="I282" s="78">
        <v>1.9090909090909047E-2</v>
      </c>
      <c r="J282" s="78">
        <v>1.7841213202497874E-2</v>
      </c>
      <c r="K282" s="78">
        <v>1.8404907975460238E-2</v>
      </c>
      <c r="L282" s="78">
        <v>8.6E-3</v>
      </c>
      <c r="M282" s="112">
        <v>3.4982935153583528E-2</v>
      </c>
      <c r="N282" s="113">
        <v>7.8318219291014124E-2</v>
      </c>
      <c r="O282" s="113">
        <v>0</v>
      </c>
      <c r="P282" s="113">
        <v>0</v>
      </c>
      <c r="Q282" s="113">
        <v>0</v>
      </c>
      <c r="R282" s="6"/>
      <c r="S282" s="6"/>
      <c r="T282" s="6"/>
      <c r="U282" s="6"/>
      <c r="V282" s="6"/>
      <c r="W282" s="3"/>
      <c r="X282" s="152"/>
      <c r="Y282" s="152"/>
      <c r="Z282" s="152"/>
      <c r="AA282" s="152"/>
      <c r="AB282" s="152"/>
      <c r="AC282" s="152"/>
      <c r="AD282" s="152"/>
      <c r="AE282" s="152"/>
      <c r="AF282" s="152"/>
      <c r="AG282" s="152"/>
      <c r="AH282" s="152"/>
      <c r="AI282" s="152"/>
    </row>
    <row r="283" spans="1:35" ht="13.5" customHeight="1">
      <c r="A283" s="4"/>
      <c r="B283" s="4"/>
      <c r="C283" s="4"/>
      <c r="D283" s="4"/>
      <c r="E283" s="132" t="s">
        <v>38</v>
      </c>
      <c r="F283" s="1447">
        <f>G283/(1+IF($E$277=$G$276,F282,G282))</f>
        <v>0.98689138576779034</v>
      </c>
      <c r="G283" s="320">
        <v>1</v>
      </c>
      <c r="H283" s="64">
        <f>G283*(1+IF($E$277=$G$276,G282,H282))</f>
        <v>1.0131086142322099</v>
      </c>
      <c r="I283" s="64">
        <f t="shared" ref="I283:Q283" si="59">H283*(1+IF($E$277=$G$276,H282,I282))</f>
        <v>1.0280622469146041</v>
      </c>
      <c r="J283" s="64">
        <f t="shared" si="59"/>
        <v>1.0476888898102465</v>
      </c>
      <c r="K283" s="64">
        <f t="shared" si="59"/>
        <v>1.0663809306632395</v>
      </c>
      <c r="L283" s="64">
        <f t="shared" si="59"/>
        <v>1.0860075735588821</v>
      </c>
      <c r="M283" s="64">
        <f t="shared" si="59"/>
        <v>1.0953472386914884</v>
      </c>
      <c r="N283" s="64">
        <f t="shared" si="59"/>
        <v>1.1336657001132895</v>
      </c>
      <c r="O283" s="64">
        <f t="shared" si="59"/>
        <v>1.2224523790174631</v>
      </c>
      <c r="P283" s="64">
        <f t="shared" si="59"/>
        <v>1.2224523790174631</v>
      </c>
      <c r="Q283" s="64">
        <f t="shared" si="59"/>
        <v>1.2224523790174631</v>
      </c>
      <c r="R283" s="6"/>
      <c r="S283" s="6"/>
      <c r="T283" s="6"/>
      <c r="U283" s="6"/>
      <c r="V283" s="6"/>
      <c r="W283" s="3"/>
      <c r="X283" s="152"/>
      <c r="Y283" s="152"/>
      <c r="Z283" s="152"/>
      <c r="AA283" s="152"/>
      <c r="AB283" s="152"/>
      <c r="AC283" s="152"/>
      <c r="AD283" s="152"/>
      <c r="AE283" s="152"/>
      <c r="AF283" s="152"/>
      <c r="AG283" s="152"/>
      <c r="AH283" s="152"/>
      <c r="AI283" s="152"/>
    </row>
    <row r="284" spans="1:35" ht="13.5" customHeight="1">
      <c r="A284" s="4"/>
      <c r="B284" s="4"/>
      <c r="C284" s="4"/>
      <c r="D284" s="4"/>
      <c r="E284" s="1451" t="s">
        <v>29</v>
      </c>
      <c r="F284" s="1448">
        <v>2.5499999999999998E-2</v>
      </c>
      <c r="G284" s="319">
        <v>2.5499999999999998E-2</v>
      </c>
      <c r="H284" s="102">
        <v>2.3908812494750926E-2</v>
      </c>
      <c r="I284" s="32">
        <v>2.3908812494750926E-2</v>
      </c>
      <c r="J284" s="32">
        <v>2.3908812494750926E-2</v>
      </c>
      <c r="K284" s="32">
        <v>2.3908812494750926E-2</v>
      </c>
      <c r="L284" s="32">
        <v>0.02</v>
      </c>
      <c r="M284" s="32">
        <v>0.02</v>
      </c>
      <c r="N284" s="32">
        <v>0.02</v>
      </c>
      <c r="O284" s="32">
        <v>0.02</v>
      </c>
      <c r="P284" s="32">
        <v>0.02</v>
      </c>
      <c r="Q284" s="32">
        <v>0.02</v>
      </c>
      <c r="R284" s="6"/>
      <c r="S284" s="6"/>
      <c r="T284" s="6"/>
      <c r="U284" s="6"/>
      <c r="V284" s="6"/>
      <c r="W284" s="3"/>
      <c r="X284" s="152"/>
      <c r="Y284" s="152"/>
      <c r="Z284" s="152"/>
      <c r="AA284" s="152"/>
      <c r="AB284" s="152"/>
      <c r="AC284" s="152"/>
      <c r="AD284" s="152"/>
      <c r="AE284" s="152"/>
      <c r="AF284" s="152"/>
      <c r="AG284" s="152"/>
      <c r="AH284" s="152"/>
      <c r="AI284" s="152"/>
    </row>
    <row r="285" spans="1:35" ht="12.75" customHeight="1">
      <c r="A285" s="4"/>
      <c r="B285" s="4"/>
      <c r="C285" s="4"/>
      <c r="D285" s="4"/>
      <c r="E285" s="132" t="s">
        <v>28</v>
      </c>
      <c r="F285" s="152"/>
      <c r="G285" s="320">
        <v>1</v>
      </c>
      <c r="H285" s="64">
        <f>G285*(1+H284)</f>
        <v>1.0239088124947509</v>
      </c>
      <c r="I285" s="64">
        <f t="shared" ref="I285:Q285" si="60">H285*(1+I284)</f>
        <v>1.0483892563044108</v>
      </c>
      <c r="J285" s="64">
        <f t="shared" si="60"/>
        <v>1.0734549984549042</v>
      </c>
      <c r="K285" s="64">
        <f t="shared" si="60"/>
        <v>1.0991200327345156</v>
      </c>
      <c r="L285" s="64">
        <f t="shared" si="60"/>
        <v>1.1211024333892059</v>
      </c>
      <c r="M285" s="64">
        <f t="shared" si="60"/>
        <v>1.1435244820569901</v>
      </c>
      <c r="N285" s="64">
        <f t="shared" si="60"/>
        <v>1.1663949716981299</v>
      </c>
      <c r="O285" s="64">
        <f>N285*(1+O284)</f>
        <v>1.1897228711320924</v>
      </c>
      <c r="P285" s="64">
        <f t="shared" si="60"/>
        <v>1.2135173285547343</v>
      </c>
      <c r="Q285" s="64">
        <f t="shared" si="60"/>
        <v>1.237787675125829</v>
      </c>
      <c r="R285" s="6"/>
      <c r="S285" s="6"/>
      <c r="T285" s="6"/>
      <c r="U285" s="6"/>
      <c r="V285" s="6"/>
      <c r="W285" s="3"/>
      <c r="X285" s="152"/>
      <c r="Y285" s="152"/>
      <c r="Z285" s="152"/>
      <c r="AA285" s="152"/>
      <c r="AB285" s="152"/>
      <c r="AC285" s="152"/>
      <c r="AD285" s="152"/>
      <c r="AE285" s="152"/>
      <c r="AF285" s="152"/>
      <c r="AG285" s="152"/>
      <c r="AH285" s="152"/>
      <c r="AI285" s="152"/>
    </row>
    <row r="286" spans="1:35" ht="14.25" customHeight="1">
      <c r="A286" s="4"/>
      <c r="B286" s="4"/>
      <c r="C286" s="4"/>
      <c r="D286" s="4"/>
      <c r="E286" s="92"/>
      <c r="F286" s="26"/>
      <c r="G286" s="26"/>
      <c r="H286" s="26"/>
      <c r="I286" s="26"/>
      <c r="J286" s="65"/>
      <c r="K286" s="65"/>
      <c r="L286" s="65"/>
      <c r="M286" s="3"/>
      <c r="N286" s="6"/>
      <c r="O286" s="6"/>
      <c r="P286" s="6"/>
      <c r="Q286" s="6"/>
      <c r="R286" s="6"/>
      <c r="S286" s="6"/>
      <c r="T286" s="6"/>
      <c r="U286" s="6"/>
      <c r="V286" s="6"/>
      <c r="W286" s="3"/>
      <c r="X286" s="152"/>
      <c r="Y286" s="152"/>
      <c r="Z286" s="152"/>
      <c r="AA286" s="152"/>
      <c r="AB286" s="152"/>
      <c r="AC286" s="152"/>
      <c r="AD286" s="152"/>
      <c r="AE286" s="152"/>
      <c r="AF286" s="152"/>
      <c r="AG286" s="152"/>
      <c r="AH286" s="152"/>
      <c r="AI286" s="152"/>
    </row>
    <row r="287" spans="1:35" ht="14.25" customHeight="1">
      <c r="A287" s="4"/>
      <c r="B287" s="4"/>
      <c r="C287" s="4"/>
      <c r="D287" s="4"/>
      <c r="E287" s="1452" t="s">
        <v>30</v>
      </c>
      <c r="F287" s="1449">
        <v>0.1028</v>
      </c>
      <c r="G287" s="319">
        <v>0.1028</v>
      </c>
      <c r="H287" s="78">
        <v>6.1448619751848621E-2</v>
      </c>
      <c r="I287" s="78">
        <v>6.1207051302020365E-2</v>
      </c>
      <c r="J287" s="78">
        <v>6.0634621997413693E-2</v>
      </c>
      <c r="K287" s="78">
        <v>5.9929861757691411E-2</v>
      </c>
      <c r="L287" s="78">
        <v>5.8262937585502578E-2</v>
      </c>
      <c r="M287" s="78">
        <v>4.9599999999999998E-2</v>
      </c>
      <c r="N287" s="78">
        <v>4.8599999999999997E-2</v>
      </c>
      <c r="O287" s="78">
        <v>4.7699999999999999E-2</v>
      </c>
      <c r="P287" s="78">
        <v>4.6899999999999997E-2</v>
      </c>
      <c r="Q287" s="78">
        <v>4.6199999999999998E-2</v>
      </c>
      <c r="R287" s="222"/>
      <c r="S287" s="6"/>
      <c r="T287" s="6"/>
      <c r="U287" s="6"/>
      <c r="V287" s="6"/>
      <c r="W287" s="3"/>
      <c r="X287" s="152"/>
      <c r="Y287" s="152"/>
      <c r="Z287" s="152"/>
      <c r="AA287" s="152"/>
      <c r="AB287" s="152"/>
      <c r="AC287" s="152"/>
      <c r="AD287" s="152"/>
      <c r="AE287" s="152"/>
      <c r="AF287" s="152"/>
      <c r="AG287" s="152"/>
      <c r="AH287" s="152"/>
      <c r="AI287" s="152"/>
    </row>
    <row r="288" spans="1:35">
      <c r="A288" s="4"/>
      <c r="B288" s="4"/>
      <c r="C288" s="4"/>
      <c r="D288" s="4"/>
      <c r="E288" s="132" t="s">
        <v>27</v>
      </c>
      <c r="F288" s="1450">
        <f t="shared" ref="F288" si="61">(1+F287)/(1+F284)-1</f>
        <v>7.5377864456362742E-2</v>
      </c>
      <c r="G288" s="321">
        <f t="shared" ref="G288:Q288" si="62">(1+G287)/(1+G284)-1</f>
        <v>7.5377864456362742E-2</v>
      </c>
      <c r="H288" s="26">
        <f t="shared" si="62"/>
        <v>3.6663232896328113E-2</v>
      </c>
      <c r="I288" s="221">
        <f t="shared" si="62"/>
        <v>3.6427305197610726E-2</v>
      </c>
      <c r="J288" s="221">
        <f t="shared" si="62"/>
        <v>3.5868242420123764E-2</v>
      </c>
      <c r="K288" s="221">
        <f t="shared" si="62"/>
        <v>3.5179938704869018E-2</v>
      </c>
      <c r="L288" s="221">
        <f t="shared" si="62"/>
        <v>3.7512683907355404E-2</v>
      </c>
      <c r="M288" s="221">
        <f t="shared" si="62"/>
        <v>2.9019607843137285E-2</v>
      </c>
      <c r="N288" s="221">
        <f t="shared" si="62"/>
        <v>2.8039215686274543E-2</v>
      </c>
      <c r="O288" s="221">
        <f t="shared" si="62"/>
        <v>2.7156862745097987E-2</v>
      </c>
      <c r="P288" s="221">
        <f t="shared" si="62"/>
        <v>2.6372549019607838E-2</v>
      </c>
      <c r="Q288" s="221">
        <f t="shared" si="62"/>
        <v>2.5686274509803875E-2</v>
      </c>
      <c r="R288" s="3"/>
      <c r="S288" s="6"/>
      <c r="T288" s="6"/>
      <c r="U288" s="6"/>
      <c r="V288" s="6"/>
      <c r="W288" s="3"/>
      <c r="X288" s="152"/>
      <c r="Y288" s="152"/>
      <c r="Z288" s="152"/>
      <c r="AA288" s="152"/>
      <c r="AB288" s="152"/>
      <c r="AC288" s="152"/>
      <c r="AD288" s="152"/>
      <c r="AE288" s="152"/>
      <c r="AF288" s="152"/>
      <c r="AG288" s="152"/>
      <c r="AH288" s="152"/>
      <c r="AI288" s="152"/>
    </row>
    <row r="289" spans="1:35" ht="12.75" customHeight="1">
      <c r="A289" s="4"/>
      <c r="B289" s="4"/>
      <c r="C289" s="4"/>
      <c r="D289" s="4"/>
      <c r="E289" s="132" t="s">
        <v>196</v>
      </c>
      <c r="F289" s="1450">
        <f t="shared" ref="F289" si="63">(1+F288)*(1+F282)-1</f>
        <v>8.9661820910242218E-2</v>
      </c>
      <c r="G289" s="321">
        <f t="shared" ref="G289:Q289" si="64">(1+G288)*(1+G282)-1</f>
        <v>8.9474578035378949E-2</v>
      </c>
      <c r="H289" s="26">
        <f t="shared" si="64"/>
        <v>5.1964535226901143E-2</v>
      </c>
      <c r="I289" s="221">
        <f t="shared" si="64"/>
        <v>5.6213644660474182E-2</v>
      </c>
      <c r="J289" s="221">
        <f t="shared" si="64"/>
        <v>5.4349388582837888E-2</v>
      </c>
      <c r="K289" s="221">
        <f t="shared" si="64"/>
        <v>5.4232330214774693E-2</v>
      </c>
      <c r="L289" s="221">
        <f t="shared" si="64"/>
        <v>4.6435292988958654E-2</v>
      </c>
      <c r="M289" s="221">
        <f t="shared" si="64"/>
        <v>6.5017734056079801E-2</v>
      </c>
      <c r="N289" s="221">
        <f t="shared" si="64"/>
        <v>0.10855341642015426</v>
      </c>
      <c r="O289" s="221">
        <f t="shared" si="64"/>
        <v>2.7156862745097987E-2</v>
      </c>
      <c r="P289" s="221">
        <f t="shared" si="64"/>
        <v>2.6372549019607838E-2</v>
      </c>
      <c r="Q289" s="221">
        <f t="shared" si="64"/>
        <v>2.5686274509803875E-2</v>
      </c>
      <c r="R289" s="3"/>
      <c r="S289" s="3"/>
      <c r="T289" s="3"/>
      <c r="U289" s="3"/>
      <c r="V289" s="3"/>
      <c r="W289" s="3"/>
      <c r="X289" s="152"/>
      <c r="Y289" s="152"/>
      <c r="Z289" s="152"/>
      <c r="AA289" s="152"/>
      <c r="AB289" s="152"/>
      <c r="AC289" s="152"/>
      <c r="AD289" s="152"/>
      <c r="AE289" s="152"/>
      <c r="AF289" s="152"/>
      <c r="AG289" s="152"/>
      <c r="AH289" s="152"/>
      <c r="AI289" s="152"/>
    </row>
    <row r="290" spans="1:35" ht="22.5" customHeight="1">
      <c r="A290" s="4"/>
      <c r="B290" s="4"/>
      <c r="C290" s="4"/>
      <c r="D290" s="4"/>
      <c r="E290" s="4"/>
      <c r="F290" s="390"/>
      <c r="G290" s="3"/>
      <c r="H290" s="9"/>
      <c r="I290" s="245"/>
      <c r="J290" s="3"/>
      <c r="K290" s="3"/>
      <c r="L290" s="3"/>
      <c r="M290" s="3"/>
      <c r="N290" s="3"/>
      <c r="O290" s="3"/>
      <c r="P290" s="3"/>
      <c r="Q290" s="3"/>
      <c r="R290" s="3"/>
      <c r="S290" s="3"/>
      <c r="T290" s="3"/>
      <c r="U290" s="3"/>
      <c r="V290" s="3"/>
      <c r="W290" s="3"/>
      <c r="X290" s="152"/>
      <c r="Y290" s="152"/>
      <c r="Z290" s="152"/>
      <c r="AA290" s="152"/>
      <c r="AB290" s="152"/>
      <c r="AC290" s="152"/>
      <c r="AD290" s="152"/>
      <c r="AE290" s="152"/>
      <c r="AF290" s="152"/>
      <c r="AG290" s="152"/>
      <c r="AH290" s="152"/>
      <c r="AI290" s="152"/>
    </row>
    <row r="291" spans="1:35" ht="15.75" customHeight="1">
      <c r="A291" s="68"/>
      <c r="B291" s="68"/>
      <c r="C291" s="68"/>
      <c r="D291" s="68"/>
      <c r="E291" s="1579" t="s">
        <v>531</v>
      </c>
      <c r="F291" s="1579"/>
      <c r="G291" s="1579"/>
      <c r="H291" s="68"/>
      <c r="I291" s="68"/>
      <c r="J291" s="68"/>
      <c r="K291" s="68"/>
      <c r="L291" s="68"/>
      <c r="M291" s="68"/>
      <c r="N291" s="68"/>
      <c r="O291" s="68"/>
      <c r="P291" s="68"/>
      <c r="Q291" s="68"/>
      <c r="R291" s="68"/>
      <c r="S291" s="68"/>
      <c r="T291" s="68"/>
      <c r="U291" s="68"/>
      <c r="V291" s="68"/>
      <c r="W291" s="3"/>
      <c r="X291" s="152"/>
      <c r="Y291" s="152"/>
      <c r="Z291" s="152"/>
      <c r="AA291" s="152"/>
      <c r="AB291" s="152"/>
      <c r="AC291" s="152"/>
      <c r="AD291" s="152"/>
      <c r="AE291" s="152"/>
      <c r="AF291" s="152"/>
      <c r="AG291" s="152"/>
      <c r="AH291" s="152"/>
      <c r="AI291" s="152"/>
    </row>
    <row r="292" spans="1:35" ht="15.75" customHeight="1">
      <c r="A292" s="4"/>
      <c r="B292" s="4"/>
      <c r="C292" s="4"/>
      <c r="D292" s="4"/>
      <c r="E292" s="177"/>
      <c r="G292" s="388" t="s">
        <v>96</v>
      </c>
      <c r="H292" s="322"/>
      <c r="I292" s="323"/>
      <c r="J292" s="3"/>
      <c r="K292" s="3"/>
      <c r="L292" s="3"/>
      <c r="M292" s="3"/>
      <c r="N292" s="3"/>
      <c r="O292" s="3"/>
      <c r="P292" s="3"/>
      <c r="Q292" s="3"/>
      <c r="R292" s="3"/>
      <c r="S292" s="3"/>
      <c r="T292" s="3"/>
      <c r="U292" s="3"/>
      <c r="V292" s="3"/>
      <c r="W292" s="3"/>
      <c r="X292" s="152"/>
      <c r="Y292" s="152"/>
      <c r="Z292" s="152"/>
      <c r="AA292" s="152"/>
      <c r="AB292" s="152"/>
      <c r="AC292" s="152"/>
      <c r="AD292" s="152"/>
      <c r="AE292" s="152"/>
      <c r="AF292" s="152"/>
      <c r="AG292" s="152"/>
      <c r="AH292" s="152"/>
      <c r="AI292" s="152"/>
    </row>
    <row r="293" spans="1:35" ht="15.6" customHeight="1">
      <c r="A293" s="4"/>
      <c r="B293" s="4"/>
      <c r="C293" s="4"/>
      <c r="D293" s="4"/>
      <c r="E293" s="1453" t="s">
        <v>580</v>
      </c>
      <c r="F293" s="3"/>
      <c r="G293" s="1454" t="s">
        <v>581</v>
      </c>
      <c r="H293" s="324"/>
      <c r="I293" s="325"/>
      <c r="J293" s="3"/>
      <c r="K293" s="331" t="str">
        <f>IF(AND(E293=G294,COUNT(G297:Q346)&gt;0),"Warning: Depreciation method selected means data entered in table below will not affect calculations","")</f>
        <v/>
      </c>
      <c r="L293" s="3"/>
      <c r="M293" s="3"/>
      <c r="N293" s="3"/>
      <c r="O293" s="3"/>
      <c r="P293" s="3"/>
      <c r="Q293" s="3"/>
      <c r="R293" s="3"/>
      <c r="S293" s="3"/>
      <c r="T293" s="3"/>
      <c r="U293" s="3"/>
      <c r="V293" s="3"/>
      <c r="W293" s="3"/>
      <c r="X293" s="152"/>
      <c r="Y293" s="152"/>
      <c r="Z293" s="152"/>
      <c r="AA293" s="152"/>
      <c r="AB293" s="152"/>
      <c r="AC293" s="152"/>
      <c r="AD293" s="152"/>
      <c r="AE293" s="152"/>
      <c r="AF293" s="152"/>
      <c r="AG293" s="152"/>
      <c r="AH293" s="152"/>
      <c r="AI293" s="152"/>
    </row>
    <row r="294" spans="1:35">
      <c r="A294" s="4"/>
      <c r="B294" s="4"/>
      <c r="C294" s="4"/>
      <c r="D294" s="4"/>
      <c r="E294" s="4"/>
      <c r="F294" s="3"/>
      <c r="G294" s="1455" t="s">
        <v>580</v>
      </c>
      <c r="H294" s="97"/>
      <c r="I294" s="325"/>
      <c r="J294" s="3"/>
      <c r="K294" s="3"/>
      <c r="L294" s="3"/>
      <c r="M294" s="3"/>
      <c r="N294" s="3"/>
      <c r="O294" s="3"/>
      <c r="P294" s="3"/>
      <c r="Q294" s="3"/>
      <c r="R294" s="3"/>
      <c r="S294" s="3"/>
      <c r="T294" s="3"/>
      <c r="U294" s="3"/>
      <c r="V294" s="3"/>
      <c r="W294" s="3"/>
      <c r="X294" s="152"/>
      <c r="Y294" s="152"/>
      <c r="Z294" s="152"/>
      <c r="AA294" s="152"/>
      <c r="AB294" s="152"/>
      <c r="AC294" s="152"/>
      <c r="AD294" s="152"/>
      <c r="AE294" s="152"/>
      <c r="AF294" s="152"/>
      <c r="AG294" s="152"/>
      <c r="AH294" s="152"/>
      <c r="AI294" s="152"/>
    </row>
    <row r="295" spans="1:35">
      <c r="A295" s="4"/>
      <c r="B295" s="4"/>
      <c r="C295" s="4"/>
      <c r="D295" s="4"/>
      <c r="E295" s="4"/>
      <c r="F295" s="3"/>
      <c r="G295" s="387" t="str">
        <f>IF(E293=G292,"Forecast","Actual")</f>
        <v>Actual</v>
      </c>
      <c r="H295" s="326"/>
      <c r="I295" s="327"/>
      <c r="J295" s="3"/>
      <c r="K295" s="3"/>
      <c r="L295" s="3"/>
      <c r="M295" s="3"/>
      <c r="N295" s="3"/>
      <c r="O295" s="3"/>
      <c r="P295" s="3"/>
      <c r="Q295" s="3"/>
      <c r="R295" s="3"/>
      <c r="S295" s="3"/>
      <c r="T295" s="3"/>
      <c r="U295" s="3"/>
      <c r="V295" s="3"/>
      <c r="W295" s="3"/>
      <c r="X295" s="152"/>
      <c r="Y295" s="152"/>
      <c r="Z295" s="152"/>
      <c r="AA295" s="152"/>
      <c r="AB295" s="152"/>
      <c r="AC295" s="152"/>
      <c r="AD295" s="152"/>
      <c r="AE295" s="152"/>
      <c r="AF295" s="152"/>
      <c r="AG295" s="152"/>
      <c r="AH295" s="152"/>
      <c r="AI295" s="152"/>
    </row>
    <row r="296" spans="1:35">
      <c r="A296" s="4"/>
      <c r="B296" s="4"/>
      <c r="C296" s="4"/>
      <c r="D296" s="4"/>
      <c r="E296" s="4"/>
      <c r="F296" s="3"/>
      <c r="G296" s="3"/>
      <c r="H296" s="9"/>
      <c r="I296" s="11"/>
      <c r="J296" s="3"/>
      <c r="K296" s="3"/>
      <c r="L296" s="3"/>
      <c r="M296" s="3"/>
      <c r="N296" s="3"/>
      <c r="O296" s="3"/>
      <c r="P296" s="3"/>
      <c r="Q296" s="3"/>
      <c r="R296" s="3"/>
      <c r="S296" s="3"/>
      <c r="T296" s="3"/>
      <c r="U296" s="3"/>
      <c r="V296" s="3"/>
      <c r="W296" s="3"/>
      <c r="X296" s="152"/>
      <c r="Y296" s="152"/>
      <c r="Z296" s="152"/>
      <c r="AA296" s="152"/>
      <c r="AB296" s="152"/>
      <c r="AC296" s="152"/>
      <c r="AD296" s="152"/>
      <c r="AE296" s="152"/>
      <c r="AF296" s="152"/>
      <c r="AG296" s="152"/>
      <c r="AH296" s="152"/>
      <c r="AI296" s="152"/>
    </row>
    <row r="297" spans="1:35" ht="13.5" customHeight="1">
      <c r="A297" s="48"/>
      <c r="B297" s="48"/>
      <c r="C297" s="48"/>
      <c r="D297" s="48"/>
      <c r="E297" s="1582" t="str">
        <f>IF(AND(E293=G294,COUNT(H299:Q348)&gt;0),"Forecast Depreciation/Actual Year-by-Year Tracking Depreciation",IF(E293=G294,"Depreciation method selected means data is not required in table below",IF(E293=G292,"Forecast"&amp;" Straight-line RAB Depreciation ($m Real "&amp;IF(LEN($U$7)&gt;4,CONCATENATE(LEFT($U$7, 4)-1 &amp;"-" &amp;IF($U$7&gt;"2009-10",,"0") &amp;RIGHT($U$7,2)-1),$U$7-1)&amp;")","Actual Year-by-Year Tracking"&amp;" Straight-line RAB Depreciation ($m Real "&amp;IF(LEN($U$7)&gt;4,CONCATENATE(LEFT($U$7, 4)-1 &amp;"-" &amp;IF($U$7&gt;"2009-10",,"0") &amp;RIGHT($U$7,2)-1),$U$7-1)&amp;")")))</f>
        <v>Depreciation method selected means data is not required in table below</v>
      </c>
      <c r="F297" s="1582"/>
      <c r="G297" s="1582"/>
      <c r="H297" s="98"/>
      <c r="I297" s="98"/>
      <c r="J297" s="98"/>
      <c r="K297" s="51"/>
      <c r="L297" s="51"/>
      <c r="M297" s="49"/>
      <c r="N297" s="49"/>
      <c r="O297" s="49"/>
      <c r="P297" s="49"/>
      <c r="Q297" s="49"/>
      <c r="R297" s="49"/>
      <c r="S297" s="49"/>
      <c r="T297" s="49"/>
      <c r="U297" s="49"/>
      <c r="V297" s="49"/>
      <c r="W297" s="3"/>
      <c r="X297" s="152"/>
      <c r="Y297" s="152"/>
      <c r="Z297" s="152"/>
      <c r="AA297" s="152"/>
      <c r="AB297" s="152"/>
      <c r="AC297" s="152"/>
      <c r="AD297" s="152"/>
      <c r="AE297" s="152"/>
      <c r="AF297" s="152"/>
      <c r="AG297" s="152"/>
      <c r="AH297" s="152"/>
      <c r="AI297" s="152"/>
    </row>
    <row r="298" spans="1:35">
      <c r="A298" s="4"/>
      <c r="B298" s="4"/>
      <c r="C298" s="4"/>
      <c r="D298" s="4"/>
      <c r="E298" s="24" t="s">
        <v>2</v>
      </c>
      <c r="F298" s="3"/>
      <c r="G298" s="3"/>
      <c r="H298" s="120" t="str">
        <f t="shared" ref="H298:Q298" si="65">H$60</f>
        <v>2016-17</v>
      </c>
      <c r="I298" s="120" t="str">
        <f t="shared" si="65"/>
        <v>2017-18</v>
      </c>
      <c r="J298" s="120" t="str">
        <f t="shared" si="65"/>
        <v>2018-19</v>
      </c>
      <c r="K298" s="120" t="str">
        <f t="shared" si="65"/>
        <v>2019-20</v>
      </c>
      <c r="L298" s="120" t="str">
        <f t="shared" si="65"/>
        <v>2020-21</v>
      </c>
      <c r="M298" s="120" t="str">
        <f t="shared" si="65"/>
        <v>2021-22</v>
      </c>
      <c r="N298" s="120" t="str">
        <f t="shared" si="65"/>
        <v>2022-23</v>
      </c>
      <c r="O298" s="120" t="str">
        <f t="shared" si="65"/>
        <v>2023-24</v>
      </c>
      <c r="P298" s="120" t="str">
        <f t="shared" si="65"/>
        <v>2024-25</v>
      </c>
      <c r="Q298" s="120" t="str">
        <f t="shared" si="65"/>
        <v>2025-26</v>
      </c>
      <c r="R298" s="2"/>
      <c r="S298" s="2"/>
      <c r="T298" s="2"/>
      <c r="U298" s="2"/>
      <c r="V298" s="2"/>
      <c r="W298" s="3"/>
      <c r="X298" s="152"/>
      <c r="Y298" s="152"/>
      <c r="Z298" s="152"/>
      <c r="AA298" s="152"/>
      <c r="AB298" s="152"/>
      <c r="AC298" s="152"/>
      <c r="AD298" s="152"/>
      <c r="AE298" s="152"/>
      <c r="AF298" s="152"/>
      <c r="AG298" s="152"/>
      <c r="AH298" s="152"/>
      <c r="AI298" s="152"/>
    </row>
    <row r="299" spans="1:35" outlineLevel="1">
      <c r="A299" s="4"/>
      <c r="B299" s="4"/>
      <c r="C299" s="4"/>
      <c r="D299" s="4"/>
      <c r="E299" s="104" t="str">
        <f>Asset1</f>
        <v>Mains</v>
      </c>
      <c r="F299" s="152"/>
      <c r="G299" s="152"/>
      <c r="H299" s="1348"/>
      <c r="I299" s="1332"/>
      <c r="J299" s="1332"/>
      <c r="K299" s="1332"/>
      <c r="L299" s="1332"/>
      <c r="M299" s="1332"/>
      <c r="N299" s="1332"/>
      <c r="O299" s="1332"/>
      <c r="P299" s="1332"/>
      <c r="Q299" s="1332"/>
      <c r="R299" s="355"/>
      <c r="S299" s="2"/>
      <c r="T299" s="2"/>
      <c r="U299" s="2"/>
      <c r="V299" s="2"/>
      <c r="W299" s="3"/>
      <c r="X299" s="152"/>
      <c r="Y299" s="152"/>
      <c r="Z299" s="152"/>
      <c r="AA299" s="152"/>
      <c r="AB299" s="152"/>
      <c r="AC299" s="152"/>
      <c r="AD299" s="152"/>
      <c r="AE299" s="152"/>
      <c r="AF299" s="152"/>
      <c r="AG299" s="152"/>
      <c r="AH299" s="152"/>
      <c r="AI299" s="152"/>
    </row>
    <row r="300" spans="1:35" outlineLevel="1">
      <c r="A300" s="4"/>
      <c r="B300" s="4"/>
      <c r="C300" s="4"/>
      <c r="D300" s="4"/>
      <c r="E300" s="104" t="str">
        <f>Asset2</f>
        <v>Inlets</v>
      </c>
      <c r="F300" s="152"/>
      <c r="G300" s="152"/>
      <c r="H300" s="1349"/>
      <c r="I300" s="1332"/>
      <c r="J300" s="1332"/>
      <c r="K300" s="1332"/>
      <c r="L300" s="1332"/>
      <c r="M300" s="1332"/>
      <c r="N300" s="1332"/>
      <c r="O300" s="1332"/>
      <c r="P300" s="1332"/>
      <c r="Q300" s="1332"/>
      <c r="R300" s="355"/>
      <c r="S300" s="2"/>
      <c r="T300" s="2"/>
      <c r="U300" s="2"/>
      <c r="V300" s="2"/>
      <c r="W300" s="3"/>
      <c r="X300" s="152"/>
      <c r="Y300" s="152"/>
      <c r="Z300" s="152"/>
      <c r="AA300" s="152"/>
      <c r="AB300" s="152"/>
      <c r="AC300" s="152"/>
      <c r="AD300" s="152"/>
      <c r="AE300" s="152"/>
      <c r="AF300" s="152"/>
      <c r="AG300" s="152"/>
      <c r="AH300" s="152"/>
      <c r="AI300" s="152"/>
    </row>
    <row r="301" spans="1:35" outlineLevel="1">
      <c r="A301" s="4"/>
      <c r="B301" s="4"/>
      <c r="C301" s="4"/>
      <c r="D301" s="4"/>
      <c r="E301" s="104" t="str">
        <f>Asset3</f>
        <v>Meters</v>
      </c>
      <c r="F301" s="152"/>
      <c r="G301" s="152"/>
      <c r="H301" s="1349"/>
      <c r="I301" s="1332"/>
      <c r="J301" s="1332"/>
      <c r="K301" s="1332"/>
      <c r="L301" s="1332"/>
      <c r="M301" s="1332"/>
      <c r="N301" s="1332"/>
      <c r="O301" s="1332"/>
      <c r="P301" s="1332"/>
      <c r="Q301" s="1332"/>
      <c r="R301" s="355"/>
      <c r="S301" s="2"/>
      <c r="T301" s="2"/>
      <c r="U301" s="2"/>
      <c r="V301" s="2"/>
      <c r="W301" s="3"/>
      <c r="X301" s="152"/>
      <c r="Y301" s="152"/>
      <c r="Z301" s="152"/>
      <c r="AA301" s="152"/>
      <c r="AB301" s="152"/>
      <c r="AC301" s="152"/>
      <c r="AD301" s="152"/>
      <c r="AE301" s="152"/>
      <c r="AF301" s="152"/>
      <c r="AG301" s="152"/>
      <c r="AH301" s="152"/>
      <c r="AI301" s="152"/>
    </row>
    <row r="302" spans="1:35" outlineLevel="1">
      <c r="A302" s="4"/>
      <c r="B302" s="4"/>
      <c r="C302" s="4"/>
      <c r="D302" s="4"/>
      <c r="E302" s="104" t="str">
        <f>Asset4</f>
        <v>Telemetry</v>
      </c>
      <c r="F302" s="152"/>
      <c r="G302" s="152"/>
      <c r="H302" s="1349"/>
      <c r="I302" s="1332"/>
      <c r="J302" s="1332"/>
      <c r="K302" s="1332"/>
      <c r="L302" s="1332"/>
      <c r="M302" s="1332"/>
      <c r="N302" s="1332"/>
      <c r="O302" s="1332"/>
      <c r="P302" s="1332"/>
      <c r="Q302" s="1332"/>
      <c r="R302" s="355"/>
      <c r="S302" s="2"/>
      <c r="T302" s="2"/>
      <c r="U302" s="2"/>
      <c r="V302" s="2"/>
      <c r="W302" s="3"/>
      <c r="X302" s="152"/>
      <c r="Y302" s="152"/>
      <c r="Z302" s="152"/>
      <c r="AA302" s="152"/>
      <c r="AB302" s="152"/>
      <c r="AC302" s="152"/>
      <c r="AD302" s="152"/>
      <c r="AE302" s="152"/>
      <c r="AF302" s="152"/>
      <c r="AG302" s="152"/>
      <c r="AH302" s="152"/>
      <c r="AI302" s="152"/>
    </row>
    <row r="303" spans="1:35" outlineLevel="1">
      <c r="A303" s="4"/>
      <c r="B303" s="4"/>
      <c r="C303" s="4"/>
      <c r="D303" s="4"/>
      <c r="E303" s="104" t="str">
        <f>Asset5</f>
        <v>IT System</v>
      </c>
      <c r="F303" s="152"/>
      <c r="G303" s="152"/>
      <c r="H303" s="1349"/>
      <c r="I303" s="1332"/>
      <c r="J303" s="1332"/>
      <c r="K303" s="1332"/>
      <c r="L303" s="1332"/>
      <c r="M303" s="1332"/>
      <c r="N303" s="1332"/>
      <c r="O303" s="1332"/>
      <c r="P303" s="1332"/>
      <c r="Q303" s="1332"/>
      <c r="R303" s="355"/>
      <c r="S303" s="2"/>
      <c r="T303" s="2"/>
      <c r="U303" s="2"/>
      <c r="V303" s="2"/>
      <c r="W303" s="3"/>
      <c r="X303" s="152"/>
      <c r="Y303" s="152"/>
      <c r="Z303" s="152"/>
      <c r="AA303" s="152"/>
      <c r="AB303" s="152"/>
      <c r="AC303" s="152"/>
      <c r="AD303" s="152"/>
      <c r="AE303" s="152"/>
      <c r="AF303" s="152"/>
      <c r="AG303" s="152"/>
      <c r="AH303" s="152"/>
      <c r="AI303" s="152"/>
    </row>
    <row r="304" spans="1:35" outlineLevel="1">
      <c r="A304" s="4"/>
      <c r="B304" s="4"/>
      <c r="C304" s="4"/>
      <c r="D304" s="4"/>
      <c r="E304" s="104" t="str">
        <f>Asset6</f>
        <v>Other Distribution System Equipment</v>
      </c>
      <c r="F304" s="152"/>
      <c r="G304" s="152"/>
      <c r="H304" s="1349"/>
      <c r="I304" s="1332"/>
      <c r="J304" s="1332"/>
      <c r="K304" s="1332"/>
      <c r="L304" s="1332"/>
      <c r="M304" s="1332"/>
      <c r="N304" s="1332"/>
      <c r="O304" s="1332"/>
      <c r="P304" s="1332"/>
      <c r="Q304" s="1332"/>
      <c r="R304" s="355"/>
      <c r="S304" s="2"/>
      <c r="T304" s="2"/>
      <c r="U304" s="2"/>
      <c r="V304" s="2"/>
      <c r="W304" s="3"/>
      <c r="X304" s="152"/>
      <c r="Y304" s="152"/>
      <c r="Z304" s="152"/>
      <c r="AA304" s="152"/>
      <c r="AB304" s="152"/>
      <c r="AC304" s="152"/>
      <c r="AD304" s="152"/>
      <c r="AE304" s="152"/>
      <c r="AF304" s="152"/>
      <c r="AG304" s="152"/>
      <c r="AH304" s="152"/>
      <c r="AI304" s="152"/>
    </row>
    <row r="305" spans="1:35" outlineLevel="1">
      <c r="A305" s="4"/>
      <c r="B305" s="4"/>
      <c r="C305" s="4"/>
      <c r="D305" s="4"/>
      <c r="E305" s="104" t="str">
        <f>Asset7</f>
        <v>Other</v>
      </c>
      <c r="F305" s="152"/>
      <c r="G305" s="152"/>
      <c r="H305" s="1349"/>
      <c r="I305" s="1332"/>
      <c r="J305" s="1332"/>
      <c r="K305" s="1332"/>
      <c r="L305" s="1332"/>
      <c r="M305" s="1332"/>
      <c r="N305" s="1332"/>
      <c r="O305" s="1332"/>
      <c r="P305" s="1332"/>
      <c r="Q305" s="1332"/>
      <c r="R305" s="355"/>
      <c r="S305" s="2"/>
      <c r="T305" s="2"/>
      <c r="U305" s="2"/>
      <c r="V305" s="2"/>
      <c r="W305" s="3"/>
      <c r="X305" s="152"/>
      <c r="Y305" s="152"/>
      <c r="Z305" s="152"/>
      <c r="AA305" s="152"/>
      <c r="AB305" s="152"/>
      <c r="AC305" s="152"/>
      <c r="AD305" s="152"/>
      <c r="AE305" s="152"/>
      <c r="AF305" s="152"/>
      <c r="AG305" s="152"/>
      <c r="AH305" s="152"/>
      <c r="AI305" s="152"/>
    </row>
    <row r="306" spans="1:35" outlineLevel="1">
      <c r="A306" s="4"/>
      <c r="B306" s="4"/>
      <c r="C306" s="4"/>
      <c r="D306" s="4"/>
      <c r="E306" s="104">
        <f>Asset8</f>
        <v>0</v>
      </c>
      <c r="F306" s="152"/>
      <c r="G306" s="152"/>
      <c r="H306" s="1349"/>
      <c r="I306" s="1332"/>
      <c r="J306" s="1332"/>
      <c r="K306" s="1332"/>
      <c r="L306" s="1332"/>
      <c r="M306" s="1332"/>
      <c r="N306" s="1332"/>
      <c r="O306" s="1332"/>
      <c r="P306" s="1332"/>
      <c r="Q306" s="1332"/>
      <c r="R306" s="355"/>
      <c r="S306" s="2"/>
      <c r="T306" s="2"/>
      <c r="U306" s="2"/>
      <c r="V306" s="2"/>
      <c r="W306" s="3"/>
      <c r="X306" s="152"/>
      <c r="Y306" s="152"/>
      <c r="Z306" s="152"/>
      <c r="AA306" s="152"/>
      <c r="AB306" s="152"/>
      <c r="AC306" s="152"/>
      <c r="AD306" s="152"/>
      <c r="AE306" s="152"/>
      <c r="AF306" s="152"/>
      <c r="AG306" s="152"/>
      <c r="AH306" s="152"/>
      <c r="AI306" s="152"/>
    </row>
    <row r="307" spans="1:35" outlineLevel="1">
      <c r="A307" s="4"/>
      <c r="B307" s="4"/>
      <c r="C307" s="4"/>
      <c r="D307" s="4"/>
      <c r="E307" s="104">
        <f>Asset9</f>
        <v>0</v>
      </c>
      <c r="F307" s="152"/>
      <c r="G307" s="152"/>
      <c r="H307" s="1349"/>
      <c r="I307" s="1332"/>
      <c r="J307" s="1332"/>
      <c r="K307" s="1332"/>
      <c r="L307" s="1332"/>
      <c r="M307" s="1332"/>
      <c r="N307" s="1332"/>
      <c r="O307" s="1332"/>
      <c r="P307" s="1332"/>
      <c r="Q307" s="1332"/>
      <c r="R307" s="355"/>
      <c r="S307" s="2"/>
      <c r="T307" s="2"/>
      <c r="U307" s="2"/>
      <c r="V307" s="2"/>
      <c r="W307" s="3"/>
      <c r="X307" s="152"/>
      <c r="Y307" s="152"/>
      <c r="Z307" s="152"/>
      <c r="AA307" s="152"/>
      <c r="AB307" s="152"/>
      <c r="AC307" s="152"/>
      <c r="AD307" s="152"/>
      <c r="AE307" s="152"/>
      <c r="AF307" s="152"/>
      <c r="AG307" s="152"/>
      <c r="AH307" s="152"/>
      <c r="AI307" s="152"/>
    </row>
    <row r="308" spans="1:35" outlineLevel="1">
      <c r="A308" s="4"/>
      <c r="B308" s="4"/>
      <c r="C308" s="4"/>
      <c r="D308" s="4"/>
      <c r="E308" s="104">
        <f>Asset10</f>
        <v>0</v>
      </c>
      <c r="F308" s="152"/>
      <c r="G308" s="152"/>
      <c r="H308" s="1349"/>
      <c r="I308" s="1332"/>
      <c r="J308" s="1332"/>
      <c r="K308" s="1332"/>
      <c r="L308" s="1332"/>
      <c r="M308" s="1332"/>
      <c r="N308" s="1332"/>
      <c r="O308" s="1332"/>
      <c r="P308" s="1332"/>
      <c r="Q308" s="1332"/>
      <c r="R308" s="355"/>
      <c r="S308" s="2"/>
      <c r="T308" s="2"/>
      <c r="U308" s="2"/>
      <c r="V308" s="2"/>
      <c r="W308" s="3"/>
      <c r="X308" s="152"/>
      <c r="Y308" s="152"/>
      <c r="Z308" s="152"/>
      <c r="AA308" s="152"/>
      <c r="AB308" s="152"/>
      <c r="AC308" s="152"/>
      <c r="AD308" s="152"/>
      <c r="AE308" s="152"/>
      <c r="AF308" s="152"/>
      <c r="AG308" s="152"/>
      <c r="AH308" s="152"/>
      <c r="AI308" s="152"/>
    </row>
    <row r="309" spans="1:35" outlineLevel="1">
      <c r="A309" s="4"/>
      <c r="B309" s="4"/>
      <c r="C309" s="4"/>
      <c r="D309" s="4"/>
      <c r="E309" s="104">
        <f>Asset11</f>
        <v>0</v>
      </c>
      <c r="F309" s="152"/>
      <c r="G309" s="152"/>
      <c r="H309" s="1349"/>
      <c r="I309" s="1332"/>
      <c r="J309" s="1332"/>
      <c r="K309" s="1332"/>
      <c r="L309" s="1332"/>
      <c r="M309" s="1332"/>
      <c r="N309" s="1332"/>
      <c r="O309" s="1332"/>
      <c r="P309" s="1332"/>
      <c r="Q309" s="1332"/>
      <c r="R309" s="355"/>
      <c r="S309" s="2"/>
      <c r="T309" s="2"/>
      <c r="U309" s="2"/>
      <c r="V309" s="2"/>
      <c r="W309" s="3"/>
      <c r="X309" s="152"/>
      <c r="Y309" s="152"/>
      <c r="Z309" s="152"/>
      <c r="AA309" s="152"/>
      <c r="AB309" s="152"/>
      <c r="AC309" s="152"/>
      <c r="AD309" s="152"/>
      <c r="AE309" s="152"/>
      <c r="AF309" s="152"/>
      <c r="AG309" s="152"/>
      <c r="AH309" s="152"/>
      <c r="AI309" s="152"/>
    </row>
    <row r="310" spans="1:35" outlineLevel="1">
      <c r="A310" s="4"/>
      <c r="B310" s="4"/>
      <c r="C310" s="4"/>
      <c r="D310" s="4"/>
      <c r="E310" s="104">
        <f>Asset12</f>
        <v>0</v>
      </c>
      <c r="F310" s="152"/>
      <c r="G310" s="152"/>
      <c r="H310" s="1349"/>
      <c r="I310" s="1332"/>
      <c r="J310" s="1332"/>
      <c r="K310" s="1332"/>
      <c r="L310" s="1332"/>
      <c r="M310" s="1332"/>
      <c r="N310" s="1332"/>
      <c r="O310" s="1332"/>
      <c r="P310" s="1332"/>
      <c r="Q310" s="1332"/>
      <c r="R310" s="355"/>
      <c r="S310" s="2"/>
      <c r="T310" s="2"/>
      <c r="U310" s="2"/>
      <c r="V310" s="2"/>
      <c r="W310" s="3"/>
      <c r="X310" s="152"/>
      <c r="Y310" s="152"/>
      <c r="Z310" s="152"/>
      <c r="AA310" s="152"/>
      <c r="AB310" s="152"/>
      <c r="AC310" s="152"/>
      <c r="AD310" s="152"/>
      <c r="AE310" s="152"/>
      <c r="AF310" s="152"/>
      <c r="AG310" s="152"/>
      <c r="AH310" s="152"/>
      <c r="AI310" s="152"/>
    </row>
    <row r="311" spans="1:35" outlineLevel="1">
      <c r="A311" s="4"/>
      <c r="B311" s="4"/>
      <c r="C311" s="4"/>
      <c r="D311" s="4"/>
      <c r="E311" s="104">
        <f>Asset13</f>
        <v>0</v>
      </c>
      <c r="F311" s="152"/>
      <c r="G311" s="152"/>
      <c r="H311" s="1349"/>
      <c r="I311" s="1332"/>
      <c r="J311" s="1332"/>
      <c r="K311" s="1332"/>
      <c r="L311" s="1332"/>
      <c r="M311" s="1332"/>
      <c r="N311" s="1332"/>
      <c r="O311" s="1332"/>
      <c r="P311" s="1332"/>
      <c r="Q311" s="1332"/>
      <c r="R311" s="355"/>
      <c r="S311" s="2"/>
      <c r="T311" s="2"/>
      <c r="U311" s="2"/>
      <c r="V311" s="2"/>
      <c r="W311" s="3"/>
      <c r="X311" s="152"/>
      <c r="Y311" s="152"/>
      <c r="Z311" s="152"/>
      <c r="AA311" s="152"/>
      <c r="AB311" s="152"/>
      <c r="AC311" s="152"/>
      <c r="AD311" s="152"/>
      <c r="AE311" s="152"/>
      <c r="AF311" s="152"/>
      <c r="AG311" s="152"/>
      <c r="AH311" s="152"/>
      <c r="AI311" s="152"/>
    </row>
    <row r="312" spans="1:35" outlineLevel="1">
      <c r="A312" s="4"/>
      <c r="B312" s="4"/>
      <c r="C312" s="4"/>
      <c r="D312" s="4"/>
      <c r="E312" s="104">
        <f>Asset14</f>
        <v>0</v>
      </c>
      <c r="F312" s="152"/>
      <c r="G312" s="152"/>
      <c r="H312" s="1349"/>
      <c r="I312" s="1332"/>
      <c r="J312" s="1332"/>
      <c r="K312" s="1332"/>
      <c r="L312" s="1332"/>
      <c r="M312" s="1332"/>
      <c r="N312" s="1332"/>
      <c r="O312" s="1332"/>
      <c r="P312" s="1332"/>
      <c r="Q312" s="1332"/>
      <c r="R312" s="355"/>
      <c r="S312" s="2"/>
      <c r="T312" s="2"/>
      <c r="U312" s="2"/>
      <c r="V312" s="2"/>
      <c r="W312" s="3"/>
      <c r="X312" s="152"/>
      <c r="Y312" s="152"/>
      <c r="Z312" s="152"/>
      <c r="AA312" s="152"/>
      <c r="AB312" s="152"/>
      <c r="AC312" s="152"/>
      <c r="AD312" s="152"/>
      <c r="AE312" s="152"/>
      <c r="AF312" s="152"/>
      <c r="AG312" s="152"/>
      <c r="AH312" s="152"/>
      <c r="AI312" s="152"/>
    </row>
    <row r="313" spans="1:35" outlineLevel="1">
      <c r="A313" s="4"/>
      <c r="B313" s="4"/>
      <c r="C313" s="4"/>
      <c r="D313" s="4"/>
      <c r="E313" s="104">
        <f>Asset15</f>
        <v>0</v>
      </c>
      <c r="F313" s="152"/>
      <c r="G313" s="152"/>
      <c r="H313" s="1349"/>
      <c r="I313" s="1332"/>
      <c r="J313" s="1332"/>
      <c r="K313" s="1332"/>
      <c r="L313" s="1332"/>
      <c r="M313" s="1332"/>
      <c r="N313" s="1332"/>
      <c r="O313" s="1332"/>
      <c r="P313" s="1332"/>
      <c r="Q313" s="1332"/>
      <c r="R313" s="355"/>
      <c r="S313" s="2"/>
      <c r="T313" s="2"/>
      <c r="U313" s="2"/>
      <c r="V313" s="2"/>
      <c r="W313" s="3"/>
      <c r="X313" s="152"/>
      <c r="Y313" s="152"/>
      <c r="Z313" s="152"/>
      <c r="AA313" s="152"/>
      <c r="AB313" s="152"/>
      <c r="AC313" s="152"/>
      <c r="AD313" s="152"/>
      <c r="AE313" s="152"/>
      <c r="AF313" s="152"/>
      <c r="AG313" s="152"/>
      <c r="AH313" s="152"/>
      <c r="AI313" s="152"/>
    </row>
    <row r="314" spans="1:35" outlineLevel="1">
      <c r="A314" s="4"/>
      <c r="B314" s="4"/>
      <c r="C314" s="4"/>
      <c r="D314" s="4"/>
      <c r="E314" s="104">
        <f>Asset16</f>
        <v>0</v>
      </c>
      <c r="F314" s="152"/>
      <c r="G314" s="152"/>
      <c r="H314" s="1349"/>
      <c r="I314" s="1332"/>
      <c r="J314" s="1332"/>
      <c r="K314" s="1332"/>
      <c r="L314" s="1332"/>
      <c r="M314" s="1332"/>
      <c r="N314" s="1332"/>
      <c r="O314" s="1332"/>
      <c r="P314" s="1332"/>
      <c r="Q314" s="1332"/>
      <c r="R314" s="355"/>
      <c r="S314" s="2"/>
      <c r="T314" s="2"/>
      <c r="U314" s="2"/>
      <c r="V314" s="2"/>
      <c r="W314" s="3"/>
      <c r="X314" s="152"/>
      <c r="Y314" s="152"/>
      <c r="Z314" s="152"/>
      <c r="AA314" s="152"/>
      <c r="AB314" s="152"/>
      <c r="AC314" s="152"/>
      <c r="AD314" s="152"/>
      <c r="AE314" s="152"/>
      <c r="AF314" s="152"/>
      <c r="AG314" s="152"/>
      <c r="AH314" s="152"/>
      <c r="AI314" s="152"/>
    </row>
    <row r="315" spans="1:35" outlineLevel="1">
      <c r="A315" s="4"/>
      <c r="B315" s="4"/>
      <c r="C315" s="4"/>
      <c r="D315" s="4"/>
      <c r="E315" s="104">
        <f>Asset17</f>
        <v>0</v>
      </c>
      <c r="F315" s="152"/>
      <c r="G315" s="152"/>
      <c r="H315" s="1349"/>
      <c r="I315" s="1332"/>
      <c r="J315" s="1332"/>
      <c r="K315" s="1332"/>
      <c r="L315" s="1332"/>
      <c r="M315" s="1332"/>
      <c r="N315" s="1332"/>
      <c r="O315" s="1332"/>
      <c r="P315" s="1332"/>
      <c r="Q315" s="1332"/>
      <c r="R315" s="355"/>
      <c r="S315" s="2"/>
      <c r="T315" s="2"/>
      <c r="U315" s="2"/>
      <c r="V315" s="2"/>
      <c r="W315" s="3"/>
      <c r="X315" s="152"/>
      <c r="Y315" s="152"/>
      <c r="Z315" s="152"/>
      <c r="AA315" s="152"/>
      <c r="AB315" s="152"/>
      <c r="AC315" s="152"/>
      <c r="AD315" s="152"/>
      <c r="AE315" s="152"/>
      <c r="AF315" s="152"/>
      <c r="AG315" s="152"/>
      <c r="AH315" s="152"/>
      <c r="AI315" s="152"/>
    </row>
    <row r="316" spans="1:35" outlineLevel="1">
      <c r="A316" s="4"/>
      <c r="B316" s="4"/>
      <c r="C316" s="4"/>
      <c r="D316" s="4"/>
      <c r="E316" s="104">
        <f>Asset18</f>
        <v>0</v>
      </c>
      <c r="F316" s="152"/>
      <c r="G316" s="152"/>
      <c r="H316" s="1349"/>
      <c r="I316" s="1332"/>
      <c r="J316" s="1332"/>
      <c r="K316" s="1332"/>
      <c r="L316" s="1332"/>
      <c r="M316" s="1332"/>
      <c r="N316" s="1332"/>
      <c r="O316" s="1332"/>
      <c r="P316" s="1332"/>
      <c r="Q316" s="1332"/>
      <c r="R316" s="355"/>
      <c r="S316" s="2"/>
      <c r="T316" s="2"/>
      <c r="U316" s="2"/>
      <c r="V316" s="2"/>
      <c r="W316" s="3"/>
      <c r="X316" s="152"/>
      <c r="Y316" s="152"/>
      <c r="Z316" s="152"/>
      <c r="AA316" s="152"/>
      <c r="AB316" s="152"/>
      <c r="AC316" s="152"/>
      <c r="AD316" s="152"/>
      <c r="AE316" s="152"/>
      <c r="AF316" s="152"/>
      <c r="AG316" s="152"/>
      <c r="AH316" s="152"/>
      <c r="AI316" s="152"/>
    </row>
    <row r="317" spans="1:35" outlineLevel="1">
      <c r="A317" s="4"/>
      <c r="B317" s="4"/>
      <c r="C317" s="4"/>
      <c r="D317" s="4"/>
      <c r="E317" s="104">
        <f>Asset19</f>
        <v>0</v>
      </c>
      <c r="F317" s="152"/>
      <c r="G317" s="152"/>
      <c r="H317" s="1349"/>
      <c r="I317" s="1332"/>
      <c r="J317" s="1332"/>
      <c r="K317" s="1332"/>
      <c r="L317" s="1332"/>
      <c r="M317" s="1332"/>
      <c r="N317" s="1332"/>
      <c r="O317" s="1332"/>
      <c r="P317" s="1332"/>
      <c r="Q317" s="1332"/>
      <c r="R317" s="355"/>
      <c r="S317" s="2"/>
      <c r="T317" s="2"/>
      <c r="U317" s="2"/>
      <c r="V317" s="2"/>
      <c r="W317" s="3"/>
      <c r="X317" s="152"/>
      <c r="Y317" s="152"/>
      <c r="Z317" s="152"/>
      <c r="AA317" s="152"/>
      <c r="AB317" s="152"/>
      <c r="AC317" s="152"/>
      <c r="AD317" s="152"/>
      <c r="AE317" s="152"/>
      <c r="AF317" s="152"/>
      <c r="AG317" s="152"/>
      <c r="AH317" s="152"/>
      <c r="AI317" s="152"/>
    </row>
    <row r="318" spans="1:35" outlineLevel="1">
      <c r="A318" s="4"/>
      <c r="B318" s="4"/>
      <c r="C318" s="4"/>
      <c r="D318" s="4"/>
      <c r="E318" s="104">
        <f>Asset20</f>
        <v>0</v>
      </c>
      <c r="F318" s="177"/>
      <c r="G318" s="177"/>
      <c r="H318" s="1349"/>
      <c r="I318" s="1332"/>
      <c r="J318" s="1332"/>
      <c r="K318" s="1332"/>
      <c r="L318" s="1332"/>
      <c r="M318" s="1332"/>
      <c r="N318" s="1332"/>
      <c r="O318" s="1332"/>
      <c r="P318" s="1332"/>
      <c r="Q318" s="1332"/>
      <c r="R318" s="355"/>
      <c r="S318" s="2"/>
      <c r="T318" s="2"/>
      <c r="U318" s="2"/>
      <c r="V318" s="2"/>
      <c r="W318" s="3"/>
      <c r="X318" s="152"/>
      <c r="Y318" s="152"/>
      <c r="Z318" s="152"/>
      <c r="AA318" s="152"/>
      <c r="AB318" s="152"/>
      <c r="AC318" s="152"/>
      <c r="AD318" s="152"/>
      <c r="AE318" s="152"/>
      <c r="AF318" s="152"/>
      <c r="AG318" s="152"/>
      <c r="AH318" s="152"/>
      <c r="AI318" s="152"/>
    </row>
    <row r="319" spans="1:35" outlineLevel="1">
      <c r="A319" s="4"/>
      <c r="B319" s="4"/>
      <c r="C319" s="4"/>
      <c r="D319" s="4"/>
      <c r="E319" s="104">
        <f>Asset21</f>
        <v>0</v>
      </c>
      <c r="F319" s="177"/>
      <c r="G319" s="177"/>
      <c r="H319" s="1349"/>
      <c r="I319" s="1332"/>
      <c r="J319" s="1332"/>
      <c r="K319" s="1332"/>
      <c r="L319" s="1332"/>
      <c r="M319" s="1332"/>
      <c r="N319" s="1332"/>
      <c r="O319" s="1332"/>
      <c r="P319" s="1332"/>
      <c r="Q319" s="1332"/>
      <c r="R319" s="355"/>
      <c r="S319" s="2"/>
      <c r="T319" s="2"/>
      <c r="U319" s="2"/>
      <c r="V319" s="2"/>
      <c r="W319" s="3"/>
      <c r="X319" s="152"/>
      <c r="Y319" s="152"/>
      <c r="Z319" s="152"/>
      <c r="AA319" s="152"/>
      <c r="AB319" s="152"/>
      <c r="AC319" s="152"/>
      <c r="AD319" s="152"/>
      <c r="AE319" s="152"/>
      <c r="AF319" s="152"/>
      <c r="AG319" s="152"/>
      <c r="AH319" s="152"/>
      <c r="AI319" s="152"/>
    </row>
    <row r="320" spans="1:35" outlineLevel="1">
      <c r="A320" s="4"/>
      <c r="B320" s="4"/>
      <c r="C320" s="4"/>
      <c r="D320" s="4"/>
      <c r="E320" s="104">
        <f>Asset22</f>
        <v>0</v>
      </c>
      <c r="F320" s="177"/>
      <c r="G320" s="177"/>
      <c r="H320" s="1349"/>
      <c r="I320" s="1332"/>
      <c r="J320" s="1332"/>
      <c r="K320" s="1332"/>
      <c r="L320" s="1332"/>
      <c r="M320" s="1332"/>
      <c r="N320" s="1332"/>
      <c r="O320" s="1332"/>
      <c r="P320" s="1332"/>
      <c r="Q320" s="1332"/>
      <c r="R320" s="355"/>
      <c r="S320" s="2"/>
      <c r="T320" s="2"/>
      <c r="U320" s="2"/>
      <c r="V320" s="2"/>
      <c r="W320" s="3"/>
      <c r="X320" s="152"/>
      <c r="Y320" s="152"/>
      <c r="Z320" s="152"/>
      <c r="AA320" s="152"/>
      <c r="AB320" s="152"/>
      <c r="AC320" s="152"/>
      <c r="AD320" s="152"/>
      <c r="AE320" s="152"/>
      <c r="AF320" s="152"/>
      <c r="AG320" s="152"/>
      <c r="AH320" s="152"/>
      <c r="AI320" s="152"/>
    </row>
    <row r="321" spans="1:35" outlineLevel="1">
      <c r="A321" s="4"/>
      <c r="B321" s="4"/>
      <c r="C321" s="4"/>
      <c r="D321" s="4"/>
      <c r="E321" s="104">
        <f>Asset23</f>
        <v>0</v>
      </c>
      <c r="F321" s="177"/>
      <c r="G321" s="177"/>
      <c r="H321" s="1349"/>
      <c r="I321" s="1332"/>
      <c r="J321" s="1332"/>
      <c r="K321" s="1332"/>
      <c r="L321" s="1332"/>
      <c r="M321" s="1332"/>
      <c r="N321" s="1332"/>
      <c r="O321" s="1332"/>
      <c r="P321" s="1332"/>
      <c r="Q321" s="1332"/>
      <c r="R321" s="355"/>
      <c r="S321" s="2"/>
      <c r="T321" s="2"/>
      <c r="U321" s="2"/>
      <c r="V321" s="2"/>
      <c r="W321" s="3"/>
      <c r="X321" s="152"/>
      <c r="Y321" s="152"/>
      <c r="Z321" s="152"/>
      <c r="AA321" s="152"/>
      <c r="AB321" s="152"/>
      <c r="AC321" s="152"/>
      <c r="AD321" s="152"/>
      <c r="AE321" s="152"/>
      <c r="AF321" s="152"/>
      <c r="AG321" s="152"/>
      <c r="AH321" s="152"/>
      <c r="AI321" s="152"/>
    </row>
    <row r="322" spans="1:35" outlineLevel="1">
      <c r="A322" s="4"/>
      <c r="B322" s="4"/>
      <c r="C322" s="4"/>
      <c r="D322" s="4"/>
      <c r="E322" s="104">
        <f>Asset24</f>
        <v>0</v>
      </c>
      <c r="F322" s="177"/>
      <c r="G322" s="177"/>
      <c r="H322" s="1349"/>
      <c r="I322" s="1332"/>
      <c r="J322" s="1332"/>
      <c r="K322" s="1332"/>
      <c r="L322" s="1332"/>
      <c r="M322" s="1332"/>
      <c r="N322" s="1332"/>
      <c r="O322" s="1332"/>
      <c r="P322" s="1332"/>
      <c r="Q322" s="1332"/>
      <c r="R322" s="355"/>
      <c r="S322" s="2"/>
      <c r="T322" s="2"/>
      <c r="U322" s="2"/>
      <c r="V322" s="2"/>
      <c r="W322" s="3"/>
      <c r="X322" s="152"/>
      <c r="Y322" s="152"/>
      <c r="Z322" s="152"/>
      <c r="AA322" s="152"/>
      <c r="AB322" s="152"/>
      <c r="AC322" s="152"/>
      <c r="AD322" s="152"/>
      <c r="AE322" s="152"/>
      <c r="AF322" s="152"/>
      <c r="AG322" s="152"/>
      <c r="AH322" s="152"/>
      <c r="AI322" s="152"/>
    </row>
    <row r="323" spans="1:35" outlineLevel="1">
      <c r="A323" s="4"/>
      <c r="B323" s="4"/>
      <c r="C323" s="4"/>
      <c r="D323" s="4"/>
      <c r="E323" s="104">
        <f>Asset25</f>
        <v>0</v>
      </c>
      <c r="F323" s="177"/>
      <c r="G323" s="177"/>
      <c r="H323" s="1349"/>
      <c r="I323" s="1332"/>
      <c r="J323" s="1332"/>
      <c r="K323" s="1332"/>
      <c r="L323" s="1332"/>
      <c r="M323" s="1332"/>
      <c r="N323" s="1332"/>
      <c r="O323" s="1332"/>
      <c r="P323" s="1332"/>
      <c r="Q323" s="1332"/>
      <c r="R323" s="355"/>
      <c r="S323" s="2"/>
      <c r="T323" s="2"/>
      <c r="U323" s="2"/>
      <c r="V323" s="2"/>
      <c r="W323" s="3"/>
      <c r="X323" s="152"/>
      <c r="Y323" s="152"/>
      <c r="Z323" s="152"/>
      <c r="AA323" s="152"/>
      <c r="AB323" s="152"/>
      <c r="AC323" s="152"/>
      <c r="AD323" s="152"/>
      <c r="AE323" s="152"/>
      <c r="AF323" s="152"/>
      <c r="AG323" s="152"/>
      <c r="AH323" s="152"/>
      <c r="AI323" s="152"/>
    </row>
    <row r="324" spans="1:35" outlineLevel="1">
      <c r="A324" s="4"/>
      <c r="B324" s="4"/>
      <c r="C324" s="4"/>
      <c r="D324" s="4"/>
      <c r="E324" s="104">
        <f>Asset26</f>
        <v>0</v>
      </c>
      <c r="F324" s="177"/>
      <c r="G324" s="153"/>
      <c r="H324" s="1332"/>
      <c r="I324" s="1332"/>
      <c r="J324" s="1332"/>
      <c r="K324" s="1332"/>
      <c r="L324" s="1332"/>
      <c r="M324" s="1332"/>
      <c r="N324" s="1332"/>
      <c r="O324" s="1332"/>
      <c r="P324" s="1332"/>
      <c r="Q324" s="1332"/>
      <c r="R324" s="355"/>
      <c r="S324" s="2"/>
      <c r="T324" s="2"/>
      <c r="U324" s="2"/>
      <c r="V324" s="2"/>
      <c r="W324" s="3"/>
      <c r="X324" s="152"/>
      <c r="Y324" s="152"/>
      <c r="Z324" s="152"/>
      <c r="AA324" s="152"/>
      <c r="AB324" s="152"/>
      <c r="AC324" s="152"/>
      <c r="AD324" s="152"/>
      <c r="AE324" s="152"/>
      <c r="AF324" s="152"/>
      <c r="AG324" s="152"/>
      <c r="AH324" s="152"/>
      <c r="AI324" s="152"/>
    </row>
    <row r="325" spans="1:35" outlineLevel="1">
      <c r="A325" s="4"/>
      <c r="B325" s="4"/>
      <c r="C325" s="4"/>
      <c r="D325" s="4"/>
      <c r="E325" s="104">
        <f>Asset27</f>
        <v>0</v>
      </c>
      <c r="F325" s="177"/>
      <c r="G325" s="153"/>
      <c r="H325" s="1332"/>
      <c r="I325" s="1332"/>
      <c r="J325" s="1332"/>
      <c r="K325" s="1332"/>
      <c r="L325" s="1332"/>
      <c r="M325" s="1332"/>
      <c r="N325" s="1332"/>
      <c r="O325" s="1332"/>
      <c r="P325" s="1332"/>
      <c r="Q325" s="1332"/>
      <c r="R325" s="355"/>
      <c r="S325" s="2"/>
      <c r="T325" s="2"/>
      <c r="U325" s="2"/>
      <c r="V325" s="2"/>
      <c r="W325" s="3"/>
      <c r="X325" s="152"/>
      <c r="Y325" s="152"/>
      <c r="Z325" s="152"/>
      <c r="AA325" s="152"/>
      <c r="AB325" s="152"/>
      <c r="AC325" s="152"/>
      <c r="AD325" s="152"/>
      <c r="AE325" s="152"/>
      <c r="AF325" s="152"/>
      <c r="AG325" s="152"/>
      <c r="AH325" s="152"/>
      <c r="AI325" s="152"/>
    </row>
    <row r="326" spans="1:35" outlineLevel="1">
      <c r="A326" s="4"/>
      <c r="B326" s="4"/>
      <c r="C326" s="4"/>
      <c r="D326" s="4"/>
      <c r="E326" s="104">
        <f>Asset28</f>
        <v>0</v>
      </c>
      <c r="F326" s="177"/>
      <c r="G326" s="153"/>
      <c r="H326" s="1332"/>
      <c r="I326" s="1332"/>
      <c r="J326" s="1332"/>
      <c r="K326" s="1332"/>
      <c r="L326" s="1332"/>
      <c r="M326" s="1332"/>
      <c r="N326" s="1332"/>
      <c r="O326" s="1332"/>
      <c r="P326" s="1332"/>
      <c r="Q326" s="1332"/>
      <c r="R326" s="355"/>
      <c r="S326" s="2"/>
      <c r="T326" s="2"/>
      <c r="U326" s="2"/>
      <c r="V326" s="2"/>
      <c r="W326" s="3"/>
      <c r="X326" s="152"/>
      <c r="Y326" s="152"/>
      <c r="Z326" s="152"/>
      <c r="AA326" s="152"/>
      <c r="AB326" s="152"/>
      <c r="AC326" s="152"/>
      <c r="AD326" s="152"/>
      <c r="AE326" s="152"/>
      <c r="AF326" s="152"/>
      <c r="AG326" s="152"/>
      <c r="AH326" s="152"/>
      <c r="AI326" s="152"/>
    </row>
    <row r="327" spans="1:35" outlineLevel="1">
      <c r="A327" s="4"/>
      <c r="B327" s="4"/>
      <c r="C327" s="4"/>
      <c r="D327" s="4"/>
      <c r="E327" s="104">
        <f>Asset29</f>
        <v>0</v>
      </c>
      <c r="F327" s="177"/>
      <c r="G327" s="153"/>
      <c r="H327" s="1332"/>
      <c r="I327" s="1332"/>
      <c r="J327" s="1332"/>
      <c r="K327" s="1332"/>
      <c r="L327" s="1332"/>
      <c r="M327" s="1332"/>
      <c r="N327" s="1332"/>
      <c r="O327" s="1332"/>
      <c r="P327" s="1332"/>
      <c r="Q327" s="1332"/>
      <c r="R327" s="355"/>
      <c r="S327" s="2"/>
      <c r="T327" s="2"/>
      <c r="U327" s="2"/>
      <c r="V327" s="2"/>
      <c r="W327" s="3"/>
      <c r="X327" s="152"/>
      <c r="Y327" s="152"/>
      <c r="Z327" s="152"/>
      <c r="AA327" s="152"/>
      <c r="AB327" s="152"/>
      <c r="AC327" s="152"/>
      <c r="AD327" s="152"/>
      <c r="AE327" s="152"/>
      <c r="AF327" s="152"/>
      <c r="AG327" s="152"/>
      <c r="AH327" s="152"/>
      <c r="AI327" s="152"/>
    </row>
    <row r="328" spans="1:35" outlineLevel="1">
      <c r="A328" s="4"/>
      <c r="B328" s="4"/>
      <c r="C328" s="4"/>
      <c r="D328" s="4"/>
      <c r="E328" s="104">
        <f>Asset30</f>
        <v>0</v>
      </c>
      <c r="F328" s="177"/>
      <c r="G328" s="153"/>
      <c r="H328" s="1332"/>
      <c r="I328" s="1332"/>
      <c r="J328" s="1332"/>
      <c r="K328" s="1332"/>
      <c r="L328" s="1332"/>
      <c r="M328" s="1332"/>
      <c r="N328" s="1332"/>
      <c r="O328" s="1332"/>
      <c r="P328" s="1332"/>
      <c r="Q328" s="1332"/>
      <c r="R328" s="355"/>
      <c r="S328" s="2"/>
      <c r="T328" s="2"/>
      <c r="U328" s="2"/>
      <c r="V328" s="2"/>
      <c r="W328" s="3"/>
      <c r="X328" s="152"/>
      <c r="Y328" s="152"/>
      <c r="Z328" s="152"/>
      <c r="AA328" s="152"/>
      <c r="AB328" s="152"/>
      <c r="AC328" s="152"/>
      <c r="AD328" s="152"/>
      <c r="AE328" s="152"/>
      <c r="AF328" s="152"/>
      <c r="AG328" s="152"/>
      <c r="AH328" s="152"/>
      <c r="AI328" s="152"/>
    </row>
    <row r="329" spans="1:35" outlineLevel="2">
      <c r="A329" s="4"/>
      <c r="B329" s="4"/>
      <c r="C329" s="4"/>
      <c r="D329" s="4"/>
      <c r="E329" s="104">
        <f>Asset31</f>
        <v>0</v>
      </c>
      <c r="F329" s="177"/>
      <c r="G329" s="153"/>
      <c r="H329" s="1332"/>
      <c r="I329" s="1332"/>
      <c r="J329" s="1332"/>
      <c r="K329" s="1332"/>
      <c r="L329" s="1332"/>
      <c r="M329" s="1332"/>
      <c r="N329" s="1332"/>
      <c r="O329" s="1332"/>
      <c r="P329" s="1332"/>
      <c r="Q329" s="1332"/>
      <c r="R329" s="355"/>
      <c r="S329" s="2"/>
      <c r="T329" s="2"/>
      <c r="U329" s="2"/>
      <c r="V329" s="2"/>
      <c r="W329" s="3"/>
      <c r="X329" s="152"/>
      <c r="Y329" s="152"/>
      <c r="Z329" s="152"/>
      <c r="AA329" s="152"/>
      <c r="AB329" s="152"/>
      <c r="AC329" s="152"/>
      <c r="AD329" s="152"/>
      <c r="AE329" s="152"/>
      <c r="AF329" s="152"/>
      <c r="AG329" s="152"/>
      <c r="AH329" s="152"/>
      <c r="AI329" s="152"/>
    </row>
    <row r="330" spans="1:35" outlineLevel="2">
      <c r="A330" s="4"/>
      <c r="B330" s="4"/>
      <c r="C330" s="4"/>
      <c r="D330" s="4"/>
      <c r="E330" s="104">
        <f>Asset32</f>
        <v>0</v>
      </c>
      <c r="F330" s="177"/>
      <c r="G330" s="153"/>
      <c r="H330" s="1332"/>
      <c r="I330" s="1332"/>
      <c r="J330" s="1332"/>
      <c r="K330" s="1332"/>
      <c r="L330" s="1332"/>
      <c r="M330" s="1332"/>
      <c r="N330" s="1332"/>
      <c r="O330" s="1332"/>
      <c r="P330" s="1332"/>
      <c r="Q330" s="1332"/>
      <c r="R330" s="355"/>
      <c r="S330" s="2"/>
      <c r="T330" s="2"/>
      <c r="U330" s="2"/>
      <c r="V330" s="2"/>
      <c r="W330" s="3"/>
      <c r="X330" s="152"/>
      <c r="Y330" s="152"/>
      <c r="Z330" s="152"/>
      <c r="AA330" s="152"/>
      <c r="AB330" s="152"/>
      <c r="AC330" s="152"/>
      <c r="AD330" s="152"/>
      <c r="AE330" s="152"/>
      <c r="AF330" s="152"/>
      <c r="AG330" s="152"/>
      <c r="AH330" s="152"/>
      <c r="AI330" s="152"/>
    </row>
    <row r="331" spans="1:35" outlineLevel="2">
      <c r="A331" s="4"/>
      <c r="B331" s="4"/>
      <c r="C331" s="4"/>
      <c r="D331" s="4"/>
      <c r="E331" s="104">
        <f>Asset33</f>
        <v>0</v>
      </c>
      <c r="F331" s="177"/>
      <c r="G331" s="153"/>
      <c r="H331" s="1332"/>
      <c r="I331" s="1332"/>
      <c r="J331" s="1332"/>
      <c r="K331" s="1332"/>
      <c r="L331" s="1332"/>
      <c r="M331" s="1332"/>
      <c r="N331" s="1332"/>
      <c r="O331" s="1332"/>
      <c r="P331" s="1332"/>
      <c r="Q331" s="1332"/>
      <c r="R331" s="355"/>
      <c r="S331" s="2"/>
      <c r="T331" s="2"/>
      <c r="U331" s="2"/>
      <c r="V331" s="2"/>
      <c r="W331" s="3"/>
      <c r="X331" s="152"/>
      <c r="Y331" s="152"/>
      <c r="Z331" s="152"/>
      <c r="AA331" s="152"/>
      <c r="AB331" s="152"/>
      <c r="AC331" s="152"/>
      <c r="AD331" s="152"/>
      <c r="AE331" s="152"/>
      <c r="AF331" s="152"/>
      <c r="AG331" s="152"/>
      <c r="AH331" s="152"/>
      <c r="AI331" s="152"/>
    </row>
    <row r="332" spans="1:35" outlineLevel="2">
      <c r="A332" s="4"/>
      <c r="B332" s="4"/>
      <c r="C332" s="4"/>
      <c r="D332" s="4"/>
      <c r="E332" s="104">
        <f>Asset34</f>
        <v>0</v>
      </c>
      <c r="F332" s="177"/>
      <c r="G332" s="153"/>
      <c r="H332" s="1332"/>
      <c r="I332" s="1332"/>
      <c r="J332" s="1332"/>
      <c r="K332" s="1332"/>
      <c r="L332" s="1332"/>
      <c r="M332" s="1332"/>
      <c r="N332" s="1332"/>
      <c r="O332" s="1332"/>
      <c r="P332" s="1332"/>
      <c r="Q332" s="1332"/>
      <c r="R332" s="355"/>
      <c r="S332" s="2"/>
      <c r="T332" s="2"/>
      <c r="U332" s="2"/>
      <c r="V332" s="2"/>
      <c r="W332" s="3"/>
      <c r="X332" s="152"/>
      <c r="Y332" s="152"/>
      <c r="Z332" s="152"/>
      <c r="AA332" s="152"/>
      <c r="AB332" s="152"/>
      <c r="AC332" s="152"/>
      <c r="AD332" s="152"/>
      <c r="AE332" s="152"/>
      <c r="AF332" s="152"/>
      <c r="AG332" s="152"/>
      <c r="AH332" s="152"/>
      <c r="AI332" s="152"/>
    </row>
    <row r="333" spans="1:35" outlineLevel="2">
      <c r="A333" s="4"/>
      <c r="B333" s="4"/>
      <c r="C333" s="4"/>
      <c r="D333" s="4"/>
      <c r="E333" s="104">
        <f>Asset35</f>
        <v>0</v>
      </c>
      <c r="F333" s="177"/>
      <c r="G333" s="153"/>
      <c r="H333" s="1332"/>
      <c r="I333" s="1332"/>
      <c r="J333" s="1332"/>
      <c r="K333" s="1332"/>
      <c r="L333" s="1332"/>
      <c r="M333" s="1332"/>
      <c r="N333" s="1332"/>
      <c r="O333" s="1332"/>
      <c r="P333" s="1332"/>
      <c r="Q333" s="1332"/>
      <c r="R333" s="355"/>
      <c r="S333" s="2"/>
      <c r="T333" s="2"/>
      <c r="U333" s="2"/>
      <c r="V333" s="2"/>
      <c r="W333" s="3"/>
      <c r="X333" s="152"/>
      <c r="Y333" s="152"/>
      <c r="Z333" s="152"/>
      <c r="AA333" s="152"/>
      <c r="AB333" s="152"/>
      <c r="AC333" s="152"/>
      <c r="AD333" s="152"/>
      <c r="AE333" s="152"/>
      <c r="AF333" s="152"/>
      <c r="AG333" s="152"/>
      <c r="AH333" s="152"/>
      <c r="AI333" s="152"/>
    </row>
    <row r="334" spans="1:35" outlineLevel="2">
      <c r="A334" s="4"/>
      <c r="B334" s="4"/>
      <c r="C334" s="4"/>
      <c r="D334" s="4"/>
      <c r="E334" s="104">
        <f>Asset36</f>
        <v>0</v>
      </c>
      <c r="F334" s="177"/>
      <c r="G334" s="153"/>
      <c r="H334" s="1332"/>
      <c r="I334" s="1332"/>
      <c r="J334" s="1332"/>
      <c r="K334" s="1332"/>
      <c r="L334" s="1332"/>
      <c r="M334" s="1332"/>
      <c r="N334" s="1332"/>
      <c r="O334" s="1332"/>
      <c r="P334" s="1332"/>
      <c r="Q334" s="1332"/>
      <c r="R334" s="355"/>
      <c r="S334" s="2"/>
      <c r="T334" s="2"/>
      <c r="U334" s="2"/>
      <c r="V334" s="2"/>
      <c r="W334" s="3"/>
      <c r="X334" s="152"/>
      <c r="Y334" s="152"/>
      <c r="Z334" s="152"/>
      <c r="AA334" s="152"/>
      <c r="AB334" s="152"/>
      <c r="AC334" s="152"/>
      <c r="AD334" s="152"/>
      <c r="AE334" s="152"/>
      <c r="AF334" s="152"/>
      <c r="AG334" s="152"/>
      <c r="AH334" s="152"/>
      <c r="AI334" s="152"/>
    </row>
    <row r="335" spans="1:35" outlineLevel="2">
      <c r="A335" s="4"/>
      <c r="B335" s="4"/>
      <c r="C335" s="4"/>
      <c r="D335" s="4"/>
      <c r="E335" s="104">
        <f>Asset37</f>
        <v>0</v>
      </c>
      <c r="F335" s="177"/>
      <c r="G335" s="153"/>
      <c r="H335" s="1332"/>
      <c r="I335" s="1332"/>
      <c r="J335" s="1332"/>
      <c r="K335" s="1332"/>
      <c r="L335" s="1332"/>
      <c r="M335" s="1332"/>
      <c r="N335" s="1332"/>
      <c r="O335" s="1332"/>
      <c r="P335" s="1332"/>
      <c r="Q335" s="1332"/>
      <c r="R335" s="355"/>
      <c r="S335" s="2"/>
      <c r="T335" s="2"/>
      <c r="U335" s="2"/>
      <c r="V335" s="2"/>
      <c r="W335" s="3"/>
      <c r="X335" s="152"/>
      <c r="Y335" s="152"/>
      <c r="Z335" s="152"/>
      <c r="AA335" s="152"/>
      <c r="AB335" s="152"/>
      <c r="AC335" s="152"/>
      <c r="AD335" s="152"/>
      <c r="AE335" s="152"/>
      <c r="AF335" s="152"/>
      <c r="AG335" s="152"/>
      <c r="AH335" s="152"/>
      <c r="AI335" s="152"/>
    </row>
    <row r="336" spans="1:35" outlineLevel="2">
      <c r="A336" s="4"/>
      <c r="B336" s="4"/>
      <c r="C336" s="4"/>
      <c r="D336" s="4"/>
      <c r="E336" s="104">
        <f>Asset38</f>
        <v>0</v>
      </c>
      <c r="F336" s="177"/>
      <c r="G336" s="153"/>
      <c r="H336" s="1332"/>
      <c r="I336" s="1332"/>
      <c r="J336" s="1332"/>
      <c r="K336" s="1332"/>
      <c r="L336" s="1332"/>
      <c r="M336" s="1332"/>
      <c r="N336" s="1332"/>
      <c r="O336" s="1332"/>
      <c r="P336" s="1332"/>
      <c r="Q336" s="1332"/>
      <c r="R336" s="355"/>
      <c r="S336" s="2"/>
      <c r="T336" s="2"/>
      <c r="U336" s="2"/>
      <c r="V336" s="2"/>
      <c r="W336" s="3"/>
      <c r="X336" s="152"/>
      <c r="Y336" s="152"/>
      <c r="Z336" s="152"/>
      <c r="AA336" s="152"/>
      <c r="AB336" s="152"/>
      <c r="AC336" s="152"/>
      <c r="AD336" s="152"/>
      <c r="AE336" s="152"/>
      <c r="AF336" s="152"/>
      <c r="AG336" s="152"/>
      <c r="AH336" s="152"/>
      <c r="AI336" s="152"/>
    </row>
    <row r="337" spans="1:35" outlineLevel="2">
      <c r="A337" s="4"/>
      <c r="B337" s="4"/>
      <c r="C337" s="4"/>
      <c r="D337" s="4"/>
      <c r="E337" s="104">
        <f>Asset39</f>
        <v>0</v>
      </c>
      <c r="F337" s="177"/>
      <c r="G337" s="153"/>
      <c r="H337" s="1332"/>
      <c r="I337" s="1332"/>
      <c r="J337" s="1332"/>
      <c r="K337" s="1332"/>
      <c r="L337" s="1332"/>
      <c r="M337" s="1332"/>
      <c r="N337" s="1332"/>
      <c r="O337" s="1332"/>
      <c r="P337" s="1332"/>
      <c r="Q337" s="1332"/>
      <c r="R337" s="355"/>
      <c r="S337" s="2"/>
      <c r="T337" s="2"/>
      <c r="U337" s="2"/>
      <c r="V337" s="2"/>
      <c r="W337" s="3"/>
      <c r="X337" s="152"/>
      <c r="Y337" s="152"/>
      <c r="Z337" s="152"/>
      <c r="AA337" s="152"/>
      <c r="AB337" s="152"/>
      <c r="AC337" s="152"/>
      <c r="AD337" s="152"/>
      <c r="AE337" s="152"/>
      <c r="AF337" s="152"/>
      <c r="AG337" s="152"/>
      <c r="AH337" s="152"/>
      <c r="AI337" s="152"/>
    </row>
    <row r="338" spans="1:35" outlineLevel="2">
      <c r="A338" s="4"/>
      <c r="B338" s="4"/>
      <c r="C338" s="4"/>
      <c r="D338" s="4"/>
      <c r="E338" s="104">
        <f>Asset40</f>
        <v>0</v>
      </c>
      <c r="F338" s="177"/>
      <c r="G338" s="153"/>
      <c r="H338" s="1332"/>
      <c r="I338" s="1332"/>
      <c r="J338" s="1332"/>
      <c r="K338" s="1332"/>
      <c r="L338" s="1332"/>
      <c r="M338" s="1332"/>
      <c r="N338" s="1332"/>
      <c r="O338" s="1332"/>
      <c r="P338" s="1332"/>
      <c r="Q338" s="1332"/>
      <c r="R338" s="355"/>
      <c r="S338" s="2"/>
      <c r="T338" s="2"/>
      <c r="U338" s="2"/>
      <c r="V338" s="2"/>
      <c r="W338" s="3"/>
      <c r="X338" s="152"/>
      <c r="Y338" s="152"/>
      <c r="Z338" s="152"/>
      <c r="AA338" s="152"/>
      <c r="AB338" s="152"/>
      <c r="AC338" s="152"/>
      <c r="AD338" s="152"/>
      <c r="AE338" s="152"/>
      <c r="AF338" s="152"/>
      <c r="AG338" s="152"/>
      <c r="AH338" s="152"/>
      <c r="AI338" s="152"/>
    </row>
    <row r="339" spans="1:35" outlineLevel="2">
      <c r="A339" s="4"/>
      <c r="B339" s="4"/>
      <c r="C339" s="4"/>
      <c r="D339" s="4"/>
      <c r="E339" s="104">
        <f>Asset41</f>
        <v>0</v>
      </c>
      <c r="F339" s="177"/>
      <c r="G339" s="153"/>
      <c r="H339" s="1332"/>
      <c r="I339" s="1332"/>
      <c r="J339" s="1332"/>
      <c r="K339" s="1332"/>
      <c r="L339" s="1332"/>
      <c r="M339" s="1332"/>
      <c r="N339" s="1332"/>
      <c r="O339" s="1332"/>
      <c r="P339" s="1332"/>
      <c r="Q339" s="1332"/>
      <c r="R339" s="355"/>
      <c r="S339" s="2"/>
      <c r="T339" s="2"/>
      <c r="U339" s="2"/>
      <c r="V339" s="2"/>
      <c r="W339" s="3"/>
      <c r="X339" s="152"/>
      <c r="Y339" s="152"/>
      <c r="Z339" s="152"/>
      <c r="AA339" s="152"/>
      <c r="AB339" s="152"/>
      <c r="AC339" s="152"/>
      <c r="AD339" s="152"/>
      <c r="AE339" s="152"/>
      <c r="AF339" s="152"/>
      <c r="AG339" s="152"/>
      <c r="AH339" s="152"/>
      <c r="AI339" s="152"/>
    </row>
    <row r="340" spans="1:35" outlineLevel="2">
      <c r="A340" s="4"/>
      <c r="B340" s="4"/>
      <c r="C340" s="4"/>
      <c r="D340" s="4"/>
      <c r="E340" s="104">
        <f>Asset42</f>
        <v>0</v>
      </c>
      <c r="F340" s="177"/>
      <c r="G340" s="153"/>
      <c r="H340" s="1332"/>
      <c r="I340" s="1332"/>
      <c r="J340" s="1332"/>
      <c r="K340" s="1332"/>
      <c r="L340" s="1332"/>
      <c r="M340" s="1332"/>
      <c r="N340" s="1332"/>
      <c r="O340" s="1332"/>
      <c r="P340" s="1332"/>
      <c r="Q340" s="1332"/>
      <c r="R340" s="355"/>
      <c r="S340" s="2"/>
      <c r="T340" s="2"/>
      <c r="U340" s="2"/>
      <c r="V340" s="2"/>
      <c r="W340" s="3"/>
      <c r="X340" s="152"/>
      <c r="Y340" s="152"/>
      <c r="Z340" s="152"/>
      <c r="AA340" s="152"/>
      <c r="AB340" s="152"/>
      <c r="AC340" s="152"/>
      <c r="AD340" s="152"/>
      <c r="AE340" s="152"/>
      <c r="AF340" s="152"/>
      <c r="AG340" s="152"/>
      <c r="AH340" s="152"/>
      <c r="AI340" s="152"/>
    </row>
    <row r="341" spans="1:35" outlineLevel="2">
      <c r="A341" s="4"/>
      <c r="B341" s="4"/>
      <c r="C341" s="4"/>
      <c r="D341" s="4"/>
      <c r="E341" s="104">
        <f>Asset43</f>
        <v>0</v>
      </c>
      <c r="F341" s="177"/>
      <c r="G341" s="153"/>
      <c r="H341" s="1332"/>
      <c r="I341" s="1332"/>
      <c r="J341" s="1332"/>
      <c r="K341" s="1332"/>
      <c r="L341" s="1332"/>
      <c r="M341" s="1332"/>
      <c r="N341" s="1332"/>
      <c r="O341" s="1332"/>
      <c r="P341" s="1332"/>
      <c r="Q341" s="1332"/>
      <c r="R341" s="355"/>
      <c r="S341" s="2"/>
      <c r="T341" s="2"/>
      <c r="U341" s="2"/>
      <c r="V341" s="2"/>
      <c r="W341" s="3"/>
      <c r="X341" s="152"/>
      <c r="Y341" s="152"/>
      <c r="Z341" s="152"/>
      <c r="AA341" s="152"/>
      <c r="AB341" s="152"/>
      <c r="AC341" s="152"/>
      <c r="AD341" s="152"/>
      <c r="AE341" s="152"/>
      <c r="AF341" s="152"/>
      <c r="AG341" s="152"/>
      <c r="AH341" s="152"/>
      <c r="AI341" s="152"/>
    </row>
    <row r="342" spans="1:35" outlineLevel="2">
      <c r="A342" s="4"/>
      <c r="B342" s="4"/>
      <c r="C342" s="4"/>
      <c r="D342" s="4"/>
      <c r="E342" s="104">
        <f>Asset44</f>
        <v>0</v>
      </c>
      <c r="F342" s="177"/>
      <c r="G342" s="153"/>
      <c r="H342" s="1332"/>
      <c r="I342" s="1332"/>
      <c r="J342" s="1332"/>
      <c r="K342" s="1332"/>
      <c r="L342" s="1332"/>
      <c r="M342" s="1332"/>
      <c r="N342" s="1332"/>
      <c r="O342" s="1332"/>
      <c r="P342" s="1332"/>
      <c r="Q342" s="1332"/>
      <c r="R342" s="355"/>
      <c r="S342" s="2"/>
      <c r="T342" s="2"/>
      <c r="U342" s="2"/>
      <c r="V342" s="2"/>
      <c r="W342" s="3"/>
      <c r="X342" s="152"/>
      <c r="Y342" s="152"/>
      <c r="Z342" s="152"/>
      <c r="AA342" s="152"/>
      <c r="AB342" s="152"/>
      <c r="AC342" s="152"/>
      <c r="AD342" s="152"/>
      <c r="AE342" s="152"/>
      <c r="AF342" s="152"/>
      <c r="AG342" s="152"/>
      <c r="AH342" s="152"/>
      <c r="AI342" s="152"/>
    </row>
    <row r="343" spans="1:35" outlineLevel="2">
      <c r="A343" s="4"/>
      <c r="B343" s="4"/>
      <c r="C343" s="4"/>
      <c r="D343" s="4"/>
      <c r="E343" s="104">
        <f>Asset45</f>
        <v>0</v>
      </c>
      <c r="F343" s="177"/>
      <c r="G343" s="153"/>
      <c r="H343" s="1332"/>
      <c r="I343" s="1332"/>
      <c r="J343" s="1332"/>
      <c r="K343" s="1332"/>
      <c r="L343" s="1332"/>
      <c r="M343" s="1332"/>
      <c r="N343" s="1332"/>
      <c r="O343" s="1332"/>
      <c r="P343" s="1332"/>
      <c r="Q343" s="1332"/>
      <c r="R343" s="355"/>
      <c r="S343" s="2"/>
      <c r="T343" s="2"/>
      <c r="U343" s="2"/>
      <c r="V343" s="2"/>
      <c r="W343" s="3"/>
      <c r="X343" s="152"/>
      <c r="Y343" s="152"/>
      <c r="Z343" s="152"/>
      <c r="AA343" s="152"/>
      <c r="AB343" s="152"/>
      <c r="AC343" s="152"/>
      <c r="AD343" s="152"/>
      <c r="AE343" s="152"/>
      <c r="AF343" s="152"/>
      <c r="AG343" s="152"/>
      <c r="AH343" s="152"/>
      <c r="AI343" s="152"/>
    </row>
    <row r="344" spans="1:35" outlineLevel="2">
      <c r="A344" s="4"/>
      <c r="B344" s="4"/>
      <c r="C344" s="4"/>
      <c r="D344" s="4"/>
      <c r="E344" s="104">
        <f>Asset46</f>
        <v>0</v>
      </c>
      <c r="F344" s="177"/>
      <c r="G344" s="153"/>
      <c r="H344" s="1332"/>
      <c r="I344" s="1332"/>
      <c r="J344" s="1332"/>
      <c r="K344" s="1332"/>
      <c r="L344" s="1332"/>
      <c r="M344" s="1332"/>
      <c r="N344" s="1332"/>
      <c r="O344" s="1332"/>
      <c r="P344" s="1332"/>
      <c r="Q344" s="1332"/>
      <c r="R344" s="355"/>
      <c r="S344" s="2"/>
      <c r="T344" s="2"/>
      <c r="U344" s="2"/>
      <c r="V344" s="2"/>
      <c r="W344" s="3"/>
      <c r="X344" s="152"/>
      <c r="Y344" s="152"/>
      <c r="Z344" s="152"/>
      <c r="AA344" s="152"/>
      <c r="AB344" s="152"/>
      <c r="AC344" s="152"/>
      <c r="AD344" s="152"/>
      <c r="AE344" s="152"/>
      <c r="AF344" s="152"/>
      <c r="AG344" s="152"/>
      <c r="AH344" s="152"/>
      <c r="AI344" s="152"/>
    </row>
    <row r="345" spans="1:35" outlineLevel="1">
      <c r="A345" s="4"/>
      <c r="B345" s="4"/>
      <c r="C345" s="4"/>
      <c r="D345" s="4"/>
      <c r="E345" s="104">
        <f>Asset47</f>
        <v>0</v>
      </c>
      <c r="F345" s="177"/>
      <c r="G345" s="153"/>
      <c r="H345" s="1332"/>
      <c r="I345" s="1332"/>
      <c r="J345" s="1332"/>
      <c r="K345" s="1332"/>
      <c r="L345" s="1332"/>
      <c r="M345" s="1332"/>
      <c r="N345" s="1332"/>
      <c r="O345" s="1332"/>
      <c r="P345" s="1332"/>
      <c r="Q345" s="1332"/>
      <c r="R345" s="355"/>
      <c r="S345" s="2"/>
      <c r="T345" s="2"/>
      <c r="U345" s="2"/>
      <c r="V345" s="2"/>
      <c r="W345" s="3"/>
      <c r="X345" s="152"/>
      <c r="Y345" s="152"/>
      <c r="Z345" s="152"/>
      <c r="AA345" s="152"/>
      <c r="AB345" s="152"/>
      <c r="AC345" s="152"/>
      <c r="AD345" s="152"/>
      <c r="AE345" s="152"/>
      <c r="AF345" s="152"/>
      <c r="AG345" s="152"/>
      <c r="AH345" s="152"/>
      <c r="AI345" s="152"/>
    </row>
    <row r="346" spans="1:35" outlineLevel="1">
      <c r="A346" s="4"/>
      <c r="B346" s="4"/>
      <c r="C346" s="4"/>
      <c r="D346" s="4"/>
      <c r="E346" s="104">
        <f>Asset48</f>
        <v>0</v>
      </c>
      <c r="F346" s="177"/>
      <c r="G346" s="153"/>
      <c r="H346" s="1332"/>
      <c r="I346" s="1332"/>
      <c r="J346" s="1332"/>
      <c r="K346" s="1332"/>
      <c r="L346" s="1332"/>
      <c r="M346" s="1332"/>
      <c r="N346" s="1332"/>
      <c r="O346" s="1332"/>
      <c r="P346" s="1332"/>
      <c r="Q346" s="1332"/>
      <c r="R346" s="355"/>
      <c r="S346" s="2"/>
      <c r="T346" s="2"/>
      <c r="U346" s="2"/>
      <c r="V346" s="2"/>
      <c r="W346" s="3"/>
      <c r="X346" s="152"/>
      <c r="Y346" s="152"/>
      <c r="Z346" s="152"/>
      <c r="AA346" s="152"/>
      <c r="AB346" s="152"/>
      <c r="AC346" s="152"/>
      <c r="AD346" s="152"/>
      <c r="AE346" s="152"/>
      <c r="AF346" s="152"/>
      <c r="AG346" s="152"/>
      <c r="AH346" s="152"/>
      <c r="AI346" s="152"/>
    </row>
    <row r="347" spans="1:35" outlineLevel="1">
      <c r="A347" s="4"/>
      <c r="B347" s="4"/>
      <c r="C347" s="4"/>
      <c r="D347" s="4"/>
      <c r="E347" s="104">
        <f>Asset49</f>
        <v>0</v>
      </c>
      <c r="F347" s="177"/>
      <c r="G347" s="153"/>
      <c r="H347" s="1332"/>
      <c r="I347" s="1332"/>
      <c r="J347" s="1332"/>
      <c r="K347" s="1332"/>
      <c r="L347" s="1332"/>
      <c r="M347" s="1332"/>
      <c r="N347" s="1332"/>
      <c r="O347" s="1332"/>
      <c r="P347" s="1332"/>
      <c r="Q347" s="1332"/>
      <c r="R347" s="355"/>
      <c r="S347" s="2"/>
      <c r="T347" s="2"/>
      <c r="U347" s="2"/>
      <c r="V347" s="2"/>
      <c r="W347" s="3"/>
      <c r="X347" s="152"/>
      <c r="Y347" s="152"/>
      <c r="Z347" s="152"/>
      <c r="AA347" s="152"/>
      <c r="AB347" s="152"/>
      <c r="AC347" s="152"/>
      <c r="AD347" s="152"/>
      <c r="AE347" s="152"/>
      <c r="AF347" s="152"/>
      <c r="AG347" s="152"/>
      <c r="AH347" s="152"/>
      <c r="AI347" s="152"/>
    </row>
    <row r="348" spans="1:35" outlineLevel="1">
      <c r="A348" s="4"/>
      <c r="B348" s="4"/>
      <c r="C348" s="4"/>
      <c r="D348" s="4"/>
      <c r="E348" s="104">
        <f>Asset50</f>
        <v>0</v>
      </c>
      <c r="F348" s="177"/>
      <c r="G348" s="153"/>
      <c r="H348" s="1332"/>
      <c r="I348" s="1332"/>
      <c r="J348" s="1332"/>
      <c r="K348" s="1332"/>
      <c r="L348" s="1332"/>
      <c r="M348" s="1332"/>
      <c r="N348" s="1332"/>
      <c r="O348" s="1332"/>
      <c r="P348" s="1332"/>
      <c r="Q348" s="1332"/>
      <c r="R348" s="355"/>
      <c r="S348" s="2"/>
      <c r="T348" s="2"/>
      <c r="U348" s="2"/>
      <c r="V348" s="2"/>
      <c r="W348" s="3"/>
      <c r="X348" s="152"/>
      <c r="Y348" s="152"/>
      <c r="Z348" s="152"/>
      <c r="AA348" s="152"/>
      <c r="AB348" s="152"/>
      <c r="AC348" s="152"/>
      <c r="AD348" s="152"/>
      <c r="AE348" s="152"/>
      <c r="AF348" s="152"/>
      <c r="AG348" s="152"/>
      <c r="AH348" s="152"/>
      <c r="AI348" s="152"/>
    </row>
    <row r="349" spans="1:35">
      <c r="A349" s="4"/>
      <c r="B349" s="4"/>
      <c r="C349" s="4"/>
      <c r="D349" s="4"/>
      <c r="E349" s="104" t="s">
        <v>18</v>
      </c>
      <c r="F349" s="177"/>
      <c r="G349" s="177"/>
      <c r="H349" s="150">
        <f>SUM(H299:H348)</f>
        <v>0</v>
      </c>
      <c r="I349" s="150">
        <f t="shared" ref="I349:Q349" si="66">SUM(I299:I348)</f>
        <v>0</v>
      </c>
      <c r="J349" s="150">
        <f t="shared" si="66"/>
        <v>0</v>
      </c>
      <c r="K349" s="150">
        <f t="shared" si="66"/>
        <v>0</v>
      </c>
      <c r="L349" s="150">
        <f t="shared" si="66"/>
        <v>0</v>
      </c>
      <c r="M349" s="150">
        <f t="shared" si="66"/>
        <v>0</v>
      </c>
      <c r="N349" s="150">
        <f t="shared" si="66"/>
        <v>0</v>
      </c>
      <c r="O349" s="150">
        <f t="shared" si="66"/>
        <v>0</v>
      </c>
      <c r="P349" s="150">
        <f t="shared" si="66"/>
        <v>0</v>
      </c>
      <c r="Q349" s="150">
        <f t="shared" si="66"/>
        <v>0</v>
      </c>
      <c r="R349" s="1338"/>
      <c r="S349" s="23"/>
      <c r="T349" s="23"/>
      <c r="U349" s="23"/>
      <c r="V349" s="23"/>
      <c r="W349" s="3"/>
      <c r="X349" s="152"/>
      <c r="Y349" s="152"/>
      <c r="Z349" s="152"/>
      <c r="AA349" s="152"/>
      <c r="AB349" s="152"/>
      <c r="AC349" s="152"/>
      <c r="AD349" s="152"/>
      <c r="AE349" s="152"/>
      <c r="AF349" s="152"/>
      <c r="AG349" s="152"/>
      <c r="AH349" s="152"/>
      <c r="AI349" s="152"/>
    </row>
    <row r="350" spans="1:35">
      <c r="A350" s="3"/>
      <c r="B350" s="3"/>
      <c r="C350" s="3"/>
      <c r="D350" s="3"/>
      <c r="E350" s="4"/>
      <c r="F350" s="3"/>
      <c r="G350" s="3"/>
      <c r="H350" s="1339"/>
      <c r="I350" s="1340"/>
      <c r="J350" s="248"/>
      <c r="K350" s="248"/>
      <c r="L350" s="248"/>
      <c r="M350" s="248"/>
      <c r="N350" s="248"/>
      <c r="O350" s="248"/>
      <c r="P350" s="248"/>
      <c r="Q350" s="248"/>
      <c r="R350" s="1341">
        <f>SUM(H349:Q349)</f>
        <v>0</v>
      </c>
      <c r="S350" s="3"/>
      <c r="T350" s="3"/>
      <c r="U350" s="3"/>
      <c r="V350" s="3"/>
      <c r="W350" s="3"/>
      <c r="X350" s="152"/>
      <c r="Y350" s="152"/>
      <c r="Z350" s="152"/>
      <c r="AA350" s="152"/>
      <c r="AB350" s="152"/>
      <c r="AC350" s="152"/>
      <c r="AD350" s="152"/>
      <c r="AE350" s="152"/>
      <c r="AF350" s="152"/>
      <c r="AG350" s="152"/>
      <c r="AH350" s="152"/>
      <c r="AI350" s="152"/>
    </row>
    <row r="351" spans="1:35" ht="13.5" customHeight="1">
      <c r="A351" s="381"/>
      <c r="B351" s="381"/>
      <c r="C351" s="381"/>
      <c r="D351" s="381"/>
      <c r="E351" s="1576" t="s">
        <v>588</v>
      </c>
      <c r="F351" s="1576"/>
      <c r="G351" s="1576"/>
      <c r="H351" s="389"/>
      <c r="I351" s="389"/>
      <c r="J351" s="49"/>
      <c r="K351" s="49"/>
      <c r="L351" s="49"/>
      <c r="M351" s="49"/>
      <c r="N351" s="49"/>
      <c r="O351" s="49"/>
      <c r="P351" s="49"/>
      <c r="Q351" s="49"/>
      <c r="R351" s="49"/>
      <c r="S351" s="49"/>
      <c r="T351" s="49"/>
      <c r="U351" s="49"/>
      <c r="V351" s="49"/>
      <c r="W351" s="3"/>
      <c r="X351" s="152"/>
      <c r="Y351" s="152"/>
      <c r="Z351" s="152"/>
      <c r="AA351" s="152"/>
      <c r="AB351" s="152"/>
      <c r="AC351" s="152"/>
      <c r="AD351" s="152"/>
      <c r="AE351" s="152"/>
      <c r="AF351" s="152"/>
      <c r="AG351" s="152"/>
      <c r="AH351" s="152"/>
      <c r="AI351" s="152"/>
    </row>
    <row r="352" spans="1:35">
      <c r="A352" s="152"/>
      <c r="B352" s="390"/>
      <c r="C352" s="390"/>
      <c r="D352" s="3"/>
      <c r="E352" s="177"/>
      <c r="G352" s="391" t="s">
        <v>593</v>
      </c>
      <c r="H352" s="392"/>
      <c r="I352" s="393"/>
      <c r="J352" s="328"/>
      <c r="K352" s="257"/>
      <c r="L352" s="257"/>
      <c r="M352" s="257"/>
      <c r="N352" s="257"/>
      <c r="O352" s="257"/>
      <c r="P352" s="257"/>
      <c r="Q352" s="258"/>
      <c r="R352" s="3"/>
      <c r="S352" s="3"/>
      <c r="T352" s="3"/>
      <c r="U352" s="3"/>
      <c r="V352" s="3"/>
      <c r="W352" s="3"/>
      <c r="X352" s="152"/>
      <c r="Y352" s="152"/>
      <c r="Z352" s="152"/>
      <c r="AA352" s="152"/>
      <c r="AB352" s="152"/>
      <c r="AC352" s="152"/>
      <c r="AD352" s="152"/>
      <c r="AE352" s="152"/>
      <c r="AF352" s="152"/>
      <c r="AG352" s="152"/>
      <c r="AH352" s="152"/>
      <c r="AI352" s="152"/>
    </row>
    <row r="353" spans="1:35">
      <c r="A353" s="152"/>
      <c r="B353" s="390"/>
      <c r="C353" s="390"/>
      <c r="D353" s="3"/>
      <c r="E353" s="191" t="s">
        <v>582</v>
      </c>
      <c r="F353" s="3"/>
      <c r="G353" s="394" t="s">
        <v>582</v>
      </c>
      <c r="H353" s="395"/>
      <c r="I353" s="396"/>
      <c r="J353" s="329"/>
      <c r="K353" s="331" t="str">
        <f>IF(AND(E353=G353,COUNT(G358:Q407)&gt;0),"Warning: Depreciation method selected means data entered in table below will not affect calculations","")</f>
        <v/>
      </c>
      <c r="L353" s="259"/>
      <c r="N353" s="259"/>
      <c r="O353" s="259"/>
      <c r="P353" s="259"/>
      <c r="Q353" s="260"/>
      <c r="R353" s="108"/>
      <c r="S353" s="3"/>
      <c r="T353" s="3"/>
      <c r="U353" s="3"/>
      <c r="V353" s="3"/>
      <c r="W353" s="3"/>
      <c r="X353" s="152"/>
      <c r="Y353" s="152"/>
      <c r="Z353" s="152"/>
      <c r="AA353" s="152"/>
      <c r="AB353" s="152"/>
      <c r="AC353" s="152"/>
      <c r="AD353" s="152"/>
      <c r="AE353" s="152"/>
      <c r="AF353" s="152"/>
      <c r="AG353" s="152"/>
      <c r="AH353" s="152"/>
      <c r="AI353" s="152"/>
    </row>
    <row r="354" spans="1:35">
      <c r="A354" s="152"/>
      <c r="B354" s="390"/>
      <c r="C354" s="390"/>
      <c r="D354" s="3"/>
      <c r="E354" s="4"/>
      <c r="F354" s="3"/>
      <c r="G354" s="387" t="str">
        <f>IF(E353=G352,"Tracked","WARL")</f>
        <v>WARL</v>
      </c>
      <c r="H354" s="397"/>
      <c r="I354" s="398"/>
      <c r="J354" s="339"/>
      <c r="K354" s="340"/>
      <c r="L354" s="340"/>
      <c r="M354" s="340"/>
      <c r="N354" s="340"/>
      <c r="O354" s="340"/>
      <c r="P354" s="340"/>
      <c r="Q354" s="341"/>
      <c r="R354" s="3"/>
      <c r="S354" s="3"/>
      <c r="T354" s="3"/>
      <c r="U354" s="3"/>
      <c r="V354" s="3"/>
      <c r="W354" s="3"/>
      <c r="X354" s="152"/>
      <c r="Y354" s="152"/>
      <c r="Z354" s="152"/>
      <c r="AA354" s="152"/>
      <c r="AB354" s="152"/>
      <c r="AC354" s="152"/>
      <c r="AD354" s="152"/>
      <c r="AE354" s="152"/>
      <c r="AF354" s="152"/>
      <c r="AG354" s="152"/>
      <c r="AH354" s="152"/>
      <c r="AI354" s="152"/>
    </row>
    <row r="355" spans="1:35" s="1" customFormat="1">
      <c r="A355" s="152"/>
      <c r="B355" s="390"/>
      <c r="C355" s="390"/>
      <c r="D355" s="3"/>
      <c r="E355" s="4"/>
      <c r="F355" s="3"/>
      <c r="G355" s="338"/>
      <c r="H355" s="330"/>
      <c r="I355" s="336"/>
      <c r="J355" s="337"/>
      <c r="K355" s="337"/>
      <c r="L355" s="337"/>
      <c r="M355" s="337"/>
      <c r="N355" s="337"/>
      <c r="O355" s="337"/>
      <c r="P355" s="337"/>
      <c r="Q355" s="337"/>
      <c r="R355" s="4"/>
      <c r="S355" s="4"/>
      <c r="T355" s="4"/>
      <c r="U355" s="4"/>
      <c r="V355" s="4"/>
      <c r="W355" s="4"/>
      <c r="X355" s="177"/>
      <c r="Y355" s="177"/>
      <c r="Z355" s="177"/>
      <c r="AA355" s="177"/>
      <c r="AB355" s="177"/>
      <c r="AC355" s="177"/>
      <c r="AD355" s="177"/>
      <c r="AE355" s="177"/>
      <c r="AF355" s="177"/>
      <c r="AG355" s="177"/>
      <c r="AH355" s="177"/>
      <c r="AI355" s="177"/>
    </row>
    <row r="356" spans="1:35" ht="13.5" customHeight="1">
      <c r="A356" s="381"/>
      <c r="B356" s="381"/>
      <c r="C356" s="381"/>
      <c r="D356" s="381"/>
      <c r="E356" s="1576" t="s">
        <v>604</v>
      </c>
      <c r="F356" s="1576"/>
      <c r="G356" s="1576"/>
      <c r="H356" s="389"/>
      <c r="I356" s="49"/>
      <c r="J356" s="49"/>
      <c r="K356" s="49"/>
      <c r="L356" s="49"/>
      <c r="M356" s="49"/>
      <c r="N356" s="49"/>
      <c r="O356" s="49"/>
      <c r="P356" s="49"/>
      <c r="Q356" s="49"/>
      <c r="R356" s="49"/>
      <c r="S356" s="49"/>
      <c r="T356" s="49"/>
      <c r="U356" s="49"/>
      <c r="V356" s="49"/>
      <c r="W356" s="3"/>
      <c r="X356" s="152"/>
      <c r="Y356" s="152"/>
      <c r="Z356" s="152"/>
      <c r="AA356" s="152"/>
      <c r="AB356" s="152"/>
      <c r="AC356" s="152"/>
      <c r="AD356" s="152"/>
      <c r="AE356" s="152"/>
      <c r="AF356" s="152"/>
      <c r="AG356" s="152"/>
      <c r="AH356" s="152"/>
      <c r="AI356" s="152"/>
    </row>
    <row r="357" spans="1:35">
      <c r="A357" s="177"/>
      <c r="B357" s="4"/>
      <c r="C357" s="4"/>
      <c r="D357" s="3"/>
      <c r="E357" s="24" t="s">
        <v>2</v>
      </c>
      <c r="F357" s="3"/>
      <c r="G357" s="390"/>
      <c r="H357" s="373" t="str">
        <f t="shared" ref="H357:Q357" si="67">H$60</f>
        <v>2016-17</v>
      </c>
      <c r="I357" s="373" t="str">
        <f t="shared" si="67"/>
        <v>2017-18</v>
      </c>
      <c r="J357" s="373" t="str">
        <f t="shared" si="67"/>
        <v>2018-19</v>
      </c>
      <c r="K357" s="373" t="str">
        <f t="shared" si="67"/>
        <v>2019-20</v>
      </c>
      <c r="L357" s="373" t="str">
        <f t="shared" si="67"/>
        <v>2020-21</v>
      </c>
      <c r="M357" s="373" t="str">
        <f t="shared" si="67"/>
        <v>2021-22</v>
      </c>
      <c r="N357" s="373" t="str">
        <f t="shared" si="67"/>
        <v>2022-23</v>
      </c>
      <c r="O357" s="373" t="str">
        <f t="shared" si="67"/>
        <v>2023-24</v>
      </c>
      <c r="P357" s="373" t="str">
        <f t="shared" si="67"/>
        <v>2024-25</v>
      </c>
      <c r="Q357" s="373" t="str">
        <f t="shared" si="67"/>
        <v>2025-26</v>
      </c>
      <c r="R357" s="2"/>
      <c r="S357" s="2"/>
      <c r="T357" s="2"/>
      <c r="U357" s="2"/>
      <c r="V357" s="2"/>
      <c r="W357" s="3"/>
      <c r="X357" s="152"/>
      <c r="Y357" s="152"/>
      <c r="Z357" s="152"/>
      <c r="AA357" s="152"/>
      <c r="AB357" s="152"/>
      <c r="AC357" s="152"/>
      <c r="AD357" s="152"/>
      <c r="AE357" s="152"/>
      <c r="AF357" s="152"/>
      <c r="AG357" s="152"/>
      <c r="AH357" s="152"/>
      <c r="AI357" s="152"/>
    </row>
    <row r="358" spans="1:35" outlineLevel="1">
      <c r="A358" s="177"/>
      <c r="B358" s="4"/>
      <c r="C358" s="4"/>
      <c r="D358" s="3"/>
      <c r="E358" s="104" t="str">
        <f>Asset1</f>
        <v>Mains</v>
      </c>
      <c r="F358" s="152"/>
      <c r="G358" s="399"/>
      <c r="H358" s="1332"/>
      <c r="I358" s="1332"/>
      <c r="J358" s="1332"/>
      <c r="K358" s="1332"/>
      <c r="L358" s="1332"/>
      <c r="M358" s="1332"/>
      <c r="N358" s="1332"/>
      <c r="O358" s="1332"/>
      <c r="P358" s="1332"/>
      <c r="Q358" s="1332"/>
      <c r="R358" s="355"/>
      <c r="S358" s="2"/>
      <c r="T358" s="2"/>
      <c r="U358" s="2"/>
      <c r="V358" s="2"/>
      <c r="W358" s="3"/>
      <c r="X358" s="152"/>
      <c r="Y358" s="152"/>
      <c r="Z358" s="152"/>
      <c r="AA358" s="152"/>
      <c r="AB358" s="152"/>
      <c r="AC358" s="152"/>
      <c r="AD358" s="152"/>
      <c r="AE358" s="152"/>
      <c r="AF358" s="152"/>
      <c r="AG358" s="152"/>
      <c r="AH358" s="152"/>
      <c r="AI358" s="152"/>
    </row>
    <row r="359" spans="1:35" outlineLevel="1">
      <c r="A359" s="177"/>
      <c r="B359" s="4"/>
      <c r="C359" s="4"/>
      <c r="D359" s="4"/>
      <c r="E359" s="104" t="str">
        <f>Asset2</f>
        <v>Inlets</v>
      </c>
      <c r="F359" s="152"/>
      <c r="G359" s="399"/>
      <c r="H359" s="1332"/>
      <c r="I359" s="1332"/>
      <c r="J359" s="1332"/>
      <c r="K359" s="1332"/>
      <c r="L359" s="1332"/>
      <c r="M359" s="1332"/>
      <c r="N359" s="1332"/>
      <c r="O359" s="1332"/>
      <c r="P359" s="1332"/>
      <c r="Q359" s="1332"/>
      <c r="R359" s="355"/>
      <c r="S359" s="2"/>
      <c r="T359" s="2"/>
      <c r="U359" s="2"/>
      <c r="V359" s="2"/>
      <c r="W359" s="3"/>
      <c r="X359" s="152"/>
      <c r="Y359" s="152"/>
      <c r="Z359" s="152"/>
      <c r="AA359" s="152"/>
      <c r="AB359" s="152"/>
      <c r="AC359" s="152"/>
      <c r="AD359" s="152"/>
      <c r="AE359" s="152"/>
      <c r="AF359" s="152"/>
      <c r="AG359" s="152"/>
      <c r="AH359" s="152"/>
      <c r="AI359" s="152"/>
    </row>
    <row r="360" spans="1:35" outlineLevel="1">
      <c r="A360" s="177"/>
      <c r="B360" s="4"/>
      <c r="C360" s="4"/>
      <c r="D360" s="4"/>
      <c r="E360" s="104" t="str">
        <f>Asset3</f>
        <v>Meters</v>
      </c>
      <c r="F360" s="152"/>
      <c r="G360" s="399"/>
      <c r="H360" s="1332"/>
      <c r="I360" s="1332"/>
      <c r="J360" s="1332"/>
      <c r="K360" s="1332"/>
      <c r="L360" s="1332"/>
      <c r="M360" s="1332"/>
      <c r="N360" s="1332"/>
      <c r="O360" s="1332"/>
      <c r="P360" s="1332"/>
      <c r="Q360" s="1332"/>
      <c r="R360" s="355"/>
      <c r="S360" s="2"/>
      <c r="T360" s="2"/>
      <c r="U360" s="2"/>
      <c r="V360" s="2"/>
      <c r="W360" s="3"/>
      <c r="X360" s="152"/>
      <c r="Y360" s="152"/>
      <c r="Z360" s="152"/>
      <c r="AA360" s="152"/>
      <c r="AB360" s="152"/>
      <c r="AC360" s="152"/>
      <c r="AD360" s="152"/>
      <c r="AE360" s="152"/>
      <c r="AF360" s="152"/>
      <c r="AG360" s="152"/>
      <c r="AH360" s="152"/>
      <c r="AI360" s="152"/>
    </row>
    <row r="361" spans="1:35" outlineLevel="1">
      <c r="A361" s="177"/>
      <c r="B361" s="4"/>
      <c r="C361" s="4"/>
      <c r="D361" s="4"/>
      <c r="E361" s="104" t="str">
        <f>Asset4</f>
        <v>Telemetry</v>
      </c>
      <c r="F361" s="152"/>
      <c r="G361" s="399"/>
      <c r="H361" s="1332"/>
      <c r="I361" s="1332"/>
      <c r="J361" s="1332"/>
      <c r="K361" s="1332"/>
      <c r="L361" s="1332"/>
      <c r="M361" s="1332"/>
      <c r="N361" s="1332"/>
      <c r="O361" s="1332"/>
      <c r="P361" s="1332"/>
      <c r="Q361" s="1332"/>
      <c r="R361" s="355"/>
      <c r="S361" s="2"/>
      <c r="T361" s="2"/>
      <c r="U361" s="2"/>
      <c r="V361" s="2"/>
      <c r="W361" s="3"/>
      <c r="X361" s="152"/>
      <c r="Y361" s="152"/>
      <c r="Z361" s="152"/>
      <c r="AA361" s="152"/>
      <c r="AB361" s="152"/>
      <c r="AC361" s="152"/>
      <c r="AD361" s="152"/>
      <c r="AE361" s="152"/>
      <c r="AF361" s="152"/>
      <c r="AG361" s="152"/>
      <c r="AH361" s="152"/>
      <c r="AI361" s="152"/>
    </row>
    <row r="362" spans="1:35" outlineLevel="1">
      <c r="A362" s="177"/>
      <c r="B362" s="4"/>
      <c r="C362" s="4"/>
      <c r="D362" s="4"/>
      <c r="E362" s="104" t="str">
        <f>Asset5</f>
        <v>IT System</v>
      </c>
      <c r="F362" s="152"/>
      <c r="G362" s="399"/>
      <c r="H362" s="1332"/>
      <c r="I362" s="1332"/>
      <c r="J362" s="1332"/>
      <c r="K362" s="1332"/>
      <c r="L362" s="1332"/>
      <c r="M362" s="1332"/>
      <c r="N362" s="1332"/>
      <c r="O362" s="1332"/>
      <c r="P362" s="1332"/>
      <c r="Q362" s="1332"/>
      <c r="R362" s="355"/>
      <c r="S362" s="2"/>
      <c r="T362" s="2"/>
      <c r="U362" s="2"/>
      <c r="V362" s="2"/>
      <c r="W362" s="3"/>
      <c r="X362" s="152"/>
      <c r="Y362" s="152"/>
      <c r="Z362" s="152"/>
      <c r="AA362" s="152"/>
      <c r="AB362" s="152"/>
      <c r="AC362" s="152"/>
      <c r="AD362" s="152"/>
      <c r="AE362" s="152"/>
      <c r="AF362" s="152"/>
      <c r="AG362" s="152"/>
      <c r="AH362" s="152"/>
      <c r="AI362" s="152"/>
    </row>
    <row r="363" spans="1:35" outlineLevel="1">
      <c r="A363" s="177"/>
      <c r="B363" s="4"/>
      <c r="C363" s="4"/>
      <c r="D363" s="4"/>
      <c r="E363" s="104" t="str">
        <f>Asset6</f>
        <v>Other Distribution System Equipment</v>
      </c>
      <c r="F363" s="152"/>
      <c r="G363" s="399"/>
      <c r="H363" s="1332"/>
      <c r="I363" s="1332"/>
      <c r="J363" s="1332"/>
      <c r="K363" s="1332"/>
      <c r="L363" s="1332"/>
      <c r="M363" s="1332"/>
      <c r="N363" s="1332"/>
      <c r="O363" s="1332"/>
      <c r="P363" s="1332"/>
      <c r="Q363" s="1332"/>
      <c r="R363" s="355"/>
      <c r="S363" s="2"/>
      <c r="T363" s="2"/>
      <c r="U363" s="2"/>
      <c r="V363" s="2"/>
      <c r="W363" s="3"/>
      <c r="X363" s="152"/>
      <c r="Y363" s="152"/>
      <c r="Z363" s="152"/>
      <c r="AA363" s="152"/>
      <c r="AB363" s="152"/>
      <c r="AC363" s="152"/>
      <c r="AD363" s="152"/>
      <c r="AE363" s="152"/>
      <c r="AF363" s="152"/>
      <c r="AG363" s="152"/>
      <c r="AH363" s="152"/>
      <c r="AI363" s="152"/>
    </row>
    <row r="364" spans="1:35" outlineLevel="1">
      <c r="A364" s="177"/>
      <c r="B364" s="4"/>
      <c r="C364" s="4"/>
      <c r="D364" s="4"/>
      <c r="E364" s="104" t="str">
        <f>Asset7</f>
        <v>Other</v>
      </c>
      <c r="F364" s="152"/>
      <c r="G364" s="399"/>
      <c r="H364" s="1332"/>
      <c r="I364" s="1332"/>
      <c r="J364" s="1332"/>
      <c r="K364" s="1332"/>
      <c r="L364" s="1332"/>
      <c r="M364" s="1332"/>
      <c r="N364" s="1332"/>
      <c r="O364" s="1332"/>
      <c r="P364" s="1332"/>
      <c r="Q364" s="1332"/>
      <c r="R364" s="355"/>
      <c r="S364" s="2"/>
      <c r="T364" s="2"/>
      <c r="U364" s="2"/>
      <c r="V364" s="2"/>
      <c r="W364" s="3"/>
      <c r="X364" s="152"/>
      <c r="Y364" s="152"/>
      <c r="Z364" s="152"/>
      <c r="AA364" s="152"/>
      <c r="AB364" s="152"/>
      <c r="AC364" s="152"/>
      <c r="AD364" s="152"/>
      <c r="AE364" s="152"/>
      <c r="AF364" s="152"/>
      <c r="AG364" s="152"/>
      <c r="AH364" s="152"/>
      <c r="AI364" s="152"/>
    </row>
    <row r="365" spans="1:35" outlineLevel="1">
      <c r="A365" s="177"/>
      <c r="B365" s="4"/>
      <c r="C365" s="4"/>
      <c r="D365" s="4"/>
      <c r="E365" s="104">
        <f>Asset8</f>
        <v>0</v>
      </c>
      <c r="F365" s="152"/>
      <c r="G365" s="399"/>
      <c r="H365" s="1332"/>
      <c r="I365" s="1332"/>
      <c r="J365" s="1332"/>
      <c r="K365" s="1332"/>
      <c r="L365" s="1332"/>
      <c r="M365" s="1332"/>
      <c r="N365" s="1332"/>
      <c r="O365" s="1332"/>
      <c r="P365" s="1332"/>
      <c r="Q365" s="1332"/>
      <c r="R365" s="355"/>
      <c r="S365" s="2"/>
      <c r="T365" s="2"/>
      <c r="U365" s="2"/>
      <c r="V365" s="2"/>
      <c r="W365" s="3"/>
      <c r="X365" s="152"/>
      <c r="Y365" s="152"/>
      <c r="Z365" s="152"/>
      <c r="AA365" s="152"/>
      <c r="AB365" s="152"/>
      <c r="AC365" s="152"/>
      <c r="AD365" s="152"/>
      <c r="AE365" s="152"/>
      <c r="AF365" s="152"/>
      <c r="AG365" s="152"/>
      <c r="AH365" s="152"/>
      <c r="AI365" s="152"/>
    </row>
    <row r="366" spans="1:35" outlineLevel="1">
      <c r="A366" s="177"/>
      <c r="B366" s="4"/>
      <c r="C366" s="4"/>
      <c r="D366" s="4"/>
      <c r="E366" s="104">
        <f>Asset9</f>
        <v>0</v>
      </c>
      <c r="F366" s="152"/>
      <c r="G366" s="399"/>
      <c r="H366" s="1332"/>
      <c r="I366" s="1332"/>
      <c r="J366" s="1332"/>
      <c r="K366" s="1332"/>
      <c r="L366" s="1332"/>
      <c r="M366" s="1332"/>
      <c r="N366" s="1332"/>
      <c r="O366" s="1332"/>
      <c r="P366" s="1332"/>
      <c r="Q366" s="1332"/>
      <c r="R366" s="355"/>
      <c r="S366" s="2"/>
      <c r="T366" s="2"/>
      <c r="U366" s="2"/>
      <c r="V366" s="2"/>
      <c r="W366" s="3"/>
      <c r="X366" s="152"/>
      <c r="Y366" s="152"/>
      <c r="Z366" s="152"/>
      <c r="AA366" s="152"/>
      <c r="AB366" s="152"/>
      <c r="AC366" s="152"/>
      <c r="AD366" s="152"/>
      <c r="AE366" s="152"/>
      <c r="AF366" s="152"/>
      <c r="AG366" s="152"/>
      <c r="AH366" s="152"/>
      <c r="AI366" s="152"/>
    </row>
    <row r="367" spans="1:35" outlineLevel="1">
      <c r="A367" s="177"/>
      <c r="B367" s="4"/>
      <c r="C367" s="4"/>
      <c r="D367" s="4"/>
      <c r="E367" s="104">
        <f>Asset10</f>
        <v>0</v>
      </c>
      <c r="F367" s="152"/>
      <c r="G367" s="399"/>
      <c r="H367" s="1332"/>
      <c r="I367" s="1332"/>
      <c r="J367" s="1332"/>
      <c r="K367" s="1332"/>
      <c r="L367" s="1332"/>
      <c r="M367" s="1332"/>
      <c r="N367" s="1332"/>
      <c r="O367" s="1332"/>
      <c r="P367" s="1332"/>
      <c r="Q367" s="1332"/>
      <c r="R367" s="355"/>
      <c r="S367" s="2"/>
      <c r="T367" s="2"/>
      <c r="U367" s="2"/>
      <c r="V367" s="2"/>
      <c r="W367" s="3"/>
      <c r="X367" s="152"/>
      <c r="Y367" s="152"/>
      <c r="Z367" s="152"/>
      <c r="AA367" s="152"/>
      <c r="AB367" s="152"/>
      <c r="AC367" s="152"/>
      <c r="AD367" s="152"/>
      <c r="AE367" s="152"/>
      <c r="AF367" s="152"/>
      <c r="AG367" s="152"/>
      <c r="AH367" s="152"/>
      <c r="AI367" s="152"/>
    </row>
    <row r="368" spans="1:35" outlineLevel="1">
      <c r="A368" s="177"/>
      <c r="B368" s="4"/>
      <c r="C368" s="4"/>
      <c r="D368" s="4"/>
      <c r="E368" s="104">
        <f>Asset11</f>
        <v>0</v>
      </c>
      <c r="F368" s="152"/>
      <c r="G368" s="399"/>
      <c r="H368" s="1332"/>
      <c r="I368" s="1332"/>
      <c r="J368" s="1332"/>
      <c r="K368" s="1332"/>
      <c r="L368" s="1332"/>
      <c r="M368" s="1332"/>
      <c r="N368" s="1332"/>
      <c r="O368" s="1332"/>
      <c r="P368" s="1332"/>
      <c r="Q368" s="1332"/>
      <c r="R368" s="355"/>
      <c r="S368" s="2"/>
      <c r="T368" s="2"/>
      <c r="U368" s="2"/>
      <c r="V368" s="2"/>
      <c r="W368" s="3"/>
      <c r="X368" s="152"/>
      <c r="Y368" s="152"/>
      <c r="Z368" s="152"/>
      <c r="AA368" s="152"/>
      <c r="AB368" s="152"/>
      <c r="AC368" s="152"/>
      <c r="AD368" s="152"/>
      <c r="AE368" s="152"/>
      <c r="AF368" s="152"/>
      <c r="AG368" s="152"/>
      <c r="AH368" s="152"/>
      <c r="AI368" s="152"/>
    </row>
    <row r="369" spans="1:35" outlineLevel="1">
      <c r="A369" s="177"/>
      <c r="B369" s="4"/>
      <c r="C369" s="4"/>
      <c r="D369" s="4"/>
      <c r="E369" s="104">
        <f>Asset12</f>
        <v>0</v>
      </c>
      <c r="F369" s="152"/>
      <c r="G369" s="399"/>
      <c r="H369" s="1332"/>
      <c r="I369" s="1332"/>
      <c r="J369" s="1332"/>
      <c r="K369" s="1332"/>
      <c r="L369" s="1332"/>
      <c r="M369" s="1332"/>
      <c r="N369" s="1332"/>
      <c r="O369" s="1332"/>
      <c r="P369" s="1332"/>
      <c r="Q369" s="1332"/>
      <c r="R369" s="355"/>
      <c r="S369" s="2"/>
      <c r="T369" s="2"/>
      <c r="U369" s="2"/>
      <c r="V369" s="2"/>
      <c r="W369" s="3"/>
      <c r="X369" s="152"/>
      <c r="Y369" s="152"/>
      <c r="Z369" s="152"/>
      <c r="AA369" s="152"/>
      <c r="AB369" s="152"/>
      <c r="AC369" s="152"/>
      <c r="AD369" s="152"/>
      <c r="AE369" s="152"/>
      <c r="AF369" s="152"/>
      <c r="AG369" s="152"/>
      <c r="AH369" s="152"/>
      <c r="AI369" s="152"/>
    </row>
    <row r="370" spans="1:35" outlineLevel="1">
      <c r="A370" s="177"/>
      <c r="B370" s="4"/>
      <c r="C370" s="4"/>
      <c r="D370" s="4"/>
      <c r="E370" s="104">
        <f>Asset13</f>
        <v>0</v>
      </c>
      <c r="F370" s="152"/>
      <c r="G370" s="399"/>
      <c r="H370" s="1332"/>
      <c r="I370" s="1332"/>
      <c r="J370" s="1332"/>
      <c r="K370" s="1332"/>
      <c r="L370" s="1332"/>
      <c r="M370" s="1332"/>
      <c r="N370" s="1332"/>
      <c r="O370" s="1332"/>
      <c r="P370" s="1332"/>
      <c r="Q370" s="1332"/>
      <c r="R370" s="355"/>
      <c r="S370" s="2"/>
      <c r="T370" s="2"/>
      <c r="U370" s="2"/>
      <c r="V370" s="2"/>
      <c r="W370" s="3"/>
      <c r="X370" s="152"/>
      <c r="Y370" s="152"/>
      <c r="Z370" s="152"/>
      <c r="AA370" s="152"/>
      <c r="AB370" s="152"/>
      <c r="AC370" s="152"/>
      <c r="AD370" s="152"/>
      <c r="AE370" s="152"/>
      <c r="AF370" s="152"/>
      <c r="AG370" s="152"/>
      <c r="AH370" s="152"/>
      <c r="AI370" s="152"/>
    </row>
    <row r="371" spans="1:35" outlineLevel="1">
      <c r="A371" s="177"/>
      <c r="B371" s="4"/>
      <c r="C371" s="4"/>
      <c r="D371" s="4"/>
      <c r="E371" s="104">
        <f>Asset14</f>
        <v>0</v>
      </c>
      <c r="F371" s="152"/>
      <c r="G371" s="399"/>
      <c r="H371" s="1332"/>
      <c r="I371" s="1332"/>
      <c r="J371" s="1332"/>
      <c r="K371" s="1332"/>
      <c r="L371" s="1332"/>
      <c r="M371" s="1332"/>
      <c r="N371" s="1332"/>
      <c r="O371" s="1332"/>
      <c r="P371" s="1332"/>
      <c r="Q371" s="1332"/>
      <c r="R371" s="355"/>
      <c r="S371" s="2"/>
      <c r="T371" s="2"/>
      <c r="U371" s="2"/>
      <c r="V371" s="2"/>
      <c r="W371" s="3"/>
      <c r="X371" s="152"/>
      <c r="Y371" s="152"/>
      <c r="Z371" s="152"/>
      <c r="AA371" s="152"/>
      <c r="AB371" s="152"/>
      <c r="AC371" s="152"/>
      <c r="AD371" s="152"/>
      <c r="AE371" s="152"/>
      <c r="AF371" s="152"/>
      <c r="AG371" s="152"/>
      <c r="AH371" s="152"/>
      <c r="AI371" s="152"/>
    </row>
    <row r="372" spans="1:35" outlineLevel="1">
      <c r="A372" s="177"/>
      <c r="B372" s="4"/>
      <c r="C372" s="4"/>
      <c r="D372" s="4"/>
      <c r="E372" s="104">
        <f>Asset15</f>
        <v>0</v>
      </c>
      <c r="F372" s="152"/>
      <c r="G372" s="399"/>
      <c r="H372" s="1332"/>
      <c r="I372" s="1332"/>
      <c r="J372" s="1332"/>
      <c r="K372" s="1332"/>
      <c r="L372" s="1332"/>
      <c r="M372" s="1332"/>
      <c r="N372" s="1332"/>
      <c r="O372" s="1332"/>
      <c r="P372" s="1332"/>
      <c r="Q372" s="1332"/>
      <c r="R372" s="355"/>
      <c r="S372" s="2"/>
      <c r="T372" s="2"/>
      <c r="U372" s="2"/>
      <c r="V372" s="2"/>
      <c r="W372" s="3"/>
      <c r="X372" s="152"/>
      <c r="Y372" s="152"/>
      <c r="Z372" s="152"/>
      <c r="AA372" s="152"/>
      <c r="AB372" s="152"/>
      <c r="AC372" s="152"/>
      <c r="AD372" s="152"/>
      <c r="AE372" s="152"/>
      <c r="AF372" s="152"/>
      <c r="AG372" s="152"/>
      <c r="AH372" s="152"/>
      <c r="AI372" s="152"/>
    </row>
    <row r="373" spans="1:35" outlineLevel="1">
      <c r="A373" s="177"/>
      <c r="B373" s="4"/>
      <c r="C373" s="4"/>
      <c r="D373" s="4"/>
      <c r="E373" s="104">
        <f>Asset16</f>
        <v>0</v>
      </c>
      <c r="F373" s="152"/>
      <c r="G373" s="399"/>
      <c r="H373" s="1332"/>
      <c r="I373" s="1332"/>
      <c r="J373" s="1332"/>
      <c r="K373" s="1332"/>
      <c r="L373" s="1332"/>
      <c r="M373" s="1332"/>
      <c r="N373" s="1332"/>
      <c r="O373" s="1332"/>
      <c r="P373" s="1332"/>
      <c r="Q373" s="1332"/>
      <c r="R373" s="355"/>
      <c r="S373" s="2"/>
      <c r="T373" s="2"/>
      <c r="U373" s="2"/>
      <c r="V373" s="2"/>
      <c r="W373" s="3"/>
      <c r="X373" s="152"/>
      <c r="Y373" s="152"/>
      <c r="Z373" s="152"/>
      <c r="AA373" s="152"/>
      <c r="AB373" s="152"/>
      <c r="AC373" s="152"/>
      <c r="AD373" s="152"/>
      <c r="AE373" s="152"/>
      <c r="AF373" s="152"/>
      <c r="AG373" s="152"/>
      <c r="AH373" s="152"/>
      <c r="AI373" s="152"/>
    </row>
    <row r="374" spans="1:35" outlineLevel="1">
      <c r="A374" s="177"/>
      <c r="B374" s="4"/>
      <c r="C374" s="4"/>
      <c r="D374" s="4"/>
      <c r="E374" s="104">
        <f>Asset17</f>
        <v>0</v>
      </c>
      <c r="F374" s="152"/>
      <c r="G374" s="399"/>
      <c r="H374" s="1332"/>
      <c r="I374" s="1332"/>
      <c r="J374" s="1332"/>
      <c r="K374" s="1332"/>
      <c r="L374" s="1332"/>
      <c r="M374" s="1332"/>
      <c r="N374" s="1332"/>
      <c r="O374" s="1332"/>
      <c r="P374" s="1332"/>
      <c r="Q374" s="1332"/>
      <c r="R374" s="355"/>
      <c r="S374" s="2"/>
      <c r="T374" s="2"/>
      <c r="U374" s="2"/>
      <c r="V374" s="2"/>
      <c r="W374" s="3"/>
      <c r="X374" s="152"/>
      <c r="Y374" s="152"/>
      <c r="Z374" s="152"/>
      <c r="AA374" s="152"/>
      <c r="AB374" s="152"/>
      <c r="AC374" s="152"/>
      <c r="AD374" s="152"/>
      <c r="AE374" s="152"/>
      <c r="AF374" s="152"/>
      <c r="AG374" s="152"/>
      <c r="AH374" s="152"/>
      <c r="AI374" s="152"/>
    </row>
    <row r="375" spans="1:35" outlineLevel="1">
      <c r="A375" s="177"/>
      <c r="B375" s="4"/>
      <c r="C375" s="4"/>
      <c r="D375" s="4"/>
      <c r="E375" s="104">
        <f>Asset18</f>
        <v>0</v>
      </c>
      <c r="F375" s="152"/>
      <c r="G375" s="399"/>
      <c r="H375" s="1332"/>
      <c r="I375" s="1332"/>
      <c r="J375" s="1332"/>
      <c r="K375" s="1332"/>
      <c r="L375" s="1332"/>
      <c r="M375" s="1332"/>
      <c r="N375" s="1332"/>
      <c r="O375" s="1332"/>
      <c r="P375" s="1332"/>
      <c r="Q375" s="1332"/>
      <c r="R375" s="355"/>
      <c r="S375" s="2"/>
      <c r="T375" s="2"/>
      <c r="U375" s="2"/>
      <c r="V375" s="2"/>
      <c r="W375" s="3"/>
      <c r="X375" s="152"/>
      <c r="Y375" s="152"/>
      <c r="Z375" s="152"/>
      <c r="AA375" s="152"/>
      <c r="AB375" s="152"/>
      <c r="AC375" s="152"/>
      <c r="AD375" s="152"/>
      <c r="AE375" s="152"/>
      <c r="AF375" s="152"/>
      <c r="AG375" s="152"/>
      <c r="AH375" s="152"/>
      <c r="AI375" s="152"/>
    </row>
    <row r="376" spans="1:35" outlineLevel="1">
      <c r="A376" s="177"/>
      <c r="B376" s="4"/>
      <c r="C376" s="4"/>
      <c r="D376" s="4"/>
      <c r="E376" s="104">
        <f>Asset19</f>
        <v>0</v>
      </c>
      <c r="F376" s="152"/>
      <c r="G376" s="399"/>
      <c r="H376" s="1332"/>
      <c r="I376" s="1332"/>
      <c r="J376" s="1332"/>
      <c r="K376" s="1332"/>
      <c r="L376" s="1332"/>
      <c r="M376" s="1332"/>
      <c r="N376" s="1332"/>
      <c r="O376" s="1332"/>
      <c r="P376" s="1332"/>
      <c r="Q376" s="1332"/>
      <c r="R376" s="355"/>
      <c r="S376" s="2"/>
      <c r="T376" s="2"/>
      <c r="U376" s="2"/>
      <c r="V376" s="2"/>
      <c r="W376" s="3"/>
      <c r="X376" s="152"/>
      <c r="Y376" s="152"/>
      <c r="Z376" s="152"/>
      <c r="AA376" s="152"/>
      <c r="AB376" s="152"/>
      <c r="AC376" s="152"/>
      <c r="AD376" s="152"/>
      <c r="AE376" s="152"/>
      <c r="AF376" s="152"/>
      <c r="AG376" s="152"/>
      <c r="AH376" s="152"/>
      <c r="AI376" s="152"/>
    </row>
    <row r="377" spans="1:35" outlineLevel="1">
      <c r="A377" s="177"/>
      <c r="B377" s="4"/>
      <c r="C377" s="4"/>
      <c r="D377" s="4"/>
      <c r="E377" s="104">
        <f>Asset20</f>
        <v>0</v>
      </c>
      <c r="F377" s="177"/>
      <c r="G377" s="399"/>
      <c r="H377" s="1332"/>
      <c r="I377" s="1332"/>
      <c r="J377" s="1332"/>
      <c r="K377" s="1332"/>
      <c r="L377" s="1332"/>
      <c r="M377" s="1332"/>
      <c r="N377" s="1332"/>
      <c r="O377" s="1332"/>
      <c r="P377" s="1332"/>
      <c r="Q377" s="1332"/>
      <c r="R377" s="355"/>
      <c r="S377" s="2"/>
      <c r="T377" s="2"/>
      <c r="U377" s="2"/>
      <c r="V377" s="2"/>
      <c r="W377" s="3"/>
      <c r="X377" s="152"/>
      <c r="Y377" s="152"/>
      <c r="Z377" s="152"/>
      <c r="AA377" s="152"/>
      <c r="AB377" s="152"/>
      <c r="AC377" s="152"/>
      <c r="AD377" s="152"/>
      <c r="AE377" s="152"/>
      <c r="AF377" s="152"/>
      <c r="AG377" s="152"/>
      <c r="AH377" s="152"/>
      <c r="AI377" s="152"/>
    </row>
    <row r="378" spans="1:35" outlineLevel="1">
      <c r="A378" s="177"/>
      <c r="B378" s="4"/>
      <c r="C378" s="4"/>
      <c r="D378" s="4"/>
      <c r="E378" s="104">
        <f>Asset21</f>
        <v>0</v>
      </c>
      <c r="F378" s="177"/>
      <c r="G378" s="399"/>
      <c r="H378" s="1332"/>
      <c r="I378" s="1332"/>
      <c r="J378" s="1332"/>
      <c r="K378" s="1332"/>
      <c r="L378" s="1332"/>
      <c r="M378" s="1332"/>
      <c r="N378" s="1332"/>
      <c r="O378" s="1332"/>
      <c r="P378" s="1332"/>
      <c r="Q378" s="1332"/>
      <c r="R378" s="355"/>
      <c r="S378" s="2"/>
      <c r="T378" s="2"/>
      <c r="U378" s="2"/>
      <c r="V378" s="2"/>
      <c r="W378" s="3"/>
      <c r="X378" s="152"/>
      <c r="Y378" s="152"/>
      <c r="Z378" s="152"/>
      <c r="AA378" s="152"/>
      <c r="AB378" s="152"/>
      <c r="AC378" s="152"/>
      <c r="AD378" s="152"/>
      <c r="AE378" s="152"/>
      <c r="AF378" s="152"/>
      <c r="AG378" s="152"/>
      <c r="AH378" s="152"/>
      <c r="AI378" s="152"/>
    </row>
    <row r="379" spans="1:35" outlineLevel="1">
      <c r="A379" s="177"/>
      <c r="B379" s="4"/>
      <c r="C379" s="4"/>
      <c r="D379" s="4"/>
      <c r="E379" s="104">
        <f>Asset22</f>
        <v>0</v>
      </c>
      <c r="F379" s="177"/>
      <c r="G379" s="399"/>
      <c r="H379" s="1332"/>
      <c r="I379" s="1332"/>
      <c r="J379" s="1332"/>
      <c r="K379" s="1332"/>
      <c r="L379" s="1332"/>
      <c r="M379" s="1332"/>
      <c r="N379" s="1332"/>
      <c r="O379" s="1332"/>
      <c r="P379" s="1332"/>
      <c r="Q379" s="1332"/>
      <c r="R379" s="355"/>
      <c r="S379" s="2"/>
      <c r="T379" s="2"/>
      <c r="U379" s="2"/>
      <c r="V379" s="2"/>
      <c r="W379" s="3"/>
      <c r="X379" s="152"/>
      <c r="Y379" s="152"/>
      <c r="Z379" s="152"/>
      <c r="AA379" s="152"/>
      <c r="AB379" s="152"/>
      <c r="AC379" s="152"/>
      <c r="AD379" s="152"/>
      <c r="AE379" s="152"/>
      <c r="AF379" s="152"/>
      <c r="AG379" s="152"/>
      <c r="AH379" s="152"/>
      <c r="AI379" s="152"/>
    </row>
    <row r="380" spans="1:35" outlineLevel="1">
      <c r="A380" s="177"/>
      <c r="B380" s="4"/>
      <c r="C380" s="4"/>
      <c r="D380" s="4"/>
      <c r="E380" s="104">
        <f>Asset23</f>
        <v>0</v>
      </c>
      <c r="F380" s="177"/>
      <c r="G380" s="399"/>
      <c r="H380" s="1332"/>
      <c r="I380" s="1332"/>
      <c r="J380" s="1332"/>
      <c r="K380" s="1332"/>
      <c r="L380" s="1332"/>
      <c r="M380" s="1332"/>
      <c r="N380" s="1332"/>
      <c r="O380" s="1332"/>
      <c r="P380" s="1332"/>
      <c r="Q380" s="1332"/>
      <c r="R380" s="355"/>
      <c r="S380" s="2"/>
      <c r="T380" s="2"/>
      <c r="U380" s="2"/>
      <c r="V380" s="2"/>
      <c r="W380" s="3"/>
      <c r="X380" s="152"/>
      <c r="Y380" s="152"/>
      <c r="Z380" s="152"/>
      <c r="AA380" s="152"/>
      <c r="AB380" s="152"/>
      <c r="AC380" s="152"/>
      <c r="AD380" s="152"/>
      <c r="AE380" s="152"/>
      <c r="AF380" s="152"/>
      <c r="AG380" s="152"/>
      <c r="AH380" s="152"/>
      <c r="AI380" s="152"/>
    </row>
    <row r="381" spans="1:35" outlineLevel="1">
      <c r="A381" s="177"/>
      <c r="B381" s="4"/>
      <c r="C381" s="4"/>
      <c r="D381" s="4"/>
      <c r="E381" s="104">
        <f>Asset24</f>
        <v>0</v>
      </c>
      <c r="F381" s="177"/>
      <c r="G381" s="399"/>
      <c r="H381" s="1332"/>
      <c r="I381" s="1332"/>
      <c r="J381" s="1332"/>
      <c r="K381" s="1332"/>
      <c r="L381" s="1332"/>
      <c r="M381" s="1332"/>
      <c r="N381" s="1332"/>
      <c r="O381" s="1332"/>
      <c r="P381" s="1332"/>
      <c r="Q381" s="1332"/>
      <c r="R381" s="355"/>
      <c r="S381" s="2"/>
      <c r="T381" s="2"/>
      <c r="U381" s="2"/>
      <c r="V381" s="2"/>
      <c r="W381" s="3"/>
      <c r="X381" s="152"/>
      <c r="Y381" s="152"/>
      <c r="Z381" s="152"/>
      <c r="AA381" s="152"/>
      <c r="AB381" s="152"/>
      <c r="AC381" s="152"/>
      <c r="AD381" s="152"/>
      <c r="AE381" s="152"/>
      <c r="AF381" s="152"/>
      <c r="AG381" s="152"/>
      <c r="AH381" s="152"/>
      <c r="AI381" s="152"/>
    </row>
    <row r="382" spans="1:35" outlineLevel="1">
      <c r="A382" s="177"/>
      <c r="B382" s="4"/>
      <c r="C382" s="4"/>
      <c r="D382" s="4"/>
      <c r="E382" s="104">
        <f>Asset25</f>
        <v>0</v>
      </c>
      <c r="F382" s="177"/>
      <c r="G382" s="399"/>
      <c r="H382" s="1332"/>
      <c r="I382" s="1332"/>
      <c r="J382" s="1332"/>
      <c r="K382" s="1332"/>
      <c r="L382" s="1332"/>
      <c r="M382" s="1332"/>
      <c r="N382" s="1332"/>
      <c r="O382" s="1332"/>
      <c r="P382" s="1332"/>
      <c r="Q382" s="1332"/>
      <c r="R382" s="355"/>
      <c r="S382" s="2"/>
      <c r="T382" s="2"/>
      <c r="U382" s="2"/>
      <c r="V382" s="2"/>
      <c r="W382" s="3"/>
      <c r="X382" s="152"/>
      <c r="Y382" s="152"/>
      <c r="Z382" s="152"/>
      <c r="AA382" s="152"/>
      <c r="AB382" s="152"/>
      <c r="AC382" s="152"/>
      <c r="AD382" s="152"/>
      <c r="AE382" s="152"/>
      <c r="AF382" s="152"/>
      <c r="AG382" s="152"/>
      <c r="AH382" s="152"/>
      <c r="AI382" s="152"/>
    </row>
    <row r="383" spans="1:35" outlineLevel="1">
      <c r="A383" s="177"/>
      <c r="B383" s="4"/>
      <c r="C383" s="4"/>
      <c r="D383" s="4"/>
      <c r="E383" s="104">
        <f>Asset26</f>
        <v>0</v>
      </c>
      <c r="F383" s="177"/>
      <c r="G383" s="399"/>
      <c r="H383" s="1332"/>
      <c r="I383" s="1332"/>
      <c r="J383" s="1332"/>
      <c r="K383" s="1332"/>
      <c r="L383" s="1332"/>
      <c r="M383" s="1332"/>
      <c r="N383" s="1332"/>
      <c r="O383" s="1332"/>
      <c r="P383" s="1332"/>
      <c r="Q383" s="1332"/>
      <c r="R383" s="355"/>
      <c r="S383" s="2"/>
      <c r="T383" s="2"/>
      <c r="U383" s="2"/>
      <c r="V383" s="2"/>
      <c r="W383" s="3"/>
      <c r="X383" s="152"/>
      <c r="Y383" s="152"/>
      <c r="Z383" s="152"/>
      <c r="AA383" s="152"/>
      <c r="AB383" s="152"/>
      <c r="AC383" s="152"/>
      <c r="AD383" s="152"/>
      <c r="AE383" s="152"/>
      <c r="AF383" s="152"/>
      <c r="AG383" s="152"/>
      <c r="AH383" s="152"/>
      <c r="AI383" s="152"/>
    </row>
    <row r="384" spans="1:35" outlineLevel="1">
      <c r="A384" s="177"/>
      <c r="B384" s="4"/>
      <c r="C384" s="4"/>
      <c r="D384" s="4"/>
      <c r="E384" s="104">
        <f>Asset27</f>
        <v>0</v>
      </c>
      <c r="F384" s="177"/>
      <c r="G384" s="399"/>
      <c r="H384" s="1332"/>
      <c r="I384" s="1332"/>
      <c r="J384" s="1332"/>
      <c r="K384" s="1332"/>
      <c r="L384" s="1332"/>
      <c r="M384" s="1332"/>
      <c r="N384" s="1332"/>
      <c r="O384" s="1332"/>
      <c r="P384" s="1332"/>
      <c r="Q384" s="1332"/>
      <c r="R384" s="355"/>
      <c r="S384" s="2"/>
      <c r="T384" s="2"/>
      <c r="U384" s="2"/>
      <c r="V384" s="2"/>
      <c r="W384" s="3"/>
      <c r="X384" s="152"/>
      <c r="Y384" s="152"/>
      <c r="Z384" s="152"/>
      <c r="AA384" s="152"/>
      <c r="AB384" s="152"/>
      <c r="AC384" s="152"/>
      <c r="AD384" s="152"/>
      <c r="AE384" s="152"/>
      <c r="AF384" s="152"/>
      <c r="AG384" s="152"/>
      <c r="AH384" s="152"/>
      <c r="AI384" s="152"/>
    </row>
    <row r="385" spans="1:35" outlineLevel="1">
      <c r="A385" s="177"/>
      <c r="B385" s="4"/>
      <c r="C385" s="4"/>
      <c r="D385" s="4"/>
      <c r="E385" s="104">
        <f>Asset28</f>
        <v>0</v>
      </c>
      <c r="F385" s="177"/>
      <c r="G385" s="399"/>
      <c r="H385" s="1332"/>
      <c r="I385" s="1332"/>
      <c r="J385" s="1332"/>
      <c r="K385" s="1332"/>
      <c r="L385" s="1332"/>
      <c r="M385" s="1332"/>
      <c r="N385" s="1332"/>
      <c r="O385" s="1332"/>
      <c r="P385" s="1332"/>
      <c r="Q385" s="1332"/>
      <c r="R385" s="355"/>
      <c r="S385" s="2"/>
      <c r="T385" s="2"/>
      <c r="U385" s="2"/>
      <c r="V385" s="2"/>
      <c r="W385" s="3"/>
      <c r="X385" s="152"/>
      <c r="Y385" s="152"/>
      <c r="Z385" s="152"/>
      <c r="AA385" s="152"/>
      <c r="AB385" s="152"/>
      <c r="AC385" s="152"/>
      <c r="AD385" s="152"/>
      <c r="AE385" s="152"/>
      <c r="AF385" s="152"/>
      <c r="AG385" s="152"/>
      <c r="AH385" s="152"/>
      <c r="AI385" s="152"/>
    </row>
    <row r="386" spans="1:35" outlineLevel="1">
      <c r="A386" s="177"/>
      <c r="B386" s="4"/>
      <c r="C386" s="4"/>
      <c r="D386" s="4"/>
      <c r="E386" s="104">
        <f>Asset29</f>
        <v>0</v>
      </c>
      <c r="F386" s="177"/>
      <c r="G386" s="399"/>
      <c r="H386" s="1332"/>
      <c r="I386" s="1332"/>
      <c r="J386" s="1332"/>
      <c r="K386" s="1332"/>
      <c r="L386" s="1332"/>
      <c r="M386" s="1332"/>
      <c r="N386" s="1332"/>
      <c r="O386" s="1332"/>
      <c r="P386" s="1332"/>
      <c r="Q386" s="1332"/>
      <c r="R386" s="355"/>
      <c r="S386" s="2"/>
      <c r="T386" s="2"/>
      <c r="U386" s="2"/>
      <c r="V386" s="2"/>
      <c r="W386" s="3"/>
      <c r="X386" s="152"/>
      <c r="Y386" s="152"/>
      <c r="Z386" s="152"/>
      <c r="AA386" s="152"/>
      <c r="AB386" s="152"/>
      <c r="AC386" s="152"/>
      <c r="AD386" s="152"/>
      <c r="AE386" s="152"/>
      <c r="AF386" s="152"/>
      <c r="AG386" s="152"/>
      <c r="AH386" s="152"/>
      <c r="AI386" s="152"/>
    </row>
    <row r="387" spans="1:35" outlineLevel="1">
      <c r="A387" s="177"/>
      <c r="B387" s="4"/>
      <c r="C387" s="4"/>
      <c r="D387" s="4"/>
      <c r="E387" s="104">
        <f>Asset30</f>
        <v>0</v>
      </c>
      <c r="F387" s="177"/>
      <c r="G387" s="399"/>
      <c r="H387" s="1332"/>
      <c r="I387" s="1332"/>
      <c r="J387" s="1332"/>
      <c r="K387" s="1332"/>
      <c r="L387" s="1332"/>
      <c r="M387" s="1332"/>
      <c r="N387" s="1332"/>
      <c r="O387" s="1332"/>
      <c r="P387" s="1332"/>
      <c r="Q387" s="1332"/>
      <c r="R387" s="355"/>
      <c r="S387" s="2"/>
      <c r="T387" s="2"/>
      <c r="U387" s="2"/>
      <c r="V387" s="2"/>
      <c r="W387" s="3"/>
      <c r="X387" s="152"/>
      <c r="Y387" s="152"/>
      <c r="Z387" s="152"/>
      <c r="AA387" s="152"/>
      <c r="AB387" s="152"/>
      <c r="AC387" s="152"/>
      <c r="AD387" s="152"/>
      <c r="AE387" s="152"/>
      <c r="AF387" s="152"/>
      <c r="AG387" s="152"/>
      <c r="AH387" s="152"/>
      <c r="AI387" s="152"/>
    </row>
    <row r="388" spans="1:35" outlineLevel="2">
      <c r="A388" s="177"/>
      <c r="B388" s="4"/>
      <c r="C388" s="4"/>
      <c r="D388" s="4"/>
      <c r="E388" s="104">
        <f>Asset31</f>
        <v>0</v>
      </c>
      <c r="F388" s="177"/>
      <c r="G388" s="399"/>
      <c r="H388" s="1332"/>
      <c r="I388" s="1332"/>
      <c r="J388" s="1332"/>
      <c r="K388" s="1332"/>
      <c r="L388" s="1332"/>
      <c r="M388" s="1332"/>
      <c r="N388" s="1332"/>
      <c r="O388" s="1332"/>
      <c r="P388" s="1332"/>
      <c r="Q388" s="1332"/>
      <c r="R388" s="355"/>
      <c r="S388" s="2"/>
      <c r="T388" s="2"/>
      <c r="U388" s="2"/>
      <c r="V388" s="2"/>
      <c r="W388" s="3"/>
      <c r="X388" s="152"/>
      <c r="Y388" s="152"/>
      <c r="Z388" s="152"/>
      <c r="AA388" s="152"/>
      <c r="AB388" s="152"/>
      <c r="AC388" s="152"/>
      <c r="AD388" s="152"/>
      <c r="AE388" s="152"/>
      <c r="AF388" s="152"/>
      <c r="AG388" s="152"/>
      <c r="AH388" s="152"/>
      <c r="AI388" s="152"/>
    </row>
    <row r="389" spans="1:35" outlineLevel="2">
      <c r="A389" s="177"/>
      <c r="B389" s="4"/>
      <c r="C389" s="4"/>
      <c r="D389" s="4"/>
      <c r="E389" s="104">
        <f>Asset32</f>
        <v>0</v>
      </c>
      <c r="F389" s="177"/>
      <c r="G389" s="399"/>
      <c r="H389" s="1332"/>
      <c r="I389" s="1332"/>
      <c r="J389" s="1332"/>
      <c r="K389" s="1332"/>
      <c r="L389" s="1332"/>
      <c r="M389" s="1332"/>
      <c r="N389" s="1332"/>
      <c r="O389" s="1332"/>
      <c r="P389" s="1332"/>
      <c r="Q389" s="1332"/>
      <c r="R389" s="355"/>
      <c r="S389" s="2"/>
      <c r="T389" s="2"/>
      <c r="U389" s="2"/>
      <c r="V389" s="2"/>
      <c r="W389" s="3"/>
      <c r="X389" s="152"/>
      <c r="Y389" s="152"/>
      <c r="Z389" s="152"/>
      <c r="AA389" s="152"/>
      <c r="AB389" s="152"/>
      <c r="AC389" s="152"/>
      <c r="AD389" s="152"/>
      <c r="AE389" s="152"/>
      <c r="AF389" s="152"/>
      <c r="AG389" s="152"/>
      <c r="AH389" s="152"/>
      <c r="AI389" s="152"/>
    </row>
    <row r="390" spans="1:35" outlineLevel="2">
      <c r="A390" s="177"/>
      <c r="B390" s="4"/>
      <c r="C390" s="4"/>
      <c r="D390" s="4"/>
      <c r="E390" s="104">
        <f>Asset33</f>
        <v>0</v>
      </c>
      <c r="F390" s="177"/>
      <c r="G390" s="399"/>
      <c r="H390" s="1332"/>
      <c r="I390" s="1332"/>
      <c r="J390" s="1332"/>
      <c r="K390" s="1332"/>
      <c r="L390" s="1332"/>
      <c r="M390" s="1332"/>
      <c r="N390" s="1332"/>
      <c r="O390" s="1332"/>
      <c r="P390" s="1332"/>
      <c r="Q390" s="1332"/>
      <c r="R390" s="355"/>
      <c r="S390" s="2"/>
      <c r="T390" s="2"/>
      <c r="U390" s="2"/>
      <c r="V390" s="2"/>
      <c r="W390" s="3"/>
      <c r="X390" s="152"/>
      <c r="Y390" s="152"/>
      <c r="Z390" s="152"/>
      <c r="AA390" s="152"/>
      <c r="AB390" s="152"/>
      <c r="AC390" s="152"/>
      <c r="AD390" s="152"/>
      <c r="AE390" s="152"/>
      <c r="AF390" s="152"/>
      <c r="AG390" s="152"/>
      <c r="AH390" s="152"/>
      <c r="AI390" s="152"/>
    </row>
    <row r="391" spans="1:35" outlineLevel="2">
      <c r="A391" s="177"/>
      <c r="B391" s="4"/>
      <c r="C391" s="4"/>
      <c r="D391" s="4"/>
      <c r="E391" s="104">
        <f>Asset34</f>
        <v>0</v>
      </c>
      <c r="F391" s="177"/>
      <c r="G391" s="399"/>
      <c r="H391" s="1332"/>
      <c r="I391" s="1332"/>
      <c r="J391" s="1332"/>
      <c r="K391" s="1332"/>
      <c r="L391" s="1332"/>
      <c r="M391" s="1332"/>
      <c r="N391" s="1332"/>
      <c r="O391" s="1332"/>
      <c r="P391" s="1332"/>
      <c r="Q391" s="1332"/>
      <c r="R391" s="355"/>
      <c r="S391" s="2"/>
      <c r="T391" s="2"/>
      <c r="U391" s="2"/>
      <c r="V391" s="2"/>
      <c r="W391" s="3"/>
      <c r="X391" s="152"/>
      <c r="Y391" s="152"/>
      <c r="Z391" s="152"/>
      <c r="AA391" s="152"/>
      <c r="AB391" s="152"/>
      <c r="AC391" s="152"/>
      <c r="AD391" s="152"/>
      <c r="AE391" s="152"/>
      <c r="AF391" s="152"/>
      <c r="AG391" s="152"/>
      <c r="AH391" s="152"/>
      <c r="AI391" s="152"/>
    </row>
    <row r="392" spans="1:35" outlineLevel="2">
      <c r="A392" s="177"/>
      <c r="B392" s="4"/>
      <c r="C392" s="4"/>
      <c r="D392" s="4"/>
      <c r="E392" s="104">
        <f>Asset35</f>
        <v>0</v>
      </c>
      <c r="F392" s="177"/>
      <c r="G392" s="399"/>
      <c r="H392" s="1332"/>
      <c r="I392" s="1332"/>
      <c r="J392" s="1332"/>
      <c r="K392" s="1332"/>
      <c r="L392" s="1332"/>
      <c r="M392" s="1332"/>
      <c r="N392" s="1332"/>
      <c r="O392" s="1332"/>
      <c r="P392" s="1332"/>
      <c r="Q392" s="1332"/>
      <c r="R392" s="355"/>
      <c r="S392" s="2"/>
      <c r="T392" s="2"/>
      <c r="U392" s="2"/>
      <c r="V392" s="2"/>
      <c r="W392" s="3"/>
      <c r="X392" s="152"/>
      <c r="Y392" s="152"/>
      <c r="Z392" s="152"/>
      <c r="AA392" s="152"/>
      <c r="AB392" s="152"/>
      <c r="AC392" s="152"/>
      <c r="AD392" s="152"/>
      <c r="AE392" s="152"/>
      <c r="AF392" s="152"/>
      <c r="AG392" s="152"/>
      <c r="AH392" s="152"/>
      <c r="AI392" s="152"/>
    </row>
    <row r="393" spans="1:35" outlineLevel="2">
      <c r="A393" s="177"/>
      <c r="B393" s="4"/>
      <c r="C393" s="4"/>
      <c r="D393" s="4"/>
      <c r="E393" s="104">
        <f>Asset36</f>
        <v>0</v>
      </c>
      <c r="F393" s="177"/>
      <c r="G393" s="399"/>
      <c r="H393" s="1332"/>
      <c r="I393" s="1332"/>
      <c r="J393" s="1332"/>
      <c r="K393" s="1332"/>
      <c r="L393" s="1332"/>
      <c r="M393" s="1332"/>
      <c r="N393" s="1332"/>
      <c r="O393" s="1332"/>
      <c r="P393" s="1332"/>
      <c r="Q393" s="1332"/>
      <c r="R393" s="355"/>
      <c r="S393" s="2"/>
      <c r="T393" s="2"/>
      <c r="U393" s="2"/>
      <c r="V393" s="2"/>
      <c r="W393" s="3"/>
      <c r="X393" s="152"/>
      <c r="Y393" s="152"/>
      <c r="Z393" s="152"/>
      <c r="AA393" s="152"/>
      <c r="AB393" s="152"/>
      <c r="AC393" s="152"/>
      <c r="AD393" s="152"/>
      <c r="AE393" s="152"/>
      <c r="AF393" s="152"/>
      <c r="AG393" s="152"/>
      <c r="AH393" s="152"/>
      <c r="AI393" s="152"/>
    </row>
    <row r="394" spans="1:35" outlineLevel="2">
      <c r="A394" s="177"/>
      <c r="B394" s="4"/>
      <c r="C394" s="4"/>
      <c r="D394" s="4"/>
      <c r="E394" s="104">
        <f>Asset37</f>
        <v>0</v>
      </c>
      <c r="F394" s="177"/>
      <c r="G394" s="399"/>
      <c r="H394" s="1332"/>
      <c r="I394" s="1332"/>
      <c r="J394" s="1332"/>
      <c r="K394" s="1332"/>
      <c r="L394" s="1332"/>
      <c r="M394" s="1332"/>
      <c r="N394" s="1332"/>
      <c r="O394" s="1332"/>
      <c r="P394" s="1332"/>
      <c r="Q394" s="1332"/>
      <c r="R394" s="355"/>
      <c r="S394" s="2"/>
      <c r="T394" s="2"/>
      <c r="U394" s="2"/>
      <c r="V394" s="2"/>
      <c r="W394" s="3"/>
      <c r="X394" s="152"/>
      <c r="Y394" s="152"/>
      <c r="Z394" s="152"/>
      <c r="AA394" s="152"/>
      <c r="AB394" s="152"/>
      <c r="AC394" s="152"/>
      <c r="AD394" s="152"/>
      <c r="AE394" s="152"/>
      <c r="AF394" s="152"/>
      <c r="AG394" s="152"/>
      <c r="AH394" s="152"/>
      <c r="AI394" s="152"/>
    </row>
    <row r="395" spans="1:35" outlineLevel="2">
      <c r="A395" s="177"/>
      <c r="B395" s="4"/>
      <c r="C395" s="4"/>
      <c r="D395" s="4"/>
      <c r="E395" s="104">
        <f>Asset38</f>
        <v>0</v>
      </c>
      <c r="F395" s="177"/>
      <c r="G395" s="399"/>
      <c r="H395" s="1332"/>
      <c r="I395" s="1332"/>
      <c r="J395" s="1332"/>
      <c r="K395" s="1332"/>
      <c r="L395" s="1332"/>
      <c r="M395" s="1332"/>
      <c r="N395" s="1332"/>
      <c r="O395" s="1332"/>
      <c r="P395" s="1332"/>
      <c r="Q395" s="1332"/>
      <c r="R395" s="355"/>
      <c r="S395" s="2"/>
      <c r="T395" s="2"/>
      <c r="U395" s="2"/>
      <c r="V395" s="2"/>
      <c r="W395" s="3"/>
      <c r="X395" s="152"/>
      <c r="Y395" s="152"/>
      <c r="Z395" s="152"/>
      <c r="AA395" s="152"/>
      <c r="AB395" s="152"/>
      <c r="AC395" s="152"/>
      <c r="AD395" s="152"/>
      <c r="AE395" s="152"/>
      <c r="AF395" s="152"/>
      <c r="AG395" s="152"/>
      <c r="AH395" s="152"/>
      <c r="AI395" s="152"/>
    </row>
    <row r="396" spans="1:35" outlineLevel="2">
      <c r="A396" s="177"/>
      <c r="B396" s="4"/>
      <c r="C396" s="4"/>
      <c r="D396" s="4"/>
      <c r="E396" s="104">
        <f>Asset39</f>
        <v>0</v>
      </c>
      <c r="F396" s="177"/>
      <c r="G396" s="399"/>
      <c r="H396" s="1332"/>
      <c r="I396" s="1332"/>
      <c r="J396" s="1332"/>
      <c r="K396" s="1332"/>
      <c r="L396" s="1332"/>
      <c r="M396" s="1332"/>
      <c r="N396" s="1332"/>
      <c r="O396" s="1332"/>
      <c r="P396" s="1332"/>
      <c r="Q396" s="1332"/>
      <c r="R396" s="355"/>
      <c r="S396" s="2"/>
      <c r="T396" s="2"/>
      <c r="U396" s="2"/>
      <c r="V396" s="2"/>
      <c r="W396" s="3"/>
      <c r="X396" s="152"/>
      <c r="Y396" s="152"/>
      <c r="Z396" s="152"/>
      <c r="AA396" s="152"/>
      <c r="AB396" s="152"/>
      <c r="AC396" s="152"/>
      <c r="AD396" s="152"/>
      <c r="AE396" s="152"/>
      <c r="AF396" s="152"/>
      <c r="AG396" s="152"/>
      <c r="AH396" s="152"/>
      <c r="AI396" s="152"/>
    </row>
    <row r="397" spans="1:35" outlineLevel="2">
      <c r="A397" s="177"/>
      <c r="B397" s="4"/>
      <c r="C397" s="4"/>
      <c r="D397" s="4"/>
      <c r="E397" s="104">
        <f>Asset40</f>
        <v>0</v>
      </c>
      <c r="F397" s="177"/>
      <c r="G397" s="399"/>
      <c r="H397" s="1332"/>
      <c r="I397" s="1332"/>
      <c r="J397" s="1332"/>
      <c r="K397" s="1332"/>
      <c r="L397" s="1332"/>
      <c r="M397" s="1332"/>
      <c r="N397" s="1332"/>
      <c r="O397" s="1332"/>
      <c r="P397" s="1332"/>
      <c r="Q397" s="1332"/>
      <c r="R397" s="355"/>
      <c r="S397" s="2"/>
      <c r="T397" s="2"/>
      <c r="U397" s="2"/>
      <c r="V397" s="2"/>
      <c r="W397" s="3"/>
      <c r="X397" s="152"/>
      <c r="Y397" s="152"/>
      <c r="Z397" s="152"/>
      <c r="AA397" s="152"/>
      <c r="AB397" s="152"/>
      <c r="AC397" s="152"/>
      <c r="AD397" s="152"/>
      <c r="AE397" s="152"/>
      <c r="AF397" s="152"/>
      <c r="AG397" s="152"/>
      <c r="AH397" s="152"/>
      <c r="AI397" s="152"/>
    </row>
    <row r="398" spans="1:35" outlineLevel="2">
      <c r="A398" s="177"/>
      <c r="B398" s="4"/>
      <c r="C398" s="4"/>
      <c r="D398" s="4"/>
      <c r="E398" s="104">
        <f>Asset41</f>
        <v>0</v>
      </c>
      <c r="F398" s="177"/>
      <c r="G398" s="399"/>
      <c r="H398" s="1332"/>
      <c r="I398" s="1332"/>
      <c r="J398" s="1332"/>
      <c r="K398" s="1332"/>
      <c r="L398" s="1332"/>
      <c r="M398" s="1332"/>
      <c r="N398" s="1332"/>
      <c r="O398" s="1332"/>
      <c r="P398" s="1332"/>
      <c r="Q398" s="1332"/>
      <c r="R398" s="355"/>
      <c r="S398" s="2"/>
      <c r="T398" s="2"/>
      <c r="U398" s="2"/>
      <c r="V398" s="2"/>
      <c r="W398" s="3"/>
      <c r="X398" s="152"/>
      <c r="Y398" s="152"/>
      <c r="Z398" s="152"/>
      <c r="AA398" s="152"/>
      <c r="AB398" s="152"/>
      <c r="AC398" s="152"/>
      <c r="AD398" s="152"/>
      <c r="AE398" s="152"/>
      <c r="AF398" s="152"/>
      <c r="AG398" s="152"/>
      <c r="AH398" s="152"/>
      <c r="AI398" s="152"/>
    </row>
    <row r="399" spans="1:35" outlineLevel="2">
      <c r="A399" s="177"/>
      <c r="B399" s="4"/>
      <c r="C399" s="4"/>
      <c r="D399" s="4"/>
      <c r="E399" s="104">
        <f>Asset42</f>
        <v>0</v>
      </c>
      <c r="F399" s="177"/>
      <c r="G399" s="399"/>
      <c r="H399" s="1332"/>
      <c r="I399" s="1332"/>
      <c r="J399" s="1332"/>
      <c r="K399" s="1332"/>
      <c r="L399" s="1332"/>
      <c r="M399" s="1332"/>
      <c r="N399" s="1332"/>
      <c r="O399" s="1332"/>
      <c r="P399" s="1332"/>
      <c r="Q399" s="1332"/>
      <c r="R399" s="355"/>
      <c r="S399" s="2"/>
      <c r="T399" s="2"/>
      <c r="U399" s="2"/>
      <c r="V399" s="2"/>
      <c r="W399" s="3"/>
      <c r="X399" s="152"/>
      <c r="Y399" s="152"/>
      <c r="Z399" s="152"/>
      <c r="AA399" s="152"/>
      <c r="AB399" s="152"/>
      <c r="AC399" s="152"/>
      <c r="AD399" s="152"/>
      <c r="AE399" s="152"/>
      <c r="AF399" s="152"/>
      <c r="AG399" s="152"/>
      <c r="AH399" s="152"/>
      <c r="AI399" s="152"/>
    </row>
    <row r="400" spans="1:35" outlineLevel="2">
      <c r="A400" s="177"/>
      <c r="B400" s="4"/>
      <c r="C400" s="4"/>
      <c r="D400" s="4"/>
      <c r="E400" s="104">
        <f>Asset43</f>
        <v>0</v>
      </c>
      <c r="F400" s="177"/>
      <c r="G400" s="399"/>
      <c r="H400" s="1332"/>
      <c r="I400" s="1332"/>
      <c r="J400" s="1332"/>
      <c r="K400" s="1332"/>
      <c r="L400" s="1332"/>
      <c r="M400" s="1332"/>
      <c r="N400" s="1332"/>
      <c r="O400" s="1332"/>
      <c r="P400" s="1332"/>
      <c r="Q400" s="1332"/>
      <c r="R400" s="355"/>
      <c r="S400" s="2"/>
      <c r="T400" s="2"/>
      <c r="U400" s="2"/>
      <c r="V400" s="2"/>
      <c r="W400" s="3"/>
      <c r="X400" s="152"/>
      <c r="Y400" s="152"/>
      <c r="Z400" s="152"/>
      <c r="AA400" s="152"/>
      <c r="AB400" s="152"/>
      <c r="AC400" s="152"/>
      <c r="AD400" s="152"/>
      <c r="AE400" s="152"/>
      <c r="AF400" s="152"/>
      <c r="AG400" s="152"/>
      <c r="AH400" s="152"/>
      <c r="AI400" s="152"/>
    </row>
    <row r="401" spans="1:35" outlineLevel="2">
      <c r="A401" s="177"/>
      <c r="B401" s="4"/>
      <c r="C401" s="4"/>
      <c r="D401" s="4"/>
      <c r="E401" s="104">
        <f>Asset44</f>
        <v>0</v>
      </c>
      <c r="F401" s="177"/>
      <c r="G401" s="399"/>
      <c r="H401" s="1332"/>
      <c r="I401" s="1332"/>
      <c r="J401" s="1332"/>
      <c r="K401" s="1332"/>
      <c r="L401" s="1332"/>
      <c r="M401" s="1332"/>
      <c r="N401" s="1332"/>
      <c r="O401" s="1332"/>
      <c r="P401" s="1332"/>
      <c r="Q401" s="1332"/>
      <c r="R401" s="355"/>
      <c r="S401" s="2"/>
      <c r="T401" s="2"/>
      <c r="U401" s="2"/>
      <c r="V401" s="2"/>
      <c r="W401" s="3"/>
      <c r="X401" s="152"/>
      <c r="Y401" s="152"/>
      <c r="Z401" s="152"/>
      <c r="AA401" s="152"/>
      <c r="AB401" s="152"/>
      <c r="AC401" s="152"/>
      <c r="AD401" s="152"/>
      <c r="AE401" s="152"/>
      <c r="AF401" s="152"/>
      <c r="AG401" s="152"/>
      <c r="AH401" s="152"/>
      <c r="AI401" s="152"/>
    </row>
    <row r="402" spans="1:35" outlineLevel="2">
      <c r="A402" s="177"/>
      <c r="B402" s="4"/>
      <c r="C402" s="4"/>
      <c r="D402" s="4"/>
      <c r="E402" s="104">
        <f>Asset45</f>
        <v>0</v>
      </c>
      <c r="F402" s="177"/>
      <c r="G402" s="399"/>
      <c r="H402" s="1332"/>
      <c r="I402" s="1332"/>
      <c r="J402" s="1332"/>
      <c r="K402" s="1332"/>
      <c r="L402" s="1332"/>
      <c r="M402" s="1332"/>
      <c r="N402" s="1332"/>
      <c r="O402" s="1332"/>
      <c r="P402" s="1332"/>
      <c r="Q402" s="1332"/>
      <c r="R402" s="355"/>
      <c r="S402" s="2"/>
      <c r="T402" s="2"/>
      <c r="U402" s="2"/>
      <c r="V402" s="2"/>
      <c r="W402" s="3"/>
      <c r="X402" s="152"/>
      <c r="Y402" s="152"/>
      <c r="Z402" s="152"/>
      <c r="AA402" s="152"/>
      <c r="AB402" s="152"/>
      <c r="AC402" s="152"/>
      <c r="AD402" s="152"/>
      <c r="AE402" s="152"/>
      <c r="AF402" s="152"/>
      <c r="AG402" s="152"/>
      <c r="AH402" s="152"/>
      <c r="AI402" s="152"/>
    </row>
    <row r="403" spans="1:35" outlineLevel="2">
      <c r="A403" s="177"/>
      <c r="B403" s="4"/>
      <c r="C403" s="4"/>
      <c r="D403" s="4"/>
      <c r="E403" s="104">
        <f>Asset46</f>
        <v>0</v>
      </c>
      <c r="F403" s="177"/>
      <c r="G403" s="399"/>
      <c r="H403" s="1332"/>
      <c r="I403" s="1332"/>
      <c r="J403" s="1332"/>
      <c r="K403" s="1332"/>
      <c r="L403" s="1332"/>
      <c r="M403" s="1332"/>
      <c r="N403" s="1332"/>
      <c r="O403" s="1332"/>
      <c r="P403" s="1332"/>
      <c r="Q403" s="1332"/>
      <c r="R403" s="355"/>
      <c r="S403" s="2"/>
      <c r="T403" s="2"/>
      <c r="U403" s="2"/>
      <c r="V403" s="2"/>
      <c r="W403" s="3"/>
      <c r="X403" s="152"/>
      <c r="Y403" s="152"/>
      <c r="Z403" s="152"/>
      <c r="AA403" s="152"/>
      <c r="AB403" s="152"/>
      <c r="AC403" s="152"/>
      <c r="AD403" s="152"/>
      <c r="AE403" s="152"/>
      <c r="AF403" s="152"/>
      <c r="AG403" s="152"/>
      <c r="AH403" s="152"/>
      <c r="AI403" s="152"/>
    </row>
    <row r="404" spans="1:35" outlineLevel="1">
      <c r="A404" s="177"/>
      <c r="B404" s="4"/>
      <c r="C404" s="4"/>
      <c r="D404" s="4"/>
      <c r="E404" s="104">
        <f>Asset47</f>
        <v>0</v>
      </c>
      <c r="F404" s="177"/>
      <c r="G404" s="399"/>
      <c r="H404" s="1332"/>
      <c r="I404" s="1332"/>
      <c r="J404" s="1332"/>
      <c r="K404" s="1332"/>
      <c r="L404" s="1332"/>
      <c r="M404" s="1332"/>
      <c r="N404" s="1332"/>
      <c r="O404" s="1332"/>
      <c r="P404" s="1332"/>
      <c r="Q404" s="1332"/>
      <c r="R404" s="355"/>
      <c r="S404" s="2"/>
      <c r="T404" s="2"/>
      <c r="U404" s="2"/>
      <c r="V404" s="2"/>
      <c r="W404" s="3"/>
      <c r="X404" s="152"/>
      <c r="Y404" s="152"/>
      <c r="Z404" s="152"/>
      <c r="AA404" s="152"/>
      <c r="AB404" s="152"/>
      <c r="AC404" s="152"/>
      <c r="AD404" s="152"/>
      <c r="AE404" s="152"/>
      <c r="AF404" s="152"/>
      <c r="AG404" s="152"/>
      <c r="AH404" s="152"/>
      <c r="AI404" s="152"/>
    </row>
    <row r="405" spans="1:35" outlineLevel="1">
      <c r="A405" s="177"/>
      <c r="B405" s="4"/>
      <c r="C405" s="4"/>
      <c r="D405" s="4"/>
      <c r="E405" s="104">
        <f>Asset48</f>
        <v>0</v>
      </c>
      <c r="F405" s="177"/>
      <c r="G405" s="399"/>
      <c r="H405" s="1332"/>
      <c r="I405" s="1332"/>
      <c r="J405" s="1332"/>
      <c r="K405" s="1332"/>
      <c r="L405" s="1332"/>
      <c r="M405" s="1332"/>
      <c r="N405" s="1332"/>
      <c r="O405" s="1332"/>
      <c r="P405" s="1332"/>
      <c r="Q405" s="1332"/>
      <c r="R405" s="355"/>
      <c r="S405" s="2"/>
      <c r="T405" s="2"/>
      <c r="U405" s="2"/>
      <c r="V405" s="2"/>
      <c r="W405" s="3"/>
      <c r="X405" s="152"/>
      <c r="Y405" s="152"/>
      <c r="Z405" s="152"/>
      <c r="AA405" s="152"/>
      <c r="AB405" s="152"/>
      <c r="AC405" s="152"/>
      <c r="AD405" s="152"/>
      <c r="AE405" s="152"/>
      <c r="AF405" s="152"/>
      <c r="AG405" s="152"/>
      <c r="AH405" s="152"/>
      <c r="AI405" s="152"/>
    </row>
    <row r="406" spans="1:35" outlineLevel="1">
      <c r="A406" s="177"/>
      <c r="B406" s="4"/>
      <c r="C406" s="4"/>
      <c r="D406" s="4"/>
      <c r="E406" s="104">
        <f>Asset49</f>
        <v>0</v>
      </c>
      <c r="F406" s="177"/>
      <c r="G406" s="399"/>
      <c r="H406" s="1332"/>
      <c r="I406" s="1332"/>
      <c r="J406" s="1332"/>
      <c r="K406" s="1332"/>
      <c r="L406" s="1332"/>
      <c r="M406" s="1332"/>
      <c r="N406" s="1332"/>
      <c r="O406" s="1332"/>
      <c r="P406" s="1332"/>
      <c r="Q406" s="1332"/>
      <c r="R406" s="355"/>
      <c r="S406" s="2"/>
      <c r="T406" s="2"/>
      <c r="U406" s="2"/>
      <c r="V406" s="2"/>
      <c r="W406" s="3"/>
      <c r="X406" s="152"/>
      <c r="Y406" s="152"/>
      <c r="Z406" s="152"/>
      <c r="AA406" s="152"/>
      <c r="AB406" s="152"/>
      <c r="AC406" s="152"/>
      <c r="AD406" s="152"/>
      <c r="AE406" s="152"/>
      <c r="AF406" s="152"/>
      <c r="AG406" s="152"/>
      <c r="AH406" s="152"/>
      <c r="AI406" s="152"/>
    </row>
    <row r="407" spans="1:35" outlineLevel="1">
      <c r="A407" s="177"/>
      <c r="B407" s="4"/>
      <c r="C407" s="4"/>
      <c r="D407" s="4"/>
      <c r="E407" s="104">
        <f>Asset50</f>
        <v>0</v>
      </c>
      <c r="F407" s="177"/>
      <c r="G407" s="399"/>
      <c r="H407" s="1332"/>
      <c r="I407" s="1332"/>
      <c r="J407" s="1332"/>
      <c r="K407" s="1332"/>
      <c r="L407" s="1332"/>
      <c r="M407" s="1332"/>
      <c r="N407" s="1332"/>
      <c r="O407" s="1332"/>
      <c r="P407" s="1332"/>
      <c r="Q407" s="1332"/>
      <c r="R407" s="355"/>
      <c r="S407" s="2"/>
      <c r="T407" s="2"/>
      <c r="U407" s="2"/>
      <c r="V407" s="2"/>
      <c r="W407" s="3"/>
      <c r="X407" s="152"/>
      <c r="Y407" s="152"/>
      <c r="Z407" s="152"/>
      <c r="AA407" s="152"/>
      <c r="AB407" s="152"/>
      <c r="AC407" s="152"/>
      <c r="AD407" s="152"/>
      <c r="AE407" s="152"/>
      <c r="AF407" s="152"/>
      <c r="AG407" s="152"/>
      <c r="AH407" s="152"/>
      <c r="AI407" s="152"/>
    </row>
    <row r="408" spans="1:35">
      <c r="A408" s="177"/>
      <c r="B408" s="4"/>
      <c r="C408" s="4"/>
      <c r="D408" s="4"/>
      <c r="E408" s="104" t="s">
        <v>18</v>
      </c>
      <c r="F408" s="177"/>
      <c r="G408" s="390"/>
      <c r="H408" s="150">
        <f>SUM(H358:H407)</f>
        <v>0</v>
      </c>
      <c r="I408" s="150">
        <f t="shared" ref="I408:Q408" si="68">SUM(I358:I407)</f>
        <v>0</v>
      </c>
      <c r="J408" s="150">
        <f t="shared" si="68"/>
        <v>0</v>
      </c>
      <c r="K408" s="150">
        <f t="shared" si="68"/>
        <v>0</v>
      </c>
      <c r="L408" s="150">
        <f t="shared" si="68"/>
        <v>0</v>
      </c>
      <c r="M408" s="150">
        <f t="shared" si="68"/>
        <v>0</v>
      </c>
      <c r="N408" s="150">
        <f t="shared" si="68"/>
        <v>0</v>
      </c>
      <c r="O408" s="150">
        <f t="shared" si="68"/>
        <v>0</v>
      </c>
      <c r="P408" s="150">
        <f t="shared" si="68"/>
        <v>0</v>
      </c>
      <c r="Q408" s="150">
        <f t="shared" si="68"/>
        <v>0</v>
      </c>
      <c r="R408" s="1338"/>
      <c r="S408" s="23"/>
      <c r="T408" s="23"/>
      <c r="U408" s="23"/>
      <c r="V408" s="23"/>
      <c r="W408" s="3"/>
      <c r="X408" s="152"/>
      <c r="Y408" s="152"/>
      <c r="Z408" s="152"/>
      <c r="AA408" s="152"/>
      <c r="AB408" s="152"/>
      <c r="AC408" s="152"/>
      <c r="AD408" s="152"/>
      <c r="AE408" s="152"/>
      <c r="AF408" s="152"/>
      <c r="AG408" s="152"/>
      <c r="AH408" s="152"/>
      <c r="AI408" s="152"/>
    </row>
    <row r="409" spans="1:35">
      <c r="A409" s="152"/>
      <c r="B409" s="3"/>
      <c r="C409" s="3"/>
      <c r="D409" s="3"/>
      <c r="E409" s="4"/>
      <c r="F409" s="3"/>
      <c r="G409" s="390"/>
      <c r="H409" s="1339"/>
      <c r="I409" s="1340"/>
      <c r="J409" s="248"/>
      <c r="K409" s="248"/>
      <c r="L409" s="248"/>
      <c r="M409" s="248"/>
      <c r="N409" s="248"/>
      <c r="O409" s="248"/>
      <c r="P409" s="248"/>
      <c r="Q409" s="248"/>
      <c r="R409" s="1341">
        <f>SUM(G408:Q408)</f>
        <v>0</v>
      </c>
      <c r="S409" s="3"/>
      <c r="T409" s="3"/>
      <c r="U409" s="3"/>
      <c r="V409" s="3"/>
      <c r="W409" s="3"/>
      <c r="X409" s="152"/>
      <c r="Y409" s="152"/>
      <c r="Z409" s="152"/>
      <c r="AA409" s="152"/>
      <c r="AB409" s="152"/>
      <c r="AC409" s="152"/>
      <c r="AD409" s="152"/>
      <c r="AE409" s="152"/>
      <c r="AF409" s="152"/>
      <c r="AG409" s="152"/>
      <c r="AH409" s="152"/>
      <c r="AI409" s="152"/>
    </row>
    <row r="410" spans="1:35" ht="13.5" customHeight="1">
      <c r="A410" s="48"/>
      <c r="B410" s="48"/>
      <c r="C410" s="48"/>
      <c r="D410" s="48"/>
      <c r="E410" s="1583" t="str">
        <f>"Forecast Final Year ("&amp;IF(LEN($U$7)&gt;4,CONCATENATE(LEFT($U$7,4)+($V$7-1)&amp;"-"&amp;RIGHT($U$7,2)+($V$7-1)),$U$7+($V$7-1))&amp;") Asset Adjustments ($m Nominal)"</f>
        <v>Forecast Final Year (2022-23) Asset Adjustments ($m Nominal)</v>
      </c>
      <c r="F410" s="1583"/>
      <c r="G410" s="1583"/>
      <c r="H410" s="98"/>
      <c r="I410" s="98"/>
      <c r="J410" s="98"/>
      <c r="K410" s="51"/>
      <c r="L410" s="51"/>
      <c r="M410" s="49"/>
      <c r="N410" s="49"/>
      <c r="O410" s="49"/>
      <c r="P410" s="49"/>
      <c r="Q410" s="49"/>
      <c r="R410" s="49"/>
      <c r="S410" s="49"/>
      <c r="T410" s="49"/>
      <c r="U410" s="49"/>
      <c r="V410" s="49"/>
      <c r="W410" s="3"/>
      <c r="X410" s="152"/>
      <c r="Y410" s="152"/>
      <c r="Z410" s="152"/>
      <c r="AA410" s="152"/>
      <c r="AB410" s="152"/>
      <c r="AC410" s="152"/>
      <c r="AD410" s="152"/>
      <c r="AE410" s="152"/>
      <c r="AF410" s="152"/>
      <c r="AG410" s="152"/>
      <c r="AH410" s="152"/>
      <c r="AI410" s="152"/>
    </row>
    <row r="411" spans="1:35" ht="76.900000000000006" customHeight="1">
      <c r="A411" s="4"/>
      <c r="B411" s="4"/>
      <c r="C411" s="4"/>
      <c r="D411" s="4"/>
      <c r="E411" s="192"/>
      <c r="F411" s="3"/>
      <c r="G411" s="374" t="s">
        <v>540</v>
      </c>
      <c r="H411" s="214" t="s">
        <v>120</v>
      </c>
      <c r="I411" s="223" t="s">
        <v>202</v>
      </c>
      <c r="J411" s="223" t="s">
        <v>203</v>
      </c>
      <c r="K411" s="2"/>
      <c r="L411" s="2"/>
      <c r="M411" s="2"/>
      <c r="N411" s="2"/>
      <c r="O411" s="2"/>
      <c r="P411" s="2"/>
      <c r="Q411" s="2"/>
      <c r="R411" s="2"/>
      <c r="S411" s="2"/>
      <c r="T411" s="2"/>
      <c r="U411" s="2"/>
      <c r="V411" s="2"/>
      <c r="W411" s="3"/>
      <c r="X411" s="152"/>
      <c r="Y411" s="152"/>
      <c r="Z411" s="152"/>
      <c r="AA411" s="152"/>
      <c r="AB411" s="152"/>
      <c r="AC411" s="152"/>
      <c r="AD411" s="152"/>
      <c r="AE411" s="152"/>
      <c r="AF411" s="152"/>
      <c r="AG411" s="152"/>
      <c r="AH411" s="152"/>
      <c r="AI411" s="152"/>
    </row>
    <row r="412" spans="1:35" outlineLevel="1">
      <c r="A412" s="4"/>
      <c r="B412" s="4"/>
      <c r="C412" s="4"/>
      <c r="D412" s="4"/>
      <c r="E412" s="104" t="str">
        <f>Asset1</f>
        <v>Mains</v>
      </c>
      <c r="F412" s="152"/>
      <c r="G412" s="332"/>
      <c r="H412" s="342"/>
      <c r="I412" s="1350"/>
      <c r="J412" s="1350"/>
      <c r="K412" s="2"/>
      <c r="L412" s="2"/>
      <c r="M412" s="2"/>
      <c r="N412" s="2"/>
      <c r="O412" s="2"/>
      <c r="P412" s="2"/>
      <c r="Q412" s="2"/>
      <c r="R412" s="2"/>
      <c r="S412" s="2"/>
      <c r="T412" s="2"/>
      <c r="U412" s="2"/>
      <c r="V412" s="2"/>
      <c r="W412" s="3"/>
      <c r="X412" s="152"/>
      <c r="Y412" s="152"/>
      <c r="Z412" s="152"/>
      <c r="AA412" s="152"/>
      <c r="AB412" s="152"/>
      <c r="AC412" s="152"/>
      <c r="AD412" s="152"/>
      <c r="AE412" s="152"/>
      <c r="AF412" s="152"/>
      <c r="AG412" s="152"/>
      <c r="AH412" s="152"/>
      <c r="AI412" s="152"/>
    </row>
    <row r="413" spans="1:35" outlineLevel="1">
      <c r="A413" s="4"/>
      <c r="B413" s="4"/>
      <c r="C413" s="4"/>
      <c r="D413" s="4"/>
      <c r="E413" s="104" t="str">
        <f>Asset2</f>
        <v>Inlets</v>
      </c>
      <c r="F413" s="152"/>
      <c r="G413" s="332"/>
      <c r="H413" s="333"/>
      <c r="I413" s="1351"/>
      <c r="J413" s="1351"/>
      <c r="K413" s="2"/>
      <c r="L413" s="2"/>
      <c r="M413" s="2"/>
      <c r="N413" s="2"/>
      <c r="O413" s="2"/>
      <c r="P413" s="2"/>
      <c r="Q413" s="2"/>
      <c r="R413" s="2"/>
      <c r="S413" s="2"/>
      <c r="T413" s="2"/>
      <c r="U413" s="2"/>
      <c r="V413" s="2"/>
      <c r="W413" s="3"/>
      <c r="X413" s="152"/>
      <c r="Y413" s="152"/>
      <c r="Z413" s="152"/>
      <c r="AA413" s="152"/>
      <c r="AB413" s="152"/>
      <c r="AC413" s="152"/>
      <c r="AD413" s="152"/>
      <c r="AE413" s="152"/>
      <c r="AF413" s="152"/>
      <c r="AG413" s="152"/>
      <c r="AH413" s="152"/>
      <c r="AI413" s="152"/>
    </row>
    <row r="414" spans="1:35" outlineLevel="1">
      <c r="A414" s="4"/>
      <c r="B414" s="4"/>
      <c r="C414" s="4"/>
      <c r="D414" s="4"/>
      <c r="E414" s="104" t="str">
        <f>Asset3</f>
        <v>Meters</v>
      </c>
      <c r="F414" s="152"/>
      <c r="G414" s="332"/>
      <c r="H414" s="333"/>
      <c r="I414" s="1351"/>
      <c r="J414" s="1351"/>
      <c r="K414" s="2"/>
      <c r="L414" s="2"/>
      <c r="M414" s="2"/>
      <c r="N414" s="2"/>
      <c r="O414" s="2"/>
      <c r="P414" s="2"/>
      <c r="Q414" s="2"/>
      <c r="R414" s="2"/>
      <c r="S414" s="2"/>
      <c r="T414" s="2"/>
      <c r="U414" s="2"/>
      <c r="V414" s="2"/>
      <c r="W414" s="3"/>
      <c r="X414" s="152"/>
      <c r="Y414" s="152"/>
      <c r="Z414" s="152"/>
      <c r="AA414" s="152"/>
      <c r="AB414" s="152"/>
      <c r="AC414" s="152"/>
      <c r="AD414" s="152"/>
      <c r="AE414" s="152"/>
      <c r="AF414" s="152"/>
      <c r="AG414" s="152"/>
      <c r="AH414" s="152"/>
      <c r="AI414" s="152"/>
    </row>
    <row r="415" spans="1:35" outlineLevel="1">
      <c r="A415" s="4"/>
      <c r="B415" s="4"/>
      <c r="C415" s="4"/>
      <c r="D415" s="4"/>
      <c r="E415" s="104" t="str">
        <f>Asset4</f>
        <v>Telemetry</v>
      </c>
      <c r="F415" s="152"/>
      <c r="G415" s="332"/>
      <c r="H415" s="333"/>
      <c r="I415" s="1351"/>
      <c r="J415" s="1351"/>
      <c r="K415" s="2"/>
      <c r="L415" s="2"/>
      <c r="M415" s="2"/>
      <c r="N415" s="2"/>
      <c r="O415" s="2"/>
      <c r="P415" s="2"/>
      <c r="Q415" s="2"/>
      <c r="R415" s="2"/>
      <c r="S415" s="2"/>
      <c r="T415" s="2"/>
      <c r="U415" s="2"/>
      <c r="V415" s="2"/>
      <c r="W415" s="3"/>
      <c r="X415" s="152"/>
      <c r="Y415" s="152"/>
      <c r="Z415" s="152"/>
      <c r="AA415" s="152"/>
      <c r="AB415" s="152"/>
      <c r="AC415" s="152"/>
      <c r="AD415" s="152"/>
      <c r="AE415" s="152"/>
      <c r="AF415" s="152"/>
      <c r="AG415" s="152"/>
      <c r="AH415" s="152"/>
      <c r="AI415" s="152"/>
    </row>
    <row r="416" spans="1:35" outlineLevel="1">
      <c r="A416" s="4"/>
      <c r="B416" s="4"/>
      <c r="C416" s="4"/>
      <c r="D416" s="4"/>
      <c r="E416" s="104" t="str">
        <f>Asset5</f>
        <v>IT System</v>
      </c>
      <c r="F416" s="152"/>
      <c r="G416" s="332"/>
      <c r="H416" s="333"/>
      <c r="I416" s="1351"/>
      <c r="J416" s="1351"/>
      <c r="K416" s="2"/>
      <c r="L416" s="2"/>
      <c r="M416" s="2"/>
      <c r="N416" s="2"/>
      <c r="O416" s="2"/>
      <c r="P416" s="2"/>
      <c r="Q416" s="2"/>
      <c r="R416" s="2"/>
      <c r="S416" s="2"/>
      <c r="T416" s="2"/>
      <c r="U416" s="2"/>
      <c r="V416" s="2"/>
      <c r="W416" s="3"/>
      <c r="X416" s="152"/>
      <c r="Y416" s="152"/>
      <c r="Z416" s="152"/>
      <c r="AA416" s="152"/>
      <c r="AB416" s="152"/>
      <c r="AC416" s="152"/>
      <c r="AD416" s="152"/>
      <c r="AE416" s="152"/>
      <c r="AF416" s="152"/>
      <c r="AG416" s="152"/>
      <c r="AH416" s="152"/>
      <c r="AI416" s="152"/>
    </row>
    <row r="417" spans="1:35" outlineLevel="1">
      <c r="A417" s="4"/>
      <c r="B417" s="4"/>
      <c r="C417" s="4"/>
      <c r="D417" s="4"/>
      <c r="E417" s="104" t="str">
        <f>Asset6</f>
        <v>Other Distribution System Equipment</v>
      </c>
      <c r="F417" s="152"/>
      <c r="G417" s="332"/>
      <c r="H417" s="333"/>
      <c r="I417" s="1351"/>
      <c r="J417" s="1351"/>
      <c r="K417" s="2"/>
      <c r="L417" s="2"/>
      <c r="M417" s="2"/>
      <c r="N417" s="2"/>
      <c r="O417" s="2"/>
      <c r="P417" s="2"/>
      <c r="Q417" s="2"/>
      <c r="R417" s="2"/>
      <c r="S417" s="2"/>
      <c r="T417" s="2"/>
      <c r="U417" s="2"/>
      <c r="V417" s="2"/>
      <c r="W417" s="3"/>
      <c r="X417" s="152"/>
      <c r="Y417" s="152"/>
      <c r="Z417" s="152"/>
      <c r="AA417" s="152"/>
      <c r="AB417" s="152"/>
      <c r="AC417" s="152"/>
      <c r="AD417" s="152"/>
      <c r="AE417" s="152"/>
      <c r="AF417" s="152"/>
      <c r="AG417" s="152"/>
      <c r="AH417" s="152"/>
      <c r="AI417" s="152"/>
    </row>
    <row r="418" spans="1:35" outlineLevel="1">
      <c r="A418" s="4"/>
      <c r="B418" s="4"/>
      <c r="C418" s="4"/>
      <c r="D418" s="4"/>
      <c r="E418" s="104" t="str">
        <f>Asset7</f>
        <v>Other</v>
      </c>
      <c r="F418" s="152"/>
      <c r="G418" s="332"/>
      <c r="H418" s="333"/>
      <c r="I418" s="1351"/>
      <c r="J418" s="1351"/>
      <c r="K418" s="2"/>
      <c r="L418" s="2"/>
      <c r="M418" s="2"/>
      <c r="N418" s="2"/>
      <c r="O418" s="2"/>
      <c r="P418" s="2"/>
      <c r="Q418" s="2"/>
      <c r="R418" s="2"/>
      <c r="S418" s="2"/>
      <c r="T418" s="2"/>
      <c r="U418" s="2"/>
      <c r="V418" s="2"/>
      <c r="W418" s="3"/>
      <c r="X418" s="152"/>
      <c r="Y418" s="152"/>
      <c r="Z418" s="152"/>
      <c r="AA418" s="152"/>
      <c r="AB418" s="152"/>
      <c r="AC418" s="152"/>
      <c r="AD418" s="152"/>
      <c r="AE418" s="152"/>
      <c r="AF418" s="152"/>
      <c r="AG418" s="152"/>
      <c r="AH418" s="152"/>
      <c r="AI418" s="152"/>
    </row>
    <row r="419" spans="1:35" outlineLevel="1">
      <c r="A419" s="4"/>
      <c r="B419" s="4"/>
      <c r="C419" s="4"/>
      <c r="D419" s="4"/>
      <c r="E419" s="104">
        <f>Asset8</f>
        <v>0</v>
      </c>
      <c r="F419" s="152"/>
      <c r="G419" s="332"/>
      <c r="H419" s="333"/>
      <c r="I419" s="1351"/>
      <c r="J419" s="1351"/>
      <c r="K419" s="2"/>
      <c r="L419" s="2"/>
      <c r="M419" s="2"/>
      <c r="N419" s="2"/>
      <c r="O419" s="2"/>
      <c r="P419" s="2"/>
      <c r="Q419" s="2"/>
      <c r="R419" s="2"/>
      <c r="S419" s="2"/>
      <c r="T419" s="2"/>
      <c r="U419" s="2"/>
      <c r="V419" s="2"/>
      <c r="W419" s="3"/>
      <c r="X419" s="152"/>
      <c r="Y419" s="152"/>
      <c r="Z419" s="152"/>
      <c r="AA419" s="152"/>
      <c r="AB419" s="152"/>
      <c r="AC419" s="152"/>
      <c r="AD419" s="152"/>
      <c r="AE419" s="152"/>
      <c r="AF419" s="152"/>
      <c r="AG419" s="152"/>
      <c r="AH419" s="152"/>
      <c r="AI419" s="152"/>
    </row>
    <row r="420" spans="1:35" outlineLevel="1">
      <c r="A420" s="4"/>
      <c r="B420" s="4"/>
      <c r="C420" s="4"/>
      <c r="D420" s="4"/>
      <c r="E420" s="104">
        <f>Asset9</f>
        <v>0</v>
      </c>
      <c r="F420" s="152"/>
      <c r="G420" s="332"/>
      <c r="H420" s="333"/>
      <c r="I420" s="1351"/>
      <c r="J420" s="1351"/>
      <c r="K420" s="2"/>
      <c r="L420" s="2"/>
      <c r="M420" s="2"/>
      <c r="N420" s="2"/>
      <c r="O420" s="2"/>
      <c r="P420" s="2"/>
      <c r="Q420" s="2"/>
      <c r="R420" s="2"/>
      <c r="S420" s="2"/>
      <c r="T420" s="2"/>
      <c r="U420" s="2"/>
      <c r="V420" s="2"/>
      <c r="W420" s="3"/>
      <c r="X420" s="152"/>
      <c r="Y420" s="152"/>
      <c r="Z420" s="152"/>
      <c r="AA420" s="152"/>
      <c r="AB420" s="152"/>
      <c r="AC420" s="152"/>
      <c r="AD420" s="152"/>
      <c r="AE420" s="152"/>
      <c r="AF420" s="152"/>
      <c r="AG420" s="152"/>
      <c r="AH420" s="152"/>
      <c r="AI420" s="152"/>
    </row>
    <row r="421" spans="1:35" outlineLevel="1">
      <c r="A421" s="4"/>
      <c r="B421" s="4"/>
      <c r="C421" s="4"/>
      <c r="D421" s="4"/>
      <c r="E421" s="104">
        <f>Asset10</f>
        <v>0</v>
      </c>
      <c r="F421" s="152"/>
      <c r="G421" s="332"/>
      <c r="H421" s="333"/>
      <c r="I421" s="1351"/>
      <c r="J421" s="1351"/>
      <c r="K421" s="2"/>
      <c r="L421" s="2"/>
      <c r="M421" s="2"/>
      <c r="N421" s="2"/>
      <c r="O421" s="2"/>
      <c r="P421" s="2"/>
      <c r="Q421" s="2"/>
      <c r="R421" s="2"/>
      <c r="S421" s="2"/>
      <c r="T421" s="2"/>
      <c r="U421" s="2"/>
      <c r="V421" s="2"/>
      <c r="W421" s="3"/>
      <c r="X421" s="152"/>
      <c r="Y421" s="152"/>
      <c r="Z421" s="152"/>
      <c r="AA421" s="152"/>
      <c r="AB421" s="152"/>
      <c r="AC421" s="152"/>
      <c r="AD421" s="152"/>
      <c r="AE421" s="152"/>
      <c r="AF421" s="152"/>
      <c r="AG421" s="152"/>
      <c r="AH421" s="152"/>
      <c r="AI421" s="152"/>
    </row>
    <row r="422" spans="1:35" outlineLevel="1">
      <c r="A422" s="4"/>
      <c r="B422" s="4"/>
      <c r="C422" s="4"/>
      <c r="D422" s="4"/>
      <c r="E422" s="104">
        <f>Asset11</f>
        <v>0</v>
      </c>
      <c r="F422" s="152"/>
      <c r="G422" s="332"/>
      <c r="H422" s="333"/>
      <c r="I422" s="1351"/>
      <c r="J422" s="1351"/>
      <c r="K422" s="2"/>
      <c r="L422" s="2"/>
      <c r="M422" s="2"/>
      <c r="N422" s="2"/>
      <c r="O422" s="2"/>
      <c r="P422" s="2"/>
      <c r="Q422" s="2"/>
      <c r="R422" s="2"/>
      <c r="S422" s="2"/>
      <c r="T422" s="2"/>
      <c r="U422" s="2"/>
      <c r="V422" s="2"/>
      <c r="W422" s="3"/>
      <c r="X422" s="152"/>
      <c r="Y422" s="152"/>
      <c r="Z422" s="152"/>
      <c r="AA422" s="152"/>
      <c r="AB422" s="152"/>
      <c r="AC422" s="152"/>
      <c r="AD422" s="152"/>
      <c r="AE422" s="152"/>
      <c r="AF422" s="152"/>
      <c r="AG422" s="152"/>
      <c r="AH422" s="152"/>
      <c r="AI422" s="152"/>
    </row>
    <row r="423" spans="1:35" outlineLevel="1">
      <c r="A423" s="4"/>
      <c r="B423" s="4"/>
      <c r="C423" s="4"/>
      <c r="D423" s="4"/>
      <c r="E423" s="104">
        <f>Asset12</f>
        <v>0</v>
      </c>
      <c r="F423" s="152"/>
      <c r="G423" s="332"/>
      <c r="H423" s="333"/>
      <c r="I423" s="1351"/>
      <c r="J423" s="1351"/>
      <c r="K423" s="2"/>
      <c r="L423" s="2"/>
      <c r="M423" s="2"/>
      <c r="N423" s="2"/>
      <c r="O423" s="2"/>
      <c r="P423" s="2"/>
      <c r="Q423" s="2"/>
      <c r="R423" s="2"/>
      <c r="S423" s="2"/>
      <c r="T423" s="2"/>
      <c r="U423" s="2"/>
      <c r="V423" s="2"/>
      <c r="W423" s="3"/>
      <c r="X423" s="152"/>
      <c r="Y423" s="152"/>
      <c r="Z423" s="152"/>
      <c r="AA423" s="152"/>
      <c r="AB423" s="152"/>
      <c r="AC423" s="152"/>
      <c r="AD423" s="152"/>
      <c r="AE423" s="152"/>
      <c r="AF423" s="152"/>
      <c r="AG423" s="152"/>
      <c r="AH423" s="152"/>
      <c r="AI423" s="152"/>
    </row>
    <row r="424" spans="1:35" outlineLevel="1">
      <c r="A424" s="4"/>
      <c r="B424" s="4"/>
      <c r="C424" s="4"/>
      <c r="D424" s="4"/>
      <c r="E424" s="104">
        <f>Asset13</f>
        <v>0</v>
      </c>
      <c r="F424" s="152"/>
      <c r="G424" s="332"/>
      <c r="H424" s="333"/>
      <c r="I424" s="1351"/>
      <c r="J424" s="1351"/>
      <c r="K424" s="2"/>
      <c r="L424" s="2"/>
      <c r="M424" s="2"/>
      <c r="N424" s="2"/>
      <c r="O424" s="2"/>
      <c r="P424" s="2"/>
      <c r="Q424" s="2"/>
      <c r="R424" s="2"/>
      <c r="S424" s="2"/>
      <c r="T424" s="2"/>
      <c r="U424" s="2"/>
      <c r="V424" s="2"/>
      <c r="W424" s="3"/>
      <c r="X424" s="152"/>
      <c r="Y424" s="152"/>
      <c r="Z424" s="152"/>
      <c r="AA424" s="152"/>
      <c r="AB424" s="152"/>
      <c r="AC424" s="152"/>
      <c r="AD424" s="152"/>
      <c r="AE424" s="152"/>
      <c r="AF424" s="152"/>
      <c r="AG424" s="152"/>
      <c r="AH424" s="152"/>
      <c r="AI424" s="152"/>
    </row>
    <row r="425" spans="1:35" outlineLevel="1">
      <c r="A425" s="4"/>
      <c r="B425" s="4"/>
      <c r="C425" s="4"/>
      <c r="D425" s="4"/>
      <c r="E425" s="104">
        <f>Asset14</f>
        <v>0</v>
      </c>
      <c r="F425" s="152"/>
      <c r="G425" s="332"/>
      <c r="H425" s="333"/>
      <c r="I425" s="1351"/>
      <c r="J425" s="1351"/>
      <c r="K425" s="2"/>
      <c r="L425" s="2"/>
      <c r="M425" s="2"/>
      <c r="N425" s="2"/>
      <c r="O425" s="2"/>
      <c r="P425" s="2"/>
      <c r="Q425" s="2"/>
      <c r="R425" s="2"/>
      <c r="S425" s="2"/>
      <c r="T425" s="2"/>
      <c r="U425" s="2"/>
      <c r="V425" s="2"/>
      <c r="W425" s="3"/>
      <c r="X425" s="152"/>
      <c r="Y425" s="152"/>
      <c r="Z425" s="152"/>
      <c r="AA425" s="152"/>
      <c r="AB425" s="152"/>
      <c r="AC425" s="152"/>
      <c r="AD425" s="152"/>
      <c r="AE425" s="152"/>
      <c r="AF425" s="152"/>
      <c r="AG425" s="152"/>
      <c r="AH425" s="152"/>
      <c r="AI425" s="152"/>
    </row>
    <row r="426" spans="1:35" outlineLevel="1">
      <c r="A426" s="4"/>
      <c r="B426" s="4"/>
      <c r="C426" s="4"/>
      <c r="D426" s="4"/>
      <c r="E426" s="104">
        <f>Asset15</f>
        <v>0</v>
      </c>
      <c r="F426" s="152"/>
      <c r="G426" s="332"/>
      <c r="H426" s="333"/>
      <c r="I426" s="1351"/>
      <c r="J426" s="1351"/>
      <c r="K426" s="2"/>
      <c r="L426" s="2"/>
      <c r="M426" s="2"/>
      <c r="N426" s="2"/>
      <c r="O426" s="2"/>
      <c r="P426" s="2"/>
      <c r="Q426" s="2"/>
      <c r="R426" s="2"/>
      <c r="S426" s="2"/>
      <c r="T426" s="2"/>
      <c r="U426" s="2"/>
      <c r="V426" s="2"/>
      <c r="W426" s="3"/>
      <c r="X426" s="152"/>
      <c r="Y426" s="152"/>
      <c r="Z426" s="152"/>
      <c r="AA426" s="152"/>
      <c r="AB426" s="152"/>
      <c r="AC426" s="152"/>
      <c r="AD426" s="152"/>
      <c r="AE426" s="152"/>
      <c r="AF426" s="152"/>
      <c r="AG426" s="152"/>
      <c r="AH426" s="152"/>
      <c r="AI426" s="152"/>
    </row>
    <row r="427" spans="1:35" outlineLevel="1">
      <c r="A427" s="4"/>
      <c r="B427" s="4"/>
      <c r="C427" s="4"/>
      <c r="D427" s="4"/>
      <c r="E427" s="104">
        <f>Asset16</f>
        <v>0</v>
      </c>
      <c r="F427" s="152"/>
      <c r="G427" s="332"/>
      <c r="H427" s="333"/>
      <c r="I427" s="1351"/>
      <c r="J427" s="1351"/>
      <c r="K427" s="2"/>
      <c r="L427" s="2"/>
      <c r="M427" s="2"/>
      <c r="N427" s="2"/>
      <c r="O427" s="2"/>
      <c r="P427" s="2"/>
      <c r="Q427" s="2"/>
      <c r="R427" s="2"/>
      <c r="S427" s="2"/>
      <c r="T427" s="2"/>
      <c r="U427" s="2"/>
      <c r="V427" s="2"/>
      <c r="W427" s="3"/>
      <c r="X427" s="152"/>
      <c r="Y427" s="152"/>
      <c r="Z427" s="152"/>
      <c r="AA427" s="152"/>
      <c r="AB427" s="152"/>
      <c r="AC427" s="152"/>
      <c r="AD427" s="152"/>
      <c r="AE427" s="152"/>
      <c r="AF427" s="152"/>
      <c r="AG427" s="152"/>
      <c r="AH427" s="152"/>
      <c r="AI427" s="152"/>
    </row>
    <row r="428" spans="1:35" outlineLevel="1">
      <c r="A428" s="4"/>
      <c r="B428" s="4"/>
      <c r="C428" s="4"/>
      <c r="D428" s="4"/>
      <c r="E428" s="104">
        <f>Asset17</f>
        <v>0</v>
      </c>
      <c r="F428" s="152"/>
      <c r="G428" s="332"/>
      <c r="H428" s="333"/>
      <c r="I428" s="1351"/>
      <c r="J428" s="1351"/>
      <c r="K428" s="2"/>
      <c r="L428" s="2"/>
      <c r="M428" s="2"/>
      <c r="N428" s="2"/>
      <c r="O428" s="2"/>
      <c r="P428" s="2"/>
      <c r="Q428" s="2"/>
      <c r="R428" s="2"/>
      <c r="S428" s="2"/>
      <c r="T428" s="2"/>
      <c r="U428" s="2"/>
      <c r="V428" s="2"/>
      <c r="W428" s="3"/>
      <c r="X428" s="152"/>
      <c r="Y428" s="152"/>
      <c r="Z428" s="152"/>
      <c r="AA428" s="152"/>
      <c r="AB428" s="152"/>
      <c r="AC428" s="152"/>
      <c r="AD428" s="152"/>
      <c r="AE428" s="152"/>
      <c r="AF428" s="152"/>
      <c r="AG428" s="152"/>
      <c r="AH428" s="152"/>
      <c r="AI428" s="152"/>
    </row>
    <row r="429" spans="1:35" outlineLevel="1">
      <c r="A429" s="4"/>
      <c r="B429" s="4"/>
      <c r="C429" s="4"/>
      <c r="D429" s="4"/>
      <c r="E429" s="104">
        <f>Asset18</f>
        <v>0</v>
      </c>
      <c r="F429" s="152"/>
      <c r="G429" s="332"/>
      <c r="H429" s="333"/>
      <c r="I429" s="1351"/>
      <c r="J429" s="1351"/>
      <c r="K429" s="2"/>
      <c r="L429" s="2"/>
      <c r="M429" s="2"/>
      <c r="N429" s="2"/>
      <c r="O429" s="2"/>
      <c r="P429" s="2"/>
      <c r="Q429" s="2"/>
      <c r="R429" s="2"/>
      <c r="S429" s="2"/>
      <c r="T429" s="2"/>
      <c r="U429" s="2"/>
      <c r="V429" s="2"/>
      <c r="W429" s="3"/>
      <c r="X429" s="152"/>
      <c r="Y429" s="152"/>
      <c r="Z429" s="152"/>
      <c r="AA429" s="152"/>
      <c r="AB429" s="152"/>
      <c r="AC429" s="152"/>
      <c r="AD429" s="152"/>
      <c r="AE429" s="152"/>
      <c r="AF429" s="152"/>
      <c r="AG429" s="152"/>
      <c r="AH429" s="152"/>
      <c r="AI429" s="152"/>
    </row>
    <row r="430" spans="1:35" outlineLevel="1">
      <c r="A430" s="4"/>
      <c r="B430" s="4"/>
      <c r="C430" s="4"/>
      <c r="D430" s="4"/>
      <c r="E430" s="104">
        <f>Asset19</f>
        <v>0</v>
      </c>
      <c r="F430" s="152"/>
      <c r="G430" s="332"/>
      <c r="H430" s="333"/>
      <c r="I430" s="1351"/>
      <c r="J430" s="1351"/>
      <c r="K430" s="2"/>
      <c r="L430" s="2"/>
      <c r="M430" s="2"/>
      <c r="N430" s="2"/>
      <c r="O430" s="2"/>
      <c r="P430" s="2"/>
      <c r="Q430" s="2"/>
      <c r="R430" s="2"/>
      <c r="S430" s="2"/>
      <c r="T430" s="2"/>
      <c r="U430" s="2"/>
      <c r="V430" s="2"/>
      <c r="W430" s="3"/>
      <c r="X430" s="152"/>
      <c r="Y430" s="152"/>
      <c r="Z430" s="152"/>
      <c r="AA430" s="152"/>
      <c r="AB430" s="152"/>
      <c r="AC430" s="152"/>
      <c r="AD430" s="152"/>
      <c r="AE430" s="152"/>
      <c r="AF430" s="152"/>
      <c r="AG430" s="152"/>
      <c r="AH430" s="152"/>
      <c r="AI430" s="152"/>
    </row>
    <row r="431" spans="1:35" outlineLevel="1">
      <c r="A431" s="4"/>
      <c r="B431" s="4"/>
      <c r="C431" s="4"/>
      <c r="D431" s="4"/>
      <c r="E431" s="104">
        <f>Asset20</f>
        <v>0</v>
      </c>
      <c r="F431" s="177"/>
      <c r="G431" s="332"/>
      <c r="H431" s="333"/>
      <c r="I431" s="1351"/>
      <c r="J431" s="1351"/>
      <c r="K431" s="2"/>
      <c r="L431" s="2"/>
      <c r="M431" s="2"/>
      <c r="N431" s="2"/>
      <c r="O431" s="2"/>
      <c r="P431" s="2"/>
      <c r="Q431" s="2"/>
      <c r="R431" s="2"/>
      <c r="S431" s="2"/>
      <c r="T431" s="2"/>
      <c r="U431" s="2"/>
      <c r="V431" s="2"/>
      <c r="W431" s="3"/>
      <c r="X431" s="152"/>
      <c r="Y431" s="152"/>
      <c r="Z431" s="152"/>
      <c r="AA431" s="152"/>
      <c r="AB431" s="152"/>
      <c r="AC431" s="152"/>
      <c r="AD431" s="152"/>
      <c r="AE431" s="152"/>
      <c r="AF431" s="152"/>
      <c r="AG431" s="152"/>
      <c r="AH431" s="152"/>
      <c r="AI431" s="152"/>
    </row>
    <row r="432" spans="1:35" outlineLevel="1">
      <c r="A432" s="4"/>
      <c r="B432" s="4"/>
      <c r="C432" s="4"/>
      <c r="D432" s="4"/>
      <c r="E432" s="104">
        <f>Asset21</f>
        <v>0</v>
      </c>
      <c r="F432" s="177"/>
      <c r="G432" s="332"/>
      <c r="H432" s="333"/>
      <c r="I432" s="1351"/>
      <c r="J432" s="1351"/>
      <c r="K432" s="2"/>
      <c r="L432" s="2"/>
      <c r="M432" s="2"/>
      <c r="N432" s="2"/>
      <c r="O432" s="2"/>
      <c r="P432" s="2"/>
      <c r="Q432" s="2"/>
      <c r="R432" s="2"/>
      <c r="S432" s="2"/>
      <c r="T432" s="2"/>
      <c r="U432" s="2"/>
      <c r="V432" s="2"/>
      <c r="W432" s="3"/>
      <c r="X432" s="152"/>
      <c r="Y432" s="152"/>
      <c r="Z432" s="152"/>
      <c r="AA432" s="152"/>
      <c r="AB432" s="152"/>
      <c r="AC432" s="152"/>
      <c r="AD432" s="152"/>
      <c r="AE432" s="152"/>
      <c r="AF432" s="152"/>
      <c r="AG432" s="152"/>
      <c r="AH432" s="152"/>
      <c r="AI432" s="152"/>
    </row>
    <row r="433" spans="1:35" outlineLevel="1">
      <c r="A433" s="4"/>
      <c r="B433" s="4"/>
      <c r="C433" s="4"/>
      <c r="D433" s="4"/>
      <c r="E433" s="104">
        <f>Asset22</f>
        <v>0</v>
      </c>
      <c r="F433" s="177"/>
      <c r="G433" s="332"/>
      <c r="H433" s="333"/>
      <c r="I433" s="1351"/>
      <c r="J433" s="1351"/>
      <c r="K433" s="2"/>
      <c r="L433" s="2"/>
      <c r="M433" s="2"/>
      <c r="N433" s="2"/>
      <c r="O433" s="2"/>
      <c r="P433" s="2"/>
      <c r="Q433" s="2"/>
      <c r="R433" s="2"/>
      <c r="S433" s="2"/>
      <c r="T433" s="2"/>
      <c r="U433" s="2"/>
      <c r="V433" s="2"/>
      <c r="W433" s="3"/>
      <c r="X433" s="152"/>
      <c r="Y433" s="152"/>
      <c r="Z433" s="152"/>
      <c r="AA433" s="152"/>
      <c r="AB433" s="152"/>
      <c r="AC433" s="152"/>
      <c r="AD433" s="152"/>
      <c r="AE433" s="152"/>
      <c r="AF433" s="152"/>
      <c r="AG433" s="152"/>
      <c r="AH433" s="152"/>
      <c r="AI433" s="152"/>
    </row>
    <row r="434" spans="1:35" outlineLevel="1">
      <c r="A434" s="4"/>
      <c r="B434" s="4"/>
      <c r="C434" s="4"/>
      <c r="D434" s="4"/>
      <c r="E434" s="104">
        <f>Asset23</f>
        <v>0</v>
      </c>
      <c r="F434" s="177"/>
      <c r="G434" s="332"/>
      <c r="H434" s="333"/>
      <c r="I434" s="1351"/>
      <c r="J434" s="1351"/>
      <c r="K434" s="2"/>
      <c r="L434" s="2"/>
      <c r="M434" s="2"/>
      <c r="N434" s="2"/>
      <c r="O434" s="2"/>
      <c r="P434" s="2"/>
      <c r="Q434" s="2"/>
      <c r="R434" s="2"/>
      <c r="S434" s="2"/>
      <c r="T434" s="2"/>
      <c r="U434" s="2"/>
      <c r="V434" s="2"/>
      <c r="W434" s="3"/>
      <c r="X434" s="152"/>
      <c r="Y434" s="152"/>
      <c r="Z434" s="152"/>
      <c r="AA434" s="152"/>
      <c r="AB434" s="152"/>
      <c r="AC434" s="152"/>
      <c r="AD434" s="152"/>
      <c r="AE434" s="152"/>
      <c r="AF434" s="152"/>
      <c r="AG434" s="152"/>
      <c r="AH434" s="152"/>
      <c r="AI434" s="152"/>
    </row>
    <row r="435" spans="1:35" outlineLevel="1">
      <c r="A435" s="4"/>
      <c r="B435" s="4"/>
      <c r="C435" s="4"/>
      <c r="D435" s="4"/>
      <c r="E435" s="104">
        <f>Asset24</f>
        <v>0</v>
      </c>
      <c r="F435" s="177"/>
      <c r="G435" s="332"/>
      <c r="H435" s="333"/>
      <c r="I435" s="1351"/>
      <c r="J435" s="1351"/>
      <c r="K435" s="2"/>
      <c r="L435" s="2"/>
      <c r="M435" s="2"/>
      <c r="N435" s="2"/>
      <c r="O435" s="2"/>
      <c r="P435" s="2"/>
      <c r="Q435" s="2"/>
      <c r="R435" s="2"/>
      <c r="S435" s="2"/>
      <c r="T435" s="2"/>
      <c r="U435" s="2"/>
      <c r="V435" s="2"/>
      <c r="W435" s="3"/>
      <c r="X435" s="152"/>
      <c r="Y435" s="152"/>
      <c r="Z435" s="152"/>
      <c r="AA435" s="152"/>
      <c r="AB435" s="152"/>
      <c r="AC435" s="152"/>
      <c r="AD435" s="152"/>
      <c r="AE435" s="152"/>
      <c r="AF435" s="152"/>
      <c r="AG435" s="152"/>
      <c r="AH435" s="152"/>
      <c r="AI435" s="152"/>
    </row>
    <row r="436" spans="1:35" outlineLevel="1">
      <c r="A436" s="4"/>
      <c r="B436" s="4"/>
      <c r="C436" s="4"/>
      <c r="D436" s="4"/>
      <c r="E436" s="104">
        <f>Asset25</f>
        <v>0</v>
      </c>
      <c r="F436" s="177"/>
      <c r="G436" s="332"/>
      <c r="H436" s="333"/>
      <c r="I436" s="1351"/>
      <c r="J436" s="1351"/>
      <c r="K436" s="2"/>
      <c r="L436" s="2"/>
      <c r="M436" s="2"/>
      <c r="N436" s="2"/>
      <c r="O436" s="2"/>
      <c r="P436" s="2"/>
      <c r="Q436" s="2"/>
      <c r="R436" s="2"/>
      <c r="S436" s="2"/>
      <c r="T436" s="2"/>
      <c r="U436" s="2"/>
      <c r="V436" s="2"/>
      <c r="W436" s="3"/>
      <c r="X436" s="152"/>
      <c r="Y436" s="152"/>
      <c r="Z436" s="152"/>
      <c r="AA436" s="152"/>
      <c r="AB436" s="152"/>
      <c r="AC436" s="152"/>
      <c r="AD436" s="152"/>
      <c r="AE436" s="152"/>
      <c r="AF436" s="152"/>
      <c r="AG436" s="152"/>
      <c r="AH436" s="152"/>
      <c r="AI436" s="152"/>
    </row>
    <row r="437" spans="1:35" outlineLevel="1">
      <c r="A437" s="4"/>
      <c r="B437" s="4"/>
      <c r="C437" s="4"/>
      <c r="D437" s="4"/>
      <c r="E437" s="104">
        <f>Asset26</f>
        <v>0</v>
      </c>
      <c r="F437" s="177"/>
      <c r="G437" s="332"/>
      <c r="H437" s="333"/>
      <c r="I437" s="1351"/>
      <c r="J437" s="1351"/>
      <c r="K437" s="2"/>
      <c r="L437" s="2"/>
      <c r="M437" s="2"/>
      <c r="N437" s="2"/>
      <c r="O437" s="2"/>
      <c r="P437" s="2"/>
      <c r="Q437" s="2"/>
      <c r="R437" s="2"/>
      <c r="S437" s="2"/>
      <c r="T437" s="2"/>
      <c r="U437" s="2"/>
      <c r="V437" s="2"/>
      <c r="W437" s="3"/>
      <c r="X437" s="152"/>
      <c r="Y437" s="152"/>
      <c r="Z437" s="152"/>
      <c r="AA437" s="152"/>
      <c r="AB437" s="152"/>
      <c r="AC437" s="152"/>
      <c r="AD437" s="152"/>
      <c r="AE437" s="152"/>
      <c r="AF437" s="152"/>
      <c r="AG437" s="152"/>
      <c r="AH437" s="152"/>
      <c r="AI437" s="152"/>
    </row>
    <row r="438" spans="1:35" outlineLevel="1">
      <c r="A438" s="4"/>
      <c r="B438" s="4"/>
      <c r="C438" s="4"/>
      <c r="D438" s="4"/>
      <c r="E438" s="104">
        <f>Asset27</f>
        <v>0</v>
      </c>
      <c r="F438" s="177"/>
      <c r="G438" s="332"/>
      <c r="H438" s="333"/>
      <c r="I438" s="1351"/>
      <c r="J438" s="1351"/>
      <c r="K438" s="2"/>
      <c r="L438" s="2"/>
      <c r="M438" s="2"/>
      <c r="N438" s="2"/>
      <c r="O438" s="2"/>
      <c r="P438" s="2"/>
      <c r="Q438" s="2"/>
      <c r="R438" s="2"/>
      <c r="S438" s="2"/>
      <c r="T438" s="2"/>
      <c r="U438" s="2"/>
      <c r="V438" s="2"/>
      <c r="W438" s="3"/>
      <c r="X438" s="152"/>
      <c r="Y438" s="152"/>
      <c r="Z438" s="152"/>
      <c r="AA438" s="152"/>
      <c r="AB438" s="152"/>
      <c r="AC438" s="152"/>
      <c r="AD438" s="152"/>
      <c r="AE438" s="152"/>
      <c r="AF438" s="152"/>
      <c r="AG438" s="152"/>
      <c r="AH438" s="152"/>
      <c r="AI438" s="152"/>
    </row>
    <row r="439" spans="1:35" outlineLevel="1">
      <c r="A439" s="4"/>
      <c r="B439" s="4"/>
      <c r="C439" s="4"/>
      <c r="D439" s="4"/>
      <c r="E439" s="104">
        <f>Asset28</f>
        <v>0</v>
      </c>
      <c r="F439" s="177"/>
      <c r="G439" s="332"/>
      <c r="H439" s="333"/>
      <c r="I439" s="1351"/>
      <c r="J439" s="1351"/>
      <c r="K439" s="2"/>
      <c r="L439" s="2"/>
      <c r="M439" s="2"/>
      <c r="N439" s="2"/>
      <c r="O439" s="2"/>
      <c r="P439" s="2"/>
      <c r="Q439" s="2"/>
      <c r="R439" s="2"/>
      <c r="S439" s="2"/>
      <c r="T439" s="2"/>
      <c r="U439" s="2"/>
      <c r="V439" s="2"/>
      <c r="W439" s="3"/>
      <c r="X439" s="152"/>
      <c r="Y439" s="152"/>
      <c r="Z439" s="152"/>
      <c r="AA439" s="152"/>
      <c r="AB439" s="152"/>
      <c r="AC439" s="152"/>
      <c r="AD439" s="152"/>
      <c r="AE439" s="152"/>
      <c r="AF439" s="152"/>
      <c r="AG439" s="152"/>
      <c r="AH439" s="152"/>
      <c r="AI439" s="152"/>
    </row>
    <row r="440" spans="1:35" outlineLevel="1">
      <c r="A440" s="4"/>
      <c r="B440" s="4"/>
      <c r="C440" s="4"/>
      <c r="D440" s="4"/>
      <c r="E440" s="104">
        <f>Asset29</f>
        <v>0</v>
      </c>
      <c r="F440" s="177"/>
      <c r="G440" s="332"/>
      <c r="H440" s="333"/>
      <c r="I440" s="1351"/>
      <c r="J440" s="1351"/>
      <c r="K440" s="2"/>
      <c r="L440" s="2"/>
      <c r="M440" s="2"/>
      <c r="N440" s="2"/>
      <c r="O440" s="2"/>
      <c r="P440" s="2"/>
      <c r="Q440" s="2"/>
      <c r="R440" s="2"/>
      <c r="S440" s="2"/>
      <c r="T440" s="2"/>
      <c r="U440" s="2"/>
      <c r="V440" s="2"/>
      <c r="W440" s="3"/>
      <c r="X440" s="152"/>
      <c r="Y440" s="152"/>
      <c r="Z440" s="152"/>
      <c r="AA440" s="152"/>
      <c r="AB440" s="152"/>
      <c r="AC440" s="152"/>
      <c r="AD440" s="152"/>
      <c r="AE440" s="152"/>
      <c r="AF440" s="152"/>
      <c r="AG440" s="152"/>
      <c r="AH440" s="152"/>
      <c r="AI440" s="152"/>
    </row>
    <row r="441" spans="1:35" outlineLevel="1">
      <c r="A441" s="4"/>
      <c r="B441" s="4"/>
      <c r="C441" s="4"/>
      <c r="D441" s="4"/>
      <c r="E441" s="104">
        <f>Asset30</f>
        <v>0</v>
      </c>
      <c r="F441" s="177"/>
      <c r="G441" s="332"/>
      <c r="H441" s="333"/>
      <c r="I441" s="1351"/>
      <c r="J441" s="1351"/>
      <c r="K441" s="2"/>
      <c r="L441" s="2"/>
      <c r="M441" s="2"/>
      <c r="N441" s="2"/>
      <c r="O441" s="2"/>
      <c r="P441" s="2"/>
      <c r="Q441" s="2"/>
      <c r="R441" s="2"/>
      <c r="S441" s="2"/>
      <c r="T441" s="2"/>
      <c r="U441" s="2"/>
      <c r="V441" s="2"/>
      <c r="W441" s="3"/>
      <c r="X441" s="152"/>
      <c r="Y441" s="152"/>
      <c r="Z441" s="152"/>
      <c r="AA441" s="152"/>
      <c r="AB441" s="152"/>
      <c r="AC441" s="152"/>
      <c r="AD441" s="152"/>
      <c r="AE441" s="152"/>
      <c r="AF441" s="152"/>
      <c r="AG441" s="152"/>
      <c r="AH441" s="152"/>
      <c r="AI441" s="152"/>
    </row>
    <row r="442" spans="1:35" outlineLevel="2">
      <c r="A442" s="4"/>
      <c r="B442" s="4"/>
      <c r="C442" s="4"/>
      <c r="D442" s="4"/>
      <c r="E442" s="104">
        <f>Asset31</f>
        <v>0</v>
      </c>
      <c r="F442" s="177"/>
      <c r="G442" s="332"/>
      <c r="H442" s="333"/>
      <c r="I442" s="1351"/>
      <c r="J442" s="1351"/>
      <c r="K442" s="2"/>
      <c r="L442" s="2"/>
      <c r="M442" s="2"/>
      <c r="N442" s="2"/>
      <c r="O442" s="2"/>
      <c r="P442" s="2"/>
      <c r="Q442" s="2"/>
      <c r="R442" s="2"/>
      <c r="S442" s="2"/>
      <c r="T442" s="2"/>
      <c r="U442" s="2"/>
      <c r="V442" s="2"/>
      <c r="W442" s="3"/>
      <c r="X442" s="152"/>
      <c r="Y442" s="152"/>
      <c r="Z442" s="152"/>
      <c r="AA442" s="152"/>
      <c r="AB442" s="152"/>
      <c r="AC442" s="152"/>
      <c r="AD442" s="152"/>
      <c r="AE442" s="152"/>
      <c r="AF442" s="152"/>
      <c r="AG442" s="152"/>
      <c r="AH442" s="152"/>
      <c r="AI442" s="152"/>
    </row>
    <row r="443" spans="1:35" outlineLevel="2">
      <c r="A443" s="4"/>
      <c r="B443" s="4"/>
      <c r="C443" s="4"/>
      <c r="D443" s="4"/>
      <c r="E443" s="104">
        <f>Asset32</f>
        <v>0</v>
      </c>
      <c r="F443" s="177"/>
      <c r="G443" s="332"/>
      <c r="H443" s="333"/>
      <c r="I443" s="1351"/>
      <c r="J443" s="1351"/>
      <c r="K443" s="2"/>
      <c r="L443" s="2"/>
      <c r="M443" s="2"/>
      <c r="N443" s="2"/>
      <c r="O443" s="2"/>
      <c r="P443" s="2"/>
      <c r="Q443" s="2"/>
      <c r="R443" s="2"/>
      <c r="S443" s="2"/>
      <c r="T443" s="2"/>
      <c r="U443" s="2"/>
      <c r="V443" s="2"/>
      <c r="W443" s="3"/>
      <c r="X443" s="152"/>
      <c r="Y443" s="152"/>
      <c r="Z443" s="152"/>
      <c r="AA443" s="152"/>
      <c r="AB443" s="152"/>
      <c r="AC443" s="152"/>
      <c r="AD443" s="152"/>
      <c r="AE443" s="152"/>
      <c r="AF443" s="152"/>
      <c r="AG443" s="152"/>
      <c r="AH443" s="152"/>
      <c r="AI443" s="152"/>
    </row>
    <row r="444" spans="1:35" outlineLevel="2">
      <c r="A444" s="4"/>
      <c r="B444" s="4"/>
      <c r="C444" s="4"/>
      <c r="D444" s="4"/>
      <c r="E444" s="104">
        <f>Asset33</f>
        <v>0</v>
      </c>
      <c r="F444" s="177"/>
      <c r="G444" s="332"/>
      <c r="H444" s="333"/>
      <c r="I444" s="1351"/>
      <c r="J444" s="1351"/>
      <c r="K444" s="2"/>
      <c r="L444" s="2"/>
      <c r="M444" s="2"/>
      <c r="N444" s="2"/>
      <c r="O444" s="2"/>
      <c r="P444" s="2"/>
      <c r="Q444" s="2"/>
      <c r="R444" s="2"/>
      <c r="S444" s="2"/>
      <c r="T444" s="2"/>
      <c r="U444" s="2"/>
      <c r="V444" s="2"/>
      <c r="W444" s="3"/>
      <c r="X444" s="152"/>
      <c r="Y444" s="152"/>
      <c r="Z444" s="152"/>
      <c r="AA444" s="152"/>
      <c r="AB444" s="152"/>
      <c r="AC444" s="152"/>
      <c r="AD444" s="152"/>
      <c r="AE444" s="152"/>
      <c r="AF444" s="152"/>
      <c r="AG444" s="152"/>
      <c r="AH444" s="152"/>
      <c r="AI444" s="152"/>
    </row>
    <row r="445" spans="1:35" outlineLevel="2">
      <c r="A445" s="4"/>
      <c r="B445" s="4"/>
      <c r="C445" s="4"/>
      <c r="D445" s="4"/>
      <c r="E445" s="104">
        <f>Asset34</f>
        <v>0</v>
      </c>
      <c r="F445" s="177"/>
      <c r="G445" s="332"/>
      <c r="H445" s="333"/>
      <c r="I445" s="1351"/>
      <c r="J445" s="1351"/>
      <c r="K445" s="2"/>
      <c r="L445" s="2"/>
      <c r="M445" s="2"/>
      <c r="N445" s="2"/>
      <c r="O445" s="2"/>
      <c r="P445" s="2"/>
      <c r="Q445" s="2"/>
      <c r="R445" s="2"/>
      <c r="S445" s="2"/>
      <c r="T445" s="2"/>
      <c r="U445" s="2"/>
      <c r="V445" s="2"/>
      <c r="W445" s="3"/>
      <c r="X445" s="152"/>
      <c r="Y445" s="152"/>
      <c r="Z445" s="152"/>
      <c r="AA445" s="152"/>
      <c r="AB445" s="152"/>
      <c r="AC445" s="152"/>
      <c r="AD445" s="152"/>
      <c r="AE445" s="152"/>
      <c r="AF445" s="152"/>
      <c r="AG445" s="152"/>
      <c r="AH445" s="152"/>
      <c r="AI445" s="152"/>
    </row>
    <row r="446" spans="1:35" outlineLevel="2">
      <c r="A446" s="4"/>
      <c r="B446" s="4"/>
      <c r="C446" s="4"/>
      <c r="D446" s="4"/>
      <c r="E446" s="104">
        <f>Asset35</f>
        <v>0</v>
      </c>
      <c r="F446" s="177"/>
      <c r="G446" s="332"/>
      <c r="H446" s="333"/>
      <c r="I446" s="1351"/>
      <c r="J446" s="1351"/>
      <c r="K446" s="2"/>
      <c r="L446" s="2"/>
      <c r="M446" s="2"/>
      <c r="N446" s="2"/>
      <c r="O446" s="2"/>
      <c r="P446" s="2"/>
      <c r="Q446" s="2"/>
      <c r="R446" s="2"/>
      <c r="S446" s="2"/>
      <c r="T446" s="2"/>
      <c r="U446" s="2"/>
      <c r="V446" s="2"/>
      <c r="W446" s="3"/>
      <c r="X446" s="152"/>
      <c r="Y446" s="152"/>
      <c r="Z446" s="152"/>
      <c r="AA446" s="152"/>
      <c r="AB446" s="152"/>
      <c r="AC446" s="152"/>
      <c r="AD446" s="152"/>
      <c r="AE446" s="152"/>
      <c r="AF446" s="152"/>
      <c r="AG446" s="152"/>
      <c r="AH446" s="152"/>
      <c r="AI446" s="152"/>
    </row>
    <row r="447" spans="1:35" outlineLevel="2">
      <c r="A447" s="4"/>
      <c r="B447" s="4"/>
      <c r="C447" s="4"/>
      <c r="D447" s="4"/>
      <c r="E447" s="104">
        <f>Asset36</f>
        <v>0</v>
      </c>
      <c r="F447" s="177"/>
      <c r="G447" s="332"/>
      <c r="H447" s="333"/>
      <c r="I447" s="1351"/>
      <c r="J447" s="1351"/>
      <c r="K447" s="2"/>
      <c r="L447" s="2"/>
      <c r="M447" s="2"/>
      <c r="N447" s="2"/>
      <c r="O447" s="2"/>
      <c r="P447" s="2"/>
      <c r="Q447" s="2"/>
      <c r="R447" s="2"/>
      <c r="S447" s="2"/>
      <c r="T447" s="2"/>
      <c r="U447" s="2"/>
      <c r="V447" s="2"/>
      <c r="W447" s="3"/>
      <c r="X447" s="152"/>
      <c r="Y447" s="152"/>
      <c r="Z447" s="152"/>
      <c r="AA447" s="152"/>
      <c r="AB447" s="152"/>
      <c r="AC447" s="152"/>
      <c r="AD447" s="152"/>
      <c r="AE447" s="152"/>
      <c r="AF447" s="152"/>
      <c r="AG447" s="152"/>
      <c r="AH447" s="152"/>
      <c r="AI447" s="152"/>
    </row>
    <row r="448" spans="1:35" outlineLevel="2">
      <c r="A448" s="4"/>
      <c r="B448" s="4"/>
      <c r="C448" s="4"/>
      <c r="D448" s="4"/>
      <c r="E448" s="104">
        <f>Asset37</f>
        <v>0</v>
      </c>
      <c r="F448" s="177"/>
      <c r="G448" s="332"/>
      <c r="H448" s="333"/>
      <c r="I448" s="1351"/>
      <c r="J448" s="1351"/>
      <c r="K448" s="2"/>
      <c r="L448" s="2"/>
      <c r="M448" s="2"/>
      <c r="N448" s="2"/>
      <c r="O448" s="2"/>
      <c r="P448" s="2"/>
      <c r="Q448" s="2"/>
      <c r="R448" s="2"/>
      <c r="S448" s="2"/>
      <c r="T448" s="2"/>
      <c r="U448" s="2"/>
      <c r="V448" s="2"/>
      <c r="W448" s="3"/>
      <c r="X448" s="152"/>
      <c r="Y448" s="152"/>
      <c r="Z448" s="152"/>
      <c r="AA448" s="152"/>
      <c r="AB448" s="152"/>
      <c r="AC448" s="152"/>
      <c r="AD448" s="152"/>
      <c r="AE448" s="152"/>
      <c r="AF448" s="152"/>
      <c r="AG448" s="152"/>
      <c r="AH448" s="152"/>
      <c r="AI448" s="152"/>
    </row>
    <row r="449" spans="1:35" outlineLevel="2">
      <c r="A449" s="4"/>
      <c r="B449" s="4"/>
      <c r="C449" s="4"/>
      <c r="D449" s="4"/>
      <c r="E449" s="104">
        <f>Asset38</f>
        <v>0</v>
      </c>
      <c r="F449" s="177"/>
      <c r="G449" s="332"/>
      <c r="H449" s="333"/>
      <c r="I449" s="1351"/>
      <c r="J449" s="1351"/>
      <c r="K449" s="2"/>
      <c r="L449" s="2"/>
      <c r="M449" s="2"/>
      <c r="N449" s="2"/>
      <c r="O449" s="2"/>
      <c r="P449" s="2"/>
      <c r="Q449" s="2"/>
      <c r="R449" s="2"/>
      <c r="S449" s="2"/>
      <c r="T449" s="2"/>
      <c r="U449" s="2"/>
      <c r="V449" s="2"/>
      <c r="W449" s="3"/>
      <c r="X449" s="152"/>
      <c r="Y449" s="152"/>
      <c r="Z449" s="152"/>
      <c r="AA449" s="152"/>
      <c r="AB449" s="152"/>
      <c r="AC449" s="152"/>
      <c r="AD449" s="152"/>
      <c r="AE449" s="152"/>
      <c r="AF449" s="152"/>
      <c r="AG449" s="152"/>
      <c r="AH449" s="152"/>
      <c r="AI449" s="152"/>
    </row>
    <row r="450" spans="1:35" outlineLevel="2">
      <c r="A450" s="4"/>
      <c r="B450" s="4"/>
      <c r="C450" s="4"/>
      <c r="D450" s="4"/>
      <c r="E450" s="104">
        <f>Asset39</f>
        <v>0</v>
      </c>
      <c r="F450" s="177"/>
      <c r="G450" s="332"/>
      <c r="H450" s="333"/>
      <c r="I450" s="1351"/>
      <c r="J450" s="1351"/>
      <c r="K450" s="2"/>
      <c r="L450" s="2"/>
      <c r="M450" s="2"/>
      <c r="N450" s="2"/>
      <c r="O450" s="2"/>
      <c r="P450" s="2"/>
      <c r="Q450" s="2"/>
      <c r="R450" s="2"/>
      <c r="S450" s="2"/>
      <c r="T450" s="2"/>
      <c r="U450" s="2"/>
      <c r="V450" s="2"/>
      <c r="W450" s="3"/>
      <c r="X450" s="152"/>
      <c r="Y450" s="152"/>
      <c r="Z450" s="152"/>
      <c r="AA450" s="152"/>
      <c r="AB450" s="152"/>
      <c r="AC450" s="152"/>
      <c r="AD450" s="152"/>
      <c r="AE450" s="152"/>
      <c r="AF450" s="152"/>
      <c r="AG450" s="152"/>
      <c r="AH450" s="152"/>
      <c r="AI450" s="152"/>
    </row>
    <row r="451" spans="1:35" outlineLevel="2">
      <c r="A451" s="4"/>
      <c r="B451" s="4"/>
      <c r="C451" s="4"/>
      <c r="D451" s="4"/>
      <c r="E451" s="104">
        <f>Asset40</f>
        <v>0</v>
      </c>
      <c r="F451" s="177"/>
      <c r="G451" s="332"/>
      <c r="H451" s="333"/>
      <c r="I451" s="1351"/>
      <c r="J451" s="1351"/>
      <c r="K451" s="2"/>
      <c r="L451" s="2"/>
      <c r="M451" s="2"/>
      <c r="N451" s="2"/>
      <c r="O451" s="2"/>
      <c r="P451" s="2"/>
      <c r="Q451" s="2"/>
      <c r="R451" s="2"/>
      <c r="S451" s="2"/>
      <c r="T451" s="2"/>
      <c r="U451" s="2"/>
      <c r="V451" s="2"/>
      <c r="W451" s="3"/>
      <c r="X451" s="152"/>
      <c r="Y451" s="152"/>
      <c r="Z451" s="152"/>
      <c r="AA451" s="152"/>
      <c r="AB451" s="152"/>
      <c r="AC451" s="152"/>
      <c r="AD451" s="152"/>
      <c r="AE451" s="152"/>
      <c r="AF451" s="152"/>
      <c r="AG451" s="152"/>
      <c r="AH451" s="152"/>
      <c r="AI451" s="152"/>
    </row>
    <row r="452" spans="1:35" outlineLevel="2">
      <c r="A452" s="4"/>
      <c r="B452" s="4"/>
      <c r="C452" s="4"/>
      <c r="D452" s="4"/>
      <c r="E452" s="104">
        <f>Asset41</f>
        <v>0</v>
      </c>
      <c r="F452" s="177"/>
      <c r="G452" s="332"/>
      <c r="H452" s="333"/>
      <c r="I452" s="1351"/>
      <c r="J452" s="1351"/>
      <c r="K452" s="2"/>
      <c r="L452" s="2"/>
      <c r="M452" s="2"/>
      <c r="N452" s="2"/>
      <c r="O452" s="2"/>
      <c r="P452" s="2"/>
      <c r="Q452" s="2"/>
      <c r="R452" s="2"/>
      <c r="S452" s="2"/>
      <c r="T452" s="2"/>
      <c r="U452" s="2"/>
      <c r="V452" s="2"/>
      <c r="W452" s="3"/>
      <c r="X452" s="152"/>
      <c r="Y452" s="152"/>
      <c r="Z452" s="152"/>
      <c r="AA452" s="152"/>
      <c r="AB452" s="152"/>
      <c r="AC452" s="152"/>
      <c r="AD452" s="152"/>
      <c r="AE452" s="152"/>
      <c r="AF452" s="152"/>
      <c r="AG452" s="152"/>
      <c r="AH452" s="152"/>
      <c r="AI452" s="152"/>
    </row>
    <row r="453" spans="1:35" outlineLevel="2">
      <c r="A453" s="4"/>
      <c r="B453" s="4"/>
      <c r="C453" s="4"/>
      <c r="D453" s="4"/>
      <c r="E453" s="104">
        <f>Asset42</f>
        <v>0</v>
      </c>
      <c r="F453" s="177"/>
      <c r="G453" s="332"/>
      <c r="H453" s="333"/>
      <c r="I453" s="1351"/>
      <c r="J453" s="1351"/>
      <c r="K453" s="2"/>
      <c r="L453" s="2"/>
      <c r="M453" s="2"/>
      <c r="N453" s="2"/>
      <c r="O453" s="2"/>
      <c r="P453" s="2"/>
      <c r="Q453" s="2"/>
      <c r="R453" s="2"/>
      <c r="S453" s="2"/>
      <c r="T453" s="2"/>
      <c r="U453" s="2"/>
      <c r="V453" s="2"/>
      <c r="W453" s="3"/>
      <c r="X453" s="152"/>
      <c r="Y453" s="152"/>
      <c r="Z453" s="152"/>
      <c r="AA453" s="152"/>
      <c r="AB453" s="152"/>
      <c r="AC453" s="152"/>
      <c r="AD453" s="152"/>
      <c r="AE453" s="152"/>
      <c r="AF453" s="152"/>
      <c r="AG453" s="152"/>
      <c r="AH453" s="152"/>
      <c r="AI453" s="152"/>
    </row>
    <row r="454" spans="1:35" outlineLevel="2">
      <c r="A454" s="4"/>
      <c r="B454" s="4"/>
      <c r="C454" s="4"/>
      <c r="D454" s="4"/>
      <c r="E454" s="104">
        <f>Asset43</f>
        <v>0</v>
      </c>
      <c r="F454" s="177"/>
      <c r="G454" s="332"/>
      <c r="H454" s="333"/>
      <c r="I454" s="1351"/>
      <c r="J454" s="1351"/>
      <c r="K454" s="2"/>
      <c r="L454" s="2"/>
      <c r="M454" s="2"/>
      <c r="N454" s="2"/>
      <c r="O454" s="2"/>
      <c r="P454" s="2"/>
      <c r="Q454" s="2"/>
      <c r="R454" s="2"/>
      <c r="S454" s="2"/>
      <c r="T454" s="2"/>
      <c r="U454" s="2"/>
      <c r="V454" s="2"/>
      <c r="W454" s="3"/>
      <c r="X454" s="152"/>
      <c r="Y454" s="152"/>
      <c r="Z454" s="152"/>
      <c r="AA454" s="152"/>
      <c r="AB454" s="152"/>
      <c r="AC454" s="152"/>
      <c r="AD454" s="152"/>
      <c r="AE454" s="152"/>
      <c r="AF454" s="152"/>
      <c r="AG454" s="152"/>
      <c r="AH454" s="152"/>
      <c r="AI454" s="152"/>
    </row>
    <row r="455" spans="1:35" outlineLevel="2">
      <c r="A455" s="4"/>
      <c r="B455" s="4"/>
      <c r="C455" s="4"/>
      <c r="D455" s="4"/>
      <c r="E455" s="104">
        <f>Asset44</f>
        <v>0</v>
      </c>
      <c r="F455" s="177"/>
      <c r="G455" s="332"/>
      <c r="H455" s="333"/>
      <c r="I455" s="1351"/>
      <c r="J455" s="1351"/>
      <c r="K455" s="2"/>
      <c r="L455" s="2"/>
      <c r="M455" s="2"/>
      <c r="N455" s="2"/>
      <c r="O455" s="2"/>
      <c r="P455" s="2"/>
      <c r="Q455" s="2"/>
      <c r="R455" s="2"/>
      <c r="S455" s="2"/>
      <c r="T455" s="2"/>
      <c r="U455" s="2"/>
      <c r="V455" s="2"/>
      <c r="W455" s="3"/>
      <c r="X455" s="152"/>
      <c r="Y455" s="152"/>
      <c r="Z455" s="152"/>
      <c r="AA455" s="152"/>
      <c r="AB455" s="152"/>
      <c r="AC455" s="152"/>
      <c r="AD455" s="152"/>
      <c r="AE455" s="152"/>
      <c r="AF455" s="152"/>
      <c r="AG455" s="152"/>
      <c r="AH455" s="152"/>
      <c r="AI455" s="152"/>
    </row>
    <row r="456" spans="1:35" outlineLevel="2">
      <c r="A456" s="4"/>
      <c r="B456" s="4"/>
      <c r="C456" s="4"/>
      <c r="D456" s="4"/>
      <c r="E456" s="104">
        <f>Asset45</f>
        <v>0</v>
      </c>
      <c r="F456" s="177"/>
      <c r="G456" s="332"/>
      <c r="H456" s="333"/>
      <c r="I456" s="1351"/>
      <c r="J456" s="1351"/>
      <c r="K456" s="2"/>
      <c r="L456" s="2"/>
      <c r="M456" s="2"/>
      <c r="N456" s="2"/>
      <c r="O456" s="2"/>
      <c r="P456" s="2"/>
      <c r="Q456" s="2"/>
      <c r="R456" s="2"/>
      <c r="S456" s="2"/>
      <c r="T456" s="2"/>
      <c r="U456" s="2"/>
      <c r="V456" s="2"/>
      <c r="W456" s="3"/>
      <c r="X456" s="152"/>
      <c r="Y456" s="152"/>
      <c r="Z456" s="152"/>
      <c r="AA456" s="152"/>
      <c r="AB456" s="152"/>
      <c r="AC456" s="152"/>
      <c r="AD456" s="152"/>
      <c r="AE456" s="152"/>
      <c r="AF456" s="152"/>
      <c r="AG456" s="152"/>
      <c r="AH456" s="152"/>
      <c r="AI456" s="152"/>
    </row>
    <row r="457" spans="1:35" outlineLevel="2">
      <c r="A457" s="4"/>
      <c r="B457" s="4"/>
      <c r="C457" s="4"/>
      <c r="D457" s="4"/>
      <c r="E457" s="104">
        <f>Asset46</f>
        <v>0</v>
      </c>
      <c r="F457" s="177"/>
      <c r="G457" s="332"/>
      <c r="H457" s="333"/>
      <c r="I457" s="1351"/>
      <c r="J457" s="1351"/>
      <c r="K457" s="2"/>
      <c r="L457" s="2"/>
      <c r="M457" s="2"/>
      <c r="N457" s="2"/>
      <c r="O457" s="2"/>
      <c r="P457" s="2"/>
      <c r="Q457" s="2"/>
      <c r="R457" s="2"/>
      <c r="S457" s="2"/>
      <c r="T457" s="2"/>
      <c r="U457" s="2"/>
      <c r="V457" s="2"/>
      <c r="W457" s="3"/>
      <c r="X457" s="152"/>
      <c r="Y457" s="152"/>
      <c r="Z457" s="152"/>
      <c r="AA457" s="152"/>
      <c r="AB457" s="152"/>
      <c r="AC457" s="152"/>
      <c r="AD457" s="152"/>
      <c r="AE457" s="152"/>
      <c r="AF457" s="152"/>
      <c r="AG457" s="152"/>
      <c r="AH457" s="152"/>
      <c r="AI457" s="152"/>
    </row>
    <row r="458" spans="1:35" outlineLevel="1">
      <c r="A458" s="4"/>
      <c r="B458" s="4"/>
      <c r="C458" s="4"/>
      <c r="D458" s="4"/>
      <c r="E458" s="104">
        <f>Asset47</f>
        <v>0</v>
      </c>
      <c r="F458" s="177"/>
      <c r="G458" s="332"/>
      <c r="H458" s="333"/>
      <c r="I458" s="1351"/>
      <c r="J458" s="1351"/>
      <c r="K458" s="2"/>
      <c r="L458" s="2"/>
      <c r="M458" s="2"/>
      <c r="N458" s="2"/>
      <c r="O458" s="2"/>
      <c r="P458" s="2"/>
      <c r="Q458" s="2"/>
      <c r="R458" s="2"/>
      <c r="S458" s="2"/>
      <c r="T458" s="2"/>
      <c r="U458" s="2"/>
      <c r="V458" s="2"/>
      <c r="W458" s="3"/>
      <c r="X458" s="152"/>
      <c r="Y458" s="152"/>
      <c r="Z458" s="152"/>
      <c r="AA458" s="152"/>
      <c r="AB458" s="152"/>
      <c r="AC458" s="152"/>
      <c r="AD458" s="152"/>
      <c r="AE458" s="152"/>
      <c r="AF458" s="152"/>
      <c r="AG458" s="152"/>
      <c r="AH458" s="152"/>
      <c r="AI458" s="152"/>
    </row>
    <row r="459" spans="1:35" outlineLevel="1">
      <c r="A459" s="4"/>
      <c r="B459" s="4"/>
      <c r="C459" s="4"/>
      <c r="D459" s="4"/>
      <c r="E459" s="104">
        <f>Asset48</f>
        <v>0</v>
      </c>
      <c r="F459" s="177"/>
      <c r="G459" s="332"/>
      <c r="H459" s="333"/>
      <c r="I459" s="1351"/>
      <c r="J459" s="1351"/>
      <c r="K459" s="2"/>
      <c r="L459" s="2"/>
      <c r="M459" s="2"/>
      <c r="N459" s="2"/>
      <c r="O459" s="2"/>
      <c r="P459" s="2"/>
      <c r="Q459" s="2"/>
      <c r="R459" s="2"/>
      <c r="S459" s="2"/>
      <c r="T459" s="2"/>
      <c r="U459" s="2"/>
      <c r="V459" s="2"/>
      <c r="W459" s="3"/>
      <c r="X459" s="152"/>
      <c r="Y459" s="152"/>
      <c r="Z459" s="152"/>
      <c r="AA459" s="152"/>
      <c r="AB459" s="152"/>
      <c r="AC459" s="152"/>
      <c r="AD459" s="152"/>
      <c r="AE459" s="152"/>
      <c r="AF459" s="152"/>
      <c r="AG459" s="152"/>
      <c r="AH459" s="152"/>
      <c r="AI459" s="152"/>
    </row>
    <row r="460" spans="1:35" outlineLevel="1">
      <c r="A460" s="4"/>
      <c r="B460" s="4"/>
      <c r="C460" s="4"/>
      <c r="D460" s="4"/>
      <c r="E460" s="104">
        <f>Asset49</f>
        <v>0</v>
      </c>
      <c r="F460" s="177"/>
      <c r="G460" s="332"/>
      <c r="H460" s="333"/>
      <c r="I460" s="1351"/>
      <c r="J460" s="1351"/>
      <c r="K460" s="2"/>
      <c r="L460" s="2"/>
      <c r="M460" s="2"/>
      <c r="N460" s="2"/>
      <c r="O460" s="2"/>
      <c r="P460" s="2"/>
      <c r="Q460" s="2"/>
      <c r="R460" s="2"/>
      <c r="S460" s="2"/>
      <c r="T460" s="2"/>
      <c r="U460" s="2"/>
      <c r="V460" s="2"/>
      <c r="W460" s="3"/>
      <c r="X460" s="152"/>
      <c r="Y460" s="152"/>
      <c r="Z460" s="152"/>
      <c r="AA460" s="152"/>
      <c r="AB460" s="152"/>
      <c r="AC460" s="152"/>
      <c r="AD460" s="152"/>
      <c r="AE460" s="152"/>
      <c r="AF460" s="152"/>
      <c r="AG460" s="152"/>
      <c r="AH460" s="152"/>
      <c r="AI460" s="152"/>
    </row>
    <row r="461" spans="1:35" outlineLevel="1">
      <c r="A461" s="4"/>
      <c r="B461" s="4"/>
      <c r="C461" s="4"/>
      <c r="D461" s="4"/>
      <c r="E461" s="104">
        <f>Asset50</f>
        <v>0</v>
      </c>
      <c r="F461" s="177"/>
      <c r="G461" s="332"/>
      <c r="H461" s="333"/>
      <c r="I461" s="1351"/>
      <c r="J461" s="1351"/>
      <c r="K461" s="2"/>
      <c r="L461" s="2"/>
      <c r="M461" s="2"/>
      <c r="N461" s="2"/>
      <c r="O461" s="2"/>
      <c r="P461" s="2"/>
      <c r="Q461" s="2"/>
      <c r="R461" s="2"/>
      <c r="S461" s="2"/>
      <c r="T461" s="2"/>
      <c r="U461" s="2"/>
      <c r="V461" s="2"/>
      <c r="W461" s="3"/>
      <c r="X461" s="152"/>
      <c r="Y461" s="152"/>
      <c r="Z461" s="152"/>
      <c r="AA461" s="152"/>
      <c r="AB461" s="152"/>
      <c r="AC461" s="152"/>
      <c r="AD461" s="152"/>
      <c r="AE461" s="152"/>
      <c r="AF461" s="152"/>
      <c r="AG461" s="152"/>
      <c r="AH461" s="152"/>
      <c r="AI461" s="152"/>
    </row>
    <row r="462" spans="1:35">
      <c r="A462" s="4"/>
      <c r="B462" s="4"/>
      <c r="C462" s="4"/>
      <c r="D462" s="4"/>
      <c r="E462" s="104" t="s">
        <v>18</v>
      </c>
      <c r="F462" s="177"/>
      <c r="G462" s="150">
        <f>SUM(G412:G461)</f>
        <v>0</v>
      </c>
      <c r="H462" s="150">
        <f>SUM(H412:H461)</f>
        <v>0</v>
      </c>
      <c r="I462" s="2"/>
      <c r="J462" s="2"/>
      <c r="K462" s="2"/>
      <c r="L462" s="2"/>
      <c r="M462" s="2"/>
      <c r="N462" s="2"/>
      <c r="O462" s="2"/>
      <c r="P462" s="2"/>
      <c r="Q462" s="2"/>
      <c r="R462" s="23"/>
      <c r="S462" s="23"/>
      <c r="T462" s="23"/>
      <c r="U462" s="23"/>
      <c r="V462" s="23"/>
      <c r="W462" s="3"/>
      <c r="X462" s="152"/>
      <c r="Y462" s="152"/>
      <c r="Z462" s="152"/>
      <c r="AA462" s="152"/>
      <c r="AB462" s="152"/>
      <c r="AC462" s="152"/>
      <c r="AD462" s="152"/>
      <c r="AE462" s="152"/>
      <c r="AF462" s="152"/>
      <c r="AG462" s="152"/>
      <c r="AH462" s="152"/>
      <c r="AI462" s="152"/>
    </row>
    <row r="463" spans="1:35">
      <c r="A463" s="3"/>
      <c r="B463" s="3"/>
      <c r="C463" s="3"/>
      <c r="D463" s="3"/>
      <c r="E463" s="4"/>
      <c r="F463" s="3"/>
      <c r="G463" s="3"/>
      <c r="H463" s="9"/>
      <c r="I463" s="2"/>
      <c r="J463" s="2"/>
      <c r="K463" s="2"/>
      <c r="L463" s="2"/>
      <c r="M463" s="2"/>
      <c r="N463" s="2"/>
      <c r="O463" s="2"/>
      <c r="P463" s="2"/>
      <c r="Q463" s="2"/>
      <c r="R463" s="3"/>
      <c r="S463" s="3"/>
      <c r="T463" s="3"/>
      <c r="U463" s="3"/>
      <c r="V463" s="3"/>
      <c r="W463" s="3"/>
      <c r="X463" s="152"/>
      <c r="Y463" s="152"/>
      <c r="Z463" s="152"/>
      <c r="AA463" s="152"/>
      <c r="AB463" s="152"/>
      <c r="AC463" s="152"/>
      <c r="AD463" s="152"/>
      <c r="AE463" s="152"/>
      <c r="AF463" s="152"/>
      <c r="AG463" s="152"/>
      <c r="AH463" s="152"/>
      <c r="AI463" s="152"/>
    </row>
    <row r="464" spans="1:35">
      <c r="A464" s="3"/>
      <c r="B464" s="3"/>
      <c r="C464" s="3"/>
      <c r="D464" s="3"/>
      <c r="E464" s="4"/>
      <c r="F464" s="3"/>
      <c r="G464" s="3"/>
      <c r="H464" s="9"/>
      <c r="I464" s="11"/>
      <c r="J464" s="3"/>
      <c r="K464" s="3"/>
      <c r="L464" s="3"/>
      <c r="M464" s="3"/>
      <c r="N464" s="3"/>
      <c r="O464" s="3"/>
      <c r="P464" s="3"/>
      <c r="Q464" s="3"/>
      <c r="R464" s="3"/>
      <c r="S464" s="3"/>
      <c r="T464" s="3"/>
      <c r="U464" s="3"/>
      <c r="V464" s="3"/>
      <c r="W464" s="3"/>
      <c r="X464" s="152"/>
      <c r="Y464" s="152"/>
      <c r="Z464" s="152"/>
      <c r="AA464" s="152"/>
      <c r="AB464" s="152"/>
      <c r="AC464" s="152"/>
      <c r="AD464" s="152"/>
      <c r="AE464" s="152"/>
      <c r="AF464" s="152"/>
      <c r="AG464" s="152"/>
      <c r="AH464" s="152"/>
      <c r="AI464" s="152"/>
    </row>
    <row r="465" spans="1:35" ht="15.75">
      <c r="A465" s="381"/>
      <c r="B465" s="381"/>
      <c r="C465" s="381"/>
      <c r="D465" s="381"/>
      <c r="E465" s="1466" t="s">
        <v>603</v>
      </c>
      <c r="F465" s="1466"/>
      <c r="G465" s="1466"/>
      <c r="H465" s="1465"/>
      <c r="I465" s="1465"/>
      <c r="J465" s="1465"/>
      <c r="K465" s="1465"/>
      <c r="L465" s="51"/>
      <c r="M465" s="49"/>
      <c r="N465" s="49"/>
      <c r="O465" s="49"/>
      <c r="P465" s="49"/>
      <c r="Q465" s="49"/>
      <c r="R465" s="49"/>
      <c r="S465" s="49"/>
      <c r="T465" s="49"/>
      <c r="U465" s="49"/>
      <c r="V465" s="49"/>
      <c r="W465" s="3"/>
      <c r="X465" s="152"/>
      <c r="Y465" s="152"/>
      <c r="Z465" s="152"/>
      <c r="AA465" s="152"/>
      <c r="AB465" s="152"/>
      <c r="AC465" s="152"/>
      <c r="AD465" s="152"/>
      <c r="AE465" s="152"/>
      <c r="AF465" s="152"/>
      <c r="AG465" s="152"/>
      <c r="AH465" s="152"/>
      <c r="AI465" s="152"/>
    </row>
    <row r="466" spans="1:35" s="108" customFormat="1" ht="15.75">
      <c r="A466" s="177"/>
      <c r="B466" s="244"/>
      <c r="C466" s="244"/>
      <c r="D466" s="244"/>
      <c r="E466" s="347"/>
      <c r="F466" s="347"/>
      <c r="G466" s="347"/>
      <c r="H466" s="348"/>
      <c r="I466" s="348"/>
      <c r="J466" s="352"/>
      <c r="K466" s="349"/>
      <c r="L466" s="349"/>
      <c r="M466" s="350"/>
      <c r="N466" s="350"/>
      <c r="O466" s="350"/>
      <c r="P466" s="350"/>
      <c r="Q466" s="350"/>
      <c r="R466" s="350"/>
      <c r="S466" s="350"/>
      <c r="T466" s="350"/>
      <c r="U466" s="350"/>
      <c r="V466" s="350"/>
      <c r="X466" s="152"/>
      <c r="Y466" s="152"/>
      <c r="Z466" s="152"/>
      <c r="AA466" s="152"/>
      <c r="AB466" s="152"/>
      <c r="AC466" s="152"/>
      <c r="AD466" s="152"/>
      <c r="AE466" s="152"/>
      <c r="AF466" s="152"/>
      <c r="AG466" s="152"/>
      <c r="AH466" s="152"/>
      <c r="AI466" s="152"/>
    </row>
    <row r="467" spans="1:35" s="108" customFormat="1" ht="15.75">
      <c r="A467" s="177"/>
      <c r="B467" s="244"/>
      <c r="C467" s="244"/>
      <c r="D467" s="244"/>
      <c r="E467" s="334" t="s">
        <v>595</v>
      </c>
      <c r="F467" s="367" t="s">
        <v>178</v>
      </c>
      <c r="G467" s="362" t="s">
        <v>597</v>
      </c>
      <c r="H467" s="363" t="s">
        <v>178</v>
      </c>
      <c r="I467"/>
      <c r="J467" s="352"/>
      <c r="K467" s="349"/>
      <c r="L467" s="349"/>
      <c r="M467" s="350"/>
      <c r="N467" s="350"/>
      <c r="O467" s="350"/>
      <c r="P467" s="350"/>
      <c r="Q467" s="350"/>
      <c r="R467" s="350"/>
      <c r="S467" s="350"/>
      <c r="T467" s="350"/>
      <c r="U467" s="350"/>
      <c r="V467" s="350"/>
      <c r="X467" s="152"/>
      <c r="Y467" s="152"/>
      <c r="Z467" s="152"/>
      <c r="AA467" s="152"/>
      <c r="AB467" s="152"/>
      <c r="AC467" s="152"/>
      <c r="AD467" s="152"/>
      <c r="AE467" s="152"/>
      <c r="AF467" s="152"/>
      <c r="AG467" s="152"/>
      <c r="AH467" s="152"/>
      <c r="AI467" s="152"/>
    </row>
    <row r="468" spans="1:35" s="108" customFormat="1" ht="25.5">
      <c r="A468" s="177"/>
      <c r="B468" s="244"/>
      <c r="C468" s="244"/>
      <c r="D468" s="244"/>
      <c r="E468" s="262" t="s">
        <v>594</v>
      </c>
      <c r="F468" s="368" t="s">
        <v>544</v>
      </c>
      <c r="G468" s="362" t="s">
        <v>96</v>
      </c>
      <c r="H468" s="363" t="s">
        <v>544</v>
      </c>
      <c r="I468"/>
      <c r="J468" s="352"/>
      <c r="K468" s="349"/>
      <c r="L468" s="349"/>
      <c r="M468" s="350"/>
      <c r="N468" s="350"/>
      <c r="O468" s="350"/>
      <c r="P468" s="350"/>
      <c r="Q468" s="350"/>
      <c r="R468" s="350"/>
      <c r="S468" s="350"/>
      <c r="T468" s="350"/>
      <c r="U468" s="350"/>
      <c r="V468" s="350"/>
      <c r="X468" s="152"/>
      <c r="Y468" s="152"/>
      <c r="Z468" s="152"/>
      <c r="AA468" s="152"/>
      <c r="AB468" s="152"/>
      <c r="AC468" s="152"/>
      <c r="AD468" s="152"/>
      <c r="AE468" s="152"/>
      <c r="AF468" s="152"/>
      <c r="AG468" s="152"/>
      <c r="AH468" s="152"/>
      <c r="AI468" s="152"/>
    </row>
    <row r="469" spans="1:35" s="108" customFormat="1" ht="25.5">
      <c r="A469" s="177"/>
      <c r="B469" s="244"/>
      <c r="C469" s="244"/>
      <c r="D469" s="244"/>
      <c r="E469" s="262" t="s">
        <v>596</v>
      </c>
      <c r="F469" s="369" t="s">
        <v>593</v>
      </c>
      <c r="G469" s="362" t="s">
        <v>593</v>
      </c>
      <c r="H469" s="363" t="s">
        <v>598</v>
      </c>
      <c r="I469"/>
      <c r="J469" s="352"/>
      <c r="K469" s="349"/>
      <c r="L469" s="349"/>
      <c r="M469" s="350"/>
      <c r="N469" s="350"/>
      <c r="O469" s="350"/>
      <c r="P469" s="350"/>
      <c r="Q469" s="350"/>
      <c r="R469" s="350"/>
      <c r="S469" s="350"/>
      <c r="T469" s="350"/>
      <c r="U469" s="350"/>
      <c r="V469" s="350"/>
      <c r="X469" s="152"/>
      <c r="Y469" s="152"/>
      <c r="Z469" s="152"/>
      <c r="AA469" s="152"/>
      <c r="AB469" s="152"/>
      <c r="AC469" s="152"/>
      <c r="AD469" s="152"/>
      <c r="AE469" s="152"/>
      <c r="AF469" s="152"/>
      <c r="AG469" s="152"/>
      <c r="AH469" s="152"/>
      <c r="AI469" s="152"/>
    </row>
    <row r="470" spans="1:35" s="108" customFormat="1">
      <c r="A470" s="177"/>
      <c r="B470" s="244"/>
      <c r="C470" s="244"/>
      <c r="D470" s="244"/>
      <c r="E470" s="244"/>
      <c r="F470" s="244"/>
      <c r="G470" s="244"/>
      <c r="H470" s="351"/>
      <c r="J470" s="351"/>
      <c r="K470" s="351"/>
      <c r="L470" s="351"/>
      <c r="M470" s="350"/>
      <c r="N470" s="350"/>
      <c r="O470" s="350"/>
      <c r="P470" s="350"/>
      <c r="Q470" s="350"/>
      <c r="R470" s="350"/>
      <c r="S470" s="350"/>
      <c r="T470" s="350"/>
      <c r="U470" s="350"/>
      <c r="V470" s="350"/>
      <c r="X470" s="152"/>
      <c r="Y470" s="152"/>
      <c r="Z470" s="152"/>
      <c r="AA470" s="152"/>
      <c r="AB470" s="152"/>
      <c r="AC470" s="152"/>
      <c r="AD470" s="152"/>
      <c r="AE470" s="152"/>
      <c r="AF470" s="152"/>
      <c r="AG470" s="152"/>
      <c r="AH470" s="152"/>
      <c r="AI470" s="152"/>
    </row>
    <row r="471" spans="1:35" s="108" customFormat="1">
      <c r="A471" s="177"/>
      <c r="B471" s="244"/>
      <c r="C471" s="244"/>
      <c r="D471" s="244"/>
      <c r="E471"/>
      <c r="F471"/>
      <c r="G471"/>
      <c r="H471" s="244"/>
      <c r="I471" s="244"/>
      <c r="J471" s="244"/>
      <c r="K471" s="244"/>
      <c r="L471" s="244"/>
      <c r="M471" s="350"/>
      <c r="N471" s="350"/>
      <c r="O471" s="350"/>
      <c r="P471" s="350"/>
      <c r="Q471" s="350"/>
      <c r="R471" s="350"/>
      <c r="S471" s="350"/>
      <c r="T471" s="350"/>
      <c r="U471" s="350"/>
      <c r="V471" s="350"/>
      <c r="X471" s="152"/>
      <c r="Y471" s="152"/>
      <c r="Z471" s="152"/>
      <c r="AA471" s="152"/>
      <c r="AB471" s="152"/>
      <c r="AC471" s="152"/>
      <c r="AD471" s="152"/>
      <c r="AE471" s="152"/>
      <c r="AF471" s="152"/>
      <c r="AG471" s="152"/>
      <c r="AH471" s="152"/>
      <c r="AI471" s="152"/>
    </row>
    <row r="472" spans="1:35" s="108" customFormat="1" ht="15.75">
      <c r="A472" s="381"/>
      <c r="B472" s="381"/>
      <c r="C472" s="381"/>
      <c r="D472" s="381"/>
      <c r="E472" s="1466" t="s">
        <v>602</v>
      </c>
      <c r="F472" s="1466"/>
      <c r="G472" s="1466"/>
      <c r="H472" s="1465"/>
      <c r="I472" s="1465"/>
      <c r="J472" s="1465"/>
      <c r="K472" s="1465"/>
      <c r="L472" s="380"/>
      <c r="M472" s="49"/>
      <c r="N472" s="49"/>
      <c r="O472" s="49"/>
      <c r="P472" s="49"/>
      <c r="Q472" s="49"/>
      <c r="R472" s="49"/>
      <c r="S472" s="49"/>
      <c r="T472" s="49"/>
      <c r="U472" s="49"/>
      <c r="V472" s="49"/>
      <c r="X472" s="152"/>
      <c r="Y472" s="152"/>
      <c r="Z472" s="152"/>
      <c r="AA472" s="152"/>
      <c r="AB472" s="152"/>
      <c r="AC472" s="152"/>
      <c r="AD472" s="152"/>
      <c r="AE472" s="152"/>
      <c r="AF472" s="152"/>
      <c r="AG472" s="152"/>
      <c r="AH472" s="152"/>
      <c r="AI472" s="152"/>
    </row>
    <row r="473" spans="1:35" s="108" customFormat="1" ht="59.45" customHeight="1">
      <c r="A473" s="177"/>
      <c r="B473" s="244"/>
      <c r="C473" s="244"/>
      <c r="D473" s="244"/>
      <c r="E473"/>
      <c r="F473" s="182"/>
      <c r="G473" s="370" t="str">
        <f>IF(AND(F$467=G$467,ABS(SUM(G$475:G$524))&gt;0=FALSE),"Warning: inputs ARE required to be entered in this column below",IF(AND(F$467=G$467=FALSE,ABS(SUM(G$475:G$524))&gt;0=TRUE),"Warning: inputs entered in this column below are NOT required",""))</f>
        <v/>
      </c>
      <c r="H473" s="370" t="str">
        <f>IF(AND(AND($F$467=$G$467,$F$468=$H$468),ABS(SUM(H$475:H$524))&gt;0=FALSE),"Warning: inputs ARE required to be entered in this column below",IF(AND(AND($F$467=$G$467,$F$468=$H$468)=FALSE,ABS(SUM(H$475:H$524))&gt;0=TRUE),"Warning: inputs entered in this column below are NOT required",""))</f>
        <v/>
      </c>
      <c r="I473" s="356"/>
      <c r="J473" s="370" t="str">
        <f>IF(AND(AND($F$467=$G$467,$F$469=$H$469)=TRUE,ABS(SUM(J$475:J$524))&gt;0=FALSE),"Warning: inputs ARE required to be entered in this column below",IF(AND(AND($F$467=$G$467,$F$469=$H$469)=FALSE,ABS(SUM(J$475:J$524))&gt;0),"Warning: inputs entered in this column below are NOT required",""))</f>
        <v/>
      </c>
      <c r="K473" s="370" t="str">
        <f>IF(AND(AND($F$467=$G$467,$F$469=$G$469)=TRUE,ABS(SUM(K$475:K$524))&gt;0=FALSE),"Warning: inputs ARE required to be entered in this column below",IF(AND(AND($F$467=$G$467,$F$469=$G$469)=FALSE,ABS(SUM(K$475:K$524))&gt;0),"Warning: inputs entered in this column below are NOT required",""))</f>
        <v/>
      </c>
      <c r="L473" s="370" t="str">
        <f>IF(AND(AND($F$467=$G$467,$F$469=$G$469),ABS(SUM(L$475:L$524))&gt;0=FALSE),"Warning: inputs ARE required to be entered in this column below",IF(AND(AND($F$467=$G$467,$F$469=$G$469)=FALSE,ABS(SUM(L$475:L$524))&gt;0),"Warning: inputs entered in this column below are NOT required",""))</f>
        <v/>
      </c>
      <c r="M473" s="371"/>
      <c r="N473" s="350"/>
      <c r="O473" s="350"/>
      <c r="P473" s="350"/>
      <c r="Q473" s="350"/>
      <c r="R473" s="350"/>
      <c r="S473" s="350"/>
      <c r="T473" s="350"/>
      <c r="U473" s="350"/>
      <c r="V473" s="350"/>
      <c r="X473" s="152"/>
      <c r="Y473" s="152"/>
      <c r="Z473" s="152"/>
      <c r="AA473" s="152"/>
      <c r="AB473" s="152"/>
      <c r="AC473" s="152"/>
      <c r="AD473" s="152"/>
      <c r="AE473" s="152"/>
      <c r="AF473" s="152"/>
      <c r="AG473" s="152"/>
      <c r="AH473" s="152"/>
      <c r="AI473" s="152"/>
    </row>
    <row r="474" spans="1:35" ht="91.15" customHeight="1">
      <c r="A474" s="152"/>
      <c r="B474" s="3"/>
      <c r="C474" s="3"/>
      <c r="D474" s="3"/>
      <c r="E474" s="104"/>
      <c r="G474" s="358" t="str">
        <f>"Year t-2 ("&amp;IF(LEN($U$7)&gt;4,
CONCATENATE(LEFT($U$7,4)-2&amp;"-"&amp;RIGHT($U$7,2)-2),
$U$7-2)&amp;") Excluded Capex (As Incurred)"</f>
        <v>Year t-2 (2014-15) Excluded Capex (As Incurred)</v>
      </c>
      <c r="H474" s="359" t="s">
        <v>583</v>
      </c>
      <c r="I474" s="357"/>
      <c r="J474" s="364" t="s">
        <v>584</v>
      </c>
      <c r="K474" s="360" t="str">
        <f>"Previously Determined Year t-1 ("&amp;IF(LEN($U$7)&gt;4,
CONCATENATE(LEFT($U$7,4)-1&amp;"-"&amp;RIGHT($U$7,2)-1),
$U$7-1)&amp;") Tracked Tax Depreciation"</f>
        <v>Previously Determined Year t-1 (2015-16) Tracked Tax Depreciation</v>
      </c>
      <c r="L474" s="361" t="str">
        <f>"Revised Year t-1 ("&amp;IF(LEN($U$7)&gt;4,
CONCATENATE(LEFT($U$7,4)-1&amp;"-"&amp;RIGHT($U$7,2)-1),
$U$7-1)&amp;") Tracked Tax Depreciation"</f>
        <v>Revised Year t-1 (2015-16) Tracked Tax Depreciation</v>
      </c>
      <c r="M474" s="361" t="str">
        <f>"Change to Year t-1 ("&amp;IF(LEN($U$7)&gt;4,
CONCATENATE(LEFT($U$7,4)-1&amp;"-"&amp;RIGHT($U$7,2)-1),
$U$7-1)&amp;") Tax Depreciation"</f>
        <v>Change to Year t-1 (2015-16) Tax Depreciation</v>
      </c>
      <c r="P474" s="244"/>
      <c r="Q474" s="350"/>
      <c r="R474" s="350"/>
      <c r="S474" s="350"/>
      <c r="T474" s="350"/>
      <c r="U474" s="350"/>
      <c r="V474" s="350"/>
      <c r="W474" s="244"/>
      <c r="X474" s="177"/>
      <c r="Y474" s="152"/>
      <c r="Z474" s="152"/>
      <c r="AA474" s="152"/>
      <c r="AB474" s="152"/>
      <c r="AC474" s="152"/>
      <c r="AD474" s="152"/>
      <c r="AE474" s="152"/>
      <c r="AF474" s="152"/>
      <c r="AG474" s="152"/>
      <c r="AH474" s="152"/>
      <c r="AI474" s="152"/>
    </row>
    <row r="475" spans="1:35" outlineLevel="1">
      <c r="A475" s="152"/>
      <c r="B475" s="3"/>
      <c r="C475" s="3"/>
      <c r="D475" s="3"/>
      <c r="E475" s="104" t="str">
        <f>Asset1</f>
        <v>Mains</v>
      </c>
      <c r="F475" s="152"/>
      <c r="G475" s="353"/>
      <c r="H475" s="1352"/>
      <c r="J475" s="1355"/>
      <c r="K475" s="276"/>
      <c r="L475" s="276"/>
      <c r="M475" s="365">
        <f>IF($F$467=$H$467,0,IF($F$469=$G$469,L475-K475,IF(OR(J475="n/a",J475=""),0,G475/J475)))</f>
        <v>0</v>
      </c>
      <c r="P475" s="244"/>
      <c r="Q475" s="372"/>
      <c r="R475" s="244"/>
      <c r="S475" s="244"/>
      <c r="T475" s="244"/>
      <c r="U475" s="372"/>
      <c r="V475" s="372"/>
      <c r="W475" s="244"/>
      <c r="X475" s="177"/>
      <c r="Y475" s="152"/>
      <c r="Z475" s="152"/>
      <c r="AA475" s="152"/>
      <c r="AB475" s="152"/>
      <c r="AC475" s="152"/>
      <c r="AD475" s="152"/>
      <c r="AE475" s="152"/>
      <c r="AF475" s="152"/>
      <c r="AG475" s="152"/>
      <c r="AH475" s="152"/>
      <c r="AI475" s="152"/>
    </row>
    <row r="476" spans="1:35" outlineLevel="1">
      <c r="A476" s="152"/>
      <c r="B476" s="3"/>
      <c r="C476" s="3"/>
      <c r="D476" s="3"/>
      <c r="E476" s="104" t="str">
        <f>Asset2</f>
        <v>Inlets</v>
      </c>
      <c r="F476" s="152"/>
      <c r="G476" s="354"/>
      <c r="H476" s="1353"/>
      <c r="J476" s="1356"/>
      <c r="K476" s="277"/>
      <c r="L476" s="277"/>
      <c r="M476" s="355">
        <f t="shared" ref="M476:M524" si="69">IF($F$467=$H$467,0,IF($F$469=$G$469,L476-K476,IF(OR(J476="n/a",J476=""),0,G476/J476)))</f>
        <v>0</v>
      </c>
      <c r="P476" s="244"/>
      <c r="Q476" s="372"/>
      <c r="R476" s="244"/>
      <c r="S476" s="244"/>
      <c r="T476" s="244"/>
      <c r="U476" s="372"/>
      <c r="V476" s="372"/>
      <c r="W476" s="244"/>
      <c r="X476" s="177"/>
      <c r="Y476" s="152"/>
      <c r="Z476" s="152"/>
      <c r="AA476" s="152"/>
      <c r="AB476" s="152"/>
      <c r="AC476" s="152"/>
      <c r="AD476" s="152"/>
      <c r="AE476" s="152"/>
      <c r="AF476" s="152"/>
      <c r="AG476" s="152"/>
      <c r="AH476" s="152"/>
      <c r="AI476" s="152"/>
    </row>
    <row r="477" spans="1:35" outlineLevel="1">
      <c r="A477" s="152"/>
      <c r="B477" s="3"/>
      <c r="C477" s="3"/>
      <c r="D477" s="3"/>
      <c r="E477" s="104" t="str">
        <f>Asset3</f>
        <v>Meters</v>
      </c>
      <c r="F477" s="152"/>
      <c r="G477" s="354"/>
      <c r="H477" s="1353"/>
      <c r="J477" s="1356"/>
      <c r="K477" s="277"/>
      <c r="L477" s="277"/>
      <c r="M477" s="355">
        <f t="shared" si="69"/>
        <v>0</v>
      </c>
      <c r="P477" s="244"/>
      <c r="Q477" s="372"/>
      <c r="R477" s="244"/>
      <c r="S477" s="244"/>
      <c r="T477" s="244"/>
      <c r="U477" s="372"/>
      <c r="V477" s="372"/>
      <c r="W477" s="244"/>
      <c r="X477" s="177"/>
      <c r="Y477" s="152"/>
      <c r="Z477" s="152"/>
      <c r="AA477" s="152"/>
      <c r="AB477" s="152"/>
      <c r="AC477" s="152"/>
      <c r="AD477" s="152"/>
      <c r="AE477" s="152"/>
      <c r="AF477" s="152"/>
      <c r="AG477" s="152"/>
      <c r="AH477" s="152"/>
      <c r="AI477" s="152"/>
    </row>
    <row r="478" spans="1:35" outlineLevel="1">
      <c r="A478" s="152"/>
      <c r="B478" s="3"/>
      <c r="C478" s="3"/>
      <c r="D478" s="3"/>
      <c r="E478" s="104" t="str">
        <f>Asset4</f>
        <v>Telemetry</v>
      </c>
      <c r="F478" s="152"/>
      <c r="G478" s="354"/>
      <c r="H478" s="1353"/>
      <c r="J478" s="1356"/>
      <c r="K478" s="277"/>
      <c r="L478" s="277"/>
      <c r="M478" s="355">
        <f t="shared" si="69"/>
        <v>0</v>
      </c>
      <c r="P478" s="244"/>
      <c r="Q478" s="372"/>
      <c r="R478" s="244"/>
      <c r="S478" s="244"/>
      <c r="T478" s="244"/>
      <c r="U478" s="372"/>
      <c r="V478" s="372"/>
      <c r="W478" s="244"/>
      <c r="X478" s="177"/>
      <c r="Y478" s="152"/>
      <c r="Z478" s="152"/>
      <c r="AA478" s="152"/>
      <c r="AB478" s="152"/>
      <c r="AC478" s="152"/>
      <c r="AD478" s="152"/>
      <c r="AE478" s="152"/>
      <c r="AF478" s="152"/>
      <c r="AG478" s="152"/>
      <c r="AH478" s="152"/>
      <c r="AI478" s="152"/>
    </row>
    <row r="479" spans="1:35" outlineLevel="1">
      <c r="A479" s="152"/>
      <c r="B479" s="3"/>
      <c r="C479" s="3"/>
      <c r="D479" s="3"/>
      <c r="E479" s="104" t="str">
        <f>Asset5</f>
        <v>IT System</v>
      </c>
      <c r="F479" s="152"/>
      <c r="G479" s="354"/>
      <c r="H479" s="1353"/>
      <c r="J479" s="1356"/>
      <c r="K479" s="277"/>
      <c r="L479" s="277"/>
      <c r="M479" s="355">
        <f t="shared" si="69"/>
        <v>0</v>
      </c>
      <c r="P479" s="244"/>
      <c r="Q479" s="372"/>
      <c r="R479" s="244"/>
      <c r="S479" s="244"/>
      <c r="T479" s="244"/>
      <c r="U479" s="372"/>
      <c r="V479" s="372"/>
      <c r="W479" s="244"/>
      <c r="X479" s="177"/>
      <c r="Y479" s="152"/>
      <c r="Z479" s="152"/>
      <c r="AA479" s="152"/>
      <c r="AB479" s="152"/>
      <c r="AC479" s="152"/>
      <c r="AD479" s="152"/>
      <c r="AE479" s="152"/>
      <c r="AF479" s="152"/>
      <c r="AG479" s="152"/>
      <c r="AH479" s="152"/>
      <c r="AI479" s="152"/>
    </row>
    <row r="480" spans="1:35" outlineLevel="1">
      <c r="A480" s="152"/>
      <c r="B480" s="3"/>
      <c r="C480" s="3"/>
      <c r="D480" s="3"/>
      <c r="E480" s="104" t="str">
        <f>Asset6</f>
        <v>Other Distribution System Equipment</v>
      </c>
      <c r="F480" s="152"/>
      <c r="G480" s="354"/>
      <c r="H480" s="1353"/>
      <c r="J480" s="1356"/>
      <c r="K480" s="277"/>
      <c r="L480" s="277"/>
      <c r="M480" s="355">
        <f t="shared" si="69"/>
        <v>0</v>
      </c>
      <c r="P480" s="244"/>
      <c r="Q480" s="372"/>
      <c r="R480" s="244"/>
      <c r="S480" s="244"/>
      <c r="T480" s="244"/>
      <c r="U480" s="372"/>
      <c r="V480" s="372"/>
      <c r="W480" s="244"/>
      <c r="X480" s="177"/>
      <c r="Y480" s="152"/>
      <c r="Z480" s="152"/>
      <c r="AA480" s="152"/>
      <c r="AB480" s="152"/>
      <c r="AC480" s="152"/>
      <c r="AD480" s="152"/>
      <c r="AE480" s="152"/>
      <c r="AF480" s="152"/>
      <c r="AG480" s="152"/>
      <c r="AH480" s="152"/>
      <c r="AI480" s="152"/>
    </row>
    <row r="481" spans="1:35" outlineLevel="1">
      <c r="A481" s="152"/>
      <c r="B481" s="3"/>
      <c r="C481" s="3"/>
      <c r="D481" s="3"/>
      <c r="E481" s="104" t="str">
        <f>Asset7</f>
        <v>Other</v>
      </c>
      <c r="F481" s="152"/>
      <c r="G481" s="354"/>
      <c r="H481" s="1354"/>
      <c r="J481" s="1356"/>
      <c r="K481" s="277"/>
      <c r="L481" s="277"/>
      <c r="M481" s="355">
        <f t="shared" si="69"/>
        <v>0</v>
      </c>
      <c r="P481" s="244"/>
      <c r="Q481" s="372"/>
      <c r="R481" s="244"/>
      <c r="S481" s="244"/>
      <c r="T481" s="244"/>
      <c r="U481" s="372"/>
      <c r="V481" s="372"/>
      <c r="W481" s="244"/>
      <c r="X481" s="177"/>
      <c r="Y481" s="152"/>
      <c r="Z481" s="152"/>
      <c r="AA481" s="152"/>
      <c r="AB481" s="152"/>
      <c r="AC481" s="152"/>
      <c r="AD481" s="152"/>
      <c r="AE481" s="152"/>
      <c r="AF481" s="152"/>
      <c r="AG481" s="152"/>
      <c r="AH481" s="152"/>
      <c r="AI481" s="152"/>
    </row>
    <row r="482" spans="1:35" outlineLevel="1">
      <c r="A482" s="152"/>
      <c r="B482" s="3"/>
      <c r="C482" s="3"/>
      <c r="D482" s="3"/>
      <c r="E482" s="104">
        <f>Asset8</f>
        <v>0</v>
      </c>
      <c r="F482" s="152"/>
      <c r="G482" s="354"/>
      <c r="H482" s="1354"/>
      <c r="J482" s="1356"/>
      <c r="K482" s="277"/>
      <c r="L482" s="277"/>
      <c r="M482" s="355">
        <f t="shared" si="69"/>
        <v>0</v>
      </c>
      <c r="P482" s="244"/>
      <c r="Q482" s="372"/>
      <c r="R482" s="244"/>
      <c r="S482" s="244"/>
      <c r="T482" s="244"/>
      <c r="U482" s="372"/>
      <c r="V482" s="372"/>
      <c r="W482" s="244"/>
      <c r="X482" s="177"/>
      <c r="Y482" s="152"/>
      <c r="Z482" s="152"/>
      <c r="AA482" s="152"/>
      <c r="AB482" s="152"/>
      <c r="AC482" s="152"/>
      <c r="AD482" s="152"/>
      <c r="AE482" s="152"/>
      <c r="AF482" s="152"/>
      <c r="AG482" s="152"/>
      <c r="AH482" s="152"/>
      <c r="AI482" s="152"/>
    </row>
    <row r="483" spans="1:35" outlineLevel="1">
      <c r="A483" s="152"/>
      <c r="B483" s="3"/>
      <c r="C483" s="3"/>
      <c r="D483" s="3"/>
      <c r="E483" s="104">
        <f>Asset9</f>
        <v>0</v>
      </c>
      <c r="F483" s="152"/>
      <c r="G483" s="354"/>
      <c r="H483" s="1354"/>
      <c r="J483" s="1356"/>
      <c r="K483" s="277"/>
      <c r="L483" s="277"/>
      <c r="M483" s="355">
        <f t="shared" si="69"/>
        <v>0</v>
      </c>
      <c r="P483" s="244"/>
      <c r="Q483" s="244"/>
      <c r="R483" s="244"/>
      <c r="S483" s="244"/>
      <c r="T483" s="244"/>
      <c r="U483" s="244"/>
      <c r="V483" s="244"/>
      <c r="W483" s="244"/>
      <c r="X483" s="177"/>
      <c r="Y483" s="152"/>
      <c r="Z483" s="152"/>
      <c r="AA483" s="152"/>
      <c r="AB483" s="152"/>
      <c r="AC483" s="152"/>
      <c r="AD483" s="152"/>
      <c r="AE483" s="152"/>
      <c r="AF483" s="152"/>
      <c r="AG483" s="152"/>
      <c r="AH483" s="152"/>
      <c r="AI483" s="152"/>
    </row>
    <row r="484" spans="1:35" outlineLevel="1">
      <c r="A484" s="152"/>
      <c r="B484" s="3"/>
      <c r="C484" s="3"/>
      <c r="D484" s="3"/>
      <c r="E484" s="104">
        <f>Asset10</f>
        <v>0</v>
      </c>
      <c r="F484" s="152"/>
      <c r="G484" s="354"/>
      <c r="H484" s="1354"/>
      <c r="J484" s="1356"/>
      <c r="K484" s="277"/>
      <c r="L484" s="277"/>
      <c r="M484" s="355">
        <f t="shared" si="69"/>
        <v>0</v>
      </c>
      <c r="P484" s="350"/>
      <c r="Q484" s="350"/>
      <c r="R484" s="350"/>
      <c r="S484" s="350"/>
      <c r="T484" s="350"/>
      <c r="U484" s="350"/>
      <c r="V484" s="244"/>
      <c r="W484" s="244"/>
      <c r="X484" s="177"/>
      <c r="Y484" s="152"/>
      <c r="Z484" s="152"/>
      <c r="AA484" s="152"/>
      <c r="AB484" s="152"/>
      <c r="AC484" s="152"/>
      <c r="AD484" s="152"/>
      <c r="AE484" s="152"/>
      <c r="AF484" s="152"/>
      <c r="AG484" s="152"/>
      <c r="AH484" s="152"/>
      <c r="AI484" s="152"/>
    </row>
    <row r="485" spans="1:35" outlineLevel="1">
      <c r="A485" s="152"/>
      <c r="B485" s="3"/>
      <c r="C485" s="3"/>
      <c r="D485" s="3"/>
      <c r="E485" s="104">
        <f>Asset11</f>
        <v>0</v>
      </c>
      <c r="F485" s="152"/>
      <c r="G485" s="354"/>
      <c r="H485" s="1354"/>
      <c r="J485" s="1356"/>
      <c r="K485" s="277"/>
      <c r="L485" s="277"/>
      <c r="M485" s="355">
        <f t="shared" si="69"/>
        <v>0</v>
      </c>
      <c r="P485" s="350"/>
      <c r="Q485" s="350"/>
      <c r="R485" s="350"/>
      <c r="S485" s="350"/>
      <c r="T485" s="350"/>
      <c r="U485" s="350"/>
      <c r="V485" s="244"/>
      <c r="W485" s="244"/>
      <c r="X485" s="177"/>
      <c r="Y485" s="152"/>
      <c r="Z485" s="152"/>
      <c r="AA485" s="152"/>
      <c r="AB485" s="152"/>
      <c r="AC485" s="152"/>
      <c r="AD485" s="152"/>
      <c r="AE485" s="152"/>
      <c r="AF485" s="152"/>
      <c r="AG485" s="152"/>
      <c r="AH485" s="152"/>
      <c r="AI485" s="152"/>
    </row>
    <row r="486" spans="1:35" outlineLevel="1">
      <c r="A486" s="152"/>
      <c r="B486" s="3"/>
      <c r="C486" s="3"/>
      <c r="D486" s="3"/>
      <c r="E486" s="104">
        <f>Asset12</f>
        <v>0</v>
      </c>
      <c r="F486" s="152"/>
      <c r="G486" s="354"/>
      <c r="H486" s="1354"/>
      <c r="J486" s="1356"/>
      <c r="K486" s="277"/>
      <c r="L486" s="277"/>
      <c r="M486" s="355">
        <f t="shared" si="69"/>
        <v>0</v>
      </c>
      <c r="P486" s="350"/>
      <c r="Q486" s="350"/>
      <c r="R486" s="350"/>
      <c r="S486" s="350"/>
      <c r="T486" s="350"/>
      <c r="U486" s="350"/>
      <c r="V486" s="244"/>
      <c r="W486" s="244"/>
      <c r="X486" s="177"/>
      <c r="Y486" s="152"/>
      <c r="Z486" s="152"/>
      <c r="AA486" s="152"/>
      <c r="AB486" s="152"/>
      <c r="AC486" s="152"/>
      <c r="AD486" s="152"/>
      <c r="AE486" s="152"/>
      <c r="AF486" s="152"/>
      <c r="AG486" s="152"/>
      <c r="AH486" s="152"/>
      <c r="AI486" s="152"/>
    </row>
    <row r="487" spans="1:35" outlineLevel="1">
      <c r="A487" s="152"/>
      <c r="B487" s="3"/>
      <c r="C487" s="3"/>
      <c r="D487" s="3"/>
      <c r="E487" s="104">
        <f>Asset13</f>
        <v>0</v>
      </c>
      <c r="F487" s="152"/>
      <c r="G487" s="354"/>
      <c r="H487" s="1354"/>
      <c r="J487" s="1356"/>
      <c r="K487" s="277"/>
      <c r="L487" s="277"/>
      <c r="M487" s="355">
        <f t="shared" si="69"/>
        <v>0</v>
      </c>
      <c r="P487" s="350"/>
      <c r="Q487" s="350"/>
      <c r="R487" s="350"/>
      <c r="S487" s="350"/>
      <c r="T487" s="350"/>
      <c r="U487" s="350"/>
      <c r="V487" s="244"/>
      <c r="W487" s="244"/>
      <c r="X487" s="177"/>
      <c r="Y487" s="152"/>
      <c r="Z487" s="152"/>
      <c r="AA487" s="152"/>
      <c r="AB487" s="152"/>
      <c r="AC487" s="152"/>
      <c r="AD487" s="152"/>
      <c r="AE487" s="152"/>
      <c r="AF487" s="152"/>
      <c r="AG487" s="152"/>
      <c r="AH487" s="152"/>
      <c r="AI487" s="152"/>
    </row>
    <row r="488" spans="1:35" outlineLevel="1">
      <c r="A488" s="152"/>
      <c r="B488" s="3"/>
      <c r="C488" s="3"/>
      <c r="D488" s="3"/>
      <c r="E488" s="104">
        <f>Asset14</f>
        <v>0</v>
      </c>
      <c r="F488" s="152"/>
      <c r="G488" s="354"/>
      <c r="H488" s="1354"/>
      <c r="J488" s="1356"/>
      <c r="K488" s="277"/>
      <c r="L488" s="277"/>
      <c r="M488" s="355">
        <f t="shared" si="69"/>
        <v>0</v>
      </c>
      <c r="P488" s="350"/>
      <c r="Q488" s="350"/>
      <c r="R488" s="350"/>
      <c r="S488" s="350"/>
      <c r="T488" s="350"/>
      <c r="U488" s="350"/>
      <c r="V488" s="244"/>
      <c r="W488" s="244"/>
      <c r="X488" s="177"/>
      <c r="Y488" s="152"/>
      <c r="Z488" s="152"/>
      <c r="AA488" s="152"/>
      <c r="AB488" s="152"/>
      <c r="AC488" s="152"/>
      <c r="AD488" s="152"/>
      <c r="AE488" s="152"/>
      <c r="AF488" s="152"/>
      <c r="AG488" s="152"/>
      <c r="AH488" s="152"/>
      <c r="AI488" s="152"/>
    </row>
    <row r="489" spans="1:35" outlineLevel="1">
      <c r="A489" s="152"/>
      <c r="B489" s="3"/>
      <c r="C489" s="3"/>
      <c r="D489" s="3"/>
      <c r="E489" s="104">
        <f>Asset15</f>
        <v>0</v>
      </c>
      <c r="F489" s="152"/>
      <c r="G489" s="354"/>
      <c r="H489" s="1354"/>
      <c r="J489" s="1356"/>
      <c r="K489" s="277"/>
      <c r="L489" s="277"/>
      <c r="M489" s="355">
        <f t="shared" si="69"/>
        <v>0</v>
      </c>
      <c r="P489" s="350"/>
      <c r="Q489" s="350"/>
      <c r="R489" s="350"/>
      <c r="S489" s="350"/>
      <c r="T489" s="350"/>
      <c r="U489" s="350"/>
      <c r="V489" s="244"/>
      <c r="W489" s="244"/>
      <c r="X489" s="177"/>
      <c r="Y489" s="152"/>
      <c r="Z489" s="152"/>
      <c r="AA489" s="152"/>
      <c r="AB489" s="152"/>
      <c r="AC489" s="152"/>
      <c r="AD489" s="152"/>
      <c r="AE489" s="152"/>
      <c r="AF489" s="152"/>
      <c r="AG489" s="152"/>
      <c r="AH489" s="152"/>
      <c r="AI489" s="152"/>
    </row>
    <row r="490" spans="1:35" outlineLevel="1">
      <c r="A490" s="152"/>
      <c r="B490" s="3"/>
      <c r="C490" s="3"/>
      <c r="D490" s="3"/>
      <c r="E490" s="104">
        <f>Asset16</f>
        <v>0</v>
      </c>
      <c r="F490" s="152"/>
      <c r="G490" s="354"/>
      <c r="H490" s="1354"/>
      <c r="J490" s="1356"/>
      <c r="K490" s="277"/>
      <c r="L490" s="277"/>
      <c r="M490" s="355">
        <f t="shared" si="69"/>
        <v>0</v>
      </c>
      <c r="P490" s="350"/>
      <c r="Q490" s="350"/>
      <c r="R490" s="350"/>
      <c r="S490" s="350"/>
      <c r="T490" s="350"/>
      <c r="U490" s="350"/>
      <c r="V490" s="244"/>
      <c r="W490" s="244"/>
      <c r="X490" s="177"/>
      <c r="Y490" s="152"/>
      <c r="Z490" s="152"/>
      <c r="AA490" s="152"/>
      <c r="AB490" s="152"/>
      <c r="AC490" s="152"/>
      <c r="AD490" s="152"/>
      <c r="AE490" s="152"/>
      <c r="AF490" s="152"/>
      <c r="AG490" s="152"/>
      <c r="AH490" s="152"/>
      <c r="AI490" s="152"/>
    </row>
    <row r="491" spans="1:35" outlineLevel="1">
      <c r="A491" s="152"/>
      <c r="B491" s="3"/>
      <c r="C491" s="3"/>
      <c r="D491" s="3"/>
      <c r="E491" s="104">
        <f>Asset17</f>
        <v>0</v>
      </c>
      <c r="F491" s="152"/>
      <c r="G491" s="354"/>
      <c r="H491" s="1354"/>
      <c r="J491" s="1356"/>
      <c r="K491" s="277"/>
      <c r="L491" s="277"/>
      <c r="M491" s="355">
        <f t="shared" si="69"/>
        <v>0</v>
      </c>
      <c r="P491" s="350"/>
      <c r="Q491" s="350"/>
      <c r="R491" s="350"/>
      <c r="S491" s="350"/>
      <c r="T491" s="350"/>
      <c r="U491" s="350"/>
      <c r="V491" s="244"/>
      <c r="W491" s="244"/>
      <c r="X491" s="177"/>
      <c r="Y491" s="152"/>
      <c r="Z491" s="152"/>
      <c r="AA491" s="152"/>
      <c r="AB491" s="152"/>
      <c r="AC491" s="152"/>
      <c r="AD491" s="152"/>
      <c r="AE491" s="152"/>
      <c r="AF491" s="152"/>
      <c r="AG491" s="152"/>
      <c r="AH491" s="152"/>
      <c r="AI491" s="152"/>
    </row>
    <row r="492" spans="1:35" outlineLevel="1">
      <c r="A492" s="152"/>
      <c r="B492" s="3"/>
      <c r="C492" s="3"/>
      <c r="D492" s="3"/>
      <c r="E492" s="104">
        <f>Asset18</f>
        <v>0</v>
      </c>
      <c r="F492" s="152"/>
      <c r="G492" s="354"/>
      <c r="H492" s="1354"/>
      <c r="J492" s="1356"/>
      <c r="K492" s="277"/>
      <c r="L492" s="277"/>
      <c r="M492" s="355">
        <f t="shared" si="69"/>
        <v>0</v>
      </c>
      <c r="P492" s="350"/>
      <c r="Q492" s="350"/>
      <c r="R492" s="350"/>
      <c r="S492" s="350"/>
      <c r="T492" s="350"/>
      <c r="U492" s="350"/>
      <c r="V492" s="244"/>
      <c r="W492" s="244"/>
      <c r="X492" s="177"/>
      <c r="Y492" s="152"/>
      <c r="Z492" s="152"/>
      <c r="AA492" s="152"/>
      <c r="AB492" s="152"/>
      <c r="AC492" s="152"/>
      <c r="AD492" s="152"/>
      <c r="AE492" s="152"/>
      <c r="AF492" s="152"/>
      <c r="AG492" s="152"/>
      <c r="AH492" s="152"/>
      <c r="AI492" s="152"/>
    </row>
    <row r="493" spans="1:35" outlineLevel="1">
      <c r="A493" s="152"/>
      <c r="B493" s="3"/>
      <c r="C493" s="3"/>
      <c r="D493" s="3"/>
      <c r="E493" s="104">
        <f>Asset19</f>
        <v>0</v>
      </c>
      <c r="F493" s="152"/>
      <c r="G493" s="354"/>
      <c r="H493" s="1354"/>
      <c r="J493" s="1356"/>
      <c r="K493" s="277"/>
      <c r="L493" s="277"/>
      <c r="M493" s="355">
        <f t="shared" si="69"/>
        <v>0</v>
      </c>
      <c r="P493" s="350"/>
      <c r="Q493" s="350"/>
      <c r="R493" s="350"/>
      <c r="S493" s="350"/>
      <c r="T493" s="350"/>
      <c r="U493" s="350"/>
      <c r="V493" s="244"/>
      <c r="W493" s="244"/>
      <c r="X493" s="177"/>
      <c r="Y493" s="152"/>
      <c r="Z493" s="152"/>
      <c r="AA493" s="152"/>
      <c r="AB493" s="152"/>
      <c r="AC493" s="152"/>
      <c r="AD493" s="152"/>
      <c r="AE493" s="152"/>
      <c r="AF493" s="152"/>
      <c r="AG493" s="152"/>
      <c r="AH493" s="152"/>
      <c r="AI493" s="152"/>
    </row>
    <row r="494" spans="1:35" outlineLevel="1">
      <c r="A494" s="152"/>
      <c r="B494" s="3"/>
      <c r="C494" s="3"/>
      <c r="D494" s="3"/>
      <c r="E494" s="104">
        <f>Asset20</f>
        <v>0</v>
      </c>
      <c r="F494" s="177"/>
      <c r="G494" s="354"/>
      <c r="H494" s="1354"/>
      <c r="J494" s="1356"/>
      <c r="K494" s="277"/>
      <c r="L494" s="277"/>
      <c r="M494" s="355">
        <f t="shared" si="69"/>
        <v>0</v>
      </c>
      <c r="P494" s="350"/>
      <c r="Q494" s="350"/>
      <c r="R494" s="350"/>
      <c r="S494" s="350"/>
      <c r="T494" s="350"/>
      <c r="U494" s="350"/>
      <c r="V494" s="244"/>
      <c r="W494" s="244"/>
      <c r="X494" s="177"/>
      <c r="Y494" s="152"/>
      <c r="Z494" s="152"/>
      <c r="AA494" s="152"/>
      <c r="AB494" s="152"/>
      <c r="AC494" s="152"/>
      <c r="AD494" s="152"/>
      <c r="AE494" s="152"/>
      <c r="AF494" s="152"/>
      <c r="AG494" s="152"/>
      <c r="AH494" s="152"/>
      <c r="AI494" s="152"/>
    </row>
    <row r="495" spans="1:35" outlineLevel="1">
      <c r="A495" s="152"/>
      <c r="B495" s="3"/>
      <c r="C495" s="3"/>
      <c r="D495" s="3"/>
      <c r="E495" s="104">
        <f>Asset21</f>
        <v>0</v>
      </c>
      <c r="F495" s="177"/>
      <c r="G495" s="354"/>
      <c r="H495" s="1354"/>
      <c r="J495" s="1356"/>
      <c r="K495" s="277"/>
      <c r="L495" s="277"/>
      <c r="M495" s="355">
        <f t="shared" si="69"/>
        <v>0</v>
      </c>
      <c r="P495" s="350"/>
      <c r="Q495" s="350"/>
      <c r="R495" s="350"/>
      <c r="S495" s="350"/>
      <c r="T495" s="350"/>
      <c r="U495" s="350"/>
      <c r="V495" s="244"/>
      <c r="W495" s="244"/>
      <c r="X495" s="177"/>
      <c r="Y495" s="152"/>
      <c r="Z495" s="152"/>
      <c r="AA495" s="152"/>
      <c r="AB495" s="152"/>
      <c r="AC495" s="152"/>
      <c r="AD495" s="152"/>
      <c r="AE495" s="152"/>
      <c r="AF495" s="152"/>
      <c r="AG495" s="152"/>
      <c r="AH495" s="152"/>
      <c r="AI495" s="152"/>
    </row>
    <row r="496" spans="1:35" outlineLevel="1">
      <c r="A496" s="152"/>
      <c r="B496" s="3"/>
      <c r="C496" s="3"/>
      <c r="D496" s="3"/>
      <c r="E496" s="104">
        <f>Asset22</f>
        <v>0</v>
      </c>
      <c r="F496" s="177"/>
      <c r="G496" s="354"/>
      <c r="H496" s="1354"/>
      <c r="J496" s="1356"/>
      <c r="K496" s="277"/>
      <c r="L496" s="277"/>
      <c r="M496" s="355">
        <f t="shared" si="69"/>
        <v>0</v>
      </c>
      <c r="P496" s="350"/>
      <c r="Q496" s="350"/>
      <c r="R496" s="350"/>
      <c r="S496" s="350"/>
      <c r="T496" s="350"/>
      <c r="U496" s="350"/>
      <c r="V496" s="244"/>
      <c r="W496" s="244"/>
      <c r="X496" s="177"/>
      <c r="Y496" s="152"/>
      <c r="Z496" s="152"/>
      <c r="AA496" s="152"/>
      <c r="AB496" s="152"/>
      <c r="AC496" s="152"/>
      <c r="AD496" s="152"/>
      <c r="AE496" s="152"/>
      <c r="AF496" s="152"/>
      <c r="AG496" s="152"/>
      <c r="AH496" s="152"/>
      <c r="AI496" s="152"/>
    </row>
    <row r="497" spans="1:35" outlineLevel="1">
      <c r="A497" s="152"/>
      <c r="B497" s="3"/>
      <c r="C497" s="3"/>
      <c r="D497" s="3"/>
      <c r="E497" s="104">
        <f>Asset23</f>
        <v>0</v>
      </c>
      <c r="F497" s="177"/>
      <c r="G497" s="354"/>
      <c r="H497" s="1354"/>
      <c r="J497" s="1356"/>
      <c r="K497" s="277"/>
      <c r="L497" s="277"/>
      <c r="M497" s="355">
        <f t="shared" si="69"/>
        <v>0</v>
      </c>
      <c r="P497" s="350"/>
      <c r="Q497" s="350"/>
      <c r="R497" s="350"/>
      <c r="S497" s="350"/>
      <c r="T497" s="350"/>
      <c r="U497" s="350"/>
      <c r="V497" s="244"/>
      <c r="W497" s="244"/>
      <c r="X497" s="177"/>
      <c r="Y497" s="152"/>
      <c r="Z497" s="152"/>
      <c r="AA497" s="152"/>
      <c r="AB497" s="152"/>
      <c r="AC497" s="152"/>
      <c r="AD497" s="152"/>
      <c r="AE497" s="152"/>
      <c r="AF497" s="152"/>
      <c r="AG497" s="152"/>
      <c r="AH497" s="152"/>
      <c r="AI497" s="152"/>
    </row>
    <row r="498" spans="1:35" outlineLevel="1">
      <c r="A498" s="152"/>
      <c r="B498" s="3"/>
      <c r="C498" s="3"/>
      <c r="D498" s="3"/>
      <c r="E498" s="104">
        <f>Asset24</f>
        <v>0</v>
      </c>
      <c r="F498" s="177"/>
      <c r="G498" s="354"/>
      <c r="H498" s="1354"/>
      <c r="J498" s="1356"/>
      <c r="K498" s="277"/>
      <c r="L498" s="277"/>
      <c r="M498" s="355">
        <f t="shared" si="69"/>
        <v>0</v>
      </c>
      <c r="P498" s="350"/>
      <c r="Q498" s="350"/>
      <c r="R498" s="350"/>
      <c r="S498" s="350"/>
      <c r="T498" s="350"/>
      <c r="U498" s="350"/>
      <c r="V498" s="244"/>
      <c r="W498" s="244"/>
      <c r="X498" s="177"/>
      <c r="Y498" s="152"/>
      <c r="Z498" s="152"/>
      <c r="AA498" s="152"/>
      <c r="AB498" s="152"/>
      <c r="AC498" s="152"/>
      <c r="AD498" s="152"/>
      <c r="AE498" s="152"/>
      <c r="AF498" s="152"/>
      <c r="AG498" s="152"/>
      <c r="AH498" s="152"/>
      <c r="AI498" s="152"/>
    </row>
    <row r="499" spans="1:35" outlineLevel="1">
      <c r="A499" s="152"/>
      <c r="B499" s="3"/>
      <c r="C499" s="3"/>
      <c r="D499" s="3"/>
      <c r="E499" s="104">
        <f>Asset25</f>
        <v>0</v>
      </c>
      <c r="F499" s="177"/>
      <c r="G499" s="354"/>
      <c r="H499" s="1354"/>
      <c r="J499" s="1356"/>
      <c r="K499" s="277"/>
      <c r="L499" s="277"/>
      <c r="M499" s="355">
        <f t="shared" si="69"/>
        <v>0</v>
      </c>
      <c r="P499" s="350"/>
      <c r="Q499" s="350"/>
      <c r="R499" s="350"/>
      <c r="S499" s="350"/>
      <c r="T499" s="350"/>
      <c r="U499" s="350"/>
      <c r="V499" s="244"/>
      <c r="W499" s="244"/>
      <c r="X499" s="177"/>
      <c r="Y499" s="152"/>
      <c r="Z499" s="152"/>
      <c r="AA499" s="152"/>
      <c r="AB499" s="152"/>
      <c r="AC499" s="152"/>
      <c r="AD499" s="152"/>
      <c r="AE499" s="152"/>
      <c r="AF499" s="152"/>
      <c r="AG499" s="152"/>
      <c r="AH499" s="152"/>
      <c r="AI499" s="152"/>
    </row>
    <row r="500" spans="1:35" outlineLevel="1">
      <c r="A500" s="152"/>
      <c r="B500" s="3"/>
      <c r="C500" s="3"/>
      <c r="D500" s="3"/>
      <c r="E500" s="104">
        <f>Asset26</f>
        <v>0</v>
      </c>
      <c r="F500" s="177"/>
      <c r="G500" s="354"/>
      <c r="H500" s="1354"/>
      <c r="J500" s="1356"/>
      <c r="K500" s="277"/>
      <c r="L500" s="277"/>
      <c r="M500" s="355">
        <f t="shared" si="69"/>
        <v>0</v>
      </c>
      <c r="P500" s="350"/>
      <c r="Q500" s="350"/>
      <c r="R500" s="350"/>
      <c r="S500" s="350"/>
      <c r="T500" s="350"/>
      <c r="U500" s="350"/>
      <c r="V500" s="108"/>
      <c r="W500" s="108"/>
      <c r="X500" s="152"/>
      <c r="Y500" s="152"/>
      <c r="Z500" s="152"/>
      <c r="AA500" s="152"/>
      <c r="AB500" s="152"/>
      <c r="AC500" s="152"/>
      <c r="AD500" s="152"/>
      <c r="AE500" s="152"/>
      <c r="AF500" s="152"/>
      <c r="AG500" s="152"/>
      <c r="AH500" s="152"/>
      <c r="AI500" s="152"/>
    </row>
    <row r="501" spans="1:35" outlineLevel="1">
      <c r="A501" s="152"/>
      <c r="B501" s="3"/>
      <c r="C501" s="3"/>
      <c r="D501" s="3"/>
      <c r="E501" s="104">
        <f>Asset27</f>
        <v>0</v>
      </c>
      <c r="F501" s="177"/>
      <c r="G501" s="354"/>
      <c r="H501" s="1354"/>
      <c r="J501" s="1356"/>
      <c r="K501" s="277"/>
      <c r="L501" s="277"/>
      <c r="M501" s="355">
        <f t="shared" si="69"/>
        <v>0</v>
      </c>
      <c r="P501" s="350"/>
      <c r="Q501" s="350"/>
      <c r="R501" s="350"/>
      <c r="S501" s="350"/>
      <c r="T501" s="350"/>
      <c r="U501" s="350"/>
      <c r="V501" s="108"/>
      <c r="W501" s="108"/>
      <c r="X501" s="152"/>
      <c r="Y501" s="152"/>
      <c r="Z501" s="152"/>
      <c r="AA501" s="152"/>
      <c r="AB501" s="152"/>
      <c r="AC501" s="152"/>
      <c r="AD501" s="152"/>
      <c r="AE501" s="152"/>
      <c r="AF501" s="152"/>
      <c r="AG501" s="152"/>
      <c r="AH501" s="152"/>
      <c r="AI501" s="152"/>
    </row>
    <row r="502" spans="1:35" outlineLevel="1">
      <c r="A502" s="152"/>
      <c r="B502" s="3"/>
      <c r="C502" s="3"/>
      <c r="D502" s="3"/>
      <c r="E502" s="104">
        <f>Asset28</f>
        <v>0</v>
      </c>
      <c r="F502" s="177"/>
      <c r="G502" s="354"/>
      <c r="H502" s="1354"/>
      <c r="J502" s="1356"/>
      <c r="K502" s="277"/>
      <c r="L502" s="277"/>
      <c r="M502" s="355">
        <f t="shared" si="69"/>
        <v>0</v>
      </c>
      <c r="P502" s="350"/>
      <c r="Q502" s="350"/>
      <c r="R502" s="350"/>
      <c r="S502" s="350"/>
      <c r="T502" s="350"/>
      <c r="U502" s="350"/>
      <c r="V502" s="108"/>
      <c r="W502" s="108"/>
      <c r="X502" s="152"/>
      <c r="Y502" s="152"/>
      <c r="Z502" s="152"/>
      <c r="AA502" s="152"/>
      <c r="AB502" s="152"/>
      <c r="AC502" s="152"/>
      <c r="AD502" s="152"/>
      <c r="AE502" s="152"/>
      <c r="AF502" s="152"/>
      <c r="AG502" s="152"/>
      <c r="AH502" s="152"/>
      <c r="AI502" s="152"/>
    </row>
    <row r="503" spans="1:35" outlineLevel="1">
      <c r="A503" s="152"/>
      <c r="B503" s="3"/>
      <c r="C503" s="3"/>
      <c r="D503" s="3"/>
      <c r="E503" s="104">
        <f>Asset29</f>
        <v>0</v>
      </c>
      <c r="F503" s="177"/>
      <c r="G503" s="354"/>
      <c r="H503" s="1354"/>
      <c r="J503" s="1356"/>
      <c r="K503" s="277"/>
      <c r="L503" s="277"/>
      <c r="M503" s="355">
        <f t="shared" si="69"/>
        <v>0</v>
      </c>
      <c r="P503" s="350"/>
      <c r="Q503" s="350"/>
      <c r="R503" s="350"/>
      <c r="S503" s="350"/>
      <c r="T503" s="350"/>
      <c r="U503" s="350"/>
      <c r="V503" s="108"/>
      <c r="W503" s="108"/>
      <c r="X503" s="152"/>
      <c r="Y503" s="152"/>
      <c r="Z503" s="152"/>
      <c r="AA503" s="152"/>
      <c r="AB503" s="152"/>
      <c r="AC503" s="152"/>
      <c r="AD503" s="152"/>
      <c r="AE503" s="152"/>
      <c r="AF503" s="152"/>
      <c r="AG503" s="152"/>
      <c r="AH503" s="152"/>
      <c r="AI503" s="152"/>
    </row>
    <row r="504" spans="1:35" outlineLevel="1">
      <c r="A504" s="152"/>
      <c r="B504" s="3"/>
      <c r="C504" s="3"/>
      <c r="D504" s="3"/>
      <c r="E504" s="104">
        <f>Asset30</f>
        <v>0</v>
      </c>
      <c r="F504" s="177"/>
      <c r="G504" s="354"/>
      <c r="H504" s="1354"/>
      <c r="J504" s="1356"/>
      <c r="K504" s="277"/>
      <c r="L504" s="277"/>
      <c r="M504" s="355">
        <f t="shared" si="69"/>
        <v>0</v>
      </c>
      <c r="P504" s="350"/>
      <c r="Q504" s="350"/>
      <c r="R504" s="350"/>
      <c r="S504" s="350"/>
      <c r="T504" s="350"/>
      <c r="U504" s="350"/>
      <c r="V504" s="108"/>
      <c r="W504" s="108"/>
      <c r="X504" s="152"/>
      <c r="Y504" s="152"/>
      <c r="Z504" s="152"/>
      <c r="AA504" s="152"/>
      <c r="AB504" s="152"/>
      <c r="AC504" s="152"/>
      <c r="AD504" s="152"/>
      <c r="AE504" s="152"/>
      <c r="AF504" s="152"/>
      <c r="AG504" s="152"/>
      <c r="AH504" s="152"/>
      <c r="AI504" s="152"/>
    </row>
    <row r="505" spans="1:35" outlineLevel="2">
      <c r="A505" s="152"/>
      <c r="B505" s="3"/>
      <c r="C505" s="3"/>
      <c r="D505" s="3"/>
      <c r="E505" s="104">
        <f>Asset31</f>
        <v>0</v>
      </c>
      <c r="F505" s="177"/>
      <c r="G505" s="354"/>
      <c r="H505" s="1354"/>
      <c r="J505" s="1356"/>
      <c r="K505" s="277"/>
      <c r="L505" s="277"/>
      <c r="M505" s="355">
        <f t="shared" si="69"/>
        <v>0</v>
      </c>
      <c r="P505" s="350"/>
      <c r="Q505" s="350"/>
      <c r="R505" s="350"/>
      <c r="S505" s="350"/>
      <c r="T505" s="350"/>
      <c r="U505" s="350"/>
      <c r="V505" s="108"/>
      <c r="W505" s="108"/>
      <c r="X505" s="152"/>
      <c r="Y505" s="152"/>
      <c r="Z505" s="152"/>
      <c r="AA505" s="152"/>
      <c r="AB505" s="152"/>
      <c r="AC505" s="152"/>
      <c r="AD505" s="152"/>
      <c r="AE505" s="152"/>
      <c r="AF505" s="152"/>
      <c r="AG505" s="152"/>
      <c r="AH505" s="152"/>
      <c r="AI505" s="152"/>
    </row>
    <row r="506" spans="1:35" outlineLevel="2">
      <c r="A506" s="152"/>
      <c r="B506" s="3"/>
      <c r="C506" s="3"/>
      <c r="D506" s="3"/>
      <c r="E506" s="104">
        <f>Asset32</f>
        <v>0</v>
      </c>
      <c r="F506" s="177"/>
      <c r="G506" s="354"/>
      <c r="H506" s="1354"/>
      <c r="J506" s="1356"/>
      <c r="K506" s="277"/>
      <c r="L506" s="277"/>
      <c r="M506" s="355">
        <f t="shared" si="69"/>
        <v>0</v>
      </c>
      <c r="P506" s="350"/>
      <c r="Q506" s="350"/>
      <c r="R506" s="350"/>
      <c r="S506" s="350"/>
      <c r="T506" s="350"/>
      <c r="U506" s="350"/>
      <c r="V506" s="108"/>
      <c r="W506" s="108"/>
      <c r="X506" s="152"/>
      <c r="Y506" s="152"/>
      <c r="Z506" s="152"/>
      <c r="AA506" s="152"/>
      <c r="AB506" s="152"/>
      <c r="AC506" s="152"/>
      <c r="AD506" s="152"/>
      <c r="AE506" s="152"/>
      <c r="AF506" s="152"/>
      <c r="AG506" s="152"/>
      <c r="AH506" s="152"/>
      <c r="AI506" s="152"/>
    </row>
    <row r="507" spans="1:35" outlineLevel="2">
      <c r="A507" s="152"/>
      <c r="B507" s="3"/>
      <c r="C507" s="3"/>
      <c r="D507" s="3"/>
      <c r="E507" s="104">
        <f>Asset33</f>
        <v>0</v>
      </c>
      <c r="F507" s="177"/>
      <c r="G507" s="354"/>
      <c r="H507" s="1354"/>
      <c r="J507" s="1356"/>
      <c r="K507" s="277"/>
      <c r="L507" s="277"/>
      <c r="M507" s="355">
        <f t="shared" si="69"/>
        <v>0</v>
      </c>
      <c r="P507" s="350"/>
      <c r="Q507" s="350"/>
      <c r="R507" s="350"/>
      <c r="S507" s="350"/>
      <c r="T507" s="350"/>
      <c r="U507" s="350"/>
      <c r="V507" s="108"/>
      <c r="W507" s="108"/>
      <c r="X507" s="152"/>
      <c r="Y507" s="152"/>
      <c r="Z507" s="152"/>
      <c r="AA507" s="152"/>
      <c r="AB507" s="152"/>
      <c r="AC507" s="152"/>
      <c r="AD507" s="152"/>
      <c r="AE507" s="152"/>
      <c r="AF507" s="152"/>
      <c r="AG507" s="152"/>
      <c r="AH507" s="152"/>
      <c r="AI507" s="152"/>
    </row>
    <row r="508" spans="1:35" outlineLevel="2">
      <c r="A508" s="152"/>
      <c r="B508" s="3"/>
      <c r="C508" s="3"/>
      <c r="D508" s="3"/>
      <c r="E508" s="104">
        <f>Asset34</f>
        <v>0</v>
      </c>
      <c r="F508" s="177"/>
      <c r="G508" s="354"/>
      <c r="H508" s="1354"/>
      <c r="J508" s="1356"/>
      <c r="K508" s="277"/>
      <c r="L508" s="277"/>
      <c r="M508" s="355">
        <f t="shared" si="69"/>
        <v>0</v>
      </c>
      <c r="P508" s="350"/>
      <c r="Q508" s="350"/>
      <c r="R508" s="350"/>
      <c r="S508" s="350"/>
      <c r="T508" s="350"/>
      <c r="U508" s="350"/>
      <c r="V508" s="108"/>
      <c r="W508" s="108"/>
      <c r="X508" s="152"/>
      <c r="Y508" s="152"/>
      <c r="Z508" s="152"/>
      <c r="AA508" s="152"/>
      <c r="AB508" s="152"/>
      <c r="AC508" s="152"/>
      <c r="AD508" s="152"/>
      <c r="AE508" s="152"/>
      <c r="AF508" s="152"/>
      <c r="AG508" s="152"/>
      <c r="AH508" s="152"/>
      <c r="AI508" s="152"/>
    </row>
    <row r="509" spans="1:35" outlineLevel="2">
      <c r="A509" s="152"/>
      <c r="B509" s="3"/>
      <c r="C509" s="3"/>
      <c r="D509" s="3"/>
      <c r="E509" s="104">
        <f>Asset35</f>
        <v>0</v>
      </c>
      <c r="F509" s="177"/>
      <c r="G509" s="354"/>
      <c r="H509" s="1354"/>
      <c r="J509" s="1356"/>
      <c r="K509" s="277"/>
      <c r="L509" s="277"/>
      <c r="M509" s="355">
        <f t="shared" si="69"/>
        <v>0</v>
      </c>
      <c r="P509" s="350"/>
      <c r="Q509" s="350"/>
      <c r="R509" s="350"/>
      <c r="S509" s="350"/>
      <c r="T509" s="350"/>
      <c r="U509" s="350"/>
      <c r="V509" s="108"/>
      <c r="W509" s="108"/>
      <c r="X509" s="152"/>
      <c r="Y509" s="152"/>
      <c r="Z509" s="152"/>
      <c r="AA509" s="152"/>
      <c r="AB509" s="152"/>
      <c r="AC509" s="152"/>
      <c r="AD509" s="152"/>
      <c r="AE509" s="152"/>
      <c r="AF509" s="152"/>
      <c r="AG509" s="152"/>
      <c r="AH509" s="152"/>
      <c r="AI509" s="152"/>
    </row>
    <row r="510" spans="1:35" outlineLevel="2">
      <c r="A510" s="152"/>
      <c r="B510" s="3"/>
      <c r="C510" s="3"/>
      <c r="D510" s="3"/>
      <c r="E510" s="104">
        <f>Asset36</f>
        <v>0</v>
      </c>
      <c r="F510" s="177"/>
      <c r="G510" s="354"/>
      <c r="H510" s="1354"/>
      <c r="J510" s="1356"/>
      <c r="K510" s="277"/>
      <c r="L510" s="277"/>
      <c r="M510" s="355">
        <f t="shared" si="69"/>
        <v>0</v>
      </c>
      <c r="P510" s="350"/>
      <c r="Q510" s="350"/>
      <c r="R510" s="350"/>
      <c r="S510" s="350"/>
      <c r="T510" s="350"/>
      <c r="U510" s="350"/>
      <c r="V510" s="108"/>
      <c r="W510" s="108"/>
      <c r="X510" s="152"/>
      <c r="Y510" s="152"/>
      <c r="Z510" s="152"/>
      <c r="AA510" s="152"/>
      <c r="AB510" s="152"/>
      <c r="AC510" s="152"/>
      <c r="AD510" s="152"/>
      <c r="AE510" s="152"/>
      <c r="AF510" s="152"/>
      <c r="AG510" s="152"/>
      <c r="AH510" s="152"/>
      <c r="AI510" s="152"/>
    </row>
    <row r="511" spans="1:35" outlineLevel="2">
      <c r="A511" s="152"/>
      <c r="B511" s="3"/>
      <c r="C511" s="3"/>
      <c r="D511" s="3"/>
      <c r="E511" s="104">
        <f>Asset37</f>
        <v>0</v>
      </c>
      <c r="F511" s="177"/>
      <c r="G511" s="354"/>
      <c r="H511" s="1354"/>
      <c r="J511" s="1356"/>
      <c r="K511" s="277"/>
      <c r="L511" s="277"/>
      <c r="M511" s="355">
        <f t="shared" si="69"/>
        <v>0</v>
      </c>
      <c r="P511" s="350"/>
      <c r="Q511" s="350"/>
      <c r="R511" s="350"/>
      <c r="S511" s="350"/>
      <c r="T511" s="350"/>
      <c r="U511" s="350"/>
      <c r="V511" s="108"/>
      <c r="W511" s="108"/>
      <c r="X511" s="152"/>
      <c r="Y511" s="152"/>
      <c r="Z511" s="152"/>
      <c r="AA511" s="152"/>
      <c r="AB511" s="152"/>
      <c r="AC511" s="152"/>
      <c r="AD511" s="152"/>
      <c r="AE511" s="152"/>
      <c r="AF511" s="152"/>
      <c r="AG511" s="152"/>
      <c r="AH511" s="152"/>
      <c r="AI511" s="152"/>
    </row>
    <row r="512" spans="1:35" outlineLevel="2">
      <c r="A512" s="152"/>
      <c r="B512" s="3"/>
      <c r="C512" s="3"/>
      <c r="D512" s="3"/>
      <c r="E512" s="104">
        <f>Asset38</f>
        <v>0</v>
      </c>
      <c r="F512" s="177"/>
      <c r="G512" s="354"/>
      <c r="H512" s="1354"/>
      <c r="J512" s="1356"/>
      <c r="K512" s="277"/>
      <c r="L512" s="277"/>
      <c r="M512" s="355">
        <f t="shared" si="69"/>
        <v>0</v>
      </c>
      <c r="P512" s="350"/>
      <c r="Q512" s="350"/>
      <c r="R512" s="350"/>
      <c r="S512" s="350"/>
      <c r="T512" s="350"/>
      <c r="U512" s="350"/>
      <c r="V512" s="108"/>
      <c r="W512" s="108"/>
      <c r="X512" s="152"/>
      <c r="Y512" s="152"/>
      <c r="Z512" s="152"/>
      <c r="AA512" s="152"/>
      <c r="AB512" s="152"/>
      <c r="AC512" s="152"/>
      <c r="AD512" s="152"/>
      <c r="AE512" s="152"/>
      <c r="AF512" s="152"/>
      <c r="AG512" s="152"/>
      <c r="AH512" s="152"/>
      <c r="AI512" s="152"/>
    </row>
    <row r="513" spans="1:35" outlineLevel="2">
      <c r="A513" s="152"/>
      <c r="B513" s="3"/>
      <c r="C513" s="3"/>
      <c r="D513" s="3"/>
      <c r="E513" s="104">
        <f>Asset39</f>
        <v>0</v>
      </c>
      <c r="F513" s="177"/>
      <c r="G513" s="354"/>
      <c r="H513" s="1354"/>
      <c r="J513" s="1356"/>
      <c r="K513" s="277"/>
      <c r="L513" s="277"/>
      <c r="M513" s="355">
        <f t="shared" si="69"/>
        <v>0</v>
      </c>
      <c r="P513" s="350"/>
      <c r="Q513" s="350"/>
      <c r="R513" s="350"/>
      <c r="S513" s="350"/>
      <c r="T513" s="350"/>
      <c r="U513" s="350"/>
      <c r="V513" s="108"/>
      <c r="W513" s="108"/>
      <c r="X513" s="152"/>
      <c r="Y513" s="152"/>
      <c r="Z513" s="152"/>
      <c r="AA513" s="152"/>
      <c r="AB513" s="152"/>
      <c r="AC513" s="152"/>
      <c r="AD513" s="152"/>
      <c r="AE513" s="152"/>
      <c r="AF513" s="152"/>
      <c r="AG513" s="152"/>
      <c r="AH513" s="152"/>
      <c r="AI513" s="152"/>
    </row>
    <row r="514" spans="1:35" outlineLevel="2">
      <c r="A514" s="152"/>
      <c r="B514" s="3"/>
      <c r="C514" s="3"/>
      <c r="D514" s="3"/>
      <c r="E514" s="104">
        <f>Asset40</f>
        <v>0</v>
      </c>
      <c r="F514" s="177"/>
      <c r="G514" s="354"/>
      <c r="H514" s="1354"/>
      <c r="J514" s="1356"/>
      <c r="K514" s="277"/>
      <c r="L514" s="277"/>
      <c r="M514" s="355">
        <f t="shared" si="69"/>
        <v>0</v>
      </c>
      <c r="P514" s="350"/>
      <c r="Q514" s="350"/>
      <c r="R514" s="350"/>
      <c r="S514" s="350"/>
      <c r="T514" s="350"/>
      <c r="U514" s="350"/>
      <c r="V514" s="108"/>
      <c r="W514" s="108"/>
      <c r="X514" s="152"/>
      <c r="Y514" s="152"/>
      <c r="Z514" s="152"/>
      <c r="AA514" s="152"/>
      <c r="AB514" s="152"/>
      <c r="AC514" s="152"/>
      <c r="AD514" s="152"/>
      <c r="AE514" s="152"/>
      <c r="AF514" s="152"/>
      <c r="AG514" s="152"/>
      <c r="AH514" s="152"/>
      <c r="AI514" s="152"/>
    </row>
    <row r="515" spans="1:35" outlineLevel="2">
      <c r="A515" s="152"/>
      <c r="B515" s="3"/>
      <c r="C515" s="3"/>
      <c r="D515" s="3"/>
      <c r="E515" s="104">
        <f>Asset41</f>
        <v>0</v>
      </c>
      <c r="F515" s="177"/>
      <c r="G515" s="354"/>
      <c r="H515" s="1354"/>
      <c r="J515" s="1356"/>
      <c r="K515" s="277"/>
      <c r="L515" s="277"/>
      <c r="M515" s="355">
        <f t="shared" si="69"/>
        <v>0</v>
      </c>
      <c r="P515" s="350"/>
      <c r="Q515" s="350"/>
      <c r="R515" s="350"/>
      <c r="S515" s="350"/>
      <c r="T515" s="350"/>
      <c r="U515" s="350"/>
      <c r="V515" s="108"/>
      <c r="W515" s="108"/>
      <c r="X515" s="152"/>
      <c r="Y515" s="152"/>
      <c r="Z515" s="152"/>
      <c r="AA515" s="152"/>
      <c r="AB515" s="152"/>
      <c r="AC515" s="152"/>
      <c r="AD515" s="152"/>
      <c r="AE515" s="152"/>
      <c r="AF515" s="152"/>
      <c r="AG515" s="152"/>
      <c r="AH515" s="152"/>
      <c r="AI515" s="152"/>
    </row>
    <row r="516" spans="1:35" outlineLevel="2">
      <c r="A516" s="152"/>
      <c r="B516" s="3"/>
      <c r="C516" s="3"/>
      <c r="D516" s="3"/>
      <c r="E516" s="104">
        <f>Asset42</f>
        <v>0</v>
      </c>
      <c r="F516" s="177"/>
      <c r="G516" s="354"/>
      <c r="H516" s="1354"/>
      <c r="J516" s="1356"/>
      <c r="K516" s="277"/>
      <c r="L516" s="277"/>
      <c r="M516" s="355">
        <f t="shared" si="69"/>
        <v>0</v>
      </c>
      <c r="P516" s="350"/>
      <c r="Q516" s="350"/>
      <c r="R516" s="350"/>
      <c r="S516" s="350"/>
      <c r="T516" s="350"/>
      <c r="U516" s="350"/>
      <c r="V516" s="108"/>
      <c r="W516" s="108"/>
      <c r="X516" s="152"/>
      <c r="Y516" s="152"/>
      <c r="Z516" s="152"/>
      <c r="AA516" s="152"/>
      <c r="AB516" s="152"/>
      <c r="AC516" s="152"/>
      <c r="AD516" s="152"/>
      <c r="AE516" s="152"/>
      <c r="AF516" s="152"/>
      <c r="AG516" s="152"/>
      <c r="AH516" s="152"/>
      <c r="AI516" s="152"/>
    </row>
    <row r="517" spans="1:35" outlineLevel="2">
      <c r="A517" s="152"/>
      <c r="B517" s="3"/>
      <c r="C517" s="3"/>
      <c r="D517" s="3"/>
      <c r="E517" s="104">
        <f>Asset43</f>
        <v>0</v>
      </c>
      <c r="F517" s="177"/>
      <c r="G517" s="354"/>
      <c r="H517" s="1354"/>
      <c r="J517" s="1356"/>
      <c r="K517" s="277"/>
      <c r="L517" s="277"/>
      <c r="M517" s="355">
        <f t="shared" si="69"/>
        <v>0</v>
      </c>
      <c r="P517" s="350"/>
      <c r="Q517" s="350"/>
      <c r="R517" s="350"/>
      <c r="S517" s="350"/>
      <c r="T517" s="350"/>
      <c r="U517" s="350"/>
      <c r="V517" s="108"/>
      <c r="W517" s="108"/>
      <c r="X517" s="152"/>
      <c r="Y517" s="152"/>
      <c r="Z517" s="152"/>
      <c r="AA517" s="152"/>
      <c r="AB517" s="152"/>
      <c r="AC517" s="152"/>
      <c r="AD517" s="152"/>
      <c r="AE517" s="152"/>
      <c r="AF517" s="152"/>
      <c r="AG517" s="152"/>
      <c r="AH517" s="152"/>
      <c r="AI517" s="152"/>
    </row>
    <row r="518" spans="1:35" outlineLevel="2">
      <c r="A518" s="152"/>
      <c r="B518" s="3"/>
      <c r="C518" s="3"/>
      <c r="D518" s="3"/>
      <c r="E518" s="104">
        <f>Asset44</f>
        <v>0</v>
      </c>
      <c r="F518" s="177"/>
      <c r="G518" s="354"/>
      <c r="H518" s="1354"/>
      <c r="J518" s="1356"/>
      <c r="K518" s="277"/>
      <c r="L518" s="277"/>
      <c r="M518" s="355">
        <f t="shared" si="69"/>
        <v>0</v>
      </c>
      <c r="P518" s="350"/>
      <c r="Q518" s="350"/>
      <c r="R518" s="350"/>
      <c r="S518" s="350"/>
      <c r="T518" s="350"/>
      <c r="U518" s="350"/>
      <c r="V518" s="108"/>
      <c r="W518" s="108"/>
      <c r="X518" s="152"/>
      <c r="Y518" s="152"/>
      <c r="Z518" s="152"/>
      <c r="AA518" s="152"/>
      <c r="AB518" s="152"/>
      <c r="AC518" s="152"/>
      <c r="AD518" s="152"/>
      <c r="AE518" s="152"/>
      <c r="AF518" s="152"/>
      <c r="AG518" s="152"/>
      <c r="AH518" s="152"/>
      <c r="AI518" s="152"/>
    </row>
    <row r="519" spans="1:35" outlineLevel="2">
      <c r="A519" s="152"/>
      <c r="B519" s="3"/>
      <c r="C519" s="3"/>
      <c r="D519" s="3"/>
      <c r="E519" s="104">
        <f>Asset45</f>
        <v>0</v>
      </c>
      <c r="F519" s="177"/>
      <c r="G519" s="354"/>
      <c r="H519" s="1354"/>
      <c r="J519" s="1356"/>
      <c r="K519" s="277"/>
      <c r="L519" s="277"/>
      <c r="M519" s="355">
        <f t="shared" si="69"/>
        <v>0</v>
      </c>
      <c r="P519" s="350"/>
      <c r="Q519" s="350"/>
      <c r="R519" s="350"/>
      <c r="S519" s="350"/>
      <c r="T519" s="350"/>
      <c r="U519" s="350"/>
      <c r="V519" s="108"/>
      <c r="W519" s="108"/>
      <c r="X519" s="152"/>
      <c r="Y519" s="152"/>
      <c r="Z519" s="152"/>
      <c r="AA519" s="152"/>
      <c r="AB519" s="152"/>
      <c r="AC519" s="152"/>
      <c r="AD519" s="152"/>
      <c r="AE519" s="152"/>
      <c r="AF519" s="152"/>
      <c r="AG519" s="152"/>
      <c r="AH519" s="152"/>
      <c r="AI519" s="152"/>
    </row>
    <row r="520" spans="1:35" outlineLevel="2">
      <c r="A520" s="152"/>
      <c r="B520" s="3"/>
      <c r="C520" s="3"/>
      <c r="D520" s="3"/>
      <c r="E520" s="104">
        <f>Asset46</f>
        <v>0</v>
      </c>
      <c r="F520" s="177"/>
      <c r="G520" s="354"/>
      <c r="H520" s="1354"/>
      <c r="J520" s="1356"/>
      <c r="K520" s="277"/>
      <c r="L520" s="277"/>
      <c r="M520" s="355">
        <f t="shared" si="69"/>
        <v>0</v>
      </c>
      <c r="P520" s="350"/>
      <c r="Q520" s="350"/>
      <c r="R520" s="350"/>
      <c r="S520" s="350"/>
      <c r="T520" s="350"/>
      <c r="U520" s="350"/>
      <c r="V520" s="108"/>
      <c r="W520" s="108"/>
      <c r="X520" s="152"/>
      <c r="Y520" s="152"/>
      <c r="Z520" s="152"/>
      <c r="AA520" s="152"/>
      <c r="AB520" s="152"/>
      <c r="AC520" s="152"/>
      <c r="AD520" s="152"/>
      <c r="AE520" s="152"/>
      <c r="AF520" s="152"/>
      <c r="AG520" s="152"/>
      <c r="AH520" s="152"/>
      <c r="AI520" s="152"/>
    </row>
    <row r="521" spans="1:35" outlineLevel="1">
      <c r="A521" s="152"/>
      <c r="B521" s="3"/>
      <c r="C521" s="3"/>
      <c r="D521" s="3"/>
      <c r="E521" s="104">
        <f>Asset47</f>
        <v>0</v>
      </c>
      <c r="F521" s="177"/>
      <c r="G521" s="354"/>
      <c r="H521" s="1354"/>
      <c r="J521" s="1356"/>
      <c r="K521" s="277"/>
      <c r="L521" s="277"/>
      <c r="M521" s="355">
        <f t="shared" si="69"/>
        <v>0</v>
      </c>
      <c r="P521" s="350"/>
      <c r="Q521" s="350"/>
      <c r="R521" s="350"/>
      <c r="S521" s="350"/>
      <c r="T521" s="350"/>
      <c r="U521" s="350"/>
      <c r="V521" s="108"/>
      <c r="W521" s="108"/>
      <c r="X521" s="152"/>
      <c r="Y521" s="152"/>
      <c r="Z521" s="152"/>
      <c r="AA521" s="152"/>
      <c r="AB521" s="152"/>
      <c r="AC521" s="152"/>
      <c r="AD521" s="152"/>
      <c r="AE521" s="152"/>
      <c r="AF521" s="152"/>
      <c r="AG521" s="152"/>
      <c r="AH521" s="152"/>
      <c r="AI521" s="152"/>
    </row>
    <row r="522" spans="1:35" outlineLevel="1">
      <c r="A522" s="152"/>
      <c r="B522" s="3"/>
      <c r="C522" s="3"/>
      <c r="D522" s="3"/>
      <c r="E522" s="104">
        <f>Asset48</f>
        <v>0</v>
      </c>
      <c r="F522" s="177"/>
      <c r="G522" s="354"/>
      <c r="H522" s="1354"/>
      <c r="J522" s="1356"/>
      <c r="K522" s="277"/>
      <c r="L522" s="277"/>
      <c r="M522" s="355">
        <f t="shared" si="69"/>
        <v>0</v>
      </c>
      <c r="P522" s="350"/>
      <c r="Q522" s="350"/>
      <c r="R522" s="350"/>
      <c r="S522" s="350"/>
      <c r="T522" s="350"/>
      <c r="U522" s="350"/>
      <c r="V522" s="108"/>
      <c r="W522" s="108"/>
      <c r="X522" s="152"/>
      <c r="Y522" s="152"/>
      <c r="Z522" s="152"/>
      <c r="AA522" s="152"/>
      <c r="AB522" s="152"/>
      <c r="AC522" s="152"/>
      <c r="AD522" s="152"/>
      <c r="AE522" s="152"/>
      <c r="AF522" s="152"/>
      <c r="AG522" s="152"/>
      <c r="AH522" s="152"/>
      <c r="AI522" s="152"/>
    </row>
    <row r="523" spans="1:35" outlineLevel="1">
      <c r="A523" s="152"/>
      <c r="B523" s="3"/>
      <c r="C523" s="3"/>
      <c r="D523" s="3"/>
      <c r="E523" s="104">
        <f>Asset49</f>
        <v>0</v>
      </c>
      <c r="F523" s="177"/>
      <c r="G523" s="354"/>
      <c r="H523" s="1354"/>
      <c r="J523" s="1356"/>
      <c r="K523" s="277"/>
      <c r="L523" s="277"/>
      <c r="M523" s="355">
        <f t="shared" si="69"/>
        <v>0</v>
      </c>
      <c r="P523" s="350"/>
      <c r="Q523" s="350"/>
      <c r="R523" s="350"/>
      <c r="S523" s="350"/>
      <c r="T523" s="350"/>
      <c r="U523" s="350"/>
      <c r="V523" s="108"/>
      <c r="W523" s="108"/>
      <c r="X523" s="152"/>
      <c r="Y523" s="152"/>
      <c r="Z523" s="152"/>
      <c r="AA523" s="152"/>
      <c r="AB523" s="152"/>
      <c r="AC523" s="152"/>
      <c r="AD523" s="152"/>
      <c r="AE523" s="152"/>
      <c r="AF523" s="152"/>
      <c r="AG523" s="152"/>
      <c r="AH523" s="152"/>
      <c r="AI523" s="152"/>
    </row>
    <row r="524" spans="1:35" outlineLevel="1">
      <c r="A524" s="152"/>
      <c r="B524" s="3"/>
      <c r="C524" s="3"/>
      <c r="D524" s="3"/>
      <c r="E524" s="104">
        <f>Asset50</f>
        <v>0</v>
      </c>
      <c r="F524" s="177"/>
      <c r="G524" s="354"/>
      <c r="H524" s="1354"/>
      <c r="J524" s="1356"/>
      <c r="K524" s="277"/>
      <c r="L524" s="277"/>
      <c r="M524" s="355">
        <f t="shared" si="69"/>
        <v>0</v>
      </c>
      <c r="P524" s="350"/>
      <c r="Q524" s="350"/>
      <c r="R524" s="350"/>
      <c r="S524" s="350"/>
      <c r="T524" s="350"/>
      <c r="U524" s="350"/>
      <c r="V524" s="108"/>
      <c r="W524" s="108"/>
      <c r="X524" s="152"/>
      <c r="Y524" s="152"/>
      <c r="Z524" s="152"/>
      <c r="AA524" s="152"/>
      <c r="AB524" s="152"/>
      <c r="AC524" s="152"/>
      <c r="AD524" s="152"/>
      <c r="AE524" s="152"/>
      <c r="AF524" s="152"/>
      <c r="AG524" s="152"/>
      <c r="AH524" s="152"/>
      <c r="AI524" s="152"/>
    </row>
    <row r="525" spans="1:35">
      <c r="A525" s="152"/>
      <c r="B525" s="3"/>
      <c r="C525" s="3"/>
      <c r="D525" s="3"/>
      <c r="E525" s="104" t="s">
        <v>18</v>
      </c>
      <c r="F525" s="177"/>
      <c r="G525" s="248">
        <f t="shared" ref="G525" si="70">SUM(G475:G524)</f>
        <v>0</v>
      </c>
      <c r="H525" s="248"/>
      <c r="J525" s="248"/>
      <c r="K525" s="248">
        <f t="shared" ref="K525" si="71">SUM(K475:K524)</f>
        <v>0</v>
      </c>
      <c r="L525" s="366">
        <f>SUM(L475:L524)</f>
        <v>0</v>
      </c>
      <c r="M525" s="355"/>
      <c r="O525" s="2"/>
      <c r="P525" s="350"/>
      <c r="Q525" s="350"/>
      <c r="R525" s="350"/>
      <c r="S525" s="350"/>
      <c r="T525" s="350"/>
      <c r="U525" s="350"/>
      <c r="V525" s="108"/>
      <c r="W525" s="108"/>
      <c r="X525" s="152"/>
      <c r="Y525" s="152"/>
      <c r="Z525" s="152"/>
      <c r="AA525" s="152"/>
      <c r="AB525" s="152"/>
      <c r="AC525" s="152"/>
      <c r="AD525" s="152"/>
      <c r="AE525" s="152"/>
      <c r="AF525" s="152"/>
      <c r="AG525" s="152"/>
      <c r="AH525" s="152"/>
      <c r="AI525" s="152"/>
    </row>
    <row r="526" spans="1:35">
      <c r="A526" s="2"/>
      <c r="B526" s="3"/>
      <c r="C526" s="3"/>
      <c r="D526" s="3"/>
      <c r="E526" s="2"/>
      <c r="F526" s="2"/>
      <c r="G526" s="2"/>
      <c r="H526" s="2"/>
      <c r="I526" s="2"/>
      <c r="J526" s="2"/>
      <c r="K526" s="2"/>
      <c r="L526" s="2"/>
      <c r="M526" s="2"/>
      <c r="N526" s="2"/>
      <c r="O526" s="2"/>
      <c r="P526" s="350"/>
      <c r="Q526" s="350"/>
      <c r="R526" s="350"/>
      <c r="S526" s="350"/>
      <c r="T526" s="350"/>
      <c r="U526" s="350"/>
      <c r="V526" s="350"/>
      <c r="W526" s="108"/>
      <c r="X526" s="152"/>
      <c r="Y526" s="152"/>
      <c r="Z526" s="152"/>
      <c r="AA526" s="152"/>
      <c r="AB526" s="152"/>
      <c r="AC526" s="152"/>
      <c r="AD526" s="152"/>
      <c r="AE526" s="152"/>
      <c r="AF526" s="152"/>
      <c r="AG526" s="152"/>
      <c r="AH526" s="152"/>
      <c r="AI526" s="152"/>
    </row>
    <row r="527" spans="1:35">
      <c r="A527" s="2"/>
      <c r="B527" s="2"/>
      <c r="C527" s="2"/>
      <c r="D527" s="2"/>
      <c r="E527" s="2"/>
      <c r="F527" s="2"/>
      <c r="G527" s="2"/>
      <c r="H527" s="2"/>
      <c r="I527" s="2"/>
      <c r="J527" s="2"/>
      <c r="K527" s="2"/>
      <c r="L527" s="2"/>
      <c r="M527" s="2"/>
      <c r="N527" s="2"/>
      <c r="O527" s="2"/>
      <c r="P527" s="2"/>
      <c r="Q527" s="2"/>
      <c r="R527" s="2"/>
      <c r="S527" s="2"/>
      <c r="T527" s="2"/>
      <c r="U527" s="2"/>
      <c r="V527" s="2"/>
      <c r="W527" s="3"/>
      <c r="X527" s="152"/>
      <c r="Y527" s="152"/>
      <c r="Z527" s="152"/>
      <c r="AA527" s="152"/>
      <c r="AB527" s="152"/>
      <c r="AC527" s="152"/>
      <c r="AD527" s="152"/>
      <c r="AE527" s="152"/>
      <c r="AF527" s="152"/>
      <c r="AG527" s="152"/>
      <c r="AH527" s="152"/>
      <c r="AI527" s="152"/>
    </row>
    <row r="528" spans="1:35">
      <c r="A528" s="2"/>
      <c r="B528" s="2"/>
      <c r="C528" s="2"/>
      <c r="D528" s="2"/>
      <c r="E528" s="2"/>
      <c r="F528" s="2"/>
      <c r="G528" s="2"/>
      <c r="H528" s="2"/>
      <c r="I528" s="2"/>
      <c r="J528" s="2"/>
      <c r="K528" s="2"/>
      <c r="L528" s="2"/>
      <c r="M528" s="2"/>
      <c r="N528" s="2"/>
      <c r="O528" s="2"/>
      <c r="P528" s="2"/>
      <c r="Q528" s="2"/>
      <c r="R528" s="2"/>
      <c r="S528" s="2"/>
      <c r="T528" s="2"/>
      <c r="U528" s="2"/>
      <c r="V528" s="2"/>
      <c r="W528" s="3"/>
      <c r="X528" s="152"/>
      <c r="Y528" s="152"/>
      <c r="Z528" s="152"/>
      <c r="AA528" s="152"/>
      <c r="AB528" s="152"/>
      <c r="AC528" s="152"/>
      <c r="AD528" s="152"/>
      <c r="AE528" s="152"/>
      <c r="AF528" s="152"/>
      <c r="AG528" s="152"/>
      <c r="AH528" s="152"/>
      <c r="AI528" s="152"/>
    </row>
    <row r="529" spans="1:35">
      <c r="A529" s="2"/>
      <c r="B529" s="2"/>
      <c r="C529" s="2"/>
      <c r="D529" s="2"/>
      <c r="E529" s="2"/>
      <c r="F529" s="2"/>
      <c r="G529" s="2"/>
      <c r="H529" s="2"/>
      <c r="I529" s="2"/>
      <c r="J529" s="2"/>
      <c r="K529" s="2"/>
      <c r="L529" s="2"/>
      <c r="M529" s="2"/>
      <c r="N529" s="2"/>
      <c r="O529" s="2"/>
      <c r="P529" s="2"/>
      <c r="Q529" s="2"/>
      <c r="R529" s="2"/>
      <c r="S529" s="2"/>
      <c r="T529" s="2"/>
      <c r="U529" s="2"/>
      <c r="V529" s="2"/>
      <c r="W529" s="3"/>
      <c r="X529" s="152"/>
      <c r="Y529" s="152"/>
      <c r="Z529" s="152"/>
      <c r="AA529" s="152"/>
      <c r="AB529" s="152"/>
      <c r="AC529" s="152"/>
      <c r="AD529" s="152"/>
      <c r="AE529" s="152"/>
      <c r="AF529" s="152"/>
      <c r="AG529" s="152"/>
      <c r="AH529" s="152"/>
      <c r="AI529" s="152"/>
    </row>
    <row r="530" spans="1:35">
      <c r="A530" s="2"/>
      <c r="B530" s="2"/>
      <c r="C530" s="2"/>
      <c r="D530" s="2"/>
      <c r="E530" s="2"/>
      <c r="F530" s="2"/>
      <c r="G530" s="2"/>
      <c r="H530" s="2"/>
      <c r="I530" s="2"/>
      <c r="J530" s="2"/>
      <c r="K530" s="2"/>
      <c r="L530" s="2"/>
      <c r="M530" s="2"/>
      <c r="N530" s="2"/>
      <c r="O530" s="2"/>
      <c r="P530" s="2"/>
      <c r="Q530" s="2"/>
      <c r="R530" s="2"/>
      <c r="S530" s="2"/>
      <c r="T530" s="2"/>
      <c r="U530" s="2"/>
      <c r="V530" s="2"/>
      <c r="W530" s="3"/>
      <c r="X530" s="152"/>
      <c r="Y530" s="152"/>
      <c r="Z530" s="152"/>
      <c r="AA530" s="152"/>
      <c r="AB530" s="152"/>
      <c r="AC530" s="152"/>
      <c r="AD530" s="152"/>
      <c r="AE530" s="152"/>
      <c r="AF530" s="152"/>
      <c r="AG530" s="152"/>
      <c r="AH530" s="152"/>
      <c r="AI530" s="152"/>
    </row>
    <row r="531" spans="1:35">
      <c r="A531" s="2"/>
      <c r="B531" s="2"/>
      <c r="C531" s="2"/>
      <c r="D531" s="2"/>
      <c r="E531" s="2"/>
      <c r="F531" s="2"/>
      <c r="G531" s="2"/>
      <c r="H531" s="2"/>
      <c r="I531" s="2"/>
      <c r="J531" s="2"/>
      <c r="K531" s="2"/>
      <c r="L531" s="2"/>
      <c r="M531" s="2"/>
      <c r="N531" s="2"/>
      <c r="O531" s="2"/>
      <c r="P531" s="2"/>
      <c r="Q531" s="2"/>
      <c r="R531" s="2"/>
      <c r="S531" s="2"/>
      <c r="T531" s="2"/>
      <c r="U531" s="2"/>
      <c r="V531" s="2"/>
      <c r="W531" s="3"/>
      <c r="X531" s="152"/>
      <c r="Y531" s="152"/>
      <c r="Z531" s="152"/>
      <c r="AA531" s="152"/>
      <c r="AB531" s="152"/>
      <c r="AC531" s="152"/>
      <c r="AD531" s="152"/>
      <c r="AE531" s="152"/>
      <c r="AF531" s="152"/>
      <c r="AG531" s="152"/>
      <c r="AH531" s="152"/>
      <c r="AI531" s="152"/>
    </row>
    <row r="532" spans="1:35">
      <c r="X532" s="152"/>
      <c r="Y532" s="152"/>
      <c r="Z532" s="152"/>
      <c r="AA532" s="152"/>
      <c r="AB532" s="152"/>
      <c r="AC532" s="152"/>
      <c r="AD532" s="152"/>
      <c r="AE532" s="152"/>
      <c r="AF532" s="152"/>
      <c r="AG532" s="152"/>
      <c r="AH532" s="152"/>
      <c r="AI532" s="152"/>
    </row>
  </sheetData>
  <dataConsolidate/>
  <mergeCells count="65">
    <mergeCell ref="E410:G410"/>
    <mergeCell ref="G2:H2"/>
    <mergeCell ref="E2:F2"/>
    <mergeCell ref="E221:G221"/>
    <mergeCell ref="F6:H6"/>
    <mergeCell ref="E5:I5"/>
    <mergeCell ref="F53:H53"/>
    <mergeCell ref="F54:H54"/>
    <mergeCell ref="F55:H55"/>
    <mergeCell ref="F56:H56"/>
    <mergeCell ref="F7:H7"/>
    <mergeCell ref="F8:H8"/>
    <mergeCell ref="F9:H9"/>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E59:G59"/>
    <mergeCell ref="F41:H41"/>
    <mergeCell ref="F42:H42"/>
    <mergeCell ref="F43:H43"/>
    <mergeCell ref="F44:H44"/>
    <mergeCell ref="F45:H45"/>
    <mergeCell ref="E356:G356"/>
    <mergeCell ref="F46:H46"/>
    <mergeCell ref="F47:H47"/>
    <mergeCell ref="F48:H48"/>
    <mergeCell ref="E351:G351"/>
    <mergeCell ref="F49:H49"/>
    <mergeCell ref="F50:H50"/>
    <mergeCell ref="F51:H51"/>
    <mergeCell ref="F52:H52"/>
    <mergeCell ref="E291:G291"/>
    <mergeCell ref="E280:G280"/>
    <mergeCell ref="E275:G275"/>
    <mergeCell ref="E167:G167"/>
    <mergeCell ref="E113:G113"/>
    <mergeCell ref="E297:G297"/>
  </mergeCells>
  <phoneticPr fontId="0" type="noConversion"/>
  <dataValidations count="7">
    <dataValidation type="custom" showInputMessage="1" showErrorMessage="1" error="Invalid input, please try again." sqref="T7:T56 S10:S56 J7:K56" xr:uid="{00000000-0002-0000-0600-000000000000}">
      <formula1>AND(J7&lt;&gt;"",OR(J7="n/a",AND(J7&gt;0,J7&lt;=100)))</formula1>
    </dataValidation>
    <dataValidation type="list" allowBlank="1" showInputMessage="1" showErrorMessage="1" sqref="E277" xr:uid="{00000000-0002-0000-0600-000001000000}">
      <formula1>$G$276:$G$277</formula1>
    </dataValidation>
    <dataValidation type="list" allowBlank="1" showInputMessage="1" showErrorMessage="1" sqref="E353" xr:uid="{00000000-0002-0000-0600-000002000000}">
      <formula1>$G$352:$G$353</formula1>
    </dataValidation>
    <dataValidation type="list" allowBlank="1" showInputMessage="1" showErrorMessage="1" sqref="E293" xr:uid="{00000000-0002-0000-0600-000003000000}">
      <formula1>$G$292:$G$294</formula1>
    </dataValidation>
    <dataValidation type="list" allowBlank="1" showInputMessage="1" showErrorMessage="1" sqref="F467" xr:uid="{00000000-0002-0000-0600-000004000000}">
      <formula1>$G$467:$H$467</formula1>
    </dataValidation>
    <dataValidation type="list" allowBlank="1" showInputMessage="1" showErrorMessage="1" sqref="F468" xr:uid="{00000000-0002-0000-0600-000005000000}">
      <formula1>$G$468:$H$468</formula1>
    </dataValidation>
    <dataValidation type="list" allowBlank="1" showInputMessage="1" showErrorMessage="1" sqref="F469" xr:uid="{00000000-0002-0000-0600-000006000000}">
      <formula1>$G$469:$H$469</formula1>
    </dataValidation>
  </dataValidations>
  <printOptions headings="1"/>
  <pageMargins left="0.74803149606299213" right="0.74803149606299213" top="0.98425196850393704" bottom="0.98425196850393704" header="0.51181102362204722" footer="0.51181102362204722"/>
  <pageSetup paperSize="9" scale="36" fitToHeight="0" orientation="landscape" horizontalDpi="4294967292" r:id="rId1"/>
  <headerFooter alignWithMargins="0">
    <oddHeader>&amp;C&amp;A</oddHeader>
    <oddFooter>&amp;LAppendix A - Transmission roll forward model - version 3&amp;R&amp;P</oddFooter>
  </headerFooter>
  <rowBreaks count="2" manualBreakCount="2">
    <brk id="112" max="26" man="1"/>
    <brk id="296" max="26"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BK533"/>
  <sheetViews>
    <sheetView showGridLines="0" zoomScale="90" zoomScaleNormal="90" workbookViewId="0">
      <selection activeCell="L169" sqref="L169"/>
    </sheetView>
  </sheetViews>
  <sheetFormatPr defaultRowHeight="12.75" outlineLevelRow="1"/>
  <cols>
    <col min="1" max="1" width="3.7109375" customWidth="1"/>
    <col min="2" max="2" width="44.42578125" customWidth="1"/>
    <col min="3" max="3" width="12.42578125" customWidth="1"/>
    <col min="5" max="5" width="7.42578125" customWidth="1"/>
    <col min="6" max="6" width="13" customWidth="1"/>
    <col min="7" max="8" width="10.42578125" customWidth="1"/>
    <col min="9" max="10" width="10" customWidth="1"/>
    <col min="11" max="13" width="10" bestFit="1" customWidth="1"/>
    <col min="14" max="61" width="9.5703125" bestFit="1" customWidth="1"/>
  </cols>
  <sheetData>
    <row r="1" spans="1:27">
      <c r="A1" s="3"/>
      <c r="B1" s="3"/>
      <c r="C1" s="3"/>
      <c r="D1" s="3"/>
      <c r="E1" s="3"/>
      <c r="F1" s="34"/>
      <c r="G1" s="34"/>
      <c r="H1" s="34"/>
      <c r="I1" s="34"/>
      <c r="J1" s="34"/>
      <c r="K1" s="34"/>
      <c r="L1" s="34"/>
      <c r="M1" s="34"/>
      <c r="N1" s="34"/>
      <c r="O1" s="34"/>
      <c r="P1" s="34"/>
      <c r="Q1" s="34"/>
      <c r="R1" s="34"/>
      <c r="S1" s="34"/>
      <c r="T1" s="34"/>
      <c r="U1" s="34"/>
      <c r="V1" s="34"/>
      <c r="W1" s="34"/>
      <c r="X1" s="34"/>
      <c r="Y1" s="34"/>
      <c r="Z1" s="34"/>
      <c r="AA1" s="152"/>
    </row>
    <row r="2" spans="1:27" ht="15.75">
      <c r="A2" s="3"/>
      <c r="B2" s="176" t="str">
        <f>'DMS input'!$C$16&amp;" - Adjustment For Previous Period"&amp;" - DNSP RFM - version "&amp;Intro!$M$4</f>
        <v>Aus Gas Qld - Adjustment For Previous Period - DNSP RFM - version 3</v>
      </c>
      <c r="C2" s="176"/>
      <c r="D2" s="3"/>
      <c r="E2" s="3"/>
      <c r="F2" s="3"/>
      <c r="G2" s="3"/>
      <c r="H2" s="3"/>
      <c r="I2" s="3"/>
      <c r="J2" s="3"/>
      <c r="K2" s="3"/>
      <c r="L2" s="3"/>
      <c r="M2" s="3"/>
      <c r="N2" s="3"/>
      <c r="O2" s="3"/>
      <c r="P2" s="3"/>
      <c r="Q2" s="3"/>
      <c r="R2" s="4"/>
      <c r="S2" s="4"/>
      <c r="T2" s="4"/>
      <c r="U2" s="4"/>
      <c r="V2" s="4"/>
      <c r="W2" s="4"/>
      <c r="X2" s="4"/>
      <c r="Y2" s="4"/>
      <c r="Z2" s="4"/>
      <c r="AA2" s="152"/>
    </row>
    <row r="3" spans="1:27">
      <c r="A3" s="39"/>
      <c r="B3" s="40"/>
      <c r="C3" s="39"/>
      <c r="D3" s="39"/>
      <c r="E3" s="39"/>
      <c r="F3" s="34"/>
      <c r="G3" s="41"/>
      <c r="H3" s="41"/>
      <c r="I3" s="41"/>
      <c r="J3" s="41"/>
      <c r="K3" s="41"/>
      <c r="L3" s="41"/>
      <c r="M3" s="41"/>
      <c r="N3" s="41"/>
      <c r="O3" s="41"/>
      <c r="P3" s="41"/>
      <c r="Q3" s="41"/>
      <c r="R3" s="41"/>
      <c r="S3" s="34"/>
      <c r="T3" s="34"/>
      <c r="U3" s="34"/>
      <c r="V3" s="34"/>
      <c r="W3" s="34"/>
      <c r="X3" s="34"/>
      <c r="Y3" s="34"/>
      <c r="Z3" s="34"/>
      <c r="AA3" s="152"/>
    </row>
    <row r="4" spans="1:27" ht="15.75">
      <c r="A4" s="56"/>
      <c r="B4" s="57" t="s">
        <v>2</v>
      </c>
      <c r="C4" s="56"/>
      <c r="D4" s="56"/>
      <c r="E4" s="56"/>
      <c r="F4" s="264" t="str">
        <f>'RFM input'!F281</f>
        <v>2014-15</v>
      </c>
      <c r="G4" s="264" t="str">
        <f>'RFM input'!G60</f>
        <v>2015-16</v>
      </c>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c r="S4" s="34"/>
      <c r="T4" s="8"/>
      <c r="U4" s="8"/>
      <c r="V4" s="8"/>
      <c r="W4" s="8"/>
      <c r="X4" s="8"/>
      <c r="Y4" s="8"/>
      <c r="Z4" s="8"/>
      <c r="AA4" s="152"/>
    </row>
    <row r="5" spans="1:27">
      <c r="A5" s="7"/>
      <c r="B5" s="196"/>
      <c r="C5" s="196"/>
      <c r="D5" s="196"/>
      <c r="E5" s="196"/>
      <c r="F5" s="196"/>
      <c r="G5" s="196"/>
      <c r="H5" s="7"/>
      <c r="I5" s="7"/>
      <c r="J5" s="7"/>
      <c r="K5" s="7"/>
      <c r="L5" s="7"/>
      <c r="M5" s="7"/>
      <c r="N5" s="7"/>
      <c r="O5" s="7"/>
      <c r="P5" s="7"/>
      <c r="Q5" s="7"/>
      <c r="R5" s="7"/>
      <c r="S5" s="4"/>
      <c r="T5" s="7"/>
      <c r="U5" s="7"/>
      <c r="V5" s="7"/>
      <c r="W5" s="7"/>
      <c r="X5" s="7"/>
      <c r="Y5" s="7"/>
      <c r="Z5" s="7"/>
      <c r="AA5" s="152"/>
    </row>
    <row r="6" spans="1:27" ht="12" customHeight="1">
      <c r="A6" s="3"/>
      <c r="B6" s="152" t="s">
        <v>26</v>
      </c>
      <c r="C6" s="152"/>
      <c r="D6" s="221"/>
      <c r="E6" s="152"/>
      <c r="F6" s="221">
        <f>'RFM input'!F$282</f>
        <v>1.3282732447817747E-2</v>
      </c>
      <c r="G6" s="400">
        <f>'RFM input'!G$282</f>
        <v>1.3108614232209881E-2</v>
      </c>
      <c r="H6" s="221">
        <f>'RFM input'!H$282</f>
        <v>1.4760147601476037E-2</v>
      </c>
      <c r="I6" s="224">
        <f>'RFM input'!I$282</f>
        <v>1.9090909090909047E-2</v>
      </c>
      <c r="J6" s="221">
        <f>'RFM input'!J$282</f>
        <v>1.7841213202497874E-2</v>
      </c>
      <c r="K6" s="221">
        <f>'RFM input'!K$282</f>
        <v>1.8404907975460238E-2</v>
      </c>
      <c r="L6" s="221">
        <f>'RFM input'!L$282</f>
        <v>8.6E-3</v>
      </c>
      <c r="M6" s="221">
        <f>'RFM input'!M$282</f>
        <v>3.4982935153583528E-2</v>
      </c>
      <c r="N6" s="221">
        <f>'RFM input'!N$282</f>
        <v>7.8318219291014124E-2</v>
      </c>
      <c r="O6" s="221">
        <f>'RFM input'!O$282</f>
        <v>0</v>
      </c>
      <c r="P6" s="221">
        <f>'RFM input'!P$282</f>
        <v>0</v>
      </c>
      <c r="Q6" s="221">
        <f>'RFM input'!Q$282</f>
        <v>0</v>
      </c>
      <c r="R6" s="26"/>
      <c r="S6" s="34"/>
      <c r="T6" s="26"/>
      <c r="U6" s="26"/>
      <c r="V6" s="26"/>
      <c r="W6" s="26"/>
      <c r="X6" s="26"/>
      <c r="Y6" s="26"/>
      <c r="Z6" s="26"/>
      <c r="AA6" s="152"/>
    </row>
    <row r="7" spans="1:27" ht="12" customHeight="1">
      <c r="A7" s="3"/>
      <c r="B7" s="193" t="s">
        <v>38</v>
      </c>
      <c r="C7" s="152"/>
      <c r="D7" s="221"/>
      <c r="E7" s="152"/>
      <c r="F7" s="225">
        <f>'RFM input'!F$283</f>
        <v>0.98689138576779034</v>
      </c>
      <c r="G7" s="401">
        <f>'RFM input'!G$283</f>
        <v>1</v>
      </c>
      <c r="H7" s="225">
        <f>'RFM input'!H$283</f>
        <v>1.0131086142322099</v>
      </c>
      <c r="I7" s="225">
        <f>'RFM input'!I$283</f>
        <v>1.0280622469146041</v>
      </c>
      <c r="J7" s="225">
        <f>'RFM input'!J$283</f>
        <v>1.0476888898102465</v>
      </c>
      <c r="K7" s="225">
        <f>'RFM input'!K$283</f>
        <v>1.0663809306632395</v>
      </c>
      <c r="L7" s="225">
        <f>'RFM input'!L$283</f>
        <v>1.0860075735588821</v>
      </c>
      <c r="M7" s="225">
        <f>'RFM input'!M$283</f>
        <v>1.0953472386914884</v>
      </c>
      <c r="N7" s="225">
        <f>'RFM input'!N$283</f>
        <v>1.1336657001132895</v>
      </c>
      <c r="O7" s="225">
        <f>'RFM input'!O$283</f>
        <v>1.2224523790174631</v>
      </c>
      <c r="P7" s="225">
        <f>'RFM input'!P$283</f>
        <v>1.2224523790174631</v>
      </c>
      <c r="Q7" s="225">
        <f>'RFM input'!Q$283</f>
        <v>1.2224523790174631</v>
      </c>
      <c r="R7" s="26"/>
      <c r="S7" s="34"/>
      <c r="T7" s="26"/>
      <c r="U7" s="26"/>
      <c r="V7" s="26"/>
      <c r="W7" s="26"/>
      <c r="X7" s="26"/>
      <c r="Y7" s="26"/>
      <c r="Z7" s="26"/>
      <c r="AA7" s="152"/>
    </row>
    <row r="8" spans="1:27">
      <c r="A8" s="3"/>
      <c r="B8" s="67" t="s">
        <v>42</v>
      </c>
      <c r="C8" s="3"/>
      <c r="D8" s="3"/>
      <c r="E8" s="3"/>
      <c r="F8" s="226">
        <f>'RFM input'!F289</f>
        <v>8.9661820910242218E-2</v>
      </c>
      <c r="G8" s="1456">
        <f>'RFM input'!G289</f>
        <v>8.9474578035378949E-2</v>
      </c>
      <c r="H8" s="226">
        <f>vanilla1</f>
        <v>5.1964535226901143E-2</v>
      </c>
      <c r="I8" s="227">
        <f>vanilla2</f>
        <v>5.6213644660474182E-2</v>
      </c>
      <c r="J8" s="227">
        <f>vanilla3</f>
        <v>5.4349388582837888E-2</v>
      </c>
      <c r="K8" s="227">
        <f>vanilla4</f>
        <v>5.4232330214774693E-2</v>
      </c>
      <c r="L8" s="227">
        <f>vanilla5</f>
        <v>4.6435292988958654E-2</v>
      </c>
      <c r="M8" s="227">
        <f>vanilla6</f>
        <v>6.5017734056079801E-2</v>
      </c>
      <c r="N8" s="227">
        <f>vanilla7</f>
        <v>0.10855341642015426</v>
      </c>
      <c r="O8" s="227">
        <f>vanilla8</f>
        <v>2.7156862745097987E-2</v>
      </c>
      <c r="P8" s="227">
        <f>vanilla9</f>
        <v>2.6372549019607838E-2</v>
      </c>
      <c r="Q8" s="227">
        <f>vanilla10</f>
        <v>2.5686274509803875E-2</v>
      </c>
      <c r="R8" s="66"/>
      <c r="S8" s="34"/>
      <c r="T8" s="90"/>
      <c r="U8" s="90"/>
      <c r="V8" s="90"/>
      <c r="W8" s="90"/>
      <c r="X8" s="90"/>
      <c r="Y8" s="90"/>
      <c r="Z8" s="90"/>
      <c r="AA8" s="152"/>
    </row>
    <row r="9" spans="1:27">
      <c r="A9" s="3"/>
      <c r="B9" s="3"/>
      <c r="C9" s="3"/>
      <c r="D9" s="3"/>
      <c r="E9" s="3"/>
      <c r="F9" s="3"/>
      <c r="G9" s="3"/>
      <c r="H9" s="3"/>
      <c r="I9" s="3"/>
      <c r="J9" s="3"/>
      <c r="K9" s="3"/>
      <c r="L9" s="3"/>
      <c r="M9" s="3"/>
      <c r="N9" s="3"/>
      <c r="O9" s="3"/>
      <c r="P9" s="3"/>
      <c r="Q9" s="3"/>
      <c r="R9" s="3"/>
      <c r="S9" s="34"/>
      <c r="T9" s="90"/>
      <c r="U9" s="90"/>
      <c r="V9" s="90"/>
      <c r="W9" s="90"/>
      <c r="X9" s="90"/>
      <c r="Y9" s="90"/>
      <c r="Z9" s="90"/>
      <c r="AA9" s="152"/>
    </row>
    <row r="10" spans="1:27">
      <c r="A10" s="3"/>
      <c r="B10" s="67"/>
      <c r="C10" s="3"/>
      <c r="D10" s="3"/>
      <c r="E10" s="3"/>
      <c r="F10" s="3"/>
      <c r="G10" s="93"/>
      <c r="H10" s="93"/>
      <c r="I10" s="93"/>
      <c r="J10" s="93"/>
      <c r="K10" s="93"/>
      <c r="L10" s="93"/>
      <c r="M10" s="89"/>
      <c r="N10" s="89"/>
      <c r="O10" s="89"/>
      <c r="P10" s="89"/>
      <c r="Q10" s="89"/>
      <c r="R10" s="90"/>
      <c r="S10" s="4"/>
      <c r="T10" s="90"/>
      <c r="U10" s="90"/>
      <c r="V10" s="90"/>
      <c r="W10" s="90"/>
      <c r="X10" s="90"/>
      <c r="Y10" s="90"/>
      <c r="Z10" s="90"/>
      <c r="AA10" s="152"/>
    </row>
    <row r="11" spans="1:27">
      <c r="A11" s="55"/>
      <c r="B11" s="402" t="s">
        <v>591</v>
      </c>
      <c r="C11" s="403"/>
      <c r="D11" s="403"/>
      <c r="E11" s="403"/>
      <c r="F11" s="403"/>
      <c r="G11" s="403"/>
      <c r="H11" s="48"/>
      <c r="I11" s="48"/>
      <c r="J11" s="48"/>
      <c r="K11" s="48"/>
      <c r="L11" s="48"/>
      <c r="M11" s="48"/>
      <c r="N11" s="48"/>
      <c r="O11" s="48"/>
      <c r="P11" s="48"/>
      <c r="Q11" s="48"/>
      <c r="R11" s="48"/>
      <c r="S11" s="228"/>
      <c r="T11" s="90"/>
      <c r="U11" s="90"/>
      <c r="V11" s="90"/>
      <c r="W11" s="90"/>
      <c r="X11" s="90"/>
      <c r="Y11" s="90"/>
      <c r="Z11" s="90"/>
      <c r="AA11" s="152"/>
    </row>
    <row r="12" spans="1:27">
      <c r="A12" s="8"/>
      <c r="B12" s="8"/>
      <c r="C12" s="84"/>
      <c r="D12" s="84"/>
      <c r="E12" s="84"/>
      <c r="F12" s="84"/>
      <c r="G12" s="84"/>
      <c r="H12" s="4"/>
      <c r="I12" s="4"/>
      <c r="J12" s="4"/>
      <c r="K12" s="4"/>
      <c r="L12" s="4"/>
      <c r="M12" s="4"/>
      <c r="N12" s="4"/>
      <c r="O12" s="4"/>
      <c r="P12" s="4"/>
      <c r="Q12" s="4"/>
      <c r="R12" s="90"/>
      <c r="S12" s="34"/>
      <c r="T12" s="90"/>
      <c r="U12" s="90"/>
      <c r="V12" s="90"/>
      <c r="W12" s="90"/>
      <c r="X12" s="90"/>
      <c r="Y12" s="90"/>
      <c r="Z12" s="90"/>
      <c r="AA12" s="152"/>
    </row>
    <row r="13" spans="1:27">
      <c r="A13" s="3"/>
      <c r="B13" s="29" t="s">
        <v>40</v>
      </c>
      <c r="C13" s="3"/>
      <c r="D13" s="3"/>
      <c r="E13" s="3"/>
      <c r="F13" s="3"/>
      <c r="G13" s="1357">
        <f>SUM(G14:G63)</f>
        <v>0</v>
      </c>
      <c r="H13" s="1358"/>
      <c r="I13" s="1358"/>
      <c r="J13" s="1358"/>
      <c r="K13" s="1358"/>
      <c r="L13" s="1358"/>
      <c r="M13" s="1340"/>
      <c r="N13" s="1340"/>
      <c r="O13" s="1340"/>
      <c r="P13" s="1340"/>
      <c r="Q13" s="1340"/>
      <c r="R13" s="90"/>
      <c r="S13" s="4"/>
      <c r="T13" s="90"/>
      <c r="U13" s="90"/>
      <c r="V13" s="90"/>
      <c r="W13" s="90"/>
      <c r="X13" s="90"/>
      <c r="Y13" s="90"/>
      <c r="Z13" s="90"/>
      <c r="AA13" s="152"/>
    </row>
    <row r="14" spans="1:27" ht="12.75" hidden="1" customHeight="1" outlineLevel="1">
      <c r="A14" s="3"/>
      <c r="B14" s="3"/>
      <c r="C14" s="133" t="str">
        <f>Asset1</f>
        <v>Mains</v>
      </c>
      <c r="D14" s="3"/>
      <c r="E14" s="3"/>
      <c r="F14" s="3"/>
      <c r="G14" s="1359">
        <f>'RFM input'!L7</f>
        <v>0</v>
      </c>
      <c r="H14" s="1358"/>
      <c r="I14" s="1358"/>
      <c r="J14" s="1358"/>
      <c r="K14" s="1358"/>
      <c r="L14" s="1358"/>
      <c r="M14" s="1340"/>
      <c r="N14" s="1340"/>
      <c r="O14" s="1340"/>
      <c r="P14" s="1340"/>
      <c r="Q14" s="1340"/>
      <c r="R14" s="90"/>
      <c r="S14" s="34"/>
      <c r="T14" s="90"/>
      <c r="U14" s="90"/>
      <c r="V14" s="90"/>
      <c r="W14" s="90"/>
      <c r="X14" s="90"/>
      <c r="Y14" s="90"/>
      <c r="Z14" s="90"/>
      <c r="AA14" s="152"/>
    </row>
    <row r="15" spans="1:27" ht="12.75" hidden="1" customHeight="1" outlineLevel="1">
      <c r="A15" s="3"/>
      <c r="B15" s="29"/>
      <c r="C15" s="133" t="str">
        <f>Asset2</f>
        <v>Inlets</v>
      </c>
      <c r="D15" s="3"/>
      <c r="E15" s="3"/>
      <c r="F15" s="91"/>
      <c r="G15" s="1359">
        <f>'RFM input'!L8</f>
        <v>0</v>
      </c>
      <c r="H15" s="1358"/>
      <c r="I15" s="1358"/>
      <c r="J15" s="1358"/>
      <c r="K15" s="1358"/>
      <c r="L15" s="1358"/>
      <c r="M15" s="1340"/>
      <c r="N15" s="1340"/>
      <c r="O15" s="1340"/>
      <c r="P15" s="1340"/>
      <c r="Q15" s="1340"/>
      <c r="R15" s="90"/>
      <c r="S15" s="34"/>
      <c r="T15" s="90"/>
      <c r="U15" s="90"/>
      <c r="V15" s="90"/>
      <c r="W15" s="90"/>
      <c r="X15" s="90"/>
      <c r="Y15" s="90"/>
      <c r="Z15" s="90"/>
      <c r="AA15" s="152"/>
    </row>
    <row r="16" spans="1:27" ht="12.75" hidden="1" customHeight="1" outlineLevel="1">
      <c r="A16" s="3"/>
      <c r="B16" s="29"/>
      <c r="C16" s="133" t="str">
        <f>Asset3</f>
        <v>Meters</v>
      </c>
      <c r="D16" s="3"/>
      <c r="E16" s="3"/>
      <c r="F16" s="91"/>
      <c r="G16" s="1359">
        <f>'RFM input'!L9</f>
        <v>0</v>
      </c>
      <c r="H16" s="1358"/>
      <c r="I16" s="1358"/>
      <c r="J16" s="1358"/>
      <c r="K16" s="1358"/>
      <c r="L16" s="1358"/>
      <c r="M16" s="1340"/>
      <c r="N16" s="1340"/>
      <c r="O16" s="1340"/>
      <c r="P16" s="1340"/>
      <c r="Q16" s="1340"/>
      <c r="R16" s="90"/>
      <c r="S16" s="4"/>
      <c r="T16" s="90"/>
      <c r="U16" s="90"/>
      <c r="V16" s="90"/>
      <c r="W16" s="90"/>
      <c r="X16" s="90"/>
      <c r="Y16" s="90"/>
      <c r="Z16" s="90"/>
      <c r="AA16" s="152"/>
    </row>
    <row r="17" spans="1:27" ht="12.75" hidden="1" customHeight="1" outlineLevel="1">
      <c r="A17" s="3"/>
      <c r="B17" s="29"/>
      <c r="C17" s="133" t="str">
        <f>Asset4</f>
        <v>Telemetry</v>
      </c>
      <c r="D17" s="3"/>
      <c r="E17" s="3"/>
      <c r="F17" s="91"/>
      <c r="G17" s="1359">
        <f>'RFM input'!L10</f>
        <v>0</v>
      </c>
      <c r="H17" s="1358"/>
      <c r="I17" s="1358"/>
      <c r="J17" s="1358"/>
      <c r="K17" s="1358"/>
      <c r="L17" s="1358"/>
      <c r="M17" s="1340"/>
      <c r="N17" s="1340"/>
      <c r="O17" s="1340"/>
      <c r="P17" s="1340"/>
      <c r="Q17" s="1340"/>
      <c r="R17" s="90"/>
      <c r="S17" s="34"/>
      <c r="T17" s="90"/>
      <c r="U17" s="90"/>
      <c r="V17" s="90"/>
      <c r="W17" s="90"/>
      <c r="X17" s="90"/>
      <c r="Y17" s="90"/>
      <c r="Z17" s="90"/>
      <c r="AA17" s="152"/>
    </row>
    <row r="18" spans="1:27" ht="12.75" hidden="1" customHeight="1" outlineLevel="1">
      <c r="A18" s="3"/>
      <c r="B18" s="29"/>
      <c r="C18" s="133" t="str">
        <f>Asset5</f>
        <v>IT System</v>
      </c>
      <c r="D18" s="3"/>
      <c r="E18" s="3"/>
      <c r="F18" s="103"/>
      <c r="G18" s="1359">
        <f>'RFM input'!L11</f>
        <v>0</v>
      </c>
      <c r="H18" s="1358"/>
      <c r="I18" s="1358"/>
      <c r="J18" s="1358"/>
      <c r="K18" s="1358"/>
      <c r="L18" s="1358"/>
      <c r="M18" s="1340"/>
      <c r="N18" s="1340"/>
      <c r="O18" s="1340"/>
      <c r="P18" s="1340"/>
      <c r="Q18" s="1340"/>
      <c r="R18" s="90"/>
      <c r="S18" s="34"/>
      <c r="T18" s="90"/>
      <c r="U18" s="90"/>
      <c r="V18" s="90"/>
      <c r="W18" s="90"/>
      <c r="X18" s="90"/>
      <c r="Y18" s="90"/>
      <c r="Z18" s="90"/>
      <c r="AA18" s="152"/>
    </row>
    <row r="19" spans="1:27" ht="12.75" hidden="1" customHeight="1" outlineLevel="1">
      <c r="A19" s="3"/>
      <c r="B19" s="29"/>
      <c r="C19" s="133" t="str">
        <f>Asset6</f>
        <v>Other Distribution System Equipment</v>
      </c>
      <c r="D19" s="3"/>
      <c r="E19" s="3"/>
      <c r="F19" s="91"/>
      <c r="G19" s="1359">
        <f>'RFM input'!L12</f>
        <v>0</v>
      </c>
      <c r="H19" s="1358"/>
      <c r="I19" s="1358"/>
      <c r="J19" s="1358"/>
      <c r="K19" s="1358"/>
      <c r="L19" s="1358"/>
      <c r="M19" s="1340"/>
      <c r="N19" s="1340"/>
      <c r="O19" s="1340"/>
      <c r="P19" s="1340"/>
      <c r="Q19" s="1340"/>
      <c r="R19" s="90"/>
      <c r="S19" s="4"/>
      <c r="T19" s="90"/>
      <c r="U19" s="90"/>
      <c r="V19" s="90"/>
      <c r="W19" s="90"/>
      <c r="X19" s="90"/>
      <c r="Y19" s="90"/>
      <c r="Z19" s="90"/>
      <c r="AA19" s="152"/>
    </row>
    <row r="20" spans="1:27" ht="12.75" hidden="1" customHeight="1" outlineLevel="1">
      <c r="A20" s="3"/>
      <c r="B20" s="29"/>
      <c r="C20" s="133" t="str">
        <f>Asset7</f>
        <v>Other</v>
      </c>
      <c r="D20" s="3"/>
      <c r="E20" s="3"/>
      <c r="F20" s="91"/>
      <c r="G20" s="1359">
        <f>'RFM input'!L13</f>
        <v>0</v>
      </c>
      <c r="H20" s="1358"/>
      <c r="I20" s="1358"/>
      <c r="J20" s="1358"/>
      <c r="K20" s="1358"/>
      <c r="L20" s="1358"/>
      <c r="M20" s="1340"/>
      <c r="N20" s="1340"/>
      <c r="O20" s="1340"/>
      <c r="P20" s="1340"/>
      <c r="Q20" s="1340"/>
      <c r="R20" s="90"/>
      <c r="S20" s="34"/>
      <c r="T20" s="90"/>
      <c r="U20" s="90"/>
      <c r="V20" s="90"/>
      <c r="W20" s="90"/>
      <c r="X20" s="90"/>
      <c r="Y20" s="90"/>
      <c r="Z20" s="90"/>
      <c r="AA20" s="152"/>
    </row>
    <row r="21" spans="1:27" ht="12.75" hidden="1" customHeight="1" outlineLevel="1">
      <c r="A21" s="3"/>
      <c r="B21" s="29"/>
      <c r="C21" s="133">
        <f>Asset8</f>
        <v>0</v>
      </c>
      <c r="D21" s="3"/>
      <c r="E21" s="3"/>
      <c r="F21" s="91"/>
      <c r="G21" s="1359">
        <f>'RFM input'!L14</f>
        <v>0</v>
      </c>
      <c r="H21" s="1358"/>
      <c r="I21" s="1358"/>
      <c r="J21" s="1358"/>
      <c r="K21" s="1358"/>
      <c r="L21" s="1358"/>
      <c r="M21" s="1340"/>
      <c r="N21" s="1340"/>
      <c r="O21" s="1340"/>
      <c r="P21" s="1340"/>
      <c r="Q21" s="1340"/>
      <c r="R21" s="90"/>
      <c r="S21" s="34"/>
      <c r="T21" s="90"/>
      <c r="U21" s="90"/>
      <c r="V21" s="90"/>
      <c r="W21" s="90"/>
      <c r="X21" s="90"/>
      <c r="Y21" s="90"/>
      <c r="Z21" s="90"/>
      <c r="AA21" s="152"/>
    </row>
    <row r="22" spans="1:27" ht="12.75" hidden="1" customHeight="1" outlineLevel="1">
      <c r="A22" s="3"/>
      <c r="B22" s="29"/>
      <c r="C22" s="133">
        <f>Asset9</f>
        <v>0</v>
      </c>
      <c r="D22" s="3"/>
      <c r="E22" s="3"/>
      <c r="F22" s="91"/>
      <c r="G22" s="1359">
        <f>'RFM input'!L15</f>
        <v>0</v>
      </c>
      <c r="H22" s="1358"/>
      <c r="I22" s="1358"/>
      <c r="J22" s="1358"/>
      <c r="K22" s="1358"/>
      <c r="L22" s="1358"/>
      <c r="M22" s="1340"/>
      <c r="N22" s="1340"/>
      <c r="O22" s="1340"/>
      <c r="P22" s="1340"/>
      <c r="Q22" s="1340"/>
      <c r="R22" s="90"/>
      <c r="S22" s="4"/>
      <c r="T22" s="90"/>
      <c r="U22" s="90"/>
      <c r="V22" s="90"/>
      <c r="W22" s="90"/>
      <c r="X22" s="90"/>
      <c r="Y22" s="90"/>
      <c r="Z22" s="90"/>
      <c r="AA22" s="152"/>
    </row>
    <row r="23" spans="1:27" ht="12.75" hidden="1" customHeight="1" outlineLevel="1">
      <c r="A23" s="3"/>
      <c r="B23" s="29"/>
      <c r="C23" s="133">
        <f>Asset10</f>
        <v>0</v>
      </c>
      <c r="D23" s="3"/>
      <c r="E23" s="3"/>
      <c r="F23" s="91"/>
      <c r="G23" s="1359">
        <f>'RFM input'!L16</f>
        <v>0</v>
      </c>
      <c r="H23" s="1358"/>
      <c r="I23" s="1358"/>
      <c r="J23" s="1358"/>
      <c r="K23" s="1358"/>
      <c r="L23" s="1358"/>
      <c r="M23" s="1340"/>
      <c r="N23" s="1340"/>
      <c r="O23" s="1340"/>
      <c r="P23" s="1340"/>
      <c r="Q23" s="1340"/>
      <c r="R23" s="90"/>
      <c r="S23" s="34"/>
      <c r="T23" s="90"/>
      <c r="U23" s="90"/>
      <c r="V23" s="90"/>
      <c r="W23" s="90"/>
      <c r="X23" s="90"/>
      <c r="Y23" s="90"/>
      <c r="Z23" s="90"/>
      <c r="AA23" s="152"/>
    </row>
    <row r="24" spans="1:27" ht="12.75" hidden="1" customHeight="1" outlineLevel="1">
      <c r="A24" s="3"/>
      <c r="B24" s="29"/>
      <c r="C24" s="133">
        <f>Asset11</f>
        <v>0</v>
      </c>
      <c r="D24" s="3"/>
      <c r="E24" s="3"/>
      <c r="F24" s="91"/>
      <c r="G24" s="1359">
        <f>'RFM input'!L17</f>
        <v>0</v>
      </c>
      <c r="H24" s="1358"/>
      <c r="I24" s="1358"/>
      <c r="J24" s="1358"/>
      <c r="K24" s="1358"/>
      <c r="L24" s="1358"/>
      <c r="M24" s="1340"/>
      <c r="N24" s="1340"/>
      <c r="O24" s="1340"/>
      <c r="P24" s="1340"/>
      <c r="Q24" s="1340"/>
      <c r="R24" s="90"/>
      <c r="S24" s="34"/>
      <c r="T24" s="90"/>
      <c r="U24" s="90"/>
      <c r="V24" s="90"/>
      <c r="W24" s="90"/>
      <c r="X24" s="90"/>
      <c r="Y24" s="90"/>
      <c r="Z24" s="90"/>
      <c r="AA24" s="152"/>
    </row>
    <row r="25" spans="1:27" ht="12.75" hidden="1" customHeight="1" outlineLevel="1">
      <c r="A25" s="3"/>
      <c r="B25" s="29"/>
      <c r="C25" s="133">
        <f>Asset12</f>
        <v>0</v>
      </c>
      <c r="D25" s="3"/>
      <c r="E25" s="3"/>
      <c r="F25" s="91"/>
      <c r="G25" s="1359">
        <f>'RFM input'!L18</f>
        <v>0</v>
      </c>
      <c r="H25" s="1358"/>
      <c r="I25" s="1358"/>
      <c r="J25" s="1358"/>
      <c r="K25" s="1358"/>
      <c r="L25" s="1358"/>
      <c r="M25" s="1340"/>
      <c r="N25" s="1340"/>
      <c r="O25" s="1340"/>
      <c r="P25" s="1340"/>
      <c r="Q25" s="1340"/>
      <c r="R25" s="90"/>
      <c r="S25" s="4"/>
      <c r="T25" s="90"/>
      <c r="U25" s="90"/>
      <c r="V25" s="90"/>
      <c r="W25" s="90"/>
      <c r="X25" s="90"/>
      <c r="Y25" s="90"/>
      <c r="Z25" s="90"/>
      <c r="AA25" s="152"/>
    </row>
    <row r="26" spans="1:27" ht="12.75" hidden="1" customHeight="1" outlineLevel="1">
      <c r="A26" s="3"/>
      <c r="B26" s="29"/>
      <c r="C26" s="133">
        <f>Asset13</f>
        <v>0</v>
      </c>
      <c r="D26" s="3"/>
      <c r="E26" s="3"/>
      <c r="F26" s="91"/>
      <c r="G26" s="1359">
        <f>'RFM input'!L19</f>
        <v>0</v>
      </c>
      <c r="H26" s="1358"/>
      <c r="I26" s="1358"/>
      <c r="J26" s="1358"/>
      <c r="K26" s="1358"/>
      <c r="L26" s="1358"/>
      <c r="M26" s="1340"/>
      <c r="N26" s="1340"/>
      <c r="O26" s="1340"/>
      <c r="P26" s="1340"/>
      <c r="Q26" s="1340"/>
      <c r="R26" s="90"/>
      <c r="S26" s="34"/>
      <c r="T26" s="90"/>
      <c r="U26" s="90"/>
      <c r="V26" s="90"/>
      <c r="W26" s="90"/>
      <c r="X26" s="90"/>
      <c r="Y26" s="90"/>
      <c r="Z26" s="90"/>
      <c r="AA26" s="152"/>
    </row>
    <row r="27" spans="1:27" ht="12.75" hidden="1" customHeight="1" outlineLevel="1">
      <c r="A27" s="3"/>
      <c r="B27" s="29"/>
      <c r="C27" s="133">
        <f>Asset14</f>
        <v>0</v>
      </c>
      <c r="D27" s="3"/>
      <c r="E27" s="3"/>
      <c r="F27" s="91"/>
      <c r="G27" s="1359">
        <f>'RFM input'!L20</f>
        <v>0</v>
      </c>
      <c r="H27" s="1358"/>
      <c r="I27" s="1358"/>
      <c r="J27" s="1358"/>
      <c r="K27" s="1358"/>
      <c r="L27" s="1358"/>
      <c r="M27" s="1340"/>
      <c r="N27" s="1340"/>
      <c r="O27" s="1340"/>
      <c r="P27" s="1340"/>
      <c r="Q27" s="1340"/>
      <c r="R27" s="90"/>
      <c r="S27" s="34"/>
      <c r="T27" s="90"/>
      <c r="U27" s="90"/>
      <c r="V27" s="90"/>
      <c r="W27" s="90"/>
      <c r="X27" s="90"/>
      <c r="Y27" s="90"/>
      <c r="Z27" s="90"/>
      <c r="AA27" s="152"/>
    </row>
    <row r="28" spans="1:27" ht="12.75" hidden="1" customHeight="1" outlineLevel="1">
      <c r="A28" s="3"/>
      <c r="B28" s="29"/>
      <c r="C28" s="133">
        <f>Asset15</f>
        <v>0</v>
      </c>
      <c r="D28" s="3"/>
      <c r="E28" s="3"/>
      <c r="F28" s="91"/>
      <c r="G28" s="1359">
        <f>'RFM input'!L21</f>
        <v>0</v>
      </c>
      <c r="H28" s="1358"/>
      <c r="I28" s="1358"/>
      <c r="J28" s="1358"/>
      <c r="K28" s="1358"/>
      <c r="L28" s="1358"/>
      <c r="M28" s="1340"/>
      <c r="N28" s="1340"/>
      <c r="O28" s="1340"/>
      <c r="P28" s="1340"/>
      <c r="Q28" s="1340"/>
      <c r="R28" s="90"/>
      <c r="S28" s="4"/>
      <c r="T28" s="90"/>
      <c r="U28" s="90"/>
      <c r="V28" s="90"/>
      <c r="W28" s="90"/>
      <c r="X28" s="90"/>
      <c r="Y28" s="90"/>
      <c r="Z28" s="90"/>
      <c r="AA28" s="152"/>
    </row>
    <row r="29" spans="1:27" ht="12.75" hidden="1" customHeight="1" outlineLevel="1">
      <c r="A29" s="3"/>
      <c r="B29" s="29"/>
      <c r="C29" s="133">
        <f>Asset16</f>
        <v>0</v>
      </c>
      <c r="D29" s="3"/>
      <c r="E29" s="3"/>
      <c r="F29" s="91"/>
      <c r="G29" s="1359">
        <f>'RFM input'!L22</f>
        <v>0</v>
      </c>
      <c r="H29" s="1358"/>
      <c r="I29" s="1358"/>
      <c r="J29" s="1358"/>
      <c r="K29" s="1358"/>
      <c r="L29" s="1358"/>
      <c r="M29" s="1340"/>
      <c r="N29" s="1340"/>
      <c r="O29" s="1340"/>
      <c r="P29" s="1340"/>
      <c r="Q29" s="1340"/>
      <c r="R29" s="90"/>
      <c r="S29" s="34"/>
      <c r="T29" s="90"/>
      <c r="U29" s="90"/>
      <c r="V29" s="90"/>
      <c r="W29" s="90"/>
      <c r="X29" s="90"/>
      <c r="Y29" s="90"/>
      <c r="Z29" s="90"/>
      <c r="AA29" s="152"/>
    </row>
    <row r="30" spans="1:27" ht="12.75" hidden="1" customHeight="1" outlineLevel="1">
      <c r="A30" s="3"/>
      <c r="B30" s="29"/>
      <c r="C30" s="133">
        <f>Asset17</f>
        <v>0</v>
      </c>
      <c r="D30" s="3"/>
      <c r="E30" s="3"/>
      <c r="F30" s="91"/>
      <c r="G30" s="1359">
        <f>'RFM input'!L23</f>
        <v>0</v>
      </c>
      <c r="H30" s="1358"/>
      <c r="I30" s="1358"/>
      <c r="J30" s="1358"/>
      <c r="K30" s="1358"/>
      <c r="L30" s="1358"/>
      <c r="M30" s="1340"/>
      <c r="N30" s="1340"/>
      <c r="O30" s="1340"/>
      <c r="P30" s="1340"/>
      <c r="Q30" s="1340"/>
      <c r="R30" s="90"/>
      <c r="S30" s="34"/>
      <c r="T30" s="90"/>
      <c r="U30" s="90"/>
      <c r="V30" s="90"/>
      <c r="W30" s="90"/>
      <c r="X30" s="90"/>
      <c r="Y30" s="90"/>
      <c r="Z30" s="90"/>
      <c r="AA30" s="152"/>
    </row>
    <row r="31" spans="1:27" ht="12.75" hidden="1" customHeight="1" outlineLevel="1">
      <c r="A31" s="3"/>
      <c r="B31" s="29"/>
      <c r="C31" s="133">
        <f>Asset18</f>
        <v>0</v>
      </c>
      <c r="D31" s="3"/>
      <c r="E31" s="3"/>
      <c r="F31" s="91"/>
      <c r="G31" s="1359">
        <f>'RFM input'!L24</f>
        <v>0</v>
      </c>
      <c r="H31" s="1358"/>
      <c r="I31" s="1358"/>
      <c r="J31" s="1358"/>
      <c r="K31" s="1358"/>
      <c r="L31" s="1358"/>
      <c r="M31" s="1340"/>
      <c r="N31" s="1340"/>
      <c r="O31" s="1340"/>
      <c r="P31" s="1340"/>
      <c r="Q31" s="1340"/>
      <c r="R31" s="90"/>
      <c r="S31" s="4"/>
      <c r="T31" s="90"/>
      <c r="U31" s="90"/>
      <c r="V31" s="90"/>
      <c r="W31" s="90"/>
      <c r="X31" s="90"/>
      <c r="Y31" s="90"/>
      <c r="Z31" s="90"/>
      <c r="AA31" s="152"/>
    </row>
    <row r="32" spans="1:27" ht="12.75" hidden="1" customHeight="1" outlineLevel="1">
      <c r="A32" s="3"/>
      <c r="B32" s="29"/>
      <c r="C32" s="133">
        <f>Asset19</f>
        <v>0</v>
      </c>
      <c r="D32" s="3"/>
      <c r="E32" s="3"/>
      <c r="F32" s="91"/>
      <c r="G32" s="1359">
        <f>'RFM input'!L25</f>
        <v>0</v>
      </c>
      <c r="H32" s="1358"/>
      <c r="I32" s="1358"/>
      <c r="J32" s="1358"/>
      <c r="K32" s="1358"/>
      <c r="L32" s="1358"/>
      <c r="M32" s="1340"/>
      <c r="N32" s="1340"/>
      <c r="O32" s="1340"/>
      <c r="P32" s="1340"/>
      <c r="Q32" s="1340"/>
      <c r="R32" s="90"/>
      <c r="S32" s="34"/>
      <c r="T32" s="90"/>
      <c r="U32" s="90"/>
      <c r="V32" s="90"/>
      <c r="W32" s="90"/>
      <c r="X32" s="90"/>
      <c r="Y32" s="90"/>
      <c r="Z32" s="90"/>
      <c r="AA32" s="152"/>
    </row>
    <row r="33" spans="1:27" ht="12.75" hidden="1" customHeight="1" outlineLevel="1">
      <c r="A33" s="3"/>
      <c r="B33" s="29"/>
      <c r="C33" s="133">
        <f>Asset20</f>
        <v>0</v>
      </c>
      <c r="D33" s="3"/>
      <c r="E33" s="3"/>
      <c r="F33" s="91"/>
      <c r="G33" s="1359">
        <f>'RFM input'!L26</f>
        <v>0</v>
      </c>
      <c r="H33" s="1358"/>
      <c r="I33" s="1358"/>
      <c r="J33" s="1358"/>
      <c r="K33" s="1358"/>
      <c r="L33" s="1358"/>
      <c r="M33" s="1340"/>
      <c r="N33" s="1340"/>
      <c r="O33" s="1340"/>
      <c r="P33" s="1340"/>
      <c r="Q33" s="1340"/>
      <c r="R33" s="90"/>
      <c r="S33" s="34"/>
      <c r="T33" s="90"/>
      <c r="U33" s="90"/>
      <c r="V33" s="90"/>
      <c r="W33" s="90"/>
      <c r="X33" s="90"/>
      <c r="Y33" s="90"/>
      <c r="Z33" s="90"/>
      <c r="AA33" s="152"/>
    </row>
    <row r="34" spans="1:27" ht="12.75" hidden="1" customHeight="1" outlineLevel="1">
      <c r="A34" s="3"/>
      <c r="B34" s="29"/>
      <c r="C34" s="133">
        <f>Asset21</f>
        <v>0</v>
      </c>
      <c r="D34" s="3"/>
      <c r="E34" s="3"/>
      <c r="F34" s="91"/>
      <c r="G34" s="1359">
        <f>'RFM input'!L27</f>
        <v>0</v>
      </c>
      <c r="H34" s="1358"/>
      <c r="I34" s="1358"/>
      <c r="J34" s="1358"/>
      <c r="K34" s="1358"/>
      <c r="L34" s="1358"/>
      <c r="M34" s="1340"/>
      <c r="N34" s="1340"/>
      <c r="O34" s="1340"/>
      <c r="P34" s="1340"/>
      <c r="Q34" s="1340"/>
      <c r="R34" s="90"/>
      <c r="S34" s="34"/>
      <c r="T34" s="90"/>
      <c r="U34" s="90"/>
      <c r="V34" s="90"/>
      <c r="W34" s="90"/>
      <c r="X34" s="90"/>
      <c r="Y34" s="90"/>
      <c r="Z34" s="90"/>
      <c r="AA34" s="152"/>
    </row>
    <row r="35" spans="1:27" ht="12.75" hidden="1" customHeight="1" outlineLevel="1">
      <c r="A35" s="3"/>
      <c r="B35" s="29"/>
      <c r="C35" s="133">
        <f>Asset22</f>
        <v>0</v>
      </c>
      <c r="D35" s="3"/>
      <c r="E35" s="3"/>
      <c r="F35" s="91"/>
      <c r="G35" s="1359">
        <f>'RFM input'!L28</f>
        <v>0</v>
      </c>
      <c r="H35" s="1358"/>
      <c r="I35" s="1358"/>
      <c r="J35" s="1358"/>
      <c r="K35" s="1358"/>
      <c r="L35" s="1358"/>
      <c r="M35" s="1340"/>
      <c r="N35" s="1340"/>
      <c r="O35" s="1340"/>
      <c r="P35" s="1340"/>
      <c r="Q35" s="1340"/>
      <c r="R35" s="90"/>
      <c r="S35" s="34"/>
      <c r="T35" s="90"/>
      <c r="U35" s="90"/>
      <c r="V35" s="90"/>
      <c r="W35" s="90"/>
      <c r="X35" s="90"/>
      <c r="Y35" s="90"/>
      <c r="Z35" s="90"/>
      <c r="AA35" s="152"/>
    </row>
    <row r="36" spans="1:27" ht="12.75" hidden="1" customHeight="1" outlineLevel="1">
      <c r="A36" s="3"/>
      <c r="B36" s="29"/>
      <c r="C36" s="133">
        <f>Asset23</f>
        <v>0</v>
      </c>
      <c r="D36" s="3"/>
      <c r="E36" s="3"/>
      <c r="F36" s="91"/>
      <c r="G36" s="1359">
        <f>'RFM input'!L29</f>
        <v>0</v>
      </c>
      <c r="H36" s="1358"/>
      <c r="I36" s="1358"/>
      <c r="J36" s="1358"/>
      <c r="K36" s="1358"/>
      <c r="L36" s="1358"/>
      <c r="M36" s="1340"/>
      <c r="N36" s="1340"/>
      <c r="O36" s="1340"/>
      <c r="P36" s="1340"/>
      <c r="Q36" s="1340"/>
      <c r="R36" s="90"/>
      <c r="S36" s="34"/>
      <c r="T36" s="90"/>
      <c r="U36" s="90"/>
      <c r="V36" s="90"/>
      <c r="W36" s="90"/>
      <c r="X36" s="90"/>
      <c r="Y36" s="90"/>
      <c r="Z36" s="90"/>
      <c r="AA36" s="152"/>
    </row>
    <row r="37" spans="1:27" ht="12.75" hidden="1" customHeight="1" outlineLevel="1">
      <c r="A37" s="3"/>
      <c r="B37" s="29"/>
      <c r="C37" s="133">
        <f>Asset24</f>
        <v>0</v>
      </c>
      <c r="D37" s="3"/>
      <c r="E37" s="3"/>
      <c r="F37" s="91"/>
      <c r="G37" s="1359">
        <f>'RFM input'!L30</f>
        <v>0</v>
      </c>
      <c r="H37" s="1358"/>
      <c r="I37" s="1358"/>
      <c r="J37" s="1358"/>
      <c r="K37" s="1358"/>
      <c r="L37" s="1358"/>
      <c r="M37" s="1340"/>
      <c r="N37" s="1340"/>
      <c r="O37" s="1340"/>
      <c r="P37" s="1340"/>
      <c r="Q37" s="1340"/>
      <c r="R37" s="90"/>
      <c r="S37" s="34"/>
      <c r="T37" s="90"/>
      <c r="U37" s="90"/>
      <c r="V37" s="90"/>
      <c r="W37" s="90"/>
      <c r="X37" s="90"/>
      <c r="Y37" s="90"/>
      <c r="Z37" s="90"/>
      <c r="AA37" s="152"/>
    </row>
    <row r="38" spans="1:27" ht="12.75" hidden="1" customHeight="1" outlineLevel="1">
      <c r="A38" s="3"/>
      <c r="B38" s="29"/>
      <c r="C38" s="133">
        <f>Asset25</f>
        <v>0</v>
      </c>
      <c r="D38" s="3"/>
      <c r="E38" s="3"/>
      <c r="F38" s="91"/>
      <c r="G38" s="1359">
        <f>'RFM input'!L31</f>
        <v>0</v>
      </c>
      <c r="H38" s="1358"/>
      <c r="I38" s="1358"/>
      <c r="J38" s="1358"/>
      <c r="K38" s="1358"/>
      <c r="L38" s="1358"/>
      <c r="M38" s="1340"/>
      <c r="N38" s="1340"/>
      <c r="O38" s="1340"/>
      <c r="P38" s="1340"/>
      <c r="Q38" s="1340"/>
      <c r="R38" s="90"/>
      <c r="S38" s="34"/>
      <c r="T38" s="90"/>
      <c r="U38" s="90"/>
      <c r="V38" s="90"/>
      <c r="W38" s="90"/>
      <c r="X38" s="90"/>
      <c r="Y38" s="90"/>
      <c r="Z38" s="90"/>
      <c r="AA38" s="152"/>
    </row>
    <row r="39" spans="1:27" ht="12.75" hidden="1" customHeight="1" outlineLevel="1">
      <c r="A39" s="3"/>
      <c r="B39" s="29"/>
      <c r="C39" s="133">
        <f>Asset26</f>
        <v>0</v>
      </c>
      <c r="D39" s="3"/>
      <c r="E39" s="3"/>
      <c r="F39" s="91"/>
      <c r="G39" s="1359">
        <f>'RFM input'!L32</f>
        <v>0</v>
      </c>
      <c r="H39" s="1358"/>
      <c r="I39" s="1358"/>
      <c r="J39" s="1358"/>
      <c r="K39" s="1358"/>
      <c r="L39" s="1358"/>
      <c r="M39" s="1340"/>
      <c r="N39" s="1340"/>
      <c r="O39" s="1340"/>
      <c r="P39" s="1340"/>
      <c r="Q39" s="1340"/>
      <c r="R39" s="90"/>
      <c r="S39" s="34"/>
      <c r="T39" s="90"/>
      <c r="U39" s="90"/>
      <c r="V39" s="90"/>
      <c r="W39" s="90"/>
      <c r="X39" s="90"/>
      <c r="Y39" s="90"/>
      <c r="Z39" s="90"/>
      <c r="AA39" s="152"/>
    </row>
    <row r="40" spans="1:27" ht="12.75" hidden="1" customHeight="1" outlineLevel="1">
      <c r="A40" s="3"/>
      <c r="B40" s="29"/>
      <c r="C40" s="133">
        <f>Asset27</f>
        <v>0</v>
      </c>
      <c r="D40" s="3"/>
      <c r="E40" s="3"/>
      <c r="F40" s="91"/>
      <c r="G40" s="1359">
        <f>'RFM input'!L33</f>
        <v>0</v>
      </c>
      <c r="H40" s="1358"/>
      <c r="I40" s="1358"/>
      <c r="J40" s="1358"/>
      <c r="K40" s="1358"/>
      <c r="L40" s="1358"/>
      <c r="M40" s="1340"/>
      <c r="N40" s="1340"/>
      <c r="O40" s="1340"/>
      <c r="P40" s="1340"/>
      <c r="Q40" s="1340"/>
      <c r="R40" s="90"/>
      <c r="S40" s="34"/>
      <c r="T40" s="90"/>
      <c r="U40" s="90"/>
      <c r="V40" s="90"/>
      <c r="W40" s="90"/>
      <c r="X40" s="90"/>
      <c r="Y40" s="90"/>
      <c r="Z40" s="90"/>
      <c r="AA40" s="152"/>
    </row>
    <row r="41" spans="1:27" ht="12.75" hidden="1" customHeight="1" outlineLevel="1">
      <c r="A41" s="3"/>
      <c r="B41" s="29"/>
      <c r="C41" s="133">
        <f>Asset28</f>
        <v>0</v>
      </c>
      <c r="D41" s="3"/>
      <c r="E41" s="3"/>
      <c r="F41" s="91"/>
      <c r="G41" s="1359">
        <f>'RFM input'!L34</f>
        <v>0</v>
      </c>
      <c r="H41" s="1358"/>
      <c r="I41" s="1358"/>
      <c r="J41" s="1358"/>
      <c r="K41" s="1358"/>
      <c r="L41" s="1358"/>
      <c r="M41" s="1340"/>
      <c r="N41" s="1340"/>
      <c r="O41" s="1340"/>
      <c r="P41" s="1340"/>
      <c r="Q41" s="1340"/>
      <c r="R41" s="90"/>
      <c r="S41" s="34"/>
      <c r="T41" s="90"/>
      <c r="U41" s="90"/>
      <c r="V41" s="90"/>
      <c r="W41" s="90"/>
      <c r="X41" s="90"/>
      <c r="Y41" s="90"/>
      <c r="Z41" s="90"/>
      <c r="AA41" s="152"/>
    </row>
    <row r="42" spans="1:27" ht="12.75" hidden="1" customHeight="1" outlineLevel="1">
      <c r="A42" s="3"/>
      <c r="B42" s="29"/>
      <c r="C42" s="133">
        <f>Asset29</f>
        <v>0</v>
      </c>
      <c r="D42" s="3"/>
      <c r="E42" s="3"/>
      <c r="F42" s="91"/>
      <c r="G42" s="1359">
        <f>'RFM input'!L35</f>
        <v>0</v>
      </c>
      <c r="H42" s="1358"/>
      <c r="I42" s="1358"/>
      <c r="J42" s="1358"/>
      <c r="K42" s="1358"/>
      <c r="L42" s="1358"/>
      <c r="M42" s="1340"/>
      <c r="N42" s="1340"/>
      <c r="O42" s="1340"/>
      <c r="P42" s="1340"/>
      <c r="Q42" s="1340"/>
      <c r="R42" s="90"/>
      <c r="S42" s="34"/>
      <c r="T42" s="90"/>
      <c r="U42" s="90"/>
      <c r="V42" s="90"/>
      <c r="W42" s="90"/>
      <c r="X42" s="90"/>
      <c r="Y42" s="90"/>
      <c r="Z42" s="90"/>
      <c r="AA42" s="152"/>
    </row>
    <row r="43" spans="1:27" ht="12.75" hidden="1" customHeight="1" outlineLevel="1">
      <c r="A43" s="3"/>
      <c r="B43" s="29"/>
      <c r="C43" s="133">
        <f>Asset30</f>
        <v>0</v>
      </c>
      <c r="D43" s="3"/>
      <c r="E43" s="3"/>
      <c r="F43" s="91"/>
      <c r="G43" s="1359">
        <f>'RFM input'!L36</f>
        <v>0</v>
      </c>
      <c r="H43" s="1358"/>
      <c r="I43" s="1358"/>
      <c r="J43" s="1358"/>
      <c r="K43" s="1358"/>
      <c r="L43" s="1358"/>
      <c r="M43" s="1340"/>
      <c r="N43" s="1340"/>
      <c r="O43" s="1340"/>
      <c r="P43" s="1340"/>
      <c r="Q43" s="1340"/>
      <c r="R43" s="90"/>
      <c r="S43" s="34"/>
      <c r="T43" s="90"/>
      <c r="U43" s="90"/>
      <c r="V43" s="90"/>
      <c r="W43" s="90"/>
      <c r="X43" s="90"/>
      <c r="Y43" s="90"/>
      <c r="Z43" s="90"/>
      <c r="AA43" s="152"/>
    </row>
    <row r="44" spans="1:27" ht="12.75" hidden="1" customHeight="1" outlineLevel="1">
      <c r="A44" s="3"/>
      <c r="B44" s="29"/>
      <c r="C44" s="133">
        <f>Asset31</f>
        <v>0</v>
      </c>
      <c r="D44" s="3"/>
      <c r="E44" s="3"/>
      <c r="F44" s="91"/>
      <c r="G44" s="1359">
        <f>'RFM input'!L37</f>
        <v>0</v>
      </c>
      <c r="H44" s="1358"/>
      <c r="I44" s="1358"/>
      <c r="J44" s="1358"/>
      <c r="K44" s="1358"/>
      <c r="L44" s="1358"/>
      <c r="M44" s="1340"/>
      <c r="N44" s="1340"/>
      <c r="O44" s="1340"/>
      <c r="P44" s="1340"/>
      <c r="Q44" s="1340"/>
      <c r="R44" s="90"/>
      <c r="S44" s="34"/>
      <c r="T44" s="90"/>
      <c r="U44" s="90"/>
      <c r="V44" s="90"/>
      <c r="W44" s="90"/>
      <c r="X44" s="90"/>
      <c r="Y44" s="90"/>
      <c r="Z44" s="90"/>
      <c r="AA44" s="152"/>
    </row>
    <row r="45" spans="1:27" ht="12.75" hidden="1" customHeight="1" outlineLevel="1">
      <c r="A45" s="3"/>
      <c r="B45" s="29"/>
      <c r="C45" s="133">
        <f>Asset32</f>
        <v>0</v>
      </c>
      <c r="D45" s="3"/>
      <c r="E45" s="3"/>
      <c r="F45" s="91"/>
      <c r="G45" s="1359">
        <f>'RFM input'!L38</f>
        <v>0</v>
      </c>
      <c r="H45" s="1358"/>
      <c r="I45" s="1358"/>
      <c r="J45" s="1358"/>
      <c r="K45" s="1358"/>
      <c r="L45" s="1358"/>
      <c r="M45" s="1340"/>
      <c r="N45" s="1340"/>
      <c r="O45" s="1340"/>
      <c r="P45" s="1340"/>
      <c r="Q45" s="1340"/>
      <c r="R45" s="90"/>
      <c r="S45" s="34"/>
      <c r="T45" s="90"/>
      <c r="U45" s="90"/>
      <c r="V45" s="90"/>
      <c r="W45" s="90"/>
      <c r="X45" s="90"/>
      <c r="Y45" s="90"/>
      <c r="Z45" s="90"/>
      <c r="AA45" s="152"/>
    </row>
    <row r="46" spans="1:27" ht="12.75" hidden="1" customHeight="1" outlineLevel="1">
      <c r="A46" s="3"/>
      <c r="B46" s="29"/>
      <c r="C46" s="133">
        <f>Asset33</f>
        <v>0</v>
      </c>
      <c r="D46" s="3"/>
      <c r="E46" s="3"/>
      <c r="F46" s="91"/>
      <c r="G46" s="1359">
        <f>'RFM input'!L39</f>
        <v>0</v>
      </c>
      <c r="H46" s="1358"/>
      <c r="I46" s="1358"/>
      <c r="J46" s="1358"/>
      <c r="K46" s="1358"/>
      <c r="L46" s="1358"/>
      <c r="M46" s="1340"/>
      <c r="N46" s="1340"/>
      <c r="O46" s="1340"/>
      <c r="P46" s="1340"/>
      <c r="Q46" s="1340"/>
      <c r="R46" s="90"/>
      <c r="S46" s="34"/>
      <c r="T46" s="90"/>
      <c r="U46" s="90"/>
      <c r="V46" s="90"/>
      <c r="W46" s="90"/>
      <c r="X46" s="90"/>
      <c r="Y46" s="90"/>
      <c r="Z46" s="90"/>
      <c r="AA46" s="152"/>
    </row>
    <row r="47" spans="1:27" ht="12.75" hidden="1" customHeight="1" outlineLevel="1">
      <c r="A47" s="3"/>
      <c r="B47" s="29"/>
      <c r="C47" s="133">
        <f>Asset34</f>
        <v>0</v>
      </c>
      <c r="D47" s="3"/>
      <c r="E47" s="3"/>
      <c r="F47" s="91"/>
      <c r="G47" s="1359">
        <f>'RFM input'!L40</f>
        <v>0</v>
      </c>
      <c r="H47" s="1358"/>
      <c r="I47" s="1358"/>
      <c r="J47" s="1358"/>
      <c r="K47" s="1358"/>
      <c r="L47" s="1358"/>
      <c r="M47" s="1340"/>
      <c r="N47" s="1340"/>
      <c r="O47" s="1340"/>
      <c r="P47" s="1340"/>
      <c r="Q47" s="1340"/>
      <c r="R47" s="90"/>
      <c r="S47" s="34"/>
      <c r="T47" s="90"/>
      <c r="U47" s="90"/>
      <c r="V47" s="90"/>
      <c r="W47" s="90"/>
      <c r="X47" s="90"/>
      <c r="Y47" s="90"/>
      <c r="Z47" s="90"/>
      <c r="AA47" s="152"/>
    </row>
    <row r="48" spans="1:27" ht="12.75" hidden="1" customHeight="1" outlineLevel="1">
      <c r="A48" s="3"/>
      <c r="B48" s="29"/>
      <c r="C48" s="133">
        <f>Asset35</f>
        <v>0</v>
      </c>
      <c r="D48" s="3"/>
      <c r="E48" s="3"/>
      <c r="F48" s="91"/>
      <c r="G48" s="1359">
        <f>'RFM input'!L41</f>
        <v>0</v>
      </c>
      <c r="H48" s="1358"/>
      <c r="I48" s="1358"/>
      <c r="J48" s="1358"/>
      <c r="K48" s="1358"/>
      <c r="L48" s="1358"/>
      <c r="M48" s="1340"/>
      <c r="N48" s="1340"/>
      <c r="O48" s="1340"/>
      <c r="P48" s="1340"/>
      <c r="Q48" s="1340"/>
      <c r="R48" s="90"/>
      <c r="S48" s="34"/>
      <c r="T48" s="90"/>
      <c r="U48" s="90"/>
      <c r="V48" s="90"/>
      <c r="W48" s="90"/>
      <c r="X48" s="90"/>
      <c r="Y48" s="90"/>
      <c r="Z48" s="90"/>
      <c r="AA48" s="152"/>
    </row>
    <row r="49" spans="1:27" ht="12.75" hidden="1" customHeight="1" outlineLevel="1">
      <c r="A49" s="3"/>
      <c r="B49" s="29"/>
      <c r="C49" s="133">
        <f>Asset36</f>
        <v>0</v>
      </c>
      <c r="D49" s="3"/>
      <c r="E49" s="3"/>
      <c r="F49" s="91"/>
      <c r="G49" s="1359">
        <f>'RFM input'!L42</f>
        <v>0</v>
      </c>
      <c r="H49" s="1358"/>
      <c r="I49" s="1358"/>
      <c r="J49" s="1358"/>
      <c r="K49" s="1358"/>
      <c r="L49" s="1358"/>
      <c r="M49" s="1340"/>
      <c r="N49" s="1340"/>
      <c r="O49" s="1340"/>
      <c r="P49" s="1340"/>
      <c r="Q49" s="1340"/>
      <c r="R49" s="90"/>
      <c r="S49" s="34"/>
      <c r="T49" s="90"/>
      <c r="U49" s="90"/>
      <c r="V49" s="90"/>
      <c r="W49" s="90"/>
      <c r="X49" s="90"/>
      <c r="Y49" s="90"/>
      <c r="Z49" s="90"/>
      <c r="AA49" s="152"/>
    </row>
    <row r="50" spans="1:27" ht="12.75" hidden="1" customHeight="1" outlineLevel="1">
      <c r="A50" s="3"/>
      <c r="B50" s="29"/>
      <c r="C50" s="133">
        <f>Asset37</f>
        <v>0</v>
      </c>
      <c r="D50" s="3"/>
      <c r="E50" s="3"/>
      <c r="F50" s="91"/>
      <c r="G50" s="1359">
        <f>'RFM input'!L43</f>
        <v>0</v>
      </c>
      <c r="H50" s="1358"/>
      <c r="I50" s="1358"/>
      <c r="J50" s="1358"/>
      <c r="K50" s="1358"/>
      <c r="L50" s="1358"/>
      <c r="M50" s="1340"/>
      <c r="N50" s="1340"/>
      <c r="O50" s="1340"/>
      <c r="P50" s="1340"/>
      <c r="Q50" s="1340"/>
      <c r="R50" s="90"/>
      <c r="S50" s="34"/>
      <c r="T50" s="90"/>
      <c r="U50" s="90"/>
      <c r="V50" s="90"/>
      <c r="W50" s="90"/>
      <c r="X50" s="90"/>
      <c r="Y50" s="90"/>
      <c r="Z50" s="90"/>
      <c r="AA50" s="152"/>
    </row>
    <row r="51" spans="1:27" ht="12.75" hidden="1" customHeight="1" outlineLevel="1">
      <c r="A51" s="3"/>
      <c r="B51" s="29"/>
      <c r="C51" s="133">
        <f>Asset38</f>
        <v>0</v>
      </c>
      <c r="D51" s="3"/>
      <c r="E51" s="3"/>
      <c r="F51" s="91"/>
      <c r="G51" s="1359">
        <f>'RFM input'!L44</f>
        <v>0</v>
      </c>
      <c r="H51" s="1358"/>
      <c r="I51" s="1358"/>
      <c r="J51" s="1358"/>
      <c r="K51" s="1358"/>
      <c r="L51" s="1358"/>
      <c r="M51" s="1340"/>
      <c r="N51" s="1340"/>
      <c r="O51" s="1340"/>
      <c r="P51" s="1340"/>
      <c r="Q51" s="1340"/>
      <c r="R51" s="90"/>
      <c r="S51" s="34"/>
      <c r="T51" s="90"/>
      <c r="U51" s="90"/>
      <c r="V51" s="90"/>
      <c r="W51" s="90"/>
      <c r="X51" s="90"/>
      <c r="Y51" s="90"/>
      <c r="Z51" s="90"/>
      <c r="AA51" s="152"/>
    </row>
    <row r="52" spans="1:27" ht="12.75" hidden="1" customHeight="1" outlineLevel="1">
      <c r="A52" s="3"/>
      <c r="B52" s="29"/>
      <c r="C52" s="133">
        <f>Asset39</f>
        <v>0</v>
      </c>
      <c r="D52" s="3"/>
      <c r="E52" s="3"/>
      <c r="F52" s="91"/>
      <c r="G52" s="1359">
        <f>'RFM input'!L45</f>
        <v>0</v>
      </c>
      <c r="H52" s="1358"/>
      <c r="I52" s="1358"/>
      <c r="J52" s="1358"/>
      <c r="K52" s="1358"/>
      <c r="L52" s="1358"/>
      <c r="M52" s="1340"/>
      <c r="N52" s="1340"/>
      <c r="O52" s="1340"/>
      <c r="P52" s="1340"/>
      <c r="Q52" s="1340"/>
      <c r="R52" s="90"/>
      <c r="S52" s="34"/>
      <c r="T52" s="90"/>
      <c r="U52" s="90"/>
      <c r="V52" s="90"/>
      <c r="W52" s="90"/>
      <c r="X52" s="90"/>
      <c r="Y52" s="90"/>
      <c r="Z52" s="90"/>
      <c r="AA52" s="152"/>
    </row>
    <row r="53" spans="1:27" ht="12.75" hidden="1" customHeight="1" outlineLevel="1">
      <c r="A53" s="3"/>
      <c r="B53" s="29"/>
      <c r="C53" s="133">
        <f>Asset40</f>
        <v>0</v>
      </c>
      <c r="D53" s="3"/>
      <c r="E53" s="3"/>
      <c r="F53" s="91"/>
      <c r="G53" s="1359">
        <f>'RFM input'!L46</f>
        <v>0</v>
      </c>
      <c r="H53" s="1358"/>
      <c r="I53" s="1358"/>
      <c r="J53" s="1358"/>
      <c r="K53" s="1358"/>
      <c r="L53" s="1358"/>
      <c r="M53" s="1340"/>
      <c r="N53" s="1340"/>
      <c r="O53" s="1340"/>
      <c r="P53" s="1340"/>
      <c r="Q53" s="1340"/>
      <c r="R53" s="90"/>
      <c r="S53" s="34"/>
      <c r="T53" s="90"/>
      <c r="U53" s="90"/>
      <c r="V53" s="90"/>
      <c r="W53" s="90"/>
      <c r="X53" s="90"/>
      <c r="Y53" s="90"/>
      <c r="Z53" s="90"/>
      <c r="AA53" s="152"/>
    </row>
    <row r="54" spans="1:27" ht="12.75" hidden="1" customHeight="1" outlineLevel="1">
      <c r="A54" s="3"/>
      <c r="B54" s="29"/>
      <c r="C54" s="133">
        <f>Asset41</f>
        <v>0</v>
      </c>
      <c r="D54" s="3"/>
      <c r="E54" s="3"/>
      <c r="F54" s="91"/>
      <c r="G54" s="1359">
        <f>'RFM input'!L47</f>
        <v>0</v>
      </c>
      <c r="H54" s="1358"/>
      <c r="I54" s="1358"/>
      <c r="J54" s="1358"/>
      <c r="K54" s="1358"/>
      <c r="L54" s="1358"/>
      <c r="M54" s="1340"/>
      <c r="N54" s="1340"/>
      <c r="O54" s="1340"/>
      <c r="P54" s="1340"/>
      <c r="Q54" s="1340"/>
      <c r="R54" s="90"/>
      <c r="S54" s="34"/>
      <c r="T54" s="90"/>
      <c r="U54" s="90"/>
      <c r="V54" s="90"/>
      <c r="W54" s="90"/>
      <c r="X54" s="90"/>
      <c r="Y54" s="90"/>
      <c r="Z54" s="90"/>
      <c r="AA54" s="152"/>
    </row>
    <row r="55" spans="1:27" ht="12.75" hidden="1" customHeight="1" outlineLevel="1">
      <c r="A55" s="3"/>
      <c r="B55" s="29"/>
      <c r="C55" s="133">
        <f>Asset42</f>
        <v>0</v>
      </c>
      <c r="D55" s="3"/>
      <c r="E55" s="3"/>
      <c r="F55" s="91"/>
      <c r="G55" s="1359">
        <f>'RFM input'!L48</f>
        <v>0</v>
      </c>
      <c r="H55" s="1358"/>
      <c r="I55" s="1358"/>
      <c r="J55" s="1358"/>
      <c r="K55" s="1358"/>
      <c r="L55" s="1358"/>
      <c r="M55" s="1340"/>
      <c r="N55" s="1340"/>
      <c r="O55" s="1340"/>
      <c r="P55" s="1340"/>
      <c r="Q55" s="1340"/>
      <c r="R55" s="90"/>
      <c r="S55" s="34"/>
      <c r="T55" s="90"/>
      <c r="U55" s="90"/>
      <c r="V55" s="90"/>
      <c r="W55" s="90"/>
      <c r="X55" s="90"/>
      <c r="Y55" s="90"/>
      <c r="Z55" s="90"/>
      <c r="AA55" s="152"/>
    </row>
    <row r="56" spans="1:27" ht="12.75" hidden="1" customHeight="1" outlineLevel="1">
      <c r="A56" s="3"/>
      <c r="B56" s="29"/>
      <c r="C56" s="133">
        <f>Asset43</f>
        <v>0</v>
      </c>
      <c r="D56" s="3"/>
      <c r="E56" s="3"/>
      <c r="F56" s="91"/>
      <c r="G56" s="1359">
        <f>'RFM input'!L49</f>
        <v>0</v>
      </c>
      <c r="H56" s="1358"/>
      <c r="I56" s="1358"/>
      <c r="J56" s="1358"/>
      <c r="K56" s="1358"/>
      <c r="L56" s="1358"/>
      <c r="M56" s="1340"/>
      <c r="N56" s="1340"/>
      <c r="O56" s="1340"/>
      <c r="P56" s="1340"/>
      <c r="Q56" s="1340"/>
      <c r="R56" s="90"/>
      <c r="S56" s="34"/>
      <c r="T56" s="90"/>
      <c r="U56" s="90"/>
      <c r="V56" s="90"/>
      <c r="W56" s="90"/>
      <c r="X56" s="90"/>
      <c r="Y56" s="90"/>
      <c r="Z56" s="90"/>
      <c r="AA56" s="152"/>
    </row>
    <row r="57" spans="1:27" ht="12.75" hidden="1" customHeight="1" outlineLevel="1">
      <c r="A57" s="3"/>
      <c r="B57" s="29"/>
      <c r="C57" s="133">
        <f>Asset44</f>
        <v>0</v>
      </c>
      <c r="D57" s="3"/>
      <c r="E57" s="3"/>
      <c r="F57" s="91"/>
      <c r="G57" s="1359">
        <f>'RFM input'!L50</f>
        <v>0</v>
      </c>
      <c r="H57" s="1358"/>
      <c r="I57" s="1358"/>
      <c r="J57" s="1358"/>
      <c r="K57" s="1358"/>
      <c r="L57" s="1358"/>
      <c r="M57" s="1340"/>
      <c r="N57" s="1340"/>
      <c r="O57" s="1340"/>
      <c r="P57" s="1340"/>
      <c r="Q57" s="1340"/>
      <c r="R57" s="90"/>
      <c r="S57" s="34"/>
      <c r="T57" s="90"/>
      <c r="U57" s="90"/>
      <c r="V57" s="90"/>
      <c r="W57" s="90"/>
      <c r="X57" s="90"/>
      <c r="Y57" s="90"/>
      <c r="Z57" s="90"/>
      <c r="AA57" s="152"/>
    </row>
    <row r="58" spans="1:27" ht="12.75" hidden="1" customHeight="1" outlineLevel="1">
      <c r="A58" s="3"/>
      <c r="B58" s="29"/>
      <c r="C58" s="133">
        <f>Asset45</f>
        <v>0</v>
      </c>
      <c r="D58" s="3"/>
      <c r="E58" s="3"/>
      <c r="F58" s="91"/>
      <c r="G58" s="1359">
        <f>'RFM input'!L51</f>
        <v>0</v>
      </c>
      <c r="H58" s="1358"/>
      <c r="I58" s="1358"/>
      <c r="J58" s="1358"/>
      <c r="K58" s="1358"/>
      <c r="L58" s="1358"/>
      <c r="M58" s="1340"/>
      <c r="N58" s="1340"/>
      <c r="O58" s="1340"/>
      <c r="P58" s="1340"/>
      <c r="Q58" s="1340"/>
      <c r="R58" s="90"/>
      <c r="S58" s="34"/>
      <c r="T58" s="90"/>
      <c r="U58" s="90"/>
      <c r="V58" s="90"/>
      <c r="W58" s="90"/>
      <c r="X58" s="90"/>
      <c r="Y58" s="90"/>
      <c r="Z58" s="90"/>
      <c r="AA58" s="152"/>
    </row>
    <row r="59" spans="1:27" ht="12.75" hidden="1" customHeight="1" outlineLevel="1">
      <c r="A59" s="3"/>
      <c r="B59" s="29"/>
      <c r="C59" s="133">
        <f>Asset46</f>
        <v>0</v>
      </c>
      <c r="D59" s="3"/>
      <c r="E59" s="3"/>
      <c r="F59" s="91"/>
      <c r="G59" s="1359">
        <f>'RFM input'!L52</f>
        <v>0</v>
      </c>
      <c r="H59" s="1358"/>
      <c r="I59" s="1358"/>
      <c r="J59" s="1358"/>
      <c r="K59" s="1358"/>
      <c r="L59" s="1358"/>
      <c r="M59" s="1340"/>
      <c r="N59" s="1340"/>
      <c r="O59" s="1340"/>
      <c r="P59" s="1340"/>
      <c r="Q59" s="1340"/>
      <c r="R59" s="90"/>
      <c r="S59" s="34"/>
      <c r="T59" s="90"/>
      <c r="U59" s="90"/>
      <c r="V59" s="90"/>
      <c r="W59" s="90"/>
      <c r="X59" s="90"/>
      <c r="Y59" s="90"/>
      <c r="Z59" s="90"/>
      <c r="AA59" s="152"/>
    </row>
    <row r="60" spans="1:27" ht="12.75" hidden="1" customHeight="1" outlineLevel="1">
      <c r="A60" s="3"/>
      <c r="B60" s="29"/>
      <c r="C60" s="133">
        <f>Asset47</f>
        <v>0</v>
      </c>
      <c r="D60" s="3"/>
      <c r="E60" s="3"/>
      <c r="F60" s="91"/>
      <c r="G60" s="1359">
        <f>'RFM input'!L53</f>
        <v>0</v>
      </c>
      <c r="H60" s="1358"/>
      <c r="I60" s="1358"/>
      <c r="J60" s="1358"/>
      <c r="K60" s="1358"/>
      <c r="L60" s="1358"/>
      <c r="M60" s="1340"/>
      <c r="N60" s="1340"/>
      <c r="O60" s="1340"/>
      <c r="P60" s="1340"/>
      <c r="Q60" s="1340"/>
      <c r="R60" s="90"/>
      <c r="S60" s="34"/>
      <c r="T60" s="90"/>
      <c r="U60" s="90"/>
      <c r="V60" s="90"/>
      <c r="W60" s="90"/>
      <c r="X60" s="90"/>
      <c r="Y60" s="90"/>
      <c r="Z60" s="90"/>
      <c r="AA60" s="152"/>
    </row>
    <row r="61" spans="1:27" ht="12.75" hidden="1" customHeight="1" outlineLevel="1">
      <c r="A61" s="3"/>
      <c r="B61" s="29"/>
      <c r="C61" s="133">
        <f>Asset48</f>
        <v>0</v>
      </c>
      <c r="D61" s="3"/>
      <c r="E61" s="3"/>
      <c r="F61" s="91"/>
      <c r="G61" s="1359">
        <f>'RFM input'!L54</f>
        <v>0</v>
      </c>
      <c r="H61" s="1358"/>
      <c r="I61" s="1358"/>
      <c r="J61" s="1358"/>
      <c r="K61" s="1358"/>
      <c r="L61" s="1358"/>
      <c r="M61" s="1340"/>
      <c r="N61" s="1340"/>
      <c r="O61" s="1340"/>
      <c r="P61" s="1340"/>
      <c r="Q61" s="1340"/>
      <c r="R61" s="90"/>
      <c r="S61" s="34"/>
      <c r="T61" s="90"/>
      <c r="U61" s="90"/>
      <c r="V61" s="90"/>
      <c r="W61" s="90"/>
      <c r="X61" s="90"/>
      <c r="Y61" s="90"/>
      <c r="Z61" s="90"/>
      <c r="AA61" s="152"/>
    </row>
    <row r="62" spans="1:27" ht="12.75" hidden="1" customHeight="1" outlineLevel="1">
      <c r="A62" s="3"/>
      <c r="B62" s="29"/>
      <c r="C62" s="133">
        <f>Asset49</f>
        <v>0</v>
      </c>
      <c r="D62" s="3"/>
      <c r="E62" s="3"/>
      <c r="F62" s="91"/>
      <c r="G62" s="1359">
        <f>'RFM input'!L55</f>
        <v>0</v>
      </c>
      <c r="H62" s="1358"/>
      <c r="I62" s="1358"/>
      <c r="J62" s="1358"/>
      <c r="K62" s="1358"/>
      <c r="L62" s="1358"/>
      <c r="M62" s="1340"/>
      <c r="N62" s="1340"/>
      <c r="O62" s="1340"/>
      <c r="P62" s="1340"/>
      <c r="Q62" s="1340"/>
      <c r="R62" s="90"/>
      <c r="S62" s="34"/>
      <c r="T62" s="90"/>
      <c r="U62" s="90"/>
      <c r="V62" s="90"/>
      <c r="W62" s="90"/>
      <c r="X62" s="90"/>
      <c r="Y62" s="90"/>
      <c r="Z62" s="90"/>
      <c r="AA62" s="152"/>
    </row>
    <row r="63" spans="1:27" ht="12.75" hidden="1" customHeight="1" outlineLevel="1">
      <c r="A63" s="3"/>
      <c r="B63" s="29"/>
      <c r="C63" s="133">
        <f>Asset50</f>
        <v>0</v>
      </c>
      <c r="D63" s="3"/>
      <c r="E63" s="3"/>
      <c r="F63" s="91"/>
      <c r="G63" s="1359">
        <f>'RFM input'!L56</f>
        <v>0</v>
      </c>
      <c r="H63" s="1358"/>
      <c r="I63" s="1358"/>
      <c r="J63" s="1358"/>
      <c r="K63" s="1358"/>
      <c r="L63" s="1358"/>
      <c r="M63" s="1340"/>
      <c r="N63" s="1340"/>
      <c r="O63" s="1340"/>
      <c r="P63" s="1340"/>
      <c r="Q63" s="1340"/>
      <c r="R63" s="90"/>
      <c r="S63" s="34"/>
      <c r="T63" s="90"/>
      <c r="U63" s="90"/>
      <c r="V63" s="90"/>
      <c r="W63" s="90"/>
      <c r="X63" s="90"/>
      <c r="Y63" s="90"/>
      <c r="Z63" s="90"/>
      <c r="AA63" s="152"/>
    </row>
    <row r="64" spans="1:27" collapsed="1">
      <c r="A64" s="3"/>
      <c r="B64" s="29"/>
      <c r="C64" s="88"/>
      <c r="D64" s="3"/>
      <c r="E64" s="3"/>
      <c r="F64" s="91"/>
      <c r="G64" s="1359"/>
      <c r="H64" s="1358"/>
      <c r="I64" s="1358"/>
      <c r="J64" s="1358"/>
      <c r="K64" s="1358"/>
      <c r="L64" s="1358"/>
      <c r="M64" s="1340"/>
      <c r="N64" s="1340"/>
      <c r="O64" s="1340"/>
      <c r="P64" s="1340"/>
      <c r="Q64" s="1340"/>
      <c r="R64" s="90"/>
      <c r="S64" s="4"/>
      <c r="T64" s="90"/>
      <c r="U64" s="90"/>
      <c r="V64" s="90"/>
      <c r="W64" s="90"/>
      <c r="X64" s="90"/>
      <c r="Y64" s="90"/>
      <c r="Z64" s="90"/>
      <c r="AA64" s="152"/>
    </row>
    <row r="65" spans="1:27">
      <c r="A65" s="3"/>
      <c r="B65" s="29" t="s">
        <v>25</v>
      </c>
      <c r="C65" s="3"/>
      <c r="D65" s="3"/>
      <c r="E65" s="3"/>
      <c r="F65" s="3"/>
      <c r="G65" s="1357">
        <f>SUM(G66:G115)</f>
        <v>28.82919381448324</v>
      </c>
      <c r="H65" s="1340"/>
      <c r="I65" s="1340"/>
      <c r="J65" s="1340"/>
      <c r="K65" s="1340"/>
      <c r="L65" s="1340"/>
      <c r="M65" s="1340"/>
      <c r="N65" s="1340"/>
      <c r="O65" s="1340"/>
      <c r="P65" s="1340"/>
      <c r="Q65" s="1340"/>
      <c r="R65" s="90"/>
      <c r="S65" s="90"/>
      <c r="T65" s="90"/>
      <c r="U65" s="90"/>
      <c r="V65" s="90"/>
      <c r="W65" s="90"/>
      <c r="X65" s="90"/>
      <c r="Y65" s="90"/>
      <c r="Z65" s="90"/>
      <c r="AA65" s="152"/>
    </row>
    <row r="66" spans="1:27" hidden="1" outlineLevel="1">
      <c r="A66" s="3"/>
      <c r="B66" s="3"/>
      <c r="C66" s="133" t="str">
        <f>Asset1</f>
        <v>Mains</v>
      </c>
      <c r="D66" s="3"/>
      <c r="E66" s="3"/>
      <c r="F66" s="3"/>
      <c r="G66" s="1359">
        <f>'RFM input'!G223*(1+previous_vanilla)^0.5</f>
        <v>15.439282093373357</v>
      </c>
      <c r="H66" s="1341"/>
      <c r="I66" s="1341"/>
      <c r="J66" s="1341"/>
      <c r="K66" s="1341"/>
      <c r="L66" s="1341"/>
      <c r="M66" s="1341"/>
      <c r="N66" s="248"/>
      <c r="O66" s="248"/>
      <c r="P66" s="248"/>
      <c r="Q66" s="248"/>
      <c r="R66" s="3"/>
      <c r="S66" s="3"/>
      <c r="T66" s="3"/>
      <c r="U66" s="3"/>
      <c r="V66" s="3"/>
      <c r="W66" s="3"/>
      <c r="X66" s="3"/>
      <c r="Y66" s="3"/>
      <c r="Z66" s="3"/>
      <c r="AA66" s="152"/>
    </row>
    <row r="67" spans="1:27" hidden="1" outlineLevel="1">
      <c r="A67" s="3"/>
      <c r="B67" s="29"/>
      <c r="C67" s="133" t="str">
        <f>Asset2</f>
        <v>Inlets</v>
      </c>
      <c r="D67" s="3"/>
      <c r="E67" s="3"/>
      <c r="F67" s="91"/>
      <c r="G67" s="1359">
        <f>'RFM input'!G224*(1+previous_vanilla)^0.5</f>
        <v>5.4823622610499587</v>
      </c>
      <c r="H67" s="1341"/>
      <c r="I67" s="1341"/>
      <c r="J67" s="1341"/>
      <c r="K67" s="1341"/>
      <c r="L67" s="1341"/>
      <c r="M67" s="1341"/>
      <c r="N67" s="248"/>
      <c r="O67" s="248"/>
      <c r="P67" s="248"/>
      <c r="Q67" s="248"/>
      <c r="R67" s="71"/>
      <c r="S67" s="71"/>
      <c r="T67" s="71"/>
      <c r="U67" s="71"/>
      <c r="V67" s="71"/>
      <c r="W67" s="71"/>
      <c r="X67" s="71"/>
      <c r="Y67" s="71"/>
      <c r="Z67" s="71"/>
      <c r="AA67" s="152"/>
    </row>
    <row r="68" spans="1:27" hidden="1" outlineLevel="1">
      <c r="A68" s="3"/>
      <c r="B68" s="29"/>
      <c r="C68" s="133" t="str">
        <f>Asset3</f>
        <v>Meters</v>
      </c>
      <c r="D68" s="3"/>
      <c r="E68" s="3"/>
      <c r="F68" s="91"/>
      <c r="G68" s="1359">
        <f>'RFM input'!G225*(1+previous_vanilla)^0.5</f>
        <v>2.5177747451288335</v>
      </c>
      <c r="H68" s="1341"/>
      <c r="I68" s="1341"/>
      <c r="J68" s="1341"/>
      <c r="K68" s="1341"/>
      <c r="L68" s="1341"/>
      <c r="M68" s="1341"/>
      <c r="N68" s="248"/>
      <c r="O68" s="248"/>
      <c r="P68" s="248"/>
      <c r="Q68" s="248"/>
      <c r="R68" s="71"/>
      <c r="S68" s="71"/>
      <c r="T68" s="71"/>
      <c r="U68" s="71"/>
      <c r="V68" s="71"/>
      <c r="W68" s="71"/>
      <c r="X68" s="71"/>
      <c r="Y68" s="71"/>
      <c r="Z68" s="71"/>
      <c r="AA68" s="152"/>
    </row>
    <row r="69" spans="1:27" hidden="1" outlineLevel="1">
      <c r="A69" s="3"/>
      <c r="B69" s="29"/>
      <c r="C69" s="133" t="str">
        <f>Asset4</f>
        <v>Telemetry</v>
      </c>
      <c r="D69" s="3"/>
      <c r="E69" s="3"/>
      <c r="F69" s="91"/>
      <c r="G69" s="1359">
        <f>'RFM input'!G226*(1+previous_vanilla)^0.5</f>
        <v>0.51788791565969017</v>
      </c>
      <c r="H69" s="1341"/>
      <c r="I69" s="1341"/>
      <c r="J69" s="1341"/>
      <c r="K69" s="1341"/>
      <c r="L69" s="1341"/>
      <c r="M69" s="1341"/>
      <c r="N69" s="248"/>
      <c r="O69" s="248"/>
      <c r="P69" s="248"/>
      <c r="Q69" s="248"/>
      <c r="R69" s="71"/>
      <c r="S69" s="71"/>
      <c r="T69" s="71"/>
      <c r="U69" s="71"/>
      <c r="V69" s="71"/>
      <c r="W69" s="71"/>
      <c r="X69" s="71"/>
      <c r="Y69" s="71"/>
      <c r="Z69" s="71"/>
      <c r="AA69" s="152"/>
    </row>
    <row r="70" spans="1:27" hidden="1" outlineLevel="1">
      <c r="A70" s="3"/>
      <c r="B70" s="29"/>
      <c r="C70" s="133" t="str">
        <f>Asset5</f>
        <v>IT System</v>
      </c>
      <c r="D70" s="3"/>
      <c r="E70" s="3"/>
      <c r="F70" s="91"/>
      <c r="G70" s="1359">
        <f>'RFM input'!G227*(1+previous_vanilla)^0.5</f>
        <v>3.7818219679743938</v>
      </c>
      <c r="H70" s="1341"/>
      <c r="I70" s="1341"/>
      <c r="J70" s="1341"/>
      <c r="K70" s="1341"/>
      <c r="L70" s="1341"/>
      <c r="M70" s="1341"/>
      <c r="N70" s="248"/>
      <c r="O70" s="248"/>
      <c r="P70" s="248"/>
      <c r="Q70" s="248"/>
      <c r="R70" s="71"/>
      <c r="S70" s="71"/>
      <c r="T70" s="71"/>
      <c r="U70" s="71"/>
      <c r="V70" s="71"/>
      <c r="W70" s="71"/>
      <c r="X70" s="71"/>
      <c r="Y70" s="71"/>
      <c r="Z70" s="71"/>
      <c r="AA70" s="152"/>
    </row>
    <row r="71" spans="1:27" hidden="1" outlineLevel="1">
      <c r="A71" s="3"/>
      <c r="B71" s="29"/>
      <c r="C71" s="133" t="str">
        <f>Asset6</f>
        <v>Other Distribution System Equipment</v>
      </c>
      <c r="D71" s="3"/>
      <c r="E71" s="3"/>
      <c r="F71" s="91"/>
      <c r="G71" s="1359">
        <f>'RFM input'!G228*(1+previous_vanilla)^0.5</f>
        <v>1.0900648312970111</v>
      </c>
      <c r="H71" s="1341"/>
      <c r="I71" s="1341"/>
      <c r="J71" s="1341"/>
      <c r="K71" s="1341"/>
      <c r="L71" s="1341"/>
      <c r="M71" s="1341"/>
      <c r="N71" s="248"/>
      <c r="O71" s="248"/>
      <c r="P71" s="248"/>
      <c r="Q71" s="248"/>
      <c r="R71" s="71"/>
      <c r="S71" s="71"/>
      <c r="T71" s="71"/>
      <c r="U71" s="71"/>
      <c r="V71" s="71"/>
      <c r="W71" s="71"/>
      <c r="X71" s="71"/>
      <c r="Y71" s="71"/>
      <c r="Z71" s="71"/>
      <c r="AA71" s="152"/>
    </row>
    <row r="72" spans="1:27" hidden="1" outlineLevel="1">
      <c r="A72" s="3"/>
      <c r="B72" s="29"/>
      <c r="C72" s="133" t="str">
        <f>Asset7</f>
        <v>Other</v>
      </c>
      <c r="D72" s="3"/>
      <c r="E72" s="3"/>
      <c r="F72" s="91"/>
      <c r="G72" s="1359">
        <f>'RFM input'!G229*(1+previous_vanilla)^0.5</f>
        <v>0</v>
      </c>
      <c r="H72" s="1341"/>
      <c r="I72" s="1341"/>
      <c r="J72" s="1341"/>
      <c r="K72" s="1341"/>
      <c r="L72" s="1341"/>
      <c r="M72" s="1341"/>
      <c r="N72" s="248"/>
      <c r="O72" s="248"/>
      <c r="P72" s="248"/>
      <c r="Q72" s="248"/>
      <c r="R72" s="71"/>
      <c r="S72" s="71"/>
      <c r="T72" s="71"/>
      <c r="U72" s="71"/>
      <c r="V72" s="71"/>
      <c r="W72" s="71"/>
      <c r="X72" s="71"/>
      <c r="Y72" s="71"/>
      <c r="Z72" s="71"/>
      <c r="AA72" s="152"/>
    </row>
    <row r="73" spans="1:27" hidden="1" outlineLevel="1">
      <c r="A73" s="3"/>
      <c r="B73" s="29"/>
      <c r="C73" s="133">
        <f>Asset8</f>
        <v>0</v>
      </c>
      <c r="D73" s="3"/>
      <c r="E73" s="3"/>
      <c r="F73" s="91"/>
      <c r="G73" s="1359">
        <f>'RFM input'!G230*(1+previous_vanilla)^0.5</f>
        <v>0</v>
      </c>
      <c r="H73" s="1341"/>
      <c r="I73" s="1341"/>
      <c r="J73" s="1341"/>
      <c r="K73" s="1341"/>
      <c r="L73" s="1341"/>
      <c r="M73" s="1341"/>
      <c r="N73" s="248"/>
      <c r="O73" s="248"/>
      <c r="P73" s="248"/>
      <c r="Q73" s="248"/>
      <c r="R73" s="71"/>
      <c r="S73" s="71"/>
      <c r="T73" s="71"/>
      <c r="U73" s="71"/>
      <c r="V73" s="71"/>
      <c r="W73" s="71"/>
      <c r="X73" s="71"/>
      <c r="Y73" s="71"/>
      <c r="Z73" s="71"/>
      <c r="AA73" s="152"/>
    </row>
    <row r="74" spans="1:27" hidden="1" outlineLevel="1">
      <c r="A74" s="3"/>
      <c r="B74" s="29"/>
      <c r="C74" s="133">
        <f>Asset9</f>
        <v>0</v>
      </c>
      <c r="D74" s="3"/>
      <c r="E74" s="3"/>
      <c r="F74" s="91"/>
      <c r="G74" s="1359">
        <f>'RFM input'!G231*(1+previous_vanilla)^0.5</f>
        <v>0</v>
      </c>
      <c r="H74" s="1341"/>
      <c r="I74" s="1341"/>
      <c r="J74" s="1341"/>
      <c r="K74" s="1341"/>
      <c r="L74" s="1341"/>
      <c r="M74" s="1341"/>
      <c r="N74" s="248"/>
      <c r="O74" s="248"/>
      <c r="P74" s="248"/>
      <c r="Q74" s="248"/>
      <c r="R74" s="71"/>
      <c r="S74" s="71"/>
      <c r="T74" s="71"/>
      <c r="U74" s="71"/>
      <c r="V74" s="71"/>
      <c r="W74" s="71"/>
      <c r="X74" s="71"/>
      <c r="Y74" s="71"/>
      <c r="Z74" s="71"/>
      <c r="AA74" s="152"/>
    </row>
    <row r="75" spans="1:27" hidden="1" outlineLevel="1">
      <c r="A75" s="3"/>
      <c r="B75" s="29"/>
      <c r="C75" s="133">
        <f>Asset10</f>
        <v>0</v>
      </c>
      <c r="D75" s="3"/>
      <c r="E75" s="3"/>
      <c r="F75" s="91"/>
      <c r="G75" s="1359">
        <f>'RFM input'!G232*(1+previous_vanilla)^0.5</f>
        <v>0</v>
      </c>
      <c r="H75" s="1341"/>
      <c r="I75" s="1341"/>
      <c r="J75" s="1341"/>
      <c r="K75" s="1341"/>
      <c r="L75" s="1341"/>
      <c r="M75" s="1341"/>
      <c r="N75" s="248"/>
      <c r="O75" s="248"/>
      <c r="P75" s="248"/>
      <c r="Q75" s="248"/>
      <c r="R75" s="71"/>
      <c r="S75" s="71"/>
      <c r="T75" s="71"/>
      <c r="U75" s="71"/>
      <c r="V75" s="71"/>
      <c r="W75" s="71"/>
      <c r="X75" s="71"/>
      <c r="Y75" s="71"/>
      <c r="Z75" s="71"/>
      <c r="AA75" s="152"/>
    </row>
    <row r="76" spans="1:27" hidden="1" outlineLevel="1">
      <c r="A76" s="3"/>
      <c r="B76" s="29"/>
      <c r="C76" s="133">
        <f>Asset11</f>
        <v>0</v>
      </c>
      <c r="D76" s="3"/>
      <c r="E76" s="3"/>
      <c r="F76" s="91"/>
      <c r="G76" s="1359">
        <f>'RFM input'!G233*(1+previous_vanilla)^0.5</f>
        <v>0</v>
      </c>
      <c r="H76" s="1341"/>
      <c r="I76" s="1341"/>
      <c r="J76" s="1341"/>
      <c r="K76" s="1341"/>
      <c r="L76" s="1341"/>
      <c r="M76" s="1341"/>
      <c r="N76" s="248"/>
      <c r="O76" s="248"/>
      <c r="P76" s="248"/>
      <c r="Q76" s="248"/>
      <c r="R76" s="71"/>
      <c r="S76" s="71"/>
      <c r="T76" s="71"/>
      <c r="U76" s="71"/>
      <c r="V76" s="71"/>
      <c r="W76" s="71"/>
      <c r="X76" s="71"/>
      <c r="Y76" s="71"/>
      <c r="Z76" s="71"/>
      <c r="AA76" s="152"/>
    </row>
    <row r="77" spans="1:27" hidden="1" outlineLevel="1">
      <c r="A77" s="3"/>
      <c r="B77" s="29"/>
      <c r="C77" s="133">
        <f>Asset12</f>
        <v>0</v>
      </c>
      <c r="D77" s="3"/>
      <c r="E77" s="3"/>
      <c r="F77" s="91"/>
      <c r="G77" s="1359">
        <f>'RFM input'!G234*(1+previous_vanilla)^0.5</f>
        <v>0</v>
      </c>
      <c r="H77" s="1341"/>
      <c r="I77" s="1341"/>
      <c r="J77" s="1341"/>
      <c r="K77" s="1341"/>
      <c r="L77" s="1341"/>
      <c r="M77" s="1341"/>
      <c r="N77" s="248"/>
      <c r="O77" s="248"/>
      <c r="P77" s="248"/>
      <c r="Q77" s="248"/>
      <c r="R77" s="71"/>
      <c r="S77" s="71"/>
      <c r="T77" s="71"/>
      <c r="U77" s="71"/>
      <c r="V77" s="71"/>
      <c r="W77" s="71"/>
      <c r="X77" s="71"/>
      <c r="Y77" s="71"/>
      <c r="Z77" s="71"/>
      <c r="AA77" s="152"/>
    </row>
    <row r="78" spans="1:27" hidden="1" outlineLevel="1">
      <c r="A78" s="3"/>
      <c r="B78" s="29"/>
      <c r="C78" s="133">
        <f>Asset13</f>
        <v>0</v>
      </c>
      <c r="D78" s="3"/>
      <c r="E78" s="3"/>
      <c r="F78" s="91"/>
      <c r="G78" s="1359">
        <f>'RFM input'!G235*(1+previous_vanilla)^0.5</f>
        <v>0</v>
      </c>
      <c r="H78" s="1341"/>
      <c r="I78" s="1341"/>
      <c r="J78" s="1341"/>
      <c r="K78" s="1341"/>
      <c r="L78" s="1341"/>
      <c r="M78" s="1341"/>
      <c r="N78" s="248"/>
      <c r="O78" s="248"/>
      <c r="P78" s="248"/>
      <c r="Q78" s="248"/>
      <c r="R78" s="71"/>
      <c r="S78" s="71"/>
      <c r="T78" s="71"/>
      <c r="U78" s="71"/>
      <c r="V78" s="71"/>
      <c r="W78" s="71"/>
      <c r="X78" s="71"/>
      <c r="Y78" s="71"/>
      <c r="Z78" s="71"/>
      <c r="AA78" s="152"/>
    </row>
    <row r="79" spans="1:27" hidden="1" outlineLevel="1">
      <c r="A79" s="3"/>
      <c r="B79" s="29"/>
      <c r="C79" s="133">
        <f>Asset14</f>
        <v>0</v>
      </c>
      <c r="D79" s="3"/>
      <c r="E79" s="3"/>
      <c r="F79" s="91"/>
      <c r="G79" s="1359">
        <f>'RFM input'!G236*(1+previous_vanilla)^0.5</f>
        <v>0</v>
      </c>
      <c r="H79" s="1341"/>
      <c r="I79" s="1341"/>
      <c r="J79" s="1341"/>
      <c r="K79" s="1341"/>
      <c r="L79" s="1341"/>
      <c r="M79" s="1341"/>
      <c r="N79" s="248"/>
      <c r="O79" s="248"/>
      <c r="P79" s="248"/>
      <c r="Q79" s="248"/>
      <c r="R79" s="71"/>
      <c r="S79" s="71"/>
      <c r="T79" s="71"/>
      <c r="U79" s="71"/>
      <c r="V79" s="71"/>
      <c r="W79" s="71"/>
      <c r="X79" s="71"/>
      <c r="Y79" s="71"/>
      <c r="Z79" s="71"/>
      <c r="AA79" s="152"/>
    </row>
    <row r="80" spans="1:27" hidden="1" outlineLevel="1">
      <c r="A80" s="3"/>
      <c r="B80" s="29"/>
      <c r="C80" s="133">
        <f>Asset15</f>
        <v>0</v>
      </c>
      <c r="D80" s="3"/>
      <c r="E80" s="3"/>
      <c r="F80" s="91"/>
      <c r="G80" s="1359">
        <f>'RFM input'!G237*(1+previous_vanilla)^0.5</f>
        <v>0</v>
      </c>
      <c r="H80" s="1341"/>
      <c r="I80" s="1341"/>
      <c r="J80" s="1341"/>
      <c r="K80" s="1341"/>
      <c r="L80" s="1341"/>
      <c r="M80" s="1341"/>
      <c r="N80" s="248"/>
      <c r="O80" s="248"/>
      <c r="P80" s="248"/>
      <c r="Q80" s="248"/>
      <c r="R80" s="71"/>
      <c r="S80" s="71"/>
      <c r="T80" s="71"/>
      <c r="U80" s="71"/>
      <c r="V80" s="71"/>
      <c r="W80" s="71"/>
      <c r="X80" s="71"/>
      <c r="Y80" s="71"/>
      <c r="Z80" s="71"/>
      <c r="AA80" s="152"/>
    </row>
    <row r="81" spans="1:27" hidden="1" outlineLevel="1">
      <c r="A81" s="3"/>
      <c r="B81" s="29"/>
      <c r="C81" s="133">
        <f>Asset16</f>
        <v>0</v>
      </c>
      <c r="D81" s="3"/>
      <c r="E81" s="3"/>
      <c r="F81" s="91"/>
      <c r="G81" s="1359">
        <f>'RFM input'!G238*(1+previous_vanilla)^0.5</f>
        <v>0</v>
      </c>
      <c r="H81" s="1341"/>
      <c r="I81" s="1341"/>
      <c r="J81" s="1341"/>
      <c r="K81" s="1341"/>
      <c r="L81" s="1341"/>
      <c r="M81" s="1341"/>
      <c r="N81" s="248"/>
      <c r="O81" s="248"/>
      <c r="P81" s="248"/>
      <c r="Q81" s="248"/>
      <c r="R81" s="71"/>
      <c r="S81" s="71"/>
      <c r="T81" s="71"/>
      <c r="U81" s="71"/>
      <c r="V81" s="71"/>
      <c r="W81" s="71"/>
      <c r="X81" s="71"/>
      <c r="Y81" s="71"/>
      <c r="Z81" s="71"/>
      <c r="AA81" s="152"/>
    </row>
    <row r="82" spans="1:27" hidden="1" outlineLevel="1">
      <c r="A82" s="3"/>
      <c r="B82" s="29"/>
      <c r="C82" s="133">
        <f>Asset17</f>
        <v>0</v>
      </c>
      <c r="D82" s="3"/>
      <c r="E82" s="3"/>
      <c r="F82" s="91"/>
      <c r="G82" s="1359">
        <f>'RFM input'!G239*(1+previous_vanilla)^0.5</f>
        <v>0</v>
      </c>
      <c r="H82" s="1341"/>
      <c r="I82" s="1341"/>
      <c r="J82" s="1341"/>
      <c r="K82" s="1341"/>
      <c r="L82" s="1341"/>
      <c r="M82" s="1341"/>
      <c r="N82" s="248"/>
      <c r="O82" s="248"/>
      <c r="P82" s="248"/>
      <c r="Q82" s="248"/>
      <c r="R82" s="71"/>
      <c r="S82" s="71"/>
      <c r="T82" s="71"/>
      <c r="U82" s="71"/>
      <c r="V82" s="71"/>
      <c r="W82" s="71"/>
      <c r="X82" s="71"/>
      <c r="Y82" s="71"/>
      <c r="Z82" s="71"/>
      <c r="AA82" s="152"/>
    </row>
    <row r="83" spans="1:27" hidden="1" outlineLevel="1">
      <c r="A83" s="3"/>
      <c r="B83" s="29"/>
      <c r="C83" s="133">
        <f>Asset18</f>
        <v>0</v>
      </c>
      <c r="D83" s="3"/>
      <c r="E83" s="3"/>
      <c r="F83" s="91"/>
      <c r="G83" s="1359">
        <f>'RFM input'!G240*(1+previous_vanilla)^0.5</f>
        <v>0</v>
      </c>
      <c r="H83" s="1341"/>
      <c r="I83" s="1341"/>
      <c r="J83" s="1341"/>
      <c r="K83" s="1341"/>
      <c r="L83" s="1341"/>
      <c r="M83" s="1341"/>
      <c r="N83" s="248"/>
      <c r="O83" s="248"/>
      <c r="P83" s="248"/>
      <c r="Q83" s="248"/>
      <c r="R83" s="71"/>
      <c r="S83" s="71"/>
      <c r="T83" s="71"/>
      <c r="U83" s="71"/>
      <c r="V83" s="71"/>
      <c r="W83" s="71"/>
      <c r="X83" s="71"/>
      <c r="Y83" s="71"/>
      <c r="Z83" s="71"/>
      <c r="AA83" s="152"/>
    </row>
    <row r="84" spans="1:27" hidden="1" outlineLevel="1">
      <c r="A84" s="3"/>
      <c r="B84" s="29"/>
      <c r="C84" s="133">
        <f>Asset19</f>
        <v>0</v>
      </c>
      <c r="D84" s="3"/>
      <c r="E84" s="3"/>
      <c r="F84" s="91"/>
      <c r="G84" s="1359">
        <f>'RFM input'!G241*(1+previous_vanilla)^0.5</f>
        <v>0</v>
      </c>
      <c r="H84" s="1341"/>
      <c r="I84" s="1341"/>
      <c r="J84" s="1341"/>
      <c r="K84" s="1341"/>
      <c r="L84" s="1341"/>
      <c r="M84" s="1341"/>
      <c r="N84" s="248"/>
      <c r="O84" s="248"/>
      <c r="P84" s="248"/>
      <c r="Q84" s="248"/>
      <c r="R84" s="71"/>
      <c r="S84" s="71"/>
      <c r="T84" s="71"/>
      <c r="U84" s="71"/>
      <c r="V84" s="71"/>
      <c r="W84" s="71"/>
      <c r="X84" s="71"/>
      <c r="Y84" s="71"/>
      <c r="Z84" s="71"/>
      <c r="AA84" s="152"/>
    </row>
    <row r="85" spans="1:27" hidden="1" outlineLevel="1">
      <c r="A85" s="3"/>
      <c r="B85" s="29"/>
      <c r="C85" s="133">
        <f>Asset20</f>
        <v>0</v>
      </c>
      <c r="D85" s="3"/>
      <c r="E85" s="3"/>
      <c r="F85" s="91"/>
      <c r="G85" s="1359">
        <f>'RFM input'!G242*(1+previous_vanilla)^0.5</f>
        <v>0</v>
      </c>
      <c r="H85" s="1341"/>
      <c r="I85" s="1341"/>
      <c r="J85" s="1341"/>
      <c r="K85" s="1341"/>
      <c r="L85" s="1341"/>
      <c r="M85" s="1341"/>
      <c r="N85" s="248"/>
      <c r="O85" s="248"/>
      <c r="P85" s="248"/>
      <c r="Q85" s="248"/>
      <c r="R85" s="71"/>
      <c r="S85" s="71"/>
      <c r="T85" s="71"/>
      <c r="U85" s="71"/>
      <c r="V85" s="71"/>
      <c r="W85" s="71"/>
      <c r="X85" s="71"/>
      <c r="Y85" s="71"/>
      <c r="Z85" s="71"/>
      <c r="AA85" s="152"/>
    </row>
    <row r="86" spans="1:27" hidden="1" outlineLevel="1">
      <c r="A86" s="3"/>
      <c r="B86" s="29"/>
      <c r="C86" s="133">
        <f>Asset21</f>
        <v>0</v>
      </c>
      <c r="D86" s="3"/>
      <c r="E86" s="3"/>
      <c r="F86" s="91"/>
      <c r="G86" s="1359">
        <f>'RFM input'!G243*(1+previous_vanilla)^0.5</f>
        <v>0</v>
      </c>
      <c r="H86" s="1341"/>
      <c r="I86" s="1341"/>
      <c r="J86" s="1341"/>
      <c r="K86" s="1341"/>
      <c r="L86" s="1341"/>
      <c r="M86" s="1341"/>
      <c r="N86" s="248"/>
      <c r="O86" s="248"/>
      <c r="P86" s="248"/>
      <c r="Q86" s="248"/>
      <c r="R86" s="71"/>
      <c r="S86" s="71"/>
      <c r="T86" s="71"/>
      <c r="U86" s="71"/>
      <c r="V86" s="71"/>
      <c r="W86" s="71"/>
      <c r="X86" s="71"/>
      <c r="Y86" s="71"/>
      <c r="Z86" s="71"/>
      <c r="AA86" s="152"/>
    </row>
    <row r="87" spans="1:27" hidden="1" outlineLevel="1">
      <c r="A87" s="3"/>
      <c r="B87" s="29"/>
      <c r="C87" s="133">
        <f>Asset22</f>
        <v>0</v>
      </c>
      <c r="D87" s="3"/>
      <c r="E87" s="3"/>
      <c r="F87" s="91"/>
      <c r="G87" s="1359">
        <f>'RFM input'!G244*(1+previous_vanilla)^0.5</f>
        <v>0</v>
      </c>
      <c r="H87" s="1341"/>
      <c r="I87" s="1341"/>
      <c r="J87" s="1341"/>
      <c r="K87" s="1341"/>
      <c r="L87" s="1341"/>
      <c r="M87" s="1341"/>
      <c r="N87" s="248"/>
      <c r="O87" s="248"/>
      <c r="P87" s="248"/>
      <c r="Q87" s="248"/>
      <c r="R87" s="71"/>
      <c r="S87" s="71"/>
      <c r="T87" s="71"/>
      <c r="U87" s="71"/>
      <c r="V87" s="71"/>
      <c r="W87" s="71"/>
      <c r="X87" s="71"/>
      <c r="Y87" s="71"/>
      <c r="Z87" s="71"/>
      <c r="AA87" s="152"/>
    </row>
    <row r="88" spans="1:27" hidden="1" outlineLevel="1">
      <c r="A88" s="3"/>
      <c r="B88" s="29"/>
      <c r="C88" s="133">
        <f>Asset23</f>
        <v>0</v>
      </c>
      <c r="D88" s="3"/>
      <c r="E88" s="3"/>
      <c r="F88" s="91"/>
      <c r="G88" s="1359">
        <f>'RFM input'!G245*(1+previous_vanilla)^0.5</f>
        <v>0</v>
      </c>
      <c r="H88" s="1341"/>
      <c r="I88" s="1341"/>
      <c r="J88" s="1341"/>
      <c r="K88" s="1341"/>
      <c r="L88" s="1341"/>
      <c r="M88" s="1341"/>
      <c r="N88" s="248"/>
      <c r="O88" s="248"/>
      <c r="P88" s="248"/>
      <c r="Q88" s="248"/>
      <c r="R88" s="71"/>
      <c r="S88" s="71"/>
      <c r="T88" s="71"/>
      <c r="U88" s="71"/>
      <c r="V88" s="71"/>
      <c r="W88" s="71"/>
      <c r="X88" s="71"/>
      <c r="Y88" s="71"/>
      <c r="Z88" s="71"/>
      <c r="AA88" s="152"/>
    </row>
    <row r="89" spans="1:27" hidden="1" outlineLevel="1">
      <c r="A89" s="3"/>
      <c r="B89" s="29"/>
      <c r="C89" s="133">
        <f>Asset24</f>
        <v>0</v>
      </c>
      <c r="D89" s="3"/>
      <c r="E89" s="3"/>
      <c r="F89" s="91"/>
      <c r="G89" s="1359">
        <f>'RFM input'!G246*(1+previous_vanilla)^0.5</f>
        <v>0</v>
      </c>
      <c r="H89" s="1341"/>
      <c r="I89" s="1341"/>
      <c r="J89" s="1341"/>
      <c r="K89" s="1341"/>
      <c r="L89" s="1341"/>
      <c r="M89" s="1341"/>
      <c r="N89" s="248"/>
      <c r="O89" s="248"/>
      <c r="P89" s="248"/>
      <c r="Q89" s="248"/>
      <c r="R89" s="71"/>
      <c r="S89" s="71"/>
      <c r="T89" s="71"/>
      <c r="U89" s="71"/>
      <c r="V89" s="71"/>
      <c r="W89" s="71"/>
      <c r="X89" s="71"/>
      <c r="Y89" s="71"/>
      <c r="Z89" s="71"/>
      <c r="AA89" s="152"/>
    </row>
    <row r="90" spans="1:27" hidden="1" outlineLevel="1">
      <c r="A90" s="3"/>
      <c r="B90" s="29"/>
      <c r="C90" s="133">
        <f>Asset25</f>
        <v>0</v>
      </c>
      <c r="D90" s="3"/>
      <c r="E90" s="3"/>
      <c r="F90" s="91"/>
      <c r="G90" s="1359">
        <f>'RFM input'!G247*(1+previous_vanilla)^0.5</f>
        <v>0</v>
      </c>
      <c r="H90" s="1341"/>
      <c r="I90" s="1341"/>
      <c r="J90" s="1341"/>
      <c r="K90" s="1341"/>
      <c r="L90" s="1341"/>
      <c r="M90" s="1341"/>
      <c r="N90" s="248"/>
      <c r="O90" s="248"/>
      <c r="P90" s="248"/>
      <c r="Q90" s="248"/>
      <c r="R90" s="71"/>
      <c r="S90" s="71"/>
      <c r="T90" s="71"/>
      <c r="U90" s="71"/>
      <c r="V90" s="71"/>
      <c r="W90" s="71"/>
      <c r="X90" s="71"/>
      <c r="Y90" s="71"/>
      <c r="Z90" s="71"/>
      <c r="AA90" s="152"/>
    </row>
    <row r="91" spans="1:27" hidden="1" outlineLevel="1">
      <c r="A91" s="3"/>
      <c r="B91" s="29"/>
      <c r="C91" s="133">
        <f>Asset26</f>
        <v>0</v>
      </c>
      <c r="D91" s="3"/>
      <c r="E91" s="3"/>
      <c r="F91" s="91"/>
      <c r="G91" s="1359">
        <f>'RFM input'!G248*(1+previous_vanilla)^0.5</f>
        <v>0</v>
      </c>
      <c r="H91" s="1341"/>
      <c r="I91" s="1341"/>
      <c r="J91" s="1341"/>
      <c r="K91" s="1341"/>
      <c r="L91" s="1341"/>
      <c r="M91" s="1341"/>
      <c r="N91" s="248"/>
      <c r="O91" s="248"/>
      <c r="P91" s="248"/>
      <c r="Q91" s="248"/>
      <c r="R91" s="71"/>
      <c r="S91" s="71"/>
      <c r="T91" s="71"/>
      <c r="U91" s="71"/>
      <c r="V91" s="71"/>
      <c r="W91" s="71"/>
      <c r="X91" s="71"/>
      <c r="Y91" s="71"/>
      <c r="Z91" s="71"/>
      <c r="AA91" s="152"/>
    </row>
    <row r="92" spans="1:27" hidden="1" outlineLevel="1">
      <c r="A92" s="3"/>
      <c r="B92" s="29"/>
      <c r="C92" s="133">
        <f>Asset27</f>
        <v>0</v>
      </c>
      <c r="D92" s="3"/>
      <c r="E92" s="3"/>
      <c r="F92" s="91"/>
      <c r="G92" s="1359">
        <f>'RFM input'!G249*(1+previous_vanilla)^0.5</f>
        <v>0</v>
      </c>
      <c r="H92" s="1341"/>
      <c r="I92" s="1341"/>
      <c r="J92" s="1341"/>
      <c r="K92" s="1341"/>
      <c r="L92" s="1341"/>
      <c r="M92" s="1341"/>
      <c r="N92" s="248"/>
      <c r="O92" s="248"/>
      <c r="P92" s="248"/>
      <c r="Q92" s="248"/>
      <c r="R92" s="71"/>
      <c r="S92" s="71"/>
      <c r="T92" s="71"/>
      <c r="U92" s="71"/>
      <c r="V92" s="71"/>
      <c r="W92" s="71"/>
      <c r="X92" s="71"/>
      <c r="Y92" s="71"/>
      <c r="Z92" s="71"/>
      <c r="AA92" s="152"/>
    </row>
    <row r="93" spans="1:27" hidden="1" outlineLevel="1">
      <c r="A93" s="3"/>
      <c r="B93" s="29"/>
      <c r="C93" s="133">
        <f>Asset28</f>
        <v>0</v>
      </c>
      <c r="D93" s="3"/>
      <c r="E93" s="3"/>
      <c r="F93" s="91"/>
      <c r="G93" s="1359">
        <f>'RFM input'!G250*(1+previous_vanilla)^0.5</f>
        <v>0</v>
      </c>
      <c r="H93" s="1341"/>
      <c r="I93" s="1341"/>
      <c r="J93" s="1341"/>
      <c r="K93" s="1341"/>
      <c r="L93" s="1341"/>
      <c r="M93" s="1341"/>
      <c r="N93" s="248"/>
      <c r="O93" s="248"/>
      <c r="P93" s="248"/>
      <c r="Q93" s="248"/>
      <c r="R93" s="71"/>
      <c r="S93" s="71"/>
      <c r="T93" s="71"/>
      <c r="U93" s="71"/>
      <c r="V93" s="71"/>
      <c r="W93" s="71"/>
      <c r="X93" s="71"/>
      <c r="Y93" s="71"/>
      <c r="Z93" s="71"/>
      <c r="AA93" s="152"/>
    </row>
    <row r="94" spans="1:27" hidden="1" outlineLevel="1">
      <c r="A94" s="3"/>
      <c r="B94" s="29"/>
      <c r="C94" s="133">
        <f>Asset29</f>
        <v>0</v>
      </c>
      <c r="D94" s="3"/>
      <c r="E94" s="3"/>
      <c r="F94" s="91"/>
      <c r="G94" s="1359">
        <f>'RFM input'!G251*(1+previous_vanilla)^0.5</f>
        <v>0</v>
      </c>
      <c r="H94" s="1341"/>
      <c r="I94" s="1341"/>
      <c r="J94" s="1341"/>
      <c r="K94" s="1341"/>
      <c r="L94" s="1341"/>
      <c r="M94" s="1341"/>
      <c r="N94" s="248"/>
      <c r="O94" s="248"/>
      <c r="P94" s="248"/>
      <c r="Q94" s="248"/>
      <c r="R94" s="71"/>
      <c r="S94" s="71"/>
      <c r="T94" s="71"/>
      <c r="U94" s="71"/>
      <c r="V94" s="71"/>
      <c r="W94" s="71"/>
      <c r="X94" s="71"/>
      <c r="Y94" s="71"/>
      <c r="Z94" s="71"/>
      <c r="AA94" s="152"/>
    </row>
    <row r="95" spans="1:27" hidden="1" outlineLevel="1">
      <c r="A95" s="3"/>
      <c r="B95" s="29"/>
      <c r="C95" s="133">
        <f>Asset30</f>
        <v>0</v>
      </c>
      <c r="D95" s="3"/>
      <c r="E95" s="3"/>
      <c r="F95" s="91"/>
      <c r="G95" s="1359">
        <f>'RFM input'!G252*(1+previous_vanilla)^0.5</f>
        <v>0</v>
      </c>
      <c r="H95" s="1341"/>
      <c r="I95" s="1341"/>
      <c r="J95" s="1341"/>
      <c r="K95" s="1341"/>
      <c r="L95" s="1341"/>
      <c r="M95" s="1341"/>
      <c r="N95" s="248"/>
      <c r="O95" s="248"/>
      <c r="P95" s="248"/>
      <c r="Q95" s="248"/>
      <c r="R95" s="71"/>
      <c r="S95" s="71"/>
      <c r="T95" s="71"/>
      <c r="U95" s="71"/>
      <c r="V95" s="71"/>
      <c r="W95" s="71"/>
      <c r="X95" s="71"/>
      <c r="Y95" s="71"/>
      <c r="Z95" s="71"/>
      <c r="AA95" s="152"/>
    </row>
    <row r="96" spans="1:27" hidden="1" outlineLevel="1">
      <c r="A96" s="3"/>
      <c r="B96" s="29"/>
      <c r="C96" s="133">
        <f>Asset31</f>
        <v>0</v>
      </c>
      <c r="D96" s="3"/>
      <c r="E96" s="3"/>
      <c r="F96" s="91"/>
      <c r="G96" s="1359">
        <f>'RFM input'!G253*(1+previous_vanilla)^0.5</f>
        <v>0</v>
      </c>
      <c r="H96" s="1341"/>
      <c r="I96" s="1341"/>
      <c r="J96" s="1341"/>
      <c r="K96" s="1341"/>
      <c r="L96" s="1341"/>
      <c r="M96" s="1341"/>
      <c r="N96" s="248"/>
      <c r="O96" s="248"/>
      <c r="P96" s="248"/>
      <c r="Q96" s="248"/>
      <c r="R96" s="71"/>
      <c r="S96" s="71"/>
      <c r="T96" s="71"/>
      <c r="U96" s="71"/>
      <c r="V96" s="71"/>
      <c r="W96" s="71"/>
      <c r="X96" s="71"/>
      <c r="Y96" s="71"/>
      <c r="Z96" s="71"/>
      <c r="AA96" s="152"/>
    </row>
    <row r="97" spans="1:27" hidden="1" outlineLevel="1">
      <c r="A97" s="3"/>
      <c r="B97" s="29"/>
      <c r="C97" s="133">
        <f>Asset32</f>
        <v>0</v>
      </c>
      <c r="D97" s="3"/>
      <c r="E97" s="3"/>
      <c r="F97" s="91"/>
      <c r="G97" s="1359">
        <f>'RFM input'!G254*(1+previous_vanilla)^0.5</f>
        <v>0</v>
      </c>
      <c r="H97" s="1341"/>
      <c r="I97" s="1341"/>
      <c r="J97" s="1341"/>
      <c r="K97" s="1341"/>
      <c r="L97" s="1341"/>
      <c r="M97" s="1341"/>
      <c r="N97" s="248"/>
      <c r="O97" s="248"/>
      <c r="P97" s="248"/>
      <c r="Q97" s="248"/>
      <c r="R97" s="71"/>
      <c r="S97" s="71"/>
      <c r="T97" s="71"/>
      <c r="U97" s="71"/>
      <c r="V97" s="71"/>
      <c r="W97" s="71"/>
      <c r="X97" s="71"/>
      <c r="Y97" s="71"/>
      <c r="Z97" s="71"/>
      <c r="AA97" s="152"/>
    </row>
    <row r="98" spans="1:27" hidden="1" outlineLevel="1">
      <c r="A98" s="3"/>
      <c r="B98" s="29"/>
      <c r="C98" s="133">
        <f>Asset33</f>
        <v>0</v>
      </c>
      <c r="D98" s="3"/>
      <c r="E98" s="3"/>
      <c r="F98" s="91"/>
      <c r="G98" s="1359">
        <f>'RFM input'!G255*(1+previous_vanilla)^0.5</f>
        <v>0</v>
      </c>
      <c r="H98" s="1341"/>
      <c r="I98" s="1341"/>
      <c r="J98" s="1341"/>
      <c r="K98" s="1341"/>
      <c r="L98" s="1341"/>
      <c r="M98" s="1341"/>
      <c r="N98" s="248"/>
      <c r="O98" s="248"/>
      <c r="P98" s="248"/>
      <c r="Q98" s="248"/>
      <c r="R98" s="71"/>
      <c r="S98" s="71"/>
      <c r="T98" s="71"/>
      <c r="U98" s="71"/>
      <c r="V98" s="71"/>
      <c r="W98" s="71"/>
      <c r="X98" s="71"/>
      <c r="Y98" s="71"/>
      <c r="Z98" s="71"/>
      <c r="AA98" s="152"/>
    </row>
    <row r="99" spans="1:27" hidden="1" outlineLevel="1">
      <c r="A99" s="3"/>
      <c r="B99" s="29"/>
      <c r="C99" s="133">
        <f>Asset34</f>
        <v>0</v>
      </c>
      <c r="D99" s="3"/>
      <c r="E99" s="3"/>
      <c r="F99" s="91"/>
      <c r="G99" s="1359">
        <f>'RFM input'!G256*(1+previous_vanilla)^0.5</f>
        <v>0</v>
      </c>
      <c r="H99" s="1341"/>
      <c r="I99" s="1341"/>
      <c r="J99" s="1341"/>
      <c r="K99" s="1341"/>
      <c r="L99" s="1341"/>
      <c r="M99" s="1341"/>
      <c r="N99" s="248"/>
      <c r="O99" s="248"/>
      <c r="P99" s="248"/>
      <c r="Q99" s="248"/>
      <c r="R99" s="71"/>
      <c r="S99" s="71"/>
      <c r="T99" s="71"/>
      <c r="U99" s="71"/>
      <c r="V99" s="71"/>
      <c r="W99" s="71"/>
      <c r="X99" s="71"/>
      <c r="Y99" s="71"/>
      <c r="Z99" s="71"/>
      <c r="AA99" s="152"/>
    </row>
    <row r="100" spans="1:27" hidden="1" outlineLevel="1">
      <c r="A100" s="3"/>
      <c r="B100" s="29"/>
      <c r="C100" s="133">
        <f>Asset35</f>
        <v>0</v>
      </c>
      <c r="D100" s="3"/>
      <c r="E100" s="3"/>
      <c r="F100" s="91"/>
      <c r="G100" s="1359">
        <f>'RFM input'!G257*(1+previous_vanilla)^0.5</f>
        <v>0</v>
      </c>
      <c r="H100" s="1341"/>
      <c r="I100" s="1341"/>
      <c r="J100" s="1341"/>
      <c r="K100" s="1341"/>
      <c r="L100" s="1341"/>
      <c r="M100" s="1341"/>
      <c r="N100" s="248"/>
      <c r="O100" s="248"/>
      <c r="P100" s="248"/>
      <c r="Q100" s="248"/>
      <c r="R100" s="71"/>
      <c r="S100" s="71"/>
      <c r="T100" s="71"/>
      <c r="U100" s="71"/>
      <c r="V100" s="71"/>
      <c r="W100" s="71"/>
      <c r="X100" s="71"/>
      <c r="Y100" s="71"/>
      <c r="Z100" s="71"/>
      <c r="AA100" s="152"/>
    </row>
    <row r="101" spans="1:27" hidden="1" outlineLevel="1">
      <c r="A101" s="3"/>
      <c r="B101" s="29"/>
      <c r="C101" s="133">
        <f>Asset36</f>
        <v>0</v>
      </c>
      <c r="D101" s="3"/>
      <c r="E101" s="3"/>
      <c r="F101" s="91"/>
      <c r="G101" s="1359">
        <f>'RFM input'!G258*(1+previous_vanilla)^0.5</f>
        <v>0</v>
      </c>
      <c r="H101" s="1341"/>
      <c r="I101" s="1341"/>
      <c r="J101" s="1341"/>
      <c r="K101" s="1341"/>
      <c r="L101" s="1341"/>
      <c r="M101" s="1341"/>
      <c r="N101" s="248"/>
      <c r="O101" s="248"/>
      <c r="P101" s="248"/>
      <c r="Q101" s="248"/>
      <c r="R101" s="71"/>
      <c r="S101" s="71"/>
      <c r="T101" s="71"/>
      <c r="U101" s="71"/>
      <c r="V101" s="71"/>
      <c r="W101" s="71"/>
      <c r="X101" s="71"/>
      <c r="Y101" s="71"/>
      <c r="Z101" s="71"/>
      <c r="AA101" s="152"/>
    </row>
    <row r="102" spans="1:27" hidden="1" outlineLevel="1">
      <c r="A102" s="3"/>
      <c r="B102" s="29"/>
      <c r="C102" s="133">
        <f>Asset37</f>
        <v>0</v>
      </c>
      <c r="D102" s="3"/>
      <c r="E102" s="3"/>
      <c r="F102" s="91"/>
      <c r="G102" s="1359">
        <f>'RFM input'!G259*(1+previous_vanilla)^0.5</f>
        <v>0</v>
      </c>
      <c r="H102" s="1341"/>
      <c r="I102" s="1341"/>
      <c r="J102" s="1341"/>
      <c r="K102" s="1341"/>
      <c r="L102" s="1341"/>
      <c r="M102" s="1341"/>
      <c r="N102" s="248"/>
      <c r="O102" s="248"/>
      <c r="P102" s="248"/>
      <c r="Q102" s="248"/>
      <c r="R102" s="71"/>
      <c r="S102" s="71"/>
      <c r="T102" s="71"/>
      <c r="U102" s="71"/>
      <c r="V102" s="71"/>
      <c r="W102" s="71"/>
      <c r="X102" s="71"/>
      <c r="Y102" s="71"/>
      <c r="Z102" s="71"/>
      <c r="AA102" s="152"/>
    </row>
    <row r="103" spans="1:27" hidden="1" outlineLevel="1">
      <c r="A103" s="3"/>
      <c r="B103" s="29"/>
      <c r="C103" s="133">
        <f>Asset38</f>
        <v>0</v>
      </c>
      <c r="D103" s="3"/>
      <c r="E103" s="3"/>
      <c r="F103" s="91"/>
      <c r="G103" s="1359">
        <f>'RFM input'!G260*(1+previous_vanilla)^0.5</f>
        <v>0</v>
      </c>
      <c r="H103" s="1341"/>
      <c r="I103" s="1341"/>
      <c r="J103" s="1341"/>
      <c r="K103" s="1341"/>
      <c r="L103" s="1341"/>
      <c r="M103" s="1341"/>
      <c r="N103" s="248"/>
      <c r="O103" s="248"/>
      <c r="P103" s="248"/>
      <c r="Q103" s="248"/>
      <c r="R103" s="71"/>
      <c r="S103" s="71"/>
      <c r="T103" s="71"/>
      <c r="U103" s="71"/>
      <c r="V103" s="71"/>
      <c r="W103" s="71"/>
      <c r="X103" s="71"/>
      <c r="Y103" s="71"/>
      <c r="Z103" s="71"/>
      <c r="AA103" s="152"/>
    </row>
    <row r="104" spans="1:27" hidden="1" outlineLevel="1">
      <c r="A104" s="3"/>
      <c r="B104" s="29"/>
      <c r="C104" s="133">
        <f>Asset39</f>
        <v>0</v>
      </c>
      <c r="D104" s="3"/>
      <c r="E104" s="3"/>
      <c r="F104" s="91"/>
      <c r="G104" s="1359">
        <f>'RFM input'!G261*(1+previous_vanilla)^0.5</f>
        <v>0</v>
      </c>
      <c r="H104" s="1341"/>
      <c r="I104" s="1341"/>
      <c r="J104" s="1341"/>
      <c r="K104" s="1341"/>
      <c r="L104" s="1341"/>
      <c r="M104" s="1341"/>
      <c r="N104" s="248"/>
      <c r="O104" s="248"/>
      <c r="P104" s="248"/>
      <c r="Q104" s="248"/>
      <c r="R104" s="71"/>
      <c r="S104" s="71"/>
      <c r="T104" s="71"/>
      <c r="U104" s="71"/>
      <c r="V104" s="71"/>
      <c r="W104" s="71"/>
      <c r="X104" s="71"/>
      <c r="Y104" s="71"/>
      <c r="Z104" s="71"/>
      <c r="AA104" s="152"/>
    </row>
    <row r="105" spans="1:27" hidden="1" outlineLevel="1">
      <c r="A105" s="3"/>
      <c r="B105" s="29"/>
      <c r="C105" s="133">
        <f>Asset40</f>
        <v>0</v>
      </c>
      <c r="D105" s="3"/>
      <c r="E105" s="3"/>
      <c r="F105" s="91"/>
      <c r="G105" s="1359">
        <f>'RFM input'!G262*(1+previous_vanilla)^0.5</f>
        <v>0</v>
      </c>
      <c r="H105" s="1341"/>
      <c r="I105" s="1341"/>
      <c r="J105" s="1341"/>
      <c r="K105" s="1341"/>
      <c r="L105" s="1341"/>
      <c r="M105" s="1341"/>
      <c r="N105" s="248"/>
      <c r="O105" s="248"/>
      <c r="P105" s="248"/>
      <c r="Q105" s="248"/>
      <c r="R105" s="71"/>
      <c r="S105" s="71"/>
      <c r="T105" s="71"/>
      <c r="U105" s="71"/>
      <c r="V105" s="71"/>
      <c r="W105" s="71"/>
      <c r="X105" s="71"/>
      <c r="Y105" s="71"/>
      <c r="Z105" s="71"/>
      <c r="AA105" s="152"/>
    </row>
    <row r="106" spans="1:27" hidden="1" outlineLevel="1">
      <c r="A106" s="3"/>
      <c r="B106" s="29"/>
      <c r="C106" s="133">
        <f>Asset41</f>
        <v>0</v>
      </c>
      <c r="D106" s="3"/>
      <c r="E106" s="3"/>
      <c r="F106" s="91"/>
      <c r="G106" s="1359">
        <f>'RFM input'!G263*(1+previous_vanilla)^0.5</f>
        <v>0</v>
      </c>
      <c r="H106" s="1341"/>
      <c r="I106" s="1341"/>
      <c r="J106" s="1341"/>
      <c r="K106" s="1341"/>
      <c r="L106" s="1341"/>
      <c r="M106" s="1341"/>
      <c r="N106" s="248"/>
      <c r="O106" s="248"/>
      <c r="P106" s="248"/>
      <c r="Q106" s="248"/>
      <c r="R106" s="71"/>
      <c r="S106" s="71"/>
      <c r="T106" s="71"/>
      <c r="U106" s="71"/>
      <c r="V106" s="71"/>
      <c r="W106" s="71"/>
      <c r="X106" s="71"/>
      <c r="Y106" s="71"/>
      <c r="Z106" s="71"/>
      <c r="AA106" s="152"/>
    </row>
    <row r="107" spans="1:27" hidden="1" outlineLevel="1">
      <c r="A107" s="3"/>
      <c r="B107" s="29"/>
      <c r="C107" s="133">
        <f>Asset42</f>
        <v>0</v>
      </c>
      <c r="D107" s="3"/>
      <c r="E107" s="3"/>
      <c r="F107" s="91"/>
      <c r="G107" s="1359">
        <f>'RFM input'!G264*(1+previous_vanilla)^0.5</f>
        <v>0</v>
      </c>
      <c r="H107" s="1341"/>
      <c r="I107" s="1341"/>
      <c r="J107" s="1341"/>
      <c r="K107" s="1341"/>
      <c r="L107" s="1341"/>
      <c r="M107" s="1341"/>
      <c r="N107" s="248"/>
      <c r="O107" s="248"/>
      <c r="P107" s="248"/>
      <c r="Q107" s="248"/>
      <c r="R107" s="71"/>
      <c r="S107" s="71"/>
      <c r="T107" s="71"/>
      <c r="U107" s="71"/>
      <c r="V107" s="71"/>
      <c r="W107" s="71"/>
      <c r="X107" s="71"/>
      <c r="Y107" s="71"/>
      <c r="Z107" s="71"/>
      <c r="AA107" s="152"/>
    </row>
    <row r="108" spans="1:27" hidden="1" outlineLevel="1">
      <c r="A108" s="3"/>
      <c r="B108" s="29"/>
      <c r="C108" s="133">
        <f>Asset43</f>
        <v>0</v>
      </c>
      <c r="D108" s="3"/>
      <c r="E108" s="3"/>
      <c r="F108" s="91"/>
      <c r="G108" s="1359">
        <f>'RFM input'!G265*(1+previous_vanilla)^0.5</f>
        <v>0</v>
      </c>
      <c r="H108" s="1341"/>
      <c r="I108" s="1341"/>
      <c r="J108" s="1341"/>
      <c r="K108" s="1341"/>
      <c r="L108" s="1341"/>
      <c r="M108" s="1341"/>
      <c r="N108" s="248"/>
      <c r="O108" s="248"/>
      <c r="P108" s="248"/>
      <c r="Q108" s="248"/>
      <c r="R108" s="71"/>
      <c r="S108" s="71"/>
      <c r="T108" s="71"/>
      <c r="U108" s="71"/>
      <c r="V108" s="71"/>
      <c r="W108" s="71"/>
      <c r="X108" s="71"/>
      <c r="Y108" s="71"/>
      <c r="Z108" s="71"/>
      <c r="AA108" s="152"/>
    </row>
    <row r="109" spans="1:27" hidden="1" outlineLevel="1">
      <c r="A109" s="3"/>
      <c r="B109" s="29"/>
      <c r="C109" s="133">
        <f>Asset44</f>
        <v>0</v>
      </c>
      <c r="D109" s="3"/>
      <c r="E109" s="3"/>
      <c r="F109" s="91"/>
      <c r="G109" s="1359">
        <f>'RFM input'!G266*(1+previous_vanilla)^0.5</f>
        <v>0</v>
      </c>
      <c r="H109" s="1341"/>
      <c r="I109" s="1341"/>
      <c r="J109" s="1341"/>
      <c r="K109" s="1341"/>
      <c r="L109" s="1341"/>
      <c r="M109" s="1341"/>
      <c r="N109" s="248"/>
      <c r="O109" s="248"/>
      <c r="P109" s="248"/>
      <c r="Q109" s="248"/>
      <c r="R109" s="71"/>
      <c r="S109" s="71"/>
      <c r="T109" s="71"/>
      <c r="U109" s="71"/>
      <c r="V109" s="71"/>
      <c r="W109" s="71"/>
      <c r="X109" s="71"/>
      <c r="Y109" s="71"/>
      <c r="Z109" s="71"/>
      <c r="AA109" s="152"/>
    </row>
    <row r="110" spans="1:27" hidden="1" outlineLevel="1">
      <c r="A110" s="3"/>
      <c r="B110" s="29"/>
      <c r="C110" s="133">
        <f>Asset45</f>
        <v>0</v>
      </c>
      <c r="D110" s="3"/>
      <c r="E110" s="3"/>
      <c r="F110" s="91"/>
      <c r="G110" s="1359">
        <f>'RFM input'!G267*(1+previous_vanilla)^0.5</f>
        <v>0</v>
      </c>
      <c r="H110" s="1341"/>
      <c r="I110" s="1341"/>
      <c r="J110" s="1341"/>
      <c r="K110" s="1341"/>
      <c r="L110" s="1341"/>
      <c r="M110" s="1341"/>
      <c r="N110" s="248"/>
      <c r="O110" s="248"/>
      <c r="P110" s="248"/>
      <c r="Q110" s="248"/>
      <c r="R110" s="71"/>
      <c r="S110" s="71"/>
      <c r="T110" s="71"/>
      <c r="U110" s="71"/>
      <c r="V110" s="71"/>
      <c r="W110" s="71"/>
      <c r="X110" s="71"/>
      <c r="Y110" s="71"/>
      <c r="Z110" s="71"/>
      <c r="AA110" s="152"/>
    </row>
    <row r="111" spans="1:27" hidden="1" outlineLevel="1">
      <c r="A111" s="3"/>
      <c r="B111" s="29"/>
      <c r="C111" s="133">
        <f>Asset46</f>
        <v>0</v>
      </c>
      <c r="D111" s="3"/>
      <c r="E111" s="3"/>
      <c r="F111" s="91"/>
      <c r="G111" s="1359">
        <f>'RFM input'!G268*(1+previous_vanilla)^0.5</f>
        <v>0</v>
      </c>
      <c r="H111" s="1341"/>
      <c r="I111" s="1341"/>
      <c r="J111" s="1341"/>
      <c r="K111" s="1341"/>
      <c r="L111" s="1341"/>
      <c r="M111" s="1341"/>
      <c r="N111" s="248"/>
      <c r="O111" s="248"/>
      <c r="P111" s="248"/>
      <c r="Q111" s="248"/>
      <c r="R111" s="71"/>
      <c r="S111" s="71"/>
      <c r="T111" s="71"/>
      <c r="U111" s="71"/>
      <c r="V111" s="71"/>
      <c r="W111" s="71"/>
      <c r="X111" s="71"/>
      <c r="Y111" s="71"/>
      <c r="Z111" s="71"/>
      <c r="AA111" s="152"/>
    </row>
    <row r="112" spans="1:27" hidden="1" outlineLevel="1">
      <c r="A112" s="3"/>
      <c r="B112" s="29"/>
      <c r="C112" s="133">
        <f>Asset47</f>
        <v>0</v>
      </c>
      <c r="D112" s="3"/>
      <c r="E112" s="3"/>
      <c r="F112" s="91"/>
      <c r="G112" s="1359">
        <f>'RFM input'!G269*(1+previous_vanilla)^0.5</f>
        <v>0</v>
      </c>
      <c r="H112" s="1341"/>
      <c r="I112" s="1341"/>
      <c r="J112" s="1341"/>
      <c r="K112" s="1341"/>
      <c r="L112" s="1341"/>
      <c r="M112" s="1341"/>
      <c r="N112" s="248"/>
      <c r="O112" s="248"/>
      <c r="P112" s="248"/>
      <c r="Q112" s="248"/>
      <c r="R112" s="71"/>
      <c r="S112" s="71"/>
      <c r="T112" s="71"/>
      <c r="U112" s="71"/>
      <c r="V112" s="71"/>
      <c r="W112" s="71"/>
      <c r="X112" s="71"/>
      <c r="Y112" s="71"/>
      <c r="Z112" s="71"/>
      <c r="AA112" s="152"/>
    </row>
    <row r="113" spans="1:27" hidden="1" outlineLevel="1">
      <c r="A113" s="3"/>
      <c r="B113" s="29"/>
      <c r="C113" s="133">
        <f>Asset48</f>
        <v>0</v>
      </c>
      <c r="D113" s="3"/>
      <c r="E113" s="3"/>
      <c r="F113" s="91"/>
      <c r="G113" s="1359">
        <f>'RFM input'!G270*(1+previous_vanilla)^0.5</f>
        <v>0</v>
      </c>
      <c r="H113" s="1341"/>
      <c r="I113" s="1341"/>
      <c r="J113" s="1341"/>
      <c r="K113" s="1341"/>
      <c r="L113" s="1341"/>
      <c r="M113" s="1341"/>
      <c r="N113" s="248"/>
      <c r="O113" s="248"/>
      <c r="P113" s="248"/>
      <c r="Q113" s="248"/>
      <c r="R113" s="71"/>
      <c r="S113" s="71"/>
      <c r="T113" s="71"/>
      <c r="U113" s="71"/>
      <c r="V113" s="71"/>
      <c r="W113" s="71"/>
      <c r="X113" s="71"/>
      <c r="Y113" s="71"/>
      <c r="Z113" s="71"/>
      <c r="AA113" s="152"/>
    </row>
    <row r="114" spans="1:27" hidden="1" outlineLevel="1">
      <c r="A114" s="3"/>
      <c r="B114" s="29"/>
      <c r="C114" s="133">
        <f>Asset49</f>
        <v>0</v>
      </c>
      <c r="D114" s="3"/>
      <c r="E114" s="3"/>
      <c r="F114" s="91"/>
      <c r="G114" s="1359">
        <f>'RFM input'!G271*(1+previous_vanilla)^0.5</f>
        <v>0</v>
      </c>
      <c r="H114" s="1341"/>
      <c r="I114" s="1341"/>
      <c r="J114" s="1341"/>
      <c r="K114" s="1341"/>
      <c r="L114" s="1341"/>
      <c r="M114" s="1341"/>
      <c r="N114" s="248"/>
      <c r="O114" s="248"/>
      <c r="P114" s="248"/>
      <c r="Q114" s="248"/>
      <c r="R114" s="71"/>
      <c r="S114" s="71"/>
      <c r="T114" s="71"/>
      <c r="U114" s="71"/>
      <c r="V114" s="71"/>
      <c r="W114" s="71"/>
      <c r="X114" s="71"/>
      <c r="Y114" s="71"/>
      <c r="Z114" s="71"/>
      <c r="AA114" s="152"/>
    </row>
    <row r="115" spans="1:27" hidden="1" outlineLevel="1">
      <c r="A115" s="3"/>
      <c r="B115" s="29"/>
      <c r="C115" s="133">
        <f>Asset50</f>
        <v>0</v>
      </c>
      <c r="D115" s="3"/>
      <c r="E115" s="3"/>
      <c r="F115" s="91"/>
      <c r="G115" s="1359">
        <f>'RFM input'!G272*(1+previous_vanilla)^0.5</f>
        <v>0</v>
      </c>
      <c r="H115" s="1341"/>
      <c r="I115" s="1341"/>
      <c r="J115" s="1341"/>
      <c r="K115" s="1341"/>
      <c r="L115" s="1341"/>
      <c r="M115" s="1341"/>
      <c r="N115" s="248"/>
      <c r="O115" s="248"/>
      <c r="P115" s="248"/>
      <c r="Q115" s="248"/>
      <c r="R115" s="71"/>
      <c r="S115" s="71"/>
      <c r="T115" s="71"/>
      <c r="U115" s="71"/>
      <c r="V115" s="71"/>
      <c r="W115" s="71"/>
      <c r="X115" s="71"/>
      <c r="Y115" s="71"/>
      <c r="Z115" s="71"/>
      <c r="AA115" s="152"/>
    </row>
    <row r="116" spans="1:27" collapsed="1">
      <c r="A116" s="3"/>
      <c r="B116" s="29"/>
      <c r="C116" s="81"/>
      <c r="D116" s="3"/>
      <c r="E116" s="3"/>
      <c r="F116" s="91"/>
      <c r="G116" s="1360"/>
      <c r="H116" s="248"/>
      <c r="I116" s="248"/>
      <c r="J116" s="248"/>
      <c r="K116" s="248"/>
      <c r="L116" s="248"/>
      <c r="M116" s="248"/>
      <c r="N116" s="248"/>
      <c r="O116" s="248"/>
      <c r="P116" s="248"/>
      <c r="Q116" s="248"/>
      <c r="R116" s="71"/>
      <c r="S116" s="71"/>
      <c r="T116" s="71"/>
      <c r="U116" s="71"/>
      <c r="V116" s="71"/>
      <c r="W116" s="71"/>
      <c r="X116" s="71"/>
      <c r="Y116" s="71"/>
      <c r="Z116" s="71"/>
      <c r="AA116" s="152"/>
    </row>
    <row r="117" spans="1:27">
      <c r="A117" s="3"/>
      <c r="B117" s="29" t="s">
        <v>31</v>
      </c>
      <c r="C117" s="3"/>
      <c r="D117" s="3"/>
      <c r="E117" s="3"/>
      <c r="F117" s="91"/>
      <c r="G117" s="1360">
        <f>SUM(G118:G167)</f>
        <v>28.82919381448324</v>
      </c>
      <c r="H117" s="248"/>
      <c r="I117" s="248"/>
      <c r="J117" s="248"/>
      <c r="K117" s="248"/>
      <c r="L117" s="248"/>
      <c r="M117" s="248"/>
      <c r="N117" s="248"/>
      <c r="O117" s="248"/>
      <c r="P117" s="248"/>
      <c r="Q117" s="248"/>
      <c r="R117" s="71"/>
      <c r="S117" s="71"/>
      <c r="T117" s="71"/>
      <c r="U117" s="71"/>
      <c r="V117" s="71"/>
      <c r="W117" s="71"/>
      <c r="X117" s="71"/>
      <c r="Y117" s="71"/>
      <c r="Z117" s="71"/>
      <c r="AA117" s="152"/>
    </row>
    <row r="118" spans="1:27" hidden="1" outlineLevel="1">
      <c r="A118" s="3"/>
      <c r="B118" s="29"/>
      <c r="C118" s="133" t="str">
        <f>Asset1</f>
        <v>Mains</v>
      </c>
      <c r="D118" s="3"/>
      <c r="E118" s="3"/>
      <c r="F118" s="91"/>
      <c r="G118" s="1361">
        <f>G66-G14</f>
        <v>15.439282093373357</v>
      </c>
      <c r="H118" s="1362"/>
      <c r="I118" s="1362"/>
      <c r="J118" s="1362"/>
      <c r="K118" s="1362"/>
      <c r="L118" s="1362"/>
      <c r="M118" s="1362"/>
      <c r="N118" s="1362"/>
      <c r="O118" s="1362"/>
      <c r="P118" s="1362"/>
      <c r="Q118" s="1362"/>
      <c r="R118" s="71"/>
      <c r="S118" s="71"/>
      <c r="T118" s="71"/>
      <c r="U118" s="71"/>
      <c r="V118" s="71"/>
      <c r="W118" s="71"/>
      <c r="X118" s="71"/>
      <c r="Y118" s="71"/>
      <c r="Z118" s="71"/>
      <c r="AA118" s="152"/>
    </row>
    <row r="119" spans="1:27" hidden="1" outlineLevel="1">
      <c r="A119" s="3"/>
      <c r="B119" s="29"/>
      <c r="C119" s="133" t="str">
        <f>Asset2</f>
        <v>Inlets</v>
      </c>
      <c r="D119" s="3"/>
      <c r="E119" s="3"/>
      <c r="F119" s="91"/>
      <c r="G119" s="1361">
        <f t="shared" ref="G119:G167" si="0">G67-G15</f>
        <v>5.4823622610499587</v>
      </c>
      <c r="H119" s="1362"/>
      <c r="I119" s="1362"/>
      <c r="J119" s="1362"/>
      <c r="K119" s="1362"/>
      <c r="L119" s="1362"/>
      <c r="M119" s="1362"/>
      <c r="N119" s="1362"/>
      <c r="O119" s="1362"/>
      <c r="P119" s="1362"/>
      <c r="Q119" s="1362"/>
      <c r="R119" s="71"/>
      <c r="S119" s="71"/>
      <c r="T119" s="71"/>
      <c r="U119" s="71"/>
      <c r="V119" s="71"/>
      <c r="W119" s="71"/>
      <c r="X119" s="71"/>
      <c r="Y119" s="71"/>
      <c r="Z119" s="71"/>
      <c r="AA119" s="152"/>
    </row>
    <row r="120" spans="1:27" hidden="1" outlineLevel="1">
      <c r="A120" s="3"/>
      <c r="B120" s="29"/>
      <c r="C120" s="133" t="str">
        <f>Asset3</f>
        <v>Meters</v>
      </c>
      <c r="D120" s="3"/>
      <c r="E120" s="3"/>
      <c r="F120" s="91"/>
      <c r="G120" s="1361">
        <f t="shared" si="0"/>
        <v>2.5177747451288335</v>
      </c>
      <c r="H120" s="1362"/>
      <c r="I120" s="1362"/>
      <c r="J120" s="1362"/>
      <c r="K120" s="1362"/>
      <c r="L120" s="1362"/>
      <c r="M120" s="1362"/>
      <c r="N120" s="1362"/>
      <c r="O120" s="1362"/>
      <c r="P120" s="1362"/>
      <c r="Q120" s="1362"/>
      <c r="R120" s="71"/>
      <c r="S120" s="71"/>
      <c r="T120" s="71"/>
      <c r="U120" s="71"/>
      <c r="V120" s="71"/>
      <c r="W120" s="71"/>
      <c r="X120" s="71"/>
      <c r="Y120" s="71"/>
      <c r="Z120" s="71"/>
      <c r="AA120" s="152"/>
    </row>
    <row r="121" spans="1:27" hidden="1" outlineLevel="1">
      <c r="A121" s="3"/>
      <c r="B121" s="29"/>
      <c r="C121" s="133" t="str">
        <f>Asset4</f>
        <v>Telemetry</v>
      </c>
      <c r="D121" s="3"/>
      <c r="E121" s="3"/>
      <c r="F121" s="91"/>
      <c r="G121" s="1361">
        <f t="shared" si="0"/>
        <v>0.51788791565969017</v>
      </c>
      <c r="H121" s="1362"/>
      <c r="I121" s="1362"/>
      <c r="J121" s="1362"/>
      <c r="K121" s="1362"/>
      <c r="L121" s="1362"/>
      <c r="M121" s="1362"/>
      <c r="N121" s="1362"/>
      <c r="O121" s="1362"/>
      <c r="P121" s="1362"/>
      <c r="Q121" s="1362"/>
      <c r="R121" s="71"/>
      <c r="S121" s="71"/>
      <c r="T121" s="71"/>
      <c r="U121" s="71"/>
      <c r="V121" s="71"/>
      <c r="W121" s="71"/>
      <c r="X121" s="71"/>
      <c r="Y121" s="71"/>
      <c r="Z121" s="71"/>
      <c r="AA121" s="152"/>
    </row>
    <row r="122" spans="1:27" hidden="1" outlineLevel="1">
      <c r="A122" s="3"/>
      <c r="B122" s="29"/>
      <c r="C122" s="133" t="str">
        <f>Asset5</f>
        <v>IT System</v>
      </c>
      <c r="D122" s="3"/>
      <c r="E122" s="3"/>
      <c r="F122" s="91"/>
      <c r="G122" s="1361">
        <f t="shared" si="0"/>
        <v>3.7818219679743938</v>
      </c>
      <c r="H122" s="1362"/>
      <c r="I122" s="1362"/>
      <c r="J122" s="1362"/>
      <c r="K122" s="1362"/>
      <c r="L122" s="1362"/>
      <c r="M122" s="1362"/>
      <c r="N122" s="1362"/>
      <c r="O122" s="1362"/>
      <c r="P122" s="1362"/>
      <c r="Q122" s="1362"/>
      <c r="R122" s="71"/>
      <c r="S122" s="71"/>
      <c r="T122" s="71"/>
      <c r="U122" s="71"/>
      <c r="V122" s="71"/>
      <c r="W122" s="71"/>
      <c r="X122" s="71"/>
      <c r="Y122" s="71"/>
      <c r="Z122" s="71"/>
      <c r="AA122" s="152"/>
    </row>
    <row r="123" spans="1:27" hidden="1" outlineLevel="1">
      <c r="A123" s="3"/>
      <c r="B123" s="29"/>
      <c r="C123" s="133" t="str">
        <f>Asset6</f>
        <v>Other Distribution System Equipment</v>
      </c>
      <c r="D123" s="3"/>
      <c r="E123" s="3"/>
      <c r="F123" s="91"/>
      <c r="G123" s="1361">
        <f t="shared" si="0"/>
        <v>1.0900648312970111</v>
      </c>
      <c r="H123" s="1362"/>
      <c r="I123" s="1362"/>
      <c r="J123" s="1362"/>
      <c r="K123" s="1362"/>
      <c r="L123" s="1362"/>
      <c r="M123" s="1362"/>
      <c r="N123" s="1362"/>
      <c r="O123" s="1362"/>
      <c r="P123" s="1362"/>
      <c r="Q123" s="1362"/>
      <c r="R123" s="71"/>
      <c r="S123" s="71"/>
      <c r="T123" s="71"/>
      <c r="U123" s="71"/>
      <c r="V123" s="71"/>
      <c r="W123" s="71"/>
      <c r="X123" s="71"/>
      <c r="Y123" s="71"/>
      <c r="Z123" s="71"/>
      <c r="AA123" s="152"/>
    </row>
    <row r="124" spans="1:27" hidden="1" outlineLevel="1">
      <c r="A124" s="3"/>
      <c r="B124" s="29"/>
      <c r="C124" s="133" t="str">
        <f>Asset7</f>
        <v>Other</v>
      </c>
      <c r="D124" s="3"/>
      <c r="E124" s="3"/>
      <c r="F124" s="91"/>
      <c r="G124" s="1361">
        <f t="shared" si="0"/>
        <v>0</v>
      </c>
      <c r="H124" s="1362"/>
      <c r="I124" s="1362"/>
      <c r="J124" s="1362"/>
      <c r="K124" s="1362"/>
      <c r="L124" s="1362"/>
      <c r="M124" s="1362"/>
      <c r="N124" s="1362"/>
      <c r="O124" s="1362"/>
      <c r="P124" s="1362"/>
      <c r="Q124" s="1362"/>
      <c r="R124" s="71"/>
      <c r="S124" s="71"/>
      <c r="T124" s="71"/>
      <c r="U124" s="71"/>
      <c r="V124" s="71"/>
      <c r="W124" s="71"/>
      <c r="X124" s="71"/>
      <c r="Y124" s="71"/>
      <c r="Z124" s="71"/>
      <c r="AA124" s="152"/>
    </row>
    <row r="125" spans="1:27" hidden="1" outlineLevel="1">
      <c r="A125" s="3"/>
      <c r="B125" s="29"/>
      <c r="C125" s="133">
        <f>Asset8</f>
        <v>0</v>
      </c>
      <c r="D125" s="3"/>
      <c r="E125" s="3"/>
      <c r="F125" s="91"/>
      <c r="G125" s="1361">
        <f t="shared" si="0"/>
        <v>0</v>
      </c>
      <c r="H125" s="1362"/>
      <c r="I125" s="1362"/>
      <c r="J125" s="1362"/>
      <c r="K125" s="1362"/>
      <c r="L125" s="1362"/>
      <c r="M125" s="1362"/>
      <c r="N125" s="1362"/>
      <c r="O125" s="1362"/>
      <c r="P125" s="1362"/>
      <c r="Q125" s="1362"/>
      <c r="R125" s="71"/>
      <c r="S125" s="71"/>
      <c r="T125" s="71"/>
      <c r="U125" s="71"/>
      <c r="V125" s="71"/>
      <c r="W125" s="71"/>
      <c r="X125" s="71"/>
      <c r="Y125" s="71"/>
      <c r="Z125" s="71"/>
      <c r="AA125" s="152"/>
    </row>
    <row r="126" spans="1:27" hidden="1" outlineLevel="1">
      <c r="A126" s="3"/>
      <c r="B126" s="29"/>
      <c r="C126" s="133">
        <f>Asset9</f>
        <v>0</v>
      </c>
      <c r="D126" s="3"/>
      <c r="E126" s="3"/>
      <c r="F126" s="91"/>
      <c r="G126" s="1361">
        <f t="shared" si="0"/>
        <v>0</v>
      </c>
      <c r="H126" s="1362"/>
      <c r="I126" s="1362"/>
      <c r="J126" s="1362"/>
      <c r="K126" s="1362"/>
      <c r="L126" s="1362"/>
      <c r="M126" s="1362"/>
      <c r="N126" s="1362"/>
      <c r="O126" s="1362"/>
      <c r="P126" s="1362"/>
      <c r="Q126" s="1362"/>
      <c r="R126" s="71"/>
      <c r="S126" s="71"/>
      <c r="T126" s="71"/>
      <c r="U126" s="71"/>
      <c r="V126" s="71"/>
      <c r="W126" s="71"/>
      <c r="X126" s="71"/>
      <c r="Y126" s="71"/>
      <c r="Z126" s="71"/>
      <c r="AA126" s="152"/>
    </row>
    <row r="127" spans="1:27" hidden="1" outlineLevel="1">
      <c r="A127" s="3"/>
      <c r="B127" s="29"/>
      <c r="C127" s="133">
        <f>Asset10</f>
        <v>0</v>
      </c>
      <c r="D127" s="3"/>
      <c r="E127" s="3"/>
      <c r="F127" s="91"/>
      <c r="G127" s="1361">
        <f t="shared" si="0"/>
        <v>0</v>
      </c>
      <c r="H127" s="1362"/>
      <c r="I127" s="1362"/>
      <c r="J127" s="1362"/>
      <c r="K127" s="1362"/>
      <c r="L127" s="1362"/>
      <c r="M127" s="1362"/>
      <c r="N127" s="1362"/>
      <c r="O127" s="1362"/>
      <c r="P127" s="1362"/>
      <c r="Q127" s="1362"/>
      <c r="R127" s="71"/>
      <c r="S127" s="71"/>
      <c r="T127" s="71"/>
      <c r="U127" s="71"/>
      <c r="V127" s="71"/>
      <c r="W127" s="71"/>
      <c r="X127" s="71"/>
      <c r="Y127" s="71"/>
      <c r="Z127" s="71"/>
      <c r="AA127" s="152"/>
    </row>
    <row r="128" spans="1:27" hidden="1" outlineLevel="1">
      <c r="A128" s="3"/>
      <c r="B128" s="29"/>
      <c r="C128" s="133">
        <f>Asset11</f>
        <v>0</v>
      </c>
      <c r="D128" s="3"/>
      <c r="E128" s="3"/>
      <c r="F128" s="91"/>
      <c r="G128" s="1361">
        <f t="shared" si="0"/>
        <v>0</v>
      </c>
      <c r="H128" s="1362"/>
      <c r="I128" s="1362"/>
      <c r="J128" s="1362"/>
      <c r="K128" s="1362"/>
      <c r="L128" s="1362"/>
      <c r="M128" s="1362"/>
      <c r="N128" s="1362"/>
      <c r="O128" s="1362"/>
      <c r="P128" s="1362"/>
      <c r="Q128" s="1362"/>
      <c r="R128" s="71"/>
      <c r="S128" s="71"/>
      <c r="T128" s="71"/>
      <c r="U128" s="71"/>
      <c r="V128" s="71"/>
      <c r="W128" s="71"/>
      <c r="X128" s="71"/>
      <c r="Y128" s="71"/>
      <c r="Z128" s="71"/>
      <c r="AA128" s="152"/>
    </row>
    <row r="129" spans="1:27" hidden="1" outlineLevel="1">
      <c r="A129" s="3"/>
      <c r="B129" s="29"/>
      <c r="C129" s="133">
        <f>Asset12</f>
        <v>0</v>
      </c>
      <c r="D129" s="3"/>
      <c r="E129" s="3"/>
      <c r="F129" s="91"/>
      <c r="G129" s="1361">
        <f t="shared" si="0"/>
        <v>0</v>
      </c>
      <c r="H129" s="1362"/>
      <c r="I129" s="1362"/>
      <c r="J129" s="1362"/>
      <c r="K129" s="1362"/>
      <c r="L129" s="1362"/>
      <c r="M129" s="1362"/>
      <c r="N129" s="1362"/>
      <c r="O129" s="1362"/>
      <c r="P129" s="1362"/>
      <c r="Q129" s="1362"/>
      <c r="R129" s="71"/>
      <c r="S129" s="71"/>
      <c r="T129" s="71"/>
      <c r="U129" s="71"/>
      <c r="V129" s="71"/>
      <c r="W129" s="71"/>
      <c r="X129" s="71"/>
      <c r="Y129" s="71"/>
      <c r="Z129" s="71"/>
      <c r="AA129" s="152"/>
    </row>
    <row r="130" spans="1:27" hidden="1" outlineLevel="1">
      <c r="A130" s="3"/>
      <c r="B130" s="29"/>
      <c r="C130" s="133">
        <f>Asset13</f>
        <v>0</v>
      </c>
      <c r="D130" s="3"/>
      <c r="E130" s="3"/>
      <c r="F130" s="91"/>
      <c r="G130" s="1361">
        <f t="shared" si="0"/>
        <v>0</v>
      </c>
      <c r="H130" s="1362"/>
      <c r="I130" s="1362"/>
      <c r="J130" s="1362"/>
      <c r="K130" s="1362"/>
      <c r="L130" s="1362"/>
      <c r="M130" s="1362"/>
      <c r="N130" s="1362"/>
      <c r="O130" s="1362"/>
      <c r="P130" s="1362"/>
      <c r="Q130" s="1362"/>
      <c r="R130" s="71"/>
      <c r="S130" s="71"/>
      <c r="T130" s="71"/>
      <c r="U130" s="71"/>
      <c r="V130" s="71"/>
      <c r="W130" s="71"/>
      <c r="X130" s="71"/>
      <c r="Y130" s="71"/>
      <c r="Z130" s="71"/>
      <c r="AA130" s="152"/>
    </row>
    <row r="131" spans="1:27" hidden="1" outlineLevel="1">
      <c r="A131" s="3"/>
      <c r="B131" s="29"/>
      <c r="C131" s="133">
        <f>Asset14</f>
        <v>0</v>
      </c>
      <c r="D131" s="3"/>
      <c r="E131" s="3"/>
      <c r="F131" s="91"/>
      <c r="G131" s="1361">
        <f t="shared" si="0"/>
        <v>0</v>
      </c>
      <c r="H131" s="1362"/>
      <c r="I131" s="1362"/>
      <c r="J131" s="1362"/>
      <c r="K131" s="1362"/>
      <c r="L131" s="1362"/>
      <c r="M131" s="1362"/>
      <c r="N131" s="1362"/>
      <c r="O131" s="1362"/>
      <c r="P131" s="1362"/>
      <c r="Q131" s="1362"/>
      <c r="R131" s="71"/>
      <c r="S131" s="71"/>
      <c r="T131" s="71"/>
      <c r="U131" s="71"/>
      <c r="V131" s="71"/>
      <c r="W131" s="71"/>
      <c r="X131" s="71"/>
      <c r="Y131" s="71"/>
      <c r="Z131" s="71"/>
      <c r="AA131" s="152"/>
    </row>
    <row r="132" spans="1:27" hidden="1" outlineLevel="1">
      <c r="A132" s="3"/>
      <c r="B132" s="29"/>
      <c r="C132" s="133">
        <f>Asset15</f>
        <v>0</v>
      </c>
      <c r="D132" s="3"/>
      <c r="E132" s="3"/>
      <c r="F132" s="91"/>
      <c r="G132" s="1361">
        <f t="shared" si="0"/>
        <v>0</v>
      </c>
      <c r="H132" s="1362"/>
      <c r="I132" s="1362"/>
      <c r="J132" s="1362"/>
      <c r="K132" s="1362"/>
      <c r="L132" s="1362"/>
      <c r="M132" s="1362"/>
      <c r="N132" s="1362"/>
      <c r="O132" s="1362"/>
      <c r="P132" s="1362"/>
      <c r="Q132" s="1362"/>
      <c r="R132" s="71"/>
      <c r="S132" s="71"/>
      <c r="T132" s="71"/>
      <c r="U132" s="71"/>
      <c r="V132" s="71"/>
      <c r="W132" s="71"/>
      <c r="X132" s="71"/>
      <c r="Y132" s="71"/>
      <c r="Z132" s="71"/>
      <c r="AA132" s="152"/>
    </row>
    <row r="133" spans="1:27" hidden="1" outlineLevel="1">
      <c r="A133" s="3"/>
      <c r="B133" s="29"/>
      <c r="C133" s="133">
        <f>Asset16</f>
        <v>0</v>
      </c>
      <c r="D133" s="3"/>
      <c r="E133" s="3"/>
      <c r="F133" s="91"/>
      <c r="G133" s="1361">
        <f t="shared" si="0"/>
        <v>0</v>
      </c>
      <c r="H133" s="1362"/>
      <c r="I133" s="1362"/>
      <c r="J133" s="1362"/>
      <c r="K133" s="1362"/>
      <c r="L133" s="1362"/>
      <c r="M133" s="1362"/>
      <c r="N133" s="1362"/>
      <c r="O133" s="1362"/>
      <c r="P133" s="1362"/>
      <c r="Q133" s="1362"/>
      <c r="R133" s="71"/>
      <c r="S133" s="71"/>
      <c r="T133" s="71"/>
      <c r="U133" s="71"/>
      <c r="V133" s="71"/>
      <c r="W133" s="71"/>
      <c r="X133" s="71"/>
      <c r="Y133" s="71"/>
      <c r="Z133" s="71"/>
      <c r="AA133" s="152"/>
    </row>
    <row r="134" spans="1:27" hidden="1" outlineLevel="1">
      <c r="A134" s="3"/>
      <c r="B134" s="29"/>
      <c r="C134" s="133">
        <f>Asset17</f>
        <v>0</v>
      </c>
      <c r="D134" s="3"/>
      <c r="E134" s="3"/>
      <c r="F134" s="91"/>
      <c r="G134" s="1361">
        <f t="shared" si="0"/>
        <v>0</v>
      </c>
      <c r="H134" s="1362"/>
      <c r="I134" s="1362"/>
      <c r="J134" s="1362"/>
      <c r="K134" s="1362"/>
      <c r="L134" s="1362"/>
      <c r="M134" s="1362"/>
      <c r="N134" s="1362"/>
      <c r="O134" s="1362"/>
      <c r="P134" s="1362"/>
      <c r="Q134" s="1362"/>
      <c r="R134" s="71"/>
      <c r="S134" s="71"/>
      <c r="T134" s="71"/>
      <c r="U134" s="71"/>
      <c r="V134" s="71"/>
      <c r="W134" s="71"/>
      <c r="X134" s="71"/>
      <c r="Y134" s="71"/>
      <c r="Z134" s="71"/>
      <c r="AA134" s="152"/>
    </row>
    <row r="135" spans="1:27" hidden="1" outlineLevel="1">
      <c r="A135" s="3"/>
      <c r="B135" s="29"/>
      <c r="C135" s="133">
        <f>Asset18</f>
        <v>0</v>
      </c>
      <c r="D135" s="3"/>
      <c r="E135" s="3"/>
      <c r="F135" s="91"/>
      <c r="G135" s="1361">
        <f t="shared" si="0"/>
        <v>0</v>
      </c>
      <c r="H135" s="1362"/>
      <c r="I135" s="1362"/>
      <c r="J135" s="1362"/>
      <c r="K135" s="1362"/>
      <c r="L135" s="1362"/>
      <c r="M135" s="1362"/>
      <c r="N135" s="1362"/>
      <c r="O135" s="1362"/>
      <c r="P135" s="1362"/>
      <c r="Q135" s="1362"/>
      <c r="R135" s="71"/>
      <c r="S135" s="71"/>
      <c r="T135" s="71"/>
      <c r="U135" s="71"/>
      <c r="V135" s="71"/>
      <c r="W135" s="71"/>
      <c r="X135" s="71"/>
      <c r="Y135" s="71"/>
      <c r="Z135" s="71"/>
      <c r="AA135" s="152"/>
    </row>
    <row r="136" spans="1:27" hidden="1" outlineLevel="1">
      <c r="A136" s="3"/>
      <c r="B136" s="29"/>
      <c r="C136" s="133">
        <f>Asset19</f>
        <v>0</v>
      </c>
      <c r="D136" s="3"/>
      <c r="E136" s="3"/>
      <c r="F136" s="91"/>
      <c r="G136" s="1361">
        <f t="shared" si="0"/>
        <v>0</v>
      </c>
      <c r="H136" s="1362"/>
      <c r="I136" s="1362"/>
      <c r="J136" s="1362"/>
      <c r="K136" s="1362"/>
      <c r="L136" s="1362"/>
      <c r="M136" s="1362"/>
      <c r="N136" s="1362"/>
      <c r="O136" s="1362"/>
      <c r="P136" s="1362"/>
      <c r="Q136" s="1362"/>
      <c r="R136" s="71"/>
      <c r="S136" s="71"/>
      <c r="T136" s="71"/>
      <c r="U136" s="71"/>
      <c r="V136" s="71"/>
      <c r="W136" s="71"/>
      <c r="X136" s="71"/>
      <c r="Y136" s="71"/>
      <c r="Z136" s="71"/>
      <c r="AA136" s="152"/>
    </row>
    <row r="137" spans="1:27" hidden="1" outlineLevel="1">
      <c r="A137" s="3"/>
      <c r="B137" s="29"/>
      <c r="C137" s="133">
        <f>Asset20</f>
        <v>0</v>
      </c>
      <c r="D137" s="3"/>
      <c r="E137" s="3"/>
      <c r="F137" s="91"/>
      <c r="G137" s="1361">
        <f t="shared" si="0"/>
        <v>0</v>
      </c>
      <c r="H137" s="1362"/>
      <c r="I137" s="1362"/>
      <c r="J137" s="1362"/>
      <c r="K137" s="1362"/>
      <c r="L137" s="1362"/>
      <c r="M137" s="1362"/>
      <c r="N137" s="1362"/>
      <c r="O137" s="1362"/>
      <c r="P137" s="1362"/>
      <c r="Q137" s="1362"/>
      <c r="R137" s="71"/>
      <c r="S137" s="71"/>
      <c r="T137" s="71"/>
      <c r="U137" s="71"/>
      <c r="V137" s="71"/>
      <c r="W137" s="71"/>
      <c r="X137" s="71"/>
      <c r="Y137" s="71"/>
      <c r="Z137" s="71"/>
      <c r="AA137" s="152"/>
    </row>
    <row r="138" spans="1:27" hidden="1" outlineLevel="1">
      <c r="A138" s="3"/>
      <c r="B138" s="29"/>
      <c r="C138" s="133">
        <f>Asset21</f>
        <v>0</v>
      </c>
      <c r="D138" s="3"/>
      <c r="E138" s="3"/>
      <c r="F138" s="91"/>
      <c r="G138" s="1361">
        <f t="shared" si="0"/>
        <v>0</v>
      </c>
      <c r="H138" s="1362"/>
      <c r="I138" s="1362"/>
      <c r="J138" s="1362"/>
      <c r="K138" s="1362"/>
      <c r="L138" s="1362"/>
      <c r="M138" s="1362"/>
      <c r="N138" s="1362"/>
      <c r="O138" s="1362"/>
      <c r="P138" s="1362"/>
      <c r="Q138" s="1362"/>
      <c r="R138" s="71"/>
      <c r="S138" s="71"/>
      <c r="T138" s="71"/>
      <c r="U138" s="71"/>
      <c r="V138" s="71"/>
      <c r="W138" s="71"/>
      <c r="X138" s="71"/>
      <c r="Y138" s="71"/>
      <c r="Z138" s="71"/>
      <c r="AA138" s="152"/>
    </row>
    <row r="139" spans="1:27" hidden="1" outlineLevel="1">
      <c r="A139" s="3"/>
      <c r="B139" s="29"/>
      <c r="C139" s="133">
        <f>Asset22</f>
        <v>0</v>
      </c>
      <c r="D139" s="3"/>
      <c r="E139" s="3"/>
      <c r="F139" s="91"/>
      <c r="G139" s="1361">
        <f t="shared" si="0"/>
        <v>0</v>
      </c>
      <c r="H139" s="1362"/>
      <c r="I139" s="1362"/>
      <c r="J139" s="1362"/>
      <c r="K139" s="1362"/>
      <c r="L139" s="1362"/>
      <c r="M139" s="1362"/>
      <c r="N139" s="1362"/>
      <c r="O139" s="1362"/>
      <c r="P139" s="1362"/>
      <c r="Q139" s="1362"/>
      <c r="R139" s="71"/>
      <c r="S139" s="71"/>
      <c r="T139" s="71"/>
      <c r="U139" s="71"/>
      <c r="V139" s="71"/>
      <c r="W139" s="71"/>
      <c r="X139" s="71"/>
      <c r="Y139" s="71"/>
      <c r="Z139" s="71"/>
      <c r="AA139" s="152"/>
    </row>
    <row r="140" spans="1:27" hidden="1" outlineLevel="1">
      <c r="A140" s="3"/>
      <c r="B140" s="29"/>
      <c r="C140" s="133">
        <f>Asset23</f>
        <v>0</v>
      </c>
      <c r="D140" s="3"/>
      <c r="E140" s="3"/>
      <c r="F140" s="91"/>
      <c r="G140" s="1361">
        <f t="shared" si="0"/>
        <v>0</v>
      </c>
      <c r="H140" s="1362"/>
      <c r="I140" s="1362"/>
      <c r="J140" s="1362"/>
      <c r="K140" s="1362"/>
      <c r="L140" s="1362"/>
      <c r="M140" s="1362"/>
      <c r="N140" s="1362"/>
      <c r="O140" s="1362"/>
      <c r="P140" s="1362"/>
      <c r="Q140" s="1362"/>
      <c r="R140" s="71"/>
      <c r="S140" s="71"/>
      <c r="T140" s="71"/>
      <c r="U140" s="71"/>
      <c r="V140" s="71"/>
      <c r="W140" s="71"/>
      <c r="X140" s="71"/>
      <c r="Y140" s="71"/>
      <c r="Z140" s="71"/>
      <c r="AA140" s="152"/>
    </row>
    <row r="141" spans="1:27" hidden="1" outlineLevel="1">
      <c r="A141" s="3"/>
      <c r="B141" s="29"/>
      <c r="C141" s="133">
        <f>Asset24</f>
        <v>0</v>
      </c>
      <c r="D141" s="3"/>
      <c r="E141" s="3"/>
      <c r="F141" s="91"/>
      <c r="G141" s="1361">
        <f t="shared" si="0"/>
        <v>0</v>
      </c>
      <c r="H141" s="1362"/>
      <c r="I141" s="1362"/>
      <c r="J141" s="1362"/>
      <c r="K141" s="1362"/>
      <c r="L141" s="1362"/>
      <c r="M141" s="1362"/>
      <c r="N141" s="1362"/>
      <c r="O141" s="1362"/>
      <c r="P141" s="1362"/>
      <c r="Q141" s="1362"/>
      <c r="R141" s="71"/>
      <c r="S141" s="71"/>
      <c r="T141" s="71"/>
      <c r="U141" s="71"/>
      <c r="V141" s="71"/>
      <c r="W141" s="71"/>
      <c r="X141" s="71"/>
      <c r="Y141" s="71"/>
      <c r="Z141" s="71"/>
      <c r="AA141" s="152"/>
    </row>
    <row r="142" spans="1:27" hidden="1" outlineLevel="1">
      <c r="A142" s="3"/>
      <c r="B142" s="29"/>
      <c r="C142" s="133">
        <f>Asset25</f>
        <v>0</v>
      </c>
      <c r="D142" s="3"/>
      <c r="E142" s="3"/>
      <c r="F142" s="91"/>
      <c r="G142" s="1361">
        <f t="shared" si="0"/>
        <v>0</v>
      </c>
      <c r="H142" s="1362"/>
      <c r="I142" s="1362"/>
      <c r="J142" s="1362"/>
      <c r="K142" s="1362"/>
      <c r="L142" s="1362"/>
      <c r="M142" s="1362"/>
      <c r="N142" s="1362"/>
      <c r="O142" s="1362"/>
      <c r="P142" s="1362"/>
      <c r="Q142" s="1362"/>
      <c r="R142" s="71"/>
      <c r="S142" s="71"/>
      <c r="T142" s="71"/>
      <c r="U142" s="71"/>
      <c r="V142" s="71"/>
      <c r="W142" s="71"/>
      <c r="X142" s="71"/>
      <c r="Y142" s="71"/>
      <c r="Z142" s="71"/>
      <c r="AA142" s="152"/>
    </row>
    <row r="143" spans="1:27" hidden="1" outlineLevel="1">
      <c r="A143" s="3"/>
      <c r="B143" s="29"/>
      <c r="C143" s="133">
        <f>Asset26</f>
        <v>0</v>
      </c>
      <c r="D143" s="3"/>
      <c r="E143" s="3"/>
      <c r="F143" s="91"/>
      <c r="G143" s="1361">
        <f t="shared" si="0"/>
        <v>0</v>
      </c>
      <c r="H143" s="1362"/>
      <c r="I143" s="1362"/>
      <c r="J143" s="1362"/>
      <c r="K143" s="1362"/>
      <c r="L143" s="1362"/>
      <c r="M143" s="1362"/>
      <c r="N143" s="1362"/>
      <c r="O143" s="1362"/>
      <c r="P143" s="1362"/>
      <c r="Q143" s="1362"/>
      <c r="R143" s="71"/>
      <c r="S143" s="71"/>
      <c r="T143" s="71"/>
      <c r="U143" s="71"/>
      <c r="V143" s="71"/>
      <c r="W143" s="71"/>
      <c r="X143" s="71"/>
      <c r="Y143" s="71"/>
      <c r="Z143" s="71"/>
      <c r="AA143" s="152"/>
    </row>
    <row r="144" spans="1:27" hidden="1" outlineLevel="1">
      <c r="A144" s="3"/>
      <c r="B144" s="29"/>
      <c r="C144" s="133">
        <f>Asset27</f>
        <v>0</v>
      </c>
      <c r="D144" s="3"/>
      <c r="E144" s="3"/>
      <c r="F144" s="91"/>
      <c r="G144" s="1361">
        <f t="shared" si="0"/>
        <v>0</v>
      </c>
      <c r="H144" s="1362"/>
      <c r="I144" s="1362"/>
      <c r="J144" s="1362"/>
      <c r="K144" s="1362"/>
      <c r="L144" s="1362"/>
      <c r="M144" s="1362"/>
      <c r="N144" s="1362"/>
      <c r="O144" s="1362"/>
      <c r="P144" s="1362"/>
      <c r="Q144" s="1362"/>
      <c r="R144" s="71"/>
      <c r="S144" s="71"/>
      <c r="T144" s="71"/>
      <c r="U144" s="71"/>
      <c r="V144" s="71"/>
      <c r="W144" s="71"/>
      <c r="X144" s="71"/>
      <c r="Y144" s="71"/>
      <c r="Z144" s="71"/>
      <c r="AA144" s="152"/>
    </row>
    <row r="145" spans="1:27" hidden="1" outlineLevel="1">
      <c r="A145" s="3"/>
      <c r="B145" s="29"/>
      <c r="C145" s="133">
        <f>Asset28</f>
        <v>0</v>
      </c>
      <c r="D145" s="3"/>
      <c r="E145" s="3"/>
      <c r="F145" s="91"/>
      <c r="G145" s="1361">
        <f t="shared" si="0"/>
        <v>0</v>
      </c>
      <c r="H145" s="1362"/>
      <c r="I145" s="1362"/>
      <c r="J145" s="1362"/>
      <c r="K145" s="1362"/>
      <c r="L145" s="1362"/>
      <c r="M145" s="1362"/>
      <c r="N145" s="1362"/>
      <c r="O145" s="1362"/>
      <c r="P145" s="1362"/>
      <c r="Q145" s="1362"/>
      <c r="R145" s="71"/>
      <c r="S145" s="71"/>
      <c r="T145" s="71"/>
      <c r="U145" s="71"/>
      <c r="V145" s="71"/>
      <c r="W145" s="71"/>
      <c r="X145" s="71"/>
      <c r="Y145" s="71"/>
      <c r="Z145" s="71"/>
      <c r="AA145" s="152"/>
    </row>
    <row r="146" spans="1:27" hidden="1" outlineLevel="1">
      <c r="A146" s="3"/>
      <c r="B146" s="29"/>
      <c r="C146" s="133">
        <f>Asset29</f>
        <v>0</v>
      </c>
      <c r="D146" s="3"/>
      <c r="E146" s="3"/>
      <c r="F146" s="91"/>
      <c r="G146" s="1361">
        <f t="shared" si="0"/>
        <v>0</v>
      </c>
      <c r="H146" s="1362"/>
      <c r="I146" s="1362"/>
      <c r="J146" s="1362"/>
      <c r="K146" s="1362"/>
      <c r="L146" s="1362"/>
      <c r="M146" s="1362"/>
      <c r="N146" s="1362"/>
      <c r="O146" s="1362"/>
      <c r="P146" s="1362"/>
      <c r="Q146" s="1362"/>
      <c r="R146" s="71"/>
      <c r="S146" s="71"/>
      <c r="T146" s="71"/>
      <c r="U146" s="71"/>
      <c r="V146" s="71"/>
      <c r="W146" s="71"/>
      <c r="X146" s="71"/>
      <c r="Y146" s="71"/>
      <c r="Z146" s="71"/>
      <c r="AA146" s="152"/>
    </row>
    <row r="147" spans="1:27" hidden="1" outlineLevel="1">
      <c r="A147" s="3"/>
      <c r="B147" s="29"/>
      <c r="C147" s="133">
        <f>Asset30</f>
        <v>0</v>
      </c>
      <c r="D147" s="3"/>
      <c r="E147" s="3"/>
      <c r="F147" s="91"/>
      <c r="G147" s="1361">
        <f t="shared" si="0"/>
        <v>0</v>
      </c>
      <c r="H147" s="1362"/>
      <c r="I147" s="1362"/>
      <c r="J147" s="1362"/>
      <c r="K147" s="1362"/>
      <c r="L147" s="1362"/>
      <c r="M147" s="1362"/>
      <c r="N147" s="1362"/>
      <c r="O147" s="1362"/>
      <c r="P147" s="1362"/>
      <c r="Q147" s="1362"/>
      <c r="R147" s="71"/>
      <c r="S147" s="71"/>
      <c r="T147" s="71"/>
      <c r="U147" s="71"/>
      <c r="V147" s="71"/>
      <c r="W147" s="71"/>
      <c r="X147" s="71"/>
      <c r="Y147" s="71"/>
      <c r="Z147" s="71"/>
      <c r="AA147" s="152"/>
    </row>
    <row r="148" spans="1:27" hidden="1" outlineLevel="1">
      <c r="A148" s="3"/>
      <c r="B148" s="29"/>
      <c r="C148" s="133">
        <f>Asset31</f>
        <v>0</v>
      </c>
      <c r="D148" s="3"/>
      <c r="E148" s="3"/>
      <c r="F148" s="91"/>
      <c r="G148" s="1361">
        <f t="shared" si="0"/>
        <v>0</v>
      </c>
      <c r="H148" s="1362"/>
      <c r="I148" s="1362"/>
      <c r="J148" s="1362"/>
      <c r="K148" s="1362"/>
      <c r="L148" s="1362"/>
      <c r="M148" s="1362"/>
      <c r="N148" s="1362"/>
      <c r="O148" s="1362"/>
      <c r="P148" s="1362"/>
      <c r="Q148" s="1362"/>
      <c r="R148" s="71"/>
      <c r="S148" s="71"/>
      <c r="T148" s="71"/>
      <c r="U148" s="71"/>
      <c r="V148" s="71"/>
      <c r="W148" s="71"/>
      <c r="X148" s="71"/>
      <c r="Y148" s="71"/>
      <c r="Z148" s="71"/>
      <c r="AA148" s="152"/>
    </row>
    <row r="149" spans="1:27" hidden="1" outlineLevel="1">
      <c r="A149" s="3"/>
      <c r="B149" s="29"/>
      <c r="C149" s="133">
        <f>Asset32</f>
        <v>0</v>
      </c>
      <c r="D149" s="3"/>
      <c r="E149" s="3"/>
      <c r="F149" s="91"/>
      <c r="G149" s="1361">
        <f t="shared" si="0"/>
        <v>0</v>
      </c>
      <c r="H149" s="1362"/>
      <c r="I149" s="1362"/>
      <c r="J149" s="1362"/>
      <c r="K149" s="1362"/>
      <c r="L149" s="1362"/>
      <c r="M149" s="1362"/>
      <c r="N149" s="1362"/>
      <c r="O149" s="1362"/>
      <c r="P149" s="1362"/>
      <c r="Q149" s="1362"/>
      <c r="R149" s="71"/>
      <c r="S149" s="71"/>
      <c r="T149" s="71"/>
      <c r="U149" s="71"/>
      <c r="V149" s="71"/>
      <c r="W149" s="71"/>
      <c r="X149" s="71"/>
      <c r="Y149" s="71"/>
      <c r="Z149" s="71"/>
      <c r="AA149" s="152"/>
    </row>
    <row r="150" spans="1:27" hidden="1" outlineLevel="1">
      <c r="A150" s="3"/>
      <c r="B150" s="29"/>
      <c r="C150" s="133">
        <f>Asset33</f>
        <v>0</v>
      </c>
      <c r="D150" s="3"/>
      <c r="E150" s="3"/>
      <c r="F150" s="91"/>
      <c r="G150" s="1361">
        <f t="shared" si="0"/>
        <v>0</v>
      </c>
      <c r="H150" s="1362"/>
      <c r="I150" s="1362"/>
      <c r="J150" s="1362"/>
      <c r="K150" s="1362"/>
      <c r="L150" s="1362"/>
      <c r="M150" s="1362"/>
      <c r="N150" s="1362"/>
      <c r="O150" s="1362"/>
      <c r="P150" s="1362"/>
      <c r="Q150" s="1362"/>
      <c r="R150" s="71"/>
      <c r="S150" s="71"/>
      <c r="T150" s="71"/>
      <c r="U150" s="71"/>
      <c r="V150" s="71"/>
      <c r="W150" s="71"/>
      <c r="X150" s="71"/>
      <c r="Y150" s="71"/>
      <c r="Z150" s="71"/>
      <c r="AA150" s="152"/>
    </row>
    <row r="151" spans="1:27" hidden="1" outlineLevel="1">
      <c r="A151" s="3"/>
      <c r="B151" s="29"/>
      <c r="C151" s="133">
        <f>Asset34</f>
        <v>0</v>
      </c>
      <c r="D151" s="3"/>
      <c r="E151" s="3"/>
      <c r="F151" s="91"/>
      <c r="G151" s="1361">
        <f t="shared" si="0"/>
        <v>0</v>
      </c>
      <c r="H151" s="1362"/>
      <c r="I151" s="1362"/>
      <c r="J151" s="1362"/>
      <c r="K151" s="1362"/>
      <c r="L151" s="1362"/>
      <c r="M151" s="1362"/>
      <c r="N151" s="1362"/>
      <c r="O151" s="1362"/>
      <c r="P151" s="1362"/>
      <c r="Q151" s="1362"/>
      <c r="R151" s="71"/>
      <c r="S151" s="71"/>
      <c r="T151" s="71"/>
      <c r="U151" s="71"/>
      <c r="V151" s="71"/>
      <c r="W151" s="71"/>
      <c r="X151" s="71"/>
      <c r="Y151" s="71"/>
      <c r="Z151" s="71"/>
      <c r="AA151" s="152"/>
    </row>
    <row r="152" spans="1:27" hidden="1" outlineLevel="1">
      <c r="A152" s="3"/>
      <c r="B152" s="29"/>
      <c r="C152" s="133">
        <f>Asset35</f>
        <v>0</v>
      </c>
      <c r="D152" s="3"/>
      <c r="E152" s="3"/>
      <c r="F152" s="91"/>
      <c r="G152" s="1361">
        <f t="shared" si="0"/>
        <v>0</v>
      </c>
      <c r="H152" s="1362"/>
      <c r="I152" s="1362"/>
      <c r="J152" s="1362"/>
      <c r="K152" s="1362"/>
      <c r="L152" s="1362"/>
      <c r="M152" s="1362"/>
      <c r="N152" s="1362"/>
      <c r="O152" s="1362"/>
      <c r="P152" s="1362"/>
      <c r="Q152" s="1362"/>
      <c r="R152" s="71"/>
      <c r="S152" s="71"/>
      <c r="T152" s="71"/>
      <c r="U152" s="71"/>
      <c r="V152" s="71"/>
      <c r="W152" s="71"/>
      <c r="X152" s="71"/>
      <c r="Y152" s="71"/>
      <c r="Z152" s="71"/>
      <c r="AA152" s="152"/>
    </row>
    <row r="153" spans="1:27" hidden="1" outlineLevel="1">
      <c r="A153" s="3"/>
      <c r="B153" s="29"/>
      <c r="C153" s="133">
        <f>Asset36</f>
        <v>0</v>
      </c>
      <c r="D153" s="3"/>
      <c r="E153" s="3"/>
      <c r="F153" s="91"/>
      <c r="G153" s="1361">
        <f t="shared" si="0"/>
        <v>0</v>
      </c>
      <c r="H153" s="1362"/>
      <c r="I153" s="1362"/>
      <c r="J153" s="1362"/>
      <c r="K153" s="1362"/>
      <c r="L153" s="1362"/>
      <c r="M153" s="1362"/>
      <c r="N153" s="1362"/>
      <c r="O153" s="1362"/>
      <c r="P153" s="1362"/>
      <c r="Q153" s="1362"/>
      <c r="R153" s="71"/>
      <c r="S153" s="71"/>
      <c r="T153" s="71"/>
      <c r="U153" s="71"/>
      <c r="V153" s="71"/>
      <c r="W153" s="71"/>
      <c r="X153" s="71"/>
      <c r="Y153" s="71"/>
      <c r="Z153" s="71"/>
      <c r="AA153" s="152"/>
    </row>
    <row r="154" spans="1:27" hidden="1" outlineLevel="1">
      <c r="A154" s="3"/>
      <c r="B154" s="29"/>
      <c r="C154" s="133">
        <f>Asset37</f>
        <v>0</v>
      </c>
      <c r="D154" s="3"/>
      <c r="E154" s="3"/>
      <c r="F154" s="91"/>
      <c r="G154" s="1361">
        <f t="shared" si="0"/>
        <v>0</v>
      </c>
      <c r="H154" s="1362"/>
      <c r="I154" s="1362"/>
      <c r="J154" s="1362"/>
      <c r="K154" s="1362"/>
      <c r="L154" s="1362"/>
      <c r="M154" s="1362"/>
      <c r="N154" s="1362"/>
      <c r="O154" s="1362"/>
      <c r="P154" s="1362"/>
      <c r="Q154" s="1362"/>
      <c r="R154" s="71"/>
      <c r="S154" s="71"/>
      <c r="T154" s="71"/>
      <c r="U154" s="71"/>
      <c r="V154" s="71"/>
      <c r="W154" s="71"/>
      <c r="X154" s="71"/>
      <c r="Y154" s="71"/>
      <c r="Z154" s="71"/>
      <c r="AA154" s="152"/>
    </row>
    <row r="155" spans="1:27" hidden="1" outlineLevel="1">
      <c r="A155" s="3"/>
      <c r="B155" s="29"/>
      <c r="C155" s="133">
        <f>Asset38</f>
        <v>0</v>
      </c>
      <c r="D155" s="3"/>
      <c r="E155" s="3"/>
      <c r="F155" s="91"/>
      <c r="G155" s="1361">
        <f t="shared" si="0"/>
        <v>0</v>
      </c>
      <c r="H155" s="1362"/>
      <c r="I155" s="1362"/>
      <c r="J155" s="1362"/>
      <c r="K155" s="1362"/>
      <c r="L155" s="1362"/>
      <c r="M155" s="1362"/>
      <c r="N155" s="1362"/>
      <c r="O155" s="1362"/>
      <c r="P155" s="1362"/>
      <c r="Q155" s="1362"/>
      <c r="R155" s="71"/>
      <c r="S155" s="71"/>
      <c r="T155" s="71"/>
      <c r="U155" s="71"/>
      <c r="V155" s="71"/>
      <c r="W155" s="71"/>
      <c r="X155" s="71"/>
      <c r="Y155" s="71"/>
      <c r="Z155" s="71"/>
      <c r="AA155" s="152"/>
    </row>
    <row r="156" spans="1:27" hidden="1" outlineLevel="1">
      <c r="A156" s="3"/>
      <c r="B156" s="29"/>
      <c r="C156" s="133">
        <f>Asset39</f>
        <v>0</v>
      </c>
      <c r="D156" s="3"/>
      <c r="E156" s="3"/>
      <c r="F156" s="91"/>
      <c r="G156" s="1361">
        <f t="shared" si="0"/>
        <v>0</v>
      </c>
      <c r="H156" s="1362"/>
      <c r="I156" s="1362"/>
      <c r="J156" s="1362"/>
      <c r="K156" s="1362"/>
      <c r="L156" s="1362"/>
      <c r="M156" s="1362"/>
      <c r="N156" s="1362"/>
      <c r="O156" s="1362"/>
      <c r="P156" s="1362"/>
      <c r="Q156" s="1362"/>
      <c r="R156" s="71"/>
      <c r="S156" s="71"/>
      <c r="T156" s="71"/>
      <c r="U156" s="71"/>
      <c r="V156" s="71"/>
      <c r="W156" s="71"/>
      <c r="X156" s="71"/>
      <c r="Y156" s="71"/>
      <c r="Z156" s="71"/>
      <c r="AA156" s="152"/>
    </row>
    <row r="157" spans="1:27" hidden="1" outlineLevel="1">
      <c r="A157" s="3"/>
      <c r="B157" s="29"/>
      <c r="C157" s="133">
        <f>Asset40</f>
        <v>0</v>
      </c>
      <c r="D157" s="3"/>
      <c r="E157" s="3"/>
      <c r="F157" s="91"/>
      <c r="G157" s="1361">
        <f t="shared" si="0"/>
        <v>0</v>
      </c>
      <c r="H157" s="1362"/>
      <c r="I157" s="1362"/>
      <c r="J157" s="1362"/>
      <c r="K157" s="1362"/>
      <c r="L157" s="1362"/>
      <c r="M157" s="1362"/>
      <c r="N157" s="1362"/>
      <c r="O157" s="1362"/>
      <c r="P157" s="1362"/>
      <c r="Q157" s="1362"/>
      <c r="R157" s="71"/>
      <c r="S157" s="71"/>
      <c r="T157" s="71"/>
      <c r="U157" s="71"/>
      <c r="V157" s="71"/>
      <c r="W157" s="71"/>
      <c r="X157" s="71"/>
      <c r="Y157" s="71"/>
      <c r="Z157" s="71"/>
      <c r="AA157" s="152"/>
    </row>
    <row r="158" spans="1:27" hidden="1" outlineLevel="1">
      <c r="A158" s="3"/>
      <c r="B158" s="29"/>
      <c r="C158" s="133">
        <f>Asset41</f>
        <v>0</v>
      </c>
      <c r="D158" s="3"/>
      <c r="E158" s="3"/>
      <c r="F158" s="91"/>
      <c r="G158" s="1361">
        <f t="shared" si="0"/>
        <v>0</v>
      </c>
      <c r="H158" s="1362"/>
      <c r="I158" s="1362"/>
      <c r="J158" s="1362"/>
      <c r="K158" s="1362"/>
      <c r="L158" s="1362"/>
      <c r="M158" s="1362"/>
      <c r="N158" s="1362"/>
      <c r="O158" s="1362"/>
      <c r="P158" s="1362"/>
      <c r="Q158" s="1362"/>
      <c r="R158" s="71"/>
      <c r="S158" s="71"/>
      <c r="T158" s="71"/>
      <c r="U158" s="71"/>
      <c r="V158" s="71"/>
      <c r="W158" s="71"/>
      <c r="X158" s="71"/>
      <c r="Y158" s="71"/>
      <c r="Z158" s="71"/>
      <c r="AA158" s="152"/>
    </row>
    <row r="159" spans="1:27" hidden="1" outlineLevel="1">
      <c r="A159" s="3"/>
      <c r="B159" s="29"/>
      <c r="C159" s="133">
        <f>Asset42</f>
        <v>0</v>
      </c>
      <c r="D159" s="3"/>
      <c r="E159" s="3"/>
      <c r="F159" s="91"/>
      <c r="G159" s="1361">
        <f t="shared" si="0"/>
        <v>0</v>
      </c>
      <c r="H159" s="1362"/>
      <c r="I159" s="1362"/>
      <c r="J159" s="1362"/>
      <c r="K159" s="1362"/>
      <c r="L159" s="1362"/>
      <c r="M159" s="1362"/>
      <c r="N159" s="1362"/>
      <c r="O159" s="1362"/>
      <c r="P159" s="1362"/>
      <c r="Q159" s="1362"/>
      <c r="R159" s="71"/>
      <c r="S159" s="71"/>
      <c r="T159" s="71"/>
      <c r="U159" s="71"/>
      <c r="V159" s="71"/>
      <c r="W159" s="71"/>
      <c r="X159" s="71"/>
      <c r="Y159" s="71"/>
      <c r="Z159" s="71"/>
      <c r="AA159" s="152"/>
    </row>
    <row r="160" spans="1:27" hidden="1" outlineLevel="1">
      <c r="A160" s="3"/>
      <c r="B160" s="29"/>
      <c r="C160" s="133">
        <f>Asset43</f>
        <v>0</v>
      </c>
      <c r="D160" s="3"/>
      <c r="E160" s="3"/>
      <c r="F160" s="91"/>
      <c r="G160" s="1361">
        <f t="shared" si="0"/>
        <v>0</v>
      </c>
      <c r="H160" s="1362"/>
      <c r="I160" s="1362"/>
      <c r="J160" s="1362"/>
      <c r="K160" s="1362"/>
      <c r="L160" s="1362"/>
      <c r="M160" s="1362"/>
      <c r="N160" s="1362"/>
      <c r="O160" s="1362"/>
      <c r="P160" s="1362"/>
      <c r="Q160" s="1362"/>
      <c r="R160" s="71"/>
      <c r="S160" s="71"/>
      <c r="T160" s="71"/>
      <c r="U160" s="71"/>
      <c r="V160" s="71"/>
      <c r="W160" s="71"/>
      <c r="X160" s="71"/>
      <c r="Y160" s="71"/>
      <c r="Z160" s="71"/>
      <c r="AA160" s="152"/>
    </row>
    <row r="161" spans="1:27" hidden="1" outlineLevel="1">
      <c r="A161" s="3"/>
      <c r="B161" s="29"/>
      <c r="C161" s="133">
        <f>Asset44</f>
        <v>0</v>
      </c>
      <c r="D161" s="3"/>
      <c r="E161" s="3"/>
      <c r="F161" s="91"/>
      <c r="G161" s="1361">
        <f t="shared" si="0"/>
        <v>0</v>
      </c>
      <c r="H161" s="1362"/>
      <c r="I161" s="1362"/>
      <c r="J161" s="1362"/>
      <c r="K161" s="1362"/>
      <c r="L161" s="1362"/>
      <c r="M161" s="1362"/>
      <c r="N161" s="1362"/>
      <c r="O161" s="1362"/>
      <c r="P161" s="1362"/>
      <c r="Q161" s="1362"/>
      <c r="R161" s="71"/>
      <c r="S161" s="71"/>
      <c r="T161" s="71"/>
      <c r="U161" s="71"/>
      <c r="V161" s="71"/>
      <c r="W161" s="71"/>
      <c r="X161" s="71"/>
      <c r="Y161" s="71"/>
      <c r="Z161" s="71"/>
      <c r="AA161" s="152"/>
    </row>
    <row r="162" spans="1:27" hidden="1" outlineLevel="1">
      <c r="A162" s="3"/>
      <c r="B162" s="29"/>
      <c r="C162" s="133">
        <f>Asset45</f>
        <v>0</v>
      </c>
      <c r="D162" s="3"/>
      <c r="E162" s="3"/>
      <c r="F162" s="91"/>
      <c r="G162" s="1361">
        <f t="shared" si="0"/>
        <v>0</v>
      </c>
      <c r="H162" s="1362"/>
      <c r="I162" s="1362"/>
      <c r="J162" s="1362"/>
      <c r="K162" s="1362"/>
      <c r="L162" s="1362"/>
      <c r="M162" s="1362"/>
      <c r="N162" s="1362"/>
      <c r="O162" s="1362"/>
      <c r="P162" s="1362"/>
      <c r="Q162" s="1362"/>
      <c r="R162" s="71"/>
      <c r="S162" s="71"/>
      <c r="T162" s="71"/>
      <c r="U162" s="71"/>
      <c r="V162" s="71"/>
      <c r="W162" s="71"/>
      <c r="X162" s="71"/>
      <c r="Y162" s="71"/>
      <c r="Z162" s="71"/>
      <c r="AA162" s="152"/>
    </row>
    <row r="163" spans="1:27" hidden="1" outlineLevel="1">
      <c r="A163" s="3"/>
      <c r="B163" s="29"/>
      <c r="C163" s="133">
        <f>Asset46</f>
        <v>0</v>
      </c>
      <c r="D163" s="3"/>
      <c r="E163" s="3"/>
      <c r="F163" s="91"/>
      <c r="G163" s="1361">
        <f t="shared" si="0"/>
        <v>0</v>
      </c>
      <c r="H163" s="1362"/>
      <c r="I163" s="1362"/>
      <c r="J163" s="1362"/>
      <c r="K163" s="1362"/>
      <c r="L163" s="1362"/>
      <c r="M163" s="1362"/>
      <c r="N163" s="1362"/>
      <c r="O163" s="1362"/>
      <c r="P163" s="1362"/>
      <c r="Q163" s="1362"/>
      <c r="R163" s="71"/>
      <c r="S163" s="71"/>
      <c r="T163" s="71"/>
      <c r="U163" s="71"/>
      <c r="V163" s="71"/>
      <c r="W163" s="71"/>
      <c r="X163" s="71"/>
      <c r="Y163" s="71"/>
      <c r="Z163" s="71"/>
      <c r="AA163" s="152"/>
    </row>
    <row r="164" spans="1:27" hidden="1" outlineLevel="1">
      <c r="A164" s="3"/>
      <c r="B164" s="29"/>
      <c r="C164" s="133">
        <f>Asset47</f>
        <v>0</v>
      </c>
      <c r="D164" s="3"/>
      <c r="E164" s="3"/>
      <c r="F164" s="91"/>
      <c r="G164" s="1361">
        <f t="shared" si="0"/>
        <v>0</v>
      </c>
      <c r="H164" s="1362"/>
      <c r="I164" s="1362"/>
      <c r="J164" s="1362"/>
      <c r="K164" s="1362"/>
      <c r="L164" s="1362"/>
      <c r="M164" s="1362"/>
      <c r="N164" s="1362"/>
      <c r="O164" s="1362"/>
      <c r="P164" s="1362"/>
      <c r="Q164" s="1362"/>
      <c r="R164" s="71"/>
      <c r="S164" s="71"/>
      <c r="T164" s="71"/>
      <c r="U164" s="71"/>
      <c r="V164" s="71"/>
      <c r="W164" s="71"/>
      <c r="X164" s="71"/>
      <c r="Y164" s="71"/>
      <c r="Z164" s="71"/>
      <c r="AA164" s="152"/>
    </row>
    <row r="165" spans="1:27" hidden="1" outlineLevel="1">
      <c r="A165" s="3"/>
      <c r="B165" s="29"/>
      <c r="C165" s="133">
        <f>Asset48</f>
        <v>0</v>
      </c>
      <c r="D165" s="3"/>
      <c r="E165" s="3"/>
      <c r="F165" s="91"/>
      <c r="G165" s="1361">
        <f t="shared" si="0"/>
        <v>0</v>
      </c>
      <c r="H165" s="1362"/>
      <c r="I165" s="1362"/>
      <c r="J165" s="1362"/>
      <c r="K165" s="1362"/>
      <c r="L165" s="1362"/>
      <c r="M165" s="1362"/>
      <c r="N165" s="1362"/>
      <c r="O165" s="1362"/>
      <c r="P165" s="1362"/>
      <c r="Q165" s="1362"/>
      <c r="R165" s="71"/>
      <c r="S165" s="71"/>
      <c r="T165" s="71"/>
      <c r="U165" s="71"/>
      <c r="V165" s="71"/>
      <c r="W165" s="71"/>
      <c r="X165" s="71"/>
      <c r="Y165" s="71"/>
      <c r="Z165" s="71"/>
      <c r="AA165" s="152"/>
    </row>
    <row r="166" spans="1:27" hidden="1" outlineLevel="1">
      <c r="A166" s="3"/>
      <c r="B166" s="29"/>
      <c r="C166" s="133">
        <f>Asset49</f>
        <v>0</v>
      </c>
      <c r="D166" s="3"/>
      <c r="E166" s="3"/>
      <c r="F166" s="91"/>
      <c r="G166" s="1361">
        <f t="shared" si="0"/>
        <v>0</v>
      </c>
      <c r="H166" s="1362"/>
      <c r="I166" s="1362"/>
      <c r="J166" s="1362"/>
      <c r="K166" s="1362"/>
      <c r="L166" s="1362"/>
      <c r="M166" s="1362"/>
      <c r="N166" s="1362"/>
      <c r="O166" s="1362"/>
      <c r="P166" s="1362"/>
      <c r="Q166" s="1362"/>
      <c r="R166" s="71"/>
      <c r="S166" s="71"/>
      <c r="T166" s="71"/>
      <c r="U166" s="71"/>
      <c r="V166" s="71"/>
      <c r="W166" s="71"/>
      <c r="X166" s="71"/>
      <c r="Y166" s="71"/>
      <c r="Z166" s="71"/>
      <c r="AA166" s="152"/>
    </row>
    <row r="167" spans="1:27" hidden="1" outlineLevel="1">
      <c r="A167" s="3"/>
      <c r="B167" s="29"/>
      <c r="C167" s="133">
        <f>Asset50</f>
        <v>0</v>
      </c>
      <c r="D167" s="3"/>
      <c r="E167" s="3"/>
      <c r="F167" s="91"/>
      <c r="G167" s="1361">
        <f t="shared" si="0"/>
        <v>0</v>
      </c>
      <c r="H167" s="1362"/>
      <c r="I167" s="1362"/>
      <c r="J167" s="1362"/>
      <c r="K167" s="1362"/>
      <c r="L167" s="1362"/>
      <c r="M167" s="1362"/>
      <c r="N167" s="1362"/>
      <c r="O167" s="1362"/>
      <c r="P167" s="1362"/>
      <c r="Q167" s="1362"/>
      <c r="R167" s="71"/>
      <c r="S167" s="71"/>
      <c r="T167" s="71"/>
      <c r="U167" s="71"/>
      <c r="V167" s="71"/>
      <c r="W167" s="71"/>
      <c r="X167" s="71"/>
      <c r="Y167" s="71"/>
      <c r="Z167" s="71"/>
      <c r="AA167" s="152"/>
    </row>
    <row r="168" spans="1:27" collapsed="1">
      <c r="A168" s="3"/>
      <c r="B168" s="29"/>
      <c r="C168" s="88"/>
      <c r="D168" s="3"/>
      <c r="E168" s="3"/>
      <c r="F168" s="91"/>
      <c r="G168" s="1359"/>
      <c r="H168" s="1362"/>
      <c r="I168" s="1362"/>
      <c r="J168" s="1362"/>
      <c r="K168" s="1362"/>
      <c r="L168" s="1362"/>
      <c r="M168" s="1362"/>
      <c r="N168" s="1362"/>
      <c r="O168" s="1362"/>
      <c r="P168" s="1362"/>
      <c r="Q168" s="1362"/>
      <c r="R168" s="71"/>
      <c r="S168" s="71"/>
      <c r="T168" s="71"/>
      <c r="U168" s="71"/>
      <c r="V168" s="71"/>
      <c r="W168" s="71"/>
      <c r="X168" s="71"/>
      <c r="Y168" s="71"/>
      <c r="Z168" s="71"/>
      <c r="AA168" s="152"/>
    </row>
    <row r="169" spans="1:27">
      <c r="A169" s="3"/>
      <c r="B169" s="127" t="s">
        <v>128</v>
      </c>
      <c r="C169" s="3"/>
      <c r="D169" s="3"/>
      <c r="E169" s="3"/>
      <c r="F169" s="91"/>
      <c r="G169" s="1360"/>
      <c r="H169" s="248">
        <f>SUM(H170,H172,H174,H176,H178,H180,H182,H184,H186,H188,H190,H192,H194,H196,H198,H200,H202,H204,H206,H208,H210,H212,H214,H216,H218,H220,H222,H224,H226,H228,H230,H232,H234,H236,H238,H240,H242,H244,H246,H248,H250,H252,H254,H256,H258,H260,H262,H264,H266,H268)</f>
        <v>1.498095657535875</v>
      </c>
      <c r="I169" s="248">
        <f t="shared" ref="I169:Q169" si="1">SUM(I170,I172,I174,I176,I178,I180,I182,I184,I186,I188,I190,I192,I194,I196,I198,I200,I202,I204,I206,I208,I210,I212,I214,I216,I218,I220,I222,I224,I226,I228,I230,I232,I234,I236,I238,I240,I242,I244,I246,I248,I250,I252,I254,I256,I258,I260,I262,I264,I266,I268)</f>
        <v>1.7048074738954224</v>
      </c>
      <c r="J169" s="248">
        <f t="shared" si="1"/>
        <v>1.740924884036644</v>
      </c>
      <c r="K169" s="248">
        <f t="shared" si="1"/>
        <v>1.831589672232707</v>
      </c>
      <c r="L169" s="248">
        <f t="shared" si="1"/>
        <v>1.6533105668619563</v>
      </c>
      <c r="M169" s="248">
        <f t="shared" si="1"/>
        <v>2.4224256685673695</v>
      </c>
      <c r="N169" s="248">
        <f t="shared" si="1"/>
        <v>4.3074373116576536</v>
      </c>
      <c r="O169" s="248">
        <f t="shared" si="1"/>
        <v>0</v>
      </c>
      <c r="P169" s="248">
        <f t="shared" si="1"/>
        <v>0</v>
      </c>
      <c r="Q169" s="248">
        <f t="shared" si="1"/>
        <v>0</v>
      </c>
      <c r="R169" s="71"/>
      <c r="S169" s="71"/>
      <c r="T169" s="71"/>
      <c r="U169" s="71"/>
      <c r="V169" s="71"/>
      <c r="W169" s="71"/>
      <c r="X169" s="71"/>
      <c r="Y169" s="71"/>
      <c r="Z169" s="71"/>
      <c r="AA169" s="152"/>
    </row>
    <row r="170" spans="1:27" hidden="1" outlineLevel="1">
      <c r="A170" s="3"/>
      <c r="B170" s="29"/>
      <c r="C170" s="133" t="str">
        <f>Asset1</f>
        <v>Mains</v>
      </c>
      <c r="D170" s="3"/>
      <c r="E170" s="3"/>
      <c r="F170" s="91"/>
      <c r="G170" s="1359"/>
      <c r="H170" s="1341">
        <f>($G118+(SUM($G170:G170)))*H$8</f>
        <v>0.80229511821916388</v>
      </c>
      <c r="I170" s="1363">
        <f>($G118+(SUM($G170:H170)))*I$8</f>
        <v>0.91299825009811708</v>
      </c>
      <c r="J170" s="1363">
        <f>IF(COUNT($H170:I170)&gt;='RFM input'!$V$7,0,($G118+(SUM($G170:I170)))*J$8)</f>
        <v>0.93234068774104006</v>
      </c>
      <c r="K170" s="1363">
        <f>IF(COUNT($H170:J170)&gt;='RFM input'!$V$7,0,($G118+(SUM($G170:J170)))*K$8)</f>
        <v>0.98089560918292007</v>
      </c>
      <c r="L170" s="1341">
        <f>IF(COUNT($H170:K170)&gt;='RFM input'!$V$7,0,($G118+(SUM($G170:K170)))*L$8)</f>
        <v>0.88541942566957987</v>
      </c>
      <c r="M170" s="1341">
        <f>IF(COUNT($H170:L170)&gt;='RFM input'!$V$7,0,($G118+(SUM($G170:L170)))*M$8)</f>
        <v>1.2973138786992668</v>
      </c>
      <c r="N170" s="1341">
        <f>IF(COUNT($H170:M170)&gt;='RFM input'!$V$7,0,($G118+(SUM($G170:M170)))*N$8)</f>
        <v>2.3068192673772949</v>
      </c>
      <c r="O170" s="1341">
        <f>IF(COUNT($H170:N170)&gt;='RFM input'!$V$7,0,($G118+(SUM($G170:N170)))*O$8)</f>
        <v>0</v>
      </c>
      <c r="P170" s="1341">
        <f>IF(COUNT($H170:O170)&gt;='RFM input'!$V$7,0,($G118+(SUM($G170:O170)))*P$8)</f>
        <v>0</v>
      </c>
      <c r="Q170" s="1341">
        <f>IF(COUNT($H170:P170)&gt;='RFM input'!$V$7,0,($G118+(SUM($G170:P170)))*Q$8)</f>
        <v>0</v>
      </c>
      <c r="R170" s="71"/>
      <c r="S170" s="71"/>
      <c r="T170" s="71"/>
      <c r="U170" s="71"/>
      <c r="V170" s="71"/>
      <c r="W170" s="71"/>
      <c r="X170" s="71"/>
      <c r="Y170" s="71"/>
      <c r="Z170" s="71"/>
      <c r="AA170" s="152"/>
    </row>
    <row r="171" spans="1:27" hidden="1" outlineLevel="1">
      <c r="A171" s="3"/>
      <c r="B171" s="29"/>
      <c r="C171" s="139" t="s">
        <v>24</v>
      </c>
      <c r="D171" s="3"/>
      <c r="E171" s="3"/>
      <c r="F171" s="91"/>
      <c r="G171" s="1359"/>
      <c r="H171" s="1341"/>
      <c r="I171" s="1363">
        <f>IF(COUNT($H170:I170)='RFM input'!$V$7,SUM($G170:I170),0)</f>
        <v>0</v>
      </c>
      <c r="J171" s="1363">
        <f>IF(COUNT($H170:J170)='RFM input'!$V$7,SUM($G170:J170),0)</f>
        <v>0</v>
      </c>
      <c r="K171" s="1363">
        <f>IF(COUNT($H170:K170)='RFM input'!$V$7,SUM($G170:K170),0)</f>
        <v>0</v>
      </c>
      <c r="L171" s="1341">
        <f>IF(COUNT($H170:L170)='RFM input'!$V$7,SUM($G170:L170),0)</f>
        <v>0</v>
      </c>
      <c r="M171" s="1341">
        <f>IF(COUNT($H170:M170)='RFM input'!$V$7,SUM($G170:M170),0)</f>
        <v>0</v>
      </c>
      <c r="N171" s="1341">
        <f>IF(COUNT($H170:N170)='RFM input'!$V$7,SUM($G170:N170),0)</f>
        <v>8.1180822369873837</v>
      </c>
      <c r="O171" s="1341">
        <f>IF(COUNT($H170:O170)='RFM input'!$V$7,SUM($G170:O170),0)</f>
        <v>0</v>
      </c>
      <c r="P171" s="1341">
        <f>IF(COUNT($H170:P170)='RFM input'!$V$7,SUM($G170:P170),0)</f>
        <v>0</v>
      </c>
      <c r="Q171" s="1341">
        <f>IF(COUNT($H170:Q170)='RFM input'!$V$7,SUM($G170:Q170),0)</f>
        <v>0</v>
      </c>
      <c r="R171" s="71"/>
      <c r="S171" s="71"/>
      <c r="T171" s="71"/>
      <c r="U171" s="71"/>
      <c r="V171" s="71"/>
      <c r="W171" s="71"/>
      <c r="X171" s="71"/>
      <c r="Y171" s="71"/>
      <c r="Z171" s="71"/>
      <c r="AA171" s="152"/>
    </row>
    <row r="172" spans="1:27" hidden="1" outlineLevel="1">
      <c r="A172" s="3"/>
      <c r="B172" s="29"/>
      <c r="C172" s="133" t="str">
        <f>Asset2</f>
        <v>Inlets</v>
      </c>
      <c r="D172" s="3"/>
      <c r="E172" s="3"/>
      <c r="F172" s="91"/>
      <c r="G172" s="1359"/>
      <c r="H172" s="1341">
        <f>($G119+(SUM($G172:G172)))*H$8</f>
        <v>0.284888406840964</v>
      </c>
      <c r="I172" s="1363">
        <f>($G119+(SUM($G172:H172)))*I$8</f>
        <v>0.32419817971270276</v>
      </c>
      <c r="J172" s="1363">
        <f>IF(COUNT($H172:I172)&gt;='RFM input'!$V$7,0,($G119+(SUM($G172:I172)))*J$8)</f>
        <v>0.33106652045088947</v>
      </c>
      <c r="K172" s="1363">
        <f>IF(COUNT($H172:J172)&gt;='RFM input'!$V$7,0,($G119+(SUM($G172:J172)))*K$8)</f>
        <v>0.34830797424979765</v>
      </c>
      <c r="L172" s="1341">
        <f>IF(COUNT($H172:K172)&gt;='RFM input'!$V$7,0,($G119+(SUM($G172:K172)))*L$8)</f>
        <v>0.31440516567638105</v>
      </c>
      <c r="M172" s="1341">
        <f>IF(COUNT($H172:L172)&gt;='RFM input'!$V$7,0,($G119+(SUM($G172:L172)))*M$8)</f>
        <v>0.46066550285844382</v>
      </c>
      <c r="N172" s="1341">
        <f>IF(COUNT($H172:M172)&gt;='RFM input'!$V$7,0,($G119+(SUM($G172:M172)))*N$8)</f>
        <v>0.81913257482096891</v>
      </c>
      <c r="O172" s="1341">
        <f>IF(COUNT($H172:N172)&gt;='RFM input'!$V$7,0,($G119+(SUM($G172:N172)))*O$8)</f>
        <v>0</v>
      </c>
      <c r="P172" s="1341">
        <f>IF(COUNT($H172:O172)&gt;='RFM input'!$V$7,0,($G119+(SUM($G172:O172)))*P$8)</f>
        <v>0</v>
      </c>
      <c r="Q172" s="1341">
        <f>IF(COUNT($H172:P172)&gt;='RFM input'!$V$7,0,($G119+(SUM($G172:P172)))*Q$8)</f>
        <v>0</v>
      </c>
      <c r="R172" s="71"/>
      <c r="S172" s="71"/>
      <c r="T172" s="71"/>
      <c r="U172" s="71"/>
      <c r="V172" s="71"/>
      <c r="W172" s="71"/>
      <c r="X172" s="71"/>
      <c r="Y172" s="71"/>
      <c r="Z172" s="71"/>
      <c r="AA172" s="152"/>
    </row>
    <row r="173" spans="1:27" hidden="1" outlineLevel="1">
      <c r="A173" s="3"/>
      <c r="B173" s="29"/>
      <c r="C173" s="139" t="s">
        <v>24</v>
      </c>
      <c r="D173" s="3"/>
      <c r="E173" s="3"/>
      <c r="F173" s="91"/>
      <c r="G173" s="1359"/>
      <c r="H173" s="1341"/>
      <c r="I173" s="1363">
        <f>IF(COUNT($H172:I172)='RFM input'!$V$7,SUM($G172:I172),0)</f>
        <v>0</v>
      </c>
      <c r="J173" s="1363">
        <f>IF(COUNT($H172:J172)='RFM input'!$V$7,SUM($G172:J172),0)</f>
        <v>0</v>
      </c>
      <c r="K173" s="1363">
        <f>IF(COUNT($H172:K172)='RFM input'!$V$7,SUM($G172:K172),0)</f>
        <v>0</v>
      </c>
      <c r="L173" s="1341">
        <f>IF(COUNT($H172:L172)='RFM input'!$V$7,SUM($G172:L172),0)</f>
        <v>0</v>
      </c>
      <c r="M173" s="1341">
        <f>IF(COUNT($H172:M172)='RFM input'!$V$7,SUM($G172:M172),0)</f>
        <v>0</v>
      </c>
      <c r="N173" s="1341">
        <f>IF(COUNT($H172:N172)='RFM input'!$V$7,SUM($G172:N172),0)</f>
        <v>2.8826643246101473</v>
      </c>
      <c r="O173" s="1341">
        <f>IF(COUNT($H172:O172)='RFM input'!$V$7,SUM($G172:O172),0)</f>
        <v>0</v>
      </c>
      <c r="P173" s="1341">
        <f>IF(COUNT($H172:P172)='RFM input'!$V$7,SUM($G172:P172),0)</f>
        <v>0</v>
      </c>
      <c r="Q173" s="1341">
        <f>IF(COUNT($H172:Q172)='RFM input'!$V$7,SUM($G172:Q172),0)</f>
        <v>0</v>
      </c>
      <c r="R173" s="71"/>
      <c r="S173" s="71"/>
      <c r="T173" s="71"/>
      <c r="U173" s="71"/>
      <c r="V173" s="71"/>
      <c r="W173" s="71"/>
      <c r="X173" s="71"/>
      <c r="Y173" s="71"/>
      <c r="Z173" s="71"/>
      <c r="AA173" s="152"/>
    </row>
    <row r="174" spans="1:27" hidden="1" outlineLevel="1">
      <c r="A174" s="3"/>
      <c r="B174" s="29"/>
      <c r="C174" s="133" t="str">
        <f>Asset3</f>
        <v>Meters</v>
      </c>
      <c r="D174" s="3"/>
      <c r="E174" s="3"/>
      <c r="F174" s="91"/>
      <c r="G174" s="1359"/>
      <c r="H174" s="1341">
        <f>($G120+(SUM($G174:G174)))*H$8</f>
        <v>0.13083499443664931</v>
      </c>
      <c r="I174" s="1363">
        <f>($G120+(SUM($G174:H174)))*I$8</f>
        <v>0.1488880067442051</v>
      </c>
      <c r="J174" s="1363">
        <f>IF(COUNT($H174:I174)&gt;='RFM input'!$V$7,0,($G120+(SUM($G174:I174)))*J$8)</f>
        <v>0.15204229207379846</v>
      </c>
      <c r="K174" s="1363">
        <f>IF(COUNT($H174:J174)&gt;='RFM input'!$V$7,0,($G120+(SUM($G174:J174)))*K$8)</f>
        <v>0.15996042934331245</v>
      </c>
      <c r="L174" s="1341">
        <f>IF(COUNT($H174:K174)&gt;='RFM input'!$V$7,0,($G120+(SUM($G174:K174)))*L$8)</f>
        <v>0.14439056526819788</v>
      </c>
      <c r="M174" s="1341">
        <f>IF(COUNT($H174:L174)&gt;='RFM input'!$V$7,0,($G120+(SUM($G174:L174)))*M$8)</f>
        <v>0.21156062183073146</v>
      </c>
      <c r="N174" s="1341">
        <f>IF(COUNT($H174:M174)&gt;='RFM input'!$V$7,0,($G120+(SUM($G174:M174)))*N$8)</f>
        <v>0.37618661657020996</v>
      </c>
      <c r="O174" s="1341">
        <f>IF(COUNT($H174:N174)&gt;='RFM input'!$V$7,0,($G120+(SUM($G174:N174)))*O$8)</f>
        <v>0</v>
      </c>
      <c r="P174" s="1341">
        <f>IF(COUNT($H174:O174)&gt;='RFM input'!$V$7,0,($G120+(SUM($G174:O174)))*P$8)</f>
        <v>0</v>
      </c>
      <c r="Q174" s="1341">
        <f>IF(COUNT($H174:P174)&gt;='RFM input'!$V$7,0,($G120+(SUM($G174:P174)))*Q$8)</f>
        <v>0</v>
      </c>
      <c r="R174" s="71"/>
      <c r="S174" s="71"/>
      <c r="T174" s="71"/>
      <c r="U174" s="71"/>
      <c r="V174" s="71"/>
      <c r="W174" s="71"/>
      <c r="X174" s="71"/>
      <c r="Y174" s="71"/>
      <c r="Z174" s="71"/>
      <c r="AA174" s="152"/>
    </row>
    <row r="175" spans="1:27" hidden="1" outlineLevel="1">
      <c r="A175" s="3"/>
      <c r="B175" s="29"/>
      <c r="C175" s="139" t="s">
        <v>24</v>
      </c>
      <c r="D175" s="3"/>
      <c r="E175" s="3"/>
      <c r="F175" s="91"/>
      <c r="G175" s="1359"/>
      <c r="H175" s="1341"/>
      <c r="I175" s="1363">
        <f>IF(COUNT($H174:I174)='RFM input'!$V$7,SUM($G174:I174),0)</f>
        <v>0</v>
      </c>
      <c r="J175" s="1363">
        <f>IF(COUNT($H174:J174)='RFM input'!$V$7,SUM($G174:J174),0)</f>
        <v>0</v>
      </c>
      <c r="K175" s="1363">
        <f>IF(COUNT($H174:K174)='RFM input'!$V$7,SUM($G174:K174),0)</f>
        <v>0</v>
      </c>
      <c r="L175" s="1341">
        <f>IF(COUNT($H174:L174)='RFM input'!$V$7,SUM($G174:L174),0)</f>
        <v>0</v>
      </c>
      <c r="M175" s="1341">
        <f>IF(COUNT($H174:M174)='RFM input'!$V$7,SUM($G174:M174),0)</f>
        <v>0</v>
      </c>
      <c r="N175" s="1341">
        <f>IF(COUNT($H174:N174)='RFM input'!$V$7,SUM($G174:N174),0)</f>
        <v>1.3238635262671046</v>
      </c>
      <c r="O175" s="1341">
        <f>IF(COUNT($H174:O174)='RFM input'!$V$7,SUM($G174:O174),0)</f>
        <v>0</v>
      </c>
      <c r="P175" s="1341">
        <f>IF(COUNT($H174:P174)='RFM input'!$V$7,SUM($G174:P174),0)</f>
        <v>0</v>
      </c>
      <c r="Q175" s="1341">
        <f>IF(COUNT($H174:Q174)='RFM input'!$V$7,SUM($G174:Q174),0)</f>
        <v>0</v>
      </c>
      <c r="R175" s="71"/>
      <c r="S175" s="71"/>
      <c r="T175" s="71"/>
      <c r="U175" s="71"/>
      <c r="V175" s="71"/>
      <c r="W175" s="71"/>
      <c r="X175" s="71"/>
      <c r="Y175" s="71"/>
      <c r="Z175" s="71"/>
      <c r="AA175" s="152"/>
    </row>
    <row r="176" spans="1:27" hidden="1" outlineLevel="1">
      <c r="A176" s="3"/>
      <c r="B176" s="29"/>
      <c r="C176" s="133" t="str">
        <f>Asset4</f>
        <v>Telemetry</v>
      </c>
      <c r="D176" s="3"/>
      <c r="E176" s="3"/>
      <c r="F176" s="91"/>
      <c r="G176" s="1359"/>
      <c r="H176" s="1341">
        <f>($G121+(SUM($G176:G176)))*H$8</f>
        <v>2.6911804836884379E-2</v>
      </c>
      <c r="I176" s="1363">
        <f>($G121+(SUM($G176:H176)))*I$8</f>
        <v>3.0625177899120094E-2</v>
      </c>
      <c r="J176" s="1363">
        <f>IF(COUNT($H176:I176)&gt;='RFM input'!$V$7,0,($G121+(SUM($G176:I176)))*J$8)</f>
        <v>3.127399140314762E-2</v>
      </c>
      <c r="K176" s="1363">
        <f>IF(COUNT($H176:J176)&gt;='RFM input'!$V$7,0,($G121+(SUM($G176:J176)))*K$8)</f>
        <v>3.2902694532508013E-2</v>
      </c>
      <c r="L176" s="1341">
        <f>IF(COUNT($H176:K176)&gt;='RFM input'!$V$7,0,($G121+(SUM($G176:K176)))*L$8)</f>
        <v>2.9700086964628399E-2</v>
      </c>
      <c r="M176" s="1341">
        <f>IF(COUNT($H176:L176)&gt;='RFM input'!$V$7,0,($G121+(SUM($G176:L176)))*M$8)</f>
        <v>4.3516478067611684E-2</v>
      </c>
      <c r="N176" s="1341">
        <f>IF(COUNT($H176:M176)&gt;='RFM input'!$V$7,0,($G121+(SUM($G176:M176)))*N$8)</f>
        <v>7.7378845399709545E-2</v>
      </c>
      <c r="O176" s="1341">
        <f>IF(COUNT($H176:N176)&gt;='RFM input'!$V$7,0,($G121+(SUM($G176:N176)))*O$8)</f>
        <v>0</v>
      </c>
      <c r="P176" s="1341">
        <f>IF(COUNT($H176:O176)&gt;='RFM input'!$V$7,0,($G121+(SUM($G176:O176)))*P$8)</f>
        <v>0</v>
      </c>
      <c r="Q176" s="1341">
        <f>IF(COUNT($H176:P176)&gt;='RFM input'!$V$7,0,($G121+(SUM($G176:P176)))*Q$8)</f>
        <v>0</v>
      </c>
      <c r="R176" s="71"/>
      <c r="S176" s="71"/>
      <c r="T176" s="71"/>
      <c r="U176" s="71"/>
      <c r="V176" s="71"/>
      <c r="W176" s="71"/>
      <c r="X176" s="71"/>
      <c r="Y176" s="71"/>
      <c r="Z176" s="71"/>
      <c r="AA176" s="152"/>
    </row>
    <row r="177" spans="1:27" hidden="1" outlineLevel="1">
      <c r="A177" s="3"/>
      <c r="B177" s="29"/>
      <c r="C177" s="139" t="s">
        <v>24</v>
      </c>
      <c r="D177" s="3"/>
      <c r="E177" s="3"/>
      <c r="F177" s="91"/>
      <c r="G177" s="1359"/>
      <c r="H177" s="1341"/>
      <c r="I177" s="1363">
        <f>IF(COUNT($H176:I176)='RFM input'!$V$7,SUM($G176:I176),0)</f>
        <v>0</v>
      </c>
      <c r="J177" s="1363">
        <f>IF(COUNT($H176:J176)='RFM input'!$V$7,SUM($G176:J176),0)</f>
        <v>0</v>
      </c>
      <c r="K177" s="1363">
        <f>IF(COUNT($H176:K176)='RFM input'!$V$7,SUM($G176:K176),0)</f>
        <v>0</v>
      </c>
      <c r="L177" s="1341">
        <f>IF(COUNT($H176:L176)='RFM input'!$V$7,SUM($G176:L176),0)</f>
        <v>0</v>
      </c>
      <c r="M177" s="1341">
        <f>IF(COUNT($H176:M176)='RFM input'!$V$7,SUM($G176:M176),0)</f>
        <v>0</v>
      </c>
      <c r="N177" s="1341">
        <f>IF(COUNT($H176:N176)='RFM input'!$V$7,SUM($G176:N176),0)</f>
        <v>0.27230907910360974</v>
      </c>
      <c r="O177" s="1341">
        <f>IF(COUNT($H176:O176)='RFM input'!$V$7,SUM($G176:O176),0)</f>
        <v>0</v>
      </c>
      <c r="P177" s="1341">
        <f>IF(COUNT($H176:P176)='RFM input'!$V$7,SUM($G176:P176),0)</f>
        <v>0</v>
      </c>
      <c r="Q177" s="1341">
        <f>IF(COUNT($H176:Q176)='RFM input'!$V$7,SUM($G176:Q176),0)</f>
        <v>0</v>
      </c>
      <c r="R177" s="71"/>
      <c r="S177" s="71"/>
      <c r="T177" s="71"/>
      <c r="U177" s="71"/>
      <c r="V177" s="71"/>
      <c r="W177" s="71"/>
      <c r="X177" s="71"/>
      <c r="Y177" s="71"/>
      <c r="Z177" s="71"/>
      <c r="AA177" s="152"/>
    </row>
    <row r="178" spans="1:27" hidden="1" outlineLevel="1">
      <c r="A178" s="3"/>
      <c r="B178" s="29"/>
      <c r="C178" s="133" t="str">
        <f>Asset5</f>
        <v>IT System</v>
      </c>
      <c r="D178" s="3"/>
      <c r="E178" s="3"/>
      <c r="F178" s="91"/>
      <c r="G178" s="1359"/>
      <c r="H178" s="1341">
        <f>($G122+(SUM($G178:G178)))*H$8</f>
        <v>0.19652062087667399</v>
      </c>
      <c r="I178" s="1363">
        <f>($G122+(SUM($G178:H178)))*I$8</f>
        <v>0.22363713662730486</v>
      </c>
      <c r="J178" s="1363">
        <f>IF(COUNT($H178:I178)&gt;='RFM input'!$V$7,0,($G122+(SUM($G178:I178)))*J$8)</f>
        <v>0.22837502891723058</v>
      </c>
      <c r="K178" s="1363">
        <f>IF(COUNT($H178:J178)&gt;='RFM input'!$V$7,0,($G122+(SUM($G178:J178)))*K$8)</f>
        <v>0.24026846200897939</v>
      </c>
      <c r="L178" s="1341">
        <f>IF(COUNT($H178:K178)&gt;='RFM input'!$V$7,0,($G122+(SUM($G178:K178)))*L$8)</f>
        <v>0.21688175749477923</v>
      </c>
      <c r="M178" s="1341">
        <f>IF(COUNT($H178:L178)&gt;='RFM input'!$V$7,0,($G122+(SUM($G178:L178)))*M$8)</f>
        <v>0.31777449859075596</v>
      </c>
      <c r="N178" s="1341">
        <f>IF(COUNT($H178:M178)&gt;='RFM input'!$V$7,0,($G122+(SUM($G178:M178)))*N$8)</f>
        <v>0.56505087016050071</v>
      </c>
      <c r="O178" s="1341">
        <f>IF(COUNT($H178:N178)&gt;='RFM input'!$V$7,0,($G122+(SUM($G178:N178)))*O$8)</f>
        <v>0</v>
      </c>
      <c r="P178" s="1341">
        <f>IF(COUNT($H178:O178)&gt;='RFM input'!$V$7,0,($G122+(SUM($G178:O178)))*P$8)</f>
        <v>0</v>
      </c>
      <c r="Q178" s="1341">
        <f>IF(COUNT($H178:P178)&gt;='RFM input'!$V$7,0,($G122+(SUM($G178:P178)))*Q$8)</f>
        <v>0</v>
      </c>
      <c r="R178" s="71"/>
      <c r="S178" s="71"/>
      <c r="T178" s="71"/>
      <c r="U178" s="71"/>
      <c r="V178" s="71"/>
      <c r="W178" s="71"/>
      <c r="X178" s="71"/>
      <c r="Y178" s="71"/>
      <c r="Z178" s="71"/>
      <c r="AA178" s="152"/>
    </row>
    <row r="179" spans="1:27" hidden="1" outlineLevel="1">
      <c r="A179" s="3"/>
      <c r="B179" s="29"/>
      <c r="C179" s="139" t="s">
        <v>24</v>
      </c>
      <c r="D179" s="3"/>
      <c r="E179" s="3"/>
      <c r="F179" s="91"/>
      <c r="G179" s="1359"/>
      <c r="H179" s="1341"/>
      <c r="I179" s="1363">
        <f>IF(COUNT($H178:I178)='RFM input'!$V$7,SUM($G178:I178),0)</f>
        <v>0</v>
      </c>
      <c r="J179" s="1363">
        <f>IF(COUNT($H178:J178)='RFM input'!$V$7,SUM($G178:J178),0)</f>
        <v>0</v>
      </c>
      <c r="K179" s="1363">
        <f>IF(COUNT($H178:K178)='RFM input'!$V$7,SUM($G178:K178),0)</f>
        <v>0</v>
      </c>
      <c r="L179" s="1341">
        <f>IF(COUNT($H178:L178)='RFM input'!$V$7,SUM($G178:L178),0)</f>
        <v>0</v>
      </c>
      <c r="M179" s="1341">
        <f>IF(COUNT($H178:M178)='RFM input'!$V$7,SUM($G178:M178),0)</f>
        <v>0</v>
      </c>
      <c r="N179" s="1341">
        <f>IF(COUNT($H178:N178)='RFM input'!$V$7,SUM($G178:N178),0)</f>
        <v>1.9885083746762247</v>
      </c>
      <c r="O179" s="1341">
        <f>IF(COUNT($H178:O178)='RFM input'!$V$7,SUM($G178:O178),0)</f>
        <v>0</v>
      </c>
      <c r="P179" s="1341">
        <f>IF(COUNT($H178:P178)='RFM input'!$V$7,SUM($G178:P178),0)</f>
        <v>0</v>
      </c>
      <c r="Q179" s="1341">
        <f>IF(COUNT($H178:Q178)='RFM input'!$V$7,SUM($G178:Q178),0)</f>
        <v>0</v>
      </c>
      <c r="R179" s="71"/>
      <c r="S179" s="71"/>
      <c r="T179" s="71"/>
      <c r="U179" s="71"/>
      <c r="V179" s="71"/>
      <c r="W179" s="71"/>
      <c r="X179" s="71"/>
      <c r="Y179" s="71"/>
      <c r="Z179" s="71"/>
      <c r="AA179" s="152"/>
    </row>
    <row r="180" spans="1:27" hidden="1" outlineLevel="1">
      <c r="A180" s="3"/>
      <c r="B180" s="29"/>
      <c r="C180" s="133" t="str">
        <f>Asset6</f>
        <v>Other Distribution System Equipment</v>
      </c>
      <c r="D180" s="3"/>
      <c r="E180" s="3"/>
      <c r="F180" s="91"/>
      <c r="G180" s="1359"/>
      <c r="H180" s="1341">
        <f>($G123+(SUM($G180:G180)))*H$8</f>
        <v>5.6644712325539588E-2</v>
      </c>
      <c r="I180" s="1363">
        <f>($G123+(SUM($G180:H180)))*I$8</f>
        <v>6.4460722813972582E-2</v>
      </c>
      <c r="J180" s="1363">
        <f>IF(COUNT($H180:I180)&gt;='RFM input'!$V$7,0,($G123+(SUM($G180:I180)))*J$8)</f>
        <v>6.5826363450537911E-2</v>
      </c>
      <c r="K180" s="1363">
        <f>IF(COUNT($H180:J180)&gt;='RFM input'!$V$7,0,($G123+(SUM($G180:J180)))*K$8)</f>
        <v>6.9254502915189531E-2</v>
      </c>
      <c r="L180" s="1341">
        <f>IF(COUNT($H180:K180)&gt;='RFM input'!$V$7,0,($G123+(SUM($G180:K180)))*L$8)</f>
        <v>6.2513565788389999E-2</v>
      </c>
      <c r="M180" s="1341">
        <f>IF(COUNT($H180:L180)&gt;='RFM input'!$V$7,0,($G123+(SUM($G180:L180)))*M$8)</f>
        <v>9.15946885205597E-2</v>
      </c>
      <c r="N180" s="1341">
        <f>IF(COUNT($H180:M180)&gt;='RFM input'!$V$7,0,($G123+(SUM($G180:M180)))*N$8)</f>
        <v>0.16286913732896957</v>
      </c>
      <c r="O180" s="1341">
        <f>IF(COUNT($H180:N180)&gt;='RFM input'!$V$7,0,($G123+(SUM($G180:N180)))*O$8)</f>
        <v>0</v>
      </c>
      <c r="P180" s="1341">
        <f>IF(COUNT($H180:O180)&gt;='RFM input'!$V$7,0,($G123+(SUM($G180:O180)))*P$8)</f>
        <v>0</v>
      </c>
      <c r="Q180" s="1341">
        <f>IF(COUNT($H180:P180)&gt;='RFM input'!$V$7,0,($G123+(SUM($G180:P180)))*Q$8)</f>
        <v>0</v>
      </c>
      <c r="R180" s="71"/>
      <c r="S180" s="71"/>
      <c r="T180" s="71"/>
      <c r="U180" s="71"/>
      <c r="V180" s="71"/>
      <c r="W180" s="71"/>
      <c r="X180" s="71"/>
      <c r="Y180" s="71"/>
      <c r="Z180" s="71"/>
      <c r="AA180" s="152"/>
    </row>
    <row r="181" spans="1:27" hidden="1" outlineLevel="1">
      <c r="A181" s="3"/>
      <c r="B181" s="29"/>
      <c r="C181" s="139" t="s">
        <v>24</v>
      </c>
      <c r="D181" s="3"/>
      <c r="E181" s="3"/>
      <c r="F181" s="91"/>
      <c r="G181" s="1359"/>
      <c r="H181" s="1341"/>
      <c r="I181" s="1363">
        <f>IF(COUNT($H180:I180)='RFM input'!$V$7,SUM($G180:I180),0)</f>
        <v>0</v>
      </c>
      <c r="J181" s="1363">
        <f>IF(COUNT($H180:J180)='RFM input'!$V$7,SUM($G180:J180),0)</f>
        <v>0</v>
      </c>
      <c r="K181" s="1363">
        <f>IF(COUNT($H180:K180)='RFM input'!$V$7,SUM($G180:K180),0)</f>
        <v>0</v>
      </c>
      <c r="L181" s="1341">
        <f>IF(COUNT($H180:L180)='RFM input'!$V$7,SUM($G180:L180),0)</f>
        <v>0</v>
      </c>
      <c r="M181" s="1341">
        <f>IF(COUNT($H180:M180)='RFM input'!$V$7,SUM($G180:M180),0)</f>
        <v>0</v>
      </c>
      <c r="N181" s="1341">
        <f>IF(COUNT($H180:N180)='RFM input'!$V$7,SUM($G180:N180),0)</f>
        <v>0.57316369314315885</v>
      </c>
      <c r="O181" s="1341">
        <f>IF(COUNT($H180:O180)='RFM input'!$V$7,SUM($G180:O180),0)</f>
        <v>0</v>
      </c>
      <c r="P181" s="1341">
        <f>IF(COUNT($H180:P180)='RFM input'!$V$7,SUM($G180:P180),0)</f>
        <v>0</v>
      </c>
      <c r="Q181" s="1341">
        <f>IF(COUNT($H180:Q180)='RFM input'!$V$7,SUM($G180:Q180),0)</f>
        <v>0</v>
      </c>
      <c r="R181" s="71"/>
      <c r="S181" s="71"/>
      <c r="T181" s="71"/>
      <c r="U181" s="71"/>
      <c r="V181" s="71"/>
      <c r="W181" s="71"/>
      <c r="X181" s="71"/>
      <c r="Y181" s="71"/>
      <c r="Z181" s="71"/>
      <c r="AA181" s="152"/>
    </row>
    <row r="182" spans="1:27" hidden="1" outlineLevel="1">
      <c r="A182" s="3"/>
      <c r="B182" s="29"/>
      <c r="C182" s="133" t="str">
        <f>Asset7</f>
        <v>Other</v>
      </c>
      <c r="D182" s="3"/>
      <c r="E182" s="3"/>
      <c r="F182" s="91"/>
      <c r="G182" s="1359"/>
      <c r="H182" s="1341">
        <f>($G124+(SUM($G182:G182)))*H$8</f>
        <v>0</v>
      </c>
      <c r="I182" s="1363">
        <f>($G124+(SUM($G182:H182)))*I$8</f>
        <v>0</v>
      </c>
      <c r="J182" s="1363">
        <f>IF(COUNT($H182:I182)&gt;='RFM input'!$V$7,0,($G124+(SUM($G182:I182)))*J$8)</f>
        <v>0</v>
      </c>
      <c r="K182" s="1363">
        <f>IF(COUNT($H182:J182)&gt;='RFM input'!$V$7,0,($G124+(SUM($G182:J182)))*K$8)</f>
        <v>0</v>
      </c>
      <c r="L182" s="1341">
        <f>IF(COUNT($H182:K182)&gt;='RFM input'!$V$7,0,($G124+(SUM($G182:K182)))*L$8)</f>
        <v>0</v>
      </c>
      <c r="M182" s="1341">
        <f>IF(COUNT($H182:L182)&gt;='RFM input'!$V$7,0,($G124+(SUM($G182:L182)))*M$8)</f>
        <v>0</v>
      </c>
      <c r="N182" s="1341">
        <f>IF(COUNT($H182:M182)&gt;='RFM input'!$V$7,0,($G124+(SUM($G182:M182)))*N$8)</f>
        <v>0</v>
      </c>
      <c r="O182" s="1341">
        <f>IF(COUNT($H182:N182)&gt;='RFM input'!$V$7,0,($G124+(SUM($G182:N182)))*O$8)</f>
        <v>0</v>
      </c>
      <c r="P182" s="1341">
        <f>IF(COUNT($H182:O182)&gt;='RFM input'!$V$7,0,($G124+(SUM($G182:O182)))*P$8)</f>
        <v>0</v>
      </c>
      <c r="Q182" s="1341">
        <f>IF(COUNT($H182:P182)&gt;='RFM input'!$V$7,0,($G124+(SUM($G182:P182)))*Q$8)</f>
        <v>0</v>
      </c>
      <c r="R182" s="71"/>
      <c r="S182" s="71"/>
      <c r="T182" s="71"/>
      <c r="U182" s="71"/>
      <c r="V182" s="71"/>
      <c r="W182" s="71"/>
      <c r="X182" s="71"/>
      <c r="Y182" s="71"/>
      <c r="Z182" s="71"/>
      <c r="AA182" s="152"/>
    </row>
    <row r="183" spans="1:27" hidden="1" outlineLevel="1">
      <c r="A183" s="3"/>
      <c r="B183" s="29"/>
      <c r="C183" s="139" t="s">
        <v>24</v>
      </c>
      <c r="D183" s="3"/>
      <c r="E183" s="3"/>
      <c r="F183" s="91"/>
      <c r="G183" s="1359"/>
      <c r="H183" s="1341"/>
      <c r="I183" s="1363">
        <f>IF(COUNT($H182:I182)='RFM input'!$V$7,SUM($G182:I182),0)</f>
        <v>0</v>
      </c>
      <c r="J183" s="1363">
        <f>IF(COUNT($H182:J182)='RFM input'!$V$7,SUM($G182:J182),0)</f>
        <v>0</v>
      </c>
      <c r="K183" s="1363">
        <f>IF(COUNT($H182:K182)='RFM input'!$V$7,SUM($G182:K182),0)</f>
        <v>0</v>
      </c>
      <c r="L183" s="1341">
        <f>IF(COUNT($H182:L182)='RFM input'!$V$7,SUM($G182:L182),0)</f>
        <v>0</v>
      </c>
      <c r="M183" s="1341">
        <f>IF(COUNT($H182:M182)='RFM input'!$V$7,SUM($G182:M182),0)</f>
        <v>0</v>
      </c>
      <c r="N183" s="1341">
        <f>IF(COUNT($H182:N182)='RFM input'!$V$7,SUM($G182:N182),0)</f>
        <v>0</v>
      </c>
      <c r="O183" s="1341">
        <f>IF(COUNT($H182:O182)='RFM input'!$V$7,SUM($G182:O182),0)</f>
        <v>0</v>
      </c>
      <c r="P183" s="1341">
        <f>IF(COUNT($H182:P182)='RFM input'!$V$7,SUM($G182:P182),0)</f>
        <v>0</v>
      </c>
      <c r="Q183" s="1341">
        <f>IF(COUNT($H182:Q182)='RFM input'!$V$7,SUM($G182:Q182),0)</f>
        <v>0</v>
      </c>
      <c r="R183" s="71"/>
      <c r="S183" s="71"/>
      <c r="T183" s="71"/>
      <c r="U183" s="71"/>
      <c r="V183" s="71"/>
      <c r="W183" s="71"/>
      <c r="X183" s="71"/>
      <c r="Y183" s="71"/>
      <c r="Z183" s="71"/>
      <c r="AA183" s="152"/>
    </row>
    <row r="184" spans="1:27" hidden="1" outlineLevel="1">
      <c r="A184" s="3"/>
      <c r="B184" s="29"/>
      <c r="C184" s="133">
        <f>Asset8</f>
        <v>0</v>
      </c>
      <c r="D184" s="3"/>
      <c r="E184" s="3"/>
      <c r="F184" s="91"/>
      <c r="G184" s="1359"/>
      <c r="H184" s="1341">
        <f>($G125+(SUM($G184:G184)))*H$8</f>
        <v>0</v>
      </c>
      <c r="I184" s="1363">
        <f>($G125+(SUM($G184:H184)))*I$8</f>
        <v>0</v>
      </c>
      <c r="J184" s="1363">
        <f>IF(COUNT($H184:I184)&gt;='RFM input'!$V$7,0,($G125+(SUM($G184:I184)))*J$8)</f>
        <v>0</v>
      </c>
      <c r="K184" s="1363">
        <f>IF(COUNT($H184:J184)&gt;='RFM input'!$V$7,0,($G125+(SUM($G184:J184)))*K$8)</f>
        <v>0</v>
      </c>
      <c r="L184" s="1341">
        <f>IF(COUNT($H184:K184)&gt;='RFM input'!$V$7,0,($G125+(SUM($G184:K184)))*L$8)</f>
        <v>0</v>
      </c>
      <c r="M184" s="1341">
        <f>IF(COUNT($H184:L184)&gt;='RFM input'!$V$7,0,($G125+(SUM($G184:L184)))*M$8)</f>
        <v>0</v>
      </c>
      <c r="N184" s="1341">
        <f>IF(COUNT($H184:M184)&gt;='RFM input'!$V$7,0,($G125+(SUM($G184:M184)))*N$8)</f>
        <v>0</v>
      </c>
      <c r="O184" s="1341">
        <f>IF(COUNT($H184:N184)&gt;='RFM input'!$V$7,0,($G125+(SUM($G184:N184)))*O$8)</f>
        <v>0</v>
      </c>
      <c r="P184" s="1341">
        <f>IF(COUNT($H184:O184)&gt;='RFM input'!$V$7,0,($G125+(SUM($G184:O184)))*P$8)</f>
        <v>0</v>
      </c>
      <c r="Q184" s="1341">
        <f>IF(COUNT($H184:P184)&gt;='RFM input'!$V$7,0,($G125+(SUM($G184:P184)))*Q$8)</f>
        <v>0</v>
      </c>
      <c r="R184" s="71"/>
      <c r="S184" s="71"/>
      <c r="T184" s="71"/>
      <c r="U184" s="71"/>
      <c r="V184" s="71"/>
      <c r="W184" s="71"/>
      <c r="X184" s="71"/>
      <c r="Y184" s="71"/>
      <c r="Z184" s="71"/>
      <c r="AA184" s="152"/>
    </row>
    <row r="185" spans="1:27" hidden="1" outlineLevel="1">
      <c r="A185" s="3"/>
      <c r="B185" s="29"/>
      <c r="C185" s="139" t="s">
        <v>24</v>
      </c>
      <c r="D185" s="3"/>
      <c r="E185" s="3"/>
      <c r="F185" s="91"/>
      <c r="G185" s="1359"/>
      <c r="H185" s="1341"/>
      <c r="I185" s="1363">
        <f>IF(COUNT($H184:I184)='RFM input'!$V$7,SUM($G184:I184),0)</f>
        <v>0</v>
      </c>
      <c r="J185" s="1363">
        <f>IF(COUNT($H184:J184)='RFM input'!$V$7,SUM($G184:J184),0)</f>
        <v>0</v>
      </c>
      <c r="K185" s="1363">
        <f>IF(COUNT($H184:K184)='RFM input'!$V$7,SUM($G184:K184),0)</f>
        <v>0</v>
      </c>
      <c r="L185" s="1341">
        <f>IF(COUNT($H184:L184)='RFM input'!$V$7,SUM($G184:L184),0)</f>
        <v>0</v>
      </c>
      <c r="M185" s="1341">
        <f>IF(COUNT($H184:M184)='RFM input'!$V$7,SUM($G184:M184),0)</f>
        <v>0</v>
      </c>
      <c r="N185" s="1341">
        <f>IF(COUNT($H184:N184)='RFM input'!$V$7,SUM($G184:N184),0)</f>
        <v>0</v>
      </c>
      <c r="O185" s="1341">
        <f>IF(COUNT($H184:O184)='RFM input'!$V$7,SUM($G184:O184),0)</f>
        <v>0</v>
      </c>
      <c r="P185" s="1341">
        <f>IF(COUNT($H184:P184)='RFM input'!$V$7,SUM($G184:P184),0)</f>
        <v>0</v>
      </c>
      <c r="Q185" s="1341">
        <f>IF(COUNT($H184:Q184)='RFM input'!$V$7,SUM($G184:Q184),0)</f>
        <v>0</v>
      </c>
      <c r="R185" s="71"/>
      <c r="S185" s="71"/>
      <c r="T185" s="71"/>
      <c r="U185" s="71"/>
      <c r="V185" s="71"/>
      <c r="W185" s="71"/>
      <c r="X185" s="71"/>
      <c r="Y185" s="71"/>
      <c r="Z185" s="71"/>
      <c r="AA185" s="152"/>
    </row>
    <row r="186" spans="1:27" hidden="1" outlineLevel="1">
      <c r="A186" s="3"/>
      <c r="B186" s="29"/>
      <c r="C186" s="133">
        <f>Asset9</f>
        <v>0</v>
      </c>
      <c r="D186" s="3"/>
      <c r="E186" s="3"/>
      <c r="F186" s="91"/>
      <c r="G186" s="1359"/>
      <c r="H186" s="1341">
        <f>($G126+(SUM($G186:G186)))*H$8</f>
        <v>0</v>
      </c>
      <c r="I186" s="1363">
        <f>($G126+(SUM($G186:H186)))*I$8</f>
        <v>0</v>
      </c>
      <c r="J186" s="1363">
        <f>IF(COUNT($H186:I186)&gt;='RFM input'!$V$7,0,($G126+(SUM($G186:I186)))*J$8)</f>
        <v>0</v>
      </c>
      <c r="K186" s="1363">
        <f>IF(COUNT($H186:J186)&gt;='RFM input'!$V$7,0,($G126+(SUM($G186:J186)))*K$8)</f>
        <v>0</v>
      </c>
      <c r="L186" s="1341">
        <f>IF(COUNT($H186:K186)&gt;='RFM input'!$V$7,0,($G126+(SUM($G186:K186)))*L$8)</f>
        <v>0</v>
      </c>
      <c r="M186" s="1341">
        <f>IF(COUNT($H186:L186)&gt;='RFM input'!$V$7,0,($G126+(SUM($G186:L186)))*M$8)</f>
        <v>0</v>
      </c>
      <c r="N186" s="1341">
        <f>IF(COUNT($H186:M186)&gt;='RFM input'!$V$7,0,($G126+(SUM($G186:M186)))*N$8)</f>
        <v>0</v>
      </c>
      <c r="O186" s="1341">
        <f>IF(COUNT($H186:N186)&gt;='RFM input'!$V$7,0,($G126+(SUM($G186:N186)))*O$8)</f>
        <v>0</v>
      </c>
      <c r="P186" s="1341">
        <f>IF(COUNT($H186:O186)&gt;='RFM input'!$V$7,0,($G126+(SUM($G186:O186)))*P$8)</f>
        <v>0</v>
      </c>
      <c r="Q186" s="1341">
        <f>IF(COUNT($H186:P186)&gt;='RFM input'!$V$7,0,($G126+(SUM($G186:P186)))*Q$8)</f>
        <v>0</v>
      </c>
      <c r="R186" s="71"/>
      <c r="S186" s="71"/>
      <c r="T186" s="71"/>
      <c r="U186" s="71"/>
      <c r="V186" s="71"/>
      <c r="W186" s="71"/>
      <c r="X186" s="71"/>
      <c r="Y186" s="71"/>
      <c r="Z186" s="71"/>
      <c r="AA186" s="152"/>
    </row>
    <row r="187" spans="1:27" hidden="1" outlineLevel="1">
      <c r="A187" s="3"/>
      <c r="B187" s="29"/>
      <c r="C187" s="139" t="s">
        <v>24</v>
      </c>
      <c r="D187" s="3"/>
      <c r="E187" s="3"/>
      <c r="F187" s="91"/>
      <c r="G187" s="1359"/>
      <c r="H187" s="1341"/>
      <c r="I187" s="1363">
        <f>IF(COUNT($H186:I186)='RFM input'!$V$7,SUM($G186:I186),0)</f>
        <v>0</v>
      </c>
      <c r="J187" s="1363">
        <f>IF(COUNT($H186:J186)='RFM input'!$V$7,SUM($G186:J186),0)</f>
        <v>0</v>
      </c>
      <c r="K187" s="1363">
        <f>IF(COUNT($H186:K186)='RFM input'!$V$7,SUM($G186:K186),0)</f>
        <v>0</v>
      </c>
      <c r="L187" s="1341">
        <f>IF(COUNT($H186:L186)='RFM input'!$V$7,SUM($G186:L186),0)</f>
        <v>0</v>
      </c>
      <c r="M187" s="1341">
        <f>IF(COUNT($H186:M186)='RFM input'!$V$7,SUM($G186:M186),0)</f>
        <v>0</v>
      </c>
      <c r="N187" s="1341">
        <f>IF(COUNT($H186:N186)='RFM input'!$V$7,SUM($G186:N186),0)</f>
        <v>0</v>
      </c>
      <c r="O187" s="1341">
        <f>IF(COUNT($H186:O186)='RFM input'!$V$7,SUM($G186:O186),0)</f>
        <v>0</v>
      </c>
      <c r="P187" s="1341">
        <f>IF(COUNT($H186:P186)='RFM input'!$V$7,SUM($G186:P186),0)</f>
        <v>0</v>
      </c>
      <c r="Q187" s="1341">
        <f>IF(COUNT($H186:Q186)='RFM input'!$V$7,SUM($G186:Q186),0)</f>
        <v>0</v>
      </c>
      <c r="R187" s="71"/>
      <c r="S187" s="71"/>
      <c r="T187" s="71"/>
      <c r="U187" s="71"/>
      <c r="V187" s="71"/>
      <c r="W187" s="71"/>
      <c r="X187" s="71"/>
      <c r="Y187" s="71"/>
      <c r="Z187" s="71"/>
      <c r="AA187" s="152"/>
    </row>
    <row r="188" spans="1:27" hidden="1" outlineLevel="1">
      <c r="A188" s="3"/>
      <c r="B188" s="29"/>
      <c r="C188" s="133">
        <f>Asset10</f>
        <v>0</v>
      </c>
      <c r="D188" s="3"/>
      <c r="E188" s="3"/>
      <c r="F188" s="91"/>
      <c r="G188" s="1359"/>
      <c r="H188" s="1341">
        <f>($G127+(SUM($G188:G188)))*H$8</f>
        <v>0</v>
      </c>
      <c r="I188" s="1363">
        <f>($G127+(SUM($G188:H188)))*I$8</f>
        <v>0</v>
      </c>
      <c r="J188" s="1363">
        <f>IF(COUNT($H188:I188)&gt;='RFM input'!$V$7,0,($G127+(SUM($G188:I188)))*J$8)</f>
        <v>0</v>
      </c>
      <c r="K188" s="1363">
        <f>IF(COUNT($H188:J188)&gt;='RFM input'!$V$7,0,($G127+(SUM($G188:J188)))*K$8)</f>
        <v>0</v>
      </c>
      <c r="L188" s="1341">
        <f>IF(COUNT($H188:K188)&gt;='RFM input'!$V$7,0,($G127+(SUM($G188:K188)))*L$8)</f>
        <v>0</v>
      </c>
      <c r="M188" s="1341">
        <f>IF(COUNT($H188:L188)&gt;='RFM input'!$V$7,0,($G127+(SUM($G188:L188)))*M$8)</f>
        <v>0</v>
      </c>
      <c r="N188" s="1341">
        <f>IF(COUNT($H188:M188)&gt;='RFM input'!$V$7,0,($G127+(SUM($G188:M188)))*N$8)</f>
        <v>0</v>
      </c>
      <c r="O188" s="1341">
        <f>IF(COUNT($H188:N188)&gt;='RFM input'!$V$7,0,($G127+(SUM($G188:N188)))*O$8)</f>
        <v>0</v>
      </c>
      <c r="P188" s="1341">
        <f>IF(COUNT($H188:O188)&gt;='RFM input'!$V$7,0,($G127+(SUM($G188:O188)))*P$8)</f>
        <v>0</v>
      </c>
      <c r="Q188" s="1341">
        <f>IF(COUNT($H188:P188)&gt;='RFM input'!$V$7,0,($G127+(SUM($G188:P188)))*Q$8)</f>
        <v>0</v>
      </c>
      <c r="R188" s="71"/>
      <c r="S188" s="71"/>
      <c r="T188" s="71"/>
      <c r="U188" s="71"/>
      <c r="V188" s="71"/>
      <c r="W188" s="71"/>
      <c r="X188" s="71"/>
      <c r="Y188" s="71"/>
      <c r="Z188" s="71"/>
      <c r="AA188" s="152"/>
    </row>
    <row r="189" spans="1:27" hidden="1" outlineLevel="1">
      <c r="A189" s="3"/>
      <c r="B189" s="29"/>
      <c r="C189" s="139" t="s">
        <v>24</v>
      </c>
      <c r="D189" s="3"/>
      <c r="E189" s="3"/>
      <c r="F189" s="91"/>
      <c r="G189" s="1359"/>
      <c r="H189" s="1341"/>
      <c r="I189" s="1363">
        <f>IF(COUNT($H188:I188)='RFM input'!$V$7,SUM($G188:I188),0)</f>
        <v>0</v>
      </c>
      <c r="J189" s="1363">
        <f>IF(COUNT($H188:J188)='RFM input'!$V$7,SUM($G188:J188),0)</f>
        <v>0</v>
      </c>
      <c r="K189" s="1363">
        <f>IF(COUNT($H188:K188)='RFM input'!$V$7,SUM($G188:K188),0)</f>
        <v>0</v>
      </c>
      <c r="L189" s="1341">
        <f>IF(COUNT($H188:L188)='RFM input'!$V$7,SUM($G188:L188),0)</f>
        <v>0</v>
      </c>
      <c r="M189" s="1341">
        <f>IF(COUNT($H188:M188)='RFM input'!$V$7,SUM($G188:M188),0)</f>
        <v>0</v>
      </c>
      <c r="N189" s="1341">
        <f>IF(COUNT($H188:N188)='RFM input'!$V$7,SUM($G188:N188),0)</f>
        <v>0</v>
      </c>
      <c r="O189" s="1341">
        <f>IF(COUNT($H188:O188)='RFM input'!$V$7,SUM($G188:O188),0)</f>
        <v>0</v>
      </c>
      <c r="P189" s="1341">
        <f>IF(COUNT($H188:P188)='RFM input'!$V$7,SUM($G188:P188),0)</f>
        <v>0</v>
      </c>
      <c r="Q189" s="1341">
        <f>IF(COUNT($H188:Q188)='RFM input'!$V$7,SUM($G188:Q188),0)</f>
        <v>0</v>
      </c>
      <c r="R189" s="71"/>
      <c r="S189" s="71"/>
      <c r="T189" s="71"/>
      <c r="U189" s="71"/>
      <c r="V189" s="71"/>
      <c r="W189" s="71"/>
      <c r="X189" s="71"/>
      <c r="Y189" s="71"/>
      <c r="Z189" s="71"/>
      <c r="AA189" s="152"/>
    </row>
    <row r="190" spans="1:27" hidden="1" outlineLevel="1">
      <c r="A190" s="3"/>
      <c r="B190" s="29"/>
      <c r="C190" s="133">
        <f>Asset11</f>
        <v>0</v>
      </c>
      <c r="D190" s="3"/>
      <c r="E190" s="3"/>
      <c r="F190" s="91"/>
      <c r="G190" s="1359"/>
      <c r="H190" s="1341">
        <f>($G128+(SUM($G190:G190)))*H$8</f>
        <v>0</v>
      </c>
      <c r="I190" s="1363">
        <f>($G128+(SUM($G190:H190)))*I$8</f>
        <v>0</v>
      </c>
      <c r="J190" s="1363">
        <f>IF(COUNT($H190:I190)&gt;='RFM input'!$V$7,0,($G128+(SUM($G190:I190)))*J$8)</f>
        <v>0</v>
      </c>
      <c r="K190" s="1363">
        <f>IF(COUNT($H190:J190)&gt;='RFM input'!$V$7,0,($G128+(SUM($G190:J190)))*K$8)</f>
        <v>0</v>
      </c>
      <c r="L190" s="1341">
        <f>IF(COUNT($H190:K190)&gt;='RFM input'!$V$7,0,($G128+(SUM($G190:K190)))*L$8)</f>
        <v>0</v>
      </c>
      <c r="M190" s="1341">
        <f>IF(COUNT($H190:L190)&gt;='RFM input'!$V$7,0,($G128+(SUM($G190:L190)))*M$8)</f>
        <v>0</v>
      </c>
      <c r="N190" s="1341">
        <f>IF(COUNT($H190:M190)&gt;='RFM input'!$V$7,0,($G128+(SUM($G190:M190)))*N$8)</f>
        <v>0</v>
      </c>
      <c r="O190" s="1341">
        <f>IF(COUNT($H190:N190)&gt;='RFM input'!$V$7,0,($G128+(SUM($G190:N190)))*O$8)</f>
        <v>0</v>
      </c>
      <c r="P190" s="1341">
        <f>IF(COUNT($H190:O190)&gt;='RFM input'!$V$7,0,($G128+(SUM($G190:O190)))*P$8)</f>
        <v>0</v>
      </c>
      <c r="Q190" s="1341">
        <f>IF(COUNT($H190:P190)&gt;='RFM input'!$V$7,0,($G128+(SUM($G190:P190)))*Q$8)</f>
        <v>0</v>
      </c>
      <c r="R190" s="71"/>
      <c r="S190" s="71"/>
      <c r="T190" s="71"/>
      <c r="U190" s="71"/>
      <c r="V190" s="71"/>
      <c r="W190" s="71"/>
      <c r="X190" s="71"/>
      <c r="Y190" s="71"/>
      <c r="Z190" s="71"/>
      <c r="AA190" s="152"/>
    </row>
    <row r="191" spans="1:27" hidden="1" outlineLevel="1">
      <c r="A191" s="3"/>
      <c r="B191" s="29"/>
      <c r="C191" s="139" t="s">
        <v>24</v>
      </c>
      <c r="D191" s="3"/>
      <c r="E191" s="3"/>
      <c r="F191" s="91"/>
      <c r="G191" s="1359"/>
      <c r="H191" s="1341"/>
      <c r="I191" s="1363">
        <f>IF(COUNT($H190:I190)='RFM input'!$V$7,SUM($G190:I190),0)</f>
        <v>0</v>
      </c>
      <c r="J191" s="1363">
        <f>IF(COUNT($H190:J190)='RFM input'!$V$7,SUM($G190:J190),0)</f>
        <v>0</v>
      </c>
      <c r="K191" s="1363">
        <f>IF(COUNT($H190:K190)='RFM input'!$V$7,SUM($G190:K190),0)</f>
        <v>0</v>
      </c>
      <c r="L191" s="1341">
        <f>IF(COUNT($H190:L190)='RFM input'!$V$7,SUM($G190:L190),0)</f>
        <v>0</v>
      </c>
      <c r="M191" s="1341">
        <f>IF(COUNT($H190:M190)='RFM input'!$V$7,SUM($G190:M190),0)</f>
        <v>0</v>
      </c>
      <c r="N191" s="1341">
        <f>IF(COUNT($H190:N190)='RFM input'!$V$7,SUM($G190:N190),0)</f>
        <v>0</v>
      </c>
      <c r="O191" s="1341">
        <f>IF(COUNT($H190:O190)='RFM input'!$V$7,SUM($G190:O190),0)</f>
        <v>0</v>
      </c>
      <c r="P191" s="1341">
        <f>IF(COUNT($H190:P190)='RFM input'!$V$7,SUM($G190:P190),0)</f>
        <v>0</v>
      </c>
      <c r="Q191" s="1341">
        <f>IF(COUNT($H190:Q190)='RFM input'!$V$7,SUM($G190:Q190),0)</f>
        <v>0</v>
      </c>
      <c r="R191" s="71"/>
      <c r="S191" s="71"/>
      <c r="T191" s="71"/>
      <c r="U191" s="71"/>
      <c r="V191" s="71"/>
      <c r="W191" s="71"/>
      <c r="X191" s="71"/>
      <c r="Y191" s="71"/>
      <c r="Z191" s="71"/>
      <c r="AA191" s="152"/>
    </row>
    <row r="192" spans="1:27" hidden="1" outlineLevel="1">
      <c r="A192" s="3"/>
      <c r="B192" s="29"/>
      <c r="C192" s="133">
        <f>Asset12</f>
        <v>0</v>
      </c>
      <c r="D192" s="3"/>
      <c r="E192" s="3"/>
      <c r="F192" s="91"/>
      <c r="G192" s="1359"/>
      <c r="H192" s="1341">
        <f>($G129+(SUM($G192:G192)))*H$8</f>
        <v>0</v>
      </c>
      <c r="I192" s="1363">
        <f>($G129+(SUM($G192:H192)))*I$8</f>
        <v>0</v>
      </c>
      <c r="J192" s="1363">
        <f>IF(COUNT($H192:I192)&gt;='RFM input'!$V$7,0,($G129+(SUM($G192:I192)))*J$8)</f>
        <v>0</v>
      </c>
      <c r="K192" s="1363">
        <f>IF(COUNT($H192:J192)&gt;='RFM input'!$V$7,0,($G129+(SUM($G192:J192)))*K$8)</f>
        <v>0</v>
      </c>
      <c r="L192" s="1341">
        <f>IF(COUNT($H192:K192)&gt;='RFM input'!$V$7,0,($G129+(SUM($G192:K192)))*L$8)</f>
        <v>0</v>
      </c>
      <c r="M192" s="1341">
        <f>IF(COUNT($H192:L192)&gt;='RFM input'!$V$7,0,($G129+(SUM($G192:L192)))*M$8)</f>
        <v>0</v>
      </c>
      <c r="N192" s="1341">
        <f>IF(COUNT($H192:M192)&gt;='RFM input'!$V$7,0,($G129+(SUM($G192:M192)))*N$8)</f>
        <v>0</v>
      </c>
      <c r="O192" s="1341">
        <f>IF(COUNT($H192:N192)&gt;='RFM input'!$V$7,0,($G129+(SUM($G192:N192)))*O$8)</f>
        <v>0</v>
      </c>
      <c r="P192" s="1341">
        <f>IF(COUNT($H192:O192)&gt;='RFM input'!$V$7,0,($G129+(SUM($G192:O192)))*P$8)</f>
        <v>0</v>
      </c>
      <c r="Q192" s="1341">
        <f>IF(COUNT($H192:P192)&gt;='RFM input'!$V$7,0,($G129+(SUM($G192:P192)))*Q$8)</f>
        <v>0</v>
      </c>
      <c r="R192" s="71"/>
      <c r="S192" s="71"/>
      <c r="T192" s="71"/>
      <c r="U192" s="71"/>
      <c r="V192" s="71"/>
      <c r="W192" s="71"/>
      <c r="X192" s="71"/>
      <c r="Y192" s="71"/>
      <c r="Z192" s="71"/>
      <c r="AA192" s="152"/>
    </row>
    <row r="193" spans="1:27" hidden="1" outlineLevel="1">
      <c r="A193" s="3"/>
      <c r="B193" s="29"/>
      <c r="C193" s="139" t="s">
        <v>24</v>
      </c>
      <c r="D193" s="3"/>
      <c r="E193" s="3"/>
      <c r="F193" s="91"/>
      <c r="G193" s="1359"/>
      <c r="H193" s="1341"/>
      <c r="I193" s="1363">
        <f>IF(COUNT($H192:I192)='RFM input'!$V$7,SUM($G192:I192),0)</f>
        <v>0</v>
      </c>
      <c r="J193" s="1363">
        <f>IF(COUNT($H192:J192)='RFM input'!$V$7,SUM($G192:J192),0)</f>
        <v>0</v>
      </c>
      <c r="K193" s="1363">
        <f>IF(COUNT($H192:K192)='RFM input'!$V$7,SUM($G192:K192),0)</f>
        <v>0</v>
      </c>
      <c r="L193" s="1341">
        <f>IF(COUNT($H192:L192)='RFM input'!$V$7,SUM($G192:L192),0)</f>
        <v>0</v>
      </c>
      <c r="M193" s="1341">
        <f>IF(COUNT($H192:M192)='RFM input'!$V$7,SUM($G192:M192),0)</f>
        <v>0</v>
      </c>
      <c r="N193" s="1341">
        <f>IF(COUNT($H192:N192)='RFM input'!$V$7,SUM($G192:N192),0)</f>
        <v>0</v>
      </c>
      <c r="O193" s="1341">
        <f>IF(COUNT($H192:O192)='RFM input'!$V$7,SUM($G192:O192),0)</f>
        <v>0</v>
      </c>
      <c r="P193" s="1341">
        <f>IF(COUNT($H192:P192)='RFM input'!$V$7,SUM($G192:P192),0)</f>
        <v>0</v>
      </c>
      <c r="Q193" s="1341">
        <f>IF(COUNT($H192:Q192)='RFM input'!$V$7,SUM($G192:Q192),0)</f>
        <v>0</v>
      </c>
      <c r="R193" s="71"/>
      <c r="S193" s="71"/>
      <c r="T193" s="71"/>
      <c r="U193" s="71"/>
      <c r="V193" s="71"/>
      <c r="W193" s="71"/>
      <c r="X193" s="71"/>
      <c r="Y193" s="71"/>
      <c r="Z193" s="71"/>
      <c r="AA193" s="152"/>
    </row>
    <row r="194" spans="1:27" hidden="1" outlineLevel="1">
      <c r="A194" s="3"/>
      <c r="B194" s="29"/>
      <c r="C194" s="133">
        <f>Asset13</f>
        <v>0</v>
      </c>
      <c r="D194" s="3"/>
      <c r="E194" s="3"/>
      <c r="F194" s="91"/>
      <c r="G194" s="1359"/>
      <c r="H194" s="1341">
        <f>($G130+(SUM($G194:G194)))*H$8</f>
        <v>0</v>
      </c>
      <c r="I194" s="1363">
        <f>($G130+(SUM($G194:H194)))*I$8</f>
        <v>0</v>
      </c>
      <c r="J194" s="1363">
        <f>IF(COUNT($H194:I194)&gt;='RFM input'!$V$7,0,($G130+(SUM($G194:I194)))*J$8)</f>
        <v>0</v>
      </c>
      <c r="K194" s="1363">
        <f>IF(COUNT($H194:J194)&gt;='RFM input'!$V$7,0,($G130+(SUM($G194:J194)))*K$8)</f>
        <v>0</v>
      </c>
      <c r="L194" s="1341">
        <f>IF(COUNT($H194:K194)&gt;='RFM input'!$V$7,0,($G130+(SUM($G194:K194)))*L$8)</f>
        <v>0</v>
      </c>
      <c r="M194" s="1341">
        <f>IF(COUNT($H194:L194)&gt;='RFM input'!$V$7,0,($G130+(SUM($G194:L194)))*M$8)</f>
        <v>0</v>
      </c>
      <c r="N194" s="1341">
        <f>IF(COUNT($H194:M194)&gt;='RFM input'!$V$7,0,($G130+(SUM($G194:M194)))*N$8)</f>
        <v>0</v>
      </c>
      <c r="O194" s="1341">
        <f>IF(COUNT($H194:N194)&gt;='RFM input'!$V$7,0,($G130+(SUM($G194:N194)))*O$8)</f>
        <v>0</v>
      </c>
      <c r="P194" s="1341">
        <f>IF(COUNT($H194:O194)&gt;='RFM input'!$V$7,0,($G130+(SUM($G194:O194)))*P$8)</f>
        <v>0</v>
      </c>
      <c r="Q194" s="1341">
        <f>IF(COUNT($H194:P194)&gt;='RFM input'!$V$7,0,($G130+(SUM($G194:P194)))*Q$8)</f>
        <v>0</v>
      </c>
      <c r="R194" s="71"/>
      <c r="S194" s="71"/>
      <c r="T194" s="71"/>
      <c r="U194" s="71"/>
      <c r="V194" s="71"/>
      <c r="W194" s="71"/>
      <c r="X194" s="71"/>
      <c r="Y194" s="71"/>
      <c r="Z194" s="71"/>
      <c r="AA194" s="152"/>
    </row>
    <row r="195" spans="1:27" hidden="1" outlineLevel="1">
      <c r="A195" s="3"/>
      <c r="B195" s="29"/>
      <c r="C195" s="139" t="s">
        <v>24</v>
      </c>
      <c r="D195" s="3"/>
      <c r="E195" s="3"/>
      <c r="F195" s="91"/>
      <c r="G195" s="1359"/>
      <c r="H195" s="1341"/>
      <c r="I195" s="1363">
        <f>IF(COUNT($H194:I194)='RFM input'!$V$7,SUM($G194:I194),0)</f>
        <v>0</v>
      </c>
      <c r="J195" s="1363">
        <f>IF(COUNT($H194:J194)='RFM input'!$V$7,SUM($G194:J194),0)</f>
        <v>0</v>
      </c>
      <c r="K195" s="1363">
        <f>IF(COUNT($H194:K194)='RFM input'!$V$7,SUM($G194:K194),0)</f>
        <v>0</v>
      </c>
      <c r="L195" s="1341">
        <f>IF(COUNT($H194:L194)='RFM input'!$V$7,SUM($G194:L194),0)</f>
        <v>0</v>
      </c>
      <c r="M195" s="1341">
        <f>IF(COUNT($H194:M194)='RFM input'!$V$7,SUM($G194:M194),0)</f>
        <v>0</v>
      </c>
      <c r="N195" s="1341">
        <f>IF(COUNT($H194:N194)='RFM input'!$V$7,SUM($G194:N194),0)</f>
        <v>0</v>
      </c>
      <c r="O195" s="1341">
        <f>IF(COUNT($H194:O194)='RFM input'!$V$7,SUM($G194:O194),0)</f>
        <v>0</v>
      </c>
      <c r="P195" s="1341">
        <f>IF(COUNT($H194:P194)='RFM input'!$V$7,SUM($G194:P194),0)</f>
        <v>0</v>
      </c>
      <c r="Q195" s="1341">
        <f>IF(COUNT($H194:Q194)='RFM input'!$V$7,SUM($G194:Q194),0)</f>
        <v>0</v>
      </c>
      <c r="R195" s="71"/>
      <c r="S195" s="71"/>
      <c r="T195" s="71"/>
      <c r="U195" s="71"/>
      <c r="V195" s="71"/>
      <c r="W195" s="71"/>
      <c r="X195" s="71"/>
      <c r="Y195" s="71"/>
      <c r="Z195" s="71"/>
      <c r="AA195" s="152"/>
    </row>
    <row r="196" spans="1:27" hidden="1" outlineLevel="1">
      <c r="A196" s="3"/>
      <c r="B196" s="29"/>
      <c r="C196" s="133">
        <f>Asset14</f>
        <v>0</v>
      </c>
      <c r="D196" s="3"/>
      <c r="E196" s="3"/>
      <c r="F196" s="91"/>
      <c r="G196" s="1359"/>
      <c r="H196" s="1341">
        <f>($G131+(SUM($G196:G196)))*H$8</f>
        <v>0</v>
      </c>
      <c r="I196" s="1363">
        <f>($G131+(SUM($G196:H196)))*I$8</f>
        <v>0</v>
      </c>
      <c r="J196" s="1363">
        <f>IF(COUNT($H196:I196)&gt;='RFM input'!$V$7,0,($G131+(SUM($G196:I196)))*J$8)</f>
        <v>0</v>
      </c>
      <c r="K196" s="1363">
        <f>IF(COUNT($H196:J196)&gt;='RFM input'!$V$7,0,($G131+(SUM($G196:J196)))*K$8)</f>
        <v>0</v>
      </c>
      <c r="L196" s="1341">
        <f>IF(COUNT($H196:K196)&gt;='RFM input'!$V$7,0,($G131+(SUM($G196:K196)))*L$8)</f>
        <v>0</v>
      </c>
      <c r="M196" s="1341">
        <f>IF(COUNT($H196:L196)&gt;='RFM input'!$V$7,0,($G131+(SUM($G196:L196)))*M$8)</f>
        <v>0</v>
      </c>
      <c r="N196" s="1341">
        <f>IF(COUNT($H196:M196)&gt;='RFM input'!$V$7,0,($G131+(SUM($G196:M196)))*N$8)</f>
        <v>0</v>
      </c>
      <c r="O196" s="1341">
        <f>IF(COUNT($H196:N196)&gt;='RFM input'!$V$7,0,($G131+(SUM($G196:N196)))*O$8)</f>
        <v>0</v>
      </c>
      <c r="P196" s="1341">
        <f>IF(COUNT($H196:O196)&gt;='RFM input'!$V$7,0,($G131+(SUM($G196:O196)))*P$8)</f>
        <v>0</v>
      </c>
      <c r="Q196" s="1341">
        <f>IF(COUNT($H196:P196)&gt;='RFM input'!$V$7,0,($G131+(SUM($G196:P196)))*Q$8)</f>
        <v>0</v>
      </c>
      <c r="R196" s="71"/>
      <c r="S196" s="71"/>
      <c r="T196" s="71"/>
      <c r="U196" s="71"/>
      <c r="V196" s="71"/>
      <c r="W196" s="71"/>
      <c r="X196" s="71"/>
      <c r="Y196" s="71"/>
      <c r="Z196" s="71"/>
      <c r="AA196" s="152"/>
    </row>
    <row r="197" spans="1:27" hidden="1" outlineLevel="1">
      <c r="A197" s="3"/>
      <c r="B197" s="29"/>
      <c r="C197" s="139" t="s">
        <v>24</v>
      </c>
      <c r="D197" s="3"/>
      <c r="E197" s="3"/>
      <c r="F197" s="91"/>
      <c r="G197" s="1359"/>
      <c r="H197" s="1341"/>
      <c r="I197" s="1363">
        <f>IF(COUNT($H196:I196)='RFM input'!$V$7,SUM($G196:I196),0)</f>
        <v>0</v>
      </c>
      <c r="J197" s="1363">
        <f>IF(COUNT($H196:J196)='RFM input'!$V$7,SUM($G196:J196),0)</f>
        <v>0</v>
      </c>
      <c r="K197" s="1363">
        <f>IF(COUNT($H196:K196)='RFM input'!$V$7,SUM($G196:K196),0)</f>
        <v>0</v>
      </c>
      <c r="L197" s="1341">
        <f>IF(COUNT($H196:L196)='RFM input'!$V$7,SUM($G196:L196),0)</f>
        <v>0</v>
      </c>
      <c r="M197" s="1341">
        <f>IF(COUNT($H196:M196)='RFM input'!$V$7,SUM($G196:M196),0)</f>
        <v>0</v>
      </c>
      <c r="N197" s="1341">
        <f>IF(COUNT($H196:N196)='RFM input'!$V$7,SUM($G196:N196),0)</f>
        <v>0</v>
      </c>
      <c r="O197" s="1341">
        <f>IF(COUNT($H196:O196)='RFM input'!$V$7,SUM($G196:O196),0)</f>
        <v>0</v>
      </c>
      <c r="P197" s="1341">
        <f>IF(COUNT($H196:P196)='RFM input'!$V$7,SUM($G196:P196),0)</f>
        <v>0</v>
      </c>
      <c r="Q197" s="1341">
        <f>IF(COUNT($H196:Q196)='RFM input'!$V$7,SUM($G196:Q196),0)</f>
        <v>0</v>
      </c>
      <c r="R197" s="71"/>
      <c r="S197" s="71"/>
      <c r="T197" s="71"/>
      <c r="U197" s="71"/>
      <c r="V197" s="71"/>
      <c r="W197" s="71"/>
      <c r="X197" s="71"/>
      <c r="Y197" s="71"/>
      <c r="Z197" s="71"/>
      <c r="AA197" s="152"/>
    </row>
    <row r="198" spans="1:27" hidden="1" outlineLevel="1">
      <c r="A198" s="3"/>
      <c r="B198" s="29"/>
      <c r="C198" s="133">
        <f>Asset15</f>
        <v>0</v>
      </c>
      <c r="D198" s="3"/>
      <c r="E198" s="3"/>
      <c r="F198" s="91"/>
      <c r="G198" s="1359"/>
      <c r="H198" s="1341">
        <f>($G132+(SUM($G198:G198)))*H$8</f>
        <v>0</v>
      </c>
      <c r="I198" s="1363">
        <f>($G132+(SUM($G198:H198)))*I$8</f>
        <v>0</v>
      </c>
      <c r="J198" s="1363">
        <f>IF(COUNT($H198:I198)&gt;='RFM input'!$V$7,0,($G132+(SUM($G198:I198)))*J$8)</f>
        <v>0</v>
      </c>
      <c r="K198" s="1363">
        <f>IF(COUNT($H198:J198)&gt;='RFM input'!$V$7,0,($G132+(SUM($G198:J198)))*K$8)</f>
        <v>0</v>
      </c>
      <c r="L198" s="1341">
        <f>IF(COUNT($H198:K198)&gt;='RFM input'!$V$7,0,($G132+(SUM($G198:K198)))*L$8)</f>
        <v>0</v>
      </c>
      <c r="M198" s="1341">
        <f>IF(COUNT($H198:L198)&gt;='RFM input'!$V$7,0,($G132+(SUM($G198:L198)))*M$8)</f>
        <v>0</v>
      </c>
      <c r="N198" s="1341">
        <f>IF(COUNT($H198:M198)&gt;='RFM input'!$V$7,0,($G132+(SUM($G198:M198)))*N$8)</f>
        <v>0</v>
      </c>
      <c r="O198" s="1341">
        <f>IF(COUNT($H198:N198)&gt;='RFM input'!$V$7,0,($G132+(SUM($G198:N198)))*O$8)</f>
        <v>0</v>
      </c>
      <c r="P198" s="1341">
        <f>IF(COUNT($H198:O198)&gt;='RFM input'!$V$7,0,($G132+(SUM($G198:O198)))*P$8)</f>
        <v>0</v>
      </c>
      <c r="Q198" s="1341">
        <f>IF(COUNT($H198:P198)&gt;='RFM input'!$V$7,0,($G132+(SUM($G198:P198)))*Q$8)</f>
        <v>0</v>
      </c>
      <c r="R198" s="71"/>
      <c r="S198" s="71"/>
      <c r="T198" s="71"/>
      <c r="U198" s="71"/>
      <c r="V198" s="71"/>
      <c r="W198" s="71"/>
      <c r="X198" s="71"/>
      <c r="Y198" s="71"/>
      <c r="Z198" s="71"/>
      <c r="AA198" s="152"/>
    </row>
    <row r="199" spans="1:27" hidden="1" outlineLevel="1">
      <c r="A199" s="3"/>
      <c r="B199" s="29"/>
      <c r="C199" s="139" t="s">
        <v>24</v>
      </c>
      <c r="D199" s="3"/>
      <c r="E199" s="3"/>
      <c r="F199" s="91"/>
      <c r="G199" s="1359"/>
      <c r="H199" s="1341"/>
      <c r="I199" s="1363">
        <f>IF(COUNT($H198:I198)='RFM input'!$V$7,SUM($G198:I198),0)</f>
        <v>0</v>
      </c>
      <c r="J199" s="1363">
        <f>IF(COUNT($H198:J198)='RFM input'!$V$7,SUM($G198:J198),0)</f>
        <v>0</v>
      </c>
      <c r="K199" s="1363">
        <f>IF(COUNT($H198:K198)='RFM input'!$V$7,SUM($G198:K198),0)</f>
        <v>0</v>
      </c>
      <c r="L199" s="1341">
        <f>IF(COUNT($H198:L198)='RFM input'!$V$7,SUM($G198:L198),0)</f>
        <v>0</v>
      </c>
      <c r="M199" s="1341">
        <f>IF(COUNT($H198:M198)='RFM input'!$V$7,SUM($G198:M198),0)</f>
        <v>0</v>
      </c>
      <c r="N199" s="1341">
        <f>IF(COUNT($H198:N198)='RFM input'!$V$7,SUM($G198:N198),0)</f>
        <v>0</v>
      </c>
      <c r="O199" s="1341">
        <f>IF(COUNT($H198:O198)='RFM input'!$V$7,SUM($G198:O198),0)</f>
        <v>0</v>
      </c>
      <c r="P199" s="1341">
        <f>IF(COUNT($H198:P198)='RFM input'!$V$7,SUM($G198:P198),0)</f>
        <v>0</v>
      </c>
      <c r="Q199" s="1341">
        <f>IF(COUNT($H198:Q198)='RFM input'!$V$7,SUM($G198:Q198),0)</f>
        <v>0</v>
      </c>
      <c r="R199" s="71"/>
      <c r="S199" s="71"/>
      <c r="T199" s="71"/>
      <c r="U199" s="71"/>
      <c r="V199" s="71"/>
      <c r="W199" s="71"/>
      <c r="X199" s="71"/>
      <c r="Y199" s="71"/>
      <c r="Z199" s="71"/>
      <c r="AA199" s="152"/>
    </row>
    <row r="200" spans="1:27" hidden="1" outlineLevel="1">
      <c r="A200" s="3"/>
      <c r="B200" s="29"/>
      <c r="C200" s="133">
        <f>Asset16</f>
        <v>0</v>
      </c>
      <c r="D200" s="3"/>
      <c r="E200" s="3"/>
      <c r="F200" s="91"/>
      <c r="G200" s="1359"/>
      <c r="H200" s="1341">
        <f>($G133+(SUM($G200:G200)))*H$8</f>
        <v>0</v>
      </c>
      <c r="I200" s="1363">
        <f>($G133+(SUM($G200:H200)))*I$8</f>
        <v>0</v>
      </c>
      <c r="J200" s="1363">
        <f>IF(COUNT($H200:I200)&gt;='RFM input'!$V$7,0,($G133+(SUM($G200:I200)))*J$8)</f>
        <v>0</v>
      </c>
      <c r="K200" s="1363">
        <f>IF(COUNT($H200:J200)&gt;='RFM input'!$V$7,0,($G133+(SUM($G200:J200)))*K$8)</f>
        <v>0</v>
      </c>
      <c r="L200" s="1341">
        <f>IF(COUNT($H200:K200)&gt;='RFM input'!$V$7,0,($G133+(SUM($G200:K200)))*L$8)</f>
        <v>0</v>
      </c>
      <c r="M200" s="1341">
        <f>IF(COUNT($H200:L200)&gt;='RFM input'!$V$7,0,($G133+(SUM($G200:L200)))*M$8)</f>
        <v>0</v>
      </c>
      <c r="N200" s="1341">
        <f>IF(COUNT($H200:M200)&gt;='RFM input'!$V$7,0,($G133+(SUM($G200:M200)))*N$8)</f>
        <v>0</v>
      </c>
      <c r="O200" s="1341">
        <f>IF(COUNT($H200:N200)&gt;='RFM input'!$V$7,0,($G133+(SUM($G200:N200)))*O$8)</f>
        <v>0</v>
      </c>
      <c r="P200" s="1341">
        <f>IF(COUNT($H200:O200)&gt;='RFM input'!$V$7,0,($G133+(SUM($G200:O200)))*P$8)</f>
        <v>0</v>
      </c>
      <c r="Q200" s="1341">
        <f>IF(COUNT($H200:P200)&gt;='RFM input'!$V$7,0,($G133+(SUM($G200:P200)))*Q$8)</f>
        <v>0</v>
      </c>
      <c r="R200" s="71"/>
      <c r="S200" s="71"/>
      <c r="T200" s="71"/>
      <c r="U200" s="71"/>
      <c r="V200" s="71"/>
      <c r="W200" s="71"/>
      <c r="X200" s="71"/>
      <c r="Y200" s="71"/>
      <c r="Z200" s="71"/>
      <c r="AA200" s="152"/>
    </row>
    <row r="201" spans="1:27" hidden="1" outlineLevel="1">
      <c r="A201" s="3"/>
      <c r="B201" s="29"/>
      <c r="C201" s="139" t="s">
        <v>24</v>
      </c>
      <c r="D201" s="3"/>
      <c r="E201" s="3"/>
      <c r="F201" s="91"/>
      <c r="G201" s="1359"/>
      <c r="H201" s="1341"/>
      <c r="I201" s="1363">
        <f>IF(COUNT($H200:I200)='RFM input'!$V$7,SUM($G200:I200),0)</f>
        <v>0</v>
      </c>
      <c r="J201" s="1363">
        <f>IF(COUNT($H200:J200)='RFM input'!$V$7,SUM($G200:J200),0)</f>
        <v>0</v>
      </c>
      <c r="K201" s="1363">
        <f>IF(COUNT($H200:K200)='RFM input'!$V$7,SUM($G200:K200),0)</f>
        <v>0</v>
      </c>
      <c r="L201" s="1341">
        <f>IF(COUNT($H200:L200)='RFM input'!$V$7,SUM($G200:L200),0)</f>
        <v>0</v>
      </c>
      <c r="M201" s="1341">
        <f>IF(COUNT($H200:M200)='RFM input'!$V$7,SUM($G200:M200),0)</f>
        <v>0</v>
      </c>
      <c r="N201" s="1341">
        <f>IF(COUNT($H200:N200)='RFM input'!$V$7,SUM($G200:N200),0)</f>
        <v>0</v>
      </c>
      <c r="O201" s="1341">
        <f>IF(COUNT($H200:O200)='RFM input'!$V$7,SUM($G200:O200),0)</f>
        <v>0</v>
      </c>
      <c r="P201" s="1341">
        <f>IF(COUNT($H200:P200)='RFM input'!$V$7,SUM($G200:P200),0)</f>
        <v>0</v>
      </c>
      <c r="Q201" s="1341">
        <f>IF(COUNT($H200:Q200)='RFM input'!$V$7,SUM($G200:Q200),0)</f>
        <v>0</v>
      </c>
      <c r="R201" s="71"/>
      <c r="S201" s="71"/>
      <c r="T201" s="71"/>
      <c r="U201" s="71"/>
      <c r="V201" s="71"/>
      <c r="W201" s="71"/>
      <c r="X201" s="71"/>
      <c r="Y201" s="71"/>
      <c r="Z201" s="71"/>
      <c r="AA201" s="152"/>
    </row>
    <row r="202" spans="1:27" hidden="1" outlineLevel="1">
      <c r="A202" s="3"/>
      <c r="B202" s="29"/>
      <c r="C202" s="133">
        <f>Asset17</f>
        <v>0</v>
      </c>
      <c r="D202" s="3"/>
      <c r="E202" s="3"/>
      <c r="F202" s="91"/>
      <c r="G202" s="1359"/>
      <c r="H202" s="1341">
        <f>($G134+(SUM($G202:G202)))*H$8</f>
        <v>0</v>
      </c>
      <c r="I202" s="1363">
        <f>($G134+(SUM($G202:H202)))*I$8</f>
        <v>0</v>
      </c>
      <c r="J202" s="1363">
        <f>IF(COUNT($H202:I202)&gt;='RFM input'!$V$7,0,($G134+(SUM($G202:I202)))*J$8)</f>
        <v>0</v>
      </c>
      <c r="K202" s="1363">
        <f>IF(COUNT($H202:J202)&gt;='RFM input'!$V$7,0,($G134+(SUM($G202:J202)))*K$8)</f>
        <v>0</v>
      </c>
      <c r="L202" s="1341">
        <f>IF(COUNT($H202:K202)&gt;='RFM input'!$V$7,0,($G134+(SUM($G202:K202)))*L$8)</f>
        <v>0</v>
      </c>
      <c r="M202" s="1341">
        <f>IF(COUNT($H202:L202)&gt;='RFM input'!$V$7,0,($G134+(SUM($G202:L202)))*M$8)</f>
        <v>0</v>
      </c>
      <c r="N202" s="1341">
        <f>IF(COUNT($H202:M202)&gt;='RFM input'!$V$7,0,($G134+(SUM($G202:M202)))*N$8)</f>
        <v>0</v>
      </c>
      <c r="O202" s="1341">
        <f>IF(COUNT($H202:N202)&gt;='RFM input'!$V$7,0,($G134+(SUM($G202:N202)))*O$8)</f>
        <v>0</v>
      </c>
      <c r="P202" s="1341">
        <f>IF(COUNT($H202:O202)&gt;='RFM input'!$V$7,0,($G134+(SUM($G202:O202)))*P$8)</f>
        <v>0</v>
      </c>
      <c r="Q202" s="1341">
        <f>IF(COUNT($H202:P202)&gt;='RFM input'!$V$7,0,($G134+(SUM($G202:P202)))*Q$8)</f>
        <v>0</v>
      </c>
      <c r="R202" s="71"/>
      <c r="S202" s="71"/>
      <c r="T202" s="71"/>
      <c r="U202" s="71"/>
      <c r="V202" s="71"/>
      <c r="W202" s="71"/>
      <c r="X202" s="71"/>
      <c r="Y202" s="71"/>
      <c r="Z202" s="71"/>
      <c r="AA202" s="152"/>
    </row>
    <row r="203" spans="1:27" hidden="1" outlineLevel="1">
      <c r="A203" s="3"/>
      <c r="B203" s="29"/>
      <c r="C203" s="139" t="s">
        <v>24</v>
      </c>
      <c r="D203" s="3"/>
      <c r="E203" s="3"/>
      <c r="F203" s="91"/>
      <c r="G203" s="1359"/>
      <c r="H203" s="1341"/>
      <c r="I203" s="1363">
        <f>IF(COUNT($H202:I202)='RFM input'!$V$7,SUM($G202:I202),0)</f>
        <v>0</v>
      </c>
      <c r="J203" s="1363">
        <f>IF(COUNT($H202:J202)='RFM input'!$V$7,SUM($G202:J202),0)</f>
        <v>0</v>
      </c>
      <c r="K203" s="1363">
        <f>IF(COUNT($H202:K202)='RFM input'!$V$7,SUM($G202:K202),0)</f>
        <v>0</v>
      </c>
      <c r="L203" s="1341">
        <f>IF(COUNT($H202:L202)='RFM input'!$V$7,SUM($G202:L202),0)</f>
        <v>0</v>
      </c>
      <c r="M203" s="1341">
        <f>IF(COUNT($H202:M202)='RFM input'!$V$7,SUM($G202:M202),0)</f>
        <v>0</v>
      </c>
      <c r="N203" s="1341">
        <f>IF(COUNT($H202:N202)='RFM input'!$V$7,SUM($G202:N202),0)</f>
        <v>0</v>
      </c>
      <c r="O203" s="1341">
        <f>IF(COUNT($H202:O202)='RFM input'!$V$7,SUM($G202:O202),0)</f>
        <v>0</v>
      </c>
      <c r="P203" s="1341">
        <f>IF(COUNT($H202:P202)='RFM input'!$V$7,SUM($G202:P202),0)</f>
        <v>0</v>
      </c>
      <c r="Q203" s="1341">
        <f>IF(COUNT($H202:Q202)='RFM input'!$V$7,SUM($G202:Q202),0)</f>
        <v>0</v>
      </c>
      <c r="R203" s="71"/>
      <c r="S203" s="71"/>
      <c r="T203" s="71"/>
      <c r="U203" s="71"/>
      <c r="V203" s="71"/>
      <c r="W203" s="71"/>
      <c r="X203" s="71"/>
      <c r="Y203" s="71"/>
      <c r="Z203" s="71"/>
      <c r="AA203" s="152"/>
    </row>
    <row r="204" spans="1:27" hidden="1" outlineLevel="1">
      <c r="A204" s="3"/>
      <c r="B204" s="29"/>
      <c r="C204" s="133">
        <f>Asset18</f>
        <v>0</v>
      </c>
      <c r="D204" s="3"/>
      <c r="E204" s="3"/>
      <c r="F204" s="91"/>
      <c r="G204" s="1359"/>
      <c r="H204" s="1341">
        <f>($G135+(SUM($G204:G204)))*H$8</f>
        <v>0</v>
      </c>
      <c r="I204" s="1363">
        <f>($G135+(SUM($G204:H204)))*I$8</f>
        <v>0</v>
      </c>
      <c r="J204" s="1363">
        <f>IF(COUNT($H204:I204)&gt;='RFM input'!$V$7,0,($G135+(SUM($G204:I204)))*J$8)</f>
        <v>0</v>
      </c>
      <c r="K204" s="1363">
        <f>IF(COUNT($H204:J204)&gt;='RFM input'!$V$7,0,($G135+(SUM($G204:J204)))*K$8)</f>
        <v>0</v>
      </c>
      <c r="L204" s="1341">
        <f>IF(COUNT($H204:K204)&gt;='RFM input'!$V$7,0,($G135+(SUM($G204:K204)))*L$8)</f>
        <v>0</v>
      </c>
      <c r="M204" s="1341">
        <f>IF(COUNT($H204:L204)&gt;='RFM input'!$V$7,0,($G135+(SUM($G204:L204)))*M$8)</f>
        <v>0</v>
      </c>
      <c r="N204" s="1341">
        <f>IF(COUNT($H204:M204)&gt;='RFM input'!$V$7,0,($G135+(SUM($G204:M204)))*N$8)</f>
        <v>0</v>
      </c>
      <c r="O204" s="1341">
        <f>IF(COUNT($H204:N204)&gt;='RFM input'!$V$7,0,($G135+(SUM($G204:N204)))*O$8)</f>
        <v>0</v>
      </c>
      <c r="P204" s="1341">
        <f>IF(COUNT($H204:O204)&gt;='RFM input'!$V$7,0,($G135+(SUM($G204:O204)))*P$8)</f>
        <v>0</v>
      </c>
      <c r="Q204" s="1341">
        <f>IF(COUNT($H204:P204)&gt;='RFM input'!$V$7,0,($G135+(SUM($G204:P204)))*Q$8)</f>
        <v>0</v>
      </c>
      <c r="R204" s="71"/>
      <c r="S204" s="71"/>
      <c r="T204" s="71"/>
      <c r="U204" s="71"/>
      <c r="V204" s="71"/>
      <c r="W204" s="71"/>
      <c r="X204" s="71"/>
      <c r="Y204" s="71"/>
      <c r="Z204" s="71"/>
      <c r="AA204" s="152"/>
    </row>
    <row r="205" spans="1:27" hidden="1" outlineLevel="1">
      <c r="A205" s="3"/>
      <c r="B205" s="29"/>
      <c r="C205" s="139" t="s">
        <v>24</v>
      </c>
      <c r="D205" s="3"/>
      <c r="E205" s="3"/>
      <c r="F205" s="91"/>
      <c r="G205" s="1359"/>
      <c r="H205" s="1341"/>
      <c r="I205" s="1363">
        <f>IF(COUNT($H204:I204)='RFM input'!$V$7,SUM($G204:I204),0)</f>
        <v>0</v>
      </c>
      <c r="J205" s="1363">
        <f>IF(COUNT($H204:J204)='RFM input'!$V$7,SUM($G204:J204),0)</f>
        <v>0</v>
      </c>
      <c r="K205" s="1363">
        <f>IF(COUNT($H204:K204)='RFM input'!$V$7,SUM($G204:K204),0)</f>
        <v>0</v>
      </c>
      <c r="L205" s="1341">
        <f>IF(COUNT($H204:L204)='RFM input'!$V$7,SUM($G204:L204),0)</f>
        <v>0</v>
      </c>
      <c r="M205" s="1341">
        <f>IF(COUNT($H204:M204)='RFM input'!$V$7,SUM($G204:M204),0)</f>
        <v>0</v>
      </c>
      <c r="N205" s="1341">
        <f>IF(COUNT($H204:N204)='RFM input'!$V$7,SUM($G204:N204),0)</f>
        <v>0</v>
      </c>
      <c r="O205" s="1341">
        <f>IF(COUNT($H204:O204)='RFM input'!$V$7,SUM($G204:O204),0)</f>
        <v>0</v>
      </c>
      <c r="P205" s="1341">
        <f>IF(COUNT($H204:P204)='RFM input'!$V$7,SUM($G204:P204),0)</f>
        <v>0</v>
      </c>
      <c r="Q205" s="1341">
        <f>IF(COUNT($H204:Q204)='RFM input'!$V$7,SUM($G204:Q204),0)</f>
        <v>0</v>
      </c>
      <c r="R205" s="71"/>
      <c r="S205" s="71"/>
      <c r="T205" s="71"/>
      <c r="U205" s="71"/>
      <c r="V205" s="71"/>
      <c r="W205" s="71"/>
      <c r="X205" s="71"/>
      <c r="Y205" s="71"/>
      <c r="Z205" s="71"/>
      <c r="AA205" s="152"/>
    </row>
    <row r="206" spans="1:27" hidden="1" outlineLevel="1">
      <c r="A206" s="3"/>
      <c r="B206" s="29"/>
      <c r="C206" s="133">
        <f>Asset19</f>
        <v>0</v>
      </c>
      <c r="D206" s="3"/>
      <c r="E206" s="3"/>
      <c r="F206" s="91"/>
      <c r="G206" s="1359"/>
      <c r="H206" s="1341">
        <f>($G136+(SUM($G206:G206)))*H$8</f>
        <v>0</v>
      </c>
      <c r="I206" s="1363">
        <f>($G136+(SUM($G206:H206)))*I$8</f>
        <v>0</v>
      </c>
      <c r="J206" s="1363">
        <f>IF(COUNT($H206:I206)&gt;='RFM input'!$V$7,0,($G136+(SUM($G206:I206)))*J$8)</f>
        <v>0</v>
      </c>
      <c r="K206" s="1363">
        <f>IF(COUNT($H206:J206)&gt;='RFM input'!$V$7,0,($G136+(SUM($G206:J206)))*K$8)</f>
        <v>0</v>
      </c>
      <c r="L206" s="1341">
        <f>IF(COUNT($H206:K206)&gt;='RFM input'!$V$7,0,($G136+(SUM($G206:K206)))*L$8)</f>
        <v>0</v>
      </c>
      <c r="M206" s="1341">
        <f>IF(COUNT($H206:L206)&gt;='RFM input'!$V$7,0,($G136+(SUM($G206:L206)))*M$8)</f>
        <v>0</v>
      </c>
      <c r="N206" s="1341">
        <f>IF(COUNT($H206:M206)&gt;='RFM input'!$V$7,0,($G136+(SUM($G206:M206)))*N$8)</f>
        <v>0</v>
      </c>
      <c r="O206" s="1341">
        <f>IF(COUNT($H206:N206)&gt;='RFM input'!$V$7,0,($G136+(SUM($G206:N206)))*O$8)</f>
        <v>0</v>
      </c>
      <c r="P206" s="1341">
        <f>IF(COUNT($H206:O206)&gt;='RFM input'!$V$7,0,($G136+(SUM($G206:O206)))*P$8)</f>
        <v>0</v>
      </c>
      <c r="Q206" s="1341">
        <f>IF(COUNT($H206:P206)&gt;='RFM input'!$V$7,0,($G136+(SUM($G206:P206)))*Q$8)</f>
        <v>0</v>
      </c>
      <c r="R206" s="71"/>
      <c r="S206" s="71"/>
      <c r="T206" s="71"/>
      <c r="U206" s="71"/>
      <c r="V206" s="71"/>
      <c r="W206" s="71"/>
      <c r="X206" s="71"/>
      <c r="Y206" s="71"/>
      <c r="Z206" s="71"/>
      <c r="AA206" s="152"/>
    </row>
    <row r="207" spans="1:27" hidden="1" outlineLevel="1">
      <c r="A207" s="3"/>
      <c r="B207" s="29"/>
      <c r="C207" s="139" t="s">
        <v>24</v>
      </c>
      <c r="D207" s="3"/>
      <c r="E207" s="3"/>
      <c r="F207" s="91"/>
      <c r="G207" s="1359"/>
      <c r="H207" s="1341"/>
      <c r="I207" s="1363">
        <f>IF(COUNT($H206:I206)='RFM input'!$V$7,SUM($G206:I206),0)</f>
        <v>0</v>
      </c>
      <c r="J207" s="1363">
        <f>IF(COUNT($H206:J206)='RFM input'!$V$7,SUM($G206:J206),0)</f>
        <v>0</v>
      </c>
      <c r="K207" s="1363">
        <f>IF(COUNT($H206:K206)='RFM input'!$V$7,SUM($G206:K206),0)</f>
        <v>0</v>
      </c>
      <c r="L207" s="1341">
        <f>IF(COUNT($H206:L206)='RFM input'!$V$7,SUM($G206:L206),0)</f>
        <v>0</v>
      </c>
      <c r="M207" s="1341">
        <f>IF(COUNT($H206:M206)='RFM input'!$V$7,SUM($G206:M206),0)</f>
        <v>0</v>
      </c>
      <c r="N207" s="1341">
        <f>IF(COUNT($H206:N206)='RFM input'!$V$7,SUM($G206:N206),0)</f>
        <v>0</v>
      </c>
      <c r="O207" s="1341">
        <f>IF(COUNT($H206:O206)='RFM input'!$V$7,SUM($G206:O206),0)</f>
        <v>0</v>
      </c>
      <c r="P207" s="1341">
        <f>IF(COUNT($H206:P206)='RFM input'!$V$7,SUM($G206:P206),0)</f>
        <v>0</v>
      </c>
      <c r="Q207" s="1341">
        <f>IF(COUNT($H206:Q206)='RFM input'!$V$7,SUM($G206:Q206),0)</f>
        <v>0</v>
      </c>
      <c r="R207" s="71"/>
      <c r="S207" s="71"/>
      <c r="T207" s="71"/>
      <c r="U207" s="71"/>
      <c r="V207" s="71"/>
      <c r="W207" s="71"/>
      <c r="X207" s="71"/>
      <c r="Y207" s="71"/>
      <c r="Z207" s="71"/>
      <c r="AA207" s="152"/>
    </row>
    <row r="208" spans="1:27" hidden="1" outlineLevel="1">
      <c r="A208" s="3"/>
      <c r="B208" s="29"/>
      <c r="C208" s="133">
        <f>Asset20</f>
        <v>0</v>
      </c>
      <c r="D208" s="3"/>
      <c r="E208" s="3"/>
      <c r="F208" s="91"/>
      <c r="G208" s="1359"/>
      <c r="H208" s="1341">
        <f>($G137+(SUM($G208:G208)))*H$8</f>
        <v>0</v>
      </c>
      <c r="I208" s="1363">
        <f>($G137+(SUM($G208:H208)))*I$8</f>
        <v>0</v>
      </c>
      <c r="J208" s="1363">
        <f>IF(COUNT($H208:I208)&gt;='RFM input'!$V$7,0,($G137+(SUM($G208:I208)))*J$8)</f>
        <v>0</v>
      </c>
      <c r="K208" s="1363">
        <f>IF(COUNT($H208:J208)&gt;='RFM input'!$V$7,0,($G137+(SUM($G208:J208)))*K$8)</f>
        <v>0</v>
      </c>
      <c r="L208" s="1341">
        <f>IF(COUNT($H208:K208)&gt;='RFM input'!$V$7,0,($G137+(SUM($G208:K208)))*L$8)</f>
        <v>0</v>
      </c>
      <c r="M208" s="1341">
        <f>IF(COUNT($H208:L208)&gt;='RFM input'!$V$7,0,($G137+(SUM($G208:L208)))*M$8)</f>
        <v>0</v>
      </c>
      <c r="N208" s="1341">
        <f>IF(COUNT($H208:M208)&gt;='RFM input'!$V$7,0,($G137+(SUM($G208:M208)))*N$8)</f>
        <v>0</v>
      </c>
      <c r="O208" s="1341">
        <f>IF(COUNT($H208:N208)&gt;='RFM input'!$V$7,0,($G137+(SUM($G208:N208)))*O$8)</f>
        <v>0</v>
      </c>
      <c r="P208" s="1341">
        <f>IF(COUNT($H208:O208)&gt;='RFM input'!$V$7,0,($G137+(SUM($G208:O208)))*P$8)</f>
        <v>0</v>
      </c>
      <c r="Q208" s="1341">
        <f>IF(COUNT($H208:P208)&gt;='RFM input'!$V$7,0,($G137+(SUM($G208:P208)))*Q$8)</f>
        <v>0</v>
      </c>
      <c r="R208" s="71"/>
      <c r="S208" s="71"/>
      <c r="T208" s="71"/>
      <c r="U208" s="71"/>
      <c r="V208" s="71"/>
      <c r="W208" s="71"/>
      <c r="X208" s="71"/>
      <c r="Y208" s="71"/>
      <c r="Z208" s="71"/>
      <c r="AA208" s="152"/>
    </row>
    <row r="209" spans="1:27" hidden="1" outlineLevel="1">
      <c r="A209" s="3"/>
      <c r="B209" s="29"/>
      <c r="C209" s="139" t="s">
        <v>24</v>
      </c>
      <c r="D209" s="3"/>
      <c r="E209" s="3"/>
      <c r="F209" s="91"/>
      <c r="G209" s="1359"/>
      <c r="H209" s="1341"/>
      <c r="I209" s="1363">
        <f>IF(COUNT($H208:I208)='RFM input'!$V$7,SUM($G208:I208),0)</f>
        <v>0</v>
      </c>
      <c r="J209" s="1363">
        <f>IF(COUNT($H208:J208)='RFM input'!$V$7,SUM($G208:J208),0)</f>
        <v>0</v>
      </c>
      <c r="K209" s="1363">
        <f>IF(COUNT($H208:K208)='RFM input'!$V$7,SUM($G208:K208),0)</f>
        <v>0</v>
      </c>
      <c r="L209" s="1341">
        <f>IF(COUNT($H208:L208)='RFM input'!$V$7,SUM($G208:L208),0)</f>
        <v>0</v>
      </c>
      <c r="M209" s="1341">
        <f>IF(COUNT($H208:M208)='RFM input'!$V$7,SUM($G208:M208),0)</f>
        <v>0</v>
      </c>
      <c r="N209" s="1341">
        <f>IF(COUNT($H208:N208)='RFM input'!$V$7,SUM($G208:N208),0)</f>
        <v>0</v>
      </c>
      <c r="O209" s="1341">
        <f>IF(COUNT($H208:O208)='RFM input'!$V$7,SUM($G208:O208),0)</f>
        <v>0</v>
      </c>
      <c r="P209" s="1341">
        <f>IF(COUNT($H208:P208)='RFM input'!$V$7,SUM($G208:P208),0)</f>
        <v>0</v>
      </c>
      <c r="Q209" s="1341">
        <f>IF(COUNT($H208:Q208)='RFM input'!$V$7,SUM($G208:Q208),0)</f>
        <v>0</v>
      </c>
      <c r="R209" s="71"/>
      <c r="S209" s="71"/>
      <c r="T209" s="71"/>
      <c r="U209" s="71"/>
      <c r="V209" s="71"/>
      <c r="W209" s="71"/>
      <c r="X209" s="71"/>
      <c r="Y209" s="71"/>
      <c r="Z209" s="71"/>
      <c r="AA209" s="152"/>
    </row>
    <row r="210" spans="1:27" hidden="1" outlineLevel="1">
      <c r="A210" s="3"/>
      <c r="B210" s="29"/>
      <c r="C210" s="139">
        <f>Asset21</f>
        <v>0</v>
      </c>
      <c r="D210" s="3"/>
      <c r="E210" s="3"/>
      <c r="F210" s="91"/>
      <c r="G210" s="1359"/>
      <c r="H210" s="1341">
        <f>($G138+(SUM($G210:G210)))*H$8</f>
        <v>0</v>
      </c>
      <c r="I210" s="1363">
        <f>($G138+(SUM($G210:H210)))*I$8</f>
        <v>0</v>
      </c>
      <c r="J210" s="1363">
        <f>IF(COUNT($H210:I210)&gt;='RFM input'!$V$7,0,($G138+(SUM($G210:I210)))*J$8)</f>
        <v>0</v>
      </c>
      <c r="K210" s="1363">
        <f>IF(COUNT($H210:J210)&gt;='RFM input'!$V$7,0,($G138+(SUM($G210:J210)))*K$8)</f>
        <v>0</v>
      </c>
      <c r="L210" s="1341">
        <f>IF(COUNT($H210:K210)&gt;='RFM input'!$V$7,0,($G138+(SUM($G210:K210)))*L$8)</f>
        <v>0</v>
      </c>
      <c r="M210" s="1341">
        <f>IF(COUNT($H210:L210)&gt;='RFM input'!$V$7,0,($G138+(SUM($G210:L210)))*M$8)</f>
        <v>0</v>
      </c>
      <c r="N210" s="1341">
        <f>IF(COUNT($H210:M210)&gt;='RFM input'!$V$7,0,($G138+(SUM($G210:M210)))*N$8)</f>
        <v>0</v>
      </c>
      <c r="O210" s="1341">
        <f>IF(COUNT($H210:N210)&gt;='RFM input'!$V$7,0,($G138+(SUM($G210:N210)))*O$8)</f>
        <v>0</v>
      </c>
      <c r="P210" s="1341">
        <f>IF(COUNT($H210:O210)&gt;='RFM input'!$V$7,0,($G138+(SUM($G210:O210)))*P$8)</f>
        <v>0</v>
      </c>
      <c r="Q210" s="1341">
        <f>IF(COUNT($H210:P210)&gt;='RFM input'!$V$7,0,($G138+(SUM($G210:P210)))*Q$8)</f>
        <v>0</v>
      </c>
      <c r="R210" s="71"/>
      <c r="S210" s="71"/>
      <c r="T210" s="71"/>
      <c r="U210" s="71"/>
      <c r="V210" s="71"/>
      <c r="W210" s="71"/>
      <c r="X210" s="71"/>
      <c r="Y210" s="71"/>
      <c r="Z210" s="71"/>
      <c r="AA210" s="152"/>
    </row>
    <row r="211" spans="1:27" hidden="1" outlineLevel="1">
      <c r="A211" s="3"/>
      <c r="B211" s="29"/>
      <c r="C211" s="139" t="s">
        <v>24</v>
      </c>
      <c r="D211" s="3"/>
      <c r="E211" s="3"/>
      <c r="F211" s="91"/>
      <c r="G211" s="1359"/>
      <c r="H211" s="1341"/>
      <c r="I211" s="1363">
        <f>IF(COUNT($H210:I210)='RFM input'!$V$7,SUM($G210:I210),0)</f>
        <v>0</v>
      </c>
      <c r="J211" s="1363">
        <f>IF(COUNT($H210:J210)='RFM input'!$V$7,SUM($G210:J210),0)</f>
        <v>0</v>
      </c>
      <c r="K211" s="1363">
        <f>IF(COUNT($H210:K210)='RFM input'!$V$7,SUM($G210:K210),0)</f>
        <v>0</v>
      </c>
      <c r="L211" s="1341">
        <f>IF(COUNT($H210:L210)='RFM input'!$V$7,SUM($G210:L210),0)</f>
        <v>0</v>
      </c>
      <c r="M211" s="1341">
        <f>IF(COUNT($H210:M210)='RFM input'!$V$7,SUM($G210:M210),0)</f>
        <v>0</v>
      </c>
      <c r="N211" s="1341">
        <f>IF(COUNT($H210:N210)='RFM input'!$V$7,SUM($G210:N210),0)</f>
        <v>0</v>
      </c>
      <c r="O211" s="1341">
        <f>IF(COUNT($H210:O210)='RFM input'!$V$7,SUM($G210:O210),0)</f>
        <v>0</v>
      </c>
      <c r="P211" s="1341">
        <f>IF(COUNT($H210:P210)='RFM input'!$V$7,SUM($G210:P210),0)</f>
        <v>0</v>
      </c>
      <c r="Q211" s="1341">
        <f>IF(COUNT($H210:Q210)='RFM input'!$V$7,SUM($G210:Q210),0)</f>
        <v>0</v>
      </c>
      <c r="R211" s="71"/>
      <c r="S211" s="71"/>
      <c r="T211" s="71"/>
      <c r="U211" s="71"/>
      <c r="V211" s="71"/>
      <c r="W211" s="71"/>
      <c r="X211" s="71"/>
      <c r="Y211" s="71"/>
      <c r="Z211" s="71"/>
      <c r="AA211" s="152"/>
    </row>
    <row r="212" spans="1:27" hidden="1" outlineLevel="1">
      <c r="A212" s="3"/>
      <c r="B212" s="29"/>
      <c r="C212" s="139">
        <f>Asset22</f>
        <v>0</v>
      </c>
      <c r="D212" s="3"/>
      <c r="E212" s="3"/>
      <c r="F212" s="91"/>
      <c r="G212" s="1359"/>
      <c r="H212" s="1341">
        <f>($G139+(SUM($G212:G212)))*H$8</f>
        <v>0</v>
      </c>
      <c r="I212" s="1363">
        <f>($G139+(SUM($G212:H212)))*I$8</f>
        <v>0</v>
      </c>
      <c r="J212" s="1363">
        <f>IF(COUNT($H212:I212)&gt;='RFM input'!$V$7,0,($G139+(SUM($G212:I212)))*J$8)</f>
        <v>0</v>
      </c>
      <c r="K212" s="1363">
        <f>IF(COUNT($H212:J212)&gt;='RFM input'!$V$7,0,($G139+(SUM($G212:J212)))*K$8)</f>
        <v>0</v>
      </c>
      <c r="L212" s="1341">
        <f>IF(COUNT($H212:K212)&gt;='RFM input'!$V$7,0,($G139+(SUM($G212:K212)))*L$8)</f>
        <v>0</v>
      </c>
      <c r="M212" s="1341">
        <f>IF(COUNT($H212:L212)&gt;='RFM input'!$V$7,0,($G139+(SUM($G212:L212)))*M$8)</f>
        <v>0</v>
      </c>
      <c r="N212" s="1341">
        <f>IF(COUNT($H212:M212)&gt;='RFM input'!$V$7,0,($G139+(SUM($G212:M212)))*N$8)</f>
        <v>0</v>
      </c>
      <c r="O212" s="1341">
        <f>IF(COUNT($H212:N212)&gt;='RFM input'!$V$7,0,($G139+(SUM($G212:N212)))*O$8)</f>
        <v>0</v>
      </c>
      <c r="P212" s="1341">
        <f>IF(COUNT($H212:O212)&gt;='RFM input'!$V$7,0,($G139+(SUM($G212:O212)))*P$8)</f>
        <v>0</v>
      </c>
      <c r="Q212" s="1341">
        <f>IF(COUNT($H212:P212)&gt;='RFM input'!$V$7,0,($G139+(SUM($G212:P212)))*Q$8)</f>
        <v>0</v>
      </c>
      <c r="R212" s="71"/>
      <c r="S212" s="71"/>
      <c r="T212" s="71"/>
      <c r="U212" s="71"/>
      <c r="V212" s="71"/>
      <c r="W212" s="71"/>
      <c r="X212" s="71"/>
      <c r="Y212" s="71"/>
      <c r="Z212" s="71"/>
      <c r="AA212" s="152"/>
    </row>
    <row r="213" spans="1:27" hidden="1" outlineLevel="1">
      <c r="A213" s="3"/>
      <c r="B213" s="29"/>
      <c r="C213" s="139" t="s">
        <v>24</v>
      </c>
      <c r="D213" s="3"/>
      <c r="E213" s="3"/>
      <c r="F213" s="91"/>
      <c r="G213" s="1359"/>
      <c r="H213" s="1341"/>
      <c r="I213" s="1363">
        <f>IF(COUNT($H212:I212)='RFM input'!$V$7,SUM($G212:I212),0)</f>
        <v>0</v>
      </c>
      <c r="J213" s="1363">
        <f>IF(COUNT($H212:J212)='RFM input'!$V$7,SUM($G212:J212),0)</f>
        <v>0</v>
      </c>
      <c r="K213" s="1363">
        <f>IF(COUNT($H212:K212)='RFM input'!$V$7,SUM($G212:K212),0)</f>
        <v>0</v>
      </c>
      <c r="L213" s="1341">
        <f>IF(COUNT($H212:L212)='RFM input'!$V$7,SUM($G212:L212),0)</f>
        <v>0</v>
      </c>
      <c r="M213" s="1341">
        <f>IF(COUNT($H212:M212)='RFM input'!$V$7,SUM($G212:M212),0)</f>
        <v>0</v>
      </c>
      <c r="N213" s="1341">
        <f>IF(COUNT($H212:N212)='RFM input'!$V$7,SUM($G212:N212),0)</f>
        <v>0</v>
      </c>
      <c r="O213" s="1341">
        <f>IF(COUNT($H212:O212)='RFM input'!$V$7,SUM($G212:O212),0)</f>
        <v>0</v>
      </c>
      <c r="P213" s="1341">
        <f>IF(COUNT($H212:P212)='RFM input'!$V$7,SUM($G212:P212),0)</f>
        <v>0</v>
      </c>
      <c r="Q213" s="1341">
        <f>IF(COUNT($H212:Q212)='RFM input'!$V$7,SUM($G212:Q212),0)</f>
        <v>0</v>
      </c>
      <c r="R213" s="71"/>
      <c r="S213" s="71"/>
      <c r="T213" s="71"/>
      <c r="U213" s="71"/>
      <c r="V213" s="71"/>
      <c r="W213" s="71"/>
      <c r="X213" s="71"/>
      <c r="Y213" s="71"/>
      <c r="Z213" s="71"/>
      <c r="AA213" s="152"/>
    </row>
    <row r="214" spans="1:27" hidden="1" outlineLevel="1">
      <c r="A214" s="3"/>
      <c r="B214" s="29"/>
      <c r="C214" s="139">
        <f>Asset23</f>
        <v>0</v>
      </c>
      <c r="D214" s="3"/>
      <c r="E214" s="3"/>
      <c r="F214" s="91"/>
      <c r="G214" s="1359"/>
      <c r="H214" s="1341">
        <f>($G140+(SUM($G214:G214)))*H$8</f>
        <v>0</v>
      </c>
      <c r="I214" s="1363">
        <f>($G140+(SUM($G214:H214)))*I$8</f>
        <v>0</v>
      </c>
      <c r="J214" s="1363">
        <f>IF(COUNT($H214:I214)&gt;='RFM input'!$V$7,0,($G140+(SUM($G214:I214)))*J$8)</f>
        <v>0</v>
      </c>
      <c r="K214" s="1363">
        <f>IF(COUNT($H214:J214)&gt;='RFM input'!$V$7,0,($G140+(SUM($G214:J214)))*K$8)</f>
        <v>0</v>
      </c>
      <c r="L214" s="1341">
        <f>IF(COUNT($H214:K214)&gt;='RFM input'!$V$7,0,($G140+(SUM($G214:K214)))*L$8)</f>
        <v>0</v>
      </c>
      <c r="M214" s="1341">
        <f>IF(COUNT($H214:L214)&gt;='RFM input'!$V$7,0,($G140+(SUM($G214:L214)))*M$8)</f>
        <v>0</v>
      </c>
      <c r="N214" s="1341">
        <f>IF(COUNT($H214:M214)&gt;='RFM input'!$V$7,0,($G140+(SUM($G214:M214)))*N$8)</f>
        <v>0</v>
      </c>
      <c r="O214" s="1341">
        <f>IF(COUNT($H214:N214)&gt;='RFM input'!$V$7,0,($G140+(SUM($G214:N214)))*O$8)</f>
        <v>0</v>
      </c>
      <c r="P214" s="1341">
        <f>IF(COUNT($H214:O214)&gt;='RFM input'!$V$7,0,($G140+(SUM($G214:O214)))*P$8)</f>
        <v>0</v>
      </c>
      <c r="Q214" s="1341">
        <f>IF(COUNT($H214:P214)&gt;='RFM input'!$V$7,0,($G140+(SUM($G214:P214)))*Q$8)</f>
        <v>0</v>
      </c>
      <c r="R214" s="71"/>
      <c r="S214" s="71"/>
      <c r="T214" s="71"/>
      <c r="U214" s="71"/>
      <c r="V214" s="71"/>
      <c r="W214" s="71"/>
      <c r="X214" s="71"/>
      <c r="Y214" s="71"/>
      <c r="Z214" s="71"/>
      <c r="AA214" s="152"/>
    </row>
    <row r="215" spans="1:27" hidden="1" outlineLevel="1">
      <c r="A215" s="3"/>
      <c r="B215" s="29"/>
      <c r="C215" s="139" t="s">
        <v>24</v>
      </c>
      <c r="D215" s="3"/>
      <c r="E215" s="3"/>
      <c r="F215" s="91"/>
      <c r="G215" s="1359"/>
      <c r="H215" s="1341"/>
      <c r="I215" s="1363">
        <f>IF(COUNT($H214:I214)='RFM input'!$V$7,SUM($G214:I214),0)</f>
        <v>0</v>
      </c>
      <c r="J215" s="1363">
        <f>IF(COUNT($H214:J214)='RFM input'!$V$7,SUM($G214:J214),0)</f>
        <v>0</v>
      </c>
      <c r="K215" s="1363">
        <f>IF(COUNT($H214:K214)='RFM input'!$V$7,SUM($G214:K214),0)</f>
        <v>0</v>
      </c>
      <c r="L215" s="1341">
        <f>IF(COUNT($H214:L214)='RFM input'!$V$7,SUM($G214:L214),0)</f>
        <v>0</v>
      </c>
      <c r="M215" s="1341">
        <f>IF(COUNT($H214:M214)='RFM input'!$V$7,SUM($G214:M214),0)</f>
        <v>0</v>
      </c>
      <c r="N215" s="1341">
        <f>IF(COUNT($H214:N214)='RFM input'!$V$7,SUM($G214:N214),0)</f>
        <v>0</v>
      </c>
      <c r="O215" s="1341">
        <f>IF(COUNT($H214:O214)='RFM input'!$V$7,SUM($G214:O214),0)</f>
        <v>0</v>
      </c>
      <c r="P215" s="1341">
        <f>IF(COUNT($H214:P214)='RFM input'!$V$7,SUM($G214:P214),0)</f>
        <v>0</v>
      </c>
      <c r="Q215" s="1341">
        <f>IF(COUNT($H214:Q214)='RFM input'!$V$7,SUM($G214:Q214),0)</f>
        <v>0</v>
      </c>
      <c r="R215" s="71"/>
      <c r="S215" s="71"/>
      <c r="T215" s="71"/>
      <c r="U215" s="71"/>
      <c r="V215" s="71"/>
      <c r="W215" s="71"/>
      <c r="X215" s="71"/>
      <c r="Y215" s="71"/>
      <c r="Z215" s="71"/>
      <c r="AA215" s="152"/>
    </row>
    <row r="216" spans="1:27" hidden="1" outlineLevel="1">
      <c r="A216" s="3"/>
      <c r="B216" s="29"/>
      <c r="C216" s="139">
        <f>Asset24</f>
        <v>0</v>
      </c>
      <c r="D216" s="3"/>
      <c r="E216" s="3"/>
      <c r="F216" s="91"/>
      <c r="G216" s="1359"/>
      <c r="H216" s="1341">
        <f>($G141+(SUM($G216:G216)))*H$8</f>
        <v>0</v>
      </c>
      <c r="I216" s="1363">
        <f>($G141+(SUM($G216:H216)))*I$8</f>
        <v>0</v>
      </c>
      <c r="J216" s="1363">
        <f>IF(COUNT($H216:I216)&gt;='RFM input'!$V$7,0,($G141+(SUM($G216:I216)))*J$8)</f>
        <v>0</v>
      </c>
      <c r="K216" s="1363">
        <f>IF(COUNT($H216:J216)&gt;='RFM input'!$V$7,0,($G141+(SUM($G216:J216)))*K$8)</f>
        <v>0</v>
      </c>
      <c r="L216" s="1341">
        <f>IF(COUNT($H216:K216)&gt;='RFM input'!$V$7,0,($G141+(SUM($G216:K216)))*L$8)</f>
        <v>0</v>
      </c>
      <c r="M216" s="1341">
        <f>IF(COUNT($H216:L216)&gt;='RFM input'!$V$7,0,($G141+(SUM($G216:L216)))*M$8)</f>
        <v>0</v>
      </c>
      <c r="N216" s="1341">
        <f>IF(COUNT($H216:M216)&gt;='RFM input'!$V$7,0,($G141+(SUM($G216:M216)))*N$8)</f>
        <v>0</v>
      </c>
      <c r="O216" s="1341">
        <f>IF(COUNT($H216:N216)&gt;='RFM input'!$V$7,0,($G141+(SUM($G216:N216)))*O$8)</f>
        <v>0</v>
      </c>
      <c r="P216" s="1341">
        <f>IF(COUNT($H216:O216)&gt;='RFM input'!$V$7,0,($G141+(SUM($G216:O216)))*P$8)</f>
        <v>0</v>
      </c>
      <c r="Q216" s="1341">
        <f>IF(COUNT($H216:P216)&gt;='RFM input'!$V$7,0,($G141+(SUM($G216:P216)))*Q$8)</f>
        <v>0</v>
      </c>
      <c r="R216" s="71"/>
      <c r="S216" s="71"/>
      <c r="T216" s="71"/>
      <c r="U216" s="71"/>
      <c r="V216" s="71"/>
      <c r="W216" s="71"/>
      <c r="X216" s="71"/>
      <c r="Y216" s="71"/>
      <c r="Z216" s="71"/>
      <c r="AA216" s="152"/>
    </row>
    <row r="217" spans="1:27" hidden="1" outlineLevel="1">
      <c r="A217" s="3"/>
      <c r="B217" s="29"/>
      <c r="C217" s="139" t="s">
        <v>24</v>
      </c>
      <c r="D217" s="3"/>
      <c r="E217" s="3"/>
      <c r="F217" s="91"/>
      <c r="G217" s="1359"/>
      <c r="H217" s="1341"/>
      <c r="I217" s="1363">
        <f>IF(COUNT($H216:I216)='RFM input'!$V$7,SUM($G216:I216),0)</f>
        <v>0</v>
      </c>
      <c r="J217" s="1363">
        <f>IF(COUNT($H216:J216)='RFM input'!$V$7,SUM($G216:J216),0)</f>
        <v>0</v>
      </c>
      <c r="K217" s="1363">
        <f>IF(COUNT($H216:K216)='RFM input'!$V$7,SUM($G216:K216),0)</f>
        <v>0</v>
      </c>
      <c r="L217" s="1341">
        <f>IF(COUNT($H216:L216)='RFM input'!$V$7,SUM($G216:L216),0)</f>
        <v>0</v>
      </c>
      <c r="M217" s="1341">
        <f>IF(COUNT($H216:M216)='RFM input'!$V$7,SUM($G216:M216),0)</f>
        <v>0</v>
      </c>
      <c r="N217" s="1341">
        <f>IF(COUNT($H216:N216)='RFM input'!$V$7,SUM($G216:N216),0)</f>
        <v>0</v>
      </c>
      <c r="O217" s="1341">
        <f>IF(COUNT($H216:O216)='RFM input'!$V$7,SUM($G216:O216),0)</f>
        <v>0</v>
      </c>
      <c r="P217" s="1341">
        <f>IF(COUNT($H216:P216)='RFM input'!$V$7,SUM($G216:P216),0)</f>
        <v>0</v>
      </c>
      <c r="Q217" s="1341">
        <f>IF(COUNT($H216:Q216)='RFM input'!$V$7,SUM($G216:Q216),0)</f>
        <v>0</v>
      </c>
      <c r="R217" s="71"/>
      <c r="S217" s="71"/>
      <c r="T217" s="71"/>
      <c r="U217" s="71"/>
      <c r="V217" s="71"/>
      <c r="W217" s="71"/>
      <c r="X217" s="71"/>
      <c r="Y217" s="71"/>
      <c r="Z217" s="71"/>
      <c r="AA217" s="152"/>
    </row>
    <row r="218" spans="1:27" hidden="1" outlineLevel="1">
      <c r="A218" s="3"/>
      <c r="B218" s="29"/>
      <c r="C218" s="139">
        <f>Asset25</f>
        <v>0</v>
      </c>
      <c r="D218" s="3"/>
      <c r="E218" s="3"/>
      <c r="F218" s="91"/>
      <c r="G218" s="1359"/>
      <c r="H218" s="1341">
        <f>($G142+(SUM($G218:G218)))*H$8</f>
        <v>0</v>
      </c>
      <c r="I218" s="1363">
        <f>($G142+(SUM($G218:H218)))*I$8</f>
        <v>0</v>
      </c>
      <c r="J218" s="1363">
        <f>IF(COUNT($H218:I218)&gt;='RFM input'!$V$7,0,($G142+(SUM($G218:I218)))*J$8)</f>
        <v>0</v>
      </c>
      <c r="K218" s="1363">
        <f>IF(COUNT($H218:J218)&gt;='RFM input'!$V$7,0,($G142+(SUM($G218:J218)))*K$8)</f>
        <v>0</v>
      </c>
      <c r="L218" s="1341">
        <f>IF(COUNT($H218:K218)&gt;='RFM input'!$V$7,0,($G142+(SUM($G218:K218)))*L$8)</f>
        <v>0</v>
      </c>
      <c r="M218" s="1341">
        <f>IF(COUNT($H218:L218)&gt;='RFM input'!$V$7,0,($G142+(SUM($G218:L218)))*M$8)</f>
        <v>0</v>
      </c>
      <c r="N218" s="1341">
        <f>IF(COUNT($H218:M218)&gt;='RFM input'!$V$7,0,($G142+(SUM($G218:M218)))*N$8)</f>
        <v>0</v>
      </c>
      <c r="O218" s="1341">
        <f>IF(COUNT($H218:N218)&gt;='RFM input'!$V$7,0,($G142+(SUM($G218:N218)))*O$8)</f>
        <v>0</v>
      </c>
      <c r="P218" s="1341">
        <f>IF(COUNT($H218:O218)&gt;='RFM input'!$V$7,0,($G142+(SUM($G218:O218)))*P$8)</f>
        <v>0</v>
      </c>
      <c r="Q218" s="1341">
        <f>IF(COUNT($H218:P218)&gt;='RFM input'!$V$7,0,($G142+(SUM($G218:P218)))*Q$8)</f>
        <v>0</v>
      </c>
      <c r="R218" s="71"/>
      <c r="S218" s="71"/>
      <c r="T218" s="71"/>
      <c r="U218" s="71"/>
      <c r="V218" s="71"/>
      <c r="W218" s="71"/>
      <c r="X218" s="71"/>
      <c r="Y218" s="71"/>
      <c r="Z218" s="71"/>
      <c r="AA218" s="152"/>
    </row>
    <row r="219" spans="1:27" hidden="1" outlineLevel="1">
      <c r="A219" s="3"/>
      <c r="B219" s="29"/>
      <c r="C219" s="139" t="s">
        <v>24</v>
      </c>
      <c r="D219" s="3"/>
      <c r="E219" s="3"/>
      <c r="F219" s="91"/>
      <c r="G219" s="1359"/>
      <c r="H219" s="1341"/>
      <c r="I219" s="1363">
        <f>IF(COUNT($H218:I218)='RFM input'!$V$7,SUM($G218:I218),0)</f>
        <v>0</v>
      </c>
      <c r="J219" s="1363">
        <f>IF(COUNT($H218:J218)='RFM input'!$V$7,SUM($G218:J218),0)</f>
        <v>0</v>
      </c>
      <c r="K219" s="1363">
        <f>IF(COUNT($H218:K218)='RFM input'!$V$7,SUM($G218:K218),0)</f>
        <v>0</v>
      </c>
      <c r="L219" s="1341">
        <f>IF(COUNT($H218:L218)='RFM input'!$V$7,SUM($G218:L218),0)</f>
        <v>0</v>
      </c>
      <c r="M219" s="1341">
        <f>IF(COUNT($H218:M218)='RFM input'!$V$7,SUM($G218:M218),0)</f>
        <v>0</v>
      </c>
      <c r="N219" s="1341">
        <f>IF(COUNT($H218:N218)='RFM input'!$V$7,SUM($G218:N218),0)</f>
        <v>0</v>
      </c>
      <c r="O219" s="1341">
        <f>IF(COUNT($H218:O218)='RFM input'!$V$7,SUM($G218:O218),0)</f>
        <v>0</v>
      </c>
      <c r="P219" s="1341">
        <f>IF(COUNT($H218:P218)='RFM input'!$V$7,SUM($G218:P218),0)</f>
        <v>0</v>
      </c>
      <c r="Q219" s="1341">
        <f>IF(COUNT($H218:Q218)='RFM input'!$V$7,SUM($G218:Q218),0)</f>
        <v>0</v>
      </c>
      <c r="R219" s="71"/>
      <c r="S219" s="71"/>
      <c r="T219" s="71"/>
      <c r="U219" s="71"/>
      <c r="V219" s="71"/>
      <c r="W219" s="71"/>
      <c r="X219" s="71"/>
      <c r="Y219" s="71"/>
      <c r="Z219" s="71"/>
      <c r="AA219" s="152"/>
    </row>
    <row r="220" spans="1:27" hidden="1" outlineLevel="1">
      <c r="A220" s="3"/>
      <c r="B220" s="29"/>
      <c r="C220" s="139">
        <f>Asset26</f>
        <v>0</v>
      </c>
      <c r="D220" s="3"/>
      <c r="E220" s="3"/>
      <c r="F220" s="91"/>
      <c r="G220" s="1359"/>
      <c r="H220" s="1341">
        <f>($G143+(SUM($G220:G220)))*H$8</f>
        <v>0</v>
      </c>
      <c r="I220" s="1363">
        <f>($G143+(SUM($G220:H220)))*I$8</f>
        <v>0</v>
      </c>
      <c r="J220" s="1363">
        <f>IF(COUNT($H220:I220)&gt;='RFM input'!$V$7,0,($G143+(SUM($G220:I220)))*J$8)</f>
        <v>0</v>
      </c>
      <c r="K220" s="1363">
        <f>IF(COUNT($H220:J220)&gt;='RFM input'!$V$7,0,($G143+(SUM($G220:J220)))*K$8)</f>
        <v>0</v>
      </c>
      <c r="L220" s="1341">
        <f>IF(COUNT($H220:K220)&gt;='RFM input'!$V$7,0,($G143+(SUM($G220:K220)))*L$8)</f>
        <v>0</v>
      </c>
      <c r="M220" s="1341">
        <f>IF(COUNT($H220:L220)&gt;='RFM input'!$V$7,0,($G143+(SUM($G220:L220)))*M$8)</f>
        <v>0</v>
      </c>
      <c r="N220" s="1341">
        <f>IF(COUNT($H220:M220)&gt;='RFM input'!$V$7,0,($G143+(SUM($G220:M220)))*N$8)</f>
        <v>0</v>
      </c>
      <c r="O220" s="1341">
        <f>IF(COUNT($H220:N220)&gt;='RFM input'!$V$7,0,($G143+(SUM($G220:N220)))*O$8)</f>
        <v>0</v>
      </c>
      <c r="P220" s="1341">
        <f>IF(COUNT($H220:O220)&gt;='RFM input'!$V$7,0,($G143+(SUM($G220:O220)))*P$8)</f>
        <v>0</v>
      </c>
      <c r="Q220" s="1341">
        <f>IF(COUNT($H220:P220)&gt;='RFM input'!$V$7,0,($G143+(SUM($G220:P220)))*Q$8)</f>
        <v>0</v>
      </c>
      <c r="R220" s="71"/>
      <c r="S220" s="71"/>
      <c r="T220" s="71"/>
      <c r="U220" s="71"/>
      <c r="V220" s="71"/>
      <c r="W220" s="71"/>
      <c r="X220" s="71"/>
      <c r="Y220" s="71"/>
      <c r="Z220" s="71"/>
      <c r="AA220" s="152"/>
    </row>
    <row r="221" spans="1:27" hidden="1" outlineLevel="1">
      <c r="A221" s="3"/>
      <c r="B221" s="29"/>
      <c r="C221" s="139" t="s">
        <v>24</v>
      </c>
      <c r="D221" s="3"/>
      <c r="E221" s="3"/>
      <c r="F221" s="91"/>
      <c r="G221" s="1359"/>
      <c r="H221" s="1341"/>
      <c r="I221" s="1363">
        <f>IF(COUNT($H220:I220)='RFM input'!$V$7,SUM($G220:I220),0)</f>
        <v>0</v>
      </c>
      <c r="J221" s="1363">
        <f>IF(COUNT($H220:J220)='RFM input'!$V$7,SUM($G220:J220),0)</f>
        <v>0</v>
      </c>
      <c r="K221" s="1363">
        <f>IF(COUNT($H220:K220)='RFM input'!$V$7,SUM($G220:K220),0)</f>
        <v>0</v>
      </c>
      <c r="L221" s="1341">
        <f>IF(COUNT($H220:L220)='RFM input'!$V$7,SUM($G220:L220),0)</f>
        <v>0</v>
      </c>
      <c r="M221" s="1341">
        <f>IF(COUNT($H220:M220)='RFM input'!$V$7,SUM($G220:M220),0)</f>
        <v>0</v>
      </c>
      <c r="N221" s="1341">
        <f>IF(COUNT($H220:N220)='RFM input'!$V$7,SUM($G220:N220),0)</f>
        <v>0</v>
      </c>
      <c r="O221" s="1341">
        <f>IF(COUNT($H220:O220)='RFM input'!$V$7,SUM($G220:O220),0)</f>
        <v>0</v>
      </c>
      <c r="P221" s="1341">
        <f>IF(COUNT($H220:P220)='RFM input'!$V$7,SUM($G220:P220),0)</f>
        <v>0</v>
      </c>
      <c r="Q221" s="1341">
        <f>IF(COUNT($H220:Q220)='RFM input'!$V$7,SUM($G220:Q220),0)</f>
        <v>0</v>
      </c>
      <c r="R221" s="71"/>
      <c r="S221" s="71"/>
      <c r="T221" s="71"/>
      <c r="U221" s="71"/>
      <c r="V221" s="71"/>
      <c r="W221" s="71"/>
      <c r="X221" s="71"/>
      <c r="Y221" s="71"/>
      <c r="Z221" s="71"/>
      <c r="AA221" s="152"/>
    </row>
    <row r="222" spans="1:27" hidden="1" outlineLevel="1">
      <c r="A222" s="3"/>
      <c r="B222" s="29"/>
      <c r="C222" s="139">
        <f>Asset27</f>
        <v>0</v>
      </c>
      <c r="D222" s="3"/>
      <c r="E222" s="3"/>
      <c r="F222" s="91"/>
      <c r="G222" s="1359"/>
      <c r="H222" s="1341">
        <f>($G144+(SUM($G222:G222)))*H$8</f>
        <v>0</v>
      </c>
      <c r="I222" s="1363">
        <f>($G144+(SUM($G222:H222)))*I$8</f>
        <v>0</v>
      </c>
      <c r="J222" s="1363">
        <f>IF(COUNT($H222:I222)&gt;='RFM input'!$V$7,0,($G144+(SUM($G222:I222)))*J$8)</f>
        <v>0</v>
      </c>
      <c r="K222" s="1363">
        <f>IF(COUNT($H222:J222)&gt;='RFM input'!$V$7,0,($G144+(SUM($G222:J222)))*K$8)</f>
        <v>0</v>
      </c>
      <c r="L222" s="1341">
        <f>IF(COUNT($H222:K222)&gt;='RFM input'!$V$7,0,($G144+(SUM($G222:K222)))*L$8)</f>
        <v>0</v>
      </c>
      <c r="M222" s="1341">
        <f>IF(COUNT($H222:L222)&gt;='RFM input'!$V$7,0,($G144+(SUM($G222:L222)))*M$8)</f>
        <v>0</v>
      </c>
      <c r="N222" s="1341">
        <f>IF(COUNT($H222:M222)&gt;='RFM input'!$V$7,0,($G144+(SUM($G222:M222)))*N$8)</f>
        <v>0</v>
      </c>
      <c r="O222" s="1341">
        <f>IF(COUNT($H222:N222)&gt;='RFM input'!$V$7,0,($G144+(SUM($G222:N222)))*O$8)</f>
        <v>0</v>
      </c>
      <c r="P222" s="1341">
        <f>IF(COUNT($H222:O222)&gt;='RFM input'!$V$7,0,($G144+(SUM($G222:O222)))*P$8)</f>
        <v>0</v>
      </c>
      <c r="Q222" s="1341">
        <f>IF(COUNT($H222:P222)&gt;='RFM input'!$V$7,0,($G144+(SUM($G222:P222)))*Q$8)</f>
        <v>0</v>
      </c>
      <c r="R222" s="71"/>
      <c r="S222" s="71"/>
      <c r="T222" s="71"/>
      <c r="U222" s="71"/>
      <c r="V222" s="71"/>
      <c r="W222" s="71"/>
      <c r="X222" s="71"/>
      <c r="Y222" s="71"/>
      <c r="Z222" s="71"/>
      <c r="AA222" s="152"/>
    </row>
    <row r="223" spans="1:27" hidden="1" outlineLevel="1">
      <c r="A223" s="3"/>
      <c r="B223" s="29"/>
      <c r="C223" s="139" t="s">
        <v>24</v>
      </c>
      <c r="D223" s="3"/>
      <c r="E223" s="3"/>
      <c r="F223" s="91"/>
      <c r="G223" s="1359"/>
      <c r="H223" s="1341"/>
      <c r="I223" s="1363">
        <f>IF(COUNT($H222:I222)='RFM input'!$V$7,SUM($G222:I222),0)</f>
        <v>0</v>
      </c>
      <c r="J223" s="1363">
        <f>IF(COUNT($H222:J222)='RFM input'!$V$7,SUM($G222:J222),0)</f>
        <v>0</v>
      </c>
      <c r="K223" s="1363">
        <f>IF(COUNT($H222:K222)='RFM input'!$V$7,SUM($G222:K222),0)</f>
        <v>0</v>
      </c>
      <c r="L223" s="1341">
        <f>IF(COUNT($H222:L222)='RFM input'!$V$7,SUM($G222:L222),0)</f>
        <v>0</v>
      </c>
      <c r="M223" s="1341">
        <f>IF(COUNT($H222:M222)='RFM input'!$V$7,SUM($G222:M222),0)</f>
        <v>0</v>
      </c>
      <c r="N223" s="1341">
        <f>IF(COUNT($H222:N222)='RFM input'!$V$7,SUM($G222:N222),0)</f>
        <v>0</v>
      </c>
      <c r="O223" s="1341">
        <f>IF(COUNT($H222:O222)='RFM input'!$V$7,SUM($G222:O222),0)</f>
        <v>0</v>
      </c>
      <c r="P223" s="1341">
        <f>IF(COUNT($H222:P222)='RFM input'!$V$7,SUM($G222:P222),0)</f>
        <v>0</v>
      </c>
      <c r="Q223" s="1341">
        <f>IF(COUNT($H222:Q222)='RFM input'!$V$7,SUM($G222:Q222),0)</f>
        <v>0</v>
      </c>
      <c r="R223" s="71"/>
      <c r="S223" s="71"/>
      <c r="T223" s="71"/>
      <c r="U223" s="71"/>
      <c r="V223" s="71"/>
      <c r="W223" s="71"/>
      <c r="X223" s="71"/>
      <c r="Y223" s="71"/>
      <c r="Z223" s="71"/>
      <c r="AA223" s="152"/>
    </row>
    <row r="224" spans="1:27" hidden="1" outlineLevel="1">
      <c r="A224" s="3"/>
      <c r="B224" s="29"/>
      <c r="C224" s="139">
        <f>Asset28</f>
        <v>0</v>
      </c>
      <c r="D224" s="3"/>
      <c r="E224" s="3"/>
      <c r="F224" s="91"/>
      <c r="G224" s="1359"/>
      <c r="H224" s="1341">
        <f>($G145+(SUM($G224:G224)))*H$8</f>
        <v>0</v>
      </c>
      <c r="I224" s="1363">
        <f>($G145+(SUM($G224:H224)))*I$8</f>
        <v>0</v>
      </c>
      <c r="J224" s="1363">
        <f>IF(COUNT($H224:I224)&gt;='RFM input'!$V$7,0,($G145+(SUM($G224:I224)))*J$8)</f>
        <v>0</v>
      </c>
      <c r="K224" s="1363">
        <f>IF(COUNT($H224:J224)&gt;='RFM input'!$V$7,0,($G145+(SUM($G224:J224)))*K$8)</f>
        <v>0</v>
      </c>
      <c r="L224" s="1341">
        <f>IF(COUNT($H224:K224)&gt;='RFM input'!$V$7,0,($G145+(SUM($G224:K224)))*L$8)</f>
        <v>0</v>
      </c>
      <c r="M224" s="1341">
        <f>IF(COUNT($H224:L224)&gt;='RFM input'!$V$7,0,($G145+(SUM($G224:L224)))*M$8)</f>
        <v>0</v>
      </c>
      <c r="N224" s="1341">
        <f>IF(COUNT($H224:M224)&gt;='RFM input'!$V$7,0,($G145+(SUM($G224:M224)))*N$8)</f>
        <v>0</v>
      </c>
      <c r="O224" s="1341">
        <f>IF(COUNT($H224:N224)&gt;='RFM input'!$V$7,0,($G145+(SUM($G224:N224)))*O$8)</f>
        <v>0</v>
      </c>
      <c r="P224" s="1341">
        <f>IF(COUNT($H224:O224)&gt;='RFM input'!$V$7,0,($G145+(SUM($G224:O224)))*P$8)</f>
        <v>0</v>
      </c>
      <c r="Q224" s="1341">
        <f>IF(COUNT($H224:P224)&gt;='RFM input'!$V$7,0,($G145+(SUM($G224:P224)))*Q$8)</f>
        <v>0</v>
      </c>
      <c r="R224" s="71"/>
      <c r="S224" s="71"/>
      <c r="T224" s="71"/>
      <c r="U224" s="71"/>
      <c r="V224" s="71"/>
      <c r="W224" s="71"/>
      <c r="X224" s="71"/>
      <c r="Y224" s="71"/>
      <c r="Z224" s="71"/>
      <c r="AA224" s="152"/>
    </row>
    <row r="225" spans="1:27" hidden="1" outlineLevel="1">
      <c r="A225" s="3"/>
      <c r="B225" s="29"/>
      <c r="C225" s="139" t="s">
        <v>24</v>
      </c>
      <c r="D225" s="3"/>
      <c r="E225" s="3"/>
      <c r="F225" s="91"/>
      <c r="G225" s="1359"/>
      <c r="H225" s="1341"/>
      <c r="I225" s="1363">
        <f>IF(COUNT($H224:I224)='RFM input'!$V$7,SUM($G224:I224),0)</f>
        <v>0</v>
      </c>
      <c r="J225" s="1363">
        <f>IF(COUNT($H224:J224)='RFM input'!$V$7,SUM($G224:J224),0)</f>
        <v>0</v>
      </c>
      <c r="K225" s="1363">
        <f>IF(COUNT($H224:K224)='RFM input'!$V$7,SUM($G224:K224),0)</f>
        <v>0</v>
      </c>
      <c r="L225" s="1341">
        <f>IF(COUNT($H224:L224)='RFM input'!$V$7,SUM($G224:L224),0)</f>
        <v>0</v>
      </c>
      <c r="M225" s="1341">
        <f>IF(COUNT($H224:M224)='RFM input'!$V$7,SUM($G224:M224),0)</f>
        <v>0</v>
      </c>
      <c r="N225" s="1341">
        <f>IF(COUNT($H224:N224)='RFM input'!$V$7,SUM($G224:N224),0)</f>
        <v>0</v>
      </c>
      <c r="O225" s="1341">
        <f>IF(COUNT($H224:O224)='RFM input'!$V$7,SUM($G224:O224),0)</f>
        <v>0</v>
      </c>
      <c r="P225" s="1341">
        <f>IF(COUNT($H224:P224)='RFM input'!$V$7,SUM($G224:P224),0)</f>
        <v>0</v>
      </c>
      <c r="Q225" s="1341">
        <f>IF(COUNT($H224:Q224)='RFM input'!$V$7,SUM($G224:Q224),0)</f>
        <v>0</v>
      </c>
      <c r="R225" s="71"/>
      <c r="S225" s="71"/>
      <c r="T225" s="71"/>
      <c r="U225" s="71"/>
      <c r="V225" s="71"/>
      <c r="W225" s="71"/>
      <c r="X225" s="71"/>
      <c r="Y225" s="71"/>
      <c r="Z225" s="71"/>
      <c r="AA225" s="152"/>
    </row>
    <row r="226" spans="1:27" hidden="1" outlineLevel="1">
      <c r="A226" s="3"/>
      <c r="B226" s="29"/>
      <c r="C226" s="139">
        <f>Asset29</f>
        <v>0</v>
      </c>
      <c r="D226" s="3"/>
      <c r="E226" s="3"/>
      <c r="F226" s="91"/>
      <c r="G226" s="1359"/>
      <c r="H226" s="1341">
        <f>($G146+(SUM($G226:G226)))*H$8</f>
        <v>0</v>
      </c>
      <c r="I226" s="1363">
        <f>($G146+(SUM($G226:H226)))*I$8</f>
        <v>0</v>
      </c>
      <c r="J226" s="1363">
        <f>IF(COUNT($H226:I226)&gt;='RFM input'!$V$7,0,($G146+(SUM($G226:I226)))*J$8)</f>
        <v>0</v>
      </c>
      <c r="K226" s="1363">
        <f>IF(COUNT($H226:J226)&gt;='RFM input'!$V$7,0,($G146+(SUM($G226:J226)))*K$8)</f>
        <v>0</v>
      </c>
      <c r="L226" s="1341">
        <f>IF(COUNT($H226:K226)&gt;='RFM input'!$V$7,0,($G146+(SUM($G226:K226)))*L$8)</f>
        <v>0</v>
      </c>
      <c r="M226" s="1341">
        <f>IF(COUNT($H226:L226)&gt;='RFM input'!$V$7,0,($G146+(SUM($G226:L226)))*M$8)</f>
        <v>0</v>
      </c>
      <c r="N226" s="1341">
        <f>IF(COUNT($H226:M226)&gt;='RFM input'!$V$7,0,($G146+(SUM($G226:M226)))*N$8)</f>
        <v>0</v>
      </c>
      <c r="O226" s="1341">
        <f>IF(COUNT($H226:N226)&gt;='RFM input'!$V$7,0,($G146+(SUM($G226:N226)))*O$8)</f>
        <v>0</v>
      </c>
      <c r="P226" s="1341">
        <f>IF(COUNT($H226:O226)&gt;='RFM input'!$V$7,0,($G146+(SUM($G226:O226)))*P$8)</f>
        <v>0</v>
      </c>
      <c r="Q226" s="1341">
        <f>IF(COUNT($H226:P226)&gt;='RFM input'!$V$7,0,($G146+(SUM($G226:P226)))*Q$8)</f>
        <v>0</v>
      </c>
      <c r="R226" s="71"/>
      <c r="S226" s="71"/>
      <c r="T226" s="71"/>
      <c r="U226" s="71"/>
      <c r="V226" s="71"/>
      <c r="W226" s="71"/>
      <c r="X226" s="71"/>
      <c r="Y226" s="71"/>
      <c r="Z226" s="71"/>
      <c r="AA226" s="152"/>
    </row>
    <row r="227" spans="1:27" hidden="1" outlineLevel="1">
      <c r="A227" s="3"/>
      <c r="B227" s="29"/>
      <c r="C227" s="139" t="s">
        <v>24</v>
      </c>
      <c r="D227" s="3"/>
      <c r="E227" s="3"/>
      <c r="F227" s="91"/>
      <c r="G227" s="1359"/>
      <c r="H227" s="1341"/>
      <c r="I227" s="1363">
        <f>IF(COUNT($H226:I226)='RFM input'!$V$7,SUM($G226:I226),0)</f>
        <v>0</v>
      </c>
      <c r="J227" s="1363">
        <f>IF(COUNT($H226:J226)='RFM input'!$V$7,SUM($G226:J226),0)</f>
        <v>0</v>
      </c>
      <c r="K227" s="1363">
        <f>IF(COUNT($H226:K226)='RFM input'!$V$7,SUM($G226:K226),0)</f>
        <v>0</v>
      </c>
      <c r="L227" s="1341">
        <f>IF(COUNT($H226:L226)='RFM input'!$V$7,SUM($G226:L226),0)</f>
        <v>0</v>
      </c>
      <c r="M227" s="1341">
        <f>IF(COUNT($H226:M226)='RFM input'!$V$7,SUM($G226:M226),0)</f>
        <v>0</v>
      </c>
      <c r="N227" s="1341">
        <f>IF(COUNT($H226:N226)='RFM input'!$V$7,SUM($G226:N226),0)</f>
        <v>0</v>
      </c>
      <c r="O227" s="1341">
        <f>IF(COUNT($H226:O226)='RFM input'!$V$7,SUM($G226:O226),0)</f>
        <v>0</v>
      </c>
      <c r="P227" s="1341">
        <f>IF(COUNT($H226:P226)='RFM input'!$V$7,SUM($G226:P226),0)</f>
        <v>0</v>
      </c>
      <c r="Q227" s="1341">
        <f>IF(COUNT($H226:Q226)='RFM input'!$V$7,SUM($G226:Q226),0)</f>
        <v>0</v>
      </c>
      <c r="R227" s="71"/>
      <c r="S227" s="71"/>
      <c r="T227" s="71"/>
      <c r="U227" s="71"/>
      <c r="V227" s="71"/>
      <c r="W227" s="71"/>
      <c r="X227" s="71"/>
      <c r="Y227" s="71"/>
      <c r="Z227" s="71"/>
      <c r="AA227" s="152"/>
    </row>
    <row r="228" spans="1:27" hidden="1" outlineLevel="1">
      <c r="A228" s="3"/>
      <c r="B228" s="29"/>
      <c r="C228" s="139">
        <f>Asset30</f>
        <v>0</v>
      </c>
      <c r="D228" s="3"/>
      <c r="E228" s="3"/>
      <c r="F228" s="91"/>
      <c r="G228" s="1359"/>
      <c r="H228" s="1341">
        <f>($G147+(SUM($G228:G228)))*H$8</f>
        <v>0</v>
      </c>
      <c r="I228" s="1363">
        <f>($G147+(SUM($G228:H228)))*I$8</f>
        <v>0</v>
      </c>
      <c r="J228" s="1363">
        <f>IF(COUNT($H228:I228)&gt;='RFM input'!$V$7,0,($G147+(SUM($G228:I228)))*J$8)</f>
        <v>0</v>
      </c>
      <c r="K228" s="1363">
        <f>IF(COUNT($H228:J228)&gt;='RFM input'!$V$7,0,($G147+(SUM($G228:J228)))*K$8)</f>
        <v>0</v>
      </c>
      <c r="L228" s="1341">
        <f>IF(COUNT($H228:K228)&gt;='RFM input'!$V$7,0,($G147+(SUM($G228:K228)))*L$8)</f>
        <v>0</v>
      </c>
      <c r="M228" s="1341">
        <f>IF(COUNT($H228:L228)&gt;='RFM input'!$V$7,0,($G147+(SUM($G228:L228)))*M$8)</f>
        <v>0</v>
      </c>
      <c r="N228" s="1341">
        <f>IF(COUNT($H228:M228)&gt;='RFM input'!$V$7,0,($G147+(SUM($G228:M228)))*N$8)</f>
        <v>0</v>
      </c>
      <c r="O228" s="1341">
        <f>IF(COUNT($H228:N228)&gt;='RFM input'!$V$7,0,($G147+(SUM($G228:N228)))*O$8)</f>
        <v>0</v>
      </c>
      <c r="P228" s="1341">
        <f>IF(COUNT($H228:O228)&gt;='RFM input'!$V$7,0,($G147+(SUM($G228:O228)))*P$8)</f>
        <v>0</v>
      </c>
      <c r="Q228" s="1341">
        <f>IF(COUNT($H228:P228)&gt;='RFM input'!$V$7,0,($G147+(SUM($G228:P228)))*Q$8)</f>
        <v>0</v>
      </c>
      <c r="R228" s="71"/>
      <c r="S228" s="71"/>
      <c r="T228" s="71"/>
      <c r="U228" s="71"/>
      <c r="V228" s="71"/>
      <c r="W228" s="71"/>
      <c r="X228" s="71"/>
      <c r="Y228" s="71"/>
      <c r="Z228" s="71"/>
      <c r="AA228" s="152"/>
    </row>
    <row r="229" spans="1:27" hidden="1" outlineLevel="1">
      <c r="A229" s="3"/>
      <c r="B229" s="29"/>
      <c r="C229" s="139" t="s">
        <v>24</v>
      </c>
      <c r="D229" s="3"/>
      <c r="E229" s="3"/>
      <c r="F229" s="91"/>
      <c r="G229" s="1359"/>
      <c r="H229" s="1341"/>
      <c r="I229" s="1363">
        <f>IF(COUNT($H228:I228)='RFM input'!$V$7,SUM($G228:I228),0)</f>
        <v>0</v>
      </c>
      <c r="J229" s="1363">
        <f>IF(COUNT($H228:J228)='RFM input'!$V$7,SUM($G228:J228),0)</f>
        <v>0</v>
      </c>
      <c r="K229" s="1363">
        <f>IF(COUNT($H228:K228)='RFM input'!$V$7,SUM($G228:K228),0)</f>
        <v>0</v>
      </c>
      <c r="L229" s="1341">
        <f>IF(COUNT($H228:L228)='RFM input'!$V$7,SUM($G228:L228),0)</f>
        <v>0</v>
      </c>
      <c r="M229" s="1341">
        <f>IF(COUNT($H228:M228)='RFM input'!$V$7,SUM($G228:M228),0)</f>
        <v>0</v>
      </c>
      <c r="N229" s="1341">
        <f>IF(COUNT($H228:N228)='RFM input'!$V$7,SUM($G228:N228),0)</f>
        <v>0</v>
      </c>
      <c r="O229" s="1341">
        <f>IF(COUNT($H228:O228)='RFM input'!$V$7,SUM($G228:O228),0)</f>
        <v>0</v>
      </c>
      <c r="P229" s="1341">
        <f>IF(COUNT($H228:P228)='RFM input'!$V$7,SUM($G228:P228),0)</f>
        <v>0</v>
      </c>
      <c r="Q229" s="1341">
        <f>IF(COUNT($H228:Q228)='RFM input'!$V$7,SUM($G228:Q228),0)</f>
        <v>0</v>
      </c>
      <c r="R229" s="71"/>
      <c r="S229" s="71"/>
      <c r="T229" s="71"/>
      <c r="U229" s="71"/>
      <c r="V229" s="71"/>
      <c r="W229" s="71"/>
      <c r="X229" s="71"/>
      <c r="Y229" s="71"/>
      <c r="Z229" s="71"/>
      <c r="AA229" s="152"/>
    </row>
    <row r="230" spans="1:27" hidden="1" outlineLevel="1">
      <c r="A230" s="3"/>
      <c r="B230" s="29"/>
      <c r="C230" s="139">
        <f>Asset31</f>
        <v>0</v>
      </c>
      <c r="D230" s="3"/>
      <c r="E230" s="3"/>
      <c r="F230" s="91"/>
      <c r="G230" s="1359"/>
      <c r="H230" s="1341">
        <f>($G148+(SUM($G230:G230)))*H$8</f>
        <v>0</v>
      </c>
      <c r="I230" s="1363">
        <f>($G148+(SUM($G230:H230)))*I$8</f>
        <v>0</v>
      </c>
      <c r="J230" s="1363">
        <f>IF(COUNT($H230:I230)&gt;='RFM input'!$V$7,0,($G148+(SUM($G230:I230)))*J$8)</f>
        <v>0</v>
      </c>
      <c r="K230" s="1363">
        <f>IF(COUNT($H230:J230)&gt;='RFM input'!$V$7,0,($G148+(SUM($G230:J230)))*K$8)</f>
        <v>0</v>
      </c>
      <c r="L230" s="1341">
        <f>IF(COUNT($H230:K230)&gt;='RFM input'!$V$7,0,($G148+(SUM($G230:K230)))*L$8)</f>
        <v>0</v>
      </c>
      <c r="M230" s="1341">
        <f>IF(COUNT($H230:L230)&gt;='RFM input'!$V$7,0,($G148+(SUM($G230:L230)))*M$8)</f>
        <v>0</v>
      </c>
      <c r="N230" s="1341">
        <f>IF(COUNT($H230:M230)&gt;='RFM input'!$V$7,0,($G148+(SUM($G230:M230)))*N$8)</f>
        <v>0</v>
      </c>
      <c r="O230" s="1341">
        <f>IF(COUNT($H230:N230)&gt;='RFM input'!$V$7,0,($G148+(SUM($G230:N230)))*O$8)</f>
        <v>0</v>
      </c>
      <c r="P230" s="1341">
        <f>IF(COUNT($H230:O230)&gt;='RFM input'!$V$7,0,($G148+(SUM($G230:O230)))*P$8)</f>
        <v>0</v>
      </c>
      <c r="Q230" s="1341">
        <f>IF(COUNT($H230:P230)&gt;='RFM input'!$V$7,0,($G148+(SUM($G230:P230)))*Q$8)</f>
        <v>0</v>
      </c>
      <c r="R230" s="71"/>
      <c r="S230" s="71"/>
      <c r="T230" s="71"/>
      <c r="U230" s="71"/>
      <c r="V230" s="71"/>
      <c r="W230" s="71"/>
      <c r="X230" s="71"/>
      <c r="Y230" s="71"/>
      <c r="Z230" s="71"/>
      <c r="AA230" s="152"/>
    </row>
    <row r="231" spans="1:27" hidden="1" outlineLevel="1">
      <c r="A231" s="3"/>
      <c r="B231" s="29"/>
      <c r="C231" s="139" t="s">
        <v>24</v>
      </c>
      <c r="D231" s="3"/>
      <c r="E231" s="3"/>
      <c r="F231" s="91"/>
      <c r="G231" s="1359"/>
      <c r="H231" s="1341"/>
      <c r="I231" s="1363">
        <f>IF(COUNT($H230:I230)='RFM input'!$V$7,SUM($G230:I230),0)</f>
        <v>0</v>
      </c>
      <c r="J231" s="1363">
        <f>IF(COUNT($H230:J230)='RFM input'!$V$7,SUM($G230:J230),0)</f>
        <v>0</v>
      </c>
      <c r="K231" s="1363">
        <f>IF(COUNT($H230:K230)='RFM input'!$V$7,SUM($G230:K230),0)</f>
        <v>0</v>
      </c>
      <c r="L231" s="1341">
        <f>IF(COUNT($H230:L230)='RFM input'!$V$7,SUM($G230:L230),0)</f>
        <v>0</v>
      </c>
      <c r="M231" s="1341">
        <f>IF(COUNT($H230:M230)='RFM input'!$V$7,SUM($G230:M230),0)</f>
        <v>0</v>
      </c>
      <c r="N231" s="1341">
        <f>IF(COUNT($H230:N230)='RFM input'!$V$7,SUM($G230:N230),0)</f>
        <v>0</v>
      </c>
      <c r="O231" s="1341">
        <f>IF(COUNT($H230:O230)='RFM input'!$V$7,SUM($G230:O230),0)</f>
        <v>0</v>
      </c>
      <c r="P231" s="1341">
        <f>IF(COUNT($H230:P230)='RFM input'!$V$7,SUM($G230:P230),0)</f>
        <v>0</v>
      </c>
      <c r="Q231" s="1341">
        <f>IF(COUNT($H230:Q230)='RFM input'!$V$7,SUM($G230:Q230),0)</f>
        <v>0</v>
      </c>
      <c r="R231" s="71"/>
      <c r="S231" s="71"/>
      <c r="T231" s="71"/>
      <c r="U231" s="71"/>
      <c r="V231" s="71"/>
      <c r="W231" s="71"/>
      <c r="X231" s="71"/>
      <c r="Y231" s="71"/>
      <c r="Z231" s="71"/>
      <c r="AA231" s="152"/>
    </row>
    <row r="232" spans="1:27" hidden="1" outlineLevel="1">
      <c r="A232" s="3"/>
      <c r="B232" s="29"/>
      <c r="C232" s="139">
        <f>Asset32</f>
        <v>0</v>
      </c>
      <c r="D232" s="3"/>
      <c r="E232" s="3"/>
      <c r="F232" s="91"/>
      <c r="G232" s="1359"/>
      <c r="H232" s="1341">
        <f>($G149+(SUM($G232:G232)))*H$8</f>
        <v>0</v>
      </c>
      <c r="I232" s="1363">
        <f>($G149+(SUM($G232:H232)))*I$8</f>
        <v>0</v>
      </c>
      <c r="J232" s="1363">
        <f>IF(COUNT($H232:I232)&gt;='RFM input'!$V$7,0,($G149+(SUM($G232:I232)))*J$8)</f>
        <v>0</v>
      </c>
      <c r="K232" s="1363">
        <f>IF(COUNT($H232:J232)&gt;='RFM input'!$V$7,0,($G149+(SUM($G232:J232)))*K$8)</f>
        <v>0</v>
      </c>
      <c r="L232" s="1341">
        <f>IF(COUNT($H232:K232)&gt;='RFM input'!$V$7,0,($G149+(SUM($G232:K232)))*L$8)</f>
        <v>0</v>
      </c>
      <c r="M232" s="1341">
        <f>IF(COUNT($H232:L232)&gt;='RFM input'!$V$7,0,($G149+(SUM($G232:L232)))*M$8)</f>
        <v>0</v>
      </c>
      <c r="N232" s="1341">
        <f>IF(COUNT($H232:M232)&gt;='RFM input'!$V$7,0,($G149+(SUM($G232:M232)))*N$8)</f>
        <v>0</v>
      </c>
      <c r="O232" s="1341">
        <f>IF(COUNT($H232:N232)&gt;='RFM input'!$V$7,0,($G149+(SUM($G232:N232)))*O$8)</f>
        <v>0</v>
      </c>
      <c r="P232" s="1341">
        <f>IF(COUNT($H232:O232)&gt;='RFM input'!$V$7,0,($G149+(SUM($G232:O232)))*P$8)</f>
        <v>0</v>
      </c>
      <c r="Q232" s="1341">
        <f>IF(COUNT($H232:P232)&gt;='RFM input'!$V$7,0,($G149+(SUM($G232:P232)))*Q$8)</f>
        <v>0</v>
      </c>
      <c r="R232" s="71"/>
      <c r="S232" s="71"/>
      <c r="T232" s="71"/>
      <c r="U232" s="71"/>
      <c r="V232" s="71"/>
      <c r="W232" s="71"/>
      <c r="X232" s="71"/>
      <c r="Y232" s="71"/>
      <c r="Z232" s="71"/>
      <c r="AA232" s="152"/>
    </row>
    <row r="233" spans="1:27" hidden="1" outlineLevel="1">
      <c r="A233" s="3"/>
      <c r="B233" s="29"/>
      <c r="C233" s="139" t="s">
        <v>24</v>
      </c>
      <c r="D233" s="3"/>
      <c r="E233" s="3"/>
      <c r="F233" s="91"/>
      <c r="G233" s="1359"/>
      <c r="H233" s="1341"/>
      <c r="I233" s="1363">
        <f>IF(COUNT($H232:I232)='RFM input'!$V$7,SUM($G232:I232),0)</f>
        <v>0</v>
      </c>
      <c r="J233" s="1363">
        <f>IF(COUNT($H232:J232)='RFM input'!$V$7,SUM($G232:J232),0)</f>
        <v>0</v>
      </c>
      <c r="K233" s="1363">
        <f>IF(COUNT($H232:K232)='RFM input'!$V$7,SUM($G232:K232),0)</f>
        <v>0</v>
      </c>
      <c r="L233" s="1341">
        <f>IF(COUNT($H232:L232)='RFM input'!$V$7,SUM($G232:L232),0)</f>
        <v>0</v>
      </c>
      <c r="M233" s="1341">
        <f>IF(COUNT($H232:M232)='RFM input'!$V$7,SUM($G232:M232),0)</f>
        <v>0</v>
      </c>
      <c r="N233" s="1341">
        <f>IF(COUNT($H232:N232)='RFM input'!$V$7,SUM($G232:N232),0)</f>
        <v>0</v>
      </c>
      <c r="O233" s="1341">
        <f>IF(COUNT($H232:O232)='RFM input'!$V$7,SUM($G232:O232),0)</f>
        <v>0</v>
      </c>
      <c r="P233" s="1341">
        <f>IF(COUNT($H232:P232)='RFM input'!$V$7,SUM($G232:P232),0)</f>
        <v>0</v>
      </c>
      <c r="Q233" s="1341">
        <f>IF(COUNT($H232:Q232)='RFM input'!$V$7,SUM($G232:Q232),0)</f>
        <v>0</v>
      </c>
      <c r="R233" s="71"/>
      <c r="S233" s="71"/>
      <c r="T233" s="71"/>
      <c r="U233" s="71"/>
      <c r="V233" s="71"/>
      <c r="W233" s="71"/>
      <c r="X233" s="71"/>
      <c r="Y233" s="71"/>
      <c r="Z233" s="71"/>
      <c r="AA233" s="152"/>
    </row>
    <row r="234" spans="1:27" hidden="1" outlineLevel="1">
      <c r="A234" s="3"/>
      <c r="B234" s="29"/>
      <c r="C234" s="139">
        <f>Asset33</f>
        <v>0</v>
      </c>
      <c r="D234" s="3"/>
      <c r="E234" s="3"/>
      <c r="F234" s="91"/>
      <c r="G234" s="1359"/>
      <c r="H234" s="1341">
        <f>($G150+(SUM($G234:G234)))*H$8</f>
        <v>0</v>
      </c>
      <c r="I234" s="1363">
        <f>($G150+(SUM($G234:H234)))*I$8</f>
        <v>0</v>
      </c>
      <c r="J234" s="1363">
        <f>IF(COUNT($H234:I234)&gt;='RFM input'!$V$7,0,($G150+(SUM($G234:I234)))*J$8)</f>
        <v>0</v>
      </c>
      <c r="K234" s="1363">
        <f>IF(COUNT($H234:J234)&gt;='RFM input'!$V$7,0,($G150+(SUM($G234:J234)))*K$8)</f>
        <v>0</v>
      </c>
      <c r="L234" s="1341">
        <f>IF(COUNT($H234:K234)&gt;='RFM input'!$V$7,0,($G150+(SUM($G234:K234)))*L$8)</f>
        <v>0</v>
      </c>
      <c r="M234" s="1341">
        <f>IF(COUNT($H234:L234)&gt;='RFM input'!$V$7,0,($G150+(SUM($G234:L234)))*M$8)</f>
        <v>0</v>
      </c>
      <c r="N234" s="1341">
        <f>IF(COUNT($H234:M234)&gt;='RFM input'!$V$7,0,($G150+(SUM($G234:M234)))*N$8)</f>
        <v>0</v>
      </c>
      <c r="O234" s="1341">
        <f>IF(COUNT($H234:N234)&gt;='RFM input'!$V$7,0,($G150+(SUM($G234:N234)))*O$8)</f>
        <v>0</v>
      </c>
      <c r="P234" s="1341">
        <f>IF(COUNT($H234:O234)&gt;='RFM input'!$V$7,0,($G150+(SUM($G234:O234)))*P$8)</f>
        <v>0</v>
      </c>
      <c r="Q234" s="1341">
        <f>IF(COUNT($H234:P234)&gt;='RFM input'!$V$7,0,($G150+(SUM($G234:P234)))*Q$8)</f>
        <v>0</v>
      </c>
      <c r="R234" s="71"/>
      <c r="S234" s="71"/>
      <c r="T234" s="71"/>
      <c r="U234" s="71"/>
      <c r="V234" s="71"/>
      <c r="W234" s="71"/>
      <c r="X234" s="71"/>
      <c r="Y234" s="71"/>
      <c r="Z234" s="71"/>
      <c r="AA234" s="152"/>
    </row>
    <row r="235" spans="1:27" hidden="1" outlineLevel="1">
      <c r="A235" s="3"/>
      <c r="B235" s="29"/>
      <c r="C235" s="139" t="s">
        <v>24</v>
      </c>
      <c r="D235" s="3"/>
      <c r="E235" s="3"/>
      <c r="F235" s="91"/>
      <c r="G235" s="1359"/>
      <c r="H235" s="1341"/>
      <c r="I235" s="1363">
        <f>IF(COUNT($H234:I234)='RFM input'!$V$7,SUM($G234:I234),0)</f>
        <v>0</v>
      </c>
      <c r="J235" s="1363">
        <f>IF(COUNT($H234:J234)='RFM input'!$V$7,SUM($G234:J234),0)</f>
        <v>0</v>
      </c>
      <c r="K235" s="1363">
        <f>IF(COUNT($H234:K234)='RFM input'!$V$7,SUM($G234:K234),0)</f>
        <v>0</v>
      </c>
      <c r="L235" s="1341">
        <f>IF(COUNT($H234:L234)='RFM input'!$V$7,SUM($G234:L234),0)</f>
        <v>0</v>
      </c>
      <c r="M235" s="1341">
        <f>IF(COUNT($H234:M234)='RFM input'!$V$7,SUM($G234:M234),0)</f>
        <v>0</v>
      </c>
      <c r="N235" s="1341">
        <f>IF(COUNT($H234:N234)='RFM input'!$V$7,SUM($G234:N234),0)</f>
        <v>0</v>
      </c>
      <c r="O235" s="1341">
        <f>IF(COUNT($H234:O234)='RFM input'!$V$7,SUM($G234:O234),0)</f>
        <v>0</v>
      </c>
      <c r="P235" s="1341">
        <f>IF(COUNT($H234:P234)='RFM input'!$V$7,SUM($G234:P234),0)</f>
        <v>0</v>
      </c>
      <c r="Q235" s="1341">
        <f>IF(COUNT($H234:Q234)='RFM input'!$V$7,SUM($G234:Q234),0)</f>
        <v>0</v>
      </c>
      <c r="R235" s="71"/>
      <c r="S235" s="71"/>
      <c r="T235" s="71"/>
      <c r="U235" s="71"/>
      <c r="V235" s="71"/>
      <c r="W235" s="71"/>
      <c r="X235" s="71"/>
      <c r="Y235" s="71"/>
      <c r="Z235" s="71"/>
      <c r="AA235" s="152"/>
    </row>
    <row r="236" spans="1:27" hidden="1" outlineLevel="1">
      <c r="A236" s="3"/>
      <c r="B236" s="29"/>
      <c r="C236" s="139">
        <f>Asset34</f>
        <v>0</v>
      </c>
      <c r="D236" s="3"/>
      <c r="E236" s="3"/>
      <c r="F236" s="91"/>
      <c r="G236" s="1359"/>
      <c r="H236" s="1341">
        <f>($G151+(SUM($G236:G236)))*H$8</f>
        <v>0</v>
      </c>
      <c r="I236" s="1363">
        <f>($G151+(SUM($G236:H236)))*I$8</f>
        <v>0</v>
      </c>
      <c r="J236" s="1363">
        <f>IF(COUNT($H236:I236)&gt;='RFM input'!$V$7,0,($G151+(SUM($G236:I236)))*J$8)</f>
        <v>0</v>
      </c>
      <c r="K236" s="1363">
        <f>IF(COUNT($H236:J236)&gt;='RFM input'!$V$7,0,($G151+(SUM($G236:J236)))*K$8)</f>
        <v>0</v>
      </c>
      <c r="L236" s="1341">
        <f>IF(COUNT($H236:K236)&gt;='RFM input'!$V$7,0,($G151+(SUM($G236:K236)))*L$8)</f>
        <v>0</v>
      </c>
      <c r="M236" s="1341">
        <f>IF(COUNT($H236:L236)&gt;='RFM input'!$V$7,0,($G151+(SUM($G236:L236)))*M$8)</f>
        <v>0</v>
      </c>
      <c r="N236" s="1341">
        <f>IF(COUNT($H236:M236)&gt;='RFM input'!$V$7,0,($G151+(SUM($G236:M236)))*N$8)</f>
        <v>0</v>
      </c>
      <c r="O236" s="1341">
        <f>IF(COUNT($H236:N236)&gt;='RFM input'!$V$7,0,($G151+(SUM($G236:N236)))*O$8)</f>
        <v>0</v>
      </c>
      <c r="P236" s="1341">
        <f>IF(COUNT($H236:O236)&gt;='RFM input'!$V$7,0,($G151+(SUM($G236:O236)))*P$8)</f>
        <v>0</v>
      </c>
      <c r="Q236" s="1341">
        <f>IF(COUNT($H236:P236)&gt;='RFM input'!$V$7,0,($G151+(SUM($G236:P236)))*Q$8)</f>
        <v>0</v>
      </c>
      <c r="R236" s="71"/>
      <c r="S236" s="71"/>
      <c r="T236" s="71"/>
      <c r="U236" s="71"/>
      <c r="V236" s="71"/>
      <c r="W236" s="71"/>
      <c r="X236" s="71"/>
      <c r="Y236" s="71"/>
      <c r="Z236" s="71"/>
      <c r="AA236" s="152"/>
    </row>
    <row r="237" spans="1:27" hidden="1" outlineLevel="1">
      <c r="A237" s="3"/>
      <c r="B237" s="29"/>
      <c r="C237" s="139" t="s">
        <v>24</v>
      </c>
      <c r="D237" s="3"/>
      <c r="E237" s="3"/>
      <c r="F237" s="91"/>
      <c r="G237" s="1359"/>
      <c r="H237" s="1341"/>
      <c r="I237" s="1363">
        <f>IF(COUNT($H236:I236)='RFM input'!$V$7,SUM($G236:I236),0)</f>
        <v>0</v>
      </c>
      <c r="J237" s="1363">
        <f>IF(COUNT($H236:J236)='RFM input'!$V$7,SUM($G236:J236),0)</f>
        <v>0</v>
      </c>
      <c r="K237" s="1363">
        <f>IF(COUNT($H236:K236)='RFM input'!$V$7,SUM($G236:K236),0)</f>
        <v>0</v>
      </c>
      <c r="L237" s="1341">
        <f>IF(COUNT($H236:L236)='RFM input'!$V$7,SUM($G236:L236),0)</f>
        <v>0</v>
      </c>
      <c r="M237" s="1341">
        <f>IF(COUNT($H236:M236)='RFM input'!$V$7,SUM($G236:M236),0)</f>
        <v>0</v>
      </c>
      <c r="N237" s="1341">
        <f>IF(COUNT($H236:N236)='RFM input'!$V$7,SUM($G236:N236),0)</f>
        <v>0</v>
      </c>
      <c r="O237" s="1341">
        <f>IF(COUNT($H236:O236)='RFM input'!$V$7,SUM($G236:O236),0)</f>
        <v>0</v>
      </c>
      <c r="P237" s="1341">
        <f>IF(COUNT($H236:P236)='RFM input'!$V$7,SUM($G236:P236),0)</f>
        <v>0</v>
      </c>
      <c r="Q237" s="1341">
        <f>IF(COUNT($H236:Q236)='RFM input'!$V$7,SUM($G236:Q236),0)</f>
        <v>0</v>
      </c>
      <c r="R237" s="71"/>
      <c r="S237" s="71"/>
      <c r="T237" s="71"/>
      <c r="U237" s="71"/>
      <c r="V237" s="71"/>
      <c r="W237" s="71"/>
      <c r="X237" s="71"/>
      <c r="Y237" s="71"/>
      <c r="Z237" s="71"/>
      <c r="AA237" s="152"/>
    </row>
    <row r="238" spans="1:27" hidden="1" outlineLevel="1">
      <c r="A238" s="3"/>
      <c r="B238" s="29"/>
      <c r="C238" s="139">
        <f>Asset35</f>
        <v>0</v>
      </c>
      <c r="D238" s="3"/>
      <c r="E238" s="3"/>
      <c r="F238" s="91"/>
      <c r="G238" s="1359"/>
      <c r="H238" s="1341">
        <f>($G152+(SUM($G238:G238)))*H$8</f>
        <v>0</v>
      </c>
      <c r="I238" s="1363">
        <f>($G152+(SUM($G238:H238)))*I$8</f>
        <v>0</v>
      </c>
      <c r="J238" s="1363">
        <f>IF(COUNT($H238:I238)&gt;='RFM input'!$V$7,0,($G152+(SUM($G238:I238)))*J$8)</f>
        <v>0</v>
      </c>
      <c r="K238" s="1363">
        <f>IF(COUNT($H238:J238)&gt;='RFM input'!$V$7,0,($G152+(SUM($G238:J238)))*K$8)</f>
        <v>0</v>
      </c>
      <c r="L238" s="1341">
        <f>IF(COUNT($H238:K238)&gt;='RFM input'!$V$7,0,($G152+(SUM($G238:K238)))*L$8)</f>
        <v>0</v>
      </c>
      <c r="M238" s="1341">
        <f>IF(COUNT($H238:L238)&gt;='RFM input'!$V$7,0,($G152+(SUM($G238:L238)))*M$8)</f>
        <v>0</v>
      </c>
      <c r="N238" s="1341">
        <f>IF(COUNT($H238:M238)&gt;='RFM input'!$V$7,0,($G152+(SUM($G238:M238)))*N$8)</f>
        <v>0</v>
      </c>
      <c r="O238" s="1341">
        <f>IF(COUNT($H238:N238)&gt;='RFM input'!$V$7,0,($G152+(SUM($G238:N238)))*O$8)</f>
        <v>0</v>
      </c>
      <c r="P238" s="1341">
        <f>IF(COUNT($H238:O238)&gt;='RFM input'!$V$7,0,($G152+(SUM($G238:O238)))*P$8)</f>
        <v>0</v>
      </c>
      <c r="Q238" s="1341">
        <f>IF(COUNT($H238:P238)&gt;='RFM input'!$V$7,0,($G152+(SUM($G238:P238)))*Q$8)</f>
        <v>0</v>
      </c>
      <c r="R238" s="71"/>
      <c r="S238" s="71"/>
      <c r="T238" s="71"/>
      <c r="U238" s="71"/>
      <c r="V238" s="71"/>
      <c r="W238" s="71"/>
      <c r="X238" s="71"/>
      <c r="Y238" s="71"/>
      <c r="Z238" s="71"/>
      <c r="AA238" s="152"/>
    </row>
    <row r="239" spans="1:27" hidden="1" outlineLevel="1">
      <c r="A239" s="3"/>
      <c r="B239" s="29"/>
      <c r="C239" s="139" t="s">
        <v>24</v>
      </c>
      <c r="D239" s="3"/>
      <c r="E239" s="3"/>
      <c r="F239" s="91"/>
      <c r="G239" s="1359"/>
      <c r="H239" s="1341"/>
      <c r="I239" s="1363">
        <f>IF(COUNT($H238:I238)='RFM input'!$V$7,SUM($G238:I238),0)</f>
        <v>0</v>
      </c>
      <c r="J239" s="1363">
        <f>IF(COUNT($H238:J238)='RFM input'!$V$7,SUM($G238:J238),0)</f>
        <v>0</v>
      </c>
      <c r="K239" s="1363">
        <f>IF(COUNT($H238:K238)='RFM input'!$V$7,SUM($G238:K238),0)</f>
        <v>0</v>
      </c>
      <c r="L239" s="1341">
        <f>IF(COUNT($H238:L238)='RFM input'!$V$7,SUM($G238:L238),0)</f>
        <v>0</v>
      </c>
      <c r="M239" s="1341">
        <f>IF(COUNT($H238:M238)='RFM input'!$V$7,SUM($G238:M238),0)</f>
        <v>0</v>
      </c>
      <c r="N239" s="1341">
        <f>IF(COUNT($H238:N238)='RFM input'!$V$7,SUM($G238:N238),0)</f>
        <v>0</v>
      </c>
      <c r="O239" s="1341">
        <f>IF(COUNT($H238:O238)='RFM input'!$V$7,SUM($G238:O238),0)</f>
        <v>0</v>
      </c>
      <c r="P239" s="1341">
        <f>IF(COUNT($H238:P238)='RFM input'!$V$7,SUM($G238:P238),0)</f>
        <v>0</v>
      </c>
      <c r="Q239" s="1341">
        <f>IF(COUNT($H238:Q238)='RFM input'!$V$7,SUM($G238:Q238),0)</f>
        <v>0</v>
      </c>
      <c r="R239" s="71"/>
      <c r="S239" s="71"/>
      <c r="T239" s="71"/>
      <c r="U239" s="71"/>
      <c r="V239" s="71"/>
      <c r="W239" s="71"/>
      <c r="X239" s="71"/>
      <c r="Y239" s="71"/>
      <c r="Z239" s="71"/>
      <c r="AA239" s="152"/>
    </row>
    <row r="240" spans="1:27" hidden="1" outlineLevel="1">
      <c r="A240" s="3"/>
      <c r="B240" s="29"/>
      <c r="C240" s="139">
        <f>Asset36</f>
        <v>0</v>
      </c>
      <c r="D240" s="3"/>
      <c r="E240" s="3"/>
      <c r="F240" s="91"/>
      <c r="G240" s="1359"/>
      <c r="H240" s="1341">
        <f>($G153+(SUM($G240:G240)))*H$8</f>
        <v>0</v>
      </c>
      <c r="I240" s="1363">
        <f>($G153+(SUM($G240:H240)))*I$8</f>
        <v>0</v>
      </c>
      <c r="J240" s="1363">
        <f>IF(COUNT($H240:I240)&gt;='RFM input'!$V$7,0,($G153+(SUM($G240:I240)))*J$8)</f>
        <v>0</v>
      </c>
      <c r="K240" s="1363">
        <f>IF(COUNT($H240:J240)&gt;='RFM input'!$V$7,0,($G153+(SUM($G240:J240)))*K$8)</f>
        <v>0</v>
      </c>
      <c r="L240" s="1341">
        <f>IF(COUNT($H240:K240)&gt;='RFM input'!$V$7,0,($G153+(SUM($G240:K240)))*L$8)</f>
        <v>0</v>
      </c>
      <c r="M240" s="1341">
        <f>IF(COUNT($H240:L240)&gt;='RFM input'!$V$7,0,($G153+(SUM($G240:L240)))*M$8)</f>
        <v>0</v>
      </c>
      <c r="N240" s="1341">
        <f>IF(COUNT($H240:M240)&gt;='RFM input'!$V$7,0,($G153+(SUM($G240:M240)))*N$8)</f>
        <v>0</v>
      </c>
      <c r="O240" s="1341">
        <f>IF(COUNT($H240:N240)&gt;='RFM input'!$V$7,0,($G153+(SUM($G240:N240)))*O$8)</f>
        <v>0</v>
      </c>
      <c r="P240" s="1341">
        <f>IF(COUNT($H240:O240)&gt;='RFM input'!$V$7,0,($G153+(SUM($G240:O240)))*P$8)</f>
        <v>0</v>
      </c>
      <c r="Q240" s="1341">
        <f>IF(COUNT($H240:P240)&gt;='RFM input'!$V$7,0,($G153+(SUM($G240:P240)))*Q$8)</f>
        <v>0</v>
      </c>
      <c r="R240" s="71"/>
      <c r="S240" s="71"/>
      <c r="T240" s="71"/>
      <c r="U240" s="71"/>
      <c r="V240" s="71"/>
      <c r="W240" s="71"/>
      <c r="X240" s="71"/>
      <c r="Y240" s="71"/>
      <c r="Z240" s="71"/>
      <c r="AA240" s="152"/>
    </row>
    <row r="241" spans="1:27" hidden="1" outlineLevel="1">
      <c r="A241" s="3"/>
      <c r="B241" s="29"/>
      <c r="C241" s="139" t="s">
        <v>24</v>
      </c>
      <c r="D241" s="3"/>
      <c r="E241" s="3"/>
      <c r="F241" s="91"/>
      <c r="G241" s="1359"/>
      <c r="H241" s="1341"/>
      <c r="I241" s="1363">
        <f>IF(COUNT($H240:I240)='RFM input'!$V$7,SUM($G240:I240),0)</f>
        <v>0</v>
      </c>
      <c r="J241" s="1363">
        <f>IF(COUNT($H240:J240)='RFM input'!$V$7,SUM($G240:J240),0)</f>
        <v>0</v>
      </c>
      <c r="K241" s="1363">
        <f>IF(COUNT($H240:K240)='RFM input'!$V$7,SUM($G240:K240),0)</f>
        <v>0</v>
      </c>
      <c r="L241" s="1341">
        <f>IF(COUNT($H240:L240)='RFM input'!$V$7,SUM($G240:L240),0)</f>
        <v>0</v>
      </c>
      <c r="M241" s="1341">
        <f>IF(COUNT($H240:M240)='RFM input'!$V$7,SUM($G240:M240),0)</f>
        <v>0</v>
      </c>
      <c r="N241" s="1341">
        <f>IF(COUNT($H240:N240)='RFM input'!$V$7,SUM($G240:N240),0)</f>
        <v>0</v>
      </c>
      <c r="O241" s="1341">
        <f>IF(COUNT($H240:O240)='RFM input'!$V$7,SUM($G240:O240),0)</f>
        <v>0</v>
      </c>
      <c r="P241" s="1341">
        <f>IF(COUNT($H240:P240)='RFM input'!$V$7,SUM($G240:P240),0)</f>
        <v>0</v>
      </c>
      <c r="Q241" s="1341">
        <f>IF(COUNT($H240:Q240)='RFM input'!$V$7,SUM($G240:Q240),0)</f>
        <v>0</v>
      </c>
      <c r="R241" s="71"/>
      <c r="S241" s="71"/>
      <c r="T241" s="71"/>
      <c r="U241" s="71"/>
      <c r="V241" s="71"/>
      <c r="W241" s="71"/>
      <c r="X241" s="71"/>
      <c r="Y241" s="71"/>
      <c r="Z241" s="71"/>
      <c r="AA241" s="152"/>
    </row>
    <row r="242" spans="1:27" hidden="1" outlineLevel="1">
      <c r="A242" s="3"/>
      <c r="B242" s="29"/>
      <c r="C242" s="139">
        <f>Asset37</f>
        <v>0</v>
      </c>
      <c r="D242" s="3"/>
      <c r="E242" s="3"/>
      <c r="F242" s="91"/>
      <c r="G242" s="1359"/>
      <c r="H242" s="1341">
        <f>($G154+(SUM($G242:G242)))*H$8</f>
        <v>0</v>
      </c>
      <c r="I242" s="1363">
        <f>($G154+(SUM($G242:H242)))*I$8</f>
        <v>0</v>
      </c>
      <c r="J242" s="1363">
        <f>IF(COUNT($H242:I242)&gt;='RFM input'!$V$7,0,($G154+(SUM($G242:I242)))*J$8)</f>
        <v>0</v>
      </c>
      <c r="K242" s="1363">
        <f>IF(COUNT($H242:J242)&gt;='RFM input'!$V$7,0,($G154+(SUM($G242:J242)))*K$8)</f>
        <v>0</v>
      </c>
      <c r="L242" s="1341">
        <f>IF(COUNT($H242:K242)&gt;='RFM input'!$V$7,0,($G154+(SUM($G242:K242)))*L$8)</f>
        <v>0</v>
      </c>
      <c r="M242" s="1341">
        <f>IF(COUNT($H242:L242)&gt;='RFM input'!$V$7,0,($G154+(SUM($G242:L242)))*M$8)</f>
        <v>0</v>
      </c>
      <c r="N242" s="1341">
        <f>IF(COUNT($H242:M242)&gt;='RFM input'!$V$7,0,($G154+(SUM($G242:M242)))*N$8)</f>
        <v>0</v>
      </c>
      <c r="O242" s="1341">
        <f>IF(COUNT($H242:N242)&gt;='RFM input'!$V$7,0,($G154+(SUM($G242:N242)))*O$8)</f>
        <v>0</v>
      </c>
      <c r="P242" s="1341">
        <f>IF(COUNT($H242:O242)&gt;='RFM input'!$V$7,0,($G154+(SUM($G242:O242)))*P$8)</f>
        <v>0</v>
      </c>
      <c r="Q242" s="1341">
        <f>IF(COUNT($H242:P242)&gt;='RFM input'!$V$7,0,($G154+(SUM($G242:P242)))*Q$8)</f>
        <v>0</v>
      </c>
      <c r="R242" s="71"/>
      <c r="S242" s="71"/>
      <c r="T242" s="71"/>
      <c r="U242" s="71"/>
      <c r="V242" s="71"/>
      <c r="W242" s="71"/>
      <c r="X242" s="71"/>
      <c r="Y242" s="71"/>
      <c r="Z242" s="71"/>
      <c r="AA242" s="152"/>
    </row>
    <row r="243" spans="1:27" hidden="1" outlineLevel="1">
      <c r="A243" s="3"/>
      <c r="B243" s="29"/>
      <c r="C243" s="139" t="s">
        <v>24</v>
      </c>
      <c r="D243" s="3"/>
      <c r="E243" s="3"/>
      <c r="F243" s="91"/>
      <c r="G243" s="1359"/>
      <c r="H243" s="1341"/>
      <c r="I243" s="1363">
        <f>IF(COUNT($H242:I242)='RFM input'!$V$7,SUM($G242:I242),0)</f>
        <v>0</v>
      </c>
      <c r="J243" s="1363">
        <f>IF(COUNT($H242:J242)='RFM input'!$V$7,SUM($G242:J242),0)</f>
        <v>0</v>
      </c>
      <c r="K243" s="1363">
        <f>IF(COUNT($H242:K242)='RFM input'!$V$7,SUM($G242:K242),0)</f>
        <v>0</v>
      </c>
      <c r="L243" s="1341">
        <f>IF(COUNT($H242:L242)='RFM input'!$V$7,SUM($G242:L242),0)</f>
        <v>0</v>
      </c>
      <c r="M243" s="1341">
        <f>IF(COUNT($H242:M242)='RFM input'!$V$7,SUM($G242:M242),0)</f>
        <v>0</v>
      </c>
      <c r="N243" s="1341">
        <f>IF(COUNT($H242:N242)='RFM input'!$V$7,SUM($G242:N242),0)</f>
        <v>0</v>
      </c>
      <c r="O243" s="1341">
        <f>IF(COUNT($H242:O242)='RFM input'!$V$7,SUM($G242:O242),0)</f>
        <v>0</v>
      </c>
      <c r="P243" s="1341">
        <f>IF(COUNT($H242:P242)='RFM input'!$V$7,SUM($G242:P242),0)</f>
        <v>0</v>
      </c>
      <c r="Q243" s="1341">
        <f>IF(COUNT($H242:Q242)='RFM input'!$V$7,SUM($G242:Q242),0)</f>
        <v>0</v>
      </c>
      <c r="R243" s="71"/>
      <c r="S243" s="71"/>
      <c r="T243" s="71"/>
      <c r="U243" s="71"/>
      <c r="V243" s="71"/>
      <c r="W243" s="71"/>
      <c r="X243" s="71"/>
      <c r="Y243" s="71"/>
      <c r="Z243" s="71"/>
      <c r="AA243" s="152"/>
    </row>
    <row r="244" spans="1:27" hidden="1" outlineLevel="1">
      <c r="A244" s="3"/>
      <c r="B244" s="29"/>
      <c r="C244" s="139">
        <f>Asset38</f>
        <v>0</v>
      </c>
      <c r="D244" s="3"/>
      <c r="E244" s="3"/>
      <c r="F244" s="91"/>
      <c r="G244" s="1359"/>
      <c r="H244" s="1341">
        <f>($G155+(SUM($G244:G244)))*H$8</f>
        <v>0</v>
      </c>
      <c r="I244" s="1363">
        <f>($G155+(SUM($G244:H244)))*I$8</f>
        <v>0</v>
      </c>
      <c r="J244" s="1363">
        <f>IF(COUNT($H244:I244)&gt;='RFM input'!$V$7,0,($G155+(SUM($G244:I244)))*J$8)</f>
        <v>0</v>
      </c>
      <c r="K244" s="1363">
        <f>IF(COUNT($H244:J244)&gt;='RFM input'!$V$7,0,($G155+(SUM($G244:J244)))*K$8)</f>
        <v>0</v>
      </c>
      <c r="L244" s="1341">
        <f>IF(COUNT($H244:K244)&gt;='RFM input'!$V$7,0,($G155+(SUM($G244:K244)))*L$8)</f>
        <v>0</v>
      </c>
      <c r="M244" s="1341">
        <f>IF(COUNT($H244:L244)&gt;='RFM input'!$V$7,0,($G155+(SUM($G244:L244)))*M$8)</f>
        <v>0</v>
      </c>
      <c r="N244" s="1341">
        <f>IF(COUNT($H244:M244)&gt;='RFM input'!$V$7,0,($G155+(SUM($G244:M244)))*N$8)</f>
        <v>0</v>
      </c>
      <c r="O244" s="1341">
        <f>IF(COUNT($H244:N244)&gt;='RFM input'!$V$7,0,($G155+(SUM($G244:N244)))*O$8)</f>
        <v>0</v>
      </c>
      <c r="P244" s="1341">
        <f>IF(COUNT($H244:O244)&gt;='RFM input'!$V$7,0,($G155+(SUM($G244:O244)))*P$8)</f>
        <v>0</v>
      </c>
      <c r="Q244" s="1341">
        <f>IF(COUNT($H244:P244)&gt;='RFM input'!$V$7,0,($G155+(SUM($G244:P244)))*Q$8)</f>
        <v>0</v>
      </c>
      <c r="R244" s="71"/>
      <c r="S244" s="71"/>
      <c r="T244" s="71"/>
      <c r="U244" s="71"/>
      <c r="V244" s="71"/>
      <c r="W244" s="71"/>
      <c r="X244" s="71"/>
      <c r="Y244" s="71"/>
      <c r="Z244" s="71"/>
      <c r="AA244" s="152"/>
    </row>
    <row r="245" spans="1:27" hidden="1" outlineLevel="1">
      <c r="A245" s="3"/>
      <c r="B245" s="29"/>
      <c r="C245" s="139" t="s">
        <v>24</v>
      </c>
      <c r="D245" s="3"/>
      <c r="E245" s="3"/>
      <c r="F245" s="91"/>
      <c r="G245" s="1359"/>
      <c r="H245" s="1341"/>
      <c r="I245" s="1363">
        <f>IF(COUNT($H244:I244)='RFM input'!$V$7,SUM($G244:I244),0)</f>
        <v>0</v>
      </c>
      <c r="J245" s="1363">
        <f>IF(COUNT($H244:J244)='RFM input'!$V$7,SUM($G244:J244),0)</f>
        <v>0</v>
      </c>
      <c r="K245" s="1363">
        <f>IF(COUNT($H244:K244)='RFM input'!$V$7,SUM($G244:K244),0)</f>
        <v>0</v>
      </c>
      <c r="L245" s="1341">
        <f>IF(COUNT($H244:L244)='RFM input'!$V$7,SUM($G244:L244),0)</f>
        <v>0</v>
      </c>
      <c r="M245" s="1341">
        <f>IF(COUNT($H244:M244)='RFM input'!$V$7,SUM($G244:M244),0)</f>
        <v>0</v>
      </c>
      <c r="N245" s="1341">
        <f>IF(COUNT($H244:N244)='RFM input'!$V$7,SUM($G244:N244),0)</f>
        <v>0</v>
      </c>
      <c r="O245" s="1341">
        <f>IF(COUNT($H244:O244)='RFM input'!$V$7,SUM($G244:O244),0)</f>
        <v>0</v>
      </c>
      <c r="P245" s="1341">
        <f>IF(COUNT($H244:P244)='RFM input'!$V$7,SUM($G244:P244),0)</f>
        <v>0</v>
      </c>
      <c r="Q245" s="1341">
        <f>IF(COUNT($H244:Q244)='RFM input'!$V$7,SUM($G244:Q244),0)</f>
        <v>0</v>
      </c>
      <c r="R245" s="71"/>
      <c r="S245" s="71"/>
      <c r="T245" s="71"/>
      <c r="U245" s="71"/>
      <c r="V245" s="71"/>
      <c r="W245" s="71"/>
      <c r="X245" s="71"/>
      <c r="Y245" s="71"/>
      <c r="Z245" s="71"/>
      <c r="AA245" s="152"/>
    </row>
    <row r="246" spans="1:27" hidden="1" outlineLevel="1">
      <c r="A246" s="3"/>
      <c r="B246" s="29"/>
      <c r="C246" s="139">
        <f>Asset39</f>
        <v>0</v>
      </c>
      <c r="D246" s="3"/>
      <c r="E246" s="3"/>
      <c r="F246" s="91"/>
      <c r="G246" s="1359"/>
      <c r="H246" s="1341">
        <f>($G156+(SUM($G246:G246)))*H$8</f>
        <v>0</v>
      </c>
      <c r="I246" s="1363">
        <f>($G156+(SUM($G246:H246)))*I$8</f>
        <v>0</v>
      </c>
      <c r="J246" s="1363">
        <f>IF(COUNT($H246:I246)&gt;='RFM input'!$V$7,0,($G156+(SUM($G246:I246)))*J$8)</f>
        <v>0</v>
      </c>
      <c r="K246" s="1363">
        <f>IF(COUNT($H246:J246)&gt;='RFM input'!$V$7,0,($G156+(SUM($G246:J246)))*K$8)</f>
        <v>0</v>
      </c>
      <c r="L246" s="1341">
        <f>IF(COUNT($H246:K246)&gt;='RFM input'!$V$7,0,($G156+(SUM($G246:K246)))*L$8)</f>
        <v>0</v>
      </c>
      <c r="M246" s="1341">
        <f>IF(COUNT($H246:L246)&gt;='RFM input'!$V$7,0,($G156+(SUM($G246:L246)))*M$8)</f>
        <v>0</v>
      </c>
      <c r="N246" s="1341">
        <f>IF(COUNT($H246:M246)&gt;='RFM input'!$V$7,0,($G156+(SUM($G246:M246)))*N$8)</f>
        <v>0</v>
      </c>
      <c r="O246" s="1341">
        <f>IF(COUNT($H246:N246)&gt;='RFM input'!$V$7,0,($G156+(SUM($G246:N246)))*O$8)</f>
        <v>0</v>
      </c>
      <c r="P246" s="1341">
        <f>IF(COUNT($H246:O246)&gt;='RFM input'!$V$7,0,($G156+(SUM($G246:O246)))*P$8)</f>
        <v>0</v>
      </c>
      <c r="Q246" s="1341">
        <f>IF(COUNT($H246:P246)&gt;='RFM input'!$V$7,0,($G156+(SUM($G246:P246)))*Q$8)</f>
        <v>0</v>
      </c>
      <c r="R246" s="71"/>
      <c r="S246" s="71"/>
      <c r="T246" s="71"/>
      <c r="U246" s="71"/>
      <c r="V246" s="71"/>
      <c r="W246" s="71"/>
      <c r="X246" s="71"/>
      <c r="Y246" s="71"/>
      <c r="Z246" s="71"/>
      <c r="AA246" s="152"/>
    </row>
    <row r="247" spans="1:27" hidden="1" outlineLevel="1">
      <c r="A247" s="3"/>
      <c r="B247" s="29"/>
      <c r="C247" s="139" t="s">
        <v>24</v>
      </c>
      <c r="D247" s="3"/>
      <c r="E247" s="3"/>
      <c r="F247" s="91"/>
      <c r="G247" s="1359"/>
      <c r="H247" s="1341"/>
      <c r="I247" s="1363">
        <f>IF(COUNT($H246:I246)='RFM input'!$V$7,SUM($G246:I246),0)</f>
        <v>0</v>
      </c>
      <c r="J247" s="1363">
        <f>IF(COUNT($H246:J246)='RFM input'!$V$7,SUM($G246:J246),0)</f>
        <v>0</v>
      </c>
      <c r="K247" s="1363">
        <f>IF(COUNT($H246:K246)='RFM input'!$V$7,SUM($G246:K246),0)</f>
        <v>0</v>
      </c>
      <c r="L247" s="1341">
        <f>IF(COUNT($H246:L246)='RFM input'!$V$7,SUM($G246:L246),0)</f>
        <v>0</v>
      </c>
      <c r="M247" s="1341">
        <f>IF(COUNT($H246:M246)='RFM input'!$V$7,SUM($G246:M246),0)</f>
        <v>0</v>
      </c>
      <c r="N247" s="1341">
        <f>IF(COUNT($H246:N246)='RFM input'!$V$7,SUM($G246:N246),0)</f>
        <v>0</v>
      </c>
      <c r="O247" s="1341">
        <f>IF(COUNT($H246:O246)='RFM input'!$V$7,SUM($G246:O246),0)</f>
        <v>0</v>
      </c>
      <c r="P247" s="1341">
        <f>IF(COUNT($H246:P246)='RFM input'!$V$7,SUM($G246:P246),0)</f>
        <v>0</v>
      </c>
      <c r="Q247" s="1341">
        <f>IF(COUNT($H246:Q246)='RFM input'!$V$7,SUM($G246:Q246),0)</f>
        <v>0</v>
      </c>
      <c r="R247" s="71"/>
      <c r="S247" s="71"/>
      <c r="T247" s="71"/>
      <c r="U247" s="71"/>
      <c r="V247" s="71"/>
      <c r="W247" s="71"/>
      <c r="X247" s="71"/>
      <c r="Y247" s="71"/>
      <c r="Z247" s="71"/>
      <c r="AA247" s="152"/>
    </row>
    <row r="248" spans="1:27" hidden="1" outlineLevel="1">
      <c r="A248" s="3"/>
      <c r="B248" s="29"/>
      <c r="C248" s="139">
        <f>Asset40</f>
        <v>0</v>
      </c>
      <c r="D248" s="3"/>
      <c r="E248" s="3"/>
      <c r="F248" s="91"/>
      <c r="G248" s="1359"/>
      <c r="H248" s="1341">
        <f>($G157+(SUM($G248:G248)))*H$8</f>
        <v>0</v>
      </c>
      <c r="I248" s="1363">
        <f>($G157+(SUM($G248:H248)))*I$8</f>
        <v>0</v>
      </c>
      <c r="J248" s="1363">
        <f>IF(COUNT($H248:I248)&gt;='RFM input'!$V$7,0,($G157+(SUM($G248:I248)))*J$8)</f>
        <v>0</v>
      </c>
      <c r="K248" s="1363">
        <f>IF(COUNT($H248:J248)&gt;='RFM input'!$V$7,0,($G157+(SUM($G248:J248)))*K$8)</f>
        <v>0</v>
      </c>
      <c r="L248" s="1341">
        <f>IF(COUNT($H248:K248)&gt;='RFM input'!$V$7,0,($G157+(SUM($G248:K248)))*L$8)</f>
        <v>0</v>
      </c>
      <c r="M248" s="1341">
        <f>IF(COUNT($H248:L248)&gt;='RFM input'!$V$7,0,($G157+(SUM($G248:L248)))*M$8)</f>
        <v>0</v>
      </c>
      <c r="N248" s="1341">
        <f>IF(COUNT($H248:M248)&gt;='RFM input'!$V$7,0,($G157+(SUM($G248:M248)))*N$8)</f>
        <v>0</v>
      </c>
      <c r="O248" s="1341">
        <f>IF(COUNT($H248:N248)&gt;='RFM input'!$V$7,0,($G157+(SUM($G248:N248)))*O$8)</f>
        <v>0</v>
      </c>
      <c r="P248" s="1341">
        <f>IF(COUNT($H248:O248)&gt;='RFM input'!$V$7,0,($G157+(SUM($G248:O248)))*P$8)</f>
        <v>0</v>
      </c>
      <c r="Q248" s="1341">
        <f>IF(COUNT($H248:P248)&gt;='RFM input'!$V$7,0,($G157+(SUM($G248:P248)))*Q$8)</f>
        <v>0</v>
      </c>
      <c r="R248" s="71"/>
      <c r="S248" s="71"/>
      <c r="T248" s="71"/>
      <c r="U248" s="71"/>
      <c r="V248" s="71"/>
      <c r="W248" s="71"/>
      <c r="X248" s="71"/>
      <c r="Y248" s="71"/>
      <c r="Z248" s="71"/>
      <c r="AA248" s="152"/>
    </row>
    <row r="249" spans="1:27" hidden="1" outlineLevel="1">
      <c r="A249" s="3"/>
      <c r="B249" s="29"/>
      <c r="C249" s="139" t="s">
        <v>24</v>
      </c>
      <c r="D249" s="3"/>
      <c r="E249" s="3"/>
      <c r="F249" s="91"/>
      <c r="G249" s="1359"/>
      <c r="H249" s="1341"/>
      <c r="I249" s="1363">
        <f>IF(COUNT($H248:I248)='RFM input'!$V$7,SUM($G248:I248),0)</f>
        <v>0</v>
      </c>
      <c r="J249" s="1363">
        <f>IF(COUNT($H248:J248)='RFM input'!$V$7,SUM($G248:J248),0)</f>
        <v>0</v>
      </c>
      <c r="K249" s="1363">
        <f>IF(COUNT($H248:K248)='RFM input'!$V$7,SUM($G248:K248),0)</f>
        <v>0</v>
      </c>
      <c r="L249" s="1341">
        <f>IF(COUNT($H248:L248)='RFM input'!$V$7,SUM($G248:L248),0)</f>
        <v>0</v>
      </c>
      <c r="M249" s="1341">
        <f>IF(COUNT($H248:M248)='RFM input'!$V$7,SUM($G248:M248),0)</f>
        <v>0</v>
      </c>
      <c r="N249" s="1341">
        <f>IF(COUNT($H248:N248)='RFM input'!$V$7,SUM($G248:N248),0)</f>
        <v>0</v>
      </c>
      <c r="O249" s="1341">
        <f>IF(COUNT($H248:O248)='RFM input'!$V$7,SUM($G248:O248),0)</f>
        <v>0</v>
      </c>
      <c r="P249" s="1341">
        <f>IF(COUNT($H248:P248)='RFM input'!$V$7,SUM($G248:P248),0)</f>
        <v>0</v>
      </c>
      <c r="Q249" s="1341">
        <f>IF(COUNT($H248:Q248)='RFM input'!$V$7,SUM($G248:Q248),0)</f>
        <v>0</v>
      </c>
      <c r="R249" s="71"/>
      <c r="S249" s="71"/>
      <c r="T249" s="71"/>
      <c r="U249" s="71"/>
      <c r="V249" s="71"/>
      <c r="W249" s="71"/>
      <c r="X249" s="71"/>
      <c r="Y249" s="71"/>
      <c r="Z249" s="71"/>
      <c r="AA249" s="152"/>
    </row>
    <row r="250" spans="1:27" hidden="1" outlineLevel="1">
      <c r="A250" s="3"/>
      <c r="B250" s="29"/>
      <c r="C250" s="139">
        <f>Asset41</f>
        <v>0</v>
      </c>
      <c r="D250" s="3"/>
      <c r="E250" s="3"/>
      <c r="F250" s="91"/>
      <c r="G250" s="1359"/>
      <c r="H250" s="1341">
        <f>($G158+(SUM($G250:G250)))*H$8</f>
        <v>0</v>
      </c>
      <c r="I250" s="1363">
        <f>($G158+(SUM($G250:H250)))*I$8</f>
        <v>0</v>
      </c>
      <c r="J250" s="1363">
        <f>IF(COUNT($H250:I250)&gt;='RFM input'!$V$7,0,($G158+(SUM($G250:I250)))*J$8)</f>
        <v>0</v>
      </c>
      <c r="K250" s="1363">
        <f>IF(COUNT($H250:J250)&gt;='RFM input'!$V$7,0,($G158+(SUM($G250:J250)))*K$8)</f>
        <v>0</v>
      </c>
      <c r="L250" s="1341">
        <f>IF(COUNT($H250:K250)&gt;='RFM input'!$V$7,0,($G158+(SUM($G250:K250)))*L$8)</f>
        <v>0</v>
      </c>
      <c r="M250" s="1341">
        <f>IF(COUNT($H250:L250)&gt;='RFM input'!$V$7,0,($G158+(SUM($G250:L250)))*M$8)</f>
        <v>0</v>
      </c>
      <c r="N250" s="1341">
        <f>IF(COUNT($H250:M250)&gt;='RFM input'!$V$7,0,($G158+(SUM($G250:M250)))*N$8)</f>
        <v>0</v>
      </c>
      <c r="O250" s="1341">
        <f>IF(COUNT($H250:N250)&gt;='RFM input'!$V$7,0,($G158+(SUM($G250:N250)))*O$8)</f>
        <v>0</v>
      </c>
      <c r="P250" s="1341">
        <f>IF(COUNT($H250:O250)&gt;='RFM input'!$V$7,0,($G158+(SUM($G250:O250)))*P$8)</f>
        <v>0</v>
      </c>
      <c r="Q250" s="1341">
        <f>IF(COUNT($H250:P250)&gt;='RFM input'!$V$7,0,($G158+(SUM($G250:P250)))*Q$8)</f>
        <v>0</v>
      </c>
      <c r="R250" s="71"/>
      <c r="S250" s="71"/>
      <c r="T250" s="71"/>
      <c r="U250" s="71"/>
      <c r="V250" s="71"/>
      <c r="W250" s="71"/>
      <c r="X250" s="71"/>
      <c r="Y250" s="71"/>
      <c r="Z250" s="71"/>
      <c r="AA250" s="152"/>
    </row>
    <row r="251" spans="1:27" hidden="1" outlineLevel="1">
      <c r="A251" s="3"/>
      <c r="B251" s="29"/>
      <c r="C251" s="139" t="s">
        <v>24</v>
      </c>
      <c r="D251" s="3"/>
      <c r="E251" s="3"/>
      <c r="F251" s="91"/>
      <c r="G251" s="1359"/>
      <c r="H251" s="1341"/>
      <c r="I251" s="1363">
        <f>IF(COUNT($H250:I250)='RFM input'!$V$7,SUM($G250:I250),0)</f>
        <v>0</v>
      </c>
      <c r="J251" s="1363">
        <f>IF(COUNT($H250:J250)='RFM input'!$V$7,SUM($G250:J250),0)</f>
        <v>0</v>
      </c>
      <c r="K251" s="1363">
        <f>IF(COUNT($H250:K250)='RFM input'!$V$7,SUM($G250:K250),0)</f>
        <v>0</v>
      </c>
      <c r="L251" s="1341">
        <f>IF(COUNT($H250:L250)='RFM input'!$V$7,SUM($G250:L250),0)</f>
        <v>0</v>
      </c>
      <c r="M251" s="1341">
        <f>IF(COUNT($H250:M250)='RFM input'!$V$7,SUM($G250:M250),0)</f>
        <v>0</v>
      </c>
      <c r="N251" s="1341">
        <f>IF(COUNT($H250:N250)='RFM input'!$V$7,SUM($G250:N250),0)</f>
        <v>0</v>
      </c>
      <c r="O251" s="1341">
        <f>IF(COUNT($H250:O250)='RFM input'!$V$7,SUM($G250:O250),0)</f>
        <v>0</v>
      </c>
      <c r="P251" s="1341">
        <f>IF(COUNT($H250:P250)='RFM input'!$V$7,SUM($G250:P250),0)</f>
        <v>0</v>
      </c>
      <c r="Q251" s="1341">
        <f>IF(COUNT($H250:Q250)='RFM input'!$V$7,SUM($G250:Q250),0)</f>
        <v>0</v>
      </c>
      <c r="R251" s="71"/>
      <c r="S251" s="71"/>
      <c r="T251" s="71"/>
      <c r="U251" s="71"/>
      <c r="V251" s="71"/>
      <c r="W251" s="71"/>
      <c r="X251" s="71"/>
      <c r="Y251" s="71"/>
      <c r="Z251" s="71"/>
      <c r="AA251" s="152"/>
    </row>
    <row r="252" spans="1:27" hidden="1" outlineLevel="1">
      <c r="A252" s="3"/>
      <c r="B252" s="29"/>
      <c r="C252" s="139">
        <f>Asset42</f>
        <v>0</v>
      </c>
      <c r="D252" s="3"/>
      <c r="E252" s="3"/>
      <c r="F252" s="91"/>
      <c r="G252" s="1359"/>
      <c r="H252" s="1341">
        <f>($G159+(SUM($G252:G252)))*H$8</f>
        <v>0</v>
      </c>
      <c r="I252" s="1363">
        <f>($G159+(SUM($G252:H252)))*I$8</f>
        <v>0</v>
      </c>
      <c r="J252" s="1363">
        <f>IF(COUNT($H252:I252)&gt;='RFM input'!$V$7,0,($G159+(SUM($G252:I252)))*J$8)</f>
        <v>0</v>
      </c>
      <c r="K252" s="1363">
        <f>IF(COUNT($H252:J252)&gt;='RFM input'!$V$7,0,($G159+(SUM($G252:J252)))*K$8)</f>
        <v>0</v>
      </c>
      <c r="L252" s="1341">
        <f>IF(COUNT($H252:K252)&gt;='RFM input'!$V$7,0,($G159+(SUM($G252:K252)))*L$8)</f>
        <v>0</v>
      </c>
      <c r="M252" s="1341">
        <f>IF(COUNT($H252:L252)&gt;='RFM input'!$V$7,0,($G159+(SUM($G252:L252)))*M$8)</f>
        <v>0</v>
      </c>
      <c r="N252" s="1341">
        <f>IF(COUNT($H252:M252)&gt;='RFM input'!$V$7,0,($G159+(SUM($G252:M252)))*N$8)</f>
        <v>0</v>
      </c>
      <c r="O252" s="1341">
        <f>IF(COUNT($H252:N252)&gt;='RFM input'!$V$7,0,($G159+(SUM($G252:N252)))*O$8)</f>
        <v>0</v>
      </c>
      <c r="P252" s="1341">
        <f>IF(COUNT($H252:O252)&gt;='RFM input'!$V$7,0,($G159+(SUM($G252:O252)))*P$8)</f>
        <v>0</v>
      </c>
      <c r="Q252" s="1341">
        <f>IF(COUNT($H252:P252)&gt;='RFM input'!$V$7,0,($G159+(SUM($G252:P252)))*Q$8)</f>
        <v>0</v>
      </c>
      <c r="R252" s="71"/>
      <c r="S252" s="71"/>
      <c r="T252" s="71"/>
      <c r="U252" s="71"/>
      <c r="V252" s="71"/>
      <c r="W252" s="71"/>
      <c r="X252" s="71"/>
      <c r="Y252" s="71"/>
      <c r="Z252" s="71"/>
      <c r="AA252" s="152"/>
    </row>
    <row r="253" spans="1:27" hidden="1" outlineLevel="1">
      <c r="A253" s="3"/>
      <c r="B253" s="29"/>
      <c r="C253" s="139" t="s">
        <v>24</v>
      </c>
      <c r="D253" s="3"/>
      <c r="E253" s="3"/>
      <c r="F253" s="91"/>
      <c r="G253" s="1359"/>
      <c r="H253" s="1341"/>
      <c r="I253" s="1363">
        <f>IF(COUNT($H252:I252)='RFM input'!$V$7,SUM($G252:I252),0)</f>
        <v>0</v>
      </c>
      <c r="J253" s="1363">
        <f>IF(COUNT($H252:J252)='RFM input'!$V$7,SUM($G252:J252),0)</f>
        <v>0</v>
      </c>
      <c r="K253" s="1363">
        <f>IF(COUNT($H252:K252)='RFM input'!$V$7,SUM($G252:K252),0)</f>
        <v>0</v>
      </c>
      <c r="L253" s="1341">
        <f>IF(COUNT($H252:L252)='RFM input'!$V$7,SUM($G252:L252),0)</f>
        <v>0</v>
      </c>
      <c r="M253" s="1341">
        <f>IF(COUNT($H252:M252)='RFM input'!$V$7,SUM($G252:M252),0)</f>
        <v>0</v>
      </c>
      <c r="N253" s="1341">
        <f>IF(COUNT($H252:N252)='RFM input'!$V$7,SUM($G252:N252),0)</f>
        <v>0</v>
      </c>
      <c r="O253" s="1341">
        <f>IF(COUNT($H252:O252)='RFM input'!$V$7,SUM($G252:O252),0)</f>
        <v>0</v>
      </c>
      <c r="P253" s="1341">
        <f>IF(COUNT($H252:P252)='RFM input'!$V$7,SUM($G252:P252),0)</f>
        <v>0</v>
      </c>
      <c r="Q253" s="1341">
        <f>IF(COUNT($H252:Q252)='RFM input'!$V$7,SUM($G252:Q252),0)</f>
        <v>0</v>
      </c>
      <c r="R253" s="71"/>
      <c r="S253" s="71"/>
      <c r="T253" s="71"/>
      <c r="U253" s="71"/>
      <c r="V253" s="71"/>
      <c r="W253" s="71"/>
      <c r="X253" s="71"/>
      <c r="Y253" s="71"/>
      <c r="Z253" s="71"/>
      <c r="AA253" s="152"/>
    </row>
    <row r="254" spans="1:27" hidden="1" outlineLevel="1">
      <c r="A254" s="3"/>
      <c r="B254" s="29"/>
      <c r="C254" s="139">
        <f>Asset43</f>
        <v>0</v>
      </c>
      <c r="D254" s="3"/>
      <c r="E254" s="3"/>
      <c r="F254" s="91"/>
      <c r="G254" s="1359"/>
      <c r="H254" s="1341">
        <f>($G160+(SUM($G254:G254)))*H$8</f>
        <v>0</v>
      </c>
      <c r="I254" s="1363">
        <f>($G160+(SUM($G254:H254)))*I$8</f>
        <v>0</v>
      </c>
      <c r="J254" s="1363">
        <f>IF(COUNT($H254:I254)&gt;='RFM input'!$V$7,0,($G160+(SUM($G254:I254)))*J$8)</f>
        <v>0</v>
      </c>
      <c r="K254" s="1363">
        <f>IF(COUNT($H254:J254)&gt;='RFM input'!$V$7,0,($G160+(SUM($G254:J254)))*K$8)</f>
        <v>0</v>
      </c>
      <c r="L254" s="1341">
        <f>IF(COUNT($H254:K254)&gt;='RFM input'!$V$7,0,($G160+(SUM($G254:K254)))*L$8)</f>
        <v>0</v>
      </c>
      <c r="M254" s="1341">
        <f>IF(COUNT($H254:L254)&gt;='RFM input'!$V$7,0,($G160+(SUM($G254:L254)))*M$8)</f>
        <v>0</v>
      </c>
      <c r="N254" s="1341">
        <f>IF(COUNT($H254:M254)&gt;='RFM input'!$V$7,0,($G160+(SUM($G254:M254)))*N$8)</f>
        <v>0</v>
      </c>
      <c r="O254" s="1341">
        <f>IF(COUNT($H254:N254)&gt;='RFM input'!$V$7,0,($G160+(SUM($G254:N254)))*O$8)</f>
        <v>0</v>
      </c>
      <c r="P254" s="1341">
        <f>IF(COUNT($H254:O254)&gt;='RFM input'!$V$7,0,($G160+(SUM($G254:O254)))*P$8)</f>
        <v>0</v>
      </c>
      <c r="Q254" s="1341">
        <f>IF(COUNT($H254:P254)&gt;='RFM input'!$V$7,0,($G160+(SUM($G254:P254)))*Q$8)</f>
        <v>0</v>
      </c>
      <c r="R254" s="71"/>
      <c r="S254" s="71"/>
      <c r="T254" s="71"/>
      <c r="U254" s="71"/>
      <c r="V254" s="71"/>
      <c r="W254" s="71"/>
      <c r="X254" s="71"/>
      <c r="Y254" s="71"/>
      <c r="Z254" s="71"/>
      <c r="AA254" s="152"/>
    </row>
    <row r="255" spans="1:27" hidden="1" outlineLevel="1">
      <c r="A255" s="3"/>
      <c r="B255" s="29"/>
      <c r="C255" s="139" t="s">
        <v>24</v>
      </c>
      <c r="D255" s="3"/>
      <c r="E255" s="3"/>
      <c r="F255" s="91"/>
      <c r="G255" s="1359"/>
      <c r="H255" s="1341"/>
      <c r="I255" s="1363">
        <f>IF(COUNT($H254:I254)='RFM input'!$V$7,SUM($G254:I254),0)</f>
        <v>0</v>
      </c>
      <c r="J255" s="1363">
        <f>IF(COUNT($H254:J254)='RFM input'!$V$7,SUM($G254:J254),0)</f>
        <v>0</v>
      </c>
      <c r="K255" s="1363">
        <f>IF(COUNT($H254:K254)='RFM input'!$V$7,SUM($G254:K254),0)</f>
        <v>0</v>
      </c>
      <c r="L255" s="1341">
        <f>IF(COUNT($H254:L254)='RFM input'!$V$7,SUM($G254:L254),0)</f>
        <v>0</v>
      </c>
      <c r="M255" s="1341">
        <f>IF(COUNT($H254:M254)='RFM input'!$V$7,SUM($G254:M254),0)</f>
        <v>0</v>
      </c>
      <c r="N255" s="1341">
        <f>IF(COUNT($H254:N254)='RFM input'!$V$7,SUM($G254:N254),0)</f>
        <v>0</v>
      </c>
      <c r="O255" s="1341">
        <f>IF(COUNT($H254:O254)='RFM input'!$V$7,SUM($G254:O254),0)</f>
        <v>0</v>
      </c>
      <c r="P255" s="1341">
        <f>IF(COUNT($H254:P254)='RFM input'!$V$7,SUM($G254:P254),0)</f>
        <v>0</v>
      </c>
      <c r="Q255" s="1341">
        <f>IF(COUNT($H254:Q254)='RFM input'!$V$7,SUM($G254:Q254),0)</f>
        <v>0</v>
      </c>
      <c r="R255" s="71"/>
      <c r="S255" s="71"/>
      <c r="T255" s="71"/>
      <c r="U255" s="71"/>
      <c r="V255" s="71"/>
      <c r="W255" s="71"/>
      <c r="X255" s="71"/>
      <c r="Y255" s="71"/>
      <c r="Z255" s="71"/>
      <c r="AA255" s="152"/>
    </row>
    <row r="256" spans="1:27" hidden="1" outlineLevel="1">
      <c r="A256" s="3"/>
      <c r="B256" s="29"/>
      <c r="C256" s="139">
        <f>Asset44</f>
        <v>0</v>
      </c>
      <c r="D256" s="3"/>
      <c r="E256" s="3"/>
      <c r="F256" s="91"/>
      <c r="G256" s="1359"/>
      <c r="H256" s="1341">
        <f>($G161+(SUM($G256:G256)))*H$8</f>
        <v>0</v>
      </c>
      <c r="I256" s="1363">
        <f>($G161+(SUM($G256:H256)))*I$8</f>
        <v>0</v>
      </c>
      <c r="J256" s="1363">
        <f>IF(COUNT($H256:I256)&gt;='RFM input'!$V$7,0,($G161+(SUM($G256:I256)))*J$8)</f>
        <v>0</v>
      </c>
      <c r="K256" s="1363">
        <f>IF(COUNT($H256:J256)&gt;='RFM input'!$V$7,0,($G161+(SUM($G256:J256)))*K$8)</f>
        <v>0</v>
      </c>
      <c r="L256" s="1341">
        <f>IF(COUNT($H256:K256)&gt;='RFM input'!$V$7,0,($G161+(SUM($G256:K256)))*L$8)</f>
        <v>0</v>
      </c>
      <c r="M256" s="1341">
        <f>IF(COUNT($H256:L256)&gt;='RFM input'!$V$7,0,($G161+(SUM($G256:L256)))*M$8)</f>
        <v>0</v>
      </c>
      <c r="N256" s="1341">
        <f>IF(COUNT($H256:M256)&gt;='RFM input'!$V$7,0,($G161+(SUM($G256:M256)))*N$8)</f>
        <v>0</v>
      </c>
      <c r="O256" s="1341">
        <f>IF(COUNT($H256:N256)&gt;='RFM input'!$V$7,0,($G161+(SUM($G256:N256)))*O$8)</f>
        <v>0</v>
      </c>
      <c r="P256" s="1341">
        <f>IF(COUNT($H256:O256)&gt;='RFM input'!$V$7,0,($G161+(SUM($G256:O256)))*P$8)</f>
        <v>0</v>
      </c>
      <c r="Q256" s="1341">
        <f>IF(COUNT($H256:P256)&gt;='RFM input'!$V$7,0,($G161+(SUM($G256:P256)))*Q$8)</f>
        <v>0</v>
      </c>
      <c r="R256" s="71"/>
      <c r="S256" s="71"/>
      <c r="T256" s="71"/>
      <c r="U256" s="71"/>
      <c r="V256" s="71"/>
      <c r="W256" s="71"/>
      <c r="X256" s="71"/>
      <c r="Y256" s="71"/>
      <c r="Z256" s="71"/>
      <c r="AA256" s="152"/>
    </row>
    <row r="257" spans="1:63" hidden="1" outlineLevel="1">
      <c r="A257" s="3"/>
      <c r="B257" s="29"/>
      <c r="C257" s="139" t="s">
        <v>24</v>
      </c>
      <c r="D257" s="3"/>
      <c r="E257" s="3"/>
      <c r="F257" s="91"/>
      <c r="G257" s="1359"/>
      <c r="H257" s="1341"/>
      <c r="I257" s="1363">
        <f>IF(COUNT($H256:I256)='RFM input'!$V$7,SUM($G256:I256),0)</f>
        <v>0</v>
      </c>
      <c r="J257" s="1363">
        <f>IF(COUNT($H256:J256)='RFM input'!$V$7,SUM($G256:J256),0)</f>
        <v>0</v>
      </c>
      <c r="K257" s="1363">
        <f>IF(COUNT($H256:K256)='RFM input'!$V$7,SUM($G256:K256),0)</f>
        <v>0</v>
      </c>
      <c r="L257" s="1341">
        <f>IF(COUNT($H256:L256)='RFM input'!$V$7,SUM($G256:L256),0)</f>
        <v>0</v>
      </c>
      <c r="M257" s="1341">
        <f>IF(COUNT($H256:M256)='RFM input'!$V$7,SUM($G256:M256),0)</f>
        <v>0</v>
      </c>
      <c r="N257" s="1341">
        <f>IF(COUNT($H256:N256)='RFM input'!$V$7,SUM($G256:N256),0)</f>
        <v>0</v>
      </c>
      <c r="O257" s="1341">
        <f>IF(COUNT($H256:O256)='RFM input'!$V$7,SUM($G256:O256),0)</f>
        <v>0</v>
      </c>
      <c r="P257" s="1341">
        <f>IF(COUNT($H256:P256)='RFM input'!$V$7,SUM($G256:P256),0)</f>
        <v>0</v>
      </c>
      <c r="Q257" s="1341">
        <f>IF(COUNT($H256:Q256)='RFM input'!$V$7,SUM($G256:Q256),0)</f>
        <v>0</v>
      </c>
      <c r="R257" s="71"/>
      <c r="S257" s="71"/>
      <c r="T257" s="71"/>
      <c r="U257" s="71"/>
      <c r="V257" s="71"/>
      <c r="W257" s="71"/>
      <c r="X257" s="71"/>
      <c r="Y257" s="71"/>
      <c r="Z257" s="71"/>
      <c r="AA257" s="152"/>
    </row>
    <row r="258" spans="1:63" hidden="1" outlineLevel="1">
      <c r="A258" s="3"/>
      <c r="B258" s="29"/>
      <c r="C258" s="139">
        <f>Asset45</f>
        <v>0</v>
      </c>
      <c r="D258" s="3"/>
      <c r="E258" s="3"/>
      <c r="F258" s="91"/>
      <c r="G258" s="1359"/>
      <c r="H258" s="1341">
        <f>($G162+(SUM($G258:G258)))*H$8</f>
        <v>0</v>
      </c>
      <c r="I258" s="1363">
        <f>($G162+(SUM($G258:H258)))*I$8</f>
        <v>0</v>
      </c>
      <c r="J258" s="1363">
        <f>IF(COUNT($H258:I258)&gt;='RFM input'!$V$7,0,($G162+(SUM($G258:I258)))*J$8)</f>
        <v>0</v>
      </c>
      <c r="K258" s="1363">
        <f>IF(COUNT($H258:J258)&gt;='RFM input'!$V$7,0,($G162+(SUM($G258:J258)))*K$8)</f>
        <v>0</v>
      </c>
      <c r="L258" s="1363">
        <f>IF(COUNT($H258:K258)&gt;='RFM input'!$V$7,0,($G162+(SUM($G258:K258)))*L$8)</f>
        <v>0</v>
      </c>
      <c r="M258" s="1363">
        <f>IF(COUNT($H258:L258)&gt;='RFM input'!$V$7,0,($G162+(SUM($G258:L258)))*M$8)</f>
        <v>0</v>
      </c>
      <c r="N258" s="1363">
        <f>IF(COUNT($H258:M258)&gt;='RFM input'!$V$7,0,($G162+(SUM($G258:M258)))*N$8)</f>
        <v>0</v>
      </c>
      <c r="O258" s="1363">
        <f>IF(COUNT($H258:N258)&gt;='RFM input'!$V$7,0,($G162+(SUM($G258:N258)))*O$8)</f>
        <v>0</v>
      </c>
      <c r="P258" s="1363">
        <f>IF(COUNT($H258:O258)&gt;='RFM input'!$V$7,0,($G162+(SUM($G258:O258)))*P$8)</f>
        <v>0</v>
      </c>
      <c r="Q258" s="1363">
        <f>IF(COUNT($H258:P258)&gt;='RFM input'!$V$7,0,($G162+(SUM($G258:P258)))*Q$8)</f>
        <v>0</v>
      </c>
      <c r="R258" s="71"/>
      <c r="S258" s="71"/>
      <c r="T258" s="71"/>
      <c r="U258" s="71"/>
      <c r="V258" s="71"/>
      <c r="W258" s="71"/>
      <c r="X258" s="71"/>
      <c r="Y258" s="71"/>
      <c r="Z258" s="71"/>
      <c r="AA258" s="152"/>
    </row>
    <row r="259" spans="1:63" hidden="1" outlineLevel="1">
      <c r="A259" s="3"/>
      <c r="B259" s="29"/>
      <c r="C259" s="139" t="s">
        <v>24</v>
      </c>
      <c r="D259" s="3"/>
      <c r="E259" s="3"/>
      <c r="F259" s="91"/>
      <c r="G259" s="1359"/>
      <c r="H259" s="1341"/>
      <c r="I259" s="1363">
        <f>IF(COUNT($H258:I258)='RFM input'!$V$7,SUM($G258:I258),0)</f>
        <v>0</v>
      </c>
      <c r="J259" s="1363">
        <f>IF(COUNT($H258:J258)='RFM input'!$V$7,SUM($G258:J258),0)</f>
        <v>0</v>
      </c>
      <c r="K259" s="1363">
        <f>IF(COUNT($H258:K258)='RFM input'!$V$7,SUM($G258:K258),0)</f>
        <v>0</v>
      </c>
      <c r="L259" s="1341">
        <f>IF(COUNT($H258:L258)='RFM input'!$V$7,SUM($G258:L258),0)</f>
        <v>0</v>
      </c>
      <c r="M259" s="1341">
        <f>IF(COUNT($H258:M258)='RFM input'!$V$7,SUM($G258:M258),0)</f>
        <v>0</v>
      </c>
      <c r="N259" s="1341">
        <f>IF(COUNT($H258:N258)='RFM input'!$V$7,SUM($G258:N258),0)</f>
        <v>0</v>
      </c>
      <c r="O259" s="1341">
        <f>IF(COUNT($H258:O258)='RFM input'!$V$7,SUM($G258:O258),0)</f>
        <v>0</v>
      </c>
      <c r="P259" s="1341">
        <f>IF(COUNT($H258:P258)='RFM input'!$V$7,SUM($G258:P258),0)</f>
        <v>0</v>
      </c>
      <c r="Q259" s="1341">
        <f>IF(COUNT($H258:Q258)='RFM input'!$V$7,SUM($G258:Q258),0)</f>
        <v>0</v>
      </c>
      <c r="R259" s="71"/>
      <c r="S259" s="71"/>
      <c r="T259" s="71"/>
      <c r="U259" s="71"/>
      <c r="V259" s="71"/>
      <c r="W259" s="71"/>
      <c r="X259" s="71"/>
      <c r="Y259" s="71"/>
      <c r="Z259" s="71"/>
      <c r="AA259" s="152"/>
    </row>
    <row r="260" spans="1:63" hidden="1" outlineLevel="1">
      <c r="A260" s="3"/>
      <c r="B260" s="29"/>
      <c r="C260" s="139">
        <f>Asset46</f>
        <v>0</v>
      </c>
      <c r="D260" s="3"/>
      <c r="E260" s="3"/>
      <c r="F260" s="91"/>
      <c r="G260" s="1359"/>
      <c r="H260" s="1341">
        <f>($G163+(SUM($G260:G260)))*H$8</f>
        <v>0</v>
      </c>
      <c r="I260" s="1363">
        <f>($G163+(SUM($G260:H260)))*I$8</f>
        <v>0</v>
      </c>
      <c r="J260" s="1363">
        <f>IF(COUNT($H260:I260)&gt;='RFM input'!$V$7,0,($G163+(SUM($G260:I260)))*J$8)</f>
        <v>0</v>
      </c>
      <c r="K260" s="1363">
        <f>IF(COUNT($H260:J260)&gt;='RFM input'!$V$7,0,($G163+(SUM($G260:J260)))*K$8)</f>
        <v>0</v>
      </c>
      <c r="L260" s="1341">
        <f>IF(COUNT($H260:K260)&gt;='RFM input'!$V$7,0,($G163+(SUM($G260:K260)))*L$8)</f>
        <v>0</v>
      </c>
      <c r="M260" s="1341">
        <f>IF(COUNT($H260:L260)&gt;='RFM input'!$V$7,0,($G163+(SUM($G260:L260)))*M$8)</f>
        <v>0</v>
      </c>
      <c r="N260" s="1341">
        <f>IF(COUNT($H260:M260)&gt;='RFM input'!$V$7,0,($G163+(SUM($G260:M260)))*N$8)</f>
        <v>0</v>
      </c>
      <c r="O260" s="1341">
        <f>IF(COUNT($H260:N260)&gt;='RFM input'!$V$7,0,($G163+(SUM($G260:N260)))*O$8)</f>
        <v>0</v>
      </c>
      <c r="P260" s="1341">
        <f>IF(COUNT($H260:O260)&gt;='RFM input'!$V$7,0,($G163+(SUM($G260:O260)))*P$8)</f>
        <v>0</v>
      </c>
      <c r="Q260" s="1341">
        <f>IF(COUNT($H260:P260)&gt;='RFM input'!$V$7,0,($G163+(SUM($G260:P260)))*Q$8)</f>
        <v>0</v>
      </c>
      <c r="R260" s="71"/>
      <c r="S260" s="71"/>
      <c r="T260" s="71"/>
      <c r="U260" s="71"/>
      <c r="V260" s="71"/>
      <c r="W260" s="71"/>
      <c r="X260" s="71"/>
      <c r="Y260" s="71"/>
      <c r="Z260" s="71"/>
      <c r="AA260" s="152"/>
    </row>
    <row r="261" spans="1:63" hidden="1" outlineLevel="1">
      <c r="A261" s="3"/>
      <c r="B261" s="29"/>
      <c r="C261" s="139" t="s">
        <v>24</v>
      </c>
      <c r="D261" s="3"/>
      <c r="E261" s="3"/>
      <c r="F261" s="91"/>
      <c r="G261" s="1359"/>
      <c r="H261" s="1341"/>
      <c r="I261" s="1363">
        <f>IF(COUNT($H260:I260)='RFM input'!$V$7,SUM($G260:I260),0)</f>
        <v>0</v>
      </c>
      <c r="J261" s="1363">
        <f>IF(COUNT($H260:J260)='RFM input'!$V$7,SUM($G260:J260),0)</f>
        <v>0</v>
      </c>
      <c r="K261" s="1363">
        <f>IF(COUNT($H260:K260)='RFM input'!$V$7,SUM($G260:K260),0)</f>
        <v>0</v>
      </c>
      <c r="L261" s="1341">
        <f>IF(COUNT($H260:L260)='RFM input'!$V$7,SUM($G260:L260),0)</f>
        <v>0</v>
      </c>
      <c r="M261" s="1341">
        <f>IF(COUNT($H260:M260)='RFM input'!$V$7,SUM($G260:M260),0)</f>
        <v>0</v>
      </c>
      <c r="N261" s="1341">
        <f>IF(COUNT($H260:N260)='RFM input'!$V$7,SUM($G260:N260),0)</f>
        <v>0</v>
      </c>
      <c r="O261" s="1341">
        <f>IF(COUNT($H260:O260)='RFM input'!$V$7,SUM($G260:O260),0)</f>
        <v>0</v>
      </c>
      <c r="P261" s="1341">
        <f>IF(COUNT($H260:P260)='RFM input'!$V$7,SUM($G260:P260),0)</f>
        <v>0</v>
      </c>
      <c r="Q261" s="1341">
        <f>IF(COUNT($H260:Q260)='RFM input'!$V$7,SUM($G260:Q260),0)</f>
        <v>0</v>
      </c>
      <c r="R261" s="71"/>
      <c r="S261" s="71"/>
      <c r="T261" s="71"/>
      <c r="U261" s="71"/>
      <c r="V261" s="71"/>
      <c r="W261" s="71"/>
      <c r="X261" s="71"/>
      <c r="Y261" s="71"/>
      <c r="Z261" s="71"/>
      <c r="AA261" s="152"/>
    </row>
    <row r="262" spans="1:63" hidden="1" outlineLevel="1">
      <c r="A262" s="3"/>
      <c r="B262" s="29"/>
      <c r="C262" s="139">
        <f>Asset47</f>
        <v>0</v>
      </c>
      <c r="D262" s="3"/>
      <c r="E262" s="3"/>
      <c r="F262" s="91"/>
      <c r="G262" s="1359"/>
      <c r="H262" s="1341">
        <f>($G164+(SUM($G262:G262)))*H$8</f>
        <v>0</v>
      </c>
      <c r="I262" s="1363">
        <f>($G164+(SUM($G262:H262)))*I$8</f>
        <v>0</v>
      </c>
      <c r="J262" s="1363">
        <f>IF(COUNT($H262:I262)&gt;='RFM input'!$V$7,0,($G164+(SUM($G262:I262)))*J$8)</f>
        <v>0</v>
      </c>
      <c r="K262" s="1363">
        <f>IF(COUNT($H262:J262)&gt;='RFM input'!$V$7,0,($G164+(SUM($G262:J262)))*K$8)</f>
        <v>0</v>
      </c>
      <c r="L262" s="1341">
        <f>IF(COUNT($H262:K262)&gt;='RFM input'!$V$7,0,($G164+(SUM($G262:K262)))*L$8)</f>
        <v>0</v>
      </c>
      <c r="M262" s="1341">
        <f>IF(COUNT($H262:L262)&gt;='RFM input'!$V$7,0,($G164+(SUM($G262:L262)))*M$8)</f>
        <v>0</v>
      </c>
      <c r="N262" s="1341">
        <f>IF(COUNT($H262:M262)&gt;='RFM input'!$V$7,0,($G164+(SUM($G262:M262)))*N$8)</f>
        <v>0</v>
      </c>
      <c r="O262" s="1341">
        <f>IF(COUNT($H262:N262)&gt;='RFM input'!$V$7,0,($G164+(SUM($G262:N262)))*O$8)</f>
        <v>0</v>
      </c>
      <c r="P262" s="1341">
        <f>IF(COUNT($H262:O262)&gt;='RFM input'!$V$7,0,($G164+(SUM($G262:O262)))*P$8)</f>
        <v>0</v>
      </c>
      <c r="Q262" s="1341">
        <f>IF(COUNT($H262:P262)&gt;='RFM input'!$V$7,0,($G164+(SUM($G262:P262)))*Q$8)</f>
        <v>0</v>
      </c>
      <c r="R262" s="71"/>
      <c r="S262" s="71"/>
      <c r="T262" s="71"/>
      <c r="U262" s="71"/>
      <c r="V262" s="71"/>
      <c r="W262" s="71"/>
      <c r="X262" s="71"/>
      <c r="Y262" s="71"/>
      <c r="Z262" s="71"/>
      <c r="AA262" s="152"/>
    </row>
    <row r="263" spans="1:63" hidden="1" outlineLevel="1">
      <c r="A263" s="3"/>
      <c r="B263" s="29"/>
      <c r="C263" s="139" t="s">
        <v>24</v>
      </c>
      <c r="D263" s="3"/>
      <c r="E263" s="3"/>
      <c r="F263" s="91"/>
      <c r="G263" s="1359"/>
      <c r="H263" s="1341"/>
      <c r="I263" s="1363">
        <f>IF(COUNT($H262:I262)='RFM input'!$V$7,SUM($G262:I262),0)</f>
        <v>0</v>
      </c>
      <c r="J263" s="1363">
        <f>IF(COUNT($H262:J262)='RFM input'!$V$7,SUM($G262:J262),0)</f>
        <v>0</v>
      </c>
      <c r="K263" s="1363">
        <f>IF(COUNT($H262:K262)='RFM input'!$V$7,SUM($G262:K262),0)</f>
        <v>0</v>
      </c>
      <c r="L263" s="1341">
        <f>IF(COUNT($H262:L262)='RFM input'!$V$7,SUM($G262:L262),0)</f>
        <v>0</v>
      </c>
      <c r="M263" s="1341">
        <f>IF(COUNT($H262:M262)='RFM input'!$V$7,SUM($G262:M262),0)</f>
        <v>0</v>
      </c>
      <c r="N263" s="1341">
        <f>IF(COUNT($H262:N262)='RFM input'!$V$7,SUM($G262:N262),0)</f>
        <v>0</v>
      </c>
      <c r="O263" s="1341">
        <f>IF(COUNT($H262:O262)='RFM input'!$V$7,SUM($G262:O262),0)</f>
        <v>0</v>
      </c>
      <c r="P263" s="1341">
        <f>IF(COUNT($H262:P262)='RFM input'!$V$7,SUM($G262:P262),0)</f>
        <v>0</v>
      </c>
      <c r="Q263" s="1341">
        <f>IF(COUNT($H262:Q262)='RFM input'!$V$7,SUM($G262:Q262),0)</f>
        <v>0</v>
      </c>
      <c r="R263" s="71"/>
      <c r="S263" s="71"/>
      <c r="T263" s="71"/>
      <c r="U263" s="71"/>
      <c r="V263" s="71"/>
      <c r="W263" s="71"/>
      <c r="X263" s="71"/>
      <c r="Y263" s="71"/>
      <c r="Z263" s="71"/>
      <c r="AA263" s="152"/>
    </row>
    <row r="264" spans="1:63" hidden="1" outlineLevel="1">
      <c r="A264" s="3"/>
      <c r="B264" s="29"/>
      <c r="C264" s="139">
        <f>Asset48</f>
        <v>0</v>
      </c>
      <c r="D264" s="3"/>
      <c r="E264" s="3"/>
      <c r="F264" s="91"/>
      <c r="G264" s="1359"/>
      <c r="H264" s="1341">
        <f>($G165+(SUM($G264:G264)))*H$8</f>
        <v>0</v>
      </c>
      <c r="I264" s="1363">
        <f>($G165+(SUM($G264:H264)))*I$8</f>
        <v>0</v>
      </c>
      <c r="J264" s="1363">
        <f>IF(COUNT($H264:I264)&gt;='RFM input'!$V$7,0,($G165+(SUM($G264:I264)))*J$8)</f>
        <v>0</v>
      </c>
      <c r="K264" s="1363">
        <f>IF(COUNT($H264:J264)&gt;='RFM input'!$V$7,0,($G165+(SUM($G264:J264)))*K$8)</f>
        <v>0</v>
      </c>
      <c r="L264" s="1341">
        <f>IF(COUNT($H264:K264)&gt;='RFM input'!$V$7,0,($G165+(SUM($G264:K264)))*L$8)</f>
        <v>0</v>
      </c>
      <c r="M264" s="1341">
        <f>IF(COUNT($H264:L264)&gt;='RFM input'!$V$7,0,($G165+(SUM($G264:L264)))*M$8)</f>
        <v>0</v>
      </c>
      <c r="N264" s="1341">
        <f>IF(COUNT($H264:M264)&gt;='RFM input'!$V$7,0,($G165+(SUM($G264:M264)))*N$8)</f>
        <v>0</v>
      </c>
      <c r="O264" s="1341">
        <f>IF(COUNT($H264:N264)&gt;='RFM input'!$V$7,0,($G165+(SUM($G264:N264)))*O$8)</f>
        <v>0</v>
      </c>
      <c r="P264" s="1341">
        <f>IF(COUNT($H264:O264)&gt;='RFM input'!$V$7,0,($G165+(SUM($G264:O264)))*P$8)</f>
        <v>0</v>
      </c>
      <c r="Q264" s="1341">
        <f>IF(COUNT($H264:P264)&gt;='RFM input'!$V$7,0,($G165+(SUM($G264:P264)))*Q$8)</f>
        <v>0</v>
      </c>
      <c r="R264" s="71"/>
      <c r="S264" s="71"/>
      <c r="T264" s="71"/>
      <c r="U264" s="71"/>
      <c r="V264" s="71"/>
      <c r="W264" s="71"/>
      <c r="X264" s="71"/>
      <c r="Y264" s="71"/>
      <c r="Z264" s="71"/>
      <c r="AA264" s="152"/>
    </row>
    <row r="265" spans="1:63" hidden="1" outlineLevel="1">
      <c r="A265" s="3"/>
      <c r="B265" s="29"/>
      <c r="C265" s="139" t="s">
        <v>24</v>
      </c>
      <c r="D265" s="3"/>
      <c r="E265" s="3"/>
      <c r="F265" s="91"/>
      <c r="G265" s="1359"/>
      <c r="H265" s="1341"/>
      <c r="I265" s="1363">
        <f>IF(COUNT($H264:I264)='RFM input'!$V$7,SUM($G264:I264),0)</f>
        <v>0</v>
      </c>
      <c r="J265" s="1363">
        <f>IF(COUNT($H264:J264)='RFM input'!$V$7,SUM($G264:J264),0)</f>
        <v>0</v>
      </c>
      <c r="K265" s="1363">
        <f>IF(COUNT($H264:K264)='RFM input'!$V$7,SUM($G264:K264),0)</f>
        <v>0</v>
      </c>
      <c r="L265" s="1341">
        <f>IF(COUNT($H264:L264)='RFM input'!$V$7,SUM($G264:L264),0)</f>
        <v>0</v>
      </c>
      <c r="M265" s="1341">
        <f>IF(COUNT($H264:M264)='RFM input'!$V$7,SUM($G264:M264),0)</f>
        <v>0</v>
      </c>
      <c r="N265" s="1341">
        <f>IF(COUNT($H264:N264)='RFM input'!$V$7,SUM($G264:N264),0)</f>
        <v>0</v>
      </c>
      <c r="O265" s="1341">
        <f>IF(COUNT($H264:O264)='RFM input'!$V$7,SUM($G264:O264),0)</f>
        <v>0</v>
      </c>
      <c r="P265" s="1341">
        <f>IF(COUNT($H264:P264)='RFM input'!$V$7,SUM($G264:P264),0)</f>
        <v>0</v>
      </c>
      <c r="Q265" s="1341">
        <f>IF(COUNT($H264:Q264)='RFM input'!$V$7,SUM($G264:Q264),0)</f>
        <v>0</v>
      </c>
      <c r="R265" s="71"/>
      <c r="S265" s="71"/>
      <c r="T265" s="71"/>
      <c r="U265" s="71"/>
      <c r="V265" s="71"/>
      <c r="W265" s="71"/>
      <c r="X265" s="71"/>
      <c r="Y265" s="71"/>
      <c r="Z265" s="71"/>
      <c r="AA265" s="152"/>
    </row>
    <row r="266" spans="1:63" hidden="1" outlineLevel="1">
      <c r="A266" s="3"/>
      <c r="B266" s="29"/>
      <c r="C266" s="139">
        <f>Asset49</f>
        <v>0</v>
      </c>
      <c r="D266" s="3"/>
      <c r="E266" s="3"/>
      <c r="F266" s="91"/>
      <c r="G266" s="1359"/>
      <c r="H266" s="1341">
        <f>($G166+(SUM($G266:G266)))*H$8</f>
        <v>0</v>
      </c>
      <c r="I266" s="1363">
        <f>($G166+(SUM($G266:H266)))*I$8</f>
        <v>0</v>
      </c>
      <c r="J266" s="1363">
        <f>IF(COUNT($H266:I266)&gt;='RFM input'!$V$7,0,($G166+(SUM($G266:I266)))*J$8)</f>
        <v>0</v>
      </c>
      <c r="K266" s="1363">
        <f>IF(COUNT($H266:J266)&gt;='RFM input'!$V$7,0,($G166+(SUM($G266:J266)))*K$8)</f>
        <v>0</v>
      </c>
      <c r="L266" s="1341">
        <f>IF(COUNT($H266:K266)&gt;='RFM input'!$V$7,0,($G166+(SUM($G266:K266)))*L$8)</f>
        <v>0</v>
      </c>
      <c r="M266" s="1341">
        <f>IF(COUNT($H266:L266)&gt;='RFM input'!$V$7,0,($G166+(SUM($G266:L266)))*M$8)</f>
        <v>0</v>
      </c>
      <c r="N266" s="1341">
        <f>IF(COUNT($H266:M266)&gt;='RFM input'!$V$7,0,($G166+(SUM($G266:M266)))*N$8)</f>
        <v>0</v>
      </c>
      <c r="O266" s="1341">
        <f>IF(COUNT($H266:N266)&gt;='RFM input'!$V$7,0,($G166+(SUM($G266:N266)))*O$8)</f>
        <v>0</v>
      </c>
      <c r="P266" s="1341">
        <f>IF(COUNT($H266:O266)&gt;='RFM input'!$V$7,0,($G166+(SUM($G266:O266)))*P$8)</f>
        <v>0</v>
      </c>
      <c r="Q266" s="1341">
        <f>IF(COUNT($H266:P266)&gt;='RFM input'!$V$7,0,($G166+(SUM($G266:P266)))*Q$8)</f>
        <v>0</v>
      </c>
      <c r="R266" s="71"/>
      <c r="S266" s="71"/>
      <c r="T266" s="71"/>
      <c r="U266" s="71"/>
      <c r="V266" s="71"/>
      <c r="W266" s="71"/>
      <c r="X266" s="71"/>
      <c r="Y266" s="71"/>
      <c r="Z266" s="71"/>
      <c r="AA266" s="152"/>
    </row>
    <row r="267" spans="1:63" hidden="1" outlineLevel="1">
      <c r="A267" s="3"/>
      <c r="B267" s="29"/>
      <c r="C267" s="139" t="s">
        <v>24</v>
      </c>
      <c r="D267" s="3"/>
      <c r="E267" s="3"/>
      <c r="F267" s="91"/>
      <c r="G267" s="1359"/>
      <c r="H267" s="1341"/>
      <c r="I267" s="1363">
        <f>IF(COUNT($H266:I266)='RFM input'!$V$7,SUM($G266:I266),0)</f>
        <v>0</v>
      </c>
      <c r="J267" s="1363">
        <f>IF(COUNT($H266:J266)='RFM input'!$V$7,SUM($G266:J266),0)</f>
        <v>0</v>
      </c>
      <c r="K267" s="1363">
        <f>IF(COUNT($H266:K266)='RFM input'!$V$7,SUM($G266:K266),0)</f>
        <v>0</v>
      </c>
      <c r="L267" s="1341">
        <f>IF(COUNT($H266:L266)='RFM input'!$V$7,SUM($G266:L266),0)</f>
        <v>0</v>
      </c>
      <c r="M267" s="1341">
        <f>IF(COUNT($H266:M266)='RFM input'!$V$7,SUM($G266:M266),0)</f>
        <v>0</v>
      </c>
      <c r="N267" s="1341">
        <f>IF(COUNT($H266:N266)='RFM input'!$V$7,SUM($G266:N266),0)</f>
        <v>0</v>
      </c>
      <c r="O267" s="1341">
        <f>IF(COUNT($H266:O266)='RFM input'!$V$7,SUM($G266:O266),0)</f>
        <v>0</v>
      </c>
      <c r="P267" s="1341">
        <f>IF(COUNT($H266:P266)='RFM input'!$V$7,SUM($G266:P266),0)</f>
        <v>0</v>
      </c>
      <c r="Q267" s="1341">
        <f>IF(COUNT($H266:Q266)='RFM input'!$V$7,SUM($G266:Q266),0)</f>
        <v>0</v>
      </c>
      <c r="R267" s="71"/>
      <c r="S267" s="71"/>
      <c r="T267" s="71"/>
      <c r="U267" s="71"/>
      <c r="V267" s="71"/>
      <c r="W267" s="71"/>
      <c r="X267" s="71"/>
      <c r="Y267" s="71"/>
      <c r="Z267" s="71"/>
      <c r="AA267" s="152"/>
    </row>
    <row r="268" spans="1:63" hidden="1" outlineLevel="1">
      <c r="A268" s="3"/>
      <c r="B268" s="29"/>
      <c r="C268" s="139">
        <f>Asset50</f>
        <v>0</v>
      </c>
      <c r="D268" s="3"/>
      <c r="E268" s="3"/>
      <c r="F268" s="91"/>
      <c r="G268" s="1359"/>
      <c r="H268" s="1341">
        <f>($G167+(SUM($G268:G268)))*H$8</f>
        <v>0</v>
      </c>
      <c r="I268" s="1363">
        <f>($G167+(SUM($G268:H268)))*I$8</f>
        <v>0</v>
      </c>
      <c r="J268" s="1363">
        <f>IF(COUNT($H268:I268)&gt;='RFM input'!$V$7,0,($G167+(SUM($G268:I268)))*J$8)</f>
        <v>0</v>
      </c>
      <c r="K268" s="1363">
        <f>IF(COUNT($H268:J268)&gt;='RFM input'!$V$7,0,($G167+(SUM($G268:J268)))*K$8)</f>
        <v>0</v>
      </c>
      <c r="L268" s="1341">
        <f>IF(COUNT($H268:K268)&gt;='RFM input'!$V$7,0,($G167+(SUM($G268:K268)))*L$8)</f>
        <v>0</v>
      </c>
      <c r="M268" s="1341">
        <f>IF(COUNT($H268:L268)&gt;='RFM input'!$V$7,0,($G167+(SUM($G268:L268)))*M$8)</f>
        <v>0</v>
      </c>
      <c r="N268" s="1341">
        <f>IF(COUNT($H268:M268)&gt;='RFM input'!$V$7,0,($G167+(SUM($G268:M268)))*N$8)</f>
        <v>0</v>
      </c>
      <c r="O268" s="1341">
        <f>IF(COUNT($H268:N268)&gt;='RFM input'!$V$7,0,($G167+(SUM($G268:N268)))*O$8)</f>
        <v>0</v>
      </c>
      <c r="P268" s="1341">
        <f>IF(COUNT($H268:O268)&gt;='RFM input'!$V$7,0,($G167+(SUM($G268:O268)))*P$8)</f>
        <v>0</v>
      </c>
      <c r="Q268" s="1341">
        <f>IF(COUNT($H268:P268)&gt;='RFM input'!$V$7,0,($G167+(SUM($G268:P268)))*Q$8)</f>
        <v>0</v>
      </c>
      <c r="R268" s="71"/>
      <c r="S268" s="71"/>
      <c r="T268" s="71"/>
      <c r="U268" s="71"/>
      <c r="V268" s="71"/>
      <c r="W268" s="71"/>
      <c r="X268" s="71"/>
      <c r="Y268" s="71"/>
      <c r="Z268" s="71"/>
      <c r="AA268" s="152"/>
    </row>
    <row r="269" spans="1:63" hidden="1" outlineLevel="1">
      <c r="A269" s="3"/>
      <c r="B269" s="29"/>
      <c r="C269" s="139" t="s">
        <v>24</v>
      </c>
      <c r="D269" s="3"/>
      <c r="E269" s="3"/>
      <c r="F269" s="91"/>
      <c r="G269" s="1359"/>
      <c r="H269" s="1341"/>
      <c r="I269" s="1363">
        <f>IF(COUNT($H268:I268)='RFM input'!$V$7,SUM($G268:I268),0)</f>
        <v>0</v>
      </c>
      <c r="J269" s="1363">
        <f>IF(COUNT($H268:J268)='RFM input'!$V$7,SUM($G268:J268),0)</f>
        <v>0</v>
      </c>
      <c r="K269" s="1363">
        <f>IF(COUNT($H268:K268)='RFM input'!$V$7,SUM($G268:K268),0)</f>
        <v>0</v>
      </c>
      <c r="L269" s="1341">
        <f>IF(COUNT($H268:L268)='RFM input'!$V$7,SUM($G268:L268),0)</f>
        <v>0</v>
      </c>
      <c r="M269" s="1341">
        <f>IF(COUNT($H268:M268)='RFM input'!$V$7,SUM($G268:M268),0)</f>
        <v>0</v>
      </c>
      <c r="N269" s="1341">
        <f>IF(COUNT($H268:N268)='RFM input'!$V$7,SUM($G268:N268),0)</f>
        <v>0</v>
      </c>
      <c r="O269" s="1341">
        <f>IF(COUNT($H268:O268)='RFM input'!$V$7,SUM($G268:O268),0)</f>
        <v>0</v>
      </c>
      <c r="P269" s="1341">
        <f>IF(COUNT($H268:P268)='RFM input'!$V$7,SUM($G268:P268),0)</f>
        <v>0</v>
      </c>
      <c r="Q269" s="1341">
        <f>IF(COUNT($H268:Q268)='RFM input'!$V$7,SUM($G268:Q268),0)</f>
        <v>0</v>
      </c>
      <c r="R269" s="71"/>
      <c r="S269" s="71"/>
      <c r="T269" s="71"/>
      <c r="U269" s="71"/>
      <c r="V269" s="71"/>
      <c r="W269" s="71"/>
      <c r="X269" s="71"/>
      <c r="Y269" s="71"/>
      <c r="Z269" s="71"/>
      <c r="AA269" s="152"/>
    </row>
    <row r="270" spans="1:63" collapsed="1">
      <c r="A270" s="3"/>
      <c r="B270" s="107" t="s">
        <v>32</v>
      </c>
      <c r="D270" s="3"/>
      <c r="E270" s="3"/>
      <c r="F270" s="91"/>
      <c r="G270" s="1364"/>
      <c r="H270" s="1362"/>
      <c r="I270" s="1365">
        <f>IF(COUNT($H169:I169)='RFM input'!$V$7, SUM($G169:I169), 0)</f>
        <v>0</v>
      </c>
      <c r="J270" s="1365">
        <f>IF(COUNT($H169:J169)='RFM input'!$V$7, SUM($G169:J169), 0)</f>
        <v>0</v>
      </c>
      <c r="K270" s="1365">
        <f>IF(COUNT($H169:K169)='RFM input'!$V$7, SUM($G169:K169), 0)</f>
        <v>0</v>
      </c>
      <c r="L270" s="1362">
        <f>IF(COUNT($H169:L169)='RFM input'!$V$7, SUM($G169:L169), 0)</f>
        <v>0</v>
      </c>
      <c r="M270" s="1362">
        <f>IF(COUNT($H169:M169)='RFM input'!$V$7, SUM($G169:M169), 0)</f>
        <v>0</v>
      </c>
      <c r="N270" s="1362">
        <f>IF(COUNT($H169:N169)='RFM input'!$V$7, SUM($G169:N169), 0)</f>
        <v>15.158591234787629</v>
      </c>
      <c r="O270" s="1362">
        <f>IF(COUNT($H169:O169)='RFM input'!$V$7, SUM($G169:O169), 0)</f>
        <v>0</v>
      </c>
      <c r="P270" s="1362">
        <f>IF(COUNT($H169:P169)='RFM input'!$V$7, SUM($G169:P169), 0)</f>
        <v>0</v>
      </c>
      <c r="Q270" s="1362">
        <f>IF(COUNT($H169:Q169)='RFM input'!$V$7, SUM($G169:Q169), 0)</f>
        <v>0</v>
      </c>
      <c r="R270" s="71"/>
      <c r="S270" s="71"/>
      <c r="T270" s="71"/>
      <c r="U270" s="71"/>
      <c r="V270" s="71"/>
      <c r="W270" s="71"/>
      <c r="X270" s="71"/>
      <c r="Y270" s="71"/>
      <c r="Z270" s="71"/>
      <c r="AA270" s="152"/>
    </row>
    <row r="271" spans="1:63">
      <c r="A271" s="3"/>
      <c r="B271" s="96"/>
      <c r="C271" s="16"/>
      <c r="D271" s="3"/>
      <c r="E271" s="3"/>
      <c r="F271" s="91"/>
      <c r="G271" s="1362"/>
      <c r="H271" s="1362"/>
      <c r="I271" s="1362"/>
      <c r="J271" s="1362"/>
      <c r="K271" s="1362"/>
      <c r="L271" s="1362"/>
      <c r="M271" s="248"/>
      <c r="N271" s="1341"/>
      <c r="O271" s="1362"/>
      <c r="P271" s="1362"/>
      <c r="Q271" s="1362"/>
      <c r="R271" s="71"/>
      <c r="S271" s="71"/>
      <c r="T271" s="71"/>
      <c r="U271" s="71"/>
      <c r="V271" s="71"/>
      <c r="W271" s="71"/>
      <c r="X271" s="71"/>
      <c r="Y271" s="71"/>
      <c r="Z271" s="71"/>
      <c r="AA271" s="390"/>
    </row>
    <row r="272" spans="1:63">
      <c r="A272" s="402"/>
      <c r="B272" s="402" t="s">
        <v>592</v>
      </c>
      <c r="C272" s="403"/>
      <c r="D272" s="403"/>
      <c r="E272" s="403"/>
      <c r="F272" s="403"/>
      <c r="G272" s="1366"/>
      <c r="H272" s="1367"/>
      <c r="I272" s="1367"/>
      <c r="J272" s="1368"/>
      <c r="K272" s="1368"/>
      <c r="L272" s="1368"/>
      <c r="M272" s="1368"/>
      <c r="N272" s="1368"/>
      <c r="O272" s="1368"/>
      <c r="P272" s="1368"/>
      <c r="Q272" s="1368"/>
      <c r="R272" s="48"/>
      <c r="S272" s="90"/>
      <c r="T272" s="90"/>
      <c r="U272" s="90"/>
      <c r="V272" s="90"/>
      <c r="W272" s="90"/>
      <c r="X272" s="90"/>
      <c r="Y272" s="90"/>
      <c r="Z272" s="90"/>
      <c r="AA272" s="407"/>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43"/>
      <c r="AZ272" s="243"/>
      <c r="BA272" s="243"/>
      <c r="BB272" s="243"/>
      <c r="BC272" s="243"/>
      <c r="BD272" s="243"/>
      <c r="BE272" s="243"/>
      <c r="BF272" s="243"/>
      <c r="BG272" s="243"/>
      <c r="BH272" s="243"/>
      <c r="BI272" s="243"/>
      <c r="BJ272" s="244"/>
      <c r="BK272" s="244"/>
    </row>
    <row r="273" spans="1:63">
      <c r="A273" s="1457"/>
      <c r="B273" s="404"/>
      <c r="C273" s="405"/>
      <c r="D273" s="405"/>
      <c r="E273" s="405"/>
      <c r="F273" s="405"/>
      <c r="G273" s="1369"/>
      <c r="H273" s="1370"/>
      <c r="I273" s="1370"/>
      <c r="J273" s="1370"/>
      <c r="K273" s="1370"/>
      <c r="L273" s="1370"/>
      <c r="M273" s="1370"/>
      <c r="N273" s="1370"/>
      <c r="O273" s="1370"/>
      <c r="P273" s="1370"/>
      <c r="Q273" s="1370"/>
      <c r="R273" s="407"/>
      <c r="S273" s="34"/>
      <c r="T273" s="90"/>
      <c r="U273" s="90"/>
      <c r="V273" s="90"/>
      <c r="W273" s="90"/>
      <c r="X273" s="90"/>
      <c r="Y273" s="90"/>
      <c r="Z273" s="90"/>
      <c r="AA273" s="407"/>
      <c r="AB273" s="243"/>
      <c r="AC273" s="243"/>
      <c r="AD273" s="243"/>
      <c r="AE273" s="243"/>
      <c r="AF273" s="243"/>
      <c r="AG273" s="243"/>
      <c r="AH273" s="243"/>
      <c r="AI273" s="243"/>
      <c r="AJ273" s="243"/>
      <c r="AK273" s="243"/>
      <c r="AL273" s="243"/>
      <c r="AM273" s="243"/>
      <c r="AN273" s="243"/>
      <c r="AO273" s="243"/>
      <c r="AP273" s="243"/>
      <c r="AQ273" s="243"/>
      <c r="AR273" s="243"/>
      <c r="AS273" s="243"/>
      <c r="AT273" s="243"/>
      <c r="AU273" s="243"/>
      <c r="AV273" s="243"/>
      <c r="AW273" s="243"/>
      <c r="AX273" s="243"/>
      <c r="AY273" s="243"/>
      <c r="AZ273" s="243"/>
      <c r="BA273" s="243"/>
      <c r="BB273" s="243"/>
      <c r="BC273" s="243"/>
      <c r="BD273" s="243"/>
      <c r="BE273" s="243"/>
      <c r="BF273" s="243"/>
      <c r="BG273" s="243"/>
      <c r="BH273" s="243"/>
      <c r="BI273" s="243"/>
      <c r="BJ273" s="244"/>
      <c r="BK273" s="244"/>
    </row>
    <row r="274" spans="1:63">
      <c r="A274" s="152"/>
      <c r="B274" s="408" t="s">
        <v>585</v>
      </c>
      <c r="C274" s="390"/>
      <c r="D274" s="390"/>
      <c r="E274" s="390"/>
      <c r="F274" s="409">
        <f>SUM(F275:F324)</f>
        <v>0</v>
      </c>
      <c r="G274" s="1371">
        <f>SUM(G275:G324)</f>
        <v>0</v>
      </c>
      <c r="H274" s="1370"/>
      <c r="I274" s="1370"/>
      <c r="J274" s="1370"/>
      <c r="K274" s="1370"/>
      <c r="L274" s="1370"/>
      <c r="M274" s="1370"/>
      <c r="N274" s="1370"/>
      <c r="O274" s="1370"/>
      <c r="P274" s="1370"/>
      <c r="Q274" s="1370"/>
      <c r="R274" s="410"/>
      <c r="S274" s="71"/>
      <c r="T274" s="71"/>
      <c r="U274" s="71"/>
      <c r="V274" s="71"/>
      <c r="W274" s="71"/>
      <c r="X274" s="71"/>
      <c r="Y274" s="71"/>
      <c r="Z274" s="71"/>
      <c r="AA274" s="390"/>
    </row>
    <row r="275" spans="1:63" hidden="1" outlineLevel="1">
      <c r="A275" s="152"/>
      <c r="B275" s="411"/>
      <c r="C275" s="412" t="str">
        <f>Asset1</f>
        <v>Mains</v>
      </c>
      <c r="D275" s="390"/>
      <c r="E275" s="390"/>
      <c r="F275" s="413">
        <f>IF('RFM input'!$F$467='RFM input'!$G$467,'RFM input'!G475*(1+F$8)^0.5,0)</f>
        <v>0</v>
      </c>
      <c r="G275" s="1371">
        <f>F275*(1+$G$6)</f>
        <v>0</v>
      </c>
      <c r="H275" s="1370"/>
      <c r="I275" s="1370"/>
      <c r="J275" s="1370"/>
      <c r="K275" s="1370"/>
      <c r="L275" s="1370"/>
      <c r="M275" s="1370"/>
      <c r="N275" s="1370"/>
      <c r="O275" s="1370"/>
      <c r="P275" s="1370"/>
      <c r="Q275" s="1370"/>
      <c r="R275" s="410"/>
      <c r="S275" s="71"/>
      <c r="T275" s="71"/>
      <c r="U275" s="71"/>
      <c r="V275" s="71"/>
      <c r="W275" s="71"/>
      <c r="X275" s="71"/>
      <c r="Y275" s="71"/>
      <c r="Z275" s="71"/>
      <c r="AA275" s="152"/>
    </row>
    <row r="276" spans="1:63" hidden="1" outlineLevel="1">
      <c r="A276" s="152"/>
      <c r="B276" s="411"/>
      <c r="C276" s="412" t="str">
        <f>Asset2</f>
        <v>Inlets</v>
      </c>
      <c r="D276" s="390"/>
      <c r="E276" s="390"/>
      <c r="F276" s="413">
        <f>IF('RFM input'!$F$467='RFM input'!$G$467,'RFM input'!G476*(1+F$8)^0.5,0)</f>
        <v>0</v>
      </c>
      <c r="G276" s="1371">
        <f t="shared" ref="G276:G324" si="2">F276*(1+$G$6)</f>
        <v>0</v>
      </c>
      <c r="H276" s="1370"/>
      <c r="I276" s="1370"/>
      <c r="J276" s="1370"/>
      <c r="K276" s="1370"/>
      <c r="L276" s="1370"/>
      <c r="M276" s="1370"/>
      <c r="N276" s="1370"/>
      <c r="O276" s="1370"/>
      <c r="P276" s="1370"/>
      <c r="Q276" s="1370"/>
      <c r="R276" s="410"/>
      <c r="S276" s="71"/>
      <c r="T276" s="71"/>
      <c r="U276" s="71"/>
      <c r="V276" s="71"/>
      <c r="W276" s="71"/>
      <c r="X276" s="71"/>
      <c r="Y276" s="71"/>
      <c r="Z276" s="71"/>
      <c r="AA276" s="152"/>
    </row>
    <row r="277" spans="1:63" hidden="1" outlineLevel="1">
      <c r="A277" s="152"/>
      <c r="B277" s="411"/>
      <c r="C277" s="412" t="str">
        <f>Asset3</f>
        <v>Meters</v>
      </c>
      <c r="D277" s="390"/>
      <c r="E277" s="390"/>
      <c r="F277" s="413">
        <f>IF('RFM input'!$F$467='RFM input'!$G$467,'RFM input'!G477*(1+F$8)^0.5,0)</f>
        <v>0</v>
      </c>
      <c r="G277" s="1371">
        <f t="shared" si="2"/>
        <v>0</v>
      </c>
      <c r="H277" s="1370"/>
      <c r="I277" s="1370"/>
      <c r="J277" s="1370"/>
      <c r="K277" s="1370"/>
      <c r="L277" s="1370"/>
      <c r="M277" s="1370"/>
      <c r="N277" s="1370"/>
      <c r="O277" s="1370"/>
      <c r="P277" s="1370"/>
      <c r="Q277" s="1370"/>
      <c r="R277" s="410"/>
      <c r="S277" s="71"/>
      <c r="T277" s="71"/>
      <c r="U277" s="71"/>
      <c r="V277" s="71"/>
      <c r="W277" s="71"/>
      <c r="X277" s="71"/>
      <c r="Y277" s="71"/>
      <c r="Z277" s="71"/>
      <c r="AA277" s="152"/>
    </row>
    <row r="278" spans="1:63" hidden="1" outlineLevel="1">
      <c r="A278" s="152"/>
      <c r="B278" s="411"/>
      <c r="C278" s="412" t="str">
        <f>Asset4</f>
        <v>Telemetry</v>
      </c>
      <c r="D278" s="390"/>
      <c r="E278" s="390"/>
      <c r="F278" s="413">
        <f>IF('RFM input'!$F$467='RFM input'!$G$467,'RFM input'!G478*(1+F$8)^0.5,0)</f>
        <v>0</v>
      </c>
      <c r="G278" s="1371">
        <f t="shared" si="2"/>
        <v>0</v>
      </c>
      <c r="H278" s="1370"/>
      <c r="I278" s="1370"/>
      <c r="J278" s="1370"/>
      <c r="K278" s="1370"/>
      <c r="L278" s="1370"/>
      <c r="M278" s="1370"/>
      <c r="N278" s="1370"/>
      <c r="O278" s="1370"/>
      <c r="P278" s="1370"/>
      <c r="Q278" s="1370"/>
      <c r="R278" s="410"/>
      <c r="S278" s="71"/>
      <c r="T278" s="71"/>
      <c r="U278" s="71"/>
      <c r="V278" s="71"/>
      <c r="W278" s="71"/>
      <c r="X278" s="71"/>
      <c r="Y278" s="71"/>
      <c r="Z278" s="71"/>
      <c r="AA278" s="152"/>
    </row>
    <row r="279" spans="1:63" hidden="1" outlineLevel="1">
      <c r="A279" s="152"/>
      <c r="B279" s="411"/>
      <c r="C279" s="412" t="str">
        <f>Asset5</f>
        <v>IT System</v>
      </c>
      <c r="D279" s="390"/>
      <c r="E279" s="390"/>
      <c r="F279" s="413">
        <f>IF('RFM input'!$F$467='RFM input'!$G$467,'RFM input'!G479*(1+F$8)^0.5,0)</f>
        <v>0</v>
      </c>
      <c r="G279" s="1371">
        <f t="shared" si="2"/>
        <v>0</v>
      </c>
      <c r="H279" s="1370"/>
      <c r="I279" s="1370"/>
      <c r="J279" s="1370"/>
      <c r="K279" s="1370"/>
      <c r="L279" s="1370"/>
      <c r="M279" s="1370"/>
      <c r="N279" s="1370"/>
      <c r="O279" s="1370"/>
      <c r="P279" s="1370"/>
      <c r="Q279" s="1370"/>
      <c r="R279" s="410"/>
      <c r="S279" s="71"/>
      <c r="T279" s="71"/>
      <c r="U279" s="71"/>
      <c r="V279" s="71"/>
      <c r="W279" s="71"/>
      <c r="X279" s="71"/>
      <c r="Y279" s="71"/>
      <c r="Z279" s="71"/>
      <c r="AA279" s="152"/>
    </row>
    <row r="280" spans="1:63" hidden="1" outlineLevel="1">
      <c r="A280" s="152"/>
      <c r="B280" s="411"/>
      <c r="C280" s="412" t="str">
        <f>Asset6</f>
        <v>Other Distribution System Equipment</v>
      </c>
      <c r="D280" s="390"/>
      <c r="E280" s="390"/>
      <c r="F280" s="413">
        <f>IF('RFM input'!$F$467='RFM input'!$G$467,'RFM input'!G480*(1+F$8)^0.5,0)</f>
        <v>0</v>
      </c>
      <c r="G280" s="1371">
        <f t="shared" si="2"/>
        <v>0</v>
      </c>
      <c r="H280" s="1370"/>
      <c r="I280" s="1370"/>
      <c r="J280" s="1370"/>
      <c r="K280" s="1370"/>
      <c r="L280" s="1370"/>
      <c r="M280" s="1370"/>
      <c r="N280" s="1370"/>
      <c r="O280" s="1370"/>
      <c r="P280" s="1370"/>
      <c r="Q280" s="1370"/>
      <c r="R280" s="410"/>
      <c r="S280" s="71"/>
      <c r="T280" s="71"/>
      <c r="U280" s="71"/>
      <c r="V280" s="71"/>
      <c r="W280" s="71"/>
      <c r="X280" s="71"/>
      <c r="Y280" s="71"/>
      <c r="Z280" s="71"/>
      <c r="AA280" s="152"/>
    </row>
    <row r="281" spans="1:63" hidden="1" outlineLevel="1">
      <c r="A281" s="152"/>
      <c r="B281" s="411"/>
      <c r="C281" s="412" t="str">
        <f>Asset7</f>
        <v>Other</v>
      </c>
      <c r="D281" s="390"/>
      <c r="E281" s="390"/>
      <c r="F281" s="413">
        <f>IF('RFM input'!$F$467='RFM input'!$G$467,'RFM input'!G481*(1+F$8)^0.5,0)</f>
        <v>0</v>
      </c>
      <c r="G281" s="1371">
        <f t="shared" si="2"/>
        <v>0</v>
      </c>
      <c r="H281" s="1370"/>
      <c r="I281" s="1370"/>
      <c r="J281" s="1370"/>
      <c r="K281" s="1370"/>
      <c r="L281" s="1370"/>
      <c r="M281" s="1370"/>
      <c r="N281" s="1370"/>
      <c r="O281" s="1370"/>
      <c r="P281" s="1370"/>
      <c r="Q281" s="1370"/>
      <c r="R281" s="410"/>
      <c r="S281" s="71"/>
      <c r="T281" s="71"/>
      <c r="U281" s="71"/>
      <c r="V281" s="71"/>
      <c r="W281" s="71"/>
      <c r="X281" s="71"/>
      <c r="Y281" s="71"/>
      <c r="Z281" s="71"/>
      <c r="AA281" s="152"/>
    </row>
    <row r="282" spans="1:63" hidden="1" outlineLevel="1">
      <c r="A282" s="152"/>
      <c r="B282" s="411"/>
      <c r="C282" s="412">
        <f>Asset8</f>
        <v>0</v>
      </c>
      <c r="D282" s="390"/>
      <c r="E282" s="390"/>
      <c r="F282" s="413">
        <f>IF('RFM input'!$F$467='RFM input'!$G$467,'RFM input'!G482*(1+F$8)^0.5,0)</f>
        <v>0</v>
      </c>
      <c r="G282" s="1371">
        <f t="shared" si="2"/>
        <v>0</v>
      </c>
      <c r="H282" s="1370"/>
      <c r="I282" s="1370"/>
      <c r="J282" s="1370"/>
      <c r="K282" s="1370"/>
      <c r="L282" s="1370"/>
      <c r="M282" s="1370"/>
      <c r="N282" s="1370"/>
      <c r="O282" s="1370"/>
      <c r="P282" s="1370"/>
      <c r="Q282" s="1370"/>
      <c r="R282" s="410"/>
      <c r="S282" s="71"/>
      <c r="T282" s="71"/>
      <c r="U282" s="71"/>
      <c r="V282" s="71"/>
      <c r="W282" s="71"/>
      <c r="X282" s="71"/>
      <c r="Y282" s="71"/>
      <c r="Z282" s="71"/>
      <c r="AA282" s="152"/>
    </row>
    <row r="283" spans="1:63" hidden="1" outlineLevel="1">
      <c r="A283" s="152"/>
      <c r="B283" s="411"/>
      <c r="C283" s="412">
        <f>Asset9</f>
        <v>0</v>
      </c>
      <c r="D283" s="390"/>
      <c r="E283" s="390"/>
      <c r="F283" s="413">
        <f>IF('RFM input'!$F$467='RFM input'!$G$467,'RFM input'!G483*(1+F$8)^0.5,0)</f>
        <v>0</v>
      </c>
      <c r="G283" s="1371">
        <f t="shared" si="2"/>
        <v>0</v>
      </c>
      <c r="H283" s="1370"/>
      <c r="I283" s="1370"/>
      <c r="J283" s="1370"/>
      <c r="K283" s="1370"/>
      <c r="L283" s="1370"/>
      <c r="M283" s="1370"/>
      <c r="N283" s="1370"/>
      <c r="O283" s="1370"/>
      <c r="P283" s="1370"/>
      <c r="Q283" s="1370"/>
      <c r="R283" s="410"/>
      <c r="S283" s="71"/>
      <c r="T283" s="71"/>
      <c r="U283" s="71"/>
      <c r="V283" s="71"/>
      <c r="W283" s="71"/>
      <c r="X283" s="71"/>
      <c r="Y283" s="71"/>
      <c r="Z283" s="71"/>
      <c r="AA283" s="152"/>
    </row>
    <row r="284" spans="1:63" hidden="1" outlineLevel="1">
      <c r="A284" s="152"/>
      <c r="B284" s="411"/>
      <c r="C284" s="412">
        <f>Asset10</f>
        <v>0</v>
      </c>
      <c r="D284" s="390"/>
      <c r="E284" s="390"/>
      <c r="F284" s="413">
        <f>IF('RFM input'!$F$467='RFM input'!$G$467,'RFM input'!G484*(1+F$8)^0.5,0)</f>
        <v>0</v>
      </c>
      <c r="G284" s="1371">
        <f t="shared" si="2"/>
        <v>0</v>
      </c>
      <c r="H284" s="1370"/>
      <c r="I284" s="1370"/>
      <c r="J284" s="1370"/>
      <c r="K284" s="1370"/>
      <c r="L284" s="1370"/>
      <c r="M284" s="1370"/>
      <c r="N284" s="1370"/>
      <c r="O284" s="1370"/>
      <c r="P284" s="1370"/>
      <c r="Q284" s="1370"/>
      <c r="R284" s="410"/>
      <c r="S284" s="71"/>
      <c r="T284" s="71"/>
      <c r="U284" s="71"/>
      <c r="V284" s="71"/>
      <c r="W284" s="71"/>
      <c r="X284" s="71"/>
      <c r="Y284" s="71"/>
      <c r="Z284" s="71"/>
      <c r="AA284" s="152"/>
    </row>
    <row r="285" spans="1:63" hidden="1" outlineLevel="1">
      <c r="A285" s="152"/>
      <c r="B285" s="411"/>
      <c r="C285" s="412">
        <f>Asset11</f>
        <v>0</v>
      </c>
      <c r="D285" s="390"/>
      <c r="E285" s="390"/>
      <c r="F285" s="413">
        <f>IF('RFM input'!$F$467='RFM input'!$G$467,'RFM input'!G485*(1+F$8)^0.5,0)</f>
        <v>0</v>
      </c>
      <c r="G285" s="1371">
        <f t="shared" si="2"/>
        <v>0</v>
      </c>
      <c r="H285" s="1370"/>
      <c r="I285" s="1370"/>
      <c r="J285" s="1370"/>
      <c r="K285" s="1370"/>
      <c r="L285" s="1370"/>
      <c r="M285" s="1370"/>
      <c r="N285" s="1370"/>
      <c r="O285" s="1370"/>
      <c r="P285" s="1370"/>
      <c r="Q285" s="1370"/>
      <c r="R285" s="410"/>
      <c r="S285" s="71"/>
      <c r="T285" s="71"/>
      <c r="U285" s="71"/>
      <c r="V285" s="71"/>
      <c r="W285" s="71"/>
      <c r="X285" s="71"/>
      <c r="Y285" s="71"/>
      <c r="Z285" s="71"/>
      <c r="AA285" s="152"/>
    </row>
    <row r="286" spans="1:63" hidden="1" outlineLevel="1">
      <c r="A286" s="152"/>
      <c r="B286" s="411"/>
      <c r="C286" s="412">
        <f>Asset12</f>
        <v>0</v>
      </c>
      <c r="D286" s="390"/>
      <c r="E286" s="390"/>
      <c r="F286" s="413">
        <f>IF('RFM input'!$F$467='RFM input'!$G$467,'RFM input'!G486*(1+F$8)^0.5,0)</f>
        <v>0</v>
      </c>
      <c r="G286" s="1371">
        <f t="shared" si="2"/>
        <v>0</v>
      </c>
      <c r="H286" s="1370"/>
      <c r="I286" s="1370"/>
      <c r="J286" s="1370"/>
      <c r="K286" s="1370"/>
      <c r="L286" s="1370"/>
      <c r="M286" s="1370"/>
      <c r="N286" s="1370"/>
      <c r="O286" s="1370"/>
      <c r="P286" s="1370"/>
      <c r="Q286" s="1370"/>
      <c r="R286" s="410"/>
      <c r="S286" s="71"/>
      <c r="T286" s="71"/>
      <c r="U286" s="71"/>
      <c r="V286" s="71"/>
      <c r="W286" s="71"/>
      <c r="X286" s="71"/>
      <c r="Y286" s="71"/>
      <c r="Z286" s="71"/>
      <c r="AA286" s="152"/>
    </row>
    <row r="287" spans="1:63" hidden="1" outlineLevel="1">
      <c r="A287" s="152"/>
      <c r="B287" s="411"/>
      <c r="C287" s="412">
        <f>Asset13</f>
        <v>0</v>
      </c>
      <c r="D287" s="390"/>
      <c r="E287" s="390"/>
      <c r="F287" s="413">
        <f>IF('RFM input'!$F$467='RFM input'!$G$467,'RFM input'!G487*(1+F$8)^0.5,0)</f>
        <v>0</v>
      </c>
      <c r="G287" s="1371">
        <f t="shared" si="2"/>
        <v>0</v>
      </c>
      <c r="H287" s="1370"/>
      <c r="I287" s="1370"/>
      <c r="J287" s="1370"/>
      <c r="K287" s="1370"/>
      <c r="L287" s="1370"/>
      <c r="M287" s="1370"/>
      <c r="N287" s="1370"/>
      <c r="O287" s="1370"/>
      <c r="P287" s="1370"/>
      <c r="Q287" s="1370"/>
      <c r="R287" s="410"/>
      <c r="S287" s="71"/>
      <c r="T287" s="71"/>
      <c r="U287" s="71"/>
      <c r="V287" s="71"/>
      <c r="W287" s="71"/>
      <c r="X287" s="71"/>
      <c r="Y287" s="71"/>
      <c r="Z287" s="71"/>
      <c r="AA287" s="152"/>
    </row>
    <row r="288" spans="1:63" hidden="1" outlineLevel="1">
      <c r="A288" s="152"/>
      <c r="B288" s="411"/>
      <c r="C288" s="412">
        <f>Asset14</f>
        <v>0</v>
      </c>
      <c r="D288" s="390"/>
      <c r="E288" s="390"/>
      <c r="F288" s="413">
        <f>IF('RFM input'!$F$467='RFM input'!$G$467,'RFM input'!G488*(1+F$8)^0.5,0)</f>
        <v>0</v>
      </c>
      <c r="G288" s="1371">
        <f t="shared" si="2"/>
        <v>0</v>
      </c>
      <c r="H288" s="1370"/>
      <c r="I288" s="1370"/>
      <c r="J288" s="1370"/>
      <c r="K288" s="1370"/>
      <c r="L288" s="1370"/>
      <c r="M288" s="1370"/>
      <c r="N288" s="1370"/>
      <c r="O288" s="1370"/>
      <c r="P288" s="1370"/>
      <c r="Q288" s="1370"/>
      <c r="R288" s="410"/>
      <c r="S288" s="71"/>
      <c r="T288" s="71"/>
      <c r="U288" s="71"/>
      <c r="V288" s="71"/>
      <c r="W288" s="71"/>
      <c r="X288" s="71"/>
      <c r="Y288" s="71"/>
      <c r="Z288" s="71"/>
      <c r="AA288" s="152"/>
    </row>
    <row r="289" spans="1:27" hidden="1" outlineLevel="1">
      <c r="A289" s="152"/>
      <c r="B289" s="411"/>
      <c r="C289" s="412">
        <f>Asset15</f>
        <v>0</v>
      </c>
      <c r="D289" s="390"/>
      <c r="E289" s="390"/>
      <c r="F289" s="413">
        <f>IF('RFM input'!$F$467='RFM input'!$G$467,'RFM input'!G489*(1+F$8)^0.5,0)</f>
        <v>0</v>
      </c>
      <c r="G289" s="1371">
        <f t="shared" si="2"/>
        <v>0</v>
      </c>
      <c r="H289" s="1370"/>
      <c r="I289" s="1370"/>
      <c r="J289" s="1370"/>
      <c r="K289" s="1370"/>
      <c r="L289" s="1370"/>
      <c r="M289" s="1370"/>
      <c r="N289" s="1370"/>
      <c r="O289" s="1370"/>
      <c r="P289" s="1370"/>
      <c r="Q289" s="1370"/>
      <c r="R289" s="410"/>
      <c r="S289" s="71"/>
      <c r="T289" s="71"/>
      <c r="U289" s="71"/>
      <c r="V289" s="71"/>
      <c r="W289" s="71"/>
      <c r="X289" s="71"/>
      <c r="Y289" s="71"/>
      <c r="Z289" s="71"/>
      <c r="AA289" s="152"/>
    </row>
    <row r="290" spans="1:27" hidden="1" outlineLevel="1">
      <c r="A290" s="152"/>
      <c r="B290" s="411"/>
      <c r="C290" s="412">
        <f>Asset16</f>
        <v>0</v>
      </c>
      <c r="D290" s="390"/>
      <c r="E290" s="390"/>
      <c r="F290" s="413">
        <f>IF('RFM input'!$F$467='RFM input'!$G$467,'RFM input'!G490*(1+F$8)^0.5,0)</f>
        <v>0</v>
      </c>
      <c r="G290" s="1371">
        <f t="shared" si="2"/>
        <v>0</v>
      </c>
      <c r="H290" s="1370"/>
      <c r="I290" s="1370"/>
      <c r="J290" s="1370"/>
      <c r="K290" s="1370"/>
      <c r="L290" s="1370"/>
      <c r="M290" s="1370"/>
      <c r="N290" s="1370"/>
      <c r="O290" s="1370"/>
      <c r="P290" s="1370"/>
      <c r="Q290" s="1370"/>
      <c r="R290" s="410"/>
      <c r="S290" s="71"/>
      <c r="T290" s="71"/>
      <c r="U290" s="71"/>
      <c r="V290" s="71"/>
      <c r="W290" s="71"/>
      <c r="X290" s="71"/>
      <c r="Y290" s="71"/>
      <c r="Z290" s="71"/>
      <c r="AA290" s="152"/>
    </row>
    <row r="291" spans="1:27" hidden="1" outlineLevel="1">
      <c r="A291" s="152"/>
      <c r="B291" s="411"/>
      <c r="C291" s="412">
        <f>Asset17</f>
        <v>0</v>
      </c>
      <c r="D291" s="390"/>
      <c r="E291" s="390"/>
      <c r="F291" s="413">
        <f>IF('RFM input'!$F$467='RFM input'!$G$467,'RFM input'!G491*(1+F$8)^0.5,0)</f>
        <v>0</v>
      </c>
      <c r="G291" s="1371">
        <f t="shared" si="2"/>
        <v>0</v>
      </c>
      <c r="H291" s="1370"/>
      <c r="I291" s="1370"/>
      <c r="J291" s="1370"/>
      <c r="K291" s="1370"/>
      <c r="L291" s="1370"/>
      <c r="M291" s="1370"/>
      <c r="N291" s="1370"/>
      <c r="O291" s="1370"/>
      <c r="P291" s="1370"/>
      <c r="Q291" s="1370"/>
      <c r="R291" s="410"/>
      <c r="S291" s="71"/>
      <c r="T291" s="71"/>
      <c r="U291" s="71"/>
      <c r="V291" s="71"/>
      <c r="W291" s="71"/>
      <c r="X291" s="71"/>
      <c r="Y291" s="71"/>
      <c r="Z291" s="71"/>
      <c r="AA291" s="152"/>
    </row>
    <row r="292" spans="1:27" hidden="1" outlineLevel="1">
      <c r="A292" s="152"/>
      <c r="B292" s="411"/>
      <c r="C292" s="412">
        <f>Asset18</f>
        <v>0</v>
      </c>
      <c r="D292" s="390"/>
      <c r="E292" s="390"/>
      <c r="F292" s="413">
        <f>IF('RFM input'!$F$467='RFM input'!$G$467,'RFM input'!G492*(1+F$8)^0.5,0)</f>
        <v>0</v>
      </c>
      <c r="G292" s="1371">
        <f t="shared" si="2"/>
        <v>0</v>
      </c>
      <c r="H292" s="1370"/>
      <c r="I292" s="1370"/>
      <c r="J292" s="1370"/>
      <c r="K292" s="1370"/>
      <c r="L292" s="1370"/>
      <c r="M292" s="1370"/>
      <c r="N292" s="1370"/>
      <c r="O292" s="1370"/>
      <c r="P292" s="1370"/>
      <c r="Q292" s="1370"/>
      <c r="R292" s="410"/>
      <c r="S292" s="71"/>
      <c r="T292" s="71"/>
      <c r="U292" s="71"/>
      <c r="V292" s="71"/>
      <c r="W292" s="71"/>
      <c r="X292" s="71"/>
      <c r="Y292" s="71"/>
      <c r="Z292" s="71"/>
      <c r="AA292" s="152"/>
    </row>
    <row r="293" spans="1:27" hidden="1" outlineLevel="1">
      <c r="A293" s="152"/>
      <c r="B293" s="411"/>
      <c r="C293" s="412">
        <f>Asset19</f>
        <v>0</v>
      </c>
      <c r="D293" s="390"/>
      <c r="E293" s="390"/>
      <c r="F293" s="413">
        <f>IF('RFM input'!$F$467='RFM input'!$G$467,'RFM input'!G493*(1+F$8)^0.5,0)</f>
        <v>0</v>
      </c>
      <c r="G293" s="1371">
        <f t="shared" si="2"/>
        <v>0</v>
      </c>
      <c r="H293" s="1370"/>
      <c r="I293" s="1370"/>
      <c r="J293" s="1370"/>
      <c r="K293" s="1370"/>
      <c r="L293" s="1370"/>
      <c r="M293" s="1370"/>
      <c r="N293" s="1370"/>
      <c r="O293" s="1370"/>
      <c r="P293" s="1370"/>
      <c r="Q293" s="1370"/>
      <c r="R293" s="410"/>
      <c r="S293" s="71"/>
      <c r="T293" s="71"/>
      <c r="U293" s="71"/>
      <c r="V293" s="71"/>
      <c r="W293" s="71"/>
      <c r="X293" s="71"/>
      <c r="Y293" s="71"/>
      <c r="Z293" s="71"/>
      <c r="AA293" s="152"/>
    </row>
    <row r="294" spans="1:27" hidden="1" outlineLevel="1">
      <c r="A294" s="152"/>
      <c r="B294" s="411"/>
      <c r="C294" s="412">
        <f>Asset20</f>
        <v>0</v>
      </c>
      <c r="D294" s="390"/>
      <c r="E294" s="390"/>
      <c r="F294" s="413">
        <f>IF('RFM input'!$F$467='RFM input'!$G$467,'RFM input'!G494*(1+F$8)^0.5,0)</f>
        <v>0</v>
      </c>
      <c r="G294" s="1371">
        <f t="shared" si="2"/>
        <v>0</v>
      </c>
      <c r="H294" s="1370"/>
      <c r="I294" s="1370"/>
      <c r="J294" s="1370"/>
      <c r="K294" s="1370"/>
      <c r="L294" s="1370"/>
      <c r="M294" s="1370"/>
      <c r="N294" s="1370"/>
      <c r="O294" s="1370"/>
      <c r="P294" s="1370"/>
      <c r="Q294" s="1370"/>
      <c r="R294" s="410"/>
      <c r="S294" s="71"/>
      <c r="T294" s="71"/>
      <c r="U294" s="71"/>
      <c r="V294" s="71"/>
      <c r="W294" s="71"/>
      <c r="X294" s="71"/>
      <c r="Y294" s="71"/>
      <c r="Z294" s="71"/>
      <c r="AA294" s="152"/>
    </row>
    <row r="295" spans="1:27" hidden="1" outlineLevel="1">
      <c r="A295" s="152"/>
      <c r="B295" s="411"/>
      <c r="C295" s="412">
        <f>Asset21</f>
        <v>0</v>
      </c>
      <c r="D295" s="390"/>
      <c r="E295" s="390"/>
      <c r="F295" s="413">
        <f>IF('RFM input'!$F$467='RFM input'!$G$467,'RFM input'!G495*(1+F$8)^0.5,0)</f>
        <v>0</v>
      </c>
      <c r="G295" s="1371">
        <f t="shared" si="2"/>
        <v>0</v>
      </c>
      <c r="H295" s="1370"/>
      <c r="I295" s="1370"/>
      <c r="J295" s="1370"/>
      <c r="K295" s="1370"/>
      <c r="L295" s="1370"/>
      <c r="M295" s="1370"/>
      <c r="N295" s="1370"/>
      <c r="O295" s="1370"/>
      <c r="P295" s="1370"/>
      <c r="Q295" s="1370"/>
      <c r="R295" s="410"/>
      <c r="S295" s="71"/>
      <c r="T295" s="71"/>
      <c r="U295" s="71"/>
      <c r="V295" s="71"/>
      <c r="W295" s="71"/>
      <c r="X295" s="71"/>
      <c r="Y295" s="71"/>
      <c r="Z295" s="71"/>
      <c r="AA295" s="152"/>
    </row>
    <row r="296" spans="1:27" hidden="1" outlineLevel="1">
      <c r="A296" s="152"/>
      <c r="B296" s="411"/>
      <c r="C296" s="412">
        <f>Asset22</f>
        <v>0</v>
      </c>
      <c r="D296" s="390"/>
      <c r="E296" s="390"/>
      <c r="F296" s="413">
        <f>IF('RFM input'!$F$467='RFM input'!$G$467,'RFM input'!G496*(1+F$8)^0.5,0)</f>
        <v>0</v>
      </c>
      <c r="G296" s="1371">
        <f t="shared" si="2"/>
        <v>0</v>
      </c>
      <c r="H296" s="1370"/>
      <c r="I296" s="1370"/>
      <c r="J296" s="1370"/>
      <c r="K296" s="1370"/>
      <c r="L296" s="1370"/>
      <c r="M296" s="1370"/>
      <c r="N296" s="1370"/>
      <c r="O296" s="1370"/>
      <c r="P296" s="1370"/>
      <c r="Q296" s="1370"/>
      <c r="R296" s="410"/>
      <c r="S296" s="71"/>
      <c r="T296" s="71"/>
      <c r="U296" s="71"/>
      <c r="V296" s="71"/>
      <c r="W296" s="71"/>
      <c r="X296" s="71"/>
      <c r="Y296" s="71"/>
      <c r="Z296" s="71"/>
      <c r="AA296" s="152"/>
    </row>
    <row r="297" spans="1:27" hidden="1" outlineLevel="1">
      <c r="A297" s="152"/>
      <c r="B297" s="411"/>
      <c r="C297" s="412">
        <f>Asset23</f>
        <v>0</v>
      </c>
      <c r="D297" s="390"/>
      <c r="E297" s="390"/>
      <c r="F297" s="413">
        <f>IF('RFM input'!$F$467='RFM input'!$G$467,'RFM input'!G497*(1+F$8)^0.5,0)</f>
        <v>0</v>
      </c>
      <c r="G297" s="1371">
        <f t="shared" si="2"/>
        <v>0</v>
      </c>
      <c r="H297" s="1370"/>
      <c r="I297" s="1370"/>
      <c r="J297" s="1370"/>
      <c r="K297" s="1370"/>
      <c r="L297" s="1370"/>
      <c r="M297" s="1370"/>
      <c r="N297" s="1370"/>
      <c r="O297" s="1370"/>
      <c r="P297" s="1370"/>
      <c r="Q297" s="1370"/>
      <c r="R297" s="410"/>
      <c r="S297" s="71"/>
      <c r="T297" s="71"/>
      <c r="U297" s="71"/>
      <c r="V297" s="71"/>
      <c r="W297" s="71"/>
      <c r="X297" s="71"/>
      <c r="Y297" s="71"/>
      <c r="Z297" s="71"/>
      <c r="AA297" s="152"/>
    </row>
    <row r="298" spans="1:27" hidden="1" outlineLevel="1">
      <c r="A298" s="152"/>
      <c r="B298" s="411"/>
      <c r="C298" s="412">
        <f>Asset24</f>
        <v>0</v>
      </c>
      <c r="D298" s="390"/>
      <c r="E298" s="390"/>
      <c r="F298" s="413">
        <f>IF('RFM input'!$F$467='RFM input'!$G$467,'RFM input'!G498*(1+F$8)^0.5,0)</f>
        <v>0</v>
      </c>
      <c r="G298" s="1371">
        <f t="shared" si="2"/>
        <v>0</v>
      </c>
      <c r="H298" s="1370"/>
      <c r="I298" s="1370"/>
      <c r="J298" s="1370"/>
      <c r="K298" s="1370"/>
      <c r="L298" s="1370"/>
      <c r="M298" s="1370"/>
      <c r="N298" s="1370"/>
      <c r="O298" s="1370"/>
      <c r="P298" s="1370"/>
      <c r="Q298" s="1370"/>
      <c r="R298" s="410"/>
      <c r="S298" s="71"/>
      <c r="T298" s="71"/>
      <c r="U298" s="71"/>
      <c r="V298" s="71"/>
      <c r="W298" s="71"/>
      <c r="X298" s="71"/>
      <c r="Y298" s="71"/>
      <c r="Z298" s="71"/>
      <c r="AA298" s="152"/>
    </row>
    <row r="299" spans="1:27" hidden="1" outlineLevel="1">
      <c r="A299" s="152"/>
      <c r="B299" s="411"/>
      <c r="C299" s="412">
        <f>Asset25</f>
        <v>0</v>
      </c>
      <c r="D299" s="390"/>
      <c r="E299" s="390"/>
      <c r="F299" s="413">
        <f>IF('RFM input'!$F$467='RFM input'!$G$467,'RFM input'!G499*(1+F$8)^0.5,0)</f>
        <v>0</v>
      </c>
      <c r="G299" s="1371">
        <f t="shared" si="2"/>
        <v>0</v>
      </c>
      <c r="H299" s="1370"/>
      <c r="I299" s="1370"/>
      <c r="J299" s="1370"/>
      <c r="K299" s="1370"/>
      <c r="L299" s="1370"/>
      <c r="M299" s="1370"/>
      <c r="N299" s="1370"/>
      <c r="O299" s="1370"/>
      <c r="P299" s="1370"/>
      <c r="Q299" s="1370"/>
      <c r="R299" s="410"/>
      <c r="S299" s="71"/>
      <c r="T299" s="71"/>
      <c r="U299" s="71"/>
      <c r="V299" s="71"/>
      <c r="W299" s="71"/>
      <c r="X299" s="71"/>
      <c r="Y299" s="71"/>
      <c r="Z299" s="71"/>
      <c r="AA299" s="152"/>
    </row>
    <row r="300" spans="1:27" hidden="1" outlineLevel="1">
      <c r="A300" s="152"/>
      <c r="B300" s="411"/>
      <c r="C300" s="412">
        <f>Asset26</f>
        <v>0</v>
      </c>
      <c r="D300" s="390"/>
      <c r="E300" s="390"/>
      <c r="F300" s="413">
        <f>IF('RFM input'!$F$467='RFM input'!$G$467,'RFM input'!G500*(1+F$8)^0.5,0)</f>
        <v>0</v>
      </c>
      <c r="G300" s="1371">
        <f t="shared" si="2"/>
        <v>0</v>
      </c>
      <c r="H300" s="1370"/>
      <c r="I300" s="1370"/>
      <c r="J300" s="1370"/>
      <c r="K300" s="1370"/>
      <c r="L300" s="1370"/>
      <c r="M300" s="1370"/>
      <c r="N300" s="1370"/>
      <c r="O300" s="1370"/>
      <c r="P300" s="1370"/>
      <c r="Q300" s="1370"/>
      <c r="R300" s="410"/>
      <c r="S300" s="71"/>
      <c r="T300" s="71"/>
      <c r="U300" s="71"/>
      <c r="V300" s="71"/>
      <c r="W300" s="71"/>
      <c r="X300" s="71"/>
      <c r="Y300" s="71"/>
      <c r="Z300" s="71"/>
      <c r="AA300" s="152"/>
    </row>
    <row r="301" spans="1:27" hidden="1" outlineLevel="1">
      <c r="A301" s="152"/>
      <c r="B301" s="411"/>
      <c r="C301" s="412">
        <f>Asset27</f>
        <v>0</v>
      </c>
      <c r="D301" s="390"/>
      <c r="E301" s="390"/>
      <c r="F301" s="413">
        <f>IF('RFM input'!$F$467='RFM input'!$G$467,'RFM input'!G501*(1+F$8)^0.5,0)</f>
        <v>0</v>
      </c>
      <c r="G301" s="1371">
        <f t="shared" si="2"/>
        <v>0</v>
      </c>
      <c r="H301" s="1370"/>
      <c r="I301" s="1370"/>
      <c r="J301" s="1370"/>
      <c r="K301" s="1370"/>
      <c r="L301" s="1370"/>
      <c r="M301" s="1370"/>
      <c r="N301" s="1370"/>
      <c r="O301" s="1370"/>
      <c r="P301" s="1370"/>
      <c r="Q301" s="1370"/>
      <c r="R301" s="410"/>
      <c r="S301" s="71"/>
      <c r="T301" s="71"/>
      <c r="U301" s="71"/>
      <c r="V301" s="71"/>
      <c r="W301" s="71"/>
      <c r="X301" s="71"/>
      <c r="Y301" s="71"/>
      <c r="Z301" s="71"/>
      <c r="AA301" s="152"/>
    </row>
    <row r="302" spans="1:27" hidden="1" outlineLevel="1">
      <c r="A302" s="152"/>
      <c r="B302" s="411"/>
      <c r="C302" s="412">
        <f>Asset28</f>
        <v>0</v>
      </c>
      <c r="D302" s="390"/>
      <c r="E302" s="390"/>
      <c r="F302" s="413">
        <f>IF('RFM input'!$F$467='RFM input'!$G$467,'RFM input'!G502*(1+F$8)^0.5,0)</f>
        <v>0</v>
      </c>
      <c r="G302" s="1371">
        <f t="shared" si="2"/>
        <v>0</v>
      </c>
      <c r="H302" s="1370"/>
      <c r="I302" s="1370"/>
      <c r="J302" s="1370"/>
      <c r="K302" s="1370"/>
      <c r="L302" s="1370"/>
      <c r="M302" s="1370"/>
      <c r="N302" s="1370"/>
      <c r="O302" s="1370"/>
      <c r="P302" s="1370"/>
      <c r="Q302" s="1370"/>
      <c r="R302" s="410"/>
      <c r="S302" s="71"/>
      <c r="T302" s="71"/>
      <c r="U302" s="71"/>
      <c r="V302" s="71"/>
      <c r="W302" s="71"/>
      <c r="X302" s="71"/>
      <c r="Y302" s="71"/>
      <c r="Z302" s="71"/>
      <c r="AA302" s="152"/>
    </row>
    <row r="303" spans="1:27" hidden="1" outlineLevel="1">
      <c r="A303" s="152"/>
      <c r="B303" s="411"/>
      <c r="C303" s="412">
        <f>Asset29</f>
        <v>0</v>
      </c>
      <c r="D303" s="390"/>
      <c r="E303" s="390"/>
      <c r="F303" s="413">
        <f>IF('RFM input'!$F$467='RFM input'!$G$467,'RFM input'!G503*(1+F$8)^0.5,0)</f>
        <v>0</v>
      </c>
      <c r="G303" s="1371">
        <f t="shared" si="2"/>
        <v>0</v>
      </c>
      <c r="H303" s="1370"/>
      <c r="I303" s="1370"/>
      <c r="J303" s="1370"/>
      <c r="K303" s="1370"/>
      <c r="L303" s="1370"/>
      <c r="M303" s="1370"/>
      <c r="N303" s="1370"/>
      <c r="O303" s="1370"/>
      <c r="P303" s="1370"/>
      <c r="Q303" s="1370"/>
      <c r="R303" s="410"/>
      <c r="S303" s="71"/>
      <c r="T303" s="71"/>
      <c r="U303" s="71"/>
      <c r="V303" s="71"/>
      <c r="W303" s="71"/>
      <c r="X303" s="71"/>
      <c r="Y303" s="71"/>
      <c r="Z303" s="71"/>
      <c r="AA303" s="152"/>
    </row>
    <row r="304" spans="1:27" hidden="1" outlineLevel="1">
      <c r="A304" s="152"/>
      <c r="B304" s="411"/>
      <c r="C304" s="412">
        <f>Asset30</f>
        <v>0</v>
      </c>
      <c r="D304" s="390"/>
      <c r="E304" s="390"/>
      <c r="F304" s="413">
        <f>IF('RFM input'!$F$467='RFM input'!$G$467,'RFM input'!G504*(1+F$8)^0.5,0)</f>
        <v>0</v>
      </c>
      <c r="G304" s="1371">
        <f t="shared" si="2"/>
        <v>0</v>
      </c>
      <c r="H304" s="1370"/>
      <c r="I304" s="1370"/>
      <c r="J304" s="1370"/>
      <c r="K304" s="1370"/>
      <c r="L304" s="1370"/>
      <c r="M304" s="1370"/>
      <c r="N304" s="1370"/>
      <c r="O304" s="1370"/>
      <c r="P304" s="1370"/>
      <c r="Q304" s="1370"/>
      <c r="R304" s="410"/>
      <c r="S304" s="71"/>
      <c r="T304" s="71"/>
      <c r="U304" s="71"/>
      <c r="V304" s="71"/>
      <c r="W304" s="71"/>
      <c r="X304" s="71"/>
      <c r="Y304" s="71"/>
      <c r="Z304" s="71"/>
      <c r="AA304" s="152"/>
    </row>
    <row r="305" spans="1:27" hidden="1" outlineLevel="1">
      <c r="A305" s="152"/>
      <c r="B305" s="411"/>
      <c r="C305" s="412">
        <f>Asset31</f>
        <v>0</v>
      </c>
      <c r="D305" s="390"/>
      <c r="E305" s="390"/>
      <c r="F305" s="413">
        <f>IF('RFM input'!$F$467='RFM input'!$G$467,'RFM input'!G505*(1+F$8)^0.5,0)</f>
        <v>0</v>
      </c>
      <c r="G305" s="1371">
        <f t="shared" si="2"/>
        <v>0</v>
      </c>
      <c r="H305" s="1370"/>
      <c r="I305" s="1370"/>
      <c r="J305" s="1370"/>
      <c r="K305" s="1370"/>
      <c r="L305" s="1370"/>
      <c r="M305" s="1370"/>
      <c r="N305" s="1370"/>
      <c r="O305" s="1370"/>
      <c r="P305" s="1370"/>
      <c r="Q305" s="1370"/>
      <c r="R305" s="410"/>
      <c r="S305" s="71"/>
      <c r="T305" s="71"/>
      <c r="U305" s="71"/>
      <c r="V305" s="71"/>
      <c r="W305" s="71"/>
      <c r="X305" s="71"/>
      <c r="Y305" s="71"/>
      <c r="Z305" s="71"/>
      <c r="AA305" s="152"/>
    </row>
    <row r="306" spans="1:27" hidden="1" outlineLevel="1">
      <c r="A306" s="152"/>
      <c r="B306" s="411"/>
      <c r="C306" s="412">
        <f>Asset32</f>
        <v>0</v>
      </c>
      <c r="D306" s="390"/>
      <c r="E306" s="390"/>
      <c r="F306" s="413">
        <f>IF('RFM input'!$F$467='RFM input'!$G$467,'RFM input'!G506*(1+F$8)^0.5,0)</f>
        <v>0</v>
      </c>
      <c r="G306" s="1371">
        <f t="shared" si="2"/>
        <v>0</v>
      </c>
      <c r="H306" s="1370"/>
      <c r="I306" s="1370"/>
      <c r="J306" s="1370"/>
      <c r="K306" s="1370"/>
      <c r="L306" s="1370"/>
      <c r="M306" s="1370"/>
      <c r="N306" s="1370"/>
      <c r="O306" s="1370"/>
      <c r="P306" s="1370"/>
      <c r="Q306" s="1370"/>
      <c r="R306" s="410"/>
      <c r="S306" s="71"/>
      <c r="T306" s="71"/>
      <c r="U306" s="71"/>
      <c r="V306" s="71"/>
      <c r="W306" s="71"/>
      <c r="X306" s="71"/>
      <c r="Y306" s="71"/>
      <c r="Z306" s="71"/>
      <c r="AA306" s="152"/>
    </row>
    <row r="307" spans="1:27" hidden="1" outlineLevel="1">
      <c r="A307" s="152"/>
      <c r="B307" s="411"/>
      <c r="C307" s="412">
        <f>Asset33</f>
        <v>0</v>
      </c>
      <c r="D307" s="390"/>
      <c r="E307" s="390"/>
      <c r="F307" s="413">
        <f>IF('RFM input'!$F$467='RFM input'!$G$467,'RFM input'!G507*(1+F$8)^0.5,0)</f>
        <v>0</v>
      </c>
      <c r="G307" s="1371">
        <f t="shared" si="2"/>
        <v>0</v>
      </c>
      <c r="H307" s="1370"/>
      <c r="I307" s="1370"/>
      <c r="J307" s="1370"/>
      <c r="K307" s="1370"/>
      <c r="L307" s="1370"/>
      <c r="M307" s="1370"/>
      <c r="N307" s="1370"/>
      <c r="O307" s="1370"/>
      <c r="P307" s="1370"/>
      <c r="Q307" s="1370"/>
      <c r="R307" s="410"/>
      <c r="S307" s="71"/>
      <c r="T307" s="71"/>
      <c r="U307" s="71"/>
      <c r="V307" s="71"/>
      <c r="W307" s="71"/>
      <c r="X307" s="71"/>
      <c r="Y307" s="71"/>
      <c r="Z307" s="71"/>
      <c r="AA307" s="152"/>
    </row>
    <row r="308" spans="1:27" hidden="1" outlineLevel="1">
      <c r="A308" s="152"/>
      <c r="B308" s="411"/>
      <c r="C308" s="412">
        <f>Asset34</f>
        <v>0</v>
      </c>
      <c r="D308" s="390"/>
      <c r="E308" s="390"/>
      <c r="F308" s="413">
        <f>IF('RFM input'!$F$467='RFM input'!$G$467,'RFM input'!G508*(1+F$8)^0.5,0)</f>
        <v>0</v>
      </c>
      <c r="G308" s="1371">
        <f t="shared" si="2"/>
        <v>0</v>
      </c>
      <c r="H308" s="1370"/>
      <c r="I308" s="1370"/>
      <c r="J308" s="1370"/>
      <c r="K308" s="1370"/>
      <c r="L308" s="1370"/>
      <c r="M308" s="1370"/>
      <c r="N308" s="1370"/>
      <c r="O308" s="1370"/>
      <c r="P308" s="1370"/>
      <c r="Q308" s="1370"/>
      <c r="R308" s="410"/>
      <c r="S308" s="71"/>
      <c r="T308" s="71"/>
      <c r="U308" s="71"/>
      <c r="V308" s="71"/>
      <c r="W308" s="71"/>
      <c r="X308" s="71"/>
      <c r="Y308" s="71"/>
      <c r="Z308" s="71"/>
      <c r="AA308" s="152"/>
    </row>
    <row r="309" spans="1:27" hidden="1" outlineLevel="1">
      <c r="A309" s="152"/>
      <c r="B309" s="411"/>
      <c r="C309" s="412">
        <f>Asset35</f>
        <v>0</v>
      </c>
      <c r="D309" s="390"/>
      <c r="E309" s="390"/>
      <c r="F309" s="413">
        <f>IF('RFM input'!$F$467='RFM input'!$G$467,'RFM input'!G509*(1+F$8)^0.5,0)</f>
        <v>0</v>
      </c>
      <c r="G309" s="1371">
        <f t="shared" si="2"/>
        <v>0</v>
      </c>
      <c r="H309" s="1370"/>
      <c r="I309" s="1370"/>
      <c r="J309" s="1370"/>
      <c r="K309" s="1370"/>
      <c r="L309" s="1370"/>
      <c r="M309" s="1370"/>
      <c r="N309" s="1370"/>
      <c r="O309" s="1370"/>
      <c r="P309" s="1370"/>
      <c r="Q309" s="1370"/>
      <c r="R309" s="410"/>
      <c r="S309" s="71"/>
      <c r="T309" s="71"/>
      <c r="U309" s="71"/>
      <c r="V309" s="71"/>
      <c r="W309" s="71"/>
      <c r="X309" s="71"/>
      <c r="Y309" s="71"/>
      <c r="Z309" s="71"/>
      <c r="AA309" s="152"/>
    </row>
    <row r="310" spans="1:27" hidden="1" outlineLevel="1">
      <c r="A310" s="152"/>
      <c r="B310" s="411"/>
      <c r="C310" s="412">
        <f>Asset36</f>
        <v>0</v>
      </c>
      <c r="D310" s="390"/>
      <c r="E310" s="390"/>
      <c r="F310" s="413">
        <f>IF('RFM input'!$F$467='RFM input'!$G$467,'RFM input'!G510*(1+F$8)^0.5,0)</f>
        <v>0</v>
      </c>
      <c r="G310" s="1371">
        <f t="shared" si="2"/>
        <v>0</v>
      </c>
      <c r="H310" s="1370"/>
      <c r="I310" s="1370"/>
      <c r="J310" s="1370"/>
      <c r="K310" s="1370"/>
      <c r="L310" s="1370"/>
      <c r="M310" s="1370"/>
      <c r="N310" s="1370"/>
      <c r="O310" s="1370"/>
      <c r="P310" s="1370"/>
      <c r="Q310" s="1370"/>
      <c r="R310" s="410"/>
      <c r="S310" s="71"/>
      <c r="T310" s="71"/>
      <c r="U310" s="71"/>
      <c r="V310" s="71"/>
      <c r="W310" s="71"/>
      <c r="X310" s="71"/>
      <c r="Y310" s="71"/>
      <c r="Z310" s="71"/>
      <c r="AA310" s="152"/>
    </row>
    <row r="311" spans="1:27" hidden="1" outlineLevel="1">
      <c r="A311" s="152"/>
      <c r="B311" s="411"/>
      <c r="C311" s="412">
        <f>Asset37</f>
        <v>0</v>
      </c>
      <c r="D311" s="390"/>
      <c r="E311" s="390"/>
      <c r="F311" s="413">
        <f>IF('RFM input'!$F$467='RFM input'!$G$467,'RFM input'!G511*(1+F$8)^0.5,0)</f>
        <v>0</v>
      </c>
      <c r="G311" s="1371">
        <f t="shared" si="2"/>
        <v>0</v>
      </c>
      <c r="H311" s="1370"/>
      <c r="I311" s="1370"/>
      <c r="J311" s="1370"/>
      <c r="K311" s="1370"/>
      <c r="L311" s="1370"/>
      <c r="M311" s="1370"/>
      <c r="N311" s="1370"/>
      <c r="O311" s="1370"/>
      <c r="P311" s="1370"/>
      <c r="Q311" s="1370"/>
      <c r="R311" s="410"/>
      <c r="S311" s="71"/>
      <c r="T311" s="71"/>
      <c r="U311" s="71"/>
      <c r="V311" s="71"/>
      <c r="W311" s="71"/>
      <c r="X311" s="71"/>
      <c r="Y311" s="71"/>
      <c r="Z311" s="71"/>
      <c r="AA311" s="152"/>
    </row>
    <row r="312" spans="1:27" hidden="1" outlineLevel="1">
      <c r="A312" s="152"/>
      <c r="B312" s="411"/>
      <c r="C312" s="412">
        <f>Asset38</f>
        <v>0</v>
      </c>
      <c r="D312" s="390"/>
      <c r="E312" s="390"/>
      <c r="F312" s="413">
        <f>IF('RFM input'!$F$467='RFM input'!$G$467,'RFM input'!G512*(1+F$8)^0.5,0)</f>
        <v>0</v>
      </c>
      <c r="G312" s="1371">
        <f t="shared" si="2"/>
        <v>0</v>
      </c>
      <c r="H312" s="1370"/>
      <c r="I312" s="1370"/>
      <c r="J312" s="1370"/>
      <c r="K312" s="1370"/>
      <c r="L312" s="1370"/>
      <c r="M312" s="1370"/>
      <c r="N312" s="1370"/>
      <c r="O312" s="1370"/>
      <c r="P312" s="1370"/>
      <c r="Q312" s="1370"/>
      <c r="R312" s="410"/>
      <c r="S312" s="71"/>
      <c r="T312" s="71"/>
      <c r="U312" s="71"/>
      <c r="V312" s="71"/>
      <c r="W312" s="71"/>
      <c r="X312" s="71"/>
      <c r="Y312" s="71"/>
      <c r="Z312" s="71"/>
      <c r="AA312" s="152"/>
    </row>
    <row r="313" spans="1:27" hidden="1" outlineLevel="1">
      <c r="A313" s="152"/>
      <c r="B313" s="411"/>
      <c r="C313" s="412">
        <f>Asset39</f>
        <v>0</v>
      </c>
      <c r="D313" s="390"/>
      <c r="E313" s="390"/>
      <c r="F313" s="413">
        <f>IF('RFM input'!$F$467='RFM input'!$G$467,'RFM input'!G513*(1+F$8)^0.5,0)</f>
        <v>0</v>
      </c>
      <c r="G313" s="1371">
        <f t="shared" si="2"/>
        <v>0</v>
      </c>
      <c r="H313" s="1370"/>
      <c r="I313" s="1370"/>
      <c r="J313" s="1370"/>
      <c r="K313" s="1370"/>
      <c r="L313" s="1370"/>
      <c r="M313" s="1370"/>
      <c r="N313" s="1370"/>
      <c r="O313" s="1370"/>
      <c r="P313" s="1370"/>
      <c r="Q313" s="1370"/>
      <c r="R313" s="410"/>
      <c r="S313" s="71"/>
      <c r="T313" s="71"/>
      <c r="U313" s="71"/>
      <c r="V313" s="71"/>
      <c r="W313" s="71"/>
      <c r="X313" s="71"/>
      <c r="Y313" s="71"/>
      <c r="Z313" s="71"/>
      <c r="AA313" s="152"/>
    </row>
    <row r="314" spans="1:27" hidden="1" outlineLevel="1">
      <c r="A314" s="152"/>
      <c r="B314" s="411"/>
      <c r="C314" s="412">
        <f>Asset40</f>
        <v>0</v>
      </c>
      <c r="D314" s="390"/>
      <c r="E314" s="390"/>
      <c r="F314" s="413">
        <f>IF('RFM input'!$F$467='RFM input'!$G$467,'RFM input'!G514*(1+F$8)^0.5,0)</f>
        <v>0</v>
      </c>
      <c r="G314" s="1371">
        <f t="shared" si="2"/>
        <v>0</v>
      </c>
      <c r="H314" s="1370"/>
      <c r="I314" s="1370"/>
      <c r="J314" s="1370"/>
      <c r="K314" s="1370"/>
      <c r="L314" s="1370"/>
      <c r="M314" s="1370"/>
      <c r="N314" s="1370"/>
      <c r="O314" s="1370"/>
      <c r="P314" s="1370"/>
      <c r="Q314" s="1370"/>
      <c r="R314" s="410"/>
      <c r="S314" s="71"/>
      <c r="T314" s="71"/>
      <c r="U314" s="71"/>
      <c r="V314" s="71"/>
      <c r="W314" s="71"/>
      <c r="X314" s="71"/>
      <c r="Y314" s="71"/>
      <c r="Z314" s="71"/>
      <c r="AA314" s="152"/>
    </row>
    <row r="315" spans="1:27" hidden="1" outlineLevel="1">
      <c r="A315" s="152"/>
      <c r="B315" s="411"/>
      <c r="C315" s="412">
        <f>Asset41</f>
        <v>0</v>
      </c>
      <c r="D315" s="390"/>
      <c r="E315" s="390"/>
      <c r="F315" s="413">
        <f>IF('RFM input'!$F$467='RFM input'!$G$467,'RFM input'!G515*(1+F$8)^0.5,0)</f>
        <v>0</v>
      </c>
      <c r="G315" s="1371">
        <f t="shared" si="2"/>
        <v>0</v>
      </c>
      <c r="H315" s="1370"/>
      <c r="I315" s="1370"/>
      <c r="J315" s="1370"/>
      <c r="K315" s="1370"/>
      <c r="L315" s="1370"/>
      <c r="M315" s="1370"/>
      <c r="N315" s="1370"/>
      <c r="O315" s="1370"/>
      <c r="P315" s="1370"/>
      <c r="Q315" s="1370"/>
      <c r="R315" s="410"/>
      <c r="S315" s="71"/>
      <c r="T315" s="71"/>
      <c r="U315" s="71"/>
      <c r="V315" s="71"/>
      <c r="W315" s="71"/>
      <c r="X315" s="71"/>
      <c r="Y315" s="71"/>
      <c r="Z315" s="71"/>
      <c r="AA315" s="152"/>
    </row>
    <row r="316" spans="1:27" hidden="1" outlineLevel="1">
      <c r="A316" s="152"/>
      <c r="B316" s="411"/>
      <c r="C316" s="412">
        <f>Asset42</f>
        <v>0</v>
      </c>
      <c r="D316" s="390"/>
      <c r="E316" s="390"/>
      <c r="F316" s="413">
        <f>IF('RFM input'!$F$467='RFM input'!$G$467,'RFM input'!G516*(1+F$8)^0.5,0)</f>
        <v>0</v>
      </c>
      <c r="G316" s="1371">
        <f t="shared" si="2"/>
        <v>0</v>
      </c>
      <c r="H316" s="1370"/>
      <c r="I316" s="1370"/>
      <c r="J316" s="1370"/>
      <c r="K316" s="1370"/>
      <c r="L316" s="1370"/>
      <c r="M316" s="1370"/>
      <c r="N316" s="1370"/>
      <c r="O316" s="1370"/>
      <c r="P316" s="1370"/>
      <c r="Q316" s="1370"/>
      <c r="R316" s="410"/>
      <c r="S316" s="71"/>
      <c r="T316" s="71"/>
      <c r="U316" s="71"/>
      <c r="V316" s="71"/>
      <c r="W316" s="71"/>
      <c r="X316" s="71"/>
      <c r="Y316" s="71"/>
      <c r="Z316" s="71"/>
      <c r="AA316" s="152"/>
    </row>
    <row r="317" spans="1:27" hidden="1" outlineLevel="1">
      <c r="A317" s="152"/>
      <c r="B317" s="411"/>
      <c r="C317" s="412">
        <f>Asset43</f>
        <v>0</v>
      </c>
      <c r="D317" s="390"/>
      <c r="E317" s="390"/>
      <c r="F317" s="413">
        <f>IF('RFM input'!$F$467='RFM input'!$G$467,'RFM input'!G517*(1+F$8)^0.5,0)</f>
        <v>0</v>
      </c>
      <c r="G317" s="1371">
        <f t="shared" si="2"/>
        <v>0</v>
      </c>
      <c r="H317" s="1370"/>
      <c r="I317" s="1370"/>
      <c r="J317" s="1370"/>
      <c r="K317" s="1370"/>
      <c r="L317" s="1370"/>
      <c r="M317" s="1370"/>
      <c r="N317" s="1370"/>
      <c r="O317" s="1370"/>
      <c r="P317" s="1370"/>
      <c r="Q317" s="1370"/>
      <c r="R317" s="410"/>
      <c r="S317" s="71"/>
      <c r="T317" s="71"/>
      <c r="U317" s="71"/>
      <c r="V317" s="71"/>
      <c r="W317" s="71"/>
      <c r="X317" s="71"/>
      <c r="Y317" s="71"/>
      <c r="Z317" s="71"/>
      <c r="AA317" s="152"/>
    </row>
    <row r="318" spans="1:27" hidden="1" outlineLevel="1">
      <c r="A318" s="152"/>
      <c r="B318" s="411"/>
      <c r="C318" s="412">
        <f>Asset44</f>
        <v>0</v>
      </c>
      <c r="D318" s="390"/>
      <c r="E318" s="390"/>
      <c r="F318" s="413">
        <f>IF('RFM input'!$F$467='RFM input'!$G$467,'RFM input'!G518*(1+F$8)^0.5,0)</f>
        <v>0</v>
      </c>
      <c r="G318" s="1371">
        <f t="shared" si="2"/>
        <v>0</v>
      </c>
      <c r="H318" s="1370"/>
      <c r="I318" s="1370"/>
      <c r="J318" s="1370"/>
      <c r="K318" s="1370"/>
      <c r="L318" s="1370"/>
      <c r="M318" s="1370"/>
      <c r="N318" s="1370"/>
      <c r="O318" s="1370"/>
      <c r="P318" s="1370"/>
      <c r="Q318" s="1370"/>
      <c r="R318" s="410"/>
      <c r="S318" s="71"/>
      <c r="T318" s="71"/>
      <c r="U318" s="71"/>
      <c r="V318" s="71"/>
      <c r="W318" s="71"/>
      <c r="X318" s="71"/>
      <c r="Y318" s="71"/>
      <c r="Z318" s="71"/>
      <c r="AA318" s="152"/>
    </row>
    <row r="319" spans="1:27" hidden="1" outlineLevel="1">
      <c r="A319" s="152"/>
      <c r="B319" s="411"/>
      <c r="C319" s="412">
        <f>Asset45</f>
        <v>0</v>
      </c>
      <c r="D319" s="390"/>
      <c r="E319" s="390"/>
      <c r="F319" s="413">
        <f>IF('RFM input'!$F$467='RFM input'!$G$467,'RFM input'!G519*(1+F$8)^0.5,0)</f>
        <v>0</v>
      </c>
      <c r="G319" s="1371">
        <f t="shared" si="2"/>
        <v>0</v>
      </c>
      <c r="H319" s="1370"/>
      <c r="I319" s="1370"/>
      <c r="J319" s="1370"/>
      <c r="K319" s="1370"/>
      <c r="L319" s="1370"/>
      <c r="M319" s="1370"/>
      <c r="N319" s="1370"/>
      <c r="O319" s="1370"/>
      <c r="P319" s="1370"/>
      <c r="Q319" s="1370"/>
      <c r="R319" s="410"/>
      <c r="S319" s="71"/>
      <c r="T319" s="71"/>
      <c r="U319" s="71"/>
      <c r="V319" s="71"/>
      <c r="W319" s="71"/>
      <c r="X319" s="71"/>
      <c r="Y319" s="71"/>
      <c r="Z319" s="71"/>
      <c r="AA319" s="152"/>
    </row>
    <row r="320" spans="1:27" hidden="1" outlineLevel="1">
      <c r="A320" s="152"/>
      <c r="B320" s="411"/>
      <c r="C320" s="412">
        <f>Asset46</f>
        <v>0</v>
      </c>
      <c r="D320" s="390"/>
      <c r="E320" s="390"/>
      <c r="F320" s="413">
        <f>IF('RFM input'!$F$467='RFM input'!$G$467,'RFM input'!G520*(1+F$8)^0.5,0)</f>
        <v>0</v>
      </c>
      <c r="G320" s="1371">
        <f t="shared" si="2"/>
        <v>0</v>
      </c>
      <c r="H320" s="1370"/>
      <c r="I320" s="1370"/>
      <c r="J320" s="1370"/>
      <c r="K320" s="1370"/>
      <c r="L320" s="1370"/>
      <c r="M320" s="1370"/>
      <c r="N320" s="1370"/>
      <c r="O320" s="1370"/>
      <c r="P320" s="1370"/>
      <c r="Q320" s="1370"/>
      <c r="R320" s="410"/>
      <c r="S320" s="71"/>
      <c r="T320" s="71"/>
      <c r="U320" s="71"/>
      <c r="V320" s="71"/>
      <c r="W320" s="71"/>
      <c r="X320" s="71"/>
      <c r="Y320" s="71"/>
      <c r="Z320" s="71"/>
      <c r="AA320" s="152"/>
    </row>
    <row r="321" spans="1:27" hidden="1" outlineLevel="1">
      <c r="A321" s="152"/>
      <c r="B321" s="411"/>
      <c r="C321" s="412">
        <f>Asset47</f>
        <v>0</v>
      </c>
      <c r="D321" s="390"/>
      <c r="E321" s="390"/>
      <c r="F321" s="413">
        <f>IF('RFM input'!$F$467='RFM input'!$G$467,'RFM input'!G521*(1+F$8)^0.5,0)</f>
        <v>0</v>
      </c>
      <c r="G321" s="1371">
        <f t="shared" si="2"/>
        <v>0</v>
      </c>
      <c r="H321" s="1370"/>
      <c r="I321" s="1370"/>
      <c r="J321" s="1370"/>
      <c r="K321" s="1370"/>
      <c r="L321" s="1370"/>
      <c r="M321" s="1370"/>
      <c r="N321" s="1370"/>
      <c r="O321" s="1370"/>
      <c r="P321" s="1370"/>
      <c r="Q321" s="1370"/>
      <c r="R321" s="410"/>
      <c r="S321" s="71"/>
      <c r="T321" s="71"/>
      <c r="U321" s="71"/>
      <c r="V321" s="71"/>
      <c r="W321" s="71"/>
      <c r="X321" s="71"/>
      <c r="Y321" s="71"/>
      <c r="Z321" s="71"/>
      <c r="AA321" s="152"/>
    </row>
    <row r="322" spans="1:27" hidden="1" outlineLevel="1">
      <c r="A322" s="152"/>
      <c r="B322" s="411"/>
      <c r="C322" s="412">
        <f>Asset48</f>
        <v>0</v>
      </c>
      <c r="D322" s="390"/>
      <c r="E322" s="390"/>
      <c r="F322" s="413">
        <f>IF('RFM input'!$F$467='RFM input'!$G$467,'RFM input'!G522*(1+F$8)^0.5,0)</f>
        <v>0</v>
      </c>
      <c r="G322" s="1371">
        <f t="shared" si="2"/>
        <v>0</v>
      </c>
      <c r="H322" s="1370"/>
      <c r="I322" s="1370"/>
      <c r="J322" s="1370"/>
      <c r="K322" s="1370"/>
      <c r="L322" s="1370"/>
      <c r="M322" s="1370"/>
      <c r="N322" s="1370"/>
      <c r="O322" s="1370"/>
      <c r="P322" s="1370"/>
      <c r="Q322" s="1370"/>
      <c r="R322" s="410"/>
      <c r="S322" s="71"/>
      <c r="T322" s="71"/>
      <c r="U322" s="71"/>
      <c r="V322" s="71"/>
      <c r="W322" s="71"/>
      <c r="X322" s="71"/>
      <c r="Y322" s="71"/>
      <c r="Z322" s="71"/>
      <c r="AA322" s="152"/>
    </row>
    <row r="323" spans="1:27" hidden="1" outlineLevel="1">
      <c r="A323" s="152"/>
      <c r="B323" s="411"/>
      <c r="C323" s="412">
        <f>Asset49</f>
        <v>0</v>
      </c>
      <c r="D323" s="390"/>
      <c r="E323" s="390"/>
      <c r="F323" s="413">
        <f>IF('RFM input'!$F$467='RFM input'!$G$467,'RFM input'!G523*(1+F$8)^0.5,0)</f>
        <v>0</v>
      </c>
      <c r="G323" s="1371">
        <f t="shared" si="2"/>
        <v>0</v>
      </c>
      <c r="H323" s="1370"/>
      <c r="I323" s="1370"/>
      <c r="J323" s="1370"/>
      <c r="K323" s="1370"/>
      <c r="L323" s="1370"/>
      <c r="M323" s="1370"/>
      <c r="N323" s="1370"/>
      <c r="O323" s="1370"/>
      <c r="P323" s="1370"/>
      <c r="Q323" s="1370"/>
      <c r="R323" s="410"/>
      <c r="S323" s="71"/>
      <c r="T323" s="71"/>
      <c r="U323" s="71"/>
      <c r="V323" s="71"/>
      <c r="W323" s="71"/>
      <c r="X323" s="71"/>
      <c r="Y323" s="71"/>
      <c r="Z323" s="71"/>
      <c r="AA323" s="152"/>
    </row>
    <row r="324" spans="1:27" hidden="1" outlineLevel="1">
      <c r="A324" s="152"/>
      <c r="B324" s="411"/>
      <c r="C324" s="412">
        <f>Asset50</f>
        <v>0</v>
      </c>
      <c r="D324" s="390"/>
      <c r="E324" s="390"/>
      <c r="F324" s="413">
        <f>IF('RFM input'!$F$467='RFM input'!$G$467,'RFM input'!G524*(1+F$8)^0.5,0)</f>
        <v>0</v>
      </c>
      <c r="G324" s="1371">
        <f t="shared" si="2"/>
        <v>0</v>
      </c>
      <c r="H324" s="1370"/>
      <c r="I324" s="1370"/>
      <c r="J324" s="1370"/>
      <c r="K324" s="1370"/>
      <c r="L324" s="1370"/>
      <c r="M324" s="1370"/>
      <c r="N324" s="1370"/>
      <c r="O324" s="1370"/>
      <c r="P324" s="1370"/>
      <c r="Q324" s="1370"/>
      <c r="R324" s="410"/>
      <c r="S324" s="71"/>
      <c r="T324" s="71"/>
      <c r="U324" s="71"/>
      <c r="V324" s="71"/>
      <c r="W324" s="71"/>
      <c r="X324" s="71"/>
      <c r="Y324" s="71"/>
      <c r="Z324" s="71"/>
      <c r="AA324" s="152"/>
    </row>
    <row r="325" spans="1:27" collapsed="1">
      <c r="A325" s="152"/>
      <c r="B325" s="410"/>
      <c r="C325" s="410"/>
      <c r="D325" s="410"/>
      <c r="E325" s="410"/>
      <c r="F325" s="410"/>
      <c r="G325" s="1371"/>
      <c r="H325" s="1370"/>
      <c r="I325" s="1370"/>
      <c r="J325" s="1370"/>
      <c r="K325" s="1370"/>
      <c r="L325" s="1370"/>
      <c r="M325" s="1370"/>
      <c r="N325" s="1370"/>
      <c r="O325" s="1370"/>
      <c r="P325" s="1370"/>
      <c r="Q325" s="1370"/>
      <c r="R325" s="410"/>
      <c r="S325" s="71"/>
      <c r="T325" s="71"/>
      <c r="U325" s="71"/>
      <c r="V325" s="71"/>
      <c r="W325" s="71"/>
      <c r="X325" s="71"/>
      <c r="Y325" s="71"/>
      <c r="Z325" s="71"/>
      <c r="AA325" s="152"/>
    </row>
    <row r="326" spans="1:27">
      <c r="A326" s="152"/>
      <c r="B326" s="408" t="s">
        <v>586</v>
      </c>
      <c r="C326" s="390"/>
      <c r="D326" s="390"/>
      <c r="E326" s="390"/>
      <c r="F326" s="390"/>
      <c r="G326" s="1372">
        <f>SUM(G327:G376)</f>
        <v>0</v>
      </c>
      <c r="H326" s="1370"/>
      <c r="I326" s="1370"/>
      <c r="J326" s="1370"/>
      <c r="K326" s="1370"/>
      <c r="L326" s="1370"/>
      <c r="M326" s="1370"/>
      <c r="N326" s="1370"/>
      <c r="O326" s="1370"/>
      <c r="P326" s="1370"/>
      <c r="Q326" s="1370"/>
      <c r="R326" s="410"/>
      <c r="S326" s="71"/>
      <c r="T326" s="71"/>
      <c r="U326" s="71"/>
      <c r="V326" s="71"/>
      <c r="W326" s="71"/>
      <c r="X326" s="71"/>
      <c r="Y326" s="71"/>
      <c r="Z326" s="71"/>
      <c r="AA326" s="71"/>
    </row>
    <row r="327" spans="1:27" hidden="1" outlineLevel="1">
      <c r="A327" s="152"/>
      <c r="B327" s="390"/>
      <c r="C327" s="412" t="str">
        <f>Asset1</f>
        <v>Mains</v>
      </c>
      <c r="D327" s="390"/>
      <c r="E327" s="390"/>
      <c r="F327" s="390"/>
      <c r="G327" s="1371">
        <f>-1*
IF(OR('RFM input'!H475=0,'RFM input'!H475="n/a",'RFM input'!$F$468='RFM input'!$G$468),
   0,
  F275*($G$7/$F$7)/'RFM input'!H475)</f>
        <v>0</v>
      </c>
      <c r="H327" s="1370"/>
      <c r="I327" s="1370"/>
      <c r="J327" s="1370"/>
      <c r="K327" s="1370"/>
      <c r="L327" s="1370"/>
      <c r="M327" s="1370"/>
      <c r="N327" s="1370"/>
      <c r="O327" s="1370"/>
      <c r="P327" s="1370"/>
      <c r="Q327" s="1370"/>
      <c r="R327" s="410"/>
      <c r="S327" s="71"/>
      <c r="T327" s="71"/>
      <c r="U327" s="71"/>
      <c r="V327" s="71"/>
      <c r="W327" s="71"/>
      <c r="X327" s="71"/>
      <c r="Y327" s="71"/>
      <c r="Z327" s="71"/>
      <c r="AA327" s="71"/>
    </row>
    <row r="328" spans="1:27" hidden="1" outlineLevel="1">
      <c r="A328" s="152"/>
      <c r="B328" s="390"/>
      <c r="C328" s="412" t="str">
        <f>Asset2</f>
        <v>Inlets</v>
      </c>
      <c r="D328" s="390"/>
      <c r="E328" s="390"/>
      <c r="F328" s="390"/>
      <c r="G328" s="1371">
        <f>-1*
IF(OR('RFM input'!H476=0,'RFM input'!H476="n/a",'RFM input'!$F$468='RFM input'!$G$468),
   0,
  F276*($G$7/$F$7)/'RFM input'!H476)</f>
        <v>0</v>
      </c>
      <c r="H328" s="1370"/>
      <c r="I328" s="1370"/>
      <c r="J328" s="1370"/>
      <c r="K328" s="1370"/>
      <c r="L328" s="1370"/>
      <c r="M328" s="1370"/>
      <c r="N328" s="1370"/>
      <c r="O328" s="1370"/>
      <c r="P328" s="1370"/>
      <c r="Q328" s="1370"/>
      <c r="R328" s="410"/>
      <c r="S328" s="71"/>
      <c r="T328" s="71"/>
      <c r="U328" s="71"/>
      <c r="V328" s="71"/>
      <c r="W328" s="71"/>
      <c r="X328" s="71"/>
      <c r="Y328" s="71"/>
      <c r="Z328" s="71"/>
      <c r="AA328" s="71"/>
    </row>
    <row r="329" spans="1:27" hidden="1" outlineLevel="1">
      <c r="A329" s="152"/>
      <c r="B329" s="390"/>
      <c r="C329" s="412" t="str">
        <f>Asset3</f>
        <v>Meters</v>
      </c>
      <c r="D329" s="390"/>
      <c r="E329" s="390"/>
      <c r="F329" s="390"/>
      <c r="G329" s="1371">
        <f>-1*
IF(OR('RFM input'!H477=0,'RFM input'!H477="n/a",'RFM input'!$F$468='RFM input'!$G$468),
   0,
  F277*($G$7/$F$7)/'RFM input'!H477)</f>
        <v>0</v>
      </c>
      <c r="H329" s="1370"/>
      <c r="I329" s="1370"/>
      <c r="J329" s="1370"/>
      <c r="K329" s="1370"/>
      <c r="L329" s="1370"/>
      <c r="M329" s="1370"/>
      <c r="N329" s="1370"/>
      <c r="O329" s="1370"/>
      <c r="P329" s="1370"/>
      <c r="Q329" s="1370"/>
      <c r="R329" s="410"/>
      <c r="S329" s="71"/>
      <c r="T329" s="71"/>
      <c r="U329" s="71"/>
      <c r="V329" s="71"/>
      <c r="W329" s="71"/>
      <c r="X329" s="71"/>
      <c r="Y329" s="71"/>
      <c r="Z329" s="71"/>
      <c r="AA329" s="71"/>
    </row>
    <row r="330" spans="1:27" hidden="1" outlineLevel="1">
      <c r="A330" s="152"/>
      <c r="B330" s="390"/>
      <c r="C330" s="412" t="str">
        <f>Asset4</f>
        <v>Telemetry</v>
      </c>
      <c r="D330" s="390"/>
      <c r="E330" s="390"/>
      <c r="F330" s="390"/>
      <c r="G330" s="1371">
        <f>-1*
IF(OR('RFM input'!H478=0,'RFM input'!H478="n/a",'RFM input'!$F$468='RFM input'!$G$468),
   0,
  F278*($G$7/$F$7)/'RFM input'!H478)</f>
        <v>0</v>
      </c>
      <c r="H330" s="1370"/>
      <c r="I330" s="1370"/>
      <c r="J330" s="1370"/>
      <c r="K330" s="1370"/>
      <c r="L330" s="1370"/>
      <c r="M330" s="1370"/>
      <c r="N330" s="1370"/>
      <c r="O330" s="1370"/>
      <c r="P330" s="1370"/>
      <c r="Q330" s="1370"/>
      <c r="R330" s="410"/>
      <c r="S330" s="71"/>
      <c r="T330" s="71"/>
      <c r="U330" s="71"/>
      <c r="V330" s="71"/>
      <c r="W330" s="71"/>
      <c r="X330" s="71"/>
      <c r="Y330" s="71"/>
      <c r="Z330" s="71"/>
      <c r="AA330" s="71"/>
    </row>
    <row r="331" spans="1:27" hidden="1" outlineLevel="1">
      <c r="A331" s="152"/>
      <c r="B331" s="390"/>
      <c r="C331" s="412" t="str">
        <f>Asset5</f>
        <v>IT System</v>
      </c>
      <c r="D331" s="390"/>
      <c r="E331" s="390"/>
      <c r="F331" s="390"/>
      <c r="G331" s="1371">
        <f>-1*
IF(OR('RFM input'!H479=0,'RFM input'!H479="n/a",'RFM input'!$F$468='RFM input'!$G$468),
   0,
  F279*($G$7/$F$7)/'RFM input'!H479)</f>
        <v>0</v>
      </c>
      <c r="H331" s="1370"/>
      <c r="I331" s="1370"/>
      <c r="J331" s="1370"/>
      <c r="K331" s="1370"/>
      <c r="L331" s="1370"/>
      <c r="M331" s="1370"/>
      <c r="N331" s="1370"/>
      <c r="O331" s="1370"/>
      <c r="P331" s="1370"/>
      <c r="Q331" s="1370"/>
      <c r="R331" s="410"/>
      <c r="S331" s="71"/>
      <c r="T331" s="71"/>
      <c r="U331" s="71"/>
      <c r="V331" s="71"/>
      <c r="W331" s="71"/>
      <c r="X331" s="71"/>
      <c r="Y331" s="71"/>
      <c r="Z331" s="71"/>
      <c r="AA331" s="71"/>
    </row>
    <row r="332" spans="1:27" hidden="1" outlineLevel="1">
      <c r="A332" s="152"/>
      <c r="B332" s="390"/>
      <c r="C332" s="412" t="str">
        <f>Asset6</f>
        <v>Other Distribution System Equipment</v>
      </c>
      <c r="D332" s="390"/>
      <c r="E332" s="390"/>
      <c r="F332" s="390"/>
      <c r="G332" s="1371">
        <f>-1*
IF(OR('RFM input'!H480=0,'RFM input'!H480="n/a",'RFM input'!$F$468='RFM input'!$G$468),
   0,
  F280*($G$7/$F$7)/'RFM input'!H480)</f>
        <v>0</v>
      </c>
      <c r="H332" s="1370"/>
      <c r="I332" s="1370"/>
      <c r="J332" s="1370"/>
      <c r="K332" s="1370"/>
      <c r="L332" s="1370"/>
      <c r="M332" s="1370"/>
      <c r="N332" s="1370"/>
      <c r="O332" s="1370"/>
      <c r="P332" s="1370"/>
      <c r="Q332" s="1370"/>
      <c r="R332" s="410"/>
      <c r="S332" s="71"/>
      <c r="T332" s="71"/>
      <c r="U332" s="71"/>
      <c r="V332" s="71"/>
      <c r="W332" s="71"/>
      <c r="X332" s="71"/>
      <c r="Y332" s="71"/>
      <c r="Z332" s="71"/>
      <c r="AA332" s="71"/>
    </row>
    <row r="333" spans="1:27" hidden="1" outlineLevel="1">
      <c r="A333" s="152"/>
      <c r="B333" s="390"/>
      <c r="C333" s="412" t="str">
        <f>Asset7</f>
        <v>Other</v>
      </c>
      <c r="D333" s="390"/>
      <c r="E333" s="390"/>
      <c r="F333" s="390"/>
      <c r="G333" s="1371">
        <f>-1*
IF(OR('RFM input'!H481=0,'RFM input'!H481="n/a",'RFM input'!$F$468='RFM input'!$G$468),
   0,
  F281*($G$7/$F$7)/'RFM input'!H481)</f>
        <v>0</v>
      </c>
      <c r="H333" s="1370"/>
      <c r="I333" s="1370"/>
      <c r="J333" s="1370"/>
      <c r="K333" s="1370"/>
      <c r="L333" s="1370"/>
      <c r="M333" s="1370"/>
      <c r="N333" s="1370"/>
      <c r="O333" s="1370"/>
      <c r="P333" s="1370"/>
      <c r="Q333" s="1370"/>
      <c r="R333" s="410"/>
      <c r="S333" s="71"/>
      <c r="T333" s="71"/>
      <c r="U333" s="71"/>
      <c r="V333" s="71"/>
      <c r="W333" s="71"/>
      <c r="X333" s="71"/>
      <c r="Y333" s="71"/>
      <c r="Z333" s="71"/>
      <c r="AA333" s="71"/>
    </row>
    <row r="334" spans="1:27" hidden="1" outlineLevel="1">
      <c r="A334" s="152"/>
      <c r="B334" s="390"/>
      <c r="C334" s="412">
        <f>Asset8</f>
        <v>0</v>
      </c>
      <c r="D334" s="390"/>
      <c r="E334" s="390"/>
      <c r="F334" s="390"/>
      <c r="G334" s="1371">
        <f>-1*
IF(OR('RFM input'!H482=0,'RFM input'!H482="n/a",'RFM input'!$F$468='RFM input'!$G$468),
   0,
  F282*($G$7/$F$7)/'RFM input'!H482)</f>
        <v>0</v>
      </c>
      <c r="H334" s="1370"/>
      <c r="I334" s="1370"/>
      <c r="J334" s="1370"/>
      <c r="K334" s="1370"/>
      <c r="L334" s="1370"/>
      <c r="M334" s="1370"/>
      <c r="N334" s="1370"/>
      <c r="O334" s="1370"/>
      <c r="P334" s="1370"/>
      <c r="Q334" s="1370"/>
      <c r="R334" s="410"/>
      <c r="S334" s="71"/>
      <c r="T334" s="71"/>
      <c r="U334" s="71"/>
      <c r="V334" s="71"/>
      <c r="W334" s="71"/>
      <c r="X334" s="71"/>
      <c r="Y334" s="71"/>
      <c r="Z334" s="71"/>
      <c r="AA334" s="71"/>
    </row>
    <row r="335" spans="1:27" hidden="1" outlineLevel="1">
      <c r="A335" s="152"/>
      <c r="B335" s="390"/>
      <c r="C335" s="412">
        <f>Asset9</f>
        <v>0</v>
      </c>
      <c r="D335" s="390"/>
      <c r="E335" s="390"/>
      <c r="F335" s="390"/>
      <c r="G335" s="1371">
        <f>-1*
IF(OR('RFM input'!H483=0,'RFM input'!H483="n/a",'RFM input'!$F$468='RFM input'!$G$468),
   0,
  F283*($G$7/$F$7)/'RFM input'!H483)</f>
        <v>0</v>
      </c>
      <c r="H335" s="1370"/>
      <c r="I335" s="1370"/>
      <c r="J335" s="1370"/>
      <c r="K335" s="1370"/>
      <c r="L335" s="1370"/>
      <c r="M335" s="1370"/>
      <c r="N335" s="1370"/>
      <c r="O335" s="1370"/>
      <c r="P335" s="1370"/>
      <c r="Q335" s="1370"/>
      <c r="R335" s="410"/>
      <c r="S335" s="71"/>
      <c r="T335" s="71"/>
      <c r="U335" s="71"/>
      <c r="V335" s="71"/>
      <c r="W335" s="71"/>
      <c r="X335" s="71"/>
      <c r="Y335" s="71"/>
      <c r="Z335" s="71"/>
      <c r="AA335" s="71"/>
    </row>
    <row r="336" spans="1:27" hidden="1" outlineLevel="1">
      <c r="A336" s="152"/>
      <c r="B336" s="390"/>
      <c r="C336" s="412">
        <f>Asset10</f>
        <v>0</v>
      </c>
      <c r="D336" s="390"/>
      <c r="E336" s="390"/>
      <c r="F336" s="390"/>
      <c r="G336" s="1371">
        <f>-1*
IF(OR('RFM input'!H484=0,'RFM input'!H484="n/a",'RFM input'!$F$468='RFM input'!$G$468),
   0,
  F284*($G$7/$F$7)/'RFM input'!H484)</f>
        <v>0</v>
      </c>
      <c r="H336" s="1370"/>
      <c r="I336" s="1370"/>
      <c r="J336" s="1370"/>
      <c r="K336" s="1370"/>
      <c r="L336" s="1370"/>
      <c r="M336" s="1370"/>
      <c r="N336" s="1370"/>
      <c r="O336" s="1370"/>
      <c r="P336" s="1370"/>
      <c r="Q336" s="1370"/>
      <c r="R336" s="410"/>
      <c r="S336" s="71"/>
      <c r="T336" s="71"/>
      <c r="U336" s="71"/>
      <c r="V336" s="71"/>
      <c r="W336" s="71"/>
      <c r="X336" s="71"/>
      <c r="Y336" s="71"/>
      <c r="Z336" s="71"/>
      <c r="AA336" s="71"/>
    </row>
    <row r="337" spans="1:27" hidden="1" outlineLevel="1">
      <c r="A337" s="152"/>
      <c r="B337" s="390"/>
      <c r="C337" s="412">
        <f>Asset11</f>
        <v>0</v>
      </c>
      <c r="D337" s="390"/>
      <c r="E337" s="390"/>
      <c r="F337" s="390"/>
      <c r="G337" s="1371">
        <f>-1*
IF(OR('RFM input'!H485=0,'RFM input'!H485="n/a",'RFM input'!$F$468='RFM input'!$G$468),
   0,
  F285*($G$7/$F$7)/'RFM input'!H485)</f>
        <v>0</v>
      </c>
      <c r="H337" s="1370"/>
      <c r="I337" s="1370"/>
      <c r="J337" s="1370"/>
      <c r="K337" s="1370"/>
      <c r="L337" s="1370"/>
      <c r="M337" s="1370"/>
      <c r="N337" s="1370"/>
      <c r="O337" s="1370"/>
      <c r="P337" s="1370"/>
      <c r="Q337" s="1370"/>
      <c r="R337" s="410"/>
      <c r="S337" s="71"/>
      <c r="T337" s="71"/>
      <c r="U337" s="71"/>
      <c r="V337" s="71"/>
      <c r="W337" s="71"/>
      <c r="X337" s="71"/>
      <c r="Y337" s="71"/>
      <c r="Z337" s="71"/>
      <c r="AA337" s="71"/>
    </row>
    <row r="338" spans="1:27" hidden="1" outlineLevel="1">
      <c r="A338" s="152"/>
      <c r="B338" s="390"/>
      <c r="C338" s="412">
        <f>Asset12</f>
        <v>0</v>
      </c>
      <c r="D338" s="390"/>
      <c r="E338" s="390"/>
      <c r="F338" s="390"/>
      <c r="G338" s="1371">
        <f>-1*
IF(OR('RFM input'!H486=0,'RFM input'!H486="n/a",'RFM input'!$F$468='RFM input'!$G$468),
   0,
  F286*($G$7/$F$7)/'RFM input'!H486)</f>
        <v>0</v>
      </c>
      <c r="H338" s="1370"/>
      <c r="I338" s="1370"/>
      <c r="J338" s="1370"/>
      <c r="K338" s="1370"/>
      <c r="L338" s="1370"/>
      <c r="M338" s="1370"/>
      <c r="N338" s="1370"/>
      <c r="O338" s="1370"/>
      <c r="P338" s="1370"/>
      <c r="Q338" s="1370"/>
      <c r="R338" s="410"/>
      <c r="S338" s="71"/>
      <c r="T338" s="71"/>
      <c r="U338" s="71"/>
      <c r="V338" s="71"/>
      <c r="W338" s="71"/>
      <c r="X338" s="71"/>
      <c r="Y338" s="71"/>
      <c r="Z338" s="71"/>
      <c r="AA338" s="71"/>
    </row>
    <row r="339" spans="1:27" hidden="1" outlineLevel="1">
      <c r="A339" s="152"/>
      <c r="B339" s="390"/>
      <c r="C339" s="412">
        <f>Asset13</f>
        <v>0</v>
      </c>
      <c r="D339" s="390"/>
      <c r="E339" s="390"/>
      <c r="F339" s="390"/>
      <c r="G339" s="1371">
        <f>-1*
IF(OR('RFM input'!H487=0,'RFM input'!H487="n/a",'RFM input'!$F$468='RFM input'!$G$468),
   0,
  F287*($G$7/$F$7)/'RFM input'!H487)</f>
        <v>0</v>
      </c>
      <c r="H339" s="1370"/>
      <c r="I339" s="1370"/>
      <c r="J339" s="1370"/>
      <c r="K339" s="1370"/>
      <c r="L339" s="1370"/>
      <c r="M339" s="1370"/>
      <c r="N339" s="1370"/>
      <c r="O339" s="1370"/>
      <c r="P339" s="1370"/>
      <c r="Q339" s="1370"/>
      <c r="R339" s="410"/>
      <c r="S339" s="71"/>
      <c r="T339" s="71"/>
      <c r="U339" s="71"/>
      <c r="V339" s="71"/>
      <c r="W339" s="71"/>
      <c r="X339" s="71"/>
      <c r="Y339" s="71"/>
      <c r="Z339" s="71"/>
      <c r="AA339" s="71"/>
    </row>
    <row r="340" spans="1:27" hidden="1" outlineLevel="1">
      <c r="A340" s="152"/>
      <c r="B340" s="390"/>
      <c r="C340" s="412">
        <f>Asset14</f>
        <v>0</v>
      </c>
      <c r="D340" s="390"/>
      <c r="E340" s="390"/>
      <c r="F340" s="390"/>
      <c r="G340" s="1371">
        <f>-1*
IF(OR('RFM input'!H488=0,'RFM input'!H488="n/a",'RFM input'!$F$468='RFM input'!$G$468),
   0,
  F288*($G$7/$F$7)/'RFM input'!H488)</f>
        <v>0</v>
      </c>
      <c r="H340" s="1370"/>
      <c r="I340" s="1370"/>
      <c r="J340" s="1370"/>
      <c r="K340" s="1370"/>
      <c r="L340" s="1370"/>
      <c r="M340" s="1370"/>
      <c r="N340" s="1370"/>
      <c r="O340" s="1370"/>
      <c r="P340" s="1370"/>
      <c r="Q340" s="1370"/>
      <c r="R340" s="410"/>
      <c r="S340" s="71"/>
      <c r="T340" s="71"/>
      <c r="U340" s="71"/>
      <c r="V340" s="71"/>
      <c r="W340" s="71"/>
      <c r="X340" s="71"/>
      <c r="Y340" s="71"/>
      <c r="Z340" s="71"/>
      <c r="AA340" s="71"/>
    </row>
    <row r="341" spans="1:27" hidden="1" outlineLevel="1">
      <c r="A341" s="152"/>
      <c r="B341" s="390"/>
      <c r="C341" s="412">
        <f>Asset15</f>
        <v>0</v>
      </c>
      <c r="D341" s="390"/>
      <c r="E341" s="390"/>
      <c r="F341" s="390"/>
      <c r="G341" s="1371">
        <f>-1*
IF(OR('RFM input'!H489=0,'RFM input'!H489="n/a",'RFM input'!$F$468='RFM input'!$G$468),
   0,
  F289*($G$7/$F$7)/'RFM input'!H489)</f>
        <v>0</v>
      </c>
      <c r="H341" s="1370"/>
      <c r="I341" s="1370"/>
      <c r="J341" s="1370"/>
      <c r="K341" s="1370"/>
      <c r="L341" s="1370"/>
      <c r="M341" s="1370"/>
      <c r="N341" s="1370"/>
      <c r="O341" s="1370"/>
      <c r="P341" s="1370"/>
      <c r="Q341" s="1370"/>
      <c r="R341" s="410"/>
      <c r="S341" s="71"/>
      <c r="T341" s="71"/>
      <c r="U341" s="71"/>
      <c r="V341" s="71"/>
      <c r="W341" s="71"/>
      <c r="X341" s="71"/>
      <c r="Y341" s="71"/>
      <c r="Z341" s="71"/>
      <c r="AA341" s="71"/>
    </row>
    <row r="342" spans="1:27" hidden="1" outlineLevel="1">
      <c r="A342" s="152"/>
      <c r="B342" s="390"/>
      <c r="C342" s="412">
        <f>Asset16</f>
        <v>0</v>
      </c>
      <c r="D342" s="390"/>
      <c r="E342" s="390"/>
      <c r="F342" s="390"/>
      <c r="G342" s="1371">
        <f>-1*
IF(OR('RFM input'!H490=0,'RFM input'!H490="n/a",'RFM input'!$F$468='RFM input'!$G$468),
   0,
  F290*($G$7/$F$7)/'RFM input'!H490)</f>
        <v>0</v>
      </c>
      <c r="H342" s="1370"/>
      <c r="I342" s="1370"/>
      <c r="J342" s="1370"/>
      <c r="K342" s="1370"/>
      <c r="L342" s="1370"/>
      <c r="M342" s="1370"/>
      <c r="N342" s="1370"/>
      <c r="O342" s="1370"/>
      <c r="P342" s="1370"/>
      <c r="Q342" s="1370"/>
      <c r="R342" s="410"/>
      <c r="S342" s="71"/>
      <c r="T342" s="71"/>
      <c r="U342" s="71"/>
      <c r="V342" s="71"/>
      <c r="W342" s="71"/>
      <c r="X342" s="71"/>
      <c r="Y342" s="71"/>
      <c r="Z342" s="71"/>
      <c r="AA342" s="71"/>
    </row>
    <row r="343" spans="1:27" hidden="1" outlineLevel="1">
      <c r="A343" s="152"/>
      <c r="B343" s="390"/>
      <c r="C343" s="412">
        <f>Asset17</f>
        <v>0</v>
      </c>
      <c r="D343" s="390"/>
      <c r="E343" s="390"/>
      <c r="F343" s="390"/>
      <c r="G343" s="1371">
        <f>-1*
IF(OR('RFM input'!H491=0,'RFM input'!H491="n/a",'RFM input'!$F$468='RFM input'!$G$468),
   0,
  F291*($G$7/$F$7)/'RFM input'!H491)</f>
        <v>0</v>
      </c>
      <c r="H343" s="1370"/>
      <c r="I343" s="1370"/>
      <c r="J343" s="1370"/>
      <c r="K343" s="1370"/>
      <c r="L343" s="1370"/>
      <c r="M343" s="1370"/>
      <c r="N343" s="1370"/>
      <c r="O343" s="1370"/>
      <c r="P343" s="1370"/>
      <c r="Q343" s="1370"/>
      <c r="R343" s="410"/>
      <c r="S343" s="71"/>
      <c r="T343" s="71"/>
      <c r="U343" s="71"/>
      <c r="V343" s="71"/>
      <c r="W343" s="71"/>
      <c r="X343" s="71"/>
      <c r="Y343" s="71"/>
      <c r="Z343" s="71"/>
      <c r="AA343" s="71"/>
    </row>
    <row r="344" spans="1:27" hidden="1" outlineLevel="1">
      <c r="A344" s="152"/>
      <c r="B344" s="390"/>
      <c r="C344" s="412">
        <f>Asset18</f>
        <v>0</v>
      </c>
      <c r="D344" s="390"/>
      <c r="E344" s="390"/>
      <c r="F344" s="390"/>
      <c r="G344" s="1371">
        <f>-1*
IF(OR('RFM input'!H492=0,'RFM input'!H492="n/a",'RFM input'!$F$468='RFM input'!$G$468),
   0,
  F292*($G$7/$F$7)/'RFM input'!H492)</f>
        <v>0</v>
      </c>
      <c r="H344" s="1370"/>
      <c r="I344" s="1370"/>
      <c r="J344" s="1370"/>
      <c r="K344" s="1370"/>
      <c r="L344" s="1370"/>
      <c r="M344" s="1370"/>
      <c r="N344" s="1370"/>
      <c r="O344" s="1370"/>
      <c r="P344" s="1370"/>
      <c r="Q344" s="1370"/>
      <c r="R344" s="410"/>
      <c r="S344" s="71"/>
      <c r="T344" s="71"/>
      <c r="U344" s="71"/>
      <c r="V344" s="71"/>
      <c r="W344" s="71"/>
      <c r="X344" s="71"/>
      <c r="Y344" s="71"/>
      <c r="Z344" s="71"/>
      <c r="AA344" s="71"/>
    </row>
    <row r="345" spans="1:27" hidden="1" outlineLevel="1">
      <c r="A345" s="152"/>
      <c r="B345" s="390"/>
      <c r="C345" s="412">
        <f>Asset19</f>
        <v>0</v>
      </c>
      <c r="D345" s="390"/>
      <c r="E345" s="390"/>
      <c r="F345" s="390"/>
      <c r="G345" s="1371">
        <f>-1*
IF(OR('RFM input'!H493=0,'RFM input'!H493="n/a",'RFM input'!$F$468='RFM input'!$G$468),
   0,
  F293*($G$7/$F$7)/'RFM input'!H493)</f>
        <v>0</v>
      </c>
      <c r="H345" s="1370"/>
      <c r="I345" s="1370"/>
      <c r="J345" s="1370"/>
      <c r="K345" s="1370"/>
      <c r="L345" s="1370"/>
      <c r="M345" s="1370"/>
      <c r="N345" s="1370"/>
      <c r="O345" s="1370"/>
      <c r="P345" s="1370"/>
      <c r="Q345" s="1370"/>
      <c r="R345" s="410"/>
      <c r="S345" s="71"/>
      <c r="T345" s="71"/>
      <c r="U345" s="71"/>
      <c r="V345" s="71"/>
      <c r="W345" s="71"/>
      <c r="X345" s="71"/>
      <c r="Y345" s="71"/>
      <c r="Z345" s="71"/>
      <c r="AA345" s="71"/>
    </row>
    <row r="346" spans="1:27" hidden="1" outlineLevel="1">
      <c r="A346" s="152"/>
      <c r="B346" s="390"/>
      <c r="C346" s="412">
        <f>Asset20</f>
        <v>0</v>
      </c>
      <c r="D346" s="390"/>
      <c r="E346" s="390"/>
      <c r="F346" s="390"/>
      <c r="G346" s="1371">
        <f>-1*
IF(OR('RFM input'!H494=0,'RFM input'!H494="n/a",'RFM input'!$F$468='RFM input'!$G$468),
   0,
  F294*($G$7/$F$7)/'RFM input'!H494)</f>
        <v>0</v>
      </c>
      <c r="H346" s="1370"/>
      <c r="I346" s="1370"/>
      <c r="J346" s="1370"/>
      <c r="K346" s="1370"/>
      <c r="L346" s="1370"/>
      <c r="M346" s="1370"/>
      <c r="N346" s="1370"/>
      <c r="O346" s="1370"/>
      <c r="P346" s="1370"/>
      <c r="Q346" s="1370"/>
      <c r="R346" s="410"/>
      <c r="S346" s="71"/>
      <c r="T346" s="71"/>
      <c r="U346" s="71"/>
      <c r="V346" s="71"/>
      <c r="W346" s="71"/>
      <c r="X346" s="71"/>
      <c r="Y346" s="71"/>
      <c r="Z346" s="71"/>
      <c r="AA346" s="71"/>
    </row>
    <row r="347" spans="1:27" hidden="1" outlineLevel="1">
      <c r="A347" s="152"/>
      <c r="B347" s="390"/>
      <c r="C347" s="412">
        <f>Asset21</f>
        <v>0</v>
      </c>
      <c r="D347" s="390"/>
      <c r="E347" s="390"/>
      <c r="F347" s="390"/>
      <c r="G347" s="1371">
        <f>-1*
IF(OR('RFM input'!H495=0,'RFM input'!H495="n/a",'RFM input'!$F$468='RFM input'!$G$468),
   0,
  F295*($G$7/$F$7)/'RFM input'!H495)</f>
        <v>0</v>
      </c>
      <c r="H347" s="1370"/>
      <c r="I347" s="1370"/>
      <c r="J347" s="1370"/>
      <c r="K347" s="1370"/>
      <c r="L347" s="1370"/>
      <c r="M347" s="1370"/>
      <c r="N347" s="1370"/>
      <c r="O347" s="1370"/>
      <c r="P347" s="1370"/>
      <c r="Q347" s="1370"/>
      <c r="R347" s="410"/>
      <c r="S347" s="71"/>
      <c r="T347" s="71"/>
      <c r="U347" s="71"/>
      <c r="V347" s="71"/>
      <c r="W347" s="71"/>
      <c r="X347" s="71"/>
      <c r="Y347" s="71"/>
      <c r="Z347" s="71"/>
      <c r="AA347" s="71"/>
    </row>
    <row r="348" spans="1:27" hidden="1" outlineLevel="1">
      <c r="A348" s="152"/>
      <c r="B348" s="390"/>
      <c r="C348" s="412">
        <f>Asset22</f>
        <v>0</v>
      </c>
      <c r="D348" s="390"/>
      <c r="E348" s="390"/>
      <c r="F348" s="390"/>
      <c r="G348" s="1371">
        <f>-1*
IF(OR('RFM input'!H496=0,'RFM input'!H496="n/a",'RFM input'!$F$468='RFM input'!$G$468),
   0,
  F296*($G$7/$F$7)/'RFM input'!H496)</f>
        <v>0</v>
      </c>
      <c r="H348" s="1370"/>
      <c r="I348" s="1370"/>
      <c r="J348" s="1370"/>
      <c r="K348" s="1370"/>
      <c r="L348" s="1370"/>
      <c r="M348" s="1370"/>
      <c r="N348" s="1370"/>
      <c r="O348" s="1370"/>
      <c r="P348" s="1370"/>
      <c r="Q348" s="1370"/>
      <c r="R348" s="410"/>
      <c r="S348" s="71"/>
      <c r="T348" s="71"/>
      <c r="U348" s="71"/>
      <c r="V348" s="71"/>
      <c r="W348" s="71"/>
      <c r="X348" s="71"/>
      <c r="Y348" s="71"/>
      <c r="Z348" s="71"/>
      <c r="AA348" s="71"/>
    </row>
    <row r="349" spans="1:27" hidden="1" outlineLevel="1">
      <c r="A349" s="152"/>
      <c r="B349" s="390"/>
      <c r="C349" s="412">
        <f>Asset23</f>
        <v>0</v>
      </c>
      <c r="D349" s="390"/>
      <c r="E349" s="390"/>
      <c r="F349" s="390"/>
      <c r="G349" s="1371">
        <f>-1*
IF(OR('RFM input'!H497=0,'RFM input'!H497="n/a",'RFM input'!$F$468='RFM input'!$G$468),
   0,
  F297*($G$7/$F$7)/'RFM input'!H497)</f>
        <v>0</v>
      </c>
      <c r="H349" s="1370"/>
      <c r="I349" s="1370"/>
      <c r="J349" s="1370"/>
      <c r="K349" s="1370"/>
      <c r="L349" s="1370"/>
      <c r="M349" s="1370"/>
      <c r="N349" s="1370"/>
      <c r="O349" s="1370"/>
      <c r="P349" s="1370"/>
      <c r="Q349" s="1370"/>
      <c r="R349" s="410"/>
      <c r="S349" s="71"/>
      <c r="T349" s="71"/>
      <c r="U349" s="71"/>
      <c r="V349" s="71"/>
      <c r="W349" s="71"/>
      <c r="X349" s="71"/>
      <c r="Y349" s="71"/>
      <c r="Z349" s="71"/>
      <c r="AA349" s="71"/>
    </row>
    <row r="350" spans="1:27" hidden="1" outlineLevel="1">
      <c r="A350" s="152"/>
      <c r="B350" s="390"/>
      <c r="C350" s="412">
        <f>Asset24</f>
        <v>0</v>
      </c>
      <c r="D350" s="390"/>
      <c r="E350" s="390"/>
      <c r="F350" s="390"/>
      <c r="G350" s="1371">
        <f>-1*
IF(OR('RFM input'!H498=0,'RFM input'!H498="n/a",'RFM input'!$F$468='RFM input'!$G$468),
   0,
  F298*($G$7/$F$7)/'RFM input'!H498)</f>
        <v>0</v>
      </c>
      <c r="H350" s="1370"/>
      <c r="I350" s="1370"/>
      <c r="J350" s="1370"/>
      <c r="K350" s="1370"/>
      <c r="L350" s="1370"/>
      <c r="M350" s="1370"/>
      <c r="N350" s="1370"/>
      <c r="O350" s="1370"/>
      <c r="P350" s="1370"/>
      <c r="Q350" s="1370"/>
      <c r="R350" s="410"/>
      <c r="S350" s="71"/>
      <c r="T350" s="71"/>
      <c r="U350" s="71"/>
      <c r="V350" s="71"/>
      <c r="W350" s="71"/>
      <c r="X350" s="71"/>
      <c r="Y350" s="71"/>
      <c r="Z350" s="71"/>
      <c r="AA350" s="71"/>
    </row>
    <row r="351" spans="1:27" hidden="1" outlineLevel="1">
      <c r="A351" s="152"/>
      <c r="B351" s="390"/>
      <c r="C351" s="412">
        <f>Asset25</f>
        <v>0</v>
      </c>
      <c r="D351" s="390"/>
      <c r="E351" s="390"/>
      <c r="F351" s="390"/>
      <c r="G351" s="1371">
        <f>-1*
IF(OR('RFM input'!H499=0,'RFM input'!H499="n/a",'RFM input'!$F$468='RFM input'!$G$468),
   0,
  F299*($G$7/$F$7)/'RFM input'!H499)</f>
        <v>0</v>
      </c>
      <c r="H351" s="1370"/>
      <c r="I351" s="1370"/>
      <c r="J351" s="1370"/>
      <c r="K351" s="1370"/>
      <c r="L351" s="1370"/>
      <c r="M351" s="1370"/>
      <c r="N351" s="1370"/>
      <c r="O351" s="1370"/>
      <c r="P351" s="1370"/>
      <c r="Q351" s="1370"/>
      <c r="R351" s="410"/>
      <c r="S351" s="71"/>
      <c r="T351" s="71"/>
      <c r="U351" s="71"/>
      <c r="V351" s="71"/>
      <c r="W351" s="71"/>
      <c r="X351" s="71"/>
      <c r="Y351" s="71"/>
      <c r="Z351" s="71"/>
      <c r="AA351" s="71"/>
    </row>
    <row r="352" spans="1:27" hidden="1" outlineLevel="1">
      <c r="A352" s="152"/>
      <c r="B352" s="390"/>
      <c r="C352" s="412">
        <f>Asset26</f>
        <v>0</v>
      </c>
      <c r="D352" s="390"/>
      <c r="E352" s="390"/>
      <c r="F352" s="390"/>
      <c r="G352" s="1371">
        <f>-1*
IF(OR('RFM input'!H500=0,'RFM input'!H500="n/a",'RFM input'!$F$468='RFM input'!$G$468),
   0,
  F300*($G$7/$F$7)/'RFM input'!H500)</f>
        <v>0</v>
      </c>
      <c r="H352" s="1370"/>
      <c r="I352" s="1370"/>
      <c r="J352" s="1370"/>
      <c r="K352" s="1370"/>
      <c r="L352" s="1370"/>
      <c r="M352" s="1370"/>
      <c r="N352" s="1370"/>
      <c r="O352" s="1370"/>
      <c r="P352" s="1370"/>
      <c r="Q352" s="1370"/>
      <c r="R352" s="410"/>
      <c r="S352" s="71"/>
      <c r="T352" s="71"/>
      <c r="U352" s="71"/>
      <c r="V352" s="71"/>
      <c r="W352" s="71"/>
      <c r="X352" s="71"/>
      <c r="Y352" s="71"/>
      <c r="Z352" s="71"/>
      <c r="AA352" s="71"/>
    </row>
    <row r="353" spans="1:27" hidden="1" outlineLevel="1">
      <c r="A353" s="152"/>
      <c r="B353" s="390"/>
      <c r="C353" s="412">
        <f>Asset27</f>
        <v>0</v>
      </c>
      <c r="D353" s="390"/>
      <c r="E353" s="390"/>
      <c r="F353" s="390"/>
      <c r="G353" s="1371">
        <f>-1*
IF(OR('RFM input'!H501=0,'RFM input'!H501="n/a",'RFM input'!$F$468='RFM input'!$G$468),
   0,
  F301*($G$7/$F$7)/'RFM input'!H501)</f>
        <v>0</v>
      </c>
      <c r="H353" s="1370"/>
      <c r="I353" s="1370"/>
      <c r="J353" s="1370"/>
      <c r="K353" s="1370"/>
      <c r="L353" s="1370"/>
      <c r="M353" s="1370"/>
      <c r="N353" s="1370"/>
      <c r="O353" s="1370"/>
      <c r="P353" s="1370"/>
      <c r="Q353" s="1370"/>
      <c r="R353" s="410"/>
      <c r="S353" s="71"/>
      <c r="T353" s="71"/>
      <c r="U353" s="71"/>
      <c r="V353" s="71"/>
      <c r="W353" s="71"/>
      <c r="X353" s="71"/>
      <c r="Y353" s="71"/>
      <c r="Z353" s="71"/>
      <c r="AA353" s="71"/>
    </row>
    <row r="354" spans="1:27" hidden="1" outlineLevel="1">
      <c r="A354" s="152"/>
      <c r="B354" s="390"/>
      <c r="C354" s="412">
        <f>Asset28</f>
        <v>0</v>
      </c>
      <c r="D354" s="390"/>
      <c r="E354" s="390"/>
      <c r="F354" s="390"/>
      <c r="G354" s="1371">
        <f>-1*
IF(OR('RFM input'!H502=0,'RFM input'!H502="n/a",'RFM input'!$F$468='RFM input'!$G$468),
   0,
  F302*($G$7/$F$7)/'RFM input'!H502)</f>
        <v>0</v>
      </c>
      <c r="H354" s="1370"/>
      <c r="I354" s="1370"/>
      <c r="J354" s="1370"/>
      <c r="K354" s="1370"/>
      <c r="L354" s="1370"/>
      <c r="M354" s="1370"/>
      <c r="N354" s="1370"/>
      <c r="O354" s="1370"/>
      <c r="P354" s="1370"/>
      <c r="Q354" s="1370"/>
      <c r="R354" s="410"/>
      <c r="S354" s="71"/>
      <c r="T354" s="71"/>
      <c r="U354" s="71"/>
      <c r="V354" s="71"/>
      <c r="W354" s="71"/>
      <c r="X354" s="71"/>
      <c r="Y354" s="71"/>
      <c r="Z354" s="71"/>
      <c r="AA354" s="71"/>
    </row>
    <row r="355" spans="1:27" hidden="1" outlineLevel="1">
      <c r="A355" s="152"/>
      <c r="B355" s="390"/>
      <c r="C355" s="412">
        <f>Asset29</f>
        <v>0</v>
      </c>
      <c r="D355" s="390"/>
      <c r="E355" s="390"/>
      <c r="F355" s="390"/>
      <c r="G355" s="1371">
        <f>-1*
IF(OR('RFM input'!H503=0,'RFM input'!H503="n/a",'RFM input'!$F$468='RFM input'!$G$468),
   0,
  F303*($G$7/$F$7)/'RFM input'!H503)</f>
        <v>0</v>
      </c>
      <c r="H355" s="1370"/>
      <c r="I355" s="1370"/>
      <c r="J355" s="1370"/>
      <c r="K355" s="1370"/>
      <c r="L355" s="1370"/>
      <c r="M355" s="1370"/>
      <c r="N355" s="1370"/>
      <c r="O355" s="1370"/>
      <c r="P355" s="1370"/>
      <c r="Q355" s="1370"/>
      <c r="R355" s="410"/>
      <c r="S355" s="71"/>
      <c r="T355" s="71"/>
      <c r="U355" s="71"/>
      <c r="V355" s="71"/>
      <c r="W355" s="71"/>
      <c r="X355" s="71"/>
      <c r="Y355" s="71"/>
      <c r="Z355" s="71"/>
      <c r="AA355" s="71"/>
    </row>
    <row r="356" spans="1:27" hidden="1" outlineLevel="1">
      <c r="A356" s="152"/>
      <c r="B356" s="390"/>
      <c r="C356" s="412">
        <f>Asset30</f>
        <v>0</v>
      </c>
      <c r="D356" s="390"/>
      <c r="E356" s="390"/>
      <c r="F356" s="390"/>
      <c r="G356" s="1371">
        <f>-1*
IF(OR('RFM input'!H504=0,'RFM input'!H504="n/a",'RFM input'!$F$468='RFM input'!$G$468),
   0,
  F304*($G$7/$F$7)/'RFM input'!H504)</f>
        <v>0</v>
      </c>
      <c r="H356" s="1370"/>
      <c r="I356" s="1370"/>
      <c r="J356" s="1370"/>
      <c r="K356" s="1370"/>
      <c r="L356" s="1370"/>
      <c r="M356" s="1370"/>
      <c r="N356" s="1370"/>
      <c r="O356" s="1370"/>
      <c r="P356" s="1370"/>
      <c r="Q356" s="1370"/>
      <c r="R356" s="410"/>
      <c r="S356" s="71"/>
      <c r="T356" s="71"/>
      <c r="U356" s="71"/>
      <c r="V356" s="71"/>
      <c r="W356" s="71"/>
      <c r="X356" s="71"/>
      <c r="Y356" s="71"/>
      <c r="Z356" s="71"/>
      <c r="AA356" s="71"/>
    </row>
    <row r="357" spans="1:27" hidden="1" outlineLevel="1">
      <c r="A357" s="152"/>
      <c r="B357" s="390"/>
      <c r="C357" s="412">
        <f>Asset31</f>
        <v>0</v>
      </c>
      <c r="D357" s="390"/>
      <c r="E357" s="390"/>
      <c r="F357" s="390"/>
      <c r="G357" s="1371">
        <f>-1*
IF(OR('RFM input'!H505=0,'RFM input'!H505="n/a",'RFM input'!$F$468='RFM input'!$G$468),
   0,
  F305*($G$7/$F$7)/'RFM input'!H505)</f>
        <v>0</v>
      </c>
      <c r="H357" s="1370"/>
      <c r="I357" s="1370"/>
      <c r="J357" s="1370"/>
      <c r="K357" s="1370"/>
      <c r="L357" s="1370"/>
      <c r="M357" s="1370"/>
      <c r="N357" s="1370"/>
      <c r="O357" s="1370"/>
      <c r="P357" s="1370"/>
      <c r="Q357" s="1370"/>
      <c r="R357" s="410"/>
      <c r="S357" s="71"/>
      <c r="T357" s="71"/>
      <c r="U357" s="71"/>
      <c r="V357" s="71"/>
      <c r="W357" s="71"/>
      <c r="X357" s="71"/>
      <c r="Y357" s="71"/>
      <c r="Z357" s="71"/>
      <c r="AA357" s="71"/>
    </row>
    <row r="358" spans="1:27" hidden="1" outlineLevel="1">
      <c r="A358" s="152"/>
      <c r="B358" s="390"/>
      <c r="C358" s="412">
        <f>Asset32</f>
        <v>0</v>
      </c>
      <c r="D358" s="390"/>
      <c r="E358" s="390"/>
      <c r="F358" s="390"/>
      <c r="G358" s="1371">
        <f>-1*
IF(OR('RFM input'!H506=0,'RFM input'!H506="n/a",'RFM input'!$F$468='RFM input'!$G$468),
   0,
  F306*($G$7/$F$7)/'RFM input'!H506)</f>
        <v>0</v>
      </c>
      <c r="H358" s="1370"/>
      <c r="I358" s="1370"/>
      <c r="J358" s="1370"/>
      <c r="K358" s="1370"/>
      <c r="L358" s="1370"/>
      <c r="M358" s="1370"/>
      <c r="N358" s="1370"/>
      <c r="O358" s="1370"/>
      <c r="P358" s="1370"/>
      <c r="Q358" s="1370"/>
      <c r="R358" s="410"/>
      <c r="S358" s="71"/>
      <c r="T358" s="71"/>
      <c r="U358" s="71"/>
      <c r="V358" s="71"/>
      <c r="W358" s="71"/>
      <c r="X358" s="71"/>
      <c r="Y358" s="71"/>
      <c r="Z358" s="71"/>
      <c r="AA358" s="71"/>
    </row>
    <row r="359" spans="1:27" hidden="1" outlineLevel="1">
      <c r="A359" s="152"/>
      <c r="B359" s="390"/>
      <c r="C359" s="412">
        <f>Asset33</f>
        <v>0</v>
      </c>
      <c r="D359" s="390"/>
      <c r="E359" s="390"/>
      <c r="F359" s="390"/>
      <c r="G359" s="1371">
        <f>-1*
IF(OR('RFM input'!H507=0,'RFM input'!H507="n/a",'RFM input'!$F$468='RFM input'!$G$468),
   0,
  F307*($G$7/$F$7)/'RFM input'!H507)</f>
        <v>0</v>
      </c>
      <c r="H359" s="1370"/>
      <c r="I359" s="1370"/>
      <c r="J359" s="1370"/>
      <c r="K359" s="1370"/>
      <c r="L359" s="1370"/>
      <c r="M359" s="1370"/>
      <c r="N359" s="1370"/>
      <c r="O359" s="1370"/>
      <c r="P359" s="1370"/>
      <c r="Q359" s="1370"/>
      <c r="R359" s="410"/>
      <c r="S359" s="71"/>
      <c r="T359" s="71"/>
      <c r="U359" s="71"/>
      <c r="V359" s="71"/>
      <c r="W359" s="71"/>
      <c r="X359" s="71"/>
      <c r="Y359" s="71"/>
      <c r="Z359" s="71"/>
      <c r="AA359" s="71"/>
    </row>
    <row r="360" spans="1:27" hidden="1" outlineLevel="1">
      <c r="A360" s="152"/>
      <c r="B360" s="390"/>
      <c r="C360" s="412">
        <f>Asset34</f>
        <v>0</v>
      </c>
      <c r="D360" s="390"/>
      <c r="E360" s="390"/>
      <c r="F360" s="390"/>
      <c r="G360" s="1371">
        <f>-1*
IF(OR('RFM input'!H508=0,'RFM input'!H508="n/a",'RFM input'!$F$468='RFM input'!$G$468),
   0,
  F308*($G$7/$F$7)/'RFM input'!H508)</f>
        <v>0</v>
      </c>
      <c r="H360" s="1370"/>
      <c r="I360" s="1370"/>
      <c r="J360" s="1370"/>
      <c r="K360" s="1370"/>
      <c r="L360" s="1370"/>
      <c r="M360" s="1370"/>
      <c r="N360" s="1370"/>
      <c r="O360" s="1370"/>
      <c r="P360" s="1370"/>
      <c r="Q360" s="1370"/>
      <c r="R360" s="410"/>
      <c r="S360" s="71"/>
      <c r="T360" s="71"/>
      <c r="U360" s="71"/>
      <c r="V360" s="71"/>
      <c r="W360" s="71"/>
      <c r="X360" s="71"/>
      <c r="Y360" s="71"/>
      <c r="Z360" s="71"/>
      <c r="AA360" s="71"/>
    </row>
    <row r="361" spans="1:27" hidden="1" outlineLevel="1">
      <c r="A361" s="152"/>
      <c r="B361" s="390"/>
      <c r="C361" s="412">
        <f>Asset35</f>
        <v>0</v>
      </c>
      <c r="D361" s="390"/>
      <c r="E361" s="390"/>
      <c r="F361" s="390"/>
      <c r="G361" s="1371">
        <f>-1*
IF(OR('RFM input'!H509=0,'RFM input'!H509="n/a",'RFM input'!$F$468='RFM input'!$G$468),
   0,
  F309*($G$7/$F$7)/'RFM input'!H509)</f>
        <v>0</v>
      </c>
      <c r="H361" s="1370"/>
      <c r="I361" s="1370"/>
      <c r="J361" s="1370"/>
      <c r="K361" s="1370"/>
      <c r="L361" s="1370"/>
      <c r="M361" s="1370"/>
      <c r="N361" s="1370"/>
      <c r="O361" s="1370"/>
      <c r="P361" s="1370"/>
      <c r="Q361" s="1370"/>
      <c r="R361" s="410"/>
      <c r="S361" s="71"/>
      <c r="T361" s="71"/>
      <c r="U361" s="71"/>
      <c r="V361" s="71"/>
      <c r="W361" s="71"/>
      <c r="X361" s="71"/>
      <c r="Y361" s="71"/>
      <c r="Z361" s="71"/>
      <c r="AA361" s="71"/>
    </row>
    <row r="362" spans="1:27" hidden="1" outlineLevel="1">
      <c r="A362" s="152"/>
      <c r="B362" s="390"/>
      <c r="C362" s="412">
        <f>Asset36</f>
        <v>0</v>
      </c>
      <c r="D362" s="390"/>
      <c r="E362" s="390"/>
      <c r="F362" s="390"/>
      <c r="G362" s="1371">
        <f>-1*
IF(OR('RFM input'!H510=0,'RFM input'!H510="n/a",'RFM input'!$F$468='RFM input'!$G$468),
   0,
  F310*($G$7/$F$7)/'RFM input'!H510)</f>
        <v>0</v>
      </c>
      <c r="H362" s="1370"/>
      <c r="I362" s="1370"/>
      <c r="J362" s="1370"/>
      <c r="K362" s="1370"/>
      <c r="L362" s="1370"/>
      <c r="M362" s="1370"/>
      <c r="N362" s="1370"/>
      <c r="O362" s="1370"/>
      <c r="P362" s="1370"/>
      <c r="Q362" s="1370"/>
      <c r="R362" s="410"/>
      <c r="S362" s="71"/>
      <c r="T362" s="71"/>
      <c r="U362" s="71"/>
      <c r="V362" s="71"/>
      <c r="W362" s="71"/>
      <c r="X362" s="71"/>
      <c r="Y362" s="71"/>
      <c r="Z362" s="71"/>
      <c r="AA362" s="71"/>
    </row>
    <row r="363" spans="1:27" hidden="1" outlineLevel="1">
      <c r="A363" s="152"/>
      <c r="B363" s="390"/>
      <c r="C363" s="412">
        <f>Asset37</f>
        <v>0</v>
      </c>
      <c r="D363" s="390"/>
      <c r="E363" s="390"/>
      <c r="F363" s="390"/>
      <c r="G363" s="1371">
        <f>-1*
IF(OR('RFM input'!H511=0,'RFM input'!H511="n/a",'RFM input'!$F$468='RFM input'!$G$468),
   0,
  F311*($G$7/$F$7)/'RFM input'!H511)</f>
        <v>0</v>
      </c>
      <c r="H363" s="1370"/>
      <c r="I363" s="1370"/>
      <c r="J363" s="1370"/>
      <c r="K363" s="1370"/>
      <c r="L363" s="1370"/>
      <c r="M363" s="1370"/>
      <c r="N363" s="1370"/>
      <c r="O363" s="1370"/>
      <c r="P363" s="1370"/>
      <c r="Q363" s="1370"/>
      <c r="R363" s="410"/>
      <c r="S363" s="71"/>
      <c r="T363" s="71"/>
      <c r="U363" s="71"/>
      <c r="V363" s="71"/>
      <c r="W363" s="71"/>
      <c r="X363" s="71"/>
      <c r="Y363" s="71"/>
      <c r="Z363" s="71"/>
      <c r="AA363" s="71"/>
    </row>
    <row r="364" spans="1:27" hidden="1" outlineLevel="1">
      <c r="A364" s="152"/>
      <c r="B364" s="390"/>
      <c r="C364" s="412">
        <f>Asset38</f>
        <v>0</v>
      </c>
      <c r="D364" s="390"/>
      <c r="E364" s="390"/>
      <c r="F364" s="390"/>
      <c r="G364" s="1371">
        <f>-1*
IF(OR('RFM input'!H512=0,'RFM input'!H512="n/a",'RFM input'!$F$468='RFM input'!$G$468),
   0,
  F312*($G$7/$F$7)/'RFM input'!H512)</f>
        <v>0</v>
      </c>
      <c r="H364" s="1370"/>
      <c r="I364" s="1370"/>
      <c r="J364" s="1370"/>
      <c r="K364" s="1370"/>
      <c r="L364" s="1370"/>
      <c r="M364" s="1370"/>
      <c r="N364" s="1370"/>
      <c r="O364" s="1370"/>
      <c r="P364" s="1370"/>
      <c r="Q364" s="1370"/>
      <c r="R364" s="410"/>
      <c r="S364" s="71"/>
      <c r="T364" s="71"/>
      <c r="U364" s="71"/>
      <c r="V364" s="71"/>
      <c r="W364" s="71"/>
      <c r="X364" s="71"/>
      <c r="Y364" s="71"/>
      <c r="Z364" s="71"/>
      <c r="AA364" s="71"/>
    </row>
    <row r="365" spans="1:27" hidden="1" outlineLevel="1">
      <c r="A365" s="152"/>
      <c r="B365" s="390"/>
      <c r="C365" s="412">
        <f>Asset39</f>
        <v>0</v>
      </c>
      <c r="D365" s="390"/>
      <c r="E365" s="390"/>
      <c r="F365" s="390"/>
      <c r="G365" s="1371">
        <f>-1*
IF(OR('RFM input'!H513=0,'RFM input'!H513="n/a",'RFM input'!$F$468='RFM input'!$G$468),
   0,
  F313*($G$7/$F$7)/'RFM input'!H513)</f>
        <v>0</v>
      </c>
      <c r="H365" s="1370"/>
      <c r="I365" s="1370"/>
      <c r="J365" s="1370"/>
      <c r="K365" s="1370"/>
      <c r="L365" s="1370"/>
      <c r="M365" s="1370"/>
      <c r="N365" s="1370"/>
      <c r="O365" s="1370"/>
      <c r="P365" s="1370"/>
      <c r="Q365" s="1370"/>
      <c r="R365" s="410"/>
      <c r="S365" s="71"/>
      <c r="T365" s="71"/>
      <c r="U365" s="71"/>
      <c r="V365" s="71"/>
      <c r="W365" s="71"/>
      <c r="X365" s="71"/>
      <c r="Y365" s="71"/>
      <c r="Z365" s="71"/>
      <c r="AA365" s="71"/>
    </row>
    <row r="366" spans="1:27" hidden="1" outlineLevel="1">
      <c r="A366" s="152"/>
      <c r="B366" s="390"/>
      <c r="C366" s="412">
        <f>Asset40</f>
        <v>0</v>
      </c>
      <c r="D366" s="390"/>
      <c r="E366" s="390"/>
      <c r="F366" s="390"/>
      <c r="G366" s="1371">
        <f>-1*
IF(OR('RFM input'!H514=0,'RFM input'!H514="n/a",'RFM input'!$F$468='RFM input'!$G$468),
   0,
  F314*($G$7/$F$7)/'RFM input'!H514)</f>
        <v>0</v>
      </c>
      <c r="H366" s="1370"/>
      <c r="I366" s="1370"/>
      <c r="J366" s="1370"/>
      <c r="K366" s="1370"/>
      <c r="L366" s="1370"/>
      <c r="M366" s="1370"/>
      <c r="N366" s="1370"/>
      <c r="O366" s="1370"/>
      <c r="P366" s="1370"/>
      <c r="Q366" s="1370"/>
      <c r="R366" s="410"/>
      <c r="S366" s="71"/>
      <c r="T366" s="71"/>
      <c r="U366" s="71"/>
      <c r="V366" s="71"/>
      <c r="W366" s="71"/>
      <c r="X366" s="71"/>
      <c r="Y366" s="71"/>
      <c r="Z366" s="71"/>
      <c r="AA366" s="71"/>
    </row>
    <row r="367" spans="1:27" hidden="1" outlineLevel="1">
      <c r="A367" s="152"/>
      <c r="B367" s="390"/>
      <c r="C367" s="412">
        <f>Asset41</f>
        <v>0</v>
      </c>
      <c r="D367" s="390"/>
      <c r="E367" s="390"/>
      <c r="F367" s="390"/>
      <c r="G367" s="1371">
        <f>-1*
IF(OR('RFM input'!H515=0,'RFM input'!H515="n/a",'RFM input'!$F$468='RFM input'!$G$468),
   0,
  F315*($G$7/$F$7)/'RFM input'!H515)</f>
        <v>0</v>
      </c>
      <c r="H367" s="1370"/>
      <c r="I367" s="1370"/>
      <c r="J367" s="1370"/>
      <c r="K367" s="1370"/>
      <c r="L367" s="1370"/>
      <c r="M367" s="1370"/>
      <c r="N367" s="1370"/>
      <c r="O367" s="1370"/>
      <c r="P367" s="1370"/>
      <c r="Q367" s="1370"/>
      <c r="R367" s="410"/>
      <c r="S367" s="71"/>
      <c r="T367" s="71"/>
      <c r="U367" s="71"/>
      <c r="V367" s="71"/>
      <c r="W367" s="71"/>
      <c r="X367" s="71"/>
      <c r="Y367" s="71"/>
      <c r="Z367" s="71"/>
      <c r="AA367" s="71"/>
    </row>
    <row r="368" spans="1:27" hidden="1" outlineLevel="1">
      <c r="A368" s="152"/>
      <c r="B368" s="390"/>
      <c r="C368" s="412">
        <f>Asset42</f>
        <v>0</v>
      </c>
      <c r="D368" s="390"/>
      <c r="E368" s="390"/>
      <c r="F368" s="390"/>
      <c r="G368" s="1371">
        <f>-1*
IF(OR('RFM input'!H516=0,'RFM input'!H516="n/a",'RFM input'!$F$468='RFM input'!$G$468),
   0,
  F316*($G$7/$F$7)/'RFM input'!H516)</f>
        <v>0</v>
      </c>
      <c r="H368" s="1370"/>
      <c r="I368" s="1370"/>
      <c r="J368" s="1370"/>
      <c r="K368" s="1370"/>
      <c r="L368" s="1370"/>
      <c r="M368" s="1370"/>
      <c r="N368" s="1370"/>
      <c r="O368" s="1370"/>
      <c r="P368" s="1370"/>
      <c r="Q368" s="1370"/>
      <c r="R368" s="410"/>
      <c r="S368" s="71"/>
      <c r="T368" s="71"/>
      <c r="U368" s="71"/>
      <c r="V368" s="71"/>
      <c r="W368" s="71"/>
      <c r="X368" s="71"/>
      <c r="Y368" s="71"/>
      <c r="Z368" s="71"/>
      <c r="AA368" s="71"/>
    </row>
    <row r="369" spans="1:27" hidden="1" outlineLevel="1">
      <c r="A369" s="152"/>
      <c r="B369" s="390"/>
      <c r="C369" s="412">
        <f>Asset43</f>
        <v>0</v>
      </c>
      <c r="D369" s="390"/>
      <c r="E369" s="390"/>
      <c r="F369" s="390"/>
      <c r="G369" s="1371">
        <f>-1*
IF(OR('RFM input'!H517=0,'RFM input'!H517="n/a",'RFM input'!$F$468='RFM input'!$G$468),
   0,
  F317*($G$7/$F$7)/'RFM input'!H517)</f>
        <v>0</v>
      </c>
      <c r="H369" s="1370"/>
      <c r="I369" s="1370"/>
      <c r="J369" s="1370"/>
      <c r="K369" s="1370"/>
      <c r="L369" s="1370"/>
      <c r="M369" s="1370"/>
      <c r="N369" s="1370"/>
      <c r="O369" s="1370"/>
      <c r="P369" s="1370"/>
      <c r="Q369" s="1370"/>
      <c r="R369" s="410"/>
      <c r="S369" s="71"/>
      <c r="T369" s="71"/>
      <c r="U369" s="71"/>
      <c r="V369" s="71"/>
      <c r="W369" s="71"/>
      <c r="X369" s="71"/>
      <c r="Y369" s="71"/>
      <c r="Z369" s="71"/>
      <c r="AA369" s="71"/>
    </row>
    <row r="370" spans="1:27" hidden="1" outlineLevel="1">
      <c r="A370" s="152"/>
      <c r="B370" s="390"/>
      <c r="C370" s="412">
        <f>Asset44</f>
        <v>0</v>
      </c>
      <c r="D370" s="390"/>
      <c r="E370" s="390"/>
      <c r="F370" s="390"/>
      <c r="G370" s="1371">
        <f>-1*
IF(OR('RFM input'!H518=0,'RFM input'!H518="n/a",'RFM input'!$F$468='RFM input'!$G$468),
   0,
  F318*($G$7/$F$7)/'RFM input'!H518)</f>
        <v>0</v>
      </c>
      <c r="H370" s="1370"/>
      <c r="I370" s="1370"/>
      <c r="J370" s="1370"/>
      <c r="K370" s="1370"/>
      <c r="L370" s="1370"/>
      <c r="M370" s="1370"/>
      <c r="N370" s="1370"/>
      <c r="O370" s="1370"/>
      <c r="P370" s="1370"/>
      <c r="Q370" s="1370"/>
      <c r="R370" s="410"/>
      <c r="S370" s="71"/>
      <c r="T370" s="71"/>
      <c r="U370" s="71"/>
      <c r="V370" s="71"/>
      <c r="W370" s="71"/>
      <c r="X370" s="71"/>
      <c r="Y370" s="71"/>
      <c r="Z370" s="71"/>
      <c r="AA370" s="71"/>
    </row>
    <row r="371" spans="1:27" hidden="1" outlineLevel="1">
      <c r="A371" s="152"/>
      <c r="B371" s="390"/>
      <c r="C371" s="412">
        <f>Asset45</f>
        <v>0</v>
      </c>
      <c r="D371" s="390"/>
      <c r="E371" s="390"/>
      <c r="F371" s="390"/>
      <c r="G371" s="1371">
        <f>-1*
IF(OR('RFM input'!H519=0,'RFM input'!H519="n/a",'RFM input'!$F$468='RFM input'!$G$468),
   0,
  F319*($G$7/$F$7)/'RFM input'!H519)</f>
        <v>0</v>
      </c>
      <c r="H371" s="1370"/>
      <c r="I371" s="1370"/>
      <c r="J371" s="1370"/>
      <c r="K371" s="1370"/>
      <c r="L371" s="1370"/>
      <c r="M371" s="1370"/>
      <c r="N371" s="1370"/>
      <c r="O371" s="1370"/>
      <c r="P371" s="1370"/>
      <c r="Q371" s="1370"/>
      <c r="R371" s="410"/>
      <c r="S371" s="71"/>
      <c r="T371" s="71"/>
      <c r="U371" s="71"/>
      <c r="V371" s="71"/>
      <c r="W371" s="71"/>
      <c r="X371" s="71"/>
      <c r="Y371" s="71"/>
      <c r="Z371" s="71"/>
      <c r="AA371" s="71"/>
    </row>
    <row r="372" spans="1:27" hidden="1" outlineLevel="1">
      <c r="A372" s="152"/>
      <c r="B372" s="390"/>
      <c r="C372" s="412">
        <f>Asset46</f>
        <v>0</v>
      </c>
      <c r="D372" s="390"/>
      <c r="E372" s="390"/>
      <c r="F372" s="390"/>
      <c r="G372" s="1371">
        <f>-1*
IF(OR('RFM input'!H520=0,'RFM input'!H520="n/a",'RFM input'!$F$468='RFM input'!$G$468),
   0,
  F320*($G$7/$F$7)/'RFM input'!H520)</f>
        <v>0</v>
      </c>
      <c r="H372" s="1370"/>
      <c r="I372" s="1370"/>
      <c r="J372" s="1370"/>
      <c r="K372" s="1370"/>
      <c r="L372" s="1370"/>
      <c r="M372" s="1370"/>
      <c r="N372" s="1370"/>
      <c r="O372" s="1370"/>
      <c r="P372" s="1370"/>
      <c r="Q372" s="1370"/>
      <c r="R372" s="410"/>
      <c r="S372" s="71"/>
      <c r="T372" s="71"/>
      <c r="U372" s="71"/>
      <c r="V372" s="71"/>
      <c r="W372" s="71"/>
      <c r="X372" s="71"/>
      <c r="Y372" s="71"/>
      <c r="Z372" s="71"/>
      <c r="AA372" s="71"/>
    </row>
    <row r="373" spans="1:27" hidden="1" outlineLevel="1">
      <c r="A373" s="152"/>
      <c r="B373" s="390"/>
      <c r="C373" s="412">
        <f>Asset47</f>
        <v>0</v>
      </c>
      <c r="D373" s="390"/>
      <c r="E373" s="390"/>
      <c r="F373" s="390"/>
      <c r="G373" s="1371">
        <f>-1*
IF(OR('RFM input'!H521=0,'RFM input'!H521="n/a",'RFM input'!$F$468='RFM input'!$G$468),
   0,
  F321*($G$7/$F$7)/'RFM input'!H521)</f>
        <v>0</v>
      </c>
      <c r="H373" s="1370"/>
      <c r="I373" s="1370"/>
      <c r="J373" s="1370"/>
      <c r="K373" s="1370"/>
      <c r="L373" s="1370"/>
      <c r="M373" s="1370"/>
      <c r="N373" s="1370"/>
      <c r="O373" s="1370"/>
      <c r="P373" s="1370"/>
      <c r="Q373" s="1370"/>
      <c r="R373" s="410"/>
      <c r="S373" s="71"/>
      <c r="T373" s="71"/>
      <c r="U373" s="71"/>
      <c r="V373" s="71"/>
      <c r="W373" s="71"/>
      <c r="X373" s="71"/>
      <c r="Y373" s="71"/>
      <c r="Z373" s="71"/>
      <c r="AA373" s="71"/>
    </row>
    <row r="374" spans="1:27" hidden="1" outlineLevel="1">
      <c r="A374" s="152"/>
      <c r="B374" s="390"/>
      <c r="C374" s="412">
        <f>Asset48</f>
        <v>0</v>
      </c>
      <c r="D374" s="390"/>
      <c r="E374" s="390"/>
      <c r="F374" s="390"/>
      <c r="G374" s="1371">
        <f>-1*
IF(OR('RFM input'!H522=0,'RFM input'!H522="n/a",'RFM input'!$F$468='RFM input'!$G$468),
   0,
  F322*($G$7/$F$7)/'RFM input'!H522)</f>
        <v>0</v>
      </c>
      <c r="H374" s="1370"/>
      <c r="I374" s="1370"/>
      <c r="J374" s="1370"/>
      <c r="K374" s="1370"/>
      <c r="L374" s="1370"/>
      <c r="M374" s="1370"/>
      <c r="N374" s="1370"/>
      <c r="O374" s="1370"/>
      <c r="P374" s="1370"/>
      <c r="Q374" s="1370"/>
      <c r="R374" s="410"/>
      <c r="S374" s="71"/>
      <c r="T374" s="71"/>
      <c r="U374" s="71"/>
      <c r="V374" s="71"/>
      <c r="W374" s="71"/>
      <c r="X374" s="71"/>
      <c r="Y374" s="71"/>
      <c r="Z374" s="71"/>
      <c r="AA374" s="71"/>
    </row>
    <row r="375" spans="1:27" hidden="1" outlineLevel="1">
      <c r="A375" s="152"/>
      <c r="B375" s="390"/>
      <c r="C375" s="412">
        <f>Asset49</f>
        <v>0</v>
      </c>
      <c r="D375" s="390"/>
      <c r="E375" s="390"/>
      <c r="F375" s="390"/>
      <c r="G375" s="1371">
        <f>-1*
IF(OR('RFM input'!H523=0,'RFM input'!H523="n/a",'RFM input'!$F$468='RFM input'!$G$468),
   0,
  F323*($G$7/$F$7)/'RFM input'!H523)</f>
        <v>0</v>
      </c>
      <c r="H375" s="1370"/>
      <c r="I375" s="1370"/>
      <c r="J375" s="1370"/>
      <c r="K375" s="1370"/>
      <c r="L375" s="1370"/>
      <c r="M375" s="1370"/>
      <c r="N375" s="1370"/>
      <c r="O375" s="1370"/>
      <c r="P375" s="1370"/>
      <c r="Q375" s="1370"/>
      <c r="R375" s="410"/>
      <c r="S375" s="71"/>
      <c r="T375" s="71"/>
      <c r="U375" s="71"/>
      <c r="V375" s="71"/>
      <c r="W375" s="71"/>
      <c r="X375" s="71"/>
      <c r="Y375" s="71"/>
      <c r="Z375" s="71"/>
      <c r="AA375" s="71"/>
    </row>
    <row r="376" spans="1:27" hidden="1" outlineLevel="1">
      <c r="A376" s="152"/>
      <c r="B376" s="390"/>
      <c r="C376" s="412">
        <f>Asset50</f>
        <v>0</v>
      </c>
      <c r="D376" s="390"/>
      <c r="E376" s="390"/>
      <c r="F376" s="390"/>
      <c r="G376" s="1371">
        <f>-1*
IF(OR('RFM input'!H524=0,'RFM input'!H524="n/a",'RFM input'!$F$468='RFM input'!$G$468),
   0,
  F324*($G$7/$F$7)/'RFM input'!H524)</f>
        <v>0</v>
      </c>
      <c r="H376" s="1370"/>
      <c r="I376" s="1370"/>
      <c r="J376" s="1370"/>
      <c r="K376" s="1370"/>
      <c r="L376" s="1370"/>
      <c r="M376" s="1370"/>
      <c r="N376" s="1370"/>
      <c r="O376" s="1370"/>
      <c r="P376" s="1370"/>
      <c r="Q376" s="1370"/>
      <c r="R376" s="410"/>
      <c r="S376" s="71"/>
      <c r="T376" s="71"/>
      <c r="U376" s="71"/>
      <c r="V376" s="71"/>
      <c r="W376" s="71"/>
      <c r="X376" s="71"/>
      <c r="Y376" s="71"/>
      <c r="Z376" s="71"/>
      <c r="AA376" s="71"/>
    </row>
    <row r="377" spans="1:27" collapsed="1">
      <c r="A377" s="152"/>
      <c r="B377" s="390"/>
      <c r="C377" s="390"/>
      <c r="D377" s="390"/>
      <c r="E377" s="390"/>
      <c r="F377" s="390"/>
      <c r="G377" s="1371"/>
      <c r="H377" s="1370"/>
      <c r="I377" s="1370"/>
      <c r="J377" s="1370"/>
      <c r="K377" s="1370"/>
      <c r="L377" s="1370"/>
      <c r="M377" s="1370"/>
      <c r="N377" s="1370"/>
      <c r="O377" s="1370"/>
      <c r="P377" s="1370"/>
      <c r="Q377" s="1370"/>
      <c r="R377" s="410"/>
      <c r="S377" s="71"/>
      <c r="T377" s="71"/>
      <c r="U377" s="71"/>
      <c r="V377" s="71"/>
      <c r="W377" s="71"/>
      <c r="X377" s="71"/>
      <c r="Y377" s="71"/>
      <c r="Z377" s="71"/>
      <c r="AA377" s="71"/>
    </row>
    <row r="378" spans="1:27">
      <c r="A378" s="152"/>
      <c r="B378" s="408" t="s">
        <v>542</v>
      </c>
      <c r="C378" s="390"/>
      <c r="D378" s="390"/>
      <c r="E378" s="390"/>
      <c r="F378" s="390"/>
      <c r="G378" s="1372">
        <f>SUM(G379:G428)</f>
        <v>0</v>
      </c>
      <c r="H378" s="1370"/>
      <c r="I378" s="1370"/>
      <c r="J378" s="1370"/>
      <c r="K378" s="1370"/>
      <c r="L378" s="1370"/>
      <c r="M378" s="1370"/>
      <c r="N378" s="1370"/>
      <c r="O378" s="1370"/>
      <c r="P378" s="1370"/>
      <c r="Q378" s="1370"/>
      <c r="R378" s="410"/>
      <c r="S378" s="71"/>
      <c r="T378" s="71"/>
      <c r="U378" s="71"/>
      <c r="V378" s="71"/>
      <c r="W378" s="71"/>
      <c r="X378" s="71"/>
      <c r="Y378" s="71"/>
      <c r="Z378" s="71"/>
      <c r="AA378" s="71"/>
    </row>
    <row r="379" spans="1:27" hidden="1" outlineLevel="1">
      <c r="A379" s="152"/>
      <c r="B379" s="390"/>
      <c r="C379" s="412" t="str">
        <f>Asset1</f>
        <v>Mains</v>
      </c>
      <c r="D379" s="390"/>
      <c r="E379" s="390"/>
      <c r="F379" s="390"/>
      <c r="G379" s="1371">
        <f t="shared" ref="G379:G410" si="3">G275+G327</f>
        <v>0</v>
      </c>
      <c r="H379" s="1370"/>
      <c r="I379" s="1370"/>
      <c r="J379" s="1370"/>
      <c r="K379" s="1370"/>
      <c r="L379" s="1370"/>
      <c r="M379" s="1370"/>
      <c r="N379" s="1370"/>
      <c r="O379" s="1370"/>
      <c r="P379" s="1370"/>
      <c r="Q379" s="1370"/>
      <c r="R379" s="410"/>
      <c r="S379" s="71"/>
      <c r="T379" s="71"/>
      <c r="U379" s="71"/>
      <c r="V379" s="71"/>
      <c r="W379" s="71"/>
      <c r="X379" s="71"/>
      <c r="Y379" s="71"/>
      <c r="Z379" s="71"/>
      <c r="AA379" s="71"/>
    </row>
    <row r="380" spans="1:27" hidden="1" outlineLevel="1">
      <c r="A380" s="152"/>
      <c r="B380" s="390"/>
      <c r="C380" s="412" t="str">
        <f>Asset2</f>
        <v>Inlets</v>
      </c>
      <c r="D380" s="390"/>
      <c r="E380" s="390"/>
      <c r="F380" s="390"/>
      <c r="G380" s="1371">
        <f t="shared" si="3"/>
        <v>0</v>
      </c>
      <c r="H380" s="1370"/>
      <c r="I380" s="1370"/>
      <c r="J380" s="1370"/>
      <c r="K380" s="1370"/>
      <c r="L380" s="1370"/>
      <c r="M380" s="1370"/>
      <c r="N380" s="1370"/>
      <c r="O380" s="1370"/>
      <c r="P380" s="1370"/>
      <c r="Q380" s="1370"/>
      <c r="R380" s="410"/>
      <c r="S380" s="71"/>
      <c r="T380" s="71"/>
      <c r="U380" s="71"/>
      <c r="V380" s="71"/>
      <c r="W380" s="71"/>
      <c r="X380" s="71"/>
      <c r="Y380" s="71"/>
      <c r="Z380" s="71"/>
      <c r="AA380" s="71"/>
    </row>
    <row r="381" spans="1:27" hidden="1" outlineLevel="1">
      <c r="A381" s="152"/>
      <c r="B381" s="390"/>
      <c r="C381" s="412" t="str">
        <f>Asset3</f>
        <v>Meters</v>
      </c>
      <c r="D381" s="390"/>
      <c r="E381" s="390"/>
      <c r="F381" s="390"/>
      <c r="G381" s="1371">
        <f t="shared" si="3"/>
        <v>0</v>
      </c>
      <c r="H381" s="1370"/>
      <c r="I381" s="1370"/>
      <c r="J381" s="1370"/>
      <c r="K381" s="1370"/>
      <c r="L381" s="1370"/>
      <c r="M381" s="1370"/>
      <c r="N381" s="1370"/>
      <c r="O381" s="1370"/>
      <c r="P381" s="1370"/>
      <c r="Q381" s="1370"/>
      <c r="R381" s="410"/>
      <c r="S381" s="71"/>
      <c r="T381" s="71"/>
      <c r="U381" s="71"/>
      <c r="V381" s="71"/>
      <c r="W381" s="71"/>
      <c r="X381" s="71"/>
      <c r="Y381" s="71"/>
      <c r="Z381" s="71"/>
      <c r="AA381" s="71"/>
    </row>
    <row r="382" spans="1:27" hidden="1" outlineLevel="1">
      <c r="A382" s="152"/>
      <c r="B382" s="390"/>
      <c r="C382" s="412" t="str">
        <f>Asset4</f>
        <v>Telemetry</v>
      </c>
      <c r="D382" s="390"/>
      <c r="E382" s="390"/>
      <c r="F382" s="390"/>
      <c r="G382" s="1371">
        <f t="shared" si="3"/>
        <v>0</v>
      </c>
      <c r="H382" s="1370"/>
      <c r="I382" s="1370"/>
      <c r="J382" s="1370"/>
      <c r="K382" s="1370"/>
      <c r="L382" s="1370"/>
      <c r="M382" s="1370"/>
      <c r="N382" s="1370"/>
      <c r="O382" s="1370"/>
      <c r="P382" s="1370"/>
      <c r="Q382" s="1370"/>
      <c r="R382" s="410"/>
      <c r="S382" s="71"/>
      <c r="T382" s="71"/>
      <c r="U382" s="71"/>
      <c r="V382" s="71"/>
      <c r="W382" s="71"/>
      <c r="X382" s="71"/>
      <c r="Y382" s="71"/>
      <c r="Z382" s="71"/>
      <c r="AA382" s="71"/>
    </row>
    <row r="383" spans="1:27" hidden="1" outlineLevel="1">
      <c r="A383" s="152"/>
      <c r="B383" s="390"/>
      <c r="C383" s="412" t="str">
        <f>Asset5</f>
        <v>IT System</v>
      </c>
      <c r="D383" s="390"/>
      <c r="E383" s="390"/>
      <c r="F383" s="390"/>
      <c r="G383" s="1371">
        <f t="shared" si="3"/>
        <v>0</v>
      </c>
      <c r="H383" s="1370"/>
      <c r="I383" s="1370"/>
      <c r="J383" s="1370"/>
      <c r="K383" s="1370"/>
      <c r="L383" s="1370"/>
      <c r="M383" s="1370"/>
      <c r="N383" s="1370"/>
      <c r="O383" s="1370"/>
      <c r="P383" s="1370"/>
      <c r="Q383" s="1370"/>
      <c r="R383" s="410"/>
      <c r="S383" s="71"/>
      <c r="T383" s="71"/>
      <c r="U383" s="71"/>
      <c r="V383" s="71"/>
      <c r="W383" s="71"/>
      <c r="X383" s="71"/>
      <c r="Y383" s="71"/>
      <c r="Z383" s="71"/>
      <c r="AA383" s="71"/>
    </row>
    <row r="384" spans="1:27" hidden="1" outlineLevel="1">
      <c r="A384" s="152"/>
      <c r="B384" s="390"/>
      <c r="C384" s="412" t="str">
        <f>Asset6</f>
        <v>Other Distribution System Equipment</v>
      </c>
      <c r="D384" s="390"/>
      <c r="E384" s="390"/>
      <c r="F384" s="390"/>
      <c r="G384" s="1371">
        <f t="shared" si="3"/>
        <v>0</v>
      </c>
      <c r="H384" s="1370"/>
      <c r="I384" s="1370"/>
      <c r="J384" s="1370"/>
      <c r="K384" s="1370"/>
      <c r="L384" s="1370"/>
      <c r="M384" s="1370"/>
      <c r="N384" s="1370"/>
      <c r="O384" s="1370"/>
      <c r="P384" s="1370"/>
      <c r="Q384" s="1370"/>
      <c r="R384" s="410"/>
      <c r="S384" s="71"/>
      <c r="T384" s="71"/>
      <c r="U384" s="71"/>
      <c r="V384" s="71"/>
      <c r="W384" s="71"/>
      <c r="X384" s="71"/>
      <c r="Y384" s="71"/>
      <c r="Z384" s="71"/>
      <c r="AA384" s="71"/>
    </row>
    <row r="385" spans="1:27" hidden="1" outlineLevel="1">
      <c r="A385" s="152"/>
      <c r="B385" s="390"/>
      <c r="C385" s="412" t="str">
        <f>Asset7</f>
        <v>Other</v>
      </c>
      <c r="D385" s="390"/>
      <c r="E385" s="390"/>
      <c r="F385" s="390"/>
      <c r="G385" s="1371">
        <f t="shared" si="3"/>
        <v>0</v>
      </c>
      <c r="H385" s="1370"/>
      <c r="I385" s="1370"/>
      <c r="J385" s="1370"/>
      <c r="K385" s="1370"/>
      <c r="L385" s="1370"/>
      <c r="M385" s="1370"/>
      <c r="N385" s="1370"/>
      <c r="O385" s="1370"/>
      <c r="P385" s="1370"/>
      <c r="Q385" s="1370"/>
      <c r="R385" s="410"/>
      <c r="S385" s="71"/>
      <c r="T385" s="71"/>
      <c r="U385" s="71"/>
      <c r="V385" s="71"/>
      <c r="W385" s="71"/>
      <c r="X385" s="71"/>
      <c r="Y385" s="71"/>
      <c r="Z385" s="71"/>
      <c r="AA385" s="71"/>
    </row>
    <row r="386" spans="1:27" hidden="1" outlineLevel="1">
      <c r="A386" s="152"/>
      <c r="B386" s="390"/>
      <c r="C386" s="412">
        <f>Asset8</f>
        <v>0</v>
      </c>
      <c r="D386" s="390"/>
      <c r="E386" s="390"/>
      <c r="F386" s="390"/>
      <c r="G386" s="1371">
        <f t="shared" si="3"/>
        <v>0</v>
      </c>
      <c r="H386" s="1370"/>
      <c r="I386" s="1370"/>
      <c r="J386" s="1370"/>
      <c r="K386" s="1370"/>
      <c r="L386" s="1370"/>
      <c r="M386" s="1370"/>
      <c r="N386" s="1370"/>
      <c r="O386" s="1370"/>
      <c r="P386" s="1370"/>
      <c r="Q386" s="1370"/>
      <c r="R386" s="410"/>
      <c r="S386" s="71"/>
      <c r="T386" s="71"/>
      <c r="U386" s="71"/>
      <c r="V386" s="71"/>
      <c r="W386" s="71"/>
      <c r="X386" s="71"/>
      <c r="Y386" s="71"/>
      <c r="Z386" s="71"/>
      <c r="AA386" s="71"/>
    </row>
    <row r="387" spans="1:27" hidden="1" outlineLevel="1">
      <c r="A387" s="152"/>
      <c r="B387" s="390"/>
      <c r="C387" s="412">
        <f>Asset9</f>
        <v>0</v>
      </c>
      <c r="D387" s="390"/>
      <c r="E387" s="390"/>
      <c r="F387" s="390"/>
      <c r="G387" s="1371">
        <f t="shared" si="3"/>
        <v>0</v>
      </c>
      <c r="H387" s="1370"/>
      <c r="I387" s="1370"/>
      <c r="J387" s="1370"/>
      <c r="K387" s="1370"/>
      <c r="L387" s="1370"/>
      <c r="M387" s="1370"/>
      <c r="N387" s="1370"/>
      <c r="O387" s="1370"/>
      <c r="P387" s="1370"/>
      <c r="Q387" s="1370"/>
      <c r="R387" s="410"/>
      <c r="S387" s="71"/>
      <c r="T387" s="71"/>
      <c r="U387" s="71"/>
      <c r="V387" s="71"/>
      <c r="W387" s="71"/>
      <c r="X387" s="71"/>
      <c r="Y387" s="71"/>
      <c r="Z387" s="71"/>
      <c r="AA387" s="71"/>
    </row>
    <row r="388" spans="1:27" hidden="1" outlineLevel="1">
      <c r="A388" s="152"/>
      <c r="B388" s="390"/>
      <c r="C388" s="412">
        <f>Asset10</f>
        <v>0</v>
      </c>
      <c r="D388" s="390"/>
      <c r="E388" s="390"/>
      <c r="F388" s="390"/>
      <c r="G388" s="1371">
        <f t="shared" si="3"/>
        <v>0</v>
      </c>
      <c r="H388" s="1370"/>
      <c r="I388" s="1370"/>
      <c r="J388" s="1370"/>
      <c r="K388" s="1370"/>
      <c r="L388" s="1370"/>
      <c r="M388" s="1370"/>
      <c r="N388" s="1370"/>
      <c r="O388" s="1370"/>
      <c r="P388" s="1370"/>
      <c r="Q388" s="1370"/>
      <c r="R388" s="410"/>
      <c r="S388" s="71"/>
      <c r="T388" s="71"/>
      <c r="U388" s="71"/>
      <c r="V388" s="71"/>
      <c r="W388" s="71"/>
      <c r="X388" s="71"/>
      <c r="Y388" s="71"/>
      <c r="Z388" s="71"/>
      <c r="AA388" s="71"/>
    </row>
    <row r="389" spans="1:27" hidden="1" outlineLevel="1">
      <c r="A389" s="152"/>
      <c r="B389" s="390"/>
      <c r="C389" s="412">
        <f>Asset11</f>
        <v>0</v>
      </c>
      <c r="D389" s="390"/>
      <c r="E389" s="390"/>
      <c r="F389" s="390"/>
      <c r="G389" s="1371">
        <f t="shared" si="3"/>
        <v>0</v>
      </c>
      <c r="H389" s="1370"/>
      <c r="I389" s="1370"/>
      <c r="J389" s="1370"/>
      <c r="K389" s="1370"/>
      <c r="L389" s="1370"/>
      <c r="M389" s="1370"/>
      <c r="N389" s="1370"/>
      <c r="O389" s="1370"/>
      <c r="P389" s="1370"/>
      <c r="Q389" s="1370"/>
      <c r="R389" s="410"/>
      <c r="S389" s="71"/>
      <c r="T389" s="71"/>
      <c r="U389" s="71"/>
      <c r="V389" s="71"/>
      <c r="W389" s="71"/>
      <c r="X389" s="71"/>
      <c r="Y389" s="71"/>
      <c r="Z389" s="71"/>
      <c r="AA389" s="71"/>
    </row>
    <row r="390" spans="1:27" hidden="1" outlineLevel="1">
      <c r="A390" s="152"/>
      <c r="B390" s="390"/>
      <c r="C390" s="412">
        <f>Asset12</f>
        <v>0</v>
      </c>
      <c r="D390" s="390"/>
      <c r="E390" s="390"/>
      <c r="F390" s="390"/>
      <c r="G390" s="1371">
        <f t="shared" si="3"/>
        <v>0</v>
      </c>
      <c r="H390" s="1370"/>
      <c r="I390" s="1370"/>
      <c r="J390" s="1370"/>
      <c r="K390" s="1370"/>
      <c r="L390" s="1370"/>
      <c r="M390" s="1370"/>
      <c r="N390" s="1370"/>
      <c r="O390" s="1370"/>
      <c r="P390" s="1370"/>
      <c r="Q390" s="1370"/>
      <c r="R390" s="410"/>
      <c r="S390" s="71"/>
      <c r="T390" s="71"/>
      <c r="U390" s="71"/>
      <c r="V390" s="71"/>
      <c r="W390" s="71"/>
      <c r="X390" s="71"/>
      <c r="Y390" s="71"/>
      <c r="Z390" s="71"/>
      <c r="AA390" s="71"/>
    </row>
    <row r="391" spans="1:27" hidden="1" outlineLevel="1">
      <c r="A391" s="152"/>
      <c r="B391" s="390"/>
      <c r="C391" s="412">
        <f>Asset13</f>
        <v>0</v>
      </c>
      <c r="D391" s="390"/>
      <c r="E391" s="390"/>
      <c r="F391" s="390"/>
      <c r="G391" s="1371">
        <f t="shared" si="3"/>
        <v>0</v>
      </c>
      <c r="H391" s="1370"/>
      <c r="I391" s="1370"/>
      <c r="J391" s="1370"/>
      <c r="K391" s="1370"/>
      <c r="L391" s="1370"/>
      <c r="M391" s="1370"/>
      <c r="N391" s="1370"/>
      <c r="O391" s="1370"/>
      <c r="P391" s="1370"/>
      <c r="Q391" s="1370"/>
      <c r="R391" s="410"/>
      <c r="S391" s="71"/>
      <c r="T391" s="71"/>
      <c r="U391" s="71"/>
      <c r="V391" s="71"/>
      <c r="W391" s="71"/>
      <c r="X391" s="71"/>
      <c r="Y391" s="71"/>
      <c r="Z391" s="71"/>
      <c r="AA391" s="71"/>
    </row>
    <row r="392" spans="1:27" hidden="1" outlineLevel="1">
      <c r="A392" s="152"/>
      <c r="B392" s="390"/>
      <c r="C392" s="412">
        <f>Asset14</f>
        <v>0</v>
      </c>
      <c r="D392" s="390"/>
      <c r="E392" s="390"/>
      <c r="F392" s="390"/>
      <c r="G392" s="1371">
        <f t="shared" si="3"/>
        <v>0</v>
      </c>
      <c r="H392" s="1370"/>
      <c r="I392" s="1370"/>
      <c r="J392" s="1370"/>
      <c r="K392" s="1370"/>
      <c r="L392" s="1370"/>
      <c r="M392" s="1370"/>
      <c r="N392" s="1370"/>
      <c r="O392" s="1370"/>
      <c r="P392" s="1370"/>
      <c r="Q392" s="1370"/>
      <c r="R392" s="410"/>
      <c r="S392" s="71"/>
      <c r="T392" s="71"/>
      <c r="U392" s="71"/>
      <c r="V392" s="71"/>
      <c r="W392" s="71"/>
      <c r="X392" s="71"/>
      <c r="Y392" s="71"/>
      <c r="Z392" s="71"/>
      <c r="AA392" s="71"/>
    </row>
    <row r="393" spans="1:27" hidden="1" outlineLevel="1">
      <c r="A393" s="152"/>
      <c r="B393" s="390"/>
      <c r="C393" s="412">
        <f>Asset15</f>
        <v>0</v>
      </c>
      <c r="D393" s="390"/>
      <c r="E393" s="390"/>
      <c r="F393" s="390"/>
      <c r="G393" s="1371">
        <f t="shared" si="3"/>
        <v>0</v>
      </c>
      <c r="H393" s="1370"/>
      <c r="I393" s="1370"/>
      <c r="J393" s="1370"/>
      <c r="K393" s="1370"/>
      <c r="L393" s="1370"/>
      <c r="M393" s="1370"/>
      <c r="N393" s="1370"/>
      <c r="O393" s="1370"/>
      <c r="P393" s="1370"/>
      <c r="Q393" s="1370"/>
      <c r="R393" s="410"/>
      <c r="S393" s="71"/>
      <c r="T393" s="71"/>
      <c r="U393" s="71"/>
      <c r="V393" s="71"/>
      <c r="W393" s="71"/>
      <c r="X393" s="71"/>
      <c r="Y393" s="71"/>
      <c r="Z393" s="71"/>
      <c r="AA393" s="71"/>
    </row>
    <row r="394" spans="1:27" hidden="1" outlineLevel="1">
      <c r="A394" s="152"/>
      <c r="B394" s="390"/>
      <c r="C394" s="412">
        <f>Asset16</f>
        <v>0</v>
      </c>
      <c r="D394" s="390"/>
      <c r="E394" s="390"/>
      <c r="F394" s="390"/>
      <c r="G394" s="1371">
        <f t="shared" si="3"/>
        <v>0</v>
      </c>
      <c r="H394" s="1370"/>
      <c r="I394" s="1370"/>
      <c r="J394" s="1370"/>
      <c r="K394" s="1370"/>
      <c r="L394" s="1370"/>
      <c r="M394" s="1370"/>
      <c r="N394" s="1370"/>
      <c r="O394" s="1370"/>
      <c r="P394" s="1370"/>
      <c r="Q394" s="1370"/>
      <c r="R394" s="410"/>
      <c r="S394" s="71"/>
      <c r="T394" s="71"/>
      <c r="U394" s="71"/>
      <c r="V394" s="71"/>
      <c r="W394" s="71"/>
      <c r="X394" s="71"/>
      <c r="Y394" s="71"/>
      <c r="Z394" s="71"/>
      <c r="AA394" s="71"/>
    </row>
    <row r="395" spans="1:27" hidden="1" outlineLevel="1">
      <c r="A395" s="152"/>
      <c r="B395" s="390"/>
      <c r="C395" s="412">
        <f>Asset17</f>
        <v>0</v>
      </c>
      <c r="D395" s="390"/>
      <c r="E395" s="390"/>
      <c r="F395" s="390"/>
      <c r="G395" s="1371">
        <f t="shared" si="3"/>
        <v>0</v>
      </c>
      <c r="H395" s="1370"/>
      <c r="I395" s="1370"/>
      <c r="J395" s="1370"/>
      <c r="K395" s="1370"/>
      <c r="L395" s="1370"/>
      <c r="M395" s="1370"/>
      <c r="N395" s="1370"/>
      <c r="O395" s="1370"/>
      <c r="P395" s="1370"/>
      <c r="Q395" s="1370"/>
      <c r="R395" s="410"/>
      <c r="S395" s="71"/>
      <c r="T395" s="71"/>
      <c r="U395" s="71"/>
      <c r="V395" s="71"/>
      <c r="W395" s="71"/>
      <c r="X395" s="71"/>
      <c r="Y395" s="71"/>
      <c r="Z395" s="71"/>
      <c r="AA395" s="71"/>
    </row>
    <row r="396" spans="1:27" hidden="1" outlineLevel="1">
      <c r="A396" s="152"/>
      <c r="B396" s="390"/>
      <c r="C396" s="412">
        <f>Asset18</f>
        <v>0</v>
      </c>
      <c r="D396" s="390"/>
      <c r="E396" s="390"/>
      <c r="F396" s="390"/>
      <c r="G396" s="1371">
        <f t="shared" si="3"/>
        <v>0</v>
      </c>
      <c r="H396" s="1370"/>
      <c r="I396" s="1370"/>
      <c r="J396" s="1370"/>
      <c r="K396" s="1370"/>
      <c r="L396" s="1370"/>
      <c r="M396" s="1370"/>
      <c r="N396" s="1370"/>
      <c r="O396" s="1370"/>
      <c r="P396" s="1370"/>
      <c r="Q396" s="1370"/>
      <c r="R396" s="410"/>
      <c r="S396" s="71"/>
      <c r="T396" s="71"/>
      <c r="U396" s="71"/>
      <c r="V396" s="71"/>
      <c r="W396" s="71"/>
      <c r="X396" s="71"/>
      <c r="Y396" s="71"/>
      <c r="Z396" s="71"/>
      <c r="AA396" s="71"/>
    </row>
    <row r="397" spans="1:27" hidden="1" outlineLevel="1">
      <c r="A397" s="152"/>
      <c r="B397" s="390"/>
      <c r="C397" s="412">
        <f>Asset19</f>
        <v>0</v>
      </c>
      <c r="D397" s="390"/>
      <c r="E397" s="390"/>
      <c r="F397" s="390"/>
      <c r="G397" s="1371">
        <f t="shared" si="3"/>
        <v>0</v>
      </c>
      <c r="H397" s="1370"/>
      <c r="I397" s="1370"/>
      <c r="J397" s="1370"/>
      <c r="K397" s="1370"/>
      <c r="L397" s="1370"/>
      <c r="M397" s="1370"/>
      <c r="N397" s="1370"/>
      <c r="O397" s="1370"/>
      <c r="P397" s="1370"/>
      <c r="Q397" s="1370"/>
      <c r="R397" s="410"/>
      <c r="S397" s="71"/>
      <c r="T397" s="71"/>
      <c r="U397" s="71"/>
      <c r="V397" s="71"/>
      <c r="W397" s="71"/>
      <c r="X397" s="71"/>
      <c r="Y397" s="71"/>
      <c r="Z397" s="71"/>
      <c r="AA397" s="71"/>
    </row>
    <row r="398" spans="1:27" hidden="1" outlineLevel="1">
      <c r="A398" s="152"/>
      <c r="B398" s="390"/>
      <c r="C398" s="412">
        <f>Asset20</f>
        <v>0</v>
      </c>
      <c r="D398" s="390"/>
      <c r="E398" s="390"/>
      <c r="F398" s="390"/>
      <c r="G398" s="1371">
        <f t="shared" si="3"/>
        <v>0</v>
      </c>
      <c r="H398" s="1370"/>
      <c r="I398" s="1370"/>
      <c r="J398" s="1370"/>
      <c r="K398" s="1370"/>
      <c r="L398" s="1370"/>
      <c r="M398" s="1370"/>
      <c r="N398" s="1370"/>
      <c r="O398" s="1370"/>
      <c r="P398" s="1370"/>
      <c r="Q398" s="1370"/>
      <c r="R398" s="410"/>
      <c r="S398" s="71"/>
      <c r="T398" s="71"/>
      <c r="U398" s="71"/>
      <c r="V398" s="71"/>
      <c r="W398" s="71"/>
      <c r="X398" s="71"/>
      <c r="Y398" s="71"/>
      <c r="Z398" s="71"/>
      <c r="AA398" s="71"/>
    </row>
    <row r="399" spans="1:27" hidden="1" outlineLevel="1">
      <c r="A399" s="152"/>
      <c r="B399" s="390"/>
      <c r="C399" s="412">
        <f>Asset21</f>
        <v>0</v>
      </c>
      <c r="D399" s="390"/>
      <c r="E399" s="390"/>
      <c r="F399" s="390"/>
      <c r="G399" s="1371">
        <f t="shared" si="3"/>
        <v>0</v>
      </c>
      <c r="H399" s="1370"/>
      <c r="I399" s="1370"/>
      <c r="J399" s="1370"/>
      <c r="K399" s="1370"/>
      <c r="L399" s="1370"/>
      <c r="M399" s="1370"/>
      <c r="N399" s="1370"/>
      <c r="O399" s="1370"/>
      <c r="P399" s="1370"/>
      <c r="Q399" s="1370"/>
      <c r="R399" s="410"/>
      <c r="S399" s="71"/>
      <c r="T399" s="71"/>
      <c r="U399" s="71"/>
      <c r="V399" s="71"/>
      <c r="W399" s="71"/>
      <c r="X399" s="71"/>
      <c r="Y399" s="71"/>
      <c r="Z399" s="71"/>
      <c r="AA399" s="71"/>
    </row>
    <row r="400" spans="1:27" hidden="1" outlineLevel="1">
      <c r="A400" s="152"/>
      <c r="B400" s="390"/>
      <c r="C400" s="412">
        <f>Asset22</f>
        <v>0</v>
      </c>
      <c r="D400" s="390"/>
      <c r="E400" s="390"/>
      <c r="F400" s="390"/>
      <c r="G400" s="1371">
        <f t="shared" si="3"/>
        <v>0</v>
      </c>
      <c r="H400" s="1370"/>
      <c r="I400" s="1370"/>
      <c r="J400" s="1370"/>
      <c r="K400" s="1370"/>
      <c r="L400" s="1370"/>
      <c r="M400" s="1370"/>
      <c r="N400" s="1370"/>
      <c r="O400" s="1370"/>
      <c r="P400" s="1370"/>
      <c r="Q400" s="1370"/>
      <c r="R400" s="410"/>
      <c r="S400" s="71"/>
      <c r="T400" s="71"/>
      <c r="U400" s="71"/>
      <c r="V400" s="71"/>
      <c r="W400" s="71"/>
      <c r="X400" s="71"/>
      <c r="Y400" s="71"/>
      <c r="Z400" s="71"/>
      <c r="AA400" s="71"/>
    </row>
    <row r="401" spans="1:27" hidden="1" outlineLevel="1">
      <c r="A401" s="152"/>
      <c r="B401" s="390"/>
      <c r="C401" s="412">
        <f>Asset23</f>
        <v>0</v>
      </c>
      <c r="D401" s="390"/>
      <c r="E401" s="390"/>
      <c r="F401" s="390"/>
      <c r="G401" s="1371">
        <f t="shared" si="3"/>
        <v>0</v>
      </c>
      <c r="H401" s="1370"/>
      <c r="I401" s="1370"/>
      <c r="J401" s="1370"/>
      <c r="K401" s="1370"/>
      <c r="L401" s="1370"/>
      <c r="M401" s="1370"/>
      <c r="N401" s="1370"/>
      <c r="O401" s="1370"/>
      <c r="P401" s="1370"/>
      <c r="Q401" s="1370"/>
      <c r="R401" s="410"/>
      <c r="S401" s="71"/>
      <c r="T401" s="71"/>
      <c r="U401" s="71"/>
      <c r="V401" s="71"/>
      <c r="W401" s="71"/>
      <c r="X401" s="71"/>
      <c r="Y401" s="71"/>
      <c r="Z401" s="71"/>
      <c r="AA401" s="71"/>
    </row>
    <row r="402" spans="1:27" hidden="1" outlineLevel="1">
      <c r="A402" s="152"/>
      <c r="B402" s="390"/>
      <c r="C402" s="412">
        <f>Asset24</f>
        <v>0</v>
      </c>
      <c r="D402" s="390"/>
      <c r="E402" s="390"/>
      <c r="F402" s="390"/>
      <c r="G402" s="1371">
        <f t="shared" si="3"/>
        <v>0</v>
      </c>
      <c r="H402" s="1370"/>
      <c r="I402" s="1370"/>
      <c r="J402" s="1370"/>
      <c r="K402" s="1370"/>
      <c r="L402" s="1370"/>
      <c r="M402" s="1370"/>
      <c r="N402" s="1370"/>
      <c r="O402" s="1370"/>
      <c r="P402" s="1370"/>
      <c r="Q402" s="1370"/>
      <c r="R402" s="410"/>
      <c r="S402" s="71"/>
      <c r="T402" s="71"/>
      <c r="U402" s="71"/>
      <c r="V402" s="71"/>
      <c r="W402" s="71"/>
      <c r="X402" s="71"/>
      <c r="Y402" s="71"/>
      <c r="Z402" s="71"/>
      <c r="AA402" s="71"/>
    </row>
    <row r="403" spans="1:27" hidden="1" outlineLevel="1">
      <c r="A403" s="152"/>
      <c r="B403" s="390"/>
      <c r="C403" s="412">
        <f>Asset25</f>
        <v>0</v>
      </c>
      <c r="D403" s="390"/>
      <c r="E403" s="390"/>
      <c r="F403" s="390"/>
      <c r="G403" s="1371">
        <f t="shared" si="3"/>
        <v>0</v>
      </c>
      <c r="H403" s="1370"/>
      <c r="I403" s="1370"/>
      <c r="J403" s="1370"/>
      <c r="K403" s="1370"/>
      <c r="L403" s="1370"/>
      <c r="M403" s="1370"/>
      <c r="N403" s="1370"/>
      <c r="O403" s="1370"/>
      <c r="P403" s="1370"/>
      <c r="Q403" s="1370"/>
      <c r="R403" s="410"/>
      <c r="S403" s="71"/>
      <c r="T403" s="71"/>
      <c r="U403" s="71"/>
      <c r="V403" s="71"/>
      <c r="W403" s="71"/>
      <c r="X403" s="71"/>
      <c r="Y403" s="71"/>
      <c r="Z403" s="71"/>
      <c r="AA403" s="71"/>
    </row>
    <row r="404" spans="1:27" hidden="1" outlineLevel="1">
      <c r="A404" s="152"/>
      <c r="B404" s="390"/>
      <c r="C404" s="412">
        <f>Asset26</f>
        <v>0</v>
      </c>
      <c r="D404" s="390"/>
      <c r="E404" s="390"/>
      <c r="F404" s="390"/>
      <c r="G404" s="1371">
        <f t="shared" si="3"/>
        <v>0</v>
      </c>
      <c r="H404" s="1370"/>
      <c r="I404" s="1370"/>
      <c r="J404" s="1370"/>
      <c r="K404" s="1370"/>
      <c r="L404" s="1370"/>
      <c r="M404" s="1370"/>
      <c r="N404" s="1370"/>
      <c r="O404" s="1370"/>
      <c r="P404" s="1370"/>
      <c r="Q404" s="1370"/>
      <c r="R404" s="410"/>
      <c r="S404" s="71"/>
      <c r="T404" s="71"/>
      <c r="U404" s="71"/>
      <c r="V404" s="71"/>
      <c r="W404" s="71"/>
      <c r="X404" s="71"/>
      <c r="Y404" s="71"/>
      <c r="Z404" s="71"/>
      <c r="AA404" s="71"/>
    </row>
    <row r="405" spans="1:27" hidden="1" outlineLevel="1">
      <c r="A405" s="152"/>
      <c r="B405" s="390"/>
      <c r="C405" s="412">
        <f>Asset27</f>
        <v>0</v>
      </c>
      <c r="D405" s="390"/>
      <c r="E405" s="390"/>
      <c r="F405" s="390"/>
      <c r="G405" s="1371">
        <f t="shared" si="3"/>
        <v>0</v>
      </c>
      <c r="H405" s="1370"/>
      <c r="I405" s="1370"/>
      <c r="J405" s="1370"/>
      <c r="K405" s="1370"/>
      <c r="L405" s="1370"/>
      <c r="M405" s="1370"/>
      <c r="N405" s="1370"/>
      <c r="O405" s="1370"/>
      <c r="P405" s="1370"/>
      <c r="Q405" s="1370"/>
      <c r="R405" s="410"/>
      <c r="S405" s="71"/>
      <c r="T405" s="71"/>
      <c r="U405" s="71"/>
      <c r="V405" s="71"/>
      <c r="W405" s="71"/>
      <c r="X405" s="71"/>
      <c r="Y405" s="71"/>
      <c r="Z405" s="71"/>
      <c r="AA405" s="71"/>
    </row>
    <row r="406" spans="1:27" hidden="1" outlineLevel="1">
      <c r="A406" s="152"/>
      <c r="B406" s="390"/>
      <c r="C406" s="412">
        <f>Asset28</f>
        <v>0</v>
      </c>
      <c r="D406" s="390"/>
      <c r="E406" s="390"/>
      <c r="F406" s="390"/>
      <c r="G406" s="1371">
        <f t="shared" si="3"/>
        <v>0</v>
      </c>
      <c r="H406" s="1370"/>
      <c r="I406" s="1370"/>
      <c r="J406" s="1370"/>
      <c r="K406" s="1370"/>
      <c r="L406" s="1370"/>
      <c r="M406" s="1370"/>
      <c r="N406" s="1370"/>
      <c r="O406" s="1370"/>
      <c r="P406" s="1370"/>
      <c r="Q406" s="1370"/>
      <c r="R406" s="410"/>
      <c r="S406" s="71"/>
      <c r="T406" s="71"/>
      <c r="U406" s="71"/>
      <c r="V406" s="71"/>
      <c r="W406" s="71"/>
      <c r="X406" s="71"/>
      <c r="Y406" s="71"/>
      <c r="Z406" s="71"/>
      <c r="AA406" s="71"/>
    </row>
    <row r="407" spans="1:27" hidden="1" outlineLevel="1">
      <c r="A407" s="152"/>
      <c r="B407" s="390"/>
      <c r="C407" s="412">
        <f>Asset29</f>
        <v>0</v>
      </c>
      <c r="D407" s="390"/>
      <c r="E407" s="390"/>
      <c r="F407" s="390"/>
      <c r="G407" s="1371">
        <f t="shared" si="3"/>
        <v>0</v>
      </c>
      <c r="H407" s="1370"/>
      <c r="I407" s="1370"/>
      <c r="J407" s="1370"/>
      <c r="K407" s="1370"/>
      <c r="L407" s="1370"/>
      <c r="M407" s="1370"/>
      <c r="N407" s="1370"/>
      <c r="O407" s="1370"/>
      <c r="P407" s="1370"/>
      <c r="Q407" s="1370"/>
      <c r="R407" s="410"/>
      <c r="S407" s="71"/>
      <c r="T407" s="71"/>
      <c r="U407" s="71"/>
      <c r="V407" s="71"/>
      <c r="W407" s="71"/>
      <c r="X407" s="71"/>
      <c r="Y407" s="71"/>
      <c r="Z407" s="71"/>
      <c r="AA407" s="71"/>
    </row>
    <row r="408" spans="1:27" hidden="1" outlineLevel="1">
      <c r="A408" s="152"/>
      <c r="B408" s="390"/>
      <c r="C408" s="412">
        <f>Asset30</f>
        <v>0</v>
      </c>
      <c r="D408" s="390"/>
      <c r="E408" s="390"/>
      <c r="F408" s="390"/>
      <c r="G408" s="1371">
        <f t="shared" si="3"/>
        <v>0</v>
      </c>
      <c r="H408" s="1370"/>
      <c r="I408" s="1370"/>
      <c r="J408" s="1370"/>
      <c r="K408" s="1370"/>
      <c r="L408" s="1370"/>
      <c r="M408" s="1370"/>
      <c r="N408" s="1370"/>
      <c r="O408" s="1370"/>
      <c r="P408" s="1370"/>
      <c r="Q408" s="1370"/>
      <c r="R408" s="410"/>
      <c r="S408" s="71"/>
      <c r="T408" s="71"/>
      <c r="U408" s="71"/>
      <c r="V408" s="71"/>
      <c r="W408" s="71"/>
      <c r="X408" s="71"/>
      <c r="Y408" s="71"/>
      <c r="Z408" s="71"/>
      <c r="AA408" s="71"/>
    </row>
    <row r="409" spans="1:27" hidden="1" outlineLevel="1">
      <c r="A409" s="152"/>
      <c r="B409" s="390"/>
      <c r="C409" s="412">
        <f>Asset31</f>
        <v>0</v>
      </c>
      <c r="D409" s="390"/>
      <c r="E409" s="390"/>
      <c r="F409" s="390"/>
      <c r="G409" s="1371">
        <f t="shared" si="3"/>
        <v>0</v>
      </c>
      <c r="H409" s="1370"/>
      <c r="I409" s="1370"/>
      <c r="J409" s="1370"/>
      <c r="K409" s="1370"/>
      <c r="L409" s="1370"/>
      <c r="M409" s="1370"/>
      <c r="N409" s="1370"/>
      <c r="O409" s="1370"/>
      <c r="P409" s="1370"/>
      <c r="Q409" s="1370"/>
      <c r="R409" s="410"/>
      <c r="S409" s="71"/>
      <c r="T409" s="71"/>
      <c r="U409" s="71"/>
      <c r="V409" s="71"/>
      <c r="W409" s="71"/>
      <c r="X409" s="71"/>
      <c r="Y409" s="71"/>
      <c r="Z409" s="71"/>
      <c r="AA409" s="71"/>
    </row>
    <row r="410" spans="1:27" hidden="1" outlineLevel="1">
      <c r="A410" s="152"/>
      <c r="B410" s="390"/>
      <c r="C410" s="412">
        <f>Asset32</f>
        <v>0</v>
      </c>
      <c r="D410" s="390"/>
      <c r="E410" s="390"/>
      <c r="F410" s="390"/>
      <c r="G410" s="1371">
        <f t="shared" si="3"/>
        <v>0</v>
      </c>
      <c r="H410" s="1370"/>
      <c r="I410" s="1370"/>
      <c r="J410" s="1370"/>
      <c r="K410" s="1370"/>
      <c r="L410" s="1370"/>
      <c r="M410" s="1370"/>
      <c r="N410" s="1370"/>
      <c r="O410" s="1370"/>
      <c r="P410" s="1370"/>
      <c r="Q410" s="1370"/>
      <c r="R410" s="410"/>
      <c r="S410" s="71"/>
      <c r="T410" s="71"/>
      <c r="U410" s="71"/>
      <c r="V410" s="71"/>
      <c r="W410" s="71"/>
      <c r="X410" s="71"/>
      <c r="Y410" s="71"/>
      <c r="Z410" s="71"/>
      <c r="AA410" s="71"/>
    </row>
    <row r="411" spans="1:27" hidden="1" outlineLevel="1">
      <c r="A411" s="152"/>
      <c r="B411" s="390"/>
      <c r="C411" s="412">
        <f>Asset33</f>
        <v>0</v>
      </c>
      <c r="D411" s="390"/>
      <c r="E411" s="390"/>
      <c r="F411" s="390"/>
      <c r="G411" s="1371">
        <f t="shared" ref="G411:G428" si="4">G307+G359</f>
        <v>0</v>
      </c>
      <c r="H411" s="1370"/>
      <c r="I411" s="1370"/>
      <c r="J411" s="1370"/>
      <c r="K411" s="1370"/>
      <c r="L411" s="1370"/>
      <c r="M411" s="1370"/>
      <c r="N411" s="1370"/>
      <c r="O411" s="1370"/>
      <c r="P411" s="1370"/>
      <c r="Q411" s="1370"/>
      <c r="R411" s="410"/>
      <c r="S411" s="71"/>
      <c r="T411" s="71"/>
      <c r="U411" s="71"/>
      <c r="V411" s="71"/>
      <c r="W411" s="71"/>
      <c r="X411" s="71"/>
      <c r="Y411" s="71"/>
      <c r="Z411" s="71"/>
      <c r="AA411" s="71"/>
    </row>
    <row r="412" spans="1:27" hidden="1" outlineLevel="1">
      <c r="A412" s="152"/>
      <c r="B412" s="390"/>
      <c r="C412" s="412">
        <f>Asset34</f>
        <v>0</v>
      </c>
      <c r="D412" s="390"/>
      <c r="E412" s="390"/>
      <c r="F412" s="390"/>
      <c r="G412" s="1371">
        <f t="shared" si="4"/>
        <v>0</v>
      </c>
      <c r="H412" s="1370"/>
      <c r="I412" s="1370"/>
      <c r="J412" s="1370"/>
      <c r="K412" s="1370"/>
      <c r="L412" s="1370"/>
      <c r="M412" s="1370"/>
      <c r="N412" s="1370"/>
      <c r="O412" s="1370"/>
      <c r="P412" s="1370"/>
      <c r="Q412" s="1370"/>
      <c r="R412" s="410"/>
      <c r="S412" s="71"/>
      <c r="T412" s="71"/>
      <c r="U412" s="71"/>
      <c r="V412" s="71"/>
      <c r="W412" s="71"/>
      <c r="X412" s="71"/>
      <c r="Y412" s="71"/>
      <c r="Z412" s="71"/>
      <c r="AA412" s="71"/>
    </row>
    <row r="413" spans="1:27" hidden="1" outlineLevel="1">
      <c r="A413" s="152"/>
      <c r="B413" s="390"/>
      <c r="C413" s="412">
        <f>Asset35</f>
        <v>0</v>
      </c>
      <c r="D413" s="390"/>
      <c r="E413" s="390"/>
      <c r="F413" s="390"/>
      <c r="G413" s="1371">
        <f t="shared" si="4"/>
        <v>0</v>
      </c>
      <c r="H413" s="1370"/>
      <c r="I413" s="1370"/>
      <c r="J413" s="1370"/>
      <c r="K413" s="1370"/>
      <c r="L413" s="1370"/>
      <c r="M413" s="1370"/>
      <c r="N413" s="1370"/>
      <c r="O413" s="1370"/>
      <c r="P413" s="1370"/>
      <c r="Q413" s="1370"/>
      <c r="R413" s="410"/>
      <c r="S413" s="71"/>
      <c r="T413" s="71"/>
      <c r="U413" s="71"/>
      <c r="V413" s="71"/>
      <c r="W413" s="71"/>
      <c r="X413" s="71"/>
      <c r="Y413" s="71"/>
      <c r="Z413" s="71"/>
      <c r="AA413" s="71"/>
    </row>
    <row r="414" spans="1:27" hidden="1" outlineLevel="1">
      <c r="A414" s="152"/>
      <c r="B414" s="390"/>
      <c r="C414" s="412">
        <f>Asset36</f>
        <v>0</v>
      </c>
      <c r="D414" s="390"/>
      <c r="E414" s="390"/>
      <c r="F414" s="390"/>
      <c r="G414" s="1371">
        <f t="shared" si="4"/>
        <v>0</v>
      </c>
      <c r="H414" s="1370"/>
      <c r="I414" s="1370"/>
      <c r="J414" s="1370"/>
      <c r="K414" s="1370"/>
      <c r="L414" s="1370"/>
      <c r="M414" s="1370"/>
      <c r="N414" s="1370"/>
      <c r="O414" s="1370"/>
      <c r="P414" s="1370"/>
      <c r="Q414" s="1370"/>
      <c r="R414" s="410"/>
      <c r="S414" s="71"/>
      <c r="T414" s="71"/>
      <c r="U414" s="71"/>
      <c r="V414" s="71"/>
      <c r="W414" s="71"/>
      <c r="X414" s="71"/>
      <c r="Y414" s="71"/>
      <c r="Z414" s="71"/>
      <c r="AA414" s="71"/>
    </row>
    <row r="415" spans="1:27" hidden="1" outlineLevel="1">
      <c r="A415" s="152"/>
      <c r="B415" s="390"/>
      <c r="C415" s="412">
        <f>Asset37</f>
        <v>0</v>
      </c>
      <c r="D415" s="390"/>
      <c r="E415" s="390"/>
      <c r="F415" s="390"/>
      <c r="G415" s="1371">
        <f t="shared" si="4"/>
        <v>0</v>
      </c>
      <c r="H415" s="1370"/>
      <c r="I415" s="1370"/>
      <c r="J415" s="1370"/>
      <c r="K415" s="1370"/>
      <c r="L415" s="1370"/>
      <c r="M415" s="1370"/>
      <c r="N415" s="1370"/>
      <c r="O415" s="1370"/>
      <c r="P415" s="1370"/>
      <c r="Q415" s="1370"/>
      <c r="R415" s="410"/>
      <c r="S415" s="71"/>
      <c r="T415" s="71"/>
      <c r="U415" s="71"/>
      <c r="V415" s="71"/>
      <c r="W415" s="71"/>
      <c r="X415" s="71"/>
      <c r="Y415" s="71"/>
      <c r="Z415" s="71"/>
      <c r="AA415" s="71"/>
    </row>
    <row r="416" spans="1:27" hidden="1" outlineLevel="1">
      <c r="A416" s="152"/>
      <c r="B416" s="390"/>
      <c r="C416" s="412">
        <f>Asset38</f>
        <v>0</v>
      </c>
      <c r="D416" s="390"/>
      <c r="E416" s="390"/>
      <c r="F416" s="390"/>
      <c r="G416" s="1371">
        <f t="shared" si="4"/>
        <v>0</v>
      </c>
      <c r="H416" s="1370"/>
      <c r="I416" s="1370"/>
      <c r="J416" s="1370"/>
      <c r="K416" s="1370"/>
      <c r="L416" s="1370"/>
      <c r="M416" s="1370"/>
      <c r="N416" s="1370"/>
      <c r="O416" s="1370"/>
      <c r="P416" s="1370"/>
      <c r="Q416" s="1370"/>
      <c r="R416" s="410"/>
      <c r="S416" s="71"/>
      <c r="T416" s="71"/>
      <c r="U416" s="71"/>
      <c r="V416" s="71"/>
      <c r="W416" s="71"/>
      <c r="X416" s="71"/>
      <c r="Y416" s="71"/>
      <c r="Z416" s="71"/>
      <c r="AA416" s="71"/>
    </row>
    <row r="417" spans="1:27" hidden="1" outlineLevel="1">
      <c r="A417" s="152"/>
      <c r="B417" s="390"/>
      <c r="C417" s="412">
        <f>Asset39</f>
        <v>0</v>
      </c>
      <c r="D417" s="390"/>
      <c r="E417" s="390"/>
      <c r="F417" s="390"/>
      <c r="G417" s="1371">
        <f t="shared" si="4"/>
        <v>0</v>
      </c>
      <c r="H417" s="1370"/>
      <c r="I417" s="1370"/>
      <c r="J417" s="1370"/>
      <c r="K417" s="1370"/>
      <c r="L417" s="1370"/>
      <c r="M417" s="1370"/>
      <c r="N417" s="1370"/>
      <c r="O417" s="1370"/>
      <c r="P417" s="1370"/>
      <c r="Q417" s="1370"/>
      <c r="R417" s="410"/>
      <c r="S417" s="71"/>
      <c r="T417" s="71"/>
      <c r="U417" s="71"/>
      <c r="V417" s="71"/>
      <c r="W417" s="71"/>
      <c r="X417" s="71"/>
      <c r="Y417" s="71"/>
      <c r="Z417" s="71"/>
      <c r="AA417" s="71"/>
    </row>
    <row r="418" spans="1:27" hidden="1" outlineLevel="1">
      <c r="A418" s="152"/>
      <c r="B418" s="390"/>
      <c r="C418" s="412">
        <f>Asset40</f>
        <v>0</v>
      </c>
      <c r="D418" s="390"/>
      <c r="E418" s="390"/>
      <c r="F418" s="390"/>
      <c r="G418" s="1371">
        <f t="shared" si="4"/>
        <v>0</v>
      </c>
      <c r="H418" s="1370"/>
      <c r="I418" s="1370"/>
      <c r="J418" s="1370"/>
      <c r="K418" s="1370"/>
      <c r="L418" s="1370"/>
      <c r="M418" s="1370"/>
      <c r="N418" s="1370"/>
      <c r="O418" s="1370"/>
      <c r="P418" s="1370"/>
      <c r="Q418" s="1370"/>
      <c r="R418" s="410"/>
      <c r="S418" s="71"/>
      <c r="T418" s="71"/>
      <c r="U418" s="71"/>
      <c r="V418" s="71"/>
      <c r="W418" s="71"/>
      <c r="X418" s="71"/>
      <c r="Y418" s="71"/>
      <c r="Z418" s="71"/>
      <c r="AA418" s="71"/>
    </row>
    <row r="419" spans="1:27" hidden="1" outlineLevel="1">
      <c r="A419" s="152"/>
      <c r="B419" s="390"/>
      <c r="C419" s="412">
        <f>Asset41</f>
        <v>0</v>
      </c>
      <c r="D419" s="390"/>
      <c r="E419" s="390"/>
      <c r="F419" s="390"/>
      <c r="G419" s="1371">
        <f t="shared" si="4"/>
        <v>0</v>
      </c>
      <c r="H419" s="1370"/>
      <c r="I419" s="1370"/>
      <c r="J419" s="1370"/>
      <c r="K419" s="1370"/>
      <c r="L419" s="1370"/>
      <c r="M419" s="1370"/>
      <c r="N419" s="1370"/>
      <c r="O419" s="1370"/>
      <c r="P419" s="1370"/>
      <c r="Q419" s="1370"/>
      <c r="R419" s="410"/>
      <c r="S419" s="71"/>
      <c r="T419" s="71"/>
      <c r="U419" s="71"/>
      <c r="V419" s="71"/>
      <c r="W419" s="71"/>
      <c r="X419" s="71"/>
      <c r="Y419" s="71"/>
      <c r="Z419" s="71"/>
      <c r="AA419" s="71"/>
    </row>
    <row r="420" spans="1:27" hidden="1" outlineLevel="1">
      <c r="A420" s="152"/>
      <c r="B420" s="390"/>
      <c r="C420" s="412">
        <f>Asset42</f>
        <v>0</v>
      </c>
      <c r="D420" s="390"/>
      <c r="E420" s="390"/>
      <c r="F420" s="390"/>
      <c r="G420" s="1371">
        <f t="shared" si="4"/>
        <v>0</v>
      </c>
      <c r="H420" s="1370"/>
      <c r="I420" s="1370"/>
      <c r="J420" s="1370"/>
      <c r="K420" s="1370"/>
      <c r="L420" s="1370"/>
      <c r="M420" s="1370"/>
      <c r="N420" s="1370"/>
      <c r="O420" s="1370"/>
      <c r="P420" s="1370"/>
      <c r="Q420" s="1370"/>
      <c r="R420" s="410"/>
      <c r="S420" s="71"/>
      <c r="T420" s="71"/>
      <c r="U420" s="71"/>
      <c r="V420" s="71"/>
      <c r="W420" s="71"/>
      <c r="X420" s="71"/>
      <c r="Y420" s="71"/>
      <c r="Z420" s="71"/>
      <c r="AA420" s="71"/>
    </row>
    <row r="421" spans="1:27" hidden="1" outlineLevel="1">
      <c r="A421" s="152"/>
      <c r="B421" s="390"/>
      <c r="C421" s="412">
        <f>Asset43</f>
        <v>0</v>
      </c>
      <c r="D421" s="390"/>
      <c r="E421" s="390"/>
      <c r="F421" s="390"/>
      <c r="G421" s="1371">
        <f t="shared" si="4"/>
        <v>0</v>
      </c>
      <c r="H421" s="1370"/>
      <c r="I421" s="1370"/>
      <c r="J421" s="1370"/>
      <c r="K421" s="1370"/>
      <c r="L421" s="1370"/>
      <c r="M421" s="1370"/>
      <c r="N421" s="1370"/>
      <c r="O421" s="1370"/>
      <c r="P421" s="1370"/>
      <c r="Q421" s="1370"/>
      <c r="R421" s="410"/>
      <c r="S421" s="71"/>
      <c r="T421" s="71"/>
      <c r="U421" s="71"/>
      <c r="V421" s="71"/>
      <c r="W421" s="71"/>
      <c r="X421" s="71"/>
      <c r="Y421" s="71"/>
      <c r="Z421" s="71"/>
      <c r="AA421" s="71"/>
    </row>
    <row r="422" spans="1:27" hidden="1" outlineLevel="1">
      <c r="A422" s="152"/>
      <c r="B422" s="390"/>
      <c r="C422" s="412">
        <f>Asset44</f>
        <v>0</v>
      </c>
      <c r="D422" s="390"/>
      <c r="E422" s="390"/>
      <c r="F422" s="390"/>
      <c r="G422" s="1371">
        <f t="shared" si="4"/>
        <v>0</v>
      </c>
      <c r="H422" s="1370"/>
      <c r="I422" s="1370"/>
      <c r="J422" s="1370"/>
      <c r="K422" s="1370"/>
      <c r="L422" s="1370"/>
      <c r="M422" s="1370"/>
      <c r="N422" s="1370"/>
      <c r="O422" s="1370"/>
      <c r="P422" s="1370"/>
      <c r="Q422" s="1370"/>
      <c r="R422" s="410"/>
      <c r="S422" s="71"/>
      <c r="T422" s="71"/>
      <c r="U422" s="71"/>
      <c r="V422" s="71"/>
      <c r="W422" s="71"/>
      <c r="X422" s="71"/>
      <c r="Y422" s="71"/>
      <c r="Z422" s="71"/>
      <c r="AA422" s="71"/>
    </row>
    <row r="423" spans="1:27" hidden="1" outlineLevel="1">
      <c r="A423" s="152"/>
      <c r="B423" s="390"/>
      <c r="C423" s="412">
        <f>Asset45</f>
        <v>0</v>
      </c>
      <c r="D423" s="390"/>
      <c r="E423" s="390"/>
      <c r="F423" s="390"/>
      <c r="G423" s="1371">
        <f t="shared" si="4"/>
        <v>0</v>
      </c>
      <c r="H423" s="1370"/>
      <c r="I423" s="1370"/>
      <c r="J423" s="1370"/>
      <c r="K423" s="1370"/>
      <c r="L423" s="1370"/>
      <c r="M423" s="1370"/>
      <c r="N423" s="1370"/>
      <c r="O423" s="1370"/>
      <c r="P423" s="1370"/>
      <c r="Q423" s="1370"/>
      <c r="R423" s="410"/>
      <c r="S423" s="71"/>
      <c r="T423" s="71"/>
      <c r="U423" s="71"/>
      <c r="V423" s="71"/>
      <c r="W423" s="71"/>
      <c r="X423" s="71"/>
      <c r="Y423" s="71"/>
      <c r="Z423" s="71"/>
      <c r="AA423" s="71"/>
    </row>
    <row r="424" spans="1:27" hidden="1" outlineLevel="1">
      <c r="A424" s="152"/>
      <c r="B424" s="390"/>
      <c r="C424" s="412">
        <f>Asset46</f>
        <v>0</v>
      </c>
      <c r="D424" s="390"/>
      <c r="E424" s="390"/>
      <c r="F424" s="390"/>
      <c r="G424" s="1371">
        <f t="shared" si="4"/>
        <v>0</v>
      </c>
      <c r="H424" s="1370"/>
      <c r="I424" s="1370"/>
      <c r="J424" s="1370"/>
      <c r="K424" s="1370"/>
      <c r="L424" s="1370"/>
      <c r="M424" s="1370"/>
      <c r="N424" s="1370"/>
      <c r="O424" s="1370"/>
      <c r="P424" s="1370"/>
      <c r="Q424" s="1370"/>
      <c r="R424" s="410"/>
      <c r="S424" s="71"/>
      <c r="T424" s="71"/>
      <c r="U424" s="71"/>
      <c r="V424" s="71"/>
      <c r="W424" s="71"/>
      <c r="X424" s="71"/>
      <c r="Y424" s="71"/>
      <c r="Z424" s="71"/>
      <c r="AA424" s="71"/>
    </row>
    <row r="425" spans="1:27" hidden="1" outlineLevel="1">
      <c r="A425" s="152"/>
      <c r="B425" s="390"/>
      <c r="C425" s="412">
        <f>Asset47</f>
        <v>0</v>
      </c>
      <c r="D425" s="390"/>
      <c r="E425" s="390"/>
      <c r="F425" s="390"/>
      <c r="G425" s="1371">
        <f t="shared" si="4"/>
        <v>0</v>
      </c>
      <c r="H425" s="1370"/>
      <c r="I425" s="1370"/>
      <c r="J425" s="1370"/>
      <c r="K425" s="1370"/>
      <c r="L425" s="1370"/>
      <c r="M425" s="1370"/>
      <c r="N425" s="1370"/>
      <c r="O425" s="1370"/>
      <c r="P425" s="1370"/>
      <c r="Q425" s="1370"/>
      <c r="R425" s="410"/>
      <c r="S425" s="71"/>
      <c r="T425" s="71"/>
      <c r="U425" s="71"/>
      <c r="V425" s="71"/>
      <c r="W425" s="71"/>
      <c r="X425" s="71"/>
      <c r="Y425" s="71"/>
      <c r="Z425" s="71"/>
      <c r="AA425" s="71"/>
    </row>
    <row r="426" spans="1:27" hidden="1" outlineLevel="1">
      <c r="A426" s="152"/>
      <c r="B426" s="390"/>
      <c r="C426" s="412">
        <f>Asset48</f>
        <v>0</v>
      </c>
      <c r="D426" s="390"/>
      <c r="E426" s="390"/>
      <c r="F426" s="390"/>
      <c r="G426" s="1371">
        <f t="shared" si="4"/>
        <v>0</v>
      </c>
      <c r="H426" s="1370"/>
      <c r="I426" s="1370"/>
      <c r="J426" s="1370"/>
      <c r="K426" s="1370"/>
      <c r="L426" s="1370"/>
      <c r="M426" s="1370"/>
      <c r="N426" s="1370"/>
      <c r="O426" s="1370"/>
      <c r="P426" s="1370"/>
      <c r="Q426" s="1370"/>
      <c r="R426" s="410"/>
      <c r="S426" s="71"/>
      <c r="T426" s="71"/>
      <c r="U426" s="71"/>
      <c r="V426" s="71"/>
      <c r="W426" s="71"/>
      <c r="X426" s="71"/>
      <c r="Y426" s="71"/>
      <c r="Z426" s="71"/>
      <c r="AA426" s="71"/>
    </row>
    <row r="427" spans="1:27" hidden="1" outlineLevel="1">
      <c r="A427" s="152"/>
      <c r="B427" s="390"/>
      <c r="C427" s="412">
        <f>Asset49</f>
        <v>0</v>
      </c>
      <c r="D427" s="390"/>
      <c r="E427" s="390"/>
      <c r="F427" s="390"/>
      <c r="G427" s="1371">
        <f t="shared" si="4"/>
        <v>0</v>
      </c>
      <c r="H427" s="1370"/>
      <c r="I427" s="1370"/>
      <c r="J427" s="1370"/>
      <c r="K427" s="1370"/>
      <c r="L427" s="1370"/>
      <c r="M427" s="1370"/>
      <c r="N427" s="1370"/>
      <c r="O427" s="1370"/>
      <c r="P427" s="1370"/>
      <c r="Q427" s="1370"/>
      <c r="R427" s="410"/>
      <c r="S427" s="71"/>
      <c r="T427" s="71"/>
      <c r="U427" s="71"/>
      <c r="V427" s="71"/>
      <c r="W427" s="71"/>
      <c r="X427" s="71"/>
      <c r="Y427" s="71"/>
      <c r="Z427" s="71"/>
      <c r="AA427" s="71"/>
    </row>
    <row r="428" spans="1:27" hidden="1" outlineLevel="1">
      <c r="A428" s="152"/>
      <c r="B428" s="390"/>
      <c r="C428" s="412">
        <f>Asset50</f>
        <v>0</v>
      </c>
      <c r="D428" s="390"/>
      <c r="E428" s="390"/>
      <c r="F428" s="390"/>
      <c r="G428" s="1371">
        <f t="shared" si="4"/>
        <v>0</v>
      </c>
      <c r="H428" s="1370"/>
      <c r="I428" s="1370"/>
      <c r="J428" s="1370"/>
      <c r="K428" s="1370"/>
      <c r="L428" s="1370"/>
      <c r="M428" s="1370"/>
      <c r="N428" s="1370"/>
      <c r="O428" s="1370"/>
      <c r="P428" s="1370"/>
      <c r="Q428" s="1370"/>
      <c r="R428" s="410"/>
      <c r="S428" s="71"/>
      <c r="T428" s="71"/>
      <c r="U428" s="71"/>
      <c r="V428" s="71"/>
      <c r="W428" s="71"/>
      <c r="X428" s="71"/>
      <c r="Y428" s="71"/>
      <c r="Z428" s="71"/>
      <c r="AA428" s="71"/>
    </row>
    <row r="429" spans="1:27" collapsed="1">
      <c r="A429" s="152"/>
      <c r="B429" s="390"/>
      <c r="C429" s="390"/>
      <c r="D429" s="390"/>
      <c r="E429" s="390"/>
      <c r="F429" s="390"/>
      <c r="G429" s="1371"/>
      <c r="H429" s="1370"/>
      <c r="I429" s="1370"/>
      <c r="J429" s="1370"/>
      <c r="K429" s="1370"/>
      <c r="L429" s="1370"/>
      <c r="M429" s="1370"/>
      <c r="N429" s="1370"/>
      <c r="O429" s="1370"/>
      <c r="P429" s="1370"/>
      <c r="Q429" s="1370"/>
      <c r="R429" s="410"/>
      <c r="S429" s="71"/>
      <c r="T429" s="71"/>
      <c r="U429" s="71"/>
      <c r="V429" s="71"/>
      <c r="W429" s="71"/>
      <c r="X429" s="71"/>
      <c r="Y429" s="71"/>
      <c r="Z429" s="71"/>
      <c r="AA429" s="71"/>
    </row>
    <row r="430" spans="1:27">
      <c r="A430" s="152"/>
      <c r="B430" s="408" t="s">
        <v>541</v>
      </c>
      <c r="C430" s="390"/>
      <c r="D430" s="390"/>
      <c r="E430" s="390"/>
      <c r="F430" s="414"/>
      <c r="G430" s="1371"/>
      <c r="H430" s="1373">
        <f>SUM(H431,H433,H435,H437,H439,H441,H443,H445,H447,H449,H451,H453,H455,H457,H459,H461,H463,H465,H467,H469,H471,H473,H475,H477,H479,H481,H483,H485,H487,H489,H491,H493,H495,H497,H499,H501,H503,H505,H507,H509,H511,H513,H515,H517,H519,H521,H523,H525,H527,H529)</f>
        <v>0</v>
      </c>
      <c r="I430" s="1373">
        <f t="shared" ref="I430:Q430" si="5">SUM(I431,I433,I435,I437,I439,I441,I443,I445,I447,I449,I451,I453,I455,I457,I459,I461,I463,I465,I467,I469,I471,I473,I475,I477,I479,I481,I483,I485,I487,I489,I491,I493,I495,I497,I499,I501,I503,I505,I507,I509,I511,I513,I515,I517,I519,I521,I523,I525,I527,I529)</f>
        <v>0</v>
      </c>
      <c r="J430" s="1373">
        <f t="shared" si="5"/>
        <v>0</v>
      </c>
      <c r="K430" s="1373">
        <f t="shared" si="5"/>
        <v>0</v>
      </c>
      <c r="L430" s="1373">
        <f t="shared" si="5"/>
        <v>0</v>
      </c>
      <c r="M430" s="1373">
        <f t="shared" si="5"/>
        <v>0</v>
      </c>
      <c r="N430" s="1373">
        <f t="shared" si="5"/>
        <v>0</v>
      </c>
      <c r="O430" s="1373">
        <f t="shared" si="5"/>
        <v>0</v>
      </c>
      <c r="P430" s="1373">
        <f t="shared" si="5"/>
        <v>0</v>
      </c>
      <c r="Q430" s="1373">
        <f t="shared" si="5"/>
        <v>0</v>
      </c>
      <c r="R430" s="410"/>
      <c r="S430" s="71"/>
      <c r="T430" s="71"/>
      <c r="U430" s="71"/>
      <c r="V430" s="71"/>
      <c r="W430" s="71"/>
      <c r="X430" s="71"/>
      <c r="Y430" s="71"/>
      <c r="Z430" s="71"/>
      <c r="AA430" s="152"/>
    </row>
    <row r="431" spans="1:27" hidden="1" outlineLevel="1">
      <c r="A431" s="215">
        <v>1</v>
      </c>
      <c r="B431" s="411"/>
      <c r="C431" s="412" t="str">
        <f>Asset1</f>
        <v>Mains</v>
      </c>
      <c r="D431" s="390"/>
      <c r="E431" s="390"/>
      <c r="F431" s="414"/>
      <c r="G431" s="1374"/>
      <c r="H431" s="1375">
        <f>IF(COUNTA($G431:G431)&lt;'RFM input'!$V$7,(INDEX($G$379:$G$428,$A431,1)+(SUM($F431:G431)))*H$8,0)</f>
        <v>0</v>
      </c>
      <c r="I431" s="1375">
        <f>IF(COUNTA($G431:H431)&lt;'RFM input'!$V$7,(INDEX($G$379:$G$428,$A431,1)+(SUM($F431:H431)))*I$8,0)</f>
        <v>0</v>
      </c>
      <c r="J431" s="1375">
        <f>IF(COUNTA($G431:I431)&lt;'RFM input'!$V$7,(INDEX($G$379:$G$428,$A431,1)+(SUM($F431:I431)))*J$8,0)</f>
        <v>0</v>
      </c>
      <c r="K431" s="1375">
        <f>IF(COUNTA($G431:J431)&lt;'RFM input'!$V$7,(INDEX($G$379:$G$428,$A431,1)+(SUM($F431:J431)))*K$8,0)</f>
        <v>0</v>
      </c>
      <c r="L431" s="1375">
        <f>IF(COUNTA($G431:K431)&lt;'RFM input'!$V$7,(INDEX($G$379:$G$428,$A431,1)+(SUM($F431:K431)))*L$8,0)</f>
        <v>0</v>
      </c>
      <c r="M431" s="1375">
        <f>IF(COUNTA($G431:L431)&lt;'RFM input'!$V$7,(INDEX($G$379:$G$428,$A431,1)+(SUM($F431:L431)))*M$8,0)</f>
        <v>0</v>
      </c>
      <c r="N431" s="1375">
        <f>IF(COUNTA($G431:M431)&lt;'RFM input'!$V$7,(INDEX($G$379:$G$428,$A431,1)+(SUM($F431:M431)))*N$8,0)</f>
        <v>0</v>
      </c>
      <c r="O431" s="1375">
        <f>IF(COUNTA($G431:N431)&lt;'RFM input'!$V$7,(INDEX($G$379:$G$428,$A431,1)+(SUM($F431:N431)))*O$8,0)</f>
        <v>0</v>
      </c>
      <c r="P431" s="1375">
        <f>IF(COUNTA($G431:O431)&lt;'RFM input'!$V$7,(INDEX($G$379:$G$428,$A431,1)+(SUM($F431:O431)))*P$8,0)</f>
        <v>0</v>
      </c>
      <c r="Q431" s="1375">
        <f>IF(COUNTA($G431:P431)&lt;'RFM input'!$V$7,(INDEX($G$379:$G$428,$A431,1)+(SUM($F431:P431)))*Q$8,0)</f>
        <v>0</v>
      </c>
      <c r="R431" s="415"/>
      <c r="S431" s="71"/>
      <c r="T431" s="71"/>
      <c r="U431" s="71"/>
      <c r="V431" s="71"/>
      <c r="W431" s="71"/>
      <c r="X431" s="71"/>
      <c r="Y431" s="71"/>
      <c r="Z431" s="71"/>
      <c r="AA431" s="152"/>
    </row>
    <row r="432" spans="1:27" hidden="1" outlineLevel="1">
      <c r="A432" s="215"/>
      <c r="B432" s="411"/>
      <c r="C432" s="416" t="s">
        <v>24</v>
      </c>
      <c r="D432" s="390"/>
      <c r="E432" s="390"/>
      <c r="F432" s="414"/>
      <c r="G432" s="1374"/>
      <c r="H432" s="1375"/>
      <c r="I432" s="1375">
        <f>IF(COUNT($H431:I431)='RFM input'!$V$7,SUM($G431:I431),0)</f>
        <v>0</v>
      </c>
      <c r="J432" s="1375">
        <f>IF(COUNT($H431:J431)='RFM input'!$V$7,SUM($G431:J431),0)</f>
        <v>0</v>
      </c>
      <c r="K432" s="1375">
        <f>IF(COUNT($H431:K431)='RFM input'!$V$7,SUM($G431:K431),0)</f>
        <v>0</v>
      </c>
      <c r="L432" s="1375">
        <f>IF(COUNT($H431:L431)='RFM input'!$V$7,SUM($G431:L431),0)</f>
        <v>0</v>
      </c>
      <c r="M432" s="1375">
        <f>IF(COUNT($H431:M431)='RFM input'!$V$7,SUM($G431:M431),0)</f>
        <v>0</v>
      </c>
      <c r="N432" s="1375">
        <f>IF(COUNT($H431:N431)='RFM input'!$V$7,SUM($G431:N431),0)</f>
        <v>0</v>
      </c>
      <c r="O432" s="1375">
        <f>IF(COUNT($H431:O431)='RFM input'!$V$7,SUM($G431:O431),0)</f>
        <v>0</v>
      </c>
      <c r="P432" s="1375">
        <f>IF(COUNT($H431:P431)='RFM input'!$V$7,SUM($G431:P431),0)</f>
        <v>0</v>
      </c>
      <c r="Q432" s="1375">
        <f>IF(COUNT($H431:Q431)='RFM input'!$V$7,SUM($G431:Q431),0)</f>
        <v>0</v>
      </c>
      <c r="R432" s="410"/>
      <c r="S432" s="71"/>
      <c r="T432" s="71"/>
      <c r="U432" s="71"/>
      <c r="V432" s="71"/>
      <c r="W432" s="71"/>
      <c r="X432" s="71"/>
      <c r="Y432" s="71"/>
      <c r="Z432" s="71"/>
      <c r="AA432" s="152"/>
    </row>
    <row r="433" spans="1:27" hidden="1" outlineLevel="1">
      <c r="A433" s="215">
        <f>A431+1</f>
        <v>2</v>
      </c>
      <c r="B433" s="411"/>
      <c r="C433" s="412" t="str">
        <f>Asset2</f>
        <v>Inlets</v>
      </c>
      <c r="D433" s="390"/>
      <c r="E433" s="390"/>
      <c r="F433" s="414"/>
      <c r="G433" s="1374"/>
      <c r="H433" s="1375">
        <f>IF(COUNTA($G433:G433)&lt;'RFM input'!$V$7,(INDEX($G$379:$G$428,$A433,1)+(SUM($F433:G433)))*H$8,0)</f>
        <v>0</v>
      </c>
      <c r="I433" s="1375">
        <f>IF(COUNTA($G433:H433)&lt;'RFM input'!$V$7,(INDEX($G$379:$G$428,$A433,1)+(SUM($F433:H433)))*I$8,0)</f>
        <v>0</v>
      </c>
      <c r="J433" s="1375">
        <f>IF(COUNTA($G433:I433)&lt;'RFM input'!$V$7,(INDEX($G$379:$G$428,$A433,1)+(SUM($F433:I433)))*J$8,0)</f>
        <v>0</v>
      </c>
      <c r="K433" s="1375">
        <f>IF(COUNTA($G433:J433)&lt;'RFM input'!$V$7,(INDEX($G$379:$G$428,$A433,1)+(SUM($F433:J433)))*K$8,0)</f>
        <v>0</v>
      </c>
      <c r="L433" s="1375">
        <f>IF(COUNTA($G433:K433)&lt;'RFM input'!$V$7,(INDEX($G$379:$G$428,$A433,1)+(SUM($F433:K433)))*L$8,0)</f>
        <v>0</v>
      </c>
      <c r="M433" s="1375">
        <f>IF(COUNTA($G433:L433)&lt;'RFM input'!$V$7,(INDEX($G$379:$G$428,$A433,1)+(SUM($F433:L433)))*M$8,0)</f>
        <v>0</v>
      </c>
      <c r="N433" s="1375">
        <f>IF(COUNTA($G433:M433)&lt;'RFM input'!$V$7,(INDEX($G$379:$G$428,$A433,1)+(SUM($F433:M433)))*N$8,0)</f>
        <v>0</v>
      </c>
      <c r="O433" s="1375">
        <f>IF(COUNTA($G433:N433)&lt;'RFM input'!$V$7,(INDEX($G$379:$G$428,$A433,1)+(SUM($F433:N433)))*O$8,0)</f>
        <v>0</v>
      </c>
      <c r="P433" s="1375">
        <f>IF(COUNTA($G433:O433)&lt;'RFM input'!$V$7,(INDEX($G$379:$G$428,$A433,1)+(SUM($F433:O433)))*P$8,0)</f>
        <v>0</v>
      </c>
      <c r="Q433" s="1375">
        <f>IF(COUNTA($G433:P433)&lt;'RFM input'!$V$7,(INDEX($G$379:$G$428,$A433,1)+(SUM($F433:P433)))*Q$8,0)</f>
        <v>0</v>
      </c>
      <c r="R433" s="415"/>
      <c r="S433" s="71"/>
      <c r="T433" s="71"/>
      <c r="U433" s="71"/>
      <c r="V433" s="71"/>
      <c r="W433" s="71"/>
      <c r="X433" s="71"/>
      <c r="Y433" s="71"/>
      <c r="Z433" s="71"/>
      <c r="AA433" s="152"/>
    </row>
    <row r="434" spans="1:27" hidden="1" outlineLevel="1">
      <c r="A434" s="215"/>
      <c r="B434" s="411"/>
      <c r="C434" s="416" t="s">
        <v>24</v>
      </c>
      <c r="D434" s="390"/>
      <c r="E434" s="390"/>
      <c r="F434" s="414"/>
      <c r="G434" s="1374"/>
      <c r="H434" s="1375"/>
      <c r="I434" s="1375">
        <f>IF(COUNT($H433:I433)='RFM input'!$V$7,SUM($G433:I433),0)</f>
        <v>0</v>
      </c>
      <c r="J434" s="1375">
        <f>IF(COUNT($H433:J433)='RFM input'!$V$7,SUM($G433:J433),0)</f>
        <v>0</v>
      </c>
      <c r="K434" s="1375">
        <f>IF(COUNT($H433:K433)='RFM input'!$V$7,SUM($G433:K433),0)</f>
        <v>0</v>
      </c>
      <c r="L434" s="1375">
        <f>IF(COUNT($H433:L433)='RFM input'!$V$7,SUM($G433:L433),0)</f>
        <v>0</v>
      </c>
      <c r="M434" s="1375">
        <f>IF(COUNT($H433:M433)='RFM input'!$V$7,SUM($G433:M433),0)</f>
        <v>0</v>
      </c>
      <c r="N434" s="1375">
        <f>IF(COUNT($H433:N433)='RFM input'!$V$7,SUM($G433:N433),0)</f>
        <v>0</v>
      </c>
      <c r="O434" s="1375">
        <f>IF(COUNT($H433:O433)='RFM input'!$V$7,SUM($G433:O433),0)</f>
        <v>0</v>
      </c>
      <c r="P434" s="1375">
        <f>IF(COUNT($H433:P433)='RFM input'!$V$7,SUM($G433:P433),0)</f>
        <v>0</v>
      </c>
      <c r="Q434" s="1375">
        <f>IF(COUNT($H433:Q433)='RFM input'!$V$7,SUM($G433:Q433),0)</f>
        <v>0</v>
      </c>
      <c r="R434" s="410"/>
      <c r="S434" s="71"/>
      <c r="T434" s="71"/>
      <c r="U434" s="71"/>
      <c r="V434" s="71"/>
      <c r="W434" s="71"/>
      <c r="X434" s="71"/>
      <c r="Y434" s="71"/>
      <c r="Z434" s="71"/>
      <c r="AA434" s="152"/>
    </row>
    <row r="435" spans="1:27" hidden="1" outlineLevel="1">
      <c r="A435" s="215">
        <f t="shared" ref="A435" si="6">A433+1</f>
        <v>3</v>
      </c>
      <c r="B435" s="411"/>
      <c r="C435" s="412" t="str">
        <f>Asset3</f>
        <v>Meters</v>
      </c>
      <c r="D435" s="390"/>
      <c r="E435" s="390"/>
      <c r="F435" s="414"/>
      <c r="G435" s="1374"/>
      <c r="H435" s="1375">
        <f>IF(COUNTA($G435:G435)&lt;'RFM input'!$V$7,(INDEX($G$379:$G$428,$A435,1)+(SUM($F435:G435)))*H$8,0)</f>
        <v>0</v>
      </c>
      <c r="I435" s="1375">
        <f>IF(COUNTA($G435:H435)&lt;'RFM input'!$V$7,(INDEX($G$379:$G$428,$A435,1)+(SUM($F435:H435)))*I$8,0)</f>
        <v>0</v>
      </c>
      <c r="J435" s="1375">
        <f>IF(COUNTA($G435:I435)&lt;'RFM input'!$V$7,(INDEX($G$379:$G$428,$A435,1)+(SUM($F435:I435)))*J$8,0)</f>
        <v>0</v>
      </c>
      <c r="K435" s="1375">
        <f>IF(COUNTA($G435:J435)&lt;'RFM input'!$V$7,(INDEX($G$379:$G$428,$A435,1)+(SUM($F435:J435)))*K$8,0)</f>
        <v>0</v>
      </c>
      <c r="L435" s="1375">
        <f>IF(COUNTA($G435:K435)&lt;'RFM input'!$V$7,(INDEX($G$379:$G$428,$A435,1)+(SUM($F435:K435)))*L$8,0)</f>
        <v>0</v>
      </c>
      <c r="M435" s="1375">
        <f>IF(COUNTA($G435:L435)&lt;'RFM input'!$V$7,(INDEX($G$379:$G$428,$A435,1)+(SUM($F435:L435)))*M$8,0)</f>
        <v>0</v>
      </c>
      <c r="N435" s="1375">
        <f>IF(COUNTA($G435:M435)&lt;'RFM input'!$V$7,(INDEX($G$379:$G$428,$A435,1)+(SUM($F435:M435)))*N$8,0)</f>
        <v>0</v>
      </c>
      <c r="O435" s="1375">
        <f>IF(COUNTA($G435:N435)&lt;'RFM input'!$V$7,(INDEX($G$379:$G$428,$A435,1)+(SUM($F435:N435)))*O$8,0)</f>
        <v>0</v>
      </c>
      <c r="P435" s="1375">
        <f>IF(COUNTA($G435:O435)&lt;'RFM input'!$V$7,(INDEX($G$379:$G$428,$A435,1)+(SUM($F435:O435)))*P$8,0)</f>
        <v>0</v>
      </c>
      <c r="Q435" s="1375">
        <f>IF(COUNTA($G435:P435)&lt;'RFM input'!$V$7,(INDEX($G$379:$G$428,$A435,1)+(SUM($F435:P435)))*Q$8,0)</f>
        <v>0</v>
      </c>
      <c r="R435" s="415"/>
      <c r="S435" s="71"/>
      <c r="T435" s="71"/>
      <c r="U435" s="71"/>
      <c r="V435" s="71"/>
      <c r="W435" s="71"/>
      <c r="X435" s="71"/>
      <c r="Y435" s="71"/>
      <c r="Z435" s="71"/>
      <c r="AA435" s="152"/>
    </row>
    <row r="436" spans="1:27" hidden="1" outlineLevel="1">
      <c r="A436" s="215"/>
      <c r="B436" s="411"/>
      <c r="C436" s="416" t="s">
        <v>24</v>
      </c>
      <c r="D436" s="390"/>
      <c r="E436" s="390"/>
      <c r="F436" s="414"/>
      <c r="G436" s="1374"/>
      <c r="H436" s="1375"/>
      <c r="I436" s="1375">
        <f>IF(COUNT($H435:I435)='RFM input'!$V$7,SUM($G435:I435),0)</f>
        <v>0</v>
      </c>
      <c r="J436" s="1375">
        <f>IF(COUNT($H435:J435)='RFM input'!$V$7,SUM($G435:J435),0)</f>
        <v>0</v>
      </c>
      <c r="K436" s="1375">
        <f>IF(COUNT($H435:K435)='RFM input'!$V$7,SUM($G435:K435),0)</f>
        <v>0</v>
      </c>
      <c r="L436" s="1375">
        <f>IF(COUNT($H435:L435)='RFM input'!$V$7,SUM($G435:L435),0)</f>
        <v>0</v>
      </c>
      <c r="M436" s="1375">
        <f>IF(COUNT($H435:M435)='RFM input'!$V$7,SUM($G435:M435),0)</f>
        <v>0</v>
      </c>
      <c r="N436" s="1375">
        <f>IF(COUNT($H435:N435)='RFM input'!$V$7,SUM($G435:N435),0)</f>
        <v>0</v>
      </c>
      <c r="O436" s="1375">
        <f>IF(COUNT($H435:O435)='RFM input'!$V$7,SUM($G435:O435),0)</f>
        <v>0</v>
      </c>
      <c r="P436" s="1375">
        <f>IF(COUNT($H435:P435)='RFM input'!$V$7,SUM($G435:P435),0)</f>
        <v>0</v>
      </c>
      <c r="Q436" s="1375">
        <f>IF(COUNT($H435:Q435)='RFM input'!$V$7,SUM($G435:Q435),0)</f>
        <v>0</v>
      </c>
      <c r="R436" s="410"/>
      <c r="S436" s="71"/>
      <c r="T436" s="71"/>
      <c r="U436" s="71"/>
      <c r="V436" s="71"/>
      <c r="W436" s="71"/>
      <c r="X436" s="71"/>
      <c r="Y436" s="71"/>
      <c r="Z436" s="71"/>
      <c r="AA436" s="152"/>
    </row>
    <row r="437" spans="1:27" hidden="1" outlineLevel="1">
      <c r="A437" s="215">
        <f t="shared" ref="A437" si="7">A435+1</f>
        <v>4</v>
      </c>
      <c r="B437" s="411"/>
      <c r="C437" s="412" t="str">
        <f>Asset4</f>
        <v>Telemetry</v>
      </c>
      <c r="D437" s="390"/>
      <c r="E437" s="390"/>
      <c r="F437" s="414"/>
      <c r="G437" s="1374"/>
      <c r="H437" s="1375">
        <f>IF(COUNTA($G437:G437)&lt;'RFM input'!$V$7,(INDEX($G$379:$G$428,$A437,1)+(SUM($F437:G437)))*H$8,0)</f>
        <v>0</v>
      </c>
      <c r="I437" s="1375">
        <f>IF(COUNTA($G437:H437)&lt;'RFM input'!$V$7,(INDEX($G$379:$G$428,$A437,1)+(SUM($F437:H437)))*I$8,0)</f>
        <v>0</v>
      </c>
      <c r="J437" s="1375">
        <f>IF(COUNTA($G437:I437)&lt;'RFM input'!$V$7,(INDEX($G$379:$G$428,$A437,1)+(SUM($F437:I437)))*J$8,0)</f>
        <v>0</v>
      </c>
      <c r="K437" s="1375">
        <f>IF(COUNTA($G437:J437)&lt;'RFM input'!$V$7,(INDEX($G$379:$G$428,$A437,1)+(SUM($F437:J437)))*K$8,0)</f>
        <v>0</v>
      </c>
      <c r="L437" s="1375">
        <f>IF(COUNTA($G437:K437)&lt;'RFM input'!$V$7,(INDEX($G$379:$G$428,$A437,1)+(SUM($F437:K437)))*L$8,0)</f>
        <v>0</v>
      </c>
      <c r="M437" s="1375">
        <f>IF(COUNTA($G437:L437)&lt;'RFM input'!$V$7,(INDEX($G$379:$G$428,$A437,1)+(SUM($F437:L437)))*M$8,0)</f>
        <v>0</v>
      </c>
      <c r="N437" s="1375">
        <f>IF(COUNTA($G437:M437)&lt;'RFM input'!$V$7,(INDEX($G$379:$G$428,$A437,1)+(SUM($F437:M437)))*N$8,0)</f>
        <v>0</v>
      </c>
      <c r="O437" s="1375">
        <f>IF(COUNTA($G437:N437)&lt;'RFM input'!$V$7,(INDEX($G$379:$G$428,$A437,1)+(SUM($F437:N437)))*O$8,0)</f>
        <v>0</v>
      </c>
      <c r="P437" s="1375">
        <f>IF(COUNTA($G437:O437)&lt;'RFM input'!$V$7,(INDEX($G$379:$G$428,$A437,1)+(SUM($F437:O437)))*P$8,0)</f>
        <v>0</v>
      </c>
      <c r="Q437" s="1375">
        <f>IF(COUNTA($G437:P437)&lt;'RFM input'!$V$7,(INDEX($G$379:$G$428,$A437,1)+(SUM($F437:P437)))*Q$8,0)</f>
        <v>0</v>
      </c>
      <c r="R437" s="410"/>
      <c r="S437" s="71"/>
      <c r="T437" s="71"/>
      <c r="U437" s="71"/>
      <c r="V437" s="71"/>
      <c r="W437" s="71"/>
      <c r="X437" s="71"/>
      <c r="Y437" s="71"/>
      <c r="Z437" s="71"/>
      <c r="AA437" s="152"/>
    </row>
    <row r="438" spans="1:27" hidden="1" outlineLevel="1">
      <c r="A438" s="215"/>
      <c r="B438" s="411"/>
      <c r="C438" s="416" t="s">
        <v>24</v>
      </c>
      <c r="D438" s="390"/>
      <c r="E438" s="390"/>
      <c r="F438" s="414"/>
      <c r="G438" s="1374"/>
      <c r="H438" s="1375"/>
      <c r="I438" s="1375">
        <f>IF(COUNT($H437:I437)='RFM input'!$V$7,SUM($G437:I437),0)</f>
        <v>0</v>
      </c>
      <c r="J438" s="1375">
        <f>IF(COUNT($H437:J437)='RFM input'!$V$7,SUM($G437:J437),0)</f>
        <v>0</v>
      </c>
      <c r="K438" s="1375">
        <f>IF(COUNT($H437:K437)='RFM input'!$V$7,SUM($G437:K437),0)</f>
        <v>0</v>
      </c>
      <c r="L438" s="1375">
        <f>IF(COUNT($H437:L437)='RFM input'!$V$7,SUM($G437:L437),0)</f>
        <v>0</v>
      </c>
      <c r="M438" s="1375">
        <f>IF(COUNT($H437:M437)='RFM input'!$V$7,SUM($G437:M437),0)</f>
        <v>0</v>
      </c>
      <c r="N438" s="1375">
        <f>IF(COUNT($H437:N437)='RFM input'!$V$7,SUM($G437:N437),0)</f>
        <v>0</v>
      </c>
      <c r="O438" s="1375">
        <f>IF(COUNT($H437:O437)='RFM input'!$V$7,SUM($G437:O437),0)</f>
        <v>0</v>
      </c>
      <c r="P438" s="1375">
        <f>IF(COUNT($H437:P437)='RFM input'!$V$7,SUM($G437:P437),0)</f>
        <v>0</v>
      </c>
      <c r="Q438" s="1375">
        <f>IF(COUNT($H437:Q437)='RFM input'!$V$7,SUM($G437:Q437),0)</f>
        <v>0</v>
      </c>
      <c r="R438" s="410"/>
      <c r="S438" s="71"/>
      <c r="T438" s="71"/>
      <c r="U438" s="71"/>
      <c r="V438" s="71"/>
      <c r="W438" s="71"/>
      <c r="X438" s="71"/>
      <c r="Y438" s="71"/>
      <c r="Z438" s="71"/>
      <c r="AA438" s="152"/>
    </row>
    <row r="439" spans="1:27" hidden="1" outlineLevel="1">
      <c r="A439" s="215">
        <f t="shared" ref="A439" si="8">A437+1</f>
        <v>5</v>
      </c>
      <c r="B439" s="411"/>
      <c r="C439" s="412" t="str">
        <f>Asset5</f>
        <v>IT System</v>
      </c>
      <c r="D439" s="390"/>
      <c r="E439" s="390"/>
      <c r="F439" s="414"/>
      <c r="G439" s="1374"/>
      <c r="H439" s="1375">
        <f>IF(COUNTA($G439:G439)&lt;'RFM input'!$V$7,(INDEX($G$379:$G$428,$A439,1)+(SUM($F439:G439)))*H$8,0)</f>
        <v>0</v>
      </c>
      <c r="I439" s="1375">
        <f>IF(COUNTA($G439:H439)&lt;'RFM input'!$V$7,(INDEX($G$379:$G$428,$A439,1)+(SUM($F439:H439)))*I$8,0)</f>
        <v>0</v>
      </c>
      <c r="J439" s="1375">
        <f>IF(COUNTA($G439:I439)&lt;'RFM input'!$V$7,(INDEX($G$379:$G$428,$A439,1)+(SUM($F439:I439)))*J$8,0)</f>
        <v>0</v>
      </c>
      <c r="K439" s="1375">
        <f>IF(COUNTA($G439:J439)&lt;'RFM input'!$V$7,(INDEX($G$379:$G$428,$A439,1)+(SUM($F439:J439)))*K$8,0)</f>
        <v>0</v>
      </c>
      <c r="L439" s="1375">
        <f>IF(COUNTA($G439:K439)&lt;'RFM input'!$V$7,(INDEX($G$379:$G$428,$A439,1)+(SUM($F439:K439)))*L$8,0)</f>
        <v>0</v>
      </c>
      <c r="M439" s="1375">
        <f>IF(COUNTA($G439:L439)&lt;'RFM input'!$V$7,(INDEX($G$379:$G$428,$A439,1)+(SUM($F439:L439)))*M$8,0)</f>
        <v>0</v>
      </c>
      <c r="N439" s="1375">
        <f>IF(COUNTA($G439:M439)&lt;'RFM input'!$V$7,(INDEX($G$379:$G$428,$A439,1)+(SUM($F439:M439)))*N$8,0)</f>
        <v>0</v>
      </c>
      <c r="O439" s="1375">
        <f>IF(COUNTA($G439:N439)&lt;'RFM input'!$V$7,(INDEX($G$379:$G$428,$A439,1)+(SUM($F439:N439)))*O$8,0)</f>
        <v>0</v>
      </c>
      <c r="P439" s="1375">
        <f>IF(COUNTA($G439:O439)&lt;'RFM input'!$V$7,(INDEX($G$379:$G$428,$A439,1)+(SUM($F439:O439)))*P$8,0)</f>
        <v>0</v>
      </c>
      <c r="Q439" s="1375">
        <f>IF(COUNTA($G439:P439)&lt;'RFM input'!$V$7,(INDEX($G$379:$G$428,$A439,1)+(SUM($F439:P439)))*Q$8,0)</f>
        <v>0</v>
      </c>
      <c r="R439" s="410"/>
      <c r="S439" s="71"/>
      <c r="T439" s="71"/>
      <c r="U439" s="71"/>
      <c r="V439" s="71"/>
      <c r="W439" s="71"/>
      <c r="X439" s="71"/>
      <c r="Y439" s="71"/>
      <c r="Z439" s="71"/>
      <c r="AA439" s="152"/>
    </row>
    <row r="440" spans="1:27" hidden="1" outlineLevel="1">
      <c r="A440" s="215"/>
      <c r="B440" s="411"/>
      <c r="C440" s="416" t="s">
        <v>24</v>
      </c>
      <c r="D440" s="390"/>
      <c r="E440" s="390"/>
      <c r="F440" s="414"/>
      <c r="G440" s="1374"/>
      <c r="H440" s="1375"/>
      <c r="I440" s="1375">
        <f>IF(COUNT($H439:I439)='RFM input'!$V$7,SUM($G439:I439),0)</f>
        <v>0</v>
      </c>
      <c r="J440" s="1375">
        <f>IF(COUNT($H439:J439)='RFM input'!$V$7,SUM($G439:J439),0)</f>
        <v>0</v>
      </c>
      <c r="K440" s="1375">
        <f>IF(COUNT($H439:K439)='RFM input'!$V$7,SUM($G439:K439),0)</f>
        <v>0</v>
      </c>
      <c r="L440" s="1375">
        <f>IF(COUNT($H439:L439)='RFM input'!$V$7,SUM($G439:L439),0)</f>
        <v>0</v>
      </c>
      <c r="M440" s="1375">
        <f>IF(COUNT($H439:M439)='RFM input'!$V$7,SUM($G439:M439),0)</f>
        <v>0</v>
      </c>
      <c r="N440" s="1375">
        <f>IF(COUNT($H439:N439)='RFM input'!$V$7,SUM($G439:N439),0)</f>
        <v>0</v>
      </c>
      <c r="O440" s="1375">
        <f>IF(COUNT($H439:O439)='RFM input'!$V$7,SUM($G439:O439),0)</f>
        <v>0</v>
      </c>
      <c r="P440" s="1375">
        <f>IF(COUNT($H439:P439)='RFM input'!$V$7,SUM($G439:P439),0)</f>
        <v>0</v>
      </c>
      <c r="Q440" s="1375">
        <f>IF(COUNT($H439:Q439)='RFM input'!$V$7,SUM($G439:Q439),0)</f>
        <v>0</v>
      </c>
      <c r="R440" s="410"/>
      <c r="S440" s="71"/>
      <c r="T440" s="71"/>
      <c r="U440" s="71"/>
      <c r="V440" s="71"/>
      <c r="W440" s="71"/>
      <c r="X440" s="71"/>
      <c r="Y440" s="71"/>
      <c r="Z440" s="71"/>
      <c r="AA440" s="152"/>
    </row>
    <row r="441" spans="1:27" hidden="1" outlineLevel="1">
      <c r="A441" s="215">
        <f t="shared" ref="A441" si="9">A439+1</f>
        <v>6</v>
      </c>
      <c r="B441" s="411"/>
      <c r="C441" s="412" t="str">
        <f>Asset6</f>
        <v>Other Distribution System Equipment</v>
      </c>
      <c r="D441" s="390"/>
      <c r="E441" s="390"/>
      <c r="F441" s="414"/>
      <c r="G441" s="1374"/>
      <c r="H441" s="1375">
        <f>IF(COUNTA($G441:G441)&lt;'RFM input'!$V$7,(INDEX($G$379:$G$428,$A441,1)+(SUM($F441:G441)))*H$8,0)</f>
        <v>0</v>
      </c>
      <c r="I441" s="1375">
        <f>IF(COUNTA($G441:H441)&lt;'RFM input'!$V$7,(INDEX($G$379:$G$428,$A441,1)+(SUM($F441:H441)))*I$8,0)</f>
        <v>0</v>
      </c>
      <c r="J441" s="1375">
        <f>IF(COUNTA($G441:I441)&lt;'RFM input'!$V$7,(INDEX($G$379:$G$428,$A441,1)+(SUM($F441:I441)))*J$8,0)</f>
        <v>0</v>
      </c>
      <c r="K441" s="1375">
        <f>IF(COUNTA($G441:J441)&lt;'RFM input'!$V$7,(INDEX($G$379:$G$428,$A441,1)+(SUM($F441:J441)))*K$8,0)</f>
        <v>0</v>
      </c>
      <c r="L441" s="1375">
        <f>IF(COUNTA($G441:K441)&lt;'RFM input'!$V$7,(INDEX($G$379:$G$428,$A441,1)+(SUM($F441:K441)))*L$8,0)</f>
        <v>0</v>
      </c>
      <c r="M441" s="1375">
        <f>IF(COUNTA($G441:L441)&lt;'RFM input'!$V$7,(INDEX($G$379:$G$428,$A441,1)+(SUM($F441:L441)))*M$8,0)</f>
        <v>0</v>
      </c>
      <c r="N441" s="1375">
        <f>IF(COUNTA($G441:M441)&lt;'RFM input'!$V$7,(INDEX($G$379:$G$428,$A441,1)+(SUM($F441:M441)))*N$8,0)</f>
        <v>0</v>
      </c>
      <c r="O441" s="1375">
        <f>IF(COUNTA($G441:N441)&lt;'RFM input'!$V$7,(INDEX($G$379:$G$428,$A441,1)+(SUM($F441:N441)))*O$8,0)</f>
        <v>0</v>
      </c>
      <c r="P441" s="1375">
        <f>IF(COUNTA($G441:O441)&lt;'RFM input'!$V$7,(INDEX($G$379:$G$428,$A441,1)+(SUM($F441:O441)))*P$8,0)</f>
        <v>0</v>
      </c>
      <c r="Q441" s="1375">
        <f>IF(COUNTA($G441:P441)&lt;'RFM input'!$V$7,(INDEX($G$379:$G$428,$A441,1)+(SUM($F441:P441)))*Q$8,0)</f>
        <v>0</v>
      </c>
      <c r="R441" s="410"/>
      <c r="S441" s="71"/>
      <c r="T441" s="71"/>
      <c r="U441" s="71"/>
      <c r="V441" s="71"/>
      <c r="W441" s="71"/>
      <c r="X441" s="71"/>
      <c r="Y441" s="71"/>
      <c r="Z441" s="71"/>
      <c r="AA441" s="152"/>
    </row>
    <row r="442" spans="1:27" hidden="1" outlineLevel="1">
      <c r="A442" s="215"/>
      <c r="B442" s="411"/>
      <c r="C442" s="416" t="s">
        <v>24</v>
      </c>
      <c r="D442" s="390"/>
      <c r="E442" s="390"/>
      <c r="F442" s="414"/>
      <c r="G442" s="1374"/>
      <c r="H442" s="1375"/>
      <c r="I442" s="1375">
        <f>IF(COUNT($H441:I441)='RFM input'!$V$7,SUM($G441:I441),0)</f>
        <v>0</v>
      </c>
      <c r="J442" s="1375">
        <f>IF(COUNT($H441:J441)='RFM input'!$V$7,SUM($G441:J441),0)</f>
        <v>0</v>
      </c>
      <c r="K442" s="1375">
        <f>IF(COUNT($H441:K441)='RFM input'!$V$7,SUM($G441:K441),0)</f>
        <v>0</v>
      </c>
      <c r="L442" s="1375">
        <f>IF(COUNT($H441:L441)='RFM input'!$V$7,SUM($G441:L441),0)</f>
        <v>0</v>
      </c>
      <c r="M442" s="1375">
        <f>IF(COUNT($H441:M441)='RFM input'!$V$7,SUM($G441:M441),0)</f>
        <v>0</v>
      </c>
      <c r="N442" s="1375">
        <f>IF(COUNT($H441:N441)='RFM input'!$V$7,SUM($G441:N441),0)</f>
        <v>0</v>
      </c>
      <c r="O442" s="1375">
        <f>IF(COUNT($H441:O441)='RFM input'!$V$7,SUM($G441:O441),0)</f>
        <v>0</v>
      </c>
      <c r="P442" s="1375">
        <f>IF(COUNT($H441:P441)='RFM input'!$V$7,SUM($G441:P441),0)</f>
        <v>0</v>
      </c>
      <c r="Q442" s="1375">
        <f>IF(COUNT($H441:Q441)='RFM input'!$V$7,SUM($G441:Q441),0)</f>
        <v>0</v>
      </c>
      <c r="R442" s="410"/>
      <c r="S442" s="71"/>
      <c r="T442" s="71"/>
      <c r="U442" s="71"/>
      <c r="V442" s="71"/>
      <c r="W442" s="71"/>
      <c r="X442" s="71"/>
      <c r="Y442" s="71"/>
      <c r="Z442" s="71"/>
      <c r="AA442" s="152"/>
    </row>
    <row r="443" spans="1:27" hidden="1" outlineLevel="1">
      <c r="A443" s="215">
        <f t="shared" ref="A443" si="10">A441+1</f>
        <v>7</v>
      </c>
      <c r="B443" s="411"/>
      <c r="C443" s="412" t="str">
        <f>Asset7</f>
        <v>Other</v>
      </c>
      <c r="D443" s="390"/>
      <c r="E443" s="390"/>
      <c r="F443" s="414"/>
      <c r="G443" s="1374"/>
      <c r="H443" s="1375">
        <f>IF(COUNTA($G443:G443)&lt;'RFM input'!$V$7,(INDEX($G$379:$G$428,$A443,1)+(SUM($F443:G443)))*H$8,0)</f>
        <v>0</v>
      </c>
      <c r="I443" s="1375">
        <f>IF(COUNTA($G443:H443)&lt;'RFM input'!$V$7,(INDEX($G$379:$G$428,$A443,1)+(SUM($F443:H443)))*I$8,0)</f>
        <v>0</v>
      </c>
      <c r="J443" s="1375">
        <f>IF(COUNTA($G443:I443)&lt;'RFM input'!$V$7,(INDEX($G$379:$G$428,$A443,1)+(SUM($F443:I443)))*J$8,0)</f>
        <v>0</v>
      </c>
      <c r="K443" s="1375">
        <f>IF(COUNTA($G443:J443)&lt;'RFM input'!$V$7,(INDEX($G$379:$G$428,$A443,1)+(SUM($F443:J443)))*K$8,0)</f>
        <v>0</v>
      </c>
      <c r="L443" s="1375">
        <f>IF(COUNTA($G443:K443)&lt;'RFM input'!$V$7,(INDEX($G$379:$G$428,$A443,1)+(SUM($F443:K443)))*L$8,0)</f>
        <v>0</v>
      </c>
      <c r="M443" s="1375">
        <f>IF(COUNTA($G443:L443)&lt;'RFM input'!$V$7,(INDEX($G$379:$G$428,$A443,1)+(SUM($F443:L443)))*M$8,0)</f>
        <v>0</v>
      </c>
      <c r="N443" s="1375">
        <f>IF(COUNTA($G443:M443)&lt;'RFM input'!$V$7,(INDEX($G$379:$G$428,$A443,1)+(SUM($F443:M443)))*N$8,0)</f>
        <v>0</v>
      </c>
      <c r="O443" s="1375">
        <f>IF(COUNTA($G443:N443)&lt;'RFM input'!$V$7,(INDEX($G$379:$G$428,$A443,1)+(SUM($F443:N443)))*O$8,0)</f>
        <v>0</v>
      </c>
      <c r="P443" s="1375">
        <f>IF(COUNTA($G443:O443)&lt;'RFM input'!$V$7,(INDEX($G$379:$G$428,$A443,1)+(SUM($F443:O443)))*P$8,0)</f>
        <v>0</v>
      </c>
      <c r="Q443" s="1375">
        <f>IF(COUNTA($G443:P443)&lt;'RFM input'!$V$7,(INDEX($G$379:$G$428,$A443,1)+(SUM($F443:P443)))*Q$8,0)</f>
        <v>0</v>
      </c>
      <c r="R443" s="410"/>
      <c r="S443" s="71"/>
      <c r="T443" s="71"/>
      <c r="U443" s="71"/>
      <c r="V443" s="71"/>
      <c r="W443" s="71"/>
      <c r="X443" s="71"/>
      <c r="Y443" s="71"/>
      <c r="Z443" s="71"/>
      <c r="AA443" s="152"/>
    </row>
    <row r="444" spans="1:27" hidden="1" outlineLevel="1">
      <c r="A444" s="215"/>
      <c r="B444" s="411"/>
      <c r="C444" s="416" t="s">
        <v>24</v>
      </c>
      <c r="D444" s="390"/>
      <c r="E444" s="390"/>
      <c r="F444" s="414"/>
      <c r="G444" s="1374"/>
      <c r="H444" s="1375"/>
      <c r="I444" s="1375">
        <f>IF(COUNT($H443:I443)='RFM input'!$V$7,SUM($G443:I443),0)</f>
        <v>0</v>
      </c>
      <c r="J444" s="1375">
        <f>IF(COUNT($H443:J443)='RFM input'!$V$7,SUM($G443:J443),0)</f>
        <v>0</v>
      </c>
      <c r="K444" s="1375">
        <f>IF(COUNT($H443:K443)='RFM input'!$V$7,SUM($G443:K443),0)</f>
        <v>0</v>
      </c>
      <c r="L444" s="1375">
        <f>IF(COUNT($H443:L443)='RFM input'!$V$7,SUM($G443:L443),0)</f>
        <v>0</v>
      </c>
      <c r="M444" s="1375">
        <f>IF(COUNT($H443:M443)='RFM input'!$V$7,SUM($G443:M443),0)</f>
        <v>0</v>
      </c>
      <c r="N444" s="1375">
        <f>IF(COUNT($H443:N443)='RFM input'!$V$7,SUM($G443:N443),0)</f>
        <v>0</v>
      </c>
      <c r="O444" s="1375">
        <f>IF(COUNT($H443:O443)='RFM input'!$V$7,SUM($G443:O443),0)</f>
        <v>0</v>
      </c>
      <c r="P444" s="1375">
        <f>IF(COUNT($H443:P443)='RFM input'!$V$7,SUM($G443:P443),0)</f>
        <v>0</v>
      </c>
      <c r="Q444" s="1375">
        <f>IF(COUNT($H443:Q443)='RFM input'!$V$7,SUM($G443:Q443),0)</f>
        <v>0</v>
      </c>
      <c r="R444" s="410"/>
      <c r="S444" s="71"/>
      <c r="T444" s="71"/>
      <c r="U444" s="71"/>
      <c r="V444" s="71"/>
      <c r="W444" s="71"/>
      <c r="X444" s="71"/>
      <c r="Y444" s="71"/>
      <c r="Z444" s="71"/>
      <c r="AA444" s="152"/>
    </row>
    <row r="445" spans="1:27" hidden="1" outlineLevel="1">
      <c r="A445" s="215">
        <f t="shared" ref="A445" si="11">A443+1</f>
        <v>8</v>
      </c>
      <c r="B445" s="411"/>
      <c r="C445" s="412">
        <f>Asset8</f>
        <v>0</v>
      </c>
      <c r="D445" s="390"/>
      <c r="E445" s="390"/>
      <c r="F445" s="414"/>
      <c r="G445" s="1374"/>
      <c r="H445" s="1375">
        <f>IF(COUNTA($G445:G445)&lt;'RFM input'!$V$7,(INDEX($G$379:$G$428,$A445,1)+(SUM($F445:G445)))*H$8,0)</f>
        <v>0</v>
      </c>
      <c r="I445" s="1375">
        <f>IF(COUNTA($G445:H445)&lt;'RFM input'!$V$7,(INDEX($G$379:$G$428,$A445,1)+(SUM($F445:H445)))*I$8,0)</f>
        <v>0</v>
      </c>
      <c r="J445" s="1375">
        <f>IF(COUNTA($G445:I445)&lt;'RFM input'!$V$7,(INDEX($G$379:$G$428,$A445,1)+(SUM($F445:I445)))*J$8,0)</f>
        <v>0</v>
      </c>
      <c r="K445" s="1375">
        <f>IF(COUNTA($G445:J445)&lt;'RFM input'!$V$7,(INDEX($G$379:$G$428,$A445,1)+(SUM($F445:J445)))*K$8,0)</f>
        <v>0</v>
      </c>
      <c r="L445" s="1375">
        <f>IF(COUNTA($G445:K445)&lt;'RFM input'!$V$7,(INDEX($G$379:$G$428,$A445,1)+(SUM($F445:K445)))*L$8,0)</f>
        <v>0</v>
      </c>
      <c r="M445" s="1375">
        <f>IF(COUNTA($G445:L445)&lt;'RFM input'!$V$7,(INDEX($G$379:$G$428,$A445,1)+(SUM($F445:L445)))*M$8,0)</f>
        <v>0</v>
      </c>
      <c r="N445" s="1375">
        <f>IF(COUNTA($G445:M445)&lt;'RFM input'!$V$7,(INDEX($G$379:$G$428,$A445,1)+(SUM($F445:M445)))*N$8,0)</f>
        <v>0</v>
      </c>
      <c r="O445" s="1375">
        <f>IF(COUNTA($G445:N445)&lt;'RFM input'!$V$7,(INDEX($G$379:$G$428,$A445,1)+(SUM($F445:N445)))*O$8,0)</f>
        <v>0</v>
      </c>
      <c r="P445" s="1375">
        <f>IF(COUNTA($G445:O445)&lt;'RFM input'!$V$7,(INDEX($G$379:$G$428,$A445,1)+(SUM($F445:O445)))*P$8,0)</f>
        <v>0</v>
      </c>
      <c r="Q445" s="1375">
        <f>IF(COUNTA($G445:P445)&lt;'RFM input'!$V$7,(INDEX($G$379:$G$428,$A445,1)+(SUM($F445:P445)))*Q$8,0)</f>
        <v>0</v>
      </c>
      <c r="R445" s="410"/>
      <c r="S445" s="71"/>
      <c r="T445" s="71"/>
      <c r="U445" s="71"/>
      <c r="V445" s="71"/>
      <c r="W445" s="71"/>
      <c r="X445" s="71"/>
      <c r="Y445" s="71"/>
      <c r="Z445" s="71"/>
      <c r="AA445" s="152"/>
    </row>
    <row r="446" spans="1:27" hidden="1" outlineLevel="1">
      <c r="A446" s="215"/>
      <c r="B446" s="411"/>
      <c r="C446" s="416" t="s">
        <v>24</v>
      </c>
      <c r="D446" s="390"/>
      <c r="E446" s="390"/>
      <c r="F446" s="414"/>
      <c r="G446" s="1374"/>
      <c r="H446" s="1375"/>
      <c r="I446" s="1375">
        <f>IF(COUNT($H445:I445)='RFM input'!$V$7,SUM($G445:I445),0)</f>
        <v>0</v>
      </c>
      <c r="J446" s="1375">
        <f>IF(COUNT($H445:J445)='RFM input'!$V$7,SUM($G445:J445),0)</f>
        <v>0</v>
      </c>
      <c r="K446" s="1375">
        <f>IF(COUNT($H445:K445)='RFM input'!$V$7,SUM($G445:K445),0)</f>
        <v>0</v>
      </c>
      <c r="L446" s="1375">
        <f>IF(COUNT($H445:L445)='RFM input'!$V$7,SUM($G445:L445),0)</f>
        <v>0</v>
      </c>
      <c r="M446" s="1375">
        <f>IF(COUNT($H445:M445)='RFM input'!$V$7,SUM($G445:M445),0)</f>
        <v>0</v>
      </c>
      <c r="N446" s="1375">
        <f>IF(COUNT($H445:N445)='RFM input'!$V$7,SUM($G445:N445),0)</f>
        <v>0</v>
      </c>
      <c r="O446" s="1375">
        <f>IF(COUNT($H445:O445)='RFM input'!$V$7,SUM($G445:O445),0)</f>
        <v>0</v>
      </c>
      <c r="P446" s="1375">
        <f>IF(COUNT($H445:P445)='RFM input'!$V$7,SUM($G445:P445),0)</f>
        <v>0</v>
      </c>
      <c r="Q446" s="1375">
        <f>IF(COUNT($H445:Q445)='RFM input'!$V$7,SUM($G445:Q445),0)</f>
        <v>0</v>
      </c>
      <c r="R446" s="410"/>
      <c r="S446" s="71"/>
      <c r="T446" s="71"/>
      <c r="U446" s="71"/>
      <c r="V446" s="71"/>
      <c r="W446" s="71"/>
      <c r="X446" s="71"/>
      <c r="Y446" s="71"/>
      <c r="Z446" s="71"/>
      <c r="AA446" s="152"/>
    </row>
    <row r="447" spans="1:27" hidden="1" outlineLevel="1">
      <c r="A447" s="215">
        <f t="shared" ref="A447" si="12">A445+1</f>
        <v>9</v>
      </c>
      <c r="B447" s="411"/>
      <c r="C447" s="412">
        <f>Asset9</f>
        <v>0</v>
      </c>
      <c r="D447" s="390"/>
      <c r="E447" s="390"/>
      <c r="F447" s="414"/>
      <c r="G447" s="1374"/>
      <c r="H447" s="1375">
        <f>IF(COUNTA($G447:G447)&lt;'RFM input'!$V$7,(INDEX($G$379:$G$428,$A447,1)+(SUM($F447:G447)))*H$8,0)</f>
        <v>0</v>
      </c>
      <c r="I447" s="1375">
        <f>IF(COUNTA($G447:H447)&lt;'RFM input'!$V$7,(INDEX($G$379:$G$428,$A447,1)+(SUM($F447:H447)))*I$8,0)</f>
        <v>0</v>
      </c>
      <c r="J447" s="1375">
        <f>IF(COUNTA($G447:I447)&lt;'RFM input'!$V$7,(INDEX($G$379:$G$428,$A447,1)+(SUM($F447:I447)))*J$8,0)</f>
        <v>0</v>
      </c>
      <c r="K447" s="1375">
        <f>IF(COUNTA($G447:J447)&lt;'RFM input'!$V$7,(INDEX($G$379:$G$428,$A447,1)+(SUM($F447:J447)))*K$8,0)</f>
        <v>0</v>
      </c>
      <c r="L447" s="1375">
        <f>IF(COUNTA($G447:K447)&lt;'RFM input'!$V$7,(INDEX($G$379:$G$428,$A447,1)+(SUM($F447:K447)))*L$8,0)</f>
        <v>0</v>
      </c>
      <c r="M447" s="1375">
        <f>IF(COUNTA($G447:L447)&lt;'RFM input'!$V$7,(INDEX($G$379:$G$428,$A447,1)+(SUM($F447:L447)))*M$8,0)</f>
        <v>0</v>
      </c>
      <c r="N447" s="1375">
        <f>IF(COUNTA($G447:M447)&lt;'RFM input'!$V$7,(INDEX($G$379:$G$428,$A447,1)+(SUM($F447:M447)))*N$8,0)</f>
        <v>0</v>
      </c>
      <c r="O447" s="1375">
        <f>IF(COUNTA($G447:N447)&lt;'RFM input'!$V$7,(INDEX($G$379:$G$428,$A447,1)+(SUM($F447:N447)))*O$8,0)</f>
        <v>0</v>
      </c>
      <c r="P447" s="1375">
        <f>IF(COUNTA($G447:O447)&lt;'RFM input'!$V$7,(INDEX($G$379:$G$428,$A447,1)+(SUM($F447:O447)))*P$8,0)</f>
        <v>0</v>
      </c>
      <c r="Q447" s="1375">
        <f>IF(COUNTA($G447:P447)&lt;'RFM input'!$V$7,(INDEX($G$379:$G$428,$A447,1)+(SUM($F447:P447)))*Q$8,0)</f>
        <v>0</v>
      </c>
      <c r="R447" s="410"/>
      <c r="S447" s="71"/>
      <c r="T447" s="71"/>
      <c r="U447" s="71"/>
      <c r="V447" s="71"/>
      <c r="W447" s="71"/>
      <c r="X447" s="71"/>
      <c r="Y447" s="71"/>
      <c r="Z447" s="71"/>
      <c r="AA447" s="152"/>
    </row>
    <row r="448" spans="1:27" hidden="1" outlineLevel="1">
      <c r="A448" s="215"/>
      <c r="B448" s="411"/>
      <c r="C448" s="416" t="s">
        <v>24</v>
      </c>
      <c r="D448" s="390"/>
      <c r="E448" s="390"/>
      <c r="F448" s="414"/>
      <c r="G448" s="1374"/>
      <c r="H448" s="1375"/>
      <c r="I448" s="1375">
        <f>IF(COUNT($H447:I447)='RFM input'!$V$7,SUM($G447:I447),0)</f>
        <v>0</v>
      </c>
      <c r="J448" s="1375">
        <f>IF(COUNT($H447:J447)='RFM input'!$V$7,SUM($G447:J447),0)</f>
        <v>0</v>
      </c>
      <c r="K448" s="1375">
        <f>IF(COUNT($H447:K447)='RFM input'!$V$7,SUM($G447:K447),0)</f>
        <v>0</v>
      </c>
      <c r="L448" s="1375">
        <f>IF(COUNT($H447:L447)='RFM input'!$V$7,SUM($G447:L447),0)</f>
        <v>0</v>
      </c>
      <c r="M448" s="1375">
        <f>IF(COUNT($H447:M447)='RFM input'!$V$7,SUM($G447:M447),0)</f>
        <v>0</v>
      </c>
      <c r="N448" s="1375">
        <f>IF(COUNT($H447:N447)='RFM input'!$V$7,SUM($G447:N447),0)</f>
        <v>0</v>
      </c>
      <c r="O448" s="1375">
        <f>IF(COUNT($H447:O447)='RFM input'!$V$7,SUM($G447:O447),0)</f>
        <v>0</v>
      </c>
      <c r="P448" s="1375">
        <f>IF(COUNT($H447:P447)='RFM input'!$V$7,SUM($G447:P447),0)</f>
        <v>0</v>
      </c>
      <c r="Q448" s="1375">
        <f>IF(COUNT($H447:Q447)='RFM input'!$V$7,SUM($G447:Q447),0)</f>
        <v>0</v>
      </c>
      <c r="R448" s="410"/>
      <c r="S448" s="71"/>
      <c r="T448" s="71"/>
      <c r="U448" s="71"/>
      <c r="V448" s="71"/>
      <c r="W448" s="71"/>
      <c r="X448" s="71"/>
      <c r="Y448" s="71"/>
      <c r="Z448" s="71"/>
      <c r="AA448" s="152"/>
    </row>
    <row r="449" spans="1:27" hidden="1" outlineLevel="1">
      <c r="A449" s="215">
        <f t="shared" ref="A449" si="13">A447+1</f>
        <v>10</v>
      </c>
      <c r="B449" s="411"/>
      <c r="C449" s="412">
        <f>Asset10</f>
        <v>0</v>
      </c>
      <c r="D449" s="390"/>
      <c r="E449" s="390"/>
      <c r="F449" s="414"/>
      <c r="G449" s="1374"/>
      <c r="H449" s="1375">
        <f>IF(COUNTA($G449:G449)&lt;'RFM input'!$V$7,(INDEX($G$379:$G$428,$A449,1)+(SUM($F449:G449)))*H$8,0)</f>
        <v>0</v>
      </c>
      <c r="I449" s="1375">
        <f>IF(COUNTA($G449:H449)&lt;'RFM input'!$V$7,(INDEX($G$379:$G$428,$A449,1)+(SUM($F449:H449)))*I$8,0)</f>
        <v>0</v>
      </c>
      <c r="J449" s="1375">
        <f>IF(COUNTA($G449:I449)&lt;'RFM input'!$V$7,(INDEX($G$379:$G$428,$A449,1)+(SUM($F449:I449)))*J$8,0)</f>
        <v>0</v>
      </c>
      <c r="K449" s="1375">
        <f>IF(COUNTA($G449:J449)&lt;'RFM input'!$V$7,(INDEX($G$379:$G$428,$A449,1)+(SUM($F449:J449)))*K$8,0)</f>
        <v>0</v>
      </c>
      <c r="L449" s="1375">
        <f>IF(COUNTA($G449:K449)&lt;'RFM input'!$V$7,(INDEX($G$379:$G$428,$A449,1)+(SUM($F449:K449)))*L$8,0)</f>
        <v>0</v>
      </c>
      <c r="M449" s="1375">
        <f>IF(COUNTA($G449:L449)&lt;'RFM input'!$V$7,(INDEX($G$379:$G$428,$A449,1)+(SUM($F449:L449)))*M$8,0)</f>
        <v>0</v>
      </c>
      <c r="N449" s="1375">
        <f>IF(COUNTA($G449:M449)&lt;'RFM input'!$V$7,(INDEX($G$379:$G$428,$A449,1)+(SUM($F449:M449)))*N$8,0)</f>
        <v>0</v>
      </c>
      <c r="O449" s="1375">
        <f>IF(COUNTA($G449:N449)&lt;'RFM input'!$V$7,(INDEX($G$379:$G$428,$A449,1)+(SUM($F449:N449)))*O$8,0)</f>
        <v>0</v>
      </c>
      <c r="P449" s="1375">
        <f>IF(COUNTA($G449:O449)&lt;'RFM input'!$V$7,(INDEX($G$379:$G$428,$A449,1)+(SUM($F449:O449)))*P$8,0)</f>
        <v>0</v>
      </c>
      <c r="Q449" s="1375">
        <f>IF(COUNTA($G449:P449)&lt;'RFM input'!$V$7,(INDEX($G$379:$G$428,$A449,1)+(SUM($F449:P449)))*Q$8,0)</f>
        <v>0</v>
      </c>
      <c r="R449" s="410"/>
      <c r="S449" s="71"/>
      <c r="T449" s="71"/>
      <c r="U449" s="71"/>
      <c r="V449" s="71"/>
      <c r="W449" s="71"/>
      <c r="X449" s="71"/>
      <c r="Y449" s="71"/>
      <c r="Z449" s="71"/>
      <c r="AA449" s="152"/>
    </row>
    <row r="450" spans="1:27" hidden="1" outlineLevel="1">
      <c r="A450" s="215"/>
      <c r="B450" s="411"/>
      <c r="C450" s="416" t="s">
        <v>24</v>
      </c>
      <c r="D450" s="390"/>
      <c r="E450" s="390"/>
      <c r="F450" s="414"/>
      <c r="G450" s="1374"/>
      <c r="H450" s="1375"/>
      <c r="I450" s="1375">
        <f>IF(COUNT($H449:I449)='RFM input'!$V$7,SUM($G449:I449),0)</f>
        <v>0</v>
      </c>
      <c r="J450" s="1375">
        <f>IF(COUNT($H449:J449)='RFM input'!$V$7,SUM($G449:J449),0)</f>
        <v>0</v>
      </c>
      <c r="K450" s="1375">
        <f>IF(COUNT($H449:K449)='RFM input'!$V$7,SUM($G449:K449),0)</f>
        <v>0</v>
      </c>
      <c r="L450" s="1375">
        <f>IF(COUNT($H449:L449)='RFM input'!$V$7,SUM($G449:L449),0)</f>
        <v>0</v>
      </c>
      <c r="M450" s="1375">
        <f>IF(COUNT($H449:M449)='RFM input'!$V$7,SUM($G449:M449),0)</f>
        <v>0</v>
      </c>
      <c r="N450" s="1375">
        <f>IF(COUNT($H449:N449)='RFM input'!$V$7,SUM($G449:N449),0)</f>
        <v>0</v>
      </c>
      <c r="O450" s="1375">
        <f>IF(COUNT($H449:O449)='RFM input'!$V$7,SUM($G449:O449),0)</f>
        <v>0</v>
      </c>
      <c r="P450" s="1375">
        <f>IF(COUNT($H449:P449)='RFM input'!$V$7,SUM($G449:P449),0)</f>
        <v>0</v>
      </c>
      <c r="Q450" s="1375">
        <f>IF(COUNT($H449:Q449)='RFM input'!$V$7,SUM($G449:Q449),0)</f>
        <v>0</v>
      </c>
      <c r="R450" s="410"/>
      <c r="S450" s="71"/>
      <c r="T450" s="71"/>
      <c r="U450" s="71"/>
      <c r="V450" s="71"/>
      <c r="W450" s="71"/>
      <c r="X450" s="71"/>
      <c r="Y450" s="71"/>
      <c r="Z450" s="71"/>
      <c r="AA450" s="152"/>
    </row>
    <row r="451" spans="1:27" hidden="1" outlineLevel="1">
      <c r="A451" s="215">
        <f t="shared" ref="A451" si="14">A449+1</f>
        <v>11</v>
      </c>
      <c r="B451" s="411"/>
      <c r="C451" s="412">
        <f>Asset11</f>
        <v>0</v>
      </c>
      <c r="D451" s="390"/>
      <c r="E451" s="390"/>
      <c r="F451" s="414"/>
      <c r="G451" s="1374"/>
      <c r="H451" s="1375">
        <f>IF(COUNTA($G451:G451)&lt;'RFM input'!$V$7,(INDEX($G$379:$G$428,$A451,1)+(SUM($F451:G451)))*H$8,0)</f>
        <v>0</v>
      </c>
      <c r="I451" s="1375">
        <f>IF(COUNTA($G451:H451)&lt;'RFM input'!$V$7,(INDEX($G$379:$G$428,$A451,1)+(SUM($F451:H451)))*I$8,0)</f>
        <v>0</v>
      </c>
      <c r="J451" s="1375">
        <f>IF(COUNTA($G451:I451)&lt;'RFM input'!$V$7,(INDEX($G$379:$G$428,$A451,1)+(SUM($F451:I451)))*J$8,0)</f>
        <v>0</v>
      </c>
      <c r="K451" s="1375">
        <f>IF(COUNTA($G451:J451)&lt;'RFM input'!$V$7,(INDEX($G$379:$G$428,$A451,1)+(SUM($F451:J451)))*K$8,0)</f>
        <v>0</v>
      </c>
      <c r="L451" s="1375">
        <f>IF(COUNTA($G451:K451)&lt;'RFM input'!$V$7,(INDEX($G$379:$G$428,$A451,1)+(SUM($F451:K451)))*L$8,0)</f>
        <v>0</v>
      </c>
      <c r="M451" s="1375">
        <f>IF(COUNTA($G451:L451)&lt;'RFM input'!$V$7,(INDEX($G$379:$G$428,$A451,1)+(SUM($F451:L451)))*M$8,0)</f>
        <v>0</v>
      </c>
      <c r="N451" s="1375">
        <f>IF(COUNTA($G451:M451)&lt;'RFM input'!$V$7,(INDEX($G$379:$G$428,$A451,1)+(SUM($F451:M451)))*N$8,0)</f>
        <v>0</v>
      </c>
      <c r="O451" s="1375">
        <f>IF(COUNTA($G451:N451)&lt;'RFM input'!$V$7,(INDEX($G$379:$G$428,$A451,1)+(SUM($F451:N451)))*O$8,0)</f>
        <v>0</v>
      </c>
      <c r="P451" s="1375">
        <f>IF(COUNTA($G451:O451)&lt;'RFM input'!$V$7,(INDEX($G$379:$G$428,$A451,1)+(SUM($F451:O451)))*P$8,0)</f>
        <v>0</v>
      </c>
      <c r="Q451" s="1375">
        <f>IF(COUNTA($G451:P451)&lt;'RFM input'!$V$7,(INDEX($G$379:$G$428,$A451,1)+(SUM($F451:P451)))*Q$8,0)</f>
        <v>0</v>
      </c>
      <c r="R451" s="410"/>
      <c r="S451" s="71"/>
      <c r="T451" s="71"/>
      <c r="U451" s="71"/>
      <c r="V451" s="71"/>
      <c r="W451" s="71"/>
      <c r="X451" s="71"/>
      <c r="Y451" s="71"/>
      <c r="Z451" s="71"/>
      <c r="AA451" s="152"/>
    </row>
    <row r="452" spans="1:27" hidden="1" outlineLevel="1">
      <c r="A452" s="215"/>
      <c r="B452" s="411"/>
      <c r="C452" s="416" t="s">
        <v>24</v>
      </c>
      <c r="D452" s="390"/>
      <c r="E452" s="390"/>
      <c r="F452" s="414"/>
      <c r="G452" s="1374"/>
      <c r="H452" s="1375"/>
      <c r="I452" s="1375">
        <f>IF(COUNT($H451:I451)='RFM input'!$V$7,SUM($G451:I451),0)</f>
        <v>0</v>
      </c>
      <c r="J452" s="1375">
        <f>IF(COUNT($H451:J451)='RFM input'!$V$7,SUM($G451:J451),0)</f>
        <v>0</v>
      </c>
      <c r="K452" s="1375">
        <f>IF(COUNT($H451:K451)='RFM input'!$V$7,SUM($G451:K451),0)</f>
        <v>0</v>
      </c>
      <c r="L452" s="1375">
        <f>IF(COUNT($H451:L451)='RFM input'!$V$7,SUM($G451:L451),0)</f>
        <v>0</v>
      </c>
      <c r="M452" s="1375">
        <f>IF(COUNT($H451:M451)='RFM input'!$V$7,SUM($G451:M451),0)</f>
        <v>0</v>
      </c>
      <c r="N452" s="1375">
        <f>IF(COUNT($H451:N451)='RFM input'!$V$7,SUM($G451:N451),0)</f>
        <v>0</v>
      </c>
      <c r="O452" s="1375">
        <f>IF(COUNT($H451:O451)='RFM input'!$V$7,SUM($G451:O451),0)</f>
        <v>0</v>
      </c>
      <c r="P452" s="1375">
        <f>IF(COUNT($H451:P451)='RFM input'!$V$7,SUM($G451:P451),0)</f>
        <v>0</v>
      </c>
      <c r="Q452" s="1375">
        <f>IF(COUNT($H451:Q451)='RFM input'!$V$7,SUM($G451:Q451),0)</f>
        <v>0</v>
      </c>
      <c r="R452" s="410"/>
      <c r="S452" s="71"/>
      <c r="T452" s="71"/>
      <c r="U452" s="71"/>
      <c r="V452" s="71"/>
      <c r="W452" s="71"/>
      <c r="X452" s="71"/>
      <c r="Y452" s="71"/>
      <c r="Z452" s="71"/>
      <c r="AA452" s="152"/>
    </row>
    <row r="453" spans="1:27" hidden="1" outlineLevel="1">
      <c r="A453" s="215">
        <f t="shared" ref="A453" si="15">A451+1</f>
        <v>12</v>
      </c>
      <c r="B453" s="411"/>
      <c r="C453" s="412">
        <f>Asset12</f>
        <v>0</v>
      </c>
      <c r="D453" s="390"/>
      <c r="E453" s="390"/>
      <c r="F453" s="414"/>
      <c r="G453" s="1374"/>
      <c r="H453" s="1375">
        <f>IF(COUNTA($G453:G453)&lt;'RFM input'!$V$7,(INDEX($G$379:$G$428,$A453,1)+(SUM($F453:G453)))*H$8,0)</f>
        <v>0</v>
      </c>
      <c r="I453" s="1375">
        <f>IF(COUNTA($G453:H453)&lt;'RFM input'!$V$7,(INDEX($G$379:$G$428,$A453,1)+(SUM($F453:H453)))*I$8,0)</f>
        <v>0</v>
      </c>
      <c r="J453" s="1375">
        <f>IF(COUNTA($G453:I453)&lt;'RFM input'!$V$7,(INDEX($G$379:$G$428,$A453,1)+(SUM($F453:I453)))*J$8,0)</f>
        <v>0</v>
      </c>
      <c r="K453" s="1375">
        <f>IF(COUNTA($G453:J453)&lt;'RFM input'!$V$7,(INDEX($G$379:$G$428,$A453,1)+(SUM($F453:J453)))*K$8,0)</f>
        <v>0</v>
      </c>
      <c r="L453" s="1375">
        <f>IF(COUNTA($G453:K453)&lt;'RFM input'!$V$7,(INDEX($G$379:$G$428,$A453,1)+(SUM($F453:K453)))*L$8,0)</f>
        <v>0</v>
      </c>
      <c r="M453" s="1375">
        <f>IF(COUNTA($G453:L453)&lt;'RFM input'!$V$7,(INDEX($G$379:$G$428,$A453,1)+(SUM($F453:L453)))*M$8,0)</f>
        <v>0</v>
      </c>
      <c r="N453" s="1375">
        <f>IF(COUNTA($G453:M453)&lt;'RFM input'!$V$7,(INDEX($G$379:$G$428,$A453,1)+(SUM($F453:M453)))*N$8,0)</f>
        <v>0</v>
      </c>
      <c r="O453" s="1375">
        <f>IF(COUNTA($G453:N453)&lt;'RFM input'!$V$7,(INDEX($G$379:$G$428,$A453,1)+(SUM($F453:N453)))*O$8,0)</f>
        <v>0</v>
      </c>
      <c r="P453" s="1375">
        <f>IF(COUNTA($G453:O453)&lt;'RFM input'!$V$7,(INDEX($G$379:$G$428,$A453,1)+(SUM($F453:O453)))*P$8,0)</f>
        <v>0</v>
      </c>
      <c r="Q453" s="1375">
        <f>IF(COUNTA($G453:P453)&lt;'RFM input'!$V$7,(INDEX($G$379:$G$428,$A453,1)+(SUM($F453:P453)))*Q$8,0)</f>
        <v>0</v>
      </c>
      <c r="R453" s="410"/>
      <c r="S453" s="71"/>
      <c r="T453" s="71"/>
      <c r="U453" s="71"/>
      <c r="V453" s="71"/>
      <c r="W453" s="71"/>
      <c r="X453" s="71"/>
      <c r="Y453" s="71"/>
      <c r="Z453" s="71"/>
      <c r="AA453" s="152"/>
    </row>
    <row r="454" spans="1:27" hidden="1" outlineLevel="1">
      <c r="A454" s="215"/>
      <c r="B454" s="411"/>
      <c r="C454" s="416" t="s">
        <v>24</v>
      </c>
      <c r="D454" s="390"/>
      <c r="E454" s="390"/>
      <c r="F454" s="414"/>
      <c r="G454" s="1374"/>
      <c r="H454" s="1375"/>
      <c r="I454" s="1375">
        <f>IF(COUNT($H453:I453)='RFM input'!$V$7,SUM($G453:I453),0)</f>
        <v>0</v>
      </c>
      <c r="J454" s="1375">
        <f>IF(COUNT($H453:J453)='RFM input'!$V$7,SUM($G453:J453),0)</f>
        <v>0</v>
      </c>
      <c r="K454" s="1375">
        <f>IF(COUNT($H453:K453)='RFM input'!$V$7,SUM($G453:K453),0)</f>
        <v>0</v>
      </c>
      <c r="L454" s="1375">
        <f>IF(COUNT($H453:L453)='RFM input'!$V$7,SUM($G453:L453),0)</f>
        <v>0</v>
      </c>
      <c r="M454" s="1375">
        <f>IF(COUNT($H453:M453)='RFM input'!$V$7,SUM($G453:M453),0)</f>
        <v>0</v>
      </c>
      <c r="N454" s="1375">
        <f>IF(COUNT($H453:N453)='RFM input'!$V$7,SUM($G453:N453),0)</f>
        <v>0</v>
      </c>
      <c r="O454" s="1375">
        <f>IF(COUNT($H453:O453)='RFM input'!$V$7,SUM($G453:O453),0)</f>
        <v>0</v>
      </c>
      <c r="P454" s="1375">
        <f>IF(COUNT($H453:P453)='RFM input'!$V$7,SUM($G453:P453),0)</f>
        <v>0</v>
      </c>
      <c r="Q454" s="1375">
        <f>IF(COUNT($H453:Q453)='RFM input'!$V$7,SUM($G453:Q453),0)</f>
        <v>0</v>
      </c>
      <c r="R454" s="410"/>
      <c r="S454" s="71"/>
      <c r="T454" s="71"/>
      <c r="U454" s="71"/>
      <c r="V454" s="71"/>
      <c r="W454" s="71"/>
      <c r="X454" s="71"/>
      <c r="Y454" s="71"/>
      <c r="Z454" s="71"/>
      <c r="AA454" s="152"/>
    </row>
    <row r="455" spans="1:27" hidden="1" outlineLevel="1">
      <c r="A455" s="215">
        <f t="shared" ref="A455" si="16">A453+1</f>
        <v>13</v>
      </c>
      <c r="B455" s="411"/>
      <c r="C455" s="412">
        <f>Asset13</f>
        <v>0</v>
      </c>
      <c r="D455" s="390"/>
      <c r="E455" s="390"/>
      <c r="F455" s="414"/>
      <c r="G455" s="1374"/>
      <c r="H455" s="1375">
        <f>IF(COUNTA($G455:G455)&lt;'RFM input'!$V$7,(INDEX($G$379:$G$428,$A455,1)+(SUM($F455:G455)))*H$8,0)</f>
        <v>0</v>
      </c>
      <c r="I455" s="1375">
        <f>IF(COUNTA($G455:H455)&lt;'RFM input'!$V$7,(INDEX($G$379:$G$428,$A455,1)+(SUM($F455:H455)))*I$8,0)</f>
        <v>0</v>
      </c>
      <c r="J455" s="1375">
        <f>IF(COUNTA($G455:I455)&lt;'RFM input'!$V$7,(INDEX($G$379:$G$428,$A455,1)+(SUM($F455:I455)))*J$8,0)</f>
        <v>0</v>
      </c>
      <c r="K455" s="1375">
        <f>IF(COUNTA($G455:J455)&lt;'RFM input'!$V$7,(INDEX($G$379:$G$428,$A455,1)+(SUM($F455:J455)))*K$8,0)</f>
        <v>0</v>
      </c>
      <c r="L455" s="1375">
        <f>IF(COUNTA($G455:K455)&lt;'RFM input'!$V$7,(INDEX($G$379:$G$428,$A455,1)+(SUM($F455:K455)))*L$8,0)</f>
        <v>0</v>
      </c>
      <c r="M455" s="1375">
        <f>IF(COUNTA($G455:L455)&lt;'RFM input'!$V$7,(INDEX($G$379:$G$428,$A455,1)+(SUM($F455:L455)))*M$8,0)</f>
        <v>0</v>
      </c>
      <c r="N455" s="1375">
        <f>IF(COUNTA($G455:M455)&lt;'RFM input'!$V$7,(INDEX($G$379:$G$428,$A455,1)+(SUM($F455:M455)))*N$8,0)</f>
        <v>0</v>
      </c>
      <c r="O455" s="1375">
        <f>IF(COUNTA($G455:N455)&lt;'RFM input'!$V$7,(INDEX($G$379:$G$428,$A455,1)+(SUM($F455:N455)))*O$8,0)</f>
        <v>0</v>
      </c>
      <c r="P455" s="1375">
        <f>IF(COUNTA($G455:O455)&lt;'RFM input'!$V$7,(INDEX($G$379:$G$428,$A455,1)+(SUM($F455:O455)))*P$8,0)</f>
        <v>0</v>
      </c>
      <c r="Q455" s="1375">
        <f>IF(COUNTA($G455:P455)&lt;'RFM input'!$V$7,(INDEX($G$379:$G$428,$A455,1)+(SUM($F455:P455)))*Q$8,0)</f>
        <v>0</v>
      </c>
      <c r="R455" s="410"/>
      <c r="S455" s="71"/>
      <c r="T455" s="71"/>
      <c r="U455" s="71"/>
      <c r="V455" s="71"/>
      <c r="W455" s="71"/>
      <c r="X455" s="71"/>
      <c r="Y455" s="71"/>
      <c r="Z455" s="71"/>
      <c r="AA455" s="152"/>
    </row>
    <row r="456" spans="1:27" hidden="1" outlineLevel="1">
      <c r="A456" s="215"/>
      <c r="B456" s="411"/>
      <c r="C456" s="416" t="s">
        <v>24</v>
      </c>
      <c r="D456" s="390"/>
      <c r="E456" s="390"/>
      <c r="F456" s="414"/>
      <c r="G456" s="1374"/>
      <c r="H456" s="1375"/>
      <c r="I456" s="1375">
        <f>IF(COUNT($H455:I455)='RFM input'!$V$7,SUM($G455:I455),0)</f>
        <v>0</v>
      </c>
      <c r="J456" s="1375">
        <f>IF(COUNT($H455:J455)='RFM input'!$V$7,SUM($G455:J455),0)</f>
        <v>0</v>
      </c>
      <c r="K456" s="1375">
        <f>IF(COUNT($H455:K455)='RFM input'!$V$7,SUM($G455:K455),0)</f>
        <v>0</v>
      </c>
      <c r="L456" s="1375">
        <f>IF(COUNT($H455:L455)='RFM input'!$V$7,SUM($G455:L455),0)</f>
        <v>0</v>
      </c>
      <c r="M456" s="1375">
        <f>IF(COUNT($H455:M455)='RFM input'!$V$7,SUM($G455:M455),0)</f>
        <v>0</v>
      </c>
      <c r="N456" s="1375">
        <f>IF(COUNT($H455:N455)='RFM input'!$V$7,SUM($G455:N455),0)</f>
        <v>0</v>
      </c>
      <c r="O456" s="1375">
        <f>IF(COUNT($H455:O455)='RFM input'!$V$7,SUM($G455:O455),0)</f>
        <v>0</v>
      </c>
      <c r="P456" s="1375">
        <f>IF(COUNT($H455:P455)='RFM input'!$V$7,SUM($G455:P455),0)</f>
        <v>0</v>
      </c>
      <c r="Q456" s="1375">
        <f>IF(COUNT($H455:Q455)='RFM input'!$V$7,SUM($G455:Q455),0)</f>
        <v>0</v>
      </c>
      <c r="R456" s="410"/>
      <c r="S456" s="71"/>
      <c r="T456" s="71"/>
      <c r="U456" s="71"/>
      <c r="V456" s="71"/>
      <c r="W456" s="71"/>
      <c r="X456" s="71"/>
      <c r="Y456" s="71"/>
      <c r="Z456" s="71"/>
      <c r="AA456" s="152"/>
    </row>
    <row r="457" spans="1:27" hidden="1" outlineLevel="1">
      <c r="A457" s="215">
        <f t="shared" ref="A457" si="17">A455+1</f>
        <v>14</v>
      </c>
      <c r="B457" s="411"/>
      <c r="C457" s="412">
        <f>Asset14</f>
        <v>0</v>
      </c>
      <c r="D457" s="390"/>
      <c r="E457" s="390"/>
      <c r="F457" s="414"/>
      <c r="G457" s="1374"/>
      <c r="H457" s="1375">
        <f>IF(COUNTA($G457:G457)&lt;'RFM input'!$V$7,(INDEX($G$379:$G$428,$A457,1)+(SUM($F457:G457)))*H$8,0)</f>
        <v>0</v>
      </c>
      <c r="I457" s="1375">
        <f>IF(COUNTA($G457:H457)&lt;'RFM input'!$V$7,(INDEX($G$379:$G$428,$A457,1)+(SUM($F457:H457)))*I$8,0)</f>
        <v>0</v>
      </c>
      <c r="J457" s="1375">
        <f>IF(COUNTA($G457:I457)&lt;'RFM input'!$V$7,(INDEX($G$379:$G$428,$A457,1)+(SUM($F457:I457)))*J$8,0)</f>
        <v>0</v>
      </c>
      <c r="K457" s="1375">
        <f>IF(COUNTA($G457:J457)&lt;'RFM input'!$V$7,(INDEX($G$379:$G$428,$A457,1)+(SUM($F457:J457)))*K$8,0)</f>
        <v>0</v>
      </c>
      <c r="L457" s="1375">
        <f>IF(COUNTA($G457:K457)&lt;'RFM input'!$V$7,(INDEX($G$379:$G$428,$A457,1)+(SUM($F457:K457)))*L$8,0)</f>
        <v>0</v>
      </c>
      <c r="M457" s="1375">
        <f>IF(COUNTA($G457:L457)&lt;'RFM input'!$V$7,(INDEX($G$379:$G$428,$A457,1)+(SUM($F457:L457)))*M$8,0)</f>
        <v>0</v>
      </c>
      <c r="N457" s="1375">
        <f>IF(COUNTA($G457:M457)&lt;'RFM input'!$V$7,(INDEX($G$379:$G$428,$A457,1)+(SUM($F457:M457)))*N$8,0)</f>
        <v>0</v>
      </c>
      <c r="O457" s="1375">
        <f>IF(COUNTA($G457:N457)&lt;'RFM input'!$V$7,(INDEX($G$379:$G$428,$A457,1)+(SUM($F457:N457)))*O$8,0)</f>
        <v>0</v>
      </c>
      <c r="P457" s="1375">
        <f>IF(COUNTA($G457:O457)&lt;'RFM input'!$V$7,(INDEX($G$379:$G$428,$A457,1)+(SUM($F457:O457)))*P$8,0)</f>
        <v>0</v>
      </c>
      <c r="Q457" s="1375">
        <f>IF(COUNTA($G457:P457)&lt;'RFM input'!$V$7,(INDEX($G$379:$G$428,$A457,1)+(SUM($F457:P457)))*Q$8,0)</f>
        <v>0</v>
      </c>
      <c r="R457" s="410"/>
      <c r="S457" s="71"/>
      <c r="T457" s="71"/>
      <c r="U457" s="71"/>
      <c r="V457" s="71"/>
      <c r="W457" s="71"/>
      <c r="X457" s="71"/>
      <c r="Y457" s="71"/>
      <c r="Z457" s="71"/>
      <c r="AA457" s="152"/>
    </row>
    <row r="458" spans="1:27" hidden="1" outlineLevel="1">
      <c r="A458" s="215"/>
      <c r="B458" s="411"/>
      <c r="C458" s="416" t="s">
        <v>24</v>
      </c>
      <c r="D458" s="390"/>
      <c r="E458" s="390"/>
      <c r="F458" s="414"/>
      <c r="G458" s="1374"/>
      <c r="H458" s="1375"/>
      <c r="I458" s="1375">
        <f>IF(COUNT($H457:I457)='RFM input'!$V$7,SUM($G457:I457),0)</f>
        <v>0</v>
      </c>
      <c r="J458" s="1375">
        <f>IF(COUNT($H457:J457)='RFM input'!$V$7,SUM($G457:J457),0)</f>
        <v>0</v>
      </c>
      <c r="K458" s="1375">
        <f>IF(COUNT($H457:K457)='RFM input'!$V$7,SUM($G457:K457),0)</f>
        <v>0</v>
      </c>
      <c r="L458" s="1375">
        <f>IF(COUNT($H457:L457)='RFM input'!$V$7,SUM($G457:L457),0)</f>
        <v>0</v>
      </c>
      <c r="M458" s="1375">
        <f>IF(COUNT($H457:M457)='RFM input'!$V$7,SUM($G457:M457),0)</f>
        <v>0</v>
      </c>
      <c r="N458" s="1375">
        <f>IF(COUNT($H457:N457)='RFM input'!$V$7,SUM($G457:N457),0)</f>
        <v>0</v>
      </c>
      <c r="O458" s="1375">
        <f>IF(COUNT($H457:O457)='RFM input'!$V$7,SUM($G457:O457),0)</f>
        <v>0</v>
      </c>
      <c r="P458" s="1375">
        <f>IF(COUNT($H457:P457)='RFM input'!$V$7,SUM($G457:P457),0)</f>
        <v>0</v>
      </c>
      <c r="Q458" s="1375">
        <f>IF(COUNT($H457:Q457)='RFM input'!$V$7,SUM($G457:Q457),0)</f>
        <v>0</v>
      </c>
      <c r="R458" s="410"/>
      <c r="S458" s="71"/>
      <c r="T458" s="71"/>
      <c r="U458" s="71"/>
      <c r="V458" s="71"/>
      <c r="W458" s="71"/>
      <c r="X458" s="71"/>
      <c r="Y458" s="71"/>
      <c r="Z458" s="71"/>
      <c r="AA458" s="152"/>
    </row>
    <row r="459" spans="1:27" hidden="1" outlineLevel="1">
      <c r="A459" s="215">
        <f t="shared" ref="A459" si="18">A457+1</f>
        <v>15</v>
      </c>
      <c r="B459" s="411"/>
      <c r="C459" s="412">
        <f>Asset15</f>
        <v>0</v>
      </c>
      <c r="D459" s="390"/>
      <c r="E459" s="390"/>
      <c r="F459" s="414"/>
      <c r="G459" s="1374"/>
      <c r="H459" s="1375">
        <f>IF(COUNTA($G459:G459)&lt;'RFM input'!$V$7,(INDEX($G$379:$G$428,$A459,1)+(SUM($F459:G459)))*H$8,0)</f>
        <v>0</v>
      </c>
      <c r="I459" s="1375">
        <f>IF(COUNTA($G459:H459)&lt;'RFM input'!$V$7,(INDEX($G$379:$G$428,$A459,1)+(SUM($F459:H459)))*I$8,0)</f>
        <v>0</v>
      </c>
      <c r="J459" s="1375">
        <f>IF(COUNTA($G459:I459)&lt;'RFM input'!$V$7,(INDEX($G$379:$G$428,$A459,1)+(SUM($F459:I459)))*J$8,0)</f>
        <v>0</v>
      </c>
      <c r="K459" s="1375">
        <f>IF(COUNTA($G459:J459)&lt;'RFM input'!$V$7,(INDEX($G$379:$G$428,$A459,1)+(SUM($F459:J459)))*K$8,0)</f>
        <v>0</v>
      </c>
      <c r="L459" s="1375">
        <f>IF(COUNTA($G459:K459)&lt;'RFM input'!$V$7,(INDEX($G$379:$G$428,$A459,1)+(SUM($F459:K459)))*L$8,0)</f>
        <v>0</v>
      </c>
      <c r="M459" s="1375">
        <f>IF(COUNTA($G459:L459)&lt;'RFM input'!$V$7,(INDEX($G$379:$G$428,$A459,1)+(SUM($F459:L459)))*M$8,0)</f>
        <v>0</v>
      </c>
      <c r="N459" s="1375">
        <f>IF(COUNTA($G459:M459)&lt;'RFM input'!$V$7,(INDEX($G$379:$G$428,$A459,1)+(SUM($F459:M459)))*N$8,0)</f>
        <v>0</v>
      </c>
      <c r="O459" s="1375">
        <f>IF(COUNTA($G459:N459)&lt;'RFM input'!$V$7,(INDEX($G$379:$G$428,$A459,1)+(SUM($F459:N459)))*O$8,0)</f>
        <v>0</v>
      </c>
      <c r="P459" s="1375">
        <f>IF(COUNTA($G459:O459)&lt;'RFM input'!$V$7,(INDEX($G$379:$G$428,$A459,1)+(SUM($F459:O459)))*P$8,0)</f>
        <v>0</v>
      </c>
      <c r="Q459" s="1375">
        <f>IF(COUNTA($G459:P459)&lt;'RFM input'!$V$7,(INDEX($G$379:$G$428,$A459,1)+(SUM($F459:P459)))*Q$8,0)</f>
        <v>0</v>
      </c>
      <c r="R459" s="410"/>
      <c r="S459" s="71"/>
      <c r="T459" s="71"/>
      <c r="U459" s="71"/>
      <c r="V459" s="71"/>
      <c r="W459" s="71"/>
      <c r="X459" s="71"/>
      <c r="Y459" s="71"/>
      <c r="Z459" s="71"/>
      <c r="AA459" s="152"/>
    </row>
    <row r="460" spans="1:27" hidden="1" outlineLevel="1">
      <c r="A460" s="215"/>
      <c r="B460" s="411"/>
      <c r="C460" s="416" t="s">
        <v>24</v>
      </c>
      <c r="D460" s="390"/>
      <c r="E460" s="390"/>
      <c r="F460" s="414"/>
      <c r="G460" s="1374"/>
      <c r="H460" s="1375"/>
      <c r="I460" s="1375">
        <f>IF(COUNT($H459:I459)='RFM input'!$V$7,SUM($G459:I459),0)</f>
        <v>0</v>
      </c>
      <c r="J460" s="1375">
        <f>IF(COUNT($H459:J459)='RFM input'!$V$7,SUM($G459:J459),0)</f>
        <v>0</v>
      </c>
      <c r="K460" s="1375">
        <f>IF(COUNT($H459:K459)='RFM input'!$V$7,SUM($G459:K459),0)</f>
        <v>0</v>
      </c>
      <c r="L460" s="1375">
        <f>IF(COUNT($H459:L459)='RFM input'!$V$7,SUM($G459:L459),0)</f>
        <v>0</v>
      </c>
      <c r="M460" s="1375">
        <f>IF(COUNT($H459:M459)='RFM input'!$V$7,SUM($G459:M459),0)</f>
        <v>0</v>
      </c>
      <c r="N460" s="1375">
        <f>IF(COUNT($H459:N459)='RFM input'!$V$7,SUM($G459:N459),0)</f>
        <v>0</v>
      </c>
      <c r="O460" s="1375">
        <f>IF(COUNT($H459:O459)='RFM input'!$V$7,SUM($G459:O459),0)</f>
        <v>0</v>
      </c>
      <c r="P460" s="1375">
        <f>IF(COUNT($H459:P459)='RFM input'!$V$7,SUM($G459:P459),0)</f>
        <v>0</v>
      </c>
      <c r="Q460" s="1375">
        <f>IF(COUNT($H459:Q459)='RFM input'!$V$7,SUM($G459:Q459),0)</f>
        <v>0</v>
      </c>
      <c r="R460" s="410"/>
      <c r="S460" s="71"/>
      <c r="T460" s="71"/>
      <c r="U460" s="71"/>
      <c r="V460" s="71"/>
      <c r="W460" s="71"/>
      <c r="X460" s="71"/>
      <c r="Y460" s="71"/>
      <c r="Z460" s="71"/>
      <c r="AA460" s="152"/>
    </row>
    <row r="461" spans="1:27" hidden="1" outlineLevel="1">
      <c r="A461" s="215">
        <f t="shared" ref="A461" si="19">A459+1</f>
        <v>16</v>
      </c>
      <c r="B461" s="411"/>
      <c r="C461" s="412">
        <f>Asset16</f>
        <v>0</v>
      </c>
      <c r="D461" s="390"/>
      <c r="E461" s="390"/>
      <c r="F461" s="414"/>
      <c r="G461" s="1374"/>
      <c r="H461" s="1375">
        <f>IF(COUNTA($G461:G461)&lt;'RFM input'!$V$7,(INDEX($G$379:$G$428,$A461,1)+(SUM($F461:G461)))*H$8,0)</f>
        <v>0</v>
      </c>
      <c r="I461" s="1375">
        <f>IF(COUNTA($G461:H461)&lt;'RFM input'!$V$7,(INDEX($G$379:$G$428,$A461,1)+(SUM($F461:H461)))*I$8,0)</f>
        <v>0</v>
      </c>
      <c r="J461" s="1375">
        <f>IF(COUNTA($G461:I461)&lt;'RFM input'!$V$7,(INDEX($G$379:$G$428,$A461,1)+(SUM($F461:I461)))*J$8,0)</f>
        <v>0</v>
      </c>
      <c r="K461" s="1375">
        <f>IF(COUNTA($G461:J461)&lt;'RFM input'!$V$7,(INDEX($G$379:$G$428,$A461,1)+(SUM($F461:J461)))*K$8,0)</f>
        <v>0</v>
      </c>
      <c r="L461" s="1375">
        <f>IF(COUNTA($G461:K461)&lt;'RFM input'!$V$7,(INDEX($G$379:$G$428,$A461,1)+(SUM($F461:K461)))*L$8,0)</f>
        <v>0</v>
      </c>
      <c r="M461" s="1375">
        <f>IF(COUNTA($G461:L461)&lt;'RFM input'!$V$7,(INDEX($G$379:$G$428,$A461,1)+(SUM($F461:L461)))*M$8,0)</f>
        <v>0</v>
      </c>
      <c r="N461" s="1375">
        <f>IF(COUNTA($G461:M461)&lt;'RFM input'!$V$7,(INDEX($G$379:$G$428,$A461,1)+(SUM($F461:M461)))*N$8,0)</f>
        <v>0</v>
      </c>
      <c r="O461" s="1375">
        <f>IF(COUNTA($G461:N461)&lt;'RFM input'!$V$7,(INDEX($G$379:$G$428,$A461,1)+(SUM($F461:N461)))*O$8,0)</f>
        <v>0</v>
      </c>
      <c r="P461" s="1375">
        <f>IF(COUNTA($G461:O461)&lt;'RFM input'!$V$7,(INDEX($G$379:$G$428,$A461,1)+(SUM($F461:O461)))*P$8,0)</f>
        <v>0</v>
      </c>
      <c r="Q461" s="1375">
        <f>IF(COUNTA($G461:P461)&lt;'RFM input'!$V$7,(INDEX($G$379:$G$428,$A461,1)+(SUM($F461:P461)))*Q$8,0)</f>
        <v>0</v>
      </c>
      <c r="R461" s="410"/>
      <c r="S461" s="71"/>
      <c r="T461" s="71"/>
      <c r="U461" s="71"/>
      <c r="V461" s="71"/>
      <c r="W461" s="71"/>
      <c r="X461" s="71"/>
      <c r="Y461" s="71"/>
      <c r="Z461" s="71"/>
      <c r="AA461" s="152"/>
    </row>
    <row r="462" spans="1:27" hidden="1" outlineLevel="1">
      <c r="A462" s="215"/>
      <c r="B462" s="411"/>
      <c r="C462" s="416" t="s">
        <v>24</v>
      </c>
      <c r="D462" s="390"/>
      <c r="E462" s="390"/>
      <c r="F462" s="414"/>
      <c r="G462" s="1374"/>
      <c r="H462" s="1375"/>
      <c r="I462" s="1375">
        <f>IF(COUNT($H461:I461)='RFM input'!$V$7,SUM($G461:I461),0)</f>
        <v>0</v>
      </c>
      <c r="J462" s="1375">
        <f>IF(COUNT($H461:J461)='RFM input'!$V$7,SUM($G461:J461),0)</f>
        <v>0</v>
      </c>
      <c r="K462" s="1375">
        <f>IF(COUNT($H461:K461)='RFM input'!$V$7,SUM($G461:K461),0)</f>
        <v>0</v>
      </c>
      <c r="L462" s="1375">
        <f>IF(COUNT($H461:L461)='RFM input'!$V$7,SUM($G461:L461),0)</f>
        <v>0</v>
      </c>
      <c r="M462" s="1375">
        <f>IF(COUNT($H461:M461)='RFM input'!$V$7,SUM($G461:M461),0)</f>
        <v>0</v>
      </c>
      <c r="N462" s="1375">
        <f>IF(COUNT($H461:N461)='RFM input'!$V$7,SUM($G461:N461),0)</f>
        <v>0</v>
      </c>
      <c r="O462" s="1375">
        <f>IF(COUNT($H461:O461)='RFM input'!$V$7,SUM($G461:O461),0)</f>
        <v>0</v>
      </c>
      <c r="P462" s="1375">
        <f>IF(COUNT($H461:P461)='RFM input'!$V$7,SUM($G461:P461),0)</f>
        <v>0</v>
      </c>
      <c r="Q462" s="1375">
        <f>IF(COUNT($H461:Q461)='RFM input'!$V$7,SUM($G461:Q461),0)</f>
        <v>0</v>
      </c>
      <c r="R462" s="410"/>
      <c r="S462" s="71"/>
      <c r="T462" s="71"/>
      <c r="U462" s="71"/>
      <c r="V462" s="71"/>
      <c r="W462" s="71"/>
      <c r="X462" s="71"/>
      <c r="Y462" s="71"/>
      <c r="Z462" s="71"/>
      <c r="AA462" s="152"/>
    </row>
    <row r="463" spans="1:27" hidden="1" outlineLevel="1">
      <c r="A463" s="215">
        <f t="shared" ref="A463" si="20">A461+1</f>
        <v>17</v>
      </c>
      <c r="B463" s="411"/>
      <c r="C463" s="412">
        <f>Asset17</f>
        <v>0</v>
      </c>
      <c r="D463" s="390"/>
      <c r="E463" s="390"/>
      <c r="F463" s="414"/>
      <c r="G463" s="1374"/>
      <c r="H463" s="1375">
        <f>IF(COUNTA($G463:G463)&lt;'RFM input'!$V$7,(INDEX($G$379:$G$428,$A463,1)+(SUM($F463:G463)))*H$8,0)</f>
        <v>0</v>
      </c>
      <c r="I463" s="1375">
        <f>IF(COUNTA($G463:H463)&lt;'RFM input'!$V$7,(INDEX($G$379:$G$428,$A463,1)+(SUM($F463:H463)))*I$8,0)</f>
        <v>0</v>
      </c>
      <c r="J463" s="1375">
        <f>IF(COUNTA($G463:I463)&lt;'RFM input'!$V$7,(INDEX($G$379:$G$428,$A463,1)+(SUM($F463:I463)))*J$8,0)</f>
        <v>0</v>
      </c>
      <c r="K463" s="1375">
        <f>IF(COUNTA($G463:J463)&lt;'RFM input'!$V$7,(INDEX($G$379:$G$428,$A463,1)+(SUM($F463:J463)))*K$8,0)</f>
        <v>0</v>
      </c>
      <c r="L463" s="1375">
        <f>IF(COUNTA($G463:K463)&lt;'RFM input'!$V$7,(INDEX($G$379:$G$428,$A463,1)+(SUM($F463:K463)))*L$8,0)</f>
        <v>0</v>
      </c>
      <c r="M463" s="1375">
        <f>IF(COUNTA($G463:L463)&lt;'RFM input'!$V$7,(INDEX($G$379:$G$428,$A463,1)+(SUM($F463:L463)))*M$8,0)</f>
        <v>0</v>
      </c>
      <c r="N463" s="1375">
        <f>IF(COUNTA($G463:M463)&lt;'RFM input'!$V$7,(INDEX($G$379:$G$428,$A463,1)+(SUM($F463:M463)))*N$8,0)</f>
        <v>0</v>
      </c>
      <c r="O463" s="1375">
        <f>IF(COUNTA($G463:N463)&lt;'RFM input'!$V$7,(INDEX($G$379:$G$428,$A463,1)+(SUM($F463:N463)))*O$8,0)</f>
        <v>0</v>
      </c>
      <c r="P463" s="1375">
        <f>IF(COUNTA($G463:O463)&lt;'RFM input'!$V$7,(INDEX($G$379:$G$428,$A463,1)+(SUM($F463:O463)))*P$8,0)</f>
        <v>0</v>
      </c>
      <c r="Q463" s="1375">
        <f>IF(COUNTA($G463:P463)&lt;'RFM input'!$V$7,(INDEX($G$379:$G$428,$A463,1)+(SUM($F463:P463)))*Q$8,0)</f>
        <v>0</v>
      </c>
      <c r="R463" s="410"/>
      <c r="S463" s="71"/>
      <c r="T463" s="71"/>
      <c r="U463" s="71"/>
      <c r="V463" s="71"/>
      <c r="W463" s="71"/>
      <c r="X463" s="71"/>
      <c r="Y463" s="71"/>
      <c r="Z463" s="71"/>
      <c r="AA463" s="152"/>
    </row>
    <row r="464" spans="1:27" hidden="1" outlineLevel="1">
      <c r="A464" s="215"/>
      <c r="B464" s="411"/>
      <c r="C464" s="416" t="s">
        <v>24</v>
      </c>
      <c r="D464" s="390"/>
      <c r="E464" s="390"/>
      <c r="F464" s="414"/>
      <c r="G464" s="1374"/>
      <c r="H464" s="1375"/>
      <c r="I464" s="1375">
        <f>IF(COUNT($H463:I463)='RFM input'!$V$7,SUM($G463:I463),0)</f>
        <v>0</v>
      </c>
      <c r="J464" s="1375">
        <f>IF(COUNT($H463:J463)='RFM input'!$V$7,SUM($G463:J463),0)</f>
        <v>0</v>
      </c>
      <c r="K464" s="1375">
        <f>IF(COUNT($H463:K463)='RFM input'!$V$7,SUM($G463:K463),0)</f>
        <v>0</v>
      </c>
      <c r="L464" s="1375">
        <f>IF(COUNT($H463:L463)='RFM input'!$V$7,SUM($G463:L463),0)</f>
        <v>0</v>
      </c>
      <c r="M464" s="1375">
        <f>IF(COUNT($H463:M463)='RFM input'!$V$7,SUM($G463:M463),0)</f>
        <v>0</v>
      </c>
      <c r="N464" s="1375">
        <f>IF(COUNT($H463:N463)='RFM input'!$V$7,SUM($G463:N463),0)</f>
        <v>0</v>
      </c>
      <c r="O464" s="1375">
        <f>IF(COUNT($H463:O463)='RFM input'!$V$7,SUM($G463:O463),0)</f>
        <v>0</v>
      </c>
      <c r="P464" s="1375">
        <f>IF(COUNT($H463:P463)='RFM input'!$V$7,SUM($G463:P463),0)</f>
        <v>0</v>
      </c>
      <c r="Q464" s="1375">
        <f>IF(COUNT($H463:Q463)='RFM input'!$V$7,SUM($G463:Q463),0)</f>
        <v>0</v>
      </c>
      <c r="R464" s="410"/>
      <c r="S464" s="71"/>
      <c r="T464" s="71"/>
      <c r="U464" s="71"/>
      <c r="V464" s="71"/>
      <c r="W464" s="71"/>
      <c r="X464" s="71"/>
      <c r="Y464" s="71"/>
      <c r="Z464" s="71"/>
      <c r="AA464" s="152"/>
    </row>
    <row r="465" spans="1:27" hidden="1" outlineLevel="1">
      <c r="A465" s="215">
        <f t="shared" ref="A465" si="21">A463+1</f>
        <v>18</v>
      </c>
      <c r="B465" s="411"/>
      <c r="C465" s="412">
        <f>Asset18</f>
        <v>0</v>
      </c>
      <c r="D465" s="390"/>
      <c r="E465" s="390"/>
      <c r="F465" s="414"/>
      <c r="G465" s="1374"/>
      <c r="H465" s="1375">
        <f>IF(COUNTA($G465:G465)&lt;'RFM input'!$V$7,(INDEX($G$379:$G$428,$A465,1)+(SUM($F465:G465)))*H$8,0)</f>
        <v>0</v>
      </c>
      <c r="I465" s="1375">
        <f>IF(COUNTA($G465:H465)&lt;'RFM input'!$V$7,(INDEX($G$379:$G$428,$A465,1)+(SUM($F465:H465)))*I$8,0)</f>
        <v>0</v>
      </c>
      <c r="J465" s="1375">
        <f>IF(COUNTA($G465:I465)&lt;'RFM input'!$V$7,(INDEX($G$379:$G$428,$A465,1)+(SUM($F465:I465)))*J$8,0)</f>
        <v>0</v>
      </c>
      <c r="K465" s="1375">
        <f>IF(COUNTA($G465:J465)&lt;'RFM input'!$V$7,(INDEX($G$379:$G$428,$A465,1)+(SUM($F465:J465)))*K$8,0)</f>
        <v>0</v>
      </c>
      <c r="L465" s="1375">
        <f>IF(COUNTA($G465:K465)&lt;'RFM input'!$V$7,(INDEX($G$379:$G$428,$A465,1)+(SUM($F465:K465)))*L$8,0)</f>
        <v>0</v>
      </c>
      <c r="M465" s="1375">
        <f>IF(COUNTA($G465:L465)&lt;'RFM input'!$V$7,(INDEX($G$379:$G$428,$A465,1)+(SUM($F465:L465)))*M$8,0)</f>
        <v>0</v>
      </c>
      <c r="N465" s="1375">
        <f>IF(COUNTA($G465:M465)&lt;'RFM input'!$V$7,(INDEX($G$379:$G$428,$A465,1)+(SUM($F465:M465)))*N$8,0)</f>
        <v>0</v>
      </c>
      <c r="O465" s="1375">
        <f>IF(COUNTA($G465:N465)&lt;'RFM input'!$V$7,(INDEX($G$379:$G$428,$A465,1)+(SUM($F465:N465)))*O$8,0)</f>
        <v>0</v>
      </c>
      <c r="P465" s="1375">
        <f>IF(COUNTA($G465:O465)&lt;'RFM input'!$V$7,(INDEX($G$379:$G$428,$A465,1)+(SUM($F465:O465)))*P$8,0)</f>
        <v>0</v>
      </c>
      <c r="Q465" s="1375">
        <f>IF(COUNTA($G465:P465)&lt;'RFM input'!$V$7,(INDEX($G$379:$G$428,$A465,1)+(SUM($F465:P465)))*Q$8,0)</f>
        <v>0</v>
      </c>
      <c r="R465" s="410"/>
      <c r="S465" s="71"/>
      <c r="T465" s="71"/>
      <c r="U465" s="71"/>
      <c r="V465" s="71"/>
      <c r="W465" s="71"/>
      <c r="X465" s="71"/>
      <c r="Y465" s="71"/>
      <c r="Z465" s="71"/>
      <c r="AA465" s="152"/>
    </row>
    <row r="466" spans="1:27" hidden="1" outlineLevel="1">
      <c r="A466" s="215"/>
      <c r="B466" s="411"/>
      <c r="C466" s="416" t="s">
        <v>24</v>
      </c>
      <c r="D466" s="390"/>
      <c r="E466" s="390"/>
      <c r="F466" s="414"/>
      <c r="G466" s="1374"/>
      <c r="H466" s="1375"/>
      <c r="I466" s="1375">
        <f>IF(COUNT($H465:I465)='RFM input'!$V$7,SUM($G465:I465),0)</f>
        <v>0</v>
      </c>
      <c r="J466" s="1375">
        <f>IF(COUNT($H465:J465)='RFM input'!$V$7,SUM($G465:J465),0)</f>
        <v>0</v>
      </c>
      <c r="K466" s="1375">
        <f>IF(COUNT($H465:K465)='RFM input'!$V$7,SUM($G465:K465),0)</f>
        <v>0</v>
      </c>
      <c r="L466" s="1375">
        <f>IF(COUNT($H465:L465)='RFM input'!$V$7,SUM($G465:L465),0)</f>
        <v>0</v>
      </c>
      <c r="M466" s="1375">
        <f>IF(COUNT($H465:M465)='RFM input'!$V$7,SUM($G465:M465),0)</f>
        <v>0</v>
      </c>
      <c r="N466" s="1375">
        <f>IF(COUNT($H465:N465)='RFM input'!$V$7,SUM($G465:N465),0)</f>
        <v>0</v>
      </c>
      <c r="O466" s="1375">
        <f>IF(COUNT($H465:O465)='RFM input'!$V$7,SUM($G465:O465),0)</f>
        <v>0</v>
      </c>
      <c r="P466" s="1375">
        <f>IF(COUNT($H465:P465)='RFM input'!$V$7,SUM($G465:P465),0)</f>
        <v>0</v>
      </c>
      <c r="Q466" s="1375">
        <f>IF(COUNT($H465:Q465)='RFM input'!$V$7,SUM($G465:Q465),0)</f>
        <v>0</v>
      </c>
      <c r="R466" s="410"/>
      <c r="S466" s="71"/>
      <c r="T466" s="71"/>
      <c r="U466" s="71"/>
      <c r="V466" s="71"/>
      <c r="W466" s="71"/>
      <c r="X466" s="71"/>
      <c r="Y466" s="71"/>
      <c r="Z466" s="71"/>
      <c r="AA466" s="152"/>
    </row>
    <row r="467" spans="1:27" hidden="1" outlineLevel="1">
      <c r="A467" s="215">
        <f t="shared" ref="A467" si="22">A465+1</f>
        <v>19</v>
      </c>
      <c r="B467" s="411"/>
      <c r="C467" s="412">
        <f>Asset19</f>
        <v>0</v>
      </c>
      <c r="D467" s="390"/>
      <c r="E467" s="390"/>
      <c r="F467" s="414"/>
      <c r="G467" s="1374"/>
      <c r="H467" s="1375">
        <f>IF(COUNTA($G467:G467)&lt;'RFM input'!$V$7,(INDEX($G$379:$G$428,$A467,1)+(SUM($F467:G467)))*H$8,0)</f>
        <v>0</v>
      </c>
      <c r="I467" s="1375">
        <f>IF(COUNTA($G467:H467)&lt;'RFM input'!$V$7,(INDEX($G$379:$G$428,$A467,1)+(SUM($F467:H467)))*I$8,0)</f>
        <v>0</v>
      </c>
      <c r="J467" s="1375">
        <f>IF(COUNTA($G467:I467)&lt;'RFM input'!$V$7,(INDEX($G$379:$G$428,$A467,1)+(SUM($F467:I467)))*J$8,0)</f>
        <v>0</v>
      </c>
      <c r="K467" s="1375">
        <f>IF(COUNTA($G467:J467)&lt;'RFM input'!$V$7,(INDEX($G$379:$G$428,$A467,1)+(SUM($F467:J467)))*K$8,0)</f>
        <v>0</v>
      </c>
      <c r="L467" s="1375">
        <f>IF(COUNTA($G467:K467)&lt;'RFM input'!$V$7,(INDEX($G$379:$G$428,$A467,1)+(SUM($F467:K467)))*L$8,0)</f>
        <v>0</v>
      </c>
      <c r="M467" s="1375">
        <f>IF(COUNTA($G467:L467)&lt;'RFM input'!$V$7,(INDEX($G$379:$G$428,$A467,1)+(SUM($F467:L467)))*M$8,0)</f>
        <v>0</v>
      </c>
      <c r="N467" s="1375">
        <f>IF(COUNTA($G467:M467)&lt;'RFM input'!$V$7,(INDEX($G$379:$G$428,$A467,1)+(SUM($F467:M467)))*N$8,0)</f>
        <v>0</v>
      </c>
      <c r="O467" s="1375">
        <f>IF(COUNTA($G467:N467)&lt;'RFM input'!$V$7,(INDEX($G$379:$G$428,$A467,1)+(SUM($F467:N467)))*O$8,0)</f>
        <v>0</v>
      </c>
      <c r="P467" s="1375">
        <f>IF(COUNTA($G467:O467)&lt;'RFM input'!$V$7,(INDEX($G$379:$G$428,$A467,1)+(SUM($F467:O467)))*P$8,0)</f>
        <v>0</v>
      </c>
      <c r="Q467" s="1375">
        <f>IF(COUNTA($G467:P467)&lt;'RFM input'!$V$7,(INDEX($G$379:$G$428,$A467,1)+(SUM($F467:P467)))*Q$8,0)</f>
        <v>0</v>
      </c>
      <c r="R467" s="410"/>
      <c r="S467" s="71"/>
      <c r="T467" s="71"/>
      <c r="U467" s="71"/>
      <c r="V467" s="71"/>
      <c r="W467" s="71"/>
      <c r="X467" s="71"/>
      <c r="Y467" s="71"/>
      <c r="Z467" s="71"/>
      <c r="AA467" s="152"/>
    </row>
    <row r="468" spans="1:27" hidden="1" outlineLevel="1">
      <c r="A468" s="215"/>
      <c r="B468" s="411"/>
      <c r="C468" s="416" t="s">
        <v>24</v>
      </c>
      <c r="D468" s="390"/>
      <c r="E468" s="390"/>
      <c r="F468" s="414"/>
      <c r="G468" s="1374"/>
      <c r="H468" s="1375"/>
      <c r="I468" s="1375">
        <f>IF(COUNT($H467:I467)='RFM input'!$V$7,SUM($G467:I467),0)</f>
        <v>0</v>
      </c>
      <c r="J468" s="1375">
        <f>IF(COUNT($H467:J467)='RFM input'!$V$7,SUM($G467:J467),0)</f>
        <v>0</v>
      </c>
      <c r="K468" s="1375">
        <f>IF(COUNT($H467:K467)='RFM input'!$V$7,SUM($G467:K467),0)</f>
        <v>0</v>
      </c>
      <c r="L468" s="1375">
        <f>IF(COUNT($H467:L467)='RFM input'!$V$7,SUM($G467:L467),0)</f>
        <v>0</v>
      </c>
      <c r="M468" s="1375">
        <f>IF(COUNT($H467:M467)='RFM input'!$V$7,SUM($G467:M467),0)</f>
        <v>0</v>
      </c>
      <c r="N468" s="1375">
        <f>IF(COUNT($H467:N467)='RFM input'!$V$7,SUM($G467:N467),0)</f>
        <v>0</v>
      </c>
      <c r="O468" s="1375">
        <f>IF(COUNT($H467:O467)='RFM input'!$V$7,SUM($G467:O467),0)</f>
        <v>0</v>
      </c>
      <c r="P468" s="1375">
        <f>IF(COUNT($H467:P467)='RFM input'!$V$7,SUM($G467:P467),0)</f>
        <v>0</v>
      </c>
      <c r="Q468" s="1375">
        <f>IF(COUNT($H467:Q467)='RFM input'!$V$7,SUM($G467:Q467),0)</f>
        <v>0</v>
      </c>
      <c r="R468" s="410"/>
      <c r="S468" s="71"/>
      <c r="T468" s="71"/>
      <c r="U468" s="71"/>
      <c r="V468" s="71"/>
      <c r="W468" s="71"/>
      <c r="X468" s="71"/>
      <c r="Y468" s="71"/>
      <c r="Z468" s="71"/>
      <c r="AA468" s="152"/>
    </row>
    <row r="469" spans="1:27" hidden="1" outlineLevel="1">
      <c r="A469" s="215">
        <f t="shared" ref="A469" si="23">A467+1</f>
        <v>20</v>
      </c>
      <c r="B469" s="411"/>
      <c r="C469" s="412">
        <f>Asset20</f>
        <v>0</v>
      </c>
      <c r="D469" s="390"/>
      <c r="E469" s="390"/>
      <c r="F469" s="414"/>
      <c r="G469" s="1374"/>
      <c r="H469" s="1375">
        <f>IF(COUNTA($G469:G469)&lt;'RFM input'!$V$7,(INDEX($G$379:$G$428,$A469,1)+(SUM($F469:G469)))*H$8,0)</f>
        <v>0</v>
      </c>
      <c r="I469" s="1375">
        <f>IF(COUNTA($G469:H469)&lt;'RFM input'!$V$7,(INDEX($G$379:$G$428,$A469,1)+(SUM($F469:H469)))*I$8,0)</f>
        <v>0</v>
      </c>
      <c r="J469" s="1375">
        <f>IF(COUNTA($G469:I469)&lt;'RFM input'!$V$7,(INDEX($G$379:$G$428,$A469,1)+(SUM($F469:I469)))*J$8,0)</f>
        <v>0</v>
      </c>
      <c r="K469" s="1375">
        <f>IF(COUNTA($G469:J469)&lt;'RFM input'!$V$7,(INDEX($G$379:$G$428,$A469,1)+(SUM($F469:J469)))*K$8,0)</f>
        <v>0</v>
      </c>
      <c r="L469" s="1375">
        <f>IF(COUNTA($G469:K469)&lt;'RFM input'!$V$7,(INDEX($G$379:$G$428,$A469,1)+(SUM($F469:K469)))*L$8,0)</f>
        <v>0</v>
      </c>
      <c r="M469" s="1375">
        <f>IF(COUNTA($G469:L469)&lt;'RFM input'!$V$7,(INDEX($G$379:$G$428,$A469,1)+(SUM($F469:L469)))*M$8,0)</f>
        <v>0</v>
      </c>
      <c r="N469" s="1375">
        <f>IF(COUNTA($G469:M469)&lt;'RFM input'!$V$7,(INDEX($G$379:$G$428,$A469,1)+(SUM($F469:M469)))*N$8,0)</f>
        <v>0</v>
      </c>
      <c r="O469" s="1375">
        <f>IF(COUNTA($G469:N469)&lt;'RFM input'!$V$7,(INDEX($G$379:$G$428,$A469,1)+(SUM($F469:N469)))*O$8,0)</f>
        <v>0</v>
      </c>
      <c r="P469" s="1375">
        <f>IF(COUNTA($G469:O469)&lt;'RFM input'!$V$7,(INDEX($G$379:$G$428,$A469,1)+(SUM($F469:O469)))*P$8,0)</f>
        <v>0</v>
      </c>
      <c r="Q469" s="1375">
        <f>IF(COUNTA($G469:P469)&lt;'RFM input'!$V$7,(INDEX($G$379:$G$428,$A469,1)+(SUM($F469:P469)))*Q$8,0)</f>
        <v>0</v>
      </c>
      <c r="R469" s="410"/>
      <c r="S469" s="71"/>
      <c r="T469" s="71"/>
      <c r="U469" s="71"/>
      <c r="V469" s="71"/>
      <c r="W469" s="71"/>
      <c r="X469" s="71"/>
      <c r="Y469" s="71"/>
      <c r="Z469" s="71"/>
      <c r="AA469" s="152"/>
    </row>
    <row r="470" spans="1:27" hidden="1" outlineLevel="1">
      <c r="A470" s="215"/>
      <c r="B470" s="411"/>
      <c r="C470" s="416" t="s">
        <v>24</v>
      </c>
      <c r="D470" s="390"/>
      <c r="E470" s="390"/>
      <c r="F470" s="414"/>
      <c r="G470" s="1374"/>
      <c r="H470" s="1375"/>
      <c r="I470" s="1375">
        <f>IF(COUNT($H469:I469)='RFM input'!$V$7,SUM($G469:I469),0)</f>
        <v>0</v>
      </c>
      <c r="J470" s="1375">
        <f>IF(COUNT($H469:J469)='RFM input'!$V$7,SUM($G469:J469),0)</f>
        <v>0</v>
      </c>
      <c r="K470" s="1375">
        <f>IF(COUNT($H469:K469)='RFM input'!$V$7,SUM($G469:K469),0)</f>
        <v>0</v>
      </c>
      <c r="L470" s="1375">
        <f>IF(COUNT($H469:L469)='RFM input'!$V$7,SUM($G469:L469),0)</f>
        <v>0</v>
      </c>
      <c r="M470" s="1375">
        <f>IF(COUNT($H469:M469)='RFM input'!$V$7,SUM($G469:M469),0)</f>
        <v>0</v>
      </c>
      <c r="N470" s="1375">
        <f>IF(COUNT($H469:N469)='RFM input'!$V$7,SUM($G469:N469),0)</f>
        <v>0</v>
      </c>
      <c r="O470" s="1375">
        <f>IF(COUNT($H469:O469)='RFM input'!$V$7,SUM($G469:O469),0)</f>
        <v>0</v>
      </c>
      <c r="P470" s="1375">
        <f>IF(COUNT($H469:P469)='RFM input'!$V$7,SUM($G469:P469),0)</f>
        <v>0</v>
      </c>
      <c r="Q470" s="1375">
        <f>IF(COUNT($H469:Q469)='RFM input'!$V$7,SUM($G469:Q469),0)</f>
        <v>0</v>
      </c>
      <c r="R470" s="410"/>
      <c r="S470" s="71"/>
      <c r="T470" s="71"/>
      <c r="U470" s="71"/>
      <c r="V470" s="71"/>
      <c r="W470" s="71"/>
      <c r="X470" s="71"/>
      <c r="Y470" s="71"/>
      <c r="Z470" s="71"/>
      <c r="AA470" s="152"/>
    </row>
    <row r="471" spans="1:27" hidden="1" outlineLevel="1">
      <c r="A471" s="215">
        <f t="shared" ref="A471" si="24">A469+1</f>
        <v>21</v>
      </c>
      <c r="B471" s="411"/>
      <c r="C471" s="416">
        <f>Asset21</f>
        <v>0</v>
      </c>
      <c r="D471" s="390"/>
      <c r="E471" s="390"/>
      <c r="F471" s="414"/>
      <c r="G471" s="1374"/>
      <c r="H471" s="1375">
        <f>IF(COUNTA($G471:G471)&lt;'RFM input'!$V$7,(INDEX($G$379:$G$428,$A471,1)+(SUM($F471:G471)))*H$8,0)</f>
        <v>0</v>
      </c>
      <c r="I471" s="1375">
        <f>IF(COUNTA($G471:H471)&lt;'RFM input'!$V$7,(INDEX($G$379:$G$428,$A471,1)+(SUM($F471:H471)))*I$8,0)</f>
        <v>0</v>
      </c>
      <c r="J471" s="1375">
        <f>IF(COUNTA($G471:I471)&lt;'RFM input'!$V$7,(INDEX($G$379:$G$428,$A471,1)+(SUM($F471:I471)))*J$8,0)</f>
        <v>0</v>
      </c>
      <c r="K471" s="1375">
        <f>IF(COUNTA($G471:J471)&lt;'RFM input'!$V$7,(INDEX($G$379:$G$428,$A471,1)+(SUM($F471:J471)))*K$8,0)</f>
        <v>0</v>
      </c>
      <c r="L471" s="1375">
        <f>IF(COUNTA($G471:K471)&lt;'RFM input'!$V$7,(INDEX($G$379:$G$428,$A471,1)+(SUM($F471:K471)))*L$8,0)</f>
        <v>0</v>
      </c>
      <c r="M471" s="1375">
        <f>IF(COUNTA($G471:L471)&lt;'RFM input'!$V$7,(INDEX($G$379:$G$428,$A471,1)+(SUM($F471:L471)))*M$8,0)</f>
        <v>0</v>
      </c>
      <c r="N471" s="1375">
        <f>IF(COUNTA($G471:M471)&lt;'RFM input'!$V$7,(INDEX($G$379:$G$428,$A471,1)+(SUM($F471:M471)))*N$8,0)</f>
        <v>0</v>
      </c>
      <c r="O471" s="1375">
        <f>IF(COUNTA($G471:N471)&lt;'RFM input'!$V$7,(INDEX($G$379:$G$428,$A471,1)+(SUM($F471:N471)))*O$8,0)</f>
        <v>0</v>
      </c>
      <c r="P471" s="1375">
        <f>IF(COUNTA($G471:O471)&lt;'RFM input'!$V$7,(INDEX($G$379:$G$428,$A471,1)+(SUM($F471:O471)))*P$8,0)</f>
        <v>0</v>
      </c>
      <c r="Q471" s="1375">
        <f>IF(COUNTA($G471:P471)&lt;'RFM input'!$V$7,(INDEX($G$379:$G$428,$A471,1)+(SUM($F471:P471)))*Q$8,0)</f>
        <v>0</v>
      </c>
      <c r="R471" s="410"/>
      <c r="S471" s="71"/>
      <c r="T471" s="71"/>
      <c r="U471" s="71"/>
      <c r="V471" s="71"/>
      <c r="W471" s="71"/>
      <c r="X471" s="71"/>
      <c r="Y471" s="71"/>
      <c r="Z471" s="71"/>
      <c r="AA471" s="152"/>
    </row>
    <row r="472" spans="1:27" hidden="1" outlineLevel="1">
      <c r="A472" s="215"/>
      <c r="B472" s="411"/>
      <c r="C472" s="416" t="s">
        <v>24</v>
      </c>
      <c r="D472" s="390"/>
      <c r="E472" s="390"/>
      <c r="F472" s="414"/>
      <c r="G472" s="1374"/>
      <c r="H472" s="1375"/>
      <c r="I472" s="1375">
        <f>IF(COUNT($H471:I471)='RFM input'!$V$7,SUM($G471:I471),0)</f>
        <v>0</v>
      </c>
      <c r="J472" s="1375">
        <f>IF(COUNT($H471:J471)='RFM input'!$V$7,SUM($G471:J471),0)</f>
        <v>0</v>
      </c>
      <c r="K472" s="1375">
        <f>IF(COUNT($H471:K471)='RFM input'!$V$7,SUM($G471:K471),0)</f>
        <v>0</v>
      </c>
      <c r="L472" s="1375">
        <f>IF(COUNT($H471:L471)='RFM input'!$V$7,SUM($G471:L471),0)</f>
        <v>0</v>
      </c>
      <c r="M472" s="1375">
        <f>IF(COUNT($H471:M471)='RFM input'!$V$7,SUM($G471:M471),0)</f>
        <v>0</v>
      </c>
      <c r="N472" s="1375">
        <f>IF(COUNT($H471:N471)='RFM input'!$V$7,SUM($G471:N471),0)</f>
        <v>0</v>
      </c>
      <c r="O472" s="1375">
        <f>IF(COUNT($H471:O471)='RFM input'!$V$7,SUM($G471:O471),0)</f>
        <v>0</v>
      </c>
      <c r="P472" s="1375">
        <f>IF(COUNT($H471:P471)='RFM input'!$V$7,SUM($G471:P471),0)</f>
        <v>0</v>
      </c>
      <c r="Q472" s="1375">
        <f>IF(COUNT($H471:Q471)='RFM input'!$V$7,SUM($G471:Q471),0)</f>
        <v>0</v>
      </c>
      <c r="R472" s="410"/>
      <c r="S472" s="71"/>
      <c r="T472" s="71"/>
      <c r="U472" s="71"/>
      <c r="V472" s="71"/>
      <c r="W472" s="71"/>
      <c r="X472" s="71"/>
      <c r="Y472" s="71"/>
      <c r="Z472" s="71"/>
      <c r="AA472" s="152"/>
    </row>
    <row r="473" spans="1:27" hidden="1" outlineLevel="1">
      <c r="A473" s="215">
        <f t="shared" ref="A473" si="25">A471+1</f>
        <v>22</v>
      </c>
      <c r="B473" s="411"/>
      <c r="C473" s="416">
        <f>Asset22</f>
        <v>0</v>
      </c>
      <c r="D473" s="390"/>
      <c r="E473" s="390"/>
      <c r="F473" s="414"/>
      <c r="G473" s="1374"/>
      <c r="H473" s="1375">
        <f>IF(COUNTA($G473:G473)&lt;'RFM input'!$V$7,(INDEX($G$379:$G$428,$A473,1)+(SUM($F473:G473)))*H$8,0)</f>
        <v>0</v>
      </c>
      <c r="I473" s="1375">
        <f>IF(COUNTA($G473:H473)&lt;'RFM input'!$V$7,(INDEX($G$379:$G$428,$A473,1)+(SUM($F473:H473)))*I$8,0)</f>
        <v>0</v>
      </c>
      <c r="J473" s="1375">
        <f>IF(COUNTA($G473:I473)&lt;'RFM input'!$V$7,(INDEX($G$379:$G$428,$A473,1)+(SUM($F473:I473)))*J$8,0)</f>
        <v>0</v>
      </c>
      <c r="K473" s="1375">
        <f>IF(COUNTA($G473:J473)&lt;'RFM input'!$V$7,(INDEX($G$379:$G$428,$A473,1)+(SUM($F473:J473)))*K$8,0)</f>
        <v>0</v>
      </c>
      <c r="L473" s="1375">
        <f>IF(COUNTA($G473:K473)&lt;'RFM input'!$V$7,(INDEX($G$379:$G$428,$A473,1)+(SUM($F473:K473)))*L$8,0)</f>
        <v>0</v>
      </c>
      <c r="M473" s="1375">
        <f>IF(COUNTA($G473:L473)&lt;'RFM input'!$V$7,(INDEX($G$379:$G$428,$A473,1)+(SUM($F473:L473)))*M$8,0)</f>
        <v>0</v>
      </c>
      <c r="N473" s="1375">
        <f>IF(COUNTA($G473:M473)&lt;'RFM input'!$V$7,(INDEX($G$379:$G$428,$A473,1)+(SUM($F473:M473)))*N$8,0)</f>
        <v>0</v>
      </c>
      <c r="O473" s="1375">
        <f>IF(COUNTA($G473:N473)&lt;'RFM input'!$V$7,(INDEX($G$379:$G$428,$A473,1)+(SUM($F473:N473)))*O$8,0)</f>
        <v>0</v>
      </c>
      <c r="P473" s="1375">
        <f>IF(COUNTA($G473:O473)&lt;'RFM input'!$V$7,(INDEX($G$379:$G$428,$A473,1)+(SUM($F473:O473)))*P$8,0)</f>
        <v>0</v>
      </c>
      <c r="Q473" s="1375">
        <f>IF(COUNTA($G473:P473)&lt;'RFM input'!$V$7,(INDEX($G$379:$G$428,$A473,1)+(SUM($F473:P473)))*Q$8,0)</f>
        <v>0</v>
      </c>
      <c r="R473" s="410"/>
      <c r="S473" s="71"/>
      <c r="T473" s="71"/>
      <c r="U473" s="71"/>
      <c r="V473" s="71"/>
      <c r="W473" s="71"/>
      <c r="X473" s="71"/>
      <c r="Y473" s="71"/>
      <c r="Z473" s="71"/>
      <c r="AA473" s="152"/>
    </row>
    <row r="474" spans="1:27" hidden="1" outlineLevel="1">
      <c r="A474" s="215"/>
      <c r="B474" s="411"/>
      <c r="C474" s="416" t="s">
        <v>24</v>
      </c>
      <c r="D474" s="390"/>
      <c r="E474" s="390"/>
      <c r="F474" s="414"/>
      <c r="G474" s="1374"/>
      <c r="H474" s="1375"/>
      <c r="I474" s="1375">
        <f>IF(COUNT($H473:I473)='RFM input'!$V$7,SUM($G473:I473),0)</f>
        <v>0</v>
      </c>
      <c r="J474" s="1375">
        <f>IF(COUNT($H473:J473)='RFM input'!$V$7,SUM($G473:J473),0)</f>
        <v>0</v>
      </c>
      <c r="K474" s="1375">
        <f>IF(COUNT($H473:K473)='RFM input'!$V$7,SUM($G473:K473),0)</f>
        <v>0</v>
      </c>
      <c r="L474" s="1375">
        <f>IF(COUNT($H473:L473)='RFM input'!$V$7,SUM($G473:L473),0)</f>
        <v>0</v>
      </c>
      <c r="M474" s="1375">
        <f>IF(COUNT($H473:M473)='RFM input'!$V$7,SUM($G473:M473),0)</f>
        <v>0</v>
      </c>
      <c r="N474" s="1375">
        <f>IF(COUNT($H473:N473)='RFM input'!$V$7,SUM($G473:N473),0)</f>
        <v>0</v>
      </c>
      <c r="O474" s="1375">
        <f>IF(COUNT($H473:O473)='RFM input'!$V$7,SUM($G473:O473),0)</f>
        <v>0</v>
      </c>
      <c r="P474" s="1375">
        <f>IF(COUNT($H473:P473)='RFM input'!$V$7,SUM($G473:P473),0)</f>
        <v>0</v>
      </c>
      <c r="Q474" s="1375">
        <f>IF(COUNT($H473:Q473)='RFM input'!$V$7,SUM($G473:Q473),0)</f>
        <v>0</v>
      </c>
      <c r="R474" s="410"/>
      <c r="S474" s="71"/>
      <c r="T474" s="71"/>
      <c r="U474" s="71"/>
      <c r="V474" s="71"/>
      <c r="W474" s="71"/>
      <c r="X474" s="71"/>
      <c r="Y474" s="71"/>
      <c r="Z474" s="71"/>
      <c r="AA474" s="152"/>
    </row>
    <row r="475" spans="1:27" hidden="1" outlineLevel="1">
      <c r="A475" s="215">
        <f t="shared" ref="A475" si="26">A473+1</f>
        <v>23</v>
      </c>
      <c r="B475" s="411"/>
      <c r="C475" s="416">
        <f>Asset23</f>
        <v>0</v>
      </c>
      <c r="D475" s="390"/>
      <c r="E475" s="390"/>
      <c r="F475" s="414"/>
      <c r="G475" s="1374"/>
      <c r="H475" s="1375">
        <f>IF(COUNTA($G475:G475)&lt;'RFM input'!$V$7,(INDEX($G$379:$G$428,$A475,1)+(SUM($F475:G475)))*H$8,0)</f>
        <v>0</v>
      </c>
      <c r="I475" s="1375">
        <f>IF(COUNTA($G475:H475)&lt;'RFM input'!$V$7,(INDEX($G$379:$G$428,$A475,1)+(SUM($F475:H475)))*I$8,0)</f>
        <v>0</v>
      </c>
      <c r="J475" s="1375">
        <f>IF(COUNTA($G475:I475)&lt;'RFM input'!$V$7,(INDEX($G$379:$G$428,$A475,1)+(SUM($F475:I475)))*J$8,0)</f>
        <v>0</v>
      </c>
      <c r="K475" s="1375">
        <f>IF(COUNTA($G475:J475)&lt;'RFM input'!$V$7,(INDEX($G$379:$G$428,$A475,1)+(SUM($F475:J475)))*K$8,0)</f>
        <v>0</v>
      </c>
      <c r="L475" s="1375">
        <f>IF(COUNTA($G475:K475)&lt;'RFM input'!$V$7,(INDEX($G$379:$G$428,$A475,1)+(SUM($F475:K475)))*L$8,0)</f>
        <v>0</v>
      </c>
      <c r="M475" s="1375">
        <f>IF(COUNTA($G475:L475)&lt;'RFM input'!$V$7,(INDEX($G$379:$G$428,$A475,1)+(SUM($F475:L475)))*M$8,0)</f>
        <v>0</v>
      </c>
      <c r="N475" s="1375">
        <f>IF(COUNTA($G475:M475)&lt;'RFM input'!$V$7,(INDEX($G$379:$G$428,$A475,1)+(SUM($F475:M475)))*N$8,0)</f>
        <v>0</v>
      </c>
      <c r="O475" s="1375">
        <f>IF(COUNTA($G475:N475)&lt;'RFM input'!$V$7,(INDEX($G$379:$G$428,$A475,1)+(SUM($F475:N475)))*O$8,0)</f>
        <v>0</v>
      </c>
      <c r="P475" s="1375">
        <f>IF(COUNTA($G475:O475)&lt;'RFM input'!$V$7,(INDEX($G$379:$G$428,$A475,1)+(SUM($F475:O475)))*P$8,0)</f>
        <v>0</v>
      </c>
      <c r="Q475" s="1375">
        <f>IF(COUNTA($G475:P475)&lt;'RFM input'!$V$7,(INDEX($G$379:$G$428,$A475,1)+(SUM($F475:P475)))*Q$8,0)</f>
        <v>0</v>
      </c>
      <c r="R475" s="410"/>
      <c r="S475" s="71"/>
      <c r="T475" s="71"/>
      <c r="U475" s="71"/>
      <c r="V475" s="71"/>
      <c r="W475" s="71"/>
      <c r="X475" s="71"/>
      <c r="Y475" s="71"/>
      <c r="Z475" s="71"/>
      <c r="AA475" s="152"/>
    </row>
    <row r="476" spans="1:27" hidden="1" outlineLevel="1">
      <c r="A476" s="215"/>
      <c r="B476" s="411"/>
      <c r="C476" s="416" t="s">
        <v>24</v>
      </c>
      <c r="D476" s="390"/>
      <c r="E476" s="390"/>
      <c r="F476" s="414"/>
      <c r="G476" s="1374"/>
      <c r="H476" s="1375"/>
      <c r="I476" s="1375">
        <f>IF(COUNT($H475:I475)='RFM input'!$V$7,SUM($G475:I475),0)</f>
        <v>0</v>
      </c>
      <c r="J476" s="1375">
        <f>IF(COUNT($H475:J475)='RFM input'!$V$7,SUM($G475:J475),0)</f>
        <v>0</v>
      </c>
      <c r="K476" s="1375">
        <f>IF(COUNT($H475:K475)='RFM input'!$V$7,SUM($G475:K475),0)</f>
        <v>0</v>
      </c>
      <c r="L476" s="1375">
        <f>IF(COUNT($H475:L475)='RFM input'!$V$7,SUM($G475:L475),0)</f>
        <v>0</v>
      </c>
      <c r="M476" s="1375">
        <f>IF(COUNT($H475:M475)='RFM input'!$V$7,SUM($G475:M475),0)</f>
        <v>0</v>
      </c>
      <c r="N476" s="1375">
        <f>IF(COUNT($H475:N475)='RFM input'!$V$7,SUM($G475:N475),0)</f>
        <v>0</v>
      </c>
      <c r="O476" s="1375">
        <f>IF(COUNT($H475:O475)='RFM input'!$V$7,SUM($G475:O475),0)</f>
        <v>0</v>
      </c>
      <c r="P476" s="1375">
        <f>IF(COUNT($H475:P475)='RFM input'!$V$7,SUM($G475:P475),0)</f>
        <v>0</v>
      </c>
      <c r="Q476" s="1375">
        <f>IF(COUNT($H475:Q475)='RFM input'!$V$7,SUM($G475:Q475),0)</f>
        <v>0</v>
      </c>
      <c r="R476" s="410"/>
      <c r="S476" s="71"/>
      <c r="T476" s="71"/>
      <c r="U476" s="71"/>
      <c r="V476" s="71"/>
      <c r="W476" s="71"/>
      <c r="X476" s="71"/>
      <c r="Y476" s="71"/>
      <c r="Z476" s="71"/>
      <c r="AA476" s="152"/>
    </row>
    <row r="477" spans="1:27" hidden="1" outlineLevel="1">
      <c r="A477" s="215">
        <f t="shared" ref="A477" si="27">A475+1</f>
        <v>24</v>
      </c>
      <c r="B477" s="411"/>
      <c r="C477" s="416">
        <f>Asset24</f>
        <v>0</v>
      </c>
      <c r="D477" s="390"/>
      <c r="E477" s="390"/>
      <c r="F477" s="414"/>
      <c r="G477" s="1374"/>
      <c r="H477" s="1375">
        <f>IF(COUNTA($G477:G477)&lt;'RFM input'!$V$7,(INDEX($G$379:$G$428,$A477,1)+(SUM($F477:G477)))*H$8,0)</f>
        <v>0</v>
      </c>
      <c r="I477" s="1375">
        <f>IF(COUNTA($G477:H477)&lt;'RFM input'!$V$7,(INDEX($G$379:$G$428,$A477,1)+(SUM($F477:H477)))*I$8,0)</f>
        <v>0</v>
      </c>
      <c r="J477" s="1375">
        <f>IF(COUNTA($G477:I477)&lt;'RFM input'!$V$7,(INDEX($G$379:$G$428,$A477,1)+(SUM($F477:I477)))*J$8,0)</f>
        <v>0</v>
      </c>
      <c r="K477" s="1375">
        <f>IF(COUNTA($G477:J477)&lt;'RFM input'!$V$7,(INDEX($G$379:$G$428,$A477,1)+(SUM($F477:J477)))*K$8,0)</f>
        <v>0</v>
      </c>
      <c r="L477" s="1375">
        <f>IF(COUNTA($G477:K477)&lt;'RFM input'!$V$7,(INDEX($G$379:$G$428,$A477,1)+(SUM($F477:K477)))*L$8,0)</f>
        <v>0</v>
      </c>
      <c r="M477" s="1375">
        <f>IF(COUNTA($G477:L477)&lt;'RFM input'!$V$7,(INDEX($G$379:$G$428,$A477,1)+(SUM($F477:L477)))*M$8,0)</f>
        <v>0</v>
      </c>
      <c r="N477" s="1375">
        <f>IF(COUNTA($G477:M477)&lt;'RFM input'!$V$7,(INDEX($G$379:$G$428,$A477,1)+(SUM($F477:M477)))*N$8,0)</f>
        <v>0</v>
      </c>
      <c r="O477" s="1375">
        <f>IF(COUNTA($G477:N477)&lt;'RFM input'!$V$7,(INDEX($G$379:$G$428,$A477,1)+(SUM($F477:N477)))*O$8,0)</f>
        <v>0</v>
      </c>
      <c r="P477" s="1375">
        <f>IF(COUNTA($G477:O477)&lt;'RFM input'!$V$7,(INDEX($G$379:$G$428,$A477,1)+(SUM($F477:O477)))*P$8,0)</f>
        <v>0</v>
      </c>
      <c r="Q477" s="1375">
        <f>IF(COUNTA($G477:P477)&lt;'RFM input'!$V$7,(INDEX($G$379:$G$428,$A477,1)+(SUM($F477:P477)))*Q$8,0)</f>
        <v>0</v>
      </c>
      <c r="R477" s="410"/>
      <c r="S477" s="71"/>
      <c r="T477" s="71"/>
      <c r="U477" s="71"/>
      <c r="V477" s="71"/>
      <c r="W477" s="71"/>
      <c r="X477" s="71"/>
      <c r="Y477" s="71"/>
      <c r="Z477" s="71"/>
      <c r="AA477" s="152"/>
    </row>
    <row r="478" spans="1:27" hidden="1" outlineLevel="1">
      <c r="A478" s="215"/>
      <c r="B478" s="411"/>
      <c r="C478" s="416" t="s">
        <v>24</v>
      </c>
      <c r="D478" s="390"/>
      <c r="E478" s="390"/>
      <c r="F478" s="414"/>
      <c r="G478" s="1374"/>
      <c r="H478" s="1375"/>
      <c r="I478" s="1375">
        <f>IF(COUNT($H477:I477)='RFM input'!$V$7,SUM($G477:I477),0)</f>
        <v>0</v>
      </c>
      <c r="J478" s="1375">
        <f>IF(COUNT($H477:J477)='RFM input'!$V$7,SUM($G477:J477),0)</f>
        <v>0</v>
      </c>
      <c r="K478" s="1375">
        <f>IF(COUNT($H477:K477)='RFM input'!$V$7,SUM($G477:K477),0)</f>
        <v>0</v>
      </c>
      <c r="L478" s="1375">
        <f>IF(COUNT($H477:L477)='RFM input'!$V$7,SUM($G477:L477),0)</f>
        <v>0</v>
      </c>
      <c r="M478" s="1375">
        <f>IF(COUNT($H477:M477)='RFM input'!$V$7,SUM($G477:M477),0)</f>
        <v>0</v>
      </c>
      <c r="N478" s="1375">
        <f>IF(COUNT($H477:N477)='RFM input'!$V$7,SUM($G477:N477),0)</f>
        <v>0</v>
      </c>
      <c r="O478" s="1375">
        <f>IF(COUNT($H477:O477)='RFM input'!$V$7,SUM($G477:O477),0)</f>
        <v>0</v>
      </c>
      <c r="P478" s="1375">
        <f>IF(COUNT($H477:P477)='RFM input'!$V$7,SUM($G477:P477),0)</f>
        <v>0</v>
      </c>
      <c r="Q478" s="1375">
        <f>IF(COUNT($H477:Q477)='RFM input'!$V$7,SUM($G477:Q477),0)</f>
        <v>0</v>
      </c>
      <c r="R478" s="410"/>
      <c r="S478" s="71"/>
      <c r="T478" s="71"/>
      <c r="U478" s="71"/>
      <c r="V478" s="71"/>
      <c r="W478" s="71"/>
      <c r="X478" s="71"/>
      <c r="Y478" s="71"/>
      <c r="Z478" s="71"/>
      <c r="AA478" s="152"/>
    </row>
    <row r="479" spans="1:27" hidden="1" outlineLevel="1">
      <c r="A479" s="215">
        <f t="shared" ref="A479" si="28">A477+1</f>
        <v>25</v>
      </c>
      <c r="B479" s="411"/>
      <c r="C479" s="416">
        <f>Asset25</f>
        <v>0</v>
      </c>
      <c r="D479" s="390"/>
      <c r="E479" s="390"/>
      <c r="F479" s="414"/>
      <c r="G479" s="1374"/>
      <c r="H479" s="1375">
        <f>IF(COUNTA($G479:G479)&lt;'RFM input'!$V$7,(INDEX($G$379:$G$428,$A479,1)+(SUM($F479:G479)))*H$8,0)</f>
        <v>0</v>
      </c>
      <c r="I479" s="1375">
        <f>IF(COUNTA($G479:H479)&lt;'RFM input'!$V$7,(INDEX($G$379:$G$428,$A479,1)+(SUM($F479:H479)))*I$8,0)</f>
        <v>0</v>
      </c>
      <c r="J479" s="1375">
        <f>IF(COUNTA($G479:I479)&lt;'RFM input'!$V$7,(INDEX($G$379:$G$428,$A479,1)+(SUM($F479:I479)))*J$8,0)</f>
        <v>0</v>
      </c>
      <c r="K479" s="1375">
        <f>IF(COUNTA($G479:J479)&lt;'RFM input'!$V$7,(INDEX($G$379:$G$428,$A479,1)+(SUM($F479:J479)))*K$8,0)</f>
        <v>0</v>
      </c>
      <c r="L479" s="1375">
        <f>IF(COUNTA($G479:K479)&lt;'RFM input'!$V$7,(INDEX($G$379:$G$428,$A479,1)+(SUM($F479:K479)))*L$8,0)</f>
        <v>0</v>
      </c>
      <c r="M479" s="1375">
        <f>IF(COUNTA($G479:L479)&lt;'RFM input'!$V$7,(INDEX($G$379:$G$428,$A479,1)+(SUM($F479:L479)))*M$8,0)</f>
        <v>0</v>
      </c>
      <c r="N479" s="1375">
        <f>IF(COUNTA($G479:M479)&lt;'RFM input'!$V$7,(INDEX($G$379:$G$428,$A479,1)+(SUM($F479:M479)))*N$8,0)</f>
        <v>0</v>
      </c>
      <c r="O479" s="1375">
        <f>IF(COUNTA($G479:N479)&lt;'RFM input'!$V$7,(INDEX($G$379:$G$428,$A479,1)+(SUM($F479:N479)))*O$8,0)</f>
        <v>0</v>
      </c>
      <c r="P479" s="1375">
        <f>IF(COUNTA($G479:O479)&lt;'RFM input'!$V$7,(INDEX($G$379:$G$428,$A479,1)+(SUM($F479:O479)))*P$8,0)</f>
        <v>0</v>
      </c>
      <c r="Q479" s="1375">
        <f>IF(COUNTA($G479:P479)&lt;'RFM input'!$V$7,(INDEX($G$379:$G$428,$A479,1)+(SUM($F479:P479)))*Q$8,0)</f>
        <v>0</v>
      </c>
      <c r="R479" s="410"/>
      <c r="S479" s="71"/>
      <c r="T479" s="71"/>
      <c r="U479" s="71"/>
      <c r="V479" s="71"/>
      <c r="W479" s="71"/>
      <c r="X479" s="71"/>
      <c r="Y479" s="71"/>
      <c r="Z479" s="71"/>
      <c r="AA479" s="152"/>
    </row>
    <row r="480" spans="1:27" hidden="1" outlineLevel="1">
      <c r="A480" s="215"/>
      <c r="B480" s="411"/>
      <c r="C480" s="416" t="s">
        <v>24</v>
      </c>
      <c r="D480" s="390"/>
      <c r="E480" s="390"/>
      <c r="F480" s="414"/>
      <c r="G480" s="1374"/>
      <c r="H480" s="1375"/>
      <c r="I480" s="1375">
        <f>IF(COUNT($H479:I479)='RFM input'!$V$7,SUM($G479:I479),0)</f>
        <v>0</v>
      </c>
      <c r="J480" s="1375">
        <f>IF(COUNT($H479:J479)='RFM input'!$V$7,SUM($G479:J479),0)</f>
        <v>0</v>
      </c>
      <c r="K480" s="1375">
        <f>IF(COUNT($H479:K479)='RFM input'!$V$7,SUM($G479:K479),0)</f>
        <v>0</v>
      </c>
      <c r="L480" s="1375">
        <f>IF(COUNT($H479:L479)='RFM input'!$V$7,SUM($G479:L479),0)</f>
        <v>0</v>
      </c>
      <c r="M480" s="1375">
        <f>IF(COUNT($H479:M479)='RFM input'!$V$7,SUM($G479:M479),0)</f>
        <v>0</v>
      </c>
      <c r="N480" s="1375">
        <f>IF(COUNT($H479:N479)='RFM input'!$V$7,SUM($G479:N479),0)</f>
        <v>0</v>
      </c>
      <c r="O480" s="1375">
        <f>IF(COUNT($H479:O479)='RFM input'!$V$7,SUM($G479:O479),0)</f>
        <v>0</v>
      </c>
      <c r="P480" s="1375">
        <f>IF(COUNT($H479:P479)='RFM input'!$V$7,SUM($G479:P479),0)</f>
        <v>0</v>
      </c>
      <c r="Q480" s="1375">
        <f>IF(COUNT($H479:Q479)='RFM input'!$V$7,SUM($G479:Q479),0)</f>
        <v>0</v>
      </c>
      <c r="R480" s="410"/>
      <c r="S480" s="71"/>
      <c r="T480" s="71"/>
      <c r="U480" s="71"/>
      <c r="V480" s="71"/>
      <c r="W480" s="71"/>
      <c r="X480" s="71"/>
      <c r="Y480" s="71"/>
      <c r="Z480" s="71"/>
      <c r="AA480" s="152"/>
    </row>
    <row r="481" spans="1:27" hidden="1" outlineLevel="1">
      <c r="A481" s="215">
        <f t="shared" ref="A481" si="29">A479+1</f>
        <v>26</v>
      </c>
      <c r="B481" s="411"/>
      <c r="C481" s="416">
        <f>Asset26</f>
        <v>0</v>
      </c>
      <c r="D481" s="390"/>
      <c r="E481" s="390"/>
      <c r="F481" s="414"/>
      <c r="G481" s="1374"/>
      <c r="H481" s="1375">
        <f>IF(COUNTA($G481:G481)&lt;'RFM input'!$V$7,(INDEX($G$379:$G$428,$A481,1)+(SUM($F481:G481)))*H$8,0)</f>
        <v>0</v>
      </c>
      <c r="I481" s="1375">
        <f>IF(COUNTA($G481:H481)&lt;'RFM input'!$V$7,(INDEX($G$379:$G$428,$A481,1)+(SUM($F481:H481)))*I$8,0)</f>
        <v>0</v>
      </c>
      <c r="J481" s="1375">
        <f>IF(COUNTA($G481:I481)&lt;'RFM input'!$V$7,(INDEX($G$379:$G$428,$A481,1)+(SUM($F481:I481)))*J$8,0)</f>
        <v>0</v>
      </c>
      <c r="K481" s="1375">
        <f>IF(COUNTA($G481:J481)&lt;'RFM input'!$V$7,(INDEX($G$379:$G$428,$A481,1)+(SUM($F481:J481)))*K$8,0)</f>
        <v>0</v>
      </c>
      <c r="L481" s="1375">
        <f>IF(COUNTA($G481:K481)&lt;'RFM input'!$V$7,(INDEX($G$379:$G$428,$A481,1)+(SUM($F481:K481)))*L$8,0)</f>
        <v>0</v>
      </c>
      <c r="M481" s="1375">
        <f>IF(COUNTA($G481:L481)&lt;'RFM input'!$V$7,(INDEX($G$379:$G$428,$A481,1)+(SUM($F481:L481)))*M$8,0)</f>
        <v>0</v>
      </c>
      <c r="N481" s="1375">
        <f>IF(COUNTA($G481:M481)&lt;'RFM input'!$V$7,(INDEX($G$379:$G$428,$A481,1)+(SUM($F481:M481)))*N$8,0)</f>
        <v>0</v>
      </c>
      <c r="O481" s="1375">
        <f>IF(COUNTA($G481:N481)&lt;'RFM input'!$V$7,(INDEX($G$379:$G$428,$A481,1)+(SUM($F481:N481)))*O$8,0)</f>
        <v>0</v>
      </c>
      <c r="P481" s="1375">
        <f>IF(COUNTA($G481:O481)&lt;'RFM input'!$V$7,(INDEX($G$379:$G$428,$A481,1)+(SUM($F481:O481)))*P$8,0)</f>
        <v>0</v>
      </c>
      <c r="Q481" s="1375">
        <f>IF(COUNTA($G481:P481)&lt;'RFM input'!$V$7,(INDEX($G$379:$G$428,$A481,1)+(SUM($F481:P481)))*Q$8,0)</f>
        <v>0</v>
      </c>
      <c r="R481" s="410"/>
      <c r="S481" s="71"/>
      <c r="T481" s="71"/>
      <c r="U481" s="71"/>
      <c r="V481" s="71"/>
      <c r="W481" s="71"/>
      <c r="X481" s="71"/>
      <c r="Y481" s="71"/>
      <c r="Z481" s="71"/>
      <c r="AA481" s="152"/>
    </row>
    <row r="482" spans="1:27" hidden="1" outlineLevel="1">
      <c r="A482" s="215"/>
      <c r="B482" s="411"/>
      <c r="C482" s="416" t="s">
        <v>24</v>
      </c>
      <c r="D482" s="390"/>
      <c r="E482" s="390"/>
      <c r="F482" s="414"/>
      <c r="G482" s="1374"/>
      <c r="H482" s="1375"/>
      <c r="I482" s="1375">
        <f>IF(COUNT($H481:I481)='RFM input'!$V$7,SUM($G481:I481),0)</f>
        <v>0</v>
      </c>
      <c r="J482" s="1375">
        <f>IF(COUNT($H481:J481)='RFM input'!$V$7,SUM($G481:J481),0)</f>
        <v>0</v>
      </c>
      <c r="K482" s="1375">
        <f>IF(COUNT($H481:K481)='RFM input'!$V$7,SUM($G481:K481),0)</f>
        <v>0</v>
      </c>
      <c r="L482" s="1375">
        <f>IF(COUNT($H481:L481)='RFM input'!$V$7,SUM($G481:L481),0)</f>
        <v>0</v>
      </c>
      <c r="M482" s="1375">
        <f>IF(COUNT($H481:M481)='RFM input'!$V$7,SUM($G481:M481),0)</f>
        <v>0</v>
      </c>
      <c r="N482" s="1375">
        <f>IF(COUNT($H481:N481)='RFM input'!$V$7,SUM($G481:N481),0)</f>
        <v>0</v>
      </c>
      <c r="O482" s="1375">
        <f>IF(COUNT($H481:O481)='RFM input'!$V$7,SUM($G481:O481),0)</f>
        <v>0</v>
      </c>
      <c r="P482" s="1375">
        <f>IF(COUNT($H481:P481)='RFM input'!$V$7,SUM($G481:P481),0)</f>
        <v>0</v>
      </c>
      <c r="Q482" s="1375">
        <f>IF(COUNT($H481:Q481)='RFM input'!$V$7,SUM($G481:Q481),0)</f>
        <v>0</v>
      </c>
      <c r="R482" s="410"/>
      <c r="S482" s="71"/>
      <c r="T482" s="71"/>
      <c r="U482" s="71"/>
      <c r="V482" s="71"/>
      <c r="W482" s="71"/>
      <c r="X482" s="71"/>
      <c r="Y482" s="71"/>
      <c r="Z482" s="71"/>
      <c r="AA482" s="152"/>
    </row>
    <row r="483" spans="1:27" hidden="1" outlineLevel="1">
      <c r="A483" s="215">
        <f t="shared" ref="A483" si="30">A481+1</f>
        <v>27</v>
      </c>
      <c r="B483" s="411"/>
      <c r="C483" s="416">
        <f>Asset27</f>
        <v>0</v>
      </c>
      <c r="D483" s="390"/>
      <c r="E483" s="390"/>
      <c r="F483" s="414"/>
      <c r="G483" s="1374"/>
      <c r="H483" s="1375">
        <f>IF(COUNTA($G483:G483)&lt;'RFM input'!$V$7,(INDEX($G$379:$G$428,$A483,1)+(SUM($F483:G483)))*H$8,0)</f>
        <v>0</v>
      </c>
      <c r="I483" s="1375">
        <f>IF(COUNTA($G483:H483)&lt;'RFM input'!$V$7,(INDEX($G$379:$G$428,$A483,1)+(SUM($F483:H483)))*I$8,0)</f>
        <v>0</v>
      </c>
      <c r="J483" s="1375">
        <f>IF(COUNTA($G483:I483)&lt;'RFM input'!$V$7,(INDEX($G$379:$G$428,$A483,1)+(SUM($F483:I483)))*J$8,0)</f>
        <v>0</v>
      </c>
      <c r="K483" s="1375">
        <f>IF(COUNTA($G483:J483)&lt;'RFM input'!$V$7,(INDEX($G$379:$G$428,$A483,1)+(SUM($F483:J483)))*K$8,0)</f>
        <v>0</v>
      </c>
      <c r="L483" s="1375">
        <f>IF(COUNTA($G483:K483)&lt;'RFM input'!$V$7,(INDEX($G$379:$G$428,$A483,1)+(SUM($F483:K483)))*L$8,0)</f>
        <v>0</v>
      </c>
      <c r="M483" s="1375">
        <f>IF(COUNTA($G483:L483)&lt;'RFM input'!$V$7,(INDEX($G$379:$G$428,$A483,1)+(SUM($F483:L483)))*M$8,0)</f>
        <v>0</v>
      </c>
      <c r="N483" s="1375">
        <f>IF(COUNTA($G483:M483)&lt;'RFM input'!$V$7,(INDEX($G$379:$G$428,$A483,1)+(SUM($F483:M483)))*N$8,0)</f>
        <v>0</v>
      </c>
      <c r="O483" s="1375">
        <f>IF(COUNTA($G483:N483)&lt;'RFM input'!$V$7,(INDEX($G$379:$G$428,$A483,1)+(SUM($F483:N483)))*O$8,0)</f>
        <v>0</v>
      </c>
      <c r="P483" s="1375">
        <f>IF(COUNTA($G483:O483)&lt;'RFM input'!$V$7,(INDEX($G$379:$G$428,$A483,1)+(SUM($F483:O483)))*P$8,0)</f>
        <v>0</v>
      </c>
      <c r="Q483" s="1375">
        <f>IF(COUNTA($G483:P483)&lt;'RFM input'!$V$7,(INDEX($G$379:$G$428,$A483,1)+(SUM($F483:P483)))*Q$8,0)</f>
        <v>0</v>
      </c>
      <c r="R483" s="410"/>
      <c r="S483" s="71"/>
      <c r="T483" s="71"/>
      <c r="U483" s="71"/>
      <c r="V483" s="71"/>
      <c r="W483" s="71"/>
      <c r="X483" s="71"/>
      <c r="Y483" s="71"/>
      <c r="Z483" s="71"/>
      <c r="AA483" s="152"/>
    </row>
    <row r="484" spans="1:27" hidden="1" outlineLevel="1">
      <c r="A484" s="215"/>
      <c r="B484" s="411"/>
      <c r="C484" s="416" t="s">
        <v>24</v>
      </c>
      <c r="D484" s="390"/>
      <c r="E484" s="390"/>
      <c r="F484" s="414"/>
      <c r="G484" s="1374"/>
      <c r="H484" s="1375"/>
      <c r="I484" s="1375">
        <f>IF(COUNT($H483:I483)='RFM input'!$V$7,SUM($G483:I483),0)</f>
        <v>0</v>
      </c>
      <c r="J484" s="1375">
        <f>IF(COUNT($H483:J483)='RFM input'!$V$7,SUM($G483:J483),0)</f>
        <v>0</v>
      </c>
      <c r="K484" s="1375">
        <f>IF(COUNT($H483:K483)='RFM input'!$V$7,SUM($G483:K483),0)</f>
        <v>0</v>
      </c>
      <c r="L484" s="1375">
        <f>IF(COUNT($H483:L483)='RFM input'!$V$7,SUM($G483:L483),0)</f>
        <v>0</v>
      </c>
      <c r="M484" s="1375">
        <f>IF(COUNT($H483:M483)='RFM input'!$V$7,SUM($G483:M483),0)</f>
        <v>0</v>
      </c>
      <c r="N484" s="1375">
        <f>IF(COUNT($H483:N483)='RFM input'!$V$7,SUM($G483:N483),0)</f>
        <v>0</v>
      </c>
      <c r="O484" s="1375">
        <f>IF(COUNT($H483:O483)='RFM input'!$V$7,SUM($G483:O483),0)</f>
        <v>0</v>
      </c>
      <c r="P484" s="1375">
        <f>IF(COUNT($H483:P483)='RFM input'!$V$7,SUM($G483:P483),0)</f>
        <v>0</v>
      </c>
      <c r="Q484" s="1375">
        <f>IF(COUNT($H483:Q483)='RFM input'!$V$7,SUM($G483:Q483),0)</f>
        <v>0</v>
      </c>
      <c r="R484" s="410"/>
      <c r="S484" s="71"/>
      <c r="T484" s="71"/>
      <c r="U484" s="71"/>
      <c r="V484" s="71"/>
      <c r="W484" s="71"/>
      <c r="X484" s="71"/>
      <c r="Y484" s="71"/>
      <c r="Z484" s="71"/>
      <c r="AA484" s="152"/>
    </row>
    <row r="485" spans="1:27" hidden="1" outlineLevel="1">
      <c r="A485" s="215">
        <f t="shared" ref="A485" si="31">A483+1</f>
        <v>28</v>
      </c>
      <c r="B485" s="411"/>
      <c r="C485" s="416">
        <f>Asset28</f>
        <v>0</v>
      </c>
      <c r="D485" s="390"/>
      <c r="E485" s="390"/>
      <c r="F485" s="414"/>
      <c r="G485" s="1374"/>
      <c r="H485" s="1375">
        <f>IF(COUNTA($G485:G485)&lt;'RFM input'!$V$7,(INDEX($G$379:$G$428,$A485,1)+(SUM($F485:G485)))*H$8,0)</f>
        <v>0</v>
      </c>
      <c r="I485" s="1375">
        <f>IF(COUNTA($G485:H485)&lt;'RFM input'!$V$7,(INDEX($G$379:$G$428,$A485,1)+(SUM($F485:H485)))*I$8,0)</f>
        <v>0</v>
      </c>
      <c r="J485" s="1375">
        <f>IF(COUNTA($G485:I485)&lt;'RFM input'!$V$7,(INDEX($G$379:$G$428,$A485,1)+(SUM($F485:I485)))*J$8,0)</f>
        <v>0</v>
      </c>
      <c r="K485" s="1375">
        <f>IF(COUNTA($G485:J485)&lt;'RFM input'!$V$7,(INDEX($G$379:$G$428,$A485,1)+(SUM($F485:J485)))*K$8,0)</f>
        <v>0</v>
      </c>
      <c r="L485" s="1375">
        <f>IF(COUNTA($G485:K485)&lt;'RFM input'!$V$7,(INDEX($G$379:$G$428,$A485,1)+(SUM($F485:K485)))*L$8,0)</f>
        <v>0</v>
      </c>
      <c r="M485" s="1375">
        <f>IF(COUNTA($G485:L485)&lt;'RFM input'!$V$7,(INDEX($G$379:$G$428,$A485,1)+(SUM($F485:L485)))*M$8,0)</f>
        <v>0</v>
      </c>
      <c r="N485" s="1375">
        <f>IF(COUNTA($G485:M485)&lt;'RFM input'!$V$7,(INDEX($G$379:$G$428,$A485,1)+(SUM($F485:M485)))*N$8,0)</f>
        <v>0</v>
      </c>
      <c r="O485" s="1375">
        <f>IF(COUNTA($G485:N485)&lt;'RFM input'!$V$7,(INDEX($G$379:$G$428,$A485,1)+(SUM($F485:N485)))*O$8,0)</f>
        <v>0</v>
      </c>
      <c r="P485" s="1375">
        <f>IF(COUNTA($G485:O485)&lt;'RFM input'!$V$7,(INDEX($G$379:$G$428,$A485,1)+(SUM($F485:O485)))*P$8,0)</f>
        <v>0</v>
      </c>
      <c r="Q485" s="1375">
        <f>IF(COUNTA($G485:P485)&lt;'RFM input'!$V$7,(INDEX($G$379:$G$428,$A485,1)+(SUM($F485:P485)))*Q$8,0)</f>
        <v>0</v>
      </c>
      <c r="R485" s="410"/>
      <c r="S485" s="71"/>
      <c r="T485" s="71"/>
      <c r="U485" s="71"/>
      <c r="V485" s="71"/>
      <c r="W485" s="71"/>
      <c r="X485" s="71"/>
      <c r="Y485" s="71"/>
      <c r="Z485" s="71"/>
      <c r="AA485" s="152"/>
    </row>
    <row r="486" spans="1:27" hidden="1" outlineLevel="1">
      <c r="A486" s="215"/>
      <c r="B486" s="411"/>
      <c r="C486" s="416" t="s">
        <v>24</v>
      </c>
      <c r="D486" s="390"/>
      <c r="E486" s="390"/>
      <c r="F486" s="414"/>
      <c r="G486" s="1374"/>
      <c r="H486" s="1375"/>
      <c r="I486" s="1375">
        <f>IF(COUNT($H485:I485)='RFM input'!$V$7,SUM($G485:I485),0)</f>
        <v>0</v>
      </c>
      <c r="J486" s="1375">
        <f>IF(COUNT($H485:J485)='RFM input'!$V$7,SUM($G485:J485),0)</f>
        <v>0</v>
      </c>
      <c r="K486" s="1375">
        <f>IF(COUNT($H485:K485)='RFM input'!$V$7,SUM($G485:K485),0)</f>
        <v>0</v>
      </c>
      <c r="L486" s="1375">
        <f>IF(COUNT($H485:L485)='RFM input'!$V$7,SUM($G485:L485),0)</f>
        <v>0</v>
      </c>
      <c r="M486" s="1375">
        <f>IF(COUNT($H485:M485)='RFM input'!$V$7,SUM($G485:M485),0)</f>
        <v>0</v>
      </c>
      <c r="N486" s="1375">
        <f>IF(COUNT($H485:N485)='RFM input'!$V$7,SUM($G485:N485),0)</f>
        <v>0</v>
      </c>
      <c r="O486" s="1375">
        <f>IF(COUNT($H485:O485)='RFM input'!$V$7,SUM($G485:O485),0)</f>
        <v>0</v>
      </c>
      <c r="P486" s="1375">
        <f>IF(COUNT($H485:P485)='RFM input'!$V$7,SUM($G485:P485),0)</f>
        <v>0</v>
      </c>
      <c r="Q486" s="1375">
        <f>IF(COUNT($H485:Q485)='RFM input'!$V$7,SUM($G485:Q485),0)</f>
        <v>0</v>
      </c>
      <c r="R486" s="410"/>
      <c r="S486" s="71"/>
      <c r="T486" s="71"/>
      <c r="U486" s="71"/>
      <c r="V486" s="71"/>
      <c r="W486" s="71"/>
      <c r="X486" s="71"/>
      <c r="Y486" s="71"/>
      <c r="Z486" s="71"/>
      <c r="AA486" s="152"/>
    </row>
    <row r="487" spans="1:27" hidden="1" outlineLevel="1">
      <c r="A487" s="215">
        <f t="shared" ref="A487" si="32">A485+1</f>
        <v>29</v>
      </c>
      <c r="B487" s="411"/>
      <c r="C487" s="416">
        <f>Asset29</f>
        <v>0</v>
      </c>
      <c r="D487" s="390"/>
      <c r="E487" s="390"/>
      <c r="F487" s="414"/>
      <c r="G487" s="1374"/>
      <c r="H487" s="1375">
        <f>IF(COUNTA($G487:G487)&lt;'RFM input'!$V$7,(INDEX($G$379:$G$428,$A487,1)+(SUM($F487:G487)))*H$8,0)</f>
        <v>0</v>
      </c>
      <c r="I487" s="1375">
        <f>IF(COUNTA($G487:H487)&lt;'RFM input'!$V$7,(INDEX($G$379:$G$428,$A487,1)+(SUM($F487:H487)))*I$8,0)</f>
        <v>0</v>
      </c>
      <c r="J487" s="1375">
        <f>IF(COUNTA($G487:I487)&lt;'RFM input'!$V$7,(INDEX($G$379:$G$428,$A487,1)+(SUM($F487:I487)))*J$8,0)</f>
        <v>0</v>
      </c>
      <c r="K487" s="1375">
        <f>IF(COUNTA($G487:J487)&lt;'RFM input'!$V$7,(INDEX($G$379:$G$428,$A487,1)+(SUM($F487:J487)))*K$8,0)</f>
        <v>0</v>
      </c>
      <c r="L487" s="1375">
        <f>IF(COUNTA($G487:K487)&lt;'RFM input'!$V$7,(INDEX($G$379:$G$428,$A487,1)+(SUM($F487:K487)))*L$8,0)</f>
        <v>0</v>
      </c>
      <c r="M487" s="1375">
        <f>IF(COUNTA($G487:L487)&lt;'RFM input'!$V$7,(INDEX($G$379:$G$428,$A487,1)+(SUM($F487:L487)))*M$8,0)</f>
        <v>0</v>
      </c>
      <c r="N487" s="1375">
        <f>IF(COUNTA($G487:M487)&lt;'RFM input'!$V$7,(INDEX($G$379:$G$428,$A487,1)+(SUM($F487:M487)))*N$8,0)</f>
        <v>0</v>
      </c>
      <c r="O487" s="1375">
        <f>IF(COUNTA($G487:N487)&lt;'RFM input'!$V$7,(INDEX($G$379:$G$428,$A487,1)+(SUM($F487:N487)))*O$8,0)</f>
        <v>0</v>
      </c>
      <c r="P487" s="1375">
        <f>IF(COUNTA($G487:O487)&lt;'RFM input'!$V$7,(INDEX($G$379:$G$428,$A487,1)+(SUM($F487:O487)))*P$8,0)</f>
        <v>0</v>
      </c>
      <c r="Q487" s="1375">
        <f>IF(COUNTA($G487:P487)&lt;'RFM input'!$V$7,(INDEX($G$379:$G$428,$A487,1)+(SUM($F487:P487)))*Q$8,0)</f>
        <v>0</v>
      </c>
      <c r="R487" s="410"/>
      <c r="S487" s="71"/>
      <c r="T487" s="71"/>
      <c r="U487" s="71"/>
      <c r="V487" s="71"/>
      <c r="W487" s="71"/>
      <c r="X487" s="71"/>
      <c r="Y487" s="71"/>
      <c r="Z487" s="71"/>
      <c r="AA487" s="152"/>
    </row>
    <row r="488" spans="1:27" hidden="1" outlineLevel="1">
      <c r="A488" s="215"/>
      <c r="B488" s="411"/>
      <c r="C488" s="416" t="s">
        <v>24</v>
      </c>
      <c r="D488" s="390"/>
      <c r="E488" s="390"/>
      <c r="F488" s="414"/>
      <c r="G488" s="1374"/>
      <c r="H488" s="1375"/>
      <c r="I488" s="1375">
        <f>IF(COUNT($H487:I487)='RFM input'!$V$7,SUM($G487:I487),0)</f>
        <v>0</v>
      </c>
      <c r="J488" s="1375">
        <f>IF(COUNT($H487:J487)='RFM input'!$V$7,SUM($G487:J487),0)</f>
        <v>0</v>
      </c>
      <c r="K488" s="1375">
        <f>IF(COUNT($H487:K487)='RFM input'!$V$7,SUM($G487:K487),0)</f>
        <v>0</v>
      </c>
      <c r="L488" s="1375">
        <f>IF(COUNT($H487:L487)='RFM input'!$V$7,SUM($G487:L487),0)</f>
        <v>0</v>
      </c>
      <c r="M488" s="1375">
        <f>IF(COUNT($H487:M487)='RFM input'!$V$7,SUM($G487:M487),0)</f>
        <v>0</v>
      </c>
      <c r="N488" s="1375">
        <f>IF(COUNT($H487:N487)='RFM input'!$V$7,SUM($G487:N487),0)</f>
        <v>0</v>
      </c>
      <c r="O488" s="1375">
        <f>IF(COUNT($H487:O487)='RFM input'!$V$7,SUM($G487:O487),0)</f>
        <v>0</v>
      </c>
      <c r="P488" s="1375">
        <f>IF(COUNT($H487:P487)='RFM input'!$V$7,SUM($G487:P487),0)</f>
        <v>0</v>
      </c>
      <c r="Q488" s="1375">
        <f>IF(COUNT($H487:Q487)='RFM input'!$V$7,SUM($G487:Q487),0)</f>
        <v>0</v>
      </c>
      <c r="R488" s="410"/>
      <c r="S488" s="71"/>
      <c r="T488" s="71"/>
      <c r="U488" s="71"/>
      <c r="V488" s="71"/>
      <c r="W488" s="71"/>
      <c r="X488" s="71"/>
      <c r="Y488" s="71"/>
      <c r="Z488" s="71"/>
      <c r="AA488" s="152"/>
    </row>
    <row r="489" spans="1:27" hidden="1" outlineLevel="1">
      <c r="A489" s="215">
        <f t="shared" ref="A489" si="33">A487+1</f>
        <v>30</v>
      </c>
      <c r="B489" s="411"/>
      <c r="C489" s="416">
        <f>Asset30</f>
        <v>0</v>
      </c>
      <c r="D489" s="390"/>
      <c r="E489" s="390"/>
      <c r="F489" s="414"/>
      <c r="G489" s="1374"/>
      <c r="H489" s="1375">
        <f>IF(COUNTA($G489:G489)&lt;'RFM input'!$V$7,(INDEX($G$379:$G$428,$A489,1)+(SUM($F489:G489)))*H$8,0)</f>
        <v>0</v>
      </c>
      <c r="I489" s="1375">
        <f>IF(COUNTA($G489:H489)&lt;'RFM input'!$V$7,(INDEX($G$379:$G$428,$A489,1)+(SUM($F489:H489)))*I$8,0)</f>
        <v>0</v>
      </c>
      <c r="J489" s="1375">
        <f>IF(COUNTA($G489:I489)&lt;'RFM input'!$V$7,(INDEX($G$379:$G$428,$A489,1)+(SUM($F489:I489)))*J$8,0)</f>
        <v>0</v>
      </c>
      <c r="K489" s="1375">
        <f>IF(COUNTA($G489:J489)&lt;'RFM input'!$V$7,(INDEX($G$379:$G$428,$A489,1)+(SUM($F489:J489)))*K$8,0)</f>
        <v>0</v>
      </c>
      <c r="L489" s="1375">
        <f>IF(COUNTA($G489:K489)&lt;'RFM input'!$V$7,(INDEX($G$379:$G$428,$A489,1)+(SUM($F489:K489)))*L$8,0)</f>
        <v>0</v>
      </c>
      <c r="M489" s="1375">
        <f>IF(COUNTA($G489:L489)&lt;'RFM input'!$V$7,(INDEX($G$379:$G$428,$A489,1)+(SUM($F489:L489)))*M$8,0)</f>
        <v>0</v>
      </c>
      <c r="N489" s="1375">
        <f>IF(COUNTA($G489:M489)&lt;'RFM input'!$V$7,(INDEX($G$379:$G$428,$A489,1)+(SUM($F489:M489)))*N$8,0)</f>
        <v>0</v>
      </c>
      <c r="O489" s="1375">
        <f>IF(COUNTA($G489:N489)&lt;'RFM input'!$V$7,(INDEX($G$379:$G$428,$A489,1)+(SUM($F489:N489)))*O$8,0)</f>
        <v>0</v>
      </c>
      <c r="P489" s="1375">
        <f>IF(COUNTA($G489:O489)&lt;'RFM input'!$V$7,(INDEX($G$379:$G$428,$A489,1)+(SUM($F489:O489)))*P$8,0)</f>
        <v>0</v>
      </c>
      <c r="Q489" s="1375">
        <f>IF(COUNTA($G489:P489)&lt;'RFM input'!$V$7,(INDEX($G$379:$G$428,$A489,1)+(SUM($F489:P489)))*Q$8,0)</f>
        <v>0</v>
      </c>
      <c r="R489" s="410"/>
      <c r="S489" s="71"/>
      <c r="T489" s="71"/>
      <c r="U489" s="71"/>
      <c r="V489" s="71"/>
      <c r="W489" s="71"/>
      <c r="X489" s="71"/>
      <c r="Y489" s="71"/>
      <c r="Z489" s="71"/>
      <c r="AA489" s="152"/>
    </row>
    <row r="490" spans="1:27" hidden="1" outlineLevel="1">
      <c r="A490" s="215"/>
      <c r="B490" s="411"/>
      <c r="C490" s="416" t="s">
        <v>24</v>
      </c>
      <c r="D490" s="390"/>
      <c r="E490" s="390"/>
      <c r="F490" s="414"/>
      <c r="G490" s="1374"/>
      <c r="H490" s="1375"/>
      <c r="I490" s="1375">
        <f>IF(COUNT($H489:I489)='RFM input'!$V$7,SUM($G489:I489),0)</f>
        <v>0</v>
      </c>
      <c r="J490" s="1375">
        <f>IF(COUNT($H489:J489)='RFM input'!$V$7,SUM($G489:J489),0)</f>
        <v>0</v>
      </c>
      <c r="K490" s="1375">
        <f>IF(COUNT($H489:K489)='RFM input'!$V$7,SUM($G489:K489),0)</f>
        <v>0</v>
      </c>
      <c r="L490" s="1375">
        <f>IF(COUNT($H489:L489)='RFM input'!$V$7,SUM($G489:L489),0)</f>
        <v>0</v>
      </c>
      <c r="M490" s="1375">
        <f>IF(COUNT($H489:M489)='RFM input'!$V$7,SUM($G489:M489),0)</f>
        <v>0</v>
      </c>
      <c r="N490" s="1375">
        <f>IF(COUNT($H489:N489)='RFM input'!$V$7,SUM($G489:N489),0)</f>
        <v>0</v>
      </c>
      <c r="O490" s="1375">
        <f>IF(COUNT($H489:O489)='RFM input'!$V$7,SUM($G489:O489),0)</f>
        <v>0</v>
      </c>
      <c r="P490" s="1375">
        <f>IF(COUNT($H489:P489)='RFM input'!$V$7,SUM($G489:P489),0)</f>
        <v>0</v>
      </c>
      <c r="Q490" s="1375">
        <f>IF(COUNT($H489:Q489)='RFM input'!$V$7,SUM($G489:Q489),0)</f>
        <v>0</v>
      </c>
      <c r="R490" s="410"/>
      <c r="S490" s="71"/>
      <c r="T490" s="71"/>
      <c r="U490" s="71"/>
      <c r="V490" s="71"/>
      <c r="W490" s="71"/>
      <c r="X490" s="71"/>
      <c r="Y490" s="71"/>
      <c r="Z490" s="71"/>
      <c r="AA490" s="152"/>
    </row>
    <row r="491" spans="1:27" hidden="1" outlineLevel="1">
      <c r="A491" s="215">
        <f t="shared" ref="A491" si="34">A489+1</f>
        <v>31</v>
      </c>
      <c r="B491" s="411"/>
      <c r="C491" s="416">
        <f>Asset31</f>
        <v>0</v>
      </c>
      <c r="D491" s="390"/>
      <c r="E491" s="390"/>
      <c r="F491" s="414"/>
      <c r="G491" s="1374"/>
      <c r="H491" s="1375">
        <f>IF(COUNTA($G491:G491)&lt;'RFM input'!$V$7,(INDEX($G$379:$G$428,$A491,1)+(SUM($F491:G491)))*H$8,0)</f>
        <v>0</v>
      </c>
      <c r="I491" s="1375">
        <f>IF(COUNTA($G491:H491)&lt;'RFM input'!$V$7,(INDEX($G$379:$G$428,$A491,1)+(SUM($F491:H491)))*I$8,0)</f>
        <v>0</v>
      </c>
      <c r="J491" s="1375">
        <f>IF(COUNTA($G491:I491)&lt;'RFM input'!$V$7,(INDEX($G$379:$G$428,$A491,1)+(SUM($F491:I491)))*J$8,0)</f>
        <v>0</v>
      </c>
      <c r="K491" s="1375">
        <f>IF(COUNTA($G491:J491)&lt;'RFM input'!$V$7,(INDEX($G$379:$G$428,$A491,1)+(SUM($F491:J491)))*K$8,0)</f>
        <v>0</v>
      </c>
      <c r="L491" s="1375">
        <f>IF(COUNTA($G491:K491)&lt;'RFM input'!$V$7,(INDEX($G$379:$G$428,$A491,1)+(SUM($F491:K491)))*L$8,0)</f>
        <v>0</v>
      </c>
      <c r="M491" s="1375">
        <f>IF(COUNTA($G491:L491)&lt;'RFM input'!$V$7,(INDEX($G$379:$G$428,$A491,1)+(SUM($F491:L491)))*M$8,0)</f>
        <v>0</v>
      </c>
      <c r="N491" s="1375">
        <f>IF(COUNTA($G491:M491)&lt;'RFM input'!$V$7,(INDEX($G$379:$G$428,$A491,1)+(SUM($F491:M491)))*N$8,0)</f>
        <v>0</v>
      </c>
      <c r="O491" s="1375">
        <f>IF(COUNTA($G491:N491)&lt;'RFM input'!$V$7,(INDEX($G$379:$G$428,$A491,1)+(SUM($F491:N491)))*O$8,0)</f>
        <v>0</v>
      </c>
      <c r="P491" s="1375">
        <f>IF(COUNTA($G491:O491)&lt;'RFM input'!$V$7,(INDEX($G$379:$G$428,$A491,1)+(SUM($F491:O491)))*P$8,0)</f>
        <v>0</v>
      </c>
      <c r="Q491" s="1375">
        <f>IF(COUNTA($G491:P491)&lt;'RFM input'!$V$7,(INDEX($G$379:$G$428,$A491,1)+(SUM($F491:P491)))*Q$8,0)</f>
        <v>0</v>
      </c>
      <c r="R491" s="410"/>
      <c r="S491" s="71"/>
      <c r="T491" s="71"/>
      <c r="U491" s="71"/>
      <c r="V491" s="71"/>
      <c r="W491" s="71"/>
      <c r="X491" s="71"/>
      <c r="Y491" s="71"/>
      <c r="Z491" s="71"/>
      <c r="AA491" s="152"/>
    </row>
    <row r="492" spans="1:27" hidden="1" outlineLevel="1">
      <c r="A492" s="215"/>
      <c r="B492" s="411"/>
      <c r="C492" s="416" t="s">
        <v>24</v>
      </c>
      <c r="D492" s="390"/>
      <c r="E492" s="390"/>
      <c r="F492" s="414"/>
      <c r="G492" s="1374"/>
      <c r="H492" s="1375"/>
      <c r="I492" s="1375">
        <f>IF(COUNT($H491:I491)='RFM input'!$V$7,SUM($G491:I491),0)</f>
        <v>0</v>
      </c>
      <c r="J492" s="1375">
        <f>IF(COUNT($H491:J491)='RFM input'!$V$7,SUM($G491:J491),0)</f>
        <v>0</v>
      </c>
      <c r="K492" s="1375">
        <f>IF(COUNT($H491:K491)='RFM input'!$V$7,SUM($G491:K491),0)</f>
        <v>0</v>
      </c>
      <c r="L492" s="1375">
        <f>IF(COUNT($H491:L491)='RFM input'!$V$7,SUM($G491:L491),0)</f>
        <v>0</v>
      </c>
      <c r="M492" s="1375">
        <f>IF(COUNT($H491:M491)='RFM input'!$V$7,SUM($G491:M491),0)</f>
        <v>0</v>
      </c>
      <c r="N492" s="1375">
        <f>IF(COUNT($H491:N491)='RFM input'!$V$7,SUM($G491:N491),0)</f>
        <v>0</v>
      </c>
      <c r="O492" s="1375">
        <f>IF(COUNT($H491:O491)='RFM input'!$V$7,SUM($G491:O491),0)</f>
        <v>0</v>
      </c>
      <c r="P492" s="1375">
        <f>IF(COUNT($H491:P491)='RFM input'!$V$7,SUM($G491:P491),0)</f>
        <v>0</v>
      </c>
      <c r="Q492" s="1375">
        <f>IF(COUNT($H491:Q491)='RFM input'!$V$7,SUM($G491:Q491),0)</f>
        <v>0</v>
      </c>
      <c r="R492" s="410"/>
      <c r="S492" s="71"/>
      <c r="T492" s="71"/>
      <c r="U492" s="71"/>
      <c r="V492" s="71"/>
      <c r="W492" s="71"/>
      <c r="X492" s="71"/>
      <c r="Y492" s="71"/>
      <c r="Z492" s="71"/>
      <c r="AA492" s="152"/>
    </row>
    <row r="493" spans="1:27" hidden="1" outlineLevel="1">
      <c r="A493" s="215">
        <f t="shared" ref="A493" si="35">A491+1</f>
        <v>32</v>
      </c>
      <c r="B493" s="411"/>
      <c r="C493" s="416">
        <f>Asset32</f>
        <v>0</v>
      </c>
      <c r="D493" s="390"/>
      <c r="E493" s="390"/>
      <c r="F493" s="414"/>
      <c r="G493" s="1374"/>
      <c r="H493" s="1375">
        <f>IF(COUNTA($G493:G493)&lt;'RFM input'!$V$7,(INDEX($G$379:$G$428,$A493,1)+(SUM($F493:G493)))*H$8,0)</f>
        <v>0</v>
      </c>
      <c r="I493" s="1375">
        <f>IF(COUNTA($G493:H493)&lt;'RFM input'!$V$7,(INDEX($G$379:$G$428,$A493,1)+(SUM($F493:H493)))*I$8,0)</f>
        <v>0</v>
      </c>
      <c r="J493" s="1375">
        <f>IF(COUNTA($G493:I493)&lt;'RFM input'!$V$7,(INDEX($G$379:$G$428,$A493,1)+(SUM($F493:I493)))*J$8,0)</f>
        <v>0</v>
      </c>
      <c r="K493" s="1375">
        <f>IF(COUNTA($G493:J493)&lt;'RFM input'!$V$7,(INDEX($G$379:$G$428,$A493,1)+(SUM($F493:J493)))*K$8,0)</f>
        <v>0</v>
      </c>
      <c r="L493" s="1375">
        <f>IF(COUNTA($G493:K493)&lt;'RFM input'!$V$7,(INDEX($G$379:$G$428,$A493,1)+(SUM($F493:K493)))*L$8,0)</f>
        <v>0</v>
      </c>
      <c r="M493" s="1375">
        <f>IF(COUNTA($G493:L493)&lt;'RFM input'!$V$7,(INDEX($G$379:$G$428,$A493,1)+(SUM($F493:L493)))*M$8,0)</f>
        <v>0</v>
      </c>
      <c r="N493" s="1375">
        <f>IF(COUNTA($G493:M493)&lt;'RFM input'!$V$7,(INDEX($G$379:$G$428,$A493,1)+(SUM($F493:M493)))*N$8,0)</f>
        <v>0</v>
      </c>
      <c r="O493" s="1375">
        <f>IF(COUNTA($G493:N493)&lt;'RFM input'!$V$7,(INDEX($G$379:$G$428,$A493,1)+(SUM($F493:N493)))*O$8,0)</f>
        <v>0</v>
      </c>
      <c r="P493" s="1375">
        <f>IF(COUNTA($G493:O493)&lt;'RFM input'!$V$7,(INDEX($G$379:$G$428,$A493,1)+(SUM($F493:O493)))*P$8,0)</f>
        <v>0</v>
      </c>
      <c r="Q493" s="1375">
        <f>IF(COUNTA($G493:P493)&lt;'RFM input'!$V$7,(INDEX($G$379:$G$428,$A493,1)+(SUM($F493:P493)))*Q$8,0)</f>
        <v>0</v>
      </c>
      <c r="R493" s="410"/>
      <c r="S493" s="71"/>
      <c r="T493" s="71"/>
      <c r="U493" s="71"/>
      <c r="V493" s="71"/>
      <c r="W493" s="71"/>
      <c r="X493" s="71"/>
      <c r="Y493" s="71"/>
      <c r="Z493" s="71"/>
      <c r="AA493" s="152"/>
    </row>
    <row r="494" spans="1:27" hidden="1" outlineLevel="1">
      <c r="A494" s="215"/>
      <c r="B494" s="411"/>
      <c r="C494" s="416" t="s">
        <v>24</v>
      </c>
      <c r="D494" s="390"/>
      <c r="E494" s="390"/>
      <c r="F494" s="414"/>
      <c r="G494" s="1374"/>
      <c r="H494" s="1375"/>
      <c r="I494" s="1375">
        <f>IF(COUNT($H493:I493)='RFM input'!$V$7,SUM($G493:I493),0)</f>
        <v>0</v>
      </c>
      <c r="J494" s="1375">
        <f>IF(COUNT($H493:J493)='RFM input'!$V$7,SUM($G493:J493),0)</f>
        <v>0</v>
      </c>
      <c r="K494" s="1375">
        <f>IF(COUNT($H493:K493)='RFM input'!$V$7,SUM($G493:K493),0)</f>
        <v>0</v>
      </c>
      <c r="L494" s="1375">
        <f>IF(COUNT($H493:L493)='RFM input'!$V$7,SUM($G493:L493),0)</f>
        <v>0</v>
      </c>
      <c r="M494" s="1375">
        <f>IF(COUNT($H493:M493)='RFM input'!$V$7,SUM($G493:M493),0)</f>
        <v>0</v>
      </c>
      <c r="N494" s="1375">
        <f>IF(COUNT($H493:N493)='RFM input'!$V$7,SUM($G493:N493),0)</f>
        <v>0</v>
      </c>
      <c r="O494" s="1375">
        <f>IF(COUNT($H493:O493)='RFM input'!$V$7,SUM($G493:O493),0)</f>
        <v>0</v>
      </c>
      <c r="P494" s="1375">
        <f>IF(COUNT($H493:P493)='RFM input'!$V$7,SUM($G493:P493),0)</f>
        <v>0</v>
      </c>
      <c r="Q494" s="1375">
        <f>IF(COUNT($H493:Q493)='RFM input'!$V$7,SUM($G493:Q493),0)</f>
        <v>0</v>
      </c>
      <c r="R494" s="410"/>
      <c r="S494" s="71"/>
      <c r="T494" s="71"/>
      <c r="U494" s="71"/>
      <c r="V494" s="71"/>
      <c r="W494" s="71"/>
      <c r="X494" s="71"/>
      <c r="Y494" s="71"/>
      <c r="Z494" s="71"/>
      <c r="AA494" s="152"/>
    </row>
    <row r="495" spans="1:27" hidden="1" outlineLevel="1">
      <c r="A495" s="215">
        <f t="shared" ref="A495" si="36">A493+1</f>
        <v>33</v>
      </c>
      <c r="B495" s="411"/>
      <c r="C495" s="416">
        <f>Asset33</f>
        <v>0</v>
      </c>
      <c r="D495" s="390"/>
      <c r="E495" s="390"/>
      <c r="F495" s="414"/>
      <c r="G495" s="1374"/>
      <c r="H495" s="1375">
        <f>IF(COUNTA($G495:G495)&lt;'RFM input'!$V$7,(INDEX($G$379:$G$428,$A495,1)+(SUM($F495:G495)))*H$8,0)</f>
        <v>0</v>
      </c>
      <c r="I495" s="1375">
        <f>IF(COUNTA($G495:H495)&lt;'RFM input'!$V$7,(INDEX($G$379:$G$428,$A495,1)+(SUM($F495:H495)))*I$8,0)</f>
        <v>0</v>
      </c>
      <c r="J495" s="1375">
        <f>IF(COUNTA($G495:I495)&lt;'RFM input'!$V$7,(INDEX($G$379:$G$428,$A495,1)+(SUM($F495:I495)))*J$8,0)</f>
        <v>0</v>
      </c>
      <c r="K495" s="1375">
        <f>IF(COUNTA($G495:J495)&lt;'RFM input'!$V$7,(INDEX($G$379:$G$428,$A495,1)+(SUM($F495:J495)))*K$8,0)</f>
        <v>0</v>
      </c>
      <c r="L495" s="1375">
        <f>IF(COUNTA($G495:K495)&lt;'RFM input'!$V$7,(INDEX($G$379:$G$428,$A495,1)+(SUM($F495:K495)))*L$8,0)</f>
        <v>0</v>
      </c>
      <c r="M495" s="1375">
        <f>IF(COUNTA($G495:L495)&lt;'RFM input'!$V$7,(INDEX($G$379:$G$428,$A495,1)+(SUM($F495:L495)))*M$8,0)</f>
        <v>0</v>
      </c>
      <c r="N495" s="1375">
        <f>IF(COUNTA($G495:M495)&lt;'RFM input'!$V$7,(INDEX($G$379:$G$428,$A495,1)+(SUM($F495:M495)))*N$8,0)</f>
        <v>0</v>
      </c>
      <c r="O495" s="1375">
        <f>IF(COUNTA($G495:N495)&lt;'RFM input'!$V$7,(INDEX($G$379:$G$428,$A495,1)+(SUM($F495:N495)))*O$8,0)</f>
        <v>0</v>
      </c>
      <c r="P495" s="1375">
        <f>IF(COUNTA($G495:O495)&lt;'RFM input'!$V$7,(INDEX($G$379:$G$428,$A495,1)+(SUM($F495:O495)))*P$8,0)</f>
        <v>0</v>
      </c>
      <c r="Q495" s="1375">
        <f>IF(COUNTA($G495:P495)&lt;'RFM input'!$V$7,(INDEX($G$379:$G$428,$A495,1)+(SUM($F495:P495)))*Q$8,0)</f>
        <v>0</v>
      </c>
      <c r="R495" s="410"/>
      <c r="S495" s="71"/>
      <c r="T495" s="71"/>
      <c r="U495" s="71"/>
      <c r="V495" s="71"/>
      <c r="W495" s="71"/>
      <c r="X495" s="71"/>
      <c r="Y495" s="71"/>
      <c r="Z495" s="71"/>
      <c r="AA495" s="152"/>
    </row>
    <row r="496" spans="1:27" hidden="1" outlineLevel="1">
      <c r="A496" s="215"/>
      <c r="B496" s="411"/>
      <c r="C496" s="416" t="s">
        <v>24</v>
      </c>
      <c r="D496" s="390"/>
      <c r="E496" s="390"/>
      <c r="F496" s="414"/>
      <c r="G496" s="1374"/>
      <c r="H496" s="1375"/>
      <c r="I496" s="1375">
        <f>IF(COUNT($H495:I495)='RFM input'!$V$7,SUM($G495:I495),0)</f>
        <v>0</v>
      </c>
      <c r="J496" s="1375">
        <f>IF(COUNT($H495:J495)='RFM input'!$V$7,SUM($G495:J495),0)</f>
        <v>0</v>
      </c>
      <c r="K496" s="1375">
        <f>IF(COUNT($H495:K495)='RFM input'!$V$7,SUM($G495:K495),0)</f>
        <v>0</v>
      </c>
      <c r="L496" s="1375">
        <f>IF(COUNT($H495:L495)='RFM input'!$V$7,SUM($G495:L495),0)</f>
        <v>0</v>
      </c>
      <c r="M496" s="1375">
        <f>IF(COUNT($H495:M495)='RFM input'!$V$7,SUM($G495:M495),0)</f>
        <v>0</v>
      </c>
      <c r="N496" s="1375">
        <f>IF(COUNT($H495:N495)='RFM input'!$V$7,SUM($G495:N495),0)</f>
        <v>0</v>
      </c>
      <c r="O496" s="1375">
        <f>IF(COUNT($H495:O495)='RFM input'!$V$7,SUM($G495:O495),0)</f>
        <v>0</v>
      </c>
      <c r="P496" s="1375">
        <f>IF(COUNT($H495:P495)='RFM input'!$V$7,SUM($G495:P495),0)</f>
        <v>0</v>
      </c>
      <c r="Q496" s="1375">
        <f>IF(COUNT($H495:Q495)='RFM input'!$V$7,SUM($G495:Q495),0)</f>
        <v>0</v>
      </c>
      <c r="R496" s="410"/>
      <c r="S496" s="71"/>
      <c r="T496" s="71"/>
      <c r="U496" s="71"/>
      <c r="V496" s="71"/>
      <c r="W496" s="71"/>
      <c r="X496" s="71"/>
      <c r="Y496" s="71"/>
      <c r="Z496" s="71"/>
      <c r="AA496" s="152"/>
    </row>
    <row r="497" spans="1:27" hidden="1" outlineLevel="1">
      <c r="A497" s="215">
        <f t="shared" ref="A497" si="37">A495+1</f>
        <v>34</v>
      </c>
      <c r="B497" s="411"/>
      <c r="C497" s="416">
        <f>Asset34</f>
        <v>0</v>
      </c>
      <c r="D497" s="390"/>
      <c r="E497" s="390"/>
      <c r="F497" s="414"/>
      <c r="G497" s="1374"/>
      <c r="H497" s="1375">
        <f>IF(COUNTA($G497:G497)&lt;'RFM input'!$V$7,(INDEX($G$379:$G$428,$A497,1)+(SUM($F497:G497)))*H$8,0)</f>
        <v>0</v>
      </c>
      <c r="I497" s="1375">
        <f>IF(COUNTA($G497:H497)&lt;'RFM input'!$V$7,(INDEX($G$379:$G$428,$A497,1)+(SUM($F497:H497)))*I$8,0)</f>
        <v>0</v>
      </c>
      <c r="J497" s="1375">
        <f>IF(COUNTA($G497:I497)&lt;'RFM input'!$V$7,(INDEX($G$379:$G$428,$A497,1)+(SUM($F497:I497)))*J$8,0)</f>
        <v>0</v>
      </c>
      <c r="K497" s="1375">
        <f>IF(COUNTA($G497:J497)&lt;'RFM input'!$V$7,(INDEX($G$379:$G$428,$A497,1)+(SUM($F497:J497)))*K$8,0)</f>
        <v>0</v>
      </c>
      <c r="L497" s="1375">
        <f>IF(COUNTA($G497:K497)&lt;'RFM input'!$V$7,(INDEX($G$379:$G$428,$A497,1)+(SUM($F497:K497)))*L$8,0)</f>
        <v>0</v>
      </c>
      <c r="M497" s="1375">
        <f>IF(COUNTA($G497:L497)&lt;'RFM input'!$V$7,(INDEX($G$379:$G$428,$A497,1)+(SUM($F497:L497)))*M$8,0)</f>
        <v>0</v>
      </c>
      <c r="N497" s="1375">
        <f>IF(COUNTA($G497:M497)&lt;'RFM input'!$V$7,(INDEX($G$379:$G$428,$A497,1)+(SUM($F497:M497)))*N$8,0)</f>
        <v>0</v>
      </c>
      <c r="O497" s="1375">
        <f>IF(COUNTA($G497:N497)&lt;'RFM input'!$V$7,(INDEX($G$379:$G$428,$A497,1)+(SUM($F497:N497)))*O$8,0)</f>
        <v>0</v>
      </c>
      <c r="P497" s="1375">
        <f>IF(COUNTA($G497:O497)&lt;'RFM input'!$V$7,(INDEX($G$379:$G$428,$A497,1)+(SUM($F497:O497)))*P$8,0)</f>
        <v>0</v>
      </c>
      <c r="Q497" s="1375">
        <f>IF(COUNTA($G497:P497)&lt;'RFM input'!$V$7,(INDEX($G$379:$G$428,$A497,1)+(SUM($F497:P497)))*Q$8,0)</f>
        <v>0</v>
      </c>
      <c r="R497" s="410"/>
      <c r="S497" s="71"/>
      <c r="T497" s="71"/>
      <c r="U497" s="71"/>
      <c r="V497" s="71"/>
      <c r="W497" s="71"/>
      <c r="X497" s="71"/>
      <c r="Y497" s="71"/>
      <c r="Z497" s="71"/>
      <c r="AA497" s="152"/>
    </row>
    <row r="498" spans="1:27" hidden="1" outlineLevel="1">
      <c r="A498" s="215"/>
      <c r="B498" s="411"/>
      <c r="C498" s="416" t="s">
        <v>24</v>
      </c>
      <c r="D498" s="390"/>
      <c r="E498" s="390"/>
      <c r="F498" s="414"/>
      <c r="G498" s="1374"/>
      <c r="H498" s="1375"/>
      <c r="I498" s="1375">
        <f>IF(COUNT($H497:I497)='RFM input'!$V$7,SUM($G497:I497),0)</f>
        <v>0</v>
      </c>
      <c r="J498" s="1375">
        <f>IF(COUNT($H497:J497)='RFM input'!$V$7,SUM($G497:J497),0)</f>
        <v>0</v>
      </c>
      <c r="K498" s="1375">
        <f>IF(COUNT($H497:K497)='RFM input'!$V$7,SUM($G497:K497),0)</f>
        <v>0</v>
      </c>
      <c r="L498" s="1375">
        <f>IF(COUNT($H497:L497)='RFM input'!$V$7,SUM($G497:L497),0)</f>
        <v>0</v>
      </c>
      <c r="M498" s="1375">
        <f>IF(COUNT($H497:M497)='RFM input'!$V$7,SUM($G497:M497),0)</f>
        <v>0</v>
      </c>
      <c r="N498" s="1375">
        <f>IF(COUNT($H497:N497)='RFM input'!$V$7,SUM($G497:N497),0)</f>
        <v>0</v>
      </c>
      <c r="O498" s="1375">
        <f>IF(COUNT($H497:O497)='RFM input'!$V$7,SUM($G497:O497),0)</f>
        <v>0</v>
      </c>
      <c r="P498" s="1375">
        <f>IF(COUNT($H497:P497)='RFM input'!$V$7,SUM($G497:P497),0)</f>
        <v>0</v>
      </c>
      <c r="Q498" s="1375">
        <f>IF(COUNT($H497:Q497)='RFM input'!$V$7,SUM($G497:Q497),0)</f>
        <v>0</v>
      </c>
      <c r="R498" s="410"/>
      <c r="S498" s="71"/>
      <c r="T498" s="71"/>
      <c r="U498" s="71"/>
      <c r="V498" s="71"/>
      <c r="W498" s="71"/>
      <c r="X498" s="71"/>
      <c r="Y498" s="71"/>
      <c r="Z498" s="71"/>
      <c r="AA498" s="152"/>
    </row>
    <row r="499" spans="1:27" hidden="1" outlineLevel="1">
      <c r="A499" s="215">
        <f t="shared" ref="A499" si="38">A497+1</f>
        <v>35</v>
      </c>
      <c r="B499" s="411"/>
      <c r="C499" s="416">
        <f>Asset35</f>
        <v>0</v>
      </c>
      <c r="D499" s="390"/>
      <c r="E499" s="390"/>
      <c r="F499" s="414"/>
      <c r="G499" s="1374"/>
      <c r="H499" s="1375">
        <f>IF(COUNTA($G499:G499)&lt;'RFM input'!$V$7,(INDEX($G$379:$G$428,$A499,1)+(SUM($F499:G499)))*H$8,0)</f>
        <v>0</v>
      </c>
      <c r="I499" s="1375">
        <f>IF(COUNTA($G499:H499)&lt;'RFM input'!$V$7,(INDEX($G$379:$G$428,$A499,1)+(SUM($F499:H499)))*I$8,0)</f>
        <v>0</v>
      </c>
      <c r="J499" s="1375">
        <f>IF(COUNTA($G499:I499)&lt;'RFM input'!$V$7,(INDEX($G$379:$G$428,$A499,1)+(SUM($F499:I499)))*J$8,0)</f>
        <v>0</v>
      </c>
      <c r="K499" s="1375">
        <f>IF(COUNTA($G499:J499)&lt;'RFM input'!$V$7,(INDEX($G$379:$G$428,$A499,1)+(SUM($F499:J499)))*K$8,0)</f>
        <v>0</v>
      </c>
      <c r="L499" s="1375">
        <f>IF(COUNTA($G499:K499)&lt;'RFM input'!$V$7,(INDEX($G$379:$G$428,$A499,1)+(SUM($F499:K499)))*L$8,0)</f>
        <v>0</v>
      </c>
      <c r="M499" s="1375">
        <f>IF(COUNTA($G499:L499)&lt;'RFM input'!$V$7,(INDEX($G$379:$G$428,$A499,1)+(SUM($F499:L499)))*M$8,0)</f>
        <v>0</v>
      </c>
      <c r="N499" s="1375">
        <f>IF(COUNTA($G499:M499)&lt;'RFM input'!$V$7,(INDEX($G$379:$G$428,$A499,1)+(SUM($F499:M499)))*N$8,0)</f>
        <v>0</v>
      </c>
      <c r="O499" s="1375">
        <f>IF(COUNTA($G499:N499)&lt;'RFM input'!$V$7,(INDEX($G$379:$G$428,$A499,1)+(SUM($F499:N499)))*O$8,0)</f>
        <v>0</v>
      </c>
      <c r="P499" s="1375">
        <f>IF(COUNTA($G499:O499)&lt;'RFM input'!$V$7,(INDEX($G$379:$G$428,$A499,1)+(SUM($F499:O499)))*P$8,0)</f>
        <v>0</v>
      </c>
      <c r="Q499" s="1375">
        <f>IF(COUNTA($G499:P499)&lt;'RFM input'!$V$7,(INDEX($G$379:$G$428,$A499,1)+(SUM($F499:P499)))*Q$8,0)</f>
        <v>0</v>
      </c>
      <c r="R499" s="410"/>
      <c r="S499" s="71"/>
      <c r="T499" s="71"/>
      <c r="U499" s="71"/>
      <c r="V499" s="71"/>
      <c r="W499" s="71"/>
      <c r="X499" s="71"/>
      <c r="Y499" s="71"/>
      <c r="Z499" s="71"/>
      <c r="AA499" s="152"/>
    </row>
    <row r="500" spans="1:27" hidden="1" outlineLevel="1">
      <c r="A500" s="215"/>
      <c r="B500" s="411"/>
      <c r="C500" s="416" t="s">
        <v>24</v>
      </c>
      <c r="D500" s="390"/>
      <c r="E500" s="390"/>
      <c r="F500" s="414"/>
      <c r="G500" s="1374"/>
      <c r="H500" s="1375"/>
      <c r="I500" s="1375">
        <f>IF(COUNT($H499:I499)='RFM input'!$V$7,SUM($G499:I499),0)</f>
        <v>0</v>
      </c>
      <c r="J500" s="1375">
        <f>IF(COUNT($H499:J499)='RFM input'!$V$7,SUM($G499:J499),0)</f>
        <v>0</v>
      </c>
      <c r="K500" s="1375">
        <f>IF(COUNT($H499:K499)='RFM input'!$V$7,SUM($G499:K499),0)</f>
        <v>0</v>
      </c>
      <c r="L500" s="1375">
        <f>IF(COUNT($H499:L499)='RFM input'!$V$7,SUM($G499:L499),0)</f>
        <v>0</v>
      </c>
      <c r="M500" s="1375">
        <f>IF(COUNT($H499:M499)='RFM input'!$V$7,SUM($G499:M499),0)</f>
        <v>0</v>
      </c>
      <c r="N500" s="1375">
        <f>IF(COUNT($H499:N499)='RFM input'!$V$7,SUM($G499:N499),0)</f>
        <v>0</v>
      </c>
      <c r="O500" s="1375">
        <f>IF(COUNT($H499:O499)='RFM input'!$V$7,SUM($G499:O499),0)</f>
        <v>0</v>
      </c>
      <c r="P500" s="1375">
        <f>IF(COUNT($H499:P499)='RFM input'!$V$7,SUM($G499:P499),0)</f>
        <v>0</v>
      </c>
      <c r="Q500" s="1375">
        <f>IF(COUNT($H499:Q499)='RFM input'!$V$7,SUM($G499:Q499),0)</f>
        <v>0</v>
      </c>
      <c r="R500" s="410"/>
      <c r="S500" s="71"/>
      <c r="T500" s="71"/>
      <c r="U500" s="71"/>
      <c r="V500" s="71"/>
      <c r="W500" s="71"/>
      <c r="X500" s="71"/>
      <c r="Y500" s="71"/>
      <c r="Z500" s="71"/>
      <c r="AA500" s="152"/>
    </row>
    <row r="501" spans="1:27" hidden="1" outlineLevel="1">
      <c r="A501" s="215">
        <f t="shared" ref="A501" si="39">A499+1</f>
        <v>36</v>
      </c>
      <c r="B501" s="411"/>
      <c r="C501" s="416">
        <f>Asset36</f>
        <v>0</v>
      </c>
      <c r="D501" s="390"/>
      <c r="E501" s="390"/>
      <c r="F501" s="414"/>
      <c r="G501" s="1374"/>
      <c r="H501" s="1375">
        <f>IF(COUNTA($G501:G501)&lt;'RFM input'!$V$7,(INDEX($G$379:$G$428,$A501,1)+(SUM($F501:G501)))*H$8,0)</f>
        <v>0</v>
      </c>
      <c r="I501" s="1375">
        <f>IF(COUNTA($G501:H501)&lt;'RFM input'!$V$7,(INDEX($G$379:$G$428,$A501,1)+(SUM($F501:H501)))*I$8,0)</f>
        <v>0</v>
      </c>
      <c r="J501" s="1375">
        <f>IF(COUNTA($G501:I501)&lt;'RFM input'!$V$7,(INDEX($G$379:$G$428,$A501,1)+(SUM($F501:I501)))*J$8,0)</f>
        <v>0</v>
      </c>
      <c r="K501" s="1375">
        <f>IF(COUNTA($G501:J501)&lt;'RFM input'!$V$7,(INDEX($G$379:$G$428,$A501,1)+(SUM($F501:J501)))*K$8,0)</f>
        <v>0</v>
      </c>
      <c r="L501" s="1375">
        <f>IF(COUNTA($G501:K501)&lt;'RFM input'!$V$7,(INDEX($G$379:$G$428,$A501,1)+(SUM($F501:K501)))*L$8,0)</f>
        <v>0</v>
      </c>
      <c r="M501" s="1375">
        <f>IF(COUNTA($G501:L501)&lt;'RFM input'!$V$7,(INDEX($G$379:$G$428,$A501,1)+(SUM($F501:L501)))*M$8,0)</f>
        <v>0</v>
      </c>
      <c r="N501" s="1375">
        <f>IF(COUNTA($G501:M501)&lt;'RFM input'!$V$7,(INDEX($G$379:$G$428,$A501,1)+(SUM($F501:M501)))*N$8,0)</f>
        <v>0</v>
      </c>
      <c r="O501" s="1375">
        <f>IF(COUNTA($G501:N501)&lt;'RFM input'!$V$7,(INDEX($G$379:$G$428,$A501,1)+(SUM($F501:N501)))*O$8,0)</f>
        <v>0</v>
      </c>
      <c r="P501" s="1375">
        <f>IF(COUNTA($G501:O501)&lt;'RFM input'!$V$7,(INDEX($G$379:$G$428,$A501,1)+(SUM($F501:O501)))*P$8,0)</f>
        <v>0</v>
      </c>
      <c r="Q501" s="1375">
        <f>IF(COUNTA($G501:P501)&lt;'RFM input'!$V$7,(INDEX($G$379:$G$428,$A501,1)+(SUM($F501:P501)))*Q$8,0)</f>
        <v>0</v>
      </c>
      <c r="R501" s="410"/>
      <c r="S501" s="71"/>
      <c r="T501" s="71"/>
      <c r="U501" s="71"/>
      <c r="V501" s="71"/>
      <c r="W501" s="71"/>
      <c r="X501" s="71"/>
      <c r="Y501" s="71"/>
      <c r="Z501" s="71"/>
      <c r="AA501" s="152"/>
    </row>
    <row r="502" spans="1:27" hidden="1" outlineLevel="1">
      <c r="A502" s="215"/>
      <c r="B502" s="411"/>
      <c r="C502" s="416" t="s">
        <v>24</v>
      </c>
      <c r="D502" s="390"/>
      <c r="E502" s="390"/>
      <c r="F502" s="414"/>
      <c r="G502" s="1374"/>
      <c r="H502" s="1375"/>
      <c r="I502" s="1375">
        <f>IF(COUNT($H501:I501)='RFM input'!$V$7,SUM($G501:I501),0)</f>
        <v>0</v>
      </c>
      <c r="J502" s="1375">
        <f>IF(COUNT($H501:J501)='RFM input'!$V$7,SUM($G501:J501),0)</f>
        <v>0</v>
      </c>
      <c r="K502" s="1375">
        <f>IF(COUNT($H501:K501)='RFM input'!$V$7,SUM($G501:K501),0)</f>
        <v>0</v>
      </c>
      <c r="L502" s="1375">
        <f>IF(COUNT($H501:L501)='RFM input'!$V$7,SUM($G501:L501),0)</f>
        <v>0</v>
      </c>
      <c r="M502" s="1375">
        <f>IF(COUNT($H501:M501)='RFM input'!$V$7,SUM($G501:M501),0)</f>
        <v>0</v>
      </c>
      <c r="N502" s="1375">
        <f>IF(COUNT($H501:N501)='RFM input'!$V$7,SUM($G501:N501),0)</f>
        <v>0</v>
      </c>
      <c r="O502" s="1375">
        <f>IF(COUNT($H501:O501)='RFM input'!$V$7,SUM($G501:O501),0)</f>
        <v>0</v>
      </c>
      <c r="P502" s="1375">
        <f>IF(COUNT($H501:P501)='RFM input'!$V$7,SUM($G501:P501),0)</f>
        <v>0</v>
      </c>
      <c r="Q502" s="1375">
        <f>IF(COUNT($H501:Q501)='RFM input'!$V$7,SUM($G501:Q501),0)</f>
        <v>0</v>
      </c>
      <c r="R502" s="410"/>
      <c r="S502" s="71"/>
      <c r="T502" s="71"/>
      <c r="U502" s="71"/>
      <c r="V502" s="71"/>
      <c r="W502" s="71"/>
      <c r="X502" s="71"/>
      <c r="Y502" s="71"/>
      <c r="Z502" s="71"/>
      <c r="AA502" s="152"/>
    </row>
    <row r="503" spans="1:27" hidden="1" outlineLevel="1">
      <c r="A503" s="215">
        <f t="shared" ref="A503" si="40">A501+1</f>
        <v>37</v>
      </c>
      <c r="B503" s="411"/>
      <c r="C503" s="416">
        <f>Asset37</f>
        <v>0</v>
      </c>
      <c r="D503" s="390"/>
      <c r="E503" s="390"/>
      <c r="F503" s="414"/>
      <c r="G503" s="1374"/>
      <c r="H503" s="1375">
        <f>IF(COUNTA($G503:G503)&lt;'RFM input'!$V$7,(INDEX($G$379:$G$428,$A503,1)+(SUM($F503:G503)))*H$8,0)</f>
        <v>0</v>
      </c>
      <c r="I503" s="1375">
        <f>IF(COUNTA($G503:H503)&lt;'RFM input'!$V$7,(INDEX($G$379:$G$428,$A503,1)+(SUM($F503:H503)))*I$8,0)</f>
        <v>0</v>
      </c>
      <c r="J503" s="1375">
        <f>IF(COUNTA($G503:I503)&lt;'RFM input'!$V$7,(INDEX($G$379:$G$428,$A503,1)+(SUM($F503:I503)))*J$8,0)</f>
        <v>0</v>
      </c>
      <c r="K503" s="1375">
        <f>IF(COUNTA($G503:J503)&lt;'RFM input'!$V$7,(INDEX($G$379:$G$428,$A503,1)+(SUM($F503:J503)))*K$8,0)</f>
        <v>0</v>
      </c>
      <c r="L503" s="1375">
        <f>IF(COUNTA($G503:K503)&lt;'RFM input'!$V$7,(INDEX($G$379:$G$428,$A503,1)+(SUM($F503:K503)))*L$8,0)</f>
        <v>0</v>
      </c>
      <c r="M503" s="1375">
        <f>IF(COUNTA($G503:L503)&lt;'RFM input'!$V$7,(INDEX($G$379:$G$428,$A503,1)+(SUM($F503:L503)))*M$8,0)</f>
        <v>0</v>
      </c>
      <c r="N503" s="1375">
        <f>IF(COUNTA($G503:M503)&lt;'RFM input'!$V$7,(INDEX($G$379:$G$428,$A503,1)+(SUM($F503:M503)))*N$8,0)</f>
        <v>0</v>
      </c>
      <c r="O503" s="1375">
        <f>IF(COUNTA($G503:N503)&lt;'RFM input'!$V$7,(INDEX($G$379:$G$428,$A503,1)+(SUM($F503:N503)))*O$8,0)</f>
        <v>0</v>
      </c>
      <c r="P503" s="1375">
        <f>IF(COUNTA($G503:O503)&lt;'RFM input'!$V$7,(INDEX($G$379:$G$428,$A503,1)+(SUM($F503:O503)))*P$8,0)</f>
        <v>0</v>
      </c>
      <c r="Q503" s="1375">
        <f>IF(COUNTA($G503:P503)&lt;'RFM input'!$V$7,(INDEX($G$379:$G$428,$A503,1)+(SUM($F503:P503)))*Q$8,0)</f>
        <v>0</v>
      </c>
      <c r="R503" s="410"/>
      <c r="S503" s="71"/>
      <c r="T503" s="71"/>
      <c r="U503" s="71"/>
      <c r="V503" s="71"/>
      <c r="W503" s="71"/>
      <c r="X503" s="71"/>
      <c r="Y503" s="71"/>
      <c r="Z503" s="71"/>
      <c r="AA503" s="152"/>
    </row>
    <row r="504" spans="1:27" hidden="1" outlineLevel="1">
      <c r="A504" s="215"/>
      <c r="B504" s="411"/>
      <c r="C504" s="416" t="s">
        <v>24</v>
      </c>
      <c r="D504" s="390"/>
      <c r="E504" s="390"/>
      <c r="F504" s="414"/>
      <c r="G504" s="1374"/>
      <c r="H504" s="1375"/>
      <c r="I504" s="1375">
        <f>IF(COUNT($H503:I503)='RFM input'!$V$7,SUM($G503:I503),0)</f>
        <v>0</v>
      </c>
      <c r="J504" s="1375">
        <f>IF(COUNT($H503:J503)='RFM input'!$V$7,SUM($G503:J503),0)</f>
        <v>0</v>
      </c>
      <c r="K504" s="1375">
        <f>IF(COUNT($H503:K503)='RFM input'!$V$7,SUM($G503:K503),0)</f>
        <v>0</v>
      </c>
      <c r="L504" s="1375">
        <f>IF(COUNT($H503:L503)='RFM input'!$V$7,SUM($G503:L503),0)</f>
        <v>0</v>
      </c>
      <c r="M504" s="1375">
        <f>IF(COUNT($H503:M503)='RFM input'!$V$7,SUM($G503:M503),0)</f>
        <v>0</v>
      </c>
      <c r="N504" s="1375">
        <f>IF(COUNT($H503:N503)='RFM input'!$V$7,SUM($G503:N503),0)</f>
        <v>0</v>
      </c>
      <c r="O504" s="1375">
        <f>IF(COUNT($H503:O503)='RFM input'!$V$7,SUM($G503:O503),0)</f>
        <v>0</v>
      </c>
      <c r="P504" s="1375">
        <f>IF(COUNT($H503:P503)='RFM input'!$V$7,SUM($G503:P503),0)</f>
        <v>0</v>
      </c>
      <c r="Q504" s="1375">
        <f>IF(COUNT($H503:Q503)='RFM input'!$V$7,SUM($G503:Q503),0)</f>
        <v>0</v>
      </c>
      <c r="R504" s="410"/>
      <c r="S504" s="71"/>
      <c r="T504" s="71"/>
      <c r="U504" s="71"/>
      <c r="V504" s="71"/>
      <c r="W504" s="71"/>
      <c r="X504" s="71"/>
      <c r="Y504" s="71"/>
      <c r="Z504" s="71"/>
      <c r="AA504" s="152"/>
    </row>
    <row r="505" spans="1:27" hidden="1" outlineLevel="1">
      <c r="A505" s="215">
        <f t="shared" ref="A505" si="41">A503+1</f>
        <v>38</v>
      </c>
      <c r="B505" s="411"/>
      <c r="C505" s="416">
        <f>Asset38</f>
        <v>0</v>
      </c>
      <c r="D505" s="390"/>
      <c r="E505" s="390"/>
      <c r="F505" s="414"/>
      <c r="G505" s="1374"/>
      <c r="H505" s="1375">
        <f>IF(COUNTA($G505:G505)&lt;'RFM input'!$V$7,(INDEX($G$379:$G$428,$A505,1)+(SUM($F505:G505)))*H$8,0)</f>
        <v>0</v>
      </c>
      <c r="I505" s="1375">
        <f>IF(COUNTA($G505:H505)&lt;'RFM input'!$V$7,(INDEX($G$379:$G$428,$A505,1)+(SUM($F505:H505)))*I$8,0)</f>
        <v>0</v>
      </c>
      <c r="J505" s="1375">
        <f>IF(COUNTA($G505:I505)&lt;'RFM input'!$V$7,(INDEX($G$379:$G$428,$A505,1)+(SUM($F505:I505)))*J$8,0)</f>
        <v>0</v>
      </c>
      <c r="K505" s="1375">
        <f>IF(COUNTA($G505:J505)&lt;'RFM input'!$V$7,(INDEX($G$379:$G$428,$A505,1)+(SUM($F505:J505)))*K$8,0)</f>
        <v>0</v>
      </c>
      <c r="L505" s="1375">
        <f>IF(COUNTA($G505:K505)&lt;'RFM input'!$V$7,(INDEX($G$379:$G$428,$A505,1)+(SUM($F505:K505)))*L$8,0)</f>
        <v>0</v>
      </c>
      <c r="M505" s="1375">
        <f>IF(COUNTA($G505:L505)&lt;'RFM input'!$V$7,(INDEX($G$379:$G$428,$A505,1)+(SUM($F505:L505)))*M$8,0)</f>
        <v>0</v>
      </c>
      <c r="N505" s="1375">
        <f>IF(COUNTA($G505:M505)&lt;'RFM input'!$V$7,(INDEX($G$379:$G$428,$A505,1)+(SUM($F505:M505)))*N$8,0)</f>
        <v>0</v>
      </c>
      <c r="O505" s="1375">
        <f>IF(COUNTA($G505:N505)&lt;'RFM input'!$V$7,(INDEX($G$379:$G$428,$A505,1)+(SUM($F505:N505)))*O$8,0)</f>
        <v>0</v>
      </c>
      <c r="P505" s="1375">
        <f>IF(COUNTA($G505:O505)&lt;'RFM input'!$V$7,(INDEX($G$379:$G$428,$A505,1)+(SUM($F505:O505)))*P$8,0)</f>
        <v>0</v>
      </c>
      <c r="Q505" s="1375">
        <f>IF(COUNTA($G505:P505)&lt;'RFM input'!$V$7,(INDEX($G$379:$G$428,$A505,1)+(SUM($F505:P505)))*Q$8,0)</f>
        <v>0</v>
      </c>
      <c r="R505" s="410"/>
      <c r="S505" s="71"/>
      <c r="T505" s="71"/>
      <c r="U505" s="71"/>
      <c r="V505" s="71"/>
      <c r="W505" s="71"/>
      <c r="X505" s="71"/>
      <c r="Y505" s="71"/>
      <c r="Z505" s="71"/>
      <c r="AA505" s="152"/>
    </row>
    <row r="506" spans="1:27" hidden="1" outlineLevel="1">
      <c r="A506" s="215"/>
      <c r="B506" s="411"/>
      <c r="C506" s="416" t="s">
        <v>24</v>
      </c>
      <c r="D506" s="390"/>
      <c r="E506" s="390"/>
      <c r="F506" s="414"/>
      <c r="G506" s="1374"/>
      <c r="H506" s="1375"/>
      <c r="I506" s="1375">
        <f>IF(COUNT($H505:I505)='RFM input'!$V$7,SUM($G505:I505),0)</f>
        <v>0</v>
      </c>
      <c r="J506" s="1375">
        <f>IF(COUNT($H505:J505)='RFM input'!$V$7,SUM($G505:J505),0)</f>
        <v>0</v>
      </c>
      <c r="K506" s="1375">
        <f>IF(COUNT($H505:K505)='RFM input'!$V$7,SUM($G505:K505),0)</f>
        <v>0</v>
      </c>
      <c r="L506" s="1375">
        <f>IF(COUNT($H505:L505)='RFM input'!$V$7,SUM($G505:L505),0)</f>
        <v>0</v>
      </c>
      <c r="M506" s="1375">
        <f>IF(COUNT($H505:M505)='RFM input'!$V$7,SUM($G505:M505),0)</f>
        <v>0</v>
      </c>
      <c r="N506" s="1375">
        <f>IF(COUNT($H505:N505)='RFM input'!$V$7,SUM($G505:N505),0)</f>
        <v>0</v>
      </c>
      <c r="O506" s="1375">
        <f>IF(COUNT($H505:O505)='RFM input'!$V$7,SUM($G505:O505),0)</f>
        <v>0</v>
      </c>
      <c r="P506" s="1375">
        <f>IF(COUNT($H505:P505)='RFM input'!$V$7,SUM($G505:P505),0)</f>
        <v>0</v>
      </c>
      <c r="Q506" s="1375">
        <f>IF(COUNT($H505:Q505)='RFM input'!$V$7,SUM($G505:Q505),0)</f>
        <v>0</v>
      </c>
      <c r="R506" s="410"/>
      <c r="S506" s="71"/>
      <c r="T506" s="71"/>
      <c r="U506" s="71"/>
      <c r="V506" s="71"/>
      <c r="W506" s="71"/>
      <c r="X506" s="71"/>
      <c r="Y506" s="71"/>
      <c r="Z506" s="71"/>
      <c r="AA506" s="152"/>
    </row>
    <row r="507" spans="1:27" hidden="1" outlineLevel="1">
      <c r="A507" s="215">
        <f t="shared" ref="A507" si="42">A505+1</f>
        <v>39</v>
      </c>
      <c r="B507" s="411"/>
      <c r="C507" s="416">
        <f>Asset39</f>
        <v>0</v>
      </c>
      <c r="D507" s="390"/>
      <c r="E507" s="390"/>
      <c r="F507" s="414"/>
      <c r="G507" s="1374"/>
      <c r="H507" s="1375">
        <f>IF(COUNTA($G507:G507)&lt;'RFM input'!$V$7,(INDEX($G$379:$G$428,$A507,1)+(SUM($F507:G507)))*H$8,0)</f>
        <v>0</v>
      </c>
      <c r="I507" s="1375">
        <f>IF(COUNTA($G507:H507)&lt;'RFM input'!$V$7,(INDEX($G$379:$G$428,$A507,1)+(SUM($F507:H507)))*I$8,0)</f>
        <v>0</v>
      </c>
      <c r="J507" s="1375">
        <f>IF(COUNTA($G507:I507)&lt;'RFM input'!$V$7,(INDEX($G$379:$G$428,$A507,1)+(SUM($F507:I507)))*J$8,0)</f>
        <v>0</v>
      </c>
      <c r="K507" s="1375">
        <f>IF(COUNTA($G507:J507)&lt;'RFM input'!$V$7,(INDEX($G$379:$G$428,$A507,1)+(SUM($F507:J507)))*K$8,0)</f>
        <v>0</v>
      </c>
      <c r="L507" s="1375">
        <f>IF(COUNTA($G507:K507)&lt;'RFM input'!$V$7,(INDEX($G$379:$G$428,$A507,1)+(SUM($F507:K507)))*L$8,0)</f>
        <v>0</v>
      </c>
      <c r="M507" s="1375">
        <f>IF(COUNTA($G507:L507)&lt;'RFM input'!$V$7,(INDEX($G$379:$G$428,$A507,1)+(SUM($F507:L507)))*M$8,0)</f>
        <v>0</v>
      </c>
      <c r="N507" s="1375">
        <f>IF(COUNTA($G507:M507)&lt;'RFM input'!$V$7,(INDEX($G$379:$G$428,$A507,1)+(SUM($F507:M507)))*N$8,0)</f>
        <v>0</v>
      </c>
      <c r="O507" s="1375">
        <f>IF(COUNTA($G507:N507)&lt;'RFM input'!$V$7,(INDEX($G$379:$G$428,$A507,1)+(SUM($F507:N507)))*O$8,0)</f>
        <v>0</v>
      </c>
      <c r="P507" s="1375">
        <f>IF(COUNTA($G507:O507)&lt;'RFM input'!$V$7,(INDEX($G$379:$G$428,$A507,1)+(SUM($F507:O507)))*P$8,0)</f>
        <v>0</v>
      </c>
      <c r="Q507" s="1375">
        <f>IF(COUNTA($G507:P507)&lt;'RFM input'!$V$7,(INDEX($G$379:$G$428,$A507,1)+(SUM($F507:P507)))*Q$8,0)</f>
        <v>0</v>
      </c>
      <c r="R507" s="410"/>
      <c r="S507" s="71"/>
      <c r="T507" s="71"/>
      <c r="U507" s="71"/>
      <c r="V507" s="71"/>
      <c r="W507" s="71"/>
      <c r="X507" s="71"/>
      <c r="Y507" s="71"/>
      <c r="Z507" s="71"/>
      <c r="AA507" s="152"/>
    </row>
    <row r="508" spans="1:27" hidden="1" outlineLevel="1">
      <c r="A508" s="215"/>
      <c r="B508" s="411"/>
      <c r="C508" s="416" t="s">
        <v>24</v>
      </c>
      <c r="D508" s="390"/>
      <c r="E508" s="390"/>
      <c r="F508" s="414"/>
      <c r="G508" s="1374"/>
      <c r="H508" s="1375"/>
      <c r="I508" s="1375">
        <f>IF(COUNT($H507:I507)='RFM input'!$V$7,SUM($G507:I507),0)</f>
        <v>0</v>
      </c>
      <c r="J508" s="1375">
        <f>IF(COUNT($H507:J507)='RFM input'!$V$7,SUM($G507:J507),0)</f>
        <v>0</v>
      </c>
      <c r="K508" s="1375">
        <f>IF(COUNT($H507:K507)='RFM input'!$V$7,SUM($G507:K507),0)</f>
        <v>0</v>
      </c>
      <c r="L508" s="1375">
        <f>IF(COUNT($H507:L507)='RFM input'!$V$7,SUM($G507:L507),0)</f>
        <v>0</v>
      </c>
      <c r="M508" s="1375">
        <f>IF(COUNT($H507:M507)='RFM input'!$V$7,SUM($G507:M507),0)</f>
        <v>0</v>
      </c>
      <c r="N508" s="1375">
        <f>IF(COUNT($H507:N507)='RFM input'!$V$7,SUM($G507:N507),0)</f>
        <v>0</v>
      </c>
      <c r="O508" s="1375">
        <f>IF(COUNT($H507:O507)='RFM input'!$V$7,SUM($G507:O507),0)</f>
        <v>0</v>
      </c>
      <c r="P508" s="1375">
        <f>IF(COUNT($H507:P507)='RFM input'!$V$7,SUM($G507:P507),0)</f>
        <v>0</v>
      </c>
      <c r="Q508" s="1375">
        <f>IF(COUNT($H507:Q507)='RFM input'!$V$7,SUM($G507:Q507),0)</f>
        <v>0</v>
      </c>
      <c r="R508" s="410"/>
      <c r="S508" s="71"/>
      <c r="T508" s="71"/>
      <c r="U508" s="71"/>
      <c r="V508" s="71"/>
      <c r="W508" s="71"/>
      <c r="X508" s="71"/>
      <c r="Y508" s="71"/>
      <c r="Z508" s="71"/>
      <c r="AA508" s="152"/>
    </row>
    <row r="509" spans="1:27" hidden="1" outlineLevel="1">
      <c r="A509" s="215">
        <f t="shared" ref="A509" si="43">A507+1</f>
        <v>40</v>
      </c>
      <c r="B509" s="411"/>
      <c r="C509" s="416">
        <f>Asset40</f>
        <v>0</v>
      </c>
      <c r="D509" s="390"/>
      <c r="E509" s="390"/>
      <c r="F509" s="414"/>
      <c r="G509" s="1374"/>
      <c r="H509" s="1375">
        <f>IF(COUNTA($G509:G509)&lt;'RFM input'!$V$7,(INDEX($G$379:$G$428,$A509,1)+(SUM($F509:G509)))*H$8,0)</f>
        <v>0</v>
      </c>
      <c r="I509" s="1375">
        <f>IF(COUNTA($G509:H509)&lt;'RFM input'!$V$7,(INDEX($G$379:$G$428,$A509,1)+(SUM($F509:H509)))*I$8,0)</f>
        <v>0</v>
      </c>
      <c r="J509" s="1375">
        <f>IF(COUNTA($G509:I509)&lt;'RFM input'!$V$7,(INDEX($G$379:$G$428,$A509,1)+(SUM($F509:I509)))*J$8,0)</f>
        <v>0</v>
      </c>
      <c r="K509" s="1375">
        <f>IF(COUNTA($G509:J509)&lt;'RFM input'!$V$7,(INDEX($G$379:$G$428,$A509,1)+(SUM($F509:J509)))*K$8,0)</f>
        <v>0</v>
      </c>
      <c r="L509" s="1375">
        <f>IF(COUNTA($G509:K509)&lt;'RFM input'!$V$7,(INDEX($G$379:$G$428,$A509,1)+(SUM($F509:K509)))*L$8,0)</f>
        <v>0</v>
      </c>
      <c r="M509" s="1375">
        <f>IF(COUNTA($G509:L509)&lt;'RFM input'!$V$7,(INDEX($G$379:$G$428,$A509,1)+(SUM($F509:L509)))*M$8,0)</f>
        <v>0</v>
      </c>
      <c r="N509" s="1375">
        <f>IF(COUNTA($G509:M509)&lt;'RFM input'!$V$7,(INDEX($G$379:$G$428,$A509,1)+(SUM($F509:M509)))*N$8,0)</f>
        <v>0</v>
      </c>
      <c r="O509" s="1375">
        <f>IF(COUNTA($G509:N509)&lt;'RFM input'!$V$7,(INDEX($G$379:$G$428,$A509,1)+(SUM($F509:N509)))*O$8,0)</f>
        <v>0</v>
      </c>
      <c r="P509" s="1375">
        <f>IF(COUNTA($G509:O509)&lt;'RFM input'!$V$7,(INDEX($G$379:$G$428,$A509,1)+(SUM($F509:O509)))*P$8,0)</f>
        <v>0</v>
      </c>
      <c r="Q509" s="1375">
        <f>IF(COUNTA($G509:P509)&lt;'RFM input'!$V$7,(INDEX($G$379:$G$428,$A509,1)+(SUM($F509:P509)))*Q$8,0)</f>
        <v>0</v>
      </c>
      <c r="R509" s="410"/>
      <c r="S509" s="71"/>
      <c r="T509" s="71"/>
      <c r="U509" s="71"/>
      <c r="V509" s="71"/>
      <c r="W509" s="71"/>
      <c r="X509" s="71"/>
      <c r="Y509" s="71"/>
      <c r="Z509" s="71"/>
      <c r="AA509" s="152"/>
    </row>
    <row r="510" spans="1:27" hidden="1" outlineLevel="1">
      <c r="A510" s="215"/>
      <c r="B510" s="411"/>
      <c r="C510" s="416" t="s">
        <v>24</v>
      </c>
      <c r="D510" s="390"/>
      <c r="E510" s="390"/>
      <c r="F510" s="414"/>
      <c r="G510" s="1374"/>
      <c r="H510" s="1375"/>
      <c r="I510" s="1375">
        <f>IF(COUNT($H509:I509)='RFM input'!$V$7,SUM($G509:I509),0)</f>
        <v>0</v>
      </c>
      <c r="J510" s="1375">
        <f>IF(COUNT($H509:J509)='RFM input'!$V$7,SUM($G509:J509),0)</f>
        <v>0</v>
      </c>
      <c r="K510" s="1375">
        <f>IF(COUNT($H509:K509)='RFM input'!$V$7,SUM($G509:K509),0)</f>
        <v>0</v>
      </c>
      <c r="L510" s="1375">
        <f>IF(COUNT($H509:L509)='RFM input'!$V$7,SUM($G509:L509),0)</f>
        <v>0</v>
      </c>
      <c r="M510" s="1375">
        <f>IF(COUNT($H509:M509)='RFM input'!$V$7,SUM($G509:M509),0)</f>
        <v>0</v>
      </c>
      <c r="N510" s="1375">
        <f>IF(COUNT($H509:N509)='RFM input'!$V$7,SUM($G509:N509),0)</f>
        <v>0</v>
      </c>
      <c r="O510" s="1375">
        <f>IF(COUNT($H509:O509)='RFM input'!$V$7,SUM($G509:O509),0)</f>
        <v>0</v>
      </c>
      <c r="P510" s="1375">
        <f>IF(COUNT($H509:P509)='RFM input'!$V$7,SUM($G509:P509),0)</f>
        <v>0</v>
      </c>
      <c r="Q510" s="1375">
        <f>IF(COUNT($H509:Q509)='RFM input'!$V$7,SUM($G509:Q509),0)</f>
        <v>0</v>
      </c>
      <c r="R510" s="410"/>
      <c r="S510" s="71"/>
      <c r="T510" s="71"/>
      <c r="U510" s="71"/>
      <c r="V510" s="71"/>
      <c r="W510" s="71"/>
      <c r="X510" s="71"/>
      <c r="Y510" s="71"/>
      <c r="Z510" s="71"/>
      <c r="AA510" s="152"/>
    </row>
    <row r="511" spans="1:27" hidden="1" outlineLevel="1">
      <c r="A511" s="215">
        <f t="shared" ref="A511" si="44">A509+1</f>
        <v>41</v>
      </c>
      <c r="B511" s="411"/>
      <c r="C511" s="416">
        <f>Asset41</f>
        <v>0</v>
      </c>
      <c r="D511" s="390"/>
      <c r="E511" s="390"/>
      <c r="F511" s="414"/>
      <c r="G511" s="1374"/>
      <c r="H511" s="1375">
        <f>IF(COUNTA($G511:G511)&lt;'RFM input'!$V$7,(INDEX($G$379:$G$428,$A511,1)+(SUM($F511:G511)))*H$8,0)</f>
        <v>0</v>
      </c>
      <c r="I511" s="1375">
        <f>IF(COUNTA($G511:H511)&lt;'RFM input'!$V$7,(INDEX($G$379:$G$428,$A511,1)+(SUM($F511:H511)))*I$8,0)</f>
        <v>0</v>
      </c>
      <c r="J511" s="1375">
        <f>IF(COUNTA($G511:I511)&lt;'RFM input'!$V$7,(INDEX($G$379:$G$428,$A511,1)+(SUM($F511:I511)))*J$8,0)</f>
        <v>0</v>
      </c>
      <c r="K511" s="1375">
        <f>IF(COUNTA($G511:J511)&lt;'RFM input'!$V$7,(INDEX($G$379:$G$428,$A511,1)+(SUM($F511:J511)))*K$8,0)</f>
        <v>0</v>
      </c>
      <c r="L511" s="1375">
        <f>IF(COUNTA($G511:K511)&lt;'RFM input'!$V$7,(INDEX($G$379:$G$428,$A511,1)+(SUM($F511:K511)))*L$8,0)</f>
        <v>0</v>
      </c>
      <c r="M511" s="1375">
        <f>IF(COUNTA($G511:L511)&lt;'RFM input'!$V$7,(INDEX($G$379:$G$428,$A511,1)+(SUM($F511:L511)))*M$8,0)</f>
        <v>0</v>
      </c>
      <c r="N511" s="1375">
        <f>IF(COUNTA($G511:M511)&lt;'RFM input'!$V$7,(INDEX($G$379:$G$428,$A511,1)+(SUM($F511:M511)))*N$8,0)</f>
        <v>0</v>
      </c>
      <c r="O511" s="1375">
        <f>IF(COUNTA($G511:N511)&lt;'RFM input'!$V$7,(INDEX($G$379:$G$428,$A511,1)+(SUM($F511:N511)))*O$8,0)</f>
        <v>0</v>
      </c>
      <c r="P511" s="1375">
        <f>IF(COUNTA($G511:O511)&lt;'RFM input'!$V$7,(INDEX($G$379:$G$428,$A511,1)+(SUM($F511:O511)))*P$8,0)</f>
        <v>0</v>
      </c>
      <c r="Q511" s="1375">
        <f>IF(COUNTA($G511:P511)&lt;'RFM input'!$V$7,(INDEX($G$379:$G$428,$A511,1)+(SUM($F511:P511)))*Q$8,0)</f>
        <v>0</v>
      </c>
      <c r="R511" s="410"/>
      <c r="S511" s="71"/>
      <c r="T511" s="71"/>
      <c r="U511" s="71"/>
      <c r="V511" s="71"/>
      <c r="W511" s="71"/>
      <c r="X511" s="71"/>
      <c r="Y511" s="71"/>
      <c r="Z511" s="71"/>
      <c r="AA511" s="152"/>
    </row>
    <row r="512" spans="1:27" hidden="1" outlineLevel="1">
      <c r="A512" s="215"/>
      <c r="B512" s="411"/>
      <c r="C512" s="416" t="s">
        <v>24</v>
      </c>
      <c r="D512" s="390"/>
      <c r="E512" s="390"/>
      <c r="F512" s="414"/>
      <c r="G512" s="1374"/>
      <c r="H512" s="1375"/>
      <c r="I512" s="1375">
        <f>IF(COUNT($H511:I511)='RFM input'!$V$7,SUM($G511:I511),0)</f>
        <v>0</v>
      </c>
      <c r="J512" s="1375">
        <f>IF(COUNT($H511:J511)='RFM input'!$V$7,SUM($G511:J511),0)</f>
        <v>0</v>
      </c>
      <c r="K512" s="1375">
        <f>IF(COUNT($H511:K511)='RFM input'!$V$7,SUM($G511:K511),0)</f>
        <v>0</v>
      </c>
      <c r="L512" s="1375">
        <f>IF(COUNT($H511:L511)='RFM input'!$V$7,SUM($G511:L511),0)</f>
        <v>0</v>
      </c>
      <c r="M512" s="1375">
        <f>IF(COUNT($H511:M511)='RFM input'!$V$7,SUM($G511:M511),0)</f>
        <v>0</v>
      </c>
      <c r="N512" s="1375">
        <f>IF(COUNT($H511:N511)='RFM input'!$V$7,SUM($G511:N511),0)</f>
        <v>0</v>
      </c>
      <c r="O512" s="1375">
        <f>IF(COUNT($H511:O511)='RFM input'!$V$7,SUM($G511:O511),0)</f>
        <v>0</v>
      </c>
      <c r="P512" s="1375">
        <f>IF(COUNT($H511:P511)='RFM input'!$V$7,SUM($G511:P511),0)</f>
        <v>0</v>
      </c>
      <c r="Q512" s="1375">
        <f>IF(COUNT($H511:Q511)='RFM input'!$V$7,SUM($G511:Q511),0)</f>
        <v>0</v>
      </c>
      <c r="R512" s="410"/>
      <c r="S512" s="71"/>
      <c r="T512" s="71"/>
      <c r="U512" s="71"/>
      <c r="V512" s="71"/>
      <c r="W512" s="71"/>
      <c r="X512" s="71"/>
      <c r="Y512" s="71"/>
      <c r="Z512" s="71"/>
      <c r="AA512" s="152"/>
    </row>
    <row r="513" spans="1:27" hidden="1" outlineLevel="1">
      <c r="A513" s="215">
        <f t="shared" ref="A513" si="45">A511+1</f>
        <v>42</v>
      </c>
      <c r="B513" s="411"/>
      <c r="C513" s="416">
        <f>Asset42</f>
        <v>0</v>
      </c>
      <c r="D513" s="390"/>
      <c r="E513" s="390"/>
      <c r="F513" s="414"/>
      <c r="G513" s="1374"/>
      <c r="H513" s="1375">
        <f>IF(COUNTA($G513:G513)&lt;'RFM input'!$V$7,(INDEX($G$379:$G$428,$A513,1)+(SUM($F513:G513)))*H$8,0)</f>
        <v>0</v>
      </c>
      <c r="I513" s="1375">
        <f>IF(COUNTA($G513:H513)&lt;'RFM input'!$V$7,(INDEX($G$379:$G$428,$A513,1)+(SUM($F513:H513)))*I$8,0)</f>
        <v>0</v>
      </c>
      <c r="J513" s="1375">
        <f>IF(COUNTA($G513:I513)&lt;'RFM input'!$V$7,(INDEX($G$379:$G$428,$A513,1)+(SUM($F513:I513)))*J$8,0)</f>
        <v>0</v>
      </c>
      <c r="K513" s="1375">
        <f>IF(COUNTA($G513:J513)&lt;'RFM input'!$V$7,(INDEX($G$379:$G$428,$A513,1)+(SUM($F513:J513)))*K$8,0)</f>
        <v>0</v>
      </c>
      <c r="L513" s="1375">
        <f>IF(COUNTA($G513:K513)&lt;'RFM input'!$V$7,(INDEX($G$379:$G$428,$A513,1)+(SUM($F513:K513)))*L$8,0)</f>
        <v>0</v>
      </c>
      <c r="M513" s="1375">
        <f>IF(COUNTA($G513:L513)&lt;'RFM input'!$V$7,(INDEX($G$379:$G$428,$A513,1)+(SUM($F513:L513)))*M$8,0)</f>
        <v>0</v>
      </c>
      <c r="N513" s="1375">
        <f>IF(COUNTA($G513:M513)&lt;'RFM input'!$V$7,(INDEX($G$379:$G$428,$A513,1)+(SUM($F513:M513)))*N$8,0)</f>
        <v>0</v>
      </c>
      <c r="O513" s="1375">
        <f>IF(COUNTA($G513:N513)&lt;'RFM input'!$V$7,(INDEX($G$379:$G$428,$A513,1)+(SUM($F513:N513)))*O$8,0)</f>
        <v>0</v>
      </c>
      <c r="P513" s="1375">
        <f>IF(COUNTA($G513:O513)&lt;'RFM input'!$V$7,(INDEX($G$379:$G$428,$A513,1)+(SUM($F513:O513)))*P$8,0)</f>
        <v>0</v>
      </c>
      <c r="Q513" s="1375">
        <f>IF(COUNTA($G513:P513)&lt;'RFM input'!$V$7,(INDEX($G$379:$G$428,$A513,1)+(SUM($F513:P513)))*Q$8,0)</f>
        <v>0</v>
      </c>
      <c r="R513" s="410"/>
      <c r="S513" s="71"/>
      <c r="T513" s="71"/>
      <c r="U513" s="71"/>
      <c r="V513" s="71"/>
      <c r="W513" s="71"/>
      <c r="X513" s="71"/>
      <c r="Y513" s="71"/>
      <c r="Z513" s="71"/>
      <c r="AA513" s="152"/>
    </row>
    <row r="514" spans="1:27" hidden="1" outlineLevel="1">
      <c r="A514" s="215"/>
      <c r="B514" s="411"/>
      <c r="C514" s="416" t="s">
        <v>24</v>
      </c>
      <c r="D514" s="390"/>
      <c r="E514" s="390"/>
      <c r="F514" s="414"/>
      <c r="G514" s="1374"/>
      <c r="H514" s="1375"/>
      <c r="I514" s="1375">
        <f>IF(COUNT($H513:I513)='RFM input'!$V$7,SUM($G513:I513),0)</f>
        <v>0</v>
      </c>
      <c r="J514" s="1375">
        <f>IF(COUNT($H513:J513)='RFM input'!$V$7,SUM($G513:J513),0)</f>
        <v>0</v>
      </c>
      <c r="K514" s="1375">
        <f>IF(COUNT($H513:K513)='RFM input'!$V$7,SUM($G513:K513),0)</f>
        <v>0</v>
      </c>
      <c r="L514" s="1375">
        <f>IF(COUNT($H513:L513)='RFM input'!$V$7,SUM($G513:L513),0)</f>
        <v>0</v>
      </c>
      <c r="M514" s="1375">
        <f>IF(COUNT($H513:M513)='RFM input'!$V$7,SUM($G513:M513),0)</f>
        <v>0</v>
      </c>
      <c r="N514" s="1375">
        <f>IF(COUNT($H513:N513)='RFM input'!$V$7,SUM($G513:N513),0)</f>
        <v>0</v>
      </c>
      <c r="O514" s="1375">
        <f>IF(COUNT($H513:O513)='RFM input'!$V$7,SUM($G513:O513),0)</f>
        <v>0</v>
      </c>
      <c r="P514" s="1375">
        <f>IF(COUNT($H513:P513)='RFM input'!$V$7,SUM($G513:P513),0)</f>
        <v>0</v>
      </c>
      <c r="Q514" s="1375">
        <f>IF(COUNT($H513:Q513)='RFM input'!$V$7,SUM($G513:Q513),0)</f>
        <v>0</v>
      </c>
      <c r="R514" s="410"/>
      <c r="S514" s="71"/>
      <c r="T514" s="71"/>
      <c r="U514" s="71"/>
      <c r="V514" s="71"/>
      <c r="W514" s="71"/>
      <c r="X514" s="71"/>
      <c r="Y514" s="71"/>
      <c r="Z514" s="71"/>
      <c r="AA514" s="152"/>
    </row>
    <row r="515" spans="1:27" hidden="1" outlineLevel="1">
      <c r="A515" s="215">
        <f t="shared" ref="A515" si="46">A513+1</f>
        <v>43</v>
      </c>
      <c r="B515" s="411"/>
      <c r="C515" s="416">
        <f>Asset43</f>
        <v>0</v>
      </c>
      <c r="D515" s="390"/>
      <c r="E515" s="390"/>
      <c r="F515" s="414"/>
      <c r="G515" s="1374"/>
      <c r="H515" s="1375">
        <f>IF(COUNTA($G515:G515)&lt;'RFM input'!$V$7,(INDEX($G$379:$G$428,$A515,1)+(SUM($F515:G515)))*H$8,0)</f>
        <v>0</v>
      </c>
      <c r="I515" s="1375">
        <f>IF(COUNTA($G515:H515)&lt;'RFM input'!$V$7,(INDEX($G$379:$G$428,$A515,1)+(SUM($F515:H515)))*I$8,0)</f>
        <v>0</v>
      </c>
      <c r="J515" s="1375">
        <f>IF(COUNTA($G515:I515)&lt;'RFM input'!$V$7,(INDEX($G$379:$G$428,$A515,1)+(SUM($F515:I515)))*J$8,0)</f>
        <v>0</v>
      </c>
      <c r="K515" s="1375">
        <f>IF(COUNTA($G515:J515)&lt;'RFM input'!$V$7,(INDEX($G$379:$G$428,$A515,1)+(SUM($F515:J515)))*K$8,0)</f>
        <v>0</v>
      </c>
      <c r="L515" s="1375">
        <f>IF(COUNTA($G515:K515)&lt;'RFM input'!$V$7,(INDEX($G$379:$G$428,$A515,1)+(SUM($F515:K515)))*L$8,0)</f>
        <v>0</v>
      </c>
      <c r="M515" s="1375">
        <f>IF(COUNTA($G515:L515)&lt;'RFM input'!$V$7,(INDEX($G$379:$G$428,$A515,1)+(SUM($F515:L515)))*M$8,0)</f>
        <v>0</v>
      </c>
      <c r="N515" s="1375">
        <f>IF(COUNTA($G515:M515)&lt;'RFM input'!$V$7,(INDEX($G$379:$G$428,$A515,1)+(SUM($F515:M515)))*N$8,0)</f>
        <v>0</v>
      </c>
      <c r="O515" s="1375">
        <f>IF(COUNTA($G515:N515)&lt;'RFM input'!$V$7,(INDEX($G$379:$G$428,$A515,1)+(SUM($F515:N515)))*O$8,0)</f>
        <v>0</v>
      </c>
      <c r="P515" s="1375">
        <f>IF(COUNTA($G515:O515)&lt;'RFM input'!$V$7,(INDEX($G$379:$G$428,$A515,1)+(SUM($F515:O515)))*P$8,0)</f>
        <v>0</v>
      </c>
      <c r="Q515" s="1375">
        <f>IF(COUNTA($G515:P515)&lt;'RFM input'!$V$7,(INDEX($G$379:$G$428,$A515,1)+(SUM($F515:P515)))*Q$8,0)</f>
        <v>0</v>
      </c>
      <c r="R515" s="410"/>
      <c r="S515" s="71"/>
      <c r="T515" s="71"/>
      <c r="U515" s="71"/>
      <c r="V515" s="71"/>
      <c r="W515" s="71"/>
      <c r="X515" s="71"/>
      <c r="Y515" s="71"/>
      <c r="Z515" s="71"/>
      <c r="AA515" s="152"/>
    </row>
    <row r="516" spans="1:27" hidden="1" outlineLevel="1">
      <c r="A516" s="215"/>
      <c r="B516" s="411"/>
      <c r="C516" s="416" t="s">
        <v>24</v>
      </c>
      <c r="D516" s="390"/>
      <c r="E516" s="390"/>
      <c r="F516" s="414"/>
      <c r="G516" s="1374"/>
      <c r="H516" s="1375"/>
      <c r="I516" s="1375">
        <f>IF(COUNT($H515:I515)='RFM input'!$V$7,SUM($G515:I515),0)</f>
        <v>0</v>
      </c>
      <c r="J516" s="1375">
        <f>IF(COUNT($H515:J515)='RFM input'!$V$7,SUM($G515:J515),0)</f>
        <v>0</v>
      </c>
      <c r="K516" s="1375">
        <f>IF(COUNT($H515:K515)='RFM input'!$V$7,SUM($G515:K515),0)</f>
        <v>0</v>
      </c>
      <c r="L516" s="1375">
        <f>IF(COUNT($H515:L515)='RFM input'!$V$7,SUM($G515:L515),0)</f>
        <v>0</v>
      </c>
      <c r="M516" s="1375">
        <f>IF(COUNT($H515:M515)='RFM input'!$V$7,SUM($G515:M515),0)</f>
        <v>0</v>
      </c>
      <c r="N516" s="1375">
        <f>IF(COUNT($H515:N515)='RFM input'!$V$7,SUM($G515:N515),0)</f>
        <v>0</v>
      </c>
      <c r="O516" s="1375">
        <f>IF(COUNT($H515:O515)='RFM input'!$V$7,SUM($G515:O515),0)</f>
        <v>0</v>
      </c>
      <c r="P516" s="1375">
        <f>IF(COUNT($H515:P515)='RFM input'!$V$7,SUM($G515:P515),0)</f>
        <v>0</v>
      </c>
      <c r="Q516" s="1375">
        <f>IF(COUNT($H515:Q515)='RFM input'!$V$7,SUM($G515:Q515),0)</f>
        <v>0</v>
      </c>
      <c r="R516" s="410"/>
      <c r="S516" s="71"/>
      <c r="T516" s="71"/>
      <c r="U516" s="71"/>
      <c r="V516" s="71"/>
      <c r="W516" s="71"/>
      <c r="X516" s="71"/>
      <c r="Y516" s="71"/>
      <c r="Z516" s="71"/>
      <c r="AA516" s="152"/>
    </row>
    <row r="517" spans="1:27" hidden="1" outlineLevel="1">
      <c r="A517" s="215">
        <f t="shared" ref="A517" si="47">A515+1</f>
        <v>44</v>
      </c>
      <c r="B517" s="411"/>
      <c r="C517" s="416">
        <f>Asset44</f>
        <v>0</v>
      </c>
      <c r="D517" s="390"/>
      <c r="E517" s="390"/>
      <c r="F517" s="414"/>
      <c r="G517" s="1374"/>
      <c r="H517" s="1375">
        <f>IF(COUNTA($G517:G517)&lt;'RFM input'!$V$7,(INDEX($G$379:$G$428,$A517,1)+(SUM($F517:G517)))*H$8,0)</f>
        <v>0</v>
      </c>
      <c r="I517" s="1375">
        <f>IF(COUNTA($G517:H517)&lt;'RFM input'!$V$7,(INDEX($G$379:$G$428,$A517,1)+(SUM($F517:H517)))*I$8,0)</f>
        <v>0</v>
      </c>
      <c r="J517" s="1375">
        <f>IF(COUNTA($G517:I517)&lt;'RFM input'!$V$7,(INDEX($G$379:$G$428,$A517,1)+(SUM($F517:I517)))*J$8,0)</f>
        <v>0</v>
      </c>
      <c r="K517" s="1375">
        <f>IF(COUNTA($G517:J517)&lt;'RFM input'!$V$7,(INDEX($G$379:$G$428,$A517,1)+(SUM($F517:J517)))*K$8,0)</f>
        <v>0</v>
      </c>
      <c r="L517" s="1375">
        <f>IF(COUNTA($G517:K517)&lt;'RFM input'!$V$7,(INDEX($G$379:$G$428,$A517,1)+(SUM($F517:K517)))*L$8,0)</f>
        <v>0</v>
      </c>
      <c r="M517" s="1375">
        <f>IF(COUNTA($G517:L517)&lt;'RFM input'!$V$7,(INDEX($G$379:$G$428,$A517,1)+(SUM($F517:L517)))*M$8,0)</f>
        <v>0</v>
      </c>
      <c r="N517" s="1375">
        <f>IF(COUNTA($G517:M517)&lt;'RFM input'!$V$7,(INDEX($G$379:$G$428,$A517,1)+(SUM($F517:M517)))*N$8,0)</f>
        <v>0</v>
      </c>
      <c r="O517" s="1375">
        <f>IF(COUNTA($G517:N517)&lt;'RFM input'!$V$7,(INDEX($G$379:$G$428,$A517,1)+(SUM($F517:N517)))*O$8,0)</f>
        <v>0</v>
      </c>
      <c r="P517" s="1375">
        <f>IF(COUNTA($G517:O517)&lt;'RFM input'!$V$7,(INDEX($G$379:$G$428,$A517,1)+(SUM($F517:O517)))*P$8,0)</f>
        <v>0</v>
      </c>
      <c r="Q517" s="1375">
        <f>IF(COUNTA($G517:P517)&lt;'RFM input'!$V$7,(INDEX($G$379:$G$428,$A517,1)+(SUM($F517:P517)))*Q$8,0)</f>
        <v>0</v>
      </c>
      <c r="R517" s="410"/>
      <c r="S517" s="71"/>
      <c r="T517" s="71"/>
      <c r="U517" s="71"/>
      <c r="V517" s="71"/>
      <c r="W517" s="71"/>
      <c r="X517" s="71"/>
      <c r="Y517" s="71"/>
      <c r="Z517" s="71"/>
      <c r="AA517" s="152"/>
    </row>
    <row r="518" spans="1:27" hidden="1" outlineLevel="1">
      <c r="A518" s="215"/>
      <c r="B518" s="411"/>
      <c r="C518" s="416" t="s">
        <v>24</v>
      </c>
      <c r="D518" s="390"/>
      <c r="E518" s="390"/>
      <c r="F518" s="414"/>
      <c r="G518" s="1374"/>
      <c r="H518" s="1375"/>
      <c r="I518" s="1375">
        <f>IF(COUNT($H517:I517)='RFM input'!$V$7,SUM($G517:I517),0)</f>
        <v>0</v>
      </c>
      <c r="J518" s="1375">
        <f>IF(COUNT($H517:J517)='RFM input'!$V$7,SUM($G517:J517),0)</f>
        <v>0</v>
      </c>
      <c r="K518" s="1375">
        <f>IF(COUNT($H517:K517)='RFM input'!$V$7,SUM($G517:K517),0)</f>
        <v>0</v>
      </c>
      <c r="L518" s="1375">
        <f>IF(COUNT($H517:L517)='RFM input'!$V$7,SUM($G517:L517),0)</f>
        <v>0</v>
      </c>
      <c r="M518" s="1375">
        <f>IF(COUNT($H517:M517)='RFM input'!$V$7,SUM($G517:M517),0)</f>
        <v>0</v>
      </c>
      <c r="N518" s="1375">
        <f>IF(COUNT($H517:N517)='RFM input'!$V$7,SUM($G517:N517),0)</f>
        <v>0</v>
      </c>
      <c r="O518" s="1375">
        <f>IF(COUNT($H517:O517)='RFM input'!$V$7,SUM($G517:O517),0)</f>
        <v>0</v>
      </c>
      <c r="P518" s="1375">
        <f>IF(COUNT($H517:P517)='RFM input'!$V$7,SUM($G517:P517),0)</f>
        <v>0</v>
      </c>
      <c r="Q518" s="1375">
        <f>IF(COUNT($H517:Q517)='RFM input'!$V$7,SUM($G517:Q517),0)</f>
        <v>0</v>
      </c>
      <c r="R518" s="410"/>
      <c r="S518" s="71"/>
      <c r="T518" s="71"/>
      <c r="U518" s="71"/>
      <c r="V518" s="71"/>
      <c r="W518" s="71"/>
      <c r="X518" s="71"/>
      <c r="Y518" s="71"/>
      <c r="Z518" s="71"/>
      <c r="AA518" s="152"/>
    </row>
    <row r="519" spans="1:27" hidden="1" outlineLevel="1">
      <c r="A519" s="215">
        <f t="shared" ref="A519" si="48">A517+1</f>
        <v>45</v>
      </c>
      <c r="B519" s="411"/>
      <c r="C519" s="416">
        <f>Asset45</f>
        <v>0</v>
      </c>
      <c r="D519" s="390"/>
      <c r="E519" s="390"/>
      <c r="F519" s="414"/>
      <c r="G519" s="1374"/>
      <c r="H519" s="1375">
        <f>IF(COUNTA($G519:G519)&lt;'RFM input'!$V$7,(INDEX($G$379:$G$428,$A519,1)+(SUM($F519:G519)))*H$8,0)</f>
        <v>0</v>
      </c>
      <c r="I519" s="1375">
        <f>IF(COUNTA($G519:H519)&lt;'RFM input'!$V$7,(INDEX($G$379:$G$428,$A519,1)+(SUM($F519:H519)))*I$8,0)</f>
        <v>0</v>
      </c>
      <c r="J519" s="1375">
        <f>IF(COUNTA($G519:I519)&lt;'RFM input'!$V$7,(INDEX($G$379:$G$428,$A519,1)+(SUM($F519:I519)))*J$8,0)</f>
        <v>0</v>
      </c>
      <c r="K519" s="1375">
        <f>IF(COUNTA($G519:J519)&lt;'RFM input'!$V$7,(INDEX($G$379:$G$428,$A519,1)+(SUM($F519:J519)))*K$8,0)</f>
        <v>0</v>
      </c>
      <c r="L519" s="1375">
        <f>IF(COUNTA($G519:K519)&lt;'RFM input'!$V$7,(INDEX($G$379:$G$428,$A519,1)+(SUM($F519:K519)))*L$8,0)</f>
        <v>0</v>
      </c>
      <c r="M519" s="1375">
        <f>IF(COUNTA($G519:L519)&lt;'RFM input'!$V$7,(INDEX($G$379:$G$428,$A519,1)+(SUM($F519:L519)))*M$8,0)</f>
        <v>0</v>
      </c>
      <c r="N519" s="1375">
        <f>IF(COUNTA($G519:M519)&lt;'RFM input'!$V$7,(INDEX($G$379:$G$428,$A519,1)+(SUM($F519:M519)))*N$8,0)</f>
        <v>0</v>
      </c>
      <c r="O519" s="1375">
        <f>IF(COUNTA($G519:N519)&lt;'RFM input'!$V$7,(INDEX($G$379:$G$428,$A519,1)+(SUM($F519:N519)))*O$8,0)</f>
        <v>0</v>
      </c>
      <c r="P519" s="1375">
        <f>IF(COUNTA($G519:O519)&lt;'RFM input'!$V$7,(INDEX($G$379:$G$428,$A519,1)+(SUM($F519:O519)))*P$8,0)</f>
        <v>0</v>
      </c>
      <c r="Q519" s="1375">
        <f>IF(COUNTA($G519:P519)&lt;'RFM input'!$V$7,(INDEX($G$379:$G$428,$A519,1)+(SUM($F519:P519)))*Q$8,0)</f>
        <v>0</v>
      </c>
      <c r="R519" s="410"/>
      <c r="S519" s="71"/>
      <c r="T519" s="71"/>
      <c r="U519" s="71"/>
      <c r="V519" s="71"/>
      <c r="W519" s="71"/>
      <c r="X519" s="71"/>
      <c r="Y519" s="71"/>
      <c r="Z519" s="71"/>
      <c r="AA519" s="152"/>
    </row>
    <row r="520" spans="1:27" hidden="1" outlineLevel="1">
      <c r="A520" s="215"/>
      <c r="B520" s="411"/>
      <c r="C520" s="416" t="s">
        <v>24</v>
      </c>
      <c r="D520" s="390"/>
      <c r="E520" s="390"/>
      <c r="F520" s="414"/>
      <c r="G520" s="1374"/>
      <c r="H520" s="1375"/>
      <c r="I520" s="1375">
        <f>IF(COUNT($H519:I519)='RFM input'!$V$7,SUM($G519:I519),0)</f>
        <v>0</v>
      </c>
      <c r="J520" s="1375">
        <f>IF(COUNT($H519:J519)='RFM input'!$V$7,SUM($G519:J519),0)</f>
        <v>0</v>
      </c>
      <c r="K520" s="1375">
        <f>IF(COUNT($H519:K519)='RFM input'!$V$7,SUM($G519:K519),0)</f>
        <v>0</v>
      </c>
      <c r="L520" s="1375">
        <f>IF(COUNT($H519:L519)='RFM input'!$V$7,SUM($G519:L519),0)</f>
        <v>0</v>
      </c>
      <c r="M520" s="1375">
        <f>IF(COUNT($H519:M519)='RFM input'!$V$7,SUM($G519:M519),0)</f>
        <v>0</v>
      </c>
      <c r="N520" s="1375">
        <f>IF(COUNT($H519:N519)='RFM input'!$V$7,SUM($G519:N519),0)</f>
        <v>0</v>
      </c>
      <c r="O520" s="1375">
        <f>IF(COUNT($H519:O519)='RFM input'!$V$7,SUM($G519:O519),0)</f>
        <v>0</v>
      </c>
      <c r="P520" s="1375">
        <f>IF(COUNT($H519:P519)='RFM input'!$V$7,SUM($G519:P519),0)</f>
        <v>0</v>
      </c>
      <c r="Q520" s="1375">
        <f>IF(COUNT($H519:Q519)='RFM input'!$V$7,SUM($G519:Q519),0)</f>
        <v>0</v>
      </c>
      <c r="R520" s="410"/>
      <c r="S520" s="71"/>
      <c r="T520" s="71"/>
      <c r="U520" s="71"/>
      <c r="V520" s="71"/>
      <c r="W520" s="71"/>
      <c r="X520" s="71"/>
      <c r="Y520" s="71"/>
      <c r="Z520" s="71"/>
      <c r="AA520" s="152"/>
    </row>
    <row r="521" spans="1:27" hidden="1" outlineLevel="1">
      <c r="A521" s="215">
        <f t="shared" ref="A521" si="49">A519+1</f>
        <v>46</v>
      </c>
      <c r="B521" s="411"/>
      <c r="C521" s="416">
        <f>Asset46</f>
        <v>0</v>
      </c>
      <c r="D521" s="390"/>
      <c r="E521" s="390"/>
      <c r="F521" s="414"/>
      <c r="G521" s="1374"/>
      <c r="H521" s="1375">
        <f>IF(COUNTA($G521:G521)&lt;'RFM input'!$V$7,(INDEX($G$379:$G$428,$A521,1)+(SUM($F521:G521)))*H$8,0)</f>
        <v>0</v>
      </c>
      <c r="I521" s="1375">
        <f>IF(COUNTA($G521:H521)&lt;'RFM input'!$V$7,(INDEX($G$379:$G$428,$A521,1)+(SUM($F521:H521)))*I$8,0)</f>
        <v>0</v>
      </c>
      <c r="J521" s="1375">
        <f>IF(COUNTA($G521:I521)&lt;'RFM input'!$V$7,(INDEX($G$379:$G$428,$A521,1)+(SUM($F521:I521)))*J$8,0)</f>
        <v>0</v>
      </c>
      <c r="K521" s="1375">
        <f>IF(COUNTA($G521:J521)&lt;'RFM input'!$V$7,(INDEX($G$379:$G$428,$A521,1)+(SUM($F521:J521)))*K$8,0)</f>
        <v>0</v>
      </c>
      <c r="L521" s="1375">
        <f>IF(COUNTA($G521:K521)&lt;'RFM input'!$V$7,(INDEX($G$379:$G$428,$A521,1)+(SUM($F521:K521)))*L$8,0)</f>
        <v>0</v>
      </c>
      <c r="M521" s="1375">
        <f>IF(COUNTA($G521:L521)&lt;'RFM input'!$V$7,(INDEX($G$379:$G$428,$A521,1)+(SUM($F521:L521)))*M$8,0)</f>
        <v>0</v>
      </c>
      <c r="N521" s="1375">
        <f>IF(COUNTA($G521:M521)&lt;'RFM input'!$V$7,(INDEX($G$379:$G$428,$A521,1)+(SUM($F521:M521)))*N$8,0)</f>
        <v>0</v>
      </c>
      <c r="O521" s="1375">
        <f>IF(COUNTA($G521:N521)&lt;'RFM input'!$V$7,(INDEX($G$379:$G$428,$A521,1)+(SUM($F521:N521)))*O$8,0)</f>
        <v>0</v>
      </c>
      <c r="P521" s="1375">
        <f>IF(COUNTA($G521:O521)&lt;'RFM input'!$V$7,(INDEX($G$379:$G$428,$A521,1)+(SUM($F521:O521)))*P$8,0)</f>
        <v>0</v>
      </c>
      <c r="Q521" s="1375">
        <f>IF(COUNTA($G521:P521)&lt;'RFM input'!$V$7,(INDEX($G$379:$G$428,$A521,1)+(SUM($F521:P521)))*Q$8,0)</f>
        <v>0</v>
      </c>
      <c r="R521" s="410"/>
      <c r="S521" s="71"/>
      <c r="T521" s="71"/>
      <c r="U521" s="71"/>
      <c r="V521" s="71"/>
      <c r="W521" s="71"/>
      <c r="X521" s="71"/>
      <c r="Y521" s="71"/>
      <c r="Z521" s="71"/>
      <c r="AA521" s="152"/>
    </row>
    <row r="522" spans="1:27" hidden="1" outlineLevel="1">
      <c r="A522" s="215"/>
      <c r="B522" s="411"/>
      <c r="C522" s="416" t="s">
        <v>24</v>
      </c>
      <c r="D522" s="390"/>
      <c r="E522" s="390"/>
      <c r="F522" s="414"/>
      <c r="G522" s="1374"/>
      <c r="H522" s="1375"/>
      <c r="I522" s="1375">
        <f>IF(COUNT($H521:I521)='RFM input'!$V$7,SUM($G521:I521),0)</f>
        <v>0</v>
      </c>
      <c r="J522" s="1375">
        <f>IF(COUNT($H521:J521)='RFM input'!$V$7,SUM($G521:J521),0)</f>
        <v>0</v>
      </c>
      <c r="K522" s="1375">
        <f>IF(COUNT($H521:K521)='RFM input'!$V$7,SUM($G521:K521),0)</f>
        <v>0</v>
      </c>
      <c r="L522" s="1375">
        <f>IF(COUNT($H521:L521)='RFM input'!$V$7,SUM($G521:L521),0)</f>
        <v>0</v>
      </c>
      <c r="M522" s="1375">
        <f>IF(COUNT($H521:M521)='RFM input'!$V$7,SUM($G521:M521),0)</f>
        <v>0</v>
      </c>
      <c r="N522" s="1375">
        <f>IF(COUNT($H521:N521)='RFM input'!$V$7,SUM($G521:N521),0)</f>
        <v>0</v>
      </c>
      <c r="O522" s="1375">
        <f>IF(COUNT($H521:O521)='RFM input'!$V$7,SUM($G521:O521),0)</f>
        <v>0</v>
      </c>
      <c r="P522" s="1375">
        <f>IF(COUNT($H521:P521)='RFM input'!$V$7,SUM($G521:P521),0)</f>
        <v>0</v>
      </c>
      <c r="Q522" s="1375">
        <f>IF(COUNT($H521:Q521)='RFM input'!$V$7,SUM($G521:Q521),0)</f>
        <v>0</v>
      </c>
      <c r="R522" s="410"/>
      <c r="S522" s="71"/>
      <c r="T522" s="71"/>
      <c r="U522" s="71"/>
      <c r="V522" s="71"/>
      <c r="W522" s="71"/>
      <c r="X522" s="71"/>
      <c r="Y522" s="71"/>
      <c r="Z522" s="71"/>
      <c r="AA522" s="152"/>
    </row>
    <row r="523" spans="1:27" hidden="1" outlineLevel="1">
      <c r="A523" s="215">
        <f t="shared" ref="A523" si="50">A521+1</f>
        <v>47</v>
      </c>
      <c r="B523" s="411"/>
      <c r="C523" s="416">
        <f>Asset47</f>
        <v>0</v>
      </c>
      <c r="D523" s="390"/>
      <c r="E523" s="390"/>
      <c r="F523" s="414"/>
      <c r="G523" s="1374"/>
      <c r="H523" s="1375">
        <f>IF(COUNTA($G523:G523)&lt;'RFM input'!$V$7,(INDEX($G$379:$G$428,$A523,1)+(SUM($F523:G523)))*H$8,0)</f>
        <v>0</v>
      </c>
      <c r="I523" s="1375">
        <f>IF(COUNTA($G523:H523)&lt;'RFM input'!$V$7,(INDEX($G$379:$G$428,$A523,1)+(SUM($F523:H523)))*I$8,0)</f>
        <v>0</v>
      </c>
      <c r="J523" s="1375">
        <f>IF(COUNTA($G523:I523)&lt;'RFM input'!$V$7,(INDEX($G$379:$G$428,$A523,1)+(SUM($F523:I523)))*J$8,0)</f>
        <v>0</v>
      </c>
      <c r="K523" s="1375">
        <f>IF(COUNTA($G523:J523)&lt;'RFM input'!$V$7,(INDEX($G$379:$G$428,$A523,1)+(SUM($F523:J523)))*K$8,0)</f>
        <v>0</v>
      </c>
      <c r="L523" s="1375">
        <f>IF(COUNTA($G523:K523)&lt;'RFM input'!$V$7,(INDEX($G$379:$G$428,$A523,1)+(SUM($F523:K523)))*L$8,0)</f>
        <v>0</v>
      </c>
      <c r="M523" s="1375">
        <f>IF(COUNTA($G523:L523)&lt;'RFM input'!$V$7,(INDEX($G$379:$G$428,$A523,1)+(SUM($F523:L523)))*M$8,0)</f>
        <v>0</v>
      </c>
      <c r="N523" s="1375">
        <f>IF(COUNTA($G523:M523)&lt;'RFM input'!$V$7,(INDEX($G$379:$G$428,$A523,1)+(SUM($F523:M523)))*N$8,0)</f>
        <v>0</v>
      </c>
      <c r="O523" s="1375">
        <f>IF(COUNTA($G523:N523)&lt;'RFM input'!$V$7,(INDEX($G$379:$G$428,$A523,1)+(SUM($F523:N523)))*O$8,0)</f>
        <v>0</v>
      </c>
      <c r="P523" s="1375">
        <f>IF(COUNTA($G523:O523)&lt;'RFM input'!$V$7,(INDEX($G$379:$G$428,$A523,1)+(SUM($F523:O523)))*P$8,0)</f>
        <v>0</v>
      </c>
      <c r="Q523" s="1375">
        <f>IF(COUNTA($G523:P523)&lt;'RFM input'!$V$7,(INDEX($G$379:$G$428,$A523,1)+(SUM($F523:P523)))*Q$8,0)</f>
        <v>0</v>
      </c>
      <c r="R523" s="410"/>
      <c r="S523" s="71"/>
      <c r="T523" s="71"/>
      <c r="U523" s="71"/>
      <c r="V523" s="71"/>
      <c r="W523" s="71"/>
      <c r="X523" s="71"/>
      <c r="Y523" s="71"/>
      <c r="Z523" s="71"/>
      <c r="AA523" s="152"/>
    </row>
    <row r="524" spans="1:27" hidden="1" outlineLevel="1">
      <c r="A524" s="215"/>
      <c r="B524" s="411"/>
      <c r="C524" s="416" t="s">
        <v>24</v>
      </c>
      <c r="D524" s="390"/>
      <c r="E524" s="390"/>
      <c r="F524" s="414"/>
      <c r="G524" s="1374"/>
      <c r="H524" s="1375"/>
      <c r="I524" s="1375">
        <f>IF(COUNT($H523:I523)='RFM input'!$V$7,SUM($G523:I523),0)</f>
        <v>0</v>
      </c>
      <c r="J524" s="1375">
        <f>IF(COUNT($H523:J523)='RFM input'!$V$7,SUM($G523:J523),0)</f>
        <v>0</v>
      </c>
      <c r="K524" s="1375">
        <f>IF(COUNT($H523:K523)='RFM input'!$V$7,SUM($G523:K523),0)</f>
        <v>0</v>
      </c>
      <c r="L524" s="1375">
        <f>IF(COUNT($H523:L523)='RFM input'!$V$7,SUM($G523:L523),0)</f>
        <v>0</v>
      </c>
      <c r="M524" s="1375">
        <f>IF(COUNT($H523:M523)='RFM input'!$V$7,SUM($G523:M523),0)</f>
        <v>0</v>
      </c>
      <c r="N524" s="1375">
        <f>IF(COUNT($H523:N523)='RFM input'!$V$7,SUM($G523:N523),0)</f>
        <v>0</v>
      </c>
      <c r="O524" s="1375">
        <f>IF(COUNT($H523:O523)='RFM input'!$V$7,SUM($G523:O523),0)</f>
        <v>0</v>
      </c>
      <c r="P524" s="1375">
        <f>IF(COUNT($H523:P523)='RFM input'!$V$7,SUM($G523:P523),0)</f>
        <v>0</v>
      </c>
      <c r="Q524" s="1375">
        <f>IF(COUNT($H523:Q523)='RFM input'!$V$7,SUM($G523:Q523),0)</f>
        <v>0</v>
      </c>
      <c r="R524" s="410"/>
      <c r="S524" s="71"/>
      <c r="T524" s="71"/>
      <c r="U524" s="71"/>
      <c r="V524" s="71"/>
      <c r="W524" s="71"/>
      <c r="X524" s="71"/>
      <c r="Y524" s="71"/>
      <c r="Z524" s="71"/>
      <c r="AA524" s="152"/>
    </row>
    <row r="525" spans="1:27" hidden="1" outlineLevel="1">
      <c r="A525" s="215">
        <f t="shared" ref="A525" si="51">A523+1</f>
        <v>48</v>
      </c>
      <c r="B525" s="411"/>
      <c r="C525" s="416">
        <f>Asset48</f>
        <v>0</v>
      </c>
      <c r="D525" s="390"/>
      <c r="E525" s="390"/>
      <c r="F525" s="414"/>
      <c r="G525" s="1374"/>
      <c r="H525" s="1375">
        <f>IF(COUNTA($G525:G525)&lt;'RFM input'!$V$7,(INDEX($G$379:$G$428,$A525,1)+(SUM($F525:G525)))*H$8,0)</f>
        <v>0</v>
      </c>
      <c r="I525" s="1375">
        <f>IF(COUNTA($G525:H525)&lt;'RFM input'!$V$7,(INDEX($G$379:$G$428,$A525,1)+(SUM($F525:H525)))*I$8,0)</f>
        <v>0</v>
      </c>
      <c r="J525" s="1375">
        <f>IF(COUNTA($G525:I525)&lt;'RFM input'!$V$7,(INDEX($G$379:$G$428,$A525,1)+(SUM($F525:I525)))*J$8,0)</f>
        <v>0</v>
      </c>
      <c r="K525" s="1375">
        <f>IF(COUNTA($G525:J525)&lt;'RFM input'!$V$7,(INDEX($G$379:$G$428,$A525,1)+(SUM($F525:J525)))*K$8,0)</f>
        <v>0</v>
      </c>
      <c r="L525" s="1375">
        <f>IF(COUNTA($G525:K525)&lt;'RFM input'!$V$7,(INDEX($G$379:$G$428,$A525,1)+(SUM($F525:K525)))*L$8,0)</f>
        <v>0</v>
      </c>
      <c r="M525" s="1375">
        <f>IF(COUNTA($G525:L525)&lt;'RFM input'!$V$7,(INDEX($G$379:$G$428,$A525,1)+(SUM($F525:L525)))*M$8,0)</f>
        <v>0</v>
      </c>
      <c r="N525" s="1375">
        <f>IF(COUNTA($G525:M525)&lt;'RFM input'!$V$7,(INDEX($G$379:$G$428,$A525,1)+(SUM($F525:M525)))*N$8,0)</f>
        <v>0</v>
      </c>
      <c r="O525" s="1375">
        <f>IF(COUNTA($G525:N525)&lt;'RFM input'!$V$7,(INDEX($G$379:$G$428,$A525,1)+(SUM($F525:N525)))*O$8,0)</f>
        <v>0</v>
      </c>
      <c r="P525" s="1375">
        <f>IF(COUNTA($G525:O525)&lt;'RFM input'!$V$7,(INDEX($G$379:$G$428,$A525,1)+(SUM($F525:O525)))*P$8,0)</f>
        <v>0</v>
      </c>
      <c r="Q525" s="1375">
        <f>IF(COUNTA($G525:P525)&lt;'RFM input'!$V$7,(INDEX($G$379:$G$428,$A525,1)+(SUM($F525:P525)))*Q$8,0)</f>
        <v>0</v>
      </c>
      <c r="R525" s="410"/>
      <c r="S525" s="71"/>
      <c r="T525" s="71"/>
      <c r="U525" s="71"/>
      <c r="V525" s="71"/>
      <c r="W525" s="71"/>
      <c r="X525" s="71"/>
      <c r="Y525" s="71"/>
      <c r="Z525" s="71"/>
      <c r="AA525" s="152"/>
    </row>
    <row r="526" spans="1:27" hidden="1" outlineLevel="1">
      <c r="A526" s="215"/>
      <c r="B526" s="411"/>
      <c r="C526" s="416" t="s">
        <v>24</v>
      </c>
      <c r="D526" s="390"/>
      <c r="E526" s="390"/>
      <c r="F526" s="414"/>
      <c r="G526" s="1374"/>
      <c r="H526" s="1375"/>
      <c r="I526" s="1375">
        <f>IF(COUNT($H525:I525)='RFM input'!$V$7,SUM($G525:I525),0)</f>
        <v>0</v>
      </c>
      <c r="J526" s="1375">
        <f>IF(COUNT($H525:J525)='RFM input'!$V$7,SUM($G525:J525),0)</f>
        <v>0</v>
      </c>
      <c r="K526" s="1375">
        <f>IF(COUNT($H525:K525)='RFM input'!$V$7,SUM($G525:K525),0)</f>
        <v>0</v>
      </c>
      <c r="L526" s="1375">
        <f>IF(COUNT($H525:L525)='RFM input'!$V$7,SUM($G525:L525),0)</f>
        <v>0</v>
      </c>
      <c r="M526" s="1375">
        <f>IF(COUNT($H525:M525)='RFM input'!$V$7,SUM($G525:M525),0)</f>
        <v>0</v>
      </c>
      <c r="N526" s="1375">
        <f>IF(COUNT($H525:N525)='RFM input'!$V$7,SUM($G525:N525),0)</f>
        <v>0</v>
      </c>
      <c r="O526" s="1375">
        <f>IF(COUNT($H525:O525)='RFM input'!$V$7,SUM($G525:O525),0)</f>
        <v>0</v>
      </c>
      <c r="P526" s="1375">
        <f>IF(COUNT($H525:P525)='RFM input'!$V$7,SUM($G525:P525),0)</f>
        <v>0</v>
      </c>
      <c r="Q526" s="1375">
        <f>IF(COUNT($H525:Q525)='RFM input'!$V$7,SUM($G525:Q525),0)</f>
        <v>0</v>
      </c>
      <c r="R526" s="410"/>
      <c r="S526" s="71"/>
      <c r="T526" s="71"/>
      <c r="U526" s="71"/>
      <c r="V526" s="71"/>
      <c r="W526" s="71"/>
      <c r="X526" s="71"/>
      <c r="Y526" s="71"/>
      <c r="Z526" s="71"/>
      <c r="AA526" s="152"/>
    </row>
    <row r="527" spans="1:27" hidden="1" outlineLevel="1">
      <c r="A527" s="215">
        <f t="shared" ref="A527" si="52">A525+1</f>
        <v>49</v>
      </c>
      <c r="B527" s="411"/>
      <c r="C527" s="416">
        <f>Asset49</f>
        <v>0</v>
      </c>
      <c r="D527" s="390"/>
      <c r="E527" s="390"/>
      <c r="F527" s="414"/>
      <c r="G527" s="1374"/>
      <c r="H527" s="1375">
        <f>IF(COUNTA($G527:G527)&lt;'RFM input'!$V$7,(INDEX($G$379:$G$428,$A527,1)+(SUM($F527:G527)))*H$8,0)</f>
        <v>0</v>
      </c>
      <c r="I527" s="1375">
        <f>IF(COUNTA($G527:H527)&lt;'RFM input'!$V$7,(INDEX($G$379:$G$428,$A527,1)+(SUM($F527:H527)))*I$8,0)</f>
        <v>0</v>
      </c>
      <c r="J527" s="1375">
        <f>IF(COUNTA($G527:I527)&lt;'RFM input'!$V$7,(INDEX($G$379:$G$428,$A527,1)+(SUM($F527:I527)))*J$8,0)</f>
        <v>0</v>
      </c>
      <c r="K527" s="1375">
        <f>IF(COUNTA($G527:J527)&lt;'RFM input'!$V$7,(INDEX($G$379:$G$428,$A527,1)+(SUM($F527:J527)))*K$8,0)</f>
        <v>0</v>
      </c>
      <c r="L527" s="1375">
        <f>IF(COUNTA($G527:K527)&lt;'RFM input'!$V$7,(INDEX($G$379:$G$428,$A527,1)+(SUM($F527:K527)))*L$8,0)</f>
        <v>0</v>
      </c>
      <c r="M527" s="1375">
        <f>IF(COUNTA($G527:L527)&lt;'RFM input'!$V$7,(INDEX($G$379:$G$428,$A527,1)+(SUM($F527:L527)))*M$8,0)</f>
        <v>0</v>
      </c>
      <c r="N527" s="1375">
        <f>IF(COUNTA($G527:M527)&lt;'RFM input'!$V$7,(INDEX($G$379:$G$428,$A527,1)+(SUM($F527:M527)))*N$8,0)</f>
        <v>0</v>
      </c>
      <c r="O527" s="1375">
        <f>IF(COUNTA($G527:N527)&lt;'RFM input'!$V$7,(INDEX($G$379:$G$428,$A527,1)+(SUM($F527:N527)))*O$8,0)</f>
        <v>0</v>
      </c>
      <c r="P527" s="1375">
        <f>IF(COUNTA($G527:O527)&lt;'RFM input'!$V$7,(INDEX($G$379:$G$428,$A527,1)+(SUM($F527:O527)))*P$8,0)</f>
        <v>0</v>
      </c>
      <c r="Q527" s="1375">
        <f>IF(COUNTA($G527:P527)&lt;'RFM input'!$V$7,(INDEX($G$379:$G$428,$A527,1)+(SUM($F527:P527)))*Q$8,0)</f>
        <v>0</v>
      </c>
      <c r="R527" s="410"/>
      <c r="S527" s="71"/>
      <c r="T527" s="71"/>
      <c r="U527" s="71"/>
      <c r="V527" s="71"/>
      <c r="W527" s="71"/>
      <c r="X527" s="71"/>
      <c r="Y527" s="71"/>
      <c r="Z527" s="71"/>
      <c r="AA527" s="152"/>
    </row>
    <row r="528" spans="1:27" hidden="1" outlineLevel="1">
      <c r="A528" s="215"/>
      <c r="B528" s="411"/>
      <c r="C528" s="416" t="s">
        <v>24</v>
      </c>
      <c r="D528" s="390"/>
      <c r="E528" s="390"/>
      <c r="F528" s="414"/>
      <c r="G528" s="1374"/>
      <c r="H528" s="1375"/>
      <c r="I528" s="1375">
        <f>IF(COUNT($H527:I527)='RFM input'!$V$7,SUM($G527:I527),0)</f>
        <v>0</v>
      </c>
      <c r="J528" s="1375">
        <f>IF(COUNT($H527:J527)='RFM input'!$V$7,SUM($G527:J527),0)</f>
        <v>0</v>
      </c>
      <c r="K528" s="1375">
        <f>IF(COUNT($H527:K527)='RFM input'!$V$7,SUM($G527:K527),0)</f>
        <v>0</v>
      </c>
      <c r="L528" s="1375">
        <f>IF(COUNT($H527:L527)='RFM input'!$V$7,SUM($G527:L527),0)</f>
        <v>0</v>
      </c>
      <c r="M528" s="1375">
        <f>IF(COUNT($H527:M527)='RFM input'!$V$7,SUM($G527:M527),0)</f>
        <v>0</v>
      </c>
      <c r="N528" s="1375">
        <f>IF(COUNT($H527:N527)='RFM input'!$V$7,SUM($G527:N527),0)</f>
        <v>0</v>
      </c>
      <c r="O528" s="1375">
        <f>IF(COUNT($H527:O527)='RFM input'!$V$7,SUM($G527:O527),0)</f>
        <v>0</v>
      </c>
      <c r="P528" s="1375">
        <f>IF(COUNT($H527:P527)='RFM input'!$V$7,SUM($G527:P527),0)</f>
        <v>0</v>
      </c>
      <c r="Q528" s="1375">
        <f>IF(COUNT($H527:Q527)='RFM input'!$V$7,SUM($G527:Q527),0)</f>
        <v>0</v>
      </c>
      <c r="R528" s="410"/>
      <c r="S528" s="71"/>
      <c r="T528" s="71"/>
      <c r="U528" s="71"/>
      <c r="V528" s="71"/>
      <c r="W528" s="71"/>
      <c r="X528" s="71"/>
      <c r="Y528" s="71"/>
      <c r="Z528" s="71"/>
      <c r="AA528" s="152"/>
    </row>
    <row r="529" spans="1:27" hidden="1" outlineLevel="1">
      <c r="A529" s="215">
        <f t="shared" ref="A529" si="53">A527+1</f>
        <v>50</v>
      </c>
      <c r="B529" s="411"/>
      <c r="C529" s="416">
        <f>Asset50</f>
        <v>0</v>
      </c>
      <c r="D529" s="390"/>
      <c r="E529" s="390"/>
      <c r="F529" s="414"/>
      <c r="G529" s="1374"/>
      <c r="H529" s="1375">
        <f>IF(COUNTA($G529:G529)&lt;'RFM input'!$V$7,(INDEX($G$379:$G$428,$A529,1)+(SUM($F529:G529)))*H$8,0)</f>
        <v>0</v>
      </c>
      <c r="I529" s="1375">
        <f>IF(COUNTA($G529:H529)&lt;'RFM input'!$V$7,(INDEX($G$379:$G$428,$A529,1)+(SUM($F529:H529)))*I$8,0)</f>
        <v>0</v>
      </c>
      <c r="J529" s="1375">
        <f>IF(COUNTA($G529:I529)&lt;'RFM input'!$V$7,(INDEX($G$379:$G$428,$A529,1)+(SUM($F529:I529)))*J$8,0)</f>
        <v>0</v>
      </c>
      <c r="K529" s="1375">
        <f>IF(COUNTA($G529:J529)&lt;'RFM input'!$V$7,(INDEX($G$379:$G$428,$A529,1)+(SUM($F529:J529)))*K$8,0)</f>
        <v>0</v>
      </c>
      <c r="L529" s="1375">
        <f>IF(COUNTA($G529:K529)&lt;'RFM input'!$V$7,(INDEX($G$379:$G$428,$A529,1)+(SUM($F529:K529)))*L$8,0)</f>
        <v>0</v>
      </c>
      <c r="M529" s="1375">
        <f>IF(COUNTA($G529:L529)&lt;'RFM input'!$V$7,(INDEX($G$379:$G$428,$A529,1)+(SUM($F529:L529)))*M$8,0)</f>
        <v>0</v>
      </c>
      <c r="N529" s="1375">
        <f>IF(COUNTA($G529:M529)&lt;'RFM input'!$V$7,(INDEX($G$379:$G$428,$A529,1)+(SUM($F529:M529)))*N$8,0)</f>
        <v>0</v>
      </c>
      <c r="O529" s="1375">
        <f>IF(COUNTA($G529:N529)&lt;'RFM input'!$V$7,(INDEX($G$379:$G$428,$A529,1)+(SUM($F529:N529)))*O$8,0)</f>
        <v>0</v>
      </c>
      <c r="P529" s="1375">
        <f>IF(COUNTA($G529:O529)&lt;'RFM input'!$V$7,(INDEX($G$379:$G$428,$A529,1)+(SUM($F529:O529)))*P$8,0)</f>
        <v>0</v>
      </c>
      <c r="Q529" s="1375">
        <f>IF(COUNTA($G529:P529)&lt;'RFM input'!$V$7,(INDEX($G$379:$G$428,$A529,1)+(SUM($F529:P529)))*Q$8,0)</f>
        <v>0</v>
      </c>
      <c r="R529" s="410"/>
      <c r="S529" s="71"/>
      <c r="T529" s="71"/>
      <c r="U529" s="71"/>
      <c r="V529" s="71"/>
      <c r="W529" s="71"/>
      <c r="X529" s="71"/>
      <c r="Y529" s="71"/>
      <c r="Z529" s="71"/>
      <c r="AA529" s="152"/>
    </row>
    <row r="530" spans="1:27" hidden="1" outlineLevel="1">
      <c r="A530" s="215"/>
      <c r="B530" s="411"/>
      <c r="C530" s="416" t="s">
        <v>24</v>
      </c>
      <c r="D530" s="390"/>
      <c r="E530" s="390"/>
      <c r="F530" s="414"/>
      <c r="G530" s="1374"/>
      <c r="H530" s="1375"/>
      <c r="I530" s="1375">
        <f>IF(COUNT($H529:I529)='RFM input'!$V$7,SUM($G529:I529),0)</f>
        <v>0</v>
      </c>
      <c r="J530" s="1375">
        <f>IF(COUNT($H529:J529)='RFM input'!$V$7,SUM($G529:J529),0)</f>
        <v>0</v>
      </c>
      <c r="K530" s="1375">
        <f>IF(COUNT($H529:K529)='RFM input'!$V$7,SUM($G529:K529),0)</f>
        <v>0</v>
      </c>
      <c r="L530" s="1375">
        <f>IF(COUNT($H529:L529)='RFM input'!$V$7,SUM($G529:L529),0)</f>
        <v>0</v>
      </c>
      <c r="M530" s="1375">
        <f>IF(COUNT($H529:M529)='RFM input'!$V$7,SUM($G529:M529),0)</f>
        <v>0</v>
      </c>
      <c r="N530" s="1375">
        <f>IF(COUNT($H529:N529)='RFM input'!$V$7,SUM($G529:N529),0)</f>
        <v>0</v>
      </c>
      <c r="O530" s="1375">
        <f>IF(COUNT($H529:O529)='RFM input'!$V$7,SUM($G529:O529),0)</f>
        <v>0</v>
      </c>
      <c r="P530" s="1375">
        <f>IF(COUNT($H529:P529)='RFM input'!$V$7,SUM($G529:P529),0)</f>
        <v>0</v>
      </c>
      <c r="Q530" s="1375">
        <f>IF(COUNT($H529:Q529)='RFM input'!$V$7,SUM($G529:Q529),0)</f>
        <v>0</v>
      </c>
      <c r="R530" s="410"/>
      <c r="S530" s="71"/>
      <c r="T530" s="71"/>
      <c r="U530" s="71"/>
      <c r="V530" s="71"/>
      <c r="W530" s="71"/>
      <c r="X530" s="71"/>
      <c r="Y530" s="71"/>
      <c r="Z530" s="71"/>
      <c r="AA530" s="152"/>
    </row>
    <row r="531" spans="1:27" collapsed="1">
      <c r="A531" s="215"/>
      <c r="B531" s="417" t="s">
        <v>32</v>
      </c>
      <c r="C531" s="390"/>
      <c r="D531" s="390"/>
      <c r="E531" s="390"/>
      <c r="F531" s="414"/>
      <c r="G531" s="1376"/>
      <c r="H531" s="1377"/>
      <c r="I531" s="1377">
        <f>IF(COUNT($H430:I430)='RFM input'!$V$7, SUM($G430:I430), 0)</f>
        <v>0</v>
      </c>
      <c r="J531" s="1377">
        <f>IF(COUNT($H430:J430)='RFM input'!$V$7, SUM($G430:J430), 0)</f>
        <v>0</v>
      </c>
      <c r="K531" s="1377">
        <f>IF(COUNT($H430:K430)='RFM input'!$V$7, SUM($G430:K430), 0)</f>
        <v>0</v>
      </c>
      <c r="L531" s="1377">
        <f>IF(COUNT($H430:L430)='RFM input'!$V$7, SUM($G430:L430), 0)</f>
        <v>0</v>
      </c>
      <c r="M531" s="1377">
        <f>IF(COUNT($H430:M430)='RFM input'!$V$7, SUM($G430:M430), 0)</f>
        <v>0</v>
      </c>
      <c r="N531" s="1377">
        <f>IF(COUNT($H430:N430)='RFM input'!$V$7, SUM($G430:N430), 0)</f>
        <v>0</v>
      </c>
      <c r="O531" s="1377">
        <f>IF(COUNT($H430:O430)='RFM input'!$V$7, SUM($G430:O430), 0)</f>
        <v>0</v>
      </c>
      <c r="P531" s="1377">
        <f>IF(COUNT($H430:P430)='RFM input'!$V$7, SUM($G430:P430), 0)</f>
        <v>0</v>
      </c>
      <c r="Q531" s="1377">
        <f>IF(COUNT($H430:Q430)='RFM input'!$V$7, SUM($G430:Q430), 0)</f>
        <v>0</v>
      </c>
      <c r="R531" s="410"/>
      <c r="S531" s="71"/>
      <c r="T531" s="71"/>
      <c r="U531" s="71"/>
      <c r="V531" s="71"/>
      <c r="W531" s="71"/>
      <c r="X531" s="71"/>
      <c r="Y531" s="71"/>
      <c r="Z531" s="71"/>
      <c r="AA531" s="152"/>
    </row>
    <row r="532" spans="1:27">
      <c r="A532" s="3"/>
      <c r="B532" s="390"/>
      <c r="C532" s="390"/>
      <c r="D532" s="390"/>
      <c r="E532" s="390"/>
      <c r="F532" s="390"/>
      <c r="G532" s="390"/>
      <c r="H532" s="390"/>
      <c r="I532" s="390"/>
      <c r="J532" s="390"/>
      <c r="K532" s="390"/>
      <c r="L532" s="390"/>
      <c r="M532" s="390"/>
      <c r="N532" s="390"/>
      <c r="O532" s="390"/>
      <c r="P532" s="390"/>
      <c r="Q532" s="390"/>
      <c r="R532" s="390"/>
      <c r="S532" s="3"/>
      <c r="T532" s="3"/>
      <c r="U532" s="3"/>
      <c r="V532" s="3"/>
      <c r="W532" s="3"/>
      <c r="X532" s="3"/>
      <c r="Y532" s="3"/>
      <c r="Z532" s="3"/>
      <c r="AA532" s="3"/>
    </row>
    <row r="533" spans="1:27">
      <c r="A533" s="3"/>
      <c r="B533" s="390"/>
      <c r="C533" s="390"/>
      <c r="D533" s="390"/>
      <c r="E533" s="390"/>
      <c r="F533" s="390"/>
      <c r="G533" s="390"/>
      <c r="H533" s="390"/>
      <c r="I533" s="390"/>
      <c r="J533" s="390"/>
      <c r="K533" s="390"/>
      <c r="L533" s="390"/>
      <c r="M533" s="390"/>
      <c r="N533" s="390"/>
      <c r="O533" s="390"/>
      <c r="P533" s="390"/>
      <c r="Q533" s="390"/>
      <c r="R533" s="390"/>
      <c r="S533" s="3"/>
      <c r="T533" s="3"/>
      <c r="U533" s="3"/>
      <c r="V533" s="3"/>
      <c r="W533" s="3"/>
      <c r="X533" s="3"/>
      <c r="Y533" s="3"/>
      <c r="Z533" s="3"/>
      <c r="AA533" s="3"/>
    </row>
  </sheetData>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 &amp;P</oddFooter>
  </headerFooter>
  <ignoredErrors>
    <ignoredError sqref="M171 N171:Q171 M228:Q228 M229:Q229 M226:Q226 M227:Q227 M224:Q224 M225:Q225 M222:Q222 M223:Q223 M220:Q220 M221:Q221 M218:Q218 M219:Q219 M216:Q216 M217:Q217 M214:Q214 M215:Q215 M212:Q212 M213:Q213 M210:Q210 M206:Q206 M204:Q204 M202:Q202 M200:Q200 M198:Q198 M207:Q207 M205:Q205 M203:Q203 M194:Q194 M201:Q201 M199:Q199 M192:Q192 M176:Q176 M172:Q172 M190:Q190 M197:Q197 M186:Q186 M188:Q188 M184:Q184 M182:Q182 M178:Q178 M174:Q174 M196:Q196 M193:Q193 M189:Q189 M185:Q185 M181:Q181 M177:Q177 M173:Q173 M195:Q195 M191:Q191 M187:Q187 M183:Q183 M179:Q179 M175:Q175 M180:Q180 M211:Q211 M208:Q208 M209:Q209 M231:Q231 M230:Q230 M233:Q233 M232:Q232 M235:Q235 M234:Q234 M237:Q237 M236:Q236 M239:Q239 M238:Q238 M241:Q241 M240:Q240 M243:Q243 M242:Q242 M245:Q245 M244:Q244 M247:Q247 M246:Q246 M249:Q249 M248:Q248 M251:Q251 M250:Q250 M253:Q253 M252:Q252 M255:Q255 M254:Q254 M257:Q257 M256:Q256 M261:Q261 M260:Q260 M263:Q263 M262:Q262 M265:Q265 M264:Q264 M267:Q267 M266:Q266 M269:Q270 M268:Q268 M259:Q259 J259:L259 K268:L268 J269:L270 K266:L266 J267:L267 K264:L264 J265:L265 K262:L262 J263:L263 K260:L260 J261:L261 K256:L256 J257:L257 K254:L254 J255:L255 K252:L252 J253:L253 K250:L250 J251:L251 K248:L248 J249:L249 K246:L246 J247:L247 K244:L244 J245:L245 K242:L242 J243:L243 K240:L240 J241:L241 K238:L238 J239:L239 K236:L236 J237:L237 K234:L234 J235:L235 K232:L232 J233:L233 K230:L230 J229:K229 J231:L231 J227:K227 K228:L228 J225:K225 K226:L226 J223:K223 K224:L224 J221:K221 K222:L222 J219:K219 K220:L220 J217:K217 K218:L218 J215:K215 K216:L216 J213:K213 K214:L214 K210:L210 J207:L207 J205:L205 K206:L206 J203:L203 K204:L204 J201:L201 K202:L202 J199:L199 K200:L200 J197:L197 K196:L196 J193:L193 K194:L194 J189:L189 K190:L190 J185:L185 K186:L186 J181:L181 J177:L177 K178:L178 J173:L173 K174:L174 J195:L195 K198:L198 J191:L191 K192:L192 J187:L187 K188:L188 J183:L183 K184:L184 J179:L179 J175:L175 K176:L176 K180:L180 K182:L182 J211:K211 K212:L212 K208:L208 J209:L209 K172:L172 L211 L213 L215 L217 L219 L221 L223 L225 L227 L229 I173 I230:J230 I229 I228:J228 I227 I226:J226 I225 I224:J224 I223 I222:J222 I221 I220:J220 I219 I218:J218 I217 I216:J216 I215 I214:J214 I213 I212:J212 I211 I172:J172 I210:J210 I209 I208:J208 I183 I182:J182 I181 I180:J180 I177 I176:J176 I175 I179 I185 I184:J184 I189 I188:J188 I187 I193 I192:J192 I191 I199 I198:J198 I197 I195 I174:J174 I178:J178 I186:J186 I190:J190 I194:J194 I196:J196 I201 I200:J200 I203 I202:J202 I205 I204:J204 I207 I206:J206 I232:J232 I231 I234:J234 I233 I236:J236 I235 I238:J238 I237 I240:J240 I239 I242:J242 I241 I244:J244 I243 I246:J246 I245 I248:J248 I247 I250:J250 I249 I252:J252 I251 I254:J254 I253 I256:J256 I255 I258:L258 I257 I262:J262 I261 I260:J260 I264:J264 I263 I266:J266 I265 I268:J268 I267 I269:I270 I259 M258:Q258 I432:Q528" 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Z1134"/>
  <sheetViews>
    <sheetView showGridLines="0" topLeftCell="A4" zoomScale="90" zoomScaleNormal="90" workbookViewId="0">
      <selection activeCell="O820" sqref="O820"/>
    </sheetView>
  </sheetViews>
  <sheetFormatPr defaultColWidth="9.140625" defaultRowHeight="12.75" outlineLevelRow="2"/>
  <cols>
    <col min="1" max="1" width="2" style="152" customWidth="1"/>
    <col min="2" max="2" width="48.28515625" style="152" customWidth="1"/>
    <col min="3" max="3" width="22.5703125" style="152" customWidth="1"/>
    <col min="4" max="4" width="13.42578125" style="152" customWidth="1"/>
    <col min="5" max="5" width="9.140625" style="152"/>
    <col min="6" max="6" width="3.5703125" style="152" customWidth="1"/>
    <col min="7" max="7" width="12.5703125" style="152" bestFit="1" customWidth="1"/>
    <col min="8" max="19" width="11.42578125" style="152" customWidth="1"/>
    <col min="20" max="62" width="9.5703125" style="152" bestFit="1" customWidth="1"/>
    <col min="63" max="16384" width="9.140625" style="152"/>
  </cols>
  <sheetData>
    <row r="1" spans="1:26">
      <c r="A1" s="3"/>
      <c r="B1" s="3"/>
      <c r="C1" s="3"/>
      <c r="D1" s="3"/>
      <c r="E1" s="3"/>
      <c r="F1" s="3"/>
      <c r="G1" s="34"/>
      <c r="H1" s="34"/>
      <c r="I1" s="34"/>
      <c r="J1" s="34"/>
      <c r="K1" s="34"/>
      <c r="L1" s="34"/>
      <c r="M1" s="34"/>
      <c r="N1" s="34"/>
      <c r="O1" s="34"/>
      <c r="P1" s="34"/>
      <c r="Q1" s="34"/>
      <c r="R1" s="34"/>
      <c r="S1" s="34"/>
      <c r="T1" s="34"/>
      <c r="U1" s="34"/>
      <c r="V1" s="34"/>
      <c r="W1" s="34"/>
      <c r="X1" s="34"/>
      <c r="Y1" s="34"/>
      <c r="Z1" s="34"/>
    </row>
    <row r="2" spans="1:26" ht="15.75">
      <c r="A2" s="3"/>
      <c r="B2" s="3"/>
      <c r="C2" s="176" t="str">
        <f>'DMS input'!$C$16&amp;" - Asset Roll Forward"&amp;" - DNSP RFM - version "&amp;Intro!$M$4</f>
        <v>Aus Gas Qld - Asset Roll Forward - DNSP RFM - version 3</v>
      </c>
      <c r="D2" s="3"/>
      <c r="E2" s="3"/>
      <c r="F2" s="3"/>
      <c r="G2" s="3"/>
      <c r="H2" s="241"/>
      <c r="I2" s="241"/>
      <c r="J2" s="241"/>
      <c r="K2" s="241"/>
      <c r="L2" s="241"/>
      <c r="M2" s="241"/>
      <c r="N2" s="241"/>
      <c r="O2" s="241"/>
      <c r="P2" s="241"/>
      <c r="Q2" s="241"/>
      <c r="R2" s="241"/>
      <c r="S2" s="250"/>
      <c r="T2" s="4"/>
      <c r="U2" s="4"/>
      <c r="V2" s="4"/>
      <c r="W2" s="4"/>
      <c r="X2" s="4"/>
      <c r="Y2" s="4"/>
      <c r="Z2" s="4"/>
    </row>
    <row r="3" spans="1:26">
      <c r="A3" s="39"/>
      <c r="B3" s="39"/>
      <c r="C3" s="40"/>
      <c r="D3" s="39"/>
      <c r="E3" s="39"/>
      <c r="F3" s="39"/>
      <c r="G3" s="117">
        <v>0</v>
      </c>
      <c r="H3" s="282">
        <f t="shared" ref="H3:R3" si="0">G3+1</f>
        <v>1</v>
      </c>
      <c r="I3" s="282">
        <f t="shared" si="0"/>
        <v>2</v>
      </c>
      <c r="J3" s="282">
        <f t="shared" si="0"/>
        <v>3</v>
      </c>
      <c r="K3" s="282">
        <f t="shared" si="0"/>
        <v>4</v>
      </c>
      <c r="L3" s="282">
        <f t="shared" si="0"/>
        <v>5</v>
      </c>
      <c r="M3" s="282">
        <f t="shared" si="0"/>
        <v>6</v>
      </c>
      <c r="N3" s="282">
        <f t="shared" si="0"/>
        <v>7</v>
      </c>
      <c r="O3" s="282">
        <f t="shared" si="0"/>
        <v>8</v>
      </c>
      <c r="P3" s="282">
        <f t="shared" si="0"/>
        <v>9</v>
      </c>
      <c r="Q3" s="282">
        <f t="shared" si="0"/>
        <v>10</v>
      </c>
      <c r="R3" s="282">
        <f t="shared" si="0"/>
        <v>11</v>
      </c>
      <c r="S3" s="249"/>
      <c r="T3" s="34"/>
      <c r="U3" s="34"/>
      <c r="V3" s="34"/>
      <c r="W3" s="34"/>
      <c r="X3" s="34"/>
      <c r="Y3" s="34"/>
      <c r="Z3" s="34"/>
    </row>
    <row r="4" spans="1:26" ht="15.75">
      <c r="A4" s="56"/>
      <c r="B4" s="56"/>
      <c r="C4" s="57" t="s">
        <v>2</v>
      </c>
      <c r="D4" s="56"/>
      <c r="E4" s="56"/>
      <c r="F4" s="56"/>
      <c r="G4" s="95" t="str">
        <f>'RFM input'!G60</f>
        <v>2015-16</v>
      </c>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t="str">
        <f>IF(LEN(Q4)&gt;4,CONCATENATE(LEFT(Q4, 4)+1 &amp;"-" &amp;IF(Q4&gt;"2007-08",,"0") &amp;RIGHT(Q4,2)+1),Q4+1)</f>
        <v>2026-27</v>
      </c>
      <c r="S4" s="95"/>
      <c r="T4" s="8"/>
      <c r="U4" s="8"/>
      <c r="V4" s="8"/>
      <c r="W4" s="8"/>
      <c r="X4" s="8"/>
      <c r="Y4" s="8"/>
      <c r="Z4" s="8"/>
    </row>
    <row r="5" spans="1:26">
      <c r="A5" s="7"/>
      <c r="B5" s="7"/>
      <c r="C5" s="7"/>
      <c r="D5" s="7"/>
      <c r="E5" s="7"/>
      <c r="F5" s="7"/>
      <c r="G5" s="7"/>
      <c r="H5" s="7"/>
      <c r="I5" s="7"/>
      <c r="J5" s="7"/>
      <c r="K5" s="7"/>
      <c r="L5" s="7"/>
      <c r="M5" s="7"/>
      <c r="N5" s="7"/>
      <c r="O5" s="7"/>
      <c r="P5" s="7"/>
      <c r="Q5" s="7"/>
      <c r="R5" s="7"/>
      <c r="S5" s="7"/>
      <c r="T5" s="7"/>
      <c r="U5" s="7"/>
      <c r="V5" s="7"/>
      <c r="W5" s="7"/>
      <c r="X5" s="7"/>
      <c r="Y5" s="7"/>
      <c r="Z5" s="7"/>
    </row>
    <row r="6" spans="1:26" ht="12" customHeight="1">
      <c r="A6" s="3"/>
      <c r="B6" s="3"/>
      <c r="C6" s="3" t="s">
        <v>26</v>
      </c>
      <c r="D6" s="3"/>
      <c r="E6" s="60"/>
      <c r="F6" s="3"/>
      <c r="G6" s="110">
        <f>'RFM input'!G282</f>
        <v>1.3108614232209881E-2</v>
      </c>
      <c r="H6" s="12">
        <f>'RFM input'!H282</f>
        <v>1.4760147601476037E-2</v>
      </c>
      <c r="I6" s="12">
        <f>'RFM input'!I282</f>
        <v>1.9090909090909047E-2</v>
      </c>
      <c r="J6" s="12">
        <f>'RFM input'!J282</f>
        <v>1.7841213202497874E-2</v>
      </c>
      <c r="K6" s="12">
        <f>'RFM input'!K282</f>
        <v>1.8404907975460238E-2</v>
      </c>
      <c r="L6" s="12">
        <f>'RFM input'!L282</f>
        <v>8.6E-3</v>
      </c>
      <c r="M6" s="12">
        <f>'RFM input'!M282</f>
        <v>3.4982935153583528E-2</v>
      </c>
      <c r="N6" s="12">
        <f>'RFM input'!N282</f>
        <v>7.8318219291014124E-2</v>
      </c>
      <c r="O6" s="12">
        <f>'RFM input'!O282</f>
        <v>0</v>
      </c>
      <c r="P6" s="12">
        <f>'RFM input'!P282</f>
        <v>0</v>
      </c>
      <c r="Q6" s="12">
        <f>'RFM input'!Q282</f>
        <v>0</v>
      </c>
      <c r="R6" s="12"/>
      <c r="S6" s="60"/>
      <c r="T6" s="60"/>
      <c r="U6" s="60"/>
      <c r="V6" s="60"/>
      <c r="W6" s="60"/>
      <c r="X6" s="60"/>
      <c r="Y6" s="60"/>
      <c r="Z6" s="60"/>
    </row>
    <row r="7" spans="1:26">
      <c r="A7" s="3"/>
      <c r="B7" s="3"/>
      <c r="C7" s="3" t="s">
        <v>38</v>
      </c>
      <c r="D7" s="3"/>
      <c r="E7" s="3"/>
      <c r="F7" s="3"/>
      <c r="G7" s="111">
        <f>'RFM input'!G283</f>
        <v>1</v>
      </c>
      <c r="H7" s="118">
        <f>'RFM input'!H283</f>
        <v>1.0131086142322099</v>
      </c>
      <c r="I7" s="119">
        <f>'RFM input'!I283</f>
        <v>1.0280622469146041</v>
      </c>
      <c r="J7" s="119">
        <f>'RFM input'!J283</f>
        <v>1.0476888898102465</v>
      </c>
      <c r="K7" s="119">
        <f>'RFM input'!K283</f>
        <v>1.0663809306632395</v>
      </c>
      <c r="L7" s="119">
        <f>'RFM input'!L283</f>
        <v>1.0860075735588821</v>
      </c>
      <c r="M7" s="119">
        <f>'RFM input'!M283</f>
        <v>1.0953472386914884</v>
      </c>
      <c r="N7" s="119">
        <f>'RFM input'!N283</f>
        <v>1.1336657001132895</v>
      </c>
      <c r="O7" s="119">
        <f>'RFM input'!O283</f>
        <v>1.2224523790174631</v>
      </c>
      <c r="P7" s="119">
        <f>'RFM input'!P283</f>
        <v>1.2224523790174631</v>
      </c>
      <c r="Q7" s="119">
        <f>'RFM input'!Q283</f>
        <v>1.2224523790174631</v>
      </c>
      <c r="R7" s="13"/>
      <c r="S7" s="70"/>
      <c r="T7" s="70"/>
      <c r="U7" s="70"/>
      <c r="V7" s="70"/>
      <c r="W7" s="70"/>
      <c r="X7" s="70"/>
      <c r="Y7" s="70"/>
      <c r="Z7" s="70"/>
    </row>
    <row r="8" spans="1:26">
      <c r="A8" s="3"/>
      <c r="B8" s="3"/>
      <c r="C8" s="3"/>
      <c r="D8" s="3"/>
      <c r="E8" s="3"/>
      <c r="F8" s="3"/>
      <c r="G8" s="69"/>
      <c r="H8" s="69"/>
      <c r="I8" s="69"/>
      <c r="J8" s="69"/>
      <c r="K8" s="69"/>
      <c r="L8" s="69"/>
      <c r="M8" s="69"/>
      <c r="N8" s="13"/>
      <c r="O8" s="13"/>
      <c r="P8" s="13"/>
      <c r="Q8" s="13"/>
      <c r="R8" s="13"/>
      <c r="S8" s="70"/>
      <c r="T8" s="70"/>
      <c r="U8" s="70"/>
      <c r="V8" s="70"/>
      <c r="W8" s="70"/>
      <c r="X8" s="70"/>
      <c r="Y8" s="70"/>
      <c r="Z8" s="70"/>
    </row>
    <row r="9" spans="1:26">
      <c r="A9" s="48"/>
      <c r="B9" s="48"/>
      <c r="C9" s="55" t="str">
        <f>"Asset Values ($m Real "&amp;G4&amp;")"</f>
        <v>Asset Values ($m Real 2015-16)</v>
      </c>
      <c r="D9" s="48"/>
      <c r="E9" s="48"/>
      <c r="F9" s="48"/>
      <c r="G9" s="122"/>
      <c r="H9" s="122"/>
      <c r="I9" s="122"/>
      <c r="J9" s="122"/>
      <c r="K9" s="122"/>
      <c r="L9" s="122"/>
      <c r="M9" s="122"/>
      <c r="N9" s="123"/>
      <c r="O9" s="123"/>
      <c r="P9" s="123"/>
      <c r="Q9" s="123"/>
      <c r="R9" s="123"/>
      <c r="S9" s="123"/>
      <c r="T9" s="70"/>
      <c r="U9" s="70"/>
      <c r="V9" s="70"/>
      <c r="W9" s="70"/>
      <c r="X9" s="70"/>
      <c r="Y9" s="70"/>
      <c r="Z9" s="70"/>
    </row>
    <row r="10" spans="1:26">
      <c r="A10" s="3"/>
      <c r="B10" s="3"/>
      <c r="C10" s="3"/>
      <c r="D10" s="3"/>
      <c r="E10" s="3"/>
      <c r="F10" s="3"/>
      <c r="G10" s="69"/>
      <c r="H10" s="69"/>
      <c r="I10" s="69"/>
      <c r="J10" s="69"/>
      <c r="K10" s="69"/>
      <c r="L10" s="69"/>
      <c r="M10" s="69"/>
      <c r="N10" s="13"/>
      <c r="O10" s="13"/>
      <c r="P10" s="13"/>
      <c r="Q10" s="13"/>
      <c r="R10" s="13"/>
      <c r="S10" s="70"/>
      <c r="T10" s="70"/>
      <c r="U10" s="70"/>
      <c r="V10" s="70"/>
      <c r="W10" s="70"/>
      <c r="X10" s="70"/>
      <c r="Y10" s="70"/>
      <c r="Z10" s="70"/>
    </row>
    <row r="11" spans="1:26">
      <c r="A11" s="3"/>
      <c r="B11" s="3"/>
      <c r="C11" s="29" t="s">
        <v>45</v>
      </c>
      <c r="D11" s="3"/>
      <c r="E11" s="3"/>
      <c r="F11" s="3"/>
      <c r="G11" s="248"/>
      <c r="H11" s="248">
        <f>SUM(H12:H61)</f>
        <v>20.169615364167072</v>
      </c>
      <c r="I11" s="248">
        <f t="shared" ref="I11:Q11" si="1">SUM(I12:I61)</f>
        <v>20.985525196221229</v>
      </c>
      <c r="J11" s="248">
        <f t="shared" si="1"/>
        <v>21.700101481434338</v>
      </c>
      <c r="K11" s="248">
        <f t="shared" si="1"/>
        <v>19.200614634860248</v>
      </c>
      <c r="L11" s="248">
        <f t="shared" si="1"/>
        <v>17.177729459413186</v>
      </c>
      <c r="M11" s="248">
        <f t="shared" si="1"/>
        <v>22.812939098310856</v>
      </c>
      <c r="N11" s="248">
        <f t="shared" si="1"/>
        <v>8.4378813603305751</v>
      </c>
      <c r="O11" s="248">
        <f t="shared" si="1"/>
        <v>0</v>
      </c>
      <c r="P11" s="248">
        <f t="shared" si="1"/>
        <v>0</v>
      </c>
      <c r="Q11" s="248">
        <f t="shared" si="1"/>
        <v>0</v>
      </c>
      <c r="R11" s="248"/>
      <c r="S11" s="71"/>
      <c r="T11" s="74"/>
      <c r="U11" s="74"/>
      <c r="V11" s="74"/>
      <c r="W11" s="74"/>
      <c r="X11" s="74"/>
      <c r="Y11" s="74"/>
      <c r="Z11" s="71"/>
    </row>
    <row r="12" spans="1:26" ht="12.75" hidden="1" customHeight="1" outlineLevel="1">
      <c r="A12" s="3"/>
      <c r="B12" s="3"/>
      <c r="C12" s="29"/>
      <c r="D12" s="133" t="str">
        <f>Asset1</f>
        <v>Mains</v>
      </c>
      <c r="E12" s="3"/>
      <c r="F12" s="3"/>
      <c r="G12" s="1341"/>
      <c r="H12" s="1363">
        <f>'RFM input'!H223*(1+vanilla1)^0.5</f>
        <v>10.455442440249101</v>
      </c>
      <c r="I12" s="1363">
        <f>'RFM input'!I223*(1+vanilla2)^0.5</f>
        <v>11.41987105696577</v>
      </c>
      <c r="J12" s="1363">
        <f>'RFM input'!J223*(1+vanilla3)^0.5</f>
        <v>10.888667683096337</v>
      </c>
      <c r="K12" s="1363">
        <f>'RFM input'!K223*(1+vanilla4)^0.5</f>
        <v>9.2779969252198971</v>
      </c>
      <c r="L12" s="1363">
        <f>'RFM input'!L223*(1+vanilla5)^0.5</f>
        <v>7.4120106900828668</v>
      </c>
      <c r="M12" s="1363">
        <f>'RFM input'!M223*(1+vanilla6)^0.5</f>
        <v>13.952893722409003</v>
      </c>
      <c r="N12" s="1363">
        <f>'RFM input'!N223*(1+vanilla7)^0.5</f>
        <v>3.3900462015616379</v>
      </c>
      <c r="O12" s="1363">
        <f>'RFM input'!O223*(1+vanilla8)^0.5</f>
        <v>0</v>
      </c>
      <c r="P12" s="1363">
        <f>'RFM input'!P223*(1+vanilla9)^0.5</f>
        <v>0</v>
      </c>
      <c r="Q12" s="1363">
        <f>'RFM input'!Q223*(1+vanilla10)^0.5</f>
        <v>0</v>
      </c>
      <c r="R12" s="248"/>
      <c r="S12" s="71"/>
      <c r="T12" s="74"/>
      <c r="U12" s="74"/>
      <c r="V12" s="74"/>
      <c r="W12" s="74"/>
      <c r="X12" s="74"/>
      <c r="Y12" s="74"/>
      <c r="Z12" s="71"/>
    </row>
    <row r="13" spans="1:26" ht="12.75" hidden="1" customHeight="1" outlineLevel="1">
      <c r="A13" s="3"/>
      <c r="B13" s="3"/>
      <c r="C13" s="29"/>
      <c r="D13" s="133" t="str">
        <f>Asset2</f>
        <v>Inlets</v>
      </c>
      <c r="E13" s="3"/>
      <c r="F13" s="3"/>
      <c r="G13" s="1341"/>
      <c r="H13" s="1363">
        <f>'RFM input'!H224*(1+vanilla1)^0.5</f>
        <v>5.1434885141344671</v>
      </c>
      <c r="I13" s="1363">
        <f>'RFM input'!I224*(1+vanilla2)^0.5</f>
        <v>5.4542792640673428</v>
      </c>
      <c r="J13" s="1363">
        <f>'RFM input'!J224*(1+vanilla3)^0.5</f>
        <v>5.7296990765669324</v>
      </c>
      <c r="K13" s="1363">
        <f>'RFM input'!K224*(1+vanilla4)^0.5</f>
        <v>4.9819277899499577</v>
      </c>
      <c r="L13" s="1363">
        <f>'RFM input'!L224*(1+vanilla5)^0.5</f>
        <v>5.4954616937410501</v>
      </c>
      <c r="M13" s="1363">
        <f>'RFM input'!M224*(1+vanilla6)^0.5</f>
        <v>4.2931363715738087</v>
      </c>
      <c r="N13" s="1363">
        <f>'RFM input'!N224*(1+vanilla7)^0.5</f>
        <v>2.5486628112100562</v>
      </c>
      <c r="O13" s="1363">
        <f>'RFM input'!O224*(1+vanilla8)^0.5</f>
        <v>0</v>
      </c>
      <c r="P13" s="1363">
        <f>'RFM input'!P224*(1+vanilla9)^0.5</f>
        <v>0</v>
      </c>
      <c r="Q13" s="1363">
        <f>'RFM input'!Q224*(1+vanilla10)^0.5</f>
        <v>0</v>
      </c>
      <c r="R13" s="248"/>
      <c r="S13" s="71"/>
      <c r="T13" s="74"/>
      <c r="U13" s="74"/>
      <c r="V13" s="74"/>
      <c r="W13" s="74"/>
      <c r="X13" s="74"/>
      <c r="Y13" s="74"/>
      <c r="Z13" s="71"/>
    </row>
    <row r="14" spans="1:26" ht="12.75" hidden="1" customHeight="1" outlineLevel="1">
      <c r="A14" s="3"/>
      <c r="B14" s="3"/>
      <c r="C14" s="29"/>
      <c r="D14" s="133" t="str">
        <f>Asset3</f>
        <v>Meters</v>
      </c>
      <c r="E14" s="3"/>
      <c r="F14" s="3"/>
      <c r="G14" s="1341"/>
      <c r="H14" s="1363">
        <f>'RFM input'!H225*(1+vanilla1)^0.5</f>
        <v>2.9402662610506032</v>
      </c>
      <c r="I14" s="1363">
        <f>'RFM input'!I225*(1+vanilla2)^0.5</f>
        <v>2.9430779709671038</v>
      </c>
      <c r="J14" s="1363">
        <f>'RFM input'!J225*(1+vanilla3)^0.5</f>
        <v>3.4157711288956234</v>
      </c>
      <c r="K14" s="1363">
        <f>'RFM input'!K225*(1+vanilla4)^0.5</f>
        <v>1.7516752072352064</v>
      </c>
      <c r="L14" s="1363">
        <f>'RFM input'!L225*(1+vanilla5)^0.5</f>
        <v>1.9320959271083296</v>
      </c>
      <c r="M14" s="1363">
        <f>'RFM input'!M225*(1+vanilla6)^0.5</f>
        <v>1.8144636685499294</v>
      </c>
      <c r="N14" s="1363">
        <f>'RFM input'!N225*(1+vanilla7)^0.5</f>
        <v>0.88346564612177236</v>
      </c>
      <c r="O14" s="1363">
        <f>'RFM input'!O225*(1+vanilla8)^0.5</f>
        <v>0</v>
      </c>
      <c r="P14" s="1363">
        <f>'RFM input'!P225*(1+vanilla9)^0.5</f>
        <v>0</v>
      </c>
      <c r="Q14" s="1363">
        <f>'RFM input'!Q225*(1+vanilla10)^0.5</f>
        <v>0</v>
      </c>
      <c r="R14" s="248"/>
      <c r="S14" s="71"/>
      <c r="T14" s="74"/>
      <c r="U14" s="74"/>
      <c r="V14" s="74"/>
      <c r="W14" s="74"/>
      <c r="X14" s="74"/>
      <c r="Y14" s="74"/>
      <c r="Z14" s="71"/>
    </row>
    <row r="15" spans="1:26" ht="12.75" hidden="1" customHeight="1" outlineLevel="1">
      <c r="A15" s="3"/>
      <c r="B15" s="3"/>
      <c r="C15" s="29"/>
      <c r="D15" s="133" t="str">
        <f>Asset4</f>
        <v>Telemetry</v>
      </c>
      <c r="E15" s="3"/>
      <c r="F15" s="3"/>
      <c r="G15" s="1341"/>
      <c r="H15" s="1363">
        <f>'RFM input'!H226*(1+vanilla1)^0.5</f>
        <v>0.39526683235065257</v>
      </c>
      <c r="I15" s="1363">
        <f>'RFM input'!I226*(1+vanilla2)^0.5</f>
        <v>0.17162629003922078</v>
      </c>
      <c r="J15" s="1363">
        <f>'RFM input'!J226*(1+vanilla3)^0.5</f>
        <v>4.8395599521221723E-2</v>
      </c>
      <c r="K15" s="1363">
        <f>'RFM input'!K226*(1+vanilla4)^0.5</f>
        <v>0.10134851304786199</v>
      </c>
      <c r="L15" s="1363">
        <f>'RFM input'!L226*(1+vanilla5)^0.5</f>
        <v>6.145870938976096E-2</v>
      </c>
      <c r="M15" s="1363">
        <f>'RFM input'!M226*(1+vanilla6)^0.5</f>
        <v>5.67372508305806E-2</v>
      </c>
      <c r="N15" s="1363">
        <f>'RFM input'!N226*(1+vanilla7)^0.5</f>
        <v>3.5092033268839432E-2</v>
      </c>
      <c r="O15" s="1363">
        <f>'RFM input'!O226*(1+vanilla8)^0.5</f>
        <v>0</v>
      </c>
      <c r="P15" s="1363">
        <f>'RFM input'!P226*(1+vanilla9)^0.5</f>
        <v>0</v>
      </c>
      <c r="Q15" s="1363">
        <f>'RFM input'!Q226*(1+vanilla10)^0.5</f>
        <v>0</v>
      </c>
      <c r="R15" s="248"/>
      <c r="S15" s="71"/>
      <c r="T15" s="74"/>
      <c r="U15" s="74"/>
      <c r="V15" s="74"/>
      <c r="W15" s="74"/>
      <c r="X15" s="74"/>
      <c r="Y15" s="74"/>
      <c r="Z15" s="71"/>
    </row>
    <row r="16" spans="1:26" ht="12.75" hidden="1" customHeight="1" outlineLevel="1">
      <c r="A16" s="3"/>
      <c r="B16" s="3"/>
      <c r="C16" s="29"/>
      <c r="D16" s="133" t="str">
        <f>Asset5</f>
        <v>IT System</v>
      </c>
      <c r="E16" s="3"/>
      <c r="F16" s="3"/>
      <c r="G16" s="1341"/>
      <c r="H16" s="1363">
        <f>'RFM input'!H227*(1+vanilla1)^0.5</f>
        <v>0.19223705703895377</v>
      </c>
      <c r="I16" s="1363">
        <f>'RFM input'!I227*(1+vanilla2)^0.5</f>
        <v>0.51614057811548775</v>
      </c>
      <c r="J16" s="1363">
        <f>'RFM input'!J227*(1+vanilla3)^0.5</f>
        <v>0.87149768973431008</v>
      </c>
      <c r="K16" s="1363">
        <f>'RFM input'!K227*(1+vanilla4)^0.5</f>
        <v>1.3802374776441526</v>
      </c>
      <c r="L16" s="1363">
        <f>'RFM input'!L227*(1+vanilla5)^0.5</f>
        <v>1.4211716481092405</v>
      </c>
      <c r="M16" s="1363">
        <f>'RFM input'!M227*(1+vanilla6)^0.5</f>
        <v>1.8312450999401044</v>
      </c>
      <c r="N16" s="1363">
        <f>'RFM input'!N227*(1+vanilla7)^0.5</f>
        <v>0.76617597941191939</v>
      </c>
      <c r="O16" s="1363">
        <f>'RFM input'!O227*(1+vanilla8)^0.5</f>
        <v>0</v>
      </c>
      <c r="P16" s="1363">
        <f>'RFM input'!P227*(1+vanilla9)^0.5</f>
        <v>0</v>
      </c>
      <c r="Q16" s="1363">
        <f>'RFM input'!Q227*(1+vanilla10)^0.5</f>
        <v>0</v>
      </c>
      <c r="R16" s="248"/>
      <c r="S16" s="71"/>
      <c r="T16" s="74"/>
      <c r="U16" s="74"/>
      <c r="V16" s="74"/>
      <c r="W16" s="74"/>
      <c r="X16" s="74"/>
      <c r="Y16" s="74"/>
      <c r="Z16" s="71"/>
    </row>
    <row r="17" spans="1:26" ht="12.75" hidden="1" customHeight="1" outlineLevel="1">
      <c r="A17" s="3"/>
      <c r="B17" s="3"/>
      <c r="C17" s="29"/>
      <c r="D17" s="133" t="str">
        <f>Asset6</f>
        <v>Other Distribution System Equipment</v>
      </c>
      <c r="E17" s="3"/>
      <c r="F17" s="3"/>
      <c r="G17" s="1341"/>
      <c r="H17" s="1363">
        <f>'RFM input'!H228*(1+vanilla1)^0.5</f>
        <v>1.0721903305418381</v>
      </c>
      <c r="I17" s="1363">
        <f>'RFM input'!I228*(1+vanilla2)^0.5</f>
        <v>0.48053003606630473</v>
      </c>
      <c r="J17" s="1363">
        <f>'RFM input'!J228*(1+vanilla3)^0.5</f>
        <v>0.74607030361991544</v>
      </c>
      <c r="K17" s="1363">
        <f>'RFM input'!K228*(1+vanilla4)^0.5</f>
        <v>1.7074287217631723</v>
      </c>
      <c r="L17" s="1363">
        <f>'RFM input'!L228*(1+vanilla5)^0.5</f>
        <v>0.8555307909819363</v>
      </c>
      <c r="M17" s="1363">
        <f>'RFM input'!M228*(1+vanilla6)^0.5</f>
        <v>0.86446298500743302</v>
      </c>
      <c r="N17" s="1363">
        <f>'RFM input'!N228*(1+vanilla7)^0.5</f>
        <v>0.81443868875634962</v>
      </c>
      <c r="O17" s="1363">
        <f>'RFM input'!O228*(1+vanilla8)^0.5</f>
        <v>0</v>
      </c>
      <c r="P17" s="1363">
        <f>'RFM input'!P228*(1+vanilla9)^0.5</f>
        <v>0</v>
      </c>
      <c r="Q17" s="1363">
        <f>'RFM input'!Q228*(1+vanilla10)^0.5</f>
        <v>0</v>
      </c>
      <c r="R17" s="248"/>
      <c r="S17" s="71"/>
      <c r="T17" s="74"/>
      <c r="U17" s="74"/>
      <c r="V17" s="74"/>
      <c r="W17" s="74"/>
      <c r="X17" s="74"/>
      <c r="Y17" s="74"/>
      <c r="Z17" s="71"/>
    </row>
    <row r="18" spans="1:26" ht="12.75" hidden="1" customHeight="1" outlineLevel="1">
      <c r="A18" s="3"/>
      <c r="B18" s="3"/>
      <c r="C18" s="29"/>
      <c r="D18" s="133" t="str">
        <f>Asset7</f>
        <v>Other</v>
      </c>
      <c r="E18" s="3"/>
      <c r="F18" s="3"/>
      <c r="G18" s="1341"/>
      <c r="H18" s="1363">
        <f>'RFM input'!H229*(1+vanilla1)^0.5</f>
        <v>-2.9276071198544189E-2</v>
      </c>
      <c r="I18" s="1363">
        <f>'RFM input'!I229*(1+vanilla2)^0.5</f>
        <v>0</v>
      </c>
      <c r="J18" s="1363">
        <f>'RFM input'!J229*(1+vanilla3)^0.5</f>
        <v>0</v>
      </c>
      <c r="K18" s="1363">
        <f>'RFM input'!K229*(1+vanilla4)^0.5</f>
        <v>0</v>
      </c>
      <c r="L18" s="1363">
        <f>'RFM input'!L229*(1+vanilla5)^0.5</f>
        <v>0</v>
      </c>
      <c r="M18" s="1363">
        <f>'RFM input'!M229*(1+vanilla6)^0.5</f>
        <v>0</v>
      </c>
      <c r="N18" s="1363">
        <f>'RFM input'!N229*(1+vanilla7)^0.5</f>
        <v>0</v>
      </c>
      <c r="O18" s="1363">
        <f>'RFM input'!O229*(1+vanilla8)^0.5</f>
        <v>0</v>
      </c>
      <c r="P18" s="1363">
        <f>'RFM input'!P229*(1+vanilla9)^0.5</f>
        <v>0</v>
      </c>
      <c r="Q18" s="1363">
        <f>'RFM input'!Q229*(1+vanilla10)^0.5</f>
        <v>0</v>
      </c>
      <c r="R18" s="248"/>
      <c r="S18" s="71"/>
      <c r="T18" s="74"/>
      <c r="U18" s="74"/>
      <c r="V18" s="74"/>
      <c r="W18" s="74"/>
      <c r="X18" s="74"/>
      <c r="Y18" s="74"/>
      <c r="Z18" s="71"/>
    </row>
    <row r="19" spans="1:26" ht="12.75" hidden="1" customHeight="1" outlineLevel="1">
      <c r="A19" s="3"/>
      <c r="B19" s="3"/>
      <c r="C19" s="29"/>
      <c r="D19" s="133">
        <f>Asset8</f>
        <v>0</v>
      </c>
      <c r="E19" s="3"/>
      <c r="F19" s="3"/>
      <c r="G19" s="1341"/>
      <c r="H19" s="1363">
        <f>'RFM input'!H230*(1+vanilla1)^0.5</f>
        <v>0</v>
      </c>
      <c r="I19" s="1363">
        <f>'RFM input'!I230*(1+vanilla2)^0.5</f>
        <v>0</v>
      </c>
      <c r="J19" s="1363">
        <f>'RFM input'!J230*(1+vanilla3)^0.5</f>
        <v>0</v>
      </c>
      <c r="K19" s="1363">
        <f>'RFM input'!K230*(1+vanilla4)^0.5</f>
        <v>0</v>
      </c>
      <c r="L19" s="1363">
        <f>'RFM input'!L230*(1+vanilla5)^0.5</f>
        <v>0</v>
      </c>
      <c r="M19" s="1363">
        <f>'RFM input'!M230*(1+vanilla6)^0.5</f>
        <v>0</v>
      </c>
      <c r="N19" s="1363">
        <f>'RFM input'!N230*(1+vanilla7)^0.5</f>
        <v>0</v>
      </c>
      <c r="O19" s="1363">
        <f>'RFM input'!O230*(1+vanilla8)^0.5</f>
        <v>0</v>
      </c>
      <c r="P19" s="1363">
        <f>'RFM input'!P230*(1+vanilla9)^0.5</f>
        <v>0</v>
      </c>
      <c r="Q19" s="1363">
        <f>'RFM input'!Q230*(1+vanilla10)^0.5</f>
        <v>0</v>
      </c>
      <c r="R19" s="248"/>
      <c r="S19" s="71"/>
      <c r="T19" s="74"/>
      <c r="U19" s="74"/>
      <c r="V19" s="74"/>
      <c r="W19" s="74"/>
      <c r="X19" s="74"/>
      <c r="Y19" s="74"/>
      <c r="Z19" s="71"/>
    </row>
    <row r="20" spans="1:26" ht="12.75" hidden="1" customHeight="1" outlineLevel="1">
      <c r="A20" s="3"/>
      <c r="B20" s="3"/>
      <c r="C20" s="29"/>
      <c r="D20" s="133">
        <f>Asset9</f>
        <v>0</v>
      </c>
      <c r="E20" s="3"/>
      <c r="F20" s="3"/>
      <c r="G20" s="1341"/>
      <c r="H20" s="1363">
        <f>'RFM input'!H231*(1+vanilla1)^0.5</f>
        <v>0</v>
      </c>
      <c r="I20" s="1363">
        <f>'RFM input'!I231*(1+vanilla2)^0.5</f>
        <v>0</v>
      </c>
      <c r="J20" s="1363">
        <f>'RFM input'!J231*(1+vanilla3)^0.5</f>
        <v>0</v>
      </c>
      <c r="K20" s="1363">
        <f>'RFM input'!K231*(1+vanilla4)^0.5</f>
        <v>0</v>
      </c>
      <c r="L20" s="1363">
        <f>'RFM input'!L231*(1+vanilla5)^0.5</f>
        <v>0</v>
      </c>
      <c r="M20" s="1363">
        <f>'RFM input'!M231*(1+vanilla6)^0.5</f>
        <v>0</v>
      </c>
      <c r="N20" s="1363">
        <f>'RFM input'!N231*(1+vanilla7)^0.5</f>
        <v>0</v>
      </c>
      <c r="O20" s="1363">
        <f>'RFM input'!O231*(1+vanilla8)^0.5</f>
        <v>0</v>
      </c>
      <c r="P20" s="1363">
        <f>'RFM input'!P231*(1+vanilla9)^0.5</f>
        <v>0</v>
      </c>
      <c r="Q20" s="1363">
        <f>'RFM input'!Q231*(1+vanilla10)^0.5</f>
        <v>0</v>
      </c>
      <c r="R20" s="248"/>
      <c r="S20" s="71"/>
      <c r="T20" s="74"/>
      <c r="U20" s="74"/>
      <c r="V20" s="74"/>
      <c r="W20" s="74"/>
      <c r="X20" s="74"/>
      <c r="Y20" s="74"/>
      <c r="Z20" s="71"/>
    </row>
    <row r="21" spans="1:26" ht="12.75" hidden="1" customHeight="1" outlineLevel="1">
      <c r="A21" s="3"/>
      <c r="B21" s="3"/>
      <c r="C21" s="29"/>
      <c r="D21" s="133">
        <f>Asset10</f>
        <v>0</v>
      </c>
      <c r="E21" s="3"/>
      <c r="F21" s="3"/>
      <c r="G21" s="1341"/>
      <c r="H21" s="1363">
        <f>'RFM input'!H232*(1+vanilla1)^0.5</f>
        <v>0</v>
      </c>
      <c r="I21" s="1363">
        <f>'RFM input'!I232*(1+vanilla2)^0.5</f>
        <v>0</v>
      </c>
      <c r="J21" s="1363">
        <f>'RFM input'!J232*(1+vanilla3)^0.5</f>
        <v>0</v>
      </c>
      <c r="K21" s="1363">
        <f>'RFM input'!K232*(1+vanilla4)^0.5</f>
        <v>0</v>
      </c>
      <c r="L21" s="1363">
        <f>'RFM input'!L232*(1+vanilla5)^0.5</f>
        <v>0</v>
      </c>
      <c r="M21" s="1363">
        <f>'RFM input'!M232*(1+vanilla6)^0.5</f>
        <v>0</v>
      </c>
      <c r="N21" s="1363">
        <f>'RFM input'!N232*(1+vanilla7)^0.5</f>
        <v>0</v>
      </c>
      <c r="O21" s="1363">
        <f>'RFM input'!O232*(1+vanilla8)^0.5</f>
        <v>0</v>
      </c>
      <c r="P21" s="1363">
        <f>'RFM input'!P232*(1+vanilla9)^0.5</f>
        <v>0</v>
      </c>
      <c r="Q21" s="1363">
        <f>'RFM input'!Q232*(1+vanilla10)^0.5</f>
        <v>0</v>
      </c>
      <c r="R21" s="248"/>
      <c r="S21" s="71"/>
      <c r="T21" s="74"/>
      <c r="U21" s="74"/>
      <c r="V21" s="74"/>
      <c r="W21" s="74"/>
      <c r="X21" s="74"/>
      <c r="Y21" s="74"/>
      <c r="Z21" s="71"/>
    </row>
    <row r="22" spans="1:26" ht="12.75" hidden="1" customHeight="1" outlineLevel="1">
      <c r="A22" s="3"/>
      <c r="B22" s="3"/>
      <c r="C22" s="29"/>
      <c r="D22" s="133">
        <f>Asset11</f>
        <v>0</v>
      </c>
      <c r="E22" s="3"/>
      <c r="F22" s="3"/>
      <c r="G22" s="1341"/>
      <c r="H22" s="1363">
        <f>'RFM input'!H233*(1+vanilla1)^0.5</f>
        <v>0</v>
      </c>
      <c r="I22" s="1363">
        <f>'RFM input'!I233*(1+vanilla2)^0.5</f>
        <v>0</v>
      </c>
      <c r="J22" s="1363">
        <f>'RFM input'!J233*(1+vanilla3)^0.5</f>
        <v>0</v>
      </c>
      <c r="K22" s="1363">
        <f>'RFM input'!K233*(1+vanilla4)^0.5</f>
        <v>0</v>
      </c>
      <c r="L22" s="1363">
        <f>'RFM input'!L233*(1+vanilla5)^0.5</f>
        <v>0</v>
      </c>
      <c r="M22" s="1363">
        <f>'RFM input'!M233*(1+vanilla6)^0.5</f>
        <v>0</v>
      </c>
      <c r="N22" s="1363">
        <f>'RFM input'!N233*(1+vanilla7)^0.5</f>
        <v>0</v>
      </c>
      <c r="O22" s="1363">
        <f>'RFM input'!O233*(1+vanilla8)^0.5</f>
        <v>0</v>
      </c>
      <c r="P22" s="1363">
        <f>'RFM input'!P233*(1+vanilla9)^0.5</f>
        <v>0</v>
      </c>
      <c r="Q22" s="1363">
        <f>'RFM input'!Q233*(1+vanilla10)^0.5</f>
        <v>0</v>
      </c>
      <c r="R22" s="248"/>
      <c r="S22" s="71"/>
      <c r="T22" s="74"/>
      <c r="U22" s="74"/>
      <c r="V22" s="74"/>
      <c r="W22" s="74"/>
      <c r="X22" s="74"/>
      <c r="Y22" s="74"/>
      <c r="Z22" s="71"/>
    </row>
    <row r="23" spans="1:26" ht="12.75" hidden="1" customHeight="1" outlineLevel="1">
      <c r="A23" s="3"/>
      <c r="B23" s="3"/>
      <c r="C23" s="29"/>
      <c r="D23" s="133">
        <f>Asset12</f>
        <v>0</v>
      </c>
      <c r="E23" s="3"/>
      <c r="F23" s="3"/>
      <c r="G23" s="1341"/>
      <c r="H23" s="1363">
        <f>'RFM input'!H234*(1+vanilla1)^0.5</f>
        <v>0</v>
      </c>
      <c r="I23" s="1363">
        <f>'RFM input'!I234*(1+vanilla2)^0.5</f>
        <v>0</v>
      </c>
      <c r="J23" s="1363">
        <f>'RFM input'!J234*(1+vanilla3)^0.5</f>
        <v>0</v>
      </c>
      <c r="K23" s="1363">
        <f>'RFM input'!K234*(1+vanilla4)^0.5</f>
        <v>0</v>
      </c>
      <c r="L23" s="1363">
        <f>'RFM input'!L234*(1+vanilla5)^0.5</f>
        <v>0</v>
      </c>
      <c r="M23" s="1363">
        <f>'RFM input'!M234*(1+vanilla6)^0.5</f>
        <v>0</v>
      </c>
      <c r="N23" s="1363">
        <f>'RFM input'!N234*(1+vanilla7)^0.5</f>
        <v>0</v>
      </c>
      <c r="O23" s="1363">
        <f>'RFM input'!O234*(1+vanilla8)^0.5</f>
        <v>0</v>
      </c>
      <c r="P23" s="1363">
        <f>'RFM input'!P234*(1+vanilla9)^0.5</f>
        <v>0</v>
      </c>
      <c r="Q23" s="1363">
        <f>'RFM input'!Q234*(1+vanilla10)^0.5</f>
        <v>0</v>
      </c>
      <c r="R23" s="248"/>
      <c r="S23" s="71"/>
      <c r="T23" s="74"/>
      <c r="U23" s="74"/>
      <c r="V23" s="74"/>
      <c r="W23" s="74"/>
      <c r="X23" s="74"/>
      <c r="Y23" s="74"/>
      <c r="Z23" s="71"/>
    </row>
    <row r="24" spans="1:26" ht="12.75" hidden="1" customHeight="1" outlineLevel="1">
      <c r="A24" s="3"/>
      <c r="B24" s="3"/>
      <c r="C24" s="29"/>
      <c r="D24" s="133">
        <f>Asset13</f>
        <v>0</v>
      </c>
      <c r="E24" s="3"/>
      <c r="F24" s="3"/>
      <c r="G24" s="1341"/>
      <c r="H24" s="1363">
        <f>'RFM input'!H235*(1+vanilla1)^0.5</f>
        <v>0</v>
      </c>
      <c r="I24" s="1363">
        <f>'RFM input'!I235*(1+vanilla2)^0.5</f>
        <v>0</v>
      </c>
      <c r="J24" s="1363">
        <f>'RFM input'!J235*(1+vanilla3)^0.5</f>
        <v>0</v>
      </c>
      <c r="K24" s="1363">
        <f>'RFM input'!K235*(1+vanilla4)^0.5</f>
        <v>0</v>
      </c>
      <c r="L24" s="1363">
        <f>'RFM input'!L235*(1+vanilla5)^0.5</f>
        <v>0</v>
      </c>
      <c r="M24" s="1363">
        <f>'RFM input'!M235*(1+vanilla6)^0.5</f>
        <v>0</v>
      </c>
      <c r="N24" s="1363">
        <f>'RFM input'!N235*(1+vanilla7)^0.5</f>
        <v>0</v>
      </c>
      <c r="O24" s="1363">
        <f>'RFM input'!O235*(1+vanilla8)^0.5</f>
        <v>0</v>
      </c>
      <c r="P24" s="1363">
        <f>'RFM input'!P235*(1+vanilla9)^0.5</f>
        <v>0</v>
      </c>
      <c r="Q24" s="1363">
        <f>'RFM input'!Q235*(1+vanilla10)^0.5</f>
        <v>0</v>
      </c>
      <c r="R24" s="248"/>
      <c r="S24" s="71"/>
      <c r="T24" s="74"/>
      <c r="U24" s="74"/>
      <c r="V24" s="74"/>
      <c r="W24" s="74"/>
      <c r="X24" s="74"/>
      <c r="Y24" s="74"/>
      <c r="Z24" s="71"/>
    </row>
    <row r="25" spans="1:26" ht="12.75" hidden="1" customHeight="1" outlineLevel="1">
      <c r="A25" s="3"/>
      <c r="B25" s="3"/>
      <c r="C25" s="29"/>
      <c r="D25" s="133">
        <f>Asset14</f>
        <v>0</v>
      </c>
      <c r="E25" s="3"/>
      <c r="F25" s="3"/>
      <c r="G25" s="1341"/>
      <c r="H25" s="1363">
        <f>'RFM input'!H236*(1+vanilla1)^0.5</f>
        <v>0</v>
      </c>
      <c r="I25" s="1363">
        <f>'RFM input'!I236*(1+vanilla2)^0.5</f>
        <v>0</v>
      </c>
      <c r="J25" s="1363">
        <f>'RFM input'!J236*(1+vanilla3)^0.5</f>
        <v>0</v>
      </c>
      <c r="K25" s="1363">
        <f>'RFM input'!K236*(1+vanilla4)^0.5</f>
        <v>0</v>
      </c>
      <c r="L25" s="1363">
        <f>'RFM input'!L236*(1+vanilla5)^0.5</f>
        <v>0</v>
      </c>
      <c r="M25" s="1363">
        <f>'RFM input'!M236*(1+vanilla6)^0.5</f>
        <v>0</v>
      </c>
      <c r="N25" s="1363">
        <f>'RFM input'!N236*(1+vanilla7)^0.5</f>
        <v>0</v>
      </c>
      <c r="O25" s="1363">
        <f>'RFM input'!O236*(1+vanilla8)^0.5</f>
        <v>0</v>
      </c>
      <c r="P25" s="1363">
        <f>'RFM input'!P236*(1+vanilla9)^0.5</f>
        <v>0</v>
      </c>
      <c r="Q25" s="1363">
        <f>'RFM input'!Q236*(1+vanilla10)^0.5</f>
        <v>0</v>
      </c>
      <c r="R25" s="248"/>
      <c r="S25" s="71"/>
      <c r="T25" s="74"/>
      <c r="U25" s="74"/>
      <c r="V25" s="74"/>
      <c r="W25" s="74"/>
      <c r="X25" s="74"/>
      <c r="Y25" s="74"/>
      <c r="Z25" s="71"/>
    </row>
    <row r="26" spans="1:26" ht="12.75" hidden="1" customHeight="1" outlineLevel="1">
      <c r="A26" s="3"/>
      <c r="B26" s="3"/>
      <c r="C26" s="29"/>
      <c r="D26" s="133">
        <f>Asset15</f>
        <v>0</v>
      </c>
      <c r="E26" s="3"/>
      <c r="F26" s="3"/>
      <c r="G26" s="1341"/>
      <c r="H26" s="1363">
        <f>'RFM input'!H237*(1+vanilla1)^0.5</f>
        <v>0</v>
      </c>
      <c r="I26" s="1363">
        <f>'RFM input'!I237*(1+vanilla2)^0.5</f>
        <v>0</v>
      </c>
      <c r="J26" s="1363">
        <f>'RFM input'!J237*(1+vanilla3)^0.5</f>
        <v>0</v>
      </c>
      <c r="K26" s="1363">
        <f>'RFM input'!K237*(1+vanilla4)^0.5</f>
        <v>0</v>
      </c>
      <c r="L26" s="1363">
        <f>'RFM input'!L237*(1+vanilla5)^0.5</f>
        <v>0</v>
      </c>
      <c r="M26" s="1363">
        <f>'RFM input'!M237*(1+vanilla6)^0.5</f>
        <v>0</v>
      </c>
      <c r="N26" s="1363">
        <f>'RFM input'!N237*(1+vanilla7)^0.5</f>
        <v>0</v>
      </c>
      <c r="O26" s="1363">
        <f>'RFM input'!O237*(1+vanilla8)^0.5</f>
        <v>0</v>
      </c>
      <c r="P26" s="1363">
        <f>'RFM input'!P237*(1+vanilla9)^0.5</f>
        <v>0</v>
      </c>
      <c r="Q26" s="1363">
        <f>'RFM input'!Q237*(1+vanilla10)^0.5</f>
        <v>0</v>
      </c>
      <c r="R26" s="248"/>
      <c r="S26" s="71"/>
      <c r="T26" s="74"/>
      <c r="U26" s="74"/>
      <c r="V26" s="74"/>
      <c r="W26" s="74"/>
      <c r="X26" s="74"/>
      <c r="Y26" s="74"/>
      <c r="Z26" s="71"/>
    </row>
    <row r="27" spans="1:26" ht="12.75" hidden="1" customHeight="1" outlineLevel="1">
      <c r="A27" s="3"/>
      <c r="B27" s="3"/>
      <c r="C27" s="29"/>
      <c r="D27" s="133">
        <f>Asset16</f>
        <v>0</v>
      </c>
      <c r="E27" s="3"/>
      <c r="F27" s="3"/>
      <c r="G27" s="1341"/>
      <c r="H27" s="1363">
        <f>'RFM input'!H238*(1+vanilla1)^0.5</f>
        <v>0</v>
      </c>
      <c r="I27" s="1363">
        <f>'RFM input'!I238*(1+vanilla2)^0.5</f>
        <v>0</v>
      </c>
      <c r="J27" s="1363">
        <f>'RFM input'!J238*(1+vanilla3)^0.5</f>
        <v>0</v>
      </c>
      <c r="K27" s="1363">
        <f>'RFM input'!K238*(1+vanilla4)^0.5</f>
        <v>0</v>
      </c>
      <c r="L27" s="1363">
        <f>'RFM input'!L238*(1+vanilla5)^0.5</f>
        <v>0</v>
      </c>
      <c r="M27" s="1363">
        <f>'RFM input'!M238*(1+vanilla6)^0.5</f>
        <v>0</v>
      </c>
      <c r="N27" s="1363">
        <f>'RFM input'!N238*(1+vanilla7)^0.5</f>
        <v>0</v>
      </c>
      <c r="O27" s="1363">
        <f>'RFM input'!O238*(1+vanilla8)^0.5</f>
        <v>0</v>
      </c>
      <c r="P27" s="1363">
        <f>'RFM input'!P238*(1+vanilla9)^0.5</f>
        <v>0</v>
      </c>
      <c r="Q27" s="1363">
        <f>'RFM input'!Q238*(1+vanilla10)^0.5</f>
        <v>0</v>
      </c>
      <c r="R27" s="248"/>
      <c r="S27" s="71"/>
      <c r="T27" s="74"/>
      <c r="U27" s="74"/>
      <c r="V27" s="74"/>
      <c r="W27" s="74"/>
      <c r="X27" s="74"/>
      <c r="Y27" s="74"/>
      <c r="Z27" s="71"/>
    </row>
    <row r="28" spans="1:26" ht="12.75" hidden="1" customHeight="1" outlineLevel="1">
      <c r="A28" s="3"/>
      <c r="B28" s="3"/>
      <c r="C28" s="29"/>
      <c r="D28" s="133">
        <f>Asset17</f>
        <v>0</v>
      </c>
      <c r="E28" s="3"/>
      <c r="F28" s="3"/>
      <c r="G28" s="1341"/>
      <c r="H28" s="1363">
        <f>'RFM input'!H239*(1+vanilla1)^0.5</f>
        <v>0</v>
      </c>
      <c r="I28" s="1363">
        <f>'RFM input'!I239*(1+vanilla2)^0.5</f>
        <v>0</v>
      </c>
      <c r="J28" s="1363">
        <f>'RFM input'!J239*(1+vanilla3)^0.5</f>
        <v>0</v>
      </c>
      <c r="K28" s="1363">
        <f>'RFM input'!K239*(1+vanilla4)^0.5</f>
        <v>0</v>
      </c>
      <c r="L28" s="1363">
        <f>'RFM input'!L239*(1+vanilla5)^0.5</f>
        <v>0</v>
      </c>
      <c r="M28" s="1363">
        <f>'RFM input'!M239*(1+vanilla6)^0.5</f>
        <v>0</v>
      </c>
      <c r="N28" s="1363">
        <f>'RFM input'!N239*(1+vanilla7)^0.5</f>
        <v>0</v>
      </c>
      <c r="O28" s="1363">
        <f>'RFM input'!O239*(1+vanilla8)^0.5</f>
        <v>0</v>
      </c>
      <c r="P28" s="1363">
        <f>'RFM input'!P239*(1+vanilla9)^0.5</f>
        <v>0</v>
      </c>
      <c r="Q28" s="1363">
        <f>'RFM input'!Q239*(1+vanilla10)^0.5</f>
        <v>0</v>
      </c>
      <c r="R28" s="248"/>
      <c r="S28" s="71"/>
      <c r="T28" s="74"/>
      <c r="U28" s="74"/>
      <c r="V28" s="74"/>
      <c r="W28" s="74"/>
      <c r="X28" s="74"/>
      <c r="Y28" s="74"/>
      <c r="Z28" s="71"/>
    </row>
    <row r="29" spans="1:26" ht="12.75" hidden="1" customHeight="1" outlineLevel="1">
      <c r="A29" s="3"/>
      <c r="B29" s="3"/>
      <c r="C29" s="29"/>
      <c r="D29" s="133">
        <f>Asset18</f>
        <v>0</v>
      </c>
      <c r="E29" s="3"/>
      <c r="F29" s="3"/>
      <c r="G29" s="1341"/>
      <c r="H29" s="1363">
        <f>'RFM input'!H240*(1+vanilla1)^0.5</f>
        <v>0</v>
      </c>
      <c r="I29" s="1363">
        <f>'RFM input'!I240*(1+vanilla2)^0.5</f>
        <v>0</v>
      </c>
      <c r="J29" s="1363">
        <f>'RFM input'!J240*(1+vanilla3)^0.5</f>
        <v>0</v>
      </c>
      <c r="K29" s="1363">
        <f>'RFM input'!K240*(1+vanilla4)^0.5</f>
        <v>0</v>
      </c>
      <c r="L29" s="1363">
        <f>'RFM input'!L240*(1+vanilla5)^0.5</f>
        <v>0</v>
      </c>
      <c r="M29" s="1363">
        <f>'RFM input'!M240*(1+vanilla6)^0.5</f>
        <v>0</v>
      </c>
      <c r="N29" s="1363">
        <f>'RFM input'!N240*(1+vanilla7)^0.5</f>
        <v>0</v>
      </c>
      <c r="O29" s="1363">
        <f>'RFM input'!O240*(1+vanilla8)^0.5</f>
        <v>0</v>
      </c>
      <c r="P29" s="1363">
        <f>'RFM input'!P240*(1+vanilla9)^0.5</f>
        <v>0</v>
      </c>
      <c r="Q29" s="1363">
        <f>'RFM input'!Q240*(1+vanilla10)^0.5</f>
        <v>0</v>
      </c>
      <c r="R29" s="248"/>
      <c r="S29" s="71"/>
      <c r="T29" s="74"/>
      <c r="U29" s="74"/>
      <c r="V29" s="74"/>
      <c r="W29" s="74"/>
      <c r="X29" s="74"/>
      <c r="Y29" s="74"/>
      <c r="Z29" s="71"/>
    </row>
    <row r="30" spans="1:26" ht="12.75" hidden="1" customHeight="1" outlineLevel="1">
      <c r="A30" s="3"/>
      <c r="B30" s="3"/>
      <c r="C30" s="29"/>
      <c r="D30" s="133">
        <f>Asset19</f>
        <v>0</v>
      </c>
      <c r="E30" s="3"/>
      <c r="F30" s="3"/>
      <c r="G30" s="1341"/>
      <c r="H30" s="1363">
        <f>'RFM input'!H241*(1+vanilla1)^0.5</f>
        <v>0</v>
      </c>
      <c r="I30" s="1363">
        <f>'RFM input'!I241*(1+vanilla2)^0.5</f>
        <v>0</v>
      </c>
      <c r="J30" s="1363">
        <f>'RFM input'!J241*(1+vanilla3)^0.5</f>
        <v>0</v>
      </c>
      <c r="K30" s="1363">
        <f>'RFM input'!K241*(1+vanilla4)^0.5</f>
        <v>0</v>
      </c>
      <c r="L30" s="1363">
        <f>'RFM input'!L241*(1+vanilla5)^0.5</f>
        <v>0</v>
      </c>
      <c r="M30" s="1363">
        <f>'RFM input'!M241*(1+vanilla6)^0.5</f>
        <v>0</v>
      </c>
      <c r="N30" s="1363">
        <f>'RFM input'!N241*(1+vanilla7)^0.5</f>
        <v>0</v>
      </c>
      <c r="O30" s="1363">
        <f>'RFM input'!O241*(1+vanilla8)^0.5</f>
        <v>0</v>
      </c>
      <c r="P30" s="1363">
        <f>'RFM input'!P241*(1+vanilla9)^0.5</f>
        <v>0</v>
      </c>
      <c r="Q30" s="1363">
        <f>'RFM input'!Q241*(1+vanilla10)^0.5</f>
        <v>0</v>
      </c>
      <c r="R30" s="248"/>
      <c r="S30" s="71"/>
      <c r="T30" s="74"/>
      <c r="U30" s="74"/>
      <c r="V30" s="74"/>
      <c r="W30" s="74"/>
      <c r="X30" s="74"/>
      <c r="Y30" s="74"/>
      <c r="Z30" s="71"/>
    </row>
    <row r="31" spans="1:26" ht="12.75" hidden="1" customHeight="1" outlineLevel="1">
      <c r="A31" s="3"/>
      <c r="B31" s="3"/>
      <c r="C31" s="29"/>
      <c r="D31" s="133">
        <f>Asset20</f>
        <v>0</v>
      </c>
      <c r="E31" s="3"/>
      <c r="F31" s="3"/>
      <c r="G31" s="1341"/>
      <c r="H31" s="1363">
        <f>'RFM input'!H242*(1+vanilla1)^0.5</f>
        <v>0</v>
      </c>
      <c r="I31" s="1363">
        <f>'RFM input'!I242*(1+vanilla2)^0.5</f>
        <v>0</v>
      </c>
      <c r="J31" s="1363">
        <f>'RFM input'!J242*(1+vanilla3)^0.5</f>
        <v>0</v>
      </c>
      <c r="K31" s="1363">
        <f>'RFM input'!K242*(1+vanilla4)^0.5</f>
        <v>0</v>
      </c>
      <c r="L31" s="1363">
        <f>'RFM input'!L242*(1+vanilla5)^0.5</f>
        <v>0</v>
      </c>
      <c r="M31" s="1363">
        <f>'RFM input'!M242*(1+vanilla6)^0.5</f>
        <v>0</v>
      </c>
      <c r="N31" s="1363">
        <f>'RFM input'!N242*(1+vanilla7)^0.5</f>
        <v>0</v>
      </c>
      <c r="O31" s="1363">
        <f>'RFM input'!O242*(1+vanilla8)^0.5</f>
        <v>0</v>
      </c>
      <c r="P31" s="1363">
        <f>'RFM input'!P242*(1+vanilla9)^0.5</f>
        <v>0</v>
      </c>
      <c r="Q31" s="1363">
        <f>'RFM input'!Q242*(1+vanilla10)^0.5</f>
        <v>0</v>
      </c>
      <c r="R31" s="248"/>
      <c r="S31" s="71"/>
      <c r="T31" s="74"/>
      <c r="U31" s="74"/>
      <c r="V31" s="74"/>
      <c r="W31" s="74"/>
      <c r="X31" s="74"/>
      <c r="Y31" s="74"/>
      <c r="Z31" s="71"/>
    </row>
    <row r="32" spans="1:26" ht="12.75" hidden="1" customHeight="1" outlineLevel="1">
      <c r="A32" s="3"/>
      <c r="B32" s="3"/>
      <c r="C32" s="29"/>
      <c r="D32" s="133">
        <f>Asset21</f>
        <v>0</v>
      </c>
      <c r="E32" s="3"/>
      <c r="F32" s="3"/>
      <c r="G32" s="1341"/>
      <c r="H32" s="1363">
        <f>'RFM input'!H243*(1+vanilla1)^0.5</f>
        <v>0</v>
      </c>
      <c r="I32" s="1363">
        <f>'RFM input'!I243*(1+vanilla2)^0.5</f>
        <v>0</v>
      </c>
      <c r="J32" s="1363">
        <f>'RFM input'!J243*(1+vanilla3)^0.5</f>
        <v>0</v>
      </c>
      <c r="K32" s="1363">
        <f>'RFM input'!K243*(1+vanilla4)^0.5</f>
        <v>0</v>
      </c>
      <c r="L32" s="1363">
        <f>'RFM input'!L243*(1+vanilla5)^0.5</f>
        <v>0</v>
      </c>
      <c r="M32" s="1363">
        <f>'RFM input'!M243*(1+vanilla6)^0.5</f>
        <v>0</v>
      </c>
      <c r="N32" s="1363">
        <f>'RFM input'!N243*(1+vanilla7)^0.5</f>
        <v>0</v>
      </c>
      <c r="O32" s="1363">
        <f>'RFM input'!O243*(1+vanilla8)^0.5</f>
        <v>0</v>
      </c>
      <c r="P32" s="1363">
        <f>'RFM input'!P243*(1+vanilla9)^0.5</f>
        <v>0</v>
      </c>
      <c r="Q32" s="1363">
        <f>'RFM input'!Q243*(1+vanilla10)^0.5</f>
        <v>0</v>
      </c>
      <c r="R32" s="248"/>
      <c r="S32" s="71"/>
      <c r="T32" s="74"/>
      <c r="U32" s="74"/>
      <c r="V32" s="74"/>
      <c r="W32" s="74"/>
      <c r="X32" s="74"/>
      <c r="Y32" s="74"/>
      <c r="Z32" s="71"/>
    </row>
    <row r="33" spans="1:26" ht="12.75" hidden="1" customHeight="1" outlineLevel="1">
      <c r="A33" s="3"/>
      <c r="B33" s="3"/>
      <c r="C33" s="29"/>
      <c r="D33" s="133">
        <f>Asset22</f>
        <v>0</v>
      </c>
      <c r="E33" s="3"/>
      <c r="F33" s="3"/>
      <c r="G33" s="1341"/>
      <c r="H33" s="1363">
        <f>'RFM input'!H244*(1+vanilla1)^0.5</f>
        <v>0</v>
      </c>
      <c r="I33" s="1363">
        <f>'RFM input'!I244*(1+vanilla2)^0.5</f>
        <v>0</v>
      </c>
      <c r="J33" s="1363">
        <f>'RFM input'!J244*(1+vanilla3)^0.5</f>
        <v>0</v>
      </c>
      <c r="K33" s="1363">
        <f>'RFM input'!K244*(1+vanilla4)^0.5</f>
        <v>0</v>
      </c>
      <c r="L33" s="1363">
        <f>'RFM input'!L244*(1+vanilla5)^0.5</f>
        <v>0</v>
      </c>
      <c r="M33" s="1363">
        <f>'RFM input'!M244*(1+vanilla6)^0.5</f>
        <v>0</v>
      </c>
      <c r="N33" s="1363">
        <f>'RFM input'!N244*(1+vanilla7)^0.5</f>
        <v>0</v>
      </c>
      <c r="O33" s="1363">
        <f>'RFM input'!O244*(1+vanilla8)^0.5</f>
        <v>0</v>
      </c>
      <c r="P33" s="1363">
        <f>'RFM input'!P244*(1+vanilla9)^0.5</f>
        <v>0</v>
      </c>
      <c r="Q33" s="1363">
        <f>'RFM input'!Q244*(1+vanilla10)^0.5</f>
        <v>0</v>
      </c>
      <c r="R33" s="248"/>
      <c r="S33" s="71"/>
      <c r="T33" s="74"/>
      <c r="U33" s="74"/>
      <c r="V33" s="74"/>
      <c r="W33" s="74"/>
      <c r="X33" s="74"/>
      <c r="Y33" s="74"/>
      <c r="Z33" s="71"/>
    </row>
    <row r="34" spans="1:26" ht="12.75" hidden="1" customHeight="1" outlineLevel="1">
      <c r="A34" s="3"/>
      <c r="B34" s="3"/>
      <c r="C34" s="29"/>
      <c r="D34" s="133">
        <f>Asset23</f>
        <v>0</v>
      </c>
      <c r="E34" s="3"/>
      <c r="F34" s="3"/>
      <c r="G34" s="1341"/>
      <c r="H34" s="1363">
        <f>'RFM input'!H245*(1+vanilla1)^0.5</f>
        <v>0</v>
      </c>
      <c r="I34" s="1363">
        <f>'RFM input'!I245*(1+vanilla2)^0.5</f>
        <v>0</v>
      </c>
      <c r="J34" s="1363">
        <f>'RFM input'!J245*(1+vanilla3)^0.5</f>
        <v>0</v>
      </c>
      <c r="K34" s="1363">
        <f>'RFM input'!K245*(1+vanilla4)^0.5</f>
        <v>0</v>
      </c>
      <c r="L34" s="1363">
        <f>'RFM input'!L245*(1+vanilla5)^0.5</f>
        <v>0</v>
      </c>
      <c r="M34" s="1363">
        <f>'RFM input'!M245*(1+vanilla6)^0.5</f>
        <v>0</v>
      </c>
      <c r="N34" s="1363">
        <f>'RFM input'!N245*(1+vanilla7)^0.5</f>
        <v>0</v>
      </c>
      <c r="O34" s="1363">
        <f>'RFM input'!O245*(1+vanilla8)^0.5</f>
        <v>0</v>
      </c>
      <c r="P34" s="1363">
        <f>'RFM input'!P245*(1+vanilla9)^0.5</f>
        <v>0</v>
      </c>
      <c r="Q34" s="1363">
        <f>'RFM input'!Q245*(1+vanilla10)^0.5</f>
        <v>0</v>
      </c>
      <c r="R34" s="248"/>
      <c r="S34" s="71"/>
      <c r="T34" s="74"/>
      <c r="U34" s="74"/>
      <c r="V34" s="74"/>
      <c r="W34" s="74"/>
      <c r="X34" s="74"/>
      <c r="Y34" s="74"/>
      <c r="Z34" s="71"/>
    </row>
    <row r="35" spans="1:26" ht="12.75" hidden="1" customHeight="1" outlineLevel="1">
      <c r="A35" s="3"/>
      <c r="B35" s="3"/>
      <c r="C35" s="29"/>
      <c r="D35" s="133">
        <f>Asset24</f>
        <v>0</v>
      </c>
      <c r="E35" s="3"/>
      <c r="F35" s="3"/>
      <c r="G35" s="1341"/>
      <c r="H35" s="1363">
        <f>'RFM input'!H246*(1+vanilla1)^0.5</f>
        <v>0</v>
      </c>
      <c r="I35" s="1363">
        <f>'RFM input'!I246*(1+vanilla2)^0.5</f>
        <v>0</v>
      </c>
      <c r="J35" s="1363">
        <f>'RFM input'!J246*(1+vanilla3)^0.5</f>
        <v>0</v>
      </c>
      <c r="K35" s="1363">
        <f>'RFM input'!K246*(1+vanilla4)^0.5</f>
        <v>0</v>
      </c>
      <c r="L35" s="1363">
        <f>'RFM input'!L246*(1+vanilla5)^0.5</f>
        <v>0</v>
      </c>
      <c r="M35" s="1363">
        <f>'RFM input'!M246*(1+vanilla6)^0.5</f>
        <v>0</v>
      </c>
      <c r="N35" s="1363">
        <f>'RFM input'!N246*(1+vanilla7)^0.5</f>
        <v>0</v>
      </c>
      <c r="O35" s="1363">
        <f>'RFM input'!O246*(1+vanilla8)^0.5</f>
        <v>0</v>
      </c>
      <c r="P35" s="1363">
        <f>'RFM input'!P246*(1+vanilla9)^0.5</f>
        <v>0</v>
      </c>
      <c r="Q35" s="1363">
        <f>'RFM input'!Q246*(1+vanilla10)^0.5</f>
        <v>0</v>
      </c>
      <c r="R35" s="248"/>
      <c r="S35" s="71"/>
      <c r="T35" s="74"/>
      <c r="U35" s="74"/>
      <c r="V35" s="74"/>
      <c r="W35" s="74"/>
      <c r="X35" s="74"/>
      <c r="Y35" s="74"/>
      <c r="Z35" s="71"/>
    </row>
    <row r="36" spans="1:26" ht="12.75" hidden="1" customHeight="1" outlineLevel="1">
      <c r="A36" s="3"/>
      <c r="B36" s="3"/>
      <c r="C36" s="29"/>
      <c r="D36" s="133">
        <f>Asset25</f>
        <v>0</v>
      </c>
      <c r="E36" s="3"/>
      <c r="F36" s="3"/>
      <c r="G36" s="1341"/>
      <c r="H36" s="1363">
        <f>'RFM input'!H247*(1+vanilla1)^0.5</f>
        <v>0</v>
      </c>
      <c r="I36" s="1363">
        <f>'RFM input'!I247*(1+vanilla2)^0.5</f>
        <v>0</v>
      </c>
      <c r="J36" s="1363">
        <f>'RFM input'!J247*(1+vanilla3)^0.5</f>
        <v>0</v>
      </c>
      <c r="K36" s="1363">
        <f>'RFM input'!K247*(1+vanilla4)^0.5</f>
        <v>0</v>
      </c>
      <c r="L36" s="1363">
        <f>'RFM input'!L247*(1+vanilla5)^0.5</f>
        <v>0</v>
      </c>
      <c r="M36" s="1363">
        <f>'RFM input'!M247*(1+vanilla6)^0.5</f>
        <v>0</v>
      </c>
      <c r="N36" s="1363">
        <f>'RFM input'!N247*(1+vanilla7)^0.5</f>
        <v>0</v>
      </c>
      <c r="O36" s="1363">
        <f>'RFM input'!O247*(1+vanilla8)^0.5</f>
        <v>0</v>
      </c>
      <c r="P36" s="1363">
        <f>'RFM input'!P247*(1+vanilla9)^0.5</f>
        <v>0</v>
      </c>
      <c r="Q36" s="1363">
        <f>'RFM input'!Q247*(1+vanilla10)^0.5</f>
        <v>0</v>
      </c>
      <c r="R36" s="248"/>
      <c r="S36" s="71"/>
      <c r="T36" s="74"/>
      <c r="U36" s="74"/>
      <c r="V36" s="74"/>
      <c r="W36" s="74"/>
      <c r="X36" s="74"/>
      <c r="Y36" s="74"/>
      <c r="Z36" s="71"/>
    </row>
    <row r="37" spans="1:26" ht="12.75" hidden="1" customHeight="1" outlineLevel="1">
      <c r="A37" s="3"/>
      <c r="B37" s="3"/>
      <c r="C37" s="29"/>
      <c r="D37" s="133">
        <f>Asset26</f>
        <v>0</v>
      </c>
      <c r="E37" s="3"/>
      <c r="F37" s="3"/>
      <c r="G37" s="1341"/>
      <c r="H37" s="1363">
        <f>'RFM input'!H248*(1+vanilla1)^0.5</f>
        <v>0</v>
      </c>
      <c r="I37" s="1363">
        <f>'RFM input'!I248*(1+vanilla2)^0.5</f>
        <v>0</v>
      </c>
      <c r="J37" s="1363">
        <f>'RFM input'!J248*(1+vanilla3)^0.5</f>
        <v>0</v>
      </c>
      <c r="K37" s="1363">
        <f>'RFM input'!K248*(1+vanilla4)^0.5</f>
        <v>0</v>
      </c>
      <c r="L37" s="1363">
        <f>'RFM input'!L248*(1+vanilla5)^0.5</f>
        <v>0</v>
      </c>
      <c r="M37" s="1363">
        <f>'RFM input'!M248*(1+vanilla6)^0.5</f>
        <v>0</v>
      </c>
      <c r="N37" s="1363">
        <f>'RFM input'!N248*(1+vanilla7)^0.5</f>
        <v>0</v>
      </c>
      <c r="O37" s="1363">
        <f>'RFM input'!O248*(1+vanilla8)^0.5</f>
        <v>0</v>
      </c>
      <c r="P37" s="1363">
        <f>'RFM input'!P248*(1+vanilla9)^0.5</f>
        <v>0</v>
      </c>
      <c r="Q37" s="1363">
        <f>'RFM input'!Q248*(1+vanilla10)^0.5</f>
        <v>0</v>
      </c>
      <c r="R37" s="248"/>
      <c r="S37" s="71"/>
      <c r="T37" s="74"/>
      <c r="U37" s="74"/>
      <c r="V37" s="74"/>
      <c r="W37" s="74"/>
      <c r="X37" s="74"/>
      <c r="Y37" s="74"/>
      <c r="Z37" s="71"/>
    </row>
    <row r="38" spans="1:26" ht="12.75" hidden="1" customHeight="1" outlineLevel="1">
      <c r="A38" s="3"/>
      <c r="B38" s="3"/>
      <c r="C38" s="29"/>
      <c r="D38" s="133">
        <f>Asset27</f>
        <v>0</v>
      </c>
      <c r="E38" s="3"/>
      <c r="F38" s="3"/>
      <c r="G38" s="1341"/>
      <c r="H38" s="1363">
        <f>'RFM input'!H249*(1+vanilla1)^0.5</f>
        <v>0</v>
      </c>
      <c r="I38" s="1363">
        <f>'RFM input'!I249*(1+vanilla2)^0.5</f>
        <v>0</v>
      </c>
      <c r="J38" s="1363">
        <f>'RFM input'!J249*(1+vanilla3)^0.5</f>
        <v>0</v>
      </c>
      <c r="K38" s="1363">
        <f>'RFM input'!K249*(1+vanilla4)^0.5</f>
        <v>0</v>
      </c>
      <c r="L38" s="1363">
        <f>'RFM input'!L249*(1+vanilla5)^0.5</f>
        <v>0</v>
      </c>
      <c r="M38" s="1363">
        <f>'RFM input'!M249*(1+vanilla6)^0.5</f>
        <v>0</v>
      </c>
      <c r="N38" s="1363">
        <f>'RFM input'!N249*(1+vanilla7)^0.5</f>
        <v>0</v>
      </c>
      <c r="O38" s="1363">
        <f>'RFM input'!O249*(1+vanilla8)^0.5</f>
        <v>0</v>
      </c>
      <c r="P38" s="1363">
        <f>'RFM input'!P249*(1+vanilla9)^0.5</f>
        <v>0</v>
      </c>
      <c r="Q38" s="1363">
        <f>'RFM input'!Q249*(1+vanilla10)^0.5</f>
        <v>0</v>
      </c>
      <c r="R38" s="248"/>
      <c r="S38" s="71"/>
      <c r="T38" s="74"/>
      <c r="U38" s="74"/>
      <c r="V38" s="74"/>
      <c r="W38" s="74"/>
      <c r="X38" s="74"/>
      <c r="Y38" s="74"/>
      <c r="Z38" s="71"/>
    </row>
    <row r="39" spans="1:26" ht="12.75" hidden="1" customHeight="1" outlineLevel="1">
      <c r="A39" s="3"/>
      <c r="B39" s="3"/>
      <c r="C39" s="29"/>
      <c r="D39" s="133">
        <f>Asset28</f>
        <v>0</v>
      </c>
      <c r="E39" s="3"/>
      <c r="F39" s="3"/>
      <c r="G39" s="1341"/>
      <c r="H39" s="1363">
        <f>'RFM input'!H250*(1+vanilla1)^0.5</f>
        <v>0</v>
      </c>
      <c r="I39" s="1363">
        <f>'RFM input'!I250*(1+vanilla2)^0.5</f>
        <v>0</v>
      </c>
      <c r="J39" s="1363">
        <f>'RFM input'!J250*(1+vanilla3)^0.5</f>
        <v>0</v>
      </c>
      <c r="K39" s="1363">
        <f>'RFM input'!K250*(1+vanilla4)^0.5</f>
        <v>0</v>
      </c>
      <c r="L39" s="1363">
        <f>'RFM input'!L250*(1+vanilla5)^0.5</f>
        <v>0</v>
      </c>
      <c r="M39" s="1363">
        <f>'RFM input'!M250*(1+vanilla6)^0.5</f>
        <v>0</v>
      </c>
      <c r="N39" s="1363">
        <f>'RFM input'!N250*(1+vanilla7)^0.5</f>
        <v>0</v>
      </c>
      <c r="O39" s="1363">
        <f>'RFM input'!O250*(1+vanilla8)^0.5</f>
        <v>0</v>
      </c>
      <c r="P39" s="1363">
        <f>'RFM input'!P250*(1+vanilla9)^0.5</f>
        <v>0</v>
      </c>
      <c r="Q39" s="1363">
        <f>'RFM input'!Q250*(1+vanilla10)^0.5</f>
        <v>0</v>
      </c>
      <c r="R39" s="248"/>
      <c r="S39" s="71"/>
      <c r="T39" s="74"/>
      <c r="U39" s="74"/>
      <c r="V39" s="74"/>
      <c r="W39" s="74"/>
      <c r="X39" s="74"/>
      <c r="Y39" s="74"/>
      <c r="Z39" s="71"/>
    </row>
    <row r="40" spans="1:26" ht="12.75" hidden="1" customHeight="1" outlineLevel="1">
      <c r="A40" s="3"/>
      <c r="B40" s="3"/>
      <c r="C40" s="29"/>
      <c r="D40" s="133">
        <f>Asset29</f>
        <v>0</v>
      </c>
      <c r="E40" s="3"/>
      <c r="F40" s="3"/>
      <c r="G40" s="1341"/>
      <c r="H40" s="1363">
        <f>'RFM input'!H251*(1+vanilla1)^0.5</f>
        <v>0</v>
      </c>
      <c r="I40" s="1363">
        <f>'RFM input'!I251*(1+vanilla2)^0.5</f>
        <v>0</v>
      </c>
      <c r="J40" s="1363">
        <f>'RFM input'!J251*(1+vanilla3)^0.5</f>
        <v>0</v>
      </c>
      <c r="K40" s="1363">
        <f>'RFM input'!K251*(1+vanilla4)^0.5</f>
        <v>0</v>
      </c>
      <c r="L40" s="1363">
        <f>'RFM input'!L251*(1+vanilla5)^0.5</f>
        <v>0</v>
      </c>
      <c r="M40" s="1363">
        <f>'RFM input'!M251*(1+vanilla6)^0.5</f>
        <v>0</v>
      </c>
      <c r="N40" s="1363">
        <f>'RFM input'!N251*(1+vanilla7)^0.5</f>
        <v>0</v>
      </c>
      <c r="O40" s="1363">
        <f>'RFM input'!O251*(1+vanilla8)^0.5</f>
        <v>0</v>
      </c>
      <c r="P40" s="1363">
        <f>'RFM input'!P251*(1+vanilla9)^0.5</f>
        <v>0</v>
      </c>
      <c r="Q40" s="1363">
        <f>'RFM input'!Q251*(1+vanilla10)^0.5</f>
        <v>0</v>
      </c>
      <c r="R40" s="248"/>
      <c r="S40" s="71"/>
      <c r="T40" s="74"/>
      <c r="U40" s="74"/>
      <c r="V40" s="74"/>
      <c r="W40" s="74"/>
      <c r="X40" s="74"/>
      <c r="Y40" s="74"/>
      <c r="Z40" s="71"/>
    </row>
    <row r="41" spans="1:26" ht="12.75" hidden="1" customHeight="1" outlineLevel="1">
      <c r="A41" s="3"/>
      <c r="B41" s="3"/>
      <c r="C41" s="29"/>
      <c r="D41" s="133">
        <f>Asset30</f>
        <v>0</v>
      </c>
      <c r="E41" s="3"/>
      <c r="F41" s="3"/>
      <c r="G41" s="1341"/>
      <c r="H41" s="1363">
        <f>'RFM input'!H252*(1+vanilla1)^0.5</f>
        <v>0</v>
      </c>
      <c r="I41" s="1363">
        <f>'RFM input'!I252*(1+vanilla2)^0.5</f>
        <v>0</v>
      </c>
      <c r="J41" s="1363">
        <f>'RFM input'!J252*(1+vanilla3)^0.5</f>
        <v>0</v>
      </c>
      <c r="K41" s="1363">
        <f>'RFM input'!K252*(1+vanilla4)^0.5</f>
        <v>0</v>
      </c>
      <c r="L41" s="1363">
        <f>'RFM input'!L252*(1+vanilla5)^0.5</f>
        <v>0</v>
      </c>
      <c r="M41" s="1363">
        <f>'RFM input'!M252*(1+vanilla6)^0.5</f>
        <v>0</v>
      </c>
      <c r="N41" s="1363">
        <f>'RFM input'!N252*(1+vanilla7)^0.5</f>
        <v>0</v>
      </c>
      <c r="O41" s="1363">
        <f>'RFM input'!O252*(1+vanilla8)^0.5</f>
        <v>0</v>
      </c>
      <c r="P41" s="1363">
        <f>'RFM input'!P252*(1+vanilla9)^0.5</f>
        <v>0</v>
      </c>
      <c r="Q41" s="1363">
        <f>'RFM input'!Q252*(1+vanilla10)^0.5</f>
        <v>0</v>
      </c>
      <c r="R41" s="248"/>
      <c r="S41" s="71"/>
      <c r="T41" s="74"/>
      <c r="U41" s="74"/>
      <c r="V41" s="74"/>
      <c r="W41" s="74"/>
      <c r="X41" s="74"/>
      <c r="Y41" s="74"/>
      <c r="Z41" s="71"/>
    </row>
    <row r="42" spans="1:26" ht="12.75" hidden="1" customHeight="1" outlineLevel="1">
      <c r="A42" s="3"/>
      <c r="B42" s="3"/>
      <c r="C42" s="29"/>
      <c r="D42" s="133">
        <f>Asset31</f>
        <v>0</v>
      </c>
      <c r="E42" s="3"/>
      <c r="F42" s="3"/>
      <c r="G42" s="1341"/>
      <c r="H42" s="1363">
        <f>'RFM input'!H253*(1+vanilla1)^0.5</f>
        <v>0</v>
      </c>
      <c r="I42" s="1363">
        <f>'RFM input'!I253*(1+vanilla2)^0.5</f>
        <v>0</v>
      </c>
      <c r="J42" s="1363">
        <f>'RFM input'!J253*(1+vanilla3)^0.5</f>
        <v>0</v>
      </c>
      <c r="K42" s="1363">
        <f>'RFM input'!K253*(1+vanilla4)^0.5</f>
        <v>0</v>
      </c>
      <c r="L42" s="1363">
        <f>'RFM input'!L253*(1+vanilla5)^0.5</f>
        <v>0</v>
      </c>
      <c r="M42" s="1363">
        <f>'RFM input'!M253*(1+vanilla6)^0.5</f>
        <v>0</v>
      </c>
      <c r="N42" s="1363">
        <f>'RFM input'!N253*(1+vanilla7)^0.5</f>
        <v>0</v>
      </c>
      <c r="O42" s="1363">
        <f>'RFM input'!O253*(1+vanilla8)^0.5</f>
        <v>0</v>
      </c>
      <c r="P42" s="1363">
        <f>'RFM input'!P253*(1+vanilla9)^0.5</f>
        <v>0</v>
      </c>
      <c r="Q42" s="1363">
        <f>'RFM input'!Q253*(1+vanilla10)^0.5</f>
        <v>0</v>
      </c>
      <c r="R42" s="248"/>
      <c r="S42" s="71"/>
      <c r="T42" s="74"/>
      <c r="U42" s="74"/>
      <c r="V42" s="74"/>
      <c r="W42" s="74"/>
      <c r="X42" s="74"/>
      <c r="Y42" s="74"/>
      <c r="Z42" s="71"/>
    </row>
    <row r="43" spans="1:26" ht="12.75" hidden="1" customHeight="1" outlineLevel="1">
      <c r="A43" s="3"/>
      <c r="B43" s="3"/>
      <c r="C43" s="29"/>
      <c r="D43" s="133">
        <f>Asset32</f>
        <v>0</v>
      </c>
      <c r="E43" s="3"/>
      <c r="F43" s="3"/>
      <c r="G43" s="1341"/>
      <c r="H43" s="1363">
        <f>'RFM input'!H254*(1+vanilla1)^0.5</f>
        <v>0</v>
      </c>
      <c r="I43" s="1363">
        <f>'RFM input'!I254*(1+vanilla2)^0.5</f>
        <v>0</v>
      </c>
      <c r="J43" s="1363">
        <f>'RFM input'!J254*(1+vanilla3)^0.5</f>
        <v>0</v>
      </c>
      <c r="K43" s="1363">
        <f>'RFM input'!K254*(1+vanilla4)^0.5</f>
        <v>0</v>
      </c>
      <c r="L43" s="1363">
        <f>'RFM input'!L254*(1+vanilla5)^0.5</f>
        <v>0</v>
      </c>
      <c r="M43" s="1363">
        <f>'RFM input'!M254*(1+vanilla6)^0.5</f>
        <v>0</v>
      </c>
      <c r="N43" s="1363">
        <f>'RFM input'!N254*(1+vanilla7)^0.5</f>
        <v>0</v>
      </c>
      <c r="O43" s="1363">
        <f>'RFM input'!O254*(1+vanilla8)^0.5</f>
        <v>0</v>
      </c>
      <c r="P43" s="1363">
        <f>'RFM input'!P254*(1+vanilla9)^0.5</f>
        <v>0</v>
      </c>
      <c r="Q43" s="1363">
        <f>'RFM input'!Q254*(1+vanilla10)^0.5</f>
        <v>0</v>
      </c>
      <c r="R43" s="248"/>
      <c r="S43" s="71"/>
      <c r="T43" s="74"/>
      <c r="U43" s="74"/>
      <c r="V43" s="74"/>
      <c r="W43" s="74"/>
      <c r="X43" s="74"/>
      <c r="Y43" s="74"/>
      <c r="Z43" s="71"/>
    </row>
    <row r="44" spans="1:26" ht="12.75" hidden="1" customHeight="1" outlineLevel="1">
      <c r="A44" s="3"/>
      <c r="B44" s="3"/>
      <c r="C44" s="29"/>
      <c r="D44" s="133">
        <f>Asset33</f>
        <v>0</v>
      </c>
      <c r="E44" s="3"/>
      <c r="F44" s="3"/>
      <c r="G44" s="1341"/>
      <c r="H44" s="1363">
        <f>'RFM input'!H255*(1+vanilla1)^0.5</f>
        <v>0</v>
      </c>
      <c r="I44" s="1363">
        <f>'RFM input'!I255*(1+vanilla2)^0.5</f>
        <v>0</v>
      </c>
      <c r="J44" s="1363">
        <f>'RFM input'!J255*(1+vanilla3)^0.5</f>
        <v>0</v>
      </c>
      <c r="K44" s="1363">
        <f>'RFM input'!K255*(1+vanilla4)^0.5</f>
        <v>0</v>
      </c>
      <c r="L44" s="1363">
        <f>'RFM input'!L255*(1+vanilla5)^0.5</f>
        <v>0</v>
      </c>
      <c r="M44" s="1363">
        <f>'RFM input'!M255*(1+vanilla6)^0.5</f>
        <v>0</v>
      </c>
      <c r="N44" s="1363">
        <f>'RFM input'!N255*(1+vanilla7)^0.5</f>
        <v>0</v>
      </c>
      <c r="O44" s="1363">
        <f>'RFM input'!O255*(1+vanilla8)^0.5</f>
        <v>0</v>
      </c>
      <c r="P44" s="1363">
        <f>'RFM input'!P255*(1+vanilla9)^0.5</f>
        <v>0</v>
      </c>
      <c r="Q44" s="1363">
        <f>'RFM input'!Q255*(1+vanilla10)^0.5</f>
        <v>0</v>
      </c>
      <c r="R44" s="248"/>
      <c r="S44" s="71"/>
      <c r="T44" s="74"/>
      <c r="U44" s="74"/>
      <c r="V44" s="74"/>
      <c r="W44" s="74"/>
      <c r="X44" s="74"/>
      <c r="Y44" s="74"/>
      <c r="Z44" s="71"/>
    </row>
    <row r="45" spans="1:26" ht="12.75" hidden="1" customHeight="1" outlineLevel="1">
      <c r="A45" s="3"/>
      <c r="B45" s="3"/>
      <c r="C45" s="29"/>
      <c r="D45" s="133">
        <f>Asset34</f>
        <v>0</v>
      </c>
      <c r="E45" s="3"/>
      <c r="F45" s="3"/>
      <c r="G45" s="1341"/>
      <c r="H45" s="1363">
        <f>'RFM input'!H256*(1+vanilla1)^0.5</f>
        <v>0</v>
      </c>
      <c r="I45" s="1363">
        <f>'RFM input'!I256*(1+vanilla2)^0.5</f>
        <v>0</v>
      </c>
      <c r="J45" s="1363">
        <f>'RFM input'!J256*(1+vanilla3)^0.5</f>
        <v>0</v>
      </c>
      <c r="K45" s="1363">
        <f>'RFM input'!K256*(1+vanilla4)^0.5</f>
        <v>0</v>
      </c>
      <c r="L45" s="1363">
        <f>'RFM input'!L256*(1+vanilla5)^0.5</f>
        <v>0</v>
      </c>
      <c r="M45" s="1363">
        <f>'RFM input'!M256*(1+vanilla6)^0.5</f>
        <v>0</v>
      </c>
      <c r="N45" s="1363">
        <f>'RFM input'!N256*(1+vanilla7)^0.5</f>
        <v>0</v>
      </c>
      <c r="O45" s="1363">
        <f>'RFM input'!O256*(1+vanilla8)^0.5</f>
        <v>0</v>
      </c>
      <c r="P45" s="1363">
        <f>'RFM input'!P256*(1+vanilla9)^0.5</f>
        <v>0</v>
      </c>
      <c r="Q45" s="1363">
        <f>'RFM input'!Q256*(1+vanilla10)^0.5</f>
        <v>0</v>
      </c>
      <c r="R45" s="248"/>
      <c r="S45" s="71"/>
      <c r="T45" s="74"/>
      <c r="U45" s="74"/>
      <c r="V45" s="74"/>
      <c r="W45" s="74"/>
      <c r="X45" s="74"/>
      <c r="Y45" s="74"/>
      <c r="Z45" s="71"/>
    </row>
    <row r="46" spans="1:26" ht="12.75" hidden="1" customHeight="1" outlineLevel="1">
      <c r="A46" s="3"/>
      <c r="B46" s="3"/>
      <c r="C46" s="29"/>
      <c r="D46" s="133">
        <f>Asset35</f>
        <v>0</v>
      </c>
      <c r="E46" s="3"/>
      <c r="F46" s="3"/>
      <c r="G46" s="1341"/>
      <c r="H46" s="1363">
        <f>'RFM input'!H257*(1+vanilla1)^0.5</f>
        <v>0</v>
      </c>
      <c r="I46" s="1363">
        <f>'RFM input'!I257*(1+vanilla2)^0.5</f>
        <v>0</v>
      </c>
      <c r="J46" s="1363">
        <f>'RFM input'!J257*(1+vanilla3)^0.5</f>
        <v>0</v>
      </c>
      <c r="K46" s="1363">
        <f>'RFM input'!K257*(1+vanilla4)^0.5</f>
        <v>0</v>
      </c>
      <c r="L46" s="1363">
        <f>'RFM input'!L257*(1+vanilla5)^0.5</f>
        <v>0</v>
      </c>
      <c r="M46" s="1363">
        <f>'RFM input'!M257*(1+vanilla6)^0.5</f>
        <v>0</v>
      </c>
      <c r="N46" s="1363">
        <f>'RFM input'!N257*(1+vanilla7)^0.5</f>
        <v>0</v>
      </c>
      <c r="O46" s="1363">
        <f>'RFM input'!O257*(1+vanilla8)^0.5</f>
        <v>0</v>
      </c>
      <c r="P46" s="1363">
        <f>'RFM input'!P257*(1+vanilla9)^0.5</f>
        <v>0</v>
      </c>
      <c r="Q46" s="1363">
        <f>'RFM input'!Q257*(1+vanilla10)^0.5</f>
        <v>0</v>
      </c>
      <c r="R46" s="248"/>
      <c r="S46" s="71"/>
      <c r="T46" s="74"/>
      <c r="U46" s="74"/>
      <c r="V46" s="74"/>
      <c r="W46" s="74"/>
      <c r="X46" s="74"/>
      <c r="Y46" s="74"/>
      <c r="Z46" s="71"/>
    </row>
    <row r="47" spans="1:26" ht="12.75" hidden="1" customHeight="1" outlineLevel="1">
      <c r="A47" s="3"/>
      <c r="B47" s="3"/>
      <c r="C47" s="29"/>
      <c r="D47" s="133">
        <f>Asset36</f>
        <v>0</v>
      </c>
      <c r="E47" s="3"/>
      <c r="F47" s="3"/>
      <c r="G47" s="1341"/>
      <c r="H47" s="1363">
        <f>'RFM input'!H258*(1+vanilla1)^0.5</f>
        <v>0</v>
      </c>
      <c r="I47" s="1363">
        <f>'RFM input'!I258*(1+vanilla2)^0.5</f>
        <v>0</v>
      </c>
      <c r="J47" s="1363">
        <f>'RFM input'!J258*(1+vanilla3)^0.5</f>
        <v>0</v>
      </c>
      <c r="K47" s="1363">
        <f>'RFM input'!K258*(1+vanilla4)^0.5</f>
        <v>0</v>
      </c>
      <c r="L47" s="1363">
        <f>'RFM input'!L258*(1+vanilla5)^0.5</f>
        <v>0</v>
      </c>
      <c r="M47" s="1363">
        <f>'RFM input'!M258*(1+vanilla6)^0.5</f>
        <v>0</v>
      </c>
      <c r="N47" s="1363">
        <f>'RFM input'!N258*(1+vanilla7)^0.5</f>
        <v>0</v>
      </c>
      <c r="O47" s="1363">
        <f>'RFM input'!O258*(1+vanilla8)^0.5</f>
        <v>0</v>
      </c>
      <c r="P47" s="1363">
        <f>'RFM input'!P258*(1+vanilla9)^0.5</f>
        <v>0</v>
      </c>
      <c r="Q47" s="1363">
        <f>'RFM input'!Q258*(1+vanilla10)^0.5</f>
        <v>0</v>
      </c>
      <c r="R47" s="248"/>
      <c r="S47" s="71"/>
      <c r="T47" s="74"/>
      <c r="U47" s="74"/>
      <c r="V47" s="74"/>
      <c r="W47" s="74"/>
      <c r="X47" s="74"/>
      <c r="Y47" s="74"/>
      <c r="Z47" s="71"/>
    </row>
    <row r="48" spans="1:26" ht="12.75" hidden="1" customHeight="1" outlineLevel="1">
      <c r="A48" s="3"/>
      <c r="B48" s="3"/>
      <c r="C48" s="29"/>
      <c r="D48" s="133">
        <f>Asset37</f>
        <v>0</v>
      </c>
      <c r="E48" s="3"/>
      <c r="F48" s="3"/>
      <c r="G48" s="1341"/>
      <c r="H48" s="1363">
        <f>'RFM input'!H259*(1+vanilla1)^0.5</f>
        <v>0</v>
      </c>
      <c r="I48" s="1363">
        <f>'RFM input'!I259*(1+vanilla2)^0.5</f>
        <v>0</v>
      </c>
      <c r="J48" s="1363">
        <f>'RFM input'!J259*(1+vanilla3)^0.5</f>
        <v>0</v>
      </c>
      <c r="K48" s="1363">
        <f>'RFM input'!K259*(1+vanilla4)^0.5</f>
        <v>0</v>
      </c>
      <c r="L48" s="1363">
        <f>'RFM input'!L259*(1+vanilla5)^0.5</f>
        <v>0</v>
      </c>
      <c r="M48" s="1363">
        <f>'RFM input'!M259*(1+vanilla6)^0.5</f>
        <v>0</v>
      </c>
      <c r="N48" s="1363">
        <f>'RFM input'!N259*(1+vanilla7)^0.5</f>
        <v>0</v>
      </c>
      <c r="O48" s="1363">
        <f>'RFM input'!O259*(1+vanilla8)^0.5</f>
        <v>0</v>
      </c>
      <c r="P48" s="1363">
        <f>'RFM input'!P259*(1+vanilla9)^0.5</f>
        <v>0</v>
      </c>
      <c r="Q48" s="1363">
        <f>'RFM input'!Q259*(1+vanilla10)^0.5</f>
        <v>0</v>
      </c>
      <c r="R48" s="248"/>
      <c r="S48" s="71"/>
      <c r="T48" s="74"/>
      <c r="U48" s="74"/>
      <c r="V48" s="74"/>
      <c r="W48" s="74"/>
      <c r="X48" s="74"/>
      <c r="Y48" s="74"/>
      <c r="Z48" s="71"/>
    </row>
    <row r="49" spans="1:26" ht="12.75" hidden="1" customHeight="1" outlineLevel="1">
      <c r="A49" s="3"/>
      <c r="B49" s="3"/>
      <c r="C49" s="29"/>
      <c r="D49" s="133">
        <f>Asset38</f>
        <v>0</v>
      </c>
      <c r="E49" s="3"/>
      <c r="F49" s="3"/>
      <c r="G49" s="1341"/>
      <c r="H49" s="1363">
        <f>'RFM input'!H260*(1+vanilla1)^0.5</f>
        <v>0</v>
      </c>
      <c r="I49" s="1363">
        <f>'RFM input'!I260*(1+vanilla2)^0.5</f>
        <v>0</v>
      </c>
      <c r="J49" s="1363">
        <f>'RFM input'!J260*(1+vanilla3)^0.5</f>
        <v>0</v>
      </c>
      <c r="K49" s="1363">
        <f>'RFM input'!K260*(1+vanilla4)^0.5</f>
        <v>0</v>
      </c>
      <c r="L49" s="1363">
        <f>'RFM input'!L260*(1+vanilla5)^0.5</f>
        <v>0</v>
      </c>
      <c r="M49" s="1363">
        <f>'RFM input'!M260*(1+vanilla6)^0.5</f>
        <v>0</v>
      </c>
      <c r="N49" s="1363">
        <f>'RFM input'!N260*(1+vanilla7)^0.5</f>
        <v>0</v>
      </c>
      <c r="O49" s="1363">
        <f>'RFM input'!O260*(1+vanilla8)^0.5</f>
        <v>0</v>
      </c>
      <c r="P49" s="1363">
        <f>'RFM input'!P260*(1+vanilla9)^0.5</f>
        <v>0</v>
      </c>
      <c r="Q49" s="1363">
        <f>'RFM input'!Q260*(1+vanilla10)^0.5</f>
        <v>0</v>
      </c>
      <c r="R49" s="248"/>
      <c r="S49" s="71"/>
      <c r="T49" s="74"/>
      <c r="U49" s="74"/>
      <c r="V49" s="74"/>
      <c r="W49" s="74"/>
      <c r="X49" s="74"/>
      <c r="Y49" s="74"/>
      <c r="Z49" s="71"/>
    </row>
    <row r="50" spans="1:26" ht="12.75" hidden="1" customHeight="1" outlineLevel="1">
      <c r="A50" s="3"/>
      <c r="B50" s="3"/>
      <c r="C50" s="29"/>
      <c r="D50" s="133">
        <f>Asset39</f>
        <v>0</v>
      </c>
      <c r="E50" s="3"/>
      <c r="F50" s="3"/>
      <c r="G50" s="1341"/>
      <c r="H50" s="1363">
        <f>'RFM input'!H261*(1+vanilla1)^0.5</f>
        <v>0</v>
      </c>
      <c r="I50" s="1363">
        <f>'RFM input'!I261*(1+vanilla2)^0.5</f>
        <v>0</v>
      </c>
      <c r="J50" s="1363">
        <f>'RFM input'!J261*(1+vanilla3)^0.5</f>
        <v>0</v>
      </c>
      <c r="K50" s="1363">
        <f>'RFM input'!K261*(1+vanilla4)^0.5</f>
        <v>0</v>
      </c>
      <c r="L50" s="1363">
        <f>'RFM input'!L261*(1+vanilla5)^0.5</f>
        <v>0</v>
      </c>
      <c r="M50" s="1363">
        <f>'RFM input'!M261*(1+vanilla6)^0.5</f>
        <v>0</v>
      </c>
      <c r="N50" s="1363">
        <f>'RFM input'!N261*(1+vanilla7)^0.5</f>
        <v>0</v>
      </c>
      <c r="O50" s="1363">
        <f>'RFM input'!O261*(1+vanilla8)^0.5</f>
        <v>0</v>
      </c>
      <c r="P50" s="1363">
        <f>'RFM input'!P261*(1+vanilla9)^0.5</f>
        <v>0</v>
      </c>
      <c r="Q50" s="1363">
        <f>'RFM input'!Q261*(1+vanilla10)^0.5</f>
        <v>0</v>
      </c>
      <c r="R50" s="248"/>
      <c r="S50" s="71"/>
      <c r="T50" s="74"/>
      <c r="U50" s="74"/>
      <c r="V50" s="74"/>
      <c r="W50" s="74"/>
      <c r="X50" s="74"/>
      <c r="Y50" s="74"/>
      <c r="Z50" s="71"/>
    </row>
    <row r="51" spans="1:26" ht="12.75" hidden="1" customHeight="1" outlineLevel="1">
      <c r="A51" s="3"/>
      <c r="B51" s="3"/>
      <c r="C51" s="29"/>
      <c r="D51" s="133">
        <f>Asset40</f>
        <v>0</v>
      </c>
      <c r="E51" s="3"/>
      <c r="F51" s="3"/>
      <c r="G51" s="1341"/>
      <c r="H51" s="1363">
        <f>'RFM input'!H262*(1+vanilla1)^0.5</f>
        <v>0</v>
      </c>
      <c r="I51" s="1363">
        <f>'RFM input'!I262*(1+vanilla2)^0.5</f>
        <v>0</v>
      </c>
      <c r="J51" s="1363">
        <f>'RFM input'!J262*(1+vanilla3)^0.5</f>
        <v>0</v>
      </c>
      <c r="K51" s="1363">
        <f>'RFM input'!K262*(1+vanilla4)^0.5</f>
        <v>0</v>
      </c>
      <c r="L51" s="1363">
        <f>'RFM input'!L262*(1+vanilla5)^0.5</f>
        <v>0</v>
      </c>
      <c r="M51" s="1363">
        <f>'RFM input'!M262*(1+vanilla6)^0.5</f>
        <v>0</v>
      </c>
      <c r="N51" s="1363">
        <f>'RFM input'!N262*(1+vanilla7)^0.5</f>
        <v>0</v>
      </c>
      <c r="O51" s="1363">
        <f>'RFM input'!O262*(1+vanilla8)^0.5</f>
        <v>0</v>
      </c>
      <c r="P51" s="1363">
        <f>'RFM input'!P262*(1+vanilla9)^0.5</f>
        <v>0</v>
      </c>
      <c r="Q51" s="1363">
        <f>'RFM input'!Q262*(1+vanilla10)^0.5</f>
        <v>0</v>
      </c>
      <c r="R51" s="248"/>
      <c r="S51" s="71"/>
      <c r="T51" s="74"/>
      <c r="U51" s="74"/>
      <c r="V51" s="74"/>
      <c r="W51" s="74"/>
      <c r="X51" s="74"/>
      <c r="Y51" s="74"/>
      <c r="Z51" s="71"/>
    </row>
    <row r="52" spans="1:26" ht="12.75" hidden="1" customHeight="1" outlineLevel="1">
      <c r="A52" s="3"/>
      <c r="B52" s="3"/>
      <c r="C52" s="29"/>
      <c r="D52" s="133">
        <f>Asset41</f>
        <v>0</v>
      </c>
      <c r="E52" s="3"/>
      <c r="F52" s="3"/>
      <c r="G52" s="1341"/>
      <c r="H52" s="1363">
        <f>'RFM input'!H263*(1+vanilla1)^0.5</f>
        <v>0</v>
      </c>
      <c r="I52" s="1363">
        <f>'RFM input'!I263*(1+vanilla2)^0.5</f>
        <v>0</v>
      </c>
      <c r="J52" s="1363">
        <f>'RFM input'!J263*(1+vanilla3)^0.5</f>
        <v>0</v>
      </c>
      <c r="K52" s="1363">
        <f>'RFM input'!K263*(1+vanilla4)^0.5</f>
        <v>0</v>
      </c>
      <c r="L52" s="1363">
        <f>'RFM input'!L263*(1+vanilla5)^0.5</f>
        <v>0</v>
      </c>
      <c r="M52" s="1363">
        <f>'RFM input'!M263*(1+vanilla6)^0.5</f>
        <v>0</v>
      </c>
      <c r="N52" s="1363">
        <f>'RFM input'!N263*(1+vanilla7)^0.5</f>
        <v>0</v>
      </c>
      <c r="O52" s="1363">
        <f>'RFM input'!O263*(1+vanilla8)^0.5</f>
        <v>0</v>
      </c>
      <c r="P52" s="1363">
        <f>'RFM input'!P263*(1+vanilla9)^0.5</f>
        <v>0</v>
      </c>
      <c r="Q52" s="1363">
        <f>'RFM input'!Q263*(1+vanilla10)^0.5</f>
        <v>0</v>
      </c>
      <c r="R52" s="248"/>
      <c r="S52" s="71"/>
      <c r="T52" s="74"/>
      <c r="U52" s="74"/>
      <c r="V52" s="74"/>
      <c r="W52" s="74"/>
      <c r="X52" s="74"/>
      <c r="Y52" s="74"/>
      <c r="Z52" s="71"/>
    </row>
    <row r="53" spans="1:26" ht="12.75" hidden="1" customHeight="1" outlineLevel="1">
      <c r="A53" s="3"/>
      <c r="B53" s="3"/>
      <c r="C53" s="29"/>
      <c r="D53" s="133">
        <f>Asset42</f>
        <v>0</v>
      </c>
      <c r="E53" s="3"/>
      <c r="F53" s="3"/>
      <c r="G53" s="1341"/>
      <c r="H53" s="1363">
        <f>'RFM input'!H264*(1+vanilla1)^0.5</f>
        <v>0</v>
      </c>
      <c r="I53" s="1363">
        <f>'RFM input'!I264*(1+vanilla2)^0.5</f>
        <v>0</v>
      </c>
      <c r="J53" s="1363">
        <f>'RFM input'!J264*(1+vanilla3)^0.5</f>
        <v>0</v>
      </c>
      <c r="K53" s="1363">
        <f>'RFM input'!K264*(1+vanilla4)^0.5</f>
        <v>0</v>
      </c>
      <c r="L53" s="1363">
        <f>'RFM input'!L264*(1+vanilla5)^0.5</f>
        <v>0</v>
      </c>
      <c r="M53" s="1363">
        <f>'RFM input'!M264*(1+vanilla6)^0.5</f>
        <v>0</v>
      </c>
      <c r="N53" s="1363">
        <f>'RFM input'!N264*(1+vanilla7)^0.5</f>
        <v>0</v>
      </c>
      <c r="O53" s="1363">
        <f>'RFM input'!O264*(1+vanilla8)^0.5</f>
        <v>0</v>
      </c>
      <c r="P53" s="1363">
        <f>'RFM input'!P264*(1+vanilla9)^0.5</f>
        <v>0</v>
      </c>
      <c r="Q53" s="1363">
        <f>'RFM input'!Q264*(1+vanilla10)^0.5</f>
        <v>0</v>
      </c>
      <c r="R53" s="248"/>
      <c r="S53" s="71"/>
      <c r="T53" s="74"/>
      <c r="U53" s="74"/>
      <c r="V53" s="74"/>
      <c r="W53" s="74"/>
      <c r="X53" s="74"/>
      <c r="Y53" s="74"/>
      <c r="Z53" s="71"/>
    </row>
    <row r="54" spans="1:26" ht="12.75" hidden="1" customHeight="1" outlineLevel="1">
      <c r="A54" s="3"/>
      <c r="B54" s="3"/>
      <c r="C54" s="29"/>
      <c r="D54" s="133">
        <f>Asset43</f>
        <v>0</v>
      </c>
      <c r="E54" s="3"/>
      <c r="F54" s="3"/>
      <c r="G54" s="1341"/>
      <c r="H54" s="1363">
        <f>'RFM input'!H265*(1+vanilla1)^0.5</f>
        <v>0</v>
      </c>
      <c r="I54" s="1363">
        <f>'RFM input'!I265*(1+vanilla2)^0.5</f>
        <v>0</v>
      </c>
      <c r="J54" s="1363">
        <f>'RFM input'!J265*(1+vanilla3)^0.5</f>
        <v>0</v>
      </c>
      <c r="K54" s="1363">
        <f>'RFM input'!K265*(1+vanilla4)^0.5</f>
        <v>0</v>
      </c>
      <c r="L54" s="1363">
        <f>'RFM input'!L265*(1+vanilla5)^0.5</f>
        <v>0</v>
      </c>
      <c r="M54" s="1363">
        <f>'RFM input'!M265*(1+vanilla6)^0.5</f>
        <v>0</v>
      </c>
      <c r="N54" s="1363">
        <f>'RFM input'!N265*(1+vanilla7)^0.5</f>
        <v>0</v>
      </c>
      <c r="O54" s="1363">
        <f>'RFM input'!O265*(1+vanilla8)^0.5</f>
        <v>0</v>
      </c>
      <c r="P54" s="1363">
        <f>'RFM input'!P265*(1+vanilla9)^0.5</f>
        <v>0</v>
      </c>
      <c r="Q54" s="1363">
        <f>'RFM input'!Q265*(1+vanilla10)^0.5</f>
        <v>0</v>
      </c>
      <c r="R54" s="248"/>
      <c r="S54" s="71"/>
      <c r="T54" s="74"/>
      <c r="U54" s="74"/>
      <c r="V54" s="74"/>
      <c r="W54" s="74"/>
      <c r="X54" s="74"/>
      <c r="Y54" s="74"/>
      <c r="Z54" s="71"/>
    </row>
    <row r="55" spans="1:26" ht="12.75" hidden="1" customHeight="1" outlineLevel="1">
      <c r="A55" s="3"/>
      <c r="B55" s="3"/>
      <c r="C55" s="29"/>
      <c r="D55" s="133">
        <f>Asset44</f>
        <v>0</v>
      </c>
      <c r="E55" s="3"/>
      <c r="F55" s="3"/>
      <c r="G55" s="1341"/>
      <c r="H55" s="1363">
        <f>'RFM input'!H266*(1+vanilla1)^0.5</f>
        <v>0</v>
      </c>
      <c r="I55" s="1363">
        <f>'RFM input'!I266*(1+vanilla2)^0.5</f>
        <v>0</v>
      </c>
      <c r="J55" s="1363">
        <f>'RFM input'!J266*(1+vanilla3)^0.5</f>
        <v>0</v>
      </c>
      <c r="K55" s="1363">
        <f>'RFM input'!K266*(1+vanilla4)^0.5</f>
        <v>0</v>
      </c>
      <c r="L55" s="1363">
        <f>'RFM input'!L266*(1+vanilla5)^0.5</f>
        <v>0</v>
      </c>
      <c r="M55" s="1363">
        <f>'RFM input'!M266*(1+vanilla6)^0.5</f>
        <v>0</v>
      </c>
      <c r="N55" s="1363">
        <f>'RFM input'!N266*(1+vanilla7)^0.5</f>
        <v>0</v>
      </c>
      <c r="O55" s="1363">
        <f>'RFM input'!O266*(1+vanilla8)^0.5</f>
        <v>0</v>
      </c>
      <c r="P55" s="1363">
        <f>'RFM input'!P266*(1+vanilla9)^0.5</f>
        <v>0</v>
      </c>
      <c r="Q55" s="1363">
        <f>'RFM input'!Q266*(1+vanilla10)^0.5</f>
        <v>0</v>
      </c>
      <c r="R55" s="248"/>
      <c r="S55" s="71"/>
      <c r="T55" s="74"/>
      <c r="U55" s="74"/>
      <c r="V55" s="74"/>
      <c r="W55" s="74"/>
      <c r="X55" s="74"/>
      <c r="Y55" s="74"/>
      <c r="Z55" s="71"/>
    </row>
    <row r="56" spans="1:26" ht="12.75" hidden="1" customHeight="1" outlineLevel="1">
      <c r="A56" s="3"/>
      <c r="B56" s="3"/>
      <c r="C56" s="29"/>
      <c r="D56" s="133">
        <f>Asset45</f>
        <v>0</v>
      </c>
      <c r="E56" s="3"/>
      <c r="F56" s="3"/>
      <c r="G56" s="1341"/>
      <c r="H56" s="1363">
        <f>'RFM input'!H267*(1+vanilla1)^0.5</f>
        <v>0</v>
      </c>
      <c r="I56" s="1363">
        <f>'RFM input'!I267*(1+vanilla2)^0.5</f>
        <v>0</v>
      </c>
      <c r="J56" s="1363">
        <f>'RFM input'!J267*(1+vanilla3)^0.5</f>
        <v>0</v>
      </c>
      <c r="K56" s="1363">
        <f>'RFM input'!K267*(1+vanilla4)^0.5</f>
        <v>0</v>
      </c>
      <c r="L56" s="1363">
        <f>'RFM input'!L267*(1+vanilla5)^0.5</f>
        <v>0</v>
      </c>
      <c r="M56" s="1363">
        <f>'RFM input'!M267*(1+vanilla6)^0.5</f>
        <v>0</v>
      </c>
      <c r="N56" s="1363">
        <f>'RFM input'!N267*(1+vanilla7)^0.5</f>
        <v>0</v>
      </c>
      <c r="O56" s="1363">
        <f>'RFM input'!O267*(1+vanilla8)^0.5</f>
        <v>0</v>
      </c>
      <c r="P56" s="1363">
        <f>'RFM input'!P267*(1+vanilla9)^0.5</f>
        <v>0</v>
      </c>
      <c r="Q56" s="1363">
        <f>'RFM input'!Q267*(1+vanilla10)^0.5</f>
        <v>0</v>
      </c>
      <c r="R56" s="248"/>
      <c r="S56" s="71"/>
      <c r="T56" s="74"/>
      <c r="U56" s="74"/>
      <c r="V56" s="74"/>
      <c r="W56" s="74"/>
      <c r="X56" s="74"/>
      <c r="Y56" s="74"/>
      <c r="Z56" s="71"/>
    </row>
    <row r="57" spans="1:26" ht="12.75" hidden="1" customHeight="1" outlineLevel="1">
      <c r="A57" s="3"/>
      <c r="B57" s="3"/>
      <c r="C57" s="29"/>
      <c r="D57" s="133">
        <f>Asset46</f>
        <v>0</v>
      </c>
      <c r="E57" s="3"/>
      <c r="F57" s="3"/>
      <c r="G57" s="1341"/>
      <c r="H57" s="1363">
        <f>'RFM input'!H268*(1+vanilla1)^0.5</f>
        <v>0</v>
      </c>
      <c r="I57" s="1363">
        <f>'RFM input'!I268*(1+vanilla2)^0.5</f>
        <v>0</v>
      </c>
      <c r="J57" s="1363">
        <f>'RFM input'!J268*(1+vanilla3)^0.5</f>
        <v>0</v>
      </c>
      <c r="K57" s="1363">
        <f>'RFM input'!K268*(1+vanilla4)^0.5</f>
        <v>0</v>
      </c>
      <c r="L57" s="1363">
        <f>'RFM input'!L268*(1+vanilla5)^0.5</f>
        <v>0</v>
      </c>
      <c r="M57" s="1363">
        <f>'RFM input'!M268*(1+vanilla6)^0.5</f>
        <v>0</v>
      </c>
      <c r="N57" s="1363">
        <f>'RFM input'!N268*(1+vanilla7)^0.5</f>
        <v>0</v>
      </c>
      <c r="O57" s="1363">
        <f>'RFM input'!O268*(1+vanilla8)^0.5</f>
        <v>0</v>
      </c>
      <c r="P57" s="1363">
        <f>'RFM input'!P268*(1+vanilla9)^0.5</f>
        <v>0</v>
      </c>
      <c r="Q57" s="1363">
        <f>'RFM input'!Q268*(1+vanilla10)^0.5</f>
        <v>0</v>
      </c>
      <c r="R57" s="248"/>
      <c r="S57" s="71"/>
      <c r="T57" s="74"/>
      <c r="U57" s="74"/>
      <c r="V57" s="74"/>
      <c r="W57" s="74"/>
      <c r="X57" s="74"/>
      <c r="Y57" s="74"/>
      <c r="Z57" s="71"/>
    </row>
    <row r="58" spans="1:26" ht="12.75" hidden="1" customHeight="1" outlineLevel="1">
      <c r="A58" s="3"/>
      <c r="B58" s="3"/>
      <c r="C58" s="29"/>
      <c r="D58" s="133">
        <f>Asset47</f>
        <v>0</v>
      </c>
      <c r="E58" s="3"/>
      <c r="F58" s="3"/>
      <c r="G58" s="1341"/>
      <c r="H58" s="1363">
        <f>'RFM input'!H269*(1+vanilla1)^0.5</f>
        <v>0</v>
      </c>
      <c r="I58" s="1363">
        <f>'RFM input'!I269*(1+vanilla2)^0.5</f>
        <v>0</v>
      </c>
      <c r="J58" s="1363">
        <f>'RFM input'!J269*(1+vanilla3)^0.5</f>
        <v>0</v>
      </c>
      <c r="K58" s="1363">
        <f>'RFM input'!K269*(1+vanilla4)^0.5</f>
        <v>0</v>
      </c>
      <c r="L58" s="1363">
        <f>'RFM input'!L269*(1+vanilla5)^0.5</f>
        <v>0</v>
      </c>
      <c r="M58" s="1363">
        <f>'RFM input'!M269*(1+vanilla6)^0.5</f>
        <v>0</v>
      </c>
      <c r="N58" s="1363">
        <f>'RFM input'!N269*(1+vanilla7)^0.5</f>
        <v>0</v>
      </c>
      <c r="O58" s="1363">
        <f>'RFM input'!O269*(1+vanilla8)^0.5</f>
        <v>0</v>
      </c>
      <c r="P58" s="1363">
        <f>'RFM input'!P269*(1+vanilla9)^0.5</f>
        <v>0</v>
      </c>
      <c r="Q58" s="1363">
        <f>'RFM input'!Q269*(1+vanilla10)^0.5</f>
        <v>0</v>
      </c>
      <c r="R58" s="248"/>
      <c r="S58" s="71"/>
      <c r="T58" s="74"/>
      <c r="U58" s="74"/>
      <c r="V58" s="74"/>
      <c r="W58" s="74"/>
      <c r="X58" s="74"/>
      <c r="Y58" s="74"/>
      <c r="Z58" s="71"/>
    </row>
    <row r="59" spans="1:26" ht="12.75" hidden="1" customHeight="1" outlineLevel="1">
      <c r="A59" s="3"/>
      <c r="B59" s="3"/>
      <c r="C59" s="29"/>
      <c r="D59" s="133">
        <f>Asset48</f>
        <v>0</v>
      </c>
      <c r="E59" s="3"/>
      <c r="F59" s="3"/>
      <c r="G59" s="1341"/>
      <c r="H59" s="1363">
        <f>'RFM input'!H270*(1+vanilla1)^0.5</f>
        <v>0</v>
      </c>
      <c r="I59" s="1363">
        <f>'RFM input'!I270*(1+vanilla2)^0.5</f>
        <v>0</v>
      </c>
      <c r="J59" s="1363">
        <f>'RFM input'!J270*(1+vanilla3)^0.5</f>
        <v>0</v>
      </c>
      <c r="K59" s="1363">
        <f>'RFM input'!K270*(1+vanilla4)^0.5</f>
        <v>0</v>
      </c>
      <c r="L59" s="1363">
        <f>'RFM input'!L270*(1+vanilla5)^0.5</f>
        <v>0</v>
      </c>
      <c r="M59" s="1363">
        <f>'RFM input'!M270*(1+vanilla6)^0.5</f>
        <v>0</v>
      </c>
      <c r="N59" s="1363">
        <f>'RFM input'!N270*(1+vanilla7)^0.5</f>
        <v>0</v>
      </c>
      <c r="O59" s="1363">
        <f>'RFM input'!O270*(1+vanilla8)^0.5</f>
        <v>0</v>
      </c>
      <c r="P59" s="1363">
        <f>'RFM input'!P270*(1+vanilla9)^0.5</f>
        <v>0</v>
      </c>
      <c r="Q59" s="1363">
        <f>'RFM input'!Q270*(1+vanilla10)^0.5</f>
        <v>0</v>
      </c>
      <c r="R59" s="248"/>
      <c r="S59" s="71"/>
      <c r="T59" s="74"/>
      <c r="U59" s="74"/>
      <c r="V59" s="74"/>
      <c r="W59" s="74"/>
      <c r="X59" s="74"/>
      <c r="Y59" s="74"/>
      <c r="Z59" s="71"/>
    </row>
    <row r="60" spans="1:26" ht="12.75" hidden="1" customHeight="1" outlineLevel="1">
      <c r="A60" s="3"/>
      <c r="B60" s="3"/>
      <c r="C60" s="29"/>
      <c r="D60" s="133">
        <f>Asset49</f>
        <v>0</v>
      </c>
      <c r="E60" s="3"/>
      <c r="F60" s="3"/>
      <c r="G60" s="1341"/>
      <c r="H60" s="1363">
        <f>'RFM input'!H271*(1+vanilla1)^0.5</f>
        <v>0</v>
      </c>
      <c r="I60" s="1363">
        <f>'RFM input'!I271*(1+vanilla2)^0.5</f>
        <v>0</v>
      </c>
      <c r="J60" s="1363">
        <f>'RFM input'!J271*(1+vanilla3)^0.5</f>
        <v>0</v>
      </c>
      <c r="K60" s="1363">
        <f>'RFM input'!K271*(1+vanilla4)^0.5</f>
        <v>0</v>
      </c>
      <c r="L60" s="1363">
        <f>'RFM input'!L271*(1+vanilla5)^0.5</f>
        <v>0</v>
      </c>
      <c r="M60" s="1363">
        <f>'RFM input'!M271*(1+vanilla6)^0.5</f>
        <v>0</v>
      </c>
      <c r="N60" s="1363">
        <f>'RFM input'!N271*(1+vanilla7)^0.5</f>
        <v>0</v>
      </c>
      <c r="O60" s="1363">
        <f>'RFM input'!O271*(1+vanilla8)^0.5</f>
        <v>0</v>
      </c>
      <c r="P60" s="1363">
        <f>'RFM input'!P271*(1+vanilla9)^0.5</f>
        <v>0</v>
      </c>
      <c r="Q60" s="1363">
        <f>'RFM input'!Q271*(1+vanilla10)^0.5</f>
        <v>0</v>
      </c>
      <c r="R60" s="248"/>
      <c r="S60" s="71"/>
      <c r="T60" s="74"/>
      <c r="U60" s="74"/>
      <c r="V60" s="74"/>
      <c r="W60" s="74"/>
      <c r="X60" s="74"/>
      <c r="Y60" s="74"/>
      <c r="Z60" s="71"/>
    </row>
    <row r="61" spans="1:26" ht="12.75" hidden="1" customHeight="1" outlineLevel="1">
      <c r="A61" s="3"/>
      <c r="B61" s="3"/>
      <c r="C61" s="29"/>
      <c r="D61" s="133">
        <f>Asset50</f>
        <v>0</v>
      </c>
      <c r="E61" s="3"/>
      <c r="F61" s="3"/>
      <c r="G61" s="1341"/>
      <c r="H61" s="1363">
        <f>'RFM input'!H272*(1+vanilla1)^0.5</f>
        <v>0</v>
      </c>
      <c r="I61" s="1363">
        <f>'RFM input'!I272*(1+vanilla2)^0.5</f>
        <v>0</v>
      </c>
      <c r="J61" s="1363">
        <f>'RFM input'!J272*(1+vanilla3)^0.5</f>
        <v>0</v>
      </c>
      <c r="K61" s="1363">
        <f>'RFM input'!K272*(1+vanilla4)^0.5</f>
        <v>0</v>
      </c>
      <c r="L61" s="1363">
        <f>'RFM input'!L272*(1+vanilla5)^0.5</f>
        <v>0</v>
      </c>
      <c r="M61" s="1363">
        <f>'RFM input'!M272*(1+vanilla6)^0.5</f>
        <v>0</v>
      </c>
      <c r="N61" s="1363">
        <f>'RFM input'!N272*(1+vanilla7)^0.5</f>
        <v>0</v>
      </c>
      <c r="O61" s="1363">
        <f>'RFM input'!O272*(1+vanilla8)^0.5</f>
        <v>0</v>
      </c>
      <c r="P61" s="1363">
        <f>'RFM input'!P272*(1+vanilla9)^0.5</f>
        <v>0</v>
      </c>
      <c r="Q61" s="1363">
        <f>'RFM input'!Q272*(1+vanilla10)^0.5</f>
        <v>0</v>
      </c>
      <c r="R61" s="248"/>
      <c r="S61" s="71"/>
      <c r="T61" s="74"/>
      <c r="U61" s="74"/>
      <c r="V61" s="74"/>
      <c r="W61" s="74"/>
      <c r="X61" s="74"/>
      <c r="Y61" s="74"/>
      <c r="Z61" s="71"/>
    </row>
    <row r="62" spans="1:26" collapsed="1">
      <c r="A62" s="3"/>
      <c r="B62" s="3"/>
      <c r="C62" s="29"/>
      <c r="D62" s="81"/>
      <c r="E62" s="3"/>
      <c r="F62" s="3"/>
      <c r="G62" s="248"/>
      <c r="H62" s="248"/>
      <c r="I62" s="248"/>
      <c r="J62" s="248"/>
      <c r="K62" s="248"/>
      <c r="L62" s="248"/>
      <c r="M62" s="248"/>
      <c r="N62" s="248"/>
      <c r="O62" s="248"/>
      <c r="P62" s="248"/>
      <c r="Q62" s="248"/>
      <c r="R62" s="248"/>
      <c r="S62" s="71"/>
      <c r="T62" s="74"/>
      <c r="U62" s="74"/>
      <c r="V62" s="74"/>
      <c r="W62" s="74"/>
      <c r="X62" s="74"/>
      <c r="Y62" s="74"/>
      <c r="Z62" s="71"/>
    </row>
    <row r="63" spans="1:26">
      <c r="A63" s="3"/>
      <c r="B63" s="3"/>
      <c r="C63" s="193" t="str">
        <f>"Real "&amp;'RFM input'!$G$295&amp; " Straight-line Depreciation"</f>
        <v>Real Actual Straight-line Depreciation</v>
      </c>
      <c r="E63" s="3"/>
      <c r="F63" s="3"/>
      <c r="G63" s="1362"/>
      <c r="H63" s="1378">
        <f>H76+H89+H102+H115+H128+H141+H154+H167+H180+H193+H206+H219+H232+H245+H258+H271+H284+H297+H310+H323+H336+H349+H362+H375+H388+H401+H414+H427+H440+H453+H466+H479+H492+H505+H518+H531+H544+H557+H570+H583+H596+H609+H622+H635+H648+H661+H674+H687+H700+H713</f>
        <v>-13.399238838509053</v>
      </c>
      <c r="I63" s="1378">
        <f t="shared" ref="I63:Q63" si="2">I76+I89+I102+I115+I128+I141+I154+I167+I180+I193+I206+I219+I232+I245+I258+I271+I284+I297+I310+I323+I336+I349+I362+I375+I388+I401+I414+I427+I440+I453+I466+I479+I492+I505+I518+I531+I544+I557+I570+I583+I596+I609+I622+I635+I648+I661+I674+I687+I700+I713</f>
        <v>-14.067317767274364</v>
      </c>
      <c r="J63" s="1378">
        <f t="shared" si="2"/>
        <v>-14.809199404391382</v>
      </c>
      <c r="K63" s="1378">
        <f t="shared" si="2"/>
        <v>-15.721642145343578</v>
      </c>
      <c r="L63" s="1378">
        <f t="shared" si="2"/>
        <v>-16.608384518182302</v>
      </c>
      <c r="M63" s="1378">
        <f t="shared" si="2"/>
        <v>-17.368573257784337</v>
      </c>
      <c r="N63" s="1378">
        <f>N76+N89+N102+N115+N128+N141+N154+N167+N180+N193+N206+N219+N232+N245+N258+N271+N284+N297+N310+N323+N336+N349+N362+N375+N388+N401+N414+N427+N440+N453+N466+N479+N492+N505+N518+N531+N544+N557+N570+N583+N596+N609+N622+N635+N648+N661+N674+N687+N700+N713</f>
        <v>-18.297938300450848</v>
      </c>
      <c r="O63" s="1378">
        <f t="shared" si="2"/>
        <v>0</v>
      </c>
      <c r="P63" s="1378">
        <f t="shared" si="2"/>
        <v>0</v>
      </c>
      <c r="Q63" s="1378">
        <f t="shared" si="2"/>
        <v>0</v>
      </c>
      <c r="R63" s="248"/>
      <c r="S63" s="3"/>
      <c r="T63" s="74"/>
      <c r="U63" s="74"/>
      <c r="V63" s="74"/>
      <c r="W63" s="74"/>
      <c r="X63" s="74"/>
      <c r="Y63" s="74"/>
      <c r="Z63" s="3"/>
    </row>
    <row r="64" spans="1:26" ht="12.75" hidden="1" customHeight="1" outlineLevel="2">
      <c r="A64" s="3"/>
      <c r="B64" s="3"/>
      <c r="C64" s="135" t="str">
        <f>Asset1</f>
        <v>Mains</v>
      </c>
      <c r="D64" s="19"/>
      <c r="E64" s="20" t="s">
        <v>23</v>
      </c>
      <c r="F64" s="19"/>
      <c r="G64" s="1379"/>
      <c r="H64" s="1380">
        <f>IF(H$3&gt;A1remlife,A1value-SUM($G64:G64),IF(A1remlife="N/A","n/a",A1value/A1remlife))</f>
        <v>7.6851234769869308</v>
      </c>
      <c r="I64" s="1380">
        <f>IF(I$3&gt;A1remlife,A1value-SUM($G64:H64),IF(A1remlife="N/A","n/a",A1value/A1remlife))</f>
        <v>7.6851234769869308</v>
      </c>
      <c r="J64" s="1380">
        <f>IF(J$3&gt;A1remlife,A1value-SUM($G64:I64),IF(A1remlife="N/A","n/a",A1value/A1remlife))</f>
        <v>7.6851234769869308</v>
      </c>
      <c r="K64" s="1380">
        <f>IF(K$3&gt;A1remlife,A1value-SUM($G64:J64),IF(A1remlife="N/A","n/a",A1value/A1remlife))</f>
        <v>7.6851234769869308</v>
      </c>
      <c r="L64" s="1380">
        <f>IF(L$3&gt;A1remlife,A1value-SUM($G64:K64),IF(A1remlife="N/A","n/a",A1value/A1remlife))</f>
        <v>7.6851234769869308</v>
      </c>
      <c r="M64" s="1380">
        <f>IF(M$3&gt;A1remlife,A1value-SUM($G64:L64),IF(A1remlife="N/A","n/a",A1value/A1remlife))</f>
        <v>7.6851234769869308</v>
      </c>
      <c r="N64" s="1380">
        <f>IF(N$3&gt;A1remlife,A1value-SUM($G64:M64),IF(A1remlife="N/A","n/a",A1value/A1remlife))</f>
        <v>7.6851234769869308</v>
      </c>
      <c r="O64" s="1380">
        <f>IF(O$3&gt;A1remlife,A1value-SUM($G64:N64),IF(A1remlife="N/A","n/a",A1value/A1remlife))</f>
        <v>7.6851234769869308</v>
      </c>
      <c r="P64" s="1380">
        <f>IF(P$3&gt;A1remlife,A1value-SUM($G64:O64),IF(A1remlife="N/A","n/a",A1value/A1remlife))</f>
        <v>7.6851234769869308</v>
      </c>
      <c r="Q64" s="1380">
        <f>IF(Q$3&gt;A1remlife,A1value-SUM($G64:P64),IF(A1remlife="N/A","n/a",A1value/A1remlife))</f>
        <v>7.6851234769869308</v>
      </c>
      <c r="R64" s="21"/>
      <c r="S64" s="3"/>
      <c r="T64" s="74"/>
      <c r="U64" s="74"/>
      <c r="V64" s="74"/>
      <c r="W64" s="74"/>
      <c r="X64" s="74"/>
      <c r="Y64" s="74"/>
      <c r="Z64" s="72"/>
    </row>
    <row r="65" spans="1:26" ht="12.75" hidden="1" customHeight="1" outlineLevel="2">
      <c r="A65" s="3"/>
      <c r="B65" s="3"/>
      <c r="C65" s="16"/>
      <c r="D65" s="15"/>
      <c r="E65" s="1593" t="s">
        <v>43</v>
      </c>
      <c r="F65" s="61"/>
      <c r="G65" s="17"/>
      <c r="H65" s="251"/>
      <c r="I65" s="251"/>
      <c r="J65" s="251"/>
      <c r="K65" s="251"/>
      <c r="L65" s="251"/>
      <c r="M65" s="251"/>
      <c r="N65" s="251"/>
      <c r="O65" s="251"/>
      <c r="P65" s="251"/>
      <c r="Q65" s="251"/>
      <c r="R65" s="30"/>
      <c r="S65" s="72"/>
      <c r="T65" s="74"/>
      <c r="U65" s="74"/>
      <c r="V65" s="74"/>
      <c r="W65" s="74"/>
      <c r="X65" s="74"/>
      <c r="Y65" s="74"/>
      <c r="Z65" s="72"/>
    </row>
    <row r="66" spans="1:26" ht="12.75" hidden="1" customHeight="1" outlineLevel="2">
      <c r="A66" s="3"/>
      <c r="B66" s="3"/>
      <c r="C66" s="16"/>
      <c r="D66" s="15"/>
      <c r="E66" s="1594"/>
      <c r="F66" s="61">
        <v>1</v>
      </c>
      <c r="G66" s="17"/>
      <c r="H66" s="1381"/>
      <c r="I66" s="18">
        <f>IF(A1stdlife="n/a","n/a",IF(I$3&gt;(A1stdlife+$F66),('RFM input'!$H$223*(1+vanilla1)^0.5)-SUM($H66:H66),('RFM input'!$H$223*(1+vanilla1)^0.5)/A1stdlife))</f>
        <v>0.26138606100622752</v>
      </c>
      <c r="J66" s="18">
        <f>IF(A1stdlife="n/a","n/a",IF(J$3&gt;(A1stdlife+$F66),('RFM input'!$H$223*(1+vanilla1)^0.5)-SUM($H66:I66),('RFM input'!$H$223*(1+vanilla1)^0.5)/A1stdlife))</f>
        <v>0.26138606100622752</v>
      </c>
      <c r="K66" s="18">
        <f>IF(A1stdlife="n/a","n/a",IF(K$3&gt;(A1stdlife+$F66),('RFM input'!$H$223*(1+vanilla1)^0.5)-SUM($H66:J66),('RFM input'!$H$223*(1+vanilla1)^0.5)/A1stdlife))</f>
        <v>0.26138606100622752</v>
      </c>
      <c r="L66" s="18">
        <f>IF(A1stdlife="n/a","n/a",IF(L$3&gt;(A1stdlife+$F66),('RFM input'!$H$223*(1+vanilla1)^0.5)-SUM($H66:K66),('RFM input'!$H$223*(1+vanilla1)^0.5)/A1stdlife))</f>
        <v>0.26138606100622752</v>
      </c>
      <c r="M66" s="18">
        <f>IF(A1stdlife="n/a","n/a",IF(M$3&gt;(A1stdlife+$F66),('RFM input'!$H$223*(1+vanilla1)^0.5)-SUM($H66:L66),('RFM input'!$H$223*(1+vanilla1)^0.5)/A1stdlife))</f>
        <v>0.26138606100622752</v>
      </c>
      <c r="N66" s="18">
        <f>IF(A1stdlife="n/a","n/a",IF(N$3&gt;(A1stdlife+$F66),('RFM input'!$H$223*(1+vanilla1)^0.5)-SUM($H66:M66),('RFM input'!$H$223*(1+vanilla1)^0.5)/A1stdlife))</f>
        <v>0.26138606100622752</v>
      </c>
      <c r="O66" s="18">
        <f>IF(A1stdlife="n/a","n/a",IF(O$3&gt;(A1stdlife+$F66),('RFM input'!$H$223*(1+vanilla1)^0.5)-SUM($H66:N66),('RFM input'!$H$223*(1+vanilla1)^0.5)/A1stdlife))</f>
        <v>0.26138606100622752</v>
      </c>
      <c r="P66" s="18">
        <f>IF(A1stdlife="n/a","n/a",IF(P$3&gt;(A1stdlife+$F66),('RFM input'!$H$223*(1+vanilla1)^0.5)-SUM($H66:O66),('RFM input'!$H$223*(1+vanilla1)^0.5)/A1stdlife))</f>
        <v>0.26138606100622752</v>
      </c>
      <c r="Q66" s="18">
        <f>IF(A1stdlife="n/a","n/a",IF(Q$3&gt;(A1stdlife+$F66),('RFM input'!$H$223*(1+vanilla1)^0.5)-SUM($H66:P66),('RFM input'!$H$223*(1+vanilla1)^0.5)/A1stdlife))</f>
        <v>0.26138606100622752</v>
      </c>
      <c r="R66" s="18"/>
      <c r="S66" s="72"/>
      <c r="T66" s="74"/>
      <c r="U66" s="74"/>
      <c r="V66" s="74"/>
      <c r="W66" s="74"/>
      <c r="X66" s="74"/>
      <c r="Y66" s="74"/>
      <c r="Z66" s="72"/>
    </row>
    <row r="67" spans="1:26" ht="12.75" hidden="1" customHeight="1" outlineLevel="2">
      <c r="A67" s="3"/>
      <c r="B67" s="3"/>
      <c r="C67" s="16"/>
      <c r="D67" s="15"/>
      <c r="E67" s="1594"/>
      <c r="F67" s="61">
        <v>2</v>
      </c>
      <c r="G67" s="17"/>
      <c r="H67" s="114"/>
      <c r="I67" s="116"/>
      <c r="J67" s="18">
        <f>IF(A1stdlife="n/a","n/a",IF(J$3&gt;(A1stdlife+$F67),('RFM input'!$I$223*(1+vanilla2)^0.5)-SUM($I67:I67),('RFM input'!$I$223*(1+vanilla2)^0.5)/A1stdlife))</f>
        <v>0.28549677642414423</v>
      </c>
      <c r="K67" s="18">
        <f>IF(A1stdlife="n/a","n/a",IF(K$3&gt;(A1stdlife+$F67),('RFM input'!$I$223*(1+vanilla2)^0.5)-SUM($I67:J67),('RFM input'!$I$223*(1+vanilla2)^0.5)/A1stdlife))</f>
        <v>0.28549677642414423</v>
      </c>
      <c r="L67" s="18">
        <f>IF(A1stdlife="n/a","n/a",IF(L$3&gt;(A1stdlife+$F67),('RFM input'!$I$223*(1+vanilla2)^0.5)-SUM($I67:K67),('RFM input'!$I$223*(1+vanilla2)^0.5)/A1stdlife))</f>
        <v>0.28549677642414423</v>
      </c>
      <c r="M67" s="18">
        <f>IF(A1stdlife="n/a","n/a",IF(M$3&gt;(A1stdlife+$F67),('RFM input'!$I$223*(1+vanilla2)^0.5)-SUM($I67:L67),('RFM input'!$I$223*(1+vanilla2)^0.5)/A1stdlife))</f>
        <v>0.28549677642414423</v>
      </c>
      <c r="N67" s="18">
        <f>IF(A1stdlife="n/a","n/a",IF(N$3&gt;(A1stdlife+$F67),('RFM input'!$I$223*(1+vanilla2)^0.5)-SUM($I67:M67),('RFM input'!$I$223*(1+vanilla2)^0.5)/A1stdlife))</f>
        <v>0.28549677642414423</v>
      </c>
      <c r="O67" s="18">
        <f>IF(A1stdlife="n/a","n/a",IF(O$3&gt;(A1stdlife+$F67),('RFM input'!$I$223*(1+vanilla2)^0.5)-SUM($I67:N67),('RFM input'!$I$223*(1+vanilla2)^0.5)/A1stdlife))</f>
        <v>0.28549677642414423</v>
      </c>
      <c r="P67" s="18">
        <f>IF(A1stdlife="n/a","n/a",IF(P$3&gt;(A1stdlife+$F67),('RFM input'!$I$223*(1+vanilla2)^0.5)-SUM($I67:O67),('RFM input'!$I$223*(1+vanilla2)^0.5)/A1stdlife))</f>
        <v>0.28549677642414423</v>
      </c>
      <c r="Q67" s="18">
        <f>IF(A1stdlife="n/a","n/a",IF(Q$3&gt;(A1stdlife+$F67),('RFM input'!$I$223*(1+vanilla2)^0.5)-SUM($I67:P67),('RFM input'!$I$223*(1+vanilla2)^0.5)/A1stdlife))</f>
        <v>0.28549677642414423</v>
      </c>
      <c r="R67" s="18"/>
      <c r="S67" s="72"/>
      <c r="T67" s="74"/>
      <c r="U67" s="74"/>
      <c r="V67" s="74"/>
      <c r="W67" s="74"/>
      <c r="X67" s="74"/>
      <c r="Y67" s="74"/>
      <c r="Z67" s="72"/>
    </row>
    <row r="68" spans="1:26" ht="12.75" hidden="1" customHeight="1" outlineLevel="2">
      <c r="A68" s="3"/>
      <c r="B68" s="3"/>
      <c r="C68" s="16"/>
      <c r="D68" s="15"/>
      <c r="E68" s="1594"/>
      <c r="F68" s="61">
        <v>3</v>
      </c>
      <c r="G68" s="17"/>
      <c r="H68" s="114"/>
      <c r="I68" s="115"/>
      <c r="J68" s="116"/>
      <c r="K68" s="18">
        <f>IF(A1stdlife="n/a","n/a",IF(K$3&gt;(A1stdlife+$F68),('RFM input'!$J$223*(1+vanilla3)^0.5)-SUM($J68:J68),('RFM input'!$J$223*(1+vanilla3)^0.5)/A1stdlife))</f>
        <v>0.2722166920774084</v>
      </c>
      <c r="L68" s="18">
        <f>IF(A1stdlife="n/a","n/a",IF(L$3&gt;(A1stdlife+$F68),('RFM input'!$J$223*(1+vanilla3)^0.5)-SUM($J68:K68),('RFM input'!$J$223*(1+vanilla3)^0.5)/A1stdlife))</f>
        <v>0.2722166920774084</v>
      </c>
      <c r="M68" s="18">
        <f>IF(A1stdlife="n/a","n/a",IF(M$3&gt;(A1stdlife+$F68),('RFM input'!$J$223*(1+vanilla3)^0.5)-SUM($J68:L68),('RFM input'!$J$223*(1+vanilla3)^0.5)/A1stdlife))</f>
        <v>0.2722166920774084</v>
      </c>
      <c r="N68" s="18">
        <f>IF(A1stdlife="n/a","n/a",IF(N$3&gt;(A1stdlife+$F68),('RFM input'!$J$223*(1+vanilla3)^0.5)-SUM($J68:M68),('RFM input'!$J$223*(1+vanilla3)^0.5)/A1stdlife))</f>
        <v>0.2722166920774084</v>
      </c>
      <c r="O68" s="18">
        <f>IF(A1stdlife="n/a","n/a",IF(O$3&gt;(A1stdlife+$F68),('RFM input'!$J$223*(1+vanilla3)^0.5)-SUM($J68:N68),('RFM input'!$J$223*(1+vanilla3)^0.5)/A1stdlife))</f>
        <v>0.2722166920774084</v>
      </c>
      <c r="P68" s="18">
        <f>IF(A1stdlife="n/a","n/a",IF(P$3&gt;(A1stdlife+$F68),('RFM input'!$J$223*(1+vanilla3)^0.5)-SUM($J68:O68),('RFM input'!$J$223*(1+vanilla3)^0.5)/A1stdlife))</f>
        <v>0.2722166920774084</v>
      </c>
      <c r="Q68" s="18">
        <f>IF(A1stdlife="n/a","n/a",IF(Q$3&gt;(A1stdlife+$F68),('RFM input'!$J$223*(1+vanilla3)^0.5)-SUM($J68:P68),('RFM input'!$J$223*(1+vanilla3)^0.5)/A1stdlife))</f>
        <v>0.2722166920774084</v>
      </c>
      <c r="R68" s="18"/>
      <c r="S68" s="72"/>
      <c r="T68" s="74"/>
      <c r="U68" s="74"/>
      <c r="V68" s="74"/>
      <c r="W68" s="74"/>
      <c r="X68" s="74"/>
      <c r="Y68" s="74"/>
      <c r="Z68" s="72"/>
    </row>
    <row r="69" spans="1:26" ht="12.75" hidden="1" customHeight="1" outlineLevel="2">
      <c r="A69" s="3"/>
      <c r="B69" s="3"/>
      <c r="C69" s="16"/>
      <c r="D69" s="15"/>
      <c r="E69" s="1594"/>
      <c r="F69" s="61">
        <v>4</v>
      </c>
      <c r="G69" s="17"/>
      <c r="H69" s="114"/>
      <c r="I69" s="115"/>
      <c r="J69" s="115"/>
      <c r="K69" s="116"/>
      <c r="L69" s="18">
        <f>IF(A1stdlife="n/a","n/a",IF(L$3&gt;(A1stdlife+$F69),('RFM input'!$K$223*(1+vanilla4)^0.5)-SUM($K69:K69),('RFM input'!$K$223*(1+vanilla4)^0.5)/A1stdlife))</f>
        <v>0.23194992313049742</v>
      </c>
      <c r="M69" s="18">
        <f>IF(A1stdlife="n/a","n/a",IF(M$3&gt;(A1stdlife+$F69),('RFM input'!$K$223*(1+vanilla4)^0.5)-SUM($K69:L69),('RFM input'!$K$223*(1+vanilla4)^0.5)/A1stdlife))</f>
        <v>0.23194992313049742</v>
      </c>
      <c r="N69" s="18">
        <f>IF(A1stdlife="n/a","n/a",IF(N$3&gt;(A1stdlife+$F69),('RFM input'!$K$223*(1+vanilla4)^0.5)-SUM($K69:M69),('RFM input'!$K$223*(1+vanilla4)^0.5)/A1stdlife))</f>
        <v>0.23194992313049742</v>
      </c>
      <c r="O69" s="18">
        <f>IF(A1stdlife="n/a","n/a",IF(O$3&gt;(A1stdlife+$F69),('RFM input'!$K$223*(1+vanilla4)^0.5)-SUM($K69:N69),('RFM input'!$K$223*(1+vanilla4)^0.5)/A1stdlife))</f>
        <v>0.23194992313049742</v>
      </c>
      <c r="P69" s="18">
        <f>IF(A1stdlife="n/a","n/a",IF(P$3&gt;(A1stdlife+$F69),('RFM input'!$K$223*(1+vanilla4)^0.5)-SUM($K69:O69),('RFM input'!$K$223*(1+vanilla4)^0.5)/A1stdlife))</f>
        <v>0.23194992313049742</v>
      </c>
      <c r="Q69" s="18">
        <f>IF(A1stdlife="n/a","n/a",IF(Q$3&gt;(A1stdlife+$F69),('RFM input'!$K$223*(1+vanilla4)^0.5)-SUM($K69:P69),('RFM input'!$K$223*(1+vanilla4)^0.5)/A1stdlife))</f>
        <v>0.23194992313049742</v>
      </c>
      <c r="R69" s="18"/>
      <c r="S69" s="72"/>
      <c r="T69" s="74"/>
      <c r="U69" s="74"/>
      <c r="V69" s="74"/>
      <c r="W69" s="74"/>
      <c r="X69" s="74"/>
      <c r="Y69" s="74"/>
      <c r="Z69" s="72"/>
    </row>
    <row r="70" spans="1:26" ht="12.75" hidden="1" customHeight="1" outlineLevel="2">
      <c r="A70" s="3"/>
      <c r="B70" s="3"/>
      <c r="C70" s="16"/>
      <c r="D70" s="15"/>
      <c r="E70" s="1594"/>
      <c r="F70" s="61">
        <v>5</v>
      </c>
      <c r="G70" s="17"/>
      <c r="H70" s="114"/>
      <c r="I70" s="115"/>
      <c r="J70" s="115"/>
      <c r="K70" s="115"/>
      <c r="L70" s="116"/>
      <c r="M70" s="18">
        <f>IF(A1stdlife="n/a","n/a",IF(M$3&gt;(A1stdlife+$F70),('RFM input'!$L$223*(1+vanilla5)^0.5)-SUM($L70:L70),('RFM input'!$L$223*(1+vanilla5)^0.5)/A1stdlife))</f>
        <v>0.18530026725207166</v>
      </c>
      <c r="N70" s="18">
        <f>IF(A1stdlife="n/a","n/a",IF(N$3&gt;(A1stdlife+$F70),('RFM input'!$L$223*(1+vanilla5)^0.5)-SUM($L70:M70),('RFM input'!$L$223*(1+vanilla5)^0.5)/A1stdlife))</f>
        <v>0.18530026725207166</v>
      </c>
      <c r="O70" s="18">
        <f>IF(A1stdlife="n/a","n/a",IF(O$3&gt;(A1stdlife+$F70),('RFM input'!$L$223*(1+vanilla5)^0.5)-SUM($L70:N70),('RFM input'!$L$223*(1+vanilla5)^0.5)/A1stdlife))</f>
        <v>0.18530026725207166</v>
      </c>
      <c r="P70" s="18">
        <f>IF(A1stdlife="n/a","n/a",IF(P$3&gt;(A1stdlife+$F70),('RFM input'!$L$223*(1+vanilla5)^0.5)-SUM($L70:O70),('RFM input'!$L$223*(1+vanilla5)^0.5)/A1stdlife))</f>
        <v>0.18530026725207166</v>
      </c>
      <c r="Q70" s="18">
        <f>IF(A1stdlife="n/a","n/a",IF(Q$3&gt;(A1stdlife+$F70),('RFM input'!$L$223*(1+vanilla5)^0.5)-SUM($L70:P70),('RFM input'!$L$223*(1+vanilla5)^0.5)/A1stdlife))</f>
        <v>0.18530026725207166</v>
      </c>
      <c r="R70" s="18"/>
      <c r="S70" s="43"/>
      <c r="T70" s="74"/>
      <c r="U70" s="74"/>
      <c r="V70" s="74"/>
      <c r="W70" s="74"/>
      <c r="X70" s="74"/>
      <c r="Y70" s="74"/>
      <c r="Z70" s="72"/>
    </row>
    <row r="71" spans="1:26" ht="12.75" hidden="1" customHeight="1" outlineLevel="2">
      <c r="A71" s="3"/>
      <c r="B71" s="3"/>
      <c r="C71" s="16"/>
      <c r="D71" s="15"/>
      <c r="E71" s="1594"/>
      <c r="F71" s="61">
        <v>6</v>
      </c>
      <c r="G71" s="17"/>
      <c r="H71" s="114"/>
      <c r="I71" s="115"/>
      <c r="J71" s="115"/>
      <c r="K71" s="115"/>
      <c r="L71" s="115"/>
      <c r="M71" s="116"/>
      <c r="N71" s="18">
        <f>IF(A1stdlife="n/a","n/a",IF(N$3&gt;(A1stdlife+$F71),('RFM input'!$M$223*(1+vanilla6)^0.5)-SUM($M71:M71),('RFM input'!$M$223*(1+vanilla6)^0.5)/A1stdlife))</f>
        <v>0.34882234306022508</v>
      </c>
      <c r="O71" s="18">
        <f>IF(A1stdlife="n/a","n/a",IF(O$3&gt;(A1stdlife+$F71),('RFM input'!$M$223*(1+vanilla6)^0.5)-SUM($M71:N71),('RFM input'!$M$223*(1+vanilla6)^0.5)/A1stdlife))</f>
        <v>0.34882234306022508</v>
      </c>
      <c r="P71" s="18">
        <f>IF(A1stdlife="n/a","n/a",IF(P$3&gt;(A1stdlife+$F71),('RFM input'!$M$223*(1+vanilla6)^0.5)-SUM($M71:O71),('RFM input'!$M$223*(1+vanilla6)^0.5)/A1stdlife))</f>
        <v>0.34882234306022508</v>
      </c>
      <c r="Q71" s="18">
        <f>IF(A1stdlife="n/a","n/a",IF(Q$3&gt;(A1stdlife+$F71),('RFM input'!$M$223*(1+vanilla6)^0.5)-SUM($M71:P71),('RFM input'!$M$223*(1+vanilla6)^0.5)/A1stdlife))</f>
        <v>0.34882234306022508</v>
      </c>
      <c r="R71" s="18"/>
      <c r="S71" s="72"/>
      <c r="T71" s="74"/>
      <c r="U71" s="74"/>
      <c r="V71" s="74"/>
      <c r="W71" s="74"/>
      <c r="X71" s="74"/>
      <c r="Y71" s="74"/>
      <c r="Z71" s="72"/>
    </row>
    <row r="72" spans="1:26" ht="12.75" hidden="1" customHeight="1" outlineLevel="2">
      <c r="A72" s="3"/>
      <c r="B72" s="3"/>
      <c r="C72" s="16"/>
      <c r="D72" s="15"/>
      <c r="E72" s="1594"/>
      <c r="F72" s="61">
        <v>7</v>
      </c>
      <c r="G72" s="17"/>
      <c r="H72" s="114"/>
      <c r="I72" s="115"/>
      <c r="J72" s="115"/>
      <c r="K72" s="115"/>
      <c r="L72" s="115"/>
      <c r="M72" s="115"/>
      <c r="N72" s="116"/>
      <c r="O72" s="18">
        <f>IF(A1stdlife="n/a","n/a",IF(O$3&gt;(A1stdlife+$F72),('RFM input'!$N$223*(1+vanilla7)^0.5)-SUM($N72:N72),('RFM input'!$N$223*(1+vanilla7)^0.5)/A1stdlife))</f>
        <v>8.4751155039040946E-2</v>
      </c>
      <c r="P72" s="18">
        <f>IF(A1stdlife="n/a","n/a",IF(P$3&gt;(A1stdlife+$F72),('RFM input'!$N$223*(1+vanilla7)^0.5)-SUM($N72:O72),('RFM input'!$N$223*(1+vanilla7)^0.5)/A1stdlife))</f>
        <v>8.4751155039040946E-2</v>
      </c>
      <c r="Q72" s="18">
        <f>IF(A1stdlife="n/a","n/a",IF(Q$3&gt;(A1stdlife+$F72),('RFM input'!$N$223*(1+vanilla7)^0.5)-SUM($N72:P72),('RFM input'!$N$223*(1+vanilla7)^0.5)/A1stdlife))</f>
        <v>8.4751155039040946E-2</v>
      </c>
      <c r="R72" s="18"/>
      <c r="S72" s="72"/>
      <c r="T72" s="74"/>
      <c r="U72" s="74"/>
      <c r="V72" s="74"/>
      <c r="W72" s="74"/>
      <c r="X72" s="74"/>
      <c r="Y72" s="74"/>
      <c r="Z72" s="72"/>
    </row>
    <row r="73" spans="1:26" ht="12.75" hidden="1" customHeight="1" outlineLevel="2">
      <c r="A73" s="3"/>
      <c r="B73" s="3"/>
      <c r="C73" s="16"/>
      <c r="D73" s="15"/>
      <c r="E73" s="1594"/>
      <c r="F73" s="61">
        <v>8</v>
      </c>
      <c r="G73" s="17"/>
      <c r="H73" s="114"/>
      <c r="I73" s="115"/>
      <c r="J73" s="115"/>
      <c r="K73" s="115"/>
      <c r="L73" s="115"/>
      <c r="M73" s="115"/>
      <c r="N73" s="115"/>
      <c r="O73" s="116"/>
      <c r="P73" s="18">
        <f>IF(A1stdlife="n/a","n/a",IF(P$3&gt;(A1stdlife+$F73),('RFM input'!$O$223*(1+vanilla8)^0.5)-SUM($O73:O73),('RFM input'!$O$223*(1+vanilla8)^0.5)/A1stdlife))</f>
        <v>0</v>
      </c>
      <c r="Q73" s="18">
        <f>IF(A1stdlife="n/a","n/a",IF(Q$3&gt;(A1stdlife+$F73),('RFM input'!$O$223*(1+vanilla8)^0.5)-SUM($O73:P73),('RFM input'!$O$223*(1+vanilla8)^0.5)/A1stdlife))</f>
        <v>0</v>
      </c>
      <c r="R73" s="18"/>
      <c r="S73" s="72"/>
      <c r="T73" s="74"/>
      <c r="U73" s="74"/>
      <c r="V73" s="74"/>
      <c r="W73" s="74"/>
      <c r="X73" s="74"/>
      <c r="Y73" s="74"/>
      <c r="Z73" s="72"/>
    </row>
    <row r="74" spans="1:26" ht="12.75" hidden="1" customHeight="1" outlineLevel="2">
      <c r="A74" s="3"/>
      <c r="B74" s="3"/>
      <c r="C74" s="16"/>
      <c r="D74" s="15"/>
      <c r="E74" s="1594"/>
      <c r="F74" s="61">
        <v>9</v>
      </c>
      <c r="G74" s="17"/>
      <c r="H74" s="114"/>
      <c r="I74" s="115"/>
      <c r="J74" s="115"/>
      <c r="K74" s="115"/>
      <c r="L74" s="115"/>
      <c r="M74" s="115"/>
      <c r="N74" s="115"/>
      <c r="O74" s="115"/>
      <c r="P74" s="116"/>
      <c r="Q74" s="18">
        <f>IF(A1stdlife="n/a","n/a",IF(Q$3&gt;(A1stdlife+$F74),('RFM input'!$P$223*(1+vanilla9)^0.5)-SUM($P74:P74),('RFM input'!$P$223*(1+vanilla9)^0.5)/A1stdlife))</f>
        <v>0</v>
      </c>
      <c r="R74" s="18"/>
      <c r="S74" s="72"/>
      <c r="T74" s="74"/>
      <c r="U74" s="74"/>
      <c r="V74" s="74"/>
      <c r="W74" s="74"/>
      <c r="X74" s="74"/>
      <c r="Y74" s="74"/>
      <c r="Z74" s="72"/>
    </row>
    <row r="75" spans="1:26" ht="12.75" hidden="1" customHeight="1" outlineLevel="2">
      <c r="A75" s="3"/>
      <c r="B75" s="3"/>
      <c r="C75" s="16"/>
      <c r="D75" s="15"/>
      <c r="E75" s="1594"/>
      <c r="F75" s="62">
        <v>10</v>
      </c>
      <c r="G75" s="17"/>
      <c r="H75" s="114"/>
      <c r="I75" s="115"/>
      <c r="J75" s="115"/>
      <c r="K75" s="115"/>
      <c r="L75" s="115"/>
      <c r="M75" s="115"/>
      <c r="N75" s="115"/>
      <c r="O75" s="115"/>
      <c r="P75" s="115"/>
      <c r="Q75" s="116"/>
      <c r="R75" s="18"/>
      <c r="S75" s="72"/>
      <c r="T75" s="74"/>
      <c r="U75" s="74"/>
      <c r="V75" s="74"/>
      <c r="W75" s="74"/>
      <c r="X75" s="74"/>
      <c r="Y75" s="74"/>
      <c r="Z75" s="72"/>
    </row>
    <row r="76" spans="1:26" ht="13.35" hidden="1" customHeight="1" outlineLevel="1">
      <c r="A76" s="3"/>
      <c r="B76" s="3"/>
      <c r="C76" s="3"/>
      <c r="D76" s="134" t="str">
        <f>Asset1</f>
        <v>Mains</v>
      </c>
      <c r="E76" s="3"/>
      <c r="F76" s="3"/>
      <c r="G76" s="1341"/>
      <c r="H76" s="1458">
        <f>IF(OR('RFM input'!$E$293='RFM input'!$G$292,'RFM input'!$E$293='RFM input'!$G$293),-INDEX('RFM input'!H$299:H$348,MATCH($D76,'RFM input'!$E$299:$E$348,0),1),-SUM(H64:H75))</f>
        <v>-7.6851234769869308</v>
      </c>
      <c r="I76" s="1458">
        <f>IF(OR('RFM input'!$E$293='RFM input'!$G$292,'RFM input'!$E$293='RFM input'!$G$293),-INDEX('RFM input'!I$299:I$348,MATCH($D76,'RFM input'!$E$299:$E$348,0),1),-SUM(I64:I75))</f>
        <v>-7.9465095379931583</v>
      </c>
      <c r="J76" s="1386">
        <f>IF(COUNT($H76:I76)&gt;='RFM input'!$V$7,
   0,
   IF(OR('RFM input'!$E$293='RFM input'!$G$292,'RFM input'!$E$293='RFM input'!$G$293),
      -INDEX('RFM input'!J$299:J$348,MATCH($D76,'RFM input'!$E$299:$E$348,0),1),
      -SUM(J64:J75)))</f>
        <v>-8.232006314417303</v>
      </c>
      <c r="K76" s="1386">
        <f>IF(COUNT($H76:J76)&gt;='RFM input'!$V$7,
   0,
   IF(OR('RFM input'!$E$293='RFM input'!$G$292,'RFM input'!$E$293='RFM input'!$G$293),
      -INDEX('RFM input'!K$299:K$348,MATCH($D76,'RFM input'!$E$299:$E$348,0),1),
      -SUM(K64:K75)))</f>
        <v>-8.504223006494712</v>
      </c>
      <c r="L76" s="1386">
        <f>IF(COUNT($H76:K76)&gt;='RFM input'!$V$7,
   0,
   IF(OR('RFM input'!$E$293='RFM input'!$G$292,'RFM input'!$E$293='RFM input'!$G$293),
      -INDEX('RFM input'!L$299:L$348,MATCH($D76,'RFM input'!$E$299:$E$348,0),1),
      -SUM(L64:L75)))</f>
        <v>-8.7361729296252086</v>
      </c>
      <c r="M76" s="1386">
        <f>IF(COUNT($H76:L76)&gt;='RFM input'!$V$7,
   0,
   IF(OR('RFM input'!$E$293='RFM input'!$G$292,'RFM input'!$E$293='RFM input'!$G$293),
      -INDEX('RFM input'!M$299:M$348,MATCH($D76,'RFM input'!$E$299:$E$348,0),1),
      -SUM(M64:M75)))</f>
        <v>-8.9214731968772796</v>
      </c>
      <c r="N76" s="1386">
        <f>IF(COUNT($H76:M76)&gt;='RFM input'!$V$7,
   0,
   IF(OR('RFM input'!$E$293='RFM input'!$G$292,'RFM input'!$E$293='RFM input'!$G$293),
      -INDEX('RFM input'!N$299:N$348,MATCH($D76,'RFM input'!$E$299:$E$348,0),1),
      -SUM(N64:N75)))</f>
        <v>-9.2702955399375053</v>
      </c>
      <c r="O76" s="1386">
        <f>IF(COUNT($H76:N76)&gt;='RFM input'!$V$7,
   0,
   IF(OR('RFM input'!$E$293='RFM input'!$G$292,'RFM input'!$E$293='RFM input'!$G$293),
      -INDEX('RFM input'!O$299:O$348,MATCH($D76,'RFM input'!$E$299:$E$348,0),1),
      -SUM(O64:O75)))</f>
        <v>0</v>
      </c>
      <c r="P76" s="1386">
        <f>IF(COUNT($H76:O76)&gt;='RFM input'!$V$7,
   0,
   IF(OR('RFM input'!$E$293='RFM input'!$G$292,'RFM input'!$E$293='RFM input'!$G$293),
      -INDEX('RFM input'!P$299:P$348,MATCH($D76,'RFM input'!$E$299:$E$348,0),1),
      -SUM(P64:P75)))</f>
        <v>0</v>
      </c>
      <c r="Q76" s="1386">
        <f>IF(COUNT($H76:P76)&gt;='RFM input'!$V$7,
   0,
   IF(OR('RFM input'!$E$293='RFM input'!$G$292,'RFM input'!$E$293='RFM input'!$G$293),
      -INDEX('RFM input'!Q$299:Q$348,MATCH($D76,'RFM input'!$E$299:$E$348,0),1),
      -SUM(Q64:Q75)))</f>
        <v>0</v>
      </c>
      <c r="R76" s="1382"/>
      <c r="S76" s="73"/>
      <c r="T76" s="74"/>
      <c r="U76" s="74"/>
      <c r="V76" s="74"/>
      <c r="W76" s="74"/>
      <c r="X76" s="74"/>
      <c r="Y76" s="74"/>
      <c r="Z76" s="73"/>
    </row>
    <row r="77" spans="1:26" ht="12.75" hidden="1" customHeight="1" outlineLevel="2">
      <c r="A77" s="3"/>
      <c r="B77" s="3"/>
      <c r="C77" s="135" t="str">
        <f>Asset2</f>
        <v>Inlets</v>
      </c>
      <c r="D77" s="100"/>
      <c r="E77" s="20" t="s">
        <v>23</v>
      </c>
      <c r="F77" s="19"/>
      <c r="G77" s="1383"/>
      <c r="H77" s="1380">
        <f>IF(H$3&gt;A2remlife,A2value-SUM($G77:G77),IF(A2remlife="N/A","n/a",A2value/A2remlife))</f>
        <v>1.8708812849114758</v>
      </c>
      <c r="I77" s="1380">
        <f>IF(I$3&gt;A2remlife,A2value-SUM($G77:H77),IF(A2remlife="N/A","n/a",A2value/A2remlife))</f>
        <v>1.8708812849114758</v>
      </c>
      <c r="J77" s="1380">
        <f>IF(J$3&gt;A2remlife,A2value-SUM($G77:I77),IF(A2remlife="N/A","n/a",A2value/A2remlife))</f>
        <v>1.8708812849114758</v>
      </c>
      <c r="K77" s="1380">
        <f>IF(K$3&gt;A2remlife,A2value-SUM($G77:J77),IF(A2remlife="N/A","n/a",A2value/A2remlife))</f>
        <v>1.8708812849114758</v>
      </c>
      <c r="L77" s="1380">
        <f>IF(L$3&gt;A2remlife,A2value-SUM($G77:K77),IF(A2remlife="N/A","n/a",A2value/A2remlife))</f>
        <v>1.8708812849114758</v>
      </c>
      <c r="M77" s="1380">
        <f>IF(M$3&gt;A2remlife,A2value-SUM($G77:L77),IF(A2remlife="N/A","n/a",A2value/A2remlife))</f>
        <v>1.8708812849114758</v>
      </c>
      <c r="N77" s="1380">
        <f>IF(N$3&gt;A2remlife,A2value-SUM($G77:M77),IF(A2remlife="N/A","n/a",A2value/A2remlife))</f>
        <v>1.8708812849114758</v>
      </c>
      <c r="O77" s="1380">
        <f>IF(O$3&gt;A2remlife,A2value-SUM($G77:N77),IF(A2remlife="N/A","n/a",A2value/A2remlife))</f>
        <v>1.8708812849114758</v>
      </c>
      <c r="P77" s="1380">
        <f>IF(P$3&gt;A2remlife,A2value-SUM($G77:O77),IF(A2remlife="N/A","n/a",A2value/A2remlife))</f>
        <v>1.8708812849114758</v>
      </c>
      <c r="Q77" s="1380">
        <f>IF(Q$3&gt;A2remlife,A2value-SUM($G77:P77),IF(A2remlife="N/A","n/a",A2value/A2remlife))</f>
        <v>1.8708812849114758</v>
      </c>
      <c r="R77" s="21"/>
      <c r="S77" s="74"/>
      <c r="T77" s="74"/>
      <c r="U77" s="74"/>
      <c r="V77" s="74"/>
      <c r="W77" s="74"/>
      <c r="X77" s="74"/>
      <c r="Y77" s="74"/>
      <c r="Z77" s="74"/>
    </row>
    <row r="78" spans="1:26" ht="12.75" hidden="1" customHeight="1" outlineLevel="2">
      <c r="A78" s="241"/>
      <c r="B78" s="241"/>
      <c r="C78" s="241"/>
      <c r="D78" s="16"/>
      <c r="E78" s="1593" t="s">
        <v>43</v>
      </c>
      <c r="F78" s="61"/>
      <c r="G78" s="1341"/>
      <c r="H78" s="18"/>
      <c r="I78" s="18"/>
      <c r="J78" s="18"/>
      <c r="K78" s="18"/>
      <c r="L78" s="18"/>
      <c r="M78" s="1384"/>
      <c r="N78" s="1385"/>
      <c r="O78" s="18"/>
      <c r="P78" s="18"/>
      <c r="Q78" s="18"/>
      <c r="R78" s="18"/>
      <c r="S78" s="74"/>
      <c r="T78" s="74"/>
      <c r="U78" s="74"/>
      <c r="V78" s="74"/>
      <c r="W78" s="74"/>
      <c r="X78" s="74"/>
      <c r="Y78" s="74"/>
      <c r="Z78" s="74"/>
    </row>
    <row r="79" spans="1:26" ht="12.75" hidden="1" customHeight="1" outlineLevel="2">
      <c r="A79" s="241"/>
      <c r="B79" s="241"/>
      <c r="C79" s="241"/>
      <c r="D79" s="16"/>
      <c r="E79" s="1594"/>
      <c r="F79" s="61">
        <v>1</v>
      </c>
      <c r="G79" s="1341"/>
      <c r="H79" s="1381"/>
      <c r="I79" s="18">
        <f>IF(A2stdlife="n/a","n/a",IF(I$3&gt;(A2stdlife+$F79),('RFM input'!$H$224*(1+vanilla1)^0.5)-SUM($H79:H79),('RFM input'!$H$224*(1+vanilla1)^0.5)/A2stdlife))</f>
        <v>0.12858721285336167</v>
      </c>
      <c r="J79" s="18">
        <f>IF(A2stdlife="n/a","n/a",IF(J$3&gt;(A2stdlife+$F79),('RFM input'!$H$224*(1+vanilla1)^0.5)-SUM($H79:I79),('RFM input'!$H$224*(1+vanilla1)^0.5)/A2stdlife))</f>
        <v>0.12858721285336167</v>
      </c>
      <c r="K79" s="18">
        <f>IF(A2stdlife="n/a","n/a",IF(K$3&gt;(A2stdlife+$F79),('RFM input'!$H$224*(1+vanilla1)^0.5)-SUM($H79:J79),('RFM input'!$H$224*(1+vanilla1)^0.5)/A2stdlife))</f>
        <v>0.12858721285336167</v>
      </c>
      <c r="L79" s="18">
        <f>IF(A2stdlife="n/a","n/a",IF(L$3&gt;(A2stdlife+$F79),('RFM input'!$H$224*(1+vanilla1)^0.5)-SUM($H79:K79),('RFM input'!$H$224*(1+vanilla1)^0.5)/A2stdlife))</f>
        <v>0.12858721285336167</v>
      </c>
      <c r="M79" s="18">
        <f>IF(A2stdlife="n/a","n/a",IF(M$3&gt;(A2stdlife+$F79),('RFM input'!$H$224*(1+vanilla1)^0.5)-SUM($H79:L79),('RFM input'!$H$224*(1+vanilla1)^0.5)/A2stdlife))</f>
        <v>0.12858721285336167</v>
      </c>
      <c r="N79" s="18">
        <f>IF(A2stdlife="n/a","n/a",IF(N$3&gt;(A2stdlife+$F79),('RFM input'!$H$224*(1+vanilla1)^0.5)-SUM($H79:M79),('RFM input'!$H$224*(1+vanilla1)^0.5)/A2stdlife))</f>
        <v>0.12858721285336167</v>
      </c>
      <c r="O79" s="18">
        <f>IF(A2stdlife="n/a","n/a",IF(O$3&gt;(A2stdlife+$F79),('RFM input'!$H$224*(1+vanilla1)^0.5)-SUM($H79:N79),('RFM input'!$H$224*(1+vanilla1)^0.5)/A2stdlife))</f>
        <v>0.12858721285336167</v>
      </c>
      <c r="P79" s="18">
        <f>IF(A2stdlife="n/a","n/a",IF(P$3&gt;(A2stdlife+$F79),('RFM input'!$H$224*(1+vanilla1)^0.5)-SUM($H79:O79),('RFM input'!$H$224*(1+vanilla1)^0.5)/A2stdlife))</f>
        <v>0.12858721285336167</v>
      </c>
      <c r="Q79" s="18">
        <f>IF(A2stdlife="n/a","n/a",IF(Q$3&gt;(A2stdlife+$F79),('RFM input'!$H$224*(1+vanilla1)^0.5)-SUM($H79:P79),('RFM input'!$H$224*(1+vanilla1)^0.5)/A2stdlife))</f>
        <v>0.12858721285336167</v>
      </c>
      <c r="R79" s="18"/>
      <c r="S79" s="74"/>
      <c r="T79" s="74"/>
      <c r="U79" s="74"/>
      <c r="V79" s="74"/>
      <c r="W79" s="74"/>
      <c r="X79" s="74"/>
      <c r="Y79" s="74"/>
      <c r="Z79" s="74"/>
    </row>
    <row r="80" spans="1:26" ht="12.75" hidden="1" customHeight="1" outlineLevel="2">
      <c r="A80" s="241"/>
      <c r="B80" s="241"/>
      <c r="C80" s="241"/>
      <c r="D80" s="16"/>
      <c r="E80" s="1594"/>
      <c r="F80" s="61">
        <v>2</v>
      </c>
      <c r="G80" s="1341"/>
      <c r="H80" s="114"/>
      <c r="I80" s="116"/>
      <c r="J80" s="18">
        <f>IF(A2stdlife="n/a","n/a",IF(J$3&gt;(A2stdlife+$F80),('RFM input'!$I$224*(1+vanilla2)^0.5)-SUM($I80:I80),('RFM input'!$I$224*(1+vanilla2)^0.5)/A2stdlife))</f>
        <v>0.13635698160168358</v>
      </c>
      <c r="K80" s="18">
        <f>IF(A2stdlife="n/a","n/a",IF(K$3&gt;(A2stdlife+$F80),('RFM input'!$I$224*(1+vanilla2)^0.5)-SUM($I80:J80),('RFM input'!$I$224*(1+vanilla2)^0.5)/A2stdlife))</f>
        <v>0.13635698160168358</v>
      </c>
      <c r="L80" s="18">
        <f>IF(A2stdlife="n/a","n/a",IF(L$3&gt;(A2stdlife+$F80),('RFM input'!$I$224*(1+vanilla2)^0.5)-SUM($I80:K80),('RFM input'!$I$224*(1+vanilla2)^0.5)/A2stdlife))</f>
        <v>0.13635698160168358</v>
      </c>
      <c r="M80" s="18">
        <f>IF(A2stdlife="n/a","n/a",IF(M$3&gt;(A2stdlife+$F80),('RFM input'!$I$224*(1+vanilla2)^0.5)-SUM($I80:L80),('RFM input'!$I$224*(1+vanilla2)^0.5)/A2stdlife))</f>
        <v>0.13635698160168358</v>
      </c>
      <c r="N80" s="18">
        <f>IF(A2stdlife="n/a","n/a",IF(N$3&gt;(A2stdlife+$F80),('RFM input'!$I$224*(1+vanilla2)^0.5)-SUM($I80:M80),('RFM input'!$I$224*(1+vanilla2)^0.5)/A2stdlife))</f>
        <v>0.13635698160168358</v>
      </c>
      <c r="O80" s="18">
        <f>IF(A2stdlife="n/a","n/a",IF(O$3&gt;(A2stdlife+$F80),('RFM input'!$I$224*(1+vanilla2)^0.5)-SUM($I80:N80),('RFM input'!$I$224*(1+vanilla2)^0.5)/A2stdlife))</f>
        <v>0.13635698160168358</v>
      </c>
      <c r="P80" s="18">
        <f>IF(A2stdlife="n/a","n/a",IF(P$3&gt;(A2stdlife+$F80),('RFM input'!$I$224*(1+vanilla2)^0.5)-SUM($I80:O80),('RFM input'!$I$224*(1+vanilla2)^0.5)/A2stdlife))</f>
        <v>0.13635698160168358</v>
      </c>
      <c r="Q80" s="18">
        <f>IF(A2stdlife="n/a","n/a",IF(Q$3&gt;(A2stdlife+$F80),('RFM input'!$I$224*(1+vanilla2)^0.5)-SUM($I80:P80),('RFM input'!$I$224*(1+vanilla2)^0.5)/A2stdlife))</f>
        <v>0.13635698160168358</v>
      </c>
      <c r="R80" s="18"/>
      <c r="S80" s="74"/>
      <c r="T80" s="74"/>
      <c r="U80" s="74"/>
      <c r="V80" s="74"/>
      <c r="W80" s="74"/>
      <c r="X80" s="74"/>
      <c r="Y80" s="74"/>
      <c r="Z80" s="74"/>
    </row>
    <row r="81" spans="1:26" ht="12.75" hidden="1" customHeight="1" outlineLevel="2">
      <c r="A81" s="241"/>
      <c r="B81" s="241"/>
      <c r="C81" s="241"/>
      <c r="D81" s="16"/>
      <c r="E81" s="1594"/>
      <c r="F81" s="61">
        <v>3</v>
      </c>
      <c r="G81" s="1341"/>
      <c r="H81" s="114"/>
      <c r="I81" s="115"/>
      <c r="J81" s="116"/>
      <c r="K81" s="18">
        <f>IF(A2stdlife="n/a","n/a",IF(K$3&gt;(A2stdlife+$F81),('RFM input'!$J$224*(1+vanilla3)^0.5)-SUM($J81:J81),('RFM input'!$J$224*(1+vanilla3)^0.5)/A2stdlife))</f>
        <v>0.1432424769141733</v>
      </c>
      <c r="L81" s="18">
        <f>IF(A2stdlife="n/a","n/a",IF(L$3&gt;(A2stdlife+$F81),('RFM input'!$J$224*(1+vanilla3)^0.5)-SUM($J81:K81),('RFM input'!$J$224*(1+vanilla3)^0.5)/A2stdlife))</f>
        <v>0.1432424769141733</v>
      </c>
      <c r="M81" s="18">
        <f>IF(A2stdlife="n/a","n/a",IF(M$3&gt;(A2stdlife+$F81),('RFM input'!$J$224*(1+vanilla3)^0.5)-SUM($J81:L81),('RFM input'!$J$224*(1+vanilla3)^0.5)/A2stdlife))</f>
        <v>0.1432424769141733</v>
      </c>
      <c r="N81" s="18">
        <f>IF(A2stdlife="n/a","n/a",IF(N$3&gt;(A2stdlife+$F81),('RFM input'!$J$224*(1+vanilla3)^0.5)-SUM($J81:M81),('RFM input'!$J$224*(1+vanilla3)^0.5)/A2stdlife))</f>
        <v>0.1432424769141733</v>
      </c>
      <c r="O81" s="18">
        <f>IF(A2stdlife="n/a","n/a",IF(O$3&gt;(A2stdlife+$F81),('RFM input'!$J$224*(1+vanilla3)^0.5)-SUM($J81:N81),('RFM input'!$J$224*(1+vanilla3)^0.5)/A2stdlife))</f>
        <v>0.1432424769141733</v>
      </c>
      <c r="P81" s="18">
        <f>IF(A2stdlife="n/a","n/a",IF(P$3&gt;(A2stdlife+$F81),('RFM input'!$J$224*(1+vanilla3)^0.5)-SUM($J81:O81),('RFM input'!$J$224*(1+vanilla3)^0.5)/A2stdlife))</f>
        <v>0.1432424769141733</v>
      </c>
      <c r="Q81" s="18">
        <f>IF(A2stdlife="n/a","n/a",IF(Q$3&gt;(A2stdlife+$F81),('RFM input'!$J$224*(1+vanilla3)^0.5)-SUM($J81:P81),('RFM input'!$J$224*(1+vanilla3)^0.5)/A2stdlife))</f>
        <v>0.1432424769141733</v>
      </c>
      <c r="R81" s="18"/>
      <c r="S81" s="74"/>
      <c r="T81" s="74"/>
      <c r="U81" s="74"/>
      <c r="V81" s="74"/>
      <c r="W81" s="74"/>
      <c r="X81" s="74"/>
      <c r="Y81" s="74"/>
      <c r="Z81" s="74"/>
    </row>
    <row r="82" spans="1:26" ht="12.75" hidden="1" customHeight="1" outlineLevel="2">
      <c r="A82" s="241"/>
      <c r="B82" s="241"/>
      <c r="C82" s="241"/>
      <c r="D82" s="16"/>
      <c r="E82" s="1594"/>
      <c r="F82" s="61">
        <v>4</v>
      </c>
      <c r="G82" s="1341"/>
      <c r="H82" s="114"/>
      <c r="I82" s="115"/>
      <c r="J82" s="115"/>
      <c r="K82" s="116"/>
      <c r="L82" s="18">
        <f>IF(A2stdlife="n/a","n/a",IF(L$3&gt;(A2stdlife+$F82),('RFM input'!$K$224*(1+vanilla4)^0.5)-SUM($K82:K82),('RFM input'!$K$224*(1+vanilla4)^0.5)/A2stdlife))</f>
        <v>0.12454819474874894</v>
      </c>
      <c r="M82" s="18">
        <f>IF(A2stdlife="n/a","n/a",IF(M$3&gt;(A2stdlife+$F82),('RFM input'!$K$224*(1+vanilla4)^0.5)-SUM($K82:L82),('RFM input'!$K$224*(1+vanilla4)^0.5)/A2stdlife))</f>
        <v>0.12454819474874894</v>
      </c>
      <c r="N82" s="18">
        <f>IF(A2stdlife="n/a","n/a",IF(N$3&gt;(A2stdlife+$F82),('RFM input'!$K$224*(1+vanilla4)^0.5)-SUM($K82:M82),('RFM input'!$K$224*(1+vanilla4)^0.5)/A2stdlife))</f>
        <v>0.12454819474874894</v>
      </c>
      <c r="O82" s="18">
        <f>IF(A2stdlife="n/a","n/a",IF(O$3&gt;(A2stdlife+$F82),('RFM input'!$K$224*(1+vanilla4)^0.5)-SUM($K82:N82),('RFM input'!$K$224*(1+vanilla4)^0.5)/A2stdlife))</f>
        <v>0.12454819474874894</v>
      </c>
      <c r="P82" s="18">
        <f>IF(A2stdlife="n/a","n/a",IF(P$3&gt;(A2stdlife+$F82),('RFM input'!$K$224*(1+vanilla4)^0.5)-SUM($K82:O82),('RFM input'!$K$224*(1+vanilla4)^0.5)/A2stdlife))</f>
        <v>0.12454819474874894</v>
      </c>
      <c r="Q82" s="18">
        <f>IF(A2stdlife="n/a","n/a",IF(Q$3&gt;(A2stdlife+$F82),('RFM input'!$K$224*(1+vanilla4)^0.5)-SUM($K82:P82),('RFM input'!$K$224*(1+vanilla4)^0.5)/A2stdlife))</f>
        <v>0.12454819474874894</v>
      </c>
      <c r="R82" s="18"/>
      <c r="S82" s="74"/>
      <c r="T82" s="74"/>
      <c r="U82" s="74"/>
      <c r="V82" s="74"/>
      <c r="W82" s="74"/>
      <c r="X82" s="74"/>
      <c r="Y82" s="74"/>
      <c r="Z82" s="74"/>
    </row>
    <row r="83" spans="1:26" ht="12.75" hidden="1" customHeight="1" outlineLevel="2">
      <c r="A83" s="241"/>
      <c r="B83" s="241"/>
      <c r="C83" s="241"/>
      <c r="D83" s="16"/>
      <c r="E83" s="1594"/>
      <c r="F83" s="61">
        <v>5</v>
      </c>
      <c r="G83" s="1341"/>
      <c r="H83" s="114"/>
      <c r="I83" s="115"/>
      <c r="J83" s="115"/>
      <c r="K83" s="115"/>
      <c r="L83" s="116"/>
      <c r="M83" s="18">
        <f>IF(A2stdlife="n/a","n/a",IF(M$3&gt;(A2stdlife+$F83),('RFM input'!$L$224*(1+vanilla5)^0.5)-SUM($L83:L83),('RFM input'!$L$224*(1+vanilla5)^0.5)/A2stdlife))</f>
        <v>0.13738654234352626</v>
      </c>
      <c r="N83" s="18">
        <f>IF(A2stdlife="n/a","n/a",IF(N$3&gt;(A2stdlife+$F83),('RFM input'!$L$224*(1+vanilla5)^0.5)-SUM($L83:M83),('RFM input'!$L$224*(1+vanilla5)^0.5)/A2stdlife))</f>
        <v>0.13738654234352626</v>
      </c>
      <c r="O83" s="18">
        <f>IF(A2stdlife="n/a","n/a",IF(O$3&gt;(A2stdlife+$F83),('RFM input'!$L$224*(1+vanilla5)^0.5)-SUM($L83:N83),('RFM input'!$L$224*(1+vanilla5)^0.5)/A2stdlife))</f>
        <v>0.13738654234352626</v>
      </c>
      <c r="P83" s="18">
        <f>IF(A2stdlife="n/a","n/a",IF(P$3&gt;(A2stdlife+$F83),('RFM input'!$L$224*(1+vanilla5)^0.5)-SUM($L83:O83),('RFM input'!$L$224*(1+vanilla5)^0.5)/A2stdlife))</f>
        <v>0.13738654234352626</v>
      </c>
      <c r="Q83" s="18">
        <f>IF(A2stdlife="n/a","n/a",IF(Q$3&gt;(A2stdlife+$F83),('RFM input'!$L$224*(1+vanilla5)^0.5)-SUM($L83:P83),('RFM input'!$L$224*(1+vanilla5)^0.5)/A2stdlife))</f>
        <v>0.13738654234352626</v>
      </c>
      <c r="R83" s="18"/>
      <c r="S83" s="74"/>
      <c r="T83" s="74"/>
      <c r="U83" s="74"/>
      <c r="V83" s="74"/>
      <c r="W83" s="74"/>
      <c r="X83" s="74"/>
      <c r="Y83" s="74"/>
      <c r="Z83" s="74"/>
    </row>
    <row r="84" spans="1:26" ht="12.75" hidden="1" customHeight="1" outlineLevel="2">
      <c r="A84" s="241"/>
      <c r="B84" s="241"/>
      <c r="C84" s="241"/>
      <c r="D84" s="16"/>
      <c r="E84" s="1594"/>
      <c r="F84" s="61">
        <v>6</v>
      </c>
      <c r="G84" s="1341"/>
      <c r="H84" s="114"/>
      <c r="I84" s="115"/>
      <c r="J84" s="115"/>
      <c r="K84" s="115"/>
      <c r="L84" s="115"/>
      <c r="M84" s="116"/>
      <c r="N84" s="18">
        <f>IF(A2stdlife="n/a","n/a",IF(N$3&gt;(A2stdlife+$F84),('RFM input'!$M$224*(1+vanilla6)^0.5)-SUM($M84:M84),('RFM input'!$M$224*(1+vanilla6)^0.5)/A2stdlife))</f>
        <v>0.10732840928934521</v>
      </c>
      <c r="O84" s="18">
        <f>IF(A2stdlife="n/a","n/a",IF(O$3&gt;(A2stdlife+$F84),('RFM input'!$M$224*(1+vanilla6)^0.5)-SUM($M84:N84),('RFM input'!$M$224*(1+vanilla6)^0.5)/A2stdlife))</f>
        <v>0.10732840928934521</v>
      </c>
      <c r="P84" s="18">
        <f>IF(A2stdlife="n/a","n/a",IF(P$3&gt;(A2stdlife+$F84),('RFM input'!$M$224*(1+vanilla6)^0.5)-SUM($M84:O84),('RFM input'!$M$224*(1+vanilla6)^0.5)/A2stdlife))</f>
        <v>0.10732840928934521</v>
      </c>
      <c r="Q84" s="18">
        <f>IF(A2stdlife="n/a","n/a",IF(Q$3&gt;(A2stdlife+$F84),('RFM input'!$M$224*(1+vanilla6)^0.5)-SUM($M84:P84),('RFM input'!$M$224*(1+vanilla6)^0.5)/A2stdlife))</f>
        <v>0.10732840928934521</v>
      </c>
      <c r="R84" s="18"/>
      <c r="S84" s="74"/>
      <c r="T84" s="74"/>
      <c r="U84" s="74"/>
      <c r="V84" s="74"/>
      <c r="W84" s="74"/>
      <c r="X84" s="74"/>
      <c r="Y84" s="74"/>
      <c r="Z84" s="74"/>
    </row>
    <row r="85" spans="1:26" ht="12.75" hidden="1" customHeight="1" outlineLevel="2">
      <c r="A85" s="241"/>
      <c r="B85" s="241"/>
      <c r="C85" s="241"/>
      <c r="D85" s="16"/>
      <c r="E85" s="1594"/>
      <c r="F85" s="61">
        <v>7</v>
      </c>
      <c r="G85" s="1341"/>
      <c r="H85" s="114"/>
      <c r="I85" s="115"/>
      <c r="J85" s="115"/>
      <c r="K85" s="115"/>
      <c r="L85" s="115"/>
      <c r="M85" s="115"/>
      <c r="N85" s="116"/>
      <c r="O85" s="18">
        <f>IF(A2stdlife="n/a","n/a",IF(O$3&gt;(A2stdlife+$F85),('RFM input'!$N$224*(1+vanilla7)^0.5)-SUM($N85:N85),('RFM input'!$N$224*(1+vanilla7)^0.5)/A2stdlife))</f>
        <v>6.3716570280251406E-2</v>
      </c>
      <c r="P85" s="18">
        <f>IF(A2stdlife="n/a","n/a",IF(P$3&gt;(A2stdlife+$F85),('RFM input'!$N$224*(1+vanilla7)^0.5)-SUM($N85:O85),('RFM input'!$N$224*(1+vanilla7)^0.5)/A2stdlife))</f>
        <v>6.3716570280251406E-2</v>
      </c>
      <c r="Q85" s="18">
        <f>IF(A2stdlife="n/a","n/a",IF(Q$3&gt;(A2stdlife+$F85),('RFM input'!$N$224*(1+vanilla7)^0.5)-SUM($N85:P85),('RFM input'!$N$224*(1+vanilla7)^0.5)/A2stdlife))</f>
        <v>6.3716570280251406E-2</v>
      </c>
      <c r="R85" s="18"/>
      <c r="S85" s="74"/>
      <c r="T85" s="74"/>
      <c r="U85" s="74"/>
      <c r="V85" s="74"/>
      <c r="W85" s="74"/>
      <c r="X85" s="74"/>
      <c r="Y85" s="74"/>
      <c r="Z85" s="74"/>
    </row>
    <row r="86" spans="1:26" ht="12.75" hidden="1" customHeight="1" outlineLevel="2">
      <c r="A86" s="241"/>
      <c r="B86" s="241"/>
      <c r="C86" s="241"/>
      <c r="D86" s="16"/>
      <c r="E86" s="1594"/>
      <c r="F86" s="61">
        <v>8</v>
      </c>
      <c r="G86" s="1341"/>
      <c r="H86" s="114"/>
      <c r="I86" s="115"/>
      <c r="J86" s="115"/>
      <c r="K86" s="115"/>
      <c r="L86" s="115"/>
      <c r="M86" s="115"/>
      <c r="N86" s="115"/>
      <c r="O86" s="116"/>
      <c r="P86" s="18">
        <f>IF(A2stdlife="n/a","n/a",IF(P$3&gt;(A2stdlife+$F86),('RFM input'!$O$224*(1+vanilla8)^0.5)-SUM($O86:O86),('RFM input'!$O$224*(1+vanilla8)^0.5)/A2stdlife))</f>
        <v>0</v>
      </c>
      <c r="Q86" s="18">
        <f>IF(A2stdlife="n/a","n/a",IF(Q$3&gt;(A2stdlife+$F86),('RFM input'!$O$224*(1+vanilla8)^0.5)-SUM($O86:P86),('RFM input'!$O$224*(1+vanilla8)^0.5)/A2stdlife))</f>
        <v>0</v>
      </c>
      <c r="R86" s="18"/>
      <c r="S86" s="74"/>
      <c r="T86" s="74"/>
      <c r="U86" s="74"/>
      <c r="V86" s="74"/>
      <c r="W86" s="74"/>
      <c r="X86" s="74"/>
      <c r="Y86" s="74"/>
      <c r="Z86" s="74"/>
    </row>
    <row r="87" spans="1:26" ht="12.75" hidden="1" customHeight="1" outlineLevel="2">
      <c r="A87" s="241"/>
      <c r="B87" s="241"/>
      <c r="C87" s="241"/>
      <c r="D87" s="16"/>
      <c r="E87" s="1594"/>
      <c r="F87" s="61">
        <v>9</v>
      </c>
      <c r="G87" s="1341"/>
      <c r="H87" s="114"/>
      <c r="I87" s="115"/>
      <c r="J87" s="115"/>
      <c r="K87" s="115"/>
      <c r="L87" s="115"/>
      <c r="M87" s="115"/>
      <c r="N87" s="115"/>
      <c r="O87" s="115"/>
      <c r="P87" s="116"/>
      <c r="Q87" s="18">
        <f>IF(A2stdlife="n/a","n/a",IF(Q$3&gt;(A2stdlife+$F87),('RFM input'!$P$224*(1+vanilla9)^0.5)-SUM($P87:P87),('RFM input'!$P$224*(1+vanilla9)^0.5)/A2stdlife))</f>
        <v>0</v>
      </c>
      <c r="R87" s="18"/>
      <c r="S87" s="74"/>
      <c r="T87" s="74"/>
      <c r="U87" s="74"/>
      <c r="V87" s="74"/>
      <c r="W87" s="74"/>
      <c r="X87" s="74"/>
      <c r="Y87" s="74"/>
      <c r="Z87" s="74"/>
    </row>
    <row r="88" spans="1:26" ht="12.75" hidden="1" customHeight="1" outlineLevel="2">
      <c r="A88" s="241"/>
      <c r="B88" s="241"/>
      <c r="C88" s="241"/>
      <c r="D88" s="16"/>
      <c r="E88" s="1594"/>
      <c r="F88" s="62">
        <v>10</v>
      </c>
      <c r="G88" s="1341"/>
      <c r="H88" s="114"/>
      <c r="I88" s="115"/>
      <c r="J88" s="115"/>
      <c r="K88" s="115"/>
      <c r="L88" s="115"/>
      <c r="M88" s="115"/>
      <c r="N88" s="115"/>
      <c r="O88" s="115"/>
      <c r="P88" s="115"/>
      <c r="Q88" s="116"/>
      <c r="R88" s="18"/>
      <c r="S88" s="74"/>
      <c r="T88" s="74"/>
      <c r="U88" s="74"/>
      <c r="V88" s="74"/>
      <c r="W88" s="74"/>
      <c r="X88" s="74"/>
      <c r="Y88" s="74"/>
      <c r="Z88" s="74"/>
    </row>
    <row r="89" spans="1:26" ht="13.35" hidden="1" customHeight="1" outlineLevel="1">
      <c r="A89" s="241"/>
      <c r="B89" s="241"/>
      <c r="C89" s="241"/>
      <c r="D89" s="134" t="str">
        <f>Asset2</f>
        <v>Inlets</v>
      </c>
      <c r="E89" s="3"/>
      <c r="F89" s="3"/>
      <c r="G89" s="1341"/>
      <c r="H89" s="1458">
        <f>IF(OR('RFM input'!$E$293='RFM input'!$G$292,'RFM input'!$E$293='RFM input'!$G$293),-INDEX('RFM input'!H$299:H$348,MATCH($D89,'RFM input'!$E$299:$E$348,0),1),-SUM(H77:H88))</f>
        <v>-1.8708812849114758</v>
      </c>
      <c r="I89" s="1458">
        <f>IF(OR('RFM input'!$E$293='RFM input'!$G$292,'RFM input'!$E$293='RFM input'!$G$293),-INDEX('RFM input'!I$299:I$348,MATCH($D89,'RFM input'!$E$299:$E$348,0),1),-SUM(I77:I88))</f>
        <v>-1.9994684977648374</v>
      </c>
      <c r="J89" s="1386">
        <f>IF(COUNT($H89:I89)&gt;='RFM input'!$V$7,
   0,
   IF(OR('RFM input'!$E$293='RFM input'!$G$292,'RFM input'!$E$293='RFM input'!$G$293),
      -INDEX('RFM input'!J$299:J$348,MATCH($D89,'RFM input'!$E$299:$E$348,0),1),
      -SUM(J77:J88)))</f>
        <v>-2.1358254793665208</v>
      </c>
      <c r="K89" s="1386">
        <f>IF(COUNT($H89:J89)&gt;='RFM input'!$V$7,
   0,
   IF(OR('RFM input'!$E$293='RFM input'!$G$292,'RFM input'!$E$293='RFM input'!$G$293),
      -INDEX('RFM input'!K$299:K$348,MATCH($D89,'RFM input'!$E$299:$E$348,0),1),
      -SUM(K77:K88)))</f>
        <v>-2.2790679562806941</v>
      </c>
      <c r="L89" s="1386">
        <f>IF(COUNT($H89:K89)&gt;='RFM input'!$V$7,
   0,
   IF(OR('RFM input'!$E$293='RFM input'!$G$292,'RFM input'!$E$293='RFM input'!$G$293),
      -INDEX('RFM input'!L$299:L$348,MATCH($D89,'RFM input'!$E$299:$E$348,0),1),
      -SUM(L77:L88)))</f>
        <v>-2.4036161510294431</v>
      </c>
      <c r="M89" s="1386">
        <f>IF(COUNT($H89:L89)&gt;='RFM input'!$V$7,
   0,
   IF(OR('RFM input'!$E$293='RFM input'!$G$292,'RFM input'!$E$293='RFM input'!$G$293),
      -INDEX('RFM input'!M$299:M$348,MATCH($D89,'RFM input'!$E$299:$E$348,0),1),
      -SUM(M77:M88)))</f>
        <v>-2.5410026933729695</v>
      </c>
      <c r="N89" s="1386">
        <f>IF(COUNT($H89:M89)&gt;='RFM input'!$V$7,
   0,
   IF(OR('RFM input'!$E$293='RFM input'!$G$292,'RFM input'!$E$293='RFM input'!$G$293),
      -INDEX('RFM input'!N$299:N$348,MATCH($D89,'RFM input'!$E$299:$E$348,0),1),
      -SUM(N77:N88)))</f>
        <v>-2.6483311026623149</v>
      </c>
      <c r="O89" s="1386">
        <f>IF(COUNT($H89:N89)&gt;='RFM input'!$V$7,
   0,
   IF(OR('RFM input'!$E$293='RFM input'!$G$292,'RFM input'!$E$293='RFM input'!$G$293),
      -INDEX('RFM input'!O$299:O$348,MATCH($D89,'RFM input'!$E$299:$E$348,0),1),
      -SUM(O77:O88)))</f>
        <v>0</v>
      </c>
      <c r="P89" s="1386">
        <f>IF(COUNT($H89:O89)&gt;='RFM input'!$V$7,
   0,
   IF(OR('RFM input'!$E$293='RFM input'!$G$292,'RFM input'!$E$293='RFM input'!$G$293),
      -INDEX('RFM input'!P$299:P$348,MATCH($D89,'RFM input'!$E$299:$E$348,0),1),
      -SUM(P77:P88)))</f>
        <v>0</v>
      </c>
      <c r="Q89" s="1386">
        <f>IF(COUNT($H89:P89)&gt;='RFM input'!$V$7,
   0,
   IF(OR('RFM input'!$E$293='RFM input'!$G$292,'RFM input'!$E$293='RFM input'!$G$293),
      -INDEX('RFM input'!Q$299:Q$348,MATCH($D89,'RFM input'!$E$299:$E$348,0),1),
      -SUM(Q77:Q88)))</f>
        <v>0</v>
      </c>
      <c r="R89" s="18"/>
      <c r="S89" s="75"/>
      <c r="T89" s="75"/>
      <c r="U89" s="75"/>
      <c r="V89" s="75"/>
      <c r="W89" s="75"/>
      <c r="X89" s="75"/>
      <c r="Y89" s="75"/>
      <c r="Z89" s="75"/>
    </row>
    <row r="90" spans="1:26" ht="12.75" hidden="1" customHeight="1" outlineLevel="2">
      <c r="A90" s="241"/>
      <c r="B90" s="241"/>
      <c r="C90" s="135" t="str">
        <f>Asset3</f>
        <v>Meters</v>
      </c>
      <c r="D90" s="100"/>
      <c r="E90" s="20" t="s">
        <v>23</v>
      </c>
      <c r="F90" s="19"/>
      <c r="G90" s="1383"/>
      <c r="H90" s="1380">
        <f>IF(H$3&gt;A3remlife,A3value-SUM($G90:G90),IF(A3remlife="N/A","n/a",A3value/A3remlife))</f>
        <v>2.9400217404279529</v>
      </c>
      <c r="I90" s="1380">
        <f>IF(I$3&gt;A3remlife,A3value-SUM($G90:H90),IF(A3remlife="N/A","n/a",A3value/A3remlife))</f>
        <v>2.9400217404279529</v>
      </c>
      <c r="J90" s="1380">
        <f>IF(J$3&gt;A3remlife,A3value-SUM($G90:I90),IF(A3remlife="N/A","n/a",A3value/A3remlife))</f>
        <v>2.9400217404279529</v>
      </c>
      <c r="K90" s="1380">
        <f>IF(K$3&gt;A3remlife,A3value-SUM($G90:J90),IF(A3remlife="N/A","n/a",A3value/A3remlife))</f>
        <v>2.9400217404279529</v>
      </c>
      <c r="L90" s="1380">
        <f>IF(L$3&gt;A3remlife,A3value-SUM($G90:K90),IF(A3remlife="N/A","n/a",A3value/A3remlife))</f>
        <v>2.9400217404279529</v>
      </c>
      <c r="M90" s="1380">
        <f>IF(M$3&gt;A3remlife,A3value-SUM($G90:L90),IF(A3remlife="N/A","n/a",A3value/A3remlife))</f>
        <v>2.9400217404279529</v>
      </c>
      <c r="N90" s="1380">
        <f>IF(N$3&gt;A3remlife,A3value-SUM($G90:M90),IF(A3remlife="N/A","n/a",A3value/A3remlife))</f>
        <v>2.9400217404279529</v>
      </c>
      <c r="O90" s="1380">
        <f>IF(O$3&gt;A3remlife,A3value-SUM($G90:N90),IF(A3remlife="N/A","n/a",A3value/A3remlife))</f>
        <v>2.9400217404279529</v>
      </c>
      <c r="P90" s="1380">
        <f>IF(P$3&gt;A3remlife,A3value-SUM($G90:O90),IF(A3remlife="N/A","n/a",A3value/A3remlife))</f>
        <v>0.80842336560987249</v>
      </c>
      <c r="Q90" s="1380">
        <f>IF(Q$3&gt;A3remlife,A3value-SUM($G90:P90),IF(A3remlife="N/A","n/a",A3value/A3remlife))</f>
        <v>0</v>
      </c>
      <c r="R90" s="21"/>
      <c r="S90" s="74"/>
      <c r="T90" s="74"/>
      <c r="U90" s="74"/>
      <c r="V90" s="74"/>
      <c r="W90" s="74"/>
      <c r="X90" s="74"/>
      <c r="Y90" s="74"/>
      <c r="Z90" s="74"/>
    </row>
    <row r="91" spans="1:26" ht="12.75" hidden="1" customHeight="1" outlineLevel="2">
      <c r="A91" s="241"/>
      <c r="B91" s="241"/>
      <c r="C91" s="241"/>
      <c r="D91" s="16"/>
      <c r="E91" s="1593" t="s">
        <v>43</v>
      </c>
      <c r="F91" s="61"/>
      <c r="G91" s="1341"/>
      <c r="H91" s="18"/>
      <c r="I91" s="18"/>
      <c r="J91" s="18"/>
      <c r="K91" s="18"/>
      <c r="L91" s="18"/>
      <c r="M91" s="1384"/>
      <c r="N91" s="1385"/>
      <c r="O91" s="18"/>
      <c r="P91" s="18"/>
      <c r="Q91" s="18"/>
      <c r="R91" s="18"/>
      <c r="S91" s="74"/>
      <c r="T91" s="74"/>
      <c r="U91" s="74"/>
      <c r="V91" s="74"/>
      <c r="W91" s="74"/>
      <c r="X91" s="74"/>
      <c r="Y91" s="74"/>
      <c r="Z91" s="74"/>
    </row>
    <row r="92" spans="1:26" ht="12.75" hidden="1" customHeight="1" outlineLevel="2">
      <c r="A92" s="241"/>
      <c r="B92" s="241"/>
      <c r="C92" s="241"/>
      <c r="D92" s="16"/>
      <c r="E92" s="1594"/>
      <c r="F92" s="61">
        <v>1</v>
      </c>
      <c r="G92" s="1341"/>
      <c r="H92" s="1381"/>
      <c r="I92" s="18">
        <f>IF(A3stdlife="n/a","n/a",IF(I$3&gt;(A3stdlife+$F92),('RFM input'!$H$225*(1+vanilla1)^0.5)-SUM($H92:H92),('RFM input'!$H$225*(1+vanilla1)^0.5)/A3stdlife))</f>
        <v>0.19601775073670688</v>
      </c>
      <c r="J92" s="18">
        <f>IF(A3stdlife="n/a","n/a",IF(J$3&gt;(A3stdlife+$F92),('RFM input'!$H$225*(1+vanilla1)^0.5)-SUM($H92:I92),('RFM input'!$H$225*(1+vanilla1)^0.5)/A3stdlife))</f>
        <v>0.19601775073670688</v>
      </c>
      <c r="K92" s="18">
        <f>IF(A3stdlife="n/a","n/a",IF(K$3&gt;(A3stdlife+$F92),('RFM input'!$H$225*(1+vanilla1)^0.5)-SUM($H92:J92),('RFM input'!$H$225*(1+vanilla1)^0.5)/A3stdlife))</f>
        <v>0.19601775073670688</v>
      </c>
      <c r="L92" s="18">
        <f>IF(A3stdlife="n/a","n/a",IF(L$3&gt;(A3stdlife+$F92),('RFM input'!$H$225*(1+vanilla1)^0.5)-SUM($H92:K92),('RFM input'!$H$225*(1+vanilla1)^0.5)/A3stdlife))</f>
        <v>0.19601775073670688</v>
      </c>
      <c r="M92" s="18">
        <f>IF(A3stdlife="n/a","n/a",IF(M$3&gt;(A3stdlife+$F92),('RFM input'!$H$225*(1+vanilla1)^0.5)-SUM($H92:L92),('RFM input'!$H$225*(1+vanilla1)^0.5)/A3stdlife))</f>
        <v>0.19601775073670688</v>
      </c>
      <c r="N92" s="18">
        <f>IF(A3stdlife="n/a","n/a",IF(N$3&gt;(A3stdlife+$F92),('RFM input'!$H$225*(1+vanilla1)^0.5)-SUM($H92:M92),('RFM input'!$H$225*(1+vanilla1)^0.5)/A3stdlife))</f>
        <v>0.19601775073670688</v>
      </c>
      <c r="O92" s="18">
        <f>IF(A3stdlife="n/a","n/a",IF(O$3&gt;(A3stdlife+$F92),('RFM input'!$H$225*(1+vanilla1)^0.5)-SUM($H92:N92),('RFM input'!$H$225*(1+vanilla1)^0.5)/A3stdlife))</f>
        <v>0.19601775073670688</v>
      </c>
      <c r="P92" s="18">
        <f>IF(A3stdlife="n/a","n/a",IF(P$3&gt;(A3stdlife+$F92),('RFM input'!$H$225*(1+vanilla1)^0.5)-SUM($H92:O92),('RFM input'!$H$225*(1+vanilla1)^0.5)/A3stdlife))</f>
        <v>0.19601775073670688</v>
      </c>
      <c r="Q92" s="18">
        <f>IF(A3stdlife="n/a","n/a",IF(Q$3&gt;(A3stdlife+$F92),('RFM input'!$H$225*(1+vanilla1)^0.5)-SUM($H92:P92),('RFM input'!$H$225*(1+vanilla1)^0.5)/A3stdlife))</f>
        <v>0.19601775073670688</v>
      </c>
      <c r="R92" s="18"/>
      <c r="S92" s="74"/>
      <c r="T92" s="74"/>
      <c r="U92" s="74"/>
      <c r="V92" s="74"/>
      <c r="W92" s="74"/>
      <c r="X92" s="74"/>
      <c r="Y92" s="74"/>
      <c r="Z92" s="74"/>
    </row>
    <row r="93" spans="1:26" ht="12.75" hidden="1" customHeight="1" outlineLevel="2">
      <c r="A93" s="241"/>
      <c r="B93" s="241"/>
      <c r="C93" s="241"/>
      <c r="D93" s="16"/>
      <c r="E93" s="1594"/>
      <c r="F93" s="61">
        <v>2</v>
      </c>
      <c r="G93" s="1341"/>
      <c r="H93" s="114"/>
      <c r="I93" s="116"/>
      <c r="J93" s="18">
        <f>IF(A3stdlife="n/a","n/a",IF(J$3&gt;(A3stdlife+$F93),('RFM input'!$I$225*(1+vanilla2)^0.5)-SUM($I93:I93),('RFM input'!$I$225*(1+vanilla2)^0.5)/A3stdlife))</f>
        <v>0.19620519806447359</v>
      </c>
      <c r="K93" s="18">
        <f>IF(A3stdlife="n/a","n/a",IF(K$3&gt;(A3stdlife+$F93),('RFM input'!$I$225*(1+vanilla2)^0.5)-SUM($I93:J93),('RFM input'!$I$225*(1+vanilla2)^0.5)/A3stdlife))</f>
        <v>0.19620519806447359</v>
      </c>
      <c r="L93" s="18">
        <f>IF(A3stdlife="n/a","n/a",IF(L$3&gt;(A3stdlife+$F93),('RFM input'!$I$225*(1+vanilla2)^0.5)-SUM($I93:K93),('RFM input'!$I$225*(1+vanilla2)^0.5)/A3stdlife))</f>
        <v>0.19620519806447359</v>
      </c>
      <c r="M93" s="18">
        <f>IF(A3stdlife="n/a","n/a",IF(M$3&gt;(A3stdlife+$F93),('RFM input'!$I$225*(1+vanilla2)^0.5)-SUM($I93:L93),('RFM input'!$I$225*(1+vanilla2)^0.5)/A3stdlife))</f>
        <v>0.19620519806447359</v>
      </c>
      <c r="N93" s="18">
        <f>IF(A3stdlife="n/a","n/a",IF(N$3&gt;(A3stdlife+$F93),('RFM input'!$I$225*(1+vanilla2)^0.5)-SUM($I93:M93),('RFM input'!$I$225*(1+vanilla2)^0.5)/A3stdlife))</f>
        <v>0.19620519806447359</v>
      </c>
      <c r="O93" s="18">
        <f>IF(A3stdlife="n/a","n/a",IF(O$3&gt;(A3stdlife+$F93),('RFM input'!$I$225*(1+vanilla2)^0.5)-SUM($I93:N93),('RFM input'!$I$225*(1+vanilla2)^0.5)/A3stdlife))</f>
        <v>0.19620519806447359</v>
      </c>
      <c r="P93" s="18">
        <f>IF(A3stdlife="n/a","n/a",IF(P$3&gt;(A3stdlife+$F93),('RFM input'!$I$225*(1+vanilla2)^0.5)-SUM($I93:O93),('RFM input'!$I$225*(1+vanilla2)^0.5)/A3stdlife))</f>
        <v>0.19620519806447359</v>
      </c>
      <c r="Q93" s="18">
        <f>IF(A3stdlife="n/a","n/a",IF(Q$3&gt;(A3stdlife+$F93),('RFM input'!$I$225*(1+vanilla2)^0.5)-SUM($I93:P93),('RFM input'!$I$225*(1+vanilla2)^0.5)/A3stdlife))</f>
        <v>0.19620519806447359</v>
      </c>
      <c r="R93" s="18"/>
      <c r="S93" s="74"/>
      <c r="T93" s="74"/>
      <c r="U93" s="74"/>
      <c r="V93" s="74"/>
      <c r="W93" s="74"/>
      <c r="X93" s="74"/>
      <c r="Y93" s="74"/>
      <c r="Z93" s="74"/>
    </row>
    <row r="94" spans="1:26" ht="12.75" hidden="1" customHeight="1" outlineLevel="2">
      <c r="A94" s="241"/>
      <c r="B94" s="241"/>
      <c r="C94" s="241"/>
      <c r="D94" s="16"/>
      <c r="E94" s="1594"/>
      <c r="F94" s="61">
        <v>3</v>
      </c>
      <c r="G94" s="1341"/>
      <c r="H94" s="114"/>
      <c r="I94" s="115"/>
      <c r="J94" s="116"/>
      <c r="K94" s="18">
        <f>IF(A3stdlife="n/a","n/a",IF(K$3&gt;(A3stdlife+$F94),('RFM input'!$J$225*(1+vanilla3)^0.5)-SUM($J94:J94),('RFM input'!$J$225*(1+vanilla3)^0.5)/A3stdlife))</f>
        <v>0.22771807525970822</v>
      </c>
      <c r="L94" s="18">
        <f>IF(A3stdlife="n/a","n/a",IF(L$3&gt;(A3stdlife+$F94),('RFM input'!$J$225*(1+vanilla3)^0.5)-SUM($J94:K94),('RFM input'!$J$225*(1+vanilla3)^0.5)/A3stdlife))</f>
        <v>0.22771807525970822</v>
      </c>
      <c r="M94" s="18">
        <f>IF(A3stdlife="n/a","n/a",IF(M$3&gt;(A3stdlife+$F94),('RFM input'!$J$225*(1+vanilla3)^0.5)-SUM($J94:L94),('RFM input'!$J$225*(1+vanilla3)^0.5)/A3stdlife))</f>
        <v>0.22771807525970822</v>
      </c>
      <c r="N94" s="18">
        <f>IF(A3stdlife="n/a","n/a",IF(N$3&gt;(A3stdlife+$F94),('RFM input'!$J$225*(1+vanilla3)^0.5)-SUM($J94:M94),('RFM input'!$J$225*(1+vanilla3)^0.5)/A3stdlife))</f>
        <v>0.22771807525970822</v>
      </c>
      <c r="O94" s="18">
        <f>IF(A3stdlife="n/a","n/a",IF(O$3&gt;(A3stdlife+$F94),('RFM input'!$J$225*(1+vanilla3)^0.5)-SUM($J94:N94),('RFM input'!$J$225*(1+vanilla3)^0.5)/A3stdlife))</f>
        <v>0.22771807525970822</v>
      </c>
      <c r="P94" s="18">
        <f>IF(A3stdlife="n/a","n/a",IF(P$3&gt;(A3stdlife+$F94),('RFM input'!$J$225*(1+vanilla3)^0.5)-SUM($J94:O94),('RFM input'!$J$225*(1+vanilla3)^0.5)/A3stdlife))</f>
        <v>0.22771807525970822</v>
      </c>
      <c r="Q94" s="18">
        <f>IF(A3stdlife="n/a","n/a",IF(Q$3&gt;(A3stdlife+$F94),('RFM input'!$J$225*(1+vanilla3)^0.5)-SUM($J94:P94),('RFM input'!$J$225*(1+vanilla3)^0.5)/A3stdlife))</f>
        <v>0.22771807525970822</v>
      </c>
      <c r="R94" s="18"/>
      <c r="S94" s="74"/>
      <c r="T94" s="74"/>
      <c r="U94" s="74"/>
      <c r="V94" s="74"/>
      <c r="W94" s="74"/>
      <c r="X94" s="74"/>
      <c r="Y94" s="74"/>
      <c r="Z94" s="74"/>
    </row>
    <row r="95" spans="1:26" ht="12.75" hidden="1" customHeight="1" outlineLevel="2">
      <c r="A95" s="241"/>
      <c r="B95" s="241"/>
      <c r="C95" s="241"/>
      <c r="D95" s="16"/>
      <c r="E95" s="1594"/>
      <c r="F95" s="61">
        <v>4</v>
      </c>
      <c r="G95" s="1341"/>
      <c r="H95" s="114"/>
      <c r="I95" s="115"/>
      <c r="J95" s="115"/>
      <c r="K95" s="116"/>
      <c r="L95" s="18">
        <f>IF(A3stdlife="n/a","n/a",IF(L$3&gt;(A3stdlife+$F95),('RFM input'!$K$225*(1+vanilla4)^0.5)-SUM($K95:K95),('RFM input'!$K$225*(1+vanilla4)^0.5)/A3stdlife))</f>
        <v>0.11677834714901376</v>
      </c>
      <c r="M95" s="18">
        <f>IF(A3stdlife="n/a","n/a",IF(M$3&gt;(A3stdlife+$F95),('RFM input'!$K$225*(1+vanilla4)^0.5)-SUM($K95:L95),('RFM input'!$K$225*(1+vanilla4)^0.5)/A3stdlife))</f>
        <v>0.11677834714901376</v>
      </c>
      <c r="N95" s="18">
        <f>IF(A3stdlife="n/a","n/a",IF(N$3&gt;(A3stdlife+$F95),('RFM input'!$K$225*(1+vanilla4)^0.5)-SUM($K95:M95),('RFM input'!$K$225*(1+vanilla4)^0.5)/A3stdlife))</f>
        <v>0.11677834714901376</v>
      </c>
      <c r="O95" s="18">
        <f>IF(A3stdlife="n/a","n/a",IF(O$3&gt;(A3stdlife+$F95),('RFM input'!$K$225*(1+vanilla4)^0.5)-SUM($K95:N95),('RFM input'!$K$225*(1+vanilla4)^0.5)/A3stdlife))</f>
        <v>0.11677834714901376</v>
      </c>
      <c r="P95" s="18">
        <f>IF(A3stdlife="n/a","n/a",IF(P$3&gt;(A3stdlife+$F95),('RFM input'!$K$225*(1+vanilla4)^0.5)-SUM($K95:O95),('RFM input'!$K$225*(1+vanilla4)^0.5)/A3stdlife))</f>
        <v>0.11677834714901376</v>
      </c>
      <c r="Q95" s="18">
        <f>IF(A3stdlife="n/a","n/a",IF(Q$3&gt;(A3stdlife+$F95),('RFM input'!$K$225*(1+vanilla4)^0.5)-SUM($K95:P95),('RFM input'!$K$225*(1+vanilla4)^0.5)/A3stdlife))</f>
        <v>0.11677834714901376</v>
      </c>
      <c r="R95" s="18"/>
      <c r="S95" s="74"/>
      <c r="T95" s="74"/>
      <c r="U95" s="74"/>
      <c r="V95" s="74"/>
      <c r="W95" s="74"/>
      <c r="X95" s="74"/>
      <c r="Y95" s="74"/>
      <c r="Z95" s="74"/>
    </row>
    <row r="96" spans="1:26" ht="12.75" hidden="1" customHeight="1" outlineLevel="2">
      <c r="A96" s="241"/>
      <c r="B96" s="241"/>
      <c r="C96" s="241"/>
      <c r="D96" s="16"/>
      <c r="E96" s="1594"/>
      <c r="F96" s="61">
        <v>5</v>
      </c>
      <c r="G96" s="1341"/>
      <c r="H96" s="114"/>
      <c r="I96" s="115"/>
      <c r="J96" s="115"/>
      <c r="K96" s="115"/>
      <c r="L96" s="116"/>
      <c r="M96" s="18">
        <f>IF(A3stdlife="n/a","n/a",IF(M$3&gt;(A3stdlife+$F96),('RFM input'!$L$225*(1+vanilla5)^0.5)-SUM($L96:L96),('RFM input'!$L$225*(1+vanilla5)^0.5)/A3stdlife))</f>
        <v>0.12880639514055531</v>
      </c>
      <c r="N96" s="18">
        <f>IF(A3stdlife="n/a","n/a",IF(N$3&gt;(A3stdlife+$F96),('RFM input'!$L$225*(1+vanilla5)^0.5)-SUM($L96:M96),('RFM input'!$L$225*(1+vanilla5)^0.5)/A3stdlife))</f>
        <v>0.12880639514055531</v>
      </c>
      <c r="O96" s="18">
        <f>IF(A3stdlife="n/a","n/a",IF(O$3&gt;(A3stdlife+$F96),('RFM input'!$L$225*(1+vanilla5)^0.5)-SUM($L96:N96),('RFM input'!$L$225*(1+vanilla5)^0.5)/A3stdlife))</f>
        <v>0.12880639514055531</v>
      </c>
      <c r="P96" s="18">
        <f>IF(A3stdlife="n/a","n/a",IF(P$3&gt;(A3stdlife+$F96),('RFM input'!$L$225*(1+vanilla5)^0.5)-SUM($L96:O96),('RFM input'!$L$225*(1+vanilla5)^0.5)/A3stdlife))</f>
        <v>0.12880639514055531</v>
      </c>
      <c r="Q96" s="18">
        <f>IF(A3stdlife="n/a","n/a",IF(Q$3&gt;(A3stdlife+$F96),('RFM input'!$L$225*(1+vanilla5)^0.5)-SUM($L96:P96),('RFM input'!$L$225*(1+vanilla5)^0.5)/A3stdlife))</f>
        <v>0.12880639514055531</v>
      </c>
      <c r="R96" s="18"/>
      <c r="S96" s="74"/>
      <c r="T96" s="74"/>
      <c r="U96" s="74"/>
      <c r="V96" s="74"/>
      <c r="W96" s="74"/>
      <c r="X96" s="74"/>
      <c r="Y96" s="74"/>
      <c r="Z96" s="74"/>
    </row>
    <row r="97" spans="1:26" ht="12.75" hidden="1" customHeight="1" outlineLevel="2">
      <c r="A97" s="241"/>
      <c r="B97" s="241"/>
      <c r="C97" s="241"/>
      <c r="D97" s="16"/>
      <c r="E97" s="1594"/>
      <c r="F97" s="61">
        <v>6</v>
      </c>
      <c r="G97" s="1341"/>
      <c r="H97" s="114"/>
      <c r="I97" s="115"/>
      <c r="J97" s="115"/>
      <c r="K97" s="115"/>
      <c r="L97" s="115"/>
      <c r="M97" s="116"/>
      <c r="N97" s="18">
        <f>IF(A3stdlife="n/a","n/a",IF(N$3&gt;(A3stdlife+$F97),('RFM input'!$M$225*(1+vanilla6)^0.5)-SUM($M97:M97),('RFM input'!$M$225*(1+vanilla6)^0.5)/A3stdlife))</f>
        <v>0.12096424456999529</v>
      </c>
      <c r="O97" s="18">
        <f>IF(A3stdlife="n/a","n/a",IF(O$3&gt;(A3stdlife+$F97),('RFM input'!$M$225*(1+vanilla6)^0.5)-SUM($M97:N97),('RFM input'!$M$225*(1+vanilla6)^0.5)/A3stdlife))</f>
        <v>0.12096424456999529</v>
      </c>
      <c r="P97" s="18">
        <f>IF(A3stdlife="n/a","n/a",IF(P$3&gt;(A3stdlife+$F97),('RFM input'!$M$225*(1+vanilla6)^0.5)-SUM($M97:O97),('RFM input'!$M$225*(1+vanilla6)^0.5)/A3stdlife))</f>
        <v>0.12096424456999529</v>
      </c>
      <c r="Q97" s="18">
        <f>IF(A3stdlife="n/a","n/a",IF(Q$3&gt;(A3stdlife+$F97),('RFM input'!$M$225*(1+vanilla6)^0.5)-SUM($M97:P97),('RFM input'!$M$225*(1+vanilla6)^0.5)/A3stdlife))</f>
        <v>0.12096424456999529</v>
      </c>
      <c r="R97" s="18"/>
      <c r="S97" s="74"/>
      <c r="T97" s="74"/>
      <c r="U97" s="74"/>
      <c r="V97" s="74"/>
      <c r="W97" s="74"/>
      <c r="X97" s="74"/>
      <c r="Y97" s="74"/>
      <c r="Z97" s="74"/>
    </row>
    <row r="98" spans="1:26" ht="12.75" hidden="1" customHeight="1" outlineLevel="2">
      <c r="A98" s="241"/>
      <c r="B98" s="241"/>
      <c r="C98" s="241"/>
      <c r="D98" s="16"/>
      <c r="E98" s="1594"/>
      <c r="F98" s="61">
        <v>7</v>
      </c>
      <c r="G98" s="1341"/>
      <c r="H98" s="114"/>
      <c r="I98" s="115"/>
      <c r="J98" s="115"/>
      <c r="K98" s="115"/>
      <c r="L98" s="115"/>
      <c r="M98" s="115"/>
      <c r="N98" s="116"/>
      <c r="O98" s="18">
        <f>IF(A3stdlife="n/a","n/a",IF(O$3&gt;(A3stdlife+$F98),('RFM input'!$N$225*(1+vanilla7)^0.5)-SUM($N98:N98),('RFM input'!$N$225*(1+vanilla7)^0.5)/A3stdlife))</f>
        <v>5.889770974145149E-2</v>
      </c>
      <c r="P98" s="18">
        <f>IF(A3stdlife="n/a","n/a",IF(P$3&gt;(A3stdlife+$F98),('RFM input'!$N$225*(1+vanilla7)^0.5)-SUM($N98:O98),('RFM input'!$N$225*(1+vanilla7)^0.5)/A3stdlife))</f>
        <v>5.889770974145149E-2</v>
      </c>
      <c r="Q98" s="18">
        <f>IF(A3stdlife="n/a","n/a",IF(Q$3&gt;(A3stdlife+$F98),('RFM input'!$N$225*(1+vanilla7)^0.5)-SUM($N98:P98),('RFM input'!$N$225*(1+vanilla7)^0.5)/A3stdlife))</f>
        <v>5.889770974145149E-2</v>
      </c>
      <c r="R98" s="18"/>
      <c r="S98" s="74"/>
      <c r="T98" s="74"/>
      <c r="U98" s="74"/>
      <c r="V98" s="74"/>
      <c r="W98" s="74"/>
      <c r="X98" s="74"/>
      <c r="Y98" s="74"/>
      <c r="Z98" s="74"/>
    </row>
    <row r="99" spans="1:26" ht="12.75" hidden="1" customHeight="1" outlineLevel="2">
      <c r="A99" s="241"/>
      <c r="B99" s="241"/>
      <c r="C99" s="241"/>
      <c r="D99" s="16"/>
      <c r="E99" s="1594"/>
      <c r="F99" s="61">
        <v>8</v>
      </c>
      <c r="G99" s="1341"/>
      <c r="H99" s="114"/>
      <c r="I99" s="115"/>
      <c r="J99" s="115"/>
      <c r="K99" s="115"/>
      <c r="L99" s="115"/>
      <c r="M99" s="115"/>
      <c r="N99" s="115"/>
      <c r="O99" s="116"/>
      <c r="P99" s="18">
        <f>IF(A3stdlife="n/a","n/a",IF(P$3&gt;(A3stdlife+$F99),('RFM input'!$O$225*(1+vanilla8)^0.5)-SUM($O99:O99),('RFM input'!$O$225*(1+vanilla8)^0.5)/A3stdlife))</f>
        <v>0</v>
      </c>
      <c r="Q99" s="18">
        <f>IF(A3stdlife="n/a","n/a",IF(Q$3&gt;(A3stdlife+$F99),('RFM input'!$O$225*(1+vanilla8)^0.5)-SUM($O99:P99),('RFM input'!$O$225*(1+vanilla8)^0.5)/A3stdlife))</f>
        <v>0</v>
      </c>
      <c r="R99" s="18"/>
      <c r="S99" s="74"/>
      <c r="T99" s="74"/>
      <c r="U99" s="74"/>
      <c r="V99" s="74"/>
      <c r="W99" s="74"/>
      <c r="X99" s="74"/>
      <c r="Y99" s="74"/>
      <c r="Z99" s="74"/>
    </row>
    <row r="100" spans="1:26" ht="12.75" hidden="1" customHeight="1" outlineLevel="2">
      <c r="A100" s="241"/>
      <c r="B100" s="241"/>
      <c r="C100" s="241"/>
      <c r="D100" s="16"/>
      <c r="E100" s="1594"/>
      <c r="F100" s="61">
        <v>9</v>
      </c>
      <c r="G100" s="1341"/>
      <c r="H100" s="114"/>
      <c r="I100" s="115"/>
      <c r="J100" s="115"/>
      <c r="K100" s="115"/>
      <c r="L100" s="115"/>
      <c r="M100" s="115"/>
      <c r="N100" s="115"/>
      <c r="O100" s="115"/>
      <c r="P100" s="116"/>
      <c r="Q100" s="18">
        <f>IF(A3stdlife="n/a","n/a",IF(Q$3&gt;(A3stdlife+$F100),('RFM input'!$P$225*(1+vanilla9)^0.5)-SUM($P100:P100),('RFM input'!$P$225*(1+vanilla9)^0.5)/A3stdlife))</f>
        <v>0</v>
      </c>
      <c r="R100" s="18"/>
      <c r="S100" s="74"/>
      <c r="T100" s="74"/>
      <c r="U100" s="74"/>
      <c r="V100" s="74"/>
      <c r="W100" s="74"/>
      <c r="X100" s="74"/>
      <c r="Y100" s="74"/>
      <c r="Z100" s="74"/>
    </row>
    <row r="101" spans="1:26" ht="12.75" hidden="1" customHeight="1" outlineLevel="2">
      <c r="A101" s="241"/>
      <c r="B101" s="241"/>
      <c r="C101" s="241"/>
      <c r="D101" s="16"/>
      <c r="E101" s="1594"/>
      <c r="F101" s="62">
        <v>10</v>
      </c>
      <c r="G101" s="1341"/>
      <c r="H101" s="114"/>
      <c r="I101" s="115"/>
      <c r="J101" s="115"/>
      <c r="K101" s="115"/>
      <c r="L101" s="115"/>
      <c r="M101" s="115"/>
      <c r="N101" s="115"/>
      <c r="O101" s="115"/>
      <c r="P101" s="115"/>
      <c r="Q101" s="116"/>
      <c r="R101" s="18"/>
      <c r="S101" s="74"/>
      <c r="T101" s="74"/>
      <c r="U101" s="74"/>
      <c r="V101" s="74"/>
      <c r="W101" s="74"/>
      <c r="X101" s="74"/>
      <c r="Y101" s="74"/>
      <c r="Z101" s="74"/>
    </row>
    <row r="102" spans="1:26" ht="13.35" hidden="1" customHeight="1" outlineLevel="1">
      <c r="A102" s="241"/>
      <c r="B102" s="241"/>
      <c r="C102" s="241"/>
      <c r="D102" s="134" t="str">
        <f>Asset3</f>
        <v>Meters</v>
      </c>
      <c r="E102" s="3"/>
      <c r="F102" s="3"/>
      <c r="G102" s="1341"/>
      <c r="H102" s="1458">
        <f>IF(OR('RFM input'!$E$293='RFM input'!$G$292,'RFM input'!$E$293='RFM input'!$G$293),-INDEX('RFM input'!H$299:H$348,MATCH($D102,'RFM input'!$E$299:$E$348,0),1),-SUM(H90:H101))</f>
        <v>-2.9400217404279529</v>
      </c>
      <c r="I102" s="1458">
        <f>IF(OR('RFM input'!$E$293='RFM input'!$G$292,'RFM input'!$E$293='RFM input'!$G$293),-INDEX('RFM input'!I$299:I$348,MATCH($D102,'RFM input'!$E$299:$E$348,0),1),-SUM(I90:I101))</f>
        <v>-3.1360394911646599</v>
      </c>
      <c r="J102" s="1386">
        <f>IF(COUNT($H102:I102)&gt;='RFM input'!$V$7,
   0,
   IF(OR('RFM input'!$E$293='RFM input'!$G$292,'RFM input'!$E$293='RFM input'!$G$293),
      -INDEX('RFM input'!J$299:J$348,MATCH($D102,'RFM input'!$E$299:$E$348,0),1),
      -SUM(J90:J101)))</f>
        <v>-3.3322446892291335</v>
      </c>
      <c r="K102" s="1386">
        <f>IF(COUNT($H102:J102)&gt;='RFM input'!$V$7,
   0,
   IF(OR('RFM input'!$E$293='RFM input'!$G$292,'RFM input'!$E$293='RFM input'!$G$293),
      -INDEX('RFM input'!K$299:K$348,MATCH($D102,'RFM input'!$E$299:$E$348,0),1),
      -SUM(K90:K101)))</f>
        <v>-3.5599627644888416</v>
      </c>
      <c r="L102" s="1386">
        <f>IF(COUNT($H102:K102)&gt;='RFM input'!$V$7,
   0,
   IF(OR('RFM input'!$E$293='RFM input'!$G$292,'RFM input'!$E$293='RFM input'!$G$293),
      -INDEX('RFM input'!L$299:L$348,MATCH($D102,'RFM input'!$E$299:$E$348,0),1),
      -SUM(L90:L101)))</f>
        <v>-3.6767411116378552</v>
      </c>
      <c r="M102" s="1386">
        <f>IF(COUNT($H102:L102)&gt;='RFM input'!$V$7,
   0,
   IF(OR('RFM input'!$E$293='RFM input'!$G$292,'RFM input'!$E$293='RFM input'!$G$293),
      -INDEX('RFM input'!M$299:M$348,MATCH($D102,'RFM input'!$E$299:$E$348,0),1),
      -SUM(M90:M101)))</f>
        <v>-3.8055475067784106</v>
      </c>
      <c r="N102" s="1386">
        <f>IF(COUNT($H102:M102)&gt;='RFM input'!$V$7,
   0,
   IF(OR('RFM input'!$E$293='RFM input'!$G$292,'RFM input'!$E$293='RFM input'!$G$293),
      -INDEX('RFM input'!N$299:N$348,MATCH($D102,'RFM input'!$E$299:$E$348,0),1),
      -SUM(N90:N101)))</f>
        <v>-3.9265117513484058</v>
      </c>
      <c r="O102" s="1386">
        <f>IF(COUNT($H102:N102)&gt;='RFM input'!$V$7,
   0,
   IF(OR('RFM input'!$E$293='RFM input'!$G$292,'RFM input'!$E$293='RFM input'!$G$293),
      -INDEX('RFM input'!O$299:O$348,MATCH($D102,'RFM input'!$E$299:$E$348,0),1),
      -SUM(O90:O101)))</f>
        <v>0</v>
      </c>
      <c r="P102" s="1386">
        <f>IF(COUNT($H102:O102)&gt;='RFM input'!$V$7,
   0,
   IF(OR('RFM input'!$E$293='RFM input'!$G$292,'RFM input'!$E$293='RFM input'!$G$293),
      -INDEX('RFM input'!P$299:P$348,MATCH($D102,'RFM input'!$E$299:$E$348,0),1),
      -SUM(P90:P101)))</f>
        <v>0</v>
      </c>
      <c r="Q102" s="1386">
        <f>IF(COUNT($H102:P102)&gt;='RFM input'!$V$7,
   0,
   IF(OR('RFM input'!$E$293='RFM input'!$G$292,'RFM input'!$E$293='RFM input'!$G$293),
      -INDEX('RFM input'!Q$299:Q$348,MATCH($D102,'RFM input'!$E$299:$E$348,0),1),
      -SUM(Q90:Q101)))</f>
        <v>0</v>
      </c>
      <c r="R102" s="1382"/>
      <c r="S102" s="76"/>
      <c r="T102" s="76"/>
      <c r="U102" s="76"/>
      <c r="V102" s="76"/>
      <c r="W102" s="76"/>
      <c r="X102" s="76"/>
      <c r="Y102" s="76"/>
      <c r="Z102" s="76"/>
    </row>
    <row r="103" spans="1:26" ht="12.75" hidden="1" customHeight="1" outlineLevel="2">
      <c r="A103" s="241"/>
      <c r="B103" s="241"/>
      <c r="C103" s="135" t="str">
        <f>Asset4</f>
        <v>Telemetry</v>
      </c>
      <c r="D103" s="100"/>
      <c r="E103" s="20" t="s">
        <v>23</v>
      </c>
      <c r="F103" s="19"/>
      <c r="G103" s="1383"/>
      <c r="H103" s="1380">
        <f>IF(H$3&gt;A4remlife,A4value-SUM($G103:G103),IF(A4remlife="N/A","n/a",A4value/A4remlife))</f>
        <v>-0.1635596897726436</v>
      </c>
      <c r="I103" s="1380">
        <f>IF(I$3&gt;A4remlife,A4value-SUM($G103:H103),IF(A4remlife="N/A","n/a",A4value/A4remlife))</f>
        <v>-0.1635596897726436</v>
      </c>
      <c r="J103" s="1380">
        <f>IF(J$3&gt;A4remlife,A4value-SUM($G103:I103),IF(A4remlife="N/A","n/a",A4value/A4remlife))</f>
        <v>-0.1635596897726436</v>
      </c>
      <c r="K103" s="1380">
        <f>IF(K$3&gt;A4remlife,A4value-SUM($G103:J103),IF(A4remlife="N/A","n/a",A4value/A4remlife))</f>
        <v>-8.9665268585157998E-2</v>
      </c>
      <c r="L103" s="1380">
        <f>IF(L$3&gt;A4remlife,A4value-SUM($G103:K103),IF(A4remlife="N/A","n/a",A4value/A4remlife))</f>
        <v>0</v>
      </c>
      <c r="M103" s="1380">
        <f>IF(M$3&gt;A4remlife,A4value-SUM($G103:L103),IF(A4remlife="N/A","n/a",A4value/A4remlife))</f>
        <v>0</v>
      </c>
      <c r="N103" s="1380">
        <f>IF(N$3&gt;A4remlife,A4value-SUM($G103:M103),IF(A4remlife="N/A","n/a",A4value/A4remlife))</f>
        <v>0</v>
      </c>
      <c r="O103" s="1380">
        <f>IF(O$3&gt;A4remlife,A4value-SUM($G103:N103),IF(A4remlife="N/A","n/a",A4value/A4remlife))</f>
        <v>0</v>
      </c>
      <c r="P103" s="1380">
        <f>IF(P$3&gt;A4remlife,A4value-SUM($G103:O103),IF(A4remlife="N/A","n/a",A4value/A4remlife))</f>
        <v>0</v>
      </c>
      <c r="Q103" s="1380">
        <f>IF(Q$3&gt;A4remlife,A4value-SUM($G103:P103),IF(A4remlife="N/A","n/a",A4value/A4remlife))</f>
        <v>0</v>
      </c>
      <c r="R103" s="21"/>
      <c r="S103" s="74"/>
      <c r="T103" s="74"/>
      <c r="U103" s="74"/>
      <c r="V103" s="74"/>
      <c r="W103" s="74"/>
      <c r="X103" s="74"/>
      <c r="Y103" s="74"/>
      <c r="Z103" s="74"/>
    </row>
    <row r="104" spans="1:26" ht="12.75" hidden="1" customHeight="1" outlineLevel="2">
      <c r="A104" s="241"/>
      <c r="B104" s="241"/>
      <c r="C104" s="241"/>
      <c r="D104" s="16"/>
      <c r="E104" s="1593" t="s">
        <v>43</v>
      </c>
      <c r="F104" s="61"/>
      <c r="G104" s="1341"/>
      <c r="H104" s="18"/>
      <c r="I104" s="18"/>
      <c r="J104" s="18"/>
      <c r="K104" s="18"/>
      <c r="L104" s="18"/>
      <c r="M104" s="1384"/>
      <c r="N104" s="1385"/>
      <c r="O104" s="18"/>
      <c r="P104" s="18"/>
      <c r="Q104" s="18"/>
      <c r="R104" s="18"/>
      <c r="S104" s="74"/>
      <c r="T104" s="74"/>
      <c r="U104" s="74"/>
      <c r="V104" s="74"/>
      <c r="W104" s="74"/>
      <c r="X104" s="74"/>
      <c r="Y104" s="74"/>
      <c r="Z104" s="74"/>
    </row>
    <row r="105" spans="1:26" ht="12.75" hidden="1" customHeight="1" outlineLevel="2">
      <c r="A105" s="241"/>
      <c r="B105" s="241"/>
      <c r="C105" s="241"/>
      <c r="D105" s="16"/>
      <c r="E105" s="1594"/>
      <c r="F105" s="61">
        <v>1</v>
      </c>
      <c r="G105" s="1341"/>
      <c r="H105" s="1381"/>
      <c r="I105" s="18">
        <f>IF(A4stdlife="n/a","n/a",IF(I$3&gt;(A4stdlife+$F105),('RFM input'!$H$226*(1+vanilla1)^0.5)-SUM($H105:H105),('RFM input'!$H$226*(1+vanilla1)^0.5)/A4stdlife))</f>
        <v>1.9763341617532629E-2</v>
      </c>
      <c r="J105" s="18">
        <f>IF(A4stdlife="n/a","n/a",IF(J$3&gt;(A4stdlife+$F105),('RFM input'!$H$226*(1+vanilla1)^0.5)-SUM($H105:I105),('RFM input'!$H$226*(1+vanilla1)^0.5)/A4stdlife))</f>
        <v>1.9763341617532629E-2</v>
      </c>
      <c r="K105" s="18">
        <f>IF(A4stdlife="n/a","n/a",IF(K$3&gt;(A4stdlife+$F105),('RFM input'!$H$226*(1+vanilla1)^0.5)-SUM($H105:J105),('RFM input'!$H$226*(1+vanilla1)^0.5)/A4stdlife))</f>
        <v>1.9763341617532629E-2</v>
      </c>
      <c r="L105" s="18">
        <f>IF(A4stdlife="n/a","n/a",IF(L$3&gt;(A4stdlife+$F105),('RFM input'!$H$226*(1+vanilla1)^0.5)-SUM($H105:K105),('RFM input'!$H$226*(1+vanilla1)^0.5)/A4stdlife))</f>
        <v>1.9763341617532629E-2</v>
      </c>
      <c r="M105" s="18">
        <f>IF(A4stdlife="n/a","n/a",IF(M$3&gt;(A4stdlife+$F105),('RFM input'!$H$226*(1+vanilla1)^0.5)-SUM($H105:L105),('RFM input'!$H$226*(1+vanilla1)^0.5)/A4stdlife))</f>
        <v>1.9763341617532629E-2</v>
      </c>
      <c r="N105" s="18">
        <f>IF(A4stdlife="n/a","n/a",IF(N$3&gt;(A4stdlife+$F105),('RFM input'!$H$226*(1+vanilla1)^0.5)-SUM($H105:M105),('RFM input'!$H$226*(1+vanilla1)^0.5)/A4stdlife))</f>
        <v>1.9763341617532629E-2</v>
      </c>
      <c r="O105" s="18">
        <f>IF(A4stdlife="n/a","n/a",IF(O$3&gt;(A4stdlife+$F105),('RFM input'!$H$226*(1+vanilla1)^0.5)-SUM($H105:N105),('RFM input'!$H$226*(1+vanilla1)^0.5)/A4stdlife))</f>
        <v>1.9763341617532629E-2</v>
      </c>
      <c r="P105" s="18">
        <f>IF(A4stdlife="n/a","n/a",IF(P$3&gt;(A4stdlife+$F105),('RFM input'!$H$226*(1+vanilla1)^0.5)-SUM($H105:O105),('RFM input'!$H$226*(1+vanilla1)^0.5)/A4stdlife))</f>
        <v>1.9763341617532629E-2</v>
      </c>
      <c r="Q105" s="18">
        <f>IF(A4stdlife="n/a","n/a",IF(Q$3&gt;(A4stdlife+$F105),('RFM input'!$H$226*(1+vanilla1)^0.5)-SUM($H105:P105),('RFM input'!$H$226*(1+vanilla1)^0.5)/A4stdlife))</f>
        <v>1.9763341617532629E-2</v>
      </c>
      <c r="R105" s="18"/>
      <c r="S105" s="74"/>
      <c r="T105" s="74"/>
      <c r="U105" s="74"/>
      <c r="V105" s="74"/>
      <c r="W105" s="74"/>
      <c r="X105" s="74"/>
      <c r="Y105" s="74"/>
      <c r="Z105" s="74"/>
    </row>
    <row r="106" spans="1:26" ht="12.75" hidden="1" customHeight="1" outlineLevel="2">
      <c r="A106" s="241"/>
      <c r="B106" s="241"/>
      <c r="C106" s="241"/>
      <c r="D106" s="16"/>
      <c r="E106" s="1594"/>
      <c r="F106" s="61">
        <v>2</v>
      </c>
      <c r="G106" s="1341"/>
      <c r="H106" s="114"/>
      <c r="I106" s="116"/>
      <c r="J106" s="18">
        <f>IF(A4stdlife="n/a","n/a",IF(J$3&gt;(A4stdlife+$F106),('RFM input'!$I$226*(1+vanilla2)^0.5)-SUM($I106:I106),('RFM input'!$I$226*(1+vanilla2)^0.5)/A4stdlife))</f>
        <v>8.5813145019610383E-3</v>
      </c>
      <c r="K106" s="18">
        <f>IF(A4stdlife="n/a","n/a",IF(K$3&gt;(A4stdlife+$F106),('RFM input'!$I$226*(1+vanilla2)^0.5)-SUM($I106:J106),('RFM input'!$I$226*(1+vanilla2)^0.5)/A4stdlife))</f>
        <v>8.5813145019610383E-3</v>
      </c>
      <c r="L106" s="18">
        <f>IF(A4stdlife="n/a","n/a",IF(L$3&gt;(A4stdlife+$F106),('RFM input'!$I$226*(1+vanilla2)^0.5)-SUM($I106:K106),('RFM input'!$I$226*(1+vanilla2)^0.5)/A4stdlife))</f>
        <v>8.5813145019610383E-3</v>
      </c>
      <c r="M106" s="18">
        <f>IF(A4stdlife="n/a","n/a",IF(M$3&gt;(A4stdlife+$F106),('RFM input'!$I$226*(1+vanilla2)^0.5)-SUM($I106:L106),('RFM input'!$I$226*(1+vanilla2)^0.5)/A4stdlife))</f>
        <v>8.5813145019610383E-3</v>
      </c>
      <c r="N106" s="18">
        <f>IF(A4stdlife="n/a","n/a",IF(N$3&gt;(A4stdlife+$F106),('RFM input'!$I$226*(1+vanilla2)^0.5)-SUM($I106:M106),('RFM input'!$I$226*(1+vanilla2)^0.5)/A4stdlife))</f>
        <v>8.5813145019610383E-3</v>
      </c>
      <c r="O106" s="18">
        <f>IF(A4stdlife="n/a","n/a",IF(O$3&gt;(A4stdlife+$F106),('RFM input'!$I$226*(1+vanilla2)^0.5)-SUM($I106:N106),('RFM input'!$I$226*(1+vanilla2)^0.5)/A4stdlife))</f>
        <v>8.5813145019610383E-3</v>
      </c>
      <c r="P106" s="18">
        <f>IF(A4stdlife="n/a","n/a",IF(P$3&gt;(A4stdlife+$F106),('RFM input'!$I$226*(1+vanilla2)^0.5)-SUM($I106:O106),('RFM input'!$I$226*(1+vanilla2)^0.5)/A4stdlife))</f>
        <v>8.5813145019610383E-3</v>
      </c>
      <c r="Q106" s="18">
        <f>IF(A4stdlife="n/a","n/a",IF(Q$3&gt;(A4stdlife+$F106),('RFM input'!$I$226*(1+vanilla2)^0.5)-SUM($I106:P106),('RFM input'!$I$226*(1+vanilla2)^0.5)/A4stdlife))</f>
        <v>8.5813145019610383E-3</v>
      </c>
      <c r="R106" s="18"/>
      <c r="S106" s="74"/>
      <c r="T106" s="74"/>
      <c r="U106" s="74"/>
      <c r="V106" s="74"/>
      <c r="W106" s="74"/>
      <c r="X106" s="74"/>
      <c r="Y106" s="74"/>
      <c r="Z106" s="74"/>
    </row>
    <row r="107" spans="1:26" ht="12.75" hidden="1" customHeight="1" outlineLevel="2">
      <c r="A107" s="241"/>
      <c r="B107" s="241"/>
      <c r="C107" s="241"/>
      <c r="D107" s="16"/>
      <c r="E107" s="1594"/>
      <c r="F107" s="61">
        <v>3</v>
      </c>
      <c r="G107" s="1341"/>
      <c r="H107" s="114"/>
      <c r="I107" s="115"/>
      <c r="J107" s="116"/>
      <c r="K107" s="18">
        <f>IF(A4stdlife="n/a","n/a",IF(K$3&gt;(A4stdlife+$F107),('RFM input'!$J$226*(1+vanilla3)^0.5)-SUM($J107:J107),('RFM input'!$J$226*(1+vanilla3)^0.5)/A4stdlife))</f>
        <v>2.4197799760610861E-3</v>
      </c>
      <c r="L107" s="18">
        <f>IF(A4stdlife="n/a","n/a",IF(L$3&gt;(A4stdlife+$F107),('RFM input'!$J$226*(1+vanilla3)^0.5)-SUM($J107:K107),('RFM input'!$J$226*(1+vanilla3)^0.5)/A4stdlife))</f>
        <v>2.4197799760610861E-3</v>
      </c>
      <c r="M107" s="18">
        <f>IF(A4stdlife="n/a","n/a",IF(M$3&gt;(A4stdlife+$F107),('RFM input'!$J$226*(1+vanilla3)^0.5)-SUM($J107:L107),('RFM input'!$J$226*(1+vanilla3)^0.5)/A4stdlife))</f>
        <v>2.4197799760610861E-3</v>
      </c>
      <c r="N107" s="18">
        <f>IF(A4stdlife="n/a","n/a",IF(N$3&gt;(A4stdlife+$F107),('RFM input'!$J$226*(1+vanilla3)^0.5)-SUM($J107:M107),('RFM input'!$J$226*(1+vanilla3)^0.5)/A4stdlife))</f>
        <v>2.4197799760610861E-3</v>
      </c>
      <c r="O107" s="18">
        <f>IF(A4stdlife="n/a","n/a",IF(O$3&gt;(A4stdlife+$F107),('RFM input'!$J$226*(1+vanilla3)^0.5)-SUM($J107:N107),('RFM input'!$J$226*(1+vanilla3)^0.5)/A4stdlife))</f>
        <v>2.4197799760610861E-3</v>
      </c>
      <c r="P107" s="18">
        <f>IF(A4stdlife="n/a","n/a",IF(P$3&gt;(A4stdlife+$F107),('RFM input'!$J$226*(1+vanilla3)^0.5)-SUM($J107:O107),('RFM input'!$J$226*(1+vanilla3)^0.5)/A4stdlife))</f>
        <v>2.4197799760610861E-3</v>
      </c>
      <c r="Q107" s="18">
        <f>IF(A4stdlife="n/a","n/a",IF(Q$3&gt;(A4stdlife+$F107),('RFM input'!$J$226*(1+vanilla3)^0.5)-SUM($J107:P107),('RFM input'!$J$226*(1+vanilla3)^0.5)/A4stdlife))</f>
        <v>2.4197799760610861E-3</v>
      </c>
      <c r="R107" s="18"/>
      <c r="S107" s="74"/>
      <c r="T107" s="74"/>
      <c r="U107" s="74"/>
      <c r="V107" s="74"/>
      <c r="W107" s="74"/>
      <c r="X107" s="74"/>
      <c r="Y107" s="74"/>
      <c r="Z107" s="74"/>
    </row>
    <row r="108" spans="1:26" ht="12.75" hidden="1" customHeight="1" outlineLevel="2">
      <c r="A108" s="241"/>
      <c r="B108" s="241"/>
      <c r="C108" s="241"/>
      <c r="D108" s="16"/>
      <c r="E108" s="1594"/>
      <c r="F108" s="61">
        <v>4</v>
      </c>
      <c r="G108" s="1341"/>
      <c r="H108" s="114"/>
      <c r="I108" s="115"/>
      <c r="J108" s="115"/>
      <c r="K108" s="116"/>
      <c r="L108" s="18">
        <f>IF(A4stdlife="n/a","n/a",IF(L$3&gt;(A4stdlife+$F108),('RFM input'!$K$226*(1+vanilla4)^0.5)-SUM($K108:K108),('RFM input'!$K$226*(1+vanilla4)^0.5)/A4stdlife))</f>
        <v>5.0674256523931E-3</v>
      </c>
      <c r="M108" s="18">
        <f>IF(A4stdlife="n/a","n/a",IF(M$3&gt;(A4stdlife+$F108),('RFM input'!$K$226*(1+vanilla4)^0.5)-SUM($K108:L108),('RFM input'!$K$226*(1+vanilla4)^0.5)/A4stdlife))</f>
        <v>5.0674256523931E-3</v>
      </c>
      <c r="N108" s="18">
        <f>IF(A4stdlife="n/a","n/a",IF(N$3&gt;(A4stdlife+$F108),('RFM input'!$K$226*(1+vanilla4)^0.5)-SUM($K108:M108),('RFM input'!$K$226*(1+vanilla4)^0.5)/A4stdlife))</f>
        <v>5.0674256523931E-3</v>
      </c>
      <c r="O108" s="18">
        <f>IF(A4stdlife="n/a","n/a",IF(O$3&gt;(A4stdlife+$F108),('RFM input'!$K$226*(1+vanilla4)^0.5)-SUM($K108:N108),('RFM input'!$K$226*(1+vanilla4)^0.5)/A4stdlife))</f>
        <v>5.0674256523931E-3</v>
      </c>
      <c r="P108" s="18">
        <f>IF(A4stdlife="n/a","n/a",IF(P$3&gt;(A4stdlife+$F108),('RFM input'!$K$226*(1+vanilla4)^0.5)-SUM($K108:O108),('RFM input'!$K$226*(1+vanilla4)^0.5)/A4stdlife))</f>
        <v>5.0674256523931E-3</v>
      </c>
      <c r="Q108" s="18">
        <f>IF(A4stdlife="n/a","n/a",IF(Q$3&gt;(A4stdlife+$F108),('RFM input'!$K$226*(1+vanilla4)^0.5)-SUM($K108:P108),('RFM input'!$K$226*(1+vanilla4)^0.5)/A4stdlife))</f>
        <v>5.0674256523931E-3</v>
      </c>
      <c r="R108" s="18"/>
      <c r="S108" s="74"/>
      <c r="T108" s="74"/>
      <c r="U108" s="74"/>
      <c r="V108" s="74"/>
      <c r="W108" s="74"/>
      <c r="X108" s="74"/>
      <c r="Y108" s="74"/>
      <c r="Z108" s="74"/>
    </row>
    <row r="109" spans="1:26" ht="12.75" hidden="1" customHeight="1" outlineLevel="2">
      <c r="A109" s="241"/>
      <c r="B109" s="241"/>
      <c r="C109" s="241"/>
      <c r="D109" s="16"/>
      <c r="E109" s="1594"/>
      <c r="F109" s="61">
        <v>5</v>
      </c>
      <c r="G109" s="1341"/>
      <c r="H109" s="114"/>
      <c r="I109" s="115"/>
      <c r="J109" s="115"/>
      <c r="K109" s="115"/>
      <c r="L109" s="116"/>
      <c r="M109" s="18">
        <f>IF(A4stdlife="n/a","n/a",IF(M$3&gt;(A4stdlife+$F109),('RFM input'!$L$226*(1+vanilla5)^0.5)-SUM($L109:L109),('RFM input'!$L$226*(1+vanilla5)^0.5)/A4stdlife))</f>
        <v>3.072935469488048E-3</v>
      </c>
      <c r="N109" s="18">
        <f>IF(A4stdlife="n/a","n/a",IF(N$3&gt;(A4stdlife+$F109),('RFM input'!$L$226*(1+vanilla5)^0.5)-SUM($L109:M109),('RFM input'!$L$226*(1+vanilla5)^0.5)/A4stdlife))</f>
        <v>3.072935469488048E-3</v>
      </c>
      <c r="O109" s="18">
        <f>IF(A4stdlife="n/a","n/a",IF(O$3&gt;(A4stdlife+$F109),('RFM input'!$L$226*(1+vanilla5)^0.5)-SUM($L109:N109),('RFM input'!$L$226*(1+vanilla5)^0.5)/A4stdlife))</f>
        <v>3.072935469488048E-3</v>
      </c>
      <c r="P109" s="18">
        <f>IF(A4stdlife="n/a","n/a",IF(P$3&gt;(A4stdlife+$F109),('RFM input'!$L$226*(1+vanilla5)^0.5)-SUM($L109:O109),('RFM input'!$L$226*(1+vanilla5)^0.5)/A4stdlife))</f>
        <v>3.072935469488048E-3</v>
      </c>
      <c r="Q109" s="18">
        <f>IF(A4stdlife="n/a","n/a",IF(Q$3&gt;(A4stdlife+$F109),('RFM input'!$L$226*(1+vanilla5)^0.5)-SUM($L109:P109),('RFM input'!$L$226*(1+vanilla5)^0.5)/A4stdlife))</f>
        <v>3.072935469488048E-3</v>
      </c>
      <c r="R109" s="18"/>
      <c r="S109" s="74"/>
      <c r="T109" s="74"/>
      <c r="U109" s="74"/>
      <c r="V109" s="74"/>
      <c r="W109" s="74"/>
      <c r="X109" s="74"/>
      <c r="Y109" s="74"/>
      <c r="Z109" s="74"/>
    </row>
    <row r="110" spans="1:26" ht="12.75" hidden="1" customHeight="1" outlineLevel="2">
      <c r="A110" s="241"/>
      <c r="B110" s="241"/>
      <c r="C110" s="241"/>
      <c r="D110" s="16"/>
      <c r="E110" s="1594"/>
      <c r="F110" s="61">
        <v>6</v>
      </c>
      <c r="G110" s="1341"/>
      <c r="H110" s="114"/>
      <c r="I110" s="115"/>
      <c r="J110" s="115"/>
      <c r="K110" s="115"/>
      <c r="L110" s="115"/>
      <c r="M110" s="116"/>
      <c r="N110" s="18">
        <f>IF(A4stdlife="n/a","n/a",IF(N$3&gt;(A4stdlife+$F110),('RFM input'!$M$226*(1+vanilla6)^0.5)-SUM($M110:M110),('RFM input'!$M$226*(1+vanilla6)^0.5)/A4stdlife))</f>
        <v>2.8368625415290298E-3</v>
      </c>
      <c r="O110" s="18">
        <f>IF(A4stdlife="n/a","n/a",IF(O$3&gt;(A4stdlife+$F110),('RFM input'!$M$226*(1+vanilla6)^0.5)-SUM($M110:N110),('RFM input'!$M$226*(1+vanilla6)^0.5)/A4stdlife))</f>
        <v>2.8368625415290298E-3</v>
      </c>
      <c r="P110" s="18">
        <f>IF(A4stdlife="n/a","n/a",IF(P$3&gt;(A4stdlife+$F110),('RFM input'!$M$226*(1+vanilla6)^0.5)-SUM($M110:O110),('RFM input'!$M$226*(1+vanilla6)^0.5)/A4stdlife))</f>
        <v>2.8368625415290298E-3</v>
      </c>
      <c r="Q110" s="18">
        <f>IF(A4stdlife="n/a","n/a",IF(Q$3&gt;(A4stdlife+$F110),('RFM input'!$M$226*(1+vanilla6)^0.5)-SUM($M110:P110),('RFM input'!$M$226*(1+vanilla6)^0.5)/A4stdlife))</f>
        <v>2.8368625415290298E-3</v>
      </c>
      <c r="R110" s="18"/>
      <c r="S110" s="74"/>
      <c r="T110" s="74"/>
      <c r="U110" s="74"/>
      <c r="V110" s="74"/>
      <c r="W110" s="74"/>
      <c r="X110" s="74"/>
      <c r="Y110" s="74"/>
      <c r="Z110" s="74"/>
    </row>
    <row r="111" spans="1:26" ht="12.75" hidden="1" customHeight="1" outlineLevel="2">
      <c r="A111" s="241"/>
      <c r="B111" s="241"/>
      <c r="C111" s="241"/>
      <c r="D111" s="16"/>
      <c r="E111" s="1594"/>
      <c r="F111" s="61">
        <v>7</v>
      </c>
      <c r="G111" s="1341"/>
      <c r="H111" s="114"/>
      <c r="I111" s="115"/>
      <c r="J111" s="115"/>
      <c r="K111" s="115"/>
      <c r="L111" s="115"/>
      <c r="M111" s="115"/>
      <c r="N111" s="116"/>
      <c r="O111" s="18">
        <f>IF(A4stdlife="n/a","n/a",IF(O$3&gt;(A4stdlife+$F111),('RFM input'!$N$226*(1+vanilla7)^0.5)-SUM($N111:N111),('RFM input'!$N$226*(1+vanilla7)^0.5)/A4stdlife))</f>
        <v>1.7546016634419717E-3</v>
      </c>
      <c r="P111" s="18">
        <f>IF(A4stdlife="n/a","n/a",IF(P$3&gt;(A4stdlife+$F111),('RFM input'!$N$226*(1+vanilla7)^0.5)-SUM($N111:O111),('RFM input'!$N$226*(1+vanilla7)^0.5)/A4stdlife))</f>
        <v>1.7546016634419717E-3</v>
      </c>
      <c r="Q111" s="18">
        <f>IF(A4stdlife="n/a","n/a",IF(Q$3&gt;(A4stdlife+$F111),('RFM input'!$N$226*(1+vanilla7)^0.5)-SUM($N111:P111),('RFM input'!$N$226*(1+vanilla7)^0.5)/A4stdlife))</f>
        <v>1.7546016634419717E-3</v>
      </c>
      <c r="R111" s="18"/>
      <c r="S111" s="74"/>
      <c r="T111" s="74"/>
      <c r="U111" s="74"/>
      <c r="V111" s="74"/>
      <c r="W111" s="74"/>
      <c r="X111" s="74"/>
      <c r="Y111" s="74"/>
      <c r="Z111" s="74"/>
    </row>
    <row r="112" spans="1:26" ht="12.75" hidden="1" customHeight="1" outlineLevel="2">
      <c r="A112" s="241"/>
      <c r="B112" s="241"/>
      <c r="C112" s="241"/>
      <c r="D112" s="16"/>
      <c r="E112" s="1594"/>
      <c r="F112" s="61">
        <v>8</v>
      </c>
      <c r="G112" s="1341"/>
      <c r="H112" s="114"/>
      <c r="I112" s="115"/>
      <c r="J112" s="115"/>
      <c r="K112" s="115"/>
      <c r="L112" s="115"/>
      <c r="M112" s="115"/>
      <c r="N112" s="115"/>
      <c r="O112" s="116"/>
      <c r="P112" s="18">
        <f>IF(A4stdlife="n/a","n/a",IF(P$3&gt;(A4stdlife+$F112),('RFM input'!$O$226*(1+vanilla8)^0.5)-SUM($O112:O112),('RFM input'!$O$226*(1+vanilla8)^0.5)/A4stdlife))</f>
        <v>0</v>
      </c>
      <c r="Q112" s="18">
        <f>IF(A4stdlife="n/a","n/a",IF(Q$3&gt;(A4stdlife+$F112),('RFM input'!$O$226*(1+vanilla8)^0.5)-SUM($O112:P112),('RFM input'!$O$226*(1+vanilla8)^0.5)/A4stdlife))</f>
        <v>0</v>
      </c>
      <c r="R112" s="18"/>
      <c r="S112" s="74"/>
      <c r="T112" s="74"/>
      <c r="U112" s="74"/>
      <c r="V112" s="74"/>
      <c r="W112" s="74"/>
      <c r="X112" s="74"/>
      <c r="Y112" s="74"/>
      <c r="Z112" s="74"/>
    </row>
    <row r="113" spans="1:26" ht="12.75" hidden="1" customHeight="1" outlineLevel="2">
      <c r="A113" s="241"/>
      <c r="B113" s="241"/>
      <c r="C113" s="241"/>
      <c r="D113" s="16"/>
      <c r="E113" s="1594"/>
      <c r="F113" s="61">
        <v>9</v>
      </c>
      <c r="G113" s="1341"/>
      <c r="H113" s="114"/>
      <c r="I113" s="115"/>
      <c r="J113" s="115"/>
      <c r="K113" s="115"/>
      <c r="L113" s="115"/>
      <c r="M113" s="115"/>
      <c r="N113" s="115"/>
      <c r="O113" s="115"/>
      <c r="P113" s="116"/>
      <c r="Q113" s="18">
        <f>IF(A4stdlife="n/a","n/a",IF(Q$3&gt;(A4stdlife+$F113),('RFM input'!$P$226*(1+vanilla9)^0.5)-SUM($P113:P113),('RFM input'!$P$226*(1+vanilla9)^0.5)/A4stdlife))</f>
        <v>0</v>
      </c>
      <c r="R113" s="18"/>
      <c r="S113" s="74"/>
      <c r="T113" s="74"/>
      <c r="U113" s="74"/>
      <c r="V113" s="74"/>
      <c r="W113" s="74"/>
      <c r="X113" s="74"/>
      <c r="Y113" s="74"/>
      <c r="Z113" s="74"/>
    </row>
    <row r="114" spans="1:26" ht="12.75" hidden="1" customHeight="1" outlineLevel="2">
      <c r="A114" s="241"/>
      <c r="B114" s="241"/>
      <c r="C114" s="241"/>
      <c r="D114" s="16"/>
      <c r="E114" s="1594"/>
      <c r="F114" s="62">
        <v>10</v>
      </c>
      <c r="G114" s="1341"/>
      <c r="H114" s="114"/>
      <c r="I114" s="115"/>
      <c r="J114" s="115"/>
      <c r="K114" s="115"/>
      <c r="L114" s="115"/>
      <c r="M114" s="115"/>
      <c r="N114" s="115"/>
      <c r="O114" s="115"/>
      <c r="P114" s="115"/>
      <c r="Q114" s="116"/>
      <c r="R114" s="18"/>
      <c r="S114" s="74"/>
      <c r="T114" s="74"/>
      <c r="U114" s="74"/>
      <c r="V114" s="74"/>
      <c r="W114" s="74"/>
      <c r="X114" s="74"/>
      <c r="Y114" s="74"/>
      <c r="Z114" s="74"/>
    </row>
    <row r="115" spans="1:26" ht="13.35" hidden="1" customHeight="1" outlineLevel="1">
      <c r="A115" s="241"/>
      <c r="B115" s="241"/>
      <c r="C115" s="241"/>
      <c r="D115" s="134" t="str">
        <f>Asset4</f>
        <v>Telemetry</v>
      </c>
      <c r="E115" s="3"/>
      <c r="F115" s="3"/>
      <c r="G115" s="1341"/>
      <c r="H115" s="1458">
        <f>IF(OR('RFM input'!$E$293='RFM input'!$G$292,'RFM input'!$E$293='RFM input'!$G$293),-INDEX('RFM input'!H$299:H$348,MATCH($D115,'RFM input'!$E$299:$E$348,0),1),-SUM(H103:H114))</f>
        <v>0.1635596897726436</v>
      </c>
      <c r="I115" s="1458">
        <f>IF(OR('RFM input'!$E$293='RFM input'!$G$292,'RFM input'!$E$293='RFM input'!$G$293),-INDEX('RFM input'!I$299:I$348,MATCH($D115,'RFM input'!$E$299:$E$348,0),1),-SUM(I103:I114))</f>
        <v>0.14379634815511097</v>
      </c>
      <c r="J115" s="1386">
        <f>IF(COUNT($H115:I115)&gt;='RFM input'!$V$7,
   0,
   IF(OR('RFM input'!$E$293='RFM input'!$G$292,'RFM input'!$E$293='RFM input'!$G$293),
      -INDEX('RFM input'!J$299:J$348,MATCH($D115,'RFM input'!$E$299:$E$348,0),1),
      -SUM(J103:J114)))</f>
        <v>0.13521503365314994</v>
      </c>
      <c r="K115" s="1386">
        <f>IF(COUNT($H115:J115)&gt;='RFM input'!$V$7,
   0,
   IF(OR('RFM input'!$E$293='RFM input'!$G$292,'RFM input'!$E$293='RFM input'!$G$293),
      -INDEX('RFM input'!K$299:K$348,MATCH($D115,'RFM input'!$E$299:$E$348,0),1),
      -SUM(K103:K114)))</f>
        <v>5.8900832489603254E-2</v>
      </c>
      <c r="L115" s="1386">
        <f>IF(COUNT($H115:K115)&gt;='RFM input'!$V$7,
   0,
   IF(OR('RFM input'!$E$293='RFM input'!$G$292,'RFM input'!$E$293='RFM input'!$G$293),
      -INDEX('RFM input'!L$299:L$348,MATCH($D115,'RFM input'!$E$299:$E$348,0),1),
      -SUM(L103:L114)))</f>
        <v>-3.5831861747947856E-2</v>
      </c>
      <c r="M115" s="1386">
        <f>IF(COUNT($H115:L115)&gt;='RFM input'!$V$7,
   0,
   IF(OR('RFM input'!$E$293='RFM input'!$G$292,'RFM input'!$E$293='RFM input'!$G$293),
      -INDEX('RFM input'!M$299:M$348,MATCH($D115,'RFM input'!$E$299:$E$348,0),1),
      -SUM(M103:M114)))</f>
        <v>-3.8904797217435907E-2</v>
      </c>
      <c r="N115" s="1386">
        <f>IF(COUNT($H115:M115)&gt;='RFM input'!$V$7,
   0,
   IF(OR('RFM input'!$E$293='RFM input'!$G$292,'RFM input'!$E$293='RFM input'!$G$293),
      -INDEX('RFM input'!N$299:N$348,MATCH($D115,'RFM input'!$E$299:$E$348,0),1),
      -SUM(N103:N114)))</f>
        <v>-4.174165975896494E-2</v>
      </c>
      <c r="O115" s="1386">
        <f>IF(COUNT($H115:N115)&gt;='RFM input'!$V$7,
   0,
   IF(OR('RFM input'!$E$293='RFM input'!$G$292,'RFM input'!$E$293='RFM input'!$G$293),
      -INDEX('RFM input'!O$299:O$348,MATCH($D115,'RFM input'!$E$299:$E$348,0),1),
      -SUM(O103:O114)))</f>
        <v>0</v>
      </c>
      <c r="P115" s="1386">
        <f>IF(COUNT($H115:O115)&gt;='RFM input'!$V$7,
   0,
   IF(OR('RFM input'!$E$293='RFM input'!$G$292,'RFM input'!$E$293='RFM input'!$G$293),
      -INDEX('RFM input'!P$299:P$348,MATCH($D115,'RFM input'!$E$299:$E$348,0),1),
      -SUM(P103:P114)))</f>
        <v>0</v>
      </c>
      <c r="Q115" s="1386">
        <f>IF(COUNT($H115:P115)&gt;='RFM input'!$V$7,
   0,
   IF(OR('RFM input'!$E$293='RFM input'!$G$292,'RFM input'!$E$293='RFM input'!$G$293),
      -INDEX('RFM input'!Q$299:Q$348,MATCH($D115,'RFM input'!$E$299:$E$348,0),1),
      -SUM(Q103:Q114)))</f>
        <v>0</v>
      </c>
      <c r="R115" s="1382"/>
      <c r="S115" s="76"/>
      <c r="T115" s="76"/>
      <c r="U115" s="76"/>
      <c r="V115" s="76"/>
      <c r="W115" s="76"/>
      <c r="X115" s="76"/>
      <c r="Y115" s="76"/>
      <c r="Z115" s="76"/>
    </row>
    <row r="116" spans="1:26" ht="12.75" hidden="1" customHeight="1" outlineLevel="2">
      <c r="A116" s="241"/>
      <c r="B116" s="241"/>
      <c r="C116" s="135" t="str">
        <f>Asset5</f>
        <v>IT System</v>
      </c>
      <c r="D116" s="100"/>
      <c r="E116" s="20" t="s">
        <v>23</v>
      </c>
      <c r="F116" s="19"/>
      <c r="G116" s="1383"/>
      <c r="H116" s="1380">
        <f>IF(H$3&gt;A5remlife,A5value-SUM($G116:G116),IF(A5remlife="N/A","n/a",A5value/A5remlife))</f>
        <v>0.71026498862602494</v>
      </c>
      <c r="I116" s="1380">
        <f>IF(I$3&gt;A5remlife,A5value-SUM($G116:H116),IF(A5remlife="N/A","n/a",A5value/A5remlife))</f>
        <v>0.71026498862602494</v>
      </c>
      <c r="J116" s="1380">
        <f>IF(J$3&gt;A5remlife,A5value-SUM($G116:I116),IF(A5remlife="N/A","n/a",A5value/A5remlife))</f>
        <v>0.71026498862602494</v>
      </c>
      <c r="K116" s="1380">
        <f>IF(K$3&gt;A5remlife,A5value-SUM($G116:J116),IF(A5remlife="N/A","n/a",A5value/A5remlife))</f>
        <v>0.71026498862602494</v>
      </c>
      <c r="L116" s="1380">
        <f>IF(L$3&gt;A5remlife,A5value-SUM($G116:K116),IF(A5remlife="N/A","n/a",A5value/A5remlife))</f>
        <v>0.71026498862602494</v>
      </c>
      <c r="M116" s="1380">
        <f>IF(M$3&gt;A5remlife,A5value-SUM($G116:L116),IF(A5remlife="N/A","n/a",A5value/A5remlife))</f>
        <v>0.71026498862602494</v>
      </c>
      <c r="N116" s="1380">
        <f>IF(N$3&gt;A5remlife,A5value-SUM($G116:M116),IF(A5remlife="N/A","n/a",A5value/A5remlife))</f>
        <v>0.71026498862602494</v>
      </c>
      <c r="O116" s="1380">
        <f>IF(O$3&gt;A5remlife,A5value-SUM($G116:N116),IF(A5remlife="N/A","n/a",A5value/A5remlife))</f>
        <v>0.71026498862602494</v>
      </c>
      <c r="P116" s="1380">
        <f>IF(P$3&gt;A5remlife,A5value-SUM($G116:O116),IF(A5remlife="N/A","n/a",A5value/A5remlife))</f>
        <v>0.62366035235630868</v>
      </c>
      <c r="Q116" s="1380">
        <f>IF(Q$3&gt;A5remlife,A5value-SUM($G116:P116),IF(A5remlife="N/A","n/a",A5value/A5remlife))</f>
        <v>0</v>
      </c>
      <c r="R116" s="1380"/>
      <c r="S116" s="74"/>
      <c r="T116" s="74"/>
      <c r="U116" s="74"/>
      <c r="V116" s="74"/>
      <c r="W116" s="74"/>
      <c r="X116" s="74"/>
      <c r="Y116" s="74"/>
      <c r="Z116" s="74"/>
    </row>
    <row r="117" spans="1:26" ht="12.75" hidden="1" customHeight="1" outlineLevel="2">
      <c r="A117" s="241"/>
      <c r="B117" s="241"/>
      <c r="C117" s="241"/>
      <c r="D117" s="16"/>
      <c r="E117" s="1593" t="s">
        <v>43</v>
      </c>
      <c r="F117" s="61"/>
      <c r="G117" s="1341"/>
      <c r="H117" s="18"/>
      <c r="I117" s="18"/>
      <c r="J117" s="18"/>
      <c r="K117" s="18"/>
      <c r="L117" s="18"/>
      <c r="M117" s="1384"/>
      <c r="N117" s="1385"/>
      <c r="O117" s="18"/>
      <c r="P117" s="18"/>
      <c r="Q117" s="18"/>
      <c r="R117" s="18"/>
      <c r="S117" s="74"/>
      <c r="T117" s="74"/>
      <c r="U117" s="74"/>
      <c r="V117" s="74"/>
      <c r="W117" s="74"/>
      <c r="X117" s="74"/>
      <c r="Y117" s="74"/>
      <c r="Z117" s="74"/>
    </row>
    <row r="118" spans="1:26" ht="12.75" hidden="1" customHeight="1" outlineLevel="2">
      <c r="A118" s="241"/>
      <c r="B118" s="241"/>
      <c r="C118" s="241"/>
      <c r="D118" s="16"/>
      <c r="E118" s="1594"/>
      <c r="F118" s="61">
        <v>1</v>
      </c>
      <c r="G118" s="1341"/>
      <c r="H118" s="1381"/>
      <c r="I118" s="18">
        <f>IF(A5stdlife="n/a","n/a",IF(I$3&gt;(A5stdlife+$F118),('RFM input'!$H$227*(1+vanilla1)^0.5)-SUM($H118:H118),('RFM input'!$H$227*(1+vanilla1)^0.5)/A5stdlife))</f>
        <v>3.8447411407790753E-2</v>
      </c>
      <c r="J118" s="18">
        <f>IF(A5stdlife="n/a","n/a",IF(J$3&gt;(A5stdlife+$F118),('RFM input'!$H$227*(1+vanilla1)^0.5)-SUM($H118:I118),('RFM input'!$H$227*(1+vanilla1)^0.5)/A5stdlife))</f>
        <v>3.8447411407790753E-2</v>
      </c>
      <c r="K118" s="18">
        <f>IF(A5stdlife="n/a","n/a",IF(K$3&gt;(A5stdlife+$F118),('RFM input'!$H$227*(1+vanilla1)^0.5)-SUM($H118:J118),('RFM input'!$H$227*(1+vanilla1)^0.5)/A5stdlife))</f>
        <v>3.8447411407790753E-2</v>
      </c>
      <c r="L118" s="18">
        <f>IF(A5stdlife="n/a","n/a",IF(L$3&gt;(A5stdlife+$F118),('RFM input'!$H$227*(1+vanilla1)^0.5)-SUM($H118:K118),('RFM input'!$H$227*(1+vanilla1)^0.5)/A5stdlife))</f>
        <v>3.8447411407790753E-2</v>
      </c>
      <c r="M118" s="18">
        <f>IF(A5stdlife="n/a","n/a",IF(M$3&gt;(A5stdlife+$F118),('RFM input'!$H$227*(1+vanilla1)^0.5)-SUM($H118:L118),('RFM input'!$H$227*(1+vanilla1)^0.5)/A5stdlife))</f>
        <v>3.8447411407790753E-2</v>
      </c>
      <c r="N118" s="18">
        <f>IF(A5stdlife="n/a","n/a",IF(N$3&gt;(A5stdlife+$F118),('RFM input'!$H$227*(1+vanilla1)^0.5)-SUM($H118:M118),('RFM input'!$H$227*(1+vanilla1)^0.5)/A5stdlife))</f>
        <v>0</v>
      </c>
      <c r="O118" s="18">
        <f>IF(A5stdlife="n/a","n/a",IF(O$3&gt;(A5stdlife+$F118),('RFM input'!$H$227*(1+vanilla1)^0.5)-SUM($H118:N118),('RFM input'!$H$227*(1+vanilla1)^0.5)/A5stdlife))</f>
        <v>0</v>
      </c>
      <c r="P118" s="18">
        <f>IF(A5stdlife="n/a","n/a",IF(P$3&gt;(A5stdlife+$F118),('RFM input'!$H$227*(1+vanilla1)^0.5)-SUM($H118:O118),('RFM input'!$H$227*(1+vanilla1)^0.5)/A5stdlife))</f>
        <v>0</v>
      </c>
      <c r="Q118" s="18">
        <f>IF(A5stdlife="n/a","n/a",IF(Q$3&gt;(A5stdlife+$F118),('RFM input'!$H$227*(1+vanilla1)^0.5)-SUM($H118:P118),('RFM input'!$H$227*(1+vanilla1)^0.5)/A5stdlife))</f>
        <v>0</v>
      </c>
      <c r="R118" s="18"/>
      <c r="S118" s="74"/>
      <c r="T118" s="74"/>
      <c r="U118" s="74"/>
      <c r="V118" s="74"/>
      <c r="W118" s="74"/>
      <c r="X118" s="74"/>
      <c r="Y118" s="74"/>
      <c r="Z118" s="74"/>
    </row>
    <row r="119" spans="1:26" ht="12.75" hidden="1" customHeight="1" outlineLevel="2">
      <c r="A119" s="241"/>
      <c r="B119" s="241"/>
      <c r="C119" s="241"/>
      <c r="D119" s="16"/>
      <c r="E119" s="1594"/>
      <c r="F119" s="61">
        <v>2</v>
      </c>
      <c r="G119" s="1341"/>
      <c r="H119" s="114"/>
      <c r="I119" s="116"/>
      <c r="J119" s="18">
        <f>IF(A5stdlife="n/a","n/a",IF(J$3&gt;(A5stdlife+$F119),('RFM input'!$I$227*(1+vanilla2)^0.5)-SUM($I119:I119),('RFM input'!$I$227*(1+vanilla2)^0.5)/A5stdlife))</f>
        <v>0.10322811562309755</v>
      </c>
      <c r="K119" s="18">
        <f>IF(A5stdlife="n/a","n/a",IF(K$3&gt;(A5stdlife+$F119),('RFM input'!$I$227*(1+vanilla2)^0.5)-SUM($I119:J119),('RFM input'!$I$227*(1+vanilla2)^0.5)/A5stdlife))</f>
        <v>0.10322811562309755</v>
      </c>
      <c r="L119" s="18">
        <f>IF(A5stdlife="n/a","n/a",IF(L$3&gt;(A5stdlife+$F119),('RFM input'!$I$227*(1+vanilla2)^0.5)-SUM($I119:K119),('RFM input'!$I$227*(1+vanilla2)^0.5)/A5stdlife))</f>
        <v>0.10322811562309755</v>
      </c>
      <c r="M119" s="18">
        <f>IF(A5stdlife="n/a","n/a",IF(M$3&gt;(A5stdlife+$F119),('RFM input'!$I$227*(1+vanilla2)^0.5)-SUM($I119:L119),('RFM input'!$I$227*(1+vanilla2)^0.5)/A5stdlife))</f>
        <v>0.10322811562309755</v>
      </c>
      <c r="N119" s="18">
        <f>IF(A5stdlife="n/a","n/a",IF(N$3&gt;(A5stdlife+$F119),('RFM input'!$I$227*(1+vanilla2)^0.5)-SUM($I119:M119),('RFM input'!$I$227*(1+vanilla2)^0.5)/A5stdlife))</f>
        <v>0.10322811562309755</v>
      </c>
      <c r="O119" s="18">
        <f>IF(A5stdlife="n/a","n/a",IF(O$3&gt;(A5stdlife+$F119),('RFM input'!$I$227*(1+vanilla2)^0.5)-SUM($I119:N119),('RFM input'!$I$227*(1+vanilla2)^0.5)/A5stdlife))</f>
        <v>0</v>
      </c>
      <c r="P119" s="18">
        <f>IF(A5stdlife="n/a","n/a",IF(P$3&gt;(A5stdlife+$F119),('RFM input'!$I$227*(1+vanilla2)^0.5)-SUM($I119:O119),('RFM input'!$I$227*(1+vanilla2)^0.5)/A5stdlife))</f>
        <v>0</v>
      </c>
      <c r="Q119" s="18">
        <f>IF(A5stdlife="n/a","n/a",IF(Q$3&gt;(A5stdlife+$F119),('RFM input'!$I$227*(1+vanilla2)^0.5)-SUM($I119:P119),('RFM input'!$I$227*(1+vanilla2)^0.5)/A5stdlife))</f>
        <v>0</v>
      </c>
      <c r="R119" s="18"/>
      <c r="S119" s="74"/>
      <c r="T119" s="74"/>
      <c r="U119" s="74"/>
      <c r="V119" s="74"/>
      <c r="W119" s="74"/>
      <c r="X119" s="74"/>
      <c r="Y119" s="74"/>
      <c r="Z119" s="74"/>
    </row>
    <row r="120" spans="1:26" ht="12.75" hidden="1" customHeight="1" outlineLevel="2">
      <c r="A120" s="241"/>
      <c r="B120" s="241"/>
      <c r="C120" s="241"/>
      <c r="D120" s="16"/>
      <c r="E120" s="1594"/>
      <c r="F120" s="61">
        <v>3</v>
      </c>
      <c r="G120" s="1341"/>
      <c r="H120" s="114"/>
      <c r="I120" s="115"/>
      <c r="J120" s="116"/>
      <c r="K120" s="18">
        <f>IF(A5stdlife="n/a","n/a",IF(K$3&gt;(A5stdlife+$F120),('RFM input'!$J$227*(1+vanilla3)^0.5)-SUM($J120:J120),('RFM input'!$J$227*(1+vanilla3)^0.5)/A5stdlife))</f>
        <v>0.17429953794686201</v>
      </c>
      <c r="L120" s="18">
        <f>IF(A5stdlife="n/a","n/a",IF(L$3&gt;(A5stdlife+$F120),('RFM input'!$J$227*(1+vanilla3)^0.5)-SUM($J120:K120),('RFM input'!$J$227*(1+vanilla3)^0.5)/A5stdlife))</f>
        <v>0.17429953794686201</v>
      </c>
      <c r="M120" s="18">
        <f>IF(A5stdlife="n/a","n/a",IF(M$3&gt;(A5stdlife+$F120),('RFM input'!$J$227*(1+vanilla3)^0.5)-SUM($J120:L120),('RFM input'!$J$227*(1+vanilla3)^0.5)/A5stdlife))</f>
        <v>0.17429953794686201</v>
      </c>
      <c r="N120" s="18">
        <f>IF(A5stdlife="n/a","n/a",IF(N$3&gt;(A5stdlife+$F120),('RFM input'!$J$227*(1+vanilla3)^0.5)-SUM($J120:M120),('RFM input'!$J$227*(1+vanilla3)^0.5)/A5stdlife))</f>
        <v>0.17429953794686201</v>
      </c>
      <c r="O120" s="18">
        <f>IF(A5stdlife="n/a","n/a",IF(O$3&gt;(A5stdlife+$F120),('RFM input'!$J$227*(1+vanilla3)^0.5)-SUM($J120:N120),('RFM input'!$J$227*(1+vanilla3)^0.5)/A5stdlife))</f>
        <v>0.17429953794686201</v>
      </c>
      <c r="P120" s="18">
        <f>IF(A5stdlife="n/a","n/a",IF(P$3&gt;(A5stdlife+$F120),('RFM input'!$J$227*(1+vanilla3)^0.5)-SUM($J120:O120),('RFM input'!$J$227*(1+vanilla3)^0.5)/A5stdlife))</f>
        <v>0</v>
      </c>
      <c r="Q120" s="18">
        <f>IF(A5stdlife="n/a","n/a",IF(Q$3&gt;(A5stdlife+$F120),('RFM input'!$J$227*(1+vanilla3)^0.5)-SUM($J120:P120),('RFM input'!$J$227*(1+vanilla3)^0.5)/A5stdlife))</f>
        <v>0</v>
      </c>
      <c r="R120" s="18"/>
      <c r="S120" s="74"/>
      <c r="T120" s="74"/>
      <c r="U120" s="74"/>
      <c r="V120" s="74"/>
      <c r="W120" s="74"/>
      <c r="X120" s="74"/>
      <c r="Y120" s="74"/>
      <c r="Z120" s="74"/>
    </row>
    <row r="121" spans="1:26" ht="12.75" hidden="1" customHeight="1" outlineLevel="2">
      <c r="A121" s="241"/>
      <c r="B121" s="241"/>
      <c r="C121" s="241"/>
      <c r="D121" s="16"/>
      <c r="E121" s="1594"/>
      <c r="F121" s="61">
        <v>4</v>
      </c>
      <c r="G121" s="1341"/>
      <c r="H121" s="114"/>
      <c r="I121" s="115"/>
      <c r="J121" s="115"/>
      <c r="K121" s="116"/>
      <c r="L121" s="18">
        <f>IF(A5stdlife="n/a","n/a",IF(L$3&gt;(A5stdlife+$F121),('RFM input'!$K$227*(1+vanilla4)^0.5)-SUM($K121:K121),('RFM input'!$K$227*(1+vanilla4)^0.5)/A5stdlife))</f>
        <v>0.27604749552883051</v>
      </c>
      <c r="M121" s="18">
        <f>IF(A5stdlife="n/a","n/a",IF(M$3&gt;(A5stdlife+$F121),('RFM input'!$K$227*(1+vanilla4)^0.5)-SUM($K121:L121),('RFM input'!$K$227*(1+vanilla4)^0.5)/A5stdlife))</f>
        <v>0.27604749552883051</v>
      </c>
      <c r="N121" s="18">
        <f>IF(A5stdlife="n/a","n/a",IF(N$3&gt;(A5stdlife+$F121),('RFM input'!$K$227*(1+vanilla4)^0.5)-SUM($K121:M121),('RFM input'!$K$227*(1+vanilla4)^0.5)/A5stdlife))</f>
        <v>0.27604749552883051</v>
      </c>
      <c r="O121" s="18">
        <f>IF(A5stdlife="n/a","n/a",IF(O$3&gt;(A5stdlife+$F121),('RFM input'!$K$227*(1+vanilla4)^0.5)-SUM($K121:N121),('RFM input'!$K$227*(1+vanilla4)^0.5)/A5stdlife))</f>
        <v>0.27604749552883051</v>
      </c>
      <c r="P121" s="18">
        <f>IF(A5stdlife="n/a","n/a",IF(P$3&gt;(A5stdlife+$F121),('RFM input'!$K$227*(1+vanilla4)^0.5)-SUM($K121:O121),('RFM input'!$K$227*(1+vanilla4)^0.5)/A5stdlife))</f>
        <v>0.27604749552883051</v>
      </c>
      <c r="Q121" s="18">
        <f>IF(A5stdlife="n/a","n/a",IF(Q$3&gt;(A5stdlife+$F121),('RFM input'!$K$227*(1+vanilla4)^0.5)-SUM($K121:P121),('RFM input'!$K$227*(1+vanilla4)^0.5)/A5stdlife))</f>
        <v>0</v>
      </c>
      <c r="R121" s="18"/>
      <c r="S121" s="74"/>
      <c r="T121" s="74"/>
      <c r="U121" s="74"/>
      <c r="V121" s="74"/>
      <c r="W121" s="74"/>
      <c r="X121" s="74"/>
      <c r="Y121" s="74"/>
      <c r="Z121" s="74"/>
    </row>
    <row r="122" spans="1:26" ht="13.5" hidden="1" customHeight="1" outlineLevel="2">
      <c r="A122" s="241"/>
      <c r="B122" s="241"/>
      <c r="C122" s="241"/>
      <c r="D122" s="16"/>
      <c r="E122" s="1594"/>
      <c r="F122" s="61">
        <v>5</v>
      </c>
      <c r="G122" s="1341"/>
      <c r="H122" s="114"/>
      <c r="I122" s="115"/>
      <c r="J122" s="115"/>
      <c r="K122" s="115"/>
      <c r="L122" s="116"/>
      <c r="M122" s="18">
        <f>IF(A5stdlife="n/a","n/a",IF(M$3&gt;(A5stdlife+$F122),('RFM input'!$L$227*(1+vanilla5)^0.5)-SUM($L122:L122),('RFM input'!$L$227*(1+vanilla5)^0.5)/A5stdlife))</f>
        <v>0.28423432962184808</v>
      </c>
      <c r="N122" s="18">
        <f>IF(A5stdlife="n/a","n/a",IF(N$3&gt;(A5stdlife+$F122),('RFM input'!$L$227*(1+vanilla5)^0.5)-SUM($L122:M122),('RFM input'!$L$227*(1+vanilla5)^0.5)/A5stdlife))</f>
        <v>0.28423432962184808</v>
      </c>
      <c r="O122" s="18">
        <f>IF(A5stdlife="n/a","n/a",IF(O$3&gt;(A5stdlife+$F122),('RFM input'!$L$227*(1+vanilla5)^0.5)-SUM($L122:N122),('RFM input'!$L$227*(1+vanilla5)^0.5)/A5stdlife))</f>
        <v>0.28423432962184808</v>
      </c>
      <c r="P122" s="18">
        <f>IF(A5stdlife="n/a","n/a",IF(P$3&gt;(A5stdlife+$F122),('RFM input'!$L$227*(1+vanilla5)^0.5)-SUM($L122:O122),('RFM input'!$L$227*(1+vanilla5)^0.5)/A5stdlife))</f>
        <v>0.28423432962184808</v>
      </c>
      <c r="Q122" s="18">
        <f>IF(A5stdlife="n/a","n/a",IF(Q$3&gt;(A5stdlife+$F122),('RFM input'!$L$227*(1+vanilla5)^0.5)-SUM($L122:P122),('RFM input'!$L$227*(1+vanilla5)^0.5)/A5stdlife))</f>
        <v>0.28423432962184808</v>
      </c>
      <c r="R122" s="18"/>
      <c r="S122" s="74"/>
      <c r="T122" s="74"/>
      <c r="U122" s="74"/>
      <c r="V122" s="74"/>
      <c r="W122" s="74"/>
      <c r="X122" s="74"/>
      <c r="Y122" s="74"/>
      <c r="Z122" s="74"/>
    </row>
    <row r="123" spans="1:26" ht="13.5" hidden="1" customHeight="1" outlineLevel="2">
      <c r="A123" s="241"/>
      <c r="B123" s="241"/>
      <c r="C123" s="241"/>
      <c r="D123" s="16"/>
      <c r="E123" s="1594"/>
      <c r="F123" s="61">
        <v>6</v>
      </c>
      <c r="G123" s="1341"/>
      <c r="H123" s="114"/>
      <c r="I123" s="115"/>
      <c r="J123" s="115"/>
      <c r="K123" s="115"/>
      <c r="L123" s="115"/>
      <c r="M123" s="116"/>
      <c r="N123" s="18">
        <f>IF(A5stdlife="n/a","n/a",IF(N$3&gt;(A5stdlife+$F123),('RFM input'!$M$227*(1+vanilla6)^0.5)-SUM($M123:M123),('RFM input'!$M$227*(1+vanilla6)^0.5)/A5stdlife))</f>
        <v>0.3662490199880209</v>
      </c>
      <c r="O123" s="18">
        <f>IF(A5stdlife="n/a","n/a",IF(O$3&gt;(A5stdlife+$F123),('RFM input'!$M$227*(1+vanilla6)^0.5)-SUM($M123:N123),('RFM input'!$M$227*(1+vanilla6)^0.5)/A5stdlife))</f>
        <v>0.3662490199880209</v>
      </c>
      <c r="P123" s="18">
        <f>IF(A5stdlife="n/a","n/a",IF(P$3&gt;(A5stdlife+$F123),('RFM input'!$M$227*(1+vanilla6)^0.5)-SUM($M123:O123),('RFM input'!$M$227*(1+vanilla6)^0.5)/A5stdlife))</f>
        <v>0.3662490199880209</v>
      </c>
      <c r="Q123" s="18">
        <f>IF(A5stdlife="n/a","n/a",IF(Q$3&gt;(A5stdlife+$F123),('RFM input'!$M$227*(1+vanilla6)^0.5)-SUM($M123:P123),('RFM input'!$M$227*(1+vanilla6)^0.5)/A5stdlife))</f>
        <v>0.3662490199880209</v>
      </c>
      <c r="R123" s="18"/>
      <c r="S123" s="74"/>
      <c r="T123" s="74"/>
      <c r="U123" s="74"/>
      <c r="V123" s="74"/>
      <c r="W123" s="74"/>
      <c r="X123" s="74"/>
      <c r="Y123" s="74"/>
      <c r="Z123" s="74"/>
    </row>
    <row r="124" spans="1:26" ht="13.5" hidden="1" customHeight="1" outlineLevel="2">
      <c r="A124" s="241"/>
      <c r="B124" s="241"/>
      <c r="C124" s="241"/>
      <c r="D124" s="16"/>
      <c r="E124" s="1594"/>
      <c r="F124" s="61">
        <v>7</v>
      </c>
      <c r="G124" s="1341"/>
      <c r="H124" s="114"/>
      <c r="I124" s="115"/>
      <c r="J124" s="115"/>
      <c r="K124" s="115"/>
      <c r="L124" s="115"/>
      <c r="M124" s="115"/>
      <c r="N124" s="116"/>
      <c r="O124" s="18">
        <f>IF(A5stdlife="n/a","n/a",IF(O$3&gt;(A5stdlife+$F124),('RFM input'!$N$227*(1+vanilla7)^0.5)-SUM($N124:N124),('RFM input'!$N$227*(1+vanilla7)^0.5)/A5stdlife))</f>
        <v>0.15323519588238388</v>
      </c>
      <c r="P124" s="18">
        <f>IF(A5stdlife="n/a","n/a",IF(P$3&gt;(A5stdlife+$F124),('RFM input'!$N$227*(1+vanilla7)^0.5)-SUM($N124:O124),('RFM input'!$N$227*(1+vanilla7)^0.5)/A5stdlife))</f>
        <v>0.15323519588238388</v>
      </c>
      <c r="Q124" s="18">
        <f>IF(A5stdlife="n/a","n/a",IF(Q$3&gt;(A5stdlife+$F124),('RFM input'!$N$227*(1+vanilla7)^0.5)-SUM($N124:P124),('RFM input'!$N$227*(1+vanilla7)^0.5)/A5stdlife))</f>
        <v>0.15323519588238388</v>
      </c>
      <c r="R124" s="18"/>
      <c r="S124" s="74"/>
      <c r="T124" s="74"/>
      <c r="U124" s="74"/>
      <c r="V124" s="74"/>
      <c r="W124" s="74"/>
      <c r="X124" s="74"/>
      <c r="Y124" s="74"/>
      <c r="Z124" s="74"/>
    </row>
    <row r="125" spans="1:26" ht="13.5" hidden="1" customHeight="1" outlineLevel="2">
      <c r="A125" s="241"/>
      <c r="B125" s="241"/>
      <c r="C125" s="241"/>
      <c r="D125" s="16"/>
      <c r="E125" s="1594"/>
      <c r="F125" s="61">
        <v>8</v>
      </c>
      <c r="G125" s="1341"/>
      <c r="H125" s="114"/>
      <c r="I125" s="115"/>
      <c r="J125" s="115"/>
      <c r="K125" s="115"/>
      <c r="L125" s="115"/>
      <c r="M125" s="115"/>
      <c r="N125" s="115"/>
      <c r="O125" s="116"/>
      <c r="P125" s="18">
        <f>IF(A5stdlife="n/a","n/a",IF(P$3&gt;(A5stdlife+$F125),('RFM input'!$O$227*(1+vanilla8)^0.5)-SUM($O125:O125),('RFM input'!$O$227*(1+vanilla8)^0.5)/A5stdlife))</f>
        <v>0</v>
      </c>
      <c r="Q125" s="18">
        <f>IF(A5stdlife="n/a","n/a",IF(Q$3&gt;(A5stdlife+$F125),('RFM input'!$O$227*(1+vanilla8)^0.5)-SUM($O125:P125),('RFM input'!$O$227*(1+vanilla8)^0.5)/A5stdlife))</f>
        <v>0</v>
      </c>
      <c r="R125" s="18"/>
      <c r="S125" s="74"/>
      <c r="T125" s="74"/>
      <c r="U125" s="74"/>
      <c r="V125" s="74"/>
      <c r="W125" s="74"/>
      <c r="X125" s="74"/>
      <c r="Y125" s="74"/>
      <c r="Z125" s="74"/>
    </row>
    <row r="126" spans="1:26" ht="13.5" hidden="1" customHeight="1" outlineLevel="2">
      <c r="A126" s="241"/>
      <c r="B126" s="241"/>
      <c r="C126" s="241"/>
      <c r="D126" s="16"/>
      <c r="E126" s="1594"/>
      <c r="F126" s="61">
        <v>9</v>
      </c>
      <c r="G126" s="1341"/>
      <c r="H126" s="114"/>
      <c r="I126" s="115"/>
      <c r="J126" s="115"/>
      <c r="K126" s="115"/>
      <c r="L126" s="115"/>
      <c r="M126" s="115"/>
      <c r="N126" s="115"/>
      <c r="O126" s="115"/>
      <c r="P126" s="116"/>
      <c r="Q126" s="18">
        <f>IF(A5stdlife="n/a","n/a",IF(Q$3&gt;(A5stdlife+$F126),('RFM input'!$P$227*(1+vanilla9)^0.5)-SUM($P126:P126),('RFM input'!$P$227*(1+vanilla9)^0.5)/A5stdlife))</f>
        <v>0</v>
      </c>
      <c r="R126" s="18"/>
      <c r="S126" s="74"/>
      <c r="T126" s="74"/>
      <c r="U126" s="74"/>
      <c r="V126" s="74"/>
      <c r="W126" s="74"/>
      <c r="X126" s="74"/>
      <c r="Y126" s="74"/>
      <c r="Z126" s="74"/>
    </row>
    <row r="127" spans="1:26" ht="13.5" hidden="1" customHeight="1" outlineLevel="2">
      <c r="A127" s="241"/>
      <c r="B127" s="241"/>
      <c r="C127" s="241"/>
      <c r="D127" s="16"/>
      <c r="E127" s="1594"/>
      <c r="F127" s="62">
        <v>10</v>
      </c>
      <c r="G127" s="1341"/>
      <c r="H127" s="114"/>
      <c r="I127" s="115"/>
      <c r="J127" s="115"/>
      <c r="K127" s="115"/>
      <c r="L127" s="115"/>
      <c r="M127" s="115"/>
      <c r="N127" s="115"/>
      <c r="O127" s="115"/>
      <c r="P127" s="115"/>
      <c r="Q127" s="116"/>
      <c r="R127" s="18"/>
      <c r="S127" s="74"/>
      <c r="T127" s="74"/>
      <c r="U127" s="74"/>
      <c r="V127" s="74"/>
      <c r="W127" s="74"/>
      <c r="X127" s="74"/>
      <c r="Y127" s="74"/>
      <c r="Z127" s="74"/>
    </row>
    <row r="128" spans="1:26" ht="13.35" hidden="1" customHeight="1" outlineLevel="1">
      <c r="A128" s="241"/>
      <c r="B128" s="241"/>
      <c r="C128" s="241"/>
      <c r="D128" s="134" t="str">
        <f>Asset5</f>
        <v>IT System</v>
      </c>
      <c r="E128" s="3"/>
      <c r="F128" s="3"/>
      <c r="G128" s="1341"/>
      <c r="H128" s="1458">
        <f>IF(OR('RFM input'!$E$293='RFM input'!$G$292,'RFM input'!$E$293='RFM input'!$G$293),-INDEX('RFM input'!H$299:H$348,MATCH($D128,'RFM input'!$E$299:$E$348,0),1),-SUM(H116:H127))</f>
        <v>-0.71026498862602494</v>
      </c>
      <c r="I128" s="1458">
        <f>IF(OR('RFM input'!$E$293='RFM input'!$G$292,'RFM input'!$E$293='RFM input'!$G$293),-INDEX('RFM input'!I$299:I$348,MATCH($D128,'RFM input'!$E$299:$E$348,0),1),-SUM(I116:I127))</f>
        <v>-0.74871240003381567</v>
      </c>
      <c r="J128" s="1386">
        <f>IF(COUNT($H128:I128)&gt;='RFM input'!$V$7,
   0,
   IF(OR('RFM input'!$E$293='RFM input'!$G$292,'RFM input'!$E$293='RFM input'!$G$293),
      -INDEX('RFM input'!J$299:J$348,MATCH($D128,'RFM input'!$E$299:$E$348,0),1),
      -SUM(J116:J127)))</f>
        <v>-0.8519405156569132</v>
      </c>
      <c r="K128" s="1386">
        <f>IF(COUNT($H128:J128)&gt;='RFM input'!$V$7,
   0,
   IF(OR('RFM input'!$E$293='RFM input'!$G$292,'RFM input'!$E$293='RFM input'!$G$293),
      -INDEX('RFM input'!K$299:K$348,MATCH($D128,'RFM input'!$E$299:$E$348,0),1),
      -SUM(K116:K127)))</f>
        <v>-1.0262400536037752</v>
      </c>
      <c r="L128" s="1386">
        <f>IF(COUNT($H128:K128)&gt;='RFM input'!$V$7,
   0,
   IF(OR('RFM input'!$E$293='RFM input'!$G$292,'RFM input'!$E$293='RFM input'!$G$293),
      -INDEX('RFM input'!L$299:L$348,MATCH($D128,'RFM input'!$E$299:$E$348,0),1),
      -SUM(L116:L127)))</f>
        <v>-1.3022875491326058</v>
      </c>
      <c r="M128" s="1386">
        <f>IF(COUNT($H128:L128)&gt;='RFM input'!$V$7,
   0,
   IF(OR('RFM input'!$E$293='RFM input'!$G$292,'RFM input'!$E$293='RFM input'!$G$293),
      -INDEX('RFM input'!M$299:M$348,MATCH($D128,'RFM input'!$E$299:$E$348,0),1),
      -SUM(M116:M127)))</f>
        <v>-1.5865218787544539</v>
      </c>
      <c r="N128" s="1386">
        <f>IF(COUNT($H128:M128)&gt;='RFM input'!$V$7,
   0,
   IF(OR('RFM input'!$E$293='RFM input'!$G$292,'RFM input'!$E$293='RFM input'!$G$293),
      -INDEX('RFM input'!N$299:N$348,MATCH($D128,'RFM input'!$E$299:$E$348,0),1),
      -SUM(N116:N127)))</f>
        <v>-1.9143234873346839</v>
      </c>
      <c r="O128" s="1386">
        <f>IF(COUNT($H128:N128)&gt;='RFM input'!$V$7,
   0,
   IF(OR('RFM input'!$E$293='RFM input'!$G$292,'RFM input'!$E$293='RFM input'!$G$293),
      -INDEX('RFM input'!O$299:O$348,MATCH($D128,'RFM input'!$E$299:$E$348,0),1),
      -SUM(O116:O127)))</f>
        <v>0</v>
      </c>
      <c r="P128" s="1386">
        <f>IF(COUNT($H128:O128)&gt;='RFM input'!$V$7,
   0,
   IF(OR('RFM input'!$E$293='RFM input'!$G$292,'RFM input'!$E$293='RFM input'!$G$293),
      -INDEX('RFM input'!P$299:P$348,MATCH($D128,'RFM input'!$E$299:$E$348,0),1),
      -SUM(P116:P127)))</f>
        <v>0</v>
      </c>
      <c r="Q128" s="1386">
        <f>IF(COUNT($H128:P128)&gt;='RFM input'!$V$7,
   0,
   IF(OR('RFM input'!$E$293='RFM input'!$G$292,'RFM input'!$E$293='RFM input'!$G$293),
      -INDEX('RFM input'!Q$299:Q$348,MATCH($D128,'RFM input'!$E$299:$E$348,0),1),
      -SUM(Q116:Q127)))</f>
        <v>0</v>
      </c>
      <c r="R128" s="1382"/>
      <c r="S128" s="76"/>
      <c r="T128" s="76"/>
      <c r="U128" s="76"/>
      <c r="V128" s="76"/>
      <c r="W128" s="76"/>
      <c r="X128" s="76"/>
      <c r="Y128" s="76"/>
      <c r="Z128" s="76"/>
    </row>
    <row r="129" spans="1:26" ht="12.75" hidden="1" customHeight="1" outlineLevel="2">
      <c r="A129" s="241"/>
      <c r="B129" s="241"/>
      <c r="C129" s="135" t="str">
        <f>Asset6</f>
        <v>Other Distribution System Equipment</v>
      </c>
      <c r="D129" s="100"/>
      <c r="E129" s="20" t="s">
        <v>23</v>
      </c>
      <c r="F129" s="19"/>
      <c r="G129" s="1383"/>
      <c r="H129" s="1380">
        <f>IF(H$3&gt;A6remlife,A6value-SUM($G129:G129),IF(A6remlife="N/A","n/a",A6value/A6remlife))</f>
        <v>0.35650703732931266</v>
      </c>
      <c r="I129" s="1380">
        <f>IF(I$3&gt;A6remlife,A6value-SUM($G129:H129),IF(A6remlife="N/A","n/a",A6value/A6remlife))</f>
        <v>0.35650703732931266</v>
      </c>
      <c r="J129" s="1380">
        <f>IF(J$3&gt;A6remlife,A6value-SUM($G129:I129),IF(A6remlife="N/A","n/a",A6value/A6remlife))</f>
        <v>0.35650703732931266</v>
      </c>
      <c r="K129" s="1380">
        <f>IF(K$3&gt;A6remlife,A6value-SUM($G129:J129),IF(A6remlife="N/A","n/a",A6value/A6remlife))</f>
        <v>0.35650703732931266</v>
      </c>
      <c r="L129" s="1380">
        <f>IF(L$3&gt;A6remlife,A6value-SUM($G129:K129),IF(A6remlife="N/A","n/a",A6value/A6remlife))</f>
        <v>0.35650703732931266</v>
      </c>
      <c r="M129" s="1380">
        <f>IF(M$3&gt;A6remlife,A6value-SUM($G129:L129),IF(A6remlife="N/A","n/a",A6value/A6remlife))</f>
        <v>0.35650703732931266</v>
      </c>
      <c r="N129" s="1380">
        <f>IF(N$3&gt;A6remlife,A6value-SUM($G129:M129),IF(A6remlife="N/A","n/a",A6value/A6remlife))</f>
        <v>0.35650703732931266</v>
      </c>
      <c r="O129" s="1380">
        <f>IF(O$3&gt;A6remlife,A6value-SUM($G129:N129),IF(A6remlife="N/A","n/a",A6value/A6remlife))</f>
        <v>0.35650703732931266</v>
      </c>
      <c r="P129" s="1380">
        <f>IF(P$3&gt;A6remlife,A6value-SUM($G129:O129),IF(A6remlife="N/A","n/a",A6value/A6remlife))</f>
        <v>0.35650703732931266</v>
      </c>
      <c r="Q129" s="1380">
        <f>IF(Q$3&gt;A6remlife,A6value-SUM($G129:P129),IF(A6remlife="N/A","n/a",A6value/A6remlife))</f>
        <v>0.35650703732931266</v>
      </c>
      <c r="R129" s="21"/>
      <c r="S129" s="74"/>
      <c r="T129" s="74"/>
      <c r="U129" s="74"/>
      <c r="V129" s="74"/>
      <c r="W129" s="74"/>
      <c r="X129" s="74"/>
      <c r="Y129" s="74"/>
      <c r="Z129" s="74"/>
    </row>
    <row r="130" spans="1:26" ht="12.75" hidden="1" customHeight="1" outlineLevel="2">
      <c r="A130" s="241"/>
      <c r="B130" s="241"/>
      <c r="C130" s="241"/>
      <c r="D130" s="16"/>
      <c r="E130" s="1593" t="s">
        <v>43</v>
      </c>
      <c r="F130" s="61"/>
      <c r="G130" s="1341"/>
      <c r="H130" s="18"/>
      <c r="I130" s="18"/>
      <c r="J130" s="18"/>
      <c r="K130" s="18"/>
      <c r="L130" s="18"/>
      <c r="M130" s="1384"/>
      <c r="N130" s="1385"/>
      <c r="O130" s="18"/>
      <c r="P130" s="18"/>
      <c r="Q130" s="18"/>
      <c r="R130" s="18"/>
      <c r="S130" s="74"/>
      <c r="T130" s="74"/>
      <c r="U130" s="74"/>
      <c r="V130" s="74"/>
      <c r="W130" s="74"/>
      <c r="X130" s="74"/>
      <c r="Y130" s="74"/>
      <c r="Z130" s="74"/>
    </row>
    <row r="131" spans="1:26" ht="12.75" hidden="1" customHeight="1" outlineLevel="2">
      <c r="A131" s="241"/>
      <c r="B131" s="241"/>
      <c r="C131" s="241"/>
      <c r="D131" s="16"/>
      <c r="E131" s="1594"/>
      <c r="F131" s="61">
        <v>1</v>
      </c>
      <c r="G131" s="1341"/>
      <c r="H131" s="1381"/>
      <c r="I131" s="18">
        <f>IF(A6stdlife="n/a","n/a",IF(I$3&gt;(A6stdlife+$F131),('RFM input'!$H$228*(1+vanilla1)^0.5)-SUM($H131:H131),('RFM input'!$H$228*(1+vanilla1)^0.5)/A6stdlife))</f>
        <v>2.6804758263545954E-2</v>
      </c>
      <c r="J131" s="18">
        <f>IF(A6stdlife="n/a","n/a",IF(J$3&gt;(A6stdlife+$F131),('RFM input'!$H$228*(1+vanilla1)^0.5)-SUM($H131:I131),('RFM input'!$H$228*(1+vanilla1)^0.5)/A6stdlife))</f>
        <v>2.6804758263545954E-2</v>
      </c>
      <c r="K131" s="18">
        <f>IF(A6stdlife="n/a","n/a",IF(K$3&gt;(A6stdlife+$F131),('RFM input'!$H$228*(1+vanilla1)^0.5)-SUM($H131:J131),('RFM input'!$H$228*(1+vanilla1)^0.5)/A6stdlife))</f>
        <v>2.6804758263545954E-2</v>
      </c>
      <c r="L131" s="18">
        <f>IF(A6stdlife="n/a","n/a",IF(L$3&gt;(A6stdlife+$F131),('RFM input'!$H$228*(1+vanilla1)^0.5)-SUM($H131:K131),('RFM input'!$H$228*(1+vanilla1)^0.5)/A6stdlife))</f>
        <v>2.6804758263545954E-2</v>
      </c>
      <c r="M131" s="18">
        <f>IF(A6stdlife="n/a","n/a",IF(M$3&gt;(A6stdlife+$F131),('RFM input'!$H$228*(1+vanilla1)^0.5)-SUM($H131:L131),('RFM input'!$H$228*(1+vanilla1)^0.5)/A6stdlife))</f>
        <v>2.6804758263545954E-2</v>
      </c>
      <c r="N131" s="18">
        <f>IF(A6stdlife="n/a","n/a",IF(N$3&gt;(A6stdlife+$F131),('RFM input'!$H$228*(1+vanilla1)^0.5)-SUM($H131:M131),('RFM input'!$H$228*(1+vanilla1)^0.5)/A6stdlife))</f>
        <v>2.6804758263545954E-2</v>
      </c>
      <c r="O131" s="18">
        <f>IF(A6stdlife="n/a","n/a",IF(O$3&gt;(A6stdlife+$F131),('RFM input'!$H$228*(1+vanilla1)^0.5)-SUM($H131:N131),('RFM input'!$H$228*(1+vanilla1)^0.5)/A6stdlife))</f>
        <v>2.6804758263545954E-2</v>
      </c>
      <c r="P131" s="18">
        <f>IF(A6stdlife="n/a","n/a",IF(P$3&gt;(A6stdlife+$F131),('RFM input'!$H$228*(1+vanilla1)^0.5)-SUM($H131:O131),('RFM input'!$H$228*(1+vanilla1)^0.5)/A6stdlife))</f>
        <v>2.6804758263545954E-2</v>
      </c>
      <c r="Q131" s="18">
        <f>IF(A6stdlife="n/a","n/a",IF(Q$3&gt;(A6stdlife+$F131),('RFM input'!$H$228*(1+vanilla1)^0.5)-SUM($H131:P131),('RFM input'!$H$228*(1+vanilla1)^0.5)/A6stdlife))</f>
        <v>2.6804758263545954E-2</v>
      </c>
      <c r="R131" s="18"/>
      <c r="S131" s="74"/>
      <c r="T131" s="74"/>
      <c r="U131" s="74"/>
      <c r="V131" s="74"/>
      <c r="W131" s="74"/>
      <c r="X131" s="74"/>
      <c r="Y131" s="74"/>
      <c r="Z131" s="74"/>
    </row>
    <row r="132" spans="1:26" ht="12.75" hidden="1" customHeight="1" outlineLevel="2">
      <c r="A132" s="241"/>
      <c r="B132" s="241"/>
      <c r="C132" s="241"/>
      <c r="D132" s="16"/>
      <c r="E132" s="1594"/>
      <c r="F132" s="61">
        <v>2</v>
      </c>
      <c r="G132" s="1341"/>
      <c r="H132" s="114"/>
      <c r="I132" s="116"/>
      <c r="J132" s="18">
        <f>IF(A6stdlife="n/a","n/a",IF(J$3&gt;(A6stdlife+$F132),('RFM input'!$I$228*(1+vanilla2)^0.5)-SUM($I132:I132),('RFM input'!$I$228*(1+vanilla2)^0.5)/A6stdlife))</f>
        <v>1.2013250901657618E-2</v>
      </c>
      <c r="K132" s="18">
        <f>IF(A6stdlife="n/a","n/a",IF(K$3&gt;(A6stdlife+$F132),('RFM input'!$I$228*(1+vanilla2)^0.5)-SUM($I132:J132),('RFM input'!$I$228*(1+vanilla2)^0.5)/A6stdlife))</f>
        <v>1.2013250901657618E-2</v>
      </c>
      <c r="L132" s="18">
        <f>IF(A6stdlife="n/a","n/a",IF(L$3&gt;(A6stdlife+$F132),('RFM input'!$I$228*(1+vanilla2)^0.5)-SUM($I132:K132),('RFM input'!$I$228*(1+vanilla2)^0.5)/A6stdlife))</f>
        <v>1.2013250901657618E-2</v>
      </c>
      <c r="M132" s="18">
        <f>IF(A6stdlife="n/a","n/a",IF(M$3&gt;(A6stdlife+$F132),('RFM input'!$I$228*(1+vanilla2)^0.5)-SUM($I132:L132),('RFM input'!$I$228*(1+vanilla2)^0.5)/A6stdlife))</f>
        <v>1.2013250901657618E-2</v>
      </c>
      <c r="N132" s="18">
        <f>IF(A6stdlife="n/a","n/a",IF(N$3&gt;(A6stdlife+$F132),('RFM input'!$I$228*(1+vanilla2)^0.5)-SUM($I132:M132),('RFM input'!$I$228*(1+vanilla2)^0.5)/A6stdlife))</f>
        <v>1.2013250901657618E-2</v>
      </c>
      <c r="O132" s="18">
        <f>IF(A6stdlife="n/a","n/a",IF(O$3&gt;(A6stdlife+$F132),('RFM input'!$I$228*(1+vanilla2)^0.5)-SUM($I132:N132),('RFM input'!$I$228*(1+vanilla2)^0.5)/A6stdlife))</f>
        <v>1.2013250901657618E-2</v>
      </c>
      <c r="P132" s="18">
        <f>IF(A6stdlife="n/a","n/a",IF(P$3&gt;(A6stdlife+$F132),('RFM input'!$I$228*(1+vanilla2)^0.5)-SUM($I132:O132),('RFM input'!$I$228*(1+vanilla2)^0.5)/A6stdlife))</f>
        <v>1.2013250901657618E-2</v>
      </c>
      <c r="Q132" s="18">
        <f>IF(A6stdlife="n/a","n/a",IF(Q$3&gt;(A6stdlife+$F132),('RFM input'!$I$228*(1+vanilla2)^0.5)-SUM($I132:P132),('RFM input'!$I$228*(1+vanilla2)^0.5)/A6stdlife))</f>
        <v>1.2013250901657618E-2</v>
      </c>
      <c r="R132" s="18"/>
      <c r="S132" s="74"/>
      <c r="T132" s="74"/>
      <c r="U132" s="74"/>
      <c r="V132" s="74"/>
      <c r="W132" s="74"/>
      <c r="X132" s="74"/>
      <c r="Y132" s="74"/>
      <c r="Z132" s="74"/>
    </row>
    <row r="133" spans="1:26" ht="12.75" hidden="1" customHeight="1" outlineLevel="2">
      <c r="A133" s="241"/>
      <c r="B133" s="241"/>
      <c r="C133" s="241"/>
      <c r="D133" s="16"/>
      <c r="E133" s="1594"/>
      <c r="F133" s="61">
        <v>3</v>
      </c>
      <c r="G133" s="1341"/>
      <c r="H133" s="114"/>
      <c r="I133" s="115"/>
      <c r="J133" s="116"/>
      <c r="K133" s="18">
        <f>IF(A6stdlife="n/a","n/a",IF(K$3&gt;(A6stdlife+$F133),('RFM input'!$J$228*(1+vanilla3)^0.5)-SUM($J133:J133),('RFM input'!$J$228*(1+vanilla3)^0.5)/A6stdlife))</f>
        <v>1.8651757590497885E-2</v>
      </c>
      <c r="L133" s="18">
        <f>IF(A6stdlife="n/a","n/a",IF(L$3&gt;(A6stdlife+$F133),('RFM input'!$J$228*(1+vanilla3)^0.5)-SUM($J133:K133),('RFM input'!$J$228*(1+vanilla3)^0.5)/A6stdlife))</f>
        <v>1.8651757590497885E-2</v>
      </c>
      <c r="M133" s="18">
        <f>IF(A6stdlife="n/a","n/a",IF(M$3&gt;(A6stdlife+$F133),('RFM input'!$J$228*(1+vanilla3)^0.5)-SUM($J133:L133),('RFM input'!$J$228*(1+vanilla3)^0.5)/A6stdlife))</f>
        <v>1.8651757590497885E-2</v>
      </c>
      <c r="N133" s="18">
        <f>IF(A6stdlife="n/a","n/a",IF(N$3&gt;(A6stdlife+$F133),('RFM input'!$J$228*(1+vanilla3)^0.5)-SUM($J133:M133),('RFM input'!$J$228*(1+vanilla3)^0.5)/A6stdlife))</f>
        <v>1.8651757590497885E-2</v>
      </c>
      <c r="O133" s="18">
        <f>IF(A6stdlife="n/a","n/a",IF(O$3&gt;(A6stdlife+$F133),('RFM input'!$J$228*(1+vanilla3)^0.5)-SUM($J133:N133),('RFM input'!$J$228*(1+vanilla3)^0.5)/A6stdlife))</f>
        <v>1.8651757590497885E-2</v>
      </c>
      <c r="P133" s="18">
        <f>IF(A6stdlife="n/a","n/a",IF(P$3&gt;(A6stdlife+$F133),('RFM input'!$J$228*(1+vanilla3)^0.5)-SUM($J133:O133),('RFM input'!$J$228*(1+vanilla3)^0.5)/A6stdlife))</f>
        <v>1.8651757590497885E-2</v>
      </c>
      <c r="Q133" s="18">
        <f>IF(A6stdlife="n/a","n/a",IF(Q$3&gt;(A6stdlife+$F133),('RFM input'!$J$228*(1+vanilla3)^0.5)-SUM($J133:P133),('RFM input'!$J$228*(1+vanilla3)^0.5)/A6stdlife))</f>
        <v>1.8651757590497885E-2</v>
      </c>
      <c r="R133" s="18"/>
      <c r="S133" s="74"/>
      <c r="T133" s="74"/>
      <c r="U133" s="74"/>
      <c r="V133" s="74"/>
      <c r="W133" s="74"/>
      <c r="X133" s="74"/>
      <c r="Y133" s="74"/>
      <c r="Z133" s="74"/>
    </row>
    <row r="134" spans="1:26" ht="12.75" hidden="1" customHeight="1" outlineLevel="2">
      <c r="A134" s="241"/>
      <c r="B134" s="241"/>
      <c r="C134" s="241"/>
      <c r="D134" s="16"/>
      <c r="E134" s="1594"/>
      <c r="F134" s="61">
        <v>4</v>
      </c>
      <c r="G134" s="1341"/>
      <c r="H134" s="114"/>
      <c r="I134" s="115"/>
      <c r="J134" s="115"/>
      <c r="K134" s="116"/>
      <c r="L134" s="18">
        <f>IF(A6stdlife="n/a","n/a",IF(L$3&gt;(A6stdlife+$F134),('RFM input'!$K$228*(1+vanilla4)^0.5)-SUM($K134:K134),('RFM input'!$K$228*(1+vanilla4)^0.5)/A6stdlife))</f>
        <v>4.2685718044079307E-2</v>
      </c>
      <c r="M134" s="18">
        <f>IF(A6stdlife="n/a","n/a",IF(M$3&gt;(A6stdlife+$F134),('RFM input'!$K$228*(1+vanilla4)^0.5)-SUM($K134:L134),('RFM input'!$K$228*(1+vanilla4)^0.5)/A6stdlife))</f>
        <v>4.2685718044079307E-2</v>
      </c>
      <c r="N134" s="18">
        <f>IF(A6stdlife="n/a","n/a",IF(N$3&gt;(A6stdlife+$F134),('RFM input'!$K$228*(1+vanilla4)^0.5)-SUM($K134:M134),('RFM input'!$K$228*(1+vanilla4)^0.5)/A6stdlife))</f>
        <v>4.2685718044079307E-2</v>
      </c>
      <c r="O134" s="18">
        <f>IF(A6stdlife="n/a","n/a",IF(O$3&gt;(A6stdlife+$F134),('RFM input'!$K$228*(1+vanilla4)^0.5)-SUM($K134:N134),('RFM input'!$K$228*(1+vanilla4)^0.5)/A6stdlife))</f>
        <v>4.2685718044079307E-2</v>
      </c>
      <c r="P134" s="18">
        <f>IF(A6stdlife="n/a","n/a",IF(P$3&gt;(A6stdlife+$F134),('RFM input'!$K$228*(1+vanilla4)^0.5)-SUM($K134:O134),('RFM input'!$K$228*(1+vanilla4)^0.5)/A6stdlife))</f>
        <v>4.2685718044079307E-2</v>
      </c>
      <c r="Q134" s="18">
        <f>IF(A6stdlife="n/a","n/a",IF(Q$3&gt;(A6stdlife+$F134),('RFM input'!$K$228*(1+vanilla4)^0.5)-SUM($K134:P134),('RFM input'!$K$228*(1+vanilla4)^0.5)/A6stdlife))</f>
        <v>4.2685718044079307E-2</v>
      </c>
      <c r="R134" s="18"/>
      <c r="S134" s="74"/>
      <c r="T134" s="74"/>
      <c r="U134" s="74"/>
      <c r="V134" s="74"/>
      <c r="W134" s="74"/>
      <c r="X134" s="74"/>
      <c r="Y134" s="74"/>
      <c r="Z134" s="74"/>
    </row>
    <row r="135" spans="1:26" ht="12.75" hidden="1" customHeight="1" outlineLevel="2">
      <c r="A135" s="241"/>
      <c r="B135" s="241"/>
      <c r="C135" s="241"/>
      <c r="D135" s="16"/>
      <c r="E135" s="1594"/>
      <c r="F135" s="61">
        <v>5</v>
      </c>
      <c r="G135" s="1341"/>
      <c r="H135" s="114"/>
      <c r="I135" s="115"/>
      <c r="J135" s="115"/>
      <c r="K135" s="115"/>
      <c r="L135" s="116"/>
      <c r="M135" s="18">
        <f>IF(A6stdlife="n/a","n/a",IF(M$3&gt;(A6stdlife+$F135),('RFM input'!$L$228*(1+vanilla5)^0.5)-SUM($L135:L135),('RFM input'!$L$228*(1+vanilla5)^0.5)/A6stdlife))</f>
        <v>2.1388269774548406E-2</v>
      </c>
      <c r="N135" s="18">
        <f>IF(A6stdlife="n/a","n/a",IF(N$3&gt;(A6stdlife+$F135),('RFM input'!$L$228*(1+vanilla5)^0.5)-SUM($L135:M135),('RFM input'!$L$228*(1+vanilla5)^0.5)/A6stdlife))</f>
        <v>2.1388269774548406E-2</v>
      </c>
      <c r="O135" s="18">
        <f>IF(A6stdlife="n/a","n/a",IF(O$3&gt;(A6stdlife+$F135),('RFM input'!$L$228*(1+vanilla5)^0.5)-SUM($L135:N135),('RFM input'!$L$228*(1+vanilla5)^0.5)/A6stdlife))</f>
        <v>2.1388269774548406E-2</v>
      </c>
      <c r="P135" s="18">
        <f>IF(A6stdlife="n/a","n/a",IF(P$3&gt;(A6stdlife+$F135),('RFM input'!$L$228*(1+vanilla5)^0.5)-SUM($L135:O135),('RFM input'!$L$228*(1+vanilla5)^0.5)/A6stdlife))</f>
        <v>2.1388269774548406E-2</v>
      </c>
      <c r="Q135" s="18">
        <f>IF(A6stdlife="n/a","n/a",IF(Q$3&gt;(A6stdlife+$F135),('RFM input'!$L$228*(1+vanilla5)^0.5)-SUM($L135:P135),('RFM input'!$L$228*(1+vanilla5)^0.5)/A6stdlife))</f>
        <v>2.1388269774548406E-2</v>
      </c>
      <c r="R135" s="18"/>
      <c r="S135" s="74"/>
      <c r="T135" s="74"/>
      <c r="U135" s="74"/>
      <c r="V135" s="74"/>
      <c r="W135" s="74"/>
      <c r="X135" s="74"/>
      <c r="Y135" s="74"/>
      <c r="Z135" s="74"/>
    </row>
    <row r="136" spans="1:26" ht="12.75" hidden="1" customHeight="1" outlineLevel="2">
      <c r="A136" s="241"/>
      <c r="B136" s="241"/>
      <c r="C136" s="241"/>
      <c r="D136" s="16"/>
      <c r="E136" s="1594"/>
      <c r="F136" s="61">
        <v>6</v>
      </c>
      <c r="G136" s="1341"/>
      <c r="H136" s="114"/>
      <c r="I136" s="115"/>
      <c r="J136" s="115"/>
      <c r="K136" s="115"/>
      <c r="L136" s="115"/>
      <c r="M136" s="116"/>
      <c r="N136" s="18">
        <f>IF(A6stdlife="n/a","n/a",IF(N$3&gt;(A6stdlife+$F136),('RFM input'!$M$228*(1+vanilla6)^0.5)-SUM($M136:M136),('RFM input'!$M$228*(1+vanilla6)^0.5)/A6stdlife))</f>
        <v>2.1611574625185825E-2</v>
      </c>
      <c r="O136" s="18">
        <f>IF(A6stdlife="n/a","n/a",IF(O$3&gt;(A6stdlife+$F136),('RFM input'!$M$228*(1+vanilla6)^0.5)-SUM($M136:N136),('RFM input'!$M$228*(1+vanilla6)^0.5)/A6stdlife))</f>
        <v>2.1611574625185825E-2</v>
      </c>
      <c r="P136" s="18">
        <f>IF(A6stdlife="n/a","n/a",IF(P$3&gt;(A6stdlife+$F136),('RFM input'!$M$228*(1+vanilla6)^0.5)-SUM($M136:O136),('RFM input'!$M$228*(1+vanilla6)^0.5)/A6stdlife))</f>
        <v>2.1611574625185825E-2</v>
      </c>
      <c r="Q136" s="18">
        <f>IF(A6stdlife="n/a","n/a",IF(Q$3&gt;(A6stdlife+$F136),('RFM input'!$M$228*(1+vanilla6)^0.5)-SUM($M136:P136),('RFM input'!$M$228*(1+vanilla6)^0.5)/A6stdlife))</f>
        <v>2.1611574625185825E-2</v>
      </c>
      <c r="R136" s="18"/>
      <c r="S136" s="74"/>
      <c r="T136" s="74"/>
      <c r="U136" s="74"/>
      <c r="V136" s="74"/>
      <c r="W136" s="74"/>
      <c r="X136" s="74"/>
      <c r="Y136" s="74"/>
      <c r="Z136" s="74"/>
    </row>
    <row r="137" spans="1:26" ht="12.75" hidden="1" customHeight="1" outlineLevel="2">
      <c r="A137" s="241"/>
      <c r="B137" s="241"/>
      <c r="C137" s="241"/>
      <c r="D137" s="16"/>
      <c r="E137" s="1594"/>
      <c r="F137" s="61">
        <v>7</v>
      </c>
      <c r="G137" s="1341"/>
      <c r="H137" s="114"/>
      <c r="I137" s="115"/>
      <c r="J137" s="115"/>
      <c r="K137" s="115"/>
      <c r="L137" s="115"/>
      <c r="M137" s="115"/>
      <c r="N137" s="116"/>
      <c r="O137" s="18">
        <f>IF(A6stdlife="n/a","n/a",IF(O$3&gt;(A6stdlife+$F137),('RFM input'!$N$228*(1+vanilla7)^0.5)-SUM($N137:N137),('RFM input'!$N$228*(1+vanilla7)^0.5)/A6stdlife))</f>
        <v>2.0360967218908739E-2</v>
      </c>
      <c r="P137" s="18">
        <f>IF(A6stdlife="n/a","n/a",IF(P$3&gt;(A6stdlife+$F137),('RFM input'!$N$228*(1+vanilla7)^0.5)-SUM($N137:O137),('RFM input'!$N$228*(1+vanilla7)^0.5)/A6stdlife))</f>
        <v>2.0360967218908739E-2</v>
      </c>
      <c r="Q137" s="18">
        <f>IF(A6stdlife="n/a","n/a",IF(Q$3&gt;(A6stdlife+$F137),('RFM input'!$N$228*(1+vanilla7)^0.5)-SUM($N137:P137),('RFM input'!$N$228*(1+vanilla7)^0.5)/A6stdlife))</f>
        <v>2.0360967218908739E-2</v>
      </c>
      <c r="R137" s="18"/>
      <c r="S137" s="74"/>
      <c r="T137" s="74"/>
      <c r="U137" s="74"/>
      <c r="V137" s="74"/>
      <c r="W137" s="74"/>
      <c r="X137" s="74"/>
      <c r="Y137" s="74"/>
      <c r="Z137" s="74"/>
    </row>
    <row r="138" spans="1:26" ht="12.75" hidden="1" customHeight="1" outlineLevel="2">
      <c r="A138" s="241"/>
      <c r="B138" s="241"/>
      <c r="C138" s="241"/>
      <c r="D138" s="16"/>
      <c r="E138" s="1594"/>
      <c r="F138" s="61">
        <v>8</v>
      </c>
      <c r="G138" s="1341"/>
      <c r="H138" s="114"/>
      <c r="I138" s="115"/>
      <c r="J138" s="115"/>
      <c r="K138" s="115"/>
      <c r="L138" s="115"/>
      <c r="M138" s="115"/>
      <c r="N138" s="115"/>
      <c r="O138" s="116"/>
      <c r="P138" s="18">
        <f>IF(A6stdlife="n/a","n/a",IF(P$3&gt;(A6stdlife+$F138),('RFM input'!$O$228*(1+vanilla8)^0.5)-SUM($O138:O138),('RFM input'!$O$228*(1+vanilla8)^0.5)/A6stdlife))</f>
        <v>0</v>
      </c>
      <c r="Q138" s="18">
        <f>IF(A6stdlife="n/a","n/a",IF(Q$3&gt;(A6stdlife+$F138),('RFM input'!$O$228*(1+vanilla8)^0.5)-SUM($O138:P138),('RFM input'!$O$228*(1+vanilla8)^0.5)/A6stdlife))</f>
        <v>0</v>
      </c>
      <c r="R138" s="18"/>
      <c r="S138" s="74"/>
      <c r="T138" s="74"/>
      <c r="U138" s="74"/>
      <c r="V138" s="74"/>
      <c r="W138" s="74"/>
      <c r="X138" s="74"/>
      <c r="Y138" s="74"/>
      <c r="Z138" s="74"/>
    </row>
    <row r="139" spans="1:26" ht="12.75" hidden="1" customHeight="1" outlineLevel="2">
      <c r="A139" s="241"/>
      <c r="B139" s="241"/>
      <c r="C139" s="241"/>
      <c r="D139" s="16"/>
      <c r="E139" s="1594"/>
      <c r="F139" s="61">
        <v>9</v>
      </c>
      <c r="G139" s="1341"/>
      <c r="H139" s="114"/>
      <c r="I139" s="115"/>
      <c r="J139" s="115"/>
      <c r="K139" s="115"/>
      <c r="L139" s="115"/>
      <c r="M139" s="115"/>
      <c r="N139" s="115"/>
      <c r="O139" s="115"/>
      <c r="P139" s="116"/>
      <c r="Q139" s="18">
        <f>IF(A6stdlife="n/a","n/a",IF(Q$3&gt;(A6stdlife+$F139),('RFM input'!$P$228*(1+vanilla9)^0.5)-SUM($P139:P139),('RFM input'!$P$228*(1+vanilla9)^0.5)/A6stdlife))</f>
        <v>0</v>
      </c>
      <c r="R139" s="18"/>
      <c r="S139" s="74"/>
      <c r="T139" s="74"/>
      <c r="U139" s="74"/>
      <c r="V139" s="74"/>
      <c r="W139" s="74"/>
      <c r="X139" s="74"/>
      <c r="Y139" s="74"/>
      <c r="Z139" s="74"/>
    </row>
    <row r="140" spans="1:26" ht="12.75" hidden="1" customHeight="1" outlineLevel="2">
      <c r="A140" s="241"/>
      <c r="B140" s="241"/>
      <c r="C140" s="241"/>
      <c r="D140" s="16"/>
      <c r="E140" s="1594"/>
      <c r="F140" s="62">
        <v>10</v>
      </c>
      <c r="G140" s="1341"/>
      <c r="H140" s="114"/>
      <c r="I140" s="115"/>
      <c r="J140" s="115"/>
      <c r="K140" s="115"/>
      <c r="L140" s="115"/>
      <c r="M140" s="115"/>
      <c r="N140" s="115"/>
      <c r="O140" s="115"/>
      <c r="P140" s="115"/>
      <c r="Q140" s="116"/>
      <c r="R140" s="18"/>
      <c r="S140" s="74"/>
      <c r="T140" s="74"/>
      <c r="U140" s="74"/>
      <c r="V140" s="74"/>
      <c r="W140" s="74"/>
      <c r="X140" s="74"/>
      <c r="Y140" s="74"/>
      <c r="Z140" s="74"/>
    </row>
    <row r="141" spans="1:26" ht="13.35" hidden="1" customHeight="1" outlineLevel="1">
      <c r="A141" s="241"/>
      <c r="B141" s="241"/>
      <c r="C141" s="241"/>
      <c r="D141" s="134" t="str">
        <f>Asset6</f>
        <v>Other Distribution System Equipment</v>
      </c>
      <c r="E141" s="3"/>
      <c r="F141" s="3"/>
      <c r="G141" s="1341"/>
      <c r="H141" s="1458">
        <f>IF(OR('RFM input'!$E$293='RFM input'!$G$292,'RFM input'!$E$293='RFM input'!$G$293),-INDEX('RFM input'!H$299:H$348,MATCH($D141,'RFM input'!$E$299:$E$348,0),1),-SUM(H129:H140))</f>
        <v>-0.35650703732931266</v>
      </c>
      <c r="I141" s="1458">
        <f>IF(OR('RFM input'!$E$293='RFM input'!$G$292,'RFM input'!$E$293='RFM input'!$G$293),-INDEX('RFM input'!I$299:I$348,MATCH($D141,'RFM input'!$E$299:$E$348,0),1),-SUM(I129:I140))</f>
        <v>-0.38331179559285861</v>
      </c>
      <c r="J141" s="1386">
        <f>IF(COUNT($H141:I141)&gt;='RFM input'!$V$7,
   0,
   IF(OR('RFM input'!$E$293='RFM input'!$G$292,'RFM input'!$E$293='RFM input'!$G$293),
      -INDEX('RFM input'!J$299:J$348,MATCH($D141,'RFM input'!$E$299:$E$348,0),1),
      -SUM(J129:J140)))</f>
        <v>-0.39532504649451622</v>
      </c>
      <c r="K141" s="1386">
        <f>IF(COUNT($H141:J141)&gt;='RFM input'!$V$7,
   0,
   IF(OR('RFM input'!$E$293='RFM input'!$G$292,'RFM input'!$E$293='RFM input'!$G$293),
      -INDEX('RFM input'!K$299:K$348,MATCH($D141,'RFM input'!$E$299:$E$348,0),1),
      -SUM(K129:K140)))</f>
        <v>-0.41397680408501408</v>
      </c>
      <c r="L141" s="1386">
        <f>IF(COUNT($H141:K141)&gt;='RFM input'!$V$7,
   0,
   IF(OR('RFM input'!$E$293='RFM input'!$G$292,'RFM input'!$E$293='RFM input'!$G$293),
      -INDEX('RFM input'!L$299:L$348,MATCH($D141,'RFM input'!$E$299:$E$348,0),1),
      -SUM(L129:L140)))</f>
        <v>-0.45666252212909342</v>
      </c>
      <c r="M141" s="1386">
        <f>IF(COUNT($H141:L141)&gt;='RFM input'!$V$7,
   0,
   IF(OR('RFM input'!$E$293='RFM input'!$G$292,'RFM input'!$E$293='RFM input'!$G$293),
      -INDEX('RFM input'!M$299:M$348,MATCH($D141,'RFM input'!$E$299:$E$348,0),1),
      -SUM(M129:M140)))</f>
        <v>-0.4780507919036418</v>
      </c>
      <c r="N141" s="1386">
        <f>IF(COUNT($H141:M141)&gt;='RFM input'!$V$7,
   0,
   IF(OR('RFM input'!$E$293='RFM input'!$G$292,'RFM input'!$E$293='RFM input'!$G$293),
      -INDEX('RFM input'!N$299:N$348,MATCH($D141,'RFM input'!$E$299:$E$348,0),1),
      -SUM(N129:N140)))</f>
        <v>-0.49966236652882762</v>
      </c>
      <c r="O141" s="1386">
        <f>IF(COUNT($H141:N141)&gt;='RFM input'!$V$7,
   0,
   IF(OR('RFM input'!$E$293='RFM input'!$G$292,'RFM input'!$E$293='RFM input'!$G$293),
      -INDEX('RFM input'!O$299:O$348,MATCH($D141,'RFM input'!$E$299:$E$348,0),1),
      -SUM(O129:O140)))</f>
        <v>0</v>
      </c>
      <c r="P141" s="1386">
        <f>IF(COUNT($H141:O141)&gt;='RFM input'!$V$7,
   0,
   IF(OR('RFM input'!$E$293='RFM input'!$G$292,'RFM input'!$E$293='RFM input'!$G$293),
      -INDEX('RFM input'!P$299:P$348,MATCH($D141,'RFM input'!$E$299:$E$348,0),1),
      -SUM(P129:P140)))</f>
        <v>0</v>
      </c>
      <c r="Q141" s="1386">
        <f>IF(COUNT($H141:P141)&gt;='RFM input'!$V$7,
   0,
   IF(OR('RFM input'!$E$293='RFM input'!$G$292,'RFM input'!$E$293='RFM input'!$G$293),
      -INDEX('RFM input'!Q$299:Q$348,MATCH($D141,'RFM input'!$E$299:$E$348,0),1),
      -SUM(Q129:Q140)))</f>
        <v>0</v>
      </c>
      <c r="R141" s="1382"/>
      <c r="S141" s="76"/>
      <c r="T141" s="76"/>
      <c r="U141" s="76"/>
      <c r="V141" s="76"/>
      <c r="W141" s="76"/>
      <c r="X141" s="76"/>
      <c r="Y141" s="76"/>
      <c r="Z141" s="76"/>
    </row>
    <row r="142" spans="1:26" ht="12.75" hidden="1" customHeight="1" outlineLevel="2">
      <c r="A142" s="241"/>
      <c r="B142" s="241"/>
      <c r="C142" s="135" t="str">
        <f>Asset7</f>
        <v>Other</v>
      </c>
      <c r="D142" s="100"/>
      <c r="E142" s="20" t="s">
        <v>23</v>
      </c>
      <c r="F142" s="19"/>
      <c r="G142" s="1383"/>
      <c r="H142" s="1380" t="str">
        <f>IF(H$3&gt;A7remlife,A7value-SUM($G142:G142),IF(A7remlife="N/A","n/a",A7value/A7remlife))</f>
        <v>n/a</v>
      </c>
      <c r="I142" s="1380" t="str">
        <f>IF(I$3&gt;A7remlife,A7value-SUM($G142:H142),IF(A7remlife="N/A","n/a",A7value/A7remlife))</f>
        <v>n/a</v>
      </c>
      <c r="J142" s="1380" t="str">
        <f>IF(J$3&gt;A7remlife,A7value-SUM($G142:I142),IF(A7remlife="N/A","n/a",A7value/A7remlife))</f>
        <v>n/a</v>
      </c>
      <c r="K142" s="1380" t="str">
        <f>IF(K$3&gt;A7remlife,A7value-SUM($G142:J142),IF(A7remlife="N/A","n/a",A7value/A7remlife))</f>
        <v>n/a</v>
      </c>
      <c r="L142" s="1380" t="str">
        <f>IF(L$3&gt;A7remlife,A7value-SUM($G142:K142),IF(A7remlife="N/A","n/a",A7value/A7remlife))</f>
        <v>n/a</v>
      </c>
      <c r="M142" s="1380" t="str">
        <f>IF(M$3&gt;A7remlife,A7value-SUM($G142:L142),IF(A7remlife="N/A","n/a",A7value/A7remlife))</f>
        <v>n/a</v>
      </c>
      <c r="N142" s="1380" t="str">
        <f>IF(N$3&gt;A7remlife,A7value-SUM($G142:M142),IF(A7remlife="N/A","n/a",A7value/A7remlife))</f>
        <v>n/a</v>
      </c>
      <c r="O142" s="1380" t="str">
        <f>IF(O$3&gt;A7remlife,A7value-SUM($G142:N142),IF(A7remlife="N/A","n/a",A7value/A7remlife))</f>
        <v>n/a</v>
      </c>
      <c r="P142" s="1380" t="str">
        <f>IF(P$3&gt;A7remlife,A7value-SUM($G142:O142),IF(A7remlife="N/A","n/a",A7value/A7remlife))</f>
        <v>n/a</v>
      </c>
      <c r="Q142" s="1380" t="str">
        <f>IF(Q$3&gt;A7remlife,A7value-SUM($G142:P142),IF(A7remlife="N/A","n/a",A7value/A7remlife))</f>
        <v>n/a</v>
      </c>
      <c r="R142" s="21"/>
      <c r="S142" s="74"/>
      <c r="T142" s="74"/>
      <c r="U142" s="74"/>
      <c r="V142" s="74"/>
      <c r="W142" s="74"/>
      <c r="X142" s="74"/>
      <c r="Y142" s="74"/>
      <c r="Z142" s="74"/>
    </row>
    <row r="143" spans="1:26" ht="12.75" hidden="1" customHeight="1" outlineLevel="2">
      <c r="A143" s="241"/>
      <c r="B143" s="241"/>
      <c r="C143" s="241"/>
      <c r="D143" s="16"/>
      <c r="E143" s="1593" t="s">
        <v>43</v>
      </c>
      <c r="F143" s="61"/>
      <c r="G143" s="1341"/>
      <c r="H143" s="1386"/>
      <c r="I143" s="1386"/>
      <c r="J143" s="1386"/>
      <c r="K143" s="1386"/>
      <c r="L143" s="1386"/>
      <c r="M143" s="1387"/>
      <c r="N143" s="1388"/>
      <c r="O143" s="1386"/>
      <c r="P143" s="1386"/>
      <c r="Q143" s="1386"/>
      <c r="R143" s="18"/>
      <c r="S143" s="74"/>
      <c r="T143" s="74"/>
      <c r="U143" s="74"/>
      <c r="V143" s="74"/>
      <c r="W143" s="74"/>
      <c r="X143" s="74"/>
      <c r="Y143" s="74"/>
      <c r="Z143" s="74"/>
    </row>
    <row r="144" spans="1:26" ht="12.75" hidden="1" customHeight="1" outlineLevel="2">
      <c r="A144" s="241"/>
      <c r="B144" s="241"/>
      <c r="C144" s="241"/>
      <c r="D144" s="16"/>
      <c r="E144" s="1594"/>
      <c r="F144" s="61">
        <v>1</v>
      </c>
      <c r="G144" s="1341"/>
      <c r="H144" s="1381"/>
      <c r="I144" s="18">
        <f>IF(A7stdlife="n/a","n/a",IF(I$3&gt;(A7stdlife+$F144),('RFM input'!$H$229*(1+vanilla1)^0.5)-SUM($H144:H144),('RFM input'!$H$229*(1+vanilla1)^0.5)/A7stdlife))</f>
        <v>-2.927607119854419E-3</v>
      </c>
      <c r="J144" s="18">
        <f>IF(A7stdlife="n/a","n/a",IF(J$3&gt;(A7stdlife+$F144),('RFM input'!$H$229*(1+vanilla1)^0.5)-SUM($H144:I144),('RFM input'!$H$229*(1+vanilla1)^0.5)/A7stdlife))</f>
        <v>-2.927607119854419E-3</v>
      </c>
      <c r="K144" s="18">
        <f>IF(A7stdlife="n/a","n/a",IF(K$3&gt;(A7stdlife+$F144),('RFM input'!$H$229*(1+vanilla1)^0.5)-SUM($H144:J144),('RFM input'!$H$229*(1+vanilla1)^0.5)/A7stdlife))</f>
        <v>-2.927607119854419E-3</v>
      </c>
      <c r="L144" s="18">
        <f>IF(A7stdlife="n/a","n/a",IF(L$3&gt;(A7stdlife+$F144),('RFM input'!$H$229*(1+vanilla1)^0.5)-SUM($H144:K144),('RFM input'!$H$229*(1+vanilla1)^0.5)/A7stdlife))</f>
        <v>-2.927607119854419E-3</v>
      </c>
      <c r="M144" s="18">
        <f>IF(A7stdlife="n/a","n/a",IF(M$3&gt;(A7stdlife+$F144),('RFM input'!$H$229*(1+vanilla1)^0.5)-SUM($H144:L144),('RFM input'!$H$229*(1+vanilla1)^0.5)/A7stdlife))</f>
        <v>-2.927607119854419E-3</v>
      </c>
      <c r="N144" s="18">
        <f>IF(A7stdlife="n/a","n/a",IF(N$3&gt;(A7stdlife+$F144),('RFM input'!$H$229*(1+vanilla1)^0.5)-SUM($H144:M144),('RFM input'!$H$229*(1+vanilla1)^0.5)/A7stdlife))</f>
        <v>-2.927607119854419E-3</v>
      </c>
      <c r="O144" s="18">
        <f>IF(A7stdlife="n/a","n/a",IF(O$3&gt;(A7stdlife+$F144),('RFM input'!$H$229*(1+vanilla1)^0.5)-SUM($H144:N144),('RFM input'!$H$229*(1+vanilla1)^0.5)/A7stdlife))</f>
        <v>-2.927607119854419E-3</v>
      </c>
      <c r="P144" s="18">
        <f>IF(A7stdlife="n/a","n/a",IF(P$3&gt;(A7stdlife+$F144),('RFM input'!$H$229*(1+vanilla1)^0.5)-SUM($H144:O144),('RFM input'!$H$229*(1+vanilla1)^0.5)/A7stdlife))</f>
        <v>-2.927607119854419E-3</v>
      </c>
      <c r="Q144" s="18">
        <f>IF(A7stdlife="n/a","n/a",IF(Q$3&gt;(A7stdlife+$F144),('RFM input'!$H$229*(1+vanilla1)^0.5)-SUM($H144:P144),('RFM input'!$H$229*(1+vanilla1)^0.5)/A7stdlife))</f>
        <v>-2.927607119854419E-3</v>
      </c>
      <c r="R144" s="18"/>
      <c r="S144" s="74"/>
      <c r="T144" s="74"/>
      <c r="U144" s="74"/>
      <c r="V144" s="74"/>
      <c r="W144" s="74"/>
      <c r="X144" s="74"/>
      <c r="Y144" s="74"/>
      <c r="Z144" s="74"/>
    </row>
    <row r="145" spans="1:26" ht="12.75" hidden="1" customHeight="1" outlineLevel="2">
      <c r="A145" s="241"/>
      <c r="B145" s="241"/>
      <c r="C145" s="241"/>
      <c r="D145" s="16"/>
      <c r="E145" s="1594"/>
      <c r="F145" s="61">
        <v>2</v>
      </c>
      <c r="G145" s="1341"/>
      <c r="H145" s="114"/>
      <c r="I145" s="116"/>
      <c r="J145" s="18">
        <f>IF(A7stdlife="n/a","n/a",IF(J$3&gt;(A7stdlife+$F145),('RFM input'!$I$229*(1+vanilla2)^0.5)-SUM($I145:I145),('RFM input'!$I$229*(1+vanilla2)^0.5)/A7stdlife))</f>
        <v>0</v>
      </c>
      <c r="K145" s="18">
        <f>IF(A7stdlife="n/a","n/a",IF(K$3&gt;(A7stdlife+$F145),('RFM input'!$I$229*(1+vanilla2)^0.5)-SUM($I145:J145),('RFM input'!$I$229*(1+vanilla2)^0.5)/A7stdlife))</f>
        <v>0</v>
      </c>
      <c r="L145" s="18">
        <f>IF(A7stdlife="n/a","n/a",IF(L$3&gt;(A7stdlife+$F145),('RFM input'!$I$229*(1+vanilla2)^0.5)-SUM($I145:K145),('RFM input'!$I$229*(1+vanilla2)^0.5)/A7stdlife))</f>
        <v>0</v>
      </c>
      <c r="M145" s="18">
        <f>IF(A7stdlife="n/a","n/a",IF(M$3&gt;(A7stdlife+$F145),('RFM input'!$I$229*(1+vanilla2)^0.5)-SUM($I145:L145),('RFM input'!$I$229*(1+vanilla2)^0.5)/A7stdlife))</f>
        <v>0</v>
      </c>
      <c r="N145" s="18">
        <f>IF(A7stdlife="n/a","n/a",IF(N$3&gt;(A7stdlife+$F145),('RFM input'!$I$229*(1+vanilla2)^0.5)-SUM($I145:M145),('RFM input'!$I$229*(1+vanilla2)^0.5)/A7stdlife))</f>
        <v>0</v>
      </c>
      <c r="O145" s="18">
        <f>IF(A7stdlife="n/a","n/a",IF(O$3&gt;(A7stdlife+$F145),('RFM input'!$I$229*(1+vanilla2)^0.5)-SUM($I145:N145),('RFM input'!$I$229*(1+vanilla2)^0.5)/A7stdlife))</f>
        <v>0</v>
      </c>
      <c r="P145" s="18">
        <f>IF(A7stdlife="n/a","n/a",IF(P$3&gt;(A7stdlife+$F145),('RFM input'!$I$229*(1+vanilla2)^0.5)-SUM($I145:O145),('RFM input'!$I$229*(1+vanilla2)^0.5)/A7stdlife))</f>
        <v>0</v>
      </c>
      <c r="Q145" s="18">
        <f>IF(A7stdlife="n/a","n/a",IF(Q$3&gt;(A7stdlife+$F145),('RFM input'!$I$229*(1+vanilla2)^0.5)-SUM($I145:P145),('RFM input'!$I$229*(1+vanilla2)^0.5)/A7stdlife))</f>
        <v>0</v>
      </c>
      <c r="R145" s="18"/>
      <c r="S145" s="74"/>
      <c r="T145" s="74"/>
      <c r="U145" s="74"/>
      <c r="V145" s="74"/>
      <c r="W145" s="74"/>
      <c r="X145" s="74"/>
      <c r="Y145" s="74"/>
      <c r="Z145" s="74"/>
    </row>
    <row r="146" spans="1:26" ht="12.75" hidden="1" customHeight="1" outlineLevel="2">
      <c r="A146" s="241"/>
      <c r="B146" s="241"/>
      <c r="C146" s="241"/>
      <c r="D146" s="16"/>
      <c r="E146" s="1594"/>
      <c r="F146" s="61">
        <v>3</v>
      </c>
      <c r="G146" s="1341"/>
      <c r="H146" s="114"/>
      <c r="I146" s="115"/>
      <c r="J146" s="116"/>
      <c r="K146" s="18">
        <f>IF(A7stdlife="n/a","n/a",IF(K$3&gt;(A7stdlife+$F146),('RFM input'!$J$229*(1+vanilla3)^0.5)-SUM($J146:J146),('RFM input'!$J$229*(1+vanilla3)^0.5)/A7stdlife))</f>
        <v>0</v>
      </c>
      <c r="L146" s="18">
        <f>IF(A7stdlife="n/a","n/a",IF(L$3&gt;(A7stdlife+$F146),('RFM input'!$J$229*(1+vanilla3)^0.5)-SUM($J146:K146),('RFM input'!$J$229*(1+vanilla3)^0.5)/A7stdlife))</f>
        <v>0</v>
      </c>
      <c r="M146" s="18">
        <f>IF(A7stdlife="n/a","n/a",IF(M$3&gt;(A7stdlife+$F146),('RFM input'!$J$229*(1+vanilla3)^0.5)-SUM($J146:L146),('RFM input'!$J$229*(1+vanilla3)^0.5)/A7stdlife))</f>
        <v>0</v>
      </c>
      <c r="N146" s="18">
        <f>IF(A7stdlife="n/a","n/a",IF(N$3&gt;(A7stdlife+$F146),('RFM input'!$J$229*(1+vanilla3)^0.5)-SUM($J146:M146),('RFM input'!$J$229*(1+vanilla3)^0.5)/A7stdlife))</f>
        <v>0</v>
      </c>
      <c r="O146" s="18">
        <f>IF(A7stdlife="n/a","n/a",IF(O$3&gt;(A7stdlife+$F146),('RFM input'!$J$229*(1+vanilla3)^0.5)-SUM($J146:N146),('RFM input'!$J$229*(1+vanilla3)^0.5)/A7stdlife))</f>
        <v>0</v>
      </c>
      <c r="P146" s="18">
        <f>IF(A7stdlife="n/a","n/a",IF(P$3&gt;(A7stdlife+$F146),('RFM input'!$J$229*(1+vanilla3)^0.5)-SUM($J146:O146),('RFM input'!$J$229*(1+vanilla3)^0.5)/A7stdlife))</f>
        <v>0</v>
      </c>
      <c r="Q146" s="18">
        <f>IF(A7stdlife="n/a","n/a",IF(Q$3&gt;(A7stdlife+$F146),('RFM input'!$J$229*(1+vanilla3)^0.5)-SUM($J146:P146),('RFM input'!$J$229*(1+vanilla3)^0.5)/A7stdlife))</f>
        <v>0</v>
      </c>
      <c r="R146" s="18"/>
      <c r="S146" s="74"/>
      <c r="T146" s="74"/>
      <c r="U146" s="74"/>
      <c r="V146" s="74"/>
      <c r="W146" s="74"/>
      <c r="X146" s="74"/>
      <c r="Y146" s="74"/>
      <c r="Z146" s="74"/>
    </row>
    <row r="147" spans="1:26" ht="12.75" hidden="1" customHeight="1" outlineLevel="2">
      <c r="A147" s="241"/>
      <c r="B147" s="241"/>
      <c r="C147" s="241"/>
      <c r="D147" s="16"/>
      <c r="E147" s="1594"/>
      <c r="F147" s="61">
        <v>4</v>
      </c>
      <c r="G147" s="1341"/>
      <c r="H147" s="114"/>
      <c r="I147" s="115"/>
      <c r="J147" s="115"/>
      <c r="K147" s="116"/>
      <c r="L147" s="18">
        <f>IF(A7stdlife="n/a","n/a",IF(L$3&gt;(A7stdlife+$F147),('RFM input'!$K$229*(1+vanilla4)^0.5)-SUM($K147:K147),('RFM input'!$K$229*(1+vanilla4)^0.5)/A7stdlife))</f>
        <v>0</v>
      </c>
      <c r="M147" s="18">
        <f>IF(A7stdlife="n/a","n/a",IF(M$3&gt;(A7stdlife+$F147),('RFM input'!$K$229*(1+vanilla4)^0.5)-SUM($K147:L147),('RFM input'!$K$229*(1+vanilla4)^0.5)/A7stdlife))</f>
        <v>0</v>
      </c>
      <c r="N147" s="18">
        <f>IF(A7stdlife="n/a","n/a",IF(N$3&gt;(A7stdlife+$F147),('RFM input'!$K$229*(1+vanilla4)^0.5)-SUM($K147:M147),('RFM input'!$K$229*(1+vanilla4)^0.5)/A7stdlife))</f>
        <v>0</v>
      </c>
      <c r="O147" s="18">
        <f>IF(A7stdlife="n/a","n/a",IF(O$3&gt;(A7stdlife+$F147),('RFM input'!$K$229*(1+vanilla4)^0.5)-SUM($K147:N147),('RFM input'!$K$229*(1+vanilla4)^0.5)/A7stdlife))</f>
        <v>0</v>
      </c>
      <c r="P147" s="18">
        <f>IF(A7stdlife="n/a","n/a",IF(P$3&gt;(A7stdlife+$F147),('RFM input'!$K$229*(1+vanilla4)^0.5)-SUM($K147:O147),('RFM input'!$K$229*(1+vanilla4)^0.5)/A7stdlife))</f>
        <v>0</v>
      </c>
      <c r="Q147" s="18">
        <f>IF(A7stdlife="n/a","n/a",IF(Q$3&gt;(A7stdlife+$F147),('RFM input'!$K$229*(1+vanilla4)^0.5)-SUM($K147:P147),('RFM input'!$K$229*(1+vanilla4)^0.5)/A7stdlife))</f>
        <v>0</v>
      </c>
      <c r="R147" s="18"/>
      <c r="S147" s="74"/>
      <c r="T147" s="74"/>
      <c r="U147" s="74"/>
      <c r="V147" s="74"/>
      <c r="W147" s="74"/>
      <c r="X147" s="74"/>
      <c r="Y147" s="74"/>
      <c r="Z147" s="74"/>
    </row>
    <row r="148" spans="1:26" ht="12.75" hidden="1" customHeight="1" outlineLevel="2">
      <c r="A148" s="241"/>
      <c r="B148" s="241"/>
      <c r="C148" s="241"/>
      <c r="D148" s="16"/>
      <c r="E148" s="1594"/>
      <c r="F148" s="61">
        <v>5</v>
      </c>
      <c r="G148" s="1341"/>
      <c r="H148" s="114"/>
      <c r="I148" s="115"/>
      <c r="J148" s="115"/>
      <c r="K148" s="115"/>
      <c r="L148" s="116"/>
      <c r="M148" s="18">
        <f>IF(A7stdlife="n/a","n/a",IF(M$3&gt;(A7stdlife+$F148),('RFM input'!$L$229*(1+vanilla5)^0.5)-SUM($L148:L148),('RFM input'!$L$229*(1+vanilla5)^0.5)/A7stdlife))</f>
        <v>0</v>
      </c>
      <c r="N148" s="18">
        <f>IF(A7stdlife="n/a","n/a",IF(N$3&gt;(A7stdlife+$F148),('RFM input'!$L$229*(1+vanilla5)^0.5)-SUM($L148:M148),('RFM input'!$L$229*(1+vanilla5)^0.5)/A7stdlife))</f>
        <v>0</v>
      </c>
      <c r="O148" s="18">
        <f>IF(A7stdlife="n/a","n/a",IF(O$3&gt;(A7stdlife+$F148),('RFM input'!$L$229*(1+vanilla5)^0.5)-SUM($L148:N148),('RFM input'!$L$229*(1+vanilla5)^0.5)/A7stdlife))</f>
        <v>0</v>
      </c>
      <c r="P148" s="18">
        <f>IF(A7stdlife="n/a","n/a",IF(P$3&gt;(A7stdlife+$F148),('RFM input'!$L$229*(1+vanilla5)^0.5)-SUM($L148:O148),('RFM input'!$L$229*(1+vanilla5)^0.5)/A7stdlife))</f>
        <v>0</v>
      </c>
      <c r="Q148" s="18">
        <f>IF(A7stdlife="n/a","n/a",IF(Q$3&gt;(A7stdlife+$F148),('RFM input'!$L$229*(1+vanilla5)^0.5)-SUM($L148:P148),('RFM input'!$L$229*(1+vanilla5)^0.5)/A7stdlife))</f>
        <v>0</v>
      </c>
      <c r="R148" s="18"/>
      <c r="S148" s="74"/>
      <c r="T148" s="74"/>
      <c r="U148" s="74"/>
      <c r="V148" s="74"/>
      <c r="W148" s="74"/>
      <c r="X148" s="74"/>
      <c r="Y148" s="74"/>
      <c r="Z148" s="74"/>
    </row>
    <row r="149" spans="1:26" ht="12.75" hidden="1" customHeight="1" outlineLevel="2">
      <c r="A149" s="241"/>
      <c r="B149" s="241"/>
      <c r="C149" s="241"/>
      <c r="D149" s="16"/>
      <c r="E149" s="1594"/>
      <c r="F149" s="61">
        <v>6</v>
      </c>
      <c r="G149" s="1341"/>
      <c r="H149" s="114"/>
      <c r="I149" s="115"/>
      <c r="J149" s="115"/>
      <c r="K149" s="115"/>
      <c r="L149" s="115"/>
      <c r="M149" s="116"/>
      <c r="N149" s="18">
        <f>IF(A7stdlife="n/a","n/a",IF(N$3&gt;(A7stdlife+$F149),('RFM input'!$M$229*(1+vanilla6)^0.5)-SUM($M149:M149),('RFM input'!$M$229*(1+vanilla6)^0.5)/A7stdlife))</f>
        <v>0</v>
      </c>
      <c r="O149" s="18">
        <f>IF(A7stdlife="n/a","n/a",IF(O$3&gt;(A7stdlife+$F149),('RFM input'!$M$229*(1+vanilla6)^0.5)-SUM($M149:N149),('RFM input'!$M$229*(1+vanilla6)^0.5)/A7stdlife))</f>
        <v>0</v>
      </c>
      <c r="P149" s="18">
        <f>IF(A7stdlife="n/a","n/a",IF(P$3&gt;(A7stdlife+$F149),('RFM input'!$M$229*(1+vanilla6)^0.5)-SUM($M149:O149),('RFM input'!$M$229*(1+vanilla6)^0.5)/A7stdlife))</f>
        <v>0</v>
      </c>
      <c r="Q149" s="18">
        <f>IF(A7stdlife="n/a","n/a",IF(Q$3&gt;(A7stdlife+$F149),('RFM input'!$M$229*(1+vanilla6)^0.5)-SUM($M149:P149),('RFM input'!$M$229*(1+vanilla6)^0.5)/A7stdlife))</f>
        <v>0</v>
      </c>
      <c r="R149" s="18"/>
      <c r="S149" s="74"/>
      <c r="T149" s="74"/>
      <c r="U149" s="74"/>
      <c r="V149" s="74"/>
      <c r="W149" s="74"/>
      <c r="X149" s="74"/>
      <c r="Y149" s="74"/>
      <c r="Z149" s="74"/>
    </row>
    <row r="150" spans="1:26" ht="12.75" hidden="1" customHeight="1" outlineLevel="2">
      <c r="A150" s="241"/>
      <c r="B150" s="241"/>
      <c r="C150" s="241"/>
      <c r="D150" s="16"/>
      <c r="E150" s="1594"/>
      <c r="F150" s="61">
        <v>7</v>
      </c>
      <c r="G150" s="1341"/>
      <c r="H150" s="114"/>
      <c r="I150" s="115"/>
      <c r="J150" s="115"/>
      <c r="K150" s="115"/>
      <c r="L150" s="115"/>
      <c r="M150" s="115"/>
      <c r="N150" s="116"/>
      <c r="O150" s="18">
        <f>IF(A7stdlife="n/a","n/a",IF(O$3&gt;(A7stdlife+$F150),('RFM input'!$N$229*(1+vanilla7)^0.5)-SUM($N150:N150),('RFM input'!$N$229*(1+vanilla7)^0.5)/A7stdlife))</f>
        <v>0</v>
      </c>
      <c r="P150" s="18">
        <f>IF(A7stdlife="n/a","n/a",IF(P$3&gt;(A7stdlife+$F150),('RFM input'!$N$229*(1+vanilla7)^0.5)-SUM($N150:O150),('RFM input'!$N$229*(1+vanilla7)^0.5)/A7stdlife))</f>
        <v>0</v>
      </c>
      <c r="Q150" s="18">
        <f>IF(A7stdlife="n/a","n/a",IF(Q$3&gt;(A7stdlife+$F150),('RFM input'!$N$229*(1+vanilla7)^0.5)-SUM($N150:P150),('RFM input'!$N$229*(1+vanilla7)^0.5)/A7stdlife))</f>
        <v>0</v>
      </c>
      <c r="R150" s="18"/>
      <c r="S150" s="74"/>
      <c r="T150" s="74"/>
      <c r="U150" s="74"/>
      <c r="V150" s="74"/>
      <c r="W150" s="74"/>
      <c r="X150" s="74"/>
      <c r="Y150" s="74"/>
      <c r="Z150" s="74"/>
    </row>
    <row r="151" spans="1:26" ht="12.75" hidden="1" customHeight="1" outlineLevel="2">
      <c r="A151" s="241"/>
      <c r="B151" s="241"/>
      <c r="C151" s="241"/>
      <c r="D151" s="16"/>
      <c r="E151" s="1594"/>
      <c r="F151" s="61">
        <v>8</v>
      </c>
      <c r="G151" s="1341"/>
      <c r="H151" s="114"/>
      <c r="I151" s="115"/>
      <c r="J151" s="115"/>
      <c r="K151" s="115"/>
      <c r="L151" s="115"/>
      <c r="M151" s="115"/>
      <c r="N151" s="115"/>
      <c r="O151" s="116"/>
      <c r="P151" s="18">
        <f>IF(A7stdlife="n/a","n/a",IF(P$3&gt;(A7stdlife+$F151),('RFM input'!$O$229*(1+vanilla8)^0.5)-SUM($O151:O151),('RFM input'!$O$229*(1+vanilla8)^0.5)/A7stdlife))</f>
        <v>0</v>
      </c>
      <c r="Q151" s="18">
        <f>IF(A7stdlife="n/a","n/a",IF(Q$3&gt;(A7stdlife+$F151),('RFM input'!$O$229*(1+vanilla8)^0.5)-SUM($O151:P151),('RFM input'!$O$229*(1+vanilla8)^0.5)/A7stdlife))</f>
        <v>0</v>
      </c>
      <c r="R151" s="18"/>
      <c r="S151" s="74"/>
      <c r="T151" s="74"/>
      <c r="U151" s="74"/>
      <c r="V151" s="74"/>
      <c r="W151" s="74"/>
      <c r="X151" s="74"/>
      <c r="Y151" s="74"/>
      <c r="Z151" s="74"/>
    </row>
    <row r="152" spans="1:26" ht="12.75" hidden="1" customHeight="1" outlineLevel="2">
      <c r="A152" s="241"/>
      <c r="B152" s="241"/>
      <c r="C152" s="241"/>
      <c r="D152" s="16"/>
      <c r="E152" s="1594"/>
      <c r="F152" s="61">
        <v>9</v>
      </c>
      <c r="G152" s="1341"/>
      <c r="H152" s="114"/>
      <c r="I152" s="115"/>
      <c r="J152" s="115"/>
      <c r="K152" s="115"/>
      <c r="L152" s="115"/>
      <c r="M152" s="115"/>
      <c r="N152" s="115"/>
      <c r="O152" s="115"/>
      <c r="P152" s="116"/>
      <c r="Q152" s="18">
        <f>IF(A7stdlife="n/a","n/a",IF(Q$3&gt;(A7stdlife+$F152),('RFM input'!$P$229*(1+vanilla9)^0.5)-SUM($P152:P152),('RFM input'!$P$229*(1+vanilla9)^0.5)/A7stdlife))</f>
        <v>0</v>
      </c>
      <c r="R152" s="18"/>
      <c r="S152" s="74"/>
      <c r="T152" s="74"/>
      <c r="U152" s="74"/>
      <c r="V152" s="74"/>
      <c r="W152" s="74"/>
      <c r="X152" s="74"/>
      <c r="Y152" s="74"/>
      <c r="Z152" s="74"/>
    </row>
    <row r="153" spans="1:26" ht="12.75" hidden="1" customHeight="1" outlineLevel="2">
      <c r="A153" s="241"/>
      <c r="B153" s="241"/>
      <c r="C153" s="241"/>
      <c r="D153" s="16"/>
      <c r="E153" s="1594"/>
      <c r="F153" s="62">
        <v>10</v>
      </c>
      <c r="G153" s="1341"/>
      <c r="H153" s="114"/>
      <c r="I153" s="115"/>
      <c r="J153" s="115"/>
      <c r="K153" s="115"/>
      <c r="L153" s="115"/>
      <c r="M153" s="115"/>
      <c r="N153" s="115"/>
      <c r="O153" s="115"/>
      <c r="P153" s="115"/>
      <c r="Q153" s="116"/>
      <c r="R153" s="18"/>
      <c r="S153" s="74"/>
      <c r="T153" s="74"/>
      <c r="U153" s="74"/>
      <c r="V153" s="74"/>
      <c r="W153" s="74"/>
      <c r="X153" s="74"/>
      <c r="Y153" s="74"/>
      <c r="Z153" s="74"/>
    </row>
    <row r="154" spans="1:26" ht="13.35" hidden="1" customHeight="1" outlineLevel="1">
      <c r="A154" s="241"/>
      <c r="B154" s="241"/>
      <c r="C154" s="241"/>
      <c r="D154" s="134" t="str">
        <f>Asset7</f>
        <v>Other</v>
      </c>
      <c r="E154" s="3"/>
      <c r="F154" s="3"/>
      <c r="G154" s="1341"/>
      <c r="H154" s="1458">
        <f>IF(OR('RFM input'!$E$293='RFM input'!$G$292,'RFM input'!$E$293='RFM input'!$G$293),-INDEX('RFM input'!H$299:H$348,MATCH($D154,'RFM input'!$E$299:$E$348,0),1),-SUM(H142:H153))</f>
        <v>0</v>
      </c>
      <c r="I154" s="1458">
        <f>IF(OR('RFM input'!$E$293='RFM input'!$G$292,'RFM input'!$E$293='RFM input'!$G$293),-INDEX('RFM input'!I$299:I$348,MATCH($D154,'RFM input'!$E$299:$E$348,0),1),-SUM(I142:I153))</f>
        <v>2.927607119854419E-3</v>
      </c>
      <c r="J154" s="1386">
        <f>IF(COUNT($H154:I154)&gt;='RFM input'!$V$7,
   0,
   IF(OR('RFM input'!$E$293='RFM input'!$G$292,'RFM input'!$E$293='RFM input'!$G$293),
      -INDEX('RFM input'!J$299:J$348,MATCH($D154,'RFM input'!$E$299:$E$348,0),1),
      -SUM(J142:J153)))</f>
        <v>2.927607119854419E-3</v>
      </c>
      <c r="K154" s="1386">
        <f>IF(COUNT($H154:J154)&gt;='RFM input'!$V$7,
   0,
   IF(OR('RFM input'!$E$293='RFM input'!$G$292,'RFM input'!$E$293='RFM input'!$G$293),
      -INDEX('RFM input'!K$299:K$348,MATCH($D154,'RFM input'!$E$299:$E$348,0),1),
      -SUM(K142:K153)))</f>
        <v>2.927607119854419E-3</v>
      </c>
      <c r="L154" s="1386">
        <f>IF(COUNT($H154:K154)&gt;='RFM input'!$V$7,
   0,
   IF(OR('RFM input'!$E$293='RFM input'!$G$292,'RFM input'!$E$293='RFM input'!$G$293),
      -INDEX('RFM input'!L$299:L$348,MATCH($D154,'RFM input'!$E$299:$E$348,0),1),
      -SUM(L142:L153)))</f>
        <v>2.927607119854419E-3</v>
      </c>
      <c r="M154" s="1386">
        <f>IF(COUNT($H154:L154)&gt;='RFM input'!$V$7,
   0,
   IF(OR('RFM input'!$E$293='RFM input'!$G$292,'RFM input'!$E$293='RFM input'!$G$293),
      -INDEX('RFM input'!M$299:M$348,MATCH($D154,'RFM input'!$E$299:$E$348,0),1),
      -SUM(M142:M153)))</f>
        <v>2.927607119854419E-3</v>
      </c>
      <c r="N154" s="1386">
        <f>IF(COUNT($H154:M154)&gt;='RFM input'!$V$7,
   0,
   IF(OR('RFM input'!$E$293='RFM input'!$G$292,'RFM input'!$E$293='RFM input'!$G$293),
      -INDEX('RFM input'!N$299:N$348,MATCH($D154,'RFM input'!$E$299:$E$348,0),1),
      -SUM(N142:N153)))</f>
        <v>2.927607119854419E-3</v>
      </c>
      <c r="O154" s="1386">
        <f>IF(COUNT($H154:N154)&gt;='RFM input'!$V$7,
   0,
   IF(OR('RFM input'!$E$293='RFM input'!$G$292,'RFM input'!$E$293='RFM input'!$G$293),
      -INDEX('RFM input'!O$299:O$348,MATCH($D154,'RFM input'!$E$299:$E$348,0),1),
      -SUM(O142:O153)))</f>
        <v>0</v>
      </c>
      <c r="P154" s="1386">
        <f>IF(COUNT($H154:O154)&gt;='RFM input'!$V$7,
   0,
   IF(OR('RFM input'!$E$293='RFM input'!$G$292,'RFM input'!$E$293='RFM input'!$G$293),
      -INDEX('RFM input'!P$299:P$348,MATCH($D154,'RFM input'!$E$299:$E$348,0),1),
      -SUM(P142:P153)))</f>
        <v>0</v>
      </c>
      <c r="Q154" s="1386">
        <f>IF(COUNT($H154:P154)&gt;='RFM input'!$V$7,
   0,
   IF(OR('RFM input'!$E$293='RFM input'!$G$292,'RFM input'!$E$293='RFM input'!$G$293),
      -INDEX('RFM input'!Q$299:Q$348,MATCH($D154,'RFM input'!$E$299:$E$348,0),1),
      -SUM(Q142:Q153)))</f>
        <v>0</v>
      </c>
      <c r="R154" s="1382"/>
      <c r="S154" s="76"/>
      <c r="T154" s="76"/>
      <c r="U154" s="76"/>
      <c r="V154" s="76"/>
      <c r="W154" s="76"/>
      <c r="X154" s="76"/>
      <c r="Y154" s="76"/>
      <c r="Z154" s="76"/>
    </row>
    <row r="155" spans="1:26" ht="12.75" hidden="1" customHeight="1" outlineLevel="2">
      <c r="A155" s="241"/>
      <c r="B155" s="241"/>
      <c r="C155" s="135">
        <f>Asset8</f>
        <v>0</v>
      </c>
      <c r="D155" s="100"/>
      <c r="E155" s="20" t="s">
        <v>23</v>
      </c>
      <c r="F155" s="19"/>
      <c r="G155" s="1383"/>
      <c r="H155" s="1380">
        <f>IF(H$3&gt;A8remlife,A8value-SUM($G155:G155),IF(A8remlife="N/A","n/a",A8value/A8remlife))</f>
        <v>0</v>
      </c>
      <c r="I155" s="1380">
        <f>IF(I$3&gt;A8remlife,A8value-SUM($G155:H155),IF(A8remlife="N/A","n/a",A8value/A8remlife))</f>
        <v>0</v>
      </c>
      <c r="J155" s="1380">
        <f>IF(J$3&gt;A8remlife,A8value-SUM($G155:I155),IF(A8remlife="N/A","n/a",A8value/A8remlife))</f>
        <v>0</v>
      </c>
      <c r="K155" s="1380">
        <f>IF(K$3&gt;A8remlife,A8value-SUM($G155:J155),IF(A8remlife="N/A","n/a",A8value/A8remlife))</f>
        <v>0</v>
      </c>
      <c r="L155" s="1380">
        <f>IF(L$3&gt;A8remlife,A8value-SUM($G155:K155),IF(A8remlife="N/A","n/a",A8value/A8remlife))</f>
        <v>0</v>
      </c>
      <c r="M155" s="1380">
        <f>IF(M$3&gt;A8remlife,A8value-SUM($G155:L155),IF(A8remlife="N/A","n/a",A8value/A8remlife))</f>
        <v>0</v>
      </c>
      <c r="N155" s="1380">
        <f>IF(N$3&gt;A8remlife,A8value-SUM($G155:M155),IF(A8remlife="N/A","n/a",A8value/A8remlife))</f>
        <v>0</v>
      </c>
      <c r="O155" s="1380">
        <f>IF(O$3&gt;A8remlife,A8value-SUM($G155:N155),IF(A8remlife="N/A","n/a",A8value/A8remlife))</f>
        <v>0</v>
      </c>
      <c r="P155" s="1380">
        <f>IF(P$3&gt;A8remlife,A8value-SUM($G155:O155),IF(A8remlife="N/A","n/a",A8value/A8remlife))</f>
        <v>0</v>
      </c>
      <c r="Q155" s="1380">
        <f>IF(Q$3&gt;A8remlife,A8value-SUM($G155:P155),IF(A8remlife="N/A","n/a",A8value/A8remlife))</f>
        <v>0</v>
      </c>
      <c r="R155" s="21"/>
      <c r="S155" s="74"/>
      <c r="T155" s="74"/>
      <c r="U155" s="74"/>
      <c r="V155" s="74"/>
      <c r="W155" s="74"/>
      <c r="X155" s="74"/>
      <c r="Y155" s="74"/>
      <c r="Z155" s="74"/>
    </row>
    <row r="156" spans="1:26" ht="12.75" hidden="1" customHeight="1" outlineLevel="2">
      <c r="A156" s="241"/>
      <c r="B156" s="241"/>
      <c r="C156" s="241"/>
      <c r="D156" s="16"/>
      <c r="E156" s="1593" t="s">
        <v>43</v>
      </c>
      <c r="F156" s="61"/>
      <c r="G156" s="1341"/>
      <c r="H156" s="1386"/>
      <c r="I156" s="1386"/>
      <c r="J156" s="1386"/>
      <c r="K156" s="1386"/>
      <c r="L156" s="1386"/>
      <c r="M156" s="1387"/>
      <c r="N156" s="1388"/>
      <c r="O156" s="1386"/>
      <c r="P156" s="1386"/>
      <c r="Q156" s="1386"/>
      <c r="R156" s="18"/>
      <c r="S156" s="74"/>
      <c r="T156" s="74"/>
      <c r="U156" s="74"/>
      <c r="V156" s="74"/>
      <c r="W156" s="74"/>
      <c r="X156" s="74"/>
      <c r="Y156" s="74"/>
      <c r="Z156" s="74"/>
    </row>
    <row r="157" spans="1:26" ht="12.75" hidden="1" customHeight="1" outlineLevel="2">
      <c r="A157" s="241"/>
      <c r="B157" s="241"/>
      <c r="C157" s="241"/>
      <c r="D157" s="16"/>
      <c r="E157" s="1594"/>
      <c r="F157" s="61">
        <v>1</v>
      </c>
      <c r="G157" s="1341"/>
      <c r="H157" s="1381"/>
      <c r="I157" s="18">
        <f>IF(A8stdlife="n/a","n/a",IF(I$3&gt;(A8stdlife+$F157),('RFM input'!$H$230*(1+vanilla1)^0.5)-SUM($H157:H157),('RFM input'!$H$230*(1+vanilla1)^0.5)/A8stdlife))</f>
        <v>0</v>
      </c>
      <c r="J157" s="18">
        <f>IF(A8stdlife="n/a","n/a",IF(J$3&gt;(A8stdlife+$F157),('RFM input'!$H$230*(1+vanilla1)^0.5)-SUM($H157:I157),('RFM input'!$H$230*(1+vanilla1)^0.5)/A8stdlife))</f>
        <v>0</v>
      </c>
      <c r="K157" s="18">
        <f>IF(A8stdlife="n/a","n/a",IF(K$3&gt;(A8stdlife+$F157),('RFM input'!$H$230*(1+vanilla1)^0.5)-SUM($H157:J157),('RFM input'!$H$230*(1+vanilla1)^0.5)/A8stdlife))</f>
        <v>0</v>
      </c>
      <c r="L157" s="18">
        <f>IF(A8stdlife="n/a","n/a",IF(L$3&gt;(A8stdlife+$F157),('RFM input'!$H$230*(1+vanilla1)^0.5)-SUM($H157:K157),('RFM input'!$H$230*(1+vanilla1)^0.5)/A8stdlife))</f>
        <v>0</v>
      </c>
      <c r="M157" s="18">
        <f>IF(A8stdlife="n/a","n/a",IF(M$3&gt;(A8stdlife+$F157),('RFM input'!$H$230*(1+vanilla1)^0.5)-SUM($H157:L157),('RFM input'!$H$230*(1+vanilla1)^0.5)/A8stdlife))</f>
        <v>0</v>
      </c>
      <c r="N157" s="18">
        <f>IF(A8stdlife="n/a","n/a",IF(N$3&gt;(A8stdlife+$F157),('RFM input'!$H$230*(1+vanilla1)^0.5)-SUM($H157:M157),('RFM input'!$H$230*(1+vanilla1)^0.5)/A8stdlife))</f>
        <v>0</v>
      </c>
      <c r="O157" s="18">
        <f>IF(A8stdlife="n/a","n/a",IF(O$3&gt;(A8stdlife+$F157),('RFM input'!$H$230*(1+vanilla1)^0.5)-SUM($H157:N157),('RFM input'!$H$230*(1+vanilla1)^0.5)/A8stdlife))</f>
        <v>0</v>
      </c>
      <c r="P157" s="18">
        <f>IF(A8stdlife="n/a","n/a",IF(P$3&gt;(A8stdlife+$F157),('RFM input'!$H$230*(1+vanilla1)^0.5)-SUM($H157:O157),('RFM input'!$H$230*(1+vanilla1)^0.5)/A8stdlife))</f>
        <v>0</v>
      </c>
      <c r="Q157" s="18">
        <f>IF(A8stdlife="n/a","n/a",IF(Q$3&gt;(A8stdlife+$F157),('RFM input'!$H$230*(1+vanilla1)^0.5)-SUM($H157:P157),('RFM input'!$H$230*(1+vanilla1)^0.5)/A8stdlife))</f>
        <v>0</v>
      </c>
      <c r="R157" s="18"/>
      <c r="S157" s="74"/>
      <c r="T157" s="74"/>
      <c r="U157" s="74"/>
      <c r="V157" s="74"/>
      <c r="W157" s="74"/>
      <c r="X157" s="74"/>
      <c r="Y157" s="74"/>
      <c r="Z157" s="74"/>
    </row>
    <row r="158" spans="1:26" ht="12.75" hidden="1" customHeight="1" outlineLevel="2">
      <c r="A158" s="241"/>
      <c r="B158" s="241"/>
      <c r="C158" s="241"/>
      <c r="D158" s="16"/>
      <c r="E158" s="1594"/>
      <c r="F158" s="61">
        <v>2</v>
      </c>
      <c r="G158" s="1341"/>
      <c r="H158" s="114"/>
      <c r="I158" s="116"/>
      <c r="J158" s="18">
        <f>IF(A8stdlife="n/a","n/a",IF(J$3&gt;(A8stdlife+$F158),('RFM input'!$I$230*(1+vanilla2)^0.5)-SUM($I158:I158),('RFM input'!$I$230*(1+vanilla2)^0.5)/A8stdlife))</f>
        <v>0</v>
      </c>
      <c r="K158" s="18">
        <f>IF(A8stdlife="n/a","n/a",IF(K$3&gt;(A8stdlife+$F158),('RFM input'!$I$230*(1+vanilla2)^0.5)-SUM($I158:J158),('RFM input'!$I$230*(1+vanilla2)^0.5)/A8stdlife))</f>
        <v>0</v>
      </c>
      <c r="L158" s="18">
        <f>IF(A8stdlife="n/a","n/a",IF(L$3&gt;(A8stdlife+$F158),('RFM input'!$I$230*(1+vanilla2)^0.5)-SUM($I158:K158),('RFM input'!$I$230*(1+vanilla2)^0.5)/A8stdlife))</f>
        <v>0</v>
      </c>
      <c r="M158" s="18">
        <f>IF(A8stdlife="n/a","n/a",IF(M$3&gt;(A8stdlife+$F158),('RFM input'!$I$230*(1+vanilla2)^0.5)-SUM($I158:L158),('RFM input'!$I$230*(1+vanilla2)^0.5)/A8stdlife))</f>
        <v>0</v>
      </c>
      <c r="N158" s="18">
        <f>IF(A8stdlife="n/a","n/a",IF(N$3&gt;(A8stdlife+$F158),('RFM input'!$I$230*(1+vanilla2)^0.5)-SUM($I158:M158),('RFM input'!$I$230*(1+vanilla2)^0.5)/A8stdlife))</f>
        <v>0</v>
      </c>
      <c r="O158" s="18">
        <f>IF(A8stdlife="n/a","n/a",IF(O$3&gt;(A8stdlife+$F158),('RFM input'!$I$230*(1+vanilla2)^0.5)-SUM($I158:N158),('RFM input'!$I$230*(1+vanilla2)^0.5)/A8stdlife))</f>
        <v>0</v>
      </c>
      <c r="P158" s="18">
        <f>IF(A8stdlife="n/a","n/a",IF(P$3&gt;(A8stdlife+$F158),('RFM input'!$I$230*(1+vanilla2)^0.5)-SUM($I158:O158),('RFM input'!$I$230*(1+vanilla2)^0.5)/A8stdlife))</f>
        <v>0</v>
      </c>
      <c r="Q158" s="18">
        <f>IF(A8stdlife="n/a","n/a",IF(Q$3&gt;(A8stdlife+$F158),('RFM input'!$I$230*(1+vanilla2)^0.5)-SUM($I158:P158),('RFM input'!$I$230*(1+vanilla2)^0.5)/A8stdlife))</f>
        <v>0</v>
      </c>
      <c r="R158" s="18"/>
      <c r="S158" s="74"/>
      <c r="T158" s="74"/>
      <c r="U158" s="74"/>
      <c r="V158" s="74"/>
      <c r="W158" s="74"/>
      <c r="X158" s="74"/>
      <c r="Y158" s="74"/>
      <c r="Z158" s="74"/>
    </row>
    <row r="159" spans="1:26" ht="12.75" hidden="1" customHeight="1" outlineLevel="2">
      <c r="A159" s="241"/>
      <c r="B159" s="241"/>
      <c r="C159" s="241"/>
      <c r="D159" s="16"/>
      <c r="E159" s="1594"/>
      <c r="F159" s="61">
        <v>3</v>
      </c>
      <c r="G159" s="1341"/>
      <c r="H159" s="114"/>
      <c r="I159" s="115"/>
      <c r="J159" s="116"/>
      <c r="K159" s="18">
        <f>IF(A8stdlife="n/a","n/a",IF(K$3&gt;(A8stdlife+$F159),('RFM input'!$J$230*(1+vanilla3)^0.5)-SUM($J159:J159),('RFM input'!$J$230*(1+vanilla3)^0.5)/A8stdlife))</f>
        <v>0</v>
      </c>
      <c r="L159" s="18">
        <f>IF(A8stdlife="n/a","n/a",IF(L$3&gt;(A8stdlife+$F159),('RFM input'!$J$230*(1+vanilla3)^0.5)-SUM($J159:K159),('RFM input'!$J$230*(1+vanilla3)^0.5)/A8stdlife))</f>
        <v>0</v>
      </c>
      <c r="M159" s="18">
        <f>IF(A8stdlife="n/a","n/a",IF(M$3&gt;(A8stdlife+$F159),('RFM input'!$J$230*(1+vanilla3)^0.5)-SUM($J159:L159),('RFM input'!$J$230*(1+vanilla3)^0.5)/A8stdlife))</f>
        <v>0</v>
      </c>
      <c r="N159" s="18">
        <f>IF(A8stdlife="n/a","n/a",IF(N$3&gt;(A8stdlife+$F159),('RFM input'!$J$230*(1+vanilla3)^0.5)-SUM($J159:M159),('RFM input'!$J$230*(1+vanilla3)^0.5)/A8stdlife))</f>
        <v>0</v>
      </c>
      <c r="O159" s="18">
        <f>IF(A8stdlife="n/a","n/a",IF(O$3&gt;(A8stdlife+$F159),('RFM input'!$J$230*(1+vanilla3)^0.5)-SUM($J159:N159),('RFM input'!$J$230*(1+vanilla3)^0.5)/A8stdlife))</f>
        <v>0</v>
      </c>
      <c r="P159" s="18">
        <f>IF(A8stdlife="n/a","n/a",IF(P$3&gt;(A8stdlife+$F159),('RFM input'!$J$230*(1+vanilla3)^0.5)-SUM($J159:O159),('RFM input'!$J$230*(1+vanilla3)^0.5)/A8stdlife))</f>
        <v>0</v>
      </c>
      <c r="Q159" s="18">
        <f>IF(A8stdlife="n/a","n/a",IF(Q$3&gt;(A8stdlife+$F159),('RFM input'!$J$230*(1+vanilla3)^0.5)-SUM($J159:P159),('RFM input'!$J$230*(1+vanilla3)^0.5)/A8stdlife))</f>
        <v>0</v>
      </c>
      <c r="R159" s="18"/>
      <c r="S159" s="74"/>
      <c r="T159" s="74"/>
      <c r="U159" s="74"/>
      <c r="V159" s="74"/>
      <c r="W159" s="74"/>
      <c r="X159" s="74"/>
      <c r="Y159" s="74"/>
      <c r="Z159" s="74"/>
    </row>
    <row r="160" spans="1:26" ht="12.75" hidden="1" customHeight="1" outlineLevel="2">
      <c r="A160" s="241"/>
      <c r="B160" s="241"/>
      <c r="C160" s="241"/>
      <c r="D160" s="16"/>
      <c r="E160" s="1594"/>
      <c r="F160" s="61">
        <v>4</v>
      </c>
      <c r="G160" s="1341"/>
      <c r="H160" s="114"/>
      <c r="I160" s="115"/>
      <c r="J160" s="115"/>
      <c r="K160" s="116"/>
      <c r="L160" s="18">
        <f>IF(A8stdlife="n/a","n/a",IF(L$3&gt;(A8stdlife+$F160),('RFM input'!$K$230*(1+vanilla4)^0.5)-SUM($K160:K160),('RFM input'!$K$230*(1+vanilla4)^0.5)/A8stdlife))</f>
        <v>0</v>
      </c>
      <c r="M160" s="18">
        <f>IF(A8stdlife="n/a","n/a",IF(M$3&gt;(A8stdlife+$F160),('RFM input'!$K$230*(1+vanilla4)^0.5)-SUM($K160:L160),('RFM input'!$K$230*(1+vanilla4)^0.5)/A8stdlife))</f>
        <v>0</v>
      </c>
      <c r="N160" s="18">
        <f>IF(A8stdlife="n/a","n/a",IF(N$3&gt;(A8stdlife+$F160),('RFM input'!$K$230*(1+vanilla4)^0.5)-SUM($K160:M160),('RFM input'!$K$230*(1+vanilla4)^0.5)/A8stdlife))</f>
        <v>0</v>
      </c>
      <c r="O160" s="18">
        <f>IF(A8stdlife="n/a","n/a",IF(O$3&gt;(A8stdlife+$F160),('RFM input'!$K$230*(1+vanilla4)^0.5)-SUM($K160:N160),('RFM input'!$K$230*(1+vanilla4)^0.5)/A8stdlife))</f>
        <v>0</v>
      </c>
      <c r="P160" s="18">
        <f>IF(A8stdlife="n/a","n/a",IF(P$3&gt;(A8stdlife+$F160),('RFM input'!$K$230*(1+vanilla4)^0.5)-SUM($K160:O160),('RFM input'!$K$230*(1+vanilla4)^0.5)/A8stdlife))</f>
        <v>0</v>
      </c>
      <c r="Q160" s="18">
        <f>IF(A8stdlife="n/a","n/a",IF(Q$3&gt;(A8stdlife+$F160),('RFM input'!$K$230*(1+vanilla4)^0.5)-SUM($K160:P160),('RFM input'!$K$230*(1+vanilla4)^0.5)/A8stdlife))</f>
        <v>0</v>
      </c>
      <c r="R160" s="18"/>
      <c r="S160" s="74"/>
      <c r="T160" s="74"/>
      <c r="U160" s="74"/>
      <c r="V160" s="74"/>
      <c r="W160" s="74"/>
      <c r="X160" s="74"/>
      <c r="Y160" s="74"/>
      <c r="Z160" s="74"/>
    </row>
    <row r="161" spans="1:26" ht="12.75" hidden="1" customHeight="1" outlineLevel="2">
      <c r="A161" s="241"/>
      <c r="B161" s="241"/>
      <c r="C161" s="241"/>
      <c r="D161" s="16"/>
      <c r="E161" s="1594"/>
      <c r="F161" s="61">
        <v>5</v>
      </c>
      <c r="G161" s="1341"/>
      <c r="H161" s="114"/>
      <c r="I161" s="115"/>
      <c r="J161" s="115"/>
      <c r="K161" s="115"/>
      <c r="L161" s="116"/>
      <c r="M161" s="18">
        <f>IF(A8stdlife="n/a","n/a",IF(M$3&gt;(A8stdlife+$F161),('RFM input'!$L$230*(1+vanilla5)^0.5)-SUM($L161:L161),('RFM input'!$L$230*(1+vanilla5)^0.5)/A8stdlife))</f>
        <v>0</v>
      </c>
      <c r="N161" s="18">
        <f>IF(A8stdlife="n/a","n/a",IF(N$3&gt;(A8stdlife+$F161),('RFM input'!$L$230*(1+vanilla5)^0.5)-SUM($L161:M161),('RFM input'!$L$230*(1+vanilla5)^0.5)/A8stdlife))</f>
        <v>0</v>
      </c>
      <c r="O161" s="18">
        <f>IF(A8stdlife="n/a","n/a",IF(O$3&gt;(A8stdlife+$F161),('RFM input'!$L$230*(1+vanilla5)^0.5)-SUM($L161:N161),('RFM input'!$L$230*(1+vanilla5)^0.5)/A8stdlife))</f>
        <v>0</v>
      </c>
      <c r="P161" s="18">
        <f>IF(A8stdlife="n/a","n/a",IF(P$3&gt;(A8stdlife+$F161),('RFM input'!$L$230*(1+vanilla5)^0.5)-SUM($L161:O161),('RFM input'!$L$230*(1+vanilla5)^0.5)/A8stdlife))</f>
        <v>0</v>
      </c>
      <c r="Q161" s="18">
        <f>IF(A8stdlife="n/a","n/a",IF(Q$3&gt;(A8stdlife+$F161),('RFM input'!$L$230*(1+vanilla5)^0.5)-SUM($L161:P161),('RFM input'!$L$230*(1+vanilla5)^0.5)/A8stdlife))</f>
        <v>0</v>
      </c>
      <c r="R161" s="18"/>
      <c r="S161" s="74"/>
      <c r="T161" s="74"/>
      <c r="U161" s="74"/>
      <c r="V161" s="74"/>
      <c r="W161" s="74"/>
      <c r="X161" s="74"/>
      <c r="Y161" s="74"/>
      <c r="Z161" s="74"/>
    </row>
    <row r="162" spans="1:26" ht="12.75" hidden="1" customHeight="1" outlineLevel="2">
      <c r="A162" s="241"/>
      <c r="B162" s="241"/>
      <c r="C162" s="241"/>
      <c r="D162" s="16"/>
      <c r="E162" s="1594"/>
      <c r="F162" s="61">
        <v>6</v>
      </c>
      <c r="G162" s="1341"/>
      <c r="H162" s="114"/>
      <c r="I162" s="115"/>
      <c r="J162" s="115"/>
      <c r="K162" s="115"/>
      <c r="L162" s="115"/>
      <c r="M162" s="116"/>
      <c r="N162" s="18">
        <f>IF(A8stdlife="n/a","n/a",IF(N$3&gt;(A8stdlife+$F162),('RFM input'!$M$230*(1+vanilla6)^0.5)-SUM($M162:M162),('RFM input'!$M$230*(1+vanilla6)^0.5)/A8stdlife))</f>
        <v>0</v>
      </c>
      <c r="O162" s="18">
        <f>IF(A8stdlife="n/a","n/a",IF(O$3&gt;(A8stdlife+$F162),('RFM input'!$M$230*(1+vanilla6)^0.5)-SUM($M162:N162),('RFM input'!$M$230*(1+vanilla6)^0.5)/A8stdlife))</f>
        <v>0</v>
      </c>
      <c r="P162" s="18">
        <f>IF(A8stdlife="n/a","n/a",IF(P$3&gt;(A8stdlife+$F162),('RFM input'!$M$230*(1+vanilla6)^0.5)-SUM($M162:O162),('RFM input'!$M$230*(1+vanilla6)^0.5)/A8stdlife))</f>
        <v>0</v>
      </c>
      <c r="Q162" s="18">
        <f>IF(A8stdlife="n/a","n/a",IF(Q$3&gt;(A8stdlife+$F162),('RFM input'!$M$230*(1+vanilla6)^0.5)-SUM($M162:P162),('RFM input'!$M$230*(1+vanilla6)^0.5)/A8stdlife))</f>
        <v>0</v>
      </c>
      <c r="R162" s="18"/>
      <c r="S162" s="74"/>
      <c r="T162" s="74"/>
      <c r="U162" s="74"/>
      <c r="V162" s="74"/>
      <c r="W162" s="74"/>
      <c r="X162" s="74"/>
      <c r="Y162" s="74"/>
      <c r="Z162" s="74"/>
    </row>
    <row r="163" spans="1:26" ht="12.75" hidden="1" customHeight="1" outlineLevel="2">
      <c r="A163" s="241"/>
      <c r="B163" s="241"/>
      <c r="C163" s="241"/>
      <c r="D163" s="16"/>
      <c r="E163" s="1594"/>
      <c r="F163" s="61">
        <v>7</v>
      </c>
      <c r="G163" s="1341"/>
      <c r="H163" s="114"/>
      <c r="I163" s="115"/>
      <c r="J163" s="115"/>
      <c r="K163" s="115"/>
      <c r="L163" s="115"/>
      <c r="M163" s="115"/>
      <c r="N163" s="116"/>
      <c r="O163" s="18">
        <f>IF(A8stdlife="n/a","n/a",IF(O$3&gt;(A8stdlife+$F163),('RFM input'!$N$230*(1+vanilla7)^0.5)-SUM($N163:N163),('RFM input'!$N$230*(1+vanilla7)^0.5)/A8stdlife))</f>
        <v>0</v>
      </c>
      <c r="P163" s="18">
        <f>IF(A8stdlife="n/a","n/a",IF(P$3&gt;(A8stdlife+$F163),('RFM input'!$N$230*(1+vanilla7)^0.5)-SUM($N163:O163),('RFM input'!$N$230*(1+vanilla7)^0.5)/A8stdlife))</f>
        <v>0</v>
      </c>
      <c r="Q163" s="18">
        <f>IF(A8stdlife="n/a","n/a",IF(Q$3&gt;(A8stdlife+$F163),('RFM input'!$N$230*(1+vanilla7)^0.5)-SUM($N163:P163),('RFM input'!$N$230*(1+vanilla7)^0.5)/A8stdlife))</f>
        <v>0</v>
      </c>
      <c r="R163" s="18"/>
      <c r="S163" s="74"/>
      <c r="T163" s="74"/>
      <c r="U163" s="74"/>
      <c r="V163" s="74"/>
      <c r="W163" s="74"/>
      <c r="X163" s="74"/>
      <c r="Y163" s="74"/>
      <c r="Z163" s="74"/>
    </row>
    <row r="164" spans="1:26" ht="12.75" hidden="1" customHeight="1" outlineLevel="2">
      <c r="A164" s="241"/>
      <c r="B164" s="241"/>
      <c r="C164" s="241"/>
      <c r="D164" s="16"/>
      <c r="E164" s="1594"/>
      <c r="F164" s="61">
        <v>8</v>
      </c>
      <c r="G164" s="1341"/>
      <c r="H164" s="114"/>
      <c r="I164" s="115"/>
      <c r="J164" s="115"/>
      <c r="K164" s="115"/>
      <c r="L164" s="115"/>
      <c r="M164" s="115"/>
      <c r="N164" s="115"/>
      <c r="O164" s="116"/>
      <c r="P164" s="18">
        <f>IF(A8stdlife="n/a","n/a",IF(P$3&gt;(A8stdlife+$F164),('RFM input'!$O$230*(1+vanilla8)^0.5)-SUM($O164:O164),('RFM input'!$O$230*(1+vanilla8)^0.5)/A8stdlife))</f>
        <v>0</v>
      </c>
      <c r="Q164" s="18">
        <f>IF(A8stdlife="n/a","n/a",IF(Q$3&gt;(A8stdlife+$F164),('RFM input'!$O$230*(1+vanilla8)^0.5)-SUM($O164:P164),('RFM input'!$O$230*(1+vanilla8)^0.5)/A8stdlife))</f>
        <v>0</v>
      </c>
      <c r="R164" s="18"/>
      <c r="S164" s="74"/>
      <c r="T164" s="74"/>
      <c r="U164" s="74"/>
      <c r="V164" s="74"/>
      <c r="W164" s="74"/>
      <c r="X164" s="74"/>
      <c r="Y164" s="74"/>
      <c r="Z164" s="74"/>
    </row>
    <row r="165" spans="1:26" ht="12.75" hidden="1" customHeight="1" outlineLevel="2">
      <c r="A165" s="241"/>
      <c r="B165" s="241"/>
      <c r="C165" s="241"/>
      <c r="D165" s="16"/>
      <c r="E165" s="1594"/>
      <c r="F165" s="61">
        <v>9</v>
      </c>
      <c r="G165" s="1341"/>
      <c r="H165" s="114"/>
      <c r="I165" s="115"/>
      <c r="J165" s="115"/>
      <c r="K165" s="115"/>
      <c r="L165" s="115"/>
      <c r="M165" s="115"/>
      <c r="N165" s="115"/>
      <c r="O165" s="115"/>
      <c r="P165" s="116"/>
      <c r="Q165" s="18">
        <f>IF(A8stdlife="n/a","n/a",IF(Q$3&gt;(A8stdlife+$F165),('RFM input'!$P$230*(1+vanilla9)^0.5)-SUM($P165:P165),('RFM input'!$P$230*(1+vanilla9)^0.5)/A8stdlife))</f>
        <v>0</v>
      </c>
      <c r="R165" s="18"/>
      <c r="S165" s="74"/>
      <c r="T165" s="74"/>
      <c r="U165" s="74"/>
      <c r="V165" s="74"/>
      <c r="W165" s="74"/>
      <c r="X165" s="74"/>
      <c r="Y165" s="74"/>
      <c r="Z165" s="74"/>
    </row>
    <row r="166" spans="1:26" ht="12.75" hidden="1" customHeight="1" outlineLevel="2">
      <c r="A166" s="241"/>
      <c r="B166" s="241"/>
      <c r="C166" s="241"/>
      <c r="D166" s="16"/>
      <c r="E166" s="1594"/>
      <c r="F166" s="62">
        <v>10</v>
      </c>
      <c r="G166" s="1341"/>
      <c r="H166" s="114"/>
      <c r="I166" s="115"/>
      <c r="J166" s="115"/>
      <c r="K166" s="115"/>
      <c r="L166" s="115"/>
      <c r="M166" s="115"/>
      <c r="N166" s="115"/>
      <c r="O166" s="115"/>
      <c r="P166" s="115"/>
      <c r="Q166" s="116"/>
      <c r="R166" s="18"/>
      <c r="S166" s="74"/>
      <c r="T166" s="74"/>
      <c r="U166" s="74"/>
      <c r="V166" s="74"/>
      <c r="W166" s="74"/>
      <c r="X166" s="74"/>
      <c r="Y166" s="74"/>
      <c r="Z166" s="74"/>
    </row>
    <row r="167" spans="1:26" ht="13.35" hidden="1" customHeight="1" outlineLevel="1">
      <c r="A167" s="241"/>
      <c r="B167" s="241"/>
      <c r="C167" s="241"/>
      <c r="D167" s="134">
        <f>Asset8</f>
        <v>0</v>
      </c>
      <c r="E167" s="3"/>
      <c r="F167" s="3"/>
      <c r="G167" s="1341"/>
      <c r="H167" s="1458">
        <f>IF(OR('RFM input'!$E$293='RFM input'!$G$292,'RFM input'!$E$293='RFM input'!$G$293),-INDEX('RFM input'!H$299:H$348,MATCH($D167,'RFM input'!$E$299:$E$348,0),1),-SUM(H155:H166))</f>
        <v>0</v>
      </c>
      <c r="I167" s="1458">
        <f>IF(OR('RFM input'!$E$293='RFM input'!$G$292,'RFM input'!$E$293='RFM input'!$G$293),-INDEX('RFM input'!I$299:I$348,MATCH($D167,'RFM input'!$E$299:$E$348,0),1),-SUM(I155:I166))</f>
        <v>0</v>
      </c>
      <c r="J167" s="1386">
        <f>IF(COUNT($H167:I167)&gt;='RFM input'!$V$7,
   0,
   IF(OR('RFM input'!$E$293='RFM input'!$G$292,'RFM input'!$E$293='RFM input'!$G$293),
      -INDEX('RFM input'!J$299:J$348,MATCH($D167,'RFM input'!$E$299:$E$348,0),1),
      -SUM(J155:J166)))</f>
        <v>0</v>
      </c>
      <c r="K167" s="1386">
        <f>IF(COUNT($H167:J167)&gt;='RFM input'!$V$7,
   0,
   IF(OR('RFM input'!$E$293='RFM input'!$G$292,'RFM input'!$E$293='RFM input'!$G$293),
      -INDEX('RFM input'!K$299:K$348,MATCH($D167,'RFM input'!$E$299:$E$348,0),1),
      -SUM(K155:K166)))</f>
        <v>0</v>
      </c>
      <c r="L167" s="1386">
        <f>IF(COUNT($H167:K167)&gt;='RFM input'!$V$7,
   0,
   IF(OR('RFM input'!$E$293='RFM input'!$G$292,'RFM input'!$E$293='RFM input'!$G$293),
      -INDEX('RFM input'!L$299:L$348,MATCH($D167,'RFM input'!$E$299:$E$348,0),1),
      -SUM(L155:L166)))</f>
        <v>0</v>
      </c>
      <c r="M167" s="1386">
        <f>IF(COUNT($H167:L167)&gt;='RFM input'!$V$7,
   0,
   IF(OR('RFM input'!$E$293='RFM input'!$G$292,'RFM input'!$E$293='RFM input'!$G$293),
      -INDEX('RFM input'!M$299:M$348,MATCH($D167,'RFM input'!$E$299:$E$348,0),1),
      -SUM(M155:M166)))</f>
        <v>0</v>
      </c>
      <c r="N167" s="1386">
        <f>IF(COUNT($H167:M167)&gt;='RFM input'!$V$7,
   0,
   IF(OR('RFM input'!$E$293='RFM input'!$G$292,'RFM input'!$E$293='RFM input'!$G$293),
      -INDEX('RFM input'!N$299:N$348,MATCH($D167,'RFM input'!$E$299:$E$348,0),1),
      -SUM(N155:N166)))</f>
        <v>0</v>
      </c>
      <c r="O167" s="1386">
        <f>IF(COUNT($H167:N167)&gt;='RFM input'!$V$7,
   0,
   IF(OR('RFM input'!$E$293='RFM input'!$G$292,'RFM input'!$E$293='RFM input'!$G$293),
      -INDEX('RFM input'!O$299:O$348,MATCH($D167,'RFM input'!$E$299:$E$348,0),1),
      -SUM(O155:O166)))</f>
        <v>0</v>
      </c>
      <c r="P167" s="1386">
        <f>IF(COUNT($H167:O167)&gt;='RFM input'!$V$7,
   0,
   IF(OR('RFM input'!$E$293='RFM input'!$G$292,'RFM input'!$E$293='RFM input'!$G$293),
      -INDEX('RFM input'!P$299:P$348,MATCH($D167,'RFM input'!$E$299:$E$348,0),1),
      -SUM(P155:P166)))</f>
        <v>0</v>
      </c>
      <c r="Q167" s="1386">
        <f>IF(COUNT($H167:P167)&gt;='RFM input'!$V$7,
   0,
   IF(OR('RFM input'!$E$293='RFM input'!$G$292,'RFM input'!$E$293='RFM input'!$G$293),
      -INDEX('RFM input'!Q$299:Q$348,MATCH($D167,'RFM input'!$E$299:$E$348,0),1),
      -SUM(Q155:Q166)))</f>
        <v>0</v>
      </c>
      <c r="R167" s="1382"/>
      <c r="S167" s="76"/>
      <c r="T167" s="76"/>
      <c r="U167" s="76"/>
      <c r="V167" s="76"/>
      <c r="W167" s="76"/>
      <c r="X167" s="76"/>
      <c r="Y167" s="76"/>
      <c r="Z167" s="76"/>
    </row>
    <row r="168" spans="1:26" ht="12.75" hidden="1" customHeight="1" outlineLevel="2">
      <c r="A168" s="3"/>
      <c r="B168" s="3"/>
      <c r="C168" s="135">
        <f>Asset9</f>
        <v>0</v>
      </c>
      <c r="D168" s="100"/>
      <c r="E168" s="20" t="s">
        <v>23</v>
      </c>
      <c r="F168" s="19"/>
      <c r="G168" s="1383"/>
      <c r="H168" s="1380">
        <f>IF(H$3&gt;A9remlife,A9value-SUM($G168:G168),IF(A9remlife="N/A","n/a",A9value/A9remlife))</f>
        <v>0</v>
      </c>
      <c r="I168" s="1380">
        <f>IF(I$3&gt;A9remlife,A9value-SUM($G168:H168),IF(A9remlife="N/A","n/a",A9value/A9remlife))</f>
        <v>0</v>
      </c>
      <c r="J168" s="1380">
        <f>IF(J$3&gt;A9remlife,A9value-SUM($G168:I168),IF(A9remlife="N/A","n/a",A9value/A9remlife))</f>
        <v>0</v>
      </c>
      <c r="K168" s="1380">
        <f>IF(K$3&gt;A9remlife,A9value-SUM($G168:J168),IF(A9remlife="N/A","n/a",A9value/A9remlife))</f>
        <v>0</v>
      </c>
      <c r="L168" s="1380">
        <f>IF(L$3&gt;A9remlife,A9value-SUM($G168:K168),IF(A9remlife="N/A","n/a",A9value/A9remlife))</f>
        <v>0</v>
      </c>
      <c r="M168" s="1380">
        <f>IF(M$3&gt;A9remlife,A9value-SUM($G168:L168),IF(A9remlife="N/A","n/a",A9value/A9remlife))</f>
        <v>0</v>
      </c>
      <c r="N168" s="1380">
        <f>IF(N$3&gt;A9remlife,A9value-SUM($G168:M168),IF(A9remlife="N/A","n/a",A9value/A9remlife))</f>
        <v>0</v>
      </c>
      <c r="O168" s="1380">
        <f>IF(O$3&gt;A9remlife,A9value-SUM($G168:N168),IF(A9remlife="N/A","n/a",A9value/A9remlife))</f>
        <v>0</v>
      </c>
      <c r="P168" s="1380">
        <f>IF(P$3&gt;A9remlife,A9value-SUM($G168:O168),IF(A9remlife="N/A","n/a",A9value/A9remlife))</f>
        <v>0</v>
      </c>
      <c r="Q168" s="1380">
        <f>IF(Q$3&gt;A9remlife,A9value-SUM($G168:P168),IF(A9remlife="N/A","n/a",A9value/A9remlife))</f>
        <v>0</v>
      </c>
      <c r="R168" s="21"/>
      <c r="S168" s="74"/>
      <c r="T168" s="74"/>
      <c r="U168" s="74"/>
      <c r="V168" s="74"/>
      <c r="W168" s="74"/>
      <c r="X168" s="74"/>
      <c r="Y168" s="74"/>
      <c r="Z168" s="74"/>
    </row>
    <row r="169" spans="1:26" ht="12.75" hidden="1" customHeight="1" outlineLevel="2">
      <c r="A169" s="3"/>
      <c r="B169" s="3"/>
      <c r="C169" s="3"/>
      <c r="D169" s="16"/>
      <c r="E169" s="1593" t="s">
        <v>43</v>
      </c>
      <c r="F169" s="61"/>
      <c r="G169" s="1341"/>
      <c r="H169" s="18"/>
      <c r="I169" s="18"/>
      <c r="J169" s="18"/>
      <c r="K169" s="18"/>
      <c r="L169" s="18"/>
      <c r="M169" s="1384"/>
      <c r="N169" s="1385"/>
      <c r="O169" s="18"/>
      <c r="P169" s="18"/>
      <c r="Q169" s="18"/>
      <c r="R169" s="18"/>
      <c r="S169" s="74"/>
      <c r="T169" s="74"/>
      <c r="U169" s="74"/>
      <c r="V169" s="74"/>
      <c r="W169" s="74"/>
      <c r="X169" s="74"/>
      <c r="Y169" s="74"/>
      <c r="Z169" s="74"/>
    </row>
    <row r="170" spans="1:26" ht="12.75" hidden="1" customHeight="1" outlineLevel="2">
      <c r="A170" s="3"/>
      <c r="B170" s="3"/>
      <c r="C170" s="3"/>
      <c r="D170" s="16"/>
      <c r="E170" s="1594"/>
      <c r="F170" s="61">
        <v>1</v>
      </c>
      <c r="G170" s="1341"/>
      <c r="H170" s="1381"/>
      <c r="I170" s="18">
        <f>IF(A9stdlife="n/a","n/a",IF(I$3&gt;(A9stdlife+$F170),('RFM input'!$H$231*(1+vanilla1)^0.5)-SUM($H170:H170),('RFM input'!$H$231*(1+vanilla1)^0.5)/A9stdlife))</f>
        <v>0</v>
      </c>
      <c r="J170" s="18">
        <f>IF(A9stdlife="n/a","n/a",IF(J$3&gt;(A9stdlife+$F170),('RFM input'!$H$231*(1+vanilla1)^0.5)-SUM($H170:I170),('RFM input'!$H$231*(1+vanilla1)^0.5)/A9stdlife))</f>
        <v>0</v>
      </c>
      <c r="K170" s="18">
        <f>IF(A9stdlife="n/a","n/a",IF(K$3&gt;(A9stdlife+$F170),('RFM input'!$H$231*(1+vanilla1)^0.5)-SUM($H170:J170),('RFM input'!$H$231*(1+vanilla1)^0.5)/A9stdlife))</f>
        <v>0</v>
      </c>
      <c r="L170" s="18">
        <f>IF(A9stdlife="n/a","n/a",IF(L$3&gt;(A9stdlife+$F170),('RFM input'!$H$231*(1+vanilla1)^0.5)-SUM($H170:K170),('RFM input'!$H$231*(1+vanilla1)^0.5)/A9stdlife))</f>
        <v>0</v>
      </c>
      <c r="M170" s="18">
        <f>IF(A9stdlife="n/a","n/a",IF(M$3&gt;(A9stdlife+$F170),('RFM input'!$H$231*(1+vanilla1)^0.5)-SUM($H170:L170),('RFM input'!$H$231*(1+vanilla1)^0.5)/A9stdlife))</f>
        <v>0</v>
      </c>
      <c r="N170" s="18">
        <f>IF(A9stdlife="n/a","n/a",IF(N$3&gt;(A9stdlife+$F170),('RFM input'!$H$231*(1+vanilla1)^0.5)-SUM($H170:M170),('RFM input'!$H$231*(1+vanilla1)^0.5)/A9stdlife))</f>
        <v>0</v>
      </c>
      <c r="O170" s="18">
        <f>IF(A9stdlife="n/a","n/a",IF(O$3&gt;(A9stdlife+$F170),('RFM input'!$H$231*(1+vanilla1)^0.5)-SUM($H170:N170),('RFM input'!$H$231*(1+vanilla1)^0.5)/A9stdlife))</f>
        <v>0</v>
      </c>
      <c r="P170" s="18">
        <f>IF(A9stdlife="n/a","n/a",IF(P$3&gt;(A9stdlife+$F170),('RFM input'!$H$231*(1+vanilla1)^0.5)-SUM($H170:O170),('RFM input'!$H$231*(1+vanilla1)^0.5)/A9stdlife))</f>
        <v>0</v>
      </c>
      <c r="Q170" s="18">
        <f>IF(A9stdlife="n/a","n/a",IF(Q$3&gt;(A9stdlife+$F170),('RFM input'!$H$231*(1+vanilla1)^0.5)-SUM($H170:P170),('RFM input'!$H$231*(1+vanilla1)^0.5)/A9stdlife))</f>
        <v>0</v>
      </c>
      <c r="R170" s="18"/>
      <c r="S170" s="74"/>
      <c r="T170" s="74"/>
      <c r="U170" s="74"/>
      <c r="V170" s="74"/>
      <c r="W170" s="74"/>
      <c r="X170" s="74"/>
      <c r="Y170" s="74"/>
      <c r="Z170" s="74"/>
    </row>
    <row r="171" spans="1:26" ht="12.75" hidden="1" customHeight="1" outlineLevel="2">
      <c r="A171" s="3"/>
      <c r="B171" s="3"/>
      <c r="C171" s="3"/>
      <c r="D171" s="16"/>
      <c r="E171" s="1594"/>
      <c r="F171" s="61">
        <v>2</v>
      </c>
      <c r="G171" s="1341"/>
      <c r="H171" s="114"/>
      <c r="I171" s="116"/>
      <c r="J171" s="18">
        <f>IF(A9stdlife="n/a","n/a",IF(J$3&gt;(A9stdlife+$F171),('RFM input'!$I$231*(1+vanilla2)^0.5)-SUM($I171:I171),('RFM input'!$I$231*(1+vanilla2)^0.5)/A9stdlife))</f>
        <v>0</v>
      </c>
      <c r="K171" s="18">
        <f>IF(A9stdlife="n/a","n/a",IF(K$3&gt;(A9stdlife+$F171),('RFM input'!$I$231*(1+vanilla2)^0.5)-SUM($I171:J171),('RFM input'!$I$231*(1+vanilla2)^0.5)/A9stdlife))</f>
        <v>0</v>
      </c>
      <c r="L171" s="18">
        <f>IF(A9stdlife="n/a","n/a",IF(L$3&gt;(A9stdlife+$F171),('RFM input'!$I$231*(1+vanilla2)^0.5)-SUM($I171:K171),('RFM input'!$I$231*(1+vanilla2)^0.5)/A9stdlife))</f>
        <v>0</v>
      </c>
      <c r="M171" s="18">
        <f>IF(A9stdlife="n/a","n/a",IF(M$3&gt;(A9stdlife+$F171),('RFM input'!$I$231*(1+vanilla2)^0.5)-SUM($I171:L171),('RFM input'!$I$231*(1+vanilla2)^0.5)/A9stdlife))</f>
        <v>0</v>
      </c>
      <c r="N171" s="18">
        <f>IF(A9stdlife="n/a","n/a",IF(N$3&gt;(A9stdlife+$F171),('RFM input'!$I$231*(1+vanilla2)^0.5)-SUM($I171:M171),('RFM input'!$I$231*(1+vanilla2)^0.5)/A9stdlife))</f>
        <v>0</v>
      </c>
      <c r="O171" s="18">
        <f>IF(A9stdlife="n/a","n/a",IF(O$3&gt;(A9stdlife+$F171),('RFM input'!$I$231*(1+vanilla2)^0.5)-SUM($I171:N171),('RFM input'!$I$231*(1+vanilla2)^0.5)/A9stdlife))</f>
        <v>0</v>
      </c>
      <c r="P171" s="18">
        <f>IF(A9stdlife="n/a","n/a",IF(P$3&gt;(A9stdlife+$F171),('RFM input'!$I$231*(1+vanilla2)^0.5)-SUM($I171:O171),('RFM input'!$I$231*(1+vanilla2)^0.5)/A9stdlife))</f>
        <v>0</v>
      </c>
      <c r="Q171" s="18">
        <f>IF(A9stdlife="n/a","n/a",IF(Q$3&gt;(A9stdlife+$F171),('RFM input'!$I$231*(1+vanilla2)^0.5)-SUM($I171:P171),('RFM input'!$I$231*(1+vanilla2)^0.5)/A9stdlife))</f>
        <v>0</v>
      </c>
      <c r="R171" s="18"/>
      <c r="S171" s="74"/>
      <c r="T171" s="74"/>
      <c r="U171" s="74"/>
      <c r="V171" s="74"/>
      <c r="W171" s="74"/>
      <c r="X171" s="74"/>
      <c r="Y171" s="74"/>
      <c r="Z171" s="74"/>
    </row>
    <row r="172" spans="1:26" ht="12.75" hidden="1" customHeight="1" outlineLevel="2">
      <c r="A172" s="3"/>
      <c r="B172" s="3"/>
      <c r="C172" s="3"/>
      <c r="D172" s="16"/>
      <c r="E172" s="1594"/>
      <c r="F172" s="61">
        <v>3</v>
      </c>
      <c r="G172" s="1341"/>
      <c r="H172" s="114"/>
      <c r="I172" s="115"/>
      <c r="J172" s="116"/>
      <c r="K172" s="18">
        <f>IF(A9stdlife="n/a","n/a",IF(K$3&gt;(A9stdlife+$F172),('RFM input'!$J$231*(1+vanilla3)^0.5)-SUM($J172:J172),('RFM input'!$J$231*(1+vanilla3)^0.5)/A9stdlife))</f>
        <v>0</v>
      </c>
      <c r="L172" s="18">
        <f>IF(A9stdlife="n/a","n/a",IF(L$3&gt;(A9stdlife+$F172),('RFM input'!$J$231*(1+vanilla3)^0.5)-SUM($J172:K172),('RFM input'!$J$231*(1+vanilla3)^0.5)/A9stdlife))</f>
        <v>0</v>
      </c>
      <c r="M172" s="18">
        <f>IF(A9stdlife="n/a","n/a",IF(M$3&gt;(A9stdlife+$F172),('RFM input'!$J$231*(1+vanilla3)^0.5)-SUM($J172:L172),('RFM input'!$J$231*(1+vanilla3)^0.5)/A9stdlife))</f>
        <v>0</v>
      </c>
      <c r="N172" s="18">
        <f>IF(A9stdlife="n/a","n/a",IF(N$3&gt;(A9stdlife+$F172),('RFM input'!$J$231*(1+vanilla3)^0.5)-SUM($J172:M172),('RFM input'!$J$231*(1+vanilla3)^0.5)/A9stdlife))</f>
        <v>0</v>
      </c>
      <c r="O172" s="18">
        <f>IF(A9stdlife="n/a","n/a",IF(O$3&gt;(A9stdlife+$F172),('RFM input'!$J$231*(1+vanilla3)^0.5)-SUM($J172:N172),('RFM input'!$J$231*(1+vanilla3)^0.5)/A9stdlife))</f>
        <v>0</v>
      </c>
      <c r="P172" s="18">
        <f>IF(A9stdlife="n/a","n/a",IF(P$3&gt;(A9stdlife+$F172),('RFM input'!$J$231*(1+vanilla3)^0.5)-SUM($J172:O172),('RFM input'!$J$231*(1+vanilla3)^0.5)/A9stdlife))</f>
        <v>0</v>
      </c>
      <c r="Q172" s="18">
        <f>IF(A9stdlife="n/a","n/a",IF(Q$3&gt;(A9stdlife+$F172),('RFM input'!$J$231*(1+vanilla3)^0.5)-SUM($J172:P172),('RFM input'!$J$231*(1+vanilla3)^0.5)/A9stdlife))</f>
        <v>0</v>
      </c>
      <c r="R172" s="18"/>
      <c r="S172" s="74"/>
      <c r="T172" s="74"/>
      <c r="U172" s="74"/>
      <c r="V172" s="74"/>
      <c r="W172" s="74"/>
      <c r="X172" s="74"/>
      <c r="Y172" s="74"/>
      <c r="Z172" s="74"/>
    </row>
    <row r="173" spans="1:26" ht="12.75" hidden="1" customHeight="1" outlineLevel="2">
      <c r="A173" s="3"/>
      <c r="B173" s="3"/>
      <c r="C173" s="3"/>
      <c r="D173" s="16"/>
      <c r="E173" s="1594"/>
      <c r="F173" s="61">
        <v>4</v>
      </c>
      <c r="G173" s="1341"/>
      <c r="H173" s="114"/>
      <c r="I173" s="115"/>
      <c r="J173" s="115"/>
      <c r="K173" s="116"/>
      <c r="L173" s="18">
        <f>IF(A9stdlife="n/a","n/a",IF(L$3&gt;(A9stdlife+$F173),('RFM input'!$K$231*(1+vanilla4)^0.5)-SUM($K173:K173),('RFM input'!$K$231*(1+vanilla4)^0.5)/A9stdlife))</f>
        <v>0</v>
      </c>
      <c r="M173" s="18">
        <f>IF(A9stdlife="n/a","n/a",IF(M$3&gt;(A9stdlife+$F173),('RFM input'!$K$231*(1+vanilla4)^0.5)-SUM($K173:L173),('RFM input'!$K$231*(1+vanilla4)^0.5)/A9stdlife))</f>
        <v>0</v>
      </c>
      <c r="N173" s="18">
        <f>IF(A9stdlife="n/a","n/a",IF(N$3&gt;(A9stdlife+$F173),('RFM input'!$K$231*(1+vanilla4)^0.5)-SUM($K173:M173),('RFM input'!$K$231*(1+vanilla4)^0.5)/A9stdlife))</f>
        <v>0</v>
      </c>
      <c r="O173" s="18">
        <f>IF(A9stdlife="n/a","n/a",IF(O$3&gt;(A9stdlife+$F173),('RFM input'!$K$231*(1+vanilla4)^0.5)-SUM($K173:N173),('RFM input'!$K$231*(1+vanilla4)^0.5)/A9stdlife))</f>
        <v>0</v>
      </c>
      <c r="P173" s="18">
        <f>IF(A9stdlife="n/a","n/a",IF(P$3&gt;(A9stdlife+$F173),('RFM input'!$K$231*(1+vanilla4)^0.5)-SUM($K173:O173),('RFM input'!$K$231*(1+vanilla4)^0.5)/A9stdlife))</f>
        <v>0</v>
      </c>
      <c r="Q173" s="18">
        <f>IF(A9stdlife="n/a","n/a",IF(Q$3&gt;(A9stdlife+$F173),('RFM input'!$K$231*(1+vanilla4)^0.5)-SUM($K173:P173),('RFM input'!$K$231*(1+vanilla4)^0.5)/A9stdlife))</f>
        <v>0</v>
      </c>
      <c r="R173" s="18"/>
      <c r="S173" s="74"/>
      <c r="T173" s="74"/>
      <c r="U173" s="74"/>
      <c r="V173" s="74"/>
      <c r="W173" s="74"/>
      <c r="X173" s="74"/>
      <c r="Y173" s="74"/>
      <c r="Z173" s="74"/>
    </row>
    <row r="174" spans="1:26" ht="12.75" hidden="1" customHeight="1" outlineLevel="2">
      <c r="A174" s="3"/>
      <c r="B174" s="3"/>
      <c r="C174" s="3"/>
      <c r="D174" s="16"/>
      <c r="E174" s="1594"/>
      <c r="F174" s="61">
        <v>5</v>
      </c>
      <c r="G174" s="1341"/>
      <c r="H174" s="114"/>
      <c r="I174" s="115"/>
      <c r="J174" s="115"/>
      <c r="K174" s="115"/>
      <c r="L174" s="116"/>
      <c r="M174" s="18">
        <f>IF(A9stdlife="n/a","n/a",IF(M$3&gt;(A9stdlife+$F174),('RFM input'!$L$231*(1+vanilla5)^0.5)-SUM($L174:L174),('RFM input'!$L$231*(1+vanilla5)^0.5)/A9stdlife))</f>
        <v>0</v>
      </c>
      <c r="N174" s="18">
        <f>IF(A9stdlife="n/a","n/a",IF(N$3&gt;(A9stdlife+$F174),('RFM input'!$L$231*(1+vanilla5)^0.5)-SUM($L174:M174),('RFM input'!$L$231*(1+vanilla5)^0.5)/A9stdlife))</f>
        <v>0</v>
      </c>
      <c r="O174" s="18">
        <f>IF(A9stdlife="n/a","n/a",IF(O$3&gt;(A9stdlife+$F174),('RFM input'!$L$231*(1+vanilla5)^0.5)-SUM($L174:N174),('RFM input'!$L$231*(1+vanilla5)^0.5)/A9stdlife))</f>
        <v>0</v>
      </c>
      <c r="P174" s="18">
        <f>IF(A9stdlife="n/a","n/a",IF(P$3&gt;(A9stdlife+$F174),('RFM input'!$L$231*(1+vanilla5)^0.5)-SUM($L174:O174),('RFM input'!$L$231*(1+vanilla5)^0.5)/A9stdlife))</f>
        <v>0</v>
      </c>
      <c r="Q174" s="18">
        <f>IF(A9stdlife="n/a","n/a",IF(Q$3&gt;(A9stdlife+$F174),('RFM input'!$L$231*(1+vanilla5)^0.5)-SUM($L174:P174),('RFM input'!$L$231*(1+vanilla5)^0.5)/A9stdlife))</f>
        <v>0</v>
      </c>
      <c r="R174" s="18"/>
      <c r="S174" s="74"/>
      <c r="T174" s="74"/>
      <c r="U174" s="74"/>
      <c r="V174" s="74"/>
      <c r="W174" s="74"/>
      <c r="X174" s="74"/>
      <c r="Y174" s="74"/>
      <c r="Z174" s="74"/>
    </row>
    <row r="175" spans="1:26" ht="12.75" hidden="1" customHeight="1" outlineLevel="2">
      <c r="A175" s="3"/>
      <c r="B175" s="3"/>
      <c r="C175" s="3"/>
      <c r="D175" s="16"/>
      <c r="E175" s="1594"/>
      <c r="F175" s="61">
        <v>6</v>
      </c>
      <c r="G175" s="1341"/>
      <c r="H175" s="114"/>
      <c r="I175" s="115"/>
      <c r="J175" s="115"/>
      <c r="K175" s="115"/>
      <c r="L175" s="115"/>
      <c r="M175" s="116"/>
      <c r="N175" s="18">
        <f>IF(A9stdlife="n/a","n/a",IF(N$3&gt;(A9stdlife+$F175),('RFM input'!$M$231*(1+vanilla6)^0.5)-SUM($M175:M175),('RFM input'!$M$231*(1+vanilla6)^0.5)/A9stdlife))</f>
        <v>0</v>
      </c>
      <c r="O175" s="18">
        <f>IF(A9stdlife="n/a","n/a",IF(O$3&gt;(A9stdlife+$F175),('RFM input'!$M$231*(1+vanilla6)^0.5)-SUM($M175:N175),('RFM input'!$M$231*(1+vanilla6)^0.5)/A9stdlife))</f>
        <v>0</v>
      </c>
      <c r="P175" s="18">
        <f>IF(A9stdlife="n/a","n/a",IF(P$3&gt;(A9stdlife+$F175),('RFM input'!$M$231*(1+vanilla6)^0.5)-SUM($M175:O175),('RFM input'!$M$231*(1+vanilla6)^0.5)/A9stdlife))</f>
        <v>0</v>
      </c>
      <c r="Q175" s="18">
        <f>IF(A9stdlife="n/a","n/a",IF(Q$3&gt;(A9stdlife+$F175),('RFM input'!$M$231*(1+vanilla6)^0.5)-SUM($M175:P175),('RFM input'!$M$231*(1+vanilla6)^0.5)/A9stdlife))</f>
        <v>0</v>
      </c>
      <c r="R175" s="18"/>
      <c r="S175" s="74"/>
      <c r="T175" s="74"/>
      <c r="U175" s="74"/>
      <c r="V175" s="74"/>
      <c r="W175" s="74"/>
      <c r="X175" s="74"/>
      <c r="Y175" s="74"/>
      <c r="Z175" s="74"/>
    </row>
    <row r="176" spans="1:26" ht="12.75" hidden="1" customHeight="1" outlineLevel="2">
      <c r="A176" s="3"/>
      <c r="B176" s="3"/>
      <c r="C176" s="3"/>
      <c r="D176" s="16"/>
      <c r="E176" s="1594"/>
      <c r="F176" s="61">
        <v>7</v>
      </c>
      <c r="G176" s="1341"/>
      <c r="H176" s="114"/>
      <c r="I176" s="115"/>
      <c r="J176" s="115"/>
      <c r="K176" s="115"/>
      <c r="L176" s="115"/>
      <c r="M176" s="115"/>
      <c r="N176" s="116"/>
      <c r="O176" s="18">
        <f>IF(A9stdlife="n/a","n/a",IF(O$3&gt;(A9stdlife+$F176),('RFM input'!$N$231*(1+vanilla7)^0.5)-SUM($N176:N176),('RFM input'!$N$231*(1+vanilla7)^0.5)/A9stdlife))</f>
        <v>0</v>
      </c>
      <c r="P176" s="18">
        <f>IF(A9stdlife="n/a","n/a",IF(P$3&gt;(A9stdlife+$F176),('RFM input'!$N$231*(1+vanilla7)^0.5)-SUM($N176:O176),('RFM input'!$N$231*(1+vanilla7)^0.5)/A9stdlife))</f>
        <v>0</v>
      </c>
      <c r="Q176" s="18">
        <f>IF(A9stdlife="n/a","n/a",IF(Q$3&gt;(A9stdlife+$F176),('RFM input'!$N$231*(1+vanilla7)^0.5)-SUM($N176:P176),('RFM input'!$N$231*(1+vanilla7)^0.5)/A9stdlife))</f>
        <v>0</v>
      </c>
      <c r="R176" s="18"/>
      <c r="S176" s="74"/>
      <c r="T176" s="74"/>
      <c r="U176" s="74"/>
      <c r="V176" s="74"/>
      <c r="W176" s="74"/>
      <c r="X176" s="74"/>
      <c r="Y176" s="74"/>
      <c r="Z176" s="74"/>
    </row>
    <row r="177" spans="1:26" ht="12.75" hidden="1" customHeight="1" outlineLevel="2">
      <c r="A177" s="3"/>
      <c r="B177" s="3"/>
      <c r="C177" s="3"/>
      <c r="D177" s="16"/>
      <c r="E177" s="1594"/>
      <c r="F177" s="61">
        <v>8</v>
      </c>
      <c r="G177" s="1341"/>
      <c r="H177" s="114"/>
      <c r="I177" s="115"/>
      <c r="J177" s="115"/>
      <c r="K177" s="115"/>
      <c r="L177" s="115"/>
      <c r="M177" s="115"/>
      <c r="N177" s="115"/>
      <c r="O177" s="116"/>
      <c r="P177" s="18">
        <f>IF(A9stdlife="n/a","n/a",IF(P$3&gt;(A9stdlife+$F177),('RFM input'!$O$231*(1+vanilla8)^0.5)-SUM($O177:O177),('RFM input'!$O$231*(1+vanilla8)^0.5)/A9stdlife))</f>
        <v>0</v>
      </c>
      <c r="Q177" s="18">
        <f>IF(A9stdlife="n/a","n/a",IF(Q$3&gt;(A9stdlife+$F177),('RFM input'!$O$231*(1+vanilla8)^0.5)-SUM($O177:P177),('RFM input'!$O$231*(1+vanilla8)^0.5)/A9stdlife))</f>
        <v>0</v>
      </c>
      <c r="R177" s="18"/>
      <c r="S177" s="74"/>
      <c r="T177" s="74"/>
      <c r="U177" s="74"/>
      <c r="V177" s="74"/>
      <c r="W177" s="74"/>
      <c r="X177" s="74"/>
      <c r="Y177" s="74"/>
      <c r="Z177" s="74"/>
    </row>
    <row r="178" spans="1:26" ht="12.75" hidden="1" customHeight="1" outlineLevel="2">
      <c r="A178" s="3"/>
      <c r="B178" s="3"/>
      <c r="C178" s="3"/>
      <c r="D178" s="16"/>
      <c r="E178" s="1594"/>
      <c r="F178" s="61">
        <v>9</v>
      </c>
      <c r="G178" s="1341"/>
      <c r="H178" s="114"/>
      <c r="I178" s="115"/>
      <c r="J178" s="115"/>
      <c r="K178" s="115"/>
      <c r="L178" s="115"/>
      <c r="M178" s="115"/>
      <c r="N178" s="115"/>
      <c r="O178" s="115"/>
      <c r="P178" s="116"/>
      <c r="Q178" s="18">
        <f>IF(A9stdlife="n/a","n/a",IF(Q$3&gt;(A9stdlife+$F178),('RFM input'!$P$231*(1+vanilla9)^0.5)-SUM($P178:P178),('RFM input'!$P$231*(1+vanilla9)^0.5)/A9stdlife))</f>
        <v>0</v>
      </c>
      <c r="R178" s="18"/>
      <c r="S178" s="74"/>
      <c r="T178" s="74"/>
      <c r="U178" s="74"/>
      <c r="V178" s="74"/>
      <c r="W178" s="74"/>
      <c r="X178" s="74"/>
      <c r="Y178" s="74"/>
      <c r="Z178" s="74"/>
    </row>
    <row r="179" spans="1:26" ht="12.75" hidden="1" customHeight="1" outlineLevel="2">
      <c r="A179" s="3"/>
      <c r="B179" s="3"/>
      <c r="C179" s="3"/>
      <c r="D179" s="16"/>
      <c r="E179" s="1594"/>
      <c r="F179" s="62">
        <v>10</v>
      </c>
      <c r="G179" s="1341"/>
      <c r="H179" s="114"/>
      <c r="I179" s="115"/>
      <c r="J179" s="115"/>
      <c r="K179" s="115"/>
      <c r="L179" s="115"/>
      <c r="M179" s="115"/>
      <c r="N179" s="115"/>
      <c r="O179" s="115"/>
      <c r="P179" s="115"/>
      <c r="Q179" s="116"/>
      <c r="R179" s="18"/>
      <c r="S179" s="74"/>
      <c r="T179" s="74"/>
      <c r="U179" s="74"/>
      <c r="V179" s="74"/>
      <c r="W179" s="74"/>
      <c r="X179" s="74"/>
      <c r="Y179" s="74"/>
      <c r="Z179" s="74"/>
    </row>
    <row r="180" spans="1:26" ht="13.35" hidden="1" customHeight="1" outlineLevel="1">
      <c r="A180" s="3"/>
      <c r="B180" s="3"/>
      <c r="C180" s="3"/>
      <c r="D180" s="134">
        <f>Asset9</f>
        <v>0</v>
      </c>
      <c r="E180" s="3"/>
      <c r="F180" s="3"/>
      <c r="G180" s="1341"/>
      <c r="H180" s="1458">
        <f>IF(OR('RFM input'!$E$293='RFM input'!$G$292,'RFM input'!$E$293='RFM input'!$G$293),-INDEX('RFM input'!H$299:H$348,MATCH($D180,'RFM input'!$E$299:$E$348,0),1),-SUM(H168:H179))</f>
        <v>0</v>
      </c>
      <c r="I180" s="1458">
        <f>IF(OR('RFM input'!$E$293='RFM input'!$G$292,'RFM input'!$E$293='RFM input'!$G$293),-INDEX('RFM input'!I$299:I$348,MATCH($D180,'RFM input'!$E$299:$E$348,0),1),-SUM(I168:I179))</f>
        <v>0</v>
      </c>
      <c r="J180" s="1386">
        <f>IF(COUNT($H180:I180)&gt;='RFM input'!$V$7,
   0,
   IF(OR('RFM input'!$E$293='RFM input'!$G$292,'RFM input'!$E$293='RFM input'!$G$293),
      -INDEX('RFM input'!J$299:J$348,MATCH($D180,'RFM input'!$E$299:$E$348,0),1),
      -SUM(J168:J179)))</f>
        <v>0</v>
      </c>
      <c r="K180" s="1386">
        <f>IF(COUNT($H180:J180)&gt;='RFM input'!$V$7,
   0,
   IF(OR('RFM input'!$E$293='RFM input'!$G$292,'RFM input'!$E$293='RFM input'!$G$293),
      -INDEX('RFM input'!K$299:K$348,MATCH($D180,'RFM input'!$E$299:$E$348,0),1),
      -SUM(K168:K179)))</f>
        <v>0</v>
      </c>
      <c r="L180" s="1386">
        <f>IF(COUNT($H180:K180)&gt;='RFM input'!$V$7,
   0,
   IF(OR('RFM input'!$E$293='RFM input'!$G$292,'RFM input'!$E$293='RFM input'!$G$293),
      -INDEX('RFM input'!L$299:L$348,MATCH($D180,'RFM input'!$E$299:$E$348,0),1),
      -SUM(L168:L179)))</f>
        <v>0</v>
      </c>
      <c r="M180" s="1386">
        <f>IF(COUNT($H180:L180)&gt;='RFM input'!$V$7,
   0,
   IF(OR('RFM input'!$E$293='RFM input'!$G$292,'RFM input'!$E$293='RFM input'!$G$293),
      -INDEX('RFM input'!M$299:M$348,MATCH($D180,'RFM input'!$E$299:$E$348,0),1),
      -SUM(M168:M179)))</f>
        <v>0</v>
      </c>
      <c r="N180" s="1386">
        <f>IF(COUNT($H180:M180)&gt;='RFM input'!$V$7,
   0,
   IF(OR('RFM input'!$E$293='RFM input'!$G$292,'RFM input'!$E$293='RFM input'!$G$293),
      -INDEX('RFM input'!N$299:N$348,MATCH($D180,'RFM input'!$E$299:$E$348,0),1),
      -SUM(N168:N179)))</f>
        <v>0</v>
      </c>
      <c r="O180" s="1386">
        <f>IF(COUNT($H180:N180)&gt;='RFM input'!$V$7,
   0,
   IF(OR('RFM input'!$E$293='RFM input'!$G$292,'RFM input'!$E$293='RFM input'!$G$293),
      -INDEX('RFM input'!O$299:O$348,MATCH($D180,'RFM input'!$E$299:$E$348,0),1),
      -SUM(O168:O179)))</f>
        <v>0</v>
      </c>
      <c r="P180" s="1386">
        <f>IF(COUNT($H180:O180)&gt;='RFM input'!$V$7,
   0,
   IF(OR('RFM input'!$E$293='RFM input'!$G$292,'RFM input'!$E$293='RFM input'!$G$293),
      -INDEX('RFM input'!P$299:P$348,MATCH($D180,'RFM input'!$E$299:$E$348,0),1),
      -SUM(P168:P179)))</f>
        <v>0</v>
      </c>
      <c r="Q180" s="1386">
        <f>IF(COUNT($H180:P180)&gt;='RFM input'!$V$7,
   0,
   IF(OR('RFM input'!$E$293='RFM input'!$G$292,'RFM input'!$E$293='RFM input'!$G$293),
      -INDEX('RFM input'!Q$299:Q$348,MATCH($D180,'RFM input'!$E$299:$E$348,0),1),
      -SUM(Q168:Q179)))</f>
        <v>0</v>
      </c>
      <c r="R180" s="1382"/>
      <c r="S180" s="76"/>
      <c r="T180" s="76"/>
      <c r="U180" s="76"/>
      <c r="V180" s="76"/>
      <c r="W180" s="76"/>
      <c r="X180" s="76"/>
      <c r="Y180" s="76"/>
      <c r="Z180" s="76"/>
    </row>
    <row r="181" spans="1:26" ht="12.75" hidden="1" customHeight="1" outlineLevel="2">
      <c r="A181" s="3"/>
      <c r="B181" s="3"/>
      <c r="C181" s="135">
        <f>Asset10</f>
        <v>0</v>
      </c>
      <c r="D181" s="100"/>
      <c r="E181" s="20" t="s">
        <v>23</v>
      </c>
      <c r="F181" s="19"/>
      <c r="G181" s="1383"/>
      <c r="H181" s="1380">
        <f>IF(H$3&gt;A10remlife,A10value-SUM($G181:G181),IF(A10remlife="N/A","n/a",A10value/A10remlife))</f>
        <v>0</v>
      </c>
      <c r="I181" s="1380">
        <f>IF(I$3&gt;A10remlife,A10value-SUM($G181:H181),IF(A10remlife="N/A","n/a",A10value/A10remlife))</f>
        <v>0</v>
      </c>
      <c r="J181" s="1380">
        <f>IF(J$3&gt;A10remlife,A10value-SUM($G181:I181),IF(A10remlife="N/A","n/a",A10value/A10remlife))</f>
        <v>0</v>
      </c>
      <c r="K181" s="1380">
        <f>IF(K$3&gt;A10remlife,A10value-SUM($G181:J181),IF(A10remlife="N/A","n/a",A10value/A10remlife))</f>
        <v>0</v>
      </c>
      <c r="L181" s="1380">
        <f>IF(L$3&gt;A10remlife,A10value-SUM($G181:K181),IF(A10remlife="N/A","n/a",A10value/A10remlife))</f>
        <v>0</v>
      </c>
      <c r="M181" s="1380">
        <f>IF(M$3&gt;A10remlife,A10value-SUM($G181:L181),IF(A10remlife="N/A","n/a",A10value/A10remlife))</f>
        <v>0</v>
      </c>
      <c r="N181" s="1380">
        <f>IF(N$3&gt;A10remlife,A10value-SUM($G181:M181),IF(A10remlife="N/A","n/a",A10value/A10remlife))</f>
        <v>0</v>
      </c>
      <c r="O181" s="1380">
        <f>IF(O$3&gt;A10remlife,A10value-SUM($G181:N181),IF(A10remlife="N/A","n/a",A10value/A10remlife))</f>
        <v>0</v>
      </c>
      <c r="P181" s="1380">
        <f>IF(P$3&gt;A10remlife,A10value-SUM($G181:O181),IF(A10remlife="N/A","n/a",A10value/A10remlife))</f>
        <v>0</v>
      </c>
      <c r="Q181" s="1380">
        <f>IF(Q$3&gt;A10remlife,A10value-SUM($G181:P181),IF(A10remlife="N/A","n/a",A10value/A10remlife))</f>
        <v>0</v>
      </c>
      <c r="R181" s="21"/>
      <c r="S181" s="74"/>
      <c r="T181" s="74"/>
      <c r="U181" s="74"/>
      <c r="V181" s="74"/>
      <c r="W181" s="74"/>
      <c r="X181" s="74"/>
      <c r="Y181" s="74"/>
      <c r="Z181" s="74"/>
    </row>
    <row r="182" spans="1:26" ht="12.75" hidden="1" customHeight="1" outlineLevel="2">
      <c r="A182" s="3"/>
      <c r="B182" s="3"/>
      <c r="C182" s="3"/>
      <c r="D182" s="101"/>
      <c r="E182" s="1593" t="s">
        <v>43</v>
      </c>
      <c r="F182" s="61"/>
      <c r="G182" s="1341"/>
      <c r="H182" s="18"/>
      <c r="I182" s="18"/>
      <c r="J182" s="18"/>
      <c r="K182" s="18"/>
      <c r="L182" s="18"/>
      <c r="M182" s="1384"/>
      <c r="N182" s="1385"/>
      <c r="O182" s="18"/>
      <c r="P182" s="18"/>
      <c r="Q182" s="18"/>
      <c r="R182" s="18"/>
      <c r="S182" s="74"/>
      <c r="T182" s="74"/>
      <c r="U182" s="74"/>
      <c r="V182" s="74"/>
      <c r="W182" s="74"/>
      <c r="X182" s="74"/>
      <c r="Y182" s="74"/>
      <c r="Z182" s="74"/>
    </row>
    <row r="183" spans="1:26" ht="12.75" hidden="1" customHeight="1" outlineLevel="2">
      <c r="A183" s="3"/>
      <c r="B183" s="3"/>
      <c r="C183" s="3"/>
      <c r="D183" s="16"/>
      <c r="E183" s="1594"/>
      <c r="F183" s="61">
        <v>1</v>
      </c>
      <c r="G183" s="1341"/>
      <c r="H183" s="1381"/>
      <c r="I183" s="18">
        <f>IF(A10stdlife="n/a","n/a",IF(I$3&gt;(A10stdlife+$F183),('RFM input'!$H$232*(1+vanilla1)^0.5)-SUM($H183:H183),('RFM input'!$H$232*(1+vanilla1)^0.5)/A10stdlife))</f>
        <v>0</v>
      </c>
      <c r="J183" s="18">
        <f>IF(A10stdlife="n/a","n/a",IF(J$3&gt;(A10stdlife+$F183),('RFM input'!$H$232*(1+vanilla1)^0.5)-SUM($H183:I183),('RFM input'!$H$232*(1+vanilla1)^0.5)/A10stdlife))</f>
        <v>0</v>
      </c>
      <c r="K183" s="18">
        <f>IF(A10stdlife="n/a","n/a",IF(K$3&gt;(A10stdlife+$F183),('RFM input'!$H$232*(1+vanilla1)^0.5)-SUM($H183:J183),('RFM input'!$H$232*(1+vanilla1)^0.5)/A10stdlife))</f>
        <v>0</v>
      </c>
      <c r="L183" s="18">
        <f>IF(A10stdlife="n/a","n/a",IF(L$3&gt;(A10stdlife+$F183),('RFM input'!$H$232*(1+vanilla1)^0.5)-SUM($H183:K183),('RFM input'!$H$232*(1+vanilla1)^0.5)/A10stdlife))</f>
        <v>0</v>
      </c>
      <c r="M183" s="18">
        <f>IF(A10stdlife="n/a","n/a",IF(M$3&gt;(A10stdlife+$F183),('RFM input'!$H$232*(1+vanilla1)^0.5)-SUM($H183:L183),('RFM input'!$H$232*(1+vanilla1)^0.5)/A10stdlife))</f>
        <v>0</v>
      </c>
      <c r="N183" s="18">
        <f>IF(A10stdlife="n/a","n/a",IF(N$3&gt;(A10stdlife+$F183),('RFM input'!$H$232*(1+vanilla1)^0.5)-SUM($H183:M183),('RFM input'!$H$232*(1+vanilla1)^0.5)/A10stdlife))</f>
        <v>0</v>
      </c>
      <c r="O183" s="18">
        <f>IF(A10stdlife="n/a","n/a",IF(O$3&gt;(A10stdlife+$F183),('RFM input'!$H$232*(1+vanilla1)^0.5)-SUM($H183:N183),('RFM input'!$H$232*(1+vanilla1)^0.5)/A10stdlife))</f>
        <v>0</v>
      </c>
      <c r="P183" s="18">
        <f>IF(A10stdlife="n/a","n/a",IF(P$3&gt;(A10stdlife+$F183),('RFM input'!$H$232*(1+vanilla1)^0.5)-SUM($H183:O183),('RFM input'!$H$232*(1+vanilla1)^0.5)/A10stdlife))</f>
        <v>0</v>
      </c>
      <c r="Q183" s="18">
        <f>IF(A10stdlife="n/a","n/a",IF(Q$3&gt;(A10stdlife+$F183),('RFM input'!$H$232*(1+vanilla1)^0.5)-SUM($H183:P183),('RFM input'!$H$232*(1+vanilla1)^0.5)/A10stdlife))</f>
        <v>0</v>
      </c>
      <c r="R183" s="18"/>
      <c r="S183" s="74"/>
      <c r="T183" s="74"/>
      <c r="U183" s="74"/>
      <c r="V183" s="74"/>
      <c r="W183" s="74"/>
      <c r="X183" s="74"/>
      <c r="Y183" s="74"/>
      <c r="Z183" s="74"/>
    </row>
    <row r="184" spans="1:26" ht="12.75" hidden="1" customHeight="1" outlineLevel="2">
      <c r="A184" s="3"/>
      <c r="B184" s="3"/>
      <c r="C184" s="3"/>
      <c r="D184" s="16"/>
      <c r="E184" s="1594"/>
      <c r="F184" s="61">
        <v>2</v>
      </c>
      <c r="G184" s="1341"/>
      <c r="H184" s="114"/>
      <c r="I184" s="116"/>
      <c r="J184" s="18">
        <f>IF(A10stdlife="n/a","n/a",IF(J$3&gt;(A10stdlife+$F184),('RFM input'!$I$232*(1+vanilla2)^0.5)-SUM($I184:I184),('RFM input'!$I$232*(1+vanilla2)^0.5)/A10stdlife))</f>
        <v>0</v>
      </c>
      <c r="K184" s="18">
        <f>IF(A10stdlife="n/a","n/a",IF(K$3&gt;(A10stdlife+$F184),('RFM input'!$I$232*(1+vanilla2)^0.5)-SUM($I184:J184),('RFM input'!$I$232*(1+vanilla2)^0.5)/A10stdlife))</f>
        <v>0</v>
      </c>
      <c r="L184" s="18">
        <f>IF(A10stdlife="n/a","n/a",IF(L$3&gt;(A10stdlife+$F184),('RFM input'!$I$232*(1+vanilla2)^0.5)-SUM($I184:K184),('RFM input'!$I$232*(1+vanilla2)^0.5)/A10stdlife))</f>
        <v>0</v>
      </c>
      <c r="M184" s="18">
        <f>IF(A10stdlife="n/a","n/a",IF(M$3&gt;(A10stdlife+$F184),('RFM input'!$I$232*(1+vanilla2)^0.5)-SUM($I184:L184),('RFM input'!$I$232*(1+vanilla2)^0.5)/A10stdlife))</f>
        <v>0</v>
      </c>
      <c r="N184" s="18">
        <f>IF(A10stdlife="n/a","n/a",IF(N$3&gt;(A10stdlife+$F184),('RFM input'!$I$232*(1+vanilla2)^0.5)-SUM($I184:M184),('RFM input'!$I$232*(1+vanilla2)^0.5)/A10stdlife))</f>
        <v>0</v>
      </c>
      <c r="O184" s="18">
        <f>IF(A10stdlife="n/a","n/a",IF(O$3&gt;(A10stdlife+$F184),('RFM input'!$I$232*(1+vanilla2)^0.5)-SUM($I184:N184),('RFM input'!$I$232*(1+vanilla2)^0.5)/A10stdlife))</f>
        <v>0</v>
      </c>
      <c r="P184" s="18">
        <f>IF(A10stdlife="n/a","n/a",IF(P$3&gt;(A10stdlife+$F184),('RFM input'!$I$232*(1+vanilla2)^0.5)-SUM($I184:O184),('RFM input'!$I$232*(1+vanilla2)^0.5)/A10stdlife))</f>
        <v>0</v>
      </c>
      <c r="Q184" s="18">
        <f>IF(A10stdlife="n/a","n/a",IF(Q$3&gt;(A10stdlife+$F184),('RFM input'!$I$232*(1+vanilla2)^0.5)-SUM($I184:P184),('RFM input'!$I$232*(1+vanilla2)^0.5)/A10stdlife))</f>
        <v>0</v>
      </c>
      <c r="R184" s="18"/>
      <c r="S184" s="74"/>
      <c r="T184" s="74"/>
      <c r="U184" s="74"/>
      <c r="V184" s="74"/>
      <c r="W184" s="74"/>
      <c r="X184" s="74"/>
      <c r="Y184" s="74"/>
      <c r="Z184" s="74"/>
    </row>
    <row r="185" spans="1:26" ht="12.75" hidden="1" customHeight="1" outlineLevel="2">
      <c r="A185" s="3"/>
      <c r="B185" s="3"/>
      <c r="C185" s="3"/>
      <c r="D185" s="16"/>
      <c r="E185" s="1594"/>
      <c r="F185" s="61">
        <v>3</v>
      </c>
      <c r="G185" s="1341"/>
      <c r="H185" s="114"/>
      <c r="I185" s="115"/>
      <c r="J185" s="116"/>
      <c r="K185" s="18">
        <f>IF(A10stdlife="n/a","n/a",IF(K$3&gt;(A10stdlife+$F185),('RFM input'!$J$232*(1+vanilla3)^0.5)-SUM($J185:J185),('RFM input'!$J$232*(1+vanilla3)^0.5)/A10stdlife))</f>
        <v>0</v>
      </c>
      <c r="L185" s="18">
        <f>IF(A10stdlife="n/a","n/a",IF(L$3&gt;(A10stdlife+$F185),('RFM input'!$J$232*(1+vanilla3)^0.5)-SUM($J185:K185),('RFM input'!$J$232*(1+vanilla3)^0.5)/A10stdlife))</f>
        <v>0</v>
      </c>
      <c r="M185" s="18">
        <f>IF(A10stdlife="n/a","n/a",IF(M$3&gt;(A10stdlife+$F185),('RFM input'!$J$232*(1+vanilla3)^0.5)-SUM($J185:L185),('RFM input'!$J$232*(1+vanilla3)^0.5)/A10stdlife))</f>
        <v>0</v>
      </c>
      <c r="N185" s="18">
        <f>IF(A10stdlife="n/a","n/a",IF(N$3&gt;(A10stdlife+$F185),('RFM input'!$J$232*(1+vanilla3)^0.5)-SUM($J185:M185),('RFM input'!$J$232*(1+vanilla3)^0.5)/A10stdlife))</f>
        <v>0</v>
      </c>
      <c r="O185" s="18">
        <f>IF(A10stdlife="n/a","n/a",IF(O$3&gt;(A10stdlife+$F185),('RFM input'!$J$232*(1+vanilla3)^0.5)-SUM($J185:N185),('RFM input'!$J$232*(1+vanilla3)^0.5)/A10stdlife))</f>
        <v>0</v>
      </c>
      <c r="P185" s="18">
        <f>IF(A10stdlife="n/a","n/a",IF(P$3&gt;(A10stdlife+$F185),('RFM input'!$J$232*(1+vanilla3)^0.5)-SUM($J185:O185),('RFM input'!$J$232*(1+vanilla3)^0.5)/A10stdlife))</f>
        <v>0</v>
      </c>
      <c r="Q185" s="18">
        <f>IF(A10stdlife="n/a","n/a",IF(Q$3&gt;(A10stdlife+$F185),('RFM input'!$J$232*(1+vanilla3)^0.5)-SUM($J185:P185),('RFM input'!$J$232*(1+vanilla3)^0.5)/A10stdlife))</f>
        <v>0</v>
      </c>
      <c r="R185" s="18"/>
      <c r="S185" s="74"/>
      <c r="T185" s="74"/>
      <c r="U185" s="74"/>
      <c r="V185" s="74"/>
      <c r="W185" s="74"/>
      <c r="X185" s="74"/>
      <c r="Y185" s="74"/>
      <c r="Z185" s="74"/>
    </row>
    <row r="186" spans="1:26" ht="12.75" hidden="1" customHeight="1" outlineLevel="2">
      <c r="A186" s="3"/>
      <c r="B186" s="3"/>
      <c r="C186" s="3"/>
      <c r="D186" s="16"/>
      <c r="E186" s="1594"/>
      <c r="F186" s="61">
        <v>4</v>
      </c>
      <c r="G186" s="1341"/>
      <c r="H186" s="114"/>
      <c r="I186" s="115"/>
      <c r="J186" s="115"/>
      <c r="K186" s="116"/>
      <c r="L186" s="18">
        <f>IF(A10stdlife="n/a","n/a",IF(L$3&gt;(A10stdlife+$F186),('RFM input'!$K$232*(1+vanilla4)^0.5)-SUM($K186:K186),('RFM input'!$K$232*(1+vanilla4)^0.5)/A10stdlife))</f>
        <v>0</v>
      </c>
      <c r="M186" s="18">
        <f>IF(A10stdlife="n/a","n/a",IF(M$3&gt;(A10stdlife+$F186),('RFM input'!$K$232*(1+vanilla4)^0.5)-SUM($K186:L186),('RFM input'!$K$232*(1+vanilla4)^0.5)/A10stdlife))</f>
        <v>0</v>
      </c>
      <c r="N186" s="18">
        <f>IF(A10stdlife="n/a","n/a",IF(N$3&gt;(A10stdlife+$F186),('RFM input'!$K$232*(1+vanilla4)^0.5)-SUM($K186:M186),('RFM input'!$K$232*(1+vanilla4)^0.5)/A10stdlife))</f>
        <v>0</v>
      </c>
      <c r="O186" s="18">
        <f>IF(A10stdlife="n/a","n/a",IF(O$3&gt;(A10stdlife+$F186),('RFM input'!$K$232*(1+vanilla4)^0.5)-SUM($K186:N186),('RFM input'!$K$232*(1+vanilla4)^0.5)/A10stdlife))</f>
        <v>0</v>
      </c>
      <c r="P186" s="18">
        <f>IF(A10stdlife="n/a","n/a",IF(P$3&gt;(A10stdlife+$F186),('RFM input'!$K$232*(1+vanilla4)^0.5)-SUM($K186:O186),('RFM input'!$K$232*(1+vanilla4)^0.5)/A10stdlife))</f>
        <v>0</v>
      </c>
      <c r="Q186" s="18">
        <f>IF(A10stdlife="n/a","n/a",IF(Q$3&gt;(A10stdlife+$F186),('RFM input'!$K$232*(1+vanilla4)^0.5)-SUM($K186:P186),('RFM input'!$K$232*(1+vanilla4)^0.5)/A10stdlife))</f>
        <v>0</v>
      </c>
      <c r="R186" s="18"/>
      <c r="S186" s="74"/>
      <c r="T186" s="74"/>
      <c r="U186" s="74"/>
      <c r="V186" s="74"/>
      <c r="W186" s="74"/>
      <c r="X186" s="74"/>
      <c r="Y186" s="74"/>
      <c r="Z186" s="74"/>
    </row>
    <row r="187" spans="1:26" ht="12.75" hidden="1" customHeight="1" outlineLevel="2">
      <c r="A187" s="3"/>
      <c r="B187" s="3"/>
      <c r="C187" s="3"/>
      <c r="D187" s="16"/>
      <c r="E187" s="1594"/>
      <c r="F187" s="61">
        <v>5</v>
      </c>
      <c r="G187" s="17"/>
      <c r="H187" s="114"/>
      <c r="I187" s="115"/>
      <c r="J187" s="115"/>
      <c r="K187" s="115"/>
      <c r="L187" s="116"/>
      <c r="M187" s="18">
        <f>IF(A10stdlife="n/a","n/a",IF(M$3&gt;(A10stdlife+$F187),('RFM input'!$L$232*(1+vanilla5)^0.5)-SUM($L187:L187),('RFM input'!$L$232*(1+vanilla5)^0.5)/A10stdlife))</f>
        <v>0</v>
      </c>
      <c r="N187" s="18">
        <f>IF(A10stdlife="n/a","n/a",IF(N$3&gt;(A10stdlife+$F187),('RFM input'!$L$232*(1+vanilla5)^0.5)-SUM($L187:M187),('RFM input'!$L$232*(1+vanilla5)^0.5)/A10stdlife))</f>
        <v>0</v>
      </c>
      <c r="O187" s="18">
        <f>IF(A10stdlife="n/a","n/a",IF(O$3&gt;(A10stdlife+$F187),('RFM input'!$L$232*(1+vanilla5)^0.5)-SUM($L187:N187),('RFM input'!$L$232*(1+vanilla5)^0.5)/A10stdlife))</f>
        <v>0</v>
      </c>
      <c r="P187" s="18">
        <f>IF(A10stdlife="n/a","n/a",IF(P$3&gt;(A10stdlife+$F187),('RFM input'!$L$232*(1+vanilla5)^0.5)-SUM($L187:O187),('RFM input'!$L$232*(1+vanilla5)^0.5)/A10stdlife))</f>
        <v>0</v>
      </c>
      <c r="Q187" s="18">
        <f>IF(A10stdlife="n/a","n/a",IF(Q$3&gt;(A10stdlife+$F187),('RFM input'!$L$232*(1+vanilla5)^0.5)-SUM($L187:P187),('RFM input'!$L$232*(1+vanilla5)^0.5)/A10stdlife))</f>
        <v>0</v>
      </c>
      <c r="R187" s="18"/>
      <c r="S187" s="74"/>
      <c r="T187" s="74"/>
      <c r="U187" s="74"/>
      <c r="V187" s="74"/>
      <c r="W187" s="74"/>
      <c r="X187" s="74"/>
      <c r="Y187" s="74"/>
      <c r="Z187" s="74"/>
    </row>
    <row r="188" spans="1:26" ht="12.75" hidden="1" customHeight="1" outlineLevel="2">
      <c r="A188" s="3"/>
      <c r="B188" s="3"/>
      <c r="C188" s="3"/>
      <c r="D188" s="16"/>
      <c r="E188" s="1594"/>
      <c r="F188" s="61">
        <v>6</v>
      </c>
      <c r="G188" s="17"/>
      <c r="H188" s="114"/>
      <c r="I188" s="115"/>
      <c r="J188" s="115"/>
      <c r="K188" s="115"/>
      <c r="L188" s="115"/>
      <c r="M188" s="116"/>
      <c r="N188" s="18">
        <f>IF(A10stdlife="n/a","n/a",IF(N$3&gt;(A10stdlife+$F188),('RFM input'!$M$232*(1+vanilla6)^0.5)-SUM($M188:M188),('RFM input'!$M$232*(1+vanilla6)^0.5)/A10stdlife))</f>
        <v>0</v>
      </c>
      <c r="O188" s="18">
        <f>IF(A10stdlife="n/a","n/a",IF(O$3&gt;(A10stdlife+$F188),('RFM input'!$M$232*(1+vanilla6)^0.5)-SUM($M188:N188),('RFM input'!$M$232*(1+vanilla6)^0.5)/A10stdlife))</f>
        <v>0</v>
      </c>
      <c r="P188" s="18">
        <f>IF(A10stdlife="n/a","n/a",IF(P$3&gt;(A10stdlife+$F188),('RFM input'!$M$232*(1+vanilla6)^0.5)-SUM($M188:O188),('RFM input'!$M$232*(1+vanilla6)^0.5)/A10stdlife))</f>
        <v>0</v>
      </c>
      <c r="Q188" s="18">
        <f>IF(A10stdlife="n/a","n/a",IF(Q$3&gt;(A10stdlife+$F188),('RFM input'!$M$232*(1+vanilla6)^0.5)-SUM($M188:P188),('RFM input'!$M$232*(1+vanilla6)^0.5)/A10stdlife))</f>
        <v>0</v>
      </c>
      <c r="R188" s="18"/>
      <c r="S188" s="74"/>
      <c r="T188" s="74"/>
      <c r="U188" s="74"/>
      <c r="V188" s="74"/>
      <c r="W188" s="74"/>
      <c r="X188" s="74"/>
      <c r="Y188" s="74"/>
      <c r="Z188" s="74"/>
    </row>
    <row r="189" spans="1:26" ht="12.75" hidden="1" customHeight="1" outlineLevel="2">
      <c r="A189" s="3"/>
      <c r="B189" s="3"/>
      <c r="C189" s="3"/>
      <c r="D189" s="16"/>
      <c r="E189" s="1594"/>
      <c r="F189" s="61">
        <v>7</v>
      </c>
      <c r="G189" s="17"/>
      <c r="H189" s="114"/>
      <c r="I189" s="115"/>
      <c r="J189" s="115"/>
      <c r="K189" s="115"/>
      <c r="L189" s="115"/>
      <c r="M189" s="115"/>
      <c r="N189" s="116"/>
      <c r="O189" s="18">
        <f>IF(A10stdlife="n/a","n/a",IF(O$3&gt;(A10stdlife+$F189),('RFM input'!$N$232*(1+vanilla7)^0.5)-SUM($N189:N189),('RFM input'!$N$232*(1+vanilla7)^0.5)/A10stdlife))</f>
        <v>0</v>
      </c>
      <c r="P189" s="18">
        <f>IF(A10stdlife="n/a","n/a",IF(P$3&gt;(A10stdlife+$F189),('RFM input'!$N$232*(1+vanilla7)^0.5)-SUM($N189:O189),('RFM input'!$N$232*(1+vanilla7)^0.5)/A10stdlife))</f>
        <v>0</v>
      </c>
      <c r="Q189" s="18">
        <f>IF(A10stdlife="n/a","n/a",IF(Q$3&gt;(A10stdlife+$F189),('RFM input'!$N$232*(1+vanilla7)^0.5)-SUM($N189:P189),('RFM input'!$N$232*(1+vanilla7)^0.5)/A10stdlife))</f>
        <v>0</v>
      </c>
      <c r="R189" s="18"/>
      <c r="S189" s="74"/>
      <c r="T189" s="74"/>
      <c r="U189" s="74"/>
      <c r="V189" s="74"/>
      <c r="W189" s="74"/>
      <c r="X189" s="74"/>
      <c r="Y189" s="74"/>
      <c r="Z189" s="74"/>
    </row>
    <row r="190" spans="1:26" ht="12.75" hidden="1" customHeight="1" outlineLevel="2">
      <c r="A190" s="3"/>
      <c r="B190" s="3"/>
      <c r="C190" s="3"/>
      <c r="D190" s="16"/>
      <c r="E190" s="1594"/>
      <c r="F190" s="61">
        <v>8</v>
      </c>
      <c r="G190" s="17"/>
      <c r="H190" s="114"/>
      <c r="I190" s="115"/>
      <c r="J190" s="115"/>
      <c r="K190" s="115"/>
      <c r="L190" s="115"/>
      <c r="M190" s="115"/>
      <c r="N190" s="115"/>
      <c r="O190" s="116"/>
      <c r="P190" s="18">
        <f>IF(A10stdlife="n/a","n/a",IF(P$3&gt;(A10stdlife+$F190),('RFM input'!$O$232*(1+vanilla8)^0.5)-SUM($O190:O190),('RFM input'!$O$232*(1+vanilla8)^0.5)/A10stdlife))</f>
        <v>0</v>
      </c>
      <c r="Q190" s="18">
        <f>IF(A10stdlife="n/a","n/a",IF(Q$3&gt;(A10stdlife+$F190),('RFM input'!$O$232*(1+vanilla8)^0.5)-SUM($O190:P190),('RFM input'!$O$232*(1+vanilla8)^0.5)/A10stdlife))</f>
        <v>0</v>
      </c>
      <c r="R190" s="18"/>
      <c r="S190" s="74"/>
      <c r="T190" s="74"/>
      <c r="U190" s="74"/>
      <c r="V190" s="74"/>
      <c r="W190" s="74"/>
      <c r="X190" s="74"/>
      <c r="Y190" s="74"/>
      <c r="Z190" s="74"/>
    </row>
    <row r="191" spans="1:26" ht="12.75" hidden="1" customHeight="1" outlineLevel="2">
      <c r="A191" s="3"/>
      <c r="B191" s="3"/>
      <c r="C191" s="3"/>
      <c r="D191" s="16"/>
      <c r="E191" s="1594"/>
      <c r="F191" s="61">
        <v>9</v>
      </c>
      <c r="G191" s="17"/>
      <c r="H191" s="114"/>
      <c r="I191" s="115"/>
      <c r="J191" s="115"/>
      <c r="K191" s="115"/>
      <c r="L191" s="115"/>
      <c r="M191" s="115"/>
      <c r="N191" s="115"/>
      <c r="O191" s="115"/>
      <c r="P191" s="116"/>
      <c r="Q191" s="18">
        <f>IF(A10stdlife="n/a","n/a",IF(Q$3&gt;(A10stdlife+$F191),('RFM input'!$P$232*(1+vanilla9)^0.5)-SUM($P191:P191),('RFM input'!$P$232*(1+vanilla9)^0.5)/A10stdlife))</f>
        <v>0</v>
      </c>
      <c r="R191" s="18"/>
      <c r="S191" s="74"/>
      <c r="T191" s="74"/>
      <c r="U191" s="74"/>
      <c r="V191" s="74"/>
      <c r="W191" s="74"/>
      <c r="X191" s="74"/>
      <c r="Y191" s="74"/>
      <c r="Z191" s="74"/>
    </row>
    <row r="192" spans="1:26" ht="12.75" hidden="1" customHeight="1" outlineLevel="2">
      <c r="A192" s="3"/>
      <c r="B192" s="3"/>
      <c r="C192" s="3"/>
      <c r="D192" s="16"/>
      <c r="E192" s="1594"/>
      <c r="F192" s="62">
        <v>10</v>
      </c>
      <c r="G192" s="17"/>
      <c r="H192" s="114"/>
      <c r="I192" s="115"/>
      <c r="J192" s="115"/>
      <c r="K192" s="115"/>
      <c r="L192" s="115"/>
      <c r="M192" s="115"/>
      <c r="N192" s="115"/>
      <c r="O192" s="115"/>
      <c r="P192" s="115"/>
      <c r="Q192" s="116"/>
      <c r="R192" s="18"/>
      <c r="S192" s="74"/>
      <c r="T192" s="74"/>
      <c r="U192" s="74"/>
      <c r="V192" s="74"/>
      <c r="W192" s="74"/>
      <c r="X192" s="74"/>
      <c r="Y192" s="74"/>
      <c r="Z192" s="74"/>
    </row>
    <row r="193" spans="1:26" ht="13.35" hidden="1" customHeight="1" outlineLevel="1">
      <c r="A193" s="3"/>
      <c r="B193" s="3"/>
      <c r="C193" s="3"/>
      <c r="D193" s="134">
        <f>Asset10</f>
        <v>0</v>
      </c>
      <c r="E193" s="3"/>
      <c r="F193" s="3"/>
      <c r="G193" s="1341"/>
      <c r="H193" s="1458">
        <f>IF(OR('RFM input'!$E$293='RFM input'!$G$292,'RFM input'!$E$293='RFM input'!$G$293),-INDEX('RFM input'!H$299:H$348,MATCH($D193,'RFM input'!$E$299:$E$348,0),1),-SUM(H181:H192))</f>
        <v>0</v>
      </c>
      <c r="I193" s="1458">
        <f>IF(OR('RFM input'!$E$293='RFM input'!$G$292,'RFM input'!$E$293='RFM input'!$G$293),-INDEX('RFM input'!I$299:I$348,MATCH($D193,'RFM input'!$E$299:$E$348,0),1),-SUM(I181:I192))</f>
        <v>0</v>
      </c>
      <c r="J193" s="1386">
        <f>IF(COUNT($H193:I193)&gt;='RFM input'!$V$7,
   0,
   IF(OR('RFM input'!$E$293='RFM input'!$G$292,'RFM input'!$E$293='RFM input'!$G$293),
      -INDEX('RFM input'!J$299:J$348,MATCH($D193,'RFM input'!$E$299:$E$348,0),1),
      -SUM(J181:J192)))</f>
        <v>0</v>
      </c>
      <c r="K193" s="1386">
        <f>IF(COUNT($H193:J193)&gt;='RFM input'!$V$7,
   0,
   IF(OR('RFM input'!$E$293='RFM input'!$G$292,'RFM input'!$E$293='RFM input'!$G$293),
      -INDEX('RFM input'!K$299:K$348,MATCH($D193,'RFM input'!$E$299:$E$348,0),1),
      -SUM(K181:K192)))</f>
        <v>0</v>
      </c>
      <c r="L193" s="1386">
        <f>IF(COUNT($H193:K193)&gt;='RFM input'!$V$7,
   0,
   IF(OR('RFM input'!$E$293='RFM input'!$G$292,'RFM input'!$E$293='RFM input'!$G$293),
      -INDEX('RFM input'!L$299:L$348,MATCH($D193,'RFM input'!$E$299:$E$348,0),1),
      -SUM(L181:L192)))</f>
        <v>0</v>
      </c>
      <c r="M193" s="1386">
        <f>IF(COUNT($H193:L193)&gt;='RFM input'!$V$7,
   0,
   IF(OR('RFM input'!$E$293='RFM input'!$G$292,'RFM input'!$E$293='RFM input'!$G$293),
      -INDEX('RFM input'!M$299:M$348,MATCH($D193,'RFM input'!$E$299:$E$348,0),1),
      -SUM(M181:M192)))</f>
        <v>0</v>
      </c>
      <c r="N193" s="1386">
        <f>IF(COUNT($H193:M193)&gt;='RFM input'!$V$7,
   0,
   IF(OR('RFM input'!$E$293='RFM input'!$G$292,'RFM input'!$E$293='RFM input'!$G$293),
      -INDEX('RFM input'!N$299:N$348,MATCH($D193,'RFM input'!$E$299:$E$348,0),1),
      -SUM(N181:N192)))</f>
        <v>0</v>
      </c>
      <c r="O193" s="1386">
        <f>IF(COUNT($H193:N193)&gt;='RFM input'!$V$7,
   0,
   IF(OR('RFM input'!$E$293='RFM input'!$G$292,'RFM input'!$E$293='RFM input'!$G$293),
      -INDEX('RFM input'!O$299:O$348,MATCH($D193,'RFM input'!$E$299:$E$348,0),1),
      -SUM(O181:O192)))</f>
        <v>0</v>
      </c>
      <c r="P193" s="1386">
        <f>IF(COUNT($H193:O193)&gt;='RFM input'!$V$7,
   0,
   IF(OR('RFM input'!$E$293='RFM input'!$G$292,'RFM input'!$E$293='RFM input'!$G$293),
      -INDEX('RFM input'!P$299:P$348,MATCH($D193,'RFM input'!$E$299:$E$348,0),1),
      -SUM(P181:P192)))</f>
        <v>0</v>
      </c>
      <c r="Q193" s="1386">
        <f>IF(COUNT($H193:P193)&gt;='RFM input'!$V$7,
   0,
   IF(OR('RFM input'!$E$293='RFM input'!$G$292,'RFM input'!$E$293='RFM input'!$G$293),
      -INDEX('RFM input'!Q$299:Q$348,MATCH($D193,'RFM input'!$E$299:$E$348,0),1),
      -SUM(Q181:Q192)))</f>
        <v>0</v>
      </c>
      <c r="R193" s="1382"/>
      <c r="S193" s="76"/>
      <c r="T193" s="76"/>
      <c r="U193" s="76"/>
      <c r="V193" s="76"/>
      <c r="W193" s="76"/>
      <c r="X193" s="76"/>
      <c r="Y193" s="76"/>
      <c r="Z193" s="76"/>
    </row>
    <row r="194" spans="1:26" ht="12.75" hidden="1" customHeight="1" outlineLevel="2">
      <c r="A194" s="3"/>
      <c r="B194" s="3"/>
      <c r="C194" s="135">
        <f>Asset11</f>
        <v>0</v>
      </c>
      <c r="D194" s="100"/>
      <c r="E194" s="20" t="s">
        <v>23</v>
      </c>
      <c r="F194" s="19"/>
      <c r="G194" s="1383"/>
      <c r="H194" s="1380">
        <f>IF(H$3&gt;A11remlife,A11value-SUM($G194:G194),IF(A11remlife="N/A","n/a",A11value/A11remlife))</f>
        <v>0</v>
      </c>
      <c r="I194" s="1380">
        <f>IF(I$3&gt;A11remlife,A11value-SUM($G194:H194),IF(A11remlife="N/A","n/a",A11value/A11remlife))</f>
        <v>0</v>
      </c>
      <c r="J194" s="1380">
        <f>IF(J$3&gt;A11remlife,A11value-SUM($G194:I194),IF(A11remlife="N/A","n/a",A11value/A11remlife))</f>
        <v>0</v>
      </c>
      <c r="K194" s="1380">
        <f>IF(K$3&gt;A11remlife,A11value-SUM($G194:J194),IF(A11remlife="N/A","n/a",A11value/A11remlife))</f>
        <v>0</v>
      </c>
      <c r="L194" s="1380">
        <f>IF(L$3&gt;A11remlife,A11value-SUM($G194:K194),IF(A11remlife="N/A","n/a",A11value/A11remlife))</f>
        <v>0</v>
      </c>
      <c r="M194" s="1380">
        <f>IF(M$3&gt;A11remlife,A11value-SUM($G194:L194),IF(A11remlife="N/A","n/a",A11value/A11remlife))</f>
        <v>0</v>
      </c>
      <c r="N194" s="1380">
        <f>IF(N$3&gt;A11remlife,A11value-SUM($G194:M194),IF(A11remlife="N/A","n/a",A11value/A11remlife))</f>
        <v>0</v>
      </c>
      <c r="O194" s="1380">
        <f>IF(O$3&gt;A11remlife,A11value-SUM($G194:N194),IF(A11remlife="N/A","n/a",A11value/A11remlife))</f>
        <v>0</v>
      </c>
      <c r="P194" s="1380">
        <f>IF(P$3&gt;A11remlife,A11value-SUM($G194:O194),IF(A11remlife="N/A","n/a",A11value/A11remlife))</f>
        <v>0</v>
      </c>
      <c r="Q194" s="1380">
        <f>IF(Q$3&gt;A11remlife,A11value-SUM($G194:P194),IF(A11remlife="N/A","n/a",A11value/A11remlife))</f>
        <v>0</v>
      </c>
      <c r="R194" s="21"/>
      <c r="S194" s="74"/>
      <c r="T194" s="74"/>
      <c r="U194" s="74"/>
      <c r="V194" s="74"/>
      <c r="W194" s="74"/>
      <c r="X194" s="74"/>
      <c r="Y194" s="74"/>
      <c r="Z194" s="74"/>
    </row>
    <row r="195" spans="1:26" ht="12.75" hidden="1" customHeight="1" outlineLevel="2">
      <c r="A195" s="3"/>
      <c r="B195" s="3"/>
      <c r="C195" s="3"/>
      <c r="D195" s="16"/>
      <c r="E195" s="1593" t="s">
        <v>43</v>
      </c>
      <c r="F195" s="61"/>
      <c r="G195" s="1341"/>
      <c r="H195" s="18"/>
      <c r="I195" s="18"/>
      <c r="J195" s="18"/>
      <c r="K195" s="18"/>
      <c r="L195" s="18"/>
      <c r="M195" s="1384"/>
      <c r="N195" s="1385"/>
      <c r="O195" s="18"/>
      <c r="P195" s="18"/>
      <c r="Q195" s="18"/>
      <c r="R195" s="18"/>
      <c r="S195" s="74"/>
      <c r="T195" s="74"/>
      <c r="U195" s="74"/>
      <c r="V195" s="74"/>
      <c r="W195" s="74"/>
      <c r="X195" s="74"/>
      <c r="Y195" s="74"/>
      <c r="Z195" s="74"/>
    </row>
    <row r="196" spans="1:26" ht="12.75" hidden="1" customHeight="1" outlineLevel="2">
      <c r="A196" s="3"/>
      <c r="B196" s="3"/>
      <c r="C196" s="3"/>
      <c r="D196" s="16"/>
      <c r="E196" s="1594"/>
      <c r="F196" s="61">
        <v>1</v>
      </c>
      <c r="G196" s="1341"/>
      <c r="H196" s="1381"/>
      <c r="I196" s="18">
        <f>IF(A11stdlife="n/a","n/a",IF(I$3&gt;(A11stdlife+$F196),('RFM input'!$H$233*(1+vanilla1)^0.5)-SUM($H196:H196),('RFM input'!$H$233*(1+vanilla1)^0.5)/A11stdlife))</f>
        <v>0</v>
      </c>
      <c r="J196" s="18">
        <f>IF(A11stdlife="n/a","n/a",IF(J$3&gt;(A11stdlife+$F196),('RFM input'!$H$233*(1+vanilla1)^0.5)-SUM($H196:I196),('RFM input'!$H$233*(1+vanilla1)^0.5)/A11stdlife))</f>
        <v>0</v>
      </c>
      <c r="K196" s="18">
        <f>IF(A11stdlife="n/a","n/a",IF(K$3&gt;(A11stdlife+$F196),('RFM input'!$H$233*(1+vanilla1)^0.5)-SUM($H196:J196),('RFM input'!$H$233*(1+vanilla1)^0.5)/A11stdlife))</f>
        <v>0</v>
      </c>
      <c r="L196" s="18">
        <f>IF(A11stdlife="n/a","n/a",IF(L$3&gt;(A11stdlife+$F196),('RFM input'!$H$233*(1+vanilla1)^0.5)-SUM($H196:K196),('RFM input'!$H$233*(1+vanilla1)^0.5)/A11stdlife))</f>
        <v>0</v>
      </c>
      <c r="M196" s="18">
        <f>IF(A11stdlife="n/a","n/a",IF(M$3&gt;(A11stdlife+$F196),('RFM input'!$H$233*(1+vanilla1)^0.5)-SUM($H196:L196),('RFM input'!$H$233*(1+vanilla1)^0.5)/A11stdlife))</f>
        <v>0</v>
      </c>
      <c r="N196" s="18">
        <f>IF(A11stdlife="n/a","n/a",IF(N$3&gt;(A11stdlife+$F196),('RFM input'!$H$233*(1+vanilla1)^0.5)-SUM($H196:M196),('RFM input'!$H$233*(1+vanilla1)^0.5)/A11stdlife))</f>
        <v>0</v>
      </c>
      <c r="O196" s="18">
        <f>IF(A11stdlife="n/a","n/a",IF(O$3&gt;(A11stdlife+$F196),('RFM input'!$H$233*(1+vanilla1)^0.5)-SUM($H196:N196),('RFM input'!$H$233*(1+vanilla1)^0.5)/A11stdlife))</f>
        <v>0</v>
      </c>
      <c r="P196" s="18">
        <f>IF(A11stdlife="n/a","n/a",IF(P$3&gt;(A11stdlife+$F196),('RFM input'!$H$233*(1+vanilla1)^0.5)-SUM($H196:O196),('RFM input'!$H$233*(1+vanilla1)^0.5)/A11stdlife))</f>
        <v>0</v>
      </c>
      <c r="Q196" s="18">
        <f>IF(A11stdlife="n/a","n/a",IF(Q$3&gt;(A11stdlife+$F196),('RFM input'!$H$233*(1+vanilla1)^0.5)-SUM($H196:P196),('RFM input'!$H$233*(1+vanilla1)^0.5)/A11stdlife))</f>
        <v>0</v>
      </c>
      <c r="R196" s="18"/>
      <c r="S196" s="74"/>
      <c r="T196" s="74"/>
      <c r="U196" s="74"/>
      <c r="V196" s="74"/>
      <c r="W196" s="74"/>
      <c r="X196" s="74"/>
      <c r="Y196" s="74"/>
      <c r="Z196" s="74"/>
    </row>
    <row r="197" spans="1:26" ht="12.75" hidden="1" customHeight="1" outlineLevel="2">
      <c r="A197" s="3"/>
      <c r="B197" s="3"/>
      <c r="C197" s="3"/>
      <c r="D197" s="16"/>
      <c r="E197" s="1594"/>
      <c r="F197" s="61">
        <v>2</v>
      </c>
      <c r="G197" s="1341"/>
      <c r="H197" s="114"/>
      <c r="I197" s="116"/>
      <c r="J197" s="18">
        <f>IF(A11stdlife="n/a","n/a",IF(J$3&gt;(A11stdlife+$F197),('RFM input'!$I$233*(1+vanilla2)^0.5)-SUM($I197:I197),('RFM input'!$I$233*(1+vanilla2)^0.5)/A11stdlife))</f>
        <v>0</v>
      </c>
      <c r="K197" s="18">
        <f>IF(A11stdlife="n/a","n/a",IF(K$3&gt;(A11stdlife+$F197),('RFM input'!$I$233*(1+vanilla2)^0.5)-SUM($I197:J197),('RFM input'!$I$233*(1+vanilla2)^0.5)/A11stdlife))</f>
        <v>0</v>
      </c>
      <c r="L197" s="18">
        <f>IF(A11stdlife="n/a","n/a",IF(L$3&gt;(A11stdlife+$F197),('RFM input'!$I$233*(1+vanilla2)^0.5)-SUM($I197:K197),('RFM input'!$I$233*(1+vanilla2)^0.5)/A11stdlife))</f>
        <v>0</v>
      </c>
      <c r="M197" s="18">
        <f>IF(A11stdlife="n/a","n/a",IF(M$3&gt;(A11stdlife+$F197),('RFM input'!$I$233*(1+vanilla2)^0.5)-SUM($I197:L197),('RFM input'!$I$233*(1+vanilla2)^0.5)/A11stdlife))</f>
        <v>0</v>
      </c>
      <c r="N197" s="18">
        <f>IF(A11stdlife="n/a","n/a",IF(N$3&gt;(A11stdlife+$F197),('RFM input'!$I$233*(1+vanilla2)^0.5)-SUM($I197:M197),('RFM input'!$I$233*(1+vanilla2)^0.5)/A11stdlife))</f>
        <v>0</v>
      </c>
      <c r="O197" s="18">
        <f>IF(A11stdlife="n/a","n/a",IF(O$3&gt;(A11stdlife+$F197),('RFM input'!$I$233*(1+vanilla2)^0.5)-SUM($I197:N197),('RFM input'!$I$233*(1+vanilla2)^0.5)/A11stdlife))</f>
        <v>0</v>
      </c>
      <c r="P197" s="18">
        <f>IF(A11stdlife="n/a","n/a",IF(P$3&gt;(A11stdlife+$F197),('RFM input'!$I$233*(1+vanilla2)^0.5)-SUM($I197:O197),('RFM input'!$I$233*(1+vanilla2)^0.5)/A11stdlife))</f>
        <v>0</v>
      </c>
      <c r="Q197" s="18">
        <f>IF(A11stdlife="n/a","n/a",IF(Q$3&gt;(A11stdlife+$F197),('RFM input'!$I$233*(1+vanilla2)^0.5)-SUM($I197:P197),('RFM input'!$I$233*(1+vanilla2)^0.5)/A11stdlife))</f>
        <v>0</v>
      </c>
      <c r="R197" s="18"/>
      <c r="S197" s="74"/>
      <c r="T197" s="74"/>
      <c r="U197" s="74"/>
      <c r="V197" s="74"/>
      <c r="W197" s="74"/>
      <c r="X197" s="74"/>
      <c r="Y197" s="74"/>
      <c r="Z197" s="74"/>
    </row>
    <row r="198" spans="1:26" ht="12.75" hidden="1" customHeight="1" outlineLevel="2">
      <c r="A198" s="3"/>
      <c r="B198" s="3"/>
      <c r="C198" s="3"/>
      <c r="D198" s="16"/>
      <c r="E198" s="1594"/>
      <c r="F198" s="61">
        <v>3</v>
      </c>
      <c r="G198" s="1341"/>
      <c r="H198" s="114"/>
      <c r="I198" s="115"/>
      <c r="J198" s="116"/>
      <c r="K198" s="18">
        <f>IF(A11stdlife="n/a","n/a",IF(K$3&gt;(A11stdlife+$F198),('RFM input'!$J$233*(1+vanilla3)^0.5)-SUM($J198:J198),('RFM input'!$J$233*(1+vanilla3)^0.5)/A11stdlife))</f>
        <v>0</v>
      </c>
      <c r="L198" s="18">
        <f>IF(A11stdlife="n/a","n/a",IF(L$3&gt;(A11stdlife+$F198),('RFM input'!$J$233*(1+vanilla3)^0.5)-SUM($J198:K198),('RFM input'!$J$233*(1+vanilla3)^0.5)/A11stdlife))</f>
        <v>0</v>
      </c>
      <c r="M198" s="18">
        <f>IF(A11stdlife="n/a","n/a",IF(M$3&gt;(A11stdlife+$F198),('RFM input'!$J$233*(1+vanilla3)^0.5)-SUM($J198:L198),('RFM input'!$J$233*(1+vanilla3)^0.5)/A11stdlife))</f>
        <v>0</v>
      </c>
      <c r="N198" s="18">
        <f>IF(A11stdlife="n/a","n/a",IF(N$3&gt;(A11stdlife+$F198),('RFM input'!$J$233*(1+vanilla3)^0.5)-SUM($J198:M198),('RFM input'!$J$233*(1+vanilla3)^0.5)/A11stdlife))</f>
        <v>0</v>
      </c>
      <c r="O198" s="18">
        <f>IF(A11stdlife="n/a","n/a",IF(O$3&gt;(A11stdlife+$F198),('RFM input'!$J$233*(1+vanilla3)^0.5)-SUM($J198:N198),('RFM input'!$J$233*(1+vanilla3)^0.5)/A11stdlife))</f>
        <v>0</v>
      </c>
      <c r="P198" s="18">
        <f>IF(A11stdlife="n/a","n/a",IF(P$3&gt;(A11stdlife+$F198),('RFM input'!$J$233*(1+vanilla3)^0.5)-SUM($J198:O198),('RFM input'!$J$233*(1+vanilla3)^0.5)/A11stdlife))</f>
        <v>0</v>
      </c>
      <c r="Q198" s="18">
        <f>IF(A11stdlife="n/a","n/a",IF(Q$3&gt;(A11stdlife+$F198),('RFM input'!$J$233*(1+vanilla3)^0.5)-SUM($J198:P198),('RFM input'!$J$233*(1+vanilla3)^0.5)/A11stdlife))</f>
        <v>0</v>
      </c>
      <c r="R198" s="18"/>
      <c r="S198" s="74"/>
      <c r="T198" s="74"/>
      <c r="U198" s="74"/>
      <c r="V198" s="74"/>
      <c r="W198" s="74"/>
      <c r="X198" s="74"/>
      <c r="Y198" s="74"/>
      <c r="Z198" s="74"/>
    </row>
    <row r="199" spans="1:26" ht="12.75" hidden="1" customHeight="1" outlineLevel="2">
      <c r="A199" s="3"/>
      <c r="B199" s="3"/>
      <c r="C199" s="3"/>
      <c r="D199" s="16"/>
      <c r="E199" s="1594"/>
      <c r="F199" s="61">
        <v>4</v>
      </c>
      <c r="G199" s="1341"/>
      <c r="H199" s="114"/>
      <c r="I199" s="115"/>
      <c r="J199" s="115"/>
      <c r="K199" s="116"/>
      <c r="L199" s="18">
        <f>IF(A11stdlife="n/a","n/a",IF(L$3&gt;(A11stdlife+$F199),('RFM input'!$K$233*(1+vanilla4)^0.5)-SUM($K199:K199),('RFM input'!$K$233*(1+vanilla4)^0.5)/A11stdlife))</f>
        <v>0</v>
      </c>
      <c r="M199" s="18">
        <f>IF(A11stdlife="n/a","n/a",IF(M$3&gt;(A11stdlife+$F199),('RFM input'!$K$233*(1+vanilla4)^0.5)-SUM($K199:L199),('RFM input'!$K$233*(1+vanilla4)^0.5)/A11stdlife))</f>
        <v>0</v>
      </c>
      <c r="N199" s="18">
        <f>IF(A11stdlife="n/a","n/a",IF(N$3&gt;(A11stdlife+$F199),('RFM input'!$K$233*(1+vanilla4)^0.5)-SUM($K199:M199),('RFM input'!$K$233*(1+vanilla4)^0.5)/A11stdlife))</f>
        <v>0</v>
      </c>
      <c r="O199" s="18">
        <f>IF(A11stdlife="n/a","n/a",IF(O$3&gt;(A11stdlife+$F199),('RFM input'!$K$233*(1+vanilla4)^0.5)-SUM($K199:N199),('RFM input'!$K$233*(1+vanilla4)^0.5)/A11stdlife))</f>
        <v>0</v>
      </c>
      <c r="P199" s="18">
        <f>IF(A11stdlife="n/a","n/a",IF(P$3&gt;(A11stdlife+$F199),('RFM input'!$K$233*(1+vanilla4)^0.5)-SUM($K199:O199),('RFM input'!$K$233*(1+vanilla4)^0.5)/A11stdlife))</f>
        <v>0</v>
      </c>
      <c r="Q199" s="18">
        <f>IF(A11stdlife="n/a","n/a",IF(Q$3&gt;(A11stdlife+$F199),('RFM input'!$K$233*(1+vanilla4)^0.5)-SUM($K199:P199),('RFM input'!$K$233*(1+vanilla4)^0.5)/A11stdlife))</f>
        <v>0</v>
      </c>
      <c r="R199" s="18"/>
      <c r="S199" s="74"/>
      <c r="T199" s="74"/>
      <c r="U199" s="74"/>
      <c r="V199" s="74"/>
      <c r="W199" s="74"/>
      <c r="X199" s="74"/>
      <c r="Y199" s="74"/>
      <c r="Z199" s="74"/>
    </row>
    <row r="200" spans="1:26" ht="12.75" hidden="1" customHeight="1" outlineLevel="2">
      <c r="A200" s="3"/>
      <c r="B200" s="3"/>
      <c r="C200" s="3"/>
      <c r="D200" s="16"/>
      <c r="E200" s="1594"/>
      <c r="F200" s="61">
        <v>5</v>
      </c>
      <c r="G200" s="17"/>
      <c r="H200" s="114"/>
      <c r="I200" s="115"/>
      <c r="J200" s="115"/>
      <c r="K200" s="115"/>
      <c r="L200" s="116"/>
      <c r="M200" s="18">
        <f>IF(A11stdlife="n/a","n/a",IF(M$3&gt;(A11stdlife+$F200),('RFM input'!$L$233*(1+vanilla5)^0.5)-SUM($L200:L200),('RFM input'!$K233*(1+vanilla5)^0.5)/A11stdlife))</f>
        <v>0</v>
      </c>
      <c r="N200" s="18">
        <f>IF(A11stdlife="n/a","n/a",IF(N$3&gt;(A11stdlife+$F200),('RFM input'!$L$233*(1+vanilla5)^0.5)-SUM($L200:M200),('RFM input'!$K233*(1+vanilla5)^0.5)/A11stdlife))</f>
        <v>0</v>
      </c>
      <c r="O200" s="18">
        <f>IF(A11stdlife="n/a","n/a",IF(O$3&gt;(A11stdlife+$F200),('RFM input'!$L$233*(1+vanilla5)^0.5)-SUM($L200:N200),('RFM input'!$K233*(1+vanilla5)^0.5)/A11stdlife))</f>
        <v>0</v>
      </c>
      <c r="P200" s="18">
        <f>IF(A11stdlife="n/a","n/a",IF(P$3&gt;(A11stdlife+$F200),('RFM input'!$L$233*(1+vanilla5)^0.5)-SUM($L200:O200),('RFM input'!$K233*(1+vanilla5)^0.5)/A11stdlife))</f>
        <v>0</v>
      </c>
      <c r="Q200" s="18">
        <f>IF(A11stdlife="n/a","n/a",IF(Q$3&gt;(A11stdlife+$F200),('RFM input'!$L$233*(1+vanilla5)^0.5)-SUM($L200:P200),('RFM input'!$K233*(1+vanilla5)^0.5)/A11stdlife))</f>
        <v>0</v>
      </c>
      <c r="R200" s="18"/>
      <c r="S200" s="74"/>
      <c r="T200" s="74"/>
      <c r="U200" s="74"/>
      <c r="V200" s="74"/>
      <c r="W200" s="74"/>
      <c r="X200" s="74"/>
      <c r="Y200" s="74"/>
      <c r="Z200" s="74"/>
    </row>
    <row r="201" spans="1:26" ht="12.75" hidden="1" customHeight="1" outlineLevel="2">
      <c r="A201" s="3"/>
      <c r="B201" s="3"/>
      <c r="C201" s="3"/>
      <c r="D201" s="16"/>
      <c r="E201" s="1594"/>
      <c r="F201" s="61">
        <v>6</v>
      </c>
      <c r="G201" s="17"/>
      <c r="H201" s="114"/>
      <c r="I201" s="115"/>
      <c r="J201" s="115"/>
      <c r="K201" s="115"/>
      <c r="L201" s="115"/>
      <c r="M201" s="116"/>
      <c r="N201" s="18">
        <f>IF(A11stdlife="n/a","n/a",IF(N$3&gt;(A11stdlife+$F201),('RFM input'!$M$233*(1+vanilla6)^0.5)-SUM($M201:M201),('RFM input'!$M$233*(1+vanilla6)^0.5)/A11stdlife))</f>
        <v>0</v>
      </c>
      <c r="O201" s="18">
        <f>IF(A11stdlife="n/a","n/a",IF(O$3&gt;(A11stdlife+$F201),('RFM input'!$M$233*(1+vanilla6)^0.5)-SUM($M201:N201),('RFM input'!$M$233*(1+vanilla6)^0.5)/A11stdlife))</f>
        <v>0</v>
      </c>
      <c r="P201" s="18">
        <f>IF(A11stdlife="n/a","n/a",IF(P$3&gt;(A11stdlife+$F201),('RFM input'!$M$233*(1+vanilla6)^0.5)-SUM($M201:O201),('RFM input'!$M$233*(1+vanilla6)^0.5)/A11stdlife))</f>
        <v>0</v>
      </c>
      <c r="Q201" s="18">
        <f>IF(A11stdlife="n/a","n/a",IF(Q$3&gt;(A11stdlife+$F201),('RFM input'!$M$233*(1+vanilla6)^0.5)-SUM($M201:P201),('RFM input'!$M$233*(1+vanilla6)^0.5)/A11stdlife))</f>
        <v>0</v>
      </c>
      <c r="R201" s="18"/>
      <c r="S201" s="74"/>
      <c r="T201" s="74"/>
      <c r="U201" s="74"/>
      <c r="V201" s="74"/>
      <c r="W201" s="74"/>
      <c r="X201" s="74"/>
      <c r="Y201" s="74"/>
      <c r="Z201" s="74"/>
    </row>
    <row r="202" spans="1:26" ht="12.75" hidden="1" customHeight="1" outlineLevel="2">
      <c r="A202" s="3"/>
      <c r="B202" s="3"/>
      <c r="C202" s="3"/>
      <c r="D202" s="16"/>
      <c r="E202" s="1594"/>
      <c r="F202" s="61">
        <v>7</v>
      </c>
      <c r="G202" s="17"/>
      <c r="H202" s="114"/>
      <c r="I202" s="115"/>
      <c r="J202" s="115"/>
      <c r="K202" s="115"/>
      <c r="L202" s="115"/>
      <c r="M202" s="115"/>
      <c r="N202" s="116"/>
      <c r="O202" s="18">
        <f>IF(A11stdlife="n/a","n/a",IF(O$3&gt;(A11stdlife+$F202),('RFM input'!$N$233*(1+vanilla7)^0.5)-SUM($N202:N202),('RFM input'!$N$233*(1+vanilla7)^0.5)/A11stdlife))</f>
        <v>0</v>
      </c>
      <c r="P202" s="18">
        <f>IF(A11stdlife="n/a","n/a",IF(P$3&gt;(A11stdlife+$F202),('RFM input'!$N$233*(1+vanilla7)^0.5)-SUM($N202:O202),('RFM input'!$N$233*(1+vanilla7)^0.5)/A11stdlife))</f>
        <v>0</v>
      </c>
      <c r="Q202" s="18">
        <f>IF(A11stdlife="n/a","n/a",IF(Q$3&gt;(A11stdlife+$F202),('RFM input'!$N$233*(1+vanilla7)^0.5)-SUM($N202:P202),('RFM input'!$N$233*(1+vanilla7)^0.5)/A11stdlife))</f>
        <v>0</v>
      </c>
      <c r="R202" s="18"/>
      <c r="S202" s="74"/>
      <c r="T202" s="74"/>
      <c r="U202" s="74"/>
      <c r="V202" s="74"/>
      <c r="W202" s="74"/>
      <c r="X202" s="74"/>
      <c r="Y202" s="74"/>
      <c r="Z202" s="74"/>
    </row>
    <row r="203" spans="1:26" ht="12.75" hidden="1" customHeight="1" outlineLevel="2">
      <c r="A203" s="3"/>
      <c r="B203" s="3"/>
      <c r="C203" s="3"/>
      <c r="D203" s="16"/>
      <c r="E203" s="1594"/>
      <c r="F203" s="61">
        <v>8</v>
      </c>
      <c r="G203" s="17"/>
      <c r="H203" s="114"/>
      <c r="I203" s="115"/>
      <c r="J203" s="115"/>
      <c r="K203" s="115"/>
      <c r="L203" s="115"/>
      <c r="M203" s="115"/>
      <c r="N203" s="115"/>
      <c r="O203" s="116"/>
      <c r="P203" s="18">
        <f>IF(A11stdlife="n/a","n/a",IF(P$3&gt;(A11stdlife+$F203),('RFM input'!$O$233*(1+vanilla8)^0.5)-SUM($O203:O203),('RFM input'!$O$233*(1+vanilla8)^0.5)/A11stdlife))</f>
        <v>0</v>
      </c>
      <c r="Q203" s="18">
        <f>IF(A11stdlife="n/a","n/a",IF(Q$3&gt;(A11stdlife+$F203),('RFM input'!$O$233*(1+vanilla8)^0.5)-SUM($O203:P203),('RFM input'!$O$233*(1+vanilla8)^0.5)/A11stdlife))</f>
        <v>0</v>
      </c>
      <c r="R203" s="18"/>
      <c r="S203" s="74"/>
      <c r="T203" s="74"/>
      <c r="U203" s="74"/>
      <c r="V203" s="74"/>
      <c r="W203" s="74"/>
      <c r="X203" s="74"/>
      <c r="Y203" s="74"/>
      <c r="Z203" s="74"/>
    </row>
    <row r="204" spans="1:26" ht="12.75" hidden="1" customHeight="1" outlineLevel="2">
      <c r="A204" s="3"/>
      <c r="B204" s="3"/>
      <c r="C204" s="3"/>
      <c r="D204" s="16"/>
      <c r="E204" s="1594"/>
      <c r="F204" s="61">
        <v>9</v>
      </c>
      <c r="G204" s="17"/>
      <c r="H204" s="114"/>
      <c r="I204" s="115"/>
      <c r="J204" s="115"/>
      <c r="K204" s="115"/>
      <c r="L204" s="115"/>
      <c r="M204" s="115"/>
      <c r="N204" s="115"/>
      <c r="O204" s="115"/>
      <c r="P204" s="116"/>
      <c r="Q204" s="18">
        <f>IF(A11stdlife="n/a","n/a",IF(Q$3&gt;(A11stdlife+$F204),('RFM input'!$P$233*(1+vanilla9)^0.5)-SUM($P204:P204),('RFM input'!$P$233*(1+vanilla9)^0.5)/A11stdlife))</f>
        <v>0</v>
      </c>
      <c r="R204" s="18"/>
      <c r="S204" s="74"/>
      <c r="T204" s="74"/>
      <c r="U204" s="74"/>
      <c r="V204" s="74"/>
      <c r="W204" s="74"/>
      <c r="X204" s="74"/>
      <c r="Y204" s="74"/>
      <c r="Z204" s="74"/>
    </row>
    <row r="205" spans="1:26" ht="12.75" hidden="1" customHeight="1" outlineLevel="2">
      <c r="A205" s="3"/>
      <c r="B205" s="3"/>
      <c r="C205" s="3"/>
      <c r="D205" s="16"/>
      <c r="E205" s="1594"/>
      <c r="F205" s="62">
        <v>10</v>
      </c>
      <c r="G205" s="17"/>
      <c r="H205" s="114"/>
      <c r="I205" s="115"/>
      <c r="J205" s="115"/>
      <c r="K205" s="115"/>
      <c r="L205" s="115"/>
      <c r="M205" s="115"/>
      <c r="N205" s="115"/>
      <c r="O205" s="115"/>
      <c r="P205" s="115"/>
      <c r="Q205" s="116"/>
      <c r="R205" s="18"/>
      <c r="S205" s="74"/>
      <c r="T205" s="74"/>
      <c r="U205" s="74"/>
      <c r="V205" s="74"/>
      <c r="W205" s="74"/>
      <c r="X205" s="74"/>
      <c r="Y205" s="74"/>
      <c r="Z205" s="74"/>
    </row>
    <row r="206" spans="1:26" ht="13.35" hidden="1" customHeight="1" outlineLevel="1">
      <c r="A206" s="3"/>
      <c r="B206" s="3"/>
      <c r="C206" s="3"/>
      <c r="D206" s="134">
        <f>Asset11</f>
        <v>0</v>
      </c>
      <c r="E206" s="3"/>
      <c r="F206" s="3"/>
      <c r="G206" s="1341"/>
      <c r="H206" s="1458">
        <f>IF(OR('RFM input'!$E$293='RFM input'!$G$292,'RFM input'!$E$293='RFM input'!$G$293),-INDEX('RFM input'!H$299:H$348,MATCH($D206,'RFM input'!$E$299:$E$348,0),1),-SUM(H194:H205))</f>
        <v>0</v>
      </c>
      <c r="I206" s="1458">
        <f>IF(OR('RFM input'!$E$293='RFM input'!$G$292,'RFM input'!$E$293='RFM input'!$G$293),-INDEX('RFM input'!I$299:I$348,MATCH($D206,'RFM input'!$E$299:$E$348,0),1),-SUM(I194:I205))</f>
        <v>0</v>
      </c>
      <c r="J206" s="1386">
        <f>IF(COUNT($H206:I206)&gt;='RFM input'!$V$7,
   0,
   IF(OR('RFM input'!$E$293='RFM input'!$G$292,'RFM input'!$E$293='RFM input'!$G$293),
      -INDEX('RFM input'!J$299:J$348,MATCH($D206,'RFM input'!$E$299:$E$348,0),1),
      -SUM(J194:J205)))</f>
        <v>0</v>
      </c>
      <c r="K206" s="1386">
        <f>IF(COUNT($H206:J206)&gt;='RFM input'!$V$7,
   0,
   IF(OR('RFM input'!$E$293='RFM input'!$G$292,'RFM input'!$E$293='RFM input'!$G$293),
      -INDEX('RFM input'!K$299:K$348,MATCH($D206,'RFM input'!$E$299:$E$348,0),1),
      -SUM(K194:K205)))</f>
        <v>0</v>
      </c>
      <c r="L206" s="1386">
        <f>IF(COUNT($H206:K206)&gt;='RFM input'!$V$7,
   0,
   IF(OR('RFM input'!$E$293='RFM input'!$G$292,'RFM input'!$E$293='RFM input'!$G$293),
      -INDEX('RFM input'!L$299:L$348,MATCH($D206,'RFM input'!$E$299:$E$348,0),1),
      -SUM(L194:L205)))</f>
        <v>0</v>
      </c>
      <c r="M206" s="1386">
        <f>IF(COUNT($H206:L206)&gt;='RFM input'!$V$7,
   0,
   IF(OR('RFM input'!$E$293='RFM input'!$G$292,'RFM input'!$E$293='RFM input'!$G$293),
      -INDEX('RFM input'!M$299:M$348,MATCH($D206,'RFM input'!$E$299:$E$348,0),1),
      -SUM(M194:M205)))</f>
        <v>0</v>
      </c>
      <c r="N206" s="1386">
        <f>IF(COUNT($H206:M206)&gt;='RFM input'!$V$7,
   0,
   IF(OR('RFM input'!$E$293='RFM input'!$G$292,'RFM input'!$E$293='RFM input'!$G$293),
      -INDEX('RFM input'!N$299:N$348,MATCH($D206,'RFM input'!$E$299:$E$348,0),1),
      -SUM(N194:N205)))</f>
        <v>0</v>
      </c>
      <c r="O206" s="1386">
        <f>IF(COUNT($H206:N206)&gt;='RFM input'!$V$7,
   0,
   IF(OR('RFM input'!$E$293='RFM input'!$G$292,'RFM input'!$E$293='RFM input'!$G$293),
      -INDEX('RFM input'!O$299:O$348,MATCH($D206,'RFM input'!$E$299:$E$348,0),1),
      -SUM(O194:O205)))</f>
        <v>0</v>
      </c>
      <c r="P206" s="1386">
        <f>IF(COUNT($H206:O206)&gt;='RFM input'!$V$7,
   0,
   IF(OR('RFM input'!$E$293='RFM input'!$G$292,'RFM input'!$E$293='RFM input'!$G$293),
      -INDEX('RFM input'!P$299:P$348,MATCH($D206,'RFM input'!$E$299:$E$348,0),1),
      -SUM(P194:P205)))</f>
        <v>0</v>
      </c>
      <c r="Q206" s="1386">
        <f>IF(COUNT($H206:P206)&gt;='RFM input'!$V$7,
   0,
   IF(OR('RFM input'!$E$293='RFM input'!$G$292,'RFM input'!$E$293='RFM input'!$G$293),
      -INDEX('RFM input'!Q$299:Q$348,MATCH($D206,'RFM input'!$E$299:$E$348,0),1),
      -SUM(Q194:Q205)))</f>
        <v>0</v>
      </c>
      <c r="R206" s="1382"/>
      <c r="S206" s="76"/>
      <c r="T206" s="76"/>
      <c r="U206" s="76"/>
      <c r="V206" s="76"/>
      <c r="W206" s="76"/>
      <c r="X206" s="76"/>
      <c r="Y206" s="76"/>
      <c r="Z206" s="76"/>
    </row>
    <row r="207" spans="1:26" ht="12.75" hidden="1" customHeight="1" outlineLevel="2">
      <c r="A207" s="3"/>
      <c r="B207" s="3"/>
      <c r="C207" s="135">
        <f>Asset12</f>
        <v>0</v>
      </c>
      <c r="D207" s="100"/>
      <c r="E207" s="20" t="s">
        <v>23</v>
      </c>
      <c r="F207" s="19"/>
      <c r="G207" s="1389"/>
      <c r="H207" s="1380">
        <f>IF(H$3&gt;A12remlife,A12value-SUM($G207:G207),IF(A12remlife="N/A","n/a",A12value/A12remlife))</f>
        <v>0</v>
      </c>
      <c r="I207" s="1380">
        <f>IF(I$3&gt;A12remlife,A12value-SUM($G207:H207),IF(A12remlife="N/A","n/a",A12value/A12remlife))</f>
        <v>0</v>
      </c>
      <c r="J207" s="1380">
        <f>IF(J$3&gt;A12remlife,A12value-SUM($G207:I207),IF(A12remlife="N/A","n/a",A12value/A12remlife))</f>
        <v>0</v>
      </c>
      <c r="K207" s="1380">
        <f>IF(K$3&gt;A12remlife,A12value-SUM($G207:J207),IF(A12remlife="N/A","n/a",A12value/A12remlife))</f>
        <v>0</v>
      </c>
      <c r="L207" s="1380">
        <f>IF(L$3&gt;A12remlife,A12value-SUM($G207:K207),IF(A12remlife="N/A","n/a",A12value/A12remlife))</f>
        <v>0</v>
      </c>
      <c r="M207" s="1380">
        <f>IF(M$3&gt;A12remlife,A12value-SUM($G207:L207),IF(A12remlife="N/A","n/a",A12value/A12remlife))</f>
        <v>0</v>
      </c>
      <c r="N207" s="1380">
        <f>IF(N$3&gt;A12remlife,A12value-SUM($G207:M207),IF(A12remlife="N/A","n/a",A12value/A12remlife))</f>
        <v>0</v>
      </c>
      <c r="O207" s="1380">
        <f>IF(O$3&gt;A12remlife,A12value-SUM($G207:N207),IF(A12remlife="N/A","n/a",A12value/A12remlife))</f>
        <v>0</v>
      </c>
      <c r="P207" s="1380">
        <f>IF(P$3&gt;A12remlife,A12value-SUM($G207:O207),IF(A12remlife="N/A","n/a",A12value/A12remlife))</f>
        <v>0</v>
      </c>
      <c r="Q207" s="1380">
        <f>IF(Q$3&gt;A12remlife,A12value-SUM($G207:P207),IF(A12remlife="N/A","n/a",A12value/A12remlife))</f>
        <v>0</v>
      </c>
      <c r="R207" s="21"/>
      <c r="S207" s="74"/>
      <c r="T207" s="74"/>
      <c r="U207" s="74"/>
      <c r="V207" s="74"/>
      <c r="W207" s="74"/>
      <c r="X207" s="74"/>
      <c r="Y207" s="74"/>
      <c r="Z207" s="74"/>
    </row>
    <row r="208" spans="1:26" ht="12.75" hidden="1" customHeight="1" outlineLevel="2">
      <c r="A208" s="3"/>
      <c r="B208" s="3"/>
      <c r="C208" s="3"/>
      <c r="D208" s="16"/>
      <c r="E208" s="1593" t="s">
        <v>43</v>
      </c>
      <c r="F208" s="61"/>
      <c r="G208" s="1341"/>
      <c r="H208" s="18"/>
      <c r="I208" s="18"/>
      <c r="J208" s="18"/>
      <c r="K208" s="18"/>
      <c r="L208" s="18"/>
      <c r="M208" s="1384"/>
      <c r="N208" s="1385"/>
      <c r="O208" s="18"/>
      <c r="P208" s="18"/>
      <c r="Q208" s="18"/>
      <c r="R208" s="18"/>
      <c r="S208" s="74"/>
      <c r="T208" s="74"/>
      <c r="U208" s="74"/>
      <c r="V208" s="74"/>
      <c r="W208" s="74"/>
      <c r="X208" s="74"/>
      <c r="Y208" s="74"/>
      <c r="Z208" s="74"/>
    </row>
    <row r="209" spans="1:26" ht="12.75" hidden="1" customHeight="1" outlineLevel="2">
      <c r="A209" s="3"/>
      <c r="B209" s="3"/>
      <c r="C209" s="3"/>
      <c r="D209" s="16"/>
      <c r="E209" s="1594"/>
      <c r="F209" s="61">
        <v>1</v>
      </c>
      <c r="G209" s="1341"/>
      <c r="H209" s="1381"/>
      <c r="I209" s="18">
        <f>IF(A12stdlife="n/a","n/a",IF(I$3&gt;(A12stdlife+$F209),('RFM input'!$H$234*(1+vanilla1)^0.5)-SUM($H209:H209),('RFM input'!$H$234*(1+vanilla1)^0.5)/A12stdlife))</f>
        <v>0</v>
      </c>
      <c r="J209" s="18">
        <f>IF(A12stdlife="n/a","n/a",IF(J$3&gt;(A12stdlife+$F209),('RFM input'!$H$234*(1+vanilla1)^0.5)-SUM($H209:I209),('RFM input'!$H$234*(1+vanilla1)^0.5)/A12stdlife))</f>
        <v>0</v>
      </c>
      <c r="K209" s="18">
        <f>IF(A12stdlife="n/a","n/a",IF(K$3&gt;(A12stdlife+$F209),('RFM input'!$H$234*(1+vanilla1)^0.5)-SUM($H209:J209),('RFM input'!$H$234*(1+vanilla1)^0.5)/A12stdlife))</f>
        <v>0</v>
      </c>
      <c r="L209" s="18">
        <f>IF(A12stdlife="n/a","n/a",IF(L$3&gt;(A12stdlife+$F209),('RFM input'!$H$234*(1+vanilla1)^0.5)-SUM($H209:K209),('RFM input'!$H$234*(1+vanilla1)^0.5)/A12stdlife))</f>
        <v>0</v>
      </c>
      <c r="M209" s="18">
        <f>IF(A12stdlife="n/a","n/a",IF(M$3&gt;(A12stdlife+$F209),('RFM input'!$H$234*(1+vanilla1)^0.5)-SUM($H209:L209),('RFM input'!$H$234*(1+vanilla1)^0.5)/A12stdlife))</f>
        <v>0</v>
      </c>
      <c r="N209" s="18">
        <f>IF(A12stdlife="n/a","n/a",IF(N$3&gt;(A12stdlife+$F209),('RFM input'!$H$234*(1+vanilla1)^0.5)-SUM($H209:M209),('RFM input'!$H$234*(1+vanilla1)^0.5)/A12stdlife))</f>
        <v>0</v>
      </c>
      <c r="O209" s="18">
        <f>IF(A12stdlife="n/a","n/a",IF(O$3&gt;(A12stdlife+$F209),('RFM input'!$H$234*(1+vanilla1)^0.5)-SUM($H209:N209),('RFM input'!$H$234*(1+vanilla1)^0.5)/A12stdlife))</f>
        <v>0</v>
      </c>
      <c r="P209" s="18">
        <f>IF(A12stdlife="n/a","n/a",IF(P$3&gt;(A12stdlife+$F209),('RFM input'!$H$234*(1+vanilla1)^0.5)-SUM($H209:O209),('RFM input'!$H$234*(1+vanilla1)^0.5)/A12stdlife))</f>
        <v>0</v>
      </c>
      <c r="Q209" s="18">
        <f>IF(A12stdlife="n/a","n/a",IF(Q$3&gt;(A12stdlife+$F209),('RFM input'!$H$234*(1+vanilla1)^0.5)-SUM($H209:P209),('RFM input'!$H$234*(1+vanilla1)^0.5)/A12stdlife))</f>
        <v>0</v>
      </c>
      <c r="R209" s="18"/>
      <c r="S209" s="74"/>
      <c r="T209" s="74"/>
      <c r="U209" s="74"/>
      <c r="V209" s="74"/>
      <c r="W209" s="74"/>
      <c r="X209" s="74"/>
      <c r="Y209" s="74"/>
      <c r="Z209" s="74"/>
    </row>
    <row r="210" spans="1:26" ht="12.75" hidden="1" customHeight="1" outlineLevel="2">
      <c r="A210" s="3"/>
      <c r="B210" s="3"/>
      <c r="C210" s="3"/>
      <c r="D210" s="16"/>
      <c r="E210" s="1594"/>
      <c r="F210" s="61">
        <v>2</v>
      </c>
      <c r="G210" s="1341"/>
      <c r="H210" s="114"/>
      <c r="I210" s="116"/>
      <c r="J210" s="18">
        <f>IF(A12stdlife="n/a","n/a",IF(J$3&gt;(A12stdlife+$F210),('RFM input'!$I$234*(1+vanilla2)^0.5)-SUM($I210:I210),('RFM input'!$I$234*(1+vanilla2)^0.5)/A12stdlife))</f>
        <v>0</v>
      </c>
      <c r="K210" s="18">
        <f>IF(A12stdlife="n/a","n/a",IF(K$3&gt;(A12stdlife+$F210),('RFM input'!$I$234*(1+vanilla2)^0.5)-SUM($I210:J210),('RFM input'!$I$234*(1+vanilla2)^0.5)/A12stdlife))</f>
        <v>0</v>
      </c>
      <c r="L210" s="18">
        <f>IF(A12stdlife="n/a","n/a",IF(L$3&gt;(A12stdlife+$F210),('RFM input'!$I$234*(1+vanilla2)^0.5)-SUM($I210:K210),('RFM input'!$I$234*(1+vanilla2)^0.5)/A12stdlife))</f>
        <v>0</v>
      </c>
      <c r="M210" s="18">
        <f>IF(A12stdlife="n/a","n/a",IF(M$3&gt;(A12stdlife+$F210),('RFM input'!$I$234*(1+vanilla2)^0.5)-SUM($I210:L210),('RFM input'!$I$234*(1+vanilla2)^0.5)/A12stdlife))</f>
        <v>0</v>
      </c>
      <c r="N210" s="18">
        <f>IF(A12stdlife="n/a","n/a",IF(N$3&gt;(A12stdlife+$F210),('RFM input'!$I$234*(1+vanilla2)^0.5)-SUM($I210:M210),('RFM input'!$I$234*(1+vanilla2)^0.5)/A12stdlife))</f>
        <v>0</v>
      </c>
      <c r="O210" s="18">
        <f>IF(A12stdlife="n/a","n/a",IF(O$3&gt;(A12stdlife+$F210),('RFM input'!$I$234*(1+vanilla2)^0.5)-SUM($I210:N210),('RFM input'!$I$234*(1+vanilla2)^0.5)/A12stdlife))</f>
        <v>0</v>
      </c>
      <c r="P210" s="18">
        <f>IF(A12stdlife="n/a","n/a",IF(P$3&gt;(A12stdlife+$F210),('RFM input'!$I$234*(1+vanilla2)^0.5)-SUM($I210:O210),('RFM input'!$I$234*(1+vanilla2)^0.5)/A12stdlife))</f>
        <v>0</v>
      </c>
      <c r="Q210" s="18">
        <f>IF(A12stdlife="n/a","n/a",IF(Q$3&gt;(A12stdlife+$F210),('RFM input'!$I$234*(1+vanilla2)^0.5)-SUM($I210:P210),('RFM input'!$I$234*(1+vanilla2)^0.5)/A12stdlife))</f>
        <v>0</v>
      </c>
      <c r="R210" s="18"/>
      <c r="S210" s="74"/>
      <c r="T210" s="74"/>
      <c r="U210" s="74"/>
      <c r="V210" s="74"/>
      <c r="W210" s="74"/>
      <c r="X210" s="74"/>
      <c r="Y210" s="74"/>
      <c r="Z210" s="74"/>
    </row>
    <row r="211" spans="1:26" ht="12.75" hidden="1" customHeight="1" outlineLevel="2">
      <c r="A211" s="3"/>
      <c r="B211" s="3"/>
      <c r="C211" s="3"/>
      <c r="D211" s="16"/>
      <c r="E211" s="1594"/>
      <c r="F211" s="61">
        <v>3</v>
      </c>
      <c r="G211" s="1341"/>
      <c r="H211" s="114"/>
      <c r="I211" s="115"/>
      <c r="J211" s="116"/>
      <c r="K211" s="18">
        <f>IF(A12stdlife="n/a","n/a",IF(K$3&gt;(A12stdlife+$F211),('RFM input'!$J$234*(1+vanilla3)^0.5)-SUM($J211:J211),('RFM input'!$J$234*(1+vanilla3)^0.5)/A12stdlife))</f>
        <v>0</v>
      </c>
      <c r="L211" s="18">
        <f>IF(A12stdlife="n/a","n/a",IF(L$3&gt;(A12stdlife+$F211),('RFM input'!$J$234*(1+vanilla3)^0.5)-SUM($J211:K211),('RFM input'!$J$234*(1+vanilla3)^0.5)/A12stdlife))</f>
        <v>0</v>
      </c>
      <c r="M211" s="18">
        <f>IF(A12stdlife="n/a","n/a",IF(M$3&gt;(A12stdlife+$F211),('RFM input'!$J$234*(1+vanilla3)^0.5)-SUM($J211:L211),('RFM input'!$J$234*(1+vanilla3)^0.5)/A12stdlife))</f>
        <v>0</v>
      </c>
      <c r="N211" s="18">
        <f>IF(A12stdlife="n/a","n/a",IF(N$3&gt;(A12stdlife+$F211),('RFM input'!$J$234*(1+vanilla3)^0.5)-SUM($J211:M211),('RFM input'!$J$234*(1+vanilla3)^0.5)/A12stdlife))</f>
        <v>0</v>
      </c>
      <c r="O211" s="18">
        <f>IF(A12stdlife="n/a","n/a",IF(O$3&gt;(A12stdlife+$F211),('RFM input'!$J$234*(1+vanilla3)^0.5)-SUM($J211:N211),('RFM input'!$J$234*(1+vanilla3)^0.5)/A12stdlife))</f>
        <v>0</v>
      </c>
      <c r="P211" s="18">
        <f>IF(A12stdlife="n/a","n/a",IF(P$3&gt;(A12stdlife+$F211),('RFM input'!$J$234*(1+vanilla3)^0.5)-SUM($J211:O211),('RFM input'!$J$234*(1+vanilla3)^0.5)/A12stdlife))</f>
        <v>0</v>
      </c>
      <c r="Q211" s="18">
        <f>IF(A12stdlife="n/a","n/a",IF(Q$3&gt;(A12stdlife+$F211),('RFM input'!$J$234*(1+vanilla3)^0.5)-SUM($J211:P211),('RFM input'!$J$234*(1+vanilla3)^0.5)/A12stdlife))</f>
        <v>0</v>
      </c>
      <c r="R211" s="18"/>
      <c r="S211" s="74"/>
      <c r="T211" s="74"/>
      <c r="U211" s="74"/>
      <c r="V211" s="74"/>
      <c r="W211" s="74"/>
      <c r="X211" s="74"/>
      <c r="Y211" s="74"/>
      <c r="Z211" s="74"/>
    </row>
    <row r="212" spans="1:26" ht="12.75" hidden="1" customHeight="1" outlineLevel="2">
      <c r="A212" s="3"/>
      <c r="B212" s="3"/>
      <c r="C212" s="3"/>
      <c r="D212" s="16"/>
      <c r="E212" s="1594"/>
      <c r="F212" s="61">
        <v>4</v>
      </c>
      <c r="G212" s="1341"/>
      <c r="H212" s="114"/>
      <c r="I212" s="115"/>
      <c r="J212" s="115"/>
      <c r="K212" s="116"/>
      <c r="L212" s="18">
        <f>IF(A12stdlife="n/a","n/a",IF(L$3&gt;(A12stdlife+$F212),('RFM input'!$K$234*(1+vanilla4)^0.5)-SUM($K212:K212),('RFM input'!$K$234*(1+vanilla4)^0.5)/A12stdlife))</f>
        <v>0</v>
      </c>
      <c r="M212" s="18">
        <f>IF(A12stdlife="n/a","n/a",IF(M$3&gt;(A12stdlife+$F212),('RFM input'!$K$234*(1+vanilla4)^0.5)-SUM($K212:L212),('RFM input'!$K$234*(1+vanilla4)^0.5)/A12stdlife))</f>
        <v>0</v>
      </c>
      <c r="N212" s="18">
        <f>IF(A12stdlife="n/a","n/a",IF(N$3&gt;(A12stdlife+$F212),('RFM input'!$K$234*(1+vanilla4)^0.5)-SUM($K212:M212),('RFM input'!$K$234*(1+vanilla4)^0.5)/A12stdlife))</f>
        <v>0</v>
      </c>
      <c r="O212" s="18">
        <f>IF(A12stdlife="n/a","n/a",IF(O$3&gt;(A12stdlife+$F212),('RFM input'!$K$234*(1+vanilla4)^0.5)-SUM($K212:N212),('RFM input'!$K$234*(1+vanilla4)^0.5)/A12stdlife))</f>
        <v>0</v>
      </c>
      <c r="P212" s="18">
        <f>IF(A12stdlife="n/a","n/a",IF(P$3&gt;(A12stdlife+$F212),('RFM input'!$K$234*(1+vanilla4)^0.5)-SUM($K212:O212),('RFM input'!$K$234*(1+vanilla4)^0.5)/A12stdlife))</f>
        <v>0</v>
      </c>
      <c r="Q212" s="18">
        <f>IF(A12stdlife="n/a","n/a",IF(Q$3&gt;(A12stdlife+$F212),('RFM input'!$K$234*(1+vanilla4)^0.5)-SUM($K212:P212),('RFM input'!$K$234*(1+vanilla4)^0.5)/A12stdlife))</f>
        <v>0</v>
      </c>
      <c r="R212" s="18"/>
      <c r="S212" s="74"/>
      <c r="T212" s="74"/>
      <c r="U212" s="74"/>
      <c r="V212" s="74"/>
      <c r="W212" s="74"/>
      <c r="X212" s="74"/>
      <c r="Y212" s="74"/>
      <c r="Z212" s="74"/>
    </row>
    <row r="213" spans="1:26" ht="12.75" hidden="1" customHeight="1" outlineLevel="2">
      <c r="A213" s="3"/>
      <c r="B213" s="3"/>
      <c r="C213" s="3"/>
      <c r="D213" s="16"/>
      <c r="E213" s="1594"/>
      <c r="F213" s="61">
        <v>5</v>
      </c>
      <c r="G213" s="17"/>
      <c r="H213" s="114"/>
      <c r="I213" s="115"/>
      <c r="J213" s="115"/>
      <c r="K213" s="115"/>
      <c r="L213" s="116"/>
      <c r="M213" s="18">
        <f>IF(A12stdlife="n/a","n/a",IF(M$3&gt;(A12stdlife+$F213),('RFM input'!$L$234*(1+vanilla5)^0.5)-SUM($L213:L213),('RFM input'!$L$234*(1+vanilla5)^0.5)/A12stdlife))</f>
        <v>0</v>
      </c>
      <c r="N213" s="18">
        <f>IF(A12stdlife="n/a","n/a",IF(N$3&gt;(A12stdlife+$F213),('RFM input'!$L$234*(1+vanilla5)^0.5)-SUM($L213:M213),('RFM input'!$L$234*(1+vanilla5)^0.5)/A12stdlife))</f>
        <v>0</v>
      </c>
      <c r="O213" s="18">
        <f>IF(A12stdlife="n/a","n/a",IF(O$3&gt;(A12stdlife+$F213),('RFM input'!$L$234*(1+vanilla5)^0.5)-SUM($L213:N213),('RFM input'!$L$234*(1+vanilla5)^0.5)/A12stdlife))</f>
        <v>0</v>
      </c>
      <c r="P213" s="18">
        <f>IF(A12stdlife="n/a","n/a",IF(P$3&gt;(A12stdlife+$F213),('RFM input'!$L$234*(1+vanilla5)^0.5)-SUM($L213:O213),('RFM input'!$L$234*(1+vanilla5)^0.5)/A12stdlife))</f>
        <v>0</v>
      </c>
      <c r="Q213" s="18">
        <f>IF(A12stdlife="n/a","n/a",IF(Q$3&gt;(A12stdlife+$F213),('RFM input'!$L$234*(1+vanilla5)^0.5)-SUM($L213:P213),('RFM input'!$L$234*(1+vanilla5)^0.5)/A12stdlife))</f>
        <v>0</v>
      </c>
      <c r="R213" s="18"/>
      <c r="S213" s="74"/>
      <c r="T213" s="74"/>
      <c r="U213" s="74"/>
      <c r="V213" s="74"/>
      <c r="W213" s="74"/>
      <c r="X213" s="74"/>
      <c r="Y213" s="74"/>
      <c r="Z213" s="74"/>
    </row>
    <row r="214" spans="1:26" ht="12.75" hidden="1" customHeight="1" outlineLevel="2">
      <c r="A214" s="3"/>
      <c r="B214" s="3"/>
      <c r="C214" s="3"/>
      <c r="D214" s="16"/>
      <c r="E214" s="1594"/>
      <c r="F214" s="61">
        <v>6</v>
      </c>
      <c r="G214" s="17"/>
      <c r="H214" s="114"/>
      <c r="I214" s="115"/>
      <c r="J214" s="115"/>
      <c r="K214" s="115"/>
      <c r="L214" s="115"/>
      <c r="M214" s="116"/>
      <c r="N214" s="18">
        <f>IF(A12stdlife="n/a","n/a",IF(N$3&gt;(A12stdlife+$F214),('RFM input'!$M$234*(1+vanilla6)^0.5)-SUM($M214:M214),('RFM input'!$M$234*(1+vanilla6)^0.5)/A12stdlife))</f>
        <v>0</v>
      </c>
      <c r="O214" s="18">
        <f>IF(A12stdlife="n/a","n/a",IF(O$3&gt;(A12stdlife+$F214),('RFM input'!$M$234*(1+vanilla6)^0.5)-SUM($M214:N214),('RFM input'!$M$234*(1+vanilla6)^0.5)/A12stdlife))</f>
        <v>0</v>
      </c>
      <c r="P214" s="18">
        <f>IF(A12stdlife="n/a","n/a",IF(P$3&gt;(A12stdlife+$F214),('RFM input'!$M$234*(1+vanilla6)^0.5)-SUM($M214:O214),('RFM input'!$M$234*(1+vanilla6)^0.5)/A12stdlife))</f>
        <v>0</v>
      </c>
      <c r="Q214" s="18">
        <f>IF(A12stdlife="n/a","n/a",IF(Q$3&gt;(A12stdlife+$F214),('RFM input'!$M$234*(1+vanilla6)^0.5)-SUM($M214:P214),('RFM input'!$M$234*(1+vanilla6)^0.5)/A12stdlife))</f>
        <v>0</v>
      </c>
      <c r="R214" s="18"/>
      <c r="S214" s="74"/>
      <c r="T214" s="74"/>
      <c r="U214" s="74"/>
      <c r="V214" s="74"/>
      <c r="W214" s="74"/>
      <c r="X214" s="74"/>
      <c r="Y214" s="74"/>
      <c r="Z214" s="74"/>
    </row>
    <row r="215" spans="1:26" ht="12.75" hidden="1" customHeight="1" outlineLevel="2">
      <c r="A215" s="3"/>
      <c r="B215" s="3"/>
      <c r="C215" s="3"/>
      <c r="D215" s="16"/>
      <c r="E215" s="1594"/>
      <c r="F215" s="61">
        <v>7</v>
      </c>
      <c r="G215" s="17"/>
      <c r="H215" s="114"/>
      <c r="I215" s="115"/>
      <c r="J215" s="115"/>
      <c r="K215" s="115"/>
      <c r="L215" s="115"/>
      <c r="M215" s="115"/>
      <c r="N215" s="116"/>
      <c r="O215" s="18">
        <f>IF(A12stdlife="n/a","n/a",IF(O$3&gt;(A12stdlife+$F215),('RFM input'!$N$234*(1+vanilla7)^0.5)-SUM($N215:N215),('RFM input'!$N$234*(1+vanilla7)^0.5)/A12stdlife))</f>
        <v>0</v>
      </c>
      <c r="P215" s="18">
        <f>IF(A12stdlife="n/a","n/a",IF(P$3&gt;(A12stdlife+$F215),('RFM input'!$N$234*(1+vanilla7)^0.5)-SUM($N215:O215),('RFM input'!$N$234*(1+vanilla7)^0.5)/A12stdlife))</f>
        <v>0</v>
      </c>
      <c r="Q215" s="18">
        <f>IF(A12stdlife="n/a","n/a",IF(Q$3&gt;(A12stdlife+$F215),('RFM input'!$N$234*(1+vanilla7)^0.5)-SUM($N215:P215),('RFM input'!$N$234*(1+vanilla7)^0.5)/A12stdlife))</f>
        <v>0</v>
      </c>
      <c r="R215" s="18"/>
      <c r="S215" s="74"/>
      <c r="T215" s="74"/>
      <c r="U215" s="74"/>
      <c r="V215" s="74"/>
      <c r="W215" s="74"/>
      <c r="X215" s="74"/>
      <c r="Y215" s="74"/>
      <c r="Z215" s="74"/>
    </row>
    <row r="216" spans="1:26" ht="12.75" hidden="1" customHeight="1" outlineLevel="2">
      <c r="A216" s="3"/>
      <c r="B216" s="3"/>
      <c r="C216" s="3"/>
      <c r="D216" s="16"/>
      <c r="E216" s="1594"/>
      <c r="F216" s="61">
        <v>8</v>
      </c>
      <c r="G216" s="17"/>
      <c r="H216" s="114"/>
      <c r="I216" s="115"/>
      <c r="J216" s="115"/>
      <c r="K216" s="115"/>
      <c r="L216" s="115"/>
      <c r="M216" s="115"/>
      <c r="N216" s="115"/>
      <c r="O216" s="116"/>
      <c r="P216" s="18">
        <f>IF(A12stdlife="n/a","n/a",IF(P$3&gt;(A12stdlife+$F216),('RFM input'!$O$234*(1+vanilla8)^0.5)-SUM($O216:O216),('RFM input'!$O$234*(1+vanilla8)^0.5)/A12stdlife))</f>
        <v>0</v>
      </c>
      <c r="Q216" s="18">
        <f>IF(A12stdlife="n/a","n/a",IF(Q$3&gt;(A12stdlife+$F216),('RFM input'!$O$234*(1+vanilla8)^0.5)-SUM($O216:P216),('RFM input'!$O$234*(1+vanilla8)^0.5)/A12stdlife))</f>
        <v>0</v>
      </c>
      <c r="R216" s="18"/>
      <c r="S216" s="74"/>
      <c r="T216" s="74"/>
      <c r="U216" s="74"/>
      <c r="V216" s="74"/>
      <c r="W216" s="74"/>
      <c r="X216" s="74"/>
      <c r="Y216" s="74"/>
      <c r="Z216" s="74"/>
    </row>
    <row r="217" spans="1:26" ht="12.75" hidden="1" customHeight="1" outlineLevel="2">
      <c r="A217" s="3"/>
      <c r="B217" s="3"/>
      <c r="C217" s="3"/>
      <c r="D217" s="16"/>
      <c r="E217" s="1594"/>
      <c r="F217" s="61">
        <v>9</v>
      </c>
      <c r="G217" s="17"/>
      <c r="H217" s="114"/>
      <c r="I217" s="115"/>
      <c r="J217" s="115"/>
      <c r="K217" s="115"/>
      <c r="L217" s="115"/>
      <c r="M217" s="115"/>
      <c r="N217" s="115"/>
      <c r="O217" s="115"/>
      <c r="P217" s="116"/>
      <c r="Q217" s="18">
        <f>IF(A12stdlife="n/a","n/a",IF(Q$3&gt;(A12stdlife+$F217),('RFM input'!$P$234*(1+vanilla9)^0.5)-SUM($P217:P217),('RFM input'!$P$234*(1+vanilla9)^0.5)/A12stdlife))</f>
        <v>0</v>
      </c>
      <c r="R217" s="18"/>
      <c r="S217" s="74"/>
      <c r="T217" s="74"/>
      <c r="U217" s="74"/>
      <c r="V217" s="74"/>
      <c r="W217" s="74"/>
      <c r="X217" s="74"/>
      <c r="Y217" s="74"/>
      <c r="Z217" s="74"/>
    </row>
    <row r="218" spans="1:26" ht="12.75" hidden="1" customHeight="1" outlineLevel="2">
      <c r="A218" s="3"/>
      <c r="B218" s="3"/>
      <c r="C218" s="3"/>
      <c r="D218" s="16"/>
      <c r="E218" s="1594"/>
      <c r="F218" s="62">
        <v>10</v>
      </c>
      <c r="G218" s="17"/>
      <c r="H218" s="114"/>
      <c r="I218" s="115"/>
      <c r="J218" s="115"/>
      <c r="K218" s="115"/>
      <c r="L218" s="115"/>
      <c r="M218" s="115"/>
      <c r="N218" s="115"/>
      <c r="O218" s="115"/>
      <c r="P218" s="115"/>
      <c r="Q218" s="116"/>
      <c r="R218" s="18"/>
      <c r="S218" s="74"/>
      <c r="T218" s="74"/>
      <c r="U218" s="74"/>
      <c r="V218" s="74"/>
      <c r="W218" s="74"/>
      <c r="X218" s="74"/>
      <c r="Y218" s="74"/>
      <c r="Z218" s="74"/>
    </row>
    <row r="219" spans="1:26" ht="13.35" hidden="1" customHeight="1" outlineLevel="1">
      <c r="A219" s="3"/>
      <c r="B219" s="3"/>
      <c r="C219" s="3"/>
      <c r="D219" s="134">
        <f>Asset12</f>
        <v>0</v>
      </c>
      <c r="E219" s="3"/>
      <c r="F219" s="3"/>
      <c r="G219" s="1341"/>
      <c r="H219" s="1458">
        <f>IF(OR('RFM input'!$E$293='RFM input'!$G$292,'RFM input'!$E$293='RFM input'!$G$293),-INDEX('RFM input'!H$299:H$348,MATCH($D219,'RFM input'!$E$299:$E$348,0),1),-SUM(H207:H218))</f>
        <v>0</v>
      </c>
      <c r="I219" s="1458">
        <f>IF(OR('RFM input'!$E$293='RFM input'!$G$292,'RFM input'!$E$293='RFM input'!$G$293),-INDEX('RFM input'!I$299:I$348,MATCH($D219,'RFM input'!$E$299:$E$348,0),1),-SUM(I207:I218))</f>
        <v>0</v>
      </c>
      <c r="J219" s="1386">
        <f>IF(COUNT($H219:I219)&gt;='RFM input'!$V$7,
   0,
   IF(OR('RFM input'!$E$293='RFM input'!$G$292,'RFM input'!$E$293='RFM input'!$G$293),
      -INDEX('RFM input'!J$299:J$348,MATCH($D219,'RFM input'!$E$299:$E$348,0),1),
      -SUM(J207:J218)))</f>
        <v>0</v>
      </c>
      <c r="K219" s="1386">
        <f>IF(COUNT($H219:J219)&gt;='RFM input'!$V$7,
   0,
   IF(OR('RFM input'!$E$293='RFM input'!$G$292,'RFM input'!$E$293='RFM input'!$G$293),
      -INDEX('RFM input'!K$299:K$348,MATCH($D219,'RFM input'!$E$299:$E$348,0),1),
      -SUM(K207:K218)))</f>
        <v>0</v>
      </c>
      <c r="L219" s="1386">
        <f>IF(COUNT($H219:K219)&gt;='RFM input'!$V$7,
   0,
   IF(OR('RFM input'!$E$293='RFM input'!$G$292,'RFM input'!$E$293='RFM input'!$G$293),
      -INDEX('RFM input'!L$299:L$348,MATCH($D219,'RFM input'!$E$299:$E$348,0),1),
      -SUM(L207:L218)))</f>
        <v>0</v>
      </c>
      <c r="M219" s="1386">
        <f>IF(COUNT($H219:L219)&gt;='RFM input'!$V$7,
   0,
   IF(OR('RFM input'!$E$293='RFM input'!$G$292,'RFM input'!$E$293='RFM input'!$G$293),
      -INDEX('RFM input'!M$299:M$348,MATCH($D219,'RFM input'!$E$299:$E$348,0),1),
      -SUM(M207:M218)))</f>
        <v>0</v>
      </c>
      <c r="N219" s="1386">
        <f>IF(COUNT($H219:M219)&gt;='RFM input'!$V$7,
   0,
   IF(OR('RFM input'!$E$293='RFM input'!$G$292,'RFM input'!$E$293='RFM input'!$G$293),
      -INDEX('RFM input'!N$299:N$348,MATCH($D219,'RFM input'!$E$299:$E$348,0),1),
      -SUM(N207:N218)))</f>
        <v>0</v>
      </c>
      <c r="O219" s="1386">
        <f>IF(COUNT($H219:N219)&gt;='RFM input'!$V$7,
   0,
   IF(OR('RFM input'!$E$293='RFM input'!$G$292,'RFM input'!$E$293='RFM input'!$G$293),
      -INDEX('RFM input'!O$299:O$348,MATCH($D219,'RFM input'!$E$299:$E$348,0),1),
      -SUM(O207:O218)))</f>
        <v>0</v>
      </c>
      <c r="P219" s="1386">
        <f>IF(COUNT($H219:O219)&gt;='RFM input'!$V$7,
   0,
   IF(OR('RFM input'!$E$293='RFM input'!$G$292,'RFM input'!$E$293='RFM input'!$G$293),
      -INDEX('RFM input'!P$299:P$348,MATCH($D219,'RFM input'!$E$299:$E$348,0),1),
      -SUM(P207:P218)))</f>
        <v>0</v>
      </c>
      <c r="Q219" s="1386">
        <f>IF(COUNT($H219:P219)&gt;='RFM input'!$V$7,
   0,
   IF(OR('RFM input'!$E$293='RFM input'!$G$292,'RFM input'!$E$293='RFM input'!$G$293),
      -INDEX('RFM input'!Q$299:Q$348,MATCH($D219,'RFM input'!$E$299:$E$348,0),1),
      -SUM(Q207:Q218)))</f>
        <v>0</v>
      </c>
      <c r="R219" s="1382"/>
      <c r="S219" s="76"/>
      <c r="T219" s="76"/>
      <c r="U219" s="76"/>
      <c r="V219" s="76"/>
      <c r="W219" s="76"/>
      <c r="X219" s="76"/>
      <c r="Y219" s="76"/>
      <c r="Z219" s="76"/>
    </row>
    <row r="220" spans="1:26" ht="12.75" hidden="1" customHeight="1" outlineLevel="2">
      <c r="A220" s="3"/>
      <c r="B220" s="3"/>
      <c r="C220" s="135">
        <f>Asset13</f>
        <v>0</v>
      </c>
      <c r="D220" s="100"/>
      <c r="E220" s="20" t="s">
        <v>23</v>
      </c>
      <c r="F220" s="19"/>
      <c r="G220" s="1383"/>
      <c r="H220" s="1380">
        <f>IF(H$3&gt;A13remlife,A13value-SUM($G220:G220),IF(A13remlife="N/A","n/a",A13value/A13remlife))</f>
        <v>0</v>
      </c>
      <c r="I220" s="1380">
        <f>IF(I$3&gt;A13remlife,A13value-SUM($G220:H220),IF(A13remlife="N/A","n/a",A13value/A13remlife))</f>
        <v>0</v>
      </c>
      <c r="J220" s="1380">
        <f>IF(J$3&gt;A13remlife,A13value-SUM($G220:I220),IF(A13remlife="N/A","n/a",A13value/A13remlife))</f>
        <v>0</v>
      </c>
      <c r="K220" s="1380">
        <f>IF(K$3&gt;A13remlife,A13value-SUM($G220:J220),IF(A13remlife="N/A","n/a",A13value/A13remlife))</f>
        <v>0</v>
      </c>
      <c r="L220" s="1380">
        <f>IF(L$3&gt;A13remlife,A13value-SUM($G220:K220),IF(A13remlife="N/A","n/a",A13value/A13remlife))</f>
        <v>0</v>
      </c>
      <c r="M220" s="1380">
        <f>IF(M$3&gt;A13remlife,A13value-SUM($G220:L220),IF(A13remlife="N/A","n/a",A13value/A13remlife))</f>
        <v>0</v>
      </c>
      <c r="N220" s="1380">
        <f>IF(N$3&gt;A13remlife,A13value-SUM($G220:M220),IF(A13remlife="N/A","n/a",A13value/A13remlife))</f>
        <v>0</v>
      </c>
      <c r="O220" s="1380">
        <f>IF(O$3&gt;A13remlife,A13value-SUM($G220:N220),IF(A13remlife="N/A","n/a",A13value/A13remlife))</f>
        <v>0</v>
      </c>
      <c r="P220" s="1380">
        <f>IF(P$3&gt;A13remlife,A13value-SUM($G220:O220),IF(A13remlife="N/A","n/a",A13value/A13remlife))</f>
        <v>0</v>
      </c>
      <c r="Q220" s="1380">
        <f>IF(Q$3&gt;A13remlife,A13value-SUM($G220:P220),IF(A13remlife="N/A","n/a",A13value/A13remlife))</f>
        <v>0</v>
      </c>
      <c r="R220" s="1380"/>
      <c r="S220" s="74"/>
      <c r="T220" s="74"/>
      <c r="U220" s="74"/>
      <c r="V220" s="74"/>
      <c r="W220" s="74"/>
      <c r="X220" s="74"/>
      <c r="Y220" s="74"/>
      <c r="Z220" s="74"/>
    </row>
    <row r="221" spans="1:26" ht="12.75" hidden="1" customHeight="1" outlineLevel="2">
      <c r="A221" s="3"/>
      <c r="B221" s="3"/>
      <c r="C221" s="3"/>
      <c r="D221" s="16"/>
      <c r="E221" s="1593" t="s">
        <v>43</v>
      </c>
      <c r="F221" s="61"/>
      <c r="G221" s="1341"/>
      <c r="H221" s="18"/>
      <c r="I221" s="18"/>
      <c r="J221" s="18"/>
      <c r="K221" s="18"/>
      <c r="L221" s="18"/>
      <c r="M221" s="1384"/>
      <c r="N221" s="1385"/>
      <c r="O221" s="18"/>
      <c r="P221" s="18"/>
      <c r="Q221" s="18"/>
      <c r="R221" s="18"/>
      <c r="S221" s="74"/>
      <c r="T221" s="74"/>
      <c r="U221" s="74"/>
      <c r="V221" s="74"/>
      <c r="W221" s="74"/>
      <c r="X221" s="74"/>
      <c r="Y221" s="74"/>
      <c r="Z221" s="74"/>
    </row>
    <row r="222" spans="1:26" ht="12.75" hidden="1" customHeight="1" outlineLevel="2">
      <c r="A222" s="3"/>
      <c r="B222" s="3"/>
      <c r="C222" s="3"/>
      <c r="D222" s="16"/>
      <c r="E222" s="1594"/>
      <c r="F222" s="61">
        <v>1</v>
      </c>
      <c r="G222" s="1341"/>
      <c r="H222" s="1381"/>
      <c r="I222" s="18">
        <f>IF(A13stdlife="n/a","n/a",IF(I$3&gt;(A13stdlife+$F222),('RFM input'!$H$235*(1+vanilla1)^0.5)-SUM($H222:H222),('RFM input'!$H$235*(1+vanilla1)^0.5)/A13stdlife))</f>
        <v>0</v>
      </c>
      <c r="J222" s="18">
        <f>IF(A13stdlife="n/a","n/a",IF(J$3&gt;(A13stdlife+$F222),('RFM input'!$H$235*(1+vanilla1)^0.5)-SUM($H222:I222),('RFM input'!$H$235*(1+vanilla1)^0.5)/A13stdlife))</f>
        <v>0</v>
      </c>
      <c r="K222" s="18">
        <f>IF(A13stdlife="n/a","n/a",IF(K$3&gt;(A13stdlife+$F222),('RFM input'!$H$235*(1+vanilla1)^0.5)-SUM($H222:J222),('RFM input'!$H$235*(1+vanilla1)^0.5)/A13stdlife))</f>
        <v>0</v>
      </c>
      <c r="L222" s="18">
        <f>IF(A13stdlife="n/a","n/a",IF(L$3&gt;(A13stdlife+$F222),('RFM input'!$H$235*(1+vanilla1)^0.5)-SUM($H222:K222),('RFM input'!$H$235*(1+vanilla1)^0.5)/A13stdlife))</f>
        <v>0</v>
      </c>
      <c r="M222" s="18">
        <f>IF(A13stdlife="n/a","n/a",IF(M$3&gt;(A13stdlife+$F222),('RFM input'!$H$235*(1+vanilla1)^0.5)-SUM($H222:L222),('RFM input'!$H$235*(1+vanilla1)^0.5)/A13stdlife))</f>
        <v>0</v>
      </c>
      <c r="N222" s="18">
        <f>IF(A13stdlife="n/a","n/a",IF(N$3&gt;(A13stdlife+$F222),('RFM input'!$H$235*(1+vanilla1)^0.5)-SUM($H222:M222),('RFM input'!$H$235*(1+vanilla1)^0.5)/A13stdlife))</f>
        <v>0</v>
      </c>
      <c r="O222" s="18">
        <f>IF(A13stdlife="n/a","n/a",IF(O$3&gt;(A13stdlife+$F222),('RFM input'!$H$235*(1+vanilla1)^0.5)-SUM($H222:N222),('RFM input'!$H$235*(1+vanilla1)^0.5)/A13stdlife))</f>
        <v>0</v>
      </c>
      <c r="P222" s="18">
        <f>IF(A13stdlife="n/a","n/a",IF(P$3&gt;(A13stdlife+$F222),('RFM input'!$H$235*(1+vanilla1)^0.5)-SUM($H222:O222),('RFM input'!$H$235*(1+vanilla1)^0.5)/A13stdlife))</f>
        <v>0</v>
      </c>
      <c r="Q222" s="18">
        <f>IF(A13stdlife="n/a","n/a",IF(Q$3&gt;(A13stdlife+$F222),('RFM input'!$H$235*(1+vanilla1)^0.5)-SUM($H222:P222),('RFM input'!$H$235*(1+vanilla1)^0.5)/A13stdlife))</f>
        <v>0</v>
      </c>
      <c r="R222" s="18"/>
      <c r="S222" s="74"/>
      <c r="T222" s="74"/>
      <c r="U222" s="74"/>
      <c r="V222" s="74"/>
      <c r="W222" s="74"/>
      <c r="X222" s="74"/>
      <c r="Y222" s="74"/>
      <c r="Z222" s="74"/>
    </row>
    <row r="223" spans="1:26" ht="12.75" hidden="1" customHeight="1" outlineLevel="2">
      <c r="A223" s="3"/>
      <c r="B223" s="3"/>
      <c r="C223" s="3"/>
      <c r="D223" s="16"/>
      <c r="E223" s="1594"/>
      <c r="F223" s="61">
        <v>2</v>
      </c>
      <c r="G223" s="1341"/>
      <c r="H223" s="114"/>
      <c r="I223" s="116"/>
      <c r="J223" s="18">
        <f>IF(A13stdlife="n/a","n/a",IF(J$3&gt;(A13stdlife+$F223),('RFM input'!$I$235*(1+vanilla2)^0.5)-SUM($I223:I223),('RFM input'!$I$235*(1+vanilla2)^0.5)/A13stdlife))</f>
        <v>0</v>
      </c>
      <c r="K223" s="18">
        <f>IF(A13stdlife="n/a","n/a",IF(K$3&gt;(A13stdlife+$F223),('RFM input'!$I$235*(1+vanilla2)^0.5)-SUM($I223:J223),('RFM input'!$I$235*(1+vanilla2)^0.5)/A13stdlife))</f>
        <v>0</v>
      </c>
      <c r="L223" s="18">
        <f>IF(A13stdlife="n/a","n/a",IF(L$3&gt;(A13stdlife+$F223),('RFM input'!$I$235*(1+vanilla2)^0.5)-SUM($I223:K223),('RFM input'!$I$235*(1+vanilla2)^0.5)/A13stdlife))</f>
        <v>0</v>
      </c>
      <c r="M223" s="18">
        <f>IF(A13stdlife="n/a","n/a",IF(M$3&gt;(A13stdlife+$F223),('RFM input'!$I$235*(1+vanilla2)^0.5)-SUM($I223:L223),('RFM input'!$I$235*(1+vanilla2)^0.5)/A13stdlife))</f>
        <v>0</v>
      </c>
      <c r="N223" s="18">
        <f>IF(A13stdlife="n/a","n/a",IF(N$3&gt;(A13stdlife+$F223),('RFM input'!$I$235*(1+vanilla2)^0.5)-SUM($I223:M223),('RFM input'!$I$235*(1+vanilla2)^0.5)/A13stdlife))</f>
        <v>0</v>
      </c>
      <c r="O223" s="18">
        <f>IF(A13stdlife="n/a","n/a",IF(O$3&gt;(A13stdlife+$F223),('RFM input'!$I$235*(1+vanilla2)^0.5)-SUM($I223:N223),('RFM input'!$I$235*(1+vanilla2)^0.5)/A13stdlife))</f>
        <v>0</v>
      </c>
      <c r="P223" s="18">
        <f>IF(A13stdlife="n/a","n/a",IF(P$3&gt;(A13stdlife+$F223),('RFM input'!$I$235*(1+vanilla2)^0.5)-SUM($I223:O223),('RFM input'!$I$235*(1+vanilla2)^0.5)/A13stdlife))</f>
        <v>0</v>
      </c>
      <c r="Q223" s="18">
        <f>IF(A13stdlife="n/a","n/a",IF(Q$3&gt;(A13stdlife+$F223),('RFM input'!$I$235*(1+vanilla2)^0.5)-SUM($I223:P223),('RFM input'!$I$235*(1+vanilla2)^0.5)/A13stdlife))</f>
        <v>0</v>
      </c>
      <c r="R223" s="18"/>
      <c r="S223" s="74"/>
      <c r="T223" s="74"/>
      <c r="U223" s="74"/>
      <c r="V223" s="74"/>
      <c r="W223" s="74"/>
      <c r="X223" s="74"/>
      <c r="Y223" s="74"/>
      <c r="Z223" s="74"/>
    </row>
    <row r="224" spans="1:26" ht="12.75" hidden="1" customHeight="1" outlineLevel="2">
      <c r="A224" s="3"/>
      <c r="B224" s="3"/>
      <c r="C224" s="3"/>
      <c r="D224" s="16"/>
      <c r="E224" s="1594"/>
      <c r="F224" s="61">
        <v>3</v>
      </c>
      <c r="G224" s="1341"/>
      <c r="H224" s="114"/>
      <c r="I224" s="115"/>
      <c r="J224" s="116"/>
      <c r="K224" s="18">
        <f>IF(A13stdlife="n/a","n/a",IF(K$3&gt;(A13stdlife+$F224),('RFM input'!$J$235*(1+vanilla3)^0.5)-SUM($J224:J224),('RFM input'!$J$235*(1+vanilla3)^0.5)/A13stdlife))</f>
        <v>0</v>
      </c>
      <c r="L224" s="18">
        <f>IF(A13stdlife="n/a","n/a",IF(L$3&gt;(A13stdlife+$F224),('RFM input'!$J$235*(1+vanilla3)^0.5)-SUM($J224:K224),('RFM input'!$J$235*(1+vanilla3)^0.5)/A13stdlife))</f>
        <v>0</v>
      </c>
      <c r="M224" s="18">
        <f>IF(A13stdlife="n/a","n/a",IF(M$3&gt;(A13stdlife+$F224),('RFM input'!$J$235*(1+vanilla3)^0.5)-SUM($J224:L224),('RFM input'!$J$235*(1+vanilla3)^0.5)/A13stdlife))</f>
        <v>0</v>
      </c>
      <c r="N224" s="18">
        <f>IF(A13stdlife="n/a","n/a",IF(N$3&gt;(A13stdlife+$F224),('RFM input'!$J$235*(1+vanilla3)^0.5)-SUM($J224:M224),('RFM input'!$J$235*(1+vanilla3)^0.5)/A13stdlife))</f>
        <v>0</v>
      </c>
      <c r="O224" s="18">
        <f>IF(A13stdlife="n/a","n/a",IF(O$3&gt;(A13stdlife+$F224),('RFM input'!$J$235*(1+vanilla3)^0.5)-SUM($J224:N224),('RFM input'!$J$235*(1+vanilla3)^0.5)/A13stdlife))</f>
        <v>0</v>
      </c>
      <c r="P224" s="18">
        <f>IF(A13stdlife="n/a","n/a",IF(P$3&gt;(A13stdlife+$F224),('RFM input'!$J$235*(1+vanilla3)^0.5)-SUM($J224:O224),('RFM input'!$J$235*(1+vanilla3)^0.5)/A13stdlife))</f>
        <v>0</v>
      </c>
      <c r="Q224" s="18">
        <f>IF(A13stdlife="n/a","n/a",IF(Q$3&gt;(A13stdlife+$F224),('RFM input'!$J$235*(1+vanilla3)^0.5)-SUM($J224:P224),('RFM input'!$J$235*(1+vanilla3)^0.5)/A13stdlife))</f>
        <v>0</v>
      </c>
      <c r="R224" s="18"/>
      <c r="S224" s="74"/>
      <c r="T224" s="74"/>
      <c r="U224" s="74"/>
      <c r="V224" s="74"/>
      <c r="W224" s="74"/>
      <c r="X224" s="74"/>
      <c r="Y224" s="74"/>
      <c r="Z224" s="74"/>
    </row>
    <row r="225" spans="1:26" ht="12.75" hidden="1" customHeight="1" outlineLevel="2">
      <c r="A225" s="3"/>
      <c r="B225" s="3"/>
      <c r="C225" s="3"/>
      <c r="D225" s="16"/>
      <c r="E225" s="1594"/>
      <c r="F225" s="61">
        <v>4</v>
      </c>
      <c r="G225" s="1341"/>
      <c r="H225" s="114"/>
      <c r="I225" s="115"/>
      <c r="J225" s="115"/>
      <c r="K225" s="116"/>
      <c r="L225" s="18">
        <f>IF(A13stdlife="n/a","n/a",IF(L$3&gt;(A13stdlife+$F225),('RFM input'!$K$235*(1+vanilla4)^0.5)-SUM($K225:K225),('RFM input'!$K$235*(1+vanilla4)^0.5)/A13stdlife))</f>
        <v>0</v>
      </c>
      <c r="M225" s="18">
        <f>IF(A13stdlife="n/a","n/a",IF(M$3&gt;(A13stdlife+$F225),('RFM input'!$K$235*(1+vanilla4)^0.5)-SUM($K225:L225),('RFM input'!$K$235*(1+vanilla4)^0.5)/A13stdlife))</f>
        <v>0</v>
      </c>
      <c r="N225" s="18">
        <f>IF(A13stdlife="n/a","n/a",IF(N$3&gt;(A13stdlife+$F225),('RFM input'!$K$235*(1+vanilla4)^0.5)-SUM($K225:M225),('RFM input'!$K$235*(1+vanilla4)^0.5)/A13stdlife))</f>
        <v>0</v>
      </c>
      <c r="O225" s="18">
        <f>IF(A13stdlife="n/a","n/a",IF(O$3&gt;(A13stdlife+$F225),('RFM input'!$K$235*(1+vanilla4)^0.5)-SUM($K225:N225),('RFM input'!$K$235*(1+vanilla4)^0.5)/A13stdlife))</f>
        <v>0</v>
      </c>
      <c r="P225" s="18">
        <f>IF(A13stdlife="n/a","n/a",IF(P$3&gt;(A13stdlife+$F225),('RFM input'!$K$235*(1+vanilla4)^0.5)-SUM($K225:O225),('RFM input'!$K$235*(1+vanilla4)^0.5)/A13stdlife))</f>
        <v>0</v>
      </c>
      <c r="Q225" s="18">
        <f>IF(A13stdlife="n/a","n/a",IF(Q$3&gt;(A13stdlife+$F225),('RFM input'!$K$235*(1+vanilla4)^0.5)-SUM($K225:P225),('RFM input'!$K$235*(1+vanilla4)^0.5)/A13stdlife))</f>
        <v>0</v>
      </c>
      <c r="R225" s="18"/>
      <c r="S225" s="74"/>
      <c r="T225" s="74"/>
      <c r="U225" s="74"/>
      <c r="V225" s="74"/>
      <c r="W225" s="74"/>
      <c r="X225" s="74"/>
      <c r="Y225" s="74"/>
      <c r="Z225" s="74"/>
    </row>
    <row r="226" spans="1:26" ht="12.75" hidden="1" customHeight="1" outlineLevel="2">
      <c r="A226" s="3"/>
      <c r="B226" s="3"/>
      <c r="C226" s="3"/>
      <c r="D226" s="16"/>
      <c r="E226" s="1594"/>
      <c r="F226" s="61">
        <v>5</v>
      </c>
      <c r="G226" s="17"/>
      <c r="H226" s="114"/>
      <c r="I226" s="115"/>
      <c r="J226" s="115"/>
      <c r="K226" s="115"/>
      <c r="L226" s="116"/>
      <c r="M226" s="18">
        <f>IF(A13stdlife="n/a","n/a",IF(M$3&gt;(A13stdlife+$F226),('RFM input'!$L$235*(1+vanilla5)^0.5)-SUM($L226:L226),('RFM input'!$L$235*(1+vanilla5)^0.5)/A13stdlife))</f>
        <v>0</v>
      </c>
      <c r="N226" s="18">
        <f>IF(A13stdlife="n/a","n/a",IF(N$3&gt;(A13stdlife+$F226),('RFM input'!$L$235*(1+vanilla5)^0.5)-SUM($L226:M226),('RFM input'!$L$235*(1+vanilla5)^0.5)/A13stdlife))</f>
        <v>0</v>
      </c>
      <c r="O226" s="18">
        <f>IF(A13stdlife="n/a","n/a",IF(O$3&gt;(A13stdlife+$F226),('RFM input'!$L$235*(1+vanilla5)^0.5)-SUM($L226:N226),('RFM input'!$L$235*(1+vanilla5)^0.5)/A13stdlife))</f>
        <v>0</v>
      </c>
      <c r="P226" s="18">
        <f>IF(A13stdlife="n/a","n/a",IF(P$3&gt;(A13stdlife+$F226),('RFM input'!$L$235*(1+vanilla5)^0.5)-SUM($L226:O226),('RFM input'!$L$235*(1+vanilla5)^0.5)/A13stdlife))</f>
        <v>0</v>
      </c>
      <c r="Q226" s="18">
        <f>IF(A13stdlife="n/a","n/a",IF(Q$3&gt;(A13stdlife+$F226),('RFM input'!$L$235*(1+vanilla5)^0.5)-SUM($L226:P226),('RFM input'!$L$235*(1+vanilla5)^0.5)/A13stdlife))</f>
        <v>0</v>
      </c>
      <c r="R226" s="18"/>
      <c r="S226" s="74"/>
      <c r="T226" s="74"/>
      <c r="U226" s="74"/>
      <c r="V226" s="74"/>
      <c r="W226" s="74"/>
      <c r="X226" s="74"/>
      <c r="Y226" s="74"/>
      <c r="Z226" s="74"/>
    </row>
    <row r="227" spans="1:26" ht="12.75" hidden="1" customHeight="1" outlineLevel="2">
      <c r="A227" s="3"/>
      <c r="B227" s="3"/>
      <c r="C227" s="3"/>
      <c r="D227" s="16"/>
      <c r="E227" s="1594"/>
      <c r="F227" s="61">
        <v>6</v>
      </c>
      <c r="G227" s="17"/>
      <c r="H227" s="114"/>
      <c r="I227" s="115"/>
      <c r="J227" s="115"/>
      <c r="K227" s="115"/>
      <c r="L227" s="115"/>
      <c r="M227" s="116"/>
      <c r="N227" s="18">
        <f>IF(A13stdlife="n/a","n/a",IF(N$3&gt;(A13stdlife+$F227),('RFM input'!$M$235*(1+vanilla6)^0.5)-SUM($M227:M227),('RFM input'!$M$235*(1+vanilla6)^0.5)/A13stdlife))</f>
        <v>0</v>
      </c>
      <c r="O227" s="18">
        <f>IF(A13stdlife="n/a","n/a",IF(O$3&gt;(A13stdlife+$F227),('RFM input'!$M$235*(1+vanilla6)^0.5)-SUM($M227:N227),('RFM input'!$M$235*(1+vanilla6)^0.5)/A13stdlife))</f>
        <v>0</v>
      </c>
      <c r="P227" s="18">
        <f>IF(A13stdlife="n/a","n/a",IF(P$3&gt;(A13stdlife+$F227),('RFM input'!$M$235*(1+vanilla6)^0.5)-SUM($M227:O227),('RFM input'!$M$235*(1+vanilla6)^0.5)/A13stdlife))</f>
        <v>0</v>
      </c>
      <c r="Q227" s="18">
        <f>IF(A13stdlife="n/a","n/a",IF(Q$3&gt;(A13stdlife+$F227),('RFM input'!$M$235*(1+vanilla6)^0.5)-SUM($M227:P227),('RFM input'!$M$235*(1+vanilla6)^0.5)/A13stdlife))</f>
        <v>0</v>
      </c>
      <c r="R227" s="18"/>
      <c r="S227" s="74"/>
      <c r="T227" s="74"/>
      <c r="U227" s="74"/>
      <c r="V227" s="74"/>
      <c r="W227" s="74"/>
      <c r="X227" s="74"/>
      <c r="Y227" s="74"/>
      <c r="Z227" s="74"/>
    </row>
    <row r="228" spans="1:26" ht="12.75" hidden="1" customHeight="1" outlineLevel="2">
      <c r="A228" s="3"/>
      <c r="B228" s="3"/>
      <c r="C228" s="3"/>
      <c r="D228" s="16"/>
      <c r="E228" s="1594"/>
      <c r="F228" s="61">
        <v>7</v>
      </c>
      <c r="G228" s="17"/>
      <c r="H228" s="114"/>
      <c r="I228" s="115"/>
      <c r="J228" s="115"/>
      <c r="K228" s="115"/>
      <c r="L228" s="115"/>
      <c r="M228" s="115"/>
      <c r="N228" s="116"/>
      <c r="O228" s="18">
        <f>IF(A13stdlife="n/a","n/a",IF(O$3&gt;(A13stdlife+$F228),('RFM input'!$N$235*(1+vanilla7)^0.5)-SUM($N228:N228),('RFM input'!$N$235*(1+vanilla7)^0.5)/A13stdlife))</f>
        <v>0</v>
      </c>
      <c r="P228" s="18">
        <f>IF(A13stdlife="n/a","n/a",IF(P$3&gt;(A13stdlife+$F228),('RFM input'!$N$235*(1+vanilla7)^0.5)-SUM($N228:O228),('RFM input'!$N$235*(1+vanilla7)^0.5)/A13stdlife))</f>
        <v>0</v>
      </c>
      <c r="Q228" s="18">
        <f>IF(A13stdlife="n/a","n/a",IF(Q$3&gt;(A13stdlife+$F228),('RFM input'!$N$235*(1+vanilla7)^0.5)-SUM($N228:P228),('RFM input'!$N$235*(1+vanilla7)^0.5)/A13stdlife))</f>
        <v>0</v>
      </c>
      <c r="R228" s="18"/>
      <c r="S228" s="74"/>
      <c r="T228" s="74"/>
      <c r="U228" s="74"/>
      <c r="V228" s="74"/>
      <c r="W228" s="74"/>
      <c r="X228" s="74"/>
      <c r="Y228" s="74"/>
      <c r="Z228" s="74"/>
    </row>
    <row r="229" spans="1:26" ht="12.75" hidden="1" customHeight="1" outlineLevel="2">
      <c r="A229" s="3"/>
      <c r="B229" s="3"/>
      <c r="C229" s="3"/>
      <c r="D229" s="16"/>
      <c r="E229" s="1594"/>
      <c r="F229" s="61">
        <v>8</v>
      </c>
      <c r="G229" s="17"/>
      <c r="H229" s="114"/>
      <c r="I229" s="115"/>
      <c r="J229" s="115"/>
      <c r="K229" s="115"/>
      <c r="L229" s="115"/>
      <c r="M229" s="115"/>
      <c r="N229" s="115"/>
      <c r="O229" s="116"/>
      <c r="P229" s="18">
        <f>IF(A13stdlife="n/a","n/a",IF(P$3&gt;(A13stdlife+$F229),('RFM input'!$O$235*(1+vanilla8)^0.5)-SUM($O229:O229),('RFM input'!$O$235*(1+vanilla8)^0.5)/A13stdlife))</f>
        <v>0</v>
      </c>
      <c r="Q229" s="18">
        <f>IF(A13stdlife="n/a","n/a",IF(Q$3&gt;(A13stdlife+$F229),('RFM input'!$O$235*(1+vanilla8)^0.5)-SUM($O229:P229),('RFM input'!$O$235*(1+vanilla8)^0.5)/A13stdlife))</f>
        <v>0</v>
      </c>
      <c r="R229" s="18"/>
      <c r="S229" s="74"/>
      <c r="T229" s="74"/>
      <c r="U229" s="74"/>
      <c r="V229" s="74"/>
      <c r="W229" s="74"/>
      <c r="X229" s="74"/>
      <c r="Y229" s="74"/>
      <c r="Z229" s="74"/>
    </row>
    <row r="230" spans="1:26" ht="12.75" hidden="1" customHeight="1" outlineLevel="2">
      <c r="A230" s="3"/>
      <c r="B230" s="3"/>
      <c r="C230" s="3"/>
      <c r="D230" s="16"/>
      <c r="E230" s="1594"/>
      <c r="F230" s="61">
        <v>9</v>
      </c>
      <c r="G230" s="17"/>
      <c r="H230" s="114"/>
      <c r="I230" s="115"/>
      <c r="J230" s="115"/>
      <c r="K230" s="115"/>
      <c r="L230" s="115"/>
      <c r="M230" s="115"/>
      <c r="N230" s="115"/>
      <c r="O230" s="115"/>
      <c r="P230" s="116"/>
      <c r="Q230" s="18">
        <f>IF(A13stdlife="n/a","n/a",IF(Q$3&gt;(A13stdlife+$F230),('RFM input'!$P$235*(1+vanilla9)^0.5)-SUM($P230:P230),('RFM input'!$P$235*(1+vanilla9)^0.5)/A13stdlife))</f>
        <v>0</v>
      </c>
      <c r="R230" s="18"/>
      <c r="S230" s="74"/>
      <c r="T230" s="74"/>
      <c r="U230" s="74"/>
      <c r="V230" s="74"/>
      <c r="W230" s="74"/>
      <c r="X230" s="74"/>
      <c r="Y230" s="74"/>
      <c r="Z230" s="74"/>
    </row>
    <row r="231" spans="1:26" ht="12.75" hidden="1" customHeight="1" outlineLevel="2">
      <c r="A231" s="3"/>
      <c r="B231" s="3"/>
      <c r="C231" s="3"/>
      <c r="D231" s="16"/>
      <c r="E231" s="1594"/>
      <c r="F231" s="62">
        <v>10</v>
      </c>
      <c r="G231" s="17"/>
      <c r="H231" s="114"/>
      <c r="I231" s="115"/>
      <c r="J231" s="115"/>
      <c r="K231" s="115"/>
      <c r="L231" s="115"/>
      <c r="M231" s="115"/>
      <c r="N231" s="115"/>
      <c r="O231" s="115"/>
      <c r="P231" s="115"/>
      <c r="Q231" s="116"/>
      <c r="R231" s="18"/>
      <c r="S231" s="74"/>
      <c r="T231" s="74"/>
      <c r="U231" s="74"/>
      <c r="V231" s="74"/>
      <c r="W231" s="74"/>
      <c r="X231" s="74"/>
      <c r="Y231" s="74"/>
      <c r="Z231" s="74"/>
    </row>
    <row r="232" spans="1:26" ht="13.35" hidden="1" customHeight="1" outlineLevel="1">
      <c r="A232" s="3"/>
      <c r="B232" s="3"/>
      <c r="C232" s="3"/>
      <c r="D232" s="134">
        <f>Asset13</f>
        <v>0</v>
      </c>
      <c r="E232" s="3"/>
      <c r="F232" s="3"/>
      <c r="G232" s="1341"/>
      <c r="H232" s="1458">
        <f>IF(OR('RFM input'!$E$293='RFM input'!$G$292,'RFM input'!$E$293='RFM input'!$G$293),-INDEX('RFM input'!H$299:H$348,MATCH($D232,'RFM input'!$E$299:$E$348,0),1),-SUM(H220:H231))</f>
        <v>0</v>
      </c>
      <c r="I232" s="1458">
        <f>IF(OR('RFM input'!$E$293='RFM input'!$G$292,'RFM input'!$E$293='RFM input'!$G$293),-INDEX('RFM input'!I$299:I$348,MATCH($D232,'RFM input'!$E$299:$E$348,0),1),-SUM(I220:I231))</f>
        <v>0</v>
      </c>
      <c r="J232" s="1386">
        <f>IF(COUNT($H232:I232)&gt;='RFM input'!$V$7,
   0,
   IF(OR('RFM input'!$E$293='RFM input'!$G$292,'RFM input'!$E$293='RFM input'!$G$293),
      -INDEX('RFM input'!J$299:J$348,MATCH($D232,'RFM input'!$E$299:$E$348,0),1),
      -SUM(J220:J231)))</f>
        <v>0</v>
      </c>
      <c r="K232" s="1386">
        <f>IF(COUNT($H232:J232)&gt;='RFM input'!$V$7,
   0,
   IF(OR('RFM input'!$E$293='RFM input'!$G$292,'RFM input'!$E$293='RFM input'!$G$293),
      -INDEX('RFM input'!K$299:K$348,MATCH($D232,'RFM input'!$E$299:$E$348,0),1),
      -SUM(K220:K231)))</f>
        <v>0</v>
      </c>
      <c r="L232" s="1386">
        <f>IF(COUNT($H232:K232)&gt;='RFM input'!$V$7,
   0,
   IF(OR('RFM input'!$E$293='RFM input'!$G$292,'RFM input'!$E$293='RFM input'!$G$293),
      -INDEX('RFM input'!L$299:L$348,MATCH($D232,'RFM input'!$E$299:$E$348,0),1),
      -SUM(L220:L231)))</f>
        <v>0</v>
      </c>
      <c r="M232" s="1386">
        <f>IF(COUNT($H232:L232)&gt;='RFM input'!$V$7,
   0,
   IF(OR('RFM input'!$E$293='RFM input'!$G$292,'RFM input'!$E$293='RFM input'!$G$293),
      -INDEX('RFM input'!M$299:M$348,MATCH($D232,'RFM input'!$E$299:$E$348,0),1),
      -SUM(M220:M231)))</f>
        <v>0</v>
      </c>
      <c r="N232" s="1386">
        <f>IF(COUNT($H232:M232)&gt;='RFM input'!$V$7,
   0,
   IF(OR('RFM input'!$E$293='RFM input'!$G$292,'RFM input'!$E$293='RFM input'!$G$293),
      -INDEX('RFM input'!N$299:N$348,MATCH($D232,'RFM input'!$E$299:$E$348,0),1),
      -SUM(N220:N231)))</f>
        <v>0</v>
      </c>
      <c r="O232" s="1386">
        <f>IF(COUNT($H232:N232)&gt;='RFM input'!$V$7,
   0,
   IF(OR('RFM input'!$E$293='RFM input'!$G$292,'RFM input'!$E$293='RFM input'!$G$293),
      -INDEX('RFM input'!O$299:O$348,MATCH($D232,'RFM input'!$E$299:$E$348,0),1),
      -SUM(O220:O231)))</f>
        <v>0</v>
      </c>
      <c r="P232" s="1386">
        <f>IF(COUNT($H232:O232)&gt;='RFM input'!$V$7,
   0,
   IF(OR('RFM input'!$E$293='RFM input'!$G$292,'RFM input'!$E$293='RFM input'!$G$293),
      -INDEX('RFM input'!P$299:P$348,MATCH($D232,'RFM input'!$E$299:$E$348,0),1),
      -SUM(P220:P231)))</f>
        <v>0</v>
      </c>
      <c r="Q232" s="1386">
        <f>IF(COUNT($H232:P232)&gt;='RFM input'!$V$7,
   0,
   IF(OR('RFM input'!$E$293='RFM input'!$G$292,'RFM input'!$E$293='RFM input'!$G$293),
      -INDEX('RFM input'!Q$299:Q$348,MATCH($D232,'RFM input'!$E$299:$E$348,0),1),
      -SUM(Q220:Q231)))</f>
        <v>0</v>
      </c>
      <c r="R232" s="1382"/>
      <c r="S232" s="76"/>
      <c r="T232" s="76"/>
      <c r="U232" s="76"/>
      <c r="V232" s="76"/>
      <c r="W232" s="76"/>
      <c r="X232" s="76"/>
      <c r="Y232" s="76"/>
      <c r="Z232" s="76"/>
    </row>
    <row r="233" spans="1:26" ht="12.75" hidden="1" customHeight="1" outlineLevel="2">
      <c r="A233" s="3"/>
      <c r="B233" s="3"/>
      <c r="C233" s="135">
        <f>Asset14</f>
        <v>0</v>
      </c>
      <c r="D233" s="100"/>
      <c r="E233" s="20" t="s">
        <v>23</v>
      </c>
      <c r="F233" s="19"/>
      <c r="G233" s="1383"/>
      <c r="H233" s="1380">
        <f>IF(H$3&gt;A14remlife,A14value-SUM($G233:G233),IF(A14remlife="N/A","n/a",A14value/A14remlife))</f>
        <v>0</v>
      </c>
      <c r="I233" s="1380">
        <f>IF(I$3&gt;A14remlife,A14value-SUM($G233:H233),IF(A14remlife="N/A","n/a",A14value/A14remlife))</f>
        <v>0</v>
      </c>
      <c r="J233" s="1380">
        <f>IF(J$3&gt;A14remlife,A14value-SUM($G233:I233),IF(A14remlife="N/A","n/a",A14value/A14remlife))</f>
        <v>0</v>
      </c>
      <c r="K233" s="1380">
        <f>IF(K$3&gt;A14remlife,A14value-SUM($G233:J233),IF(A14remlife="N/A","n/a",A14value/A14remlife))</f>
        <v>0</v>
      </c>
      <c r="L233" s="1380">
        <f>IF(L$3&gt;A14remlife,A14value-SUM($G233:K233),IF(A14remlife="N/A","n/a",A14value/A14remlife))</f>
        <v>0</v>
      </c>
      <c r="M233" s="1380">
        <f>IF(M$3&gt;A14remlife,A14value-SUM($G233:L233),IF(A14remlife="N/A","n/a",A14value/A14remlife))</f>
        <v>0</v>
      </c>
      <c r="N233" s="1380">
        <f>IF(N$3&gt;A14remlife,A14value-SUM($G233:M233),IF(A14remlife="N/A","n/a",A14value/A14remlife))</f>
        <v>0</v>
      </c>
      <c r="O233" s="1380">
        <f>IF(O$3&gt;A14remlife,A14value-SUM($G233:N233),IF(A14remlife="N/A","n/a",A14value/A14remlife))</f>
        <v>0</v>
      </c>
      <c r="P233" s="1380">
        <f>IF(P$3&gt;A14remlife,A14value-SUM($G233:O233),IF(A14remlife="N/A","n/a",A14value/A14remlife))</f>
        <v>0</v>
      </c>
      <c r="Q233" s="1380">
        <f>IF(Q$3&gt;A14remlife,A14value-SUM($G233:P233),IF(A14remlife="N/A","n/a",A14value/A14remlife))</f>
        <v>0</v>
      </c>
      <c r="R233" s="21"/>
      <c r="S233" s="74"/>
      <c r="T233" s="74"/>
      <c r="U233" s="74"/>
      <c r="V233" s="74"/>
      <c r="W233" s="74"/>
      <c r="X233" s="74"/>
      <c r="Y233" s="74"/>
      <c r="Z233" s="74"/>
    </row>
    <row r="234" spans="1:26" ht="12.75" hidden="1" customHeight="1" outlineLevel="2">
      <c r="A234" s="3"/>
      <c r="B234" s="3"/>
      <c r="C234" s="3"/>
      <c r="D234" s="16"/>
      <c r="E234" s="1593" t="s">
        <v>43</v>
      </c>
      <c r="F234" s="61"/>
      <c r="G234" s="1341"/>
      <c r="H234" s="18"/>
      <c r="I234" s="18"/>
      <c r="J234" s="18"/>
      <c r="K234" s="18"/>
      <c r="L234" s="18"/>
      <c r="M234" s="1384"/>
      <c r="N234" s="1385"/>
      <c r="O234" s="18"/>
      <c r="P234" s="18"/>
      <c r="Q234" s="18"/>
      <c r="R234" s="18"/>
      <c r="S234" s="74"/>
      <c r="T234" s="74"/>
      <c r="U234" s="74"/>
      <c r="V234" s="74"/>
      <c r="W234" s="74"/>
      <c r="X234" s="74"/>
      <c r="Y234" s="74"/>
      <c r="Z234" s="74"/>
    </row>
    <row r="235" spans="1:26" ht="12.75" hidden="1" customHeight="1" outlineLevel="2">
      <c r="A235" s="3"/>
      <c r="B235" s="3"/>
      <c r="C235" s="3"/>
      <c r="D235" s="16"/>
      <c r="E235" s="1594"/>
      <c r="F235" s="61">
        <v>1</v>
      </c>
      <c r="G235" s="1341"/>
      <c r="H235" s="1381"/>
      <c r="I235" s="18">
        <f>IF(A14stdlife="n/a","n/a",IF(I$3&gt;(A14stdlife+$F235),('RFM input'!$H$236*(1+vanilla1)^0.5)-SUM($H235:H235),('RFM input'!$H$236*(1+vanilla1)^0.5)/A14stdlife))</f>
        <v>0</v>
      </c>
      <c r="J235" s="18">
        <f>IF(A14stdlife="n/a","n/a",IF(J$3&gt;(A14stdlife+$F235),('RFM input'!$H$236*(1+vanilla1)^0.5)-SUM($H235:I235),('RFM input'!$H$236*(1+vanilla1)^0.5)/A14stdlife))</f>
        <v>0</v>
      </c>
      <c r="K235" s="18">
        <f>IF(A14stdlife="n/a","n/a",IF(K$3&gt;(A14stdlife+$F235),('RFM input'!$H$236*(1+vanilla1)^0.5)-SUM($H235:J235),('RFM input'!$H$236*(1+vanilla1)^0.5)/A14stdlife))</f>
        <v>0</v>
      </c>
      <c r="L235" s="18">
        <f>IF(A14stdlife="n/a","n/a",IF(L$3&gt;(A14stdlife+$F235),('RFM input'!$H$236*(1+vanilla1)^0.5)-SUM($H235:K235),('RFM input'!$H$236*(1+vanilla1)^0.5)/A14stdlife))</f>
        <v>0</v>
      </c>
      <c r="M235" s="18">
        <f>IF(A14stdlife="n/a","n/a",IF(M$3&gt;(A14stdlife+$F235),('RFM input'!$H$236*(1+vanilla1)^0.5)-SUM($H235:L235),('RFM input'!$H$236*(1+vanilla1)^0.5)/A14stdlife))</f>
        <v>0</v>
      </c>
      <c r="N235" s="18">
        <f>IF(A14stdlife="n/a","n/a",IF(N$3&gt;(A14stdlife+$F235),('RFM input'!$H$236*(1+vanilla1)^0.5)-SUM($H235:M235),('RFM input'!$H$236*(1+vanilla1)^0.5)/A14stdlife))</f>
        <v>0</v>
      </c>
      <c r="O235" s="18">
        <f>IF(A14stdlife="n/a","n/a",IF(O$3&gt;(A14stdlife+$F235),('RFM input'!$H$236*(1+vanilla1)^0.5)-SUM($H235:N235),('RFM input'!$H$236*(1+vanilla1)^0.5)/A14stdlife))</f>
        <v>0</v>
      </c>
      <c r="P235" s="18">
        <f>IF(A14stdlife="n/a","n/a",IF(P$3&gt;(A14stdlife+$F235),('RFM input'!$H$236*(1+vanilla1)^0.5)-SUM($H235:O235),('RFM input'!$H$236*(1+vanilla1)^0.5)/A14stdlife))</f>
        <v>0</v>
      </c>
      <c r="Q235" s="18">
        <f>IF(A14stdlife="n/a","n/a",IF(Q$3&gt;(A14stdlife+$F235),('RFM input'!$H$236*(1+vanilla1)^0.5)-SUM($H235:P235),('RFM input'!$H$236*(1+vanilla1)^0.5)/A14stdlife))</f>
        <v>0</v>
      </c>
      <c r="R235" s="18"/>
      <c r="S235" s="74"/>
      <c r="T235" s="74"/>
      <c r="U235" s="74"/>
      <c r="V235" s="74"/>
      <c r="W235" s="74"/>
      <c r="X235" s="74"/>
      <c r="Y235" s="74"/>
      <c r="Z235" s="74"/>
    </row>
    <row r="236" spans="1:26" ht="12.75" hidden="1" customHeight="1" outlineLevel="2">
      <c r="A236" s="3"/>
      <c r="B236" s="3"/>
      <c r="C236" s="3"/>
      <c r="D236" s="16"/>
      <c r="E236" s="1594"/>
      <c r="F236" s="61">
        <v>2</v>
      </c>
      <c r="G236" s="1341"/>
      <c r="H236" s="114"/>
      <c r="I236" s="116"/>
      <c r="J236" s="18">
        <f>IF(A14stdlife="n/a","n/a",IF(J$3&gt;(A14stdlife+$F236),('RFM input'!$I$236*(1+vanilla2)^0.5)-SUM($I236:I236),('RFM input'!$I$236*(1+vanilla2)^0.5)/A14stdlife))</f>
        <v>0</v>
      </c>
      <c r="K236" s="18">
        <f>IF(A14stdlife="n/a","n/a",IF(K$3&gt;(A14stdlife+$F236),('RFM input'!$I$236*(1+vanilla2)^0.5)-SUM($I236:J236),('RFM input'!$I$236*(1+vanilla2)^0.5)/A14stdlife))</f>
        <v>0</v>
      </c>
      <c r="L236" s="18">
        <f>IF(A14stdlife="n/a","n/a",IF(L$3&gt;(A14stdlife+$F236),('RFM input'!$I$236*(1+vanilla2)^0.5)-SUM($I236:K236),('RFM input'!$I$236*(1+vanilla2)^0.5)/A14stdlife))</f>
        <v>0</v>
      </c>
      <c r="M236" s="18">
        <f>IF(A14stdlife="n/a","n/a",IF(M$3&gt;(A14stdlife+$F236),('RFM input'!$I$236*(1+vanilla2)^0.5)-SUM($I236:L236),('RFM input'!$I$236*(1+vanilla2)^0.5)/A14stdlife))</f>
        <v>0</v>
      </c>
      <c r="N236" s="18">
        <f>IF(A14stdlife="n/a","n/a",IF(N$3&gt;(A14stdlife+$F236),('RFM input'!$I$236*(1+vanilla2)^0.5)-SUM($I236:M236),('RFM input'!$I$236*(1+vanilla2)^0.5)/A14stdlife))</f>
        <v>0</v>
      </c>
      <c r="O236" s="18">
        <f>IF(A14stdlife="n/a","n/a",IF(O$3&gt;(A14stdlife+$F236),('RFM input'!$I$236*(1+vanilla2)^0.5)-SUM($I236:N236),('RFM input'!$I$236*(1+vanilla2)^0.5)/A14stdlife))</f>
        <v>0</v>
      </c>
      <c r="P236" s="18">
        <f>IF(A14stdlife="n/a","n/a",IF(P$3&gt;(A14stdlife+$F236),('RFM input'!$I$236*(1+vanilla2)^0.5)-SUM($I236:O236),('RFM input'!$I$236*(1+vanilla2)^0.5)/A14stdlife))</f>
        <v>0</v>
      </c>
      <c r="Q236" s="18">
        <f>IF(A14stdlife="n/a","n/a",IF(Q$3&gt;(A14stdlife+$F236),('RFM input'!$I$236*(1+vanilla2)^0.5)-SUM($I236:P236),('RFM input'!$I$236*(1+vanilla2)^0.5)/A14stdlife))</f>
        <v>0</v>
      </c>
      <c r="R236" s="18"/>
      <c r="S236" s="74"/>
      <c r="T236" s="74"/>
      <c r="U236" s="74"/>
      <c r="V236" s="74"/>
      <c r="W236" s="74"/>
      <c r="X236" s="74"/>
      <c r="Y236" s="74"/>
      <c r="Z236" s="74"/>
    </row>
    <row r="237" spans="1:26" ht="12.75" hidden="1" customHeight="1" outlineLevel="2">
      <c r="A237" s="3"/>
      <c r="B237" s="3"/>
      <c r="C237" s="3"/>
      <c r="D237" s="16"/>
      <c r="E237" s="1594"/>
      <c r="F237" s="61">
        <v>3</v>
      </c>
      <c r="G237" s="1341"/>
      <c r="H237" s="114"/>
      <c r="I237" s="115"/>
      <c r="J237" s="116"/>
      <c r="K237" s="18">
        <f>IF(A14stdlife="n/a","n/a",IF(K$3&gt;(A14stdlife+$F237),('RFM input'!$J$236*(1+vanilla3)^0.5)-SUM($J237:J237),('RFM input'!$J$236*(1+vanilla3)^0.5)/A14stdlife))</f>
        <v>0</v>
      </c>
      <c r="L237" s="18">
        <f>IF(A14stdlife="n/a","n/a",IF(L$3&gt;(A14stdlife+$F237),('RFM input'!$J$236*(1+vanilla3)^0.5)-SUM($J237:K237),('RFM input'!$J$236*(1+vanilla3)^0.5)/A14stdlife))</f>
        <v>0</v>
      </c>
      <c r="M237" s="18">
        <f>IF(A14stdlife="n/a","n/a",IF(M$3&gt;(A14stdlife+$F237),('RFM input'!$J$236*(1+vanilla3)^0.5)-SUM($J237:L237),('RFM input'!$J$236*(1+vanilla3)^0.5)/A14stdlife))</f>
        <v>0</v>
      </c>
      <c r="N237" s="18">
        <f>IF(A14stdlife="n/a","n/a",IF(N$3&gt;(A14stdlife+$F237),('RFM input'!$J$236*(1+vanilla3)^0.5)-SUM($J237:M237),('RFM input'!$J$236*(1+vanilla3)^0.5)/A14stdlife))</f>
        <v>0</v>
      </c>
      <c r="O237" s="18">
        <f>IF(A14stdlife="n/a","n/a",IF(O$3&gt;(A14stdlife+$F237),('RFM input'!$J$236*(1+vanilla3)^0.5)-SUM($J237:N237),('RFM input'!$J$236*(1+vanilla3)^0.5)/A14stdlife))</f>
        <v>0</v>
      </c>
      <c r="P237" s="18">
        <f>IF(A14stdlife="n/a","n/a",IF(P$3&gt;(A14stdlife+$F237),('RFM input'!$J$236*(1+vanilla3)^0.5)-SUM($J237:O237),('RFM input'!$J$236*(1+vanilla3)^0.5)/A14stdlife))</f>
        <v>0</v>
      </c>
      <c r="Q237" s="18">
        <f>IF(A14stdlife="n/a","n/a",IF(Q$3&gt;(A14stdlife+$F237),('RFM input'!$J$236*(1+vanilla3)^0.5)-SUM($J237:P237),('RFM input'!$J$236*(1+vanilla3)^0.5)/A14stdlife))</f>
        <v>0</v>
      </c>
      <c r="R237" s="18"/>
      <c r="S237" s="74"/>
      <c r="T237" s="74"/>
      <c r="U237" s="74"/>
      <c r="V237" s="74"/>
      <c r="W237" s="74"/>
      <c r="X237" s="74"/>
      <c r="Y237" s="74"/>
      <c r="Z237" s="74"/>
    </row>
    <row r="238" spans="1:26" ht="12.75" hidden="1" customHeight="1" outlineLevel="2">
      <c r="A238" s="3"/>
      <c r="B238" s="3"/>
      <c r="C238" s="3"/>
      <c r="D238" s="16"/>
      <c r="E238" s="1594"/>
      <c r="F238" s="61">
        <v>4</v>
      </c>
      <c r="G238" s="1341"/>
      <c r="H238" s="114"/>
      <c r="I238" s="115"/>
      <c r="J238" s="115"/>
      <c r="K238" s="116"/>
      <c r="L238" s="18">
        <f>IF(A14stdlife="n/a","n/a",IF(L$3&gt;(A14stdlife+$F238),('RFM input'!$K$236*(1+vanilla4)^0.5)-SUM($K238:K238),('RFM input'!$K$236*(1+vanilla4)^0.5)/A14stdlife))</f>
        <v>0</v>
      </c>
      <c r="M238" s="18">
        <f>IF(A14stdlife="n/a","n/a",IF(M$3&gt;(A14stdlife+$F238),('RFM input'!$K$236*(1+vanilla4)^0.5)-SUM($K238:L238),('RFM input'!$K$236*(1+vanilla4)^0.5)/A14stdlife))</f>
        <v>0</v>
      </c>
      <c r="N238" s="18">
        <f>IF(A14stdlife="n/a","n/a",IF(N$3&gt;(A14stdlife+$F238),('RFM input'!$K$236*(1+vanilla4)^0.5)-SUM($K238:M238),('RFM input'!$K$236*(1+vanilla4)^0.5)/A14stdlife))</f>
        <v>0</v>
      </c>
      <c r="O238" s="18">
        <f>IF(A14stdlife="n/a","n/a",IF(O$3&gt;(A14stdlife+$F238),('RFM input'!$K$236*(1+vanilla4)^0.5)-SUM($K238:N238),('RFM input'!$K$236*(1+vanilla4)^0.5)/A14stdlife))</f>
        <v>0</v>
      </c>
      <c r="P238" s="18">
        <f>IF(A14stdlife="n/a","n/a",IF(P$3&gt;(A14stdlife+$F238),('RFM input'!$K$236*(1+vanilla4)^0.5)-SUM($K238:O238),('RFM input'!$K$236*(1+vanilla4)^0.5)/A14stdlife))</f>
        <v>0</v>
      </c>
      <c r="Q238" s="18">
        <f>IF(A14stdlife="n/a","n/a",IF(Q$3&gt;(A14stdlife+$F238),('RFM input'!$K$236*(1+vanilla4)^0.5)-SUM($K238:P238),('RFM input'!$K$236*(1+vanilla4)^0.5)/A14stdlife))</f>
        <v>0</v>
      </c>
      <c r="R238" s="18"/>
      <c r="S238" s="74"/>
      <c r="T238" s="74"/>
      <c r="U238" s="74"/>
      <c r="V238" s="74"/>
      <c r="W238" s="74"/>
      <c r="X238" s="74"/>
      <c r="Y238" s="74"/>
      <c r="Z238" s="74"/>
    </row>
    <row r="239" spans="1:26" ht="12.75" hidden="1" customHeight="1" outlineLevel="2">
      <c r="A239" s="3"/>
      <c r="B239" s="3"/>
      <c r="C239" s="3"/>
      <c r="D239" s="16"/>
      <c r="E239" s="1594"/>
      <c r="F239" s="61">
        <v>5</v>
      </c>
      <c r="G239" s="17"/>
      <c r="H239" s="114"/>
      <c r="I239" s="115"/>
      <c r="J239" s="115"/>
      <c r="K239" s="115"/>
      <c r="L239" s="116"/>
      <c r="M239" s="18">
        <f>IF(A14stdlife="n/a","n/a",IF(M$3&gt;(A14stdlife+$F239),('RFM input'!$L$236*(1+vanilla5)^0.5)-SUM($L239:L239),('RFM input'!$L$236*(1+vanilla5)^0.5)/A14stdlife))</f>
        <v>0</v>
      </c>
      <c r="N239" s="18">
        <f>IF(A14stdlife="n/a","n/a",IF(N$3&gt;(A14stdlife+$F239),('RFM input'!$L$236*(1+vanilla5)^0.5)-SUM($L239:M239),('RFM input'!$L$236*(1+vanilla5)^0.5)/A14stdlife))</f>
        <v>0</v>
      </c>
      <c r="O239" s="18">
        <f>IF(A14stdlife="n/a","n/a",IF(O$3&gt;(A14stdlife+$F239),('RFM input'!$L$236*(1+vanilla5)^0.5)-SUM($L239:N239),('RFM input'!$L$236*(1+vanilla5)^0.5)/A14stdlife))</f>
        <v>0</v>
      </c>
      <c r="P239" s="18">
        <f>IF(A14stdlife="n/a","n/a",IF(P$3&gt;(A14stdlife+$F239),('RFM input'!$L$236*(1+vanilla5)^0.5)-SUM($L239:O239),('RFM input'!$L$236*(1+vanilla5)^0.5)/A14stdlife))</f>
        <v>0</v>
      </c>
      <c r="Q239" s="18">
        <f>IF(A14stdlife="n/a","n/a",IF(Q$3&gt;(A14stdlife+$F239),('RFM input'!$L$236*(1+vanilla5)^0.5)-SUM($L239:P239),('RFM input'!$L$236*(1+vanilla5)^0.5)/A14stdlife))</f>
        <v>0</v>
      </c>
      <c r="R239" s="18"/>
      <c r="S239" s="74"/>
      <c r="T239" s="74"/>
      <c r="U239" s="74"/>
      <c r="V239" s="74"/>
      <c r="W239" s="74"/>
      <c r="X239" s="74"/>
      <c r="Y239" s="74"/>
      <c r="Z239" s="74"/>
    </row>
    <row r="240" spans="1:26" ht="12.75" hidden="1" customHeight="1" outlineLevel="2">
      <c r="A240" s="3"/>
      <c r="B240" s="3"/>
      <c r="C240" s="3"/>
      <c r="D240" s="16"/>
      <c r="E240" s="1594"/>
      <c r="F240" s="61">
        <v>6</v>
      </c>
      <c r="G240" s="17"/>
      <c r="H240" s="114"/>
      <c r="I240" s="115"/>
      <c r="J240" s="115"/>
      <c r="K240" s="115"/>
      <c r="L240" s="115"/>
      <c r="M240" s="116"/>
      <c r="N240" s="1386">
        <f>IF(A14stdlife="n/a","n/a",IF(N$3&gt;(A14stdlife+$F240),('RFM input'!$M$236*(1+vanilla6)^0.5)-SUM($M240:M240),('RFM input'!$M$236*(1+vanilla6)^0.5)/A14stdlife))</f>
        <v>0</v>
      </c>
      <c r="O240" s="1386">
        <f>IF(A14stdlife="n/a","n/a",IF(O$3&gt;(A14stdlife+$F240),('RFM input'!$M$236*(1+vanilla6)^0.5)-SUM($M240:N240),('RFM input'!$M$236*(1+vanilla6)^0.5)/A14stdlife))</f>
        <v>0</v>
      </c>
      <c r="P240" s="1386">
        <f>IF(A14stdlife="n/a","n/a",IF(P$3&gt;(A14stdlife+$F240),('RFM input'!$M$236*(1+vanilla6)^0.5)-SUM($M240:O240),('RFM input'!$M$236*(1+vanilla6)^0.5)/A14stdlife))</f>
        <v>0</v>
      </c>
      <c r="Q240" s="1386">
        <f>IF(A14stdlife="n/a","n/a",IF(Q$3&gt;(A14stdlife+$F240),('RFM input'!$M$236*(1+vanilla6)^0.5)-SUM($M240:P240),('RFM input'!$M$236*(1+vanilla6)^0.5)/A14stdlife))</f>
        <v>0</v>
      </c>
      <c r="R240" s="18"/>
      <c r="S240" s="74"/>
      <c r="T240" s="74"/>
      <c r="U240" s="74"/>
      <c r="V240" s="74"/>
      <c r="W240" s="74"/>
      <c r="X240" s="74"/>
      <c r="Y240" s="74"/>
      <c r="Z240" s="74"/>
    </row>
    <row r="241" spans="1:26" ht="12.75" hidden="1" customHeight="1" outlineLevel="2">
      <c r="A241" s="3"/>
      <c r="B241" s="3"/>
      <c r="C241" s="3"/>
      <c r="D241" s="16"/>
      <c r="E241" s="1594"/>
      <c r="F241" s="61">
        <v>7</v>
      </c>
      <c r="G241" s="17"/>
      <c r="H241" s="114"/>
      <c r="I241" s="115"/>
      <c r="J241" s="115"/>
      <c r="K241" s="115"/>
      <c r="L241" s="115"/>
      <c r="M241" s="115"/>
      <c r="N241" s="116"/>
      <c r="O241" s="18">
        <f>IF(A14stdlife="n/a","n/a",IF(O$3&gt;(A14stdlife+$F241),('RFM input'!$N$236*(1+vanilla7)^0.5)-SUM($N241:N241),('RFM input'!$N$236*(1+vanilla7)^0.5)/A14stdlife))</f>
        <v>0</v>
      </c>
      <c r="P241" s="18">
        <f>IF(A14stdlife="n/a","n/a",IF(P$3&gt;(A14stdlife+$F241),('RFM input'!$N$236*(1+vanilla7)^0.5)-SUM($N241:O241),('RFM input'!$N$236*(1+vanilla7)^0.5)/A14stdlife))</f>
        <v>0</v>
      </c>
      <c r="Q241" s="18">
        <f>IF(A14stdlife="n/a","n/a",IF(Q$3&gt;(A14stdlife+$F241),('RFM input'!$N$236*(1+vanilla7)^0.5)-SUM($N241:P241),('RFM input'!$N$236*(1+vanilla7)^0.5)/A14stdlife))</f>
        <v>0</v>
      </c>
      <c r="R241" s="18"/>
      <c r="S241" s="74"/>
      <c r="T241" s="74"/>
      <c r="U241" s="74"/>
      <c r="V241" s="74"/>
      <c r="W241" s="74"/>
      <c r="X241" s="74"/>
      <c r="Y241" s="74"/>
      <c r="Z241" s="74"/>
    </row>
    <row r="242" spans="1:26" ht="12.75" hidden="1" customHeight="1" outlineLevel="2">
      <c r="A242" s="3"/>
      <c r="B242" s="3"/>
      <c r="C242" s="3"/>
      <c r="D242" s="16"/>
      <c r="E242" s="1594"/>
      <c r="F242" s="61">
        <v>8</v>
      </c>
      <c r="G242" s="17"/>
      <c r="H242" s="114"/>
      <c r="I242" s="115"/>
      <c r="J242" s="115"/>
      <c r="K242" s="115"/>
      <c r="L242" s="115"/>
      <c r="M242" s="115"/>
      <c r="N242" s="115"/>
      <c r="O242" s="116"/>
      <c r="P242" s="18">
        <f>IF(A14stdlife="n/a","n/a",IF(P$3&gt;(A14stdlife+$F242),('RFM input'!$O$236*(1+vanilla8)^0.5)-SUM($O242:O242),('RFM input'!$O$236*(1+vanilla8)^0.5)/A14stdlife))</f>
        <v>0</v>
      </c>
      <c r="Q242" s="18">
        <f>IF(A14stdlife="n/a","n/a",IF(Q$3&gt;(A14stdlife+$F242),('RFM input'!$O$236*(1+vanilla8)^0.5)-SUM($O242:P242),('RFM input'!$O$236*(1+vanilla8)^0.5)/A14stdlife))</f>
        <v>0</v>
      </c>
      <c r="R242" s="18"/>
      <c r="S242" s="74"/>
      <c r="T242" s="74"/>
      <c r="U242" s="74"/>
      <c r="V242" s="74"/>
      <c r="W242" s="74"/>
      <c r="X242" s="74"/>
      <c r="Y242" s="74"/>
      <c r="Z242" s="74"/>
    </row>
    <row r="243" spans="1:26" ht="12.75" hidden="1" customHeight="1" outlineLevel="2">
      <c r="A243" s="3"/>
      <c r="B243" s="3"/>
      <c r="C243" s="3"/>
      <c r="D243" s="16"/>
      <c r="E243" s="1594"/>
      <c r="F243" s="61">
        <v>9</v>
      </c>
      <c r="G243" s="17"/>
      <c r="H243" s="114"/>
      <c r="I243" s="115"/>
      <c r="J243" s="115"/>
      <c r="K243" s="115"/>
      <c r="L243" s="115"/>
      <c r="M243" s="115"/>
      <c r="N243" s="115"/>
      <c r="O243" s="115"/>
      <c r="P243" s="116"/>
      <c r="Q243" s="18">
        <f>IF(A14stdlife="n/a","n/a",IF(Q$3&gt;(A14stdlife+$F243),('RFM input'!$P$236*(1+vanilla9)^0.5)-SUM($P243:P243),('RFM input'!$P$236*(1+vanilla9)^0.5)/A14stdlife))</f>
        <v>0</v>
      </c>
      <c r="R243" s="18"/>
      <c r="S243" s="74"/>
      <c r="T243" s="74"/>
      <c r="U243" s="74"/>
      <c r="V243" s="74"/>
      <c r="W243" s="74"/>
      <c r="X243" s="74"/>
      <c r="Y243" s="74"/>
      <c r="Z243" s="74"/>
    </row>
    <row r="244" spans="1:26" ht="12.75" hidden="1" customHeight="1" outlineLevel="2">
      <c r="A244" s="3"/>
      <c r="B244" s="3"/>
      <c r="C244" s="3"/>
      <c r="D244" s="16"/>
      <c r="E244" s="1594"/>
      <c r="F244" s="62">
        <v>10</v>
      </c>
      <c r="G244" s="17"/>
      <c r="H244" s="114"/>
      <c r="I244" s="115"/>
      <c r="J244" s="115"/>
      <c r="K244" s="115"/>
      <c r="L244" s="115"/>
      <c r="M244" s="115"/>
      <c r="N244" s="115"/>
      <c r="O244" s="115"/>
      <c r="P244" s="115"/>
      <c r="Q244" s="116"/>
      <c r="R244" s="18"/>
      <c r="S244" s="74"/>
      <c r="T244" s="74"/>
      <c r="U244" s="74"/>
      <c r="V244" s="74"/>
      <c r="W244" s="74"/>
      <c r="X244" s="74"/>
      <c r="Y244" s="74"/>
      <c r="Z244" s="74"/>
    </row>
    <row r="245" spans="1:26" ht="13.35" hidden="1" customHeight="1" outlineLevel="1">
      <c r="A245" s="3"/>
      <c r="B245" s="3"/>
      <c r="C245" s="3"/>
      <c r="D245" s="134">
        <f>Asset14</f>
        <v>0</v>
      </c>
      <c r="E245" s="3"/>
      <c r="F245" s="3"/>
      <c r="G245" s="1341"/>
      <c r="H245" s="1458">
        <f>IF(OR('RFM input'!$E$293='RFM input'!$G$292,'RFM input'!$E$293='RFM input'!$G$293),-INDEX('RFM input'!H$299:H$348,MATCH($D245,'RFM input'!$E$299:$E$348,0),1),-SUM(H233:H244))</f>
        <v>0</v>
      </c>
      <c r="I245" s="1458">
        <f>IF(OR('RFM input'!$E$293='RFM input'!$G$292,'RFM input'!$E$293='RFM input'!$G$293),-INDEX('RFM input'!I$299:I$348,MATCH($D245,'RFM input'!$E$299:$E$348,0),1),-SUM(I233:I244))</f>
        <v>0</v>
      </c>
      <c r="J245" s="1386">
        <f>IF(COUNT($H245:I245)&gt;='RFM input'!$V$7,
   0,
   IF(OR('RFM input'!$E$293='RFM input'!$G$292,'RFM input'!$E$293='RFM input'!$G$293),
      -INDEX('RFM input'!J$299:J$348,MATCH($D245,'RFM input'!$E$299:$E$348,0),1),
      -SUM(J233:J244)))</f>
        <v>0</v>
      </c>
      <c r="K245" s="1386">
        <f>IF(COUNT($H245:J245)&gt;='RFM input'!$V$7,
   0,
   IF(OR('RFM input'!$E$293='RFM input'!$G$292,'RFM input'!$E$293='RFM input'!$G$293),
      -INDEX('RFM input'!K$299:K$348,MATCH($D245,'RFM input'!$E$299:$E$348,0),1),
      -SUM(K233:K244)))</f>
        <v>0</v>
      </c>
      <c r="L245" s="1386">
        <f>IF(COUNT($H245:K245)&gt;='RFM input'!$V$7,
   0,
   IF(OR('RFM input'!$E$293='RFM input'!$G$292,'RFM input'!$E$293='RFM input'!$G$293),
      -INDEX('RFM input'!L$299:L$348,MATCH($D245,'RFM input'!$E$299:$E$348,0),1),
      -SUM(L233:L244)))</f>
        <v>0</v>
      </c>
      <c r="M245" s="1386">
        <f>IF(COUNT($H245:L245)&gt;='RFM input'!$V$7,
   0,
   IF(OR('RFM input'!$E$293='RFM input'!$G$292,'RFM input'!$E$293='RFM input'!$G$293),
      -INDEX('RFM input'!M$299:M$348,MATCH($D245,'RFM input'!$E$299:$E$348,0),1),
      -SUM(M233:M244)))</f>
        <v>0</v>
      </c>
      <c r="N245" s="1386">
        <f>IF(COUNT($H245:M245)&gt;='RFM input'!$V$7,
   0,
   IF(OR('RFM input'!$E$293='RFM input'!$G$292,'RFM input'!$E$293='RFM input'!$G$293),
      -INDEX('RFM input'!N$299:N$348,MATCH($D245,'RFM input'!$E$299:$E$348,0),1),
      -SUM(N233:N244)))</f>
        <v>0</v>
      </c>
      <c r="O245" s="1386">
        <f>IF(COUNT($H245:N245)&gt;='RFM input'!$V$7,
   0,
   IF(OR('RFM input'!$E$293='RFM input'!$G$292,'RFM input'!$E$293='RFM input'!$G$293),
      -INDEX('RFM input'!O$299:O$348,MATCH($D245,'RFM input'!$E$299:$E$348,0),1),
      -SUM(O233:O244)))</f>
        <v>0</v>
      </c>
      <c r="P245" s="1386">
        <f>IF(COUNT($H245:O245)&gt;='RFM input'!$V$7,
   0,
   IF(OR('RFM input'!$E$293='RFM input'!$G$292,'RFM input'!$E$293='RFM input'!$G$293),
      -INDEX('RFM input'!P$299:P$348,MATCH($D245,'RFM input'!$E$299:$E$348,0),1),
      -SUM(P233:P244)))</f>
        <v>0</v>
      </c>
      <c r="Q245" s="1386">
        <f>IF(COUNT($H245:P245)&gt;='RFM input'!$V$7,
   0,
   IF(OR('RFM input'!$E$293='RFM input'!$G$292,'RFM input'!$E$293='RFM input'!$G$293),
      -INDEX('RFM input'!Q$299:Q$348,MATCH($D245,'RFM input'!$E$299:$E$348,0),1),
      -SUM(Q233:Q244)))</f>
        <v>0</v>
      </c>
      <c r="R245" s="1382"/>
      <c r="S245" s="76"/>
      <c r="T245" s="76"/>
      <c r="U245" s="76"/>
      <c r="V245" s="76"/>
      <c r="W245" s="76"/>
      <c r="X245" s="76"/>
      <c r="Y245" s="76"/>
      <c r="Z245" s="76"/>
    </row>
    <row r="246" spans="1:26" ht="12.75" hidden="1" customHeight="1" outlineLevel="2">
      <c r="A246" s="3"/>
      <c r="B246" s="3"/>
      <c r="C246" s="135">
        <f>Asset15</f>
        <v>0</v>
      </c>
      <c r="D246" s="100"/>
      <c r="E246" s="20" t="s">
        <v>23</v>
      </c>
      <c r="F246" s="19"/>
      <c r="G246" s="1383"/>
      <c r="H246" s="1380">
        <f>IF(H$3&gt;A15remlife,A15value-SUM($G246:G246),IF(A15remlife="N/A","n/a",A15value/A15remlife))</f>
        <v>0</v>
      </c>
      <c r="I246" s="1380">
        <f>IF(I$3&gt;A15remlife,A15value-SUM($G246:H246),IF(A15remlife="N/A","n/a",A15value/A15remlife))</f>
        <v>0</v>
      </c>
      <c r="J246" s="1380">
        <f>IF(J$3&gt;A15remlife,A15value-SUM($G246:I246),IF(A15remlife="N/A","n/a",A15value/A15remlife))</f>
        <v>0</v>
      </c>
      <c r="K246" s="1380">
        <f>IF(K$3&gt;A15remlife,A15value-SUM($G246:J246),IF(A15remlife="N/A","n/a",A15value/A15remlife))</f>
        <v>0</v>
      </c>
      <c r="L246" s="1380">
        <f>IF(L$3&gt;A15remlife,A15value-SUM($G246:K246),IF(A15remlife="N/A","n/a",A15value/A15remlife))</f>
        <v>0</v>
      </c>
      <c r="M246" s="1380">
        <f>IF(M$3&gt;A15remlife,A15value-SUM($G246:L246),IF(A15remlife="N/A","n/a",A15value/A15remlife))</f>
        <v>0</v>
      </c>
      <c r="N246" s="1380">
        <f>IF(N$3&gt;A15remlife,A15value-SUM($G246:M246),IF(A15remlife="N/A","n/a",A15value/A15remlife))</f>
        <v>0</v>
      </c>
      <c r="O246" s="1380">
        <f>IF(O$3&gt;A15remlife,A15value-SUM($G246:N246),IF(A15remlife="N/A","n/a",A15value/A15remlife))</f>
        <v>0</v>
      </c>
      <c r="P246" s="1380">
        <f>IF(P$3&gt;A15remlife,A15value-SUM($G246:O246),IF(A15remlife="N/A","n/a",A15value/A15remlife))</f>
        <v>0</v>
      </c>
      <c r="Q246" s="1380">
        <f>IF(Q$3&gt;A15remlife,A15value-SUM($G246:P246),IF(A15remlife="N/A","n/a",A15value/A15remlife))</f>
        <v>0</v>
      </c>
      <c r="R246" s="21"/>
      <c r="S246" s="74"/>
      <c r="T246" s="74"/>
      <c r="U246" s="74"/>
      <c r="V246" s="74"/>
      <c r="W246" s="74"/>
      <c r="X246" s="74"/>
      <c r="Y246" s="74"/>
      <c r="Z246" s="74"/>
    </row>
    <row r="247" spans="1:26" ht="12.75" hidden="1" customHeight="1" outlineLevel="2">
      <c r="A247" s="3"/>
      <c r="B247" s="3"/>
      <c r="C247" s="3"/>
      <c r="D247" s="16"/>
      <c r="E247" s="1593" t="s">
        <v>43</v>
      </c>
      <c r="F247" s="61"/>
      <c r="G247" s="1341"/>
      <c r="H247" s="18"/>
      <c r="I247" s="18"/>
      <c r="J247" s="18"/>
      <c r="K247" s="18"/>
      <c r="L247" s="18"/>
      <c r="M247" s="1384"/>
      <c r="N247" s="1385"/>
      <c r="O247" s="18"/>
      <c r="P247" s="18"/>
      <c r="Q247" s="18"/>
      <c r="R247" s="18"/>
      <c r="S247" s="74"/>
      <c r="T247" s="74"/>
      <c r="U247" s="74"/>
      <c r="V247" s="74"/>
      <c r="W247" s="74"/>
      <c r="X247" s="74"/>
      <c r="Y247" s="74"/>
      <c r="Z247" s="74"/>
    </row>
    <row r="248" spans="1:26" ht="12.75" hidden="1" customHeight="1" outlineLevel="2">
      <c r="A248" s="3"/>
      <c r="B248" s="3"/>
      <c r="C248" s="3"/>
      <c r="D248" s="16"/>
      <c r="E248" s="1594"/>
      <c r="F248" s="61">
        <v>1</v>
      </c>
      <c r="G248" s="1341"/>
      <c r="H248" s="1381"/>
      <c r="I248" s="18">
        <f>IF(A15stdlife="n/a","n/a",IF(I$3&gt;(A15stdlife+$F248),('RFM input'!$H$237*(1+vanilla1)^0.5)-SUM($H248:H248),('RFM input'!$H$237*(1+vanilla1)^0.5)/A15stdlife))</f>
        <v>0</v>
      </c>
      <c r="J248" s="18">
        <f>IF(A15stdlife="n/a","n/a",IF(J$3&gt;(A15stdlife+$F248),('RFM input'!$H$237*(1+vanilla1)^0.5)-SUM($H248:I248),('RFM input'!$H$237*(1+vanilla1)^0.5)/A15stdlife))</f>
        <v>0</v>
      </c>
      <c r="K248" s="18">
        <f>IF(A15stdlife="n/a","n/a",IF(K$3&gt;(A15stdlife+$F248),('RFM input'!$H$237*(1+vanilla1)^0.5)-SUM($H248:J248),('RFM input'!$H$237*(1+vanilla1)^0.5)/A15stdlife))</f>
        <v>0</v>
      </c>
      <c r="L248" s="18">
        <f>IF(A15stdlife="n/a","n/a",IF(L$3&gt;(A15stdlife+$F248),('RFM input'!$H$237*(1+vanilla1)^0.5)-SUM($H248:K248),('RFM input'!$H$237*(1+vanilla1)^0.5)/A15stdlife))</f>
        <v>0</v>
      </c>
      <c r="M248" s="18">
        <f>IF(A15stdlife="n/a","n/a",IF(M$3&gt;(A15stdlife+$F248),('RFM input'!$H$237*(1+vanilla1)^0.5)-SUM($H248:L248),('RFM input'!$H$237*(1+vanilla1)^0.5)/A15stdlife))</f>
        <v>0</v>
      </c>
      <c r="N248" s="18">
        <f>IF(A15stdlife="n/a","n/a",IF(N$3&gt;(A15stdlife+$F248),('RFM input'!$H$237*(1+vanilla1)^0.5)-SUM($H248:M248),('RFM input'!$H$237*(1+vanilla1)^0.5)/A15stdlife))</f>
        <v>0</v>
      </c>
      <c r="O248" s="18">
        <f>IF(A15stdlife="n/a","n/a",IF(O$3&gt;(A15stdlife+$F248),('RFM input'!$H$237*(1+vanilla1)^0.5)-SUM($H248:N248),('RFM input'!$H$237*(1+vanilla1)^0.5)/A15stdlife))</f>
        <v>0</v>
      </c>
      <c r="P248" s="18">
        <f>IF(A15stdlife="n/a","n/a",IF(P$3&gt;(A15stdlife+$F248),('RFM input'!$H$237*(1+vanilla1)^0.5)-SUM($H248:O248),('RFM input'!$H$237*(1+vanilla1)^0.5)/A15stdlife))</f>
        <v>0</v>
      </c>
      <c r="Q248" s="18">
        <f>IF(A15stdlife="n/a","n/a",IF(Q$3&gt;(A15stdlife+$F248),('RFM input'!$H$237*(1+vanilla1)^0.5)-SUM($H248:P248),('RFM input'!$H$237*(1+vanilla1)^0.5)/A15stdlife))</f>
        <v>0</v>
      </c>
      <c r="R248" s="18"/>
      <c r="S248" s="74"/>
      <c r="T248" s="74"/>
      <c r="U248" s="74"/>
      <c r="V248" s="74"/>
      <c r="W248" s="74"/>
      <c r="X248" s="74"/>
      <c r="Y248" s="74"/>
      <c r="Z248" s="74"/>
    </row>
    <row r="249" spans="1:26" ht="12.75" hidden="1" customHeight="1" outlineLevel="2">
      <c r="A249" s="3"/>
      <c r="B249" s="3"/>
      <c r="C249" s="3"/>
      <c r="D249" s="16"/>
      <c r="E249" s="1594"/>
      <c r="F249" s="61">
        <v>2</v>
      </c>
      <c r="G249" s="1341"/>
      <c r="H249" s="114"/>
      <c r="I249" s="116"/>
      <c r="J249" s="18">
        <f>IF(A15stdlife="n/a","n/a",IF(J$3&gt;(A15stdlife+$F249),('RFM input'!$I$237*(1+vanilla2)^0.5)-SUM($I249:I249),('RFM input'!$I$237*(1+vanilla2)^0.5)/A15stdlife))</f>
        <v>0</v>
      </c>
      <c r="K249" s="18">
        <f>IF(A15stdlife="n/a","n/a",IF(K$3&gt;(A15stdlife+$F249),('RFM input'!$I$237*(1+vanilla2)^0.5)-SUM($I249:J249),('RFM input'!$I$237*(1+vanilla2)^0.5)/A15stdlife))</f>
        <v>0</v>
      </c>
      <c r="L249" s="18">
        <f>IF(A15stdlife="n/a","n/a",IF(L$3&gt;(A15stdlife+$F249),('RFM input'!$I$237*(1+vanilla2)^0.5)-SUM($I249:K249),('RFM input'!$I$237*(1+vanilla2)^0.5)/A15stdlife))</f>
        <v>0</v>
      </c>
      <c r="M249" s="18">
        <f>IF(A15stdlife="n/a","n/a",IF(M$3&gt;(A15stdlife+$F249),('RFM input'!$I$237*(1+vanilla2)^0.5)-SUM($I249:L249),('RFM input'!$I$237*(1+vanilla2)^0.5)/A15stdlife))</f>
        <v>0</v>
      </c>
      <c r="N249" s="18">
        <f>IF(A15stdlife="n/a","n/a",IF(N$3&gt;(A15stdlife+$F249),('RFM input'!$I$237*(1+vanilla2)^0.5)-SUM($I249:M249),('RFM input'!$I$237*(1+vanilla2)^0.5)/A15stdlife))</f>
        <v>0</v>
      </c>
      <c r="O249" s="18">
        <f>IF(A15stdlife="n/a","n/a",IF(O$3&gt;(A15stdlife+$F249),('RFM input'!$I$237*(1+vanilla2)^0.5)-SUM($I249:N249),('RFM input'!$I$237*(1+vanilla2)^0.5)/A15stdlife))</f>
        <v>0</v>
      </c>
      <c r="P249" s="18">
        <f>IF(A15stdlife="n/a","n/a",IF(P$3&gt;(A15stdlife+$F249),('RFM input'!$I$237*(1+vanilla2)^0.5)-SUM($I249:O249),('RFM input'!$I$237*(1+vanilla2)^0.5)/A15stdlife))</f>
        <v>0</v>
      </c>
      <c r="Q249" s="18">
        <f>IF(A15stdlife="n/a","n/a",IF(Q$3&gt;(A15stdlife+$F249),('RFM input'!$I$237*(1+vanilla2)^0.5)-SUM($I249:P249),('RFM input'!$I$237*(1+vanilla2)^0.5)/A15stdlife))</f>
        <v>0</v>
      </c>
      <c r="R249" s="18"/>
      <c r="S249" s="74"/>
      <c r="T249" s="74"/>
      <c r="U249" s="74"/>
      <c r="V249" s="74"/>
      <c r="W249" s="74"/>
      <c r="X249" s="74"/>
      <c r="Y249" s="74"/>
      <c r="Z249" s="74"/>
    </row>
    <row r="250" spans="1:26" ht="12.75" hidden="1" customHeight="1" outlineLevel="2">
      <c r="A250" s="3"/>
      <c r="B250" s="3"/>
      <c r="C250" s="3"/>
      <c r="D250" s="16"/>
      <c r="E250" s="1594"/>
      <c r="F250" s="61">
        <v>3</v>
      </c>
      <c r="G250" s="1341"/>
      <c r="H250" s="114"/>
      <c r="I250" s="115"/>
      <c r="J250" s="116"/>
      <c r="K250" s="18">
        <f>IF(A15stdlife="n/a","n/a",IF(K$3&gt;(A15stdlife+$F250),('RFM input'!$J$237*(1+vanilla3)^0.5)-SUM($J250:J250),('RFM input'!$J$237*(1+vanilla3)^0.5)/A15stdlife))</f>
        <v>0</v>
      </c>
      <c r="L250" s="18">
        <f>IF(A15stdlife="n/a","n/a",IF(L$3&gt;(A15stdlife+$F250),('RFM input'!$J$237*(1+vanilla3)^0.5)-SUM($J250:K250),('RFM input'!$J$237*(1+vanilla3)^0.5)/A15stdlife))</f>
        <v>0</v>
      </c>
      <c r="M250" s="18">
        <f>IF(A15stdlife="n/a","n/a",IF(M$3&gt;(A15stdlife+$F250),('RFM input'!$J$237*(1+vanilla3)^0.5)-SUM($J250:L250),('RFM input'!$J$237*(1+vanilla3)^0.5)/A15stdlife))</f>
        <v>0</v>
      </c>
      <c r="N250" s="18">
        <f>IF(A15stdlife="n/a","n/a",IF(N$3&gt;(A15stdlife+$F250),('RFM input'!$J$237*(1+vanilla3)^0.5)-SUM($J250:M250),('RFM input'!$J$237*(1+vanilla3)^0.5)/A15stdlife))</f>
        <v>0</v>
      </c>
      <c r="O250" s="18">
        <f>IF(A15stdlife="n/a","n/a",IF(O$3&gt;(A15stdlife+$F250),('RFM input'!$J$237*(1+vanilla3)^0.5)-SUM($J250:N250),('RFM input'!$J$237*(1+vanilla3)^0.5)/A15stdlife))</f>
        <v>0</v>
      </c>
      <c r="P250" s="18">
        <f>IF(A15stdlife="n/a","n/a",IF(P$3&gt;(A15stdlife+$F250),('RFM input'!$J$237*(1+vanilla3)^0.5)-SUM($J250:O250),('RFM input'!$J$237*(1+vanilla3)^0.5)/A15stdlife))</f>
        <v>0</v>
      </c>
      <c r="Q250" s="18">
        <f>IF(A15stdlife="n/a","n/a",IF(Q$3&gt;(A15stdlife+$F250),('RFM input'!$J$237*(1+vanilla3)^0.5)-SUM($J250:P250),('RFM input'!$J$237*(1+vanilla3)^0.5)/A15stdlife))</f>
        <v>0</v>
      </c>
      <c r="R250" s="18"/>
      <c r="S250" s="74"/>
      <c r="T250" s="74"/>
      <c r="U250" s="74"/>
      <c r="V250" s="74"/>
      <c r="W250" s="74"/>
      <c r="X250" s="74"/>
      <c r="Y250" s="74"/>
      <c r="Z250" s="74"/>
    </row>
    <row r="251" spans="1:26" ht="12.75" hidden="1" customHeight="1" outlineLevel="2">
      <c r="A251" s="3"/>
      <c r="B251" s="3"/>
      <c r="C251" s="3"/>
      <c r="D251" s="16"/>
      <c r="E251" s="1594"/>
      <c r="F251" s="61">
        <v>4</v>
      </c>
      <c r="G251" s="1341"/>
      <c r="H251" s="114"/>
      <c r="I251" s="115"/>
      <c r="J251" s="115"/>
      <c r="K251" s="116"/>
      <c r="L251" s="18">
        <f>IF(A15stdlife="n/a","n/a",IF(L$3&gt;(A15stdlife+$F251),('RFM input'!$K$237*(1+vanilla4)^0.5)-SUM($K251:K251),('RFM input'!$K$237*(1+vanilla4)^0.5)/A15stdlife))</f>
        <v>0</v>
      </c>
      <c r="M251" s="18">
        <f>IF(A15stdlife="n/a","n/a",IF(M$3&gt;(A15stdlife+$F251),('RFM input'!$K$237*(1+vanilla4)^0.5)-SUM($K251:L251),('RFM input'!$K$237*(1+vanilla4)^0.5)/A15stdlife))</f>
        <v>0</v>
      </c>
      <c r="N251" s="18">
        <f>IF(A15stdlife="n/a","n/a",IF(N$3&gt;(A15stdlife+$F251),('RFM input'!$K$237*(1+vanilla4)^0.5)-SUM($K251:M251),('RFM input'!$K$237*(1+vanilla4)^0.5)/A15stdlife))</f>
        <v>0</v>
      </c>
      <c r="O251" s="18">
        <f>IF(A15stdlife="n/a","n/a",IF(O$3&gt;(A15stdlife+$F251),('RFM input'!$K$237*(1+vanilla4)^0.5)-SUM($K251:N251),('RFM input'!$K$237*(1+vanilla4)^0.5)/A15stdlife))</f>
        <v>0</v>
      </c>
      <c r="P251" s="18">
        <f>IF(A15stdlife="n/a","n/a",IF(P$3&gt;(A15stdlife+$F251),('RFM input'!$K$237*(1+vanilla4)^0.5)-SUM($K251:O251),('RFM input'!$K$237*(1+vanilla4)^0.5)/A15stdlife))</f>
        <v>0</v>
      </c>
      <c r="Q251" s="18">
        <f>IF(A15stdlife="n/a","n/a",IF(Q$3&gt;(A15stdlife+$F251),('RFM input'!$K$237*(1+vanilla4)^0.5)-SUM($K251:P251),('RFM input'!$K$237*(1+vanilla4)^0.5)/A15stdlife))</f>
        <v>0</v>
      </c>
      <c r="R251" s="18"/>
      <c r="S251" s="74"/>
      <c r="T251" s="74"/>
      <c r="U251" s="74"/>
      <c r="V251" s="74"/>
      <c r="W251" s="74"/>
      <c r="X251" s="74"/>
      <c r="Y251" s="74"/>
      <c r="Z251" s="74"/>
    </row>
    <row r="252" spans="1:26" ht="12.75" hidden="1" customHeight="1" outlineLevel="2">
      <c r="A252" s="3"/>
      <c r="B252" s="3"/>
      <c r="C252" s="3"/>
      <c r="D252" s="16"/>
      <c r="E252" s="1594"/>
      <c r="F252" s="61">
        <v>5</v>
      </c>
      <c r="G252" s="17"/>
      <c r="H252" s="114"/>
      <c r="I252" s="115"/>
      <c r="J252" s="115"/>
      <c r="K252" s="115"/>
      <c r="L252" s="116"/>
      <c r="M252" s="18">
        <f>IF(A15stdlife="n/a","n/a",IF(M$3&gt;(A15stdlife+$F252),('RFM input'!$L$237*(1+vanilla5)^0.5)-SUM($L252:L252),('RFM input'!$L$237*(1+vanilla5)^0.5)/A15stdlife))</f>
        <v>0</v>
      </c>
      <c r="N252" s="18">
        <f>IF(A15stdlife="n/a","n/a",IF(N$3&gt;(A15stdlife+$F252),('RFM input'!$L$237*(1+vanilla5)^0.5)-SUM($L252:M252),('RFM input'!$L$237*(1+vanilla5)^0.5)/A15stdlife))</f>
        <v>0</v>
      </c>
      <c r="O252" s="18">
        <f>IF(A15stdlife="n/a","n/a",IF(O$3&gt;(A15stdlife+$F252),('RFM input'!$L$237*(1+vanilla5)^0.5)-SUM($L252:N252),('RFM input'!$L$237*(1+vanilla5)^0.5)/A15stdlife))</f>
        <v>0</v>
      </c>
      <c r="P252" s="18">
        <f>IF(A15stdlife="n/a","n/a",IF(P$3&gt;(A15stdlife+$F252),('RFM input'!$L$237*(1+vanilla5)^0.5)-SUM($L252:O252),('RFM input'!$L$237*(1+vanilla5)^0.5)/A15stdlife))</f>
        <v>0</v>
      </c>
      <c r="Q252" s="18">
        <f>IF(A15stdlife="n/a","n/a",IF(Q$3&gt;(A15stdlife+$F252),('RFM input'!$L$237*(1+vanilla5)^0.5)-SUM($L252:P252),('RFM input'!$L$237*(1+vanilla5)^0.5)/A15stdlife))</f>
        <v>0</v>
      </c>
      <c r="R252" s="18"/>
      <c r="S252" s="74"/>
      <c r="T252" s="74"/>
      <c r="U252" s="74"/>
      <c r="V252" s="74"/>
      <c r="W252" s="74"/>
      <c r="X252" s="74"/>
      <c r="Y252" s="74"/>
      <c r="Z252" s="74"/>
    </row>
    <row r="253" spans="1:26" ht="12.75" hidden="1" customHeight="1" outlineLevel="2">
      <c r="A253" s="3"/>
      <c r="B253" s="3"/>
      <c r="C253" s="3"/>
      <c r="D253" s="16"/>
      <c r="E253" s="1594"/>
      <c r="F253" s="61">
        <v>6</v>
      </c>
      <c r="G253" s="17"/>
      <c r="H253" s="114"/>
      <c r="I253" s="115"/>
      <c r="J253" s="115"/>
      <c r="K253" s="115"/>
      <c r="L253" s="115"/>
      <c r="M253" s="116"/>
      <c r="N253" s="18">
        <f>IF(A15stdlife="n/a","n/a",IF(N$3&gt;(A15stdlife+$F253),('RFM input'!$M$237*(1+vanilla6)^0.5)-SUM($M253:M253),('RFM input'!$M$237*(1+vanilla6)^0.5)/A15stdlife))</f>
        <v>0</v>
      </c>
      <c r="O253" s="18">
        <f>IF(A15stdlife="n/a","n/a",IF(O$3&gt;(A15stdlife+$F253),('RFM input'!$M$237*(1+vanilla6)^0.5)-SUM($M253:N253),('RFM input'!$M$237*(1+vanilla6)^0.5)/A15stdlife))</f>
        <v>0</v>
      </c>
      <c r="P253" s="18">
        <f>IF(A15stdlife="n/a","n/a",IF(P$3&gt;(A15stdlife+$F253),('RFM input'!$M$237*(1+vanilla6)^0.5)-SUM($M253:O253),('RFM input'!$M$237*(1+vanilla6)^0.5)/A15stdlife))</f>
        <v>0</v>
      </c>
      <c r="Q253" s="18">
        <f>IF(A15stdlife="n/a","n/a",IF(Q$3&gt;(A15stdlife+$F253),('RFM input'!$M$237*(1+vanilla6)^0.5)-SUM($M253:P253),('RFM input'!$M$237*(1+vanilla6)^0.5)/A15stdlife))</f>
        <v>0</v>
      </c>
      <c r="R253" s="18"/>
      <c r="S253" s="74"/>
      <c r="T253" s="74"/>
      <c r="U253" s="74"/>
      <c r="V253" s="74"/>
      <c r="W253" s="74"/>
      <c r="X253" s="74"/>
      <c r="Y253" s="74"/>
      <c r="Z253" s="74"/>
    </row>
    <row r="254" spans="1:26" ht="12.75" hidden="1" customHeight="1" outlineLevel="2">
      <c r="A254" s="3"/>
      <c r="B254" s="3"/>
      <c r="C254" s="3"/>
      <c r="D254" s="16"/>
      <c r="E254" s="1594"/>
      <c r="F254" s="61">
        <v>7</v>
      </c>
      <c r="G254" s="17"/>
      <c r="H254" s="114"/>
      <c r="I254" s="115"/>
      <c r="J254" s="115"/>
      <c r="K254" s="115"/>
      <c r="L254" s="115"/>
      <c r="M254" s="115"/>
      <c r="N254" s="116"/>
      <c r="O254" s="18">
        <f>IF(A15stdlife="n/a","n/a",IF(O$3&gt;(A15stdlife+$F254),('RFM input'!$N$237*(1+vanilla7)^0.5)-SUM($N254:N254),('RFM input'!$N$237*(1+vanilla7)^0.5)/A15stdlife))</f>
        <v>0</v>
      </c>
      <c r="P254" s="18">
        <f>IF(A15stdlife="n/a","n/a",IF(P$3&gt;(A15stdlife+$F254),('RFM input'!$N$237*(1+vanilla7)^0.5)-SUM($N254:O254),('RFM input'!$N$237*(1+vanilla7)^0.5)/A15stdlife))</f>
        <v>0</v>
      </c>
      <c r="Q254" s="18">
        <f>IF(A15stdlife="n/a","n/a",IF(Q$3&gt;(A15stdlife+$F254),('RFM input'!$N$237*(1+vanilla7)^0.5)-SUM($N254:P254),('RFM input'!$N$237*(1+vanilla7)^0.5)/A15stdlife))</f>
        <v>0</v>
      </c>
      <c r="R254" s="18"/>
      <c r="S254" s="74"/>
      <c r="T254" s="74"/>
      <c r="U254" s="74"/>
      <c r="V254" s="74"/>
      <c r="W254" s="74"/>
      <c r="X254" s="74"/>
      <c r="Y254" s="74"/>
      <c r="Z254" s="74"/>
    </row>
    <row r="255" spans="1:26" ht="12.75" hidden="1" customHeight="1" outlineLevel="2">
      <c r="A255" s="3"/>
      <c r="B255" s="3"/>
      <c r="C255" s="3"/>
      <c r="D255" s="16"/>
      <c r="E255" s="1594"/>
      <c r="F255" s="61">
        <v>8</v>
      </c>
      <c r="G255" s="17"/>
      <c r="H255" s="114"/>
      <c r="I255" s="115"/>
      <c r="J255" s="115"/>
      <c r="K255" s="115"/>
      <c r="L255" s="115"/>
      <c r="M255" s="115"/>
      <c r="N255" s="115"/>
      <c r="O255" s="116"/>
      <c r="P255" s="18">
        <f>IF(A15stdlife="n/a","n/a",IF(P$3&gt;(A15stdlife+$F255),('RFM input'!$O$237*(1+vanilla8)^0.5)-SUM($O255:O255),('RFM input'!$O$237*(1+vanilla8)^0.5)/A15stdlife))</f>
        <v>0</v>
      </c>
      <c r="Q255" s="18">
        <f>IF(A15stdlife="n/a","n/a",IF(Q$3&gt;(A15stdlife+$F255),('RFM input'!$O$237*(1+vanilla8)^0.5)-SUM($O255:P255),('RFM input'!$O$237*(1+vanilla8)^0.5)/A15stdlife))</f>
        <v>0</v>
      </c>
      <c r="R255" s="18"/>
      <c r="S255" s="74"/>
      <c r="T255" s="74"/>
      <c r="U255" s="74"/>
      <c r="V255" s="74"/>
      <c r="W255" s="74"/>
      <c r="X255" s="74"/>
      <c r="Y255" s="74"/>
      <c r="Z255" s="74"/>
    </row>
    <row r="256" spans="1:26" ht="12.75" hidden="1" customHeight="1" outlineLevel="2">
      <c r="A256" s="3"/>
      <c r="B256" s="3"/>
      <c r="C256" s="3"/>
      <c r="D256" s="16"/>
      <c r="E256" s="1594"/>
      <c r="F256" s="61">
        <v>9</v>
      </c>
      <c r="G256" s="17"/>
      <c r="H256" s="114"/>
      <c r="I256" s="115"/>
      <c r="J256" s="115"/>
      <c r="K256" s="115"/>
      <c r="L256" s="115"/>
      <c r="M256" s="115"/>
      <c r="N256" s="115"/>
      <c r="O256" s="115"/>
      <c r="P256" s="116"/>
      <c r="Q256" s="18">
        <f>IF(A15stdlife="n/a","n/a",IF(Q$3&gt;(A15stdlife+$F256),('RFM input'!$P$237*(1+vanilla9)^0.5)-SUM($P256:P256),('RFM input'!$P$237*(1+vanilla9)^0.5)/A15stdlife))</f>
        <v>0</v>
      </c>
      <c r="R256" s="18"/>
      <c r="S256" s="74"/>
      <c r="T256" s="74"/>
      <c r="U256" s="74"/>
      <c r="V256" s="74"/>
      <c r="W256" s="74"/>
      <c r="X256" s="74"/>
      <c r="Y256" s="74"/>
      <c r="Z256" s="74"/>
    </row>
    <row r="257" spans="1:26" ht="12.75" hidden="1" customHeight="1" outlineLevel="2">
      <c r="A257" s="3"/>
      <c r="B257" s="3"/>
      <c r="C257" s="3"/>
      <c r="D257" s="16"/>
      <c r="E257" s="1594"/>
      <c r="F257" s="62">
        <v>10</v>
      </c>
      <c r="G257" s="17"/>
      <c r="H257" s="114"/>
      <c r="I257" s="115"/>
      <c r="J257" s="115"/>
      <c r="K257" s="115"/>
      <c r="L257" s="115"/>
      <c r="M257" s="115"/>
      <c r="N257" s="115"/>
      <c r="O257" s="115"/>
      <c r="P257" s="115"/>
      <c r="Q257" s="116"/>
      <c r="R257" s="18"/>
      <c r="S257" s="74"/>
      <c r="T257" s="74"/>
      <c r="U257" s="74"/>
      <c r="V257" s="74"/>
      <c r="W257" s="74"/>
      <c r="X257" s="74"/>
      <c r="Y257" s="74"/>
      <c r="Z257" s="74"/>
    </row>
    <row r="258" spans="1:26" ht="13.35" hidden="1" customHeight="1" outlineLevel="1">
      <c r="A258" s="3"/>
      <c r="B258" s="3"/>
      <c r="C258" s="3"/>
      <c r="D258" s="134">
        <f>Asset15</f>
        <v>0</v>
      </c>
      <c r="E258" s="3"/>
      <c r="F258" s="3"/>
      <c r="G258" s="1341"/>
      <c r="H258" s="1458">
        <f>IF(OR('RFM input'!$E$293='RFM input'!$G$292,'RFM input'!$E$293='RFM input'!$G$293),-INDEX('RFM input'!H$299:H$348,MATCH($D258,'RFM input'!$E$299:$E$348,0),1),-SUM(H246:H257))</f>
        <v>0</v>
      </c>
      <c r="I258" s="1458">
        <f>IF(OR('RFM input'!$E$293='RFM input'!$G$292,'RFM input'!$E$293='RFM input'!$G$293),-INDEX('RFM input'!I$299:I$348,MATCH($D258,'RFM input'!$E$299:$E$348,0),1),-SUM(I246:I257))</f>
        <v>0</v>
      </c>
      <c r="J258" s="1386">
        <f>IF(COUNT($H258:I258)&gt;='RFM input'!$V$7,
   0,
   IF(OR('RFM input'!$E$293='RFM input'!$G$292,'RFM input'!$E$293='RFM input'!$G$293),
      -INDEX('RFM input'!J$299:J$348,MATCH($D258,'RFM input'!$E$299:$E$348,0),1),
      -SUM(J246:J257)))</f>
        <v>0</v>
      </c>
      <c r="K258" s="1386">
        <f>IF(COUNT($H258:J258)&gt;='RFM input'!$V$7,
   0,
   IF(OR('RFM input'!$E$293='RFM input'!$G$292,'RFM input'!$E$293='RFM input'!$G$293),
      -INDEX('RFM input'!K$299:K$348,MATCH($D258,'RFM input'!$E$299:$E$348,0),1),
      -SUM(K246:K257)))</f>
        <v>0</v>
      </c>
      <c r="L258" s="1386">
        <f>IF(COUNT($H258:K258)&gt;='RFM input'!$V$7,
   0,
   IF(OR('RFM input'!$E$293='RFM input'!$G$292,'RFM input'!$E$293='RFM input'!$G$293),
      -INDEX('RFM input'!L$299:L$348,MATCH($D258,'RFM input'!$E$299:$E$348,0),1),
      -SUM(L246:L257)))</f>
        <v>0</v>
      </c>
      <c r="M258" s="1386">
        <f>IF(COUNT($H258:L258)&gt;='RFM input'!$V$7,
   0,
   IF(OR('RFM input'!$E$293='RFM input'!$G$292,'RFM input'!$E$293='RFM input'!$G$293),
      -INDEX('RFM input'!M$299:M$348,MATCH($D258,'RFM input'!$E$299:$E$348,0),1),
      -SUM(M246:M257)))</f>
        <v>0</v>
      </c>
      <c r="N258" s="1386">
        <f>IF(COUNT($H258:M258)&gt;='RFM input'!$V$7,
   0,
   IF(OR('RFM input'!$E$293='RFM input'!$G$292,'RFM input'!$E$293='RFM input'!$G$293),
      -INDEX('RFM input'!N$299:N$348,MATCH($D258,'RFM input'!$E$299:$E$348,0),1),
      -SUM(N246:N257)))</f>
        <v>0</v>
      </c>
      <c r="O258" s="1386">
        <f>IF(COUNT($H258:N258)&gt;='RFM input'!$V$7,
   0,
   IF(OR('RFM input'!$E$293='RFM input'!$G$292,'RFM input'!$E$293='RFM input'!$G$293),
      -INDEX('RFM input'!O$299:O$348,MATCH($D258,'RFM input'!$E$299:$E$348,0),1),
      -SUM(O246:O257)))</f>
        <v>0</v>
      </c>
      <c r="P258" s="1386">
        <f>IF(COUNT($H258:O258)&gt;='RFM input'!$V$7,
   0,
   IF(OR('RFM input'!$E$293='RFM input'!$G$292,'RFM input'!$E$293='RFM input'!$G$293),
      -INDEX('RFM input'!P$299:P$348,MATCH($D258,'RFM input'!$E$299:$E$348,0),1),
      -SUM(P246:P257)))</f>
        <v>0</v>
      </c>
      <c r="Q258" s="1386">
        <f>IF(COUNT($H258:P258)&gt;='RFM input'!$V$7,
   0,
   IF(OR('RFM input'!$E$293='RFM input'!$G$292,'RFM input'!$E$293='RFM input'!$G$293),
      -INDEX('RFM input'!Q$299:Q$348,MATCH($D258,'RFM input'!$E$299:$E$348,0),1),
      -SUM(Q246:Q257)))</f>
        <v>0</v>
      </c>
      <c r="R258" s="1382"/>
      <c r="S258" s="76"/>
      <c r="T258" s="76"/>
      <c r="U258" s="76"/>
      <c r="V258" s="76"/>
      <c r="W258" s="76"/>
      <c r="X258" s="76"/>
      <c r="Y258" s="76"/>
      <c r="Z258" s="76"/>
    </row>
    <row r="259" spans="1:26" ht="12.75" hidden="1" customHeight="1" outlineLevel="2">
      <c r="A259" s="3"/>
      <c r="B259" s="3"/>
      <c r="C259" s="135">
        <f>Asset16</f>
        <v>0</v>
      </c>
      <c r="D259" s="100"/>
      <c r="E259" s="20" t="s">
        <v>23</v>
      </c>
      <c r="F259" s="19"/>
      <c r="G259" s="1383"/>
      <c r="H259" s="1380">
        <f>IF(H$3&gt;A16remlife,A16value-SUM($G259:G259),IF(A16remlife="N/A","n/a",A16value/A16remlife))</f>
        <v>0</v>
      </c>
      <c r="I259" s="1380">
        <f>IF(I$3&gt;A16remlife,A16value-SUM($G259:H259),IF(A16remlife="N/A","n/a",A16value/A16remlife))</f>
        <v>0</v>
      </c>
      <c r="J259" s="1380">
        <f>IF(J$3&gt;A16remlife,A16value-SUM($G259:I259),IF(A16remlife="N/A","n/a",A16value/A16remlife))</f>
        <v>0</v>
      </c>
      <c r="K259" s="1380">
        <f>IF(K$3&gt;A16remlife,A16value-SUM($G259:J259),IF(A16remlife="N/A","n/a",A16value/A16remlife))</f>
        <v>0</v>
      </c>
      <c r="L259" s="1380">
        <f>IF(L$3&gt;A16remlife,A16value-SUM($G259:K259),IF(A16remlife="N/A","n/a",A16value/A16remlife))</f>
        <v>0</v>
      </c>
      <c r="M259" s="1380">
        <f>IF(M$3&gt;A16remlife,A16value-SUM($G259:L259),IF(A16remlife="N/A","n/a",A16value/A16remlife))</f>
        <v>0</v>
      </c>
      <c r="N259" s="1380">
        <f>IF(N$3&gt;A16remlife,A16value-SUM($G259:M259),IF(A16remlife="N/A","n/a",A16value/A16remlife))</f>
        <v>0</v>
      </c>
      <c r="O259" s="1380">
        <f>IF(O$3&gt;A16remlife,A16value-SUM($G259:N259),IF(A16remlife="N/A","n/a",A16value/A16remlife))</f>
        <v>0</v>
      </c>
      <c r="P259" s="1380">
        <f>IF(P$3&gt;A16remlife,A16value-SUM($G259:O259),IF(A16remlife="N/A","n/a",A16value/A16remlife))</f>
        <v>0</v>
      </c>
      <c r="Q259" s="1380">
        <f>IF(Q$3&gt;A16remlife,A16value-SUM($G259:P259),IF(A16remlife="N/A","n/a",A16value/A16remlife))</f>
        <v>0</v>
      </c>
      <c r="R259" s="21"/>
      <c r="S259" s="74"/>
      <c r="T259" s="74"/>
      <c r="U259" s="74"/>
      <c r="V259" s="74"/>
      <c r="W259" s="74"/>
      <c r="X259" s="74"/>
      <c r="Y259" s="74"/>
      <c r="Z259" s="74"/>
    </row>
    <row r="260" spans="1:26" ht="12.75" hidden="1" customHeight="1" outlineLevel="2">
      <c r="A260" s="3"/>
      <c r="B260" s="3"/>
      <c r="C260" s="3"/>
      <c r="D260" s="16"/>
      <c r="E260" s="1593" t="s">
        <v>43</v>
      </c>
      <c r="F260" s="61"/>
      <c r="G260" s="1341"/>
      <c r="H260" s="18"/>
      <c r="I260" s="18"/>
      <c r="J260" s="18"/>
      <c r="K260" s="18"/>
      <c r="L260" s="18"/>
      <c r="M260" s="1384"/>
      <c r="N260" s="1385"/>
      <c r="O260" s="18"/>
      <c r="P260" s="18"/>
      <c r="Q260" s="18"/>
      <c r="R260" s="18"/>
      <c r="S260" s="74"/>
      <c r="T260" s="74"/>
      <c r="U260" s="74"/>
      <c r="V260" s="74"/>
      <c r="W260" s="74"/>
      <c r="X260" s="74"/>
      <c r="Y260" s="74"/>
      <c r="Z260" s="74"/>
    </row>
    <row r="261" spans="1:26" ht="12.75" hidden="1" customHeight="1" outlineLevel="2">
      <c r="A261" s="3"/>
      <c r="B261" s="3"/>
      <c r="C261" s="3"/>
      <c r="D261" s="16"/>
      <c r="E261" s="1594"/>
      <c r="F261" s="61">
        <v>1</v>
      </c>
      <c r="G261" s="1341"/>
      <c r="H261" s="1381"/>
      <c r="I261" s="18">
        <f>IF(A16stdlife="n/a","n/a",IF(I$3&gt;(A16stdlife+$F261),('RFM input'!$H$238*(1+vanilla1)^0.5)-SUM($H261:H261),('RFM input'!$H$238*(1+vanilla1)^0.5)/A16stdlife))</f>
        <v>0</v>
      </c>
      <c r="J261" s="18">
        <f>IF(A16stdlife="n/a","n/a",IF(J$3&gt;(A16stdlife+$F261),('RFM input'!$H$238*(1+vanilla1)^0.5)-SUM($H261:I261),('RFM input'!$H$238*(1+vanilla1)^0.5)/A16stdlife))</f>
        <v>0</v>
      </c>
      <c r="K261" s="18">
        <f>IF(A16stdlife="n/a","n/a",IF(K$3&gt;(A16stdlife+$F261),('RFM input'!$H$238*(1+vanilla1)^0.5)-SUM($H261:J261),('RFM input'!$H$238*(1+vanilla1)^0.5)/A16stdlife))</f>
        <v>0</v>
      </c>
      <c r="L261" s="18">
        <f>IF(A16stdlife="n/a","n/a",IF(L$3&gt;(A16stdlife+$F261),('RFM input'!$H$238*(1+vanilla1)^0.5)-SUM($H261:K261),('RFM input'!$H$238*(1+vanilla1)^0.5)/A16stdlife))</f>
        <v>0</v>
      </c>
      <c r="M261" s="18">
        <f>IF(A16stdlife="n/a","n/a",IF(M$3&gt;(A16stdlife+$F261),('RFM input'!$H$238*(1+vanilla1)^0.5)-SUM($H261:L261),('RFM input'!$H$238*(1+vanilla1)^0.5)/A16stdlife))</f>
        <v>0</v>
      </c>
      <c r="N261" s="18">
        <f>IF(A16stdlife="n/a","n/a",IF(N$3&gt;(A16stdlife+$F261),('RFM input'!$H$238*(1+vanilla1)^0.5)-SUM($H261:M261),('RFM input'!$H$238*(1+vanilla1)^0.5)/A16stdlife))</f>
        <v>0</v>
      </c>
      <c r="O261" s="18">
        <f>IF(A16stdlife="n/a","n/a",IF(O$3&gt;(A16stdlife+$F261),('RFM input'!$H$238*(1+vanilla1)^0.5)-SUM($H261:N261),('RFM input'!$H$238*(1+vanilla1)^0.5)/A16stdlife))</f>
        <v>0</v>
      </c>
      <c r="P261" s="18">
        <f>IF(A16stdlife="n/a","n/a",IF(P$3&gt;(A16stdlife+$F261),('RFM input'!$H$238*(1+vanilla1)^0.5)-SUM($H261:O261),('RFM input'!$H$238*(1+vanilla1)^0.5)/A16stdlife))</f>
        <v>0</v>
      </c>
      <c r="Q261" s="18">
        <f>IF(A16stdlife="n/a","n/a",IF(Q$3&gt;(A16stdlife+$F261),('RFM input'!$H$238*(1+vanilla1)^0.5)-SUM($H261:P261),('RFM input'!$H$238*(1+vanilla1)^0.5)/A16stdlife))</f>
        <v>0</v>
      </c>
      <c r="R261" s="18"/>
      <c r="S261" s="74"/>
      <c r="T261" s="74"/>
      <c r="U261" s="74"/>
      <c r="V261" s="74"/>
      <c r="W261" s="74"/>
      <c r="X261" s="74"/>
      <c r="Y261" s="74"/>
      <c r="Z261" s="74"/>
    </row>
    <row r="262" spans="1:26" ht="12.75" hidden="1" customHeight="1" outlineLevel="2">
      <c r="A262" s="3"/>
      <c r="B262" s="3"/>
      <c r="C262" s="3"/>
      <c r="D262" s="16"/>
      <c r="E262" s="1594"/>
      <c r="F262" s="61">
        <v>2</v>
      </c>
      <c r="G262" s="1341"/>
      <c r="H262" s="114"/>
      <c r="I262" s="116"/>
      <c r="J262" s="18">
        <f>IF(A16stdlife="n/a","n/a",IF(J$3&gt;(A16stdlife+$F262),('RFM input'!$I$238*(1+vanilla2)^0.5)-SUM($I262:I262),('RFM input'!$I$238*(1+vanilla2)^0.5)/A16stdlife))</f>
        <v>0</v>
      </c>
      <c r="K262" s="18">
        <f>IF(A16stdlife="n/a","n/a",IF(K$3&gt;(A16stdlife+$F262),('RFM input'!$I$238*(1+vanilla2)^0.5)-SUM($I262:J262),('RFM input'!$I$238*(1+vanilla2)^0.5)/A16stdlife))</f>
        <v>0</v>
      </c>
      <c r="L262" s="18">
        <f>IF(A16stdlife="n/a","n/a",IF(L$3&gt;(A16stdlife+$F262),('RFM input'!$I$238*(1+vanilla2)^0.5)-SUM($I262:K262),('RFM input'!$I$238*(1+vanilla2)^0.5)/A16stdlife))</f>
        <v>0</v>
      </c>
      <c r="M262" s="18">
        <f>IF(A16stdlife="n/a","n/a",IF(M$3&gt;(A16stdlife+$F262),('RFM input'!$I$238*(1+vanilla2)^0.5)-SUM($I262:L262),('RFM input'!$I$238*(1+vanilla2)^0.5)/A16stdlife))</f>
        <v>0</v>
      </c>
      <c r="N262" s="18">
        <f>IF(A16stdlife="n/a","n/a",IF(N$3&gt;(A16stdlife+$F262),('RFM input'!$I$238*(1+vanilla2)^0.5)-SUM($I262:M262),('RFM input'!$I$238*(1+vanilla2)^0.5)/A16stdlife))</f>
        <v>0</v>
      </c>
      <c r="O262" s="18">
        <f>IF(A16stdlife="n/a","n/a",IF(O$3&gt;(A16stdlife+$F262),('RFM input'!$I$238*(1+vanilla2)^0.5)-SUM($I262:N262),('RFM input'!$I$238*(1+vanilla2)^0.5)/A16stdlife))</f>
        <v>0</v>
      </c>
      <c r="P262" s="18">
        <f>IF(A16stdlife="n/a","n/a",IF(P$3&gt;(A16stdlife+$F262),('RFM input'!$I$238*(1+vanilla2)^0.5)-SUM($I262:O262),('RFM input'!$I$238*(1+vanilla2)^0.5)/A16stdlife))</f>
        <v>0</v>
      </c>
      <c r="Q262" s="18">
        <f>IF(A16stdlife="n/a","n/a",IF(Q$3&gt;(A16stdlife+$F262),('RFM input'!$I$238*(1+vanilla2)^0.5)-SUM($I262:P262),('RFM input'!$I$238*(1+vanilla2)^0.5)/A16stdlife))</f>
        <v>0</v>
      </c>
      <c r="R262" s="18"/>
      <c r="S262" s="74"/>
      <c r="T262" s="74"/>
      <c r="U262" s="74"/>
      <c r="V262" s="74"/>
      <c r="W262" s="74"/>
      <c r="X262" s="74"/>
      <c r="Y262" s="74"/>
      <c r="Z262" s="74"/>
    </row>
    <row r="263" spans="1:26" ht="12.75" hidden="1" customHeight="1" outlineLevel="2">
      <c r="A263" s="3"/>
      <c r="B263" s="3"/>
      <c r="C263" s="3"/>
      <c r="D263" s="16"/>
      <c r="E263" s="1594"/>
      <c r="F263" s="61">
        <v>3</v>
      </c>
      <c r="G263" s="1341"/>
      <c r="H263" s="114"/>
      <c r="I263" s="115"/>
      <c r="J263" s="116"/>
      <c r="K263" s="18">
        <f>IF(A16stdlife="n/a","n/a",IF(K$3&gt;(A16stdlife+$F263),('RFM input'!$J$238*(1+vanilla3)^0.5)-SUM($J263:J263),('RFM input'!$J$238*(1+vanilla3)^0.5)/A16stdlife))</f>
        <v>0</v>
      </c>
      <c r="L263" s="18">
        <f>IF(A16stdlife="n/a","n/a",IF(L$3&gt;(A16stdlife+$F263),('RFM input'!$J$238*(1+vanilla3)^0.5)-SUM($J263:K263),('RFM input'!$J$238*(1+vanilla3)^0.5)/A16stdlife))</f>
        <v>0</v>
      </c>
      <c r="M263" s="18">
        <f>IF(A16stdlife="n/a","n/a",IF(M$3&gt;(A16stdlife+$F263),('RFM input'!$J$238*(1+vanilla3)^0.5)-SUM($J263:L263),('RFM input'!$J$238*(1+vanilla3)^0.5)/A16stdlife))</f>
        <v>0</v>
      </c>
      <c r="N263" s="18">
        <f>IF(A16stdlife="n/a","n/a",IF(N$3&gt;(A16stdlife+$F263),('RFM input'!$J$238*(1+vanilla3)^0.5)-SUM($J263:M263),('RFM input'!$J$238*(1+vanilla3)^0.5)/A16stdlife))</f>
        <v>0</v>
      </c>
      <c r="O263" s="18">
        <f>IF(A16stdlife="n/a","n/a",IF(O$3&gt;(A16stdlife+$F263),('RFM input'!$J$238*(1+vanilla3)^0.5)-SUM($J263:N263),('RFM input'!$J$238*(1+vanilla3)^0.5)/A16stdlife))</f>
        <v>0</v>
      </c>
      <c r="P263" s="18">
        <f>IF(A16stdlife="n/a","n/a",IF(P$3&gt;(A16stdlife+$F263),('RFM input'!$J$238*(1+vanilla3)^0.5)-SUM($J263:O263),('RFM input'!$J$238*(1+vanilla3)^0.5)/A16stdlife))</f>
        <v>0</v>
      </c>
      <c r="Q263" s="18">
        <f>IF(A16stdlife="n/a","n/a",IF(Q$3&gt;(A16stdlife+$F263),('RFM input'!$J$238*(1+vanilla3)^0.5)-SUM($J263:P263),('RFM input'!$J$238*(1+vanilla3)^0.5)/A16stdlife))</f>
        <v>0</v>
      </c>
      <c r="R263" s="18"/>
      <c r="S263" s="74"/>
      <c r="T263" s="74"/>
      <c r="U263" s="74"/>
      <c r="V263" s="74"/>
      <c r="W263" s="74"/>
      <c r="X263" s="74"/>
      <c r="Y263" s="74"/>
      <c r="Z263" s="74"/>
    </row>
    <row r="264" spans="1:26" ht="12.75" hidden="1" customHeight="1" outlineLevel="2">
      <c r="A264" s="3"/>
      <c r="B264" s="3"/>
      <c r="C264" s="3"/>
      <c r="D264" s="16"/>
      <c r="E264" s="1594"/>
      <c r="F264" s="61">
        <v>4</v>
      </c>
      <c r="G264" s="1341"/>
      <c r="H264" s="114"/>
      <c r="I264" s="115"/>
      <c r="J264" s="115"/>
      <c r="K264" s="116"/>
      <c r="L264" s="18">
        <f>IF(A16stdlife="n/a","n/a",IF(L$3&gt;(A16stdlife+$F264),('RFM input'!$K$238*(1+vanilla4)^0.5)-SUM($K264:K264),('RFM input'!$K$238*(1+vanilla4)^0.5)/A16stdlife))</f>
        <v>0</v>
      </c>
      <c r="M264" s="18">
        <f>IF(A16stdlife="n/a","n/a",IF(M$3&gt;(A16stdlife+$F264),('RFM input'!$K$238*(1+vanilla4)^0.5)-SUM($K264:L264),('RFM input'!$K$238*(1+vanilla4)^0.5)/A16stdlife))</f>
        <v>0</v>
      </c>
      <c r="N264" s="18">
        <f>IF(A16stdlife="n/a","n/a",IF(N$3&gt;(A16stdlife+$F264),('RFM input'!$K$238*(1+vanilla4)^0.5)-SUM($K264:M264),('RFM input'!$K$238*(1+vanilla4)^0.5)/A16stdlife))</f>
        <v>0</v>
      </c>
      <c r="O264" s="18">
        <f>IF(A16stdlife="n/a","n/a",IF(O$3&gt;(A16stdlife+$F264),('RFM input'!$K$238*(1+vanilla4)^0.5)-SUM($K264:N264),('RFM input'!$K$238*(1+vanilla4)^0.5)/A16stdlife))</f>
        <v>0</v>
      </c>
      <c r="P264" s="18">
        <f>IF(A16stdlife="n/a","n/a",IF(P$3&gt;(A16stdlife+$F264),('RFM input'!$K$238*(1+vanilla4)^0.5)-SUM($K264:O264),('RFM input'!$K$238*(1+vanilla4)^0.5)/A16stdlife))</f>
        <v>0</v>
      </c>
      <c r="Q264" s="18">
        <f>IF(A16stdlife="n/a","n/a",IF(Q$3&gt;(A16stdlife+$F264),('RFM input'!$K$238*(1+vanilla4)^0.5)-SUM($K264:P264),('RFM input'!$K$238*(1+vanilla4)^0.5)/A16stdlife))</f>
        <v>0</v>
      </c>
      <c r="R264" s="18"/>
      <c r="S264" s="74"/>
      <c r="T264" s="74"/>
      <c r="U264" s="74"/>
      <c r="V264" s="74"/>
      <c r="W264" s="74"/>
      <c r="X264" s="74"/>
      <c r="Y264" s="74"/>
      <c r="Z264" s="74"/>
    </row>
    <row r="265" spans="1:26" ht="12.75" hidden="1" customHeight="1" outlineLevel="2">
      <c r="A265" s="3"/>
      <c r="B265" s="3"/>
      <c r="C265" s="3"/>
      <c r="D265" s="16"/>
      <c r="E265" s="1594"/>
      <c r="F265" s="61">
        <v>5</v>
      </c>
      <c r="G265" s="17"/>
      <c r="H265" s="114"/>
      <c r="I265" s="115"/>
      <c r="J265" s="115"/>
      <c r="K265" s="115"/>
      <c r="L265" s="116"/>
      <c r="M265" s="18">
        <f>IF(A16stdlife="n/a","n/a",IF(M$3&gt;(A16stdlife+$F265),('RFM input'!$L$238*(1+vanilla5)^0.5)-SUM($L265:L265),('RFM input'!$L$238*(1+vanilla5)^0.5)/A16stdlife))</f>
        <v>0</v>
      </c>
      <c r="N265" s="18">
        <f>IF(A16stdlife="n/a","n/a",IF(N$3&gt;(A16stdlife+$F265),('RFM input'!$L$238*(1+vanilla5)^0.5)-SUM($L265:M265),('RFM input'!$L$238*(1+vanilla5)^0.5)/A16stdlife))</f>
        <v>0</v>
      </c>
      <c r="O265" s="18">
        <f>IF(A16stdlife="n/a","n/a",IF(O$3&gt;(A16stdlife+$F265),('RFM input'!$L$238*(1+vanilla5)^0.5)-SUM($L265:N265),('RFM input'!$L$238*(1+vanilla5)^0.5)/A16stdlife))</f>
        <v>0</v>
      </c>
      <c r="P265" s="18">
        <f>IF(A16stdlife="n/a","n/a",IF(P$3&gt;(A16stdlife+$F265),('RFM input'!$L$238*(1+vanilla5)^0.5)-SUM($L265:O265),('RFM input'!$L$238*(1+vanilla5)^0.5)/A16stdlife))</f>
        <v>0</v>
      </c>
      <c r="Q265" s="18">
        <f>IF(A16stdlife="n/a","n/a",IF(Q$3&gt;(A16stdlife+$F265),('RFM input'!$L$238*(1+vanilla5)^0.5)-SUM($L265:P265),('RFM input'!$L$238*(1+vanilla5)^0.5)/A16stdlife))</f>
        <v>0</v>
      </c>
      <c r="R265" s="18"/>
      <c r="S265" s="74"/>
      <c r="T265" s="74"/>
      <c r="U265" s="74"/>
      <c r="V265" s="74"/>
      <c r="W265" s="74"/>
      <c r="X265" s="74"/>
      <c r="Y265" s="74"/>
      <c r="Z265" s="74"/>
    </row>
    <row r="266" spans="1:26" ht="12.75" hidden="1" customHeight="1" outlineLevel="2">
      <c r="A266" s="3"/>
      <c r="B266" s="3"/>
      <c r="C266" s="3"/>
      <c r="D266" s="16"/>
      <c r="E266" s="1594"/>
      <c r="F266" s="61">
        <v>6</v>
      </c>
      <c r="G266" s="17"/>
      <c r="H266" s="114"/>
      <c r="I266" s="115"/>
      <c r="J266" s="115"/>
      <c r="K266" s="115"/>
      <c r="L266" s="115"/>
      <c r="M266" s="116"/>
      <c r="N266" s="18">
        <f>IF(A16stdlife="n/a","n/a",IF(N$3&gt;(A16stdlife+$F266),('RFM input'!$M$238*(1+vanilla6)^0.5)-SUM($M266:M266),('RFM input'!$M$238*(1+vanilla6)^0.5)/A16stdlife))</f>
        <v>0</v>
      </c>
      <c r="O266" s="18">
        <f>IF(A16stdlife="n/a","n/a",IF(O$3&gt;(A16stdlife+$F266),('RFM input'!$M$238*(1+vanilla6)^0.5)-SUM($M266:N266),('RFM input'!$M$238*(1+vanilla6)^0.5)/A16stdlife))</f>
        <v>0</v>
      </c>
      <c r="P266" s="18">
        <f>IF(A16stdlife="n/a","n/a",IF(P$3&gt;(A16stdlife+$F266),('RFM input'!$M$238*(1+vanilla6)^0.5)-SUM($M266:O266),('RFM input'!$M$238*(1+vanilla6)^0.5)/A16stdlife))</f>
        <v>0</v>
      </c>
      <c r="Q266" s="18">
        <f>IF(A16stdlife="n/a","n/a",IF(Q$3&gt;(A16stdlife+$F266),('RFM input'!$M$238*(1+vanilla6)^0.5)-SUM($M266:P266),('RFM input'!$M$238*(1+vanilla6)^0.5)/A16stdlife))</f>
        <v>0</v>
      </c>
      <c r="R266" s="18"/>
      <c r="S266" s="74"/>
      <c r="T266" s="74"/>
      <c r="U266" s="74"/>
      <c r="V266" s="74"/>
      <c r="W266" s="74"/>
      <c r="X266" s="74"/>
      <c r="Y266" s="74"/>
      <c r="Z266" s="74"/>
    </row>
    <row r="267" spans="1:26" ht="12.75" hidden="1" customHeight="1" outlineLevel="2">
      <c r="A267" s="3"/>
      <c r="B267" s="3"/>
      <c r="C267" s="3"/>
      <c r="D267" s="16"/>
      <c r="E267" s="1594"/>
      <c r="F267" s="61">
        <v>7</v>
      </c>
      <c r="G267" s="17"/>
      <c r="H267" s="114"/>
      <c r="I267" s="115"/>
      <c r="J267" s="115"/>
      <c r="K267" s="115"/>
      <c r="L267" s="115"/>
      <c r="M267" s="115"/>
      <c r="N267" s="116"/>
      <c r="O267" s="18">
        <f>IF(A16stdlife="n/a","n/a",IF(O$3&gt;(A16stdlife+$F267),('RFM input'!$N$238*(1+vanilla7)^0.5)-SUM($N267:N267),('RFM input'!$N$238*(1+vanilla7)^0.5)/A16stdlife))</f>
        <v>0</v>
      </c>
      <c r="P267" s="18">
        <f>IF(A16stdlife="n/a","n/a",IF(P$3&gt;(A16stdlife+$F267),('RFM input'!$N$238*(1+vanilla7)^0.5)-SUM($N267:O267),('RFM input'!$N$238*(1+vanilla7)^0.5)/A16stdlife))</f>
        <v>0</v>
      </c>
      <c r="Q267" s="18">
        <f>IF(A16stdlife="n/a","n/a",IF(Q$3&gt;(A16stdlife+$F267),('RFM input'!$N$238*(1+vanilla7)^0.5)-SUM($N267:P267),('RFM input'!$N$238*(1+vanilla7)^0.5)/A16stdlife))</f>
        <v>0</v>
      </c>
      <c r="R267" s="18"/>
      <c r="S267" s="74"/>
      <c r="T267" s="74"/>
      <c r="U267" s="74"/>
      <c r="V267" s="74"/>
      <c r="W267" s="74"/>
      <c r="X267" s="74"/>
      <c r="Y267" s="74"/>
      <c r="Z267" s="74"/>
    </row>
    <row r="268" spans="1:26" ht="12.75" hidden="1" customHeight="1" outlineLevel="2">
      <c r="A268" s="3"/>
      <c r="B268" s="3"/>
      <c r="C268" s="3"/>
      <c r="D268" s="16"/>
      <c r="E268" s="1594"/>
      <c r="F268" s="61">
        <v>8</v>
      </c>
      <c r="G268" s="17"/>
      <c r="H268" s="114"/>
      <c r="I268" s="115"/>
      <c r="J268" s="115"/>
      <c r="K268" s="115"/>
      <c r="L268" s="115"/>
      <c r="M268" s="115"/>
      <c r="N268" s="115"/>
      <c r="O268" s="116"/>
      <c r="P268" s="18">
        <f>IF(A16stdlife="n/a","n/a",IF(P$3&gt;(A16stdlife+$F268),('RFM input'!$O$238*(1+vanilla8)^0.5)-SUM($O268:O268),('RFM input'!$O$238*(1+vanilla8)^0.5)/A16stdlife))</f>
        <v>0</v>
      </c>
      <c r="Q268" s="18">
        <f>IF(A16stdlife="n/a","n/a",IF(Q$3&gt;(A16stdlife+$F268),('RFM input'!$O$238*(1+vanilla8)^0.5)-SUM($O268:P268),('RFM input'!$O$238*(1+vanilla8)^0.5)/A16stdlife))</f>
        <v>0</v>
      </c>
      <c r="R268" s="18"/>
      <c r="S268" s="74"/>
      <c r="T268" s="74"/>
      <c r="U268" s="74"/>
      <c r="V268" s="74"/>
      <c r="W268" s="74"/>
      <c r="X268" s="74"/>
      <c r="Y268" s="74"/>
      <c r="Z268" s="74"/>
    </row>
    <row r="269" spans="1:26" ht="12.75" hidden="1" customHeight="1" outlineLevel="2">
      <c r="A269" s="3"/>
      <c r="B269" s="3"/>
      <c r="C269" s="3"/>
      <c r="D269" s="16"/>
      <c r="E269" s="1594"/>
      <c r="F269" s="61">
        <v>9</v>
      </c>
      <c r="G269" s="17"/>
      <c r="H269" s="114"/>
      <c r="I269" s="115"/>
      <c r="J269" s="115"/>
      <c r="K269" s="115"/>
      <c r="L269" s="115"/>
      <c r="M269" s="115"/>
      <c r="N269" s="115"/>
      <c r="O269" s="115"/>
      <c r="P269" s="116"/>
      <c r="Q269" s="18">
        <f>IF(A16stdlife="n/a","n/a",IF(Q$3&gt;(A16stdlife+$F269),('RFM input'!$P$238*(1+vanilla9)^0.5)-SUM($P269:P269),('RFM input'!$P$238*(1+vanilla9)^0.5)/A16stdlife))</f>
        <v>0</v>
      </c>
      <c r="R269" s="18"/>
      <c r="S269" s="74"/>
      <c r="T269" s="74"/>
      <c r="U269" s="74"/>
      <c r="V269" s="74"/>
      <c r="W269" s="74"/>
      <c r="X269" s="74"/>
      <c r="Y269" s="74"/>
      <c r="Z269" s="74"/>
    </row>
    <row r="270" spans="1:26" ht="12.75" hidden="1" customHeight="1" outlineLevel="2">
      <c r="A270" s="3"/>
      <c r="B270" s="3"/>
      <c r="C270" s="3"/>
      <c r="D270" s="16"/>
      <c r="E270" s="1594"/>
      <c r="F270" s="62">
        <v>10</v>
      </c>
      <c r="G270" s="17"/>
      <c r="H270" s="114"/>
      <c r="I270" s="115"/>
      <c r="J270" s="115"/>
      <c r="K270" s="115"/>
      <c r="L270" s="115"/>
      <c r="M270" s="115"/>
      <c r="N270" s="115"/>
      <c r="O270" s="115"/>
      <c r="P270" s="115"/>
      <c r="Q270" s="116"/>
      <c r="R270" s="18"/>
      <c r="S270" s="74"/>
      <c r="T270" s="74"/>
      <c r="U270" s="74"/>
      <c r="V270" s="74"/>
      <c r="W270" s="74"/>
      <c r="X270" s="74"/>
      <c r="Y270" s="74"/>
      <c r="Z270" s="74"/>
    </row>
    <row r="271" spans="1:26" ht="13.35" hidden="1" customHeight="1" outlineLevel="1">
      <c r="A271" s="3"/>
      <c r="B271" s="3"/>
      <c r="C271" s="3"/>
      <c r="D271" s="134">
        <f>Asset16</f>
        <v>0</v>
      </c>
      <c r="E271" s="3"/>
      <c r="F271" s="3"/>
      <c r="G271" s="1341"/>
      <c r="H271" s="1458">
        <f>IF(OR('RFM input'!$E$293='RFM input'!$G$292,'RFM input'!$E$293='RFM input'!$G$293),-INDEX('RFM input'!H$299:H$348,MATCH($D271,'RFM input'!$E$299:$E$348,0),1),-SUM(H259:H270))</f>
        <v>0</v>
      </c>
      <c r="I271" s="1458">
        <f>IF(OR('RFM input'!$E$293='RFM input'!$G$292,'RFM input'!$E$293='RFM input'!$G$293),-INDEX('RFM input'!I$299:I$348,MATCH($D271,'RFM input'!$E$299:$E$348,0),1),-SUM(I259:I270))</f>
        <v>0</v>
      </c>
      <c r="J271" s="1386">
        <f>IF(COUNT($H271:I271)&gt;='RFM input'!$V$7,
   0,
   IF(OR('RFM input'!$E$293='RFM input'!$G$292,'RFM input'!$E$293='RFM input'!$G$293),
      -INDEX('RFM input'!J$299:J$348,MATCH($D271,'RFM input'!$E$299:$E$348,0),1),
      -SUM(J259:J270)))</f>
        <v>0</v>
      </c>
      <c r="K271" s="1386">
        <f>IF(COUNT($H271:J271)&gt;='RFM input'!$V$7,
   0,
   IF(OR('RFM input'!$E$293='RFM input'!$G$292,'RFM input'!$E$293='RFM input'!$G$293),
      -INDEX('RFM input'!K$299:K$348,MATCH($D271,'RFM input'!$E$299:$E$348,0),1),
      -SUM(K259:K270)))</f>
        <v>0</v>
      </c>
      <c r="L271" s="1386">
        <f>IF(COUNT($H271:K271)&gt;='RFM input'!$V$7,
   0,
   IF(OR('RFM input'!$E$293='RFM input'!$G$292,'RFM input'!$E$293='RFM input'!$G$293),
      -INDEX('RFM input'!L$299:L$348,MATCH($D271,'RFM input'!$E$299:$E$348,0),1),
      -SUM(L259:L270)))</f>
        <v>0</v>
      </c>
      <c r="M271" s="1386">
        <f>IF(COUNT($H271:L271)&gt;='RFM input'!$V$7,
   0,
   IF(OR('RFM input'!$E$293='RFM input'!$G$292,'RFM input'!$E$293='RFM input'!$G$293),
      -INDEX('RFM input'!M$299:M$348,MATCH($D271,'RFM input'!$E$299:$E$348,0),1),
      -SUM(M259:M270)))</f>
        <v>0</v>
      </c>
      <c r="N271" s="1386">
        <f>IF(COUNT($H271:M271)&gt;='RFM input'!$V$7,
   0,
   IF(OR('RFM input'!$E$293='RFM input'!$G$292,'RFM input'!$E$293='RFM input'!$G$293),
      -INDEX('RFM input'!N$299:N$348,MATCH($D271,'RFM input'!$E$299:$E$348,0),1),
      -SUM(N259:N270)))</f>
        <v>0</v>
      </c>
      <c r="O271" s="1386">
        <f>IF(COUNT($H271:N271)&gt;='RFM input'!$V$7,
   0,
   IF(OR('RFM input'!$E$293='RFM input'!$G$292,'RFM input'!$E$293='RFM input'!$G$293),
      -INDEX('RFM input'!O$299:O$348,MATCH($D271,'RFM input'!$E$299:$E$348,0),1),
      -SUM(O259:O270)))</f>
        <v>0</v>
      </c>
      <c r="P271" s="1386">
        <f>IF(COUNT($H271:O271)&gt;='RFM input'!$V$7,
   0,
   IF(OR('RFM input'!$E$293='RFM input'!$G$292,'RFM input'!$E$293='RFM input'!$G$293),
      -INDEX('RFM input'!P$299:P$348,MATCH($D271,'RFM input'!$E$299:$E$348,0),1),
      -SUM(P259:P270)))</f>
        <v>0</v>
      </c>
      <c r="Q271" s="1386">
        <f>IF(COUNT($H271:P271)&gt;='RFM input'!$V$7,
   0,
   IF(OR('RFM input'!$E$293='RFM input'!$G$292,'RFM input'!$E$293='RFM input'!$G$293),
      -INDEX('RFM input'!Q$299:Q$348,MATCH($D271,'RFM input'!$E$299:$E$348,0),1),
      -SUM(Q259:Q270)))</f>
        <v>0</v>
      </c>
      <c r="R271" s="1382"/>
      <c r="S271" s="76"/>
      <c r="T271" s="76"/>
      <c r="U271" s="76"/>
      <c r="V271" s="76"/>
      <c r="W271" s="76"/>
      <c r="X271" s="76"/>
      <c r="Y271" s="76"/>
      <c r="Z271" s="76"/>
    </row>
    <row r="272" spans="1:26" ht="12.75" hidden="1" customHeight="1" outlineLevel="2">
      <c r="A272" s="3"/>
      <c r="B272" s="3"/>
      <c r="C272" s="135">
        <f>Asset17</f>
        <v>0</v>
      </c>
      <c r="D272" s="100"/>
      <c r="E272" s="20" t="s">
        <v>23</v>
      </c>
      <c r="F272" s="19"/>
      <c r="G272" s="1383"/>
      <c r="H272" s="1380">
        <f>IF(H$3&gt;A17remlife,A17value-SUM($G272:G272),IF(A17remlife="N/A","n/a",A17value/A17remlife))</f>
        <v>0</v>
      </c>
      <c r="I272" s="1380">
        <f>IF(I$3&gt;A17remlife,A17value-SUM($G272:H272),IF(A17remlife="N/A","n/a",A17value/A17remlife))</f>
        <v>0</v>
      </c>
      <c r="J272" s="1380">
        <f>IF(J$3&gt;A17remlife,A17value-SUM($G272:I272),IF(A17remlife="N/A","n/a",A17value/A17remlife))</f>
        <v>0</v>
      </c>
      <c r="K272" s="1380">
        <f>IF(K$3&gt;A17remlife,A17value-SUM($G272:J272),IF(A17remlife="N/A","n/a",A17value/A17remlife))</f>
        <v>0</v>
      </c>
      <c r="L272" s="1380">
        <f>IF(L$3&gt;A17remlife,A17value-SUM($G272:K272),IF(A17remlife="N/A","n/a",A17value/A17remlife))</f>
        <v>0</v>
      </c>
      <c r="M272" s="1380">
        <f>IF(M$3&gt;A17remlife,A17value-SUM($G272:L272),IF(A17remlife="N/A","n/a",A17value/A17remlife))</f>
        <v>0</v>
      </c>
      <c r="N272" s="1380">
        <f>IF(N$3&gt;A17remlife,A17value-SUM($G272:M272),IF(A17remlife="N/A","n/a",A17value/A17remlife))</f>
        <v>0</v>
      </c>
      <c r="O272" s="1380">
        <f>IF(O$3&gt;A17remlife,A17value-SUM($G272:N272),IF(A17remlife="N/A","n/a",A17value/A17remlife))</f>
        <v>0</v>
      </c>
      <c r="P272" s="1380">
        <f>IF(P$3&gt;A17remlife,A17value-SUM($G272:O272),IF(A17remlife="N/A","n/a",A17value/A17remlife))</f>
        <v>0</v>
      </c>
      <c r="Q272" s="1380">
        <f>IF(Q$3&gt;A17remlife,A17value-SUM($G272:P272),IF(A17remlife="N/A","n/a",A17value/A17remlife))</f>
        <v>0</v>
      </c>
      <c r="R272" s="21"/>
      <c r="S272" s="74"/>
      <c r="T272" s="74"/>
      <c r="U272" s="74"/>
      <c r="V272" s="74"/>
      <c r="W272" s="74"/>
      <c r="X272" s="74"/>
      <c r="Y272" s="74"/>
      <c r="Z272" s="74"/>
    </row>
    <row r="273" spans="1:26" ht="12.75" hidden="1" customHeight="1" outlineLevel="2">
      <c r="A273" s="3"/>
      <c r="B273" s="3"/>
      <c r="C273" s="3"/>
      <c r="D273" s="16"/>
      <c r="E273" s="1593" t="s">
        <v>43</v>
      </c>
      <c r="F273" s="61"/>
      <c r="G273" s="1341"/>
      <c r="H273" s="18"/>
      <c r="I273" s="18"/>
      <c r="J273" s="18"/>
      <c r="K273" s="18"/>
      <c r="L273" s="18"/>
      <c r="M273" s="1384"/>
      <c r="N273" s="1385"/>
      <c r="O273" s="18"/>
      <c r="P273" s="18"/>
      <c r="Q273" s="18"/>
      <c r="R273" s="18"/>
      <c r="S273" s="74"/>
      <c r="T273" s="74"/>
      <c r="U273" s="74"/>
      <c r="V273" s="74"/>
      <c r="W273" s="74"/>
      <c r="X273" s="74"/>
      <c r="Y273" s="74"/>
      <c r="Z273" s="74"/>
    </row>
    <row r="274" spans="1:26" ht="12.75" hidden="1" customHeight="1" outlineLevel="2">
      <c r="A274" s="3"/>
      <c r="B274" s="3"/>
      <c r="C274" s="3"/>
      <c r="D274" s="16"/>
      <c r="E274" s="1594"/>
      <c r="F274" s="61">
        <v>1</v>
      </c>
      <c r="G274" s="1341"/>
      <c r="H274" s="1381"/>
      <c r="I274" s="18">
        <f>IF(A17stdlife="n/a","n/a",IF(I$3&gt;(A17stdlife+$F274),('RFM input'!$H$239*(1+vanilla1)^0.5)-SUM($H274:H274),('RFM input'!$H$239*(1+vanilla1)^0.5)/A17stdlife))</f>
        <v>0</v>
      </c>
      <c r="J274" s="18">
        <f>IF(A17stdlife="n/a","n/a",IF(J$3&gt;(A17stdlife+$F274),('RFM input'!$H$239*(1+vanilla1)^0.5)-SUM($H274:I274),('RFM input'!$H$239*(1+vanilla1)^0.5)/A17stdlife))</f>
        <v>0</v>
      </c>
      <c r="K274" s="18">
        <f>IF(A17stdlife="n/a","n/a",IF(K$3&gt;(A17stdlife+$F274),('RFM input'!$H$239*(1+vanilla1)^0.5)-SUM($H274:J274),('RFM input'!$H$239*(1+vanilla1)^0.5)/A17stdlife))</f>
        <v>0</v>
      </c>
      <c r="L274" s="18">
        <f>IF(A17stdlife="n/a","n/a",IF(L$3&gt;(A17stdlife+$F274),('RFM input'!$H$239*(1+vanilla1)^0.5)-SUM($H274:K274),('RFM input'!$H$239*(1+vanilla1)^0.5)/A17stdlife))</f>
        <v>0</v>
      </c>
      <c r="M274" s="18">
        <f>IF(A17stdlife="n/a","n/a",IF(M$3&gt;(A17stdlife+$F274),('RFM input'!$H$239*(1+vanilla1)^0.5)-SUM($H274:L274),('RFM input'!$H$239*(1+vanilla1)^0.5)/A17stdlife))</f>
        <v>0</v>
      </c>
      <c r="N274" s="18">
        <f>IF(A17stdlife="n/a","n/a",IF(N$3&gt;(A17stdlife+$F274),('RFM input'!$H$239*(1+vanilla1)^0.5)-SUM($H274:M274),('RFM input'!$H$239*(1+vanilla1)^0.5)/A17stdlife))</f>
        <v>0</v>
      </c>
      <c r="O274" s="18">
        <f>IF(A17stdlife="n/a","n/a",IF(O$3&gt;(A17stdlife+$F274),('RFM input'!$H$239*(1+vanilla1)^0.5)-SUM($H274:N274),('RFM input'!$H$239*(1+vanilla1)^0.5)/A17stdlife))</f>
        <v>0</v>
      </c>
      <c r="P274" s="18">
        <f>IF(A17stdlife="n/a","n/a",IF(P$3&gt;(A17stdlife+$F274),('RFM input'!$H$239*(1+vanilla1)^0.5)-SUM($H274:O274),('RFM input'!$H$239*(1+vanilla1)^0.5)/A17stdlife))</f>
        <v>0</v>
      </c>
      <c r="Q274" s="18">
        <f>IF(A17stdlife="n/a","n/a",IF(Q$3&gt;(A17stdlife+$F274),('RFM input'!$H$239*(1+vanilla1)^0.5)-SUM($H274:P274),('RFM input'!$H$239*(1+vanilla1)^0.5)/A17stdlife))</f>
        <v>0</v>
      </c>
      <c r="R274" s="18"/>
      <c r="S274" s="74"/>
      <c r="T274" s="74"/>
      <c r="U274" s="74"/>
      <c r="V274" s="74"/>
      <c r="W274" s="74"/>
      <c r="X274" s="74"/>
      <c r="Y274" s="74"/>
      <c r="Z274" s="74"/>
    </row>
    <row r="275" spans="1:26" ht="12.75" hidden="1" customHeight="1" outlineLevel="2">
      <c r="A275" s="3"/>
      <c r="B275" s="3"/>
      <c r="C275" s="3"/>
      <c r="D275" s="16"/>
      <c r="E275" s="1594"/>
      <c r="F275" s="61">
        <v>2</v>
      </c>
      <c r="G275" s="1341"/>
      <c r="H275" s="114"/>
      <c r="I275" s="116"/>
      <c r="J275" s="18">
        <f>IF(A17stdlife="n/a","n/a",IF(J$3&gt;(A17stdlife+$F275),('RFM input'!$I$239*(1+vanilla2)^0.5)-SUM($I275:I275),('RFM input'!$I$239*(1+vanilla2)^0.5)/A17stdlife))</f>
        <v>0</v>
      </c>
      <c r="K275" s="18">
        <f>IF(A17stdlife="n/a","n/a",IF(K$3&gt;(A17stdlife+$F275),('RFM input'!$I$239*(1+vanilla2)^0.5)-SUM($I275:J275),('RFM input'!$I$239*(1+vanilla2)^0.5)/A17stdlife))</f>
        <v>0</v>
      </c>
      <c r="L275" s="18">
        <f>IF(A17stdlife="n/a","n/a",IF(L$3&gt;(A17stdlife+$F275),('RFM input'!$I$239*(1+vanilla2)^0.5)-SUM($I275:K275),('RFM input'!$I$239*(1+vanilla2)^0.5)/A17stdlife))</f>
        <v>0</v>
      </c>
      <c r="M275" s="18">
        <f>IF(A17stdlife="n/a","n/a",IF(M$3&gt;(A17stdlife+$F275),('RFM input'!$I$239*(1+vanilla2)^0.5)-SUM($I275:L275),('RFM input'!$I$239*(1+vanilla2)^0.5)/A17stdlife))</f>
        <v>0</v>
      </c>
      <c r="N275" s="18">
        <f>IF(A17stdlife="n/a","n/a",IF(N$3&gt;(A17stdlife+$F275),('RFM input'!$I$239*(1+vanilla2)^0.5)-SUM($I275:M275),('RFM input'!$I$239*(1+vanilla2)^0.5)/A17stdlife))</f>
        <v>0</v>
      </c>
      <c r="O275" s="18">
        <f>IF(A17stdlife="n/a","n/a",IF(O$3&gt;(A17stdlife+$F275),('RFM input'!$I$239*(1+vanilla2)^0.5)-SUM($I275:N275),('RFM input'!$I$239*(1+vanilla2)^0.5)/A17stdlife))</f>
        <v>0</v>
      </c>
      <c r="P275" s="18">
        <f>IF(A17stdlife="n/a","n/a",IF(P$3&gt;(A17stdlife+$F275),('RFM input'!$I$239*(1+vanilla2)^0.5)-SUM($I275:O275),('RFM input'!$I$239*(1+vanilla2)^0.5)/A17stdlife))</f>
        <v>0</v>
      </c>
      <c r="Q275" s="18">
        <f>IF(A17stdlife="n/a","n/a",IF(Q$3&gt;(A17stdlife+$F275),('RFM input'!$I$239*(1+vanilla2)^0.5)-SUM($I275:P275),('RFM input'!$I$239*(1+vanilla2)^0.5)/A17stdlife))</f>
        <v>0</v>
      </c>
      <c r="R275" s="18"/>
      <c r="S275" s="74"/>
      <c r="T275" s="74"/>
      <c r="U275" s="74"/>
      <c r="V275" s="74"/>
      <c r="W275" s="74"/>
      <c r="X275" s="74"/>
      <c r="Y275" s="74"/>
      <c r="Z275" s="74"/>
    </row>
    <row r="276" spans="1:26" ht="12.75" hidden="1" customHeight="1" outlineLevel="2">
      <c r="A276" s="3"/>
      <c r="B276" s="3"/>
      <c r="C276" s="3"/>
      <c r="D276" s="16"/>
      <c r="E276" s="1594"/>
      <c r="F276" s="61">
        <v>3</v>
      </c>
      <c r="G276" s="1341"/>
      <c r="H276" s="114"/>
      <c r="I276" s="115"/>
      <c r="J276" s="116"/>
      <c r="K276" s="18">
        <f>IF(A17stdlife="n/a","n/a",IF(K$3&gt;(A17stdlife+$F276),('RFM input'!$J$239*(1+vanilla3)^0.5)-SUM($J276:J276),('RFM input'!$J$239*(1+vanilla3)^0.5)/A17stdlife))</f>
        <v>0</v>
      </c>
      <c r="L276" s="18">
        <f>IF(A17stdlife="n/a","n/a",IF(L$3&gt;(A17stdlife+$F276),('RFM input'!$J$239*(1+vanilla3)^0.5)-SUM($J276:K276),('RFM input'!$J$239*(1+vanilla3)^0.5)/A17stdlife))</f>
        <v>0</v>
      </c>
      <c r="M276" s="18">
        <f>IF(A17stdlife="n/a","n/a",IF(M$3&gt;(A17stdlife+$F276),('RFM input'!$J$239*(1+vanilla3)^0.5)-SUM($J276:L276),('RFM input'!$J$239*(1+vanilla3)^0.5)/A17stdlife))</f>
        <v>0</v>
      </c>
      <c r="N276" s="18">
        <f>IF(A17stdlife="n/a","n/a",IF(N$3&gt;(A17stdlife+$F276),('RFM input'!$J$239*(1+vanilla3)^0.5)-SUM($J276:M276),('RFM input'!$J$239*(1+vanilla3)^0.5)/A17stdlife))</f>
        <v>0</v>
      </c>
      <c r="O276" s="18">
        <f>IF(A17stdlife="n/a","n/a",IF(O$3&gt;(A17stdlife+$F276),('RFM input'!$J$239*(1+vanilla3)^0.5)-SUM($J276:N276),('RFM input'!$J$239*(1+vanilla3)^0.5)/A17stdlife))</f>
        <v>0</v>
      </c>
      <c r="P276" s="18">
        <f>IF(A17stdlife="n/a","n/a",IF(P$3&gt;(A17stdlife+$F276),('RFM input'!$J$239*(1+vanilla3)^0.5)-SUM($J276:O276),('RFM input'!$J$239*(1+vanilla3)^0.5)/A17stdlife))</f>
        <v>0</v>
      </c>
      <c r="Q276" s="18">
        <f>IF(A17stdlife="n/a","n/a",IF(Q$3&gt;(A17stdlife+$F276),('RFM input'!$J$239*(1+vanilla3)^0.5)-SUM($J276:P276),('RFM input'!$J$239*(1+vanilla3)^0.5)/A17stdlife))</f>
        <v>0</v>
      </c>
      <c r="R276" s="18"/>
      <c r="S276" s="74"/>
      <c r="T276" s="74"/>
      <c r="U276" s="74"/>
      <c r="V276" s="74"/>
      <c r="W276" s="74"/>
      <c r="X276" s="74"/>
      <c r="Y276" s="74"/>
      <c r="Z276" s="74"/>
    </row>
    <row r="277" spans="1:26" ht="12.75" hidden="1" customHeight="1" outlineLevel="2">
      <c r="A277" s="3"/>
      <c r="B277" s="3"/>
      <c r="C277" s="3"/>
      <c r="D277" s="16"/>
      <c r="E277" s="1594"/>
      <c r="F277" s="61">
        <v>4</v>
      </c>
      <c r="G277" s="1341"/>
      <c r="H277" s="114"/>
      <c r="I277" s="115"/>
      <c r="J277" s="115"/>
      <c r="K277" s="116"/>
      <c r="L277" s="18">
        <f>IF(A17stdlife="n/a","n/a",IF(L$3&gt;(A17stdlife+$F277),('RFM input'!$K$239*(1+vanilla4)^0.5)-SUM($K277:K277),('RFM input'!$K$239*(1+vanilla4)^0.5)/A17stdlife))</f>
        <v>0</v>
      </c>
      <c r="M277" s="18">
        <f>IF(A17stdlife="n/a","n/a",IF(M$3&gt;(A17stdlife+$F277),('RFM input'!$K$239*(1+vanilla4)^0.5)-SUM($K277:L277),('RFM input'!$K$239*(1+vanilla4)^0.5)/A17stdlife))</f>
        <v>0</v>
      </c>
      <c r="N277" s="18">
        <f>IF(A17stdlife="n/a","n/a",IF(N$3&gt;(A17stdlife+$F277),('RFM input'!$K$239*(1+vanilla4)^0.5)-SUM($K277:M277),('RFM input'!$K$239*(1+vanilla4)^0.5)/A17stdlife))</f>
        <v>0</v>
      </c>
      <c r="O277" s="18">
        <f>IF(A17stdlife="n/a","n/a",IF(O$3&gt;(A17stdlife+$F277),('RFM input'!$K$239*(1+vanilla4)^0.5)-SUM($K277:N277),('RFM input'!$K$239*(1+vanilla4)^0.5)/A17stdlife))</f>
        <v>0</v>
      </c>
      <c r="P277" s="18">
        <f>IF(A17stdlife="n/a","n/a",IF(P$3&gt;(A17stdlife+$F277),('RFM input'!$K$239*(1+vanilla4)^0.5)-SUM($K277:O277),('RFM input'!$K$239*(1+vanilla4)^0.5)/A17stdlife))</f>
        <v>0</v>
      </c>
      <c r="Q277" s="18">
        <f>IF(A17stdlife="n/a","n/a",IF(Q$3&gt;(A17stdlife+$F277),('RFM input'!$K$239*(1+vanilla4)^0.5)-SUM($K277:P277),('RFM input'!$K$239*(1+vanilla4)^0.5)/A17stdlife))</f>
        <v>0</v>
      </c>
      <c r="R277" s="18"/>
      <c r="S277" s="74"/>
      <c r="T277" s="74"/>
      <c r="U277" s="74"/>
      <c r="V277" s="74"/>
      <c r="W277" s="74"/>
      <c r="X277" s="74"/>
      <c r="Y277" s="74"/>
      <c r="Z277" s="74"/>
    </row>
    <row r="278" spans="1:26" ht="12.75" hidden="1" customHeight="1" outlineLevel="2">
      <c r="A278" s="3"/>
      <c r="B278" s="3"/>
      <c r="C278" s="3"/>
      <c r="D278" s="16"/>
      <c r="E278" s="1594"/>
      <c r="F278" s="61">
        <v>5</v>
      </c>
      <c r="G278" s="17"/>
      <c r="H278" s="114"/>
      <c r="I278" s="115"/>
      <c r="J278" s="115"/>
      <c r="K278" s="115"/>
      <c r="L278" s="116"/>
      <c r="M278" s="18">
        <f>IF(A17stdlife="n/a","n/a",IF(M$3&gt;(A17stdlife+$F278),('RFM input'!$L$239*(1+vanilla5)^0.5)-SUM($L278:L278),('RFM input'!$L$239*(1+vanilla5)^0.5)/A17stdlife))</f>
        <v>0</v>
      </c>
      <c r="N278" s="18">
        <f>IF(A17stdlife="n/a","n/a",IF(N$3&gt;(A17stdlife+$F278),('RFM input'!$L$239*(1+vanilla5)^0.5)-SUM($L278:M278),('RFM input'!$L$239*(1+vanilla5)^0.5)/A17stdlife))</f>
        <v>0</v>
      </c>
      <c r="O278" s="18">
        <f>IF(A17stdlife="n/a","n/a",IF(O$3&gt;(A17stdlife+$F278),('RFM input'!$L$239*(1+vanilla5)^0.5)-SUM($L278:N278),('RFM input'!$L$239*(1+vanilla5)^0.5)/A17stdlife))</f>
        <v>0</v>
      </c>
      <c r="P278" s="18">
        <f>IF(A17stdlife="n/a","n/a",IF(P$3&gt;(A17stdlife+$F278),('RFM input'!$L$239*(1+vanilla5)^0.5)-SUM($L278:O278),('RFM input'!$L$239*(1+vanilla5)^0.5)/A17stdlife))</f>
        <v>0</v>
      </c>
      <c r="Q278" s="18">
        <f>IF(A17stdlife="n/a","n/a",IF(Q$3&gt;(A17stdlife+$F278),('RFM input'!$L$239*(1+vanilla5)^0.5)-SUM($L278:P278),('RFM input'!$L$239*(1+vanilla5)^0.5)/A17stdlife))</f>
        <v>0</v>
      </c>
      <c r="R278" s="18"/>
      <c r="S278" s="74"/>
      <c r="T278" s="74"/>
      <c r="U278" s="74"/>
      <c r="V278" s="74"/>
      <c r="W278" s="74"/>
      <c r="X278" s="74"/>
      <c r="Y278" s="74"/>
      <c r="Z278" s="74"/>
    </row>
    <row r="279" spans="1:26" ht="12.75" hidden="1" customHeight="1" outlineLevel="2">
      <c r="A279" s="3"/>
      <c r="B279" s="3"/>
      <c r="C279" s="3"/>
      <c r="D279" s="16"/>
      <c r="E279" s="1594"/>
      <c r="F279" s="61">
        <v>6</v>
      </c>
      <c r="G279" s="17"/>
      <c r="H279" s="114"/>
      <c r="I279" s="115"/>
      <c r="J279" s="115"/>
      <c r="K279" s="115"/>
      <c r="L279" s="115"/>
      <c r="M279" s="116"/>
      <c r="N279" s="18">
        <f>IF(A17stdlife="n/a","n/a",IF(N$3&gt;(A17stdlife+$F279),('RFM input'!$M$239*(1+vanilla6)^0.5)-SUM($M279:M279),('RFM input'!$M$239*(1+vanilla6)^0.5)/A17stdlife))</f>
        <v>0</v>
      </c>
      <c r="O279" s="18">
        <f>IF(A17stdlife="n/a","n/a",IF(O$3&gt;(A17stdlife+$F279),('RFM input'!$M$239*(1+vanilla6)^0.5)-SUM($M279:N279),('RFM input'!$M$239*(1+vanilla6)^0.5)/A17stdlife))</f>
        <v>0</v>
      </c>
      <c r="P279" s="18">
        <f>IF(A17stdlife="n/a","n/a",IF(P$3&gt;(A17stdlife+$F279),('RFM input'!$M$239*(1+vanilla6)^0.5)-SUM($M279:O279),('RFM input'!$M$239*(1+vanilla6)^0.5)/A17stdlife))</f>
        <v>0</v>
      </c>
      <c r="Q279" s="18">
        <f>IF(A17stdlife="n/a","n/a",IF(Q$3&gt;(A17stdlife+$F279),('RFM input'!$M$239*(1+vanilla6)^0.5)-SUM($M279:P279),('RFM input'!$M$239*(1+vanilla6)^0.5)/A17stdlife))</f>
        <v>0</v>
      </c>
      <c r="R279" s="18"/>
      <c r="S279" s="74"/>
      <c r="T279" s="74"/>
      <c r="U279" s="74"/>
      <c r="V279" s="74"/>
      <c r="W279" s="74"/>
      <c r="X279" s="74"/>
      <c r="Y279" s="74"/>
      <c r="Z279" s="74"/>
    </row>
    <row r="280" spans="1:26" ht="12.75" hidden="1" customHeight="1" outlineLevel="2">
      <c r="A280" s="3"/>
      <c r="B280" s="3"/>
      <c r="C280" s="3"/>
      <c r="D280" s="16"/>
      <c r="E280" s="1594"/>
      <c r="F280" s="61">
        <v>7</v>
      </c>
      <c r="G280" s="17"/>
      <c r="H280" s="114"/>
      <c r="I280" s="115"/>
      <c r="J280" s="115"/>
      <c r="K280" s="115"/>
      <c r="L280" s="115"/>
      <c r="M280" s="115"/>
      <c r="N280" s="116"/>
      <c r="O280" s="18">
        <f>IF(A17stdlife="n/a","n/a",IF(O$3&gt;(A17stdlife+$F280),('RFM input'!$N$239*(1+vanilla7)^0.5)-SUM($N280:N280),('RFM input'!$N$239*(1+vanilla7)^0.5)/A17stdlife))</f>
        <v>0</v>
      </c>
      <c r="P280" s="18">
        <f>IF(A17stdlife="n/a","n/a",IF(P$3&gt;(A17stdlife+$F280),('RFM input'!$N$239*(1+vanilla7)^0.5)-SUM($N280:O280),('RFM input'!$N$239*(1+vanilla7)^0.5)/A17stdlife))</f>
        <v>0</v>
      </c>
      <c r="Q280" s="18">
        <f>IF(A17stdlife="n/a","n/a",IF(Q$3&gt;(A17stdlife+$F280),('RFM input'!$N$239*(1+vanilla7)^0.5)-SUM($N280:P280),('RFM input'!$N$239*(1+vanilla7)^0.5)/A17stdlife))</f>
        <v>0</v>
      </c>
      <c r="R280" s="18"/>
      <c r="S280" s="74"/>
      <c r="T280" s="74"/>
      <c r="U280" s="74"/>
      <c r="V280" s="74"/>
      <c r="W280" s="74"/>
      <c r="X280" s="74"/>
      <c r="Y280" s="74"/>
      <c r="Z280" s="74"/>
    </row>
    <row r="281" spans="1:26" ht="12.75" hidden="1" customHeight="1" outlineLevel="2">
      <c r="A281" s="3"/>
      <c r="B281" s="3"/>
      <c r="C281" s="3"/>
      <c r="D281" s="16"/>
      <c r="E281" s="1594"/>
      <c r="F281" s="61">
        <v>8</v>
      </c>
      <c r="G281" s="17"/>
      <c r="H281" s="114"/>
      <c r="I281" s="115"/>
      <c r="J281" s="115"/>
      <c r="K281" s="115"/>
      <c r="L281" s="115"/>
      <c r="M281" s="115"/>
      <c r="N281" s="115"/>
      <c r="O281" s="116"/>
      <c r="P281" s="18">
        <f>IF(A17stdlife="n/a","n/a",IF(P$3&gt;(A17stdlife+$F281),('RFM input'!$O$239*(1+vanilla8)^0.5)-SUM($O281:O281),('RFM input'!$O$239*(1+vanilla8)^0.5)/A17stdlife))</f>
        <v>0</v>
      </c>
      <c r="Q281" s="18">
        <f>IF(A17stdlife="n/a","n/a",IF(Q$3&gt;(A17stdlife+$F281),('RFM input'!$O$239*(1+vanilla8)^0.5)-SUM($O281:P281),('RFM input'!$O$239*(1+vanilla8)^0.5)/A17stdlife))</f>
        <v>0</v>
      </c>
      <c r="R281" s="18"/>
      <c r="S281" s="74"/>
      <c r="T281" s="74"/>
      <c r="U281" s="74"/>
      <c r="V281" s="74"/>
      <c r="W281" s="74"/>
      <c r="X281" s="74"/>
      <c r="Y281" s="74"/>
      <c r="Z281" s="74"/>
    </row>
    <row r="282" spans="1:26" ht="12.75" hidden="1" customHeight="1" outlineLevel="2">
      <c r="A282" s="3"/>
      <c r="B282" s="3"/>
      <c r="C282" s="3"/>
      <c r="D282" s="16"/>
      <c r="E282" s="1594"/>
      <c r="F282" s="61">
        <v>9</v>
      </c>
      <c r="G282" s="17"/>
      <c r="H282" s="114"/>
      <c r="I282" s="115"/>
      <c r="J282" s="115"/>
      <c r="K282" s="115"/>
      <c r="L282" s="115"/>
      <c r="M282" s="115"/>
      <c r="N282" s="115"/>
      <c r="O282" s="115"/>
      <c r="P282" s="116"/>
      <c r="Q282" s="18">
        <f>IF(A17stdlife="n/a","n/a",IF(Q$3&gt;(A17stdlife+$F282),('RFM input'!$P$239*(1+vanilla9)^0.5)-SUM($P282:P282),('RFM input'!$P$239*(1+vanilla9)^0.5)/A17stdlife))</f>
        <v>0</v>
      </c>
      <c r="R282" s="18"/>
      <c r="S282" s="74"/>
      <c r="T282" s="74"/>
      <c r="U282" s="74"/>
      <c r="V282" s="74"/>
      <c r="W282" s="74"/>
      <c r="X282" s="74"/>
      <c r="Y282" s="74"/>
      <c r="Z282" s="74"/>
    </row>
    <row r="283" spans="1:26" ht="12.75" hidden="1" customHeight="1" outlineLevel="2">
      <c r="A283" s="3"/>
      <c r="B283" s="3"/>
      <c r="C283" s="3"/>
      <c r="D283" s="16"/>
      <c r="E283" s="1594"/>
      <c r="F283" s="62">
        <v>10</v>
      </c>
      <c r="G283" s="17"/>
      <c r="H283" s="114"/>
      <c r="I283" s="115"/>
      <c r="J283" s="115"/>
      <c r="K283" s="115"/>
      <c r="L283" s="115"/>
      <c r="M283" s="115"/>
      <c r="N283" s="115"/>
      <c r="O283" s="115"/>
      <c r="P283" s="115"/>
      <c r="Q283" s="116"/>
      <c r="R283" s="18"/>
      <c r="S283" s="74"/>
      <c r="T283" s="74"/>
      <c r="U283" s="74"/>
      <c r="V283" s="74"/>
      <c r="W283" s="74"/>
      <c r="X283" s="74"/>
      <c r="Y283" s="74"/>
      <c r="Z283" s="74"/>
    </row>
    <row r="284" spans="1:26" ht="13.35" hidden="1" customHeight="1" outlineLevel="1">
      <c r="A284" s="3"/>
      <c r="B284" s="3"/>
      <c r="C284" s="3"/>
      <c r="D284" s="134">
        <f>Asset17</f>
        <v>0</v>
      </c>
      <c r="E284" s="3"/>
      <c r="F284" s="3"/>
      <c r="G284" s="1341"/>
      <c r="H284" s="1458">
        <f>IF(OR('RFM input'!$E$293='RFM input'!$G$292,'RFM input'!$E$293='RFM input'!$G$293),-INDEX('RFM input'!H$299:H$348,MATCH($D284,'RFM input'!$E$299:$E$348,0),1),-SUM(H272:H283))</f>
        <v>0</v>
      </c>
      <c r="I284" s="1458">
        <f>IF(OR('RFM input'!$E$293='RFM input'!$G$292,'RFM input'!$E$293='RFM input'!$G$293),-INDEX('RFM input'!I$299:I$348,MATCH($D284,'RFM input'!$E$299:$E$348,0),1),-SUM(I272:I283))</f>
        <v>0</v>
      </c>
      <c r="J284" s="1386">
        <f>IF(COUNT($H284:I284)&gt;='RFM input'!$V$7,
   0,
   IF(OR('RFM input'!$E$293='RFM input'!$G$292,'RFM input'!$E$293='RFM input'!$G$293),
      -INDEX('RFM input'!J$299:J$348,MATCH($D284,'RFM input'!$E$299:$E$348,0),1),
      -SUM(J272:J283)))</f>
        <v>0</v>
      </c>
      <c r="K284" s="1386">
        <f>IF(COUNT($H284:J284)&gt;='RFM input'!$V$7,
   0,
   IF(OR('RFM input'!$E$293='RFM input'!$G$292,'RFM input'!$E$293='RFM input'!$G$293),
      -INDEX('RFM input'!K$299:K$348,MATCH($D284,'RFM input'!$E$299:$E$348,0),1),
      -SUM(K272:K283)))</f>
        <v>0</v>
      </c>
      <c r="L284" s="1386">
        <f>IF(COUNT($H284:K284)&gt;='RFM input'!$V$7,
   0,
   IF(OR('RFM input'!$E$293='RFM input'!$G$292,'RFM input'!$E$293='RFM input'!$G$293),
      -INDEX('RFM input'!L$299:L$348,MATCH($D284,'RFM input'!$E$299:$E$348,0),1),
      -SUM(L272:L283)))</f>
        <v>0</v>
      </c>
      <c r="M284" s="1386">
        <f>IF(COUNT($H284:L284)&gt;='RFM input'!$V$7,
   0,
   IF(OR('RFM input'!$E$293='RFM input'!$G$292,'RFM input'!$E$293='RFM input'!$G$293),
      -INDEX('RFM input'!M$299:M$348,MATCH($D284,'RFM input'!$E$299:$E$348,0),1),
      -SUM(M272:M283)))</f>
        <v>0</v>
      </c>
      <c r="N284" s="1386">
        <f>IF(COUNT($H284:M284)&gt;='RFM input'!$V$7,
   0,
   IF(OR('RFM input'!$E$293='RFM input'!$G$292,'RFM input'!$E$293='RFM input'!$G$293),
      -INDEX('RFM input'!N$299:N$348,MATCH($D284,'RFM input'!$E$299:$E$348,0),1),
      -SUM(N272:N283)))</f>
        <v>0</v>
      </c>
      <c r="O284" s="1386">
        <f>IF(COUNT($H284:N284)&gt;='RFM input'!$V$7,
   0,
   IF(OR('RFM input'!$E$293='RFM input'!$G$292,'RFM input'!$E$293='RFM input'!$G$293),
      -INDEX('RFM input'!O$299:O$348,MATCH($D284,'RFM input'!$E$299:$E$348,0),1),
      -SUM(O272:O283)))</f>
        <v>0</v>
      </c>
      <c r="P284" s="1386">
        <f>IF(COUNT($H284:O284)&gt;='RFM input'!$V$7,
   0,
   IF(OR('RFM input'!$E$293='RFM input'!$G$292,'RFM input'!$E$293='RFM input'!$G$293),
      -INDEX('RFM input'!P$299:P$348,MATCH($D284,'RFM input'!$E$299:$E$348,0),1),
      -SUM(P272:P283)))</f>
        <v>0</v>
      </c>
      <c r="Q284" s="1386">
        <f>IF(COUNT($H284:P284)&gt;='RFM input'!$V$7,
   0,
   IF(OR('RFM input'!$E$293='RFM input'!$G$292,'RFM input'!$E$293='RFM input'!$G$293),
      -INDEX('RFM input'!Q$299:Q$348,MATCH($D284,'RFM input'!$E$299:$E$348,0),1),
      -SUM(Q272:Q283)))</f>
        <v>0</v>
      </c>
      <c r="R284" s="1382"/>
      <c r="S284" s="76"/>
      <c r="T284" s="76"/>
      <c r="U284" s="76"/>
      <c r="V284" s="76"/>
      <c r="W284" s="76"/>
      <c r="X284" s="76"/>
      <c r="Y284" s="76"/>
      <c r="Z284" s="76"/>
    </row>
    <row r="285" spans="1:26" ht="12.75" hidden="1" customHeight="1" outlineLevel="2">
      <c r="A285" s="3"/>
      <c r="B285" s="3"/>
      <c r="C285" s="135">
        <f>Asset18</f>
        <v>0</v>
      </c>
      <c r="D285" s="100"/>
      <c r="E285" s="20" t="s">
        <v>23</v>
      </c>
      <c r="F285" s="19"/>
      <c r="G285" s="1383"/>
      <c r="H285" s="1380">
        <f>IF(H$3&gt;A18remlife,A18value-SUM($G285:G285),IF(A18remlife="N/A","n/a",A18value/A18remlife))</f>
        <v>0</v>
      </c>
      <c r="I285" s="1380">
        <f>IF(I$3&gt;A18remlife,A18value-SUM($G285:H285),IF(A18remlife="N/A","n/a",A18value/A18remlife))</f>
        <v>0</v>
      </c>
      <c r="J285" s="1380">
        <f>IF(J$3&gt;A18remlife,A18value-SUM($G285:I285),IF(A18remlife="N/A","n/a",A18value/A18remlife))</f>
        <v>0</v>
      </c>
      <c r="K285" s="1380">
        <f>IF(K$3&gt;A18remlife,A18value-SUM($G285:J285),IF(A18remlife="N/A","n/a",A18value/A18remlife))</f>
        <v>0</v>
      </c>
      <c r="L285" s="1380">
        <f>IF(L$3&gt;A18remlife,A18value-SUM($G285:K285),IF(A18remlife="N/A","n/a",A18value/A18remlife))</f>
        <v>0</v>
      </c>
      <c r="M285" s="1380">
        <f>IF(M$3&gt;A18remlife,A18value-SUM($G285:L285),IF(A18remlife="N/A","n/a",A18value/A18remlife))</f>
        <v>0</v>
      </c>
      <c r="N285" s="1380">
        <f>IF(N$3&gt;A18remlife,A18value-SUM($G285:M285),IF(A18remlife="N/A","n/a",A18value/A18remlife))</f>
        <v>0</v>
      </c>
      <c r="O285" s="1380">
        <f>IF(O$3&gt;A18remlife,A18value-SUM($G285:N285),IF(A18remlife="N/A","n/a",A18value/A18remlife))</f>
        <v>0</v>
      </c>
      <c r="P285" s="1380">
        <f>IF(P$3&gt;A18remlife,A18value-SUM($G285:O285),IF(A18remlife="N/A","n/a",A18value/A18remlife))</f>
        <v>0</v>
      </c>
      <c r="Q285" s="1380">
        <f>IF(Q$3&gt;A18remlife,A18value-SUM($G285:P285),IF(A18remlife="N/A","n/a",A18value/A18remlife))</f>
        <v>0</v>
      </c>
      <c r="R285" s="21"/>
      <c r="S285" s="74"/>
      <c r="T285" s="74"/>
      <c r="U285" s="74"/>
      <c r="V285" s="74"/>
      <c r="W285" s="74"/>
      <c r="X285" s="74"/>
      <c r="Y285" s="74"/>
      <c r="Z285" s="74"/>
    </row>
    <row r="286" spans="1:26" ht="12.75" hidden="1" customHeight="1" outlineLevel="2">
      <c r="A286" s="3"/>
      <c r="B286" s="3"/>
      <c r="C286" s="3"/>
      <c r="D286" s="16"/>
      <c r="E286" s="1593" t="s">
        <v>43</v>
      </c>
      <c r="F286" s="61"/>
      <c r="G286" s="1341"/>
      <c r="H286" s="18"/>
      <c r="I286" s="18"/>
      <c r="J286" s="18"/>
      <c r="K286" s="18"/>
      <c r="L286" s="18"/>
      <c r="M286" s="1384"/>
      <c r="N286" s="1385"/>
      <c r="O286" s="18"/>
      <c r="P286" s="18"/>
      <c r="Q286" s="18"/>
      <c r="R286" s="18"/>
      <c r="S286" s="74"/>
      <c r="T286" s="74"/>
      <c r="U286" s="74"/>
      <c r="V286" s="74"/>
      <c r="W286" s="74"/>
      <c r="X286" s="74"/>
      <c r="Y286" s="74"/>
      <c r="Z286" s="74"/>
    </row>
    <row r="287" spans="1:26" ht="12.75" hidden="1" customHeight="1" outlineLevel="2">
      <c r="A287" s="3"/>
      <c r="B287" s="3"/>
      <c r="C287" s="3"/>
      <c r="D287" s="16"/>
      <c r="E287" s="1594"/>
      <c r="F287" s="61">
        <v>1</v>
      </c>
      <c r="G287" s="1341"/>
      <c r="H287" s="1381"/>
      <c r="I287" s="18">
        <f>IF(A18stdlife="n/a","n/a",IF(I$3&gt;(A18stdlife+$F287),('RFM input'!$H$240*(1+vanilla1)^0.5)-SUM($H287:H287),('RFM input'!$H$240*(1+vanilla1)^0.5)/A18stdlife))</f>
        <v>0</v>
      </c>
      <c r="J287" s="18">
        <f>IF(A18stdlife="n/a","n/a",IF(J$3&gt;(A18stdlife+$F287),('RFM input'!$H$240*(1+vanilla1)^0.5)-SUM($H287:I287),('RFM input'!$H$240*(1+vanilla1)^0.5)/A18stdlife))</f>
        <v>0</v>
      </c>
      <c r="K287" s="18">
        <f>IF(A18stdlife="n/a","n/a",IF(K$3&gt;(A18stdlife+$F287),('RFM input'!$H$240*(1+vanilla1)^0.5)-SUM($H287:J287),('RFM input'!$H$240*(1+vanilla1)^0.5)/A18stdlife))</f>
        <v>0</v>
      </c>
      <c r="L287" s="18">
        <f>IF(A18stdlife="n/a","n/a",IF(L$3&gt;(A18stdlife+$F287),('RFM input'!$H$240*(1+vanilla1)^0.5)-SUM($H287:K287),('RFM input'!$H$240*(1+vanilla1)^0.5)/A18stdlife))</f>
        <v>0</v>
      </c>
      <c r="M287" s="18">
        <f>IF(A18stdlife="n/a","n/a",IF(M$3&gt;(A18stdlife+$F287),('RFM input'!$H$240*(1+vanilla1)^0.5)-SUM($H287:L287),('RFM input'!$H$240*(1+vanilla1)^0.5)/A18stdlife))</f>
        <v>0</v>
      </c>
      <c r="N287" s="18">
        <f>IF(A18stdlife="n/a","n/a",IF(N$3&gt;(A18stdlife+$F287),('RFM input'!$H$240*(1+vanilla1)^0.5)-SUM($H287:M287),('RFM input'!$H$240*(1+vanilla1)^0.5)/A18stdlife))</f>
        <v>0</v>
      </c>
      <c r="O287" s="18">
        <f>IF(A18stdlife="n/a","n/a",IF(O$3&gt;(A18stdlife+$F287),('RFM input'!$H$240*(1+vanilla1)^0.5)-SUM($H287:N287),('RFM input'!$H$240*(1+vanilla1)^0.5)/A18stdlife))</f>
        <v>0</v>
      </c>
      <c r="P287" s="18">
        <f>IF(A18stdlife="n/a","n/a",IF(P$3&gt;(A18stdlife+$F287),('RFM input'!$H$240*(1+vanilla1)^0.5)-SUM($H287:O287),('RFM input'!$H$240*(1+vanilla1)^0.5)/A18stdlife))</f>
        <v>0</v>
      </c>
      <c r="Q287" s="18">
        <f>IF(A18stdlife="n/a","n/a",IF(Q$3&gt;(A18stdlife+$F287),('RFM input'!$H$240*(1+vanilla1)^0.5)-SUM($H287:P287),('RFM input'!$H$240*(1+vanilla1)^0.5)/A18stdlife))</f>
        <v>0</v>
      </c>
      <c r="R287" s="18"/>
      <c r="S287" s="74"/>
      <c r="T287" s="74"/>
      <c r="U287" s="74"/>
      <c r="V287" s="74"/>
      <c r="W287" s="74"/>
      <c r="X287" s="74"/>
      <c r="Y287" s="74"/>
      <c r="Z287" s="74"/>
    </row>
    <row r="288" spans="1:26" ht="12.75" hidden="1" customHeight="1" outlineLevel="2">
      <c r="A288" s="3"/>
      <c r="B288" s="3"/>
      <c r="C288" s="3"/>
      <c r="D288" s="16"/>
      <c r="E288" s="1594"/>
      <c r="F288" s="61">
        <v>2</v>
      </c>
      <c r="G288" s="1341"/>
      <c r="H288" s="114"/>
      <c r="I288" s="116"/>
      <c r="J288" s="18">
        <f>IF(A18stdlife="n/a","n/a",IF(J$3&gt;(A18stdlife+$F288),('RFM input'!$I$240*(1+vanilla2)^0.5)-SUM($I288:I288),('RFM input'!$I$240*(1+vanilla2)^0.5)/A18stdlife))</f>
        <v>0</v>
      </c>
      <c r="K288" s="18">
        <f>IF(A18stdlife="n/a","n/a",IF(K$3&gt;(A18stdlife+$F288),('RFM input'!$I$240*(1+vanilla2)^0.5)-SUM($I288:J288),('RFM input'!$I$240*(1+vanilla2)^0.5)/A18stdlife))</f>
        <v>0</v>
      </c>
      <c r="L288" s="18">
        <f>IF(A18stdlife="n/a","n/a",IF(L$3&gt;(A18stdlife+$F288),('RFM input'!$I$240*(1+vanilla2)^0.5)-SUM($I288:K288),('RFM input'!$I$240*(1+vanilla2)^0.5)/A18stdlife))</f>
        <v>0</v>
      </c>
      <c r="M288" s="18">
        <f>IF(A18stdlife="n/a","n/a",IF(M$3&gt;(A18stdlife+$F288),('RFM input'!$I$240*(1+vanilla2)^0.5)-SUM($I288:L288),('RFM input'!$I$240*(1+vanilla2)^0.5)/A18stdlife))</f>
        <v>0</v>
      </c>
      <c r="N288" s="18">
        <f>IF(A18stdlife="n/a","n/a",IF(N$3&gt;(A18stdlife+$F288),('RFM input'!$I$240*(1+vanilla2)^0.5)-SUM($I288:M288),('RFM input'!$I$240*(1+vanilla2)^0.5)/A18stdlife))</f>
        <v>0</v>
      </c>
      <c r="O288" s="18">
        <f>IF(A18stdlife="n/a","n/a",IF(O$3&gt;(A18stdlife+$F288),('RFM input'!$I$240*(1+vanilla2)^0.5)-SUM($I288:N288),('RFM input'!$I$240*(1+vanilla2)^0.5)/A18stdlife))</f>
        <v>0</v>
      </c>
      <c r="P288" s="18">
        <f>IF(A18stdlife="n/a","n/a",IF(P$3&gt;(A18stdlife+$F288),('RFM input'!$I$240*(1+vanilla2)^0.5)-SUM($I288:O288),('RFM input'!$I$240*(1+vanilla2)^0.5)/A18stdlife))</f>
        <v>0</v>
      </c>
      <c r="Q288" s="18">
        <f>IF(A18stdlife="n/a","n/a",IF(Q$3&gt;(A18stdlife+$F288),('RFM input'!$I$240*(1+vanilla2)^0.5)-SUM($I288:P288),('RFM input'!$I$240*(1+vanilla2)^0.5)/A18stdlife))</f>
        <v>0</v>
      </c>
      <c r="R288" s="18"/>
      <c r="S288" s="74"/>
      <c r="T288" s="74"/>
      <c r="U288" s="74"/>
      <c r="V288" s="74"/>
      <c r="W288" s="74"/>
      <c r="X288" s="74"/>
      <c r="Y288" s="74"/>
      <c r="Z288" s="74"/>
    </row>
    <row r="289" spans="1:26" ht="12.75" hidden="1" customHeight="1" outlineLevel="2">
      <c r="A289" s="3"/>
      <c r="B289" s="3"/>
      <c r="C289" s="3"/>
      <c r="D289" s="16"/>
      <c r="E289" s="1594"/>
      <c r="F289" s="61">
        <v>3</v>
      </c>
      <c r="G289" s="1341"/>
      <c r="H289" s="114"/>
      <c r="I289" s="115"/>
      <c r="J289" s="116"/>
      <c r="K289" s="18">
        <f>IF(A18stdlife="n/a","n/a",IF(K$3&gt;(A18stdlife+$F289),('RFM input'!$J$240*(1+vanilla3)^0.5)-SUM($J289:J289),('RFM input'!$J$240*(1+vanilla3)^0.5)/A18stdlife))</f>
        <v>0</v>
      </c>
      <c r="L289" s="18">
        <f>IF(A18stdlife="n/a","n/a",IF(L$3&gt;(A18stdlife+$F289),('RFM input'!$J$240*(1+vanilla3)^0.5)-SUM($J289:K289),('RFM input'!$J$240*(1+vanilla3)^0.5)/A18stdlife))</f>
        <v>0</v>
      </c>
      <c r="M289" s="18">
        <f>IF(A18stdlife="n/a","n/a",IF(M$3&gt;(A18stdlife+$F289),('RFM input'!$J$240*(1+vanilla3)^0.5)-SUM($J289:L289),('RFM input'!$J$240*(1+vanilla3)^0.5)/A18stdlife))</f>
        <v>0</v>
      </c>
      <c r="N289" s="18">
        <f>IF(A18stdlife="n/a","n/a",IF(N$3&gt;(A18stdlife+$F289),('RFM input'!$J$240*(1+vanilla3)^0.5)-SUM($J289:M289),('RFM input'!$J$240*(1+vanilla3)^0.5)/A18stdlife))</f>
        <v>0</v>
      </c>
      <c r="O289" s="18">
        <f>IF(A18stdlife="n/a","n/a",IF(O$3&gt;(A18stdlife+$F289),('RFM input'!$J$240*(1+vanilla3)^0.5)-SUM($J289:N289),('RFM input'!$J$240*(1+vanilla3)^0.5)/A18stdlife))</f>
        <v>0</v>
      </c>
      <c r="P289" s="18">
        <f>IF(A18stdlife="n/a","n/a",IF(P$3&gt;(A18stdlife+$F289),('RFM input'!$J$240*(1+vanilla3)^0.5)-SUM($J289:O289),('RFM input'!$J$240*(1+vanilla3)^0.5)/A18stdlife))</f>
        <v>0</v>
      </c>
      <c r="Q289" s="18">
        <f>IF(A18stdlife="n/a","n/a",IF(Q$3&gt;(A18stdlife+$F289),('RFM input'!$J$240*(1+vanilla3)^0.5)-SUM($J289:P289),('RFM input'!$J$240*(1+vanilla3)^0.5)/A18stdlife))</f>
        <v>0</v>
      </c>
      <c r="R289" s="18"/>
      <c r="S289" s="74"/>
      <c r="T289" s="74"/>
      <c r="U289" s="74"/>
      <c r="V289" s="74"/>
      <c r="W289" s="74"/>
      <c r="X289" s="74"/>
      <c r="Y289" s="74"/>
      <c r="Z289" s="74"/>
    </row>
    <row r="290" spans="1:26" ht="12.75" hidden="1" customHeight="1" outlineLevel="2">
      <c r="A290" s="3"/>
      <c r="B290" s="3"/>
      <c r="C290" s="3"/>
      <c r="D290" s="16"/>
      <c r="E290" s="1594"/>
      <c r="F290" s="61">
        <v>4</v>
      </c>
      <c r="G290" s="1341"/>
      <c r="H290" s="114"/>
      <c r="I290" s="115"/>
      <c r="J290" s="115"/>
      <c r="K290" s="116"/>
      <c r="L290" s="18">
        <f>IF(A18stdlife="n/a","n/a",IF(L$3&gt;(A18stdlife+$F290),('RFM input'!$K$240*(1+vanilla4)^0.5)-SUM($K290:K290),('RFM input'!$K$240*(1+vanilla4)^0.5)/A18stdlife))</f>
        <v>0</v>
      </c>
      <c r="M290" s="18">
        <f>IF(A18stdlife="n/a","n/a",IF(M$3&gt;(A18stdlife+$F290),('RFM input'!$K$240*(1+vanilla4)^0.5)-SUM($K290:L290),('RFM input'!$K$240*(1+vanilla4)^0.5)/A18stdlife))</f>
        <v>0</v>
      </c>
      <c r="N290" s="18">
        <f>IF(A18stdlife="n/a","n/a",IF(N$3&gt;(A18stdlife+$F290),('RFM input'!$K$240*(1+vanilla4)^0.5)-SUM($K290:M290),('RFM input'!$K$240*(1+vanilla4)^0.5)/A18stdlife))</f>
        <v>0</v>
      </c>
      <c r="O290" s="18">
        <f>IF(A18stdlife="n/a","n/a",IF(O$3&gt;(A18stdlife+$F290),('RFM input'!$K$240*(1+vanilla4)^0.5)-SUM($K290:N290),('RFM input'!$K$240*(1+vanilla4)^0.5)/A18stdlife))</f>
        <v>0</v>
      </c>
      <c r="P290" s="18">
        <f>IF(A18stdlife="n/a","n/a",IF(P$3&gt;(A18stdlife+$F290),('RFM input'!$K$240*(1+vanilla4)^0.5)-SUM($K290:O290),('RFM input'!$K$240*(1+vanilla4)^0.5)/A18stdlife))</f>
        <v>0</v>
      </c>
      <c r="Q290" s="18">
        <f>IF(A18stdlife="n/a","n/a",IF(Q$3&gt;(A18stdlife+$F290),('RFM input'!$K$240*(1+vanilla4)^0.5)-SUM($K290:P290),('RFM input'!$K$240*(1+vanilla4)^0.5)/A18stdlife))</f>
        <v>0</v>
      </c>
      <c r="R290" s="18"/>
      <c r="S290" s="74"/>
      <c r="T290" s="74"/>
      <c r="U290" s="74"/>
      <c r="V290" s="74"/>
      <c r="W290" s="74"/>
      <c r="X290" s="74"/>
      <c r="Y290" s="74"/>
      <c r="Z290" s="74"/>
    </row>
    <row r="291" spans="1:26" ht="12.75" hidden="1" customHeight="1" outlineLevel="2">
      <c r="A291" s="3"/>
      <c r="B291" s="3"/>
      <c r="C291" s="3"/>
      <c r="D291" s="16"/>
      <c r="E291" s="1594"/>
      <c r="F291" s="61">
        <v>5</v>
      </c>
      <c r="G291" s="17"/>
      <c r="H291" s="114"/>
      <c r="I291" s="115"/>
      <c r="J291" s="115"/>
      <c r="K291" s="115"/>
      <c r="L291" s="116"/>
      <c r="M291" s="18">
        <f>IF(A18stdlife="n/a","n/a",IF(M$3&gt;(A18stdlife+$F291),('RFM input'!$L$240*(1+vanilla5)^0.5)-SUM($L291:L291),('RFM input'!$L$240*(1+vanilla5)^0.5)/A18stdlife))</f>
        <v>0</v>
      </c>
      <c r="N291" s="18">
        <f>IF(A18stdlife="n/a","n/a",IF(N$3&gt;(A18stdlife+$F291),('RFM input'!$L$240*(1+vanilla5)^0.5)-SUM($L291:M291),('RFM input'!$L$240*(1+vanilla5)^0.5)/A18stdlife))</f>
        <v>0</v>
      </c>
      <c r="O291" s="18">
        <f>IF(A18stdlife="n/a","n/a",IF(O$3&gt;(A18stdlife+$F291),('RFM input'!$L$240*(1+vanilla5)^0.5)-SUM($L291:N291),('RFM input'!$L$240*(1+vanilla5)^0.5)/A18stdlife))</f>
        <v>0</v>
      </c>
      <c r="P291" s="18">
        <f>IF(A18stdlife="n/a","n/a",IF(P$3&gt;(A18stdlife+$F291),('RFM input'!$L$240*(1+vanilla5)^0.5)-SUM($L291:O291),('RFM input'!$L$240*(1+vanilla5)^0.5)/A18stdlife))</f>
        <v>0</v>
      </c>
      <c r="Q291" s="18">
        <f>IF(A18stdlife="n/a","n/a",IF(Q$3&gt;(A18stdlife+$F291),('RFM input'!$L$240*(1+vanilla5)^0.5)-SUM($L291:P291),('RFM input'!$L$240*(1+vanilla5)^0.5)/A18stdlife))</f>
        <v>0</v>
      </c>
      <c r="R291" s="18"/>
      <c r="S291" s="74"/>
      <c r="T291" s="74"/>
      <c r="U291" s="74"/>
      <c r="V291" s="74"/>
      <c r="W291" s="74"/>
      <c r="X291" s="74"/>
      <c r="Y291" s="74"/>
      <c r="Z291" s="74"/>
    </row>
    <row r="292" spans="1:26" ht="12.75" hidden="1" customHeight="1" outlineLevel="2">
      <c r="A292" s="3"/>
      <c r="B292" s="3"/>
      <c r="C292" s="3"/>
      <c r="D292" s="16"/>
      <c r="E292" s="1594"/>
      <c r="F292" s="61">
        <v>6</v>
      </c>
      <c r="G292" s="17"/>
      <c r="H292" s="114"/>
      <c r="I292" s="115"/>
      <c r="J292" s="115"/>
      <c r="K292" s="115"/>
      <c r="L292" s="115"/>
      <c r="M292" s="116"/>
      <c r="N292" s="18">
        <f>IF(A18stdlife="n/a","n/a",IF(N$3&gt;(A18stdlife+$F292),('RFM input'!$M$240*(1+vanilla6)^0.5)-SUM($M292:M292),('RFM input'!$M$240*(1+vanilla6)^0.5)/A18stdlife))</f>
        <v>0</v>
      </c>
      <c r="O292" s="18">
        <f>IF(A18stdlife="n/a","n/a",IF(O$3&gt;(A18stdlife+$F292),('RFM input'!$M$240*(1+vanilla6)^0.5)-SUM($M292:N292),('RFM input'!$M$240*(1+vanilla6)^0.5)/A18stdlife))</f>
        <v>0</v>
      </c>
      <c r="P292" s="18">
        <f>IF(A18stdlife="n/a","n/a",IF(P$3&gt;(A18stdlife+$F292),('RFM input'!$M$240*(1+vanilla6)^0.5)-SUM($M292:O292),('RFM input'!$M$240*(1+vanilla6)^0.5)/A18stdlife))</f>
        <v>0</v>
      </c>
      <c r="Q292" s="18">
        <f>IF(A18stdlife="n/a","n/a",IF(Q$3&gt;(A18stdlife+$F292),('RFM input'!$M$240*(1+vanilla6)^0.5)-SUM($M292:P292),('RFM input'!$M$240*(1+vanilla6)^0.5)/A18stdlife))</f>
        <v>0</v>
      </c>
      <c r="R292" s="18"/>
      <c r="S292" s="74"/>
      <c r="T292" s="74"/>
      <c r="U292" s="74"/>
      <c r="V292" s="74"/>
      <c r="W292" s="74"/>
      <c r="X292" s="74"/>
      <c r="Y292" s="74"/>
      <c r="Z292" s="74"/>
    </row>
    <row r="293" spans="1:26" ht="12.75" hidden="1" customHeight="1" outlineLevel="2">
      <c r="A293" s="3"/>
      <c r="B293" s="3"/>
      <c r="C293" s="3"/>
      <c r="D293" s="16"/>
      <c r="E293" s="1594"/>
      <c r="F293" s="61">
        <v>7</v>
      </c>
      <c r="G293" s="17"/>
      <c r="H293" s="114"/>
      <c r="I293" s="115"/>
      <c r="J293" s="115"/>
      <c r="K293" s="115"/>
      <c r="L293" s="115"/>
      <c r="M293" s="115"/>
      <c r="N293" s="116"/>
      <c r="O293" s="18">
        <f>IF(A18stdlife="n/a","n/a",IF(O$3&gt;(A18stdlife+$F293),('RFM input'!$N$240*(1+vanilla7)^0.5)-SUM($N293:N293),('RFM input'!$N$240*(1+vanilla7)^0.5)/A18stdlife))</f>
        <v>0</v>
      </c>
      <c r="P293" s="18">
        <f>IF(A18stdlife="n/a","n/a",IF(P$3&gt;(A18stdlife+$F293),('RFM input'!$N$240*(1+vanilla7)^0.5)-SUM($N293:O293),('RFM input'!$N$240*(1+vanilla7)^0.5)/A18stdlife))</f>
        <v>0</v>
      </c>
      <c r="Q293" s="18">
        <f>IF(A18stdlife="n/a","n/a",IF(Q$3&gt;(A18stdlife+$F293),('RFM input'!$N$240*(1+vanilla7)^0.5)-SUM($N293:P293),('RFM input'!$N$240*(1+vanilla7)^0.5)/A18stdlife))</f>
        <v>0</v>
      </c>
      <c r="R293" s="18"/>
      <c r="S293" s="74"/>
      <c r="T293" s="74"/>
      <c r="U293" s="74"/>
      <c r="V293" s="74"/>
      <c r="W293" s="74"/>
      <c r="X293" s="74"/>
      <c r="Y293" s="74"/>
      <c r="Z293" s="74"/>
    </row>
    <row r="294" spans="1:26" ht="12.75" hidden="1" customHeight="1" outlineLevel="2">
      <c r="A294" s="3"/>
      <c r="B294" s="3"/>
      <c r="C294" s="3"/>
      <c r="D294" s="16"/>
      <c r="E294" s="1594"/>
      <c r="F294" s="61">
        <v>8</v>
      </c>
      <c r="G294" s="17"/>
      <c r="H294" s="114"/>
      <c r="I294" s="115"/>
      <c r="J294" s="115"/>
      <c r="K294" s="115"/>
      <c r="L294" s="115"/>
      <c r="M294" s="115"/>
      <c r="N294" s="115"/>
      <c r="O294" s="116"/>
      <c r="P294" s="18">
        <f>IF(A18stdlife="n/a","n/a",IF(P$3&gt;(A18stdlife+$F294),('RFM input'!$O$240*(1+vanilla8)^0.5)-SUM($O294:O294),('RFM input'!$O$240*(1+vanilla8)^0.5)/A18stdlife))</f>
        <v>0</v>
      </c>
      <c r="Q294" s="18">
        <f>IF(A18stdlife="n/a","n/a",IF(Q$3&gt;(A18stdlife+$F294),('RFM input'!$O$240*(1+vanilla8)^0.5)-SUM($O294:P294),('RFM input'!$O$240*(1+vanilla8)^0.5)/A18stdlife))</f>
        <v>0</v>
      </c>
      <c r="R294" s="18"/>
      <c r="S294" s="74"/>
      <c r="T294" s="74"/>
      <c r="U294" s="74"/>
      <c r="V294" s="74"/>
      <c r="W294" s="74"/>
      <c r="X294" s="74"/>
      <c r="Y294" s="74"/>
      <c r="Z294" s="74"/>
    </row>
    <row r="295" spans="1:26" ht="12.75" hidden="1" customHeight="1" outlineLevel="2">
      <c r="A295" s="3"/>
      <c r="B295" s="3"/>
      <c r="C295" s="3"/>
      <c r="D295" s="16"/>
      <c r="E295" s="1594"/>
      <c r="F295" s="61">
        <v>9</v>
      </c>
      <c r="G295" s="17"/>
      <c r="H295" s="114"/>
      <c r="I295" s="115"/>
      <c r="J295" s="115"/>
      <c r="K295" s="115"/>
      <c r="L295" s="115"/>
      <c r="M295" s="115"/>
      <c r="N295" s="115"/>
      <c r="O295" s="115"/>
      <c r="P295" s="116"/>
      <c r="Q295" s="18">
        <f>IF(A18stdlife="n/a","n/a",IF(Q$3&gt;(A18stdlife+$F295),('RFM input'!$P$240*(1+vanilla9)^0.5)-SUM($P295:P295),('RFM input'!$P$240*(1+vanilla9)^0.5)/A18stdlife))</f>
        <v>0</v>
      </c>
      <c r="R295" s="18"/>
      <c r="S295" s="74"/>
      <c r="T295" s="74"/>
      <c r="U295" s="74"/>
      <c r="V295" s="74"/>
      <c r="W295" s="74"/>
      <c r="X295" s="74"/>
      <c r="Y295" s="74"/>
      <c r="Z295" s="74"/>
    </row>
    <row r="296" spans="1:26" ht="12.75" hidden="1" customHeight="1" outlineLevel="2">
      <c r="A296" s="3"/>
      <c r="B296" s="3"/>
      <c r="C296" s="3"/>
      <c r="D296" s="16"/>
      <c r="E296" s="1594"/>
      <c r="F296" s="62">
        <v>10</v>
      </c>
      <c r="G296" s="17"/>
      <c r="H296" s="114"/>
      <c r="I296" s="115"/>
      <c r="J296" s="115"/>
      <c r="K296" s="115"/>
      <c r="L296" s="115"/>
      <c r="M296" s="115"/>
      <c r="N296" s="115"/>
      <c r="O296" s="115"/>
      <c r="P296" s="115"/>
      <c r="Q296" s="116"/>
      <c r="R296" s="18"/>
      <c r="S296" s="74"/>
      <c r="T296" s="74"/>
      <c r="U296" s="74"/>
      <c r="V296" s="74"/>
      <c r="W296" s="74"/>
      <c r="X296" s="74"/>
      <c r="Y296" s="74"/>
      <c r="Z296" s="74"/>
    </row>
    <row r="297" spans="1:26" ht="13.35" hidden="1" customHeight="1" outlineLevel="1">
      <c r="A297" s="3"/>
      <c r="B297" s="3"/>
      <c r="C297" s="3"/>
      <c r="D297" s="134">
        <f>Asset18</f>
        <v>0</v>
      </c>
      <c r="E297" s="3"/>
      <c r="F297" s="3"/>
      <c r="G297" s="1341"/>
      <c r="H297" s="1458">
        <f>IF(OR('RFM input'!$E$293='RFM input'!$G$292,'RFM input'!$E$293='RFM input'!$G$293),-INDEX('RFM input'!H$299:H$348,MATCH($D297,'RFM input'!$E$299:$E$348,0),1),-SUM(H285:H296))</f>
        <v>0</v>
      </c>
      <c r="I297" s="1458">
        <f>IF(OR('RFM input'!$E$293='RFM input'!$G$292,'RFM input'!$E$293='RFM input'!$G$293),-INDEX('RFM input'!I$299:I$348,MATCH($D297,'RFM input'!$E$299:$E$348,0),1),-SUM(I285:I296))</f>
        <v>0</v>
      </c>
      <c r="J297" s="1386">
        <f>IF(COUNT($H297:I297)&gt;='RFM input'!$V$7,
   0,
   IF(OR('RFM input'!$E$293='RFM input'!$G$292,'RFM input'!$E$293='RFM input'!$G$293),
      -INDEX('RFM input'!J$299:J$348,MATCH($D297,'RFM input'!$E$299:$E$348,0),1),
      -SUM(J285:J296)))</f>
        <v>0</v>
      </c>
      <c r="K297" s="1386">
        <f>IF(COUNT($H297:J297)&gt;='RFM input'!$V$7,
   0,
   IF(OR('RFM input'!$E$293='RFM input'!$G$292,'RFM input'!$E$293='RFM input'!$G$293),
      -INDEX('RFM input'!K$299:K$348,MATCH($D297,'RFM input'!$E$299:$E$348,0),1),
      -SUM(K285:K296)))</f>
        <v>0</v>
      </c>
      <c r="L297" s="1386">
        <f>IF(COUNT($H297:K297)&gt;='RFM input'!$V$7,
   0,
   IF(OR('RFM input'!$E$293='RFM input'!$G$292,'RFM input'!$E$293='RFM input'!$G$293),
      -INDEX('RFM input'!L$299:L$348,MATCH($D297,'RFM input'!$E$299:$E$348,0),1),
      -SUM(L285:L296)))</f>
        <v>0</v>
      </c>
      <c r="M297" s="1386">
        <f>IF(COUNT($H297:L297)&gt;='RFM input'!$V$7,
   0,
   IF(OR('RFM input'!$E$293='RFM input'!$G$292,'RFM input'!$E$293='RFM input'!$G$293),
      -INDEX('RFM input'!M$299:M$348,MATCH($D297,'RFM input'!$E$299:$E$348,0),1),
      -SUM(M285:M296)))</f>
        <v>0</v>
      </c>
      <c r="N297" s="1386">
        <f>IF(COUNT($H297:M297)&gt;='RFM input'!$V$7,
   0,
   IF(OR('RFM input'!$E$293='RFM input'!$G$292,'RFM input'!$E$293='RFM input'!$G$293),
      -INDEX('RFM input'!N$299:N$348,MATCH($D297,'RFM input'!$E$299:$E$348,0),1),
      -SUM(N285:N296)))</f>
        <v>0</v>
      </c>
      <c r="O297" s="1386">
        <f>IF(COUNT($H297:N297)&gt;='RFM input'!$V$7,
   0,
   IF(OR('RFM input'!$E$293='RFM input'!$G$292,'RFM input'!$E$293='RFM input'!$G$293),
      -INDEX('RFM input'!O$299:O$348,MATCH($D297,'RFM input'!$E$299:$E$348,0),1),
      -SUM(O285:O296)))</f>
        <v>0</v>
      </c>
      <c r="P297" s="1386">
        <f>IF(COUNT($H297:O297)&gt;='RFM input'!$V$7,
   0,
   IF(OR('RFM input'!$E$293='RFM input'!$G$292,'RFM input'!$E$293='RFM input'!$G$293),
      -INDEX('RFM input'!P$299:P$348,MATCH($D297,'RFM input'!$E$299:$E$348,0),1),
      -SUM(P285:P296)))</f>
        <v>0</v>
      </c>
      <c r="Q297" s="1386">
        <f>IF(COUNT($H297:P297)&gt;='RFM input'!$V$7,
   0,
   IF(OR('RFM input'!$E$293='RFM input'!$G$292,'RFM input'!$E$293='RFM input'!$G$293),
      -INDEX('RFM input'!Q$299:Q$348,MATCH($D297,'RFM input'!$E$299:$E$348,0),1),
      -SUM(Q285:Q296)))</f>
        <v>0</v>
      </c>
      <c r="R297" s="1382"/>
      <c r="S297" s="76"/>
      <c r="T297" s="76"/>
      <c r="U297" s="76"/>
      <c r="V297" s="76"/>
      <c r="W297" s="76"/>
      <c r="X297" s="76"/>
      <c r="Y297" s="76"/>
      <c r="Z297" s="76"/>
    </row>
    <row r="298" spans="1:26" ht="12.75" hidden="1" customHeight="1" outlineLevel="2">
      <c r="A298" s="3"/>
      <c r="B298" s="3"/>
      <c r="C298" s="135">
        <f>Asset19</f>
        <v>0</v>
      </c>
      <c r="D298" s="100"/>
      <c r="E298" s="20" t="s">
        <v>23</v>
      </c>
      <c r="F298" s="19"/>
      <c r="G298" s="1383"/>
      <c r="H298" s="1380">
        <f>IF(H$3&gt;A19remlife,A19value-SUM($G298:G298),IF(A19remlife="N/A","n/a",A19value/A19remlife))</f>
        <v>0</v>
      </c>
      <c r="I298" s="1380">
        <f>IF(I$3&gt;A19remlife,A19value-SUM($G298:H298),IF(A19remlife="N/A","n/a",A19value/A19remlife))</f>
        <v>0</v>
      </c>
      <c r="J298" s="1380">
        <f>IF(J$3&gt;A19remlife,A19value-SUM($G298:I298),IF(A19remlife="N/A","n/a",A19value/A19remlife))</f>
        <v>0</v>
      </c>
      <c r="K298" s="1380">
        <f>IF(K$3&gt;A19remlife,A19value-SUM($G298:J298),IF(A19remlife="N/A","n/a",A19value/A19remlife))</f>
        <v>0</v>
      </c>
      <c r="L298" s="1380">
        <f>IF(L$3&gt;A19remlife,A19value-SUM($G298:K298),IF(A19remlife="N/A","n/a",A19value/A19remlife))</f>
        <v>0</v>
      </c>
      <c r="M298" s="1380">
        <f>IF(M$3&gt;A19remlife,A19value-SUM($G298:L298),IF(A19remlife="N/A","n/a",A19value/A19remlife))</f>
        <v>0</v>
      </c>
      <c r="N298" s="1380">
        <f>IF(N$3&gt;A19remlife,A19value-SUM($G298:M298),IF(A19remlife="N/A","n/a",A19value/A19remlife))</f>
        <v>0</v>
      </c>
      <c r="O298" s="1380">
        <f>IF(O$3&gt;A19remlife,A19value-SUM($G298:N298),IF(A19remlife="N/A","n/a",A19value/A19remlife))</f>
        <v>0</v>
      </c>
      <c r="P298" s="1380">
        <f>IF(P$3&gt;A19remlife,A19value-SUM($G298:O298),IF(A19remlife="N/A","n/a",A19value/A19remlife))</f>
        <v>0</v>
      </c>
      <c r="Q298" s="1380">
        <f>IF(Q$3&gt;A19remlife,A19value-SUM($G298:P298),IF(A19remlife="N/A","n/a",A19value/A19remlife))</f>
        <v>0</v>
      </c>
      <c r="R298" s="21"/>
      <c r="S298" s="74"/>
      <c r="T298" s="74"/>
      <c r="U298" s="74"/>
      <c r="V298" s="74"/>
      <c r="W298" s="74"/>
      <c r="X298" s="74"/>
      <c r="Y298" s="74"/>
      <c r="Z298" s="74"/>
    </row>
    <row r="299" spans="1:26" ht="12.75" hidden="1" customHeight="1" outlineLevel="2">
      <c r="A299" s="3"/>
      <c r="B299" s="3"/>
      <c r="C299" s="3"/>
      <c r="D299" s="16"/>
      <c r="E299" s="1593" t="s">
        <v>43</v>
      </c>
      <c r="F299" s="61"/>
      <c r="G299" s="1341"/>
      <c r="H299" s="18"/>
      <c r="I299" s="18"/>
      <c r="J299" s="18"/>
      <c r="K299" s="18"/>
      <c r="L299" s="18"/>
      <c r="M299" s="1384"/>
      <c r="N299" s="1385"/>
      <c r="O299" s="18"/>
      <c r="P299" s="18"/>
      <c r="Q299" s="18"/>
      <c r="R299" s="18"/>
      <c r="S299" s="74"/>
      <c r="T299" s="74"/>
      <c r="U299" s="74"/>
      <c r="V299" s="74"/>
      <c r="W299" s="74"/>
      <c r="X299" s="74"/>
      <c r="Y299" s="74"/>
      <c r="Z299" s="74"/>
    </row>
    <row r="300" spans="1:26" ht="12.75" hidden="1" customHeight="1" outlineLevel="2">
      <c r="A300" s="3"/>
      <c r="B300" s="3"/>
      <c r="C300" s="3"/>
      <c r="D300" s="16"/>
      <c r="E300" s="1594"/>
      <c r="F300" s="61">
        <v>1</v>
      </c>
      <c r="G300" s="1341"/>
      <c r="H300" s="1381"/>
      <c r="I300" s="18">
        <f>IF(A19stdlife="n/a","n/a",IF(I$3&gt;(A19stdlife+$F300),('RFM input'!$H$241*(1+vanilla1)^0.5)-SUM($H300:H300),('RFM input'!$H$241*(1+vanilla1)^0.5)/A19stdlife))</f>
        <v>0</v>
      </c>
      <c r="J300" s="18">
        <f>IF(A19stdlife="n/a","n/a",IF(J$3&gt;(A19stdlife+$F300),('RFM input'!$H$241*(1+vanilla1)^0.5)-SUM($H300:I300),('RFM input'!$H$241*(1+vanilla1)^0.5)/A19stdlife))</f>
        <v>0</v>
      </c>
      <c r="K300" s="18">
        <f>IF(A19stdlife="n/a","n/a",IF(K$3&gt;(A19stdlife+$F300),('RFM input'!$H$241*(1+vanilla1)^0.5)-SUM($H300:J300),('RFM input'!$H$241*(1+vanilla1)^0.5)/A19stdlife))</f>
        <v>0</v>
      </c>
      <c r="L300" s="18">
        <f>IF(A19stdlife="n/a","n/a",IF(L$3&gt;(A19stdlife+$F300),('RFM input'!$H$241*(1+vanilla1)^0.5)-SUM($H300:K300),('RFM input'!$H$241*(1+vanilla1)^0.5)/A19stdlife))</f>
        <v>0</v>
      </c>
      <c r="M300" s="18">
        <f>IF(A19stdlife="n/a","n/a",IF(M$3&gt;(A19stdlife+$F300),('RFM input'!$H$241*(1+vanilla1)^0.5)-SUM($H300:L300),('RFM input'!$H$241*(1+vanilla1)^0.5)/A19stdlife))</f>
        <v>0</v>
      </c>
      <c r="N300" s="18">
        <f>IF(A19stdlife="n/a","n/a",IF(N$3&gt;(A19stdlife+$F300),('RFM input'!$H$241*(1+vanilla1)^0.5)-SUM($H300:M300),('RFM input'!$H$241*(1+vanilla1)^0.5)/A19stdlife))</f>
        <v>0</v>
      </c>
      <c r="O300" s="18">
        <f>IF(A19stdlife="n/a","n/a",IF(O$3&gt;(A19stdlife+$F300),('RFM input'!$H$241*(1+vanilla1)^0.5)-SUM($H300:N300),('RFM input'!$H$241*(1+vanilla1)^0.5)/A19stdlife))</f>
        <v>0</v>
      </c>
      <c r="P300" s="18">
        <f>IF(A19stdlife="n/a","n/a",IF(P$3&gt;(A19stdlife+$F300),('RFM input'!$H$241*(1+vanilla1)^0.5)-SUM($H300:O300),('RFM input'!$H$241*(1+vanilla1)^0.5)/A19stdlife))</f>
        <v>0</v>
      </c>
      <c r="Q300" s="18">
        <f>IF(A19stdlife="n/a","n/a",IF(Q$3&gt;(A19stdlife+$F300),('RFM input'!$H$241*(1+vanilla1)^0.5)-SUM($H300:P300),('RFM input'!$H$241*(1+vanilla1)^0.5)/A19stdlife))</f>
        <v>0</v>
      </c>
      <c r="R300" s="18"/>
      <c r="S300" s="74"/>
      <c r="T300" s="74"/>
      <c r="U300" s="74"/>
      <c r="V300" s="74"/>
      <c r="W300" s="74"/>
      <c r="X300" s="74"/>
      <c r="Y300" s="74"/>
      <c r="Z300" s="74"/>
    </row>
    <row r="301" spans="1:26" ht="12.75" hidden="1" customHeight="1" outlineLevel="2">
      <c r="A301" s="3"/>
      <c r="B301" s="3"/>
      <c r="C301" s="3"/>
      <c r="D301" s="16"/>
      <c r="E301" s="1594"/>
      <c r="F301" s="61">
        <v>2</v>
      </c>
      <c r="G301" s="1341"/>
      <c r="H301" s="114"/>
      <c r="I301" s="116"/>
      <c r="J301" s="18">
        <f>IF(A19stdlife="n/a","n/a",IF(J$3&gt;(A19stdlife+$F301),('RFM input'!$I$241*(1+vanilla2)^0.5)-SUM($I301:I301),('RFM input'!$I$241*(1+vanilla2)^0.5)/A19stdlife))</f>
        <v>0</v>
      </c>
      <c r="K301" s="18">
        <f>IF(A19stdlife="n/a","n/a",IF(K$3&gt;(A19stdlife+$F301),('RFM input'!$I$241*(1+vanilla2)^0.5)-SUM($I301:J301),('RFM input'!$I$241*(1+vanilla2)^0.5)/A19stdlife))</f>
        <v>0</v>
      </c>
      <c r="L301" s="18">
        <f>IF(A19stdlife="n/a","n/a",IF(L$3&gt;(A19stdlife+$F301),('RFM input'!$I$241*(1+vanilla2)^0.5)-SUM($I301:K301),('RFM input'!$I$241*(1+vanilla2)^0.5)/A19stdlife))</f>
        <v>0</v>
      </c>
      <c r="M301" s="18">
        <f>IF(A19stdlife="n/a","n/a",IF(M$3&gt;(A19stdlife+$F301),('RFM input'!$I$241*(1+vanilla2)^0.5)-SUM($I301:L301),('RFM input'!$I$241*(1+vanilla2)^0.5)/A19stdlife))</f>
        <v>0</v>
      </c>
      <c r="N301" s="18">
        <f>IF(A19stdlife="n/a","n/a",IF(N$3&gt;(A19stdlife+$F301),('RFM input'!$I$241*(1+vanilla2)^0.5)-SUM($I301:M301),('RFM input'!$I$241*(1+vanilla2)^0.5)/A19stdlife))</f>
        <v>0</v>
      </c>
      <c r="O301" s="18">
        <f>IF(A19stdlife="n/a","n/a",IF(O$3&gt;(A19stdlife+$F301),('RFM input'!$I$241*(1+vanilla2)^0.5)-SUM($I301:N301),('RFM input'!$I$241*(1+vanilla2)^0.5)/A19stdlife))</f>
        <v>0</v>
      </c>
      <c r="P301" s="18">
        <f>IF(A19stdlife="n/a","n/a",IF(P$3&gt;(A19stdlife+$F301),('RFM input'!$I$241*(1+vanilla2)^0.5)-SUM($I301:O301),('RFM input'!$I$241*(1+vanilla2)^0.5)/A19stdlife))</f>
        <v>0</v>
      </c>
      <c r="Q301" s="18">
        <f>IF(A19stdlife="n/a","n/a",IF(Q$3&gt;(A19stdlife+$F301),('RFM input'!$I$241*(1+vanilla2)^0.5)-SUM($I301:P301),('RFM input'!$I$241*(1+vanilla2)^0.5)/A19stdlife))</f>
        <v>0</v>
      </c>
      <c r="R301" s="18"/>
      <c r="S301" s="74"/>
      <c r="T301" s="74"/>
      <c r="U301" s="74"/>
      <c r="V301" s="74"/>
      <c r="W301" s="74"/>
      <c r="X301" s="74"/>
      <c r="Y301" s="74"/>
      <c r="Z301" s="74"/>
    </row>
    <row r="302" spans="1:26" ht="12.75" hidden="1" customHeight="1" outlineLevel="2">
      <c r="A302" s="3"/>
      <c r="B302" s="3"/>
      <c r="C302" s="3"/>
      <c r="D302" s="16"/>
      <c r="E302" s="1594"/>
      <c r="F302" s="61">
        <v>3</v>
      </c>
      <c r="G302" s="1341"/>
      <c r="H302" s="114"/>
      <c r="I302" s="115"/>
      <c r="J302" s="116"/>
      <c r="K302" s="18">
        <f>IF(A19stdlife="n/a","n/a",IF(K$3&gt;(A19stdlife+$F302),('RFM input'!$J$241*(1+vanilla3)^0.5)-SUM($J302:J302),('RFM input'!$J$241*(1+vanilla3)^0.5)/A19stdlife))</f>
        <v>0</v>
      </c>
      <c r="L302" s="18">
        <f>IF(A19stdlife="n/a","n/a",IF(L$3&gt;(A19stdlife+$F302),('RFM input'!$J$241*(1+vanilla3)^0.5)-SUM($J302:K302),('RFM input'!$J$241*(1+vanilla3)^0.5)/A19stdlife))</f>
        <v>0</v>
      </c>
      <c r="M302" s="18">
        <f>IF(A19stdlife="n/a","n/a",IF(M$3&gt;(A19stdlife+$F302),('RFM input'!$J$241*(1+vanilla3)^0.5)-SUM($J302:L302),('RFM input'!$J$241*(1+vanilla3)^0.5)/A19stdlife))</f>
        <v>0</v>
      </c>
      <c r="N302" s="18">
        <f>IF(A19stdlife="n/a","n/a",IF(N$3&gt;(A19stdlife+$F302),('RFM input'!$J$241*(1+vanilla3)^0.5)-SUM($J302:M302),('RFM input'!$J$241*(1+vanilla3)^0.5)/A19stdlife))</f>
        <v>0</v>
      </c>
      <c r="O302" s="18">
        <f>IF(A19stdlife="n/a","n/a",IF(O$3&gt;(A19stdlife+$F302),('RFM input'!$J$241*(1+vanilla3)^0.5)-SUM($J302:N302),('RFM input'!$J$241*(1+vanilla3)^0.5)/A19stdlife))</f>
        <v>0</v>
      </c>
      <c r="P302" s="18">
        <f>IF(A19stdlife="n/a","n/a",IF(P$3&gt;(A19stdlife+$F302),('RFM input'!$J$241*(1+vanilla3)^0.5)-SUM($J302:O302),('RFM input'!$J$241*(1+vanilla3)^0.5)/A19stdlife))</f>
        <v>0</v>
      </c>
      <c r="Q302" s="18">
        <f>IF(A19stdlife="n/a","n/a",IF(Q$3&gt;(A19stdlife+$F302),('RFM input'!$J$241*(1+vanilla3)^0.5)-SUM($J302:P302),('RFM input'!$J$241*(1+vanilla3)^0.5)/A19stdlife))</f>
        <v>0</v>
      </c>
      <c r="R302" s="18"/>
      <c r="S302" s="74"/>
      <c r="T302" s="74"/>
      <c r="U302" s="74"/>
      <c r="V302" s="74"/>
      <c r="W302" s="74"/>
      <c r="X302" s="74"/>
      <c r="Y302" s="74"/>
      <c r="Z302" s="74"/>
    </row>
    <row r="303" spans="1:26" ht="12.75" hidden="1" customHeight="1" outlineLevel="2">
      <c r="A303" s="3"/>
      <c r="B303" s="3"/>
      <c r="C303" s="3"/>
      <c r="D303" s="16"/>
      <c r="E303" s="1594"/>
      <c r="F303" s="61">
        <v>4</v>
      </c>
      <c r="G303" s="1341"/>
      <c r="H303" s="114"/>
      <c r="I303" s="115"/>
      <c r="J303" s="115"/>
      <c r="K303" s="116"/>
      <c r="L303" s="18">
        <f>IF(A19stdlife="n/a","n/a",IF(L$3&gt;(A19stdlife+$F303),('RFM input'!$K$241*(1+vanilla4)^0.5)-SUM($K303:K303),('RFM input'!$K$241*(1+vanilla4)^0.5)/A19stdlife))</f>
        <v>0</v>
      </c>
      <c r="M303" s="18">
        <f>IF(A19stdlife="n/a","n/a",IF(M$3&gt;(A19stdlife+$F303),('RFM input'!$K$241*(1+vanilla4)^0.5)-SUM($K303:L303),('RFM input'!$K$241*(1+vanilla4)^0.5)/A19stdlife))</f>
        <v>0</v>
      </c>
      <c r="N303" s="18">
        <f>IF(A19stdlife="n/a","n/a",IF(N$3&gt;(A19stdlife+$F303),('RFM input'!$K$241*(1+vanilla4)^0.5)-SUM($K303:M303),('RFM input'!$K$241*(1+vanilla4)^0.5)/A19stdlife))</f>
        <v>0</v>
      </c>
      <c r="O303" s="18">
        <f>IF(A19stdlife="n/a","n/a",IF(O$3&gt;(A19stdlife+$F303),('RFM input'!$K$241*(1+vanilla4)^0.5)-SUM($K303:N303),('RFM input'!$K$241*(1+vanilla4)^0.5)/A19stdlife))</f>
        <v>0</v>
      </c>
      <c r="P303" s="18">
        <f>IF(A19stdlife="n/a","n/a",IF(P$3&gt;(A19stdlife+$F303),('RFM input'!$K$241*(1+vanilla4)^0.5)-SUM($K303:O303),('RFM input'!$K$241*(1+vanilla4)^0.5)/A19stdlife))</f>
        <v>0</v>
      </c>
      <c r="Q303" s="18">
        <f>IF(A19stdlife="n/a","n/a",IF(Q$3&gt;(A19stdlife+$F303),('RFM input'!$K$241*(1+vanilla4)^0.5)-SUM($K303:P303),('RFM input'!$K$241*(1+vanilla4)^0.5)/A19stdlife))</f>
        <v>0</v>
      </c>
      <c r="R303" s="18"/>
      <c r="S303" s="74"/>
      <c r="T303" s="74"/>
      <c r="U303" s="74"/>
      <c r="V303" s="74"/>
      <c r="W303" s="74"/>
      <c r="X303" s="74"/>
      <c r="Y303" s="74"/>
      <c r="Z303" s="74"/>
    </row>
    <row r="304" spans="1:26" ht="12.75" hidden="1" customHeight="1" outlineLevel="2">
      <c r="A304" s="3"/>
      <c r="B304" s="3"/>
      <c r="C304" s="3"/>
      <c r="D304" s="16"/>
      <c r="E304" s="1594"/>
      <c r="F304" s="61">
        <v>5</v>
      </c>
      <c r="G304" s="17"/>
      <c r="H304" s="114"/>
      <c r="I304" s="115"/>
      <c r="J304" s="115"/>
      <c r="K304" s="115"/>
      <c r="L304" s="116"/>
      <c r="M304" s="18">
        <f>IF(A19stdlife="n/a","n/a",IF(M$3&gt;(A19stdlife+$F304),('RFM input'!$L$241*(1+vanilla5)^0.5)-SUM($L304:L304),('RFM input'!$L$241*(1+vanilla5)^0.5)/A19stdlife))</f>
        <v>0</v>
      </c>
      <c r="N304" s="18">
        <f>IF(A19stdlife="n/a","n/a",IF(N$3&gt;(A19stdlife+$F304),('RFM input'!$L$241*(1+vanilla5)^0.5)-SUM($L304:M304),('RFM input'!$L$241*(1+vanilla5)^0.5)/A19stdlife))</f>
        <v>0</v>
      </c>
      <c r="O304" s="18">
        <f>IF(A19stdlife="n/a","n/a",IF(O$3&gt;(A19stdlife+$F304),('RFM input'!$L$241*(1+vanilla5)^0.5)-SUM($L304:N304),('RFM input'!$L$241*(1+vanilla5)^0.5)/A19stdlife))</f>
        <v>0</v>
      </c>
      <c r="P304" s="18">
        <f>IF(A19stdlife="n/a","n/a",IF(P$3&gt;(A19stdlife+$F304),('RFM input'!$L$241*(1+vanilla5)^0.5)-SUM($L304:O304),('RFM input'!$L$241*(1+vanilla5)^0.5)/A19stdlife))</f>
        <v>0</v>
      </c>
      <c r="Q304" s="18">
        <f>IF(A19stdlife="n/a","n/a",IF(Q$3&gt;(A19stdlife+$F304),('RFM input'!$L$241*(1+vanilla5)^0.5)-SUM($L304:P304),('RFM input'!$L$241*(1+vanilla5)^0.5)/A19stdlife))</f>
        <v>0</v>
      </c>
      <c r="R304" s="18"/>
      <c r="S304" s="74"/>
      <c r="T304" s="74"/>
      <c r="U304" s="74"/>
      <c r="V304" s="74"/>
      <c r="W304" s="74"/>
      <c r="X304" s="74"/>
      <c r="Y304" s="74"/>
      <c r="Z304" s="74"/>
    </row>
    <row r="305" spans="1:26" ht="12.75" hidden="1" customHeight="1" outlineLevel="2">
      <c r="A305" s="3"/>
      <c r="B305" s="3"/>
      <c r="C305" s="3"/>
      <c r="D305" s="16"/>
      <c r="E305" s="1594"/>
      <c r="F305" s="61">
        <v>6</v>
      </c>
      <c r="G305" s="17"/>
      <c r="H305" s="114"/>
      <c r="I305" s="115"/>
      <c r="J305" s="115"/>
      <c r="K305" s="115"/>
      <c r="L305" s="115"/>
      <c r="M305" s="116"/>
      <c r="N305" s="18">
        <f>IF(A19stdlife="n/a","n/a",IF(N$3&gt;(A19stdlife+$F305),('RFM input'!$M$241*(1+vanilla6)^0.5)-SUM($M305:M305),('RFM input'!$M$241*(1+vanilla6)^0.5)/A19stdlife))</f>
        <v>0</v>
      </c>
      <c r="O305" s="18">
        <f>IF(A19stdlife="n/a","n/a",IF(O$3&gt;(A19stdlife+$F305),('RFM input'!$M$241*(1+vanilla6)^0.5)-SUM($M305:N305),('RFM input'!$M$241*(1+vanilla6)^0.5)/A19stdlife))</f>
        <v>0</v>
      </c>
      <c r="P305" s="18">
        <f>IF(A19stdlife="n/a","n/a",IF(P$3&gt;(A19stdlife+$F305),('RFM input'!$M$241*(1+vanilla6)^0.5)-SUM($M305:O305),('RFM input'!$M$241*(1+vanilla6)^0.5)/A19stdlife))</f>
        <v>0</v>
      </c>
      <c r="Q305" s="18">
        <f>IF(A19stdlife="n/a","n/a",IF(Q$3&gt;(A19stdlife+$F305),('RFM input'!$M$241*(1+vanilla6)^0.5)-SUM($M305:P305),('RFM input'!$M$241*(1+vanilla6)^0.5)/A19stdlife))</f>
        <v>0</v>
      </c>
      <c r="R305" s="18"/>
      <c r="S305" s="74"/>
      <c r="T305" s="74"/>
      <c r="U305" s="74"/>
      <c r="V305" s="74"/>
      <c r="W305" s="74"/>
      <c r="X305" s="74"/>
      <c r="Y305" s="74"/>
      <c r="Z305" s="74"/>
    </row>
    <row r="306" spans="1:26" ht="12.75" hidden="1" customHeight="1" outlineLevel="2">
      <c r="A306" s="3"/>
      <c r="B306" s="3"/>
      <c r="C306" s="3"/>
      <c r="D306" s="16"/>
      <c r="E306" s="1594"/>
      <c r="F306" s="61">
        <v>7</v>
      </c>
      <c r="G306" s="17"/>
      <c r="H306" s="114"/>
      <c r="I306" s="115"/>
      <c r="J306" s="115"/>
      <c r="K306" s="115"/>
      <c r="L306" s="115"/>
      <c r="M306" s="115"/>
      <c r="N306" s="116"/>
      <c r="O306" s="18">
        <f>IF(A19stdlife="n/a","n/a",IF(O$3&gt;(A19stdlife+$F306),('RFM input'!$N$241*(1+vanilla7)^0.5)-SUM($N306:N306),('RFM input'!$N$241*(1+vanilla7)^0.5)/A19stdlife))</f>
        <v>0</v>
      </c>
      <c r="P306" s="18">
        <f>IF(A19stdlife="n/a","n/a",IF(P$3&gt;(A19stdlife+$F306),('RFM input'!$N$241*(1+vanilla7)^0.5)-SUM($N306:O306),('RFM input'!$N$241*(1+vanilla7)^0.5)/A19stdlife))</f>
        <v>0</v>
      </c>
      <c r="Q306" s="18">
        <f>IF(A19stdlife="n/a","n/a",IF(Q$3&gt;(A19stdlife+$F306),('RFM input'!$N$241*(1+vanilla7)^0.5)-SUM($N306:P306),('RFM input'!$N$241*(1+vanilla7)^0.5)/A19stdlife))</f>
        <v>0</v>
      </c>
      <c r="R306" s="18"/>
      <c r="S306" s="74"/>
      <c r="T306" s="74"/>
      <c r="U306" s="74"/>
      <c r="V306" s="74"/>
      <c r="W306" s="74"/>
      <c r="X306" s="74"/>
      <c r="Y306" s="74"/>
      <c r="Z306" s="74"/>
    </row>
    <row r="307" spans="1:26" ht="12.75" hidden="1" customHeight="1" outlineLevel="2">
      <c r="A307" s="3"/>
      <c r="B307" s="3"/>
      <c r="C307" s="3"/>
      <c r="D307" s="16"/>
      <c r="E307" s="1594"/>
      <c r="F307" s="61">
        <v>8</v>
      </c>
      <c r="G307" s="17"/>
      <c r="H307" s="114"/>
      <c r="I307" s="115"/>
      <c r="J307" s="115"/>
      <c r="K307" s="115"/>
      <c r="L307" s="115"/>
      <c r="M307" s="115"/>
      <c r="N307" s="115"/>
      <c r="O307" s="116"/>
      <c r="P307" s="18">
        <f>IF(A19stdlife="n/a","n/a",IF(P$3&gt;(A19stdlife+$F307),('RFM input'!$O$241*(1+vanilla8)^0.5)-SUM($O307:O307),('RFM input'!$O$241*(1+vanilla8)^0.5)/A19stdlife))</f>
        <v>0</v>
      </c>
      <c r="Q307" s="18">
        <f>IF(A19stdlife="n/a","n/a",IF(Q$3&gt;(A19stdlife+$F307),('RFM input'!$O$241*(1+vanilla8)^0.5)-SUM($O307:P307),('RFM input'!$O$241*(1+vanilla8)^0.5)/A19stdlife))</f>
        <v>0</v>
      </c>
      <c r="R307" s="18"/>
      <c r="S307" s="74"/>
      <c r="T307" s="74"/>
      <c r="U307" s="74"/>
      <c r="V307" s="74"/>
      <c r="W307" s="74"/>
      <c r="X307" s="74"/>
      <c r="Y307" s="74"/>
      <c r="Z307" s="74"/>
    </row>
    <row r="308" spans="1:26" ht="12.75" hidden="1" customHeight="1" outlineLevel="2">
      <c r="A308" s="3"/>
      <c r="B308" s="3"/>
      <c r="C308" s="3"/>
      <c r="D308" s="16"/>
      <c r="E308" s="1594"/>
      <c r="F308" s="61">
        <v>9</v>
      </c>
      <c r="G308" s="17"/>
      <c r="H308" s="114"/>
      <c r="I308" s="115"/>
      <c r="J308" s="115"/>
      <c r="K308" s="115"/>
      <c r="L308" s="115"/>
      <c r="M308" s="115"/>
      <c r="N308" s="115"/>
      <c r="O308" s="115"/>
      <c r="P308" s="116"/>
      <c r="Q308" s="18">
        <f>IF(A19stdlife="n/a","n/a",IF(Q$3&gt;(A19stdlife+$F308),('RFM input'!$P$241*(1+vanilla9)^0.5)-SUM($P308:P308),('RFM input'!$P$241*(1+vanilla9)^0.5)/A19stdlife))</f>
        <v>0</v>
      </c>
      <c r="R308" s="18"/>
      <c r="S308" s="74"/>
      <c r="T308" s="74"/>
      <c r="U308" s="74"/>
      <c r="V308" s="74"/>
      <c r="W308" s="74"/>
      <c r="X308" s="74"/>
      <c r="Y308" s="74"/>
      <c r="Z308" s="74"/>
    </row>
    <row r="309" spans="1:26" ht="12.75" hidden="1" customHeight="1" outlineLevel="2">
      <c r="A309" s="3"/>
      <c r="B309" s="3"/>
      <c r="C309" s="3"/>
      <c r="D309" s="16"/>
      <c r="E309" s="1594"/>
      <c r="F309" s="62">
        <v>10</v>
      </c>
      <c r="G309" s="17"/>
      <c r="H309" s="114"/>
      <c r="I309" s="115"/>
      <c r="J309" s="115"/>
      <c r="K309" s="115"/>
      <c r="L309" s="115"/>
      <c r="M309" s="115"/>
      <c r="N309" s="115"/>
      <c r="O309" s="115"/>
      <c r="P309" s="115"/>
      <c r="Q309" s="116"/>
      <c r="R309" s="18"/>
      <c r="S309" s="74"/>
      <c r="T309" s="74"/>
      <c r="U309" s="74"/>
      <c r="V309" s="74"/>
      <c r="W309" s="74"/>
      <c r="X309" s="74"/>
      <c r="Y309" s="74"/>
      <c r="Z309" s="74"/>
    </row>
    <row r="310" spans="1:26" ht="13.35" hidden="1" customHeight="1" outlineLevel="1">
      <c r="A310" s="3"/>
      <c r="B310" s="3"/>
      <c r="C310" s="3"/>
      <c r="D310" s="134">
        <f>Asset19</f>
        <v>0</v>
      </c>
      <c r="E310" s="3"/>
      <c r="F310" s="3"/>
      <c r="G310" s="1363"/>
      <c r="H310" s="1458">
        <f>IF(OR('RFM input'!$E$293='RFM input'!$G$292,'RFM input'!$E$293='RFM input'!$G$293),-INDEX('RFM input'!H$299:H$348,MATCH($D310,'RFM input'!$E$299:$E$348,0),1),-SUM(H298:H309))</f>
        <v>0</v>
      </c>
      <c r="I310" s="1458">
        <f>IF(OR('RFM input'!$E$293='RFM input'!$G$292,'RFM input'!$E$293='RFM input'!$G$293),-INDEX('RFM input'!I$299:I$348,MATCH($D310,'RFM input'!$E$299:$E$348,0),1),-SUM(I298:I309))</f>
        <v>0</v>
      </c>
      <c r="J310" s="1386">
        <f>IF(COUNT($H310:I310)&gt;='RFM input'!$V$7,
   0,
   IF(OR('RFM input'!$E$293='RFM input'!$G$292,'RFM input'!$E$293='RFM input'!$G$293),
      -INDEX('RFM input'!J$299:J$348,MATCH($D310,'RFM input'!$E$299:$E$348,0),1),
      -SUM(J298:J309)))</f>
        <v>0</v>
      </c>
      <c r="K310" s="1386">
        <f>IF(COUNT($H310:J310)&gt;='RFM input'!$V$7,
   0,
   IF(OR('RFM input'!$E$293='RFM input'!$G$292,'RFM input'!$E$293='RFM input'!$G$293),
      -INDEX('RFM input'!K$299:K$348,MATCH($D310,'RFM input'!$E$299:$E$348,0),1),
      -SUM(K298:K309)))</f>
        <v>0</v>
      </c>
      <c r="L310" s="1386">
        <f>IF(COUNT($H310:K310)&gt;='RFM input'!$V$7,
   0,
   IF(OR('RFM input'!$E$293='RFM input'!$G$292,'RFM input'!$E$293='RFM input'!$G$293),
      -INDEX('RFM input'!L$299:L$348,MATCH($D310,'RFM input'!$E$299:$E$348,0),1),
      -SUM(L298:L309)))</f>
        <v>0</v>
      </c>
      <c r="M310" s="1386">
        <f>IF(COUNT($H310:L310)&gt;='RFM input'!$V$7,
   0,
   IF(OR('RFM input'!$E$293='RFM input'!$G$292,'RFM input'!$E$293='RFM input'!$G$293),
      -INDEX('RFM input'!M$299:M$348,MATCH($D310,'RFM input'!$E$299:$E$348,0),1),
      -SUM(M298:M309)))</f>
        <v>0</v>
      </c>
      <c r="N310" s="1386">
        <f>IF(COUNT($H310:M310)&gt;='RFM input'!$V$7,
   0,
   IF(OR('RFM input'!$E$293='RFM input'!$G$292,'RFM input'!$E$293='RFM input'!$G$293),
      -INDEX('RFM input'!N$299:N$348,MATCH($D310,'RFM input'!$E$299:$E$348,0),1),
      -SUM(N298:N309)))</f>
        <v>0</v>
      </c>
      <c r="O310" s="1386">
        <f>IF(COUNT($H310:N310)&gt;='RFM input'!$V$7,
   0,
   IF(OR('RFM input'!$E$293='RFM input'!$G$292,'RFM input'!$E$293='RFM input'!$G$293),
      -INDEX('RFM input'!O$299:O$348,MATCH($D310,'RFM input'!$E$299:$E$348,0),1),
      -SUM(O298:O309)))</f>
        <v>0</v>
      </c>
      <c r="P310" s="1386">
        <f>IF(COUNT($H310:O310)&gt;='RFM input'!$V$7,
   0,
   IF(OR('RFM input'!$E$293='RFM input'!$G$292,'RFM input'!$E$293='RFM input'!$G$293),
      -INDEX('RFM input'!P$299:P$348,MATCH($D310,'RFM input'!$E$299:$E$348,0),1),
      -SUM(P298:P309)))</f>
        <v>0</v>
      </c>
      <c r="Q310" s="1386">
        <f>IF(COUNT($H310:P310)&gt;='RFM input'!$V$7,
   0,
   IF(OR('RFM input'!$E$293='RFM input'!$G$292,'RFM input'!$E$293='RFM input'!$G$293),
      -INDEX('RFM input'!Q$299:Q$348,MATCH($D310,'RFM input'!$E$299:$E$348,0),1),
      -SUM(Q298:Q309)))</f>
        <v>0</v>
      </c>
      <c r="R310" s="1382"/>
      <c r="S310" s="76"/>
      <c r="T310" s="76"/>
      <c r="U310" s="76"/>
      <c r="V310" s="76"/>
      <c r="W310" s="76"/>
      <c r="X310" s="76"/>
      <c r="Y310" s="76"/>
      <c r="Z310" s="76"/>
    </row>
    <row r="311" spans="1:26" ht="12.75" hidden="1" customHeight="1" outlineLevel="2">
      <c r="A311" s="3"/>
      <c r="B311" s="3"/>
      <c r="C311" s="135">
        <f>Asset20</f>
        <v>0</v>
      </c>
      <c r="D311" s="100"/>
      <c r="E311" s="20" t="s">
        <v>23</v>
      </c>
      <c r="F311" s="19"/>
      <c r="G311" s="1389"/>
      <c r="H311" s="1380">
        <f>IF(H$3&gt;A20remlife,A20value-SUM($G311:G311),IF(A20remlife="N/A","n/a",A20value/A20remlife))</f>
        <v>0</v>
      </c>
      <c r="I311" s="1380">
        <f>IF(I$3&gt;A20remlife,A20value-SUM($G311:H311),IF(A20remlife="N/A","n/a",A20value/A20remlife))</f>
        <v>0</v>
      </c>
      <c r="J311" s="1380">
        <f>IF(J$3&gt;A20remlife,A20value-SUM($G311:I311),IF(A20remlife="N/A","n/a",A20value/A20remlife))</f>
        <v>0</v>
      </c>
      <c r="K311" s="1380">
        <f>IF(K$3&gt;A20remlife,A20value-SUM($G311:J311),IF(A20remlife="N/A","n/a",A20value/A20remlife))</f>
        <v>0</v>
      </c>
      <c r="L311" s="1380">
        <f>IF(L$3&gt;A20remlife,A20value-SUM($G311:K311),IF(A20remlife="N/A","n/a",A20value/A20remlife))</f>
        <v>0</v>
      </c>
      <c r="M311" s="1380">
        <f>IF(M$3&gt;A20remlife,A20value-SUM($G311:L311),IF(A20remlife="N/A","n/a",A20value/A20remlife))</f>
        <v>0</v>
      </c>
      <c r="N311" s="1380">
        <f>IF(N$3&gt;A20remlife,A20value-SUM($G311:M311),IF(A20remlife="N/A","n/a",A20value/A20remlife))</f>
        <v>0</v>
      </c>
      <c r="O311" s="1380">
        <f>IF(O$3&gt;A20remlife,A20value-SUM($G311:N311),IF(A20remlife="N/A","n/a",A20value/A20remlife))</f>
        <v>0</v>
      </c>
      <c r="P311" s="1380">
        <f>IF(P$3&gt;A20remlife,A20value-SUM($G311:O311),IF(A20remlife="N/A","n/a",A20value/A20remlife))</f>
        <v>0</v>
      </c>
      <c r="Q311" s="1380">
        <f>IF(Q$3&gt;A20remlife,A20value-SUM($G311:P311),IF(A20remlife="N/A","n/a",A20value/A20remlife))</f>
        <v>0</v>
      </c>
      <c r="R311" s="21"/>
      <c r="S311" s="74"/>
      <c r="T311" s="74"/>
      <c r="U311" s="74"/>
      <c r="V311" s="74"/>
      <c r="W311" s="74"/>
      <c r="X311" s="74"/>
      <c r="Y311" s="74"/>
      <c r="Z311" s="74"/>
    </row>
    <row r="312" spans="1:26" ht="12.75" hidden="1" customHeight="1" outlineLevel="2">
      <c r="A312" s="3"/>
      <c r="B312" s="3"/>
      <c r="C312" s="3"/>
      <c r="D312" s="16"/>
      <c r="E312" s="1593" t="s">
        <v>43</v>
      </c>
      <c r="F312" s="61"/>
      <c r="G312" s="1341"/>
      <c r="H312" s="18"/>
      <c r="I312" s="18"/>
      <c r="J312" s="18"/>
      <c r="K312" s="18"/>
      <c r="L312" s="18"/>
      <c r="M312" s="1384"/>
      <c r="N312" s="1385"/>
      <c r="O312" s="18"/>
      <c r="P312" s="18"/>
      <c r="Q312" s="18"/>
      <c r="R312" s="18"/>
      <c r="S312" s="74"/>
      <c r="T312" s="74"/>
      <c r="U312" s="74"/>
      <c r="V312" s="74"/>
      <c r="W312" s="74"/>
      <c r="X312" s="74"/>
      <c r="Y312" s="74"/>
      <c r="Z312" s="74"/>
    </row>
    <row r="313" spans="1:26" ht="12.75" hidden="1" customHeight="1" outlineLevel="2">
      <c r="A313" s="3"/>
      <c r="B313" s="3"/>
      <c r="C313" s="3"/>
      <c r="D313" s="16"/>
      <c r="E313" s="1594"/>
      <c r="F313" s="61">
        <v>1</v>
      </c>
      <c r="G313" s="1341"/>
      <c r="H313" s="1381"/>
      <c r="I313" s="18">
        <f>IF(A20stdlife="n/a","n/a",IF(I$3&gt;(A20stdlife+$F313),('RFM input'!$H$242*(1+vanilla1)^0.5)-SUM($H313:H313),('RFM input'!$H$242*(1+vanilla1)^0.5)/A20stdlife))</f>
        <v>0</v>
      </c>
      <c r="J313" s="18">
        <f>IF(A20stdlife="n/a","n/a",IF(J$3&gt;(A20stdlife+$F313),('RFM input'!$H$242*(1+vanilla1)^0.5)-SUM($H313:I313),('RFM input'!$H$242*(1+vanilla1)^0.5)/A20stdlife))</f>
        <v>0</v>
      </c>
      <c r="K313" s="18">
        <f>IF(A20stdlife="n/a","n/a",IF(K$3&gt;(A20stdlife+$F313),('RFM input'!$H$242*(1+vanilla1)^0.5)-SUM($H313:J313),('RFM input'!$H$242*(1+vanilla1)^0.5)/A20stdlife))</f>
        <v>0</v>
      </c>
      <c r="L313" s="18">
        <f>IF(A20stdlife="n/a","n/a",IF(L$3&gt;(A20stdlife+$F313),('RFM input'!$H$242*(1+vanilla1)^0.5)-SUM($H313:K313),('RFM input'!$H$242*(1+vanilla1)^0.5)/A20stdlife))</f>
        <v>0</v>
      </c>
      <c r="M313" s="18">
        <f>IF(A20stdlife="n/a","n/a",IF(M$3&gt;(A20stdlife+$F313),('RFM input'!$H$242*(1+vanilla1)^0.5)-SUM($H313:L313),('RFM input'!$H$242*(1+vanilla1)^0.5)/A20stdlife))</f>
        <v>0</v>
      </c>
      <c r="N313" s="18">
        <f>IF(A20stdlife="n/a","n/a",IF(N$3&gt;(A20stdlife+$F313),('RFM input'!$H$242*(1+vanilla1)^0.5)-SUM($H313:M313),('RFM input'!$H$242*(1+vanilla1)^0.5)/A20stdlife))</f>
        <v>0</v>
      </c>
      <c r="O313" s="18">
        <f>IF(A20stdlife="n/a","n/a",IF(O$3&gt;(A20stdlife+$F313),('RFM input'!$H$242*(1+vanilla1)^0.5)-SUM($H313:N313),('RFM input'!$H$242*(1+vanilla1)^0.5)/A20stdlife))</f>
        <v>0</v>
      </c>
      <c r="P313" s="18">
        <f>IF(A20stdlife="n/a","n/a",IF(P$3&gt;(A20stdlife+$F313),('RFM input'!$H$242*(1+vanilla1)^0.5)-SUM($H313:O313),('RFM input'!$H$242*(1+vanilla1)^0.5)/A20stdlife))</f>
        <v>0</v>
      </c>
      <c r="Q313" s="18">
        <f>IF(A20stdlife="n/a","n/a",IF(Q$3&gt;(A20stdlife+$F313),('RFM input'!$H$242*(1+vanilla1)^0.5)-SUM($H313:P313),('RFM input'!$H$242*(1+vanilla1)^0.5)/A20stdlife))</f>
        <v>0</v>
      </c>
      <c r="R313" s="18"/>
      <c r="S313" s="74"/>
      <c r="T313" s="74"/>
      <c r="U313" s="74"/>
      <c r="V313" s="74"/>
      <c r="W313" s="74"/>
      <c r="X313" s="74"/>
      <c r="Y313" s="74"/>
      <c r="Z313" s="74"/>
    </row>
    <row r="314" spans="1:26" ht="12.75" hidden="1" customHeight="1" outlineLevel="2">
      <c r="A314" s="3"/>
      <c r="B314" s="3"/>
      <c r="C314" s="3"/>
      <c r="D314" s="16"/>
      <c r="E314" s="1594"/>
      <c r="F314" s="61">
        <v>2</v>
      </c>
      <c r="G314" s="1341"/>
      <c r="H314" s="114"/>
      <c r="I314" s="116"/>
      <c r="J314" s="18">
        <f>IF(A20stdlife="n/a","n/a",IF(J$3&gt;(A20stdlife+$F314),('RFM input'!$I$242*(1+vanilla2)^0.5)-SUM($I314:I314),('RFM input'!$I$242*(1+vanilla2)^0.5)/A20stdlife))</f>
        <v>0</v>
      </c>
      <c r="K314" s="18">
        <f>IF(A20stdlife="n/a","n/a",IF(K$3&gt;(A20stdlife+$F314),('RFM input'!$I$242*(1+vanilla2)^0.5)-SUM($I314:J314),('RFM input'!$I$242*(1+vanilla2)^0.5)/A20stdlife))</f>
        <v>0</v>
      </c>
      <c r="L314" s="18">
        <f>IF(A20stdlife="n/a","n/a",IF(L$3&gt;(A20stdlife+$F314),('RFM input'!$I$242*(1+vanilla2)^0.5)-SUM($I314:K314),('RFM input'!$I$242*(1+vanilla2)^0.5)/A20stdlife))</f>
        <v>0</v>
      </c>
      <c r="M314" s="18">
        <f>IF(A20stdlife="n/a","n/a",IF(M$3&gt;(A20stdlife+$F314),('RFM input'!$I$242*(1+vanilla2)^0.5)-SUM($I314:L314),('RFM input'!$I$242*(1+vanilla2)^0.5)/A20stdlife))</f>
        <v>0</v>
      </c>
      <c r="N314" s="18">
        <f>IF(A20stdlife="n/a","n/a",IF(N$3&gt;(A20stdlife+$F314),('RFM input'!$I$242*(1+vanilla2)^0.5)-SUM($I314:M314),('RFM input'!$I$242*(1+vanilla2)^0.5)/A20stdlife))</f>
        <v>0</v>
      </c>
      <c r="O314" s="18">
        <f>IF(A20stdlife="n/a","n/a",IF(O$3&gt;(A20stdlife+$F314),('RFM input'!$I$242*(1+vanilla2)^0.5)-SUM($I314:N314),('RFM input'!$I$242*(1+vanilla2)^0.5)/A20stdlife))</f>
        <v>0</v>
      </c>
      <c r="P314" s="18">
        <f>IF(A20stdlife="n/a","n/a",IF(P$3&gt;(A20stdlife+$F314),('RFM input'!$I$242*(1+vanilla2)^0.5)-SUM($I314:O314),('RFM input'!$I$242*(1+vanilla2)^0.5)/A20stdlife))</f>
        <v>0</v>
      </c>
      <c r="Q314" s="18">
        <f>IF(A20stdlife="n/a","n/a",IF(Q$3&gt;(A20stdlife+$F314),('RFM input'!$I$242*(1+vanilla2)^0.5)-SUM($I314:P314),('RFM input'!$I$242*(1+vanilla2)^0.5)/A20stdlife))</f>
        <v>0</v>
      </c>
      <c r="R314" s="18"/>
      <c r="S314" s="74"/>
      <c r="T314" s="74"/>
      <c r="U314" s="74"/>
      <c r="V314" s="74"/>
      <c r="W314" s="74"/>
      <c r="X314" s="74"/>
      <c r="Y314" s="74"/>
      <c r="Z314" s="74"/>
    </row>
    <row r="315" spans="1:26" ht="12.75" hidden="1" customHeight="1" outlineLevel="2">
      <c r="A315" s="3"/>
      <c r="B315" s="3"/>
      <c r="C315" s="3"/>
      <c r="D315" s="16"/>
      <c r="E315" s="1594"/>
      <c r="F315" s="61">
        <v>3</v>
      </c>
      <c r="G315" s="1341"/>
      <c r="H315" s="114"/>
      <c r="I315" s="115"/>
      <c r="J315" s="116"/>
      <c r="K315" s="18">
        <f>IF(A20stdlife="n/a","n/a",IF(K$3&gt;(A20stdlife+$F315),('RFM input'!$J$242*(1+vanilla3)^0.5)-SUM($J315:J315),('RFM input'!$J$242*(1+vanilla3)^0.5)/A20stdlife))</f>
        <v>0</v>
      </c>
      <c r="L315" s="18">
        <f>IF(A20stdlife="n/a","n/a",IF(L$3&gt;(A20stdlife+$F315),('RFM input'!$J$242*(1+vanilla3)^0.5)-SUM($J315:K315),('RFM input'!$J$242*(1+vanilla3)^0.5)/A20stdlife))</f>
        <v>0</v>
      </c>
      <c r="M315" s="18">
        <f>IF(A20stdlife="n/a","n/a",IF(M$3&gt;(A20stdlife+$F315),('RFM input'!$J$242*(1+vanilla3)^0.5)-SUM($J315:L315),('RFM input'!$J$242*(1+vanilla3)^0.5)/A20stdlife))</f>
        <v>0</v>
      </c>
      <c r="N315" s="18">
        <f>IF(A20stdlife="n/a","n/a",IF(N$3&gt;(A20stdlife+$F315),('RFM input'!$J$242*(1+vanilla3)^0.5)-SUM($J315:M315),('RFM input'!$J$242*(1+vanilla3)^0.5)/A20stdlife))</f>
        <v>0</v>
      </c>
      <c r="O315" s="18">
        <f>IF(A20stdlife="n/a","n/a",IF(O$3&gt;(A20stdlife+$F315),('RFM input'!$J$242*(1+vanilla3)^0.5)-SUM($J315:N315),('RFM input'!$J$242*(1+vanilla3)^0.5)/A20stdlife))</f>
        <v>0</v>
      </c>
      <c r="P315" s="18">
        <f>IF(A20stdlife="n/a","n/a",IF(P$3&gt;(A20stdlife+$F315),('RFM input'!$J$242*(1+vanilla3)^0.5)-SUM($J315:O315),('RFM input'!$J$242*(1+vanilla3)^0.5)/A20stdlife))</f>
        <v>0</v>
      </c>
      <c r="Q315" s="18">
        <f>IF(A20stdlife="n/a","n/a",IF(Q$3&gt;(A20stdlife+$F315),('RFM input'!$J$242*(1+vanilla3)^0.5)-SUM($J315:P315),('RFM input'!$J$242*(1+vanilla3)^0.5)/A20stdlife))</f>
        <v>0</v>
      </c>
      <c r="R315" s="18"/>
      <c r="S315" s="74"/>
      <c r="T315" s="74"/>
      <c r="U315" s="74"/>
      <c r="V315" s="74"/>
      <c r="W315" s="74"/>
      <c r="X315" s="74"/>
      <c r="Y315" s="74"/>
      <c r="Z315" s="74"/>
    </row>
    <row r="316" spans="1:26" ht="12.75" hidden="1" customHeight="1" outlineLevel="2">
      <c r="A316" s="3"/>
      <c r="B316" s="3"/>
      <c r="C316" s="3"/>
      <c r="D316" s="16"/>
      <c r="E316" s="1594"/>
      <c r="F316" s="61">
        <v>4</v>
      </c>
      <c r="G316" s="1341"/>
      <c r="H316" s="114"/>
      <c r="I316" s="115"/>
      <c r="J316" s="115"/>
      <c r="K316" s="116"/>
      <c r="L316" s="18">
        <f>IF(A20stdlife="n/a","n/a",IF(L$3&gt;(A20stdlife+$F316),('RFM input'!$K$242*(1+vanilla4)^0.5)-SUM($K316:K316),('RFM input'!$K$242*(1+vanilla4)^0.5)/A20stdlife))</f>
        <v>0</v>
      </c>
      <c r="M316" s="18">
        <f>IF(A20stdlife="n/a","n/a",IF(M$3&gt;(A20stdlife+$F316),('RFM input'!$K$242*(1+vanilla4)^0.5)-SUM($K316:L316),('RFM input'!$K$242*(1+vanilla4)^0.5)/A20stdlife))</f>
        <v>0</v>
      </c>
      <c r="N316" s="18">
        <f>IF(A20stdlife="n/a","n/a",IF(N$3&gt;(A20stdlife+$F316),('RFM input'!$K$242*(1+vanilla4)^0.5)-SUM($K316:M316),('RFM input'!$K$242*(1+vanilla4)^0.5)/A20stdlife))</f>
        <v>0</v>
      </c>
      <c r="O316" s="18">
        <f>IF(A20stdlife="n/a","n/a",IF(O$3&gt;(A20stdlife+$F316),('RFM input'!$K$242*(1+vanilla4)^0.5)-SUM($K316:N316),('RFM input'!$K$242*(1+vanilla4)^0.5)/A20stdlife))</f>
        <v>0</v>
      </c>
      <c r="P316" s="18">
        <f>IF(A20stdlife="n/a","n/a",IF(P$3&gt;(A20stdlife+$F316),('RFM input'!$K$242*(1+vanilla4)^0.5)-SUM($K316:O316),('RFM input'!$K$242*(1+vanilla4)^0.5)/A20stdlife))</f>
        <v>0</v>
      </c>
      <c r="Q316" s="18">
        <f>IF(A20stdlife="n/a","n/a",IF(Q$3&gt;(A20stdlife+$F316),('RFM input'!$K$242*(1+vanilla4)^0.5)-SUM($K316:P316),('RFM input'!$K$242*(1+vanilla4)^0.5)/A20stdlife))</f>
        <v>0</v>
      </c>
      <c r="R316" s="18"/>
      <c r="S316" s="74"/>
      <c r="T316" s="74"/>
      <c r="U316" s="74"/>
      <c r="V316" s="74"/>
      <c r="W316" s="74"/>
      <c r="X316" s="74"/>
      <c r="Y316" s="74"/>
      <c r="Z316" s="74"/>
    </row>
    <row r="317" spans="1:26" ht="12.75" hidden="1" customHeight="1" outlineLevel="2">
      <c r="A317" s="3"/>
      <c r="B317" s="3"/>
      <c r="C317" s="3"/>
      <c r="D317" s="16"/>
      <c r="E317" s="1594"/>
      <c r="F317" s="61">
        <v>5</v>
      </c>
      <c r="G317" s="17"/>
      <c r="H317" s="114"/>
      <c r="I317" s="115"/>
      <c r="J317" s="115"/>
      <c r="K317" s="115"/>
      <c r="L317" s="116"/>
      <c r="M317" s="18">
        <f>IF(A20stdlife="n/a","n/a",IF(M$3&gt;(A20stdlife+$F317),('RFM input'!$L$242*(1+vanilla5)^0.5)-SUM($L317:L317),('RFM input'!$L$242*(1+vanilla5)^0.5)/A20stdlife))</f>
        <v>0</v>
      </c>
      <c r="N317" s="18">
        <f>IF(A20stdlife="n/a","n/a",IF(N$3&gt;(A20stdlife+$F317),('RFM input'!$L$242*(1+vanilla5)^0.5)-SUM($L317:M317),('RFM input'!$L$242*(1+vanilla5)^0.5)/A20stdlife))</f>
        <v>0</v>
      </c>
      <c r="O317" s="18">
        <f>IF(A20stdlife="n/a","n/a",IF(O$3&gt;(A20stdlife+$F317),('RFM input'!$L$242*(1+vanilla5)^0.5)-SUM($L317:N317),('RFM input'!$L$242*(1+vanilla5)^0.5)/A20stdlife))</f>
        <v>0</v>
      </c>
      <c r="P317" s="18">
        <f>IF(A20stdlife="n/a","n/a",IF(P$3&gt;(A20stdlife+$F317),('RFM input'!$L$242*(1+vanilla5)^0.5)-SUM($L317:O317),('RFM input'!$L$242*(1+vanilla5)^0.5)/A20stdlife))</f>
        <v>0</v>
      </c>
      <c r="Q317" s="18">
        <f>IF(A20stdlife="n/a","n/a",IF(Q$3&gt;(A20stdlife+$F317),('RFM input'!$L$242*(1+vanilla5)^0.5)-SUM($L317:P317),('RFM input'!$L$242*(1+vanilla5)^0.5)/A20stdlife))</f>
        <v>0</v>
      </c>
      <c r="R317" s="18"/>
      <c r="S317" s="74"/>
      <c r="T317" s="74"/>
      <c r="U317" s="74"/>
      <c r="V317" s="74"/>
      <c r="W317" s="74"/>
      <c r="X317" s="74"/>
      <c r="Y317" s="74"/>
      <c r="Z317" s="74"/>
    </row>
    <row r="318" spans="1:26" ht="12.75" hidden="1" customHeight="1" outlineLevel="2">
      <c r="A318" s="3"/>
      <c r="B318" s="3"/>
      <c r="C318" s="3"/>
      <c r="D318" s="16"/>
      <c r="E318" s="1594"/>
      <c r="F318" s="61">
        <v>6</v>
      </c>
      <c r="G318" s="17"/>
      <c r="H318" s="114"/>
      <c r="I318" s="115"/>
      <c r="J318" s="115"/>
      <c r="K318" s="115"/>
      <c r="L318" s="115"/>
      <c r="M318" s="116"/>
      <c r="N318" s="18">
        <f>IF(A20stdlife="n/a","n/a",IF(N$3&gt;(A20stdlife+$F318),('RFM input'!$M$242*(1+vanilla6)^0.5)-SUM($M318:M318),('RFM input'!$M$242*(1+vanilla6)^0.5)/A20stdlife))</f>
        <v>0</v>
      </c>
      <c r="O318" s="18">
        <f>IF(A20stdlife="n/a","n/a",IF(O$3&gt;(A20stdlife+$F318),('RFM input'!$M$242*(1+vanilla6)^0.5)-SUM($M318:N318),('RFM input'!$M$242*(1+vanilla6)^0.5)/A20stdlife))</f>
        <v>0</v>
      </c>
      <c r="P318" s="18">
        <f>IF(A20stdlife="n/a","n/a",IF(P$3&gt;(A20stdlife+$F318),('RFM input'!$M$242*(1+vanilla6)^0.5)-SUM($M318:O318),('RFM input'!$M$242*(1+vanilla6)^0.5)/A20stdlife))</f>
        <v>0</v>
      </c>
      <c r="Q318" s="18">
        <f>IF(A20stdlife="n/a","n/a",IF(Q$3&gt;(A20stdlife+$F318),('RFM input'!$M$242*(1+vanilla6)^0.5)-SUM($M318:P318),('RFM input'!$M$242*(1+vanilla6)^0.5)/A20stdlife))</f>
        <v>0</v>
      </c>
      <c r="R318" s="18"/>
      <c r="S318" s="74"/>
      <c r="T318" s="74"/>
      <c r="U318" s="74"/>
      <c r="V318" s="74"/>
      <c r="W318" s="74"/>
      <c r="X318" s="74"/>
      <c r="Y318" s="74"/>
      <c r="Z318" s="74"/>
    </row>
    <row r="319" spans="1:26" ht="12.75" hidden="1" customHeight="1" outlineLevel="2">
      <c r="A319" s="3"/>
      <c r="B319" s="3"/>
      <c r="C319" s="3"/>
      <c r="D319" s="16"/>
      <c r="E319" s="1594"/>
      <c r="F319" s="61">
        <v>7</v>
      </c>
      <c r="G319" s="17"/>
      <c r="H319" s="114"/>
      <c r="I319" s="115"/>
      <c r="J319" s="115"/>
      <c r="K319" s="115"/>
      <c r="L319" s="115"/>
      <c r="M319" s="115"/>
      <c r="N319" s="116"/>
      <c r="O319" s="18">
        <f>IF(A20stdlife="n/a","n/a",IF(O$3&gt;(A20stdlife+$F319),('RFM input'!M$242*(1+vanilla7)^0.5)-SUM($N319:N319),('RFM input'!$N$242*(1+vanilla7)^0.5)/A20stdlife))</f>
        <v>0</v>
      </c>
      <c r="P319" s="18">
        <f>IF(A20stdlife="n/a","n/a",IF(P$3&gt;(A20stdlife+$F319),('RFM input'!N$242*(1+vanilla7)^0.5)-SUM($N319:O319),('RFM input'!$N$242*(1+vanilla7)^0.5)/A20stdlife))</f>
        <v>0</v>
      </c>
      <c r="Q319" s="18">
        <f>IF(A20stdlife="n/a","n/a",IF(Q$3&gt;(A20stdlife+$F319),('RFM input'!O$242*(1+vanilla7)^0.5)-SUM($N319:P319),('RFM input'!$N$242*(1+vanilla7)^0.5)/A20stdlife))</f>
        <v>0</v>
      </c>
      <c r="R319" s="18"/>
      <c r="S319" s="74"/>
      <c r="T319" s="74"/>
      <c r="U319" s="74"/>
      <c r="V319" s="74"/>
      <c r="W319" s="74"/>
      <c r="X319" s="74"/>
      <c r="Y319" s="74"/>
      <c r="Z319" s="74"/>
    </row>
    <row r="320" spans="1:26" ht="12.75" hidden="1" customHeight="1" outlineLevel="2">
      <c r="A320" s="3"/>
      <c r="B320" s="3"/>
      <c r="C320" s="3"/>
      <c r="D320" s="16"/>
      <c r="E320" s="1594"/>
      <c r="F320" s="61">
        <v>8</v>
      </c>
      <c r="G320" s="17"/>
      <c r="H320" s="114"/>
      <c r="I320" s="115"/>
      <c r="J320" s="115"/>
      <c r="K320" s="115"/>
      <c r="L320" s="115"/>
      <c r="M320" s="115"/>
      <c r="N320" s="115"/>
      <c r="O320" s="116"/>
      <c r="P320" s="18">
        <f>IF(A20stdlife="n/a","n/a",IF(P$3&gt;(A20stdlife+$F320),('RFM input'!$O$242*(1+vanilla8)^0.5)-SUM($O320:O320),('RFM input'!$O$242*(1+vanilla8)^0.5)/A20stdlife))</f>
        <v>0</v>
      </c>
      <c r="Q320" s="18">
        <f>IF(A20stdlife="n/a","n/a",IF(Q$3&gt;(A20stdlife+$F320),('RFM input'!$O$242*(1+vanilla8)^0.5)-SUM($O320:P320),('RFM input'!$O$242*(1+vanilla8)^0.5)/A20stdlife))</f>
        <v>0</v>
      </c>
      <c r="R320" s="18"/>
      <c r="S320" s="74"/>
      <c r="T320" s="74"/>
      <c r="U320" s="74"/>
      <c r="V320" s="74"/>
      <c r="W320" s="74"/>
      <c r="X320" s="74"/>
      <c r="Y320" s="74"/>
      <c r="Z320" s="74"/>
    </row>
    <row r="321" spans="1:26" ht="12.75" hidden="1" customHeight="1" outlineLevel="2">
      <c r="A321" s="3"/>
      <c r="B321" s="3"/>
      <c r="C321" s="3"/>
      <c r="D321" s="16"/>
      <c r="E321" s="1594"/>
      <c r="F321" s="61">
        <v>9</v>
      </c>
      <c r="G321" s="17"/>
      <c r="H321" s="114"/>
      <c r="I321" s="115"/>
      <c r="J321" s="115"/>
      <c r="K321" s="115"/>
      <c r="L321" s="115"/>
      <c r="M321" s="115"/>
      <c r="N321" s="115"/>
      <c r="O321" s="115"/>
      <c r="P321" s="116"/>
      <c r="Q321" s="18">
        <f>IF(A20stdlife="n/a","n/a",IF(Q$3&gt;(A20stdlife+$F321),('RFM input'!$P$242*(1+vanilla9)^0.5)-SUM($P321:P321),('RFM input'!$P$242*(1+vanilla9)^0.5)/A20stdlife))</f>
        <v>0</v>
      </c>
      <c r="R321" s="18"/>
      <c r="S321" s="74"/>
      <c r="T321" s="74"/>
      <c r="U321" s="74"/>
      <c r="V321" s="74"/>
      <c r="W321" s="74"/>
      <c r="X321" s="74"/>
      <c r="Y321" s="74"/>
      <c r="Z321" s="74"/>
    </row>
    <row r="322" spans="1:26" ht="12.75" hidden="1" customHeight="1" outlineLevel="2">
      <c r="A322" s="3"/>
      <c r="B322" s="3"/>
      <c r="C322" s="3"/>
      <c r="D322" s="16"/>
      <c r="E322" s="1594"/>
      <c r="F322" s="62">
        <v>10</v>
      </c>
      <c r="G322" s="17"/>
      <c r="H322" s="114"/>
      <c r="I322" s="115"/>
      <c r="J322" s="115"/>
      <c r="K322" s="115"/>
      <c r="L322" s="115"/>
      <c r="M322" s="115"/>
      <c r="N322" s="115"/>
      <c r="O322" s="115"/>
      <c r="P322" s="115"/>
      <c r="Q322" s="116"/>
      <c r="R322" s="18"/>
      <c r="S322" s="74"/>
      <c r="T322" s="74"/>
      <c r="U322" s="74"/>
      <c r="V322" s="74"/>
      <c r="W322" s="74"/>
      <c r="X322" s="74"/>
      <c r="Y322" s="74"/>
      <c r="Z322" s="74"/>
    </row>
    <row r="323" spans="1:26" ht="13.35" hidden="1" customHeight="1" outlineLevel="1">
      <c r="A323" s="3"/>
      <c r="B323" s="3"/>
      <c r="C323" s="3"/>
      <c r="D323" s="134">
        <f>Asset20</f>
        <v>0</v>
      </c>
      <c r="E323" s="3"/>
      <c r="F323" s="3"/>
      <c r="G323" s="1341"/>
      <c r="H323" s="1458">
        <f>IF(OR('RFM input'!$E$293='RFM input'!$G$292,'RFM input'!$E$293='RFM input'!$G$293),-INDEX('RFM input'!H$299:H$348,MATCH($D323,'RFM input'!$E$299:$E$348,0),1),-SUM(H311:H322))</f>
        <v>0</v>
      </c>
      <c r="I323" s="1458">
        <f>IF(OR('RFM input'!$E$293='RFM input'!$G$292,'RFM input'!$E$293='RFM input'!$G$293),-INDEX('RFM input'!I$299:I$348,MATCH($D323,'RFM input'!$E$299:$E$348,0),1),-SUM(I311:I322))</f>
        <v>0</v>
      </c>
      <c r="J323" s="1386">
        <f>IF(COUNT($H323:I323)&gt;='RFM input'!$V$7,
   0,
   IF(OR('RFM input'!$E$293='RFM input'!$G$292,'RFM input'!$E$293='RFM input'!$G$293),
      -INDEX('RFM input'!J$299:J$348,MATCH($D323,'RFM input'!$E$299:$E$348,0),1),
      -SUM(J311:J322)))</f>
        <v>0</v>
      </c>
      <c r="K323" s="1386">
        <f>IF(COUNT($H323:J323)&gt;='RFM input'!$V$7,
   0,
   IF(OR('RFM input'!$E$293='RFM input'!$G$292,'RFM input'!$E$293='RFM input'!$G$293),
      -INDEX('RFM input'!K$299:K$348,MATCH($D323,'RFM input'!$E$299:$E$348,0),1),
      -SUM(K311:K322)))</f>
        <v>0</v>
      </c>
      <c r="L323" s="1386">
        <f>IF(COUNT($H323:K323)&gt;='RFM input'!$V$7,
   0,
   IF(OR('RFM input'!$E$293='RFM input'!$G$292,'RFM input'!$E$293='RFM input'!$G$293),
      -INDEX('RFM input'!L$299:L$348,MATCH($D323,'RFM input'!$E$299:$E$348,0),1),
      -SUM(L311:L322)))</f>
        <v>0</v>
      </c>
      <c r="M323" s="1386">
        <f>IF(COUNT($H323:L323)&gt;='RFM input'!$V$7,
   0,
   IF(OR('RFM input'!$E$293='RFM input'!$G$292,'RFM input'!$E$293='RFM input'!$G$293),
      -INDEX('RFM input'!M$299:M$348,MATCH($D323,'RFM input'!$E$299:$E$348,0),1),
      -SUM(M311:M322)))</f>
        <v>0</v>
      </c>
      <c r="N323" s="1386">
        <f>IF(COUNT($H323:M323)&gt;='RFM input'!$V$7,
   0,
   IF(OR('RFM input'!$E$293='RFM input'!$G$292,'RFM input'!$E$293='RFM input'!$G$293),
      -INDEX('RFM input'!N$299:N$348,MATCH($D323,'RFM input'!$E$299:$E$348,0),1),
      -SUM(N311:N322)))</f>
        <v>0</v>
      </c>
      <c r="O323" s="1386">
        <f>IF(COUNT($H323:N323)&gt;='RFM input'!$V$7,
   0,
   IF(OR('RFM input'!$E$293='RFM input'!$G$292,'RFM input'!$E$293='RFM input'!$G$293),
      -INDEX('RFM input'!O$299:O$348,MATCH($D323,'RFM input'!$E$299:$E$348,0),1),
      -SUM(O311:O322)))</f>
        <v>0</v>
      </c>
      <c r="P323" s="1386">
        <f>IF(COUNT($H323:O323)&gt;='RFM input'!$V$7,
   0,
   IF(OR('RFM input'!$E$293='RFM input'!$G$292,'RFM input'!$E$293='RFM input'!$G$293),
      -INDEX('RFM input'!P$299:P$348,MATCH($D323,'RFM input'!$E$299:$E$348,0),1),
      -SUM(P311:P322)))</f>
        <v>0</v>
      </c>
      <c r="Q323" s="1386">
        <f>IF(COUNT($H323:P323)&gt;='RFM input'!$V$7,
   0,
   IF(OR('RFM input'!$E$293='RFM input'!$G$292,'RFM input'!$E$293='RFM input'!$G$293),
      -INDEX('RFM input'!Q$299:Q$348,MATCH($D323,'RFM input'!$E$299:$E$348,0),1),
      -SUM(Q311:Q322)))</f>
        <v>0</v>
      </c>
      <c r="R323" s="1382"/>
      <c r="S323" s="76"/>
      <c r="T323" s="76"/>
      <c r="U323" s="76"/>
      <c r="V323" s="76"/>
      <c r="W323" s="76"/>
      <c r="X323" s="76"/>
      <c r="Y323" s="76"/>
      <c r="Z323" s="76"/>
    </row>
    <row r="324" spans="1:26" ht="12.75" hidden="1" customHeight="1" outlineLevel="2">
      <c r="A324" s="3"/>
      <c r="B324" s="3"/>
      <c r="C324" s="135">
        <f>Asset21</f>
        <v>0</v>
      </c>
      <c r="D324" s="100"/>
      <c r="E324" s="20" t="s">
        <v>23</v>
      </c>
      <c r="F324" s="19"/>
      <c r="G324" s="1383"/>
      <c r="H324" s="1380">
        <f>IF(H$3&gt;A21remlife,A21value-SUM($G324:G324),IF(A21remlife="N/A","n/a",A21value/A21remlife))</f>
        <v>0</v>
      </c>
      <c r="I324" s="1380">
        <f>IF(I$3&gt;A21remlife,A21value-SUM($G324:H324),IF(A21remlife="N/A","n/a",A21value/A21remlife))</f>
        <v>0</v>
      </c>
      <c r="J324" s="1380">
        <f>IF(J$3&gt;A21remlife,A21value-SUM($G324:I324),IF(A21remlife="N/A","n/a",A21value/A21remlife))</f>
        <v>0</v>
      </c>
      <c r="K324" s="1380">
        <f>IF(K$3&gt;A21remlife,A21value-SUM($G324:J324),IF(A21remlife="N/A","n/a",A21value/A21remlife))</f>
        <v>0</v>
      </c>
      <c r="L324" s="1380">
        <f>IF(L$3&gt;A21remlife,A21value-SUM($G324:K324),IF(A21remlife="N/A","n/a",A21value/A21remlife))</f>
        <v>0</v>
      </c>
      <c r="M324" s="1380">
        <f>IF(M$3&gt;A21remlife,A21value-SUM($G324:L324),IF(A21remlife="N/A","n/a",A21value/A21remlife))</f>
        <v>0</v>
      </c>
      <c r="N324" s="1380">
        <f>IF(N$3&gt;A21remlife,A21value-SUM($G324:M324),IF(A21remlife="N/A","n/a",A21value/A21remlife))</f>
        <v>0</v>
      </c>
      <c r="O324" s="1380">
        <f>IF(O$3&gt;A21remlife,A21value-SUM($G324:N324),IF(A21remlife="N/A","n/a",A21value/A21remlife))</f>
        <v>0</v>
      </c>
      <c r="P324" s="1380">
        <f>IF(P$3&gt;A21remlife,A21value-SUM($G324:O324),IF(A21remlife="N/A","n/a",A21value/A21remlife))</f>
        <v>0</v>
      </c>
      <c r="Q324" s="1380">
        <f>IF(Q$3&gt;A21remlife,A21value-SUM($G324:P324),IF(A21remlife="N/A","n/a",A21value/A21remlife))</f>
        <v>0</v>
      </c>
      <c r="R324" s="21"/>
      <c r="S324" s="74"/>
      <c r="T324" s="74"/>
      <c r="U324" s="74"/>
      <c r="V324" s="74"/>
      <c r="W324" s="74"/>
      <c r="X324" s="74"/>
      <c r="Y324" s="74"/>
      <c r="Z324" s="74"/>
    </row>
    <row r="325" spans="1:26" ht="12.75" hidden="1" customHeight="1" outlineLevel="2">
      <c r="A325" s="3"/>
      <c r="B325" s="3"/>
      <c r="C325" s="3"/>
      <c r="D325" s="16"/>
      <c r="E325" s="1593" t="s">
        <v>43</v>
      </c>
      <c r="F325" s="61"/>
      <c r="G325" s="1341"/>
      <c r="H325" s="18"/>
      <c r="I325" s="18"/>
      <c r="J325" s="18"/>
      <c r="K325" s="18"/>
      <c r="L325" s="18"/>
      <c r="M325" s="1384"/>
      <c r="N325" s="1385"/>
      <c r="O325" s="18"/>
      <c r="P325" s="18"/>
      <c r="Q325" s="18"/>
      <c r="R325" s="18"/>
      <c r="S325" s="74"/>
      <c r="T325" s="74"/>
      <c r="U325" s="74"/>
      <c r="V325" s="74"/>
      <c r="W325" s="74"/>
      <c r="X325" s="74"/>
      <c r="Y325" s="74"/>
      <c r="Z325" s="74"/>
    </row>
    <row r="326" spans="1:26" ht="12.75" hidden="1" customHeight="1" outlineLevel="2">
      <c r="A326" s="3"/>
      <c r="B326" s="3"/>
      <c r="C326" s="3"/>
      <c r="D326" s="16"/>
      <c r="E326" s="1594"/>
      <c r="F326" s="61">
        <v>1</v>
      </c>
      <c r="G326" s="1341"/>
      <c r="H326" s="1381"/>
      <c r="I326" s="18">
        <f>IF(A21stdlife="n/a","n/a",IF(I$3&gt;(A21stdlife+$F326),('RFM input'!$H$243*(1+vanilla1)^0.5)-SUM($H326:H326),('RFM input'!$H$243*(1+vanilla1)^0.5)/A21stdlife))</f>
        <v>0</v>
      </c>
      <c r="J326" s="18">
        <f>IF(A21stdlife="n/a","n/a",IF(J$3&gt;(A21stdlife+$F326),('RFM input'!$H$243*(1+vanilla1)^0.5)-SUM($H326:I326),('RFM input'!$H$243*(1+vanilla1)^0.5)/A21stdlife))</f>
        <v>0</v>
      </c>
      <c r="K326" s="18">
        <f>IF(A21stdlife="n/a","n/a",IF(K$3&gt;(A21stdlife+$F326),('RFM input'!$H$243*(1+vanilla1)^0.5)-SUM($H326:J326),('RFM input'!$H$243*(1+vanilla1)^0.5)/A21stdlife))</f>
        <v>0</v>
      </c>
      <c r="L326" s="18">
        <f>IF(A21stdlife="n/a","n/a",IF(L$3&gt;(A21stdlife+$F326),('RFM input'!$H$243*(1+vanilla1)^0.5)-SUM($H326:K326),('RFM input'!$H$243*(1+vanilla1)^0.5)/A21stdlife))</f>
        <v>0</v>
      </c>
      <c r="M326" s="18">
        <f>IF(A21stdlife="n/a","n/a",IF(M$3&gt;(A21stdlife+$F326),('RFM input'!$H$243*(1+vanilla1)^0.5)-SUM($H326:L326),('RFM input'!$H$243*(1+vanilla1)^0.5)/A21stdlife))</f>
        <v>0</v>
      </c>
      <c r="N326" s="18">
        <f>IF(A21stdlife="n/a","n/a",IF(N$3&gt;(A21stdlife+$F326),('RFM input'!$H$243*(1+vanilla1)^0.5)-SUM($H326:M326),('RFM input'!$H$243*(1+vanilla1)^0.5)/A21stdlife))</f>
        <v>0</v>
      </c>
      <c r="O326" s="18">
        <f>IF(A21stdlife="n/a","n/a",IF(O$3&gt;(A21stdlife+$F326),('RFM input'!$H$243*(1+vanilla1)^0.5)-SUM($H326:N326),('RFM input'!$H$243*(1+vanilla1)^0.5)/A21stdlife))</f>
        <v>0</v>
      </c>
      <c r="P326" s="18">
        <f>IF(A21stdlife="n/a","n/a",IF(P$3&gt;(A21stdlife+$F326),('RFM input'!$H$243*(1+vanilla1)^0.5)-SUM($H326:O326),('RFM input'!$H$243*(1+vanilla1)^0.5)/A21stdlife))</f>
        <v>0</v>
      </c>
      <c r="Q326" s="18">
        <f>IF(A21stdlife="n/a","n/a",IF(Q$3&gt;(A21stdlife+$F326),('RFM input'!$H$243*(1+vanilla1)^0.5)-SUM($H326:P326),('RFM input'!$H$243*(1+vanilla1)^0.5)/A21stdlife))</f>
        <v>0</v>
      </c>
      <c r="R326" s="18"/>
      <c r="S326" s="74"/>
      <c r="T326" s="74"/>
      <c r="U326" s="74"/>
      <c r="V326" s="74"/>
      <c r="W326" s="74"/>
      <c r="X326" s="74"/>
      <c r="Y326" s="74"/>
      <c r="Z326" s="74"/>
    </row>
    <row r="327" spans="1:26" ht="12.75" hidden="1" customHeight="1" outlineLevel="2">
      <c r="A327" s="3"/>
      <c r="B327" s="3"/>
      <c r="C327" s="3"/>
      <c r="D327" s="16"/>
      <c r="E327" s="1594"/>
      <c r="F327" s="61">
        <v>2</v>
      </c>
      <c r="G327" s="1341"/>
      <c r="H327" s="114"/>
      <c r="I327" s="116"/>
      <c r="J327" s="18">
        <f>IF(A21stdlife="n/a","n/a",IF(J$3&gt;(A21stdlife+$F327),('RFM input'!$I$243*(1+vanilla2)^0.5)-SUM($I327:I327),('RFM input'!$I$243*(1+vanilla2)^0.5)/A21stdlife))</f>
        <v>0</v>
      </c>
      <c r="K327" s="18">
        <f>IF(A21stdlife="n/a","n/a",IF(K$3&gt;(A21stdlife+$F327),('RFM input'!$I$243*(1+vanilla2)^0.5)-SUM($I327:J327),('RFM input'!$I$243*(1+vanilla2)^0.5)/A21stdlife))</f>
        <v>0</v>
      </c>
      <c r="L327" s="18">
        <f>IF(A21stdlife="n/a","n/a",IF(L$3&gt;(A21stdlife+$F327),('RFM input'!$I$243*(1+vanilla2)^0.5)-SUM($I327:K327),('RFM input'!$I$243*(1+vanilla2)^0.5)/A21stdlife))</f>
        <v>0</v>
      </c>
      <c r="M327" s="18">
        <f>IF(A21stdlife="n/a","n/a",IF(M$3&gt;(A21stdlife+$F327),('RFM input'!$I$243*(1+vanilla2)^0.5)-SUM($I327:L327),('RFM input'!$I$243*(1+vanilla2)^0.5)/A21stdlife))</f>
        <v>0</v>
      </c>
      <c r="N327" s="18">
        <f>IF(A21stdlife="n/a","n/a",IF(N$3&gt;(A21stdlife+$F327),('RFM input'!$I$243*(1+vanilla2)^0.5)-SUM($I327:M327),('RFM input'!$I$243*(1+vanilla2)^0.5)/A21stdlife))</f>
        <v>0</v>
      </c>
      <c r="O327" s="18">
        <f>IF(A21stdlife="n/a","n/a",IF(O$3&gt;(A21stdlife+$F327),('RFM input'!$I$243*(1+vanilla2)^0.5)-SUM($I327:N327),('RFM input'!$I$243*(1+vanilla2)^0.5)/A21stdlife))</f>
        <v>0</v>
      </c>
      <c r="P327" s="18">
        <f>IF(A21stdlife="n/a","n/a",IF(P$3&gt;(A21stdlife+$F327),('RFM input'!$I$243*(1+vanilla2)^0.5)-SUM($I327:O327),('RFM input'!$I$243*(1+vanilla2)^0.5)/A21stdlife))</f>
        <v>0</v>
      </c>
      <c r="Q327" s="18">
        <f>IF(A21stdlife="n/a","n/a",IF(Q$3&gt;(A21stdlife+$F327),('RFM input'!$I$243*(1+vanilla2)^0.5)-SUM($I327:P327),('RFM input'!$I$243*(1+vanilla2)^0.5)/A21stdlife))</f>
        <v>0</v>
      </c>
      <c r="R327" s="18"/>
      <c r="S327" s="74"/>
      <c r="T327" s="74"/>
      <c r="U327" s="74"/>
      <c r="V327" s="74"/>
      <c r="W327" s="74"/>
      <c r="X327" s="74"/>
      <c r="Y327" s="74"/>
      <c r="Z327" s="74"/>
    </row>
    <row r="328" spans="1:26" ht="12.75" hidden="1" customHeight="1" outlineLevel="2">
      <c r="A328" s="3"/>
      <c r="B328" s="3"/>
      <c r="C328" s="3"/>
      <c r="D328" s="16"/>
      <c r="E328" s="1594"/>
      <c r="F328" s="61">
        <v>3</v>
      </c>
      <c r="G328" s="1341"/>
      <c r="H328" s="114"/>
      <c r="I328" s="115"/>
      <c r="J328" s="116"/>
      <c r="K328" s="18">
        <f>IF(A21stdlife="n/a","n/a",IF(K$3&gt;(A21stdlife+$F328),('RFM input'!$J$243*(1+vanilla3)^0.5)-SUM($J328:J328),('RFM input'!$J$243*(1+vanilla3)^0.5)/A21stdlife))</f>
        <v>0</v>
      </c>
      <c r="L328" s="18">
        <f>IF(A21stdlife="n/a","n/a",IF(L$3&gt;(A21stdlife+$F328),('RFM input'!$J$243*(1+vanilla3)^0.5)-SUM($J328:K328),('RFM input'!$J$243*(1+vanilla3)^0.5)/A21stdlife))</f>
        <v>0</v>
      </c>
      <c r="M328" s="18">
        <f>IF(A21stdlife="n/a","n/a",IF(M$3&gt;(A21stdlife+$F328),('RFM input'!$J$243*(1+vanilla3)^0.5)-SUM($J328:L328),('RFM input'!$J$243*(1+vanilla3)^0.5)/A21stdlife))</f>
        <v>0</v>
      </c>
      <c r="N328" s="18">
        <f>IF(A21stdlife="n/a","n/a",IF(N$3&gt;(A21stdlife+$F328),('RFM input'!$J$243*(1+vanilla3)^0.5)-SUM($J328:M328),('RFM input'!$J$243*(1+vanilla3)^0.5)/A21stdlife))</f>
        <v>0</v>
      </c>
      <c r="O328" s="18">
        <f>IF(A21stdlife="n/a","n/a",IF(O$3&gt;(A21stdlife+$F328),('RFM input'!$J$243*(1+vanilla3)^0.5)-SUM($J328:N328),('RFM input'!$J$243*(1+vanilla3)^0.5)/A21stdlife))</f>
        <v>0</v>
      </c>
      <c r="P328" s="18">
        <f>IF(A21stdlife="n/a","n/a",IF(P$3&gt;(A21stdlife+$F328),('RFM input'!$J$243*(1+vanilla3)^0.5)-SUM($J328:O328),('RFM input'!$J$243*(1+vanilla3)^0.5)/A21stdlife))</f>
        <v>0</v>
      </c>
      <c r="Q328" s="18">
        <f>IF(A21stdlife="n/a","n/a",IF(Q$3&gt;(A21stdlife+$F328),('RFM input'!$J$243*(1+vanilla3)^0.5)-SUM($J328:P328),('RFM input'!$J$243*(1+vanilla3)^0.5)/A21stdlife))</f>
        <v>0</v>
      </c>
      <c r="R328" s="18"/>
      <c r="S328" s="74"/>
      <c r="T328" s="74"/>
      <c r="U328" s="74"/>
      <c r="V328" s="74"/>
      <c r="W328" s="74"/>
      <c r="X328" s="74"/>
      <c r="Y328" s="74"/>
      <c r="Z328" s="74"/>
    </row>
    <row r="329" spans="1:26" ht="12.75" hidden="1" customHeight="1" outlineLevel="2">
      <c r="A329" s="3"/>
      <c r="B329" s="3"/>
      <c r="C329" s="3"/>
      <c r="D329" s="16"/>
      <c r="E329" s="1594"/>
      <c r="F329" s="61">
        <v>4</v>
      </c>
      <c r="G329" s="1341"/>
      <c r="H329" s="114"/>
      <c r="I329" s="115"/>
      <c r="J329" s="115"/>
      <c r="K329" s="116"/>
      <c r="L329" s="18">
        <f>IF(A21stdlife="n/a","n/a",IF(L$3&gt;(A21stdlife+$F329),('RFM input'!$K$243*(1+vanilla4)^0.5)-SUM($K329:K329),('RFM input'!$K$243*(1+vanilla4)^0.5)/A21stdlife))</f>
        <v>0</v>
      </c>
      <c r="M329" s="18">
        <f>IF(A21stdlife="n/a","n/a",IF(M$3&gt;(A21stdlife+$F329),('RFM input'!$K$243*(1+vanilla4)^0.5)-SUM($K329:L329),('RFM input'!$K$243*(1+vanilla4)^0.5)/A21stdlife))</f>
        <v>0</v>
      </c>
      <c r="N329" s="18">
        <f>IF(A21stdlife="n/a","n/a",IF(N$3&gt;(A21stdlife+$F329),('RFM input'!$K$243*(1+vanilla4)^0.5)-SUM($K329:M329),('RFM input'!$K$243*(1+vanilla4)^0.5)/A21stdlife))</f>
        <v>0</v>
      </c>
      <c r="O329" s="18">
        <f>IF(A21stdlife="n/a","n/a",IF(O$3&gt;(A21stdlife+$F329),('RFM input'!$K$243*(1+vanilla4)^0.5)-SUM($K329:N329),('RFM input'!$K$243*(1+vanilla4)^0.5)/A21stdlife))</f>
        <v>0</v>
      </c>
      <c r="P329" s="18">
        <f>IF(A21stdlife="n/a","n/a",IF(P$3&gt;(A21stdlife+$F329),('RFM input'!$K$243*(1+vanilla4)^0.5)-SUM($K329:O329),('RFM input'!$K$243*(1+vanilla4)^0.5)/A21stdlife))</f>
        <v>0</v>
      </c>
      <c r="Q329" s="18">
        <f>IF(A21stdlife="n/a","n/a",IF(Q$3&gt;(A21stdlife+$F329),('RFM input'!$K$243*(1+vanilla4)^0.5)-SUM($K329:P329),('RFM input'!$K$243*(1+vanilla4)^0.5)/A21stdlife))</f>
        <v>0</v>
      </c>
      <c r="R329" s="18"/>
      <c r="S329" s="74"/>
      <c r="T329" s="74"/>
      <c r="U329" s="74"/>
      <c r="V329" s="74"/>
      <c r="W329" s="74"/>
      <c r="X329" s="74"/>
      <c r="Y329" s="74"/>
      <c r="Z329" s="74"/>
    </row>
    <row r="330" spans="1:26" ht="12.75" hidden="1" customHeight="1" outlineLevel="2">
      <c r="A330" s="3"/>
      <c r="B330" s="3"/>
      <c r="C330" s="3"/>
      <c r="D330" s="16"/>
      <c r="E330" s="1594"/>
      <c r="F330" s="61">
        <v>5</v>
      </c>
      <c r="G330" s="17"/>
      <c r="H330" s="114"/>
      <c r="I330" s="115"/>
      <c r="J330" s="115"/>
      <c r="K330" s="115"/>
      <c r="L330" s="116"/>
      <c r="M330" s="18">
        <f>IF(A21stdlife="n/a","n/a",IF(M$3&gt;(A21stdlife+$F330),('RFM input'!$L$243*(1+vanilla5)^0.5)-SUM($L330:L330),('RFM input'!$L$243*(1+vanilla5)^0.5)/A21stdlife))</f>
        <v>0</v>
      </c>
      <c r="N330" s="18">
        <f>IF(A21stdlife="n/a","n/a",IF(N$3&gt;(A21stdlife+$F330),('RFM input'!$L$243*(1+vanilla5)^0.5)-SUM($L330:M330),('RFM input'!$L$243*(1+vanilla5)^0.5)/A21stdlife))</f>
        <v>0</v>
      </c>
      <c r="O330" s="18">
        <f>IF(A21stdlife="n/a","n/a",IF(O$3&gt;(A21stdlife+$F330),('RFM input'!$L$243*(1+vanilla5)^0.5)-SUM($L330:N330),('RFM input'!$L$243*(1+vanilla5)^0.5)/A21stdlife))</f>
        <v>0</v>
      </c>
      <c r="P330" s="18">
        <f>IF(A21stdlife="n/a","n/a",IF(P$3&gt;(A21stdlife+$F330),('RFM input'!$L$243*(1+vanilla5)^0.5)-SUM($L330:O330),('RFM input'!$L$243*(1+vanilla5)^0.5)/A21stdlife))</f>
        <v>0</v>
      </c>
      <c r="Q330" s="18">
        <f>IF(A21stdlife="n/a","n/a",IF(Q$3&gt;(A21stdlife+$F330),('RFM input'!$L$243*(1+vanilla5)^0.5)-SUM($L330:P330),('RFM input'!$L$243*(1+vanilla5)^0.5)/A21stdlife))</f>
        <v>0</v>
      </c>
      <c r="R330" s="18"/>
      <c r="S330" s="74"/>
      <c r="T330" s="74"/>
      <c r="U330" s="74"/>
      <c r="V330" s="74"/>
      <c r="W330" s="74"/>
      <c r="X330" s="74"/>
      <c r="Y330" s="74"/>
      <c r="Z330" s="74"/>
    </row>
    <row r="331" spans="1:26" ht="12.75" hidden="1" customHeight="1" outlineLevel="2">
      <c r="A331" s="3"/>
      <c r="B331" s="3"/>
      <c r="C331" s="3"/>
      <c r="D331" s="16"/>
      <c r="E331" s="1594"/>
      <c r="F331" s="61">
        <v>6</v>
      </c>
      <c r="G331" s="17"/>
      <c r="H331" s="114"/>
      <c r="I331" s="115"/>
      <c r="J331" s="115"/>
      <c r="K331" s="115"/>
      <c r="L331" s="115"/>
      <c r="M331" s="116"/>
      <c r="N331" s="18">
        <f>IF(A21stdlife="n/a","n/a",IF(N$3&gt;(A21stdlife+$F331),('RFM input'!$M$243*(1+vanilla6)^0.5)-SUM($M331:M331),('RFM input'!$M$243*(1+vanilla6)^0.5)/A21stdlife))</f>
        <v>0</v>
      </c>
      <c r="O331" s="18">
        <f>IF(A21stdlife="n/a","n/a",IF(O$3&gt;(A21stdlife+$F331),('RFM input'!$M$243*(1+vanilla6)^0.5)-SUM($M331:N331),('RFM input'!$M$243*(1+vanilla6)^0.5)/A21stdlife))</f>
        <v>0</v>
      </c>
      <c r="P331" s="18">
        <f>IF(A21stdlife="n/a","n/a",IF(P$3&gt;(A21stdlife+$F331),('RFM input'!$M$243*(1+vanilla6)^0.5)-SUM($M331:O331),('RFM input'!$M$243*(1+vanilla6)^0.5)/A21stdlife))</f>
        <v>0</v>
      </c>
      <c r="Q331" s="18">
        <f>IF(A21stdlife="n/a","n/a",IF(Q$3&gt;(A21stdlife+$F331),('RFM input'!$M$243*(1+vanilla6)^0.5)-SUM($M331:P331),('RFM input'!$M$243*(1+vanilla6)^0.5)/A21stdlife))</f>
        <v>0</v>
      </c>
      <c r="R331" s="18"/>
      <c r="S331" s="74"/>
      <c r="T331" s="74"/>
      <c r="U331" s="74"/>
      <c r="V331" s="74"/>
      <c r="W331" s="74"/>
      <c r="X331" s="74"/>
      <c r="Y331" s="74"/>
      <c r="Z331" s="74"/>
    </row>
    <row r="332" spans="1:26" ht="12.75" hidden="1" customHeight="1" outlineLevel="2">
      <c r="A332" s="3"/>
      <c r="B332" s="3"/>
      <c r="C332" s="3"/>
      <c r="D332" s="16"/>
      <c r="E332" s="1594"/>
      <c r="F332" s="61">
        <v>7</v>
      </c>
      <c r="G332" s="17"/>
      <c r="H332" s="114"/>
      <c r="I332" s="115"/>
      <c r="J332" s="115"/>
      <c r="K332" s="115"/>
      <c r="L332" s="115"/>
      <c r="M332" s="115"/>
      <c r="N332" s="116"/>
      <c r="O332" s="18">
        <f>IF(A22stdlife="n/a","n/a",IF(O$3&gt;(A22stdlife+$F332),('RFM input'!M$243*(1+vanilla7)^0.5)-SUM($N332:N332),('RFM input'!$N$243*(1+vanilla7)^0.5)/A21stdlife))</f>
        <v>0</v>
      </c>
      <c r="P332" s="18">
        <f>IF(A22stdlife="n/a","n/a",IF(P$3&gt;(A22stdlife+$F332),('RFM input'!N$243*(1+vanilla7)^0.5)-SUM($N332:O332),('RFM input'!$N$243*(1+vanilla7)^0.5)/A21stdlife))</f>
        <v>0</v>
      </c>
      <c r="Q332" s="18">
        <f>IF(A22stdlife="n/a","n/a",IF(Q$3&gt;(A22stdlife+$F332),('RFM input'!O$243*(1+vanilla7)^0.5)-SUM($N332:P332),('RFM input'!$N$243*(1+vanilla7)^0.5)/A21stdlife))</f>
        <v>0</v>
      </c>
      <c r="R332" s="18"/>
      <c r="S332" s="74"/>
      <c r="T332" s="74"/>
      <c r="U332" s="74"/>
      <c r="V332" s="74"/>
      <c r="W332" s="74"/>
      <c r="X332" s="74"/>
      <c r="Y332" s="74"/>
      <c r="Z332" s="74"/>
    </row>
    <row r="333" spans="1:26" ht="12.75" hidden="1" customHeight="1" outlineLevel="2">
      <c r="A333" s="3"/>
      <c r="B333" s="3"/>
      <c r="C333" s="3"/>
      <c r="D333" s="16"/>
      <c r="E333" s="1594"/>
      <c r="F333" s="61">
        <v>8</v>
      </c>
      <c r="G333" s="17"/>
      <c r="H333" s="114"/>
      <c r="I333" s="115"/>
      <c r="J333" s="115"/>
      <c r="K333" s="115"/>
      <c r="L333" s="115"/>
      <c r="M333" s="115"/>
      <c r="N333" s="115"/>
      <c r="O333" s="116"/>
      <c r="P333" s="18">
        <f>IF(A21stdlife="n/a","n/a",IF(P$3&gt;(A21stdlife+$F333),('RFM input'!$O$243*(1+vanilla8)^0.5)-SUM($O333:O333),('RFM input'!$O$243*(1+vanilla8)^0.5)/A21stdlife))</f>
        <v>0</v>
      </c>
      <c r="Q333" s="18">
        <f>IF(A21stdlife="n/a","n/a",IF(Q$3&gt;(A21stdlife+$F333),('RFM input'!$O$243*(1+vanilla8)^0.5)-SUM($O333:P333),('RFM input'!$O$243*(1+vanilla8)^0.5)/A21stdlife))</f>
        <v>0</v>
      </c>
      <c r="R333" s="18"/>
      <c r="S333" s="74"/>
      <c r="T333" s="74"/>
      <c r="U333" s="74"/>
      <c r="V333" s="74"/>
      <c r="W333" s="74"/>
      <c r="X333" s="74"/>
      <c r="Y333" s="74"/>
      <c r="Z333" s="74"/>
    </row>
    <row r="334" spans="1:26" ht="12.75" hidden="1" customHeight="1" outlineLevel="2">
      <c r="A334" s="3"/>
      <c r="B334" s="3"/>
      <c r="C334" s="3"/>
      <c r="D334" s="16"/>
      <c r="E334" s="1594"/>
      <c r="F334" s="61">
        <v>9</v>
      </c>
      <c r="G334" s="17"/>
      <c r="H334" s="114"/>
      <c r="I334" s="115"/>
      <c r="J334" s="115"/>
      <c r="K334" s="115"/>
      <c r="L334" s="115"/>
      <c r="M334" s="115"/>
      <c r="N334" s="115"/>
      <c r="O334" s="115"/>
      <c r="P334" s="116"/>
      <c r="Q334" s="18">
        <f>IF(A21stdlife="n/a","n/a",IF(Q$3&gt;(A21stdlife+$F334),('RFM input'!$P$243*(1+vanilla9)^0.5)-SUM($P334:P334),('RFM input'!$P$243*(1+vanilla9)^0.5)/A21stdlife))</f>
        <v>0</v>
      </c>
      <c r="R334" s="18"/>
      <c r="S334" s="74"/>
      <c r="T334" s="74"/>
      <c r="U334" s="74"/>
      <c r="V334" s="74"/>
      <c r="W334" s="74"/>
      <c r="X334" s="74"/>
      <c r="Y334" s="74"/>
      <c r="Z334" s="74"/>
    </row>
    <row r="335" spans="1:26" ht="12.75" hidden="1" customHeight="1" outlineLevel="2">
      <c r="A335" s="3"/>
      <c r="B335" s="3"/>
      <c r="C335" s="3"/>
      <c r="D335" s="16"/>
      <c r="E335" s="1594"/>
      <c r="F335" s="62">
        <v>10</v>
      </c>
      <c r="G335" s="17"/>
      <c r="H335" s="114"/>
      <c r="I335" s="115"/>
      <c r="J335" s="115"/>
      <c r="K335" s="115"/>
      <c r="L335" s="115"/>
      <c r="M335" s="115"/>
      <c r="N335" s="115"/>
      <c r="O335" s="115"/>
      <c r="P335" s="115"/>
      <c r="Q335" s="116"/>
      <c r="R335" s="18"/>
      <c r="S335" s="74"/>
      <c r="T335" s="74"/>
      <c r="U335" s="74"/>
      <c r="V335" s="74"/>
      <c r="W335" s="74"/>
      <c r="X335" s="74"/>
      <c r="Y335" s="74"/>
      <c r="Z335" s="74"/>
    </row>
    <row r="336" spans="1:26" ht="13.35" hidden="1" customHeight="1" outlineLevel="1">
      <c r="A336" s="3"/>
      <c r="B336" s="3"/>
      <c r="C336" s="3"/>
      <c r="D336" s="134">
        <f>Asset21</f>
        <v>0</v>
      </c>
      <c r="E336" s="3"/>
      <c r="F336" s="3"/>
      <c r="G336" s="1341"/>
      <c r="H336" s="1458">
        <f>IF(OR('RFM input'!$E$293='RFM input'!$G$292,'RFM input'!$E$293='RFM input'!$G$293),-INDEX('RFM input'!H$299:H$348,MATCH($D336,'RFM input'!$E$299:$E$348,0),1),-SUM(H324:H335))</f>
        <v>0</v>
      </c>
      <c r="I336" s="1458">
        <f>IF(OR('RFM input'!$E$293='RFM input'!$G$292,'RFM input'!$E$293='RFM input'!$G$293),-INDEX('RFM input'!I$299:I$348,MATCH($D336,'RFM input'!$E$299:$E$348,0),1),-SUM(I324:I335))</f>
        <v>0</v>
      </c>
      <c r="J336" s="1386">
        <f>IF(COUNT($H336:I336)&gt;='RFM input'!$V$7,
   0,
   IF(OR('RFM input'!$E$293='RFM input'!$G$292,'RFM input'!$E$293='RFM input'!$G$293),
      -INDEX('RFM input'!J$299:J$348,MATCH($D336,'RFM input'!$E$299:$E$348,0),1),
      -SUM(J324:J335)))</f>
        <v>0</v>
      </c>
      <c r="K336" s="1386">
        <f>IF(COUNT($H336:J336)&gt;='RFM input'!$V$7,
   0,
   IF(OR('RFM input'!$E$293='RFM input'!$G$292,'RFM input'!$E$293='RFM input'!$G$293),
      -INDEX('RFM input'!K$299:K$348,MATCH($D336,'RFM input'!$E$299:$E$348,0),1),
      -SUM(K324:K335)))</f>
        <v>0</v>
      </c>
      <c r="L336" s="1386">
        <f>IF(COUNT($H336:K336)&gt;='RFM input'!$V$7,
   0,
   IF(OR('RFM input'!$E$293='RFM input'!$G$292,'RFM input'!$E$293='RFM input'!$G$293),
      -INDEX('RFM input'!L$299:L$348,MATCH($D336,'RFM input'!$E$299:$E$348,0),1),
      -SUM(L324:L335)))</f>
        <v>0</v>
      </c>
      <c r="M336" s="1386">
        <f>IF(COUNT($H336:L336)&gt;='RFM input'!$V$7,
   0,
   IF(OR('RFM input'!$E$293='RFM input'!$G$292,'RFM input'!$E$293='RFM input'!$G$293),
      -INDEX('RFM input'!M$299:M$348,MATCH($D336,'RFM input'!$E$299:$E$348,0),1),
      -SUM(M324:M335)))</f>
        <v>0</v>
      </c>
      <c r="N336" s="1386">
        <f>IF(COUNT($H336:M336)&gt;='RFM input'!$V$7,
   0,
   IF(OR('RFM input'!$E$293='RFM input'!$G$292,'RFM input'!$E$293='RFM input'!$G$293),
      -INDEX('RFM input'!N$299:N$348,MATCH($D336,'RFM input'!$E$299:$E$348,0),1),
      -SUM(N324:N335)))</f>
        <v>0</v>
      </c>
      <c r="O336" s="1386">
        <f>IF(COUNT($H336:N336)&gt;='RFM input'!$V$7,
   0,
   IF(OR('RFM input'!$E$293='RFM input'!$G$292,'RFM input'!$E$293='RFM input'!$G$293),
      -INDEX('RFM input'!O$299:O$348,MATCH($D336,'RFM input'!$E$299:$E$348,0),1),
      -SUM(O324:O335)))</f>
        <v>0</v>
      </c>
      <c r="P336" s="1386">
        <f>IF(COUNT($H336:O336)&gt;='RFM input'!$V$7,
   0,
   IF(OR('RFM input'!$E$293='RFM input'!$G$292,'RFM input'!$E$293='RFM input'!$G$293),
      -INDEX('RFM input'!P$299:P$348,MATCH($D336,'RFM input'!$E$299:$E$348,0),1),
      -SUM(P324:P335)))</f>
        <v>0</v>
      </c>
      <c r="Q336" s="1386">
        <f>IF(COUNT($H336:P336)&gt;='RFM input'!$V$7,
   0,
   IF(OR('RFM input'!$E$293='RFM input'!$G$292,'RFM input'!$E$293='RFM input'!$G$293),
      -INDEX('RFM input'!Q$299:Q$348,MATCH($D336,'RFM input'!$E$299:$E$348,0),1),
      -SUM(Q324:Q335)))</f>
        <v>0</v>
      </c>
      <c r="R336" s="1382"/>
      <c r="S336" s="76"/>
      <c r="T336" s="76"/>
      <c r="U336" s="76"/>
      <c r="V336" s="76"/>
      <c r="W336" s="76"/>
      <c r="X336" s="76"/>
      <c r="Y336" s="76"/>
      <c r="Z336" s="76"/>
    </row>
    <row r="337" spans="1:26" ht="12.75" hidden="1" customHeight="1" outlineLevel="2">
      <c r="A337" s="3"/>
      <c r="B337" s="3"/>
      <c r="C337" s="135">
        <f>Asset22</f>
        <v>0</v>
      </c>
      <c r="D337" s="100"/>
      <c r="E337" s="20" t="s">
        <v>23</v>
      </c>
      <c r="F337" s="19"/>
      <c r="G337" s="1383"/>
      <c r="H337" s="1380">
        <f>IF(H$3&gt;A22remlife,A22value-SUM($G337:G337),IF(A22remlife="N/A","n/a",A22value/A22remlife))</f>
        <v>0</v>
      </c>
      <c r="I337" s="1380">
        <f>IF(I$3&gt;A22remlife,A22value-SUM($G337:H337),IF(A22remlife="N/A","n/a",A22value/A22remlife))</f>
        <v>0</v>
      </c>
      <c r="J337" s="1380">
        <f>IF(J$3&gt;A22remlife,A22value-SUM($G337:I337),IF(A22remlife="N/A","n/a",A22value/A22remlife))</f>
        <v>0</v>
      </c>
      <c r="K337" s="1380">
        <f>IF(K$3&gt;A22remlife,A22value-SUM($G337:J337),IF(A22remlife="N/A","n/a",A22value/A22remlife))</f>
        <v>0</v>
      </c>
      <c r="L337" s="1380">
        <f>IF(L$3&gt;A22remlife,A22value-SUM($G337:K337),IF(A22remlife="N/A","n/a",A22value/A22remlife))</f>
        <v>0</v>
      </c>
      <c r="M337" s="1380">
        <f>IF(M$3&gt;A22remlife,A22value-SUM($G337:L337),IF(A22remlife="N/A","n/a",A22value/A22remlife))</f>
        <v>0</v>
      </c>
      <c r="N337" s="1380">
        <f>IF(N$3&gt;A22remlife,A22value-SUM($G337:M337),IF(A22remlife="N/A","n/a",A22value/A22remlife))</f>
        <v>0</v>
      </c>
      <c r="O337" s="1380">
        <f>IF(O$3&gt;A22remlife,A22value-SUM($G337:N337),IF(A22remlife="N/A","n/a",A22value/A22remlife))</f>
        <v>0</v>
      </c>
      <c r="P337" s="1380">
        <f>IF(P$3&gt;A22remlife,A22value-SUM($G337:O337),IF(A22remlife="N/A","n/a",A22value/A22remlife))</f>
        <v>0</v>
      </c>
      <c r="Q337" s="1380">
        <f>IF(Q$3&gt;A22remlife,A22value-SUM($G337:P337),IF(A22remlife="N/A","n/a",A22value/A22remlife))</f>
        <v>0</v>
      </c>
      <c r="R337" s="21"/>
      <c r="S337" s="74"/>
      <c r="T337" s="74"/>
      <c r="U337" s="74"/>
      <c r="V337" s="74"/>
      <c r="W337" s="74"/>
      <c r="X337" s="74"/>
      <c r="Y337" s="74"/>
      <c r="Z337" s="74"/>
    </row>
    <row r="338" spans="1:26" ht="12.75" hidden="1" customHeight="1" outlineLevel="2">
      <c r="A338" s="3"/>
      <c r="B338" s="3"/>
      <c r="C338" s="3"/>
      <c r="D338" s="16"/>
      <c r="E338" s="1593" t="s">
        <v>43</v>
      </c>
      <c r="F338" s="61"/>
      <c r="G338" s="1341"/>
      <c r="H338" s="18"/>
      <c r="I338" s="18"/>
      <c r="J338" s="18"/>
      <c r="K338" s="18"/>
      <c r="L338" s="18"/>
      <c r="M338" s="1384"/>
      <c r="N338" s="1385"/>
      <c r="O338" s="18"/>
      <c r="P338" s="18"/>
      <c r="Q338" s="18"/>
      <c r="R338" s="18"/>
      <c r="S338" s="74"/>
      <c r="T338" s="74"/>
      <c r="U338" s="74"/>
      <c r="V338" s="74"/>
      <c r="W338" s="74"/>
      <c r="X338" s="74"/>
      <c r="Y338" s="74"/>
      <c r="Z338" s="74"/>
    </row>
    <row r="339" spans="1:26" ht="12.75" hidden="1" customHeight="1" outlineLevel="2">
      <c r="A339" s="3"/>
      <c r="B339" s="3"/>
      <c r="C339" s="3"/>
      <c r="D339" s="16"/>
      <c r="E339" s="1594"/>
      <c r="F339" s="61">
        <v>1</v>
      </c>
      <c r="G339" s="1341"/>
      <c r="H339" s="1381"/>
      <c r="I339" s="18">
        <f>IF(A22stdlife="n/a","n/a",IF(I$3&gt;(A22stdlife+$F339),('RFM input'!$H$244*(1+vanilla1)^0.5)-SUM($H339:H339),('RFM input'!$H$244*(1+vanilla1)^0.5)/A22stdlife))</f>
        <v>0</v>
      </c>
      <c r="J339" s="18">
        <f>IF(A22stdlife="n/a","n/a",IF(J$3&gt;(A22stdlife+$F339),('RFM input'!$H$244*(1+vanilla1)^0.5)-SUM($H339:I339),('RFM input'!$H$244*(1+vanilla1)^0.5)/A22stdlife))</f>
        <v>0</v>
      </c>
      <c r="K339" s="18">
        <f>IF(A22stdlife="n/a","n/a",IF(K$3&gt;(A22stdlife+$F339),('RFM input'!$H$244*(1+vanilla1)^0.5)-SUM($H339:J339),('RFM input'!$H$244*(1+vanilla1)^0.5)/A22stdlife))</f>
        <v>0</v>
      </c>
      <c r="L339" s="18">
        <f>IF(A22stdlife="n/a","n/a",IF(L$3&gt;(A22stdlife+$F339),('RFM input'!$H$244*(1+vanilla1)^0.5)-SUM($H339:K339),('RFM input'!$H$244*(1+vanilla1)^0.5)/A22stdlife))</f>
        <v>0</v>
      </c>
      <c r="M339" s="18">
        <f>IF(A22stdlife="n/a","n/a",IF(M$3&gt;(A22stdlife+$F339),('RFM input'!$H$244*(1+vanilla1)^0.5)-SUM($H339:L339),('RFM input'!$H$244*(1+vanilla1)^0.5)/A22stdlife))</f>
        <v>0</v>
      </c>
      <c r="N339" s="18">
        <f>IF(A22stdlife="n/a","n/a",IF(N$3&gt;(A22stdlife+$F339),('RFM input'!$H$244*(1+vanilla1)^0.5)-SUM($H339:M339),('RFM input'!$H$244*(1+vanilla1)^0.5)/A22stdlife))</f>
        <v>0</v>
      </c>
      <c r="O339" s="18">
        <f>IF(A22stdlife="n/a","n/a",IF(O$3&gt;(A22stdlife+$F339),('RFM input'!$H$244*(1+vanilla1)^0.5)-SUM($H339:N339),('RFM input'!$H$244*(1+vanilla1)^0.5)/A22stdlife))</f>
        <v>0</v>
      </c>
      <c r="P339" s="18">
        <f>IF(A22stdlife="n/a","n/a",IF(P$3&gt;(A22stdlife+$F339),('RFM input'!$H$244*(1+vanilla1)^0.5)-SUM($H339:O339),('RFM input'!$H$244*(1+vanilla1)^0.5)/A22stdlife))</f>
        <v>0</v>
      </c>
      <c r="Q339" s="18">
        <f>IF(A22stdlife="n/a","n/a",IF(Q$3&gt;(A22stdlife+$F339),('RFM input'!$H$244*(1+vanilla1)^0.5)-SUM($H339:P339),('RFM input'!$H$244*(1+vanilla1)^0.5)/A22stdlife))</f>
        <v>0</v>
      </c>
      <c r="R339" s="18"/>
      <c r="S339" s="74"/>
      <c r="T339" s="74"/>
      <c r="U339" s="74"/>
      <c r="V339" s="74"/>
      <c r="W339" s="74"/>
      <c r="X339" s="74"/>
      <c r="Y339" s="74"/>
      <c r="Z339" s="74"/>
    </row>
    <row r="340" spans="1:26" ht="12.75" hidden="1" customHeight="1" outlineLevel="2">
      <c r="A340" s="3"/>
      <c r="B340" s="3"/>
      <c r="C340" s="3"/>
      <c r="D340" s="16"/>
      <c r="E340" s="1594"/>
      <c r="F340" s="61">
        <v>2</v>
      </c>
      <c r="G340" s="1341"/>
      <c r="H340" s="114"/>
      <c r="I340" s="116"/>
      <c r="J340" s="18">
        <f>IF(A22stdlife="n/a","n/a",IF(J$3&gt;(A22stdlife+$F340),('RFM input'!$I$244*(1+vanilla2)^0.5)-SUM($I340:I340),('RFM input'!$I$244*(1+vanilla2)^0.5)/A22stdlife))</f>
        <v>0</v>
      </c>
      <c r="K340" s="18">
        <f>IF(A22stdlife="n/a","n/a",IF(K$3&gt;(A22stdlife+$F340),('RFM input'!$I$244*(1+vanilla2)^0.5)-SUM($I340:J340),('RFM input'!$I$244*(1+vanilla2)^0.5)/A22stdlife))</f>
        <v>0</v>
      </c>
      <c r="L340" s="18">
        <f>IF(A22stdlife="n/a","n/a",IF(L$3&gt;(A22stdlife+$F340),('RFM input'!$I$244*(1+vanilla2)^0.5)-SUM($I340:K340),('RFM input'!$I$244*(1+vanilla2)^0.5)/A22stdlife))</f>
        <v>0</v>
      </c>
      <c r="M340" s="18">
        <f>IF(A22stdlife="n/a","n/a",IF(M$3&gt;(A22stdlife+$F340),('RFM input'!$I$244*(1+vanilla2)^0.5)-SUM($I340:L340),('RFM input'!$I$244*(1+vanilla2)^0.5)/A22stdlife))</f>
        <v>0</v>
      </c>
      <c r="N340" s="18">
        <f>IF(A22stdlife="n/a","n/a",IF(N$3&gt;(A22stdlife+$F340),('RFM input'!$I$244*(1+vanilla2)^0.5)-SUM($I340:M340),('RFM input'!$I$244*(1+vanilla2)^0.5)/A22stdlife))</f>
        <v>0</v>
      </c>
      <c r="O340" s="18">
        <f>IF(A22stdlife="n/a","n/a",IF(O$3&gt;(A22stdlife+$F340),('RFM input'!$I$244*(1+vanilla2)^0.5)-SUM($I340:N340),('RFM input'!$I$244*(1+vanilla2)^0.5)/A22stdlife))</f>
        <v>0</v>
      </c>
      <c r="P340" s="18">
        <f>IF(A22stdlife="n/a","n/a",IF(P$3&gt;(A22stdlife+$F340),('RFM input'!$I$244*(1+vanilla2)^0.5)-SUM($I340:O340),('RFM input'!$I$244*(1+vanilla2)^0.5)/A22stdlife))</f>
        <v>0</v>
      </c>
      <c r="Q340" s="18">
        <f>IF(A22stdlife="n/a","n/a",IF(Q$3&gt;(A22stdlife+$F340),('RFM input'!$I$244*(1+vanilla2)^0.5)-SUM($I340:P340),('RFM input'!$I$244*(1+vanilla2)^0.5)/A22stdlife))</f>
        <v>0</v>
      </c>
      <c r="R340" s="18"/>
      <c r="S340" s="74"/>
      <c r="T340" s="74"/>
      <c r="U340" s="74"/>
      <c r="V340" s="74"/>
      <c r="W340" s="74"/>
      <c r="X340" s="74"/>
      <c r="Y340" s="74"/>
      <c r="Z340" s="74"/>
    </row>
    <row r="341" spans="1:26" ht="12.75" hidden="1" customHeight="1" outlineLevel="2">
      <c r="A341" s="3"/>
      <c r="B341" s="3"/>
      <c r="C341" s="3"/>
      <c r="D341" s="16"/>
      <c r="E341" s="1594"/>
      <c r="F341" s="61">
        <v>3</v>
      </c>
      <c r="G341" s="1341"/>
      <c r="H341" s="114"/>
      <c r="I341" s="115"/>
      <c r="J341" s="116"/>
      <c r="K341" s="18">
        <f>IF(A22stdlife="n/a","n/a",IF(K$3&gt;(A22stdlife+$F341),('RFM input'!$J$244*(1+vanilla3)^0.5)-SUM($J341:J341),('RFM input'!$J$244*(1+vanilla3)^0.5)/A22stdlife))</f>
        <v>0</v>
      </c>
      <c r="L341" s="18">
        <f>IF(A22stdlife="n/a","n/a",IF(L$3&gt;(A22stdlife+$F341),('RFM input'!$J$244*(1+vanilla3)^0.5)-SUM($J341:K341),('RFM input'!$J$244*(1+vanilla3)^0.5)/A22stdlife))</f>
        <v>0</v>
      </c>
      <c r="M341" s="18">
        <f>IF(A22stdlife="n/a","n/a",IF(M$3&gt;(A22stdlife+$F341),('RFM input'!$J$244*(1+vanilla3)^0.5)-SUM($J341:L341),('RFM input'!$J$244*(1+vanilla3)^0.5)/A22stdlife))</f>
        <v>0</v>
      </c>
      <c r="N341" s="18">
        <f>IF(A22stdlife="n/a","n/a",IF(N$3&gt;(A22stdlife+$F341),('RFM input'!$J$244*(1+vanilla3)^0.5)-SUM($J341:M341),('RFM input'!$J$244*(1+vanilla3)^0.5)/A22stdlife))</f>
        <v>0</v>
      </c>
      <c r="O341" s="18">
        <f>IF(A22stdlife="n/a","n/a",IF(O$3&gt;(A22stdlife+$F341),('RFM input'!$J$244*(1+vanilla3)^0.5)-SUM($J341:N341),('RFM input'!$J$244*(1+vanilla3)^0.5)/A22stdlife))</f>
        <v>0</v>
      </c>
      <c r="P341" s="18">
        <f>IF(A22stdlife="n/a","n/a",IF(P$3&gt;(A22stdlife+$F341),('RFM input'!$J$244*(1+vanilla3)^0.5)-SUM($J341:O341),('RFM input'!$J$244*(1+vanilla3)^0.5)/A22stdlife))</f>
        <v>0</v>
      </c>
      <c r="Q341" s="18">
        <f>IF(A22stdlife="n/a","n/a",IF(Q$3&gt;(A22stdlife+$F341),('RFM input'!$J$244*(1+vanilla3)^0.5)-SUM($J341:P341),('RFM input'!$J$244*(1+vanilla3)^0.5)/A22stdlife))</f>
        <v>0</v>
      </c>
      <c r="R341" s="18"/>
      <c r="S341" s="74"/>
      <c r="T341" s="74"/>
      <c r="U341" s="74"/>
      <c r="V341" s="74"/>
      <c r="W341" s="74"/>
      <c r="X341" s="74"/>
      <c r="Y341" s="74"/>
      <c r="Z341" s="74"/>
    </row>
    <row r="342" spans="1:26" ht="12.75" hidden="1" customHeight="1" outlineLevel="2">
      <c r="A342" s="3"/>
      <c r="B342" s="3"/>
      <c r="C342" s="3"/>
      <c r="D342" s="16"/>
      <c r="E342" s="1594"/>
      <c r="F342" s="61">
        <v>4</v>
      </c>
      <c r="G342" s="1341"/>
      <c r="H342" s="114"/>
      <c r="I342" s="115"/>
      <c r="J342" s="115"/>
      <c r="K342" s="116"/>
      <c r="L342" s="18">
        <f>IF(A22stdlife="n/a","n/a",IF(L$3&gt;(A22stdlife+$F342),('RFM input'!$K$244*(1+vanilla4)^0.5)-SUM($K342:K342),('RFM input'!$K$244*(1+vanilla4)^0.5)/A22stdlife))</f>
        <v>0</v>
      </c>
      <c r="M342" s="18">
        <f>IF(A22stdlife="n/a","n/a",IF(M$3&gt;(A22stdlife+$F342),('RFM input'!$K$244*(1+vanilla4)^0.5)-SUM($K342:L342),('RFM input'!$K$244*(1+vanilla4)^0.5)/A22stdlife))</f>
        <v>0</v>
      </c>
      <c r="N342" s="18">
        <f>IF(A22stdlife="n/a","n/a",IF(N$3&gt;(A22stdlife+$F342),('RFM input'!$K$244*(1+vanilla4)^0.5)-SUM($K342:M342),('RFM input'!$K$244*(1+vanilla4)^0.5)/A22stdlife))</f>
        <v>0</v>
      </c>
      <c r="O342" s="18">
        <f>IF(A22stdlife="n/a","n/a",IF(O$3&gt;(A22stdlife+$F342),('RFM input'!$K$244*(1+vanilla4)^0.5)-SUM($K342:N342),('RFM input'!$K$244*(1+vanilla4)^0.5)/A22stdlife))</f>
        <v>0</v>
      </c>
      <c r="P342" s="18">
        <f>IF(A22stdlife="n/a","n/a",IF(P$3&gt;(A22stdlife+$F342),('RFM input'!$K$244*(1+vanilla4)^0.5)-SUM($K342:O342),('RFM input'!$K$244*(1+vanilla4)^0.5)/A22stdlife))</f>
        <v>0</v>
      </c>
      <c r="Q342" s="18">
        <f>IF(A22stdlife="n/a","n/a",IF(Q$3&gt;(A22stdlife+$F342),('RFM input'!$K$244*(1+vanilla4)^0.5)-SUM($K342:P342),('RFM input'!$K$244*(1+vanilla4)^0.5)/A22stdlife))</f>
        <v>0</v>
      </c>
      <c r="R342" s="18"/>
      <c r="S342" s="74"/>
      <c r="T342" s="74"/>
      <c r="U342" s="74"/>
      <c r="V342" s="74"/>
      <c r="W342" s="74"/>
      <c r="X342" s="74"/>
      <c r="Y342" s="74"/>
      <c r="Z342" s="74"/>
    </row>
    <row r="343" spans="1:26" ht="12.75" hidden="1" customHeight="1" outlineLevel="2">
      <c r="A343" s="3"/>
      <c r="B343" s="3"/>
      <c r="C343" s="3"/>
      <c r="D343" s="16"/>
      <c r="E343" s="1594"/>
      <c r="F343" s="61">
        <v>5</v>
      </c>
      <c r="G343" s="17"/>
      <c r="H343" s="114"/>
      <c r="I343" s="115"/>
      <c r="J343" s="115"/>
      <c r="K343" s="115"/>
      <c r="L343" s="116"/>
      <c r="M343" s="18">
        <f>IF(A22stdlife="n/a","n/a",IF(M$3&gt;(A22stdlife+$F343),('RFM input'!$L$244*(1+vanilla5)^0.5)-SUM($L343:L343),('RFM input'!$L$244*(1+vanilla5)^0.5)/A22stdlife))</f>
        <v>0</v>
      </c>
      <c r="N343" s="18">
        <f>IF(A22stdlife="n/a","n/a",IF(N$3&gt;(A22stdlife+$F343),('RFM input'!$L$244*(1+vanilla5)^0.5)-SUM($L343:M343),('RFM input'!$L$244*(1+vanilla5)^0.5)/A22stdlife))</f>
        <v>0</v>
      </c>
      <c r="O343" s="18">
        <f>IF(A22stdlife="n/a","n/a",IF(O$3&gt;(A22stdlife+$F343),('RFM input'!$L$244*(1+vanilla5)^0.5)-SUM($L343:N343),('RFM input'!$L$244*(1+vanilla5)^0.5)/A22stdlife))</f>
        <v>0</v>
      </c>
      <c r="P343" s="18">
        <f>IF(A22stdlife="n/a","n/a",IF(P$3&gt;(A22stdlife+$F343),('RFM input'!$L$244*(1+vanilla5)^0.5)-SUM($L343:O343),('RFM input'!$L$244*(1+vanilla5)^0.5)/A22stdlife))</f>
        <v>0</v>
      </c>
      <c r="Q343" s="18">
        <f>IF(A22stdlife="n/a","n/a",IF(Q$3&gt;(A22stdlife+$F343),('RFM input'!$L$244*(1+vanilla5)^0.5)-SUM($L343:P343),('RFM input'!$L$244*(1+vanilla5)^0.5)/A22stdlife))</f>
        <v>0</v>
      </c>
      <c r="R343" s="18"/>
      <c r="S343" s="74"/>
      <c r="T343" s="74"/>
      <c r="U343" s="74"/>
      <c r="V343" s="74"/>
      <c r="W343" s="74"/>
      <c r="X343" s="74"/>
      <c r="Y343" s="74"/>
      <c r="Z343" s="74"/>
    </row>
    <row r="344" spans="1:26" ht="12.75" hidden="1" customHeight="1" outlineLevel="2">
      <c r="A344" s="3"/>
      <c r="B344" s="3"/>
      <c r="C344" s="3"/>
      <c r="D344" s="16"/>
      <c r="E344" s="1594"/>
      <c r="F344" s="61">
        <v>6</v>
      </c>
      <c r="G344" s="17"/>
      <c r="H344" s="114"/>
      <c r="I344" s="115"/>
      <c r="J344" s="115"/>
      <c r="K344" s="115"/>
      <c r="L344" s="115"/>
      <c r="M344" s="116"/>
      <c r="N344" s="18">
        <f>IF(A22stdlife="n/a","n/a",IF(N$3&gt;(A22stdlife+$F344),('RFM input'!$M$244*(1+vanilla6)^0.5)-SUM($M344:M344),('RFM input'!$M$244*(1+vanilla6)^0.5)/A22stdlife))</f>
        <v>0</v>
      </c>
      <c r="O344" s="18">
        <f>IF(A22stdlife="n/a","n/a",IF(O$3&gt;(A22stdlife+$F344),('RFM input'!$M$244*(1+vanilla6)^0.5)-SUM($M344:N344),('RFM input'!$M$244*(1+vanilla6)^0.5)/A22stdlife))</f>
        <v>0</v>
      </c>
      <c r="P344" s="18">
        <f>IF(A22stdlife="n/a","n/a",IF(P$3&gt;(A22stdlife+$F344),('RFM input'!$M$244*(1+vanilla6)^0.5)-SUM($M344:O344),('RFM input'!$M$244*(1+vanilla6)^0.5)/A22stdlife))</f>
        <v>0</v>
      </c>
      <c r="Q344" s="18">
        <f>IF(A22stdlife="n/a","n/a",IF(Q$3&gt;(A22stdlife+$F344),('RFM input'!$M$244*(1+vanilla6)^0.5)-SUM($M344:P344),('RFM input'!$M$244*(1+vanilla6)^0.5)/A22stdlife))</f>
        <v>0</v>
      </c>
      <c r="R344" s="18"/>
      <c r="S344" s="74"/>
      <c r="T344" s="74"/>
      <c r="U344" s="74"/>
      <c r="V344" s="74"/>
      <c r="W344" s="74"/>
      <c r="X344" s="74"/>
      <c r="Y344" s="74"/>
      <c r="Z344" s="74"/>
    </row>
    <row r="345" spans="1:26" ht="12.75" hidden="1" customHeight="1" outlineLevel="2">
      <c r="A345" s="3"/>
      <c r="B345" s="3"/>
      <c r="C345" s="3"/>
      <c r="D345" s="16"/>
      <c r="E345" s="1594"/>
      <c r="F345" s="61">
        <v>7</v>
      </c>
      <c r="G345" s="17"/>
      <c r="H345" s="114"/>
      <c r="I345" s="115"/>
      <c r="J345" s="115"/>
      <c r="K345" s="115"/>
      <c r="L345" s="115"/>
      <c r="M345" s="115"/>
      <c r="N345" s="116"/>
      <c r="O345" s="18">
        <f>IF(A22stdlife="n/a","n/a",IF(O$3&gt;(A22stdlife+$F345),('RFM input'!M$244*(1+vanilla7)^0.5)-SUM($N345:N345),('RFM input'!$N$244*(1+vanilla7)^0.5)/A22stdlife))</f>
        <v>0</v>
      </c>
      <c r="P345" s="18">
        <f>IF(A22stdlife="n/a","n/a",IF(P$3&gt;(A22stdlife+$F345),('RFM input'!N$244*(1+vanilla7)^0.5)-SUM($N345:O345),('RFM input'!$N$244*(1+vanilla7)^0.5)/A22stdlife))</f>
        <v>0</v>
      </c>
      <c r="Q345" s="18">
        <f>IF(A22stdlife="n/a","n/a",IF(Q$3&gt;(A22stdlife+$F345),('RFM input'!O$244*(1+vanilla7)^0.5)-SUM($N345:P345),('RFM input'!$N$244*(1+vanilla7)^0.5)/A22stdlife))</f>
        <v>0</v>
      </c>
      <c r="R345" s="18"/>
      <c r="S345" s="74"/>
      <c r="T345" s="74"/>
      <c r="U345" s="74"/>
      <c r="V345" s="74"/>
      <c r="W345" s="74"/>
      <c r="X345" s="74"/>
      <c r="Y345" s="74"/>
      <c r="Z345" s="74"/>
    </row>
    <row r="346" spans="1:26" ht="12.75" hidden="1" customHeight="1" outlineLevel="2">
      <c r="A346" s="3"/>
      <c r="B346" s="3"/>
      <c r="C346" s="3"/>
      <c r="D346" s="16"/>
      <c r="E346" s="1594"/>
      <c r="F346" s="61">
        <v>8</v>
      </c>
      <c r="G346" s="17"/>
      <c r="H346" s="114"/>
      <c r="I346" s="115"/>
      <c r="J346" s="115"/>
      <c r="K346" s="115"/>
      <c r="L346" s="115"/>
      <c r="M346" s="115"/>
      <c r="N346" s="115"/>
      <c r="O346" s="116"/>
      <c r="P346" s="18">
        <f>IF(A22stdlife="n/a","n/a",IF(P$3&gt;(A22stdlife+$F346),('RFM input'!$O$244*(1+vanilla8)^0.5)-SUM($O346:O346),('RFM input'!$O$244*(1+vanilla8)^0.5)/A22stdlife))</f>
        <v>0</v>
      </c>
      <c r="Q346" s="18">
        <f>IF(A22stdlife="n/a","n/a",IF(Q$3&gt;(A22stdlife+$F346),('RFM input'!$O$244*(1+vanilla8)^0.5)-SUM($O346:P346),('RFM input'!$O$244*(1+vanilla8)^0.5)/A22stdlife))</f>
        <v>0</v>
      </c>
      <c r="R346" s="18"/>
      <c r="S346" s="74"/>
      <c r="T346" s="74"/>
      <c r="U346" s="74"/>
      <c r="V346" s="74"/>
      <c r="W346" s="74"/>
      <c r="X346" s="74"/>
      <c r="Y346" s="74"/>
      <c r="Z346" s="74"/>
    </row>
    <row r="347" spans="1:26" ht="12.75" hidden="1" customHeight="1" outlineLevel="2">
      <c r="A347" s="3"/>
      <c r="B347" s="3"/>
      <c r="C347" s="3"/>
      <c r="D347" s="16"/>
      <c r="E347" s="1594"/>
      <c r="F347" s="61">
        <v>9</v>
      </c>
      <c r="G347" s="17"/>
      <c r="H347" s="114"/>
      <c r="I347" s="115"/>
      <c r="J347" s="115"/>
      <c r="K347" s="115"/>
      <c r="L347" s="115"/>
      <c r="M347" s="115"/>
      <c r="N347" s="115"/>
      <c r="O347" s="115"/>
      <c r="P347" s="116"/>
      <c r="Q347" s="18">
        <f>IF(A22stdlife="n/a","n/a",IF(Q$3&gt;(A22stdlife+$F347),('RFM input'!$P$244*(1+vanilla9)^0.5)-SUM($P347:P347),('RFM input'!$P$244*(1+vanilla9)^0.5)/A22stdlife))</f>
        <v>0</v>
      </c>
      <c r="R347" s="18"/>
      <c r="S347" s="74"/>
      <c r="T347" s="74"/>
      <c r="U347" s="74"/>
      <c r="V347" s="74"/>
      <c r="W347" s="74"/>
      <c r="X347" s="74"/>
      <c r="Y347" s="74"/>
      <c r="Z347" s="74"/>
    </row>
    <row r="348" spans="1:26" ht="12.75" hidden="1" customHeight="1" outlineLevel="2">
      <c r="A348" s="3"/>
      <c r="B348" s="3"/>
      <c r="C348" s="3"/>
      <c r="D348" s="16"/>
      <c r="E348" s="1594"/>
      <c r="F348" s="62">
        <v>10</v>
      </c>
      <c r="G348" s="17"/>
      <c r="H348" s="114"/>
      <c r="I348" s="115"/>
      <c r="J348" s="115"/>
      <c r="K348" s="115"/>
      <c r="L348" s="115"/>
      <c r="M348" s="115"/>
      <c r="N348" s="115"/>
      <c r="O348" s="115"/>
      <c r="P348" s="115"/>
      <c r="Q348" s="116"/>
      <c r="R348" s="18"/>
      <c r="S348" s="74"/>
      <c r="T348" s="74"/>
      <c r="U348" s="74"/>
      <c r="V348" s="74"/>
      <c r="W348" s="74"/>
      <c r="X348" s="74"/>
      <c r="Y348" s="74"/>
      <c r="Z348" s="74"/>
    </row>
    <row r="349" spans="1:26" ht="13.35" hidden="1" customHeight="1" outlineLevel="1">
      <c r="A349" s="3"/>
      <c r="B349" s="3"/>
      <c r="C349" s="3"/>
      <c r="D349" s="134">
        <f>Asset22</f>
        <v>0</v>
      </c>
      <c r="E349" s="3"/>
      <c r="F349" s="3"/>
      <c r="G349" s="1341"/>
      <c r="H349" s="1458">
        <f>IF(OR('RFM input'!$E$293='RFM input'!$G$292,'RFM input'!$E$293='RFM input'!$G$293),-INDEX('RFM input'!H$299:H$348,MATCH($D349,'RFM input'!$E$299:$E$348,0),1),-SUM(H337:H348))</f>
        <v>0</v>
      </c>
      <c r="I349" s="1458">
        <f>IF(OR('RFM input'!$E$293='RFM input'!$G$292,'RFM input'!$E$293='RFM input'!$G$293),-INDEX('RFM input'!I$299:I$348,MATCH($D349,'RFM input'!$E$299:$E$348,0),1),-SUM(I337:I348))</f>
        <v>0</v>
      </c>
      <c r="J349" s="1386">
        <f>IF(COUNT($H349:I349)&gt;='RFM input'!$V$7,
   0,
   IF(OR('RFM input'!$E$293='RFM input'!$G$292,'RFM input'!$E$293='RFM input'!$G$293),
      -INDEX('RFM input'!J$299:J$348,MATCH($D349,'RFM input'!$E$299:$E$348,0),1),
      -SUM(J337:J348)))</f>
        <v>0</v>
      </c>
      <c r="K349" s="1386">
        <f>IF(COUNT($H349:J349)&gt;='RFM input'!$V$7,
   0,
   IF(OR('RFM input'!$E$293='RFM input'!$G$292,'RFM input'!$E$293='RFM input'!$G$293),
      -INDEX('RFM input'!K$299:K$348,MATCH($D349,'RFM input'!$E$299:$E$348,0),1),
      -SUM(K337:K348)))</f>
        <v>0</v>
      </c>
      <c r="L349" s="1386">
        <f>IF(COUNT($H349:K349)&gt;='RFM input'!$V$7,
   0,
   IF(OR('RFM input'!$E$293='RFM input'!$G$292,'RFM input'!$E$293='RFM input'!$G$293),
      -INDEX('RFM input'!L$299:L$348,MATCH($D349,'RFM input'!$E$299:$E$348,0),1),
      -SUM(L337:L348)))</f>
        <v>0</v>
      </c>
      <c r="M349" s="1386">
        <f>IF(COUNT($H349:L349)&gt;='RFM input'!$V$7,
   0,
   IF(OR('RFM input'!$E$293='RFM input'!$G$292,'RFM input'!$E$293='RFM input'!$G$293),
      -INDEX('RFM input'!M$299:M$348,MATCH($D349,'RFM input'!$E$299:$E$348,0),1),
      -SUM(M337:M348)))</f>
        <v>0</v>
      </c>
      <c r="N349" s="1386">
        <f>IF(COUNT($H349:M349)&gt;='RFM input'!$V$7,
   0,
   IF(OR('RFM input'!$E$293='RFM input'!$G$292,'RFM input'!$E$293='RFM input'!$G$293),
      -INDEX('RFM input'!N$299:N$348,MATCH($D349,'RFM input'!$E$299:$E$348,0),1),
      -SUM(N337:N348)))</f>
        <v>0</v>
      </c>
      <c r="O349" s="1386">
        <f>IF(COUNT($H349:N349)&gt;='RFM input'!$V$7,
   0,
   IF(OR('RFM input'!$E$293='RFM input'!$G$292,'RFM input'!$E$293='RFM input'!$G$293),
      -INDEX('RFM input'!O$299:O$348,MATCH($D349,'RFM input'!$E$299:$E$348,0),1),
      -SUM(O337:O348)))</f>
        <v>0</v>
      </c>
      <c r="P349" s="1386">
        <f>IF(COUNT($H349:O349)&gt;='RFM input'!$V$7,
   0,
   IF(OR('RFM input'!$E$293='RFM input'!$G$292,'RFM input'!$E$293='RFM input'!$G$293),
      -INDEX('RFM input'!P$299:P$348,MATCH($D349,'RFM input'!$E$299:$E$348,0),1),
      -SUM(P337:P348)))</f>
        <v>0</v>
      </c>
      <c r="Q349" s="1386">
        <f>IF(COUNT($H349:P349)&gt;='RFM input'!$V$7,
   0,
   IF(OR('RFM input'!$E$293='RFM input'!$G$292,'RFM input'!$E$293='RFM input'!$G$293),
      -INDEX('RFM input'!Q$299:Q$348,MATCH($D349,'RFM input'!$E$299:$E$348,0),1),
      -SUM(Q337:Q348)))</f>
        <v>0</v>
      </c>
      <c r="R349" s="1382"/>
      <c r="S349" s="76"/>
      <c r="T349" s="76"/>
      <c r="U349" s="76"/>
      <c r="V349" s="76"/>
      <c r="W349" s="76"/>
      <c r="X349" s="76"/>
      <c r="Y349" s="76"/>
      <c r="Z349" s="76"/>
    </row>
    <row r="350" spans="1:26" ht="12.75" hidden="1" customHeight="1" outlineLevel="2">
      <c r="A350" s="3"/>
      <c r="B350" s="3"/>
      <c r="C350" s="135">
        <f>Asset23</f>
        <v>0</v>
      </c>
      <c r="D350" s="100"/>
      <c r="E350" s="20" t="s">
        <v>23</v>
      </c>
      <c r="F350" s="19"/>
      <c r="G350" s="1383"/>
      <c r="H350" s="1380">
        <f>IF(H$3&gt;A23remlife,A23value-SUM($G350:G350),IF(A23remlife="N/A","n/a",A23value/A23remlife))</f>
        <v>0</v>
      </c>
      <c r="I350" s="1380">
        <f>IF(I$3&gt;A23remlife,A23value-SUM($G350:H350),IF(A23remlife="N/A","n/a",A23value/A23remlife))</f>
        <v>0</v>
      </c>
      <c r="J350" s="1380">
        <f>IF(J$3&gt;A23remlife,A23value-SUM($G350:I350),IF(A23remlife="N/A","n/a",A23value/A23remlife))</f>
        <v>0</v>
      </c>
      <c r="K350" s="1380">
        <f>IF(K$3&gt;A23remlife,A23value-SUM($G350:J350),IF(A23remlife="N/A","n/a",A23value/A23remlife))</f>
        <v>0</v>
      </c>
      <c r="L350" s="1380">
        <f>IF(L$3&gt;A23remlife,A23value-SUM($G350:K350),IF(A23remlife="N/A","n/a",A23value/A23remlife))</f>
        <v>0</v>
      </c>
      <c r="M350" s="1380">
        <f>IF(M$3&gt;A23remlife,A23value-SUM($G350:L350),IF(A23remlife="N/A","n/a",A23value/A23remlife))</f>
        <v>0</v>
      </c>
      <c r="N350" s="1380">
        <f>IF(N$3&gt;A23remlife,A23value-SUM($G350:M350),IF(A23remlife="N/A","n/a",A23value/A23remlife))</f>
        <v>0</v>
      </c>
      <c r="O350" s="1380">
        <f>IF(O$3&gt;A23remlife,A23value-SUM($G350:N350),IF(A23remlife="N/A","n/a",A23value/A23remlife))</f>
        <v>0</v>
      </c>
      <c r="P350" s="1380">
        <f>IF(P$3&gt;A23remlife,A23value-SUM($G350:O350),IF(A23remlife="N/A","n/a",A23value/A23remlife))</f>
        <v>0</v>
      </c>
      <c r="Q350" s="1380">
        <f>IF(Q$3&gt;A23remlife,A23value-SUM($G350:P350),IF(A23remlife="N/A","n/a",A23value/A23remlife))</f>
        <v>0</v>
      </c>
      <c r="R350" s="21"/>
      <c r="S350" s="74"/>
      <c r="T350" s="74"/>
      <c r="U350" s="74"/>
      <c r="V350" s="74"/>
      <c r="W350" s="74"/>
      <c r="X350" s="74"/>
      <c r="Y350" s="74"/>
      <c r="Z350" s="74"/>
    </row>
    <row r="351" spans="1:26" ht="12.75" hidden="1" customHeight="1" outlineLevel="2">
      <c r="A351" s="3"/>
      <c r="B351" s="3"/>
      <c r="C351" s="3"/>
      <c r="D351" s="16"/>
      <c r="E351" s="1593" t="s">
        <v>43</v>
      </c>
      <c r="F351" s="61"/>
      <c r="G351" s="1341"/>
      <c r="H351" s="18"/>
      <c r="I351" s="18"/>
      <c r="J351" s="18"/>
      <c r="K351" s="18"/>
      <c r="L351" s="18"/>
      <c r="M351" s="1384"/>
      <c r="N351" s="1385"/>
      <c r="O351" s="18"/>
      <c r="P351" s="18"/>
      <c r="Q351" s="18"/>
      <c r="R351" s="18"/>
      <c r="S351" s="74"/>
      <c r="T351" s="74"/>
      <c r="U351" s="74"/>
      <c r="V351" s="74"/>
      <c r="W351" s="74"/>
      <c r="X351" s="74"/>
      <c r="Y351" s="74"/>
      <c r="Z351" s="74"/>
    </row>
    <row r="352" spans="1:26" ht="12.75" hidden="1" customHeight="1" outlineLevel="2">
      <c r="A352" s="3"/>
      <c r="B352" s="3"/>
      <c r="C352" s="3"/>
      <c r="D352" s="16"/>
      <c r="E352" s="1594"/>
      <c r="F352" s="61">
        <v>1</v>
      </c>
      <c r="G352" s="1341"/>
      <c r="H352" s="1381"/>
      <c r="I352" s="18">
        <f>IF(A23stdlife="n/a","n/a",IF(I$3&gt;(A23stdlife+$F352),('RFM input'!$H$245*(1+vanilla1)^0.5)-SUM($H352:H352),('RFM input'!$H$245*(1+vanilla1)^0.5)/A23stdlife))</f>
        <v>0</v>
      </c>
      <c r="J352" s="18">
        <f>IF(A23stdlife="n/a","n/a",IF(J$3&gt;(A23stdlife+$F352),('RFM input'!$H$245*(1+vanilla1)^0.5)-SUM($H352:I352),('RFM input'!$H$245*(1+vanilla1)^0.5)/A23stdlife))</f>
        <v>0</v>
      </c>
      <c r="K352" s="18">
        <f>IF(A23stdlife="n/a","n/a",IF(K$3&gt;(A23stdlife+$F352),('RFM input'!$H$245*(1+vanilla1)^0.5)-SUM($H352:J352),('RFM input'!$H$245*(1+vanilla1)^0.5)/A23stdlife))</f>
        <v>0</v>
      </c>
      <c r="L352" s="18">
        <f>IF(A23stdlife="n/a","n/a",IF(L$3&gt;(A23stdlife+$F352),('RFM input'!$H$245*(1+vanilla1)^0.5)-SUM($H352:K352),('RFM input'!$H$245*(1+vanilla1)^0.5)/A23stdlife))</f>
        <v>0</v>
      </c>
      <c r="M352" s="18">
        <f>IF(A23stdlife="n/a","n/a",IF(M$3&gt;(A23stdlife+$F352),('RFM input'!$H$245*(1+vanilla1)^0.5)-SUM($H352:L352),('RFM input'!$H$245*(1+vanilla1)^0.5)/A23stdlife))</f>
        <v>0</v>
      </c>
      <c r="N352" s="18">
        <f>IF(A23stdlife="n/a","n/a",IF(N$3&gt;(A23stdlife+$F352),('RFM input'!$H$245*(1+vanilla1)^0.5)-SUM($H352:M352),('RFM input'!$H$245*(1+vanilla1)^0.5)/A23stdlife))</f>
        <v>0</v>
      </c>
      <c r="O352" s="18">
        <f>IF(A23stdlife="n/a","n/a",IF(O$3&gt;(A23stdlife+$F352),('RFM input'!$H$245*(1+vanilla1)^0.5)-SUM($H352:N352),('RFM input'!$H$245*(1+vanilla1)^0.5)/A23stdlife))</f>
        <v>0</v>
      </c>
      <c r="P352" s="18">
        <f>IF(A23stdlife="n/a","n/a",IF(P$3&gt;(A23stdlife+$F352),('RFM input'!$H$245*(1+vanilla1)^0.5)-SUM($H352:O352),('RFM input'!$H$245*(1+vanilla1)^0.5)/A23stdlife))</f>
        <v>0</v>
      </c>
      <c r="Q352" s="18">
        <f>IF(A23stdlife="n/a","n/a",IF(Q$3&gt;(A23stdlife+$F352),('RFM input'!$H$245*(1+vanilla1)^0.5)-SUM($H352:P352),('RFM input'!$H$245*(1+vanilla1)^0.5)/A23stdlife))</f>
        <v>0</v>
      </c>
      <c r="R352" s="18"/>
      <c r="S352" s="74"/>
      <c r="T352" s="74"/>
      <c r="U352" s="74"/>
      <c r="V352" s="74"/>
      <c r="W352" s="74"/>
      <c r="X352" s="74"/>
      <c r="Y352" s="74"/>
      <c r="Z352" s="74"/>
    </row>
    <row r="353" spans="1:26" ht="12.75" hidden="1" customHeight="1" outlineLevel="2">
      <c r="A353" s="3"/>
      <c r="B353" s="3"/>
      <c r="C353" s="3"/>
      <c r="D353" s="16"/>
      <c r="E353" s="1594"/>
      <c r="F353" s="61">
        <v>2</v>
      </c>
      <c r="G353" s="1341"/>
      <c r="H353" s="114"/>
      <c r="I353" s="116"/>
      <c r="J353" s="18">
        <f>IF(A23stdlife="n/a","n/a",IF(J$3&gt;(A23stdlife+$F353),('RFM input'!$I$245*(1+vanilla2)^0.5)-SUM($I353:I353),('RFM input'!$I$245*(1+vanilla2)^0.5)/A23stdlife))</f>
        <v>0</v>
      </c>
      <c r="K353" s="18">
        <f>IF(A23stdlife="n/a","n/a",IF(K$3&gt;(A23stdlife+$F353),('RFM input'!$I$245*(1+vanilla2)^0.5)-SUM($I353:J353),('RFM input'!$I$245*(1+vanilla2)^0.5)/A23stdlife))</f>
        <v>0</v>
      </c>
      <c r="L353" s="18">
        <f>IF(A23stdlife="n/a","n/a",IF(L$3&gt;(A23stdlife+$F353),('RFM input'!$I$245*(1+vanilla2)^0.5)-SUM($I353:K353),('RFM input'!$I$245*(1+vanilla2)^0.5)/A23stdlife))</f>
        <v>0</v>
      </c>
      <c r="M353" s="18">
        <f>IF(A23stdlife="n/a","n/a",IF(M$3&gt;(A23stdlife+$F353),('RFM input'!$I$245*(1+vanilla2)^0.5)-SUM($I353:L353),('RFM input'!$I$245*(1+vanilla2)^0.5)/A23stdlife))</f>
        <v>0</v>
      </c>
      <c r="N353" s="18">
        <f>IF(A23stdlife="n/a","n/a",IF(N$3&gt;(A23stdlife+$F353),('RFM input'!$I$245*(1+vanilla2)^0.5)-SUM($I353:M353),('RFM input'!$I$245*(1+vanilla2)^0.5)/A23stdlife))</f>
        <v>0</v>
      </c>
      <c r="O353" s="18">
        <f>IF(A23stdlife="n/a","n/a",IF(O$3&gt;(A23stdlife+$F353),('RFM input'!$I$245*(1+vanilla2)^0.5)-SUM($I353:N353),('RFM input'!$I$245*(1+vanilla2)^0.5)/A23stdlife))</f>
        <v>0</v>
      </c>
      <c r="P353" s="18">
        <f>IF(A23stdlife="n/a","n/a",IF(P$3&gt;(A23stdlife+$F353),('RFM input'!$I$245*(1+vanilla2)^0.5)-SUM($I353:O353),('RFM input'!$I$245*(1+vanilla2)^0.5)/A23stdlife))</f>
        <v>0</v>
      </c>
      <c r="Q353" s="18">
        <f>IF(A23stdlife="n/a","n/a",IF(Q$3&gt;(A23stdlife+$F353),('RFM input'!$I$245*(1+vanilla2)^0.5)-SUM($I353:P353),('RFM input'!$I$245*(1+vanilla2)^0.5)/A23stdlife))</f>
        <v>0</v>
      </c>
      <c r="R353" s="18"/>
      <c r="S353" s="74"/>
      <c r="T353" s="74"/>
      <c r="U353" s="74"/>
      <c r="V353" s="74"/>
      <c r="W353" s="74"/>
      <c r="X353" s="74"/>
      <c r="Y353" s="74"/>
      <c r="Z353" s="74"/>
    </row>
    <row r="354" spans="1:26" ht="12.75" hidden="1" customHeight="1" outlineLevel="2">
      <c r="A354" s="3"/>
      <c r="B354" s="3"/>
      <c r="C354" s="3"/>
      <c r="D354" s="16"/>
      <c r="E354" s="1594"/>
      <c r="F354" s="61">
        <v>3</v>
      </c>
      <c r="G354" s="1341"/>
      <c r="H354" s="114"/>
      <c r="I354" s="115"/>
      <c r="J354" s="116"/>
      <c r="K354" s="18">
        <f>IF(A23stdlife="n/a","n/a",IF(K$3&gt;(A23stdlife+$F354),('RFM input'!$J$245*(1+vanilla3)^0.5)-SUM($J354:J354),('RFM input'!$J$245*(1+vanilla3)^0.5)/A23stdlife))</f>
        <v>0</v>
      </c>
      <c r="L354" s="18">
        <f>IF(A23stdlife="n/a","n/a",IF(L$3&gt;(A23stdlife+$F354),('RFM input'!$J$245*(1+vanilla3)^0.5)-SUM($J354:K354),('RFM input'!$J$245*(1+vanilla3)^0.5)/A23stdlife))</f>
        <v>0</v>
      </c>
      <c r="M354" s="18">
        <f>IF(A23stdlife="n/a","n/a",IF(M$3&gt;(A23stdlife+$F354),('RFM input'!$J$245*(1+vanilla3)^0.5)-SUM($J354:L354),('RFM input'!$J$245*(1+vanilla3)^0.5)/A23stdlife))</f>
        <v>0</v>
      </c>
      <c r="N354" s="18">
        <f>IF(A23stdlife="n/a","n/a",IF(N$3&gt;(A23stdlife+$F354),('RFM input'!$J$245*(1+vanilla3)^0.5)-SUM($J354:M354),('RFM input'!$J$245*(1+vanilla3)^0.5)/A23stdlife))</f>
        <v>0</v>
      </c>
      <c r="O354" s="18">
        <f>IF(A23stdlife="n/a","n/a",IF(O$3&gt;(A23stdlife+$F354),('RFM input'!$J$245*(1+vanilla3)^0.5)-SUM($J354:N354),('RFM input'!$J$245*(1+vanilla3)^0.5)/A23stdlife))</f>
        <v>0</v>
      </c>
      <c r="P354" s="18">
        <f>IF(A23stdlife="n/a","n/a",IF(P$3&gt;(A23stdlife+$F354),('RFM input'!$J$245*(1+vanilla3)^0.5)-SUM($J354:O354),('RFM input'!$J$245*(1+vanilla3)^0.5)/A23stdlife))</f>
        <v>0</v>
      </c>
      <c r="Q354" s="18">
        <f>IF(A23stdlife="n/a","n/a",IF(Q$3&gt;(A23stdlife+$F354),('RFM input'!$J$245*(1+vanilla3)^0.5)-SUM($J354:P354),('RFM input'!$J$245*(1+vanilla3)^0.5)/A23stdlife))</f>
        <v>0</v>
      </c>
      <c r="R354" s="18"/>
      <c r="S354" s="74"/>
      <c r="T354" s="74"/>
      <c r="U354" s="74"/>
      <c r="V354" s="74"/>
      <c r="W354" s="74"/>
      <c r="X354" s="74"/>
      <c r="Y354" s="74"/>
      <c r="Z354" s="74"/>
    </row>
    <row r="355" spans="1:26" ht="12.75" hidden="1" customHeight="1" outlineLevel="2">
      <c r="A355" s="3"/>
      <c r="B355" s="3"/>
      <c r="C355" s="3"/>
      <c r="D355" s="16"/>
      <c r="E355" s="1594"/>
      <c r="F355" s="61">
        <v>4</v>
      </c>
      <c r="G355" s="1341"/>
      <c r="H355" s="114"/>
      <c r="I355" s="115"/>
      <c r="J355" s="115"/>
      <c r="K355" s="116"/>
      <c r="L355" s="18">
        <f>IF(A23stdlife="n/a","n/a",IF(L$3&gt;(A23stdlife+$F355),('RFM input'!$K$245*(1+vanilla4)^0.5)-SUM($K355:K355),('RFM input'!$K$245*(1+vanilla4)^0.5)/A23stdlife))</f>
        <v>0</v>
      </c>
      <c r="M355" s="18">
        <f>IF(A23stdlife="n/a","n/a",IF(M$3&gt;(A23stdlife+$F355),('RFM input'!$K$245*(1+vanilla4)^0.5)-SUM($K355:L355),('RFM input'!$K$245*(1+vanilla4)^0.5)/A23stdlife))</f>
        <v>0</v>
      </c>
      <c r="N355" s="18">
        <f>IF(A23stdlife="n/a","n/a",IF(N$3&gt;(A23stdlife+$F355),('RFM input'!$K$245*(1+vanilla4)^0.5)-SUM($K355:M355),('RFM input'!$K$245*(1+vanilla4)^0.5)/A23stdlife))</f>
        <v>0</v>
      </c>
      <c r="O355" s="18">
        <f>IF(A23stdlife="n/a","n/a",IF(O$3&gt;(A23stdlife+$F355),('RFM input'!$K$245*(1+vanilla4)^0.5)-SUM($K355:N355),('RFM input'!$K$245*(1+vanilla4)^0.5)/A23stdlife))</f>
        <v>0</v>
      </c>
      <c r="P355" s="18">
        <f>IF(A23stdlife="n/a","n/a",IF(P$3&gt;(A23stdlife+$F355),('RFM input'!$K$245*(1+vanilla4)^0.5)-SUM($K355:O355),('RFM input'!$K$245*(1+vanilla4)^0.5)/A23stdlife))</f>
        <v>0</v>
      </c>
      <c r="Q355" s="18">
        <f>IF(A23stdlife="n/a","n/a",IF(Q$3&gt;(A23stdlife+$F355),('RFM input'!$K$245*(1+vanilla4)^0.5)-SUM($K355:P355),('RFM input'!$K$245*(1+vanilla4)^0.5)/A23stdlife))</f>
        <v>0</v>
      </c>
      <c r="R355" s="18"/>
      <c r="S355" s="74"/>
      <c r="T355" s="74"/>
      <c r="U355" s="74"/>
      <c r="V355" s="74"/>
      <c r="W355" s="74"/>
      <c r="X355" s="74"/>
      <c r="Y355" s="74"/>
      <c r="Z355" s="74"/>
    </row>
    <row r="356" spans="1:26" ht="12.75" hidden="1" customHeight="1" outlineLevel="2">
      <c r="A356" s="3"/>
      <c r="B356" s="3"/>
      <c r="C356" s="3"/>
      <c r="D356" s="16"/>
      <c r="E356" s="1594"/>
      <c r="F356" s="61">
        <v>5</v>
      </c>
      <c r="G356" s="17"/>
      <c r="H356" s="114"/>
      <c r="I356" s="115"/>
      <c r="J356" s="115"/>
      <c r="K356" s="115"/>
      <c r="L356" s="116"/>
      <c r="M356" s="18">
        <f>IF(A23stdlife="n/a","n/a",IF(M$3&gt;(A23stdlife+$F356),('RFM input'!$L$245*(1+vanilla5)^0.5)-SUM($L356:L356),('RFM input'!$L$245*(1+vanilla5)^0.5)/A23stdlife))</f>
        <v>0</v>
      </c>
      <c r="N356" s="18">
        <f>IF(A23stdlife="n/a","n/a",IF(N$3&gt;(A23stdlife+$F356),('RFM input'!$L$245*(1+vanilla5)^0.5)-SUM($L356:M356),('RFM input'!$L$245*(1+vanilla5)^0.5)/A23stdlife))</f>
        <v>0</v>
      </c>
      <c r="O356" s="18">
        <f>IF(A23stdlife="n/a","n/a",IF(O$3&gt;(A23stdlife+$F356),('RFM input'!$L$245*(1+vanilla5)^0.5)-SUM($L356:N356),('RFM input'!$L$245*(1+vanilla5)^0.5)/A23stdlife))</f>
        <v>0</v>
      </c>
      <c r="P356" s="18">
        <f>IF(A23stdlife="n/a","n/a",IF(P$3&gt;(A23stdlife+$F356),('RFM input'!$L$245*(1+vanilla5)^0.5)-SUM($L356:O356),('RFM input'!$L$245*(1+vanilla5)^0.5)/A23stdlife))</f>
        <v>0</v>
      </c>
      <c r="Q356" s="18">
        <f>IF(A23stdlife="n/a","n/a",IF(Q$3&gt;(A23stdlife+$F356),('RFM input'!$L$245*(1+vanilla5)^0.5)-SUM($L356:P356),('RFM input'!$L$245*(1+vanilla5)^0.5)/A23stdlife))</f>
        <v>0</v>
      </c>
      <c r="R356" s="18"/>
      <c r="S356" s="74"/>
      <c r="T356" s="74"/>
      <c r="U356" s="74"/>
      <c r="V356" s="74"/>
      <c r="W356" s="74"/>
      <c r="X356" s="74"/>
      <c r="Y356" s="74"/>
      <c r="Z356" s="74"/>
    </row>
    <row r="357" spans="1:26" ht="12.75" hidden="1" customHeight="1" outlineLevel="2">
      <c r="A357" s="3"/>
      <c r="B357" s="3"/>
      <c r="C357" s="3"/>
      <c r="D357" s="16"/>
      <c r="E357" s="1594"/>
      <c r="F357" s="61">
        <v>6</v>
      </c>
      <c r="G357" s="17"/>
      <c r="H357" s="114"/>
      <c r="I357" s="115"/>
      <c r="J357" s="115"/>
      <c r="K357" s="115"/>
      <c r="L357" s="115"/>
      <c r="M357" s="116"/>
      <c r="N357" s="18">
        <f>IF(A23stdlife="n/a","n/a",IF(N$3&gt;(A23stdlife+$F357),('RFM input'!$M$245*(1+vanilla6)^0.5)-SUM($M357:M357),('RFM input'!$M$245*(1+vanilla6)^0.5)/A23stdlife))</f>
        <v>0</v>
      </c>
      <c r="O357" s="18">
        <f>IF(A23stdlife="n/a","n/a",IF(O$3&gt;(A23stdlife+$F357),('RFM input'!$M$245*(1+vanilla6)^0.5)-SUM($M357:N357),('RFM input'!$M$245*(1+vanilla6)^0.5)/A23stdlife))</f>
        <v>0</v>
      </c>
      <c r="P357" s="18">
        <f>IF(A23stdlife="n/a","n/a",IF(P$3&gt;(A23stdlife+$F357),('RFM input'!$M$245*(1+vanilla6)^0.5)-SUM($M357:O357),('RFM input'!$M$245*(1+vanilla6)^0.5)/A23stdlife))</f>
        <v>0</v>
      </c>
      <c r="Q357" s="18">
        <f>IF(A23stdlife="n/a","n/a",IF(Q$3&gt;(A23stdlife+$F357),('RFM input'!$M$245*(1+vanilla6)^0.5)-SUM($M357:P357),('RFM input'!$M$245*(1+vanilla6)^0.5)/A23stdlife))</f>
        <v>0</v>
      </c>
      <c r="R357" s="18"/>
      <c r="S357" s="74"/>
      <c r="T357" s="74"/>
      <c r="U357" s="74"/>
      <c r="V357" s="74"/>
      <c r="W357" s="74"/>
      <c r="X357" s="74"/>
      <c r="Y357" s="74"/>
      <c r="Z357" s="74"/>
    </row>
    <row r="358" spans="1:26" ht="12.75" hidden="1" customHeight="1" outlineLevel="2">
      <c r="A358" s="3"/>
      <c r="B358" s="3"/>
      <c r="C358" s="3"/>
      <c r="D358" s="16"/>
      <c r="E358" s="1594"/>
      <c r="F358" s="61">
        <v>7</v>
      </c>
      <c r="G358" s="17"/>
      <c r="H358" s="114"/>
      <c r="I358" s="115"/>
      <c r="J358" s="115"/>
      <c r="K358" s="115"/>
      <c r="L358" s="115"/>
      <c r="M358" s="115"/>
      <c r="N358" s="116"/>
      <c r="O358" s="18">
        <f>IF(A23stdlife="n/a","n/a",IF(O$3&gt;(A23stdlife+$F358),('RFM input'!M$245*(1+vanilla7)^0.5)-SUM($N358:N358),('RFM input'!$N$245*(1+vanilla7)^0.5)/A23stdlife))</f>
        <v>0</v>
      </c>
      <c r="P358" s="18">
        <f>IF(A23stdlife="n/a","n/a",IF(P$3&gt;(A23stdlife+$F358),('RFM input'!N$245*(1+vanilla7)^0.5)-SUM($N358:O358),('RFM input'!$N$245*(1+vanilla7)^0.5)/A23stdlife))</f>
        <v>0</v>
      </c>
      <c r="Q358" s="18">
        <f>IF(A23stdlife="n/a","n/a",IF(Q$3&gt;(A23stdlife+$F358),('RFM input'!O$245*(1+vanilla7)^0.5)-SUM($N358:P358),('RFM input'!$N$245*(1+vanilla7)^0.5)/A23stdlife))</f>
        <v>0</v>
      </c>
      <c r="R358" s="18"/>
      <c r="S358" s="74"/>
      <c r="T358" s="74"/>
      <c r="U358" s="74"/>
      <c r="V358" s="74"/>
      <c r="W358" s="74"/>
      <c r="X358" s="74"/>
      <c r="Y358" s="74"/>
      <c r="Z358" s="74"/>
    </row>
    <row r="359" spans="1:26" ht="12.75" hidden="1" customHeight="1" outlineLevel="2">
      <c r="A359" s="3"/>
      <c r="B359" s="3"/>
      <c r="C359" s="3"/>
      <c r="D359" s="16"/>
      <c r="E359" s="1594"/>
      <c r="F359" s="61">
        <v>8</v>
      </c>
      <c r="G359" s="17"/>
      <c r="H359" s="114"/>
      <c r="I359" s="115"/>
      <c r="J359" s="115"/>
      <c r="K359" s="115"/>
      <c r="L359" s="115"/>
      <c r="M359" s="115"/>
      <c r="N359" s="115"/>
      <c r="O359" s="116"/>
      <c r="P359" s="18">
        <f>IF(A23stdlife="n/a","n/a",IF(P$3&gt;(A23stdlife+$F359),('RFM input'!$O$245*(1+vanilla8)^0.5)-SUM($O359:O359),('RFM input'!$O$245*(1+vanilla8)^0.5)/A23stdlife))</f>
        <v>0</v>
      </c>
      <c r="Q359" s="18">
        <f>IF(A23stdlife="n/a","n/a",IF(Q$3&gt;(A23stdlife+$F359),('RFM input'!$O$245*(1+vanilla8)^0.5)-SUM($O359:P359),('RFM input'!$O$245*(1+vanilla8)^0.5)/A23stdlife))</f>
        <v>0</v>
      </c>
      <c r="R359" s="18"/>
      <c r="S359" s="74"/>
      <c r="T359" s="74"/>
      <c r="U359" s="74"/>
      <c r="V359" s="74"/>
      <c r="W359" s="74"/>
      <c r="X359" s="74"/>
      <c r="Y359" s="74"/>
      <c r="Z359" s="74"/>
    </row>
    <row r="360" spans="1:26" ht="12.75" hidden="1" customHeight="1" outlineLevel="2">
      <c r="A360" s="3"/>
      <c r="B360" s="3"/>
      <c r="C360" s="3"/>
      <c r="D360" s="16"/>
      <c r="E360" s="1594"/>
      <c r="F360" s="61">
        <v>9</v>
      </c>
      <c r="G360" s="17"/>
      <c r="H360" s="114"/>
      <c r="I360" s="115"/>
      <c r="J360" s="115"/>
      <c r="K360" s="115"/>
      <c r="L360" s="115"/>
      <c r="M360" s="115"/>
      <c r="N360" s="115"/>
      <c r="O360" s="115"/>
      <c r="P360" s="116"/>
      <c r="Q360" s="18">
        <f>IF(A23stdlife="n/a","n/a",IF(Q$3&gt;(A23stdlife+$F360),('RFM input'!$P$245*(1+vanilla9)^0.5)-SUM($P360:P360),('RFM input'!$P$245*(1+vanilla9)^0.5)/A23stdlife))</f>
        <v>0</v>
      </c>
      <c r="R360" s="18"/>
      <c r="S360" s="74"/>
      <c r="T360" s="74"/>
      <c r="U360" s="74"/>
      <c r="V360" s="74"/>
      <c r="W360" s="74"/>
      <c r="X360" s="74"/>
      <c r="Y360" s="74"/>
      <c r="Z360" s="74"/>
    </row>
    <row r="361" spans="1:26" ht="12.75" hidden="1" customHeight="1" outlineLevel="2">
      <c r="A361" s="3"/>
      <c r="B361" s="3"/>
      <c r="C361" s="3"/>
      <c r="D361" s="16"/>
      <c r="E361" s="1594"/>
      <c r="F361" s="62">
        <v>10</v>
      </c>
      <c r="G361" s="17"/>
      <c r="H361" s="114"/>
      <c r="I361" s="115"/>
      <c r="J361" s="115"/>
      <c r="K361" s="115"/>
      <c r="L361" s="115"/>
      <c r="M361" s="115"/>
      <c r="N361" s="115"/>
      <c r="O361" s="115"/>
      <c r="P361" s="115"/>
      <c r="Q361" s="116"/>
      <c r="R361" s="18"/>
      <c r="S361" s="74"/>
      <c r="T361" s="74"/>
      <c r="U361" s="74"/>
      <c r="V361" s="74"/>
      <c r="W361" s="74"/>
      <c r="X361" s="74"/>
      <c r="Y361" s="74"/>
      <c r="Z361" s="74"/>
    </row>
    <row r="362" spans="1:26" ht="13.35" hidden="1" customHeight="1" outlineLevel="1">
      <c r="A362" s="3"/>
      <c r="B362" s="3"/>
      <c r="C362" s="3"/>
      <c r="D362" s="134">
        <f>Asset23</f>
        <v>0</v>
      </c>
      <c r="E362" s="3"/>
      <c r="F362" s="3"/>
      <c r="G362" s="1341"/>
      <c r="H362" s="1458">
        <f>IF(OR('RFM input'!$E$293='RFM input'!$G$292,'RFM input'!$E$293='RFM input'!$G$293),-INDEX('RFM input'!H$299:H$348,MATCH($D362,'RFM input'!$E$299:$E$348,0),1),-SUM(H350:H361))</f>
        <v>0</v>
      </c>
      <c r="I362" s="1458">
        <f>IF(OR('RFM input'!$E$293='RFM input'!$G$292,'RFM input'!$E$293='RFM input'!$G$293),-INDEX('RFM input'!I$299:I$348,MATCH($D362,'RFM input'!$E$299:$E$348,0),1),-SUM(I350:I361))</f>
        <v>0</v>
      </c>
      <c r="J362" s="1386">
        <f>IF(COUNT($H362:I362)&gt;='RFM input'!$V$7,
   0,
   IF(OR('RFM input'!$E$293='RFM input'!$G$292,'RFM input'!$E$293='RFM input'!$G$293),
      -INDEX('RFM input'!J$299:J$348,MATCH($D362,'RFM input'!$E$299:$E$348,0),1),
      -SUM(J350:J361)))</f>
        <v>0</v>
      </c>
      <c r="K362" s="1386">
        <f>IF(COUNT($H362:J362)&gt;='RFM input'!$V$7,
   0,
   IF(OR('RFM input'!$E$293='RFM input'!$G$292,'RFM input'!$E$293='RFM input'!$G$293),
      -INDEX('RFM input'!K$299:K$348,MATCH($D362,'RFM input'!$E$299:$E$348,0),1),
      -SUM(K350:K361)))</f>
        <v>0</v>
      </c>
      <c r="L362" s="1386">
        <f>IF(COUNT($H362:K362)&gt;='RFM input'!$V$7,
   0,
   IF(OR('RFM input'!$E$293='RFM input'!$G$292,'RFM input'!$E$293='RFM input'!$G$293),
      -INDEX('RFM input'!L$299:L$348,MATCH($D362,'RFM input'!$E$299:$E$348,0),1),
      -SUM(L350:L361)))</f>
        <v>0</v>
      </c>
      <c r="M362" s="1386">
        <f>IF(COUNT($H362:L362)&gt;='RFM input'!$V$7,
   0,
   IF(OR('RFM input'!$E$293='RFM input'!$G$292,'RFM input'!$E$293='RFM input'!$G$293),
      -INDEX('RFM input'!M$299:M$348,MATCH($D362,'RFM input'!$E$299:$E$348,0),1),
      -SUM(M350:M361)))</f>
        <v>0</v>
      </c>
      <c r="N362" s="1386">
        <f>IF(COUNT($H362:M362)&gt;='RFM input'!$V$7,
   0,
   IF(OR('RFM input'!$E$293='RFM input'!$G$292,'RFM input'!$E$293='RFM input'!$G$293),
      -INDEX('RFM input'!N$299:N$348,MATCH($D362,'RFM input'!$E$299:$E$348,0),1),
      -SUM(N350:N361)))</f>
        <v>0</v>
      </c>
      <c r="O362" s="1386">
        <f>IF(COUNT($H362:N362)&gt;='RFM input'!$V$7,
   0,
   IF(OR('RFM input'!$E$293='RFM input'!$G$292,'RFM input'!$E$293='RFM input'!$G$293),
      -INDEX('RFM input'!O$299:O$348,MATCH($D362,'RFM input'!$E$299:$E$348,0),1),
      -SUM(O350:O361)))</f>
        <v>0</v>
      </c>
      <c r="P362" s="1386">
        <f>IF(COUNT($H362:O362)&gt;='RFM input'!$V$7,
   0,
   IF(OR('RFM input'!$E$293='RFM input'!$G$292,'RFM input'!$E$293='RFM input'!$G$293),
      -INDEX('RFM input'!P$299:P$348,MATCH($D362,'RFM input'!$E$299:$E$348,0),1),
      -SUM(P350:P361)))</f>
        <v>0</v>
      </c>
      <c r="Q362" s="1386">
        <f>IF(COUNT($H362:P362)&gt;='RFM input'!$V$7,
   0,
   IF(OR('RFM input'!$E$293='RFM input'!$G$292,'RFM input'!$E$293='RFM input'!$G$293),
      -INDEX('RFM input'!Q$299:Q$348,MATCH($D362,'RFM input'!$E$299:$E$348,0),1),
      -SUM(Q350:Q361)))</f>
        <v>0</v>
      </c>
      <c r="R362" s="1382"/>
      <c r="S362" s="76"/>
      <c r="T362" s="76"/>
      <c r="U362" s="76"/>
      <c r="V362" s="76"/>
      <c r="W362" s="76"/>
      <c r="X362" s="76"/>
      <c r="Y362" s="76"/>
      <c r="Z362" s="76"/>
    </row>
    <row r="363" spans="1:26" ht="12.75" hidden="1" customHeight="1" outlineLevel="2">
      <c r="A363" s="3"/>
      <c r="B363" s="3"/>
      <c r="C363" s="135">
        <f>Asset24</f>
        <v>0</v>
      </c>
      <c r="D363" s="100"/>
      <c r="E363" s="20" t="s">
        <v>23</v>
      </c>
      <c r="F363" s="19"/>
      <c r="G363" s="1383"/>
      <c r="H363" s="1380">
        <f>IF(H$3&gt;A24remlife,A24value-SUM($G363:G363),IF(A24remlife="N/A","n/a",A24value/A24remlife))</f>
        <v>0</v>
      </c>
      <c r="I363" s="1380">
        <f>IF(I$3&gt;A24remlife,A24value-SUM($G363:H363),IF(A24remlife="N/A","n/a",A24value/A24remlife))</f>
        <v>0</v>
      </c>
      <c r="J363" s="1380">
        <f>IF(J$3&gt;A24remlife,A24value-SUM($G363:I363),IF(A24remlife="N/A","n/a",A24value/A24remlife))</f>
        <v>0</v>
      </c>
      <c r="K363" s="1380">
        <f>IF(K$3&gt;A24remlife,A24value-SUM($G363:J363),IF(A24remlife="N/A","n/a",A24value/A24remlife))</f>
        <v>0</v>
      </c>
      <c r="L363" s="1380">
        <f>IF(L$3&gt;A24remlife,A24value-SUM($G363:K363),IF(A24remlife="N/A","n/a",A24value/A24remlife))</f>
        <v>0</v>
      </c>
      <c r="M363" s="1380">
        <f>IF(M$3&gt;A24remlife,A24value-SUM($G363:L363),IF(A24remlife="N/A","n/a",A24value/A24remlife))</f>
        <v>0</v>
      </c>
      <c r="N363" s="1380">
        <f>IF(N$3&gt;A24remlife,A24value-SUM($G363:M363),IF(A24remlife="N/A","n/a",A24value/A24remlife))</f>
        <v>0</v>
      </c>
      <c r="O363" s="1380">
        <f>IF(O$3&gt;A24remlife,A24value-SUM($G363:N363),IF(A24remlife="N/A","n/a",A24value/A24remlife))</f>
        <v>0</v>
      </c>
      <c r="P363" s="1380">
        <f>IF(P$3&gt;A24remlife,A24value-SUM($G363:O363),IF(A24remlife="N/A","n/a",A24value/A24remlife))</f>
        <v>0</v>
      </c>
      <c r="Q363" s="1380">
        <f>IF(Q$3&gt;A24remlife,A24value-SUM($G363:P363),IF(A24remlife="N/A","n/a",A24value/A24remlife))</f>
        <v>0</v>
      </c>
      <c r="R363" s="21"/>
      <c r="S363" s="74"/>
      <c r="T363" s="74"/>
      <c r="U363" s="74"/>
      <c r="V363" s="74"/>
      <c r="W363" s="74"/>
      <c r="X363" s="74"/>
      <c r="Y363" s="74"/>
      <c r="Z363" s="74"/>
    </row>
    <row r="364" spans="1:26" ht="12.75" hidden="1" customHeight="1" outlineLevel="2">
      <c r="A364" s="3"/>
      <c r="B364" s="3"/>
      <c r="C364" s="3"/>
      <c r="D364" s="16"/>
      <c r="E364" s="1593" t="s">
        <v>43</v>
      </c>
      <c r="F364" s="61"/>
      <c r="G364" s="1341"/>
      <c r="H364" s="18"/>
      <c r="I364" s="18"/>
      <c r="J364" s="18"/>
      <c r="K364" s="18"/>
      <c r="L364" s="18"/>
      <c r="M364" s="1384"/>
      <c r="N364" s="1385"/>
      <c r="O364" s="18"/>
      <c r="P364" s="18"/>
      <c r="Q364" s="18"/>
      <c r="R364" s="18"/>
      <c r="S364" s="74"/>
      <c r="T364" s="74"/>
      <c r="U364" s="74"/>
      <c r="V364" s="74"/>
      <c r="W364" s="74"/>
      <c r="X364" s="74"/>
      <c r="Y364" s="74"/>
      <c r="Z364" s="74"/>
    </row>
    <row r="365" spans="1:26" ht="12.75" hidden="1" customHeight="1" outlineLevel="2">
      <c r="A365" s="3"/>
      <c r="B365" s="3"/>
      <c r="C365" s="3"/>
      <c r="D365" s="16"/>
      <c r="E365" s="1594"/>
      <c r="F365" s="61">
        <v>1</v>
      </c>
      <c r="G365" s="1341"/>
      <c r="H365" s="1381"/>
      <c r="I365" s="18">
        <f>IF(A24stdlife="n/a","n/a",IF(I$3&gt;(A24stdlife+$F365),('RFM input'!$H$246*(1+vanilla1)^0.5)-SUM($H365:H365),('RFM input'!$H$246*(1+vanilla1)^0.5)/A24stdlife))</f>
        <v>0</v>
      </c>
      <c r="J365" s="18">
        <f>IF(A24stdlife="n/a","n/a",IF(J$3&gt;(A24stdlife+$F365),('RFM input'!$H$246*(1+vanilla1)^0.5)-SUM($H365:I365),('RFM input'!$H$246*(1+vanilla1)^0.5)/A24stdlife))</f>
        <v>0</v>
      </c>
      <c r="K365" s="18">
        <f>IF(A24stdlife="n/a","n/a",IF(K$3&gt;(A24stdlife+$F365),('RFM input'!$H$246*(1+vanilla1)^0.5)-SUM($H365:J365),('RFM input'!$H$246*(1+vanilla1)^0.5)/A24stdlife))</f>
        <v>0</v>
      </c>
      <c r="L365" s="18">
        <f>IF(A24stdlife="n/a","n/a",IF(L$3&gt;(A24stdlife+$F365),('RFM input'!$H$246*(1+vanilla1)^0.5)-SUM($H365:K365),('RFM input'!$H$246*(1+vanilla1)^0.5)/A24stdlife))</f>
        <v>0</v>
      </c>
      <c r="M365" s="18">
        <f>IF(A24stdlife="n/a","n/a",IF(M$3&gt;(A24stdlife+$F365),('RFM input'!$H$246*(1+vanilla1)^0.5)-SUM($H365:L365),('RFM input'!$H$246*(1+vanilla1)^0.5)/A24stdlife))</f>
        <v>0</v>
      </c>
      <c r="N365" s="18">
        <f>IF(A24stdlife="n/a","n/a",IF(N$3&gt;(A24stdlife+$F365),('RFM input'!$H$246*(1+vanilla1)^0.5)-SUM($H365:M365),('RFM input'!$H$246*(1+vanilla1)^0.5)/A24stdlife))</f>
        <v>0</v>
      </c>
      <c r="O365" s="18">
        <f>IF(A24stdlife="n/a","n/a",IF(O$3&gt;(A24stdlife+$F365),('RFM input'!$H$246*(1+vanilla1)^0.5)-SUM($H365:N365),('RFM input'!$H$246*(1+vanilla1)^0.5)/A24stdlife))</f>
        <v>0</v>
      </c>
      <c r="P365" s="18">
        <f>IF(A24stdlife="n/a","n/a",IF(P$3&gt;(A24stdlife+$F365),('RFM input'!$H$246*(1+vanilla1)^0.5)-SUM($H365:O365),('RFM input'!$H$246*(1+vanilla1)^0.5)/A24stdlife))</f>
        <v>0</v>
      </c>
      <c r="Q365" s="18">
        <f>IF(A24stdlife="n/a","n/a",IF(Q$3&gt;(A24stdlife+$F365),('RFM input'!$H$246*(1+vanilla1)^0.5)-SUM($H365:P365),('RFM input'!$H$246*(1+vanilla1)^0.5)/A24stdlife))</f>
        <v>0</v>
      </c>
      <c r="R365" s="18"/>
      <c r="S365" s="74"/>
      <c r="T365" s="74"/>
      <c r="U365" s="74"/>
      <c r="V365" s="74"/>
      <c r="W365" s="74"/>
      <c r="X365" s="74"/>
      <c r="Y365" s="74"/>
      <c r="Z365" s="74"/>
    </row>
    <row r="366" spans="1:26" ht="12.75" hidden="1" customHeight="1" outlineLevel="2">
      <c r="A366" s="3"/>
      <c r="B366" s="3"/>
      <c r="C366" s="3"/>
      <c r="D366" s="16"/>
      <c r="E366" s="1594"/>
      <c r="F366" s="61">
        <v>2</v>
      </c>
      <c r="G366" s="1341"/>
      <c r="H366" s="114"/>
      <c r="I366" s="116"/>
      <c r="J366" s="18">
        <f>IF(A24stdlife="n/a","n/a",IF(J$3&gt;(A24stdlife+$F366),('RFM input'!$I$246*(1+vanilla2)^0.5)-SUM($I366:I366),('RFM input'!$I$246*(1+vanilla2)^0.5)/A24stdlife))</f>
        <v>0</v>
      </c>
      <c r="K366" s="18">
        <f>IF(A24stdlife="n/a","n/a",IF(K$3&gt;(A24stdlife+$F366),('RFM input'!$I$246*(1+vanilla2)^0.5)-SUM($I366:J366),('RFM input'!$I$246*(1+vanilla2)^0.5)/A24stdlife))</f>
        <v>0</v>
      </c>
      <c r="L366" s="18">
        <f>IF(A24stdlife="n/a","n/a",IF(L$3&gt;(A24stdlife+$F366),('RFM input'!$I$246*(1+vanilla2)^0.5)-SUM($I366:K366),('RFM input'!$I$246*(1+vanilla2)^0.5)/A24stdlife))</f>
        <v>0</v>
      </c>
      <c r="M366" s="18">
        <f>IF(A24stdlife="n/a","n/a",IF(M$3&gt;(A24stdlife+$F366),('RFM input'!$I$246*(1+vanilla2)^0.5)-SUM($I366:L366),('RFM input'!$I$246*(1+vanilla2)^0.5)/A24stdlife))</f>
        <v>0</v>
      </c>
      <c r="N366" s="18">
        <f>IF(A24stdlife="n/a","n/a",IF(N$3&gt;(A24stdlife+$F366),('RFM input'!$I$246*(1+vanilla2)^0.5)-SUM($I366:M366),('RFM input'!$I$246*(1+vanilla2)^0.5)/A24stdlife))</f>
        <v>0</v>
      </c>
      <c r="O366" s="18">
        <f>IF(A24stdlife="n/a","n/a",IF(O$3&gt;(A24stdlife+$F366),('RFM input'!$I$246*(1+vanilla2)^0.5)-SUM($I366:N366),('RFM input'!$I$246*(1+vanilla2)^0.5)/A24stdlife))</f>
        <v>0</v>
      </c>
      <c r="P366" s="18">
        <f>IF(A24stdlife="n/a","n/a",IF(P$3&gt;(A24stdlife+$F366),('RFM input'!$I$246*(1+vanilla2)^0.5)-SUM($I366:O366),('RFM input'!$I$246*(1+vanilla2)^0.5)/A24stdlife))</f>
        <v>0</v>
      </c>
      <c r="Q366" s="18">
        <f>IF(A24stdlife="n/a","n/a",IF(Q$3&gt;(A24stdlife+$F366),('RFM input'!$I$246*(1+vanilla2)^0.5)-SUM($I366:P366),('RFM input'!$I$246*(1+vanilla2)^0.5)/A24stdlife))</f>
        <v>0</v>
      </c>
      <c r="R366" s="18"/>
      <c r="S366" s="74"/>
      <c r="T366" s="74"/>
      <c r="U366" s="74"/>
      <c r="V366" s="74"/>
      <c r="W366" s="74"/>
      <c r="X366" s="74"/>
      <c r="Y366" s="74"/>
      <c r="Z366" s="74"/>
    </row>
    <row r="367" spans="1:26" ht="12.75" hidden="1" customHeight="1" outlineLevel="2">
      <c r="A367" s="3"/>
      <c r="B367" s="3"/>
      <c r="C367" s="3"/>
      <c r="D367" s="16"/>
      <c r="E367" s="1594"/>
      <c r="F367" s="61">
        <v>3</v>
      </c>
      <c r="G367" s="1341"/>
      <c r="H367" s="114"/>
      <c r="I367" s="115"/>
      <c r="J367" s="116"/>
      <c r="K367" s="18">
        <f>IF(A24stdlife="n/a","n/a",IF(K$3&gt;(A24stdlife+$F367),('RFM input'!$J$246*(1+vanilla3)^0.5)-SUM($J367:J367),('RFM input'!$J$246*(1+vanilla3)^0.5)/A24stdlife))</f>
        <v>0</v>
      </c>
      <c r="L367" s="18">
        <f>IF(A24stdlife="n/a","n/a",IF(L$3&gt;(A24stdlife+$F367),('RFM input'!$J$246*(1+vanilla3)^0.5)-SUM($J367:K367),('RFM input'!$J$246*(1+vanilla3)^0.5)/A24stdlife))</f>
        <v>0</v>
      </c>
      <c r="M367" s="18">
        <f>IF(A24stdlife="n/a","n/a",IF(M$3&gt;(A24stdlife+$F367),('RFM input'!$J$246*(1+vanilla3)^0.5)-SUM($J367:L367),('RFM input'!$J$246*(1+vanilla3)^0.5)/A24stdlife))</f>
        <v>0</v>
      </c>
      <c r="N367" s="18">
        <f>IF(A24stdlife="n/a","n/a",IF(N$3&gt;(A24stdlife+$F367),('RFM input'!$J$246*(1+vanilla3)^0.5)-SUM($J367:M367),('RFM input'!$J$246*(1+vanilla3)^0.5)/A24stdlife))</f>
        <v>0</v>
      </c>
      <c r="O367" s="18">
        <f>IF(A24stdlife="n/a","n/a",IF(O$3&gt;(A24stdlife+$F367),('RFM input'!$J$246*(1+vanilla3)^0.5)-SUM($J367:N367),('RFM input'!$J$246*(1+vanilla3)^0.5)/A24stdlife))</f>
        <v>0</v>
      </c>
      <c r="P367" s="18">
        <f>IF(A24stdlife="n/a","n/a",IF(P$3&gt;(A24stdlife+$F367),('RFM input'!$J$246*(1+vanilla3)^0.5)-SUM($J367:O367),('RFM input'!$J$246*(1+vanilla3)^0.5)/A24stdlife))</f>
        <v>0</v>
      </c>
      <c r="Q367" s="18">
        <f>IF(A24stdlife="n/a","n/a",IF(Q$3&gt;(A24stdlife+$F367),('RFM input'!$J$246*(1+vanilla3)^0.5)-SUM($J367:P367),('RFM input'!$J$246*(1+vanilla3)^0.5)/A24stdlife))</f>
        <v>0</v>
      </c>
      <c r="R367" s="18"/>
      <c r="S367" s="74"/>
      <c r="T367" s="74"/>
      <c r="U367" s="74"/>
      <c r="V367" s="74"/>
      <c r="W367" s="74"/>
      <c r="X367" s="74"/>
      <c r="Y367" s="74"/>
      <c r="Z367" s="74"/>
    </row>
    <row r="368" spans="1:26" ht="12.75" hidden="1" customHeight="1" outlineLevel="2">
      <c r="A368" s="3"/>
      <c r="B368" s="3"/>
      <c r="C368" s="3"/>
      <c r="D368" s="16"/>
      <c r="E368" s="1594"/>
      <c r="F368" s="61">
        <v>4</v>
      </c>
      <c r="G368" s="1341"/>
      <c r="H368" s="114"/>
      <c r="I368" s="115"/>
      <c r="J368" s="115"/>
      <c r="K368" s="116"/>
      <c r="L368" s="18">
        <f>IF(A24stdlife="n/a","n/a",IF(L$3&gt;(A24stdlife+$F368),('RFM input'!$K$246*(1+vanilla4)^0.5)-SUM($K368:K368),('RFM input'!$K$246*(1+vanilla4)^0.5)/A24stdlife))</f>
        <v>0</v>
      </c>
      <c r="M368" s="18">
        <f>IF(A24stdlife="n/a","n/a",IF(M$3&gt;(A24stdlife+$F368),('RFM input'!$K$246*(1+vanilla4)^0.5)-SUM($K368:L368),('RFM input'!$K$246*(1+vanilla4)^0.5)/A24stdlife))</f>
        <v>0</v>
      </c>
      <c r="N368" s="18">
        <f>IF(A24stdlife="n/a","n/a",IF(N$3&gt;(A24stdlife+$F368),('RFM input'!$K$246*(1+vanilla4)^0.5)-SUM($K368:M368),('RFM input'!$K$246*(1+vanilla4)^0.5)/A24stdlife))</f>
        <v>0</v>
      </c>
      <c r="O368" s="18">
        <f>IF(A24stdlife="n/a","n/a",IF(O$3&gt;(A24stdlife+$F368),('RFM input'!$K$246*(1+vanilla4)^0.5)-SUM($K368:N368),('RFM input'!$K$246*(1+vanilla4)^0.5)/A24stdlife))</f>
        <v>0</v>
      </c>
      <c r="P368" s="18">
        <f>IF(A24stdlife="n/a","n/a",IF(P$3&gt;(A24stdlife+$F368),('RFM input'!$K$246*(1+vanilla4)^0.5)-SUM($K368:O368),('RFM input'!$K$246*(1+vanilla4)^0.5)/A24stdlife))</f>
        <v>0</v>
      </c>
      <c r="Q368" s="18">
        <f>IF(A24stdlife="n/a","n/a",IF(Q$3&gt;(A24stdlife+$F368),('RFM input'!$K$246*(1+vanilla4)^0.5)-SUM($K368:P368),('RFM input'!$K$246*(1+vanilla4)^0.5)/A24stdlife))</f>
        <v>0</v>
      </c>
      <c r="R368" s="18"/>
      <c r="S368" s="74"/>
      <c r="T368" s="74"/>
      <c r="U368" s="74"/>
      <c r="V368" s="74"/>
      <c r="W368" s="74"/>
      <c r="X368" s="74"/>
      <c r="Y368" s="74"/>
      <c r="Z368" s="74"/>
    </row>
    <row r="369" spans="1:26" ht="12.75" hidden="1" customHeight="1" outlineLevel="2">
      <c r="A369" s="3"/>
      <c r="B369" s="3"/>
      <c r="C369" s="3"/>
      <c r="D369" s="16"/>
      <c r="E369" s="1594"/>
      <c r="F369" s="61">
        <v>5</v>
      </c>
      <c r="G369" s="17"/>
      <c r="H369" s="114"/>
      <c r="I369" s="115"/>
      <c r="J369" s="115"/>
      <c r="K369" s="115"/>
      <c r="L369" s="116"/>
      <c r="M369" s="18">
        <f>IF(A24stdlife="n/a","n/a",IF(M$3&gt;(A24stdlife+$F369),('RFM input'!$L$246*(1+vanilla5)^0.5)-SUM($L369:L369),('RFM input'!$L$246*(1+vanilla5)^0.5)/A24stdlife))</f>
        <v>0</v>
      </c>
      <c r="N369" s="18">
        <f>IF(A24stdlife="n/a","n/a",IF(N$3&gt;(A24stdlife+$F369),('RFM input'!$L$246*(1+vanilla5)^0.5)-SUM($L369:M369),('RFM input'!$L$246*(1+vanilla5)^0.5)/A24stdlife))</f>
        <v>0</v>
      </c>
      <c r="O369" s="18">
        <f>IF(A24stdlife="n/a","n/a",IF(O$3&gt;(A24stdlife+$F369),('RFM input'!$L$246*(1+vanilla5)^0.5)-SUM($L369:N369),('RFM input'!$L$246*(1+vanilla5)^0.5)/A24stdlife))</f>
        <v>0</v>
      </c>
      <c r="P369" s="18">
        <f>IF(A24stdlife="n/a","n/a",IF(P$3&gt;(A24stdlife+$F369),('RFM input'!$L$246*(1+vanilla5)^0.5)-SUM($L369:O369),('RFM input'!$L$246*(1+vanilla5)^0.5)/A24stdlife))</f>
        <v>0</v>
      </c>
      <c r="Q369" s="18">
        <f>IF(A24stdlife="n/a","n/a",IF(Q$3&gt;(A24stdlife+$F369),('RFM input'!$L$246*(1+vanilla5)^0.5)-SUM($L369:P369),('RFM input'!$L$246*(1+vanilla5)^0.5)/A24stdlife))</f>
        <v>0</v>
      </c>
      <c r="R369" s="18"/>
      <c r="S369" s="74"/>
      <c r="T369" s="74"/>
      <c r="U369" s="74"/>
      <c r="V369" s="74"/>
      <c r="W369" s="74"/>
      <c r="X369" s="74"/>
      <c r="Y369" s="74"/>
      <c r="Z369" s="74"/>
    </row>
    <row r="370" spans="1:26" ht="12.75" hidden="1" customHeight="1" outlineLevel="2">
      <c r="A370" s="3"/>
      <c r="B370" s="3"/>
      <c r="C370" s="3"/>
      <c r="D370" s="16"/>
      <c r="E370" s="1594"/>
      <c r="F370" s="61">
        <v>6</v>
      </c>
      <c r="G370" s="17"/>
      <c r="H370" s="114"/>
      <c r="I370" s="115"/>
      <c r="J370" s="115"/>
      <c r="K370" s="115"/>
      <c r="L370" s="115"/>
      <c r="M370" s="116"/>
      <c r="N370" s="18">
        <f>IF(A24stdlife="n/a","n/a",IF(N$3&gt;(A24stdlife+$F370),('RFM input'!$M$246*(1+vanilla6)^0.5)-SUM($M370:M370),('RFM input'!$M$246*(1+vanilla6)^0.5)/A24stdlife))</f>
        <v>0</v>
      </c>
      <c r="O370" s="18">
        <f>IF(A24stdlife="n/a","n/a",IF(O$3&gt;(A24stdlife+$F370),('RFM input'!$M$246*(1+vanilla6)^0.5)-SUM($M370:N370),('RFM input'!$M$246*(1+vanilla6)^0.5)/A24stdlife))</f>
        <v>0</v>
      </c>
      <c r="P370" s="18">
        <f>IF(A24stdlife="n/a","n/a",IF(P$3&gt;(A24stdlife+$F370),('RFM input'!$M$246*(1+vanilla6)^0.5)-SUM($M370:O370),('RFM input'!$M$246*(1+vanilla6)^0.5)/A24stdlife))</f>
        <v>0</v>
      </c>
      <c r="Q370" s="18">
        <f>IF(A24stdlife="n/a","n/a",IF(Q$3&gt;(A24stdlife+$F370),('RFM input'!$M$246*(1+vanilla6)^0.5)-SUM($M370:P370),('RFM input'!$M$246*(1+vanilla6)^0.5)/A24stdlife))</f>
        <v>0</v>
      </c>
      <c r="R370" s="18"/>
      <c r="S370" s="74"/>
      <c r="T370" s="74"/>
      <c r="U370" s="74"/>
      <c r="V370" s="74"/>
      <c r="W370" s="74"/>
      <c r="X370" s="74"/>
      <c r="Y370" s="74"/>
      <c r="Z370" s="74"/>
    </row>
    <row r="371" spans="1:26" ht="12.75" hidden="1" customHeight="1" outlineLevel="2">
      <c r="A371" s="3"/>
      <c r="B371" s="3"/>
      <c r="C371" s="3"/>
      <c r="D371" s="16"/>
      <c r="E371" s="1594"/>
      <c r="F371" s="61">
        <v>7</v>
      </c>
      <c r="G371" s="17"/>
      <c r="H371" s="114"/>
      <c r="I371" s="115"/>
      <c r="J371" s="115"/>
      <c r="K371" s="115"/>
      <c r="L371" s="115"/>
      <c r="M371" s="115"/>
      <c r="N371" s="116"/>
      <c r="O371" s="18">
        <f>IF(A24stdlife="n/a","n/a",IF(O$3&gt;(A24stdlife+$F371),('RFM input'!M$246*(1+vanilla7)^0.5)-SUM($N371:N371),('RFM input'!$N$246*(1+vanilla7)^0.5)/A24stdlife))</f>
        <v>0</v>
      </c>
      <c r="P371" s="18">
        <f>IF(A24stdlife="n/a","n/a",IF(P$3&gt;(A24stdlife+$F371),('RFM input'!N$246*(1+vanilla7)^0.5)-SUM($N371:O371),('RFM input'!$N$246*(1+vanilla7)^0.5)/A24stdlife))</f>
        <v>0</v>
      </c>
      <c r="Q371" s="18">
        <f>IF(A24stdlife="n/a","n/a",IF(Q$3&gt;(A24stdlife+$F371),('RFM input'!O$246*(1+vanilla7)^0.5)-SUM($N371:P371),('RFM input'!$N$246*(1+vanilla7)^0.5)/A24stdlife))</f>
        <v>0</v>
      </c>
      <c r="R371" s="18"/>
      <c r="S371" s="74"/>
      <c r="T371" s="74"/>
      <c r="U371" s="74"/>
      <c r="V371" s="74"/>
      <c r="W371" s="74"/>
      <c r="X371" s="74"/>
      <c r="Y371" s="74"/>
      <c r="Z371" s="74"/>
    </row>
    <row r="372" spans="1:26" ht="12.75" hidden="1" customHeight="1" outlineLevel="2">
      <c r="A372" s="3"/>
      <c r="B372" s="3"/>
      <c r="C372" s="3"/>
      <c r="D372" s="16"/>
      <c r="E372" s="1594"/>
      <c r="F372" s="61">
        <v>8</v>
      </c>
      <c r="G372" s="17"/>
      <c r="H372" s="114"/>
      <c r="I372" s="115"/>
      <c r="J372" s="115"/>
      <c r="K372" s="115"/>
      <c r="L372" s="115"/>
      <c r="M372" s="115"/>
      <c r="N372" s="115"/>
      <c r="O372" s="116"/>
      <c r="P372" s="18">
        <f>IF(A24stdlife="n/a","n/a",IF(P$3&gt;(A24stdlife+$F372),('RFM input'!$O$246*(1+vanilla8)^0.5)-SUM($O372:O372),('RFM input'!$O$246*(1+vanilla8)^0.5)/A24stdlife))</f>
        <v>0</v>
      </c>
      <c r="Q372" s="18">
        <f>IF(A24stdlife="n/a","n/a",IF(Q$3&gt;(A24stdlife+$F372),('RFM input'!$O$246*(1+vanilla8)^0.5)-SUM($O372:P372),('RFM input'!$O$246*(1+vanilla8)^0.5)/A24stdlife))</f>
        <v>0</v>
      </c>
      <c r="R372" s="18"/>
      <c r="S372" s="74"/>
      <c r="T372" s="74"/>
      <c r="U372" s="74"/>
      <c r="V372" s="74"/>
      <c r="W372" s="74"/>
      <c r="X372" s="74"/>
      <c r="Y372" s="74"/>
      <c r="Z372" s="74"/>
    </row>
    <row r="373" spans="1:26" ht="12.75" hidden="1" customHeight="1" outlineLevel="2">
      <c r="A373" s="3"/>
      <c r="B373" s="3"/>
      <c r="C373" s="3"/>
      <c r="D373" s="16"/>
      <c r="E373" s="1594"/>
      <c r="F373" s="61">
        <v>9</v>
      </c>
      <c r="G373" s="17"/>
      <c r="H373" s="114"/>
      <c r="I373" s="115"/>
      <c r="J373" s="115"/>
      <c r="K373" s="115"/>
      <c r="L373" s="115"/>
      <c r="M373" s="115"/>
      <c r="N373" s="115"/>
      <c r="O373" s="115"/>
      <c r="P373" s="116"/>
      <c r="Q373" s="18">
        <f>IF(A24stdlife="n/a","n/a",IF(Q$3&gt;(A24stdlife+$F373),('RFM input'!$P$246*(1+vanilla9)^0.5)-SUM($P373:P373),('RFM input'!$P$246*(1+vanilla9)^0.5)/A24stdlife))</f>
        <v>0</v>
      </c>
      <c r="R373" s="18"/>
      <c r="S373" s="74"/>
      <c r="T373" s="74"/>
      <c r="U373" s="74"/>
      <c r="V373" s="74"/>
      <c r="W373" s="74"/>
      <c r="X373" s="74"/>
      <c r="Y373" s="74"/>
      <c r="Z373" s="74"/>
    </row>
    <row r="374" spans="1:26" ht="12.75" hidden="1" customHeight="1" outlineLevel="2">
      <c r="A374" s="3"/>
      <c r="B374" s="3"/>
      <c r="C374" s="3"/>
      <c r="D374" s="16"/>
      <c r="E374" s="1594"/>
      <c r="F374" s="62">
        <v>10</v>
      </c>
      <c r="G374" s="17"/>
      <c r="H374" s="114"/>
      <c r="I374" s="115"/>
      <c r="J374" s="115"/>
      <c r="K374" s="115"/>
      <c r="L374" s="115"/>
      <c r="M374" s="115"/>
      <c r="N374" s="115"/>
      <c r="O374" s="115"/>
      <c r="P374" s="115"/>
      <c r="Q374" s="116"/>
      <c r="R374" s="18"/>
      <c r="S374" s="74"/>
      <c r="T374" s="74"/>
      <c r="U374" s="74"/>
      <c r="V374" s="74"/>
      <c r="W374" s="74"/>
      <c r="X374" s="74"/>
      <c r="Y374" s="74"/>
      <c r="Z374" s="74"/>
    </row>
    <row r="375" spans="1:26" ht="13.35" hidden="1" customHeight="1" outlineLevel="1">
      <c r="A375" s="3"/>
      <c r="B375" s="3"/>
      <c r="C375" s="3"/>
      <c r="D375" s="134">
        <f>Asset24</f>
        <v>0</v>
      </c>
      <c r="E375" s="3"/>
      <c r="F375" s="3"/>
      <c r="G375" s="1341"/>
      <c r="H375" s="1458">
        <f>IF(OR('RFM input'!$E$293='RFM input'!$G$292,'RFM input'!$E$293='RFM input'!$G$293),-INDEX('RFM input'!H$299:H$348,MATCH($D375,'RFM input'!$E$299:$E$348,0),1),-SUM(H363:H374))</f>
        <v>0</v>
      </c>
      <c r="I375" s="1458">
        <f>IF(OR('RFM input'!$E$293='RFM input'!$G$292,'RFM input'!$E$293='RFM input'!$G$293),-INDEX('RFM input'!I$299:I$348,MATCH($D375,'RFM input'!$E$299:$E$348,0),1),-SUM(I363:I374))</f>
        <v>0</v>
      </c>
      <c r="J375" s="1386">
        <f>IF(COUNT($H375:I375)&gt;='RFM input'!$V$7,
   0,
   IF(OR('RFM input'!$E$293='RFM input'!$G$292,'RFM input'!$E$293='RFM input'!$G$293),
      -INDEX('RFM input'!J$299:J$348,MATCH($D375,'RFM input'!$E$299:$E$348,0),1),
      -SUM(J363:J374)))</f>
        <v>0</v>
      </c>
      <c r="K375" s="1386">
        <f>IF(COUNT($H375:J375)&gt;='RFM input'!$V$7,
   0,
   IF(OR('RFM input'!$E$293='RFM input'!$G$292,'RFM input'!$E$293='RFM input'!$G$293),
      -INDEX('RFM input'!K$299:K$348,MATCH($D375,'RFM input'!$E$299:$E$348,0),1),
      -SUM(K363:K374)))</f>
        <v>0</v>
      </c>
      <c r="L375" s="1386">
        <f>IF(COUNT($H375:K375)&gt;='RFM input'!$V$7,
   0,
   IF(OR('RFM input'!$E$293='RFM input'!$G$292,'RFM input'!$E$293='RFM input'!$G$293),
      -INDEX('RFM input'!L$299:L$348,MATCH($D375,'RFM input'!$E$299:$E$348,0),1),
      -SUM(L363:L374)))</f>
        <v>0</v>
      </c>
      <c r="M375" s="1386">
        <f>IF(COUNT($H375:L375)&gt;='RFM input'!$V$7,
   0,
   IF(OR('RFM input'!$E$293='RFM input'!$G$292,'RFM input'!$E$293='RFM input'!$G$293),
      -INDEX('RFM input'!M$299:M$348,MATCH($D375,'RFM input'!$E$299:$E$348,0),1),
      -SUM(M363:M374)))</f>
        <v>0</v>
      </c>
      <c r="N375" s="1386">
        <f>IF(COUNT($H375:M375)&gt;='RFM input'!$V$7,
   0,
   IF(OR('RFM input'!$E$293='RFM input'!$G$292,'RFM input'!$E$293='RFM input'!$G$293),
      -INDEX('RFM input'!N$299:N$348,MATCH($D375,'RFM input'!$E$299:$E$348,0),1),
      -SUM(N363:N374)))</f>
        <v>0</v>
      </c>
      <c r="O375" s="1386">
        <f>IF(COUNT($H375:N375)&gt;='RFM input'!$V$7,
   0,
   IF(OR('RFM input'!$E$293='RFM input'!$G$292,'RFM input'!$E$293='RFM input'!$G$293),
      -INDEX('RFM input'!O$299:O$348,MATCH($D375,'RFM input'!$E$299:$E$348,0),1),
      -SUM(O363:O374)))</f>
        <v>0</v>
      </c>
      <c r="P375" s="1386">
        <f>IF(COUNT($H375:O375)&gt;='RFM input'!$V$7,
   0,
   IF(OR('RFM input'!$E$293='RFM input'!$G$292,'RFM input'!$E$293='RFM input'!$G$293),
      -INDEX('RFM input'!P$299:P$348,MATCH($D375,'RFM input'!$E$299:$E$348,0),1),
      -SUM(P363:P374)))</f>
        <v>0</v>
      </c>
      <c r="Q375" s="1386">
        <f>IF(COUNT($H375:P375)&gt;='RFM input'!$V$7,
   0,
   IF(OR('RFM input'!$E$293='RFM input'!$G$292,'RFM input'!$E$293='RFM input'!$G$293),
      -INDEX('RFM input'!Q$299:Q$348,MATCH($D375,'RFM input'!$E$299:$E$348,0),1),
      -SUM(Q363:Q374)))</f>
        <v>0</v>
      </c>
      <c r="R375" s="1382"/>
      <c r="S375" s="76"/>
      <c r="T375" s="76"/>
      <c r="U375" s="76"/>
      <c r="V375" s="76"/>
      <c r="W375" s="76"/>
      <c r="X375" s="76"/>
      <c r="Y375" s="76"/>
      <c r="Z375" s="76"/>
    </row>
    <row r="376" spans="1:26" ht="12.75" hidden="1" customHeight="1" outlineLevel="2">
      <c r="A376" s="3"/>
      <c r="B376" s="3"/>
      <c r="C376" s="135">
        <f>Asset25</f>
        <v>0</v>
      </c>
      <c r="D376" s="100"/>
      <c r="E376" s="20" t="s">
        <v>23</v>
      </c>
      <c r="F376" s="19"/>
      <c r="G376" s="1383"/>
      <c r="H376" s="1380">
        <f>IF(H$3&gt;A25remlife,A25value-SUM($G376:G376),IF(A25remlife="N/A","n/a",A25value/A25remlife))</f>
        <v>0</v>
      </c>
      <c r="I376" s="1380">
        <f>IF(I$3&gt;A25remlife,A25value-SUM($G376:H376),IF(A25remlife="N/A","n/a",A25value/A25remlife))</f>
        <v>0</v>
      </c>
      <c r="J376" s="1380">
        <f>IF(J$3&gt;A25remlife,A25value-SUM($G376:I376),IF(A25remlife="N/A","n/a",A25value/A25remlife))</f>
        <v>0</v>
      </c>
      <c r="K376" s="1380">
        <f>IF(K$3&gt;A25remlife,A25value-SUM($G376:J376),IF(A25remlife="N/A","n/a",A25value/A25remlife))</f>
        <v>0</v>
      </c>
      <c r="L376" s="1380">
        <f>IF(L$3&gt;A25remlife,A25value-SUM($G376:K376),IF(A25remlife="N/A","n/a",A25value/A25remlife))</f>
        <v>0</v>
      </c>
      <c r="M376" s="1380">
        <f>IF(M$3&gt;A25remlife,A25value-SUM($G376:L376),IF(A25remlife="N/A","n/a",A25value/A25remlife))</f>
        <v>0</v>
      </c>
      <c r="N376" s="1380">
        <f>IF(N$3&gt;A25remlife,A25value-SUM($G376:M376),IF(A25remlife="N/A","n/a",A25value/A25remlife))</f>
        <v>0</v>
      </c>
      <c r="O376" s="1380">
        <f>IF(O$3&gt;A25remlife,A25value-SUM($G376:N376),IF(A25remlife="N/A","n/a",A25value/A25remlife))</f>
        <v>0</v>
      </c>
      <c r="P376" s="1380">
        <f>IF(P$3&gt;A25remlife,A25value-SUM($G376:O376),IF(A25remlife="N/A","n/a",A25value/A25remlife))</f>
        <v>0</v>
      </c>
      <c r="Q376" s="1380">
        <f>IF(Q$3&gt;A25remlife,A25value-SUM($G376:P376),IF(A25remlife="N/A","n/a",A25value/A25remlife))</f>
        <v>0</v>
      </c>
      <c r="R376" s="21"/>
      <c r="S376" s="74"/>
      <c r="T376" s="74"/>
      <c r="U376" s="74"/>
      <c r="V376" s="74"/>
      <c r="W376" s="74"/>
      <c r="X376" s="74"/>
      <c r="Y376" s="74"/>
      <c r="Z376" s="74"/>
    </row>
    <row r="377" spans="1:26" ht="12.75" hidden="1" customHeight="1" outlineLevel="2">
      <c r="A377" s="3"/>
      <c r="B377" s="3"/>
      <c r="C377" s="3"/>
      <c r="D377" s="16"/>
      <c r="E377" s="1593" t="s">
        <v>43</v>
      </c>
      <c r="F377" s="61"/>
      <c r="G377" s="1341"/>
      <c r="H377" s="18"/>
      <c r="I377" s="18"/>
      <c r="J377" s="18"/>
      <c r="K377" s="18"/>
      <c r="L377" s="18"/>
      <c r="M377" s="1384"/>
      <c r="N377" s="1385"/>
      <c r="O377" s="18"/>
      <c r="P377" s="18"/>
      <c r="Q377" s="18"/>
      <c r="R377" s="18"/>
      <c r="S377" s="74"/>
      <c r="T377" s="74"/>
      <c r="U377" s="74"/>
      <c r="V377" s="74"/>
      <c r="W377" s="74"/>
      <c r="X377" s="74"/>
      <c r="Y377" s="74"/>
      <c r="Z377" s="74"/>
    </row>
    <row r="378" spans="1:26" ht="12.75" hidden="1" customHeight="1" outlineLevel="2">
      <c r="A378" s="3"/>
      <c r="B378" s="3"/>
      <c r="C378" s="3"/>
      <c r="D378" s="16"/>
      <c r="E378" s="1594"/>
      <c r="F378" s="61">
        <v>1</v>
      </c>
      <c r="G378" s="1341"/>
      <c r="H378" s="1381"/>
      <c r="I378" s="18">
        <f>IF(A25stdlife="n/a","n/a",IF(I$3&gt;(A25stdlife+$F378),('RFM input'!$H$247*(1+vanilla1)^0.5)-SUM($H378:H378),('RFM input'!$H$247*(1+vanilla1)^0.5)/A25stdlife))</f>
        <v>0</v>
      </c>
      <c r="J378" s="18">
        <f>IF(A25stdlife="n/a","n/a",IF(J$3&gt;(A25stdlife+$F378),('RFM input'!$H$247*(1+vanilla1)^0.5)-SUM($H378:I378),('RFM input'!$H$247*(1+vanilla1)^0.5)/A25stdlife))</f>
        <v>0</v>
      </c>
      <c r="K378" s="18">
        <f>IF(A25stdlife="n/a","n/a",IF(K$3&gt;(A25stdlife+$F378),('RFM input'!$H$247*(1+vanilla1)^0.5)-SUM($H378:J378),('RFM input'!$H$247*(1+vanilla1)^0.5)/A25stdlife))</f>
        <v>0</v>
      </c>
      <c r="L378" s="18">
        <f>IF(A25stdlife="n/a","n/a",IF(L$3&gt;(A25stdlife+$F378),('RFM input'!$H$247*(1+vanilla1)^0.5)-SUM($H378:K378),('RFM input'!$H$247*(1+vanilla1)^0.5)/A25stdlife))</f>
        <v>0</v>
      </c>
      <c r="M378" s="18">
        <f>IF(A25stdlife="n/a","n/a",IF(M$3&gt;(A25stdlife+$F378),('RFM input'!$H$247*(1+vanilla1)^0.5)-SUM($H378:L378),('RFM input'!$H$247*(1+vanilla1)^0.5)/A25stdlife))</f>
        <v>0</v>
      </c>
      <c r="N378" s="18">
        <f>IF(A25stdlife="n/a","n/a",IF(N$3&gt;(A25stdlife+$F378),('RFM input'!$H$247*(1+vanilla1)^0.5)-SUM($H378:M378),('RFM input'!$H$247*(1+vanilla1)^0.5)/A25stdlife))</f>
        <v>0</v>
      </c>
      <c r="O378" s="18">
        <f>IF(A25stdlife="n/a","n/a",IF(O$3&gt;(A25stdlife+$F378),('RFM input'!$H$247*(1+vanilla1)^0.5)-SUM($H378:N378),('RFM input'!$H$247*(1+vanilla1)^0.5)/A25stdlife))</f>
        <v>0</v>
      </c>
      <c r="P378" s="18">
        <f>IF(A25stdlife="n/a","n/a",IF(P$3&gt;(A25stdlife+$F378),('RFM input'!$H$247*(1+vanilla1)^0.5)-SUM($H378:O378),('RFM input'!$H$247*(1+vanilla1)^0.5)/A25stdlife))</f>
        <v>0</v>
      </c>
      <c r="Q378" s="18">
        <f>IF(A25stdlife="n/a","n/a",IF(Q$3&gt;(A25stdlife+$F378),('RFM input'!$H$247*(1+vanilla1)^0.5)-SUM($H378:P378),('RFM input'!$H$247*(1+vanilla1)^0.5)/A25stdlife))</f>
        <v>0</v>
      </c>
      <c r="R378" s="18"/>
      <c r="S378" s="74"/>
      <c r="T378" s="74"/>
      <c r="U378" s="74"/>
      <c r="V378" s="74"/>
      <c r="W378" s="74"/>
      <c r="X378" s="74"/>
      <c r="Y378" s="74"/>
      <c r="Z378" s="74"/>
    </row>
    <row r="379" spans="1:26" ht="12.75" hidden="1" customHeight="1" outlineLevel="2">
      <c r="A379" s="3"/>
      <c r="B379" s="3"/>
      <c r="C379" s="3"/>
      <c r="D379" s="16"/>
      <c r="E379" s="1594"/>
      <c r="F379" s="61">
        <v>2</v>
      </c>
      <c r="G379" s="1341"/>
      <c r="H379" s="114"/>
      <c r="I379" s="116"/>
      <c r="J379" s="18">
        <f>IF(A25stdlife="n/a","n/a",IF(J$3&gt;(A25stdlife+$F379),('RFM input'!$I$247*(1+vanilla2)^0.5)-SUM($I379:I379),('RFM input'!$I$247*(1+vanilla2)^0.5)/A25stdlife))</f>
        <v>0</v>
      </c>
      <c r="K379" s="18">
        <f>IF(A25stdlife="n/a","n/a",IF(K$3&gt;(A25stdlife+$F379),('RFM input'!$I$247*(1+vanilla2)^0.5)-SUM($I379:J379),('RFM input'!$I$247*(1+vanilla2)^0.5)/A25stdlife))</f>
        <v>0</v>
      </c>
      <c r="L379" s="18">
        <f>IF(A25stdlife="n/a","n/a",IF(L$3&gt;(A25stdlife+$F379),('RFM input'!$I$247*(1+vanilla2)^0.5)-SUM($I379:K379),('RFM input'!$I$247*(1+vanilla2)^0.5)/A25stdlife))</f>
        <v>0</v>
      </c>
      <c r="M379" s="18">
        <f>IF(A25stdlife="n/a","n/a",IF(M$3&gt;(A25stdlife+$F379),('RFM input'!$I$247*(1+vanilla2)^0.5)-SUM($I379:L379),('RFM input'!$I$247*(1+vanilla2)^0.5)/A25stdlife))</f>
        <v>0</v>
      </c>
      <c r="N379" s="18">
        <f>IF(A25stdlife="n/a","n/a",IF(N$3&gt;(A25stdlife+$F379),('RFM input'!$I$247*(1+vanilla2)^0.5)-SUM($I379:M379),('RFM input'!$I$247*(1+vanilla2)^0.5)/A25stdlife))</f>
        <v>0</v>
      </c>
      <c r="O379" s="18">
        <f>IF(A25stdlife="n/a","n/a",IF(O$3&gt;(A25stdlife+$F379),('RFM input'!$I$247*(1+vanilla2)^0.5)-SUM($I379:N379),('RFM input'!$I$247*(1+vanilla2)^0.5)/A25stdlife))</f>
        <v>0</v>
      </c>
      <c r="P379" s="18">
        <f>IF(A25stdlife="n/a","n/a",IF(P$3&gt;(A25stdlife+$F379),('RFM input'!$I$247*(1+vanilla2)^0.5)-SUM($I379:O379),('RFM input'!$I$247*(1+vanilla2)^0.5)/A25stdlife))</f>
        <v>0</v>
      </c>
      <c r="Q379" s="18">
        <f>IF(A25stdlife="n/a","n/a",IF(Q$3&gt;(A25stdlife+$F379),('RFM input'!$I$247*(1+vanilla2)^0.5)-SUM($I379:P379),('RFM input'!$I$247*(1+vanilla2)^0.5)/A25stdlife))</f>
        <v>0</v>
      </c>
      <c r="R379" s="18"/>
      <c r="S379" s="74"/>
      <c r="T379" s="74"/>
      <c r="U379" s="74"/>
      <c r="V379" s="74"/>
      <c r="W379" s="74"/>
      <c r="X379" s="74"/>
      <c r="Y379" s="74"/>
      <c r="Z379" s="74"/>
    </row>
    <row r="380" spans="1:26" ht="12.75" hidden="1" customHeight="1" outlineLevel="2">
      <c r="A380" s="3"/>
      <c r="B380" s="3"/>
      <c r="C380" s="3"/>
      <c r="D380" s="16"/>
      <c r="E380" s="1594"/>
      <c r="F380" s="61">
        <v>3</v>
      </c>
      <c r="G380" s="1341"/>
      <c r="H380" s="114"/>
      <c r="I380" s="115"/>
      <c r="J380" s="116"/>
      <c r="K380" s="18">
        <f>IF(A25stdlife="n/a","n/a",IF(K$3&gt;(A25stdlife+$F380),('RFM input'!$J$247*(1+vanilla3)^0.5)-SUM($J380:J380),('RFM input'!$J$247*(1+vanilla3)^0.5)/A25stdlife))</f>
        <v>0</v>
      </c>
      <c r="L380" s="18">
        <f>IF(A25stdlife="n/a","n/a",IF(L$3&gt;(A25stdlife+$F380),('RFM input'!$J$247*(1+vanilla3)^0.5)-SUM($J380:K380),('RFM input'!$J$247*(1+vanilla3)^0.5)/A25stdlife))</f>
        <v>0</v>
      </c>
      <c r="M380" s="18">
        <f>IF(A25stdlife="n/a","n/a",IF(M$3&gt;(A25stdlife+$F380),('RFM input'!$J$247*(1+vanilla3)^0.5)-SUM($J380:L380),('RFM input'!$J$247*(1+vanilla3)^0.5)/A25stdlife))</f>
        <v>0</v>
      </c>
      <c r="N380" s="18">
        <f>IF(A25stdlife="n/a","n/a",IF(N$3&gt;(A25stdlife+$F380),('RFM input'!$J$247*(1+vanilla3)^0.5)-SUM($J380:M380),('RFM input'!$J$247*(1+vanilla3)^0.5)/A25stdlife))</f>
        <v>0</v>
      </c>
      <c r="O380" s="18">
        <f>IF(A25stdlife="n/a","n/a",IF(O$3&gt;(A25stdlife+$F380),('RFM input'!$J$247*(1+vanilla3)^0.5)-SUM($J380:N380),('RFM input'!$J$247*(1+vanilla3)^0.5)/A25stdlife))</f>
        <v>0</v>
      </c>
      <c r="P380" s="18">
        <f>IF(A25stdlife="n/a","n/a",IF(P$3&gt;(A25stdlife+$F380),('RFM input'!$J$247*(1+vanilla3)^0.5)-SUM($J380:O380),('RFM input'!$J$247*(1+vanilla3)^0.5)/A25stdlife))</f>
        <v>0</v>
      </c>
      <c r="Q380" s="18">
        <f>IF(A25stdlife="n/a","n/a",IF(Q$3&gt;(A25stdlife+$F380),('RFM input'!$J$247*(1+vanilla3)^0.5)-SUM($J380:P380),('RFM input'!$J$247*(1+vanilla3)^0.5)/A25stdlife))</f>
        <v>0</v>
      </c>
      <c r="R380" s="18"/>
      <c r="S380" s="74"/>
      <c r="T380" s="74"/>
      <c r="U380" s="74"/>
      <c r="V380" s="74"/>
      <c r="W380" s="74"/>
      <c r="X380" s="74"/>
      <c r="Y380" s="74"/>
      <c r="Z380" s="74"/>
    </row>
    <row r="381" spans="1:26" ht="12.75" hidden="1" customHeight="1" outlineLevel="2">
      <c r="A381" s="3"/>
      <c r="B381" s="3"/>
      <c r="C381" s="3"/>
      <c r="D381" s="16"/>
      <c r="E381" s="1594"/>
      <c r="F381" s="61">
        <v>4</v>
      </c>
      <c r="G381" s="1341"/>
      <c r="H381" s="114"/>
      <c r="I381" s="115"/>
      <c r="J381" s="115"/>
      <c r="K381" s="116"/>
      <c r="L381" s="18">
        <f>IF(A25stdlife="n/a","n/a",IF(L$3&gt;(A25stdlife+$F381),('RFM input'!$K$247*(1+vanilla4)^0.5)-SUM($K381:K381),('RFM input'!$K$247*(1+vanilla4)^0.5)/A25stdlife))</f>
        <v>0</v>
      </c>
      <c r="M381" s="18">
        <f>IF(A25stdlife="n/a","n/a",IF(M$3&gt;(A25stdlife+$F381),('RFM input'!$K$247*(1+vanilla4)^0.5)-SUM($K381:L381),('RFM input'!$K$247*(1+vanilla4)^0.5)/A25stdlife))</f>
        <v>0</v>
      </c>
      <c r="N381" s="18">
        <f>IF(A25stdlife="n/a","n/a",IF(N$3&gt;(A25stdlife+$F381),('RFM input'!$K$247*(1+vanilla4)^0.5)-SUM($K381:M381),('RFM input'!$K$247*(1+vanilla4)^0.5)/A25stdlife))</f>
        <v>0</v>
      </c>
      <c r="O381" s="18">
        <f>IF(A25stdlife="n/a","n/a",IF(O$3&gt;(A25stdlife+$F381),('RFM input'!$K$247*(1+vanilla4)^0.5)-SUM($K381:N381),('RFM input'!$K$247*(1+vanilla4)^0.5)/A25stdlife))</f>
        <v>0</v>
      </c>
      <c r="P381" s="18">
        <f>IF(A25stdlife="n/a","n/a",IF(P$3&gt;(A25stdlife+$F381),('RFM input'!$K$247*(1+vanilla4)^0.5)-SUM($K381:O381),('RFM input'!$K$247*(1+vanilla4)^0.5)/A25stdlife))</f>
        <v>0</v>
      </c>
      <c r="Q381" s="18">
        <f>IF(A25stdlife="n/a","n/a",IF(Q$3&gt;(A25stdlife+$F381),('RFM input'!$K$247*(1+vanilla4)^0.5)-SUM($K381:P381),('RFM input'!$K$247*(1+vanilla4)^0.5)/A25stdlife))</f>
        <v>0</v>
      </c>
      <c r="R381" s="18"/>
      <c r="S381" s="74"/>
      <c r="T381" s="74"/>
      <c r="U381" s="74"/>
      <c r="V381" s="74"/>
      <c r="W381" s="74"/>
      <c r="X381" s="74"/>
      <c r="Y381" s="74"/>
      <c r="Z381" s="74"/>
    </row>
    <row r="382" spans="1:26" ht="12.75" hidden="1" customHeight="1" outlineLevel="2">
      <c r="A382" s="3"/>
      <c r="B382" s="3"/>
      <c r="C382" s="3"/>
      <c r="D382" s="16"/>
      <c r="E382" s="1594"/>
      <c r="F382" s="61">
        <v>5</v>
      </c>
      <c r="G382" s="17"/>
      <c r="H382" s="114"/>
      <c r="I382" s="115"/>
      <c r="J382" s="115"/>
      <c r="K382" s="115"/>
      <c r="L382" s="116"/>
      <c r="M382" s="18">
        <f>IF(A25stdlife="n/a","n/a",IF(M$3&gt;(A25stdlife+$F382),('RFM input'!$L$247*(1+vanilla5)^0.5)-SUM($L382:L382),('RFM input'!$L$247*(1+vanilla5)^0.5)/A25stdlife))</f>
        <v>0</v>
      </c>
      <c r="N382" s="18">
        <f>IF(A25stdlife="n/a","n/a",IF(N$3&gt;(A25stdlife+$F382),('RFM input'!$L$247*(1+vanilla5)^0.5)-SUM($L382:M382),('RFM input'!$L$247*(1+vanilla5)^0.5)/A25stdlife))</f>
        <v>0</v>
      </c>
      <c r="O382" s="18">
        <f>IF(A25stdlife="n/a","n/a",IF(O$3&gt;(A25stdlife+$F382),('RFM input'!$L$247*(1+vanilla5)^0.5)-SUM($L382:N382),('RFM input'!$L$247*(1+vanilla5)^0.5)/A25stdlife))</f>
        <v>0</v>
      </c>
      <c r="P382" s="18">
        <f>IF(A25stdlife="n/a","n/a",IF(P$3&gt;(A25stdlife+$F382),('RFM input'!$L$247*(1+vanilla5)^0.5)-SUM($L382:O382),('RFM input'!$L$247*(1+vanilla5)^0.5)/A25stdlife))</f>
        <v>0</v>
      </c>
      <c r="Q382" s="18">
        <f>IF(A25stdlife="n/a","n/a",IF(Q$3&gt;(A25stdlife+$F382),('RFM input'!$L$247*(1+vanilla5)^0.5)-SUM($L382:P382),('RFM input'!$L$247*(1+vanilla5)^0.5)/A25stdlife))</f>
        <v>0</v>
      </c>
      <c r="R382" s="18"/>
      <c r="S382" s="74"/>
      <c r="T382" s="74"/>
      <c r="U382" s="74"/>
      <c r="V382" s="74"/>
      <c r="W382" s="74"/>
      <c r="X382" s="74"/>
      <c r="Y382" s="74"/>
      <c r="Z382" s="74"/>
    </row>
    <row r="383" spans="1:26" ht="12.75" hidden="1" customHeight="1" outlineLevel="2">
      <c r="A383" s="3"/>
      <c r="B383" s="3"/>
      <c r="C383" s="3"/>
      <c r="D383" s="16"/>
      <c r="E383" s="1594"/>
      <c r="F383" s="61">
        <v>6</v>
      </c>
      <c r="G383" s="17"/>
      <c r="H383" s="114"/>
      <c r="I383" s="115"/>
      <c r="J383" s="115"/>
      <c r="K383" s="115"/>
      <c r="L383" s="115"/>
      <c r="M383" s="116"/>
      <c r="N383" s="18">
        <f>IF(A25stdlife="n/a","n/a",IF(N$3&gt;(A25stdlife+$F383),('RFM input'!$M$247*(1+vanilla6)^0.5)-SUM($M383:M383),('RFM input'!$M$247*(1+vanilla6)^0.5)/A25stdlife))</f>
        <v>0</v>
      </c>
      <c r="O383" s="18">
        <f>IF(A25stdlife="n/a","n/a",IF(O$3&gt;(A25stdlife+$F383),('RFM input'!$M$247*(1+vanilla6)^0.5)-SUM($M383:N383),('RFM input'!$M$247*(1+vanilla6)^0.5)/A25stdlife))</f>
        <v>0</v>
      </c>
      <c r="P383" s="18">
        <f>IF(A25stdlife="n/a","n/a",IF(P$3&gt;(A25stdlife+$F383),('RFM input'!$M$247*(1+vanilla6)^0.5)-SUM($M383:O383),('RFM input'!$M$247*(1+vanilla6)^0.5)/A25stdlife))</f>
        <v>0</v>
      </c>
      <c r="Q383" s="18">
        <f>IF(A25stdlife="n/a","n/a",IF(Q$3&gt;(A25stdlife+$F383),('RFM input'!$M$247*(1+vanilla6)^0.5)-SUM($M383:P383),('RFM input'!$M$247*(1+vanilla6)^0.5)/A25stdlife))</f>
        <v>0</v>
      </c>
      <c r="R383" s="18"/>
      <c r="S383" s="74"/>
      <c r="T383" s="74"/>
      <c r="U383" s="74"/>
      <c r="V383" s="74"/>
      <c r="W383" s="74"/>
      <c r="X383" s="74"/>
      <c r="Y383" s="74"/>
      <c r="Z383" s="74"/>
    </row>
    <row r="384" spans="1:26" ht="12.75" hidden="1" customHeight="1" outlineLevel="2">
      <c r="A384" s="3"/>
      <c r="B384" s="3"/>
      <c r="C384" s="3"/>
      <c r="D384" s="16"/>
      <c r="E384" s="1594"/>
      <c r="F384" s="61">
        <v>7</v>
      </c>
      <c r="G384" s="17"/>
      <c r="H384" s="114"/>
      <c r="I384" s="115"/>
      <c r="J384" s="115"/>
      <c r="K384" s="115"/>
      <c r="L384" s="115"/>
      <c r="M384" s="115"/>
      <c r="N384" s="116"/>
      <c r="O384" s="18">
        <f>IF(A25stdlife="n/a","n/a",IF(O$3&gt;(A25stdlife+$F384),('RFM input'!M$247*(1+vanilla7)^0.5)-SUM($N384:N384),('RFM input'!$N$247*(1+vanilla7)^0.5)/A25stdlife))</f>
        <v>0</v>
      </c>
      <c r="P384" s="18">
        <f>IF(A25stdlife="n/a","n/a",IF(P$3&gt;(A25stdlife+$F384),('RFM input'!N$247*(1+vanilla7)^0.5)-SUM($N384:O384),('RFM input'!$N$247*(1+vanilla7)^0.5)/A25stdlife))</f>
        <v>0</v>
      </c>
      <c r="Q384" s="18">
        <f>IF(A25stdlife="n/a","n/a",IF(Q$3&gt;(A25stdlife+$F384),('RFM input'!O$247*(1+vanilla7)^0.5)-SUM($N384:P384),('RFM input'!$N$247*(1+vanilla7)^0.5)/A25stdlife))</f>
        <v>0</v>
      </c>
      <c r="R384" s="18"/>
      <c r="S384" s="74"/>
      <c r="T384" s="74"/>
      <c r="U384" s="74"/>
      <c r="V384" s="74"/>
      <c r="W384" s="74"/>
      <c r="X384" s="74"/>
      <c r="Y384" s="74"/>
      <c r="Z384" s="74"/>
    </row>
    <row r="385" spans="1:26" ht="12.75" hidden="1" customHeight="1" outlineLevel="2">
      <c r="A385" s="3"/>
      <c r="B385" s="3"/>
      <c r="C385" s="3"/>
      <c r="D385" s="16"/>
      <c r="E385" s="1594"/>
      <c r="F385" s="61">
        <v>8</v>
      </c>
      <c r="G385" s="17"/>
      <c r="H385" s="114"/>
      <c r="I385" s="115"/>
      <c r="J385" s="115"/>
      <c r="K385" s="115"/>
      <c r="L385" s="115"/>
      <c r="M385" s="115"/>
      <c r="N385" s="115"/>
      <c r="O385" s="116"/>
      <c r="P385" s="18">
        <f>IF(A25stdlife="n/a","n/a",IF(P$3&gt;(A25stdlife+$F385),('RFM input'!$O$247*(1+vanilla8)^0.5)-SUM($O385:O385),('RFM input'!$O$247*(1+vanilla8)^0.5)/A25stdlife))</f>
        <v>0</v>
      </c>
      <c r="Q385" s="18">
        <f>IF(A25stdlife="n/a","n/a",IF(Q$3&gt;(A25stdlife+$F385),('RFM input'!$O$247*(1+vanilla8)^0.5)-SUM($O385:P385),('RFM input'!$O$247*(1+vanilla8)^0.5)/A25stdlife))</f>
        <v>0</v>
      </c>
      <c r="R385" s="18"/>
      <c r="S385" s="74"/>
      <c r="T385" s="74"/>
      <c r="U385" s="74"/>
      <c r="V385" s="74"/>
      <c r="W385" s="74"/>
      <c r="X385" s="74"/>
      <c r="Y385" s="74"/>
      <c r="Z385" s="74"/>
    </row>
    <row r="386" spans="1:26" ht="12.75" hidden="1" customHeight="1" outlineLevel="2">
      <c r="A386" s="3"/>
      <c r="B386" s="3"/>
      <c r="C386" s="3"/>
      <c r="D386" s="16"/>
      <c r="E386" s="1594"/>
      <c r="F386" s="61">
        <v>9</v>
      </c>
      <c r="G386" s="17"/>
      <c r="H386" s="114"/>
      <c r="I386" s="115"/>
      <c r="J386" s="115"/>
      <c r="K386" s="115"/>
      <c r="L386" s="115"/>
      <c r="M386" s="115"/>
      <c r="N386" s="115"/>
      <c r="O386" s="115"/>
      <c r="P386" s="116"/>
      <c r="Q386" s="18">
        <f>IF(A25stdlife="n/a","n/a",IF(Q$3&gt;(A25stdlife+$F386),('RFM input'!$P$247*(1+vanilla9)^0.5)-SUM($P386:P386),('RFM input'!$P$247*(1+vanilla9)^0.5)/A25stdlife))</f>
        <v>0</v>
      </c>
      <c r="R386" s="18"/>
      <c r="S386" s="74"/>
      <c r="T386" s="74"/>
      <c r="U386" s="74"/>
      <c r="V386" s="74"/>
      <c r="W386" s="74"/>
      <c r="X386" s="74"/>
      <c r="Y386" s="74"/>
      <c r="Z386" s="74"/>
    </row>
    <row r="387" spans="1:26" ht="12.75" hidden="1" customHeight="1" outlineLevel="2">
      <c r="A387" s="3"/>
      <c r="B387" s="3"/>
      <c r="C387" s="3"/>
      <c r="D387" s="16"/>
      <c r="E387" s="1594"/>
      <c r="F387" s="62">
        <v>10</v>
      </c>
      <c r="G387" s="17"/>
      <c r="H387" s="114"/>
      <c r="I387" s="115"/>
      <c r="J387" s="115"/>
      <c r="K387" s="115"/>
      <c r="L387" s="115"/>
      <c r="M387" s="115"/>
      <c r="N387" s="115"/>
      <c r="O387" s="115"/>
      <c r="P387" s="115"/>
      <c r="Q387" s="116"/>
      <c r="R387" s="18"/>
      <c r="S387" s="74"/>
      <c r="T387" s="74"/>
      <c r="U387" s="74"/>
      <c r="V387" s="74"/>
      <c r="W387" s="74"/>
      <c r="X387" s="74"/>
      <c r="Y387" s="74"/>
      <c r="Z387" s="74"/>
    </row>
    <row r="388" spans="1:26" ht="13.35" hidden="1" customHeight="1" outlineLevel="1">
      <c r="A388" s="3"/>
      <c r="B388" s="3"/>
      <c r="C388" s="3"/>
      <c r="D388" s="134">
        <f>Asset25</f>
        <v>0</v>
      </c>
      <c r="E388" s="3"/>
      <c r="F388" s="3"/>
      <c r="G388" s="1341"/>
      <c r="H388" s="1458">
        <f>IF(OR('RFM input'!$E$293='RFM input'!$G$292,'RFM input'!$E$293='RFM input'!$G$293),-INDEX('RFM input'!H$299:H$348,MATCH($D388,'RFM input'!$E$299:$E$348,0),1),-SUM(H376:H387))</f>
        <v>0</v>
      </c>
      <c r="I388" s="1458">
        <f>IF(OR('RFM input'!$E$293='RFM input'!$G$292,'RFM input'!$E$293='RFM input'!$G$293),-INDEX('RFM input'!I$299:I$348,MATCH($D388,'RFM input'!$E$299:$E$348,0),1),-SUM(I376:I387))</f>
        <v>0</v>
      </c>
      <c r="J388" s="1386">
        <f>IF(COUNT($H388:I388)&gt;='RFM input'!$V$7,
   0,
   IF(OR('RFM input'!$E$293='RFM input'!$G$292,'RFM input'!$E$293='RFM input'!$G$293),
      -INDEX('RFM input'!J$299:J$348,MATCH($D388,'RFM input'!$E$299:$E$348,0),1),
      -SUM(J376:J387)))</f>
        <v>0</v>
      </c>
      <c r="K388" s="1386">
        <f>IF(COUNT($H388:J388)&gt;='RFM input'!$V$7,
   0,
   IF(OR('RFM input'!$E$293='RFM input'!$G$292,'RFM input'!$E$293='RFM input'!$G$293),
      -INDEX('RFM input'!K$299:K$348,MATCH($D388,'RFM input'!$E$299:$E$348,0),1),
      -SUM(K376:K387)))</f>
        <v>0</v>
      </c>
      <c r="L388" s="1386">
        <f>IF(COUNT($H388:K388)&gt;='RFM input'!$V$7,
   0,
   IF(OR('RFM input'!$E$293='RFM input'!$G$292,'RFM input'!$E$293='RFM input'!$G$293),
      -INDEX('RFM input'!L$299:L$348,MATCH($D388,'RFM input'!$E$299:$E$348,0),1),
      -SUM(L376:L387)))</f>
        <v>0</v>
      </c>
      <c r="M388" s="1386">
        <f>IF(COUNT($H388:L388)&gt;='RFM input'!$V$7,
   0,
   IF(OR('RFM input'!$E$293='RFM input'!$G$292,'RFM input'!$E$293='RFM input'!$G$293),
      -INDEX('RFM input'!M$299:M$348,MATCH($D388,'RFM input'!$E$299:$E$348,0),1),
      -SUM(M376:M387)))</f>
        <v>0</v>
      </c>
      <c r="N388" s="1386">
        <f>IF(COUNT($H388:M388)&gt;='RFM input'!$V$7,
   0,
   IF(OR('RFM input'!$E$293='RFM input'!$G$292,'RFM input'!$E$293='RFM input'!$G$293),
      -INDEX('RFM input'!N$299:N$348,MATCH($D388,'RFM input'!$E$299:$E$348,0),1),
      -SUM(N376:N387)))</f>
        <v>0</v>
      </c>
      <c r="O388" s="1386">
        <f>IF(COUNT($H388:N388)&gt;='RFM input'!$V$7,
   0,
   IF(OR('RFM input'!$E$293='RFM input'!$G$292,'RFM input'!$E$293='RFM input'!$G$293),
      -INDEX('RFM input'!O$299:O$348,MATCH($D388,'RFM input'!$E$299:$E$348,0),1),
      -SUM(O376:O387)))</f>
        <v>0</v>
      </c>
      <c r="P388" s="1386">
        <f>IF(COUNT($H388:O388)&gt;='RFM input'!$V$7,
   0,
   IF(OR('RFM input'!$E$293='RFM input'!$G$292,'RFM input'!$E$293='RFM input'!$G$293),
      -INDEX('RFM input'!P$299:P$348,MATCH($D388,'RFM input'!$E$299:$E$348,0),1),
      -SUM(P376:P387)))</f>
        <v>0</v>
      </c>
      <c r="Q388" s="1386">
        <f>IF(COUNT($H388:P388)&gt;='RFM input'!$V$7,
   0,
   IF(OR('RFM input'!$E$293='RFM input'!$G$292,'RFM input'!$E$293='RFM input'!$G$293),
      -INDEX('RFM input'!Q$299:Q$348,MATCH($D388,'RFM input'!$E$299:$E$348,0),1),
      -SUM(Q376:Q387)))</f>
        <v>0</v>
      </c>
      <c r="R388" s="1390"/>
      <c r="S388" s="76"/>
      <c r="T388" s="76"/>
      <c r="U388" s="76"/>
      <c r="V388" s="76"/>
      <c r="W388" s="76"/>
      <c r="X388" s="76"/>
      <c r="Y388" s="76"/>
      <c r="Z388" s="76"/>
    </row>
    <row r="389" spans="1:26" ht="12.75" hidden="1" customHeight="1" outlineLevel="2">
      <c r="A389" s="3"/>
      <c r="B389" s="3"/>
      <c r="C389" s="135">
        <f>Asset26</f>
        <v>0</v>
      </c>
      <c r="D389" s="100"/>
      <c r="E389" s="20" t="s">
        <v>23</v>
      </c>
      <c r="F389" s="19"/>
      <c r="G389" s="1383"/>
      <c r="H389" s="1380">
        <f>IF(H$3&gt;A26remlife,A26value-SUM($G389:G389),IF(A26remlife="N/A","n/a",A26value/A26remlife))</f>
        <v>0</v>
      </c>
      <c r="I389" s="1380">
        <f>IF(I$3&gt;A26remlife,A26value-SUM($G389:H389),IF(A26remlife="N/A","n/a",A26value/A26remlife))</f>
        <v>0</v>
      </c>
      <c r="J389" s="1380">
        <f>IF(J$3&gt;A26remlife,A26value-SUM($G389:I389),IF(A26remlife="N/A","n/a",A26value/A26remlife))</f>
        <v>0</v>
      </c>
      <c r="K389" s="1380">
        <f>IF(K$3&gt;A26remlife,A26value-SUM($G389:J389),IF(A26remlife="N/A","n/a",A26value/A26remlife))</f>
        <v>0</v>
      </c>
      <c r="L389" s="1380">
        <f>IF(L$3&gt;A26remlife,A26value-SUM($G389:K389),IF(A26remlife="N/A","n/a",A26value/A26remlife))</f>
        <v>0</v>
      </c>
      <c r="M389" s="1380">
        <f>IF(M$3&gt;A26remlife,A26value-SUM($G389:L389),IF(A26remlife="N/A","n/a",A26value/A26remlife))</f>
        <v>0</v>
      </c>
      <c r="N389" s="1380">
        <f>IF(N$3&gt;A26remlife,A26value-SUM($G389:M389),IF(A26remlife="N/A","n/a",A26value/A26remlife))</f>
        <v>0</v>
      </c>
      <c r="O389" s="1380">
        <f>IF(O$3&gt;A26remlife,A26value-SUM($G389:N389),IF(A26remlife="N/A","n/a",A26value/A26remlife))</f>
        <v>0</v>
      </c>
      <c r="P389" s="1380">
        <f>IF(P$3&gt;A26remlife,A26value-SUM($G389:O389),IF(A26remlife="N/A","n/a",A26value/A26remlife))</f>
        <v>0</v>
      </c>
      <c r="Q389" s="1380">
        <f>IF(Q$3&gt;A26remlife,A26value-SUM($G389:P389),IF(A26remlife="N/A","n/a",A26value/A26remlife))</f>
        <v>0</v>
      </c>
      <c r="R389" s="1380"/>
      <c r="S389" s="74"/>
      <c r="T389" s="74"/>
      <c r="U389" s="74"/>
      <c r="V389" s="74"/>
      <c r="W389" s="74"/>
      <c r="X389" s="74"/>
      <c r="Y389" s="74"/>
      <c r="Z389" s="74"/>
    </row>
    <row r="390" spans="1:26" ht="12.75" hidden="1" customHeight="1" outlineLevel="2">
      <c r="A390" s="3"/>
      <c r="B390" s="3"/>
      <c r="C390" s="3"/>
      <c r="D390" s="16"/>
      <c r="E390" s="1593" t="s">
        <v>43</v>
      </c>
      <c r="F390" s="61"/>
      <c r="G390" s="1341"/>
      <c r="H390" s="18"/>
      <c r="I390" s="18"/>
      <c r="J390" s="18"/>
      <c r="K390" s="18"/>
      <c r="L390" s="18"/>
      <c r="M390" s="1384"/>
      <c r="N390" s="1385"/>
      <c r="O390" s="18"/>
      <c r="P390" s="18"/>
      <c r="Q390" s="18"/>
      <c r="R390" s="18"/>
      <c r="S390" s="74"/>
      <c r="T390" s="74"/>
      <c r="U390" s="74"/>
      <c r="V390" s="74"/>
      <c r="W390" s="74"/>
      <c r="X390" s="74"/>
      <c r="Y390" s="74"/>
      <c r="Z390" s="74"/>
    </row>
    <row r="391" spans="1:26" ht="12.75" hidden="1" customHeight="1" outlineLevel="2">
      <c r="A391" s="3"/>
      <c r="B391" s="3"/>
      <c r="C391" s="3"/>
      <c r="D391" s="16"/>
      <c r="E391" s="1594"/>
      <c r="F391" s="61">
        <v>1</v>
      </c>
      <c r="G391" s="1341"/>
      <c r="H391" s="1381"/>
      <c r="I391" s="18">
        <f>IF(A26stdlife="n/a","n/a",IF(I$3&gt;(A26stdlife+$F391),('RFM input'!$H$248*(1+vanilla1)^0.5)-SUM($H391:H391),('RFM input'!$H$248*(1+vanilla1)^0.5)/A26stdlife))</f>
        <v>0</v>
      </c>
      <c r="J391" s="18">
        <f>IF(A26stdlife="n/a","n/a",IF(J$3&gt;(A26stdlife+$F391),('RFM input'!$H$248*(1+vanilla1)^0.5)-SUM($H391:I391),('RFM input'!$H$248*(1+vanilla1)^0.5)/A26stdlife))</f>
        <v>0</v>
      </c>
      <c r="K391" s="18">
        <f>IF(A26stdlife="n/a","n/a",IF(K$3&gt;(A26stdlife+$F391),('RFM input'!$H$248*(1+vanilla1)^0.5)-SUM($H391:J391),('RFM input'!$H$248*(1+vanilla1)^0.5)/A26stdlife))</f>
        <v>0</v>
      </c>
      <c r="L391" s="18">
        <f>IF(A26stdlife="n/a","n/a",IF(L$3&gt;(A26stdlife+$F391),('RFM input'!$H$248*(1+vanilla1)^0.5)-SUM($H391:K391),('RFM input'!$H$248*(1+vanilla1)^0.5)/A26stdlife))</f>
        <v>0</v>
      </c>
      <c r="M391" s="18">
        <f>IF(A26stdlife="n/a","n/a",IF(M$3&gt;(A26stdlife+$F391),('RFM input'!$H$248*(1+vanilla1)^0.5)-SUM($H391:L391),('RFM input'!$H$248*(1+vanilla1)^0.5)/A26stdlife))</f>
        <v>0</v>
      </c>
      <c r="N391" s="18">
        <f>IF(A26stdlife="n/a","n/a",IF(N$3&gt;(A26stdlife+$F391),('RFM input'!$H$248*(1+vanilla1)^0.5)-SUM($H391:M391),('RFM input'!$H$248*(1+vanilla1)^0.5)/A26stdlife))</f>
        <v>0</v>
      </c>
      <c r="O391" s="18">
        <f>IF(A26stdlife="n/a","n/a",IF(O$3&gt;(A26stdlife+$F391),('RFM input'!$H$248*(1+vanilla1)^0.5)-SUM($H391:N391),('RFM input'!$H$248*(1+vanilla1)^0.5)/A26stdlife))</f>
        <v>0</v>
      </c>
      <c r="P391" s="18">
        <f>IF(A26stdlife="n/a","n/a",IF(P$3&gt;(A26stdlife+$F391),('RFM input'!$H$248*(1+vanilla1)^0.5)-SUM($H391:O391),('RFM input'!$H$248*(1+vanilla1)^0.5)/A26stdlife))</f>
        <v>0</v>
      </c>
      <c r="Q391" s="18">
        <f>IF(A26stdlife="n/a","n/a",IF(Q$3&gt;(A26stdlife+$F391),('RFM input'!$H$248*(1+vanilla1)^0.5)-SUM($H391:P391),('RFM input'!$H$248*(1+vanilla1)^0.5)/A26stdlife))</f>
        <v>0</v>
      </c>
      <c r="R391" s="18"/>
      <c r="S391" s="74"/>
      <c r="T391" s="74"/>
      <c r="U391" s="74"/>
      <c r="V391" s="74"/>
      <c r="W391" s="74"/>
      <c r="X391" s="74"/>
      <c r="Y391" s="74"/>
      <c r="Z391" s="74"/>
    </row>
    <row r="392" spans="1:26" ht="12.75" hidden="1" customHeight="1" outlineLevel="2">
      <c r="A392" s="3"/>
      <c r="B392" s="3"/>
      <c r="C392" s="3"/>
      <c r="D392" s="16"/>
      <c r="E392" s="1594"/>
      <c r="F392" s="61">
        <v>2</v>
      </c>
      <c r="G392" s="1341"/>
      <c r="H392" s="114"/>
      <c r="I392" s="116"/>
      <c r="J392" s="18">
        <f>IF(A26stdlife="n/a","n/a",IF(J$3&gt;(A26stdlife+$F392),('RFM input'!$I$248*(1+vanilla2)^0.5)-SUM($I392:I392),('RFM input'!$I$248*(1+vanilla2)^0.5)/A26stdlife))</f>
        <v>0</v>
      </c>
      <c r="K392" s="18">
        <f>IF(A26stdlife="n/a","n/a",IF(K$3&gt;(A26stdlife+$F392),('RFM input'!$I$248*(1+vanilla2)^0.5)-SUM($I392:J392),('RFM input'!$I$248*(1+vanilla2)^0.5)/A26stdlife))</f>
        <v>0</v>
      </c>
      <c r="L392" s="18">
        <f>IF(A26stdlife="n/a","n/a",IF(L$3&gt;(A26stdlife+$F392),('RFM input'!$I$248*(1+vanilla2)^0.5)-SUM($I392:K392),('RFM input'!$I$248*(1+vanilla2)^0.5)/A26stdlife))</f>
        <v>0</v>
      </c>
      <c r="M392" s="18">
        <f>IF(A26stdlife="n/a","n/a",IF(M$3&gt;(A26stdlife+$F392),('RFM input'!$I$248*(1+vanilla2)^0.5)-SUM($I392:L392),('RFM input'!$I$248*(1+vanilla2)^0.5)/A26stdlife))</f>
        <v>0</v>
      </c>
      <c r="N392" s="18">
        <f>IF(A26stdlife="n/a","n/a",IF(N$3&gt;(A26stdlife+$F392),('RFM input'!$I$248*(1+vanilla2)^0.5)-SUM($I392:M392),('RFM input'!$I$248*(1+vanilla2)^0.5)/A26stdlife))</f>
        <v>0</v>
      </c>
      <c r="O392" s="18">
        <f>IF(A26stdlife="n/a","n/a",IF(O$3&gt;(A26stdlife+$F392),('RFM input'!$I$248*(1+vanilla2)^0.5)-SUM($I392:N392),('RFM input'!$I$248*(1+vanilla2)^0.5)/A26stdlife))</f>
        <v>0</v>
      </c>
      <c r="P392" s="18">
        <f>IF(A26stdlife="n/a","n/a",IF(P$3&gt;(A26stdlife+$F392),('RFM input'!$I$248*(1+vanilla2)^0.5)-SUM($I392:O392),('RFM input'!$I$248*(1+vanilla2)^0.5)/A26stdlife))</f>
        <v>0</v>
      </c>
      <c r="Q392" s="18">
        <f>IF(A26stdlife="n/a","n/a",IF(Q$3&gt;(A26stdlife+$F392),('RFM input'!$I$248*(1+vanilla2)^0.5)-SUM($I392:P392),('RFM input'!$I$248*(1+vanilla2)^0.5)/A26stdlife))</f>
        <v>0</v>
      </c>
      <c r="R392" s="18"/>
      <c r="S392" s="74"/>
      <c r="T392" s="74"/>
      <c r="U392" s="74"/>
      <c r="V392" s="74"/>
      <c r="W392" s="74"/>
      <c r="X392" s="74"/>
      <c r="Y392" s="74"/>
      <c r="Z392" s="74"/>
    </row>
    <row r="393" spans="1:26" ht="12.75" hidden="1" customHeight="1" outlineLevel="2">
      <c r="A393" s="3"/>
      <c r="B393" s="3"/>
      <c r="C393" s="3"/>
      <c r="D393" s="16"/>
      <c r="E393" s="1594"/>
      <c r="F393" s="61">
        <v>3</v>
      </c>
      <c r="G393" s="1341"/>
      <c r="H393" s="114"/>
      <c r="I393" s="115"/>
      <c r="J393" s="116"/>
      <c r="K393" s="18">
        <f>IF(A26stdlife="n/a","n/a",IF(K$3&gt;(A26stdlife+$F393),('RFM input'!$J$248*(1+vanilla3)^0.5)-SUM($J393:J393),('RFM input'!$J$248*(1+vanilla3)^0.5)/A26stdlife))</f>
        <v>0</v>
      </c>
      <c r="L393" s="18">
        <f>IF(A26stdlife="n/a","n/a",IF(L$3&gt;(A26stdlife+$F393),('RFM input'!$J$248*(1+vanilla3)^0.5)-SUM($J393:K393),('RFM input'!$J$248*(1+vanilla3)^0.5)/A26stdlife))</f>
        <v>0</v>
      </c>
      <c r="M393" s="18">
        <f>IF(A26stdlife="n/a","n/a",IF(M$3&gt;(A26stdlife+$F393),('RFM input'!$J$248*(1+vanilla3)^0.5)-SUM($J393:L393),('RFM input'!$J$248*(1+vanilla3)^0.5)/A26stdlife))</f>
        <v>0</v>
      </c>
      <c r="N393" s="18">
        <f>IF(A26stdlife="n/a","n/a",IF(N$3&gt;(A26stdlife+$F393),('RFM input'!$J$248*(1+vanilla3)^0.5)-SUM($J393:M393),('RFM input'!$J$248*(1+vanilla3)^0.5)/A26stdlife))</f>
        <v>0</v>
      </c>
      <c r="O393" s="18">
        <f>IF(A26stdlife="n/a","n/a",IF(O$3&gt;(A26stdlife+$F393),('RFM input'!$J$248*(1+vanilla3)^0.5)-SUM($J393:N393),('RFM input'!$J$248*(1+vanilla3)^0.5)/A26stdlife))</f>
        <v>0</v>
      </c>
      <c r="P393" s="18">
        <f>IF(A26stdlife="n/a","n/a",IF(P$3&gt;(A26stdlife+$F393),('RFM input'!$J$248*(1+vanilla3)^0.5)-SUM($J393:O393),('RFM input'!$J$248*(1+vanilla3)^0.5)/A26stdlife))</f>
        <v>0</v>
      </c>
      <c r="Q393" s="18">
        <f>IF(A26stdlife="n/a","n/a",IF(Q$3&gt;(A26stdlife+$F393),('RFM input'!$J$248*(1+vanilla3)^0.5)-SUM($J393:P393),('RFM input'!$J$248*(1+vanilla3)^0.5)/A26stdlife))</f>
        <v>0</v>
      </c>
      <c r="R393" s="18"/>
      <c r="S393" s="74"/>
      <c r="T393" s="74"/>
      <c r="U393" s="74"/>
      <c r="V393" s="74"/>
      <c r="W393" s="74"/>
      <c r="X393" s="74"/>
      <c r="Y393" s="74"/>
      <c r="Z393" s="74"/>
    </row>
    <row r="394" spans="1:26" ht="12.75" hidden="1" customHeight="1" outlineLevel="2">
      <c r="A394" s="3"/>
      <c r="B394" s="3"/>
      <c r="C394" s="3"/>
      <c r="D394" s="16"/>
      <c r="E394" s="1594"/>
      <c r="F394" s="61">
        <v>4</v>
      </c>
      <c r="G394" s="1341"/>
      <c r="H394" s="114"/>
      <c r="I394" s="115"/>
      <c r="J394" s="115"/>
      <c r="K394" s="116"/>
      <c r="L394" s="18">
        <f>IF(A26stdlife="n/a","n/a",IF(L$3&gt;(A26stdlife+$F394),('RFM input'!$K$248*(1+vanilla4)^0.5)-SUM($K394:K394),('RFM input'!$K$248*(1+vanilla4)^0.5)/A26stdlife))</f>
        <v>0</v>
      </c>
      <c r="M394" s="18">
        <f>IF(A26stdlife="n/a","n/a",IF(M$3&gt;(A26stdlife+$F394),('RFM input'!$K$248*(1+vanilla4)^0.5)-SUM($K394:L394),('RFM input'!$K$248*(1+vanilla4)^0.5)/A26stdlife))</f>
        <v>0</v>
      </c>
      <c r="N394" s="18">
        <f>IF(A26stdlife="n/a","n/a",IF(N$3&gt;(A26stdlife+$F394),('RFM input'!$K$248*(1+vanilla4)^0.5)-SUM($K394:M394),('RFM input'!$K$248*(1+vanilla4)^0.5)/A26stdlife))</f>
        <v>0</v>
      </c>
      <c r="O394" s="18">
        <f>IF(A26stdlife="n/a","n/a",IF(O$3&gt;(A26stdlife+$F394),('RFM input'!$K$248*(1+vanilla4)^0.5)-SUM($K394:N394),('RFM input'!$K$248*(1+vanilla4)^0.5)/A26stdlife))</f>
        <v>0</v>
      </c>
      <c r="P394" s="18">
        <f>IF(A26stdlife="n/a","n/a",IF(P$3&gt;(A26stdlife+$F394),('RFM input'!$K$248*(1+vanilla4)^0.5)-SUM($K394:O394),('RFM input'!$K$248*(1+vanilla4)^0.5)/A26stdlife))</f>
        <v>0</v>
      </c>
      <c r="Q394" s="18">
        <f>IF(A26stdlife="n/a","n/a",IF(Q$3&gt;(A26stdlife+$F394),('RFM input'!$K$248*(1+vanilla4)^0.5)-SUM($K394:P394),('RFM input'!$K$248*(1+vanilla4)^0.5)/A26stdlife))</f>
        <v>0</v>
      </c>
      <c r="R394" s="18"/>
      <c r="S394" s="74"/>
      <c r="T394" s="74"/>
      <c r="U394" s="74"/>
      <c r="V394" s="74"/>
      <c r="W394" s="74"/>
      <c r="X394" s="74"/>
      <c r="Y394" s="74"/>
      <c r="Z394" s="74"/>
    </row>
    <row r="395" spans="1:26" ht="12.75" hidden="1" customHeight="1" outlineLevel="2">
      <c r="A395" s="3"/>
      <c r="B395" s="3"/>
      <c r="C395" s="3"/>
      <c r="D395" s="16"/>
      <c r="E395" s="1594"/>
      <c r="F395" s="61">
        <v>5</v>
      </c>
      <c r="G395" s="17"/>
      <c r="H395" s="114"/>
      <c r="I395" s="115"/>
      <c r="J395" s="115"/>
      <c r="K395" s="115"/>
      <c r="L395" s="116"/>
      <c r="M395" s="18">
        <f>IF(A26stdlife="n/a","n/a",IF(M$3&gt;(A26stdlife+$F395),('RFM input'!$L$248*(1+vanilla5)^0.5)-SUM($L395:L395),('RFM input'!$L$248*(1+vanilla5)^0.5)/A26stdlife))</f>
        <v>0</v>
      </c>
      <c r="N395" s="18">
        <f>IF(A26stdlife="n/a","n/a",IF(N$3&gt;(A26stdlife+$F395),('RFM input'!$L$248*(1+vanilla5)^0.5)-SUM($L395:M395),('RFM input'!$L$248*(1+vanilla5)^0.5)/A26stdlife))</f>
        <v>0</v>
      </c>
      <c r="O395" s="18">
        <f>IF(A26stdlife="n/a","n/a",IF(O$3&gt;(A26stdlife+$F395),('RFM input'!$L$248*(1+vanilla5)^0.5)-SUM($L395:N395),('RFM input'!$L$248*(1+vanilla5)^0.5)/A26stdlife))</f>
        <v>0</v>
      </c>
      <c r="P395" s="18">
        <f>IF(A26stdlife="n/a","n/a",IF(P$3&gt;(A26stdlife+$F395),('RFM input'!$L$248*(1+vanilla5)^0.5)-SUM($L395:O395),('RFM input'!$L$248*(1+vanilla5)^0.5)/A26stdlife))</f>
        <v>0</v>
      </c>
      <c r="Q395" s="18">
        <f>IF(A26stdlife="n/a","n/a",IF(Q$3&gt;(A26stdlife+$F395),('RFM input'!$L$248*(1+vanilla5)^0.5)-SUM($L395:P395),('RFM input'!$L$248*(1+vanilla5)^0.5)/A26stdlife))</f>
        <v>0</v>
      </c>
      <c r="R395" s="18"/>
      <c r="S395" s="74"/>
      <c r="T395" s="74"/>
      <c r="U395" s="74"/>
      <c r="V395" s="74"/>
      <c r="W395" s="74"/>
      <c r="X395" s="74"/>
      <c r="Y395" s="74"/>
      <c r="Z395" s="74"/>
    </row>
    <row r="396" spans="1:26" ht="12.75" hidden="1" customHeight="1" outlineLevel="2">
      <c r="A396" s="3"/>
      <c r="B396" s="3"/>
      <c r="C396" s="3"/>
      <c r="D396" s="16"/>
      <c r="E396" s="1594"/>
      <c r="F396" s="61">
        <v>6</v>
      </c>
      <c r="G396" s="17"/>
      <c r="H396" s="114"/>
      <c r="I396" s="115"/>
      <c r="J396" s="115"/>
      <c r="K396" s="115"/>
      <c r="L396" s="115"/>
      <c r="M396" s="116"/>
      <c r="N396" s="18">
        <f>IF(A26stdlife="n/a","n/a",IF(N$3&gt;(A26stdlife+$F396),('RFM input'!$M$248*(1+vanilla6)^0.5)-SUM($M396:M396),('RFM input'!$M$248*(1+vanilla6)^0.5)/A26stdlife))</f>
        <v>0</v>
      </c>
      <c r="O396" s="18">
        <f>IF(A26stdlife="n/a","n/a",IF(O$3&gt;(A26stdlife+$F396),('RFM input'!$M$248*(1+vanilla6)^0.5)-SUM($M396:N396),('RFM input'!$M$248*(1+vanilla6)^0.5)/A26stdlife))</f>
        <v>0</v>
      </c>
      <c r="P396" s="18">
        <f>IF(A26stdlife="n/a","n/a",IF(P$3&gt;(A26stdlife+$F396),('RFM input'!$M$248*(1+vanilla6)^0.5)-SUM($M396:O396),('RFM input'!$M$248*(1+vanilla6)^0.5)/A26stdlife))</f>
        <v>0</v>
      </c>
      <c r="Q396" s="18">
        <f>IF(A26stdlife="n/a","n/a",IF(Q$3&gt;(A26stdlife+$F396),('RFM input'!$M$248*(1+vanilla6)^0.5)-SUM($M396:P396),('RFM input'!$M$248*(1+vanilla6)^0.5)/A26stdlife))</f>
        <v>0</v>
      </c>
      <c r="R396" s="18"/>
      <c r="S396" s="74"/>
      <c r="T396" s="74"/>
      <c r="U396" s="74"/>
      <c r="V396" s="74"/>
      <c r="W396" s="74"/>
      <c r="X396" s="74"/>
      <c r="Y396" s="74"/>
      <c r="Z396" s="74"/>
    </row>
    <row r="397" spans="1:26" ht="12.75" hidden="1" customHeight="1" outlineLevel="2">
      <c r="A397" s="3"/>
      <c r="B397" s="3"/>
      <c r="C397" s="3"/>
      <c r="D397" s="16"/>
      <c r="E397" s="1594"/>
      <c r="F397" s="61">
        <v>7</v>
      </c>
      <c r="G397" s="17"/>
      <c r="H397" s="114"/>
      <c r="I397" s="115"/>
      <c r="J397" s="115"/>
      <c r="K397" s="115"/>
      <c r="L397" s="115"/>
      <c r="M397" s="115"/>
      <c r="N397" s="116"/>
      <c r="O397" s="18">
        <f>IF(A26stdlife="n/a","n/a",IF(O$3&gt;(A26stdlife+$F397),('RFM input'!M$248*(1+vanilla7)^0.5)-SUM($N397:N397),('RFM input'!$N$248*(1+vanilla7)^0.5)/A26stdlife))</f>
        <v>0</v>
      </c>
      <c r="P397" s="18">
        <f>IF(A26stdlife="n/a","n/a",IF(P$3&gt;(A26stdlife+$F397),('RFM input'!N$248*(1+vanilla7)^0.5)-SUM($N397:O397),('RFM input'!$N$248*(1+vanilla7)^0.5)/A26stdlife))</f>
        <v>0</v>
      </c>
      <c r="Q397" s="18">
        <f>IF(A26stdlife="n/a","n/a",IF(Q$3&gt;(A26stdlife+$F397),('RFM input'!O$248*(1+vanilla7)^0.5)-SUM($N397:P397),('RFM input'!$N$248*(1+vanilla7)^0.5)/A26stdlife))</f>
        <v>0</v>
      </c>
      <c r="R397" s="18"/>
      <c r="S397" s="74"/>
      <c r="T397" s="74"/>
      <c r="U397" s="74"/>
      <c r="V397" s="74"/>
      <c r="W397" s="74"/>
      <c r="X397" s="74"/>
      <c r="Y397" s="74"/>
      <c r="Z397" s="74"/>
    </row>
    <row r="398" spans="1:26" ht="12.75" hidden="1" customHeight="1" outlineLevel="2">
      <c r="A398" s="3"/>
      <c r="B398" s="3"/>
      <c r="C398" s="3"/>
      <c r="D398" s="16"/>
      <c r="E398" s="1594"/>
      <c r="F398" s="61">
        <v>8</v>
      </c>
      <c r="G398" s="17"/>
      <c r="H398" s="114"/>
      <c r="I398" s="115"/>
      <c r="J398" s="115"/>
      <c r="K398" s="115"/>
      <c r="L398" s="115"/>
      <c r="M398" s="115"/>
      <c r="N398" s="115"/>
      <c r="O398" s="116"/>
      <c r="P398" s="18">
        <f>IF(A26stdlife="n/a","n/a",IF(P$3&gt;(A26stdlife+$F398),('RFM input'!$O$248*(1+vanilla8)^0.5)-SUM($O398:O398),('RFM input'!$O$248*(1+vanilla8)^0.5)/A26stdlife))</f>
        <v>0</v>
      </c>
      <c r="Q398" s="18">
        <f>IF(A26stdlife="n/a","n/a",IF(Q$3&gt;(A26stdlife+$F398),('RFM input'!$O$248*(1+vanilla8)^0.5)-SUM($O398:P398),('RFM input'!$O$248*(1+vanilla8)^0.5)/A26stdlife))</f>
        <v>0</v>
      </c>
      <c r="R398" s="18"/>
      <c r="S398" s="74"/>
      <c r="T398" s="74"/>
      <c r="U398" s="74"/>
      <c r="V398" s="74"/>
      <c r="W398" s="74"/>
      <c r="X398" s="74"/>
      <c r="Y398" s="74"/>
      <c r="Z398" s="74"/>
    </row>
    <row r="399" spans="1:26" ht="12.75" hidden="1" customHeight="1" outlineLevel="2">
      <c r="A399" s="3"/>
      <c r="B399" s="3"/>
      <c r="C399" s="3"/>
      <c r="D399" s="16"/>
      <c r="E399" s="1594"/>
      <c r="F399" s="61">
        <v>9</v>
      </c>
      <c r="G399" s="17"/>
      <c r="H399" s="114"/>
      <c r="I399" s="115"/>
      <c r="J399" s="115"/>
      <c r="K399" s="115"/>
      <c r="L399" s="115"/>
      <c r="M399" s="115"/>
      <c r="N399" s="115"/>
      <c r="O399" s="115"/>
      <c r="P399" s="116"/>
      <c r="Q399" s="18">
        <f>IF(A26stdlife="n/a","n/a",IF(Q$3&gt;(A26stdlife+$F399),('RFM input'!$P$248*(1+vanilla9)^0.5)-SUM($P399:P399),('RFM input'!$P$248*(1+vanilla9)^0.5)/A26stdlife))</f>
        <v>0</v>
      </c>
      <c r="R399" s="18"/>
      <c r="S399" s="74"/>
      <c r="T399" s="74"/>
      <c r="U399" s="74"/>
      <c r="V399" s="74"/>
      <c r="W399" s="74"/>
      <c r="X399" s="74"/>
      <c r="Y399" s="74"/>
      <c r="Z399" s="74"/>
    </row>
    <row r="400" spans="1:26" ht="12.75" hidden="1" customHeight="1" outlineLevel="2">
      <c r="A400" s="3"/>
      <c r="B400" s="3"/>
      <c r="C400" s="3"/>
      <c r="D400" s="16"/>
      <c r="E400" s="1594"/>
      <c r="F400" s="62">
        <v>10</v>
      </c>
      <c r="G400" s="17"/>
      <c r="H400" s="114"/>
      <c r="I400" s="115"/>
      <c r="J400" s="115"/>
      <c r="K400" s="115"/>
      <c r="L400" s="115"/>
      <c r="M400" s="115"/>
      <c r="N400" s="115"/>
      <c r="O400" s="115"/>
      <c r="P400" s="115"/>
      <c r="Q400" s="116"/>
      <c r="R400" s="18"/>
      <c r="S400" s="74"/>
      <c r="T400" s="74"/>
      <c r="U400" s="74"/>
      <c r="V400" s="74"/>
      <c r="W400" s="74"/>
      <c r="X400" s="74"/>
      <c r="Y400" s="74"/>
      <c r="Z400" s="74"/>
    </row>
    <row r="401" spans="1:26" ht="13.35" hidden="1" customHeight="1" outlineLevel="1">
      <c r="A401" s="3"/>
      <c r="B401" s="3"/>
      <c r="C401" s="3"/>
      <c r="D401" s="134">
        <f>Asset26</f>
        <v>0</v>
      </c>
      <c r="E401" s="3"/>
      <c r="F401" s="3"/>
      <c r="G401" s="1341"/>
      <c r="H401" s="1458">
        <f>IF(OR('RFM input'!$E$293='RFM input'!$G$292,'RFM input'!$E$293='RFM input'!$G$293),-INDEX('RFM input'!H$299:H$348,MATCH($D401,'RFM input'!$E$299:$E$348,0),1),-SUM(H389:H400))</f>
        <v>0</v>
      </c>
      <c r="I401" s="1458">
        <f>IF(OR('RFM input'!$E$293='RFM input'!$G$292,'RFM input'!$E$293='RFM input'!$G$293),-INDEX('RFM input'!I$299:I$348,MATCH($D401,'RFM input'!$E$299:$E$348,0),1),-SUM(I389:I400))</f>
        <v>0</v>
      </c>
      <c r="J401" s="1386">
        <f>IF(COUNT($H401:I401)&gt;='RFM input'!$V$7,
   0,
   IF(OR('RFM input'!$E$293='RFM input'!$G$292,'RFM input'!$E$293='RFM input'!$G$293),
      -INDEX('RFM input'!J$299:J$348,MATCH($D401,'RFM input'!$E$299:$E$348,0),1),
      -SUM(J389:J400)))</f>
        <v>0</v>
      </c>
      <c r="K401" s="1386">
        <f>IF(COUNT($H401:J401)&gt;='RFM input'!$V$7,
   0,
   IF(OR('RFM input'!$E$293='RFM input'!$G$292,'RFM input'!$E$293='RFM input'!$G$293),
      -INDEX('RFM input'!K$299:K$348,MATCH($D401,'RFM input'!$E$299:$E$348,0),1),
      -SUM(K389:K400)))</f>
        <v>0</v>
      </c>
      <c r="L401" s="1386">
        <f>IF(COUNT($H401:K401)&gt;='RFM input'!$V$7,
   0,
   IF(OR('RFM input'!$E$293='RFM input'!$G$292,'RFM input'!$E$293='RFM input'!$G$293),
      -INDEX('RFM input'!L$299:L$348,MATCH($D401,'RFM input'!$E$299:$E$348,0),1),
      -SUM(L389:L400)))</f>
        <v>0</v>
      </c>
      <c r="M401" s="1386">
        <f>IF(COUNT($H401:L401)&gt;='RFM input'!$V$7,
   0,
   IF(OR('RFM input'!$E$293='RFM input'!$G$292,'RFM input'!$E$293='RFM input'!$G$293),
      -INDEX('RFM input'!M$299:M$348,MATCH($D401,'RFM input'!$E$299:$E$348,0),1),
      -SUM(M389:M400)))</f>
        <v>0</v>
      </c>
      <c r="N401" s="1386">
        <f>IF(COUNT($H401:M401)&gt;='RFM input'!$V$7,
   0,
   IF(OR('RFM input'!$E$293='RFM input'!$G$292,'RFM input'!$E$293='RFM input'!$G$293),
      -INDEX('RFM input'!N$299:N$348,MATCH($D401,'RFM input'!$E$299:$E$348,0),1),
      -SUM(N389:N400)))</f>
        <v>0</v>
      </c>
      <c r="O401" s="1386">
        <f>IF(COUNT($H401:N401)&gt;='RFM input'!$V$7,
   0,
   IF(OR('RFM input'!$E$293='RFM input'!$G$292,'RFM input'!$E$293='RFM input'!$G$293),
      -INDEX('RFM input'!O$299:O$348,MATCH($D401,'RFM input'!$E$299:$E$348,0),1),
      -SUM(O389:O400)))</f>
        <v>0</v>
      </c>
      <c r="P401" s="1386">
        <f>IF(COUNT($H401:O401)&gt;='RFM input'!$V$7,
   0,
   IF(OR('RFM input'!$E$293='RFM input'!$G$292,'RFM input'!$E$293='RFM input'!$G$293),
      -INDEX('RFM input'!P$299:P$348,MATCH($D401,'RFM input'!$E$299:$E$348,0),1),
      -SUM(P389:P400)))</f>
        <v>0</v>
      </c>
      <c r="Q401" s="1386">
        <f>IF(COUNT($H401:P401)&gt;='RFM input'!$V$7,
   0,
   IF(OR('RFM input'!$E$293='RFM input'!$G$292,'RFM input'!$E$293='RFM input'!$G$293),
      -INDEX('RFM input'!Q$299:Q$348,MATCH($D401,'RFM input'!$E$299:$E$348,0),1),
      -SUM(Q389:Q400)))</f>
        <v>0</v>
      </c>
      <c r="R401" s="1382"/>
      <c r="S401" s="76"/>
      <c r="T401" s="76"/>
      <c r="U401" s="76"/>
      <c r="V401" s="76"/>
      <c r="W401" s="76"/>
      <c r="X401" s="76"/>
      <c r="Y401" s="76"/>
      <c r="Z401" s="76"/>
    </row>
    <row r="402" spans="1:26" ht="12.75" hidden="1" customHeight="1" outlineLevel="2">
      <c r="A402" s="3"/>
      <c r="B402" s="3"/>
      <c r="C402" s="135">
        <f>Asset27</f>
        <v>0</v>
      </c>
      <c r="D402" s="100"/>
      <c r="E402" s="20" t="s">
        <v>23</v>
      </c>
      <c r="F402" s="19"/>
      <c r="G402" s="1383"/>
      <c r="H402" s="1380">
        <f>IF(H$3&gt;A27remlife,A27value-SUM($G402:G402),IF(A27remlife="N/A","n/a",A27value/A27remlife))</f>
        <v>0</v>
      </c>
      <c r="I402" s="1380">
        <f>IF(I$3&gt;A27remlife,A27value-SUM($G402:H402),IF(A27remlife="N/A","n/a",A27value/A27remlife))</f>
        <v>0</v>
      </c>
      <c r="J402" s="1380">
        <f>IF(J$3&gt;A27remlife,A27value-SUM($G402:I402),IF(A27remlife="N/A","n/a",A27value/A27remlife))</f>
        <v>0</v>
      </c>
      <c r="K402" s="1380">
        <f>IF(K$3&gt;A27remlife,A27value-SUM($G402:J402),IF(A27remlife="N/A","n/a",A27value/A27remlife))</f>
        <v>0</v>
      </c>
      <c r="L402" s="1380">
        <f>IF(L$3&gt;A27remlife,A27value-SUM($G402:K402),IF(A27remlife="N/A","n/a",A27value/A27remlife))</f>
        <v>0</v>
      </c>
      <c r="M402" s="1380">
        <f>IF(M$3&gt;A27remlife,A27value-SUM($G402:L402),IF(A27remlife="N/A","n/a",A27value/A27remlife))</f>
        <v>0</v>
      </c>
      <c r="N402" s="1380">
        <f>IF(N$3&gt;A27remlife,A27value-SUM($G402:M402),IF(A27remlife="N/A","n/a",A27value/A27remlife))</f>
        <v>0</v>
      </c>
      <c r="O402" s="1380">
        <f>IF(O$3&gt;A27remlife,A27value-SUM($G402:N402),IF(A27remlife="N/A","n/a",A27value/A27remlife))</f>
        <v>0</v>
      </c>
      <c r="P402" s="1380">
        <f>IF(P$3&gt;A27remlife,A27value-SUM($G402:O402),IF(A27remlife="N/A","n/a",A27value/A27remlife))</f>
        <v>0</v>
      </c>
      <c r="Q402" s="1380">
        <f>IF(Q$3&gt;A27remlife,A27value-SUM($G402:P402),IF(A27remlife="N/A","n/a",A27value/A27remlife))</f>
        <v>0</v>
      </c>
      <c r="R402" s="21"/>
      <c r="S402" s="74"/>
      <c r="T402" s="74"/>
      <c r="U402" s="74"/>
      <c r="V402" s="74"/>
      <c r="W402" s="74"/>
      <c r="X402" s="74"/>
      <c r="Y402" s="74"/>
      <c r="Z402" s="74"/>
    </row>
    <row r="403" spans="1:26" ht="12.75" hidden="1" customHeight="1" outlineLevel="2">
      <c r="A403" s="3"/>
      <c r="B403" s="3"/>
      <c r="C403" s="3"/>
      <c r="D403" s="16"/>
      <c r="E403" s="1593" t="s">
        <v>43</v>
      </c>
      <c r="F403" s="61"/>
      <c r="G403" s="1341"/>
      <c r="H403" s="18"/>
      <c r="I403" s="18"/>
      <c r="J403" s="18"/>
      <c r="K403" s="18"/>
      <c r="L403" s="18"/>
      <c r="M403" s="1384"/>
      <c r="N403" s="1385"/>
      <c r="O403" s="18"/>
      <c r="P403" s="18"/>
      <c r="Q403" s="18"/>
      <c r="R403" s="18"/>
      <c r="S403" s="74"/>
      <c r="T403" s="74"/>
      <c r="U403" s="74"/>
      <c r="V403" s="74"/>
      <c r="W403" s="74"/>
      <c r="X403" s="74"/>
      <c r="Y403" s="74"/>
      <c r="Z403" s="74"/>
    </row>
    <row r="404" spans="1:26" ht="12.75" hidden="1" customHeight="1" outlineLevel="2">
      <c r="A404" s="3"/>
      <c r="B404" s="3"/>
      <c r="C404" s="3"/>
      <c r="D404" s="16"/>
      <c r="E404" s="1594"/>
      <c r="F404" s="61">
        <v>1</v>
      </c>
      <c r="G404" s="1341"/>
      <c r="H404" s="1381"/>
      <c r="I404" s="18">
        <f>IF(A27stdlife="n/a","n/a",IF(I$3&gt;(A27stdlife+$F404),('RFM input'!$H$249*(1+vanilla1)^0.5)-SUM($H404:H404),('RFM input'!$H$249*(1+vanilla1)^0.5)/A27stdlife))</f>
        <v>0</v>
      </c>
      <c r="J404" s="18">
        <f>IF(A27stdlife="n/a","n/a",IF(J$3&gt;(A27stdlife+$F404),('RFM input'!$H$249*(1+vanilla1)^0.5)-SUM($H404:I404),('RFM input'!$H$249*(1+vanilla1)^0.5)/A27stdlife))</f>
        <v>0</v>
      </c>
      <c r="K404" s="18">
        <f>IF(A27stdlife="n/a","n/a",IF(K$3&gt;(A27stdlife+$F404),('RFM input'!$H$249*(1+vanilla1)^0.5)-SUM($H404:J404),('RFM input'!$H$249*(1+vanilla1)^0.5)/A27stdlife))</f>
        <v>0</v>
      </c>
      <c r="L404" s="18">
        <f>IF(A27stdlife="n/a","n/a",IF(L$3&gt;(A27stdlife+$F404),('RFM input'!$H$249*(1+vanilla1)^0.5)-SUM($H404:K404),('RFM input'!$H$249*(1+vanilla1)^0.5)/A27stdlife))</f>
        <v>0</v>
      </c>
      <c r="M404" s="18">
        <f>IF(A27stdlife="n/a","n/a",IF(M$3&gt;(A27stdlife+$F404),('RFM input'!$H$249*(1+vanilla1)^0.5)-SUM($H404:L404),('RFM input'!$H$249*(1+vanilla1)^0.5)/A27stdlife))</f>
        <v>0</v>
      </c>
      <c r="N404" s="18">
        <f>IF(A27stdlife="n/a","n/a",IF(N$3&gt;(A27stdlife+$F404),('RFM input'!$H$249*(1+vanilla1)^0.5)-SUM($H404:M404),('RFM input'!$H$249*(1+vanilla1)^0.5)/A27stdlife))</f>
        <v>0</v>
      </c>
      <c r="O404" s="18">
        <f>IF(A27stdlife="n/a","n/a",IF(O$3&gt;(A27stdlife+$F404),('RFM input'!$H$249*(1+vanilla1)^0.5)-SUM($H404:N404),('RFM input'!$H$249*(1+vanilla1)^0.5)/A27stdlife))</f>
        <v>0</v>
      </c>
      <c r="P404" s="18">
        <f>IF(A27stdlife="n/a","n/a",IF(P$3&gt;(A27stdlife+$F404),('RFM input'!$H$249*(1+vanilla1)^0.5)-SUM($H404:O404),('RFM input'!$H$249*(1+vanilla1)^0.5)/A27stdlife))</f>
        <v>0</v>
      </c>
      <c r="Q404" s="18">
        <f>IF(A27stdlife="n/a","n/a",IF(Q$3&gt;(A27stdlife+$F404),('RFM input'!$H$249*(1+vanilla1)^0.5)-SUM($H404:P404),('RFM input'!$H$249*(1+vanilla1)^0.5)/A27stdlife))</f>
        <v>0</v>
      </c>
      <c r="R404" s="18"/>
      <c r="S404" s="74"/>
      <c r="T404" s="74"/>
      <c r="U404" s="74"/>
      <c r="V404" s="74"/>
      <c r="W404" s="74"/>
      <c r="X404" s="74"/>
      <c r="Y404" s="74"/>
      <c r="Z404" s="74"/>
    </row>
    <row r="405" spans="1:26" ht="12.75" hidden="1" customHeight="1" outlineLevel="2">
      <c r="A405" s="3"/>
      <c r="B405" s="3"/>
      <c r="C405" s="3"/>
      <c r="D405" s="16"/>
      <c r="E405" s="1594"/>
      <c r="F405" s="61">
        <v>2</v>
      </c>
      <c r="G405" s="1341"/>
      <c r="H405" s="114"/>
      <c r="I405" s="116"/>
      <c r="J405" s="18">
        <f>IF(A27stdlife="n/a","n/a",IF(J$3&gt;(A27stdlife+$F405),('RFM input'!$I$249*(1+vanilla2)^0.5)-SUM($I405:I405),('RFM input'!$I$249*(1+vanilla2)^0.5)/A27stdlife))</f>
        <v>0</v>
      </c>
      <c r="K405" s="18">
        <f>IF(A27stdlife="n/a","n/a",IF(K$3&gt;(A27stdlife+$F405),('RFM input'!$I$249*(1+vanilla2)^0.5)-SUM($I405:J405),('RFM input'!$I$249*(1+vanilla2)^0.5)/A27stdlife))</f>
        <v>0</v>
      </c>
      <c r="L405" s="18">
        <f>IF(A27stdlife="n/a","n/a",IF(L$3&gt;(A27stdlife+$F405),('RFM input'!$I$249*(1+vanilla2)^0.5)-SUM($I405:K405),('RFM input'!$I$249*(1+vanilla2)^0.5)/A27stdlife))</f>
        <v>0</v>
      </c>
      <c r="M405" s="18">
        <f>IF(A27stdlife="n/a","n/a",IF(M$3&gt;(A27stdlife+$F405),('RFM input'!$I$249*(1+vanilla2)^0.5)-SUM($I405:L405),('RFM input'!$I$249*(1+vanilla2)^0.5)/A27stdlife))</f>
        <v>0</v>
      </c>
      <c r="N405" s="18">
        <f>IF(A27stdlife="n/a","n/a",IF(N$3&gt;(A27stdlife+$F405),('RFM input'!$I$249*(1+vanilla2)^0.5)-SUM($I405:M405),('RFM input'!$I$249*(1+vanilla2)^0.5)/A27stdlife))</f>
        <v>0</v>
      </c>
      <c r="O405" s="18">
        <f>IF(A27stdlife="n/a","n/a",IF(O$3&gt;(A27stdlife+$F405),('RFM input'!$I$249*(1+vanilla2)^0.5)-SUM($I405:N405),('RFM input'!$I$249*(1+vanilla2)^0.5)/A27stdlife))</f>
        <v>0</v>
      </c>
      <c r="P405" s="18">
        <f>IF(A27stdlife="n/a","n/a",IF(P$3&gt;(A27stdlife+$F405),('RFM input'!$I$249*(1+vanilla2)^0.5)-SUM($I405:O405),('RFM input'!$I$249*(1+vanilla2)^0.5)/A27stdlife))</f>
        <v>0</v>
      </c>
      <c r="Q405" s="18">
        <f>IF(A27stdlife="n/a","n/a",IF(Q$3&gt;(A27stdlife+$F405),('RFM input'!$I$249*(1+vanilla2)^0.5)-SUM($I405:P405),('RFM input'!$I$249*(1+vanilla2)^0.5)/A27stdlife))</f>
        <v>0</v>
      </c>
      <c r="R405" s="18"/>
      <c r="S405" s="74"/>
      <c r="T405" s="74"/>
      <c r="U405" s="74"/>
      <c r="V405" s="74"/>
      <c r="W405" s="74"/>
      <c r="X405" s="74"/>
      <c r="Y405" s="74"/>
      <c r="Z405" s="74"/>
    </row>
    <row r="406" spans="1:26" ht="12.75" hidden="1" customHeight="1" outlineLevel="2">
      <c r="A406" s="3"/>
      <c r="B406" s="3"/>
      <c r="C406" s="3"/>
      <c r="D406" s="16"/>
      <c r="E406" s="1594"/>
      <c r="F406" s="61">
        <v>3</v>
      </c>
      <c r="G406" s="1341"/>
      <c r="H406" s="114"/>
      <c r="I406" s="115"/>
      <c r="J406" s="116"/>
      <c r="K406" s="18">
        <f>IF(A27stdlife="n/a","n/a",IF(K$3&gt;(A27stdlife+$F406),('RFM input'!$J$249*(1+vanilla3)^0.5)-SUM($J406:J406),('RFM input'!$J$249*(1+vanilla3)^0.5)/A27stdlife))</f>
        <v>0</v>
      </c>
      <c r="L406" s="18">
        <f>IF(A27stdlife="n/a","n/a",IF(L$3&gt;(A27stdlife+$F406),('RFM input'!$J$249*(1+vanilla3)^0.5)-SUM($J406:K406),('RFM input'!$J$249*(1+vanilla3)^0.5)/A27stdlife))</f>
        <v>0</v>
      </c>
      <c r="M406" s="18">
        <f>IF(A27stdlife="n/a","n/a",IF(M$3&gt;(A27stdlife+$F406),('RFM input'!$J$249*(1+vanilla3)^0.5)-SUM($J406:L406),('RFM input'!$J$249*(1+vanilla3)^0.5)/A27stdlife))</f>
        <v>0</v>
      </c>
      <c r="N406" s="18">
        <f>IF(A27stdlife="n/a","n/a",IF(N$3&gt;(A27stdlife+$F406),('RFM input'!$J$249*(1+vanilla3)^0.5)-SUM($J406:M406),('RFM input'!$J$249*(1+vanilla3)^0.5)/A27stdlife))</f>
        <v>0</v>
      </c>
      <c r="O406" s="18">
        <f>IF(A27stdlife="n/a","n/a",IF(O$3&gt;(A27stdlife+$F406),('RFM input'!$J$249*(1+vanilla3)^0.5)-SUM($J406:N406),('RFM input'!$J$249*(1+vanilla3)^0.5)/A27stdlife))</f>
        <v>0</v>
      </c>
      <c r="P406" s="18">
        <f>IF(A27stdlife="n/a","n/a",IF(P$3&gt;(A27stdlife+$F406),('RFM input'!$J$249*(1+vanilla3)^0.5)-SUM($J406:O406),('RFM input'!$J$249*(1+vanilla3)^0.5)/A27stdlife))</f>
        <v>0</v>
      </c>
      <c r="Q406" s="18">
        <f>IF(A27stdlife="n/a","n/a",IF(Q$3&gt;(A27stdlife+$F406),('RFM input'!$J$249*(1+vanilla3)^0.5)-SUM($J406:P406),('RFM input'!$J$249*(1+vanilla3)^0.5)/A27stdlife))</f>
        <v>0</v>
      </c>
      <c r="R406" s="18"/>
      <c r="S406" s="74"/>
      <c r="T406" s="74"/>
      <c r="U406" s="74"/>
      <c r="V406" s="74"/>
      <c r="W406" s="74"/>
      <c r="X406" s="74"/>
      <c r="Y406" s="74"/>
      <c r="Z406" s="74"/>
    </row>
    <row r="407" spans="1:26" ht="12.75" hidden="1" customHeight="1" outlineLevel="2">
      <c r="A407" s="3"/>
      <c r="B407" s="3"/>
      <c r="C407" s="3"/>
      <c r="D407" s="16"/>
      <c r="E407" s="1594"/>
      <c r="F407" s="61">
        <v>4</v>
      </c>
      <c r="G407" s="1341"/>
      <c r="H407" s="114"/>
      <c r="I407" s="115"/>
      <c r="J407" s="115"/>
      <c r="K407" s="116"/>
      <c r="L407" s="18">
        <f>IF(A27stdlife="n/a","n/a",IF(L$3&gt;(A27stdlife+$F407),('RFM input'!$K$249*(1+vanilla4)^0.5)-SUM($K407:K407),('RFM input'!$K$249*(1+vanilla4)^0.5)/A27stdlife))</f>
        <v>0</v>
      </c>
      <c r="M407" s="18">
        <f>IF(A27stdlife="n/a","n/a",IF(M$3&gt;(A27stdlife+$F407),('RFM input'!$K$249*(1+vanilla4)^0.5)-SUM($K407:L407),('RFM input'!$K$249*(1+vanilla4)^0.5)/A27stdlife))</f>
        <v>0</v>
      </c>
      <c r="N407" s="18">
        <f>IF(A27stdlife="n/a","n/a",IF(N$3&gt;(A27stdlife+$F407),('RFM input'!$K$249*(1+vanilla4)^0.5)-SUM($K407:M407),('RFM input'!$K$249*(1+vanilla4)^0.5)/A27stdlife))</f>
        <v>0</v>
      </c>
      <c r="O407" s="18">
        <f>IF(A27stdlife="n/a","n/a",IF(O$3&gt;(A27stdlife+$F407),('RFM input'!$K$249*(1+vanilla4)^0.5)-SUM($K407:N407),('RFM input'!$K$249*(1+vanilla4)^0.5)/A27stdlife))</f>
        <v>0</v>
      </c>
      <c r="P407" s="18">
        <f>IF(A27stdlife="n/a","n/a",IF(P$3&gt;(A27stdlife+$F407),('RFM input'!$K$249*(1+vanilla4)^0.5)-SUM($K407:O407),('RFM input'!$K$249*(1+vanilla4)^0.5)/A27stdlife))</f>
        <v>0</v>
      </c>
      <c r="Q407" s="18">
        <f>IF(A27stdlife="n/a","n/a",IF(Q$3&gt;(A27stdlife+$F407),('RFM input'!$K$249*(1+vanilla4)^0.5)-SUM($K407:P407),('RFM input'!$K$249*(1+vanilla4)^0.5)/A27stdlife))</f>
        <v>0</v>
      </c>
      <c r="R407" s="18"/>
      <c r="S407" s="74"/>
      <c r="T407" s="74"/>
      <c r="U407" s="74"/>
      <c r="V407" s="74"/>
      <c r="W407" s="74"/>
      <c r="X407" s="74"/>
      <c r="Y407" s="74"/>
      <c r="Z407" s="74"/>
    </row>
    <row r="408" spans="1:26" ht="12.75" hidden="1" customHeight="1" outlineLevel="2">
      <c r="A408" s="3"/>
      <c r="B408" s="3"/>
      <c r="C408" s="3"/>
      <c r="D408" s="16"/>
      <c r="E408" s="1594"/>
      <c r="F408" s="61">
        <v>5</v>
      </c>
      <c r="G408" s="17"/>
      <c r="H408" s="114"/>
      <c r="I408" s="115"/>
      <c r="J408" s="115"/>
      <c r="K408" s="115"/>
      <c r="L408" s="116"/>
      <c r="M408" s="18">
        <f>IF(A27stdlife="n/a","n/a",IF(M$3&gt;(A27stdlife+$F408),('RFM input'!$L$249*(1+vanilla5)^0.5)-SUM($L408:L408),('RFM input'!$L$249*(1+vanilla5)^0.5)/A27stdlife))</f>
        <v>0</v>
      </c>
      <c r="N408" s="18">
        <f>IF(A27stdlife="n/a","n/a",IF(N$3&gt;(A27stdlife+$F408),('RFM input'!$L$249*(1+vanilla5)^0.5)-SUM($L408:M408),('RFM input'!$L$249*(1+vanilla5)^0.5)/A27stdlife))</f>
        <v>0</v>
      </c>
      <c r="O408" s="18">
        <f>IF(A27stdlife="n/a","n/a",IF(O$3&gt;(A27stdlife+$F408),('RFM input'!$L$249*(1+vanilla5)^0.5)-SUM($L408:N408),('RFM input'!$L$249*(1+vanilla5)^0.5)/A27stdlife))</f>
        <v>0</v>
      </c>
      <c r="P408" s="18">
        <f>IF(A27stdlife="n/a","n/a",IF(P$3&gt;(A27stdlife+$F408),('RFM input'!$L$249*(1+vanilla5)^0.5)-SUM($L408:O408),('RFM input'!$L$249*(1+vanilla5)^0.5)/A27stdlife))</f>
        <v>0</v>
      </c>
      <c r="Q408" s="18">
        <f>IF(A27stdlife="n/a","n/a",IF(Q$3&gt;(A27stdlife+$F408),('RFM input'!$L$249*(1+vanilla5)^0.5)-SUM($L408:P408),('RFM input'!$L$249*(1+vanilla5)^0.5)/A27stdlife))</f>
        <v>0</v>
      </c>
      <c r="R408" s="18"/>
      <c r="S408" s="74"/>
      <c r="T408" s="74"/>
      <c r="U408" s="74"/>
      <c r="V408" s="74"/>
      <c r="W408" s="74"/>
      <c r="X408" s="74"/>
      <c r="Y408" s="74"/>
      <c r="Z408" s="74"/>
    </row>
    <row r="409" spans="1:26" ht="12.75" hidden="1" customHeight="1" outlineLevel="2">
      <c r="A409" s="3"/>
      <c r="B409" s="3"/>
      <c r="C409" s="3"/>
      <c r="D409" s="16"/>
      <c r="E409" s="1594"/>
      <c r="F409" s="61">
        <v>6</v>
      </c>
      <c r="G409" s="17"/>
      <c r="H409" s="114"/>
      <c r="I409" s="115"/>
      <c r="J409" s="115"/>
      <c r="K409" s="115"/>
      <c r="L409" s="115"/>
      <c r="M409" s="116"/>
      <c r="N409" s="18">
        <f>IF(A27stdlife="n/a","n/a",IF(N$3&gt;(A27stdlife+$F409),('RFM input'!$M$249*(1+vanilla6)^0.5)-SUM($M409:M409),('RFM input'!$M$249*(1+vanilla6)^0.5)/A27stdlife))</f>
        <v>0</v>
      </c>
      <c r="O409" s="18">
        <f>IF(A27stdlife="n/a","n/a",IF(O$3&gt;(A27stdlife+$F409),('RFM input'!$M$249*(1+vanilla6)^0.5)-SUM($M409:N409),('RFM input'!$M$249*(1+vanilla6)^0.5)/A27stdlife))</f>
        <v>0</v>
      </c>
      <c r="P409" s="18">
        <f>IF(A27stdlife="n/a","n/a",IF(P$3&gt;(A27stdlife+$F409),('RFM input'!$M$249*(1+vanilla6)^0.5)-SUM($M409:O409),('RFM input'!$M$249*(1+vanilla6)^0.5)/A27stdlife))</f>
        <v>0</v>
      </c>
      <c r="Q409" s="18">
        <f>IF(A27stdlife="n/a","n/a",IF(Q$3&gt;(A27stdlife+$F409),('RFM input'!$M$249*(1+vanilla6)^0.5)-SUM($M409:P409),('RFM input'!$M$249*(1+vanilla6)^0.5)/A27stdlife))</f>
        <v>0</v>
      </c>
      <c r="R409" s="18"/>
      <c r="S409" s="74"/>
      <c r="T409" s="74"/>
      <c r="U409" s="74"/>
      <c r="V409" s="74"/>
      <c r="W409" s="74"/>
      <c r="X409" s="74"/>
      <c r="Y409" s="74"/>
      <c r="Z409" s="74"/>
    </row>
    <row r="410" spans="1:26" ht="12.75" hidden="1" customHeight="1" outlineLevel="2">
      <c r="A410" s="3"/>
      <c r="B410" s="3"/>
      <c r="C410" s="3"/>
      <c r="D410" s="16"/>
      <c r="E410" s="1594"/>
      <c r="F410" s="61">
        <v>7</v>
      </c>
      <c r="G410" s="17"/>
      <c r="H410" s="114"/>
      <c r="I410" s="115"/>
      <c r="J410" s="115"/>
      <c r="K410" s="115"/>
      <c r="L410" s="115"/>
      <c r="M410" s="115"/>
      <c r="N410" s="116"/>
      <c r="O410" s="18">
        <f>IF(A27stdlife="n/a","n/a",IF(O$3&gt;(A27stdlife+$F410),('RFM input'!M$249*(1+vanilla7)^0.5)-SUM($N410:N410),('RFM input'!$N$249*(1+vanilla7)^0.5)/A27stdlife))</f>
        <v>0</v>
      </c>
      <c r="P410" s="18">
        <f>IF(A27stdlife="n/a","n/a",IF(P$3&gt;(A27stdlife+$F410),('RFM input'!N$249*(1+vanilla7)^0.5)-SUM($N410:O410),('RFM input'!$N$249*(1+vanilla7)^0.5)/A27stdlife))</f>
        <v>0</v>
      </c>
      <c r="Q410" s="18">
        <f>IF(A27stdlife="n/a","n/a",IF(Q$3&gt;(A27stdlife+$F410),('RFM input'!O$249*(1+vanilla7)^0.5)-SUM($N410:P410),('RFM input'!$N$249*(1+vanilla7)^0.5)/A27stdlife))</f>
        <v>0</v>
      </c>
      <c r="R410" s="18"/>
      <c r="S410" s="74"/>
      <c r="T410" s="74"/>
      <c r="U410" s="74"/>
      <c r="V410" s="74"/>
      <c r="W410" s="74"/>
      <c r="X410" s="74"/>
      <c r="Y410" s="74"/>
      <c r="Z410" s="74"/>
    </row>
    <row r="411" spans="1:26" ht="12.75" hidden="1" customHeight="1" outlineLevel="2">
      <c r="A411" s="3"/>
      <c r="B411" s="3"/>
      <c r="C411" s="3"/>
      <c r="D411" s="16"/>
      <c r="E411" s="1594"/>
      <c r="F411" s="61">
        <v>8</v>
      </c>
      <c r="G411" s="17"/>
      <c r="H411" s="114"/>
      <c r="I411" s="115"/>
      <c r="J411" s="115"/>
      <c r="K411" s="115"/>
      <c r="L411" s="115"/>
      <c r="M411" s="115"/>
      <c r="N411" s="115"/>
      <c r="O411" s="116"/>
      <c r="P411" s="18">
        <f>IF(A27stdlife="n/a","n/a",IF(P$3&gt;(A27stdlife+$F411),('RFM input'!$O$249*(1+vanilla8)^0.5)-SUM($O411:O411),('RFM input'!$O$249*(1+vanilla8)^0.5)/A27stdlife))</f>
        <v>0</v>
      </c>
      <c r="Q411" s="18">
        <f>IF(A27stdlife="n/a","n/a",IF(Q$3&gt;(A27stdlife+$F411),('RFM input'!$O$249*(1+vanilla8)^0.5)-SUM($O411:P411),('RFM input'!$O$249*(1+vanilla8)^0.5)/A27stdlife))</f>
        <v>0</v>
      </c>
      <c r="R411" s="18"/>
      <c r="S411" s="74"/>
      <c r="T411" s="74"/>
      <c r="U411" s="74"/>
      <c r="V411" s="74"/>
      <c r="W411" s="74"/>
      <c r="X411" s="74"/>
      <c r="Y411" s="74"/>
      <c r="Z411" s="74"/>
    </row>
    <row r="412" spans="1:26" ht="12.75" hidden="1" customHeight="1" outlineLevel="2">
      <c r="A412" s="3"/>
      <c r="B412" s="3"/>
      <c r="C412" s="3"/>
      <c r="D412" s="16"/>
      <c r="E412" s="1594"/>
      <c r="F412" s="61">
        <v>9</v>
      </c>
      <c r="G412" s="17"/>
      <c r="H412" s="114"/>
      <c r="I412" s="115"/>
      <c r="J412" s="115"/>
      <c r="K412" s="115"/>
      <c r="L412" s="115"/>
      <c r="M412" s="115"/>
      <c r="N412" s="115"/>
      <c r="O412" s="115"/>
      <c r="P412" s="116"/>
      <c r="Q412" s="18">
        <f>IF(A27stdlife="n/a","n/a",IF(Q$3&gt;(A27stdlife+$F412),('RFM input'!$P$249*(1+vanilla9)^0.5)-SUM($P412:P412),('RFM input'!$P$249*(1+vanilla9)^0.5)/A27stdlife))</f>
        <v>0</v>
      </c>
      <c r="R412" s="18"/>
      <c r="S412" s="74"/>
      <c r="T412" s="74"/>
      <c r="U412" s="74"/>
      <c r="V412" s="74"/>
      <c r="W412" s="74"/>
      <c r="X412" s="74"/>
      <c r="Y412" s="74"/>
      <c r="Z412" s="74"/>
    </row>
    <row r="413" spans="1:26" ht="12.75" hidden="1" customHeight="1" outlineLevel="2">
      <c r="A413" s="3"/>
      <c r="B413" s="3"/>
      <c r="C413" s="3"/>
      <c r="D413" s="16"/>
      <c r="E413" s="1594"/>
      <c r="F413" s="62">
        <v>10</v>
      </c>
      <c r="G413" s="17"/>
      <c r="H413" s="114"/>
      <c r="I413" s="115"/>
      <c r="J413" s="115"/>
      <c r="K413" s="115"/>
      <c r="L413" s="115"/>
      <c r="M413" s="115"/>
      <c r="N413" s="115"/>
      <c r="O413" s="115"/>
      <c r="P413" s="115"/>
      <c r="Q413" s="116"/>
      <c r="R413" s="18"/>
      <c r="S413" s="74"/>
      <c r="T413" s="74"/>
      <c r="U413" s="74"/>
      <c r="V413" s="74"/>
      <c r="W413" s="74"/>
      <c r="X413" s="74"/>
      <c r="Y413" s="74"/>
      <c r="Z413" s="74"/>
    </row>
    <row r="414" spans="1:26" ht="13.35" hidden="1" customHeight="1" outlineLevel="1">
      <c r="A414" s="3"/>
      <c r="B414" s="3"/>
      <c r="C414" s="3"/>
      <c r="D414" s="134">
        <f>Asset27</f>
        <v>0</v>
      </c>
      <c r="E414" s="3"/>
      <c r="F414" s="3"/>
      <c r="G414" s="1341"/>
      <c r="H414" s="1458">
        <f>IF(OR('RFM input'!$E$293='RFM input'!$G$292,'RFM input'!$E$293='RFM input'!$G$293),-INDEX('RFM input'!H$299:H$348,MATCH($D414,'RFM input'!$E$299:$E$348,0),1),-SUM(H402:H413))</f>
        <v>0</v>
      </c>
      <c r="I414" s="1458">
        <f>IF(OR('RFM input'!$E$293='RFM input'!$G$292,'RFM input'!$E$293='RFM input'!$G$293),-INDEX('RFM input'!I$299:I$348,MATCH($D414,'RFM input'!$E$299:$E$348,0),1),-SUM(I402:I413))</f>
        <v>0</v>
      </c>
      <c r="J414" s="1386">
        <f>IF(COUNT($H414:I414)&gt;='RFM input'!$V$7,
   0,
   IF(OR('RFM input'!$E$293='RFM input'!$G$292,'RFM input'!$E$293='RFM input'!$G$293),
      -INDEX('RFM input'!J$299:J$348,MATCH($D414,'RFM input'!$E$299:$E$348,0),1),
      -SUM(J402:J413)))</f>
        <v>0</v>
      </c>
      <c r="K414" s="1386">
        <f>IF(COUNT($H414:J414)&gt;='RFM input'!$V$7,
   0,
   IF(OR('RFM input'!$E$293='RFM input'!$G$292,'RFM input'!$E$293='RFM input'!$G$293),
      -INDEX('RFM input'!K$299:K$348,MATCH($D414,'RFM input'!$E$299:$E$348,0),1),
      -SUM(K402:K413)))</f>
        <v>0</v>
      </c>
      <c r="L414" s="1386">
        <f>IF(COUNT($H414:K414)&gt;='RFM input'!$V$7,
   0,
   IF(OR('RFM input'!$E$293='RFM input'!$G$292,'RFM input'!$E$293='RFM input'!$G$293),
      -INDEX('RFM input'!L$299:L$348,MATCH($D414,'RFM input'!$E$299:$E$348,0),1),
      -SUM(L402:L413)))</f>
        <v>0</v>
      </c>
      <c r="M414" s="1386">
        <f>IF(COUNT($H414:L414)&gt;='RFM input'!$V$7,
   0,
   IF(OR('RFM input'!$E$293='RFM input'!$G$292,'RFM input'!$E$293='RFM input'!$G$293),
      -INDEX('RFM input'!M$299:M$348,MATCH($D414,'RFM input'!$E$299:$E$348,0),1),
      -SUM(M402:M413)))</f>
        <v>0</v>
      </c>
      <c r="N414" s="1386">
        <f>IF(COUNT($H414:M414)&gt;='RFM input'!$V$7,
   0,
   IF(OR('RFM input'!$E$293='RFM input'!$G$292,'RFM input'!$E$293='RFM input'!$G$293),
      -INDEX('RFM input'!N$299:N$348,MATCH($D414,'RFM input'!$E$299:$E$348,0),1),
      -SUM(N402:N413)))</f>
        <v>0</v>
      </c>
      <c r="O414" s="1386">
        <f>IF(COUNT($H414:N414)&gt;='RFM input'!$V$7,
   0,
   IF(OR('RFM input'!$E$293='RFM input'!$G$292,'RFM input'!$E$293='RFM input'!$G$293),
      -INDEX('RFM input'!O$299:O$348,MATCH($D414,'RFM input'!$E$299:$E$348,0),1),
      -SUM(O402:O413)))</f>
        <v>0</v>
      </c>
      <c r="P414" s="1386">
        <f>IF(COUNT($H414:O414)&gt;='RFM input'!$V$7,
   0,
   IF(OR('RFM input'!$E$293='RFM input'!$G$292,'RFM input'!$E$293='RFM input'!$G$293),
      -INDEX('RFM input'!P$299:P$348,MATCH($D414,'RFM input'!$E$299:$E$348,0),1),
      -SUM(P402:P413)))</f>
        <v>0</v>
      </c>
      <c r="Q414" s="1386">
        <f>IF(COUNT($H414:P414)&gt;='RFM input'!$V$7,
   0,
   IF(OR('RFM input'!$E$293='RFM input'!$G$292,'RFM input'!$E$293='RFM input'!$G$293),
      -INDEX('RFM input'!Q$299:Q$348,MATCH($D414,'RFM input'!$E$299:$E$348,0),1),
      -SUM(Q402:Q413)))</f>
        <v>0</v>
      </c>
      <c r="R414" s="1382"/>
      <c r="S414" s="76"/>
      <c r="T414" s="76"/>
      <c r="U414" s="76"/>
      <c r="V414" s="76"/>
      <c r="W414" s="76"/>
      <c r="X414" s="76"/>
      <c r="Y414" s="76"/>
      <c r="Z414" s="76"/>
    </row>
    <row r="415" spans="1:26" ht="12.75" hidden="1" customHeight="1" outlineLevel="2">
      <c r="A415" s="3"/>
      <c r="B415" s="3"/>
      <c r="C415" s="135">
        <f>Asset28</f>
        <v>0</v>
      </c>
      <c r="D415" s="100"/>
      <c r="E415" s="20" t="s">
        <v>23</v>
      </c>
      <c r="F415" s="19"/>
      <c r="G415" s="1383"/>
      <c r="H415" s="1380">
        <f>IF(H$3&gt;A28remlife,A28value-SUM($G415:G415),IF(A28remlife="N/A","n/a",A28value/A28remlife))</f>
        <v>0</v>
      </c>
      <c r="I415" s="1380">
        <f>IF(I$3&gt;A28remlife,A28value-SUM($G415:H415),IF(A28remlife="N/A","n/a",A28value/A28remlife))</f>
        <v>0</v>
      </c>
      <c r="J415" s="1380">
        <f>IF(J$3&gt;A28remlife,A28value-SUM($G415:I415),IF(A28remlife="N/A","n/a",A28value/A28remlife))</f>
        <v>0</v>
      </c>
      <c r="K415" s="1380">
        <f>IF(K$3&gt;A28remlife,A28value-SUM($G415:J415),IF(A28remlife="N/A","n/a",A28value/A28remlife))</f>
        <v>0</v>
      </c>
      <c r="L415" s="1380">
        <f>IF(L$3&gt;A28remlife,A28value-SUM($G415:K415),IF(A28remlife="N/A","n/a",A28value/A28remlife))</f>
        <v>0</v>
      </c>
      <c r="M415" s="1380">
        <f>IF(M$3&gt;A28remlife,A28value-SUM($G415:L415),IF(A28remlife="N/A","n/a",A28value/A28remlife))</f>
        <v>0</v>
      </c>
      <c r="N415" s="1380">
        <f>IF(N$3&gt;A28remlife,A28value-SUM($G415:M415),IF(A28remlife="N/A","n/a",A28value/A28remlife))</f>
        <v>0</v>
      </c>
      <c r="O415" s="1380">
        <f>IF(O$3&gt;A28remlife,A28value-SUM($G415:N415),IF(A28remlife="N/A","n/a",A28value/A28remlife))</f>
        <v>0</v>
      </c>
      <c r="P415" s="1380">
        <f>IF(P$3&gt;A28remlife,A28value-SUM($G415:O415),IF(A28remlife="N/A","n/a",A28value/A28remlife))</f>
        <v>0</v>
      </c>
      <c r="Q415" s="1380">
        <f>IF(Q$3&gt;A28remlife,A28value-SUM($G415:P415),IF(A28remlife="N/A","n/a",A28value/A28remlife))</f>
        <v>0</v>
      </c>
      <c r="R415" s="21"/>
      <c r="S415" s="74"/>
      <c r="T415" s="74"/>
      <c r="U415" s="74"/>
      <c r="V415" s="74"/>
      <c r="W415" s="74"/>
      <c r="X415" s="74"/>
      <c r="Y415" s="74"/>
      <c r="Z415" s="74"/>
    </row>
    <row r="416" spans="1:26" ht="12.75" hidden="1" customHeight="1" outlineLevel="2">
      <c r="A416" s="3"/>
      <c r="B416" s="3"/>
      <c r="C416" s="3"/>
      <c r="D416" s="16"/>
      <c r="E416" s="1593" t="s">
        <v>43</v>
      </c>
      <c r="F416" s="61"/>
      <c r="G416" s="1341"/>
      <c r="H416" s="18"/>
      <c r="I416" s="18"/>
      <c r="J416" s="18"/>
      <c r="K416" s="18"/>
      <c r="L416" s="18"/>
      <c r="M416" s="1384"/>
      <c r="N416" s="1385"/>
      <c r="O416" s="18"/>
      <c r="P416" s="18"/>
      <c r="Q416" s="18"/>
      <c r="R416" s="18"/>
      <c r="S416" s="74"/>
      <c r="T416" s="74"/>
      <c r="U416" s="74"/>
      <c r="V416" s="74"/>
      <c r="W416" s="74"/>
      <c r="X416" s="74"/>
      <c r="Y416" s="74"/>
      <c r="Z416" s="74"/>
    </row>
    <row r="417" spans="1:26" ht="12.75" hidden="1" customHeight="1" outlineLevel="2">
      <c r="A417" s="3"/>
      <c r="B417" s="3"/>
      <c r="C417" s="3"/>
      <c r="D417" s="16"/>
      <c r="E417" s="1594"/>
      <c r="F417" s="61">
        <v>1</v>
      </c>
      <c r="G417" s="1341"/>
      <c r="H417" s="1381"/>
      <c r="I417" s="18">
        <f>IF(A28stdlife="n/a","n/a",IF(I$3&gt;(A28stdlife+$F417),('RFM input'!$H$250*(1+vanilla1)^0.5)-SUM($H417:H417),('RFM input'!$H$250*(1+vanilla1)^0.5)/A28stdlife))</f>
        <v>0</v>
      </c>
      <c r="J417" s="18">
        <f>IF(A28stdlife="n/a","n/a",IF(J$3&gt;(A28stdlife+$F417),('RFM input'!$H$250*(1+vanilla1)^0.5)-SUM($H417:I417),('RFM input'!$H$250*(1+vanilla1)^0.5)/A28stdlife))</f>
        <v>0</v>
      </c>
      <c r="K417" s="18">
        <f>IF(A28stdlife="n/a","n/a",IF(K$3&gt;(A28stdlife+$F417),('RFM input'!$H$250*(1+vanilla1)^0.5)-SUM($H417:J417),('RFM input'!$H$250*(1+vanilla1)^0.5)/A28stdlife))</f>
        <v>0</v>
      </c>
      <c r="L417" s="18">
        <f>IF(A28stdlife="n/a","n/a",IF(L$3&gt;(A28stdlife+$F417),('RFM input'!$H$250*(1+vanilla1)^0.5)-SUM($H417:K417),('RFM input'!$H$250*(1+vanilla1)^0.5)/A28stdlife))</f>
        <v>0</v>
      </c>
      <c r="M417" s="18">
        <f>IF(A28stdlife="n/a","n/a",IF(M$3&gt;(A28stdlife+$F417),('RFM input'!$H$250*(1+vanilla1)^0.5)-SUM($H417:L417),('RFM input'!$H$250*(1+vanilla1)^0.5)/A28stdlife))</f>
        <v>0</v>
      </c>
      <c r="N417" s="18">
        <f>IF(A28stdlife="n/a","n/a",IF(N$3&gt;(A28stdlife+$F417),('RFM input'!$H$250*(1+vanilla1)^0.5)-SUM($H417:M417),('RFM input'!$H$250*(1+vanilla1)^0.5)/A28stdlife))</f>
        <v>0</v>
      </c>
      <c r="O417" s="18">
        <f>IF(A28stdlife="n/a","n/a",IF(O$3&gt;(A28stdlife+$F417),('RFM input'!$H$250*(1+vanilla1)^0.5)-SUM($H417:N417),('RFM input'!$H$250*(1+vanilla1)^0.5)/A28stdlife))</f>
        <v>0</v>
      </c>
      <c r="P417" s="18">
        <f>IF(A28stdlife="n/a","n/a",IF(P$3&gt;(A28stdlife+$F417),('RFM input'!$H$250*(1+vanilla1)^0.5)-SUM($H417:O417),('RFM input'!$H$250*(1+vanilla1)^0.5)/A28stdlife))</f>
        <v>0</v>
      </c>
      <c r="Q417" s="18">
        <f>IF(A28stdlife="n/a","n/a",IF(Q$3&gt;(A28stdlife+$F417),('RFM input'!$H$250*(1+vanilla1)^0.5)-SUM($H417:P417),('RFM input'!$H$250*(1+vanilla1)^0.5)/A28stdlife))</f>
        <v>0</v>
      </c>
      <c r="R417" s="18"/>
      <c r="S417" s="74"/>
      <c r="T417" s="74"/>
      <c r="U417" s="74"/>
      <c r="V417" s="74"/>
      <c r="W417" s="74"/>
      <c r="X417" s="74"/>
      <c r="Y417" s="74"/>
      <c r="Z417" s="74"/>
    </row>
    <row r="418" spans="1:26" ht="12.75" hidden="1" customHeight="1" outlineLevel="2">
      <c r="A418" s="3"/>
      <c r="B418" s="3"/>
      <c r="C418" s="3"/>
      <c r="D418" s="16"/>
      <c r="E418" s="1594"/>
      <c r="F418" s="61">
        <v>2</v>
      </c>
      <c r="G418" s="1341"/>
      <c r="H418" s="114"/>
      <c r="I418" s="116"/>
      <c r="J418" s="18">
        <f>IF(A28stdlife="n/a","n/a",IF(J$3&gt;(A28stdlife+$F418),('RFM input'!$I$250*(1+vanilla2)^0.5)-SUM($I418:I418),('RFM input'!$I$250*(1+vanilla2)^0.5)/A28stdlife))</f>
        <v>0</v>
      </c>
      <c r="K418" s="18">
        <f>IF(A28stdlife="n/a","n/a",IF(K$3&gt;(A28stdlife+$F418),('RFM input'!$I$250*(1+vanilla2)^0.5)-SUM($I418:J418),('RFM input'!$I$250*(1+vanilla2)^0.5)/A28stdlife))</f>
        <v>0</v>
      </c>
      <c r="L418" s="18">
        <f>IF(A28stdlife="n/a","n/a",IF(L$3&gt;(A28stdlife+$F418),('RFM input'!$I$250*(1+vanilla2)^0.5)-SUM($I418:K418),('RFM input'!$I$250*(1+vanilla2)^0.5)/A28stdlife))</f>
        <v>0</v>
      </c>
      <c r="M418" s="18">
        <f>IF(A28stdlife="n/a","n/a",IF(M$3&gt;(A28stdlife+$F418),('RFM input'!$I$250*(1+vanilla2)^0.5)-SUM($I418:L418),('RFM input'!$I$250*(1+vanilla2)^0.5)/A28stdlife))</f>
        <v>0</v>
      </c>
      <c r="N418" s="18">
        <f>IF(A28stdlife="n/a","n/a",IF(N$3&gt;(A28stdlife+$F418),('RFM input'!$I$250*(1+vanilla2)^0.5)-SUM($I418:M418),('RFM input'!$I$250*(1+vanilla2)^0.5)/A28stdlife))</f>
        <v>0</v>
      </c>
      <c r="O418" s="18">
        <f>IF(A28stdlife="n/a","n/a",IF(O$3&gt;(A28stdlife+$F418),('RFM input'!$I$250*(1+vanilla2)^0.5)-SUM($I418:N418),('RFM input'!$I$250*(1+vanilla2)^0.5)/A28stdlife))</f>
        <v>0</v>
      </c>
      <c r="P418" s="18">
        <f>IF(A28stdlife="n/a","n/a",IF(P$3&gt;(A28stdlife+$F418),('RFM input'!$I$250*(1+vanilla2)^0.5)-SUM($I418:O418),('RFM input'!$I$250*(1+vanilla2)^0.5)/A28stdlife))</f>
        <v>0</v>
      </c>
      <c r="Q418" s="18">
        <f>IF(A28stdlife="n/a","n/a",IF(Q$3&gt;(A28stdlife+$F418),('RFM input'!$I$250*(1+vanilla2)^0.5)-SUM($I418:P418),('RFM input'!$I$250*(1+vanilla2)^0.5)/A28stdlife))</f>
        <v>0</v>
      </c>
      <c r="R418" s="18"/>
      <c r="S418" s="74"/>
      <c r="T418" s="74"/>
      <c r="U418" s="74"/>
      <c r="V418" s="74"/>
      <c r="W418" s="74"/>
      <c r="X418" s="74"/>
      <c r="Y418" s="74"/>
      <c r="Z418" s="74"/>
    </row>
    <row r="419" spans="1:26" ht="12.75" hidden="1" customHeight="1" outlineLevel="2">
      <c r="A419" s="3"/>
      <c r="B419" s="3"/>
      <c r="C419" s="3"/>
      <c r="D419" s="16"/>
      <c r="E419" s="1594"/>
      <c r="F419" s="61">
        <v>3</v>
      </c>
      <c r="G419" s="1341"/>
      <c r="H419" s="114"/>
      <c r="I419" s="115"/>
      <c r="J419" s="116"/>
      <c r="K419" s="18">
        <f>IF(A28stdlife="n/a","n/a",IF(K$3&gt;(A28stdlife+$F419),('RFM input'!$J$250*(1+vanilla3)^0.5)-SUM($J419:J419),('RFM input'!$J$250*(1+vanilla3)^0.5)/A28stdlife))</f>
        <v>0</v>
      </c>
      <c r="L419" s="18">
        <f>IF(A28stdlife="n/a","n/a",IF(L$3&gt;(A28stdlife+$F419),('RFM input'!$J$250*(1+vanilla3)^0.5)-SUM($J419:K419),('RFM input'!$J$250*(1+vanilla3)^0.5)/A28stdlife))</f>
        <v>0</v>
      </c>
      <c r="M419" s="18">
        <f>IF(A28stdlife="n/a","n/a",IF(M$3&gt;(A28stdlife+$F419),('RFM input'!$J$250*(1+vanilla3)^0.5)-SUM($J419:L419),('RFM input'!$J$250*(1+vanilla3)^0.5)/A28stdlife))</f>
        <v>0</v>
      </c>
      <c r="N419" s="18">
        <f>IF(A28stdlife="n/a","n/a",IF(N$3&gt;(A28stdlife+$F419),('RFM input'!$J$250*(1+vanilla3)^0.5)-SUM($J419:M419),('RFM input'!$J$250*(1+vanilla3)^0.5)/A28stdlife))</f>
        <v>0</v>
      </c>
      <c r="O419" s="18">
        <f>IF(A28stdlife="n/a","n/a",IF(O$3&gt;(A28stdlife+$F419),('RFM input'!$J$250*(1+vanilla3)^0.5)-SUM($J419:N419),('RFM input'!$J$250*(1+vanilla3)^0.5)/A28stdlife))</f>
        <v>0</v>
      </c>
      <c r="P419" s="18">
        <f>IF(A28stdlife="n/a","n/a",IF(P$3&gt;(A28stdlife+$F419),('RFM input'!$J$250*(1+vanilla3)^0.5)-SUM($J419:O419),('RFM input'!$J$250*(1+vanilla3)^0.5)/A28stdlife))</f>
        <v>0</v>
      </c>
      <c r="Q419" s="18">
        <f>IF(A28stdlife="n/a","n/a",IF(Q$3&gt;(A28stdlife+$F419),('RFM input'!$J$250*(1+vanilla3)^0.5)-SUM($J419:P419),('RFM input'!$J$250*(1+vanilla3)^0.5)/A28stdlife))</f>
        <v>0</v>
      </c>
      <c r="R419" s="18"/>
      <c r="S419" s="74"/>
      <c r="T419" s="74"/>
      <c r="U419" s="74"/>
      <c r="V419" s="74"/>
      <c r="W419" s="74"/>
      <c r="X419" s="74"/>
      <c r="Y419" s="74"/>
      <c r="Z419" s="74"/>
    </row>
    <row r="420" spans="1:26" ht="12.75" hidden="1" customHeight="1" outlineLevel="2">
      <c r="A420" s="3"/>
      <c r="B420" s="3"/>
      <c r="C420" s="3"/>
      <c r="D420" s="16"/>
      <c r="E420" s="1594"/>
      <c r="F420" s="61">
        <v>4</v>
      </c>
      <c r="G420" s="1341"/>
      <c r="H420" s="114"/>
      <c r="I420" s="115"/>
      <c r="J420" s="115"/>
      <c r="K420" s="116"/>
      <c r="L420" s="18">
        <f>IF(A28stdlife="n/a","n/a",IF(L$3&gt;(A28stdlife+$F420),('RFM input'!$K$250*(1+vanilla4)^0.5)-SUM($K420:K420),('RFM input'!$K$250*(1+vanilla4)^0.5)/A28stdlife))</f>
        <v>0</v>
      </c>
      <c r="M420" s="18">
        <f>IF(A28stdlife="n/a","n/a",IF(M$3&gt;(A28stdlife+$F420),('RFM input'!$K$250*(1+vanilla4)^0.5)-SUM($K420:L420),('RFM input'!$K$250*(1+vanilla4)^0.5)/A28stdlife))</f>
        <v>0</v>
      </c>
      <c r="N420" s="18">
        <f>IF(A28stdlife="n/a","n/a",IF(N$3&gt;(A28stdlife+$F420),('RFM input'!$K$250*(1+vanilla4)^0.5)-SUM($K420:M420),('RFM input'!$K$250*(1+vanilla4)^0.5)/A28stdlife))</f>
        <v>0</v>
      </c>
      <c r="O420" s="18">
        <f>IF(A28stdlife="n/a","n/a",IF(O$3&gt;(A28stdlife+$F420),('RFM input'!$K$250*(1+vanilla4)^0.5)-SUM($K420:N420),('RFM input'!$K$250*(1+vanilla4)^0.5)/A28stdlife))</f>
        <v>0</v>
      </c>
      <c r="P420" s="18">
        <f>IF(A28stdlife="n/a","n/a",IF(P$3&gt;(A28stdlife+$F420),('RFM input'!$K$250*(1+vanilla4)^0.5)-SUM($K420:O420),('RFM input'!$K$250*(1+vanilla4)^0.5)/A28stdlife))</f>
        <v>0</v>
      </c>
      <c r="Q420" s="18">
        <f>IF(A28stdlife="n/a","n/a",IF(Q$3&gt;(A28stdlife+$F420),('RFM input'!$K$250*(1+vanilla4)^0.5)-SUM($K420:P420),('RFM input'!$K$250*(1+vanilla4)^0.5)/A28stdlife))</f>
        <v>0</v>
      </c>
      <c r="R420" s="18"/>
      <c r="S420" s="74"/>
      <c r="T420" s="74"/>
      <c r="U420" s="74"/>
      <c r="V420" s="74"/>
      <c r="W420" s="74"/>
      <c r="X420" s="74"/>
      <c r="Y420" s="74"/>
      <c r="Z420" s="74"/>
    </row>
    <row r="421" spans="1:26" ht="12.75" hidden="1" customHeight="1" outlineLevel="2">
      <c r="A421" s="3"/>
      <c r="B421" s="3"/>
      <c r="C421" s="3"/>
      <c r="D421" s="16"/>
      <c r="E421" s="1594"/>
      <c r="F421" s="61">
        <v>5</v>
      </c>
      <c r="G421" s="17"/>
      <c r="H421" s="114"/>
      <c r="I421" s="115"/>
      <c r="J421" s="115"/>
      <c r="K421" s="115"/>
      <c r="L421" s="116"/>
      <c r="M421" s="18">
        <f>IF(A28stdlife="n/a","n/a",IF(M$3&gt;(A28stdlife+$F421),('RFM input'!$L$250*(1+vanilla5)^0.5)-SUM($L421:L421),('RFM input'!$L$250*(1+vanilla5)^0.5)/A28stdlife))</f>
        <v>0</v>
      </c>
      <c r="N421" s="18">
        <f>IF(A28stdlife="n/a","n/a",IF(N$3&gt;(A28stdlife+$F421),('RFM input'!$L$250*(1+vanilla5)^0.5)-SUM($L421:M421),('RFM input'!$L$250*(1+vanilla5)^0.5)/A28stdlife))</f>
        <v>0</v>
      </c>
      <c r="O421" s="18">
        <f>IF(A28stdlife="n/a","n/a",IF(O$3&gt;(A28stdlife+$F421),('RFM input'!$L$250*(1+vanilla5)^0.5)-SUM($L421:N421),('RFM input'!$L$250*(1+vanilla5)^0.5)/A28stdlife))</f>
        <v>0</v>
      </c>
      <c r="P421" s="18">
        <f>IF(A28stdlife="n/a","n/a",IF(P$3&gt;(A28stdlife+$F421),('RFM input'!$L$250*(1+vanilla5)^0.5)-SUM($L421:O421),('RFM input'!$L$250*(1+vanilla5)^0.5)/A28stdlife))</f>
        <v>0</v>
      </c>
      <c r="Q421" s="18">
        <f>IF(A28stdlife="n/a","n/a",IF(Q$3&gt;(A28stdlife+$F421),('RFM input'!$L$250*(1+vanilla5)^0.5)-SUM($L421:P421),('RFM input'!$L$250*(1+vanilla5)^0.5)/A28stdlife))</f>
        <v>0</v>
      </c>
      <c r="R421" s="18"/>
      <c r="S421" s="74"/>
      <c r="T421" s="74"/>
      <c r="U421" s="74"/>
      <c r="V421" s="74"/>
      <c r="W421" s="74"/>
      <c r="X421" s="74"/>
      <c r="Y421" s="74"/>
      <c r="Z421" s="74"/>
    </row>
    <row r="422" spans="1:26" ht="12.75" hidden="1" customHeight="1" outlineLevel="2">
      <c r="A422" s="3"/>
      <c r="B422" s="3"/>
      <c r="C422" s="3"/>
      <c r="D422" s="16"/>
      <c r="E422" s="1594"/>
      <c r="F422" s="61">
        <v>6</v>
      </c>
      <c r="G422" s="17"/>
      <c r="H422" s="114"/>
      <c r="I422" s="115"/>
      <c r="J422" s="115"/>
      <c r="K422" s="115"/>
      <c r="L422" s="115"/>
      <c r="M422" s="116"/>
      <c r="N422" s="18">
        <f>IF(A28stdlife="n/a","n/a",IF(N$3&gt;(A28stdlife+$F422),('RFM input'!$M$250*(1+vanilla6)^0.5)-SUM($M422:M422),('RFM input'!$M$250*(1+vanilla6)^0.5)/A28stdlife))</f>
        <v>0</v>
      </c>
      <c r="O422" s="18">
        <f>IF(A28stdlife="n/a","n/a",IF(O$3&gt;(A28stdlife+$F422),('RFM input'!$M$250*(1+vanilla6)^0.5)-SUM($M422:N422),('RFM input'!$M$250*(1+vanilla6)^0.5)/A28stdlife))</f>
        <v>0</v>
      </c>
      <c r="P422" s="18">
        <f>IF(A28stdlife="n/a","n/a",IF(P$3&gt;(A28stdlife+$F422),('RFM input'!$M$250*(1+vanilla6)^0.5)-SUM($M422:O422),('RFM input'!$M$250*(1+vanilla6)^0.5)/A28stdlife))</f>
        <v>0</v>
      </c>
      <c r="Q422" s="18">
        <f>IF(A28stdlife="n/a","n/a",IF(Q$3&gt;(A28stdlife+$F422),('RFM input'!$M$250*(1+vanilla6)^0.5)-SUM($M422:P422),('RFM input'!$M$250*(1+vanilla6)^0.5)/A28stdlife))</f>
        <v>0</v>
      </c>
      <c r="R422" s="18"/>
      <c r="S422" s="74"/>
      <c r="T422" s="74"/>
      <c r="U422" s="74"/>
      <c r="V422" s="74"/>
      <c r="W422" s="74"/>
      <c r="X422" s="74"/>
      <c r="Y422" s="74"/>
      <c r="Z422" s="74"/>
    </row>
    <row r="423" spans="1:26" ht="12.75" hidden="1" customHeight="1" outlineLevel="2">
      <c r="A423" s="3"/>
      <c r="B423" s="3"/>
      <c r="C423" s="3"/>
      <c r="D423" s="16"/>
      <c r="E423" s="1594"/>
      <c r="F423" s="61">
        <v>7</v>
      </c>
      <c r="G423" s="17"/>
      <c r="H423" s="114"/>
      <c r="I423" s="115"/>
      <c r="J423" s="115"/>
      <c r="K423" s="115"/>
      <c r="L423" s="115"/>
      <c r="M423" s="115"/>
      <c r="N423" s="116"/>
      <c r="O423" s="18">
        <f>IF(A28stdlife="n/a","n/a",IF(O$3&gt;(A28stdlife+$F423),('RFM input'!M$250*(1+vanilla7)^0.5)-SUM($N423:N423),('RFM input'!$N$250*(1+vanilla7)^0.5)/A28stdlife))</f>
        <v>0</v>
      </c>
      <c r="P423" s="18">
        <f>IF(A28stdlife="n/a","n/a",IF(P$3&gt;(A28stdlife+$F423),('RFM input'!N$250*(1+vanilla7)^0.5)-SUM($N423:O423),('RFM input'!$N$250*(1+vanilla7)^0.5)/A28stdlife))</f>
        <v>0</v>
      </c>
      <c r="Q423" s="18">
        <f>IF(A28stdlife="n/a","n/a",IF(Q$3&gt;(A28stdlife+$F423),('RFM input'!O$250*(1+vanilla7)^0.5)-SUM($N423:P423),('RFM input'!$N$250*(1+vanilla7)^0.5)/A28stdlife))</f>
        <v>0</v>
      </c>
      <c r="R423" s="18"/>
      <c r="S423" s="74"/>
      <c r="T423" s="74"/>
      <c r="U423" s="74"/>
      <c r="V423" s="74"/>
      <c r="W423" s="74"/>
      <c r="X423" s="74"/>
      <c r="Y423" s="74"/>
      <c r="Z423" s="74"/>
    </row>
    <row r="424" spans="1:26" ht="12.75" hidden="1" customHeight="1" outlineLevel="2">
      <c r="A424" s="3"/>
      <c r="B424" s="3"/>
      <c r="C424" s="3"/>
      <c r="D424" s="16"/>
      <c r="E424" s="1594"/>
      <c r="F424" s="61">
        <v>8</v>
      </c>
      <c r="G424" s="17"/>
      <c r="H424" s="114"/>
      <c r="I424" s="115"/>
      <c r="J424" s="115"/>
      <c r="K424" s="115"/>
      <c r="L424" s="115"/>
      <c r="M424" s="115"/>
      <c r="N424" s="115"/>
      <c r="O424" s="116"/>
      <c r="P424" s="18">
        <f>IF(A28stdlife="n/a","n/a",IF(P$3&gt;(A28stdlife+$F424),('RFM input'!$O$250*(1+vanilla8)^0.5)-SUM($O424:O424),('RFM input'!$O$250*(1+vanilla8)^0.5)/A28stdlife))</f>
        <v>0</v>
      </c>
      <c r="Q424" s="18">
        <f>IF(A28stdlife="n/a","n/a",IF(Q$3&gt;(A28stdlife+$F424),('RFM input'!$O$250*(1+vanilla8)^0.5)-SUM($O424:P424),('RFM input'!$O$250*(1+vanilla8)^0.5)/A28stdlife))</f>
        <v>0</v>
      </c>
      <c r="R424" s="18"/>
      <c r="S424" s="74"/>
      <c r="T424" s="74"/>
      <c r="U424" s="74"/>
      <c r="V424" s="74"/>
      <c r="W424" s="74"/>
      <c r="X424" s="74"/>
      <c r="Y424" s="74"/>
      <c r="Z424" s="74"/>
    </row>
    <row r="425" spans="1:26" ht="12.75" hidden="1" customHeight="1" outlineLevel="2">
      <c r="A425" s="3"/>
      <c r="B425" s="3"/>
      <c r="C425" s="3"/>
      <c r="D425" s="16"/>
      <c r="E425" s="1594"/>
      <c r="F425" s="61">
        <v>9</v>
      </c>
      <c r="G425" s="17"/>
      <c r="H425" s="114"/>
      <c r="I425" s="115"/>
      <c r="J425" s="115"/>
      <c r="K425" s="115"/>
      <c r="L425" s="115"/>
      <c r="M425" s="115"/>
      <c r="N425" s="115"/>
      <c r="O425" s="115"/>
      <c r="P425" s="116"/>
      <c r="Q425" s="18">
        <f>IF(A28stdlife="n/a","n/a",IF(Q$3&gt;(A28stdlife+$F425),('RFM input'!$P$250*(1+vanilla9)^0.5)-SUM($P425:P425),('RFM input'!$P$250*(1+vanilla9)^0.5)/A28stdlife))</f>
        <v>0</v>
      </c>
      <c r="R425" s="18"/>
      <c r="S425" s="74"/>
      <c r="T425" s="74"/>
      <c r="U425" s="74"/>
      <c r="V425" s="74"/>
      <c r="W425" s="74"/>
      <c r="X425" s="74"/>
      <c r="Y425" s="74"/>
      <c r="Z425" s="74"/>
    </row>
    <row r="426" spans="1:26" ht="12.75" hidden="1" customHeight="1" outlineLevel="2">
      <c r="A426" s="3"/>
      <c r="B426" s="3"/>
      <c r="C426" s="3"/>
      <c r="D426" s="16"/>
      <c r="E426" s="1594"/>
      <c r="F426" s="62">
        <v>10</v>
      </c>
      <c r="G426" s="17"/>
      <c r="H426" s="114"/>
      <c r="I426" s="115"/>
      <c r="J426" s="115"/>
      <c r="K426" s="115"/>
      <c r="L426" s="115"/>
      <c r="M426" s="115"/>
      <c r="N426" s="115"/>
      <c r="O426" s="115"/>
      <c r="P426" s="115"/>
      <c r="Q426" s="116"/>
      <c r="R426" s="18"/>
      <c r="S426" s="74"/>
      <c r="T426" s="74"/>
      <c r="U426" s="74"/>
      <c r="V426" s="74"/>
      <c r="W426" s="74"/>
      <c r="X426" s="74"/>
      <c r="Y426" s="74"/>
      <c r="Z426" s="74"/>
    </row>
    <row r="427" spans="1:26" ht="13.35" hidden="1" customHeight="1" outlineLevel="1">
      <c r="A427" s="3"/>
      <c r="B427" s="3"/>
      <c r="C427" s="3"/>
      <c r="D427" s="134">
        <f>Asset28</f>
        <v>0</v>
      </c>
      <c r="E427" s="3"/>
      <c r="F427" s="3"/>
      <c r="G427" s="1341"/>
      <c r="H427" s="1458">
        <f>IF(OR('RFM input'!$E$293='RFM input'!$G$292,'RFM input'!$E$293='RFM input'!$G$293),-INDEX('RFM input'!H$299:H$348,MATCH($D427,'RFM input'!$E$299:$E$348,0),1),-SUM(H415:H426))</f>
        <v>0</v>
      </c>
      <c r="I427" s="1458">
        <f>IF(OR('RFM input'!$E$293='RFM input'!$G$292,'RFM input'!$E$293='RFM input'!$G$293),-INDEX('RFM input'!I$299:I$348,MATCH($D427,'RFM input'!$E$299:$E$348,0),1),-SUM(I415:I426))</f>
        <v>0</v>
      </c>
      <c r="J427" s="1386">
        <f>IF(COUNT($H427:I427)&gt;='RFM input'!$V$7,
   0,
   IF(OR('RFM input'!$E$293='RFM input'!$G$292,'RFM input'!$E$293='RFM input'!$G$293),
      -INDEX('RFM input'!J$299:J$348,MATCH($D427,'RFM input'!$E$299:$E$348,0),1),
      -SUM(J415:J426)))</f>
        <v>0</v>
      </c>
      <c r="K427" s="1386">
        <f>IF(COUNT($H427:J427)&gt;='RFM input'!$V$7,
   0,
   IF(OR('RFM input'!$E$293='RFM input'!$G$292,'RFM input'!$E$293='RFM input'!$G$293),
      -INDEX('RFM input'!K$299:K$348,MATCH($D427,'RFM input'!$E$299:$E$348,0),1),
      -SUM(K415:K426)))</f>
        <v>0</v>
      </c>
      <c r="L427" s="1386">
        <f>IF(COUNT($H427:K427)&gt;='RFM input'!$V$7,
   0,
   IF(OR('RFM input'!$E$293='RFM input'!$G$292,'RFM input'!$E$293='RFM input'!$G$293),
      -INDEX('RFM input'!L$299:L$348,MATCH($D427,'RFM input'!$E$299:$E$348,0),1),
      -SUM(L415:L426)))</f>
        <v>0</v>
      </c>
      <c r="M427" s="1386">
        <f>IF(COUNT($H427:L427)&gt;='RFM input'!$V$7,
   0,
   IF(OR('RFM input'!$E$293='RFM input'!$G$292,'RFM input'!$E$293='RFM input'!$G$293),
      -INDEX('RFM input'!M$299:M$348,MATCH($D427,'RFM input'!$E$299:$E$348,0),1),
      -SUM(M415:M426)))</f>
        <v>0</v>
      </c>
      <c r="N427" s="1386">
        <f>IF(COUNT($H427:M427)&gt;='RFM input'!$V$7,
   0,
   IF(OR('RFM input'!$E$293='RFM input'!$G$292,'RFM input'!$E$293='RFM input'!$G$293),
      -INDEX('RFM input'!N$299:N$348,MATCH($D427,'RFM input'!$E$299:$E$348,0),1),
      -SUM(N415:N426)))</f>
        <v>0</v>
      </c>
      <c r="O427" s="1386">
        <f>IF(COUNT($H427:N427)&gt;='RFM input'!$V$7,
   0,
   IF(OR('RFM input'!$E$293='RFM input'!$G$292,'RFM input'!$E$293='RFM input'!$G$293),
      -INDEX('RFM input'!O$299:O$348,MATCH($D427,'RFM input'!$E$299:$E$348,0),1),
      -SUM(O415:O426)))</f>
        <v>0</v>
      </c>
      <c r="P427" s="1386">
        <f>IF(COUNT($H427:O427)&gt;='RFM input'!$V$7,
   0,
   IF(OR('RFM input'!$E$293='RFM input'!$G$292,'RFM input'!$E$293='RFM input'!$G$293),
      -INDEX('RFM input'!P$299:P$348,MATCH($D427,'RFM input'!$E$299:$E$348,0),1),
      -SUM(P415:P426)))</f>
        <v>0</v>
      </c>
      <c r="Q427" s="1386">
        <f>IF(COUNT($H427:P427)&gt;='RFM input'!$V$7,
   0,
   IF(OR('RFM input'!$E$293='RFM input'!$G$292,'RFM input'!$E$293='RFM input'!$G$293),
      -INDEX('RFM input'!Q$299:Q$348,MATCH($D427,'RFM input'!$E$299:$E$348,0),1),
      -SUM(Q415:Q426)))</f>
        <v>0</v>
      </c>
      <c r="R427" s="1390"/>
      <c r="S427" s="76"/>
      <c r="T427" s="76"/>
      <c r="U427" s="76"/>
      <c r="V427" s="76"/>
      <c r="W427" s="76"/>
      <c r="X427" s="76"/>
      <c r="Y427" s="76"/>
      <c r="Z427" s="76"/>
    </row>
    <row r="428" spans="1:26" ht="12.75" hidden="1" customHeight="1" outlineLevel="2">
      <c r="A428" s="3"/>
      <c r="B428" s="3"/>
      <c r="C428" s="135">
        <f>Asset29</f>
        <v>0</v>
      </c>
      <c r="D428" s="100"/>
      <c r="E428" s="20" t="s">
        <v>23</v>
      </c>
      <c r="F428" s="19"/>
      <c r="G428" s="1383"/>
      <c r="H428" s="1380">
        <f>IF(H$3&gt;A29remlife,A29value-SUM($G428:G428),IF(A29remlife="N/A","n/a",A29value/A29remlife))</f>
        <v>0</v>
      </c>
      <c r="I428" s="1380">
        <f>IF(I$3&gt;A29remlife,A29value-SUM($G428:H428),IF(A29remlife="N/A","n/a",A29value/A29remlife))</f>
        <v>0</v>
      </c>
      <c r="J428" s="1380">
        <f>IF(J$3&gt;A29remlife,A29value-SUM($G428:I428),IF(A29remlife="N/A","n/a",A29value/A29remlife))</f>
        <v>0</v>
      </c>
      <c r="K428" s="1380">
        <f>IF(K$3&gt;A29remlife,A29value-SUM($G428:J428),IF(A29remlife="N/A","n/a",A29value/A29remlife))</f>
        <v>0</v>
      </c>
      <c r="L428" s="1380">
        <f>IF(L$3&gt;A29remlife,A29value-SUM($G428:K428),IF(A29remlife="N/A","n/a",A29value/A29remlife))</f>
        <v>0</v>
      </c>
      <c r="M428" s="1380">
        <f>IF(M$3&gt;A29remlife,A29value-SUM($G428:L428),IF(A29remlife="N/A","n/a",A29value/A29remlife))</f>
        <v>0</v>
      </c>
      <c r="N428" s="1380">
        <f>IF(N$3&gt;A29remlife,A29value-SUM($G428:M428),IF(A29remlife="N/A","n/a",A29value/A29remlife))</f>
        <v>0</v>
      </c>
      <c r="O428" s="1380">
        <f>IF(O$3&gt;A29remlife,A29value-SUM($G428:N428),IF(A29remlife="N/A","n/a",A29value/A29remlife))</f>
        <v>0</v>
      </c>
      <c r="P428" s="1380">
        <f>IF(P$3&gt;A29remlife,A29value-SUM($G428:O428),IF(A29remlife="N/A","n/a",A29value/A29remlife))</f>
        <v>0</v>
      </c>
      <c r="Q428" s="1380">
        <f>IF(Q$3&gt;A29remlife,A29value-SUM($G428:P428),IF(A29remlife="N/A","n/a",A29value/A29remlife))</f>
        <v>0</v>
      </c>
      <c r="R428" s="1380"/>
      <c r="S428" s="74"/>
      <c r="T428" s="74"/>
      <c r="U428" s="74"/>
      <c r="V428" s="74"/>
      <c r="W428" s="74"/>
      <c r="X428" s="74"/>
      <c r="Y428" s="74"/>
      <c r="Z428" s="74"/>
    </row>
    <row r="429" spans="1:26" ht="12.75" hidden="1" customHeight="1" outlineLevel="2">
      <c r="A429" s="3"/>
      <c r="B429" s="3"/>
      <c r="C429" s="3"/>
      <c r="D429" s="16"/>
      <c r="E429" s="1593" t="s">
        <v>43</v>
      </c>
      <c r="F429" s="61"/>
      <c r="G429" s="1341"/>
      <c r="H429" s="18"/>
      <c r="I429" s="18"/>
      <c r="J429" s="18"/>
      <c r="K429" s="18"/>
      <c r="L429" s="18"/>
      <c r="M429" s="1384"/>
      <c r="N429" s="1385"/>
      <c r="O429" s="18"/>
      <c r="P429" s="18"/>
      <c r="Q429" s="18"/>
      <c r="R429" s="18"/>
      <c r="S429" s="74"/>
      <c r="T429" s="74"/>
      <c r="U429" s="74"/>
      <c r="V429" s="74"/>
      <c r="W429" s="74"/>
      <c r="X429" s="74"/>
      <c r="Y429" s="74"/>
      <c r="Z429" s="74"/>
    </row>
    <row r="430" spans="1:26" ht="12.75" hidden="1" customHeight="1" outlineLevel="2">
      <c r="A430" s="3"/>
      <c r="B430" s="3"/>
      <c r="C430" s="3"/>
      <c r="D430" s="16"/>
      <c r="E430" s="1594"/>
      <c r="F430" s="61">
        <v>1</v>
      </c>
      <c r="G430" s="1341"/>
      <c r="H430" s="1381"/>
      <c r="I430" s="18">
        <f>IF(A29stdlife="n/a","n/a",IF(I$3&gt;(A29stdlife+$F430),('RFM input'!$H$251*(1+vanilla1)^0.5)-SUM($H430:H430),('RFM input'!$H$251*(1+vanilla1)^0.5)/A29stdlife))</f>
        <v>0</v>
      </c>
      <c r="J430" s="18">
        <f>IF(A29stdlife="n/a","n/a",IF(J$3&gt;(A29stdlife+$F430),('RFM input'!$H$251*(1+vanilla1)^0.5)-SUM($H430:I430),('RFM input'!$H$251*(1+vanilla1)^0.5)/A29stdlife))</f>
        <v>0</v>
      </c>
      <c r="K430" s="18">
        <f>IF(A29stdlife="n/a","n/a",IF(K$3&gt;(A29stdlife+$F430),('RFM input'!$H$251*(1+vanilla1)^0.5)-SUM($H430:J430),('RFM input'!$H$251*(1+vanilla1)^0.5)/A29stdlife))</f>
        <v>0</v>
      </c>
      <c r="L430" s="18">
        <f>IF(A29stdlife="n/a","n/a",IF(L$3&gt;(A29stdlife+$F430),('RFM input'!$H$251*(1+vanilla1)^0.5)-SUM($H430:K430),('RFM input'!$H$251*(1+vanilla1)^0.5)/A29stdlife))</f>
        <v>0</v>
      </c>
      <c r="M430" s="18">
        <f>IF(A29stdlife="n/a","n/a",IF(M$3&gt;(A29stdlife+$F430),('RFM input'!$H$251*(1+vanilla1)^0.5)-SUM($H430:L430),('RFM input'!$H$251*(1+vanilla1)^0.5)/A29stdlife))</f>
        <v>0</v>
      </c>
      <c r="N430" s="18">
        <f>IF(A29stdlife="n/a","n/a",IF(N$3&gt;(A29stdlife+$F430),('RFM input'!$H$251*(1+vanilla1)^0.5)-SUM($H430:M430),('RFM input'!$H$251*(1+vanilla1)^0.5)/A29stdlife))</f>
        <v>0</v>
      </c>
      <c r="O430" s="18">
        <f>IF(A29stdlife="n/a","n/a",IF(O$3&gt;(A29stdlife+$F430),('RFM input'!$H$251*(1+vanilla1)^0.5)-SUM($H430:N430),('RFM input'!$H$251*(1+vanilla1)^0.5)/A29stdlife))</f>
        <v>0</v>
      </c>
      <c r="P430" s="18">
        <f>IF(A29stdlife="n/a","n/a",IF(P$3&gt;(A29stdlife+$F430),('RFM input'!$H$251*(1+vanilla1)^0.5)-SUM($H430:O430),('RFM input'!$H$251*(1+vanilla1)^0.5)/A29stdlife))</f>
        <v>0</v>
      </c>
      <c r="Q430" s="18">
        <f>IF(A29stdlife="n/a","n/a",IF(Q$3&gt;(A29stdlife+$F430),('RFM input'!$H$251*(1+vanilla1)^0.5)-SUM($H430:P430),('RFM input'!$H$251*(1+vanilla1)^0.5)/A29stdlife))</f>
        <v>0</v>
      </c>
      <c r="R430" s="18"/>
      <c r="S430" s="74"/>
      <c r="T430" s="74"/>
      <c r="U430" s="74"/>
      <c r="V430" s="74"/>
      <c r="W430" s="74"/>
      <c r="X430" s="74"/>
      <c r="Y430" s="74"/>
      <c r="Z430" s="74"/>
    </row>
    <row r="431" spans="1:26" ht="12.75" hidden="1" customHeight="1" outlineLevel="2">
      <c r="A431" s="3"/>
      <c r="B431" s="3"/>
      <c r="C431" s="3"/>
      <c r="D431" s="16"/>
      <c r="E431" s="1594"/>
      <c r="F431" s="61">
        <v>2</v>
      </c>
      <c r="G431" s="1341"/>
      <c r="H431" s="114"/>
      <c r="I431" s="116"/>
      <c r="J431" s="18">
        <f>IF(A29stdlife="n/a","n/a",IF(J$3&gt;(A29stdlife+$F431),('RFM input'!$I$251*(1+vanilla2)^0.5)-SUM($I431:I431),('RFM input'!$I$251*(1+vanilla2)^0.5)/A29stdlife))</f>
        <v>0</v>
      </c>
      <c r="K431" s="18">
        <f>IF(A29stdlife="n/a","n/a",IF(K$3&gt;(A29stdlife+$F431),('RFM input'!$I$251*(1+vanilla2)^0.5)-SUM($I431:J431),('RFM input'!$I$251*(1+vanilla2)^0.5)/A29stdlife))</f>
        <v>0</v>
      </c>
      <c r="L431" s="18">
        <f>IF(A29stdlife="n/a","n/a",IF(L$3&gt;(A29stdlife+$F431),('RFM input'!$I$251*(1+vanilla2)^0.5)-SUM($I431:K431),('RFM input'!$I$251*(1+vanilla2)^0.5)/A29stdlife))</f>
        <v>0</v>
      </c>
      <c r="M431" s="18">
        <f>IF(A29stdlife="n/a","n/a",IF(M$3&gt;(A29stdlife+$F431),('RFM input'!$I$251*(1+vanilla2)^0.5)-SUM($I431:L431),('RFM input'!$I$251*(1+vanilla2)^0.5)/A29stdlife))</f>
        <v>0</v>
      </c>
      <c r="N431" s="18">
        <f>IF(A29stdlife="n/a","n/a",IF(N$3&gt;(A29stdlife+$F431),('RFM input'!$I$251*(1+vanilla2)^0.5)-SUM($I431:M431),('RFM input'!$I$251*(1+vanilla2)^0.5)/A29stdlife))</f>
        <v>0</v>
      </c>
      <c r="O431" s="18">
        <f>IF(A29stdlife="n/a","n/a",IF(O$3&gt;(A29stdlife+$F431),('RFM input'!$I$251*(1+vanilla2)^0.5)-SUM($I431:N431),('RFM input'!$I$251*(1+vanilla2)^0.5)/A29stdlife))</f>
        <v>0</v>
      </c>
      <c r="P431" s="18">
        <f>IF(A29stdlife="n/a","n/a",IF(P$3&gt;(A29stdlife+$F431),('RFM input'!$I$251*(1+vanilla2)^0.5)-SUM($I431:O431),('RFM input'!$I$251*(1+vanilla2)^0.5)/A29stdlife))</f>
        <v>0</v>
      </c>
      <c r="Q431" s="18">
        <f>IF(A29stdlife="n/a","n/a",IF(Q$3&gt;(A29stdlife+$F431),('RFM input'!$I$251*(1+vanilla2)^0.5)-SUM($I431:P431),('RFM input'!$I$251*(1+vanilla2)^0.5)/A29stdlife))</f>
        <v>0</v>
      </c>
      <c r="R431" s="18"/>
      <c r="S431" s="74"/>
      <c r="T431" s="74"/>
      <c r="U431" s="74"/>
      <c r="V431" s="74"/>
      <c r="W431" s="74"/>
      <c r="X431" s="74"/>
      <c r="Y431" s="74"/>
      <c r="Z431" s="74"/>
    </row>
    <row r="432" spans="1:26" ht="12.75" hidden="1" customHeight="1" outlineLevel="2">
      <c r="A432" s="3"/>
      <c r="B432" s="3"/>
      <c r="C432" s="3"/>
      <c r="D432" s="16"/>
      <c r="E432" s="1594"/>
      <c r="F432" s="61">
        <v>3</v>
      </c>
      <c r="G432" s="1341"/>
      <c r="H432" s="114"/>
      <c r="I432" s="115"/>
      <c r="J432" s="116"/>
      <c r="K432" s="18">
        <f>IF(A29stdlife="n/a","n/a",IF(K$3&gt;(A29stdlife+$F432),('RFM input'!$J$251*(1+vanilla3)^0.5)-SUM($J432:J432),('RFM input'!$J$251*(1+vanilla3)^0.5)/A29stdlife))</f>
        <v>0</v>
      </c>
      <c r="L432" s="18">
        <f>IF(A29stdlife="n/a","n/a",IF(L$3&gt;(A29stdlife+$F432),('RFM input'!$J$251*(1+vanilla3)^0.5)-SUM($J432:K432),('RFM input'!$J$251*(1+vanilla3)^0.5)/A29stdlife))</f>
        <v>0</v>
      </c>
      <c r="M432" s="18">
        <f>IF(A29stdlife="n/a","n/a",IF(M$3&gt;(A29stdlife+$F432),('RFM input'!$J$251*(1+vanilla3)^0.5)-SUM($J432:L432),('RFM input'!$J$251*(1+vanilla3)^0.5)/A29stdlife))</f>
        <v>0</v>
      </c>
      <c r="N432" s="18">
        <f>IF(A29stdlife="n/a","n/a",IF(N$3&gt;(A29stdlife+$F432),('RFM input'!$J$251*(1+vanilla3)^0.5)-SUM($J432:M432),('RFM input'!$J$251*(1+vanilla3)^0.5)/A29stdlife))</f>
        <v>0</v>
      </c>
      <c r="O432" s="18">
        <f>IF(A29stdlife="n/a","n/a",IF(O$3&gt;(A29stdlife+$F432),('RFM input'!$J$251*(1+vanilla3)^0.5)-SUM($J432:N432),('RFM input'!$J$251*(1+vanilla3)^0.5)/A29stdlife))</f>
        <v>0</v>
      </c>
      <c r="P432" s="18">
        <f>IF(A29stdlife="n/a","n/a",IF(P$3&gt;(A29stdlife+$F432),('RFM input'!$J$251*(1+vanilla3)^0.5)-SUM($J432:O432),('RFM input'!$J$251*(1+vanilla3)^0.5)/A29stdlife))</f>
        <v>0</v>
      </c>
      <c r="Q432" s="18">
        <f>IF(A29stdlife="n/a","n/a",IF(Q$3&gt;(A29stdlife+$F432),('RFM input'!$J$251*(1+vanilla3)^0.5)-SUM($J432:P432),('RFM input'!$J$251*(1+vanilla3)^0.5)/A29stdlife))</f>
        <v>0</v>
      </c>
      <c r="R432" s="18"/>
      <c r="S432" s="74"/>
      <c r="T432" s="74"/>
      <c r="U432" s="74"/>
      <c r="V432" s="74"/>
      <c r="W432" s="74"/>
      <c r="X432" s="74"/>
      <c r="Y432" s="74"/>
      <c r="Z432" s="74"/>
    </row>
    <row r="433" spans="1:26" ht="12.75" hidden="1" customHeight="1" outlineLevel="2">
      <c r="A433" s="3"/>
      <c r="B433" s="3"/>
      <c r="C433" s="3"/>
      <c r="D433" s="16"/>
      <c r="E433" s="1594"/>
      <c r="F433" s="61">
        <v>4</v>
      </c>
      <c r="G433" s="1341"/>
      <c r="H433" s="114"/>
      <c r="I433" s="115"/>
      <c r="J433" s="115"/>
      <c r="K433" s="116"/>
      <c r="L433" s="18">
        <f>IF(A29stdlife="n/a","n/a",IF(L$3&gt;(A29stdlife+$F433),('RFM input'!$K$251*(1+vanilla4)^0.5)-SUM($K433:K433),('RFM input'!$K$251*(1+vanilla4)^0.5)/A29stdlife))</f>
        <v>0</v>
      </c>
      <c r="M433" s="18">
        <f>IF(A29stdlife="n/a","n/a",IF(M$3&gt;(A29stdlife+$F433),('RFM input'!$K$251*(1+vanilla4)^0.5)-SUM($K433:L433),('RFM input'!$K$251*(1+vanilla4)^0.5)/A29stdlife))</f>
        <v>0</v>
      </c>
      <c r="N433" s="18">
        <f>IF(A29stdlife="n/a","n/a",IF(N$3&gt;(A29stdlife+$F433),('RFM input'!$K$251*(1+vanilla4)^0.5)-SUM($K433:M433),('RFM input'!$K$251*(1+vanilla4)^0.5)/A29stdlife))</f>
        <v>0</v>
      </c>
      <c r="O433" s="18">
        <f>IF(A29stdlife="n/a","n/a",IF(O$3&gt;(A29stdlife+$F433),('RFM input'!$K$251*(1+vanilla4)^0.5)-SUM($K433:N433),('RFM input'!$K$251*(1+vanilla4)^0.5)/A29stdlife))</f>
        <v>0</v>
      </c>
      <c r="P433" s="18">
        <f>IF(A29stdlife="n/a","n/a",IF(P$3&gt;(A29stdlife+$F433),('RFM input'!$K$251*(1+vanilla4)^0.5)-SUM($K433:O433),('RFM input'!$K$251*(1+vanilla4)^0.5)/A29stdlife))</f>
        <v>0</v>
      </c>
      <c r="Q433" s="18">
        <f>IF(A29stdlife="n/a","n/a",IF(Q$3&gt;(A29stdlife+$F433),('RFM input'!$K$251*(1+vanilla4)^0.5)-SUM($K433:P433),('RFM input'!$K$251*(1+vanilla4)^0.5)/A29stdlife))</f>
        <v>0</v>
      </c>
      <c r="R433" s="18"/>
      <c r="S433" s="74"/>
      <c r="T433" s="74"/>
      <c r="U433" s="74"/>
      <c r="V433" s="74"/>
      <c r="W433" s="74"/>
      <c r="X433" s="74"/>
      <c r="Y433" s="74"/>
      <c r="Z433" s="74"/>
    </row>
    <row r="434" spans="1:26" ht="12.75" hidden="1" customHeight="1" outlineLevel="2">
      <c r="A434" s="3"/>
      <c r="B434" s="3"/>
      <c r="C434" s="3"/>
      <c r="D434" s="16"/>
      <c r="E434" s="1594"/>
      <c r="F434" s="61">
        <v>5</v>
      </c>
      <c r="G434" s="17"/>
      <c r="H434" s="114"/>
      <c r="I434" s="115"/>
      <c r="J434" s="115"/>
      <c r="K434" s="115"/>
      <c r="L434" s="116"/>
      <c r="M434" s="18">
        <f>IF(A29stdlife="n/a","n/a",IF(M$3&gt;(A29stdlife+$F434),('RFM input'!$L$251*(1+vanilla5)^0.5)-SUM($L434:L434),('RFM input'!$L$251*(1+vanilla5)^0.5)/A29stdlife))</f>
        <v>0</v>
      </c>
      <c r="N434" s="18">
        <f>IF(A29stdlife="n/a","n/a",IF(N$3&gt;(A29stdlife+$F434),('RFM input'!$L$251*(1+vanilla5)^0.5)-SUM($L434:M434),('RFM input'!$L$251*(1+vanilla5)^0.5)/A29stdlife))</f>
        <v>0</v>
      </c>
      <c r="O434" s="18">
        <f>IF(A29stdlife="n/a","n/a",IF(O$3&gt;(A29stdlife+$F434),('RFM input'!$L$251*(1+vanilla5)^0.5)-SUM($L434:N434),('RFM input'!$L$251*(1+vanilla5)^0.5)/A29stdlife))</f>
        <v>0</v>
      </c>
      <c r="P434" s="18">
        <f>IF(A29stdlife="n/a","n/a",IF(P$3&gt;(A29stdlife+$F434),('RFM input'!$L$251*(1+vanilla5)^0.5)-SUM($L434:O434),('RFM input'!$L$251*(1+vanilla5)^0.5)/A29stdlife))</f>
        <v>0</v>
      </c>
      <c r="Q434" s="18">
        <f>IF(A29stdlife="n/a","n/a",IF(Q$3&gt;(A29stdlife+$F434),('RFM input'!$L$251*(1+vanilla5)^0.5)-SUM($L434:P434),('RFM input'!$L$251*(1+vanilla5)^0.5)/A29stdlife))</f>
        <v>0</v>
      </c>
      <c r="R434" s="18"/>
      <c r="S434" s="74"/>
      <c r="T434" s="74"/>
      <c r="U434" s="74"/>
      <c r="V434" s="74"/>
      <c r="W434" s="74"/>
      <c r="X434" s="74"/>
      <c r="Y434" s="74"/>
      <c r="Z434" s="74"/>
    </row>
    <row r="435" spans="1:26" ht="12.75" hidden="1" customHeight="1" outlineLevel="2">
      <c r="A435" s="3"/>
      <c r="B435" s="3"/>
      <c r="C435" s="3"/>
      <c r="D435" s="16"/>
      <c r="E435" s="1594"/>
      <c r="F435" s="61">
        <v>6</v>
      </c>
      <c r="G435" s="17"/>
      <c r="H435" s="114"/>
      <c r="I435" s="115"/>
      <c r="J435" s="115"/>
      <c r="K435" s="115"/>
      <c r="L435" s="115"/>
      <c r="M435" s="116"/>
      <c r="N435" s="18">
        <f>IF(A29stdlife="n/a","n/a",IF(N$3&gt;(A29stdlife+$F435),('RFM input'!$M$251*(1+vanilla6)^0.5)-SUM($M435:M435),('RFM input'!$M$251*(1+vanilla6)^0.5)/A29stdlife))</f>
        <v>0</v>
      </c>
      <c r="O435" s="18">
        <f>IF(A29stdlife="n/a","n/a",IF(O$3&gt;(A29stdlife+$F435),('RFM input'!$M$251*(1+vanilla6)^0.5)-SUM($M435:N435),('RFM input'!$M$251*(1+vanilla6)^0.5)/A29stdlife))</f>
        <v>0</v>
      </c>
      <c r="P435" s="18">
        <f>IF(A29stdlife="n/a","n/a",IF(P$3&gt;(A29stdlife+$F435),('RFM input'!$M$251*(1+vanilla6)^0.5)-SUM($M435:O435),('RFM input'!$M$251*(1+vanilla6)^0.5)/A29stdlife))</f>
        <v>0</v>
      </c>
      <c r="Q435" s="18">
        <f>IF(A29stdlife="n/a","n/a",IF(Q$3&gt;(A29stdlife+$F435),('RFM input'!$M$251*(1+vanilla6)^0.5)-SUM($M435:P435),('RFM input'!$M$251*(1+vanilla6)^0.5)/A29stdlife))</f>
        <v>0</v>
      </c>
      <c r="R435" s="18"/>
      <c r="S435" s="74"/>
      <c r="T435" s="74"/>
      <c r="U435" s="74"/>
      <c r="V435" s="74"/>
      <c r="W435" s="74"/>
      <c r="X435" s="74"/>
      <c r="Y435" s="74"/>
      <c r="Z435" s="74"/>
    </row>
    <row r="436" spans="1:26" ht="12.75" hidden="1" customHeight="1" outlineLevel="2">
      <c r="A436" s="3"/>
      <c r="B436" s="3"/>
      <c r="C436" s="3"/>
      <c r="D436" s="16"/>
      <c r="E436" s="1594"/>
      <c r="F436" s="61">
        <v>7</v>
      </c>
      <c r="G436" s="17"/>
      <c r="H436" s="114"/>
      <c r="I436" s="115"/>
      <c r="J436" s="115"/>
      <c r="K436" s="115"/>
      <c r="L436" s="115"/>
      <c r="M436" s="115"/>
      <c r="N436" s="116"/>
      <c r="O436" s="18">
        <f>IF(A29stdlife="n/a","n/a",IF(O$3&gt;(A29stdlife+$F436),('RFM input'!M$251*(1+vanilla7)^0.5)-SUM($N436:N436),('RFM input'!$N$251*(1+vanilla7)^0.5)/A29stdlife))</f>
        <v>0</v>
      </c>
      <c r="P436" s="18">
        <f>IF(A29stdlife="n/a","n/a",IF(P$3&gt;(A29stdlife+$F436),('RFM input'!N$251*(1+vanilla7)^0.5)-SUM($N436:O436),('RFM input'!$N$251*(1+vanilla7)^0.5)/A29stdlife))</f>
        <v>0</v>
      </c>
      <c r="Q436" s="18">
        <f>IF(A29stdlife="n/a","n/a",IF(Q$3&gt;(A29stdlife+$F436),('RFM input'!O$251*(1+vanilla7)^0.5)-SUM($N436:P436),('RFM input'!$N$251*(1+vanilla7)^0.5)/A29stdlife))</f>
        <v>0</v>
      </c>
      <c r="R436" s="18"/>
      <c r="S436" s="74"/>
      <c r="T436" s="74"/>
      <c r="U436" s="74"/>
      <c r="V436" s="74"/>
      <c r="W436" s="74"/>
      <c r="X436" s="74"/>
      <c r="Y436" s="74"/>
      <c r="Z436" s="74"/>
    </row>
    <row r="437" spans="1:26" ht="12.75" hidden="1" customHeight="1" outlineLevel="2">
      <c r="A437" s="3"/>
      <c r="B437" s="3"/>
      <c r="C437" s="3"/>
      <c r="D437" s="16"/>
      <c r="E437" s="1594"/>
      <c r="F437" s="61">
        <v>8</v>
      </c>
      <c r="G437" s="17"/>
      <c r="H437" s="114"/>
      <c r="I437" s="115"/>
      <c r="J437" s="115"/>
      <c r="K437" s="115"/>
      <c r="L437" s="115"/>
      <c r="M437" s="115"/>
      <c r="N437" s="115"/>
      <c r="O437" s="116"/>
      <c r="P437" s="18">
        <f>IF(A29stdlife="n/a","n/a",IF(P$3&gt;(A29stdlife+$F437),('RFM input'!$O$251*(1+vanilla8)^0.5)-SUM($O437:O437),('RFM input'!$O$251*(1+vanilla8)^0.5)/A29stdlife))</f>
        <v>0</v>
      </c>
      <c r="Q437" s="18">
        <f>IF(A29stdlife="n/a","n/a",IF(Q$3&gt;(A29stdlife+$F437),('RFM input'!$O$251*(1+vanilla8)^0.5)-SUM($O437:P437),('RFM input'!$O$251*(1+vanilla8)^0.5)/A29stdlife))</f>
        <v>0</v>
      </c>
      <c r="R437" s="18"/>
      <c r="S437" s="74"/>
      <c r="T437" s="74"/>
      <c r="U437" s="74"/>
      <c r="V437" s="74"/>
      <c r="W437" s="74"/>
      <c r="X437" s="74"/>
      <c r="Y437" s="74"/>
      <c r="Z437" s="74"/>
    </row>
    <row r="438" spans="1:26" ht="12.75" hidden="1" customHeight="1" outlineLevel="2">
      <c r="A438" s="3"/>
      <c r="B438" s="3"/>
      <c r="C438" s="3"/>
      <c r="D438" s="16"/>
      <c r="E438" s="1594"/>
      <c r="F438" s="61">
        <v>9</v>
      </c>
      <c r="G438" s="17"/>
      <c r="H438" s="114"/>
      <c r="I438" s="115"/>
      <c r="J438" s="115"/>
      <c r="K438" s="115"/>
      <c r="L438" s="115"/>
      <c r="M438" s="115"/>
      <c r="N438" s="115"/>
      <c r="O438" s="115"/>
      <c r="P438" s="116"/>
      <c r="Q438" s="18">
        <f>IF(A29stdlife="n/a","n/a",IF(Q$3&gt;(A29stdlife+$F438),('RFM input'!$P$251*(1+vanilla9)^0.5)-SUM($P438:P438),('RFM input'!$P$251*(1+vanilla9)^0.5)/A29stdlife))</f>
        <v>0</v>
      </c>
      <c r="R438" s="18"/>
      <c r="S438" s="74"/>
      <c r="T438" s="74"/>
      <c r="U438" s="74"/>
      <c r="V438" s="74"/>
      <c r="W438" s="74"/>
      <c r="X438" s="74"/>
      <c r="Y438" s="74"/>
      <c r="Z438" s="74"/>
    </row>
    <row r="439" spans="1:26" ht="12.75" hidden="1" customHeight="1" outlineLevel="2">
      <c r="A439" s="3"/>
      <c r="B439" s="3"/>
      <c r="C439" s="3"/>
      <c r="D439" s="16"/>
      <c r="E439" s="1594"/>
      <c r="F439" s="62">
        <v>10</v>
      </c>
      <c r="G439" s="17"/>
      <c r="H439" s="114"/>
      <c r="I439" s="115"/>
      <c r="J439" s="115"/>
      <c r="K439" s="115"/>
      <c r="L439" s="115"/>
      <c r="M439" s="115"/>
      <c r="N439" s="115"/>
      <c r="O439" s="115"/>
      <c r="P439" s="115"/>
      <c r="Q439" s="116"/>
      <c r="R439" s="18"/>
      <c r="S439" s="74"/>
      <c r="T439" s="74"/>
      <c r="U439" s="74"/>
      <c r="V439" s="74"/>
      <c r="W439" s="74"/>
      <c r="X439" s="74"/>
      <c r="Y439" s="74"/>
      <c r="Z439" s="74"/>
    </row>
    <row r="440" spans="1:26" ht="13.35" hidden="1" customHeight="1" outlineLevel="1">
      <c r="A440" s="3"/>
      <c r="B440" s="3"/>
      <c r="C440" s="3"/>
      <c r="D440" s="134">
        <f>Asset29</f>
        <v>0</v>
      </c>
      <c r="E440" s="3"/>
      <c r="F440" s="3"/>
      <c r="G440" s="1341"/>
      <c r="H440" s="1458">
        <f>IF(OR('RFM input'!$E$293='RFM input'!$G$292,'RFM input'!$E$293='RFM input'!$G$293),-INDEX('RFM input'!H$299:H$348,MATCH($D440,'RFM input'!$E$299:$E$348,0),1),-SUM(H428:H439))</f>
        <v>0</v>
      </c>
      <c r="I440" s="1458">
        <f>IF(OR('RFM input'!$E$293='RFM input'!$G$292,'RFM input'!$E$293='RFM input'!$G$293),-INDEX('RFM input'!I$299:I$348,MATCH($D440,'RFM input'!$E$299:$E$348,0),1),-SUM(I428:I439))</f>
        <v>0</v>
      </c>
      <c r="J440" s="1386">
        <f>IF(COUNT($H440:I440)&gt;='RFM input'!$V$7,
   0,
   IF(OR('RFM input'!$E$293='RFM input'!$G$292,'RFM input'!$E$293='RFM input'!$G$293),
      -INDEX('RFM input'!J$299:J$348,MATCH($D440,'RFM input'!$E$299:$E$348,0),1),
      -SUM(J428:J439)))</f>
        <v>0</v>
      </c>
      <c r="K440" s="1386">
        <f>IF(COUNT($H440:J440)&gt;='RFM input'!$V$7,
   0,
   IF(OR('RFM input'!$E$293='RFM input'!$G$292,'RFM input'!$E$293='RFM input'!$G$293),
      -INDEX('RFM input'!K$299:K$348,MATCH($D440,'RFM input'!$E$299:$E$348,0),1),
      -SUM(K428:K439)))</f>
        <v>0</v>
      </c>
      <c r="L440" s="1386">
        <f>IF(COUNT($H440:K440)&gt;='RFM input'!$V$7,
   0,
   IF(OR('RFM input'!$E$293='RFM input'!$G$292,'RFM input'!$E$293='RFM input'!$G$293),
      -INDEX('RFM input'!L$299:L$348,MATCH($D440,'RFM input'!$E$299:$E$348,0),1),
      -SUM(L428:L439)))</f>
        <v>0</v>
      </c>
      <c r="M440" s="1386">
        <f>IF(COUNT($H440:L440)&gt;='RFM input'!$V$7,
   0,
   IF(OR('RFM input'!$E$293='RFM input'!$G$292,'RFM input'!$E$293='RFM input'!$G$293),
      -INDEX('RFM input'!M$299:M$348,MATCH($D440,'RFM input'!$E$299:$E$348,0),1),
      -SUM(M428:M439)))</f>
        <v>0</v>
      </c>
      <c r="N440" s="1386">
        <f>IF(COUNT($H440:M440)&gt;='RFM input'!$V$7,
   0,
   IF(OR('RFM input'!$E$293='RFM input'!$G$292,'RFM input'!$E$293='RFM input'!$G$293),
      -INDEX('RFM input'!N$299:N$348,MATCH($D440,'RFM input'!$E$299:$E$348,0),1),
      -SUM(N428:N439)))</f>
        <v>0</v>
      </c>
      <c r="O440" s="1386">
        <f>IF(COUNT($H440:N440)&gt;='RFM input'!$V$7,
   0,
   IF(OR('RFM input'!$E$293='RFM input'!$G$292,'RFM input'!$E$293='RFM input'!$G$293),
      -INDEX('RFM input'!O$299:O$348,MATCH($D440,'RFM input'!$E$299:$E$348,0),1),
      -SUM(O428:O439)))</f>
        <v>0</v>
      </c>
      <c r="P440" s="1386">
        <f>IF(COUNT($H440:O440)&gt;='RFM input'!$V$7,
   0,
   IF(OR('RFM input'!$E$293='RFM input'!$G$292,'RFM input'!$E$293='RFM input'!$G$293),
      -INDEX('RFM input'!P$299:P$348,MATCH($D440,'RFM input'!$E$299:$E$348,0),1),
      -SUM(P428:P439)))</f>
        <v>0</v>
      </c>
      <c r="Q440" s="1386">
        <f>IF(COUNT($H440:P440)&gt;='RFM input'!$V$7,
   0,
   IF(OR('RFM input'!$E$293='RFM input'!$G$292,'RFM input'!$E$293='RFM input'!$G$293),
      -INDEX('RFM input'!Q$299:Q$348,MATCH($D440,'RFM input'!$E$299:$E$348,0),1),
      -SUM(Q428:Q439)))</f>
        <v>0</v>
      </c>
      <c r="R440" s="1382"/>
      <c r="S440" s="76"/>
      <c r="T440" s="76"/>
      <c r="U440" s="76"/>
      <c r="V440" s="76"/>
      <c r="W440" s="76"/>
      <c r="X440" s="76"/>
      <c r="Y440" s="76"/>
      <c r="Z440" s="76"/>
    </row>
    <row r="441" spans="1:26" ht="12.75" hidden="1" customHeight="1" outlineLevel="2">
      <c r="A441" s="3"/>
      <c r="B441" s="3"/>
      <c r="C441" s="135">
        <f>Asset30</f>
        <v>0</v>
      </c>
      <c r="D441" s="100"/>
      <c r="E441" s="20" t="s">
        <v>23</v>
      </c>
      <c r="F441" s="19"/>
      <c r="G441" s="1383"/>
      <c r="H441" s="1380">
        <f>IF(H$3&gt;A30remlife,A30value-SUM($G441:G441),IF(A30remlife="N/A","n/a",A30value/A30remlife))</f>
        <v>0</v>
      </c>
      <c r="I441" s="1380">
        <f>IF(I$3&gt;A30remlife,A30value-SUM($G441:H441),IF(A30remlife="N/A","n/a",A30value/A30remlife))</f>
        <v>0</v>
      </c>
      <c r="J441" s="1380">
        <f>IF(J$3&gt;A30remlife,A30value-SUM($G441:I441),IF(A30remlife="N/A","n/a",A30value/A30remlife))</f>
        <v>0</v>
      </c>
      <c r="K441" s="1380">
        <f>IF(K$3&gt;A30remlife,A30value-SUM($G441:J441),IF(A30remlife="N/A","n/a",A30value/A30remlife))</f>
        <v>0</v>
      </c>
      <c r="L441" s="1380">
        <f>IF(L$3&gt;A30remlife,A30value-SUM($G441:K441),IF(A30remlife="N/A","n/a",A30value/A30remlife))</f>
        <v>0</v>
      </c>
      <c r="M441" s="1380">
        <f>IF(M$3&gt;A30remlife,A30value-SUM($G441:L441),IF(A30remlife="N/A","n/a",A30value/A30remlife))</f>
        <v>0</v>
      </c>
      <c r="N441" s="1380">
        <f>IF(N$3&gt;A30remlife,A30value-SUM($G441:M441),IF(A30remlife="N/A","n/a",A30value/A30remlife))</f>
        <v>0</v>
      </c>
      <c r="O441" s="1380">
        <f>IF(O$3&gt;A30remlife,A30value-SUM($G441:N441),IF(A30remlife="N/A","n/a",A30value/A30remlife))</f>
        <v>0</v>
      </c>
      <c r="P441" s="1380">
        <f>IF(P$3&gt;A30remlife,A30value-SUM($G441:O441),IF(A30remlife="N/A","n/a",A30value/A30remlife))</f>
        <v>0</v>
      </c>
      <c r="Q441" s="1380">
        <f>IF(Q$3&gt;A30remlife,A30value-SUM($G441:P441),IF(A30remlife="N/A","n/a",A30value/A30remlife))</f>
        <v>0</v>
      </c>
      <c r="R441" s="21"/>
      <c r="S441" s="74"/>
      <c r="T441" s="74"/>
      <c r="U441" s="74"/>
      <c r="V441" s="74"/>
      <c r="W441" s="74"/>
      <c r="X441" s="74"/>
      <c r="Y441" s="74"/>
      <c r="Z441" s="74"/>
    </row>
    <row r="442" spans="1:26" ht="12.75" hidden="1" customHeight="1" outlineLevel="2">
      <c r="A442" s="3"/>
      <c r="B442" s="3"/>
      <c r="C442" s="3"/>
      <c r="D442" s="16"/>
      <c r="E442" s="1593" t="s">
        <v>43</v>
      </c>
      <c r="F442" s="61"/>
      <c r="G442" s="1341"/>
      <c r="H442" s="18"/>
      <c r="I442" s="18"/>
      <c r="J442" s="18"/>
      <c r="K442" s="18"/>
      <c r="L442" s="18"/>
      <c r="M442" s="1384"/>
      <c r="N442" s="1385"/>
      <c r="O442" s="18"/>
      <c r="P442" s="18"/>
      <c r="Q442" s="18"/>
      <c r="R442" s="18"/>
      <c r="S442" s="74"/>
      <c r="T442" s="74"/>
      <c r="U442" s="74"/>
      <c r="V442" s="74"/>
      <c r="W442" s="74"/>
      <c r="X442" s="74"/>
      <c r="Y442" s="74"/>
      <c r="Z442" s="74"/>
    </row>
    <row r="443" spans="1:26" ht="12.75" hidden="1" customHeight="1" outlineLevel="2">
      <c r="A443" s="3"/>
      <c r="B443" s="3"/>
      <c r="C443" s="3"/>
      <c r="D443" s="16"/>
      <c r="E443" s="1594"/>
      <c r="F443" s="61">
        <v>1</v>
      </c>
      <c r="G443" s="1341"/>
      <c r="H443" s="1381"/>
      <c r="I443" s="18">
        <f>IF(A30stdlife="n/a","n/a",IF(I$3&gt;(A30stdlife+$F443),('RFM input'!$H$252*(1+vanilla1)^0.5)-SUM($H443:H443),('RFM input'!$H$252*(1+vanilla1)^0.5)/A30stdlife))</f>
        <v>0</v>
      </c>
      <c r="J443" s="18">
        <f>IF(A30stdlife="n/a","n/a",IF(J$3&gt;(A30stdlife+$F443),('RFM input'!$H$252*(1+vanilla1)^0.5)-SUM($H443:I443),('RFM input'!$H$252*(1+vanilla1)^0.5)/A30stdlife))</f>
        <v>0</v>
      </c>
      <c r="K443" s="18">
        <f>IF(A30stdlife="n/a","n/a",IF(K$3&gt;(A30stdlife+$F443),('RFM input'!$H$252*(1+vanilla1)^0.5)-SUM($H443:J443),('RFM input'!$H$252*(1+vanilla1)^0.5)/A30stdlife))</f>
        <v>0</v>
      </c>
      <c r="L443" s="18">
        <f>IF(A30stdlife="n/a","n/a",IF(L$3&gt;(A30stdlife+$F443),('RFM input'!$H$252*(1+vanilla1)^0.5)-SUM($H443:K443),('RFM input'!$H$252*(1+vanilla1)^0.5)/A30stdlife))</f>
        <v>0</v>
      </c>
      <c r="M443" s="18">
        <f>IF(A30stdlife="n/a","n/a",IF(M$3&gt;(A30stdlife+$F443),('RFM input'!$H$252*(1+vanilla1)^0.5)-SUM($H443:L443),('RFM input'!$H$252*(1+vanilla1)^0.5)/A30stdlife))</f>
        <v>0</v>
      </c>
      <c r="N443" s="18">
        <f>IF(A30stdlife="n/a","n/a",IF(N$3&gt;(A30stdlife+$F443),('RFM input'!$H$252*(1+vanilla1)^0.5)-SUM($H443:M443),('RFM input'!$H$252*(1+vanilla1)^0.5)/A30stdlife))</f>
        <v>0</v>
      </c>
      <c r="O443" s="18">
        <f>IF(A30stdlife="n/a","n/a",IF(O$3&gt;(A30stdlife+$F443),('RFM input'!$H$252*(1+vanilla1)^0.5)-SUM($H443:N443),('RFM input'!$H$252*(1+vanilla1)^0.5)/A30stdlife))</f>
        <v>0</v>
      </c>
      <c r="P443" s="18">
        <f>IF(A30stdlife="n/a","n/a",IF(P$3&gt;(A30stdlife+$F443),('RFM input'!$H$252*(1+vanilla1)^0.5)-SUM($H443:O443),('RFM input'!$H$252*(1+vanilla1)^0.5)/A30stdlife))</f>
        <v>0</v>
      </c>
      <c r="Q443" s="18">
        <f>IF(A30stdlife="n/a","n/a",IF(Q$3&gt;(A30stdlife+$F443),('RFM input'!$H$252*(1+vanilla1)^0.5)-SUM($H443:P443),('RFM input'!$H$252*(1+vanilla1)^0.5)/A30stdlife))</f>
        <v>0</v>
      </c>
      <c r="R443" s="18"/>
      <c r="S443" s="74"/>
      <c r="T443" s="74"/>
      <c r="U443" s="74"/>
      <c r="V443" s="74"/>
      <c r="W443" s="74"/>
      <c r="X443" s="74"/>
      <c r="Y443" s="74"/>
      <c r="Z443" s="74"/>
    </row>
    <row r="444" spans="1:26" ht="12.75" hidden="1" customHeight="1" outlineLevel="2">
      <c r="A444" s="3"/>
      <c r="B444" s="3"/>
      <c r="C444" s="3"/>
      <c r="D444" s="16"/>
      <c r="E444" s="1594"/>
      <c r="F444" s="61">
        <v>2</v>
      </c>
      <c r="G444" s="1341"/>
      <c r="H444" s="114"/>
      <c r="I444" s="116"/>
      <c r="J444" s="18">
        <f>IF(A30stdlife="n/a","n/a",IF(J$3&gt;(A30stdlife+$F444),('RFM input'!$I$252*(1+vanilla2)^0.5)-SUM($I444:I444),('RFM input'!$I$252*(1+vanilla2)^0.5)/A30stdlife))</f>
        <v>0</v>
      </c>
      <c r="K444" s="18">
        <f>IF(A30stdlife="n/a","n/a",IF(K$3&gt;(A30stdlife+$F444),('RFM input'!$I$252*(1+vanilla2)^0.5)-SUM($I444:J444),('RFM input'!$I$252*(1+vanilla2)^0.5)/A30stdlife))</f>
        <v>0</v>
      </c>
      <c r="L444" s="18">
        <f>IF(A30stdlife="n/a","n/a",IF(L$3&gt;(A30stdlife+$F444),('RFM input'!$I$252*(1+vanilla2)^0.5)-SUM($I444:K444),('RFM input'!$I$252*(1+vanilla2)^0.5)/A30stdlife))</f>
        <v>0</v>
      </c>
      <c r="M444" s="18">
        <f>IF(A30stdlife="n/a","n/a",IF(M$3&gt;(A30stdlife+$F444),('RFM input'!$I$252*(1+vanilla2)^0.5)-SUM($I444:L444),('RFM input'!$I$252*(1+vanilla2)^0.5)/A30stdlife))</f>
        <v>0</v>
      </c>
      <c r="N444" s="18">
        <f>IF(A30stdlife="n/a","n/a",IF(N$3&gt;(A30stdlife+$F444),('RFM input'!$I$252*(1+vanilla2)^0.5)-SUM($I444:M444),('RFM input'!$I$252*(1+vanilla2)^0.5)/A30stdlife))</f>
        <v>0</v>
      </c>
      <c r="O444" s="18">
        <f>IF(A30stdlife="n/a","n/a",IF(O$3&gt;(A30stdlife+$F444),('RFM input'!$I$252*(1+vanilla2)^0.5)-SUM($I444:N444),('RFM input'!$I$252*(1+vanilla2)^0.5)/A30stdlife))</f>
        <v>0</v>
      </c>
      <c r="P444" s="18">
        <f>IF(A30stdlife="n/a","n/a",IF(P$3&gt;(A30stdlife+$F444),('RFM input'!$I$252*(1+vanilla2)^0.5)-SUM($I444:O444),('RFM input'!$I$252*(1+vanilla2)^0.5)/A30stdlife))</f>
        <v>0</v>
      </c>
      <c r="Q444" s="18">
        <f>IF(A30stdlife="n/a","n/a",IF(Q$3&gt;(A30stdlife+$F444),('RFM input'!$I$252*(1+vanilla2)^0.5)-SUM($I444:P444),('RFM input'!$I$252*(1+vanilla2)^0.5)/A30stdlife))</f>
        <v>0</v>
      </c>
      <c r="R444" s="18"/>
      <c r="S444" s="74"/>
      <c r="T444" s="74"/>
      <c r="U444" s="74"/>
      <c r="V444" s="74"/>
      <c r="W444" s="74"/>
      <c r="X444" s="74"/>
      <c r="Y444" s="74"/>
      <c r="Z444" s="74"/>
    </row>
    <row r="445" spans="1:26" ht="12.75" hidden="1" customHeight="1" outlineLevel="2">
      <c r="A445" s="3"/>
      <c r="B445" s="3"/>
      <c r="C445" s="3"/>
      <c r="D445" s="16"/>
      <c r="E445" s="1594"/>
      <c r="F445" s="61">
        <v>3</v>
      </c>
      <c r="G445" s="1341"/>
      <c r="H445" s="114"/>
      <c r="I445" s="115"/>
      <c r="J445" s="116"/>
      <c r="K445" s="18">
        <f>IF(A30stdlife="n/a","n/a",IF(K$3&gt;(A30stdlife+$F445),('RFM input'!$J$252*(1+vanilla3)^0.5)-SUM($J445:J445),('RFM input'!$J$252*(1+vanilla3)^0.5)/A30stdlife))</f>
        <v>0</v>
      </c>
      <c r="L445" s="18">
        <f>IF(A30stdlife="n/a","n/a",IF(L$3&gt;(A30stdlife+$F445),('RFM input'!$J$252*(1+vanilla3)^0.5)-SUM($J445:K445),('RFM input'!$J$252*(1+vanilla3)^0.5)/A30stdlife))</f>
        <v>0</v>
      </c>
      <c r="M445" s="18">
        <f>IF(A30stdlife="n/a","n/a",IF(M$3&gt;(A30stdlife+$F445),('RFM input'!$J$252*(1+vanilla3)^0.5)-SUM($J445:L445),('RFM input'!$J$252*(1+vanilla3)^0.5)/A30stdlife))</f>
        <v>0</v>
      </c>
      <c r="N445" s="18">
        <f>IF(A30stdlife="n/a","n/a",IF(N$3&gt;(A30stdlife+$F445),('RFM input'!$J$252*(1+vanilla3)^0.5)-SUM($J445:M445),('RFM input'!$J$252*(1+vanilla3)^0.5)/A30stdlife))</f>
        <v>0</v>
      </c>
      <c r="O445" s="18">
        <f>IF(A30stdlife="n/a","n/a",IF(O$3&gt;(A30stdlife+$F445),('RFM input'!$J$252*(1+vanilla3)^0.5)-SUM($J445:N445),('RFM input'!$J$252*(1+vanilla3)^0.5)/A30stdlife))</f>
        <v>0</v>
      </c>
      <c r="P445" s="18">
        <f>IF(A30stdlife="n/a","n/a",IF(P$3&gt;(A30stdlife+$F445),('RFM input'!$J$252*(1+vanilla3)^0.5)-SUM($J445:O445),('RFM input'!$J$252*(1+vanilla3)^0.5)/A30stdlife))</f>
        <v>0</v>
      </c>
      <c r="Q445" s="18">
        <f>IF(A30stdlife="n/a","n/a",IF(Q$3&gt;(A30stdlife+$F445),('RFM input'!$J$252*(1+vanilla3)^0.5)-SUM($J445:P445),('RFM input'!$J$252*(1+vanilla3)^0.5)/A30stdlife))</f>
        <v>0</v>
      </c>
      <c r="R445" s="18"/>
      <c r="S445" s="74"/>
      <c r="T445" s="74"/>
      <c r="U445" s="74"/>
      <c r="V445" s="74"/>
      <c r="W445" s="74"/>
      <c r="X445" s="74"/>
      <c r="Y445" s="74"/>
      <c r="Z445" s="74"/>
    </row>
    <row r="446" spans="1:26" ht="12.75" hidden="1" customHeight="1" outlineLevel="2">
      <c r="A446" s="3"/>
      <c r="B446" s="3"/>
      <c r="C446" s="3"/>
      <c r="D446" s="16"/>
      <c r="E446" s="1594"/>
      <c r="F446" s="61">
        <v>4</v>
      </c>
      <c r="G446" s="1341"/>
      <c r="H446" s="114"/>
      <c r="I446" s="115"/>
      <c r="J446" s="115"/>
      <c r="K446" s="116"/>
      <c r="L446" s="18">
        <f>IF(A30stdlife="n/a","n/a",IF(L$3&gt;(A30stdlife+$F446),('RFM input'!$K$252*(1+vanilla4)^0.5)-SUM($K446:K446),('RFM input'!$K$252*(1+vanilla4)^0.5)/A30stdlife))</f>
        <v>0</v>
      </c>
      <c r="M446" s="18">
        <f>IF(A30stdlife="n/a","n/a",IF(M$3&gt;(A30stdlife+$F446),('RFM input'!$K$252*(1+vanilla4)^0.5)-SUM($K446:L446),('RFM input'!$K$252*(1+vanilla4)^0.5)/A30stdlife))</f>
        <v>0</v>
      </c>
      <c r="N446" s="18">
        <f>IF(A30stdlife="n/a","n/a",IF(N$3&gt;(A30stdlife+$F446),('RFM input'!$K$252*(1+vanilla4)^0.5)-SUM($K446:M446),('RFM input'!$K$252*(1+vanilla4)^0.5)/A30stdlife))</f>
        <v>0</v>
      </c>
      <c r="O446" s="18">
        <f>IF(A30stdlife="n/a","n/a",IF(O$3&gt;(A30stdlife+$F446),('RFM input'!$K$252*(1+vanilla4)^0.5)-SUM($K446:N446),('RFM input'!$K$252*(1+vanilla4)^0.5)/A30stdlife))</f>
        <v>0</v>
      </c>
      <c r="P446" s="18">
        <f>IF(A30stdlife="n/a","n/a",IF(P$3&gt;(A30stdlife+$F446),('RFM input'!$K$252*(1+vanilla4)^0.5)-SUM($K446:O446),('RFM input'!$K$252*(1+vanilla4)^0.5)/A30stdlife))</f>
        <v>0</v>
      </c>
      <c r="Q446" s="18">
        <f>IF(A30stdlife="n/a","n/a",IF(Q$3&gt;(A30stdlife+$F446),('RFM input'!$K$252*(1+vanilla4)^0.5)-SUM($K446:P446),('RFM input'!$K$252*(1+vanilla4)^0.5)/A30stdlife))</f>
        <v>0</v>
      </c>
      <c r="R446" s="18"/>
      <c r="S446" s="74"/>
      <c r="T446" s="74"/>
      <c r="U446" s="74"/>
      <c r="V446" s="74"/>
      <c r="W446" s="74"/>
      <c r="X446" s="74"/>
      <c r="Y446" s="74"/>
      <c r="Z446" s="74"/>
    </row>
    <row r="447" spans="1:26" ht="12.75" hidden="1" customHeight="1" outlineLevel="2">
      <c r="A447" s="3"/>
      <c r="B447" s="3"/>
      <c r="C447" s="3"/>
      <c r="D447" s="16"/>
      <c r="E447" s="1594"/>
      <c r="F447" s="61">
        <v>5</v>
      </c>
      <c r="G447" s="17"/>
      <c r="H447" s="114"/>
      <c r="I447" s="115"/>
      <c r="J447" s="115"/>
      <c r="K447" s="115"/>
      <c r="L447" s="116"/>
      <c r="M447" s="18">
        <f>IF(A30stdlife="n/a","n/a",IF(M$3&gt;(A30stdlife+$F447),('RFM input'!$L$252*(1+vanilla5)^0.5)-SUM($L447:L447),('RFM input'!$L$252*(1+vanilla5)^0.5)/A30stdlife))</f>
        <v>0</v>
      </c>
      <c r="N447" s="18">
        <f>IF(A30stdlife="n/a","n/a",IF(N$3&gt;(A30stdlife+$F447),('RFM input'!$L$252*(1+vanilla5)^0.5)-SUM($L447:M447),('RFM input'!$L$252*(1+vanilla5)^0.5)/A30stdlife))</f>
        <v>0</v>
      </c>
      <c r="O447" s="18">
        <f>IF(A30stdlife="n/a","n/a",IF(O$3&gt;(A30stdlife+$F447),('RFM input'!$L$252*(1+vanilla5)^0.5)-SUM($L447:N447),('RFM input'!$L$252*(1+vanilla5)^0.5)/A30stdlife))</f>
        <v>0</v>
      </c>
      <c r="P447" s="18">
        <f>IF(A30stdlife="n/a","n/a",IF(P$3&gt;(A30stdlife+$F447),('RFM input'!$L$252*(1+vanilla5)^0.5)-SUM($L447:O447),('RFM input'!$L$252*(1+vanilla5)^0.5)/A30stdlife))</f>
        <v>0</v>
      </c>
      <c r="Q447" s="18">
        <f>IF(A30stdlife="n/a","n/a",IF(Q$3&gt;(A30stdlife+$F447),('RFM input'!$L$252*(1+vanilla5)^0.5)-SUM($L447:P447),('RFM input'!$L$252*(1+vanilla5)^0.5)/A30stdlife))</f>
        <v>0</v>
      </c>
      <c r="R447" s="18"/>
      <c r="S447" s="74"/>
      <c r="T447" s="74"/>
      <c r="U447" s="74"/>
      <c r="V447" s="74"/>
      <c r="W447" s="74"/>
      <c r="X447" s="74"/>
      <c r="Y447" s="74"/>
      <c r="Z447" s="74"/>
    </row>
    <row r="448" spans="1:26" ht="12.75" hidden="1" customHeight="1" outlineLevel="2">
      <c r="A448" s="3"/>
      <c r="B448" s="3"/>
      <c r="C448" s="3"/>
      <c r="D448" s="16"/>
      <c r="E448" s="1594"/>
      <c r="F448" s="61">
        <v>6</v>
      </c>
      <c r="G448" s="17"/>
      <c r="H448" s="114"/>
      <c r="I448" s="115"/>
      <c r="J448" s="115"/>
      <c r="K448" s="115"/>
      <c r="L448" s="115"/>
      <c r="M448" s="116"/>
      <c r="N448" s="18">
        <f>IF(A30stdlife="n/a","n/a",IF(N$3&gt;(A30stdlife+$F448),('RFM input'!$M$252*(1+vanilla6)^0.5)-SUM($M448:M448),('RFM input'!$M$252*(1+vanilla6)^0.5)/A30stdlife))</f>
        <v>0</v>
      </c>
      <c r="O448" s="18">
        <f>IF(A30stdlife="n/a","n/a",IF(O$3&gt;(A30stdlife+$F448),('RFM input'!$M$252*(1+vanilla6)^0.5)-SUM($M448:N448),('RFM input'!$M$252*(1+vanilla6)^0.5)/A30stdlife))</f>
        <v>0</v>
      </c>
      <c r="P448" s="18">
        <f>IF(A30stdlife="n/a","n/a",IF(P$3&gt;(A30stdlife+$F448),('RFM input'!$M$252*(1+vanilla6)^0.5)-SUM($M448:O448),('RFM input'!$M$252*(1+vanilla6)^0.5)/A30stdlife))</f>
        <v>0</v>
      </c>
      <c r="Q448" s="18">
        <f>IF(A30stdlife="n/a","n/a",IF(Q$3&gt;(A30stdlife+$F448),('RFM input'!$M$252*(1+vanilla6)^0.5)-SUM($M448:P448),('RFM input'!$M$252*(1+vanilla6)^0.5)/A30stdlife))</f>
        <v>0</v>
      </c>
      <c r="R448" s="18"/>
      <c r="S448" s="74"/>
      <c r="T448" s="74"/>
      <c r="U448" s="74"/>
      <c r="V448" s="74"/>
      <c r="W448" s="74"/>
      <c r="X448" s="74"/>
      <c r="Y448" s="74"/>
      <c r="Z448" s="74"/>
    </row>
    <row r="449" spans="1:26" ht="12.75" hidden="1" customHeight="1" outlineLevel="2">
      <c r="A449" s="3"/>
      <c r="B449" s="3"/>
      <c r="C449" s="3"/>
      <c r="D449" s="16"/>
      <c r="E449" s="1594"/>
      <c r="F449" s="61">
        <v>7</v>
      </c>
      <c r="G449" s="17"/>
      <c r="H449" s="114"/>
      <c r="I449" s="115"/>
      <c r="J449" s="115"/>
      <c r="K449" s="115"/>
      <c r="L449" s="115"/>
      <c r="M449" s="115"/>
      <c r="N449" s="116"/>
      <c r="O449" s="18">
        <f>IF(A30stdlife="n/a","n/a",IF(O$3&gt;(A30stdlife+$F449),('RFM input'!M$252*(1+vanilla7)^0.5)-SUM($N449:N449),('RFM input'!$N$252*(1+vanilla7)^0.5)/A30stdlife))</f>
        <v>0</v>
      </c>
      <c r="P449" s="18">
        <f>IF(A30stdlife="n/a","n/a",IF(P$3&gt;(A30stdlife+$F449),('RFM input'!N$252*(1+vanilla7)^0.5)-SUM($N449:O449),('RFM input'!$N$252*(1+vanilla7)^0.5)/A30stdlife))</f>
        <v>0</v>
      </c>
      <c r="Q449" s="18">
        <f>IF(A30stdlife="n/a","n/a",IF(Q$3&gt;(A30stdlife+$F449),('RFM input'!O$252*(1+vanilla7)^0.5)-SUM($N449:P449),('RFM input'!$N$252*(1+vanilla7)^0.5)/A30stdlife))</f>
        <v>0</v>
      </c>
      <c r="R449" s="18"/>
      <c r="S449" s="74"/>
      <c r="T449" s="74"/>
      <c r="U449" s="74"/>
      <c r="V449" s="74"/>
      <c r="W449" s="74"/>
      <c r="X449" s="74"/>
      <c r="Y449" s="74"/>
      <c r="Z449" s="74"/>
    </row>
    <row r="450" spans="1:26" ht="12.75" hidden="1" customHeight="1" outlineLevel="2">
      <c r="A450" s="3"/>
      <c r="B450" s="3"/>
      <c r="C450" s="3"/>
      <c r="D450" s="16"/>
      <c r="E450" s="1594"/>
      <c r="F450" s="61">
        <v>8</v>
      </c>
      <c r="G450" s="17"/>
      <c r="H450" s="114"/>
      <c r="I450" s="115"/>
      <c r="J450" s="115"/>
      <c r="K450" s="115"/>
      <c r="L450" s="115"/>
      <c r="M450" s="115"/>
      <c r="N450" s="115"/>
      <c r="O450" s="116"/>
      <c r="P450" s="18">
        <f>IF(A30stdlife="n/a","n/a",IF(P$3&gt;(A30stdlife+$F450),('RFM input'!$O$252*(1+vanilla8)^0.5)-SUM($O450:O450),('RFM input'!$O$252*(1+vanilla8)^0.5)/A30stdlife))</f>
        <v>0</v>
      </c>
      <c r="Q450" s="18">
        <f>IF(A30stdlife="n/a","n/a",IF(Q$3&gt;(A30stdlife+$F450),('RFM input'!$O$252*(1+vanilla8)^0.5)-SUM($O450:P450),('RFM input'!$O$252*(1+vanilla8)^0.5)/A30stdlife))</f>
        <v>0</v>
      </c>
      <c r="R450" s="18"/>
      <c r="S450" s="74"/>
      <c r="T450" s="74"/>
      <c r="U450" s="74"/>
      <c r="V450" s="74"/>
      <c r="W450" s="74"/>
      <c r="X450" s="74"/>
      <c r="Y450" s="74"/>
      <c r="Z450" s="74"/>
    </row>
    <row r="451" spans="1:26" ht="12.75" hidden="1" customHeight="1" outlineLevel="2">
      <c r="A451" s="3"/>
      <c r="B451" s="3"/>
      <c r="C451" s="3"/>
      <c r="D451" s="16"/>
      <c r="E451" s="1594"/>
      <c r="F451" s="61">
        <v>9</v>
      </c>
      <c r="G451" s="17"/>
      <c r="H451" s="114"/>
      <c r="I451" s="115"/>
      <c r="J451" s="115"/>
      <c r="K451" s="115"/>
      <c r="L451" s="115"/>
      <c r="M451" s="115"/>
      <c r="N451" s="115"/>
      <c r="O451" s="115"/>
      <c r="P451" s="116"/>
      <c r="Q451" s="18">
        <f>IF(A30stdlife="n/a","n/a",IF(Q$3&gt;(A30stdlife+$F451),('RFM input'!$P$252*(1+vanilla9)^0.5)-SUM($P451:P451),('RFM input'!$P$252*(1+vanilla9)^0.5)/A30stdlife))</f>
        <v>0</v>
      </c>
      <c r="R451" s="18"/>
      <c r="S451" s="74"/>
      <c r="T451" s="74"/>
      <c r="U451" s="74"/>
      <c r="V451" s="74"/>
      <c r="W451" s="74"/>
      <c r="X451" s="74"/>
      <c r="Y451" s="74"/>
      <c r="Z451" s="74"/>
    </row>
    <row r="452" spans="1:26" ht="12.75" hidden="1" customHeight="1" outlineLevel="2">
      <c r="A452" s="3"/>
      <c r="B452" s="3"/>
      <c r="C452" s="3"/>
      <c r="D452" s="16"/>
      <c r="E452" s="1594"/>
      <c r="F452" s="62">
        <v>10</v>
      </c>
      <c r="G452" s="17"/>
      <c r="H452" s="114"/>
      <c r="I452" s="115"/>
      <c r="J452" s="115"/>
      <c r="K452" s="115"/>
      <c r="L452" s="115"/>
      <c r="M452" s="115"/>
      <c r="N452" s="115"/>
      <c r="O452" s="115"/>
      <c r="P452" s="115"/>
      <c r="Q452" s="116"/>
      <c r="R452" s="18"/>
      <c r="S452" s="74"/>
      <c r="T452" s="74"/>
      <c r="U452" s="74"/>
      <c r="V452" s="74"/>
      <c r="W452" s="74"/>
      <c r="X452" s="74"/>
      <c r="Y452" s="74"/>
      <c r="Z452" s="74"/>
    </row>
    <row r="453" spans="1:26" ht="13.35" hidden="1" customHeight="1" outlineLevel="1">
      <c r="A453" s="3"/>
      <c r="B453" s="3"/>
      <c r="C453" s="3"/>
      <c r="D453" s="134">
        <f>Asset30</f>
        <v>0</v>
      </c>
      <c r="E453" s="3"/>
      <c r="F453" s="3"/>
      <c r="G453" s="1341"/>
      <c r="H453" s="1458">
        <f>IF(OR('RFM input'!$E$293='RFM input'!$G$292,'RFM input'!$E$293='RFM input'!$G$293),-INDEX('RFM input'!H$299:H$348,MATCH($D453,'RFM input'!$E$299:$E$348,0),1),-SUM(H441:H452))</f>
        <v>0</v>
      </c>
      <c r="I453" s="1458">
        <f>IF(OR('RFM input'!$E$293='RFM input'!$G$292,'RFM input'!$E$293='RFM input'!$G$293),-INDEX('RFM input'!I$299:I$348,MATCH($D453,'RFM input'!$E$299:$E$348,0),1),-SUM(I441:I452))</f>
        <v>0</v>
      </c>
      <c r="J453" s="1386">
        <f>IF(COUNT($H453:I453)&gt;='RFM input'!$V$7,
   0,
   IF(OR('RFM input'!$E$293='RFM input'!$G$292,'RFM input'!$E$293='RFM input'!$G$293),
      -INDEX('RFM input'!J$299:J$348,MATCH($D453,'RFM input'!$E$299:$E$348,0),1),
      -SUM(J441:J452)))</f>
        <v>0</v>
      </c>
      <c r="K453" s="1386">
        <f>IF(COUNT($H453:J453)&gt;='RFM input'!$V$7,
   0,
   IF(OR('RFM input'!$E$293='RFM input'!$G$292,'RFM input'!$E$293='RFM input'!$G$293),
      -INDEX('RFM input'!K$299:K$348,MATCH($D453,'RFM input'!$E$299:$E$348,0),1),
      -SUM(K441:K452)))</f>
        <v>0</v>
      </c>
      <c r="L453" s="1386">
        <f>IF(COUNT($H453:K453)&gt;='RFM input'!$V$7,
   0,
   IF(OR('RFM input'!$E$293='RFM input'!$G$292,'RFM input'!$E$293='RFM input'!$G$293),
      -INDEX('RFM input'!L$299:L$348,MATCH($D453,'RFM input'!$E$299:$E$348,0),1),
      -SUM(L441:L452)))</f>
        <v>0</v>
      </c>
      <c r="M453" s="1386">
        <f>IF(COUNT($H453:L453)&gt;='RFM input'!$V$7,
   0,
   IF(OR('RFM input'!$E$293='RFM input'!$G$292,'RFM input'!$E$293='RFM input'!$G$293),
      -INDEX('RFM input'!M$299:M$348,MATCH($D453,'RFM input'!$E$299:$E$348,0),1),
      -SUM(M441:M452)))</f>
        <v>0</v>
      </c>
      <c r="N453" s="1386">
        <f>IF(COUNT($H453:M453)&gt;='RFM input'!$V$7,
   0,
   IF(OR('RFM input'!$E$293='RFM input'!$G$292,'RFM input'!$E$293='RFM input'!$G$293),
      -INDEX('RFM input'!N$299:N$348,MATCH($D453,'RFM input'!$E$299:$E$348,0),1),
      -SUM(N441:N452)))</f>
        <v>0</v>
      </c>
      <c r="O453" s="1386">
        <f>IF(COUNT($H453:N453)&gt;='RFM input'!$V$7,
   0,
   IF(OR('RFM input'!$E$293='RFM input'!$G$292,'RFM input'!$E$293='RFM input'!$G$293),
      -INDEX('RFM input'!O$299:O$348,MATCH($D453,'RFM input'!$E$299:$E$348,0),1),
      -SUM(O441:O452)))</f>
        <v>0</v>
      </c>
      <c r="P453" s="1386">
        <f>IF(COUNT($H453:O453)&gt;='RFM input'!$V$7,
   0,
   IF(OR('RFM input'!$E$293='RFM input'!$G$292,'RFM input'!$E$293='RFM input'!$G$293),
      -INDEX('RFM input'!P$299:P$348,MATCH($D453,'RFM input'!$E$299:$E$348,0),1),
      -SUM(P441:P452)))</f>
        <v>0</v>
      </c>
      <c r="Q453" s="1386">
        <f>IF(COUNT($H453:P453)&gt;='RFM input'!$V$7,
   0,
   IF(OR('RFM input'!$E$293='RFM input'!$G$292,'RFM input'!$E$293='RFM input'!$G$293),
      -INDEX('RFM input'!Q$299:Q$348,MATCH($D453,'RFM input'!$E$299:$E$348,0),1),
      -SUM(Q441:Q452)))</f>
        <v>0</v>
      </c>
      <c r="R453" s="1382"/>
      <c r="S453" s="76"/>
      <c r="T453" s="76"/>
      <c r="U453" s="76"/>
      <c r="V453" s="76"/>
      <c r="W453" s="76"/>
      <c r="X453" s="76"/>
      <c r="Y453" s="76"/>
      <c r="Z453" s="76"/>
    </row>
    <row r="454" spans="1:26" ht="12.75" hidden="1" customHeight="1" outlineLevel="2">
      <c r="A454" s="3"/>
      <c r="B454" s="3"/>
      <c r="C454" s="135">
        <f>Asset31</f>
        <v>0</v>
      </c>
      <c r="D454" s="100"/>
      <c r="E454" s="20" t="s">
        <v>23</v>
      </c>
      <c r="F454" s="19"/>
      <c r="G454" s="1383"/>
      <c r="H454" s="1380">
        <f>IF(H$3&gt;A31remlife,A31value-SUM($G454:G454),IF(A31remlife="N/A","n/a",A31value/A31remlife))</f>
        <v>0</v>
      </c>
      <c r="I454" s="1380">
        <f>IF(I$3&gt;A31remlife,A31value-SUM($G454:H454),IF(A31remlife="N/A","n/a",A31value/A31remlife))</f>
        <v>0</v>
      </c>
      <c r="J454" s="1380">
        <f>IF(J$3&gt;A31remlife,A31value-SUM($G454:I454),IF(A31remlife="N/A","n/a",A31value/A31remlife))</f>
        <v>0</v>
      </c>
      <c r="K454" s="1380">
        <f>IF(K$3&gt;A31remlife,A31value-SUM($G454:J454),IF(A31remlife="N/A","n/a",A31value/A31remlife))</f>
        <v>0</v>
      </c>
      <c r="L454" s="1380">
        <f>IF(L$3&gt;A31remlife,A31value-SUM($G454:K454),IF(A31remlife="N/A","n/a",A31value/A31remlife))</f>
        <v>0</v>
      </c>
      <c r="M454" s="1380">
        <f>IF(M$3&gt;A31remlife,A31value-SUM($G454:L454),IF(A31remlife="N/A","n/a",A31value/A31remlife))</f>
        <v>0</v>
      </c>
      <c r="N454" s="1380">
        <f>IF(N$3&gt;A31remlife,A31value-SUM($G454:M454),IF(A31remlife="N/A","n/a",A31value/A31remlife))</f>
        <v>0</v>
      </c>
      <c r="O454" s="1380">
        <f>IF(O$3&gt;A31remlife,A31value-SUM($G454:N454),IF(A31remlife="N/A","n/a",A31value/A31remlife))</f>
        <v>0</v>
      </c>
      <c r="P454" s="1380">
        <f>IF(P$3&gt;A31remlife,A31value-SUM($G454:O454),IF(A31remlife="N/A","n/a",A31value/A31remlife))</f>
        <v>0</v>
      </c>
      <c r="Q454" s="1380">
        <f>IF(Q$3&gt;A31remlife,A31value-SUM($G454:P454),IF(A31remlife="N/A","n/a",A31value/A31remlife))</f>
        <v>0</v>
      </c>
      <c r="R454" s="21"/>
      <c r="S454" s="74"/>
      <c r="T454" s="74"/>
      <c r="U454" s="74"/>
      <c r="V454" s="74"/>
      <c r="W454" s="74"/>
      <c r="X454" s="74"/>
      <c r="Y454" s="74"/>
      <c r="Z454" s="74"/>
    </row>
    <row r="455" spans="1:26" ht="12.75" hidden="1" customHeight="1" outlineLevel="2">
      <c r="A455" s="3"/>
      <c r="B455" s="3"/>
      <c r="C455" s="3"/>
      <c r="D455" s="16"/>
      <c r="E455" s="1593" t="s">
        <v>43</v>
      </c>
      <c r="F455" s="61"/>
      <c r="G455" s="1341"/>
      <c r="H455" s="18"/>
      <c r="I455" s="18"/>
      <c r="J455" s="18"/>
      <c r="K455" s="18"/>
      <c r="L455" s="18"/>
      <c r="M455" s="1384"/>
      <c r="N455" s="1385"/>
      <c r="O455" s="18"/>
      <c r="P455" s="18"/>
      <c r="Q455" s="18"/>
      <c r="R455" s="18"/>
      <c r="S455" s="74"/>
      <c r="T455" s="74"/>
      <c r="U455" s="74"/>
      <c r="V455" s="74"/>
      <c r="W455" s="74"/>
      <c r="X455" s="74"/>
      <c r="Y455" s="74"/>
      <c r="Z455" s="74"/>
    </row>
    <row r="456" spans="1:26" ht="12.75" hidden="1" customHeight="1" outlineLevel="2">
      <c r="A456" s="3"/>
      <c r="B456" s="3"/>
      <c r="C456" s="3"/>
      <c r="D456" s="16"/>
      <c r="E456" s="1594"/>
      <c r="F456" s="61">
        <v>1</v>
      </c>
      <c r="G456" s="1341"/>
      <c r="H456" s="1381"/>
      <c r="I456" s="18">
        <f>IF(A31stdlife="n/a","n/a",IF(I$3&gt;(A31stdlife+$F456),('RFM input'!$H$253*(1+vanilla1)^0.5)-SUM($H456:H456),('RFM input'!$H$253*(1+vanilla1)^0.5)/A31stdlife))</f>
        <v>0</v>
      </c>
      <c r="J456" s="18">
        <f>IF(A31stdlife="n/a","n/a",IF(J$3&gt;(A31stdlife+$F456),('RFM input'!$H$253*(1+vanilla1)^0.5)-SUM($H456:I456),('RFM input'!$H$253*(1+vanilla1)^0.5)/A31stdlife))</f>
        <v>0</v>
      </c>
      <c r="K456" s="18">
        <f>IF(A31stdlife="n/a","n/a",IF(K$3&gt;(A31stdlife+$F456),('RFM input'!$H$253*(1+vanilla1)^0.5)-SUM($H456:J456),('RFM input'!$H$253*(1+vanilla1)^0.5)/A31stdlife))</f>
        <v>0</v>
      </c>
      <c r="L456" s="18">
        <f>IF(A31stdlife="n/a","n/a",IF(L$3&gt;(A31stdlife+$F456),('RFM input'!$H$253*(1+vanilla1)^0.5)-SUM($H456:K456),('RFM input'!$H$253*(1+vanilla1)^0.5)/A31stdlife))</f>
        <v>0</v>
      </c>
      <c r="M456" s="18">
        <f>IF(A31stdlife="n/a","n/a",IF(M$3&gt;(A31stdlife+$F456),('RFM input'!$H$253*(1+vanilla1)^0.5)-SUM($H456:L456),('RFM input'!$H$253*(1+vanilla1)^0.5)/A31stdlife))</f>
        <v>0</v>
      </c>
      <c r="N456" s="18">
        <f>IF(A31stdlife="n/a","n/a",IF(N$3&gt;(A31stdlife+$F456),('RFM input'!$H$253*(1+vanilla1)^0.5)-SUM($H456:M456),('RFM input'!$H$253*(1+vanilla1)^0.5)/A31stdlife))</f>
        <v>0</v>
      </c>
      <c r="O456" s="18">
        <f>IF(A31stdlife="n/a","n/a",IF(O$3&gt;(A31stdlife+$F456),('RFM input'!$H$253*(1+vanilla1)^0.5)-SUM($H456:N456),('RFM input'!$H$253*(1+vanilla1)^0.5)/A31stdlife))</f>
        <v>0</v>
      </c>
      <c r="P456" s="18">
        <f>IF(A31stdlife="n/a","n/a",IF(P$3&gt;(A31stdlife+$F456),('RFM input'!$H$253*(1+vanilla1)^0.5)-SUM($H456:O456),('RFM input'!$H$253*(1+vanilla1)^0.5)/A31stdlife))</f>
        <v>0</v>
      </c>
      <c r="Q456" s="18">
        <f>IF(A31stdlife="n/a","n/a",IF(Q$3&gt;(A31stdlife+$F456),('RFM input'!$H$253*(1+vanilla1)^0.5)-SUM($H456:P456),('RFM input'!$H$253*(1+vanilla1)^0.5)/A31stdlife))</f>
        <v>0</v>
      </c>
      <c r="R456" s="18"/>
      <c r="S456" s="74"/>
      <c r="T456" s="74"/>
      <c r="U456" s="74"/>
      <c r="V456" s="74"/>
      <c r="W456" s="74"/>
      <c r="X456" s="74"/>
      <c r="Y456" s="74"/>
      <c r="Z456" s="74"/>
    </row>
    <row r="457" spans="1:26" ht="12.75" hidden="1" customHeight="1" outlineLevel="2">
      <c r="A457" s="3"/>
      <c r="B457" s="3"/>
      <c r="C457" s="3"/>
      <c r="D457" s="16"/>
      <c r="E457" s="1594"/>
      <c r="F457" s="61">
        <v>2</v>
      </c>
      <c r="G457" s="1341"/>
      <c r="H457" s="114"/>
      <c r="I457" s="116"/>
      <c r="J457" s="18">
        <f>IF(A31stdlife="n/a","n/a",IF(J$3&gt;(A31stdlife+$F457),('RFM input'!$I$253*(1+vanilla2)^0.5)-SUM($I457:I457),('RFM input'!$I$253*(1+vanilla2)^0.5)/A31stdlife))</f>
        <v>0</v>
      </c>
      <c r="K457" s="18">
        <f>IF(A31stdlife="n/a","n/a",IF(K$3&gt;(A31stdlife+$F457),('RFM input'!$I$253*(1+vanilla2)^0.5)-SUM($I457:J457),('RFM input'!$I$253*(1+vanilla2)^0.5)/A31stdlife))</f>
        <v>0</v>
      </c>
      <c r="L457" s="18">
        <f>IF(A31stdlife="n/a","n/a",IF(L$3&gt;(A31stdlife+$F457),('RFM input'!$I$253*(1+vanilla2)^0.5)-SUM($I457:K457),('RFM input'!$I$253*(1+vanilla2)^0.5)/A31stdlife))</f>
        <v>0</v>
      </c>
      <c r="M457" s="18">
        <f>IF(A31stdlife="n/a","n/a",IF(M$3&gt;(A31stdlife+$F457),('RFM input'!$I$253*(1+vanilla2)^0.5)-SUM($I457:L457),('RFM input'!$I$253*(1+vanilla2)^0.5)/A31stdlife))</f>
        <v>0</v>
      </c>
      <c r="N457" s="18">
        <f>IF(A31stdlife="n/a","n/a",IF(N$3&gt;(A31stdlife+$F457),('RFM input'!$I$253*(1+vanilla2)^0.5)-SUM($I457:M457),('RFM input'!$I$253*(1+vanilla2)^0.5)/A31stdlife))</f>
        <v>0</v>
      </c>
      <c r="O457" s="18">
        <f>IF(A31stdlife="n/a","n/a",IF(O$3&gt;(A31stdlife+$F457),('RFM input'!$I$253*(1+vanilla2)^0.5)-SUM($I457:N457),('RFM input'!$I$253*(1+vanilla2)^0.5)/A31stdlife))</f>
        <v>0</v>
      </c>
      <c r="P457" s="18">
        <f>IF(A31stdlife="n/a","n/a",IF(P$3&gt;(A31stdlife+$F457),('RFM input'!$I$253*(1+vanilla2)^0.5)-SUM($I457:O457),('RFM input'!$I$253*(1+vanilla2)^0.5)/A31stdlife))</f>
        <v>0</v>
      </c>
      <c r="Q457" s="18">
        <f>IF(A31stdlife="n/a","n/a",IF(Q$3&gt;(A31stdlife+$F457),('RFM input'!$I$253*(1+vanilla2)^0.5)-SUM($I457:P457),('RFM input'!$I$253*(1+vanilla2)^0.5)/A31stdlife))</f>
        <v>0</v>
      </c>
      <c r="R457" s="18"/>
      <c r="S457" s="74"/>
      <c r="T457" s="74"/>
      <c r="U457" s="74"/>
      <c r="V457" s="74"/>
      <c r="W457" s="74"/>
      <c r="X457" s="74"/>
      <c r="Y457" s="74"/>
      <c r="Z457" s="74"/>
    </row>
    <row r="458" spans="1:26" ht="12.75" hidden="1" customHeight="1" outlineLevel="2">
      <c r="A458" s="3"/>
      <c r="B458" s="3"/>
      <c r="C458" s="3"/>
      <c r="D458" s="16"/>
      <c r="E458" s="1594"/>
      <c r="F458" s="61">
        <v>3</v>
      </c>
      <c r="G458" s="1341"/>
      <c r="H458" s="114"/>
      <c r="I458" s="115"/>
      <c r="J458" s="116"/>
      <c r="K458" s="18">
        <f>IF(A31stdlife="n/a","n/a",IF(K$3&gt;(A31stdlife+$F458),('RFM input'!$J$253*(1+vanilla3)^0.5)-SUM($J458:J458),('RFM input'!$J$253*(1+vanilla3)^0.5)/A31stdlife))</f>
        <v>0</v>
      </c>
      <c r="L458" s="18">
        <f>IF(A31stdlife="n/a","n/a",IF(L$3&gt;(A31stdlife+$F458),('RFM input'!$J$253*(1+vanilla3)^0.5)-SUM($J458:K458),('RFM input'!$J$253*(1+vanilla3)^0.5)/A31stdlife))</f>
        <v>0</v>
      </c>
      <c r="M458" s="18">
        <f>IF(A31stdlife="n/a","n/a",IF(M$3&gt;(A31stdlife+$F458),('RFM input'!$J$253*(1+vanilla3)^0.5)-SUM($J458:L458),('RFM input'!$J$253*(1+vanilla3)^0.5)/A31stdlife))</f>
        <v>0</v>
      </c>
      <c r="N458" s="18">
        <f>IF(A31stdlife="n/a","n/a",IF(N$3&gt;(A31stdlife+$F458),('RFM input'!$J$253*(1+vanilla3)^0.5)-SUM($J458:M458),('RFM input'!$J$253*(1+vanilla3)^0.5)/A31stdlife))</f>
        <v>0</v>
      </c>
      <c r="O458" s="18">
        <f>IF(A31stdlife="n/a","n/a",IF(O$3&gt;(A31stdlife+$F458),('RFM input'!$J$253*(1+vanilla3)^0.5)-SUM($J458:N458),('RFM input'!$J$253*(1+vanilla3)^0.5)/A31stdlife))</f>
        <v>0</v>
      </c>
      <c r="P458" s="18">
        <f>IF(A31stdlife="n/a","n/a",IF(P$3&gt;(A31stdlife+$F458),('RFM input'!$J$253*(1+vanilla3)^0.5)-SUM($J458:O458),('RFM input'!$J$253*(1+vanilla3)^0.5)/A31stdlife))</f>
        <v>0</v>
      </c>
      <c r="Q458" s="18">
        <f>IF(A31stdlife="n/a","n/a",IF(Q$3&gt;(A31stdlife+$F458),('RFM input'!$J$253*(1+vanilla3)^0.5)-SUM($J458:P458),('RFM input'!$J$253*(1+vanilla3)^0.5)/A31stdlife))</f>
        <v>0</v>
      </c>
      <c r="R458" s="18"/>
      <c r="S458" s="74"/>
      <c r="T458" s="74"/>
      <c r="U458" s="74"/>
      <c r="V458" s="74"/>
      <c r="W458" s="74"/>
      <c r="X458" s="74"/>
      <c r="Y458" s="74"/>
      <c r="Z458" s="74"/>
    </row>
    <row r="459" spans="1:26" ht="12.75" hidden="1" customHeight="1" outlineLevel="2">
      <c r="A459" s="3"/>
      <c r="B459" s="3"/>
      <c r="C459" s="3"/>
      <c r="D459" s="16"/>
      <c r="E459" s="1594"/>
      <c r="F459" s="61">
        <v>4</v>
      </c>
      <c r="G459" s="1341"/>
      <c r="H459" s="114"/>
      <c r="I459" s="115"/>
      <c r="J459" s="115"/>
      <c r="K459" s="116"/>
      <c r="L459" s="18">
        <f>IF(A31stdlife="n/a","n/a",IF(L$3&gt;(A31stdlife+$F459),('RFM input'!$K$253*(1+vanilla4)^0.5)-SUM($K459:K459),('RFM input'!$K$253*(1+vanilla4)^0.5)/A31stdlife))</f>
        <v>0</v>
      </c>
      <c r="M459" s="18">
        <f>IF(A31stdlife="n/a","n/a",IF(M$3&gt;(A31stdlife+$F459),('RFM input'!$K$253*(1+vanilla4)^0.5)-SUM($K459:L459),('RFM input'!$K$253*(1+vanilla4)^0.5)/A31stdlife))</f>
        <v>0</v>
      </c>
      <c r="N459" s="18">
        <f>IF(A31stdlife="n/a","n/a",IF(N$3&gt;(A31stdlife+$F459),('RFM input'!$K$253*(1+vanilla4)^0.5)-SUM($K459:M459),('RFM input'!$K$253*(1+vanilla4)^0.5)/A31stdlife))</f>
        <v>0</v>
      </c>
      <c r="O459" s="18">
        <f>IF(A31stdlife="n/a","n/a",IF(O$3&gt;(A31stdlife+$F459),('RFM input'!$K$253*(1+vanilla4)^0.5)-SUM($K459:N459),('RFM input'!$K$253*(1+vanilla4)^0.5)/A31stdlife))</f>
        <v>0</v>
      </c>
      <c r="P459" s="18">
        <f>IF(A31stdlife="n/a","n/a",IF(P$3&gt;(A31stdlife+$F459),('RFM input'!$K$253*(1+vanilla4)^0.5)-SUM($K459:O459),('RFM input'!$K$253*(1+vanilla4)^0.5)/A31stdlife))</f>
        <v>0</v>
      </c>
      <c r="Q459" s="18">
        <f>IF(A31stdlife="n/a","n/a",IF(Q$3&gt;(A31stdlife+$F459),('RFM input'!$K$253*(1+vanilla4)^0.5)-SUM($K459:P459),('RFM input'!$K$253*(1+vanilla4)^0.5)/A31stdlife))</f>
        <v>0</v>
      </c>
      <c r="R459" s="18"/>
      <c r="S459" s="74"/>
      <c r="T459" s="74"/>
      <c r="U459" s="74"/>
      <c r="V459" s="74"/>
      <c r="W459" s="74"/>
      <c r="X459" s="74"/>
      <c r="Y459" s="74"/>
      <c r="Z459" s="74"/>
    </row>
    <row r="460" spans="1:26" ht="12.75" hidden="1" customHeight="1" outlineLevel="2">
      <c r="A460" s="3"/>
      <c r="B460" s="3"/>
      <c r="C460" s="3"/>
      <c r="D460" s="16"/>
      <c r="E460" s="1594"/>
      <c r="F460" s="61">
        <v>5</v>
      </c>
      <c r="G460" s="17"/>
      <c r="H460" s="114"/>
      <c r="I460" s="115"/>
      <c r="J460" s="115"/>
      <c r="K460" s="115"/>
      <c r="L460" s="116"/>
      <c r="M460" s="18">
        <f>IF(A31stdlife="n/a","n/a",IF(M$3&gt;(A31stdlife+$F460),('RFM input'!$L$253*(1+vanilla5)^0.5)-SUM($L460:L460),('RFM input'!$L$253*(1+vanilla5)^0.5)/A31stdlife))</f>
        <v>0</v>
      </c>
      <c r="N460" s="18">
        <f>IF(A31stdlife="n/a","n/a",IF(N$3&gt;(A31stdlife+$F460),('RFM input'!$L$253*(1+vanilla5)^0.5)-SUM($L460:M460),('RFM input'!$L$253*(1+vanilla5)^0.5)/A31stdlife))</f>
        <v>0</v>
      </c>
      <c r="O460" s="18">
        <f>IF(A31stdlife="n/a","n/a",IF(O$3&gt;(A31stdlife+$F460),('RFM input'!$L$253*(1+vanilla5)^0.5)-SUM($L460:N460),('RFM input'!$L$253*(1+vanilla5)^0.5)/A31stdlife))</f>
        <v>0</v>
      </c>
      <c r="P460" s="18">
        <f>IF(A31stdlife="n/a","n/a",IF(P$3&gt;(A31stdlife+$F460),('RFM input'!$L$253*(1+vanilla5)^0.5)-SUM($L460:O460),('RFM input'!$L$253*(1+vanilla5)^0.5)/A31stdlife))</f>
        <v>0</v>
      </c>
      <c r="Q460" s="18">
        <f>IF(A31stdlife="n/a","n/a",IF(Q$3&gt;(A31stdlife+$F460),('RFM input'!$L$253*(1+vanilla5)^0.5)-SUM($L460:P460),('RFM input'!$L$253*(1+vanilla5)^0.5)/A31stdlife))</f>
        <v>0</v>
      </c>
      <c r="R460" s="18"/>
      <c r="S460" s="74"/>
      <c r="T460" s="74"/>
      <c r="U460" s="74"/>
      <c r="V460" s="74"/>
      <c r="W460" s="74"/>
      <c r="X460" s="74"/>
      <c r="Y460" s="74"/>
      <c r="Z460" s="74"/>
    </row>
    <row r="461" spans="1:26" ht="12.75" hidden="1" customHeight="1" outlineLevel="2">
      <c r="A461" s="3"/>
      <c r="B461" s="3"/>
      <c r="C461" s="3"/>
      <c r="D461" s="16"/>
      <c r="E461" s="1594"/>
      <c r="F461" s="61">
        <v>6</v>
      </c>
      <c r="G461" s="17"/>
      <c r="H461" s="114"/>
      <c r="I461" s="115"/>
      <c r="J461" s="115"/>
      <c r="K461" s="115"/>
      <c r="L461" s="115"/>
      <c r="M461" s="116"/>
      <c r="N461" s="18">
        <f>IF(A31stdlife="n/a","n/a",IF(N$3&gt;(A31stdlife+$F461),('RFM input'!$M$253*(1+vanilla6)^0.5)-SUM($M461:M461),('RFM input'!$M$253*(1+vanilla6)^0.5)/A31stdlife))</f>
        <v>0</v>
      </c>
      <c r="O461" s="18">
        <f>IF(A31stdlife="n/a","n/a",IF(O$3&gt;(A31stdlife+$F461),('RFM input'!$M$253*(1+vanilla6)^0.5)-SUM($M461:N461),('RFM input'!$M$253*(1+vanilla6)^0.5)/A31stdlife))</f>
        <v>0</v>
      </c>
      <c r="P461" s="18">
        <f>IF(A31stdlife="n/a","n/a",IF(P$3&gt;(A31stdlife+$F461),('RFM input'!$M$253*(1+vanilla6)^0.5)-SUM($M461:O461),('RFM input'!$M$253*(1+vanilla6)^0.5)/A31stdlife))</f>
        <v>0</v>
      </c>
      <c r="Q461" s="18">
        <f>IF(A31stdlife="n/a","n/a",IF(Q$3&gt;(A31stdlife+$F461),('RFM input'!$M$253*(1+vanilla6)^0.5)-SUM($M461:P461),('RFM input'!$M$253*(1+vanilla6)^0.5)/A31stdlife))</f>
        <v>0</v>
      </c>
      <c r="R461" s="18"/>
      <c r="S461" s="74"/>
      <c r="T461" s="74"/>
      <c r="U461" s="74"/>
      <c r="V461" s="74"/>
      <c r="W461" s="74"/>
      <c r="X461" s="74"/>
      <c r="Y461" s="74"/>
      <c r="Z461" s="74"/>
    </row>
    <row r="462" spans="1:26" ht="12.75" hidden="1" customHeight="1" outlineLevel="2">
      <c r="A462" s="3"/>
      <c r="B462" s="3"/>
      <c r="C462" s="3"/>
      <c r="D462" s="16"/>
      <c r="E462" s="1594"/>
      <c r="F462" s="61">
        <v>7</v>
      </c>
      <c r="G462" s="17"/>
      <c r="H462" s="114"/>
      <c r="I462" s="115"/>
      <c r="J462" s="115"/>
      <c r="K462" s="115"/>
      <c r="L462" s="115"/>
      <c r="M462" s="115"/>
      <c r="N462" s="116"/>
      <c r="O462" s="18">
        <f>IF(A31stdlife="n/a","n/a",IF(O$3&gt;(A31stdlife+$F462),('RFM input'!M$253*(1+vanilla7)^0.5)-SUM($N462:N462),('RFM input'!$N$253*(1+vanilla7)^0.5)/A31stdlife))</f>
        <v>0</v>
      </c>
      <c r="P462" s="18">
        <f>IF(A31stdlife="n/a","n/a",IF(P$3&gt;(A31stdlife+$F462),('RFM input'!N$253*(1+vanilla7)^0.5)-SUM($N462:O462),('RFM input'!$N$253*(1+vanilla7)^0.5)/A31stdlife))</f>
        <v>0</v>
      </c>
      <c r="Q462" s="18">
        <f>IF(A31stdlife="n/a","n/a",IF(Q$3&gt;(A31stdlife+$F462),('RFM input'!O$253*(1+vanilla7)^0.5)-SUM($N462:P462),('RFM input'!$N$253*(1+vanilla7)^0.5)/A31stdlife))</f>
        <v>0</v>
      </c>
      <c r="R462" s="18"/>
      <c r="S462" s="74"/>
      <c r="T462" s="74"/>
      <c r="U462" s="74"/>
      <c r="V462" s="74"/>
      <c r="W462" s="74"/>
      <c r="X462" s="74"/>
      <c r="Y462" s="74"/>
      <c r="Z462" s="74"/>
    </row>
    <row r="463" spans="1:26" ht="12.75" hidden="1" customHeight="1" outlineLevel="2">
      <c r="A463" s="3"/>
      <c r="B463" s="3"/>
      <c r="C463" s="3"/>
      <c r="D463" s="16"/>
      <c r="E463" s="1594"/>
      <c r="F463" s="61">
        <v>8</v>
      </c>
      <c r="G463" s="17"/>
      <c r="H463" s="114"/>
      <c r="I463" s="115"/>
      <c r="J463" s="115"/>
      <c r="K463" s="115"/>
      <c r="L463" s="115"/>
      <c r="M463" s="115"/>
      <c r="N463" s="115"/>
      <c r="O463" s="116"/>
      <c r="P463" s="18">
        <f>IF(A31stdlife="n/a","n/a",IF(P$3&gt;(A31stdlife+$F463),('RFM input'!$O$253*(1+vanilla8)^0.5)-SUM($O463:O463),('RFM input'!$O$253*(1+vanilla8)^0.5)/A31stdlife))</f>
        <v>0</v>
      </c>
      <c r="Q463" s="18">
        <f>IF(A31stdlife="n/a","n/a",IF(Q$3&gt;(A31stdlife+$F463),('RFM input'!$O$253*(1+vanilla8)^0.5)-SUM($O463:P463),('RFM input'!$O$253*(1+vanilla8)^0.5)/A31stdlife))</f>
        <v>0</v>
      </c>
      <c r="R463" s="18"/>
      <c r="S463" s="74"/>
      <c r="T463" s="74"/>
      <c r="U463" s="74"/>
      <c r="V463" s="74"/>
      <c r="W463" s="74"/>
      <c r="X463" s="74"/>
      <c r="Y463" s="74"/>
      <c r="Z463" s="74"/>
    </row>
    <row r="464" spans="1:26" ht="12.75" hidden="1" customHeight="1" outlineLevel="2">
      <c r="A464" s="3"/>
      <c r="B464" s="3"/>
      <c r="C464" s="3"/>
      <c r="D464" s="16"/>
      <c r="E464" s="1594"/>
      <c r="F464" s="61">
        <v>9</v>
      </c>
      <c r="G464" s="17"/>
      <c r="H464" s="114"/>
      <c r="I464" s="115"/>
      <c r="J464" s="115"/>
      <c r="K464" s="115"/>
      <c r="L464" s="115"/>
      <c r="M464" s="115"/>
      <c r="N464" s="115"/>
      <c r="O464" s="115"/>
      <c r="P464" s="116"/>
      <c r="Q464" s="18">
        <f>IF(A31stdlife="n/a","n/a",IF(Q$3&gt;(A31stdlife+$F464),('RFM input'!$P$253*(1+vanilla9)^0.5)-SUM($P464:P464),('RFM input'!$P$253*(1+vanilla9)^0.5)/A31stdlife))</f>
        <v>0</v>
      </c>
      <c r="R464" s="18"/>
      <c r="S464" s="74"/>
      <c r="T464" s="74"/>
      <c r="U464" s="74"/>
      <c r="V464" s="74"/>
      <c r="W464" s="74"/>
      <c r="X464" s="74"/>
      <c r="Y464" s="74"/>
      <c r="Z464" s="74"/>
    </row>
    <row r="465" spans="1:26" ht="12.75" hidden="1" customHeight="1" outlineLevel="2">
      <c r="A465" s="3"/>
      <c r="B465" s="3"/>
      <c r="C465" s="3"/>
      <c r="D465" s="16"/>
      <c r="E465" s="1594"/>
      <c r="F465" s="62">
        <v>10</v>
      </c>
      <c r="G465" s="17"/>
      <c r="H465" s="114"/>
      <c r="I465" s="115"/>
      <c r="J465" s="115"/>
      <c r="K465" s="115"/>
      <c r="L465" s="115"/>
      <c r="M465" s="115"/>
      <c r="N465" s="115"/>
      <c r="O465" s="115"/>
      <c r="P465" s="115"/>
      <c r="Q465" s="116"/>
      <c r="R465" s="18"/>
      <c r="S465" s="74"/>
      <c r="T465" s="74"/>
      <c r="U465" s="74"/>
      <c r="V465" s="74"/>
      <c r="W465" s="74"/>
      <c r="X465" s="74"/>
      <c r="Y465" s="74"/>
      <c r="Z465" s="74"/>
    </row>
    <row r="466" spans="1:26" ht="13.35" hidden="1" customHeight="1" outlineLevel="1">
      <c r="A466" s="3"/>
      <c r="B466" s="3"/>
      <c r="C466" s="3"/>
      <c r="D466" s="134">
        <f>Asset31</f>
        <v>0</v>
      </c>
      <c r="E466" s="3"/>
      <c r="F466" s="3"/>
      <c r="G466" s="1341"/>
      <c r="H466" s="1458">
        <f>IF(OR('RFM input'!$E$293='RFM input'!$G$292,'RFM input'!$E$293='RFM input'!$G$293),-INDEX('RFM input'!H$299:H$348,MATCH($D466,'RFM input'!$E$299:$E$348,0),1),-SUM(H454:H465))</f>
        <v>0</v>
      </c>
      <c r="I466" s="1458">
        <f>IF(OR('RFM input'!$E$293='RFM input'!$G$292,'RFM input'!$E$293='RFM input'!$G$293),-INDEX('RFM input'!I$299:I$348,MATCH($D466,'RFM input'!$E$299:$E$348,0),1),-SUM(I454:I465))</f>
        <v>0</v>
      </c>
      <c r="J466" s="1386">
        <f>IF(COUNT($H466:I466)&gt;='RFM input'!$V$7,
   0,
   IF(OR('RFM input'!$E$293='RFM input'!$G$292,'RFM input'!$E$293='RFM input'!$G$293),
      -INDEX('RFM input'!J$299:J$348,MATCH($D466,'RFM input'!$E$299:$E$348,0),1),
      -SUM(J454:J465)))</f>
        <v>0</v>
      </c>
      <c r="K466" s="1386">
        <f>IF(COUNT($H466:J466)&gt;='RFM input'!$V$7,
   0,
   IF(OR('RFM input'!$E$293='RFM input'!$G$292,'RFM input'!$E$293='RFM input'!$G$293),
      -INDEX('RFM input'!K$299:K$348,MATCH($D466,'RFM input'!$E$299:$E$348,0),1),
      -SUM(K454:K465)))</f>
        <v>0</v>
      </c>
      <c r="L466" s="1386">
        <f>IF(COUNT($H466:K466)&gt;='RFM input'!$V$7,
   0,
   IF(OR('RFM input'!$E$293='RFM input'!$G$292,'RFM input'!$E$293='RFM input'!$G$293),
      -INDEX('RFM input'!L$299:L$348,MATCH($D466,'RFM input'!$E$299:$E$348,0),1),
      -SUM(L454:L465)))</f>
        <v>0</v>
      </c>
      <c r="M466" s="1386">
        <f>IF(COUNT($H466:L466)&gt;='RFM input'!$V$7,
   0,
   IF(OR('RFM input'!$E$293='RFM input'!$G$292,'RFM input'!$E$293='RFM input'!$G$293),
      -INDEX('RFM input'!M$299:M$348,MATCH($D466,'RFM input'!$E$299:$E$348,0),1),
      -SUM(M454:M465)))</f>
        <v>0</v>
      </c>
      <c r="N466" s="1386">
        <f>IF(COUNT($H466:M466)&gt;='RFM input'!$V$7,
   0,
   IF(OR('RFM input'!$E$293='RFM input'!$G$292,'RFM input'!$E$293='RFM input'!$G$293),
      -INDEX('RFM input'!N$299:N$348,MATCH($D466,'RFM input'!$E$299:$E$348,0),1),
      -SUM(N454:N465)))</f>
        <v>0</v>
      </c>
      <c r="O466" s="1386">
        <f>IF(COUNT($H466:N466)&gt;='RFM input'!$V$7,
   0,
   IF(OR('RFM input'!$E$293='RFM input'!$G$292,'RFM input'!$E$293='RFM input'!$G$293),
      -INDEX('RFM input'!O$299:O$348,MATCH($D466,'RFM input'!$E$299:$E$348,0),1),
      -SUM(O454:O465)))</f>
        <v>0</v>
      </c>
      <c r="P466" s="1386">
        <f>IF(COUNT($H466:O466)&gt;='RFM input'!$V$7,
   0,
   IF(OR('RFM input'!$E$293='RFM input'!$G$292,'RFM input'!$E$293='RFM input'!$G$293),
      -INDEX('RFM input'!P$299:P$348,MATCH($D466,'RFM input'!$E$299:$E$348,0),1),
      -SUM(P454:P465)))</f>
        <v>0</v>
      </c>
      <c r="Q466" s="1386">
        <f>IF(COUNT($H466:P466)&gt;='RFM input'!$V$7,
   0,
   IF(OR('RFM input'!$E$293='RFM input'!$G$292,'RFM input'!$E$293='RFM input'!$G$293),
      -INDEX('RFM input'!Q$299:Q$348,MATCH($D466,'RFM input'!$E$299:$E$348,0),1),
      -SUM(Q454:Q465)))</f>
        <v>0</v>
      </c>
      <c r="R466" s="1382"/>
      <c r="S466" s="76"/>
      <c r="T466" s="76"/>
      <c r="U466" s="76"/>
      <c r="V466" s="76"/>
      <c r="W466" s="76"/>
      <c r="X466" s="76"/>
      <c r="Y466" s="76"/>
      <c r="Z466" s="76"/>
    </row>
    <row r="467" spans="1:26" ht="12.75" hidden="1" customHeight="1" outlineLevel="2">
      <c r="A467" s="3"/>
      <c r="B467" s="3"/>
      <c r="C467" s="135">
        <f>Asset32</f>
        <v>0</v>
      </c>
      <c r="D467" s="100"/>
      <c r="E467" s="20" t="s">
        <v>23</v>
      </c>
      <c r="F467" s="19"/>
      <c r="G467" s="1383"/>
      <c r="H467" s="1380">
        <f>IF(H$3&gt;A32remlife,A32value-SUM($G467:G467),IF(A32remlife="N/A","n/a",A32value/A32remlife))</f>
        <v>0</v>
      </c>
      <c r="I467" s="1380">
        <f>IF(I$3&gt;A32remlife,A32value-SUM($G467:H467),IF(A32remlife="N/A","n/a",A32value/A32remlife))</f>
        <v>0</v>
      </c>
      <c r="J467" s="1380">
        <f>IF(J$3&gt;A32remlife,A32value-SUM($G467:I467),IF(A32remlife="N/A","n/a",A32value/A32remlife))</f>
        <v>0</v>
      </c>
      <c r="K467" s="1380">
        <f>IF(K$3&gt;A32remlife,A32value-SUM($G467:J467),IF(A32remlife="N/A","n/a",A32value/A32remlife))</f>
        <v>0</v>
      </c>
      <c r="L467" s="1380">
        <f>IF(L$3&gt;A32remlife,A32value-SUM($G467:K467),IF(A32remlife="N/A","n/a",A32value/A32remlife))</f>
        <v>0</v>
      </c>
      <c r="M467" s="1380">
        <f>IF(M$3&gt;A32remlife,A32value-SUM($G467:L467),IF(A32remlife="N/A","n/a",A32value/A32remlife))</f>
        <v>0</v>
      </c>
      <c r="N467" s="1380">
        <f>IF(N$3&gt;A32remlife,A32value-SUM($G467:M467),IF(A32remlife="N/A","n/a",A32value/A32remlife))</f>
        <v>0</v>
      </c>
      <c r="O467" s="1380">
        <f>IF(O$3&gt;A32remlife,A32value-SUM($G467:N467),IF(A32remlife="N/A","n/a",A32value/A32remlife))</f>
        <v>0</v>
      </c>
      <c r="P467" s="1380">
        <f>IF(P$3&gt;A32remlife,A32value-SUM($G467:O467),IF(A32remlife="N/A","n/a",A32value/A32remlife))</f>
        <v>0</v>
      </c>
      <c r="Q467" s="1380">
        <f>IF(Q$3&gt;A32remlife,A32value-SUM($G467:P467),IF(A32remlife="N/A","n/a",A32value/A32remlife))</f>
        <v>0</v>
      </c>
      <c r="R467" s="21"/>
      <c r="S467" s="74"/>
      <c r="T467" s="74"/>
      <c r="U467" s="74"/>
      <c r="V467" s="74"/>
      <c r="W467" s="74"/>
      <c r="X467" s="74"/>
      <c r="Y467" s="74"/>
      <c r="Z467" s="74"/>
    </row>
    <row r="468" spans="1:26" ht="12.75" hidden="1" customHeight="1" outlineLevel="2">
      <c r="A468" s="3"/>
      <c r="B468" s="3"/>
      <c r="C468" s="3"/>
      <c r="D468" s="16"/>
      <c r="E468" s="1593" t="s">
        <v>43</v>
      </c>
      <c r="F468" s="61"/>
      <c r="G468" s="1341"/>
      <c r="H468" s="18"/>
      <c r="I468" s="18"/>
      <c r="J468" s="18"/>
      <c r="K468" s="18"/>
      <c r="L468" s="18"/>
      <c r="M468" s="1384"/>
      <c r="N468" s="1385"/>
      <c r="O468" s="18"/>
      <c r="P468" s="18"/>
      <c r="Q468" s="18"/>
      <c r="R468" s="18"/>
      <c r="S468" s="74"/>
      <c r="T468" s="74"/>
      <c r="U468" s="74"/>
      <c r="V468" s="74"/>
      <c r="W468" s="74"/>
      <c r="X468" s="74"/>
      <c r="Y468" s="74"/>
      <c r="Z468" s="74"/>
    </row>
    <row r="469" spans="1:26" ht="12.75" hidden="1" customHeight="1" outlineLevel="2">
      <c r="A469" s="3"/>
      <c r="B469" s="3"/>
      <c r="C469" s="3"/>
      <c r="D469" s="16"/>
      <c r="E469" s="1594"/>
      <c r="F469" s="61">
        <v>1</v>
      </c>
      <c r="G469" s="1341"/>
      <c r="H469" s="1381"/>
      <c r="I469" s="18">
        <f>IF(A32stdlife="n/a","n/a",IF(I$3&gt;(A32stdlife+$F469),('RFM input'!$H$254*(1+vanilla1)^0.5)-SUM($H469:H469),('RFM input'!$H$254*(1+vanilla1)^0.5)/A32stdlife))</f>
        <v>0</v>
      </c>
      <c r="J469" s="18">
        <f>IF(A32stdlife="n/a","n/a",IF(J$3&gt;(A32stdlife+$F469),('RFM input'!$H$254*(1+vanilla1)^0.5)-SUM($H469:I469),('RFM input'!$H$254*(1+vanilla1)^0.5)/A32stdlife))</f>
        <v>0</v>
      </c>
      <c r="K469" s="18">
        <f>IF(A32stdlife="n/a","n/a",IF(K$3&gt;(A32stdlife+$F469),('RFM input'!$H$254*(1+vanilla1)^0.5)-SUM($H469:J469),('RFM input'!$H$254*(1+vanilla1)^0.5)/A32stdlife))</f>
        <v>0</v>
      </c>
      <c r="L469" s="18">
        <f>IF(A32stdlife="n/a","n/a",IF(L$3&gt;(A32stdlife+$F469),('RFM input'!$H$254*(1+vanilla1)^0.5)-SUM($H469:K469),('RFM input'!$H$254*(1+vanilla1)^0.5)/A32stdlife))</f>
        <v>0</v>
      </c>
      <c r="M469" s="18">
        <f>IF(A32stdlife="n/a","n/a",IF(M$3&gt;(A32stdlife+$F469),('RFM input'!$H$254*(1+vanilla1)^0.5)-SUM($H469:L469),('RFM input'!$H$254*(1+vanilla1)^0.5)/A32stdlife))</f>
        <v>0</v>
      </c>
      <c r="N469" s="18">
        <f>IF(A32stdlife="n/a","n/a",IF(N$3&gt;(A32stdlife+$F469),('RFM input'!$H$254*(1+vanilla1)^0.5)-SUM($H469:M469),('RFM input'!$H$254*(1+vanilla1)^0.5)/A32stdlife))</f>
        <v>0</v>
      </c>
      <c r="O469" s="18">
        <f>IF(A32stdlife="n/a","n/a",IF(O$3&gt;(A32stdlife+$F469),('RFM input'!$H$254*(1+vanilla1)^0.5)-SUM($H469:N469),('RFM input'!$H$254*(1+vanilla1)^0.5)/A32stdlife))</f>
        <v>0</v>
      </c>
      <c r="P469" s="18">
        <f>IF(A32stdlife="n/a","n/a",IF(P$3&gt;(A32stdlife+$F469),('RFM input'!$H$254*(1+vanilla1)^0.5)-SUM($H469:O469),('RFM input'!$H$254*(1+vanilla1)^0.5)/A32stdlife))</f>
        <v>0</v>
      </c>
      <c r="Q469" s="18">
        <f>IF(A32stdlife="n/a","n/a",IF(Q$3&gt;(A32stdlife+$F469),('RFM input'!$H$254*(1+vanilla1)^0.5)-SUM($H469:P469),('RFM input'!$H$254*(1+vanilla1)^0.5)/A32stdlife))</f>
        <v>0</v>
      </c>
      <c r="R469" s="18"/>
      <c r="S469" s="74"/>
      <c r="T469" s="74"/>
      <c r="U469" s="74"/>
      <c r="V469" s="74"/>
      <c r="W469" s="74"/>
      <c r="X469" s="74"/>
      <c r="Y469" s="74"/>
      <c r="Z469" s="74"/>
    </row>
    <row r="470" spans="1:26" ht="12.75" hidden="1" customHeight="1" outlineLevel="2">
      <c r="A470" s="3"/>
      <c r="B470" s="3"/>
      <c r="C470" s="3"/>
      <c r="D470" s="16"/>
      <c r="E470" s="1594"/>
      <c r="F470" s="61">
        <v>2</v>
      </c>
      <c r="G470" s="1341"/>
      <c r="H470" s="114"/>
      <c r="I470" s="116"/>
      <c r="J470" s="18">
        <f>IF(A32stdlife="n/a","n/a",IF(J$3&gt;(A32stdlife+$F470),('RFM input'!$I$254*(1+vanilla2)^0.5)-SUM($I470:I470),('RFM input'!$I$254*(1+vanilla2)^0.5)/A32stdlife))</f>
        <v>0</v>
      </c>
      <c r="K470" s="18">
        <f>IF(A32stdlife="n/a","n/a",IF(K$3&gt;(A32stdlife+$F470),('RFM input'!$I$254*(1+vanilla2)^0.5)-SUM($I470:J470),('RFM input'!$I$254*(1+vanilla2)^0.5)/A32stdlife))</f>
        <v>0</v>
      </c>
      <c r="L470" s="18">
        <f>IF(A32stdlife="n/a","n/a",IF(L$3&gt;(A32stdlife+$F470),('RFM input'!$I$254*(1+vanilla2)^0.5)-SUM($I470:K470),('RFM input'!$I$254*(1+vanilla2)^0.5)/A32stdlife))</f>
        <v>0</v>
      </c>
      <c r="M470" s="18">
        <f>IF(A32stdlife="n/a","n/a",IF(M$3&gt;(A32stdlife+$F470),('RFM input'!$I$254*(1+vanilla2)^0.5)-SUM($I470:L470),('RFM input'!$I$254*(1+vanilla2)^0.5)/A32stdlife))</f>
        <v>0</v>
      </c>
      <c r="N470" s="18">
        <f>IF(A32stdlife="n/a","n/a",IF(N$3&gt;(A32stdlife+$F470),('RFM input'!$I$254*(1+vanilla2)^0.5)-SUM($I470:M470),('RFM input'!$I$254*(1+vanilla2)^0.5)/A32stdlife))</f>
        <v>0</v>
      </c>
      <c r="O470" s="18">
        <f>IF(A32stdlife="n/a","n/a",IF(O$3&gt;(A32stdlife+$F470),('RFM input'!$I$254*(1+vanilla2)^0.5)-SUM($I470:N470),('RFM input'!$I$254*(1+vanilla2)^0.5)/A32stdlife))</f>
        <v>0</v>
      </c>
      <c r="P470" s="18">
        <f>IF(A32stdlife="n/a","n/a",IF(P$3&gt;(A32stdlife+$F470),('RFM input'!$I$254*(1+vanilla2)^0.5)-SUM($I470:O470),('RFM input'!$I$254*(1+vanilla2)^0.5)/A32stdlife))</f>
        <v>0</v>
      </c>
      <c r="Q470" s="18">
        <f>IF(A32stdlife="n/a","n/a",IF(Q$3&gt;(A32stdlife+$F470),('RFM input'!$I$254*(1+vanilla2)^0.5)-SUM($I470:P470),('RFM input'!$I$254*(1+vanilla2)^0.5)/A32stdlife))</f>
        <v>0</v>
      </c>
      <c r="R470" s="18"/>
      <c r="S470" s="74"/>
      <c r="T470" s="74"/>
      <c r="U470" s="74"/>
      <c r="V470" s="74"/>
      <c r="W470" s="74"/>
      <c r="X470" s="74"/>
      <c r="Y470" s="74"/>
      <c r="Z470" s="74"/>
    </row>
    <row r="471" spans="1:26" ht="12.75" hidden="1" customHeight="1" outlineLevel="2">
      <c r="A471" s="3"/>
      <c r="B471" s="3"/>
      <c r="C471" s="3"/>
      <c r="D471" s="16"/>
      <c r="E471" s="1594"/>
      <c r="F471" s="61">
        <v>3</v>
      </c>
      <c r="G471" s="1341"/>
      <c r="H471" s="114"/>
      <c r="I471" s="115"/>
      <c r="J471" s="116"/>
      <c r="K471" s="18">
        <f>IF(A32stdlife="n/a","n/a",IF(K$3&gt;(A32stdlife+$F471),('RFM input'!$J$254*(1+vanilla3)^0.5)-SUM($J471:J471),('RFM input'!$J$254*(1+vanilla3)^0.5)/A32stdlife))</f>
        <v>0</v>
      </c>
      <c r="L471" s="18">
        <f>IF(A32stdlife="n/a","n/a",IF(L$3&gt;(A32stdlife+$F471),('RFM input'!$J$254*(1+vanilla3)^0.5)-SUM($J471:K471),('RFM input'!$J$254*(1+vanilla3)^0.5)/A32stdlife))</f>
        <v>0</v>
      </c>
      <c r="M471" s="18">
        <f>IF(A32stdlife="n/a","n/a",IF(M$3&gt;(A32stdlife+$F471),('RFM input'!$J$254*(1+vanilla3)^0.5)-SUM($J471:L471),('RFM input'!$J$254*(1+vanilla3)^0.5)/A32stdlife))</f>
        <v>0</v>
      </c>
      <c r="N471" s="18">
        <f>IF(A32stdlife="n/a","n/a",IF(N$3&gt;(A32stdlife+$F471),('RFM input'!$J$254*(1+vanilla3)^0.5)-SUM($J471:M471),('RFM input'!$J$254*(1+vanilla3)^0.5)/A32stdlife))</f>
        <v>0</v>
      </c>
      <c r="O471" s="18">
        <f>IF(A32stdlife="n/a","n/a",IF(O$3&gt;(A32stdlife+$F471),('RFM input'!$J$254*(1+vanilla3)^0.5)-SUM($J471:N471),('RFM input'!$J$254*(1+vanilla3)^0.5)/A32stdlife))</f>
        <v>0</v>
      </c>
      <c r="P471" s="18">
        <f>IF(A32stdlife="n/a","n/a",IF(P$3&gt;(A32stdlife+$F471),('RFM input'!$J$254*(1+vanilla3)^0.5)-SUM($J471:O471),('RFM input'!$J$254*(1+vanilla3)^0.5)/A32stdlife))</f>
        <v>0</v>
      </c>
      <c r="Q471" s="18">
        <f>IF(A32stdlife="n/a","n/a",IF(Q$3&gt;(A32stdlife+$F471),('RFM input'!$J$254*(1+vanilla3)^0.5)-SUM($J471:P471),('RFM input'!$J$254*(1+vanilla3)^0.5)/A32stdlife))</f>
        <v>0</v>
      </c>
      <c r="R471" s="18"/>
      <c r="S471" s="74"/>
      <c r="T471" s="74"/>
      <c r="U471" s="74"/>
      <c r="V471" s="74"/>
      <c r="W471" s="74"/>
      <c r="X471" s="74"/>
      <c r="Y471" s="74"/>
      <c r="Z471" s="74"/>
    </row>
    <row r="472" spans="1:26" ht="12.75" hidden="1" customHeight="1" outlineLevel="2">
      <c r="A472" s="3"/>
      <c r="B472" s="3"/>
      <c r="C472" s="3"/>
      <c r="D472" s="16"/>
      <c r="E472" s="1594"/>
      <c r="F472" s="61">
        <v>4</v>
      </c>
      <c r="G472" s="1341"/>
      <c r="H472" s="114"/>
      <c r="I472" s="115"/>
      <c r="J472" s="115"/>
      <c r="K472" s="116"/>
      <c r="L472" s="18">
        <f>IF(A32stdlife="n/a","n/a",IF(L$3&gt;(A32stdlife+$F472),('RFM input'!$K$254*(1+vanilla4)^0.5)-SUM($K472:K472),('RFM input'!$K$254*(1+vanilla4)^0.5)/A32stdlife))</f>
        <v>0</v>
      </c>
      <c r="M472" s="18">
        <f>IF(A32stdlife="n/a","n/a",IF(M$3&gt;(A32stdlife+$F472),('RFM input'!$K$254*(1+vanilla4)^0.5)-SUM($K472:L472),('RFM input'!$K$254*(1+vanilla4)^0.5)/A32stdlife))</f>
        <v>0</v>
      </c>
      <c r="N472" s="18">
        <f>IF(A32stdlife="n/a","n/a",IF(N$3&gt;(A32stdlife+$F472),('RFM input'!$K$254*(1+vanilla4)^0.5)-SUM($K472:M472),('RFM input'!$K$254*(1+vanilla4)^0.5)/A32stdlife))</f>
        <v>0</v>
      </c>
      <c r="O472" s="18">
        <f>IF(A32stdlife="n/a","n/a",IF(O$3&gt;(A32stdlife+$F472),('RFM input'!$K$254*(1+vanilla4)^0.5)-SUM($K472:N472),('RFM input'!$K$254*(1+vanilla4)^0.5)/A32stdlife))</f>
        <v>0</v>
      </c>
      <c r="P472" s="18">
        <f>IF(A32stdlife="n/a","n/a",IF(P$3&gt;(A32stdlife+$F472),('RFM input'!$K$254*(1+vanilla4)^0.5)-SUM($K472:O472),('RFM input'!$K$254*(1+vanilla4)^0.5)/A32stdlife))</f>
        <v>0</v>
      </c>
      <c r="Q472" s="18">
        <f>IF(A32stdlife="n/a","n/a",IF(Q$3&gt;(A32stdlife+$F472),('RFM input'!$K$254*(1+vanilla4)^0.5)-SUM($K472:P472),('RFM input'!$K$254*(1+vanilla4)^0.5)/A32stdlife))</f>
        <v>0</v>
      </c>
      <c r="R472" s="18"/>
      <c r="S472" s="74"/>
      <c r="T472" s="74"/>
      <c r="U472" s="74"/>
      <c r="V472" s="74"/>
      <c r="W472" s="74"/>
      <c r="X472" s="74"/>
      <c r="Y472" s="74"/>
      <c r="Z472" s="74"/>
    </row>
    <row r="473" spans="1:26" ht="12.75" hidden="1" customHeight="1" outlineLevel="2">
      <c r="A473" s="3"/>
      <c r="B473" s="3"/>
      <c r="C473" s="3"/>
      <c r="D473" s="16"/>
      <c r="E473" s="1594"/>
      <c r="F473" s="61">
        <v>5</v>
      </c>
      <c r="G473" s="17"/>
      <c r="H473" s="114"/>
      <c r="I473" s="115"/>
      <c r="J473" s="115"/>
      <c r="K473" s="115"/>
      <c r="L473" s="116"/>
      <c r="M473" s="18">
        <f>IF(A32stdlife="n/a","n/a",IF(M$3&gt;(A32stdlife+$F473),('RFM input'!$L$254*(1+vanilla5)^0.5)-SUM($L473:L473),('RFM input'!$L$254*(1+vanilla5)^0.5)/A32stdlife))</f>
        <v>0</v>
      </c>
      <c r="N473" s="18">
        <f>IF(A32stdlife="n/a","n/a",IF(N$3&gt;(A32stdlife+$F473),('RFM input'!$L$254*(1+vanilla5)^0.5)-SUM($L473:M473),('RFM input'!$L$254*(1+vanilla5)^0.5)/A32stdlife))</f>
        <v>0</v>
      </c>
      <c r="O473" s="18">
        <f>IF(A32stdlife="n/a","n/a",IF(O$3&gt;(A32stdlife+$F473),('RFM input'!$L$254*(1+vanilla5)^0.5)-SUM($L473:N473),('RFM input'!$L$254*(1+vanilla5)^0.5)/A32stdlife))</f>
        <v>0</v>
      </c>
      <c r="P473" s="18">
        <f>IF(A32stdlife="n/a","n/a",IF(P$3&gt;(A32stdlife+$F473),('RFM input'!$L$254*(1+vanilla5)^0.5)-SUM($L473:O473),('RFM input'!$L$254*(1+vanilla5)^0.5)/A32stdlife))</f>
        <v>0</v>
      </c>
      <c r="Q473" s="18">
        <f>IF(A32stdlife="n/a","n/a",IF(Q$3&gt;(A32stdlife+$F473),('RFM input'!$L$254*(1+vanilla5)^0.5)-SUM($L473:P473),('RFM input'!$L$254*(1+vanilla5)^0.5)/A32stdlife))</f>
        <v>0</v>
      </c>
      <c r="R473" s="18"/>
      <c r="S473" s="74"/>
      <c r="T473" s="74"/>
      <c r="U473" s="74"/>
      <c r="V473" s="74"/>
      <c r="W473" s="74"/>
      <c r="X473" s="74"/>
      <c r="Y473" s="74"/>
      <c r="Z473" s="74"/>
    </row>
    <row r="474" spans="1:26" ht="12.75" hidden="1" customHeight="1" outlineLevel="2">
      <c r="A474" s="3"/>
      <c r="B474" s="3"/>
      <c r="C474" s="3"/>
      <c r="D474" s="16"/>
      <c r="E474" s="1594"/>
      <c r="F474" s="61">
        <v>6</v>
      </c>
      <c r="G474" s="17"/>
      <c r="H474" s="114"/>
      <c r="I474" s="115"/>
      <c r="J474" s="115"/>
      <c r="K474" s="115"/>
      <c r="L474" s="115"/>
      <c r="M474" s="116"/>
      <c r="N474" s="18">
        <f>IF(A32stdlife="n/a","n/a",IF(N$3&gt;(A32stdlife+$F474),('RFM input'!$M$254*(1+vanilla6)^0.5)-SUM($M474:M474),('RFM input'!$M$254*(1+vanilla6)^0.5)/A32stdlife))</f>
        <v>0</v>
      </c>
      <c r="O474" s="18">
        <f>IF(A32stdlife="n/a","n/a",IF(O$3&gt;(A32stdlife+$F474),('RFM input'!$M$254*(1+vanilla6)^0.5)-SUM($M474:N474),('RFM input'!$M$254*(1+vanilla6)^0.5)/A32stdlife))</f>
        <v>0</v>
      </c>
      <c r="P474" s="18">
        <f>IF(A32stdlife="n/a","n/a",IF(P$3&gt;(A32stdlife+$F474),('RFM input'!$M$254*(1+vanilla6)^0.5)-SUM($M474:O474),('RFM input'!$M$254*(1+vanilla6)^0.5)/A32stdlife))</f>
        <v>0</v>
      </c>
      <c r="Q474" s="18">
        <f>IF(A32stdlife="n/a","n/a",IF(Q$3&gt;(A32stdlife+$F474),('RFM input'!$M$254*(1+vanilla6)^0.5)-SUM($M474:P474),('RFM input'!$M$254*(1+vanilla6)^0.5)/A32stdlife))</f>
        <v>0</v>
      </c>
      <c r="R474" s="18"/>
      <c r="S474" s="74"/>
      <c r="T474" s="74"/>
      <c r="U474" s="74"/>
      <c r="V474" s="74"/>
      <c r="W474" s="74"/>
      <c r="X474" s="74"/>
      <c r="Y474" s="74"/>
      <c r="Z474" s="74"/>
    </row>
    <row r="475" spans="1:26" ht="12.75" hidden="1" customHeight="1" outlineLevel="2">
      <c r="A475" s="3"/>
      <c r="B475" s="3"/>
      <c r="C475" s="3"/>
      <c r="D475" s="16"/>
      <c r="E475" s="1594"/>
      <c r="F475" s="61">
        <v>7</v>
      </c>
      <c r="G475" s="17"/>
      <c r="H475" s="114"/>
      <c r="I475" s="115"/>
      <c r="J475" s="115"/>
      <c r="K475" s="115"/>
      <c r="L475" s="115"/>
      <c r="M475" s="115"/>
      <c r="N475" s="116"/>
      <c r="O475" s="18">
        <f>IF(A32stdlife="n/a","n/a",IF(O$3&gt;(A32stdlife+$F475),('RFM input'!M$254*(1+vanilla7)^0.5)-SUM($N475:N475),('RFM input'!$N$254*(1+vanilla7)^0.5)/A32stdlife))</f>
        <v>0</v>
      </c>
      <c r="P475" s="18">
        <f>IF(A32stdlife="n/a","n/a",IF(P$3&gt;(A32stdlife+$F475),('RFM input'!N$254*(1+vanilla7)^0.5)-SUM($N475:O475),('RFM input'!$N$254*(1+vanilla7)^0.5)/A32stdlife))</f>
        <v>0</v>
      </c>
      <c r="Q475" s="18">
        <f>IF(A32stdlife="n/a","n/a",IF(Q$3&gt;(A32stdlife+$F475),('RFM input'!O$254*(1+vanilla7)^0.5)-SUM($N475:P475),('RFM input'!$N$254*(1+vanilla7)^0.5)/A32stdlife))</f>
        <v>0</v>
      </c>
      <c r="R475" s="18"/>
      <c r="S475" s="74"/>
      <c r="T475" s="74"/>
      <c r="U475" s="74"/>
      <c r="V475" s="74"/>
      <c r="W475" s="74"/>
      <c r="X475" s="74"/>
      <c r="Y475" s="74"/>
      <c r="Z475" s="74"/>
    </row>
    <row r="476" spans="1:26" ht="12.75" hidden="1" customHeight="1" outlineLevel="2">
      <c r="A476" s="3"/>
      <c r="B476" s="3"/>
      <c r="C476" s="3"/>
      <c r="D476" s="16"/>
      <c r="E476" s="1594"/>
      <c r="F476" s="61">
        <v>8</v>
      </c>
      <c r="G476" s="17"/>
      <c r="H476" s="114"/>
      <c r="I476" s="115"/>
      <c r="J476" s="115"/>
      <c r="K476" s="115"/>
      <c r="L476" s="115"/>
      <c r="M476" s="115"/>
      <c r="N476" s="115"/>
      <c r="O476" s="116"/>
      <c r="P476" s="18">
        <f>IF(A32stdlife="n/a","n/a",IF(P$3&gt;(A32stdlife+$F476),('RFM input'!$O$254*(1+vanilla8)^0.5)-SUM($O476:O476),('RFM input'!$O$254*(1+vanilla8)^0.5)/A32stdlife))</f>
        <v>0</v>
      </c>
      <c r="Q476" s="18">
        <f>IF(A32stdlife="n/a","n/a",IF(Q$3&gt;(A32stdlife+$F476),('RFM input'!$O$254*(1+vanilla8)^0.5)-SUM($O476:P476),('RFM input'!$O$254*(1+vanilla8)^0.5)/A32stdlife))</f>
        <v>0</v>
      </c>
      <c r="R476" s="18"/>
      <c r="S476" s="74"/>
      <c r="T476" s="74"/>
      <c r="U476" s="74"/>
      <c r="V476" s="74"/>
      <c r="W476" s="74"/>
      <c r="X476" s="74"/>
      <c r="Y476" s="74"/>
      <c r="Z476" s="74"/>
    </row>
    <row r="477" spans="1:26" ht="12.75" hidden="1" customHeight="1" outlineLevel="2">
      <c r="A477" s="3"/>
      <c r="B477" s="3"/>
      <c r="C477" s="3"/>
      <c r="D477" s="16"/>
      <c r="E477" s="1594"/>
      <c r="F477" s="61">
        <v>9</v>
      </c>
      <c r="G477" s="17"/>
      <c r="H477" s="114"/>
      <c r="I477" s="115"/>
      <c r="J477" s="115"/>
      <c r="K477" s="115"/>
      <c r="L477" s="115"/>
      <c r="M477" s="115"/>
      <c r="N477" s="115"/>
      <c r="O477" s="115"/>
      <c r="P477" s="116"/>
      <c r="Q477" s="18">
        <f>IF(A32stdlife="n/a","n/a",IF(Q$3&gt;(A32stdlife+$F477),('RFM input'!$P$254*(1+vanilla9)^0.5)-SUM($P477:P477),('RFM input'!$P$254*(1+vanilla9)^0.5)/A32stdlife))</f>
        <v>0</v>
      </c>
      <c r="R477" s="18"/>
      <c r="S477" s="74"/>
      <c r="T477" s="74"/>
      <c r="U477" s="74"/>
      <c r="V477" s="74"/>
      <c r="W477" s="74"/>
      <c r="X477" s="74"/>
      <c r="Y477" s="74"/>
      <c r="Z477" s="74"/>
    </row>
    <row r="478" spans="1:26" ht="12.75" hidden="1" customHeight="1" outlineLevel="2">
      <c r="A478" s="3"/>
      <c r="B478" s="3"/>
      <c r="C478" s="3"/>
      <c r="D478" s="16"/>
      <c r="E478" s="1594"/>
      <c r="F478" s="62">
        <v>10</v>
      </c>
      <c r="G478" s="17"/>
      <c r="H478" s="114"/>
      <c r="I478" s="115"/>
      <c r="J478" s="115"/>
      <c r="K478" s="115"/>
      <c r="L478" s="115"/>
      <c r="M478" s="115"/>
      <c r="N478" s="115"/>
      <c r="O478" s="115"/>
      <c r="P478" s="115"/>
      <c r="Q478" s="116"/>
      <c r="R478" s="18"/>
      <c r="S478" s="74"/>
      <c r="T478" s="74"/>
      <c r="U478" s="74"/>
      <c r="V478" s="74"/>
      <c r="W478" s="74"/>
      <c r="X478" s="74"/>
      <c r="Y478" s="74"/>
      <c r="Z478" s="74"/>
    </row>
    <row r="479" spans="1:26" ht="13.35" hidden="1" customHeight="1" outlineLevel="1">
      <c r="A479" s="3"/>
      <c r="B479" s="3"/>
      <c r="C479" s="3"/>
      <c r="D479" s="134">
        <f>Asset32</f>
        <v>0</v>
      </c>
      <c r="E479" s="3"/>
      <c r="F479" s="3"/>
      <c r="G479" s="1341"/>
      <c r="H479" s="1458">
        <f>IF(OR('RFM input'!$E$293='RFM input'!$G$292,'RFM input'!$E$293='RFM input'!$G$293),-INDEX('RFM input'!H$299:H$348,MATCH($D479,'RFM input'!$E$299:$E$348,0),1),-SUM(H467:H478))</f>
        <v>0</v>
      </c>
      <c r="I479" s="1458">
        <f>IF(OR('RFM input'!$E$293='RFM input'!$G$292,'RFM input'!$E$293='RFM input'!$G$293),-INDEX('RFM input'!I$299:I$348,MATCH($D479,'RFM input'!$E$299:$E$348,0),1),-SUM(I467:I478))</f>
        <v>0</v>
      </c>
      <c r="J479" s="1386">
        <f>IF(COUNT($H479:I479)&gt;='RFM input'!$V$7,
   0,
   IF(OR('RFM input'!$E$293='RFM input'!$G$292,'RFM input'!$E$293='RFM input'!$G$293),
      -INDEX('RFM input'!J$299:J$348,MATCH($D479,'RFM input'!$E$299:$E$348,0),1),
      -SUM(J467:J478)))</f>
        <v>0</v>
      </c>
      <c r="K479" s="1386">
        <f>IF(COUNT($H479:J479)&gt;='RFM input'!$V$7,
   0,
   IF(OR('RFM input'!$E$293='RFM input'!$G$292,'RFM input'!$E$293='RFM input'!$G$293),
      -INDEX('RFM input'!K$299:K$348,MATCH($D479,'RFM input'!$E$299:$E$348,0),1),
      -SUM(K467:K478)))</f>
        <v>0</v>
      </c>
      <c r="L479" s="1386">
        <f>IF(COUNT($H479:K479)&gt;='RFM input'!$V$7,
   0,
   IF(OR('RFM input'!$E$293='RFM input'!$G$292,'RFM input'!$E$293='RFM input'!$G$293),
      -INDEX('RFM input'!L$299:L$348,MATCH($D479,'RFM input'!$E$299:$E$348,0),1),
      -SUM(L467:L478)))</f>
        <v>0</v>
      </c>
      <c r="M479" s="1386">
        <f>IF(COUNT($H479:L479)&gt;='RFM input'!$V$7,
   0,
   IF(OR('RFM input'!$E$293='RFM input'!$G$292,'RFM input'!$E$293='RFM input'!$G$293),
      -INDEX('RFM input'!M$299:M$348,MATCH($D479,'RFM input'!$E$299:$E$348,0),1),
      -SUM(M467:M478)))</f>
        <v>0</v>
      </c>
      <c r="N479" s="1386">
        <f>IF(COUNT($H479:M479)&gt;='RFM input'!$V$7,
   0,
   IF(OR('RFM input'!$E$293='RFM input'!$G$292,'RFM input'!$E$293='RFM input'!$G$293),
      -INDEX('RFM input'!N$299:N$348,MATCH($D479,'RFM input'!$E$299:$E$348,0),1),
      -SUM(N467:N478)))</f>
        <v>0</v>
      </c>
      <c r="O479" s="1386">
        <f>IF(COUNT($H479:N479)&gt;='RFM input'!$V$7,
   0,
   IF(OR('RFM input'!$E$293='RFM input'!$G$292,'RFM input'!$E$293='RFM input'!$G$293),
      -INDEX('RFM input'!O$299:O$348,MATCH($D479,'RFM input'!$E$299:$E$348,0),1),
      -SUM(O467:O478)))</f>
        <v>0</v>
      </c>
      <c r="P479" s="1386">
        <f>IF(COUNT($H479:O479)&gt;='RFM input'!$V$7,
   0,
   IF(OR('RFM input'!$E$293='RFM input'!$G$292,'RFM input'!$E$293='RFM input'!$G$293),
      -INDEX('RFM input'!P$299:P$348,MATCH($D479,'RFM input'!$E$299:$E$348,0),1),
      -SUM(P467:P478)))</f>
        <v>0</v>
      </c>
      <c r="Q479" s="1386">
        <f>IF(COUNT($H479:P479)&gt;='RFM input'!$V$7,
   0,
   IF(OR('RFM input'!$E$293='RFM input'!$G$292,'RFM input'!$E$293='RFM input'!$G$293),
      -INDEX('RFM input'!Q$299:Q$348,MATCH($D479,'RFM input'!$E$299:$E$348,0),1),
      -SUM(Q467:Q478)))</f>
        <v>0</v>
      </c>
      <c r="R479" s="1382"/>
      <c r="S479" s="76"/>
      <c r="T479" s="76"/>
      <c r="U479" s="76"/>
      <c r="V479" s="76"/>
      <c r="W479" s="76"/>
      <c r="X479" s="76"/>
      <c r="Y479" s="76"/>
      <c r="Z479" s="76"/>
    </row>
    <row r="480" spans="1:26" ht="12.75" hidden="1" customHeight="1" outlineLevel="2">
      <c r="A480" s="3"/>
      <c r="B480" s="3"/>
      <c r="C480" s="135">
        <f>Asset33</f>
        <v>0</v>
      </c>
      <c r="D480" s="100"/>
      <c r="E480" s="20" t="s">
        <v>23</v>
      </c>
      <c r="F480" s="19"/>
      <c r="G480" s="1383"/>
      <c r="H480" s="1380">
        <f>IF(H$3&gt;A33remlife,A33value-SUM($G480:G480),IF(A33remlife="N/A","n/a",A33value/A33remlife))</f>
        <v>0</v>
      </c>
      <c r="I480" s="1380">
        <f>IF(I$3&gt;A33remlife,A33value-SUM($G480:H480),IF(A33remlife="N/A","n/a",A33value/A33remlife))</f>
        <v>0</v>
      </c>
      <c r="J480" s="1380">
        <f>IF(J$3&gt;A33remlife,A33value-SUM($G480:I480),IF(A33remlife="N/A","n/a",A33value/A33remlife))</f>
        <v>0</v>
      </c>
      <c r="K480" s="1380">
        <f>IF(K$3&gt;A33remlife,A33value-SUM($G480:J480),IF(A33remlife="N/A","n/a",A33value/A33remlife))</f>
        <v>0</v>
      </c>
      <c r="L480" s="1380">
        <f>IF(L$3&gt;A33remlife,A33value-SUM($G480:K480),IF(A33remlife="N/A","n/a",A33value/A33remlife))</f>
        <v>0</v>
      </c>
      <c r="M480" s="1380">
        <f>IF(M$3&gt;A33remlife,A33value-SUM($G480:L480),IF(A33remlife="N/A","n/a",A33value/A33remlife))</f>
        <v>0</v>
      </c>
      <c r="N480" s="1380">
        <f>IF(N$3&gt;A33remlife,A33value-SUM($G480:M480),IF(A33remlife="N/A","n/a",A33value/A33remlife))</f>
        <v>0</v>
      </c>
      <c r="O480" s="1380">
        <f>IF(O$3&gt;A33remlife,A33value-SUM($G480:N480),IF(A33remlife="N/A","n/a",A33value/A33remlife))</f>
        <v>0</v>
      </c>
      <c r="P480" s="1380">
        <f>IF(P$3&gt;A33remlife,A33value-SUM($G480:O480),IF(A33remlife="N/A","n/a",A33value/A33remlife))</f>
        <v>0</v>
      </c>
      <c r="Q480" s="1380">
        <f>IF(Q$3&gt;A33remlife,A33value-SUM($G480:P480),IF(A33remlife="N/A","n/a",A33value/A33remlife))</f>
        <v>0</v>
      </c>
      <c r="R480" s="21"/>
      <c r="S480" s="74"/>
      <c r="T480" s="74"/>
      <c r="U480" s="74"/>
      <c r="V480" s="74"/>
      <c r="W480" s="74"/>
      <c r="X480" s="74"/>
      <c r="Y480" s="74"/>
      <c r="Z480" s="74"/>
    </row>
    <row r="481" spans="1:26" ht="12.75" hidden="1" customHeight="1" outlineLevel="2">
      <c r="A481" s="3"/>
      <c r="B481" s="3"/>
      <c r="C481" s="3"/>
      <c r="D481" s="16"/>
      <c r="E481" s="1593" t="s">
        <v>43</v>
      </c>
      <c r="F481" s="61"/>
      <c r="G481" s="1341"/>
      <c r="H481" s="18"/>
      <c r="I481" s="18"/>
      <c r="J481" s="18"/>
      <c r="K481" s="18"/>
      <c r="L481" s="18"/>
      <c r="M481" s="1384"/>
      <c r="N481" s="1385"/>
      <c r="O481" s="18"/>
      <c r="P481" s="18"/>
      <c r="Q481" s="18"/>
      <c r="R481" s="18"/>
      <c r="S481" s="74"/>
      <c r="T481" s="74"/>
      <c r="U481" s="74"/>
      <c r="V481" s="74"/>
      <c r="W481" s="74"/>
      <c r="X481" s="74"/>
      <c r="Y481" s="74"/>
      <c r="Z481" s="74"/>
    </row>
    <row r="482" spans="1:26" ht="12.75" hidden="1" customHeight="1" outlineLevel="2">
      <c r="A482" s="3"/>
      <c r="B482" s="3"/>
      <c r="C482" s="3"/>
      <c r="D482" s="16"/>
      <c r="E482" s="1594"/>
      <c r="F482" s="61">
        <v>1</v>
      </c>
      <c r="G482" s="1341"/>
      <c r="H482" s="1381"/>
      <c r="I482" s="18">
        <f>IF(A33stdlife="n/a","n/a",IF(I$3&gt;(A33stdlife+$F482),('RFM input'!$H$255*(1+vanilla1)^0.5)-SUM($H482:H482),('RFM input'!$H$255*(1+vanilla1)^0.5)/A33stdlife))</f>
        <v>0</v>
      </c>
      <c r="J482" s="18">
        <f>IF(A33stdlife="n/a","n/a",IF(J$3&gt;(A33stdlife+$F482),('RFM input'!$H$255*(1+vanilla1)^0.5)-SUM($H482:I482),('RFM input'!$H$255*(1+vanilla1)^0.5)/A33stdlife))</f>
        <v>0</v>
      </c>
      <c r="K482" s="18">
        <f>IF(A33stdlife="n/a","n/a",IF(K$3&gt;(A33stdlife+$F482),('RFM input'!$H$255*(1+vanilla1)^0.5)-SUM($H482:J482),('RFM input'!$H$255*(1+vanilla1)^0.5)/A33stdlife))</f>
        <v>0</v>
      </c>
      <c r="L482" s="18">
        <f>IF(A33stdlife="n/a","n/a",IF(L$3&gt;(A33stdlife+$F482),('RFM input'!$H$255*(1+vanilla1)^0.5)-SUM($H482:K482),('RFM input'!$H$255*(1+vanilla1)^0.5)/A33stdlife))</f>
        <v>0</v>
      </c>
      <c r="M482" s="18">
        <f>IF(A33stdlife="n/a","n/a",IF(M$3&gt;(A33stdlife+$F482),('RFM input'!$H$255*(1+vanilla1)^0.5)-SUM($H482:L482),('RFM input'!$H$255*(1+vanilla1)^0.5)/A33stdlife))</f>
        <v>0</v>
      </c>
      <c r="N482" s="18">
        <f>IF(A33stdlife="n/a","n/a",IF(N$3&gt;(A33stdlife+$F482),('RFM input'!$H$255*(1+vanilla1)^0.5)-SUM($H482:M482),('RFM input'!$H$255*(1+vanilla1)^0.5)/A33stdlife))</f>
        <v>0</v>
      </c>
      <c r="O482" s="18">
        <f>IF(A33stdlife="n/a","n/a",IF(O$3&gt;(A33stdlife+$F482),('RFM input'!$H$255*(1+vanilla1)^0.5)-SUM($H482:N482),('RFM input'!$H$255*(1+vanilla1)^0.5)/A33stdlife))</f>
        <v>0</v>
      </c>
      <c r="P482" s="18">
        <f>IF(A33stdlife="n/a","n/a",IF(P$3&gt;(A33stdlife+$F482),('RFM input'!$H$255*(1+vanilla1)^0.5)-SUM($H482:O482),('RFM input'!$H$255*(1+vanilla1)^0.5)/A33stdlife))</f>
        <v>0</v>
      </c>
      <c r="Q482" s="18">
        <f>IF(A33stdlife="n/a","n/a",IF(Q$3&gt;(A33stdlife+$F482),('RFM input'!$H$255*(1+vanilla1)^0.5)-SUM($H482:P482),('RFM input'!$H$255*(1+vanilla1)^0.5)/A33stdlife))</f>
        <v>0</v>
      </c>
      <c r="R482" s="18"/>
      <c r="S482" s="74"/>
      <c r="T482" s="74"/>
      <c r="U482" s="74"/>
      <c r="V482" s="74"/>
      <c r="W482" s="74"/>
      <c r="X482" s="74"/>
      <c r="Y482" s="74"/>
      <c r="Z482" s="74"/>
    </row>
    <row r="483" spans="1:26" ht="12.75" hidden="1" customHeight="1" outlineLevel="2">
      <c r="A483" s="3"/>
      <c r="B483" s="3"/>
      <c r="C483" s="3"/>
      <c r="D483" s="16"/>
      <c r="E483" s="1594"/>
      <c r="F483" s="61">
        <v>2</v>
      </c>
      <c r="G483" s="1341"/>
      <c r="H483" s="114"/>
      <c r="I483" s="116"/>
      <c r="J483" s="18">
        <f>IF(A33stdlife="n/a","n/a",IF(J$3&gt;(A33stdlife+$F483),('RFM input'!$I$255*(1+vanilla2)^0.5)-SUM($I483:I483),('RFM input'!$I$255*(1+vanilla2)^0.5)/A33stdlife))</f>
        <v>0</v>
      </c>
      <c r="K483" s="18">
        <f>IF(A33stdlife="n/a","n/a",IF(K$3&gt;(A33stdlife+$F483),('RFM input'!$I$255*(1+vanilla2)^0.5)-SUM($I483:J483),('RFM input'!$I$255*(1+vanilla2)^0.5)/A33stdlife))</f>
        <v>0</v>
      </c>
      <c r="L483" s="18">
        <f>IF(A33stdlife="n/a","n/a",IF(L$3&gt;(A33stdlife+$F483),('RFM input'!$I$255*(1+vanilla2)^0.5)-SUM($I483:K483),('RFM input'!$I$255*(1+vanilla2)^0.5)/A33stdlife))</f>
        <v>0</v>
      </c>
      <c r="M483" s="18">
        <f>IF(A33stdlife="n/a","n/a",IF(M$3&gt;(A33stdlife+$F483),('RFM input'!$I$255*(1+vanilla2)^0.5)-SUM($I483:L483),('RFM input'!$I$255*(1+vanilla2)^0.5)/A33stdlife))</f>
        <v>0</v>
      </c>
      <c r="N483" s="18">
        <f>IF(A33stdlife="n/a","n/a",IF(N$3&gt;(A33stdlife+$F483),('RFM input'!$I$255*(1+vanilla2)^0.5)-SUM($I483:M483),('RFM input'!$I$255*(1+vanilla2)^0.5)/A33stdlife))</f>
        <v>0</v>
      </c>
      <c r="O483" s="18">
        <f>IF(A33stdlife="n/a","n/a",IF(O$3&gt;(A33stdlife+$F483),('RFM input'!$I$255*(1+vanilla2)^0.5)-SUM($I483:N483),('RFM input'!$I$255*(1+vanilla2)^0.5)/A33stdlife))</f>
        <v>0</v>
      </c>
      <c r="P483" s="18">
        <f>IF(A33stdlife="n/a","n/a",IF(P$3&gt;(A33stdlife+$F483),('RFM input'!$I$255*(1+vanilla2)^0.5)-SUM($I483:O483),('RFM input'!$I$255*(1+vanilla2)^0.5)/A33stdlife))</f>
        <v>0</v>
      </c>
      <c r="Q483" s="18">
        <f>IF(A33stdlife="n/a","n/a",IF(Q$3&gt;(A33stdlife+$F483),('RFM input'!$I$255*(1+vanilla2)^0.5)-SUM($I483:P483),('RFM input'!$I$255*(1+vanilla2)^0.5)/A33stdlife))</f>
        <v>0</v>
      </c>
      <c r="R483" s="18"/>
      <c r="S483" s="74"/>
      <c r="T483" s="74"/>
      <c r="U483" s="74"/>
      <c r="V483" s="74"/>
      <c r="W483" s="74"/>
      <c r="X483" s="74"/>
      <c r="Y483" s="74"/>
      <c r="Z483" s="74"/>
    </row>
    <row r="484" spans="1:26" ht="12.75" hidden="1" customHeight="1" outlineLevel="2">
      <c r="A484" s="3"/>
      <c r="B484" s="3"/>
      <c r="C484" s="3"/>
      <c r="D484" s="16"/>
      <c r="E484" s="1594"/>
      <c r="F484" s="61">
        <v>3</v>
      </c>
      <c r="G484" s="1341"/>
      <c r="H484" s="114"/>
      <c r="I484" s="115"/>
      <c r="J484" s="116"/>
      <c r="K484" s="18">
        <f>IF(A33stdlife="n/a","n/a",IF(K$3&gt;(A33stdlife+$F484),('RFM input'!$J$255*(1+vanilla3)^0.5)-SUM($J484:J484),('RFM input'!$J$255*(1+vanilla3)^0.5)/A33stdlife))</f>
        <v>0</v>
      </c>
      <c r="L484" s="18">
        <f>IF(A33stdlife="n/a","n/a",IF(L$3&gt;(A33stdlife+$F484),('RFM input'!$J$255*(1+vanilla3)^0.5)-SUM($J484:K484),('RFM input'!$J$255*(1+vanilla3)^0.5)/A33stdlife))</f>
        <v>0</v>
      </c>
      <c r="M484" s="18">
        <f>IF(A33stdlife="n/a","n/a",IF(M$3&gt;(A33stdlife+$F484),('RFM input'!$J$255*(1+vanilla3)^0.5)-SUM($J484:L484),('RFM input'!$J$255*(1+vanilla3)^0.5)/A33stdlife))</f>
        <v>0</v>
      </c>
      <c r="N484" s="18">
        <f>IF(A33stdlife="n/a","n/a",IF(N$3&gt;(A33stdlife+$F484),('RFM input'!$J$255*(1+vanilla3)^0.5)-SUM($J484:M484),('RFM input'!$J$255*(1+vanilla3)^0.5)/A33stdlife))</f>
        <v>0</v>
      </c>
      <c r="O484" s="18">
        <f>IF(A33stdlife="n/a","n/a",IF(O$3&gt;(A33stdlife+$F484),('RFM input'!$J$255*(1+vanilla3)^0.5)-SUM($J484:N484),('RFM input'!$J$255*(1+vanilla3)^0.5)/A33stdlife))</f>
        <v>0</v>
      </c>
      <c r="P484" s="18">
        <f>IF(A33stdlife="n/a","n/a",IF(P$3&gt;(A33stdlife+$F484),('RFM input'!$J$255*(1+vanilla3)^0.5)-SUM($J484:O484),('RFM input'!$J$255*(1+vanilla3)^0.5)/A33stdlife))</f>
        <v>0</v>
      </c>
      <c r="Q484" s="18">
        <f>IF(A33stdlife="n/a","n/a",IF(Q$3&gt;(A33stdlife+$F484),('RFM input'!$J$255*(1+vanilla3)^0.5)-SUM($J484:P484),('RFM input'!$J$255*(1+vanilla3)^0.5)/A33stdlife))</f>
        <v>0</v>
      </c>
      <c r="R484" s="18"/>
      <c r="S484" s="74"/>
      <c r="T484" s="74"/>
      <c r="U484" s="74"/>
      <c r="V484" s="74"/>
      <c r="W484" s="74"/>
      <c r="X484" s="74"/>
      <c r="Y484" s="74"/>
      <c r="Z484" s="74"/>
    </row>
    <row r="485" spans="1:26" ht="12.75" hidden="1" customHeight="1" outlineLevel="2">
      <c r="A485" s="3"/>
      <c r="B485" s="3"/>
      <c r="C485" s="3"/>
      <c r="D485" s="16"/>
      <c r="E485" s="1594"/>
      <c r="F485" s="61">
        <v>4</v>
      </c>
      <c r="G485" s="1341"/>
      <c r="H485" s="114"/>
      <c r="I485" s="115"/>
      <c r="J485" s="115"/>
      <c r="K485" s="116"/>
      <c r="L485" s="18">
        <f>IF(A33stdlife="n/a","n/a",IF(L$3&gt;(A33stdlife+$F485),('RFM input'!$K$255*(1+vanilla4)^0.5)-SUM($K485:K485),('RFM input'!$K$255*(1+vanilla4)^0.5)/A33stdlife))</f>
        <v>0</v>
      </c>
      <c r="M485" s="18">
        <f>IF(A33stdlife="n/a","n/a",IF(M$3&gt;(A33stdlife+$F485),('RFM input'!$K$255*(1+vanilla4)^0.5)-SUM($K485:L485),('RFM input'!$K$255*(1+vanilla4)^0.5)/A33stdlife))</f>
        <v>0</v>
      </c>
      <c r="N485" s="18">
        <f>IF(A33stdlife="n/a","n/a",IF(N$3&gt;(A33stdlife+$F485),('RFM input'!$K$255*(1+vanilla4)^0.5)-SUM($K485:M485),('RFM input'!$K$255*(1+vanilla4)^0.5)/A33stdlife))</f>
        <v>0</v>
      </c>
      <c r="O485" s="18">
        <f>IF(A33stdlife="n/a","n/a",IF(O$3&gt;(A33stdlife+$F485),('RFM input'!$K$255*(1+vanilla4)^0.5)-SUM($K485:N485),('RFM input'!$K$255*(1+vanilla4)^0.5)/A33stdlife))</f>
        <v>0</v>
      </c>
      <c r="P485" s="18">
        <f>IF(A33stdlife="n/a","n/a",IF(P$3&gt;(A33stdlife+$F485),('RFM input'!$K$255*(1+vanilla4)^0.5)-SUM($K485:O485),('RFM input'!$K$255*(1+vanilla4)^0.5)/A33stdlife))</f>
        <v>0</v>
      </c>
      <c r="Q485" s="18">
        <f>IF(A33stdlife="n/a","n/a",IF(Q$3&gt;(A33stdlife+$F485),('RFM input'!$K$255*(1+vanilla4)^0.5)-SUM($K485:P485),('RFM input'!$K$255*(1+vanilla4)^0.5)/A33stdlife))</f>
        <v>0</v>
      </c>
      <c r="R485" s="18"/>
      <c r="S485" s="74"/>
      <c r="T485" s="74"/>
      <c r="U485" s="74"/>
      <c r="V485" s="74"/>
      <c r="W485" s="74"/>
      <c r="X485" s="74"/>
      <c r="Y485" s="74"/>
      <c r="Z485" s="74"/>
    </row>
    <row r="486" spans="1:26" ht="12.75" hidden="1" customHeight="1" outlineLevel="2">
      <c r="A486" s="3"/>
      <c r="B486" s="3"/>
      <c r="C486" s="3"/>
      <c r="D486" s="16"/>
      <c r="E486" s="1594"/>
      <c r="F486" s="61">
        <v>5</v>
      </c>
      <c r="G486" s="17"/>
      <c r="H486" s="114"/>
      <c r="I486" s="115"/>
      <c r="J486" s="115"/>
      <c r="K486" s="115"/>
      <c r="L486" s="116"/>
      <c r="M486" s="18">
        <f>IF(A33stdlife="n/a","n/a",IF(M$3&gt;(A33stdlife+$F486),('RFM input'!$L$255*(1+vanilla5)^0.5)-SUM($L486:L486),('RFM input'!$L$255*(1+vanilla5)^0.5)/A33stdlife))</f>
        <v>0</v>
      </c>
      <c r="N486" s="18">
        <f>IF(A33stdlife="n/a","n/a",IF(N$3&gt;(A33stdlife+$F486),('RFM input'!$L$255*(1+vanilla5)^0.5)-SUM($L486:M486),('RFM input'!$L$255*(1+vanilla5)^0.5)/A33stdlife))</f>
        <v>0</v>
      </c>
      <c r="O486" s="18">
        <f>IF(A33stdlife="n/a","n/a",IF(O$3&gt;(A33stdlife+$F486),('RFM input'!$L$255*(1+vanilla5)^0.5)-SUM($L486:N486),('RFM input'!$L$255*(1+vanilla5)^0.5)/A33stdlife))</f>
        <v>0</v>
      </c>
      <c r="P486" s="18">
        <f>IF(A33stdlife="n/a","n/a",IF(P$3&gt;(A33stdlife+$F486),('RFM input'!$L$255*(1+vanilla5)^0.5)-SUM($L486:O486),('RFM input'!$L$255*(1+vanilla5)^0.5)/A33stdlife))</f>
        <v>0</v>
      </c>
      <c r="Q486" s="18">
        <f>IF(A33stdlife="n/a","n/a",IF(Q$3&gt;(A33stdlife+$F486),('RFM input'!$L$255*(1+vanilla5)^0.5)-SUM($L486:P486),('RFM input'!$L$255*(1+vanilla5)^0.5)/A33stdlife))</f>
        <v>0</v>
      </c>
      <c r="R486" s="18"/>
      <c r="S486" s="74"/>
      <c r="T486" s="74"/>
      <c r="U486" s="74"/>
      <c r="V486" s="74"/>
      <c r="W486" s="74"/>
      <c r="X486" s="74"/>
      <c r="Y486" s="74"/>
      <c r="Z486" s="74"/>
    </row>
    <row r="487" spans="1:26" ht="12.75" hidden="1" customHeight="1" outlineLevel="2">
      <c r="A487" s="3"/>
      <c r="B487" s="3"/>
      <c r="C487" s="3"/>
      <c r="D487" s="16"/>
      <c r="E487" s="1594"/>
      <c r="F487" s="61">
        <v>6</v>
      </c>
      <c r="G487" s="17"/>
      <c r="H487" s="114"/>
      <c r="I487" s="115"/>
      <c r="J487" s="115"/>
      <c r="K487" s="115"/>
      <c r="L487" s="115"/>
      <c r="M487" s="116"/>
      <c r="N487" s="18">
        <f>IF(A33stdlife="n/a","n/a",IF(N$3&gt;(A33stdlife+$F487),('RFM input'!$M$255*(1+vanilla6)^0.5)-SUM($M487:M487),('RFM input'!$M$255*(1+vanilla6)^0.5)/A33stdlife))</f>
        <v>0</v>
      </c>
      <c r="O487" s="18">
        <f>IF(A33stdlife="n/a","n/a",IF(O$3&gt;(A33stdlife+$F487),('RFM input'!$M$255*(1+vanilla6)^0.5)-SUM($M487:N487),('RFM input'!$M$255*(1+vanilla6)^0.5)/A33stdlife))</f>
        <v>0</v>
      </c>
      <c r="P487" s="18">
        <f>IF(A33stdlife="n/a","n/a",IF(P$3&gt;(A33stdlife+$F487),('RFM input'!$M$255*(1+vanilla6)^0.5)-SUM($M487:O487),('RFM input'!$M$255*(1+vanilla6)^0.5)/A33stdlife))</f>
        <v>0</v>
      </c>
      <c r="Q487" s="18">
        <f>IF(A33stdlife="n/a","n/a",IF(Q$3&gt;(A33stdlife+$F487),('RFM input'!$M$255*(1+vanilla6)^0.5)-SUM($M487:P487),('RFM input'!$M$255*(1+vanilla6)^0.5)/A33stdlife))</f>
        <v>0</v>
      </c>
      <c r="R487" s="18"/>
      <c r="S487" s="74"/>
      <c r="T487" s="74"/>
      <c r="U487" s="74"/>
      <c r="V487" s="74"/>
      <c r="W487" s="74"/>
      <c r="X487" s="74"/>
      <c r="Y487" s="74"/>
      <c r="Z487" s="74"/>
    </row>
    <row r="488" spans="1:26" ht="12.75" hidden="1" customHeight="1" outlineLevel="2">
      <c r="A488" s="3"/>
      <c r="B488" s="3"/>
      <c r="C488" s="3"/>
      <c r="D488" s="16"/>
      <c r="E488" s="1594"/>
      <c r="F488" s="61">
        <v>7</v>
      </c>
      <c r="G488" s="17"/>
      <c r="H488" s="114"/>
      <c r="I488" s="115"/>
      <c r="J488" s="115"/>
      <c r="K488" s="115"/>
      <c r="L488" s="115"/>
      <c r="M488" s="115"/>
      <c r="N488" s="116"/>
      <c r="O488" s="18">
        <f>IF(A33stdlife="n/a","n/a",IF(O$3&gt;(A33stdlife+$F488),('RFM input'!M$255*(1+vanilla7)^0.5)-SUM($N488:N488),('RFM input'!$N$255*(1+vanilla7)^0.5)/A33stdlife))</f>
        <v>0</v>
      </c>
      <c r="P488" s="18">
        <f>IF(A33stdlife="n/a","n/a",IF(P$3&gt;(A33stdlife+$F488),('RFM input'!N$255*(1+vanilla7)^0.5)-SUM($N488:O488),('RFM input'!$N$255*(1+vanilla7)^0.5)/A33stdlife))</f>
        <v>0</v>
      </c>
      <c r="Q488" s="18">
        <f>IF(A33stdlife="n/a","n/a",IF(Q$3&gt;(A33stdlife+$F488),('RFM input'!O$255*(1+vanilla7)^0.5)-SUM($N488:P488),('RFM input'!$N$255*(1+vanilla7)^0.5)/A33stdlife))</f>
        <v>0</v>
      </c>
      <c r="R488" s="18"/>
      <c r="S488" s="74"/>
      <c r="T488" s="74"/>
      <c r="U488" s="74"/>
      <c r="V488" s="74"/>
      <c r="W488" s="74"/>
      <c r="X488" s="74"/>
      <c r="Y488" s="74"/>
      <c r="Z488" s="74"/>
    </row>
    <row r="489" spans="1:26" ht="12.75" hidden="1" customHeight="1" outlineLevel="2">
      <c r="A489" s="3"/>
      <c r="B489" s="3"/>
      <c r="C489" s="3"/>
      <c r="D489" s="16"/>
      <c r="E489" s="1594"/>
      <c r="F489" s="61">
        <v>8</v>
      </c>
      <c r="G489" s="17"/>
      <c r="H489" s="114"/>
      <c r="I489" s="115"/>
      <c r="J489" s="115"/>
      <c r="K489" s="115"/>
      <c r="L489" s="115"/>
      <c r="M489" s="115"/>
      <c r="N489" s="115"/>
      <c r="O489" s="116"/>
      <c r="P489" s="18">
        <f>IF(A33stdlife="n/a","n/a",IF(P$3&gt;(A33stdlife+$F489),('RFM input'!$O$255*(1+vanilla8)^0.5)-SUM($O489:O489),('RFM input'!$O$255*(1+vanilla8)^0.5)/A33stdlife))</f>
        <v>0</v>
      </c>
      <c r="Q489" s="18">
        <f>IF(A33stdlife="n/a","n/a",IF(Q$3&gt;(A33stdlife+$F489),('RFM input'!$O$255*(1+vanilla8)^0.5)-SUM($O489:P489),('RFM input'!$O$255*(1+vanilla8)^0.5)/A33stdlife))</f>
        <v>0</v>
      </c>
      <c r="R489" s="18"/>
      <c r="S489" s="74"/>
      <c r="T489" s="74"/>
      <c r="U489" s="74"/>
      <c r="V489" s="74"/>
      <c r="W489" s="74"/>
      <c r="X489" s="74"/>
      <c r="Y489" s="74"/>
      <c r="Z489" s="74"/>
    </row>
    <row r="490" spans="1:26" ht="12.75" hidden="1" customHeight="1" outlineLevel="2">
      <c r="A490" s="3"/>
      <c r="B490" s="3"/>
      <c r="C490" s="3"/>
      <c r="D490" s="16"/>
      <c r="E490" s="1594"/>
      <c r="F490" s="61">
        <v>9</v>
      </c>
      <c r="G490" s="17"/>
      <c r="H490" s="114"/>
      <c r="I490" s="115"/>
      <c r="J490" s="115"/>
      <c r="K490" s="115"/>
      <c r="L490" s="115"/>
      <c r="M490" s="115"/>
      <c r="N490" s="115"/>
      <c r="O490" s="115"/>
      <c r="P490" s="116"/>
      <c r="Q490" s="18">
        <f>IF(A33stdlife="n/a","n/a",IF(Q$3&gt;(A33stdlife+$F490),('RFM input'!$P$255*(1+vanilla9)^0.5)-SUM($P490:P490),('RFM input'!$P$255*(1+vanilla9)^0.5)/A33stdlife))</f>
        <v>0</v>
      </c>
      <c r="R490" s="18"/>
      <c r="S490" s="74"/>
      <c r="T490" s="74"/>
      <c r="U490" s="74"/>
      <c r="V490" s="74"/>
      <c r="W490" s="74"/>
      <c r="X490" s="74"/>
      <c r="Y490" s="74"/>
      <c r="Z490" s="74"/>
    </row>
    <row r="491" spans="1:26" ht="12.75" hidden="1" customHeight="1" outlineLevel="2">
      <c r="A491" s="3"/>
      <c r="B491" s="3"/>
      <c r="C491" s="3"/>
      <c r="D491" s="16"/>
      <c r="E491" s="1594"/>
      <c r="F491" s="62">
        <v>10</v>
      </c>
      <c r="G491" s="17"/>
      <c r="H491" s="114"/>
      <c r="I491" s="115"/>
      <c r="J491" s="115"/>
      <c r="K491" s="115"/>
      <c r="L491" s="115"/>
      <c r="M491" s="115"/>
      <c r="N491" s="115"/>
      <c r="O491" s="115"/>
      <c r="P491" s="115"/>
      <c r="Q491" s="116"/>
      <c r="R491" s="18"/>
      <c r="S491" s="74"/>
      <c r="T491" s="74"/>
      <c r="U491" s="74"/>
      <c r="V491" s="74"/>
      <c r="W491" s="74"/>
      <c r="X491" s="74"/>
      <c r="Y491" s="74"/>
      <c r="Z491" s="74"/>
    </row>
    <row r="492" spans="1:26" ht="13.35" hidden="1" customHeight="1" outlineLevel="1">
      <c r="A492" s="3"/>
      <c r="B492" s="3"/>
      <c r="C492" s="3"/>
      <c r="D492" s="134">
        <f>Asset33</f>
        <v>0</v>
      </c>
      <c r="E492" s="3"/>
      <c r="F492" s="3"/>
      <c r="G492" s="1363"/>
      <c r="H492" s="1458">
        <f>IF(OR('RFM input'!$E$293='RFM input'!$G$292,'RFM input'!$E$293='RFM input'!$G$293),-INDEX('RFM input'!H$299:H$348,MATCH($D492,'RFM input'!$E$299:$E$348,0),1),-SUM(H480:H491))</f>
        <v>0</v>
      </c>
      <c r="I492" s="1458">
        <f>IF(OR('RFM input'!$E$293='RFM input'!$G$292,'RFM input'!$E$293='RFM input'!$G$293),-INDEX('RFM input'!I$299:I$348,MATCH($D492,'RFM input'!$E$299:$E$348,0),1),-SUM(I480:I491))</f>
        <v>0</v>
      </c>
      <c r="J492" s="1386">
        <f>IF(COUNT($H492:I492)&gt;='RFM input'!$V$7,
   0,
   IF(OR('RFM input'!$E$293='RFM input'!$G$292,'RFM input'!$E$293='RFM input'!$G$293),
      -INDEX('RFM input'!J$299:J$348,MATCH($D492,'RFM input'!$E$299:$E$348,0),1),
      -SUM(J480:J491)))</f>
        <v>0</v>
      </c>
      <c r="K492" s="1386">
        <f>IF(COUNT($H492:J492)&gt;='RFM input'!$V$7,
   0,
   IF(OR('RFM input'!$E$293='RFM input'!$G$292,'RFM input'!$E$293='RFM input'!$G$293),
      -INDEX('RFM input'!K$299:K$348,MATCH($D492,'RFM input'!$E$299:$E$348,0),1),
      -SUM(K480:K491)))</f>
        <v>0</v>
      </c>
      <c r="L492" s="1386">
        <f>IF(COUNT($H492:K492)&gt;='RFM input'!$V$7,
   0,
   IF(OR('RFM input'!$E$293='RFM input'!$G$292,'RFM input'!$E$293='RFM input'!$G$293),
      -INDEX('RFM input'!L$299:L$348,MATCH($D492,'RFM input'!$E$299:$E$348,0),1),
      -SUM(L480:L491)))</f>
        <v>0</v>
      </c>
      <c r="M492" s="1386">
        <f>IF(COUNT($H492:L492)&gt;='RFM input'!$V$7,
   0,
   IF(OR('RFM input'!$E$293='RFM input'!$G$292,'RFM input'!$E$293='RFM input'!$G$293),
      -INDEX('RFM input'!M$299:M$348,MATCH($D492,'RFM input'!$E$299:$E$348,0),1),
      -SUM(M480:M491)))</f>
        <v>0</v>
      </c>
      <c r="N492" s="1386">
        <f>IF(COUNT($H492:M492)&gt;='RFM input'!$V$7,
   0,
   IF(OR('RFM input'!$E$293='RFM input'!$G$292,'RFM input'!$E$293='RFM input'!$G$293),
      -INDEX('RFM input'!N$299:N$348,MATCH($D492,'RFM input'!$E$299:$E$348,0),1),
      -SUM(N480:N491)))</f>
        <v>0</v>
      </c>
      <c r="O492" s="1386">
        <f>IF(COUNT($H492:N492)&gt;='RFM input'!$V$7,
   0,
   IF(OR('RFM input'!$E$293='RFM input'!$G$292,'RFM input'!$E$293='RFM input'!$G$293),
      -INDEX('RFM input'!O$299:O$348,MATCH($D492,'RFM input'!$E$299:$E$348,0),1),
      -SUM(O480:O491)))</f>
        <v>0</v>
      </c>
      <c r="P492" s="1386">
        <f>IF(COUNT($H492:O492)&gt;='RFM input'!$V$7,
   0,
   IF(OR('RFM input'!$E$293='RFM input'!$G$292,'RFM input'!$E$293='RFM input'!$G$293),
      -INDEX('RFM input'!P$299:P$348,MATCH($D492,'RFM input'!$E$299:$E$348,0),1),
      -SUM(P480:P491)))</f>
        <v>0</v>
      </c>
      <c r="Q492" s="1386">
        <f>IF(COUNT($H492:P492)&gt;='RFM input'!$V$7,
   0,
   IF(OR('RFM input'!$E$293='RFM input'!$G$292,'RFM input'!$E$293='RFM input'!$G$293),
      -INDEX('RFM input'!Q$299:Q$348,MATCH($D492,'RFM input'!$E$299:$E$348,0),1),
      -SUM(Q480:Q491)))</f>
        <v>0</v>
      </c>
      <c r="R492" s="1382"/>
      <c r="S492" s="76"/>
      <c r="T492" s="76"/>
      <c r="U492" s="76"/>
      <c r="V492" s="76"/>
      <c r="W492" s="76"/>
      <c r="X492" s="76"/>
      <c r="Y492" s="76"/>
      <c r="Z492" s="76"/>
    </row>
    <row r="493" spans="1:26" ht="12.75" hidden="1" customHeight="1" outlineLevel="2">
      <c r="A493" s="3"/>
      <c r="B493" s="3"/>
      <c r="C493" s="135">
        <f>Asset34</f>
        <v>0</v>
      </c>
      <c r="D493" s="100"/>
      <c r="E493" s="20" t="s">
        <v>23</v>
      </c>
      <c r="F493" s="19"/>
      <c r="G493" s="1389"/>
      <c r="H493" s="1380">
        <f>IF(H$3&gt;A34remlife,A34value-SUM($G493:G493),IF(A34remlife="N/A","n/a",A34value/A34remlife))</f>
        <v>0</v>
      </c>
      <c r="I493" s="1380">
        <f>IF(I$3&gt;A34remlife,A34value-SUM($G493:H493),IF(A34remlife="N/A","n/a",A34value/A34remlife))</f>
        <v>0</v>
      </c>
      <c r="J493" s="1380">
        <f>IF(J$3&gt;A34remlife,A34value-SUM($G493:I493),IF(A34remlife="N/A","n/a",A34value/A34remlife))</f>
        <v>0</v>
      </c>
      <c r="K493" s="1380">
        <f>IF(K$3&gt;A34remlife,A34value-SUM($G493:J493),IF(A34remlife="N/A","n/a",A34value/A34remlife))</f>
        <v>0</v>
      </c>
      <c r="L493" s="1380">
        <f>IF(L$3&gt;A34remlife,A34value-SUM($G493:K493),IF(A34remlife="N/A","n/a",A34value/A34remlife))</f>
        <v>0</v>
      </c>
      <c r="M493" s="1380">
        <f>IF(M$3&gt;A34remlife,A34value-SUM($G493:L493),IF(A34remlife="N/A","n/a",A34value/A34remlife))</f>
        <v>0</v>
      </c>
      <c r="N493" s="1380">
        <f>IF(N$3&gt;A34remlife,A34value-SUM($G493:M493),IF(A34remlife="N/A","n/a",A34value/A34remlife))</f>
        <v>0</v>
      </c>
      <c r="O493" s="1380">
        <f>IF(O$3&gt;A34remlife,A34value-SUM($G493:N493),IF(A34remlife="N/A","n/a",A34value/A34remlife))</f>
        <v>0</v>
      </c>
      <c r="P493" s="1380">
        <f>IF(P$3&gt;A34remlife,A34value-SUM($G493:O493),IF(A34remlife="N/A","n/a",A34value/A34remlife))</f>
        <v>0</v>
      </c>
      <c r="Q493" s="1380">
        <f>IF(Q$3&gt;A34remlife,A34value-SUM($G493:P493),IF(A34remlife="N/A","n/a",A34value/A34remlife))</f>
        <v>0</v>
      </c>
      <c r="R493" s="21"/>
      <c r="S493" s="74"/>
      <c r="T493" s="74"/>
      <c r="U493" s="74"/>
      <c r="V493" s="74"/>
      <c r="W493" s="74"/>
      <c r="X493" s="74"/>
      <c r="Y493" s="74"/>
      <c r="Z493" s="74"/>
    </row>
    <row r="494" spans="1:26" ht="12.75" hidden="1" customHeight="1" outlineLevel="2">
      <c r="A494" s="3"/>
      <c r="B494" s="3"/>
      <c r="C494" s="3"/>
      <c r="D494" s="16"/>
      <c r="E494" s="1593" t="s">
        <v>43</v>
      </c>
      <c r="F494" s="61"/>
      <c r="G494" s="1341"/>
      <c r="H494" s="18"/>
      <c r="I494" s="18"/>
      <c r="J494" s="18"/>
      <c r="K494" s="18"/>
      <c r="L494" s="18"/>
      <c r="M494" s="1384"/>
      <c r="N494" s="1385"/>
      <c r="O494" s="18"/>
      <c r="P494" s="18"/>
      <c r="Q494" s="18"/>
      <c r="R494" s="18"/>
      <c r="S494" s="74"/>
      <c r="T494" s="74"/>
      <c r="U494" s="74"/>
      <c r="V494" s="74"/>
      <c r="W494" s="74"/>
      <c r="X494" s="74"/>
      <c r="Y494" s="74"/>
      <c r="Z494" s="74"/>
    </row>
    <row r="495" spans="1:26" ht="12.75" hidden="1" customHeight="1" outlineLevel="2">
      <c r="A495" s="3"/>
      <c r="B495" s="3"/>
      <c r="C495" s="3"/>
      <c r="D495" s="16"/>
      <c r="E495" s="1594"/>
      <c r="F495" s="61">
        <v>1</v>
      </c>
      <c r="G495" s="1341"/>
      <c r="H495" s="1381"/>
      <c r="I495" s="18">
        <f>IF(A34stdlife="n/a","n/a",IF(I$3&gt;(A34stdlife+$F495),('RFM input'!$H$256*(1+vanilla1)^0.5)-SUM($H495:H495),('RFM input'!$H$256*(1+vanilla1)^0.5)/A34stdlife))</f>
        <v>0</v>
      </c>
      <c r="J495" s="18">
        <f>IF(A34stdlife="n/a","n/a",IF(J$3&gt;(A34stdlife+$F495),('RFM input'!$H$256*(1+vanilla1)^0.5)-SUM($H495:I495),('RFM input'!$H$256*(1+vanilla1)^0.5)/A34stdlife))</f>
        <v>0</v>
      </c>
      <c r="K495" s="18">
        <f>IF(A34stdlife="n/a","n/a",IF(K$3&gt;(A34stdlife+$F495),('RFM input'!$H$256*(1+vanilla1)^0.5)-SUM($H495:J495),('RFM input'!$H$256*(1+vanilla1)^0.5)/A34stdlife))</f>
        <v>0</v>
      </c>
      <c r="L495" s="18">
        <f>IF(A34stdlife="n/a","n/a",IF(L$3&gt;(A34stdlife+$F495),('RFM input'!$H$256*(1+vanilla1)^0.5)-SUM($H495:K495),('RFM input'!$H$256*(1+vanilla1)^0.5)/A34stdlife))</f>
        <v>0</v>
      </c>
      <c r="M495" s="18">
        <f>IF(A34stdlife="n/a","n/a",IF(M$3&gt;(A34stdlife+$F495),('RFM input'!$H$256*(1+vanilla1)^0.5)-SUM($H495:L495),('RFM input'!$H$256*(1+vanilla1)^0.5)/A34stdlife))</f>
        <v>0</v>
      </c>
      <c r="N495" s="18">
        <f>IF(A34stdlife="n/a","n/a",IF(N$3&gt;(A34stdlife+$F495),('RFM input'!$H$256*(1+vanilla1)^0.5)-SUM($H495:M495),('RFM input'!$H$256*(1+vanilla1)^0.5)/A34stdlife))</f>
        <v>0</v>
      </c>
      <c r="O495" s="18">
        <f>IF(A34stdlife="n/a","n/a",IF(O$3&gt;(A34stdlife+$F495),('RFM input'!$H$256*(1+vanilla1)^0.5)-SUM($H495:N495),('RFM input'!$H$256*(1+vanilla1)^0.5)/A34stdlife))</f>
        <v>0</v>
      </c>
      <c r="P495" s="18">
        <f>IF(A34stdlife="n/a","n/a",IF(P$3&gt;(A34stdlife+$F495),('RFM input'!$H$256*(1+vanilla1)^0.5)-SUM($H495:O495),('RFM input'!$H$256*(1+vanilla1)^0.5)/A34stdlife))</f>
        <v>0</v>
      </c>
      <c r="Q495" s="18">
        <f>IF(A34stdlife="n/a","n/a",IF(Q$3&gt;(A34stdlife+$F495),('RFM input'!$H$256*(1+vanilla1)^0.5)-SUM($H495:P495),('RFM input'!$H$256*(1+vanilla1)^0.5)/A34stdlife))</f>
        <v>0</v>
      </c>
      <c r="R495" s="18"/>
      <c r="S495" s="74"/>
      <c r="T495" s="74"/>
      <c r="U495" s="74"/>
      <c r="V495" s="74"/>
      <c r="W495" s="74"/>
      <c r="X495" s="74"/>
      <c r="Y495" s="74"/>
      <c r="Z495" s="74"/>
    </row>
    <row r="496" spans="1:26" ht="12.75" hidden="1" customHeight="1" outlineLevel="2">
      <c r="A496" s="3"/>
      <c r="B496" s="3"/>
      <c r="C496" s="3"/>
      <c r="D496" s="16"/>
      <c r="E496" s="1594"/>
      <c r="F496" s="61">
        <v>2</v>
      </c>
      <c r="G496" s="1341"/>
      <c r="H496" s="114"/>
      <c r="I496" s="116"/>
      <c r="J496" s="18">
        <f>IF(A34stdlife="n/a","n/a",IF(J$3&gt;(A34stdlife+$F496),('RFM input'!$I$256*(1+vanilla2)^0.5)-SUM($I496:I496),('RFM input'!$I$256*(1+vanilla2)^0.5)/A34stdlife))</f>
        <v>0</v>
      </c>
      <c r="K496" s="18">
        <f>IF(A34stdlife="n/a","n/a",IF(K$3&gt;(A34stdlife+$F496),('RFM input'!$I$256*(1+vanilla2)^0.5)-SUM($I496:J496),('RFM input'!$I$256*(1+vanilla2)^0.5)/A34stdlife))</f>
        <v>0</v>
      </c>
      <c r="L496" s="18">
        <f>IF(A34stdlife="n/a","n/a",IF(L$3&gt;(A34stdlife+$F496),('RFM input'!$I$256*(1+vanilla2)^0.5)-SUM($I496:K496),('RFM input'!$I$256*(1+vanilla2)^0.5)/A34stdlife))</f>
        <v>0</v>
      </c>
      <c r="M496" s="18">
        <f>IF(A34stdlife="n/a","n/a",IF(M$3&gt;(A34stdlife+$F496),('RFM input'!$I$256*(1+vanilla2)^0.5)-SUM($I496:L496),('RFM input'!$I$256*(1+vanilla2)^0.5)/A34stdlife))</f>
        <v>0</v>
      </c>
      <c r="N496" s="18">
        <f>IF(A34stdlife="n/a","n/a",IF(N$3&gt;(A34stdlife+$F496),('RFM input'!$I$256*(1+vanilla2)^0.5)-SUM($I496:M496),('RFM input'!$I$256*(1+vanilla2)^0.5)/A34stdlife))</f>
        <v>0</v>
      </c>
      <c r="O496" s="18">
        <f>IF(A34stdlife="n/a","n/a",IF(O$3&gt;(A34stdlife+$F496),('RFM input'!$I$256*(1+vanilla2)^0.5)-SUM($I496:N496),('RFM input'!$I$256*(1+vanilla2)^0.5)/A34stdlife))</f>
        <v>0</v>
      </c>
      <c r="P496" s="18">
        <f>IF(A34stdlife="n/a","n/a",IF(P$3&gt;(A34stdlife+$F496),('RFM input'!$I$256*(1+vanilla2)^0.5)-SUM($I496:O496),('RFM input'!$I$256*(1+vanilla2)^0.5)/A34stdlife))</f>
        <v>0</v>
      </c>
      <c r="Q496" s="18">
        <f>IF(A34stdlife="n/a","n/a",IF(Q$3&gt;(A34stdlife+$F496),('RFM input'!$I$256*(1+vanilla2)^0.5)-SUM($I496:P496),('RFM input'!$I$256*(1+vanilla2)^0.5)/A34stdlife))</f>
        <v>0</v>
      </c>
      <c r="R496" s="18"/>
      <c r="S496" s="74"/>
      <c r="T496" s="74"/>
      <c r="U496" s="74"/>
      <c r="V496" s="74"/>
      <c r="W496" s="74"/>
      <c r="X496" s="74"/>
      <c r="Y496" s="74"/>
      <c r="Z496" s="74"/>
    </row>
    <row r="497" spans="1:26" ht="12.75" hidden="1" customHeight="1" outlineLevel="2">
      <c r="A497" s="3"/>
      <c r="B497" s="3"/>
      <c r="C497" s="3"/>
      <c r="D497" s="16"/>
      <c r="E497" s="1594"/>
      <c r="F497" s="61">
        <v>3</v>
      </c>
      <c r="G497" s="1341"/>
      <c r="H497" s="114"/>
      <c r="I497" s="115"/>
      <c r="J497" s="116"/>
      <c r="K497" s="18">
        <f>IF(A34stdlife="n/a","n/a",IF(K$3&gt;(A34stdlife+$F497),('RFM input'!$J$256*(1+vanilla3)^0.5)-SUM($J497:J497),('RFM input'!$J$256*(1+vanilla3)^0.5)/A34stdlife))</f>
        <v>0</v>
      </c>
      <c r="L497" s="18">
        <f>IF(A34stdlife="n/a","n/a",IF(L$3&gt;(A34stdlife+$F497),('RFM input'!$J$256*(1+vanilla3)^0.5)-SUM($J497:K497),('RFM input'!$J$256*(1+vanilla3)^0.5)/A34stdlife))</f>
        <v>0</v>
      </c>
      <c r="M497" s="18">
        <f>IF(A34stdlife="n/a","n/a",IF(M$3&gt;(A34stdlife+$F497),('RFM input'!$J$256*(1+vanilla3)^0.5)-SUM($J497:L497),('RFM input'!$J$256*(1+vanilla3)^0.5)/A34stdlife))</f>
        <v>0</v>
      </c>
      <c r="N497" s="18">
        <f>IF(A34stdlife="n/a","n/a",IF(N$3&gt;(A34stdlife+$F497),('RFM input'!$J$256*(1+vanilla3)^0.5)-SUM($J497:M497),('RFM input'!$J$256*(1+vanilla3)^0.5)/A34stdlife))</f>
        <v>0</v>
      </c>
      <c r="O497" s="18">
        <f>IF(A34stdlife="n/a","n/a",IF(O$3&gt;(A34stdlife+$F497),('RFM input'!$J$256*(1+vanilla3)^0.5)-SUM($J497:N497),('RFM input'!$J$256*(1+vanilla3)^0.5)/A34stdlife))</f>
        <v>0</v>
      </c>
      <c r="P497" s="18">
        <f>IF(A34stdlife="n/a","n/a",IF(P$3&gt;(A34stdlife+$F497),('RFM input'!$J$256*(1+vanilla3)^0.5)-SUM($J497:O497),('RFM input'!$J$256*(1+vanilla3)^0.5)/A34stdlife))</f>
        <v>0</v>
      </c>
      <c r="Q497" s="18">
        <f>IF(A34stdlife="n/a","n/a",IF(Q$3&gt;(A34stdlife+$F497),('RFM input'!$J$256*(1+vanilla3)^0.5)-SUM($J497:P497),('RFM input'!$J$256*(1+vanilla3)^0.5)/A34stdlife))</f>
        <v>0</v>
      </c>
      <c r="R497" s="18"/>
      <c r="S497" s="74"/>
      <c r="T497" s="74"/>
      <c r="U497" s="74"/>
      <c r="V497" s="74"/>
      <c r="W497" s="74"/>
      <c r="X497" s="74"/>
      <c r="Y497" s="74"/>
      <c r="Z497" s="74"/>
    </row>
    <row r="498" spans="1:26" ht="12.75" hidden="1" customHeight="1" outlineLevel="2">
      <c r="A498" s="3"/>
      <c r="B498" s="3"/>
      <c r="C498" s="3"/>
      <c r="D498" s="16"/>
      <c r="E498" s="1594"/>
      <c r="F498" s="61">
        <v>4</v>
      </c>
      <c r="G498" s="1341"/>
      <c r="H498" s="114"/>
      <c r="I498" s="115"/>
      <c r="J498" s="115"/>
      <c r="K498" s="116"/>
      <c r="L498" s="18">
        <f>IF(A34stdlife="n/a","n/a",IF(L$3&gt;(A34stdlife+$F498),('RFM input'!$K$256*(1+vanilla4)^0.5)-SUM($K498:K498),('RFM input'!$K$256*(1+vanilla4)^0.5)/A34stdlife))</f>
        <v>0</v>
      </c>
      <c r="M498" s="18">
        <f>IF(A34stdlife="n/a","n/a",IF(M$3&gt;(A34stdlife+$F498),('RFM input'!$K$256*(1+vanilla4)^0.5)-SUM($K498:L498),('RFM input'!$K$256*(1+vanilla4)^0.5)/A34stdlife))</f>
        <v>0</v>
      </c>
      <c r="N498" s="18">
        <f>IF(A34stdlife="n/a","n/a",IF(N$3&gt;(A34stdlife+$F498),('RFM input'!$K$256*(1+vanilla4)^0.5)-SUM($K498:M498),('RFM input'!$K$256*(1+vanilla4)^0.5)/A34stdlife))</f>
        <v>0</v>
      </c>
      <c r="O498" s="18">
        <f>IF(A34stdlife="n/a","n/a",IF(O$3&gt;(A34stdlife+$F498),('RFM input'!$K$256*(1+vanilla4)^0.5)-SUM($K498:N498),('RFM input'!$K$256*(1+vanilla4)^0.5)/A34stdlife))</f>
        <v>0</v>
      </c>
      <c r="P498" s="18">
        <f>IF(A34stdlife="n/a","n/a",IF(P$3&gt;(A34stdlife+$F498),('RFM input'!$K$256*(1+vanilla4)^0.5)-SUM($K498:O498),('RFM input'!$K$256*(1+vanilla4)^0.5)/A34stdlife))</f>
        <v>0</v>
      </c>
      <c r="Q498" s="18">
        <f>IF(A34stdlife="n/a","n/a",IF(Q$3&gt;(A34stdlife+$F498),('RFM input'!$K$256*(1+vanilla4)^0.5)-SUM($K498:P498),('RFM input'!$K$256*(1+vanilla4)^0.5)/A34stdlife))</f>
        <v>0</v>
      </c>
      <c r="R498" s="18"/>
      <c r="S498" s="74"/>
      <c r="T498" s="74"/>
      <c r="U498" s="74"/>
      <c r="V498" s="74"/>
      <c r="W498" s="74"/>
      <c r="X498" s="74"/>
      <c r="Y498" s="74"/>
      <c r="Z498" s="74"/>
    </row>
    <row r="499" spans="1:26" ht="12.75" hidden="1" customHeight="1" outlineLevel="2">
      <c r="A499" s="3"/>
      <c r="B499" s="3"/>
      <c r="C499" s="3"/>
      <c r="D499" s="16"/>
      <c r="E499" s="1594"/>
      <c r="F499" s="61">
        <v>5</v>
      </c>
      <c r="G499" s="17"/>
      <c r="H499" s="114"/>
      <c r="I499" s="115"/>
      <c r="J499" s="115"/>
      <c r="K499" s="115"/>
      <c r="L499" s="116"/>
      <c r="M499" s="18">
        <f>IF(A34stdlife="n/a","n/a",IF(M$3&gt;(A34stdlife+$F499),('RFM input'!$L$256*(1+vanilla5)^0.5)-SUM($L499:L499),('RFM input'!$L$256*(1+vanilla5)^0.5)/A34stdlife))</f>
        <v>0</v>
      </c>
      <c r="N499" s="18">
        <f>IF(A34stdlife="n/a","n/a",IF(N$3&gt;(A34stdlife+$F499),('RFM input'!$L$256*(1+vanilla5)^0.5)-SUM($L499:M499),('RFM input'!$L$256*(1+vanilla5)^0.5)/A34stdlife))</f>
        <v>0</v>
      </c>
      <c r="O499" s="18">
        <f>IF(A34stdlife="n/a","n/a",IF(O$3&gt;(A34stdlife+$F499),('RFM input'!$L$256*(1+vanilla5)^0.5)-SUM($L499:N499),('RFM input'!$L$256*(1+vanilla5)^0.5)/A34stdlife))</f>
        <v>0</v>
      </c>
      <c r="P499" s="18">
        <f>IF(A34stdlife="n/a","n/a",IF(P$3&gt;(A34stdlife+$F499),('RFM input'!$L$256*(1+vanilla5)^0.5)-SUM($L499:O499),('RFM input'!$L$256*(1+vanilla5)^0.5)/A34stdlife))</f>
        <v>0</v>
      </c>
      <c r="Q499" s="18">
        <f>IF(A34stdlife="n/a","n/a",IF(Q$3&gt;(A34stdlife+$F499),('RFM input'!$L$256*(1+vanilla5)^0.5)-SUM($L499:P499),('RFM input'!$L$256*(1+vanilla5)^0.5)/A34stdlife))</f>
        <v>0</v>
      </c>
      <c r="R499" s="18"/>
      <c r="S499" s="74"/>
      <c r="T499" s="74"/>
      <c r="U499" s="74"/>
      <c r="V499" s="74"/>
      <c r="W499" s="74"/>
      <c r="X499" s="74"/>
      <c r="Y499" s="74"/>
      <c r="Z499" s="74"/>
    </row>
    <row r="500" spans="1:26" ht="12.75" hidden="1" customHeight="1" outlineLevel="2">
      <c r="A500" s="3"/>
      <c r="B500" s="3"/>
      <c r="C500" s="3"/>
      <c r="D500" s="16"/>
      <c r="E500" s="1594"/>
      <c r="F500" s="61">
        <v>6</v>
      </c>
      <c r="G500" s="17"/>
      <c r="H500" s="114"/>
      <c r="I500" s="115"/>
      <c r="J500" s="115"/>
      <c r="K500" s="115"/>
      <c r="L500" s="115"/>
      <c r="M500" s="116"/>
      <c r="N500" s="18">
        <f>IF(A34stdlife="n/a","n/a",IF(N$3&gt;(A34stdlife+$F500),('RFM input'!$M$256*(1+vanilla6)^0.5)-SUM($M500:M500),('RFM input'!$M$256*(1+vanilla6)^0.5)/A34stdlife))</f>
        <v>0</v>
      </c>
      <c r="O500" s="18">
        <f>IF(A34stdlife="n/a","n/a",IF(O$3&gt;(A34stdlife+$F500),('RFM input'!$M$256*(1+vanilla6)^0.5)-SUM($M500:N500),('RFM input'!$M$256*(1+vanilla6)^0.5)/A34stdlife))</f>
        <v>0</v>
      </c>
      <c r="P500" s="18">
        <f>IF(A34stdlife="n/a","n/a",IF(P$3&gt;(A34stdlife+$F500),('RFM input'!$M$256*(1+vanilla6)^0.5)-SUM($M500:O500),('RFM input'!$M$256*(1+vanilla6)^0.5)/A34stdlife))</f>
        <v>0</v>
      </c>
      <c r="Q500" s="18">
        <f>IF(A34stdlife="n/a","n/a",IF(Q$3&gt;(A34stdlife+$F500),('RFM input'!$M$256*(1+vanilla6)^0.5)-SUM($M500:P500),('RFM input'!$M$256*(1+vanilla6)^0.5)/A34stdlife))</f>
        <v>0</v>
      </c>
      <c r="R500" s="18"/>
      <c r="S500" s="74"/>
      <c r="T500" s="74"/>
      <c r="U500" s="74"/>
      <c r="V500" s="74"/>
      <c r="W500" s="74"/>
      <c r="X500" s="74"/>
      <c r="Y500" s="74"/>
      <c r="Z500" s="74"/>
    </row>
    <row r="501" spans="1:26" ht="12.75" hidden="1" customHeight="1" outlineLevel="2">
      <c r="A501" s="3"/>
      <c r="B501" s="3"/>
      <c r="C501" s="3"/>
      <c r="D501" s="16"/>
      <c r="E501" s="1594"/>
      <c r="F501" s="61">
        <v>7</v>
      </c>
      <c r="G501" s="17"/>
      <c r="H501" s="114"/>
      <c r="I501" s="115"/>
      <c r="J501" s="115"/>
      <c r="K501" s="115"/>
      <c r="L501" s="115"/>
      <c r="M501" s="115"/>
      <c r="N501" s="116"/>
      <c r="O501" s="18">
        <f>IF(A34stdlife="n/a","n/a",IF(O$3&gt;(A34stdlife+$F501),('RFM input'!M$256*(1+vanilla7)^0.5)-SUM($N501:N501),('RFM input'!$N$256*(1+vanilla7)^0.5)/A34stdlife))</f>
        <v>0</v>
      </c>
      <c r="P501" s="18">
        <f>IF(A34stdlife="n/a","n/a",IF(P$3&gt;(A34stdlife+$F501),('RFM input'!N$256*(1+vanilla7)^0.5)-SUM($N501:O501),('RFM input'!$N$256*(1+vanilla7)^0.5)/A34stdlife))</f>
        <v>0</v>
      </c>
      <c r="Q501" s="18">
        <f>IF(A34stdlife="n/a","n/a",IF(Q$3&gt;(A34stdlife+$F501),('RFM input'!O$256*(1+vanilla7)^0.5)-SUM($N501:P501),('RFM input'!$N$256*(1+vanilla7)^0.5)/A34stdlife))</f>
        <v>0</v>
      </c>
      <c r="R501" s="18"/>
      <c r="S501" s="74"/>
      <c r="T501" s="74"/>
      <c r="U501" s="74"/>
      <c r="V501" s="74"/>
      <c r="W501" s="74"/>
      <c r="X501" s="74"/>
      <c r="Y501" s="74"/>
      <c r="Z501" s="74"/>
    </row>
    <row r="502" spans="1:26" ht="12.75" hidden="1" customHeight="1" outlineLevel="2">
      <c r="A502" s="3"/>
      <c r="B502" s="3"/>
      <c r="C502" s="3"/>
      <c r="D502" s="16"/>
      <c r="E502" s="1594"/>
      <c r="F502" s="61">
        <v>8</v>
      </c>
      <c r="G502" s="17"/>
      <c r="H502" s="114"/>
      <c r="I502" s="115"/>
      <c r="J502" s="115"/>
      <c r="K502" s="115"/>
      <c r="L502" s="115"/>
      <c r="M502" s="115"/>
      <c r="N502" s="115"/>
      <c r="O502" s="116"/>
      <c r="P502" s="18">
        <f>IF(A34stdlife="n/a","n/a",IF(P$3&gt;(A34stdlife+$F502),('RFM input'!$O$256*(1+vanilla8)^0.5)-SUM($O502:O502),('RFM input'!$O$256*(1+vanilla8)^0.5)/A34stdlife))</f>
        <v>0</v>
      </c>
      <c r="Q502" s="18">
        <f>IF(A34stdlife="n/a","n/a",IF(Q$3&gt;(A34stdlife+$F502),('RFM input'!$O$256*(1+vanilla8)^0.5)-SUM($O502:P502),('RFM input'!$O$256*(1+vanilla8)^0.5)/A34stdlife))</f>
        <v>0</v>
      </c>
      <c r="R502" s="18"/>
      <c r="S502" s="74"/>
      <c r="T502" s="74"/>
      <c r="U502" s="74"/>
      <c r="V502" s="74"/>
      <c r="W502" s="74"/>
      <c r="X502" s="74"/>
      <c r="Y502" s="74"/>
      <c r="Z502" s="74"/>
    </row>
    <row r="503" spans="1:26" ht="12.75" hidden="1" customHeight="1" outlineLevel="2">
      <c r="A503" s="3"/>
      <c r="B503" s="3"/>
      <c r="C503" s="3"/>
      <c r="D503" s="16"/>
      <c r="E503" s="1594"/>
      <c r="F503" s="61">
        <v>9</v>
      </c>
      <c r="G503" s="17"/>
      <c r="H503" s="114"/>
      <c r="I503" s="115"/>
      <c r="J503" s="115"/>
      <c r="K503" s="115"/>
      <c r="L503" s="115"/>
      <c r="M503" s="115"/>
      <c r="N503" s="115"/>
      <c r="O503" s="115"/>
      <c r="P503" s="116"/>
      <c r="Q503" s="18">
        <f>IF(A34stdlife="n/a","n/a",IF(Q$3&gt;(A34stdlife+$F503),('RFM input'!$P$256*(1+vanilla9)^0.5)-SUM($P503:P503),('RFM input'!$P$256*(1+vanilla9)^0.5)/A34stdlife))</f>
        <v>0</v>
      </c>
      <c r="R503" s="18"/>
      <c r="S503" s="74"/>
      <c r="T503" s="74"/>
      <c r="U503" s="74"/>
      <c r="V503" s="74"/>
      <c r="W503" s="74"/>
      <c r="X503" s="74"/>
      <c r="Y503" s="74"/>
      <c r="Z503" s="74"/>
    </row>
    <row r="504" spans="1:26" ht="12.75" hidden="1" customHeight="1" outlineLevel="2">
      <c r="A504" s="3"/>
      <c r="B504" s="3"/>
      <c r="C504" s="3"/>
      <c r="D504" s="16"/>
      <c r="E504" s="1594"/>
      <c r="F504" s="62">
        <v>10</v>
      </c>
      <c r="G504" s="17"/>
      <c r="H504" s="114"/>
      <c r="I504" s="115"/>
      <c r="J504" s="115"/>
      <c r="K504" s="115"/>
      <c r="L504" s="115"/>
      <c r="M504" s="115"/>
      <c r="N504" s="115"/>
      <c r="O504" s="115"/>
      <c r="P504" s="115"/>
      <c r="Q504" s="116"/>
      <c r="R504" s="18"/>
      <c r="S504" s="74"/>
      <c r="T504" s="74"/>
      <c r="U504" s="74"/>
      <c r="V504" s="74"/>
      <c r="W504" s="74"/>
      <c r="X504" s="74"/>
      <c r="Y504" s="74"/>
      <c r="Z504" s="74"/>
    </row>
    <row r="505" spans="1:26" ht="13.35" hidden="1" customHeight="1" outlineLevel="1">
      <c r="A505" s="3"/>
      <c r="B505" s="3"/>
      <c r="C505" s="3"/>
      <c r="D505" s="134">
        <f>Asset34</f>
        <v>0</v>
      </c>
      <c r="E505" s="3"/>
      <c r="F505" s="3"/>
      <c r="G505" s="1341"/>
      <c r="H505" s="1458">
        <f>IF(OR('RFM input'!$E$293='RFM input'!$G$292,'RFM input'!$E$293='RFM input'!$G$293),-INDEX('RFM input'!H$299:H$348,MATCH($D505,'RFM input'!$E$299:$E$348,0),1),-SUM(H493:H504))</f>
        <v>0</v>
      </c>
      <c r="I505" s="1458">
        <f>IF(OR('RFM input'!$E$293='RFM input'!$G$292,'RFM input'!$E$293='RFM input'!$G$293),-INDEX('RFM input'!I$299:I$348,MATCH($D505,'RFM input'!$E$299:$E$348,0),1),-SUM(I493:I504))</f>
        <v>0</v>
      </c>
      <c r="J505" s="1386">
        <f>IF(COUNT($H505:I505)&gt;='RFM input'!$V$7,
   0,
   IF(OR('RFM input'!$E$293='RFM input'!$G$292,'RFM input'!$E$293='RFM input'!$G$293),
      -INDEX('RFM input'!J$299:J$348,MATCH($D505,'RFM input'!$E$299:$E$348,0),1),
      -SUM(J493:J504)))</f>
        <v>0</v>
      </c>
      <c r="K505" s="1386">
        <f>IF(COUNT($H505:J505)&gt;='RFM input'!$V$7,
   0,
   IF(OR('RFM input'!$E$293='RFM input'!$G$292,'RFM input'!$E$293='RFM input'!$G$293),
      -INDEX('RFM input'!K$299:K$348,MATCH($D505,'RFM input'!$E$299:$E$348,0),1),
      -SUM(K493:K504)))</f>
        <v>0</v>
      </c>
      <c r="L505" s="1386">
        <f>IF(COUNT($H505:K505)&gt;='RFM input'!$V$7,
   0,
   IF(OR('RFM input'!$E$293='RFM input'!$G$292,'RFM input'!$E$293='RFM input'!$G$293),
      -INDEX('RFM input'!L$299:L$348,MATCH($D505,'RFM input'!$E$299:$E$348,0),1),
      -SUM(L493:L504)))</f>
        <v>0</v>
      </c>
      <c r="M505" s="1386">
        <f>IF(COUNT($H505:L505)&gt;='RFM input'!$V$7,
   0,
   IF(OR('RFM input'!$E$293='RFM input'!$G$292,'RFM input'!$E$293='RFM input'!$G$293),
      -INDEX('RFM input'!M$299:M$348,MATCH($D505,'RFM input'!$E$299:$E$348,0),1),
      -SUM(M493:M504)))</f>
        <v>0</v>
      </c>
      <c r="N505" s="1386">
        <f>IF(COUNT($H505:M505)&gt;='RFM input'!$V$7,
   0,
   IF(OR('RFM input'!$E$293='RFM input'!$G$292,'RFM input'!$E$293='RFM input'!$G$293),
      -INDEX('RFM input'!N$299:N$348,MATCH($D505,'RFM input'!$E$299:$E$348,0),1),
      -SUM(N493:N504)))</f>
        <v>0</v>
      </c>
      <c r="O505" s="1386">
        <f>IF(COUNT($H505:N505)&gt;='RFM input'!$V$7,
   0,
   IF(OR('RFM input'!$E$293='RFM input'!$G$292,'RFM input'!$E$293='RFM input'!$G$293),
      -INDEX('RFM input'!O$299:O$348,MATCH($D505,'RFM input'!$E$299:$E$348,0),1),
      -SUM(O493:O504)))</f>
        <v>0</v>
      </c>
      <c r="P505" s="1386">
        <f>IF(COUNT($H505:O505)&gt;='RFM input'!$V$7,
   0,
   IF(OR('RFM input'!$E$293='RFM input'!$G$292,'RFM input'!$E$293='RFM input'!$G$293),
      -INDEX('RFM input'!P$299:P$348,MATCH($D505,'RFM input'!$E$299:$E$348,0),1),
      -SUM(P493:P504)))</f>
        <v>0</v>
      </c>
      <c r="Q505" s="1386">
        <f>IF(COUNT($H505:P505)&gt;='RFM input'!$V$7,
   0,
   IF(OR('RFM input'!$E$293='RFM input'!$G$292,'RFM input'!$E$293='RFM input'!$G$293),
      -INDEX('RFM input'!Q$299:Q$348,MATCH($D505,'RFM input'!$E$299:$E$348,0),1),
      -SUM(Q493:Q504)))</f>
        <v>0</v>
      </c>
      <c r="R505" s="1382"/>
      <c r="S505" s="76"/>
      <c r="T505" s="76"/>
      <c r="U505" s="76"/>
      <c r="V505" s="76"/>
      <c r="W505" s="76"/>
      <c r="X505" s="76"/>
      <c r="Y505" s="76"/>
      <c r="Z505" s="76"/>
    </row>
    <row r="506" spans="1:26" ht="12.75" hidden="1" customHeight="1" outlineLevel="2">
      <c r="A506" s="3"/>
      <c r="B506" s="3"/>
      <c r="C506" s="135">
        <f>Asset35</f>
        <v>0</v>
      </c>
      <c r="D506" s="100"/>
      <c r="E506" s="20" t="s">
        <v>23</v>
      </c>
      <c r="F506" s="19"/>
      <c r="G506" s="1383"/>
      <c r="H506" s="1380">
        <f>IF(H$3&gt;A35remlife,A35value-SUM($G506:G506),IF(A35remlife="N/A","n/a",A35value/A35remlife))</f>
        <v>0</v>
      </c>
      <c r="I506" s="1380">
        <f>IF(I$3&gt;A35remlife,A35value-SUM($G506:H506),IF(A35remlife="N/A","n/a",A35value/A35remlife))</f>
        <v>0</v>
      </c>
      <c r="J506" s="1380">
        <f>IF(J$3&gt;A35remlife,A35value-SUM($G506:I506),IF(A35remlife="N/A","n/a",A35value/A35remlife))</f>
        <v>0</v>
      </c>
      <c r="K506" s="1380">
        <f>IF(K$3&gt;A35remlife,A35value-SUM($G506:J506),IF(A35remlife="N/A","n/a",A35value/A35remlife))</f>
        <v>0</v>
      </c>
      <c r="L506" s="1380">
        <f>IF(L$3&gt;A35remlife,A35value-SUM($G506:K506),IF(A35remlife="N/A","n/a",A35value/A35remlife))</f>
        <v>0</v>
      </c>
      <c r="M506" s="1380">
        <f>IF(M$3&gt;A35remlife,A35value-SUM($G506:L506),IF(A35remlife="N/A","n/a",A35value/A35remlife))</f>
        <v>0</v>
      </c>
      <c r="N506" s="1380">
        <f>IF(N$3&gt;A35remlife,A35value-SUM($G506:M506),IF(A35remlife="N/A","n/a",A35value/A35remlife))</f>
        <v>0</v>
      </c>
      <c r="O506" s="1380">
        <f>IF(O$3&gt;A35remlife,A35value-SUM($G506:N506),IF(A35remlife="N/A","n/a",A35value/A35remlife))</f>
        <v>0</v>
      </c>
      <c r="P506" s="1380">
        <f>IF(P$3&gt;A35remlife,A35value-SUM($G506:O506),IF(A35remlife="N/A","n/a",A35value/A35remlife))</f>
        <v>0</v>
      </c>
      <c r="Q506" s="1380">
        <f>IF(Q$3&gt;A35remlife,A35value-SUM($G506:P506),IF(A35remlife="N/A","n/a",A35value/A35remlife))</f>
        <v>0</v>
      </c>
      <c r="R506" s="21"/>
      <c r="S506" s="74"/>
      <c r="T506" s="74"/>
      <c r="U506" s="74"/>
      <c r="V506" s="74"/>
      <c r="W506" s="74"/>
      <c r="X506" s="74"/>
      <c r="Y506" s="74"/>
      <c r="Z506" s="74"/>
    </row>
    <row r="507" spans="1:26" ht="12.75" hidden="1" customHeight="1" outlineLevel="2">
      <c r="A507" s="3"/>
      <c r="B507" s="3"/>
      <c r="C507" s="3"/>
      <c r="D507" s="16"/>
      <c r="E507" s="1593" t="s">
        <v>43</v>
      </c>
      <c r="F507" s="61"/>
      <c r="G507" s="1341"/>
      <c r="H507" s="18"/>
      <c r="I507" s="18"/>
      <c r="J507" s="18"/>
      <c r="K507" s="18"/>
      <c r="L507" s="18"/>
      <c r="M507" s="1384"/>
      <c r="N507" s="1385"/>
      <c r="O507" s="18"/>
      <c r="P507" s="18"/>
      <c r="Q507" s="18"/>
      <c r="R507" s="18"/>
      <c r="S507" s="74"/>
      <c r="T507" s="74"/>
      <c r="U507" s="74"/>
      <c r="V507" s="74"/>
      <c r="W507" s="74"/>
      <c r="X507" s="74"/>
      <c r="Y507" s="74"/>
      <c r="Z507" s="74"/>
    </row>
    <row r="508" spans="1:26" ht="12.75" hidden="1" customHeight="1" outlineLevel="2">
      <c r="A508" s="3"/>
      <c r="B508" s="3"/>
      <c r="C508" s="3"/>
      <c r="D508" s="16"/>
      <c r="E508" s="1594"/>
      <c r="F508" s="61">
        <v>1</v>
      </c>
      <c r="G508" s="1341"/>
      <c r="H508" s="1381"/>
      <c r="I508" s="18">
        <f>IF(A35stdlife="n/a","n/a",IF(I$3&gt;(A35stdlife+$F508),('RFM input'!$H$257*(1+vanilla1)^0.5)-SUM($H508:H508),('RFM input'!$H$257*(1+vanilla1)^0.5)/A35stdlife))</f>
        <v>0</v>
      </c>
      <c r="J508" s="18">
        <f>IF(A35stdlife="n/a","n/a",IF(J$3&gt;(A35stdlife+$F508),('RFM input'!$H$257*(1+vanilla1)^0.5)-SUM($H508:I508),('RFM input'!$H$257*(1+vanilla1)^0.5)/A35stdlife))</f>
        <v>0</v>
      </c>
      <c r="K508" s="18">
        <f>IF(A35stdlife="n/a","n/a",IF(K$3&gt;(A35stdlife+$F508),('RFM input'!$H$257*(1+vanilla1)^0.5)-SUM($H508:J508),('RFM input'!$H$257*(1+vanilla1)^0.5)/A35stdlife))</f>
        <v>0</v>
      </c>
      <c r="L508" s="18">
        <f>IF(A35stdlife="n/a","n/a",IF(L$3&gt;(A35stdlife+$F508),('RFM input'!$H$257*(1+vanilla1)^0.5)-SUM($H508:K508),('RFM input'!$H$257*(1+vanilla1)^0.5)/A35stdlife))</f>
        <v>0</v>
      </c>
      <c r="M508" s="18">
        <f>IF(A35stdlife="n/a","n/a",IF(M$3&gt;(A35stdlife+$F508),('RFM input'!$H$257*(1+vanilla1)^0.5)-SUM($H508:L508),('RFM input'!$H$257*(1+vanilla1)^0.5)/A35stdlife))</f>
        <v>0</v>
      </c>
      <c r="N508" s="18">
        <f>IF(A35stdlife="n/a","n/a",IF(N$3&gt;(A35stdlife+$F508),('RFM input'!$H$257*(1+vanilla1)^0.5)-SUM($H508:M508),('RFM input'!$H$257*(1+vanilla1)^0.5)/A35stdlife))</f>
        <v>0</v>
      </c>
      <c r="O508" s="18">
        <f>IF(A35stdlife="n/a","n/a",IF(O$3&gt;(A35stdlife+$F508),('RFM input'!$H$257*(1+vanilla1)^0.5)-SUM($H508:N508),('RFM input'!$H$257*(1+vanilla1)^0.5)/A35stdlife))</f>
        <v>0</v>
      </c>
      <c r="P508" s="18">
        <f>IF(A35stdlife="n/a","n/a",IF(P$3&gt;(A35stdlife+$F508),('RFM input'!$H$257*(1+vanilla1)^0.5)-SUM($H508:O508),('RFM input'!$H$257*(1+vanilla1)^0.5)/A35stdlife))</f>
        <v>0</v>
      </c>
      <c r="Q508" s="18">
        <f>IF(A35stdlife="n/a","n/a",IF(Q$3&gt;(A35stdlife+$F508),('RFM input'!$H$257*(1+vanilla1)^0.5)-SUM($H508:P508),('RFM input'!$H$257*(1+vanilla1)^0.5)/A35stdlife))</f>
        <v>0</v>
      </c>
      <c r="R508" s="18"/>
      <c r="S508" s="74"/>
      <c r="T508" s="74"/>
      <c r="U508" s="74"/>
      <c r="V508" s="74"/>
      <c r="W508" s="74"/>
      <c r="X508" s="74"/>
      <c r="Y508" s="74"/>
      <c r="Z508" s="74"/>
    </row>
    <row r="509" spans="1:26" ht="12.75" hidden="1" customHeight="1" outlineLevel="2">
      <c r="A509" s="3"/>
      <c r="B509" s="3"/>
      <c r="C509" s="3"/>
      <c r="D509" s="16"/>
      <c r="E509" s="1594"/>
      <c r="F509" s="61">
        <v>2</v>
      </c>
      <c r="G509" s="1341"/>
      <c r="H509" s="114"/>
      <c r="I509" s="116"/>
      <c r="J509" s="18">
        <f>IF(A35stdlife="n/a","n/a",IF(J$3&gt;(A35stdlife+$F509),('RFM input'!$I$257*(1+vanilla2)^0.5)-SUM($I509:I509),('RFM input'!$I$257*(1+vanilla2)^0.5)/A35stdlife))</f>
        <v>0</v>
      </c>
      <c r="K509" s="18">
        <f>IF(A35stdlife="n/a","n/a",IF(K$3&gt;(A35stdlife+$F509),('RFM input'!$I$257*(1+vanilla2)^0.5)-SUM($I509:J509),('RFM input'!$I$257*(1+vanilla2)^0.5)/A35stdlife))</f>
        <v>0</v>
      </c>
      <c r="L509" s="18">
        <f>IF(A35stdlife="n/a","n/a",IF(L$3&gt;(A35stdlife+$F509),('RFM input'!$I$257*(1+vanilla2)^0.5)-SUM($I509:K509),('RFM input'!$I$257*(1+vanilla2)^0.5)/A35stdlife))</f>
        <v>0</v>
      </c>
      <c r="M509" s="18">
        <f>IF(A35stdlife="n/a","n/a",IF(M$3&gt;(A35stdlife+$F509),('RFM input'!$I$257*(1+vanilla2)^0.5)-SUM($I509:L509),('RFM input'!$I$257*(1+vanilla2)^0.5)/A35stdlife))</f>
        <v>0</v>
      </c>
      <c r="N509" s="18">
        <f>IF(A35stdlife="n/a","n/a",IF(N$3&gt;(A35stdlife+$F509),('RFM input'!$I$257*(1+vanilla2)^0.5)-SUM($I509:M509),('RFM input'!$I$257*(1+vanilla2)^0.5)/A35stdlife))</f>
        <v>0</v>
      </c>
      <c r="O509" s="18">
        <f>IF(A35stdlife="n/a","n/a",IF(O$3&gt;(A35stdlife+$F509),('RFM input'!$I$257*(1+vanilla2)^0.5)-SUM($I509:N509),('RFM input'!$I$257*(1+vanilla2)^0.5)/A35stdlife))</f>
        <v>0</v>
      </c>
      <c r="P509" s="18">
        <f>IF(A35stdlife="n/a","n/a",IF(P$3&gt;(A35stdlife+$F509),('RFM input'!$I$257*(1+vanilla2)^0.5)-SUM($I509:O509),('RFM input'!$I$257*(1+vanilla2)^0.5)/A35stdlife))</f>
        <v>0</v>
      </c>
      <c r="Q509" s="18">
        <f>IF(A35stdlife="n/a","n/a",IF(Q$3&gt;(A35stdlife+$F509),('RFM input'!$I$257*(1+vanilla2)^0.5)-SUM($I509:P509),('RFM input'!$I$257*(1+vanilla2)^0.5)/A35stdlife))</f>
        <v>0</v>
      </c>
      <c r="R509" s="18"/>
      <c r="S509" s="74"/>
      <c r="T509" s="74"/>
      <c r="U509" s="74"/>
      <c r="V509" s="74"/>
      <c r="W509" s="74"/>
      <c r="X509" s="74"/>
      <c r="Y509" s="74"/>
      <c r="Z509" s="74"/>
    </row>
    <row r="510" spans="1:26" ht="12.75" hidden="1" customHeight="1" outlineLevel="2">
      <c r="A510" s="3"/>
      <c r="B510" s="3"/>
      <c r="C510" s="3"/>
      <c r="D510" s="16"/>
      <c r="E510" s="1594"/>
      <c r="F510" s="61">
        <v>3</v>
      </c>
      <c r="G510" s="1341"/>
      <c r="H510" s="114"/>
      <c r="I510" s="115"/>
      <c r="J510" s="116"/>
      <c r="K510" s="18">
        <f>IF(A35stdlife="n/a","n/a",IF(K$3&gt;(A35stdlife+$F510),('RFM input'!$J$257*(1+vanilla3)^0.5)-SUM($J510:J510),('RFM input'!$J$257*(1+vanilla3)^0.5)/A35stdlife))</f>
        <v>0</v>
      </c>
      <c r="L510" s="18">
        <f>IF(A35stdlife="n/a","n/a",IF(L$3&gt;(A35stdlife+$F510),('RFM input'!$J$257*(1+vanilla3)^0.5)-SUM($J510:K510),('RFM input'!$J$257*(1+vanilla3)^0.5)/A35stdlife))</f>
        <v>0</v>
      </c>
      <c r="M510" s="18">
        <f>IF(A35stdlife="n/a","n/a",IF(M$3&gt;(A35stdlife+$F510),('RFM input'!$J$257*(1+vanilla3)^0.5)-SUM($J510:L510),('RFM input'!$J$257*(1+vanilla3)^0.5)/A35stdlife))</f>
        <v>0</v>
      </c>
      <c r="N510" s="18">
        <f>IF(A35stdlife="n/a","n/a",IF(N$3&gt;(A35stdlife+$F510),('RFM input'!$J$257*(1+vanilla3)^0.5)-SUM($J510:M510),('RFM input'!$J$257*(1+vanilla3)^0.5)/A35stdlife))</f>
        <v>0</v>
      </c>
      <c r="O510" s="18">
        <f>IF(A35stdlife="n/a","n/a",IF(O$3&gt;(A35stdlife+$F510),('RFM input'!$J$257*(1+vanilla3)^0.5)-SUM($J510:N510),('RFM input'!$J$257*(1+vanilla3)^0.5)/A35stdlife))</f>
        <v>0</v>
      </c>
      <c r="P510" s="18">
        <f>IF(A35stdlife="n/a","n/a",IF(P$3&gt;(A35stdlife+$F510),('RFM input'!$J$257*(1+vanilla3)^0.5)-SUM($J510:O510),('RFM input'!$J$257*(1+vanilla3)^0.5)/A35stdlife))</f>
        <v>0</v>
      </c>
      <c r="Q510" s="18">
        <f>IF(A35stdlife="n/a","n/a",IF(Q$3&gt;(A35stdlife+$F510),('RFM input'!$J$257*(1+vanilla3)^0.5)-SUM($J510:P510),('RFM input'!$J$257*(1+vanilla3)^0.5)/A35stdlife))</f>
        <v>0</v>
      </c>
      <c r="R510" s="18"/>
      <c r="S510" s="74"/>
      <c r="T510" s="74"/>
      <c r="U510" s="74"/>
      <c r="V510" s="74"/>
      <c r="W510" s="74"/>
      <c r="X510" s="74"/>
      <c r="Y510" s="74"/>
      <c r="Z510" s="74"/>
    </row>
    <row r="511" spans="1:26" ht="12.75" hidden="1" customHeight="1" outlineLevel="2">
      <c r="A511" s="3"/>
      <c r="B511" s="3"/>
      <c r="C511" s="3"/>
      <c r="D511" s="16"/>
      <c r="E511" s="1594"/>
      <c r="F511" s="61">
        <v>4</v>
      </c>
      <c r="G511" s="1341"/>
      <c r="H511" s="114"/>
      <c r="I511" s="115"/>
      <c r="J511" s="115"/>
      <c r="K511" s="116"/>
      <c r="L511" s="18">
        <f>IF(A35stdlife="n/a","n/a",IF(L$3&gt;(A35stdlife+$F511),('RFM input'!$K$257*(1+vanilla4)^0.5)-SUM($K511:K511),('RFM input'!$K$257*(1+vanilla4)^0.5)/A35stdlife))</f>
        <v>0</v>
      </c>
      <c r="M511" s="18">
        <f>IF(A35stdlife="n/a","n/a",IF(M$3&gt;(A35stdlife+$F511),('RFM input'!$K$257*(1+vanilla4)^0.5)-SUM($K511:L511),('RFM input'!$K$257*(1+vanilla4)^0.5)/A35stdlife))</f>
        <v>0</v>
      </c>
      <c r="N511" s="18">
        <f>IF(A35stdlife="n/a","n/a",IF(N$3&gt;(A35stdlife+$F511),('RFM input'!$K$257*(1+vanilla4)^0.5)-SUM($K511:M511),('RFM input'!$K$257*(1+vanilla4)^0.5)/A35stdlife))</f>
        <v>0</v>
      </c>
      <c r="O511" s="18">
        <f>IF(A35stdlife="n/a","n/a",IF(O$3&gt;(A35stdlife+$F511),('RFM input'!$K$257*(1+vanilla4)^0.5)-SUM($K511:N511),('RFM input'!$K$257*(1+vanilla4)^0.5)/A35stdlife))</f>
        <v>0</v>
      </c>
      <c r="P511" s="18">
        <f>IF(A35stdlife="n/a","n/a",IF(P$3&gt;(A35stdlife+$F511),('RFM input'!$K$257*(1+vanilla4)^0.5)-SUM($K511:O511),('RFM input'!$K$257*(1+vanilla4)^0.5)/A35stdlife))</f>
        <v>0</v>
      </c>
      <c r="Q511" s="18">
        <f>IF(A35stdlife="n/a","n/a",IF(Q$3&gt;(A35stdlife+$F511),('RFM input'!$K$257*(1+vanilla4)^0.5)-SUM($K511:P511),('RFM input'!$K$257*(1+vanilla4)^0.5)/A35stdlife))</f>
        <v>0</v>
      </c>
      <c r="R511" s="18"/>
      <c r="S511" s="74"/>
      <c r="T511" s="74"/>
      <c r="U511" s="74"/>
      <c r="V511" s="74"/>
      <c r="W511" s="74"/>
      <c r="X511" s="74"/>
      <c r="Y511" s="74"/>
      <c r="Z511" s="74"/>
    </row>
    <row r="512" spans="1:26" ht="12.75" hidden="1" customHeight="1" outlineLevel="2">
      <c r="A512" s="3"/>
      <c r="B512" s="3"/>
      <c r="C512" s="3"/>
      <c r="D512" s="16"/>
      <c r="E512" s="1594"/>
      <c r="F512" s="61">
        <v>5</v>
      </c>
      <c r="G512" s="17"/>
      <c r="H512" s="114"/>
      <c r="I512" s="115"/>
      <c r="J512" s="115"/>
      <c r="K512" s="115"/>
      <c r="L512" s="116"/>
      <c r="M512" s="18">
        <f>IF(A35stdlife="n/a","n/a",IF(M$3&gt;(A35stdlife+$F512),('RFM input'!$L$257*(1+vanilla5)^0.5)-SUM($L512:L512),('RFM input'!$L$257*(1+vanilla5)^0.5)/A35stdlife))</f>
        <v>0</v>
      </c>
      <c r="N512" s="18">
        <f>IF(A35stdlife="n/a","n/a",IF(N$3&gt;(A35stdlife+$F512),('RFM input'!$L$257*(1+vanilla5)^0.5)-SUM($L512:M512),('RFM input'!$L$257*(1+vanilla5)^0.5)/A35stdlife))</f>
        <v>0</v>
      </c>
      <c r="O512" s="18">
        <f>IF(A35stdlife="n/a","n/a",IF(O$3&gt;(A35stdlife+$F512),('RFM input'!$L$257*(1+vanilla5)^0.5)-SUM($L512:N512),('RFM input'!$L$257*(1+vanilla5)^0.5)/A35stdlife))</f>
        <v>0</v>
      </c>
      <c r="P512" s="18">
        <f>IF(A35stdlife="n/a","n/a",IF(P$3&gt;(A35stdlife+$F512),('RFM input'!$L$257*(1+vanilla5)^0.5)-SUM($L512:O512),('RFM input'!$L$257*(1+vanilla5)^0.5)/A35stdlife))</f>
        <v>0</v>
      </c>
      <c r="Q512" s="18">
        <f>IF(A35stdlife="n/a","n/a",IF(Q$3&gt;(A35stdlife+$F512),('RFM input'!$L$257*(1+vanilla5)^0.5)-SUM($L512:P512),('RFM input'!$L$257*(1+vanilla5)^0.5)/A35stdlife))</f>
        <v>0</v>
      </c>
      <c r="R512" s="18"/>
      <c r="S512" s="74"/>
      <c r="T512" s="74"/>
      <c r="U512" s="74"/>
      <c r="V512" s="74"/>
      <c r="W512" s="74"/>
      <c r="X512" s="74"/>
      <c r="Y512" s="74"/>
      <c r="Z512" s="74"/>
    </row>
    <row r="513" spans="1:26" ht="12.75" hidden="1" customHeight="1" outlineLevel="2">
      <c r="A513" s="3"/>
      <c r="B513" s="3"/>
      <c r="C513" s="3"/>
      <c r="D513" s="16"/>
      <c r="E513" s="1594"/>
      <c r="F513" s="61">
        <v>6</v>
      </c>
      <c r="G513" s="17"/>
      <c r="H513" s="114"/>
      <c r="I513" s="115"/>
      <c r="J513" s="115"/>
      <c r="K513" s="115"/>
      <c r="L513" s="115"/>
      <c r="M513" s="116"/>
      <c r="N513" s="18">
        <f>IF(A35stdlife="n/a","n/a",IF(N$3&gt;(A35stdlife+$F513),('RFM input'!$M$257*(1+vanilla6)^0.5)-SUM($M513:M513),('RFM input'!$M$257*(1+vanilla6)^0.5)/A35stdlife))</f>
        <v>0</v>
      </c>
      <c r="O513" s="18">
        <f>IF(A35stdlife="n/a","n/a",IF(O$3&gt;(A35stdlife+$F513),('RFM input'!$M$257*(1+vanilla6)^0.5)-SUM($M513:N513),('RFM input'!$M$257*(1+vanilla6)^0.5)/A35stdlife))</f>
        <v>0</v>
      </c>
      <c r="P513" s="18">
        <f>IF(A35stdlife="n/a","n/a",IF(P$3&gt;(A35stdlife+$F513),('RFM input'!$M$257*(1+vanilla6)^0.5)-SUM($M513:O513),('RFM input'!$M$257*(1+vanilla6)^0.5)/A35stdlife))</f>
        <v>0</v>
      </c>
      <c r="Q513" s="18">
        <f>IF(A35stdlife="n/a","n/a",IF(Q$3&gt;(A35stdlife+$F513),('RFM input'!$M$257*(1+vanilla6)^0.5)-SUM($M513:P513),('RFM input'!$M$257*(1+vanilla6)^0.5)/A35stdlife))</f>
        <v>0</v>
      </c>
      <c r="R513" s="18"/>
      <c r="S513" s="74"/>
      <c r="T513" s="74"/>
      <c r="U513" s="74"/>
      <c r="V513" s="74"/>
      <c r="W513" s="74"/>
      <c r="X513" s="74"/>
      <c r="Y513" s="74"/>
      <c r="Z513" s="74"/>
    </row>
    <row r="514" spans="1:26" ht="12.75" hidden="1" customHeight="1" outlineLevel="2">
      <c r="A514" s="3"/>
      <c r="B514" s="3"/>
      <c r="C514" s="3"/>
      <c r="D514" s="16"/>
      <c r="E514" s="1594"/>
      <c r="F514" s="61">
        <v>7</v>
      </c>
      <c r="G514" s="17"/>
      <c r="H514" s="114"/>
      <c r="I514" s="115"/>
      <c r="J514" s="115"/>
      <c r="K514" s="115"/>
      <c r="L514" s="115"/>
      <c r="M514" s="115"/>
      <c r="N514" s="116"/>
      <c r="O514" s="18">
        <f>IF(A35stdlife="n/a","n/a",IF(O$3&gt;(A35stdlife+$F514),('RFM input'!M$257*(1+vanilla7)^0.5)-SUM($N514:N514),('RFM input'!$N$257*(1+vanilla7)^0.5)/A35stdlife))</f>
        <v>0</v>
      </c>
      <c r="P514" s="18">
        <f>IF(A35stdlife="n/a","n/a",IF(P$3&gt;(A35stdlife+$F514),('RFM input'!N$257*(1+vanilla7)^0.5)-SUM($N514:O514),('RFM input'!$N$257*(1+vanilla7)^0.5)/A35stdlife))</f>
        <v>0</v>
      </c>
      <c r="Q514" s="18">
        <f>IF(A35stdlife="n/a","n/a",IF(Q$3&gt;(A35stdlife+$F514),('RFM input'!O$257*(1+vanilla7)^0.5)-SUM($N514:P514),('RFM input'!$N$257*(1+vanilla7)^0.5)/A35stdlife))</f>
        <v>0</v>
      </c>
      <c r="R514" s="18"/>
      <c r="S514" s="74"/>
      <c r="T514" s="74"/>
      <c r="U514" s="74"/>
      <c r="V514" s="74"/>
      <c r="W514" s="74"/>
      <c r="X514" s="74"/>
      <c r="Y514" s="74"/>
      <c r="Z514" s="74"/>
    </row>
    <row r="515" spans="1:26" ht="12.75" hidden="1" customHeight="1" outlineLevel="2">
      <c r="A515" s="3"/>
      <c r="B515" s="3"/>
      <c r="C515" s="3"/>
      <c r="D515" s="16"/>
      <c r="E515" s="1594"/>
      <c r="F515" s="61">
        <v>8</v>
      </c>
      <c r="G515" s="17"/>
      <c r="H515" s="114"/>
      <c r="I515" s="115"/>
      <c r="J515" s="115"/>
      <c r="K515" s="115"/>
      <c r="L515" s="115"/>
      <c r="M515" s="115"/>
      <c r="N515" s="115"/>
      <c r="O515" s="116"/>
      <c r="P515" s="18">
        <f>IF(A35stdlife="n/a","n/a",IF(P$3&gt;(A35stdlife+$F515),('RFM input'!$O$257*(1+vanilla8)^0.5)-SUM($O515:O515),('RFM input'!$O$257*(1+vanilla8)^0.5)/A35stdlife))</f>
        <v>0</v>
      </c>
      <c r="Q515" s="18">
        <f>IF(A35stdlife="n/a","n/a",IF(Q$3&gt;(A35stdlife+$F515),('RFM input'!$O$257*(1+vanilla8)^0.5)-SUM($O515:P515),('RFM input'!$O$257*(1+vanilla8)^0.5)/A35stdlife))</f>
        <v>0</v>
      </c>
      <c r="R515" s="18"/>
      <c r="S515" s="74"/>
      <c r="T515" s="74"/>
      <c r="U515" s="74"/>
      <c r="V515" s="74"/>
      <c r="W515" s="74"/>
      <c r="X515" s="74"/>
      <c r="Y515" s="74"/>
      <c r="Z515" s="74"/>
    </row>
    <row r="516" spans="1:26" ht="12.75" hidden="1" customHeight="1" outlineLevel="2">
      <c r="A516" s="3"/>
      <c r="B516" s="3"/>
      <c r="C516" s="3"/>
      <c r="D516" s="16"/>
      <c r="E516" s="1594"/>
      <c r="F516" s="61">
        <v>9</v>
      </c>
      <c r="G516" s="17"/>
      <c r="H516" s="114"/>
      <c r="I516" s="115"/>
      <c r="J516" s="115"/>
      <c r="K516" s="115"/>
      <c r="L516" s="115"/>
      <c r="M516" s="115"/>
      <c r="N516" s="115"/>
      <c r="O516" s="115"/>
      <c r="P516" s="116"/>
      <c r="Q516" s="18">
        <f>IF(A35stdlife="n/a","n/a",IF(Q$3&gt;(A35stdlife+$F516),('RFM input'!$P$257*(1+vanilla9)^0.5)-SUM($P516:P516),('RFM input'!$P$257*(1+vanilla9)^0.5)/A35stdlife))</f>
        <v>0</v>
      </c>
      <c r="R516" s="18"/>
      <c r="S516" s="74"/>
      <c r="T516" s="74"/>
      <c r="U516" s="74"/>
      <c r="V516" s="74"/>
      <c r="W516" s="74"/>
      <c r="X516" s="74"/>
      <c r="Y516" s="74"/>
      <c r="Z516" s="74"/>
    </row>
    <row r="517" spans="1:26" ht="12.75" hidden="1" customHeight="1" outlineLevel="2">
      <c r="A517" s="3"/>
      <c r="B517" s="3"/>
      <c r="C517" s="3"/>
      <c r="D517" s="16"/>
      <c r="E517" s="1594"/>
      <c r="F517" s="62">
        <v>10</v>
      </c>
      <c r="G517" s="17"/>
      <c r="H517" s="114"/>
      <c r="I517" s="115"/>
      <c r="J517" s="115"/>
      <c r="K517" s="115"/>
      <c r="L517" s="115"/>
      <c r="M517" s="115"/>
      <c r="N517" s="115"/>
      <c r="O517" s="115"/>
      <c r="P517" s="115"/>
      <c r="Q517" s="116"/>
      <c r="R517" s="18"/>
      <c r="S517" s="74"/>
      <c r="T517" s="74"/>
      <c r="U517" s="74"/>
      <c r="V517" s="74"/>
      <c r="W517" s="74"/>
      <c r="X517" s="74"/>
      <c r="Y517" s="74"/>
      <c r="Z517" s="74"/>
    </row>
    <row r="518" spans="1:26" ht="13.35" hidden="1" customHeight="1" outlineLevel="1">
      <c r="A518" s="3"/>
      <c r="B518" s="3"/>
      <c r="C518" s="3"/>
      <c r="D518" s="134">
        <f>Asset35</f>
        <v>0</v>
      </c>
      <c r="E518" s="3"/>
      <c r="F518" s="3"/>
      <c r="G518" s="1341"/>
      <c r="H518" s="1458">
        <f>IF(OR('RFM input'!$E$293='RFM input'!$G$292,'RFM input'!$E$293='RFM input'!$G$293),-INDEX('RFM input'!H$299:H$348,MATCH($D518,'RFM input'!$E$299:$E$348,0),1),-SUM(H506:H517))</f>
        <v>0</v>
      </c>
      <c r="I518" s="1458">
        <f>IF(OR('RFM input'!$E$293='RFM input'!$G$292,'RFM input'!$E$293='RFM input'!$G$293),-INDEX('RFM input'!I$299:I$348,MATCH($D518,'RFM input'!$E$299:$E$348,0),1),-SUM(I506:I517))</f>
        <v>0</v>
      </c>
      <c r="J518" s="1386">
        <f>IF(COUNT($H518:I518)&gt;='RFM input'!$V$7,
   0,
   IF(OR('RFM input'!$E$293='RFM input'!$G$292,'RFM input'!$E$293='RFM input'!$G$293),
      -INDEX('RFM input'!J$299:J$348,MATCH($D518,'RFM input'!$E$299:$E$348,0),1),
      -SUM(J506:J517)))</f>
        <v>0</v>
      </c>
      <c r="K518" s="1386">
        <f>IF(COUNT($H518:J518)&gt;='RFM input'!$V$7,
   0,
   IF(OR('RFM input'!$E$293='RFM input'!$G$292,'RFM input'!$E$293='RFM input'!$G$293),
      -INDEX('RFM input'!K$299:K$348,MATCH($D518,'RFM input'!$E$299:$E$348,0),1),
      -SUM(K506:K517)))</f>
        <v>0</v>
      </c>
      <c r="L518" s="1386">
        <f>IF(COUNT($H518:K518)&gt;='RFM input'!$V$7,
   0,
   IF(OR('RFM input'!$E$293='RFM input'!$G$292,'RFM input'!$E$293='RFM input'!$G$293),
      -INDEX('RFM input'!L$299:L$348,MATCH($D518,'RFM input'!$E$299:$E$348,0),1),
      -SUM(L506:L517)))</f>
        <v>0</v>
      </c>
      <c r="M518" s="1386">
        <f>IF(COUNT($H518:L518)&gt;='RFM input'!$V$7,
   0,
   IF(OR('RFM input'!$E$293='RFM input'!$G$292,'RFM input'!$E$293='RFM input'!$G$293),
      -INDEX('RFM input'!M$299:M$348,MATCH($D518,'RFM input'!$E$299:$E$348,0),1),
      -SUM(M506:M517)))</f>
        <v>0</v>
      </c>
      <c r="N518" s="1386">
        <f>IF(COUNT($H518:M518)&gt;='RFM input'!$V$7,
   0,
   IF(OR('RFM input'!$E$293='RFM input'!$G$292,'RFM input'!$E$293='RFM input'!$G$293),
      -INDEX('RFM input'!N$299:N$348,MATCH($D518,'RFM input'!$E$299:$E$348,0),1),
      -SUM(N506:N517)))</f>
        <v>0</v>
      </c>
      <c r="O518" s="1386">
        <f>IF(COUNT($H518:N518)&gt;='RFM input'!$V$7,
   0,
   IF(OR('RFM input'!$E$293='RFM input'!$G$292,'RFM input'!$E$293='RFM input'!$G$293),
      -INDEX('RFM input'!O$299:O$348,MATCH($D518,'RFM input'!$E$299:$E$348,0),1),
      -SUM(O506:O517)))</f>
        <v>0</v>
      </c>
      <c r="P518" s="1386">
        <f>IF(COUNT($H518:O518)&gt;='RFM input'!$V$7,
   0,
   IF(OR('RFM input'!$E$293='RFM input'!$G$292,'RFM input'!$E$293='RFM input'!$G$293),
      -INDEX('RFM input'!P$299:P$348,MATCH($D518,'RFM input'!$E$299:$E$348,0),1),
      -SUM(P506:P517)))</f>
        <v>0</v>
      </c>
      <c r="Q518" s="1386">
        <f>IF(COUNT($H518:P518)&gt;='RFM input'!$V$7,
   0,
   IF(OR('RFM input'!$E$293='RFM input'!$G$292,'RFM input'!$E$293='RFM input'!$G$293),
      -INDEX('RFM input'!Q$299:Q$348,MATCH($D518,'RFM input'!$E$299:$E$348,0),1),
      -SUM(Q506:Q517)))</f>
        <v>0</v>
      </c>
      <c r="R518" s="1382"/>
      <c r="S518" s="76"/>
      <c r="T518" s="76"/>
      <c r="U518" s="76"/>
      <c r="V518" s="76"/>
      <c r="W518" s="76"/>
      <c r="X518" s="76"/>
      <c r="Y518" s="76"/>
      <c r="Z518" s="76"/>
    </row>
    <row r="519" spans="1:26" ht="12.75" hidden="1" customHeight="1" outlineLevel="2">
      <c r="A519" s="3"/>
      <c r="B519" s="3"/>
      <c r="C519" s="135">
        <f>Asset36</f>
        <v>0</v>
      </c>
      <c r="D519" s="100"/>
      <c r="E519" s="20" t="s">
        <v>23</v>
      </c>
      <c r="F519" s="19"/>
      <c r="G519" s="1383"/>
      <c r="H519" s="1380">
        <f>IF(H$3&gt;A36remlife,A36value-SUM($G519:G519),IF(A36remlife="N/A","n/a",A36value/A36remlife))</f>
        <v>0</v>
      </c>
      <c r="I519" s="1380">
        <f>IF(I$3&gt;A36remlife,A36value-SUM($G519:H519),IF(A36remlife="N/A","n/a",A36value/A36remlife))</f>
        <v>0</v>
      </c>
      <c r="J519" s="1380">
        <f>IF(J$3&gt;A36remlife,A36value-SUM($G519:I519),IF(A36remlife="N/A","n/a",A36value/A36remlife))</f>
        <v>0</v>
      </c>
      <c r="K519" s="1380">
        <f>IF(K$3&gt;A36remlife,A36value-SUM($G519:J519),IF(A36remlife="N/A","n/a",A36value/A36remlife))</f>
        <v>0</v>
      </c>
      <c r="L519" s="1380">
        <f>IF(L$3&gt;A36remlife,A36value-SUM($G519:K519),IF(A36remlife="N/A","n/a",A36value/A36remlife))</f>
        <v>0</v>
      </c>
      <c r="M519" s="1380">
        <f>IF(M$3&gt;A36remlife,A36value-SUM($G519:L519),IF(A36remlife="N/A","n/a",A36value/A36remlife))</f>
        <v>0</v>
      </c>
      <c r="N519" s="1380">
        <f>IF(N$3&gt;A36remlife,A36value-SUM($G519:M519),IF(A36remlife="N/A","n/a",A36value/A36remlife))</f>
        <v>0</v>
      </c>
      <c r="O519" s="1380">
        <f>IF(O$3&gt;A36remlife,A36value-SUM($G519:N519),IF(A36remlife="N/A","n/a",A36value/A36remlife))</f>
        <v>0</v>
      </c>
      <c r="P519" s="1380">
        <f>IF(P$3&gt;A36remlife,A36value-SUM($G519:O519),IF(A36remlife="N/A","n/a",A36value/A36remlife))</f>
        <v>0</v>
      </c>
      <c r="Q519" s="1380">
        <f>IF(Q$3&gt;A36remlife,A36value-SUM($G519:P519),IF(A36remlife="N/A","n/a",A36value/A36remlife))</f>
        <v>0</v>
      </c>
      <c r="R519" s="21"/>
      <c r="S519" s="74"/>
      <c r="T519" s="74"/>
      <c r="U519" s="74"/>
      <c r="V519" s="74"/>
      <c r="W519" s="74"/>
      <c r="X519" s="74"/>
      <c r="Y519" s="74"/>
      <c r="Z519" s="74"/>
    </row>
    <row r="520" spans="1:26" ht="12.75" hidden="1" customHeight="1" outlineLevel="2">
      <c r="A520" s="3"/>
      <c r="B520" s="3"/>
      <c r="C520" s="3"/>
      <c r="D520" s="16"/>
      <c r="E520" s="1593" t="s">
        <v>43</v>
      </c>
      <c r="F520" s="61"/>
      <c r="G520" s="1341"/>
      <c r="H520" s="18"/>
      <c r="I520" s="18"/>
      <c r="J520" s="18"/>
      <c r="K520" s="18"/>
      <c r="L520" s="18"/>
      <c r="M520" s="1384"/>
      <c r="N520" s="1385"/>
      <c r="O520" s="18"/>
      <c r="P520" s="18"/>
      <c r="Q520" s="18"/>
      <c r="R520" s="18"/>
      <c r="S520" s="74"/>
      <c r="T520" s="74"/>
      <c r="U520" s="74"/>
      <c r="V520" s="74"/>
      <c r="W520" s="74"/>
      <c r="X520" s="74"/>
      <c r="Y520" s="74"/>
      <c r="Z520" s="74"/>
    </row>
    <row r="521" spans="1:26" ht="12.75" hidden="1" customHeight="1" outlineLevel="2">
      <c r="A521" s="3"/>
      <c r="B521" s="3"/>
      <c r="C521" s="3"/>
      <c r="D521" s="16"/>
      <c r="E521" s="1594"/>
      <c r="F521" s="61">
        <v>1</v>
      </c>
      <c r="G521" s="1341"/>
      <c r="H521" s="1381"/>
      <c r="I521" s="18">
        <f>IF(A36stdlife="n/a","n/a",IF(I$3&gt;(A36stdlife+$F521),('RFM input'!$H$258*(1+vanilla1)^0.5)-SUM($H521:H521),('RFM input'!$H$258*(1+vanilla1)^0.5)/A36stdlife))</f>
        <v>0</v>
      </c>
      <c r="J521" s="18">
        <f>IF(A36stdlife="n/a","n/a",IF(J$3&gt;(A36stdlife+$F521),('RFM input'!$H$258*(1+vanilla1)^0.5)-SUM($H521:I521),('RFM input'!$H$258*(1+vanilla1)^0.5)/A36stdlife))</f>
        <v>0</v>
      </c>
      <c r="K521" s="18">
        <f>IF(A36stdlife="n/a","n/a",IF(K$3&gt;(A36stdlife+$F521),('RFM input'!$H$258*(1+vanilla1)^0.5)-SUM($H521:J521),('RFM input'!$H$258*(1+vanilla1)^0.5)/A36stdlife))</f>
        <v>0</v>
      </c>
      <c r="L521" s="18">
        <f>IF(A36stdlife="n/a","n/a",IF(L$3&gt;(A36stdlife+$F521),('RFM input'!$H$258*(1+vanilla1)^0.5)-SUM($H521:K521),('RFM input'!$H$258*(1+vanilla1)^0.5)/A36stdlife))</f>
        <v>0</v>
      </c>
      <c r="M521" s="18">
        <f>IF(A36stdlife="n/a","n/a",IF(M$3&gt;(A36stdlife+$F521),('RFM input'!$H$258*(1+vanilla1)^0.5)-SUM($H521:L521),('RFM input'!$H$258*(1+vanilla1)^0.5)/A36stdlife))</f>
        <v>0</v>
      </c>
      <c r="N521" s="18">
        <f>IF(A36stdlife="n/a","n/a",IF(N$3&gt;(A36stdlife+$F521),('RFM input'!$H$258*(1+vanilla1)^0.5)-SUM($H521:M521),('RFM input'!$H$258*(1+vanilla1)^0.5)/A36stdlife))</f>
        <v>0</v>
      </c>
      <c r="O521" s="18">
        <f>IF(A36stdlife="n/a","n/a",IF(O$3&gt;(A36stdlife+$F521),('RFM input'!$H$258*(1+vanilla1)^0.5)-SUM($H521:N521),('RFM input'!$H$258*(1+vanilla1)^0.5)/A36stdlife))</f>
        <v>0</v>
      </c>
      <c r="P521" s="18">
        <f>IF(A36stdlife="n/a","n/a",IF(P$3&gt;(A36stdlife+$F521),('RFM input'!$H$258*(1+vanilla1)^0.5)-SUM($H521:O521),('RFM input'!$H$258*(1+vanilla1)^0.5)/A36stdlife))</f>
        <v>0</v>
      </c>
      <c r="Q521" s="18">
        <f>IF(A36stdlife="n/a","n/a",IF(Q$3&gt;(A36stdlife+$F521),('RFM input'!$H$258*(1+vanilla1)^0.5)-SUM($H521:P521),('RFM input'!$H$258*(1+vanilla1)^0.5)/A36stdlife))</f>
        <v>0</v>
      </c>
      <c r="R521" s="18"/>
      <c r="S521" s="74"/>
      <c r="T521" s="74"/>
      <c r="U521" s="74"/>
      <c r="V521" s="74"/>
      <c r="W521" s="74"/>
      <c r="X521" s="74"/>
      <c r="Y521" s="74"/>
      <c r="Z521" s="74"/>
    </row>
    <row r="522" spans="1:26" ht="12.75" hidden="1" customHeight="1" outlineLevel="2">
      <c r="A522" s="3"/>
      <c r="B522" s="3"/>
      <c r="C522" s="3"/>
      <c r="D522" s="16"/>
      <c r="E522" s="1594"/>
      <c r="F522" s="61">
        <v>2</v>
      </c>
      <c r="G522" s="1341"/>
      <c r="H522" s="114"/>
      <c r="I522" s="116"/>
      <c r="J522" s="18">
        <f>IF(A36stdlife="n/a","n/a",IF(J$3&gt;(A36stdlife+$F522),('RFM input'!$I$258*(1+vanilla2)^0.5)-SUM($I522:I522),('RFM input'!$I$258*(1+vanilla2)^0.5)/A36stdlife))</f>
        <v>0</v>
      </c>
      <c r="K522" s="18">
        <f>IF(A36stdlife="n/a","n/a",IF(K$3&gt;(A36stdlife+$F522),('RFM input'!$I$258*(1+vanilla2)^0.5)-SUM($I522:J522),('RFM input'!$I$258*(1+vanilla2)^0.5)/A36stdlife))</f>
        <v>0</v>
      </c>
      <c r="L522" s="18">
        <f>IF(A36stdlife="n/a","n/a",IF(L$3&gt;(A36stdlife+$F522),('RFM input'!$I$258*(1+vanilla2)^0.5)-SUM($I522:K522),('RFM input'!$I$258*(1+vanilla2)^0.5)/A36stdlife))</f>
        <v>0</v>
      </c>
      <c r="M522" s="18">
        <f>IF(A36stdlife="n/a","n/a",IF(M$3&gt;(A36stdlife+$F522),('RFM input'!$I$258*(1+vanilla2)^0.5)-SUM($I522:L522),('RFM input'!$I$258*(1+vanilla2)^0.5)/A36stdlife))</f>
        <v>0</v>
      </c>
      <c r="N522" s="18">
        <f>IF(A36stdlife="n/a","n/a",IF(N$3&gt;(A36stdlife+$F522),('RFM input'!$I$258*(1+vanilla2)^0.5)-SUM($I522:M522),('RFM input'!$I$258*(1+vanilla2)^0.5)/A36stdlife))</f>
        <v>0</v>
      </c>
      <c r="O522" s="18">
        <f>IF(A36stdlife="n/a","n/a",IF(O$3&gt;(A36stdlife+$F522),('RFM input'!$I$258*(1+vanilla2)^0.5)-SUM($I522:N522),('RFM input'!$I$258*(1+vanilla2)^0.5)/A36stdlife))</f>
        <v>0</v>
      </c>
      <c r="P522" s="18">
        <f>IF(A36stdlife="n/a","n/a",IF(P$3&gt;(A36stdlife+$F522),('RFM input'!$I$258*(1+vanilla2)^0.5)-SUM($I522:O522),('RFM input'!$I$258*(1+vanilla2)^0.5)/A36stdlife))</f>
        <v>0</v>
      </c>
      <c r="Q522" s="18">
        <f>IF(A36stdlife="n/a","n/a",IF(Q$3&gt;(A36stdlife+$F522),('RFM input'!$I$258*(1+vanilla2)^0.5)-SUM($I522:P522),('RFM input'!$I$258*(1+vanilla2)^0.5)/A36stdlife))</f>
        <v>0</v>
      </c>
      <c r="R522" s="18"/>
      <c r="S522" s="74"/>
      <c r="T522" s="74"/>
      <c r="U522" s="74"/>
      <c r="V522" s="74"/>
      <c r="W522" s="74"/>
      <c r="X522" s="74"/>
      <c r="Y522" s="74"/>
      <c r="Z522" s="74"/>
    </row>
    <row r="523" spans="1:26" ht="12.75" hidden="1" customHeight="1" outlineLevel="2">
      <c r="A523" s="3"/>
      <c r="B523" s="3"/>
      <c r="C523" s="3"/>
      <c r="D523" s="16"/>
      <c r="E523" s="1594"/>
      <c r="F523" s="61">
        <v>3</v>
      </c>
      <c r="G523" s="1341"/>
      <c r="H523" s="114"/>
      <c r="I523" s="115"/>
      <c r="J523" s="116"/>
      <c r="K523" s="18">
        <f>IF(A36stdlife="n/a","n/a",IF(K$3&gt;(A36stdlife+$F523),('RFM input'!$J$258*(1+vanilla3)^0.5)-SUM($J523:J523),('RFM input'!$J$258*(1+vanilla3)^0.5)/A36stdlife))</f>
        <v>0</v>
      </c>
      <c r="L523" s="18">
        <f>IF(A36stdlife="n/a","n/a",IF(L$3&gt;(A36stdlife+$F523),('RFM input'!$J$258*(1+vanilla3)^0.5)-SUM($J523:K523),('RFM input'!$J$258*(1+vanilla3)^0.5)/A36stdlife))</f>
        <v>0</v>
      </c>
      <c r="M523" s="18">
        <f>IF(A36stdlife="n/a","n/a",IF(M$3&gt;(A36stdlife+$F523),('RFM input'!$J$258*(1+vanilla3)^0.5)-SUM($J523:L523),('RFM input'!$J$258*(1+vanilla3)^0.5)/A36stdlife))</f>
        <v>0</v>
      </c>
      <c r="N523" s="18">
        <f>IF(A36stdlife="n/a","n/a",IF(N$3&gt;(A36stdlife+$F523),('RFM input'!$J$258*(1+vanilla3)^0.5)-SUM($J523:M523),('RFM input'!$J$258*(1+vanilla3)^0.5)/A36stdlife))</f>
        <v>0</v>
      </c>
      <c r="O523" s="18">
        <f>IF(A36stdlife="n/a","n/a",IF(O$3&gt;(A36stdlife+$F523),('RFM input'!$J$258*(1+vanilla3)^0.5)-SUM($J523:N523),('RFM input'!$J$258*(1+vanilla3)^0.5)/A36stdlife))</f>
        <v>0</v>
      </c>
      <c r="P523" s="18">
        <f>IF(A36stdlife="n/a","n/a",IF(P$3&gt;(A36stdlife+$F523),('RFM input'!$J$258*(1+vanilla3)^0.5)-SUM($J523:O523),('RFM input'!$J$258*(1+vanilla3)^0.5)/A36stdlife))</f>
        <v>0</v>
      </c>
      <c r="Q523" s="18">
        <f>IF(A36stdlife="n/a","n/a",IF(Q$3&gt;(A36stdlife+$F523),('RFM input'!$J$258*(1+vanilla3)^0.5)-SUM($J523:P523),('RFM input'!$J$258*(1+vanilla3)^0.5)/A36stdlife))</f>
        <v>0</v>
      </c>
      <c r="R523" s="18"/>
      <c r="S523" s="74"/>
      <c r="T523" s="74"/>
      <c r="U523" s="74"/>
      <c r="V523" s="74"/>
      <c r="W523" s="74"/>
      <c r="X523" s="74"/>
      <c r="Y523" s="74"/>
      <c r="Z523" s="74"/>
    </row>
    <row r="524" spans="1:26" ht="12.75" hidden="1" customHeight="1" outlineLevel="2">
      <c r="A524" s="3"/>
      <c r="B524" s="3"/>
      <c r="C524" s="3"/>
      <c r="D524" s="16"/>
      <c r="E524" s="1594"/>
      <c r="F524" s="61">
        <v>4</v>
      </c>
      <c r="G524" s="1341"/>
      <c r="H524" s="114"/>
      <c r="I524" s="115"/>
      <c r="J524" s="115"/>
      <c r="K524" s="116"/>
      <c r="L524" s="18">
        <f>IF(A36stdlife="n/a","n/a",IF(L$3&gt;(A36stdlife+$F524),('RFM input'!$K$258*(1+vanilla4)^0.5)-SUM($K524:K524),('RFM input'!$K$258*(1+vanilla4)^0.5)/A36stdlife))</f>
        <v>0</v>
      </c>
      <c r="M524" s="18">
        <f>IF(A36stdlife="n/a","n/a",IF(M$3&gt;(A36stdlife+$F524),('RFM input'!$K$258*(1+vanilla4)^0.5)-SUM($K524:L524),('RFM input'!$K$258*(1+vanilla4)^0.5)/A36stdlife))</f>
        <v>0</v>
      </c>
      <c r="N524" s="18">
        <f>IF(A36stdlife="n/a","n/a",IF(N$3&gt;(A36stdlife+$F524),('RFM input'!$K$258*(1+vanilla4)^0.5)-SUM($K524:M524),('RFM input'!$K$258*(1+vanilla4)^0.5)/A36stdlife))</f>
        <v>0</v>
      </c>
      <c r="O524" s="18">
        <f>IF(A36stdlife="n/a","n/a",IF(O$3&gt;(A36stdlife+$F524),('RFM input'!$K$258*(1+vanilla4)^0.5)-SUM($K524:N524),('RFM input'!$K$258*(1+vanilla4)^0.5)/A36stdlife))</f>
        <v>0</v>
      </c>
      <c r="P524" s="18">
        <f>IF(A36stdlife="n/a","n/a",IF(P$3&gt;(A36stdlife+$F524),('RFM input'!$K$258*(1+vanilla4)^0.5)-SUM($K524:O524),('RFM input'!$K$258*(1+vanilla4)^0.5)/A36stdlife))</f>
        <v>0</v>
      </c>
      <c r="Q524" s="18">
        <f>IF(A36stdlife="n/a","n/a",IF(Q$3&gt;(A36stdlife+$F524),('RFM input'!$K$258*(1+vanilla4)^0.5)-SUM($K524:P524),('RFM input'!$K$258*(1+vanilla4)^0.5)/A36stdlife))</f>
        <v>0</v>
      </c>
      <c r="R524" s="18"/>
      <c r="S524" s="74"/>
      <c r="T524" s="74"/>
      <c r="U524" s="74"/>
      <c r="V524" s="74"/>
      <c r="W524" s="74"/>
      <c r="X524" s="74"/>
      <c r="Y524" s="74"/>
      <c r="Z524" s="74"/>
    </row>
    <row r="525" spans="1:26" ht="12.75" hidden="1" customHeight="1" outlineLevel="2">
      <c r="A525" s="3"/>
      <c r="B525" s="3"/>
      <c r="C525" s="3"/>
      <c r="D525" s="16"/>
      <c r="E525" s="1594"/>
      <c r="F525" s="61">
        <v>5</v>
      </c>
      <c r="G525" s="17"/>
      <c r="H525" s="114"/>
      <c r="I525" s="115"/>
      <c r="J525" s="115"/>
      <c r="K525" s="115"/>
      <c r="L525" s="116"/>
      <c r="M525" s="18">
        <f>IF(A36stdlife="n/a","n/a",IF(M$3&gt;(A36stdlife+$F525),('RFM input'!$L$258*(1+vanilla5)^0.5)-SUM($L525:L525),('RFM input'!$L$258*(1+vanilla5)^0.5)/A36stdlife))</f>
        <v>0</v>
      </c>
      <c r="N525" s="18">
        <f>IF(A36stdlife="n/a","n/a",IF(N$3&gt;(A36stdlife+$F525),('RFM input'!$L$258*(1+vanilla5)^0.5)-SUM($L525:M525),('RFM input'!$L$258*(1+vanilla5)^0.5)/A36stdlife))</f>
        <v>0</v>
      </c>
      <c r="O525" s="18">
        <f>IF(A36stdlife="n/a","n/a",IF(O$3&gt;(A36stdlife+$F525),('RFM input'!$L$258*(1+vanilla5)^0.5)-SUM($L525:N525),('RFM input'!$L$258*(1+vanilla5)^0.5)/A36stdlife))</f>
        <v>0</v>
      </c>
      <c r="P525" s="18">
        <f>IF(A36stdlife="n/a","n/a",IF(P$3&gt;(A36stdlife+$F525),('RFM input'!$L$258*(1+vanilla5)^0.5)-SUM($L525:O525),('RFM input'!$L$258*(1+vanilla5)^0.5)/A36stdlife))</f>
        <v>0</v>
      </c>
      <c r="Q525" s="18">
        <f>IF(A36stdlife="n/a","n/a",IF(Q$3&gt;(A36stdlife+$F525),('RFM input'!$L$258*(1+vanilla5)^0.5)-SUM($L525:P525),('RFM input'!$L$258*(1+vanilla5)^0.5)/A36stdlife))</f>
        <v>0</v>
      </c>
      <c r="R525" s="18"/>
      <c r="S525" s="74"/>
      <c r="T525" s="74"/>
      <c r="U525" s="74"/>
      <c r="V525" s="74"/>
      <c r="W525" s="74"/>
      <c r="X525" s="74"/>
      <c r="Y525" s="74"/>
      <c r="Z525" s="74"/>
    </row>
    <row r="526" spans="1:26" ht="12.75" hidden="1" customHeight="1" outlineLevel="2">
      <c r="A526" s="3"/>
      <c r="B526" s="3"/>
      <c r="C526" s="3"/>
      <c r="D526" s="16"/>
      <c r="E526" s="1594"/>
      <c r="F526" s="61">
        <v>6</v>
      </c>
      <c r="G526" s="17"/>
      <c r="H526" s="114"/>
      <c r="I526" s="115"/>
      <c r="J526" s="115"/>
      <c r="K526" s="115"/>
      <c r="L526" s="115"/>
      <c r="M526" s="116"/>
      <c r="N526" s="18">
        <f>IF(A36stdlife="n/a","n/a",IF(N$3&gt;(A36stdlife+$F526),('RFM input'!$M$258*(1+vanilla6)^0.5)-SUM($M526:M526),('RFM input'!$M$258*(1+vanilla6)^0.5)/A36stdlife))</f>
        <v>0</v>
      </c>
      <c r="O526" s="18">
        <f>IF(A36stdlife="n/a","n/a",IF(O$3&gt;(A36stdlife+$F526),('RFM input'!$M$258*(1+vanilla6)^0.5)-SUM($M526:N526),('RFM input'!$M$258*(1+vanilla6)^0.5)/A36stdlife))</f>
        <v>0</v>
      </c>
      <c r="P526" s="18">
        <f>IF(A36stdlife="n/a","n/a",IF(P$3&gt;(A36stdlife+$F526),('RFM input'!$M$258*(1+vanilla6)^0.5)-SUM($M526:O526),('RFM input'!$M$258*(1+vanilla6)^0.5)/A36stdlife))</f>
        <v>0</v>
      </c>
      <c r="Q526" s="18">
        <f>IF(A36stdlife="n/a","n/a",IF(Q$3&gt;(A36stdlife+$F526),('RFM input'!$M$258*(1+vanilla6)^0.5)-SUM($M526:P526),('RFM input'!$M$258*(1+vanilla6)^0.5)/A36stdlife))</f>
        <v>0</v>
      </c>
      <c r="R526" s="18"/>
      <c r="S526" s="74"/>
      <c r="T526" s="74"/>
      <c r="U526" s="74"/>
      <c r="V526" s="74"/>
      <c r="W526" s="74"/>
      <c r="X526" s="74"/>
      <c r="Y526" s="74"/>
      <c r="Z526" s="74"/>
    </row>
    <row r="527" spans="1:26" ht="12.75" hidden="1" customHeight="1" outlineLevel="2">
      <c r="A527" s="3"/>
      <c r="B527" s="3"/>
      <c r="C527" s="3"/>
      <c r="D527" s="16"/>
      <c r="E527" s="1594"/>
      <c r="F527" s="61">
        <v>7</v>
      </c>
      <c r="G527" s="17"/>
      <c r="H527" s="114"/>
      <c r="I527" s="115"/>
      <c r="J527" s="115"/>
      <c r="K527" s="115"/>
      <c r="L527" s="115"/>
      <c r="M527" s="115"/>
      <c r="N527" s="116"/>
      <c r="O527" s="18">
        <f>IF(A36stdlife="n/a","n/a",IF(O$3&gt;(A36stdlife+$F527),('RFM input'!M$258*(1+vanilla7)^0.5)-SUM($N527:N527),('RFM input'!$N$258*(1+vanilla7)^0.5)/A36stdlife))</f>
        <v>0</v>
      </c>
      <c r="P527" s="18">
        <f>IF(A36stdlife="n/a","n/a",IF(P$3&gt;(A36stdlife+$F527),('RFM input'!N$258*(1+vanilla7)^0.5)-SUM($N527:O527),('RFM input'!$N$258*(1+vanilla7)^0.5)/A36stdlife))</f>
        <v>0</v>
      </c>
      <c r="Q527" s="18">
        <f>IF(A36stdlife="n/a","n/a",IF(Q$3&gt;(A36stdlife+$F527),('RFM input'!O$258*(1+vanilla7)^0.5)-SUM($N527:P527),('RFM input'!$N$258*(1+vanilla7)^0.5)/A36stdlife))</f>
        <v>0</v>
      </c>
      <c r="R527" s="18"/>
      <c r="S527" s="74"/>
      <c r="T527" s="74"/>
      <c r="U527" s="74"/>
      <c r="V527" s="74"/>
      <c r="W527" s="74"/>
      <c r="X527" s="74"/>
      <c r="Y527" s="74"/>
      <c r="Z527" s="74"/>
    </row>
    <row r="528" spans="1:26" ht="12.75" hidden="1" customHeight="1" outlineLevel="2">
      <c r="A528" s="3"/>
      <c r="B528" s="3"/>
      <c r="C528" s="3"/>
      <c r="D528" s="16"/>
      <c r="E528" s="1594"/>
      <c r="F528" s="61">
        <v>8</v>
      </c>
      <c r="G528" s="17"/>
      <c r="H528" s="114"/>
      <c r="I528" s="115"/>
      <c r="J528" s="115"/>
      <c r="K528" s="115"/>
      <c r="L528" s="115"/>
      <c r="M528" s="115"/>
      <c r="N528" s="115"/>
      <c r="O528" s="116"/>
      <c r="P528" s="18">
        <f>IF(A36stdlife="n/a","n/a",IF(P$3&gt;(A36stdlife+$F528),('RFM input'!$O$258*(1+vanilla8)^0.5)-SUM($O528:O528),('RFM input'!$O$258*(1+vanilla8)^0.5)/A36stdlife))</f>
        <v>0</v>
      </c>
      <c r="Q528" s="18">
        <f>IF(A36stdlife="n/a","n/a",IF(Q$3&gt;(A36stdlife+$F528),('RFM input'!$O$258*(1+vanilla8)^0.5)-SUM($O528:P528),('RFM input'!$O$258*(1+vanilla8)^0.5)/A36stdlife))</f>
        <v>0</v>
      </c>
      <c r="R528" s="18"/>
      <c r="S528" s="74"/>
      <c r="T528" s="74"/>
      <c r="U528" s="74"/>
      <c r="V528" s="74"/>
      <c r="W528" s="74"/>
      <c r="X528" s="74"/>
      <c r="Y528" s="74"/>
      <c r="Z528" s="74"/>
    </row>
    <row r="529" spans="1:26" ht="12.75" hidden="1" customHeight="1" outlineLevel="2">
      <c r="A529" s="3"/>
      <c r="B529" s="3"/>
      <c r="C529" s="3"/>
      <c r="D529" s="16"/>
      <c r="E529" s="1594"/>
      <c r="F529" s="61">
        <v>9</v>
      </c>
      <c r="G529" s="17"/>
      <c r="H529" s="114"/>
      <c r="I529" s="115"/>
      <c r="J529" s="115"/>
      <c r="K529" s="115"/>
      <c r="L529" s="115"/>
      <c r="M529" s="115"/>
      <c r="N529" s="115"/>
      <c r="O529" s="115"/>
      <c r="P529" s="116"/>
      <c r="Q529" s="18">
        <f>IF(A36stdlife="n/a","n/a",IF(Q$3&gt;(A36stdlife+$F529),('RFM input'!$P$258*(1+vanilla9)^0.5)-SUM($P529:P529),('RFM input'!$P$258*(1+vanilla9)^0.5)/A36stdlife))</f>
        <v>0</v>
      </c>
      <c r="R529" s="18"/>
      <c r="S529" s="74"/>
      <c r="T529" s="74"/>
      <c r="U529" s="74"/>
      <c r="V529" s="74"/>
      <c r="W529" s="74"/>
      <c r="X529" s="74"/>
      <c r="Y529" s="74"/>
      <c r="Z529" s="74"/>
    </row>
    <row r="530" spans="1:26" ht="12.75" hidden="1" customHeight="1" outlineLevel="2">
      <c r="A530" s="3"/>
      <c r="B530" s="3"/>
      <c r="C530" s="3"/>
      <c r="D530" s="16"/>
      <c r="E530" s="1594"/>
      <c r="F530" s="62">
        <v>10</v>
      </c>
      <c r="G530" s="17"/>
      <c r="H530" s="114"/>
      <c r="I530" s="115"/>
      <c r="J530" s="115"/>
      <c r="K530" s="115"/>
      <c r="L530" s="115"/>
      <c r="M530" s="115"/>
      <c r="N530" s="115"/>
      <c r="O530" s="115"/>
      <c r="P530" s="115"/>
      <c r="Q530" s="116"/>
      <c r="R530" s="18"/>
      <c r="S530" s="74"/>
      <c r="T530" s="74"/>
      <c r="U530" s="74"/>
      <c r="V530" s="74"/>
      <c r="W530" s="74"/>
      <c r="X530" s="74"/>
      <c r="Y530" s="74"/>
      <c r="Z530" s="74"/>
    </row>
    <row r="531" spans="1:26" ht="13.35" hidden="1" customHeight="1" outlineLevel="1">
      <c r="A531" s="3"/>
      <c r="B531" s="3"/>
      <c r="C531" s="3"/>
      <c r="D531" s="134">
        <f>Asset36</f>
        <v>0</v>
      </c>
      <c r="E531" s="3"/>
      <c r="F531" s="3"/>
      <c r="G531" s="1341"/>
      <c r="H531" s="1458">
        <f>IF(OR('RFM input'!$E$293='RFM input'!$G$292,'RFM input'!$E$293='RFM input'!$G$293),-INDEX('RFM input'!H$299:H$348,MATCH($D531,'RFM input'!$E$299:$E$348,0),1),-SUM(H519:H530))</f>
        <v>0</v>
      </c>
      <c r="I531" s="1458">
        <f>IF(OR('RFM input'!$E$293='RFM input'!$G$292,'RFM input'!$E$293='RFM input'!$G$293),-INDEX('RFM input'!I$299:I$348,MATCH($D531,'RFM input'!$E$299:$E$348,0),1),-SUM(I519:I530))</f>
        <v>0</v>
      </c>
      <c r="J531" s="1386">
        <f>IF(COUNT($H531:I531)&gt;='RFM input'!$V$7,
   0,
   IF(OR('RFM input'!$E$293='RFM input'!$G$292,'RFM input'!$E$293='RFM input'!$G$293),
      -INDEX('RFM input'!J$299:J$348,MATCH($D531,'RFM input'!$E$299:$E$348,0),1),
      -SUM(J519:J530)))</f>
        <v>0</v>
      </c>
      <c r="K531" s="1386">
        <f>IF(COUNT($H531:J531)&gt;='RFM input'!$V$7,
   0,
   IF(OR('RFM input'!$E$293='RFM input'!$G$292,'RFM input'!$E$293='RFM input'!$G$293),
      -INDEX('RFM input'!K$299:K$348,MATCH($D531,'RFM input'!$E$299:$E$348,0),1),
      -SUM(K519:K530)))</f>
        <v>0</v>
      </c>
      <c r="L531" s="1386">
        <f>IF(COUNT($H531:K531)&gt;='RFM input'!$V$7,
   0,
   IF(OR('RFM input'!$E$293='RFM input'!$G$292,'RFM input'!$E$293='RFM input'!$G$293),
      -INDEX('RFM input'!L$299:L$348,MATCH($D531,'RFM input'!$E$299:$E$348,0),1),
      -SUM(L519:L530)))</f>
        <v>0</v>
      </c>
      <c r="M531" s="1386">
        <f>IF(COUNT($H531:L531)&gt;='RFM input'!$V$7,
   0,
   IF(OR('RFM input'!$E$293='RFM input'!$G$292,'RFM input'!$E$293='RFM input'!$G$293),
      -INDEX('RFM input'!M$299:M$348,MATCH($D531,'RFM input'!$E$299:$E$348,0),1),
      -SUM(M519:M530)))</f>
        <v>0</v>
      </c>
      <c r="N531" s="1386">
        <f>IF(COUNT($H531:M531)&gt;='RFM input'!$V$7,
   0,
   IF(OR('RFM input'!$E$293='RFM input'!$G$292,'RFM input'!$E$293='RFM input'!$G$293),
      -INDEX('RFM input'!N$299:N$348,MATCH($D531,'RFM input'!$E$299:$E$348,0),1),
      -SUM(N519:N530)))</f>
        <v>0</v>
      </c>
      <c r="O531" s="1386">
        <f>IF(COUNT($H531:N531)&gt;='RFM input'!$V$7,
   0,
   IF(OR('RFM input'!$E$293='RFM input'!$G$292,'RFM input'!$E$293='RFM input'!$G$293),
      -INDEX('RFM input'!O$299:O$348,MATCH($D531,'RFM input'!$E$299:$E$348,0),1),
      -SUM(O519:O530)))</f>
        <v>0</v>
      </c>
      <c r="P531" s="1386">
        <f>IF(COUNT($H531:O531)&gt;='RFM input'!$V$7,
   0,
   IF(OR('RFM input'!$E$293='RFM input'!$G$292,'RFM input'!$E$293='RFM input'!$G$293),
      -INDEX('RFM input'!P$299:P$348,MATCH($D531,'RFM input'!$E$299:$E$348,0),1),
      -SUM(P519:P530)))</f>
        <v>0</v>
      </c>
      <c r="Q531" s="1386">
        <f>IF(COUNT($H531:P531)&gt;='RFM input'!$V$7,
   0,
   IF(OR('RFM input'!$E$293='RFM input'!$G$292,'RFM input'!$E$293='RFM input'!$G$293),
      -INDEX('RFM input'!Q$299:Q$348,MATCH($D531,'RFM input'!$E$299:$E$348,0),1),
      -SUM(Q519:Q530)))</f>
        <v>0</v>
      </c>
      <c r="R531" s="1382"/>
      <c r="S531" s="76"/>
      <c r="T531" s="76"/>
      <c r="U531" s="76"/>
      <c r="V531" s="76"/>
      <c r="W531" s="76"/>
      <c r="X531" s="76"/>
      <c r="Y531" s="76"/>
      <c r="Z531" s="76"/>
    </row>
    <row r="532" spans="1:26" ht="12.75" hidden="1" customHeight="1" outlineLevel="2">
      <c r="A532" s="3"/>
      <c r="B532" s="3"/>
      <c r="C532" s="135">
        <f>Asset37</f>
        <v>0</v>
      </c>
      <c r="D532" s="100"/>
      <c r="E532" s="20" t="s">
        <v>23</v>
      </c>
      <c r="F532" s="19"/>
      <c r="G532" s="1383"/>
      <c r="H532" s="1380">
        <f>IF(H$3&gt;A37remlife,A37value-SUM($G532:G532),IF(A37remlife="N/A","n/a",A37value/A37remlife))</f>
        <v>0</v>
      </c>
      <c r="I532" s="1380">
        <f>IF(I$3&gt;A37remlife,A37value-SUM($G532:H532),IF(A37remlife="N/A","n/a",A37value/A37remlife))</f>
        <v>0</v>
      </c>
      <c r="J532" s="1380">
        <f>IF(J$3&gt;A37remlife,A37value-SUM($G532:I532),IF(A37remlife="N/A","n/a",A37value/A37remlife))</f>
        <v>0</v>
      </c>
      <c r="K532" s="1380">
        <f>IF(K$3&gt;A37remlife,A37value-SUM($G532:J532),IF(A37remlife="N/A","n/a",A37value/A37remlife))</f>
        <v>0</v>
      </c>
      <c r="L532" s="1380">
        <f>IF(L$3&gt;A37remlife,A37value-SUM($G532:K532),IF(A37remlife="N/A","n/a",A37value/A37remlife))</f>
        <v>0</v>
      </c>
      <c r="M532" s="1380">
        <f>IF(M$3&gt;A37remlife,A37value-SUM($G532:L532),IF(A37remlife="N/A","n/a",A37value/A37remlife))</f>
        <v>0</v>
      </c>
      <c r="N532" s="1380">
        <f>IF(N$3&gt;A37remlife,A37value-SUM($G532:M532),IF(A37remlife="N/A","n/a",A37value/A37remlife))</f>
        <v>0</v>
      </c>
      <c r="O532" s="1380">
        <f>IF(O$3&gt;A37remlife,A37value-SUM($G532:N532),IF(A37remlife="N/A","n/a",A37value/A37remlife))</f>
        <v>0</v>
      </c>
      <c r="P532" s="1380">
        <f>IF(P$3&gt;A37remlife,A37value-SUM($G532:O532),IF(A37remlife="N/A","n/a",A37value/A37remlife))</f>
        <v>0</v>
      </c>
      <c r="Q532" s="1380">
        <f>IF(Q$3&gt;A37remlife,A37value-SUM($G532:P532),IF(A37remlife="N/A","n/a",A37value/A37remlife))</f>
        <v>0</v>
      </c>
      <c r="R532" s="21"/>
      <c r="S532" s="74"/>
      <c r="T532" s="74"/>
      <c r="U532" s="74"/>
      <c r="V532" s="74"/>
      <c r="W532" s="74"/>
      <c r="X532" s="74"/>
      <c r="Y532" s="74"/>
      <c r="Z532" s="74"/>
    </row>
    <row r="533" spans="1:26" ht="12.75" hidden="1" customHeight="1" outlineLevel="2">
      <c r="A533" s="3"/>
      <c r="B533" s="3"/>
      <c r="C533" s="3"/>
      <c r="D533" s="16"/>
      <c r="E533" s="1593" t="s">
        <v>43</v>
      </c>
      <c r="F533" s="61"/>
      <c r="G533" s="1341"/>
      <c r="H533" s="18"/>
      <c r="I533" s="18"/>
      <c r="J533" s="18"/>
      <c r="K533" s="18"/>
      <c r="L533" s="18"/>
      <c r="M533" s="1384"/>
      <c r="N533" s="1385"/>
      <c r="O533" s="18"/>
      <c r="P533" s="18"/>
      <c r="Q533" s="18"/>
      <c r="R533" s="18"/>
      <c r="S533" s="74"/>
      <c r="T533" s="74"/>
      <c r="U533" s="74"/>
      <c r="V533" s="74"/>
      <c r="W533" s="74"/>
      <c r="X533" s="74"/>
      <c r="Y533" s="74"/>
      <c r="Z533" s="74"/>
    </row>
    <row r="534" spans="1:26" ht="12.75" hidden="1" customHeight="1" outlineLevel="2">
      <c r="A534" s="3"/>
      <c r="B534" s="3"/>
      <c r="C534" s="3"/>
      <c r="D534" s="16"/>
      <c r="E534" s="1594"/>
      <c r="F534" s="61">
        <v>1</v>
      </c>
      <c r="G534" s="1341"/>
      <c r="H534" s="1381"/>
      <c r="I534" s="18">
        <f>IF(A37stdlife="n/a","n/a",IF(I$3&gt;(A37stdlife+$F534),('RFM input'!$H$259*(1+vanilla1)^0.5)-SUM($H534:H534),('RFM input'!$H$259*(1+vanilla1)^0.5)/A37stdlife))</f>
        <v>0</v>
      </c>
      <c r="J534" s="18">
        <f>IF(A37stdlife="n/a","n/a",IF(J$3&gt;(A37stdlife+$F534),('RFM input'!$H$259*(1+vanilla1)^0.5)-SUM($H534:I534),('RFM input'!$H$259*(1+vanilla1)^0.5)/A37stdlife))</f>
        <v>0</v>
      </c>
      <c r="K534" s="18">
        <f>IF(A37stdlife="n/a","n/a",IF(K$3&gt;(A37stdlife+$F534),('RFM input'!$H$259*(1+vanilla1)^0.5)-SUM($H534:J534),('RFM input'!$H$259*(1+vanilla1)^0.5)/A37stdlife))</f>
        <v>0</v>
      </c>
      <c r="L534" s="18">
        <f>IF(A37stdlife="n/a","n/a",IF(L$3&gt;(A37stdlife+$F534),('RFM input'!$H$259*(1+vanilla1)^0.5)-SUM($H534:K534),('RFM input'!$H$259*(1+vanilla1)^0.5)/A37stdlife))</f>
        <v>0</v>
      </c>
      <c r="M534" s="18">
        <f>IF(A37stdlife="n/a","n/a",IF(M$3&gt;(A37stdlife+$F534),('RFM input'!$H$259*(1+vanilla1)^0.5)-SUM($H534:L534),('RFM input'!$H$259*(1+vanilla1)^0.5)/A37stdlife))</f>
        <v>0</v>
      </c>
      <c r="N534" s="18">
        <f>IF(A37stdlife="n/a","n/a",IF(N$3&gt;(A37stdlife+$F534),('RFM input'!$H$259*(1+vanilla1)^0.5)-SUM($H534:M534),('RFM input'!$H$259*(1+vanilla1)^0.5)/A37stdlife))</f>
        <v>0</v>
      </c>
      <c r="O534" s="18">
        <f>IF(A37stdlife="n/a","n/a",IF(O$3&gt;(A37stdlife+$F534),('RFM input'!$H$259*(1+vanilla1)^0.5)-SUM($H534:N534),('RFM input'!$H$259*(1+vanilla1)^0.5)/A37stdlife))</f>
        <v>0</v>
      </c>
      <c r="P534" s="18">
        <f>IF(A37stdlife="n/a","n/a",IF(P$3&gt;(A37stdlife+$F534),('RFM input'!$H$259*(1+vanilla1)^0.5)-SUM($H534:O534),('RFM input'!$H$259*(1+vanilla1)^0.5)/A37stdlife))</f>
        <v>0</v>
      </c>
      <c r="Q534" s="18">
        <f>IF(A37stdlife="n/a","n/a",IF(Q$3&gt;(A37stdlife+$F534),('RFM input'!$H$259*(1+vanilla1)^0.5)-SUM($H534:P534),('RFM input'!$H$259*(1+vanilla1)^0.5)/A37stdlife))</f>
        <v>0</v>
      </c>
      <c r="R534" s="18"/>
      <c r="S534" s="74"/>
      <c r="T534" s="74"/>
      <c r="U534" s="74"/>
      <c r="V534" s="74"/>
      <c r="W534" s="74"/>
      <c r="X534" s="74"/>
      <c r="Y534" s="74"/>
      <c r="Z534" s="74"/>
    </row>
    <row r="535" spans="1:26" ht="12.75" hidden="1" customHeight="1" outlineLevel="2">
      <c r="A535" s="3"/>
      <c r="B535" s="3"/>
      <c r="C535" s="3"/>
      <c r="D535" s="16"/>
      <c r="E535" s="1594"/>
      <c r="F535" s="61">
        <v>2</v>
      </c>
      <c r="G535" s="1341"/>
      <c r="H535" s="114"/>
      <c r="I535" s="116"/>
      <c r="J535" s="18">
        <f>IF(A37stdlife="n/a","n/a",IF(J$3&gt;(A37stdlife+$F535),('RFM input'!$I$259*(1+vanilla2)^0.5)-SUM($I535:I535),('RFM input'!$I$259*(1+vanilla2)^0.5)/A37stdlife))</f>
        <v>0</v>
      </c>
      <c r="K535" s="18">
        <f>IF(A37stdlife="n/a","n/a",IF(K$3&gt;(A37stdlife+$F535),('RFM input'!$I$259*(1+vanilla2)^0.5)-SUM($I535:J535),('RFM input'!$I$259*(1+vanilla2)^0.5)/A37stdlife))</f>
        <v>0</v>
      </c>
      <c r="L535" s="18">
        <f>IF(A37stdlife="n/a","n/a",IF(L$3&gt;(A37stdlife+$F535),('RFM input'!$I$259*(1+vanilla2)^0.5)-SUM($I535:K535),('RFM input'!$I$259*(1+vanilla2)^0.5)/A37stdlife))</f>
        <v>0</v>
      </c>
      <c r="M535" s="18">
        <f>IF(A37stdlife="n/a","n/a",IF(M$3&gt;(A37stdlife+$F535),('RFM input'!$I$259*(1+vanilla2)^0.5)-SUM($I535:L535),('RFM input'!$I$259*(1+vanilla2)^0.5)/A37stdlife))</f>
        <v>0</v>
      </c>
      <c r="N535" s="18">
        <f>IF(A37stdlife="n/a","n/a",IF(N$3&gt;(A37stdlife+$F535),('RFM input'!$I$259*(1+vanilla2)^0.5)-SUM($I535:M535),('RFM input'!$I$259*(1+vanilla2)^0.5)/A37stdlife))</f>
        <v>0</v>
      </c>
      <c r="O535" s="18">
        <f>IF(A37stdlife="n/a","n/a",IF(O$3&gt;(A37stdlife+$F535),('RFM input'!$I$259*(1+vanilla2)^0.5)-SUM($I535:N535),('RFM input'!$I$259*(1+vanilla2)^0.5)/A37stdlife))</f>
        <v>0</v>
      </c>
      <c r="P535" s="18">
        <f>IF(A37stdlife="n/a","n/a",IF(P$3&gt;(A37stdlife+$F535),('RFM input'!$I$259*(1+vanilla2)^0.5)-SUM($I535:O535),('RFM input'!$I$259*(1+vanilla2)^0.5)/A37stdlife))</f>
        <v>0</v>
      </c>
      <c r="Q535" s="18">
        <f>IF(A37stdlife="n/a","n/a",IF(Q$3&gt;(A37stdlife+$F535),('RFM input'!$I$259*(1+vanilla2)^0.5)-SUM($I535:P535),('RFM input'!$I$259*(1+vanilla2)^0.5)/A37stdlife))</f>
        <v>0</v>
      </c>
      <c r="R535" s="18"/>
      <c r="S535" s="74"/>
      <c r="T535" s="74"/>
      <c r="U535" s="74"/>
      <c r="V535" s="74"/>
      <c r="W535" s="74"/>
      <c r="X535" s="74"/>
      <c r="Y535" s="74"/>
      <c r="Z535" s="74"/>
    </row>
    <row r="536" spans="1:26" ht="12.75" hidden="1" customHeight="1" outlineLevel="2">
      <c r="A536" s="3"/>
      <c r="B536" s="3"/>
      <c r="C536" s="3"/>
      <c r="D536" s="16"/>
      <c r="E536" s="1594"/>
      <c r="F536" s="61">
        <v>3</v>
      </c>
      <c r="G536" s="1341"/>
      <c r="H536" s="114"/>
      <c r="I536" s="115"/>
      <c r="J536" s="116"/>
      <c r="K536" s="18">
        <f>IF(A37stdlife="n/a","n/a",IF(K$3&gt;(A37stdlife+$F536),('RFM input'!$J$259*(1+vanilla3)^0.5)-SUM($J536:J536),('RFM input'!$J$259*(1+vanilla3)^0.5)/A37stdlife))</f>
        <v>0</v>
      </c>
      <c r="L536" s="18">
        <f>IF(A37stdlife="n/a","n/a",IF(L$3&gt;(A37stdlife+$F536),('RFM input'!$J$259*(1+vanilla3)^0.5)-SUM($J536:K536),('RFM input'!$J$259*(1+vanilla3)^0.5)/A37stdlife))</f>
        <v>0</v>
      </c>
      <c r="M536" s="18">
        <f>IF(A37stdlife="n/a","n/a",IF(M$3&gt;(A37stdlife+$F536),('RFM input'!$J$259*(1+vanilla3)^0.5)-SUM($J536:L536),('RFM input'!$J$259*(1+vanilla3)^0.5)/A37stdlife))</f>
        <v>0</v>
      </c>
      <c r="N536" s="18">
        <f>IF(A37stdlife="n/a","n/a",IF(N$3&gt;(A37stdlife+$F536),('RFM input'!$J$259*(1+vanilla3)^0.5)-SUM($J536:M536),('RFM input'!$J$259*(1+vanilla3)^0.5)/A37stdlife))</f>
        <v>0</v>
      </c>
      <c r="O536" s="18">
        <f>IF(A37stdlife="n/a","n/a",IF(O$3&gt;(A37stdlife+$F536),('RFM input'!$J$259*(1+vanilla3)^0.5)-SUM($J536:N536),('RFM input'!$J$259*(1+vanilla3)^0.5)/A37stdlife))</f>
        <v>0</v>
      </c>
      <c r="P536" s="18">
        <f>IF(A37stdlife="n/a","n/a",IF(P$3&gt;(A37stdlife+$F536),('RFM input'!$J$259*(1+vanilla3)^0.5)-SUM($J536:O536),('RFM input'!$J$259*(1+vanilla3)^0.5)/A37stdlife))</f>
        <v>0</v>
      </c>
      <c r="Q536" s="18">
        <f>IF(A37stdlife="n/a","n/a",IF(Q$3&gt;(A37stdlife+$F536),('RFM input'!$J$259*(1+vanilla3)^0.5)-SUM($J536:P536),('RFM input'!$J$259*(1+vanilla3)^0.5)/A37stdlife))</f>
        <v>0</v>
      </c>
      <c r="R536" s="18"/>
      <c r="S536" s="74"/>
      <c r="T536" s="74"/>
      <c r="U536" s="74"/>
      <c r="V536" s="74"/>
      <c r="W536" s="74"/>
      <c r="X536" s="74"/>
      <c r="Y536" s="74"/>
      <c r="Z536" s="74"/>
    </row>
    <row r="537" spans="1:26" ht="12.75" hidden="1" customHeight="1" outlineLevel="2">
      <c r="A537" s="3"/>
      <c r="B537" s="3"/>
      <c r="C537" s="3"/>
      <c r="D537" s="16"/>
      <c r="E537" s="1594"/>
      <c r="F537" s="61">
        <v>4</v>
      </c>
      <c r="G537" s="1341"/>
      <c r="H537" s="114"/>
      <c r="I537" s="115"/>
      <c r="J537" s="115"/>
      <c r="K537" s="116"/>
      <c r="L537" s="18">
        <f>IF(A37stdlife="n/a","n/a",IF(L$3&gt;(A37stdlife+$F537),('RFM input'!$K$259*(1+vanilla4)^0.5)-SUM($K537:K537),('RFM input'!$K$259*(1+vanilla4)^0.5)/A37stdlife))</f>
        <v>0</v>
      </c>
      <c r="M537" s="18">
        <f>IF(A37stdlife="n/a","n/a",IF(M$3&gt;(A37stdlife+$F537),('RFM input'!$K$259*(1+vanilla4)^0.5)-SUM($K537:L537),('RFM input'!$K$259*(1+vanilla4)^0.5)/A37stdlife))</f>
        <v>0</v>
      </c>
      <c r="N537" s="18">
        <f>IF(A37stdlife="n/a","n/a",IF(N$3&gt;(A37stdlife+$F537),('RFM input'!$K$259*(1+vanilla4)^0.5)-SUM($K537:M537),('RFM input'!$K$259*(1+vanilla4)^0.5)/A37stdlife))</f>
        <v>0</v>
      </c>
      <c r="O537" s="18">
        <f>IF(A37stdlife="n/a","n/a",IF(O$3&gt;(A37stdlife+$F537),('RFM input'!$K$259*(1+vanilla4)^0.5)-SUM($K537:N537),('RFM input'!$K$259*(1+vanilla4)^0.5)/A37stdlife))</f>
        <v>0</v>
      </c>
      <c r="P537" s="18">
        <f>IF(A37stdlife="n/a","n/a",IF(P$3&gt;(A37stdlife+$F537),('RFM input'!$K$259*(1+vanilla4)^0.5)-SUM($K537:O537),('RFM input'!$K$259*(1+vanilla4)^0.5)/A37stdlife))</f>
        <v>0</v>
      </c>
      <c r="Q537" s="18">
        <f>IF(A37stdlife="n/a","n/a",IF(Q$3&gt;(A37stdlife+$F537),('RFM input'!$K$259*(1+vanilla4)^0.5)-SUM($K537:P537),('RFM input'!$K$259*(1+vanilla4)^0.5)/A37stdlife))</f>
        <v>0</v>
      </c>
      <c r="R537" s="18"/>
      <c r="S537" s="74"/>
      <c r="T537" s="74"/>
      <c r="U537" s="74"/>
      <c r="V537" s="74"/>
      <c r="W537" s="74"/>
      <c r="X537" s="74"/>
      <c r="Y537" s="74"/>
      <c r="Z537" s="74"/>
    </row>
    <row r="538" spans="1:26" ht="12.75" hidden="1" customHeight="1" outlineLevel="2">
      <c r="A538" s="3"/>
      <c r="B538" s="3"/>
      <c r="C538" s="3"/>
      <c r="D538" s="16"/>
      <c r="E538" s="1594"/>
      <c r="F538" s="61">
        <v>5</v>
      </c>
      <c r="G538" s="17"/>
      <c r="H538" s="114"/>
      <c r="I538" s="115"/>
      <c r="J538" s="115"/>
      <c r="K538" s="115"/>
      <c r="L538" s="116"/>
      <c r="M538" s="18">
        <f>IF(A37stdlife="n/a","n/a",IF(M$3&gt;(A37stdlife+$F538),('RFM input'!$L$259*(1+vanilla5)^0.5)-SUM($L538:L538),('RFM input'!$L$259*(1+vanilla5)^0.5)/A37stdlife))</f>
        <v>0</v>
      </c>
      <c r="N538" s="18">
        <f>IF(A37stdlife="n/a","n/a",IF(N$3&gt;(A37stdlife+$F538),('RFM input'!$L$259*(1+vanilla5)^0.5)-SUM($L538:M538),('RFM input'!$L$259*(1+vanilla5)^0.5)/A37stdlife))</f>
        <v>0</v>
      </c>
      <c r="O538" s="18">
        <f>IF(A37stdlife="n/a","n/a",IF(O$3&gt;(A37stdlife+$F538),('RFM input'!$L$259*(1+vanilla5)^0.5)-SUM($L538:N538),('RFM input'!$L$259*(1+vanilla5)^0.5)/A37stdlife))</f>
        <v>0</v>
      </c>
      <c r="P538" s="18">
        <f>IF(A37stdlife="n/a","n/a",IF(P$3&gt;(A37stdlife+$F538),('RFM input'!$L$259*(1+vanilla5)^0.5)-SUM($L538:O538),('RFM input'!$L$259*(1+vanilla5)^0.5)/A37stdlife))</f>
        <v>0</v>
      </c>
      <c r="Q538" s="18">
        <f>IF(A37stdlife="n/a","n/a",IF(Q$3&gt;(A37stdlife+$F538),('RFM input'!$L$259*(1+vanilla5)^0.5)-SUM($L538:P538),('RFM input'!$L$259*(1+vanilla5)^0.5)/A37stdlife))</f>
        <v>0</v>
      </c>
      <c r="R538" s="18"/>
      <c r="S538" s="74"/>
      <c r="T538" s="74"/>
      <c r="U538" s="74"/>
      <c r="V538" s="74"/>
      <c r="W538" s="74"/>
      <c r="X538" s="74"/>
      <c r="Y538" s="74"/>
      <c r="Z538" s="74"/>
    </row>
    <row r="539" spans="1:26" ht="12.75" hidden="1" customHeight="1" outlineLevel="2">
      <c r="A539" s="3"/>
      <c r="B539" s="3"/>
      <c r="C539" s="3"/>
      <c r="D539" s="16"/>
      <c r="E539" s="1594"/>
      <c r="F539" s="61">
        <v>6</v>
      </c>
      <c r="G539" s="17"/>
      <c r="H539" s="114"/>
      <c r="I539" s="115"/>
      <c r="J539" s="115"/>
      <c r="K539" s="115"/>
      <c r="L539" s="115"/>
      <c r="M539" s="116"/>
      <c r="N539" s="18">
        <f>IF(A37stdlife="n/a","n/a",IF(N$3&gt;(A37stdlife+$F539),('RFM input'!$M$259*(1+vanilla6)^0.5)-SUM($M539:M539),('RFM input'!$M$259*(1+vanilla6)^0.5)/A37stdlife))</f>
        <v>0</v>
      </c>
      <c r="O539" s="18">
        <f>IF(A37stdlife="n/a","n/a",IF(O$3&gt;(A37stdlife+$F539),('RFM input'!$M$259*(1+vanilla6)^0.5)-SUM($M539:N539),('RFM input'!$M$259*(1+vanilla6)^0.5)/A37stdlife))</f>
        <v>0</v>
      </c>
      <c r="P539" s="18">
        <f>IF(A37stdlife="n/a","n/a",IF(P$3&gt;(A37stdlife+$F539),('RFM input'!$M$259*(1+vanilla6)^0.5)-SUM($M539:O539),('RFM input'!$M$259*(1+vanilla6)^0.5)/A37stdlife))</f>
        <v>0</v>
      </c>
      <c r="Q539" s="18">
        <f>IF(A37stdlife="n/a","n/a",IF(Q$3&gt;(A37stdlife+$F539),('RFM input'!$M$259*(1+vanilla6)^0.5)-SUM($M539:P539),('RFM input'!$M$259*(1+vanilla6)^0.5)/A37stdlife))</f>
        <v>0</v>
      </c>
      <c r="R539" s="18"/>
      <c r="S539" s="74"/>
      <c r="T539" s="74"/>
      <c r="U539" s="74"/>
      <c r="V539" s="74"/>
      <c r="W539" s="74"/>
      <c r="X539" s="74"/>
      <c r="Y539" s="74"/>
      <c r="Z539" s="74"/>
    </row>
    <row r="540" spans="1:26" ht="12.75" hidden="1" customHeight="1" outlineLevel="2">
      <c r="A540" s="3"/>
      <c r="B540" s="3"/>
      <c r="C540" s="3"/>
      <c r="D540" s="16"/>
      <c r="E540" s="1594"/>
      <c r="F540" s="61">
        <v>7</v>
      </c>
      <c r="G540" s="17"/>
      <c r="H540" s="114"/>
      <c r="I540" s="115"/>
      <c r="J540" s="115"/>
      <c r="K540" s="115"/>
      <c r="L540" s="115"/>
      <c r="M540" s="115"/>
      <c r="N540" s="116"/>
      <c r="O540" s="18">
        <f>IF(A37stdlife="n/a","n/a",IF(O$3&gt;(A37stdlife+$F540),('RFM input'!M$259*(1+vanilla7)^0.5)-SUM($N540:N540),('RFM input'!$N$259*(1+vanilla7)^0.5)/A37stdlife))</f>
        <v>0</v>
      </c>
      <c r="P540" s="18">
        <f>IF(A37stdlife="n/a","n/a",IF(P$3&gt;(A37stdlife+$F540),('RFM input'!N$259*(1+vanilla7)^0.5)-SUM($N540:O540),('RFM input'!$N$259*(1+vanilla7)^0.5)/A37stdlife))</f>
        <v>0</v>
      </c>
      <c r="Q540" s="18">
        <f>IF(A37stdlife="n/a","n/a",IF(Q$3&gt;(A37stdlife+$F540),('RFM input'!O$259*(1+vanilla7)^0.5)-SUM($N540:P540),('RFM input'!$N$259*(1+vanilla7)^0.5)/A37stdlife))</f>
        <v>0</v>
      </c>
      <c r="R540" s="18"/>
      <c r="S540" s="74"/>
      <c r="T540" s="74"/>
      <c r="U540" s="74"/>
      <c r="V540" s="74"/>
      <c r="W540" s="74"/>
      <c r="X540" s="74"/>
      <c r="Y540" s="74"/>
      <c r="Z540" s="74"/>
    </row>
    <row r="541" spans="1:26" ht="12.75" hidden="1" customHeight="1" outlineLevel="2">
      <c r="A541" s="3"/>
      <c r="B541" s="3"/>
      <c r="C541" s="3"/>
      <c r="D541" s="16"/>
      <c r="E541" s="1594"/>
      <c r="F541" s="61">
        <v>8</v>
      </c>
      <c r="G541" s="17"/>
      <c r="H541" s="114"/>
      <c r="I541" s="115"/>
      <c r="J541" s="115"/>
      <c r="K541" s="115"/>
      <c r="L541" s="115"/>
      <c r="M541" s="115"/>
      <c r="N541" s="115"/>
      <c r="O541" s="116"/>
      <c r="P541" s="18">
        <f>IF(A37stdlife="n/a","n/a",IF(P$3&gt;(A37stdlife+$F541),('RFM input'!$O$259*(1+vanilla8)^0.5)-SUM($O541:O541),('RFM input'!$O$259*(1+vanilla8)^0.5)/A37stdlife))</f>
        <v>0</v>
      </c>
      <c r="Q541" s="18">
        <f>IF(A37stdlife="n/a","n/a",IF(Q$3&gt;(A37stdlife+$F541),('RFM input'!$O$259*(1+vanilla8)^0.5)-SUM($O541:P541),('RFM input'!$O$259*(1+vanilla8)^0.5)/A37stdlife))</f>
        <v>0</v>
      </c>
      <c r="R541" s="18"/>
      <c r="S541" s="74"/>
      <c r="T541" s="74"/>
      <c r="U541" s="74"/>
      <c r="V541" s="74"/>
      <c r="W541" s="74"/>
      <c r="X541" s="74"/>
      <c r="Y541" s="74"/>
      <c r="Z541" s="74"/>
    </row>
    <row r="542" spans="1:26" ht="12.75" hidden="1" customHeight="1" outlineLevel="2">
      <c r="A542" s="3"/>
      <c r="B542" s="3"/>
      <c r="C542" s="3"/>
      <c r="D542" s="16"/>
      <c r="E542" s="1594"/>
      <c r="F542" s="61">
        <v>9</v>
      </c>
      <c r="G542" s="17"/>
      <c r="H542" s="114"/>
      <c r="I542" s="115"/>
      <c r="J542" s="115"/>
      <c r="K542" s="115"/>
      <c r="L542" s="115"/>
      <c r="M542" s="115"/>
      <c r="N542" s="115"/>
      <c r="O542" s="115"/>
      <c r="P542" s="116"/>
      <c r="Q542" s="18">
        <f>IF(A37stdlife="n/a","n/a",IF(Q$3&gt;(A37stdlife+$F542),('RFM input'!$P$259*(1+vanilla9)^0.5)-SUM($P542:P542),('RFM input'!$P$259*(1+vanilla9)^0.5)/A37stdlife))</f>
        <v>0</v>
      </c>
      <c r="R542" s="18"/>
      <c r="S542" s="74"/>
      <c r="T542" s="74"/>
      <c r="U542" s="74"/>
      <c r="V542" s="74"/>
      <c r="W542" s="74"/>
      <c r="X542" s="74"/>
      <c r="Y542" s="74"/>
      <c r="Z542" s="74"/>
    </row>
    <row r="543" spans="1:26" ht="12.75" hidden="1" customHeight="1" outlineLevel="2">
      <c r="A543" s="3"/>
      <c r="B543" s="3"/>
      <c r="C543" s="3"/>
      <c r="D543" s="16"/>
      <c r="E543" s="1594"/>
      <c r="F543" s="62">
        <v>10</v>
      </c>
      <c r="G543" s="17"/>
      <c r="H543" s="114"/>
      <c r="I543" s="115"/>
      <c r="J543" s="115"/>
      <c r="K543" s="115"/>
      <c r="L543" s="115"/>
      <c r="M543" s="115"/>
      <c r="N543" s="115"/>
      <c r="O543" s="115"/>
      <c r="P543" s="115"/>
      <c r="Q543" s="116"/>
      <c r="R543" s="18"/>
      <c r="S543" s="74"/>
      <c r="T543" s="74"/>
      <c r="U543" s="74"/>
      <c r="V543" s="74"/>
      <c r="W543" s="74"/>
      <c r="X543" s="74"/>
      <c r="Y543" s="74"/>
      <c r="Z543" s="74"/>
    </row>
    <row r="544" spans="1:26" ht="13.35" hidden="1" customHeight="1" outlineLevel="1">
      <c r="A544" s="3"/>
      <c r="B544" s="3"/>
      <c r="C544" s="3"/>
      <c r="D544" s="134">
        <f>Asset37</f>
        <v>0</v>
      </c>
      <c r="E544" s="3"/>
      <c r="F544" s="3"/>
      <c r="G544" s="1341"/>
      <c r="H544" s="1458">
        <f>IF(OR('RFM input'!$E$293='RFM input'!$G$292,'RFM input'!$E$293='RFM input'!$G$293),-INDEX('RFM input'!H$299:H$348,MATCH($D544,'RFM input'!$E$299:$E$348,0),1),-SUM(H532:H543))</f>
        <v>0</v>
      </c>
      <c r="I544" s="1458">
        <f>IF(OR('RFM input'!$E$293='RFM input'!$G$292,'RFM input'!$E$293='RFM input'!$G$293),-INDEX('RFM input'!I$299:I$348,MATCH($D544,'RFM input'!$E$299:$E$348,0),1),-SUM(I532:I543))</f>
        <v>0</v>
      </c>
      <c r="J544" s="1386">
        <f>IF(COUNT($H544:I544)&gt;='RFM input'!$V$7,
   0,
   IF(OR('RFM input'!$E$293='RFM input'!$G$292,'RFM input'!$E$293='RFM input'!$G$293),
      -INDEX('RFM input'!J$299:J$348,MATCH($D544,'RFM input'!$E$299:$E$348,0),1),
      -SUM(J532:J543)))</f>
        <v>0</v>
      </c>
      <c r="K544" s="1386">
        <f>IF(COUNT($H544:J544)&gt;='RFM input'!$V$7,
   0,
   IF(OR('RFM input'!$E$293='RFM input'!$G$292,'RFM input'!$E$293='RFM input'!$G$293),
      -INDEX('RFM input'!K$299:K$348,MATCH($D544,'RFM input'!$E$299:$E$348,0),1),
      -SUM(K532:K543)))</f>
        <v>0</v>
      </c>
      <c r="L544" s="1386">
        <f>IF(COUNT($H544:K544)&gt;='RFM input'!$V$7,
   0,
   IF(OR('RFM input'!$E$293='RFM input'!$G$292,'RFM input'!$E$293='RFM input'!$G$293),
      -INDEX('RFM input'!L$299:L$348,MATCH($D544,'RFM input'!$E$299:$E$348,0),1),
      -SUM(L532:L543)))</f>
        <v>0</v>
      </c>
      <c r="M544" s="1386">
        <f>IF(COUNT($H544:L544)&gt;='RFM input'!$V$7,
   0,
   IF(OR('RFM input'!$E$293='RFM input'!$G$292,'RFM input'!$E$293='RFM input'!$G$293),
      -INDEX('RFM input'!M$299:M$348,MATCH($D544,'RFM input'!$E$299:$E$348,0),1),
      -SUM(M532:M543)))</f>
        <v>0</v>
      </c>
      <c r="N544" s="1386">
        <f>IF(COUNT($H544:M544)&gt;='RFM input'!$V$7,
   0,
   IF(OR('RFM input'!$E$293='RFM input'!$G$292,'RFM input'!$E$293='RFM input'!$G$293),
      -INDEX('RFM input'!N$299:N$348,MATCH($D544,'RFM input'!$E$299:$E$348,0),1),
      -SUM(N532:N543)))</f>
        <v>0</v>
      </c>
      <c r="O544" s="1386">
        <f>IF(COUNT($H544:N544)&gt;='RFM input'!$V$7,
   0,
   IF(OR('RFM input'!$E$293='RFM input'!$G$292,'RFM input'!$E$293='RFM input'!$G$293),
      -INDEX('RFM input'!O$299:O$348,MATCH($D544,'RFM input'!$E$299:$E$348,0),1),
      -SUM(O532:O543)))</f>
        <v>0</v>
      </c>
      <c r="P544" s="1386">
        <f>IF(COUNT($H544:O544)&gt;='RFM input'!$V$7,
   0,
   IF(OR('RFM input'!$E$293='RFM input'!$G$292,'RFM input'!$E$293='RFM input'!$G$293),
      -INDEX('RFM input'!P$299:P$348,MATCH($D544,'RFM input'!$E$299:$E$348,0),1),
      -SUM(P532:P543)))</f>
        <v>0</v>
      </c>
      <c r="Q544" s="1386">
        <f>IF(COUNT($H544:P544)&gt;='RFM input'!$V$7,
   0,
   IF(OR('RFM input'!$E$293='RFM input'!$G$292,'RFM input'!$E$293='RFM input'!$G$293),
      -INDEX('RFM input'!Q$299:Q$348,MATCH($D544,'RFM input'!$E$299:$E$348,0),1),
      -SUM(Q532:Q543)))</f>
        <v>0</v>
      </c>
      <c r="R544" s="1382"/>
      <c r="S544" s="76"/>
      <c r="T544" s="76"/>
      <c r="U544" s="76"/>
      <c r="V544" s="76"/>
      <c r="W544" s="76"/>
      <c r="X544" s="76"/>
      <c r="Y544" s="76"/>
      <c r="Z544" s="76"/>
    </row>
    <row r="545" spans="1:26" ht="12.75" hidden="1" customHeight="1" outlineLevel="2">
      <c r="A545" s="3"/>
      <c r="B545" s="3"/>
      <c r="C545" s="135">
        <f>Asset38</f>
        <v>0</v>
      </c>
      <c r="D545" s="100"/>
      <c r="E545" s="20" t="s">
        <v>23</v>
      </c>
      <c r="F545" s="19"/>
      <c r="G545" s="1383"/>
      <c r="H545" s="1380">
        <f>IF(H$3&gt;A38remlife,A38value-SUM($G545:G545),IF(A38remlife="N/A","n/a",A38value/A38remlife))</f>
        <v>0</v>
      </c>
      <c r="I545" s="1380">
        <f>IF(I$3&gt;A38remlife,A38value-SUM($G545:H545),IF(A38remlife="N/A","n/a",A38value/A38remlife))</f>
        <v>0</v>
      </c>
      <c r="J545" s="1380">
        <f>IF(J$3&gt;A38remlife,A38value-SUM($G545:I545),IF(A38remlife="N/A","n/a",A38value/A38remlife))</f>
        <v>0</v>
      </c>
      <c r="K545" s="1380">
        <f>IF(K$3&gt;A38remlife,A38value-SUM($G545:J545),IF(A38remlife="N/A","n/a",A38value/A38remlife))</f>
        <v>0</v>
      </c>
      <c r="L545" s="1380">
        <f>IF(L$3&gt;A38remlife,A38value-SUM($G545:K545),IF(A38remlife="N/A","n/a",A38value/A38remlife))</f>
        <v>0</v>
      </c>
      <c r="M545" s="1380">
        <f>IF(M$3&gt;A38remlife,A38value-SUM($G545:L545),IF(A38remlife="N/A","n/a",A38value/A38remlife))</f>
        <v>0</v>
      </c>
      <c r="N545" s="1380">
        <f>IF(N$3&gt;A38remlife,A38value-SUM($G545:M545),IF(A38remlife="N/A","n/a",A38value/A38remlife))</f>
        <v>0</v>
      </c>
      <c r="O545" s="1380">
        <f>IF(O$3&gt;A38remlife,A38value-SUM($G545:N545),IF(A38remlife="N/A","n/a",A38value/A38remlife))</f>
        <v>0</v>
      </c>
      <c r="P545" s="1380">
        <f>IF(P$3&gt;A38remlife,A38value-SUM($G545:O545),IF(A38remlife="N/A","n/a",A38value/A38remlife))</f>
        <v>0</v>
      </c>
      <c r="Q545" s="1380">
        <f>IF(Q$3&gt;A38remlife,A38value-SUM($G545:P545),IF(A38remlife="N/A","n/a",A38value/A38remlife))</f>
        <v>0</v>
      </c>
      <c r="R545" s="21"/>
      <c r="S545" s="74"/>
      <c r="T545" s="74"/>
      <c r="U545" s="74"/>
      <c r="V545" s="74"/>
      <c r="W545" s="74"/>
      <c r="X545" s="74"/>
      <c r="Y545" s="74"/>
      <c r="Z545" s="74"/>
    </row>
    <row r="546" spans="1:26" ht="12.75" hidden="1" customHeight="1" outlineLevel="2">
      <c r="A546" s="3"/>
      <c r="B546" s="3"/>
      <c r="C546" s="3"/>
      <c r="D546" s="16"/>
      <c r="E546" s="1593" t="s">
        <v>43</v>
      </c>
      <c r="F546" s="61"/>
      <c r="G546" s="1341"/>
      <c r="H546" s="18"/>
      <c r="I546" s="18"/>
      <c r="J546" s="18"/>
      <c r="K546" s="18"/>
      <c r="L546" s="18"/>
      <c r="M546" s="1384"/>
      <c r="N546" s="1385"/>
      <c r="O546" s="18"/>
      <c r="P546" s="18"/>
      <c r="Q546" s="18"/>
      <c r="R546" s="18"/>
      <c r="S546" s="74"/>
      <c r="T546" s="74"/>
      <c r="U546" s="74"/>
      <c r="V546" s="74"/>
      <c r="W546" s="74"/>
      <c r="X546" s="74"/>
      <c r="Y546" s="74"/>
      <c r="Z546" s="74"/>
    </row>
    <row r="547" spans="1:26" ht="12.75" hidden="1" customHeight="1" outlineLevel="2">
      <c r="A547" s="3"/>
      <c r="B547" s="3"/>
      <c r="C547" s="3"/>
      <c r="D547" s="16"/>
      <c r="E547" s="1594"/>
      <c r="F547" s="61">
        <v>1</v>
      </c>
      <c r="G547" s="1341"/>
      <c r="H547" s="1381"/>
      <c r="I547" s="18">
        <f>IF(A38stdlife="n/a","n/a",IF(I$3&gt;(A38stdlife+$F547),('RFM input'!$H$260*(1+vanilla1)^0.5)-SUM($H547:H547),('RFM input'!$H$260*(1+vanilla1)^0.5)/A38stdlife))</f>
        <v>0</v>
      </c>
      <c r="J547" s="18">
        <f>IF(A38stdlife="n/a","n/a",IF(J$3&gt;(A38stdlife+$F547),('RFM input'!$H$260*(1+vanilla1)^0.5)-SUM($H547:I547),('RFM input'!$H$260*(1+vanilla1)^0.5)/A38stdlife))</f>
        <v>0</v>
      </c>
      <c r="K547" s="18">
        <f>IF(A38stdlife="n/a","n/a",IF(K$3&gt;(A38stdlife+$F547),('RFM input'!$H$260*(1+vanilla1)^0.5)-SUM($H547:J547),('RFM input'!$H$260*(1+vanilla1)^0.5)/A38stdlife))</f>
        <v>0</v>
      </c>
      <c r="L547" s="18">
        <f>IF(A38stdlife="n/a","n/a",IF(L$3&gt;(A38stdlife+$F547),('RFM input'!$H$260*(1+vanilla1)^0.5)-SUM($H547:K547),('RFM input'!$H$260*(1+vanilla1)^0.5)/A38stdlife))</f>
        <v>0</v>
      </c>
      <c r="M547" s="18">
        <f>IF(A38stdlife="n/a","n/a",IF(M$3&gt;(A38stdlife+$F547),('RFM input'!$H$260*(1+vanilla1)^0.5)-SUM($H547:L547),('RFM input'!$H$260*(1+vanilla1)^0.5)/A38stdlife))</f>
        <v>0</v>
      </c>
      <c r="N547" s="18">
        <f>IF(A38stdlife="n/a","n/a",IF(N$3&gt;(A38stdlife+$F547),('RFM input'!$H$260*(1+vanilla1)^0.5)-SUM($H547:M547),('RFM input'!$H$260*(1+vanilla1)^0.5)/A38stdlife))</f>
        <v>0</v>
      </c>
      <c r="O547" s="18">
        <f>IF(A38stdlife="n/a","n/a",IF(O$3&gt;(A38stdlife+$F547),('RFM input'!$H$260*(1+vanilla1)^0.5)-SUM($H547:N547),('RFM input'!$H$260*(1+vanilla1)^0.5)/A38stdlife))</f>
        <v>0</v>
      </c>
      <c r="P547" s="18">
        <f>IF(A38stdlife="n/a","n/a",IF(P$3&gt;(A38stdlife+$F547),('RFM input'!$H$260*(1+vanilla1)^0.5)-SUM($H547:O547),('RFM input'!$H$260*(1+vanilla1)^0.5)/A38stdlife))</f>
        <v>0</v>
      </c>
      <c r="Q547" s="18">
        <f>IF(A38stdlife="n/a","n/a",IF(Q$3&gt;(A38stdlife+$F547),('RFM input'!$H$260*(1+vanilla1)^0.5)-SUM($H547:P547),('RFM input'!$H$260*(1+vanilla1)^0.5)/A38stdlife))</f>
        <v>0</v>
      </c>
      <c r="R547" s="18"/>
      <c r="S547" s="74"/>
      <c r="T547" s="74"/>
      <c r="U547" s="74"/>
      <c r="V547" s="74"/>
      <c r="W547" s="74"/>
      <c r="X547" s="74"/>
      <c r="Y547" s="74"/>
      <c r="Z547" s="74"/>
    </row>
    <row r="548" spans="1:26" ht="12.75" hidden="1" customHeight="1" outlineLevel="2">
      <c r="A548" s="3"/>
      <c r="B548" s="3"/>
      <c r="C548" s="3"/>
      <c r="D548" s="16"/>
      <c r="E548" s="1594"/>
      <c r="F548" s="61">
        <v>2</v>
      </c>
      <c r="G548" s="1341"/>
      <c r="H548" s="114"/>
      <c r="I548" s="116"/>
      <c r="J548" s="18">
        <f>IF(A38stdlife="n/a","n/a",IF(J$3&gt;(A38stdlife+$F548),('RFM input'!$I$260*(1+vanilla2)^0.5)-SUM($I548:I548),('RFM input'!$I$260*(1+vanilla2)^0.5)/A38stdlife))</f>
        <v>0</v>
      </c>
      <c r="K548" s="18">
        <f>IF(A38stdlife="n/a","n/a",IF(K$3&gt;(A38stdlife+$F548),('RFM input'!$I$260*(1+vanilla2)^0.5)-SUM($I548:J548),('RFM input'!$I$260*(1+vanilla2)^0.5)/A38stdlife))</f>
        <v>0</v>
      </c>
      <c r="L548" s="18">
        <f>IF(A38stdlife="n/a","n/a",IF(L$3&gt;(A38stdlife+$F548),('RFM input'!$I$260*(1+vanilla2)^0.5)-SUM($I548:K548),('RFM input'!$I$260*(1+vanilla2)^0.5)/A38stdlife))</f>
        <v>0</v>
      </c>
      <c r="M548" s="18">
        <f>IF(A38stdlife="n/a","n/a",IF(M$3&gt;(A38stdlife+$F548),('RFM input'!$I$260*(1+vanilla2)^0.5)-SUM($I548:L548),('RFM input'!$I$260*(1+vanilla2)^0.5)/A38stdlife))</f>
        <v>0</v>
      </c>
      <c r="N548" s="18">
        <f>IF(A38stdlife="n/a","n/a",IF(N$3&gt;(A38stdlife+$F548),('RFM input'!$I$260*(1+vanilla2)^0.5)-SUM($I548:M548),('RFM input'!$I$260*(1+vanilla2)^0.5)/A38stdlife))</f>
        <v>0</v>
      </c>
      <c r="O548" s="18">
        <f>IF(A38stdlife="n/a","n/a",IF(O$3&gt;(A38stdlife+$F548),('RFM input'!$I$260*(1+vanilla2)^0.5)-SUM($I548:N548),('RFM input'!$I$260*(1+vanilla2)^0.5)/A38stdlife))</f>
        <v>0</v>
      </c>
      <c r="P548" s="18">
        <f>IF(A38stdlife="n/a","n/a",IF(P$3&gt;(A38stdlife+$F548),('RFM input'!$I$260*(1+vanilla2)^0.5)-SUM($I548:O548),('RFM input'!$I$260*(1+vanilla2)^0.5)/A38stdlife))</f>
        <v>0</v>
      </c>
      <c r="Q548" s="18">
        <f>IF(A38stdlife="n/a","n/a",IF(Q$3&gt;(A38stdlife+$F548),('RFM input'!$I$260*(1+vanilla2)^0.5)-SUM($I548:P548),('RFM input'!$I$260*(1+vanilla2)^0.5)/A38stdlife))</f>
        <v>0</v>
      </c>
      <c r="R548" s="18"/>
      <c r="S548" s="74"/>
      <c r="T548" s="74"/>
      <c r="U548" s="74"/>
      <c r="V548" s="74"/>
      <c r="W548" s="74"/>
      <c r="X548" s="74"/>
      <c r="Y548" s="74"/>
      <c r="Z548" s="74"/>
    </row>
    <row r="549" spans="1:26" ht="12.75" hidden="1" customHeight="1" outlineLevel="2">
      <c r="A549" s="3"/>
      <c r="B549" s="3"/>
      <c r="C549" s="3"/>
      <c r="D549" s="16"/>
      <c r="E549" s="1594"/>
      <c r="F549" s="61">
        <v>3</v>
      </c>
      <c r="G549" s="1341"/>
      <c r="H549" s="114"/>
      <c r="I549" s="115"/>
      <c r="J549" s="116"/>
      <c r="K549" s="18">
        <f>IF(A38stdlife="n/a","n/a",IF(K$3&gt;(A38stdlife+$F549),('RFM input'!$J$260*(1+vanilla3)^0.5)-SUM($J549:J549),('RFM input'!$J$260*(1+vanilla3)^0.5)/A38stdlife))</f>
        <v>0</v>
      </c>
      <c r="L549" s="18">
        <f>IF(A38stdlife="n/a","n/a",IF(L$3&gt;(A38stdlife+$F549),('RFM input'!$J$260*(1+vanilla3)^0.5)-SUM($J549:K549),('RFM input'!$J$260*(1+vanilla3)^0.5)/A38stdlife))</f>
        <v>0</v>
      </c>
      <c r="M549" s="18">
        <f>IF(A38stdlife="n/a","n/a",IF(M$3&gt;(A38stdlife+$F549),('RFM input'!$J$260*(1+vanilla3)^0.5)-SUM($J549:L549),('RFM input'!$J$260*(1+vanilla3)^0.5)/A38stdlife))</f>
        <v>0</v>
      </c>
      <c r="N549" s="18">
        <f>IF(A38stdlife="n/a","n/a",IF(N$3&gt;(A38stdlife+$F549),('RFM input'!$J$260*(1+vanilla3)^0.5)-SUM($J549:M549),('RFM input'!$J$260*(1+vanilla3)^0.5)/A38stdlife))</f>
        <v>0</v>
      </c>
      <c r="O549" s="18">
        <f>IF(A38stdlife="n/a","n/a",IF(O$3&gt;(A38stdlife+$F549),('RFM input'!$J$260*(1+vanilla3)^0.5)-SUM($J549:N549),('RFM input'!$J$260*(1+vanilla3)^0.5)/A38stdlife))</f>
        <v>0</v>
      </c>
      <c r="P549" s="18">
        <f>IF(A38stdlife="n/a","n/a",IF(P$3&gt;(A38stdlife+$F549),('RFM input'!$J$260*(1+vanilla3)^0.5)-SUM($J549:O549),('RFM input'!$J$260*(1+vanilla3)^0.5)/A38stdlife))</f>
        <v>0</v>
      </c>
      <c r="Q549" s="18">
        <f>IF(A38stdlife="n/a","n/a",IF(Q$3&gt;(A38stdlife+$F549),('RFM input'!$J$260*(1+vanilla3)^0.5)-SUM($J549:P549),('RFM input'!$J$260*(1+vanilla3)^0.5)/A38stdlife))</f>
        <v>0</v>
      </c>
      <c r="R549" s="18"/>
      <c r="S549" s="74"/>
      <c r="T549" s="74"/>
      <c r="U549" s="74"/>
      <c r="V549" s="74"/>
      <c r="W549" s="74"/>
      <c r="X549" s="74"/>
      <c r="Y549" s="74"/>
      <c r="Z549" s="74"/>
    </row>
    <row r="550" spans="1:26" ht="12.75" hidden="1" customHeight="1" outlineLevel="2">
      <c r="A550" s="3"/>
      <c r="B550" s="3"/>
      <c r="C550" s="3"/>
      <c r="D550" s="16"/>
      <c r="E550" s="1594"/>
      <c r="F550" s="61">
        <v>4</v>
      </c>
      <c r="G550" s="1341"/>
      <c r="H550" s="114"/>
      <c r="I550" s="115"/>
      <c r="J550" s="115"/>
      <c r="K550" s="116"/>
      <c r="L550" s="18">
        <f>IF(A38stdlife="n/a","n/a",IF(L$3&gt;(A38stdlife+$F550),('RFM input'!$K$260*(1+vanilla4)^0.5)-SUM($K550:K550),('RFM input'!$K$260*(1+vanilla4)^0.5)/A38stdlife))</f>
        <v>0</v>
      </c>
      <c r="M550" s="18">
        <f>IF(A38stdlife="n/a","n/a",IF(M$3&gt;(A38stdlife+$F550),('RFM input'!$K$260*(1+vanilla4)^0.5)-SUM($K550:L550),('RFM input'!$K$260*(1+vanilla4)^0.5)/A38stdlife))</f>
        <v>0</v>
      </c>
      <c r="N550" s="18">
        <f>IF(A38stdlife="n/a","n/a",IF(N$3&gt;(A38stdlife+$F550),('RFM input'!$K$260*(1+vanilla4)^0.5)-SUM($K550:M550),('RFM input'!$K$260*(1+vanilla4)^0.5)/A38stdlife))</f>
        <v>0</v>
      </c>
      <c r="O550" s="18">
        <f>IF(A38stdlife="n/a","n/a",IF(O$3&gt;(A38stdlife+$F550),('RFM input'!$K$260*(1+vanilla4)^0.5)-SUM($K550:N550),('RFM input'!$K$260*(1+vanilla4)^0.5)/A38stdlife))</f>
        <v>0</v>
      </c>
      <c r="P550" s="18">
        <f>IF(A38stdlife="n/a","n/a",IF(P$3&gt;(A38stdlife+$F550),('RFM input'!$K$260*(1+vanilla4)^0.5)-SUM($K550:O550),('RFM input'!$K$260*(1+vanilla4)^0.5)/A38stdlife))</f>
        <v>0</v>
      </c>
      <c r="Q550" s="18">
        <f>IF(A38stdlife="n/a","n/a",IF(Q$3&gt;(A38stdlife+$F550),('RFM input'!$K$260*(1+vanilla4)^0.5)-SUM($K550:P550),('RFM input'!$K$260*(1+vanilla4)^0.5)/A38stdlife))</f>
        <v>0</v>
      </c>
      <c r="R550" s="18"/>
      <c r="S550" s="74"/>
      <c r="T550" s="74"/>
      <c r="U550" s="74"/>
      <c r="V550" s="74"/>
      <c r="W550" s="74"/>
      <c r="X550" s="74"/>
      <c r="Y550" s="74"/>
      <c r="Z550" s="74"/>
    </row>
    <row r="551" spans="1:26" ht="12.75" hidden="1" customHeight="1" outlineLevel="2">
      <c r="A551" s="3"/>
      <c r="B551" s="3"/>
      <c r="C551" s="3"/>
      <c r="D551" s="16"/>
      <c r="E551" s="1594"/>
      <c r="F551" s="61">
        <v>5</v>
      </c>
      <c r="G551" s="17"/>
      <c r="H551" s="114"/>
      <c r="I551" s="115"/>
      <c r="J551" s="115"/>
      <c r="K551" s="115"/>
      <c r="L551" s="116"/>
      <c r="M551" s="18">
        <f>IF(A38stdlife="n/a","n/a",IF(M$3&gt;(A38stdlife+$F551),('RFM input'!$L$260*(1+vanilla5)^0.5)-SUM($L551:L551),('RFM input'!$L$260*(1+vanilla5)^0.5)/A38stdlife))</f>
        <v>0</v>
      </c>
      <c r="N551" s="18">
        <f>IF(A38stdlife="n/a","n/a",IF(N$3&gt;(A38stdlife+$F551),('RFM input'!$L$260*(1+vanilla5)^0.5)-SUM($L551:M551),('RFM input'!$L$260*(1+vanilla5)^0.5)/A38stdlife))</f>
        <v>0</v>
      </c>
      <c r="O551" s="18">
        <f>IF(A38stdlife="n/a","n/a",IF(O$3&gt;(A38stdlife+$F551),('RFM input'!$L$260*(1+vanilla5)^0.5)-SUM($L551:N551),('RFM input'!$L$260*(1+vanilla5)^0.5)/A38stdlife))</f>
        <v>0</v>
      </c>
      <c r="P551" s="18">
        <f>IF(A38stdlife="n/a","n/a",IF(P$3&gt;(A38stdlife+$F551),('RFM input'!$L$260*(1+vanilla5)^0.5)-SUM($L551:O551),('RFM input'!$L$260*(1+vanilla5)^0.5)/A38stdlife))</f>
        <v>0</v>
      </c>
      <c r="Q551" s="18">
        <f>IF(A38stdlife="n/a","n/a",IF(Q$3&gt;(A38stdlife+$F551),('RFM input'!$L$260*(1+vanilla5)^0.5)-SUM($L551:P551),('RFM input'!$L$260*(1+vanilla5)^0.5)/A38stdlife))</f>
        <v>0</v>
      </c>
      <c r="R551" s="18"/>
      <c r="S551" s="74"/>
      <c r="T551" s="74"/>
      <c r="U551" s="74"/>
      <c r="V551" s="74"/>
      <c r="W551" s="74"/>
      <c r="X551" s="74"/>
      <c r="Y551" s="74"/>
      <c r="Z551" s="74"/>
    </row>
    <row r="552" spans="1:26" ht="12.75" hidden="1" customHeight="1" outlineLevel="2">
      <c r="A552" s="3"/>
      <c r="B552" s="3"/>
      <c r="C552" s="3"/>
      <c r="D552" s="16"/>
      <c r="E552" s="1594"/>
      <c r="F552" s="61">
        <v>6</v>
      </c>
      <c r="G552" s="17"/>
      <c r="H552" s="114"/>
      <c r="I552" s="115"/>
      <c r="J552" s="115"/>
      <c r="K552" s="115"/>
      <c r="L552" s="115"/>
      <c r="M552" s="116"/>
      <c r="N552" s="18">
        <f>IF(A38stdlife="n/a","n/a",IF(N$3&gt;(A38stdlife+$F552),('RFM input'!$M$260*(1+vanilla6)^0.5)-SUM($M552:M552),('RFM input'!$M$260*(1+vanilla6)^0.5)/A38stdlife))</f>
        <v>0</v>
      </c>
      <c r="O552" s="18">
        <f>IF(A38stdlife="n/a","n/a",IF(O$3&gt;(A38stdlife+$F552),('RFM input'!$M$260*(1+vanilla6)^0.5)-SUM($M552:N552),('RFM input'!$M$260*(1+vanilla6)^0.5)/A38stdlife))</f>
        <v>0</v>
      </c>
      <c r="P552" s="18">
        <f>IF(A38stdlife="n/a","n/a",IF(P$3&gt;(A38stdlife+$F552),('RFM input'!$M$260*(1+vanilla6)^0.5)-SUM($M552:O552),('RFM input'!$M$260*(1+vanilla6)^0.5)/A38stdlife))</f>
        <v>0</v>
      </c>
      <c r="Q552" s="18">
        <f>IF(A38stdlife="n/a","n/a",IF(Q$3&gt;(A38stdlife+$F552),('RFM input'!$M$260*(1+vanilla6)^0.5)-SUM($M552:P552),('RFM input'!$M$260*(1+vanilla6)^0.5)/A38stdlife))</f>
        <v>0</v>
      </c>
      <c r="R552" s="18"/>
      <c r="S552" s="74"/>
      <c r="T552" s="74"/>
      <c r="U552" s="74"/>
      <c r="V552" s="74"/>
      <c r="W552" s="74"/>
      <c r="X552" s="74"/>
      <c r="Y552" s="74"/>
      <c r="Z552" s="74"/>
    </row>
    <row r="553" spans="1:26" ht="12.75" hidden="1" customHeight="1" outlineLevel="2">
      <c r="A553" s="3"/>
      <c r="B553" s="3"/>
      <c r="C553" s="3"/>
      <c r="D553" s="16"/>
      <c r="E553" s="1594"/>
      <c r="F553" s="61">
        <v>7</v>
      </c>
      <c r="G553" s="17"/>
      <c r="H553" s="114"/>
      <c r="I553" s="115"/>
      <c r="J553" s="115"/>
      <c r="K553" s="115"/>
      <c r="L553" s="115"/>
      <c r="M553" s="115"/>
      <c r="N553" s="116"/>
      <c r="O553" s="18">
        <f>IF(A38stdlife="n/a","n/a",IF(O$3&gt;(A38stdlife+$F553),('RFM input'!M$260*(1+vanilla7)^0.5)-SUM($N553:N553),('RFM input'!$N$260*(1+vanilla7)^0.5)/A38stdlife))</f>
        <v>0</v>
      </c>
      <c r="P553" s="18">
        <f>IF(A38stdlife="n/a","n/a",IF(P$3&gt;(A38stdlife+$F553),('RFM input'!N$260*(1+vanilla7)^0.5)-SUM($N553:O553),('RFM input'!$N$260*(1+vanilla7)^0.5)/A38stdlife))</f>
        <v>0</v>
      </c>
      <c r="Q553" s="18">
        <f>IF(A38stdlife="n/a","n/a",IF(Q$3&gt;(A38stdlife+$F553),('RFM input'!O$260*(1+vanilla7)^0.5)-SUM($N553:P553),('RFM input'!$N$260*(1+vanilla7)^0.5)/A38stdlife))</f>
        <v>0</v>
      </c>
      <c r="R553" s="18"/>
      <c r="S553" s="74"/>
      <c r="T553" s="74"/>
      <c r="U553" s="74"/>
      <c r="V553" s="74"/>
      <c r="W553" s="74"/>
      <c r="X553" s="74"/>
      <c r="Y553" s="74"/>
      <c r="Z553" s="74"/>
    </row>
    <row r="554" spans="1:26" ht="12.75" hidden="1" customHeight="1" outlineLevel="2">
      <c r="A554" s="3"/>
      <c r="B554" s="3"/>
      <c r="C554" s="3"/>
      <c r="D554" s="16"/>
      <c r="E554" s="1594"/>
      <c r="F554" s="61">
        <v>8</v>
      </c>
      <c r="G554" s="17"/>
      <c r="H554" s="114"/>
      <c r="I554" s="115"/>
      <c r="J554" s="115"/>
      <c r="K554" s="115"/>
      <c r="L554" s="115"/>
      <c r="M554" s="115"/>
      <c r="N554" s="115"/>
      <c r="O554" s="116"/>
      <c r="P554" s="18">
        <f>IF(A38stdlife="n/a","n/a",IF(P$3&gt;(A38stdlife+$F554),('RFM input'!$O$260*(1+vanilla8)^0.5)-SUM($O554:O554),('RFM input'!$O$260*(1+vanilla8)^0.5)/A38stdlife))</f>
        <v>0</v>
      </c>
      <c r="Q554" s="18">
        <f>IF(A38stdlife="n/a","n/a",IF(Q$3&gt;(A38stdlife+$F554),('RFM input'!$O$260*(1+vanilla8)^0.5)-SUM($O554:P554),('RFM input'!$O$260*(1+vanilla8)^0.5)/A38stdlife))</f>
        <v>0</v>
      </c>
      <c r="R554" s="18"/>
      <c r="S554" s="74"/>
      <c r="T554" s="74"/>
      <c r="U554" s="74"/>
      <c r="V554" s="74"/>
      <c r="W554" s="74"/>
      <c r="X554" s="74"/>
      <c r="Y554" s="74"/>
      <c r="Z554" s="74"/>
    </row>
    <row r="555" spans="1:26" ht="12.75" hidden="1" customHeight="1" outlineLevel="2">
      <c r="A555" s="3"/>
      <c r="B555" s="3"/>
      <c r="C555" s="3"/>
      <c r="D555" s="16"/>
      <c r="E555" s="1594"/>
      <c r="F555" s="61">
        <v>9</v>
      </c>
      <c r="G555" s="17"/>
      <c r="H555" s="114"/>
      <c r="I555" s="115"/>
      <c r="J555" s="115"/>
      <c r="K555" s="115"/>
      <c r="L555" s="115"/>
      <c r="M555" s="115"/>
      <c r="N555" s="115"/>
      <c r="O555" s="115"/>
      <c r="P555" s="116"/>
      <c r="Q555" s="18">
        <f>IF(A38stdlife="n/a","n/a",IF(Q$3&gt;(A38stdlife+$F555),('RFM input'!$P$260*(1+vanilla9)^0.5)-SUM($P555:P555),('RFM input'!$P$260*(1+vanilla9)^0.5)/A38stdlife))</f>
        <v>0</v>
      </c>
      <c r="R555" s="18"/>
      <c r="S555" s="74"/>
      <c r="T555" s="74"/>
      <c r="U555" s="74"/>
      <c r="V555" s="74"/>
      <c r="W555" s="74"/>
      <c r="X555" s="74"/>
      <c r="Y555" s="74"/>
      <c r="Z555" s="74"/>
    </row>
    <row r="556" spans="1:26" ht="12.75" hidden="1" customHeight="1" outlineLevel="2">
      <c r="A556" s="3"/>
      <c r="B556" s="3"/>
      <c r="C556" s="3"/>
      <c r="D556" s="16"/>
      <c r="E556" s="1594"/>
      <c r="F556" s="62">
        <v>10</v>
      </c>
      <c r="G556" s="17"/>
      <c r="H556" s="114"/>
      <c r="I556" s="115"/>
      <c r="J556" s="115"/>
      <c r="K556" s="115"/>
      <c r="L556" s="115"/>
      <c r="M556" s="115"/>
      <c r="N556" s="115"/>
      <c r="O556" s="115"/>
      <c r="P556" s="115"/>
      <c r="Q556" s="116"/>
      <c r="R556" s="18"/>
      <c r="S556" s="74"/>
      <c r="T556" s="74"/>
      <c r="U556" s="74"/>
      <c r="V556" s="74"/>
      <c r="W556" s="74"/>
      <c r="X556" s="74"/>
      <c r="Y556" s="74"/>
      <c r="Z556" s="74"/>
    </row>
    <row r="557" spans="1:26" ht="13.35" hidden="1" customHeight="1" outlineLevel="1">
      <c r="A557" s="3"/>
      <c r="B557" s="3"/>
      <c r="C557" s="3"/>
      <c r="D557" s="134">
        <f>Asset38</f>
        <v>0</v>
      </c>
      <c r="E557" s="3"/>
      <c r="F557" s="3"/>
      <c r="G557" s="1341"/>
      <c r="H557" s="1458">
        <f>IF(OR('RFM input'!$E$293='RFM input'!$G$292,'RFM input'!$E$293='RFM input'!$G$293),-INDEX('RFM input'!H$299:H$348,MATCH($D557,'RFM input'!$E$299:$E$348,0),1),-SUM(H545:H556))</f>
        <v>0</v>
      </c>
      <c r="I557" s="1458">
        <f>IF(OR('RFM input'!$E$293='RFM input'!$G$292,'RFM input'!$E$293='RFM input'!$G$293),-INDEX('RFM input'!I$299:I$348,MATCH($D557,'RFM input'!$E$299:$E$348,0),1),-SUM(I545:I556))</f>
        <v>0</v>
      </c>
      <c r="J557" s="1386">
        <f>IF(COUNT($H557:I557)&gt;='RFM input'!$V$7,
   0,
   IF(OR('RFM input'!$E$293='RFM input'!$G$292,'RFM input'!$E$293='RFM input'!$G$293),
      -INDEX('RFM input'!J$299:J$348,MATCH($D557,'RFM input'!$E$299:$E$348,0),1),
      -SUM(J545:J556)))</f>
        <v>0</v>
      </c>
      <c r="K557" s="1386">
        <f>IF(COUNT($H557:J557)&gt;='RFM input'!$V$7,
   0,
   IF(OR('RFM input'!$E$293='RFM input'!$G$292,'RFM input'!$E$293='RFM input'!$G$293),
      -INDEX('RFM input'!K$299:K$348,MATCH($D557,'RFM input'!$E$299:$E$348,0),1),
      -SUM(K545:K556)))</f>
        <v>0</v>
      </c>
      <c r="L557" s="1386">
        <f>IF(COUNT($H557:K557)&gt;='RFM input'!$V$7,
   0,
   IF(OR('RFM input'!$E$293='RFM input'!$G$292,'RFM input'!$E$293='RFM input'!$G$293),
      -INDEX('RFM input'!L$299:L$348,MATCH($D557,'RFM input'!$E$299:$E$348,0),1),
      -SUM(L545:L556)))</f>
        <v>0</v>
      </c>
      <c r="M557" s="1386">
        <f>IF(COUNT($H557:L557)&gt;='RFM input'!$V$7,
   0,
   IF(OR('RFM input'!$E$293='RFM input'!$G$292,'RFM input'!$E$293='RFM input'!$G$293),
      -INDEX('RFM input'!M$299:M$348,MATCH($D557,'RFM input'!$E$299:$E$348,0),1),
      -SUM(M545:M556)))</f>
        <v>0</v>
      </c>
      <c r="N557" s="1386">
        <f>IF(COUNT($H557:M557)&gt;='RFM input'!$V$7,
   0,
   IF(OR('RFM input'!$E$293='RFM input'!$G$292,'RFM input'!$E$293='RFM input'!$G$293),
      -INDEX('RFM input'!N$299:N$348,MATCH($D557,'RFM input'!$E$299:$E$348,0),1),
      -SUM(N545:N556)))</f>
        <v>0</v>
      </c>
      <c r="O557" s="1386">
        <f>IF(COUNT($H557:N557)&gt;='RFM input'!$V$7,
   0,
   IF(OR('RFM input'!$E$293='RFM input'!$G$292,'RFM input'!$E$293='RFM input'!$G$293),
      -INDEX('RFM input'!O$299:O$348,MATCH($D557,'RFM input'!$E$299:$E$348,0),1),
      -SUM(O545:O556)))</f>
        <v>0</v>
      </c>
      <c r="P557" s="1386">
        <f>IF(COUNT($H557:O557)&gt;='RFM input'!$V$7,
   0,
   IF(OR('RFM input'!$E$293='RFM input'!$G$292,'RFM input'!$E$293='RFM input'!$G$293),
      -INDEX('RFM input'!P$299:P$348,MATCH($D557,'RFM input'!$E$299:$E$348,0),1),
      -SUM(P545:P556)))</f>
        <v>0</v>
      </c>
      <c r="Q557" s="1386">
        <f>IF(COUNT($H557:P557)&gt;='RFM input'!$V$7,
   0,
   IF(OR('RFM input'!$E$293='RFM input'!$G$292,'RFM input'!$E$293='RFM input'!$G$293),
      -INDEX('RFM input'!Q$299:Q$348,MATCH($D557,'RFM input'!$E$299:$E$348,0),1),
      -SUM(Q545:Q556)))</f>
        <v>0</v>
      </c>
      <c r="R557" s="1390"/>
      <c r="S557" s="76"/>
      <c r="T557" s="76"/>
      <c r="U557" s="76"/>
      <c r="V557" s="76"/>
      <c r="W557" s="76"/>
      <c r="X557" s="76"/>
      <c r="Y557" s="76"/>
      <c r="Z557" s="76"/>
    </row>
    <row r="558" spans="1:26" ht="12.75" hidden="1" customHeight="1" outlineLevel="2">
      <c r="A558" s="3"/>
      <c r="B558" s="3"/>
      <c r="C558" s="135">
        <f>Asset39</f>
        <v>0</v>
      </c>
      <c r="D558" s="100"/>
      <c r="E558" s="20" t="s">
        <v>23</v>
      </c>
      <c r="F558" s="19"/>
      <c r="G558" s="1383"/>
      <c r="H558" s="1380">
        <f>IF(H$3&gt;A39remlife,A39value-SUM($G558:G558),IF(A39remlife="N/A","n/a",A39value/A39remlife))</f>
        <v>0</v>
      </c>
      <c r="I558" s="1380">
        <f>IF(I$3&gt;A39remlife,A39value-SUM($G558:H558),IF(A39remlife="N/A","n/a",A39value/A39remlife))</f>
        <v>0</v>
      </c>
      <c r="J558" s="1380">
        <f>IF(J$3&gt;A39remlife,A39value-SUM($G558:I558),IF(A39remlife="N/A","n/a",A39value/A39remlife))</f>
        <v>0</v>
      </c>
      <c r="K558" s="1380">
        <f>IF(K$3&gt;A39remlife,A39value-SUM($G558:J558),IF(A39remlife="N/A","n/a",A39value/A39remlife))</f>
        <v>0</v>
      </c>
      <c r="L558" s="1380">
        <f>IF(L$3&gt;A39remlife,A39value-SUM($G558:K558),IF(A39remlife="N/A","n/a",A39value/A39remlife))</f>
        <v>0</v>
      </c>
      <c r="M558" s="1380">
        <f>IF(M$3&gt;A39remlife,A39value-SUM($G558:L558),IF(A39remlife="N/A","n/a",A39value/A39remlife))</f>
        <v>0</v>
      </c>
      <c r="N558" s="1380">
        <f>IF(N$3&gt;A39remlife,A39value-SUM($G558:M558),IF(A39remlife="N/A","n/a",A39value/A39remlife))</f>
        <v>0</v>
      </c>
      <c r="O558" s="1380">
        <f>IF(O$3&gt;A39remlife,A39value-SUM($G558:N558),IF(A39remlife="N/A","n/a",A39value/A39remlife))</f>
        <v>0</v>
      </c>
      <c r="P558" s="1380">
        <f>IF(P$3&gt;A39remlife,A39value-SUM($G558:O558),IF(A39remlife="N/A","n/a",A39value/A39remlife))</f>
        <v>0</v>
      </c>
      <c r="Q558" s="1380">
        <f>IF(Q$3&gt;A39remlife,A39value-SUM($G558:P558),IF(A39remlife="N/A","n/a",A39value/A39remlife))</f>
        <v>0</v>
      </c>
      <c r="R558" s="1380"/>
      <c r="S558" s="74"/>
      <c r="T558" s="74"/>
      <c r="U558" s="74"/>
      <c r="V558" s="74"/>
      <c r="W558" s="74"/>
      <c r="X558" s="74"/>
      <c r="Y558" s="74"/>
      <c r="Z558" s="74"/>
    </row>
    <row r="559" spans="1:26" ht="12.75" hidden="1" customHeight="1" outlineLevel="2">
      <c r="A559" s="3"/>
      <c r="B559" s="3"/>
      <c r="C559" s="3"/>
      <c r="D559" s="16"/>
      <c r="E559" s="1593" t="s">
        <v>43</v>
      </c>
      <c r="F559" s="61"/>
      <c r="G559" s="1341"/>
      <c r="H559" s="18"/>
      <c r="I559" s="18"/>
      <c r="J559" s="18"/>
      <c r="K559" s="18"/>
      <c r="L559" s="18"/>
      <c r="M559" s="1384"/>
      <c r="N559" s="1385"/>
      <c r="O559" s="18"/>
      <c r="P559" s="18"/>
      <c r="Q559" s="18"/>
      <c r="R559" s="18"/>
      <c r="S559" s="74"/>
      <c r="T559" s="74"/>
      <c r="U559" s="74"/>
      <c r="V559" s="74"/>
      <c r="W559" s="74"/>
      <c r="X559" s="74"/>
      <c r="Y559" s="74"/>
      <c r="Z559" s="74"/>
    </row>
    <row r="560" spans="1:26" ht="12.75" hidden="1" customHeight="1" outlineLevel="2">
      <c r="A560" s="3"/>
      <c r="B560" s="3"/>
      <c r="C560" s="3"/>
      <c r="D560" s="16"/>
      <c r="E560" s="1594"/>
      <c r="F560" s="61">
        <v>1</v>
      </c>
      <c r="G560" s="1341"/>
      <c r="H560" s="1381"/>
      <c r="I560" s="18">
        <f>IF(A39stdlife="n/a","n/a",IF(I$3&gt;(A39stdlife+$F560),('RFM input'!$H$261*(1+vanilla1)^0.5)-SUM($H560:H560),('RFM input'!$H$261*(1+vanilla1)^0.5)/A39stdlife))</f>
        <v>0</v>
      </c>
      <c r="J560" s="18">
        <f>IF(A39stdlife="n/a","n/a",IF(J$3&gt;(A39stdlife+$F560),('RFM input'!$H$261*(1+vanilla1)^0.5)-SUM($H560:I560),('RFM input'!$H$261*(1+vanilla1)^0.5)/A39stdlife))</f>
        <v>0</v>
      </c>
      <c r="K560" s="18">
        <f>IF(A39stdlife="n/a","n/a",IF(K$3&gt;(A39stdlife+$F560),('RFM input'!$H$261*(1+vanilla1)^0.5)-SUM($H560:J560),('RFM input'!$H$261*(1+vanilla1)^0.5)/A39stdlife))</f>
        <v>0</v>
      </c>
      <c r="L560" s="18">
        <f>IF(A39stdlife="n/a","n/a",IF(L$3&gt;(A39stdlife+$F560),('RFM input'!$H$261*(1+vanilla1)^0.5)-SUM($H560:K560),('RFM input'!$H$261*(1+vanilla1)^0.5)/A39stdlife))</f>
        <v>0</v>
      </c>
      <c r="M560" s="18">
        <f>IF(A39stdlife="n/a","n/a",IF(M$3&gt;(A39stdlife+$F560),('RFM input'!$H$261*(1+vanilla1)^0.5)-SUM($H560:L560),('RFM input'!$H$261*(1+vanilla1)^0.5)/A39stdlife))</f>
        <v>0</v>
      </c>
      <c r="N560" s="18">
        <f>IF(A39stdlife="n/a","n/a",IF(N$3&gt;(A39stdlife+$F560),('RFM input'!$H$261*(1+vanilla1)^0.5)-SUM($H560:M560),('RFM input'!$H$261*(1+vanilla1)^0.5)/A39stdlife))</f>
        <v>0</v>
      </c>
      <c r="O560" s="18">
        <f>IF(A39stdlife="n/a","n/a",IF(O$3&gt;(A39stdlife+$F560),('RFM input'!$H$261*(1+vanilla1)^0.5)-SUM($H560:N560),('RFM input'!$H$261*(1+vanilla1)^0.5)/A39stdlife))</f>
        <v>0</v>
      </c>
      <c r="P560" s="18">
        <f>IF(A39stdlife="n/a","n/a",IF(P$3&gt;(A39stdlife+$F560),('RFM input'!$H$261*(1+vanilla1)^0.5)-SUM($H560:O560),('RFM input'!$H$261*(1+vanilla1)^0.5)/A39stdlife))</f>
        <v>0</v>
      </c>
      <c r="Q560" s="18">
        <f>IF(A39stdlife="n/a","n/a",IF(Q$3&gt;(A39stdlife+$F560),('RFM input'!$H$261*(1+vanilla1)^0.5)-SUM($H560:P560),('RFM input'!$H$261*(1+vanilla1)^0.5)/A39stdlife))</f>
        <v>0</v>
      </c>
      <c r="R560" s="18"/>
      <c r="S560" s="74"/>
      <c r="T560" s="74"/>
      <c r="U560" s="74"/>
      <c r="V560" s="74"/>
      <c r="W560" s="74"/>
      <c r="X560" s="74"/>
      <c r="Y560" s="74"/>
      <c r="Z560" s="74"/>
    </row>
    <row r="561" spans="1:26" ht="12.75" hidden="1" customHeight="1" outlineLevel="2">
      <c r="A561" s="3"/>
      <c r="B561" s="3"/>
      <c r="C561" s="3"/>
      <c r="D561" s="16"/>
      <c r="E561" s="1594"/>
      <c r="F561" s="61">
        <v>2</v>
      </c>
      <c r="G561" s="1341"/>
      <c r="H561" s="114"/>
      <c r="I561" s="116"/>
      <c r="J561" s="18">
        <f>IF(A39stdlife="n/a","n/a",IF(J$3&gt;(A39stdlife+$F561),('RFM input'!$I$261*(1+vanilla2)^0.5)-SUM($I561:I561),('RFM input'!$I$261*(1+vanilla2)^0.5)/A39stdlife))</f>
        <v>0</v>
      </c>
      <c r="K561" s="18">
        <f>IF(A39stdlife="n/a","n/a",IF(K$3&gt;(A39stdlife+$F561),('RFM input'!$I$261*(1+vanilla2)^0.5)-SUM($I561:J561),('RFM input'!$I$261*(1+vanilla2)^0.5)/A39stdlife))</f>
        <v>0</v>
      </c>
      <c r="L561" s="18">
        <f>IF(A39stdlife="n/a","n/a",IF(L$3&gt;(A39stdlife+$F561),('RFM input'!$I$261*(1+vanilla2)^0.5)-SUM($I561:K561),('RFM input'!$I$261*(1+vanilla2)^0.5)/A39stdlife))</f>
        <v>0</v>
      </c>
      <c r="M561" s="18">
        <f>IF(A39stdlife="n/a","n/a",IF(M$3&gt;(A39stdlife+$F561),('RFM input'!$I$261*(1+vanilla2)^0.5)-SUM($I561:L561),('RFM input'!$I$261*(1+vanilla2)^0.5)/A39stdlife))</f>
        <v>0</v>
      </c>
      <c r="N561" s="18">
        <f>IF(A39stdlife="n/a","n/a",IF(N$3&gt;(A39stdlife+$F561),('RFM input'!$I$261*(1+vanilla2)^0.5)-SUM($I561:M561),('RFM input'!$I$261*(1+vanilla2)^0.5)/A39stdlife))</f>
        <v>0</v>
      </c>
      <c r="O561" s="18">
        <f>IF(A39stdlife="n/a","n/a",IF(O$3&gt;(A39stdlife+$F561),('RFM input'!$I$261*(1+vanilla2)^0.5)-SUM($I561:N561),('RFM input'!$I$261*(1+vanilla2)^0.5)/A39stdlife))</f>
        <v>0</v>
      </c>
      <c r="P561" s="18">
        <f>IF(A39stdlife="n/a","n/a",IF(P$3&gt;(A39stdlife+$F561),('RFM input'!$I$261*(1+vanilla2)^0.5)-SUM($I561:O561),('RFM input'!$I$261*(1+vanilla2)^0.5)/A39stdlife))</f>
        <v>0</v>
      </c>
      <c r="Q561" s="18">
        <f>IF(A39stdlife="n/a","n/a",IF(Q$3&gt;(A39stdlife+$F561),('RFM input'!$I$261*(1+vanilla2)^0.5)-SUM($I561:P561),('RFM input'!$I$261*(1+vanilla2)^0.5)/A39stdlife))</f>
        <v>0</v>
      </c>
      <c r="R561" s="18"/>
      <c r="S561" s="74"/>
      <c r="T561" s="74"/>
      <c r="U561" s="74"/>
      <c r="V561" s="74"/>
      <c r="W561" s="74"/>
      <c r="X561" s="74"/>
      <c r="Y561" s="74"/>
      <c r="Z561" s="74"/>
    </row>
    <row r="562" spans="1:26" ht="12.75" hidden="1" customHeight="1" outlineLevel="2">
      <c r="A562" s="3"/>
      <c r="B562" s="3"/>
      <c r="C562" s="3"/>
      <c r="D562" s="16"/>
      <c r="E562" s="1594"/>
      <c r="F562" s="61">
        <v>3</v>
      </c>
      <c r="G562" s="1341"/>
      <c r="H562" s="114"/>
      <c r="I562" s="115"/>
      <c r="J562" s="116"/>
      <c r="K562" s="18">
        <f>IF(A39stdlife="n/a","n/a",IF(K$3&gt;(A39stdlife+$F562),('RFM input'!$J$261*(1+vanilla3)^0.5)-SUM($J562:J562),('RFM input'!$J$261*(1+vanilla3)^0.5)/A39stdlife))</f>
        <v>0</v>
      </c>
      <c r="L562" s="18">
        <f>IF(A39stdlife="n/a","n/a",IF(L$3&gt;(A39stdlife+$F562),('RFM input'!$J$261*(1+vanilla3)^0.5)-SUM($J562:K562),('RFM input'!$J$261*(1+vanilla3)^0.5)/A39stdlife))</f>
        <v>0</v>
      </c>
      <c r="M562" s="18">
        <f>IF(A39stdlife="n/a","n/a",IF(M$3&gt;(A39stdlife+$F562),('RFM input'!$J$261*(1+vanilla3)^0.5)-SUM($J562:L562),('RFM input'!$J$261*(1+vanilla3)^0.5)/A39stdlife))</f>
        <v>0</v>
      </c>
      <c r="N562" s="18">
        <f>IF(A39stdlife="n/a","n/a",IF(N$3&gt;(A39stdlife+$F562),('RFM input'!$J$261*(1+vanilla3)^0.5)-SUM($J562:M562),('RFM input'!$J$261*(1+vanilla3)^0.5)/A39stdlife))</f>
        <v>0</v>
      </c>
      <c r="O562" s="18">
        <f>IF(A39stdlife="n/a","n/a",IF(O$3&gt;(A39stdlife+$F562),('RFM input'!$J$261*(1+vanilla3)^0.5)-SUM($J562:N562),('RFM input'!$J$261*(1+vanilla3)^0.5)/A39stdlife))</f>
        <v>0</v>
      </c>
      <c r="P562" s="18">
        <f>IF(A39stdlife="n/a","n/a",IF(P$3&gt;(A39stdlife+$F562),('RFM input'!$J$261*(1+vanilla3)^0.5)-SUM($J562:O562),('RFM input'!$J$261*(1+vanilla3)^0.5)/A39stdlife))</f>
        <v>0</v>
      </c>
      <c r="Q562" s="18">
        <f>IF(A39stdlife="n/a","n/a",IF(Q$3&gt;(A39stdlife+$F562),('RFM input'!$J$261*(1+vanilla3)^0.5)-SUM($J562:P562),('RFM input'!$J$261*(1+vanilla3)^0.5)/A39stdlife))</f>
        <v>0</v>
      </c>
      <c r="R562" s="18"/>
      <c r="S562" s="74"/>
      <c r="T562" s="74"/>
      <c r="U562" s="74"/>
      <c r="V562" s="74"/>
      <c r="W562" s="74"/>
      <c r="X562" s="74"/>
      <c r="Y562" s="74"/>
      <c r="Z562" s="74"/>
    </row>
    <row r="563" spans="1:26" ht="12.75" hidden="1" customHeight="1" outlineLevel="2">
      <c r="A563" s="3"/>
      <c r="B563" s="3"/>
      <c r="C563" s="3"/>
      <c r="D563" s="16"/>
      <c r="E563" s="1594"/>
      <c r="F563" s="61">
        <v>4</v>
      </c>
      <c r="G563" s="1341"/>
      <c r="H563" s="114"/>
      <c r="I563" s="115"/>
      <c r="J563" s="115"/>
      <c r="K563" s="116"/>
      <c r="L563" s="18">
        <f>IF(A39stdlife="n/a","n/a",IF(L$3&gt;(A39stdlife+$F563),('RFM input'!$K$261*(1+vanilla4)^0.5)-SUM($K563:K563),('RFM input'!$K$261*(1+vanilla4)^0.5)/A39stdlife))</f>
        <v>0</v>
      </c>
      <c r="M563" s="18">
        <f>IF(A39stdlife="n/a","n/a",IF(M$3&gt;(A39stdlife+$F563),('RFM input'!$K$261*(1+vanilla4)^0.5)-SUM($K563:L563),('RFM input'!$K$261*(1+vanilla4)^0.5)/A39stdlife))</f>
        <v>0</v>
      </c>
      <c r="N563" s="18">
        <f>IF(A39stdlife="n/a","n/a",IF(N$3&gt;(A39stdlife+$F563),('RFM input'!$K$261*(1+vanilla4)^0.5)-SUM($K563:M563),('RFM input'!$K$261*(1+vanilla4)^0.5)/A39stdlife))</f>
        <v>0</v>
      </c>
      <c r="O563" s="18">
        <f>IF(A39stdlife="n/a","n/a",IF(O$3&gt;(A39stdlife+$F563),('RFM input'!$K$261*(1+vanilla4)^0.5)-SUM($K563:N563),('RFM input'!$K$261*(1+vanilla4)^0.5)/A39stdlife))</f>
        <v>0</v>
      </c>
      <c r="P563" s="18">
        <f>IF(A39stdlife="n/a","n/a",IF(P$3&gt;(A39stdlife+$F563),('RFM input'!$K$261*(1+vanilla4)^0.5)-SUM($K563:O563),('RFM input'!$K$261*(1+vanilla4)^0.5)/A39stdlife))</f>
        <v>0</v>
      </c>
      <c r="Q563" s="18">
        <f>IF(A39stdlife="n/a","n/a",IF(Q$3&gt;(A39stdlife+$F563),('RFM input'!$K$261*(1+vanilla4)^0.5)-SUM($K563:P563),('RFM input'!$K$261*(1+vanilla4)^0.5)/A39stdlife))</f>
        <v>0</v>
      </c>
      <c r="R563" s="18"/>
      <c r="S563" s="74"/>
      <c r="T563" s="74"/>
      <c r="U563" s="74"/>
      <c r="V563" s="74"/>
      <c r="W563" s="74"/>
      <c r="X563" s="74"/>
      <c r="Y563" s="74"/>
      <c r="Z563" s="74"/>
    </row>
    <row r="564" spans="1:26" ht="12.75" hidden="1" customHeight="1" outlineLevel="2">
      <c r="A564" s="3"/>
      <c r="B564" s="3"/>
      <c r="C564" s="3"/>
      <c r="D564" s="16"/>
      <c r="E564" s="1594"/>
      <c r="F564" s="61">
        <v>5</v>
      </c>
      <c r="G564" s="17"/>
      <c r="H564" s="114"/>
      <c r="I564" s="115"/>
      <c r="J564" s="115"/>
      <c r="K564" s="115"/>
      <c r="L564" s="116"/>
      <c r="M564" s="18">
        <f>IF(A39stdlife="n/a","n/a",IF(M$3&gt;(A39stdlife+$F564),('RFM input'!$L$261*(1+vanilla5)^0.5)-SUM($L564:L564),('RFM input'!$L$261*(1+vanilla5)^0.5)/A39stdlife))</f>
        <v>0</v>
      </c>
      <c r="N564" s="18">
        <f>IF(A39stdlife="n/a","n/a",IF(N$3&gt;(A39stdlife+$F564),('RFM input'!$L$261*(1+vanilla5)^0.5)-SUM($L564:M564),('RFM input'!$L$261*(1+vanilla5)^0.5)/A39stdlife))</f>
        <v>0</v>
      </c>
      <c r="O564" s="18">
        <f>IF(A39stdlife="n/a","n/a",IF(O$3&gt;(A39stdlife+$F564),('RFM input'!$L$261*(1+vanilla5)^0.5)-SUM($L564:N564),('RFM input'!$L$261*(1+vanilla5)^0.5)/A39stdlife))</f>
        <v>0</v>
      </c>
      <c r="P564" s="18">
        <f>IF(A39stdlife="n/a","n/a",IF(P$3&gt;(A39stdlife+$F564),('RFM input'!$L$261*(1+vanilla5)^0.5)-SUM($L564:O564),('RFM input'!$L$261*(1+vanilla5)^0.5)/A39stdlife))</f>
        <v>0</v>
      </c>
      <c r="Q564" s="18">
        <f>IF(A39stdlife="n/a","n/a",IF(Q$3&gt;(A39stdlife+$F564),('RFM input'!$L$261*(1+vanilla5)^0.5)-SUM($L564:P564),('RFM input'!$L$261*(1+vanilla5)^0.5)/A39stdlife))</f>
        <v>0</v>
      </c>
      <c r="R564" s="18"/>
      <c r="S564" s="74"/>
      <c r="T564" s="74"/>
      <c r="U564" s="74"/>
      <c r="V564" s="74"/>
      <c r="W564" s="74"/>
      <c r="X564" s="74"/>
      <c r="Y564" s="74"/>
      <c r="Z564" s="74"/>
    </row>
    <row r="565" spans="1:26" ht="12.75" hidden="1" customHeight="1" outlineLevel="2">
      <c r="A565" s="3"/>
      <c r="B565" s="3"/>
      <c r="C565" s="3"/>
      <c r="D565" s="16"/>
      <c r="E565" s="1594"/>
      <c r="F565" s="61">
        <v>6</v>
      </c>
      <c r="G565" s="17"/>
      <c r="H565" s="114"/>
      <c r="I565" s="115"/>
      <c r="J565" s="115"/>
      <c r="K565" s="115"/>
      <c r="L565" s="115"/>
      <c r="M565" s="116"/>
      <c r="N565" s="18">
        <f>IF(A39stdlife="n/a","n/a",IF(N$3&gt;(A39stdlife+$F565),('RFM input'!$M$261*(1+vanilla6)^0.5)-SUM($M565:M565),('RFM input'!$M$261*(1+vanilla6)^0.5)/A39stdlife))</f>
        <v>0</v>
      </c>
      <c r="O565" s="18">
        <f>IF(A39stdlife="n/a","n/a",IF(O$3&gt;(A39stdlife+$F565),('RFM input'!$M$261*(1+vanilla6)^0.5)-SUM($M565:N565),('RFM input'!$M$261*(1+vanilla6)^0.5)/A39stdlife))</f>
        <v>0</v>
      </c>
      <c r="P565" s="18">
        <f>IF(A39stdlife="n/a","n/a",IF(P$3&gt;(A39stdlife+$F565),('RFM input'!$M$261*(1+vanilla6)^0.5)-SUM($M565:O565),('RFM input'!$M$261*(1+vanilla6)^0.5)/A39stdlife))</f>
        <v>0</v>
      </c>
      <c r="Q565" s="18">
        <f>IF(A39stdlife="n/a","n/a",IF(Q$3&gt;(A39stdlife+$F565),('RFM input'!$M$261*(1+vanilla6)^0.5)-SUM($M565:P565),('RFM input'!$M$261*(1+vanilla6)^0.5)/A39stdlife))</f>
        <v>0</v>
      </c>
      <c r="R565" s="18"/>
      <c r="S565" s="74"/>
      <c r="T565" s="74"/>
      <c r="U565" s="74"/>
      <c r="V565" s="74"/>
      <c r="W565" s="74"/>
      <c r="X565" s="74"/>
      <c r="Y565" s="74"/>
      <c r="Z565" s="74"/>
    </row>
    <row r="566" spans="1:26" ht="12.75" hidden="1" customHeight="1" outlineLevel="2">
      <c r="A566" s="3"/>
      <c r="B566" s="3"/>
      <c r="C566" s="3"/>
      <c r="D566" s="16"/>
      <c r="E566" s="1594"/>
      <c r="F566" s="61">
        <v>7</v>
      </c>
      <c r="G566" s="17"/>
      <c r="H566" s="114"/>
      <c r="I566" s="115"/>
      <c r="J566" s="115"/>
      <c r="K566" s="115"/>
      <c r="L566" s="115"/>
      <c r="M566" s="115"/>
      <c r="N566" s="116"/>
      <c r="O566" s="18">
        <f>IF(A39stdlife="n/a","n/a",IF(O$3&gt;(A39stdlife+$F566),('RFM input'!M$261*(1+vanilla7)^0.5)-SUM($N566:N566),('RFM input'!$N$261*(1+vanilla7)^0.5)/A39stdlife))</f>
        <v>0</v>
      </c>
      <c r="P566" s="18">
        <f>IF(A39stdlife="n/a","n/a",IF(P$3&gt;(A39stdlife+$F566),('RFM input'!N$261*(1+vanilla7)^0.5)-SUM($N566:O566),('RFM input'!$N$261*(1+vanilla7)^0.5)/A39stdlife))</f>
        <v>0</v>
      </c>
      <c r="Q566" s="18">
        <f>IF(A39stdlife="n/a","n/a",IF(Q$3&gt;(A39stdlife+$F566),('RFM input'!O$261*(1+vanilla7)^0.5)-SUM($N566:P566),('RFM input'!$N$261*(1+vanilla7)^0.5)/A39stdlife))</f>
        <v>0</v>
      </c>
      <c r="R566" s="18"/>
      <c r="S566" s="74"/>
      <c r="T566" s="74"/>
      <c r="U566" s="74"/>
      <c r="V566" s="74"/>
      <c r="W566" s="74"/>
      <c r="X566" s="74"/>
      <c r="Y566" s="74"/>
      <c r="Z566" s="74"/>
    </row>
    <row r="567" spans="1:26" ht="12.75" hidden="1" customHeight="1" outlineLevel="2">
      <c r="A567" s="3"/>
      <c r="B567" s="3"/>
      <c r="C567" s="3"/>
      <c r="D567" s="16"/>
      <c r="E567" s="1594"/>
      <c r="F567" s="61">
        <v>8</v>
      </c>
      <c r="G567" s="17"/>
      <c r="H567" s="114"/>
      <c r="I567" s="115"/>
      <c r="J567" s="115"/>
      <c r="K567" s="115"/>
      <c r="L567" s="115"/>
      <c r="M567" s="115"/>
      <c r="N567" s="115"/>
      <c r="O567" s="116"/>
      <c r="P567" s="18">
        <f>IF(A39stdlife="n/a","n/a",IF(P$3&gt;(A39stdlife+$F567),('RFM input'!$O$261*(1+vanilla8)^0.5)-SUM($O567:O567),('RFM input'!$O$261*(1+vanilla8)^0.5)/A39stdlife))</f>
        <v>0</v>
      </c>
      <c r="Q567" s="18">
        <f>IF(A39stdlife="n/a","n/a",IF(Q$3&gt;(A39stdlife+$F567),('RFM input'!$O$261*(1+vanilla8)^0.5)-SUM($O567:P567),('RFM input'!$O$261*(1+vanilla8)^0.5)/A39stdlife))</f>
        <v>0</v>
      </c>
      <c r="R567" s="18"/>
      <c r="S567" s="74"/>
      <c r="T567" s="74"/>
      <c r="U567" s="74"/>
      <c r="V567" s="74"/>
      <c r="W567" s="74"/>
      <c r="X567" s="74"/>
      <c r="Y567" s="74"/>
      <c r="Z567" s="74"/>
    </row>
    <row r="568" spans="1:26" ht="12.75" hidden="1" customHeight="1" outlineLevel="2">
      <c r="A568" s="3"/>
      <c r="B568" s="3"/>
      <c r="C568" s="3"/>
      <c r="D568" s="16"/>
      <c r="E568" s="1594"/>
      <c r="F568" s="61">
        <v>9</v>
      </c>
      <c r="G568" s="17"/>
      <c r="H568" s="114"/>
      <c r="I568" s="115"/>
      <c r="J568" s="115"/>
      <c r="K568" s="115"/>
      <c r="L568" s="115"/>
      <c r="M568" s="115"/>
      <c r="N568" s="115"/>
      <c r="O568" s="115"/>
      <c r="P568" s="116"/>
      <c r="Q568" s="18">
        <f>IF(A39stdlife="n/a","n/a",IF(Q$3&gt;(A39stdlife+$F568),('RFM input'!$P$261*(1+vanilla9)^0.5)-SUM($P568:P568),('RFM input'!$P$261*(1+vanilla9)^0.5)/A39stdlife))</f>
        <v>0</v>
      </c>
      <c r="R568" s="18"/>
      <c r="S568" s="74"/>
      <c r="T568" s="74"/>
      <c r="U568" s="74"/>
      <c r="V568" s="74"/>
      <c r="W568" s="74"/>
      <c r="X568" s="74"/>
      <c r="Y568" s="74"/>
      <c r="Z568" s="74"/>
    </row>
    <row r="569" spans="1:26" ht="12.75" hidden="1" customHeight="1" outlineLevel="2">
      <c r="A569" s="3"/>
      <c r="B569" s="3"/>
      <c r="C569" s="3"/>
      <c r="D569" s="16"/>
      <c r="E569" s="1594"/>
      <c r="F569" s="62">
        <v>10</v>
      </c>
      <c r="G569" s="17"/>
      <c r="H569" s="114"/>
      <c r="I569" s="115"/>
      <c r="J569" s="115"/>
      <c r="K569" s="115"/>
      <c r="L569" s="115"/>
      <c r="M569" s="115"/>
      <c r="N569" s="115"/>
      <c r="O569" s="115"/>
      <c r="P569" s="115"/>
      <c r="Q569" s="116"/>
      <c r="R569" s="18"/>
      <c r="S569" s="74"/>
      <c r="T569" s="74"/>
      <c r="U569" s="74"/>
      <c r="V569" s="74"/>
      <c r="W569" s="74"/>
      <c r="X569" s="74"/>
      <c r="Y569" s="74"/>
      <c r="Z569" s="74"/>
    </row>
    <row r="570" spans="1:26" ht="13.35" hidden="1" customHeight="1" outlineLevel="1">
      <c r="A570" s="3"/>
      <c r="B570" s="3"/>
      <c r="C570" s="3"/>
      <c r="D570" s="134">
        <f>Asset39</f>
        <v>0</v>
      </c>
      <c r="E570" s="3"/>
      <c r="F570" s="3"/>
      <c r="G570" s="1341"/>
      <c r="H570" s="1458">
        <f>IF(OR('RFM input'!$E$293='RFM input'!$G$292,'RFM input'!$E$293='RFM input'!$G$293),-INDEX('RFM input'!H$299:H$348,MATCH($D570,'RFM input'!$E$299:$E$348,0),1),-SUM(H558:H569))</f>
        <v>0</v>
      </c>
      <c r="I570" s="1458">
        <f>IF(OR('RFM input'!$E$293='RFM input'!$G$292,'RFM input'!$E$293='RFM input'!$G$293),-INDEX('RFM input'!I$299:I$348,MATCH($D570,'RFM input'!$E$299:$E$348,0),1),-SUM(I558:I569))</f>
        <v>0</v>
      </c>
      <c r="J570" s="1386">
        <f>IF(COUNT($H570:I570)&gt;='RFM input'!$V$7,
   0,
   IF(OR('RFM input'!$E$293='RFM input'!$G$292,'RFM input'!$E$293='RFM input'!$G$293),
      -INDEX('RFM input'!J$299:J$348,MATCH($D570,'RFM input'!$E$299:$E$348,0),1),
      -SUM(J558:J569)))</f>
        <v>0</v>
      </c>
      <c r="K570" s="1386">
        <f>IF(COUNT($H570:J570)&gt;='RFM input'!$V$7,
   0,
   IF(OR('RFM input'!$E$293='RFM input'!$G$292,'RFM input'!$E$293='RFM input'!$G$293),
      -INDEX('RFM input'!K$299:K$348,MATCH($D570,'RFM input'!$E$299:$E$348,0),1),
      -SUM(K558:K569)))</f>
        <v>0</v>
      </c>
      <c r="L570" s="1386">
        <f>IF(COUNT($H570:K570)&gt;='RFM input'!$V$7,
   0,
   IF(OR('RFM input'!$E$293='RFM input'!$G$292,'RFM input'!$E$293='RFM input'!$G$293),
      -INDEX('RFM input'!L$299:L$348,MATCH($D570,'RFM input'!$E$299:$E$348,0),1),
      -SUM(L558:L569)))</f>
        <v>0</v>
      </c>
      <c r="M570" s="1386">
        <f>IF(COUNT($H570:L570)&gt;='RFM input'!$V$7,
   0,
   IF(OR('RFM input'!$E$293='RFM input'!$G$292,'RFM input'!$E$293='RFM input'!$G$293),
      -INDEX('RFM input'!M$299:M$348,MATCH($D570,'RFM input'!$E$299:$E$348,0),1),
      -SUM(M558:M569)))</f>
        <v>0</v>
      </c>
      <c r="N570" s="1386">
        <f>IF(COUNT($H570:M570)&gt;='RFM input'!$V$7,
   0,
   IF(OR('RFM input'!$E$293='RFM input'!$G$292,'RFM input'!$E$293='RFM input'!$G$293),
      -INDEX('RFM input'!N$299:N$348,MATCH($D570,'RFM input'!$E$299:$E$348,0),1),
      -SUM(N558:N569)))</f>
        <v>0</v>
      </c>
      <c r="O570" s="1386">
        <f>IF(COUNT($H570:N570)&gt;='RFM input'!$V$7,
   0,
   IF(OR('RFM input'!$E$293='RFM input'!$G$292,'RFM input'!$E$293='RFM input'!$G$293),
      -INDEX('RFM input'!O$299:O$348,MATCH($D570,'RFM input'!$E$299:$E$348,0),1),
      -SUM(O558:O569)))</f>
        <v>0</v>
      </c>
      <c r="P570" s="1386">
        <f>IF(COUNT($H570:O570)&gt;='RFM input'!$V$7,
   0,
   IF(OR('RFM input'!$E$293='RFM input'!$G$292,'RFM input'!$E$293='RFM input'!$G$293),
      -INDEX('RFM input'!P$299:P$348,MATCH($D570,'RFM input'!$E$299:$E$348,0),1),
      -SUM(P558:P569)))</f>
        <v>0</v>
      </c>
      <c r="Q570" s="1386">
        <f>IF(COUNT($H570:P570)&gt;='RFM input'!$V$7,
   0,
   IF(OR('RFM input'!$E$293='RFM input'!$G$292,'RFM input'!$E$293='RFM input'!$G$293),
      -INDEX('RFM input'!Q$299:Q$348,MATCH($D570,'RFM input'!$E$299:$E$348,0),1),
      -SUM(Q558:Q569)))</f>
        <v>0</v>
      </c>
      <c r="R570" s="1382"/>
      <c r="S570" s="76"/>
      <c r="T570" s="76"/>
      <c r="U570" s="76"/>
      <c r="V570" s="76"/>
      <c r="W570" s="76"/>
      <c r="X570" s="76"/>
      <c r="Y570" s="76"/>
      <c r="Z570" s="76"/>
    </row>
    <row r="571" spans="1:26" ht="12.75" hidden="1" customHeight="1" outlineLevel="2">
      <c r="A571" s="3"/>
      <c r="B571" s="3"/>
      <c r="C571" s="135">
        <f>Asset40</f>
        <v>0</v>
      </c>
      <c r="D571" s="100"/>
      <c r="E571" s="20" t="s">
        <v>23</v>
      </c>
      <c r="F571" s="19"/>
      <c r="G571" s="1383"/>
      <c r="H571" s="1380">
        <f>IF(H$3&gt;A40remlife,A40value-SUM($G571:G571),IF(A40remlife="N/A","n/a",A40value/A40remlife))</f>
        <v>0</v>
      </c>
      <c r="I571" s="1380">
        <f>IF(I$3&gt;A40remlife,A40value-SUM($G571:H571),IF(A40remlife="N/A","n/a",A40value/A40remlife))</f>
        <v>0</v>
      </c>
      <c r="J571" s="1380">
        <f>IF(J$3&gt;A40remlife,A40value-SUM($G571:I571),IF(A40remlife="N/A","n/a",A40value/A40remlife))</f>
        <v>0</v>
      </c>
      <c r="K571" s="1380">
        <f>IF(K$3&gt;A40remlife,A40value-SUM($G571:J571),IF(A40remlife="N/A","n/a",A40value/A40remlife))</f>
        <v>0</v>
      </c>
      <c r="L571" s="1380">
        <f>IF(L$3&gt;A40remlife,A40value-SUM($G571:K571),IF(A40remlife="N/A","n/a",A40value/A40remlife))</f>
        <v>0</v>
      </c>
      <c r="M571" s="1380">
        <f>IF(M$3&gt;A40remlife,A40value-SUM($G571:L571),IF(A40remlife="N/A","n/a",A40value/A40remlife))</f>
        <v>0</v>
      </c>
      <c r="N571" s="1380">
        <f>IF(N$3&gt;A40remlife,A40value-SUM($G571:M571),IF(A40remlife="N/A","n/a",A40value/A40remlife))</f>
        <v>0</v>
      </c>
      <c r="O571" s="1380">
        <f>IF(O$3&gt;A40remlife,A40value-SUM($G571:N571),IF(A40remlife="N/A","n/a",A40value/A40remlife))</f>
        <v>0</v>
      </c>
      <c r="P571" s="1380">
        <f>IF(P$3&gt;A40remlife,A40value-SUM($G571:O571),IF(A40remlife="N/A","n/a",A40value/A40remlife))</f>
        <v>0</v>
      </c>
      <c r="Q571" s="1380">
        <f>IF(Q$3&gt;A40remlife,A40value-SUM($G571:P571),IF(A40remlife="N/A","n/a",A40value/A40remlife))</f>
        <v>0</v>
      </c>
      <c r="R571" s="21"/>
      <c r="S571" s="74"/>
      <c r="T571" s="74"/>
      <c r="U571" s="74"/>
      <c r="V571" s="74"/>
      <c r="W571" s="74"/>
      <c r="X571" s="74"/>
      <c r="Y571" s="74"/>
      <c r="Z571" s="74"/>
    </row>
    <row r="572" spans="1:26" ht="12.75" hidden="1" customHeight="1" outlineLevel="2">
      <c r="A572" s="3"/>
      <c r="B572" s="3"/>
      <c r="C572" s="3"/>
      <c r="D572" s="16"/>
      <c r="E572" s="1593" t="s">
        <v>43</v>
      </c>
      <c r="F572" s="61"/>
      <c r="G572" s="1341"/>
      <c r="H572" s="18"/>
      <c r="I572" s="18"/>
      <c r="J572" s="18"/>
      <c r="K572" s="18"/>
      <c r="L572" s="18"/>
      <c r="M572" s="1384"/>
      <c r="N572" s="1385"/>
      <c r="O572" s="18"/>
      <c r="P572" s="18"/>
      <c r="Q572" s="18"/>
      <c r="R572" s="18"/>
      <c r="S572" s="74"/>
      <c r="T572" s="74"/>
      <c r="U572" s="74"/>
      <c r="V572" s="74"/>
      <c r="W572" s="74"/>
      <c r="X572" s="74"/>
      <c r="Y572" s="74"/>
      <c r="Z572" s="74"/>
    </row>
    <row r="573" spans="1:26" ht="12.75" hidden="1" customHeight="1" outlineLevel="2">
      <c r="A573" s="3"/>
      <c r="B573" s="3"/>
      <c r="C573" s="3"/>
      <c r="D573" s="16"/>
      <c r="E573" s="1594"/>
      <c r="F573" s="61">
        <v>1</v>
      </c>
      <c r="G573" s="1341"/>
      <c r="H573" s="1381"/>
      <c r="I573" s="18">
        <f>IF(A40stdlife="n/a","n/a",IF(I$3&gt;(A40stdlife+$F573),('RFM input'!$H$262*(1+vanilla1)^0.5)-SUM($H573:H573),('RFM input'!$H$262*(1+vanilla1)^0.5)/A40stdlife))</f>
        <v>0</v>
      </c>
      <c r="J573" s="18">
        <f>IF(A40stdlife="n/a","n/a",IF(J$3&gt;(A40stdlife+$F573),('RFM input'!$H$262*(1+vanilla1)^0.5)-SUM($H573:I573),('RFM input'!$H$262*(1+vanilla1)^0.5)/A40stdlife))</f>
        <v>0</v>
      </c>
      <c r="K573" s="18">
        <f>IF(A40stdlife="n/a","n/a",IF(K$3&gt;(A40stdlife+$F573),('RFM input'!$H$262*(1+vanilla1)^0.5)-SUM($H573:J573),('RFM input'!$H$262*(1+vanilla1)^0.5)/A40stdlife))</f>
        <v>0</v>
      </c>
      <c r="L573" s="18">
        <f>IF(A40stdlife="n/a","n/a",IF(L$3&gt;(A40stdlife+$F573),('RFM input'!$H$262*(1+vanilla1)^0.5)-SUM($H573:K573),('RFM input'!$H$262*(1+vanilla1)^0.5)/A40stdlife))</f>
        <v>0</v>
      </c>
      <c r="M573" s="18">
        <f>IF(A40stdlife="n/a","n/a",IF(M$3&gt;(A40stdlife+$F573),('RFM input'!$H$262*(1+vanilla1)^0.5)-SUM($H573:L573),('RFM input'!$H$262*(1+vanilla1)^0.5)/A40stdlife))</f>
        <v>0</v>
      </c>
      <c r="N573" s="18">
        <f>IF(A40stdlife="n/a","n/a",IF(N$3&gt;(A40stdlife+$F573),('RFM input'!$H$262*(1+vanilla1)^0.5)-SUM($H573:M573),('RFM input'!$H$262*(1+vanilla1)^0.5)/A40stdlife))</f>
        <v>0</v>
      </c>
      <c r="O573" s="18">
        <f>IF(A40stdlife="n/a","n/a",IF(O$3&gt;(A40stdlife+$F573),('RFM input'!$H$262*(1+vanilla1)^0.5)-SUM($H573:N573),('RFM input'!$H$262*(1+vanilla1)^0.5)/A40stdlife))</f>
        <v>0</v>
      </c>
      <c r="P573" s="18">
        <f>IF(A40stdlife="n/a","n/a",IF(P$3&gt;(A40stdlife+$F573),('RFM input'!$H$262*(1+vanilla1)^0.5)-SUM($H573:O573),('RFM input'!$H$262*(1+vanilla1)^0.5)/A40stdlife))</f>
        <v>0</v>
      </c>
      <c r="Q573" s="18">
        <f>IF(A40stdlife="n/a","n/a",IF(Q$3&gt;(A40stdlife+$F573),('RFM input'!$H$262*(1+vanilla1)^0.5)-SUM($H573:P573),('RFM input'!$H$262*(1+vanilla1)^0.5)/A40stdlife))</f>
        <v>0</v>
      </c>
      <c r="R573" s="18"/>
      <c r="S573" s="74"/>
      <c r="T573" s="74"/>
      <c r="U573" s="74"/>
      <c r="V573" s="74"/>
      <c r="W573" s="74"/>
      <c r="X573" s="74"/>
      <c r="Y573" s="74"/>
      <c r="Z573" s="74"/>
    </row>
    <row r="574" spans="1:26" ht="12.75" hidden="1" customHeight="1" outlineLevel="2">
      <c r="A574" s="3"/>
      <c r="B574" s="3"/>
      <c r="C574" s="3"/>
      <c r="D574" s="16"/>
      <c r="E574" s="1594"/>
      <c r="F574" s="61">
        <v>2</v>
      </c>
      <c r="G574" s="1341"/>
      <c r="H574" s="114"/>
      <c r="I574" s="116"/>
      <c r="J574" s="18">
        <f>IF(A40stdlife="n/a","n/a",IF(J$3&gt;(A40stdlife+$F574),('RFM input'!$I$262*(1+vanilla2)^0.5)-SUM($I574:I574),('RFM input'!$I$262*(1+vanilla2)^0.5)/A40stdlife))</f>
        <v>0</v>
      </c>
      <c r="K574" s="18">
        <f>IF(A40stdlife="n/a","n/a",IF(K$3&gt;(A40stdlife+$F574),('RFM input'!$I$262*(1+vanilla2)^0.5)-SUM($I574:J574),('RFM input'!$I$262*(1+vanilla2)^0.5)/A40stdlife))</f>
        <v>0</v>
      </c>
      <c r="L574" s="18">
        <f>IF(A40stdlife="n/a","n/a",IF(L$3&gt;(A40stdlife+$F574),('RFM input'!$I$262*(1+vanilla2)^0.5)-SUM($I574:K574),('RFM input'!$I$262*(1+vanilla2)^0.5)/A40stdlife))</f>
        <v>0</v>
      </c>
      <c r="M574" s="18">
        <f>IF(A40stdlife="n/a","n/a",IF(M$3&gt;(A40stdlife+$F574),('RFM input'!$I$262*(1+vanilla2)^0.5)-SUM($I574:L574),('RFM input'!$I$262*(1+vanilla2)^0.5)/A40stdlife))</f>
        <v>0</v>
      </c>
      <c r="N574" s="18">
        <f>IF(A40stdlife="n/a","n/a",IF(N$3&gt;(A40stdlife+$F574),('RFM input'!$I$262*(1+vanilla2)^0.5)-SUM($I574:M574),('RFM input'!$I$262*(1+vanilla2)^0.5)/A40stdlife))</f>
        <v>0</v>
      </c>
      <c r="O574" s="18">
        <f>IF(A40stdlife="n/a","n/a",IF(O$3&gt;(A40stdlife+$F574),('RFM input'!$I$262*(1+vanilla2)^0.5)-SUM($I574:N574),('RFM input'!$I$262*(1+vanilla2)^0.5)/A40stdlife))</f>
        <v>0</v>
      </c>
      <c r="P574" s="18">
        <f>IF(A40stdlife="n/a","n/a",IF(P$3&gt;(A40stdlife+$F574),('RFM input'!$I$262*(1+vanilla2)^0.5)-SUM($I574:O574),('RFM input'!$I$262*(1+vanilla2)^0.5)/A40stdlife))</f>
        <v>0</v>
      </c>
      <c r="Q574" s="18">
        <f>IF(A40stdlife="n/a","n/a",IF(Q$3&gt;(A40stdlife+$F574),('RFM input'!$I$262*(1+vanilla2)^0.5)-SUM($I574:P574),('RFM input'!$I$262*(1+vanilla2)^0.5)/A40stdlife))</f>
        <v>0</v>
      </c>
      <c r="R574" s="18"/>
      <c r="S574" s="74"/>
      <c r="T574" s="74"/>
      <c r="U574" s="74"/>
      <c r="V574" s="74"/>
      <c r="W574" s="74"/>
      <c r="X574" s="74"/>
      <c r="Y574" s="74"/>
      <c r="Z574" s="74"/>
    </row>
    <row r="575" spans="1:26" ht="12.75" hidden="1" customHeight="1" outlineLevel="2">
      <c r="A575" s="3"/>
      <c r="B575" s="3"/>
      <c r="C575" s="3"/>
      <c r="D575" s="16"/>
      <c r="E575" s="1594"/>
      <c r="F575" s="61">
        <v>3</v>
      </c>
      <c r="G575" s="1341"/>
      <c r="H575" s="114"/>
      <c r="I575" s="115"/>
      <c r="J575" s="116"/>
      <c r="K575" s="18">
        <f>IF(A40stdlife="n/a","n/a",IF(K$3&gt;(A40stdlife+$F575),('RFM input'!$J$262*(1+vanilla3)^0.5)-SUM($J575:J575),('RFM input'!$J$262*(1+vanilla3)^0.5)/A40stdlife))</f>
        <v>0</v>
      </c>
      <c r="L575" s="18">
        <f>IF(A40stdlife="n/a","n/a",IF(L$3&gt;(A40stdlife+$F575),('RFM input'!$J$262*(1+vanilla3)^0.5)-SUM($J575:K575),('RFM input'!$J$262*(1+vanilla3)^0.5)/A40stdlife))</f>
        <v>0</v>
      </c>
      <c r="M575" s="18">
        <f>IF(A40stdlife="n/a","n/a",IF(M$3&gt;(A40stdlife+$F575),('RFM input'!$J$262*(1+vanilla3)^0.5)-SUM($J575:L575),('RFM input'!$J$262*(1+vanilla3)^0.5)/A40stdlife))</f>
        <v>0</v>
      </c>
      <c r="N575" s="18">
        <f>IF(A40stdlife="n/a","n/a",IF(N$3&gt;(A40stdlife+$F575),('RFM input'!$J$262*(1+vanilla3)^0.5)-SUM($J575:M575),('RFM input'!$J$262*(1+vanilla3)^0.5)/A40stdlife))</f>
        <v>0</v>
      </c>
      <c r="O575" s="18">
        <f>IF(A40stdlife="n/a","n/a",IF(O$3&gt;(A40stdlife+$F575),('RFM input'!$J$262*(1+vanilla3)^0.5)-SUM($J575:N575),('RFM input'!$J$262*(1+vanilla3)^0.5)/A40stdlife))</f>
        <v>0</v>
      </c>
      <c r="P575" s="18">
        <f>IF(A40stdlife="n/a","n/a",IF(P$3&gt;(A40stdlife+$F575),('RFM input'!$J$262*(1+vanilla3)^0.5)-SUM($J575:O575),('RFM input'!$J$262*(1+vanilla3)^0.5)/A40stdlife))</f>
        <v>0</v>
      </c>
      <c r="Q575" s="18">
        <f>IF(A40stdlife="n/a","n/a",IF(Q$3&gt;(A40stdlife+$F575),('RFM input'!$J$262*(1+vanilla3)^0.5)-SUM($J575:P575),('RFM input'!$J$262*(1+vanilla3)^0.5)/A40stdlife))</f>
        <v>0</v>
      </c>
      <c r="R575" s="18"/>
      <c r="S575" s="74"/>
      <c r="T575" s="74"/>
      <c r="U575" s="74"/>
      <c r="V575" s="74"/>
      <c r="W575" s="74"/>
      <c r="X575" s="74"/>
      <c r="Y575" s="74"/>
      <c r="Z575" s="74"/>
    </row>
    <row r="576" spans="1:26" ht="12.75" hidden="1" customHeight="1" outlineLevel="2">
      <c r="A576" s="3"/>
      <c r="B576" s="3"/>
      <c r="C576" s="3"/>
      <c r="D576" s="16"/>
      <c r="E576" s="1594"/>
      <c r="F576" s="61">
        <v>4</v>
      </c>
      <c r="G576" s="1341"/>
      <c r="H576" s="114"/>
      <c r="I576" s="115"/>
      <c r="J576" s="115"/>
      <c r="K576" s="116"/>
      <c r="L576" s="18">
        <f>IF(A40stdlife="n/a","n/a",IF(L$3&gt;(A40stdlife+$F576),('RFM input'!$K$262*(1+vanilla4)^0.5)-SUM($K576:K576),('RFM input'!$K$262*(1+vanilla4)^0.5)/A40stdlife))</f>
        <v>0</v>
      </c>
      <c r="M576" s="18">
        <f>IF(A40stdlife="n/a","n/a",IF(M$3&gt;(A40stdlife+$F576),('RFM input'!$K$262*(1+vanilla4)^0.5)-SUM($K576:L576),('RFM input'!$K$262*(1+vanilla4)^0.5)/A40stdlife))</f>
        <v>0</v>
      </c>
      <c r="N576" s="18">
        <f>IF(A40stdlife="n/a","n/a",IF(N$3&gt;(A40stdlife+$F576),('RFM input'!$K$262*(1+vanilla4)^0.5)-SUM($K576:M576),('RFM input'!$K$262*(1+vanilla4)^0.5)/A40stdlife))</f>
        <v>0</v>
      </c>
      <c r="O576" s="18">
        <f>IF(A40stdlife="n/a","n/a",IF(O$3&gt;(A40stdlife+$F576),('RFM input'!$K$262*(1+vanilla4)^0.5)-SUM($K576:N576),('RFM input'!$K$262*(1+vanilla4)^0.5)/A40stdlife))</f>
        <v>0</v>
      </c>
      <c r="P576" s="18">
        <f>IF(A40stdlife="n/a","n/a",IF(P$3&gt;(A40stdlife+$F576),('RFM input'!$K$262*(1+vanilla4)^0.5)-SUM($K576:O576),('RFM input'!$K$262*(1+vanilla4)^0.5)/A40stdlife))</f>
        <v>0</v>
      </c>
      <c r="Q576" s="18">
        <f>IF(A40stdlife="n/a","n/a",IF(Q$3&gt;(A40stdlife+$F576),('RFM input'!$K$262*(1+vanilla4)^0.5)-SUM($K576:P576),('RFM input'!$K$262*(1+vanilla4)^0.5)/A40stdlife))</f>
        <v>0</v>
      </c>
      <c r="R576" s="18"/>
      <c r="S576" s="74"/>
      <c r="T576" s="74"/>
      <c r="U576" s="74"/>
      <c r="V576" s="74"/>
      <c r="W576" s="74"/>
      <c r="X576" s="74"/>
      <c r="Y576" s="74"/>
      <c r="Z576" s="74"/>
    </row>
    <row r="577" spans="1:26" ht="12.75" hidden="1" customHeight="1" outlineLevel="2">
      <c r="A577" s="3"/>
      <c r="B577" s="3"/>
      <c r="C577" s="3"/>
      <c r="D577" s="16"/>
      <c r="E577" s="1594"/>
      <c r="F577" s="61">
        <v>5</v>
      </c>
      <c r="G577" s="17"/>
      <c r="H577" s="114"/>
      <c r="I577" s="115"/>
      <c r="J577" s="115"/>
      <c r="K577" s="115"/>
      <c r="L577" s="116"/>
      <c r="M577" s="18">
        <f>IF(A40stdlife="n/a","n/a",IF(M$3&gt;(A40stdlife+$F577),('RFM input'!$L$262*(1+vanilla5)^0.5)-SUM($L577:L577),('RFM input'!$L$262*(1+vanilla5)^0.5)/A40stdlife))</f>
        <v>0</v>
      </c>
      <c r="N577" s="18">
        <f>IF(A40stdlife="n/a","n/a",IF(N$3&gt;(A40stdlife+$F577),('RFM input'!$L$262*(1+vanilla5)^0.5)-SUM($L577:M577),('RFM input'!$L$262*(1+vanilla5)^0.5)/A40stdlife))</f>
        <v>0</v>
      </c>
      <c r="O577" s="18">
        <f>IF(A40stdlife="n/a","n/a",IF(O$3&gt;(A40stdlife+$F577),('RFM input'!$L$262*(1+vanilla5)^0.5)-SUM($L577:N577),('RFM input'!$L$262*(1+vanilla5)^0.5)/A40stdlife))</f>
        <v>0</v>
      </c>
      <c r="P577" s="18">
        <f>IF(A40stdlife="n/a","n/a",IF(P$3&gt;(A40stdlife+$F577),('RFM input'!$L$262*(1+vanilla5)^0.5)-SUM($L577:O577),('RFM input'!$L$262*(1+vanilla5)^0.5)/A40stdlife))</f>
        <v>0</v>
      </c>
      <c r="Q577" s="18">
        <f>IF(A40stdlife="n/a","n/a",IF(Q$3&gt;(A40stdlife+$F577),('RFM input'!$L$262*(1+vanilla5)^0.5)-SUM($L577:P577),('RFM input'!$L$262*(1+vanilla5)^0.5)/A40stdlife))</f>
        <v>0</v>
      </c>
      <c r="R577" s="18"/>
      <c r="S577" s="74"/>
      <c r="T577" s="74"/>
      <c r="U577" s="74"/>
      <c r="V577" s="74"/>
      <c r="W577" s="74"/>
      <c r="X577" s="74"/>
      <c r="Y577" s="74"/>
      <c r="Z577" s="74"/>
    </row>
    <row r="578" spans="1:26" ht="12.75" hidden="1" customHeight="1" outlineLevel="2">
      <c r="A578" s="3"/>
      <c r="B578" s="3"/>
      <c r="C578" s="3"/>
      <c r="D578" s="16"/>
      <c r="E578" s="1594"/>
      <c r="F578" s="61">
        <v>6</v>
      </c>
      <c r="G578" s="17"/>
      <c r="H578" s="114"/>
      <c r="I578" s="115"/>
      <c r="J578" s="115"/>
      <c r="K578" s="115"/>
      <c r="L578" s="115"/>
      <c r="M578" s="116"/>
      <c r="N578" s="18">
        <f>IF(A40stdlife="n/a","n/a",IF(N$3&gt;(A40stdlife+$F578),('RFM input'!$M$262*(1+vanilla6)^0.5)-SUM($M578:M578),('RFM input'!$M$262*(1+vanilla6)^0.5)/A40stdlife))</f>
        <v>0</v>
      </c>
      <c r="O578" s="18">
        <f>IF(A40stdlife="n/a","n/a",IF(O$3&gt;(A40stdlife+$F578),('RFM input'!$M$262*(1+vanilla6)^0.5)-SUM($M578:N578),('RFM input'!$M$262*(1+vanilla6)^0.5)/A40stdlife))</f>
        <v>0</v>
      </c>
      <c r="P578" s="18">
        <f>IF(A40stdlife="n/a","n/a",IF(P$3&gt;(A40stdlife+$F578),('RFM input'!$M$262*(1+vanilla6)^0.5)-SUM($M578:O578),('RFM input'!$M$262*(1+vanilla6)^0.5)/A40stdlife))</f>
        <v>0</v>
      </c>
      <c r="Q578" s="18">
        <f>IF(A40stdlife="n/a","n/a",IF(Q$3&gt;(A40stdlife+$F578),('RFM input'!$M$262*(1+vanilla6)^0.5)-SUM($M578:P578),('RFM input'!$M$262*(1+vanilla6)^0.5)/A40stdlife))</f>
        <v>0</v>
      </c>
      <c r="R578" s="18"/>
      <c r="S578" s="74"/>
      <c r="T578" s="74"/>
      <c r="U578" s="74"/>
      <c r="V578" s="74"/>
      <c r="W578" s="74"/>
      <c r="X578" s="74"/>
      <c r="Y578" s="74"/>
      <c r="Z578" s="74"/>
    </row>
    <row r="579" spans="1:26" ht="12.75" hidden="1" customHeight="1" outlineLevel="2">
      <c r="A579" s="3"/>
      <c r="B579" s="3"/>
      <c r="C579" s="3"/>
      <c r="D579" s="16"/>
      <c r="E579" s="1594"/>
      <c r="F579" s="61">
        <v>7</v>
      </c>
      <c r="G579" s="17"/>
      <c r="H579" s="114"/>
      <c r="I579" s="115"/>
      <c r="J579" s="115"/>
      <c r="K579" s="115"/>
      <c r="L579" s="115"/>
      <c r="M579" s="115"/>
      <c r="N579" s="116"/>
      <c r="O579" s="18">
        <f>IF(A40stdlife="n/a","n/a",IF(O$3&gt;(A40stdlife+$F579),('RFM input'!M$262*(1+vanilla7)^0.5)-SUM($N579:N579),('RFM input'!$N$262*(1+vanilla7)^0.5)/A40stdlife))</f>
        <v>0</v>
      </c>
      <c r="P579" s="18">
        <f>IF(A40stdlife="n/a","n/a",IF(P$3&gt;(A40stdlife+$F579),('RFM input'!N$262*(1+vanilla7)^0.5)-SUM($N579:O579),('RFM input'!$N$262*(1+vanilla7)^0.5)/A40stdlife))</f>
        <v>0</v>
      </c>
      <c r="Q579" s="18">
        <f>IF(A40stdlife="n/a","n/a",IF(Q$3&gt;(A40stdlife+$F579),('RFM input'!O$262*(1+vanilla7)^0.5)-SUM($N579:P579),('RFM input'!$N$262*(1+vanilla7)^0.5)/A40stdlife))</f>
        <v>0</v>
      </c>
      <c r="R579" s="18"/>
      <c r="S579" s="74"/>
      <c r="T579" s="74"/>
      <c r="U579" s="74"/>
      <c r="V579" s="74"/>
      <c r="W579" s="74"/>
      <c r="X579" s="74"/>
      <c r="Y579" s="74"/>
      <c r="Z579" s="74"/>
    </row>
    <row r="580" spans="1:26" ht="12.75" hidden="1" customHeight="1" outlineLevel="2">
      <c r="A580" s="3"/>
      <c r="B580" s="3"/>
      <c r="C580" s="3"/>
      <c r="D580" s="16"/>
      <c r="E580" s="1594"/>
      <c r="F580" s="61">
        <v>8</v>
      </c>
      <c r="G580" s="17"/>
      <c r="H580" s="114"/>
      <c r="I580" s="115"/>
      <c r="J580" s="115"/>
      <c r="K580" s="115"/>
      <c r="L580" s="115"/>
      <c r="M580" s="115"/>
      <c r="N580" s="115"/>
      <c r="O580" s="116"/>
      <c r="P580" s="18">
        <f>IF(A40stdlife="n/a","n/a",IF(P$3&gt;(A40stdlife+$F580),('RFM input'!$O$262*(1+vanilla8)^0.5)-SUM($O580:O580),('RFM input'!$O$262*(1+vanilla8)^0.5)/A40stdlife))</f>
        <v>0</v>
      </c>
      <c r="Q580" s="18">
        <f>IF(A40stdlife="n/a","n/a",IF(Q$3&gt;(A40stdlife+$F580),('RFM input'!$O$262*(1+vanilla8)^0.5)-SUM($O580:P580),('RFM input'!$O$262*(1+vanilla8)^0.5)/A40stdlife))</f>
        <v>0</v>
      </c>
      <c r="R580" s="18"/>
      <c r="S580" s="74"/>
      <c r="T580" s="74"/>
      <c r="U580" s="74"/>
      <c r="V580" s="74"/>
      <c r="W580" s="74"/>
      <c r="X580" s="74"/>
      <c r="Y580" s="74"/>
      <c r="Z580" s="74"/>
    </row>
    <row r="581" spans="1:26" ht="12.75" hidden="1" customHeight="1" outlineLevel="2">
      <c r="A581" s="3"/>
      <c r="B581" s="3"/>
      <c r="C581" s="3"/>
      <c r="D581" s="16"/>
      <c r="E581" s="1594"/>
      <c r="F581" s="61">
        <v>9</v>
      </c>
      <c r="G581" s="17"/>
      <c r="H581" s="114"/>
      <c r="I581" s="115"/>
      <c r="J581" s="115"/>
      <c r="K581" s="115"/>
      <c r="L581" s="115"/>
      <c r="M581" s="115"/>
      <c r="N581" s="115"/>
      <c r="O581" s="115"/>
      <c r="P581" s="116"/>
      <c r="Q581" s="18">
        <f>IF(A40stdlife="n/a","n/a",IF(Q$3&gt;(A40stdlife+$F581),('RFM input'!$P$262*(1+vanilla9)^0.5)-SUM($P581:P581),('RFM input'!$P$262*(1+vanilla9)^0.5)/A40stdlife))</f>
        <v>0</v>
      </c>
      <c r="R581" s="18"/>
      <c r="S581" s="74"/>
      <c r="T581" s="74"/>
      <c r="U581" s="74"/>
      <c r="V581" s="74"/>
      <c r="W581" s="74"/>
      <c r="X581" s="74"/>
      <c r="Y581" s="74"/>
      <c r="Z581" s="74"/>
    </row>
    <row r="582" spans="1:26" ht="12.75" hidden="1" customHeight="1" outlineLevel="2">
      <c r="A582" s="3"/>
      <c r="B582" s="3"/>
      <c r="C582" s="3"/>
      <c r="D582" s="16"/>
      <c r="E582" s="1594"/>
      <c r="F582" s="62">
        <v>10</v>
      </c>
      <c r="G582" s="17"/>
      <c r="H582" s="114"/>
      <c r="I582" s="115"/>
      <c r="J582" s="115"/>
      <c r="K582" s="115"/>
      <c r="L582" s="115"/>
      <c r="M582" s="115"/>
      <c r="N582" s="115"/>
      <c r="O582" s="115"/>
      <c r="P582" s="115"/>
      <c r="Q582" s="116"/>
      <c r="R582" s="18"/>
      <c r="S582" s="74"/>
      <c r="T582" s="74"/>
      <c r="U582" s="74"/>
      <c r="V582" s="74"/>
      <c r="W582" s="74"/>
      <c r="X582" s="74"/>
      <c r="Y582" s="74"/>
      <c r="Z582" s="74"/>
    </row>
    <row r="583" spans="1:26" ht="13.35" hidden="1" customHeight="1" outlineLevel="1">
      <c r="A583" s="3"/>
      <c r="B583" s="3"/>
      <c r="C583" s="3"/>
      <c r="D583" s="134">
        <f>Asset40</f>
        <v>0</v>
      </c>
      <c r="E583" s="3"/>
      <c r="F583" s="3"/>
      <c r="G583" s="1341"/>
      <c r="H583" s="1458">
        <f>IF(OR('RFM input'!$E$293='RFM input'!$G$292,'RFM input'!$E$293='RFM input'!$G$293),-INDEX('RFM input'!H$299:H$348,MATCH($D583,'RFM input'!$E$299:$E$348,0),1),-SUM(H571:H582))</f>
        <v>0</v>
      </c>
      <c r="I583" s="1458">
        <f>IF(OR('RFM input'!$E$293='RFM input'!$G$292,'RFM input'!$E$293='RFM input'!$G$293),-INDEX('RFM input'!I$299:I$348,MATCH($D583,'RFM input'!$E$299:$E$348,0),1),-SUM(I571:I582))</f>
        <v>0</v>
      </c>
      <c r="J583" s="1386">
        <f>IF(COUNT($H583:I583)&gt;='RFM input'!$V$7,
   0,
   IF(OR('RFM input'!$E$293='RFM input'!$G$292,'RFM input'!$E$293='RFM input'!$G$293),
      -INDEX('RFM input'!J$299:J$348,MATCH($D583,'RFM input'!$E$299:$E$348,0),1),
      -SUM(J571:J582)))</f>
        <v>0</v>
      </c>
      <c r="K583" s="1386">
        <f>IF(COUNT($H583:J583)&gt;='RFM input'!$V$7,
   0,
   IF(OR('RFM input'!$E$293='RFM input'!$G$292,'RFM input'!$E$293='RFM input'!$G$293),
      -INDEX('RFM input'!K$299:K$348,MATCH($D583,'RFM input'!$E$299:$E$348,0),1),
      -SUM(K571:K582)))</f>
        <v>0</v>
      </c>
      <c r="L583" s="1386">
        <f>IF(COUNT($H583:K583)&gt;='RFM input'!$V$7,
   0,
   IF(OR('RFM input'!$E$293='RFM input'!$G$292,'RFM input'!$E$293='RFM input'!$G$293),
      -INDEX('RFM input'!L$299:L$348,MATCH($D583,'RFM input'!$E$299:$E$348,0),1),
      -SUM(L571:L582)))</f>
        <v>0</v>
      </c>
      <c r="M583" s="1386">
        <f>IF(COUNT($H583:L583)&gt;='RFM input'!$V$7,
   0,
   IF(OR('RFM input'!$E$293='RFM input'!$G$292,'RFM input'!$E$293='RFM input'!$G$293),
      -INDEX('RFM input'!M$299:M$348,MATCH($D583,'RFM input'!$E$299:$E$348,0),1),
      -SUM(M571:M582)))</f>
        <v>0</v>
      </c>
      <c r="N583" s="1386">
        <f>IF(COUNT($H583:M583)&gt;='RFM input'!$V$7,
   0,
   IF(OR('RFM input'!$E$293='RFM input'!$G$292,'RFM input'!$E$293='RFM input'!$G$293),
      -INDEX('RFM input'!N$299:N$348,MATCH($D583,'RFM input'!$E$299:$E$348,0),1),
      -SUM(N571:N582)))</f>
        <v>0</v>
      </c>
      <c r="O583" s="1386">
        <f>IF(COUNT($H583:N583)&gt;='RFM input'!$V$7,
   0,
   IF(OR('RFM input'!$E$293='RFM input'!$G$292,'RFM input'!$E$293='RFM input'!$G$293),
      -INDEX('RFM input'!O$299:O$348,MATCH($D583,'RFM input'!$E$299:$E$348,0),1),
      -SUM(O571:O582)))</f>
        <v>0</v>
      </c>
      <c r="P583" s="1386">
        <f>IF(COUNT($H583:O583)&gt;='RFM input'!$V$7,
   0,
   IF(OR('RFM input'!$E$293='RFM input'!$G$292,'RFM input'!$E$293='RFM input'!$G$293),
      -INDEX('RFM input'!P$299:P$348,MATCH($D583,'RFM input'!$E$299:$E$348,0),1),
      -SUM(P571:P582)))</f>
        <v>0</v>
      </c>
      <c r="Q583" s="1386">
        <f>IF(COUNT($H583:P583)&gt;='RFM input'!$V$7,
   0,
   IF(OR('RFM input'!$E$293='RFM input'!$G$292,'RFM input'!$E$293='RFM input'!$G$293),
      -INDEX('RFM input'!Q$299:Q$348,MATCH($D583,'RFM input'!$E$299:$E$348,0),1),
      -SUM(Q571:Q582)))</f>
        <v>0</v>
      </c>
      <c r="R583" s="1382"/>
      <c r="S583" s="76"/>
      <c r="T583" s="76"/>
      <c r="U583" s="76"/>
      <c r="V583" s="76"/>
      <c r="W583" s="76"/>
      <c r="X583" s="76"/>
      <c r="Y583" s="76"/>
      <c r="Z583" s="76"/>
    </row>
    <row r="584" spans="1:26" ht="12.75" hidden="1" customHeight="1" outlineLevel="2">
      <c r="A584" s="3"/>
      <c r="B584" s="3"/>
      <c r="C584" s="135">
        <f>Asset41</f>
        <v>0</v>
      </c>
      <c r="D584" s="100"/>
      <c r="E584" s="20" t="s">
        <v>23</v>
      </c>
      <c r="F584" s="19"/>
      <c r="G584" s="1383"/>
      <c r="H584" s="1380">
        <f>IF(H$3&gt;A41remlife,A41value-SUM($G584:G584),IF(A41remlife="N/A","n/a",A41value/A41remlife))</f>
        <v>0</v>
      </c>
      <c r="I584" s="1380">
        <f>IF(I$3&gt;A41remlife,A41value-SUM($G584:H584),IF(A41remlife="N/A","n/a",A41value/A41remlife))</f>
        <v>0</v>
      </c>
      <c r="J584" s="1380">
        <f>IF(J$3&gt;A41remlife,A41value-SUM($G584:I584),IF(A41remlife="N/A","n/a",A41value/A41remlife))</f>
        <v>0</v>
      </c>
      <c r="K584" s="1380">
        <f>IF(K$3&gt;A41remlife,A41value-SUM($G584:J584),IF(A41remlife="N/A","n/a",A41value/A41remlife))</f>
        <v>0</v>
      </c>
      <c r="L584" s="1380">
        <f>IF(L$3&gt;A41remlife,A41value-SUM($G584:K584),IF(A41remlife="N/A","n/a",A41value/A41remlife))</f>
        <v>0</v>
      </c>
      <c r="M584" s="1380">
        <f>IF(M$3&gt;A41remlife,A41value-SUM($G584:L584),IF(A41remlife="N/A","n/a",A41value/A41remlife))</f>
        <v>0</v>
      </c>
      <c r="N584" s="1380">
        <f>IF(N$3&gt;A41remlife,A41value-SUM($G584:M584),IF(A41remlife="N/A","n/a",A41value/A41remlife))</f>
        <v>0</v>
      </c>
      <c r="O584" s="1380">
        <f>IF(O$3&gt;A41remlife,A41value-SUM($G584:N584),IF(A41remlife="N/A","n/a",A41value/A41remlife))</f>
        <v>0</v>
      </c>
      <c r="P584" s="1380">
        <f>IF(P$3&gt;A41remlife,A41value-SUM($G584:O584),IF(A41remlife="N/A","n/a",A41value/A41remlife))</f>
        <v>0</v>
      </c>
      <c r="Q584" s="1380">
        <f>IF(Q$3&gt;A41remlife,A41value-SUM($G584:P584),IF(A41remlife="N/A","n/a",A41value/A41remlife))</f>
        <v>0</v>
      </c>
      <c r="R584" s="21"/>
      <c r="S584" s="74"/>
      <c r="T584" s="74"/>
      <c r="U584" s="74"/>
      <c r="V584" s="74"/>
      <c r="W584" s="74"/>
      <c r="X584" s="74"/>
      <c r="Y584" s="74"/>
      <c r="Z584" s="74"/>
    </row>
    <row r="585" spans="1:26" ht="12.75" hidden="1" customHeight="1" outlineLevel="2">
      <c r="A585" s="3"/>
      <c r="B585" s="3"/>
      <c r="C585" s="3"/>
      <c r="D585" s="16"/>
      <c r="E585" s="1593" t="s">
        <v>43</v>
      </c>
      <c r="F585" s="61"/>
      <c r="G585" s="1341"/>
      <c r="H585" s="18"/>
      <c r="I585" s="18"/>
      <c r="J585" s="18"/>
      <c r="K585" s="18"/>
      <c r="L585" s="18"/>
      <c r="M585" s="1384"/>
      <c r="N585" s="1385"/>
      <c r="O585" s="18"/>
      <c r="P585" s="18"/>
      <c r="Q585" s="18"/>
      <c r="R585" s="18"/>
      <c r="S585" s="74"/>
      <c r="T585" s="74"/>
      <c r="U585" s="74"/>
      <c r="V585" s="74"/>
      <c r="W585" s="74"/>
      <c r="X585" s="74"/>
      <c r="Y585" s="74"/>
      <c r="Z585" s="74"/>
    </row>
    <row r="586" spans="1:26" ht="12.75" hidden="1" customHeight="1" outlineLevel="2">
      <c r="A586" s="3"/>
      <c r="B586" s="3"/>
      <c r="C586" s="3"/>
      <c r="D586" s="16"/>
      <c r="E586" s="1594"/>
      <c r="F586" s="61">
        <v>1</v>
      </c>
      <c r="G586" s="1341"/>
      <c r="H586" s="1381"/>
      <c r="I586" s="18">
        <f>IF(A41stdlife="n/a","n/a",IF(I$3&gt;(A41stdlife+$F586),('RFM input'!$H$263*(1+vanilla1)^0.5)-SUM($H586:H586),('RFM input'!$H$263*(1+vanilla1)^0.5)/A41stdlife))</f>
        <v>0</v>
      </c>
      <c r="J586" s="18">
        <f>IF(A41stdlife="n/a","n/a",IF(J$3&gt;(A41stdlife+$F586),('RFM input'!$H$263*(1+vanilla1)^0.5)-SUM($H586:I586),('RFM input'!$H$263*(1+vanilla1)^0.5)/A41stdlife))</f>
        <v>0</v>
      </c>
      <c r="K586" s="18">
        <f>IF(A41stdlife="n/a","n/a",IF(K$3&gt;(A41stdlife+$F586),('RFM input'!$H$263*(1+vanilla1)^0.5)-SUM($H586:J586),('RFM input'!$H$263*(1+vanilla1)^0.5)/A41stdlife))</f>
        <v>0</v>
      </c>
      <c r="L586" s="18">
        <f>IF(A41stdlife="n/a","n/a",IF(L$3&gt;(A41stdlife+$F586),('RFM input'!$H$263*(1+vanilla1)^0.5)-SUM($H586:K586),('RFM input'!$H$263*(1+vanilla1)^0.5)/A41stdlife))</f>
        <v>0</v>
      </c>
      <c r="M586" s="18">
        <f>IF(A41stdlife="n/a","n/a",IF(M$3&gt;(A41stdlife+$F586),('RFM input'!$H$263*(1+vanilla1)^0.5)-SUM($H586:L586),('RFM input'!$H$263*(1+vanilla1)^0.5)/A41stdlife))</f>
        <v>0</v>
      </c>
      <c r="N586" s="18">
        <f>IF(A41stdlife="n/a","n/a",IF(N$3&gt;(A41stdlife+$F586),('RFM input'!$H$263*(1+vanilla1)^0.5)-SUM($H586:M586),('RFM input'!$H$263*(1+vanilla1)^0.5)/A41stdlife))</f>
        <v>0</v>
      </c>
      <c r="O586" s="18">
        <f>IF(A41stdlife="n/a","n/a",IF(O$3&gt;(A41stdlife+$F586),('RFM input'!$H$263*(1+vanilla1)^0.5)-SUM($H586:N586),('RFM input'!$H$263*(1+vanilla1)^0.5)/A41stdlife))</f>
        <v>0</v>
      </c>
      <c r="P586" s="18">
        <f>IF(A41stdlife="n/a","n/a",IF(P$3&gt;(A41stdlife+$F586),('RFM input'!$H$263*(1+vanilla1)^0.5)-SUM($H586:O586),('RFM input'!$H$263*(1+vanilla1)^0.5)/A41stdlife))</f>
        <v>0</v>
      </c>
      <c r="Q586" s="18">
        <f>IF(A41stdlife="n/a","n/a",IF(Q$3&gt;(A41stdlife+$F586),('RFM input'!$H$263*(1+vanilla1)^0.5)-SUM($H586:P586),('RFM input'!$H$263*(1+vanilla1)^0.5)/A41stdlife))</f>
        <v>0</v>
      </c>
      <c r="R586" s="18"/>
      <c r="S586" s="74"/>
      <c r="T586" s="74"/>
      <c r="U586" s="74"/>
      <c r="V586" s="74"/>
      <c r="W586" s="74"/>
      <c r="X586" s="74"/>
      <c r="Y586" s="74"/>
      <c r="Z586" s="74"/>
    </row>
    <row r="587" spans="1:26" ht="12.75" hidden="1" customHeight="1" outlineLevel="2">
      <c r="A587" s="3"/>
      <c r="B587" s="3"/>
      <c r="C587" s="3"/>
      <c r="D587" s="16"/>
      <c r="E587" s="1594"/>
      <c r="F587" s="61">
        <v>2</v>
      </c>
      <c r="G587" s="1341"/>
      <c r="H587" s="114"/>
      <c r="I587" s="116"/>
      <c r="J587" s="18">
        <f>IF(A41stdlife="n/a","n/a",IF(J$3&gt;(A41stdlife+$F587),('RFM input'!$I$263*(1+vanilla2)^0.5)-SUM($I587:I587),('RFM input'!$I$263*(1+vanilla2)^0.5)/A41stdlife))</f>
        <v>0</v>
      </c>
      <c r="K587" s="18">
        <f>IF(A41stdlife="n/a","n/a",IF(K$3&gt;(A41stdlife+$F587),('RFM input'!$I$263*(1+vanilla2)^0.5)-SUM($I587:J587),('RFM input'!$I$263*(1+vanilla2)^0.5)/A41stdlife))</f>
        <v>0</v>
      </c>
      <c r="L587" s="18">
        <f>IF(A41stdlife="n/a","n/a",IF(L$3&gt;(A41stdlife+$F587),('RFM input'!$I$263*(1+vanilla2)^0.5)-SUM($I587:K587),('RFM input'!$I$263*(1+vanilla2)^0.5)/A41stdlife))</f>
        <v>0</v>
      </c>
      <c r="M587" s="18">
        <f>IF(A41stdlife="n/a","n/a",IF(M$3&gt;(A41stdlife+$F587),('RFM input'!$I$263*(1+vanilla2)^0.5)-SUM($I587:L587),('RFM input'!$I$263*(1+vanilla2)^0.5)/A41stdlife))</f>
        <v>0</v>
      </c>
      <c r="N587" s="18">
        <f>IF(A41stdlife="n/a","n/a",IF(N$3&gt;(A41stdlife+$F587),('RFM input'!$I$263*(1+vanilla2)^0.5)-SUM($I587:M587),('RFM input'!$I$263*(1+vanilla2)^0.5)/A41stdlife))</f>
        <v>0</v>
      </c>
      <c r="O587" s="18">
        <f>IF(A41stdlife="n/a","n/a",IF(O$3&gt;(A41stdlife+$F587),('RFM input'!$I$263*(1+vanilla2)^0.5)-SUM($I587:N587),('RFM input'!$I$263*(1+vanilla2)^0.5)/A41stdlife))</f>
        <v>0</v>
      </c>
      <c r="P587" s="18">
        <f>IF(A41stdlife="n/a","n/a",IF(P$3&gt;(A41stdlife+$F587),('RFM input'!$I$263*(1+vanilla2)^0.5)-SUM($I587:O587),('RFM input'!$I$263*(1+vanilla2)^0.5)/A41stdlife))</f>
        <v>0</v>
      </c>
      <c r="Q587" s="18">
        <f>IF(A41stdlife="n/a","n/a",IF(Q$3&gt;(A41stdlife+$F587),('RFM input'!$I$263*(1+vanilla2)^0.5)-SUM($I587:P587),('RFM input'!$I$263*(1+vanilla2)^0.5)/A41stdlife))</f>
        <v>0</v>
      </c>
      <c r="R587" s="18"/>
      <c r="S587" s="74"/>
      <c r="T587" s="74"/>
      <c r="U587" s="74"/>
      <c r="V587" s="74"/>
      <c r="W587" s="74"/>
      <c r="X587" s="74"/>
      <c r="Y587" s="74"/>
      <c r="Z587" s="74"/>
    </row>
    <row r="588" spans="1:26" ht="12.75" hidden="1" customHeight="1" outlineLevel="2">
      <c r="A588" s="3"/>
      <c r="B588" s="3"/>
      <c r="C588" s="3"/>
      <c r="D588" s="16"/>
      <c r="E588" s="1594"/>
      <c r="F588" s="61">
        <v>3</v>
      </c>
      <c r="G588" s="1341"/>
      <c r="H588" s="114"/>
      <c r="I588" s="115"/>
      <c r="J588" s="116"/>
      <c r="K588" s="18">
        <f>IF(A41stdlife="n/a","n/a",IF(K$3&gt;(A41stdlife+$F588),('RFM input'!$J$263*(1+vanilla3)^0.5)-SUM($J588:J588),('RFM input'!$J$263*(1+vanilla3)^0.5)/A41stdlife))</f>
        <v>0</v>
      </c>
      <c r="L588" s="18">
        <f>IF(A41stdlife="n/a","n/a",IF(L$3&gt;(A41stdlife+$F588),('RFM input'!$J$263*(1+vanilla3)^0.5)-SUM($J588:K588),('RFM input'!$J$263*(1+vanilla3)^0.5)/A41stdlife))</f>
        <v>0</v>
      </c>
      <c r="M588" s="18">
        <f>IF(A41stdlife="n/a","n/a",IF(M$3&gt;(A41stdlife+$F588),('RFM input'!$J$263*(1+vanilla3)^0.5)-SUM($J588:L588),('RFM input'!$J$263*(1+vanilla3)^0.5)/A41stdlife))</f>
        <v>0</v>
      </c>
      <c r="N588" s="18">
        <f>IF(A41stdlife="n/a","n/a",IF(N$3&gt;(A41stdlife+$F588),('RFM input'!$J$263*(1+vanilla3)^0.5)-SUM($J588:M588),('RFM input'!$J$263*(1+vanilla3)^0.5)/A41stdlife))</f>
        <v>0</v>
      </c>
      <c r="O588" s="18">
        <f>IF(A41stdlife="n/a","n/a",IF(O$3&gt;(A41stdlife+$F588),('RFM input'!$J$263*(1+vanilla3)^0.5)-SUM($J588:N588),('RFM input'!$J$263*(1+vanilla3)^0.5)/A41stdlife))</f>
        <v>0</v>
      </c>
      <c r="P588" s="18">
        <f>IF(A41stdlife="n/a","n/a",IF(P$3&gt;(A41stdlife+$F588),('RFM input'!$J$263*(1+vanilla3)^0.5)-SUM($J588:O588),('RFM input'!$J$263*(1+vanilla3)^0.5)/A41stdlife))</f>
        <v>0</v>
      </c>
      <c r="Q588" s="18">
        <f>IF(A41stdlife="n/a","n/a",IF(Q$3&gt;(A41stdlife+$F588),('RFM input'!$J$263*(1+vanilla3)^0.5)-SUM($J588:P588),('RFM input'!$J$263*(1+vanilla3)^0.5)/A41stdlife))</f>
        <v>0</v>
      </c>
      <c r="R588" s="18"/>
      <c r="S588" s="74"/>
      <c r="T588" s="74"/>
      <c r="U588" s="74"/>
      <c r="V588" s="74"/>
      <c r="W588" s="74"/>
      <c r="X588" s="74"/>
      <c r="Y588" s="74"/>
      <c r="Z588" s="74"/>
    </row>
    <row r="589" spans="1:26" ht="12.75" hidden="1" customHeight="1" outlineLevel="2">
      <c r="A589" s="3"/>
      <c r="B589" s="3"/>
      <c r="C589" s="3"/>
      <c r="D589" s="16"/>
      <c r="E589" s="1594"/>
      <c r="F589" s="61">
        <v>4</v>
      </c>
      <c r="G589" s="1341"/>
      <c r="H589" s="114"/>
      <c r="I589" s="115"/>
      <c r="J589" s="115"/>
      <c r="K589" s="116"/>
      <c r="L589" s="18">
        <f>IF(A41stdlife="n/a","n/a",IF(L$3&gt;(A41stdlife+$F589),('RFM input'!$K$263*(1+vanilla4)^0.5)-SUM($K589:K589),('RFM input'!$K$263*(1+vanilla4)^0.5)/A41stdlife))</f>
        <v>0</v>
      </c>
      <c r="M589" s="18">
        <f>IF(A41stdlife="n/a","n/a",IF(M$3&gt;(A41stdlife+$F589),('RFM input'!$K$263*(1+vanilla4)^0.5)-SUM($K589:L589),('RFM input'!$K$263*(1+vanilla4)^0.5)/A41stdlife))</f>
        <v>0</v>
      </c>
      <c r="N589" s="18">
        <f>IF(A41stdlife="n/a","n/a",IF(N$3&gt;(A41stdlife+$F589),('RFM input'!$K$263*(1+vanilla4)^0.5)-SUM($K589:M589),('RFM input'!$K$263*(1+vanilla4)^0.5)/A41stdlife))</f>
        <v>0</v>
      </c>
      <c r="O589" s="18">
        <f>IF(A41stdlife="n/a","n/a",IF(O$3&gt;(A41stdlife+$F589),('RFM input'!$K$263*(1+vanilla4)^0.5)-SUM($K589:N589),('RFM input'!$K$263*(1+vanilla4)^0.5)/A41stdlife))</f>
        <v>0</v>
      </c>
      <c r="P589" s="18">
        <f>IF(A41stdlife="n/a","n/a",IF(P$3&gt;(A41stdlife+$F589),('RFM input'!$K$263*(1+vanilla4)^0.5)-SUM($K589:O589),('RFM input'!$K$263*(1+vanilla4)^0.5)/A41stdlife))</f>
        <v>0</v>
      </c>
      <c r="Q589" s="18">
        <f>IF(A41stdlife="n/a","n/a",IF(Q$3&gt;(A41stdlife+$F589),('RFM input'!$K$263*(1+vanilla4)^0.5)-SUM($K589:P589),('RFM input'!$K$263*(1+vanilla4)^0.5)/A41stdlife))</f>
        <v>0</v>
      </c>
      <c r="R589" s="18"/>
      <c r="S589" s="74"/>
      <c r="T589" s="74"/>
      <c r="U589" s="74"/>
      <c r="V589" s="74"/>
      <c r="W589" s="74"/>
      <c r="X589" s="74"/>
      <c r="Y589" s="74"/>
      <c r="Z589" s="74"/>
    </row>
    <row r="590" spans="1:26" ht="12.75" hidden="1" customHeight="1" outlineLevel="2">
      <c r="A590" s="3"/>
      <c r="B590" s="3"/>
      <c r="C590" s="3"/>
      <c r="D590" s="16"/>
      <c r="E590" s="1594"/>
      <c r="F590" s="61">
        <v>5</v>
      </c>
      <c r="G590" s="17"/>
      <c r="H590" s="114"/>
      <c r="I590" s="115"/>
      <c r="J590" s="115"/>
      <c r="K590" s="115"/>
      <c r="L590" s="116"/>
      <c r="M590" s="18">
        <f>IF(A41stdlife="n/a","n/a",IF(M$3&gt;(A41stdlife+$F590),('RFM input'!$L$263*(1+vanilla5)^0.5)-SUM($L590:L590),('RFM input'!$L$263*(1+vanilla5)^0.5)/A41stdlife))</f>
        <v>0</v>
      </c>
      <c r="N590" s="18">
        <f>IF(A41stdlife="n/a","n/a",IF(N$3&gt;(A41stdlife+$F590),('RFM input'!$L$263*(1+vanilla5)^0.5)-SUM($L590:M590),('RFM input'!$L$263*(1+vanilla5)^0.5)/A41stdlife))</f>
        <v>0</v>
      </c>
      <c r="O590" s="18">
        <f>IF(A41stdlife="n/a","n/a",IF(O$3&gt;(A41stdlife+$F590),('RFM input'!$L$263*(1+vanilla5)^0.5)-SUM($L590:N590),('RFM input'!$L$263*(1+vanilla5)^0.5)/A41stdlife))</f>
        <v>0</v>
      </c>
      <c r="P590" s="18">
        <f>IF(A41stdlife="n/a","n/a",IF(P$3&gt;(A41stdlife+$F590),('RFM input'!$L$263*(1+vanilla5)^0.5)-SUM($L590:O590),('RFM input'!$L$263*(1+vanilla5)^0.5)/A41stdlife))</f>
        <v>0</v>
      </c>
      <c r="Q590" s="18">
        <f>IF(A41stdlife="n/a","n/a",IF(Q$3&gt;(A41stdlife+$F590),('RFM input'!$L$263*(1+vanilla5)^0.5)-SUM($L590:P590),('RFM input'!$L$263*(1+vanilla5)^0.5)/A41stdlife))</f>
        <v>0</v>
      </c>
      <c r="R590" s="18"/>
      <c r="S590" s="74"/>
      <c r="T590" s="74"/>
      <c r="U590" s="74"/>
      <c r="V590" s="74"/>
      <c r="W590" s="74"/>
      <c r="X590" s="74"/>
      <c r="Y590" s="74"/>
      <c r="Z590" s="74"/>
    </row>
    <row r="591" spans="1:26" ht="12.75" hidden="1" customHeight="1" outlineLevel="2">
      <c r="A591" s="3"/>
      <c r="B591" s="3"/>
      <c r="C591" s="3"/>
      <c r="D591" s="16"/>
      <c r="E591" s="1594"/>
      <c r="F591" s="61">
        <v>6</v>
      </c>
      <c r="G591" s="17"/>
      <c r="H591" s="114"/>
      <c r="I591" s="115"/>
      <c r="J591" s="115"/>
      <c r="K591" s="115"/>
      <c r="L591" s="115"/>
      <c r="M591" s="116"/>
      <c r="N591" s="18">
        <f>IF(A41stdlife="n/a","n/a",IF(N$3&gt;(A41stdlife+$F591),('RFM input'!$M$263*(1+vanilla6)^0.5)-SUM($M591:M591),('RFM input'!$M$263*(1+vanilla6)^0.5)/A41stdlife))</f>
        <v>0</v>
      </c>
      <c r="O591" s="18">
        <f>IF(A41stdlife="n/a","n/a",IF(O$3&gt;(A41stdlife+$F591),('RFM input'!$M$263*(1+vanilla6)^0.5)-SUM($M591:N591),('RFM input'!$M$263*(1+vanilla6)^0.5)/A41stdlife))</f>
        <v>0</v>
      </c>
      <c r="P591" s="18">
        <f>IF(A41stdlife="n/a","n/a",IF(P$3&gt;(A41stdlife+$F591),('RFM input'!$M$263*(1+vanilla6)^0.5)-SUM($M591:O591),('RFM input'!$M$263*(1+vanilla6)^0.5)/A41stdlife))</f>
        <v>0</v>
      </c>
      <c r="Q591" s="18">
        <f>IF(A41stdlife="n/a","n/a",IF(Q$3&gt;(A41stdlife+$F591),('RFM input'!$M$263*(1+vanilla6)^0.5)-SUM($M591:P591),('RFM input'!$M$263*(1+vanilla6)^0.5)/A41stdlife))</f>
        <v>0</v>
      </c>
      <c r="R591" s="18"/>
      <c r="S591" s="74"/>
      <c r="T591" s="74"/>
      <c r="U591" s="74"/>
      <c r="V591" s="74"/>
      <c r="W591" s="74"/>
      <c r="X591" s="74"/>
      <c r="Y591" s="74"/>
      <c r="Z591" s="74"/>
    </row>
    <row r="592" spans="1:26" ht="12.75" hidden="1" customHeight="1" outlineLevel="2">
      <c r="A592" s="3"/>
      <c r="B592" s="3"/>
      <c r="C592" s="3"/>
      <c r="D592" s="16"/>
      <c r="E592" s="1594"/>
      <c r="F592" s="61">
        <v>7</v>
      </c>
      <c r="G592" s="17"/>
      <c r="H592" s="114"/>
      <c r="I592" s="115"/>
      <c r="J592" s="115"/>
      <c r="K592" s="115"/>
      <c r="L592" s="115"/>
      <c r="M592" s="115"/>
      <c r="N592" s="116"/>
      <c r="O592" s="18">
        <f>IF(A41stdlife="n/a","n/a",IF(O$3&gt;(A41stdlife+$F592),('RFM input'!M$263*(1+vanilla7)^0.5)-SUM($N592:N592),('RFM input'!$N$263*(1+vanilla7)^0.5)/A41stdlife))</f>
        <v>0</v>
      </c>
      <c r="P592" s="18">
        <f>IF(A41stdlife="n/a","n/a",IF(P$3&gt;(A41stdlife+$F592),('RFM input'!N$263*(1+vanilla7)^0.5)-SUM($N592:O592),('RFM input'!$N$263*(1+vanilla7)^0.5)/A41stdlife))</f>
        <v>0</v>
      </c>
      <c r="Q592" s="18">
        <f>IF(A41stdlife="n/a","n/a",IF(Q$3&gt;(A41stdlife+$F592),('RFM input'!O$263*(1+vanilla7)^0.5)-SUM($N592:P592),('RFM input'!$N$263*(1+vanilla7)^0.5)/A41stdlife))</f>
        <v>0</v>
      </c>
      <c r="R592" s="18"/>
      <c r="S592" s="74"/>
      <c r="T592" s="74"/>
      <c r="U592" s="74"/>
      <c r="V592" s="74"/>
      <c r="W592" s="74"/>
      <c r="X592" s="74"/>
      <c r="Y592" s="74"/>
      <c r="Z592" s="74"/>
    </row>
    <row r="593" spans="1:26" ht="12.75" hidden="1" customHeight="1" outlineLevel="2">
      <c r="A593" s="3"/>
      <c r="B593" s="3"/>
      <c r="C593" s="3"/>
      <c r="D593" s="16"/>
      <c r="E593" s="1594"/>
      <c r="F593" s="61">
        <v>8</v>
      </c>
      <c r="G593" s="17"/>
      <c r="H593" s="114"/>
      <c r="I593" s="115"/>
      <c r="J593" s="115"/>
      <c r="K593" s="115"/>
      <c r="L593" s="115"/>
      <c r="M593" s="115"/>
      <c r="N593" s="115"/>
      <c r="O593" s="116"/>
      <c r="P593" s="18">
        <f>IF(A41stdlife="n/a","n/a",IF(P$3&gt;(A41stdlife+$F593),('RFM input'!$O$263*(1+vanilla8)^0.5)-SUM($O593:O593),('RFM input'!$O$263*(1+vanilla8)^0.5)/A41stdlife))</f>
        <v>0</v>
      </c>
      <c r="Q593" s="18">
        <f>IF(A41stdlife="n/a","n/a",IF(Q$3&gt;(A41stdlife+$F593),('RFM input'!$O$263*(1+vanilla8)^0.5)-SUM($O593:P593),('RFM input'!$O$263*(1+vanilla8)^0.5)/A41stdlife))</f>
        <v>0</v>
      </c>
      <c r="R593" s="18"/>
      <c r="S593" s="74"/>
      <c r="T593" s="74"/>
      <c r="U593" s="74"/>
      <c r="V593" s="74"/>
      <c r="W593" s="74"/>
      <c r="X593" s="74"/>
      <c r="Y593" s="74"/>
      <c r="Z593" s="74"/>
    </row>
    <row r="594" spans="1:26" ht="12.75" hidden="1" customHeight="1" outlineLevel="2">
      <c r="A594" s="3"/>
      <c r="B594" s="3"/>
      <c r="C594" s="3"/>
      <c r="D594" s="16"/>
      <c r="E594" s="1594"/>
      <c r="F594" s="61">
        <v>9</v>
      </c>
      <c r="G594" s="17"/>
      <c r="H594" s="114"/>
      <c r="I594" s="115"/>
      <c r="J594" s="115"/>
      <c r="K594" s="115"/>
      <c r="L594" s="115"/>
      <c r="M594" s="115"/>
      <c r="N594" s="115"/>
      <c r="O594" s="115"/>
      <c r="P594" s="116"/>
      <c r="Q594" s="18">
        <f>IF(A41stdlife="n/a","n/a",IF(Q$3&gt;(A41stdlife+$F594),('RFM input'!$P$263*(1+vanilla9)^0.5)-SUM($P594:P594),('RFM input'!$P$263*(1+vanilla9)^0.5)/A41stdlife))</f>
        <v>0</v>
      </c>
      <c r="R594" s="18"/>
      <c r="S594" s="74"/>
      <c r="T594" s="74"/>
      <c r="U594" s="74"/>
      <c r="V594" s="74"/>
      <c r="W594" s="74"/>
      <c r="X594" s="74"/>
      <c r="Y594" s="74"/>
      <c r="Z594" s="74"/>
    </row>
    <row r="595" spans="1:26" ht="12.75" hidden="1" customHeight="1" outlineLevel="2">
      <c r="A595" s="3"/>
      <c r="B595" s="3"/>
      <c r="C595" s="3"/>
      <c r="D595" s="16"/>
      <c r="E595" s="1594"/>
      <c r="F595" s="62">
        <v>10</v>
      </c>
      <c r="G595" s="17"/>
      <c r="H595" s="114"/>
      <c r="I595" s="115"/>
      <c r="J595" s="115"/>
      <c r="K595" s="115"/>
      <c r="L595" s="115"/>
      <c r="M595" s="115"/>
      <c r="N595" s="115"/>
      <c r="O595" s="115"/>
      <c r="P595" s="115"/>
      <c r="Q595" s="116"/>
      <c r="R595" s="18"/>
      <c r="S595" s="74"/>
      <c r="T595" s="74"/>
      <c r="U595" s="74"/>
      <c r="V595" s="74"/>
      <c r="W595" s="74"/>
      <c r="X595" s="74"/>
      <c r="Y595" s="74"/>
      <c r="Z595" s="74"/>
    </row>
    <row r="596" spans="1:26" ht="13.35" hidden="1" customHeight="1" outlineLevel="1">
      <c r="A596" s="3"/>
      <c r="B596" s="3"/>
      <c r="C596" s="3"/>
      <c r="D596" s="134">
        <f>Asset41</f>
        <v>0</v>
      </c>
      <c r="E596" s="3"/>
      <c r="F596" s="3"/>
      <c r="G596" s="1341"/>
      <c r="H596" s="1458">
        <f>IF(OR('RFM input'!$E$293='RFM input'!$G$292,'RFM input'!$E$293='RFM input'!$G$293),-INDEX('RFM input'!H$299:H$348,MATCH($D596,'RFM input'!$E$299:$E$348,0),1),-SUM(H584:H595))</f>
        <v>0</v>
      </c>
      <c r="I596" s="1458">
        <f>IF(OR('RFM input'!$E$293='RFM input'!$G$292,'RFM input'!$E$293='RFM input'!$G$293),-INDEX('RFM input'!I$299:I$348,MATCH($D596,'RFM input'!$E$299:$E$348,0),1),-SUM(I584:I595))</f>
        <v>0</v>
      </c>
      <c r="J596" s="1386">
        <f>IF(COUNT($H596:I596)&gt;='RFM input'!$V$7,
   0,
   IF(OR('RFM input'!$E$293='RFM input'!$G$292,'RFM input'!$E$293='RFM input'!$G$293),
      -INDEX('RFM input'!J$299:J$348,MATCH($D596,'RFM input'!$E$299:$E$348,0),1),
      -SUM(J584:J595)))</f>
        <v>0</v>
      </c>
      <c r="K596" s="1386">
        <f>IF(COUNT($H596:J596)&gt;='RFM input'!$V$7,
   0,
   IF(OR('RFM input'!$E$293='RFM input'!$G$292,'RFM input'!$E$293='RFM input'!$G$293),
      -INDEX('RFM input'!K$299:K$348,MATCH($D596,'RFM input'!$E$299:$E$348,0),1),
      -SUM(K584:K595)))</f>
        <v>0</v>
      </c>
      <c r="L596" s="1386">
        <f>IF(COUNT($H596:K596)&gt;='RFM input'!$V$7,
   0,
   IF(OR('RFM input'!$E$293='RFM input'!$G$292,'RFM input'!$E$293='RFM input'!$G$293),
      -INDEX('RFM input'!L$299:L$348,MATCH($D596,'RFM input'!$E$299:$E$348,0),1),
      -SUM(L584:L595)))</f>
        <v>0</v>
      </c>
      <c r="M596" s="1386">
        <f>IF(COUNT($H596:L596)&gt;='RFM input'!$V$7,
   0,
   IF(OR('RFM input'!$E$293='RFM input'!$G$292,'RFM input'!$E$293='RFM input'!$G$293),
      -INDEX('RFM input'!M$299:M$348,MATCH($D596,'RFM input'!$E$299:$E$348,0),1),
      -SUM(M584:M595)))</f>
        <v>0</v>
      </c>
      <c r="N596" s="1386">
        <f>IF(COUNT($H596:M596)&gt;='RFM input'!$V$7,
   0,
   IF(OR('RFM input'!$E$293='RFM input'!$G$292,'RFM input'!$E$293='RFM input'!$G$293),
      -INDEX('RFM input'!N$299:N$348,MATCH($D596,'RFM input'!$E$299:$E$348,0),1),
      -SUM(N584:N595)))</f>
        <v>0</v>
      </c>
      <c r="O596" s="1386">
        <f>IF(COUNT($H596:N596)&gt;='RFM input'!$V$7,
   0,
   IF(OR('RFM input'!$E$293='RFM input'!$G$292,'RFM input'!$E$293='RFM input'!$G$293),
      -INDEX('RFM input'!O$299:O$348,MATCH($D596,'RFM input'!$E$299:$E$348,0),1),
      -SUM(O584:O595)))</f>
        <v>0</v>
      </c>
      <c r="P596" s="1386">
        <f>IF(COUNT($H596:O596)&gt;='RFM input'!$V$7,
   0,
   IF(OR('RFM input'!$E$293='RFM input'!$G$292,'RFM input'!$E$293='RFM input'!$G$293),
      -INDEX('RFM input'!P$299:P$348,MATCH($D596,'RFM input'!$E$299:$E$348,0),1),
      -SUM(P584:P595)))</f>
        <v>0</v>
      </c>
      <c r="Q596" s="1386">
        <f>IF(COUNT($H596:P596)&gt;='RFM input'!$V$7,
   0,
   IF(OR('RFM input'!$E$293='RFM input'!$G$292,'RFM input'!$E$293='RFM input'!$G$293),
      -INDEX('RFM input'!Q$299:Q$348,MATCH($D596,'RFM input'!$E$299:$E$348,0),1),
      -SUM(Q584:Q595)))</f>
        <v>0</v>
      </c>
      <c r="R596" s="1382"/>
      <c r="S596" s="76"/>
      <c r="T596" s="76"/>
      <c r="U596" s="76"/>
      <c r="V596" s="76"/>
      <c r="W596" s="76"/>
      <c r="X596" s="76"/>
      <c r="Y596" s="76"/>
      <c r="Z596" s="76"/>
    </row>
    <row r="597" spans="1:26" ht="12.75" hidden="1" customHeight="1" outlineLevel="2">
      <c r="A597" s="3"/>
      <c r="B597" s="3"/>
      <c r="C597" s="135">
        <f>Asset42</f>
        <v>0</v>
      </c>
      <c r="D597" s="100"/>
      <c r="E597" s="20" t="s">
        <v>23</v>
      </c>
      <c r="F597" s="19"/>
      <c r="G597" s="1383"/>
      <c r="H597" s="1380">
        <f>IF(H$3&gt;A42remlife,A42value-SUM($G597:G597),IF(A42remlife="N/A","n/a",A42value/A42remlife))</f>
        <v>0</v>
      </c>
      <c r="I597" s="1380">
        <f>IF(I$3&gt;A42remlife,A42value-SUM($G597:H597),IF(A42remlife="N/A","n/a",A42value/A42remlife))</f>
        <v>0</v>
      </c>
      <c r="J597" s="1380">
        <f>IF(J$3&gt;A42remlife,A42value-SUM($G597:I597),IF(A42remlife="N/A","n/a",A42value/A42remlife))</f>
        <v>0</v>
      </c>
      <c r="K597" s="1380">
        <f>IF(K$3&gt;A42remlife,A42value-SUM($G597:J597),IF(A42remlife="N/A","n/a",A42value/A42remlife))</f>
        <v>0</v>
      </c>
      <c r="L597" s="1380">
        <f>IF(L$3&gt;A42remlife,A42value-SUM($G597:K597),IF(A42remlife="N/A","n/a",A42value/A42remlife))</f>
        <v>0</v>
      </c>
      <c r="M597" s="1380">
        <f>IF(M$3&gt;A42remlife,A42value-SUM($G597:L597),IF(A42remlife="N/A","n/a",A42value/A42remlife))</f>
        <v>0</v>
      </c>
      <c r="N597" s="1380">
        <f>IF(N$3&gt;A42remlife,A42value-SUM($G597:M597),IF(A42remlife="N/A","n/a",A42value/A42remlife))</f>
        <v>0</v>
      </c>
      <c r="O597" s="1380">
        <f>IF(O$3&gt;A42remlife,A42value-SUM($G597:N597),IF(A42remlife="N/A","n/a",A42value/A42remlife))</f>
        <v>0</v>
      </c>
      <c r="P597" s="1380">
        <f>IF(P$3&gt;A42remlife,A42value-SUM($G597:O597),IF(A42remlife="N/A","n/a",A42value/A42remlife))</f>
        <v>0</v>
      </c>
      <c r="Q597" s="1380">
        <f>IF(Q$3&gt;A42remlife,A42value-SUM($G597:P597),IF(A42remlife="N/A","n/a",A42value/A42remlife))</f>
        <v>0</v>
      </c>
      <c r="R597" s="21"/>
      <c r="S597" s="74"/>
      <c r="T597" s="74"/>
      <c r="U597" s="74"/>
      <c r="V597" s="74"/>
      <c r="W597" s="74"/>
      <c r="X597" s="74"/>
      <c r="Y597" s="74"/>
      <c r="Z597" s="74"/>
    </row>
    <row r="598" spans="1:26" ht="12.75" hidden="1" customHeight="1" outlineLevel="2">
      <c r="A598" s="3"/>
      <c r="B598" s="3"/>
      <c r="C598" s="3"/>
      <c r="D598" s="16"/>
      <c r="E598" s="1593" t="s">
        <v>43</v>
      </c>
      <c r="F598" s="61"/>
      <c r="G598" s="1341"/>
      <c r="H598" s="18"/>
      <c r="I598" s="18"/>
      <c r="J598" s="18"/>
      <c r="K598" s="18"/>
      <c r="L598" s="18"/>
      <c r="M598" s="1384"/>
      <c r="N598" s="1385"/>
      <c r="O598" s="18"/>
      <c r="P598" s="18"/>
      <c r="Q598" s="18"/>
      <c r="R598" s="18"/>
      <c r="S598" s="74"/>
      <c r="T598" s="74"/>
      <c r="U598" s="74"/>
      <c r="V598" s="74"/>
      <c r="W598" s="74"/>
      <c r="X598" s="74"/>
      <c r="Y598" s="74"/>
      <c r="Z598" s="74"/>
    </row>
    <row r="599" spans="1:26" ht="12.75" hidden="1" customHeight="1" outlineLevel="2">
      <c r="A599" s="3"/>
      <c r="B599" s="3"/>
      <c r="C599" s="3"/>
      <c r="D599" s="16"/>
      <c r="E599" s="1594"/>
      <c r="F599" s="61">
        <v>1</v>
      </c>
      <c r="G599" s="1341"/>
      <c r="H599" s="1381"/>
      <c r="I599" s="18">
        <f>IF(A42stdlife="n/a","n/a",IF(I$3&gt;(A42stdlife+$F599),('RFM input'!$H$264*(1+vanilla1)^0.5)-SUM($H599:H599),('RFM input'!$H$264*(1+vanilla1)^0.5)/A42stdlife))</f>
        <v>0</v>
      </c>
      <c r="J599" s="18">
        <f>IF(A42stdlife="n/a","n/a",IF(J$3&gt;(A42stdlife+$F599),('RFM input'!$H$264*(1+vanilla1)^0.5)-SUM($H599:I599),('RFM input'!$H$264*(1+vanilla1)^0.5)/A42stdlife))</f>
        <v>0</v>
      </c>
      <c r="K599" s="18">
        <f>IF(A42stdlife="n/a","n/a",IF(K$3&gt;(A42stdlife+$F599),('RFM input'!$H$264*(1+vanilla1)^0.5)-SUM($H599:J599),('RFM input'!$H$264*(1+vanilla1)^0.5)/A42stdlife))</f>
        <v>0</v>
      </c>
      <c r="L599" s="18">
        <f>IF(A42stdlife="n/a","n/a",IF(L$3&gt;(A42stdlife+$F599),('RFM input'!$H$264*(1+vanilla1)^0.5)-SUM($H599:K599),('RFM input'!$H$264*(1+vanilla1)^0.5)/A42stdlife))</f>
        <v>0</v>
      </c>
      <c r="M599" s="18">
        <f>IF(A42stdlife="n/a","n/a",IF(M$3&gt;(A42stdlife+$F599),('RFM input'!$H$264*(1+vanilla1)^0.5)-SUM($H599:L599),('RFM input'!$H$264*(1+vanilla1)^0.5)/A42stdlife))</f>
        <v>0</v>
      </c>
      <c r="N599" s="18">
        <f>IF(A42stdlife="n/a","n/a",IF(N$3&gt;(A42stdlife+$F599),('RFM input'!$H$264*(1+vanilla1)^0.5)-SUM($H599:M599),('RFM input'!$H$264*(1+vanilla1)^0.5)/A42stdlife))</f>
        <v>0</v>
      </c>
      <c r="O599" s="18">
        <f>IF(A42stdlife="n/a","n/a",IF(O$3&gt;(A42stdlife+$F599),('RFM input'!$H$264*(1+vanilla1)^0.5)-SUM($H599:N599),('RFM input'!$H$264*(1+vanilla1)^0.5)/A42stdlife))</f>
        <v>0</v>
      </c>
      <c r="P599" s="18">
        <f>IF(A42stdlife="n/a","n/a",IF(P$3&gt;(A42stdlife+$F599),('RFM input'!$H$264*(1+vanilla1)^0.5)-SUM($H599:O599),('RFM input'!$H$264*(1+vanilla1)^0.5)/A42stdlife))</f>
        <v>0</v>
      </c>
      <c r="Q599" s="18">
        <f>IF(A42stdlife="n/a","n/a",IF(Q$3&gt;(A42stdlife+$F599),('RFM input'!$H$264*(1+vanilla1)^0.5)-SUM($H599:P599),('RFM input'!$H$264*(1+vanilla1)^0.5)/A42stdlife))</f>
        <v>0</v>
      </c>
      <c r="R599" s="18"/>
      <c r="S599" s="74"/>
      <c r="T599" s="74"/>
      <c r="U599" s="74"/>
      <c r="V599" s="74"/>
      <c r="W599" s="74"/>
      <c r="X599" s="74"/>
      <c r="Y599" s="74"/>
      <c r="Z599" s="74"/>
    </row>
    <row r="600" spans="1:26" ht="12.75" hidden="1" customHeight="1" outlineLevel="2">
      <c r="A600" s="3"/>
      <c r="B600" s="3"/>
      <c r="C600" s="3"/>
      <c r="D600" s="16"/>
      <c r="E600" s="1594"/>
      <c r="F600" s="61">
        <v>2</v>
      </c>
      <c r="G600" s="1341"/>
      <c r="H600" s="114"/>
      <c r="I600" s="116"/>
      <c r="J600" s="18">
        <f>IF(A42stdlife="n/a","n/a",IF(J$3&gt;(A42stdlife+$F600),('RFM input'!$I$264*(1+vanilla2)^0.5)-SUM($I600:I600),('RFM input'!$I$264*(1+vanilla2)^0.5)/A42stdlife))</f>
        <v>0</v>
      </c>
      <c r="K600" s="18">
        <f>IF(A42stdlife="n/a","n/a",IF(K$3&gt;(A42stdlife+$F600),('RFM input'!$I$264*(1+vanilla2)^0.5)-SUM($I600:J600),('RFM input'!$I$264*(1+vanilla2)^0.5)/A42stdlife))</f>
        <v>0</v>
      </c>
      <c r="L600" s="18">
        <f>IF(A42stdlife="n/a","n/a",IF(L$3&gt;(A42stdlife+$F600),('RFM input'!$I$264*(1+vanilla2)^0.5)-SUM($I600:K600),('RFM input'!$I$264*(1+vanilla2)^0.5)/A42stdlife))</f>
        <v>0</v>
      </c>
      <c r="M600" s="18">
        <f>IF(A42stdlife="n/a","n/a",IF(M$3&gt;(A42stdlife+$F600),('RFM input'!$I$264*(1+vanilla2)^0.5)-SUM($I600:L600),('RFM input'!$I$264*(1+vanilla2)^0.5)/A42stdlife))</f>
        <v>0</v>
      </c>
      <c r="N600" s="18">
        <f>IF(A42stdlife="n/a","n/a",IF(N$3&gt;(A42stdlife+$F600),('RFM input'!$I$264*(1+vanilla2)^0.5)-SUM($I600:M600),('RFM input'!$I$264*(1+vanilla2)^0.5)/A42stdlife))</f>
        <v>0</v>
      </c>
      <c r="O600" s="18">
        <f>IF(A42stdlife="n/a","n/a",IF(O$3&gt;(A42stdlife+$F600),('RFM input'!$I$264*(1+vanilla2)^0.5)-SUM($I600:N600),('RFM input'!$I$264*(1+vanilla2)^0.5)/A42stdlife))</f>
        <v>0</v>
      </c>
      <c r="P600" s="18">
        <f>IF(A42stdlife="n/a","n/a",IF(P$3&gt;(A42stdlife+$F600),('RFM input'!$I$264*(1+vanilla2)^0.5)-SUM($I600:O600),('RFM input'!$I$264*(1+vanilla2)^0.5)/A42stdlife))</f>
        <v>0</v>
      </c>
      <c r="Q600" s="18">
        <f>IF(A42stdlife="n/a","n/a",IF(Q$3&gt;(A42stdlife+$F600),('RFM input'!$I$264*(1+vanilla2)^0.5)-SUM($I600:P600),('RFM input'!$I$264*(1+vanilla2)^0.5)/A42stdlife))</f>
        <v>0</v>
      </c>
      <c r="R600" s="18"/>
      <c r="S600" s="74"/>
      <c r="T600" s="74"/>
      <c r="U600" s="74"/>
      <c r="V600" s="74"/>
      <c r="W600" s="74"/>
      <c r="X600" s="74"/>
      <c r="Y600" s="74"/>
      <c r="Z600" s="74"/>
    </row>
    <row r="601" spans="1:26" ht="12.75" hidden="1" customHeight="1" outlineLevel="2">
      <c r="A601" s="3"/>
      <c r="B601" s="3"/>
      <c r="C601" s="3"/>
      <c r="D601" s="16"/>
      <c r="E601" s="1594"/>
      <c r="F601" s="61">
        <v>3</v>
      </c>
      <c r="G601" s="1341"/>
      <c r="H601" s="114"/>
      <c r="I601" s="115"/>
      <c r="J601" s="116"/>
      <c r="K601" s="18">
        <f>IF(A42stdlife="n/a","n/a",IF(K$3&gt;(A42stdlife+$F601),('RFM input'!$J$264*(1+vanilla3)^0.5)-SUM($J601:J601),('RFM input'!$J$264*(1+vanilla3)^0.5)/A42stdlife))</f>
        <v>0</v>
      </c>
      <c r="L601" s="18">
        <f>IF(A42stdlife="n/a","n/a",IF(L$3&gt;(A42stdlife+$F601),('RFM input'!$J$264*(1+vanilla3)^0.5)-SUM($J601:K601),('RFM input'!$J$264*(1+vanilla3)^0.5)/A42stdlife))</f>
        <v>0</v>
      </c>
      <c r="M601" s="18">
        <f>IF(A42stdlife="n/a","n/a",IF(M$3&gt;(A42stdlife+$F601),('RFM input'!$J$264*(1+vanilla3)^0.5)-SUM($J601:L601),('RFM input'!$J$264*(1+vanilla3)^0.5)/A42stdlife))</f>
        <v>0</v>
      </c>
      <c r="N601" s="18">
        <f>IF(A42stdlife="n/a","n/a",IF(N$3&gt;(A42stdlife+$F601),('RFM input'!$J$264*(1+vanilla3)^0.5)-SUM($J601:M601),('RFM input'!$J$264*(1+vanilla3)^0.5)/A42stdlife))</f>
        <v>0</v>
      </c>
      <c r="O601" s="18">
        <f>IF(A42stdlife="n/a","n/a",IF(O$3&gt;(A42stdlife+$F601),('RFM input'!$J$264*(1+vanilla3)^0.5)-SUM($J601:N601),('RFM input'!$J$264*(1+vanilla3)^0.5)/A42stdlife))</f>
        <v>0</v>
      </c>
      <c r="P601" s="18">
        <f>IF(A42stdlife="n/a","n/a",IF(P$3&gt;(A42stdlife+$F601),('RFM input'!$J$264*(1+vanilla3)^0.5)-SUM($J601:O601),('RFM input'!$J$264*(1+vanilla3)^0.5)/A42stdlife))</f>
        <v>0</v>
      </c>
      <c r="Q601" s="18">
        <f>IF(A42stdlife="n/a","n/a",IF(Q$3&gt;(A42stdlife+$F601),('RFM input'!$J$264*(1+vanilla3)^0.5)-SUM($J601:P601),('RFM input'!$J$264*(1+vanilla3)^0.5)/A42stdlife))</f>
        <v>0</v>
      </c>
      <c r="R601" s="18"/>
      <c r="S601" s="74"/>
      <c r="T601" s="74"/>
      <c r="U601" s="74"/>
      <c r="V601" s="74"/>
      <c r="W601" s="74"/>
      <c r="X601" s="74"/>
      <c r="Y601" s="74"/>
      <c r="Z601" s="74"/>
    </row>
    <row r="602" spans="1:26" ht="12.75" hidden="1" customHeight="1" outlineLevel="2">
      <c r="A602" s="3"/>
      <c r="B602" s="3"/>
      <c r="C602" s="3"/>
      <c r="D602" s="16"/>
      <c r="E602" s="1594"/>
      <c r="F602" s="61">
        <v>4</v>
      </c>
      <c r="G602" s="1341"/>
      <c r="H602" s="114"/>
      <c r="I602" s="115"/>
      <c r="J602" s="115"/>
      <c r="K602" s="116"/>
      <c r="L602" s="18">
        <f>IF(A42stdlife="n/a","n/a",IF(L$3&gt;(A42stdlife+$F602),('RFM input'!$K$264*(1+vanilla4)^0.5)-SUM($K602:K602),('RFM input'!$K$264*(1+vanilla4)^0.5)/A42stdlife))</f>
        <v>0</v>
      </c>
      <c r="M602" s="18">
        <f>IF(A42stdlife="n/a","n/a",IF(M$3&gt;(A42stdlife+$F602),('RFM input'!$K$264*(1+vanilla4)^0.5)-SUM($K602:L602),('RFM input'!$K$264*(1+vanilla4)^0.5)/A42stdlife))</f>
        <v>0</v>
      </c>
      <c r="N602" s="18">
        <f>IF(A42stdlife="n/a","n/a",IF(N$3&gt;(A42stdlife+$F602),('RFM input'!$K$264*(1+vanilla4)^0.5)-SUM($K602:M602),('RFM input'!$K$264*(1+vanilla4)^0.5)/A42stdlife))</f>
        <v>0</v>
      </c>
      <c r="O602" s="18">
        <f>IF(A42stdlife="n/a","n/a",IF(O$3&gt;(A42stdlife+$F602),('RFM input'!$K$264*(1+vanilla4)^0.5)-SUM($K602:N602),('RFM input'!$K$264*(1+vanilla4)^0.5)/A42stdlife))</f>
        <v>0</v>
      </c>
      <c r="P602" s="18">
        <f>IF(A42stdlife="n/a","n/a",IF(P$3&gt;(A42stdlife+$F602),('RFM input'!$K$264*(1+vanilla4)^0.5)-SUM($K602:O602),('RFM input'!$K$264*(1+vanilla4)^0.5)/A42stdlife))</f>
        <v>0</v>
      </c>
      <c r="Q602" s="18">
        <f>IF(A42stdlife="n/a","n/a",IF(Q$3&gt;(A42stdlife+$F602),('RFM input'!$K$264*(1+vanilla4)^0.5)-SUM($K602:P602),('RFM input'!$K$264*(1+vanilla4)^0.5)/A42stdlife))</f>
        <v>0</v>
      </c>
      <c r="R602" s="18"/>
      <c r="S602" s="74"/>
      <c r="T602" s="74"/>
      <c r="U602" s="74"/>
      <c r="V602" s="74"/>
      <c r="W602" s="74"/>
      <c r="X602" s="74"/>
      <c r="Y602" s="74"/>
      <c r="Z602" s="74"/>
    </row>
    <row r="603" spans="1:26" ht="12.75" hidden="1" customHeight="1" outlineLevel="2">
      <c r="A603" s="3"/>
      <c r="B603" s="3"/>
      <c r="C603" s="3"/>
      <c r="D603" s="16"/>
      <c r="E603" s="1594"/>
      <c r="F603" s="61">
        <v>5</v>
      </c>
      <c r="G603" s="17"/>
      <c r="H603" s="114"/>
      <c r="I603" s="115"/>
      <c r="J603" s="115"/>
      <c r="K603" s="115"/>
      <c r="L603" s="116"/>
      <c r="M603" s="18">
        <f>IF(A42stdlife="n/a","n/a",IF(M$3&gt;(A42stdlife+$F603),('RFM input'!$L$264*(1+vanilla5)^0.5)-SUM($L603:L603),('RFM input'!$L$264*(1+vanilla5)^0.5)/A42stdlife))</f>
        <v>0</v>
      </c>
      <c r="N603" s="18">
        <f>IF(A42stdlife="n/a","n/a",IF(N$3&gt;(A42stdlife+$F603),('RFM input'!$L$264*(1+vanilla5)^0.5)-SUM($L603:M603),('RFM input'!$L$264*(1+vanilla5)^0.5)/A42stdlife))</f>
        <v>0</v>
      </c>
      <c r="O603" s="18">
        <f>IF(A42stdlife="n/a","n/a",IF(O$3&gt;(A42stdlife+$F603),('RFM input'!$L$264*(1+vanilla5)^0.5)-SUM($L603:N603),('RFM input'!$L$264*(1+vanilla5)^0.5)/A42stdlife))</f>
        <v>0</v>
      </c>
      <c r="P603" s="18">
        <f>IF(A42stdlife="n/a","n/a",IF(P$3&gt;(A42stdlife+$F603),('RFM input'!$L$264*(1+vanilla5)^0.5)-SUM($L603:O603),('RFM input'!$L$264*(1+vanilla5)^0.5)/A42stdlife))</f>
        <v>0</v>
      </c>
      <c r="Q603" s="18">
        <f>IF(A42stdlife="n/a","n/a",IF(Q$3&gt;(A42stdlife+$F603),('RFM input'!$L$264*(1+vanilla5)^0.5)-SUM($L603:P603),('RFM input'!$L$264*(1+vanilla5)^0.5)/A42stdlife))</f>
        <v>0</v>
      </c>
      <c r="R603" s="18"/>
      <c r="S603" s="74"/>
      <c r="T603" s="74"/>
      <c r="U603" s="74"/>
      <c r="V603" s="74"/>
      <c r="W603" s="74"/>
      <c r="X603" s="74"/>
      <c r="Y603" s="74"/>
      <c r="Z603" s="74"/>
    </row>
    <row r="604" spans="1:26" ht="12.75" hidden="1" customHeight="1" outlineLevel="2">
      <c r="A604" s="3"/>
      <c r="B604" s="3"/>
      <c r="C604" s="3"/>
      <c r="D604" s="16"/>
      <c r="E604" s="1594"/>
      <c r="F604" s="61">
        <v>6</v>
      </c>
      <c r="G604" s="17"/>
      <c r="H604" s="114"/>
      <c r="I604" s="115"/>
      <c r="J604" s="115"/>
      <c r="K604" s="115"/>
      <c r="L604" s="115"/>
      <c r="M604" s="116"/>
      <c r="N604" s="18">
        <f>IF(A42stdlife="n/a","n/a",IF(N$3&gt;(A42stdlife+$F604),('RFM input'!$M$264*(1+vanilla6)^0.5)-SUM($M604:M604),('RFM input'!$M$264*(1+vanilla6)^0.5)/A42stdlife))</f>
        <v>0</v>
      </c>
      <c r="O604" s="18">
        <f>IF(A42stdlife="n/a","n/a",IF(O$3&gt;(A42stdlife+$F604),('RFM input'!$M$264*(1+vanilla6)^0.5)-SUM($M604:N604),('RFM input'!$M$264*(1+vanilla6)^0.5)/A42stdlife))</f>
        <v>0</v>
      </c>
      <c r="P604" s="18">
        <f>IF(A42stdlife="n/a","n/a",IF(P$3&gt;(A42stdlife+$F604),('RFM input'!$M$264*(1+vanilla6)^0.5)-SUM($M604:O604),('RFM input'!$M$264*(1+vanilla6)^0.5)/A42stdlife))</f>
        <v>0</v>
      </c>
      <c r="Q604" s="18">
        <f>IF(A42stdlife="n/a","n/a",IF(Q$3&gt;(A42stdlife+$F604),('RFM input'!$M$264*(1+vanilla6)^0.5)-SUM($M604:P604),('RFM input'!$M$264*(1+vanilla6)^0.5)/A42stdlife))</f>
        <v>0</v>
      </c>
      <c r="R604" s="18"/>
      <c r="S604" s="74"/>
      <c r="T604" s="74"/>
      <c r="U604" s="74"/>
      <c r="V604" s="74"/>
      <c r="W604" s="74"/>
      <c r="X604" s="74"/>
      <c r="Y604" s="74"/>
      <c r="Z604" s="74"/>
    </row>
    <row r="605" spans="1:26" ht="12.75" hidden="1" customHeight="1" outlineLevel="2">
      <c r="A605" s="3"/>
      <c r="B605" s="3"/>
      <c r="C605" s="3"/>
      <c r="D605" s="16"/>
      <c r="E605" s="1594"/>
      <c r="F605" s="61">
        <v>7</v>
      </c>
      <c r="G605" s="17"/>
      <c r="H605" s="114"/>
      <c r="I605" s="115"/>
      <c r="J605" s="115"/>
      <c r="K605" s="115"/>
      <c r="L605" s="115"/>
      <c r="M605" s="115"/>
      <c r="N605" s="116"/>
      <c r="O605" s="18">
        <f>IF(A42stdlife="n/a","n/a",IF(O$3&gt;(A42stdlife+$F605),('RFM input'!M$264*(1+vanilla7)^0.5)-SUM($N605:N605),('RFM input'!$N$264*(1+vanilla7)^0.5)/A42stdlife))</f>
        <v>0</v>
      </c>
      <c r="P605" s="18">
        <f>IF(A42stdlife="n/a","n/a",IF(P$3&gt;(A42stdlife+$F605),('RFM input'!N$264*(1+vanilla7)^0.5)-SUM($N605:O605),('RFM input'!$N$264*(1+vanilla7)^0.5)/A42stdlife))</f>
        <v>0</v>
      </c>
      <c r="Q605" s="18">
        <f>IF(A42stdlife="n/a","n/a",IF(Q$3&gt;(A42stdlife+$F605),('RFM input'!O$264*(1+vanilla7)^0.5)-SUM($N605:P605),('RFM input'!$N$264*(1+vanilla7)^0.5)/A42stdlife))</f>
        <v>0</v>
      </c>
      <c r="R605" s="18"/>
      <c r="S605" s="74"/>
      <c r="T605" s="74"/>
      <c r="U605" s="74"/>
      <c r="V605" s="74"/>
      <c r="W605" s="74"/>
      <c r="X605" s="74"/>
      <c r="Y605" s="74"/>
      <c r="Z605" s="74"/>
    </row>
    <row r="606" spans="1:26" ht="12.75" hidden="1" customHeight="1" outlineLevel="2">
      <c r="A606" s="3"/>
      <c r="B606" s="3"/>
      <c r="C606" s="3"/>
      <c r="D606" s="16"/>
      <c r="E606" s="1594"/>
      <c r="F606" s="61">
        <v>8</v>
      </c>
      <c r="G606" s="17"/>
      <c r="H606" s="114"/>
      <c r="I606" s="115"/>
      <c r="J606" s="115"/>
      <c r="K606" s="115"/>
      <c r="L606" s="115"/>
      <c r="M606" s="115"/>
      <c r="N606" s="115"/>
      <c r="O606" s="116"/>
      <c r="P606" s="18">
        <f>IF(A42stdlife="n/a","n/a",IF(P$3&gt;(A42stdlife+$F606),('RFM input'!$O$264*(1+vanilla8)^0.5)-SUM($O606:O606),('RFM input'!$O$264*(1+vanilla8)^0.5)/A42stdlife))</f>
        <v>0</v>
      </c>
      <c r="Q606" s="18">
        <f>IF(A42stdlife="n/a","n/a",IF(Q$3&gt;(A42stdlife+$F606),('RFM input'!$O$264*(1+vanilla8)^0.5)-SUM($O606:P606),('RFM input'!$O$264*(1+vanilla8)^0.5)/A42stdlife))</f>
        <v>0</v>
      </c>
      <c r="R606" s="18"/>
      <c r="S606" s="74"/>
      <c r="T606" s="74"/>
      <c r="U606" s="74"/>
      <c r="V606" s="74"/>
      <c r="W606" s="74"/>
      <c r="X606" s="74"/>
      <c r="Y606" s="74"/>
      <c r="Z606" s="74"/>
    </row>
    <row r="607" spans="1:26" ht="12.75" hidden="1" customHeight="1" outlineLevel="2">
      <c r="A607" s="3"/>
      <c r="B607" s="3"/>
      <c r="C607" s="3"/>
      <c r="D607" s="16"/>
      <c r="E607" s="1594"/>
      <c r="F607" s="61">
        <v>9</v>
      </c>
      <c r="G607" s="17"/>
      <c r="H607" s="114"/>
      <c r="I607" s="115"/>
      <c r="J607" s="115"/>
      <c r="K607" s="115"/>
      <c r="L607" s="115"/>
      <c r="M607" s="115"/>
      <c r="N607" s="115"/>
      <c r="O607" s="115"/>
      <c r="P607" s="116"/>
      <c r="Q607" s="18">
        <f>IF(A42stdlife="n/a","n/a",IF(Q$3&gt;(A42stdlife+$F607),('RFM input'!$P$264*(1+vanilla9)^0.5)-SUM($P607:P607),('RFM input'!$P$264*(1+vanilla9)^0.5)/A42stdlife))</f>
        <v>0</v>
      </c>
      <c r="R607" s="18"/>
      <c r="S607" s="74"/>
      <c r="T607" s="74"/>
      <c r="U607" s="74"/>
      <c r="V607" s="74"/>
      <c r="W607" s="74"/>
      <c r="X607" s="74"/>
      <c r="Y607" s="74"/>
      <c r="Z607" s="74"/>
    </row>
    <row r="608" spans="1:26" ht="12.75" hidden="1" customHeight="1" outlineLevel="2">
      <c r="A608" s="3"/>
      <c r="B608" s="3"/>
      <c r="C608" s="3"/>
      <c r="D608" s="16"/>
      <c r="E608" s="1594"/>
      <c r="F608" s="62">
        <v>10</v>
      </c>
      <c r="G608" s="17"/>
      <c r="H608" s="114"/>
      <c r="I608" s="115"/>
      <c r="J608" s="115"/>
      <c r="K608" s="115"/>
      <c r="L608" s="115"/>
      <c r="M608" s="115"/>
      <c r="N608" s="115"/>
      <c r="O608" s="115"/>
      <c r="P608" s="115"/>
      <c r="Q608" s="116"/>
      <c r="R608" s="18"/>
      <c r="S608" s="74"/>
      <c r="T608" s="74"/>
      <c r="U608" s="74"/>
      <c r="V608" s="74"/>
      <c r="W608" s="74"/>
      <c r="X608" s="74"/>
      <c r="Y608" s="74"/>
      <c r="Z608" s="74"/>
    </row>
    <row r="609" spans="1:26" ht="13.35" hidden="1" customHeight="1" outlineLevel="1">
      <c r="A609" s="3"/>
      <c r="B609" s="3"/>
      <c r="C609" s="3"/>
      <c r="D609" s="134">
        <f>Asset42</f>
        <v>0</v>
      </c>
      <c r="E609" s="3"/>
      <c r="F609" s="3"/>
      <c r="G609" s="1341"/>
      <c r="H609" s="1458">
        <f>IF(OR('RFM input'!$E$293='RFM input'!$G$292,'RFM input'!$E$293='RFM input'!$G$293),-INDEX('RFM input'!H$299:H$348,MATCH($D609,'RFM input'!$E$299:$E$348,0),1),-SUM(H597:H608))</f>
        <v>0</v>
      </c>
      <c r="I609" s="1458">
        <f>IF(OR('RFM input'!$E$293='RFM input'!$G$292,'RFM input'!$E$293='RFM input'!$G$293),-INDEX('RFM input'!I$299:I$348,MATCH($D609,'RFM input'!$E$299:$E$348,0),1),-SUM(I597:I608))</f>
        <v>0</v>
      </c>
      <c r="J609" s="1386">
        <f>IF(COUNT($H609:I609)&gt;='RFM input'!$V$7,
   0,
   IF(OR('RFM input'!$E$293='RFM input'!$G$292,'RFM input'!$E$293='RFM input'!$G$293),
      -INDEX('RFM input'!J$299:J$348,MATCH($D609,'RFM input'!$E$299:$E$348,0),1),
      -SUM(J597:J608)))</f>
        <v>0</v>
      </c>
      <c r="K609" s="1386">
        <f>IF(COUNT($H609:J609)&gt;='RFM input'!$V$7,
   0,
   IF(OR('RFM input'!$E$293='RFM input'!$G$292,'RFM input'!$E$293='RFM input'!$G$293),
      -INDEX('RFM input'!K$299:K$348,MATCH($D609,'RFM input'!$E$299:$E$348,0),1),
      -SUM(K597:K608)))</f>
        <v>0</v>
      </c>
      <c r="L609" s="1386">
        <f>IF(COUNT($H609:K609)&gt;='RFM input'!$V$7,
   0,
   IF(OR('RFM input'!$E$293='RFM input'!$G$292,'RFM input'!$E$293='RFM input'!$G$293),
      -INDEX('RFM input'!L$299:L$348,MATCH($D609,'RFM input'!$E$299:$E$348,0),1),
      -SUM(L597:L608)))</f>
        <v>0</v>
      </c>
      <c r="M609" s="1386">
        <f>IF(COUNT($H609:L609)&gt;='RFM input'!$V$7,
   0,
   IF(OR('RFM input'!$E$293='RFM input'!$G$292,'RFM input'!$E$293='RFM input'!$G$293),
      -INDEX('RFM input'!M$299:M$348,MATCH($D609,'RFM input'!$E$299:$E$348,0),1),
      -SUM(M597:M608)))</f>
        <v>0</v>
      </c>
      <c r="N609" s="1386">
        <f>IF(COUNT($H609:M609)&gt;='RFM input'!$V$7,
   0,
   IF(OR('RFM input'!$E$293='RFM input'!$G$292,'RFM input'!$E$293='RFM input'!$G$293),
      -INDEX('RFM input'!N$299:N$348,MATCH($D609,'RFM input'!$E$299:$E$348,0),1),
      -SUM(N597:N608)))</f>
        <v>0</v>
      </c>
      <c r="O609" s="1386">
        <f>IF(COUNT($H609:N609)&gt;='RFM input'!$V$7,
   0,
   IF(OR('RFM input'!$E$293='RFM input'!$G$292,'RFM input'!$E$293='RFM input'!$G$293),
      -INDEX('RFM input'!O$299:O$348,MATCH($D609,'RFM input'!$E$299:$E$348,0),1),
      -SUM(O597:O608)))</f>
        <v>0</v>
      </c>
      <c r="P609" s="1386">
        <f>IF(COUNT($H609:O609)&gt;='RFM input'!$V$7,
   0,
   IF(OR('RFM input'!$E$293='RFM input'!$G$292,'RFM input'!$E$293='RFM input'!$G$293),
      -INDEX('RFM input'!P$299:P$348,MATCH($D609,'RFM input'!$E$299:$E$348,0),1),
      -SUM(P597:P608)))</f>
        <v>0</v>
      </c>
      <c r="Q609" s="1386">
        <f>IF(COUNT($H609:P609)&gt;='RFM input'!$V$7,
   0,
   IF(OR('RFM input'!$E$293='RFM input'!$G$292,'RFM input'!$E$293='RFM input'!$G$293),
      -INDEX('RFM input'!Q$299:Q$348,MATCH($D609,'RFM input'!$E$299:$E$348,0),1),
      -SUM(Q597:Q608)))</f>
        <v>0</v>
      </c>
      <c r="R609" s="1382"/>
      <c r="S609" s="76"/>
      <c r="T609" s="76"/>
      <c r="U609" s="76"/>
      <c r="V609" s="76"/>
      <c r="W609" s="76"/>
      <c r="X609" s="76"/>
      <c r="Y609" s="76"/>
      <c r="Z609" s="76"/>
    </row>
    <row r="610" spans="1:26" ht="12.75" hidden="1" customHeight="1" outlineLevel="2">
      <c r="A610" s="3"/>
      <c r="B610" s="3"/>
      <c r="C610" s="135">
        <f>Asset43</f>
        <v>0</v>
      </c>
      <c r="D610" s="100"/>
      <c r="E610" s="20" t="s">
        <v>23</v>
      </c>
      <c r="F610" s="19"/>
      <c r="G610" s="1383"/>
      <c r="H610" s="1380">
        <f>IF(H$3&gt;A43remlife,A43value-SUM($G610:G610),IF(A43remlife="N/A","n/a",A43value/A43remlife))</f>
        <v>0</v>
      </c>
      <c r="I610" s="1380">
        <f>IF(I$3&gt;A43remlife,A43value-SUM($G610:H610),IF(A43remlife="N/A","n/a",A43value/A43remlife))</f>
        <v>0</v>
      </c>
      <c r="J610" s="1380">
        <f>IF(J$3&gt;A43remlife,A43value-SUM($G610:I610),IF(A43remlife="N/A","n/a",A43value/A43remlife))</f>
        <v>0</v>
      </c>
      <c r="K610" s="1380">
        <f>IF(K$3&gt;A43remlife,A43value-SUM($G610:J610),IF(A43remlife="N/A","n/a",A43value/A43remlife))</f>
        <v>0</v>
      </c>
      <c r="L610" s="1380">
        <f>IF(L$3&gt;A43remlife,A43value-SUM($G610:K610),IF(A43remlife="N/A","n/a",A43value/A43remlife))</f>
        <v>0</v>
      </c>
      <c r="M610" s="1380">
        <f>IF(M$3&gt;A43remlife,A43value-SUM($G610:L610),IF(A43remlife="N/A","n/a",A43value/A43remlife))</f>
        <v>0</v>
      </c>
      <c r="N610" s="1380">
        <f>IF(N$3&gt;A43remlife,A43value-SUM($G610:M610),IF(A43remlife="N/A","n/a",A43value/A43remlife))</f>
        <v>0</v>
      </c>
      <c r="O610" s="1380">
        <f>IF(O$3&gt;A43remlife,A43value-SUM($G610:N610),IF(A43remlife="N/A","n/a",A43value/A43remlife))</f>
        <v>0</v>
      </c>
      <c r="P610" s="1380">
        <f>IF(P$3&gt;A43remlife,A43value-SUM($G610:O610),IF(A43remlife="N/A","n/a",A43value/A43remlife))</f>
        <v>0</v>
      </c>
      <c r="Q610" s="1380">
        <f>IF(Q$3&gt;A43remlife,A43value-SUM($G610:P610),IF(A43remlife="N/A","n/a",A43value/A43remlife))</f>
        <v>0</v>
      </c>
      <c r="R610" s="21"/>
      <c r="S610" s="74"/>
      <c r="T610" s="74"/>
      <c r="U610" s="74"/>
      <c r="V610" s="74"/>
      <c r="W610" s="74"/>
      <c r="X610" s="74"/>
      <c r="Y610" s="74"/>
      <c r="Z610" s="74"/>
    </row>
    <row r="611" spans="1:26" ht="12.75" hidden="1" customHeight="1" outlineLevel="2">
      <c r="A611" s="3"/>
      <c r="B611" s="3"/>
      <c r="C611" s="3"/>
      <c r="D611" s="16"/>
      <c r="E611" s="1593" t="s">
        <v>43</v>
      </c>
      <c r="F611" s="61"/>
      <c r="G611" s="1341"/>
      <c r="H611" s="1386"/>
      <c r="I611" s="1386"/>
      <c r="J611" s="1386"/>
      <c r="K611" s="1386"/>
      <c r="L611" s="1386"/>
      <c r="M611" s="1387"/>
      <c r="N611" s="1388"/>
      <c r="O611" s="1386"/>
      <c r="P611" s="1386"/>
      <c r="Q611" s="1386"/>
      <c r="R611" s="18"/>
      <c r="S611" s="74"/>
      <c r="T611" s="74"/>
      <c r="U611" s="74"/>
      <c r="V611" s="74"/>
      <c r="W611" s="74"/>
      <c r="X611" s="74"/>
      <c r="Y611" s="74"/>
      <c r="Z611" s="74"/>
    </row>
    <row r="612" spans="1:26" ht="12.75" hidden="1" customHeight="1" outlineLevel="2">
      <c r="A612" s="3"/>
      <c r="B612" s="3"/>
      <c r="C612" s="3"/>
      <c r="D612" s="16"/>
      <c r="E612" s="1594"/>
      <c r="F612" s="61">
        <v>1</v>
      </c>
      <c r="G612" s="1341"/>
      <c r="H612" s="1381"/>
      <c r="I612" s="18">
        <f>IF(A43stdlife="n/a","n/a",IF(I$3&gt;(A43stdlife+$F612),('RFM input'!$H$265*(1+vanilla1)^0.5)-SUM($H612:H612),('RFM input'!$H$265*(1+vanilla1)^0.5)/A43stdlife))</f>
        <v>0</v>
      </c>
      <c r="J612" s="18">
        <f>IF(A43stdlife="n/a","n/a",IF(J$3&gt;(A43stdlife+$F612),('RFM input'!$H$265*(1+vanilla1)^0.5)-SUM($H612:I612),('RFM input'!$H$265*(1+vanilla1)^0.5)/A43stdlife))</f>
        <v>0</v>
      </c>
      <c r="K612" s="18">
        <f>IF(A43stdlife="n/a","n/a",IF(K$3&gt;(A43stdlife+$F612),('RFM input'!$H$265*(1+vanilla1)^0.5)-SUM($H612:J612),('RFM input'!$H$265*(1+vanilla1)^0.5)/A43stdlife))</f>
        <v>0</v>
      </c>
      <c r="L612" s="18">
        <f>IF(A43stdlife="n/a","n/a",IF(L$3&gt;(A43stdlife+$F612),('RFM input'!$H$265*(1+vanilla1)^0.5)-SUM($H612:K612),('RFM input'!$H$265*(1+vanilla1)^0.5)/A43stdlife))</f>
        <v>0</v>
      </c>
      <c r="M612" s="18">
        <f>IF(A43stdlife="n/a","n/a",IF(M$3&gt;(A43stdlife+$F612),('RFM input'!$H$265*(1+vanilla1)^0.5)-SUM($H612:L612),('RFM input'!$H$265*(1+vanilla1)^0.5)/A43stdlife))</f>
        <v>0</v>
      </c>
      <c r="N612" s="18">
        <f>IF(A43stdlife="n/a","n/a",IF(N$3&gt;(A43stdlife+$F612),('RFM input'!$H$265*(1+vanilla1)^0.5)-SUM($H612:M612),('RFM input'!$H$265*(1+vanilla1)^0.5)/A43stdlife))</f>
        <v>0</v>
      </c>
      <c r="O612" s="18">
        <f>IF(A43stdlife="n/a","n/a",IF(O$3&gt;(A43stdlife+$F612),('RFM input'!$H$265*(1+vanilla1)^0.5)-SUM($H612:N612),('RFM input'!$H$265*(1+vanilla1)^0.5)/A43stdlife))</f>
        <v>0</v>
      </c>
      <c r="P612" s="18">
        <f>IF(A43stdlife="n/a","n/a",IF(P$3&gt;(A43stdlife+$F612),('RFM input'!$H$265*(1+vanilla1)^0.5)-SUM($H612:O612),('RFM input'!$H$265*(1+vanilla1)^0.5)/A43stdlife))</f>
        <v>0</v>
      </c>
      <c r="Q612" s="18">
        <f>IF(A43stdlife="n/a","n/a",IF(Q$3&gt;(A43stdlife+$F612),('RFM input'!$H$265*(1+vanilla1)^0.5)-SUM($H612:P612),('RFM input'!$H$265*(1+vanilla1)^0.5)/A43stdlife))</f>
        <v>0</v>
      </c>
      <c r="R612" s="18"/>
      <c r="S612" s="74"/>
      <c r="T612" s="74"/>
      <c r="U612" s="74"/>
      <c r="V612" s="74"/>
      <c r="W612" s="74"/>
      <c r="X612" s="74"/>
      <c r="Y612" s="74"/>
      <c r="Z612" s="74"/>
    </row>
    <row r="613" spans="1:26" ht="12.75" hidden="1" customHeight="1" outlineLevel="2">
      <c r="A613" s="3"/>
      <c r="B613" s="3"/>
      <c r="C613" s="3"/>
      <c r="D613" s="16"/>
      <c r="E613" s="1594"/>
      <c r="F613" s="61">
        <v>2</v>
      </c>
      <c r="G613" s="1341"/>
      <c r="H613" s="114"/>
      <c r="I613" s="116"/>
      <c r="J613" s="18">
        <f>IF(A43stdlife="n/a","n/a",IF(J$3&gt;(A43stdlife+$F613),('RFM input'!$I$265*(1+vanilla2)^0.5)-SUM($I613:I613),('RFM input'!$I$265*(1+vanilla2)^0.5)/A43stdlife))</f>
        <v>0</v>
      </c>
      <c r="K613" s="18">
        <f>IF(A43stdlife="n/a","n/a",IF(K$3&gt;(A43stdlife+$F613),('RFM input'!$I$265*(1+vanilla2)^0.5)-SUM($I613:J613),('RFM input'!$I$265*(1+vanilla2)^0.5)/A43stdlife))</f>
        <v>0</v>
      </c>
      <c r="L613" s="18">
        <f>IF(A43stdlife="n/a","n/a",IF(L$3&gt;(A43stdlife+$F613),('RFM input'!$I$265*(1+vanilla2)^0.5)-SUM($I613:K613),('RFM input'!$I$265*(1+vanilla2)^0.5)/A43stdlife))</f>
        <v>0</v>
      </c>
      <c r="M613" s="18">
        <f>IF(A43stdlife="n/a","n/a",IF(M$3&gt;(A43stdlife+$F613),('RFM input'!$I$265*(1+vanilla2)^0.5)-SUM($I613:L613),('RFM input'!$I$265*(1+vanilla2)^0.5)/A43stdlife))</f>
        <v>0</v>
      </c>
      <c r="N613" s="18">
        <f>IF(A43stdlife="n/a","n/a",IF(N$3&gt;(A43stdlife+$F613),('RFM input'!$I$265*(1+vanilla2)^0.5)-SUM($I613:M613),('RFM input'!$I$265*(1+vanilla2)^0.5)/A43stdlife))</f>
        <v>0</v>
      </c>
      <c r="O613" s="18">
        <f>IF(A43stdlife="n/a","n/a",IF(O$3&gt;(A43stdlife+$F613),('RFM input'!$I$265*(1+vanilla2)^0.5)-SUM($I613:N613),('RFM input'!$I$265*(1+vanilla2)^0.5)/A43stdlife))</f>
        <v>0</v>
      </c>
      <c r="P613" s="18">
        <f>IF(A43stdlife="n/a","n/a",IF(P$3&gt;(A43stdlife+$F613),('RFM input'!$I$265*(1+vanilla2)^0.5)-SUM($I613:O613),('RFM input'!$I$265*(1+vanilla2)^0.5)/A43stdlife))</f>
        <v>0</v>
      </c>
      <c r="Q613" s="18">
        <f>IF(A43stdlife="n/a","n/a",IF(Q$3&gt;(A43stdlife+$F613),('RFM input'!$I$265*(1+vanilla2)^0.5)-SUM($I613:P613),('RFM input'!$I$265*(1+vanilla2)^0.5)/A43stdlife))</f>
        <v>0</v>
      </c>
      <c r="R613" s="18"/>
      <c r="S613" s="74"/>
      <c r="T613" s="74"/>
      <c r="U613" s="74"/>
      <c r="V613" s="74"/>
      <c r="W613" s="74"/>
      <c r="X613" s="74"/>
      <c r="Y613" s="74"/>
      <c r="Z613" s="74"/>
    </row>
    <row r="614" spans="1:26" ht="12.75" hidden="1" customHeight="1" outlineLevel="2">
      <c r="A614" s="3"/>
      <c r="B614" s="3"/>
      <c r="C614" s="3"/>
      <c r="D614" s="16"/>
      <c r="E614" s="1594"/>
      <c r="F614" s="61">
        <v>3</v>
      </c>
      <c r="G614" s="1341"/>
      <c r="H614" s="114"/>
      <c r="I614" s="115"/>
      <c r="J614" s="116"/>
      <c r="K614" s="18">
        <f>IF(A43stdlife="n/a","n/a",IF(K$3&gt;(A43stdlife+$F614),('RFM input'!$J$265*(1+vanilla3)^0.5)-SUM($J614:J614),('RFM input'!$J$265*(1+vanilla3)^0.5)/A43stdlife))</f>
        <v>0</v>
      </c>
      <c r="L614" s="18">
        <f>IF(A43stdlife="n/a","n/a",IF(L$3&gt;(A43stdlife+$F614),('RFM input'!$J$265*(1+vanilla3)^0.5)-SUM($J614:K614),('RFM input'!$J$265*(1+vanilla3)^0.5)/A43stdlife))</f>
        <v>0</v>
      </c>
      <c r="M614" s="18">
        <f>IF(A43stdlife="n/a","n/a",IF(M$3&gt;(A43stdlife+$F614),('RFM input'!$J$265*(1+vanilla3)^0.5)-SUM($J614:L614),('RFM input'!$J$265*(1+vanilla3)^0.5)/A43stdlife))</f>
        <v>0</v>
      </c>
      <c r="N614" s="18">
        <f>IF(A43stdlife="n/a","n/a",IF(N$3&gt;(A43stdlife+$F614),('RFM input'!$J$265*(1+vanilla3)^0.5)-SUM($J614:M614),('RFM input'!$J$265*(1+vanilla3)^0.5)/A43stdlife))</f>
        <v>0</v>
      </c>
      <c r="O614" s="18">
        <f>IF(A43stdlife="n/a","n/a",IF(O$3&gt;(A43stdlife+$F614),('RFM input'!$J$265*(1+vanilla3)^0.5)-SUM($J614:N614),('RFM input'!$J$265*(1+vanilla3)^0.5)/A43stdlife))</f>
        <v>0</v>
      </c>
      <c r="P614" s="18">
        <f>IF(A43stdlife="n/a","n/a",IF(P$3&gt;(A43stdlife+$F614),('RFM input'!$J$265*(1+vanilla3)^0.5)-SUM($J614:O614),('RFM input'!$J$265*(1+vanilla3)^0.5)/A43stdlife))</f>
        <v>0</v>
      </c>
      <c r="Q614" s="18">
        <f>IF(A43stdlife="n/a","n/a",IF(Q$3&gt;(A43stdlife+$F614),('RFM input'!$J$265*(1+vanilla3)^0.5)-SUM($J614:P614),('RFM input'!$J$265*(1+vanilla3)^0.5)/A43stdlife))</f>
        <v>0</v>
      </c>
      <c r="R614" s="18"/>
      <c r="S614" s="74"/>
      <c r="T614" s="74"/>
      <c r="U614" s="74"/>
      <c r="V614" s="74"/>
      <c r="W614" s="74"/>
      <c r="X614" s="74"/>
      <c r="Y614" s="74"/>
      <c r="Z614" s="74"/>
    </row>
    <row r="615" spans="1:26" ht="12.75" hidden="1" customHeight="1" outlineLevel="2">
      <c r="A615" s="3"/>
      <c r="B615" s="3"/>
      <c r="C615" s="3"/>
      <c r="D615" s="16"/>
      <c r="E615" s="1594"/>
      <c r="F615" s="61">
        <v>4</v>
      </c>
      <c r="G615" s="1341"/>
      <c r="H615" s="114"/>
      <c r="I615" s="115"/>
      <c r="J615" s="115"/>
      <c r="K615" s="116"/>
      <c r="L615" s="18">
        <f>IF(A43stdlife="n/a","n/a",IF(L$3&gt;(A43stdlife+$F615),('RFM input'!$K$265*(1+vanilla4)^0.5)-SUM($K615:K615),('RFM input'!$K$265*(1+vanilla4)^0.5)/A43stdlife))</f>
        <v>0</v>
      </c>
      <c r="M615" s="18">
        <f>IF(A43stdlife="n/a","n/a",IF(M$3&gt;(A43stdlife+$F615),('RFM input'!$K$265*(1+vanilla4)^0.5)-SUM($K615:L615),('RFM input'!$K$265*(1+vanilla4)^0.5)/A43stdlife))</f>
        <v>0</v>
      </c>
      <c r="N615" s="18">
        <f>IF(A43stdlife="n/a","n/a",IF(N$3&gt;(A43stdlife+$F615),('RFM input'!$K$265*(1+vanilla4)^0.5)-SUM($K615:M615),('RFM input'!$K$265*(1+vanilla4)^0.5)/A43stdlife))</f>
        <v>0</v>
      </c>
      <c r="O615" s="18">
        <f>IF(A43stdlife="n/a","n/a",IF(O$3&gt;(A43stdlife+$F615),('RFM input'!$K$265*(1+vanilla4)^0.5)-SUM($K615:N615),('RFM input'!$K$265*(1+vanilla4)^0.5)/A43stdlife))</f>
        <v>0</v>
      </c>
      <c r="P615" s="18">
        <f>IF(A43stdlife="n/a","n/a",IF(P$3&gt;(A43stdlife+$F615),('RFM input'!$K$265*(1+vanilla4)^0.5)-SUM($K615:O615),('RFM input'!$K$265*(1+vanilla4)^0.5)/A43stdlife))</f>
        <v>0</v>
      </c>
      <c r="Q615" s="18">
        <f>IF(A43stdlife="n/a","n/a",IF(Q$3&gt;(A43stdlife+$F615),('RFM input'!$K$265*(1+vanilla4)^0.5)-SUM($K615:P615),('RFM input'!$K$265*(1+vanilla4)^0.5)/A43stdlife))</f>
        <v>0</v>
      </c>
      <c r="R615" s="18"/>
      <c r="S615" s="74"/>
      <c r="T615" s="74"/>
      <c r="U615" s="74"/>
      <c r="V615" s="74"/>
      <c r="W615" s="74"/>
      <c r="X615" s="74"/>
      <c r="Y615" s="74"/>
      <c r="Z615" s="74"/>
    </row>
    <row r="616" spans="1:26" ht="12.75" hidden="1" customHeight="1" outlineLevel="2">
      <c r="A616" s="3"/>
      <c r="B616" s="3"/>
      <c r="C616" s="3"/>
      <c r="D616" s="16"/>
      <c r="E616" s="1594"/>
      <c r="F616" s="61">
        <v>5</v>
      </c>
      <c r="G616" s="17"/>
      <c r="H616" s="114"/>
      <c r="I616" s="115"/>
      <c r="J616" s="115"/>
      <c r="K616" s="115"/>
      <c r="L616" s="116"/>
      <c r="M616" s="18">
        <f>IF(A43stdlife="n/a","n/a",IF(M$3&gt;(A43stdlife+$F616),('RFM input'!$L$265*(1+vanilla5)^0.5)-SUM($L616:L616),('RFM input'!$L$265*(1+vanilla5)^0.5)/A43stdlife))</f>
        <v>0</v>
      </c>
      <c r="N616" s="18">
        <f>IF(A43stdlife="n/a","n/a",IF(N$3&gt;(A43stdlife+$F616),('RFM input'!$L$265*(1+vanilla5)^0.5)-SUM($L616:M616),('RFM input'!$L$265*(1+vanilla5)^0.5)/A43stdlife))</f>
        <v>0</v>
      </c>
      <c r="O616" s="18">
        <f>IF(A43stdlife="n/a","n/a",IF(O$3&gt;(A43stdlife+$F616),('RFM input'!$L$265*(1+vanilla5)^0.5)-SUM($L616:N616),('RFM input'!$L$265*(1+vanilla5)^0.5)/A43stdlife))</f>
        <v>0</v>
      </c>
      <c r="P616" s="18">
        <f>IF(A43stdlife="n/a","n/a",IF(P$3&gt;(A43stdlife+$F616),('RFM input'!$L$265*(1+vanilla5)^0.5)-SUM($L616:O616),('RFM input'!$L$265*(1+vanilla5)^0.5)/A43stdlife))</f>
        <v>0</v>
      </c>
      <c r="Q616" s="18">
        <f>IF(A43stdlife="n/a","n/a",IF(Q$3&gt;(A43stdlife+$F616),('RFM input'!$L$265*(1+vanilla5)^0.5)-SUM($L616:P616),('RFM input'!$L$265*(1+vanilla5)^0.5)/A43stdlife))</f>
        <v>0</v>
      </c>
      <c r="R616" s="18"/>
      <c r="S616" s="74"/>
      <c r="T616" s="74"/>
      <c r="U616" s="74"/>
      <c r="V616" s="74"/>
      <c r="W616" s="74"/>
      <c r="X616" s="74"/>
      <c r="Y616" s="74"/>
      <c r="Z616" s="74"/>
    </row>
    <row r="617" spans="1:26" ht="12.75" hidden="1" customHeight="1" outlineLevel="2">
      <c r="A617" s="3"/>
      <c r="B617" s="3"/>
      <c r="C617" s="3"/>
      <c r="D617" s="16"/>
      <c r="E617" s="1594"/>
      <c r="F617" s="61">
        <v>6</v>
      </c>
      <c r="G617" s="17"/>
      <c r="H617" s="114"/>
      <c r="I617" s="115"/>
      <c r="J617" s="115"/>
      <c r="K617" s="115"/>
      <c r="L617" s="115"/>
      <c r="M617" s="116"/>
      <c r="N617" s="18">
        <f>IF(A43stdlife="n/a","n/a",IF(N$3&gt;(A43stdlife+$F617),('RFM input'!$M$265*(1+vanilla6)^0.5)-SUM($M617:M617),('RFM input'!$M$265*(1+vanilla6)^0.5)/A43stdlife))</f>
        <v>0</v>
      </c>
      <c r="O617" s="18">
        <f>IF(A43stdlife="n/a","n/a",IF(O$3&gt;(A43stdlife+$F617),('RFM input'!$M$265*(1+vanilla6)^0.5)-SUM($M617:N617),('RFM input'!$M$265*(1+vanilla6)^0.5)/A43stdlife))</f>
        <v>0</v>
      </c>
      <c r="P617" s="18">
        <f>IF(A43stdlife="n/a","n/a",IF(P$3&gt;(A43stdlife+$F617),('RFM input'!$M$265*(1+vanilla6)^0.5)-SUM($M617:O617),('RFM input'!$M$265*(1+vanilla6)^0.5)/A43stdlife))</f>
        <v>0</v>
      </c>
      <c r="Q617" s="18">
        <f>IF(A43stdlife="n/a","n/a",IF(Q$3&gt;(A43stdlife+$F617),('RFM input'!$M$265*(1+vanilla6)^0.5)-SUM($M617:P617),('RFM input'!$M$265*(1+vanilla6)^0.5)/A43stdlife))</f>
        <v>0</v>
      </c>
      <c r="R617" s="18"/>
      <c r="S617" s="74"/>
      <c r="T617" s="74"/>
      <c r="U617" s="74"/>
      <c r="V617" s="74"/>
      <c r="W617" s="74"/>
      <c r="X617" s="74"/>
      <c r="Y617" s="74"/>
      <c r="Z617" s="74"/>
    </row>
    <row r="618" spans="1:26" ht="12.75" hidden="1" customHeight="1" outlineLevel="2">
      <c r="A618" s="3"/>
      <c r="B618" s="3"/>
      <c r="C618" s="3"/>
      <c r="D618" s="16"/>
      <c r="E618" s="1594"/>
      <c r="F618" s="61">
        <v>7</v>
      </c>
      <c r="G618" s="17"/>
      <c r="H618" s="114"/>
      <c r="I618" s="115"/>
      <c r="J618" s="115"/>
      <c r="K618" s="115"/>
      <c r="L618" s="115"/>
      <c r="M618" s="115"/>
      <c r="N618" s="116"/>
      <c r="O618" s="18">
        <f>IF(A43stdlife="n/a","n/a",IF(O$3&gt;(A43stdlife+$F618),('RFM input'!M$265*(1+vanilla7)^0.5)-SUM($N618:N618),('RFM input'!$N$265*(1+vanilla7)^0.5)/A43stdlife))</f>
        <v>0</v>
      </c>
      <c r="P618" s="18">
        <f>IF(A43stdlife="n/a","n/a",IF(P$3&gt;(A43stdlife+$F618),('RFM input'!N$265*(1+vanilla7)^0.5)-SUM($N618:O618),('RFM input'!$N$265*(1+vanilla7)^0.5)/A43stdlife))</f>
        <v>0</v>
      </c>
      <c r="Q618" s="18">
        <f>IF(A43stdlife="n/a","n/a",IF(Q$3&gt;(A43stdlife+$F618),('RFM input'!O$265*(1+vanilla7)^0.5)-SUM($N618:P618),('RFM input'!$N$265*(1+vanilla7)^0.5)/A43stdlife))</f>
        <v>0</v>
      </c>
      <c r="R618" s="18"/>
      <c r="S618" s="74"/>
      <c r="T618" s="74"/>
      <c r="U618" s="74"/>
      <c r="V618" s="74"/>
      <c r="W618" s="74"/>
      <c r="X618" s="74"/>
      <c r="Y618" s="74"/>
      <c r="Z618" s="74"/>
    </row>
    <row r="619" spans="1:26" ht="12.75" hidden="1" customHeight="1" outlineLevel="2">
      <c r="A619" s="3"/>
      <c r="B619" s="3"/>
      <c r="C619" s="3"/>
      <c r="D619" s="16"/>
      <c r="E619" s="1594"/>
      <c r="F619" s="61">
        <v>8</v>
      </c>
      <c r="G619" s="17"/>
      <c r="H619" s="114"/>
      <c r="I619" s="115"/>
      <c r="J619" s="115"/>
      <c r="K619" s="115"/>
      <c r="L619" s="115"/>
      <c r="M619" s="115"/>
      <c r="N619" s="115"/>
      <c r="O619" s="116"/>
      <c r="P619" s="18">
        <f>IF(A43stdlife="n/a","n/a",IF(P$3&gt;(A43stdlife+$F619),('RFM input'!$O$265*(1+vanilla8)^0.5)-SUM($O619:O619),('RFM input'!$O$265*(1+vanilla8)^0.5)/A43stdlife))</f>
        <v>0</v>
      </c>
      <c r="Q619" s="18">
        <f>IF(A43stdlife="n/a","n/a",IF(Q$3&gt;(A43stdlife+$F619),('RFM input'!$O$265*(1+vanilla8)^0.5)-SUM($O619:P619),('RFM input'!$O$265*(1+vanilla8)^0.5)/A43stdlife))</f>
        <v>0</v>
      </c>
      <c r="R619" s="18"/>
      <c r="S619" s="74"/>
      <c r="T619" s="74"/>
      <c r="U619" s="74"/>
      <c r="V619" s="74"/>
      <c r="W619" s="74"/>
      <c r="X619" s="74"/>
      <c r="Y619" s="74"/>
      <c r="Z619" s="74"/>
    </row>
    <row r="620" spans="1:26" ht="12.75" hidden="1" customHeight="1" outlineLevel="2">
      <c r="A620" s="3"/>
      <c r="B620" s="3"/>
      <c r="C620" s="3"/>
      <c r="D620" s="16"/>
      <c r="E620" s="1594"/>
      <c r="F620" s="61">
        <v>9</v>
      </c>
      <c r="G620" s="17"/>
      <c r="H620" s="114"/>
      <c r="I620" s="115"/>
      <c r="J620" s="115"/>
      <c r="K620" s="115"/>
      <c r="L620" s="115"/>
      <c r="M620" s="115"/>
      <c r="N620" s="115"/>
      <c r="O620" s="115"/>
      <c r="P620" s="116"/>
      <c r="Q620" s="18">
        <f>IF(A43stdlife="n/a","n/a",IF(Q$3&gt;(A43stdlife+$F620),('RFM input'!$P$265*(1+vanilla9)^0.5)-SUM($P620:P620),('RFM input'!$P$265*(1+vanilla9)^0.5)/A43stdlife))</f>
        <v>0</v>
      </c>
      <c r="R620" s="18"/>
      <c r="S620" s="74"/>
      <c r="T620" s="74"/>
      <c r="U620" s="74"/>
      <c r="V620" s="74"/>
      <c r="W620" s="74"/>
      <c r="X620" s="74"/>
      <c r="Y620" s="74"/>
      <c r="Z620" s="74"/>
    </row>
    <row r="621" spans="1:26" ht="12.75" hidden="1" customHeight="1" outlineLevel="2">
      <c r="A621" s="3"/>
      <c r="B621" s="3"/>
      <c r="C621" s="3"/>
      <c r="D621" s="16"/>
      <c r="E621" s="1594"/>
      <c r="F621" s="62">
        <v>10</v>
      </c>
      <c r="G621" s="17"/>
      <c r="H621" s="114"/>
      <c r="I621" s="115"/>
      <c r="J621" s="115"/>
      <c r="K621" s="115"/>
      <c r="L621" s="115"/>
      <c r="M621" s="115"/>
      <c r="N621" s="115"/>
      <c r="O621" s="115"/>
      <c r="P621" s="115"/>
      <c r="Q621" s="116"/>
      <c r="R621" s="18"/>
      <c r="S621" s="74"/>
      <c r="T621" s="74"/>
      <c r="U621" s="74"/>
      <c r="V621" s="74"/>
      <c r="W621" s="74"/>
      <c r="X621" s="74"/>
      <c r="Y621" s="74"/>
      <c r="Z621" s="74"/>
    </row>
    <row r="622" spans="1:26" ht="13.35" hidden="1" customHeight="1" outlineLevel="1">
      <c r="A622" s="3"/>
      <c r="B622" s="3"/>
      <c r="C622" s="3"/>
      <c r="D622" s="134">
        <f>Asset43</f>
        <v>0</v>
      </c>
      <c r="E622" s="3"/>
      <c r="F622" s="3"/>
      <c r="G622" s="1341"/>
      <c r="H622" s="1458">
        <f>IF(OR('RFM input'!$E$293='RFM input'!$G$292,'RFM input'!$E$293='RFM input'!$G$293),-INDEX('RFM input'!H$299:H$348,MATCH($D622,'RFM input'!$E$299:$E$348,0),1),-SUM(H610:H621))</f>
        <v>0</v>
      </c>
      <c r="I622" s="1458">
        <f>IF(OR('RFM input'!$E$293='RFM input'!$G$292,'RFM input'!$E$293='RFM input'!$G$293),-INDEX('RFM input'!I$299:I$348,MATCH($D622,'RFM input'!$E$299:$E$348,0),1),-SUM(I610:I621))</f>
        <v>0</v>
      </c>
      <c r="J622" s="1386">
        <f>IF(COUNT($H622:I622)&gt;='RFM input'!$V$7,
   0,
   IF(OR('RFM input'!$E$293='RFM input'!$G$292,'RFM input'!$E$293='RFM input'!$G$293),
      -INDEX('RFM input'!J$299:J$348,MATCH($D622,'RFM input'!$E$299:$E$348,0),1),
      -SUM(J610:J621)))</f>
        <v>0</v>
      </c>
      <c r="K622" s="1386">
        <f>IF(COUNT($H622:J622)&gt;='RFM input'!$V$7,
   0,
   IF(OR('RFM input'!$E$293='RFM input'!$G$292,'RFM input'!$E$293='RFM input'!$G$293),
      -INDEX('RFM input'!K$299:K$348,MATCH($D622,'RFM input'!$E$299:$E$348,0),1),
      -SUM(K610:K621)))</f>
        <v>0</v>
      </c>
      <c r="L622" s="1386">
        <f>IF(COUNT($H622:K622)&gt;='RFM input'!$V$7,
   0,
   IF(OR('RFM input'!$E$293='RFM input'!$G$292,'RFM input'!$E$293='RFM input'!$G$293),
      -INDEX('RFM input'!L$299:L$348,MATCH($D622,'RFM input'!$E$299:$E$348,0),1),
      -SUM(L610:L621)))</f>
        <v>0</v>
      </c>
      <c r="M622" s="1386">
        <f>IF(COUNT($H622:L622)&gt;='RFM input'!$V$7,
   0,
   IF(OR('RFM input'!$E$293='RFM input'!$G$292,'RFM input'!$E$293='RFM input'!$G$293),
      -INDEX('RFM input'!M$299:M$348,MATCH($D622,'RFM input'!$E$299:$E$348,0),1),
      -SUM(M610:M621)))</f>
        <v>0</v>
      </c>
      <c r="N622" s="1386">
        <f>IF(COUNT($H622:M622)&gt;='RFM input'!$V$7,
   0,
   IF(OR('RFM input'!$E$293='RFM input'!$G$292,'RFM input'!$E$293='RFM input'!$G$293),
      -INDEX('RFM input'!N$299:N$348,MATCH($D622,'RFM input'!$E$299:$E$348,0),1),
      -SUM(N610:N621)))</f>
        <v>0</v>
      </c>
      <c r="O622" s="1386">
        <f>IF(COUNT($H622:N622)&gt;='RFM input'!$V$7,
   0,
   IF(OR('RFM input'!$E$293='RFM input'!$G$292,'RFM input'!$E$293='RFM input'!$G$293),
      -INDEX('RFM input'!O$299:O$348,MATCH($D622,'RFM input'!$E$299:$E$348,0),1),
      -SUM(O610:O621)))</f>
        <v>0</v>
      </c>
      <c r="P622" s="1386">
        <f>IF(COUNT($H622:O622)&gt;='RFM input'!$V$7,
   0,
   IF(OR('RFM input'!$E$293='RFM input'!$G$292,'RFM input'!$E$293='RFM input'!$G$293),
      -INDEX('RFM input'!P$299:P$348,MATCH($D622,'RFM input'!$E$299:$E$348,0),1),
      -SUM(P610:P621)))</f>
        <v>0</v>
      </c>
      <c r="Q622" s="1386">
        <f>IF(COUNT($H622:P622)&gt;='RFM input'!$V$7,
   0,
   IF(OR('RFM input'!$E$293='RFM input'!$G$292,'RFM input'!$E$293='RFM input'!$G$293),
      -INDEX('RFM input'!Q$299:Q$348,MATCH($D622,'RFM input'!$E$299:$E$348,0),1),
      -SUM(Q610:Q621)))</f>
        <v>0</v>
      </c>
      <c r="R622" s="1382"/>
      <c r="S622" s="76"/>
      <c r="T622" s="76"/>
      <c r="U622" s="76"/>
      <c r="V622" s="76"/>
      <c r="W622" s="76"/>
      <c r="X622" s="76"/>
      <c r="Y622" s="76"/>
      <c r="Z622" s="76"/>
    </row>
    <row r="623" spans="1:26" ht="12.75" hidden="1" customHeight="1" outlineLevel="2">
      <c r="A623" s="3"/>
      <c r="B623" s="3"/>
      <c r="C623" s="135">
        <f>Asset44</f>
        <v>0</v>
      </c>
      <c r="D623" s="100"/>
      <c r="E623" s="20" t="s">
        <v>23</v>
      </c>
      <c r="F623" s="19"/>
      <c r="G623" s="1383"/>
      <c r="H623" s="1380">
        <f>IF(H$3&gt;A44remlife,A44value-SUM($G623:G623),IF(A44remlife="N/A","n/a",A44value/A44remlife))</f>
        <v>0</v>
      </c>
      <c r="I623" s="1380">
        <f>IF(I$3&gt;A44remlife,A44value-SUM($G623:H623),IF(A44remlife="N/A","n/a",A44value/A44remlife))</f>
        <v>0</v>
      </c>
      <c r="J623" s="1380">
        <f>IF(J$3&gt;A44remlife,A44value-SUM($G623:I623),IF(A44remlife="N/A","n/a",A44value/A44remlife))</f>
        <v>0</v>
      </c>
      <c r="K623" s="1380">
        <f>IF(K$3&gt;A44remlife,A44value-SUM($G623:J623),IF(A44remlife="N/A","n/a",A44value/A44remlife))</f>
        <v>0</v>
      </c>
      <c r="L623" s="1380">
        <f>IF(L$3&gt;A44remlife,A44value-SUM($G623:K623),IF(A44remlife="N/A","n/a",A44value/A44remlife))</f>
        <v>0</v>
      </c>
      <c r="M623" s="1380">
        <f>IF(M$3&gt;A44remlife,A44value-SUM($G623:L623),IF(A44remlife="N/A","n/a",A44value/A44remlife))</f>
        <v>0</v>
      </c>
      <c r="N623" s="1380">
        <f>IF(N$3&gt;A44remlife,A44value-SUM($G623:M623),IF(A44remlife="N/A","n/a",A44value/A44remlife))</f>
        <v>0</v>
      </c>
      <c r="O623" s="1380">
        <f>IF(O$3&gt;A44remlife,A44value-SUM($G623:N623),IF(A44remlife="N/A","n/a",A44value/A44remlife))</f>
        <v>0</v>
      </c>
      <c r="P623" s="1380">
        <f>IF(P$3&gt;A44remlife,A44value-SUM($G623:O623),IF(A44remlife="N/A","n/a",A44value/A44remlife))</f>
        <v>0</v>
      </c>
      <c r="Q623" s="1380">
        <f>IF(Q$3&gt;A44remlife,A44value-SUM($G623:P623),IF(A44remlife="N/A","n/a",A44value/A44remlife))</f>
        <v>0</v>
      </c>
      <c r="R623" s="21"/>
      <c r="S623" s="74"/>
      <c r="T623" s="74"/>
      <c r="U623" s="74"/>
      <c r="V623" s="74"/>
      <c r="W623" s="74"/>
      <c r="X623" s="74"/>
      <c r="Y623" s="74"/>
      <c r="Z623" s="74"/>
    </row>
    <row r="624" spans="1:26" ht="12.75" hidden="1" customHeight="1" outlineLevel="2">
      <c r="A624" s="3"/>
      <c r="B624" s="3"/>
      <c r="C624" s="3"/>
      <c r="D624" s="16"/>
      <c r="E624" s="1593" t="s">
        <v>43</v>
      </c>
      <c r="F624" s="61"/>
      <c r="G624" s="1341"/>
      <c r="H624" s="1386"/>
      <c r="I624" s="1386"/>
      <c r="J624" s="1386"/>
      <c r="K624" s="1386"/>
      <c r="L624" s="1386"/>
      <c r="M624" s="1387"/>
      <c r="N624" s="1388"/>
      <c r="O624" s="1386"/>
      <c r="P624" s="1386"/>
      <c r="Q624" s="1386"/>
      <c r="R624" s="18"/>
      <c r="S624" s="74"/>
      <c r="T624" s="74"/>
      <c r="U624" s="74"/>
      <c r="V624" s="74"/>
      <c r="W624" s="74"/>
      <c r="X624" s="74"/>
      <c r="Y624" s="74"/>
      <c r="Z624" s="74"/>
    </row>
    <row r="625" spans="1:26" ht="12.75" hidden="1" customHeight="1" outlineLevel="2">
      <c r="A625" s="3"/>
      <c r="B625" s="3"/>
      <c r="C625" s="3"/>
      <c r="D625" s="16"/>
      <c r="E625" s="1594"/>
      <c r="F625" s="61">
        <v>1</v>
      </c>
      <c r="G625" s="1341"/>
      <c r="H625" s="1381"/>
      <c r="I625" s="18">
        <f>IF(A44stdlife="n/a","n/a",IF(I$3&gt;(A44stdlife+$F625),('RFM input'!$H$266*(1+vanilla1)^0.5)-SUM($H625:H625),('RFM input'!$H$266*(1+vanilla1)^0.5)/A44stdlife))</f>
        <v>0</v>
      </c>
      <c r="J625" s="18">
        <f>IF(A44stdlife="n/a","n/a",IF(J$3&gt;(A44stdlife+$F625),('RFM input'!$H$266*(1+vanilla1)^0.5)-SUM($H625:I625),('RFM input'!$H$266*(1+vanilla1)^0.5)/A44stdlife))</f>
        <v>0</v>
      </c>
      <c r="K625" s="18">
        <f>IF(A44stdlife="n/a","n/a",IF(K$3&gt;(A44stdlife+$F625),('RFM input'!$H$266*(1+vanilla1)^0.5)-SUM($H625:J625),('RFM input'!$H$266*(1+vanilla1)^0.5)/A44stdlife))</f>
        <v>0</v>
      </c>
      <c r="L625" s="18">
        <f>IF(A44stdlife="n/a","n/a",IF(L$3&gt;(A44stdlife+$F625),('RFM input'!$H$266*(1+vanilla1)^0.5)-SUM($H625:K625),('RFM input'!$H$266*(1+vanilla1)^0.5)/A44stdlife))</f>
        <v>0</v>
      </c>
      <c r="M625" s="18">
        <f>IF(A44stdlife="n/a","n/a",IF(M$3&gt;(A44stdlife+$F625),('RFM input'!$H$266*(1+vanilla1)^0.5)-SUM($H625:L625),('RFM input'!$H$266*(1+vanilla1)^0.5)/A44stdlife))</f>
        <v>0</v>
      </c>
      <c r="N625" s="18">
        <f>IF(A44stdlife="n/a","n/a",IF(N$3&gt;(A44stdlife+$F625),('RFM input'!$H$266*(1+vanilla1)^0.5)-SUM($H625:M625),('RFM input'!$H$266*(1+vanilla1)^0.5)/A44stdlife))</f>
        <v>0</v>
      </c>
      <c r="O625" s="18">
        <f>IF(A44stdlife="n/a","n/a",IF(O$3&gt;(A44stdlife+$F625),('RFM input'!$H$266*(1+vanilla1)^0.5)-SUM($H625:N625),('RFM input'!$H$266*(1+vanilla1)^0.5)/A44stdlife))</f>
        <v>0</v>
      </c>
      <c r="P625" s="18">
        <f>IF(A44stdlife="n/a","n/a",IF(P$3&gt;(A44stdlife+$F625),('RFM input'!$H$266*(1+vanilla1)^0.5)-SUM($H625:O625),('RFM input'!$H$266*(1+vanilla1)^0.5)/A44stdlife))</f>
        <v>0</v>
      </c>
      <c r="Q625" s="18">
        <f>IF(A44stdlife="n/a","n/a",IF(Q$3&gt;(A44stdlife+$F625),('RFM input'!$H$266*(1+vanilla1)^0.5)-SUM($H625:P625),('RFM input'!$H$266*(1+vanilla1)^0.5)/A44stdlife))</f>
        <v>0</v>
      </c>
      <c r="R625" s="18"/>
      <c r="S625" s="74"/>
      <c r="T625" s="74"/>
      <c r="U625" s="74"/>
      <c r="V625" s="74"/>
      <c r="W625" s="74"/>
      <c r="X625" s="74"/>
      <c r="Y625" s="74"/>
      <c r="Z625" s="74"/>
    </row>
    <row r="626" spans="1:26" ht="12.75" hidden="1" customHeight="1" outlineLevel="2">
      <c r="A626" s="3"/>
      <c r="B626" s="3"/>
      <c r="C626" s="3"/>
      <c r="D626" s="16"/>
      <c r="E626" s="1594"/>
      <c r="F626" s="61">
        <v>2</v>
      </c>
      <c r="G626" s="1341"/>
      <c r="H626" s="114"/>
      <c r="I626" s="116"/>
      <c r="J626" s="18">
        <f>IF(A44stdlife="n/a","n/a",IF(J$3&gt;(A44stdlife+$F626),('RFM input'!$I$266*(1+vanilla2)^0.5)-SUM($I626:I626),('RFM input'!$I$266*(1+vanilla2)^0.5)/A44stdlife))</f>
        <v>0</v>
      </c>
      <c r="K626" s="18">
        <f>IF(A44stdlife="n/a","n/a",IF(K$3&gt;(A44stdlife+$F626),('RFM input'!$I$266*(1+vanilla2)^0.5)-SUM($I626:J626),('RFM input'!$I$266*(1+vanilla2)^0.5)/A44stdlife))</f>
        <v>0</v>
      </c>
      <c r="L626" s="18">
        <f>IF(A44stdlife="n/a","n/a",IF(L$3&gt;(A44stdlife+$F626),('RFM input'!$I$266*(1+vanilla2)^0.5)-SUM($I626:K626),('RFM input'!$I$266*(1+vanilla2)^0.5)/A44stdlife))</f>
        <v>0</v>
      </c>
      <c r="M626" s="18">
        <f>IF(A44stdlife="n/a","n/a",IF(M$3&gt;(A44stdlife+$F626),('RFM input'!$I$266*(1+vanilla2)^0.5)-SUM($I626:L626),('RFM input'!$I$266*(1+vanilla2)^0.5)/A44stdlife))</f>
        <v>0</v>
      </c>
      <c r="N626" s="18">
        <f>IF(A44stdlife="n/a","n/a",IF(N$3&gt;(A44stdlife+$F626),('RFM input'!$I$266*(1+vanilla2)^0.5)-SUM($I626:M626),('RFM input'!$I$266*(1+vanilla2)^0.5)/A44stdlife))</f>
        <v>0</v>
      </c>
      <c r="O626" s="18">
        <f>IF(A44stdlife="n/a","n/a",IF(O$3&gt;(A44stdlife+$F626),('RFM input'!$I$266*(1+vanilla2)^0.5)-SUM($I626:N626),('RFM input'!$I$266*(1+vanilla2)^0.5)/A44stdlife))</f>
        <v>0</v>
      </c>
      <c r="P626" s="18">
        <f>IF(A44stdlife="n/a","n/a",IF(P$3&gt;(A44stdlife+$F626),('RFM input'!$I$266*(1+vanilla2)^0.5)-SUM($I626:O626),('RFM input'!$I$266*(1+vanilla2)^0.5)/A44stdlife))</f>
        <v>0</v>
      </c>
      <c r="Q626" s="18">
        <f>IF(A44stdlife="n/a","n/a",IF(Q$3&gt;(A44stdlife+$F626),('RFM input'!$I$266*(1+vanilla2)^0.5)-SUM($I626:P626),('RFM input'!$I$266*(1+vanilla2)^0.5)/A44stdlife))</f>
        <v>0</v>
      </c>
      <c r="R626" s="18"/>
      <c r="S626" s="74"/>
      <c r="T626" s="74"/>
      <c r="U626" s="74"/>
      <c r="V626" s="74"/>
      <c r="W626" s="74"/>
      <c r="X626" s="74"/>
      <c r="Y626" s="74"/>
      <c r="Z626" s="74"/>
    </row>
    <row r="627" spans="1:26" ht="12.75" hidden="1" customHeight="1" outlineLevel="2">
      <c r="A627" s="3"/>
      <c r="B627" s="3"/>
      <c r="C627" s="3"/>
      <c r="D627" s="16"/>
      <c r="E627" s="1594"/>
      <c r="F627" s="61">
        <v>3</v>
      </c>
      <c r="G627" s="1341"/>
      <c r="H627" s="114"/>
      <c r="I627" s="115"/>
      <c r="J627" s="116"/>
      <c r="K627" s="18">
        <f>IF(A44stdlife="n/a","n/a",IF(K$3&gt;(A44stdlife+$F627),('RFM input'!$J$266*(1+vanilla3)^0.5)-SUM($J627:J627),('RFM input'!$J$266*(1+vanilla3)^0.5)/A44stdlife))</f>
        <v>0</v>
      </c>
      <c r="L627" s="18">
        <f>IF(A44stdlife="n/a","n/a",IF(L$3&gt;(A44stdlife+$F627),('RFM input'!$J$266*(1+vanilla3)^0.5)-SUM($J627:K627),('RFM input'!$J$266*(1+vanilla3)^0.5)/A44stdlife))</f>
        <v>0</v>
      </c>
      <c r="M627" s="18">
        <f>IF(A44stdlife="n/a","n/a",IF(M$3&gt;(A44stdlife+$F627),('RFM input'!$J$266*(1+vanilla3)^0.5)-SUM($J627:L627),('RFM input'!$J$266*(1+vanilla3)^0.5)/A44stdlife))</f>
        <v>0</v>
      </c>
      <c r="N627" s="18">
        <f>IF(A44stdlife="n/a","n/a",IF(N$3&gt;(A44stdlife+$F627),('RFM input'!$J$266*(1+vanilla3)^0.5)-SUM($J627:M627),('RFM input'!$J$266*(1+vanilla3)^0.5)/A44stdlife))</f>
        <v>0</v>
      </c>
      <c r="O627" s="18">
        <f>IF(A44stdlife="n/a","n/a",IF(O$3&gt;(A44stdlife+$F627),('RFM input'!$J$266*(1+vanilla3)^0.5)-SUM($J627:N627),('RFM input'!$J$266*(1+vanilla3)^0.5)/A44stdlife))</f>
        <v>0</v>
      </c>
      <c r="P627" s="18">
        <f>IF(A44stdlife="n/a","n/a",IF(P$3&gt;(A44stdlife+$F627),('RFM input'!$J$266*(1+vanilla3)^0.5)-SUM($J627:O627),('RFM input'!$J$266*(1+vanilla3)^0.5)/A44stdlife))</f>
        <v>0</v>
      </c>
      <c r="Q627" s="18">
        <f>IF(A44stdlife="n/a","n/a",IF(Q$3&gt;(A44stdlife+$F627),('RFM input'!$J$266*(1+vanilla3)^0.5)-SUM($J627:P627),('RFM input'!$J$266*(1+vanilla3)^0.5)/A44stdlife))</f>
        <v>0</v>
      </c>
      <c r="R627" s="18"/>
      <c r="S627" s="74"/>
      <c r="T627" s="74"/>
      <c r="U627" s="74"/>
      <c r="V627" s="74"/>
      <c r="W627" s="74"/>
      <c r="X627" s="74"/>
      <c r="Y627" s="74"/>
      <c r="Z627" s="74"/>
    </row>
    <row r="628" spans="1:26" ht="12.75" hidden="1" customHeight="1" outlineLevel="2">
      <c r="A628" s="3"/>
      <c r="B628" s="3"/>
      <c r="C628" s="3"/>
      <c r="D628" s="16"/>
      <c r="E628" s="1594"/>
      <c r="F628" s="61">
        <v>4</v>
      </c>
      <c r="G628" s="1341"/>
      <c r="H628" s="114"/>
      <c r="I628" s="115"/>
      <c r="J628" s="115"/>
      <c r="K628" s="116"/>
      <c r="L628" s="18">
        <f>IF(A44stdlife="n/a","n/a",IF(L$3&gt;(A44stdlife+$F628),('RFM input'!$K$266*(1+vanilla4)^0.5)-SUM($K628:K628),('RFM input'!$K$266*(1+vanilla4)^0.5)/A44stdlife))</f>
        <v>0</v>
      </c>
      <c r="M628" s="18">
        <f>IF(A44stdlife="n/a","n/a",IF(M$3&gt;(A44stdlife+$F628),('RFM input'!$K$266*(1+vanilla4)^0.5)-SUM($K628:L628),('RFM input'!$K$266*(1+vanilla4)^0.5)/A44stdlife))</f>
        <v>0</v>
      </c>
      <c r="N628" s="18">
        <f>IF(A44stdlife="n/a","n/a",IF(N$3&gt;(A44stdlife+$F628),('RFM input'!$K$266*(1+vanilla4)^0.5)-SUM($K628:M628),('RFM input'!$K$266*(1+vanilla4)^0.5)/A44stdlife))</f>
        <v>0</v>
      </c>
      <c r="O628" s="18">
        <f>IF(A44stdlife="n/a","n/a",IF(O$3&gt;(A44stdlife+$F628),('RFM input'!$K$266*(1+vanilla4)^0.5)-SUM($K628:N628),('RFM input'!$K$266*(1+vanilla4)^0.5)/A44stdlife))</f>
        <v>0</v>
      </c>
      <c r="P628" s="18">
        <f>IF(A44stdlife="n/a","n/a",IF(P$3&gt;(A44stdlife+$F628),('RFM input'!$K$266*(1+vanilla4)^0.5)-SUM($K628:O628),('RFM input'!$K$266*(1+vanilla4)^0.5)/A44stdlife))</f>
        <v>0</v>
      </c>
      <c r="Q628" s="18">
        <f>IF(A44stdlife="n/a","n/a",IF(Q$3&gt;(A44stdlife+$F628),('RFM input'!$K$266*(1+vanilla4)^0.5)-SUM($K628:P628),('RFM input'!$K$266*(1+vanilla4)^0.5)/A44stdlife))</f>
        <v>0</v>
      </c>
      <c r="R628" s="18"/>
      <c r="S628" s="74"/>
      <c r="T628" s="74"/>
      <c r="U628" s="74"/>
      <c r="V628" s="74"/>
      <c r="W628" s="74"/>
      <c r="X628" s="74"/>
      <c r="Y628" s="74"/>
      <c r="Z628" s="74"/>
    </row>
    <row r="629" spans="1:26" ht="12.75" hidden="1" customHeight="1" outlineLevel="2">
      <c r="A629" s="3"/>
      <c r="B629" s="3"/>
      <c r="C629" s="3"/>
      <c r="D629" s="16"/>
      <c r="E629" s="1594"/>
      <c r="F629" s="61">
        <v>5</v>
      </c>
      <c r="G629" s="17"/>
      <c r="H629" s="114"/>
      <c r="I629" s="115"/>
      <c r="J629" s="115"/>
      <c r="K629" s="115"/>
      <c r="L629" s="116"/>
      <c r="M629" s="18">
        <f>IF(A44stdlife="n/a","n/a",IF(M$3&gt;(A44stdlife+$F629),('RFM input'!$L$266*(1+vanilla5)^0.5)-SUM($L629:L629),('RFM input'!$L$266*(1+vanilla5)^0.5)/A44stdlife))</f>
        <v>0</v>
      </c>
      <c r="N629" s="18">
        <f>IF(A44stdlife="n/a","n/a",IF(N$3&gt;(A44stdlife+$F629),('RFM input'!$L$266*(1+vanilla5)^0.5)-SUM($L629:M629),('RFM input'!$L$266*(1+vanilla5)^0.5)/A44stdlife))</f>
        <v>0</v>
      </c>
      <c r="O629" s="18">
        <f>IF(A44stdlife="n/a","n/a",IF(O$3&gt;(A44stdlife+$F629),('RFM input'!$L$266*(1+vanilla5)^0.5)-SUM($L629:N629),('RFM input'!$L$266*(1+vanilla5)^0.5)/A44stdlife))</f>
        <v>0</v>
      </c>
      <c r="P629" s="18">
        <f>IF(A44stdlife="n/a","n/a",IF(P$3&gt;(A44stdlife+$F629),('RFM input'!$L$266*(1+vanilla5)^0.5)-SUM($L629:O629),('RFM input'!$L$266*(1+vanilla5)^0.5)/A44stdlife))</f>
        <v>0</v>
      </c>
      <c r="Q629" s="18">
        <f>IF(A44stdlife="n/a","n/a",IF(Q$3&gt;(A44stdlife+$F629),('RFM input'!$L$266*(1+vanilla5)^0.5)-SUM($L629:P629),('RFM input'!$L$266*(1+vanilla5)^0.5)/A44stdlife))</f>
        <v>0</v>
      </c>
      <c r="R629" s="18"/>
      <c r="S629" s="74"/>
      <c r="T629" s="74"/>
      <c r="U629" s="74"/>
      <c r="V629" s="74"/>
      <c r="W629" s="74"/>
      <c r="X629" s="74"/>
      <c r="Y629" s="74"/>
      <c r="Z629" s="74"/>
    </row>
    <row r="630" spans="1:26" ht="12.75" hidden="1" customHeight="1" outlineLevel="2">
      <c r="A630" s="3"/>
      <c r="B630" s="3"/>
      <c r="C630" s="3"/>
      <c r="D630" s="16"/>
      <c r="E630" s="1594"/>
      <c r="F630" s="61">
        <v>6</v>
      </c>
      <c r="G630" s="17"/>
      <c r="H630" s="114"/>
      <c r="I630" s="115"/>
      <c r="J630" s="115"/>
      <c r="K630" s="115"/>
      <c r="L630" s="115"/>
      <c r="M630" s="116"/>
      <c r="N630" s="18">
        <f>IF(A44stdlife="n/a","n/a",IF(N$3&gt;(A44stdlife+$F630),('RFM input'!$M$266*(1+vanilla6)^0.5)-SUM($M630:M630),('RFM input'!$M$266*(1+vanilla6)^0.5)/A44stdlife))</f>
        <v>0</v>
      </c>
      <c r="O630" s="18">
        <f>IF(A44stdlife="n/a","n/a",IF(O$3&gt;(A44stdlife+$F630),('RFM input'!$M$266*(1+vanilla6)^0.5)-SUM($M630:N630),('RFM input'!$M$266*(1+vanilla6)^0.5)/A44stdlife))</f>
        <v>0</v>
      </c>
      <c r="P630" s="18">
        <f>IF(A44stdlife="n/a","n/a",IF(P$3&gt;(A44stdlife+$F630),('RFM input'!$M$266*(1+vanilla6)^0.5)-SUM($M630:O630),('RFM input'!$M$266*(1+vanilla6)^0.5)/A44stdlife))</f>
        <v>0</v>
      </c>
      <c r="Q630" s="18">
        <f>IF(A44stdlife="n/a","n/a",IF(Q$3&gt;(A44stdlife+$F630),('RFM input'!$M$266*(1+vanilla6)^0.5)-SUM($M630:P630),('RFM input'!$M$266*(1+vanilla6)^0.5)/A44stdlife))</f>
        <v>0</v>
      </c>
      <c r="R630" s="18"/>
      <c r="S630" s="74"/>
      <c r="T630" s="74"/>
      <c r="U630" s="74"/>
      <c r="V630" s="74"/>
      <c r="W630" s="74"/>
      <c r="X630" s="74"/>
      <c r="Y630" s="74"/>
      <c r="Z630" s="74"/>
    </row>
    <row r="631" spans="1:26" ht="12.75" hidden="1" customHeight="1" outlineLevel="2">
      <c r="A631" s="3"/>
      <c r="B631" s="3"/>
      <c r="C631" s="3"/>
      <c r="D631" s="16"/>
      <c r="E631" s="1594"/>
      <c r="F631" s="61">
        <v>7</v>
      </c>
      <c r="G631" s="17"/>
      <c r="H631" s="114"/>
      <c r="I631" s="115"/>
      <c r="J631" s="115"/>
      <c r="K631" s="115"/>
      <c r="L631" s="115"/>
      <c r="M631" s="115"/>
      <c r="N631" s="116"/>
      <c r="O631" s="18">
        <f>IF(A44stdlife="n/a","n/a",IF(O$3&gt;(A44stdlife+$F631),('RFM input'!M$266*(1+vanilla7)^0.5)-SUM($N631:N631),('RFM input'!$N$266*(1+vanilla7)^0.5)/A44stdlife))</f>
        <v>0</v>
      </c>
      <c r="P631" s="18">
        <f>IF(A44stdlife="n/a","n/a",IF(P$3&gt;(A44stdlife+$F631),('RFM input'!N$266*(1+vanilla7)^0.5)-SUM($N631:O631),('RFM input'!$N$266*(1+vanilla7)^0.5)/A44stdlife))</f>
        <v>0</v>
      </c>
      <c r="Q631" s="18">
        <f>IF(A44stdlife="n/a","n/a",IF(Q$3&gt;(A44stdlife+$F631),('RFM input'!O$266*(1+vanilla7)^0.5)-SUM($N631:P631),('RFM input'!$N$266*(1+vanilla7)^0.5)/A44stdlife))</f>
        <v>0</v>
      </c>
      <c r="R631" s="18"/>
      <c r="S631" s="74"/>
      <c r="T631" s="74"/>
      <c r="U631" s="74"/>
      <c r="V631" s="74"/>
      <c r="W631" s="74"/>
      <c r="X631" s="74"/>
      <c r="Y631" s="74"/>
      <c r="Z631" s="74"/>
    </row>
    <row r="632" spans="1:26" ht="12.75" hidden="1" customHeight="1" outlineLevel="2">
      <c r="A632" s="3"/>
      <c r="B632" s="3"/>
      <c r="C632" s="3"/>
      <c r="D632" s="16"/>
      <c r="E632" s="1594"/>
      <c r="F632" s="61">
        <v>8</v>
      </c>
      <c r="G632" s="17"/>
      <c r="H632" s="114"/>
      <c r="I632" s="115"/>
      <c r="J632" s="115"/>
      <c r="K632" s="115"/>
      <c r="L632" s="115"/>
      <c r="M632" s="115"/>
      <c r="N632" s="115"/>
      <c r="O632" s="116"/>
      <c r="P632" s="18">
        <f>IF(A44stdlife="n/a","n/a",IF(P$3&gt;(A44stdlife+$F632),('RFM input'!$O$266*(1+vanilla8)^0.5)-SUM($O632:O632),('RFM input'!$O$266*(1+vanilla8)^0.5)/A44stdlife))</f>
        <v>0</v>
      </c>
      <c r="Q632" s="18">
        <f>IF(A44stdlife="n/a","n/a",IF(Q$3&gt;(A44stdlife+$F632),('RFM input'!$O$266*(1+vanilla8)^0.5)-SUM($O632:P632),('RFM input'!$O$266*(1+vanilla8)^0.5)/A44stdlife))</f>
        <v>0</v>
      </c>
      <c r="R632" s="18"/>
      <c r="S632" s="74"/>
      <c r="T632" s="74"/>
      <c r="U632" s="74"/>
      <c r="V632" s="74"/>
      <c r="W632" s="74"/>
      <c r="X632" s="74"/>
      <c r="Y632" s="74"/>
      <c r="Z632" s="74"/>
    </row>
    <row r="633" spans="1:26" ht="12.75" hidden="1" customHeight="1" outlineLevel="2">
      <c r="A633" s="3"/>
      <c r="B633" s="3"/>
      <c r="C633" s="3"/>
      <c r="D633" s="16"/>
      <c r="E633" s="1594"/>
      <c r="F633" s="61">
        <v>9</v>
      </c>
      <c r="G633" s="17"/>
      <c r="H633" s="114"/>
      <c r="I633" s="115"/>
      <c r="J633" s="115"/>
      <c r="K633" s="115"/>
      <c r="L633" s="115"/>
      <c r="M633" s="115"/>
      <c r="N633" s="115"/>
      <c r="O633" s="115"/>
      <c r="P633" s="116"/>
      <c r="Q633" s="18">
        <f>IF(A44stdlife="n/a","n/a",IF(Q$3&gt;(A44stdlife+$F633),('RFM input'!$P$266*(1+vanilla9)^0.5)-SUM($P633:P633),('RFM input'!$P$266*(1+vanilla9)^0.5)/A44stdlife))</f>
        <v>0</v>
      </c>
      <c r="R633" s="18"/>
      <c r="S633" s="74"/>
      <c r="T633" s="74"/>
      <c r="U633" s="74"/>
      <c r="V633" s="74"/>
      <c r="W633" s="74"/>
      <c r="X633" s="74"/>
      <c r="Y633" s="74"/>
      <c r="Z633" s="74"/>
    </row>
    <row r="634" spans="1:26" ht="12.75" hidden="1" customHeight="1" outlineLevel="2">
      <c r="A634" s="3"/>
      <c r="B634" s="3"/>
      <c r="C634" s="3"/>
      <c r="D634" s="16"/>
      <c r="E634" s="1594"/>
      <c r="F634" s="62">
        <v>10</v>
      </c>
      <c r="G634" s="17"/>
      <c r="H634" s="114"/>
      <c r="I634" s="115"/>
      <c r="J634" s="115"/>
      <c r="K634" s="115"/>
      <c r="L634" s="115"/>
      <c r="M634" s="115"/>
      <c r="N634" s="115"/>
      <c r="O634" s="115"/>
      <c r="P634" s="115"/>
      <c r="Q634" s="116"/>
      <c r="R634" s="18"/>
      <c r="S634" s="74"/>
      <c r="T634" s="74"/>
      <c r="U634" s="74"/>
      <c r="V634" s="74"/>
      <c r="W634" s="74"/>
      <c r="X634" s="74"/>
      <c r="Y634" s="74"/>
      <c r="Z634" s="74"/>
    </row>
    <row r="635" spans="1:26" ht="13.35" hidden="1" customHeight="1" outlineLevel="1">
      <c r="A635" s="3"/>
      <c r="B635" s="3"/>
      <c r="C635" s="3"/>
      <c r="D635" s="134">
        <f>Asset44</f>
        <v>0</v>
      </c>
      <c r="E635" s="3"/>
      <c r="F635" s="3"/>
      <c r="G635" s="1341"/>
      <c r="H635" s="1458">
        <f>IF(OR('RFM input'!$E$293='RFM input'!$G$292,'RFM input'!$E$293='RFM input'!$G$293),-INDEX('RFM input'!H$299:H$348,MATCH($D635,'RFM input'!$E$299:$E$348,0),1),-SUM(H623:H634))</f>
        <v>0</v>
      </c>
      <c r="I635" s="1458">
        <f>IF(OR('RFM input'!$E$293='RFM input'!$G$292,'RFM input'!$E$293='RFM input'!$G$293),-INDEX('RFM input'!I$299:I$348,MATCH($D635,'RFM input'!$E$299:$E$348,0),1),-SUM(I623:I634))</f>
        <v>0</v>
      </c>
      <c r="J635" s="1386">
        <f>IF(COUNT($H635:I635)&gt;='RFM input'!$V$7,
   0,
   IF(OR('RFM input'!$E$293='RFM input'!$G$292,'RFM input'!$E$293='RFM input'!$G$293),
      -INDEX('RFM input'!J$299:J$348,MATCH($D635,'RFM input'!$E$299:$E$348,0),1),
      -SUM(J623:J634)))</f>
        <v>0</v>
      </c>
      <c r="K635" s="1386">
        <f>IF(COUNT($H635:J635)&gt;='RFM input'!$V$7,
   0,
   IF(OR('RFM input'!$E$293='RFM input'!$G$292,'RFM input'!$E$293='RFM input'!$G$293),
      -INDEX('RFM input'!K$299:K$348,MATCH($D635,'RFM input'!$E$299:$E$348,0),1),
      -SUM(K623:K634)))</f>
        <v>0</v>
      </c>
      <c r="L635" s="1386">
        <f>IF(COUNT($H635:K635)&gt;='RFM input'!$V$7,
   0,
   IF(OR('RFM input'!$E$293='RFM input'!$G$292,'RFM input'!$E$293='RFM input'!$G$293),
      -INDEX('RFM input'!L$299:L$348,MATCH($D635,'RFM input'!$E$299:$E$348,0),1),
      -SUM(L623:L634)))</f>
        <v>0</v>
      </c>
      <c r="M635" s="1386">
        <f>IF(COUNT($H635:L635)&gt;='RFM input'!$V$7,
   0,
   IF(OR('RFM input'!$E$293='RFM input'!$G$292,'RFM input'!$E$293='RFM input'!$G$293),
      -INDEX('RFM input'!M$299:M$348,MATCH($D635,'RFM input'!$E$299:$E$348,0),1),
      -SUM(M623:M634)))</f>
        <v>0</v>
      </c>
      <c r="N635" s="1386">
        <f>IF(COUNT($H635:M635)&gt;='RFM input'!$V$7,
   0,
   IF(OR('RFM input'!$E$293='RFM input'!$G$292,'RFM input'!$E$293='RFM input'!$G$293),
      -INDEX('RFM input'!N$299:N$348,MATCH($D635,'RFM input'!$E$299:$E$348,0),1),
      -SUM(N623:N634)))</f>
        <v>0</v>
      </c>
      <c r="O635" s="1386">
        <f>IF(COUNT($H635:N635)&gt;='RFM input'!$V$7,
   0,
   IF(OR('RFM input'!$E$293='RFM input'!$G$292,'RFM input'!$E$293='RFM input'!$G$293),
      -INDEX('RFM input'!O$299:O$348,MATCH($D635,'RFM input'!$E$299:$E$348,0),1),
      -SUM(O623:O634)))</f>
        <v>0</v>
      </c>
      <c r="P635" s="1386">
        <f>IF(COUNT($H635:O635)&gt;='RFM input'!$V$7,
   0,
   IF(OR('RFM input'!$E$293='RFM input'!$G$292,'RFM input'!$E$293='RFM input'!$G$293),
      -INDEX('RFM input'!P$299:P$348,MATCH($D635,'RFM input'!$E$299:$E$348,0),1),
      -SUM(P623:P634)))</f>
        <v>0</v>
      </c>
      <c r="Q635" s="1386">
        <f>IF(COUNT($H635:P635)&gt;='RFM input'!$V$7,
   0,
   IF(OR('RFM input'!$E$293='RFM input'!$G$292,'RFM input'!$E$293='RFM input'!$G$293),
      -INDEX('RFM input'!Q$299:Q$348,MATCH($D635,'RFM input'!$E$299:$E$348,0),1),
      -SUM(Q623:Q634)))</f>
        <v>0</v>
      </c>
      <c r="R635" s="1382"/>
      <c r="S635" s="76"/>
      <c r="T635" s="76"/>
      <c r="U635" s="76"/>
      <c r="V635" s="76"/>
      <c r="W635" s="76"/>
      <c r="X635" s="76"/>
      <c r="Y635" s="76"/>
      <c r="Z635" s="76"/>
    </row>
    <row r="636" spans="1:26" ht="12.75" hidden="1" customHeight="1" outlineLevel="2">
      <c r="A636" s="3"/>
      <c r="B636" s="3"/>
      <c r="C636" s="135">
        <f>Asset45</f>
        <v>0</v>
      </c>
      <c r="D636" s="100"/>
      <c r="E636" s="20" t="s">
        <v>23</v>
      </c>
      <c r="F636" s="19"/>
      <c r="G636" s="1383"/>
      <c r="H636" s="1380">
        <f>IF(H$3&gt;A45remlife,A45value-SUM($G636:G636),IF(A45remlife="N/A","n/a",A45value/A45remlife))</f>
        <v>0</v>
      </c>
      <c r="I636" s="1380">
        <f>IF(I$3&gt;A45remlife,A45value-SUM($G636:H636),IF(A45remlife="N/A","n/a",A45value/A45remlife))</f>
        <v>0</v>
      </c>
      <c r="J636" s="1380">
        <f>IF(J$3&gt;A45remlife,A45value-SUM($G636:I636),IF(A45remlife="N/A","n/a",A45value/A45remlife))</f>
        <v>0</v>
      </c>
      <c r="K636" s="1380">
        <f>IF(K$3&gt;A45remlife,A45value-SUM($G636:J636),IF(A45remlife="N/A","n/a",A45value/A45remlife))</f>
        <v>0</v>
      </c>
      <c r="L636" s="1380">
        <f>IF(L$3&gt;A45remlife,A45value-SUM($G636:K636),IF(A45remlife="N/A","n/a",A45value/A45remlife))</f>
        <v>0</v>
      </c>
      <c r="M636" s="1380">
        <f>IF(M$3&gt;A45remlife,A45value-SUM($G636:L636),IF(A45remlife="N/A","n/a",A45value/A45remlife))</f>
        <v>0</v>
      </c>
      <c r="N636" s="1380">
        <f>IF(N$3&gt;A45remlife,A45value-SUM($G636:M636),IF(A45remlife="N/A","n/a",A45value/A45remlife))</f>
        <v>0</v>
      </c>
      <c r="O636" s="1380">
        <f>IF(O$3&gt;A45remlife,A45value-SUM($G636:N636),IF(A45remlife="N/A","n/a",A45value/A45remlife))</f>
        <v>0</v>
      </c>
      <c r="P636" s="1380">
        <f>IF(P$3&gt;A45remlife,A45value-SUM($G636:O636),IF(A45remlife="N/A","n/a",A45value/A45remlife))</f>
        <v>0</v>
      </c>
      <c r="Q636" s="1380">
        <f>IF(Q$3&gt;A45remlife,A45value-SUM($G636:P636),IF(A45remlife="N/A","n/a",A45value/A45remlife))</f>
        <v>0</v>
      </c>
      <c r="R636" s="21"/>
      <c r="S636" s="74"/>
      <c r="T636" s="74"/>
      <c r="U636" s="74"/>
      <c r="V636" s="74"/>
      <c r="W636" s="74"/>
      <c r="X636" s="74"/>
      <c r="Y636" s="74"/>
      <c r="Z636" s="74"/>
    </row>
    <row r="637" spans="1:26" ht="12.75" hidden="1" customHeight="1" outlineLevel="2">
      <c r="A637" s="3"/>
      <c r="B637" s="3"/>
      <c r="C637" s="3"/>
      <c r="D637" s="16"/>
      <c r="E637" s="1593" t="s">
        <v>43</v>
      </c>
      <c r="F637" s="61"/>
      <c r="G637" s="1341"/>
      <c r="H637" s="18"/>
      <c r="I637" s="18"/>
      <c r="J637" s="18"/>
      <c r="K637" s="18"/>
      <c r="L637" s="18"/>
      <c r="M637" s="1384"/>
      <c r="N637" s="1385"/>
      <c r="O637" s="18"/>
      <c r="P637" s="18"/>
      <c r="Q637" s="18"/>
      <c r="R637" s="18"/>
      <c r="S637" s="74"/>
      <c r="T637" s="74"/>
      <c r="U637" s="74"/>
      <c r="V637" s="74"/>
      <c r="W637" s="74"/>
      <c r="X637" s="74"/>
      <c r="Y637" s="74"/>
      <c r="Z637" s="74"/>
    </row>
    <row r="638" spans="1:26" ht="12.75" hidden="1" customHeight="1" outlineLevel="2">
      <c r="A638" s="3"/>
      <c r="B638" s="3"/>
      <c r="C638" s="3"/>
      <c r="D638" s="16"/>
      <c r="E638" s="1594"/>
      <c r="F638" s="61">
        <v>1</v>
      </c>
      <c r="G638" s="1341"/>
      <c r="H638" s="1381"/>
      <c r="I638" s="18">
        <f>IF(A45stdlife="n/a","n/a",IF(I$3&gt;(A45stdlife+$F638),('RFM input'!$H$267*(1+vanilla1)^0.5)-SUM($H638:H638),('RFM input'!$H$267*(1+vanilla1)^0.5)/A45stdlife))</f>
        <v>0</v>
      </c>
      <c r="J638" s="18">
        <f>IF(A45stdlife="n/a","n/a",IF(J$3&gt;(A45stdlife+$F638),('RFM input'!$H$267*(1+vanilla1)^0.5)-SUM($H638:I638),('RFM input'!$H$267*(1+vanilla1)^0.5)/A45stdlife))</f>
        <v>0</v>
      </c>
      <c r="K638" s="18">
        <f>IF(A45stdlife="n/a","n/a",IF(K$3&gt;(A45stdlife+$F638),('RFM input'!$H$267*(1+vanilla1)^0.5)-SUM($H638:J638),('RFM input'!$H$267*(1+vanilla1)^0.5)/A45stdlife))</f>
        <v>0</v>
      </c>
      <c r="L638" s="18">
        <f>IF(A45stdlife="n/a","n/a",IF(L$3&gt;(A45stdlife+$F638),('RFM input'!$H$267*(1+vanilla1)^0.5)-SUM($H638:K638),('RFM input'!$H$267*(1+vanilla1)^0.5)/A45stdlife))</f>
        <v>0</v>
      </c>
      <c r="M638" s="18">
        <f>IF(A45stdlife="n/a","n/a",IF(M$3&gt;(A45stdlife+$F638),('RFM input'!$H$267*(1+vanilla1)^0.5)-SUM($H638:L638),('RFM input'!$H$267*(1+vanilla1)^0.5)/A45stdlife))</f>
        <v>0</v>
      </c>
      <c r="N638" s="18">
        <f>IF(A45stdlife="n/a","n/a",IF(N$3&gt;(A45stdlife+$F638),('RFM input'!$H$267*(1+vanilla1)^0.5)-SUM($H638:M638),('RFM input'!$H$267*(1+vanilla1)^0.5)/A45stdlife))</f>
        <v>0</v>
      </c>
      <c r="O638" s="18">
        <f>IF(A45stdlife="n/a","n/a",IF(O$3&gt;(A45stdlife+$F638),('RFM input'!$H$267*(1+vanilla1)^0.5)-SUM($H638:N638),('RFM input'!$H$267*(1+vanilla1)^0.5)/A45stdlife))</f>
        <v>0</v>
      </c>
      <c r="P638" s="18">
        <f>IF(A45stdlife="n/a","n/a",IF(P$3&gt;(A45stdlife+$F638),('RFM input'!$H$267*(1+vanilla1)^0.5)-SUM($H638:O638),('RFM input'!$H$267*(1+vanilla1)^0.5)/A45stdlife))</f>
        <v>0</v>
      </c>
      <c r="Q638" s="18">
        <f>IF(A45stdlife="n/a","n/a",IF(Q$3&gt;(A45stdlife+$F638),('RFM input'!$H$267*(1+vanilla1)^0.5)-SUM($H638:P638),('RFM input'!$H$267*(1+vanilla1)^0.5)/A45stdlife))</f>
        <v>0</v>
      </c>
      <c r="R638" s="18"/>
      <c r="S638" s="74"/>
      <c r="T638" s="74"/>
      <c r="U638" s="74"/>
      <c r="V638" s="74"/>
      <c r="W638" s="74"/>
      <c r="X638" s="74"/>
      <c r="Y638" s="74"/>
      <c r="Z638" s="74"/>
    </row>
    <row r="639" spans="1:26" ht="12.75" hidden="1" customHeight="1" outlineLevel="2">
      <c r="A639" s="3"/>
      <c r="B639" s="3"/>
      <c r="C639" s="3"/>
      <c r="D639" s="16"/>
      <c r="E639" s="1594"/>
      <c r="F639" s="61">
        <v>2</v>
      </c>
      <c r="G639" s="1341"/>
      <c r="H639" s="114"/>
      <c r="I639" s="116"/>
      <c r="J639" s="18">
        <f>IF(A45stdlife="n/a","n/a",IF(J$3&gt;(A45stdlife+$F639),('RFM input'!$I$267*(1+vanilla2)^0.5)-SUM($I639:I639),('RFM input'!$I$267*(1+vanilla2)^0.5)/A45stdlife))</f>
        <v>0</v>
      </c>
      <c r="K639" s="18">
        <f>IF(A45stdlife="n/a","n/a",IF(K$3&gt;(A45stdlife+$F639),('RFM input'!$I$267*(1+vanilla2)^0.5)-SUM($I639:J639),('RFM input'!$I$267*(1+vanilla2)^0.5)/A45stdlife))</f>
        <v>0</v>
      </c>
      <c r="L639" s="18">
        <f>IF(A45stdlife="n/a","n/a",IF(L$3&gt;(A45stdlife+$F639),('RFM input'!$I$267*(1+vanilla2)^0.5)-SUM($I639:K639),('RFM input'!$I$267*(1+vanilla2)^0.5)/A45stdlife))</f>
        <v>0</v>
      </c>
      <c r="M639" s="18">
        <f>IF(A45stdlife="n/a","n/a",IF(M$3&gt;(A45stdlife+$F639),('RFM input'!$I$267*(1+vanilla2)^0.5)-SUM($I639:L639),('RFM input'!$I$267*(1+vanilla2)^0.5)/A45stdlife))</f>
        <v>0</v>
      </c>
      <c r="N639" s="18">
        <f>IF(A45stdlife="n/a","n/a",IF(N$3&gt;(A45stdlife+$F639),('RFM input'!$I$267*(1+vanilla2)^0.5)-SUM($I639:M639),('RFM input'!$I$267*(1+vanilla2)^0.5)/A45stdlife))</f>
        <v>0</v>
      </c>
      <c r="O639" s="18">
        <f>IF(A45stdlife="n/a","n/a",IF(O$3&gt;(A45stdlife+$F639),('RFM input'!$I$267*(1+vanilla2)^0.5)-SUM($I639:N639),('RFM input'!$I$267*(1+vanilla2)^0.5)/A45stdlife))</f>
        <v>0</v>
      </c>
      <c r="P639" s="18">
        <f>IF(A45stdlife="n/a","n/a",IF(P$3&gt;(A45stdlife+$F639),('RFM input'!$I$267*(1+vanilla2)^0.5)-SUM($I639:O639),('RFM input'!$I$267*(1+vanilla2)^0.5)/A45stdlife))</f>
        <v>0</v>
      </c>
      <c r="Q639" s="18">
        <f>IF(A45stdlife="n/a","n/a",IF(Q$3&gt;(A45stdlife+$F639),('RFM input'!$I$267*(1+vanilla2)^0.5)-SUM($I639:P639),('RFM input'!$I$267*(1+vanilla2)^0.5)/A45stdlife))</f>
        <v>0</v>
      </c>
      <c r="R639" s="18"/>
      <c r="S639" s="74"/>
      <c r="T639" s="74"/>
      <c r="U639" s="74"/>
      <c r="V639" s="74"/>
      <c r="W639" s="74"/>
      <c r="X639" s="74"/>
      <c r="Y639" s="74"/>
      <c r="Z639" s="74"/>
    </row>
    <row r="640" spans="1:26" ht="12.75" hidden="1" customHeight="1" outlineLevel="2">
      <c r="A640" s="3"/>
      <c r="B640" s="3"/>
      <c r="C640" s="3"/>
      <c r="D640" s="16"/>
      <c r="E640" s="1594"/>
      <c r="F640" s="61">
        <v>3</v>
      </c>
      <c r="G640" s="1341"/>
      <c r="H640" s="114"/>
      <c r="I640" s="115"/>
      <c r="J640" s="116"/>
      <c r="K640" s="18">
        <f>IF(A45stdlife="n/a","n/a",IF(K$3&gt;(A45stdlife+$F640),('RFM input'!$J$267*(1+vanilla3)^0.5)-SUM($J640:J640),('RFM input'!$J$267*(1+vanilla3)^0.5)/A45stdlife))</f>
        <v>0</v>
      </c>
      <c r="L640" s="18">
        <f>IF(A45stdlife="n/a","n/a",IF(L$3&gt;(A45stdlife+$F640),('RFM input'!$J$267*(1+vanilla3)^0.5)-SUM($J640:K640),('RFM input'!$J$267*(1+vanilla3)^0.5)/A45stdlife))</f>
        <v>0</v>
      </c>
      <c r="M640" s="18">
        <f>IF(A45stdlife="n/a","n/a",IF(M$3&gt;(A45stdlife+$F640),('RFM input'!$J$267*(1+vanilla3)^0.5)-SUM($J640:L640),('RFM input'!$J$267*(1+vanilla3)^0.5)/A45stdlife))</f>
        <v>0</v>
      </c>
      <c r="N640" s="18">
        <f>IF(A45stdlife="n/a","n/a",IF(N$3&gt;(A45stdlife+$F640),('RFM input'!$J$267*(1+vanilla3)^0.5)-SUM($J640:M640),('RFM input'!$J$267*(1+vanilla3)^0.5)/A45stdlife))</f>
        <v>0</v>
      </c>
      <c r="O640" s="18">
        <f>IF(A45stdlife="n/a","n/a",IF(O$3&gt;(A45stdlife+$F640),('RFM input'!$J$267*(1+vanilla3)^0.5)-SUM($J640:N640),('RFM input'!$J$267*(1+vanilla3)^0.5)/A45stdlife))</f>
        <v>0</v>
      </c>
      <c r="P640" s="18">
        <f>IF(A45stdlife="n/a","n/a",IF(P$3&gt;(A45stdlife+$F640),('RFM input'!$J$267*(1+vanilla3)^0.5)-SUM($J640:O640),('RFM input'!$J$267*(1+vanilla3)^0.5)/A45stdlife))</f>
        <v>0</v>
      </c>
      <c r="Q640" s="18">
        <f>IF(A45stdlife="n/a","n/a",IF(Q$3&gt;(A45stdlife+$F640),('RFM input'!$J$267*(1+vanilla3)^0.5)-SUM($J640:P640),('RFM input'!$J$267*(1+vanilla3)^0.5)/A45stdlife))</f>
        <v>0</v>
      </c>
      <c r="R640" s="18"/>
      <c r="S640" s="74"/>
      <c r="T640" s="74"/>
      <c r="U640" s="74"/>
      <c r="V640" s="74"/>
      <c r="W640" s="74"/>
      <c r="X640" s="74"/>
      <c r="Y640" s="74"/>
      <c r="Z640" s="74"/>
    </row>
    <row r="641" spans="1:26" ht="12.75" hidden="1" customHeight="1" outlineLevel="2">
      <c r="A641" s="3"/>
      <c r="B641" s="3"/>
      <c r="C641" s="3"/>
      <c r="D641" s="16"/>
      <c r="E641" s="1594"/>
      <c r="F641" s="61">
        <v>4</v>
      </c>
      <c r="G641" s="1341"/>
      <c r="H641" s="114"/>
      <c r="I641" s="115"/>
      <c r="J641" s="115"/>
      <c r="K641" s="116"/>
      <c r="L641" s="18">
        <f>IF(A45stdlife="n/a","n/a",IF(L$3&gt;(A45stdlife+$F641),('RFM input'!$K$267*(1+vanilla4)^0.5)-SUM($K641:K641),('RFM input'!$K$267*(1+vanilla4)^0.5)/A45stdlife))</f>
        <v>0</v>
      </c>
      <c r="M641" s="18">
        <f>IF(A45stdlife="n/a","n/a",IF(M$3&gt;(A45stdlife+$F641),('RFM input'!$K$267*(1+vanilla4)^0.5)-SUM($K641:L641),('RFM input'!$K$267*(1+vanilla4)^0.5)/A45stdlife))</f>
        <v>0</v>
      </c>
      <c r="N641" s="18">
        <f>IF(A45stdlife="n/a","n/a",IF(N$3&gt;(A45stdlife+$F641),('RFM input'!$K$267*(1+vanilla4)^0.5)-SUM($K641:M641),('RFM input'!$K$267*(1+vanilla4)^0.5)/A45stdlife))</f>
        <v>0</v>
      </c>
      <c r="O641" s="18">
        <f>IF(A45stdlife="n/a","n/a",IF(O$3&gt;(A45stdlife+$F641),('RFM input'!$K$267*(1+vanilla4)^0.5)-SUM($K641:N641),('RFM input'!$K$267*(1+vanilla4)^0.5)/A45stdlife))</f>
        <v>0</v>
      </c>
      <c r="P641" s="18">
        <f>IF(A45stdlife="n/a","n/a",IF(P$3&gt;(A45stdlife+$F641),('RFM input'!$K$267*(1+vanilla4)^0.5)-SUM($K641:O641),('RFM input'!$K$267*(1+vanilla4)^0.5)/A45stdlife))</f>
        <v>0</v>
      </c>
      <c r="Q641" s="18">
        <f>IF(A45stdlife="n/a","n/a",IF(Q$3&gt;(A45stdlife+$F641),('RFM input'!$K$267*(1+vanilla4)^0.5)-SUM($K641:P641),('RFM input'!$K$267*(1+vanilla4)^0.5)/A45stdlife))</f>
        <v>0</v>
      </c>
      <c r="R641" s="18"/>
      <c r="S641" s="74"/>
      <c r="T641" s="74"/>
      <c r="U641" s="74"/>
      <c r="V641" s="74"/>
      <c r="W641" s="74"/>
      <c r="X641" s="74"/>
      <c r="Y641" s="74"/>
      <c r="Z641" s="74"/>
    </row>
    <row r="642" spans="1:26" ht="12.75" hidden="1" customHeight="1" outlineLevel="2">
      <c r="A642" s="3"/>
      <c r="B642" s="3"/>
      <c r="C642" s="3"/>
      <c r="D642" s="16"/>
      <c r="E642" s="1594"/>
      <c r="F642" s="61">
        <v>5</v>
      </c>
      <c r="G642" s="17"/>
      <c r="H642" s="114"/>
      <c r="I642" s="115"/>
      <c r="J642" s="115"/>
      <c r="K642" s="115"/>
      <c r="L642" s="116"/>
      <c r="M642" s="18">
        <f>IF(A45stdlife="n/a","n/a",IF(M$3&gt;(A45stdlife+$F642),('RFM input'!$L$267*(1+vanilla5)^0.5)-SUM($L642:L642),('RFM input'!$L$267*(1+vanilla5)^0.5)/A45stdlife))</f>
        <v>0</v>
      </c>
      <c r="N642" s="18">
        <f>IF(A45stdlife="n/a","n/a",IF(N$3&gt;(A45stdlife+$F642),('RFM input'!$L$267*(1+vanilla5)^0.5)-SUM($L642:M642),('RFM input'!$L$267*(1+vanilla5)^0.5)/A45stdlife))</f>
        <v>0</v>
      </c>
      <c r="O642" s="18">
        <f>IF(A45stdlife="n/a","n/a",IF(O$3&gt;(A45stdlife+$F642),('RFM input'!$L$267*(1+vanilla5)^0.5)-SUM($L642:N642),('RFM input'!$L$267*(1+vanilla5)^0.5)/A45stdlife))</f>
        <v>0</v>
      </c>
      <c r="P642" s="18">
        <f>IF(A45stdlife="n/a","n/a",IF(P$3&gt;(A45stdlife+$F642),('RFM input'!$L$267*(1+vanilla5)^0.5)-SUM($L642:O642),('RFM input'!$L$267*(1+vanilla5)^0.5)/A45stdlife))</f>
        <v>0</v>
      </c>
      <c r="Q642" s="18">
        <f>IF(A45stdlife="n/a","n/a",IF(Q$3&gt;(A45stdlife+$F642),('RFM input'!$L$267*(1+vanilla5)^0.5)-SUM($L642:P642),('RFM input'!$L$267*(1+vanilla5)^0.5)/A45stdlife))</f>
        <v>0</v>
      </c>
      <c r="R642" s="18"/>
      <c r="S642" s="74"/>
      <c r="T642" s="74"/>
      <c r="U642" s="74"/>
      <c r="V642" s="74"/>
      <c r="W642" s="74"/>
      <c r="X642" s="74"/>
      <c r="Y642" s="74"/>
      <c r="Z642" s="74"/>
    </row>
    <row r="643" spans="1:26" ht="12.75" hidden="1" customHeight="1" outlineLevel="2">
      <c r="A643" s="3"/>
      <c r="B643" s="3"/>
      <c r="C643" s="3"/>
      <c r="D643" s="16"/>
      <c r="E643" s="1594"/>
      <c r="F643" s="61">
        <v>6</v>
      </c>
      <c r="G643" s="17"/>
      <c r="H643" s="114"/>
      <c r="I643" s="115"/>
      <c r="J643" s="115"/>
      <c r="K643" s="115"/>
      <c r="L643" s="115"/>
      <c r="M643" s="116"/>
      <c r="N643" s="18">
        <f>IF(A45stdlife="n/a","n/a",IF(N$3&gt;(A45stdlife+$F643),('RFM input'!$M$267*(1+vanilla6)^0.5)-SUM($M643:M643),('RFM input'!$M$267*(1+vanilla6)^0.5)/A45stdlife))</f>
        <v>0</v>
      </c>
      <c r="O643" s="18">
        <f>IF(A45stdlife="n/a","n/a",IF(O$3&gt;(A45stdlife+$F643),('RFM input'!$M$267*(1+vanilla6)^0.5)-SUM($M643:N643),('RFM input'!$M$267*(1+vanilla6)^0.5)/A45stdlife))</f>
        <v>0</v>
      </c>
      <c r="P643" s="18">
        <f>IF(A45stdlife="n/a","n/a",IF(P$3&gt;(A45stdlife+$F643),('RFM input'!$M$267*(1+vanilla6)^0.5)-SUM($M643:O643),('RFM input'!$M$267*(1+vanilla6)^0.5)/A45stdlife))</f>
        <v>0</v>
      </c>
      <c r="Q643" s="18">
        <f>IF(A45stdlife="n/a","n/a",IF(Q$3&gt;(A45stdlife+$F643),('RFM input'!$M$267*(1+vanilla6)^0.5)-SUM($M643:P643),('RFM input'!$M$267*(1+vanilla6)^0.5)/A45stdlife))</f>
        <v>0</v>
      </c>
      <c r="R643" s="18"/>
      <c r="S643" s="74"/>
      <c r="T643" s="74"/>
      <c r="U643" s="74"/>
      <c r="V643" s="74"/>
      <c r="W643" s="74"/>
      <c r="X643" s="74"/>
      <c r="Y643" s="74"/>
      <c r="Z643" s="74"/>
    </row>
    <row r="644" spans="1:26" ht="12.75" hidden="1" customHeight="1" outlineLevel="2">
      <c r="A644" s="3"/>
      <c r="B644" s="3"/>
      <c r="C644" s="3"/>
      <c r="D644" s="16"/>
      <c r="E644" s="1594"/>
      <c r="F644" s="61">
        <v>7</v>
      </c>
      <c r="G644" s="17"/>
      <c r="H644" s="114"/>
      <c r="I644" s="115"/>
      <c r="J644" s="115"/>
      <c r="K644" s="115"/>
      <c r="L644" s="115"/>
      <c r="M644" s="115"/>
      <c r="N644" s="116"/>
      <c r="O644" s="18">
        <f>IF(A45stdlife="n/a","n/a",IF(O$3&gt;(A45stdlife+$F644),('RFM input'!M$267*(1+vanilla7)^0.5)-SUM($N644:N644),('RFM input'!$N$267*(1+vanilla7)^0.5)/A45stdlife))</f>
        <v>0</v>
      </c>
      <c r="P644" s="18">
        <f>IF(A45stdlife="n/a","n/a",IF(P$3&gt;(A45stdlife+$F644),('RFM input'!N$267*(1+vanilla7)^0.5)-SUM($N644:O644),('RFM input'!$N$267*(1+vanilla7)^0.5)/A45stdlife))</f>
        <v>0</v>
      </c>
      <c r="Q644" s="18">
        <f>IF(A45stdlife="n/a","n/a",IF(Q$3&gt;(A45stdlife+$F644),('RFM input'!O$267*(1+vanilla7)^0.5)-SUM($N644:P644),('RFM input'!$N$267*(1+vanilla7)^0.5)/A45stdlife))</f>
        <v>0</v>
      </c>
      <c r="R644" s="18"/>
      <c r="S644" s="74"/>
      <c r="T644" s="74"/>
      <c r="U644" s="74"/>
      <c r="V644" s="74"/>
      <c r="W644" s="74"/>
      <c r="X644" s="74"/>
      <c r="Y644" s="74"/>
      <c r="Z644" s="74"/>
    </row>
    <row r="645" spans="1:26" ht="12.75" hidden="1" customHeight="1" outlineLevel="2">
      <c r="A645" s="3"/>
      <c r="B645" s="3"/>
      <c r="C645" s="3"/>
      <c r="D645" s="16"/>
      <c r="E645" s="1594"/>
      <c r="F645" s="61">
        <v>8</v>
      </c>
      <c r="G645" s="17"/>
      <c r="H645" s="114"/>
      <c r="I645" s="115"/>
      <c r="J645" s="115"/>
      <c r="K645" s="115"/>
      <c r="L645" s="115"/>
      <c r="M645" s="115"/>
      <c r="N645" s="115"/>
      <c r="O645" s="116"/>
      <c r="P645" s="18">
        <f>IF(A45stdlife="n/a","n/a",IF(P$3&gt;(A45stdlife+$F645),('RFM input'!$O$267*(1+vanilla8)^0.5)-SUM($O645:O645),('RFM input'!$O$267*(1+vanilla8)^0.5)/A45stdlife))</f>
        <v>0</v>
      </c>
      <c r="Q645" s="18">
        <f>IF(A45stdlife="n/a","n/a",IF(Q$3&gt;(A45stdlife+$F645),('RFM input'!$O$267*(1+vanilla8)^0.5)-SUM($O645:P645),('RFM input'!$O$267*(1+vanilla8)^0.5)/A45stdlife))</f>
        <v>0</v>
      </c>
      <c r="R645" s="18"/>
      <c r="S645" s="74"/>
      <c r="T645" s="74"/>
      <c r="U645" s="74"/>
      <c r="V645" s="74"/>
      <c r="W645" s="74"/>
      <c r="X645" s="74"/>
      <c r="Y645" s="74"/>
      <c r="Z645" s="74"/>
    </row>
    <row r="646" spans="1:26" ht="12.75" hidden="1" customHeight="1" outlineLevel="2">
      <c r="A646" s="3"/>
      <c r="B646" s="3"/>
      <c r="C646" s="3"/>
      <c r="D646" s="16"/>
      <c r="E646" s="1594"/>
      <c r="F646" s="61">
        <v>9</v>
      </c>
      <c r="G646" s="17"/>
      <c r="H646" s="114"/>
      <c r="I646" s="115"/>
      <c r="J646" s="115"/>
      <c r="K646" s="115"/>
      <c r="L646" s="115"/>
      <c r="M646" s="115"/>
      <c r="N646" s="115"/>
      <c r="O646" s="115"/>
      <c r="P646" s="116"/>
      <c r="Q646" s="18">
        <f>IF(A45stdlife="n/a","n/a",IF(Q$3&gt;(A45stdlife+$F646),('RFM input'!$P$267*(1+vanilla9)^0.5)-SUM($P646:P646),('RFM input'!$P$267*(1+vanilla9)^0.5)/A45stdlife))</f>
        <v>0</v>
      </c>
      <c r="R646" s="18"/>
      <c r="S646" s="74"/>
      <c r="T646" s="74"/>
      <c r="U646" s="74"/>
      <c r="V646" s="74"/>
      <c r="W646" s="74"/>
      <c r="X646" s="74"/>
      <c r="Y646" s="74"/>
      <c r="Z646" s="74"/>
    </row>
    <row r="647" spans="1:26" ht="12.75" hidden="1" customHeight="1" outlineLevel="2">
      <c r="A647" s="3"/>
      <c r="B647" s="3"/>
      <c r="C647" s="3"/>
      <c r="D647" s="16"/>
      <c r="E647" s="1594"/>
      <c r="F647" s="62">
        <v>10</v>
      </c>
      <c r="G647" s="17"/>
      <c r="H647" s="114"/>
      <c r="I647" s="115"/>
      <c r="J647" s="115"/>
      <c r="K647" s="115"/>
      <c r="L647" s="115"/>
      <c r="M647" s="115"/>
      <c r="N647" s="115"/>
      <c r="O647" s="115"/>
      <c r="P647" s="115"/>
      <c r="Q647" s="116"/>
      <c r="R647" s="18"/>
      <c r="S647" s="74"/>
      <c r="T647" s="74"/>
      <c r="U647" s="74"/>
      <c r="V647" s="74"/>
      <c r="W647" s="74"/>
      <c r="X647" s="74"/>
      <c r="Y647" s="74"/>
      <c r="Z647" s="74"/>
    </row>
    <row r="648" spans="1:26" ht="13.35" hidden="1" customHeight="1" outlineLevel="1">
      <c r="A648" s="3"/>
      <c r="B648" s="3"/>
      <c r="C648" s="3"/>
      <c r="D648" s="134">
        <f>Asset45</f>
        <v>0</v>
      </c>
      <c r="E648" s="3"/>
      <c r="F648" s="3"/>
      <c r="G648" s="1341"/>
      <c r="H648" s="1458">
        <f>IF(OR('RFM input'!$E$293='RFM input'!$G$292,'RFM input'!$E$293='RFM input'!$G$293),-INDEX('RFM input'!H$299:H$348,MATCH($D648,'RFM input'!$E$299:$E$348,0),1),-SUM(H636:H647))</f>
        <v>0</v>
      </c>
      <c r="I648" s="1458">
        <f>IF(OR('RFM input'!$E$293='RFM input'!$G$292,'RFM input'!$E$293='RFM input'!$G$293),-INDEX('RFM input'!I$299:I$348,MATCH($D648,'RFM input'!$E$299:$E$348,0),1),-SUM(I636:I647))</f>
        <v>0</v>
      </c>
      <c r="J648" s="1386">
        <f>IF(COUNT($H648:I648)&gt;='RFM input'!$V$7,
   0,
   IF(OR('RFM input'!$E$293='RFM input'!$G$292,'RFM input'!$E$293='RFM input'!$G$293),
      -INDEX('RFM input'!J$299:J$348,MATCH($D648,'RFM input'!$E$299:$E$348,0),1),
      -SUM(J636:J647)))</f>
        <v>0</v>
      </c>
      <c r="K648" s="1386">
        <f>IF(COUNT($H648:J648)&gt;='RFM input'!$V$7,
   0,
   IF(OR('RFM input'!$E$293='RFM input'!$G$292,'RFM input'!$E$293='RFM input'!$G$293),
      -INDEX('RFM input'!K$299:K$348,MATCH($D648,'RFM input'!$E$299:$E$348,0),1),
      -SUM(K636:K647)))</f>
        <v>0</v>
      </c>
      <c r="L648" s="1386">
        <f>IF(COUNT($H648:K648)&gt;='RFM input'!$V$7,
   0,
   IF(OR('RFM input'!$E$293='RFM input'!$G$292,'RFM input'!$E$293='RFM input'!$G$293),
      -INDEX('RFM input'!L$299:L$348,MATCH($D648,'RFM input'!$E$299:$E$348,0),1),
      -SUM(L636:L647)))</f>
        <v>0</v>
      </c>
      <c r="M648" s="1386">
        <f>IF(COUNT($H648:L648)&gt;='RFM input'!$V$7,
   0,
   IF(OR('RFM input'!$E$293='RFM input'!$G$292,'RFM input'!$E$293='RFM input'!$G$293),
      -INDEX('RFM input'!M$299:M$348,MATCH($D648,'RFM input'!$E$299:$E$348,0),1),
      -SUM(M636:M647)))</f>
        <v>0</v>
      </c>
      <c r="N648" s="1386">
        <f>IF(COUNT($H648:M648)&gt;='RFM input'!$V$7,
   0,
   IF(OR('RFM input'!$E$293='RFM input'!$G$292,'RFM input'!$E$293='RFM input'!$G$293),
      -INDEX('RFM input'!N$299:N$348,MATCH($D648,'RFM input'!$E$299:$E$348,0),1),
      -SUM(N636:N647)))</f>
        <v>0</v>
      </c>
      <c r="O648" s="1386">
        <f>IF(COUNT($H648:N648)&gt;='RFM input'!$V$7,
   0,
   IF(OR('RFM input'!$E$293='RFM input'!$G$292,'RFM input'!$E$293='RFM input'!$G$293),
      -INDEX('RFM input'!O$299:O$348,MATCH($D648,'RFM input'!$E$299:$E$348,0),1),
      -SUM(O636:O647)))</f>
        <v>0</v>
      </c>
      <c r="P648" s="1386">
        <f>IF(COUNT($H648:O648)&gt;='RFM input'!$V$7,
   0,
   IF(OR('RFM input'!$E$293='RFM input'!$G$292,'RFM input'!$E$293='RFM input'!$G$293),
      -INDEX('RFM input'!P$299:P$348,MATCH($D648,'RFM input'!$E$299:$E$348,0),1),
      -SUM(P636:P647)))</f>
        <v>0</v>
      </c>
      <c r="Q648" s="1386">
        <f>IF(COUNT($H648:P648)&gt;='RFM input'!$V$7,
   0,
   IF(OR('RFM input'!$E$293='RFM input'!$G$292,'RFM input'!$E$293='RFM input'!$G$293),
      -INDEX('RFM input'!Q$299:Q$348,MATCH($D648,'RFM input'!$E$299:$E$348,0),1),
      -SUM(Q636:Q647)))</f>
        <v>0</v>
      </c>
      <c r="R648" s="1382"/>
      <c r="S648" s="76"/>
      <c r="T648" s="76"/>
      <c r="U648" s="76"/>
      <c r="V648" s="76"/>
      <c r="W648" s="76"/>
      <c r="X648" s="76"/>
      <c r="Y648" s="76"/>
      <c r="Z648" s="76"/>
    </row>
    <row r="649" spans="1:26" ht="12.75" hidden="1" customHeight="1" outlineLevel="2">
      <c r="A649" s="3"/>
      <c r="B649" s="3"/>
      <c r="C649" s="135">
        <f>Asset46</f>
        <v>0</v>
      </c>
      <c r="D649" s="100"/>
      <c r="E649" s="20" t="s">
        <v>23</v>
      </c>
      <c r="F649" s="19"/>
      <c r="G649" s="1383"/>
      <c r="H649" s="1380">
        <f>IF(H$3&gt;A46remlife,A46value-SUM($G649:G649),IF(A46remlife="N/A","n/a",A46value/A46remlife))</f>
        <v>0</v>
      </c>
      <c r="I649" s="1380">
        <f>IF(I$3&gt;A46remlife,A46value-SUM($G649:H649),IF(A46remlife="N/A","n/a",A46value/A46remlife))</f>
        <v>0</v>
      </c>
      <c r="J649" s="1380">
        <f>IF(J$3&gt;A46remlife,A46value-SUM($G649:I649),IF(A46remlife="N/A","n/a",A46value/A46remlife))</f>
        <v>0</v>
      </c>
      <c r="K649" s="1380">
        <f>IF(K$3&gt;A46remlife,A46value-SUM($G649:J649),IF(A46remlife="N/A","n/a",A46value/A46remlife))</f>
        <v>0</v>
      </c>
      <c r="L649" s="1380">
        <f>IF(L$3&gt;A46remlife,A46value-SUM($G649:K649),IF(A46remlife="N/A","n/a",A46value/A46remlife))</f>
        <v>0</v>
      </c>
      <c r="M649" s="1380">
        <f>IF(M$3&gt;A46remlife,A46value-SUM($G649:L649),IF(A46remlife="N/A","n/a",A46value/A46remlife))</f>
        <v>0</v>
      </c>
      <c r="N649" s="1380">
        <f>IF(N$3&gt;A46remlife,A46value-SUM($G649:M649),IF(A46remlife="N/A","n/a",A46value/A46remlife))</f>
        <v>0</v>
      </c>
      <c r="O649" s="1380">
        <f>IF(O$3&gt;A46remlife,A46value-SUM($G649:N649),IF(A46remlife="N/A","n/a",A46value/A46remlife))</f>
        <v>0</v>
      </c>
      <c r="P649" s="1380">
        <f>IF(P$3&gt;A46remlife,A46value-SUM($G649:O649),IF(A46remlife="N/A","n/a",A46value/A46remlife))</f>
        <v>0</v>
      </c>
      <c r="Q649" s="1380">
        <f>IF(Q$3&gt;A46remlife,A46value-SUM($G649:P649),IF(A46remlife="N/A","n/a",A46value/A46remlife))</f>
        <v>0</v>
      </c>
      <c r="R649" s="21"/>
      <c r="S649" s="74"/>
      <c r="T649" s="74"/>
      <c r="U649" s="74"/>
      <c r="V649" s="74"/>
      <c r="W649" s="74"/>
      <c r="X649" s="74"/>
      <c r="Y649" s="74"/>
      <c r="Z649" s="74"/>
    </row>
    <row r="650" spans="1:26" ht="12.75" hidden="1" customHeight="1" outlineLevel="2">
      <c r="A650" s="3"/>
      <c r="B650" s="3"/>
      <c r="C650" s="3"/>
      <c r="D650" s="16"/>
      <c r="E650" s="1593" t="s">
        <v>43</v>
      </c>
      <c r="F650" s="61"/>
      <c r="G650" s="1341"/>
      <c r="H650" s="18"/>
      <c r="I650" s="18"/>
      <c r="J650" s="18"/>
      <c r="K650" s="18"/>
      <c r="L650" s="18"/>
      <c r="M650" s="1384"/>
      <c r="N650" s="1385"/>
      <c r="O650" s="18"/>
      <c r="P650" s="18"/>
      <c r="Q650" s="18"/>
      <c r="R650" s="18"/>
      <c r="S650" s="74"/>
      <c r="T650" s="74"/>
      <c r="U650" s="74"/>
      <c r="V650" s="74"/>
      <c r="W650" s="74"/>
      <c r="X650" s="74"/>
      <c r="Y650" s="74"/>
      <c r="Z650" s="74"/>
    </row>
    <row r="651" spans="1:26" ht="12.75" hidden="1" customHeight="1" outlineLevel="2">
      <c r="A651" s="3"/>
      <c r="B651" s="3"/>
      <c r="C651" s="3"/>
      <c r="D651" s="16"/>
      <c r="E651" s="1594"/>
      <c r="F651" s="61">
        <v>1</v>
      </c>
      <c r="G651" s="1341"/>
      <c r="H651" s="1381"/>
      <c r="I651" s="18">
        <f>IF(A46stdlife="n/a","n/a",IF(I$3&gt;(A46stdlife+$F651),('RFM input'!$H$268*(1+vanilla1)^0.5)-SUM($H651:H651),('RFM input'!$H$268*(1+vanilla1)^0.5)/A46stdlife))</f>
        <v>0</v>
      </c>
      <c r="J651" s="18">
        <f>IF(A46stdlife="n/a","n/a",IF(J$3&gt;(A46stdlife+$F651),('RFM input'!$H$268*(1+vanilla1)^0.5)-SUM($H651:I651),('RFM input'!$H$268*(1+vanilla1)^0.5)/A46stdlife))</f>
        <v>0</v>
      </c>
      <c r="K651" s="18">
        <f>IF(A46stdlife="n/a","n/a",IF(K$3&gt;(A46stdlife+$F651),('RFM input'!$H$268*(1+vanilla1)^0.5)-SUM($H651:J651),('RFM input'!$H$268*(1+vanilla1)^0.5)/A46stdlife))</f>
        <v>0</v>
      </c>
      <c r="L651" s="18">
        <f>IF(A46stdlife="n/a","n/a",IF(L$3&gt;(A46stdlife+$F651),('RFM input'!$H$268*(1+vanilla1)^0.5)-SUM($H651:K651),('RFM input'!$H$268*(1+vanilla1)^0.5)/A46stdlife))</f>
        <v>0</v>
      </c>
      <c r="M651" s="18">
        <f>IF(A46stdlife="n/a","n/a",IF(M$3&gt;(A46stdlife+$F651),('RFM input'!$H$268*(1+vanilla1)^0.5)-SUM($H651:L651),('RFM input'!$H$268*(1+vanilla1)^0.5)/A46stdlife))</f>
        <v>0</v>
      </c>
      <c r="N651" s="18">
        <f>IF(A46stdlife="n/a","n/a",IF(N$3&gt;(A46stdlife+$F651),('RFM input'!$H$268*(1+vanilla1)^0.5)-SUM($H651:M651),('RFM input'!$H$268*(1+vanilla1)^0.5)/A46stdlife))</f>
        <v>0</v>
      </c>
      <c r="O651" s="18">
        <f>IF(A46stdlife="n/a","n/a",IF(O$3&gt;(A46stdlife+$F651),('RFM input'!$H$268*(1+vanilla1)^0.5)-SUM($H651:N651),('RFM input'!$H$268*(1+vanilla1)^0.5)/A46stdlife))</f>
        <v>0</v>
      </c>
      <c r="P651" s="18">
        <f>IF(A46stdlife="n/a","n/a",IF(P$3&gt;(A46stdlife+$F651),('RFM input'!$H$268*(1+vanilla1)^0.5)-SUM($H651:O651),('RFM input'!$H$268*(1+vanilla1)^0.5)/A46stdlife))</f>
        <v>0</v>
      </c>
      <c r="Q651" s="18">
        <f>IF(A46stdlife="n/a","n/a",IF(Q$3&gt;(A46stdlife+$F651),('RFM input'!$H$268*(1+vanilla1)^0.5)-SUM($H651:P651),('RFM input'!$H$268*(1+vanilla1)^0.5)/A46stdlife))</f>
        <v>0</v>
      </c>
      <c r="R651" s="18"/>
      <c r="S651" s="74"/>
      <c r="T651" s="74"/>
      <c r="U651" s="74"/>
      <c r="V651" s="74"/>
      <c r="W651" s="74"/>
      <c r="X651" s="74"/>
      <c r="Y651" s="74"/>
      <c r="Z651" s="74"/>
    </row>
    <row r="652" spans="1:26" ht="12.75" hidden="1" customHeight="1" outlineLevel="2">
      <c r="A652" s="3"/>
      <c r="B652" s="3"/>
      <c r="C652" s="3"/>
      <c r="D652" s="16"/>
      <c r="E652" s="1594"/>
      <c r="F652" s="61">
        <v>2</v>
      </c>
      <c r="G652" s="1341"/>
      <c r="H652" s="114"/>
      <c r="I652" s="116"/>
      <c r="J652" s="18">
        <f>IF(A46stdlife="n/a","n/a",IF(J$3&gt;(A46stdlife+$F652),('RFM input'!$I$268*(1+vanilla2)^0.5)-SUM($I652:I652),('RFM input'!$I$268*(1+vanilla2)^0.5)/A46stdlife))</f>
        <v>0</v>
      </c>
      <c r="K652" s="18">
        <f>IF(A46stdlife="n/a","n/a",IF(K$3&gt;(A46stdlife+$F652),('RFM input'!$I$268*(1+vanilla2)^0.5)-SUM($I652:J652),('RFM input'!$I$268*(1+vanilla2)^0.5)/A46stdlife))</f>
        <v>0</v>
      </c>
      <c r="L652" s="18">
        <f>IF(A46stdlife="n/a","n/a",IF(L$3&gt;(A46stdlife+$F652),('RFM input'!$I$268*(1+vanilla2)^0.5)-SUM($I652:K652),('RFM input'!$I$268*(1+vanilla2)^0.5)/A46stdlife))</f>
        <v>0</v>
      </c>
      <c r="M652" s="18">
        <f>IF(A46stdlife="n/a","n/a",IF(M$3&gt;(A46stdlife+$F652),('RFM input'!$I$268*(1+vanilla2)^0.5)-SUM($I652:L652),('RFM input'!$I$268*(1+vanilla2)^0.5)/A46stdlife))</f>
        <v>0</v>
      </c>
      <c r="N652" s="18">
        <f>IF(A46stdlife="n/a","n/a",IF(N$3&gt;(A46stdlife+$F652),('RFM input'!$I$268*(1+vanilla2)^0.5)-SUM($I652:M652),('RFM input'!$I$268*(1+vanilla2)^0.5)/A46stdlife))</f>
        <v>0</v>
      </c>
      <c r="O652" s="18">
        <f>IF(A46stdlife="n/a","n/a",IF(O$3&gt;(A46stdlife+$F652),('RFM input'!$I$268*(1+vanilla2)^0.5)-SUM($I652:N652),('RFM input'!$I$268*(1+vanilla2)^0.5)/A46stdlife))</f>
        <v>0</v>
      </c>
      <c r="P652" s="18">
        <f>IF(A46stdlife="n/a","n/a",IF(P$3&gt;(A46stdlife+$F652),('RFM input'!$I$268*(1+vanilla2)^0.5)-SUM($I652:O652),('RFM input'!$I$268*(1+vanilla2)^0.5)/A46stdlife))</f>
        <v>0</v>
      </c>
      <c r="Q652" s="18">
        <f>IF(A46stdlife="n/a","n/a",IF(Q$3&gt;(A46stdlife+$F652),('RFM input'!$I$268*(1+vanilla2)^0.5)-SUM($I652:P652),('RFM input'!$I$268*(1+vanilla2)^0.5)/A46stdlife))</f>
        <v>0</v>
      </c>
      <c r="R652" s="18"/>
      <c r="S652" s="74"/>
      <c r="T652" s="74"/>
      <c r="U652" s="74"/>
      <c r="V652" s="74"/>
      <c r="W652" s="74"/>
      <c r="X652" s="74"/>
      <c r="Y652" s="74"/>
      <c r="Z652" s="74"/>
    </row>
    <row r="653" spans="1:26" ht="12.75" hidden="1" customHeight="1" outlineLevel="2">
      <c r="A653" s="3"/>
      <c r="B653" s="3"/>
      <c r="C653" s="3"/>
      <c r="D653" s="16"/>
      <c r="E653" s="1594"/>
      <c r="F653" s="61">
        <v>3</v>
      </c>
      <c r="G653" s="1341"/>
      <c r="H653" s="114"/>
      <c r="I653" s="115"/>
      <c r="J653" s="116"/>
      <c r="K653" s="18">
        <f>IF(A46stdlife="n/a","n/a",IF(K$3&gt;(A46stdlife+$F653),('RFM input'!$J$268*(1+vanilla3)^0.5)-SUM($J653:J653),('RFM input'!$J$268*(1+vanilla3)^0.5)/A46stdlife))</f>
        <v>0</v>
      </c>
      <c r="L653" s="18">
        <f>IF(A46stdlife="n/a","n/a",IF(L$3&gt;(A46stdlife+$F653),('RFM input'!$J$268*(1+vanilla3)^0.5)-SUM($J653:K653),('RFM input'!$J$268*(1+vanilla3)^0.5)/A46stdlife))</f>
        <v>0</v>
      </c>
      <c r="M653" s="18">
        <f>IF(A46stdlife="n/a","n/a",IF(M$3&gt;(A46stdlife+$F653),('RFM input'!$J$268*(1+vanilla3)^0.5)-SUM($J653:L653),('RFM input'!$J$268*(1+vanilla3)^0.5)/A46stdlife))</f>
        <v>0</v>
      </c>
      <c r="N653" s="18">
        <f>IF(A46stdlife="n/a","n/a",IF(N$3&gt;(A46stdlife+$F653),('RFM input'!$J$268*(1+vanilla3)^0.5)-SUM($J653:M653),('RFM input'!$J$268*(1+vanilla3)^0.5)/A46stdlife))</f>
        <v>0</v>
      </c>
      <c r="O653" s="18">
        <f>IF(A46stdlife="n/a","n/a",IF(O$3&gt;(A46stdlife+$F653),('RFM input'!$J$268*(1+vanilla3)^0.5)-SUM($J653:N653),('RFM input'!$J$268*(1+vanilla3)^0.5)/A46stdlife))</f>
        <v>0</v>
      </c>
      <c r="P653" s="18">
        <f>IF(A46stdlife="n/a","n/a",IF(P$3&gt;(A46stdlife+$F653),('RFM input'!$J$268*(1+vanilla3)^0.5)-SUM($J653:O653),('RFM input'!$J$268*(1+vanilla3)^0.5)/A46stdlife))</f>
        <v>0</v>
      </c>
      <c r="Q653" s="18">
        <f>IF(A46stdlife="n/a","n/a",IF(Q$3&gt;(A46stdlife+$F653),('RFM input'!$J$268*(1+vanilla3)^0.5)-SUM($J653:P653),('RFM input'!$J$268*(1+vanilla3)^0.5)/A46stdlife))</f>
        <v>0</v>
      </c>
      <c r="R653" s="18"/>
      <c r="S653" s="74"/>
      <c r="T653" s="74"/>
      <c r="U653" s="74"/>
      <c r="V653" s="74"/>
      <c r="W653" s="74"/>
      <c r="X653" s="74"/>
      <c r="Y653" s="74"/>
      <c r="Z653" s="74"/>
    </row>
    <row r="654" spans="1:26" ht="12.75" hidden="1" customHeight="1" outlineLevel="2">
      <c r="A654" s="3"/>
      <c r="B654" s="3"/>
      <c r="C654" s="3"/>
      <c r="D654" s="16"/>
      <c r="E654" s="1594"/>
      <c r="F654" s="61">
        <v>4</v>
      </c>
      <c r="G654" s="1341"/>
      <c r="H654" s="114"/>
      <c r="I654" s="115"/>
      <c r="J654" s="115"/>
      <c r="K654" s="116"/>
      <c r="L654" s="18">
        <f>IF(A46stdlife="n/a","n/a",IF(L$3&gt;(A46stdlife+$F654),('RFM input'!$K$268*(1+vanilla4)^0.5)-SUM($K654:K654),('RFM input'!$K$268*(1+vanilla4)^0.5)/A46stdlife))</f>
        <v>0</v>
      </c>
      <c r="M654" s="18">
        <f>IF(A46stdlife="n/a","n/a",IF(M$3&gt;(A46stdlife+$F654),('RFM input'!$K$268*(1+vanilla4)^0.5)-SUM($K654:L654),('RFM input'!$K$268*(1+vanilla4)^0.5)/A46stdlife))</f>
        <v>0</v>
      </c>
      <c r="N654" s="18">
        <f>IF(A46stdlife="n/a","n/a",IF(N$3&gt;(A46stdlife+$F654),('RFM input'!$K$268*(1+vanilla4)^0.5)-SUM($K654:M654),('RFM input'!$K$268*(1+vanilla4)^0.5)/A46stdlife))</f>
        <v>0</v>
      </c>
      <c r="O654" s="18">
        <f>IF(A46stdlife="n/a","n/a",IF(O$3&gt;(A46stdlife+$F654),('RFM input'!$K$268*(1+vanilla4)^0.5)-SUM($K654:N654),('RFM input'!$K$268*(1+vanilla4)^0.5)/A46stdlife))</f>
        <v>0</v>
      </c>
      <c r="P654" s="18">
        <f>IF(A46stdlife="n/a","n/a",IF(P$3&gt;(A46stdlife+$F654),('RFM input'!$K$268*(1+vanilla4)^0.5)-SUM($K654:O654),('RFM input'!$K$268*(1+vanilla4)^0.5)/A46stdlife))</f>
        <v>0</v>
      </c>
      <c r="Q654" s="18">
        <f>IF(A46stdlife="n/a","n/a",IF(Q$3&gt;(A46stdlife+$F654),('RFM input'!$K$268*(1+vanilla4)^0.5)-SUM($K654:P654),('RFM input'!$K$268*(1+vanilla4)^0.5)/A46stdlife))</f>
        <v>0</v>
      </c>
      <c r="R654" s="18"/>
      <c r="S654" s="74"/>
      <c r="T654" s="74"/>
      <c r="U654" s="74"/>
      <c r="V654" s="74"/>
      <c r="W654" s="74"/>
      <c r="X654" s="74"/>
      <c r="Y654" s="74"/>
      <c r="Z654" s="74"/>
    </row>
    <row r="655" spans="1:26" ht="12.75" hidden="1" customHeight="1" outlineLevel="2">
      <c r="A655" s="3"/>
      <c r="B655" s="3"/>
      <c r="C655" s="3"/>
      <c r="D655" s="16"/>
      <c r="E655" s="1594"/>
      <c r="F655" s="61">
        <v>5</v>
      </c>
      <c r="G655" s="17"/>
      <c r="H655" s="114"/>
      <c r="I655" s="115"/>
      <c r="J655" s="115"/>
      <c r="K655" s="115"/>
      <c r="L655" s="116"/>
      <c r="M655" s="18">
        <f>IF(A46stdlife="n/a","n/a",IF(M$3&gt;(A46stdlife+$F655),('RFM input'!$L$268*(1+vanilla5)^0.5)-SUM($L655:L655),('RFM input'!$L$268*(1+vanilla5)^0.5)/A46stdlife))</f>
        <v>0</v>
      </c>
      <c r="N655" s="18">
        <f>IF(A46stdlife="n/a","n/a",IF(N$3&gt;(A46stdlife+$F655),('RFM input'!$L$268*(1+vanilla5)^0.5)-SUM($L655:M655),('RFM input'!$L$268*(1+vanilla5)^0.5)/A46stdlife))</f>
        <v>0</v>
      </c>
      <c r="O655" s="18">
        <f>IF(A46stdlife="n/a","n/a",IF(O$3&gt;(A46stdlife+$F655),('RFM input'!$L$268*(1+vanilla5)^0.5)-SUM($L655:N655),('RFM input'!$L$268*(1+vanilla5)^0.5)/A46stdlife))</f>
        <v>0</v>
      </c>
      <c r="P655" s="18">
        <f>IF(A46stdlife="n/a","n/a",IF(P$3&gt;(A46stdlife+$F655),('RFM input'!$L$268*(1+vanilla5)^0.5)-SUM($L655:O655),('RFM input'!$L$268*(1+vanilla5)^0.5)/A46stdlife))</f>
        <v>0</v>
      </c>
      <c r="Q655" s="18">
        <f>IF(A46stdlife="n/a","n/a",IF(Q$3&gt;(A46stdlife+$F655),('RFM input'!$L$268*(1+vanilla5)^0.5)-SUM($L655:P655),('RFM input'!$L$268*(1+vanilla5)^0.5)/A46stdlife))</f>
        <v>0</v>
      </c>
      <c r="R655" s="18"/>
      <c r="S655" s="74"/>
      <c r="T655" s="74"/>
      <c r="U655" s="74"/>
      <c r="V655" s="74"/>
      <c r="W655" s="74"/>
      <c r="X655" s="74"/>
      <c r="Y655" s="74"/>
      <c r="Z655" s="74"/>
    </row>
    <row r="656" spans="1:26" ht="12.75" hidden="1" customHeight="1" outlineLevel="2">
      <c r="A656" s="3"/>
      <c r="B656" s="3"/>
      <c r="C656" s="3"/>
      <c r="D656" s="16"/>
      <c r="E656" s="1594"/>
      <c r="F656" s="61">
        <v>6</v>
      </c>
      <c r="G656" s="17"/>
      <c r="H656" s="114"/>
      <c r="I656" s="115"/>
      <c r="J656" s="115"/>
      <c r="K656" s="115"/>
      <c r="L656" s="115"/>
      <c r="M656" s="116"/>
      <c r="N656" s="18">
        <f>IF(A46stdlife="n/a","n/a",IF(N$3&gt;(A46stdlife+$F656),('RFM input'!$M$268*(1+vanilla6)^0.5)-SUM($M656:M656),('RFM input'!$M$268*(1+vanilla6)^0.5)/A46stdlife))</f>
        <v>0</v>
      </c>
      <c r="O656" s="18">
        <f>IF(A46stdlife="n/a","n/a",IF(O$3&gt;(A46stdlife+$F656),('RFM input'!$M$268*(1+vanilla6)^0.5)-SUM($M656:N656),('RFM input'!$M$268*(1+vanilla6)^0.5)/A46stdlife))</f>
        <v>0</v>
      </c>
      <c r="P656" s="18">
        <f>IF(A46stdlife="n/a","n/a",IF(P$3&gt;(A46stdlife+$F656),('RFM input'!$M$268*(1+vanilla6)^0.5)-SUM($M656:O656),('RFM input'!$M$268*(1+vanilla6)^0.5)/A46stdlife))</f>
        <v>0</v>
      </c>
      <c r="Q656" s="18">
        <f>IF(A46stdlife="n/a","n/a",IF(Q$3&gt;(A46stdlife+$F656),('RFM input'!$M$268*(1+vanilla6)^0.5)-SUM($M656:P656),('RFM input'!$M$268*(1+vanilla6)^0.5)/A46stdlife))</f>
        <v>0</v>
      </c>
      <c r="R656" s="18"/>
      <c r="S656" s="74"/>
      <c r="T656" s="74"/>
      <c r="U656" s="74"/>
      <c r="V656" s="74"/>
      <c r="W656" s="74"/>
      <c r="X656" s="74"/>
      <c r="Y656" s="74"/>
      <c r="Z656" s="74"/>
    </row>
    <row r="657" spans="1:26" ht="12.75" hidden="1" customHeight="1" outlineLevel="2">
      <c r="A657" s="3"/>
      <c r="B657" s="3"/>
      <c r="C657" s="3"/>
      <c r="D657" s="16"/>
      <c r="E657" s="1594"/>
      <c r="F657" s="61">
        <v>7</v>
      </c>
      <c r="G657" s="17"/>
      <c r="H657" s="114"/>
      <c r="I657" s="115"/>
      <c r="J657" s="115"/>
      <c r="K657" s="115"/>
      <c r="L657" s="115"/>
      <c r="M657" s="115"/>
      <c r="N657" s="116"/>
      <c r="O657" s="18">
        <f>IF(A46stdlife="n/a","n/a",IF(O$3&gt;(A46stdlife+$F657),('RFM input'!M$268*(1+vanilla7)^0.5)-SUM($N657:N657),('RFM input'!$N$268*(1+vanilla7)^0.5)/A46stdlife))</f>
        <v>0</v>
      </c>
      <c r="P657" s="18">
        <f>IF(A46stdlife="n/a","n/a",IF(P$3&gt;(A46stdlife+$F657),('RFM input'!N$268*(1+vanilla7)^0.5)-SUM($N657:O657),('RFM input'!$N$268*(1+vanilla7)^0.5)/A46stdlife))</f>
        <v>0</v>
      </c>
      <c r="Q657" s="18">
        <f>IF(A46stdlife="n/a","n/a",IF(Q$3&gt;(A46stdlife+$F657),('RFM input'!O$268*(1+vanilla7)^0.5)-SUM($N657:P657),('RFM input'!$N$268*(1+vanilla7)^0.5)/A46stdlife))</f>
        <v>0</v>
      </c>
      <c r="R657" s="18"/>
      <c r="S657" s="74"/>
      <c r="T657" s="74"/>
      <c r="U657" s="74"/>
      <c r="V657" s="74"/>
      <c r="W657" s="74"/>
      <c r="X657" s="74"/>
      <c r="Y657" s="74"/>
      <c r="Z657" s="74"/>
    </row>
    <row r="658" spans="1:26" ht="12.75" hidden="1" customHeight="1" outlineLevel="2">
      <c r="A658" s="3"/>
      <c r="B658" s="3"/>
      <c r="C658" s="3"/>
      <c r="D658" s="16"/>
      <c r="E658" s="1594"/>
      <c r="F658" s="61">
        <v>8</v>
      </c>
      <c r="G658" s="17"/>
      <c r="H658" s="114"/>
      <c r="I658" s="115"/>
      <c r="J658" s="115"/>
      <c r="K658" s="115"/>
      <c r="L658" s="115"/>
      <c r="M658" s="115"/>
      <c r="N658" s="115"/>
      <c r="O658" s="116"/>
      <c r="P658" s="18">
        <f>IF(A46stdlife="n/a","n/a",IF(P$3&gt;(A46stdlife+$F658),('RFM input'!$O$268*(1+vanilla8)^0.5)-SUM($O658:O658),('RFM input'!$O$268*(1+vanilla8)^0.5)/A46stdlife))</f>
        <v>0</v>
      </c>
      <c r="Q658" s="18">
        <f>IF(A46stdlife="n/a","n/a",IF(Q$3&gt;(A46stdlife+$F658),('RFM input'!$O$268*(1+vanilla8)^0.5)-SUM($O658:P658),('RFM input'!$O$268*(1+vanilla8)^0.5)/A46stdlife))</f>
        <v>0</v>
      </c>
      <c r="R658" s="18"/>
      <c r="S658" s="74"/>
      <c r="T658" s="74"/>
      <c r="U658" s="74"/>
      <c r="V658" s="74"/>
      <c r="W658" s="74"/>
      <c r="X658" s="74"/>
      <c r="Y658" s="74"/>
      <c r="Z658" s="74"/>
    </row>
    <row r="659" spans="1:26" ht="12.75" hidden="1" customHeight="1" outlineLevel="2">
      <c r="A659" s="3"/>
      <c r="B659" s="3"/>
      <c r="C659" s="3"/>
      <c r="D659" s="16"/>
      <c r="E659" s="1594"/>
      <c r="F659" s="61">
        <v>9</v>
      </c>
      <c r="G659" s="17"/>
      <c r="H659" s="114"/>
      <c r="I659" s="115"/>
      <c r="J659" s="115"/>
      <c r="K659" s="115"/>
      <c r="L659" s="115"/>
      <c r="M659" s="115"/>
      <c r="N659" s="115"/>
      <c r="O659" s="115"/>
      <c r="P659" s="116"/>
      <c r="Q659" s="18">
        <f>IF(A46stdlife="n/a","n/a",IF(Q$3&gt;(A46stdlife+$F659),('RFM input'!$P$268*(1+vanilla9)^0.5)-SUM($P659:P659),('RFM input'!$P$268*(1+vanilla9)^0.5)/A46stdlife))</f>
        <v>0</v>
      </c>
      <c r="R659" s="18"/>
      <c r="S659" s="74"/>
      <c r="T659" s="74"/>
      <c r="U659" s="74"/>
      <c r="V659" s="74"/>
      <c r="W659" s="74"/>
      <c r="X659" s="74"/>
      <c r="Y659" s="74"/>
      <c r="Z659" s="74"/>
    </row>
    <row r="660" spans="1:26" ht="12.75" hidden="1" customHeight="1" outlineLevel="2">
      <c r="A660" s="3"/>
      <c r="B660" s="3"/>
      <c r="C660" s="3"/>
      <c r="D660" s="16"/>
      <c r="E660" s="1594"/>
      <c r="F660" s="62">
        <v>10</v>
      </c>
      <c r="G660" s="17"/>
      <c r="H660" s="114"/>
      <c r="I660" s="115"/>
      <c r="J660" s="115"/>
      <c r="K660" s="115"/>
      <c r="L660" s="115"/>
      <c r="M660" s="115"/>
      <c r="N660" s="115"/>
      <c r="O660" s="115"/>
      <c r="P660" s="115"/>
      <c r="Q660" s="116"/>
      <c r="R660" s="18"/>
      <c r="S660" s="74"/>
      <c r="T660" s="74"/>
      <c r="U660" s="74"/>
      <c r="V660" s="74"/>
      <c r="W660" s="74"/>
      <c r="X660" s="74"/>
      <c r="Y660" s="74"/>
      <c r="Z660" s="74"/>
    </row>
    <row r="661" spans="1:26" ht="13.35" hidden="1" customHeight="1" outlineLevel="1">
      <c r="A661" s="3"/>
      <c r="B661" s="3"/>
      <c r="C661" s="3"/>
      <c r="D661" s="134">
        <f>Asset46</f>
        <v>0</v>
      </c>
      <c r="E661" s="3"/>
      <c r="F661" s="3"/>
      <c r="G661" s="1341"/>
      <c r="H661" s="1458">
        <f>IF(OR('RFM input'!$E$293='RFM input'!$G$292,'RFM input'!$E$293='RFM input'!$G$293),-INDEX('RFM input'!H$299:H$348,MATCH($D661,'RFM input'!$E$299:$E$348,0),1),-SUM(H649:H660))</f>
        <v>0</v>
      </c>
      <c r="I661" s="1458">
        <f>IF(OR('RFM input'!$E$293='RFM input'!$G$292,'RFM input'!$E$293='RFM input'!$G$293),-INDEX('RFM input'!I$299:I$348,MATCH($D661,'RFM input'!$E$299:$E$348,0),1),-SUM(I649:I660))</f>
        <v>0</v>
      </c>
      <c r="J661" s="1386">
        <f>IF(COUNT($H661:I661)&gt;='RFM input'!$V$7,
   0,
   IF(OR('RFM input'!$E$293='RFM input'!$G$292,'RFM input'!$E$293='RFM input'!$G$293),
      -INDEX('RFM input'!J$299:J$348,MATCH($D661,'RFM input'!$E$299:$E$348,0),1),
      -SUM(J649:J660)))</f>
        <v>0</v>
      </c>
      <c r="K661" s="1386">
        <f>IF(COUNT($H661:J661)&gt;='RFM input'!$V$7,
   0,
   IF(OR('RFM input'!$E$293='RFM input'!$G$292,'RFM input'!$E$293='RFM input'!$G$293),
      -INDEX('RFM input'!K$299:K$348,MATCH($D661,'RFM input'!$E$299:$E$348,0),1),
      -SUM(K649:K660)))</f>
        <v>0</v>
      </c>
      <c r="L661" s="1386">
        <f>IF(COUNT($H661:K661)&gt;='RFM input'!$V$7,
   0,
   IF(OR('RFM input'!$E$293='RFM input'!$G$292,'RFM input'!$E$293='RFM input'!$G$293),
      -INDEX('RFM input'!L$299:L$348,MATCH($D661,'RFM input'!$E$299:$E$348,0),1),
      -SUM(L649:L660)))</f>
        <v>0</v>
      </c>
      <c r="M661" s="1386">
        <f>IF(COUNT($H661:L661)&gt;='RFM input'!$V$7,
   0,
   IF(OR('RFM input'!$E$293='RFM input'!$G$292,'RFM input'!$E$293='RFM input'!$G$293),
      -INDEX('RFM input'!M$299:M$348,MATCH($D661,'RFM input'!$E$299:$E$348,0),1),
      -SUM(M649:M660)))</f>
        <v>0</v>
      </c>
      <c r="N661" s="1386">
        <f>IF(COUNT($H661:M661)&gt;='RFM input'!$V$7,
   0,
   IF(OR('RFM input'!$E$293='RFM input'!$G$292,'RFM input'!$E$293='RFM input'!$G$293),
      -INDEX('RFM input'!N$299:N$348,MATCH($D661,'RFM input'!$E$299:$E$348,0),1),
      -SUM(N649:N660)))</f>
        <v>0</v>
      </c>
      <c r="O661" s="1386">
        <f>IF(COUNT($H661:N661)&gt;='RFM input'!$V$7,
   0,
   IF(OR('RFM input'!$E$293='RFM input'!$G$292,'RFM input'!$E$293='RFM input'!$G$293),
      -INDEX('RFM input'!O$299:O$348,MATCH($D661,'RFM input'!$E$299:$E$348,0),1),
      -SUM(O649:O660)))</f>
        <v>0</v>
      </c>
      <c r="P661" s="1386">
        <f>IF(COUNT($H661:O661)&gt;='RFM input'!$V$7,
   0,
   IF(OR('RFM input'!$E$293='RFM input'!$G$292,'RFM input'!$E$293='RFM input'!$G$293),
      -INDEX('RFM input'!P$299:P$348,MATCH($D661,'RFM input'!$E$299:$E$348,0),1),
      -SUM(P649:P660)))</f>
        <v>0</v>
      </c>
      <c r="Q661" s="1386">
        <f>IF(COUNT($H661:P661)&gt;='RFM input'!$V$7,
   0,
   IF(OR('RFM input'!$E$293='RFM input'!$G$292,'RFM input'!$E$293='RFM input'!$G$293),
      -INDEX('RFM input'!Q$299:Q$348,MATCH($D661,'RFM input'!$E$299:$E$348,0),1),
      -SUM(Q649:Q660)))</f>
        <v>0</v>
      </c>
      <c r="R661" s="1382"/>
      <c r="S661" s="76"/>
      <c r="T661" s="76"/>
      <c r="U661" s="76"/>
      <c r="V661" s="76"/>
      <c r="W661" s="76"/>
      <c r="X661" s="76"/>
      <c r="Y661" s="76"/>
      <c r="Z661" s="76"/>
    </row>
    <row r="662" spans="1:26" ht="12.75" hidden="1" customHeight="1" outlineLevel="2">
      <c r="A662" s="3"/>
      <c r="B662" s="3"/>
      <c r="C662" s="135">
        <f>Asset47</f>
        <v>0</v>
      </c>
      <c r="D662" s="100"/>
      <c r="E662" s="20" t="s">
        <v>23</v>
      </c>
      <c r="F662" s="19"/>
      <c r="G662" s="1383"/>
      <c r="H662" s="1380">
        <f>IF(H$3&gt;A47remlife,A47value-SUM($G662:G662),IF(A47remlife="N/A","n/a",A47value/A47remlife))</f>
        <v>0</v>
      </c>
      <c r="I662" s="1380">
        <f>IF(I$3&gt;A47remlife,A47value-SUM($G662:H662),IF(A47remlife="N/A","n/a",A47value/A47remlife))</f>
        <v>0</v>
      </c>
      <c r="J662" s="1380">
        <f>IF(J$3&gt;A47remlife,A47value-SUM($G662:I662),IF(A47remlife="N/A","n/a",A47value/A47remlife))</f>
        <v>0</v>
      </c>
      <c r="K662" s="1380">
        <f>IF(K$3&gt;A47remlife,A47value-SUM($G662:J662),IF(A47remlife="N/A","n/a",A47value/A47remlife))</f>
        <v>0</v>
      </c>
      <c r="L662" s="1380">
        <f>IF(L$3&gt;A47remlife,A47value-SUM($G662:K662),IF(A47remlife="N/A","n/a",A47value/A47remlife))</f>
        <v>0</v>
      </c>
      <c r="M662" s="1380">
        <f>IF(M$3&gt;A47remlife,A47value-SUM($G662:L662),IF(A47remlife="N/A","n/a",A47value/A47remlife))</f>
        <v>0</v>
      </c>
      <c r="N662" s="1380">
        <f>IF(N$3&gt;A47remlife,A47value-SUM($G662:M662),IF(A47remlife="N/A","n/a",A47value/A47remlife))</f>
        <v>0</v>
      </c>
      <c r="O662" s="1380">
        <f>IF(O$3&gt;A47remlife,A47value-SUM($G662:N662),IF(A47remlife="N/A","n/a",A47value/A47remlife))</f>
        <v>0</v>
      </c>
      <c r="P662" s="1380">
        <f>IF(P$3&gt;A47remlife,A47value-SUM($G662:O662),IF(A47remlife="N/A","n/a",A47value/A47remlife))</f>
        <v>0</v>
      </c>
      <c r="Q662" s="1380">
        <f>IF(Q$3&gt;A47remlife,A47value-SUM($G662:P662),IF(A47remlife="N/A","n/a",A47value/A47remlife))</f>
        <v>0</v>
      </c>
      <c r="R662" s="21"/>
      <c r="S662" s="74"/>
      <c r="T662" s="74"/>
      <c r="U662" s="74"/>
      <c r="V662" s="74"/>
      <c r="W662" s="74"/>
      <c r="X662" s="74"/>
      <c r="Y662" s="74"/>
      <c r="Z662" s="74"/>
    </row>
    <row r="663" spans="1:26" ht="12.75" hidden="1" customHeight="1" outlineLevel="2">
      <c r="A663" s="3"/>
      <c r="B663" s="3"/>
      <c r="C663" s="3"/>
      <c r="D663" s="16"/>
      <c r="E663" s="1593" t="s">
        <v>43</v>
      </c>
      <c r="F663" s="61"/>
      <c r="G663" s="1341"/>
      <c r="H663" s="18"/>
      <c r="I663" s="18"/>
      <c r="J663" s="18"/>
      <c r="K663" s="18"/>
      <c r="L663" s="18"/>
      <c r="M663" s="1384"/>
      <c r="N663" s="1385"/>
      <c r="O663" s="18"/>
      <c r="P663" s="18"/>
      <c r="Q663" s="18"/>
      <c r="R663" s="18"/>
      <c r="S663" s="74"/>
      <c r="T663" s="74"/>
      <c r="U663" s="74"/>
      <c r="V663" s="74"/>
      <c r="W663" s="74"/>
      <c r="X663" s="74"/>
      <c r="Y663" s="74"/>
      <c r="Z663" s="74"/>
    </row>
    <row r="664" spans="1:26" ht="12.75" hidden="1" customHeight="1" outlineLevel="2">
      <c r="A664" s="3"/>
      <c r="B664" s="3"/>
      <c r="C664" s="3"/>
      <c r="D664" s="16"/>
      <c r="E664" s="1594"/>
      <c r="F664" s="61">
        <v>1</v>
      </c>
      <c r="G664" s="1341"/>
      <c r="H664" s="1381"/>
      <c r="I664" s="18">
        <f>IF(A47stdlife="n/a","n/a",IF(I$3&gt;(A47stdlife+$F664),('RFM input'!$H$269*(1+vanilla1)^0.5)-SUM($H664:H664),('RFM input'!$H$269*(1+vanilla1)^0.5)/A47stdlife))</f>
        <v>0</v>
      </c>
      <c r="J664" s="18">
        <f>IF(A47stdlife="n/a","n/a",IF(J$3&gt;(A47stdlife+$F664),('RFM input'!$H$269*(1+vanilla1)^0.5)-SUM($H664:I664),('RFM input'!$H$269*(1+vanilla1)^0.5)/A47stdlife))</f>
        <v>0</v>
      </c>
      <c r="K664" s="18">
        <f>IF(A47stdlife="n/a","n/a",IF(K$3&gt;(A47stdlife+$F664),('RFM input'!$H$269*(1+vanilla1)^0.5)-SUM($H664:J664),('RFM input'!$H$269*(1+vanilla1)^0.5)/A47stdlife))</f>
        <v>0</v>
      </c>
      <c r="L664" s="18">
        <f>IF(A47stdlife="n/a","n/a",IF(L$3&gt;(A47stdlife+$F664),('RFM input'!$H$269*(1+vanilla1)^0.5)-SUM($H664:K664),('RFM input'!$H$269*(1+vanilla1)^0.5)/A47stdlife))</f>
        <v>0</v>
      </c>
      <c r="M664" s="18">
        <f>IF(A47stdlife="n/a","n/a",IF(M$3&gt;(A47stdlife+$F664),('RFM input'!$H$269*(1+vanilla1)^0.5)-SUM($H664:L664),('RFM input'!$H$269*(1+vanilla1)^0.5)/A47stdlife))</f>
        <v>0</v>
      </c>
      <c r="N664" s="18">
        <f>IF(A47stdlife="n/a","n/a",IF(N$3&gt;(A47stdlife+$F664),('RFM input'!$H$269*(1+vanilla1)^0.5)-SUM($H664:M664),('RFM input'!$H$269*(1+vanilla1)^0.5)/A47stdlife))</f>
        <v>0</v>
      </c>
      <c r="O664" s="18">
        <f>IF(A47stdlife="n/a","n/a",IF(O$3&gt;(A47stdlife+$F664),('RFM input'!$H$269*(1+vanilla1)^0.5)-SUM($H664:N664),('RFM input'!$H$269*(1+vanilla1)^0.5)/A47stdlife))</f>
        <v>0</v>
      </c>
      <c r="P664" s="18">
        <f>IF(A47stdlife="n/a","n/a",IF(P$3&gt;(A47stdlife+$F664),('RFM input'!$H$269*(1+vanilla1)^0.5)-SUM($H664:O664),('RFM input'!$H$269*(1+vanilla1)^0.5)/A47stdlife))</f>
        <v>0</v>
      </c>
      <c r="Q664" s="18">
        <f>IF(A47stdlife="n/a","n/a",IF(Q$3&gt;(A47stdlife+$F664),('RFM input'!$H$269*(1+vanilla1)^0.5)-SUM($H664:P664),('RFM input'!$H$269*(1+vanilla1)^0.5)/A47stdlife))</f>
        <v>0</v>
      </c>
      <c r="R664" s="18"/>
      <c r="S664" s="74"/>
      <c r="T664" s="74"/>
      <c r="U664" s="74"/>
      <c r="V664" s="74"/>
      <c r="W664" s="74"/>
      <c r="X664" s="74"/>
      <c r="Y664" s="74"/>
      <c r="Z664" s="74"/>
    </row>
    <row r="665" spans="1:26" ht="12.75" hidden="1" customHeight="1" outlineLevel="2">
      <c r="A665" s="3"/>
      <c r="B665" s="3"/>
      <c r="C665" s="3"/>
      <c r="D665" s="16"/>
      <c r="E665" s="1594"/>
      <c r="F665" s="61">
        <v>2</v>
      </c>
      <c r="G665" s="1341"/>
      <c r="H665" s="114"/>
      <c r="I665" s="116"/>
      <c r="J665" s="18">
        <f>IF(A47stdlife="n/a","n/a",IF(J$3&gt;(A47stdlife+$F665),('RFM input'!$I$269*(1+vanilla2)^0.5)-SUM($I665:I665),('RFM input'!$I$269*(1+vanilla2)^0.5)/A47stdlife))</f>
        <v>0</v>
      </c>
      <c r="K665" s="18">
        <f>IF(A47stdlife="n/a","n/a",IF(K$3&gt;(A47stdlife+$F665),('RFM input'!$I$269*(1+vanilla2)^0.5)-SUM($I665:J665),('RFM input'!$I$269*(1+vanilla2)^0.5)/A47stdlife))</f>
        <v>0</v>
      </c>
      <c r="L665" s="18">
        <f>IF(A47stdlife="n/a","n/a",IF(L$3&gt;(A47stdlife+$F665),('RFM input'!$I$269*(1+vanilla2)^0.5)-SUM($I665:K665),('RFM input'!$I$269*(1+vanilla2)^0.5)/A47stdlife))</f>
        <v>0</v>
      </c>
      <c r="M665" s="18">
        <f>IF(A47stdlife="n/a","n/a",IF(M$3&gt;(A47stdlife+$F665),('RFM input'!$I$269*(1+vanilla2)^0.5)-SUM($I665:L665),('RFM input'!$I$269*(1+vanilla2)^0.5)/A47stdlife))</f>
        <v>0</v>
      </c>
      <c r="N665" s="18">
        <f>IF(A47stdlife="n/a","n/a",IF(N$3&gt;(A47stdlife+$F665),('RFM input'!$I$269*(1+vanilla2)^0.5)-SUM($I665:M665),('RFM input'!$I$269*(1+vanilla2)^0.5)/A47stdlife))</f>
        <v>0</v>
      </c>
      <c r="O665" s="18">
        <f>IF(A47stdlife="n/a","n/a",IF(O$3&gt;(A47stdlife+$F665),('RFM input'!$I$269*(1+vanilla2)^0.5)-SUM($I665:N665),('RFM input'!$I$269*(1+vanilla2)^0.5)/A47stdlife))</f>
        <v>0</v>
      </c>
      <c r="P665" s="18">
        <f>IF(A47stdlife="n/a","n/a",IF(P$3&gt;(A47stdlife+$F665),('RFM input'!$I$269*(1+vanilla2)^0.5)-SUM($I665:O665),('RFM input'!$I$269*(1+vanilla2)^0.5)/A47stdlife))</f>
        <v>0</v>
      </c>
      <c r="Q665" s="18">
        <f>IF(A47stdlife="n/a","n/a",IF(Q$3&gt;(A47stdlife+$F665),('RFM input'!$I$269*(1+vanilla2)^0.5)-SUM($I665:P665),('RFM input'!$I$269*(1+vanilla2)^0.5)/A47stdlife))</f>
        <v>0</v>
      </c>
      <c r="R665" s="18"/>
      <c r="S665" s="74"/>
      <c r="T665" s="74"/>
      <c r="U665" s="74"/>
      <c r="V665" s="74"/>
      <c r="W665" s="74"/>
      <c r="X665" s="74"/>
      <c r="Y665" s="74"/>
      <c r="Z665" s="74"/>
    </row>
    <row r="666" spans="1:26" ht="12.75" hidden="1" customHeight="1" outlineLevel="2">
      <c r="A666" s="3"/>
      <c r="B666" s="3"/>
      <c r="C666" s="3"/>
      <c r="D666" s="16"/>
      <c r="E666" s="1594"/>
      <c r="F666" s="61">
        <v>3</v>
      </c>
      <c r="G666" s="1341"/>
      <c r="H666" s="114"/>
      <c r="I666" s="115"/>
      <c r="J666" s="116"/>
      <c r="K666" s="18">
        <f>IF(A47stdlife="n/a","n/a",IF(K$3&gt;(A47stdlife+$F666),('RFM input'!$J$269*(1+vanilla3)^0.5)-SUM($J666:J666),('RFM input'!$J$269*(1+vanilla3)^0.5)/A47stdlife))</f>
        <v>0</v>
      </c>
      <c r="L666" s="18">
        <f>IF(A47stdlife="n/a","n/a",IF(L$3&gt;(A47stdlife+$F666),('RFM input'!$J$269*(1+vanilla3)^0.5)-SUM($J666:K666),('RFM input'!$J$269*(1+vanilla3)^0.5)/A47stdlife))</f>
        <v>0</v>
      </c>
      <c r="M666" s="18">
        <f>IF(A47stdlife="n/a","n/a",IF(M$3&gt;(A47stdlife+$F666),('RFM input'!$J$269*(1+vanilla3)^0.5)-SUM($J666:L666),('RFM input'!$J$269*(1+vanilla3)^0.5)/A47stdlife))</f>
        <v>0</v>
      </c>
      <c r="N666" s="18">
        <f>IF(A47stdlife="n/a","n/a",IF(N$3&gt;(A47stdlife+$F666),('RFM input'!$J$269*(1+vanilla3)^0.5)-SUM($J666:M666),('RFM input'!$J$269*(1+vanilla3)^0.5)/A47stdlife))</f>
        <v>0</v>
      </c>
      <c r="O666" s="18">
        <f>IF(A47stdlife="n/a","n/a",IF(O$3&gt;(A47stdlife+$F666),('RFM input'!$J$269*(1+vanilla3)^0.5)-SUM($J666:N666),('RFM input'!$J$269*(1+vanilla3)^0.5)/A47stdlife))</f>
        <v>0</v>
      </c>
      <c r="P666" s="18">
        <f>IF(A47stdlife="n/a","n/a",IF(P$3&gt;(A47stdlife+$F666),('RFM input'!$J$269*(1+vanilla3)^0.5)-SUM($J666:O666),('RFM input'!$J$269*(1+vanilla3)^0.5)/A47stdlife))</f>
        <v>0</v>
      </c>
      <c r="Q666" s="18">
        <f>IF(A47stdlife="n/a","n/a",IF(Q$3&gt;(A47stdlife+$F666),('RFM input'!$J$269*(1+vanilla3)^0.5)-SUM($J666:P666),('RFM input'!$J$269*(1+vanilla3)^0.5)/A47stdlife))</f>
        <v>0</v>
      </c>
      <c r="R666" s="18"/>
      <c r="S666" s="74"/>
      <c r="T666" s="74"/>
      <c r="U666" s="74"/>
      <c r="V666" s="74"/>
      <c r="W666" s="74"/>
      <c r="X666" s="74"/>
      <c r="Y666" s="74"/>
      <c r="Z666" s="74"/>
    </row>
    <row r="667" spans="1:26" ht="12.75" hidden="1" customHeight="1" outlineLevel="2">
      <c r="A667" s="3"/>
      <c r="B667" s="3"/>
      <c r="C667" s="3"/>
      <c r="D667" s="16"/>
      <c r="E667" s="1594"/>
      <c r="F667" s="61">
        <v>4</v>
      </c>
      <c r="G667" s="1341"/>
      <c r="H667" s="114"/>
      <c r="I667" s="115"/>
      <c r="J667" s="115"/>
      <c r="K667" s="116"/>
      <c r="L667" s="18">
        <f>IF(A47stdlife="n/a","n/a",IF(L$3&gt;(A47stdlife+$F667),('RFM input'!$K$269*(1+vanilla4)^0.5)-SUM($K667:K667),('RFM input'!$K$269*(1+vanilla4)^0.5)/A47stdlife))</f>
        <v>0</v>
      </c>
      <c r="M667" s="18">
        <f>IF(A47stdlife="n/a","n/a",IF(M$3&gt;(A47stdlife+$F667),('RFM input'!$K$269*(1+vanilla4)^0.5)-SUM($K667:L667),('RFM input'!$K$269*(1+vanilla4)^0.5)/A47stdlife))</f>
        <v>0</v>
      </c>
      <c r="N667" s="18">
        <f>IF(A47stdlife="n/a","n/a",IF(N$3&gt;(A47stdlife+$F667),('RFM input'!$K$269*(1+vanilla4)^0.5)-SUM($K667:M667),('RFM input'!$K$269*(1+vanilla4)^0.5)/A47stdlife))</f>
        <v>0</v>
      </c>
      <c r="O667" s="18">
        <f>IF(A47stdlife="n/a","n/a",IF(O$3&gt;(A47stdlife+$F667),('RFM input'!$K$269*(1+vanilla4)^0.5)-SUM($K667:N667),('RFM input'!$K$269*(1+vanilla4)^0.5)/A47stdlife))</f>
        <v>0</v>
      </c>
      <c r="P667" s="18">
        <f>IF(A47stdlife="n/a","n/a",IF(P$3&gt;(A47stdlife+$F667),('RFM input'!$K$269*(1+vanilla4)^0.5)-SUM($K667:O667),('RFM input'!$K$269*(1+vanilla4)^0.5)/A47stdlife))</f>
        <v>0</v>
      </c>
      <c r="Q667" s="18">
        <f>IF(A47stdlife="n/a","n/a",IF(Q$3&gt;(A47stdlife+$F667),('RFM input'!$K$269*(1+vanilla4)^0.5)-SUM($K667:P667),('RFM input'!$K$269*(1+vanilla4)^0.5)/A47stdlife))</f>
        <v>0</v>
      </c>
      <c r="R667" s="18"/>
      <c r="S667" s="74"/>
      <c r="T667" s="74"/>
      <c r="U667" s="74"/>
      <c r="V667" s="74"/>
      <c r="W667" s="74"/>
      <c r="X667" s="74"/>
      <c r="Y667" s="74"/>
      <c r="Z667" s="74"/>
    </row>
    <row r="668" spans="1:26" ht="12.75" hidden="1" customHeight="1" outlineLevel="2">
      <c r="A668" s="3"/>
      <c r="B668" s="3"/>
      <c r="C668" s="3"/>
      <c r="D668" s="16"/>
      <c r="E668" s="1594"/>
      <c r="F668" s="61">
        <v>5</v>
      </c>
      <c r="G668" s="17"/>
      <c r="H668" s="114"/>
      <c r="I668" s="115"/>
      <c r="J668" s="115"/>
      <c r="K668" s="115"/>
      <c r="L668" s="116"/>
      <c r="M668" s="18">
        <f>IF(A47stdlife="n/a","n/a",IF(M$3&gt;(A47stdlife+$F668),('RFM input'!$L$269*(1+vanilla5)^0.5)-SUM($L668:L668),('RFM input'!$L$269*(1+vanilla5)^0.5)/A47stdlife))</f>
        <v>0</v>
      </c>
      <c r="N668" s="18">
        <f>IF(A47stdlife="n/a","n/a",IF(N$3&gt;(A47stdlife+$F668),('RFM input'!$L$269*(1+vanilla5)^0.5)-SUM($L668:M668),('RFM input'!$L$269*(1+vanilla5)^0.5)/A47stdlife))</f>
        <v>0</v>
      </c>
      <c r="O668" s="18">
        <f>IF(A47stdlife="n/a","n/a",IF(O$3&gt;(A47stdlife+$F668),('RFM input'!$L$269*(1+vanilla5)^0.5)-SUM($L668:N668),('RFM input'!$L$269*(1+vanilla5)^0.5)/A47stdlife))</f>
        <v>0</v>
      </c>
      <c r="P668" s="18">
        <f>IF(A47stdlife="n/a","n/a",IF(P$3&gt;(A47stdlife+$F668),('RFM input'!$L$269*(1+vanilla5)^0.5)-SUM($L668:O668),('RFM input'!$L$269*(1+vanilla5)^0.5)/A47stdlife))</f>
        <v>0</v>
      </c>
      <c r="Q668" s="18">
        <f>IF(A47stdlife="n/a","n/a",IF(Q$3&gt;(A47stdlife+$F668),('RFM input'!$L$269*(1+vanilla5)^0.5)-SUM($L668:P668),('RFM input'!$L$269*(1+vanilla5)^0.5)/A47stdlife))</f>
        <v>0</v>
      </c>
      <c r="R668" s="18"/>
      <c r="S668" s="74"/>
      <c r="T668" s="74"/>
      <c r="U668" s="74"/>
      <c r="V668" s="74"/>
      <c r="W668" s="74"/>
      <c r="X668" s="74"/>
      <c r="Y668" s="74"/>
      <c r="Z668" s="74"/>
    </row>
    <row r="669" spans="1:26" ht="12.75" hidden="1" customHeight="1" outlineLevel="2">
      <c r="A669" s="3"/>
      <c r="B669" s="3"/>
      <c r="C669" s="3"/>
      <c r="D669" s="16"/>
      <c r="E669" s="1594"/>
      <c r="F669" s="61">
        <v>6</v>
      </c>
      <c r="G669" s="17"/>
      <c r="H669" s="114"/>
      <c r="I669" s="115"/>
      <c r="J669" s="115"/>
      <c r="K669" s="115"/>
      <c r="L669" s="115"/>
      <c r="M669" s="116"/>
      <c r="N669" s="18">
        <f>IF(A47stdlife="n/a","n/a",IF(N$3&gt;(A47stdlife+$F669),('RFM input'!$M$269*(1+vanilla6)^0.5)-SUM($M669:M669),('RFM input'!$M$269*(1+vanilla6)^0.5)/A47stdlife))</f>
        <v>0</v>
      </c>
      <c r="O669" s="18">
        <f>IF(A47stdlife="n/a","n/a",IF(O$3&gt;(A47stdlife+$F669),('RFM input'!$M$269*(1+vanilla6)^0.5)-SUM($M669:N669),('RFM input'!$M$269*(1+vanilla6)^0.5)/A47stdlife))</f>
        <v>0</v>
      </c>
      <c r="P669" s="18">
        <f>IF(A47stdlife="n/a","n/a",IF(P$3&gt;(A47stdlife+$F669),('RFM input'!$M$269*(1+vanilla6)^0.5)-SUM($M669:O669),('RFM input'!$M$269*(1+vanilla6)^0.5)/A47stdlife))</f>
        <v>0</v>
      </c>
      <c r="Q669" s="18">
        <f>IF(A47stdlife="n/a","n/a",IF(Q$3&gt;(A47stdlife+$F669),('RFM input'!$M$269*(1+vanilla6)^0.5)-SUM($M669:P669),('RFM input'!$M$269*(1+vanilla6)^0.5)/A47stdlife))</f>
        <v>0</v>
      </c>
      <c r="R669" s="18"/>
      <c r="S669" s="74"/>
      <c r="T669" s="74"/>
      <c r="U669" s="74"/>
      <c r="V669" s="74"/>
      <c r="W669" s="74"/>
      <c r="X669" s="74"/>
      <c r="Y669" s="74"/>
      <c r="Z669" s="74"/>
    </row>
    <row r="670" spans="1:26" ht="12.75" hidden="1" customHeight="1" outlineLevel="2">
      <c r="A670" s="3"/>
      <c r="B670" s="3"/>
      <c r="C670" s="3"/>
      <c r="D670" s="16"/>
      <c r="E670" s="1594"/>
      <c r="F670" s="61">
        <v>7</v>
      </c>
      <c r="G670" s="17"/>
      <c r="H670" s="114"/>
      <c r="I670" s="115"/>
      <c r="J670" s="115"/>
      <c r="K670" s="115"/>
      <c r="L670" s="115"/>
      <c r="M670" s="115"/>
      <c r="N670" s="116"/>
      <c r="O670" s="18">
        <f>IF(A47stdlife="n/a","n/a",IF(O$3&gt;(A47stdlife+$F670),('RFM input'!M$269*(1+vanilla7)^0.5)-SUM($N670:N670),('RFM input'!$N$269*(1+vanilla7)^0.5)/A47stdlife))</f>
        <v>0</v>
      </c>
      <c r="P670" s="18">
        <f>IF(A47stdlife="n/a","n/a",IF(P$3&gt;(A47stdlife+$F670),('RFM input'!N$269*(1+vanilla7)^0.5)-SUM($N670:O670),('RFM input'!$N$269*(1+vanilla7)^0.5)/A47stdlife))</f>
        <v>0</v>
      </c>
      <c r="Q670" s="18">
        <f>IF(A47stdlife="n/a","n/a",IF(Q$3&gt;(A47stdlife+$F670),('RFM input'!O$269*(1+vanilla7)^0.5)-SUM($N670:P670),('RFM input'!$N$269*(1+vanilla7)^0.5)/A47stdlife))</f>
        <v>0</v>
      </c>
      <c r="R670" s="18"/>
      <c r="S670" s="74"/>
      <c r="T670" s="74"/>
      <c r="U670" s="74"/>
      <c r="V670" s="74"/>
      <c r="W670" s="74"/>
      <c r="X670" s="74"/>
      <c r="Y670" s="74"/>
      <c r="Z670" s="74"/>
    </row>
    <row r="671" spans="1:26" ht="12.75" hidden="1" customHeight="1" outlineLevel="2">
      <c r="A671" s="3"/>
      <c r="B671" s="3"/>
      <c r="C671" s="3"/>
      <c r="D671" s="16"/>
      <c r="E671" s="1594"/>
      <c r="F671" s="61">
        <v>8</v>
      </c>
      <c r="G671" s="17"/>
      <c r="H671" s="114"/>
      <c r="I671" s="115"/>
      <c r="J671" s="115"/>
      <c r="K671" s="115"/>
      <c r="L671" s="115"/>
      <c r="M671" s="115"/>
      <c r="N671" s="115"/>
      <c r="O671" s="116"/>
      <c r="P671" s="18">
        <f>IF(A47stdlife="n/a","n/a",IF(P$3&gt;(A47stdlife+$F671),('RFM input'!$O$269*(1+vanilla8)^0.5)-SUM($O671:O671),('RFM input'!$O$269*(1+vanilla8)^0.5)/A47stdlife))</f>
        <v>0</v>
      </c>
      <c r="Q671" s="18">
        <f>IF(A47stdlife="n/a","n/a",IF(Q$3&gt;(A47stdlife+$F671),('RFM input'!$O$269*(1+vanilla8)^0.5)-SUM($O671:P671),('RFM input'!$O$269*(1+vanilla8)^0.5)/A47stdlife))</f>
        <v>0</v>
      </c>
      <c r="R671" s="18"/>
      <c r="S671" s="74"/>
      <c r="T671" s="74"/>
      <c r="U671" s="74"/>
      <c r="V671" s="74"/>
      <c r="W671" s="74"/>
      <c r="X671" s="74"/>
      <c r="Y671" s="74"/>
      <c r="Z671" s="74"/>
    </row>
    <row r="672" spans="1:26" ht="12.75" hidden="1" customHeight="1" outlineLevel="2">
      <c r="A672" s="3"/>
      <c r="B672" s="3"/>
      <c r="C672" s="3"/>
      <c r="D672" s="16"/>
      <c r="E672" s="1594"/>
      <c r="F672" s="61">
        <v>9</v>
      </c>
      <c r="G672" s="17"/>
      <c r="H672" s="114"/>
      <c r="I672" s="115"/>
      <c r="J672" s="115"/>
      <c r="K672" s="115"/>
      <c r="L672" s="115"/>
      <c r="M672" s="115"/>
      <c r="N672" s="115"/>
      <c r="O672" s="115"/>
      <c r="P672" s="116"/>
      <c r="Q672" s="18">
        <f>IF(A47stdlife="n/a","n/a",IF(Q$3&gt;(A47stdlife+$F672),('RFM input'!$P$269*(1+vanilla9)^0.5)-SUM($P672:P672),('RFM input'!$P$269*(1+vanilla9)^0.5)/A47stdlife))</f>
        <v>0</v>
      </c>
      <c r="R672" s="18"/>
      <c r="S672" s="74"/>
      <c r="T672" s="74"/>
      <c r="U672" s="74"/>
      <c r="V672" s="74"/>
      <c r="W672" s="74"/>
      <c r="X672" s="74"/>
      <c r="Y672" s="74"/>
      <c r="Z672" s="74"/>
    </row>
    <row r="673" spans="1:26" ht="12.75" hidden="1" customHeight="1" outlineLevel="2">
      <c r="A673" s="3"/>
      <c r="B673" s="3"/>
      <c r="C673" s="3"/>
      <c r="D673" s="16"/>
      <c r="E673" s="1594"/>
      <c r="F673" s="62">
        <v>10</v>
      </c>
      <c r="G673" s="17"/>
      <c r="H673" s="114"/>
      <c r="I673" s="115"/>
      <c r="J673" s="115"/>
      <c r="K673" s="115"/>
      <c r="L673" s="115"/>
      <c r="M673" s="115"/>
      <c r="N673" s="115"/>
      <c r="O673" s="115"/>
      <c r="P673" s="115"/>
      <c r="Q673" s="116"/>
      <c r="R673" s="18"/>
      <c r="S673" s="74"/>
      <c r="T673" s="74"/>
      <c r="U673" s="74"/>
      <c r="V673" s="74"/>
      <c r="W673" s="74"/>
      <c r="X673" s="74"/>
      <c r="Y673" s="74"/>
      <c r="Z673" s="74"/>
    </row>
    <row r="674" spans="1:26" ht="13.35" hidden="1" customHeight="1" outlineLevel="1">
      <c r="A674" s="3"/>
      <c r="B674" s="3"/>
      <c r="C674" s="3"/>
      <c r="D674" s="134">
        <f>Asset47</f>
        <v>0</v>
      </c>
      <c r="E674" s="3"/>
      <c r="F674" s="3"/>
      <c r="G674" s="1341"/>
      <c r="H674" s="1458">
        <f>IF(OR('RFM input'!$E$293='RFM input'!$G$292,'RFM input'!$E$293='RFM input'!$G$293),-INDEX('RFM input'!H$299:H$348,MATCH($D674,'RFM input'!$E$299:$E$348,0),1),-SUM(H662:H673))</f>
        <v>0</v>
      </c>
      <c r="I674" s="1458">
        <f>IF(OR('RFM input'!$E$293='RFM input'!$G$292,'RFM input'!$E$293='RFM input'!$G$293),-INDEX('RFM input'!I$299:I$348,MATCH($D674,'RFM input'!$E$299:$E$348,0),1),-SUM(I662:I673))</f>
        <v>0</v>
      </c>
      <c r="J674" s="1386">
        <f>IF(COUNT($H674:I674)&gt;='RFM input'!$V$7,
   0,
   IF(OR('RFM input'!$E$293='RFM input'!$G$292,'RFM input'!$E$293='RFM input'!$G$293),
      -INDEX('RFM input'!J$299:J$348,MATCH($D674,'RFM input'!$E$299:$E$348,0),1),
      -SUM(J662:J673)))</f>
        <v>0</v>
      </c>
      <c r="K674" s="1386">
        <f>IF(COUNT($H674:J674)&gt;='RFM input'!$V$7,
   0,
   IF(OR('RFM input'!$E$293='RFM input'!$G$292,'RFM input'!$E$293='RFM input'!$G$293),
      -INDEX('RFM input'!K$299:K$348,MATCH($D674,'RFM input'!$E$299:$E$348,0),1),
      -SUM(K662:K673)))</f>
        <v>0</v>
      </c>
      <c r="L674" s="1386">
        <f>IF(COUNT($H674:K674)&gt;='RFM input'!$V$7,
   0,
   IF(OR('RFM input'!$E$293='RFM input'!$G$292,'RFM input'!$E$293='RFM input'!$G$293),
      -INDEX('RFM input'!L$299:L$348,MATCH($D674,'RFM input'!$E$299:$E$348,0),1),
      -SUM(L662:L673)))</f>
        <v>0</v>
      </c>
      <c r="M674" s="1386">
        <f>IF(COUNT($H674:L674)&gt;='RFM input'!$V$7,
   0,
   IF(OR('RFM input'!$E$293='RFM input'!$G$292,'RFM input'!$E$293='RFM input'!$G$293),
      -INDEX('RFM input'!M$299:M$348,MATCH($D674,'RFM input'!$E$299:$E$348,0),1),
      -SUM(M662:M673)))</f>
        <v>0</v>
      </c>
      <c r="N674" s="1386">
        <f>IF(COUNT($H674:M674)&gt;='RFM input'!$V$7,
   0,
   IF(OR('RFM input'!$E$293='RFM input'!$G$292,'RFM input'!$E$293='RFM input'!$G$293),
      -INDEX('RFM input'!N$299:N$348,MATCH($D674,'RFM input'!$E$299:$E$348,0),1),
      -SUM(N662:N673)))</f>
        <v>0</v>
      </c>
      <c r="O674" s="1386">
        <f>IF(COUNT($H674:N674)&gt;='RFM input'!$V$7,
   0,
   IF(OR('RFM input'!$E$293='RFM input'!$G$292,'RFM input'!$E$293='RFM input'!$G$293),
      -INDEX('RFM input'!O$299:O$348,MATCH($D674,'RFM input'!$E$299:$E$348,0),1),
      -SUM(O662:O673)))</f>
        <v>0</v>
      </c>
      <c r="P674" s="1386">
        <f>IF(COUNT($H674:O674)&gt;='RFM input'!$V$7,
   0,
   IF(OR('RFM input'!$E$293='RFM input'!$G$292,'RFM input'!$E$293='RFM input'!$G$293),
      -INDEX('RFM input'!P$299:P$348,MATCH($D674,'RFM input'!$E$299:$E$348,0),1),
      -SUM(P662:P673)))</f>
        <v>0</v>
      </c>
      <c r="Q674" s="1386">
        <f>IF(COUNT($H674:P674)&gt;='RFM input'!$V$7,
   0,
   IF(OR('RFM input'!$E$293='RFM input'!$G$292,'RFM input'!$E$293='RFM input'!$G$293),
      -INDEX('RFM input'!Q$299:Q$348,MATCH($D674,'RFM input'!$E$299:$E$348,0),1),
      -SUM(Q662:Q673)))</f>
        <v>0</v>
      </c>
      <c r="R674" s="1382"/>
      <c r="S674" s="76"/>
      <c r="T674" s="76"/>
      <c r="U674" s="76"/>
      <c r="V674" s="76"/>
      <c r="W674" s="76"/>
      <c r="X674" s="76"/>
      <c r="Y674" s="76"/>
      <c r="Z674" s="76"/>
    </row>
    <row r="675" spans="1:26" ht="12.75" hidden="1" customHeight="1" outlineLevel="2">
      <c r="A675" s="3"/>
      <c r="B675" s="3"/>
      <c r="C675" s="135">
        <f>Asset48</f>
        <v>0</v>
      </c>
      <c r="D675" s="100"/>
      <c r="E675" s="20" t="s">
        <v>23</v>
      </c>
      <c r="F675" s="19"/>
      <c r="G675" s="1383"/>
      <c r="H675" s="1380">
        <f>IF(H$3&gt;A48remlife,A48value-SUM($G675:G675),IF(A48remlife="N/A","n/a",A48value/A48remlife))</f>
        <v>0</v>
      </c>
      <c r="I675" s="1380">
        <f>IF(I$3&gt;A48remlife,A48value-SUM($G675:H675),IF(A48remlife="N/A","n/a",A48value/A48remlife))</f>
        <v>0</v>
      </c>
      <c r="J675" s="1380">
        <f>IF(J$3&gt;A48remlife,A48value-SUM($G675:I675),IF(A48remlife="N/A","n/a",A48value/A48remlife))</f>
        <v>0</v>
      </c>
      <c r="K675" s="1380">
        <f>IF(K$3&gt;A48remlife,A48value-SUM($G675:J675),IF(A48remlife="N/A","n/a",A48value/A48remlife))</f>
        <v>0</v>
      </c>
      <c r="L675" s="1380">
        <f>IF(L$3&gt;A48remlife,A48value-SUM($G675:K675),IF(A48remlife="N/A","n/a",A48value/A48remlife))</f>
        <v>0</v>
      </c>
      <c r="M675" s="1380">
        <f>IF(M$3&gt;A48remlife,A48value-SUM($G675:L675),IF(A48remlife="N/A","n/a",A48value/A48remlife))</f>
        <v>0</v>
      </c>
      <c r="N675" s="1380">
        <f>IF(N$3&gt;A48remlife,A48value-SUM($G675:M675),IF(A48remlife="N/A","n/a",A48value/A48remlife))</f>
        <v>0</v>
      </c>
      <c r="O675" s="1380">
        <f>IF(O$3&gt;A48remlife,A48value-SUM($G675:N675),IF(A48remlife="N/A","n/a",A48value/A48remlife))</f>
        <v>0</v>
      </c>
      <c r="P675" s="1380">
        <f>IF(P$3&gt;A48remlife,A48value-SUM($G675:O675),IF(A48remlife="N/A","n/a",A48value/A48remlife))</f>
        <v>0</v>
      </c>
      <c r="Q675" s="1380">
        <f>IF(Q$3&gt;A48remlife,A48value-SUM($G675:P675),IF(A48remlife="N/A","n/a",A48value/A48remlife))</f>
        <v>0</v>
      </c>
      <c r="R675" s="21"/>
      <c r="S675" s="74"/>
      <c r="T675" s="74"/>
      <c r="U675" s="74"/>
      <c r="V675" s="74"/>
      <c r="W675" s="74"/>
      <c r="X675" s="74"/>
      <c r="Y675" s="74"/>
      <c r="Z675" s="74"/>
    </row>
    <row r="676" spans="1:26" ht="12.75" hidden="1" customHeight="1" outlineLevel="2">
      <c r="A676" s="3"/>
      <c r="B676" s="3"/>
      <c r="C676" s="3"/>
      <c r="D676" s="16"/>
      <c r="E676" s="1593" t="s">
        <v>43</v>
      </c>
      <c r="F676" s="61"/>
      <c r="G676" s="1341"/>
      <c r="H676" s="18"/>
      <c r="I676" s="18"/>
      <c r="J676" s="18"/>
      <c r="K676" s="18"/>
      <c r="L676" s="18"/>
      <c r="M676" s="1384"/>
      <c r="N676" s="1385"/>
      <c r="O676" s="18"/>
      <c r="P676" s="18"/>
      <c r="Q676" s="18"/>
      <c r="R676" s="18"/>
      <c r="S676" s="74"/>
      <c r="T676" s="74"/>
      <c r="U676" s="74"/>
      <c r="V676" s="74"/>
      <c r="W676" s="74"/>
      <c r="X676" s="74"/>
      <c r="Y676" s="74"/>
      <c r="Z676" s="74"/>
    </row>
    <row r="677" spans="1:26" ht="12.75" hidden="1" customHeight="1" outlineLevel="2">
      <c r="A677" s="3"/>
      <c r="B677" s="3"/>
      <c r="C677" s="3"/>
      <c r="D677" s="16"/>
      <c r="E677" s="1594"/>
      <c r="F677" s="61">
        <v>1</v>
      </c>
      <c r="G677" s="1341"/>
      <c r="H677" s="1381"/>
      <c r="I677" s="18">
        <f>IF(A48stdlife="n/a","n/a",IF(I$3&gt;(A48stdlife+$F677),('RFM input'!$H$270*(1+vanilla1)^0.5)-SUM($H677:H677),('RFM input'!$H$270*(1+vanilla1)^0.5)/A48stdlife))</f>
        <v>0</v>
      </c>
      <c r="J677" s="18">
        <f>IF(A48stdlife="n/a","n/a",IF(J$3&gt;(A48stdlife+$F677),('RFM input'!$H$270*(1+vanilla1)^0.5)-SUM($H677:I677),('RFM input'!$H$270*(1+vanilla1)^0.5)/A48stdlife))</f>
        <v>0</v>
      </c>
      <c r="K677" s="18">
        <f>IF(A48stdlife="n/a","n/a",IF(K$3&gt;(A48stdlife+$F677),('RFM input'!$H$270*(1+vanilla1)^0.5)-SUM($H677:J677),('RFM input'!$H$270*(1+vanilla1)^0.5)/A48stdlife))</f>
        <v>0</v>
      </c>
      <c r="L677" s="18">
        <f>IF(A48stdlife="n/a","n/a",IF(L$3&gt;(A48stdlife+$F677),('RFM input'!$H$270*(1+vanilla1)^0.5)-SUM($H677:K677),('RFM input'!$H$270*(1+vanilla1)^0.5)/A48stdlife))</f>
        <v>0</v>
      </c>
      <c r="M677" s="18">
        <f>IF(A48stdlife="n/a","n/a",IF(M$3&gt;(A48stdlife+$F677),('RFM input'!$H$270*(1+vanilla1)^0.5)-SUM($H677:L677),('RFM input'!$H$270*(1+vanilla1)^0.5)/A48stdlife))</f>
        <v>0</v>
      </c>
      <c r="N677" s="18">
        <f>IF(A48stdlife="n/a","n/a",IF(N$3&gt;(A48stdlife+$F677),('RFM input'!$H$270*(1+vanilla1)^0.5)-SUM($H677:M677),('RFM input'!$H$270*(1+vanilla1)^0.5)/A48stdlife))</f>
        <v>0</v>
      </c>
      <c r="O677" s="18">
        <f>IF(A48stdlife="n/a","n/a",IF(O$3&gt;(A48stdlife+$F677),('RFM input'!$H$270*(1+vanilla1)^0.5)-SUM($H677:N677),('RFM input'!$H$270*(1+vanilla1)^0.5)/A48stdlife))</f>
        <v>0</v>
      </c>
      <c r="P677" s="18">
        <f>IF(A48stdlife="n/a","n/a",IF(P$3&gt;(A48stdlife+$F677),('RFM input'!$H$270*(1+vanilla1)^0.5)-SUM($H677:O677),('RFM input'!$H$270*(1+vanilla1)^0.5)/A48stdlife))</f>
        <v>0</v>
      </c>
      <c r="Q677" s="18">
        <f>IF(A48stdlife="n/a","n/a",IF(Q$3&gt;(A48stdlife+$F677),('RFM input'!$H$270*(1+vanilla1)^0.5)-SUM($H677:P677),('RFM input'!$H$270*(1+vanilla1)^0.5)/A48stdlife))</f>
        <v>0</v>
      </c>
      <c r="R677" s="18"/>
      <c r="S677" s="74"/>
      <c r="T677" s="74"/>
      <c r="U677" s="74"/>
      <c r="V677" s="74"/>
      <c r="W677" s="74"/>
      <c r="X677" s="74"/>
      <c r="Y677" s="74"/>
      <c r="Z677" s="74"/>
    </row>
    <row r="678" spans="1:26" ht="12.75" hidden="1" customHeight="1" outlineLevel="2">
      <c r="A678" s="3"/>
      <c r="B678" s="3"/>
      <c r="C678" s="3"/>
      <c r="D678" s="16"/>
      <c r="E678" s="1594"/>
      <c r="F678" s="61">
        <v>2</v>
      </c>
      <c r="G678" s="1341"/>
      <c r="H678" s="114"/>
      <c r="I678" s="116"/>
      <c r="J678" s="18">
        <f>IF(A48stdlife="n/a","n/a",IF(J$3&gt;(A48stdlife+$F678),('RFM input'!$I$270*(1+vanilla2)^0.5)-SUM($I678:I678),('RFM input'!$I$270*(1+vanilla2)^0.5)/A48stdlife))</f>
        <v>0</v>
      </c>
      <c r="K678" s="18">
        <f>IF(A48stdlife="n/a","n/a",IF(K$3&gt;(A48stdlife+$F678),('RFM input'!$I$270*(1+vanilla2)^0.5)-SUM($I678:J678),('RFM input'!$I$270*(1+vanilla2)^0.5)/A48stdlife))</f>
        <v>0</v>
      </c>
      <c r="L678" s="18">
        <f>IF(A48stdlife="n/a","n/a",IF(L$3&gt;(A48stdlife+$F678),('RFM input'!$I$270*(1+vanilla2)^0.5)-SUM($I678:K678),('RFM input'!$I$270*(1+vanilla2)^0.5)/A48stdlife))</f>
        <v>0</v>
      </c>
      <c r="M678" s="18">
        <f>IF(A48stdlife="n/a","n/a",IF(M$3&gt;(A48stdlife+$F678),('RFM input'!$I$270*(1+vanilla2)^0.5)-SUM($I678:L678),('RFM input'!$I$270*(1+vanilla2)^0.5)/A48stdlife))</f>
        <v>0</v>
      </c>
      <c r="N678" s="18">
        <f>IF(A48stdlife="n/a","n/a",IF(N$3&gt;(A48stdlife+$F678),('RFM input'!$I$270*(1+vanilla2)^0.5)-SUM($I678:M678),('RFM input'!$I$270*(1+vanilla2)^0.5)/A48stdlife))</f>
        <v>0</v>
      </c>
      <c r="O678" s="18">
        <f>IF(A48stdlife="n/a","n/a",IF(O$3&gt;(A48stdlife+$F678),('RFM input'!$I$270*(1+vanilla2)^0.5)-SUM($I678:N678),('RFM input'!$I$270*(1+vanilla2)^0.5)/A48stdlife))</f>
        <v>0</v>
      </c>
      <c r="P678" s="18">
        <f>IF(A48stdlife="n/a","n/a",IF(P$3&gt;(A48stdlife+$F678),('RFM input'!$I$270*(1+vanilla2)^0.5)-SUM($I678:O678),('RFM input'!$I$270*(1+vanilla2)^0.5)/A48stdlife))</f>
        <v>0</v>
      </c>
      <c r="Q678" s="18">
        <f>IF(A48stdlife="n/a","n/a",IF(Q$3&gt;(A48stdlife+$F678),('RFM input'!$I$270*(1+vanilla2)^0.5)-SUM($I678:P678),('RFM input'!$I$270*(1+vanilla2)^0.5)/A48stdlife))</f>
        <v>0</v>
      </c>
      <c r="R678" s="18"/>
      <c r="S678" s="74"/>
      <c r="T678" s="74"/>
      <c r="U678" s="74"/>
      <c r="V678" s="74"/>
      <c r="W678" s="74"/>
      <c r="X678" s="74"/>
      <c r="Y678" s="74"/>
      <c r="Z678" s="74"/>
    </row>
    <row r="679" spans="1:26" ht="12.75" hidden="1" customHeight="1" outlineLevel="2">
      <c r="A679" s="3"/>
      <c r="B679" s="3"/>
      <c r="C679" s="3"/>
      <c r="D679" s="16"/>
      <c r="E679" s="1594"/>
      <c r="F679" s="61">
        <v>3</v>
      </c>
      <c r="G679" s="1341"/>
      <c r="H679" s="114"/>
      <c r="I679" s="115"/>
      <c r="J679" s="116"/>
      <c r="K679" s="18">
        <f>IF(A48stdlife="n/a","n/a",IF(K$3&gt;(A48stdlife+$F679),('RFM input'!$J$270*(1+vanilla3)^0.5)-SUM($J679:J679),('RFM input'!$J$270*(1+vanilla3)^0.5)/A48stdlife))</f>
        <v>0</v>
      </c>
      <c r="L679" s="18">
        <f>IF(A48stdlife="n/a","n/a",IF(L$3&gt;(A48stdlife+$F679),('RFM input'!$J$270*(1+vanilla3)^0.5)-SUM($J679:K679),('RFM input'!$J$270*(1+vanilla3)^0.5)/A48stdlife))</f>
        <v>0</v>
      </c>
      <c r="M679" s="18">
        <f>IF(A48stdlife="n/a","n/a",IF(M$3&gt;(A48stdlife+$F679),('RFM input'!$J$270*(1+vanilla3)^0.5)-SUM($J679:L679),('RFM input'!$J$270*(1+vanilla3)^0.5)/A48stdlife))</f>
        <v>0</v>
      </c>
      <c r="N679" s="18">
        <f>IF(A48stdlife="n/a","n/a",IF(N$3&gt;(A48stdlife+$F679),('RFM input'!$J$270*(1+vanilla3)^0.5)-SUM($J679:M679),('RFM input'!$J$270*(1+vanilla3)^0.5)/A48stdlife))</f>
        <v>0</v>
      </c>
      <c r="O679" s="18">
        <f>IF(A48stdlife="n/a","n/a",IF(O$3&gt;(A48stdlife+$F679),('RFM input'!$J$270*(1+vanilla3)^0.5)-SUM($J679:N679),('RFM input'!$J$270*(1+vanilla3)^0.5)/A48stdlife))</f>
        <v>0</v>
      </c>
      <c r="P679" s="18">
        <f>IF(A48stdlife="n/a","n/a",IF(P$3&gt;(A48stdlife+$F679),('RFM input'!$J$270*(1+vanilla3)^0.5)-SUM($J679:O679),('RFM input'!$J$270*(1+vanilla3)^0.5)/A48stdlife))</f>
        <v>0</v>
      </c>
      <c r="Q679" s="18">
        <f>IF(A48stdlife="n/a","n/a",IF(Q$3&gt;(A48stdlife+$F679),('RFM input'!$J$270*(1+vanilla3)^0.5)-SUM($J679:P679),('RFM input'!$J$270*(1+vanilla3)^0.5)/A48stdlife))</f>
        <v>0</v>
      </c>
      <c r="R679" s="18"/>
      <c r="S679" s="74"/>
      <c r="T679" s="74"/>
      <c r="U679" s="74"/>
      <c r="V679" s="74"/>
      <c r="W679" s="74"/>
      <c r="X679" s="74"/>
      <c r="Y679" s="74"/>
      <c r="Z679" s="74"/>
    </row>
    <row r="680" spans="1:26" ht="12.75" hidden="1" customHeight="1" outlineLevel="2">
      <c r="A680" s="3"/>
      <c r="B680" s="3"/>
      <c r="C680" s="3"/>
      <c r="D680" s="16"/>
      <c r="E680" s="1594"/>
      <c r="F680" s="61">
        <v>4</v>
      </c>
      <c r="G680" s="1341"/>
      <c r="H680" s="114"/>
      <c r="I680" s="115"/>
      <c r="J680" s="115"/>
      <c r="K680" s="116"/>
      <c r="L680" s="18">
        <f>IF(A48stdlife="n/a","n/a",IF(L$3&gt;(A48stdlife+$F680),('RFM input'!$K$270*(1+vanilla4)^0.5)-SUM($K680:K680),('RFM input'!$K$270*(1+vanilla4)^0.5)/A48stdlife))</f>
        <v>0</v>
      </c>
      <c r="M680" s="18">
        <f>IF(A48stdlife="n/a","n/a",IF(M$3&gt;(A48stdlife+$F680),('RFM input'!$K$270*(1+vanilla4)^0.5)-SUM($K680:L680),('RFM input'!$K$270*(1+vanilla4)^0.5)/A48stdlife))</f>
        <v>0</v>
      </c>
      <c r="N680" s="18">
        <f>IF(A48stdlife="n/a","n/a",IF(N$3&gt;(A48stdlife+$F680),('RFM input'!$K$270*(1+vanilla4)^0.5)-SUM($K680:M680),('RFM input'!$K$270*(1+vanilla4)^0.5)/A48stdlife))</f>
        <v>0</v>
      </c>
      <c r="O680" s="18">
        <f>IF(A48stdlife="n/a","n/a",IF(O$3&gt;(A48stdlife+$F680),('RFM input'!$K$270*(1+vanilla4)^0.5)-SUM($K680:N680),('RFM input'!$K$270*(1+vanilla4)^0.5)/A48stdlife))</f>
        <v>0</v>
      </c>
      <c r="P680" s="18">
        <f>IF(A48stdlife="n/a","n/a",IF(P$3&gt;(A48stdlife+$F680),('RFM input'!$K$270*(1+vanilla4)^0.5)-SUM($K680:O680),('RFM input'!$K$270*(1+vanilla4)^0.5)/A48stdlife))</f>
        <v>0</v>
      </c>
      <c r="Q680" s="18">
        <f>IF(A48stdlife="n/a","n/a",IF(Q$3&gt;(A48stdlife+$F680),('RFM input'!$K$270*(1+vanilla4)^0.5)-SUM($K680:P680),('RFM input'!$K$270*(1+vanilla4)^0.5)/A48stdlife))</f>
        <v>0</v>
      </c>
      <c r="R680" s="18"/>
      <c r="S680" s="74"/>
      <c r="T680" s="74"/>
      <c r="U680" s="74"/>
      <c r="V680" s="74"/>
      <c r="W680" s="74"/>
      <c r="X680" s="74"/>
      <c r="Y680" s="74"/>
      <c r="Z680" s="74"/>
    </row>
    <row r="681" spans="1:26" ht="12.75" hidden="1" customHeight="1" outlineLevel="2">
      <c r="A681" s="3"/>
      <c r="B681" s="3"/>
      <c r="C681" s="3"/>
      <c r="D681" s="16"/>
      <c r="E681" s="1594"/>
      <c r="F681" s="61">
        <v>5</v>
      </c>
      <c r="G681" s="17"/>
      <c r="H681" s="114"/>
      <c r="I681" s="115"/>
      <c r="J681" s="115"/>
      <c r="K681" s="115"/>
      <c r="L681" s="116"/>
      <c r="M681" s="18">
        <f>IF(A48stdlife="n/a","n/a",IF(M$3&gt;(A48stdlife+$F681),('RFM input'!$L$270*(1+vanilla5)^0.5)-SUM($L681:L681),('RFM input'!$L$270*(1+vanilla5)^0.5)/A48stdlife))</f>
        <v>0</v>
      </c>
      <c r="N681" s="18">
        <f>IF(A48stdlife="n/a","n/a",IF(N$3&gt;(A48stdlife+$F681),('RFM input'!$L$270*(1+vanilla5)^0.5)-SUM($L681:M681),('RFM input'!$L$270*(1+vanilla5)^0.5)/A48stdlife))</f>
        <v>0</v>
      </c>
      <c r="O681" s="18">
        <f>IF(A48stdlife="n/a","n/a",IF(O$3&gt;(A48stdlife+$F681),('RFM input'!$L$270*(1+vanilla5)^0.5)-SUM($L681:N681),('RFM input'!$L$270*(1+vanilla5)^0.5)/A48stdlife))</f>
        <v>0</v>
      </c>
      <c r="P681" s="18">
        <f>IF(A48stdlife="n/a","n/a",IF(P$3&gt;(A48stdlife+$F681),('RFM input'!$L$270*(1+vanilla5)^0.5)-SUM($L681:O681),('RFM input'!$L$270*(1+vanilla5)^0.5)/A48stdlife))</f>
        <v>0</v>
      </c>
      <c r="Q681" s="18">
        <f>IF(A48stdlife="n/a","n/a",IF(Q$3&gt;(A48stdlife+$F681),('RFM input'!$L$270*(1+vanilla5)^0.5)-SUM($L681:P681),('RFM input'!$L$270*(1+vanilla5)^0.5)/A48stdlife))</f>
        <v>0</v>
      </c>
      <c r="R681" s="18"/>
      <c r="S681" s="74"/>
      <c r="T681" s="74"/>
      <c r="U681" s="74"/>
      <c r="V681" s="74"/>
      <c r="W681" s="74"/>
      <c r="X681" s="74"/>
      <c r="Y681" s="74"/>
      <c r="Z681" s="74"/>
    </row>
    <row r="682" spans="1:26" ht="12.75" hidden="1" customHeight="1" outlineLevel="2">
      <c r="A682" s="3"/>
      <c r="B682" s="3"/>
      <c r="C682" s="3"/>
      <c r="D682" s="16"/>
      <c r="E682" s="1594"/>
      <c r="F682" s="61">
        <v>6</v>
      </c>
      <c r="G682" s="17"/>
      <c r="H682" s="114"/>
      <c r="I682" s="115"/>
      <c r="J682" s="115"/>
      <c r="K682" s="115"/>
      <c r="L682" s="115"/>
      <c r="M682" s="116"/>
      <c r="N682" s="18">
        <f>IF(A48stdlife="n/a","n/a",IF(N$3&gt;(A48stdlife+$F682),('RFM input'!$M$270*(1+vanilla6)^0.5)-SUM($M682:M682),('RFM input'!$M$270*(1+vanilla6)^0.5)/A48stdlife))</f>
        <v>0</v>
      </c>
      <c r="O682" s="18">
        <f>IF(A48stdlife="n/a","n/a",IF(O$3&gt;(A48stdlife+$F682),('RFM input'!$M$270*(1+vanilla6)^0.5)-SUM($M682:N682),('RFM input'!$M$270*(1+vanilla6)^0.5)/A48stdlife))</f>
        <v>0</v>
      </c>
      <c r="P682" s="18">
        <f>IF(A48stdlife="n/a","n/a",IF(P$3&gt;(A48stdlife+$F682),('RFM input'!$M$270*(1+vanilla6)^0.5)-SUM($M682:O682),('RFM input'!$M$270*(1+vanilla6)^0.5)/A48stdlife))</f>
        <v>0</v>
      </c>
      <c r="Q682" s="18">
        <f>IF(A48stdlife="n/a","n/a",IF(Q$3&gt;(A48stdlife+$F682),('RFM input'!$M$270*(1+vanilla6)^0.5)-SUM($M682:P682),('RFM input'!$M$270*(1+vanilla6)^0.5)/A48stdlife))</f>
        <v>0</v>
      </c>
      <c r="R682" s="18"/>
      <c r="S682" s="74"/>
      <c r="T682" s="74"/>
      <c r="U682" s="74"/>
      <c r="V682" s="74"/>
      <c r="W682" s="74"/>
      <c r="X682" s="74"/>
      <c r="Y682" s="74"/>
      <c r="Z682" s="74"/>
    </row>
    <row r="683" spans="1:26" ht="12.75" hidden="1" customHeight="1" outlineLevel="2">
      <c r="A683" s="3"/>
      <c r="B683" s="3"/>
      <c r="C683" s="3"/>
      <c r="D683" s="16"/>
      <c r="E683" s="1594"/>
      <c r="F683" s="61">
        <v>7</v>
      </c>
      <c r="G683" s="17"/>
      <c r="H683" s="114"/>
      <c r="I683" s="115"/>
      <c r="J683" s="115"/>
      <c r="K683" s="115"/>
      <c r="L683" s="115"/>
      <c r="M683" s="115"/>
      <c r="N683" s="116"/>
      <c r="O683" s="18">
        <f>IF(A48stdlife="n/a","n/a",IF(O$3&gt;(A48stdlife+$F683),('RFM input'!M$270*(1+vanilla7)^0.5)-SUM($N683:N683),('RFM input'!$N$270*(1+vanilla7)^0.5)/A48stdlife))</f>
        <v>0</v>
      </c>
      <c r="P683" s="18">
        <f>IF(A48stdlife="n/a","n/a",IF(P$3&gt;(A48stdlife+$F683),('RFM input'!N$270*(1+vanilla7)^0.5)-SUM($N683:O683),('RFM input'!$N$270*(1+vanilla7)^0.5)/A48stdlife))</f>
        <v>0</v>
      </c>
      <c r="Q683" s="18">
        <f>IF(A48stdlife="n/a","n/a",IF(Q$3&gt;(A48stdlife+$F683),('RFM input'!O$270*(1+vanilla7)^0.5)-SUM($N683:P683),('RFM input'!$N$270*(1+vanilla7)^0.5)/A48stdlife))</f>
        <v>0</v>
      </c>
      <c r="R683" s="18"/>
      <c r="S683" s="74"/>
      <c r="T683" s="74"/>
      <c r="U683" s="74"/>
      <c r="V683" s="74"/>
      <c r="W683" s="74"/>
      <c r="X683" s="74"/>
      <c r="Y683" s="74"/>
      <c r="Z683" s="74"/>
    </row>
    <row r="684" spans="1:26" ht="12.75" hidden="1" customHeight="1" outlineLevel="2">
      <c r="A684" s="3"/>
      <c r="B684" s="3"/>
      <c r="C684" s="3"/>
      <c r="D684" s="16"/>
      <c r="E684" s="1594"/>
      <c r="F684" s="61">
        <v>8</v>
      </c>
      <c r="G684" s="17"/>
      <c r="H684" s="114"/>
      <c r="I684" s="115"/>
      <c r="J684" s="115"/>
      <c r="K684" s="115"/>
      <c r="L684" s="115"/>
      <c r="M684" s="115"/>
      <c r="N684" s="115"/>
      <c r="O684" s="116"/>
      <c r="P684" s="18">
        <f>IF(A48stdlife="n/a","n/a",IF(P$3&gt;(A48stdlife+$F684),('RFM input'!$O$270*(1+vanilla8)^0.5)-SUM($O684:O684),('RFM input'!$O$270*(1+vanilla8)^0.5)/A48stdlife))</f>
        <v>0</v>
      </c>
      <c r="Q684" s="18">
        <f>IF(A48stdlife="n/a","n/a",IF(Q$3&gt;(A48stdlife+$F684),('RFM input'!$O$270*(1+vanilla8)^0.5)-SUM($O684:P684),('RFM input'!$O$270*(1+vanilla8)^0.5)/A48stdlife))</f>
        <v>0</v>
      </c>
      <c r="R684" s="18"/>
      <c r="S684" s="74"/>
      <c r="T684" s="74"/>
      <c r="U684" s="74"/>
      <c r="V684" s="74"/>
      <c r="W684" s="74"/>
      <c r="X684" s="74"/>
      <c r="Y684" s="74"/>
      <c r="Z684" s="74"/>
    </row>
    <row r="685" spans="1:26" ht="12.75" hidden="1" customHeight="1" outlineLevel="2">
      <c r="A685" s="3"/>
      <c r="B685" s="3"/>
      <c r="C685" s="3"/>
      <c r="D685" s="16"/>
      <c r="E685" s="1594"/>
      <c r="F685" s="61">
        <v>9</v>
      </c>
      <c r="G685" s="17"/>
      <c r="H685" s="114"/>
      <c r="I685" s="115"/>
      <c r="J685" s="115"/>
      <c r="K685" s="115"/>
      <c r="L685" s="115"/>
      <c r="M685" s="115"/>
      <c r="N685" s="115"/>
      <c r="O685" s="115"/>
      <c r="P685" s="116"/>
      <c r="Q685" s="18">
        <f>IF(A48stdlife="n/a","n/a",IF(Q$3&gt;(A48stdlife+$F685),('RFM input'!$P$270*(1+vanilla9)^0.5)-SUM($P685:P685),('RFM input'!$P$270*(1+vanilla9)^0.5)/A48stdlife))</f>
        <v>0</v>
      </c>
      <c r="R685" s="18"/>
      <c r="S685" s="74"/>
      <c r="T685" s="74"/>
      <c r="U685" s="74"/>
      <c r="V685" s="74"/>
      <c r="W685" s="74"/>
      <c r="X685" s="74"/>
      <c r="Y685" s="74"/>
      <c r="Z685" s="74"/>
    </row>
    <row r="686" spans="1:26" ht="12.75" hidden="1" customHeight="1" outlineLevel="2">
      <c r="A686" s="3"/>
      <c r="B686" s="3"/>
      <c r="C686" s="3"/>
      <c r="D686" s="16"/>
      <c r="E686" s="1594"/>
      <c r="F686" s="62">
        <v>10</v>
      </c>
      <c r="G686" s="17"/>
      <c r="H686" s="114"/>
      <c r="I686" s="115"/>
      <c r="J686" s="115"/>
      <c r="K686" s="115"/>
      <c r="L686" s="115"/>
      <c r="M686" s="115"/>
      <c r="N686" s="115"/>
      <c r="O686" s="115"/>
      <c r="P686" s="115"/>
      <c r="Q686" s="116"/>
      <c r="R686" s="18"/>
      <c r="S686" s="74"/>
      <c r="T686" s="74"/>
      <c r="U686" s="74"/>
      <c r="V686" s="74"/>
      <c r="W686" s="74"/>
      <c r="X686" s="74"/>
      <c r="Y686" s="74"/>
      <c r="Z686" s="74"/>
    </row>
    <row r="687" spans="1:26" ht="13.35" hidden="1" customHeight="1" outlineLevel="1">
      <c r="A687" s="3"/>
      <c r="B687" s="3"/>
      <c r="C687" s="3"/>
      <c r="D687" s="134">
        <f>Asset48</f>
        <v>0</v>
      </c>
      <c r="E687" s="3"/>
      <c r="F687" s="3"/>
      <c r="G687" s="1341"/>
      <c r="H687" s="1458">
        <f>IF(OR('RFM input'!$E$293='RFM input'!$G$292,'RFM input'!$E$293='RFM input'!$G$293),-INDEX('RFM input'!H$299:H$348,MATCH($D687,'RFM input'!$E$299:$E$348,0),1),-SUM(H675:H686))</f>
        <v>0</v>
      </c>
      <c r="I687" s="1458">
        <f>IF(OR('RFM input'!$E$293='RFM input'!$G$292,'RFM input'!$E$293='RFM input'!$G$293),-INDEX('RFM input'!I$299:I$348,MATCH($D687,'RFM input'!$E$299:$E$348,0),1),-SUM(I675:I686))</f>
        <v>0</v>
      </c>
      <c r="J687" s="1386">
        <f>IF(COUNT($H687:I687)&gt;='RFM input'!$V$7,
   0,
   IF(OR('RFM input'!$E$293='RFM input'!$G$292,'RFM input'!$E$293='RFM input'!$G$293),
      -INDEX('RFM input'!J$299:J$348,MATCH($D687,'RFM input'!$E$299:$E$348,0),1),
      -SUM(J675:J686)))</f>
        <v>0</v>
      </c>
      <c r="K687" s="1386">
        <f>IF(COUNT($H687:J687)&gt;='RFM input'!$V$7,
   0,
   IF(OR('RFM input'!$E$293='RFM input'!$G$292,'RFM input'!$E$293='RFM input'!$G$293),
      -INDEX('RFM input'!K$299:K$348,MATCH($D687,'RFM input'!$E$299:$E$348,0),1),
      -SUM(K675:K686)))</f>
        <v>0</v>
      </c>
      <c r="L687" s="1386">
        <f>IF(COUNT($H687:K687)&gt;='RFM input'!$V$7,
   0,
   IF(OR('RFM input'!$E$293='RFM input'!$G$292,'RFM input'!$E$293='RFM input'!$G$293),
      -INDEX('RFM input'!L$299:L$348,MATCH($D687,'RFM input'!$E$299:$E$348,0),1),
      -SUM(L675:L686)))</f>
        <v>0</v>
      </c>
      <c r="M687" s="1386">
        <f>IF(COUNT($H687:L687)&gt;='RFM input'!$V$7,
   0,
   IF(OR('RFM input'!$E$293='RFM input'!$G$292,'RFM input'!$E$293='RFM input'!$G$293),
      -INDEX('RFM input'!M$299:M$348,MATCH($D687,'RFM input'!$E$299:$E$348,0),1),
      -SUM(M675:M686)))</f>
        <v>0</v>
      </c>
      <c r="N687" s="1386">
        <f>IF(COUNT($H687:M687)&gt;='RFM input'!$V$7,
   0,
   IF(OR('RFM input'!$E$293='RFM input'!$G$292,'RFM input'!$E$293='RFM input'!$G$293),
      -INDEX('RFM input'!N$299:N$348,MATCH($D687,'RFM input'!$E$299:$E$348,0),1),
      -SUM(N675:N686)))</f>
        <v>0</v>
      </c>
      <c r="O687" s="1386">
        <f>IF(COUNT($H687:N687)&gt;='RFM input'!$V$7,
   0,
   IF(OR('RFM input'!$E$293='RFM input'!$G$292,'RFM input'!$E$293='RFM input'!$G$293),
      -INDEX('RFM input'!O$299:O$348,MATCH($D687,'RFM input'!$E$299:$E$348,0),1),
      -SUM(O675:O686)))</f>
        <v>0</v>
      </c>
      <c r="P687" s="1386">
        <f>IF(COUNT($H687:O687)&gt;='RFM input'!$V$7,
   0,
   IF(OR('RFM input'!$E$293='RFM input'!$G$292,'RFM input'!$E$293='RFM input'!$G$293),
      -INDEX('RFM input'!P$299:P$348,MATCH($D687,'RFM input'!$E$299:$E$348,0),1),
      -SUM(P675:P686)))</f>
        <v>0</v>
      </c>
      <c r="Q687" s="1386">
        <f>IF(COUNT($H687:P687)&gt;='RFM input'!$V$7,
   0,
   IF(OR('RFM input'!$E$293='RFM input'!$G$292,'RFM input'!$E$293='RFM input'!$G$293),
      -INDEX('RFM input'!Q$299:Q$348,MATCH($D687,'RFM input'!$E$299:$E$348,0),1),
      -SUM(Q675:Q686)))</f>
        <v>0</v>
      </c>
      <c r="R687" s="1382"/>
      <c r="S687" s="76"/>
      <c r="T687" s="76"/>
      <c r="U687" s="76"/>
      <c r="V687" s="76"/>
      <c r="W687" s="76"/>
      <c r="X687" s="76"/>
      <c r="Y687" s="76"/>
      <c r="Z687" s="76"/>
    </row>
    <row r="688" spans="1:26" ht="12.75" hidden="1" customHeight="1" outlineLevel="2">
      <c r="A688" s="3"/>
      <c r="B688" s="3"/>
      <c r="C688" s="135">
        <f>Asset49</f>
        <v>0</v>
      </c>
      <c r="D688" s="100"/>
      <c r="E688" s="20" t="s">
        <v>23</v>
      </c>
      <c r="F688" s="19"/>
      <c r="G688" s="1383"/>
      <c r="H688" s="1380">
        <f>IF(H$3&gt;A49remlife,A49value-SUM($G688:G688),IF(A49remlife="N/A","n/a",A49value/A49remlife))</f>
        <v>0</v>
      </c>
      <c r="I688" s="1380">
        <f>IF(I$3&gt;A49remlife,A49value-SUM($G688:H688),IF(A49remlife="N/A","n/a",A49value/A49remlife))</f>
        <v>0</v>
      </c>
      <c r="J688" s="1380">
        <f>IF(J$3&gt;A49remlife,A49value-SUM($G688:I688),IF(A49remlife="N/A","n/a",A49value/A49remlife))</f>
        <v>0</v>
      </c>
      <c r="K688" s="1380">
        <f>IF(K$3&gt;A49remlife,A49value-SUM($G688:J688),IF(A49remlife="N/A","n/a",A49value/A49remlife))</f>
        <v>0</v>
      </c>
      <c r="L688" s="1380">
        <f>IF(L$3&gt;A49remlife,A49value-SUM($G688:K688),IF(A49remlife="N/A","n/a",A49value/A49remlife))</f>
        <v>0</v>
      </c>
      <c r="M688" s="1380">
        <f>IF(M$3&gt;A49remlife,A49value-SUM($G688:L688),IF(A49remlife="N/A","n/a",A49value/A49remlife))</f>
        <v>0</v>
      </c>
      <c r="N688" s="1380">
        <f>IF(N$3&gt;A49remlife,A49value-SUM($G688:M688),IF(A49remlife="N/A","n/a",A49value/A49remlife))</f>
        <v>0</v>
      </c>
      <c r="O688" s="1380">
        <f>IF(O$3&gt;A49remlife,A49value-SUM($G688:N688),IF(A49remlife="N/A","n/a",A49value/A49remlife))</f>
        <v>0</v>
      </c>
      <c r="P688" s="1380">
        <f>IF(P$3&gt;A49remlife,A49value-SUM($G688:O688),IF(A49remlife="N/A","n/a",A49value/A49remlife))</f>
        <v>0</v>
      </c>
      <c r="Q688" s="1380">
        <f>IF(Q$3&gt;A49remlife,A49value-SUM($G688:P688),IF(A49remlife="N/A","n/a",A49value/A49remlife))</f>
        <v>0</v>
      </c>
      <c r="R688" s="21"/>
      <c r="S688" s="74"/>
      <c r="T688" s="74"/>
      <c r="U688" s="74"/>
      <c r="V688" s="74"/>
      <c r="W688" s="74"/>
      <c r="X688" s="74"/>
      <c r="Y688" s="74"/>
      <c r="Z688" s="74"/>
    </row>
    <row r="689" spans="1:26" ht="12.75" hidden="1" customHeight="1" outlineLevel="2">
      <c r="A689" s="3"/>
      <c r="B689" s="3"/>
      <c r="C689" s="3"/>
      <c r="D689" s="16"/>
      <c r="E689" s="1593" t="s">
        <v>43</v>
      </c>
      <c r="F689" s="61"/>
      <c r="G689" s="1341"/>
      <c r="H689" s="18"/>
      <c r="I689" s="18"/>
      <c r="J689" s="18"/>
      <c r="K689" s="18"/>
      <c r="L689" s="18"/>
      <c r="M689" s="1384"/>
      <c r="N689" s="1385"/>
      <c r="O689" s="18"/>
      <c r="P689" s="18"/>
      <c r="Q689" s="18"/>
      <c r="R689" s="18"/>
      <c r="S689" s="74"/>
      <c r="T689" s="74"/>
      <c r="U689" s="74"/>
      <c r="V689" s="74"/>
      <c r="W689" s="74"/>
      <c r="X689" s="74"/>
      <c r="Y689" s="74"/>
      <c r="Z689" s="74"/>
    </row>
    <row r="690" spans="1:26" ht="12.75" hidden="1" customHeight="1" outlineLevel="2">
      <c r="A690" s="3"/>
      <c r="B690" s="3"/>
      <c r="C690" s="3"/>
      <c r="D690" s="16"/>
      <c r="E690" s="1594"/>
      <c r="F690" s="61">
        <v>1</v>
      </c>
      <c r="G690" s="1341"/>
      <c r="H690" s="1381"/>
      <c r="I690" s="18">
        <f>IF(A49stdlife="n/a","n/a",IF(I$3&gt;(A49stdlife+$F690),('RFM input'!$H$271*(1+vanilla1)^0.5)-SUM($H690:H690),('RFM input'!$H$271*(1+vanilla1)^0.5)/A49stdlife))</f>
        <v>0</v>
      </c>
      <c r="J690" s="18">
        <f>IF(A49stdlife="n/a","n/a",IF(J$3&gt;(A49stdlife+$F690),('RFM input'!$H$271*(1+vanilla1)^0.5)-SUM($H690:I690),('RFM input'!$H$271*(1+vanilla1)^0.5)/A49stdlife))</f>
        <v>0</v>
      </c>
      <c r="K690" s="18">
        <f>IF(A49stdlife="n/a","n/a",IF(K$3&gt;(A49stdlife+$F690),('RFM input'!$H$271*(1+vanilla1)^0.5)-SUM($H690:J690),('RFM input'!$H$271*(1+vanilla1)^0.5)/A49stdlife))</f>
        <v>0</v>
      </c>
      <c r="L690" s="18">
        <f>IF(A49stdlife="n/a","n/a",IF(L$3&gt;(A49stdlife+$F690),('RFM input'!$H$271*(1+vanilla1)^0.5)-SUM($H690:K690),('RFM input'!$H$271*(1+vanilla1)^0.5)/A49stdlife))</f>
        <v>0</v>
      </c>
      <c r="M690" s="18">
        <f>IF(A49stdlife="n/a","n/a",IF(M$3&gt;(A49stdlife+$F690),('RFM input'!$H$271*(1+vanilla1)^0.5)-SUM($H690:L690),('RFM input'!$H$271*(1+vanilla1)^0.5)/A49stdlife))</f>
        <v>0</v>
      </c>
      <c r="N690" s="18">
        <f>IF(A49stdlife="n/a","n/a",IF(N$3&gt;(A49stdlife+$F690),('RFM input'!$H$271*(1+vanilla1)^0.5)-SUM($H690:M690),('RFM input'!$H$271*(1+vanilla1)^0.5)/A49stdlife))</f>
        <v>0</v>
      </c>
      <c r="O690" s="18">
        <f>IF(A49stdlife="n/a","n/a",IF(O$3&gt;(A49stdlife+$F690),('RFM input'!$H$271*(1+vanilla1)^0.5)-SUM($H690:N690),('RFM input'!$H$271*(1+vanilla1)^0.5)/A49stdlife))</f>
        <v>0</v>
      </c>
      <c r="P690" s="18">
        <f>IF(A49stdlife="n/a","n/a",IF(P$3&gt;(A49stdlife+$F690),('RFM input'!$H$271*(1+vanilla1)^0.5)-SUM($H690:O690),('RFM input'!$H$271*(1+vanilla1)^0.5)/A49stdlife))</f>
        <v>0</v>
      </c>
      <c r="Q690" s="18">
        <f>IF(A49stdlife="n/a","n/a",IF(Q$3&gt;(A49stdlife+$F690),('RFM input'!$H$271*(1+vanilla1)^0.5)-SUM($H690:P690),('RFM input'!$H$271*(1+vanilla1)^0.5)/A49stdlife))</f>
        <v>0</v>
      </c>
      <c r="R690" s="18"/>
      <c r="S690" s="74"/>
      <c r="T690" s="74"/>
      <c r="U690" s="74"/>
      <c r="V690" s="74"/>
      <c r="W690" s="74"/>
      <c r="X690" s="74"/>
      <c r="Y690" s="74"/>
      <c r="Z690" s="74"/>
    </row>
    <row r="691" spans="1:26" ht="12.75" hidden="1" customHeight="1" outlineLevel="2">
      <c r="A691" s="3"/>
      <c r="B691" s="3"/>
      <c r="C691" s="3"/>
      <c r="D691" s="16"/>
      <c r="E691" s="1594"/>
      <c r="F691" s="61">
        <v>2</v>
      </c>
      <c r="G691" s="1341"/>
      <c r="H691" s="114"/>
      <c r="I691" s="116"/>
      <c r="J691" s="18">
        <f>IF(A49stdlife="n/a","n/a",IF(J$3&gt;(A49stdlife+$F691),('RFM input'!$I$271*(1+vanilla2)^0.5)-SUM($I691:I691),('RFM input'!$I$271*(1+vanilla2)^0.5)/A49stdlife))</f>
        <v>0</v>
      </c>
      <c r="K691" s="18">
        <f>IF(A49stdlife="n/a","n/a",IF(K$3&gt;(A49stdlife+$F691),('RFM input'!$I$271*(1+vanilla2)^0.5)-SUM($I691:J691),('RFM input'!$I$271*(1+vanilla2)^0.5)/A49stdlife))</f>
        <v>0</v>
      </c>
      <c r="L691" s="18">
        <f>IF(A49stdlife="n/a","n/a",IF(L$3&gt;(A49stdlife+$F691),('RFM input'!$I$271*(1+vanilla2)^0.5)-SUM($I691:K691),('RFM input'!$I$271*(1+vanilla2)^0.5)/A49stdlife))</f>
        <v>0</v>
      </c>
      <c r="M691" s="18">
        <f>IF(A49stdlife="n/a","n/a",IF(M$3&gt;(A49stdlife+$F691),('RFM input'!$I$271*(1+vanilla2)^0.5)-SUM($I691:L691),('RFM input'!$I$271*(1+vanilla2)^0.5)/A49stdlife))</f>
        <v>0</v>
      </c>
      <c r="N691" s="18">
        <f>IF(A49stdlife="n/a","n/a",IF(N$3&gt;(A49stdlife+$F691),('RFM input'!$I$271*(1+vanilla2)^0.5)-SUM($I691:M691),('RFM input'!$I$271*(1+vanilla2)^0.5)/A49stdlife))</f>
        <v>0</v>
      </c>
      <c r="O691" s="18">
        <f>IF(A49stdlife="n/a","n/a",IF(O$3&gt;(A49stdlife+$F691),('RFM input'!$I$271*(1+vanilla2)^0.5)-SUM($I691:N691),('RFM input'!$I$271*(1+vanilla2)^0.5)/A49stdlife))</f>
        <v>0</v>
      </c>
      <c r="P691" s="18">
        <f>IF(A49stdlife="n/a","n/a",IF(P$3&gt;(A49stdlife+$F691),('RFM input'!$I$271*(1+vanilla2)^0.5)-SUM($I691:O691),('RFM input'!$I$271*(1+vanilla2)^0.5)/A49stdlife))</f>
        <v>0</v>
      </c>
      <c r="Q691" s="18">
        <f>IF(A49stdlife="n/a","n/a",IF(Q$3&gt;(A49stdlife+$F691),('RFM input'!$I$271*(1+vanilla2)^0.5)-SUM($I691:P691),('RFM input'!$I$271*(1+vanilla2)^0.5)/A49stdlife))</f>
        <v>0</v>
      </c>
      <c r="R691" s="18"/>
      <c r="S691" s="74"/>
      <c r="T691" s="74"/>
      <c r="U691" s="74"/>
      <c r="V691" s="74"/>
      <c r="W691" s="74"/>
      <c r="X691" s="74"/>
      <c r="Y691" s="74"/>
      <c r="Z691" s="74"/>
    </row>
    <row r="692" spans="1:26" ht="12.75" hidden="1" customHeight="1" outlineLevel="2">
      <c r="A692" s="3"/>
      <c r="B692" s="3"/>
      <c r="C692" s="3"/>
      <c r="D692" s="16"/>
      <c r="E692" s="1594"/>
      <c r="F692" s="61">
        <v>3</v>
      </c>
      <c r="G692" s="1341"/>
      <c r="H692" s="114"/>
      <c r="I692" s="115"/>
      <c r="J692" s="116"/>
      <c r="K692" s="18">
        <f>IF(A49stdlife="n/a","n/a",IF(K$3&gt;(A49stdlife+$F692),('RFM input'!$J$271*(1+vanilla3)^0.5)-SUM($J692:J692),('RFM input'!$J$271*(1+vanilla3)^0.5)/A49stdlife))</f>
        <v>0</v>
      </c>
      <c r="L692" s="18">
        <f>IF(A49stdlife="n/a","n/a",IF(L$3&gt;(A49stdlife+$F692),('RFM input'!$J$271*(1+vanilla3)^0.5)-SUM($J692:K692),('RFM input'!$J$271*(1+vanilla3)^0.5)/A49stdlife))</f>
        <v>0</v>
      </c>
      <c r="M692" s="18">
        <f>IF(A49stdlife="n/a","n/a",IF(M$3&gt;(A49stdlife+$F692),('RFM input'!$J$271*(1+vanilla3)^0.5)-SUM($J692:L692),('RFM input'!$J$271*(1+vanilla3)^0.5)/A49stdlife))</f>
        <v>0</v>
      </c>
      <c r="N692" s="18">
        <f>IF(A49stdlife="n/a","n/a",IF(N$3&gt;(A49stdlife+$F692),('RFM input'!$J$271*(1+vanilla3)^0.5)-SUM($J692:M692),('RFM input'!$J$271*(1+vanilla3)^0.5)/A49stdlife))</f>
        <v>0</v>
      </c>
      <c r="O692" s="18">
        <f>IF(A49stdlife="n/a","n/a",IF(O$3&gt;(A49stdlife+$F692),('RFM input'!$J$271*(1+vanilla3)^0.5)-SUM($J692:N692),('RFM input'!$J$271*(1+vanilla3)^0.5)/A49stdlife))</f>
        <v>0</v>
      </c>
      <c r="P692" s="18">
        <f>IF(A49stdlife="n/a","n/a",IF(P$3&gt;(A49stdlife+$F692),('RFM input'!$J$271*(1+vanilla3)^0.5)-SUM($J692:O692),('RFM input'!$J$271*(1+vanilla3)^0.5)/A49stdlife))</f>
        <v>0</v>
      </c>
      <c r="Q692" s="18">
        <f>IF(A49stdlife="n/a","n/a",IF(Q$3&gt;(A49stdlife+$F692),('RFM input'!$J$271*(1+vanilla3)^0.5)-SUM($J692:P692),('RFM input'!$J$271*(1+vanilla3)^0.5)/A49stdlife))</f>
        <v>0</v>
      </c>
      <c r="R692" s="18"/>
      <c r="S692" s="74"/>
      <c r="T692" s="74"/>
      <c r="U692" s="74"/>
      <c r="V692" s="74"/>
      <c r="W692" s="74"/>
      <c r="X692" s="74"/>
      <c r="Y692" s="74"/>
      <c r="Z692" s="74"/>
    </row>
    <row r="693" spans="1:26" ht="12.75" hidden="1" customHeight="1" outlineLevel="2">
      <c r="A693" s="3"/>
      <c r="B693" s="3"/>
      <c r="C693" s="3"/>
      <c r="D693" s="16"/>
      <c r="E693" s="1594"/>
      <c r="F693" s="61">
        <v>4</v>
      </c>
      <c r="G693" s="1341"/>
      <c r="H693" s="114"/>
      <c r="I693" s="115"/>
      <c r="J693" s="115"/>
      <c r="K693" s="116"/>
      <c r="L693" s="18">
        <f>IF(A49stdlife="n/a","n/a",IF(L$3&gt;(A49stdlife+$F693),('RFM input'!$K$271*(1+vanilla4)^0.5)-SUM($K693:K693),('RFM input'!$K$271*(1+vanilla4)^0.5)/A49stdlife))</f>
        <v>0</v>
      </c>
      <c r="M693" s="18">
        <f>IF(A49stdlife="n/a","n/a",IF(M$3&gt;(A49stdlife+$F693),('RFM input'!$K$271*(1+vanilla4)^0.5)-SUM($K693:L693),('RFM input'!$K$271*(1+vanilla4)^0.5)/A49stdlife))</f>
        <v>0</v>
      </c>
      <c r="N693" s="18">
        <f>IF(A49stdlife="n/a","n/a",IF(N$3&gt;(A49stdlife+$F693),('RFM input'!$K$271*(1+vanilla4)^0.5)-SUM($K693:M693),('RFM input'!$K$271*(1+vanilla4)^0.5)/A49stdlife))</f>
        <v>0</v>
      </c>
      <c r="O693" s="18">
        <f>IF(A49stdlife="n/a","n/a",IF(O$3&gt;(A49stdlife+$F693),('RFM input'!$K$271*(1+vanilla4)^0.5)-SUM($K693:N693),('RFM input'!$K$271*(1+vanilla4)^0.5)/A49stdlife))</f>
        <v>0</v>
      </c>
      <c r="P693" s="18">
        <f>IF(A49stdlife="n/a","n/a",IF(P$3&gt;(A49stdlife+$F693),('RFM input'!$K$271*(1+vanilla4)^0.5)-SUM($K693:O693),('RFM input'!$K$271*(1+vanilla4)^0.5)/A49stdlife))</f>
        <v>0</v>
      </c>
      <c r="Q693" s="18">
        <f>IF(A49stdlife="n/a","n/a",IF(Q$3&gt;(A49stdlife+$F693),('RFM input'!$K$271*(1+vanilla4)^0.5)-SUM($K693:P693),('RFM input'!$K$271*(1+vanilla4)^0.5)/A49stdlife))</f>
        <v>0</v>
      </c>
      <c r="R693" s="18"/>
      <c r="S693" s="74"/>
      <c r="T693" s="74"/>
      <c r="U693" s="74"/>
      <c r="V693" s="74"/>
      <c r="W693" s="74"/>
      <c r="X693" s="74"/>
      <c r="Y693" s="74"/>
      <c r="Z693" s="74"/>
    </row>
    <row r="694" spans="1:26" ht="12.75" hidden="1" customHeight="1" outlineLevel="2">
      <c r="A694" s="3"/>
      <c r="B694" s="3"/>
      <c r="C694" s="3"/>
      <c r="D694" s="16"/>
      <c r="E694" s="1594"/>
      <c r="F694" s="61">
        <v>5</v>
      </c>
      <c r="G694" s="17"/>
      <c r="H694" s="114"/>
      <c r="I694" s="115"/>
      <c r="J694" s="115"/>
      <c r="K694" s="115"/>
      <c r="L694" s="116"/>
      <c r="M694" s="18">
        <f>IF(A49stdlife="n/a","n/a",IF(M$3&gt;(A49stdlife+$F694),('RFM input'!$L$271*(1+vanilla5)^0.5)-SUM($L694:L694),('RFM input'!$L$271*(1+vanilla5)^0.5)/A49stdlife))</f>
        <v>0</v>
      </c>
      <c r="N694" s="18">
        <f>IF(A49stdlife="n/a","n/a",IF(N$3&gt;(A49stdlife+$F694),('RFM input'!$L$271*(1+vanilla5)^0.5)-SUM($L694:M694),('RFM input'!$L$271*(1+vanilla5)^0.5)/A49stdlife))</f>
        <v>0</v>
      </c>
      <c r="O694" s="18">
        <f>IF(A49stdlife="n/a","n/a",IF(O$3&gt;(A49stdlife+$F694),('RFM input'!$L$271*(1+vanilla5)^0.5)-SUM($L694:N694),('RFM input'!$L$271*(1+vanilla5)^0.5)/A49stdlife))</f>
        <v>0</v>
      </c>
      <c r="P694" s="18">
        <f>IF(A49stdlife="n/a","n/a",IF(P$3&gt;(A49stdlife+$F694),('RFM input'!$L$271*(1+vanilla5)^0.5)-SUM($L694:O694),('RFM input'!$L$271*(1+vanilla5)^0.5)/A49stdlife))</f>
        <v>0</v>
      </c>
      <c r="Q694" s="18">
        <f>IF(A49stdlife="n/a","n/a",IF(Q$3&gt;(A49stdlife+$F694),('RFM input'!$L$271*(1+vanilla5)^0.5)-SUM($L694:P694),('RFM input'!$L$271*(1+vanilla5)^0.5)/A49stdlife))</f>
        <v>0</v>
      </c>
      <c r="R694" s="18"/>
      <c r="S694" s="74"/>
      <c r="T694" s="74"/>
      <c r="U694" s="74"/>
      <c r="V694" s="74"/>
      <c r="W694" s="74"/>
      <c r="X694" s="74"/>
      <c r="Y694" s="74"/>
      <c r="Z694" s="74"/>
    </row>
    <row r="695" spans="1:26" ht="12.75" hidden="1" customHeight="1" outlineLevel="2">
      <c r="A695" s="3"/>
      <c r="B695" s="3"/>
      <c r="C695" s="3"/>
      <c r="D695" s="16"/>
      <c r="E695" s="1594"/>
      <c r="F695" s="61">
        <v>6</v>
      </c>
      <c r="G695" s="17"/>
      <c r="H695" s="114"/>
      <c r="I695" s="115"/>
      <c r="J695" s="115"/>
      <c r="K695" s="115"/>
      <c r="L695" s="115"/>
      <c r="M695" s="116"/>
      <c r="N695" s="18">
        <f>IF(A49stdlife="n/a","n/a",IF(N$3&gt;(A49stdlife+$F695),('RFM input'!$M$271*(1+vanilla6)^0.5)-SUM($M695:M695),('RFM input'!$M$271*(1+vanilla6)^0.5)/A49stdlife))</f>
        <v>0</v>
      </c>
      <c r="O695" s="18">
        <f>IF(A49stdlife="n/a","n/a",IF(O$3&gt;(A49stdlife+$F695),('RFM input'!$M$271*(1+vanilla6)^0.5)-SUM($M695:N695),('RFM input'!$M$271*(1+vanilla6)^0.5)/A49stdlife))</f>
        <v>0</v>
      </c>
      <c r="P695" s="18">
        <f>IF(A49stdlife="n/a","n/a",IF(P$3&gt;(A49stdlife+$F695),('RFM input'!$M$271*(1+vanilla6)^0.5)-SUM($M695:O695),('RFM input'!$M$271*(1+vanilla6)^0.5)/A49stdlife))</f>
        <v>0</v>
      </c>
      <c r="Q695" s="18">
        <f>IF(A49stdlife="n/a","n/a",IF(Q$3&gt;(A49stdlife+$F695),('RFM input'!$M$271*(1+vanilla6)^0.5)-SUM($M695:P695),('RFM input'!$M$271*(1+vanilla6)^0.5)/A49stdlife))</f>
        <v>0</v>
      </c>
      <c r="R695" s="18"/>
      <c r="S695" s="74"/>
      <c r="T695" s="74"/>
      <c r="U695" s="74"/>
      <c r="V695" s="74"/>
      <c r="W695" s="74"/>
      <c r="X695" s="74"/>
      <c r="Y695" s="74"/>
      <c r="Z695" s="74"/>
    </row>
    <row r="696" spans="1:26" ht="12.75" hidden="1" customHeight="1" outlineLevel="2">
      <c r="A696" s="3"/>
      <c r="B696" s="3"/>
      <c r="C696" s="3"/>
      <c r="D696" s="16"/>
      <c r="E696" s="1594"/>
      <c r="F696" s="61">
        <v>7</v>
      </c>
      <c r="G696" s="17"/>
      <c r="H696" s="114"/>
      <c r="I696" s="115"/>
      <c r="J696" s="115"/>
      <c r="K696" s="115"/>
      <c r="L696" s="115"/>
      <c r="M696" s="115"/>
      <c r="N696" s="116"/>
      <c r="O696" s="18">
        <f>IF(A49stdlife="n/a","n/a",IF(O$3&gt;(A49stdlife+$F696),('RFM input'!M$271*(1+vanilla7)^0.5)-SUM($N696:N696),('RFM input'!$N$271*(1+vanilla7)^0.5)/A49stdlife))</f>
        <v>0</v>
      </c>
      <c r="P696" s="18">
        <f>IF(A49stdlife="n/a","n/a",IF(P$3&gt;(A49stdlife+$F696),('RFM input'!N$271*(1+vanilla7)^0.5)-SUM($N696:O696),('RFM input'!$N$271*(1+vanilla7)^0.5)/A49stdlife))</f>
        <v>0</v>
      </c>
      <c r="Q696" s="18">
        <f>IF(A49stdlife="n/a","n/a",IF(Q$3&gt;(A49stdlife+$F696),('RFM input'!O$271*(1+vanilla7)^0.5)-SUM($N696:P696),('RFM input'!$N$271*(1+vanilla7)^0.5)/A49stdlife))</f>
        <v>0</v>
      </c>
      <c r="R696" s="18"/>
      <c r="S696" s="74"/>
      <c r="T696" s="74"/>
      <c r="U696" s="74"/>
      <c r="V696" s="74"/>
      <c r="W696" s="74"/>
      <c r="X696" s="74"/>
      <c r="Y696" s="74"/>
      <c r="Z696" s="74"/>
    </row>
    <row r="697" spans="1:26" ht="12.75" hidden="1" customHeight="1" outlineLevel="2">
      <c r="A697" s="3"/>
      <c r="B697" s="3"/>
      <c r="C697" s="3"/>
      <c r="D697" s="16"/>
      <c r="E697" s="1594"/>
      <c r="F697" s="61">
        <v>8</v>
      </c>
      <c r="G697" s="17"/>
      <c r="H697" s="114"/>
      <c r="I697" s="115"/>
      <c r="J697" s="115"/>
      <c r="K697" s="115"/>
      <c r="L697" s="115"/>
      <c r="M697" s="115"/>
      <c r="N697" s="115"/>
      <c r="O697" s="116"/>
      <c r="P697" s="18">
        <f>IF(A49stdlife="n/a","n/a",IF(P$3&gt;(A49stdlife+$F697),('RFM input'!$O$271*(1+vanilla8)^0.5)-SUM($O697:O697),('RFM input'!$O$271*(1+vanilla8)^0.5)/A49stdlife))</f>
        <v>0</v>
      </c>
      <c r="Q697" s="18">
        <f>IF(A49stdlife="n/a","n/a",IF(Q$3&gt;(A49stdlife+$F697),('RFM input'!$O$271*(1+vanilla8)^0.5)-SUM($O697:P697),('RFM input'!$O$271*(1+vanilla8)^0.5)/A49stdlife))</f>
        <v>0</v>
      </c>
      <c r="R697" s="18"/>
      <c r="S697" s="74"/>
      <c r="T697" s="74"/>
      <c r="U697" s="74"/>
      <c r="V697" s="74"/>
      <c r="W697" s="74"/>
      <c r="X697" s="74"/>
      <c r="Y697" s="74"/>
      <c r="Z697" s="74"/>
    </row>
    <row r="698" spans="1:26" ht="12.75" hidden="1" customHeight="1" outlineLevel="2">
      <c r="A698" s="3"/>
      <c r="B698" s="3"/>
      <c r="C698" s="3"/>
      <c r="D698" s="16"/>
      <c r="E698" s="1594"/>
      <c r="F698" s="61">
        <v>9</v>
      </c>
      <c r="G698" s="17"/>
      <c r="H698" s="114"/>
      <c r="I698" s="115"/>
      <c r="J698" s="115"/>
      <c r="K698" s="115"/>
      <c r="L698" s="115"/>
      <c r="M698" s="115"/>
      <c r="N698" s="115"/>
      <c r="O698" s="115"/>
      <c r="P698" s="116"/>
      <c r="Q698" s="18">
        <f>IF(A49stdlife="n/a","n/a",IF(Q$3&gt;(A49stdlife+$F698),('RFM input'!$P$271*(1+vanilla9)^0.5)-SUM($P698:P698),('RFM input'!$P$271*(1+vanilla9)^0.5)/A49stdlife))</f>
        <v>0</v>
      </c>
      <c r="R698" s="18"/>
      <c r="S698" s="74"/>
      <c r="T698" s="74" t="s">
        <v>118</v>
      </c>
      <c r="U698" s="74"/>
      <c r="V698" s="74"/>
      <c r="W698" s="74"/>
      <c r="X698" s="74"/>
      <c r="Y698" s="74"/>
      <c r="Z698" s="74"/>
    </row>
    <row r="699" spans="1:26" ht="12.75" hidden="1" customHeight="1" outlineLevel="2">
      <c r="A699" s="3"/>
      <c r="B699" s="3"/>
      <c r="C699" s="3"/>
      <c r="D699" s="16"/>
      <c r="E699" s="1594"/>
      <c r="F699" s="62">
        <v>10</v>
      </c>
      <c r="G699" s="17"/>
      <c r="H699" s="114"/>
      <c r="I699" s="115"/>
      <c r="J699" s="115"/>
      <c r="K699" s="115"/>
      <c r="L699" s="115"/>
      <c r="M699" s="115"/>
      <c r="N699" s="115"/>
      <c r="O699" s="115"/>
      <c r="P699" s="115"/>
      <c r="Q699" s="116"/>
      <c r="R699" s="18"/>
      <c r="S699" s="74"/>
      <c r="T699" s="74"/>
      <c r="U699" s="74"/>
      <c r="V699" s="74"/>
      <c r="W699" s="74"/>
      <c r="X699" s="74"/>
      <c r="Y699" s="74"/>
      <c r="Z699" s="74"/>
    </row>
    <row r="700" spans="1:26" ht="13.35" hidden="1" customHeight="1" outlineLevel="1">
      <c r="A700" s="3"/>
      <c r="B700" s="3"/>
      <c r="C700" s="3"/>
      <c r="D700" s="134">
        <f>Asset49</f>
        <v>0</v>
      </c>
      <c r="E700" s="3"/>
      <c r="F700" s="3"/>
      <c r="G700" s="1341"/>
      <c r="H700" s="1458">
        <f>IF(OR('RFM input'!$E$293='RFM input'!$G$292,'RFM input'!$E$293='RFM input'!$G$293),-INDEX('RFM input'!H$299:H$348,MATCH($D700,'RFM input'!$E$299:$E$348,0),1),-SUM(H688:H699))</f>
        <v>0</v>
      </c>
      <c r="I700" s="1458">
        <f>IF(OR('RFM input'!$E$293='RFM input'!$G$292,'RFM input'!$E$293='RFM input'!$G$293),-INDEX('RFM input'!I$299:I$348,MATCH($D700,'RFM input'!$E$299:$E$348,0),1),-SUM(I688:I699))</f>
        <v>0</v>
      </c>
      <c r="J700" s="1386">
        <f>IF(COUNT($H700:I700)&gt;='RFM input'!$V$7,
   0,
   IF(OR('RFM input'!$E$293='RFM input'!$G$292,'RFM input'!$E$293='RFM input'!$G$293),
      -INDEX('RFM input'!J$299:J$348,MATCH($D700,'RFM input'!$E$299:$E$348,0),1),
      -SUM(J688:J699)))</f>
        <v>0</v>
      </c>
      <c r="K700" s="1386">
        <f>IF(COUNT($H700:J700)&gt;='RFM input'!$V$7,
   0,
   IF(OR('RFM input'!$E$293='RFM input'!$G$292,'RFM input'!$E$293='RFM input'!$G$293),
      -INDEX('RFM input'!K$299:K$348,MATCH($D700,'RFM input'!$E$299:$E$348,0),1),
      -SUM(K688:K699)))</f>
        <v>0</v>
      </c>
      <c r="L700" s="1386">
        <f>IF(COUNT($H700:K700)&gt;='RFM input'!$V$7,
   0,
   IF(OR('RFM input'!$E$293='RFM input'!$G$292,'RFM input'!$E$293='RFM input'!$G$293),
      -INDEX('RFM input'!L$299:L$348,MATCH($D700,'RFM input'!$E$299:$E$348,0),1),
      -SUM(L688:L699)))</f>
        <v>0</v>
      </c>
      <c r="M700" s="1386">
        <f>IF(COUNT($H700:L700)&gt;='RFM input'!$V$7,
   0,
   IF(OR('RFM input'!$E$293='RFM input'!$G$292,'RFM input'!$E$293='RFM input'!$G$293),
      -INDEX('RFM input'!M$299:M$348,MATCH($D700,'RFM input'!$E$299:$E$348,0),1),
      -SUM(M688:M699)))</f>
        <v>0</v>
      </c>
      <c r="N700" s="1386">
        <f>IF(COUNT($H700:M700)&gt;='RFM input'!$V$7,
   0,
   IF(OR('RFM input'!$E$293='RFM input'!$G$292,'RFM input'!$E$293='RFM input'!$G$293),
      -INDEX('RFM input'!N$299:N$348,MATCH($D700,'RFM input'!$E$299:$E$348,0),1),
      -SUM(N688:N699)))</f>
        <v>0</v>
      </c>
      <c r="O700" s="1386">
        <f>IF(COUNT($H700:N700)&gt;='RFM input'!$V$7,
   0,
   IF(OR('RFM input'!$E$293='RFM input'!$G$292,'RFM input'!$E$293='RFM input'!$G$293),
      -INDEX('RFM input'!O$299:O$348,MATCH($D700,'RFM input'!$E$299:$E$348,0),1),
      -SUM(O688:O699)))</f>
        <v>0</v>
      </c>
      <c r="P700" s="1386">
        <f>IF(COUNT($H700:O700)&gt;='RFM input'!$V$7,
   0,
   IF(OR('RFM input'!$E$293='RFM input'!$G$292,'RFM input'!$E$293='RFM input'!$G$293),
      -INDEX('RFM input'!P$299:P$348,MATCH($D700,'RFM input'!$E$299:$E$348,0),1),
      -SUM(P688:P699)))</f>
        <v>0</v>
      </c>
      <c r="Q700" s="1386">
        <f>IF(COUNT($H700:P700)&gt;='RFM input'!$V$7,
   0,
   IF(OR('RFM input'!$E$293='RFM input'!$G$292,'RFM input'!$E$293='RFM input'!$G$293),
      -INDEX('RFM input'!Q$299:Q$348,MATCH($D700,'RFM input'!$E$299:$E$348,0),1),
      -SUM(Q688:Q699)))</f>
        <v>0</v>
      </c>
      <c r="R700" s="18"/>
      <c r="S700" s="76"/>
      <c r="T700" s="76"/>
      <c r="U700" s="76"/>
      <c r="V700" s="76"/>
      <c r="W700" s="76"/>
      <c r="X700" s="76"/>
      <c r="Y700" s="76"/>
      <c r="Z700" s="76"/>
    </row>
    <row r="701" spans="1:26" ht="12.75" hidden="1" customHeight="1" outlineLevel="2">
      <c r="A701" s="3"/>
      <c r="B701" s="3"/>
      <c r="C701" s="135">
        <f>Asset50</f>
        <v>0</v>
      </c>
      <c r="D701" s="100"/>
      <c r="E701" s="20" t="s">
        <v>23</v>
      </c>
      <c r="F701" s="19"/>
      <c r="G701" s="1383"/>
      <c r="H701" s="1380">
        <f>IF(H$3&gt;A50remlife,A50value-SUM($G701:G701),IF(A50remlife="N/A","n/a",A50value/A50remlife))</f>
        <v>0</v>
      </c>
      <c r="I701" s="1380">
        <f>IF(I$3&gt;A50remlife,A50value-SUM($G701:H701),IF(A50remlife="N/A","n/a",A50value/A50remlife))</f>
        <v>0</v>
      </c>
      <c r="J701" s="1380">
        <f>IF(J$3&gt;A50remlife,A50value-SUM($G701:I701),IF(A50remlife="N/A","n/a",A50value/A50remlife))</f>
        <v>0</v>
      </c>
      <c r="K701" s="1380">
        <f>IF(K$3&gt;A50remlife,A50value-SUM($G701:J701),IF(A50remlife="N/A","n/a",A50value/A50remlife))</f>
        <v>0</v>
      </c>
      <c r="L701" s="1380">
        <f>IF(L$3&gt;A50remlife,A50value-SUM($G701:K701),IF(A50remlife="N/A","n/a",A50value/A50remlife))</f>
        <v>0</v>
      </c>
      <c r="M701" s="1380">
        <f>IF(M$3&gt;A50remlife,A50value-SUM($G701:L701),IF(A50remlife="N/A","n/a",A50value/A50remlife))</f>
        <v>0</v>
      </c>
      <c r="N701" s="1380">
        <f>IF(N$3&gt;A50remlife,A50value-SUM($G701:M701),IF(A50remlife="N/A","n/a",A50value/A50remlife))</f>
        <v>0</v>
      </c>
      <c r="O701" s="1380">
        <f>IF(O$3&gt;A50remlife,A50value-SUM($G701:N701),IF(A50remlife="N/A","n/a",A50value/A50remlife))</f>
        <v>0</v>
      </c>
      <c r="P701" s="1380">
        <f>IF(P$3&gt;A50remlife,A50value-SUM($G701:O701),IF(A50remlife="N/A","n/a",A50value/A50remlife))</f>
        <v>0</v>
      </c>
      <c r="Q701" s="1380">
        <f>IF(Q$3&gt;A50remlife,A50value-SUM($G701:P701),IF(A50remlife="N/A","n/a",A50value/A50remlife))</f>
        <v>0</v>
      </c>
      <c r="R701" s="21"/>
      <c r="S701" s="74"/>
      <c r="T701" s="74"/>
      <c r="U701" s="74"/>
      <c r="V701" s="74"/>
      <c r="W701" s="74"/>
      <c r="X701" s="74"/>
      <c r="Y701" s="74"/>
      <c r="Z701" s="74"/>
    </row>
    <row r="702" spans="1:26" ht="12.75" hidden="1" customHeight="1" outlineLevel="2">
      <c r="A702" s="3"/>
      <c r="B702" s="3"/>
      <c r="C702" s="3"/>
      <c r="D702" s="16"/>
      <c r="E702" s="1593" t="s">
        <v>43</v>
      </c>
      <c r="F702" s="61"/>
      <c r="G702" s="1341"/>
      <c r="H702" s="1386"/>
      <c r="I702" s="1386"/>
      <c r="J702" s="1386"/>
      <c r="K702" s="1386"/>
      <c r="L702" s="1386"/>
      <c r="M702" s="1387"/>
      <c r="N702" s="1388"/>
      <c r="O702" s="1386"/>
      <c r="P702" s="1386"/>
      <c r="Q702" s="1386"/>
      <c r="R702" s="18"/>
      <c r="S702" s="74"/>
      <c r="T702" s="74"/>
      <c r="U702" s="74"/>
      <c r="V702" s="74"/>
      <c r="W702" s="74"/>
      <c r="X702" s="74"/>
      <c r="Y702" s="74"/>
      <c r="Z702" s="74"/>
    </row>
    <row r="703" spans="1:26" ht="12.75" hidden="1" customHeight="1" outlineLevel="2">
      <c r="A703" s="3"/>
      <c r="B703" s="3"/>
      <c r="C703" s="3"/>
      <c r="D703" s="16"/>
      <c r="E703" s="1594"/>
      <c r="F703" s="61">
        <v>1</v>
      </c>
      <c r="G703" s="1341"/>
      <c r="H703" s="1381"/>
      <c r="I703" s="18">
        <f>IF(A50stdlife="n/a","n/a",IF(I$3&gt;(A50stdlife+$F703),('RFM input'!$H$272*(1+vanilla1)^0.5)-SUM($H703:H703),('RFM input'!$H$272*(1+vanilla1)^0.5)/A50stdlife))</f>
        <v>0</v>
      </c>
      <c r="J703" s="18">
        <f>IF(A50stdlife="n/a","n/a",IF(J$3&gt;(A50stdlife+$F703),('RFM input'!$H$272*(1+vanilla1)^0.5)-SUM($H703:I703),('RFM input'!$H$272*(1+vanilla1)^0.5)/A50stdlife))</f>
        <v>0</v>
      </c>
      <c r="K703" s="18">
        <f>IF(A50stdlife="n/a","n/a",IF(K$3&gt;(A50stdlife+$F703),('RFM input'!$H$272*(1+vanilla1)^0.5)-SUM($H703:J703),('RFM input'!$H$272*(1+vanilla1)^0.5)/A50stdlife))</f>
        <v>0</v>
      </c>
      <c r="L703" s="18">
        <f>IF(A50stdlife="n/a","n/a",IF(L$3&gt;(A50stdlife+$F703),('RFM input'!$H$272*(1+vanilla1)^0.5)-SUM($H703:K703),('RFM input'!$H$272*(1+vanilla1)^0.5)/A50stdlife))</f>
        <v>0</v>
      </c>
      <c r="M703" s="18">
        <f>IF(A50stdlife="n/a","n/a",IF(M$3&gt;(A50stdlife+$F703),('RFM input'!$H$272*(1+vanilla1)^0.5)-SUM($H703:L703),('RFM input'!$H$272*(1+vanilla1)^0.5)/A50stdlife))</f>
        <v>0</v>
      </c>
      <c r="N703" s="18">
        <f>IF(A50stdlife="n/a","n/a",IF(N$3&gt;(A50stdlife+$F703),('RFM input'!$H$272*(1+vanilla1)^0.5)-SUM($H703:M703),('RFM input'!$H$272*(1+vanilla1)^0.5)/A50stdlife))</f>
        <v>0</v>
      </c>
      <c r="O703" s="18">
        <f>IF(A50stdlife="n/a","n/a",IF(O$3&gt;(A50stdlife+$F703),('RFM input'!$H$272*(1+vanilla1)^0.5)-SUM($H703:N703),('RFM input'!$H$272*(1+vanilla1)^0.5)/A50stdlife))</f>
        <v>0</v>
      </c>
      <c r="P703" s="18">
        <f>IF(A50stdlife="n/a","n/a",IF(P$3&gt;(A50stdlife+$F703),('RFM input'!$H$272*(1+vanilla1)^0.5)-SUM($H703:O703),('RFM input'!$H$272*(1+vanilla1)^0.5)/A50stdlife))</f>
        <v>0</v>
      </c>
      <c r="Q703" s="18">
        <f>IF(A50stdlife="n/a","n/a",IF(Q$3&gt;(A50stdlife+$F703),('RFM input'!$H$272*(1+vanilla1)^0.5)-SUM($H703:P703),('RFM input'!$H$272*(1+vanilla1)^0.5)/A50stdlife))</f>
        <v>0</v>
      </c>
      <c r="R703" s="18"/>
      <c r="S703" s="74"/>
      <c r="T703" s="74"/>
      <c r="U703" s="74"/>
      <c r="V703" s="74"/>
      <c r="W703" s="74"/>
      <c r="X703" s="74"/>
      <c r="Y703" s="74"/>
      <c r="Z703" s="74"/>
    </row>
    <row r="704" spans="1:26" ht="12.75" hidden="1" customHeight="1" outlineLevel="2">
      <c r="A704" s="3"/>
      <c r="B704" s="3"/>
      <c r="C704" s="3"/>
      <c r="D704" s="16"/>
      <c r="E704" s="1594"/>
      <c r="F704" s="61">
        <v>2</v>
      </c>
      <c r="G704" s="1341"/>
      <c r="H704" s="114"/>
      <c r="I704" s="116"/>
      <c r="J704" s="18">
        <f>IF(A50stdlife="n/a","n/a",IF(J$3&gt;(A50stdlife+$F704),('RFM input'!$I$272*(1+vanilla2)^0.5)-SUM($I704:I704),('RFM input'!$I$272*(1+vanilla2)^0.5)/A50stdlife))</f>
        <v>0</v>
      </c>
      <c r="K704" s="18">
        <f>IF(A50stdlife="n/a","n/a",IF(K$3&gt;(A50stdlife+$F704),('RFM input'!$I$272*(1+vanilla2)^0.5)-SUM($I704:J704),('RFM input'!$I$272*(1+vanilla2)^0.5)/A50stdlife))</f>
        <v>0</v>
      </c>
      <c r="L704" s="18">
        <f>IF(A50stdlife="n/a","n/a",IF(L$3&gt;(A50stdlife+$F704),('RFM input'!$I$272*(1+vanilla2)^0.5)-SUM($I704:K704),('RFM input'!$I$272*(1+vanilla2)^0.5)/A50stdlife))</f>
        <v>0</v>
      </c>
      <c r="M704" s="18">
        <f>IF(A50stdlife="n/a","n/a",IF(M$3&gt;(A50stdlife+$F704),('RFM input'!$I$272*(1+vanilla2)^0.5)-SUM($I704:L704),('RFM input'!$I$272*(1+vanilla2)^0.5)/A50stdlife))</f>
        <v>0</v>
      </c>
      <c r="N704" s="18">
        <f>IF(A50stdlife="n/a","n/a",IF(N$3&gt;(A50stdlife+$F704),('RFM input'!$I$272*(1+vanilla2)^0.5)-SUM($I704:M704),('RFM input'!$I$272*(1+vanilla2)^0.5)/A50stdlife))</f>
        <v>0</v>
      </c>
      <c r="O704" s="18">
        <f>IF(A50stdlife="n/a","n/a",IF(O$3&gt;(A50stdlife+$F704),('RFM input'!$I$272*(1+vanilla2)^0.5)-SUM($I704:N704),('RFM input'!$I$272*(1+vanilla2)^0.5)/A50stdlife))</f>
        <v>0</v>
      </c>
      <c r="P704" s="18">
        <f>IF(A50stdlife="n/a","n/a",IF(P$3&gt;(A50stdlife+$F704),('RFM input'!$I$272*(1+vanilla2)^0.5)-SUM($I704:O704),('RFM input'!$I$272*(1+vanilla2)^0.5)/A50stdlife))</f>
        <v>0</v>
      </c>
      <c r="Q704" s="18">
        <f>IF(A50stdlife="n/a","n/a",IF(Q$3&gt;(A50stdlife+$F704),('RFM input'!$I$272*(1+vanilla2)^0.5)-SUM($I704:P704),('RFM input'!$I$272*(1+vanilla2)^0.5)/A50stdlife))</f>
        <v>0</v>
      </c>
      <c r="R704" s="18"/>
      <c r="S704" s="74"/>
      <c r="T704" s="74"/>
      <c r="U704" s="74"/>
      <c r="V704" s="74"/>
      <c r="W704" s="74"/>
      <c r="X704" s="74"/>
      <c r="Y704" s="74"/>
      <c r="Z704" s="74"/>
    </row>
    <row r="705" spans="1:26" ht="12.75" hidden="1" customHeight="1" outlineLevel="2">
      <c r="A705" s="3"/>
      <c r="B705" s="3"/>
      <c r="C705" s="3"/>
      <c r="D705" s="16"/>
      <c r="E705" s="1594"/>
      <c r="F705" s="61">
        <v>3</v>
      </c>
      <c r="G705" s="1341"/>
      <c r="H705" s="114"/>
      <c r="I705" s="115"/>
      <c r="J705" s="116"/>
      <c r="K705" s="18">
        <f>IF(A50stdlife="n/a","n/a",IF(K$3&gt;(A50stdlife+$F705),('RFM input'!$J$272*(1+vanilla3)^0.5)-SUM($J705:J705),('RFM input'!$J$272*(1+vanilla3)^0.5)/A50stdlife))</f>
        <v>0</v>
      </c>
      <c r="L705" s="18">
        <f>IF(A50stdlife="n/a","n/a",IF(L$3&gt;(A50stdlife+$F705),('RFM input'!$J$272*(1+vanilla3)^0.5)-SUM($J705:K705),('RFM input'!$J$272*(1+vanilla3)^0.5)/A50stdlife))</f>
        <v>0</v>
      </c>
      <c r="M705" s="18">
        <f>IF(A50stdlife="n/a","n/a",IF(M$3&gt;(A50stdlife+$F705),('RFM input'!$J$272*(1+vanilla3)^0.5)-SUM($J705:L705),('RFM input'!$J$272*(1+vanilla3)^0.5)/A50stdlife))</f>
        <v>0</v>
      </c>
      <c r="N705" s="18">
        <f>IF(A50stdlife="n/a","n/a",IF(N$3&gt;(A50stdlife+$F705),('RFM input'!$J$272*(1+vanilla3)^0.5)-SUM($J705:M705),('RFM input'!$J$272*(1+vanilla3)^0.5)/A50stdlife))</f>
        <v>0</v>
      </c>
      <c r="O705" s="18">
        <f>IF(A50stdlife="n/a","n/a",IF(O$3&gt;(A50stdlife+$F705),('RFM input'!$J$272*(1+vanilla3)^0.5)-SUM($J705:N705),('RFM input'!$J$272*(1+vanilla3)^0.5)/A50stdlife))</f>
        <v>0</v>
      </c>
      <c r="P705" s="18">
        <f>IF(A50stdlife="n/a","n/a",IF(P$3&gt;(A50stdlife+$F705),('RFM input'!$J$272*(1+vanilla3)^0.5)-SUM($J705:O705),('RFM input'!$J$272*(1+vanilla3)^0.5)/A50stdlife))</f>
        <v>0</v>
      </c>
      <c r="Q705" s="18">
        <f>IF(A50stdlife="n/a","n/a",IF(Q$3&gt;(A50stdlife+$F705),('RFM input'!$J$272*(1+vanilla3)^0.5)-SUM($J705:P705),('RFM input'!$J$272*(1+vanilla3)^0.5)/A50stdlife))</f>
        <v>0</v>
      </c>
      <c r="R705" s="18"/>
      <c r="S705" s="74"/>
      <c r="T705" s="74"/>
      <c r="U705" s="74"/>
      <c r="V705" s="74"/>
      <c r="W705" s="74"/>
      <c r="X705" s="74"/>
      <c r="Y705" s="74"/>
      <c r="Z705" s="74"/>
    </row>
    <row r="706" spans="1:26" ht="12.75" hidden="1" customHeight="1" outlineLevel="2">
      <c r="A706" s="3"/>
      <c r="B706" s="3"/>
      <c r="C706" s="3"/>
      <c r="D706" s="16"/>
      <c r="E706" s="1594"/>
      <c r="F706" s="61">
        <v>4</v>
      </c>
      <c r="G706" s="1341"/>
      <c r="H706" s="114"/>
      <c r="I706" s="115"/>
      <c r="J706" s="115"/>
      <c r="K706" s="116"/>
      <c r="L706" s="18">
        <f>IF(A50stdlife="n/a","n/a",IF(L$3&gt;(A50stdlife+$F706),('RFM input'!$K$272*(1+vanilla4)^0.5)-SUM($K706:K706),('RFM input'!$K$272*(1+vanilla4)^0.5)/A50stdlife))</f>
        <v>0</v>
      </c>
      <c r="M706" s="18">
        <f>IF(A50stdlife="n/a","n/a",IF(M$3&gt;(A50stdlife+$F706),('RFM input'!$K$272*(1+vanilla4)^0.5)-SUM($K706:L706),('RFM input'!$K$272*(1+vanilla4)^0.5)/A50stdlife))</f>
        <v>0</v>
      </c>
      <c r="N706" s="18">
        <f>IF(A50stdlife="n/a","n/a",IF(N$3&gt;(A50stdlife+$F706),('RFM input'!$K$272*(1+vanilla4)^0.5)-SUM($K706:M706),('RFM input'!$K$272*(1+vanilla4)^0.5)/A50stdlife))</f>
        <v>0</v>
      </c>
      <c r="O706" s="18">
        <f>IF(A50stdlife="n/a","n/a",IF(O$3&gt;(A50stdlife+$F706),('RFM input'!$K$272*(1+vanilla4)^0.5)-SUM($K706:N706),('RFM input'!$K$272*(1+vanilla4)^0.5)/A50stdlife))</f>
        <v>0</v>
      </c>
      <c r="P706" s="18">
        <f>IF(A50stdlife="n/a","n/a",IF(P$3&gt;(A50stdlife+$F706),('RFM input'!$K$272*(1+vanilla4)^0.5)-SUM($K706:O706),('RFM input'!$K$272*(1+vanilla4)^0.5)/A50stdlife))</f>
        <v>0</v>
      </c>
      <c r="Q706" s="18">
        <f>IF(A50stdlife="n/a","n/a",IF(Q$3&gt;(A50stdlife+$F706),('RFM input'!$K$272*(1+vanilla4)^0.5)-SUM($K706:P706),('RFM input'!$K$272*(1+vanilla4)^0.5)/A50stdlife))</f>
        <v>0</v>
      </c>
      <c r="R706" s="18"/>
      <c r="S706" s="74"/>
      <c r="T706" s="74"/>
      <c r="U706" s="74"/>
      <c r="V706" s="74"/>
      <c r="W706" s="74"/>
      <c r="X706" s="74"/>
      <c r="Y706" s="74"/>
      <c r="Z706" s="74"/>
    </row>
    <row r="707" spans="1:26" ht="12.75" hidden="1" customHeight="1" outlineLevel="2">
      <c r="A707" s="3"/>
      <c r="B707" s="3"/>
      <c r="C707" s="3"/>
      <c r="D707" s="16"/>
      <c r="E707" s="1594"/>
      <c r="F707" s="61">
        <v>5</v>
      </c>
      <c r="G707" s="17"/>
      <c r="H707" s="114"/>
      <c r="I707" s="115"/>
      <c r="J707" s="115"/>
      <c r="K707" s="115"/>
      <c r="L707" s="116"/>
      <c r="M707" s="18">
        <f>IF(A50stdlife="n/a","n/a",IF(M$3&gt;(A50stdlife+$F707),('RFM input'!$L$272*(1+vanilla5)^0.5)-SUM($L707:L707),('RFM input'!$L$272*(1+vanilla5)^0.5)/A50stdlife))</f>
        <v>0</v>
      </c>
      <c r="N707" s="18">
        <f>IF(A50stdlife="n/a","n/a",IF(N$3&gt;(A50stdlife+$F707),('RFM input'!$L$272*(1+vanilla5)^0.5)-SUM($L707:M707),('RFM input'!$L$272*(1+vanilla5)^0.5)/A50stdlife))</f>
        <v>0</v>
      </c>
      <c r="O707" s="18">
        <f>IF(A50stdlife="n/a","n/a",IF(O$3&gt;(A50stdlife+$F707),('RFM input'!$L$272*(1+vanilla5)^0.5)-SUM($L707:N707),('RFM input'!$L$272*(1+vanilla5)^0.5)/A50stdlife))</f>
        <v>0</v>
      </c>
      <c r="P707" s="18">
        <f>IF(A50stdlife="n/a","n/a",IF(P$3&gt;(A50stdlife+$F707),('RFM input'!$L$272*(1+vanilla5)^0.5)-SUM($L707:O707),('RFM input'!$L$272*(1+vanilla5)^0.5)/A50stdlife))</f>
        <v>0</v>
      </c>
      <c r="Q707" s="18">
        <f>IF(A50stdlife="n/a","n/a",IF(Q$3&gt;(A50stdlife+$F707),('RFM input'!$L$272*(1+vanilla5)^0.5)-SUM($L707:P707),('RFM input'!$L$272*(1+vanilla5)^0.5)/A50stdlife))</f>
        <v>0</v>
      </c>
      <c r="R707" s="18"/>
      <c r="S707" s="74"/>
      <c r="T707" s="74"/>
      <c r="U707" s="74"/>
      <c r="V707" s="74"/>
      <c r="W707" s="74"/>
      <c r="X707" s="74"/>
      <c r="Y707" s="74"/>
      <c r="Z707" s="74"/>
    </row>
    <row r="708" spans="1:26" ht="12.75" hidden="1" customHeight="1" outlineLevel="2">
      <c r="A708" s="3"/>
      <c r="B708" s="3"/>
      <c r="C708" s="3"/>
      <c r="D708" s="16"/>
      <c r="E708" s="1594"/>
      <c r="F708" s="61">
        <v>6</v>
      </c>
      <c r="G708" s="17"/>
      <c r="H708" s="114"/>
      <c r="I708" s="115"/>
      <c r="J708" s="115"/>
      <c r="K708" s="115"/>
      <c r="L708" s="115"/>
      <c r="M708" s="116"/>
      <c r="N708" s="18">
        <f>IF(A50stdlife="n/a","n/a",IF(N$3&gt;(A50stdlife+$F708),('RFM input'!$M$272*(1+vanilla6)^0.5)-SUM($M708:M708),('RFM input'!$M$272*(1+vanilla6)^0.5)/A50stdlife))</f>
        <v>0</v>
      </c>
      <c r="O708" s="18">
        <f>IF(A50stdlife="n/a","n/a",IF(O$3&gt;(A50stdlife+$F708),('RFM input'!$M$272*(1+vanilla6)^0.5)-SUM($M708:N708),('RFM input'!$M$272*(1+vanilla6)^0.5)/A50stdlife))</f>
        <v>0</v>
      </c>
      <c r="P708" s="18">
        <f>IF(A50stdlife="n/a","n/a",IF(P$3&gt;(A50stdlife+$F708),('RFM input'!$M$272*(1+vanilla6)^0.5)-SUM($M708:O708),('RFM input'!$M$272*(1+vanilla6)^0.5)/A50stdlife))</f>
        <v>0</v>
      </c>
      <c r="Q708" s="18">
        <f>IF(A50stdlife="n/a","n/a",IF(Q$3&gt;(A50stdlife+$F708),('RFM input'!$M$272*(1+vanilla6)^0.5)-SUM($M708:P708),('RFM input'!$M$272*(1+vanilla6)^0.5)/A50stdlife))</f>
        <v>0</v>
      </c>
      <c r="R708" s="18"/>
      <c r="S708" s="74"/>
      <c r="T708" s="74"/>
      <c r="U708" s="74"/>
      <c r="V708" s="74"/>
      <c r="W708" s="74"/>
      <c r="X708" s="74"/>
      <c r="Y708" s="74"/>
      <c r="Z708" s="74"/>
    </row>
    <row r="709" spans="1:26" ht="12.75" hidden="1" customHeight="1" outlineLevel="2">
      <c r="A709" s="3"/>
      <c r="B709" s="3"/>
      <c r="C709" s="3"/>
      <c r="D709" s="16"/>
      <c r="E709" s="1594"/>
      <c r="F709" s="61">
        <v>7</v>
      </c>
      <c r="G709" s="17"/>
      <c r="H709" s="114"/>
      <c r="I709" s="115"/>
      <c r="J709" s="115"/>
      <c r="K709" s="115"/>
      <c r="L709" s="115"/>
      <c r="M709" s="115"/>
      <c r="N709" s="116"/>
      <c r="O709" s="18">
        <f>IF(A50stdlife="n/a","n/a",IF(O$3&gt;(A50stdlife+$F709),('RFM input'!M$272*(1+vanilla7)^0.5)-SUM($N709:N709),('RFM input'!$N$272*(1+vanilla7)^0.5)/A50stdlife))</f>
        <v>0</v>
      </c>
      <c r="P709" s="18">
        <f>IF(A50stdlife="n/a","n/a",IF(P$3&gt;(A50stdlife+$F709),('RFM input'!N$272*(1+vanilla7)^0.5)-SUM($N709:O709),('RFM input'!$N$272*(1+vanilla7)^0.5)/A50stdlife))</f>
        <v>0</v>
      </c>
      <c r="Q709" s="18">
        <f>IF(A50stdlife="n/a","n/a",IF(Q$3&gt;(A50stdlife+$F709),('RFM input'!O$272*(1+vanilla7)^0.5)-SUM($N709:P709),('RFM input'!$N$272*(1+vanilla7)^0.5)/A50stdlife))</f>
        <v>0</v>
      </c>
      <c r="R709" s="18"/>
      <c r="S709" s="74"/>
      <c r="T709" s="74"/>
      <c r="U709" s="74"/>
      <c r="V709" s="74"/>
      <c r="W709" s="74"/>
      <c r="X709" s="74"/>
      <c r="Y709" s="74"/>
      <c r="Z709" s="74"/>
    </row>
    <row r="710" spans="1:26" ht="12.75" hidden="1" customHeight="1" outlineLevel="2">
      <c r="A710" s="3"/>
      <c r="B710" s="3"/>
      <c r="C710" s="3"/>
      <c r="D710" s="16"/>
      <c r="E710" s="1594"/>
      <c r="F710" s="61">
        <v>8</v>
      </c>
      <c r="G710" s="17"/>
      <c r="H710" s="114"/>
      <c r="I710" s="115"/>
      <c r="J710" s="115"/>
      <c r="K710" s="115"/>
      <c r="L710" s="115"/>
      <c r="M710" s="115"/>
      <c r="N710" s="115"/>
      <c r="O710" s="116"/>
      <c r="P710" s="18">
        <f>IF(A50stdlife="n/a","n/a",IF(P$3&gt;(A50stdlife+$F710),('RFM input'!$O$272*(1+vanilla8)^0.5)-SUM($O710:O710),('RFM input'!$O$272*(1+vanilla8)^0.5)/A50stdlife))</f>
        <v>0</v>
      </c>
      <c r="Q710" s="18">
        <f>IF(A50stdlife="n/a","n/a",IF(Q$3&gt;(A50stdlife+$F710),('RFM input'!$O$272*(1+vanilla8)^0.5)-SUM($O710:P710),('RFM input'!$O$272*(1+vanilla8)^0.5)/A50stdlife))</f>
        <v>0</v>
      </c>
      <c r="R710" s="18"/>
      <c r="S710" s="74"/>
      <c r="T710" s="74"/>
      <c r="U710" s="74"/>
      <c r="V710" s="74"/>
      <c r="W710" s="74"/>
      <c r="X710" s="74"/>
      <c r="Y710" s="74"/>
      <c r="Z710" s="74"/>
    </row>
    <row r="711" spans="1:26" ht="12.75" hidden="1" customHeight="1" outlineLevel="2">
      <c r="A711" s="3"/>
      <c r="B711" s="3"/>
      <c r="C711" s="3"/>
      <c r="D711" s="16"/>
      <c r="E711" s="1594"/>
      <c r="F711" s="61">
        <v>9</v>
      </c>
      <c r="G711" s="17"/>
      <c r="H711" s="114"/>
      <c r="I711" s="115"/>
      <c r="J711" s="115"/>
      <c r="K711" s="115"/>
      <c r="L711" s="115"/>
      <c r="M711" s="115"/>
      <c r="N711" s="115"/>
      <c r="O711" s="115"/>
      <c r="P711" s="116"/>
      <c r="Q711" s="18">
        <f>IF(A50stdlife="n/a","n/a",IF(Q$3&gt;(A50stdlife+$F711),('RFM input'!$P$272*(1+vanilla9)^0.5)-SUM($P711:P711),('RFM input'!$P$272*(1+vanilla9)^0.5)/A50stdlife))</f>
        <v>0</v>
      </c>
      <c r="R711" s="18"/>
      <c r="S711" s="74"/>
      <c r="T711" s="74"/>
      <c r="U711" s="74"/>
      <c r="V711" s="74"/>
      <c r="W711" s="74"/>
      <c r="X711" s="74"/>
      <c r="Y711" s="74"/>
      <c r="Z711" s="74"/>
    </row>
    <row r="712" spans="1:26" ht="12.75" hidden="1" customHeight="1" outlineLevel="2">
      <c r="A712" s="3"/>
      <c r="B712" s="3"/>
      <c r="C712" s="3"/>
      <c r="D712" s="16"/>
      <c r="E712" s="1594"/>
      <c r="F712" s="62">
        <v>10</v>
      </c>
      <c r="G712" s="17"/>
      <c r="H712" s="114"/>
      <c r="I712" s="115"/>
      <c r="J712" s="115"/>
      <c r="K712" s="115"/>
      <c r="L712" s="115"/>
      <c r="M712" s="115"/>
      <c r="N712" s="115"/>
      <c r="O712" s="115"/>
      <c r="P712" s="115"/>
      <c r="Q712" s="116"/>
      <c r="R712" s="18"/>
      <c r="S712" s="74"/>
      <c r="T712" s="74"/>
      <c r="U712" s="74"/>
      <c r="V712" s="74"/>
      <c r="W712" s="74"/>
      <c r="X712" s="74"/>
      <c r="Y712" s="74"/>
      <c r="Z712" s="74"/>
    </row>
    <row r="713" spans="1:26" ht="13.35" hidden="1" customHeight="1" outlineLevel="1">
      <c r="A713" s="3"/>
      <c r="B713" s="3"/>
      <c r="C713" s="3"/>
      <c r="D713" s="134">
        <f>Asset50</f>
        <v>0</v>
      </c>
      <c r="E713" s="3"/>
      <c r="F713" s="3"/>
      <c r="G713" s="1341"/>
      <c r="H713" s="1458">
        <f>IF(OR('RFM input'!$E$293='RFM input'!$G$292,'RFM input'!$E$293='RFM input'!$G$293),-INDEX('RFM input'!H$299:H$348,MATCH($D713,'RFM input'!$E$299:$E$348,0),1),-SUM(H701:H712))</f>
        <v>0</v>
      </c>
      <c r="I713" s="1458">
        <f>IF(OR('RFM input'!$E$293='RFM input'!$G$292,'RFM input'!$E$293='RFM input'!$G$293),-INDEX('RFM input'!I$299:I$348,MATCH($D713,'RFM input'!$E$299:$E$348,0),1),-SUM(I701:I712))</f>
        <v>0</v>
      </c>
      <c r="J713" s="1386">
        <f>IF(COUNT($H713:I713)&gt;='RFM input'!$V$7,
   0,
   IF(OR('RFM input'!$E$293='RFM input'!$G$292,'RFM input'!$E$293='RFM input'!$G$293),
      -INDEX('RFM input'!J$299:J$348,MATCH($D713,'RFM input'!$E$299:$E$348,0),1),
      -SUM(J701:J712)))</f>
        <v>0</v>
      </c>
      <c r="K713" s="1386">
        <f>IF(COUNT($H713:J713)&gt;='RFM input'!$V$7,
   0,
   IF(OR('RFM input'!$E$293='RFM input'!$G$292,'RFM input'!$E$293='RFM input'!$G$293),
      -INDEX('RFM input'!K$299:K$348,MATCH($D713,'RFM input'!$E$299:$E$348,0),1),
      -SUM(K701:K712)))</f>
        <v>0</v>
      </c>
      <c r="L713" s="1386">
        <f>IF(COUNT($H713:K713)&gt;='RFM input'!$V$7,
   0,
   IF(OR('RFM input'!$E$293='RFM input'!$G$292,'RFM input'!$E$293='RFM input'!$G$293),
      -INDEX('RFM input'!L$299:L$348,MATCH($D713,'RFM input'!$E$299:$E$348,0),1),
      -SUM(L701:L712)))</f>
        <v>0</v>
      </c>
      <c r="M713" s="1386">
        <f>IF(COUNT($H713:L713)&gt;='RFM input'!$V$7,
   0,
   IF(OR('RFM input'!$E$293='RFM input'!$G$292,'RFM input'!$E$293='RFM input'!$G$293),
      -INDEX('RFM input'!M$299:M$348,MATCH($D713,'RFM input'!$E$299:$E$348,0),1),
      -SUM(M701:M712)))</f>
        <v>0</v>
      </c>
      <c r="N713" s="1386">
        <f>IF(COUNT($H713:M713)&gt;='RFM input'!$V$7,
   0,
   IF(OR('RFM input'!$E$293='RFM input'!$G$292,'RFM input'!$E$293='RFM input'!$G$293),
      -INDEX('RFM input'!N$299:N$348,MATCH($D713,'RFM input'!$E$299:$E$348,0),1),
      -SUM(N701:N712)))</f>
        <v>0</v>
      </c>
      <c r="O713" s="1386">
        <f>IF(COUNT($H713:N713)&gt;='RFM input'!$V$7,
   0,
   IF(OR('RFM input'!$E$293='RFM input'!$G$292,'RFM input'!$E$293='RFM input'!$G$293),
      -INDEX('RFM input'!O$299:O$348,MATCH($D713,'RFM input'!$E$299:$E$348,0),1),
      -SUM(O701:O712)))</f>
        <v>0</v>
      </c>
      <c r="P713" s="1386">
        <f>IF(COUNT($H713:O713)&gt;='RFM input'!$V$7,
   0,
   IF(OR('RFM input'!$E$293='RFM input'!$G$292,'RFM input'!$E$293='RFM input'!$G$293),
      -INDEX('RFM input'!P$299:P$348,MATCH($D713,'RFM input'!$E$299:$E$348,0),1),
      -SUM(P701:P712)))</f>
        <v>0</v>
      </c>
      <c r="Q713" s="1386">
        <f>IF(COUNT($H713:P713)&gt;='RFM input'!$V$7,
   0,
   IF(OR('RFM input'!$E$293='RFM input'!$G$292,'RFM input'!$E$293='RFM input'!$G$293),
      -INDEX('RFM input'!Q$299:Q$348,MATCH($D713,'RFM input'!$E$299:$E$348,0),1),
      -SUM(Q701:Q712)))</f>
        <v>0</v>
      </c>
      <c r="R713" s="1382"/>
      <c r="S713" s="76"/>
      <c r="T713" s="76"/>
      <c r="U713" s="76"/>
      <c r="V713" s="76"/>
      <c r="W713" s="76"/>
      <c r="X713" s="76"/>
      <c r="Y713" s="76"/>
      <c r="Z713" s="76"/>
    </row>
    <row r="714" spans="1:26" collapsed="1">
      <c r="A714" s="3"/>
      <c r="B714" s="3"/>
      <c r="C714" s="3"/>
      <c r="D714" s="3"/>
      <c r="E714" s="3"/>
      <c r="F714" s="3"/>
      <c r="G714" s="248"/>
      <c r="H714" s="1391"/>
      <c r="I714" s="1391"/>
      <c r="J714" s="1391"/>
      <c r="K714" s="1391"/>
      <c r="L714" s="1391"/>
      <c r="M714" s="1391"/>
      <c r="N714" s="1391"/>
      <c r="O714" s="1391"/>
      <c r="P714" s="1391"/>
      <c r="Q714" s="1391"/>
      <c r="R714" s="248"/>
      <c r="S714" s="3"/>
      <c r="T714" s="3"/>
      <c r="U714" s="3"/>
      <c r="V714" s="3"/>
      <c r="W714" s="3"/>
      <c r="X714" s="3"/>
      <c r="Y714" s="3"/>
      <c r="Z714" s="3"/>
    </row>
    <row r="715" spans="1:26">
      <c r="A715" s="48"/>
      <c r="B715" s="48"/>
      <c r="C715" s="55" t="s">
        <v>538</v>
      </c>
      <c r="D715" s="48"/>
      <c r="E715" s="48"/>
      <c r="F715" s="48"/>
      <c r="G715" s="59"/>
      <c r="H715" s="59"/>
      <c r="I715" s="59"/>
      <c r="J715" s="59"/>
      <c r="K715" s="59"/>
      <c r="L715" s="59"/>
      <c r="M715" s="59"/>
      <c r="N715" s="59"/>
      <c r="O715" s="59"/>
      <c r="P715" s="59"/>
      <c r="Q715" s="59"/>
      <c r="R715" s="59"/>
      <c r="S715" s="59"/>
      <c r="T715" s="77"/>
      <c r="U715" s="77"/>
      <c r="V715" s="77"/>
      <c r="W715" s="77"/>
      <c r="X715" s="77"/>
      <c r="Y715" s="77"/>
      <c r="Z715" s="77"/>
    </row>
    <row r="716" spans="1:26">
      <c r="A716" s="3"/>
      <c r="B716" s="4"/>
      <c r="C716" s="8"/>
      <c r="D716" s="4"/>
      <c r="E716" s="4"/>
      <c r="F716" s="4"/>
      <c r="G716" s="77"/>
      <c r="H716" s="77"/>
      <c r="I716" s="77"/>
      <c r="J716" s="77"/>
      <c r="K716" s="77"/>
      <c r="L716" s="77"/>
      <c r="M716" s="77"/>
      <c r="N716" s="77"/>
      <c r="O716" s="77"/>
      <c r="P716" s="77"/>
      <c r="Q716" s="77"/>
      <c r="R716" s="77"/>
      <c r="S716" s="77"/>
      <c r="T716" s="77"/>
      <c r="U716" s="77"/>
      <c r="V716" s="77"/>
      <c r="W716" s="77"/>
      <c r="X716" s="77"/>
      <c r="Y716" s="77"/>
      <c r="Z716" s="77"/>
    </row>
    <row r="717" spans="1:26">
      <c r="A717" s="3"/>
      <c r="B717" s="3"/>
      <c r="C717" s="29" t="s">
        <v>46</v>
      </c>
      <c r="D717" s="3"/>
      <c r="E717" s="3"/>
      <c r="F717" s="3"/>
      <c r="G717" s="1392">
        <f>SUM(G718:G767)</f>
        <v>421.65396201769516</v>
      </c>
      <c r="H717" s="1391">
        <f t="shared" ref="H717:R717" si="3">SUM(H718:H767)</f>
        <v>421.65396201769516</v>
      </c>
      <c r="I717" s="1391">
        <f t="shared" si="3"/>
        <v>434.73676351356318</v>
      </c>
      <c r="J717" s="1391">
        <f t="shared" si="3"/>
        <v>450.14863141830102</v>
      </c>
      <c r="K717" s="1475">
        <f t="shared" si="3"/>
        <v>465.39935067113578</v>
      </c>
      <c r="L717" s="1391">
        <f t="shared" si="3"/>
        <v>477.67489281319956</v>
      </c>
      <c r="M717" s="1391">
        <f t="shared" si="3"/>
        <v>482.40120980953736</v>
      </c>
      <c r="N717" s="1391">
        <f t="shared" si="3"/>
        <v>505.24049114016162</v>
      </c>
      <c r="O717" s="1391">
        <f t="shared" si="3"/>
        <v>533.6320183657981</v>
      </c>
      <c r="P717" s="1391">
        <f t="shared" si="3"/>
        <v>0</v>
      </c>
      <c r="Q717" s="1391">
        <f t="shared" si="3"/>
        <v>0</v>
      </c>
      <c r="R717" s="1391">
        <f t="shared" si="3"/>
        <v>0</v>
      </c>
      <c r="S717" s="70"/>
      <c r="T717" s="70"/>
      <c r="U717" s="70"/>
      <c r="V717" s="70"/>
      <c r="W717" s="70"/>
      <c r="X717" s="70"/>
      <c r="Y717" s="70"/>
      <c r="Z717" s="70"/>
    </row>
    <row r="718" spans="1:26" ht="12.75" hidden="1" customHeight="1" outlineLevel="1">
      <c r="A718" s="3"/>
      <c r="B718" s="3"/>
      <c r="C718" s="3"/>
      <c r="D718" s="133" t="str">
        <f>Asset1</f>
        <v>Mains</v>
      </c>
      <c r="E718" s="3"/>
      <c r="F718" s="3"/>
      <c r="G718" s="1393">
        <f>'RFM input'!I7</f>
        <v>307.40493907947723</v>
      </c>
      <c r="H718" s="1341">
        <f t="shared" ref="H718:H747" si="4">G718+G770+G822+G874+G926+G978</f>
        <v>307.40493907947723</v>
      </c>
      <c r="I718" s="1341">
        <f t="shared" ref="I718:J727" si="5">H718+H770+H822</f>
        <v>314.74891535956482</v>
      </c>
      <c r="J718" s="1341">
        <f t="shared" si="5"/>
        <v>324.32859013669815</v>
      </c>
      <c r="K718" s="1341">
        <f>IF(COUNT($H718:J718)&gt;'RFM input'!$V$7,0, J718+J770+J822)</f>
        <v>332.89836026094565</v>
      </c>
      <c r="L718" s="1341">
        <f>IF(COUNT($H718:K718)&gt;'RFM input'!$V$7,0, K718+K770+K822)</f>
        <v>339.85046169830309</v>
      </c>
      <c r="M718" s="1341">
        <f>IF(COUNT($H718:L718)&gt;'RFM input'!$V$7,0, L718+L770+L822)</f>
        <v>341.33512544814488</v>
      </c>
      <c r="N718" s="1341">
        <f>IF(COUNT($H718:M718)&gt;'RFM input'!$V$7,0, M718+M770+M822)</f>
        <v>358.78718258667448</v>
      </c>
      <c r="O718" s="1341">
        <f>IF(COUNT($H718:N718)&gt;'RFM input'!$V$7,0, N718+N770+N822)</f>
        <v>380.22051884827215</v>
      </c>
      <c r="P718" s="1341">
        <f>IF(COUNT($H718:O718)&gt;'RFM input'!$V$7,0, O718+O770+O822)</f>
        <v>0</v>
      </c>
      <c r="Q718" s="1341">
        <f>IF(COUNT($H718:P718)&gt;'RFM input'!$V$7,0, P718+P770+P822)</f>
        <v>0</v>
      </c>
      <c r="R718" s="1341">
        <f>IF(COUNT($H718:Q718)&gt;'RFM input'!$V$7,0, Q718+Q770+Q822)</f>
        <v>0</v>
      </c>
      <c r="S718" s="3"/>
      <c r="T718" s="3"/>
      <c r="U718" s="3"/>
      <c r="V718" s="3"/>
      <c r="W718" s="3"/>
      <c r="X718" s="3"/>
      <c r="Y718" s="3"/>
      <c r="Z718" s="3"/>
    </row>
    <row r="719" spans="1:26" ht="12.75" hidden="1" customHeight="1" outlineLevel="1">
      <c r="A719" s="3"/>
      <c r="B719" s="3"/>
      <c r="C719" s="29"/>
      <c r="D719" s="133" t="str">
        <f>Asset2</f>
        <v>Inlets</v>
      </c>
      <c r="E719" s="3"/>
      <c r="F719" s="3"/>
      <c r="G719" s="1393">
        <f>'RFM input'!I8</f>
        <v>74.835251396459029</v>
      </c>
      <c r="H719" s="1341">
        <f t="shared" si="4"/>
        <v>74.835251396459029</v>
      </c>
      <c r="I719" s="1341">
        <f t="shared" si="5"/>
        <v>79.255337327788752</v>
      </c>
      <c r="J719" s="1341">
        <f t="shared" si="5"/>
        <v>84.320154286752611</v>
      </c>
      <c r="K719" s="1341">
        <f>IF(COUNT($H719:J719)&gt;'RFM input'!$V$7,0, J719+J771+J823)</f>
        <v>89.589789575819339</v>
      </c>
      <c r="L719" s="1341">
        <f>IF(COUNT($H719:K719)&gt;'RFM input'!$V$7,0, K719+K771+K823)</f>
        <v>94.12095959338366</v>
      </c>
      <c r="M719" s="1341">
        <f>IF(COUNT($H719:L719)&gt;'RFM input'!$V$7,0, L719+L771+L823)</f>
        <v>98.28816752154583</v>
      </c>
      <c r="N719" s="1341">
        <f>IF(COUNT($H719:M719)&gt;'RFM input'!$V$7,0, M719+M771+M823)</f>
        <v>103.64577089855227</v>
      </c>
      <c r="O719" s="1341">
        <f>IF(COUNT($H719:N719)&gt;'RFM input'!$V$7,0, N719+N771+N823)</f>
        <v>111.65013258896298</v>
      </c>
      <c r="P719" s="1341">
        <f>IF(COUNT($H719:O719)&gt;'RFM input'!$V$7,0, O719+O771+O823)</f>
        <v>0</v>
      </c>
      <c r="Q719" s="1341">
        <f>IF(COUNT($H719:P719)&gt;'RFM input'!$V$7,0, P719+P771+P823)</f>
        <v>0</v>
      </c>
      <c r="R719" s="1341">
        <f>IF(COUNT($H719:Q719)&gt;'RFM input'!$V$7,0, Q719+Q771+Q823)</f>
        <v>0</v>
      </c>
      <c r="S719" s="71"/>
      <c r="T719" s="71"/>
      <c r="U719" s="71"/>
      <c r="V719" s="71"/>
      <c r="W719" s="71"/>
      <c r="X719" s="71"/>
      <c r="Y719" s="71"/>
      <c r="Z719" s="71"/>
    </row>
    <row r="720" spans="1:26" ht="12.75" hidden="1" customHeight="1" outlineLevel="1">
      <c r="A720" s="3"/>
      <c r="B720" s="3"/>
      <c r="C720" s="29"/>
      <c r="D720" s="133" t="str">
        <f>Asset3</f>
        <v>Meters</v>
      </c>
      <c r="E720" s="3"/>
      <c r="F720" s="3"/>
      <c r="G720" s="1393">
        <f>'RFM input'!I9</f>
        <v>24.328597289033493</v>
      </c>
      <c r="H720" s="1341">
        <f t="shared" si="4"/>
        <v>24.328597289033493</v>
      </c>
      <c r="I720" s="1341">
        <f t="shared" si="5"/>
        <v>24.687938701905662</v>
      </c>
      <c r="J720" s="1341">
        <f t="shared" si="5"/>
        <v>24.960877441283319</v>
      </c>
      <c r="K720" s="1341">
        <f>IF(COUNT($H720:J720)&gt;'RFM input'!$V$7,0, J720+J772+J824)</f>
        <v>25.493719500278662</v>
      </c>
      <c r="L720" s="1341">
        <f>IF(COUNT($H720:K720)&gt;'RFM input'!$V$7,0, K720+K772+K824)</f>
        <v>24.034605693422598</v>
      </c>
      <c r="M720" s="1341">
        <f>IF(COUNT($H720:L720)&gt;'RFM input'!$V$7,0, L720+L772+L824)</f>
        <v>22.346605418813933</v>
      </c>
      <c r="N720" s="1341">
        <f>IF(COUNT($H720:M720)&gt;'RFM input'!$V$7,0, M720+M772+M824)</f>
        <v>20.947427082876199</v>
      </c>
      <c r="O720" s="1341">
        <f>IF(COUNT($H720:N720)&gt;'RFM input'!$V$7,0, N720+N772+N824)</f>
        <v>19.138195277376656</v>
      </c>
      <c r="P720" s="1341">
        <f>IF(COUNT($H720:O720)&gt;'RFM input'!$V$7,0, O720+O772+O824)</f>
        <v>0</v>
      </c>
      <c r="Q720" s="1341">
        <f>IF(COUNT($H720:P720)&gt;'RFM input'!$V$7,0, P720+P772+P824)</f>
        <v>0</v>
      </c>
      <c r="R720" s="1341">
        <f>IF(COUNT($H720:Q720)&gt;'RFM input'!$V$7,0, Q720+Q772+Q824)</f>
        <v>0</v>
      </c>
      <c r="S720" s="71"/>
      <c r="T720" s="71"/>
      <c r="U720" s="71"/>
      <c r="V720" s="71"/>
      <c r="W720" s="71"/>
      <c r="X720" s="71"/>
      <c r="Y720" s="71"/>
      <c r="Z720" s="71"/>
    </row>
    <row r="721" spans="1:26" ht="12.75" hidden="1" customHeight="1" outlineLevel="1">
      <c r="A721" s="3"/>
      <c r="B721" s="3"/>
      <c r="C721" s="29"/>
      <c r="D721" s="133" t="str">
        <f>Asset4</f>
        <v>Telemetry</v>
      </c>
      <c r="E721" s="3"/>
      <c r="F721" s="3"/>
      <c r="G721" s="1393">
        <f>'RFM input'!I10</f>
        <v>-0.58034433790308881</v>
      </c>
      <c r="H721" s="1341">
        <f t="shared" si="4"/>
        <v>-0.58034433790308881</v>
      </c>
      <c r="I721" s="1341">
        <f t="shared" si="5"/>
        <v>-2.2758342565681322E-2</v>
      </c>
      <c r="J721" s="1341">
        <f t="shared" si="5"/>
        <v>0.30108128613513441</v>
      </c>
      <c r="K721" s="1341">
        <f>IF(COUNT($H721:J721)&gt;'RFM input'!$V$7,0, J721+J773+J825)</f>
        <v>0.49881976198016753</v>
      </c>
      <c r="L721" s="1341">
        <f>IF(COUNT($H721:K721)&gt;'RFM input'!$V$7,0, K721+K773+K825)</f>
        <v>0.67888734002817075</v>
      </c>
      <c r="M721" s="1341">
        <f>IF(COUNT($H721:L721)&gt;'RFM input'!$V$7,0, L721+L773+L825)</f>
        <v>0.71255672177786167</v>
      </c>
      <c r="N721" s="1341">
        <f>IF(COUNT($H721:M721)&gt;'RFM input'!$V$7,0, M721+M773+M825)</f>
        <v>0.75701677619331875</v>
      </c>
      <c r="O721" s="1341">
        <f>IF(COUNT($H721:N721)&gt;'RFM input'!$V$7,0, N721+N773+N825)</f>
        <v>0.80876652860778364</v>
      </c>
      <c r="P721" s="1341">
        <f>IF(COUNT($H721:O721)&gt;'RFM input'!$V$7,0, O721+O773+O825)</f>
        <v>0</v>
      </c>
      <c r="Q721" s="1341">
        <f>IF(COUNT($H721:P721)&gt;'RFM input'!$V$7,0, P721+P773+P825)</f>
        <v>0</v>
      </c>
      <c r="R721" s="1341">
        <f>IF(COUNT($H721:Q721)&gt;'RFM input'!$V$7,0, Q721+Q773+Q825)</f>
        <v>0</v>
      </c>
      <c r="S721" s="71"/>
      <c r="T721" s="71"/>
      <c r="U721" s="71"/>
      <c r="V721" s="71"/>
      <c r="W721" s="71"/>
      <c r="X721" s="71"/>
      <c r="Y721" s="71"/>
      <c r="Z721" s="71"/>
    </row>
    <row r="722" spans="1:26" ht="12.75" hidden="1" customHeight="1" outlineLevel="1">
      <c r="A722" s="3"/>
      <c r="B722" s="3"/>
      <c r="C722" s="29"/>
      <c r="D722" s="133" t="str">
        <f>Asset5</f>
        <v>IT System</v>
      </c>
      <c r="E722" s="3"/>
      <c r="F722" s="3"/>
      <c r="G722" s="1393">
        <f>'RFM input'!I11</f>
        <v>6.3057802613645082</v>
      </c>
      <c r="H722" s="1341">
        <f t="shared" si="4"/>
        <v>6.3057802613645082</v>
      </c>
      <c r="I722" s="1341">
        <f t="shared" si="5"/>
        <v>5.8740359488609668</v>
      </c>
      <c r="J722" s="1341">
        <f t="shared" si="5"/>
        <v>5.7470783253470232</v>
      </c>
      <c r="K722" s="1341">
        <f>IF(COUNT($H722:J722)&gt;'RFM input'!$V$7,0, J722+J774+J826)</f>
        <v>5.870103009037968</v>
      </c>
      <c r="L722" s="1341">
        <f>IF(COUNT($H722:K722)&gt;'RFM input'!$V$7,0, K722+K774+K826)</f>
        <v>6.3556378172263512</v>
      </c>
      <c r="M722" s="1341">
        <f>IF(COUNT($H722:L722)&gt;'RFM input'!$V$7,0, L722+L774+L826)</f>
        <v>6.5394053343188467</v>
      </c>
      <c r="N722" s="1341">
        <f>IF(COUNT($H722:M722)&gt;'RFM input'!$V$7,0, M722+M774+M826)</f>
        <v>7.0362298316417089</v>
      </c>
      <c r="O722" s="1341">
        <f>IF(COUNT($H722:N722)&gt;'RFM input'!$V$7,0, N722+N774+N826)</f>
        <v>6.2856793741756096</v>
      </c>
      <c r="P722" s="1341">
        <f>IF(COUNT($H722:O722)&gt;'RFM input'!$V$7,0, O722+O774+O826)</f>
        <v>0</v>
      </c>
      <c r="Q722" s="1341">
        <f>IF(COUNT($H722:P722)&gt;'RFM input'!$V$7,0, P722+P774+P826)</f>
        <v>0</v>
      </c>
      <c r="R722" s="1341">
        <f>IF(COUNT($H722:Q722)&gt;'RFM input'!$V$7,0, Q722+Q774+Q826)</f>
        <v>0</v>
      </c>
      <c r="S722" s="71"/>
      <c r="T722" s="71"/>
      <c r="U722" s="71"/>
      <c r="V722" s="71"/>
      <c r="W722" s="71"/>
      <c r="X722" s="71"/>
      <c r="Y722" s="71"/>
      <c r="Z722" s="71"/>
    </row>
    <row r="723" spans="1:26" ht="12.75" hidden="1" customHeight="1" outlineLevel="1">
      <c r="A723" s="3"/>
      <c r="B723" s="3"/>
      <c r="C723" s="29"/>
      <c r="D723" s="133" t="str">
        <f>Asset6</f>
        <v>Other Distribution System Equipment</v>
      </c>
      <c r="E723" s="3"/>
      <c r="F723" s="3"/>
      <c r="G723" s="1393">
        <f>'RFM input'!I12</f>
        <v>9.3811826906979316</v>
      </c>
      <c r="H723" s="1341">
        <f t="shared" si="4"/>
        <v>9.3811826906979316</v>
      </c>
      <c r="I723" s="1341">
        <f t="shared" si="5"/>
        <v>10.24471524130473</v>
      </c>
      <c r="J723" s="1341">
        <f t="shared" si="5"/>
        <v>10.540242571380944</v>
      </c>
      <c r="K723" s="1341">
        <f>IF(COUNT($H723:J723)&gt;'RFM input'!$V$7,0, J723+J775+J827)</f>
        <v>11.095765195346914</v>
      </c>
      <c r="L723" s="1341">
        <f>IF(COUNT($H723:K723)&gt;'RFM input'!$V$7,0, K723+K775+K827)</f>
        <v>12.679294192426374</v>
      </c>
      <c r="M723" s="1341">
        <f>IF(COUNT($H723:L723)&gt;'RFM input'!$V$7,0, L723+L775+L827)</f>
        <v>13.221510083307749</v>
      </c>
      <c r="N723" s="1341">
        <f>IF(COUNT($H723:M723)&gt;'RFM input'!$V$7,0, M723+M775+M827)</f>
        <v>14.107292841897515</v>
      </c>
      <c r="O723" s="1341">
        <f>IF(COUNT($H723:N723)&gt;'RFM input'!$V$7,0, N723+N775+N827)</f>
        <v>15.569002016008948</v>
      </c>
      <c r="P723" s="1341">
        <f>IF(COUNT($H723:O723)&gt;'RFM input'!$V$7,0, O723+O775+O827)</f>
        <v>0</v>
      </c>
      <c r="Q723" s="1341">
        <f>IF(COUNT($H723:P723)&gt;'RFM input'!$V$7,0, P723+P775+P827)</f>
        <v>0</v>
      </c>
      <c r="R723" s="1341">
        <f>IF(COUNT($H723:Q723)&gt;'RFM input'!$V$7,0, Q723+Q775+Q827)</f>
        <v>0</v>
      </c>
      <c r="S723" s="71"/>
      <c r="T723" s="71"/>
      <c r="U723" s="71"/>
      <c r="V723" s="71"/>
      <c r="W723" s="71"/>
      <c r="X723" s="71"/>
      <c r="Y723" s="71"/>
      <c r="Z723" s="71"/>
    </row>
    <row r="724" spans="1:26" ht="12.75" hidden="1" customHeight="1" outlineLevel="1">
      <c r="A724" s="3"/>
      <c r="B724" s="3"/>
      <c r="C724" s="29"/>
      <c r="D724" s="133" t="str">
        <f>Asset7</f>
        <v>Other</v>
      </c>
      <c r="E724" s="3"/>
      <c r="F724" s="3"/>
      <c r="G724" s="1393">
        <f>'RFM input'!I13</f>
        <v>-2.144436143397346E-2</v>
      </c>
      <c r="H724" s="1341">
        <f t="shared" si="4"/>
        <v>-2.144436143397346E-2</v>
      </c>
      <c r="I724" s="1341">
        <f t="shared" si="5"/>
        <v>-5.142072329607892E-2</v>
      </c>
      <c r="J724" s="1341">
        <f t="shared" si="5"/>
        <v>-4.9392629296192425E-2</v>
      </c>
      <c r="K724" s="1341">
        <f>IF(COUNT($H724:J724)&gt;'RFM input'!$V$7,0, J724+J776+J828)</f>
        <v>-4.7206632272896884E-2</v>
      </c>
      <c r="L724" s="1341">
        <f>IF(COUNT($H724:K724)&gt;'RFM input'!$V$7,0, K724+K776+K828)</f>
        <v>-4.4953521590624261E-2</v>
      </c>
      <c r="M724" s="1341">
        <f>IF(COUNT($H724:L724)&gt;'RFM input'!$V$7,0, L724+L776+L828)</f>
        <v>-4.2160718371736822E-2</v>
      </c>
      <c r="N724" s="1341">
        <f>IF(COUNT($H724:M724)&gt;'RFM input'!$V$7,0, M724+M776+M828)</f>
        <v>-4.0428877673857708E-2</v>
      </c>
      <c r="O724" s="1341">
        <f>IF(COUNT($H724:N724)&gt;'RFM input'!$V$7,0, N724+N776+N828)</f>
        <v>-4.027626760602207E-2</v>
      </c>
      <c r="P724" s="1341">
        <f>IF(COUNT($H724:O724)&gt;'RFM input'!$V$7,0, O724+O776+O828)</f>
        <v>0</v>
      </c>
      <c r="Q724" s="1341">
        <f>IF(COUNT($H724:P724)&gt;'RFM input'!$V$7,0, P724+P776+P828)</f>
        <v>0</v>
      </c>
      <c r="R724" s="1341">
        <f>IF(COUNT($H724:Q724)&gt;'RFM input'!$V$7,0, Q724+Q776+Q828)</f>
        <v>0</v>
      </c>
      <c r="S724" s="71"/>
      <c r="T724" s="71"/>
      <c r="U724" s="71"/>
      <c r="V724" s="71"/>
      <c r="W724" s="71"/>
      <c r="X724" s="71"/>
      <c r="Y724" s="71"/>
      <c r="Z724" s="71"/>
    </row>
    <row r="725" spans="1:26" ht="12.75" hidden="1" customHeight="1" outlineLevel="1">
      <c r="A725" s="3"/>
      <c r="B725" s="3"/>
      <c r="C725" s="29"/>
      <c r="D725" s="133">
        <f>Asset8</f>
        <v>0</v>
      </c>
      <c r="E725" s="3"/>
      <c r="F725" s="3"/>
      <c r="G725" s="1393">
        <f>'RFM input'!I14</f>
        <v>0</v>
      </c>
      <c r="H725" s="1341">
        <f t="shared" si="4"/>
        <v>0</v>
      </c>
      <c r="I725" s="1341">
        <f t="shared" si="5"/>
        <v>0</v>
      </c>
      <c r="J725" s="1341">
        <f t="shared" si="5"/>
        <v>0</v>
      </c>
      <c r="K725" s="1341">
        <f>IF(COUNT($H725:J725)&gt;'RFM input'!$V$7,0, J725+J777+J829)</f>
        <v>0</v>
      </c>
      <c r="L725" s="1341">
        <f>IF(COUNT($H725:K725)&gt;'RFM input'!$V$7,0, K725+K777+K829)</f>
        <v>0</v>
      </c>
      <c r="M725" s="1341">
        <f>IF(COUNT($H725:L725)&gt;'RFM input'!$V$7,0, L725+L777+L829)</f>
        <v>0</v>
      </c>
      <c r="N725" s="1341">
        <f>IF(COUNT($H725:M725)&gt;'RFM input'!$V$7,0, M725+M777+M829)</f>
        <v>0</v>
      </c>
      <c r="O725" s="1341">
        <f>IF(COUNT($H725:N725)&gt;'RFM input'!$V$7,0, N725+N777+N829)</f>
        <v>0</v>
      </c>
      <c r="P725" s="1341">
        <f>IF(COUNT($H725:O725)&gt;'RFM input'!$V$7,0, O725+O777+O829)</f>
        <v>0</v>
      </c>
      <c r="Q725" s="1341">
        <f>IF(COUNT($H725:P725)&gt;'RFM input'!$V$7,0, P725+P777+P829)</f>
        <v>0</v>
      </c>
      <c r="R725" s="1341">
        <f>IF(COUNT($H725:Q725)&gt;'RFM input'!$V$7,0, Q725+Q777+Q829)</f>
        <v>0</v>
      </c>
      <c r="S725" s="71"/>
      <c r="T725" s="71"/>
      <c r="U725" s="71"/>
      <c r="V725" s="71"/>
      <c r="W725" s="71"/>
      <c r="X725" s="71"/>
      <c r="Y725" s="71"/>
      <c r="Z725" s="71"/>
    </row>
    <row r="726" spans="1:26" ht="12.75" hidden="1" customHeight="1" outlineLevel="1">
      <c r="A726" s="3"/>
      <c r="B726" s="3"/>
      <c r="C726" s="29"/>
      <c r="D726" s="133">
        <f>Asset9</f>
        <v>0</v>
      </c>
      <c r="E726" s="3"/>
      <c r="F726" s="3"/>
      <c r="G726" s="1393">
        <f>'RFM input'!I15</f>
        <v>0</v>
      </c>
      <c r="H726" s="1341">
        <f t="shared" si="4"/>
        <v>0</v>
      </c>
      <c r="I726" s="1341">
        <f t="shared" si="5"/>
        <v>0</v>
      </c>
      <c r="J726" s="1341">
        <f t="shared" si="5"/>
        <v>0</v>
      </c>
      <c r="K726" s="1341">
        <f>IF(COUNT($H726:J726)&gt;'RFM input'!$V$7,0, J726+J778+J830)</f>
        <v>0</v>
      </c>
      <c r="L726" s="1341">
        <f>IF(COUNT($H726:K726)&gt;'RFM input'!$V$7,0, K726+K778+K830)</f>
        <v>0</v>
      </c>
      <c r="M726" s="1341">
        <f>IF(COUNT($H726:L726)&gt;'RFM input'!$V$7,0, L726+L778+L830)</f>
        <v>0</v>
      </c>
      <c r="N726" s="1341">
        <f>IF(COUNT($H726:M726)&gt;'RFM input'!$V$7,0, M726+M778+M830)</f>
        <v>0</v>
      </c>
      <c r="O726" s="1341">
        <f>IF(COUNT($H726:N726)&gt;'RFM input'!$V$7,0, N726+N778+N830)</f>
        <v>0</v>
      </c>
      <c r="P726" s="1341">
        <f>IF(COUNT($H726:O726)&gt;'RFM input'!$V$7,0, O726+O778+O830)</f>
        <v>0</v>
      </c>
      <c r="Q726" s="1341">
        <f>IF(COUNT($H726:P726)&gt;'RFM input'!$V$7,0, P726+P778+P830)</f>
        <v>0</v>
      </c>
      <c r="R726" s="1341">
        <f>IF(COUNT($H726:Q726)&gt;'RFM input'!$V$7,0, Q726+Q778+Q830)</f>
        <v>0</v>
      </c>
      <c r="S726" s="71"/>
      <c r="T726" s="71"/>
      <c r="U726" s="71"/>
      <c r="V726" s="71"/>
      <c r="W726" s="71"/>
      <c r="X726" s="71"/>
      <c r="Y726" s="71"/>
      <c r="Z726" s="71"/>
    </row>
    <row r="727" spans="1:26" ht="12.75" hidden="1" customHeight="1" outlineLevel="1">
      <c r="A727" s="3"/>
      <c r="B727" s="3"/>
      <c r="C727" s="29"/>
      <c r="D727" s="133">
        <f>Asset10</f>
        <v>0</v>
      </c>
      <c r="E727" s="3"/>
      <c r="F727" s="3"/>
      <c r="G727" s="1393">
        <f>'RFM input'!I16</f>
        <v>0</v>
      </c>
      <c r="H727" s="1341">
        <f t="shared" si="4"/>
        <v>0</v>
      </c>
      <c r="I727" s="1341">
        <f t="shared" si="5"/>
        <v>0</v>
      </c>
      <c r="J727" s="1341">
        <f t="shared" si="5"/>
        <v>0</v>
      </c>
      <c r="K727" s="1341">
        <f>IF(COUNT($H727:J727)&gt;'RFM input'!$V$7,0, J727+J779+J831)</f>
        <v>0</v>
      </c>
      <c r="L727" s="1341">
        <f>IF(COUNT($H727:K727)&gt;'RFM input'!$V$7,0, K727+K779+K831)</f>
        <v>0</v>
      </c>
      <c r="M727" s="1341">
        <f>IF(COUNT($H727:L727)&gt;'RFM input'!$V$7,0, L727+L779+L831)</f>
        <v>0</v>
      </c>
      <c r="N727" s="1341">
        <f>IF(COUNT($H727:M727)&gt;'RFM input'!$V$7,0, M727+M779+M831)</f>
        <v>0</v>
      </c>
      <c r="O727" s="1341">
        <f>IF(COUNT($H727:N727)&gt;'RFM input'!$V$7,0, N727+N779+N831)</f>
        <v>0</v>
      </c>
      <c r="P727" s="1341">
        <f>IF(COUNT($H727:O727)&gt;'RFM input'!$V$7,0, O727+O779+O831)</f>
        <v>0</v>
      </c>
      <c r="Q727" s="1341">
        <f>IF(COUNT($H727:P727)&gt;'RFM input'!$V$7,0, P727+P779+P831)</f>
        <v>0</v>
      </c>
      <c r="R727" s="1341">
        <f>IF(COUNT($H727:Q727)&gt;'RFM input'!$V$7,0, Q727+Q779+Q831)</f>
        <v>0</v>
      </c>
      <c r="S727" s="71"/>
      <c r="T727" s="71"/>
      <c r="U727" s="71"/>
      <c r="V727" s="71"/>
      <c r="W727" s="71"/>
      <c r="X727" s="71"/>
      <c r="Y727" s="71"/>
      <c r="Z727" s="71"/>
    </row>
    <row r="728" spans="1:26" ht="12.75" hidden="1" customHeight="1" outlineLevel="1">
      <c r="A728" s="3"/>
      <c r="B728" s="3"/>
      <c r="C728" s="29"/>
      <c r="D728" s="133">
        <f>Asset11</f>
        <v>0</v>
      </c>
      <c r="E728" s="3"/>
      <c r="F728" s="3"/>
      <c r="G728" s="1393">
        <f>'RFM input'!I17</f>
        <v>0</v>
      </c>
      <c r="H728" s="1341">
        <f t="shared" si="4"/>
        <v>0</v>
      </c>
      <c r="I728" s="1341">
        <f t="shared" ref="I728:J737" si="6">H728+H780+H832</f>
        <v>0</v>
      </c>
      <c r="J728" s="1341">
        <f t="shared" si="6"/>
        <v>0</v>
      </c>
      <c r="K728" s="1341">
        <f>IF(COUNT($H728:J728)&gt;'RFM input'!$V$7,0, J728+J780+J832)</f>
        <v>0</v>
      </c>
      <c r="L728" s="1341">
        <f>IF(COUNT($H728:K728)&gt;'RFM input'!$V$7,0, K728+K780+K832)</f>
        <v>0</v>
      </c>
      <c r="M728" s="1341">
        <f>IF(COUNT($H728:L728)&gt;'RFM input'!$V$7,0, L728+L780+L832)</f>
        <v>0</v>
      </c>
      <c r="N728" s="1341">
        <f>IF(COUNT($H728:M728)&gt;'RFM input'!$V$7,0, M728+M780+M832)</f>
        <v>0</v>
      </c>
      <c r="O728" s="1341">
        <f>IF(COUNT($H728:N728)&gt;'RFM input'!$V$7,0, N728+N780+N832)</f>
        <v>0</v>
      </c>
      <c r="P728" s="1341">
        <f>IF(COUNT($H728:O728)&gt;'RFM input'!$V$7,0, O728+O780+O832)</f>
        <v>0</v>
      </c>
      <c r="Q728" s="1341">
        <f>IF(COUNT($H728:P728)&gt;'RFM input'!$V$7,0, P728+P780+P832)</f>
        <v>0</v>
      </c>
      <c r="R728" s="1341">
        <f>IF(COUNT($H728:Q728)&gt;'RFM input'!$V$7,0, Q728+Q780+Q832)</f>
        <v>0</v>
      </c>
      <c r="S728" s="71"/>
      <c r="T728" s="71"/>
      <c r="U728" s="71"/>
      <c r="V728" s="71"/>
      <c r="W728" s="71"/>
      <c r="X728" s="71"/>
      <c r="Y728" s="71"/>
      <c r="Z728" s="71"/>
    </row>
    <row r="729" spans="1:26" ht="12.75" hidden="1" customHeight="1" outlineLevel="1">
      <c r="A729" s="3"/>
      <c r="B729" s="3"/>
      <c r="C729" s="29"/>
      <c r="D729" s="133">
        <f>Asset12</f>
        <v>0</v>
      </c>
      <c r="E729" s="3"/>
      <c r="F729" s="3"/>
      <c r="G729" s="1393">
        <f>'RFM input'!I18</f>
        <v>0</v>
      </c>
      <c r="H729" s="1341">
        <f t="shared" si="4"/>
        <v>0</v>
      </c>
      <c r="I729" s="1341">
        <f t="shared" si="6"/>
        <v>0</v>
      </c>
      <c r="J729" s="1341">
        <f t="shared" si="6"/>
        <v>0</v>
      </c>
      <c r="K729" s="1341">
        <f>IF(COUNT($H729:J729)&gt;'RFM input'!$V$7,0, J729+J781+J833)</f>
        <v>0</v>
      </c>
      <c r="L729" s="1341">
        <f>IF(COUNT($H729:K729)&gt;'RFM input'!$V$7,0, K729+K781+K833)</f>
        <v>0</v>
      </c>
      <c r="M729" s="1341">
        <f>IF(COUNT($H729:L729)&gt;'RFM input'!$V$7,0, L729+L781+L833)</f>
        <v>0</v>
      </c>
      <c r="N729" s="1341">
        <f>IF(COUNT($H729:M729)&gt;'RFM input'!$V$7,0, M729+M781+M833)</f>
        <v>0</v>
      </c>
      <c r="O729" s="1341">
        <f>IF(COUNT($H729:N729)&gt;'RFM input'!$V$7,0, N729+N781+N833)</f>
        <v>0</v>
      </c>
      <c r="P729" s="1341">
        <f>IF(COUNT($H729:O729)&gt;'RFM input'!$V$7,0, O729+O781+O833)</f>
        <v>0</v>
      </c>
      <c r="Q729" s="1341">
        <f>IF(COUNT($H729:P729)&gt;'RFM input'!$V$7,0, P729+P781+P833)</f>
        <v>0</v>
      </c>
      <c r="R729" s="1341">
        <f>IF(COUNT($H729:Q729)&gt;'RFM input'!$V$7,0, Q729+Q781+Q833)</f>
        <v>0</v>
      </c>
      <c r="S729" s="71"/>
      <c r="T729" s="71"/>
      <c r="U729" s="71"/>
      <c r="V729" s="71"/>
      <c r="W729" s="71"/>
      <c r="X729" s="71"/>
      <c r="Y729" s="71"/>
      <c r="Z729" s="71"/>
    </row>
    <row r="730" spans="1:26" ht="12.75" hidden="1" customHeight="1" outlineLevel="1">
      <c r="A730" s="3"/>
      <c r="B730" s="3"/>
      <c r="C730" s="29"/>
      <c r="D730" s="133">
        <f>Asset13</f>
        <v>0</v>
      </c>
      <c r="E730" s="3"/>
      <c r="F730" s="3"/>
      <c r="G730" s="1393">
        <f>'RFM input'!I19</f>
        <v>0</v>
      </c>
      <c r="H730" s="1341">
        <f t="shared" si="4"/>
        <v>0</v>
      </c>
      <c r="I730" s="1341">
        <f t="shared" si="6"/>
        <v>0</v>
      </c>
      <c r="J730" s="1341">
        <f t="shared" si="6"/>
        <v>0</v>
      </c>
      <c r="K730" s="1341">
        <f>IF(COUNT($H730:J730)&gt;'RFM input'!$V$7,0, J730+J782+J834)</f>
        <v>0</v>
      </c>
      <c r="L730" s="1341">
        <f>IF(COUNT($H730:K730)&gt;'RFM input'!$V$7,0, K730+K782+K834)</f>
        <v>0</v>
      </c>
      <c r="M730" s="1341">
        <f>IF(COUNT($H730:L730)&gt;'RFM input'!$V$7,0, L730+L782+L834)</f>
        <v>0</v>
      </c>
      <c r="N730" s="1341">
        <f>IF(COUNT($H730:M730)&gt;'RFM input'!$V$7,0, M730+M782+M834)</f>
        <v>0</v>
      </c>
      <c r="O730" s="1341">
        <f>IF(COUNT($H730:N730)&gt;'RFM input'!$V$7,0, N730+N782+N834)</f>
        <v>0</v>
      </c>
      <c r="P730" s="1341">
        <f>IF(COUNT($H730:O730)&gt;'RFM input'!$V$7,0, O730+O782+O834)</f>
        <v>0</v>
      </c>
      <c r="Q730" s="1341">
        <f>IF(COUNT($H730:P730)&gt;'RFM input'!$V$7,0, P730+P782+P834)</f>
        <v>0</v>
      </c>
      <c r="R730" s="1341">
        <f>IF(COUNT($H730:Q730)&gt;'RFM input'!$V$7,0, Q730+Q782+Q834)</f>
        <v>0</v>
      </c>
      <c r="S730" s="71"/>
      <c r="T730" s="71"/>
      <c r="U730" s="71"/>
      <c r="V730" s="71"/>
      <c r="W730" s="71"/>
      <c r="X730" s="71"/>
      <c r="Y730" s="71"/>
      <c r="Z730" s="71"/>
    </row>
    <row r="731" spans="1:26" ht="12.75" hidden="1" customHeight="1" outlineLevel="1">
      <c r="A731" s="3"/>
      <c r="B731" s="3"/>
      <c r="C731" s="29"/>
      <c r="D731" s="133">
        <f>Asset14</f>
        <v>0</v>
      </c>
      <c r="E731" s="3"/>
      <c r="F731" s="3"/>
      <c r="G731" s="1393">
        <f>'RFM input'!I20</f>
        <v>0</v>
      </c>
      <c r="H731" s="1341">
        <f t="shared" si="4"/>
        <v>0</v>
      </c>
      <c r="I731" s="1341">
        <f t="shared" si="6"/>
        <v>0</v>
      </c>
      <c r="J731" s="1341">
        <f t="shared" si="6"/>
        <v>0</v>
      </c>
      <c r="K731" s="1341">
        <f>IF(COUNT($H731:J731)&gt;'RFM input'!$V$7,0, J731+J783+J835)</f>
        <v>0</v>
      </c>
      <c r="L731" s="1341">
        <f>IF(COUNT($H731:K731)&gt;'RFM input'!$V$7,0, K731+K783+K835)</f>
        <v>0</v>
      </c>
      <c r="M731" s="1341">
        <f>IF(COUNT($H731:L731)&gt;'RFM input'!$V$7,0, L731+L783+L835)</f>
        <v>0</v>
      </c>
      <c r="N731" s="1341">
        <f>IF(COUNT($H731:M731)&gt;'RFM input'!$V$7,0, M731+M783+M835)</f>
        <v>0</v>
      </c>
      <c r="O731" s="1341">
        <f>IF(COUNT($H731:N731)&gt;'RFM input'!$V$7,0, N731+N783+N835)</f>
        <v>0</v>
      </c>
      <c r="P731" s="1341">
        <f>IF(COUNT($H731:O731)&gt;'RFM input'!$V$7,0, O731+O783+O835)</f>
        <v>0</v>
      </c>
      <c r="Q731" s="1341">
        <f>IF(COUNT($H731:P731)&gt;'RFM input'!$V$7,0, P731+P783+P835)</f>
        <v>0</v>
      </c>
      <c r="R731" s="1341">
        <f>IF(COUNT($H731:Q731)&gt;'RFM input'!$V$7,0, Q731+Q783+Q835)</f>
        <v>0</v>
      </c>
      <c r="S731" s="71"/>
      <c r="T731" s="71"/>
      <c r="U731" s="71"/>
      <c r="V731" s="71"/>
      <c r="W731" s="71"/>
      <c r="X731" s="71"/>
      <c r="Y731" s="71"/>
      <c r="Z731" s="71"/>
    </row>
    <row r="732" spans="1:26" ht="12.75" hidden="1" customHeight="1" outlineLevel="1">
      <c r="A732" s="3"/>
      <c r="B732" s="3"/>
      <c r="C732" s="29"/>
      <c r="D732" s="133">
        <f>Asset15</f>
        <v>0</v>
      </c>
      <c r="E732" s="3"/>
      <c r="F732" s="3"/>
      <c r="G732" s="1393">
        <f>'RFM input'!I21</f>
        <v>0</v>
      </c>
      <c r="H732" s="1341">
        <f t="shared" si="4"/>
        <v>0</v>
      </c>
      <c r="I732" s="1341">
        <f t="shared" si="6"/>
        <v>0</v>
      </c>
      <c r="J732" s="1341">
        <f t="shared" si="6"/>
        <v>0</v>
      </c>
      <c r="K732" s="1341">
        <f>IF(COUNT($H732:J732)&gt;'RFM input'!$V$7,0, J732+J784+J836)</f>
        <v>0</v>
      </c>
      <c r="L732" s="1341">
        <f>IF(COUNT($H732:K732)&gt;'RFM input'!$V$7,0, K732+K784+K836)</f>
        <v>0</v>
      </c>
      <c r="M732" s="1341">
        <f>IF(COUNT($H732:L732)&gt;'RFM input'!$V$7,0, L732+L784+L836)</f>
        <v>0</v>
      </c>
      <c r="N732" s="1341">
        <f>IF(COUNT($H732:M732)&gt;'RFM input'!$V$7,0, M732+M784+M836)</f>
        <v>0</v>
      </c>
      <c r="O732" s="1341">
        <f>IF(COUNT($H732:N732)&gt;'RFM input'!$V$7,0, N732+N784+N836)</f>
        <v>0</v>
      </c>
      <c r="P732" s="1341">
        <f>IF(COUNT($H732:O732)&gt;'RFM input'!$V$7,0, O732+O784+O836)</f>
        <v>0</v>
      </c>
      <c r="Q732" s="1341">
        <f>IF(COUNT($H732:P732)&gt;'RFM input'!$V$7,0, P732+P784+P836)</f>
        <v>0</v>
      </c>
      <c r="R732" s="1341">
        <f>IF(COUNT($H732:Q732)&gt;'RFM input'!$V$7,0, Q732+Q784+Q836)</f>
        <v>0</v>
      </c>
      <c r="S732" s="71"/>
      <c r="T732" s="71"/>
      <c r="U732" s="71"/>
      <c r="V732" s="71"/>
      <c r="W732" s="71"/>
      <c r="X732" s="71"/>
      <c r="Y732" s="71"/>
      <c r="Z732" s="71"/>
    </row>
    <row r="733" spans="1:26" ht="12.75" hidden="1" customHeight="1" outlineLevel="1">
      <c r="A733" s="3"/>
      <c r="B733" s="3"/>
      <c r="C733" s="29"/>
      <c r="D733" s="133">
        <f>Asset16</f>
        <v>0</v>
      </c>
      <c r="E733" s="3"/>
      <c r="F733" s="3"/>
      <c r="G733" s="1393">
        <f>'RFM input'!I22</f>
        <v>0</v>
      </c>
      <c r="H733" s="1341">
        <f t="shared" si="4"/>
        <v>0</v>
      </c>
      <c r="I733" s="1341">
        <f t="shared" si="6"/>
        <v>0</v>
      </c>
      <c r="J733" s="1341">
        <f t="shared" si="6"/>
        <v>0</v>
      </c>
      <c r="K733" s="1341">
        <f>IF(COUNT($H733:J733)&gt;'RFM input'!$V$7,0, J733+J785+J837)</f>
        <v>0</v>
      </c>
      <c r="L733" s="1341">
        <f>IF(COUNT($H733:K733)&gt;'RFM input'!$V$7,0, K733+K785+K837)</f>
        <v>0</v>
      </c>
      <c r="M733" s="1341">
        <f>IF(COUNT($H733:L733)&gt;'RFM input'!$V$7,0, L733+L785+L837)</f>
        <v>0</v>
      </c>
      <c r="N733" s="1341">
        <f>IF(COUNT($H733:M733)&gt;'RFM input'!$V$7,0, M733+M785+M837)</f>
        <v>0</v>
      </c>
      <c r="O733" s="1341">
        <f>IF(COUNT($H733:N733)&gt;'RFM input'!$V$7,0, N733+N785+N837)</f>
        <v>0</v>
      </c>
      <c r="P733" s="1341">
        <f>IF(COUNT($H733:O733)&gt;'RFM input'!$V$7,0, O733+O785+O837)</f>
        <v>0</v>
      </c>
      <c r="Q733" s="1341">
        <f>IF(COUNT($H733:P733)&gt;'RFM input'!$V$7,0, P733+P785+P837)</f>
        <v>0</v>
      </c>
      <c r="R733" s="1341">
        <f>IF(COUNT($H733:Q733)&gt;'RFM input'!$V$7,0, Q733+Q785+Q837)</f>
        <v>0</v>
      </c>
      <c r="S733" s="71"/>
      <c r="T733" s="71"/>
      <c r="U733" s="71"/>
      <c r="V733" s="71"/>
      <c r="W733" s="71"/>
      <c r="X733" s="71"/>
      <c r="Y733" s="71"/>
      <c r="Z733" s="71"/>
    </row>
    <row r="734" spans="1:26" ht="12.75" hidden="1" customHeight="1" outlineLevel="1">
      <c r="A734" s="3"/>
      <c r="B734" s="3"/>
      <c r="C734" s="29"/>
      <c r="D734" s="133">
        <f>Asset17</f>
        <v>0</v>
      </c>
      <c r="E734" s="3"/>
      <c r="F734" s="3"/>
      <c r="G734" s="1393">
        <f>'RFM input'!I23</f>
        <v>0</v>
      </c>
      <c r="H734" s="1341">
        <f t="shared" si="4"/>
        <v>0</v>
      </c>
      <c r="I734" s="1341">
        <f t="shared" si="6"/>
        <v>0</v>
      </c>
      <c r="J734" s="1341">
        <f t="shared" si="6"/>
        <v>0</v>
      </c>
      <c r="K734" s="1341">
        <f>IF(COUNT($H734:J734)&gt;'RFM input'!$V$7,0, J734+J786+J838)</f>
        <v>0</v>
      </c>
      <c r="L734" s="1341">
        <f>IF(COUNT($H734:K734)&gt;'RFM input'!$V$7,0, K734+K786+K838)</f>
        <v>0</v>
      </c>
      <c r="M734" s="1341">
        <f>IF(COUNT($H734:L734)&gt;'RFM input'!$V$7,0, L734+L786+L838)</f>
        <v>0</v>
      </c>
      <c r="N734" s="1341">
        <f>IF(COUNT($H734:M734)&gt;'RFM input'!$V$7,0, M734+M786+M838)</f>
        <v>0</v>
      </c>
      <c r="O734" s="1341">
        <f>IF(COUNT($H734:N734)&gt;'RFM input'!$V$7,0, N734+N786+N838)</f>
        <v>0</v>
      </c>
      <c r="P734" s="1341">
        <f>IF(COUNT($H734:O734)&gt;'RFM input'!$V$7,0, O734+O786+O838)</f>
        <v>0</v>
      </c>
      <c r="Q734" s="1341">
        <f>IF(COUNT($H734:P734)&gt;'RFM input'!$V$7,0, P734+P786+P838)</f>
        <v>0</v>
      </c>
      <c r="R734" s="1341">
        <f>IF(COUNT($H734:Q734)&gt;'RFM input'!$V$7,0, Q734+Q786+Q838)</f>
        <v>0</v>
      </c>
      <c r="S734" s="71"/>
      <c r="T734" s="71"/>
      <c r="U734" s="71"/>
      <c r="V734" s="71"/>
      <c r="W734" s="71"/>
      <c r="X734" s="71"/>
      <c r="Y734" s="71"/>
      <c r="Z734" s="71"/>
    </row>
    <row r="735" spans="1:26" ht="12.75" hidden="1" customHeight="1" outlineLevel="1">
      <c r="A735" s="3"/>
      <c r="B735" s="3"/>
      <c r="C735" s="29"/>
      <c r="D735" s="133">
        <f>Asset18</f>
        <v>0</v>
      </c>
      <c r="E735" s="3"/>
      <c r="F735" s="3"/>
      <c r="G735" s="1393">
        <f>'RFM input'!I24</f>
        <v>0</v>
      </c>
      <c r="H735" s="1341">
        <f t="shared" si="4"/>
        <v>0</v>
      </c>
      <c r="I735" s="1341">
        <f t="shared" si="6"/>
        <v>0</v>
      </c>
      <c r="J735" s="1341">
        <f t="shared" si="6"/>
        <v>0</v>
      </c>
      <c r="K735" s="1341">
        <f>IF(COUNT($H735:J735)&gt;'RFM input'!$V$7,0, J735+J787+J839)</f>
        <v>0</v>
      </c>
      <c r="L735" s="1341">
        <f>IF(COUNT($H735:K735)&gt;'RFM input'!$V$7,0, K735+K787+K839)</f>
        <v>0</v>
      </c>
      <c r="M735" s="1341">
        <f>IF(COUNT($H735:L735)&gt;'RFM input'!$V$7,0, L735+L787+L839)</f>
        <v>0</v>
      </c>
      <c r="N735" s="1341">
        <f>IF(COUNT($H735:M735)&gt;'RFM input'!$V$7,0, M735+M787+M839)</f>
        <v>0</v>
      </c>
      <c r="O735" s="1341">
        <f>IF(COUNT($H735:N735)&gt;'RFM input'!$V$7,0, N735+N787+N839)</f>
        <v>0</v>
      </c>
      <c r="P735" s="1341">
        <f>IF(COUNT($H735:O735)&gt;'RFM input'!$V$7,0, O735+O787+O839)</f>
        <v>0</v>
      </c>
      <c r="Q735" s="1341">
        <f>IF(COUNT($H735:P735)&gt;'RFM input'!$V$7,0, P735+P787+P839)</f>
        <v>0</v>
      </c>
      <c r="R735" s="1341">
        <f>IF(COUNT($H735:Q735)&gt;'RFM input'!$V$7,0, Q735+Q787+Q839)</f>
        <v>0</v>
      </c>
      <c r="S735" s="71"/>
      <c r="T735" s="71"/>
      <c r="U735" s="71"/>
      <c r="V735" s="71"/>
      <c r="W735" s="71"/>
      <c r="X735" s="71"/>
      <c r="Y735" s="71"/>
      <c r="Z735" s="71"/>
    </row>
    <row r="736" spans="1:26" ht="12.75" hidden="1" customHeight="1" outlineLevel="1">
      <c r="A736" s="3"/>
      <c r="B736" s="3"/>
      <c r="C736" s="29"/>
      <c r="D736" s="133">
        <f>Asset19</f>
        <v>0</v>
      </c>
      <c r="E736" s="3"/>
      <c r="F736" s="3"/>
      <c r="G736" s="1393">
        <f>'RFM input'!I25</f>
        <v>0</v>
      </c>
      <c r="H736" s="1341">
        <f t="shared" si="4"/>
        <v>0</v>
      </c>
      <c r="I736" s="1341">
        <f t="shared" si="6"/>
        <v>0</v>
      </c>
      <c r="J736" s="1341">
        <f t="shared" si="6"/>
        <v>0</v>
      </c>
      <c r="K736" s="1341">
        <f>IF(COUNT($H736:J736)&gt;'RFM input'!$V$7,0, J736+J788+J840)</f>
        <v>0</v>
      </c>
      <c r="L736" s="1341">
        <f>IF(COUNT($H736:K736)&gt;'RFM input'!$V$7,0, K736+K788+K840)</f>
        <v>0</v>
      </c>
      <c r="M736" s="1341">
        <f>IF(COUNT($H736:L736)&gt;'RFM input'!$V$7,0, L736+L788+L840)</f>
        <v>0</v>
      </c>
      <c r="N736" s="1341">
        <f>IF(COUNT($H736:M736)&gt;'RFM input'!$V$7,0, M736+M788+M840)</f>
        <v>0</v>
      </c>
      <c r="O736" s="1341">
        <f>IF(COUNT($H736:N736)&gt;'RFM input'!$V$7,0, N736+N788+N840)</f>
        <v>0</v>
      </c>
      <c r="P736" s="1341">
        <f>IF(COUNT($H736:O736)&gt;'RFM input'!$V$7,0, O736+O788+O840)</f>
        <v>0</v>
      </c>
      <c r="Q736" s="1341">
        <f>IF(COUNT($H736:P736)&gt;'RFM input'!$V$7,0, P736+P788+P840)</f>
        <v>0</v>
      </c>
      <c r="R736" s="1341">
        <f>IF(COUNT($H736:Q736)&gt;'RFM input'!$V$7,0, Q736+Q788+Q840)</f>
        <v>0</v>
      </c>
      <c r="S736" s="71"/>
      <c r="T736" s="71"/>
      <c r="U736" s="71"/>
      <c r="V736" s="71"/>
      <c r="W736" s="71"/>
      <c r="X736" s="71"/>
      <c r="Y736" s="71"/>
      <c r="Z736" s="71"/>
    </row>
    <row r="737" spans="1:26" ht="12.75" hidden="1" customHeight="1" outlineLevel="1">
      <c r="A737" s="3"/>
      <c r="B737" s="3"/>
      <c r="C737" s="29"/>
      <c r="D737" s="133">
        <f>Asset20</f>
        <v>0</v>
      </c>
      <c r="E737" s="3"/>
      <c r="F737" s="3"/>
      <c r="G737" s="1393">
        <f>'RFM input'!I26</f>
        <v>0</v>
      </c>
      <c r="H737" s="1341">
        <f t="shared" si="4"/>
        <v>0</v>
      </c>
      <c r="I737" s="1341">
        <f t="shared" si="6"/>
        <v>0</v>
      </c>
      <c r="J737" s="1341">
        <f t="shared" si="6"/>
        <v>0</v>
      </c>
      <c r="K737" s="1341">
        <f>IF(COUNT($H737:J737)&gt;'RFM input'!$V$7,0, J737+J789+J841)</f>
        <v>0</v>
      </c>
      <c r="L737" s="1341">
        <f>IF(COUNT($H737:K737)&gt;'RFM input'!$V$7,0, K737+K789+K841)</f>
        <v>0</v>
      </c>
      <c r="M737" s="1341">
        <f>IF(COUNT($H737:L737)&gt;'RFM input'!$V$7,0, L737+L789+L841)</f>
        <v>0</v>
      </c>
      <c r="N737" s="1341">
        <f>IF(COUNT($H737:M737)&gt;'RFM input'!$V$7,0, M737+M789+M841)</f>
        <v>0</v>
      </c>
      <c r="O737" s="1341">
        <f>IF(COUNT($H737:N737)&gt;'RFM input'!$V$7,0, N737+N789+N841)</f>
        <v>0</v>
      </c>
      <c r="P737" s="1341">
        <f>IF(COUNT($H737:O737)&gt;'RFM input'!$V$7,0, O737+O789+O841)</f>
        <v>0</v>
      </c>
      <c r="Q737" s="1341">
        <f>IF(COUNT($H737:P737)&gt;'RFM input'!$V$7,0, P737+P789+P841)</f>
        <v>0</v>
      </c>
      <c r="R737" s="1341">
        <f>IF(COUNT($H737:Q737)&gt;'RFM input'!$V$7,0, Q737+Q789+Q841)</f>
        <v>0</v>
      </c>
      <c r="S737" s="71"/>
      <c r="T737" s="71"/>
      <c r="U737" s="71"/>
      <c r="V737" s="71"/>
      <c r="W737" s="71"/>
      <c r="X737" s="71"/>
      <c r="Y737" s="71"/>
      <c r="Z737" s="71"/>
    </row>
    <row r="738" spans="1:26" ht="12.75" hidden="1" customHeight="1" outlineLevel="1">
      <c r="A738" s="3"/>
      <c r="B738" s="3"/>
      <c r="C738" s="29"/>
      <c r="D738" s="133">
        <f>Asset21</f>
        <v>0</v>
      </c>
      <c r="E738" s="3"/>
      <c r="F738" s="3"/>
      <c r="G738" s="1393">
        <f>'RFM input'!I27</f>
        <v>0</v>
      </c>
      <c r="H738" s="1341">
        <f t="shared" si="4"/>
        <v>0</v>
      </c>
      <c r="I738" s="1341">
        <f t="shared" ref="I738:J747" si="7">H738+H790+H842</f>
        <v>0</v>
      </c>
      <c r="J738" s="1341">
        <f t="shared" si="7"/>
        <v>0</v>
      </c>
      <c r="K738" s="1341">
        <f>IF(COUNT($H738:J738)&gt;'RFM input'!$V$7,0, J738+J790+J842)</f>
        <v>0</v>
      </c>
      <c r="L738" s="1341">
        <f>IF(COUNT($H738:K738)&gt;'RFM input'!$V$7,0, K738+K790+K842)</f>
        <v>0</v>
      </c>
      <c r="M738" s="1341">
        <f>IF(COUNT($H738:L738)&gt;'RFM input'!$V$7,0, L738+L790+L842)</f>
        <v>0</v>
      </c>
      <c r="N738" s="1341">
        <f>IF(COUNT($H738:M738)&gt;'RFM input'!$V$7,0, M738+M790+M842)</f>
        <v>0</v>
      </c>
      <c r="O738" s="1341">
        <f>IF(COUNT($H738:N738)&gt;'RFM input'!$V$7,0, N738+N790+N842)</f>
        <v>0</v>
      </c>
      <c r="P738" s="1341">
        <f>IF(COUNT($H738:O738)&gt;'RFM input'!$V$7,0, O738+O790+O842)</f>
        <v>0</v>
      </c>
      <c r="Q738" s="1341">
        <f>IF(COUNT($H738:P738)&gt;'RFM input'!$V$7,0, P738+P790+P842)</f>
        <v>0</v>
      </c>
      <c r="R738" s="1341">
        <f>IF(COUNT($H738:Q738)&gt;'RFM input'!$V$7,0, Q738+Q790+Q842)</f>
        <v>0</v>
      </c>
      <c r="S738" s="71"/>
      <c r="T738" s="71"/>
      <c r="U738" s="71"/>
      <c r="V738" s="71"/>
      <c r="W738" s="71"/>
      <c r="X738" s="71"/>
      <c r="Y738" s="71"/>
      <c r="Z738" s="71"/>
    </row>
    <row r="739" spans="1:26" ht="12.75" hidden="1" customHeight="1" outlineLevel="1">
      <c r="A739" s="3"/>
      <c r="B739" s="3"/>
      <c r="C739" s="29"/>
      <c r="D739" s="133">
        <f>Asset22</f>
        <v>0</v>
      </c>
      <c r="E739" s="3"/>
      <c r="F739" s="3"/>
      <c r="G739" s="1393">
        <f>'RFM input'!I28</f>
        <v>0</v>
      </c>
      <c r="H739" s="1341">
        <f t="shared" si="4"/>
        <v>0</v>
      </c>
      <c r="I739" s="1341">
        <f t="shared" si="7"/>
        <v>0</v>
      </c>
      <c r="J739" s="1341">
        <f t="shared" si="7"/>
        <v>0</v>
      </c>
      <c r="K739" s="1341">
        <f>IF(COUNT($H739:J739)&gt;'RFM input'!$V$7,0, J739+J791+J843)</f>
        <v>0</v>
      </c>
      <c r="L739" s="1341">
        <f>IF(COUNT($H739:K739)&gt;'RFM input'!$V$7,0, K739+K791+K843)</f>
        <v>0</v>
      </c>
      <c r="M739" s="1341">
        <f>IF(COUNT($H739:L739)&gt;'RFM input'!$V$7,0, L739+L791+L843)</f>
        <v>0</v>
      </c>
      <c r="N739" s="1341">
        <f>IF(COUNT($H739:M739)&gt;'RFM input'!$V$7,0, M739+M791+M843)</f>
        <v>0</v>
      </c>
      <c r="O739" s="1341">
        <f>IF(COUNT($H739:N739)&gt;'RFM input'!$V$7,0, N739+N791+N843)</f>
        <v>0</v>
      </c>
      <c r="P739" s="1341">
        <f>IF(COUNT($H739:O739)&gt;'RFM input'!$V$7,0, O739+O791+O843)</f>
        <v>0</v>
      </c>
      <c r="Q739" s="1341">
        <f>IF(COUNT($H739:P739)&gt;'RFM input'!$V$7,0, P739+P791+P843)</f>
        <v>0</v>
      </c>
      <c r="R739" s="1341">
        <f>IF(COUNT($H739:Q739)&gt;'RFM input'!$V$7,0, Q739+Q791+Q843)</f>
        <v>0</v>
      </c>
      <c r="S739" s="71"/>
      <c r="T739" s="71"/>
      <c r="U739" s="71"/>
      <c r="V739" s="71"/>
      <c r="W739" s="71"/>
      <c r="X739" s="71"/>
      <c r="Y739" s="71"/>
      <c r="Z739" s="71"/>
    </row>
    <row r="740" spans="1:26" ht="12.75" hidden="1" customHeight="1" outlineLevel="1">
      <c r="A740" s="3"/>
      <c r="B740" s="3"/>
      <c r="C740" s="29"/>
      <c r="D740" s="133">
        <f>Asset23</f>
        <v>0</v>
      </c>
      <c r="E740" s="3"/>
      <c r="F740" s="3"/>
      <c r="G740" s="1393">
        <f>'RFM input'!I29</f>
        <v>0</v>
      </c>
      <c r="H740" s="1341">
        <f t="shared" si="4"/>
        <v>0</v>
      </c>
      <c r="I740" s="1341">
        <f t="shared" si="7"/>
        <v>0</v>
      </c>
      <c r="J740" s="1341">
        <f t="shared" si="7"/>
        <v>0</v>
      </c>
      <c r="K740" s="1341">
        <f>IF(COUNT($H740:J740)&gt;'RFM input'!$V$7,0, J740+J792+J844)</f>
        <v>0</v>
      </c>
      <c r="L740" s="1341">
        <f>IF(COUNT($H740:K740)&gt;'RFM input'!$V$7,0, K740+K792+K844)</f>
        <v>0</v>
      </c>
      <c r="M740" s="1341">
        <f>IF(COUNT($H740:L740)&gt;'RFM input'!$V$7,0, L740+L792+L844)</f>
        <v>0</v>
      </c>
      <c r="N740" s="1341">
        <f>IF(COUNT($H740:M740)&gt;'RFM input'!$V$7,0, M740+M792+M844)</f>
        <v>0</v>
      </c>
      <c r="O740" s="1341">
        <f>IF(COUNT($H740:N740)&gt;'RFM input'!$V$7,0, N740+N792+N844)</f>
        <v>0</v>
      </c>
      <c r="P740" s="1341">
        <f>IF(COUNT($H740:O740)&gt;'RFM input'!$V$7,0, O740+O792+O844)</f>
        <v>0</v>
      </c>
      <c r="Q740" s="1341">
        <f>IF(COUNT($H740:P740)&gt;'RFM input'!$V$7,0, P740+P792+P844)</f>
        <v>0</v>
      </c>
      <c r="R740" s="1341">
        <f>IF(COUNT($H740:Q740)&gt;'RFM input'!$V$7,0, Q740+Q792+Q844)</f>
        <v>0</v>
      </c>
      <c r="S740" s="71"/>
      <c r="T740" s="71"/>
      <c r="U740" s="71"/>
      <c r="V740" s="71"/>
      <c r="W740" s="71"/>
      <c r="X740" s="71"/>
      <c r="Y740" s="71"/>
      <c r="Z740" s="71"/>
    </row>
    <row r="741" spans="1:26" ht="12.75" hidden="1" customHeight="1" outlineLevel="1">
      <c r="A741" s="3"/>
      <c r="B741" s="3"/>
      <c r="C741" s="29"/>
      <c r="D741" s="133">
        <f>Asset24</f>
        <v>0</v>
      </c>
      <c r="E741" s="3"/>
      <c r="F741" s="3"/>
      <c r="G741" s="1393">
        <f>'RFM input'!I30</f>
        <v>0</v>
      </c>
      <c r="H741" s="1341">
        <f t="shared" si="4"/>
        <v>0</v>
      </c>
      <c r="I741" s="1341">
        <f t="shared" si="7"/>
        <v>0</v>
      </c>
      <c r="J741" s="1341">
        <f t="shared" si="7"/>
        <v>0</v>
      </c>
      <c r="K741" s="1341">
        <f>IF(COUNT($H741:J741)&gt;'RFM input'!$V$7,0, J741+J793+J845)</f>
        <v>0</v>
      </c>
      <c r="L741" s="1341">
        <f>IF(COUNT($H741:K741)&gt;'RFM input'!$V$7,0, K741+K793+K845)</f>
        <v>0</v>
      </c>
      <c r="M741" s="1341">
        <f>IF(COUNT($H741:L741)&gt;'RFM input'!$V$7,0, L741+L793+L845)</f>
        <v>0</v>
      </c>
      <c r="N741" s="1341">
        <f>IF(COUNT($H741:M741)&gt;'RFM input'!$V$7,0, M741+M793+M845)</f>
        <v>0</v>
      </c>
      <c r="O741" s="1341">
        <f>IF(COUNT($H741:N741)&gt;'RFM input'!$V$7,0, N741+N793+N845)</f>
        <v>0</v>
      </c>
      <c r="P741" s="1341">
        <f>IF(COUNT($H741:O741)&gt;'RFM input'!$V$7,0, O741+O793+O845)</f>
        <v>0</v>
      </c>
      <c r="Q741" s="1341">
        <f>IF(COUNT($H741:P741)&gt;'RFM input'!$V$7,0, P741+P793+P845)</f>
        <v>0</v>
      </c>
      <c r="R741" s="1341">
        <f>IF(COUNT($H741:Q741)&gt;'RFM input'!$V$7,0, Q741+Q793+Q845)</f>
        <v>0</v>
      </c>
      <c r="S741" s="71"/>
      <c r="T741" s="71"/>
      <c r="U741" s="71"/>
      <c r="V741" s="71"/>
      <c r="W741" s="71"/>
      <c r="X741" s="71"/>
      <c r="Y741" s="71"/>
      <c r="Z741" s="71"/>
    </row>
    <row r="742" spans="1:26" ht="12.75" hidden="1" customHeight="1" outlineLevel="1">
      <c r="A742" s="3"/>
      <c r="B742" s="3"/>
      <c r="C742" s="29"/>
      <c r="D742" s="133">
        <f>Asset25</f>
        <v>0</v>
      </c>
      <c r="E742" s="3"/>
      <c r="F742" s="3"/>
      <c r="G742" s="1393">
        <f>'RFM input'!I31</f>
        <v>0</v>
      </c>
      <c r="H742" s="1341">
        <f t="shared" si="4"/>
        <v>0</v>
      </c>
      <c r="I742" s="1341">
        <f t="shared" si="7"/>
        <v>0</v>
      </c>
      <c r="J742" s="1341">
        <f t="shared" si="7"/>
        <v>0</v>
      </c>
      <c r="K742" s="1341">
        <f>IF(COUNT($H742:J742)&gt;'RFM input'!$V$7,0, J742+J794+J846)</f>
        <v>0</v>
      </c>
      <c r="L742" s="1341">
        <f>IF(COUNT($H742:K742)&gt;'RFM input'!$V$7,0, K742+K794+K846)</f>
        <v>0</v>
      </c>
      <c r="M742" s="1341">
        <f>IF(COUNT($H742:L742)&gt;'RFM input'!$V$7,0, L742+L794+L846)</f>
        <v>0</v>
      </c>
      <c r="N742" s="1341">
        <f>IF(COUNT($H742:M742)&gt;'RFM input'!$V$7,0, M742+M794+M846)</f>
        <v>0</v>
      </c>
      <c r="O742" s="1341">
        <f>IF(COUNT($H742:N742)&gt;'RFM input'!$V$7,0, N742+N794+N846)</f>
        <v>0</v>
      </c>
      <c r="P742" s="1341">
        <f>IF(COUNT($H742:O742)&gt;'RFM input'!$V$7,0, O742+O794+O846)</f>
        <v>0</v>
      </c>
      <c r="Q742" s="1341">
        <f>IF(COUNT($H742:P742)&gt;'RFM input'!$V$7,0, P742+P794+P846)</f>
        <v>0</v>
      </c>
      <c r="R742" s="1341">
        <f>IF(COUNT($H742:Q742)&gt;'RFM input'!$V$7,0, Q742+Q794+Q846)</f>
        <v>0</v>
      </c>
      <c r="S742" s="71"/>
      <c r="T742" s="71"/>
      <c r="U742" s="71"/>
      <c r="V742" s="71"/>
      <c r="W742" s="71"/>
      <c r="X742" s="71"/>
      <c r="Y742" s="71"/>
      <c r="Z742" s="71"/>
    </row>
    <row r="743" spans="1:26" ht="12.75" hidden="1" customHeight="1" outlineLevel="1">
      <c r="A743" s="3"/>
      <c r="B743" s="3"/>
      <c r="C743" s="29"/>
      <c r="D743" s="133">
        <f>Asset26</f>
        <v>0</v>
      </c>
      <c r="E743" s="3"/>
      <c r="F743" s="3"/>
      <c r="G743" s="1393">
        <f>'RFM input'!I32</f>
        <v>0</v>
      </c>
      <c r="H743" s="1341">
        <f t="shared" si="4"/>
        <v>0</v>
      </c>
      <c r="I743" s="1341">
        <f t="shared" si="7"/>
        <v>0</v>
      </c>
      <c r="J743" s="1341">
        <f t="shared" si="7"/>
        <v>0</v>
      </c>
      <c r="K743" s="1341">
        <f>IF(COUNT($H743:J743)&gt;'RFM input'!$V$7,0, J743+J795+J847)</f>
        <v>0</v>
      </c>
      <c r="L743" s="1341">
        <f>IF(COUNT($H743:K743)&gt;'RFM input'!$V$7,0, K743+K795+K847)</f>
        <v>0</v>
      </c>
      <c r="M743" s="1341">
        <f>IF(COUNT($H743:L743)&gt;'RFM input'!$V$7,0, L743+L795+L847)</f>
        <v>0</v>
      </c>
      <c r="N743" s="1341">
        <f>IF(COUNT($H743:M743)&gt;'RFM input'!$V$7,0, M743+M795+M847)</f>
        <v>0</v>
      </c>
      <c r="O743" s="1341">
        <f>IF(COUNT($H743:N743)&gt;'RFM input'!$V$7,0, N743+N795+N847)</f>
        <v>0</v>
      </c>
      <c r="P743" s="1341">
        <f>IF(COUNT($H743:O743)&gt;'RFM input'!$V$7,0, O743+O795+O847)</f>
        <v>0</v>
      </c>
      <c r="Q743" s="1341">
        <f>IF(COUNT($H743:P743)&gt;'RFM input'!$V$7,0, P743+P795+P847)</f>
        <v>0</v>
      </c>
      <c r="R743" s="1341">
        <f>IF(COUNT($H743:Q743)&gt;'RFM input'!$V$7,0, Q743+Q795+Q847)</f>
        <v>0</v>
      </c>
      <c r="S743" s="71"/>
      <c r="T743" s="71"/>
      <c r="U743" s="71"/>
      <c r="V743" s="71"/>
      <c r="W743" s="71"/>
      <c r="X743" s="71"/>
      <c r="Y743" s="71"/>
      <c r="Z743" s="71"/>
    </row>
    <row r="744" spans="1:26" ht="12.75" hidden="1" customHeight="1" outlineLevel="1">
      <c r="A744" s="3"/>
      <c r="B744" s="3"/>
      <c r="C744" s="29"/>
      <c r="D744" s="133">
        <f>Asset27</f>
        <v>0</v>
      </c>
      <c r="E744" s="3"/>
      <c r="F744" s="3"/>
      <c r="G744" s="1393">
        <f>'RFM input'!I33</f>
        <v>0</v>
      </c>
      <c r="H744" s="1341">
        <f t="shared" si="4"/>
        <v>0</v>
      </c>
      <c r="I744" s="1341">
        <f t="shared" si="7"/>
        <v>0</v>
      </c>
      <c r="J744" s="1341">
        <f t="shared" si="7"/>
        <v>0</v>
      </c>
      <c r="K744" s="1341">
        <f>IF(COUNT($H744:J744)&gt;'RFM input'!$V$7,0, J744+J796+J848)</f>
        <v>0</v>
      </c>
      <c r="L744" s="1341">
        <f>IF(COUNT($H744:K744)&gt;'RFM input'!$V$7,0, K744+K796+K848)</f>
        <v>0</v>
      </c>
      <c r="M744" s="1341">
        <f>IF(COUNT($H744:L744)&gt;'RFM input'!$V$7,0, L744+L796+L848)</f>
        <v>0</v>
      </c>
      <c r="N744" s="1341">
        <f>IF(COUNT($H744:M744)&gt;'RFM input'!$V$7,0, M744+M796+M848)</f>
        <v>0</v>
      </c>
      <c r="O744" s="1341">
        <f>IF(COUNT($H744:N744)&gt;'RFM input'!$V$7,0, N744+N796+N848)</f>
        <v>0</v>
      </c>
      <c r="P744" s="1341">
        <f>IF(COUNT($H744:O744)&gt;'RFM input'!$V$7,0, O744+O796+O848)</f>
        <v>0</v>
      </c>
      <c r="Q744" s="1341">
        <f>IF(COUNT($H744:P744)&gt;'RFM input'!$V$7,0, P744+P796+P848)</f>
        <v>0</v>
      </c>
      <c r="R744" s="1341">
        <f>IF(COUNT($H744:Q744)&gt;'RFM input'!$V$7,0, Q744+Q796+Q848)</f>
        <v>0</v>
      </c>
      <c r="S744" s="71"/>
      <c r="T744" s="71"/>
      <c r="U744" s="71"/>
      <c r="V744" s="71"/>
      <c r="W744" s="71"/>
      <c r="X744" s="71"/>
      <c r="Y744" s="71"/>
      <c r="Z744" s="71"/>
    </row>
    <row r="745" spans="1:26" ht="12.75" hidden="1" customHeight="1" outlineLevel="1">
      <c r="A745" s="3"/>
      <c r="B745" s="3"/>
      <c r="C745" s="29"/>
      <c r="D745" s="133">
        <f>Asset28</f>
        <v>0</v>
      </c>
      <c r="E745" s="3"/>
      <c r="F745" s="3"/>
      <c r="G745" s="1393">
        <f>'RFM input'!I34</f>
        <v>0</v>
      </c>
      <c r="H745" s="1341">
        <f t="shared" si="4"/>
        <v>0</v>
      </c>
      <c r="I745" s="1341">
        <f t="shared" si="7"/>
        <v>0</v>
      </c>
      <c r="J745" s="1341">
        <f t="shared" si="7"/>
        <v>0</v>
      </c>
      <c r="K745" s="1341">
        <f>IF(COUNT($H745:J745)&gt;'RFM input'!$V$7,0, J745+J797+J849)</f>
        <v>0</v>
      </c>
      <c r="L745" s="1341">
        <f>IF(COUNT($H745:K745)&gt;'RFM input'!$V$7,0, K745+K797+K849)</f>
        <v>0</v>
      </c>
      <c r="M745" s="1341">
        <f>IF(COUNT($H745:L745)&gt;'RFM input'!$V$7,0, L745+L797+L849)</f>
        <v>0</v>
      </c>
      <c r="N745" s="1341">
        <f>IF(COUNT($H745:M745)&gt;'RFM input'!$V$7,0, M745+M797+M849)</f>
        <v>0</v>
      </c>
      <c r="O745" s="1341">
        <f>IF(COUNT($H745:N745)&gt;'RFM input'!$V$7,0, N745+N797+N849)</f>
        <v>0</v>
      </c>
      <c r="P745" s="1341">
        <f>IF(COUNT($H745:O745)&gt;'RFM input'!$V$7,0, O745+O797+O849)</f>
        <v>0</v>
      </c>
      <c r="Q745" s="1341">
        <f>IF(COUNT($H745:P745)&gt;'RFM input'!$V$7,0, P745+P797+P849)</f>
        <v>0</v>
      </c>
      <c r="R745" s="1341">
        <f>IF(COUNT($H745:Q745)&gt;'RFM input'!$V$7,0, Q745+Q797+Q849)</f>
        <v>0</v>
      </c>
      <c r="S745" s="71"/>
      <c r="T745" s="71"/>
      <c r="U745" s="71"/>
      <c r="V745" s="71"/>
      <c r="W745" s="71"/>
      <c r="X745" s="71"/>
      <c r="Y745" s="71"/>
      <c r="Z745" s="71"/>
    </row>
    <row r="746" spans="1:26" ht="12.75" hidden="1" customHeight="1" outlineLevel="1">
      <c r="A746" s="3"/>
      <c r="B746" s="3"/>
      <c r="C746" s="29"/>
      <c r="D746" s="133">
        <f>Asset29</f>
        <v>0</v>
      </c>
      <c r="E746" s="3"/>
      <c r="F746" s="3"/>
      <c r="G746" s="1393">
        <f>'RFM input'!I35</f>
        <v>0</v>
      </c>
      <c r="H746" s="1341">
        <f t="shared" si="4"/>
        <v>0</v>
      </c>
      <c r="I746" s="1341">
        <f t="shared" si="7"/>
        <v>0</v>
      </c>
      <c r="J746" s="1341">
        <f t="shared" si="7"/>
        <v>0</v>
      </c>
      <c r="K746" s="1341">
        <f>IF(COUNT($H746:J746)&gt;'RFM input'!$V$7,0, J746+J798+J850)</f>
        <v>0</v>
      </c>
      <c r="L746" s="1341">
        <f>IF(COUNT($H746:K746)&gt;'RFM input'!$V$7,0, K746+K798+K850)</f>
        <v>0</v>
      </c>
      <c r="M746" s="1341">
        <f>IF(COUNT($H746:L746)&gt;'RFM input'!$V$7,0, L746+L798+L850)</f>
        <v>0</v>
      </c>
      <c r="N746" s="1341">
        <f>IF(COUNT($H746:M746)&gt;'RFM input'!$V$7,0, M746+M798+M850)</f>
        <v>0</v>
      </c>
      <c r="O746" s="1341">
        <f>IF(COUNT($H746:N746)&gt;'RFM input'!$V$7,0, N746+N798+N850)</f>
        <v>0</v>
      </c>
      <c r="P746" s="1341">
        <f>IF(COUNT($H746:O746)&gt;'RFM input'!$V$7,0, O746+O798+O850)</f>
        <v>0</v>
      </c>
      <c r="Q746" s="1341">
        <f>IF(COUNT($H746:P746)&gt;'RFM input'!$V$7,0, P746+P798+P850)</f>
        <v>0</v>
      </c>
      <c r="R746" s="1341">
        <f>IF(COUNT($H746:Q746)&gt;'RFM input'!$V$7,0, Q746+Q798+Q850)</f>
        <v>0</v>
      </c>
      <c r="S746" s="71"/>
      <c r="T746" s="71"/>
      <c r="U746" s="71"/>
      <c r="V746" s="71"/>
      <c r="W746" s="71"/>
      <c r="X746" s="71"/>
      <c r="Y746" s="71"/>
      <c r="Z746" s="71"/>
    </row>
    <row r="747" spans="1:26" ht="12.75" hidden="1" customHeight="1" outlineLevel="1">
      <c r="A747" s="3"/>
      <c r="B747" s="3"/>
      <c r="C747" s="29"/>
      <c r="D747" s="133">
        <f>Asset30</f>
        <v>0</v>
      </c>
      <c r="E747" s="3"/>
      <c r="F747" s="3"/>
      <c r="G747" s="1393">
        <f>'RFM input'!I36</f>
        <v>0</v>
      </c>
      <c r="H747" s="1341">
        <f t="shared" si="4"/>
        <v>0</v>
      </c>
      <c r="I747" s="1341">
        <f t="shared" si="7"/>
        <v>0</v>
      </c>
      <c r="J747" s="1341">
        <f t="shared" si="7"/>
        <v>0</v>
      </c>
      <c r="K747" s="1341">
        <f>IF(COUNT($H747:J747)&gt;'RFM input'!$V$7,0, J747+J799+J851)</f>
        <v>0</v>
      </c>
      <c r="L747" s="1341">
        <f>IF(COUNT($H747:K747)&gt;'RFM input'!$V$7,0, K747+K799+K851)</f>
        <v>0</v>
      </c>
      <c r="M747" s="1341">
        <f>IF(COUNT($H747:L747)&gt;'RFM input'!$V$7,0, L747+L799+L851)</f>
        <v>0</v>
      </c>
      <c r="N747" s="1341">
        <f>IF(COUNT($H747:M747)&gt;'RFM input'!$V$7,0, M747+M799+M851)</f>
        <v>0</v>
      </c>
      <c r="O747" s="1341">
        <f>IF(COUNT($H747:N747)&gt;'RFM input'!$V$7,0, N747+N799+N851)</f>
        <v>0</v>
      </c>
      <c r="P747" s="1341">
        <f>IF(COUNT($H747:O747)&gt;'RFM input'!$V$7,0, O747+O799+O851)</f>
        <v>0</v>
      </c>
      <c r="Q747" s="1341">
        <f>IF(COUNT($H747:P747)&gt;'RFM input'!$V$7,0, P747+P799+P851)</f>
        <v>0</v>
      </c>
      <c r="R747" s="1341">
        <f>IF(COUNT($H747:Q747)&gt;'RFM input'!$V$7,0, Q747+Q799+Q851)</f>
        <v>0</v>
      </c>
      <c r="S747" s="71"/>
      <c r="T747" s="71"/>
      <c r="U747" s="71"/>
      <c r="V747" s="71"/>
      <c r="W747" s="71"/>
      <c r="X747" s="71"/>
      <c r="Y747" s="71"/>
      <c r="Z747" s="71"/>
    </row>
    <row r="748" spans="1:26" ht="12.75" hidden="1" customHeight="1" outlineLevel="1">
      <c r="A748" s="3"/>
      <c r="B748" s="3"/>
      <c r="C748" s="29"/>
      <c r="D748" s="133">
        <f>Asset31</f>
        <v>0</v>
      </c>
      <c r="E748" s="3"/>
      <c r="F748" s="3"/>
      <c r="G748" s="1393">
        <f>'RFM input'!I37</f>
        <v>0</v>
      </c>
      <c r="H748" s="1341">
        <f t="shared" ref="H748:H767" si="8">G748+G800+G852+G904+G956+G1008</f>
        <v>0</v>
      </c>
      <c r="I748" s="1341">
        <f t="shared" ref="I748:J767" si="9">H748+H800+H852</f>
        <v>0</v>
      </c>
      <c r="J748" s="1341">
        <f t="shared" si="9"/>
        <v>0</v>
      </c>
      <c r="K748" s="1341">
        <f>IF(COUNT($H748:J748)&gt;'RFM input'!$V$7,0, J748+J800+J852)</f>
        <v>0</v>
      </c>
      <c r="L748" s="1341">
        <f>IF(COUNT($H748:K748)&gt;'RFM input'!$V$7,0, K748+K800+K852)</f>
        <v>0</v>
      </c>
      <c r="M748" s="1341">
        <f>IF(COUNT($H748:L748)&gt;'RFM input'!$V$7,0, L748+L800+L852)</f>
        <v>0</v>
      </c>
      <c r="N748" s="1341">
        <f>IF(COUNT($H748:M748)&gt;'RFM input'!$V$7,0, M748+M800+M852)</f>
        <v>0</v>
      </c>
      <c r="O748" s="1341">
        <f>IF(COUNT($H748:N748)&gt;'RFM input'!$V$7,0, N748+N800+N852)</f>
        <v>0</v>
      </c>
      <c r="P748" s="1341">
        <f>IF(COUNT($H748:O748)&gt;'RFM input'!$V$7,0, O748+O800+O852)</f>
        <v>0</v>
      </c>
      <c r="Q748" s="1341">
        <f>IF(COUNT($H748:P748)&gt;'RFM input'!$V$7,0, P748+P800+P852)</f>
        <v>0</v>
      </c>
      <c r="R748" s="1341">
        <f>IF(COUNT($H748:Q748)&gt;'RFM input'!$V$7,0, Q748+Q800+Q852)</f>
        <v>0</v>
      </c>
      <c r="S748" s="71"/>
      <c r="T748" s="71"/>
      <c r="U748" s="71"/>
      <c r="V748" s="71"/>
      <c r="W748" s="71"/>
      <c r="X748" s="71"/>
      <c r="Y748" s="71"/>
      <c r="Z748" s="71"/>
    </row>
    <row r="749" spans="1:26" ht="12.75" hidden="1" customHeight="1" outlineLevel="1">
      <c r="A749" s="3"/>
      <c r="B749" s="3"/>
      <c r="C749" s="29"/>
      <c r="D749" s="133">
        <f>Asset32</f>
        <v>0</v>
      </c>
      <c r="E749" s="3"/>
      <c r="F749" s="3"/>
      <c r="G749" s="1393">
        <f>'RFM input'!I38</f>
        <v>0</v>
      </c>
      <c r="H749" s="1341">
        <f t="shared" si="8"/>
        <v>0</v>
      </c>
      <c r="I749" s="1341">
        <f t="shared" si="9"/>
        <v>0</v>
      </c>
      <c r="J749" s="1341">
        <f t="shared" si="9"/>
        <v>0</v>
      </c>
      <c r="K749" s="1341">
        <f>IF(COUNT($H749:J749)&gt;'RFM input'!$V$7,0, J749+J801+J853)</f>
        <v>0</v>
      </c>
      <c r="L749" s="1341">
        <f>IF(COUNT($H749:K749)&gt;'RFM input'!$V$7,0, K749+K801+K853)</f>
        <v>0</v>
      </c>
      <c r="M749" s="1341">
        <f>IF(COUNT($H749:L749)&gt;'RFM input'!$V$7,0, L749+L801+L853)</f>
        <v>0</v>
      </c>
      <c r="N749" s="1341">
        <f>IF(COUNT($H749:M749)&gt;'RFM input'!$V$7,0, M749+M801+M853)</f>
        <v>0</v>
      </c>
      <c r="O749" s="1341">
        <f>IF(COUNT($H749:N749)&gt;'RFM input'!$V$7,0, N749+N801+N853)</f>
        <v>0</v>
      </c>
      <c r="P749" s="1341">
        <f>IF(COUNT($H749:O749)&gt;'RFM input'!$V$7,0, O749+O801+O853)</f>
        <v>0</v>
      </c>
      <c r="Q749" s="1341">
        <f>IF(COUNT($H749:P749)&gt;'RFM input'!$V$7,0, P749+P801+P853)</f>
        <v>0</v>
      </c>
      <c r="R749" s="1341">
        <f>IF(COUNT($H749:Q749)&gt;'RFM input'!$V$7,0, Q749+Q801+Q853)</f>
        <v>0</v>
      </c>
      <c r="S749" s="71"/>
      <c r="T749" s="71"/>
      <c r="U749" s="71"/>
      <c r="V749" s="71"/>
      <c r="W749" s="71"/>
      <c r="X749" s="71"/>
      <c r="Y749" s="71"/>
      <c r="Z749" s="71"/>
    </row>
    <row r="750" spans="1:26" ht="12.75" hidden="1" customHeight="1" outlineLevel="1">
      <c r="A750" s="3"/>
      <c r="B750" s="3"/>
      <c r="C750" s="29"/>
      <c r="D750" s="133">
        <f>Asset33</f>
        <v>0</v>
      </c>
      <c r="E750" s="3"/>
      <c r="F750" s="3"/>
      <c r="G750" s="1393">
        <f>'RFM input'!I39</f>
        <v>0</v>
      </c>
      <c r="H750" s="1341">
        <f t="shared" si="8"/>
        <v>0</v>
      </c>
      <c r="I750" s="1341">
        <f t="shared" si="9"/>
        <v>0</v>
      </c>
      <c r="J750" s="1341">
        <f t="shared" si="9"/>
        <v>0</v>
      </c>
      <c r="K750" s="1341">
        <f>IF(COUNT($H750:J750)&gt;'RFM input'!$V$7,0, J750+J802+J854)</f>
        <v>0</v>
      </c>
      <c r="L750" s="1341">
        <f>IF(COUNT($H750:K750)&gt;'RFM input'!$V$7,0, K750+K802+K854)</f>
        <v>0</v>
      </c>
      <c r="M750" s="1341">
        <f>IF(COUNT($H750:L750)&gt;'RFM input'!$V$7,0, L750+L802+L854)</f>
        <v>0</v>
      </c>
      <c r="N750" s="1341">
        <f>IF(COUNT($H750:M750)&gt;'RFM input'!$V$7,0, M750+M802+M854)</f>
        <v>0</v>
      </c>
      <c r="O750" s="1341">
        <f>IF(COUNT($H750:N750)&gt;'RFM input'!$V$7,0, N750+N802+N854)</f>
        <v>0</v>
      </c>
      <c r="P750" s="1341">
        <f>IF(COUNT($H750:O750)&gt;'RFM input'!$V$7,0, O750+O802+O854)</f>
        <v>0</v>
      </c>
      <c r="Q750" s="1341">
        <f>IF(COUNT($H750:P750)&gt;'RFM input'!$V$7,0, P750+P802+P854)</f>
        <v>0</v>
      </c>
      <c r="R750" s="1341">
        <f>IF(COUNT($H750:Q750)&gt;'RFM input'!$V$7,0, Q750+Q802+Q854)</f>
        <v>0</v>
      </c>
      <c r="S750" s="71"/>
      <c r="T750" s="71"/>
      <c r="U750" s="71"/>
      <c r="V750" s="71"/>
      <c r="W750" s="71"/>
      <c r="X750" s="71"/>
      <c r="Y750" s="71"/>
      <c r="Z750" s="71"/>
    </row>
    <row r="751" spans="1:26" ht="12.75" hidden="1" customHeight="1" outlineLevel="1">
      <c r="A751" s="3"/>
      <c r="B751" s="3"/>
      <c r="C751" s="29"/>
      <c r="D751" s="133">
        <f>Asset34</f>
        <v>0</v>
      </c>
      <c r="E751" s="3"/>
      <c r="F751" s="3"/>
      <c r="G751" s="1393">
        <f>'RFM input'!I40</f>
        <v>0</v>
      </c>
      <c r="H751" s="1341">
        <f t="shared" si="8"/>
        <v>0</v>
      </c>
      <c r="I751" s="1341">
        <f t="shared" si="9"/>
        <v>0</v>
      </c>
      <c r="J751" s="1341">
        <f t="shared" si="9"/>
        <v>0</v>
      </c>
      <c r="K751" s="1341">
        <f>IF(COUNT($H751:J751)&gt;'RFM input'!$V$7,0, J751+J803+J855)</f>
        <v>0</v>
      </c>
      <c r="L751" s="1341">
        <f>IF(COUNT($H751:K751)&gt;'RFM input'!$V$7,0, K751+K803+K855)</f>
        <v>0</v>
      </c>
      <c r="M751" s="1341">
        <f>IF(COUNT($H751:L751)&gt;'RFM input'!$V$7,0, L751+L803+L855)</f>
        <v>0</v>
      </c>
      <c r="N751" s="1341">
        <f>IF(COUNT($H751:M751)&gt;'RFM input'!$V$7,0, M751+M803+M855)</f>
        <v>0</v>
      </c>
      <c r="O751" s="1341">
        <f>IF(COUNT($H751:N751)&gt;'RFM input'!$V$7,0, N751+N803+N855)</f>
        <v>0</v>
      </c>
      <c r="P751" s="1341">
        <f>IF(COUNT($H751:O751)&gt;'RFM input'!$V$7,0, O751+O803+O855)</f>
        <v>0</v>
      </c>
      <c r="Q751" s="1341">
        <f>IF(COUNT($H751:P751)&gt;'RFM input'!$V$7,0, P751+P803+P855)</f>
        <v>0</v>
      </c>
      <c r="R751" s="1341">
        <f>IF(COUNT($H751:Q751)&gt;'RFM input'!$V$7,0, Q751+Q803+Q855)</f>
        <v>0</v>
      </c>
      <c r="S751" s="71"/>
      <c r="T751" s="71"/>
      <c r="U751" s="71"/>
      <c r="V751" s="71"/>
      <c r="W751" s="71"/>
      <c r="X751" s="71"/>
      <c r="Y751" s="71"/>
      <c r="Z751" s="71"/>
    </row>
    <row r="752" spans="1:26" ht="12.75" hidden="1" customHeight="1" outlineLevel="1">
      <c r="A752" s="3"/>
      <c r="B752" s="3"/>
      <c r="C752" s="29"/>
      <c r="D752" s="133">
        <f>Asset35</f>
        <v>0</v>
      </c>
      <c r="E752" s="3"/>
      <c r="F752" s="3"/>
      <c r="G752" s="1393">
        <f>'RFM input'!I41</f>
        <v>0</v>
      </c>
      <c r="H752" s="1341">
        <f t="shared" si="8"/>
        <v>0</v>
      </c>
      <c r="I752" s="1341">
        <f t="shared" si="9"/>
        <v>0</v>
      </c>
      <c r="J752" s="1341">
        <f t="shared" si="9"/>
        <v>0</v>
      </c>
      <c r="K752" s="1341">
        <f>IF(COUNT($H752:J752)&gt;'RFM input'!$V$7,0, J752+J804+J856)</f>
        <v>0</v>
      </c>
      <c r="L752" s="1341">
        <f>IF(COUNT($H752:K752)&gt;'RFM input'!$V$7,0, K752+K804+K856)</f>
        <v>0</v>
      </c>
      <c r="M752" s="1341">
        <f>IF(COUNT($H752:L752)&gt;'RFM input'!$V$7,0, L752+L804+L856)</f>
        <v>0</v>
      </c>
      <c r="N752" s="1341">
        <f>IF(COUNT($H752:M752)&gt;'RFM input'!$V$7,0, M752+M804+M856)</f>
        <v>0</v>
      </c>
      <c r="O752" s="1341">
        <f>IF(COUNT($H752:N752)&gt;'RFM input'!$V$7,0, N752+N804+N856)</f>
        <v>0</v>
      </c>
      <c r="P752" s="1341">
        <f>IF(COUNT($H752:O752)&gt;'RFM input'!$V$7,0, O752+O804+O856)</f>
        <v>0</v>
      </c>
      <c r="Q752" s="1341">
        <f>IF(COUNT($H752:P752)&gt;'RFM input'!$V$7,0, P752+P804+P856)</f>
        <v>0</v>
      </c>
      <c r="R752" s="1341">
        <f>IF(COUNT($H752:Q752)&gt;'RFM input'!$V$7,0, Q752+Q804+Q856)</f>
        <v>0</v>
      </c>
      <c r="S752" s="71"/>
      <c r="T752" s="71"/>
      <c r="U752" s="71"/>
      <c r="V752" s="71"/>
      <c r="W752" s="71"/>
      <c r="X752" s="71"/>
      <c r="Y752" s="71"/>
      <c r="Z752" s="71"/>
    </row>
    <row r="753" spans="1:26" ht="12.75" hidden="1" customHeight="1" outlineLevel="1">
      <c r="A753" s="3"/>
      <c r="B753" s="3"/>
      <c r="C753" s="29"/>
      <c r="D753" s="133">
        <f>Asset36</f>
        <v>0</v>
      </c>
      <c r="E753" s="3"/>
      <c r="F753" s="3"/>
      <c r="G753" s="1393">
        <f>'RFM input'!I42</f>
        <v>0</v>
      </c>
      <c r="H753" s="1341">
        <f t="shared" si="8"/>
        <v>0</v>
      </c>
      <c r="I753" s="1341">
        <f t="shared" si="9"/>
        <v>0</v>
      </c>
      <c r="J753" s="1341">
        <f t="shared" si="9"/>
        <v>0</v>
      </c>
      <c r="K753" s="1341">
        <f>IF(COUNT($H753:J753)&gt;'RFM input'!$V$7,0, J753+J805+J857)</f>
        <v>0</v>
      </c>
      <c r="L753" s="1341">
        <f>IF(COUNT($H753:K753)&gt;'RFM input'!$V$7,0, K753+K805+K857)</f>
        <v>0</v>
      </c>
      <c r="M753" s="1341">
        <f>IF(COUNT($H753:L753)&gt;'RFM input'!$V$7,0, L753+L805+L857)</f>
        <v>0</v>
      </c>
      <c r="N753" s="1341">
        <f>IF(COUNT($H753:M753)&gt;'RFM input'!$V$7,0, M753+M805+M857)</f>
        <v>0</v>
      </c>
      <c r="O753" s="1341">
        <f>IF(COUNT($H753:N753)&gt;'RFM input'!$V$7,0, N753+N805+N857)</f>
        <v>0</v>
      </c>
      <c r="P753" s="1341">
        <f>IF(COUNT($H753:O753)&gt;'RFM input'!$V$7,0, O753+O805+O857)</f>
        <v>0</v>
      </c>
      <c r="Q753" s="1341">
        <f>IF(COUNT($H753:P753)&gt;'RFM input'!$V$7,0, P753+P805+P857)</f>
        <v>0</v>
      </c>
      <c r="R753" s="1341">
        <f>IF(COUNT($H753:Q753)&gt;'RFM input'!$V$7,0, Q753+Q805+Q857)</f>
        <v>0</v>
      </c>
      <c r="S753" s="71"/>
      <c r="T753" s="71"/>
      <c r="U753" s="71"/>
      <c r="V753" s="71"/>
      <c r="W753" s="71"/>
      <c r="X753" s="71"/>
      <c r="Y753" s="71"/>
      <c r="Z753" s="71"/>
    </row>
    <row r="754" spans="1:26" ht="12.75" hidden="1" customHeight="1" outlineLevel="1">
      <c r="A754" s="3"/>
      <c r="B754" s="3"/>
      <c r="C754" s="29"/>
      <c r="D754" s="133">
        <f>Asset37</f>
        <v>0</v>
      </c>
      <c r="E754" s="3"/>
      <c r="F754" s="3"/>
      <c r="G754" s="1393">
        <f>'RFM input'!I43</f>
        <v>0</v>
      </c>
      <c r="H754" s="1341">
        <f t="shared" si="8"/>
        <v>0</v>
      </c>
      <c r="I754" s="1341">
        <f t="shared" si="9"/>
        <v>0</v>
      </c>
      <c r="J754" s="1341">
        <f t="shared" si="9"/>
        <v>0</v>
      </c>
      <c r="K754" s="1341">
        <f>IF(COUNT($H754:J754)&gt;'RFM input'!$V$7,0, J754+J806+J858)</f>
        <v>0</v>
      </c>
      <c r="L754" s="1341">
        <f>IF(COUNT($H754:K754)&gt;'RFM input'!$V$7,0, K754+K806+K858)</f>
        <v>0</v>
      </c>
      <c r="M754" s="1341">
        <f>IF(COUNT($H754:L754)&gt;'RFM input'!$V$7,0, L754+L806+L858)</f>
        <v>0</v>
      </c>
      <c r="N754" s="1341">
        <f>IF(COUNT($H754:M754)&gt;'RFM input'!$V$7,0, M754+M806+M858)</f>
        <v>0</v>
      </c>
      <c r="O754" s="1341">
        <f>IF(COUNT($H754:N754)&gt;'RFM input'!$V$7,0, N754+N806+N858)</f>
        <v>0</v>
      </c>
      <c r="P754" s="1341">
        <f>IF(COUNT($H754:O754)&gt;'RFM input'!$V$7,0, O754+O806+O858)</f>
        <v>0</v>
      </c>
      <c r="Q754" s="1341">
        <f>IF(COUNT($H754:P754)&gt;'RFM input'!$V$7,0, P754+P806+P858)</f>
        <v>0</v>
      </c>
      <c r="R754" s="1341">
        <f>IF(COUNT($H754:Q754)&gt;'RFM input'!$V$7,0, Q754+Q806+Q858)</f>
        <v>0</v>
      </c>
      <c r="S754" s="71"/>
      <c r="T754" s="71"/>
      <c r="U754" s="71"/>
      <c r="V754" s="71"/>
      <c r="W754" s="71"/>
      <c r="X754" s="71"/>
      <c r="Y754" s="71"/>
      <c r="Z754" s="71"/>
    </row>
    <row r="755" spans="1:26" ht="12.75" hidden="1" customHeight="1" outlineLevel="1">
      <c r="A755" s="3"/>
      <c r="B755" s="3"/>
      <c r="C755" s="29"/>
      <c r="D755" s="133">
        <f>Asset38</f>
        <v>0</v>
      </c>
      <c r="E755" s="3"/>
      <c r="F755" s="3"/>
      <c r="G755" s="1393">
        <f>'RFM input'!I44</f>
        <v>0</v>
      </c>
      <c r="H755" s="1341">
        <f t="shared" si="8"/>
        <v>0</v>
      </c>
      <c r="I755" s="1341">
        <f t="shared" si="9"/>
        <v>0</v>
      </c>
      <c r="J755" s="1341">
        <f t="shared" si="9"/>
        <v>0</v>
      </c>
      <c r="K755" s="1341">
        <f>IF(COUNT($H755:J755)&gt;'RFM input'!$V$7,0, J755+J807+J859)</f>
        <v>0</v>
      </c>
      <c r="L755" s="1341">
        <f>IF(COUNT($H755:K755)&gt;'RFM input'!$V$7,0, K755+K807+K859)</f>
        <v>0</v>
      </c>
      <c r="M755" s="1341">
        <f>IF(COUNT($H755:L755)&gt;'RFM input'!$V$7,0, L755+L807+L859)</f>
        <v>0</v>
      </c>
      <c r="N755" s="1341">
        <f>IF(COUNT($H755:M755)&gt;'RFM input'!$V$7,0, M755+M807+M859)</f>
        <v>0</v>
      </c>
      <c r="O755" s="1341">
        <f>IF(COUNT($H755:N755)&gt;'RFM input'!$V$7,0, N755+N807+N859)</f>
        <v>0</v>
      </c>
      <c r="P755" s="1341">
        <f>IF(COUNT($H755:O755)&gt;'RFM input'!$V$7,0, O755+O807+O859)</f>
        <v>0</v>
      </c>
      <c r="Q755" s="1341">
        <f>IF(COUNT($H755:P755)&gt;'RFM input'!$V$7,0, P755+P807+P859)</f>
        <v>0</v>
      </c>
      <c r="R755" s="1341">
        <f>IF(COUNT($H755:Q755)&gt;'RFM input'!$V$7,0, Q755+Q807+Q859)</f>
        <v>0</v>
      </c>
      <c r="S755" s="71"/>
      <c r="T755" s="71"/>
      <c r="U755" s="71"/>
      <c r="V755" s="71"/>
      <c r="W755" s="71"/>
      <c r="X755" s="71"/>
      <c r="Y755" s="71"/>
      <c r="Z755" s="71"/>
    </row>
    <row r="756" spans="1:26" ht="12.75" hidden="1" customHeight="1" outlineLevel="1">
      <c r="A756" s="3"/>
      <c r="B756" s="3"/>
      <c r="C756" s="29"/>
      <c r="D756" s="133">
        <f>Asset39</f>
        <v>0</v>
      </c>
      <c r="E756" s="3"/>
      <c r="F756" s="3"/>
      <c r="G756" s="1393">
        <f>'RFM input'!I45</f>
        <v>0</v>
      </c>
      <c r="H756" s="1341">
        <f t="shared" si="8"/>
        <v>0</v>
      </c>
      <c r="I756" s="1341">
        <f t="shared" si="9"/>
        <v>0</v>
      </c>
      <c r="J756" s="1341">
        <f t="shared" si="9"/>
        <v>0</v>
      </c>
      <c r="K756" s="1341">
        <f>IF(COUNT($H756:J756)&gt;'RFM input'!$V$7,0, J756+J808+J860)</f>
        <v>0</v>
      </c>
      <c r="L756" s="1341">
        <f>IF(COUNT($H756:K756)&gt;'RFM input'!$V$7,0, K756+K808+K860)</f>
        <v>0</v>
      </c>
      <c r="M756" s="1341">
        <f>IF(COUNT($H756:L756)&gt;'RFM input'!$V$7,0, L756+L808+L860)</f>
        <v>0</v>
      </c>
      <c r="N756" s="1341">
        <f>IF(COUNT($H756:M756)&gt;'RFM input'!$V$7,0, M756+M808+M860)</f>
        <v>0</v>
      </c>
      <c r="O756" s="1341">
        <f>IF(COUNT($H756:N756)&gt;'RFM input'!$V$7,0, N756+N808+N860)</f>
        <v>0</v>
      </c>
      <c r="P756" s="1341">
        <f>IF(COUNT($H756:O756)&gt;'RFM input'!$V$7,0, O756+O808+O860)</f>
        <v>0</v>
      </c>
      <c r="Q756" s="1341">
        <f>IF(COUNT($H756:P756)&gt;'RFM input'!$V$7,0, P756+P808+P860)</f>
        <v>0</v>
      </c>
      <c r="R756" s="1341">
        <f>IF(COUNT($H756:Q756)&gt;'RFM input'!$V$7,0, Q756+Q808+Q860)</f>
        <v>0</v>
      </c>
      <c r="S756" s="71"/>
      <c r="T756" s="71"/>
      <c r="U756" s="71"/>
      <c r="V756" s="71"/>
      <c r="W756" s="71"/>
      <c r="X756" s="71"/>
      <c r="Y756" s="71"/>
      <c r="Z756" s="71"/>
    </row>
    <row r="757" spans="1:26" ht="12.75" hidden="1" customHeight="1" outlineLevel="1">
      <c r="A757" s="3"/>
      <c r="B757" s="3"/>
      <c r="C757" s="29"/>
      <c r="D757" s="133">
        <f>Asset40</f>
        <v>0</v>
      </c>
      <c r="E757" s="3"/>
      <c r="F757" s="3"/>
      <c r="G757" s="1393">
        <f>'RFM input'!I46</f>
        <v>0</v>
      </c>
      <c r="H757" s="1341">
        <f t="shared" si="8"/>
        <v>0</v>
      </c>
      <c r="I757" s="1341">
        <f t="shared" si="9"/>
        <v>0</v>
      </c>
      <c r="J757" s="1341">
        <f t="shared" si="9"/>
        <v>0</v>
      </c>
      <c r="K757" s="1341">
        <f>IF(COUNT($H757:J757)&gt;'RFM input'!$V$7,0, J757+J809+J861)</f>
        <v>0</v>
      </c>
      <c r="L757" s="1341">
        <f>IF(COUNT($H757:K757)&gt;'RFM input'!$V$7,0, K757+K809+K861)</f>
        <v>0</v>
      </c>
      <c r="M757" s="1341">
        <f>IF(COUNT($H757:L757)&gt;'RFM input'!$V$7,0, L757+L809+L861)</f>
        <v>0</v>
      </c>
      <c r="N757" s="1341">
        <f>IF(COUNT($H757:M757)&gt;'RFM input'!$V$7,0, M757+M809+M861)</f>
        <v>0</v>
      </c>
      <c r="O757" s="1341">
        <f>IF(COUNT($H757:N757)&gt;'RFM input'!$V$7,0, N757+N809+N861)</f>
        <v>0</v>
      </c>
      <c r="P757" s="1341">
        <f>IF(COUNT($H757:O757)&gt;'RFM input'!$V$7,0, O757+O809+O861)</f>
        <v>0</v>
      </c>
      <c r="Q757" s="1341">
        <f>IF(COUNT($H757:P757)&gt;'RFM input'!$V$7,0, P757+P809+P861)</f>
        <v>0</v>
      </c>
      <c r="R757" s="1341">
        <f>IF(COUNT($H757:Q757)&gt;'RFM input'!$V$7,0, Q757+Q809+Q861)</f>
        <v>0</v>
      </c>
      <c r="S757" s="71"/>
      <c r="T757" s="71"/>
      <c r="U757" s="71"/>
      <c r="V757" s="71"/>
      <c r="W757" s="71"/>
      <c r="X757" s="71"/>
      <c r="Y757" s="71"/>
      <c r="Z757" s="71"/>
    </row>
    <row r="758" spans="1:26" ht="12.75" hidden="1" customHeight="1" outlineLevel="1">
      <c r="A758" s="3"/>
      <c r="B758" s="3"/>
      <c r="C758" s="29"/>
      <c r="D758" s="133">
        <f>Asset41</f>
        <v>0</v>
      </c>
      <c r="E758" s="3"/>
      <c r="F758" s="3"/>
      <c r="G758" s="1393">
        <f>'RFM input'!I47</f>
        <v>0</v>
      </c>
      <c r="H758" s="1341">
        <f t="shared" si="8"/>
        <v>0</v>
      </c>
      <c r="I758" s="1341">
        <f t="shared" si="9"/>
        <v>0</v>
      </c>
      <c r="J758" s="1341">
        <f t="shared" si="9"/>
        <v>0</v>
      </c>
      <c r="K758" s="1341">
        <f>IF(COUNT($H758:J758)&gt;'RFM input'!$V$7,0, J758+J810+J862)</f>
        <v>0</v>
      </c>
      <c r="L758" s="1341">
        <f>IF(COUNT($H758:K758)&gt;'RFM input'!$V$7,0, K758+K810+K862)</f>
        <v>0</v>
      </c>
      <c r="M758" s="1341">
        <f>IF(COUNT($H758:L758)&gt;'RFM input'!$V$7,0, L758+L810+L862)</f>
        <v>0</v>
      </c>
      <c r="N758" s="1341">
        <f>IF(COUNT($H758:M758)&gt;'RFM input'!$V$7,0, M758+M810+M862)</f>
        <v>0</v>
      </c>
      <c r="O758" s="1341">
        <f>IF(COUNT($H758:N758)&gt;'RFM input'!$V$7,0, N758+N810+N862)</f>
        <v>0</v>
      </c>
      <c r="P758" s="1341">
        <f>IF(COUNT($H758:O758)&gt;'RFM input'!$V$7,0, O758+O810+O862)</f>
        <v>0</v>
      </c>
      <c r="Q758" s="1341">
        <f>IF(COUNT($H758:P758)&gt;'RFM input'!$V$7,0, P758+P810+P862)</f>
        <v>0</v>
      </c>
      <c r="R758" s="1341">
        <f>IF(COUNT($H758:Q758)&gt;'RFM input'!$V$7,0, Q758+Q810+Q862)</f>
        <v>0</v>
      </c>
      <c r="S758" s="71"/>
      <c r="T758" s="71"/>
      <c r="U758" s="71"/>
      <c r="V758" s="71"/>
      <c r="W758" s="71"/>
      <c r="X758" s="71"/>
      <c r="Y758" s="71"/>
      <c r="Z758" s="71"/>
    </row>
    <row r="759" spans="1:26" ht="12.75" hidden="1" customHeight="1" outlineLevel="1">
      <c r="A759" s="3"/>
      <c r="B759" s="3"/>
      <c r="C759" s="29"/>
      <c r="D759" s="133">
        <f>Asset42</f>
        <v>0</v>
      </c>
      <c r="E759" s="3"/>
      <c r="F759" s="3"/>
      <c r="G759" s="1393">
        <f>'RFM input'!I48</f>
        <v>0</v>
      </c>
      <c r="H759" s="1341">
        <f t="shared" si="8"/>
        <v>0</v>
      </c>
      <c r="I759" s="1341">
        <f t="shared" si="9"/>
        <v>0</v>
      </c>
      <c r="J759" s="1341">
        <f t="shared" si="9"/>
        <v>0</v>
      </c>
      <c r="K759" s="1341">
        <f>IF(COUNT($H759:J759)&gt;'RFM input'!$V$7,0, J759+J811+J863)</f>
        <v>0</v>
      </c>
      <c r="L759" s="1341">
        <f>IF(COUNT($H759:K759)&gt;'RFM input'!$V$7,0, K759+K811+K863)</f>
        <v>0</v>
      </c>
      <c r="M759" s="1341">
        <f>IF(COUNT($H759:L759)&gt;'RFM input'!$V$7,0, L759+L811+L863)</f>
        <v>0</v>
      </c>
      <c r="N759" s="1341">
        <f>IF(COUNT($H759:M759)&gt;'RFM input'!$V$7,0, M759+M811+M863)</f>
        <v>0</v>
      </c>
      <c r="O759" s="1341">
        <f>IF(COUNT($H759:N759)&gt;'RFM input'!$V$7,0, N759+N811+N863)</f>
        <v>0</v>
      </c>
      <c r="P759" s="1341">
        <f>IF(COUNT($H759:O759)&gt;'RFM input'!$V$7,0, O759+O811+O863)</f>
        <v>0</v>
      </c>
      <c r="Q759" s="1341">
        <f>IF(COUNT($H759:P759)&gt;'RFM input'!$V$7,0, P759+P811+P863)</f>
        <v>0</v>
      </c>
      <c r="R759" s="1341">
        <f>IF(COUNT($H759:Q759)&gt;'RFM input'!$V$7,0, Q759+Q811+Q863)</f>
        <v>0</v>
      </c>
      <c r="S759" s="71"/>
      <c r="T759" s="71"/>
      <c r="U759" s="71"/>
      <c r="V759" s="71"/>
      <c r="W759" s="71"/>
      <c r="X759" s="71"/>
      <c r="Y759" s="71"/>
      <c r="Z759" s="71"/>
    </row>
    <row r="760" spans="1:26" ht="12.75" hidden="1" customHeight="1" outlineLevel="1">
      <c r="A760" s="3"/>
      <c r="B760" s="3"/>
      <c r="C760" s="29"/>
      <c r="D760" s="133">
        <f>Asset43</f>
        <v>0</v>
      </c>
      <c r="E760" s="3"/>
      <c r="F760" s="3"/>
      <c r="G760" s="1393">
        <f>'RFM input'!I49</f>
        <v>0</v>
      </c>
      <c r="H760" s="1341">
        <f t="shared" si="8"/>
        <v>0</v>
      </c>
      <c r="I760" s="1341">
        <f t="shared" si="9"/>
        <v>0</v>
      </c>
      <c r="J760" s="1341">
        <f t="shared" si="9"/>
        <v>0</v>
      </c>
      <c r="K760" s="1341">
        <f>IF(COUNT($H760:J760)&gt;'RFM input'!$V$7,0, J760+J812+J864)</f>
        <v>0</v>
      </c>
      <c r="L760" s="1341">
        <f>IF(COUNT($H760:K760)&gt;'RFM input'!$V$7,0, K760+K812+K864)</f>
        <v>0</v>
      </c>
      <c r="M760" s="1341">
        <f>IF(COUNT($H760:L760)&gt;'RFM input'!$V$7,0, L760+L812+L864)</f>
        <v>0</v>
      </c>
      <c r="N760" s="1341">
        <f>IF(COUNT($H760:M760)&gt;'RFM input'!$V$7,0, M760+M812+M864)</f>
        <v>0</v>
      </c>
      <c r="O760" s="1341">
        <f>IF(COUNT($H760:N760)&gt;'RFM input'!$V$7,0, N760+N812+N864)</f>
        <v>0</v>
      </c>
      <c r="P760" s="1341">
        <f>IF(COUNT($H760:O760)&gt;'RFM input'!$V$7,0, O760+O812+O864)</f>
        <v>0</v>
      </c>
      <c r="Q760" s="1341">
        <f>IF(COUNT($H760:P760)&gt;'RFM input'!$V$7,0, P760+P812+P864)</f>
        <v>0</v>
      </c>
      <c r="R760" s="1341">
        <f>IF(COUNT($H760:Q760)&gt;'RFM input'!$V$7,0, Q760+Q812+Q864)</f>
        <v>0</v>
      </c>
      <c r="S760" s="71"/>
      <c r="T760" s="71"/>
      <c r="U760" s="71"/>
      <c r="V760" s="71"/>
      <c r="W760" s="71"/>
      <c r="X760" s="71"/>
      <c r="Y760" s="71"/>
      <c r="Z760" s="71"/>
    </row>
    <row r="761" spans="1:26" ht="12.75" hidden="1" customHeight="1" outlineLevel="1">
      <c r="A761" s="3"/>
      <c r="B761" s="3"/>
      <c r="C761" s="29"/>
      <c r="D761" s="133">
        <f>Asset44</f>
        <v>0</v>
      </c>
      <c r="E761" s="3"/>
      <c r="F761" s="3"/>
      <c r="G761" s="1393">
        <f>'RFM input'!I50</f>
        <v>0</v>
      </c>
      <c r="H761" s="1341">
        <f t="shared" si="8"/>
        <v>0</v>
      </c>
      <c r="I761" s="1341">
        <f t="shared" si="9"/>
        <v>0</v>
      </c>
      <c r="J761" s="1341">
        <f t="shared" si="9"/>
        <v>0</v>
      </c>
      <c r="K761" s="1341">
        <f>IF(COUNT($H761:J761)&gt;'RFM input'!$V$7,0, J761+J813+J865)</f>
        <v>0</v>
      </c>
      <c r="L761" s="1341">
        <f>IF(COUNT($H761:K761)&gt;'RFM input'!$V$7,0, K761+K813+K865)</f>
        <v>0</v>
      </c>
      <c r="M761" s="1341">
        <f>IF(COUNT($H761:L761)&gt;'RFM input'!$V$7,0, L761+L813+L865)</f>
        <v>0</v>
      </c>
      <c r="N761" s="1341">
        <f>IF(COUNT($H761:M761)&gt;'RFM input'!$V$7,0, M761+M813+M865)</f>
        <v>0</v>
      </c>
      <c r="O761" s="1341">
        <f>IF(COUNT($H761:N761)&gt;'RFM input'!$V$7,0, N761+N813+N865)</f>
        <v>0</v>
      </c>
      <c r="P761" s="1341">
        <f>IF(COUNT($H761:O761)&gt;'RFM input'!$V$7,0, O761+O813+O865)</f>
        <v>0</v>
      </c>
      <c r="Q761" s="1341">
        <f>IF(COUNT($H761:P761)&gt;'RFM input'!$V$7,0, P761+P813+P865)</f>
        <v>0</v>
      </c>
      <c r="R761" s="1341">
        <f>IF(COUNT($H761:Q761)&gt;'RFM input'!$V$7,0, Q761+Q813+Q865)</f>
        <v>0</v>
      </c>
      <c r="S761" s="71"/>
      <c r="T761" s="71"/>
      <c r="U761" s="71"/>
      <c r="V761" s="71"/>
      <c r="W761" s="71"/>
      <c r="X761" s="71"/>
      <c r="Y761" s="71"/>
      <c r="Z761" s="71"/>
    </row>
    <row r="762" spans="1:26" ht="12.75" hidden="1" customHeight="1" outlineLevel="1">
      <c r="A762" s="3"/>
      <c r="B762" s="3"/>
      <c r="C762" s="29"/>
      <c r="D762" s="133">
        <f>Asset45</f>
        <v>0</v>
      </c>
      <c r="E762" s="3"/>
      <c r="F762" s="3"/>
      <c r="G762" s="1393">
        <f>'RFM input'!I51</f>
        <v>0</v>
      </c>
      <c r="H762" s="1341">
        <f t="shared" si="8"/>
        <v>0</v>
      </c>
      <c r="I762" s="1341">
        <f t="shared" si="9"/>
        <v>0</v>
      </c>
      <c r="J762" s="1341">
        <f t="shared" si="9"/>
        <v>0</v>
      </c>
      <c r="K762" s="1341">
        <f>IF(COUNT($H762:J762)&gt;'RFM input'!$V$7,0, J762+J814+J866)</f>
        <v>0</v>
      </c>
      <c r="L762" s="1341">
        <f>IF(COUNT($H762:K762)&gt;'RFM input'!$V$7,0, K762+K814+K866)</f>
        <v>0</v>
      </c>
      <c r="M762" s="1341">
        <f>IF(COUNT($H762:L762)&gt;'RFM input'!$V$7,0, L762+L814+L866)</f>
        <v>0</v>
      </c>
      <c r="N762" s="1341">
        <f>IF(COUNT($H762:M762)&gt;'RFM input'!$V$7,0, M762+M814+M866)</f>
        <v>0</v>
      </c>
      <c r="O762" s="1341">
        <f>IF(COUNT($H762:N762)&gt;'RFM input'!$V$7,0, N762+N814+N866)</f>
        <v>0</v>
      </c>
      <c r="P762" s="1341">
        <f>IF(COUNT($H762:O762)&gt;'RFM input'!$V$7,0, O762+O814+O866)</f>
        <v>0</v>
      </c>
      <c r="Q762" s="1341">
        <f>IF(COUNT($H762:P762)&gt;'RFM input'!$V$7,0, P762+P814+P866)</f>
        <v>0</v>
      </c>
      <c r="R762" s="1341">
        <f>IF(COUNT($H762:Q762)&gt;'RFM input'!$V$7,0, Q762+Q814+Q866)</f>
        <v>0</v>
      </c>
      <c r="S762" s="71"/>
      <c r="T762" s="71"/>
      <c r="U762" s="71"/>
      <c r="V762" s="71"/>
      <c r="W762" s="71"/>
      <c r="X762" s="71"/>
      <c r="Y762" s="71"/>
      <c r="Z762" s="71"/>
    </row>
    <row r="763" spans="1:26" ht="12.75" hidden="1" customHeight="1" outlineLevel="1">
      <c r="A763" s="3"/>
      <c r="B763" s="3"/>
      <c r="C763" s="29"/>
      <c r="D763" s="133">
        <f>Asset46</f>
        <v>0</v>
      </c>
      <c r="E763" s="3"/>
      <c r="F763" s="3"/>
      <c r="G763" s="1393">
        <f>'RFM input'!I52</f>
        <v>0</v>
      </c>
      <c r="H763" s="1341">
        <f t="shared" si="8"/>
        <v>0</v>
      </c>
      <c r="I763" s="1341">
        <f t="shared" si="9"/>
        <v>0</v>
      </c>
      <c r="J763" s="1341">
        <f t="shared" si="9"/>
        <v>0</v>
      </c>
      <c r="K763" s="1341">
        <f>IF(COUNT($H763:J763)&gt;'RFM input'!$V$7,0, J763+J815+J867)</f>
        <v>0</v>
      </c>
      <c r="L763" s="1341">
        <f>IF(COUNT($H763:K763)&gt;'RFM input'!$V$7,0, K763+K815+K867)</f>
        <v>0</v>
      </c>
      <c r="M763" s="1341">
        <f>IF(COUNT($H763:L763)&gt;'RFM input'!$V$7,0, L763+L815+L867)</f>
        <v>0</v>
      </c>
      <c r="N763" s="1341">
        <f>IF(COUNT($H763:M763)&gt;'RFM input'!$V$7,0, M763+M815+M867)</f>
        <v>0</v>
      </c>
      <c r="O763" s="1341">
        <f>IF(COUNT($H763:N763)&gt;'RFM input'!$V$7,0, N763+N815+N867)</f>
        <v>0</v>
      </c>
      <c r="P763" s="1341">
        <f>IF(COUNT($H763:O763)&gt;'RFM input'!$V$7,0, O763+O815+O867)</f>
        <v>0</v>
      </c>
      <c r="Q763" s="1341">
        <f>IF(COUNT($H763:P763)&gt;'RFM input'!$V$7,0, P763+P815+P867)</f>
        <v>0</v>
      </c>
      <c r="R763" s="1341">
        <f>IF(COUNT($H763:Q763)&gt;'RFM input'!$V$7,0, Q763+Q815+Q867)</f>
        <v>0</v>
      </c>
      <c r="S763" s="71"/>
      <c r="T763" s="71"/>
      <c r="U763" s="71"/>
      <c r="V763" s="71"/>
      <c r="W763" s="71"/>
      <c r="X763" s="71"/>
      <c r="Y763" s="71"/>
      <c r="Z763" s="71"/>
    </row>
    <row r="764" spans="1:26" ht="12.75" hidden="1" customHeight="1" outlineLevel="1">
      <c r="A764" s="3"/>
      <c r="B764" s="3"/>
      <c r="C764" s="29"/>
      <c r="D764" s="133">
        <f>Asset47</f>
        <v>0</v>
      </c>
      <c r="E764" s="3"/>
      <c r="F764" s="3"/>
      <c r="G764" s="1393">
        <f>'RFM input'!I53</f>
        <v>0</v>
      </c>
      <c r="H764" s="1341">
        <f t="shared" si="8"/>
        <v>0</v>
      </c>
      <c r="I764" s="1341">
        <f t="shared" si="9"/>
        <v>0</v>
      </c>
      <c r="J764" s="1341">
        <f t="shared" si="9"/>
        <v>0</v>
      </c>
      <c r="K764" s="1341">
        <f>IF(COUNT($H764:J764)&gt;'RFM input'!$V$7,0, J764+J816+J868)</f>
        <v>0</v>
      </c>
      <c r="L764" s="1341">
        <f>IF(COUNT($H764:K764)&gt;'RFM input'!$V$7,0, K764+K816+K868)</f>
        <v>0</v>
      </c>
      <c r="M764" s="1341">
        <f>IF(COUNT($H764:L764)&gt;'RFM input'!$V$7,0, L764+L816+L868)</f>
        <v>0</v>
      </c>
      <c r="N764" s="1341">
        <f>IF(COUNT($H764:M764)&gt;'RFM input'!$V$7,0, M764+M816+M868)</f>
        <v>0</v>
      </c>
      <c r="O764" s="1341">
        <f>IF(COUNT($H764:N764)&gt;'RFM input'!$V$7,0, N764+N816+N868)</f>
        <v>0</v>
      </c>
      <c r="P764" s="1341">
        <f>IF(COUNT($H764:O764)&gt;'RFM input'!$V$7,0, O764+O816+O868)</f>
        <v>0</v>
      </c>
      <c r="Q764" s="1341">
        <f>IF(COUNT($H764:P764)&gt;'RFM input'!$V$7,0, P764+P816+P868)</f>
        <v>0</v>
      </c>
      <c r="R764" s="1341">
        <f>IF(COUNT($H764:Q764)&gt;'RFM input'!$V$7,0, Q764+Q816+Q868)</f>
        <v>0</v>
      </c>
      <c r="S764" s="71"/>
      <c r="T764" s="71"/>
      <c r="U764" s="71"/>
      <c r="V764" s="71"/>
      <c r="W764" s="71"/>
      <c r="X764" s="71"/>
      <c r="Y764" s="71"/>
      <c r="Z764" s="71"/>
    </row>
    <row r="765" spans="1:26" ht="12.75" hidden="1" customHeight="1" outlineLevel="1">
      <c r="A765" s="3"/>
      <c r="B765" s="3"/>
      <c r="C765" s="29"/>
      <c r="D765" s="133">
        <f>Asset48</f>
        <v>0</v>
      </c>
      <c r="E765" s="3"/>
      <c r="F765" s="3"/>
      <c r="G765" s="1393">
        <f>'RFM input'!I54</f>
        <v>0</v>
      </c>
      <c r="H765" s="1341">
        <f t="shared" si="8"/>
        <v>0</v>
      </c>
      <c r="I765" s="1341">
        <f t="shared" si="9"/>
        <v>0</v>
      </c>
      <c r="J765" s="1341">
        <f t="shared" si="9"/>
        <v>0</v>
      </c>
      <c r="K765" s="1341">
        <f>IF(COUNT($H765:J765)&gt;'RFM input'!$V$7,0, J765+J817+J869)</f>
        <v>0</v>
      </c>
      <c r="L765" s="1341">
        <f>IF(COUNT($H765:K765)&gt;'RFM input'!$V$7,0, K765+K817+K869)</f>
        <v>0</v>
      </c>
      <c r="M765" s="1341">
        <f>IF(COUNT($H765:L765)&gt;'RFM input'!$V$7,0, L765+L817+L869)</f>
        <v>0</v>
      </c>
      <c r="N765" s="1341">
        <f>IF(COUNT($H765:M765)&gt;'RFM input'!$V$7,0, M765+M817+M869)</f>
        <v>0</v>
      </c>
      <c r="O765" s="1341">
        <f>IF(COUNT($H765:N765)&gt;'RFM input'!$V$7,0, N765+N817+N869)</f>
        <v>0</v>
      </c>
      <c r="P765" s="1341">
        <f>IF(COUNT($H765:O765)&gt;'RFM input'!$V$7,0, O765+O817+O869)</f>
        <v>0</v>
      </c>
      <c r="Q765" s="1341">
        <f>IF(COUNT($H765:P765)&gt;'RFM input'!$V$7,0, P765+P817+P869)</f>
        <v>0</v>
      </c>
      <c r="R765" s="1341">
        <f>IF(COUNT($H765:Q765)&gt;'RFM input'!$V$7,0, Q765+Q817+Q869)</f>
        <v>0</v>
      </c>
      <c r="S765" s="71"/>
      <c r="T765" s="71"/>
      <c r="U765" s="71"/>
      <c r="V765" s="71"/>
      <c r="W765" s="71"/>
      <c r="X765" s="71"/>
      <c r="Y765" s="71"/>
      <c r="Z765" s="71"/>
    </row>
    <row r="766" spans="1:26" ht="12.75" hidden="1" customHeight="1" outlineLevel="1">
      <c r="A766" s="3"/>
      <c r="B766" s="3"/>
      <c r="C766" s="29"/>
      <c r="D766" s="133">
        <f>Asset49</f>
        <v>0</v>
      </c>
      <c r="E766" s="3"/>
      <c r="F766" s="3"/>
      <c r="G766" s="1393">
        <f>'RFM input'!I55</f>
        <v>0</v>
      </c>
      <c r="H766" s="1341">
        <f t="shared" si="8"/>
        <v>0</v>
      </c>
      <c r="I766" s="1341">
        <f t="shared" si="9"/>
        <v>0</v>
      </c>
      <c r="J766" s="1341">
        <f t="shared" si="9"/>
        <v>0</v>
      </c>
      <c r="K766" s="1341">
        <f>IF(COUNT($H766:J766)&gt;'RFM input'!$V$7,0, J766+J818+J870)</f>
        <v>0</v>
      </c>
      <c r="L766" s="1341">
        <f>IF(COUNT($H766:K766)&gt;'RFM input'!$V$7,0, K766+K818+K870)</f>
        <v>0</v>
      </c>
      <c r="M766" s="1341">
        <f>IF(COUNT($H766:L766)&gt;'RFM input'!$V$7,0, L766+L818+L870)</f>
        <v>0</v>
      </c>
      <c r="N766" s="1341">
        <f>IF(COUNT($H766:M766)&gt;'RFM input'!$V$7,0, M766+M818+M870)</f>
        <v>0</v>
      </c>
      <c r="O766" s="1341">
        <f>IF(COUNT($H766:N766)&gt;'RFM input'!$V$7,0, N766+N818+N870)</f>
        <v>0</v>
      </c>
      <c r="P766" s="1341">
        <f>IF(COUNT($H766:O766)&gt;'RFM input'!$V$7,0, O766+O818+O870)</f>
        <v>0</v>
      </c>
      <c r="Q766" s="1341">
        <f>IF(COUNT($H766:P766)&gt;'RFM input'!$V$7,0, P766+P818+P870)</f>
        <v>0</v>
      </c>
      <c r="R766" s="1341">
        <f>IF(COUNT($H766:Q766)&gt;'RFM input'!$V$7,0, Q766+Q818+Q870)</f>
        <v>0</v>
      </c>
      <c r="S766" s="71"/>
      <c r="T766" s="71"/>
      <c r="U766" s="71"/>
      <c r="V766" s="71"/>
      <c r="W766" s="71"/>
      <c r="X766" s="71"/>
      <c r="Y766" s="71"/>
      <c r="Z766" s="71"/>
    </row>
    <row r="767" spans="1:26" ht="12.75" hidden="1" customHeight="1" outlineLevel="1">
      <c r="A767" s="3"/>
      <c r="B767" s="3"/>
      <c r="C767" s="29"/>
      <c r="D767" s="133">
        <f>Asset50</f>
        <v>0</v>
      </c>
      <c r="E767" s="3"/>
      <c r="F767" s="3"/>
      <c r="G767" s="1393">
        <f>'RFM input'!I56</f>
        <v>0</v>
      </c>
      <c r="H767" s="1341">
        <f t="shared" si="8"/>
        <v>0</v>
      </c>
      <c r="I767" s="1341">
        <f t="shared" si="9"/>
        <v>0</v>
      </c>
      <c r="J767" s="1341">
        <f t="shared" si="9"/>
        <v>0</v>
      </c>
      <c r="K767" s="1341">
        <f>IF(COUNT($H767:J767)&gt;'RFM input'!$V$7,0, J767+J819+J871)</f>
        <v>0</v>
      </c>
      <c r="L767" s="1341">
        <f>IF(COUNT($H767:K767)&gt;'RFM input'!$V$7,0, K767+K819+K871)</f>
        <v>0</v>
      </c>
      <c r="M767" s="1341">
        <f>IF(COUNT($H767:L767)&gt;'RFM input'!$V$7,0, L767+L819+L871)</f>
        <v>0</v>
      </c>
      <c r="N767" s="1341">
        <f>IF(COUNT($H767:M767)&gt;'RFM input'!$V$7,0, M767+M819+M871)</f>
        <v>0</v>
      </c>
      <c r="O767" s="1341">
        <f>IF(COUNT($H767:N767)&gt;'RFM input'!$V$7,0, N767+N819+N871)</f>
        <v>0</v>
      </c>
      <c r="P767" s="1341">
        <f>IF(COUNT($H767:O767)&gt;'RFM input'!$V$7,0, O767+O819+O871)</f>
        <v>0</v>
      </c>
      <c r="Q767" s="1341">
        <f>IF(COUNT($H767:P767)&gt;'RFM input'!$V$7,0, P767+P819+P871)</f>
        <v>0</v>
      </c>
      <c r="R767" s="1341">
        <f>IF(COUNT($H767:Q767)&gt;'RFM input'!$V$7,0, Q767+Q819+Q871)</f>
        <v>0</v>
      </c>
      <c r="S767" s="71"/>
      <c r="T767" s="71"/>
      <c r="U767" s="71"/>
      <c r="V767" s="71"/>
      <c r="W767" s="71"/>
      <c r="X767" s="71"/>
      <c r="Y767" s="71"/>
      <c r="Z767" s="71"/>
    </row>
    <row r="768" spans="1:26" collapsed="1">
      <c r="A768" s="3"/>
      <c r="B768" s="3"/>
      <c r="C768" s="29"/>
      <c r="D768" s="81"/>
      <c r="E768" s="3"/>
      <c r="F768" s="3"/>
      <c r="G768" s="1392"/>
      <c r="H768" s="248"/>
      <c r="I768" s="248"/>
      <c r="J768" s="248"/>
      <c r="K768" s="248"/>
      <c r="L768" s="248"/>
      <c r="M768" s="248"/>
      <c r="N768" s="248"/>
      <c r="O768" s="248"/>
      <c r="P768" s="248"/>
      <c r="Q768" s="248"/>
      <c r="R768" s="248"/>
      <c r="S768" s="71"/>
      <c r="T768" s="71"/>
      <c r="U768" s="71"/>
      <c r="V768" s="71"/>
      <c r="W768" s="71"/>
      <c r="X768" s="71"/>
      <c r="Y768" s="71"/>
      <c r="Z768" s="71"/>
    </row>
    <row r="769" spans="1:26">
      <c r="A769" s="3"/>
      <c r="B769" s="3"/>
      <c r="C769" s="29" t="s">
        <v>25</v>
      </c>
      <c r="D769" s="3"/>
      <c r="E769" s="3"/>
      <c r="F769" s="3"/>
      <c r="G769" s="1392">
        <f>SUM(G770:G819)</f>
        <v>0</v>
      </c>
      <c r="H769" s="248">
        <f t="shared" ref="H769:Q769" si="10">SUM(H770:H819)</f>
        <v>20.434011071187992</v>
      </c>
      <c r="I769" s="248">
        <f t="shared" si="10"/>
        <v>21.574426185910234</v>
      </c>
      <c r="J769" s="248">
        <f t="shared" si="10"/>
        <v>22.734955229853625</v>
      </c>
      <c r="K769" s="248">
        <f t="shared" si="10"/>
        <v>20.475169303628487</v>
      </c>
      <c r="L769" s="248">
        <f t="shared" si="10"/>
        <v>18.655144289468236</v>
      </c>
      <c r="M769" s="248">
        <f t="shared" si="10"/>
        <v>24.988089847771892</v>
      </c>
      <c r="N769" s="248">
        <f t="shared" si="10"/>
        <v>9.5657366798320371</v>
      </c>
      <c r="O769" s="248">
        <f t="shared" si="10"/>
        <v>0</v>
      </c>
      <c r="P769" s="248">
        <f t="shared" si="10"/>
        <v>0</v>
      </c>
      <c r="Q769" s="248">
        <f t="shared" si="10"/>
        <v>0</v>
      </c>
      <c r="R769" s="248"/>
      <c r="S769" s="71"/>
      <c r="T769" s="71"/>
      <c r="U769" s="71"/>
      <c r="V769" s="71"/>
      <c r="W769" s="71"/>
      <c r="X769" s="71"/>
      <c r="Y769" s="71"/>
      <c r="Z769" s="71"/>
    </row>
    <row r="770" spans="1:26" ht="12.75" hidden="1" customHeight="1" outlineLevel="1">
      <c r="A770" s="3"/>
      <c r="B770" s="1471" t="s">
        <v>1144</v>
      </c>
      <c r="C770" s="29"/>
      <c r="D770" s="133" t="str">
        <f>Asset1</f>
        <v>Mains</v>
      </c>
      <c r="E770" s="3"/>
      <c r="F770" s="3"/>
      <c r="G770" s="1394">
        <f>'RFM input'!L7</f>
        <v>0</v>
      </c>
      <c r="H770" s="1341">
        <f t="shared" ref="H770:Q770" si="11">H12*H$7</f>
        <v>10.592498801825402</v>
      </c>
      <c r="I770" s="1341">
        <f t="shared" si="11"/>
        <v>11.740338298299283</v>
      </c>
      <c r="J770" s="1341">
        <f t="shared" si="11"/>
        <v>11.407936156415911</v>
      </c>
      <c r="K770" s="1341">
        <f t="shared" si="11"/>
        <v>9.8938789958066682</v>
      </c>
      <c r="L770" s="1341">
        <f>L12*L$7</f>
        <v>8.0494997447293901</v>
      </c>
      <c r="M770" s="1341">
        <f t="shared" si="11"/>
        <v>15.283263610596505</v>
      </c>
      <c r="N770" s="1341">
        <f t="shared" si="11"/>
        <v>3.8431791005097722</v>
      </c>
      <c r="O770" s="1341">
        <f t="shared" si="11"/>
        <v>0</v>
      </c>
      <c r="P770" s="1341">
        <f t="shared" si="11"/>
        <v>0</v>
      </c>
      <c r="Q770" s="1341">
        <f t="shared" si="11"/>
        <v>0</v>
      </c>
      <c r="R770" s="248"/>
      <c r="S770" s="71"/>
      <c r="T770" s="71"/>
      <c r="U770" s="71"/>
      <c r="V770" s="71"/>
      <c r="W770" s="71"/>
      <c r="X770" s="71"/>
      <c r="Y770" s="71"/>
      <c r="Z770" s="71"/>
    </row>
    <row r="771" spans="1:26" ht="12.75" hidden="1" customHeight="1" outlineLevel="1">
      <c r="A771" s="3"/>
      <c r="B771" s="1471" t="s">
        <v>1144</v>
      </c>
      <c r="C771" s="29"/>
      <c r="D771" s="133" t="str">
        <f>Asset2</f>
        <v>Inlets</v>
      </c>
      <c r="E771" s="3"/>
      <c r="F771" s="3"/>
      <c r="G771" s="1394">
        <f>'RFM input'!L8</f>
        <v>0</v>
      </c>
      <c r="H771" s="1341">
        <f t="shared" ref="H771:Q771" si="12">H13*H$7</f>
        <v>5.2109125208740581</v>
      </c>
      <c r="I771" s="1341">
        <f t="shared" si="12"/>
        <v>5.607338595516806</v>
      </c>
      <c r="J771" s="1341">
        <f t="shared" si="12"/>
        <v>6.0029420644752047</v>
      </c>
      <c r="K771" s="1341">
        <f t="shared" si="12"/>
        <v>5.3126327931438917</v>
      </c>
      <c r="L771" s="1341">
        <f t="shared" si="12"/>
        <v>5.9681130196055019</v>
      </c>
      <c r="M771" s="1341">
        <f t="shared" si="12"/>
        <v>4.7024750699293669</v>
      </c>
      <c r="N771" s="1341">
        <f t="shared" si="12"/>
        <v>2.8893316102231528</v>
      </c>
      <c r="O771" s="1341">
        <f t="shared" si="12"/>
        <v>0</v>
      </c>
      <c r="P771" s="1341">
        <f t="shared" si="12"/>
        <v>0</v>
      </c>
      <c r="Q771" s="1341">
        <f t="shared" si="12"/>
        <v>0</v>
      </c>
      <c r="R771" s="248"/>
      <c r="S771" s="71"/>
      <c r="T771" s="71"/>
      <c r="U771" s="71"/>
      <c r="V771" s="71"/>
      <c r="W771" s="71"/>
      <c r="X771" s="71"/>
      <c r="Y771" s="71"/>
      <c r="Z771" s="71"/>
    </row>
    <row r="772" spans="1:26" ht="12.75" hidden="1" customHeight="1" outlineLevel="1">
      <c r="A772" s="3"/>
      <c r="B772" s="1471" t="s">
        <v>1145</v>
      </c>
      <c r="C772" s="29"/>
      <c r="D772" s="133" t="str">
        <f>Asset3</f>
        <v>Meters</v>
      </c>
      <c r="E772" s="3"/>
      <c r="F772" s="3"/>
      <c r="G772" s="1394">
        <f>'RFM input'!L9</f>
        <v>0</v>
      </c>
      <c r="H772" s="1341">
        <f t="shared" ref="H772:Q772" si="13">H14*H$7</f>
        <v>2.9788090772066975</v>
      </c>
      <c r="I772" s="1341">
        <f t="shared" si="13"/>
        <v>3.0256673516773147</v>
      </c>
      <c r="J772" s="1341">
        <f t="shared" si="13"/>
        <v>3.5786654618785483</v>
      </c>
      <c r="K772" s="1341">
        <f t="shared" si="13"/>
        <v>1.8679530377112024</v>
      </c>
      <c r="L772" s="1486">
        <f t="shared" si="13"/>
        <v>2.0982708096819156</v>
      </c>
      <c r="M772" s="1341">
        <f t="shared" si="13"/>
        <v>1.9874677690521931</v>
      </c>
      <c r="N772" s="1341">
        <f t="shared" si="13"/>
        <v>1.0015547002366787</v>
      </c>
      <c r="O772" s="1341">
        <f t="shared" si="13"/>
        <v>0</v>
      </c>
      <c r="P772" s="1341">
        <f t="shared" si="13"/>
        <v>0</v>
      </c>
      <c r="Q772" s="1341">
        <f t="shared" si="13"/>
        <v>0</v>
      </c>
      <c r="R772" s="248"/>
      <c r="S772" s="71"/>
      <c r="T772" s="71"/>
      <c r="U772" s="71"/>
      <c r="V772" s="71"/>
      <c r="W772" s="71"/>
      <c r="X772" s="71"/>
      <c r="Y772" s="71"/>
      <c r="Z772" s="71"/>
    </row>
    <row r="773" spans="1:26" ht="12.75" hidden="1" customHeight="1" outlineLevel="1">
      <c r="A773" s="3"/>
      <c r="B773" s="1471" t="s">
        <v>1146</v>
      </c>
      <c r="C773" s="29"/>
      <c r="D773" s="133" t="str">
        <f>Asset4</f>
        <v>Telemetry</v>
      </c>
      <c r="E773" s="3"/>
      <c r="F773" s="3"/>
      <c r="G773" s="1394">
        <f>'RFM input'!L10</f>
        <v>0</v>
      </c>
      <c r="H773" s="1341">
        <f t="shared" ref="H773:Q773" si="14">H15*H$7</f>
        <v>0.40044823277472485</v>
      </c>
      <c r="I773" s="1341">
        <f t="shared" si="14"/>
        <v>0.17644250936733885</v>
      </c>
      <c r="J773" s="1341">
        <f t="shared" si="14"/>
        <v>5.0703531934090086E-2</v>
      </c>
      <c r="K773" s="1341">
        <f t="shared" si="14"/>
        <v>0.10807612166531454</v>
      </c>
      <c r="L773" s="1486">
        <f t="shared" si="14"/>
        <v>6.6744623858434785E-2</v>
      </c>
      <c r="M773" s="1341">
        <f t="shared" si="14"/>
        <v>6.2146991028222819E-2</v>
      </c>
      <c r="N773" s="1341">
        <f t="shared" si="14"/>
        <v>3.97826344641177E-2</v>
      </c>
      <c r="O773" s="1341">
        <f t="shared" si="14"/>
        <v>0</v>
      </c>
      <c r="P773" s="1341">
        <f t="shared" si="14"/>
        <v>0</v>
      </c>
      <c r="Q773" s="1341">
        <f t="shared" si="14"/>
        <v>0</v>
      </c>
      <c r="R773" s="248"/>
      <c r="S773" s="71"/>
      <c r="T773" s="71"/>
      <c r="U773" s="71"/>
      <c r="V773" s="71"/>
      <c r="W773" s="71"/>
      <c r="X773" s="71"/>
      <c r="Y773" s="71"/>
      <c r="Z773" s="71"/>
    </row>
    <row r="774" spans="1:26" ht="12.75" hidden="1" customHeight="1" outlineLevel="1">
      <c r="A774" s="3"/>
      <c r="B774" s="1471" t="s">
        <v>1143</v>
      </c>
      <c r="C774" s="29"/>
      <c r="D774" s="133" t="str">
        <f>Asset5</f>
        <v>IT System</v>
      </c>
      <c r="E774" s="3"/>
      <c r="F774" s="3"/>
      <c r="G774" s="1394">
        <f>'RFM input'!L11</f>
        <v>0</v>
      </c>
      <c r="H774" s="1341">
        <f t="shared" ref="H774:Q774" si="15">H16*H$7</f>
        <v>0.19475701846081275</v>
      </c>
      <c r="I774" s="1341">
        <f t="shared" si="15"/>
        <v>0.5306246424612111</v>
      </c>
      <c r="J774" s="1341">
        <f t="shared" si="15"/>
        <v>0.91305844702993399</v>
      </c>
      <c r="K774" s="1341">
        <f t="shared" si="15"/>
        <v>1.4718589259464536</v>
      </c>
      <c r="L774" s="1486">
        <f t="shared" si="15"/>
        <v>1.5434031731737936</v>
      </c>
      <c r="M774" s="1341">
        <f t="shared" si="15"/>
        <v>2.005849263586712</v>
      </c>
      <c r="N774" s="1341">
        <f t="shared" si="15"/>
        <v>0.86858742810999889</v>
      </c>
      <c r="O774" s="1341">
        <f t="shared" si="15"/>
        <v>0</v>
      </c>
      <c r="P774" s="1341">
        <f t="shared" si="15"/>
        <v>0</v>
      </c>
      <c r="Q774" s="1341">
        <f t="shared" si="15"/>
        <v>0</v>
      </c>
      <c r="R774" s="248"/>
      <c r="S774" s="71"/>
      <c r="T774" s="71"/>
      <c r="U774" s="71"/>
      <c r="V774" s="71"/>
      <c r="W774" s="71"/>
      <c r="X774" s="71"/>
      <c r="Y774" s="71"/>
      <c r="Z774" s="71"/>
    </row>
    <row r="775" spans="1:26" ht="12.75" hidden="1" customHeight="1" outlineLevel="1">
      <c r="A775" s="3"/>
      <c r="B775" s="1471" t="s">
        <v>1147</v>
      </c>
      <c r="C775" s="29"/>
      <c r="D775" s="133" t="str">
        <f>Asset6</f>
        <v>Other Distribution System Equipment</v>
      </c>
      <c r="E775" s="3"/>
      <c r="F775" s="3"/>
      <c r="G775" s="1394">
        <f>'RFM input'!L12</f>
        <v>0</v>
      </c>
      <c r="H775" s="1341">
        <f t="shared" ref="H775:Q775" si="16">H17*H$7</f>
        <v>1.0862452599684167</v>
      </c>
      <c r="I775" s="1341">
        <f t="shared" si="16"/>
        <v>0.49401478858828102</v>
      </c>
      <c r="J775" s="1341">
        <f t="shared" si="16"/>
        <v>0.78164956811994279</v>
      </c>
      <c r="K775" s="1341">
        <f t="shared" si="16"/>
        <v>1.820769429354957</v>
      </c>
      <c r="L775" s="1341">
        <f t="shared" si="16"/>
        <v>0.92911291841920374</v>
      </c>
      <c r="M775" s="1341">
        <f t="shared" si="16"/>
        <v>0.94688714357889336</v>
      </c>
      <c r="N775" s="1341">
        <f t="shared" si="16"/>
        <v>0.92330120628831658</v>
      </c>
      <c r="O775" s="1341">
        <f t="shared" si="16"/>
        <v>0</v>
      </c>
      <c r="P775" s="1341">
        <f t="shared" si="16"/>
        <v>0</v>
      </c>
      <c r="Q775" s="1341">
        <f t="shared" si="16"/>
        <v>0</v>
      </c>
      <c r="R775" s="248"/>
      <c r="S775" s="71"/>
      <c r="T775" s="71"/>
      <c r="U775" s="71"/>
      <c r="V775" s="71"/>
      <c r="W775" s="71"/>
      <c r="X775" s="71"/>
      <c r="Y775" s="71"/>
      <c r="Z775" s="71"/>
    </row>
    <row r="776" spans="1:26" ht="12.75" hidden="1" customHeight="1" outlineLevel="1">
      <c r="A776" s="3"/>
      <c r="B776" s="1471" t="s">
        <v>1148</v>
      </c>
      <c r="C776" s="29"/>
      <c r="D776" s="133" t="str">
        <f>Asset7</f>
        <v>Other</v>
      </c>
      <c r="E776" s="3"/>
      <c r="F776" s="3"/>
      <c r="G776" s="1394">
        <f>'RFM input'!L13</f>
        <v>0</v>
      </c>
      <c r="H776" s="1341">
        <f t="shared" ref="H776:Q776" si="17">H18*H$7</f>
        <v>-2.9659839922120616E-2</v>
      </c>
      <c r="I776" s="1341">
        <f t="shared" si="17"/>
        <v>0</v>
      </c>
      <c r="J776" s="1341">
        <f t="shared" si="17"/>
        <v>0</v>
      </c>
      <c r="K776" s="1341">
        <f t="shared" si="17"/>
        <v>0</v>
      </c>
      <c r="L776" s="1341">
        <f t="shared" si="17"/>
        <v>0</v>
      </c>
      <c r="M776" s="1341">
        <f t="shared" si="17"/>
        <v>0</v>
      </c>
      <c r="N776" s="1341">
        <f t="shared" si="17"/>
        <v>0</v>
      </c>
      <c r="O776" s="1341">
        <f t="shared" si="17"/>
        <v>0</v>
      </c>
      <c r="P776" s="1341">
        <f t="shared" si="17"/>
        <v>0</v>
      </c>
      <c r="Q776" s="1341">
        <f t="shared" si="17"/>
        <v>0</v>
      </c>
      <c r="R776" s="248"/>
      <c r="S776" s="71"/>
      <c r="T776" s="71"/>
      <c r="U776" s="71"/>
      <c r="V776" s="71"/>
      <c r="W776" s="71"/>
      <c r="X776" s="71"/>
      <c r="Y776" s="71"/>
      <c r="Z776" s="71"/>
    </row>
    <row r="777" spans="1:26" ht="12.75" hidden="1" customHeight="1" outlineLevel="1">
      <c r="A777" s="3"/>
      <c r="B777" s="3"/>
      <c r="C777" s="29"/>
      <c r="D777" s="133">
        <f>Asset8</f>
        <v>0</v>
      </c>
      <c r="E777" s="3"/>
      <c r="F777" s="3"/>
      <c r="G777" s="1394">
        <f>'RFM input'!L14</f>
        <v>0</v>
      </c>
      <c r="H777" s="1341">
        <f t="shared" ref="H777:Q777" si="18">H19*H$7</f>
        <v>0</v>
      </c>
      <c r="I777" s="1341">
        <f t="shared" si="18"/>
        <v>0</v>
      </c>
      <c r="J777" s="1341">
        <f t="shared" si="18"/>
        <v>0</v>
      </c>
      <c r="K777" s="1341">
        <f t="shared" si="18"/>
        <v>0</v>
      </c>
      <c r="L777" s="1341">
        <f t="shared" si="18"/>
        <v>0</v>
      </c>
      <c r="M777" s="1341">
        <f t="shared" si="18"/>
        <v>0</v>
      </c>
      <c r="N777" s="1341">
        <f t="shared" si="18"/>
        <v>0</v>
      </c>
      <c r="O777" s="1341">
        <f t="shared" si="18"/>
        <v>0</v>
      </c>
      <c r="P777" s="1341">
        <f t="shared" si="18"/>
        <v>0</v>
      </c>
      <c r="Q777" s="1341">
        <f t="shared" si="18"/>
        <v>0</v>
      </c>
      <c r="R777" s="248"/>
      <c r="S777" s="71"/>
      <c r="T777" s="71"/>
      <c r="U777" s="71"/>
      <c r="V777" s="71"/>
      <c r="W777" s="71"/>
      <c r="X777" s="71"/>
      <c r="Y777" s="71"/>
      <c r="Z777" s="71"/>
    </row>
    <row r="778" spans="1:26" ht="12.75" hidden="1" customHeight="1" outlineLevel="1">
      <c r="A778" s="3"/>
      <c r="B778" s="3"/>
      <c r="C778" s="29"/>
      <c r="D778" s="133">
        <f>Asset9</f>
        <v>0</v>
      </c>
      <c r="E778" s="3"/>
      <c r="F778" s="3"/>
      <c r="G778" s="1394">
        <f>'RFM input'!L15</f>
        <v>0</v>
      </c>
      <c r="H778" s="1341">
        <f t="shared" ref="H778:Q778" si="19">H20*H$7</f>
        <v>0</v>
      </c>
      <c r="I778" s="1341">
        <f t="shared" si="19"/>
        <v>0</v>
      </c>
      <c r="J778" s="1341">
        <f t="shared" si="19"/>
        <v>0</v>
      </c>
      <c r="K778" s="1341">
        <f t="shared" si="19"/>
        <v>0</v>
      </c>
      <c r="L778" s="1341">
        <f t="shared" si="19"/>
        <v>0</v>
      </c>
      <c r="M778" s="1341">
        <f t="shared" si="19"/>
        <v>0</v>
      </c>
      <c r="N778" s="1341">
        <f t="shared" si="19"/>
        <v>0</v>
      </c>
      <c r="O778" s="1341">
        <f t="shared" si="19"/>
        <v>0</v>
      </c>
      <c r="P778" s="1341">
        <f t="shared" si="19"/>
        <v>0</v>
      </c>
      <c r="Q778" s="1341">
        <f t="shared" si="19"/>
        <v>0</v>
      </c>
      <c r="R778" s="248"/>
      <c r="S778" s="71"/>
      <c r="T778" s="71"/>
      <c r="U778" s="71"/>
      <c r="V778" s="71"/>
      <c r="W778" s="71"/>
      <c r="X778" s="71"/>
      <c r="Y778" s="71"/>
      <c r="Z778" s="71"/>
    </row>
    <row r="779" spans="1:26" ht="12.75" hidden="1" customHeight="1" outlineLevel="1">
      <c r="A779" s="3"/>
      <c r="B779" s="3"/>
      <c r="C779" s="29"/>
      <c r="D779" s="133">
        <f>Asset10</f>
        <v>0</v>
      </c>
      <c r="E779" s="3"/>
      <c r="F779" s="3"/>
      <c r="G779" s="1394">
        <f>'RFM input'!L16</f>
        <v>0</v>
      </c>
      <c r="H779" s="1341">
        <f t="shared" ref="H779:Q779" si="20">H21*H$7</f>
        <v>0</v>
      </c>
      <c r="I779" s="1341">
        <f t="shared" si="20"/>
        <v>0</v>
      </c>
      <c r="J779" s="1341">
        <f t="shared" si="20"/>
        <v>0</v>
      </c>
      <c r="K779" s="1341">
        <f t="shared" si="20"/>
        <v>0</v>
      </c>
      <c r="L779" s="1341">
        <f t="shared" si="20"/>
        <v>0</v>
      </c>
      <c r="M779" s="1341">
        <f t="shared" si="20"/>
        <v>0</v>
      </c>
      <c r="N779" s="1341">
        <f t="shared" si="20"/>
        <v>0</v>
      </c>
      <c r="O779" s="1341">
        <f t="shared" si="20"/>
        <v>0</v>
      </c>
      <c r="P779" s="1341">
        <f t="shared" si="20"/>
        <v>0</v>
      </c>
      <c r="Q779" s="1341">
        <f t="shared" si="20"/>
        <v>0</v>
      </c>
      <c r="R779" s="248"/>
      <c r="S779" s="71"/>
      <c r="T779" s="71"/>
      <c r="U779" s="71"/>
      <c r="V779" s="71"/>
      <c r="W779" s="71"/>
      <c r="X779" s="71"/>
      <c r="Y779" s="71"/>
      <c r="Z779" s="71"/>
    </row>
    <row r="780" spans="1:26" ht="12.75" hidden="1" customHeight="1" outlineLevel="1">
      <c r="A780" s="3"/>
      <c r="B780" s="3"/>
      <c r="C780" s="29"/>
      <c r="D780" s="133">
        <f>Asset11</f>
        <v>0</v>
      </c>
      <c r="E780" s="3"/>
      <c r="F780" s="3"/>
      <c r="G780" s="1394">
        <f>'RFM input'!L17</f>
        <v>0</v>
      </c>
      <c r="H780" s="1341">
        <f t="shared" ref="H780:Q780" si="21">H22*H$7</f>
        <v>0</v>
      </c>
      <c r="I780" s="1341">
        <f t="shared" si="21"/>
        <v>0</v>
      </c>
      <c r="J780" s="1341">
        <f t="shared" si="21"/>
        <v>0</v>
      </c>
      <c r="K780" s="1341">
        <f t="shared" si="21"/>
        <v>0</v>
      </c>
      <c r="L780" s="1341">
        <f t="shared" si="21"/>
        <v>0</v>
      </c>
      <c r="M780" s="1341">
        <f t="shared" si="21"/>
        <v>0</v>
      </c>
      <c r="N780" s="1341">
        <f t="shared" si="21"/>
        <v>0</v>
      </c>
      <c r="O780" s="1341">
        <f t="shared" si="21"/>
        <v>0</v>
      </c>
      <c r="P780" s="1341">
        <f t="shared" si="21"/>
        <v>0</v>
      </c>
      <c r="Q780" s="1341">
        <f t="shared" si="21"/>
        <v>0</v>
      </c>
      <c r="R780" s="248"/>
      <c r="S780" s="71"/>
      <c r="T780" s="71"/>
      <c r="U780" s="71"/>
      <c r="V780" s="71"/>
      <c r="W780" s="71"/>
      <c r="X780" s="71"/>
      <c r="Y780" s="71"/>
      <c r="Z780" s="71"/>
    </row>
    <row r="781" spans="1:26" ht="12.75" hidden="1" customHeight="1" outlineLevel="1">
      <c r="A781" s="3"/>
      <c r="B781" s="3"/>
      <c r="C781" s="29"/>
      <c r="D781" s="133">
        <f>Asset12</f>
        <v>0</v>
      </c>
      <c r="E781" s="3"/>
      <c r="F781" s="3"/>
      <c r="G781" s="1394">
        <f>'RFM input'!L18</f>
        <v>0</v>
      </c>
      <c r="H781" s="1341">
        <f t="shared" ref="H781:Q781" si="22">H23*H$7</f>
        <v>0</v>
      </c>
      <c r="I781" s="1341">
        <f t="shared" si="22"/>
        <v>0</v>
      </c>
      <c r="J781" s="1341">
        <f t="shared" si="22"/>
        <v>0</v>
      </c>
      <c r="K781" s="1341">
        <f t="shared" si="22"/>
        <v>0</v>
      </c>
      <c r="L781" s="1341">
        <f t="shared" si="22"/>
        <v>0</v>
      </c>
      <c r="M781" s="1341">
        <f t="shared" si="22"/>
        <v>0</v>
      </c>
      <c r="N781" s="1341">
        <f t="shared" si="22"/>
        <v>0</v>
      </c>
      <c r="O781" s="1341">
        <f t="shared" si="22"/>
        <v>0</v>
      </c>
      <c r="P781" s="1341">
        <f t="shared" si="22"/>
        <v>0</v>
      </c>
      <c r="Q781" s="1341">
        <f t="shared" si="22"/>
        <v>0</v>
      </c>
      <c r="R781" s="248"/>
      <c r="S781" s="71"/>
      <c r="T781" s="71"/>
      <c r="U781" s="71"/>
      <c r="V781" s="71"/>
      <c r="W781" s="71"/>
      <c r="X781" s="71"/>
      <c r="Y781" s="71"/>
      <c r="Z781" s="71"/>
    </row>
    <row r="782" spans="1:26" ht="12.75" hidden="1" customHeight="1" outlineLevel="1">
      <c r="A782" s="3"/>
      <c r="B782" s="3"/>
      <c r="C782" s="29"/>
      <c r="D782" s="133">
        <f>Asset13</f>
        <v>0</v>
      </c>
      <c r="E782" s="3"/>
      <c r="F782" s="3"/>
      <c r="G782" s="1394">
        <f>'RFM input'!L19</f>
        <v>0</v>
      </c>
      <c r="H782" s="1341">
        <f t="shared" ref="H782:Q782" si="23">H24*H$7</f>
        <v>0</v>
      </c>
      <c r="I782" s="1341">
        <f t="shared" si="23"/>
        <v>0</v>
      </c>
      <c r="J782" s="1341">
        <f t="shared" si="23"/>
        <v>0</v>
      </c>
      <c r="K782" s="1341">
        <f t="shared" si="23"/>
        <v>0</v>
      </c>
      <c r="L782" s="1341">
        <f t="shared" si="23"/>
        <v>0</v>
      </c>
      <c r="M782" s="1341">
        <f t="shared" si="23"/>
        <v>0</v>
      </c>
      <c r="N782" s="1341">
        <f t="shared" si="23"/>
        <v>0</v>
      </c>
      <c r="O782" s="1341">
        <f t="shared" si="23"/>
        <v>0</v>
      </c>
      <c r="P782" s="1341">
        <f t="shared" si="23"/>
        <v>0</v>
      </c>
      <c r="Q782" s="1341">
        <f t="shared" si="23"/>
        <v>0</v>
      </c>
      <c r="R782" s="248"/>
      <c r="S782" s="71"/>
      <c r="T782" s="71"/>
      <c r="U782" s="71"/>
      <c r="V782" s="71"/>
      <c r="W782" s="71"/>
      <c r="X782" s="71"/>
      <c r="Y782" s="71"/>
      <c r="Z782" s="71"/>
    </row>
    <row r="783" spans="1:26" ht="12.75" hidden="1" customHeight="1" outlineLevel="1">
      <c r="A783" s="3"/>
      <c r="B783" s="3"/>
      <c r="C783" s="29"/>
      <c r="D783" s="133">
        <f>Asset14</f>
        <v>0</v>
      </c>
      <c r="E783" s="3"/>
      <c r="F783" s="3"/>
      <c r="G783" s="1394">
        <f>'RFM input'!L20</f>
        <v>0</v>
      </c>
      <c r="H783" s="1341">
        <f t="shared" ref="H783:Q783" si="24">H25*H$7</f>
        <v>0</v>
      </c>
      <c r="I783" s="1341">
        <f t="shared" si="24"/>
        <v>0</v>
      </c>
      <c r="J783" s="1341">
        <f t="shared" si="24"/>
        <v>0</v>
      </c>
      <c r="K783" s="1341">
        <f t="shared" si="24"/>
        <v>0</v>
      </c>
      <c r="L783" s="1341">
        <f t="shared" si="24"/>
        <v>0</v>
      </c>
      <c r="M783" s="1341">
        <f t="shared" si="24"/>
        <v>0</v>
      </c>
      <c r="N783" s="1341">
        <f t="shared" si="24"/>
        <v>0</v>
      </c>
      <c r="O783" s="1341">
        <f t="shared" si="24"/>
        <v>0</v>
      </c>
      <c r="P783" s="1341">
        <f t="shared" si="24"/>
        <v>0</v>
      </c>
      <c r="Q783" s="1341">
        <f t="shared" si="24"/>
        <v>0</v>
      </c>
      <c r="R783" s="248"/>
      <c r="S783" s="71"/>
      <c r="T783" s="71"/>
      <c r="U783" s="71"/>
      <c r="V783" s="71"/>
      <c r="W783" s="71"/>
      <c r="X783" s="71"/>
      <c r="Y783" s="71"/>
      <c r="Z783" s="71"/>
    </row>
    <row r="784" spans="1:26" ht="12.75" hidden="1" customHeight="1" outlineLevel="1">
      <c r="A784" s="3"/>
      <c r="B784" s="3"/>
      <c r="C784" s="29"/>
      <c r="D784" s="133">
        <f>Asset15</f>
        <v>0</v>
      </c>
      <c r="E784" s="3"/>
      <c r="F784" s="3"/>
      <c r="G784" s="1394">
        <f>'RFM input'!L21</f>
        <v>0</v>
      </c>
      <c r="H784" s="1341">
        <f t="shared" ref="H784:Q784" si="25">H26*H$7</f>
        <v>0</v>
      </c>
      <c r="I784" s="1341">
        <f t="shared" si="25"/>
        <v>0</v>
      </c>
      <c r="J784" s="1341">
        <f t="shared" si="25"/>
        <v>0</v>
      </c>
      <c r="K784" s="1341">
        <f t="shared" si="25"/>
        <v>0</v>
      </c>
      <c r="L784" s="1341">
        <f t="shared" si="25"/>
        <v>0</v>
      </c>
      <c r="M784" s="1341">
        <f t="shared" si="25"/>
        <v>0</v>
      </c>
      <c r="N784" s="1341">
        <f t="shared" si="25"/>
        <v>0</v>
      </c>
      <c r="O784" s="1341">
        <f t="shared" si="25"/>
        <v>0</v>
      </c>
      <c r="P784" s="1341">
        <f t="shared" si="25"/>
        <v>0</v>
      </c>
      <c r="Q784" s="1341">
        <f t="shared" si="25"/>
        <v>0</v>
      </c>
      <c r="R784" s="248"/>
      <c r="S784" s="71"/>
      <c r="T784" s="71"/>
      <c r="U784" s="71"/>
      <c r="V784" s="71"/>
      <c r="W784" s="71"/>
      <c r="X784" s="71"/>
      <c r="Y784" s="71"/>
      <c r="Z784" s="71"/>
    </row>
    <row r="785" spans="1:26" ht="12.75" hidden="1" customHeight="1" outlineLevel="1">
      <c r="A785" s="3"/>
      <c r="B785" s="3"/>
      <c r="C785" s="29"/>
      <c r="D785" s="133">
        <f>Asset16</f>
        <v>0</v>
      </c>
      <c r="E785" s="3"/>
      <c r="F785" s="3"/>
      <c r="G785" s="1394">
        <f>'RFM input'!L22</f>
        <v>0</v>
      </c>
      <c r="H785" s="1341">
        <f t="shared" ref="H785:Q785" si="26">H27*H$7</f>
        <v>0</v>
      </c>
      <c r="I785" s="1341">
        <f t="shared" si="26"/>
        <v>0</v>
      </c>
      <c r="J785" s="1341">
        <f t="shared" si="26"/>
        <v>0</v>
      </c>
      <c r="K785" s="1341">
        <f t="shared" si="26"/>
        <v>0</v>
      </c>
      <c r="L785" s="1341">
        <f t="shared" si="26"/>
        <v>0</v>
      </c>
      <c r="M785" s="1341">
        <f t="shared" si="26"/>
        <v>0</v>
      </c>
      <c r="N785" s="1341">
        <f t="shared" si="26"/>
        <v>0</v>
      </c>
      <c r="O785" s="1341">
        <f t="shared" si="26"/>
        <v>0</v>
      </c>
      <c r="P785" s="1341">
        <f t="shared" si="26"/>
        <v>0</v>
      </c>
      <c r="Q785" s="1341">
        <f t="shared" si="26"/>
        <v>0</v>
      </c>
      <c r="R785" s="248"/>
      <c r="S785" s="71"/>
      <c r="T785" s="71"/>
      <c r="U785" s="71"/>
      <c r="V785" s="71"/>
      <c r="W785" s="71"/>
      <c r="X785" s="71"/>
      <c r="Y785" s="71"/>
      <c r="Z785" s="71"/>
    </row>
    <row r="786" spans="1:26" ht="12.75" hidden="1" customHeight="1" outlineLevel="1">
      <c r="A786" s="3"/>
      <c r="B786" s="3"/>
      <c r="C786" s="29"/>
      <c r="D786" s="133">
        <f>Asset17</f>
        <v>0</v>
      </c>
      <c r="E786" s="3"/>
      <c r="F786" s="3"/>
      <c r="G786" s="1394">
        <f>'RFM input'!L23</f>
        <v>0</v>
      </c>
      <c r="H786" s="1341">
        <f t="shared" ref="H786:Q786" si="27">H28*H$7</f>
        <v>0</v>
      </c>
      <c r="I786" s="1341">
        <f t="shared" si="27"/>
        <v>0</v>
      </c>
      <c r="J786" s="1341">
        <f t="shared" si="27"/>
        <v>0</v>
      </c>
      <c r="K786" s="1341">
        <f t="shared" si="27"/>
        <v>0</v>
      </c>
      <c r="L786" s="1341">
        <f t="shared" si="27"/>
        <v>0</v>
      </c>
      <c r="M786" s="1341">
        <f t="shared" si="27"/>
        <v>0</v>
      </c>
      <c r="N786" s="1341">
        <f t="shared" si="27"/>
        <v>0</v>
      </c>
      <c r="O786" s="1341">
        <f t="shared" si="27"/>
        <v>0</v>
      </c>
      <c r="P786" s="1341">
        <f t="shared" si="27"/>
        <v>0</v>
      </c>
      <c r="Q786" s="1341">
        <f t="shared" si="27"/>
        <v>0</v>
      </c>
      <c r="R786" s="248"/>
      <c r="S786" s="71"/>
      <c r="T786" s="71"/>
      <c r="U786" s="71"/>
      <c r="V786" s="71"/>
      <c r="W786" s="71"/>
      <c r="X786" s="71"/>
      <c r="Y786" s="71"/>
      <c r="Z786" s="71"/>
    </row>
    <row r="787" spans="1:26" ht="12.75" hidden="1" customHeight="1" outlineLevel="1">
      <c r="A787" s="3"/>
      <c r="B787" s="3"/>
      <c r="C787" s="29"/>
      <c r="D787" s="133">
        <f>Asset18</f>
        <v>0</v>
      </c>
      <c r="E787" s="3"/>
      <c r="F787" s="3"/>
      <c r="G787" s="1394">
        <f>'RFM input'!L24</f>
        <v>0</v>
      </c>
      <c r="H787" s="1341">
        <f t="shared" ref="H787:Q787" si="28">H29*H$7</f>
        <v>0</v>
      </c>
      <c r="I787" s="1341">
        <f t="shared" si="28"/>
        <v>0</v>
      </c>
      <c r="J787" s="1341">
        <f t="shared" si="28"/>
        <v>0</v>
      </c>
      <c r="K787" s="1341">
        <f t="shared" si="28"/>
        <v>0</v>
      </c>
      <c r="L787" s="1341">
        <f t="shared" si="28"/>
        <v>0</v>
      </c>
      <c r="M787" s="1341">
        <f t="shared" si="28"/>
        <v>0</v>
      </c>
      <c r="N787" s="1341">
        <f t="shared" si="28"/>
        <v>0</v>
      </c>
      <c r="O787" s="1341">
        <f t="shared" si="28"/>
        <v>0</v>
      </c>
      <c r="P787" s="1341">
        <f t="shared" si="28"/>
        <v>0</v>
      </c>
      <c r="Q787" s="1341">
        <f t="shared" si="28"/>
        <v>0</v>
      </c>
      <c r="R787" s="248"/>
      <c r="S787" s="71"/>
      <c r="T787" s="71"/>
      <c r="U787" s="71"/>
      <c r="V787" s="71"/>
      <c r="W787" s="71"/>
      <c r="X787" s="71"/>
      <c r="Y787" s="71"/>
      <c r="Z787" s="71"/>
    </row>
    <row r="788" spans="1:26" ht="12.75" hidden="1" customHeight="1" outlineLevel="1">
      <c r="A788" s="3"/>
      <c r="B788" s="3"/>
      <c r="C788" s="29"/>
      <c r="D788" s="133">
        <f>Asset19</f>
        <v>0</v>
      </c>
      <c r="E788" s="3"/>
      <c r="F788" s="3"/>
      <c r="G788" s="1394">
        <f>'RFM input'!L25</f>
        <v>0</v>
      </c>
      <c r="H788" s="1341">
        <f t="shared" ref="H788:Q788" si="29">H30*H$7</f>
        <v>0</v>
      </c>
      <c r="I788" s="1341">
        <f t="shared" si="29"/>
        <v>0</v>
      </c>
      <c r="J788" s="1341">
        <f t="shared" si="29"/>
        <v>0</v>
      </c>
      <c r="K788" s="1341">
        <f t="shared" si="29"/>
        <v>0</v>
      </c>
      <c r="L788" s="1341">
        <f t="shared" si="29"/>
        <v>0</v>
      </c>
      <c r="M788" s="1341">
        <f t="shared" si="29"/>
        <v>0</v>
      </c>
      <c r="N788" s="1341">
        <f t="shared" si="29"/>
        <v>0</v>
      </c>
      <c r="O788" s="1341">
        <f t="shared" si="29"/>
        <v>0</v>
      </c>
      <c r="P788" s="1341">
        <f t="shared" si="29"/>
        <v>0</v>
      </c>
      <c r="Q788" s="1341">
        <f t="shared" si="29"/>
        <v>0</v>
      </c>
      <c r="R788" s="248"/>
      <c r="S788" s="71"/>
      <c r="T788" s="71"/>
      <c r="U788" s="71"/>
      <c r="V788" s="71"/>
      <c r="W788" s="71"/>
      <c r="X788" s="71"/>
      <c r="Y788" s="71"/>
      <c r="Z788" s="71"/>
    </row>
    <row r="789" spans="1:26" ht="12.75" hidden="1" customHeight="1" outlineLevel="1">
      <c r="A789" s="3"/>
      <c r="B789" s="3"/>
      <c r="C789" s="29"/>
      <c r="D789" s="133">
        <f>Asset20</f>
        <v>0</v>
      </c>
      <c r="E789" s="3"/>
      <c r="F789" s="3"/>
      <c r="G789" s="1394">
        <f>'RFM input'!L26</f>
        <v>0</v>
      </c>
      <c r="H789" s="1341">
        <f t="shared" ref="H789:Q789" si="30">H31*H$7</f>
        <v>0</v>
      </c>
      <c r="I789" s="1341">
        <f t="shared" si="30"/>
        <v>0</v>
      </c>
      <c r="J789" s="1341">
        <f t="shared" si="30"/>
        <v>0</v>
      </c>
      <c r="K789" s="1341">
        <f t="shared" si="30"/>
        <v>0</v>
      </c>
      <c r="L789" s="1341">
        <f t="shared" si="30"/>
        <v>0</v>
      </c>
      <c r="M789" s="1341">
        <f t="shared" si="30"/>
        <v>0</v>
      </c>
      <c r="N789" s="1341">
        <f t="shared" si="30"/>
        <v>0</v>
      </c>
      <c r="O789" s="1341">
        <f t="shared" si="30"/>
        <v>0</v>
      </c>
      <c r="P789" s="1341">
        <f t="shared" si="30"/>
        <v>0</v>
      </c>
      <c r="Q789" s="1341">
        <f t="shared" si="30"/>
        <v>0</v>
      </c>
      <c r="R789" s="248"/>
      <c r="S789" s="71"/>
      <c r="T789" s="71"/>
      <c r="U789" s="71"/>
      <c r="V789" s="71"/>
      <c r="W789" s="71"/>
      <c r="X789" s="71"/>
      <c r="Y789" s="71"/>
      <c r="Z789" s="71"/>
    </row>
    <row r="790" spans="1:26" ht="12.75" hidden="1" customHeight="1" outlineLevel="1">
      <c r="A790" s="3"/>
      <c r="B790" s="3"/>
      <c r="C790" s="29"/>
      <c r="D790" s="133">
        <f>Asset21</f>
        <v>0</v>
      </c>
      <c r="E790" s="3"/>
      <c r="F790" s="3"/>
      <c r="G790" s="1394">
        <f>'RFM input'!L27</f>
        <v>0</v>
      </c>
      <c r="H790" s="1341">
        <f t="shared" ref="H790:Q790" si="31">H32*H$7</f>
        <v>0</v>
      </c>
      <c r="I790" s="1341">
        <f t="shared" si="31"/>
        <v>0</v>
      </c>
      <c r="J790" s="1341">
        <f t="shared" si="31"/>
        <v>0</v>
      </c>
      <c r="K790" s="1341">
        <f t="shared" si="31"/>
        <v>0</v>
      </c>
      <c r="L790" s="1341">
        <f t="shared" si="31"/>
        <v>0</v>
      </c>
      <c r="M790" s="1341">
        <f t="shared" si="31"/>
        <v>0</v>
      </c>
      <c r="N790" s="1341">
        <f t="shared" si="31"/>
        <v>0</v>
      </c>
      <c r="O790" s="1341">
        <f t="shared" si="31"/>
        <v>0</v>
      </c>
      <c r="P790" s="1341">
        <f t="shared" si="31"/>
        <v>0</v>
      </c>
      <c r="Q790" s="1341">
        <f t="shared" si="31"/>
        <v>0</v>
      </c>
      <c r="R790" s="248"/>
      <c r="S790" s="71"/>
      <c r="T790" s="71"/>
      <c r="U790" s="71"/>
      <c r="V790" s="71"/>
      <c r="W790" s="71"/>
      <c r="X790" s="71"/>
      <c r="Y790" s="71"/>
      <c r="Z790" s="71"/>
    </row>
    <row r="791" spans="1:26" ht="12.75" hidden="1" customHeight="1" outlineLevel="1">
      <c r="A791" s="3"/>
      <c r="B791" s="3"/>
      <c r="C791" s="29"/>
      <c r="D791" s="133">
        <f>Asset22</f>
        <v>0</v>
      </c>
      <c r="E791" s="3"/>
      <c r="F791" s="3"/>
      <c r="G791" s="1394">
        <f>'RFM input'!L28</f>
        <v>0</v>
      </c>
      <c r="H791" s="1341">
        <f t="shared" ref="H791:Q791" si="32">H33*H$7</f>
        <v>0</v>
      </c>
      <c r="I791" s="1341">
        <f t="shared" si="32"/>
        <v>0</v>
      </c>
      <c r="J791" s="1341">
        <f t="shared" si="32"/>
        <v>0</v>
      </c>
      <c r="K791" s="1341">
        <f t="shared" si="32"/>
        <v>0</v>
      </c>
      <c r="L791" s="1341">
        <f t="shared" si="32"/>
        <v>0</v>
      </c>
      <c r="M791" s="1341">
        <f t="shared" si="32"/>
        <v>0</v>
      </c>
      <c r="N791" s="1341">
        <f t="shared" si="32"/>
        <v>0</v>
      </c>
      <c r="O791" s="1341">
        <f t="shared" si="32"/>
        <v>0</v>
      </c>
      <c r="P791" s="1341">
        <f t="shared" si="32"/>
        <v>0</v>
      </c>
      <c r="Q791" s="1341">
        <f t="shared" si="32"/>
        <v>0</v>
      </c>
      <c r="R791" s="248"/>
      <c r="S791" s="71"/>
      <c r="T791" s="71"/>
      <c r="U791" s="71"/>
      <c r="V791" s="71"/>
      <c r="W791" s="71"/>
      <c r="X791" s="71"/>
      <c r="Y791" s="71"/>
      <c r="Z791" s="71"/>
    </row>
    <row r="792" spans="1:26" ht="12.75" hidden="1" customHeight="1" outlineLevel="1">
      <c r="A792" s="3"/>
      <c r="B792" s="3"/>
      <c r="C792" s="29"/>
      <c r="D792" s="133">
        <f>Asset23</f>
        <v>0</v>
      </c>
      <c r="E792" s="3"/>
      <c r="F792" s="3"/>
      <c r="G792" s="1394">
        <f>'RFM input'!L29</f>
        <v>0</v>
      </c>
      <c r="H792" s="1341">
        <f t="shared" ref="H792:Q792" si="33">H34*H$7</f>
        <v>0</v>
      </c>
      <c r="I792" s="1341">
        <f t="shared" si="33"/>
        <v>0</v>
      </c>
      <c r="J792" s="1341">
        <f t="shared" si="33"/>
        <v>0</v>
      </c>
      <c r="K792" s="1341">
        <f t="shared" si="33"/>
        <v>0</v>
      </c>
      <c r="L792" s="1341">
        <f t="shared" si="33"/>
        <v>0</v>
      </c>
      <c r="M792" s="1341">
        <f t="shared" si="33"/>
        <v>0</v>
      </c>
      <c r="N792" s="1341">
        <f t="shared" si="33"/>
        <v>0</v>
      </c>
      <c r="O792" s="1341">
        <f t="shared" si="33"/>
        <v>0</v>
      </c>
      <c r="P792" s="1341">
        <f t="shared" si="33"/>
        <v>0</v>
      </c>
      <c r="Q792" s="1341">
        <f t="shared" si="33"/>
        <v>0</v>
      </c>
      <c r="R792" s="248"/>
      <c r="S792" s="71"/>
      <c r="T792" s="71"/>
      <c r="U792" s="71"/>
      <c r="V792" s="71"/>
      <c r="W792" s="71"/>
      <c r="X792" s="71"/>
      <c r="Y792" s="71"/>
      <c r="Z792" s="71"/>
    </row>
    <row r="793" spans="1:26" ht="12.75" hidden="1" customHeight="1" outlineLevel="1">
      <c r="A793" s="3"/>
      <c r="B793" s="3"/>
      <c r="C793" s="29"/>
      <c r="D793" s="133">
        <f>Asset24</f>
        <v>0</v>
      </c>
      <c r="E793" s="3"/>
      <c r="F793" s="3"/>
      <c r="G793" s="1394">
        <f>'RFM input'!L30</f>
        <v>0</v>
      </c>
      <c r="H793" s="1341">
        <f t="shared" ref="H793:Q793" si="34">H35*H$7</f>
        <v>0</v>
      </c>
      <c r="I793" s="1341">
        <f t="shared" si="34"/>
        <v>0</v>
      </c>
      <c r="J793" s="1341">
        <f t="shared" si="34"/>
        <v>0</v>
      </c>
      <c r="K793" s="1341">
        <f t="shared" si="34"/>
        <v>0</v>
      </c>
      <c r="L793" s="1341">
        <f t="shared" si="34"/>
        <v>0</v>
      </c>
      <c r="M793" s="1341">
        <f t="shared" si="34"/>
        <v>0</v>
      </c>
      <c r="N793" s="1341">
        <f t="shared" si="34"/>
        <v>0</v>
      </c>
      <c r="O793" s="1341">
        <f t="shared" si="34"/>
        <v>0</v>
      </c>
      <c r="P793" s="1341">
        <f t="shared" si="34"/>
        <v>0</v>
      </c>
      <c r="Q793" s="1341">
        <f t="shared" si="34"/>
        <v>0</v>
      </c>
      <c r="R793" s="248"/>
      <c r="S793" s="71"/>
      <c r="T793" s="71"/>
      <c r="U793" s="71"/>
      <c r="V793" s="71"/>
      <c r="W793" s="71"/>
      <c r="X793" s="71"/>
      <c r="Y793" s="71"/>
      <c r="Z793" s="71"/>
    </row>
    <row r="794" spans="1:26" ht="12.75" hidden="1" customHeight="1" outlineLevel="1">
      <c r="A794" s="3"/>
      <c r="B794" s="3"/>
      <c r="C794" s="29"/>
      <c r="D794" s="133">
        <f>Asset25</f>
        <v>0</v>
      </c>
      <c r="E794" s="3"/>
      <c r="F794" s="3"/>
      <c r="G794" s="1394">
        <f>'RFM input'!L31</f>
        <v>0</v>
      </c>
      <c r="H794" s="1341">
        <f t="shared" ref="H794:Q794" si="35">H36*H$7</f>
        <v>0</v>
      </c>
      <c r="I794" s="1341">
        <f t="shared" si="35"/>
        <v>0</v>
      </c>
      <c r="J794" s="1341">
        <f t="shared" si="35"/>
        <v>0</v>
      </c>
      <c r="K794" s="1341">
        <f t="shared" si="35"/>
        <v>0</v>
      </c>
      <c r="L794" s="1341">
        <f t="shared" si="35"/>
        <v>0</v>
      </c>
      <c r="M794" s="1341">
        <f t="shared" si="35"/>
        <v>0</v>
      </c>
      <c r="N794" s="1341">
        <f t="shared" si="35"/>
        <v>0</v>
      </c>
      <c r="O794" s="1341">
        <f t="shared" si="35"/>
        <v>0</v>
      </c>
      <c r="P794" s="1341">
        <f t="shared" si="35"/>
        <v>0</v>
      </c>
      <c r="Q794" s="1341">
        <f t="shared" si="35"/>
        <v>0</v>
      </c>
      <c r="R794" s="248"/>
      <c r="S794" s="71"/>
      <c r="T794" s="71"/>
      <c r="U794" s="71"/>
      <c r="V794" s="71"/>
      <c r="W794" s="71"/>
      <c r="X794" s="71"/>
      <c r="Y794" s="71"/>
      <c r="Z794" s="71"/>
    </row>
    <row r="795" spans="1:26" ht="12.75" hidden="1" customHeight="1" outlineLevel="1">
      <c r="A795" s="3"/>
      <c r="B795" s="3"/>
      <c r="C795" s="29"/>
      <c r="D795" s="133">
        <f>Asset26</f>
        <v>0</v>
      </c>
      <c r="E795" s="3"/>
      <c r="F795" s="3"/>
      <c r="G795" s="1394">
        <f>'RFM input'!L32</f>
        <v>0</v>
      </c>
      <c r="H795" s="1341">
        <f t="shared" ref="H795:Q795" si="36">H37*H$7</f>
        <v>0</v>
      </c>
      <c r="I795" s="1341">
        <f t="shared" si="36"/>
        <v>0</v>
      </c>
      <c r="J795" s="1341">
        <f t="shared" si="36"/>
        <v>0</v>
      </c>
      <c r="K795" s="1341">
        <f t="shared" si="36"/>
        <v>0</v>
      </c>
      <c r="L795" s="1341">
        <f t="shared" si="36"/>
        <v>0</v>
      </c>
      <c r="M795" s="1341">
        <f t="shared" si="36"/>
        <v>0</v>
      </c>
      <c r="N795" s="1341">
        <f t="shared" si="36"/>
        <v>0</v>
      </c>
      <c r="O795" s="1341">
        <f t="shared" si="36"/>
        <v>0</v>
      </c>
      <c r="P795" s="1341">
        <f t="shared" si="36"/>
        <v>0</v>
      </c>
      <c r="Q795" s="1341">
        <f t="shared" si="36"/>
        <v>0</v>
      </c>
      <c r="R795" s="248"/>
      <c r="S795" s="71"/>
      <c r="T795" s="71"/>
      <c r="U795" s="71"/>
      <c r="V795" s="71"/>
      <c r="W795" s="71"/>
      <c r="X795" s="71"/>
      <c r="Y795" s="71"/>
      <c r="Z795" s="71"/>
    </row>
    <row r="796" spans="1:26" ht="12.75" hidden="1" customHeight="1" outlineLevel="1">
      <c r="A796" s="3"/>
      <c r="B796" s="3"/>
      <c r="C796" s="29"/>
      <c r="D796" s="133">
        <f>Asset27</f>
        <v>0</v>
      </c>
      <c r="E796" s="3"/>
      <c r="F796" s="3"/>
      <c r="G796" s="1394">
        <f>'RFM input'!L33</f>
        <v>0</v>
      </c>
      <c r="H796" s="1341">
        <f t="shared" ref="H796:Q796" si="37">H38*H$7</f>
        <v>0</v>
      </c>
      <c r="I796" s="1341">
        <f t="shared" si="37"/>
        <v>0</v>
      </c>
      <c r="J796" s="1341">
        <f t="shared" si="37"/>
        <v>0</v>
      </c>
      <c r="K796" s="1341">
        <f t="shared" si="37"/>
        <v>0</v>
      </c>
      <c r="L796" s="1341">
        <f t="shared" si="37"/>
        <v>0</v>
      </c>
      <c r="M796" s="1341">
        <f t="shared" si="37"/>
        <v>0</v>
      </c>
      <c r="N796" s="1341">
        <f t="shared" si="37"/>
        <v>0</v>
      </c>
      <c r="O796" s="1341">
        <f t="shared" si="37"/>
        <v>0</v>
      </c>
      <c r="P796" s="1341">
        <f t="shared" si="37"/>
        <v>0</v>
      </c>
      <c r="Q796" s="1341">
        <f t="shared" si="37"/>
        <v>0</v>
      </c>
      <c r="R796" s="248"/>
      <c r="S796" s="71"/>
      <c r="T796" s="71"/>
      <c r="U796" s="71"/>
      <c r="V796" s="71"/>
      <c r="W796" s="71"/>
      <c r="X796" s="71"/>
      <c r="Y796" s="71"/>
      <c r="Z796" s="71"/>
    </row>
    <row r="797" spans="1:26" ht="12.75" hidden="1" customHeight="1" outlineLevel="1">
      <c r="A797" s="3"/>
      <c r="B797" s="3"/>
      <c r="C797" s="29"/>
      <c r="D797" s="133">
        <f>Asset28</f>
        <v>0</v>
      </c>
      <c r="E797" s="3"/>
      <c r="F797" s="3"/>
      <c r="G797" s="1394">
        <f>'RFM input'!L34</f>
        <v>0</v>
      </c>
      <c r="H797" s="1341">
        <f t="shared" ref="H797:Q797" si="38">H39*H$7</f>
        <v>0</v>
      </c>
      <c r="I797" s="1341">
        <f t="shared" si="38"/>
        <v>0</v>
      </c>
      <c r="J797" s="1341">
        <f t="shared" si="38"/>
        <v>0</v>
      </c>
      <c r="K797" s="1341">
        <f t="shared" si="38"/>
        <v>0</v>
      </c>
      <c r="L797" s="1341">
        <f t="shared" si="38"/>
        <v>0</v>
      </c>
      <c r="M797" s="1341">
        <f t="shared" si="38"/>
        <v>0</v>
      </c>
      <c r="N797" s="1341">
        <f t="shared" si="38"/>
        <v>0</v>
      </c>
      <c r="O797" s="1341">
        <f t="shared" si="38"/>
        <v>0</v>
      </c>
      <c r="P797" s="1341">
        <f t="shared" si="38"/>
        <v>0</v>
      </c>
      <c r="Q797" s="1341">
        <f t="shared" si="38"/>
        <v>0</v>
      </c>
      <c r="R797" s="248"/>
      <c r="S797" s="71"/>
      <c r="T797" s="71"/>
      <c r="U797" s="71"/>
      <c r="V797" s="71"/>
      <c r="W797" s="71"/>
      <c r="X797" s="71"/>
      <c r="Y797" s="71"/>
      <c r="Z797" s="71"/>
    </row>
    <row r="798" spans="1:26" ht="12.75" hidden="1" customHeight="1" outlineLevel="1">
      <c r="A798" s="3"/>
      <c r="B798" s="3"/>
      <c r="C798" s="29"/>
      <c r="D798" s="133">
        <f>Asset29</f>
        <v>0</v>
      </c>
      <c r="E798" s="3"/>
      <c r="F798" s="3"/>
      <c r="G798" s="1394">
        <f>'RFM input'!L35</f>
        <v>0</v>
      </c>
      <c r="H798" s="1341">
        <f t="shared" ref="H798:Q798" si="39">H40*H$7</f>
        <v>0</v>
      </c>
      <c r="I798" s="1341">
        <f t="shared" si="39"/>
        <v>0</v>
      </c>
      <c r="J798" s="1341">
        <f t="shared" si="39"/>
        <v>0</v>
      </c>
      <c r="K798" s="1341">
        <f t="shared" si="39"/>
        <v>0</v>
      </c>
      <c r="L798" s="1341">
        <f t="shared" si="39"/>
        <v>0</v>
      </c>
      <c r="M798" s="1341">
        <f t="shared" si="39"/>
        <v>0</v>
      </c>
      <c r="N798" s="1341">
        <f t="shared" si="39"/>
        <v>0</v>
      </c>
      <c r="O798" s="1341">
        <f t="shared" si="39"/>
        <v>0</v>
      </c>
      <c r="P798" s="1341">
        <f t="shared" si="39"/>
        <v>0</v>
      </c>
      <c r="Q798" s="1341">
        <f t="shared" si="39"/>
        <v>0</v>
      </c>
      <c r="R798" s="248"/>
      <c r="S798" s="71"/>
      <c r="T798" s="71"/>
      <c r="U798" s="71"/>
      <c r="V798" s="71"/>
      <c r="W798" s="71"/>
      <c r="X798" s="71"/>
      <c r="Y798" s="71"/>
      <c r="Z798" s="71"/>
    </row>
    <row r="799" spans="1:26" ht="12.75" hidden="1" customHeight="1" outlineLevel="1">
      <c r="A799" s="3"/>
      <c r="B799" s="3"/>
      <c r="C799" s="29"/>
      <c r="D799" s="133">
        <f>Asset30</f>
        <v>0</v>
      </c>
      <c r="E799" s="3"/>
      <c r="F799" s="3"/>
      <c r="G799" s="1394">
        <f>'RFM input'!L36</f>
        <v>0</v>
      </c>
      <c r="H799" s="1341">
        <f t="shared" ref="H799:Q799" si="40">H41*H$7</f>
        <v>0</v>
      </c>
      <c r="I799" s="1341">
        <f t="shared" si="40"/>
        <v>0</v>
      </c>
      <c r="J799" s="1341">
        <f t="shared" si="40"/>
        <v>0</v>
      </c>
      <c r="K799" s="1341">
        <f t="shared" si="40"/>
        <v>0</v>
      </c>
      <c r="L799" s="1341">
        <f t="shared" si="40"/>
        <v>0</v>
      </c>
      <c r="M799" s="1341">
        <f t="shared" si="40"/>
        <v>0</v>
      </c>
      <c r="N799" s="1341">
        <f t="shared" si="40"/>
        <v>0</v>
      </c>
      <c r="O799" s="1341">
        <f t="shared" si="40"/>
        <v>0</v>
      </c>
      <c r="P799" s="1341">
        <f t="shared" si="40"/>
        <v>0</v>
      </c>
      <c r="Q799" s="1341">
        <f t="shared" si="40"/>
        <v>0</v>
      </c>
      <c r="R799" s="248"/>
      <c r="S799" s="71"/>
      <c r="T799" s="71"/>
      <c r="U799" s="71"/>
      <c r="V799" s="71"/>
      <c r="W799" s="71"/>
      <c r="X799" s="71"/>
      <c r="Y799" s="71"/>
      <c r="Z799" s="71"/>
    </row>
    <row r="800" spans="1:26" ht="12.75" hidden="1" customHeight="1" outlineLevel="1">
      <c r="A800" s="3"/>
      <c r="B800" s="3"/>
      <c r="C800" s="29"/>
      <c r="D800" s="133">
        <f>Asset31</f>
        <v>0</v>
      </c>
      <c r="E800" s="3"/>
      <c r="F800" s="3"/>
      <c r="G800" s="1394">
        <f>'RFM input'!L37</f>
        <v>0</v>
      </c>
      <c r="H800" s="1341">
        <f t="shared" ref="H800:Q800" si="41">H42*H$7</f>
        <v>0</v>
      </c>
      <c r="I800" s="1341">
        <f t="shared" si="41"/>
        <v>0</v>
      </c>
      <c r="J800" s="1341">
        <f t="shared" si="41"/>
        <v>0</v>
      </c>
      <c r="K800" s="1341">
        <f t="shared" si="41"/>
        <v>0</v>
      </c>
      <c r="L800" s="1341">
        <f t="shared" si="41"/>
        <v>0</v>
      </c>
      <c r="M800" s="1341">
        <f t="shared" si="41"/>
        <v>0</v>
      </c>
      <c r="N800" s="1341">
        <f t="shared" si="41"/>
        <v>0</v>
      </c>
      <c r="O800" s="1341">
        <f t="shared" si="41"/>
        <v>0</v>
      </c>
      <c r="P800" s="1341">
        <f t="shared" si="41"/>
        <v>0</v>
      </c>
      <c r="Q800" s="1341">
        <f t="shared" si="41"/>
        <v>0</v>
      </c>
      <c r="R800" s="248"/>
      <c r="S800" s="71"/>
      <c r="T800" s="71"/>
      <c r="U800" s="71"/>
      <c r="V800" s="71"/>
      <c r="W800" s="71"/>
      <c r="X800" s="71"/>
      <c r="Y800" s="71"/>
      <c r="Z800" s="71"/>
    </row>
    <row r="801" spans="1:26" ht="12.75" hidden="1" customHeight="1" outlineLevel="1">
      <c r="A801" s="3"/>
      <c r="B801" s="3"/>
      <c r="C801" s="29"/>
      <c r="D801" s="133">
        <f>Asset32</f>
        <v>0</v>
      </c>
      <c r="E801" s="3"/>
      <c r="F801" s="3"/>
      <c r="G801" s="1394">
        <f>'RFM input'!L38</f>
        <v>0</v>
      </c>
      <c r="H801" s="1341">
        <f t="shared" ref="H801:Q801" si="42">H43*H$7</f>
        <v>0</v>
      </c>
      <c r="I801" s="1341">
        <f t="shared" si="42"/>
        <v>0</v>
      </c>
      <c r="J801" s="1341">
        <f t="shared" si="42"/>
        <v>0</v>
      </c>
      <c r="K801" s="1341">
        <f t="shared" si="42"/>
        <v>0</v>
      </c>
      <c r="L801" s="1341">
        <f t="shared" si="42"/>
        <v>0</v>
      </c>
      <c r="M801" s="1341">
        <f t="shared" si="42"/>
        <v>0</v>
      </c>
      <c r="N801" s="1341">
        <f t="shared" si="42"/>
        <v>0</v>
      </c>
      <c r="O801" s="1341">
        <f t="shared" si="42"/>
        <v>0</v>
      </c>
      <c r="P801" s="1341">
        <f t="shared" si="42"/>
        <v>0</v>
      </c>
      <c r="Q801" s="1341">
        <f t="shared" si="42"/>
        <v>0</v>
      </c>
      <c r="R801" s="248"/>
      <c r="S801" s="71"/>
      <c r="T801" s="71"/>
      <c r="U801" s="71"/>
      <c r="V801" s="71"/>
      <c r="W801" s="71"/>
      <c r="X801" s="71"/>
      <c r="Y801" s="71"/>
      <c r="Z801" s="71"/>
    </row>
    <row r="802" spans="1:26" ht="12.75" hidden="1" customHeight="1" outlineLevel="1">
      <c r="A802" s="3"/>
      <c r="B802" s="3"/>
      <c r="C802" s="29"/>
      <c r="D802" s="133">
        <f>Asset33</f>
        <v>0</v>
      </c>
      <c r="E802" s="3"/>
      <c r="F802" s="3"/>
      <c r="G802" s="1394">
        <f>'RFM input'!L39</f>
        <v>0</v>
      </c>
      <c r="H802" s="1341">
        <f t="shared" ref="H802:Q802" si="43">H44*H$7</f>
        <v>0</v>
      </c>
      <c r="I802" s="1341">
        <f t="shared" si="43"/>
        <v>0</v>
      </c>
      <c r="J802" s="1341">
        <f t="shared" si="43"/>
        <v>0</v>
      </c>
      <c r="K802" s="1341">
        <f t="shared" si="43"/>
        <v>0</v>
      </c>
      <c r="L802" s="1341">
        <f t="shared" si="43"/>
        <v>0</v>
      </c>
      <c r="M802" s="1341">
        <f t="shared" si="43"/>
        <v>0</v>
      </c>
      <c r="N802" s="1341">
        <f t="shared" si="43"/>
        <v>0</v>
      </c>
      <c r="O802" s="1341">
        <f t="shared" si="43"/>
        <v>0</v>
      </c>
      <c r="P802" s="1341">
        <f t="shared" si="43"/>
        <v>0</v>
      </c>
      <c r="Q802" s="1341">
        <f t="shared" si="43"/>
        <v>0</v>
      </c>
      <c r="R802" s="248"/>
      <c r="S802" s="71"/>
      <c r="T802" s="71"/>
      <c r="U802" s="71"/>
      <c r="V802" s="71"/>
      <c r="W802" s="71"/>
      <c r="X802" s="71"/>
      <c r="Y802" s="71"/>
      <c r="Z802" s="71"/>
    </row>
    <row r="803" spans="1:26" ht="12.75" hidden="1" customHeight="1" outlineLevel="1">
      <c r="A803" s="3"/>
      <c r="B803" s="3"/>
      <c r="C803" s="29"/>
      <c r="D803" s="133">
        <f>Asset34</f>
        <v>0</v>
      </c>
      <c r="E803" s="3"/>
      <c r="F803" s="3"/>
      <c r="G803" s="1394">
        <f>'RFM input'!L40</f>
        <v>0</v>
      </c>
      <c r="H803" s="1341">
        <f t="shared" ref="H803:Q803" si="44">H45*H$7</f>
        <v>0</v>
      </c>
      <c r="I803" s="1341">
        <f t="shared" si="44"/>
        <v>0</v>
      </c>
      <c r="J803" s="1341">
        <f t="shared" si="44"/>
        <v>0</v>
      </c>
      <c r="K803" s="1341">
        <f t="shared" si="44"/>
        <v>0</v>
      </c>
      <c r="L803" s="1341">
        <f t="shared" si="44"/>
        <v>0</v>
      </c>
      <c r="M803" s="1341">
        <f t="shared" si="44"/>
        <v>0</v>
      </c>
      <c r="N803" s="1341">
        <f t="shared" si="44"/>
        <v>0</v>
      </c>
      <c r="O803" s="1341">
        <f t="shared" si="44"/>
        <v>0</v>
      </c>
      <c r="P803" s="1341">
        <f t="shared" si="44"/>
        <v>0</v>
      </c>
      <c r="Q803" s="1341">
        <f t="shared" si="44"/>
        <v>0</v>
      </c>
      <c r="R803" s="248"/>
      <c r="S803" s="71"/>
      <c r="T803" s="71"/>
      <c r="U803" s="71"/>
      <c r="V803" s="71"/>
      <c r="W803" s="71"/>
      <c r="X803" s="71"/>
      <c r="Y803" s="71"/>
      <c r="Z803" s="71"/>
    </row>
    <row r="804" spans="1:26" ht="12.75" hidden="1" customHeight="1" outlineLevel="1">
      <c r="A804" s="3"/>
      <c r="B804" s="3"/>
      <c r="C804" s="29"/>
      <c r="D804" s="133">
        <f>Asset35</f>
        <v>0</v>
      </c>
      <c r="E804" s="3"/>
      <c r="F804" s="3"/>
      <c r="G804" s="1394">
        <f>'RFM input'!L41</f>
        <v>0</v>
      </c>
      <c r="H804" s="1341">
        <f t="shared" ref="H804:Q804" si="45">H46*H$7</f>
        <v>0</v>
      </c>
      <c r="I804" s="1341">
        <f t="shared" si="45"/>
        <v>0</v>
      </c>
      <c r="J804" s="1341">
        <f t="shared" si="45"/>
        <v>0</v>
      </c>
      <c r="K804" s="1341">
        <f t="shared" si="45"/>
        <v>0</v>
      </c>
      <c r="L804" s="1341">
        <f t="shared" si="45"/>
        <v>0</v>
      </c>
      <c r="M804" s="1341">
        <f t="shared" si="45"/>
        <v>0</v>
      </c>
      <c r="N804" s="1341">
        <f t="shared" si="45"/>
        <v>0</v>
      </c>
      <c r="O804" s="1341">
        <f t="shared" si="45"/>
        <v>0</v>
      </c>
      <c r="P804" s="1341">
        <f t="shared" si="45"/>
        <v>0</v>
      </c>
      <c r="Q804" s="1341">
        <f t="shared" si="45"/>
        <v>0</v>
      </c>
      <c r="R804" s="248"/>
      <c r="S804" s="71"/>
      <c r="T804" s="71"/>
      <c r="U804" s="71"/>
      <c r="V804" s="71"/>
      <c r="W804" s="71"/>
      <c r="X804" s="71"/>
      <c r="Y804" s="71"/>
      <c r="Z804" s="71"/>
    </row>
    <row r="805" spans="1:26" ht="12.75" hidden="1" customHeight="1" outlineLevel="1">
      <c r="A805" s="3"/>
      <c r="B805" s="3"/>
      <c r="C805" s="29"/>
      <c r="D805" s="133">
        <f>Asset36</f>
        <v>0</v>
      </c>
      <c r="E805" s="3"/>
      <c r="F805" s="3"/>
      <c r="G805" s="1394">
        <f>'RFM input'!L42</f>
        <v>0</v>
      </c>
      <c r="H805" s="1341">
        <f t="shared" ref="H805:Q805" si="46">H47*H$7</f>
        <v>0</v>
      </c>
      <c r="I805" s="1341">
        <f t="shared" si="46"/>
        <v>0</v>
      </c>
      <c r="J805" s="1341">
        <f t="shared" si="46"/>
        <v>0</v>
      </c>
      <c r="K805" s="1341">
        <f t="shared" si="46"/>
        <v>0</v>
      </c>
      <c r="L805" s="1341">
        <f t="shared" si="46"/>
        <v>0</v>
      </c>
      <c r="M805" s="1341">
        <f t="shared" si="46"/>
        <v>0</v>
      </c>
      <c r="N805" s="1341">
        <f t="shared" si="46"/>
        <v>0</v>
      </c>
      <c r="O805" s="1341">
        <f t="shared" si="46"/>
        <v>0</v>
      </c>
      <c r="P805" s="1341">
        <f t="shared" si="46"/>
        <v>0</v>
      </c>
      <c r="Q805" s="1341">
        <f t="shared" si="46"/>
        <v>0</v>
      </c>
      <c r="R805" s="248"/>
      <c r="S805" s="71"/>
      <c r="T805" s="71"/>
      <c r="U805" s="71"/>
      <c r="V805" s="71"/>
      <c r="W805" s="71"/>
      <c r="X805" s="71"/>
      <c r="Y805" s="71"/>
      <c r="Z805" s="71"/>
    </row>
    <row r="806" spans="1:26" ht="12.75" hidden="1" customHeight="1" outlineLevel="1">
      <c r="A806" s="3"/>
      <c r="B806" s="3"/>
      <c r="C806" s="29"/>
      <c r="D806" s="133">
        <f>Asset37</f>
        <v>0</v>
      </c>
      <c r="E806" s="3"/>
      <c r="F806" s="3"/>
      <c r="G806" s="1394">
        <f>'RFM input'!L43</f>
        <v>0</v>
      </c>
      <c r="H806" s="1341">
        <f t="shared" ref="H806:Q806" si="47">H48*H$7</f>
        <v>0</v>
      </c>
      <c r="I806" s="1341">
        <f t="shared" si="47"/>
        <v>0</v>
      </c>
      <c r="J806" s="1341">
        <f t="shared" si="47"/>
        <v>0</v>
      </c>
      <c r="K806" s="1341">
        <f t="shared" si="47"/>
        <v>0</v>
      </c>
      <c r="L806" s="1341">
        <f t="shared" si="47"/>
        <v>0</v>
      </c>
      <c r="M806" s="1341">
        <f t="shared" si="47"/>
        <v>0</v>
      </c>
      <c r="N806" s="1341">
        <f t="shared" si="47"/>
        <v>0</v>
      </c>
      <c r="O806" s="1341">
        <f t="shared" si="47"/>
        <v>0</v>
      </c>
      <c r="P806" s="1341">
        <f t="shared" si="47"/>
        <v>0</v>
      </c>
      <c r="Q806" s="1341">
        <f t="shared" si="47"/>
        <v>0</v>
      </c>
      <c r="R806" s="248"/>
      <c r="S806" s="71"/>
      <c r="T806" s="71"/>
      <c r="U806" s="71"/>
      <c r="V806" s="71"/>
      <c r="W806" s="71"/>
      <c r="X806" s="71"/>
      <c r="Y806" s="71"/>
      <c r="Z806" s="71"/>
    </row>
    <row r="807" spans="1:26" ht="12.75" hidden="1" customHeight="1" outlineLevel="1">
      <c r="A807" s="3"/>
      <c r="B807" s="3"/>
      <c r="C807" s="29"/>
      <c r="D807" s="133">
        <f>Asset38</f>
        <v>0</v>
      </c>
      <c r="E807" s="3"/>
      <c r="F807" s="3"/>
      <c r="G807" s="1394">
        <f>'RFM input'!L44</f>
        <v>0</v>
      </c>
      <c r="H807" s="1341">
        <f t="shared" ref="H807:Q807" si="48">H49*H$7</f>
        <v>0</v>
      </c>
      <c r="I807" s="1341">
        <f t="shared" si="48"/>
        <v>0</v>
      </c>
      <c r="J807" s="1341">
        <f t="shared" si="48"/>
        <v>0</v>
      </c>
      <c r="K807" s="1341">
        <f t="shared" si="48"/>
        <v>0</v>
      </c>
      <c r="L807" s="1341">
        <f t="shared" si="48"/>
        <v>0</v>
      </c>
      <c r="M807" s="1341">
        <f t="shared" si="48"/>
        <v>0</v>
      </c>
      <c r="N807" s="1341">
        <f t="shared" si="48"/>
        <v>0</v>
      </c>
      <c r="O807" s="1341">
        <f t="shared" si="48"/>
        <v>0</v>
      </c>
      <c r="P807" s="1341">
        <f t="shared" si="48"/>
        <v>0</v>
      </c>
      <c r="Q807" s="1341">
        <f t="shared" si="48"/>
        <v>0</v>
      </c>
      <c r="R807" s="248"/>
      <c r="S807" s="71"/>
      <c r="T807" s="71"/>
      <c r="U807" s="71"/>
      <c r="V807" s="71"/>
      <c r="W807" s="71"/>
      <c r="X807" s="71"/>
      <c r="Y807" s="71"/>
      <c r="Z807" s="71"/>
    </row>
    <row r="808" spans="1:26" ht="12.75" hidden="1" customHeight="1" outlineLevel="1">
      <c r="A808" s="3"/>
      <c r="B808" s="3"/>
      <c r="C808" s="29"/>
      <c r="D808" s="133">
        <f>Asset39</f>
        <v>0</v>
      </c>
      <c r="E808" s="3"/>
      <c r="F808" s="3"/>
      <c r="G808" s="1394">
        <f>'RFM input'!L45</f>
        <v>0</v>
      </c>
      <c r="H808" s="1341">
        <f t="shared" ref="H808:Q808" si="49">H50*H$7</f>
        <v>0</v>
      </c>
      <c r="I808" s="1341">
        <f t="shared" si="49"/>
        <v>0</v>
      </c>
      <c r="J808" s="1341">
        <f t="shared" si="49"/>
        <v>0</v>
      </c>
      <c r="K808" s="1341">
        <f t="shared" si="49"/>
        <v>0</v>
      </c>
      <c r="L808" s="1341">
        <f t="shared" si="49"/>
        <v>0</v>
      </c>
      <c r="M808" s="1341">
        <f t="shared" si="49"/>
        <v>0</v>
      </c>
      <c r="N808" s="1341">
        <f t="shared" si="49"/>
        <v>0</v>
      </c>
      <c r="O808" s="1341">
        <f t="shared" si="49"/>
        <v>0</v>
      </c>
      <c r="P808" s="1341">
        <f t="shared" si="49"/>
        <v>0</v>
      </c>
      <c r="Q808" s="1341">
        <f t="shared" si="49"/>
        <v>0</v>
      </c>
      <c r="R808" s="248"/>
      <c r="S808" s="71"/>
      <c r="T808" s="71"/>
      <c r="U808" s="71"/>
      <c r="V808" s="71"/>
      <c r="W808" s="71"/>
      <c r="X808" s="71"/>
      <c r="Y808" s="71"/>
      <c r="Z808" s="71"/>
    </row>
    <row r="809" spans="1:26" ht="12.75" hidden="1" customHeight="1" outlineLevel="1">
      <c r="A809" s="3"/>
      <c r="B809" s="3"/>
      <c r="C809" s="29"/>
      <c r="D809" s="133">
        <f>Asset40</f>
        <v>0</v>
      </c>
      <c r="E809" s="3"/>
      <c r="F809" s="3"/>
      <c r="G809" s="1394">
        <f>'RFM input'!L46</f>
        <v>0</v>
      </c>
      <c r="H809" s="1341">
        <f t="shared" ref="H809:Q809" si="50">H51*H$7</f>
        <v>0</v>
      </c>
      <c r="I809" s="1341">
        <f t="shared" si="50"/>
        <v>0</v>
      </c>
      <c r="J809" s="1341">
        <f t="shared" si="50"/>
        <v>0</v>
      </c>
      <c r="K809" s="1341">
        <f t="shared" si="50"/>
        <v>0</v>
      </c>
      <c r="L809" s="1341">
        <f t="shared" si="50"/>
        <v>0</v>
      </c>
      <c r="M809" s="1341">
        <f t="shared" si="50"/>
        <v>0</v>
      </c>
      <c r="N809" s="1341">
        <f t="shared" si="50"/>
        <v>0</v>
      </c>
      <c r="O809" s="1341">
        <f t="shared" si="50"/>
        <v>0</v>
      </c>
      <c r="P809" s="1341">
        <f t="shared" si="50"/>
        <v>0</v>
      </c>
      <c r="Q809" s="1341">
        <f t="shared" si="50"/>
        <v>0</v>
      </c>
      <c r="R809" s="248"/>
      <c r="S809" s="71"/>
      <c r="T809" s="71"/>
      <c r="U809" s="71"/>
      <c r="V809" s="71"/>
      <c r="W809" s="71"/>
      <c r="X809" s="71"/>
      <c r="Y809" s="71"/>
      <c r="Z809" s="71"/>
    </row>
    <row r="810" spans="1:26" ht="12.75" hidden="1" customHeight="1" outlineLevel="1">
      <c r="A810" s="3"/>
      <c r="B810" s="3"/>
      <c r="C810" s="29"/>
      <c r="D810" s="133">
        <f>Asset41</f>
        <v>0</v>
      </c>
      <c r="E810" s="3"/>
      <c r="F810" s="3"/>
      <c r="G810" s="1394">
        <f>'RFM input'!L47</f>
        <v>0</v>
      </c>
      <c r="H810" s="1341">
        <f t="shared" ref="H810:Q810" si="51">H52*H$7</f>
        <v>0</v>
      </c>
      <c r="I810" s="1341">
        <f t="shared" si="51"/>
        <v>0</v>
      </c>
      <c r="J810" s="1341">
        <f t="shared" si="51"/>
        <v>0</v>
      </c>
      <c r="K810" s="1341">
        <f t="shared" si="51"/>
        <v>0</v>
      </c>
      <c r="L810" s="1341">
        <f t="shared" si="51"/>
        <v>0</v>
      </c>
      <c r="M810" s="1341">
        <f t="shared" si="51"/>
        <v>0</v>
      </c>
      <c r="N810" s="1341">
        <f t="shared" si="51"/>
        <v>0</v>
      </c>
      <c r="O810" s="1341">
        <f t="shared" si="51"/>
        <v>0</v>
      </c>
      <c r="P810" s="1341">
        <f t="shared" si="51"/>
        <v>0</v>
      </c>
      <c r="Q810" s="1341">
        <f t="shared" si="51"/>
        <v>0</v>
      </c>
      <c r="R810" s="248"/>
      <c r="S810" s="71"/>
      <c r="T810" s="71"/>
      <c r="U810" s="71"/>
      <c r="V810" s="71"/>
      <c r="W810" s="71"/>
      <c r="X810" s="71"/>
      <c r="Y810" s="71"/>
      <c r="Z810" s="71"/>
    </row>
    <row r="811" spans="1:26" ht="12.75" hidden="1" customHeight="1" outlineLevel="1">
      <c r="A811" s="3"/>
      <c r="B811" s="3"/>
      <c r="C811" s="29"/>
      <c r="D811" s="133">
        <f>Asset42</f>
        <v>0</v>
      </c>
      <c r="E811" s="3"/>
      <c r="F811" s="3"/>
      <c r="G811" s="1394">
        <f>'RFM input'!L48</f>
        <v>0</v>
      </c>
      <c r="H811" s="1341">
        <f t="shared" ref="H811:Q811" si="52">H53*H$7</f>
        <v>0</v>
      </c>
      <c r="I811" s="1341">
        <f t="shared" si="52"/>
        <v>0</v>
      </c>
      <c r="J811" s="1341">
        <f t="shared" si="52"/>
        <v>0</v>
      </c>
      <c r="K811" s="1341">
        <f t="shared" si="52"/>
        <v>0</v>
      </c>
      <c r="L811" s="1341">
        <f t="shared" si="52"/>
        <v>0</v>
      </c>
      <c r="M811" s="1341">
        <f t="shared" si="52"/>
        <v>0</v>
      </c>
      <c r="N811" s="1341">
        <f t="shared" si="52"/>
        <v>0</v>
      </c>
      <c r="O811" s="1341">
        <f t="shared" si="52"/>
        <v>0</v>
      </c>
      <c r="P811" s="1341">
        <f t="shared" si="52"/>
        <v>0</v>
      </c>
      <c r="Q811" s="1341">
        <f t="shared" si="52"/>
        <v>0</v>
      </c>
      <c r="R811" s="248"/>
      <c r="S811" s="71"/>
      <c r="T811" s="71"/>
      <c r="U811" s="71"/>
      <c r="V811" s="71"/>
      <c r="W811" s="71"/>
      <c r="X811" s="71"/>
      <c r="Y811" s="71"/>
      <c r="Z811" s="71"/>
    </row>
    <row r="812" spans="1:26" ht="12.75" hidden="1" customHeight="1" outlineLevel="1">
      <c r="A812" s="3"/>
      <c r="B812" s="3"/>
      <c r="C812" s="29"/>
      <c r="D812" s="133">
        <f>Asset43</f>
        <v>0</v>
      </c>
      <c r="E812" s="3"/>
      <c r="F812" s="3"/>
      <c r="G812" s="1394">
        <f>'RFM input'!L49</f>
        <v>0</v>
      </c>
      <c r="H812" s="1341">
        <f t="shared" ref="H812:Q812" si="53">H54*H$7</f>
        <v>0</v>
      </c>
      <c r="I812" s="1341">
        <f t="shared" si="53"/>
        <v>0</v>
      </c>
      <c r="J812" s="1341">
        <f t="shared" si="53"/>
        <v>0</v>
      </c>
      <c r="K812" s="1341">
        <f t="shared" si="53"/>
        <v>0</v>
      </c>
      <c r="L812" s="1341">
        <f t="shared" si="53"/>
        <v>0</v>
      </c>
      <c r="M812" s="1341">
        <f t="shared" si="53"/>
        <v>0</v>
      </c>
      <c r="N812" s="1341">
        <f t="shared" si="53"/>
        <v>0</v>
      </c>
      <c r="O812" s="1341">
        <f t="shared" si="53"/>
        <v>0</v>
      </c>
      <c r="P812" s="1341">
        <f t="shared" si="53"/>
        <v>0</v>
      </c>
      <c r="Q812" s="1341">
        <f t="shared" si="53"/>
        <v>0</v>
      </c>
      <c r="R812" s="248"/>
      <c r="S812" s="71"/>
      <c r="T812" s="71"/>
      <c r="U812" s="71"/>
      <c r="V812" s="71"/>
      <c r="W812" s="71"/>
      <c r="X812" s="71"/>
      <c r="Y812" s="71"/>
      <c r="Z812" s="71"/>
    </row>
    <row r="813" spans="1:26" ht="12.75" hidden="1" customHeight="1" outlineLevel="1">
      <c r="A813" s="3"/>
      <c r="B813" s="3"/>
      <c r="C813" s="29"/>
      <c r="D813" s="133">
        <f>Asset44</f>
        <v>0</v>
      </c>
      <c r="E813" s="3"/>
      <c r="F813" s="3"/>
      <c r="G813" s="1394">
        <f>'RFM input'!L50</f>
        <v>0</v>
      </c>
      <c r="H813" s="1341">
        <f t="shared" ref="H813:Q813" si="54">H55*H$7</f>
        <v>0</v>
      </c>
      <c r="I813" s="1341">
        <f t="shared" si="54"/>
        <v>0</v>
      </c>
      <c r="J813" s="1341">
        <f t="shared" si="54"/>
        <v>0</v>
      </c>
      <c r="K813" s="1341">
        <f t="shared" si="54"/>
        <v>0</v>
      </c>
      <c r="L813" s="1341">
        <f t="shared" si="54"/>
        <v>0</v>
      </c>
      <c r="M813" s="1341">
        <f t="shared" si="54"/>
        <v>0</v>
      </c>
      <c r="N813" s="1341">
        <f t="shared" si="54"/>
        <v>0</v>
      </c>
      <c r="O813" s="1341">
        <f t="shared" si="54"/>
        <v>0</v>
      </c>
      <c r="P813" s="1341">
        <f t="shared" si="54"/>
        <v>0</v>
      </c>
      <c r="Q813" s="1341">
        <f t="shared" si="54"/>
        <v>0</v>
      </c>
      <c r="R813" s="248"/>
      <c r="S813" s="71"/>
      <c r="T813" s="71"/>
      <c r="U813" s="71"/>
      <c r="V813" s="71"/>
      <c r="W813" s="71"/>
      <c r="X813" s="71"/>
      <c r="Y813" s="71"/>
      <c r="Z813" s="71"/>
    </row>
    <row r="814" spans="1:26" ht="12.75" hidden="1" customHeight="1" outlineLevel="1">
      <c r="A814" s="3"/>
      <c r="B814" s="3"/>
      <c r="C814" s="29"/>
      <c r="D814" s="133">
        <f>Asset45</f>
        <v>0</v>
      </c>
      <c r="E814" s="3"/>
      <c r="F814" s="3"/>
      <c r="G814" s="1394">
        <f>'RFM input'!L51</f>
        <v>0</v>
      </c>
      <c r="H814" s="1341">
        <f t="shared" ref="H814:Q814" si="55">H56*H$7</f>
        <v>0</v>
      </c>
      <c r="I814" s="1341">
        <f t="shared" si="55"/>
        <v>0</v>
      </c>
      <c r="J814" s="1341">
        <f t="shared" si="55"/>
        <v>0</v>
      </c>
      <c r="K814" s="1341">
        <f t="shared" si="55"/>
        <v>0</v>
      </c>
      <c r="L814" s="1341">
        <f t="shared" si="55"/>
        <v>0</v>
      </c>
      <c r="M814" s="1341">
        <f t="shared" si="55"/>
        <v>0</v>
      </c>
      <c r="N814" s="1341">
        <f t="shared" si="55"/>
        <v>0</v>
      </c>
      <c r="O814" s="1341">
        <f t="shared" si="55"/>
        <v>0</v>
      </c>
      <c r="P814" s="1341">
        <f t="shared" si="55"/>
        <v>0</v>
      </c>
      <c r="Q814" s="1341">
        <f t="shared" si="55"/>
        <v>0</v>
      </c>
      <c r="R814" s="248"/>
      <c r="S814" s="71"/>
      <c r="T814" s="71"/>
      <c r="U814" s="71"/>
      <c r="V814" s="71"/>
      <c r="W814" s="71"/>
      <c r="X814" s="71"/>
      <c r="Y814" s="71"/>
      <c r="Z814" s="71"/>
    </row>
    <row r="815" spans="1:26" ht="12.75" hidden="1" customHeight="1" outlineLevel="1">
      <c r="A815" s="3"/>
      <c r="B815" s="3"/>
      <c r="C815" s="29"/>
      <c r="D815" s="133">
        <f>Asset46</f>
        <v>0</v>
      </c>
      <c r="E815" s="3"/>
      <c r="F815" s="3"/>
      <c r="G815" s="1394">
        <f>'RFM input'!L52</f>
        <v>0</v>
      </c>
      <c r="H815" s="1341">
        <f t="shared" ref="H815:Q815" si="56">H57*H$7</f>
        <v>0</v>
      </c>
      <c r="I815" s="1341">
        <f t="shared" si="56"/>
        <v>0</v>
      </c>
      <c r="J815" s="1341">
        <f t="shared" si="56"/>
        <v>0</v>
      </c>
      <c r="K815" s="1341">
        <f t="shared" si="56"/>
        <v>0</v>
      </c>
      <c r="L815" s="1341">
        <f t="shared" si="56"/>
        <v>0</v>
      </c>
      <c r="M815" s="1341">
        <f t="shared" si="56"/>
        <v>0</v>
      </c>
      <c r="N815" s="1341">
        <f t="shared" si="56"/>
        <v>0</v>
      </c>
      <c r="O815" s="1341">
        <f t="shared" si="56"/>
        <v>0</v>
      </c>
      <c r="P815" s="1341">
        <f t="shared" si="56"/>
        <v>0</v>
      </c>
      <c r="Q815" s="1341">
        <f t="shared" si="56"/>
        <v>0</v>
      </c>
      <c r="R815" s="248"/>
      <c r="S815" s="71"/>
      <c r="T815" s="71"/>
      <c r="U815" s="71"/>
      <c r="V815" s="71"/>
      <c r="W815" s="71"/>
      <c r="X815" s="71"/>
      <c r="Y815" s="71"/>
      <c r="Z815" s="71"/>
    </row>
    <row r="816" spans="1:26" ht="12.75" hidden="1" customHeight="1" outlineLevel="1">
      <c r="A816" s="3"/>
      <c r="B816" s="3"/>
      <c r="C816" s="29"/>
      <c r="D816" s="133">
        <f>Asset47</f>
        <v>0</v>
      </c>
      <c r="E816" s="3"/>
      <c r="F816" s="3"/>
      <c r="G816" s="1394">
        <f>'RFM input'!L53</f>
        <v>0</v>
      </c>
      <c r="H816" s="1341">
        <f t="shared" ref="H816:Q816" si="57">H58*H$7</f>
        <v>0</v>
      </c>
      <c r="I816" s="1341">
        <f t="shared" si="57"/>
        <v>0</v>
      </c>
      <c r="J816" s="1341">
        <f t="shared" si="57"/>
        <v>0</v>
      </c>
      <c r="K816" s="1341">
        <f t="shared" si="57"/>
        <v>0</v>
      </c>
      <c r="L816" s="1341">
        <f t="shared" si="57"/>
        <v>0</v>
      </c>
      <c r="M816" s="1341">
        <f t="shared" si="57"/>
        <v>0</v>
      </c>
      <c r="N816" s="1341">
        <f t="shared" si="57"/>
        <v>0</v>
      </c>
      <c r="O816" s="1341">
        <f t="shared" si="57"/>
        <v>0</v>
      </c>
      <c r="P816" s="1341">
        <f t="shared" si="57"/>
        <v>0</v>
      </c>
      <c r="Q816" s="1341">
        <f t="shared" si="57"/>
        <v>0</v>
      </c>
      <c r="R816" s="248"/>
      <c r="S816" s="71"/>
      <c r="T816" s="71"/>
      <c r="U816" s="71"/>
      <c r="V816" s="71"/>
      <c r="W816" s="71"/>
      <c r="X816" s="71"/>
      <c r="Y816" s="71"/>
      <c r="Z816" s="71"/>
    </row>
    <row r="817" spans="1:26" ht="12.75" hidden="1" customHeight="1" outlineLevel="1">
      <c r="A817" s="3"/>
      <c r="B817" s="3"/>
      <c r="C817" s="29"/>
      <c r="D817" s="133">
        <f>Asset48</f>
        <v>0</v>
      </c>
      <c r="E817" s="3"/>
      <c r="F817" s="3"/>
      <c r="G817" s="1394">
        <f>'RFM input'!L54</f>
        <v>0</v>
      </c>
      <c r="H817" s="1341">
        <f t="shared" ref="H817:Q817" si="58">H59*H$7</f>
        <v>0</v>
      </c>
      <c r="I817" s="1341">
        <f t="shared" si="58"/>
        <v>0</v>
      </c>
      <c r="J817" s="1341">
        <f t="shared" si="58"/>
        <v>0</v>
      </c>
      <c r="K817" s="1341">
        <f t="shared" si="58"/>
        <v>0</v>
      </c>
      <c r="L817" s="1341">
        <f t="shared" si="58"/>
        <v>0</v>
      </c>
      <c r="M817" s="1341">
        <f t="shared" si="58"/>
        <v>0</v>
      </c>
      <c r="N817" s="1341">
        <f t="shared" si="58"/>
        <v>0</v>
      </c>
      <c r="O817" s="1341">
        <f t="shared" si="58"/>
        <v>0</v>
      </c>
      <c r="P817" s="1341">
        <f t="shared" si="58"/>
        <v>0</v>
      </c>
      <c r="Q817" s="1341">
        <f t="shared" si="58"/>
        <v>0</v>
      </c>
      <c r="R817" s="248"/>
      <c r="S817" s="71"/>
      <c r="T817" s="71"/>
      <c r="U817" s="71"/>
      <c r="V817" s="71"/>
      <c r="W817" s="71"/>
      <c r="X817" s="71"/>
      <c r="Y817" s="71"/>
      <c r="Z817" s="71"/>
    </row>
    <row r="818" spans="1:26" ht="12.75" hidden="1" customHeight="1" outlineLevel="1">
      <c r="A818" s="3"/>
      <c r="B818" s="3"/>
      <c r="C818" s="29"/>
      <c r="D818" s="133">
        <f>Asset49</f>
        <v>0</v>
      </c>
      <c r="E818" s="3"/>
      <c r="F818" s="3"/>
      <c r="G818" s="1394">
        <f>'RFM input'!L55</f>
        <v>0</v>
      </c>
      <c r="H818" s="1341">
        <f t="shared" ref="H818:Q818" si="59">H60*H$7</f>
        <v>0</v>
      </c>
      <c r="I818" s="1341">
        <f t="shared" si="59"/>
        <v>0</v>
      </c>
      <c r="J818" s="1341">
        <f t="shared" si="59"/>
        <v>0</v>
      </c>
      <c r="K818" s="1341">
        <f t="shared" si="59"/>
        <v>0</v>
      </c>
      <c r="L818" s="1341">
        <f t="shared" si="59"/>
        <v>0</v>
      </c>
      <c r="M818" s="1341">
        <f t="shared" si="59"/>
        <v>0</v>
      </c>
      <c r="N818" s="1341">
        <f t="shared" si="59"/>
        <v>0</v>
      </c>
      <c r="O818" s="1341">
        <f t="shared" si="59"/>
        <v>0</v>
      </c>
      <c r="P818" s="1341">
        <f t="shared" si="59"/>
        <v>0</v>
      </c>
      <c r="Q818" s="1341">
        <f t="shared" si="59"/>
        <v>0</v>
      </c>
      <c r="R818" s="248"/>
      <c r="S818" s="71"/>
      <c r="T818" s="71"/>
      <c r="U818" s="71"/>
      <c r="V818" s="71"/>
      <c r="W818" s="71"/>
      <c r="X818" s="71"/>
      <c r="Y818" s="71"/>
      <c r="Z818" s="71"/>
    </row>
    <row r="819" spans="1:26" ht="12.75" hidden="1" customHeight="1" outlineLevel="1">
      <c r="A819" s="3"/>
      <c r="B819" s="3"/>
      <c r="C819" s="29"/>
      <c r="D819" s="133">
        <f>Asset50</f>
        <v>0</v>
      </c>
      <c r="E819" s="3"/>
      <c r="F819" s="3"/>
      <c r="G819" s="1394">
        <f>'RFM input'!L56</f>
        <v>0</v>
      </c>
      <c r="H819" s="1341">
        <f t="shared" ref="H819:Q819" si="60">H61*H$7</f>
        <v>0</v>
      </c>
      <c r="I819" s="1341">
        <f t="shared" si="60"/>
        <v>0</v>
      </c>
      <c r="J819" s="1341">
        <f t="shared" si="60"/>
        <v>0</v>
      </c>
      <c r="K819" s="1341">
        <f t="shared" si="60"/>
        <v>0</v>
      </c>
      <c r="L819" s="1341">
        <f t="shared" si="60"/>
        <v>0</v>
      </c>
      <c r="M819" s="1341">
        <f t="shared" si="60"/>
        <v>0</v>
      </c>
      <c r="N819" s="1341">
        <f t="shared" si="60"/>
        <v>0</v>
      </c>
      <c r="O819" s="1341">
        <f t="shared" si="60"/>
        <v>0</v>
      </c>
      <c r="P819" s="1341">
        <f t="shared" si="60"/>
        <v>0</v>
      </c>
      <c r="Q819" s="1341">
        <f t="shared" si="60"/>
        <v>0</v>
      </c>
      <c r="R819" s="248"/>
      <c r="S819" s="71"/>
      <c r="T819" s="71"/>
      <c r="U819" s="71"/>
      <c r="V819" s="71"/>
      <c r="W819" s="71"/>
      <c r="X819" s="71"/>
      <c r="Y819" s="71"/>
      <c r="Z819" s="71"/>
    </row>
    <row r="820" spans="1:26" collapsed="1">
      <c r="A820" s="3"/>
      <c r="B820" s="3"/>
      <c r="C820" s="29"/>
      <c r="D820" s="81"/>
      <c r="E820" s="3"/>
      <c r="F820" s="3"/>
      <c r="G820" s="1392"/>
      <c r="H820" s="248"/>
      <c r="I820" s="248"/>
      <c r="J820" s="248"/>
      <c r="K820" s="248"/>
      <c r="L820" s="248"/>
      <c r="M820" s="248"/>
      <c r="N820" s="248"/>
      <c r="O820" s="248"/>
      <c r="P820" s="248"/>
      <c r="Q820" s="248"/>
      <c r="R820" s="248"/>
      <c r="S820" s="71"/>
      <c r="T820" s="71"/>
      <c r="U820" s="71"/>
      <c r="V820" s="71"/>
      <c r="W820" s="71"/>
      <c r="X820" s="71"/>
      <c r="Y820" s="71"/>
      <c r="Z820" s="71"/>
    </row>
    <row r="821" spans="1:26">
      <c r="A821" s="3"/>
      <c r="B821" s="3"/>
      <c r="C821" s="230" t="str">
        <f>"Nominal "&amp;'RFM input'!$G$295&amp; " Regulatory Depreciation"</f>
        <v>Nominal Actual Regulatory Depreciation</v>
      </c>
      <c r="D821" s="177"/>
      <c r="F821" s="3"/>
      <c r="G821" s="1392">
        <f>SUM(G822:G871)</f>
        <v>0</v>
      </c>
      <c r="H821" s="1391">
        <f t="shared" ref="H821:Q821" si="61">SUM(H822:H871)</f>
        <v>-7.3512095753199613</v>
      </c>
      <c r="I821" s="1391">
        <f t="shared" si="61"/>
        <v>-6.1625582811723563</v>
      </c>
      <c r="J821" s="1391">
        <f t="shared" si="61"/>
        <v>-7.4842359770188303</v>
      </c>
      <c r="K821" s="1391">
        <f t="shared" si="61"/>
        <v>-8.1996271615646936</v>
      </c>
      <c r="L821" s="1391">
        <f t="shared" si="61"/>
        <v>-13.928827293130544</v>
      </c>
      <c r="M821" s="1391">
        <f t="shared" si="61"/>
        <v>-2.1488085171476152</v>
      </c>
      <c r="N821" s="1391">
        <f t="shared" si="61"/>
        <v>18.82579054580447</v>
      </c>
      <c r="O821" s="1391">
        <f t="shared" si="61"/>
        <v>0</v>
      </c>
      <c r="P821" s="1391">
        <f t="shared" si="61"/>
        <v>0</v>
      </c>
      <c r="Q821" s="1391">
        <f t="shared" si="61"/>
        <v>0</v>
      </c>
      <c r="R821" s="248"/>
      <c r="S821" s="71"/>
      <c r="T821" s="71"/>
      <c r="U821" s="71"/>
      <c r="V821" s="71"/>
      <c r="W821" s="71"/>
      <c r="X821" s="71"/>
      <c r="Y821" s="71"/>
      <c r="Z821" s="71"/>
    </row>
    <row r="822" spans="1:26" ht="12.75" hidden="1" customHeight="1" outlineLevel="1">
      <c r="A822" s="3"/>
      <c r="B822" s="1471" t="s">
        <v>1144</v>
      </c>
      <c r="C822" s="29"/>
      <c r="D822" s="133" t="str">
        <f>Asset1</f>
        <v>Mains</v>
      </c>
      <c r="E822" s="3"/>
      <c r="F822" s="3"/>
      <c r="G822" s="1394">
        <f>-'RFM input'!M7</f>
        <v>0</v>
      </c>
      <c r="H822" s="1341">
        <f t="shared" ref="H822:Q822" si="62">H1032+H1084</f>
        <v>-3.2485225217378186</v>
      </c>
      <c r="I822" s="1341">
        <f t="shared" si="62"/>
        <v>-2.1606635211659011</v>
      </c>
      <c r="J822" s="1341">
        <f t="shared" si="62"/>
        <v>-2.8381660321684228</v>
      </c>
      <c r="K822" s="1341">
        <f t="shared" si="62"/>
        <v>-2.9417775584492496</v>
      </c>
      <c r="L822" s="1341">
        <f t="shared" si="62"/>
        <v>-6.5648359948876562</v>
      </c>
      <c r="M822" s="1341">
        <f t="shared" si="62"/>
        <v>2.1687935279330972</v>
      </c>
      <c r="N822" s="1341">
        <f t="shared" si="62"/>
        <v>17.590157161087937</v>
      </c>
      <c r="O822" s="1341">
        <f t="shared" si="62"/>
        <v>0</v>
      </c>
      <c r="P822" s="1341">
        <f t="shared" si="62"/>
        <v>0</v>
      </c>
      <c r="Q822" s="1341">
        <f t="shared" si="62"/>
        <v>0</v>
      </c>
      <c r="R822" s="248"/>
      <c r="S822" s="71"/>
      <c r="T822" s="71"/>
      <c r="U822" s="71"/>
      <c r="V822" s="71"/>
      <c r="W822" s="71"/>
      <c r="X822" s="71"/>
      <c r="Y822" s="71"/>
      <c r="Z822" s="71"/>
    </row>
    <row r="823" spans="1:26" ht="12.75" hidden="1" customHeight="1" outlineLevel="1">
      <c r="A823" s="3"/>
      <c r="B823" s="1471" t="s">
        <v>1144</v>
      </c>
      <c r="C823" s="29"/>
      <c r="D823" s="133" t="str">
        <f>Asset2</f>
        <v>Inlets</v>
      </c>
      <c r="E823" s="3"/>
      <c r="F823" s="3"/>
      <c r="G823" s="1394">
        <f>-'RFM input'!M8</f>
        <v>0</v>
      </c>
      <c r="H823" s="1341">
        <f t="shared" ref="H823:Q823" si="63">H1033+H1085</f>
        <v>-0.79082658954434049</v>
      </c>
      <c r="I823" s="1341">
        <f t="shared" si="63"/>
        <v>-0.5425216365529415</v>
      </c>
      <c r="J823" s="1341">
        <f t="shared" si="63"/>
        <v>-0.73330677540847966</v>
      </c>
      <c r="K823" s="1341">
        <f t="shared" si="63"/>
        <v>-0.781462775579572</v>
      </c>
      <c r="L823" s="1341">
        <f t="shared" si="63"/>
        <v>-1.8009050914433258</v>
      </c>
      <c r="M823" s="1341">
        <f t="shared" si="63"/>
        <v>0.65512830707707526</v>
      </c>
      <c r="N823" s="1341">
        <f t="shared" si="63"/>
        <v>5.1150300801875535</v>
      </c>
      <c r="O823" s="1341">
        <f t="shared" si="63"/>
        <v>0</v>
      </c>
      <c r="P823" s="1341">
        <f t="shared" si="63"/>
        <v>0</v>
      </c>
      <c r="Q823" s="1341">
        <f t="shared" si="63"/>
        <v>0</v>
      </c>
      <c r="R823" s="248"/>
      <c r="S823" s="71"/>
      <c r="T823" s="71"/>
      <c r="U823" s="71"/>
      <c r="V823" s="71"/>
      <c r="W823" s="71"/>
      <c r="X823" s="71"/>
      <c r="Y823" s="71"/>
      <c r="Z823" s="71"/>
    </row>
    <row r="824" spans="1:26" ht="12.75" hidden="1" customHeight="1" outlineLevel="1">
      <c r="A824" s="3"/>
      <c r="B824" s="1471" t="s">
        <v>1145</v>
      </c>
      <c r="C824" s="29"/>
      <c r="D824" s="133" t="str">
        <f>Asset3</f>
        <v>Meters</v>
      </c>
      <c r="E824" s="3"/>
      <c r="F824" s="3"/>
      <c r="G824" s="1394">
        <f>-'RFM input'!M9</f>
        <v>0</v>
      </c>
      <c r="H824" s="1341">
        <f t="shared" ref="H824:Q824" si="64">H1034+H1086</f>
        <v>-2.6194676643345289</v>
      </c>
      <c r="I824" s="1341">
        <f t="shared" si="64"/>
        <v>-2.7527286122996557</v>
      </c>
      <c r="J824" s="1341">
        <f t="shared" si="64"/>
        <v>-3.0458234028832059</v>
      </c>
      <c r="K824" s="1341">
        <f t="shared" si="64"/>
        <v>-3.3270668445672649</v>
      </c>
      <c r="L824" s="1341">
        <f t="shared" si="64"/>
        <v>-3.7862710842905796</v>
      </c>
      <c r="M824" s="1341">
        <f t="shared" si="64"/>
        <v>-3.3866461049899246</v>
      </c>
      <c r="N824" s="1341">
        <f t="shared" si="64"/>
        <v>-2.810786505736222</v>
      </c>
      <c r="O824" s="1341">
        <f t="shared" si="64"/>
        <v>0</v>
      </c>
      <c r="P824" s="1341">
        <f t="shared" si="64"/>
        <v>0</v>
      </c>
      <c r="Q824" s="1341">
        <f t="shared" si="64"/>
        <v>0</v>
      </c>
      <c r="R824" s="248"/>
      <c r="S824" s="71"/>
      <c r="T824" s="71"/>
      <c r="U824" s="71"/>
      <c r="V824" s="71"/>
      <c r="W824" s="71"/>
      <c r="X824" s="71"/>
      <c r="Y824" s="71"/>
      <c r="Z824" s="71"/>
    </row>
    <row r="825" spans="1:26" ht="12.75" hidden="1" customHeight="1" outlineLevel="1">
      <c r="A825" s="3"/>
      <c r="B825" s="1471" t="s">
        <v>1146</v>
      </c>
      <c r="C825" s="29"/>
      <c r="D825" s="133" t="str">
        <f>Asset4</f>
        <v>Telemetry</v>
      </c>
      <c r="E825" s="3"/>
      <c r="F825" s="3"/>
      <c r="G825" s="1394">
        <f>-'RFM input'!M10</f>
        <v>0</v>
      </c>
      <c r="H825" s="1341">
        <f t="shared" ref="H825:Q825" si="65">H1035+H1087</f>
        <v>0.15713776256268264</v>
      </c>
      <c r="I825" s="1341">
        <f t="shared" si="65"/>
        <v>0.14739711933347691</v>
      </c>
      <c r="J825" s="1341">
        <f t="shared" si="65"/>
        <v>0.14703494391094299</v>
      </c>
      <c r="K825" s="1341">
        <f t="shared" si="65"/>
        <v>7.1991456382688654E-2</v>
      </c>
      <c r="L825" s="1341">
        <f t="shared" si="65"/>
        <v>-3.3075242108743907E-2</v>
      </c>
      <c r="M825" s="1341">
        <f t="shared" si="65"/>
        <v>-1.7686936612765727E-2</v>
      </c>
      <c r="N825" s="1341">
        <f t="shared" si="65"/>
        <v>1.1967117950347189E-2</v>
      </c>
      <c r="O825" s="1341">
        <f t="shared" si="65"/>
        <v>0</v>
      </c>
      <c r="P825" s="1341">
        <f t="shared" si="65"/>
        <v>0</v>
      </c>
      <c r="Q825" s="1341">
        <f t="shared" si="65"/>
        <v>0</v>
      </c>
      <c r="R825" s="248"/>
      <c r="S825" s="71"/>
      <c r="T825" s="71"/>
      <c r="U825" s="71"/>
      <c r="V825" s="71"/>
      <c r="W825" s="71"/>
      <c r="X825" s="71"/>
      <c r="Y825" s="71"/>
      <c r="Z825" s="71"/>
    </row>
    <row r="826" spans="1:26" ht="12.75" hidden="1" customHeight="1" outlineLevel="1">
      <c r="A826" s="3"/>
      <c r="B826" s="1471" t="s">
        <v>1143</v>
      </c>
      <c r="C826" s="29"/>
      <c r="D826" s="133" t="str">
        <f>Asset5</f>
        <v>IT System</v>
      </c>
      <c r="E826" s="3"/>
      <c r="F826" s="3"/>
      <c r="G826" s="1394">
        <f>-'RFM input'!M11</f>
        <v>0</v>
      </c>
      <c r="H826" s="1341">
        <f t="shared" ref="H826:Q826" si="66">H1036+H1088</f>
        <v>-0.62650133096435412</v>
      </c>
      <c r="I826" s="1341">
        <f t="shared" si="66"/>
        <v>-0.65758226597515412</v>
      </c>
      <c r="J826" s="1341">
        <f t="shared" si="66"/>
        <v>-0.79003376333898967</v>
      </c>
      <c r="K826" s="1341">
        <f t="shared" si="66"/>
        <v>-0.98632411775807061</v>
      </c>
      <c r="L826" s="1341">
        <f t="shared" si="66"/>
        <v>-1.3596356560812981</v>
      </c>
      <c r="M826" s="1341">
        <f t="shared" si="66"/>
        <v>-1.509024766263849</v>
      </c>
      <c r="N826" s="1341">
        <f t="shared" si="66"/>
        <v>-1.6191378855760976</v>
      </c>
      <c r="O826" s="1341">
        <f t="shared" si="66"/>
        <v>0</v>
      </c>
      <c r="P826" s="1341">
        <f t="shared" si="66"/>
        <v>0</v>
      </c>
      <c r="Q826" s="1341">
        <f t="shared" si="66"/>
        <v>0</v>
      </c>
      <c r="R826" s="248"/>
      <c r="S826" s="71"/>
      <c r="T826" s="71"/>
      <c r="U826" s="71"/>
      <c r="V826" s="71"/>
      <c r="W826" s="71"/>
      <c r="X826" s="71"/>
      <c r="Y826" s="71"/>
      <c r="Z826" s="71"/>
    </row>
    <row r="827" spans="1:26" ht="12.75" hidden="1" customHeight="1" outlineLevel="1">
      <c r="A827" s="3"/>
      <c r="B827" s="1471" t="s">
        <v>1147</v>
      </c>
      <c r="C827" s="29"/>
      <c r="D827" s="133" t="str">
        <f>Asset6</f>
        <v>Other Distribution System Equipment</v>
      </c>
      <c r="E827" s="3"/>
      <c r="F827" s="3"/>
      <c r="G827" s="1394">
        <f>-'RFM input'!M12</f>
        <v>0</v>
      </c>
      <c r="H827" s="1341">
        <f t="shared" ref="H827:Q827" si="67">H1037+H1089</f>
        <v>-0.22271270936161708</v>
      </c>
      <c r="I827" s="1341">
        <f t="shared" si="67"/>
        <v>-0.19848745851206673</v>
      </c>
      <c r="J827" s="1341">
        <f t="shared" si="67"/>
        <v>-0.22612694415397194</v>
      </c>
      <c r="K827" s="1341">
        <f t="shared" si="67"/>
        <v>-0.23724043227549632</v>
      </c>
      <c r="L827" s="1341">
        <f t="shared" si="67"/>
        <v>-0.38689702753782929</v>
      </c>
      <c r="M827" s="1341">
        <f t="shared" si="67"/>
        <v>-6.1104384989127625E-2</v>
      </c>
      <c r="N827" s="1341">
        <f t="shared" si="67"/>
        <v>0.53840796782311695</v>
      </c>
      <c r="O827" s="1341">
        <f t="shared" si="67"/>
        <v>0</v>
      </c>
      <c r="P827" s="1341">
        <f t="shared" si="67"/>
        <v>0</v>
      </c>
      <c r="Q827" s="1341">
        <f t="shared" si="67"/>
        <v>0</v>
      </c>
      <c r="R827" s="248"/>
      <c r="S827" s="71"/>
      <c r="T827" s="71"/>
      <c r="U827" s="71"/>
      <c r="V827" s="71"/>
      <c r="W827" s="71"/>
      <c r="X827" s="71"/>
      <c r="Y827" s="71"/>
      <c r="Z827" s="71"/>
    </row>
    <row r="828" spans="1:26" ht="12.75" hidden="1" customHeight="1" outlineLevel="1">
      <c r="A828" s="3"/>
      <c r="B828" s="1471" t="s">
        <v>1148</v>
      </c>
      <c r="C828" s="29"/>
      <c r="D828" s="133" t="str">
        <f>Asset7</f>
        <v>Other</v>
      </c>
      <c r="E828" s="3"/>
      <c r="F828" s="3"/>
      <c r="G828" s="1394">
        <f>-'RFM input'!M13</f>
        <v>0</v>
      </c>
      <c r="H828" s="1341">
        <f t="shared" ref="H828:Q828" si="68">H1038+H1090</f>
        <v>-3.1652193998484859E-4</v>
      </c>
      <c r="I828" s="1341">
        <f t="shared" si="68"/>
        <v>2.0280939998864951E-3</v>
      </c>
      <c r="J828" s="1341">
        <f t="shared" si="68"/>
        <v>2.1859970232955377E-3</v>
      </c>
      <c r="K828" s="1341">
        <f t="shared" si="68"/>
        <v>2.253110682272623E-3</v>
      </c>
      <c r="L828" s="1341">
        <f t="shared" si="68"/>
        <v>2.7928032188874363E-3</v>
      </c>
      <c r="M828" s="1341">
        <f t="shared" si="68"/>
        <v>1.731840697879112E-3</v>
      </c>
      <c r="N828" s="1341">
        <f t="shared" si="68"/>
        <v>1.5261006783563779E-4</v>
      </c>
      <c r="O828" s="1341">
        <f t="shared" si="68"/>
        <v>0</v>
      </c>
      <c r="P828" s="1341">
        <f t="shared" si="68"/>
        <v>0</v>
      </c>
      <c r="Q828" s="1341">
        <f t="shared" si="68"/>
        <v>0</v>
      </c>
      <c r="R828" s="248"/>
      <c r="S828" s="71"/>
      <c r="T828" s="71"/>
      <c r="U828" s="71"/>
      <c r="V828" s="71"/>
      <c r="W828" s="71"/>
      <c r="X828" s="71"/>
      <c r="Y828" s="71"/>
      <c r="Z828" s="71"/>
    </row>
    <row r="829" spans="1:26" ht="12.75" hidden="1" customHeight="1" outlineLevel="1">
      <c r="A829" s="3"/>
      <c r="B829" s="3"/>
      <c r="C829" s="29"/>
      <c r="D829" s="133">
        <f>Asset8</f>
        <v>0</v>
      </c>
      <c r="E829" s="3"/>
      <c r="F829" s="3"/>
      <c r="G829" s="1394">
        <f>-'RFM input'!M14</f>
        <v>0</v>
      </c>
      <c r="H829" s="1341">
        <f t="shared" ref="H829:Q829" si="69">H1039+H1091</f>
        <v>0</v>
      </c>
      <c r="I829" s="1341">
        <f t="shared" si="69"/>
        <v>0</v>
      </c>
      <c r="J829" s="1341">
        <f t="shared" si="69"/>
        <v>0</v>
      </c>
      <c r="K829" s="1341">
        <f t="shared" si="69"/>
        <v>0</v>
      </c>
      <c r="L829" s="1341">
        <f t="shared" si="69"/>
        <v>0</v>
      </c>
      <c r="M829" s="1341">
        <f t="shared" si="69"/>
        <v>0</v>
      </c>
      <c r="N829" s="1341">
        <f t="shared" si="69"/>
        <v>0</v>
      </c>
      <c r="O829" s="1341">
        <f t="shared" si="69"/>
        <v>0</v>
      </c>
      <c r="P829" s="1341">
        <f t="shared" si="69"/>
        <v>0</v>
      </c>
      <c r="Q829" s="1341">
        <f t="shared" si="69"/>
        <v>0</v>
      </c>
      <c r="R829" s="248"/>
      <c r="S829" s="71"/>
      <c r="T829" s="71"/>
      <c r="U829" s="71"/>
      <c r="V829" s="71"/>
      <c r="W829" s="71"/>
      <c r="X829" s="71"/>
      <c r="Y829" s="71"/>
      <c r="Z829" s="71"/>
    </row>
    <row r="830" spans="1:26" ht="12.75" hidden="1" customHeight="1" outlineLevel="1">
      <c r="A830" s="3"/>
      <c r="B830" s="3"/>
      <c r="C830" s="29"/>
      <c r="D830" s="133">
        <f>Asset9</f>
        <v>0</v>
      </c>
      <c r="E830" s="3"/>
      <c r="F830" s="3"/>
      <c r="G830" s="1394">
        <f>-'RFM input'!M15</f>
        <v>0</v>
      </c>
      <c r="H830" s="1341">
        <f t="shared" ref="H830:Q830" si="70">H1040+H1092</f>
        <v>0</v>
      </c>
      <c r="I830" s="1341">
        <f t="shared" si="70"/>
        <v>0</v>
      </c>
      <c r="J830" s="1341">
        <f t="shared" si="70"/>
        <v>0</v>
      </c>
      <c r="K830" s="1341">
        <f t="shared" si="70"/>
        <v>0</v>
      </c>
      <c r="L830" s="1341">
        <f t="shared" si="70"/>
        <v>0</v>
      </c>
      <c r="M830" s="1341">
        <f t="shared" si="70"/>
        <v>0</v>
      </c>
      <c r="N830" s="1341">
        <f t="shared" si="70"/>
        <v>0</v>
      </c>
      <c r="O830" s="1341">
        <f t="shared" si="70"/>
        <v>0</v>
      </c>
      <c r="P830" s="1341">
        <f t="shared" si="70"/>
        <v>0</v>
      </c>
      <c r="Q830" s="1341">
        <f t="shared" si="70"/>
        <v>0</v>
      </c>
      <c r="R830" s="248"/>
      <c r="S830" s="71"/>
      <c r="T830" s="71"/>
      <c r="U830" s="71"/>
      <c r="V830" s="71"/>
      <c r="W830" s="71"/>
      <c r="X830" s="71"/>
      <c r="Y830" s="71"/>
      <c r="Z830" s="71"/>
    </row>
    <row r="831" spans="1:26" ht="12.75" hidden="1" customHeight="1" outlineLevel="1">
      <c r="A831" s="3"/>
      <c r="B831" s="3"/>
      <c r="C831" s="29"/>
      <c r="D831" s="133">
        <f>Asset10</f>
        <v>0</v>
      </c>
      <c r="E831" s="3"/>
      <c r="F831" s="3"/>
      <c r="G831" s="1394">
        <f>-'RFM input'!M16</f>
        <v>0</v>
      </c>
      <c r="H831" s="1341">
        <f t="shared" ref="H831:Q831" si="71">H1041+H1093</f>
        <v>0</v>
      </c>
      <c r="I831" s="1341">
        <f t="shared" si="71"/>
        <v>0</v>
      </c>
      <c r="J831" s="1341">
        <f t="shared" si="71"/>
        <v>0</v>
      </c>
      <c r="K831" s="1341">
        <f t="shared" si="71"/>
        <v>0</v>
      </c>
      <c r="L831" s="1341">
        <f t="shared" si="71"/>
        <v>0</v>
      </c>
      <c r="M831" s="1341">
        <f t="shared" si="71"/>
        <v>0</v>
      </c>
      <c r="N831" s="1341">
        <f t="shared" si="71"/>
        <v>0</v>
      </c>
      <c r="O831" s="1341">
        <f t="shared" si="71"/>
        <v>0</v>
      </c>
      <c r="P831" s="1341">
        <f t="shared" si="71"/>
        <v>0</v>
      </c>
      <c r="Q831" s="1341">
        <f t="shared" si="71"/>
        <v>0</v>
      </c>
      <c r="R831" s="248"/>
      <c r="S831" s="71"/>
      <c r="T831" s="71"/>
      <c r="U831" s="71"/>
      <c r="V831" s="71"/>
      <c r="W831" s="71"/>
      <c r="X831" s="71"/>
      <c r="Y831" s="71"/>
      <c r="Z831" s="71"/>
    </row>
    <row r="832" spans="1:26" ht="12.75" hidden="1" customHeight="1" outlineLevel="1">
      <c r="A832" s="3"/>
      <c r="B832" s="3"/>
      <c r="C832" s="29"/>
      <c r="D832" s="133">
        <f>Asset11</f>
        <v>0</v>
      </c>
      <c r="E832" s="3"/>
      <c r="F832" s="3"/>
      <c r="G832" s="1394">
        <f>-'RFM input'!M17</f>
        <v>0</v>
      </c>
      <c r="H832" s="1341">
        <f t="shared" ref="H832:Q832" si="72">H1042+H1094</f>
        <v>0</v>
      </c>
      <c r="I832" s="1341">
        <f t="shared" si="72"/>
        <v>0</v>
      </c>
      <c r="J832" s="1341">
        <f t="shared" si="72"/>
        <v>0</v>
      </c>
      <c r="K832" s="1341">
        <f t="shared" si="72"/>
        <v>0</v>
      </c>
      <c r="L832" s="1341">
        <f t="shared" si="72"/>
        <v>0</v>
      </c>
      <c r="M832" s="1341">
        <f t="shared" si="72"/>
        <v>0</v>
      </c>
      <c r="N832" s="1341">
        <f t="shared" si="72"/>
        <v>0</v>
      </c>
      <c r="O832" s="1341">
        <f t="shared" si="72"/>
        <v>0</v>
      </c>
      <c r="P832" s="1341">
        <f t="shared" si="72"/>
        <v>0</v>
      </c>
      <c r="Q832" s="1341">
        <f t="shared" si="72"/>
        <v>0</v>
      </c>
      <c r="R832" s="248"/>
      <c r="S832" s="71"/>
      <c r="T832" s="71"/>
      <c r="U832" s="71"/>
      <c r="V832" s="71"/>
      <c r="W832" s="71"/>
      <c r="X832" s="71"/>
      <c r="Y832" s="71"/>
      <c r="Z832" s="71"/>
    </row>
    <row r="833" spans="1:26" ht="12.75" hidden="1" customHeight="1" outlineLevel="1">
      <c r="A833" s="3"/>
      <c r="B833" s="3"/>
      <c r="C833" s="29"/>
      <c r="D833" s="133">
        <f>Asset12</f>
        <v>0</v>
      </c>
      <c r="E833" s="3"/>
      <c r="F833" s="3"/>
      <c r="G833" s="1394">
        <f>-'RFM input'!M18</f>
        <v>0</v>
      </c>
      <c r="H833" s="1341">
        <f t="shared" ref="H833:Q833" si="73">H1043+H1095</f>
        <v>0</v>
      </c>
      <c r="I833" s="1341">
        <f t="shared" si="73"/>
        <v>0</v>
      </c>
      <c r="J833" s="1341">
        <f t="shared" si="73"/>
        <v>0</v>
      </c>
      <c r="K833" s="1341">
        <f t="shared" si="73"/>
        <v>0</v>
      </c>
      <c r="L833" s="1341">
        <f t="shared" si="73"/>
        <v>0</v>
      </c>
      <c r="M833" s="1341">
        <f t="shared" si="73"/>
        <v>0</v>
      </c>
      <c r="N833" s="1341">
        <f t="shared" si="73"/>
        <v>0</v>
      </c>
      <c r="O833" s="1341">
        <f t="shared" si="73"/>
        <v>0</v>
      </c>
      <c r="P833" s="1341">
        <f t="shared" si="73"/>
        <v>0</v>
      </c>
      <c r="Q833" s="1341">
        <f t="shared" si="73"/>
        <v>0</v>
      </c>
      <c r="R833" s="248"/>
      <c r="S833" s="71"/>
      <c r="T833" s="71"/>
      <c r="U833" s="71"/>
      <c r="V833" s="71"/>
      <c r="W833" s="71"/>
      <c r="X833" s="71"/>
      <c r="Y833" s="71"/>
      <c r="Z833" s="71"/>
    </row>
    <row r="834" spans="1:26" ht="12.75" hidden="1" customHeight="1" outlineLevel="1">
      <c r="A834" s="3"/>
      <c r="B834" s="3"/>
      <c r="C834" s="29"/>
      <c r="D834" s="133">
        <f>Asset13</f>
        <v>0</v>
      </c>
      <c r="E834" s="3"/>
      <c r="F834" s="3"/>
      <c r="G834" s="1394">
        <f>-'RFM input'!M19</f>
        <v>0</v>
      </c>
      <c r="H834" s="1341">
        <f t="shared" ref="H834:Q834" si="74">H1044+H1096</f>
        <v>0</v>
      </c>
      <c r="I834" s="1341">
        <f t="shared" si="74"/>
        <v>0</v>
      </c>
      <c r="J834" s="1341">
        <f t="shared" si="74"/>
        <v>0</v>
      </c>
      <c r="K834" s="1341">
        <f t="shared" si="74"/>
        <v>0</v>
      </c>
      <c r="L834" s="1341">
        <f t="shared" si="74"/>
        <v>0</v>
      </c>
      <c r="M834" s="1341">
        <f t="shared" si="74"/>
        <v>0</v>
      </c>
      <c r="N834" s="1341">
        <f t="shared" si="74"/>
        <v>0</v>
      </c>
      <c r="O834" s="1341">
        <f t="shared" si="74"/>
        <v>0</v>
      </c>
      <c r="P834" s="1341">
        <f t="shared" si="74"/>
        <v>0</v>
      </c>
      <c r="Q834" s="1341">
        <f t="shared" si="74"/>
        <v>0</v>
      </c>
      <c r="R834" s="248"/>
      <c r="S834" s="71"/>
      <c r="T834" s="71"/>
      <c r="U834" s="71"/>
      <c r="V834" s="71"/>
      <c r="W834" s="71"/>
      <c r="X834" s="71"/>
      <c r="Y834" s="71"/>
      <c r="Z834" s="71"/>
    </row>
    <row r="835" spans="1:26" ht="12.75" hidden="1" customHeight="1" outlineLevel="1">
      <c r="A835" s="3"/>
      <c r="B835" s="3"/>
      <c r="C835" s="29"/>
      <c r="D835" s="133">
        <f>Asset14</f>
        <v>0</v>
      </c>
      <c r="E835" s="3"/>
      <c r="F835" s="3"/>
      <c r="G835" s="1394">
        <f>-'RFM input'!M20</f>
        <v>0</v>
      </c>
      <c r="H835" s="1341">
        <f t="shared" ref="H835:Q835" si="75">H1045+H1097</f>
        <v>0</v>
      </c>
      <c r="I835" s="1341">
        <f t="shared" si="75"/>
        <v>0</v>
      </c>
      <c r="J835" s="1341">
        <f t="shared" si="75"/>
        <v>0</v>
      </c>
      <c r="K835" s="1341">
        <f t="shared" si="75"/>
        <v>0</v>
      </c>
      <c r="L835" s="1341">
        <f t="shared" si="75"/>
        <v>0</v>
      </c>
      <c r="M835" s="1341">
        <f t="shared" si="75"/>
        <v>0</v>
      </c>
      <c r="N835" s="1341">
        <f t="shared" si="75"/>
        <v>0</v>
      </c>
      <c r="O835" s="1341">
        <f t="shared" si="75"/>
        <v>0</v>
      </c>
      <c r="P835" s="1341">
        <f t="shared" si="75"/>
        <v>0</v>
      </c>
      <c r="Q835" s="1341">
        <f t="shared" si="75"/>
        <v>0</v>
      </c>
      <c r="R835" s="248"/>
      <c r="S835" s="71"/>
      <c r="T835" s="71"/>
      <c r="U835" s="71"/>
      <c r="V835" s="71"/>
      <c r="W835" s="71"/>
      <c r="X835" s="71"/>
      <c r="Y835" s="71"/>
      <c r="Z835" s="71"/>
    </row>
    <row r="836" spans="1:26" ht="12.75" hidden="1" customHeight="1" outlineLevel="1">
      <c r="A836" s="3"/>
      <c r="B836" s="3"/>
      <c r="C836" s="29"/>
      <c r="D836" s="133">
        <f>Asset15</f>
        <v>0</v>
      </c>
      <c r="E836" s="3"/>
      <c r="F836" s="3"/>
      <c r="G836" s="1394">
        <f>-'RFM input'!M21</f>
        <v>0</v>
      </c>
      <c r="H836" s="1341">
        <f t="shared" ref="H836:Q836" si="76">H1046+H1098</f>
        <v>0</v>
      </c>
      <c r="I836" s="1341">
        <f t="shared" si="76"/>
        <v>0</v>
      </c>
      <c r="J836" s="1341">
        <f t="shared" si="76"/>
        <v>0</v>
      </c>
      <c r="K836" s="1341">
        <f t="shared" si="76"/>
        <v>0</v>
      </c>
      <c r="L836" s="1341">
        <f t="shared" si="76"/>
        <v>0</v>
      </c>
      <c r="M836" s="1341">
        <f t="shared" si="76"/>
        <v>0</v>
      </c>
      <c r="N836" s="1341">
        <f t="shared" si="76"/>
        <v>0</v>
      </c>
      <c r="O836" s="1341">
        <f t="shared" si="76"/>
        <v>0</v>
      </c>
      <c r="P836" s="1341">
        <f t="shared" si="76"/>
        <v>0</v>
      </c>
      <c r="Q836" s="1341">
        <f t="shared" si="76"/>
        <v>0</v>
      </c>
      <c r="R836" s="248"/>
      <c r="S836" s="71"/>
      <c r="T836" s="71"/>
      <c r="U836" s="71"/>
      <c r="V836" s="71"/>
      <c r="W836" s="71"/>
      <c r="X836" s="71"/>
      <c r="Y836" s="71"/>
      <c r="Z836" s="71"/>
    </row>
    <row r="837" spans="1:26" ht="12.75" hidden="1" customHeight="1" outlineLevel="1">
      <c r="A837" s="3"/>
      <c r="B837" s="3"/>
      <c r="C837" s="29"/>
      <c r="D837" s="133">
        <f>Asset16</f>
        <v>0</v>
      </c>
      <c r="E837" s="3"/>
      <c r="F837" s="3"/>
      <c r="G837" s="1394">
        <f>-'RFM input'!M22</f>
        <v>0</v>
      </c>
      <c r="H837" s="1341">
        <f t="shared" ref="H837:Q837" si="77">H1047+H1099</f>
        <v>0</v>
      </c>
      <c r="I837" s="1341">
        <f t="shared" si="77"/>
        <v>0</v>
      </c>
      <c r="J837" s="1341">
        <f t="shared" si="77"/>
        <v>0</v>
      </c>
      <c r="K837" s="1341">
        <f t="shared" si="77"/>
        <v>0</v>
      </c>
      <c r="L837" s="1341">
        <f t="shared" si="77"/>
        <v>0</v>
      </c>
      <c r="M837" s="1341">
        <f t="shared" si="77"/>
        <v>0</v>
      </c>
      <c r="N837" s="1341">
        <f t="shared" si="77"/>
        <v>0</v>
      </c>
      <c r="O837" s="1341">
        <f t="shared" si="77"/>
        <v>0</v>
      </c>
      <c r="P837" s="1341">
        <f t="shared" si="77"/>
        <v>0</v>
      </c>
      <c r="Q837" s="1341">
        <f t="shared" si="77"/>
        <v>0</v>
      </c>
      <c r="R837" s="248"/>
      <c r="S837" s="71"/>
      <c r="T837" s="71"/>
      <c r="U837" s="71"/>
      <c r="V837" s="71"/>
      <c r="W837" s="71"/>
      <c r="X837" s="71"/>
      <c r="Y837" s="71"/>
      <c r="Z837" s="71"/>
    </row>
    <row r="838" spans="1:26" ht="12.75" hidden="1" customHeight="1" outlineLevel="1">
      <c r="A838" s="3"/>
      <c r="B838" s="3"/>
      <c r="C838" s="29"/>
      <c r="D838" s="133">
        <f>Asset17</f>
        <v>0</v>
      </c>
      <c r="E838" s="3"/>
      <c r="F838" s="3"/>
      <c r="G838" s="1394">
        <f>-'RFM input'!M23</f>
        <v>0</v>
      </c>
      <c r="H838" s="1341">
        <f t="shared" ref="H838:Q838" si="78">H1048+H1100</f>
        <v>0</v>
      </c>
      <c r="I838" s="1341">
        <f t="shared" si="78"/>
        <v>0</v>
      </c>
      <c r="J838" s="1341">
        <f t="shared" si="78"/>
        <v>0</v>
      </c>
      <c r="K838" s="1341">
        <f t="shared" si="78"/>
        <v>0</v>
      </c>
      <c r="L838" s="1341">
        <f t="shared" si="78"/>
        <v>0</v>
      </c>
      <c r="M838" s="1341">
        <f t="shared" si="78"/>
        <v>0</v>
      </c>
      <c r="N838" s="1341">
        <f t="shared" si="78"/>
        <v>0</v>
      </c>
      <c r="O838" s="1341">
        <f t="shared" si="78"/>
        <v>0</v>
      </c>
      <c r="P838" s="1341">
        <f t="shared" si="78"/>
        <v>0</v>
      </c>
      <c r="Q838" s="1341">
        <f t="shared" si="78"/>
        <v>0</v>
      </c>
      <c r="R838" s="248"/>
      <c r="S838" s="71"/>
      <c r="T838" s="71"/>
      <c r="U838" s="71"/>
      <c r="V838" s="71"/>
      <c r="W838" s="71"/>
      <c r="X838" s="71"/>
      <c r="Y838" s="71"/>
      <c r="Z838" s="71"/>
    </row>
    <row r="839" spans="1:26" ht="12.75" hidden="1" customHeight="1" outlineLevel="1">
      <c r="A839" s="3"/>
      <c r="B839" s="3"/>
      <c r="C839" s="29"/>
      <c r="D839" s="133">
        <f>Asset18</f>
        <v>0</v>
      </c>
      <c r="E839" s="3"/>
      <c r="F839" s="3"/>
      <c r="G839" s="1394">
        <f>-'RFM input'!M24</f>
        <v>0</v>
      </c>
      <c r="H839" s="1341">
        <f t="shared" ref="H839:Q839" si="79">H1049+H1101</f>
        <v>0</v>
      </c>
      <c r="I839" s="1341">
        <f t="shared" si="79"/>
        <v>0</v>
      </c>
      <c r="J839" s="1341">
        <f t="shared" si="79"/>
        <v>0</v>
      </c>
      <c r="K839" s="1341">
        <f t="shared" si="79"/>
        <v>0</v>
      </c>
      <c r="L839" s="1341">
        <f t="shared" si="79"/>
        <v>0</v>
      </c>
      <c r="M839" s="1341">
        <f t="shared" si="79"/>
        <v>0</v>
      </c>
      <c r="N839" s="1341">
        <f t="shared" si="79"/>
        <v>0</v>
      </c>
      <c r="O839" s="1341">
        <f t="shared" si="79"/>
        <v>0</v>
      </c>
      <c r="P839" s="1341">
        <f t="shared" si="79"/>
        <v>0</v>
      </c>
      <c r="Q839" s="1341">
        <f t="shared" si="79"/>
        <v>0</v>
      </c>
      <c r="R839" s="248"/>
      <c r="S839" s="71"/>
      <c r="T839" s="71"/>
      <c r="U839" s="71"/>
      <c r="V839" s="71"/>
      <c r="W839" s="71"/>
      <c r="X839" s="71"/>
      <c r="Y839" s="71"/>
      <c r="Z839" s="71"/>
    </row>
    <row r="840" spans="1:26" ht="12.75" hidden="1" customHeight="1" outlineLevel="1">
      <c r="A840" s="3"/>
      <c r="B840" s="3"/>
      <c r="C840" s="29"/>
      <c r="D840" s="133">
        <f>Asset19</f>
        <v>0</v>
      </c>
      <c r="E840" s="3"/>
      <c r="F840" s="3"/>
      <c r="G840" s="1394">
        <f>-'RFM input'!M25</f>
        <v>0</v>
      </c>
      <c r="H840" s="1341">
        <f t="shared" ref="H840:Q840" si="80">H1050+H1102</f>
        <v>0</v>
      </c>
      <c r="I840" s="1341">
        <f t="shared" si="80"/>
        <v>0</v>
      </c>
      <c r="J840" s="1341">
        <f t="shared" si="80"/>
        <v>0</v>
      </c>
      <c r="K840" s="1341">
        <f t="shared" si="80"/>
        <v>0</v>
      </c>
      <c r="L840" s="1341">
        <f t="shared" si="80"/>
        <v>0</v>
      </c>
      <c r="M840" s="1341">
        <f t="shared" si="80"/>
        <v>0</v>
      </c>
      <c r="N840" s="1341">
        <f t="shared" si="80"/>
        <v>0</v>
      </c>
      <c r="O840" s="1341">
        <f t="shared" si="80"/>
        <v>0</v>
      </c>
      <c r="P840" s="1341">
        <f t="shared" si="80"/>
        <v>0</v>
      </c>
      <c r="Q840" s="1341">
        <f t="shared" si="80"/>
        <v>0</v>
      </c>
      <c r="R840" s="248"/>
      <c r="S840" s="71"/>
      <c r="T840" s="71"/>
      <c r="U840" s="71"/>
      <c r="V840" s="71"/>
      <c r="W840" s="71"/>
      <c r="X840" s="71"/>
      <c r="Y840" s="71"/>
      <c r="Z840" s="71"/>
    </row>
    <row r="841" spans="1:26" ht="12.75" hidden="1" customHeight="1" outlineLevel="1">
      <c r="A841" s="3"/>
      <c r="B841" s="3"/>
      <c r="C841" s="29"/>
      <c r="D841" s="133">
        <f>Asset20</f>
        <v>0</v>
      </c>
      <c r="E841" s="3"/>
      <c r="F841" s="3"/>
      <c r="G841" s="1394">
        <f>-'RFM input'!M26</f>
        <v>0</v>
      </c>
      <c r="H841" s="1341">
        <f t="shared" ref="H841:Q841" si="81">H1051+H1103</f>
        <v>0</v>
      </c>
      <c r="I841" s="1341">
        <f t="shared" si="81"/>
        <v>0</v>
      </c>
      <c r="J841" s="1341">
        <f t="shared" si="81"/>
        <v>0</v>
      </c>
      <c r="K841" s="1341">
        <f t="shared" si="81"/>
        <v>0</v>
      </c>
      <c r="L841" s="1341">
        <f t="shared" si="81"/>
        <v>0</v>
      </c>
      <c r="M841" s="1341">
        <f t="shared" si="81"/>
        <v>0</v>
      </c>
      <c r="N841" s="1341">
        <f t="shared" si="81"/>
        <v>0</v>
      </c>
      <c r="O841" s="1341">
        <f t="shared" si="81"/>
        <v>0</v>
      </c>
      <c r="P841" s="1341">
        <f t="shared" si="81"/>
        <v>0</v>
      </c>
      <c r="Q841" s="1341">
        <f t="shared" si="81"/>
        <v>0</v>
      </c>
      <c r="R841" s="248"/>
      <c r="S841" s="71"/>
      <c r="T841" s="71"/>
      <c r="U841" s="71"/>
      <c r="V841" s="71"/>
      <c r="W841" s="71"/>
      <c r="X841" s="71"/>
      <c r="Y841" s="71"/>
      <c r="Z841" s="71"/>
    </row>
    <row r="842" spans="1:26" ht="12.75" hidden="1" customHeight="1" outlineLevel="1">
      <c r="A842" s="3"/>
      <c r="B842" s="3"/>
      <c r="C842" s="29"/>
      <c r="D842" s="133">
        <f>Asset21</f>
        <v>0</v>
      </c>
      <c r="E842" s="3"/>
      <c r="F842" s="3"/>
      <c r="G842" s="1394">
        <f>-'RFM input'!M27</f>
        <v>0</v>
      </c>
      <c r="H842" s="1341">
        <f t="shared" ref="H842:Q842" si="82">H1052+H1104</f>
        <v>0</v>
      </c>
      <c r="I842" s="1341">
        <f t="shared" si="82"/>
        <v>0</v>
      </c>
      <c r="J842" s="1341">
        <f t="shared" si="82"/>
        <v>0</v>
      </c>
      <c r="K842" s="1341">
        <f t="shared" si="82"/>
        <v>0</v>
      </c>
      <c r="L842" s="1341">
        <f t="shared" si="82"/>
        <v>0</v>
      </c>
      <c r="M842" s="1341">
        <f t="shared" si="82"/>
        <v>0</v>
      </c>
      <c r="N842" s="1341">
        <f t="shared" si="82"/>
        <v>0</v>
      </c>
      <c r="O842" s="1341">
        <f t="shared" si="82"/>
        <v>0</v>
      </c>
      <c r="P842" s="1341">
        <f t="shared" si="82"/>
        <v>0</v>
      </c>
      <c r="Q842" s="1341">
        <f t="shared" si="82"/>
        <v>0</v>
      </c>
      <c r="R842" s="248"/>
      <c r="S842" s="71"/>
      <c r="T842" s="71"/>
      <c r="U842" s="71"/>
      <c r="V842" s="71"/>
      <c r="W842" s="71"/>
      <c r="X842" s="71"/>
      <c r="Y842" s="71"/>
      <c r="Z842" s="71"/>
    </row>
    <row r="843" spans="1:26" ht="12.75" hidden="1" customHeight="1" outlineLevel="1">
      <c r="A843" s="3"/>
      <c r="B843" s="3"/>
      <c r="C843" s="29"/>
      <c r="D843" s="133">
        <f>Asset22</f>
        <v>0</v>
      </c>
      <c r="E843" s="3"/>
      <c r="F843" s="3"/>
      <c r="G843" s="1394">
        <f>-'RFM input'!M28</f>
        <v>0</v>
      </c>
      <c r="H843" s="1341">
        <f t="shared" ref="H843:Q843" si="83">H1053+H1105</f>
        <v>0</v>
      </c>
      <c r="I843" s="1341">
        <f t="shared" si="83"/>
        <v>0</v>
      </c>
      <c r="J843" s="1341">
        <f t="shared" si="83"/>
        <v>0</v>
      </c>
      <c r="K843" s="1341">
        <f t="shared" si="83"/>
        <v>0</v>
      </c>
      <c r="L843" s="1341">
        <f t="shared" si="83"/>
        <v>0</v>
      </c>
      <c r="M843" s="1341">
        <f t="shared" si="83"/>
        <v>0</v>
      </c>
      <c r="N843" s="1341">
        <f t="shared" si="83"/>
        <v>0</v>
      </c>
      <c r="O843" s="1341">
        <f t="shared" si="83"/>
        <v>0</v>
      </c>
      <c r="P843" s="1341">
        <f t="shared" si="83"/>
        <v>0</v>
      </c>
      <c r="Q843" s="1341">
        <f t="shared" si="83"/>
        <v>0</v>
      </c>
      <c r="R843" s="248"/>
      <c r="S843" s="71"/>
      <c r="T843" s="71"/>
      <c r="U843" s="71"/>
      <c r="V843" s="71"/>
      <c r="W843" s="71"/>
      <c r="X843" s="71"/>
      <c r="Y843" s="71"/>
      <c r="Z843" s="71"/>
    </row>
    <row r="844" spans="1:26" ht="12.75" hidden="1" customHeight="1" outlineLevel="1">
      <c r="A844" s="3"/>
      <c r="B844" s="3"/>
      <c r="C844" s="29"/>
      <c r="D844" s="133">
        <f>Asset23</f>
        <v>0</v>
      </c>
      <c r="E844" s="3"/>
      <c r="F844" s="3"/>
      <c r="G844" s="1394">
        <f>-'RFM input'!M29</f>
        <v>0</v>
      </c>
      <c r="H844" s="1341">
        <f t="shared" ref="H844:Q844" si="84">H1054+H1106</f>
        <v>0</v>
      </c>
      <c r="I844" s="1341">
        <f t="shared" si="84"/>
        <v>0</v>
      </c>
      <c r="J844" s="1341">
        <f t="shared" si="84"/>
        <v>0</v>
      </c>
      <c r="K844" s="1341">
        <f t="shared" si="84"/>
        <v>0</v>
      </c>
      <c r="L844" s="1341">
        <f t="shared" si="84"/>
        <v>0</v>
      </c>
      <c r="M844" s="1341">
        <f t="shared" si="84"/>
        <v>0</v>
      </c>
      <c r="N844" s="1341">
        <f t="shared" si="84"/>
        <v>0</v>
      </c>
      <c r="O844" s="1341">
        <f t="shared" si="84"/>
        <v>0</v>
      </c>
      <c r="P844" s="1341">
        <f t="shared" si="84"/>
        <v>0</v>
      </c>
      <c r="Q844" s="1341">
        <f t="shared" si="84"/>
        <v>0</v>
      </c>
      <c r="R844" s="248"/>
      <c r="S844" s="71"/>
      <c r="T844" s="71"/>
      <c r="U844" s="71"/>
      <c r="V844" s="71"/>
      <c r="W844" s="71"/>
      <c r="X844" s="71"/>
      <c r="Y844" s="71"/>
      <c r="Z844" s="71"/>
    </row>
    <row r="845" spans="1:26" ht="12.75" hidden="1" customHeight="1" outlineLevel="1">
      <c r="A845" s="3"/>
      <c r="B845" s="3"/>
      <c r="C845" s="29"/>
      <c r="D845" s="133">
        <f>Asset24</f>
        <v>0</v>
      </c>
      <c r="E845" s="3"/>
      <c r="F845" s="3"/>
      <c r="G845" s="1394">
        <f>-'RFM input'!M30</f>
        <v>0</v>
      </c>
      <c r="H845" s="1341">
        <f t="shared" ref="H845:Q845" si="85">H1055+H1107</f>
        <v>0</v>
      </c>
      <c r="I845" s="1341">
        <f t="shared" si="85"/>
        <v>0</v>
      </c>
      <c r="J845" s="1341">
        <f t="shared" si="85"/>
        <v>0</v>
      </c>
      <c r="K845" s="1341">
        <f t="shared" si="85"/>
        <v>0</v>
      </c>
      <c r="L845" s="1341">
        <f t="shared" si="85"/>
        <v>0</v>
      </c>
      <c r="M845" s="1341">
        <f t="shared" si="85"/>
        <v>0</v>
      </c>
      <c r="N845" s="1341">
        <f t="shared" si="85"/>
        <v>0</v>
      </c>
      <c r="O845" s="1341">
        <f t="shared" si="85"/>
        <v>0</v>
      </c>
      <c r="P845" s="1341">
        <f t="shared" si="85"/>
        <v>0</v>
      </c>
      <c r="Q845" s="1341">
        <f t="shared" si="85"/>
        <v>0</v>
      </c>
      <c r="R845" s="248"/>
      <c r="S845" s="71"/>
      <c r="T845" s="71"/>
      <c r="U845" s="71"/>
      <c r="V845" s="71"/>
      <c r="W845" s="71"/>
      <c r="X845" s="71"/>
      <c r="Y845" s="71"/>
      <c r="Z845" s="71"/>
    </row>
    <row r="846" spans="1:26" ht="12.75" hidden="1" customHeight="1" outlineLevel="1">
      <c r="A846" s="3"/>
      <c r="B846" s="3"/>
      <c r="C846" s="29"/>
      <c r="D846" s="133">
        <f>Asset25</f>
        <v>0</v>
      </c>
      <c r="E846" s="3"/>
      <c r="F846" s="3"/>
      <c r="G846" s="1394">
        <f>-'RFM input'!M31</f>
        <v>0</v>
      </c>
      <c r="H846" s="1341">
        <f t="shared" ref="H846:Q846" si="86">H1056+H1108</f>
        <v>0</v>
      </c>
      <c r="I846" s="1341">
        <f t="shared" si="86"/>
        <v>0</v>
      </c>
      <c r="J846" s="1341">
        <f t="shared" si="86"/>
        <v>0</v>
      </c>
      <c r="K846" s="1341">
        <f t="shared" si="86"/>
        <v>0</v>
      </c>
      <c r="L846" s="1341">
        <f t="shared" si="86"/>
        <v>0</v>
      </c>
      <c r="M846" s="1341">
        <f t="shared" si="86"/>
        <v>0</v>
      </c>
      <c r="N846" s="1341">
        <f t="shared" si="86"/>
        <v>0</v>
      </c>
      <c r="O846" s="1341">
        <f t="shared" si="86"/>
        <v>0</v>
      </c>
      <c r="P846" s="1341">
        <f t="shared" si="86"/>
        <v>0</v>
      </c>
      <c r="Q846" s="1341">
        <f t="shared" si="86"/>
        <v>0</v>
      </c>
      <c r="R846" s="248"/>
      <c r="S846" s="71"/>
      <c r="T846" s="71"/>
      <c r="U846" s="71"/>
      <c r="V846" s="71"/>
      <c r="W846" s="71"/>
      <c r="X846" s="71"/>
      <c r="Y846" s="71"/>
      <c r="Z846" s="71"/>
    </row>
    <row r="847" spans="1:26" ht="12.75" hidden="1" customHeight="1" outlineLevel="1">
      <c r="A847" s="3"/>
      <c r="B847" s="3"/>
      <c r="C847" s="29"/>
      <c r="D847" s="133">
        <f>Asset26</f>
        <v>0</v>
      </c>
      <c r="E847" s="3"/>
      <c r="F847" s="3"/>
      <c r="G847" s="1394">
        <f>-'RFM input'!M32</f>
        <v>0</v>
      </c>
      <c r="H847" s="1341">
        <f t="shared" ref="H847:Q847" si="87">H1057+H1109</f>
        <v>0</v>
      </c>
      <c r="I847" s="1341">
        <f t="shared" si="87"/>
        <v>0</v>
      </c>
      <c r="J847" s="1341">
        <f t="shared" si="87"/>
        <v>0</v>
      </c>
      <c r="K847" s="1341">
        <f t="shared" si="87"/>
        <v>0</v>
      </c>
      <c r="L847" s="1341">
        <f t="shared" si="87"/>
        <v>0</v>
      </c>
      <c r="M847" s="1341">
        <f t="shared" si="87"/>
        <v>0</v>
      </c>
      <c r="N847" s="1341">
        <f t="shared" si="87"/>
        <v>0</v>
      </c>
      <c r="O847" s="1341">
        <f t="shared" si="87"/>
        <v>0</v>
      </c>
      <c r="P847" s="1341">
        <f t="shared" si="87"/>
        <v>0</v>
      </c>
      <c r="Q847" s="1341">
        <f t="shared" si="87"/>
        <v>0</v>
      </c>
      <c r="R847" s="248"/>
      <c r="S847" s="71"/>
      <c r="T847" s="71"/>
      <c r="U847" s="71"/>
      <c r="V847" s="71"/>
      <c r="W847" s="71"/>
      <c r="X847" s="71"/>
      <c r="Y847" s="71"/>
      <c r="Z847" s="71"/>
    </row>
    <row r="848" spans="1:26" ht="12.75" hidden="1" customHeight="1" outlineLevel="1">
      <c r="A848" s="3"/>
      <c r="B848" s="3"/>
      <c r="C848" s="29"/>
      <c r="D848" s="133">
        <f>Asset27</f>
        <v>0</v>
      </c>
      <c r="E848" s="3"/>
      <c r="F848" s="3"/>
      <c r="G848" s="1394">
        <f>-'RFM input'!M33</f>
        <v>0</v>
      </c>
      <c r="H848" s="1341">
        <f t="shared" ref="H848:Q848" si="88">H1058+H1110</f>
        <v>0</v>
      </c>
      <c r="I848" s="1341">
        <f t="shared" si="88"/>
        <v>0</v>
      </c>
      <c r="J848" s="1341">
        <f t="shared" si="88"/>
        <v>0</v>
      </c>
      <c r="K848" s="1341">
        <f t="shared" si="88"/>
        <v>0</v>
      </c>
      <c r="L848" s="1341">
        <f t="shared" si="88"/>
        <v>0</v>
      </c>
      <c r="M848" s="1341">
        <f t="shared" si="88"/>
        <v>0</v>
      </c>
      <c r="N848" s="1341">
        <f t="shared" si="88"/>
        <v>0</v>
      </c>
      <c r="O848" s="1341">
        <f t="shared" si="88"/>
        <v>0</v>
      </c>
      <c r="P848" s="1341">
        <f t="shared" si="88"/>
        <v>0</v>
      </c>
      <c r="Q848" s="1341">
        <f t="shared" si="88"/>
        <v>0</v>
      </c>
      <c r="R848" s="248"/>
      <c r="S848" s="71"/>
      <c r="T848" s="71"/>
      <c r="U848" s="71"/>
      <c r="V848" s="71"/>
      <c r="W848" s="71"/>
      <c r="X848" s="71"/>
      <c r="Y848" s="71"/>
      <c r="Z848" s="71"/>
    </row>
    <row r="849" spans="1:26" ht="12.75" hidden="1" customHeight="1" outlineLevel="1">
      <c r="A849" s="3"/>
      <c r="B849" s="3"/>
      <c r="C849" s="29"/>
      <c r="D849" s="133">
        <f>Asset28</f>
        <v>0</v>
      </c>
      <c r="E849" s="3"/>
      <c r="F849" s="3"/>
      <c r="G849" s="1394">
        <f>-'RFM input'!M34</f>
        <v>0</v>
      </c>
      <c r="H849" s="1341">
        <f t="shared" ref="H849:Q849" si="89">H1059+H1111</f>
        <v>0</v>
      </c>
      <c r="I849" s="1341">
        <f t="shared" si="89"/>
        <v>0</v>
      </c>
      <c r="J849" s="1341">
        <f t="shared" si="89"/>
        <v>0</v>
      </c>
      <c r="K849" s="1341">
        <f t="shared" si="89"/>
        <v>0</v>
      </c>
      <c r="L849" s="1341">
        <f t="shared" si="89"/>
        <v>0</v>
      </c>
      <c r="M849" s="1341">
        <f t="shared" si="89"/>
        <v>0</v>
      </c>
      <c r="N849" s="1341">
        <f t="shared" si="89"/>
        <v>0</v>
      </c>
      <c r="O849" s="1341">
        <f t="shared" si="89"/>
        <v>0</v>
      </c>
      <c r="P849" s="1341">
        <f t="shared" si="89"/>
        <v>0</v>
      </c>
      <c r="Q849" s="1341">
        <f t="shared" si="89"/>
        <v>0</v>
      </c>
      <c r="R849" s="248"/>
      <c r="S849" s="71"/>
      <c r="T849" s="71"/>
      <c r="U849" s="71"/>
      <c r="V849" s="71"/>
      <c r="W849" s="71"/>
      <c r="X849" s="71"/>
      <c r="Y849" s="71"/>
      <c r="Z849" s="71"/>
    </row>
    <row r="850" spans="1:26" ht="12.75" hidden="1" customHeight="1" outlineLevel="1">
      <c r="A850" s="3"/>
      <c r="B850" s="3"/>
      <c r="C850" s="29"/>
      <c r="D850" s="133">
        <f>Asset29</f>
        <v>0</v>
      </c>
      <c r="E850" s="3"/>
      <c r="F850" s="3"/>
      <c r="G850" s="1394">
        <f>-'RFM input'!M35</f>
        <v>0</v>
      </c>
      <c r="H850" s="1341">
        <f t="shared" ref="H850:Q850" si="90">H1060+H1112</f>
        <v>0</v>
      </c>
      <c r="I850" s="1341">
        <f t="shared" si="90"/>
        <v>0</v>
      </c>
      <c r="J850" s="1341">
        <f t="shared" si="90"/>
        <v>0</v>
      </c>
      <c r="K850" s="1341">
        <f t="shared" si="90"/>
        <v>0</v>
      </c>
      <c r="L850" s="1341">
        <f t="shared" si="90"/>
        <v>0</v>
      </c>
      <c r="M850" s="1341">
        <f t="shared" si="90"/>
        <v>0</v>
      </c>
      <c r="N850" s="1341">
        <f t="shared" si="90"/>
        <v>0</v>
      </c>
      <c r="O850" s="1341">
        <f t="shared" si="90"/>
        <v>0</v>
      </c>
      <c r="P850" s="1341">
        <f t="shared" si="90"/>
        <v>0</v>
      </c>
      <c r="Q850" s="1341">
        <f t="shared" si="90"/>
        <v>0</v>
      </c>
      <c r="R850" s="248"/>
      <c r="S850" s="71"/>
      <c r="T850" s="71"/>
      <c r="U850" s="71"/>
      <c r="V850" s="71"/>
      <c r="W850" s="71"/>
      <c r="X850" s="71"/>
      <c r="Y850" s="71"/>
      <c r="Z850" s="71"/>
    </row>
    <row r="851" spans="1:26" ht="12.75" hidden="1" customHeight="1" outlineLevel="1">
      <c r="A851" s="3"/>
      <c r="B851" s="3"/>
      <c r="C851" s="29"/>
      <c r="D851" s="133">
        <f>Asset30</f>
        <v>0</v>
      </c>
      <c r="E851" s="3"/>
      <c r="F851" s="3"/>
      <c r="G851" s="1394">
        <f>-'RFM input'!M36</f>
        <v>0</v>
      </c>
      <c r="H851" s="1341">
        <f t="shared" ref="H851:Q851" si="91">H1061+H1113</f>
        <v>0</v>
      </c>
      <c r="I851" s="1341">
        <f t="shared" si="91"/>
        <v>0</v>
      </c>
      <c r="J851" s="1341">
        <f t="shared" si="91"/>
        <v>0</v>
      </c>
      <c r="K851" s="1341">
        <f t="shared" si="91"/>
        <v>0</v>
      </c>
      <c r="L851" s="1341">
        <f t="shared" si="91"/>
        <v>0</v>
      </c>
      <c r="M851" s="1341">
        <f t="shared" si="91"/>
        <v>0</v>
      </c>
      <c r="N851" s="1341">
        <f t="shared" si="91"/>
        <v>0</v>
      </c>
      <c r="O851" s="1341">
        <f t="shared" si="91"/>
        <v>0</v>
      </c>
      <c r="P851" s="1341">
        <f t="shared" si="91"/>
        <v>0</v>
      </c>
      <c r="Q851" s="1341">
        <f t="shared" si="91"/>
        <v>0</v>
      </c>
      <c r="R851" s="248"/>
      <c r="S851" s="71"/>
      <c r="T851" s="71"/>
      <c r="U851" s="71"/>
      <c r="V851" s="71"/>
      <c r="W851" s="71"/>
      <c r="X851" s="71"/>
      <c r="Y851" s="71"/>
      <c r="Z851" s="71"/>
    </row>
    <row r="852" spans="1:26" ht="12.75" hidden="1" customHeight="1" outlineLevel="1">
      <c r="A852" s="3"/>
      <c r="B852" s="3"/>
      <c r="C852" s="29"/>
      <c r="D852" s="133">
        <f>Asset31</f>
        <v>0</v>
      </c>
      <c r="E852" s="3"/>
      <c r="F852" s="3"/>
      <c r="G852" s="1394">
        <f>-'RFM input'!M37</f>
        <v>0</v>
      </c>
      <c r="H852" s="1341">
        <f t="shared" ref="H852:Q852" si="92">H1062+H1114</f>
        <v>0</v>
      </c>
      <c r="I852" s="1341">
        <f t="shared" si="92"/>
        <v>0</v>
      </c>
      <c r="J852" s="1341">
        <f t="shared" si="92"/>
        <v>0</v>
      </c>
      <c r="K852" s="1341">
        <f t="shared" si="92"/>
        <v>0</v>
      </c>
      <c r="L852" s="1341">
        <f t="shared" si="92"/>
        <v>0</v>
      </c>
      <c r="M852" s="1341">
        <f t="shared" si="92"/>
        <v>0</v>
      </c>
      <c r="N852" s="1341">
        <f t="shared" si="92"/>
        <v>0</v>
      </c>
      <c r="O852" s="1341">
        <f t="shared" si="92"/>
        <v>0</v>
      </c>
      <c r="P852" s="1341">
        <f t="shared" si="92"/>
        <v>0</v>
      </c>
      <c r="Q852" s="1341">
        <f t="shared" si="92"/>
        <v>0</v>
      </c>
      <c r="R852" s="248"/>
      <c r="S852" s="71"/>
      <c r="T852" s="71"/>
      <c r="U852" s="71"/>
      <c r="V852" s="71"/>
      <c r="W852" s="71"/>
      <c r="X852" s="71"/>
      <c r="Y852" s="71"/>
      <c r="Z852" s="71"/>
    </row>
    <row r="853" spans="1:26" ht="12.75" hidden="1" customHeight="1" outlineLevel="1">
      <c r="A853" s="3"/>
      <c r="B853" s="3"/>
      <c r="C853" s="29"/>
      <c r="D853" s="133">
        <f>Asset32</f>
        <v>0</v>
      </c>
      <c r="E853" s="3"/>
      <c r="F853" s="3"/>
      <c r="G853" s="1394">
        <f>-'RFM input'!M38</f>
        <v>0</v>
      </c>
      <c r="H853" s="1341">
        <f t="shared" ref="H853:Q853" si="93">H1063+H1115</f>
        <v>0</v>
      </c>
      <c r="I853" s="1341">
        <f t="shared" si="93"/>
        <v>0</v>
      </c>
      <c r="J853" s="1341">
        <f t="shared" si="93"/>
        <v>0</v>
      </c>
      <c r="K853" s="1341">
        <f t="shared" si="93"/>
        <v>0</v>
      </c>
      <c r="L853" s="1341">
        <f t="shared" si="93"/>
        <v>0</v>
      </c>
      <c r="M853" s="1341">
        <f t="shared" si="93"/>
        <v>0</v>
      </c>
      <c r="N853" s="1341">
        <f t="shared" si="93"/>
        <v>0</v>
      </c>
      <c r="O853" s="1341">
        <f t="shared" si="93"/>
        <v>0</v>
      </c>
      <c r="P853" s="1341">
        <f t="shared" si="93"/>
        <v>0</v>
      </c>
      <c r="Q853" s="1341">
        <f t="shared" si="93"/>
        <v>0</v>
      </c>
      <c r="R853" s="248"/>
      <c r="S853" s="71"/>
      <c r="T853" s="71"/>
      <c r="U853" s="71"/>
      <c r="V853" s="71"/>
      <c r="W853" s="71"/>
      <c r="X853" s="71"/>
      <c r="Y853" s="71"/>
      <c r="Z853" s="71"/>
    </row>
    <row r="854" spans="1:26" ht="12.75" hidden="1" customHeight="1" outlineLevel="1">
      <c r="A854" s="3"/>
      <c r="B854" s="3"/>
      <c r="C854" s="29"/>
      <c r="D854" s="133">
        <f>Asset33</f>
        <v>0</v>
      </c>
      <c r="E854" s="3"/>
      <c r="F854" s="3"/>
      <c r="G854" s="1394">
        <f>-'RFM input'!M39</f>
        <v>0</v>
      </c>
      <c r="H854" s="1341">
        <f t="shared" ref="H854:Q854" si="94">H1064+H1116</f>
        <v>0</v>
      </c>
      <c r="I854" s="1341">
        <f t="shared" si="94"/>
        <v>0</v>
      </c>
      <c r="J854" s="1341">
        <f t="shared" si="94"/>
        <v>0</v>
      </c>
      <c r="K854" s="1341">
        <f t="shared" si="94"/>
        <v>0</v>
      </c>
      <c r="L854" s="1341">
        <f t="shared" si="94"/>
        <v>0</v>
      </c>
      <c r="M854" s="1341">
        <f t="shared" si="94"/>
        <v>0</v>
      </c>
      <c r="N854" s="1341">
        <f t="shared" si="94"/>
        <v>0</v>
      </c>
      <c r="O854" s="1341">
        <f t="shared" si="94"/>
        <v>0</v>
      </c>
      <c r="P854" s="1341">
        <f t="shared" si="94"/>
        <v>0</v>
      </c>
      <c r="Q854" s="1341">
        <f t="shared" si="94"/>
        <v>0</v>
      </c>
      <c r="R854" s="248"/>
      <c r="S854" s="71"/>
      <c r="T854" s="71"/>
      <c r="U854" s="71"/>
      <c r="V854" s="71"/>
      <c r="W854" s="71"/>
      <c r="X854" s="71"/>
      <c r="Y854" s="71"/>
      <c r="Z854" s="71"/>
    </row>
    <row r="855" spans="1:26" ht="12.75" hidden="1" customHeight="1" outlineLevel="1">
      <c r="A855" s="3"/>
      <c r="B855" s="3"/>
      <c r="C855" s="29"/>
      <c r="D855" s="133">
        <f>Asset34</f>
        <v>0</v>
      </c>
      <c r="E855" s="3"/>
      <c r="F855" s="3"/>
      <c r="G855" s="1394">
        <f>-'RFM input'!M40</f>
        <v>0</v>
      </c>
      <c r="H855" s="1341">
        <f t="shared" ref="H855:Q855" si="95">H1065+H1117</f>
        <v>0</v>
      </c>
      <c r="I855" s="1341">
        <f t="shared" si="95"/>
        <v>0</v>
      </c>
      <c r="J855" s="1341">
        <f t="shared" si="95"/>
        <v>0</v>
      </c>
      <c r="K855" s="1341">
        <f t="shared" si="95"/>
        <v>0</v>
      </c>
      <c r="L855" s="1341">
        <f t="shared" si="95"/>
        <v>0</v>
      </c>
      <c r="M855" s="1341">
        <f t="shared" si="95"/>
        <v>0</v>
      </c>
      <c r="N855" s="1341">
        <f t="shared" si="95"/>
        <v>0</v>
      </c>
      <c r="O855" s="1341">
        <f t="shared" si="95"/>
        <v>0</v>
      </c>
      <c r="P855" s="1341">
        <f t="shared" si="95"/>
        <v>0</v>
      </c>
      <c r="Q855" s="1341">
        <f t="shared" si="95"/>
        <v>0</v>
      </c>
      <c r="R855" s="248"/>
      <c r="S855" s="71"/>
      <c r="T855" s="71"/>
      <c r="U855" s="71"/>
      <c r="V855" s="71"/>
      <c r="W855" s="71"/>
      <c r="X855" s="71"/>
      <c r="Y855" s="71"/>
      <c r="Z855" s="71"/>
    </row>
    <row r="856" spans="1:26" ht="12.75" hidden="1" customHeight="1" outlineLevel="1">
      <c r="A856" s="3"/>
      <c r="B856" s="3"/>
      <c r="C856" s="29"/>
      <c r="D856" s="133">
        <f>Asset35</f>
        <v>0</v>
      </c>
      <c r="E856" s="3"/>
      <c r="F856" s="3"/>
      <c r="G856" s="1394">
        <f>-'RFM input'!M41</f>
        <v>0</v>
      </c>
      <c r="H856" s="1341">
        <f t="shared" ref="H856:Q856" si="96">H1066+H1118</f>
        <v>0</v>
      </c>
      <c r="I856" s="1341">
        <f t="shared" si="96"/>
        <v>0</v>
      </c>
      <c r="J856" s="1341">
        <f t="shared" si="96"/>
        <v>0</v>
      </c>
      <c r="K856" s="1341">
        <f t="shared" si="96"/>
        <v>0</v>
      </c>
      <c r="L856" s="1341">
        <f t="shared" si="96"/>
        <v>0</v>
      </c>
      <c r="M856" s="1341">
        <f t="shared" si="96"/>
        <v>0</v>
      </c>
      <c r="N856" s="1341">
        <f t="shared" si="96"/>
        <v>0</v>
      </c>
      <c r="O856" s="1341">
        <f t="shared" si="96"/>
        <v>0</v>
      </c>
      <c r="P856" s="1341">
        <f t="shared" si="96"/>
        <v>0</v>
      </c>
      <c r="Q856" s="1341">
        <f t="shared" si="96"/>
        <v>0</v>
      </c>
      <c r="R856" s="248"/>
      <c r="S856" s="71"/>
      <c r="T856" s="71"/>
      <c r="U856" s="71"/>
      <c r="V856" s="71"/>
      <c r="W856" s="71"/>
      <c r="X856" s="71"/>
      <c r="Y856" s="71"/>
      <c r="Z856" s="71"/>
    </row>
    <row r="857" spans="1:26" ht="12.75" hidden="1" customHeight="1" outlineLevel="1">
      <c r="A857" s="3"/>
      <c r="B857" s="3"/>
      <c r="C857" s="29"/>
      <c r="D857" s="133">
        <f>Asset36</f>
        <v>0</v>
      </c>
      <c r="E857" s="3"/>
      <c r="F857" s="3"/>
      <c r="G857" s="1394">
        <f>-'RFM input'!M42</f>
        <v>0</v>
      </c>
      <c r="H857" s="1341">
        <f t="shared" ref="H857:Q857" si="97">H1067+H1119</f>
        <v>0</v>
      </c>
      <c r="I857" s="1341">
        <f t="shared" si="97"/>
        <v>0</v>
      </c>
      <c r="J857" s="1341">
        <f t="shared" si="97"/>
        <v>0</v>
      </c>
      <c r="K857" s="1341">
        <f t="shared" si="97"/>
        <v>0</v>
      </c>
      <c r="L857" s="1341">
        <f t="shared" si="97"/>
        <v>0</v>
      </c>
      <c r="M857" s="1341">
        <f t="shared" si="97"/>
        <v>0</v>
      </c>
      <c r="N857" s="1341">
        <f t="shared" si="97"/>
        <v>0</v>
      </c>
      <c r="O857" s="1341">
        <f t="shared" si="97"/>
        <v>0</v>
      </c>
      <c r="P857" s="1341">
        <f t="shared" si="97"/>
        <v>0</v>
      </c>
      <c r="Q857" s="1341">
        <f t="shared" si="97"/>
        <v>0</v>
      </c>
      <c r="R857" s="248"/>
      <c r="S857" s="71"/>
      <c r="T857" s="71"/>
      <c r="U857" s="71"/>
      <c r="V857" s="71"/>
      <c r="W857" s="71"/>
      <c r="X857" s="71"/>
      <c r="Y857" s="71"/>
      <c r="Z857" s="71"/>
    </row>
    <row r="858" spans="1:26" ht="12.75" hidden="1" customHeight="1" outlineLevel="1">
      <c r="A858" s="3"/>
      <c r="B858" s="3"/>
      <c r="C858" s="29"/>
      <c r="D858" s="133">
        <f>Asset37</f>
        <v>0</v>
      </c>
      <c r="E858" s="3"/>
      <c r="F858" s="3"/>
      <c r="G858" s="1394">
        <f>-'RFM input'!M43</f>
        <v>0</v>
      </c>
      <c r="H858" s="1341">
        <f t="shared" ref="H858:Q858" si="98">H1068+H1120</f>
        <v>0</v>
      </c>
      <c r="I858" s="1341">
        <f t="shared" si="98"/>
        <v>0</v>
      </c>
      <c r="J858" s="1341">
        <f t="shared" si="98"/>
        <v>0</v>
      </c>
      <c r="K858" s="1341">
        <f t="shared" si="98"/>
        <v>0</v>
      </c>
      <c r="L858" s="1341">
        <f t="shared" si="98"/>
        <v>0</v>
      </c>
      <c r="M858" s="1341">
        <f t="shared" si="98"/>
        <v>0</v>
      </c>
      <c r="N858" s="1341">
        <f t="shared" si="98"/>
        <v>0</v>
      </c>
      <c r="O858" s="1341">
        <f t="shared" si="98"/>
        <v>0</v>
      </c>
      <c r="P858" s="1341">
        <f t="shared" si="98"/>
        <v>0</v>
      </c>
      <c r="Q858" s="1341">
        <f t="shared" si="98"/>
        <v>0</v>
      </c>
      <c r="R858" s="248"/>
      <c r="S858" s="71"/>
      <c r="T858" s="71"/>
      <c r="U858" s="71"/>
      <c r="V858" s="71"/>
      <c r="W858" s="71"/>
      <c r="X858" s="71"/>
      <c r="Y858" s="71"/>
      <c r="Z858" s="71"/>
    </row>
    <row r="859" spans="1:26" ht="12.75" hidden="1" customHeight="1" outlineLevel="1">
      <c r="A859" s="3"/>
      <c r="B859" s="3"/>
      <c r="C859" s="29"/>
      <c r="D859" s="133">
        <f>Asset38</f>
        <v>0</v>
      </c>
      <c r="E859" s="3"/>
      <c r="F859" s="3"/>
      <c r="G859" s="1394">
        <f>-'RFM input'!M44</f>
        <v>0</v>
      </c>
      <c r="H859" s="1341">
        <f t="shared" ref="H859:Q859" si="99">H1069+H1121</f>
        <v>0</v>
      </c>
      <c r="I859" s="1341">
        <f t="shared" si="99"/>
        <v>0</v>
      </c>
      <c r="J859" s="1341">
        <f t="shared" si="99"/>
        <v>0</v>
      </c>
      <c r="K859" s="1341">
        <f t="shared" si="99"/>
        <v>0</v>
      </c>
      <c r="L859" s="1341">
        <f t="shared" si="99"/>
        <v>0</v>
      </c>
      <c r="M859" s="1341">
        <f t="shared" si="99"/>
        <v>0</v>
      </c>
      <c r="N859" s="1341">
        <f t="shared" si="99"/>
        <v>0</v>
      </c>
      <c r="O859" s="1341">
        <f t="shared" si="99"/>
        <v>0</v>
      </c>
      <c r="P859" s="1341">
        <f t="shared" si="99"/>
        <v>0</v>
      </c>
      <c r="Q859" s="1341">
        <f t="shared" si="99"/>
        <v>0</v>
      </c>
      <c r="R859" s="248"/>
      <c r="S859" s="71"/>
      <c r="T859" s="71"/>
      <c r="U859" s="71"/>
      <c r="V859" s="71"/>
      <c r="W859" s="71"/>
      <c r="X859" s="71"/>
      <c r="Y859" s="71"/>
      <c r="Z859" s="71"/>
    </row>
    <row r="860" spans="1:26" ht="12.75" hidden="1" customHeight="1" outlineLevel="1">
      <c r="A860" s="3"/>
      <c r="B860" s="3"/>
      <c r="C860" s="29"/>
      <c r="D860" s="133">
        <f>Asset39</f>
        <v>0</v>
      </c>
      <c r="E860" s="3"/>
      <c r="F860" s="3"/>
      <c r="G860" s="1394">
        <f>-'RFM input'!M45</f>
        <v>0</v>
      </c>
      <c r="H860" s="1341">
        <f t="shared" ref="H860:Q860" si="100">H1070+H1122</f>
        <v>0</v>
      </c>
      <c r="I860" s="1341">
        <f t="shared" si="100"/>
        <v>0</v>
      </c>
      <c r="J860" s="1341">
        <f t="shared" si="100"/>
        <v>0</v>
      </c>
      <c r="K860" s="1341">
        <f t="shared" si="100"/>
        <v>0</v>
      </c>
      <c r="L860" s="1341">
        <f t="shared" si="100"/>
        <v>0</v>
      </c>
      <c r="M860" s="1341">
        <f t="shared" si="100"/>
        <v>0</v>
      </c>
      <c r="N860" s="1341">
        <f t="shared" si="100"/>
        <v>0</v>
      </c>
      <c r="O860" s="1341">
        <f t="shared" si="100"/>
        <v>0</v>
      </c>
      <c r="P860" s="1341">
        <f t="shared" si="100"/>
        <v>0</v>
      </c>
      <c r="Q860" s="1341">
        <f t="shared" si="100"/>
        <v>0</v>
      </c>
      <c r="R860" s="248"/>
      <c r="S860" s="71"/>
      <c r="T860" s="71"/>
      <c r="U860" s="71"/>
      <c r="V860" s="71"/>
      <c r="W860" s="71"/>
      <c r="X860" s="71"/>
      <c r="Y860" s="71"/>
      <c r="Z860" s="71"/>
    </row>
    <row r="861" spans="1:26" ht="12.75" hidden="1" customHeight="1" outlineLevel="1">
      <c r="A861" s="3"/>
      <c r="B861" s="3"/>
      <c r="C861" s="29"/>
      <c r="D861" s="133">
        <f>Asset40</f>
        <v>0</v>
      </c>
      <c r="E861" s="3"/>
      <c r="F861" s="3"/>
      <c r="G861" s="1394">
        <f>-'RFM input'!M46</f>
        <v>0</v>
      </c>
      <c r="H861" s="1341">
        <f t="shared" ref="H861:Q861" si="101">H1071+H1123</f>
        <v>0</v>
      </c>
      <c r="I861" s="1341">
        <f t="shared" si="101"/>
        <v>0</v>
      </c>
      <c r="J861" s="1341">
        <f t="shared" si="101"/>
        <v>0</v>
      </c>
      <c r="K861" s="1341">
        <f t="shared" si="101"/>
        <v>0</v>
      </c>
      <c r="L861" s="1341">
        <f t="shared" si="101"/>
        <v>0</v>
      </c>
      <c r="M861" s="1341">
        <f t="shared" si="101"/>
        <v>0</v>
      </c>
      <c r="N861" s="1341">
        <f t="shared" si="101"/>
        <v>0</v>
      </c>
      <c r="O861" s="1341">
        <f t="shared" si="101"/>
        <v>0</v>
      </c>
      <c r="P861" s="1341">
        <f t="shared" si="101"/>
        <v>0</v>
      </c>
      <c r="Q861" s="1341">
        <f t="shared" si="101"/>
        <v>0</v>
      </c>
      <c r="R861" s="248"/>
      <c r="S861" s="71"/>
      <c r="T861" s="71"/>
      <c r="U861" s="71"/>
      <c r="V861" s="71"/>
      <c r="W861" s="71"/>
      <c r="X861" s="71"/>
      <c r="Y861" s="71"/>
      <c r="Z861" s="71"/>
    </row>
    <row r="862" spans="1:26" ht="12.75" hidden="1" customHeight="1" outlineLevel="1">
      <c r="A862" s="3"/>
      <c r="B862" s="3"/>
      <c r="C862" s="29"/>
      <c r="D862" s="133">
        <f>Asset41</f>
        <v>0</v>
      </c>
      <c r="E862" s="3"/>
      <c r="F862" s="3"/>
      <c r="G862" s="1394">
        <f>-'RFM input'!M47</f>
        <v>0</v>
      </c>
      <c r="H862" s="1341">
        <f t="shared" ref="H862:Q862" si="102">H1072+H1124</f>
        <v>0</v>
      </c>
      <c r="I862" s="1341">
        <f t="shared" si="102"/>
        <v>0</v>
      </c>
      <c r="J862" s="1341">
        <f t="shared" si="102"/>
        <v>0</v>
      </c>
      <c r="K862" s="1341">
        <f t="shared" si="102"/>
        <v>0</v>
      </c>
      <c r="L862" s="1341">
        <f t="shared" si="102"/>
        <v>0</v>
      </c>
      <c r="M862" s="1341">
        <f t="shared" si="102"/>
        <v>0</v>
      </c>
      <c r="N862" s="1341">
        <f t="shared" si="102"/>
        <v>0</v>
      </c>
      <c r="O862" s="1341">
        <f t="shared" si="102"/>
        <v>0</v>
      </c>
      <c r="P862" s="1341">
        <f t="shared" si="102"/>
        <v>0</v>
      </c>
      <c r="Q862" s="1341">
        <f t="shared" si="102"/>
        <v>0</v>
      </c>
      <c r="R862" s="248"/>
      <c r="S862" s="71"/>
      <c r="T862" s="71"/>
      <c r="U862" s="71"/>
      <c r="V862" s="71"/>
      <c r="W862" s="71"/>
      <c r="X862" s="71"/>
      <c r="Y862" s="71"/>
      <c r="Z862" s="71"/>
    </row>
    <row r="863" spans="1:26" ht="12.75" hidden="1" customHeight="1" outlineLevel="1">
      <c r="A863" s="3"/>
      <c r="B863" s="3"/>
      <c r="C863" s="29"/>
      <c r="D863" s="133">
        <f>Asset42</f>
        <v>0</v>
      </c>
      <c r="E863" s="3"/>
      <c r="F863" s="3"/>
      <c r="G863" s="1394">
        <f>-'RFM input'!M48</f>
        <v>0</v>
      </c>
      <c r="H863" s="1341">
        <f t="shared" ref="H863:Q863" si="103">H1073+H1125</f>
        <v>0</v>
      </c>
      <c r="I863" s="1341">
        <f t="shared" si="103"/>
        <v>0</v>
      </c>
      <c r="J863" s="1341">
        <f t="shared" si="103"/>
        <v>0</v>
      </c>
      <c r="K863" s="1341">
        <f t="shared" si="103"/>
        <v>0</v>
      </c>
      <c r="L863" s="1341">
        <f t="shared" si="103"/>
        <v>0</v>
      </c>
      <c r="M863" s="1341">
        <f t="shared" si="103"/>
        <v>0</v>
      </c>
      <c r="N863" s="1341">
        <f t="shared" si="103"/>
        <v>0</v>
      </c>
      <c r="O863" s="1341">
        <f t="shared" si="103"/>
        <v>0</v>
      </c>
      <c r="P863" s="1341">
        <f t="shared" si="103"/>
        <v>0</v>
      </c>
      <c r="Q863" s="1341">
        <f t="shared" si="103"/>
        <v>0</v>
      </c>
      <c r="R863" s="248"/>
      <c r="S863" s="71"/>
      <c r="T863" s="71"/>
      <c r="U863" s="71"/>
      <c r="V863" s="71"/>
      <c r="W863" s="71"/>
      <c r="X863" s="71"/>
      <c r="Y863" s="71"/>
      <c r="Z863" s="71"/>
    </row>
    <row r="864" spans="1:26" ht="12.75" hidden="1" customHeight="1" outlineLevel="1">
      <c r="A864" s="3"/>
      <c r="B864" s="3"/>
      <c r="C864" s="29"/>
      <c r="D864" s="133">
        <f>Asset43</f>
        <v>0</v>
      </c>
      <c r="E864" s="3"/>
      <c r="F864" s="3"/>
      <c r="G864" s="1394">
        <f>-'RFM input'!M49</f>
        <v>0</v>
      </c>
      <c r="H864" s="1341">
        <f t="shared" ref="H864:Q864" si="104">H1074+H1126</f>
        <v>0</v>
      </c>
      <c r="I864" s="1341">
        <f t="shared" si="104"/>
        <v>0</v>
      </c>
      <c r="J864" s="1341">
        <f t="shared" si="104"/>
        <v>0</v>
      </c>
      <c r="K864" s="1341">
        <f t="shared" si="104"/>
        <v>0</v>
      </c>
      <c r="L864" s="1341">
        <f t="shared" si="104"/>
        <v>0</v>
      </c>
      <c r="M864" s="1341">
        <f t="shared" si="104"/>
        <v>0</v>
      </c>
      <c r="N864" s="1341">
        <f t="shared" si="104"/>
        <v>0</v>
      </c>
      <c r="O864" s="1341">
        <f t="shared" si="104"/>
        <v>0</v>
      </c>
      <c r="P864" s="1341">
        <f t="shared" si="104"/>
        <v>0</v>
      </c>
      <c r="Q864" s="1341">
        <f t="shared" si="104"/>
        <v>0</v>
      </c>
      <c r="R864" s="248"/>
      <c r="S864" s="71"/>
      <c r="T864" s="71"/>
      <c r="U864" s="71"/>
      <c r="V864" s="71"/>
      <c r="W864" s="71"/>
      <c r="X864" s="71"/>
      <c r="Y864" s="71"/>
      <c r="Z864" s="71"/>
    </row>
    <row r="865" spans="1:26" ht="12.75" hidden="1" customHeight="1" outlineLevel="1">
      <c r="A865" s="3"/>
      <c r="B865" s="3"/>
      <c r="C865" s="29"/>
      <c r="D865" s="133">
        <f>Asset44</f>
        <v>0</v>
      </c>
      <c r="E865" s="3"/>
      <c r="F865" s="3"/>
      <c r="G865" s="1394">
        <f>-'RFM input'!M50</f>
        <v>0</v>
      </c>
      <c r="H865" s="1341">
        <f t="shared" ref="H865:Q865" si="105">H1075+H1127</f>
        <v>0</v>
      </c>
      <c r="I865" s="1341">
        <f t="shared" si="105"/>
        <v>0</v>
      </c>
      <c r="J865" s="1341">
        <f t="shared" si="105"/>
        <v>0</v>
      </c>
      <c r="K865" s="1341">
        <f t="shared" si="105"/>
        <v>0</v>
      </c>
      <c r="L865" s="1341">
        <f t="shared" si="105"/>
        <v>0</v>
      </c>
      <c r="M865" s="1341">
        <f t="shared" si="105"/>
        <v>0</v>
      </c>
      <c r="N865" s="1341">
        <f t="shared" si="105"/>
        <v>0</v>
      </c>
      <c r="O865" s="1341">
        <f t="shared" si="105"/>
        <v>0</v>
      </c>
      <c r="P865" s="1341">
        <f t="shared" si="105"/>
        <v>0</v>
      </c>
      <c r="Q865" s="1341">
        <f t="shared" si="105"/>
        <v>0</v>
      </c>
      <c r="R865" s="248"/>
      <c r="S865" s="71"/>
      <c r="T865" s="71"/>
      <c r="U865" s="71"/>
      <c r="V865" s="71"/>
      <c r="W865" s="71"/>
      <c r="X865" s="71"/>
      <c r="Y865" s="71"/>
      <c r="Z865" s="71"/>
    </row>
    <row r="866" spans="1:26" ht="12.75" hidden="1" customHeight="1" outlineLevel="1">
      <c r="A866" s="3"/>
      <c r="B866" s="3"/>
      <c r="C866" s="29"/>
      <c r="D866" s="133">
        <f>Asset45</f>
        <v>0</v>
      </c>
      <c r="E866" s="3"/>
      <c r="F866" s="3"/>
      <c r="G866" s="1394">
        <f>-'RFM input'!M51</f>
        <v>0</v>
      </c>
      <c r="H866" s="1341">
        <f t="shared" ref="H866:Q866" si="106">H1076+H1128</f>
        <v>0</v>
      </c>
      <c r="I866" s="1341">
        <f t="shared" si="106"/>
        <v>0</v>
      </c>
      <c r="J866" s="1341">
        <f t="shared" si="106"/>
        <v>0</v>
      </c>
      <c r="K866" s="1341">
        <f t="shared" si="106"/>
        <v>0</v>
      </c>
      <c r="L866" s="1341">
        <f t="shared" si="106"/>
        <v>0</v>
      </c>
      <c r="M866" s="1341">
        <f t="shared" si="106"/>
        <v>0</v>
      </c>
      <c r="N866" s="1341">
        <f t="shared" si="106"/>
        <v>0</v>
      </c>
      <c r="O866" s="1341">
        <f t="shared" si="106"/>
        <v>0</v>
      </c>
      <c r="P866" s="1341">
        <f t="shared" si="106"/>
        <v>0</v>
      </c>
      <c r="Q866" s="1341">
        <f t="shared" si="106"/>
        <v>0</v>
      </c>
      <c r="R866" s="248"/>
      <c r="S866" s="71"/>
      <c r="T866" s="71"/>
      <c r="U866" s="71"/>
      <c r="V866" s="71"/>
      <c r="W866" s="71"/>
      <c r="X866" s="71"/>
      <c r="Y866" s="71"/>
      <c r="Z866" s="71"/>
    </row>
    <row r="867" spans="1:26" ht="12.75" hidden="1" customHeight="1" outlineLevel="1">
      <c r="A867" s="3"/>
      <c r="B867" s="3"/>
      <c r="C867" s="29"/>
      <c r="D867" s="133">
        <f>Asset46</f>
        <v>0</v>
      </c>
      <c r="E867" s="3"/>
      <c r="F867" s="3"/>
      <c r="G867" s="1394">
        <f>-'RFM input'!M52</f>
        <v>0</v>
      </c>
      <c r="H867" s="1341">
        <f t="shared" ref="H867:Q867" si="107">H1077+H1129</f>
        <v>0</v>
      </c>
      <c r="I867" s="1341">
        <f t="shared" si="107"/>
        <v>0</v>
      </c>
      <c r="J867" s="1341">
        <f t="shared" si="107"/>
        <v>0</v>
      </c>
      <c r="K867" s="1341">
        <f t="shared" si="107"/>
        <v>0</v>
      </c>
      <c r="L867" s="1341">
        <f t="shared" si="107"/>
        <v>0</v>
      </c>
      <c r="M867" s="1341">
        <f t="shared" si="107"/>
        <v>0</v>
      </c>
      <c r="N867" s="1341">
        <f t="shared" si="107"/>
        <v>0</v>
      </c>
      <c r="O867" s="1341">
        <f t="shared" si="107"/>
        <v>0</v>
      </c>
      <c r="P867" s="1341">
        <f t="shared" si="107"/>
        <v>0</v>
      </c>
      <c r="Q867" s="1341">
        <f t="shared" si="107"/>
        <v>0</v>
      </c>
      <c r="R867" s="248"/>
      <c r="S867" s="71"/>
      <c r="T867" s="71"/>
      <c r="U867" s="71"/>
      <c r="V867" s="71"/>
      <c r="W867" s="71"/>
      <c r="X867" s="71"/>
      <c r="Y867" s="71"/>
      <c r="Z867" s="71"/>
    </row>
    <row r="868" spans="1:26" ht="12.75" hidden="1" customHeight="1" outlineLevel="1">
      <c r="A868" s="3"/>
      <c r="B868" s="3"/>
      <c r="C868" s="29"/>
      <c r="D868" s="133">
        <f>Asset47</f>
        <v>0</v>
      </c>
      <c r="E868" s="3"/>
      <c r="F868" s="3"/>
      <c r="G868" s="1394">
        <f>-'RFM input'!M53</f>
        <v>0</v>
      </c>
      <c r="H868" s="1341">
        <f t="shared" ref="H868:Q868" si="108">H1078+H1130</f>
        <v>0</v>
      </c>
      <c r="I868" s="1341">
        <f t="shared" si="108"/>
        <v>0</v>
      </c>
      <c r="J868" s="1341">
        <f t="shared" si="108"/>
        <v>0</v>
      </c>
      <c r="K868" s="1341">
        <f t="shared" si="108"/>
        <v>0</v>
      </c>
      <c r="L868" s="1341">
        <f t="shared" si="108"/>
        <v>0</v>
      </c>
      <c r="M868" s="1341">
        <f t="shared" si="108"/>
        <v>0</v>
      </c>
      <c r="N868" s="1341">
        <f t="shared" si="108"/>
        <v>0</v>
      </c>
      <c r="O868" s="1341">
        <f t="shared" si="108"/>
        <v>0</v>
      </c>
      <c r="P868" s="1341">
        <f t="shared" si="108"/>
        <v>0</v>
      </c>
      <c r="Q868" s="1341">
        <f t="shared" si="108"/>
        <v>0</v>
      </c>
      <c r="R868" s="248"/>
      <c r="S868" s="71"/>
      <c r="T868" s="71"/>
      <c r="U868" s="71"/>
      <c r="V868" s="71"/>
      <c r="W868" s="71"/>
      <c r="X868" s="71"/>
      <c r="Y868" s="71"/>
      <c r="Z868" s="71"/>
    </row>
    <row r="869" spans="1:26" ht="12.75" hidden="1" customHeight="1" outlineLevel="1">
      <c r="A869" s="3"/>
      <c r="B869" s="3"/>
      <c r="C869" s="29"/>
      <c r="D869" s="133">
        <f>Asset48</f>
        <v>0</v>
      </c>
      <c r="E869" s="3"/>
      <c r="F869" s="3"/>
      <c r="G869" s="1394">
        <f>-'RFM input'!M54</f>
        <v>0</v>
      </c>
      <c r="H869" s="1341">
        <f t="shared" ref="H869:Q869" si="109">H1079+H1131</f>
        <v>0</v>
      </c>
      <c r="I869" s="1341">
        <f t="shared" si="109"/>
        <v>0</v>
      </c>
      <c r="J869" s="1341">
        <f t="shared" si="109"/>
        <v>0</v>
      </c>
      <c r="K869" s="1341">
        <f t="shared" si="109"/>
        <v>0</v>
      </c>
      <c r="L869" s="1341">
        <f t="shared" si="109"/>
        <v>0</v>
      </c>
      <c r="M869" s="1341">
        <f t="shared" si="109"/>
        <v>0</v>
      </c>
      <c r="N869" s="1341">
        <f t="shared" si="109"/>
        <v>0</v>
      </c>
      <c r="O869" s="1341">
        <f t="shared" si="109"/>
        <v>0</v>
      </c>
      <c r="P869" s="1341">
        <f t="shared" si="109"/>
        <v>0</v>
      </c>
      <c r="Q869" s="1341">
        <f t="shared" si="109"/>
        <v>0</v>
      </c>
      <c r="R869" s="248"/>
      <c r="S869" s="71"/>
      <c r="T869" s="71"/>
      <c r="U869" s="71"/>
      <c r="V869" s="71"/>
      <c r="W869" s="71"/>
      <c r="X869" s="71"/>
      <c r="Y869" s="71"/>
      <c r="Z869" s="71"/>
    </row>
    <row r="870" spans="1:26" ht="12.75" hidden="1" customHeight="1" outlineLevel="1">
      <c r="A870" s="3"/>
      <c r="B870" s="3"/>
      <c r="C870" s="29"/>
      <c r="D870" s="133">
        <f>Asset49</f>
        <v>0</v>
      </c>
      <c r="E870" s="3"/>
      <c r="F870" s="3"/>
      <c r="G870" s="1394">
        <f>-'RFM input'!M55</f>
        <v>0</v>
      </c>
      <c r="H870" s="1341">
        <f t="shared" ref="H870:Q870" si="110">H1080+H1132</f>
        <v>0</v>
      </c>
      <c r="I870" s="1341">
        <f t="shared" si="110"/>
        <v>0</v>
      </c>
      <c r="J870" s="1341">
        <f t="shared" si="110"/>
        <v>0</v>
      </c>
      <c r="K870" s="1341">
        <f t="shared" si="110"/>
        <v>0</v>
      </c>
      <c r="L870" s="1341">
        <f t="shared" si="110"/>
        <v>0</v>
      </c>
      <c r="M870" s="1341">
        <f t="shared" si="110"/>
        <v>0</v>
      </c>
      <c r="N870" s="1341">
        <f t="shared" si="110"/>
        <v>0</v>
      </c>
      <c r="O870" s="1341">
        <f t="shared" si="110"/>
        <v>0</v>
      </c>
      <c r="P870" s="1341">
        <f t="shared" si="110"/>
        <v>0</v>
      </c>
      <c r="Q870" s="1341">
        <f t="shared" si="110"/>
        <v>0</v>
      </c>
      <c r="R870" s="248"/>
      <c r="S870" s="71"/>
      <c r="T870" s="71"/>
      <c r="U870" s="71"/>
      <c r="V870" s="71"/>
      <c r="W870" s="71"/>
      <c r="X870" s="71"/>
      <c r="Y870" s="71"/>
      <c r="Z870" s="71"/>
    </row>
    <row r="871" spans="1:26" ht="12.75" hidden="1" customHeight="1" outlineLevel="1">
      <c r="A871" s="3"/>
      <c r="B871" s="3"/>
      <c r="C871" s="29"/>
      <c r="D871" s="133">
        <f>Asset50</f>
        <v>0</v>
      </c>
      <c r="E871" s="3"/>
      <c r="F871" s="3"/>
      <c r="G871" s="1394">
        <f>-'RFM input'!M56</f>
        <v>0</v>
      </c>
      <c r="H871" s="1341">
        <f t="shared" ref="H871:Q871" si="111">H1081+H1133</f>
        <v>0</v>
      </c>
      <c r="I871" s="1341">
        <f t="shared" si="111"/>
        <v>0</v>
      </c>
      <c r="J871" s="1341">
        <f t="shared" si="111"/>
        <v>0</v>
      </c>
      <c r="K871" s="1341">
        <f t="shared" si="111"/>
        <v>0</v>
      </c>
      <c r="L871" s="1341">
        <f t="shared" si="111"/>
        <v>0</v>
      </c>
      <c r="M871" s="1341">
        <f t="shared" si="111"/>
        <v>0</v>
      </c>
      <c r="N871" s="1341">
        <f t="shared" si="111"/>
        <v>0</v>
      </c>
      <c r="O871" s="1341">
        <f t="shared" si="111"/>
        <v>0</v>
      </c>
      <c r="P871" s="1341">
        <f t="shared" si="111"/>
        <v>0</v>
      </c>
      <c r="Q871" s="1341">
        <f t="shared" si="111"/>
        <v>0</v>
      </c>
      <c r="R871" s="248"/>
      <c r="S871" s="71"/>
      <c r="T871" s="71"/>
      <c r="U871" s="71"/>
      <c r="V871" s="71"/>
      <c r="W871" s="71"/>
      <c r="X871" s="71"/>
      <c r="Y871" s="71"/>
      <c r="Z871" s="71"/>
    </row>
    <row r="872" spans="1:26" collapsed="1">
      <c r="A872" s="3"/>
      <c r="B872" s="3"/>
      <c r="C872" s="29"/>
      <c r="D872" s="88"/>
      <c r="E872" s="3"/>
      <c r="F872" s="3"/>
      <c r="G872" s="1392"/>
      <c r="H872" s="1341"/>
      <c r="I872" s="1341"/>
      <c r="J872" s="1341"/>
      <c r="K872" s="1341"/>
      <c r="L872" s="1341"/>
      <c r="M872" s="1341"/>
      <c r="N872" s="248"/>
      <c r="O872" s="248"/>
      <c r="P872" s="248"/>
      <c r="Q872" s="248"/>
      <c r="R872" s="248"/>
      <c r="S872" s="71"/>
      <c r="T872" s="71"/>
      <c r="U872" s="71"/>
      <c r="V872" s="71"/>
      <c r="W872" s="71"/>
      <c r="X872" s="71"/>
      <c r="Y872" s="71"/>
      <c r="Z872" s="71"/>
    </row>
    <row r="873" spans="1:26">
      <c r="A873" s="3"/>
      <c r="B873" s="3"/>
      <c r="C873" s="155" t="s">
        <v>65</v>
      </c>
      <c r="D873" s="231"/>
      <c r="E873" s="3"/>
      <c r="F873" s="3"/>
      <c r="G873" s="1392">
        <f>SUM(G874:G923)</f>
        <v>0</v>
      </c>
      <c r="H873" s="248"/>
      <c r="I873" s="248"/>
      <c r="J873" s="248"/>
      <c r="K873" s="248"/>
      <c r="L873" s="248"/>
      <c r="M873" s="248"/>
      <c r="N873" s="248"/>
      <c r="O873" s="248"/>
      <c r="P873" s="248"/>
      <c r="Q873" s="248"/>
      <c r="R873" s="248"/>
      <c r="S873" s="71"/>
      <c r="T873" s="71"/>
      <c r="U873" s="71"/>
      <c r="V873" s="71"/>
      <c r="W873" s="71"/>
      <c r="X873" s="71"/>
      <c r="Y873" s="71"/>
      <c r="Z873" s="71"/>
    </row>
    <row r="874" spans="1:26" ht="12.75" hidden="1" customHeight="1" outlineLevel="1">
      <c r="A874" s="3"/>
      <c r="B874" s="3"/>
      <c r="C874" s="3"/>
      <c r="D874" s="133" t="str">
        <f>Asset1</f>
        <v>Mains</v>
      </c>
      <c r="E874" s="3"/>
      <c r="F874" s="3"/>
      <c r="G874" s="1394">
        <f>'RFM input'!O7</f>
        <v>0</v>
      </c>
      <c r="H874" s="248"/>
      <c r="I874" s="248"/>
      <c r="J874" s="248"/>
      <c r="K874" s="248"/>
      <c r="L874" s="248"/>
      <c r="M874" s="248"/>
      <c r="N874" s="248"/>
      <c r="O874" s="248"/>
      <c r="P874" s="248"/>
      <c r="Q874" s="248"/>
      <c r="R874" s="248"/>
      <c r="S874" s="71"/>
      <c r="T874" s="71"/>
      <c r="U874" s="71"/>
      <c r="V874" s="71"/>
      <c r="W874" s="71"/>
      <c r="X874" s="71"/>
      <c r="Y874" s="71"/>
      <c r="Z874" s="71"/>
    </row>
    <row r="875" spans="1:26" ht="12.75" hidden="1" customHeight="1" outlineLevel="1">
      <c r="A875" s="3"/>
      <c r="B875" s="3"/>
      <c r="C875" s="29"/>
      <c r="D875" s="133" t="str">
        <f>Asset2</f>
        <v>Inlets</v>
      </c>
      <c r="E875" s="3"/>
      <c r="F875" s="3"/>
      <c r="G875" s="1394">
        <f>'RFM input'!O8</f>
        <v>0</v>
      </c>
      <c r="H875" s="248"/>
      <c r="I875" s="248"/>
      <c r="J875" s="248"/>
      <c r="K875" s="248"/>
      <c r="L875" s="248"/>
      <c r="M875" s="248"/>
      <c r="N875" s="248"/>
      <c r="O875" s="248"/>
      <c r="P875" s="248"/>
      <c r="Q875" s="248"/>
      <c r="R875" s="248"/>
      <c r="S875" s="71"/>
      <c r="T875" s="71"/>
      <c r="U875" s="71"/>
      <c r="V875" s="71"/>
      <c r="W875" s="71"/>
      <c r="X875" s="71"/>
      <c r="Y875" s="71"/>
      <c r="Z875" s="71"/>
    </row>
    <row r="876" spans="1:26" ht="12.75" hidden="1" customHeight="1" outlineLevel="1">
      <c r="A876" s="3"/>
      <c r="B876" s="3"/>
      <c r="C876" s="29"/>
      <c r="D876" s="133" t="str">
        <f>Asset3</f>
        <v>Meters</v>
      </c>
      <c r="E876" s="3"/>
      <c r="F876" s="3"/>
      <c r="G876" s="1394">
        <f>'RFM input'!O9</f>
        <v>0</v>
      </c>
      <c r="H876" s="248"/>
      <c r="I876" s="248"/>
      <c r="J876" s="248"/>
      <c r="K876" s="248"/>
      <c r="L876" s="248"/>
      <c r="M876" s="248"/>
      <c r="N876" s="248"/>
      <c r="O876" s="248"/>
      <c r="P876" s="248"/>
      <c r="Q876" s="248"/>
      <c r="R876" s="248"/>
      <c r="S876" s="71"/>
      <c r="T876" s="71"/>
      <c r="U876" s="71"/>
      <c r="V876" s="71"/>
      <c r="W876" s="71"/>
      <c r="X876" s="71"/>
      <c r="Y876" s="71"/>
      <c r="Z876" s="71"/>
    </row>
    <row r="877" spans="1:26" ht="12.75" hidden="1" customHeight="1" outlineLevel="1">
      <c r="A877" s="3"/>
      <c r="B877" s="3"/>
      <c r="C877" s="29"/>
      <c r="D877" s="133" t="str">
        <f>Asset4</f>
        <v>Telemetry</v>
      </c>
      <c r="E877" s="3"/>
      <c r="F877" s="3"/>
      <c r="G877" s="1394">
        <f>'RFM input'!O10</f>
        <v>0</v>
      </c>
      <c r="H877" s="248"/>
      <c r="I877" s="248"/>
      <c r="J877" s="248"/>
      <c r="K877" s="248"/>
      <c r="L877" s="248"/>
      <c r="M877" s="248"/>
      <c r="N877" s="248"/>
      <c r="O877" s="248"/>
      <c r="P877" s="248"/>
      <c r="Q877" s="248"/>
      <c r="R877" s="248"/>
      <c r="S877" s="71"/>
      <c r="T877" s="71"/>
      <c r="U877" s="71"/>
      <c r="V877" s="71"/>
      <c r="W877" s="71"/>
      <c r="X877" s="71"/>
      <c r="Y877" s="71"/>
      <c r="Z877" s="71"/>
    </row>
    <row r="878" spans="1:26" ht="12.75" hidden="1" customHeight="1" outlineLevel="1">
      <c r="A878" s="3"/>
      <c r="B878" s="3"/>
      <c r="C878" s="29"/>
      <c r="D878" s="133" t="str">
        <f>Asset5</f>
        <v>IT System</v>
      </c>
      <c r="E878" s="3"/>
      <c r="F878" s="3"/>
      <c r="G878" s="1394">
        <f>'RFM input'!O11</f>
        <v>0</v>
      </c>
      <c r="H878" s="248"/>
      <c r="I878" s="248"/>
      <c r="J878" s="248"/>
      <c r="K878" s="248"/>
      <c r="L878" s="248"/>
      <c r="M878" s="248"/>
      <c r="N878" s="248"/>
      <c r="O878" s="248"/>
      <c r="P878" s="248"/>
      <c r="Q878" s="248"/>
      <c r="R878" s="248"/>
      <c r="S878" s="71"/>
      <c r="T878" s="71"/>
      <c r="U878" s="71"/>
      <c r="V878" s="71"/>
      <c r="W878" s="71"/>
      <c r="X878" s="71"/>
      <c r="Y878" s="71"/>
      <c r="Z878" s="71"/>
    </row>
    <row r="879" spans="1:26" ht="12.75" hidden="1" customHeight="1" outlineLevel="1">
      <c r="A879" s="3"/>
      <c r="B879" s="3"/>
      <c r="C879" s="29"/>
      <c r="D879" s="133" t="str">
        <f>Asset6</f>
        <v>Other Distribution System Equipment</v>
      </c>
      <c r="E879" s="3"/>
      <c r="F879" s="3"/>
      <c r="G879" s="1394">
        <f>'RFM input'!O12</f>
        <v>0</v>
      </c>
      <c r="H879" s="248"/>
      <c r="I879" s="248"/>
      <c r="J879" s="248"/>
      <c r="K879" s="248"/>
      <c r="L879" s="248"/>
      <c r="M879" s="248"/>
      <c r="N879" s="248"/>
      <c r="O879" s="248"/>
      <c r="P879" s="248"/>
      <c r="Q879" s="248"/>
      <c r="R879" s="248"/>
      <c r="S879" s="71"/>
      <c r="T879" s="71"/>
      <c r="U879" s="71"/>
      <c r="V879" s="71"/>
      <c r="W879" s="71"/>
      <c r="X879" s="71"/>
      <c r="Y879" s="71"/>
      <c r="Z879" s="71"/>
    </row>
    <row r="880" spans="1:26" ht="12.75" hidden="1" customHeight="1" outlineLevel="1">
      <c r="A880" s="3"/>
      <c r="B880" s="3"/>
      <c r="C880" s="29"/>
      <c r="D880" s="133" t="str">
        <f>Asset7</f>
        <v>Other</v>
      </c>
      <c r="E880" s="3"/>
      <c r="F880" s="3"/>
      <c r="G880" s="1394">
        <f>'RFM input'!O13</f>
        <v>0</v>
      </c>
      <c r="H880" s="248"/>
      <c r="I880" s="248"/>
      <c r="J880" s="248"/>
      <c r="K880" s="248"/>
      <c r="L880" s="248"/>
      <c r="M880" s="248"/>
      <c r="N880" s="248"/>
      <c r="O880" s="248"/>
      <c r="P880" s="248"/>
      <c r="Q880" s="248"/>
      <c r="R880" s="248"/>
      <c r="S880" s="71"/>
      <c r="T880" s="71"/>
      <c r="U880" s="71"/>
      <c r="V880" s="71"/>
      <c r="W880" s="71"/>
      <c r="X880" s="71"/>
      <c r="Y880" s="71"/>
      <c r="Z880" s="71"/>
    </row>
    <row r="881" spans="1:26" ht="12.75" hidden="1" customHeight="1" outlineLevel="1">
      <c r="A881" s="3"/>
      <c r="B881" s="3"/>
      <c r="C881" s="29"/>
      <c r="D881" s="133">
        <f>Asset8</f>
        <v>0</v>
      </c>
      <c r="E881" s="3"/>
      <c r="F881" s="3"/>
      <c r="G881" s="1394">
        <f>'RFM input'!O14</f>
        <v>0</v>
      </c>
      <c r="H881" s="248"/>
      <c r="I881" s="248"/>
      <c r="J881" s="248"/>
      <c r="K881" s="248"/>
      <c r="L881" s="248"/>
      <c r="M881" s="248"/>
      <c r="N881" s="248"/>
      <c r="O881" s="248"/>
      <c r="P881" s="248"/>
      <c r="Q881" s="248"/>
      <c r="R881" s="248"/>
      <c r="S881" s="71"/>
      <c r="T881" s="71"/>
      <c r="U881" s="71"/>
      <c r="V881" s="71"/>
      <c r="W881" s="71"/>
      <c r="X881" s="71"/>
      <c r="Y881" s="71"/>
      <c r="Z881" s="71"/>
    </row>
    <row r="882" spans="1:26" ht="12.75" hidden="1" customHeight="1" outlineLevel="1">
      <c r="A882" s="3"/>
      <c r="B882" s="3"/>
      <c r="C882" s="29"/>
      <c r="D882" s="133">
        <f>Asset9</f>
        <v>0</v>
      </c>
      <c r="E882" s="3"/>
      <c r="F882" s="3"/>
      <c r="G882" s="1394">
        <f>'RFM input'!O15</f>
        <v>0</v>
      </c>
      <c r="H882" s="248"/>
      <c r="I882" s="248"/>
      <c r="J882" s="248"/>
      <c r="K882" s="248"/>
      <c r="L882" s="248"/>
      <c r="M882" s="248"/>
      <c r="N882" s="248"/>
      <c r="O882" s="248"/>
      <c r="P882" s="248"/>
      <c r="Q882" s="248"/>
      <c r="R882" s="248"/>
      <c r="S882" s="71"/>
      <c r="T882" s="71"/>
      <c r="U882" s="71"/>
      <c r="V882" s="71"/>
      <c r="W882" s="71"/>
      <c r="X882" s="71"/>
      <c r="Y882" s="71"/>
      <c r="Z882" s="71"/>
    </row>
    <row r="883" spans="1:26" ht="12.75" hidden="1" customHeight="1" outlineLevel="1">
      <c r="A883" s="3"/>
      <c r="B883" s="3"/>
      <c r="C883" s="29"/>
      <c r="D883" s="133">
        <f>Asset10</f>
        <v>0</v>
      </c>
      <c r="E883" s="3"/>
      <c r="F883" s="3"/>
      <c r="G883" s="1394">
        <f>'RFM input'!O16</f>
        <v>0</v>
      </c>
      <c r="H883" s="248"/>
      <c r="I883" s="248"/>
      <c r="J883" s="248"/>
      <c r="K883" s="248"/>
      <c r="L883" s="248"/>
      <c r="M883" s="248"/>
      <c r="N883" s="248"/>
      <c r="O883" s="248"/>
      <c r="P883" s="248"/>
      <c r="Q883" s="248"/>
      <c r="R883" s="248"/>
      <c r="S883" s="71"/>
      <c r="T883" s="71"/>
      <c r="U883" s="71"/>
      <c r="V883" s="71"/>
      <c r="W883" s="71"/>
      <c r="X883" s="71"/>
      <c r="Y883" s="71"/>
      <c r="Z883" s="71"/>
    </row>
    <row r="884" spans="1:26" ht="12.75" hidden="1" customHeight="1" outlineLevel="1">
      <c r="A884" s="3"/>
      <c r="B884" s="3"/>
      <c r="C884" s="29"/>
      <c r="D884" s="133">
        <f>Asset11</f>
        <v>0</v>
      </c>
      <c r="E884" s="3"/>
      <c r="F884" s="3"/>
      <c r="G884" s="1394">
        <f>'RFM input'!O17</f>
        <v>0</v>
      </c>
      <c r="H884" s="248"/>
      <c r="I884" s="248"/>
      <c r="J884" s="248"/>
      <c r="K884" s="248"/>
      <c r="L884" s="248"/>
      <c r="M884" s="248"/>
      <c r="N884" s="248"/>
      <c r="O884" s="248"/>
      <c r="P884" s="248"/>
      <c r="Q884" s="248"/>
      <c r="R884" s="248"/>
      <c r="S884" s="71"/>
      <c r="T884" s="71"/>
      <c r="U884" s="71"/>
      <c r="V884" s="71"/>
      <c r="W884" s="71"/>
      <c r="X884" s="71"/>
      <c r="Y884" s="71"/>
      <c r="Z884" s="71"/>
    </row>
    <row r="885" spans="1:26" ht="12.75" hidden="1" customHeight="1" outlineLevel="1">
      <c r="A885" s="3"/>
      <c r="B885" s="3"/>
      <c r="C885" s="29"/>
      <c r="D885" s="133">
        <f>Asset12</f>
        <v>0</v>
      </c>
      <c r="E885" s="3"/>
      <c r="F885" s="3"/>
      <c r="G885" s="1394">
        <f>'RFM input'!O18</f>
        <v>0</v>
      </c>
      <c r="H885" s="248"/>
      <c r="I885" s="248"/>
      <c r="J885" s="248"/>
      <c r="K885" s="248"/>
      <c r="L885" s="248"/>
      <c r="M885" s="248"/>
      <c r="N885" s="248"/>
      <c r="O885" s="248"/>
      <c r="P885" s="248"/>
      <c r="Q885" s="248"/>
      <c r="R885" s="248"/>
      <c r="S885" s="71"/>
      <c r="T885" s="71"/>
      <c r="U885" s="71"/>
      <c r="V885" s="71"/>
      <c r="W885" s="71"/>
      <c r="X885" s="71"/>
      <c r="Y885" s="71"/>
      <c r="Z885" s="71"/>
    </row>
    <row r="886" spans="1:26" ht="12.75" hidden="1" customHeight="1" outlineLevel="1">
      <c r="A886" s="3"/>
      <c r="B886" s="3"/>
      <c r="C886" s="29"/>
      <c r="D886" s="133">
        <f>Asset13</f>
        <v>0</v>
      </c>
      <c r="E886" s="3"/>
      <c r="F886" s="3"/>
      <c r="G886" s="1394">
        <f>'RFM input'!O19</f>
        <v>0</v>
      </c>
      <c r="H886" s="248"/>
      <c r="I886" s="248"/>
      <c r="J886" s="248"/>
      <c r="K886" s="248"/>
      <c r="L886" s="248"/>
      <c r="M886" s="248"/>
      <c r="N886" s="248"/>
      <c r="O886" s="248"/>
      <c r="P886" s="248"/>
      <c r="Q886" s="248"/>
      <c r="R886" s="248"/>
      <c r="S886" s="71"/>
      <c r="T886" s="71"/>
      <c r="U886" s="71"/>
      <c r="V886" s="71"/>
      <c r="W886" s="71"/>
      <c r="X886" s="71"/>
      <c r="Y886" s="71"/>
      <c r="Z886" s="71"/>
    </row>
    <row r="887" spans="1:26" ht="12.75" hidden="1" customHeight="1" outlineLevel="1">
      <c r="A887" s="3"/>
      <c r="B887" s="3"/>
      <c r="C887" s="29"/>
      <c r="D887" s="133">
        <f>Asset14</f>
        <v>0</v>
      </c>
      <c r="E887" s="3"/>
      <c r="F887" s="3"/>
      <c r="G887" s="1394">
        <f>'RFM input'!O20</f>
        <v>0</v>
      </c>
      <c r="H887" s="248"/>
      <c r="I887" s="248"/>
      <c r="J887" s="248"/>
      <c r="K887" s="248"/>
      <c r="L887" s="248"/>
      <c r="M887" s="248"/>
      <c r="N887" s="248"/>
      <c r="O887" s="248"/>
      <c r="P887" s="248"/>
      <c r="Q887" s="248"/>
      <c r="R887" s="248"/>
      <c r="S887" s="71"/>
      <c r="T887" s="71"/>
      <c r="U887" s="71"/>
      <c r="V887" s="71"/>
      <c r="W887" s="71"/>
      <c r="X887" s="71"/>
      <c r="Y887" s="71"/>
      <c r="Z887" s="71"/>
    </row>
    <row r="888" spans="1:26" ht="12.75" hidden="1" customHeight="1" outlineLevel="1">
      <c r="A888" s="3"/>
      <c r="B888" s="3"/>
      <c r="C888" s="29"/>
      <c r="D888" s="133">
        <f>Asset15</f>
        <v>0</v>
      </c>
      <c r="E888" s="3"/>
      <c r="F888" s="3"/>
      <c r="G888" s="1394">
        <f>'RFM input'!O21</f>
        <v>0</v>
      </c>
      <c r="H888" s="248"/>
      <c r="I888" s="248"/>
      <c r="J888" s="248"/>
      <c r="K888" s="248"/>
      <c r="L888" s="248"/>
      <c r="M888" s="248"/>
      <c r="N888" s="248"/>
      <c r="O888" s="248"/>
      <c r="P888" s="248"/>
      <c r="Q888" s="248"/>
      <c r="R888" s="248"/>
      <c r="S888" s="71"/>
      <c r="T888" s="71"/>
      <c r="U888" s="71"/>
      <c r="V888" s="71"/>
      <c r="W888" s="71"/>
      <c r="X888" s="71"/>
      <c r="Y888" s="71"/>
      <c r="Z888" s="71"/>
    </row>
    <row r="889" spans="1:26" ht="12.75" hidden="1" customHeight="1" outlineLevel="1">
      <c r="A889" s="3"/>
      <c r="B889" s="3"/>
      <c r="C889" s="29"/>
      <c r="D889" s="133">
        <f>Asset16</f>
        <v>0</v>
      </c>
      <c r="E889" s="3"/>
      <c r="F889" s="3"/>
      <c r="G889" s="1394">
        <f>'RFM input'!O22</f>
        <v>0</v>
      </c>
      <c r="H889" s="248"/>
      <c r="I889" s="248"/>
      <c r="J889" s="248"/>
      <c r="K889" s="248"/>
      <c r="L889" s="248"/>
      <c r="M889" s="248"/>
      <c r="N889" s="248"/>
      <c r="O889" s="248"/>
      <c r="P889" s="248"/>
      <c r="Q889" s="248"/>
      <c r="R889" s="248"/>
      <c r="S889" s="71"/>
      <c r="T889" s="71"/>
      <c r="U889" s="71"/>
      <c r="V889" s="71"/>
      <c r="W889" s="71"/>
      <c r="X889" s="71"/>
      <c r="Y889" s="71"/>
      <c r="Z889" s="71"/>
    </row>
    <row r="890" spans="1:26" ht="12.75" hidden="1" customHeight="1" outlineLevel="1">
      <c r="A890" s="3"/>
      <c r="B890" s="3"/>
      <c r="C890" s="29"/>
      <c r="D890" s="133">
        <f>Asset17</f>
        <v>0</v>
      </c>
      <c r="E890" s="3"/>
      <c r="F890" s="3"/>
      <c r="G890" s="1394">
        <f>'RFM input'!O23</f>
        <v>0</v>
      </c>
      <c r="H890" s="248"/>
      <c r="I890" s="248"/>
      <c r="J890" s="248"/>
      <c r="K890" s="248"/>
      <c r="L890" s="248"/>
      <c r="M890" s="248"/>
      <c r="N890" s="248"/>
      <c r="O890" s="248"/>
      <c r="P890" s="248"/>
      <c r="Q890" s="248"/>
      <c r="R890" s="248"/>
      <c r="S890" s="71"/>
      <c r="T890" s="71"/>
      <c r="U890" s="71"/>
      <c r="V890" s="71"/>
      <c r="W890" s="71"/>
      <c r="X890" s="71"/>
      <c r="Y890" s="71"/>
      <c r="Z890" s="71"/>
    </row>
    <row r="891" spans="1:26" ht="12.75" hidden="1" customHeight="1" outlineLevel="1">
      <c r="A891" s="3"/>
      <c r="B891" s="3"/>
      <c r="C891" s="29"/>
      <c r="D891" s="133">
        <f>Asset18</f>
        <v>0</v>
      </c>
      <c r="E891" s="3"/>
      <c r="F891" s="3"/>
      <c r="G891" s="1394">
        <f>'RFM input'!O24</f>
        <v>0</v>
      </c>
      <c r="H891" s="248"/>
      <c r="I891" s="248"/>
      <c r="J891" s="248"/>
      <c r="K891" s="248"/>
      <c r="L891" s="248"/>
      <c r="M891" s="248"/>
      <c r="N891" s="248"/>
      <c r="O891" s="248"/>
      <c r="P891" s="248"/>
      <c r="Q891" s="248"/>
      <c r="R891" s="248"/>
      <c r="S891" s="71"/>
      <c r="T891" s="71"/>
      <c r="U891" s="71"/>
      <c r="V891" s="71"/>
      <c r="W891" s="71"/>
      <c r="X891" s="71"/>
      <c r="Y891" s="71"/>
      <c r="Z891" s="71"/>
    </row>
    <row r="892" spans="1:26" ht="12.75" hidden="1" customHeight="1" outlineLevel="1">
      <c r="A892" s="3"/>
      <c r="B892" s="3"/>
      <c r="C892" s="29"/>
      <c r="D892" s="133">
        <f>Asset19</f>
        <v>0</v>
      </c>
      <c r="E892" s="3"/>
      <c r="F892" s="3"/>
      <c r="G892" s="1394">
        <f>'RFM input'!O25</f>
        <v>0</v>
      </c>
      <c r="H892" s="248"/>
      <c r="I892" s="248"/>
      <c r="J892" s="248"/>
      <c r="K892" s="248"/>
      <c r="L892" s="248"/>
      <c r="M892" s="248"/>
      <c r="N892" s="248"/>
      <c r="O892" s="248"/>
      <c r="P892" s="248"/>
      <c r="Q892" s="248"/>
      <c r="R892" s="248"/>
      <c r="S892" s="71"/>
      <c r="T892" s="71"/>
      <c r="U892" s="71"/>
      <c r="V892" s="71"/>
      <c r="W892" s="71"/>
      <c r="X892" s="71"/>
      <c r="Y892" s="71"/>
      <c r="Z892" s="71"/>
    </row>
    <row r="893" spans="1:26" ht="12.75" hidden="1" customHeight="1" outlineLevel="1">
      <c r="A893" s="3"/>
      <c r="B893" s="3"/>
      <c r="C893" s="29"/>
      <c r="D893" s="133">
        <f>Asset20</f>
        <v>0</v>
      </c>
      <c r="E893" s="3"/>
      <c r="F893" s="3"/>
      <c r="G893" s="1394">
        <f>'RFM input'!O26</f>
        <v>0</v>
      </c>
      <c r="H893" s="248"/>
      <c r="I893" s="248"/>
      <c r="J893" s="248"/>
      <c r="K893" s="248"/>
      <c r="L893" s="248"/>
      <c r="M893" s="248"/>
      <c r="N893" s="248"/>
      <c r="O893" s="248"/>
      <c r="P893" s="248"/>
      <c r="Q893" s="248"/>
      <c r="R893" s="248"/>
      <c r="S893" s="71"/>
      <c r="T893" s="71"/>
      <c r="U893" s="71"/>
      <c r="V893" s="71"/>
      <c r="W893" s="71"/>
      <c r="X893" s="71"/>
      <c r="Y893" s="71"/>
      <c r="Z893" s="71"/>
    </row>
    <row r="894" spans="1:26" ht="12.75" hidden="1" customHeight="1" outlineLevel="1">
      <c r="A894" s="3"/>
      <c r="B894" s="3"/>
      <c r="C894" s="29"/>
      <c r="D894" s="133">
        <f>Asset21</f>
        <v>0</v>
      </c>
      <c r="E894" s="3"/>
      <c r="F894" s="3"/>
      <c r="G894" s="1394">
        <f>'RFM input'!O27</f>
        <v>0</v>
      </c>
      <c r="H894" s="248"/>
      <c r="I894" s="248"/>
      <c r="J894" s="248"/>
      <c r="K894" s="248"/>
      <c r="L894" s="248"/>
      <c r="M894" s="248"/>
      <c r="N894" s="248"/>
      <c r="O894" s="248"/>
      <c r="P894" s="248"/>
      <c r="Q894" s="248"/>
      <c r="R894" s="248"/>
      <c r="S894" s="71"/>
      <c r="T894" s="71"/>
      <c r="U894" s="71"/>
      <c r="V894" s="71"/>
      <c r="W894" s="71"/>
      <c r="X894" s="71"/>
      <c r="Y894" s="71"/>
      <c r="Z894" s="71"/>
    </row>
    <row r="895" spans="1:26" ht="12.75" hidden="1" customHeight="1" outlineLevel="1">
      <c r="A895" s="3"/>
      <c r="B895" s="3"/>
      <c r="C895" s="29"/>
      <c r="D895" s="133">
        <f>Asset22</f>
        <v>0</v>
      </c>
      <c r="E895" s="3"/>
      <c r="F895" s="3"/>
      <c r="G895" s="1394">
        <f>'RFM input'!O28</f>
        <v>0</v>
      </c>
      <c r="H895" s="248"/>
      <c r="I895" s="248"/>
      <c r="J895" s="248"/>
      <c r="K895" s="248"/>
      <c r="L895" s="248"/>
      <c r="M895" s="248"/>
      <c r="N895" s="248"/>
      <c r="O895" s="248"/>
      <c r="P895" s="248"/>
      <c r="Q895" s="248"/>
      <c r="R895" s="248"/>
      <c r="S895" s="71"/>
      <c r="T895" s="71"/>
      <c r="U895" s="71"/>
      <c r="V895" s="71"/>
      <c r="W895" s="71"/>
      <c r="X895" s="71"/>
      <c r="Y895" s="71"/>
      <c r="Z895" s="71"/>
    </row>
    <row r="896" spans="1:26" ht="12.75" hidden="1" customHeight="1" outlineLevel="1">
      <c r="A896" s="3"/>
      <c r="B896" s="3"/>
      <c r="C896" s="29"/>
      <c r="D896" s="133">
        <f>Asset23</f>
        <v>0</v>
      </c>
      <c r="E896" s="3"/>
      <c r="F896" s="3"/>
      <c r="G896" s="1394">
        <f>'RFM input'!O29</f>
        <v>0</v>
      </c>
      <c r="H896" s="248"/>
      <c r="I896" s="248"/>
      <c r="J896" s="248"/>
      <c r="K896" s="248"/>
      <c r="L896" s="248"/>
      <c r="M896" s="248"/>
      <c r="N896" s="248"/>
      <c r="O896" s="248"/>
      <c r="P896" s="248"/>
      <c r="Q896" s="248"/>
      <c r="R896" s="248"/>
      <c r="S896" s="71"/>
      <c r="T896" s="71"/>
      <c r="U896" s="71"/>
      <c r="V896" s="71"/>
      <c r="W896" s="71"/>
      <c r="X896" s="71"/>
      <c r="Y896" s="71"/>
      <c r="Z896" s="71"/>
    </row>
    <row r="897" spans="1:26" ht="12.75" hidden="1" customHeight="1" outlineLevel="1">
      <c r="A897" s="3"/>
      <c r="B897" s="3"/>
      <c r="C897" s="29"/>
      <c r="D897" s="133">
        <f>Asset24</f>
        <v>0</v>
      </c>
      <c r="E897" s="3"/>
      <c r="F897" s="3"/>
      <c r="G897" s="1394">
        <f>'RFM input'!O30</f>
        <v>0</v>
      </c>
      <c r="H897" s="248"/>
      <c r="I897" s="248"/>
      <c r="J897" s="248"/>
      <c r="K897" s="248"/>
      <c r="L897" s="248"/>
      <c r="M897" s="248"/>
      <c r="N897" s="248"/>
      <c r="O897" s="248"/>
      <c r="P897" s="248"/>
      <c r="Q897" s="248"/>
      <c r="R897" s="248"/>
      <c r="S897" s="71"/>
      <c r="T897" s="71"/>
      <c r="U897" s="71"/>
      <c r="V897" s="71"/>
      <c r="W897" s="71"/>
      <c r="X897" s="71"/>
      <c r="Y897" s="71"/>
      <c r="Z897" s="71"/>
    </row>
    <row r="898" spans="1:26" ht="12.75" hidden="1" customHeight="1" outlineLevel="1">
      <c r="A898" s="3"/>
      <c r="B898" s="3"/>
      <c r="C898" s="29"/>
      <c r="D898" s="133">
        <f>Asset25</f>
        <v>0</v>
      </c>
      <c r="E898" s="3"/>
      <c r="F898" s="3"/>
      <c r="G898" s="1394">
        <f>'RFM input'!O31</f>
        <v>0</v>
      </c>
      <c r="H898" s="248"/>
      <c r="I898" s="248"/>
      <c r="J898" s="248"/>
      <c r="K898" s="248"/>
      <c r="L898" s="248"/>
      <c r="M898" s="248"/>
      <c r="N898" s="248"/>
      <c r="O898" s="248"/>
      <c r="P898" s="248"/>
      <c r="Q898" s="248"/>
      <c r="R898" s="248"/>
      <c r="S898" s="71"/>
      <c r="T898" s="71"/>
      <c r="U898" s="71"/>
      <c r="V898" s="71"/>
      <c r="W898" s="71"/>
      <c r="X898" s="71"/>
      <c r="Y898" s="71"/>
      <c r="Z898" s="71"/>
    </row>
    <row r="899" spans="1:26" ht="12.75" hidden="1" customHeight="1" outlineLevel="1">
      <c r="A899" s="3"/>
      <c r="B899" s="3"/>
      <c r="C899" s="29"/>
      <c r="D899" s="133">
        <f>Asset26</f>
        <v>0</v>
      </c>
      <c r="E899" s="3"/>
      <c r="F899" s="3"/>
      <c r="G899" s="1394">
        <f>'RFM input'!O32</f>
        <v>0</v>
      </c>
      <c r="H899" s="248"/>
      <c r="I899" s="248"/>
      <c r="J899" s="248"/>
      <c r="K899" s="248"/>
      <c r="L899" s="248"/>
      <c r="M899" s="248"/>
      <c r="N899" s="248"/>
      <c r="O899" s="248"/>
      <c r="P899" s="248"/>
      <c r="Q899" s="248"/>
      <c r="R899" s="248"/>
      <c r="S899" s="71"/>
      <c r="T899" s="71"/>
      <c r="U899" s="71"/>
      <c r="V899" s="71"/>
      <c r="W899" s="71"/>
      <c r="X899" s="71"/>
      <c r="Y899" s="71"/>
      <c r="Z899" s="71"/>
    </row>
    <row r="900" spans="1:26" ht="12.75" hidden="1" customHeight="1" outlineLevel="1">
      <c r="A900" s="3"/>
      <c r="B900" s="3"/>
      <c r="C900" s="29"/>
      <c r="D900" s="133">
        <f>Asset27</f>
        <v>0</v>
      </c>
      <c r="E900" s="3"/>
      <c r="F900" s="3"/>
      <c r="G900" s="1394">
        <f>'RFM input'!O33</f>
        <v>0</v>
      </c>
      <c r="H900" s="248"/>
      <c r="I900" s="248"/>
      <c r="J900" s="248"/>
      <c r="K900" s="248"/>
      <c r="L900" s="248"/>
      <c r="M900" s="248"/>
      <c r="N900" s="248"/>
      <c r="O900" s="248"/>
      <c r="P900" s="248"/>
      <c r="Q900" s="248"/>
      <c r="R900" s="248"/>
      <c r="S900" s="71"/>
      <c r="T900" s="71"/>
      <c r="U900" s="71"/>
      <c r="V900" s="71"/>
      <c r="W900" s="71"/>
      <c r="X900" s="71"/>
      <c r="Y900" s="71"/>
      <c r="Z900" s="71"/>
    </row>
    <row r="901" spans="1:26" ht="12.75" hidden="1" customHeight="1" outlineLevel="1">
      <c r="A901" s="3"/>
      <c r="B901" s="3"/>
      <c r="C901" s="29"/>
      <c r="D901" s="133">
        <f>Asset28</f>
        <v>0</v>
      </c>
      <c r="E901" s="3"/>
      <c r="F901" s="3"/>
      <c r="G901" s="1394">
        <f>'RFM input'!O34</f>
        <v>0</v>
      </c>
      <c r="H901" s="248"/>
      <c r="I901" s="248"/>
      <c r="J901" s="248"/>
      <c r="K901" s="248"/>
      <c r="L901" s="248"/>
      <c r="M901" s="248"/>
      <c r="N901" s="248"/>
      <c r="O901" s="248"/>
      <c r="P901" s="248"/>
      <c r="Q901" s="248"/>
      <c r="R901" s="248"/>
      <c r="S901" s="71"/>
      <c r="T901" s="71"/>
      <c r="U901" s="71"/>
      <c r="V901" s="71"/>
      <c r="W901" s="71"/>
      <c r="X901" s="71"/>
      <c r="Y901" s="71"/>
      <c r="Z901" s="71"/>
    </row>
    <row r="902" spans="1:26" ht="12.75" hidden="1" customHeight="1" outlineLevel="1">
      <c r="A902" s="3"/>
      <c r="B902" s="3"/>
      <c r="C902" s="29"/>
      <c r="D902" s="133">
        <f>Asset29</f>
        <v>0</v>
      </c>
      <c r="E902" s="3"/>
      <c r="F902" s="3"/>
      <c r="G902" s="1394">
        <f>'RFM input'!O35</f>
        <v>0</v>
      </c>
      <c r="H902" s="248"/>
      <c r="I902" s="248"/>
      <c r="J902" s="248"/>
      <c r="K902" s="248"/>
      <c r="L902" s="248"/>
      <c r="M902" s="248"/>
      <c r="N902" s="248"/>
      <c r="O902" s="248"/>
      <c r="P902" s="248"/>
      <c r="Q902" s="248"/>
      <c r="R902" s="248"/>
      <c r="S902" s="71"/>
      <c r="T902" s="71"/>
      <c r="U902" s="71"/>
      <c r="V902" s="71"/>
      <c r="W902" s="71"/>
      <c r="X902" s="71"/>
      <c r="Y902" s="71"/>
      <c r="Z902" s="71"/>
    </row>
    <row r="903" spans="1:26" ht="12.75" hidden="1" customHeight="1" outlineLevel="1">
      <c r="A903" s="3"/>
      <c r="B903" s="3"/>
      <c r="C903" s="29"/>
      <c r="D903" s="133">
        <f>Asset30</f>
        <v>0</v>
      </c>
      <c r="E903" s="3"/>
      <c r="F903" s="3"/>
      <c r="G903" s="1394">
        <f>'RFM input'!O36</f>
        <v>0</v>
      </c>
      <c r="H903" s="248"/>
      <c r="I903" s="248"/>
      <c r="J903" s="248"/>
      <c r="K903" s="248"/>
      <c r="L903" s="248"/>
      <c r="M903" s="248"/>
      <c r="N903" s="248"/>
      <c r="O903" s="248"/>
      <c r="P903" s="248"/>
      <c r="Q903" s="248"/>
      <c r="R903" s="248"/>
      <c r="S903" s="71"/>
      <c r="T903" s="71"/>
      <c r="U903" s="71"/>
      <c r="V903" s="71"/>
      <c r="W903" s="71"/>
      <c r="X903" s="71"/>
      <c r="Y903" s="71"/>
      <c r="Z903" s="71"/>
    </row>
    <row r="904" spans="1:26" ht="12.75" hidden="1" customHeight="1" outlineLevel="1">
      <c r="A904" s="3"/>
      <c r="B904" s="3"/>
      <c r="C904" s="29"/>
      <c r="D904" s="133">
        <f>Asset31</f>
        <v>0</v>
      </c>
      <c r="E904" s="3"/>
      <c r="F904" s="3"/>
      <c r="G904" s="1394">
        <f>'RFM input'!O37</f>
        <v>0</v>
      </c>
      <c r="H904" s="248"/>
      <c r="I904" s="248"/>
      <c r="J904" s="248"/>
      <c r="K904" s="248"/>
      <c r="L904" s="248"/>
      <c r="M904" s="248"/>
      <c r="N904" s="248"/>
      <c r="O904" s="248"/>
      <c r="P904" s="248"/>
      <c r="Q904" s="248"/>
      <c r="R904" s="248"/>
      <c r="S904" s="71"/>
      <c r="T904" s="71"/>
      <c r="U904" s="71"/>
      <c r="V904" s="71"/>
      <c r="W904" s="71"/>
      <c r="X904" s="71"/>
      <c r="Y904" s="71"/>
      <c r="Z904" s="71"/>
    </row>
    <row r="905" spans="1:26" ht="12.75" hidden="1" customHeight="1" outlineLevel="1">
      <c r="A905" s="3"/>
      <c r="B905" s="3"/>
      <c r="C905" s="29"/>
      <c r="D905" s="133">
        <f>Asset32</f>
        <v>0</v>
      </c>
      <c r="E905" s="3"/>
      <c r="F905" s="3"/>
      <c r="G905" s="1394">
        <f>'RFM input'!O38</f>
        <v>0</v>
      </c>
      <c r="H905" s="248"/>
      <c r="I905" s="248"/>
      <c r="J905" s="248"/>
      <c r="K905" s="248"/>
      <c r="L905" s="248"/>
      <c r="M905" s="248"/>
      <c r="N905" s="248"/>
      <c r="O905" s="248"/>
      <c r="P905" s="248"/>
      <c r="Q905" s="248"/>
      <c r="R905" s="248"/>
      <c r="S905" s="71"/>
      <c r="T905" s="71"/>
      <c r="U905" s="71"/>
      <c r="V905" s="71"/>
      <c r="W905" s="71"/>
      <c r="X905" s="71"/>
      <c r="Y905" s="71"/>
      <c r="Z905" s="71"/>
    </row>
    <row r="906" spans="1:26" ht="12.75" hidden="1" customHeight="1" outlineLevel="1">
      <c r="A906" s="3"/>
      <c r="B906" s="3"/>
      <c r="C906" s="29"/>
      <c r="D906" s="133">
        <f>Asset33</f>
        <v>0</v>
      </c>
      <c r="E906" s="3"/>
      <c r="F906" s="3"/>
      <c r="G906" s="1394">
        <f>'RFM input'!O39</f>
        <v>0</v>
      </c>
      <c r="H906" s="248"/>
      <c r="I906" s="248"/>
      <c r="J906" s="248"/>
      <c r="K906" s="248"/>
      <c r="L906" s="248"/>
      <c r="M906" s="248"/>
      <c r="N906" s="248"/>
      <c r="O906" s="248"/>
      <c r="P906" s="248"/>
      <c r="Q906" s="248"/>
      <c r="R906" s="248"/>
      <c r="S906" s="71"/>
      <c r="T906" s="71"/>
      <c r="U906" s="71"/>
      <c r="V906" s="71"/>
      <c r="W906" s="71"/>
      <c r="X906" s="71"/>
      <c r="Y906" s="71"/>
      <c r="Z906" s="71"/>
    </row>
    <row r="907" spans="1:26" ht="12.75" hidden="1" customHeight="1" outlineLevel="1">
      <c r="A907" s="3"/>
      <c r="B907" s="3"/>
      <c r="C907" s="29"/>
      <c r="D907" s="133">
        <f>Asset34</f>
        <v>0</v>
      </c>
      <c r="E907" s="3"/>
      <c r="F907" s="3"/>
      <c r="G907" s="1394">
        <f>'RFM input'!O40</f>
        <v>0</v>
      </c>
      <c r="H907" s="248"/>
      <c r="I907" s="248"/>
      <c r="J907" s="248"/>
      <c r="K907" s="248"/>
      <c r="L907" s="248"/>
      <c r="M907" s="248"/>
      <c r="N907" s="248"/>
      <c r="O907" s="248"/>
      <c r="P907" s="248"/>
      <c r="Q907" s="248"/>
      <c r="R907" s="248"/>
      <c r="S907" s="71"/>
      <c r="T907" s="71"/>
      <c r="U907" s="71"/>
      <c r="V907" s="71"/>
      <c r="W907" s="71"/>
      <c r="X907" s="71"/>
      <c r="Y907" s="71"/>
      <c r="Z907" s="71"/>
    </row>
    <row r="908" spans="1:26" ht="12.75" hidden="1" customHeight="1" outlineLevel="1">
      <c r="A908" s="3"/>
      <c r="B908" s="3"/>
      <c r="C908" s="29"/>
      <c r="D908" s="133">
        <f>Asset35</f>
        <v>0</v>
      </c>
      <c r="E908" s="3"/>
      <c r="F908" s="3"/>
      <c r="G908" s="1394">
        <f>'RFM input'!O41</f>
        <v>0</v>
      </c>
      <c r="H908" s="248"/>
      <c r="I908" s="248"/>
      <c r="J908" s="248"/>
      <c r="K908" s="248"/>
      <c r="L908" s="248"/>
      <c r="M908" s="248"/>
      <c r="N908" s="248"/>
      <c r="O908" s="248"/>
      <c r="P908" s="248"/>
      <c r="Q908" s="248"/>
      <c r="R908" s="248"/>
      <c r="S908" s="71"/>
      <c r="T908" s="71"/>
      <c r="U908" s="71"/>
      <c r="V908" s="71"/>
      <c r="W908" s="71"/>
      <c r="X908" s="71"/>
      <c r="Y908" s="71"/>
      <c r="Z908" s="71"/>
    </row>
    <row r="909" spans="1:26" ht="12.75" hidden="1" customHeight="1" outlineLevel="1">
      <c r="A909" s="3"/>
      <c r="B909" s="3"/>
      <c r="C909" s="29"/>
      <c r="D909" s="133">
        <f>Asset36</f>
        <v>0</v>
      </c>
      <c r="E909" s="3"/>
      <c r="F909" s="3"/>
      <c r="G909" s="1394">
        <f>'RFM input'!O42</f>
        <v>0</v>
      </c>
      <c r="H909" s="248"/>
      <c r="I909" s="248"/>
      <c r="J909" s="248"/>
      <c r="K909" s="248"/>
      <c r="L909" s="248"/>
      <c r="M909" s="248"/>
      <c r="N909" s="248"/>
      <c r="O909" s="248"/>
      <c r="P909" s="248"/>
      <c r="Q909" s="248"/>
      <c r="R909" s="248"/>
      <c r="S909" s="71"/>
      <c r="T909" s="71"/>
      <c r="U909" s="71"/>
      <c r="V909" s="71"/>
      <c r="W909" s="71"/>
      <c r="X909" s="71"/>
      <c r="Y909" s="71"/>
      <c r="Z909" s="71"/>
    </row>
    <row r="910" spans="1:26" ht="12.75" hidden="1" customHeight="1" outlineLevel="1">
      <c r="A910" s="3"/>
      <c r="B910" s="3"/>
      <c r="C910" s="29"/>
      <c r="D910" s="133">
        <f>Asset37</f>
        <v>0</v>
      </c>
      <c r="E910" s="3"/>
      <c r="F910" s="3"/>
      <c r="G910" s="1394">
        <f>'RFM input'!O43</f>
        <v>0</v>
      </c>
      <c r="H910" s="248"/>
      <c r="I910" s="248"/>
      <c r="J910" s="248"/>
      <c r="K910" s="248"/>
      <c r="L910" s="248"/>
      <c r="M910" s="248"/>
      <c r="N910" s="248"/>
      <c r="O910" s="248"/>
      <c r="P910" s="248"/>
      <c r="Q910" s="248"/>
      <c r="R910" s="248"/>
      <c r="S910" s="71"/>
      <c r="T910" s="71"/>
      <c r="U910" s="71"/>
      <c r="V910" s="71"/>
      <c r="W910" s="71"/>
      <c r="X910" s="71"/>
      <c r="Y910" s="71"/>
      <c r="Z910" s="71"/>
    </row>
    <row r="911" spans="1:26" ht="12.75" hidden="1" customHeight="1" outlineLevel="1">
      <c r="A911" s="3"/>
      <c r="B911" s="3"/>
      <c r="C911" s="29"/>
      <c r="D911" s="133">
        <f>Asset38</f>
        <v>0</v>
      </c>
      <c r="E911" s="3"/>
      <c r="F911" s="3"/>
      <c r="G911" s="1394">
        <f>'RFM input'!O44</f>
        <v>0</v>
      </c>
      <c r="H911" s="248"/>
      <c r="I911" s="248"/>
      <c r="J911" s="248"/>
      <c r="K911" s="248"/>
      <c r="L911" s="248"/>
      <c r="M911" s="248"/>
      <c r="N911" s="248"/>
      <c r="O911" s="248"/>
      <c r="P911" s="248"/>
      <c r="Q911" s="248"/>
      <c r="R911" s="248"/>
      <c r="S911" s="71"/>
      <c r="T911" s="71"/>
      <c r="U911" s="71"/>
      <c r="V911" s="71"/>
      <c r="W911" s="71"/>
      <c r="X911" s="71"/>
      <c r="Y911" s="71"/>
      <c r="Z911" s="71"/>
    </row>
    <row r="912" spans="1:26" ht="12.75" hidden="1" customHeight="1" outlineLevel="1">
      <c r="A912" s="3"/>
      <c r="B912" s="3"/>
      <c r="C912" s="29"/>
      <c r="D912" s="133">
        <f>Asset39</f>
        <v>0</v>
      </c>
      <c r="E912" s="3"/>
      <c r="F912" s="3"/>
      <c r="G912" s="1394">
        <f>'RFM input'!O45</f>
        <v>0</v>
      </c>
      <c r="H912" s="248"/>
      <c r="I912" s="248"/>
      <c r="J912" s="248"/>
      <c r="K912" s="248"/>
      <c r="L912" s="248"/>
      <c r="M912" s="248"/>
      <c r="N912" s="248"/>
      <c r="O912" s="248"/>
      <c r="P912" s="248"/>
      <c r="Q912" s="248"/>
      <c r="R912" s="248"/>
      <c r="S912" s="71"/>
      <c r="T912" s="71"/>
      <c r="U912" s="71"/>
      <c r="V912" s="71"/>
      <c r="W912" s="71"/>
      <c r="X912" s="71"/>
      <c r="Y912" s="71"/>
      <c r="Z912" s="71"/>
    </row>
    <row r="913" spans="1:26" ht="12.75" hidden="1" customHeight="1" outlineLevel="1">
      <c r="A913" s="3"/>
      <c r="B913" s="3"/>
      <c r="C913" s="29"/>
      <c r="D913" s="133">
        <f>Asset40</f>
        <v>0</v>
      </c>
      <c r="E913" s="3"/>
      <c r="F913" s="3"/>
      <c r="G913" s="1394">
        <f>'RFM input'!O46</f>
        <v>0</v>
      </c>
      <c r="H913" s="248"/>
      <c r="I913" s="248"/>
      <c r="J913" s="248"/>
      <c r="K913" s="248"/>
      <c r="L913" s="248"/>
      <c r="M913" s="248"/>
      <c r="N913" s="248"/>
      <c r="O913" s="248"/>
      <c r="P913" s="248"/>
      <c r="Q913" s="248"/>
      <c r="R913" s="248"/>
      <c r="S913" s="71"/>
      <c r="T913" s="71"/>
      <c r="U913" s="71"/>
      <c r="V913" s="71"/>
      <c r="W913" s="71"/>
      <c r="X913" s="71"/>
      <c r="Y913" s="71"/>
      <c r="Z913" s="71"/>
    </row>
    <row r="914" spans="1:26" ht="12.75" hidden="1" customHeight="1" outlineLevel="1">
      <c r="A914" s="3"/>
      <c r="B914" s="3"/>
      <c r="C914" s="29"/>
      <c r="D914" s="133">
        <f>Asset41</f>
        <v>0</v>
      </c>
      <c r="E914" s="3"/>
      <c r="F914" s="3"/>
      <c r="G914" s="1394">
        <f>'RFM input'!O47</f>
        <v>0</v>
      </c>
      <c r="H914" s="248"/>
      <c r="I914" s="248"/>
      <c r="J914" s="248"/>
      <c r="K914" s="248"/>
      <c r="L914" s="248"/>
      <c r="M914" s="248"/>
      <c r="N914" s="248"/>
      <c r="O914" s="248"/>
      <c r="P914" s="248"/>
      <c r="Q914" s="248"/>
      <c r="R914" s="248"/>
      <c r="S914" s="71"/>
      <c r="T914" s="71"/>
      <c r="U914" s="71"/>
      <c r="V914" s="71"/>
      <c r="W914" s="71"/>
      <c r="X914" s="71"/>
      <c r="Y914" s="71"/>
      <c r="Z914" s="71"/>
    </row>
    <row r="915" spans="1:26" ht="12.75" hidden="1" customHeight="1" outlineLevel="1">
      <c r="A915" s="3"/>
      <c r="B915" s="3"/>
      <c r="C915" s="29"/>
      <c r="D915" s="133">
        <f>Asset42</f>
        <v>0</v>
      </c>
      <c r="E915" s="3"/>
      <c r="F915" s="3"/>
      <c r="G915" s="1394">
        <f>'RFM input'!O48</f>
        <v>0</v>
      </c>
      <c r="H915" s="248"/>
      <c r="I915" s="248"/>
      <c r="J915" s="248"/>
      <c r="K915" s="248"/>
      <c r="L915" s="248"/>
      <c r="M915" s="248"/>
      <c r="N915" s="248"/>
      <c r="O915" s="248"/>
      <c r="P915" s="248"/>
      <c r="Q915" s="248"/>
      <c r="R915" s="248"/>
      <c r="S915" s="71"/>
      <c r="T915" s="71"/>
      <c r="U915" s="71"/>
      <c r="V915" s="71"/>
      <c r="W915" s="71"/>
      <c r="X915" s="71"/>
      <c r="Y915" s="71"/>
      <c r="Z915" s="71"/>
    </row>
    <row r="916" spans="1:26" ht="12.75" hidden="1" customHeight="1" outlineLevel="1">
      <c r="A916" s="3"/>
      <c r="B916" s="3"/>
      <c r="C916" s="29"/>
      <c r="D916" s="133">
        <f>Asset43</f>
        <v>0</v>
      </c>
      <c r="E916" s="3"/>
      <c r="F916" s="3"/>
      <c r="G916" s="1394">
        <f>'RFM input'!O49</f>
        <v>0</v>
      </c>
      <c r="H916" s="248"/>
      <c r="I916" s="248"/>
      <c r="J916" s="248"/>
      <c r="K916" s="248"/>
      <c r="L916" s="248"/>
      <c r="M916" s="248"/>
      <c r="N916" s="248"/>
      <c r="O916" s="248"/>
      <c r="P916" s="248"/>
      <c r="Q916" s="248"/>
      <c r="R916" s="248"/>
      <c r="S916" s="71"/>
      <c r="T916" s="71"/>
      <c r="U916" s="71"/>
      <c r="V916" s="71"/>
      <c r="W916" s="71"/>
      <c r="X916" s="71"/>
      <c r="Y916" s="71"/>
      <c r="Z916" s="71"/>
    </row>
    <row r="917" spans="1:26" ht="12.75" hidden="1" customHeight="1" outlineLevel="1">
      <c r="A917" s="3"/>
      <c r="B917" s="3"/>
      <c r="C917" s="29"/>
      <c r="D917" s="133">
        <f>Asset44</f>
        <v>0</v>
      </c>
      <c r="E917" s="3"/>
      <c r="F917" s="3"/>
      <c r="G917" s="1394">
        <f>'RFM input'!O50</f>
        <v>0</v>
      </c>
      <c r="H917" s="248"/>
      <c r="I917" s="248"/>
      <c r="J917" s="248"/>
      <c r="K917" s="248"/>
      <c r="L917" s="248"/>
      <c r="M917" s="248"/>
      <c r="N917" s="248"/>
      <c r="O917" s="248"/>
      <c r="P917" s="248"/>
      <c r="Q917" s="248"/>
      <c r="R917" s="248"/>
      <c r="S917" s="71"/>
      <c r="T917" s="71"/>
      <c r="U917" s="71"/>
      <c r="V917" s="71"/>
      <c r="W917" s="71"/>
      <c r="X917" s="71"/>
      <c r="Y917" s="71"/>
      <c r="Z917" s="71"/>
    </row>
    <row r="918" spans="1:26" ht="12.75" hidden="1" customHeight="1" outlineLevel="1">
      <c r="A918" s="3"/>
      <c r="B918" s="3"/>
      <c r="C918" s="29"/>
      <c r="D918" s="133">
        <f>Asset45</f>
        <v>0</v>
      </c>
      <c r="E918" s="3"/>
      <c r="F918" s="3"/>
      <c r="G918" s="1394">
        <f>'RFM input'!O51</f>
        <v>0</v>
      </c>
      <c r="H918" s="248"/>
      <c r="I918" s="248"/>
      <c r="J918" s="248"/>
      <c r="K918" s="248"/>
      <c r="L918" s="248"/>
      <c r="M918" s="248"/>
      <c r="N918" s="248"/>
      <c r="O918" s="248"/>
      <c r="P918" s="248"/>
      <c r="Q918" s="248"/>
      <c r="R918" s="248"/>
      <c r="S918" s="71"/>
      <c r="T918" s="71"/>
      <c r="U918" s="71"/>
      <c r="V918" s="71"/>
      <c r="W918" s="71"/>
      <c r="X918" s="71"/>
      <c r="Y918" s="71"/>
      <c r="Z918" s="71"/>
    </row>
    <row r="919" spans="1:26" ht="12.75" hidden="1" customHeight="1" outlineLevel="1">
      <c r="A919" s="3"/>
      <c r="B919" s="3"/>
      <c r="C919" s="29"/>
      <c r="D919" s="133">
        <f>Asset46</f>
        <v>0</v>
      </c>
      <c r="E919" s="3"/>
      <c r="F919" s="3"/>
      <c r="G919" s="1394">
        <f>'RFM input'!O52</f>
        <v>0</v>
      </c>
      <c r="H919" s="248"/>
      <c r="I919" s="248"/>
      <c r="J919" s="248"/>
      <c r="K919" s="248"/>
      <c r="L919" s="248"/>
      <c r="M919" s="248"/>
      <c r="N919" s="248"/>
      <c r="O919" s="248"/>
      <c r="P919" s="248"/>
      <c r="Q919" s="248"/>
      <c r="R919" s="248"/>
      <c r="S919" s="71"/>
      <c r="T919" s="71"/>
      <c r="U919" s="71"/>
      <c r="V919" s="71"/>
      <c r="W919" s="71"/>
      <c r="X919" s="71"/>
      <c r="Y919" s="71"/>
      <c r="Z919" s="71"/>
    </row>
    <row r="920" spans="1:26" ht="12.75" hidden="1" customHeight="1" outlineLevel="1">
      <c r="A920" s="3"/>
      <c r="B920" s="3"/>
      <c r="C920" s="29"/>
      <c r="D920" s="133">
        <f>Asset47</f>
        <v>0</v>
      </c>
      <c r="E920" s="3"/>
      <c r="F920" s="3"/>
      <c r="G920" s="1394">
        <f>'RFM input'!O53</f>
        <v>0</v>
      </c>
      <c r="H920" s="248"/>
      <c r="I920" s="248"/>
      <c r="J920" s="248"/>
      <c r="K920" s="248"/>
      <c r="L920" s="248"/>
      <c r="M920" s="248"/>
      <c r="N920" s="248"/>
      <c r="O920" s="248"/>
      <c r="P920" s="248"/>
      <c r="Q920" s="248"/>
      <c r="R920" s="248"/>
      <c r="S920" s="71"/>
      <c r="T920" s="71"/>
      <c r="U920" s="71"/>
      <c r="V920" s="71"/>
      <c r="W920" s="71"/>
      <c r="X920" s="71"/>
      <c r="Y920" s="71"/>
      <c r="Z920" s="71"/>
    </row>
    <row r="921" spans="1:26" ht="12.75" hidden="1" customHeight="1" outlineLevel="1">
      <c r="A921" s="3"/>
      <c r="B921" s="3"/>
      <c r="C921" s="29"/>
      <c r="D921" s="133">
        <f>Asset48</f>
        <v>0</v>
      </c>
      <c r="E921" s="3"/>
      <c r="F921" s="3"/>
      <c r="G921" s="1394">
        <f>'RFM input'!O54</f>
        <v>0</v>
      </c>
      <c r="H921" s="248"/>
      <c r="I921" s="248"/>
      <c r="J921" s="248"/>
      <c r="K921" s="248"/>
      <c r="L921" s="248"/>
      <c r="M921" s="248"/>
      <c r="N921" s="248"/>
      <c r="O921" s="248"/>
      <c r="P921" s="248"/>
      <c r="Q921" s="248"/>
      <c r="R921" s="248"/>
      <c r="S921" s="71"/>
      <c r="T921" s="71"/>
      <c r="U921" s="71"/>
      <c r="V921" s="71"/>
      <c r="W921" s="71"/>
      <c r="X921" s="71"/>
      <c r="Y921" s="71"/>
      <c r="Z921" s="71"/>
    </row>
    <row r="922" spans="1:26" ht="12.75" hidden="1" customHeight="1" outlineLevel="1">
      <c r="A922" s="3"/>
      <c r="B922" s="3"/>
      <c r="C922" s="29"/>
      <c r="D922" s="133">
        <f>Asset49</f>
        <v>0</v>
      </c>
      <c r="E922" s="3"/>
      <c r="F922" s="3"/>
      <c r="G922" s="1394">
        <f>'RFM input'!O55</f>
        <v>0</v>
      </c>
      <c r="H922" s="248"/>
      <c r="I922" s="248"/>
      <c r="J922" s="248"/>
      <c r="K922" s="248"/>
      <c r="L922" s="248"/>
      <c r="M922" s="248"/>
      <c r="N922" s="248"/>
      <c r="O922" s="248"/>
      <c r="P922" s="248"/>
      <c r="Q922" s="248"/>
      <c r="R922" s="248"/>
      <c r="S922" s="71"/>
      <c r="T922" s="71"/>
      <c r="U922" s="71"/>
      <c r="V922" s="71"/>
      <c r="W922" s="71"/>
      <c r="X922" s="71"/>
      <c r="Y922" s="71"/>
      <c r="Z922" s="71"/>
    </row>
    <row r="923" spans="1:26" ht="12.75" hidden="1" customHeight="1" outlineLevel="1">
      <c r="A923" s="3"/>
      <c r="B923" s="3"/>
      <c r="C923" s="29"/>
      <c r="D923" s="133">
        <f>Asset50</f>
        <v>0</v>
      </c>
      <c r="E923" s="3"/>
      <c r="F923" s="3"/>
      <c r="G923" s="1394">
        <f>'RFM input'!O56</f>
        <v>0</v>
      </c>
      <c r="H923" s="248"/>
      <c r="I923" s="248"/>
      <c r="J923" s="248"/>
      <c r="K923" s="248"/>
      <c r="L923" s="248"/>
      <c r="M923" s="248"/>
      <c r="N923" s="248"/>
      <c r="O923" s="248"/>
      <c r="P923" s="248"/>
      <c r="Q923" s="248"/>
      <c r="R923" s="248"/>
      <c r="S923" s="71"/>
      <c r="T923" s="71"/>
      <c r="U923" s="71"/>
      <c r="V923" s="71"/>
      <c r="W923" s="71"/>
      <c r="X923" s="71"/>
      <c r="Y923" s="71"/>
      <c r="Z923" s="71"/>
    </row>
    <row r="924" spans="1:26" collapsed="1">
      <c r="A924" s="3"/>
      <c r="B924" s="3"/>
      <c r="C924" s="29"/>
      <c r="D924" s="81"/>
      <c r="E924" s="3"/>
      <c r="F924" s="3"/>
      <c r="G924" s="1392"/>
      <c r="H924" s="248"/>
      <c r="I924" s="248"/>
      <c r="J924" s="248"/>
      <c r="K924" s="248"/>
      <c r="L924" s="248"/>
      <c r="M924" s="248"/>
      <c r="N924" s="248"/>
      <c r="O924" s="248"/>
      <c r="P924" s="248"/>
      <c r="Q924" s="248"/>
      <c r="R924" s="248"/>
      <c r="S924" s="71"/>
      <c r="T924" s="71"/>
      <c r="U924" s="71"/>
      <c r="V924" s="71"/>
      <c r="W924" s="71"/>
      <c r="X924" s="71"/>
      <c r="Y924" s="71"/>
      <c r="Z924" s="71"/>
    </row>
    <row r="925" spans="1:26">
      <c r="A925" s="3"/>
      <c r="B925" s="3"/>
      <c r="C925" s="155" t="s">
        <v>66</v>
      </c>
      <c r="D925" s="231"/>
      <c r="F925" s="3"/>
      <c r="G925" s="1392">
        <f>SUM(G926:G975)</f>
        <v>0</v>
      </c>
      <c r="H925" s="248"/>
      <c r="I925" s="248"/>
      <c r="J925" s="248"/>
      <c r="K925" s="248"/>
      <c r="L925" s="248"/>
      <c r="M925" s="248"/>
      <c r="N925" s="248"/>
      <c r="O925" s="248"/>
      <c r="P925" s="248"/>
      <c r="Q925" s="248"/>
      <c r="R925" s="248"/>
      <c r="S925" s="71"/>
      <c r="T925" s="71"/>
      <c r="U925" s="71"/>
      <c r="V925" s="71"/>
      <c r="W925" s="71"/>
      <c r="X925" s="71"/>
      <c r="Y925" s="71"/>
      <c r="Z925" s="71"/>
    </row>
    <row r="926" spans="1:26" ht="12.75" hidden="1" customHeight="1" outlineLevel="1">
      <c r="A926" s="3"/>
      <c r="B926" s="3"/>
      <c r="C926" s="3"/>
      <c r="D926" s="133" t="str">
        <f>Asset1</f>
        <v>Mains</v>
      </c>
      <c r="E926" s="3"/>
      <c r="F926" s="3"/>
      <c r="G926" s="1394">
        <f>'RFM input'!P7</f>
        <v>0</v>
      </c>
      <c r="H926" s="248"/>
      <c r="I926" s="248"/>
      <c r="J926" s="248"/>
      <c r="K926" s="248"/>
      <c r="L926" s="248"/>
      <c r="M926" s="248"/>
      <c r="N926" s="248"/>
      <c r="O926" s="248"/>
      <c r="P926" s="248"/>
      <c r="Q926" s="248"/>
      <c r="R926" s="248"/>
      <c r="S926" s="71"/>
      <c r="T926" s="71"/>
      <c r="U926" s="71"/>
      <c r="V926" s="71"/>
      <c r="W926" s="71"/>
      <c r="X926" s="71"/>
      <c r="Y926" s="71"/>
      <c r="Z926" s="71"/>
    </row>
    <row r="927" spans="1:26" ht="12.75" hidden="1" customHeight="1" outlineLevel="1">
      <c r="A927" s="3"/>
      <c r="B927" s="3"/>
      <c r="C927" s="29"/>
      <c r="D927" s="133" t="str">
        <f>Asset2</f>
        <v>Inlets</v>
      </c>
      <c r="E927" s="3"/>
      <c r="F927" s="3"/>
      <c r="G927" s="1394">
        <f>'RFM input'!P8</f>
        <v>0</v>
      </c>
      <c r="H927" s="248"/>
      <c r="I927" s="248"/>
      <c r="J927" s="248"/>
      <c r="K927" s="248"/>
      <c r="L927" s="248"/>
      <c r="M927" s="248"/>
      <c r="N927" s="248"/>
      <c r="O927" s="248"/>
      <c r="P927" s="248"/>
      <c r="Q927" s="248"/>
      <c r="R927" s="248"/>
      <c r="S927" s="71"/>
      <c r="T927" s="71"/>
      <c r="U927" s="71"/>
      <c r="V927" s="71"/>
      <c r="W927" s="71"/>
      <c r="X927" s="71"/>
      <c r="Y927" s="71"/>
      <c r="Z927" s="71"/>
    </row>
    <row r="928" spans="1:26" ht="12.75" hidden="1" customHeight="1" outlineLevel="1">
      <c r="A928" s="3"/>
      <c r="B928" s="3"/>
      <c r="C928" s="29"/>
      <c r="D928" s="133" t="str">
        <f>Asset3</f>
        <v>Meters</v>
      </c>
      <c r="E928" s="3"/>
      <c r="F928" s="3"/>
      <c r="G928" s="1394">
        <f>'RFM input'!P9</f>
        <v>0</v>
      </c>
      <c r="H928" s="248"/>
      <c r="I928" s="248"/>
      <c r="J928" s="248"/>
      <c r="K928" s="248"/>
      <c r="L928" s="248"/>
      <c r="M928" s="248"/>
      <c r="N928" s="248"/>
      <c r="O928" s="248"/>
      <c r="P928" s="248"/>
      <c r="Q928" s="248"/>
      <c r="R928" s="248"/>
      <c r="S928" s="71"/>
      <c r="T928" s="71"/>
      <c r="U928" s="71"/>
      <c r="V928" s="71"/>
      <c r="W928" s="71"/>
      <c r="X928" s="71"/>
      <c r="Y928" s="71"/>
      <c r="Z928" s="71"/>
    </row>
    <row r="929" spans="1:26" ht="12.75" hidden="1" customHeight="1" outlineLevel="1">
      <c r="A929" s="3"/>
      <c r="B929" s="3"/>
      <c r="C929" s="29"/>
      <c r="D929" s="133" t="str">
        <f>Asset4</f>
        <v>Telemetry</v>
      </c>
      <c r="E929" s="3"/>
      <c r="F929" s="3"/>
      <c r="G929" s="1394">
        <f>'RFM input'!P10</f>
        <v>0</v>
      </c>
      <c r="H929" s="248"/>
      <c r="I929" s="248"/>
      <c r="J929" s="248"/>
      <c r="K929" s="248"/>
      <c r="L929" s="248"/>
      <c r="M929" s="248"/>
      <c r="N929" s="248"/>
      <c r="O929" s="248"/>
      <c r="P929" s="248"/>
      <c r="Q929" s="248"/>
      <c r="R929" s="248"/>
      <c r="S929" s="71"/>
      <c r="T929" s="71"/>
      <c r="U929" s="71"/>
      <c r="V929" s="71"/>
      <c r="W929" s="71"/>
      <c r="X929" s="71"/>
      <c r="Y929" s="71"/>
      <c r="Z929" s="71"/>
    </row>
    <row r="930" spans="1:26" ht="12.75" hidden="1" customHeight="1" outlineLevel="1">
      <c r="A930" s="3"/>
      <c r="B930" s="3"/>
      <c r="C930" s="29"/>
      <c r="D930" s="133" t="str">
        <f>Asset5</f>
        <v>IT System</v>
      </c>
      <c r="E930" s="3"/>
      <c r="F930" s="3"/>
      <c r="G930" s="1394">
        <f>'RFM input'!P11</f>
        <v>0</v>
      </c>
      <c r="H930" s="248"/>
      <c r="I930" s="248"/>
      <c r="J930" s="248"/>
      <c r="K930" s="248"/>
      <c r="L930" s="248"/>
      <c r="M930" s="248"/>
      <c r="N930" s="248"/>
      <c r="O930" s="248"/>
      <c r="P930" s="248"/>
      <c r="Q930" s="248"/>
      <c r="R930" s="248"/>
      <c r="S930" s="71"/>
      <c r="T930" s="71"/>
      <c r="U930" s="71"/>
      <c r="V930" s="71"/>
      <c r="W930" s="71"/>
      <c r="X930" s="71"/>
      <c r="Y930" s="71"/>
      <c r="Z930" s="71"/>
    </row>
    <row r="931" spans="1:26" ht="12.75" hidden="1" customHeight="1" outlineLevel="1">
      <c r="A931" s="3"/>
      <c r="B931" s="3"/>
      <c r="C931" s="29"/>
      <c r="D931" s="133" t="str">
        <f>Asset6</f>
        <v>Other Distribution System Equipment</v>
      </c>
      <c r="E931" s="3"/>
      <c r="F931" s="3"/>
      <c r="G931" s="1394">
        <f>'RFM input'!P12</f>
        <v>0</v>
      </c>
      <c r="H931" s="248"/>
      <c r="I931" s="248"/>
      <c r="J931" s="248"/>
      <c r="K931" s="248"/>
      <c r="L931" s="248"/>
      <c r="M931" s="248"/>
      <c r="N931" s="248"/>
      <c r="O931" s="248"/>
      <c r="P931" s="248"/>
      <c r="Q931" s="248"/>
      <c r="R931" s="248"/>
      <c r="S931" s="71"/>
      <c r="T931" s="71"/>
      <c r="U931" s="71"/>
      <c r="V931" s="71"/>
      <c r="W931" s="71"/>
      <c r="X931" s="71"/>
      <c r="Y931" s="71"/>
      <c r="Z931" s="71"/>
    </row>
    <row r="932" spans="1:26" ht="12.75" hidden="1" customHeight="1" outlineLevel="1">
      <c r="A932" s="3"/>
      <c r="B932" s="3"/>
      <c r="C932" s="29"/>
      <c r="D932" s="133" t="str">
        <f>Asset7</f>
        <v>Other</v>
      </c>
      <c r="E932" s="3"/>
      <c r="F932" s="3"/>
      <c r="G932" s="1394">
        <f>'RFM input'!P13</f>
        <v>0</v>
      </c>
      <c r="H932" s="248"/>
      <c r="I932" s="248"/>
      <c r="J932" s="248"/>
      <c r="K932" s="248"/>
      <c r="L932" s="248"/>
      <c r="M932" s="248"/>
      <c r="N932" s="248"/>
      <c r="O932" s="248"/>
      <c r="P932" s="248"/>
      <c r="Q932" s="248"/>
      <c r="R932" s="248"/>
      <c r="S932" s="71"/>
      <c r="T932" s="71"/>
      <c r="U932" s="71"/>
      <c r="V932" s="71"/>
      <c r="W932" s="71"/>
      <c r="X932" s="71"/>
      <c r="Y932" s="71"/>
      <c r="Z932" s="71"/>
    </row>
    <row r="933" spans="1:26" ht="12.75" hidden="1" customHeight="1" outlineLevel="1">
      <c r="A933" s="3"/>
      <c r="B933" s="3"/>
      <c r="C933" s="29"/>
      <c r="D933" s="133">
        <f>Asset8</f>
        <v>0</v>
      </c>
      <c r="E933" s="3"/>
      <c r="F933" s="3"/>
      <c r="G933" s="1394">
        <f>'RFM input'!P14</f>
        <v>0</v>
      </c>
      <c r="H933" s="248"/>
      <c r="I933" s="248"/>
      <c r="J933" s="248"/>
      <c r="K933" s="248"/>
      <c r="L933" s="248"/>
      <c r="M933" s="248"/>
      <c r="N933" s="248"/>
      <c r="O933" s="248"/>
      <c r="P933" s="248"/>
      <c r="Q933" s="248"/>
      <c r="R933" s="248"/>
      <c r="S933" s="71"/>
      <c r="T933" s="71"/>
      <c r="U933" s="71"/>
      <c r="V933" s="71"/>
      <c r="W933" s="71"/>
      <c r="X933" s="71"/>
      <c r="Y933" s="71"/>
      <c r="Z933" s="71"/>
    </row>
    <row r="934" spans="1:26" ht="12.75" hidden="1" customHeight="1" outlineLevel="1">
      <c r="A934" s="3"/>
      <c r="B934" s="3"/>
      <c r="C934" s="29"/>
      <c r="D934" s="133">
        <f>Asset9</f>
        <v>0</v>
      </c>
      <c r="E934" s="3"/>
      <c r="F934" s="3"/>
      <c r="G934" s="1394">
        <f>'RFM input'!P15</f>
        <v>0</v>
      </c>
      <c r="H934" s="248"/>
      <c r="I934" s="248"/>
      <c r="J934" s="248"/>
      <c r="K934" s="248"/>
      <c r="L934" s="248"/>
      <c r="M934" s="248"/>
      <c r="N934" s="248"/>
      <c r="O934" s="248"/>
      <c r="P934" s="248"/>
      <c r="Q934" s="248"/>
      <c r="R934" s="248"/>
      <c r="S934" s="71"/>
      <c r="T934" s="71"/>
      <c r="U934" s="71"/>
      <c r="V934" s="71"/>
      <c r="W934" s="71"/>
      <c r="X934" s="71"/>
      <c r="Y934" s="71"/>
      <c r="Z934" s="71"/>
    </row>
    <row r="935" spans="1:26" ht="12.75" hidden="1" customHeight="1" outlineLevel="1">
      <c r="A935" s="3"/>
      <c r="B935" s="3"/>
      <c r="C935" s="29"/>
      <c r="D935" s="133">
        <f>Asset10</f>
        <v>0</v>
      </c>
      <c r="E935" s="3"/>
      <c r="F935" s="3"/>
      <c r="G935" s="1394">
        <f>'RFM input'!P16</f>
        <v>0</v>
      </c>
      <c r="H935" s="248"/>
      <c r="I935" s="248"/>
      <c r="J935" s="248"/>
      <c r="K935" s="248"/>
      <c r="L935" s="248"/>
      <c r="M935" s="248"/>
      <c r="N935" s="248"/>
      <c r="O935" s="248"/>
      <c r="P935" s="248"/>
      <c r="Q935" s="248"/>
      <c r="R935" s="248"/>
      <c r="S935" s="71"/>
      <c r="T935" s="71"/>
      <c r="U935" s="71"/>
      <c r="V935" s="71"/>
      <c r="W935" s="71"/>
      <c r="X935" s="71"/>
      <c r="Y935" s="71"/>
      <c r="Z935" s="71"/>
    </row>
    <row r="936" spans="1:26" ht="12.75" hidden="1" customHeight="1" outlineLevel="1">
      <c r="A936" s="3"/>
      <c r="B936" s="3"/>
      <c r="C936" s="29"/>
      <c r="D936" s="133">
        <f>Asset11</f>
        <v>0</v>
      </c>
      <c r="E936" s="3"/>
      <c r="F936" s="3"/>
      <c r="G936" s="1394">
        <f>'RFM input'!P17</f>
        <v>0</v>
      </c>
      <c r="H936" s="248"/>
      <c r="I936" s="248"/>
      <c r="J936" s="248"/>
      <c r="K936" s="248"/>
      <c r="L936" s="248"/>
      <c r="M936" s="248"/>
      <c r="N936" s="248"/>
      <c r="O936" s="248"/>
      <c r="P936" s="248"/>
      <c r="Q936" s="248"/>
      <c r="R936" s="248"/>
      <c r="S936" s="71"/>
      <c r="T936" s="71"/>
      <c r="U936" s="71"/>
      <c r="V936" s="71"/>
      <c r="W936" s="71"/>
      <c r="X936" s="71"/>
      <c r="Y936" s="71"/>
      <c r="Z936" s="71"/>
    </row>
    <row r="937" spans="1:26" ht="12.75" hidden="1" customHeight="1" outlineLevel="1">
      <c r="A937" s="3"/>
      <c r="B937" s="3"/>
      <c r="C937" s="29"/>
      <c r="D937" s="133">
        <f>Asset12</f>
        <v>0</v>
      </c>
      <c r="E937" s="3"/>
      <c r="F937" s="3"/>
      <c r="G937" s="1394">
        <f>'RFM input'!P18</f>
        <v>0</v>
      </c>
      <c r="H937" s="248"/>
      <c r="I937" s="248"/>
      <c r="J937" s="248"/>
      <c r="K937" s="248"/>
      <c r="L937" s="248"/>
      <c r="M937" s="248"/>
      <c r="N937" s="248"/>
      <c r="O937" s="248"/>
      <c r="P937" s="248"/>
      <c r="Q937" s="248"/>
      <c r="R937" s="248"/>
      <c r="S937" s="71"/>
      <c r="T937" s="71"/>
      <c r="U937" s="71"/>
      <c r="V937" s="71"/>
      <c r="W937" s="71"/>
      <c r="X937" s="71"/>
      <c r="Y937" s="71"/>
      <c r="Z937" s="71"/>
    </row>
    <row r="938" spans="1:26" ht="12.75" hidden="1" customHeight="1" outlineLevel="1">
      <c r="A938" s="3"/>
      <c r="B938" s="3"/>
      <c r="C938" s="29"/>
      <c r="D938" s="133">
        <f>Asset13</f>
        <v>0</v>
      </c>
      <c r="E938" s="3"/>
      <c r="F938" s="3"/>
      <c r="G938" s="1394">
        <f>'RFM input'!P19</f>
        <v>0</v>
      </c>
      <c r="H938" s="248"/>
      <c r="I938" s="248"/>
      <c r="J938" s="248"/>
      <c r="K938" s="248"/>
      <c r="L938" s="248"/>
      <c r="M938" s="248"/>
      <c r="N938" s="248"/>
      <c r="O938" s="248"/>
      <c r="P938" s="248"/>
      <c r="Q938" s="248"/>
      <c r="R938" s="248"/>
      <c r="S938" s="71"/>
      <c r="T938" s="71"/>
      <c r="U938" s="71"/>
      <c r="V938" s="71"/>
      <c r="W938" s="71"/>
      <c r="X938" s="71"/>
      <c r="Y938" s="71"/>
      <c r="Z938" s="71"/>
    </row>
    <row r="939" spans="1:26" ht="12.75" hidden="1" customHeight="1" outlineLevel="1">
      <c r="A939" s="3"/>
      <c r="B939" s="3"/>
      <c r="C939" s="29"/>
      <c r="D939" s="133">
        <f>Asset14</f>
        <v>0</v>
      </c>
      <c r="E939" s="3"/>
      <c r="F939" s="3"/>
      <c r="G939" s="1394">
        <f>'RFM input'!P20</f>
        <v>0</v>
      </c>
      <c r="H939" s="248"/>
      <c r="I939" s="248"/>
      <c r="J939" s="248"/>
      <c r="K939" s="248"/>
      <c r="L939" s="248"/>
      <c r="M939" s="248"/>
      <c r="N939" s="248"/>
      <c r="O939" s="248"/>
      <c r="P939" s="248"/>
      <c r="Q939" s="248"/>
      <c r="R939" s="248"/>
      <c r="S939" s="71"/>
      <c r="T939" s="71"/>
      <c r="U939" s="71"/>
      <c r="V939" s="71"/>
      <c r="W939" s="71"/>
      <c r="X939" s="71"/>
      <c r="Y939" s="71"/>
      <c r="Z939" s="71"/>
    </row>
    <row r="940" spans="1:26" ht="12.75" hidden="1" customHeight="1" outlineLevel="1">
      <c r="A940" s="3"/>
      <c r="B940" s="3"/>
      <c r="C940" s="29"/>
      <c r="D940" s="133">
        <f>Asset15</f>
        <v>0</v>
      </c>
      <c r="E940" s="3"/>
      <c r="F940" s="3"/>
      <c r="G940" s="1394">
        <f>'RFM input'!P21</f>
        <v>0</v>
      </c>
      <c r="H940" s="248"/>
      <c r="I940" s="248"/>
      <c r="J940" s="248"/>
      <c r="K940" s="248"/>
      <c r="L940" s="248"/>
      <c r="M940" s="248"/>
      <c r="N940" s="248"/>
      <c r="O940" s="248"/>
      <c r="P940" s="248"/>
      <c r="Q940" s="248"/>
      <c r="R940" s="248"/>
      <c r="S940" s="71"/>
      <c r="T940" s="71"/>
      <c r="U940" s="71"/>
      <c r="V940" s="71"/>
      <c r="W940" s="71"/>
      <c r="X940" s="71"/>
      <c r="Y940" s="71"/>
      <c r="Z940" s="71"/>
    </row>
    <row r="941" spans="1:26" ht="12.75" hidden="1" customHeight="1" outlineLevel="1">
      <c r="A941" s="3"/>
      <c r="B941" s="3"/>
      <c r="C941" s="29"/>
      <c r="D941" s="133">
        <f>Asset16</f>
        <v>0</v>
      </c>
      <c r="E941" s="3"/>
      <c r="F941" s="3"/>
      <c r="G941" s="1394">
        <f>'RFM input'!P22</f>
        <v>0</v>
      </c>
      <c r="H941" s="248"/>
      <c r="I941" s="248"/>
      <c r="J941" s="248"/>
      <c r="K941" s="248"/>
      <c r="L941" s="248"/>
      <c r="M941" s="248"/>
      <c r="N941" s="248"/>
      <c r="O941" s="248"/>
      <c r="P941" s="248"/>
      <c r="Q941" s="248"/>
      <c r="R941" s="248"/>
      <c r="S941" s="71"/>
      <c r="T941" s="71"/>
      <c r="U941" s="71"/>
      <c r="V941" s="71"/>
      <c r="W941" s="71"/>
      <c r="X941" s="71"/>
      <c r="Y941" s="71"/>
      <c r="Z941" s="71"/>
    </row>
    <row r="942" spans="1:26" ht="12.75" hidden="1" customHeight="1" outlineLevel="1">
      <c r="A942" s="3"/>
      <c r="B942" s="3"/>
      <c r="C942" s="29"/>
      <c r="D942" s="133">
        <f>Asset17</f>
        <v>0</v>
      </c>
      <c r="E942" s="3"/>
      <c r="F942" s="3"/>
      <c r="G942" s="1394">
        <f>'RFM input'!P23</f>
        <v>0</v>
      </c>
      <c r="H942" s="248"/>
      <c r="I942" s="248"/>
      <c r="J942" s="248"/>
      <c r="K942" s="248"/>
      <c r="L942" s="248"/>
      <c r="M942" s="248"/>
      <c r="N942" s="248"/>
      <c r="O942" s="248"/>
      <c r="P942" s="248"/>
      <c r="Q942" s="248"/>
      <c r="R942" s="248"/>
      <c r="S942" s="71"/>
      <c r="T942" s="71"/>
      <c r="U942" s="71"/>
      <c r="V942" s="71"/>
      <c r="W942" s="71"/>
      <c r="X942" s="71"/>
      <c r="Y942" s="71"/>
      <c r="Z942" s="71"/>
    </row>
    <row r="943" spans="1:26" ht="12.75" hidden="1" customHeight="1" outlineLevel="1">
      <c r="A943" s="3"/>
      <c r="B943" s="3"/>
      <c r="C943" s="29"/>
      <c r="D943" s="133">
        <f>Asset18</f>
        <v>0</v>
      </c>
      <c r="E943" s="3"/>
      <c r="F943" s="3"/>
      <c r="G943" s="1394">
        <f>'RFM input'!P24</f>
        <v>0</v>
      </c>
      <c r="H943" s="248"/>
      <c r="I943" s="248"/>
      <c r="J943" s="248"/>
      <c r="K943" s="248"/>
      <c r="L943" s="248"/>
      <c r="M943" s="248"/>
      <c r="N943" s="248"/>
      <c r="O943" s="248"/>
      <c r="P943" s="248"/>
      <c r="Q943" s="248"/>
      <c r="R943" s="248"/>
      <c r="S943" s="71"/>
      <c r="T943" s="71"/>
      <c r="U943" s="71"/>
      <c r="V943" s="71"/>
      <c r="W943" s="71"/>
      <c r="X943" s="71"/>
      <c r="Y943" s="71"/>
      <c r="Z943" s="71"/>
    </row>
    <row r="944" spans="1:26" ht="12.75" hidden="1" customHeight="1" outlineLevel="1">
      <c r="A944" s="3"/>
      <c r="B944" s="3"/>
      <c r="C944" s="29"/>
      <c r="D944" s="133">
        <f>Asset19</f>
        <v>0</v>
      </c>
      <c r="E944" s="3"/>
      <c r="F944" s="3"/>
      <c r="G944" s="1394">
        <f>'RFM input'!P25</f>
        <v>0</v>
      </c>
      <c r="H944" s="248"/>
      <c r="I944" s="248"/>
      <c r="J944" s="248"/>
      <c r="K944" s="248"/>
      <c r="L944" s="248"/>
      <c r="M944" s="248"/>
      <c r="N944" s="248"/>
      <c r="O944" s="248"/>
      <c r="P944" s="248"/>
      <c r="Q944" s="248"/>
      <c r="R944" s="248"/>
      <c r="S944" s="71"/>
      <c r="T944" s="71"/>
      <c r="U944" s="71"/>
      <c r="V944" s="71"/>
      <c r="W944" s="71"/>
      <c r="X944" s="71"/>
      <c r="Y944" s="71"/>
      <c r="Z944" s="71"/>
    </row>
    <row r="945" spans="1:26" ht="12.75" hidden="1" customHeight="1" outlineLevel="1">
      <c r="A945" s="3"/>
      <c r="B945" s="3"/>
      <c r="C945" s="29"/>
      <c r="D945" s="133">
        <f>Asset20</f>
        <v>0</v>
      </c>
      <c r="E945" s="3"/>
      <c r="F945" s="3"/>
      <c r="G945" s="1394">
        <f>'RFM input'!P26</f>
        <v>0</v>
      </c>
      <c r="H945" s="248"/>
      <c r="I945" s="248"/>
      <c r="J945" s="248"/>
      <c r="K945" s="248"/>
      <c r="L945" s="248"/>
      <c r="M945" s="248"/>
      <c r="N945" s="248"/>
      <c r="O945" s="248"/>
      <c r="P945" s="248"/>
      <c r="Q945" s="248"/>
      <c r="R945" s="248"/>
      <c r="S945" s="71"/>
      <c r="T945" s="71"/>
      <c r="U945" s="71"/>
      <c r="V945" s="71"/>
      <c r="W945" s="71"/>
      <c r="X945" s="71"/>
      <c r="Y945" s="71"/>
      <c r="Z945" s="71"/>
    </row>
    <row r="946" spans="1:26" ht="12.75" hidden="1" customHeight="1" outlineLevel="1">
      <c r="A946" s="3"/>
      <c r="B946" s="3"/>
      <c r="C946" s="29"/>
      <c r="D946" s="133">
        <f>Asset21</f>
        <v>0</v>
      </c>
      <c r="E946" s="3"/>
      <c r="F946" s="3"/>
      <c r="G946" s="1394">
        <f>'RFM input'!P27</f>
        <v>0</v>
      </c>
      <c r="H946" s="248"/>
      <c r="I946" s="248"/>
      <c r="J946" s="248"/>
      <c r="K946" s="248"/>
      <c r="L946" s="248"/>
      <c r="M946" s="248"/>
      <c r="N946" s="248"/>
      <c r="O946" s="248"/>
      <c r="P946" s="248"/>
      <c r="Q946" s="248"/>
      <c r="R946" s="248"/>
      <c r="S946" s="71"/>
      <c r="T946" s="71"/>
      <c r="U946" s="71"/>
      <c r="V946" s="71"/>
      <c r="W946" s="71"/>
      <c r="X946" s="71"/>
      <c r="Y946" s="71"/>
      <c r="Z946" s="71"/>
    </row>
    <row r="947" spans="1:26" ht="12.75" hidden="1" customHeight="1" outlineLevel="1">
      <c r="A947" s="3"/>
      <c r="B947" s="3"/>
      <c r="C947" s="29"/>
      <c r="D947" s="133">
        <f>Asset22</f>
        <v>0</v>
      </c>
      <c r="E947" s="3"/>
      <c r="F947" s="3"/>
      <c r="G947" s="1394">
        <f>'RFM input'!P28</f>
        <v>0</v>
      </c>
      <c r="H947" s="248"/>
      <c r="I947" s="248"/>
      <c r="J947" s="248"/>
      <c r="K947" s="248"/>
      <c r="L947" s="248"/>
      <c r="M947" s="248"/>
      <c r="N947" s="248"/>
      <c r="O947" s="248"/>
      <c r="P947" s="248"/>
      <c r="Q947" s="248"/>
      <c r="R947" s="248"/>
      <c r="S947" s="71"/>
      <c r="T947" s="71"/>
      <c r="U947" s="71"/>
      <c r="V947" s="71"/>
      <c r="W947" s="71"/>
      <c r="X947" s="71"/>
      <c r="Y947" s="71"/>
      <c r="Z947" s="71"/>
    </row>
    <row r="948" spans="1:26" ht="12.75" hidden="1" customHeight="1" outlineLevel="1">
      <c r="A948" s="3"/>
      <c r="B948" s="3"/>
      <c r="C948" s="29"/>
      <c r="D948" s="133">
        <f>Asset23</f>
        <v>0</v>
      </c>
      <c r="E948" s="3"/>
      <c r="F948" s="3"/>
      <c r="G948" s="1394">
        <f>'RFM input'!P29</f>
        <v>0</v>
      </c>
      <c r="H948" s="248"/>
      <c r="I948" s="248"/>
      <c r="J948" s="248"/>
      <c r="K948" s="248"/>
      <c r="L948" s="248"/>
      <c r="M948" s="248"/>
      <c r="N948" s="248"/>
      <c r="O948" s="248"/>
      <c r="P948" s="248"/>
      <c r="Q948" s="248"/>
      <c r="R948" s="248"/>
      <c r="S948" s="71"/>
      <c r="T948" s="71"/>
      <c r="U948" s="71"/>
      <c r="V948" s="71"/>
      <c r="W948" s="71"/>
      <c r="X948" s="71"/>
      <c r="Y948" s="71"/>
      <c r="Z948" s="71"/>
    </row>
    <row r="949" spans="1:26" ht="12.75" hidden="1" customHeight="1" outlineLevel="1">
      <c r="A949" s="3"/>
      <c r="B949" s="3"/>
      <c r="C949" s="29"/>
      <c r="D949" s="133">
        <f>Asset24</f>
        <v>0</v>
      </c>
      <c r="E949" s="3"/>
      <c r="F949" s="3"/>
      <c r="G949" s="1394">
        <f>'RFM input'!P30</f>
        <v>0</v>
      </c>
      <c r="H949" s="248"/>
      <c r="I949" s="248"/>
      <c r="J949" s="248"/>
      <c r="K949" s="248"/>
      <c r="L949" s="248"/>
      <c r="M949" s="248"/>
      <c r="N949" s="248"/>
      <c r="O949" s="248"/>
      <c r="P949" s="248"/>
      <c r="Q949" s="248"/>
      <c r="R949" s="248"/>
      <c r="S949" s="71"/>
      <c r="T949" s="71"/>
      <c r="U949" s="71"/>
      <c r="V949" s="71"/>
      <c r="W949" s="71"/>
      <c r="X949" s="71"/>
      <c r="Y949" s="71"/>
      <c r="Z949" s="71"/>
    </row>
    <row r="950" spans="1:26" ht="12.75" hidden="1" customHeight="1" outlineLevel="1">
      <c r="A950" s="3"/>
      <c r="B950" s="3"/>
      <c r="C950" s="29"/>
      <c r="D950" s="133">
        <f>Asset25</f>
        <v>0</v>
      </c>
      <c r="E950" s="3"/>
      <c r="F950" s="3"/>
      <c r="G950" s="1394">
        <f>'RFM input'!P31</f>
        <v>0</v>
      </c>
      <c r="H950" s="248"/>
      <c r="I950" s="248"/>
      <c r="J950" s="248"/>
      <c r="K950" s="248"/>
      <c r="L950" s="248"/>
      <c r="M950" s="248"/>
      <c r="N950" s="248"/>
      <c r="O950" s="248"/>
      <c r="P950" s="248"/>
      <c r="Q950" s="248"/>
      <c r="R950" s="248"/>
      <c r="S950" s="71"/>
      <c r="T950" s="71"/>
      <c r="U950" s="71"/>
      <c r="V950" s="71"/>
      <c r="W950" s="71"/>
      <c r="X950" s="71"/>
      <c r="Y950" s="71"/>
      <c r="Z950" s="71"/>
    </row>
    <row r="951" spans="1:26" ht="12.75" hidden="1" customHeight="1" outlineLevel="1">
      <c r="A951" s="3"/>
      <c r="B951" s="3"/>
      <c r="C951" s="29"/>
      <c r="D951" s="133">
        <f>Asset26</f>
        <v>0</v>
      </c>
      <c r="E951" s="3"/>
      <c r="F951" s="3"/>
      <c r="G951" s="1394">
        <f>'RFM input'!P32</f>
        <v>0</v>
      </c>
      <c r="H951" s="248"/>
      <c r="I951" s="248"/>
      <c r="J951" s="248"/>
      <c r="K951" s="248"/>
      <c r="L951" s="248"/>
      <c r="M951" s="248"/>
      <c r="N951" s="248"/>
      <c r="O951" s="248"/>
      <c r="P951" s="248"/>
      <c r="Q951" s="248"/>
      <c r="R951" s="248"/>
      <c r="S951" s="71"/>
      <c r="T951" s="71"/>
      <c r="U951" s="71"/>
      <c r="V951" s="71"/>
      <c r="W951" s="71"/>
      <c r="X951" s="71"/>
      <c r="Y951" s="71"/>
      <c r="Z951" s="71"/>
    </row>
    <row r="952" spans="1:26" ht="12.75" hidden="1" customHeight="1" outlineLevel="1">
      <c r="A952" s="3"/>
      <c r="B952" s="3"/>
      <c r="C952" s="29"/>
      <c r="D952" s="133">
        <f>Asset27</f>
        <v>0</v>
      </c>
      <c r="E952" s="3"/>
      <c r="F952" s="3"/>
      <c r="G952" s="1394">
        <f>'RFM input'!P33</f>
        <v>0</v>
      </c>
      <c r="H952" s="248"/>
      <c r="I952" s="248"/>
      <c r="J952" s="248"/>
      <c r="K952" s="248"/>
      <c r="L952" s="248"/>
      <c r="M952" s="248"/>
      <c r="N952" s="248"/>
      <c r="O952" s="248"/>
      <c r="P952" s="248"/>
      <c r="Q952" s="248"/>
      <c r="R952" s="248"/>
      <c r="S952" s="71"/>
      <c r="T952" s="71"/>
      <c r="U952" s="71"/>
      <c r="V952" s="71"/>
      <c r="W952" s="71"/>
      <c r="X952" s="71"/>
      <c r="Y952" s="71"/>
      <c r="Z952" s="71"/>
    </row>
    <row r="953" spans="1:26" ht="12.75" hidden="1" customHeight="1" outlineLevel="1">
      <c r="A953" s="3"/>
      <c r="B953" s="3"/>
      <c r="C953" s="29"/>
      <c r="D953" s="133">
        <f>Asset28</f>
        <v>0</v>
      </c>
      <c r="E953" s="3"/>
      <c r="F953" s="3"/>
      <c r="G953" s="1394">
        <f>'RFM input'!P34</f>
        <v>0</v>
      </c>
      <c r="H953" s="248"/>
      <c r="I953" s="248"/>
      <c r="J953" s="248"/>
      <c r="K953" s="248"/>
      <c r="L953" s="248"/>
      <c r="M953" s="248"/>
      <c r="N953" s="248"/>
      <c r="O953" s="248"/>
      <c r="P953" s="248"/>
      <c r="Q953" s="248"/>
      <c r="R953" s="248"/>
      <c r="S953" s="71"/>
      <c r="T953" s="71"/>
      <c r="U953" s="71"/>
      <c r="V953" s="71"/>
      <c r="W953" s="71"/>
      <c r="X953" s="71"/>
      <c r="Y953" s="71"/>
      <c r="Z953" s="71"/>
    </row>
    <row r="954" spans="1:26" ht="12.75" hidden="1" customHeight="1" outlineLevel="1">
      <c r="A954" s="3"/>
      <c r="B954" s="3"/>
      <c r="C954" s="29"/>
      <c r="D954" s="133">
        <f>Asset29</f>
        <v>0</v>
      </c>
      <c r="E954" s="3"/>
      <c r="F954" s="3"/>
      <c r="G954" s="1394">
        <f>'RFM input'!P35</f>
        <v>0</v>
      </c>
      <c r="H954" s="248"/>
      <c r="I954" s="248"/>
      <c r="J954" s="248"/>
      <c r="K954" s="248"/>
      <c r="L954" s="248"/>
      <c r="M954" s="248"/>
      <c r="N954" s="248"/>
      <c r="O954" s="248"/>
      <c r="P954" s="248"/>
      <c r="Q954" s="248"/>
      <c r="R954" s="248"/>
      <c r="S954" s="71"/>
      <c r="T954" s="71"/>
      <c r="U954" s="71"/>
      <c r="V954" s="71"/>
      <c r="W954" s="71"/>
      <c r="X954" s="71"/>
      <c r="Y954" s="71"/>
      <c r="Z954" s="71"/>
    </row>
    <row r="955" spans="1:26" ht="12.75" hidden="1" customHeight="1" outlineLevel="1">
      <c r="A955" s="3"/>
      <c r="B955" s="3"/>
      <c r="C955" s="29"/>
      <c r="D955" s="133">
        <f>Asset30</f>
        <v>0</v>
      </c>
      <c r="E955" s="3"/>
      <c r="F955" s="3"/>
      <c r="G955" s="1394">
        <f>'RFM input'!P36</f>
        <v>0</v>
      </c>
      <c r="H955" s="248"/>
      <c r="I955" s="248"/>
      <c r="J955" s="248"/>
      <c r="K955" s="248"/>
      <c r="L955" s="248"/>
      <c r="M955" s="248"/>
      <c r="N955" s="248"/>
      <c r="O955" s="248"/>
      <c r="P955" s="248"/>
      <c r="Q955" s="248"/>
      <c r="R955" s="248"/>
      <c r="S955" s="71"/>
      <c r="T955" s="71"/>
      <c r="U955" s="71"/>
      <c r="V955" s="71"/>
      <c r="W955" s="71"/>
      <c r="X955" s="71"/>
      <c r="Y955" s="71"/>
      <c r="Z955" s="71"/>
    </row>
    <row r="956" spans="1:26" ht="12.75" hidden="1" customHeight="1" outlineLevel="1">
      <c r="A956" s="3"/>
      <c r="B956" s="3"/>
      <c r="C956" s="29"/>
      <c r="D956" s="133">
        <f>Asset31</f>
        <v>0</v>
      </c>
      <c r="E956" s="3"/>
      <c r="F956" s="3"/>
      <c r="G956" s="1394">
        <f>'RFM input'!P37</f>
        <v>0</v>
      </c>
      <c r="H956" s="248"/>
      <c r="I956" s="248"/>
      <c r="J956" s="248"/>
      <c r="K956" s="248"/>
      <c r="L956" s="248"/>
      <c r="M956" s="248"/>
      <c r="N956" s="248"/>
      <c r="O956" s="248"/>
      <c r="P956" s="248"/>
      <c r="Q956" s="248"/>
      <c r="R956" s="248"/>
      <c r="S956" s="71"/>
      <c r="T956" s="71"/>
      <c r="U956" s="71"/>
      <c r="V956" s="71"/>
      <c r="W956" s="71"/>
      <c r="X956" s="71"/>
      <c r="Y956" s="71"/>
      <c r="Z956" s="71"/>
    </row>
    <row r="957" spans="1:26" ht="12.75" hidden="1" customHeight="1" outlineLevel="1">
      <c r="A957" s="3"/>
      <c r="B957" s="3"/>
      <c r="C957" s="29"/>
      <c r="D957" s="133">
        <f>Asset32</f>
        <v>0</v>
      </c>
      <c r="E957" s="3"/>
      <c r="F957" s="3"/>
      <c r="G957" s="1394">
        <f>'RFM input'!P38</f>
        <v>0</v>
      </c>
      <c r="H957" s="248"/>
      <c r="I957" s="248"/>
      <c r="J957" s="248"/>
      <c r="K957" s="248"/>
      <c r="L957" s="248"/>
      <c r="M957" s="248"/>
      <c r="N957" s="248"/>
      <c r="O957" s="248"/>
      <c r="P957" s="248"/>
      <c r="Q957" s="248"/>
      <c r="R957" s="248"/>
      <c r="S957" s="71"/>
      <c r="T957" s="71"/>
      <c r="U957" s="71"/>
      <c r="V957" s="71"/>
      <c r="W957" s="71"/>
      <c r="X957" s="71"/>
      <c r="Y957" s="71"/>
      <c r="Z957" s="71"/>
    </row>
    <row r="958" spans="1:26" ht="12.75" hidden="1" customHeight="1" outlineLevel="1">
      <c r="A958" s="3"/>
      <c r="B958" s="3"/>
      <c r="C958" s="29"/>
      <c r="D958" s="133">
        <f>Asset33</f>
        <v>0</v>
      </c>
      <c r="E958" s="3"/>
      <c r="F958" s="3"/>
      <c r="G958" s="1394">
        <f>'RFM input'!P39</f>
        <v>0</v>
      </c>
      <c r="H958" s="248"/>
      <c r="I958" s="248"/>
      <c r="J958" s="248"/>
      <c r="K958" s="248"/>
      <c r="L958" s="248"/>
      <c r="M958" s="248"/>
      <c r="N958" s="248"/>
      <c r="O958" s="248"/>
      <c r="P958" s="248"/>
      <c r="Q958" s="248"/>
      <c r="R958" s="248"/>
      <c r="S958" s="71"/>
      <c r="T958" s="71"/>
      <c r="U958" s="71"/>
      <c r="V958" s="71"/>
      <c r="W958" s="71"/>
      <c r="X958" s="71"/>
      <c r="Y958" s="71"/>
      <c r="Z958" s="71"/>
    </row>
    <row r="959" spans="1:26" ht="12.75" hidden="1" customHeight="1" outlineLevel="1">
      <c r="A959" s="3"/>
      <c r="B959" s="3"/>
      <c r="C959" s="29"/>
      <c r="D959" s="133">
        <f>Asset34</f>
        <v>0</v>
      </c>
      <c r="E959" s="3"/>
      <c r="F959" s="3"/>
      <c r="G959" s="1394">
        <f>'RFM input'!P40</f>
        <v>0</v>
      </c>
      <c r="H959" s="248"/>
      <c r="I959" s="248"/>
      <c r="J959" s="248"/>
      <c r="K959" s="248"/>
      <c r="L959" s="248"/>
      <c r="M959" s="248"/>
      <c r="N959" s="248"/>
      <c r="O959" s="248"/>
      <c r="P959" s="248"/>
      <c r="Q959" s="248"/>
      <c r="R959" s="248"/>
      <c r="S959" s="71"/>
      <c r="T959" s="71"/>
      <c r="U959" s="71"/>
      <c r="V959" s="71"/>
      <c r="W959" s="71"/>
      <c r="X959" s="71"/>
      <c r="Y959" s="71"/>
      <c r="Z959" s="71"/>
    </row>
    <row r="960" spans="1:26" ht="12.75" hidden="1" customHeight="1" outlineLevel="1">
      <c r="A960" s="3"/>
      <c r="B960" s="3"/>
      <c r="C960" s="29"/>
      <c r="D960" s="133">
        <f>Asset35</f>
        <v>0</v>
      </c>
      <c r="E960" s="3"/>
      <c r="F960" s="3"/>
      <c r="G960" s="1394">
        <f>'RFM input'!P41</f>
        <v>0</v>
      </c>
      <c r="H960" s="248"/>
      <c r="I960" s="248"/>
      <c r="J960" s="248"/>
      <c r="K960" s="248"/>
      <c r="L960" s="248"/>
      <c r="M960" s="248"/>
      <c r="N960" s="248"/>
      <c r="O960" s="248"/>
      <c r="P960" s="248"/>
      <c r="Q960" s="248"/>
      <c r="R960" s="248"/>
      <c r="S960" s="71"/>
      <c r="T960" s="71"/>
      <c r="U960" s="71"/>
      <c r="V960" s="71"/>
      <c r="W960" s="71"/>
      <c r="X960" s="71"/>
      <c r="Y960" s="71"/>
      <c r="Z960" s="71"/>
    </row>
    <row r="961" spans="1:26" ht="12.75" hidden="1" customHeight="1" outlineLevel="1">
      <c r="A961" s="3"/>
      <c r="B961" s="3"/>
      <c r="C961" s="29"/>
      <c r="D961" s="133">
        <f>Asset36</f>
        <v>0</v>
      </c>
      <c r="E961" s="3"/>
      <c r="F961" s="3"/>
      <c r="G961" s="1394">
        <f>'RFM input'!P42</f>
        <v>0</v>
      </c>
      <c r="H961" s="248"/>
      <c r="I961" s="248"/>
      <c r="J961" s="248"/>
      <c r="K961" s="248"/>
      <c r="L961" s="248"/>
      <c r="M961" s="248"/>
      <c r="N961" s="248"/>
      <c r="O961" s="248"/>
      <c r="P961" s="248"/>
      <c r="Q961" s="248"/>
      <c r="R961" s="248"/>
      <c r="S961" s="71"/>
      <c r="T961" s="71"/>
      <c r="U961" s="71"/>
      <c r="V961" s="71"/>
      <c r="W961" s="71"/>
      <c r="X961" s="71"/>
      <c r="Y961" s="71"/>
      <c r="Z961" s="71"/>
    </row>
    <row r="962" spans="1:26" ht="12.75" hidden="1" customHeight="1" outlineLevel="1">
      <c r="A962" s="3"/>
      <c r="B962" s="3"/>
      <c r="C962" s="29"/>
      <c r="D962" s="133">
        <f>Asset37</f>
        <v>0</v>
      </c>
      <c r="E962" s="3"/>
      <c r="F962" s="3"/>
      <c r="G962" s="1394">
        <f>'RFM input'!P43</f>
        <v>0</v>
      </c>
      <c r="H962" s="248"/>
      <c r="I962" s="248"/>
      <c r="J962" s="248"/>
      <c r="K962" s="248"/>
      <c r="L962" s="248"/>
      <c r="M962" s="248"/>
      <c r="N962" s="248"/>
      <c r="O962" s="248"/>
      <c r="P962" s="248"/>
      <c r="Q962" s="248"/>
      <c r="R962" s="248"/>
      <c r="S962" s="71"/>
      <c r="T962" s="71"/>
      <c r="U962" s="71"/>
      <c r="V962" s="71"/>
      <c r="W962" s="71"/>
      <c r="X962" s="71"/>
      <c r="Y962" s="71"/>
      <c r="Z962" s="71"/>
    </row>
    <row r="963" spans="1:26" ht="12.75" hidden="1" customHeight="1" outlineLevel="1">
      <c r="A963" s="3"/>
      <c r="B963" s="3"/>
      <c r="C963" s="29"/>
      <c r="D963" s="133">
        <f>Asset38</f>
        <v>0</v>
      </c>
      <c r="E963" s="3"/>
      <c r="F963" s="3"/>
      <c r="G963" s="1394">
        <f>'RFM input'!P44</f>
        <v>0</v>
      </c>
      <c r="H963" s="248"/>
      <c r="I963" s="248"/>
      <c r="J963" s="248"/>
      <c r="K963" s="248"/>
      <c r="L963" s="248"/>
      <c r="M963" s="248"/>
      <c r="N963" s="248"/>
      <c r="O963" s="248"/>
      <c r="P963" s="248"/>
      <c r="Q963" s="248"/>
      <c r="R963" s="248"/>
      <c r="S963" s="71"/>
      <c r="T963" s="71"/>
      <c r="U963" s="71"/>
      <c r="V963" s="71"/>
      <c r="W963" s="71"/>
      <c r="X963" s="71"/>
      <c r="Y963" s="71"/>
      <c r="Z963" s="71"/>
    </row>
    <row r="964" spans="1:26" ht="12.75" hidden="1" customHeight="1" outlineLevel="1">
      <c r="A964" s="3"/>
      <c r="B964" s="3"/>
      <c r="C964" s="29"/>
      <c r="D964" s="133">
        <f>Asset39</f>
        <v>0</v>
      </c>
      <c r="E964" s="3"/>
      <c r="F964" s="3"/>
      <c r="G964" s="1394">
        <f>'RFM input'!P45</f>
        <v>0</v>
      </c>
      <c r="H964" s="248"/>
      <c r="I964" s="248"/>
      <c r="J964" s="248"/>
      <c r="K964" s="248"/>
      <c r="L964" s="248"/>
      <c r="M964" s="248"/>
      <c r="N964" s="248"/>
      <c r="O964" s="248"/>
      <c r="P964" s="248"/>
      <c r="Q964" s="248"/>
      <c r="R964" s="248"/>
      <c r="S964" s="71"/>
      <c r="T964" s="71"/>
      <c r="U964" s="71"/>
      <c r="V964" s="71"/>
      <c r="W964" s="71"/>
      <c r="X964" s="71"/>
      <c r="Y964" s="71"/>
      <c r="Z964" s="71"/>
    </row>
    <row r="965" spans="1:26" ht="12.75" hidden="1" customHeight="1" outlineLevel="1">
      <c r="A965" s="3"/>
      <c r="B965" s="3"/>
      <c r="C965" s="29"/>
      <c r="D965" s="133">
        <f>Asset40</f>
        <v>0</v>
      </c>
      <c r="E965" s="3"/>
      <c r="F965" s="3"/>
      <c r="G965" s="1394">
        <f>'RFM input'!P46</f>
        <v>0</v>
      </c>
      <c r="H965" s="248"/>
      <c r="I965" s="248"/>
      <c r="J965" s="248"/>
      <c r="K965" s="248"/>
      <c r="L965" s="248"/>
      <c r="M965" s="248"/>
      <c r="N965" s="248"/>
      <c r="O965" s="248"/>
      <c r="P965" s="248"/>
      <c r="Q965" s="248"/>
      <c r="R965" s="248"/>
      <c r="S965" s="71"/>
      <c r="T965" s="71"/>
      <c r="U965" s="71"/>
      <c r="V965" s="71"/>
      <c r="W965" s="71"/>
      <c r="X965" s="71"/>
      <c r="Y965" s="71"/>
      <c r="Z965" s="71"/>
    </row>
    <row r="966" spans="1:26" ht="12.75" hidden="1" customHeight="1" outlineLevel="1">
      <c r="A966" s="3"/>
      <c r="B966" s="3"/>
      <c r="C966" s="29"/>
      <c r="D966" s="133">
        <f>Asset41</f>
        <v>0</v>
      </c>
      <c r="E966" s="3"/>
      <c r="F966" s="3"/>
      <c r="G966" s="1394">
        <f>'RFM input'!P47</f>
        <v>0</v>
      </c>
      <c r="H966" s="248"/>
      <c r="I966" s="248"/>
      <c r="J966" s="248"/>
      <c r="K966" s="248"/>
      <c r="L966" s="248"/>
      <c r="M966" s="248"/>
      <c r="N966" s="248"/>
      <c r="O966" s="248"/>
      <c r="P966" s="248"/>
      <c r="Q966" s="248"/>
      <c r="R966" s="248"/>
      <c r="S966" s="71"/>
      <c r="T966" s="71"/>
      <c r="U966" s="71"/>
      <c r="V966" s="71"/>
      <c r="W966" s="71"/>
      <c r="X966" s="71"/>
      <c r="Y966" s="71"/>
      <c r="Z966" s="71"/>
    </row>
    <row r="967" spans="1:26" ht="12.75" hidden="1" customHeight="1" outlineLevel="1">
      <c r="A967" s="3"/>
      <c r="B967" s="3"/>
      <c r="C967" s="29"/>
      <c r="D967" s="133">
        <f>Asset42</f>
        <v>0</v>
      </c>
      <c r="E967" s="3"/>
      <c r="F967" s="3"/>
      <c r="G967" s="1394">
        <f>'RFM input'!P48</f>
        <v>0</v>
      </c>
      <c r="H967" s="248"/>
      <c r="I967" s="248"/>
      <c r="J967" s="248"/>
      <c r="K967" s="248"/>
      <c r="L967" s="248"/>
      <c r="M967" s="248"/>
      <c r="N967" s="248"/>
      <c r="O967" s="248"/>
      <c r="P967" s="248"/>
      <c r="Q967" s="248"/>
      <c r="R967" s="248"/>
      <c r="S967" s="71"/>
      <c r="T967" s="71"/>
      <c r="U967" s="71"/>
      <c r="V967" s="71"/>
      <c r="W967" s="71"/>
      <c r="X967" s="71"/>
      <c r="Y967" s="71"/>
      <c r="Z967" s="71"/>
    </row>
    <row r="968" spans="1:26" ht="12.75" hidden="1" customHeight="1" outlineLevel="1">
      <c r="A968" s="3"/>
      <c r="B968" s="3"/>
      <c r="C968" s="29"/>
      <c r="D968" s="133">
        <f>Asset43</f>
        <v>0</v>
      </c>
      <c r="E968" s="3"/>
      <c r="F968" s="3"/>
      <c r="G968" s="1394">
        <f>'RFM input'!P49</f>
        <v>0</v>
      </c>
      <c r="H968" s="248"/>
      <c r="I968" s="248"/>
      <c r="J968" s="248"/>
      <c r="K968" s="248"/>
      <c r="L968" s="248"/>
      <c r="M968" s="248"/>
      <c r="N968" s="248"/>
      <c r="O968" s="248"/>
      <c r="P968" s="248"/>
      <c r="Q968" s="248"/>
      <c r="R968" s="248"/>
      <c r="S968" s="71"/>
      <c r="T968" s="71"/>
      <c r="U968" s="71"/>
      <c r="V968" s="71"/>
      <c r="W968" s="71"/>
      <c r="X968" s="71"/>
      <c r="Y968" s="71"/>
      <c r="Z968" s="71"/>
    </row>
    <row r="969" spans="1:26" ht="12.75" hidden="1" customHeight="1" outlineLevel="1">
      <c r="A969" s="3"/>
      <c r="B969" s="3"/>
      <c r="C969" s="29"/>
      <c r="D969" s="133">
        <f>Asset44</f>
        <v>0</v>
      </c>
      <c r="E969" s="3"/>
      <c r="F969" s="3"/>
      <c r="G969" s="1394">
        <f>'RFM input'!P50</f>
        <v>0</v>
      </c>
      <c r="H969" s="248"/>
      <c r="I969" s="248"/>
      <c r="J969" s="248"/>
      <c r="K969" s="248"/>
      <c r="L969" s="248"/>
      <c r="M969" s="248"/>
      <c r="N969" s="248"/>
      <c r="O969" s="248"/>
      <c r="P969" s="248"/>
      <c r="Q969" s="248"/>
      <c r="R969" s="248"/>
      <c r="S969" s="71"/>
      <c r="T969" s="71"/>
      <c r="U969" s="71"/>
      <c r="V969" s="71"/>
      <c r="W969" s="71"/>
      <c r="X969" s="71"/>
      <c r="Y969" s="71"/>
      <c r="Z969" s="71"/>
    </row>
    <row r="970" spans="1:26" ht="12.75" hidden="1" customHeight="1" outlineLevel="1">
      <c r="A970" s="3"/>
      <c r="B970" s="3"/>
      <c r="C970" s="29"/>
      <c r="D970" s="133">
        <f>Asset45</f>
        <v>0</v>
      </c>
      <c r="E970" s="3"/>
      <c r="F970" s="3"/>
      <c r="G970" s="1394">
        <f>'RFM input'!P51</f>
        <v>0</v>
      </c>
      <c r="H970" s="248"/>
      <c r="I970" s="248"/>
      <c r="J970" s="248"/>
      <c r="K970" s="248"/>
      <c r="L970" s="248"/>
      <c r="M970" s="248"/>
      <c r="N970" s="248"/>
      <c r="O970" s="248"/>
      <c r="P970" s="248"/>
      <c r="Q970" s="248"/>
      <c r="R970" s="248"/>
      <c r="S970" s="71"/>
      <c r="T970" s="71"/>
      <c r="U970" s="71"/>
      <c r="V970" s="71"/>
      <c r="W970" s="71"/>
      <c r="X970" s="71"/>
      <c r="Y970" s="71"/>
      <c r="Z970" s="71"/>
    </row>
    <row r="971" spans="1:26" ht="12.75" hidden="1" customHeight="1" outlineLevel="1">
      <c r="A971" s="3"/>
      <c r="B971" s="3"/>
      <c r="C971" s="29"/>
      <c r="D971" s="133">
        <f>Asset46</f>
        <v>0</v>
      </c>
      <c r="E971" s="3"/>
      <c r="F971" s="3"/>
      <c r="G971" s="1394">
        <f>'RFM input'!P52</f>
        <v>0</v>
      </c>
      <c r="H971" s="248"/>
      <c r="I971" s="248"/>
      <c r="J971" s="248"/>
      <c r="K971" s="248"/>
      <c r="L971" s="248"/>
      <c r="M971" s="248"/>
      <c r="N971" s="248"/>
      <c r="O971" s="248"/>
      <c r="P971" s="248"/>
      <c r="Q971" s="248"/>
      <c r="R971" s="248"/>
      <c r="S971" s="71"/>
      <c r="T971" s="71"/>
      <c r="U971" s="71"/>
      <c r="V971" s="71"/>
      <c r="W971" s="71"/>
      <c r="X971" s="71"/>
      <c r="Y971" s="71"/>
      <c r="Z971" s="71"/>
    </row>
    <row r="972" spans="1:26" ht="12.75" hidden="1" customHeight="1" outlineLevel="1">
      <c r="A972" s="3"/>
      <c r="B972" s="3"/>
      <c r="C972" s="29"/>
      <c r="D972" s="133">
        <f>Asset47</f>
        <v>0</v>
      </c>
      <c r="E972" s="3"/>
      <c r="F972" s="3"/>
      <c r="G972" s="1394">
        <f>'RFM input'!P53</f>
        <v>0</v>
      </c>
      <c r="H972" s="248"/>
      <c r="I972" s="248"/>
      <c r="J972" s="248"/>
      <c r="K972" s="248"/>
      <c r="L972" s="248"/>
      <c r="M972" s="248"/>
      <c r="N972" s="248"/>
      <c r="O972" s="248"/>
      <c r="P972" s="248"/>
      <c r="Q972" s="248"/>
      <c r="R972" s="248"/>
      <c r="S972" s="71"/>
      <c r="T972" s="71"/>
      <c r="U972" s="71"/>
      <c r="V972" s="71"/>
      <c r="W972" s="71"/>
      <c r="X972" s="71"/>
      <c r="Y972" s="71"/>
      <c r="Z972" s="71"/>
    </row>
    <row r="973" spans="1:26" ht="12.75" hidden="1" customHeight="1" outlineLevel="1">
      <c r="A973" s="3"/>
      <c r="B973" s="3"/>
      <c r="C973" s="29"/>
      <c r="D973" s="133">
        <f>Asset48</f>
        <v>0</v>
      </c>
      <c r="E973" s="3"/>
      <c r="F973" s="3"/>
      <c r="G973" s="1394">
        <f>'RFM input'!P54</f>
        <v>0</v>
      </c>
      <c r="H973" s="248"/>
      <c r="I973" s="248"/>
      <c r="J973" s="248"/>
      <c r="K973" s="248"/>
      <c r="L973" s="248"/>
      <c r="M973" s="248"/>
      <c r="N973" s="248"/>
      <c r="O973" s="248"/>
      <c r="P973" s="248"/>
      <c r="Q973" s="248"/>
      <c r="R973" s="248"/>
      <c r="S973" s="71"/>
      <c r="T973" s="71"/>
      <c r="U973" s="71"/>
      <c r="V973" s="71"/>
      <c r="W973" s="71"/>
      <c r="X973" s="71"/>
      <c r="Y973" s="71"/>
      <c r="Z973" s="71"/>
    </row>
    <row r="974" spans="1:26" ht="12.75" hidden="1" customHeight="1" outlineLevel="1">
      <c r="A974" s="3"/>
      <c r="B974" s="3"/>
      <c r="C974" s="29"/>
      <c r="D974" s="133">
        <f>Asset49</f>
        <v>0</v>
      </c>
      <c r="E974" s="3"/>
      <c r="F974" s="3"/>
      <c r="G974" s="1394">
        <f>'RFM input'!P55</f>
        <v>0</v>
      </c>
      <c r="H974" s="248"/>
      <c r="I974" s="248"/>
      <c r="J974" s="248"/>
      <c r="K974" s="248"/>
      <c r="L974" s="248"/>
      <c r="M974" s="248"/>
      <c r="N974" s="248"/>
      <c r="O974" s="248"/>
      <c r="P974" s="248"/>
      <c r="Q974" s="248"/>
      <c r="R974" s="248"/>
      <c r="S974" s="71"/>
      <c r="T974" s="71"/>
      <c r="U974" s="71"/>
      <c r="V974" s="71"/>
      <c r="W974" s="71"/>
      <c r="X974" s="71"/>
      <c r="Y974" s="71"/>
      <c r="Z974" s="71"/>
    </row>
    <row r="975" spans="1:26" ht="12.75" hidden="1" customHeight="1" outlineLevel="1">
      <c r="A975" s="3"/>
      <c r="B975" s="3"/>
      <c r="C975" s="29"/>
      <c r="D975" s="133">
        <f>Asset50</f>
        <v>0</v>
      </c>
      <c r="E975" s="3"/>
      <c r="F975" s="3"/>
      <c r="G975" s="1394">
        <f>'RFM input'!P56</f>
        <v>0</v>
      </c>
      <c r="H975" s="248"/>
      <c r="I975" s="248"/>
      <c r="J975" s="248"/>
      <c r="K975" s="248"/>
      <c r="L975" s="248"/>
      <c r="M975" s="248"/>
      <c r="N975" s="248"/>
      <c r="O975" s="248"/>
      <c r="P975" s="248"/>
      <c r="Q975" s="248"/>
      <c r="R975" s="248"/>
      <c r="S975" s="71"/>
      <c r="T975" s="71"/>
      <c r="U975" s="71"/>
      <c r="V975" s="71"/>
      <c r="W975" s="71"/>
      <c r="X975" s="71"/>
      <c r="Y975" s="71"/>
      <c r="Z975" s="71"/>
    </row>
    <row r="976" spans="1:26" collapsed="1">
      <c r="A976" s="3"/>
      <c r="B976" s="3"/>
      <c r="C976" s="29"/>
      <c r="D976" s="81"/>
      <c r="E976" s="3"/>
      <c r="F976" s="3"/>
      <c r="G976" s="1395"/>
      <c r="H976" s="248"/>
      <c r="I976" s="248"/>
      <c r="J976" s="248"/>
      <c r="K976" s="248"/>
      <c r="L976" s="248"/>
      <c r="M976" s="248"/>
      <c r="N976" s="248"/>
      <c r="O976" s="248"/>
      <c r="P976" s="248"/>
      <c r="Q976" s="248"/>
      <c r="R976" s="248"/>
      <c r="S976" s="71"/>
      <c r="T976" s="71"/>
      <c r="U976" s="71"/>
      <c r="V976" s="71"/>
      <c r="W976" s="71"/>
      <c r="X976" s="71"/>
      <c r="Y976" s="71"/>
      <c r="Z976" s="71"/>
    </row>
    <row r="977" spans="1:26">
      <c r="A977" s="3"/>
      <c r="B977" s="3"/>
      <c r="C977" s="155" t="s">
        <v>67</v>
      </c>
      <c r="D977" s="232"/>
      <c r="E977" s="3"/>
      <c r="F977" s="3"/>
      <c r="G977" s="1395">
        <f>SUM(G978:G1027)</f>
        <v>0</v>
      </c>
      <c r="H977" s="1341"/>
      <c r="I977" s="1341"/>
      <c r="J977" s="1341"/>
      <c r="K977" s="1341"/>
      <c r="L977" s="1341"/>
      <c r="M977" s="1341"/>
      <c r="N977" s="248"/>
      <c r="O977" s="248"/>
      <c r="P977" s="248"/>
      <c r="Q977" s="248"/>
      <c r="R977" s="248"/>
      <c r="S977" s="71"/>
      <c r="T977" s="71"/>
      <c r="U977" s="71"/>
      <c r="V977" s="71"/>
      <c r="W977" s="71"/>
      <c r="X977" s="71"/>
      <c r="Y977" s="71"/>
      <c r="Z977" s="71"/>
    </row>
    <row r="978" spans="1:26" ht="12.75" hidden="1" customHeight="1" outlineLevel="1">
      <c r="A978" s="3"/>
      <c r="B978" s="3"/>
      <c r="C978" s="29"/>
      <c r="D978" s="133" t="str">
        <f>Asset1</f>
        <v>Mains</v>
      </c>
      <c r="E978" s="3"/>
      <c r="F978" s="3"/>
      <c r="G978" s="1394">
        <f>'RFM input'!Q7</f>
        <v>0</v>
      </c>
      <c r="H978" s="1341"/>
      <c r="I978" s="1341"/>
      <c r="J978" s="1341"/>
      <c r="K978" s="1341"/>
      <c r="L978" s="1341"/>
      <c r="M978" s="1341"/>
      <c r="N978" s="248"/>
      <c r="O978" s="248"/>
      <c r="P978" s="248"/>
      <c r="Q978" s="248"/>
      <c r="R978" s="248"/>
      <c r="S978" s="71"/>
      <c r="T978" s="71"/>
      <c r="U978" s="71"/>
      <c r="V978" s="71"/>
      <c r="W978" s="71"/>
      <c r="X978" s="71"/>
      <c r="Y978" s="71"/>
      <c r="Z978" s="71"/>
    </row>
    <row r="979" spans="1:26" ht="12.75" hidden="1" customHeight="1" outlineLevel="1">
      <c r="A979" s="3"/>
      <c r="B979" s="3"/>
      <c r="C979" s="29"/>
      <c r="D979" s="133" t="str">
        <f>Asset2</f>
        <v>Inlets</v>
      </c>
      <c r="E979" s="3"/>
      <c r="F979" s="3"/>
      <c r="G979" s="1394">
        <f>'RFM input'!Q8</f>
        <v>0</v>
      </c>
      <c r="H979" s="1341"/>
      <c r="I979" s="1341"/>
      <c r="J979" s="1341"/>
      <c r="K979" s="1341"/>
      <c r="L979" s="1341"/>
      <c r="M979" s="1341"/>
      <c r="N979" s="248"/>
      <c r="O979" s="248"/>
      <c r="P979" s="248"/>
      <c r="Q979" s="248"/>
      <c r="R979" s="248"/>
      <c r="S979" s="71"/>
      <c r="T979" s="71"/>
      <c r="U979" s="71"/>
      <c r="V979" s="71"/>
      <c r="W979" s="71"/>
      <c r="X979" s="71"/>
      <c r="Y979" s="71"/>
      <c r="Z979" s="71"/>
    </row>
    <row r="980" spans="1:26" ht="12.75" hidden="1" customHeight="1" outlineLevel="1">
      <c r="A980" s="3"/>
      <c r="B980" s="3"/>
      <c r="C980" s="29"/>
      <c r="D980" s="133" t="str">
        <f>Asset3</f>
        <v>Meters</v>
      </c>
      <c r="E980" s="3"/>
      <c r="F980" s="3"/>
      <c r="G980" s="1394">
        <f>'RFM input'!Q9</f>
        <v>0</v>
      </c>
      <c r="H980" s="1341"/>
      <c r="I980" s="1341"/>
      <c r="J980" s="1341"/>
      <c r="K980" s="1341"/>
      <c r="L980" s="1341"/>
      <c r="M980" s="1341"/>
      <c r="N980" s="248"/>
      <c r="O980" s="248"/>
      <c r="P980" s="248"/>
      <c r="Q980" s="248"/>
      <c r="R980" s="248"/>
      <c r="S980" s="71"/>
      <c r="T980" s="71"/>
      <c r="U980" s="71"/>
      <c r="V980" s="71"/>
      <c r="W980" s="71"/>
      <c r="X980" s="71"/>
      <c r="Y980" s="71"/>
      <c r="Z980" s="71"/>
    </row>
    <row r="981" spans="1:26" ht="12.75" hidden="1" customHeight="1" outlineLevel="1">
      <c r="A981" s="3"/>
      <c r="B981" s="3"/>
      <c r="C981" s="29"/>
      <c r="D981" s="133" t="str">
        <f>Asset4</f>
        <v>Telemetry</v>
      </c>
      <c r="E981" s="3"/>
      <c r="F981" s="3"/>
      <c r="G981" s="1394">
        <f>'RFM input'!Q10</f>
        <v>0</v>
      </c>
      <c r="H981" s="1341"/>
      <c r="I981" s="1341"/>
      <c r="J981" s="1341"/>
      <c r="K981" s="1341"/>
      <c r="L981" s="1341"/>
      <c r="M981" s="1341"/>
      <c r="N981" s="248"/>
      <c r="O981" s="248"/>
      <c r="P981" s="248"/>
      <c r="Q981" s="248"/>
      <c r="R981" s="248"/>
      <c r="S981" s="71"/>
      <c r="T981" s="71"/>
      <c r="U981" s="71"/>
      <c r="V981" s="71"/>
      <c r="W981" s="71"/>
      <c r="X981" s="71"/>
      <c r="Y981" s="71"/>
      <c r="Z981" s="71"/>
    </row>
    <row r="982" spans="1:26" ht="12.75" hidden="1" customHeight="1" outlineLevel="1">
      <c r="A982" s="3"/>
      <c r="B982" s="3"/>
      <c r="C982" s="29"/>
      <c r="D982" s="133" t="str">
        <f>Asset5</f>
        <v>IT System</v>
      </c>
      <c r="E982" s="3"/>
      <c r="F982" s="3"/>
      <c r="G982" s="1394">
        <f>'RFM input'!Q11</f>
        <v>0</v>
      </c>
      <c r="H982" s="1341"/>
      <c r="I982" s="1341"/>
      <c r="J982" s="1341"/>
      <c r="K982" s="1341"/>
      <c r="L982" s="1341"/>
      <c r="M982" s="1341"/>
      <c r="N982" s="248"/>
      <c r="O982" s="248"/>
      <c r="P982" s="248"/>
      <c r="Q982" s="248"/>
      <c r="R982" s="248"/>
      <c r="S982" s="71"/>
      <c r="T982" s="71"/>
      <c r="U982" s="71"/>
      <c r="V982" s="71"/>
      <c r="W982" s="71"/>
      <c r="X982" s="71"/>
      <c r="Y982" s="71"/>
      <c r="Z982" s="71"/>
    </row>
    <row r="983" spans="1:26" ht="12.75" hidden="1" customHeight="1" outlineLevel="1">
      <c r="A983" s="3"/>
      <c r="B983" s="3"/>
      <c r="C983" s="29"/>
      <c r="D983" s="133" t="str">
        <f>Asset6</f>
        <v>Other Distribution System Equipment</v>
      </c>
      <c r="E983" s="3"/>
      <c r="F983" s="3"/>
      <c r="G983" s="1394">
        <f>'RFM input'!Q12</f>
        <v>0</v>
      </c>
      <c r="H983" s="1341"/>
      <c r="I983" s="1341"/>
      <c r="J983" s="1341"/>
      <c r="K983" s="1341"/>
      <c r="L983" s="1341"/>
      <c r="M983" s="1341"/>
      <c r="N983" s="248"/>
      <c r="O983" s="248"/>
      <c r="P983" s="248"/>
      <c r="Q983" s="248"/>
      <c r="R983" s="248"/>
      <c r="S983" s="71"/>
      <c r="T983" s="71"/>
      <c r="U983" s="71"/>
      <c r="V983" s="71"/>
      <c r="W983" s="71"/>
      <c r="X983" s="71"/>
      <c r="Y983" s="71"/>
      <c r="Z983" s="71"/>
    </row>
    <row r="984" spans="1:26" ht="12.75" hidden="1" customHeight="1" outlineLevel="1">
      <c r="A984" s="3"/>
      <c r="B984" s="3"/>
      <c r="C984" s="29"/>
      <c r="D984" s="133" t="str">
        <f>Asset7</f>
        <v>Other</v>
      </c>
      <c r="E984" s="3"/>
      <c r="F984" s="3"/>
      <c r="G984" s="1394">
        <f>'RFM input'!Q13</f>
        <v>0</v>
      </c>
      <c r="H984" s="1341"/>
      <c r="I984" s="1341"/>
      <c r="J984" s="1341"/>
      <c r="K984" s="1341"/>
      <c r="L984" s="1341"/>
      <c r="M984" s="1341"/>
      <c r="N984" s="248"/>
      <c r="O984" s="248"/>
      <c r="P984" s="248"/>
      <c r="Q984" s="248"/>
      <c r="R984" s="248"/>
      <c r="S984" s="71"/>
      <c r="T984" s="71"/>
      <c r="U984" s="71"/>
      <c r="V984" s="71"/>
      <c r="W984" s="71"/>
      <c r="X984" s="71"/>
      <c r="Y984" s="71"/>
      <c r="Z984" s="71"/>
    </row>
    <row r="985" spans="1:26" ht="12.75" hidden="1" customHeight="1" outlineLevel="1">
      <c r="A985" s="3"/>
      <c r="B985" s="3"/>
      <c r="C985" s="29"/>
      <c r="D985" s="133">
        <f>Asset8</f>
        <v>0</v>
      </c>
      <c r="E985" s="3"/>
      <c r="F985" s="3"/>
      <c r="G985" s="1394">
        <f>'RFM input'!Q14</f>
        <v>0</v>
      </c>
      <c r="H985" s="1341"/>
      <c r="I985" s="1341"/>
      <c r="J985" s="1341"/>
      <c r="K985" s="1341"/>
      <c r="L985" s="1341"/>
      <c r="M985" s="1341"/>
      <c r="N985" s="248"/>
      <c r="O985" s="248"/>
      <c r="P985" s="248"/>
      <c r="Q985" s="248"/>
      <c r="R985" s="248"/>
      <c r="S985" s="71"/>
      <c r="T985" s="71"/>
      <c r="U985" s="71"/>
      <c r="V985" s="71"/>
      <c r="W985" s="71"/>
      <c r="X985" s="71"/>
      <c r="Y985" s="71"/>
      <c r="Z985" s="71"/>
    </row>
    <row r="986" spans="1:26" ht="12.75" hidden="1" customHeight="1" outlineLevel="1">
      <c r="A986" s="3"/>
      <c r="B986" s="3"/>
      <c r="C986" s="29"/>
      <c r="D986" s="133">
        <f>Asset9</f>
        <v>0</v>
      </c>
      <c r="E986" s="3"/>
      <c r="F986" s="3"/>
      <c r="G986" s="1394">
        <f>'RFM input'!Q15</f>
        <v>0</v>
      </c>
      <c r="H986" s="1341"/>
      <c r="I986" s="1341"/>
      <c r="J986" s="1341"/>
      <c r="K986" s="1341"/>
      <c r="L986" s="1341"/>
      <c r="M986" s="1341"/>
      <c r="N986" s="248"/>
      <c r="O986" s="248"/>
      <c r="P986" s="248"/>
      <c r="Q986" s="248"/>
      <c r="R986" s="248"/>
      <c r="S986" s="71"/>
      <c r="T986" s="71"/>
      <c r="U986" s="71"/>
      <c r="V986" s="71"/>
      <c r="W986" s="71"/>
      <c r="X986" s="71"/>
      <c r="Y986" s="71"/>
      <c r="Z986" s="71"/>
    </row>
    <row r="987" spans="1:26" ht="12.75" hidden="1" customHeight="1" outlineLevel="1">
      <c r="A987" s="3"/>
      <c r="B987" s="3"/>
      <c r="C987" s="29"/>
      <c r="D987" s="133">
        <f>Asset10</f>
        <v>0</v>
      </c>
      <c r="E987" s="3"/>
      <c r="F987" s="3"/>
      <c r="G987" s="1394">
        <f>'RFM input'!Q16</f>
        <v>0</v>
      </c>
      <c r="H987" s="1341"/>
      <c r="I987" s="1341"/>
      <c r="J987" s="1341"/>
      <c r="K987" s="1341"/>
      <c r="L987" s="1341"/>
      <c r="M987" s="1341"/>
      <c r="N987" s="248"/>
      <c r="O987" s="248"/>
      <c r="P987" s="248"/>
      <c r="Q987" s="248"/>
      <c r="R987" s="248"/>
      <c r="S987" s="71"/>
      <c r="T987" s="71"/>
      <c r="U987" s="71"/>
      <c r="V987" s="71"/>
      <c r="W987" s="71"/>
      <c r="X987" s="71"/>
      <c r="Y987" s="71"/>
      <c r="Z987" s="71"/>
    </row>
    <row r="988" spans="1:26" ht="12.75" hidden="1" customHeight="1" outlineLevel="1">
      <c r="A988" s="3"/>
      <c r="B988" s="3"/>
      <c r="C988" s="29"/>
      <c r="D988" s="133">
        <f>Asset11</f>
        <v>0</v>
      </c>
      <c r="E988" s="3"/>
      <c r="F988" s="3"/>
      <c r="G988" s="1394">
        <f>'RFM input'!Q17</f>
        <v>0</v>
      </c>
      <c r="H988" s="1341"/>
      <c r="I988" s="1341"/>
      <c r="J988" s="1341"/>
      <c r="K988" s="1341"/>
      <c r="L988" s="1341"/>
      <c r="M988" s="1341"/>
      <c r="N988" s="248"/>
      <c r="O988" s="248"/>
      <c r="P988" s="248"/>
      <c r="Q988" s="248"/>
      <c r="R988" s="248"/>
      <c r="S988" s="71"/>
      <c r="T988" s="71"/>
      <c r="U988" s="71"/>
      <c r="V988" s="71"/>
      <c r="W988" s="71"/>
      <c r="X988" s="71"/>
      <c r="Y988" s="71"/>
      <c r="Z988" s="71"/>
    </row>
    <row r="989" spans="1:26" ht="12.75" hidden="1" customHeight="1" outlineLevel="1">
      <c r="A989" s="3"/>
      <c r="B989" s="3"/>
      <c r="C989" s="29"/>
      <c r="D989" s="133">
        <f>Asset12</f>
        <v>0</v>
      </c>
      <c r="E989" s="3"/>
      <c r="F989" s="3"/>
      <c r="G989" s="1394">
        <f>'RFM input'!Q18</f>
        <v>0</v>
      </c>
      <c r="H989" s="1341"/>
      <c r="I989" s="1341"/>
      <c r="J989" s="1341"/>
      <c r="K989" s="1341"/>
      <c r="L989" s="1341"/>
      <c r="M989" s="1341"/>
      <c r="N989" s="248"/>
      <c r="O989" s="248"/>
      <c r="P989" s="248"/>
      <c r="Q989" s="248"/>
      <c r="R989" s="248"/>
      <c r="S989" s="71"/>
      <c r="T989" s="71"/>
      <c r="U989" s="71"/>
      <c r="V989" s="71"/>
      <c r="W989" s="71"/>
      <c r="X989" s="71"/>
      <c r="Y989" s="71"/>
      <c r="Z989" s="71"/>
    </row>
    <row r="990" spans="1:26" ht="12.75" hidden="1" customHeight="1" outlineLevel="1">
      <c r="A990" s="3"/>
      <c r="B990" s="3"/>
      <c r="C990" s="29"/>
      <c r="D990" s="133">
        <f>Asset13</f>
        <v>0</v>
      </c>
      <c r="E990" s="3"/>
      <c r="F990" s="3"/>
      <c r="G990" s="1394">
        <f>'RFM input'!Q19</f>
        <v>0</v>
      </c>
      <c r="H990" s="1341"/>
      <c r="I990" s="1341"/>
      <c r="J990" s="1341"/>
      <c r="K990" s="1341"/>
      <c r="L990" s="1341"/>
      <c r="M990" s="1341"/>
      <c r="N990" s="248"/>
      <c r="O990" s="248"/>
      <c r="P990" s="248"/>
      <c r="Q990" s="248"/>
      <c r="R990" s="248"/>
      <c r="S990" s="71"/>
      <c r="T990" s="71"/>
      <c r="U990" s="71"/>
      <c r="V990" s="71"/>
      <c r="W990" s="71"/>
      <c r="X990" s="71"/>
      <c r="Y990" s="71"/>
      <c r="Z990" s="71"/>
    </row>
    <row r="991" spans="1:26" ht="12.75" hidden="1" customHeight="1" outlineLevel="1">
      <c r="A991" s="3"/>
      <c r="B991" s="3"/>
      <c r="C991" s="29"/>
      <c r="D991" s="133">
        <f>Asset14</f>
        <v>0</v>
      </c>
      <c r="E991" s="3"/>
      <c r="F991" s="3"/>
      <c r="G991" s="1394">
        <f>'RFM input'!Q20</f>
        <v>0</v>
      </c>
      <c r="H991" s="1341"/>
      <c r="I991" s="1341"/>
      <c r="J991" s="1341"/>
      <c r="K991" s="1341"/>
      <c r="L991" s="1341"/>
      <c r="M991" s="1341"/>
      <c r="N991" s="248"/>
      <c r="O991" s="248"/>
      <c r="P991" s="248"/>
      <c r="Q991" s="248"/>
      <c r="R991" s="248"/>
      <c r="S991" s="71"/>
      <c r="T991" s="71"/>
      <c r="U991" s="71"/>
      <c r="V991" s="71"/>
      <c r="W991" s="71"/>
      <c r="X991" s="71"/>
      <c r="Y991" s="71"/>
      <c r="Z991" s="71"/>
    </row>
    <row r="992" spans="1:26" ht="12.75" hidden="1" customHeight="1" outlineLevel="1">
      <c r="A992" s="3"/>
      <c r="B992" s="3"/>
      <c r="C992" s="29"/>
      <c r="D992" s="133">
        <f>Asset15</f>
        <v>0</v>
      </c>
      <c r="E992" s="3"/>
      <c r="F992" s="3"/>
      <c r="G992" s="1394">
        <f>'RFM input'!Q21</f>
        <v>0</v>
      </c>
      <c r="H992" s="1341"/>
      <c r="I992" s="1341"/>
      <c r="J992" s="1341"/>
      <c r="K992" s="1341"/>
      <c r="L992" s="1341"/>
      <c r="M992" s="1341"/>
      <c r="N992" s="248"/>
      <c r="O992" s="248"/>
      <c r="P992" s="248"/>
      <c r="Q992" s="248"/>
      <c r="R992" s="248"/>
      <c r="S992" s="71"/>
      <c r="T992" s="71"/>
      <c r="U992" s="71"/>
      <c r="V992" s="71"/>
      <c r="W992" s="71"/>
      <c r="X992" s="71"/>
      <c r="Y992" s="71"/>
      <c r="Z992" s="71"/>
    </row>
    <row r="993" spans="1:26" ht="12.75" hidden="1" customHeight="1" outlineLevel="1">
      <c r="A993" s="3"/>
      <c r="B993" s="3"/>
      <c r="C993" s="29"/>
      <c r="D993" s="133">
        <f>Asset16</f>
        <v>0</v>
      </c>
      <c r="E993" s="3"/>
      <c r="F993" s="3"/>
      <c r="G993" s="1394">
        <f>'RFM input'!Q22</f>
        <v>0</v>
      </c>
      <c r="H993" s="1341"/>
      <c r="I993" s="1341"/>
      <c r="J993" s="1341"/>
      <c r="K993" s="1341"/>
      <c r="L993" s="1341"/>
      <c r="M993" s="1341"/>
      <c r="N993" s="248"/>
      <c r="O993" s="248"/>
      <c r="P993" s="248"/>
      <c r="Q993" s="248"/>
      <c r="R993" s="248"/>
      <c r="S993" s="71"/>
      <c r="T993" s="71"/>
      <c r="U993" s="71"/>
      <c r="V993" s="71"/>
      <c r="W993" s="71"/>
      <c r="X993" s="71"/>
      <c r="Y993" s="71"/>
      <c r="Z993" s="71"/>
    </row>
    <row r="994" spans="1:26" ht="12.75" hidden="1" customHeight="1" outlineLevel="1">
      <c r="A994" s="3"/>
      <c r="B994" s="3"/>
      <c r="C994" s="29"/>
      <c r="D994" s="133">
        <f>Asset17</f>
        <v>0</v>
      </c>
      <c r="E994" s="3"/>
      <c r="F994" s="3"/>
      <c r="G994" s="1394">
        <f>'RFM input'!Q23</f>
        <v>0</v>
      </c>
      <c r="H994" s="1341"/>
      <c r="I994" s="1341"/>
      <c r="J994" s="1341"/>
      <c r="K994" s="1341"/>
      <c r="L994" s="1341"/>
      <c r="M994" s="1341"/>
      <c r="N994" s="248"/>
      <c r="O994" s="248"/>
      <c r="P994" s="248"/>
      <c r="Q994" s="248"/>
      <c r="R994" s="248"/>
      <c r="S994" s="71"/>
      <c r="T994" s="71"/>
      <c r="U994" s="71"/>
      <c r="V994" s="71"/>
      <c r="W994" s="71"/>
      <c r="X994" s="71"/>
      <c r="Y994" s="71"/>
      <c r="Z994" s="71"/>
    </row>
    <row r="995" spans="1:26" ht="12.75" hidden="1" customHeight="1" outlineLevel="1">
      <c r="A995" s="3"/>
      <c r="B995" s="3"/>
      <c r="C995" s="29"/>
      <c r="D995" s="133">
        <f>Asset18</f>
        <v>0</v>
      </c>
      <c r="E995" s="3"/>
      <c r="F995" s="3"/>
      <c r="G995" s="1394">
        <f>'RFM input'!Q24</f>
        <v>0</v>
      </c>
      <c r="H995" s="1341"/>
      <c r="I995" s="1341"/>
      <c r="J995" s="1341"/>
      <c r="K995" s="1341"/>
      <c r="L995" s="1341"/>
      <c r="M995" s="1341"/>
      <c r="N995" s="248"/>
      <c r="O995" s="248"/>
      <c r="P995" s="248"/>
      <c r="Q995" s="248"/>
      <c r="R995" s="248"/>
      <c r="S995" s="71"/>
      <c r="T995" s="71"/>
      <c r="U995" s="71"/>
      <c r="V995" s="71"/>
      <c r="W995" s="71"/>
      <c r="X995" s="71"/>
      <c r="Y995" s="71"/>
      <c r="Z995" s="71"/>
    </row>
    <row r="996" spans="1:26" ht="12.75" hidden="1" customHeight="1" outlineLevel="1">
      <c r="A996" s="3"/>
      <c r="B996" s="3"/>
      <c r="C996" s="29"/>
      <c r="D996" s="133">
        <f>Asset19</f>
        <v>0</v>
      </c>
      <c r="E996" s="3"/>
      <c r="F996" s="3"/>
      <c r="G996" s="1394">
        <f>'RFM input'!Q25</f>
        <v>0</v>
      </c>
      <c r="H996" s="1341"/>
      <c r="I996" s="1341"/>
      <c r="J996" s="1341"/>
      <c r="K996" s="1341"/>
      <c r="L996" s="1341"/>
      <c r="M996" s="1341"/>
      <c r="N996" s="248"/>
      <c r="O996" s="248"/>
      <c r="P996" s="248"/>
      <c r="Q996" s="248"/>
      <c r="R996" s="248"/>
      <c r="S996" s="71"/>
      <c r="T996" s="71"/>
      <c r="U996" s="71"/>
      <c r="V996" s="71"/>
      <c r="W996" s="71"/>
      <c r="X996" s="71"/>
      <c r="Y996" s="71"/>
      <c r="Z996" s="71"/>
    </row>
    <row r="997" spans="1:26" ht="12.75" hidden="1" customHeight="1" outlineLevel="1">
      <c r="A997" s="3"/>
      <c r="B997" s="3"/>
      <c r="C997" s="29"/>
      <c r="D997" s="133">
        <f>Asset20</f>
        <v>0</v>
      </c>
      <c r="E997" s="3"/>
      <c r="F997" s="3"/>
      <c r="G997" s="1394">
        <f>'RFM input'!Q26</f>
        <v>0</v>
      </c>
      <c r="H997" s="1341"/>
      <c r="I997" s="1341"/>
      <c r="J997" s="1341"/>
      <c r="K997" s="1341"/>
      <c r="L997" s="1341"/>
      <c r="M997" s="1341"/>
      <c r="N997" s="248"/>
      <c r="O997" s="248"/>
      <c r="P997" s="248"/>
      <c r="Q997" s="248"/>
      <c r="R997" s="248"/>
      <c r="S997" s="71"/>
      <c r="T997" s="71"/>
      <c r="U997" s="71"/>
      <c r="V997" s="71"/>
      <c r="W997" s="71"/>
      <c r="X997" s="71"/>
      <c r="Y997" s="71"/>
      <c r="Z997" s="71"/>
    </row>
    <row r="998" spans="1:26" ht="12.75" hidden="1" customHeight="1" outlineLevel="1">
      <c r="A998" s="3"/>
      <c r="B998" s="3"/>
      <c r="C998" s="29"/>
      <c r="D998" s="133">
        <f>Asset21</f>
        <v>0</v>
      </c>
      <c r="E998" s="3"/>
      <c r="F998" s="3"/>
      <c r="G998" s="1394">
        <f>'RFM input'!Q27</f>
        <v>0</v>
      </c>
      <c r="H998" s="1341"/>
      <c r="I998" s="1341"/>
      <c r="J998" s="1341"/>
      <c r="K998" s="1341"/>
      <c r="L998" s="1341"/>
      <c r="M998" s="1341"/>
      <c r="N998" s="248"/>
      <c r="O998" s="248"/>
      <c r="P998" s="248"/>
      <c r="Q998" s="248"/>
      <c r="R998" s="248"/>
      <c r="S998" s="71"/>
      <c r="T998" s="71"/>
      <c r="U998" s="71"/>
      <c r="V998" s="71"/>
      <c r="W998" s="71"/>
      <c r="X998" s="71"/>
      <c r="Y998" s="71"/>
      <c r="Z998" s="71"/>
    </row>
    <row r="999" spans="1:26" ht="12.75" hidden="1" customHeight="1" outlineLevel="1">
      <c r="A999" s="3"/>
      <c r="B999" s="3"/>
      <c r="C999" s="29"/>
      <c r="D999" s="133">
        <f>Asset22</f>
        <v>0</v>
      </c>
      <c r="E999" s="3"/>
      <c r="F999" s="3"/>
      <c r="G999" s="1394">
        <f>'RFM input'!Q28</f>
        <v>0</v>
      </c>
      <c r="H999" s="1341"/>
      <c r="I999" s="1341"/>
      <c r="J999" s="1341"/>
      <c r="K999" s="1341"/>
      <c r="L999" s="1341"/>
      <c r="M999" s="1341"/>
      <c r="N999" s="248"/>
      <c r="O999" s="248"/>
      <c r="P999" s="248"/>
      <c r="Q999" s="248"/>
      <c r="R999" s="248"/>
      <c r="S999" s="71"/>
      <c r="T999" s="71"/>
      <c r="U999" s="71"/>
      <c r="V999" s="71"/>
      <c r="W999" s="71"/>
      <c r="X999" s="71"/>
      <c r="Y999" s="71"/>
      <c r="Z999" s="71"/>
    </row>
    <row r="1000" spans="1:26" ht="12.75" hidden="1" customHeight="1" outlineLevel="1">
      <c r="A1000" s="3"/>
      <c r="B1000" s="3"/>
      <c r="C1000" s="29"/>
      <c r="D1000" s="133">
        <f>Asset23</f>
        <v>0</v>
      </c>
      <c r="E1000" s="3"/>
      <c r="F1000" s="3"/>
      <c r="G1000" s="1394">
        <f>'RFM input'!Q29</f>
        <v>0</v>
      </c>
      <c r="H1000" s="1341"/>
      <c r="I1000" s="1341"/>
      <c r="J1000" s="1341"/>
      <c r="K1000" s="1341"/>
      <c r="L1000" s="1341"/>
      <c r="M1000" s="1341"/>
      <c r="N1000" s="248"/>
      <c r="O1000" s="248"/>
      <c r="P1000" s="248"/>
      <c r="Q1000" s="248"/>
      <c r="R1000" s="248"/>
      <c r="S1000" s="71"/>
      <c r="T1000" s="71"/>
      <c r="U1000" s="71"/>
      <c r="V1000" s="71"/>
      <c r="W1000" s="71"/>
      <c r="X1000" s="71"/>
      <c r="Y1000" s="71"/>
      <c r="Z1000" s="71"/>
    </row>
    <row r="1001" spans="1:26" ht="12.75" hidden="1" customHeight="1" outlineLevel="1">
      <c r="A1001" s="3"/>
      <c r="B1001" s="3"/>
      <c r="C1001" s="29"/>
      <c r="D1001" s="133">
        <f>Asset24</f>
        <v>0</v>
      </c>
      <c r="E1001" s="3"/>
      <c r="F1001" s="3"/>
      <c r="G1001" s="1394">
        <f>'RFM input'!Q30</f>
        <v>0</v>
      </c>
      <c r="H1001" s="1341"/>
      <c r="I1001" s="1341"/>
      <c r="J1001" s="1341"/>
      <c r="K1001" s="1341"/>
      <c r="L1001" s="1341"/>
      <c r="M1001" s="1341"/>
      <c r="N1001" s="248"/>
      <c r="O1001" s="248"/>
      <c r="P1001" s="248"/>
      <c r="Q1001" s="248"/>
      <c r="R1001" s="248"/>
      <c r="S1001" s="71"/>
      <c r="T1001" s="71"/>
      <c r="U1001" s="71"/>
      <c r="V1001" s="71"/>
      <c r="W1001" s="71"/>
      <c r="X1001" s="71"/>
      <c r="Y1001" s="71"/>
      <c r="Z1001" s="71"/>
    </row>
    <row r="1002" spans="1:26" ht="12.75" hidden="1" customHeight="1" outlineLevel="1">
      <c r="A1002" s="3"/>
      <c r="B1002" s="3"/>
      <c r="C1002" s="29"/>
      <c r="D1002" s="133">
        <f>Asset25</f>
        <v>0</v>
      </c>
      <c r="E1002" s="3"/>
      <c r="F1002" s="3"/>
      <c r="G1002" s="1394">
        <f>'RFM input'!Q31</f>
        <v>0</v>
      </c>
      <c r="H1002" s="1341"/>
      <c r="I1002" s="1341"/>
      <c r="J1002" s="1341"/>
      <c r="K1002" s="1341"/>
      <c r="L1002" s="1341"/>
      <c r="M1002" s="1341"/>
      <c r="N1002" s="248"/>
      <c r="O1002" s="248"/>
      <c r="P1002" s="248"/>
      <c r="Q1002" s="248"/>
      <c r="R1002" s="248"/>
      <c r="S1002" s="71"/>
      <c r="T1002" s="71"/>
      <c r="U1002" s="71"/>
      <c r="V1002" s="71"/>
      <c r="W1002" s="71"/>
      <c r="X1002" s="71"/>
      <c r="Y1002" s="71"/>
      <c r="Z1002" s="71"/>
    </row>
    <row r="1003" spans="1:26" ht="12.75" hidden="1" customHeight="1" outlineLevel="1">
      <c r="A1003" s="3"/>
      <c r="B1003" s="3"/>
      <c r="C1003" s="29"/>
      <c r="D1003" s="133">
        <f>Asset26</f>
        <v>0</v>
      </c>
      <c r="E1003" s="3"/>
      <c r="F1003" s="3"/>
      <c r="G1003" s="1394">
        <f>'RFM input'!Q32</f>
        <v>0</v>
      </c>
      <c r="H1003" s="1341"/>
      <c r="I1003" s="1341"/>
      <c r="J1003" s="1341"/>
      <c r="K1003" s="1341"/>
      <c r="L1003" s="1341"/>
      <c r="M1003" s="1341"/>
      <c r="N1003" s="248"/>
      <c r="O1003" s="248"/>
      <c r="P1003" s="248"/>
      <c r="Q1003" s="248"/>
      <c r="R1003" s="248"/>
      <c r="S1003" s="71"/>
      <c r="T1003" s="71"/>
      <c r="U1003" s="71"/>
      <c r="V1003" s="71"/>
      <c r="W1003" s="71"/>
      <c r="X1003" s="71"/>
      <c r="Y1003" s="71"/>
      <c r="Z1003" s="71"/>
    </row>
    <row r="1004" spans="1:26" ht="12.75" hidden="1" customHeight="1" outlineLevel="1">
      <c r="A1004" s="3"/>
      <c r="B1004" s="3"/>
      <c r="C1004" s="29"/>
      <c r="D1004" s="133">
        <f>Asset27</f>
        <v>0</v>
      </c>
      <c r="E1004" s="3"/>
      <c r="F1004" s="3"/>
      <c r="G1004" s="1394">
        <f>'RFM input'!Q33</f>
        <v>0</v>
      </c>
      <c r="H1004" s="1341"/>
      <c r="I1004" s="1341"/>
      <c r="J1004" s="1341"/>
      <c r="K1004" s="1341"/>
      <c r="L1004" s="1341"/>
      <c r="M1004" s="1341"/>
      <c r="N1004" s="248"/>
      <c r="O1004" s="248"/>
      <c r="P1004" s="248"/>
      <c r="Q1004" s="248"/>
      <c r="R1004" s="248"/>
      <c r="S1004" s="71"/>
      <c r="T1004" s="71"/>
      <c r="U1004" s="71"/>
      <c r="V1004" s="71"/>
      <c r="W1004" s="71"/>
      <c r="X1004" s="71"/>
      <c r="Y1004" s="71"/>
      <c r="Z1004" s="71"/>
    </row>
    <row r="1005" spans="1:26" ht="12.75" hidden="1" customHeight="1" outlineLevel="1">
      <c r="A1005" s="3"/>
      <c r="B1005" s="3"/>
      <c r="C1005" s="29"/>
      <c r="D1005" s="133">
        <f>Asset28</f>
        <v>0</v>
      </c>
      <c r="E1005" s="3"/>
      <c r="F1005" s="3"/>
      <c r="G1005" s="1394">
        <f>'RFM input'!Q34</f>
        <v>0</v>
      </c>
      <c r="H1005" s="1341"/>
      <c r="I1005" s="1341"/>
      <c r="J1005" s="1341"/>
      <c r="K1005" s="1341"/>
      <c r="L1005" s="1341"/>
      <c r="M1005" s="1341"/>
      <c r="N1005" s="248"/>
      <c r="O1005" s="248"/>
      <c r="P1005" s="248"/>
      <c r="Q1005" s="248"/>
      <c r="R1005" s="248"/>
      <c r="S1005" s="71"/>
      <c r="T1005" s="71"/>
      <c r="U1005" s="71"/>
      <c r="V1005" s="71"/>
      <c r="W1005" s="71"/>
      <c r="X1005" s="71"/>
      <c r="Y1005" s="71"/>
      <c r="Z1005" s="71"/>
    </row>
    <row r="1006" spans="1:26" ht="12.75" hidden="1" customHeight="1" outlineLevel="1">
      <c r="A1006" s="3"/>
      <c r="B1006" s="3"/>
      <c r="C1006" s="29"/>
      <c r="D1006" s="133">
        <f>Asset29</f>
        <v>0</v>
      </c>
      <c r="E1006" s="3"/>
      <c r="F1006" s="3"/>
      <c r="G1006" s="1394">
        <f>'RFM input'!Q35</f>
        <v>0</v>
      </c>
      <c r="H1006" s="1341"/>
      <c r="I1006" s="1341"/>
      <c r="J1006" s="1341"/>
      <c r="K1006" s="1341"/>
      <c r="L1006" s="1341"/>
      <c r="M1006" s="1341"/>
      <c r="N1006" s="248"/>
      <c r="O1006" s="248"/>
      <c r="P1006" s="248"/>
      <c r="Q1006" s="248"/>
      <c r="R1006" s="248"/>
      <c r="S1006" s="71"/>
      <c r="T1006" s="71"/>
      <c r="U1006" s="71"/>
      <c r="V1006" s="71"/>
      <c r="W1006" s="71"/>
      <c r="X1006" s="71"/>
      <c r="Y1006" s="71"/>
      <c r="Z1006" s="71"/>
    </row>
    <row r="1007" spans="1:26" ht="12.75" hidden="1" customHeight="1" outlineLevel="1">
      <c r="A1007" s="3"/>
      <c r="B1007" s="3"/>
      <c r="C1007" s="29"/>
      <c r="D1007" s="133">
        <f>Asset30</f>
        <v>0</v>
      </c>
      <c r="E1007" s="3"/>
      <c r="F1007" s="3"/>
      <c r="G1007" s="1394">
        <f>'RFM input'!Q36</f>
        <v>0</v>
      </c>
      <c r="H1007" s="1341"/>
      <c r="I1007" s="1341"/>
      <c r="J1007" s="1341"/>
      <c r="K1007" s="1341"/>
      <c r="L1007" s="1341"/>
      <c r="M1007" s="1341"/>
      <c r="N1007" s="248"/>
      <c r="O1007" s="248"/>
      <c r="P1007" s="248"/>
      <c r="Q1007" s="248"/>
      <c r="R1007" s="248"/>
      <c r="S1007" s="71"/>
      <c r="T1007" s="71"/>
      <c r="U1007" s="71"/>
      <c r="V1007" s="71"/>
      <c r="W1007" s="71"/>
      <c r="X1007" s="71"/>
      <c r="Y1007" s="71"/>
      <c r="Z1007" s="71"/>
    </row>
    <row r="1008" spans="1:26" ht="12.75" hidden="1" customHeight="1" outlineLevel="1">
      <c r="A1008" s="3"/>
      <c r="B1008" s="3"/>
      <c r="C1008" s="29"/>
      <c r="D1008" s="133">
        <f>Asset31</f>
        <v>0</v>
      </c>
      <c r="E1008" s="3"/>
      <c r="F1008" s="3"/>
      <c r="G1008" s="1394">
        <f>'RFM input'!Q37</f>
        <v>0</v>
      </c>
      <c r="H1008" s="1341"/>
      <c r="I1008" s="1341"/>
      <c r="J1008" s="1341"/>
      <c r="K1008" s="1341"/>
      <c r="L1008" s="1341"/>
      <c r="M1008" s="1341"/>
      <c r="N1008" s="248"/>
      <c r="O1008" s="248"/>
      <c r="P1008" s="248"/>
      <c r="Q1008" s="248"/>
      <c r="R1008" s="248"/>
      <c r="S1008" s="71"/>
      <c r="T1008" s="71"/>
      <c r="U1008" s="71"/>
      <c r="V1008" s="71"/>
      <c r="W1008" s="71"/>
      <c r="X1008" s="71"/>
      <c r="Y1008" s="71"/>
      <c r="Z1008" s="71"/>
    </row>
    <row r="1009" spans="1:26" ht="12.75" hidden="1" customHeight="1" outlineLevel="1">
      <c r="A1009" s="3"/>
      <c r="B1009" s="3"/>
      <c r="C1009" s="29"/>
      <c r="D1009" s="133">
        <f>Asset32</f>
        <v>0</v>
      </c>
      <c r="E1009" s="3"/>
      <c r="F1009" s="3"/>
      <c r="G1009" s="1394">
        <f>'RFM input'!Q38</f>
        <v>0</v>
      </c>
      <c r="H1009" s="1341"/>
      <c r="I1009" s="1341"/>
      <c r="J1009" s="1341"/>
      <c r="K1009" s="1341"/>
      <c r="L1009" s="1341"/>
      <c r="M1009" s="1341"/>
      <c r="N1009" s="248"/>
      <c r="O1009" s="248"/>
      <c r="P1009" s="248"/>
      <c r="Q1009" s="248"/>
      <c r="R1009" s="248"/>
      <c r="S1009" s="71"/>
      <c r="T1009" s="71"/>
      <c r="U1009" s="71"/>
      <c r="V1009" s="71"/>
      <c r="W1009" s="71"/>
      <c r="X1009" s="71"/>
      <c r="Y1009" s="71"/>
      <c r="Z1009" s="71"/>
    </row>
    <row r="1010" spans="1:26" ht="12.75" hidden="1" customHeight="1" outlineLevel="1">
      <c r="A1010" s="3"/>
      <c r="B1010" s="3"/>
      <c r="C1010" s="29"/>
      <c r="D1010" s="133">
        <f>Asset33</f>
        <v>0</v>
      </c>
      <c r="E1010" s="3"/>
      <c r="F1010" s="3"/>
      <c r="G1010" s="1394">
        <f>'RFM input'!Q39</f>
        <v>0</v>
      </c>
      <c r="H1010" s="1341"/>
      <c r="I1010" s="1341"/>
      <c r="J1010" s="1341"/>
      <c r="K1010" s="1341"/>
      <c r="L1010" s="1341"/>
      <c r="M1010" s="1341"/>
      <c r="N1010" s="248"/>
      <c r="O1010" s="248"/>
      <c r="P1010" s="248"/>
      <c r="Q1010" s="248"/>
      <c r="R1010" s="248"/>
      <c r="S1010" s="71"/>
      <c r="T1010" s="71"/>
      <c r="U1010" s="71"/>
      <c r="V1010" s="71"/>
      <c r="W1010" s="71"/>
      <c r="X1010" s="71"/>
      <c r="Y1010" s="71"/>
      <c r="Z1010" s="71"/>
    </row>
    <row r="1011" spans="1:26" ht="12.75" hidden="1" customHeight="1" outlineLevel="1">
      <c r="A1011" s="3"/>
      <c r="B1011" s="3"/>
      <c r="C1011" s="29"/>
      <c r="D1011" s="133">
        <f>Asset34</f>
        <v>0</v>
      </c>
      <c r="E1011" s="3"/>
      <c r="F1011" s="3"/>
      <c r="G1011" s="1394">
        <f>'RFM input'!Q40</f>
        <v>0</v>
      </c>
      <c r="H1011" s="1341"/>
      <c r="I1011" s="1341"/>
      <c r="J1011" s="1341"/>
      <c r="K1011" s="1341"/>
      <c r="L1011" s="1341"/>
      <c r="M1011" s="1341"/>
      <c r="N1011" s="248"/>
      <c r="O1011" s="248"/>
      <c r="P1011" s="248"/>
      <c r="Q1011" s="248"/>
      <c r="R1011" s="248"/>
      <c r="S1011" s="71"/>
      <c r="T1011" s="71"/>
      <c r="U1011" s="71"/>
      <c r="V1011" s="71"/>
      <c r="W1011" s="71"/>
      <c r="X1011" s="71"/>
      <c r="Y1011" s="71"/>
      <c r="Z1011" s="71"/>
    </row>
    <row r="1012" spans="1:26" ht="12.75" hidden="1" customHeight="1" outlineLevel="1">
      <c r="A1012" s="3"/>
      <c r="B1012" s="3"/>
      <c r="C1012" s="29"/>
      <c r="D1012" s="133">
        <f>Asset35</f>
        <v>0</v>
      </c>
      <c r="E1012" s="3"/>
      <c r="F1012" s="3"/>
      <c r="G1012" s="1394">
        <f>'RFM input'!Q41</f>
        <v>0</v>
      </c>
      <c r="H1012" s="1341"/>
      <c r="I1012" s="1341"/>
      <c r="J1012" s="1341"/>
      <c r="K1012" s="1341"/>
      <c r="L1012" s="1341"/>
      <c r="M1012" s="1341"/>
      <c r="N1012" s="248"/>
      <c r="O1012" s="248"/>
      <c r="P1012" s="248"/>
      <c r="Q1012" s="248"/>
      <c r="R1012" s="248"/>
      <c r="S1012" s="71"/>
      <c r="T1012" s="71"/>
      <c r="U1012" s="71"/>
      <c r="V1012" s="71"/>
      <c r="W1012" s="71"/>
      <c r="X1012" s="71"/>
      <c r="Y1012" s="71"/>
      <c r="Z1012" s="71"/>
    </row>
    <row r="1013" spans="1:26" ht="12.75" hidden="1" customHeight="1" outlineLevel="1">
      <c r="A1013" s="3"/>
      <c r="B1013" s="3"/>
      <c r="C1013" s="29"/>
      <c r="D1013" s="133">
        <f>Asset36</f>
        <v>0</v>
      </c>
      <c r="E1013" s="3"/>
      <c r="F1013" s="3"/>
      <c r="G1013" s="1394">
        <f>'RFM input'!Q42</f>
        <v>0</v>
      </c>
      <c r="H1013" s="1341"/>
      <c r="I1013" s="1341"/>
      <c r="J1013" s="1341"/>
      <c r="K1013" s="1341"/>
      <c r="L1013" s="1341"/>
      <c r="M1013" s="1341"/>
      <c r="N1013" s="248"/>
      <c r="O1013" s="248"/>
      <c r="P1013" s="248"/>
      <c r="Q1013" s="248"/>
      <c r="R1013" s="248"/>
      <c r="S1013" s="71"/>
      <c r="T1013" s="71"/>
      <c r="U1013" s="71"/>
      <c r="V1013" s="71"/>
      <c r="W1013" s="71"/>
      <c r="X1013" s="71"/>
      <c r="Y1013" s="71"/>
      <c r="Z1013" s="71"/>
    </row>
    <row r="1014" spans="1:26" ht="12.75" hidden="1" customHeight="1" outlineLevel="1">
      <c r="A1014" s="3"/>
      <c r="B1014" s="3"/>
      <c r="C1014" s="29"/>
      <c r="D1014" s="133">
        <f>Asset37</f>
        <v>0</v>
      </c>
      <c r="E1014" s="3"/>
      <c r="F1014" s="3"/>
      <c r="G1014" s="1394">
        <f>'RFM input'!Q43</f>
        <v>0</v>
      </c>
      <c r="H1014" s="1341"/>
      <c r="I1014" s="1341"/>
      <c r="J1014" s="1341"/>
      <c r="K1014" s="1341"/>
      <c r="L1014" s="1341"/>
      <c r="M1014" s="1341"/>
      <c r="N1014" s="248"/>
      <c r="O1014" s="248"/>
      <c r="P1014" s="248"/>
      <c r="Q1014" s="248"/>
      <c r="R1014" s="248"/>
      <c r="S1014" s="71"/>
      <c r="T1014" s="71"/>
      <c r="U1014" s="71"/>
      <c r="V1014" s="71"/>
      <c r="W1014" s="71"/>
      <c r="X1014" s="71"/>
      <c r="Y1014" s="71"/>
      <c r="Z1014" s="71"/>
    </row>
    <row r="1015" spans="1:26" ht="12.75" hidden="1" customHeight="1" outlineLevel="1">
      <c r="A1015" s="3"/>
      <c r="B1015" s="3"/>
      <c r="C1015" s="29"/>
      <c r="D1015" s="133">
        <f>Asset38</f>
        <v>0</v>
      </c>
      <c r="E1015" s="3"/>
      <c r="F1015" s="3"/>
      <c r="G1015" s="1394">
        <f>'RFM input'!Q44</f>
        <v>0</v>
      </c>
      <c r="H1015" s="1341"/>
      <c r="I1015" s="1341"/>
      <c r="J1015" s="1341"/>
      <c r="K1015" s="1341"/>
      <c r="L1015" s="1341"/>
      <c r="M1015" s="1341"/>
      <c r="N1015" s="248"/>
      <c r="O1015" s="248"/>
      <c r="P1015" s="248"/>
      <c r="Q1015" s="248"/>
      <c r="R1015" s="248"/>
      <c r="S1015" s="71"/>
      <c r="T1015" s="71"/>
      <c r="U1015" s="71"/>
      <c r="V1015" s="71"/>
      <c r="W1015" s="71"/>
      <c r="X1015" s="71"/>
      <c r="Y1015" s="71"/>
      <c r="Z1015" s="71"/>
    </row>
    <row r="1016" spans="1:26" ht="12.75" hidden="1" customHeight="1" outlineLevel="1">
      <c r="A1016" s="3"/>
      <c r="B1016" s="3"/>
      <c r="C1016" s="29"/>
      <c r="D1016" s="133">
        <f>Asset39</f>
        <v>0</v>
      </c>
      <c r="E1016" s="3"/>
      <c r="F1016" s="3"/>
      <c r="G1016" s="1394">
        <f>'RFM input'!Q45</f>
        <v>0</v>
      </c>
      <c r="H1016" s="1341"/>
      <c r="I1016" s="1341"/>
      <c r="J1016" s="1341"/>
      <c r="K1016" s="1341"/>
      <c r="L1016" s="1341"/>
      <c r="M1016" s="1341"/>
      <c r="N1016" s="248"/>
      <c r="O1016" s="248"/>
      <c r="P1016" s="248"/>
      <c r="Q1016" s="248"/>
      <c r="R1016" s="248"/>
      <c r="S1016" s="71"/>
      <c r="T1016" s="71"/>
      <c r="U1016" s="71"/>
      <c r="V1016" s="71"/>
      <c r="W1016" s="71"/>
      <c r="X1016" s="71"/>
      <c r="Y1016" s="71"/>
      <c r="Z1016" s="71"/>
    </row>
    <row r="1017" spans="1:26" ht="12.75" hidden="1" customHeight="1" outlineLevel="1">
      <c r="A1017" s="3"/>
      <c r="B1017" s="3"/>
      <c r="C1017" s="29"/>
      <c r="D1017" s="133">
        <f>Asset40</f>
        <v>0</v>
      </c>
      <c r="E1017" s="3"/>
      <c r="F1017" s="3"/>
      <c r="G1017" s="1394">
        <f>'RFM input'!Q46</f>
        <v>0</v>
      </c>
      <c r="H1017" s="1341"/>
      <c r="I1017" s="1341"/>
      <c r="J1017" s="1341"/>
      <c r="K1017" s="1341"/>
      <c r="L1017" s="1341"/>
      <c r="M1017" s="1341"/>
      <c r="N1017" s="248"/>
      <c r="O1017" s="248"/>
      <c r="P1017" s="248"/>
      <c r="Q1017" s="248"/>
      <c r="R1017" s="248"/>
      <c r="S1017" s="71"/>
      <c r="T1017" s="71"/>
      <c r="U1017" s="71"/>
      <c r="V1017" s="71"/>
      <c r="W1017" s="71"/>
      <c r="X1017" s="71"/>
      <c r="Y1017" s="71"/>
      <c r="Z1017" s="71"/>
    </row>
    <row r="1018" spans="1:26" ht="12.75" hidden="1" customHeight="1" outlineLevel="1">
      <c r="A1018" s="3"/>
      <c r="B1018" s="3"/>
      <c r="C1018" s="29"/>
      <c r="D1018" s="133">
        <f>Asset41</f>
        <v>0</v>
      </c>
      <c r="E1018" s="3"/>
      <c r="F1018" s="3"/>
      <c r="G1018" s="1394">
        <f>'RFM input'!Q47</f>
        <v>0</v>
      </c>
      <c r="H1018" s="1341"/>
      <c r="I1018" s="1341"/>
      <c r="J1018" s="1341"/>
      <c r="K1018" s="1341"/>
      <c r="L1018" s="1341"/>
      <c r="M1018" s="1341"/>
      <c r="N1018" s="248"/>
      <c r="O1018" s="248"/>
      <c r="P1018" s="248"/>
      <c r="Q1018" s="248"/>
      <c r="R1018" s="248"/>
      <c r="S1018" s="71"/>
      <c r="T1018" s="71"/>
      <c r="U1018" s="71"/>
      <c r="V1018" s="71"/>
      <c r="W1018" s="71"/>
      <c r="X1018" s="71"/>
      <c r="Y1018" s="71"/>
      <c r="Z1018" s="71"/>
    </row>
    <row r="1019" spans="1:26" ht="12.75" hidden="1" customHeight="1" outlineLevel="1">
      <c r="A1019" s="3"/>
      <c r="B1019" s="3"/>
      <c r="C1019" s="29"/>
      <c r="D1019" s="133">
        <f>Asset42</f>
        <v>0</v>
      </c>
      <c r="E1019" s="3"/>
      <c r="F1019" s="3"/>
      <c r="G1019" s="1394">
        <f>'RFM input'!Q48</f>
        <v>0</v>
      </c>
      <c r="H1019" s="1341"/>
      <c r="I1019" s="1341"/>
      <c r="J1019" s="1341"/>
      <c r="K1019" s="1341"/>
      <c r="L1019" s="1341"/>
      <c r="M1019" s="1341"/>
      <c r="N1019" s="248"/>
      <c r="O1019" s="248"/>
      <c r="P1019" s="248"/>
      <c r="Q1019" s="248"/>
      <c r="R1019" s="248"/>
      <c r="S1019" s="71"/>
      <c r="T1019" s="71"/>
      <c r="U1019" s="71"/>
      <c r="V1019" s="71"/>
      <c r="W1019" s="71"/>
      <c r="X1019" s="71"/>
      <c r="Y1019" s="71"/>
      <c r="Z1019" s="71"/>
    </row>
    <row r="1020" spans="1:26" ht="12.75" hidden="1" customHeight="1" outlineLevel="1">
      <c r="A1020" s="3"/>
      <c r="B1020" s="3"/>
      <c r="C1020" s="29"/>
      <c r="D1020" s="133">
        <f>Asset43</f>
        <v>0</v>
      </c>
      <c r="E1020" s="3"/>
      <c r="F1020" s="3"/>
      <c r="G1020" s="1394">
        <f>'RFM input'!Q49</f>
        <v>0</v>
      </c>
      <c r="H1020" s="1341"/>
      <c r="I1020" s="1341"/>
      <c r="J1020" s="1341"/>
      <c r="K1020" s="1341"/>
      <c r="L1020" s="1341"/>
      <c r="M1020" s="1341"/>
      <c r="N1020" s="248"/>
      <c r="O1020" s="248"/>
      <c r="P1020" s="248"/>
      <c r="Q1020" s="248"/>
      <c r="R1020" s="248"/>
      <c r="S1020" s="71"/>
      <c r="T1020" s="71"/>
      <c r="U1020" s="71"/>
      <c r="V1020" s="71"/>
      <c r="W1020" s="71"/>
      <c r="X1020" s="71"/>
      <c r="Y1020" s="71"/>
      <c r="Z1020" s="71"/>
    </row>
    <row r="1021" spans="1:26" ht="12.75" hidden="1" customHeight="1" outlineLevel="1">
      <c r="A1021" s="3"/>
      <c r="B1021" s="3"/>
      <c r="C1021" s="29"/>
      <c r="D1021" s="133">
        <f>Asset44</f>
        <v>0</v>
      </c>
      <c r="E1021" s="3"/>
      <c r="F1021" s="3"/>
      <c r="G1021" s="1394">
        <f>'RFM input'!Q50</f>
        <v>0</v>
      </c>
      <c r="H1021" s="1341"/>
      <c r="I1021" s="1341"/>
      <c r="J1021" s="1341"/>
      <c r="K1021" s="1341"/>
      <c r="L1021" s="1341"/>
      <c r="M1021" s="1341"/>
      <c r="N1021" s="248"/>
      <c r="O1021" s="248"/>
      <c r="P1021" s="248"/>
      <c r="Q1021" s="248"/>
      <c r="R1021" s="248"/>
      <c r="S1021" s="71"/>
      <c r="T1021" s="71"/>
      <c r="U1021" s="71"/>
      <c r="V1021" s="71"/>
      <c r="W1021" s="71"/>
      <c r="X1021" s="71"/>
      <c r="Y1021" s="71"/>
      <c r="Z1021" s="71"/>
    </row>
    <row r="1022" spans="1:26" ht="12.75" hidden="1" customHeight="1" outlineLevel="1">
      <c r="A1022" s="3"/>
      <c r="B1022" s="3"/>
      <c r="C1022" s="29"/>
      <c r="D1022" s="133">
        <f>Asset45</f>
        <v>0</v>
      </c>
      <c r="E1022" s="3"/>
      <c r="F1022" s="3"/>
      <c r="G1022" s="1394">
        <f>'RFM input'!Q51</f>
        <v>0</v>
      </c>
      <c r="H1022" s="1341"/>
      <c r="I1022" s="1341"/>
      <c r="J1022" s="1341"/>
      <c r="K1022" s="1341"/>
      <c r="L1022" s="1341"/>
      <c r="M1022" s="1341"/>
      <c r="N1022" s="248"/>
      <c r="O1022" s="248"/>
      <c r="P1022" s="248"/>
      <c r="Q1022" s="248"/>
      <c r="R1022" s="248"/>
      <c r="S1022" s="71"/>
      <c r="T1022" s="71"/>
      <c r="U1022" s="71"/>
      <c r="V1022" s="71"/>
      <c r="W1022" s="71"/>
      <c r="X1022" s="71"/>
      <c r="Y1022" s="71"/>
      <c r="Z1022" s="71"/>
    </row>
    <row r="1023" spans="1:26" ht="12.75" hidden="1" customHeight="1" outlineLevel="1">
      <c r="A1023" s="3"/>
      <c r="B1023" s="3"/>
      <c r="C1023" s="29"/>
      <c r="D1023" s="133">
        <f>Asset46</f>
        <v>0</v>
      </c>
      <c r="E1023" s="3"/>
      <c r="F1023" s="3"/>
      <c r="G1023" s="1394">
        <f>'RFM input'!Q52</f>
        <v>0</v>
      </c>
      <c r="H1023" s="1341"/>
      <c r="I1023" s="1341"/>
      <c r="J1023" s="1341"/>
      <c r="K1023" s="1341"/>
      <c r="L1023" s="1341"/>
      <c r="M1023" s="1341"/>
      <c r="N1023" s="248"/>
      <c r="O1023" s="248"/>
      <c r="P1023" s="248"/>
      <c r="Q1023" s="248"/>
      <c r="R1023" s="248"/>
      <c r="S1023" s="71"/>
      <c r="T1023" s="71"/>
      <c r="U1023" s="71"/>
      <c r="V1023" s="71"/>
      <c r="W1023" s="71"/>
      <c r="X1023" s="71"/>
      <c r="Y1023" s="71"/>
      <c r="Z1023" s="71"/>
    </row>
    <row r="1024" spans="1:26" ht="12.75" hidden="1" customHeight="1" outlineLevel="1">
      <c r="A1024" s="3"/>
      <c r="B1024" s="3"/>
      <c r="C1024" s="29"/>
      <c r="D1024" s="133">
        <f>Asset47</f>
        <v>0</v>
      </c>
      <c r="E1024" s="3"/>
      <c r="F1024" s="3"/>
      <c r="G1024" s="1394">
        <f>'RFM input'!Q53</f>
        <v>0</v>
      </c>
      <c r="H1024" s="1341"/>
      <c r="I1024" s="1341"/>
      <c r="J1024" s="1341"/>
      <c r="K1024" s="1341"/>
      <c r="L1024" s="1341"/>
      <c r="M1024" s="1341"/>
      <c r="N1024" s="248"/>
      <c r="O1024" s="248"/>
      <c r="P1024" s="248"/>
      <c r="Q1024" s="248"/>
      <c r="R1024" s="248"/>
      <c r="S1024" s="71"/>
      <c r="T1024" s="71"/>
      <c r="U1024" s="71"/>
      <c r="V1024" s="71"/>
      <c r="W1024" s="71"/>
      <c r="X1024" s="71"/>
      <c r="Y1024" s="71"/>
      <c r="Z1024" s="71"/>
    </row>
    <row r="1025" spans="1:26" ht="12.75" hidden="1" customHeight="1" outlineLevel="1">
      <c r="A1025" s="3"/>
      <c r="B1025" s="3"/>
      <c r="C1025" s="29"/>
      <c r="D1025" s="133">
        <f>Asset48</f>
        <v>0</v>
      </c>
      <c r="E1025" s="3"/>
      <c r="F1025" s="3"/>
      <c r="G1025" s="1394">
        <f>'RFM input'!Q54</f>
        <v>0</v>
      </c>
      <c r="H1025" s="1341"/>
      <c r="I1025" s="1341"/>
      <c r="J1025" s="1341"/>
      <c r="K1025" s="1341"/>
      <c r="L1025" s="1341"/>
      <c r="M1025" s="1341"/>
      <c r="N1025" s="248"/>
      <c r="O1025" s="248"/>
      <c r="P1025" s="248"/>
      <c r="Q1025" s="248"/>
      <c r="R1025" s="248"/>
      <c r="S1025" s="71"/>
      <c r="T1025" s="71"/>
      <c r="U1025" s="71"/>
      <c r="V1025" s="71"/>
      <c r="W1025" s="71"/>
      <c r="X1025" s="71"/>
      <c r="Y1025" s="71"/>
      <c r="Z1025" s="71"/>
    </row>
    <row r="1026" spans="1:26" ht="12.75" hidden="1" customHeight="1" outlineLevel="1">
      <c r="A1026" s="3"/>
      <c r="B1026" s="3"/>
      <c r="C1026" s="29"/>
      <c r="D1026" s="133">
        <f>Asset49</f>
        <v>0</v>
      </c>
      <c r="E1026" s="3"/>
      <c r="F1026" s="3"/>
      <c r="G1026" s="1394">
        <f>'RFM input'!Q55</f>
        <v>0</v>
      </c>
      <c r="H1026" s="1341"/>
      <c r="I1026" s="1341"/>
      <c r="J1026" s="1341"/>
      <c r="K1026" s="1341"/>
      <c r="L1026" s="1341"/>
      <c r="M1026" s="1341"/>
      <c r="N1026" s="248"/>
      <c r="O1026" s="248"/>
      <c r="P1026" s="248"/>
      <c r="Q1026" s="248"/>
      <c r="R1026" s="248"/>
      <c r="S1026" s="71"/>
      <c r="T1026" s="71"/>
      <c r="U1026" s="71"/>
      <c r="V1026" s="71"/>
      <c r="W1026" s="71"/>
      <c r="X1026" s="71"/>
      <c r="Y1026" s="71"/>
      <c r="Z1026" s="71"/>
    </row>
    <row r="1027" spans="1:26" ht="12.75" hidden="1" customHeight="1" outlineLevel="1">
      <c r="A1027" s="3"/>
      <c r="B1027" s="3"/>
      <c r="C1027" s="29"/>
      <c r="D1027" s="133">
        <f>Asset50</f>
        <v>0</v>
      </c>
      <c r="E1027" s="3"/>
      <c r="F1027" s="3"/>
      <c r="G1027" s="1394">
        <f>'RFM input'!Q56</f>
        <v>0</v>
      </c>
      <c r="H1027" s="1341"/>
      <c r="I1027" s="1341"/>
      <c r="J1027" s="1341"/>
      <c r="K1027" s="1341"/>
      <c r="L1027" s="1341"/>
      <c r="M1027" s="1341"/>
      <c r="N1027" s="248"/>
      <c r="O1027" s="248"/>
      <c r="P1027" s="248"/>
      <c r="Q1027" s="248"/>
      <c r="R1027" s="248"/>
      <c r="S1027" s="71"/>
      <c r="T1027" s="71"/>
      <c r="U1027" s="71"/>
      <c r="V1027" s="71"/>
      <c r="W1027" s="71"/>
      <c r="X1027" s="71"/>
      <c r="Y1027" s="71"/>
      <c r="Z1027" s="71"/>
    </row>
    <row r="1028" spans="1:26" collapsed="1">
      <c r="A1028" s="3"/>
      <c r="B1028" s="3"/>
      <c r="C1028" s="29"/>
      <c r="D1028" s="88"/>
      <c r="E1028" s="3"/>
      <c r="F1028" s="3"/>
      <c r="G1028" s="248"/>
      <c r="H1028" s="1341"/>
      <c r="I1028" s="1341"/>
      <c r="J1028" s="1341"/>
      <c r="K1028" s="1341"/>
      <c r="L1028" s="1341"/>
      <c r="M1028" s="1341"/>
      <c r="N1028" s="248"/>
      <c r="O1028" s="248"/>
      <c r="P1028" s="248"/>
      <c r="Q1028" s="248"/>
      <c r="R1028" s="248"/>
      <c r="S1028" s="71"/>
      <c r="T1028" s="71"/>
      <c r="U1028" s="71"/>
      <c r="V1028" s="71"/>
      <c r="W1028" s="71"/>
      <c r="X1028" s="71"/>
      <c r="Y1028" s="71"/>
      <c r="Z1028" s="71"/>
    </row>
    <row r="1029" spans="1:26">
      <c r="A1029" s="85"/>
      <c r="B1029" s="1472"/>
      <c r="C1029" s="85"/>
      <c r="D1029" s="86"/>
      <c r="E1029" s="79"/>
      <c r="F1029" s="79"/>
      <c r="G1029" s="1396"/>
      <c r="H1029" s="1396"/>
      <c r="I1029" s="1396"/>
      <c r="J1029" s="1396"/>
      <c r="K1029" s="1396"/>
      <c r="L1029" s="1396"/>
      <c r="M1029" s="1396"/>
      <c r="N1029" s="1396"/>
      <c r="O1029" s="1396"/>
      <c r="P1029" s="1396"/>
      <c r="Q1029" s="1396"/>
      <c r="R1029" s="1396"/>
      <c r="S1029" s="87"/>
      <c r="T1029" s="71"/>
      <c r="U1029" s="71"/>
      <c r="V1029" s="71"/>
      <c r="W1029" s="71"/>
      <c r="X1029" s="71"/>
      <c r="Y1029" s="71"/>
      <c r="Z1029" s="71"/>
    </row>
    <row r="1030" spans="1:26">
      <c r="A1030" s="3"/>
      <c r="B1030" s="4"/>
      <c r="C1030" s="63"/>
      <c r="D1030" s="81"/>
      <c r="E1030" s="4"/>
      <c r="F1030" s="4"/>
      <c r="G1030" s="1397"/>
      <c r="H1030" s="1397"/>
      <c r="I1030" s="1397"/>
      <c r="J1030" s="1397"/>
      <c r="K1030" s="1397"/>
      <c r="L1030" s="1397"/>
      <c r="M1030" s="1397"/>
      <c r="N1030" s="1397"/>
      <c r="O1030" s="1397"/>
      <c r="P1030" s="1397"/>
      <c r="Q1030" s="1397"/>
      <c r="R1030" s="1397"/>
      <c r="S1030" s="71"/>
      <c r="T1030" s="71"/>
      <c r="U1030" s="71"/>
      <c r="V1030" s="71"/>
      <c r="W1030" s="71"/>
      <c r="X1030" s="71"/>
      <c r="Y1030" s="71"/>
      <c r="Z1030" s="71"/>
    </row>
    <row r="1031" spans="1:26">
      <c r="A1031" s="3"/>
      <c r="B1031" s="4"/>
      <c r="C1031" s="193" t="str">
        <f>"Nominal "&amp;'RFM input'!$G$295&amp; " Straight-line Depreciation"</f>
        <v>Nominal Actual Straight-line Depreciation</v>
      </c>
      <c r="D1031" s="177"/>
      <c r="E1031" s="4"/>
      <c r="F1031" s="4"/>
      <c r="G1031" s="1398">
        <f>SUM(G1032:G1081)</f>
        <v>-5.527299127572844</v>
      </c>
      <c r="H1031" s="1365">
        <f t="shared" ref="H1031:Q1031" si="112">SUM(H1032:H1081)</f>
        <v>-13.57488429144831</v>
      </c>
      <c r="I1031" s="1365">
        <f t="shared" si="112"/>
        <v>-14.462078311885817</v>
      </c>
      <c r="J1031" s="1365">
        <f t="shared" si="112"/>
        <v>-15.515433682965373</v>
      </c>
      <c r="K1031" s="1365">
        <f t="shared" si="112"/>
        <v>-16.765259382505896</v>
      </c>
      <c r="L1031" s="1365">
        <f t="shared" si="112"/>
        <v>-18.036831371324062</v>
      </c>
      <c r="M1031" s="1365">
        <f t="shared" si="112"/>
        <v>-19.024618757924902</v>
      </c>
      <c r="N1031" s="1365">
        <f t="shared" si="112"/>
        <v>-20.743745034010384</v>
      </c>
      <c r="O1031" s="1365">
        <f t="shared" si="112"/>
        <v>0</v>
      </c>
      <c r="P1031" s="1365">
        <f t="shared" si="112"/>
        <v>0</v>
      </c>
      <c r="Q1031" s="1365">
        <f t="shared" si="112"/>
        <v>0</v>
      </c>
      <c r="R1031" s="77"/>
      <c r="S1031" s="77"/>
      <c r="T1031" s="77"/>
      <c r="U1031" s="77"/>
      <c r="V1031" s="77"/>
      <c r="W1031" s="77"/>
      <c r="X1031" s="77"/>
      <c r="Y1031" s="77"/>
      <c r="Z1031" s="77"/>
    </row>
    <row r="1032" spans="1:26" ht="12" hidden="1" customHeight="1" outlineLevel="1">
      <c r="A1032" s="3"/>
      <c r="B1032" s="3"/>
      <c r="C1032" s="3"/>
      <c r="D1032" s="133" t="str">
        <f>Asset1</f>
        <v>Mains</v>
      </c>
      <c r="E1032" s="3"/>
      <c r="F1032" s="3"/>
      <c r="G1032" s="1393">
        <f t="shared" ref="G1032:G1081" si="113">-(G1084-G822)</f>
        <v>-4.0296527594688465</v>
      </c>
      <c r="H1032" s="1341">
        <f t="shared" ref="H1032:Q1032" si="114">H$76*H$7</f>
        <v>-7.7858647959736516</v>
      </c>
      <c r="I1032" s="1341">
        <f t="shared" si="114"/>
        <v>-8.169506450757579</v>
      </c>
      <c r="J1032" s="1341">
        <f t="shared" si="114"/>
        <v>-8.6245815564628039</v>
      </c>
      <c r="K1032" s="1341">
        <f t="shared" si="114"/>
        <v>-9.0687412442335642</v>
      </c>
      <c r="L1032" s="1341">
        <f t="shared" si="114"/>
        <v>-9.4875499654930628</v>
      </c>
      <c r="M1032" s="1341">
        <f t="shared" si="114"/>
        <v>-9.7721110312596533</v>
      </c>
      <c r="N1032" s="1341">
        <f t="shared" si="114"/>
        <v>-10.509416083540357</v>
      </c>
      <c r="O1032" s="1341">
        <f t="shared" si="114"/>
        <v>0</v>
      </c>
      <c r="P1032" s="1341">
        <f t="shared" si="114"/>
        <v>0</v>
      </c>
      <c r="Q1032" s="1341">
        <f t="shared" si="114"/>
        <v>0</v>
      </c>
      <c r="R1032" s="248"/>
      <c r="S1032" s="4"/>
      <c r="T1032" s="4"/>
      <c r="U1032" s="4"/>
      <c r="V1032" s="4"/>
      <c r="W1032" s="4"/>
      <c r="X1032" s="4"/>
      <c r="Y1032" s="4"/>
      <c r="Z1032" s="4"/>
    </row>
    <row r="1033" spans="1:26" ht="12" hidden="1" customHeight="1" outlineLevel="1">
      <c r="A1033" s="3"/>
      <c r="B1033" s="3"/>
      <c r="C1033" s="3"/>
      <c r="D1033" s="133" t="str">
        <f>Asset2</f>
        <v>Inlets</v>
      </c>
      <c r="E1033" s="3"/>
      <c r="F1033" s="3"/>
      <c r="G1033" s="1393">
        <f t="shared" si="113"/>
        <v>-0.98098644152662717</v>
      </c>
      <c r="H1033" s="1341">
        <f t="shared" ref="H1033:Q1033" si="115">H$89*H$7</f>
        <v>-1.8954059459496415</v>
      </c>
      <c r="I1033" s="1341">
        <f t="shared" si="115"/>
        <v>-2.055578076447087</v>
      </c>
      <c r="J1033" s="1341">
        <f t="shared" si="115"/>
        <v>-2.237680625305948</v>
      </c>
      <c r="K1033" s="1341">
        <f t="shared" si="115"/>
        <v>-2.4303546082633738</v>
      </c>
      <c r="L1033" s="1341">
        <f t="shared" si="115"/>
        <v>-2.6103453439464253</v>
      </c>
      <c r="M1033" s="1341">
        <f t="shared" si="115"/>
        <v>-2.7832802836937169</v>
      </c>
      <c r="N1033" s="1341">
        <f t="shared" si="115"/>
        <v>-3.0023221336314729</v>
      </c>
      <c r="O1033" s="1341">
        <f t="shared" si="115"/>
        <v>0</v>
      </c>
      <c r="P1033" s="1341">
        <f t="shared" si="115"/>
        <v>0</v>
      </c>
      <c r="Q1033" s="1341">
        <f t="shared" si="115"/>
        <v>0</v>
      </c>
      <c r="R1033" s="248"/>
      <c r="S1033" s="4"/>
      <c r="T1033" s="4"/>
      <c r="U1033" s="4"/>
      <c r="V1033" s="4"/>
      <c r="W1033" s="4"/>
      <c r="X1033" s="4"/>
      <c r="Y1033" s="4"/>
      <c r="Z1033" s="4"/>
    </row>
    <row r="1034" spans="1:26" ht="12" hidden="1" customHeight="1" outlineLevel="1">
      <c r="A1034" s="3"/>
      <c r="B1034" s="3"/>
      <c r="C1034" s="3"/>
      <c r="D1034" s="133" t="str">
        <f>Asset3</f>
        <v>Meters</v>
      </c>
      <c r="E1034" s="3"/>
      <c r="F1034" s="3"/>
      <c r="G1034" s="1393">
        <f t="shared" si="113"/>
        <v>-0.31891419667272719</v>
      </c>
      <c r="H1034" s="1341">
        <f t="shared" ref="H1034:Q1034" si="116">H$102*H$7</f>
        <v>-2.9785613512575333</v>
      </c>
      <c r="I1034" s="1341">
        <f t="shared" si="116"/>
        <v>-3.2240438056996719</v>
      </c>
      <c r="J1034" s="1341">
        <f t="shared" si="116"/>
        <v>-3.4911557390345611</v>
      </c>
      <c r="K1034" s="1341">
        <f t="shared" si="116"/>
        <v>-3.7962764059220899</v>
      </c>
      <c r="L1034" s="1341">
        <f t="shared" si="116"/>
        <v>-3.992968693254014</v>
      </c>
      <c r="M1034" s="1341">
        <f t="shared" si="116"/>
        <v>-4.1683959532590107</v>
      </c>
      <c r="N1034" s="1341">
        <f t="shared" si="116"/>
        <v>-4.4513516935954485</v>
      </c>
      <c r="O1034" s="1341">
        <f t="shared" si="116"/>
        <v>0</v>
      </c>
      <c r="P1034" s="1341">
        <f t="shared" si="116"/>
        <v>0</v>
      </c>
      <c r="Q1034" s="1341">
        <f t="shared" si="116"/>
        <v>0</v>
      </c>
      <c r="R1034" s="248"/>
      <c r="S1034" s="4"/>
      <c r="T1034" s="4"/>
      <c r="U1034" s="4"/>
      <c r="V1034" s="4"/>
      <c r="W1034" s="4"/>
      <c r="X1034" s="4"/>
      <c r="Y1034" s="4"/>
      <c r="Z1034" s="4"/>
    </row>
    <row r="1035" spans="1:26" ht="12" hidden="1" customHeight="1" outlineLevel="1">
      <c r="A1035" s="3"/>
      <c r="B1035" s="3"/>
      <c r="C1035" s="3"/>
      <c r="D1035" s="133" t="str">
        <f>Asset4</f>
        <v>Telemetry</v>
      </c>
      <c r="E1035" s="3"/>
      <c r="F1035" s="3"/>
      <c r="G1035" s="1393">
        <f t="shared" si="113"/>
        <v>7.6075100474188506E-3</v>
      </c>
      <c r="H1035" s="1341">
        <f t="shared" ref="H1035:Q1035" si="117">H$115*H$7</f>
        <v>0.16570373064981311</v>
      </c>
      <c r="I1035" s="1341">
        <f t="shared" si="117"/>
        <v>0.14783159678245808</v>
      </c>
      <c r="J1035" s="1341">
        <f t="shared" si="117"/>
        <v>0.14166328849372378</v>
      </c>
      <c r="K1035" s="1341">
        <f t="shared" si="117"/>
        <v>6.2810724567102696E-2</v>
      </c>
      <c r="L1035" s="1341">
        <f t="shared" si="117"/>
        <v>-3.8913673232986175E-2</v>
      </c>
      <c r="M1035" s="1341">
        <f t="shared" si="117"/>
        <v>-4.2614262203970722E-2</v>
      </c>
      <c r="N1035" s="1341">
        <f t="shared" si="117"/>
        <v>-4.7321087934537709E-2</v>
      </c>
      <c r="O1035" s="1341">
        <f t="shared" si="117"/>
        <v>0</v>
      </c>
      <c r="P1035" s="1341">
        <f t="shared" si="117"/>
        <v>0</v>
      </c>
      <c r="Q1035" s="1341">
        <f t="shared" si="117"/>
        <v>0</v>
      </c>
      <c r="R1035" s="248"/>
      <c r="S1035" s="4"/>
      <c r="T1035" s="4"/>
      <c r="U1035" s="4"/>
      <c r="V1035" s="4"/>
      <c r="W1035" s="4"/>
      <c r="X1035" s="4"/>
      <c r="Y1035" s="4"/>
      <c r="Z1035" s="4"/>
    </row>
    <row r="1036" spans="1:26" ht="12" hidden="1" customHeight="1" outlineLevel="1">
      <c r="A1036" s="3"/>
      <c r="B1036" s="3"/>
      <c r="C1036" s="3"/>
      <c r="D1036" s="133" t="str">
        <f>Asset5</f>
        <v>IT System</v>
      </c>
      <c r="E1036" s="3"/>
      <c r="F1036" s="3"/>
      <c r="G1036" s="1393">
        <f t="shared" si="113"/>
        <v>-8.2660040879310934E-2</v>
      </c>
      <c r="H1036" s="1341">
        <f t="shared" ref="H1036:Q1036" si="118">H$128*H$7</f>
        <v>-0.71957557836456842</v>
      </c>
      <c r="I1036" s="1341">
        <f t="shared" si="118"/>
        <v>-0.76972295227159049</v>
      </c>
      <c r="J1036" s="1341">
        <f t="shared" si="118"/>
        <v>-0.89256861303296031</v>
      </c>
      <c r="K1036" s="1341">
        <f t="shared" si="118"/>
        <v>-1.0943628234458866</v>
      </c>
      <c r="L1036" s="1341">
        <f t="shared" si="118"/>
        <v>-1.4142941413094448</v>
      </c>
      <c r="M1036" s="1341">
        <f t="shared" si="118"/>
        <v>-1.7377923590173234</v>
      </c>
      <c r="N1036" s="1341">
        <f t="shared" si="118"/>
        <v>-2.1702028765125885</v>
      </c>
      <c r="O1036" s="1341">
        <f t="shared" si="118"/>
        <v>0</v>
      </c>
      <c r="P1036" s="1341">
        <f t="shared" si="118"/>
        <v>0</v>
      </c>
      <c r="Q1036" s="1341">
        <f t="shared" si="118"/>
        <v>0</v>
      </c>
      <c r="R1036" s="248"/>
      <c r="S1036" s="4"/>
      <c r="T1036" s="4"/>
      <c r="U1036" s="4"/>
      <c r="V1036" s="4"/>
      <c r="W1036" s="4"/>
      <c r="X1036" s="4"/>
      <c r="Y1036" s="4"/>
      <c r="Z1036" s="4"/>
    </row>
    <row r="1037" spans="1:26" ht="12" hidden="1" customHeight="1" outlineLevel="1">
      <c r="A1037" s="3"/>
      <c r="B1037" s="3"/>
      <c r="C1037" s="3"/>
      <c r="D1037" s="133" t="str">
        <f>Asset6</f>
        <v>Other Distribution System Equipment</v>
      </c>
      <c r="E1037" s="3"/>
      <c r="F1037" s="3"/>
      <c r="G1037" s="1393">
        <f t="shared" si="113"/>
        <v>-0.1229743049342439</v>
      </c>
      <c r="H1037" s="1341">
        <f t="shared" ref="H1037:Q1037" si="119">H$141*H$7</f>
        <v>-0.36118035055273068</v>
      </c>
      <c r="I1037" s="1341">
        <f t="shared" si="119"/>
        <v>-0.39406838584606568</v>
      </c>
      <c r="J1037" s="1341">
        <f t="shared" si="119"/>
        <v>-0.41417765907602377</v>
      </c>
      <c r="K1037" s="1341">
        <f t="shared" si="119"/>
        <v>-0.44145696961317088</v>
      </c>
      <c r="L1037" s="1341">
        <f t="shared" si="119"/>
        <v>-0.49593895759269607</v>
      </c>
      <c r="M1037" s="1341">
        <f t="shared" si="119"/>
        <v>-0.52363161486593335</v>
      </c>
      <c r="N1037" s="1341">
        <f t="shared" si="119"/>
        <v>-0.56645008657116647</v>
      </c>
      <c r="O1037" s="1341">
        <f t="shared" si="119"/>
        <v>0</v>
      </c>
      <c r="P1037" s="1341">
        <f t="shared" si="119"/>
        <v>0</v>
      </c>
      <c r="Q1037" s="1341">
        <f t="shared" si="119"/>
        <v>0</v>
      </c>
      <c r="R1037" s="248"/>
      <c r="S1037" s="4"/>
      <c r="T1037" s="4"/>
      <c r="U1037" s="4"/>
      <c r="V1037" s="4"/>
      <c r="W1037" s="4"/>
      <c r="X1037" s="4"/>
      <c r="Y1037" s="4"/>
      <c r="Z1037" s="4"/>
    </row>
    <row r="1038" spans="1:26" ht="12" hidden="1" customHeight="1" outlineLevel="1">
      <c r="A1038" s="3"/>
      <c r="B1038" s="3"/>
      <c r="C1038" s="3"/>
      <c r="D1038" s="133" t="str">
        <f>Asset7</f>
        <v>Other</v>
      </c>
      <c r="E1038" s="3"/>
      <c r="F1038" s="3"/>
      <c r="G1038" s="1393">
        <f t="shared" si="113"/>
        <v>2.8110586149403721E-4</v>
      </c>
      <c r="H1038" s="1341">
        <f t="shared" ref="H1038:Q1038" si="120">H$154*H$7</f>
        <v>0</v>
      </c>
      <c r="I1038" s="1341">
        <f t="shared" si="120"/>
        <v>3.0097623537207268E-3</v>
      </c>
      <c r="J1038" s="1341">
        <f t="shared" si="120"/>
        <v>3.0672214532008494E-3</v>
      </c>
      <c r="K1038" s="1341">
        <f t="shared" si="120"/>
        <v>3.1219444050866814E-3</v>
      </c>
      <c r="L1038" s="1341">
        <f t="shared" si="120"/>
        <v>3.1794035045668049E-3</v>
      </c>
      <c r="M1038" s="1341">
        <f t="shared" si="120"/>
        <v>3.206746374706079E-3</v>
      </c>
      <c r="N1038" s="1341">
        <f t="shared" si="120"/>
        <v>3.3189277751864109E-3</v>
      </c>
      <c r="O1038" s="1341">
        <f t="shared" si="120"/>
        <v>0</v>
      </c>
      <c r="P1038" s="1341">
        <f t="shared" si="120"/>
        <v>0</v>
      </c>
      <c r="Q1038" s="1341">
        <f t="shared" si="120"/>
        <v>0</v>
      </c>
      <c r="R1038" s="248"/>
      <c r="S1038" s="4"/>
      <c r="T1038" s="4"/>
      <c r="U1038" s="4"/>
      <c r="V1038" s="4"/>
      <c r="W1038" s="4"/>
      <c r="X1038" s="4"/>
      <c r="Y1038" s="4"/>
      <c r="Z1038" s="4"/>
    </row>
    <row r="1039" spans="1:26" ht="12" hidden="1" customHeight="1" outlineLevel="1">
      <c r="A1039" s="3"/>
      <c r="B1039" s="3"/>
      <c r="C1039" s="3"/>
      <c r="D1039" s="133">
        <f>Asset8</f>
        <v>0</v>
      </c>
      <c r="E1039" s="3"/>
      <c r="F1039" s="3"/>
      <c r="G1039" s="1393">
        <f t="shared" si="113"/>
        <v>0</v>
      </c>
      <c r="H1039" s="1341">
        <f t="shared" ref="H1039:Q1039" si="121">H$167*H$7</f>
        <v>0</v>
      </c>
      <c r="I1039" s="1341">
        <f t="shared" si="121"/>
        <v>0</v>
      </c>
      <c r="J1039" s="1341">
        <f t="shared" si="121"/>
        <v>0</v>
      </c>
      <c r="K1039" s="1341">
        <f t="shared" si="121"/>
        <v>0</v>
      </c>
      <c r="L1039" s="1341">
        <f t="shared" si="121"/>
        <v>0</v>
      </c>
      <c r="M1039" s="1341">
        <f t="shared" si="121"/>
        <v>0</v>
      </c>
      <c r="N1039" s="1341">
        <f t="shared" si="121"/>
        <v>0</v>
      </c>
      <c r="O1039" s="1341">
        <f t="shared" si="121"/>
        <v>0</v>
      </c>
      <c r="P1039" s="1341">
        <f t="shared" si="121"/>
        <v>0</v>
      </c>
      <c r="Q1039" s="1341">
        <f t="shared" si="121"/>
        <v>0</v>
      </c>
      <c r="R1039" s="248"/>
      <c r="S1039" s="4"/>
      <c r="T1039" s="4"/>
      <c r="U1039" s="4"/>
      <c r="V1039" s="4"/>
      <c r="W1039" s="4"/>
      <c r="X1039" s="4"/>
      <c r="Y1039" s="4"/>
      <c r="Z1039" s="4"/>
    </row>
    <row r="1040" spans="1:26" ht="12" hidden="1" customHeight="1" outlineLevel="1">
      <c r="A1040" s="3"/>
      <c r="B1040" s="3"/>
      <c r="C1040" s="3"/>
      <c r="D1040" s="133">
        <f>Asset9</f>
        <v>0</v>
      </c>
      <c r="E1040" s="3"/>
      <c r="F1040" s="3"/>
      <c r="G1040" s="1393">
        <f t="shared" si="113"/>
        <v>0</v>
      </c>
      <c r="H1040" s="1341">
        <f t="shared" ref="H1040:Q1040" si="122">H$180*H$7</f>
        <v>0</v>
      </c>
      <c r="I1040" s="1341">
        <f t="shared" si="122"/>
        <v>0</v>
      </c>
      <c r="J1040" s="1341">
        <f t="shared" si="122"/>
        <v>0</v>
      </c>
      <c r="K1040" s="1341">
        <f t="shared" si="122"/>
        <v>0</v>
      </c>
      <c r="L1040" s="1341">
        <f t="shared" si="122"/>
        <v>0</v>
      </c>
      <c r="M1040" s="1341">
        <f t="shared" si="122"/>
        <v>0</v>
      </c>
      <c r="N1040" s="1341">
        <f t="shared" si="122"/>
        <v>0</v>
      </c>
      <c r="O1040" s="1341">
        <f t="shared" si="122"/>
        <v>0</v>
      </c>
      <c r="P1040" s="1341">
        <f t="shared" si="122"/>
        <v>0</v>
      </c>
      <c r="Q1040" s="1341">
        <f t="shared" si="122"/>
        <v>0</v>
      </c>
      <c r="R1040" s="248"/>
      <c r="S1040" s="4"/>
      <c r="T1040" s="4"/>
      <c r="U1040" s="4"/>
      <c r="V1040" s="4"/>
      <c r="W1040" s="4"/>
      <c r="X1040" s="4"/>
      <c r="Y1040" s="4"/>
      <c r="Z1040" s="4"/>
    </row>
    <row r="1041" spans="1:26" ht="12" hidden="1" customHeight="1" outlineLevel="1">
      <c r="A1041" s="3"/>
      <c r="B1041" s="3"/>
      <c r="C1041" s="3"/>
      <c r="D1041" s="133">
        <f>Asset10</f>
        <v>0</v>
      </c>
      <c r="E1041" s="3"/>
      <c r="F1041" s="3"/>
      <c r="G1041" s="1393">
        <f t="shared" si="113"/>
        <v>0</v>
      </c>
      <c r="H1041" s="1341">
        <f t="shared" ref="H1041:Q1041" si="123">H$193*H$7</f>
        <v>0</v>
      </c>
      <c r="I1041" s="1341">
        <f t="shared" si="123"/>
        <v>0</v>
      </c>
      <c r="J1041" s="1341">
        <f t="shared" si="123"/>
        <v>0</v>
      </c>
      <c r="K1041" s="1341">
        <f t="shared" si="123"/>
        <v>0</v>
      </c>
      <c r="L1041" s="1341">
        <f t="shared" si="123"/>
        <v>0</v>
      </c>
      <c r="M1041" s="1341">
        <f t="shared" si="123"/>
        <v>0</v>
      </c>
      <c r="N1041" s="1341">
        <f t="shared" si="123"/>
        <v>0</v>
      </c>
      <c r="O1041" s="1341">
        <f t="shared" si="123"/>
        <v>0</v>
      </c>
      <c r="P1041" s="1341">
        <f t="shared" si="123"/>
        <v>0</v>
      </c>
      <c r="Q1041" s="1341">
        <f t="shared" si="123"/>
        <v>0</v>
      </c>
      <c r="R1041" s="248"/>
      <c r="S1041" s="4"/>
      <c r="T1041" s="4"/>
      <c r="U1041" s="4"/>
      <c r="V1041" s="4"/>
      <c r="W1041" s="4"/>
      <c r="X1041" s="4"/>
      <c r="Y1041" s="4"/>
      <c r="Z1041" s="4"/>
    </row>
    <row r="1042" spans="1:26" ht="12" hidden="1" customHeight="1" outlineLevel="1">
      <c r="A1042" s="3"/>
      <c r="B1042" s="3"/>
      <c r="C1042" s="3"/>
      <c r="D1042" s="133">
        <f>Asset11</f>
        <v>0</v>
      </c>
      <c r="E1042" s="3"/>
      <c r="F1042" s="3"/>
      <c r="G1042" s="1393">
        <f t="shared" si="113"/>
        <v>0</v>
      </c>
      <c r="H1042" s="1341">
        <f t="shared" ref="H1042:Q1042" si="124">H$206*H$7</f>
        <v>0</v>
      </c>
      <c r="I1042" s="1341">
        <f t="shared" si="124"/>
        <v>0</v>
      </c>
      <c r="J1042" s="1341">
        <f t="shared" si="124"/>
        <v>0</v>
      </c>
      <c r="K1042" s="1341">
        <f t="shared" si="124"/>
        <v>0</v>
      </c>
      <c r="L1042" s="1341">
        <f t="shared" si="124"/>
        <v>0</v>
      </c>
      <c r="M1042" s="1341">
        <f t="shared" si="124"/>
        <v>0</v>
      </c>
      <c r="N1042" s="1341">
        <f t="shared" si="124"/>
        <v>0</v>
      </c>
      <c r="O1042" s="1341">
        <f t="shared" si="124"/>
        <v>0</v>
      </c>
      <c r="P1042" s="1341">
        <f t="shared" si="124"/>
        <v>0</v>
      </c>
      <c r="Q1042" s="1341">
        <f t="shared" si="124"/>
        <v>0</v>
      </c>
      <c r="R1042" s="248"/>
      <c r="S1042" s="4"/>
      <c r="T1042" s="4"/>
      <c r="U1042" s="4"/>
      <c r="V1042" s="4"/>
      <c r="W1042" s="4"/>
      <c r="X1042" s="4"/>
      <c r="Y1042" s="4"/>
      <c r="Z1042" s="4"/>
    </row>
    <row r="1043" spans="1:26" ht="12" hidden="1" customHeight="1" outlineLevel="1">
      <c r="A1043" s="3"/>
      <c r="B1043" s="3"/>
      <c r="C1043" s="3"/>
      <c r="D1043" s="133">
        <f>Asset12</f>
        <v>0</v>
      </c>
      <c r="E1043" s="3"/>
      <c r="F1043" s="3"/>
      <c r="G1043" s="1393">
        <f t="shared" si="113"/>
        <v>0</v>
      </c>
      <c r="H1043" s="1341">
        <f t="shared" ref="H1043:Q1043" si="125">H$219*H$7</f>
        <v>0</v>
      </c>
      <c r="I1043" s="1341">
        <f t="shared" si="125"/>
        <v>0</v>
      </c>
      <c r="J1043" s="1341">
        <f t="shared" si="125"/>
        <v>0</v>
      </c>
      <c r="K1043" s="1341">
        <f t="shared" si="125"/>
        <v>0</v>
      </c>
      <c r="L1043" s="1341">
        <f t="shared" si="125"/>
        <v>0</v>
      </c>
      <c r="M1043" s="1341">
        <f t="shared" si="125"/>
        <v>0</v>
      </c>
      <c r="N1043" s="1341">
        <f t="shared" si="125"/>
        <v>0</v>
      </c>
      <c r="O1043" s="1341">
        <f t="shared" si="125"/>
        <v>0</v>
      </c>
      <c r="P1043" s="1341">
        <f t="shared" si="125"/>
        <v>0</v>
      </c>
      <c r="Q1043" s="1341">
        <f t="shared" si="125"/>
        <v>0</v>
      </c>
      <c r="R1043" s="248"/>
      <c r="S1043" s="4"/>
      <c r="T1043" s="4"/>
      <c r="U1043" s="4"/>
      <c r="V1043" s="4"/>
      <c r="W1043" s="4"/>
      <c r="X1043" s="4"/>
      <c r="Y1043" s="4"/>
      <c r="Z1043" s="4"/>
    </row>
    <row r="1044" spans="1:26" ht="12" hidden="1" customHeight="1" outlineLevel="1">
      <c r="A1044" s="3"/>
      <c r="B1044" s="3"/>
      <c r="C1044" s="3"/>
      <c r="D1044" s="133">
        <f>Asset13</f>
        <v>0</v>
      </c>
      <c r="E1044" s="3"/>
      <c r="F1044" s="3"/>
      <c r="G1044" s="1393">
        <f t="shared" si="113"/>
        <v>0</v>
      </c>
      <c r="H1044" s="1341">
        <f t="shared" ref="H1044:Q1044" si="126">H$232*H$7</f>
        <v>0</v>
      </c>
      <c r="I1044" s="1341">
        <f t="shared" si="126"/>
        <v>0</v>
      </c>
      <c r="J1044" s="1341">
        <f t="shared" si="126"/>
        <v>0</v>
      </c>
      <c r="K1044" s="1341">
        <f t="shared" si="126"/>
        <v>0</v>
      </c>
      <c r="L1044" s="1341">
        <f t="shared" si="126"/>
        <v>0</v>
      </c>
      <c r="M1044" s="1341">
        <f t="shared" si="126"/>
        <v>0</v>
      </c>
      <c r="N1044" s="1341">
        <f t="shared" si="126"/>
        <v>0</v>
      </c>
      <c r="O1044" s="1341">
        <f t="shared" si="126"/>
        <v>0</v>
      </c>
      <c r="P1044" s="1341">
        <f t="shared" si="126"/>
        <v>0</v>
      </c>
      <c r="Q1044" s="1341">
        <f t="shared" si="126"/>
        <v>0</v>
      </c>
      <c r="R1044" s="248"/>
      <c r="S1044" s="4"/>
      <c r="T1044" s="4"/>
      <c r="U1044" s="4"/>
      <c r="V1044" s="4"/>
      <c r="W1044" s="4"/>
      <c r="X1044" s="4"/>
      <c r="Y1044" s="4"/>
      <c r="Z1044" s="4"/>
    </row>
    <row r="1045" spans="1:26" ht="12" hidden="1" customHeight="1" outlineLevel="1">
      <c r="A1045" s="3"/>
      <c r="B1045" s="3"/>
      <c r="C1045" s="3"/>
      <c r="D1045" s="133">
        <f>Asset14</f>
        <v>0</v>
      </c>
      <c r="E1045" s="3"/>
      <c r="F1045" s="3"/>
      <c r="G1045" s="1393">
        <f t="shared" si="113"/>
        <v>0</v>
      </c>
      <c r="H1045" s="1341">
        <f t="shared" ref="H1045:Q1045" si="127">H$245*H$7</f>
        <v>0</v>
      </c>
      <c r="I1045" s="1341">
        <f t="shared" si="127"/>
        <v>0</v>
      </c>
      <c r="J1045" s="1341">
        <f t="shared" si="127"/>
        <v>0</v>
      </c>
      <c r="K1045" s="1341">
        <f t="shared" si="127"/>
        <v>0</v>
      </c>
      <c r="L1045" s="1341">
        <f t="shared" si="127"/>
        <v>0</v>
      </c>
      <c r="M1045" s="1341">
        <f t="shared" si="127"/>
        <v>0</v>
      </c>
      <c r="N1045" s="1341">
        <f t="shared" si="127"/>
        <v>0</v>
      </c>
      <c r="O1045" s="1341">
        <f t="shared" si="127"/>
        <v>0</v>
      </c>
      <c r="P1045" s="1341">
        <f t="shared" si="127"/>
        <v>0</v>
      </c>
      <c r="Q1045" s="1341">
        <f t="shared" si="127"/>
        <v>0</v>
      </c>
      <c r="R1045" s="248"/>
      <c r="S1045" s="4"/>
      <c r="T1045" s="4"/>
      <c r="U1045" s="4"/>
      <c r="V1045" s="4"/>
      <c r="W1045" s="4"/>
      <c r="X1045" s="4"/>
      <c r="Y1045" s="4"/>
      <c r="Z1045" s="4"/>
    </row>
    <row r="1046" spans="1:26" ht="12" hidden="1" customHeight="1" outlineLevel="1">
      <c r="A1046" s="3"/>
      <c r="B1046" s="3"/>
      <c r="C1046" s="3"/>
      <c r="D1046" s="133">
        <f>Asset15</f>
        <v>0</v>
      </c>
      <c r="E1046" s="3"/>
      <c r="F1046" s="3"/>
      <c r="G1046" s="1393">
        <f t="shared" si="113"/>
        <v>0</v>
      </c>
      <c r="H1046" s="1341">
        <f t="shared" ref="H1046:Q1046" si="128">H$258*H$7</f>
        <v>0</v>
      </c>
      <c r="I1046" s="1341">
        <f t="shared" si="128"/>
        <v>0</v>
      </c>
      <c r="J1046" s="1341">
        <f t="shared" si="128"/>
        <v>0</v>
      </c>
      <c r="K1046" s="1341">
        <f t="shared" si="128"/>
        <v>0</v>
      </c>
      <c r="L1046" s="1341">
        <f t="shared" si="128"/>
        <v>0</v>
      </c>
      <c r="M1046" s="1341">
        <f t="shared" si="128"/>
        <v>0</v>
      </c>
      <c r="N1046" s="1341">
        <f t="shared" si="128"/>
        <v>0</v>
      </c>
      <c r="O1046" s="1341">
        <f t="shared" si="128"/>
        <v>0</v>
      </c>
      <c r="P1046" s="1341">
        <f t="shared" si="128"/>
        <v>0</v>
      </c>
      <c r="Q1046" s="1341">
        <f t="shared" si="128"/>
        <v>0</v>
      </c>
      <c r="R1046" s="248"/>
      <c r="S1046" s="4"/>
      <c r="T1046" s="4"/>
      <c r="U1046" s="4"/>
      <c r="V1046" s="4"/>
      <c r="W1046" s="4"/>
      <c r="X1046" s="4"/>
      <c r="Y1046" s="4"/>
      <c r="Z1046" s="4"/>
    </row>
    <row r="1047" spans="1:26" ht="12" hidden="1" customHeight="1" outlineLevel="1">
      <c r="A1047" s="3"/>
      <c r="B1047" s="3"/>
      <c r="C1047" s="3"/>
      <c r="D1047" s="133">
        <f>Asset16</f>
        <v>0</v>
      </c>
      <c r="E1047" s="3"/>
      <c r="F1047" s="3"/>
      <c r="G1047" s="1393">
        <f t="shared" si="113"/>
        <v>0</v>
      </c>
      <c r="H1047" s="1341">
        <f t="shared" ref="H1047:Q1047" si="129">H$271*H$7</f>
        <v>0</v>
      </c>
      <c r="I1047" s="1341">
        <f t="shared" si="129"/>
        <v>0</v>
      </c>
      <c r="J1047" s="1341">
        <f t="shared" si="129"/>
        <v>0</v>
      </c>
      <c r="K1047" s="1341">
        <f t="shared" si="129"/>
        <v>0</v>
      </c>
      <c r="L1047" s="1341">
        <f t="shared" si="129"/>
        <v>0</v>
      </c>
      <c r="M1047" s="1341">
        <f t="shared" si="129"/>
        <v>0</v>
      </c>
      <c r="N1047" s="1341">
        <f t="shared" si="129"/>
        <v>0</v>
      </c>
      <c r="O1047" s="1341">
        <f t="shared" si="129"/>
        <v>0</v>
      </c>
      <c r="P1047" s="1341">
        <f t="shared" si="129"/>
        <v>0</v>
      </c>
      <c r="Q1047" s="1341">
        <f t="shared" si="129"/>
        <v>0</v>
      </c>
      <c r="R1047" s="248"/>
      <c r="S1047" s="4"/>
      <c r="T1047" s="4"/>
      <c r="U1047" s="4"/>
      <c r="V1047" s="4"/>
      <c r="W1047" s="4"/>
      <c r="X1047" s="4"/>
      <c r="Y1047" s="4"/>
      <c r="Z1047" s="4"/>
    </row>
    <row r="1048" spans="1:26" ht="12" hidden="1" customHeight="1" outlineLevel="1">
      <c r="A1048" s="3"/>
      <c r="B1048" s="3"/>
      <c r="C1048" s="3"/>
      <c r="D1048" s="133">
        <f>Asset17</f>
        <v>0</v>
      </c>
      <c r="E1048" s="3"/>
      <c r="F1048" s="3"/>
      <c r="G1048" s="1393">
        <f t="shared" si="113"/>
        <v>0</v>
      </c>
      <c r="H1048" s="1341">
        <f t="shared" ref="H1048:Q1048" si="130">H$284*H$7</f>
        <v>0</v>
      </c>
      <c r="I1048" s="1341">
        <f t="shared" si="130"/>
        <v>0</v>
      </c>
      <c r="J1048" s="1341">
        <f t="shared" si="130"/>
        <v>0</v>
      </c>
      <c r="K1048" s="1341">
        <f t="shared" si="130"/>
        <v>0</v>
      </c>
      <c r="L1048" s="1341">
        <f t="shared" si="130"/>
        <v>0</v>
      </c>
      <c r="M1048" s="1341">
        <f t="shared" si="130"/>
        <v>0</v>
      </c>
      <c r="N1048" s="1341">
        <f t="shared" si="130"/>
        <v>0</v>
      </c>
      <c r="O1048" s="1341">
        <f t="shared" si="130"/>
        <v>0</v>
      </c>
      <c r="P1048" s="1341">
        <f t="shared" si="130"/>
        <v>0</v>
      </c>
      <c r="Q1048" s="1341">
        <f t="shared" si="130"/>
        <v>0</v>
      </c>
      <c r="R1048" s="248"/>
      <c r="S1048" s="4"/>
      <c r="T1048" s="4"/>
      <c r="U1048" s="4"/>
      <c r="V1048" s="4"/>
      <c r="W1048" s="4"/>
      <c r="X1048" s="4"/>
      <c r="Y1048" s="4"/>
      <c r="Z1048" s="4"/>
    </row>
    <row r="1049" spans="1:26" ht="12" hidden="1" customHeight="1" outlineLevel="1">
      <c r="A1049" s="3"/>
      <c r="B1049" s="3"/>
      <c r="C1049" s="3"/>
      <c r="D1049" s="133">
        <f>Asset18</f>
        <v>0</v>
      </c>
      <c r="E1049" s="3"/>
      <c r="F1049" s="3"/>
      <c r="G1049" s="1393">
        <f t="shared" si="113"/>
        <v>0</v>
      </c>
      <c r="H1049" s="1341">
        <f t="shared" ref="H1049:Q1049" si="131">H$297*H$7</f>
        <v>0</v>
      </c>
      <c r="I1049" s="1341">
        <f t="shared" si="131"/>
        <v>0</v>
      </c>
      <c r="J1049" s="1341">
        <f t="shared" si="131"/>
        <v>0</v>
      </c>
      <c r="K1049" s="1341">
        <f t="shared" si="131"/>
        <v>0</v>
      </c>
      <c r="L1049" s="1341">
        <f t="shared" si="131"/>
        <v>0</v>
      </c>
      <c r="M1049" s="1341">
        <f t="shared" si="131"/>
        <v>0</v>
      </c>
      <c r="N1049" s="1341">
        <f t="shared" si="131"/>
        <v>0</v>
      </c>
      <c r="O1049" s="1341">
        <f t="shared" si="131"/>
        <v>0</v>
      </c>
      <c r="P1049" s="1341">
        <f t="shared" si="131"/>
        <v>0</v>
      </c>
      <c r="Q1049" s="1341">
        <f t="shared" si="131"/>
        <v>0</v>
      </c>
      <c r="R1049" s="248"/>
      <c r="S1049" s="4"/>
      <c r="T1049" s="4"/>
      <c r="U1049" s="4"/>
      <c r="V1049" s="4"/>
      <c r="W1049" s="4"/>
      <c r="X1049" s="4"/>
      <c r="Y1049" s="4"/>
      <c r="Z1049" s="4"/>
    </row>
    <row r="1050" spans="1:26" ht="12" hidden="1" customHeight="1" outlineLevel="1">
      <c r="A1050" s="3"/>
      <c r="B1050" s="3"/>
      <c r="C1050" s="3"/>
      <c r="D1050" s="133">
        <f>Asset19</f>
        <v>0</v>
      </c>
      <c r="E1050" s="3"/>
      <c r="F1050" s="3"/>
      <c r="G1050" s="1393">
        <f t="shared" si="113"/>
        <v>0</v>
      </c>
      <c r="H1050" s="1341">
        <f t="shared" ref="H1050:Q1050" si="132">H$310*H$7</f>
        <v>0</v>
      </c>
      <c r="I1050" s="1341">
        <f t="shared" si="132"/>
        <v>0</v>
      </c>
      <c r="J1050" s="1341">
        <f t="shared" si="132"/>
        <v>0</v>
      </c>
      <c r="K1050" s="1341">
        <f t="shared" si="132"/>
        <v>0</v>
      </c>
      <c r="L1050" s="1341">
        <f t="shared" si="132"/>
        <v>0</v>
      </c>
      <c r="M1050" s="1341">
        <f t="shared" si="132"/>
        <v>0</v>
      </c>
      <c r="N1050" s="1341">
        <f t="shared" si="132"/>
        <v>0</v>
      </c>
      <c r="O1050" s="1341">
        <f t="shared" si="132"/>
        <v>0</v>
      </c>
      <c r="P1050" s="1341">
        <f t="shared" si="132"/>
        <v>0</v>
      </c>
      <c r="Q1050" s="1341">
        <f t="shared" si="132"/>
        <v>0</v>
      </c>
      <c r="R1050" s="248"/>
      <c r="S1050" s="4"/>
      <c r="T1050" s="4"/>
      <c r="U1050" s="4"/>
      <c r="V1050" s="4"/>
      <c r="W1050" s="4"/>
      <c r="X1050" s="4"/>
      <c r="Y1050" s="4"/>
      <c r="Z1050" s="4"/>
    </row>
    <row r="1051" spans="1:26" ht="12" hidden="1" customHeight="1" outlineLevel="1">
      <c r="A1051" s="3"/>
      <c r="B1051" s="3"/>
      <c r="C1051" s="3"/>
      <c r="D1051" s="133">
        <f>Asset20</f>
        <v>0</v>
      </c>
      <c r="E1051" s="3"/>
      <c r="F1051" s="3"/>
      <c r="G1051" s="1393">
        <f t="shared" si="113"/>
        <v>0</v>
      </c>
      <c r="H1051" s="1341">
        <f t="shared" ref="H1051:Q1051" si="133">H$323*H$7</f>
        <v>0</v>
      </c>
      <c r="I1051" s="1341">
        <f t="shared" si="133"/>
        <v>0</v>
      </c>
      <c r="J1051" s="1341">
        <f t="shared" si="133"/>
        <v>0</v>
      </c>
      <c r="K1051" s="1341">
        <f t="shared" si="133"/>
        <v>0</v>
      </c>
      <c r="L1051" s="1341">
        <f t="shared" si="133"/>
        <v>0</v>
      </c>
      <c r="M1051" s="1341">
        <f t="shared" si="133"/>
        <v>0</v>
      </c>
      <c r="N1051" s="1341">
        <f t="shared" si="133"/>
        <v>0</v>
      </c>
      <c r="O1051" s="1341">
        <f t="shared" si="133"/>
        <v>0</v>
      </c>
      <c r="P1051" s="1341">
        <f t="shared" si="133"/>
        <v>0</v>
      </c>
      <c r="Q1051" s="1341">
        <f t="shared" si="133"/>
        <v>0</v>
      </c>
      <c r="R1051" s="248"/>
      <c r="S1051" s="4"/>
      <c r="T1051" s="4"/>
      <c r="U1051" s="4"/>
      <c r="V1051" s="4"/>
      <c r="W1051" s="4"/>
      <c r="X1051" s="4"/>
      <c r="Y1051" s="4"/>
      <c r="Z1051" s="4"/>
    </row>
    <row r="1052" spans="1:26" ht="12" hidden="1" customHeight="1" outlineLevel="1">
      <c r="A1052" s="3"/>
      <c r="B1052" s="3"/>
      <c r="C1052" s="3"/>
      <c r="D1052" s="133">
        <f>Asset21</f>
        <v>0</v>
      </c>
      <c r="E1052" s="3"/>
      <c r="F1052" s="3"/>
      <c r="G1052" s="1393">
        <f t="shared" si="113"/>
        <v>0</v>
      </c>
      <c r="H1052" s="1341">
        <f t="shared" ref="H1052:Q1052" si="134">H$336*H$7</f>
        <v>0</v>
      </c>
      <c r="I1052" s="1341">
        <f t="shared" si="134"/>
        <v>0</v>
      </c>
      <c r="J1052" s="1341">
        <f t="shared" si="134"/>
        <v>0</v>
      </c>
      <c r="K1052" s="1341">
        <f t="shared" si="134"/>
        <v>0</v>
      </c>
      <c r="L1052" s="1341">
        <f t="shared" si="134"/>
        <v>0</v>
      </c>
      <c r="M1052" s="1341">
        <f t="shared" si="134"/>
        <v>0</v>
      </c>
      <c r="N1052" s="1341">
        <f t="shared" si="134"/>
        <v>0</v>
      </c>
      <c r="O1052" s="1341">
        <f t="shared" si="134"/>
        <v>0</v>
      </c>
      <c r="P1052" s="1341">
        <f t="shared" si="134"/>
        <v>0</v>
      </c>
      <c r="Q1052" s="1341">
        <f t="shared" si="134"/>
        <v>0</v>
      </c>
      <c r="R1052" s="248"/>
      <c r="S1052" s="4"/>
      <c r="T1052" s="4"/>
      <c r="U1052" s="4"/>
      <c r="V1052" s="4"/>
      <c r="W1052" s="4"/>
      <c r="X1052" s="4"/>
      <c r="Y1052" s="4"/>
      <c r="Z1052" s="4"/>
    </row>
    <row r="1053" spans="1:26" ht="12" hidden="1" customHeight="1" outlineLevel="1">
      <c r="A1053" s="3"/>
      <c r="B1053" s="3"/>
      <c r="C1053" s="3"/>
      <c r="D1053" s="133">
        <f>Asset22</f>
        <v>0</v>
      </c>
      <c r="E1053" s="3"/>
      <c r="F1053" s="3"/>
      <c r="G1053" s="1393">
        <f t="shared" si="113"/>
        <v>0</v>
      </c>
      <c r="H1053" s="1341">
        <f t="shared" ref="H1053:Q1053" si="135">H$349*H$7</f>
        <v>0</v>
      </c>
      <c r="I1053" s="1341">
        <f t="shared" si="135"/>
        <v>0</v>
      </c>
      <c r="J1053" s="1341">
        <f t="shared" si="135"/>
        <v>0</v>
      </c>
      <c r="K1053" s="1341">
        <f t="shared" si="135"/>
        <v>0</v>
      </c>
      <c r="L1053" s="1341">
        <f t="shared" si="135"/>
        <v>0</v>
      </c>
      <c r="M1053" s="1341">
        <f t="shared" si="135"/>
        <v>0</v>
      </c>
      <c r="N1053" s="1341">
        <f t="shared" si="135"/>
        <v>0</v>
      </c>
      <c r="O1053" s="1341">
        <f t="shared" si="135"/>
        <v>0</v>
      </c>
      <c r="P1053" s="1341">
        <f t="shared" si="135"/>
        <v>0</v>
      </c>
      <c r="Q1053" s="1341">
        <f t="shared" si="135"/>
        <v>0</v>
      </c>
      <c r="R1053" s="248"/>
      <c r="S1053" s="4"/>
      <c r="T1053" s="4"/>
      <c r="U1053" s="4"/>
      <c r="V1053" s="4"/>
      <c r="W1053" s="4"/>
      <c r="X1053" s="4"/>
      <c r="Y1053" s="4"/>
      <c r="Z1053" s="4"/>
    </row>
    <row r="1054" spans="1:26" ht="12" hidden="1" customHeight="1" outlineLevel="1">
      <c r="A1054" s="3"/>
      <c r="B1054" s="3"/>
      <c r="C1054" s="3"/>
      <c r="D1054" s="133">
        <f>Asset23</f>
        <v>0</v>
      </c>
      <c r="E1054" s="3"/>
      <c r="F1054" s="3"/>
      <c r="G1054" s="1393">
        <f t="shared" si="113"/>
        <v>0</v>
      </c>
      <c r="H1054" s="1341">
        <f t="shared" ref="H1054:Q1054" si="136">H$362*H$7</f>
        <v>0</v>
      </c>
      <c r="I1054" s="1341">
        <f t="shared" si="136"/>
        <v>0</v>
      </c>
      <c r="J1054" s="1341">
        <f t="shared" si="136"/>
        <v>0</v>
      </c>
      <c r="K1054" s="1341">
        <f t="shared" si="136"/>
        <v>0</v>
      </c>
      <c r="L1054" s="1341">
        <f t="shared" si="136"/>
        <v>0</v>
      </c>
      <c r="M1054" s="1341">
        <f t="shared" si="136"/>
        <v>0</v>
      </c>
      <c r="N1054" s="1341">
        <f t="shared" si="136"/>
        <v>0</v>
      </c>
      <c r="O1054" s="1341">
        <f t="shared" si="136"/>
        <v>0</v>
      </c>
      <c r="P1054" s="1341">
        <f t="shared" si="136"/>
        <v>0</v>
      </c>
      <c r="Q1054" s="1341">
        <f t="shared" si="136"/>
        <v>0</v>
      </c>
      <c r="R1054" s="248"/>
      <c r="S1054" s="4"/>
      <c r="T1054" s="4"/>
      <c r="U1054" s="4"/>
      <c r="V1054" s="4"/>
      <c r="W1054" s="4"/>
      <c r="X1054" s="4"/>
      <c r="Y1054" s="4"/>
      <c r="Z1054" s="4"/>
    </row>
    <row r="1055" spans="1:26" ht="12" hidden="1" customHeight="1" outlineLevel="1">
      <c r="A1055" s="3"/>
      <c r="B1055" s="3"/>
      <c r="C1055" s="3"/>
      <c r="D1055" s="133">
        <f>Asset24</f>
        <v>0</v>
      </c>
      <c r="E1055" s="3"/>
      <c r="F1055" s="3"/>
      <c r="G1055" s="1393">
        <f t="shared" si="113"/>
        <v>0</v>
      </c>
      <c r="H1055" s="1341">
        <f t="shared" ref="H1055:Q1055" si="137">H$375*H$7</f>
        <v>0</v>
      </c>
      <c r="I1055" s="1341">
        <f t="shared" si="137"/>
        <v>0</v>
      </c>
      <c r="J1055" s="1341">
        <f t="shared" si="137"/>
        <v>0</v>
      </c>
      <c r="K1055" s="1341">
        <f t="shared" si="137"/>
        <v>0</v>
      </c>
      <c r="L1055" s="1341">
        <f t="shared" si="137"/>
        <v>0</v>
      </c>
      <c r="M1055" s="1341">
        <f t="shared" si="137"/>
        <v>0</v>
      </c>
      <c r="N1055" s="1341">
        <f t="shared" si="137"/>
        <v>0</v>
      </c>
      <c r="O1055" s="1341">
        <f t="shared" si="137"/>
        <v>0</v>
      </c>
      <c r="P1055" s="1341">
        <f t="shared" si="137"/>
        <v>0</v>
      </c>
      <c r="Q1055" s="1341">
        <f t="shared" si="137"/>
        <v>0</v>
      </c>
      <c r="R1055" s="248"/>
      <c r="S1055" s="4"/>
      <c r="T1055" s="4"/>
      <c r="U1055" s="4"/>
      <c r="V1055" s="4"/>
      <c r="W1055" s="4"/>
      <c r="X1055" s="4"/>
      <c r="Y1055" s="4"/>
      <c r="Z1055" s="4"/>
    </row>
    <row r="1056" spans="1:26" ht="12" hidden="1" customHeight="1" outlineLevel="1">
      <c r="A1056" s="3"/>
      <c r="B1056" s="3"/>
      <c r="C1056" s="3"/>
      <c r="D1056" s="133">
        <f>Asset25</f>
        <v>0</v>
      </c>
      <c r="E1056" s="3"/>
      <c r="F1056" s="3"/>
      <c r="G1056" s="1393">
        <f t="shared" si="113"/>
        <v>0</v>
      </c>
      <c r="H1056" s="1341">
        <f t="shared" ref="H1056:Q1056" si="138">H$388*H$7</f>
        <v>0</v>
      </c>
      <c r="I1056" s="1341">
        <f t="shared" si="138"/>
        <v>0</v>
      </c>
      <c r="J1056" s="1341">
        <f t="shared" si="138"/>
        <v>0</v>
      </c>
      <c r="K1056" s="1341">
        <f t="shared" si="138"/>
        <v>0</v>
      </c>
      <c r="L1056" s="1341">
        <f t="shared" si="138"/>
        <v>0</v>
      </c>
      <c r="M1056" s="1341">
        <f t="shared" si="138"/>
        <v>0</v>
      </c>
      <c r="N1056" s="1341">
        <f t="shared" si="138"/>
        <v>0</v>
      </c>
      <c r="O1056" s="1341">
        <f t="shared" si="138"/>
        <v>0</v>
      </c>
      <c r="P1056" s="1341">
        <f t="shared" si="138"/>
        <v>0</v>
      </c>
      <c r="Q1056" s="1341">
        <f t="shared" si="138"/>
        <v>0</v>
      </c>
      <c r="R1056" s="248"/>
      <c r="S1056" s="4"/>
      <c r="T1056" s="4"/>
      <c r="U1056" s="4"/>
      <c r="V1056" s="4"/>
      <c r="W1056" s="4"/>
      <c r="X1056" s="4"/>
      <c r="Y1056" s="4"/>
      <c r="Z1056" s="4"/>
    </row>
    <row r="1057" spans="1:26" ht="12" hidden="1" customHeight="1" outlineLevel="1">
      <c r="A1057" s="3"/>
      <c r="B1057" s="3"/>
      <c r="C1057" s="3"/>
      <c r="D1057" s="133">
        <f>Asset26</f>
        <v>0</v>
      </c>
      <c r="E1057" s="3"/>
      <c r="F1057" s="3"/>
      <c r="G1057" s="1393">
        <f t="shared" si="113"/>
        <v>0</v>
      </c>
      <c r="H1057" s="1341">
        <f t="shared" ref="H1057:Q1057" si="139">H$401*H$7</f>
        <v>0</v>
      </c>
      <c r="I1057" s="1341">
        <f t="shared" si="139"/>
        <v>0</v>
      </c>
      <c r="J1057" s="1341">
        <f t="shared" si="139"/>
        <v>0</v>
      </c>
      <c r="K1057" s="1341">
        <f t="shared" si="139"/>
        <v>0</v>
      </c>
      <c r="L1057" s="1341">
        <f t="shared" si="139"/>
        <v>0</v>
      </c>
      <c r="M1057" s="1341">
        <f t="shared" si="139"/>
        <v>0</v>
      </c>
      <c r="N1057" s="1341">
        <f t="shared" si="139"/>
        <v>0</v>
      </c>
      <c r="O1057" s="1341">
        <f t="shared" si="139"/>
        <v>0</v>
      </c>
      <c r="P1057" s="1341">
        <f t="shared" si="139"/>
        <v>0</v>
      </c>
      <c r="Q1057" s="1341">
        <f t="shared" si="139"/>
        <v>0</v>
      </c>
      <c r="R1057" s="248"/>
      <c r="S1057" s="4"/>
      <c r="T1057" s="4"/>
      <c r="U1057" s="4"/>
      <c r="V1057" s="4"/>
      <c r="W1057" s="4"/>
      <c r="X1057" s="4"/>
      <c r="Y1057" s="4"/>
      <c r="Z1057" s="4"/>
    </row>
    <row r="1058" spans="1:26" ht="12" hidden="1" customHeight="1" outlineLevel="1">
      <c r="A1058" s="3"/>
      <c r="B1058" s="3"/>
      <c r="C1058" s="3"/>
      <c r="D1058" s="133">
        <f>Asset27</f>
        <v>0</v>
      </c>
      <c r="E1058" s="3"/>
      <c r="F1058" s="3"/>
      <c r="G1058" s="1393">
        <f t="shared" si="113"/>
        <v>0</v>
      </c>
      <c r="H1058" s="1341">
        <f t="shared" ref="H1058:Q1058" si="140">H$414*H$7</f>
        <v>0</v>
      </c>
      <c r="I1058" s="1341">
        <f t="shared" si="140"/>
        <v>0</v>
      </c>
      <c r="J1058" s="1341">
        <f t="shared" si="140"/>
        <v>0</v>
      </c>
      <c r="K1058" s="1341">
        <f t="shared" si="140"/>
        <v>0</v>
      </c>
      <c r="L1058" s="1341">
        <f t="shared" si="140"/>
        <v>0</v>
      </c>
      <c r="M1058" s="1341">
        <f t="shared" si="140"/>
        <v>0</v>
      </c>
      <c r="N1058" s="1341">
        <f t="shared" si="140"/>
        <v>0</v>
      </c>
      <c r="O1058" s="1341">
        <f t="shared" si="140"/>
        <v>0</v>
      </c>
      <c r="P1058" s="1341">
        <f t="shared" si="140"/>
        <v>0</v>
      </c>
      <c r="Q1058" s="1341">
        <f t="shared" si="140"/>
        <v>0</v>
      </c>
      <c r="R1058" s="248"/>
      <c r="S1058" s="4"/>
      <c r="T1058" s="4"/>
      <c r="U1058" s="4"/>
      <c r="V1058" s="4"/>
      <c r="W1058" s="4"/>
      <c r="X1058" s="4"/>
      <c r="Y1058" s="4"/>
      <c r="Z1058" s="4"/>
    </row>
    <row r="1059" spans="1:26" ht="12" hidden="1" customHeight="1" outlineLevel="1">
      <c r="A1059" s="3"/>
      <c r="B1059" s="3"/>
      <c r="C1059" s="3"/>
      <c r="D1059" s="133">
        <f>Asset28</f>
        <v>0</v>
      </c>
      <c r="E1059" s="3"/>
      <c r="F1059" s="3"/>
      <c r="G1059" s="1393">
        <f t="shared" si="113"/>
        <v>0</v>
      </c>
      <c r="H1059" s="1341">
        <f t="shared" ref="H1059:Q1059" si="141">H$427*H$7</f>
        <v>0</v>
      </c>
      <c r="I1059" s="1341">
        <f t="shared" si="141"/>
        <v>0</v>
      </c>
      <c r="J1059" s="1341">
        <f t="shared" si="141"/>
        <v>0</v>
      </c>
      <c r="K1059" s="1341">
        <f t="shared" si="141"/>
        <v>0</v>
      </c>
      <c r="L1059" s="1341">
        <f t="shared" si="141"/>
        <v>0</v>
      </c>
      <c r="M1059" s="1341">
        <f t="shared" si="141"/>
        <v>0</v>
      </c>
      <c r="N1059" s="1341">
        <f t="shared" si="141"/>
        <v>0</v>
      </c>
      <c r="O1059" s="1341">
        <f t="shared" si="141"/>
        <v>0</v>
      </c>
      <c r="P1059" s="1341">
        <f t="shared" si="141"/>
        <v>0</v>
      </c>
      <c r="Q1059" s="1341">
        <f t="shared" si="141"/>
        <v>0</v>
      </c>
      <c r="R1059" s="248"/>
      <c r="S1059" s="4"/>
      <c r="T1059" s="4"/>
      <c r="U1059" s="4"/>
      <c r="V1059" s="4"/>
      <c r="W1059" s="4"/>
      <c r="X1059" s="4"/>
      <c r="Y1059" s="4"/>
      <c r="Z1059" s="4"/>
    </row>
    <row r="1060" spans="1:26" ht="12" hidden="1" customHeight="1" outlineLevel="1">
      <c r="A1060" s="3"/>
      <c r="B1060" s="3"/>
      <c r="C1060" s="3"/>
      <c r="D1060" s="133">
        <f>Asset29</f>
        <v>0</v>
      </c>
      <c r="E1060" s="3"/>
      <c r="F1060" s="3"/>
      <c r="G1060" s="1393">
        <f t="shared" si="113"/>
        <v>0</v>
      </c>
      <c r="H1060" s="1341">
        <f t="shared" ref="H1060:Q1060" si="142">H$440*H$7</f>
        <v>0</v>
      </c>
      <c r="I1060" s="1341">
        <f t="shared" si="142"/>
        <v>0</v>
      </c>
      <c r="J1060" s="1341">
        <f t="shared" si="142"/>
        <v>0</v>
      </c>
      <c r="K1060" s="1341">
        <f t="shared" si="142"/>
        <v>0</v>
      </c>
      <c r="L1060" s="1341">
        <f t="shared" si="142"/>
        <v>0</v>
      </c>
      <c r="M1060" s="1341">
        <f t="shared" si="142"/>
        <v>0</v>
      </c>
      <c r="N1060" s="1341">
        <f t="shared" si="142"/>
        <v>0</v>
      </c>
      <c r="O1060" s="1341">
        <f t="shared" si="142"/>
        <v>0</v>
      </c>
      <c r="P1060" s="1341">
        <f t="shared" si="142"/>
        <v>0</v>
      </c>
      <c r="Q1060" s="1341">
        <f t="shared" si="142"/>
        <v>0</v>
      </c>
      <c r="R1060" s="248"/>
      <c r="S1060" s="4"/>
      <c r="T1060" s="4"/>
      <c r="U1060" s="4"/>
      <c r="V1060" s="4"/>
      <c r="W1060" s="4"/>
      <c r="X1060" s="4"/>
      <c r="Y1060" s="4"/>
      <c r="Z1060" s="4"/>
    </row>
    <row r="1061" spans="1:26" ht="12" hidden="1" customHeight="1" outlineLevel="1">
      <c r="A1061" s="3"/>
      <c r="B1061" s="3"/>
      <c r="C1061" s="3"/>
      <c r="D1061" s="133">
        <f>Asset30</f>
        <v>0</v>
      </c>
      <c r="E1061" s="3"/>
      <c r="F1061" s="3"/>
      <c r="G1061" s="1393">
        <f t="shared" si="113"/>
        <v>0</v>
      </c>
      <c r="H1061" s="1341">
        <f t="shared" ref="H1061:Q1061" si="143">H$453*H$7</f>
        <v>0</v>
      </c>
      <c r="I1061" s="1341">
        <f t="shared" si="143"/>
        <v>0</v>
      </c>
      <c r="J1061" s="1341">
        <f t="shared" si="143"/>
        <v>0</v>
      </c>
      <c r="K1061" s="1341">
        <f t="shared" si="143"/>
        <v>0</v>
      </c>
      <c r="L1061" s="1341">
        <f t="shared" si="143"/>
        <v>0</v>
      </c>
      <c r="M1061" s="1341">
        <f t="shared" si="143"/>
        <v>0</v>
      </c>
      <c r="N1061" s="1341">
        <f t="shared" si="143"/>
        <v>0</v>
      </c>
      <c r="O1061" s="1341">
        <f t="shared" si="143"/>
        <v>0</v>
      </c>
      <c r="P1061" s="1341">
        <f t="shared" si="143"/>
        <v>0</v>
      </c>
      <c r="Q1061" s="1341">
        <f t="shared" si="143"/>
        <v>0</v>
      </c>
      <c r="R1061" s="248"/>
      <c r="S1061" s="4"/>
      <c r="T1061" s="4"/>
      <c r="U1061" s="4"/>
      <c r="V1061" s="4"/>
      <c r="W1061" s="4"/>
      <c r="X1061" s="4"/>
      <c r="Y1061" s="4"/>
      <c r="Z1061" s="4"/>
    </row>
    <row r="1062" spans="1:26" ht="12" hidden="1" customHeight="1" outlineLevel="1">
      <c r="A1062" s="3"/>
      <c r="B1062" s="3"/>
      <c r="C1062" s="3"/>
      <c r="D1062" s="133">
        <f>Asset31</f>
        <v>0</v>
      </c>
      <c r="E1062" s="3"/>
      <c r="F1062" s="3"/>
      <c r="G1062" s="1393">
        <f t="shared" si="113"/>
        <v>0</v>
      </c>
      <c r="H1062" s="1341">
        <f t="shared" ref="H1062:Q1062" si="144">H$466*H$7</f>
        <v>0</v>
      </c>
      <c r="I1062" s="1341">
        <f t="shared" si="144"/>
        <v>0</v>
      </c>
      <c r="J1062" s="1341">
        <f t="shared" si="144"/>
        <v>0</v>
      </c>
      <c r="K1062" s="1341">
        <f t="shared" si="144"/>
        <v>0</v>
      </c>
      <c r="L1062" s="1341">
        <f t="shared" si="144"/>
        <v>0</v>
      </c>
      <c r="M1062" s="1341">
        <f t="shared" si="144"/>
        <v>0</v>
      </c>
      <c r="N1062" s="1341">
        <f t="shared" si="144"/>
        <v>0</v>
      </c>
      <c r="O1062" s="1341">
        <f t="shared" si="144"/>
        <v>0</v>
      </c>
      <c r="P1062" s="1341">
        <f t="shared" si="144"/>
        <v>0</v>
      </c>
      <c r="Q1062" s="1341">
        <f t="shared" si="144"/>
        <v>0</v>
      </c>
      <c r="R1062" s="248"/>
      <c r="S1062" s="4"/>
      <c r="T1062" s="4"/>
      <c r="U1062" s="4"/>
      <c r="V1062" s="4"/>
      <c r="W1062" s="4"/>
      <c r="X1062" s="4"/>
      <c r="Y1062" s="4"/>
      <c r="Z1062" s="4"/>
    </row>
    <row r="1063" spans="1:26" ht="12" hidden="1" customHeight="1" outlineLevel="1">
      <c r="A1063" s="3"/>
      <c r="B1063" s="3"/>
      <c r="C1063" s="3"/>
      <c r="D1063" s="133">
        <f>Asset32</f>
        <v>0</v>
      </c>
      <c r="E1063" s="3"/>
      <c r="F1063" s="3"/>
      <c r="G1063" s="1393">
        <f t="shared" si="113"/>
        <v>0</v>
      </c>
      <c r="H1063" s="1341">
        <f t="shared" ref="H1063:Q1063" si="145">H$479*H$7</f>
        <v>0</v>
      </c>
      <c r="I1063" s="1341">
        <f t="shared" si="145"/>
        <v>0</v>
      </c>
      <c r="J1063" s="1341">
        <f t="shared" si="145"/>
        <v>0</v>
      </c>
      <c r="K1063" s="1341">
        <f t="shared" si="145"/>
        <v>0</v>
      </c>
      <c r="L1063" s="1341">
        <f t="shared" si="145"/>
        <v>0</v>
      </c>
      <c r="M1063" s="1341">
        <f t="shared" si="145"/>
        <v>0</v>
      </c>
      <c r="N1063" s="1341">
        <f t="shared" si="145"/>
        <v>0</v>
      </c>
      <c r="O1063" s="1341">
        <f t="shared" si="145"/>
        <v>0</v>
      </c>
      <c r="P1063" s="1341">
        <f t="shared" si="145"/>
        <v>0</v>
      </c>
      <c r="Q1063" s="1341">
        <f t="shared" si="145"/>
        <v>0</v>
      </c>
      <c r="R1063" s="248"/>
      <c r="S1063" s="4"/>
      <c r="T1063" s="4"/>
      <c r="U1063" s="4"/>
      <c r="V1063" s="4"/>
      <c r="W1063" s="4"/>
      <c r="X1063" s="4"/>
      <c r="Y1063" s="4"/>
      <c r="Z1063" s="4"/>
    </row>
    <row r="1064" spans="1:26" ht="12" hidden="1" customHeight="1" outlineLevel="1">
      <c r="A1064" s="3"/>
      <c r="B1064" s="3"/>
      <c r="C1064" s="3"/>
      <c r="D1064" s="133">
        <f>Asset33</f>
        <v>0</v>
      </c>
      <c r="E1064" s="3"/>
      <c r="F1064" s="3"/>
      <c r="G1064" s="1393">
        <f t="shared" si="113"/>
        <v>0</v>
      </c>
      <c r="H1064" s="1341">
        <f t="shared" ref="H1064:Q1064" si="146">H$492*H$7</f>
        <v>0</v>
      </c>
      <c r="I1064" s="1341">
        <f t="shared" si="146"/>
        <v>0</v>
      </c>
      <c r="J1064" s="1341">
        <f t="shared" si="146"/>
        <v>0</v>
      </c>
      <c r="K1064" s="1341">
        <f t="shared" si="146"/>
        <v>0</v>
      </c>
      <c r="L1064" s="1341">
        <f t="shared" si="146"/>
        <v>0</v>
      </c>
      <c r="M1064" s="1341">
        <f t="shared" si="146"/>
        <v>0</v>
      </c>
      <c r="N1064" s="1341">
        <f t="shared" si="146"/>
        <v>0</v>
      </c>
      <c r="O1064" s="1341">
        <f t="shared" si="146"/>
        <v>0</v>
      </c>
      <c r="P1064" s="1341">
        <f t="shared" si="146"/>
        <v>0</v>
      </c>
      <c r="Q1064" s="1341">
        <f t="shared" si="146"/>
        <v>0</v>
      </c>
      <c r="R1064" s="248"/>
      <c r="S1064" s="4"/>
      <c r="T1064" s="4"/>
      <c r="U1064" s="4"/>
      <c r="V1064" s="4"/>
      <c r="W1064" s="4"/>
      <c r="X1064" s="4"/>
      <c r="Y1064" s="4"/>
      <c r="Z1064" s="4"/>
    </row>
    <row r="1065" spans="1:26" ht="12" hidden="1" customHeight="1" outlineLevel="1">
      <c r="A1065" s="3"/>
      <c r="B1065" s="3"/>
      <c r="C1065" s="3"/>
      <c r="D1065" s="133">
        <f>Asset34</f>
        <v>0</v>
      </c>
      <c r="E1065" s="3"/>
      <c r="F1065" s="3"/>
      <c r="G1065" s="1393">
        <f t="shared" si="113"/>
        <v>0</v>
      </c>
      <c r="H1065" s="1341">
        <f t="shared" ref="H1065:Q1065" si="147">H$505*H$7</f>
        <v>0</v>
      </c>
      <c r="I1065" s="1341">
        <f t="shared" si="147"/>
        <v>0</v>
      </c>
      <c r="J1065" s="1341">
        <f t="shared" si="147"/>
        <v>0</v>
      </c>
      <c r="K1065" s="1341">
        <f t="shared" si="147"/>
        <v>0</v>
      </c>
      <c r="L1065" s="1341">
        <f t="shared" si="147"/>
        <v>0</v>
      </c>
      <c r="M1065" s="1341">
        <f t="shared" si="147"/>
        <v>0</v>
      </c>
      <c r="N1065" s="1341">
        <f t="shared" si="147"/>
        <v>0</v>
      </c>
      <c r="O1065" s="1341">
        <f t="shared" si="147"/>
        <v>0</v>
      </c>
      <c r="P1065" s="1341">
        <f t="shared" si="147"/>
        <v>0</v>
      </c>
      <c r="Q1065" s="1341">
        <f t="shared" si="147"/>
        <v>0</v>
      </c>
      <c r="R1065" s="248"/>
      <c r="S1065" s="4"/>
      <c r="T1065" s="4"/>
      <c r="U1065" s="4"/>
      <c r="V1065" s="4"/>
      <c r="W1065" s="4"/>
      <c r="X1065" s="4"/>
      <c r="Y1065" s="4"/>
      <c r="Z1065" s="4"/>
    </row>
    <row r="1066" spans="1:26" ht="12" hidden="1" customHeight="1" outlineLevel="1">
      <c r="A1066" s="3"/>
      <c r="B1066" s="3"/>
      <c r="C1066" s="3"/>
      <c r="D1066" s="133">
        <f>Asset35</f>
        <v>0</v>
      </c>
      <c r="E1066" s="3"/>
      <c r="F1066" s="3"/>
      <c r="G1066" s="1393">
        <f t="shared" si="113"/>
        <v>0</v>
      </c>
      <c r="H1066" s="1341">
        <f t="shared" ref="H1066:Q1066" si="148">H$518*H$7</f>
        <v>0</v>
      </c>
      <c r="I1066" s="1341">
        <f t="shared" si="148"/>
        <v>0</v>
      </c>
      <c r="J1066" s="1341">
        <f t="shared" si="148"/>
        <v>0</v>
      </c>
      <c r="K1066" s="1341">
        <f t="shared" si="148"/>
        <v>0</v>
      </c>
      <c r="L1066" s="1341">
        <f t="shared" si="148"/>
        <v>0</v>
      </c>
      <c r="M1066" s="1341">
        <f t="shared" si="148"/>
        <v>0</v>
      </c>
      <c r="N1066" s="1341">
        <f t="shared" si="148"/>
        <v>0</v>
      </c>
      <c r="O1066" s="1341">
        <f t="shared" si="148"/>
        <v>0</v>
      </c>
      <c r="P1066" s="1341">
        <f t="shared" si="148"/>
        <v>0</v>
      </c>
      <c r="Q1066" s="1341">
        <f t="shared" si="148"/>
        <v>0</v>
      </c>
      <c r="R1066" s="248"/>
      <c r="S1066" s="4"/>
      <c r="T1066" s="4"/>
      <c r="U1066" s="4"/>
      <c r="V1066" s="4"/>
      <c r="W1066" s="4"/>
      <c r="X1066" s="4"/>
      <c r="Y1066" s="4"/>
      <c r="Z1066" s="4"/>
    </row>
    <row r="1067" spans="1:26" ht="12" hidden="1" customHeight="1" outlineLevel="1">
      <c r="A1067" s="3"/>
      <c r="B1067" s="3"/>
      <c r="C1067" s="3"/>
      <c r="D1067" s="133">
        <f>Asset36</f>
        <v>0</v>
      </c>
      <c r="E1067" s="3"/>
      <c r="F1067" s="3"/>
      <c r="G1067" s="1393">
        <f t="shared" si="113"/>
        <v>0</v>
      </c>
      <c r="H1067" s="1341">
        <f t="shared" ref="H1067:Q1067" si="149">H$531*H$7</f>
        <v>0</v>
      </c>
      <c r="I1067" s="1341">
        <f t="shared" si="149"/>
        <v>0</v>
      </c>
      <c r="J1067" s="1341">
        <f t="shared" si="149"/>
        <v>0</v>
      </c>
      <c r="K1067" s="1341">
        <f t="shared" si="149"/>
        <v>0</v>
      </c>
      <c r="L1067" s="1341">
        <f t="shared" si="149"/>
        <v>0</v>
      </c>
      <c r="M1067" s="1341">
        <f t="shared" si="149"/>
        <v>0</v>
      </c>
      <c r="N1067" s="1341">
        <f t="shared" si="149"/>
        <v>0</v>
      </c>
      <c r="O1067" s="1341">
        <f t="shared" si="149"/>
        <v>0</v>
      </c>
      <c r="P1067" s="1341">
        <f t="shared" si="149"/>
        <v>0</v>
      </c>
      <c r="Q1067" s="1341">
        <f t="shared" si="149"/>
        <v>0</v>
      </c>
      <c r="R1067" s="248"/>
      <c r="S1067" s="4"/>
      <c r="T1067" s="4"/>
      <c r="U1067" s="4"/>
      <c r="V1067" s="4"/>
      <c r="W1067" s="4"/>
      <c r="X1067" s="4"/>
      <c r="Y1067" s="4"/>
      <c r="Z1067" s="4"/>
    </row>
    <row r="1068" spans="1:26" ht="12" hidden="1" customHeight="1" outlineLevel="1">
      <c r="A1068" s="3"/>
      <c r="B1068" s="3"/>
      <c r="C1068" s="3"/>
      <c r="D1068" s="133">
        <f>Asset37</f>
        <v>0</v>
      </c>
      <c r="E1068" s="3"/>
      <c r="F1068" s="3"/>
      <c r="G1068" s="1393">
        <f t="shared" si="113"/>
        <v>0</v>
      </c>
      <c r="H1068" s="1341">
        <f t="shared" ref="H1068:Q1068" si="150">H$544*H$7</f>
        <v>0</v>
      </c>
      <c r="I1068" s="1341">
        <f t="shared" si="150"/>
        <v>0</v>
      </c>
      <c r="J1068" s="1341">
        <f t="shared" si="150"/>
        <v>0</v>
      </c>
      <c r="K1068" s="1341">
        <f t="shared" si="150"/>
        <v>0</v>
      </c>
      <c r="L1068" s="1341">
        <f t="shared" si="150"/>
        <v>0</v>
      </c>
      <c r="M1068" s="1341">
        <f t="shared" si="150"/>
        <v>0</v>
      </c>
      <c r="N1068" s="1341">
        <f t="shared" si="150"/>
        <v>0</v>
      </c>
      <c r="O1068" s="1341">
        <f t="shared" si="150"/>
        <v>0</v>
      </c>
      <c r="P1068" s="1341">
        <f t="shared" si="150"/>
        <v>0</v>
      </c>
      <c r="Q1068" s="1341">
        <f t="shared" si="150"/>
        <v>0</v>
      </c>
      <c r="R1068" s="248"/>
      <c r="S1068" s="4"/>
      <c r="T1068" s="4"/>
      <c r="U1068" s="4"/>
      <c r="V1068" s="4"/>
      <c r="W1068" s="4"/>
      <c r="X1068" s="4"/>
      <c r="Y1068" s="4"/>
      <c r="Z1068" s="4"/>
    </row>
    <row r="1069" spans="1:26" ht="12" hidden="1" customHeight="1" outlineLevel="1">
      <c r="A1069" s="3"/>
      <c r="B1069" s="3"/>
      <c r="C1069" s="3"/>
      <c r="D1069" s="133">
        <f>Asset38</f>
        <v>0</v>
      </c>
      <c r="E1069" s="3"/>
      <c r="F1069" s="3"/>
      <c r="G1069" s="1393">
        <f t="shared" si="113"/>
        <v>0</v>
      </c>
      <c r="H1069" s="1341">
        <f t="shared" ref="H1069:Q1069" si="151">H$557*H$7</f>
        <v>0</v>
      </c>
      <c r="I1069" s="1341">
        <f t="shared" si="151"/>
        <v>0</v>
      </c>
      <c r="J1069" s="1341">
        <f t="shared" si="151"/>
        <v>0</v>
      </c>
      <c r="K1069" s="1341">
        <f t="shared" si="151"/>
        <v>0</v>
      </c>
      <c r="L1069" s="1341">
        <f t="shared" si="151"/>
        <v>0</v>
      </c>
      <c r="M1069" s="1341">
        <f t="shared" si="151"/>
        <v>0</v>
      </c>
      <c r="N1069" s="1341">
        <f t="shared" si="151"/>
        <v>0</v>
      </c>
      <c r="O1069" s="1341">
        <f t="shared" si="151"/>
        <v>0</v>
      </c>
      <c r="P1069" s="1341">
        <f t="shared" si="151"/>
        <v>0</v>
      </c>
      <c r="Q1069" s="1341">
        <f t="shared" si="151"/>
        <v>0</v>
      </c>
      <c r="R1069" s="248"/>
      <c r="S1069" s="4"/>
      <c r="T1069" s="4"/>
      <c r="U1069" s="4"/>
      <c r="V1069" s="4"/>
      <c r="W1069" s="4"/>
      <c r="X1069" s="4"/>
      <c r="Y1069" s="4"/>
      <c r="Z1069" s="4"/>
    </row>
    <row r="1070" spans="1:26" ht="12" hidden="1" customHeight="1" outlineLevel="1">
      <c r="A1070" s="3"/>
      <c r="B1070" s="3"/>
      <c r="C1070" s="3"/>
      <c r="D1070" s="133">
        <f>Asset39</f>
        <v>0</v>
      </c>
      <c r="E1070" s="3"/>
      <c r="F1070" s="3"/>
      <c r="G1070" s="1393">
        <f t="shared" si="113"/>
        <v>0</v>
      </c>
      <c r="H1070" s="1341">
        <f t="shared" ref="H1070:Q1070" si="152">H$570*H$7</f>
        <v>0</v>
      </c>
      <c r="I1070" s="1341">
        <f t="shared" si="152"/>
        <v>0</v>
      </c>
      <c r="J1070" s="1341">
        <f t="shared" si="152"/>
        <v>0</v>
      </c>
      <c r="K1070" s="1341">
        <f t="shared" si="152"/>
        <v>0</v>
      </c>
      <c r="L1070" s="1341">
        <f t="shared" si="152"/>
        <v>0</v>
      </c>
      <c r="M1070" s="1341">
        <f t="shared" si="152"/>
        <v>0</v>
      </c>
      <c r="N1070" s="1341">
        <f t="shared" si="152"/>
        <v>0</v>
      </c>
      <c r="O1070" s="1341">
        <f t="shared" si="152"/>
        <v>0</v>
      </c>
      <c r="P1070" s="1341">
        <f t="shared" si="152"/>
        <v>0</v>
      </c>
      <c r="Q1070" s="1341">
        <f t="shared" si="152"/>
        <v>0</v>
      </c>
      <c r="R1070" s="248"/>
      <c r="S1070" s="4"/>
      <c r="T1070" s="4"/>
      <c r="U1070" s="4"/>
      <c r="V1070" s="4"/>
      <c r="W1070" s="4"/>
      <c r="X1070" s="4"/>
      <c r="Y1070" s="4"/>
      <c r="Z1070" s="4"/>
    </row>
    <row r="1071" spans="1:26" ht="12" hidden="1" customHeight="1" outlineLevel="1">
      <c r="A1071" s="3"/>
      <c r="B1071" s="3"/>
      <c r="C1071" s="3"/>
      <c r="D1071" s="133">
        <f>Asset40</f>
        <v>0</v>
      </c>
      <c r="E1071" s="3"/>
      <c r="F1071" s="3"/>
      <c r="G1071" s="1393">
        <f t="shared" si="113"/>
        <v>0</v>
      </c>
      <c r="H1071" s="1341">
        <f t="shared" ref="H1071:Q1071" si="153">H$583*H$7</f>
        <v>0</v>
      </c>
      <c r="I1071" s="1341">
        <f t="shared" si="153"/>
        <v>0</v>
      </c>
      <c r="J1071" s="1341">
        <f t="shared" si="153"/>
        <v>0</v>
      </c>
      <c r="K1071" s="1341">
        <f t="shared" si="153"/>
        <v>0</v>
      </c>
      <c r="L1071" s="1341">
        <f t="shared" si="153"/>
        <v>0</v>
      </c>
      <c r="M1071" s="1341">
        <f t="shared" si="153"/>
        <v>0</v>
      </c>
      <c r="N1071" s="1341">
        <f t="shared" si="153"/>
        <v>0</v>
      </c>
      <c r="O1071" s="1341">
        <f t="shared" si="153"/>
        <v>0</v>
      </c>
      <c r="P1071" s="1341">
        <f t="shared" si="153"/>
        <v>0</v>
      </c>
      <c r="Q1071" s="1341">
        <f t="shared" si="153"/>
        <v>0</v>
      </c>
      <c r="R1071" s="248"/>
      <c r="S1071" s="4"/>
      <c r="T1071" s="4"/>
      <c r="U1071" s="4"/>
      <c r="V1071" s="4"/>
      <c r="W1071" s="4"/>
      <c r="X1071" s="4"/>
      <c r="Y1071" s="4"/>
      <c r="Z1071" s="4"/>
    </row>
    <row r="1072" spans="1:26" ht="12" hidden="1" customHeight="1" outlineLevel="1">
      <c r="A1072" s="3"/>
      <c r="B1072" s="3"/>
      <c r="C1072" s="3"/>
      <c r="D1072" s="133">
        <f>Asset41</f>
        <v>0</v>
      </c>
      <c r="E1072" s="3"/>
      <c r="F1072" s="3"/>
      <c r="G1072" s="1393">
        <f t="shared" si="113"/>
        <v>0</v>
      </c>
      <c r="H1072" s="1341">
        <f t="shared" ref="H1072:Q1072" si="154">H$596*H$7</f>
        <v>0</v>
      </c>
      <c r="I1072" s="1341">
        <f t="shared" si="154"/>
        <v>0</v>
      </c>
      <c r="J1072" s="1341">
        <f t="shared" si="154"/>
        <v>0</v>
      </c>
      <c r="K1072" s="1341">
        <f t="shared" si="154"/>
        <v>0</v>
      </c>
      <c r="L1072" s="1341">
        <f t="shared" si="154"/>
        <v>0</v>
      </c>
      <c r="M1072" s="1341">
        <f t="shared" si="154"/>
        <v>0</v>
      </c>
      <c r="N1072" s="1341">
        <f t="shared" si="154"/>
        <v>0</v>
      </c>
      <c r="O1072" s="1341">
        <f t="shared" si="154"/>
        <v>0</v>
      </c>
      <c r="P1072" s="1341">
        <f t="shared" si="154"/>
        <v>0</v>
      </c>
      <c r="Q1072" s="1341">
        <f t="shared" si="154"/>
        <v>0</v>
      </c>
      <c r="R1072" s="248"/>
      <c r="S1072" s="4"/>
      <c r="T1072" s="4"/>
      <c r="U1072" s="4"/>
      <c r="V1072" s="4"/>
      <c r="W1072" s="4"/>
      <c r="X1072" s="4"/>
      <c r="Y1072" s="4"/>
      <c r="Z1072" s="4"/>
    </row>
    <row r="1073" spans="1:26" ht="12" hidden="1" customHeight="1" outlineLevel="1">
      <c r="A1073" s="3"/>
      <c r="B1073" s="3"/>
      <c r="C1073" s="3"/>
      <c r="D1073" s="133">
        <f>Asset42</f>
        <v>0</v>
      </c>
      <c r="E1073" s="3"/>
      <c r="F1073" s="3"/>
      <c r="G1073" s="1393">
        <f t="shared" si="113"/>
        <v>0</v>
      </c>
      <c r="H1073" s="1341">
        <f t="shared" ref="H1073:Q1073" si="155">H$609*H$7</f>
        <v>0</v>
      </c>
      <c r="I1073" s="1341">
        <f t="shared" si="155"/>
        <v>0</v>
      </c>
      <c r="J1073" s="1341">
        <f t="shared" si="155"/>
        <v>0</v>
      </c>
      <c r="K1073" s="1341">
        <f t="shared" si="155"/>
        <v>0</v>
      </c>
      <c r="L1073" s="1341">
        <f t="shared" si="155"/>
        <v>0</v>
      </c>
      <c r="M1073" s="1341">
        <f t="shared" si="155"/>
        <v>0</v>
      </c>
      <c r="N1073" s="1341">
        <f t="shared" si="155"/>
        <v>0</v>
      </c>
      <c r="O1073" s="1341">
        <f t="shared" si="155"/>
        <v>0</v>
      </c>
      <c r="P1073" s="1341">
        <f t="shared" si="155"/>
        <v>0</v>
      </c>
      <c r="Q1073" s="1341">
        <f t="shared" si="155"/>
        <v>0</v>
      </c>
      <c r="R1073" s="248"/>
      <c r="S1073" s="4"/>
      <c r="T1073" s="4"/>
      <c r="U1073" s="4"/>
      <c r="V1073" s="4"/>
      <c r="W1073" s="4"/>
      <c r="X1073" s="4"/>
      <c r="Y1073" s="4"/>
      <c r="Z1073" s="4"/>
    </row>
    <row r="1074" spans="1:26" ht="12" hidden="1" customHeight="1" outlineLevel="1">
      <c r="A1074" s="3"/>
      <c r="B1074" s="3"/>
      <c r="C1074" s="3"/>
      <c r="D1074" s="133">
        <f>Asset43</f>
        <v>0</v>
      </c>
      <c r="E1074" s="3"/>
      <c r="F1074" s="3"/>
      <c r="G1074" s="1393">
        <f t="shared" si="113"/>
        <v>0</v>
      </c>
      <c r="H1074" s="1341">
        <f t="shared" ref="H1074:Q1074" si="156">H$622*H$7</f>
        <v>0</v>
      </c>
      <c r="I1074" s="1341">
        <f t="shared" si="156"/>
        <v>0</v>
      </c>
      <c r="J1074" s="1341">
        <f t="shared" si="156"/>
        <v>0</v>
      </c>
      <c r="K1074" s="1341">
        <f t="shared" si="156"/>
        <v>0</v>
      </c>
      <c r="L1074" s="1341">
        <f t="shared" si="156"/>
        <v>0</v>
      </c>
      <c r="M1074" s="1341">
        <f t="shared" si="156"/>
        <v>0</v>
      </c>
      <c r="N1074" s="1341">
        <f t="shared" si="156"/>
        <v>0</v>
      </c>
      <c r="O1074" s="1341">
        <f t="shared" si="156"/>
        <v>0</v>
      </c>
      <c r="P1074" s="1341">
        <f t="shared" si="156"/>
        <v>0</v>
      </c>
      <c r="Q1074" s="1341">
        <f t="shared" si="156"/>
        <v>0</v>
      </c>
      <c r="R1074" s="248"/>
      <c r="S1074" s="4"/>
      <c r="T1074" s="4"/>
      <c r="U1074" s="4"/>
      <c r="V1074" s="4"/>
      <c r="W1074" s="4"/>
      <c r="X1074" s="4"/>
      <c r="Y1074" s="4"/>
      <c r="Z1074" s="4"/>
    </row>
    <row r="1075" spans="1:26" ht="12" hidden="1" customHeight="1" outlineLevel="1">
      <c r="A1075" s="3"/>
      <c r="B1075" s="3"/>
      <c r="C1075" s="3"/>
      <c r="D1075" s="133">
        <f>Asset44</f>
        <v>0</v>
      </c>
      <c r="E1075" s="3"/>
      <c r="F1075" s="3"/>
      <c r="G1075" s="1393">
        <f t="shared" si="113"/>
        <v>0</v>
      </c>
      <c r="H1075" s="1341">
        <f t="shared" ref="H1075:Q1075" si="157">H$635*H$7</f>
        <v>0</v>
      </c>
      <c r="I1075" s="1341">
        <f t="shared" si="157"/>
        <v>0</v>
      </c>
      <c r="J1075" s="1341">
        <f t="shared" si="157"/>
        <v>0</v>
      </c>
      <c r="K1075" s="1341">
        <f t="shared" si="157"/>
        <v>0</v>
      </c>
      <c r="L1075" s="1341">
        <f t="shared" si="157"/>
        <v>0</v>
      </c>
      <c r="M1075" s="1341">
        <f t="shared" si="157"/>
        <v>0</v>
      </c>
      <c r="N1075" s="1341">
        <f t="shared" si="157"/>
        <v>0</v>
      </c>
      <c r="O1075" s="1341">
        <f t="shared" si="157"/>
        <v>0</v>
      </c>
      <c r="P1075" s="1341">
        <f t="shared" si="157"/>
        <v>0</v>
      </c>
      <c r="Q1075" s="1341">
        <f t="shared" si="157"/>
        <v>0</v>
      </c>
      <c r="R1075" s="248"/>
      <c r="S1075" s="4"/>
      <c r="T1075" s="4"/>
      <c r="U1075" s="4"/>
      <c r="V1075" s="4"/>
      <c r="W1075" s="4"/>
      <c r="X1075" s="4"/>
      <c r="Y1075" s="4"/>
      <c r="Z1075" s="4"/>
    </row>
    <row r="1076" spans="1:26" ht="12" hidden="1" customHeight="1" outlineLevel="1">
      <c r="A1076" s="3"/>
      <c r="B1076" s="3"/>
      <c r="C1076" s="3"/>
      <c r="D1076" s="133">
        <f>Asset45</f>
        <v>0</v>
      </c>
      <c r="E1076" s="3"/>
      <c r="F1076" s="3"/>
      <c r="G1076" s="1393">
        <f t="shared" si="113"/>
        <v>0</v>
      </c>
      <c r="H1076" s="1341">
        <f t="shared" ref="H1076:Q1076" si="158">H$648*H$7</f>
        <v>0</v>
      </c>
      <c r="I1076" s="1341">
        <f t="shared" si="158"/>
        <v>0</v>
      </c>
      <c r="J1076" s="1341">
        <f t="shared" si="158"/>
        <v>0</v>
      </c>
      <c r="K1076" s="1341">
        <f t="shared" si="158"/>
        <v>0</v>
      </c>
      <c r="L1076" s="1341">
        <f t="shared" si="158"/>
        <v>0</v>
      </c>
      <c r="M1076" s="1341">
        <f t="shared" si="158"/>
        <v>0</v>
      </c>
      <c r="N1076" s="1341">
        <f t="shared" si="158"/>
        <v>0</v>
      </c>
      <c r="O1076" s="1341">
        <f t="shared" si="158"/>
        <v>0</v>
      </c>
      <c r="P1076" s="1341">
        <f t="shared" si="158"/>
        <v>0</v>
      </c>
      <c r="Q1076" s="1341">
        <f t="shared" si="158"/>
        <v>0</v>
      </c>
      <c r="R1076" s="248"/>
      <c r="S1076" s="4"/>
      <c r="T1076" s="4"/>
      <c r="U1076" s="4"/>
      <c r="V1076" s="4"/>
      <c r="W1076" s="4"/>
      <c r="X1076" s="4"/>
      <c r="Y1076" s="4"/>
      <c r="Z1076" s="4"/>
    </row>
    <row r="1077" spans="1:26" ht="12" hidden="1" customHeight="1" outlineLevel="1">
      <c r="A1077" s="3"/>
      <c r="B1077" s="3"/>
      <c r="C1077" s="3"/>
      <c r="D1077" s="133">
        <f>Asset46</f>
        <v>0</v>
      </c>
      <c r="E1077" s="3"/>
      <c r="F1077" s="3"/>
      <c r="G1077" s="1393">
        <f t="shared" si="113"/>
        <v>0</v>
      </c>
      <c r="H1077" s="1341">
        <f t="shared" ref="H1077:Q1077" si="159">H$661*H$7</f>
        <v>0</v>
      </c>
      <c r="I1077" s="1341">
        <f t="shared" si="159"/>
        <v>0</v>
      </c>
      <c r="J1077" s="1341">
        <f t="shared" si="159"/>
        <v>0</v>
      </c>
      <c r="K1077" s="1341">
        <f t="shared" si="159"/>
        <v>0</v>
      </c>
      <c r="L1077" s="1341">
        <f t="shared" si="159"/>
        <v>0</v>
      </c>
      <c r="M1077" s="1341">
        <f t="shared" si="159"/>
        <v>0</v>
      </c>
      <c r="N1077" s="1341">
        <f t="shared" si="159"/>
        <v>0</v>
      </c>
      <c r="O1077" s="1341">
        <f t="shared" si="159"/>
        <v>0</v>
      </c>
      <c r="P1077" s="1341">
        <f t="shared" si="159"/>
        <v>0</v>
      </c>
      <c r="Q1077" s="1341">
        <f t="shared" si="159"/>
        <v>0</v>
      </c>
      <c r="R1077" s="248"/>
      <c r="S1077" s="4"/>
      <c r="T1077" s="4"/>
      <c r="U1077" s="4"/>
      <c r="V1077" s="4"/>
      <c r="W1077" s="4"/>
      <c r="X1077" s="4"/>
      <c r="Y1077" s="4"/>
      <c r="Z1077" s="4"/>
    </row>
    <row r="1078" spans="1:26" ht="12" hidden="1" customHeight="1" outlineLevel="1">
      <c r="A1078" s="3"/>
      <c r="B1078" s="3"/>
      <c r="C1078" s="3"/>
      <c r="D1078" s="133">
        <f>Asset47</f>
        <v>0</v>
      </c>
      <c r="E1078" s="3"/>
      <c r="F1078" s="3"/>
      <c r="G1078" s="1393">
        <f t="shared" si="113"/>
        <v>0</v>
      </c>
      <c r="H1078" s="1341">
        <f t="shared" ref="H1078:Q1078" si="160">H$674*H$7</f>
        <v>0</v>
      </c>
      <c r="I1078" s="1341">
        <f t="shared" si="160"/>
        <v>0</v>
      </c>
      <c r="J1078" s="1341">
        <f t="shared" si="160"/>
        <v>0</v>
      </c>
      <c r="K1078" s="1341">
        <f t="shared" si="160"/>
        <v>0</v>
      </c>
      <c r="L1078" s="1341">
        <f t="shared" si="160"/>
        <v>0</v>
      </c>
      <c r="M1078" s="1341">
        <f t="shared" si="160"/>
        <v>0</v>
      </c>
      <c r="N1078" s="1341">
        <f t="shared" si="160"/>
        <v>0</v>
      </c>
      <c r="O1078" s="1341">
        <f t="shared" si="160"/>
        <v>0</v>
      </c>
      <c r="P1078" s="1341">
        <f t="shared" si="160"/>
        <v>0</v>
      </c>
      <c r="Q1078" s="1341">
        <f t="shared" si="160"/>
        <v>0</v>
      </c>
      <c r="R1078" s="248"/>
      <c r="S1078" s="4"/>
      <c r="T1078" s="4"/>
      <c r="U1078" s="4"/>
      <c r="V1078" s="4"/>
      <c r="W1078" s="4"/>
      <c r="X1078" s="4"/>
      <c r="Y1078" s="4"/>
      <c r="Z1078" s="4"/>
    </row>
    <row r="1079" spans="1:26" ht="12" hidden="1" customHeight="1" outlineLevel="1">
      <c r="A1079" s="3"/>
      <c r="B1079" s="3"/>
      <c r="C1079" s="3"/>
      <c r="D1079" s="133">
        <f>Asset48</f>
        <v>0</v>
      </c>
      <c r="E1079" s="3"/>
      <c r="F1079" s="3"/>
      <c r="G1079" s="1393">
        <f t="shared" si="113"/>
        <v>0</v>
      </c>
      <c r="H1079" s="1341">
        <f t="shared" ref="H1079:Q1079" si="161">H$687*H$7</f>
        <v>0</v>
      </c>
      <c r="I1079" s="1341">
        <f t="shared" si="161"/>
        <v>0</v>
      </c>
      <c r="J1079" s="1341">
        <f t="shared" si="161"/>
        <v>0</v>
      </c>
      <c r="K1079" s="1341">
        <f t="shared" si="161"/>
        <v>0</v>
      </c>
      <c r="L1079" s="1341">
        <f t="shared" si="161"/>
        <v>0</v>
      </c>
      <c r="M1079" s="1341">
        <f t="shared" si="161"/>
        <v>0</v>
      </c>
      <c r="N1079" s="1341">
        <f t="shared" si="161"/>
        <v>0</v>
      </c>
      <c r="O1079" s="1341">
        <f t="shared" si="161"/>
        <v>0</v>
      </c>
      <c r="P1079" s="1341">
        <f t="shared" si="161"/>
        <v>0</v>
      </c>
      <c r="Q1079" s="1341">
        <f t="shared" si="161"/>
        <v>0</v>
      </c>
      <c r="R1079" s="248"/>
      <c r="S1079" s="4"/>
      <c r="T1079" s="4"/>
      <c r="U1079" s="4"/>
      <c r="V1079" s="4"/>
      <c r="W1079" s="4"/>
      <c r="X1079" s="4"/>
      <c r="Y1079" s="4"/>
      <c r="Z1079" s="4"/>
    </row>
    <row r="1080" spans="1:26" ht="12" hidden="1" customHeight="1" outlineLevel="1">
      <c r="A1080" s="3"/>
      <c r="B1080" s="3"/>
      <c r="C1080" s="3"/>
      <c r="D1080" s="133">
        <f>Asset49</f>
        <v>0</v>
      </c>
      <c r="E1080" s="3"/>
      <c r="F1080" s="3"/>
      <c r="G1080" s="1393">
        <f t="shared" si="113"/>
        <v>0</v>
      </c>
      <c r="H1080" s="1341">
        <f t="shared" ref="H1080:Q1080" si="162">H$700*H$7</f>
        <v>0</v>
      </c>
      <c r="I1080" s="1341">
        <f t="shared" si="162"/>
        <v>0</v>
      </c>
      <c r="J1080" s="1341">
        <f t="shared" si="162"/>
        <v>0</v>
      </c>
      <c r="K1080" s="1341">
        <f t="shared" si="162"/>
        <v>0</v>
      </c>
      <c r="L1080" s="1341">
        <f t="shared" si="162"/>
        <v>0</v>
      </c>
      <c r="M1080" s="1341">
        <f t="shared" si="162"/>
        <v>0</v>
      </c>
      <c r="N1080" s="1341">
        <f t="shared" si="162"/>
        <v>0</v>
      </c>
      <c r="O1080" s="1341">
        <f t="shared" si="162"/>
        <v>0</v>
      </c>
      <c r="P1080" s="1341">
        <f t="shared" si="162"/>
        <v>0</v>
      </c>
      <c r="Q1080" s="1341">
        <f t="shared" si="162"/>
        <v>0</v>
      </c>
      <c r="R1080" s="248"/>
      <c r="S1080" s="4"/>
      <c r="T1080" s="4"/>
      <c r="U1080" s="4"/>
      <c r="V1080" s="4"/>
      <c r="W1080" s="4"/>
      <c r="X1080" s="4"/>
      <c r="Y1080" s="4"/>
      <c r="Z1080" s="4"/>
    </row>
    <row r="1081" spans="1:26" ht="12" hidden="1" customHeight="1" outlineLevel="1">
      <c r="A1081" s="3"/>
      <c r="B1081" s="3"/>
      <c r="C1081" s="3"/>
      <c r="D1081" s="133">
        <f>Asset50</f>
        <v>0</v>
      </c>
      <c r="E1081" s="3"/>
      <c r="F1081" s="3"/>
      <c r="G1081" s="1393">
        <f t="shared" si="113"/>
        <v>0</v>
      </c>
      <c r="H1081" s="1341">
        <f t="shared" ref="H1081:Q1081" si="163">H$713*H$7</f>
        <v>0</v>
      </c>
      <c r="I1081" s="1341">
        <f t="shared" si="163"/>
        <v>0</v>
      </c>
      <c r="J1081" s="1341">
        <f t="shared" si="163"/>
        <v>0</v>
      </c>
      <c r="K1081" s="1341">
        <f t="shared" si="163"/>
        <v>0</v>
      </c>
      <c r="L1081" s="1341">
        <f t="shared" si="163"/>
        <v>0</v>
      </c>
      <c r="M1081" s="1341">
        <f t="shared" si="163"/>
        <v>0</v>
      </c>
      <c r="N1081" s="1341">
        <f t="shared" si="163"/>
        <v>0</v>
      </c>
      <c r="O1081" s="1341">
        <f t="shared" si="163"/>
        <v>0</v>
      </c>
      <c r="P1081" s="1341">
        <f t="shared" si="163"/>
        <v>0</v>
      </c>
      <c r="Q1081" s="1341">
        <f t="shared" si="163"/>
        <v>0</v>
      </c>
      <c r="R1081" s="248"/>
      <c r="S1081" s="4"/>
      <c r="T1081" s="4"/>
      <c r="U1081" s="4"/>
      <c r="V1081" s="4"/>
      <c r="W1081" s="4"/>
      <c r="X1081" s="4"/>
      <c r="Y1081" s="4"/>
      <c r="Z1081" s="4"/>
    </row>
    <row r="1082" spans="1:26" ht="12" customHeight="1" collapsed="1">
      <c r="A1082" s="3"/>
      <c r="B1082" s="3"/>
      <c r="C1082" s="3"/>
      <c r="D1082" s="3"/>
      <c r="E1082" s="3"/>
      <c r="F1082" s="3"/>
      <c r="G1082" s="1392"/>
      <c r="H1082" s="248"/>
      <c r="I1082" s="248"/>
      <c r="J1082" s="248"/>
      <c r="K1082" s="248"/>
      <c r="L1082" s="248"/>
      <c r="M1082" s="248"/>
      <c r="N1082" s="248"/>
      <c r="O1082" s="248"/>
      <c r="P1082" s="248"/>
      <c r="Q1082" s="248"/>
      <c r="R1082" s="248"/>
      <c r="S1082" s="4"/>
      <c r="T1082" s="4"/>
      <c r="U1082" s="4"/>
      <c r="V1082" s="4"/>
      <c r="W1082" s="4"/>
      <c r="X1082" s="4"/>
      <c r="Y1082" s="4"/>
      <c r="Z1082" s="4"/>
    </row>
    <row r="1083" spans="1:26" ht="12" customHeight="1">
      <c r="A1083" s="3"/>
      <c r="B1083" s="4"/>
      <c r="C1083" s="63" t="s">
        <v>33</v>
      </c>
      <c r="D1083" s="4"/>
      <c r="E1083" s="4"/>
      <c r="F1083" s="4"/>
      <c r="G1083" s="1399">
        <f>SUM(G1084:G1133)</f>
        <v>5.527299127572844</v>
      </c>
      <c r="H1083" s="77">
        <f t="shared" ref="H1083:P1083" si="164">SUM(H1084:H1133)</f>
        <v>6.2236747161283512</v>
      </c>
      <c r="I1083" s="77">
        <f t="shared" si="164"/>
        <v>8.2995200307134596</v>
      </c>
      <c r="J1083" s="77">
        <f t="shared" si="164"/>
        <v>8.0311977059465409</v>
      </c>
      <c r="K1083" s="77">
        <f t="shared" si="164"/>
        <v>8.5656322209412057</v>
      </c>
      <c r="L1083" s="77">
        <f t="shared" si="164"/>
        <v>4.1080040781935168</v>
      </c>
      <c r="M1083" s="77">
        <f>SUM(M1084:M1133)</f>
        <v>16.875810240777287</v>
      </c>
      <c r="N1083" s="77">
        <f t="shared" si="164"/>
        <v>39.569535579814847</v>
      </c>
      <c r="O1083" s="77">
        <f t="shared" si="164"/>
        <v>0</v>
      </c>
      <c r="P1083" s="77">
        <f t="shared" si="164"/>
        <v>0</v>
      </c>
      <c r="Q1083" s="77">
        <f>SUM(Q1084:Q1133)</f>
        <v>0</v>
      </c>
      <c r="R1083" s="248"/>
      <c r="S1083" s="4"/>
      <c r="T1083" s="4"/>
      <c r="U1083" s="4"/>
      <c r="V1083" s="4"/>
      <c r="W1083" s="4"/>
      <c r="X1083" s="4"/>
      <c r="Y1083" s="4"/>
      <c r="Z1083" s="4"/>
    </row>
    <row r="1084" spans="1:26" ht="12" hidden="1" customHeight="1" outlineLevel="1">
      <c r="A1084" s="3"/>
      <c r="B1084" s="3"/>
      <c r="C1084" s="3"/>
      <c r="D1084" s="133" t="str">
        <f>Asset1</f>
        <v>Mains</v>
      </c>
      <c r="E1084" s="3"/>
      <c r="F1084" s="3"/>
      <c r="G1084" s="1393">
        <f t="shared" ref="G1084:J1093" si="165">G718*G$6</f>
        <v>4.0296527594688465</v>
      </c>
      <c r="H1084" s="1341">
        <f>H718*H$6</f>
        <v>4.5373422742358329</v>
      </c>
      <c r="I1084" s="1341">
        <f t="shared" si="165"/>
        <v>6.0088429295916779</v>
      </c>
      <c r="J1084" s="1341">
        <f t="shared" si="165"/>
        <v>5.7864155242943811</v>
      </c>
      <c r="K1084" s="1341">
        <f>IF(COUNT($H1084:J1084)&gt;='RFM input'!$V$7,0,K718*K$6)</f>
        <v>6.1269636857843146</v>
      </c>
      <c r="L1084" s="1341">
        <f>IF(COUNT($H1084:K1084)&gt;='RFM input'!$V$7,0,L718*L$6)</f>
        <v>2.9227139706054066</v>
      </c>
      <c r="M1084" s="1341">
        <f>IF(COUNT($H1084:L1084)&gt;='RFM input'!$V$7,0,M718*M$6)</f>
        <v>11.940904559192751</v>
      </c>
      <c r="N1084" s="1341">
        <f>IF(COUNT($H1084:M1084)&gt;='RFM input'!$V$7,0,N718*N$6)</f>
        <v>28.099573244628296</v>
      </c>
      <c r="O1084" s="1341">
        <f>IF(COUNT($H1084:N1084)&gt;='RFM input'!$V$7,0,O718*O$6)</f>
        <v>0</v>
      </c>
      <c r="P1084" s="1341">
        <f>IF(COUNT($H1084:O1084)&gt;='RFM input'!$V$7,0,P718*P$6)</f>
        <v>0</v>
      </c>
      <c r="Q1084" s="1341">
        <f>IF(COUNT($H1084:P1084)&gt;='RFM input'!$V$7,0,Q718*Q$6)</f>
        <v>0</v>
      </c>
      <c r="R1084" s="248"/>
      <c r="S1084" s="4"/>
      <c r="T1084" s="4"/>
      <c r="U1084" s="4"/>
      <c r="V1084" s="4"/>
      <c r="W1084" s="4"/>
      <c r="X1084" s="4"/>
      <c r="Y1084" s="4"/>
      <c r="Z1084" s="4"/>
    </row>
    <row r="1085" spans="1:26" ht="12.75" hidden="1" customHeight="1" outlineLevel="1">
      <c r="A1085" s="3"/>
      <c r="B1085" s="3"/>
      <c r="C1085" s="3"/>
      <c r="D1085" s="133" t="str">
        <f>Asset2</f>
        <v>Inlets</v>
      </c>
      <c r="E1085" s="3"/>
      <c r="F1085" s="3"/>
      <c r="G1085" s="1393">
        <f t="shared" si="165"/>
        <v>0.98098644152662717</v>
      </c>
      <c r="H1085" s="1341">
        <f t="shared" si="165"/>
        <v>1.104579356405301</v>
      </c>
      <c r="I1085" s="1341">
        <f t="shared" si="165"/>
        <v>1.5130564398941455</v>
      </c>
      <c r="J1085" s="1341">
        <f t="shared" si="165"/>
        <v>1.5043738498974684</v>
      </c>
      <c r="K1085" s="1341">
        <f>IF(COUNT($H1085:J1085)&gt;='RFM input'!$V$7,0,K719*K$6)</f>
        <v>1.6488918326838018</v>
      </c>
      <c r="L1085" s="1341">
        <f>IF(COUNT($H1085:K1085)&gt;='RFM input'!$V$7,0,L719*L$6)</f>
        <v>0.80944025250309948</v>
      </c>
      <c r="M1085" s="1341">
        <f>IF(COUNT($H1085:L1085)&gt;='RFM input'!$V$7,0,M719*M$6)</f>
        <v>3.4384085907707922</v>
      </c>
      <c r="N1085" s="1341">
        <f>IF(COUNT($H1085:M1085)&gt;='RFM input'!$V$7,0,N719*N$6)</f>
        <v>8.1173522138190268</v>
      </c>
      <c r="O1085" s="1341">
        <f>IF(COUNT($H1085:N1085)&gt;='RFM input'!$V$7,0,O719*O$6)</f>
        <v>0</v>
      </c>
      <c r="P1085" s="1341">
        <f>IF(COUNT($H1085:O1085)&gt;='RFM input'!$V$7,0,P719*P$6)</f>
        <v>0</v>
      </c>
      <c r="Q1085" s="1341">
        <f>IF(COUNT($H1085:P1085)&gt;='RFM input'!$V$7,0,Q719*Q$6)</f>
        <v>0</v>
      </c>
      <c r="R1085" s="248"/>
      <c r="S1085" s="71"/>
      <c r="T1085" s="71"/>
      <c r="U1085" s="71"/>
      <c r="V1085" s="71"/>
      <c r="W1085" s="71"/>
      <c r="X1085" s="71"/>
      <c r="Y1085" s="71"/>
      <c r="Z1085" s="71"/>
    </row>
    <row r="1086" spans="1:26" ht="12" hidden="1" customHeight="1" outlineLevel="1">
      <c r="A1086" s="3"/>
      <c r="B1086" s="3"/>
      <c r="C1086" s="3"/>
      <c r="D1086" s="133" t="str">
        <f>Asset3</f>
        <v>Meters</v>
      </c>
      <c r="E1086" s="3"/>
      <c r="F1086" s="3"/>
      <c r="G1086" s="1393">
        <f t="shared" si="165"/>
        <v>0.31891419667272719</v>
      </c>
      <c r="H1086" s="1341">
        <f t="shared" si="165"/>
        <v>0.35909368692300414</v>
      </c>
      <c r="I1086" s="1341">
        <f t="shared" si="165"/>
        <v>0.4713151934000161</v>
      </c>
      <c r="J1086" s="1341">
        <f t="shared" si="165"/>
        <v>0.44533233615135531</v>
      </c>
      <c r="K1086" s="1341">
        <f>IF(COUNT($H1086:J1086)&gt;='RFM input'!$V$7,0,K720*K$6)</f>
        <v>0.46920956135482494</v>
      </c>
      <c r="L1086" s="1341">
        <f>IF(COUNT($H1086:K1086)&gt;='RFM input'!$V$7,0,L720*L$6)</f>
        <v>0.20669760896343434</v>
      </c>
      <c r="M1086" s="1341">
        <f>IF(COUNT($H1086:L1086)&gt;='RFM input'!$V$7,0,M720*M$6)</f>
        <v>0.78174984826908611</v>
      </c>
      <c r="N1086" s="1341">
        <f>IF(COUNT($H1086:M1086)&gt;='RFM input'!$V$7,0,N720*N$6)</f>
        <v>1.6405651878592264</v>
      </c>
      <c r="O1086" s="1341">
        <f>IF(COUNT($H1086:N1086)&gt;='RFM input'!$V$7,0,O720*O$6)</f>
        <v>0</v>
      </c>
      <c r="P1086" s="1341">
        <f>IF(COUNT($H1086:O1086)&gt;='RFM input'!$V$7,0,P720*P$6)</f>
        <v>0</v>
      </c>
      <c r="Q1086" s="1341">
        <f>IF(COUNT($H1086:P1086)&gt;='RFM input'!$V$7,0,Q720*Q$6)</f>
        <v>0</v>
      </c>
      <c r="R1086" s="248"/>
      <c r="S1086" s="4"/>
      <c r="T1086" s="4"/>
      <c r="U1086" s="4"/>
      <c r="V1086" s="4"/>
      <c r="W1086" s="4"/>
      <c r="X1086" s="4"/>
      <c r="Y1086" s="4"/>
      <c r="Z1086" s="4"/>
    </row>
    <row r="1087" spans="1:26" ht="12" hidden="1" customHeight="1" outlineLevel="1">
      <c r="A1087" s="3"/>
      <c r="B1087" s="3"/>
      <c r="C1087" s="3"/>
      <c r="D1087" s="133" t="str">
        <f>Asset4</f>
        <v>Telemetry</v>
      </c>
      <c r="E1087" s="3"/>
      <c r="F1087" s="3"/>
      <c r="G1087" s="1393">
        <f t="shared" si="165"/>
        <v>-7.6075100474188506E-3</v>
      </c>
      <c r="H1087" s="1341">
        <f t="shared" si="165"/>
        <v>-8.5659680871304749E-3</v>
      </c>
      <c r="I1087" s="1341">
        <f t="shared" si="165"/>
        <v>-4.344774489811879E-4</v>
      </c>
      <c r="J1087" s="1341">
        <f t="shared" si="165"/>
        <v>5.3716554172192005E-3</v>
      </c>
      <c r="K1087" s="1341">
        <f>IF(COUNT($H1087:J1087)&gt;='RFM input'!$V$7,0,K721*K$6)</f>
        <v>9.1807318155859626E-3</v>
      </c>
      <c r="L1087" s="1341">
        <f>IF(COUNT($H1087:K1087)&gt;='RFM input'!$V$7,0,L721*L$6)</f>
        <v>5.8384311242422682E-3</v>
      </c>
      <c r="M1087" s="1341">
        <f>IF(COUNT($H1087:L1087)&gt;='RFM input'!$V$7,0,M721*M$6)</f>
        <v>2.4927325591204995E-2</v>
      </c>
      <c r="N1087" s="1341">
        <f>IF(COUNT($H1087:M1087)&gt;='RFM input'!$V$7,0,N721*N$6)</f>
        <v>5.9288205884884898E-2</v>
      </c>
      <c r="O1087" s="1341">
        <f>IF(COUNT($H1087:N1087)&gt;='RFM input'!$V$7,0,O721*O$6)</f>
        <v>0</v>
      </c>
      <c r="P1087" s="1341">
        <f>IF(COUNT($H1087:O1087)&gt;='RFM input'!$V$7,0,P721*P$6)</f>
        <v>0</v>
      </c>
      <c r="Q1087" s="1341">
        <f>IF(COUNT($H1087:P1087)&gt;='RFM input'!$V$7,0,Q721*Q$6)</f>
        <v>0</v>
      </c>
      <c r="R1087" s="248"/>
      <c r="S1087" s="4"/>
      <c r="T1087" s="4"/>
      <c r="U1087" s="4"/>
      <c r="V1087" s="4"/>
      <c r="W1087" s="4"/>
      <c r="X1087" s="4"/>
      <c r="Y1087" s="4"/>
      <c r="Z1087" s="4"/>
    </row>
    <row r="1088" spans="1:26" ht="12" hidden="1" customHeight="1" outlineLevel="1">
      <c r="A1088" s="3"/>
      <c r="B1088" s="3"/>
      <c r="C1088" s="3"/>
      <c r="D1088" s="133" t="str">
        <f>Asset5</f>
        <v>IT System</v>
      </c>
      <c r="E1088" s="3"/>
      <c r="F1088" s="3"/>
      <c r="G1088" s="1393">
        <f t="shared" si="165"/>
        <v>8.2660040879310934E-2</v>
      </c>
      <c r="H1088" s="1341">
        <f t="shared" si="165"/>
        <v>9.3074247400214277E-2</v>
      </c>
      <c r="I1088" s="1341">
        <f t="shared" si="165"/>
        <v>0.11214068629643638</v>
      </c>
      <c r="J1088" s="1341">
        <f t="shared" si="165"/>
        <v>0.10253484969397068</v>
      </c>
      <c r="K1088" s="1341">
        <f>IF(COUNT($H1088:J1088)&gt;='RFM input'!$V$7,0,K722*K$6)</f>
        <v>0.10803870568781604</v>
      </c>
      <c r="L1088" s="1341">
        <f>IF(COUNT($H1088:K1088)&gt;='RFM input'!$V$7,0,L722*L$6)</f>
        <v>5.4658485228146619E-2</v>
      </c>
      <c r="M1088" s="1341">
        <f>IF(COUNT($H1088:L1088)&gt;='RFM input'!$V$7,0,M722*M$6)</f>
        <v>0.22876759275347441</v>
      </c>
      <c r="N1088" s="1341">
        <f>IF(COUNT($H1088:M1088)&gt;='RFM input'!$V$7,0,N722*N$6)</f>
        <v>0.55106499093649075</v>
      </c>
      <c r="O1088" s="1341">
        <f>IF(COUNT($H1088:N1088)&gt;='RFM input'!$V$7,0,O722*O$6)</f>
        <v>0</v>
      </c>
      <c r="P1088" s="1341">
        <f>IF(COUNT($H1088:O1088)&gt;='RFM input'!$V$7,0,P722*P$6)</f>
        <v>0</v>
      </c>
      <c r="Q1088" s="1341">
        <f>IF(COUNT($H1088:P1088)&gt;='RFM input'!$V$7,0,Q722*Q$6)</f>
        <v>0</v>
      </c>
      <c r="R1088" s="248"/>
      <c r="S1088" s="4"/>
      <c r="T1088" s="4"/>
      <c r="U1088" s="4"/>
      <c r="V1088" s="4"/>
      <c r="W1088" s="4"/>
      <c r="X1088" s="4"/>
      <c r="Y1088" s="4"/>
      <c r="Z1088" s="4"/>
    </row>
    <row r="1089" spans="1:26" ht="12.75" hidden="1" customHeight="1" outlineLevel="1">
      <c r="A1089" s="3"/>
      <c r="B1089" s="3"/>
      <c r="C1089" s="3"/>
      <c r="D1089" s="133" t="str">
        <f>Asset6</f>
        <v>Other Distribution System Equipment</v>
      </c>
      <c r="E1089" s="3"/>
      <c r="F1089" s="3"/>
      <c r="G1089" s="1393">
        <f t="shared" si="165"/>
        <v>0.1229743049342439</v>
      </c>
      <c r="H1089" s="1341">
        <f t="shared" si="165"/>
        <v>0.1384676411911136</v>
      </c>
      <c r="I1089" s="1341">
        <f t="shared" si="165"/>
        <v>0.19558092733399896</v>
      </c>
      <c r="J1089" s="1341">
        <f t="shared" si="165"/>
        <v>0.18805071492205183</v>
      </c>
      <c r="K1089" s="1341">
        <f>IF(COUNT($H1089:J1089)&gt;='RFM input'!$V$7,0,K723*K$6)</f>
        <v>0.20421653733767456</v>
      </c>
      <c r="L1089" s="1341">
        <f>IF(COUNT($H1089:K1089)&gt;='RFM input'!$V$7,0,L723*L$6)</f>
        <v>0.10904193005486681</v>
      </c>
      <c r="M1089" s="1341">
        <f>IF(COUNT($H1089:L1089)&gt;='RFM input'!$V$7,0,M723*M$6)</f>
        <v>0.46252722987680572</v>
      </c>
      <c r="N1089" s="1341">
        <f>IF(COUNT($H1089:M1089)&gt;='RFM input'!$V$7,0,N723*N$6)</f>
        <v>1.1048580543942834</v>
      </c>
      <c r="O1089" s="1341">
        <f>IF(COUNT($H1089:N1089)&gt;='RFM input'!$V$7,0,O723*O$6)</f>
        <v>0</v>
      </c>
      <c r="P1089" s="1341">
        <f>IF(COUNT($H1089:O1089)&gt;='RFM input'!$V$7,0,P723*P$6)</f>
        <v>0</v>
      </c>
      <c r="Q1089" s="1341">
        <f>IF(COUNT($H1089:P1089)&gt;='RFM input'!$V$7,0,Q723*Q$6)</f>
        <v>0</v>
      </c>
      <c r="R1089" s="248"/>
      <c r="S1089" s="4"/>
      <c r="T1089" s="4"/>
      <c r="U1089" s="4"/>
      <c r="V1089" s="4"/>
      <c r="W1089" s="4"/>
      <c r="X1089" s="4"/>
      <c r="Y1089" s="4"/>
      <c r="Z1089" s="4"/>
    </row>
    <row r="1090" spans="1:26" ht="12.75" hidden="1" customHeight="1" outlineLevel="1">
      <c r="A1090" s="3"/>
      <c r="B1090" s="3"/>
      <c r="C1090" s="3"/>
      <c r="D1090" s="133" t="str">
        <f>Asset7</f>
        <v>Other</v>
      </c>
      <c r="E1090" s="3"/>
      <c r="F1090" s="3"/>
      <c r="G1090" s="1393">
        <f t="shared" si="165"/>
        <v>-2.8110586149403721E-4</v>
      </c>
      <c r="H1090" s="1341">
        <f t="shared" si="165"/>
        <v>-3.1652193998484859E-4</v>
      </c>
      <c r="I1090" s="1341">
        <f t="shared" si="165"/>
        <v>-9.8166835383423166E-4</v>
      </c>
      <c r="J1090" s="1341">
        <f t="shared" si="165"/>
        <v>-8.8122442990531155E-4</v>
      </c>
      <c r="K1090" s="1341">
        <f>IF(COUNT($H1090:J1090)&gt;='RFM input'!$V$7,0,K724*K$6)</f>
        <v>-8.6883372281405856E-4</v>
      </c>
      <c r="L1090" s="1341">
        <f>IF(COUNT($H1090:K1090)&gt;='RFM input'!$V$7,0,L724*L$6)</f>
        <v>-3.8660028567936863E-4</v>
      </c>
      <c r="M1090" s="1341">
        <f>IF(COUNT($H1090:L1090)&gt;='RFM input'!$V$7,0,M724*M$6)</f>
        <v>-1.474905676826967E-3</v>
      </c>
      <c r="N1090" s="1341">
        <f>IF(COUNT($H1090:M1090)&gt;='RFM input'!$V$7,0,N724*N$6)</f>
        <v>-3.1663177073507731E-3</v>
      </c>
      <c r="O1090" s="1341">
        <f>IF(COUNT($H1090:N1090)&gt;='RFM input'!$V$7,0,O724*O$6)</f>
        <v>0</v>
      </c>
      <c r="P1090" s="1341">
        <f>IF(COUNT($H1090:O1090)&gt;='RFM input'!$V$7,0,P724*P$6)</f>
        <v>0</v>
      </c>
      <c r="Q1090" s="1341">
        <f>IF(COUNT($H1090:P1090)&gt;='RFM input'!$V$7,0,Q724*Q$6)</f>
        <v>0</v>
      </c>
      <c r="R1090" s="248"/>
      <c r="S1090" s="3"/>
      <c r="T1090" s="3"/>
      <c r="U1090" s="3"/>
      <c r="V1090" s="3"/>
      <c r="W1090" s="3"/>
      <c r="X1090" s="3"/>
      <c r="Y1090" s="3"/>
      <c r="Z1090" s="3"/>
    </row>
    <row r="1091" spans="1:26" ht="12.75" hidden="1" customHeight="1" outlineLevel="1">
      <c r="A1091" s="3"/>
      <c r="B1091" s="3"/>
      <c r="C1091" s="3"/>
      <c r="D1091" s="133">
        <f>Asset8</f>
        <v>0</v>
      </c>
      <c r="E1091" s="3"/>
      <c r="F1091" s="3"/>
      <c r="G1091" s="1393">
        <f t="shared" si="165"/>
        <v>0</v>
      </c>
      <c r="H1091" s="1341">
        <f t="shared" si="165"/>
        <v>0</v>
      </c>
      <c r="I1091" s="1341">
        <f t="shared" si="165"/>
        <v>0</v>
      </c>
      <c r="J1091" s="1341">
        <f t="shared" si="165"/>
        <v>0</v>
      </c>
      <c r="K1091" s="1341">
        <f>IF(COUNT($H1091:J1091)&gt;='RFM input'!$V$7,0,K725*K$6)</f>
        <v>0</v>
      </c>
      <c r="L1091" s="1341">
        <f>IF(COUNT($H1091:K1091)&gt;='RFM input'!$V$7,0,L725*L$6)</f>
        <v>0</v>
      </c>
      <c r="M1091" s="1341">
        <f>IF(COUNT($H1091:L1091)&gt;='RFM input'!$V$7,0,M725*M$6)</f>
        <v>0</v>
      </c>
      <c r="N1091" s="1341">
        <f>IF(COUNT($H1091:M1091)&gt;='RFM input'!$V$7,0,N725*N$6)</f>
        <v>0</v>
      </c>
      <c r="O1091" s="1341">
        <f>IF(COUNT($H1091:N1091)&gt;='RFM input'!$V$7,0,O725*O$6)</f>
        <v>0</v>
      </c>
      <c r="P1091" s="1341">
        <f>IF(COUNT($H1091:O1091)&gt;='RFM input'!$V$7,0,P725*P$6)</f>
        <v>0</v>
      </c>
      <c r="Q1091" s="1341">
        <f>IF(COUNT($H1091:P1091)&gt;='RFM input'!$V$7,0,Q725*Q$6)</f>
        <v>0</v>
      </c>
      <c r="R1091" s="248"/>
      <c r="S1091" s="3"/>
      <c r="T1091" s="3"/>
      <c r="U1091" s="3"/>
      <c r="V1091" s="3"/>
      <c r="W1091" s="3"/>
      <c r="X1091" s="3"/>
      <c r="Y1091" s="3"/>
      <c r="Z1091" s="3"/>
    </row>
    <row r="1092" spans="1:26" ht="12.75" hidden="1" customHeight="1" outlineLevel="1">
      <c r="A1092" s="3"/>
      <c r="B1092" s="3"/>
      <c r="C1092" s="3"/>
      <c r="D1092" s="133">
        <f>Asset9</f>
        <v>0</v>
      </c>
      <c r="E1092" s="3"/>
      <c r="F1092" s="3"/>
      <c r="G1092" s="1393">
        <f t="shared" si="165"/>
        <v>0</v>
      </c>
      <c r="H1092" s="1341">
        <f t="shared" si="165"/>
        <v>0</v>
      </c>
      <c r="I1092" s="1341">
        <f t="shared" si="165"/>
        <v>0</v>
      </c>
      <c r="J1092" s="1341">
        <f t="shared" si="165"/>
        <v>0</v>
      </c>
      <c r="K1092" s="1341">
        <f>IF(COUNT($H1092:J1092)&gt;='RFM input'!$V$7,0,K726*K$6)</f>
        <v>0</v>
      </c>
      <c r="L1092" s="1341">
        <f>IF(COUNT($H1092:K1092)&gt;='RFM input'!$V$7,0,L726*L$6)</f>
        <v>0</v>
      </c>
      <c r="M1092" s="1341">
        <f>IF(COUNT($H1092:L1092)&gt;='RFM input'!$V$7,0,M726*M$6)</f>
        <v>0</v>
      </c>
      <c r="N1092" s="1341">
        <f>IF(COUNT($H1092:M1092)&gt;='RFM input'!$V$7,0,N726*N$6)</f>
        <v>0</v>
      </c>
      <c r="O1092" s="1341">
        <f>IF(COUNT($H1092:N1092)&gt;='RFM input'!$V$7,0,O726*O$6)</f>
        <v>0</v>
      </c>
      <c r="P1092" s="1341">
        <f>IF(COUNT($H1092:O1092)&gt;='RFM input'!$V$7,0,P726*P$6)</f>
        <v>0</v>
      </c>
      <c r="Q1092" s="1341">
        <f>IF(COUNT($H1092:P1092)&gt;='RFM input'!$V$7,0,Q726*Q$6)</f>
        <v>0</v>
      </c>
      <c r="R1092" s="248"/>
      <c r="S1092" s="3"/>
      <c r="T1092" s="3"/>
      <c r="U1092" s="3"/>
      <c r="V1092" s="3"/>
      <c r="W1092" s="3"/>
      <c r="X1092" s="3"/>
      <c r="Y1092" s="3"/>
      <c r="Z1092" s="3"/>
    </row>
    <row r="1093" spans="1:26" ht="12.75" hidden="1" customHeight="1" outlineLevel="1">
      <c r="A1093" s="3"/>
      <c r="B1093" s="3"/>
      <c r="C1093" s="3"/>
      <c r="D1093" s="133">
        <f>Asset10</f>
        <v>0</v>
      </c>
      <c r="E1093" s="3"/>
      <c r="F1093" s="3"/>
      <c r="G1093" s="1393">
        <f t="shared" si="165"/>
        <v>0</v>
      </c>
      <c r="H1093" s="1341">
        <f t="shared" si="165"/>
        <v>0</v>
      </c>
      <c r="I1093" s="1341">
        <f t="shared" si="165"/>
        <v>0</v>
      </c>
      <c r="J1093" s="1341">
        <f t="shared" si="165"/>
        <v>0</v>
      </c>
      <c r="K1093" s="1341">
        <f>IF(COUNT($H1093:J1093)&gt;='RFM input'!$V$7,0,K727*K$6)</f>
        <v>0</v>
      </c>
      <c r="L1093" s="1341">
        <f>IF(COUNT($H1093:K1093)&gt;='RFM input'!$V$7,0,L727*L$6)</f>
        <v>0</v>
      </c>
      <c r="M1093" s="1341">
        <f>IF(COUNT($H1093:L1093)&gt;='RFM input'!$V$7,0,M727*M$6)</f>
        <v>0</v>
      </c>
      <c r="N1093" s="1341">
        <f>IF(COUNT($H1093:M1093)&gt;='RFM input'!$V$7,0,N727*N$6)</f>
        <v>0</v>
      </c>
      <c r="O1093" s="1341">
        <f>IF(COUNT($H1093:N1093)&gt;='RFM input'!$V$7,0,O727*O$6)</f>
        <v>0</v>
      </c>
      <c r="P1093" s="1341">
        <f>IF(COUNT($H1093:O1093)&gt;='RFM input'!$V$7,0,P727*P$6)</f>
        <v>0</v>
      </c>
      <c r="Q1093" s="1341">
        <f>IF(COUNT($H1093:P1093)&gt;='RFM input'!$V$7,0,Q727*Q$6)</f>
        <v>0</v>
      </c>
      <c r="R1093" s="248"/>
      <c r="S1093" s="3"/>
      <c r="T1093" s="3"/>
      <c r="U1093" s="3"/>
      <c r="V1093" s="3"/>
      <c r="W1093" s="3"/>
      <c r="X1093" s="3"/>
      <c r="Y1093" s="3"/>
      <c r="Z1093" s="3"/>
    </row>
    <row r="1094" spans="1:26" ht="12.75" hidden="1" customHeight="1" outlineLevel="1">
      <c r="A1094" s="3"/>
      <c r="B1094" s="3"/>
      <c r="C1094" s="3"/>
      <c r="D1094" s="133">
        <f>Asset11</f>
        <v>0</v>
      </c>
      <c r="E1094" s="3"/>
      <c r="F1094" s="3"/>
      <c r="G1094" s="1393">
        <f t="shared" ref="G1094:J1103" si="166">G728*G$6</f>
        <v>0</v>
      </c>
      <c r="H1094" s="1341">
        <f t="shared" si="166"/>
        <v>0</v>
      </c>
      <c r="I1094" s="1341">
        <f t="shared" si="166"/>
        <v>0</v>
      </c>
      <c r="J1094" s="1341">
        <f t="shared" si="166"/>
        <v>0</v>
      </c>
      <c r="K1094" s="1341">
        <f>IF(COUNT($H1094:J1094)&gt;='RFM input'!$V$7,0,K728*K$6)</f>
        <v>0</v>
      </c>
      <c r="L1094" s="1341">
        <f>IF(COUNT($H1094:K1094)&gt;='RFM input'!$V$7,0,L728*L$6)</f>
        <v>0</v>
      </c>
      <c r="M1094" s="1341">
        <f>IF(COUNT($H1094:L1094)&gt;='RFM input'!$V$7,0,M728*M$6)</f>
        <v>0</v>
      </c>
      <c r="N1094" s="1341">
        <f>IF(COUNT($H1094:M1094)&gt;='RFM input'!$V$7,0,N728*N$6)</f>
        <v>0</v>
      </c>
      <c r="O1094" s="1341">
        <f>IF(COUNT($H1094:N1094)&gt;='RFM input'!$V$7,0,O728*O$6)</f>
        <v>0</v>
      </c>
      <c r="P1094" s="1341">
        <f>IF(COUNT($H1094:O1094)&gt;='RFM input'!$V$7,0,P728*P$6)</f>
        <v>0</v>
      </c>
      <c r="Q1094" s="1341">
        <f>IF(COUNT($H1094:P1094)&gt;='RFM input'!$V$7,0,Q728*Q$6)</f>
        <v>0</v>
      </c>
      <c r="R1094" s="248"/>
      <c r="S1094" s="3"/>
      <c r="T1094" s="3"/>
      <c r="U1094" s="3"/>
      <c r="V1094" s="3"/>
      <c r="W1094" s="3"/>
      <c r="X1094" s="3"/>
      <c r="Y1094" s="3"/>
      <c r="Z1094" s="3"/>
    </row>
    <row r="1095" spans="1:26" ht="12.75" hidden="1" customHeight="1" outlineLevel="1">
      <c r="A1095" s="3"/>
      <c r="B1095" s="3"/>
      <c r="C1095" s="3"/>
      <c r="D1095" s="133">
        <f>Asset12</f>
        <v>0</v>
      </c>
      <c r="E1095" s="3"/>
      <c r="F1095" s="3"/>
      <c r="G1095" s="1393">
        <f t="shared" si="166"/>
        <v>0</v>
      </c>
      <c r="H1095" s="1341">
        <f t="shared" si="166"/>
        <v>0</v>
      </c>
      <c r="I1095" s="1341">
        <f t="shared" si="166"/>
        <v>0</v>
      </c>
      <c r="J1095" s="1341">
        <f t="shared" si="166"/>
        <v>0</v>
      </c>
      <c r="K1095" s="1341">
        <f>IF(COUNT($H1095:J1095)&gt;='RFM input'!$V$7,0,K729*K$6)</f>
        <v>0</v>
      </c>
      <c r="L1095" s="1341">
        <f>IF(COUNT($H1095:K1095)&gt;='RFM input'!$V$7,0,L729*L$6)</f>
        <v>0</v>
      </c>
      <c r="M1095" s="1341">
        <f>IF(COUNT($H1095:L1095)&gt;='RFM input'!$V$7,0,M729*M$6)</f>
        <v>0</v>
      </c>
      <c r="N1095" s="1341">
        <f>IF(COUNT($H1095:M1095)&gt;='RFM input'!$V$7,0,N729*N$6)</f>
        <v>0</v>
      </c>
      <c r="O1095" s="1341">
        <f>IF(COUNT($H1095:N1095)&gt;='RFM input'!$V$7,0,O729*O$6)</f>
        <v>0</v>
      </c>
      <c r="P1095" s="1341">
        <f>IF(COUNT($H1095:O1095)&gt;='RFM input'!$V$7,0,P729*P$6)</f>
        <v>0</v>
      </c>
      <c r="Q1095" s="1341">
        <f>IF(COUNT($H1095:P1095)&gt;='RFM input'!$V$7,0,Q729*Q$6)</f>
        <v>0</v>
      </c>
      <c r="R1095" s="248"/>
      <c r="S1095" s="3"/>
      <c r="T1095" s="3"/>
      <c r="U1095" s="3"/>
      <c r="V1095" s="3"/>
      <c r="W1095" s="3"/>
      <c r="X1095" s="3"/>
      <c r="Y1095" s="3"/>
      <c r="Z1095" s="3"/>
    </row>
    <row r="1096" spans="1:26" ht="12.75" hidden="1" customHeight="1" outlineLevel="1">
      <c r="A1096" s="3"/>
      <c r="B1096" s="3"/>
      <c r="C1096" s="3"/>
      <c r="D1096" s="133">
        <f>Asset13</f>
        <v>0</v>
      </c>
      <c r="E1096" s="3"/>
      <c r="F1096" s="3"/>
      <c r="G1096" s="1393">
        <f t="shared" si="166"/>
        <v>0</v>
      </c>
      <c r="H1096" s="1341">
        <f t="shared" si="166"/>
        <v>0</v>
      </c>
      <c r="I1096" s="1341">
        <f t="shared" si="166"/>
        <v>0</v>
      </c>
      <c r="J1096" s="1341">
        <f t="shared" si="166"/>
        <v>0</v>
      </c>
      <c r="K1096" s="1341">
        <f>IF(COUNT($H1096:J1096)&gt;='RFM input'!$V$7,0,K730*K$6)</f>
        <v>0</v>
      </c>
      <c r="L1096" s="1341">
        <f>IF(COUNT($H1096:K1096)&gt;='RFM input'!$V$7,0,L730*L$6)</f>
        <v>0</v>
      </c>
      <c r="M1096" s="1341">
        <f>IF(COUNT($H1096:L1096)&gt;='RFM input'!$V$7,0,M730*M$6)</f>
        <v>0</v>
      </c>
      <c r="N1096" s="1341">
        <f>IF(COUNT($H1096:M1096)&gt;='RFM input'!$V$7,0,N730*N$6)</f>
        <v>0</v>
      </c>
      <c r="O1096" s="1341">
        <f>IF(COUNT($H1096:N1096)&gt;='RFM input'!$V$7,0,O730*O$6)</f>
        <v>0</v>
      </c>
      <c r="P1096" s="1341">
        <f>IF(COUNT($H1096:O1096)&gt;='RFM input'!$V$7,0,P730*P$6)</f>
        <v>0</v>
      </c>
      <c r="Q1096" s="1341">
        <f>IF(COUNT($H1096:P1096)&gt;='RFM input'!$V$7,0,Q730*Q$6)</f>
        <v>0</v>
      </c>
      <c r="R1096" s="248"/>
      <c r="S1096" s="3"/>
      <c r="T1096" s="3"/>
      <c r="U1096" s="3"/>
      <c r="V1096" s="3"/>
      <c r="W1096" s="3"/>
      <c r="X1096" s="3"/>
      <c r="Y1096" s="3"/>
      <c r="Z1096" s="3"/>
    </row>
    <row r="1097" spans="1:26" ht="12.75" hidden="1" customHeight="1" outlineLevel="1">
      <c r="A1097" s="3"/>
      <c r="B1097" s="3"/>
      <c r="C1097" s="3"/>
      <c r="D1097" s="133">
        <f>Asset14</f>
        <v>0</v>
      </c>
      <c r="E1097" s="3"/>
      <c r="F1097" s="3"/>
      <c r="G1097" s="1393">
        <f t="shared" si="166"/>
        <v>0</v>
      </c>
      <c r="H1097" s="1341">
        <f t="shared" si="166"/>
        <v>0</v>
      </c>
      <c r="I1097" s="1341">
        <f t="shared" si="166"/>
        <v>0</v>
      </c>
      <c r="J1097" s="1341">
        <f t="shared" si="166"/>
        <v>0</v>
      </c>
      <c r="K1097" s="1341">
        <f>IF(COUNT($H1097:J1097)&gt;='RFM input'!$V$7,0,K731*K$6)</f>
        <v>0</v>
      </c>
      <c r="L1097" s="1341">
        <f>IF(COUNT($H1097:K1097)&gt;='RFM input'!$V$7,0,L731*L$6)</f>
        <v>0</v>
      </c>
      <c r="M1097" s="1341">
        <f>IF(COUNT($H1097:L1097)&gt;='RFM input'!$V$7,0,M731*M$6)</f>
        <v>0</v>
      </c>
      <c r="N1097" s="1341">
        <f>IF(COUNT($H1097:M1097)&gt;='RFM input'!$V$7,0,N731*N$6)</f>
        <v>0</v>
      </c>
      <c r="O1097" s="1341">
        <f>IF(COUNT($H1097:N1097)&gt;='RFM input'!$V$7,0,O731*O$6)</f>
        <v>0</v>
      </c>
      <c r="P1097" s="1341">
        <f>IF(COUNT($H1097:O1097)&gt;='RFM input'!$V$7,0,P731*P$6)</f>
        <v>0</v>
      </c>
      <c r="Q1097" s="1341">
        <f>IF(COUNT($H1097:P1097)&gt;='RFM input'!$V$7,0,Q731*Q$6)</f>
        <v>0</v>
      </c>
      <c r="R1097" s="248"/>
      <c r="S1097" s="3"/>
      <c r="T1097" s="3"/>
      <c r="U1097" s="3"/>
      <c r="V1097" s="3"/>
      <c r="W1097" s="3"/>
      <c r="X1097" s="3"/>
      <c r="Y1097" s="3"/>
      <c r="Z1097" s="3"/>
    </row>
    <row r="1098" spans="1:26" ht="12.75" hidden="1" customHeight="1" outlineLevel="1">
      <c r="A1098" s="3"/>
      <c r="B1098" s="3"/>
      <c r="C1098" s="3"/>
      <c r="D1098" s="133">
        <f>Asset15</f>
        <v>0</v>
      </c>
      <c r="E1098" s="3"/>
      <c r="F1098" s="3"/>
      <c r="G1098" s="1393">
        <f t="shared" si="166"/>
        <v>0</v>
      </c>
      <c r="H1098" s="1341">
        <f t="shared" si="166"/>
        <v>0</v>
      </c>
      <c r="I1098" s="1341">
        <f t="shared" si="166"/>
        <v>0</v>
      </c>
      <c r="J1098" s="1341">
        <f t="shared" si="166"/>
        <v>0</v>
      </c>
      <c r="K1098" s="1341">
        <f>IF(COUNT($H1098:J1098)&gt;='RFM input'!$V$7,0,K732*K$6)</f>
        <v>0</v>
      </c>
      <c r="L1098" s="1341">
        <f>IF(COUNT($H1098:K1098)&gt;='RFM input'!$V$7,0,L732*L$6)</f>
        <v>0</v>
      </c>
      <c r="M1098" s="1341">
        <f>IF(COUNT($H1098:L1098)&gt;='RFM input'!$V$7,0,M732*M$6)</f>
        <v>0</v>
      </c>
      <c r="N1098" s="1341">
        <f>IF(COUNT($H1098:M1098)&gt;='RFM input'!$V$7,0,N732*N$6)</f>
        <v>0</v>
      </c>
      <c r="O1098" s="1341">
        <f>IF(COUNT($H1098:N1098)&gt;='RFM input'!$V$7,0,O732*O$6)</f>
        <v>0</v>
      </c>
      <c r="P1098" s="1341">
        <f>IF(COUNT($H1098:O1098)&gt;='RFM input'!$V$7,0,P732*P$6)</f>
        <v>0</v>
      </c>
      <c r="Q1098" s="1341">
        <f>IF(COUNT($H1098:P1098)&gt;='RFM input'!$V$7,0,Q732*Q$6)</f>
        <v>0</v>
      </c>
      <c r="R1098" s="248"/>
      <c r="S1098" s="3"/>
      <c r="T1098" s="3"/>
      <c r="U1098" s="3"/>
      <c r="V1098" s="3"/>
      <c r="W1098" s="3"/>
      <c r="X1098" s="3"/>
      <c r="Y1098" s="3"/>
      <c r="Z1098" s="3"/>
    </row>
    <row r="1099" spans="1:26" ht="12.75" hidden="1" customHeight="1" outlineLevel="1">
      <c r="A1099" s="3"/>
      <c r="B1099" s="3"/>
      <c r="C1099" s="3"/>
      <c r="D1099" s="133">
        <f>Asset16</f>
        <v>0</v>
      </c>
      <c r="E1099" s="3"/>
      <c r="F1099" s="3"/>
      <c r="G1099" s="1393">
        <f t="shared" si="166"/>
        <v>0</v>
      </c>
      <c r="H1099" s="1341">
        <f t="shared" si="166"/>
        <v>0</v>
      </c>
      <c r="I1099" s="1341">
        <f t="shared" si="166"/>
        <v>0</v>
      </c>
      <c r="J1099" s="1341">
        <f t="shared" si="166"/>
        <v>0</v>
      </c>
      <c r="K1099" s="1341">
        <f>IF(COUNT($H1099:J1099)&gt;='RFM input'!$V$7,0,K733*K$6)</f>
        <v>0</v>
      </c>
      <c r="L1099" s="1341">
        <f>IF(COUNT($H1099:K1099)&gt;='RFM input'!$V$7,0,L733*L$6)</f>
        <v>0</v>
      </c>
      <c r="M1099" s="1341">
        <f>IF(COUNT($H1099:L1099)&gt;='RFM input'!$V$7,0,M733*M$6)</f>
        <v>0</v>
      </c>
      <c r="N1099" s="1341">
        <f>IF(COUNT($H1099:M1099)&gt;='RFM input'!$V$7,0,N733*N$6)</f>
        <v>0</v>
      </c>
      <c r="O1099" s="1341">
        <f>IF(COUNT($H1099:N1099)&gt;='RFM input'!$V$7,0,O733*O$6)</f>
        <v>0</v>
      </c>
      <c r="P1099" s="1341">
        <f>IF(COUNT($H1099:O1099)&gt;='RFM input'!$V$7,0,P733*P$6)</f>
        <v>0</v>
      </c>
      <c r="Q1099" s="1341">
        <f>IF(COUNT($H1099:P1099)&gt;='RFM input'!$V$7,0,Q733*Q$6)</f>
        <v>0</v>
      </c>
      <c r="R1099" s="248"/>
      <c r="S1099" s="3"/>
      <c r="T1099" s="3"/>
      <c r="U1099" s="3"/>
      <c r="V1099" s="3"/>
      <c r="W1099" s="3"/>
      <c r="X1099" s="3"/>
      <c r="Y1099" s="3"/>
      <c r="Z1099" s="3"/>
    </row>
    <row r="1100" spans="1:26" ht="12.75" hidden="1" customHeight="1" outlineLevel="1">
      <c r="A1100" s="3"/>
      <c r="B1100" s="3"/>
      <c r="C1100" s="3"/>
      <c r="D1100" s="133">
        <f>Asset17</f>
        <v>0</v>
      </c>
      <c r="E1100" s="3"/>
      <c r="F1100" s="3"/>
      <c r="G1100" s="1393">
        <f t="shared" si="166"/>
        <v>0</v>
      </c>
      <c r="H1100" s="1341">
        <f t="shared" si="166"/>
        <v>0</v>
      </c>
      <c r="I1100" s="1341">
        <f t="shared" si="166"/>
        <v>0</v>
      </c>
      <c r="J1100" s="1341">
        <f t="shared" si="166"/>
        <v>0</v>
      </c>
      <c r="K1100" s="1341">
        <f>IF(COUNT($H1100:J1100)&gt;='RFM input'!$V$7,0,K734*K$6)</f>
        <v>0</v>
      </c>
      <c r="L1100" s="1341">
        <f>IF(COUNT($H1100:K1100)&gt;='RFM input'!$V$7,0,L734*L$6)</f>
        <v>0</v>
      </c>
      <c r="M1100" s="1341">
        <f>IF(COUNT($H1100:L1100)&gt;='RFM input'!$V$7,0,M734*M$6)</f>
        <v>0</v>
      </c>
      <c r="N1100" s="1341">
        <f>IF(COUNT($H1100:M1100)&gt;='RFM input'!$V$7,0,N734*N$6)</f>
        <v>0</v>
      </c>
      <c r="O1100" s="1341">
        <f>IF(COUNT($H1100:N1100)&gt;='RFM input'!$V$7,0,O734*O$6)</f>
        <v>0</v>
      </c>
      <c r="P1100" s="1341">
        <f>IF(COUNT($H1100:O1100)&gt;='RFM input'!$V$7,0,P734*P$6)</f>
        <v>0</v>
      </c>
      <c r="Q1100" s="1341">
        <f>IF(COUNT($H1100:P1100)&gt;='RFM input'!$V$7,0,Q734*Q$6)</f>
        <v>0</v>
      </c>
      <c r="R1100" s="248"/>
      <c r="S1100" s="3"/>
      <c r="T1100" s="3"/>
      <c r="U1100" s="3"/>
      <c r="V1100" s="3"/>
      <c r="W1100" s="3"/>
      <c r="X1100" s="3"/>
      <c r="Y1100" s="3"/>
      <c r="Z1100" s="3"/>
    </row>
    <row r="1101" spans="1:26" ht="12.75" hidden="1" customHeight="1" outlineLevel="1">
      <c r="A1101" s="3"/>
      <c r="B1101" s="3"/>
      <c r="C1101" s="3"/>
      <c r="D1101" s="133">
        <f>Asset18</f>
        <v>0</v>
      </c>
      <c r="E1101" s="3"/>
      <c r="F1101" s="3"/>
      <c r="G1101" s="1393">
        <f t="shared" si="166"/>
        <v>0</v>
      </c>
      <c r="H1101" s="1341">
        <f t="shared" si="166"/>
        <v>0</v>
      </c>
      <c r="I1101" s="1341">
        <f t="shared" si="166"/>
        <v>0</v>
      </c>
      <c r="J1101" s="1341">
        <f t="shared" si="166"/>
        <v>0</v>
      </c>
      <c r="K1101" s="1341">
        <f>IF(COUNT($H1101:J1101)&gt;='RFM input'!$V$7,0,K735*K$6)</f>
        <v>0</v>
      </c>
      <c r="L1101" s="1341">
        <f>IF(COUNT($H1101:K1101)&gt;='RFM input'!$V$7,0,L735*L$6)</f>
        <v>0</v>
      </c>
      <c r="M1101" s="1341">
        <f>IF(COUNT($H1101:L1101)&gt;='RFM input'!$V$7,0,M735*M$6)</f>
        <v>0</v>
      </c>
      <c r="N1101" s="1341">
        <f>IF(COUNT($H1101:M1101)&gt;='RFM input'!$V$7,0,N735*N$6)</f>
        <v>0</v>
      </c>
      <c r="O1101" s="1341">
        <f>IF(COUNT($H1101:N1101)&gt;='RFM input'!$V$7,0,O735*O$6)</f>
        <v>0</v>
      </c>
      <c r="P1101" s="1341">
        <f>IF(COUNT($H1101:O1101)&gt;='RFM input'!$V$7,0,P735*P$6)</f>
        <v>0</v>
      </c>
      <c r="Q1101" s="1341">
        <f>IF(COUNT($H1101:P1101)&gt;='RFM input'!$V$7,0,Q735*Q$6)</f>
        <v>0</v>
      </c>
      <c r="R1101" s="248"/>
      <c r="S1101" s="3"/>
      <c r="T1101" s="3"/>
      <c r="U1101" s="3"/>
      <c r="V1101" s="3"/>
      <c r="W1101" s="3"/>
      <c r="X1101" s="3"/>
      <c r="Y1101" s="3"/>
      <c r="Z1101" s="3"/>
    </row>
    <row r="1102" spans="1:26" ht="12.75" hidden="1" customHeight="1" outlineLevel="1">
      <c r="A1102" s="3"/>
      <c r="B1102" s="3"/>
      <c r="C1102" s="3"/>
      <c r="D1102" s="133">
        <f>Asset19</f>
        <v>0</v>
      </c>
      <c r="E1102" s="3"/>
      <c r="F1102" s="3"/>
      <c r="G1102" s="1393">
        <f t="shared" si="166"/>
        <v>0</v>
      </c>
      <c r="H1102" s="1341">
        <f t="shared" si="166"/>
        <v>0</v>
      </c>
      <c r="I1102" s="1341">
        <f t="shared" si="166"/>
        <v>0</v>
      </c>
      <c r="J1102" s="1341">
        <f t="shared" si="166"/>
        <v>0</v>
      </c>
      <c r="K1102" s="1341">
        <f>IF(COUNT($H1102:J1102)&gt;='RFM input'!$V$7,0,K736*K$6)</f>
        <v>0</v>
      </c>
      <c r="L1102" s="1341">
        <f>IF(COUNT($H1102:K1102)&gt;='RFM input'!$V$7,0,L736*L$6)</f>
        <v>0</v>
      </c>
      <c r="M1102" s="1341">
        <f>IF(COUNT($H1102:L1102)&gt;='RFM input'!$V$7,0,M736*M$6)</f>
        <v>0</v>
      </c>
      <c r="N1102" s="1341">
        <f>IF(COUNT($H1102:M1102)&gt;='RFM input'!$V$7,0,N736*N$6)</f>
        <v>0</v>
      </c>
      <c r="O1102" s="1341">
        <f>IF(COUNT($H1102:N1102)&gt;='RFM input'!$V$7,0,O736*O$6)</f>
        <v>0</v>
      </c>
      <c r="P1102" s="1341">
        <f>IF(COUNT($H1102:O1102)&gt;='RFM input'!$V$7,0,P736*P$6)</f>
        <v>0</v>
      </c>
      <c r="Q1102" s="1341">
        <f>IF(COUNT($H1102:P1102)&gt;='RFM input'!$V$7,0,Q736*Q$6)</f>
        <v>0</v>
      </c>
      <c r="R1102" s="248"/>
      <c r="S1102" s="3"/>
      <c r="T1102" s="3"/>
      <c r="U1102" s="3"/>
      <c r="V1102" s="3"/>
      <c r="W1102" s="3"/>
      <c r="X1102" s="3"/>
      <c r="Y1102" s="3"/>
      <c r="Z1102" s="3"/>
    </row>
    <row r="1103" spans="1:26" ht="12.75" hidden="1" customHeight="1" outlineLevel="1">
      <c r="A1103" s="3"/>
      <c r="B1103" s="3"/>
      <c r="C1103" s="3"/>
      <c r="D1103" s="133">
        <f>Asset20</f>
        <v>0</v>
      </c>
      <c r="E1103" s="3"/>
      <c r="F1103" s="3"/>
      <c r="G1103" s="1393">
        <f t="shared" si="166"/>
        <v>0</v>
      </c>
      <c r="H1103" s="1341">
        <f t="shared" si="166"/>
        <v>0</v>
      </c>
      <c r="I1103" s="1341">
        <f t="shared" si="166"/>
        <v>0</v>
      </c>
      <c r="J1103" s="1341">
        <f t="shared" si="166"/>
        <v>0</v>
      </c>
      <c r="K1103" s="1341">
        <f>IF(COUNT($H1103:J1103)&gt;='RFM input'!$V$7,0,K737*K$6)</f>
        <v>0</v>
      </c>
      <c r="L1103" s="1341">
        <f>IF(COUNT($H1103:K1103)&gt;='RFM input'!$V$7,0,L737*L$6)</f>
        <v>0</v>
      </c>
      <c r="M1103" s="1341">
        <f>IF(COUNT($H1103:L1103)&gt;='RFM input'!$V$7,0,M737*M$6)</f>
        <v>0</v>
      </c>
      <c r="N1103" s="1341">
        <f>IF(COUNT($H1103:M1103)&gt;='RFM input'!$V$7,0,N737*N$6)</f>
        <v>0</v>
      </c>
      <c r="O1103" s="1341">
        <f>IF(COUNT($H1103:N1103)&gt;='RFM input'!$V$7,0,O737*O$6)</f>
        <v>0</v>
      </c>
      <c r="P1103" s="1341">
        <f>IF(COUNT($H1103:O1103)&gt;='RFM input'!$V$7,0,P737*P$6)</f>
        <v>0</v>
      </c>
      <c r="Q1103" s="1341">
        <f>IF(COUNT($H1103:P1103)&gt;='RFM input'!$V$7,0,Q737*Q$6)</f>
        <v>0</v>
      </c>
      <c r="R1103" s="248"/>
      <c r="S1103" s="3"/>
      <c r="T1103" s="3"/>
      <c r="U1103" s="3"/>
      <c r="V1103" s="3"/>
      <c r="W1103" s="3"/>
      <c r="X1103" s="3"/>
      <c r="Y1103" s="3"/>
      <c r="Z1103" s="3"/>
    </row>
    <row r="1104" spans="1:26" ht="12.75" hidden="1" customHeight="1" outlineLevel="1">
      <c r="A1104" s="3"/>
      <c r="B1104" s="3"/>
      <c r="C1104" s="3"/>
      <c r="D1104" s="133">
        <f>Asset21</f>
        <v>0</v>
      </c>
      <c r="E1104" s="3"/>
      <c r="F1104" s="3"/>
      <c r="G1104" s="1393">
        <f t="shared" ref="G1104:J1112" si="167">G738*G$6</f>
        <v>0</v>
      </c>
      <c r="H1104" s="1341">
        <f t="shared" si="167"/>
        <v>0</v>
      </c>
      <c r="I1104" s="1341">
        <f t="shared" si="167"/>
        <v>0</v>
      </c>
      <c r="J1104" s="1341">
        <f t="shared" si="167"/>
        <v>0</v>
      </c>
      <c r="K1104" s="1341">
        <f>IF(COUNT($H1104:J1104)&gt;='RFM input'!$V$7,0,K738*K$6)</f>
        <v>0</v>
      </c>
      <c r="L1104" s="1341">
        <f>IF(COUNT($H1104:K1104)&gt;='RFM input'!$V$7,0,L738*L$6)</f>
        <v>0</v>
      </c>
      <c r="M1104" s="1341">
        <f>IF(COUNT($H1104:L1104)&gt;='RFM input'!$V$7,0,M738*M$6)</f>
        <v>0</v>
      </c>
      <c r="N1104" s="1341">
        <f>IF(COUNT($H1104:M1104)&gt;='RFM input'!$V$7,0,N738*N$6)</f>
        <v>0</v>
      </c>
      <c r="O1104" s="1341">
        <f>IF(COUNT($H1104:N1104)&gt;='RFM input'!$V$7,0,O738*O$6)</f>
        <v>0</v>
      </c>
      <c r="P1104" s="1341">
        <f>IF(COUNT($H1104:O1104)&gt;='RFM input'!$V$7,0,P738*P$6)</f>
        <v>0</v>
      </c>
      <c r="Q1104" s="1341">
        <f>IF(COUNT($H1104:P1104)&gt;='RFM input'!$V$7,0,Q738*Q$6)</f>
        <v>0</v>
      </c>
      <c r="R1104" s="248"/>
      <c r="S1104" s="3"/>
      <c r="T1104" s="3"/>
      <c r="U1104" s="3"/>
      <c r="V1104" s="3"/>
      <c r="W1104" s="3"/>
      <c r="X1104" s="3"/>
      <c r="Y1104" s="3"/>
      <c r="Z1104" s="3"/>
    </row>
    <row r="1105" spans="1:26" ht="12.75" hidden="1" customHeight="1" outlineLevel="1">
      <c r="A1105" s="3"/>
      <c r="B1105" s="3"/>
      <c r="C1105" s="3"/>
      <c r="D1105" s="133">
        <f>Asset22</f>
        <v>0</v>
      </c>
      <c r="E1105" s="3"/>
      <c r="F1105" s="3"/>
      <c r="G1105" s="1393">
        <f t="shared" si="167"/>
        <v>0</v>
      </c>
      <c r="H1105" s="1341">
        <f t="shared" si="167"/>
        <v>0</v>
      </c>
      <c r="I1105" s="1341">
        <f t="shared" si="167"/>
        <v>0</v>
      </c>
      <c r="J1105" s="1341">
        <f t="shared" si="167"/>
        <v>0</v>
      </c>
      <c r="K1105" s="1341">
        <f>IF(COUNT($H1105:J1105)&gt;='RFM input'!$V$7,0,K739*K$6)</f>
        <v>0</v>
      </c>
      <c r="L1105" s="1341">
        <f>IF(COUNT($H1105:K1105)&gt;='RFM input'!$V$7,0,L739*L$6)</f>
        <v>0</v>
      </c>
      <c r="M1105" s="1341">
        <f>IF(COUNT($H1105:L1105)&gt;='RFM input'!$V$7,0,M739*M$6)</f>
        <v>0</v>
      </c>
      <c r="N1105" s="1341">
        <f>IF(COUNT($H1105:M1105)&gt;='RFM input'!$V$7,0,N739*N$6)</f>
        <v>0</v>
      </c>
      <c r="O1105" s="1341">
        <f>IF(COUNT($H1105:N1105)&gt;='RFM input'!$V$7,0,O739*O$6)</f>
        <v>0</v>
      </c>
      <c r="P1105" s="1341">
        <f>IF(COUNT($H1105:O1105)&gt;='RFM input'!$V$7,0,P739*P$6)</f>
        <v>0</v>
      </c>
      <c r="Q1105" s="1341">
        <f>IF(COUNT($H1105:P1105)&gt;='RFM input'!$V$7,0,Q739*Q$6)</f>
        <v>0</v>
      </c>
      <c r="R1105" s="248"/>
      <c r="S1105" s="3"/>
      <c r="T1105" s="3"/>
      <c r="U1105" s="3"/>
      <c r="V1105" s="3"/>
      <c r="W1105" s="3"/>
      <c r="X1105" s="3"/>
      <c r="Y1105" s="3"/>
      <c r="Z1105" s="3"/>
    </row>
    <row r="1106" spans="1:26" ht="12.75" hidden="1" customHeight="1" outlineLevel="1">
      <c r="A1106" s="3"/>
      <c r="B1106" s="3"/>
      <c r="C1106" s="3"/>
      <c r="D1106" s="133">
        <f>Asset23</f>
        <v>0</v>
      </c>
      <c r="E1106" s="3"/>
      <c r="F1106" s="3"/>
      <c r="G1106" s="1393">
        <f t="shared" si="167"/>
        <v>0</v>
      </c>
      <c r="H1106" s="1341">
        <f t="shared" si="167"/>
        <v>0</v>
      </c>
      <c r="I1106" s="1341">
        <f t="shared" si="167"/>
        <v>0</v>
      </c>
      <c r="J1106" s="1341">
        <f t="shared" si="167"/>
        <v>0</v>
      </c>
      <c r="K1106" s="1341">
        <f>IF(COUNT($H1106:J1106)&gt;='RFM input'!$V$7,0,K740*K$6)</f>
        <v>0</v>
      </c>
      <c r="L1106" s="1341">
        <f>IF(COUNT($H1106:K1106)&gt;='RFM input'!$V$7,0,L740*L$6)</f>
        <v>0</v>
      </c>
      <c r="M1106" s="1341">
        <f>IF(COUNT($H1106:L1106)&gt;='RFM input'!$V$7,0,M740*M$6)</f>
        <v>0</v>
      </c>
      <c r="N1106" s="1341">
        <f>IF(COUNT($H1106:M1106)&gt;='RFM input'!$V$7,0,N740*N$6)</f>
        <v>0</v>
      </c>
      <c r="O1106" s="1341">
        <f>IF(COUNT($H1106:N1106)&gt;='RFM input'!$V$7,0,O740*O$6)</f>
        <v>0</v>
      </c>
      <c r="P1106" s="1341">
        <f>IF(COUNT($H1106:O1106)&gt;='RFM input'!$V$7,0,P740*P$6)</f>
        <v>0</v>
      </c>
      <c r="Q1106" s="1341">
        <f>IF(COUNT($H1106:P1106)&gt;='RFM input'!$V$7,0,Q740*Q$6)</f>
        <v>0</v>
      </c>
      <c r="R1106" s="248"/>
      <c r="S1106" s="3"/>
      <c r="T1106" s="3"/>
      <c r="U1106" s="3"/>
      <c r="V1106" s="3"/>
      <c r="W1106" s="3"/>
      <c r="X1106" s="3"/>
      <c r="Y1106" s="3"/>
      <c r="Z1106" s="3"/>
    </row>
    <row r="1107" spans="1:26" ht="12.75" hidden="1" customHeight="1" outlineLevel="1">
      <c r="A1107" s="3"/>
      <c r="B1107" s="3"/>
      <c r="C1107" s="3"/>
      <c r="D1107" s="133">
        <f>Asset24</f>
        <v>0</v>
      </c>
      <c r="E1107" s="3"/>
      <c r="F1107" s="3"/>
      <c r="G1107" s="1393">
        <f t="shared" si="167"/>
        <v>0</v>
      </c>
      <c r="H1107" s="1341">
        <f t="shared" si="167"/>
        <v>0</v>
      </c>
      <c r="I1107" s="1341">
        <f t="shared" si="167"/>
        <v>0</v>
      </c>
      <c r="J1107" s="1341">
        <f t="shared" si="167"/>
        <v>0</v>
      </c>
      <c r="K1107" s="1341">
        <f>IF(COUNT($H1107:J1107)&gt;='RFM input'!$V$7,0,K741*K$6)</f>
        <v>0</v>
      </c>
      <c r="L1107" s="1341">
        <f>IF(COUNT($H1107:K1107)&gt;='RFM input'!$V$7,0,L741*L$6)</f>
        <v>0</v>
      </c>
      <c r="M1107" s="1341">
        <f>IF(COUNT($H1107:L1107)&gt;='RFM input'!$V$7,0,M741*M$6)</f>
        <v>0</v>
      </c>
      <c r="N1107" s="1341">
        <f>IF(COUNT($H1107:M1107)&gt;='RFM input'!$V$7,0,N741*N$6)</f>
        <v>0</v>
      </c>
      <c r="O1107" s="1341">
        <f>IF(COUNT($H1107:N1107)&gt;='RFM input'!$V$7,0,O741*O$6)</f>
        <v>0</v>
      </c>
      <c r="P1107" s="1341">
        <f>IF(COUNT($H1107:O1107)&gt;='RFM input'!$V$7,0,P741*P$6)</f>
        <v>0</v>
      </c>
      <c r="Q1107" s="1341">
        <f>IF(COUNT($H1107:P1107)&gt;='RFM input'!$V$7,0,Q741*Q$6)</f>
        <v>0</v>
      </c>
      <c r="R1107" s="248"/>
      <c r="S1107" s="3"/>
      <c r="T1107" s="3"/>
      <c r="U1107" s="3"/>
      <c r="V1107" s="3"/>
      <c r="W1107" s="3"/>
      <c r="X1107" s="3"/>
      <c r="Y1107" s="3"/>
      <c r="Z1107" s="3"/>
    </row>
    <row r="1108" spans="1:26" ht="12.75" hidden="1" customHeight="1" outlineLevel="1">
      <c r="A1108" s="3"/>
      <c r="B1108" s="3"/>
      <c r="C1108" s="3"/>
      <c r="D1108" s="133">
        <f>Asset25</f>
        <v>0</v>
      </c>
      <c r="E1108" s="3"/>
      <c r="F1108" s="3"/>
      <c r="G1108" s="1393">
        <f t="shared" si="167"/>
        <v>0</v>
      </c>
      <c r="H1108" s="1341">
        <f t="shared" si="167"/>
        <v>0</v>
      </c>
      <c r="I1108" s="1341">
        <f t="shared" si="167"/>
        <v>0</v>
      </c>
      <c r="J1108" s="1341">
        <f t="shared" si="167"/>
        <v>0</v>
      </c>
      <c r="K1108" s="1341">
        <f>IF(COUNT($H1108:J1108)&gt;='RFM input'!$V$7,0,K742*K$6)</f>
        <v>0</v>
      </c>
      <c r="L1108" s="1341">
        <f>IF(COUNT($H1108:K1108)&gt;='RFM input'!$V$7,0,L742*L$6)</f>
        <v>0</v>
      </c>
      <c r="M1108" s="1341">
        <f>IF(COUNT($H1108:L1108)&gt;='RFM input'!$V$7,0,M742*M$6)</f>
        <v>0</v>
      </c>
      <c r="N1108" s="1341">
        <f>IF(COUNT($H1108:M1108)&gt;='RFM input'!$V$7,0,N742*N$6)</f>
        <v>0</v>
      </c>
      <c r="O1108" s="1341">
        <f>IF(COUNT($H1108:N1108)&gt;='RFM input'!$V$7,0,O742*O$6)</f>
        <v>0</v>
      </c>
      <c r="P1108" s="1341">
        <f>IF(COUNT($H1108:O1108)&gt;='RFM input'!$V$7,0,P742*P$6)</f>
        <v>0</v>
      </c>
      <c r="Q1108" s="1341">
        <f>IF(COUNT($H1108:P1108)&gt;='RFM input'!$V$7,0,Q742*Q$6)</f>
        <v>0</v>
      </c>
      <c r="R1108" s="248"/>
      <c r="S1108" s="3"/>
      <c r="T1108" s="3"/>
      <c r="U1108" s="3"/>
      <c r="V1108" s="3"/>
      <c r="W1108" s="3"/>
      <c r="X1108" s="3"/>
      <c r="Y1108" s="3"/>
      <c r="Z1108" s="3"/>
    </row>
    <row r="1109" spans="1:26" ht="12.75" hidden="1" customHeight="1" outlineLevel="1">
      <c r="A1109" s="3"/>
      <c r="B1109" s="3"/>
      <c r="C1109" s="3"/>
      <c r="D1109" s="133">
        <f>Asset26</f>
        <v>0</v>
      </c>
      <c r="E1109" s="3"/>
      <c r="F1109" s="3"/>
      <c r="G1109" s="1393">
        <f t="shared" si="167"/>
        <v>0</v>
      </c>
      <c r="H1109" s="1341">
        <f t="shared" si="167"/>
        <v>0</v>
      </c>
      <c r="I1109" s="1341">
        <f t="shared" si="167"/>
        <v>0</v>
      </c>
      <c r="J1109" s="1341">
        <f t="shared" si="167"/>
        <v>0</v>
      </c>
      <c r="K1109" s="1341">
        <f>IF(COUNT($H1109:J1109)&gt;='RFM input'!$V$7,0,K743*K$6)</f>
        <v>0</v>
      </c>
      <c r="L1109" s="1341">
        <f>IF(COUNT($H1109:K1109)&gt;='RFM input'!$V$7,0,L743*L$6)</f>
        <v>0</v>
      </c>
      <c r="M1109" s="1341">
        <f>IF(COUNT($H1109:L1109)&gt;='RFM input'!$V$7,0,M743*M$6)</f>
        <v>0</v>
      </c>
      <c r="N1109" s="1341">
        <f>IF(COUNT($H1109:M1109)&gt;='RFM input'!$V$7,0,N743*N$6)</f>
        <v>0</v>
      </c>
      <c r="O1109" s="1341">
        <f>IF(COUNT($H1109:N1109)&gt;='RFM input'!$V$7,0,O743*O$6)</f>
        <v>0</v>
      </c>
      <c r="P1109" s="1341">
        <f>IF(COUNT($H1109:O1109)&gt;='RFM input'!$V$7,0,P743*P$6)</f>
        <v>0</v>
      </c>
      <c r="Q1109" s="1341">
        <f>IF(COUNT($H1109:P1109)&gt;='RFM input'!$V$7,0,Q743*Q$6)</f>
        <v>0</v>
      </c>
      <c r="R1109" s="248"/>
      <c r="S1109" s="3"/>
      <c r="T1109" s="3"/>
      <c r="U1109" s="3"/>
      <c r="V1109" s="3"/>
      <c r="W1109" s="3"/>
      <c r="X1109" s="3"/>
      <c r="Y1109" s="3"/>
      <c r="Z1109" s="3"/>
    </row>
    <row r="1110" spans="1:26" ht="12.75" hidden="1" customHeight="1" outlineLevel="1">
      <c r="A1110" s="3"/>
      <c r="B1110" s="3"/>
      <c r="C1110" s="3"/>
      <c r="D1110" s="133">
        <f>Asset27</f>
        <v>0</v>
      </c>
      <c r="E1110" s="3"/>
      <c r="F1110" s="3"/>
      <c r="G1110" s="1393">
        <f t="shared" si="167"/>
        <v>0</v>
      </c>
      <c r="H1110" s="1341">
        <f t="shared" si="167"/>
        <v>0</v>
      </c>
      <c r="I1110" s="1341">
        <f t="shared" si="167"/>
        <v>0</v>
      </c>
      <c r="J1110" s="1341">
        <f t="shared" si="167"/>
        <v>0</v>
      </c>
      <c r="K1110" s="1341">
        <f>IF(COUNT($H1110:J1110)&gt;='RFM input'!$V$7,0,K744*K$6)</f>
        <v>0</v>
      </c>
      <c r="L1110" s="1341">
        <f>IF(COUNT($H1110:K1110)&gt;='RFM input'!$V$7,0,L744*L$6)</f>
        <v>0</v>
      </c>
      <c r="M1110" s="1341">
        <f>IF(COUNT($H1110:L1110)&gt;='RFM input'!$V$7,0,M744*M$6)</f>
        <v>0</v>
      </c>
      <c r="N1110" s="1341">
        <f>IF(COUNT($H1110:M1110)&gt;='RFM input'!$V$7,0,N744*N$6)</f>
        <v>0</v>
      </c>
      <c r="O1110" s="1341">
        <f>IF(COUNT($H1110:N1110)&gt;='RFM input'!$V$7,0,O744*O$6)</f>
        <v>0</v>
      </c>
      <c r="P1110" s="1341">
        <f>IF(COUNT($H1110:O1110)&gt;='RFM input'!$V$7,0,P744*P$6)</f>
        <v>0</v>
      </c>
      <c r="Q1110" s="1341">
        <f>IF(COUNT($H1110:P1110)&gt;='RFM input'!$V$7,0,Q744*Q$6)</f>
        <v>0</v>
      </c>
      <c r="R1110" s="248"/>
      <c r="S1110" s="3"/>
      <c r="T1110" s="3"/>
      <c r="U1110" s="3"/>
      <c r="V1110" s="3"/>
      <c r="W1110" s="3"/>
      <c r="X1110" s="3"/>
      <c r="Y1110" s="3"/>
      <c r="Z1110" s="3"/>
    </row>
    <row r="1111" spans="1:26" ht="12.75" hidden="1" customHeight="1" outlineLevel="1">
      <c r="A1111" s="3"/>
      <c r="B1111" s="3"/>
      <c r="C1111" s="3"/>
      <c r="D1111" s="133">
        <f>Asset28</f>
        <v>0</v>
      </c>
      <c r="E1111" s="3"/>
      <c r="F1111" s="3"/>
      <c r="G1111" s="1393">
        <f t="shared" si="167"/>
        <v>0</v>
      </c>
      <c r="H1111" s="1341">
        <f t="shared" si="167"/>
        <v>0</v>
      </c>
      <c r="I1111" s="1341">
        <f t="shared" si="167"/>
        <v>0</v>
      </c>
      <c r="J1111" s="1341">
        <f t="shared" si="167"/>
        <v>0</v>
      </c>
      <c r="K1111" s="1341">
        <f>IF(COUNT($H1111:J1111)&gt;='RFM input'!$V$7,0,K745*K$6)</f>
        <v>0</v>
      </c>
      <c r="L1111" s="1341">
        <f>IF(COUNT($H1111:K1111)&gt;='RFM input'!$V$7,0,L745*L$6)</f>
        <v>0</v>
      </c>
      <c r="M1111" s="1341">
        <f>IF(COUNT($H1111:L1111)&gt;='RFM input'!$V$7,0,M745*M$6)</f>
        <v>0</v>
      </c>
      <c r="N1111" s="1341">
        <f>IF(COUNT($H1111:M1111)&gt;='RFM input'!$V$7,0,N745*N$6)</f>
        <v>0</v>
      </c>
      <c r="O1111" s="1341">
        <f>IF(COUNT($H1111:N1111)&gt;='RFM input'!$V$7,0,O745*O$6)</f>
        <v>0</v>
      </c>
      <c r="P1111" s="1341">
        <f>IF(COUNT($H1111:O1111)&gt;='RFM input'!$V$7,0,P745*P$6)</f>
        <v>0</v>
      </c>
      <c r="Q1111" s="1341">
        <f>IF(COUNT($H1111:P1111)&gt;='RFM input'!$V$7,0,Q745*Q$6)</f>
        <v>0</v>
      </c>
      <c r="R1111" s="248"/>
      <c r="S1111" s="3"/>
      <c r="T1111" s="3"/>
      <c r="U1111" s="3"/>
      <c r="V1111" s="3"/>
      <c r="W1111" s="3"/>
      <c r="X1111" s="3"/>
      <c r="Y1111" s="3"/>
      <c r="Z1111" s="3"/>
    </row>
    <row r="1112" spans="1:26" ht="12.75" hidden="1" customHeight="1" outlineLevel="1">
      <c r="A1112" s="3"/>
      <c r="B1112" s="3"/>
      <c r="C1112" s="3"/>
      <c r="D1112" s="133">
        <f>Asset29</f>
        <v>0</v>
      </c>
      <c r="E1112" s="3"/>
      <c r="F1112" s="3"/>
      <c r="G1112" s="1393">
        <f t="shared" si="167"/>
        <v>0</v>
      </c>
      <c r="H1112" s="1341">
        <f t="shared" si="167"/>
        <v>0</v>
      </c>
      <c r="I1112" s="1341">
        <f t="shared" si="167"/>
        <v>0</v>
      </c>
      <c r="J1112" s="1341">
        <f t="shared" si="167"/>
        <v>0</v>
      </c>
      <c r="K1112" s="1341">
        <f>IF(COUNT($H1112:J1112)&gt;='RFM input'!$V$7,0,K746*K$6)</f>
        <v>0</v>
      </c>
      <c r="L1112" s="1341">
        <f>IF(COUNT($H1112:K1112)&gt;='RFM input'!$V$7,0,L746*L$6)</f>
        <v>0</v>
      </c>
      <c r="M1112" s="1341">
        <f>IF(COUNT($H1112:L1112)&gt;='RFM input'!$V$7,0,M746*M$6)</f>
        <v>0</v>
      </c>
      <c r="N1112" s="1341">
        <f>IF(COUNT($H1112:M1112)&gt;='RFM input'!$V$7,0,N746*N$6)</f>
        <v>0</v>
      </c>
      <c r="O1112" s="1341">
        <f>IF(COUNT($H1112:N1112)&gt;='RFM input'!$V$7,0,O746*O$6)</f>
        <v>0</v>
      </c>
      <c r="P1112" s="1341">
        <f>IF(COUNT($H1112:O1112)&gt;='RFM input'!$V$7,0,P746*P$6)</f>
        <v>0</v>
      </c>
      <c r="Q1112" s="1341">
        <f>IF(COUNT($H1112:P1112)&gt;='RFM input'!$V$7,0,Q746*Q$6)</f>
        <v>0</v>
      </c>
      <c r="R1112" s="248"/>
      <c r="S1112" s="3"/>
      <c r="T1112" s="3"/>
      <c r="U1112" s="3"/>
      <c r="V1112" s="3"/>
      <c r="W1112" s="3"/>
      <c r="X1112" s="3"/>
      <c r="Y1112" s="3"/>
      <c r="Z1112" s="3"/>
    </row>
    <row r="1113" spans="1:26" ht="12.75" hidden="1" customHeight="1" outlineLevel="1">
      <c r="A1113" s="3"/>
      <c r="B1113" s="3"/>
      <c r="C1113" s="3"/>
      <c r="D1113" s="133">
        <f>Asset30</f>
        <v>0</v>
      </c>
      <c r="E1113" s="3"/>
      <c r="F1113" s="3"/>
      <c r="G1113" s="1393">
        <f t="shared" ref="G1113:J1133" si="168">G747*G$6</f>
        <v>0</v>
      </c>
      <c r="H1113" s="1341">
        <f t="shared" si="168"/>
        <v>0</v>
      </c>
      <c r="I1113" s="1341">
        <f t="shared" si="168"/>
        <v>0</v>
      </c>
      <c r="J1113" s="1341">
        <f t="shared" si="168"/>
        <v>0</v>
      </c>
      <c r="K1113" s="1341">
        <f>IF(COUNT($H1113:J1113)&gt;='RFM input'!$V$7,0,K747*K$6)</f>
        <v>0</v>
      </c>
      <c r="L1113" s="1341">
        <f>IF(COUNT($H1113:K1113)&gt;='RFM input'!$V$7,0,L747*L$6)</f>
        <v>0</v>
      </c>
      <c r="M1113" s="1341">
        <f>IF(COUNT($H1113:L1113)&gt;='RFM input'!$V$7,0,M747*M$6)</f>
        <v>0</v>
      </c>
      <c r="N1113" s="1341">
        <f>IF(COUNT($H1113:M1113)&gt;='RFM input'!$V$7,0,N747*N$6)</f>
        <v>0</v>
      </c>
      <c r="O1113" s="1341">
        <f>IF(COUNT($H1113:N1113)&gt;='RFM input'!$V$7,0,O747*O$6)</f>
        <v>0</v>
      </c>
      <c r="P1113" s="1341">
        <f>IF(COUNT($H1113:O1113)&gt;='RFM input'!$V$7,0,P747*P$6)</f>
        <v>0</v>
      </c>
      <c r="Q1113" s="1341">
        <f>IF(COUNT($H1113:P1113)&gt;='RFM input'!$V$7,0,Q747*Q$6)</f>
        <v>0</v>
      </c>
      <c r="R1113" s="248"/>
      <c r="S1113" s="3"/>
      <c r="T1113" s="3"/>
      <c r="U1113" s="3"/>
      <c r="V1113" s="3"/>
      <c r="W1113" s="3"/>
      <c r="X1113" s="3"/>
      <c r="Y1113" s="3"/>
      <c r="Z1113" s="3"/>
    </row>
    <row r="1114" spans="1:26" ht="12.75" hidden="1" customHeight="1" outlineLevel="1">
      <c r="A1114" s="3"/>
      <c r="B1114" s="3"/>
      <c r="C1114" s="3"/>
      <c r="D1114" s="133">
        <f>Asset31</f>
        <v>0</v>
      </c>
      <c r="E1114" s="3"/>
      <c r="F1114" s="3"/>
      <c r="G1114" s="1393">
        <f t="shared" si="168"/>
        <v>0</v>
      </c>
      <c r="H1114" s="1341">
        <f t="shared" si="168"/>
        <v>0</v>
      </c>
      <c r="I1114" s="1341">
        <f t="shared" si="168"/>
        <v>0</v>
      </c>
      <c r="J1114" s="1341">
        <f t="shared" si="168"/>
        <v>0</v>
      </c>
      <c r="K1114" s="1341">
        <f>IF(COUNT($H1114:J1114)&gt;='RFM input'!$V$7,0,K748*K$6)</f>
        <v>0</v>
      </c>
      <c r="L1114" s="1341">
        <f>IF(COUNT($H1114:K1114)&gt;='RFM input'!$V$7,0,L748*L$6)</f>
        <v>0</v>
      </c>
      <c r="M1114" s="1341">
        <f>IF(COUNT($H1114:L1114)&gt;='RFM input'!$V$7,0,M748*M$6)</f>
        <v>0</v>
      </c>
      <c r="N1114" s="1341">
        <f>IF(COUNT($H1114:M1114)&gt;='RFM input'!$V$7,0,N748*N$6)</f>
        <v>0</v>
      </c>
      <c r="O1114" s="1341">
        <f>IF(COUNT($H1114:N1114)&gt;='RFM input'!$V$7,0,O748*O$6)</f>
        <v>0</v>
      </c>
      <c r="P1114" s="1341">
        <f>IF(COUNT($H1114:O1114)&gt;='RFM input'!$V$7,0,P748*P$6)</f>
        <v>0</v>
      </c>
      <c r="Q1114" s="1341">
        <f>IF(COUNT($H1114:P1114)&gt;='RFM input'!$V$7,0,Q748*Q$6)</f>
        <v>0</v>
      </c>
      <c r="R1114" s="248"/>
      <c r="S1114" s="3"/>
      <c r="T1114" s="3"/>
      <c r="U1114" s="3"/>
      <c r="V1114" s="3"/>
      <c r="W1114" s="3"/>
      <c r="X1114" s="3"/>
      <c r="Y1114" s="3"/>
      <c r="Z1114" s="3"/>
    </row>
    <row r="1115" spans="1:26" ht="12.75" hidden="1" customHeight="1" outlineLevel="1">
      <c r="A1115" s="3"/>
      <c r="B1115" s="3"/>
      <c r="C1115" s="3"/>
      <c r="D1115" s="133">
        <f>Asset32</f>
        <v>0</v>
      </c>
      <c r="E1115" s="3"/>
      <c r="F1115" s="3"/>
      <c r="G1115" s="1393">
        <f t="shared" si="168"/>
        <v>0</v>
      </c>
      <c r="H1115" s="1341">
        <f t="shared" si="168"/>
        <v>0</v>
      </c>
      <c r="I1115" s="1341">
        <f t="shared" si="168"/>
        <v>0</v>
      </c>
      <c r="J1115" s="1341">
        <f t="shared" si="168"/>
        <v>0</v>
      </c>
      <c r="K1115" s="1341">
        <f>IF(COUNT($H1115:J1115)&gt;='RFM input'!$V$7,0,K749*K$6)</f>
        <v>0</v>
      </c>
      <c r="L1115" s="1341">
        <f>IF(COUNT($H1115:K1115)&gt;='RFM input'!$V$7,0,L749*L$6)</f>
        <v>0</v>
      </c>
      <c r="M1115" s="1341">
        <f>IF(COUNT($H1115:L1115)&gt;='RFM input'!$V$7,0,M749*M$6)</f>
        <v>0</v>
      </c>
      <c r="N1115" s="1341">
        <f>IF(COUNT($H1115:M1115)&gt;='RFM input'!$V$7,0,N749*N$6)</f>
        <v>0</v>
      </c>
      <c r="O1115" s="1341">
        <f>IF(COUNT($H1115:N1115)&gt;='RFM input'!$V$7,0,O749*O$6)</f>
        <v>0</v>
      </c>
      <c r="P1115" s="1341">
        <f>IF(COUNT($H1115:O1115)&gt;='RFM input'!$V$7,0,P749*P$6)</f>
        <v>0</v>
      </c>
      <c r="Q1115" s="1341">
        <f>IF(COUNT($H1115:P1115)&gt;='RFM input'!$V$7,0,Q749*Q$6)</f>
        <v>0</v>
      </c>
      <c r="R1115" s="248"/>
      <c r="S1115" s="3"/>
      <c r="T1115" s="3"/>
      <c r="U1115" s="3"/>
      <c r="V1115" s="3"/>
      <c r="W1115" s="3"/>
      <c r="X1115" s="3"/>
      <c r="Y1115" s="3"/>
      <c r="Z1115" s="3"/>
    </row>
    <row r="1116" spans="1:26" ht="12.75" hidden="1" customHeight="1" outlineLevel="1">
      <c r="A1116" s="3"/>
      <c r="B1116" s="3"/>
      <c r="C1116" s="3"/>
      <c r="D1116" s="133">
        <f>Asset33</f>
        <v>0</v>
      </c>
      <c r="E1116" s="3"/>
      <c r="F1116" s="3"/>
      <c r="G1116" s="1393">
        <f t="shared" si="168"/>
        <v>0</v>
      </c>
      <c r="H1116" s="1341">
        <f t="shared" si="168"/>
        <v>0</v>
      </c>
      <c r="I1116" s="1341">
        <f t="shared" si="168"/>
        <v>0</v>
      </c>
      <c r="J1116" s="1341">
        <f t="shared" si="168"/>
        <v>0</v>
      </c>
      <c r="K1116" s="1341">
        <f>IF(COUNT($H1116:J1116)&gt;='RFM input'!$V$7,0,K750*K$6)</f>
        <v>0</v>
      </c>
      <c r="L1116" s="1341">
        <f>IF(COUNT($H1116:K1116)&gt;='RFM input'!$V$7,0,L750*L$6)</f>
        <v>0</v>
      </c>
      <c r="M1116" s="1341">
        <f>IF(COUNT($H1116:L1116)&gt;='RFM input'!$V$7,0,M750*M$6)</f>
        <v>0</v>
      </c>
      <c r="N1116" s="1341">
        <f>IF(COUNT($H1116:M1116)&gt;='RFM input'!$V$7,0,N750*N$6)</f>
        <v>0</v>
      </c>
      <c r="O1116" s="1341">
        <f>IF(COUNT($H1116:N1116)&gt;='RFM input'!$V$7,0,O750*O$6)</f>
        <v>0</v>
      </c>
      <c r="P1116" s="1341">
        <f>IF(COUNT($H1116:O1116)&gt;='RFM input'!$V$7,0,P750*P$6)</f>
        <v>0</v>
      </c>
      <c r="Q1116" s="1341">
        <f>IF(COUNT($H1116:P1116)&gt;='RFM input'!$V$7,0,Q750*Q$6)</f>
        <v>0</v>
      </c>
      <c r="R1116" s="248"/>
      <c r="S1116" s="3"/>
      <c r="T1116" s="3"/>
      <c r="U1116" s="3"/>
      <c r="V1116" s="3"/>
      <c r="W1116" s="3"/>
      <c r="X1116" s="3"/>
      <c r="Y1116" s="3"/>
      <c r="Z1116" s="3"/>
    </row>
    <row r="1117" spans="1:26" ht="12.75" hidden="1" customHeight="1" outlineLevel="1">
      <c r="A1117" s="3"/>
      <c r="B1117" s="3"/>
      <c r="C1117" s="3"/>
      <c r="D1117" s="133">
        <f>Asset34</f>
        <v>0</v>
      </c>
      <c r="E1117" s="3"/>
      <c r="F1117" s="3"/>
      <c r="G1117" s="1393">
        <f t="shared" si="168"/>
        <v>0</v>
      </c>
      <c r="H1117" s="1341">
        <f t="shared" si="168"/>
        <v>0</v>
      </c>
      <c r="I1117" s="1341">
        <f t="shared" si="168"/>
        <v>0</v>
      </c>
      <c r="J1117" s="1341">
        <f t="shared" si="168"/>
        <v>0</v>
      </c>
      <c r="K1117" s="1341">
        <f>IF(COUNT($H1117:J1117)&gt;='RFM input'!$V$7,0,K751*K$6)</f>
        <v>0</v>
      </c>
      <c r="L1117" s="1341">
        <f>IF(COUNT($H1117:K1117)&gt;='RFM input'!$V$7,0,L751*L$6)</f>
        <v>0</v>
      </c>
      <c r="M1117" s="1341">
        <f>IF(COUNT($H1117:L1117)&gt;='RFM input'!$V$7,0,M751*M$6)</f>
        <v>0</v>
      </c>
      <c r="N1117" s="1341">
        <f>IF(COUNT($H1117:M1117)&gt;='RFM input'!$V$7,0,N751*N$6)</f>
        <v>0</v>
      </c>
      <c r="O1117" s="1341">
        <f>IF(COUNT($H1117:N1117)&gt;='RFM input'!$V$7,0,O751*O$6)</f>
        <v>0</v>
      </c>
      <c r="P1117" s="1341">
        <f>IF(COUNT($H1117:O1117)&gt;='RFM input'!$V$7,0,P751*P$6)</f>
        <v>0</v>
      </c>
      <c r="Q1117" s="1341">
        <f>IF(COUNT($H1117:P1117)&gt;='RFM input'!$V$7,0,Q751*Q$6)</f>
        <v>0</v>
      </c>
      <c r="R1117" s="248"/>
      <c r="S1117" s="3"/>
      <c r="T1117" s="3"/>
      <c r="U1117" s="3"/>
      <c r="V1117" s="3"/>
      <c r="W1117" s="3"/>
      <c r="X1117" s="3"/>
      <c r="Y1117" s="3"/>
      <c r="Z1117" s="3"/>
    </row>
    <row r="1118" spans="1:26" ht="12.75" hidden="1" customHeight="1" outlineLevel="1">
      <c r="A1118" s="3"/>
      <c r="B1118" s="3"/>
      <c r="C1118" s="3"/>
      <c r="D1118" s="133">
        <f>Asset35</f>
        <v>0</v>
      </c>
      <c r="E1118" s="3"/>
      <c r="F1118" s="3"/>
      <c r="G1118" s="1393">
        <f t="shared" si="168"/>
        <v>0</v>
      </c>
      <c r="H1118" s="1341">
        <f t="shared" si="168"/>
        <v>0</v>
      </c>
      <c r="I1118" s="1341">
        <f t="shared" si="168"/>
        <v>0</v>
      </c>
      <c r="J1118" s="1341">
        <f t="shared" si="168"/>
        <v>0</v>
      </c>
      <c r="K1118" s="1341">
        <f>IF(COUNT($H1118:J1118)&gt;='RFM input'!$V$7,0,K752*K$6)</f>
        <v>0</v>
      </c>
      <c r="L1118" s="1341">
        <f>IF(COUNT($H1118:K1118)&gt;='RFM input'!$V$7,0,L752*L$6)</f>
        <v>0</v>
      </c>
      <c r="M1118" s="1341">
        <f>IF(COUNT($H1118:L1118)&gt;='RFM input'!$V$7,0,M752*M$6)</f>
        <v>0</v>
      </c>
      <c r="N1118" s="1341">
        <f>IF(COUNT($H1118:M1118)&gt;='RFM input'!$V$7,0,N752*N$6)</f>
        <v>0</v>
      </c>
      <c r="O1118" s="1341">
        <f>IF(COUNT($H1118:N1118)&gt;='RFM input'!$V$7,0,O752*O$6)</f>
        <v>0</v>
      </c>
      <c r="P1118" s="1341">
        <f>IF(COUNT($H1118:O1118)&gt;='RFM input'!$V$7,0,P752*P$6)</f>
        <v>0</v>
      </c>
      <c r="Q1118" s="1341">
        <f>IF(COUNT($H1118:P1118)&gt;='RFM input'!$V$7,0,Q752*Q$6)</f>
        <v>0</v>
      </c>
      <c r="R1118" s="248"/>
      <c r="S1118" s="3"/>
      <c r="T1118" s="3"/>
      <c r="U1118" s="3"/>
      <c r="V1118" s="3"/>
      <c r="W1118" s="3"/>
      <c r="X1118" s="3"/>
      <c r="Y1118" s="3"/>
      <c r="Z1118" s="3"/>
    </row>
    <row r="1119" spans="1:26" ht="12.75" hidden="1" customHeight="1" outlineLevel="1">
      <c r="A1119" s="3"/>
      <c r="B1119" s="3"/>
      <c r="C1119" s="3"/>
      <c r="D1119" s="133">
        <f>Asset36</f>
        <v>0</v>
      </c>
      <c r="E1119" s="3"/>
      <c r="F1119" s="3"/>
      <c r="G1119" s="1393">
        <f t="shared" si="168"/>
        <v>0</v>
      </c>
      <c r="H1119" s="1341">
        <f t="shared" si="168"/>
        <v>0</v>
      </c>
      <c r="I1119" s="1341">
        <f t="shared" si="168"/>
        <v>0</v>
      </c>
      <c r="J1119" s="1341">
        <f t="shared" si="168"/>
        <v>0</v>
      </c>
      <c r="K1119" s="1341">
        <f>IF(COUNT($H1119:J1119)&gt;='RFM input'!$V$7,0,K753*K$6)</f>
        <v>0</v>
      </c>
      <c r="L1119" s="1341">
        <f>IF(COUNT($H1119:K1119)&gt;='RFM input'!$V$7,0,L753*L$6)</f>
        <v>0</v>
      </c>
      <c r="M1119" s="1341">
        <f>IF(COUNT($H1119:L1119)&gt;='RFM input'!$V$7,0,M753*M$6)</f>
        <v>0</v>
      </c>
      <c r="N1119" s="1341">
        <f>IF(COUNT($H1119:M1119)&gt;='RFM input'!$V$7,0,N753*N$6)</f>
        <v>0</v>
      </c>
      <c r="O1119" s="1341">
        <f>IF(COUNT($H1119:N1119)&gt;='RFM input'!$V$7,0,O753*O$6)</f>
        <v>0</v>
      </c>
      <c r="P1119" s="1341">
        <f>IF(COUNT($H1119:O1119)&gt;='RFM input'!$V$7,0,P753*P$6)</f>
        <v>0</v>
      </c>
      <c r="Q1119" s="1341">
        <f>IF(COUNT($H1119:P1119)&gt;='RFM input'!$V$7,0,Q753*Q$6)</f>
        <v>0</v>
      </c>
      <c r="R1119" s="248"/>
      <c r="S1119" s="3"/>
      <c r="T1119" s="3"/>
      <c r="U1119" s="3"/>
      <c r="V1119" s="3"/>
      <c r="W1119" s="3"/>
      <c r="X1119" s="3"/>
      <c r="Y1119" s="3"/>
      <c r="Z1119" s="3"/>
    </row>
    <row r="1120" spans="1:26" ht="12.75" hidden="1" customHeight="1" outlineLevel="1">
      <c r="A1120" s="3"/>
      <c r="B1120" s="3"/>
      <c r="C1120" s="3"/>
      <c r="D1120" s="133">
        <f>Asset37</f>
        <v>0</v>
      </c>
      <c r="E1120" s="3"/>
      <c r="F1120" s="3"/>
      <c r="G1120" s="1393">
        <f t="shared" si="168"/>
        <v>0</v>
      </c>
      <c r="H1120" s="1341">
        <f t="shared" si="168"/>
        <v>0</v>
      </c>
      <c r="I1120" s="1341">
        <f t="shared" si="168"/>
        <v>0</v>
      </c>
      <c r="J1120" s="1341">
        <f t="shared" si="168"/>
        <v>0</v>
      </c>
      <c r="K1120" s="1341">
        <f>IF(COUNT($H1120:J1120)&gt;='RFM input'!$V$7,0,K754*K$6)</f>
        <v>0</v>
      </c>
      <c r="L1120" s="1341">
        <f>IF(COUNT($H1120:K1120)&gt;='RFM input'!$V$7,0,L754*L$6)</f>
        <v>0</v>
      </c>
      <c r="M1120" s="1341">
        <f>IF(COUNT($H1120:L1120)&gt;='RFM input'!$V$7,0,M754*M$6)</f>
        <v>0</v>
      </c>
      <c r="N1120" s="1341">
        <f>IF(COUNT($H1120:M1120)&gt;='RFM input'!$V$7,0,N754*N$6)</f>
        <v>0</v>
      </c>
      <c r="O1120" s="1341">
        <f>IF(COUNT($H1120:N1120)&gt;='RFM input'!$V$7,0,O754*O$6)</f>
        <v>0</v>
      </c>
      <c r="P1120" s="1341">
        <f>IF(COUNT($H1120:O1120)&gt;='RFM input'!$V$7,0,P754*P$6)</f>
        <v>0</v>
      </c>
      <c r="Q1120" s="1341">
        <f>IF(COUNT($H1120:P1120)&gt;='RFM input'!$V$7,0,Q754*Q$6)</f>
        <v>0</v>
      </c>
      <c r="R1120" s="248"/>
      <c r="S1120" s="3"/>
      <c r="T1120" s="3"/>
      <c r="U1120" s="3"/>
      <c r="V1120" s="3"/>
      <c r="W1120" s="3"/>
      <c r="X1120" s="3"/>
      <c r="Y1120" s="3"/>
      <c r="Z1120" s="3"/>
    </row>
    <row r="1121" spans="1:26" ht="12.75" hidden="1" customHeight="1" outlineLevel="1">
      <c r="A1121" s="3"/>
      <c r="B1121" s="3"/>
      <c r="C1121" s="3"/>
      <c r="D1121" s="133">
        <f>Asset38</f>
        <v>0</v>
      </c>
      <c r="E1121" s="3"/>
      <c r="F1121" s="3"/>
      <c r="G1121" s="1393">
        <f t="shared" si="168"/>
        <v>0</v>
      </c>
      <c r="H1121" s="1341">
        <f t="shared" si="168"/>
        <v>0</v>
      </c>
      <c r="I1121" s="1341">
        <f t="shared" si="168"/>
        <v>0</v>
      </c>
      <c r="J1121" s="1341">
        <f t="shared" si="168"/>
        <v>0</v>
      </c>
      <c r="K1121" s="1341">
        <f>IF(COUNT($H1121:J1121)&gt;='RFM input'!$V$7,0,K755*K$6)</f>
        <v>0</v>
      </c>
      <c r="L1121" s="1341">
        <f>IF(COUNT($H1121:K1121)&gt;='RFM input'!$V$7,0,L755*L$6)</f>
        <v>0</v>
      </c>
      <c r="M1121" s="1341">
        <f>IF(COUNT($H1121:L1121)&gt;='RFM input'!$V$7,0,M755*M$6)</f>
        <v>0</v>
      </c>
      <c r="N1121" s="1341">
        <f>IF(COUNT($H1121:M1121)&gt;='RFM input'!$V$7,0,N755*N$6)</f>
        <v>0</v>
      </c>
      <c r="O1121" s="1341">
        <f>IF(COUNT($H1121:N1121)&gt;='RFM input'!$V$7,0,O755*O$6)</f>
        <v>0</v>
      </c>
      <c r="P1121" s="1341">
        <f>IF(COUNT($H1121:O1121)&gt;='RFM input'!$V$7,0,P755*P$6)</f>
        <v>0</v>
      </c>
      <c r="Q1121" s="1341">
        <f>IF(COUNT($H1121:P1121)&gt;='RFM input'!$V$7,0,Q755*Q$6)</f>
        <v>0</v>
      </c>
      <c r="R1121" s="248"/>
      <c r="S1121" s="3"/>
      <c r="T1121" s="3"/>
      <c r="U1121" s="3"/>
      <c r="V1121" s="3"/>
      <c r="W1121" s="3"/>
      <c r="X1121" s="3"/>
      <c r="Y1121" s="3"/>
      <c r="Z1121" s="3"/>
    </row>
    <row r="1122" spans="1:26" ht="12.75" hidden="1" customHeight="1" outlineLevel="1">
      <c r="A1122" s="3"/>
      <c r="B1122" s="3"/>
      <c r="C1122" s="3"/>
      <c r="D1122" s="133">
        <f>Asset39</f>
        <v>0</v>
      </c>
      <c r="E1122" s="3"/>
      <c r="F1122" s="3"/>
      <c r="G1122" s="1393">
        <f t="shared" si="168"/>
        <v>0</v>
      </c>
      <c r="H1122" s="1341">
        <f t="shared" si="168"/>
        <v>0</v>
      </c>
      <c r="I1122" s="1341">
        <f t="shared" si="168"/>
        <v>0</v>
      </c>
      <c r="J1122" s="1341">
        <f t="shared" si="168"/>
        <v>0</v>
      </c>
      <c r="K1122" s="1341">
        <f>IF(COUNT($H1122:J1122)&gt;='RFM input'!$V$7,0,K756*K$6)</f>
        <v>0</v>
      </c>
      <c r="L1122" s="1341">
        <f>IF(COUNT($H1122:K1122)&gt;='RFM input'!$V$7,0,L756*L$6)</f>
        <v>0</v>
      </c>
      <c r="M1122" s="1341">
        <f>IF(COUNT($H1122:L1122)&gt;='RFM input'!$V$7,0,M756*M$6)</f>
        <v>0</v>
      </c>
      <c r="N1122" s="1341">
        <f>IF(COUNT($H1122:M1122)&gt;='RFM input'!$V$7,0,N756*N$6)</f>
        <v>0</v>
      </c>
      <c r="O1122" s="1341">
        <f>IF(COUNT($H1122:N1122)&gt;='RFM input'!$V$7,0,O756*O$6)</f>
        <v>0</v>
      </c>
      <c r="P1122" s="1341">
        <f>IF(COUNT($H1122:O1122)&gt;='RFM input'!$V$7,0,P756*P$6)</f>
        <v>0</v>
      </c>
      <c r="Q1122" s="1341">
        <f>IF(COUNT($H1122:P1122)&gt;='RFM input'!$V$7,0,Q756*Q$6)</f>
        <v>0</v>
      </c>
      <c r="R1122" s="248"/>
      <c r="S1122" s="3"/>
      <c r="T1122" s="3"/>
      <c r="U1122" s="3"/>
      <c r="V1122" s="3"/>
      <c r="W1122" s="3"/>
      <c r="X1122" s="3"/>
      <c r="Y1122" s="3"/>
      <c r="Z1122" s="3"/>
    </row>
    <row r="1123" spans="1:26" ht="12.75" hidden="1" customHeight="1" outlineLevel="1">
      <c r="A1123" s="3"/>
      <c r="B1123" s="3"/>
      <c r="C1123" s="3"/>
      <c r="D1123" s="133">
        <f>Asset40</f>
        <v>0</v>
      </c>
      <c r="E1123" s="3"/>
      <c r="F1123" s="3"/>
      <c r="G1123" s="1393">
        <f t="shared" si="168"/>
        <v>0</v>
      </c>
      <c r="H1123" s="1341">
        <f t="shared" si="168"/>
        <v>0</v>
      </c>
      <c r="I1123" s="1341">
        <f t="shared" si="168"/>
        <v>0</v>
      </c>
      <c r="J1123" s="1341">
        <f t="shared" si="168"/>
        <v>0</v>
      </c>
      <c r="K1123" s="1341">
        <f>IF(COUNT($H1123:J1123)&gt;='RFM input'!$V$7,0,K757*K$6)</f>
        <v>0</v>
      </c>
      <c r="L1123" s="1341">
        <f>IF(COUNT($H1123:K1123)&gt;='RFM input'!$V$7,0,L757*L$6)</f>
        <v>0</v>
      </c>
      <c r="M1123" s="1341">
        <f>IF(COUNT($H1123:L1123)&gt;='RFM input'!$V$7,0,M757*M$6)</f>
        <v>0</v>
      </c>
      <c r="N1123" s="1341">
        <f>IF(COUNT($H1123:M1123)&gt;='RFM input'!$V$7,0,N757*N$6)</f>
        <v>0</v>
      </c>
      <c r="O1123" s="1341">
        <f>IF(COUNT($H1123:N1123)&gt;='RFM input'!$V$7,0,O757*O$6)</f>
        <v>0</v>
      </c>
      <c r="P1123" s="1341">
        <f>IF(COUNT($H1123:O1123)&gt;='RFM input'!$V$7,0,P757*P$6)</f>
        <v>0</v>
      </c>
      <c r="Q1123" s="1341">
        <f>IF(COUNT($H1123:P1123)&gt;='RFM input'!$V$7,0,Q757*Q$6)</f>
        <v>0</v>
      </c>
      <c r="R1123" s="248"/>
      <c r="S1123" s="3"/>
      <c r="T1123" s="3"/>
      <c r="U1123" s="3"/>
      <c r="V1123" s="3"/>
      <c r="W1123" s="3"/>
      <c r="X1123" s="3"/>
      <c r="Y1123" s="3"/>
      <c r="Z1123" s="3"/>
    </row>
    <row r="1124" spans="1:26" ht="12.75" hidden="1" customHeight="1" outlineLevel="1">
      <c r="A1124" s="3"/>
      <c r="B1124" s="3"/>
      <c r="C1124" s="3"/>
      <c r="D1124" s="133">
        <f>Asset41</f>
        <v>0</v>
      </c>
      <c r="E1124" s="3"/>
      <c r="F1124" s="3"/>
      <c r="G1124" s="1393">
        <f t="shared" si="168"/>
        <v>0</v>
      </c>
      <c r="H1124" s="1341">
        <f t="shared" si="168"/>
        <v>0</v>
      </c>
      <c r="I1124" s="1341">
        <f t="shared" si="168"/>
        <v>0</v>
      </c>
      <c r="J1124" s="1341">
        <f t="shared" si="168"/>
        <v>0</v>
      </c>
      <c r="K1124" s="1341">
        <f>IF(COUNT($H1124:J1124)&gt;='RFM input'!$V$7,0,K758*K$6)</f>
        <v>0</v>
      </c>
      <c r="L1124" s="1341">
        <f>IF(COUNT($H1124:K1124)&gt;='RFM input'!$V$7,0,L758*L$6)</f>
        <v>0</v>
      </c>
      <c r="M1124" s="1341">
        <f>IF(COUNT($H1124:L1124)&gt;='RFM input'!$V$7,0,M758*M$6)</f>
        <v>0</v>
      </c>
      <c r="N1124" s="1341">
        <f>IF(COUNT($H1124:M1124)&gt;='RFM input'!$V$7,0,N758*N$6)</f>
        <v>0</v>
      </c>
      <c r="O1124" s="1341">
        <f>IF(COUNT($H1124:N1124)&gt;='RFM input'!$V$7,0,O758*O$6)</f>
        <v>0</v>
      </c>
      <c r="P1124" s="1341">
        <f>IF(COUNT($H1124:O1124)&gt;='RFM input'!$V$7,0,P758*P$6)</f>
        <v>0</v>
      </c>
      <c r="Q1124" s="1341">
        <f>IF(COUNT($H1124:P1124)&gt;='RFM input'!$V$7,0,Q758*Q$6)</f>
        <v>0</v>
      </c>
      <c r="R1124" s="248"/>
      <c r="S1124" s="3"/>
      <c r="T1124" s="3"/>
      <c r="U1124" s="3"/>
      <c r="V1124" s="3"/>
      <c r="W1124" s="3"/>
      <c r="X1124" s="3"/>
      <c r="Y1124" s="3"/>
      <c r="Z1124" s="3"/>
    </row>
    <row r="1125" spans="1:26" ht="12.75" hidden="1" customHeight="1" outlineLevel="1">
      <c r="A1125" s="3"/>
      <c r="B1125" s="3"/>
      <c r="C1125" s="3"/>
      <c r="D1125" s="133">
        <f>Asset42</f>
        <v>0</v>
      </c>
      <c r="E1125" s="3"/>
      <c r="F1125" s="3"/>
      <c r="G1125" s="1393">
        <f t="shared" si="168"/>
        <v>0</v>
      </c>
      <c r="H1125" s="1341">
        <f t="shared" si="168"/>
        <v>0</v>
      </c>
      <c r="I1125" s="1341">
        <f t="shared" si="168"/>
        <v>0</v>
      </c>
      <c r="J1125" s="1341">
        <f t="shared" si="168"/>
        <v>0</v>
      </c>
      <c r="K1125" s="1341">
        <f>IF(COUNT($H1125:J1125)&gt;='RFM input'!$V$7,0,K759*K$6)</f>
        <v>0</v>
      </c>
      <c r="L1125" s="1341">
        <f>IF(COUNT($H1125:K1125)&gt;='RFM input'!$V$7,0,L759*L$6)</f>
        <v>0</v>
      </c>
      <c r="M1125" s="1341">
        <f>IF(COUNT($H1125:L1125)&gt;='RFM input'!$V$7,0,M759*M$6)</f>
        <v>0</v>
      </c>
      <c r="N1125" s="1341">
        <f>IF(COUNT($H1125:M1125)&gt;='RFM input'!$V$7,0,N759*N$6)</f>
        <v>0</v>
      </c>
      <c r="O1125" s="1341">
        <f>IF(COUNT($H1125:N1125)&gt;='RFM input'!$V$7,0,O759*O$6)</f>
        <v>0</v>
      </c>
      <c r="P1125" s="1341">
        <f>IF(COUNT($H1125:O1125)&gt;='RFM input'!$V$7,0,P759*P$6)</f>
        <v>0</v>
      </c>
      <c r="Q1125" s="1341">
        <f>IF(COUNT($H1125:P1125)&gt;='RFM input'!$V$7,0,Q759*Q$6)</f>
        <v>0</v>
      </c>
      <c r="R1125" s="248"/>
      <c r="S1125" s="3"/>
      <c r="T1125" s="3"/>
      <c r="U1125" s="3"/>
      <c r="V1125" s="3"/>
      <c r="W1125" s="3"/>
      <c r="X1125" s="3"/>
      <c r="Y1125" s="3"/>
      <c r="Z1125" s="3"/>
    </row>
    <row r="1126" spans="1:26" ht="12.75" hidden="1" customHeight="1" outlineLevel="1">
      <c r="A1126" s="3"/>
      <c r="B1126" s="3"/>
      <c r="C1126" s="3"/>
      <c r="D1126" s="133">
        <f>Asset43</f>
        <v>0</v>
      </c>
      <c r="E1126" s="3"/>
      <c r="F1126" s="3"/>
      <c r="G1126" s="1393">
        <f t="shared" si="168"/>
        <v>0</v>
      </c>
      <c r="H1126" s="1341">
        <f t="shared" si="168"/>
        <v>0</v>
      </c>
      <c r="I1126" s="1341">
        <f t="shared" si="168"/>
        <v>0</v>
      </c>
      <c r="J1126" s="1341">
        <f t="shared" si="168"/>
        <v>0</v>
      </c>
      <c r="K1126" s="1341">
        <f>IF(COUNT($H1126:J1126)&gt;='RFM input'!$V$7,0,K760*K$6)</f>
        <v>0</v>
      </c>
      <c r="L1126" s="1341">
        <f>IF(COUNT($H1126:K1126)&gt;='RFM input'!$V$7,0,L760*L$6)</f>
        <v>0</v>
      </c>
      <c r="M1126" s="1341">
        <f>IF(COUNT($H1126:L1126)&gt;='RFM input'!$V$7,0,M760*M$6)</f>
        <v>0</v>
      </c>
      <c r="N1126" s="1341">
        <f>IF(COUNT($H1126:M1126)&gt;='RFM input'!$V$7,0,N760*N$6)</f>
        <v>0</v>
      </c>
      <c r="O1126" s="1341">
        <f>IF(COUNT($H1126:N1126)&gt;='RFM input'!$V$7,0,O760*O$6)</f>
        <v>0</v>
      </c>
      <c r="P1126" s="1341">
        <f>IF(COUNT($H1126:O1126)&gt;='RFM input'!$V$7,0,P760*P$6)</f>
        <v>0</v>
      </c>
      <c r="Q1126" s="1341">
        <f>IF(COUNT($H1126:P1126)&gt;='RFM input'!$V$7,0,Q760*Q$6)</f>
        <v>0</v>
      </c>
      <c r="R1126" s="248"/>
      <c r="S1126" s="3"/>
      <c r="T1126" s="3"/>
      <c r="U1126" s="3"/>
      <c r="V1126" s="3"/>
      <c r="W1126" s="3"/>
      <c r="X1126" s="3"/>
      <c r="Y1126" s="3"/>
      <c r="Z1126" s="3"/>
    </row>
    <row r="1127" spans="1:26" ht="12.75" hidden="1" customHeight="1" outlineLevel="1">
      <c r="A1127" s="3"/>
      <c r="B1127" s="3"/>
      <c r="C1127" s="3"/>
      <c r="D1127" s="133">
        <f>Asset44</f>
        <v>0</v>
      </c>
      <c r="E1127" s="3"/>
      <c r="F1127" s="3"/>
      <c r="G1127" s="1393">
        <f t="shared" si="168"/>
        <v>0</v>
      </c>
      <c r="H1127" s="1341">
        <f t="shared" si="168"/>
        <v>0</v>
      </c>
      <c r="I1127" s="1341">
        <f t="shared" si="168"/>
        <v>0</v>
      </c>
      <c r="J1127" s="1341">
        <f t="shared" si="168"/>
        <v>0</v>
      </c>
      <c r="K1127" s="1341">
        <f>IF(COUNT($H1127:J1127)&gt;='RFM input'!$V$7,0,K761*K$6)</f>
        <v>0</v>
      </c>
      <c r="L1127" s="1341">
        <f>IF(COUNT($H1127:K1127)&gt;='RFM input'!$V$7,0,L761*L$6)</f>
        <v>0</v>
      </c>
      <c r="M1127" s="1341">
        <f>IF(COUNT($H1127:L1127)&gt;='RFM input'!$V$7,0,M761*M$6)</f>
        <v>0</v>
      </c>
      <c r="N1127" s="1341">
        <f>IF(COUNT($H1127:M1127)&gt;='RFM input'!$V$7,0,N761*N$6)</f>
        <v>0</v>
      </c>
      <c r="O1127" s="1341">
        <f>IF(COUNT($H1127:N1127)&gt;='RFM input'!$V$7,0,O761*O$6)</f>
        <v>0</v>
      </c>
      <c r="P1127" s="1341">
        <f>IF(COUNT($H1127:O1127)&gt;='RFM input'!$V$7,0,P761*P$6)</f>
        <v>0</v>
      </c>
      <c r="Q1127" s="1341">
        <f>IF(COUNT($H1127:P1127)&gt;='RFM input'!$V$7,0,Q761*Q$6)</f>
        <v>0</v>
      </c>
      <c r="R1127" s="248"/>
      <c r="S1127" s="3"/>
      <c r="T1127" s="3"/>
      <c r="U1127" s="3"/>
      <c r="V1127" s="3"/>
      <c r="W1127" s="3"/>
      <c r="X1127" s="3"/>
      <c r="Y1127" s="3"/>
      <c r="Z1127" s="3"/>
    </row>
    <row r="1128" spans="1:26" ht="12.75" hidden="1" customHeight="1" outlineLevel="1">
      <c r="A1128" s="3"/>
      <c r="B1128" s="3"/>
      <c r="C1128" s="3"/>
      <c r="D1128" s="133">
        <f>Asset45</f>
        <v>0</v>
      </c>
      <c r="E1128" s="3"/>
      <c r="F1128" s="3"/>
      <c r="G1128" s="1393">
        <f t="shared" si="168"/>
        <v>0</v>
      </c>
      <c r="H1128" s="1341">
        <f t="shared" si="168"/>
        <v>0</v>
      </c>
      <c r="I1128" s="1341">
        <f t="shared" si="168"/>
        <v>0</v>
      </c>
      <c r="J1128" s="1341">
        <f t="shared" si="168"/>
        <v>0</v>
      </c>
      <c r="K1128" s="1341">
        <f>IF(COUNT($H1128:J1128)&gt;='RFM input'!$V$7,0,K762*K$6)</f>
        <v>0</v>
      </c>
      <c r="L1128" s="1341">
        <f>IF(COUNT($H1128:K1128)&gt;='RFM input'!$V$7,0,L762*L$6)</f>
        <v>0</v>
      </c>
      <c r="M1128" s="1341">
        <f>IF(COUNT($H1128:L1128)&gt;='RFM input'!$V$7,0,M762*M$6)</f>
        <v>0</v>
      </c>
      <c r="N1128" s="1341">
        <f>IF(COUNT($H1128:M1128)&gt;='RFM input'!$V$7,0,N762*N$6)</f>
        <v>0</v>
      </c>
      <c r="O1128" s="1341">
        <f>IF(COUNT($H1128:N1128)&gt;='RFM input'!$V$7,0,O762*O$6)</f>
        <v>0</v>
      </c>
      <c r="P1128" s="1341">
        <f>IF(COUNT($H1128:O1128)&gt;='RFM input'!$V$7,0,P762*P$6)</f>
        <v>0</v>
      </c>
      <c r="Q1128" s="1341">
        <f>IF(COUNT($H1128:P1128)&gt;='RFM input'!$V$7,0,Q762*Q$6)</f>
        <v>0</v>
      </c>
      <c r="R1128" s="248"/>
      <c r="S1128" s="3"/>
      <c r="T1128" s="3"/>
      <c r="U1128" s="3"/>
      <c r="V1128" s="3"/>
      <c r="W1128" s="3"/>
      <c r="X1128" s="3"/>
      <c r="Y1128" s="3"/>
      <c r="Z1128" s="3"/>
    </row>
    <row r="1129" spans="1:26" ht="12.75" hidden="1" customHeight="1" outlineLevel="1">
      <c r="A1129" s="3"/>
      <c r="B1129" s="3"/>
      <c r="C1129" s="3"/>
      <c r="D1129" s="133">
        <f>Asset46</f>
        <v>0</v>
      </c>
      <c r="E1129" s="3"/>
      <c r="F1129" s="3"/>
      <c r="G1129" s="1393">
        <f t="shared" si="168"/>
        <v>0</v>
      </c>
      <c r="H1129" s="1341">
        <f t="shared" si="168"/>
        <v>0</v>
      </c>
      <c r="I1129" s="1341">
        <f t="shared" si="168"/>
        <v>0</v>
      </c>
      <c r="J1129" s="1341">
        <f t="shared" si="168"/>
        <v>0</v>
      </c>
      <c r="K1129" s="1341">
        <f>IF(COUNT($H1129:J1129)&gt;='RFM input'!$V$7,0,K763*K$6)</f>
        <v>0</v>
      </c>
      <c r="L1129" s="1341">
        <f>IF(COUNT($H1129:K1129)&gt;='RFM input'!$V$7,0,L763*L$6)</f>
        <v>0</v>
      </c>
      <c r="M1129" s="1341">
        <f>IF(COUNT($H1129:L1129)&gt;='RFM input'!$V$7,0,M763*M$6)</f>
        <v>0</v>
      </c>
      <c r="N1129" s="1341">
        <f>IF(COUNT($H1129:M1129)&gt;='RFM input'!$V$7,0,N763*N$6)</f>
        <v>0</v>
      </c>
      <c r="O1129" s="1341">
        <f>IF(COUNT($H1129:N1129)&gt;='RFM input'!$V$7,0,O763*O$6)</f>
        <v>0</v>
      </c>
      <c r="P1129" s="1341">
        <f>IF(COUNT($H1129:O1129)&gt;='RFM input'!$V$7,0,P763*P$6)</f>
        <v>0</v>
      </c>
      <c r="Q1129" s="1341">
        <f>IF(COUNT($H1129:P1129)&gt;='RFM input'!$V$7,0,Q763*Q$6)</f>
        <v>0</v>
      </c>
      <c r="R1129" s="248"/>
      <c r="S1129" s="3"/>
      <c r="T1129" s="3"/>
      <c r="U1129" s="3"/>
      <c r="V1129" s="3"/>
      <c r="W1129" s="3"/>
      <c r="X1129" s="3"/>
      <c r="Y1129" s="3"/>
      <c r="Z1129" s="3"/>
    </row>
    <row r="1130" spans="1:26" ht="12.75" hidden="1" customHeight="1" outlineLevel="1">
      <c r="A1130" s="3"/>
      <c r="B1130" s="3"/>
      <c r="C1130" s="3"/>
      <c r="D1130" s="133">
        <f>Asset47</f>
        <v>0</v>
      </c>
      <c r="E1130" s="3"/>
      <c r="F1130" s="3"/>
      <c r="G1130" s="1393">
        <f t="shared" si="168"/>
        <v>0</v>
      </c>
      <c r="H1130" s="1341">
        <f t="shared" si="168"/>
        <v>0</v>
      </c>
      <c r="I1130" s="1341">
        <f t="shared" si="168"/>
        <v>0</v>
      </c>
      <c r="J1130" s="1341">
        <f t="shared" si="168"/>
        <v>0</v>
      </c>
      <c r="K1130" s="1341">
        <f>IF(COUNT($H1130:J1130)&gt;='RFM input'!$V$7,0,K764*K$6)</f>
        <v>0</v>
      </c>
      <c r="L1130" s="1341">
        <f>IF(COUNT($H1130:K1130)&gt;='RFM input'!$V$7,0,L764*L$6)</f>
        <v>0</v>
      </c>
      <c r="M1130" s="1341">
        <f>IF(COUNT($H1130:L1130)&gt;='RFM input'!$V$7,0,M764*M$6)</f>
        <v>0</v>
      </c>
      <c r="N1130" s="1341">
        <f>IF(COUNT($H1130:M1130)&gt;='RFM input'!$V$7,0,N764*N$6)</f>
        <v>0</v>
      </c>
      <c r="O1130" s="1341">
        <f>IF(COUNT($H1130:N1130)&gt;='RFM input'!$V$7,0,O764*O$6)</f>
        <v>0</v>
      </c>
      <c r="P1130" s="1341">
        <f>IF(COUNT($H1130:O1130)&gt;='RFM input'!$V$7,0,P764*P$6)</f>
        <v>0</v>
      </c>
      <c r="Q1130" s="1341">
        <f>IF(COUNT($H1130:P1130)&gt;='RFM input'!$V$7,0,Q764*Q$6)</f>
        <v>0</v>
      </c>
      <c r="R1130" s="248"/>
      <c r="S1130" s="3"/>
      <c r="T1130" s="3"/>
      <c r="U1130" s="3"/>
      <c r="V1130" s="3"/>
      <c r="W1130" s="3"/>
      <c r="X1130" s="3"/>
      <c r="Y1130" s="3"/>
      <c r="Z1130" s="3"/>
    </row>
    <row r="1131" spans="1:26" ht="12.75" hidden="1" customHeight="1" outlineLevel="1">
      <c r="A1131" s="3"/>
      <c r="B1131" s="3"/>
      <c r="C1131" s="3"/>
      <c r="D1131" s="133">
        <f>Asset48</f>
        <v>0</v>
      </c>
      <c r="E1131" s="3"/>
      <c r="F1131" s="3"/>
      <c r="G1131" s="1393">
        <f t="shared" si="168"/>
        <v>0</v>
      </c>
      <c r="H1131" s="1341">
        <f t="shared" si="168"/>
        <v>0</v>
      </c>
      <c r="I1131" s="1341">
        <f t="shared" si="168"/>
        <v>0</v>
      </c>
      <c r="J1131" s="1341">
        <f t="shared" si="168"/>
        <v>0</v>
      </c>
      <c r="K1131" s="1341">
        <f>IF(COUNT($H1131:J1131)&gt;='RFM input'!$V$7,0,K765*K$6)</f>
        <v>0</v>
      </c>
      <c r="L1131" s="1341">
        <f>IF(COUNT($H1131:K1131)&gt;='RFM input'!$V$7,0,L765*L$6)</f>
        <v>0</v>
      </c>
      <c r="M1131" s="1341">
        <f>IF(COUNT($H1131:L1131)&gt;='RFM input'!$V$7,0,M765*M$6)</f>
        <v>0</v>
      </c>
      <c r="N1131" s="1341">
        <f>IF(COUNT($H1131:M1131)&gt;='RFM input'!$V$7,0,N765*N$6)</f>
        <v>0</v>
      </c>
      <c r="O1131" s="1341">
        <f>IF(COUNT($H1131:N1131)&gt;='RFM input'!$V$7,0,O765*O$6)</f>
        <v>0</v>
      </c>
      <c r="P1131" s="1341">
        <f>IF(COUNT($H1131:O1131)&gt;='RFM input'!$V$7,0,P765*P$6)</f>
        <v>0</v>
      </c>
      <c r="Q1131" s="1341">
        <f>IF(COUNT($H1131:P1131)&gt;='RFM input'!$V$7,0,Q765*Q$6)</f>
        <v>0</v>
      </c>
      <c r="R1131" s="248"/>
      <c r="S1131" s="3"/>
      <c r="T1131" s="3"/>
      <c r="U1131" s="3"/>
      <c r="V1131" s="3"/>
      <c r="W1131" s="3"/>
      <c r="X1131" s="3"/>
      <c r="Y1131" s="3"/>
      <c r="Z1131" s="3"/>
    </row>
    <row r="1132" spans="1:26" ht="12.75" hidden="1" customHeight="1" outlineLevel="1">
      <c r="A1132" s="3"/>
      <c r="B1132" s="3"/>
      <c r="C1132" s="3"/>
      <c r="D1132" s="133">
        <f>Asset49</f>
        <v>0</v>
      </c>
      <c r="E1132" s="3"/>
      <c r="F1132" s="3"/>
      <c r="G1132" s="1393">
        <f t="shared" si="168"/>
        <v>0</v>
      </c>
      <c r="H1132" s="1341">
        <f t="shared" si="168"/>
        <v>0</v>
      </c>
      <c r="I1132" s="1341">
        <f t="shared" si="168"/>
        <v>0</v>
      </c>
      <c r="J1132" s="1341">
        <f t="shared" si="168"/>
        <v>0</v>
      </c>
      <c r="K1132" s="1341">
        <f>IF(COUNT($H1132:J1132)&gt;='RFM input'!$V$7,0,K766*K$6)</f>
        <v>0</v>
      </c>
      <c r="L1132" s="1341">
        <f>IF(COUNT($H1132:K1132)&gt;='RFM input'!$V$7,0,L766*L$6)</f>
        <v>0</v>
      </c>
      <c r="M1132" s="1341">
        <f>IF(COUNT($H1132:L1132)&gt;='RFM input'!$V$7,0,M766*M$6)</f>
        <v>0</v>
      </c>
      <c r="N1132" s="1341">
        <f>IF(COUNT($H1132:M1132)&gt;='RFM input'!$V$7,0,N766*N$6)</f>
        <v>0</v>
      </c>
      <c r="O1132" s="1341">
        <f>IF(COUNT($H1132:N1132)&gt;='RFM input'!$V$7,0,O766*O$6)</f>
        <v>0</v>
      </c>
      <c r="P1132" s="1341">
        <f>IF(COUNT($H1132:O1132)&gt;='RFM input'!$V$7,0,P766*P$6)</f>
        <v>0</v>
      </c>
      <c r="Q1132" s="1341">
        <f>IF(COUNT($H1132:P1132)&gt;='RFM input'!$V$7,0,Q766*Q$6)</f>
        <v>0</v>
      </c>
      <c r="R1132" s="248"/>
      <c r="S1132" s="3"/>
      <c r="T1132" s="3"/>
      <c r="U1132" s="3"/>
      <c r="V1132" s="3"/>
      <c r="W1132" s="3"/>
      <c r="X1132" s="3"/>
      <c r="Y1132" s="3"/>
      <c r="Z1132" s="3"/>
    </row>
    <row r="1133" spans="1:26" ht="12.75" hidden="1" customHeight="1" outlineLevel="1">
      <c r="A1133" s="3"/>
      <c r="B1133" s="3"/>
      <c r="C1133" s="3"/>
      <c r="D1133" s="133">
        <f>Asset50</f>
        <v>0</v>
      </c>
      <c r="E1133" s="3"/>
      <c r="F1133" s="3"/>
      <c r="G1133" s="1393">
        <f t="shared" si="168"/>
        <v>0</v>
      </c>
      <c r="H1133" s="1341">
        <f t="shared" si="168"/>
        <v>0</v>
      </c>
      <c r="I1133" s="1341">
        <f t="shared" si="168"/>
        <v>0</v>
      </c>
      <c r="J1133" s="1341">
        <f t="shared" si="168"/>
        <v>0</v>
      </c>
      <c r="K1133" s="1341">
        <f>IF(COUNT($H1133:J1133)&gt;='RFM input'!$V$7,0,K767*K$6)</f>
        <v>0</v>
      </c>
      <c r="L1133" s="1341">
        <f>IF(COUNT($H1133:K1133)&gt;='RFM input'!$V$7,0,L767*L$6)</f>
        <v>0</v>
      </c>
      <c r="M1133" s="1341">
        <f>IF(COUNT($H1133:L1133)&gt;='RFM input'!$V$7,0,M767*M$6)</f>
        <v>0</v>
      </c>
      <c r="N1133" s="1341">
        <f>IF(COUNT($H1133:M1133)&gt;='RFM input'!$V$7,0,N767*N$6)</f>
        <v>0</v>
      </c>
      <c r="O1133" s="1341">
        <f>IF(COUNT($H1133:N1133)&gt;='RFM input'!$V$7,0,O767*O$6)</f>
        <v>0</v>
      </c>
      <c r="P1133" s="1341">
        <f>IF(COUNT($H1133:O1133)&gt;='RFM input'!$V$7,0,P767*P$6)</f>
        <v>0</v>
      </c>
      <c r="Q1133" s="1341">
        <f>IF(COUNT($H1133:P1133)&gt;='RFM input'!$V$7,0,Q767*Q$6)</f>
        <v>0</v>
      </c>
      <c r="R1133" s="248"/>
      <c r="S1133" s="3"/>
      <c r="T1133" s="3"/>
      <c r="U1133" s="3"/>
      <c r="V1133" s="3"/>
      <c r="W1133" s="3"/>
      <c r="X1133" s="3"/>
      <c r="Y1133" s="3"/>
      <c r="Z1133" s="3"/>
    </row>
    <row r="1134" spans="1:26" collapsed="1">
      <c r="G1134" s="1391"/>
      <c r="H1134" s="1391"/>
      <c r="I1134" s="1391"/>
      <c r="J1134" s="1391"/>
      <c r="K1134" s="1391"/>
      <c r="L1134" s="1391"/>
      <c r="M1134" s="1391"/>
      <c r="N1134" s="1391"/>
      <c r="O1134" s="1391"/>
      <c r="P1134" s="1391"/>
      <c r="Q1134" s="1391"/>
      <c r="R1134" s="1391"/>
    </row>
  </sheetData>
  <mergeCells count="50">
    <mergeCell ref="E650:E660"/>
    <mergeCell ref="E663:E673"/>
    <mergeCell ref="E676:E686"/>
    <mergeCell ref="E689:E699"/>
    <mergeCell ref="E702:E712"/>
    <mergeCell ref="E585:E595"/>
    <mergeCell ref="E598:E608"/>
    <mergeCell ref="E611:E621"/>
    <mergeCell ref="E624:E634"/>
    <mergeCell ref="E637:E647"/>
    <mergeCell ref="E520:E530"/>
    <mergeCell ref="E533:E543"/>
    <mergeCell ref="E546:E556"/>
    <mergeCell ref="E559:E569"/>
    <mergeCell ref="E572:E582"/>
    <mergeCell ref="E455:E465"/>
    <mergeCell ref="E468:E478"/>
    <mergeCell ref="E481:E491"/>
    <mergeCell ref="E494:E504"/>
    <mergeCell ref="E507:E517"/>
    <mergeCell ref="E195:E205"/>
    <mergeCell ref="E208:E218"/>
    <mergeCell ref="E247:E257"/>
    <mergeCell ref="E260:E270"/>
    <mergeCell ref="E221:E231"/>
    <mergeCell ref="E234:E244"/>
    <mergeCell ref="E182:E192"/>
    <mergeCell ref="E117:E127"/>
    <mergeCell ref="E130:E140"/>
    <mergeCell ref="E143:E153"/>
    <mergeCell ref="E156:E166"/>
    <mergeCell ref="E65:E75"/>
    <mergeCell ref="E78:E88"/>
    <mergeCell ref="E91:E101"/>
    <mergeCell ref="E104:E114"/>
    <mergeCell ref="E169:E179"/>
    <mergeCell ref="E325:E335"/>
    <mergeCell ref="E338:E348"/>
    <mergeCell ref="E351:E361"/>
    <mergeCell ref="E364:E374"/>
    <mergeCell ref="E273:E283"/>
    <mergeCell ref="E286:E296"/>
    <mergeCell ref="E299:E309"/>
    <mergeCell ref="E312:E322"/>
    <mergeCell ref="E429:E439"/>
    <mergeCell ref="E442:E452"/>
    <mergeCell ref="E377:E387"/>
    <mergeCell ref="E390:E400"/>
    <mergeCell ref="E403:E413"/>
    <mergeCell ref="E416:E426"/>
  </mergeCells>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3&amp;R&amp;P</oddFooter>
  </headerFooter>
  <rowBreaks count="1" manualBreakCount="1">
    <brk id="1134" max="18" man="1"/>
  </rowBreaks>
  <colBreaks count="1" manualBreakCount="1">
    <brk id="1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962</vt:i4>
      </vt:variant>
    </vt:vector>
  </HeadingPairs>
  <TitlesOfParts>
    <vt:vector size="973" baseType="lpstr">
      <vt:lpstr>Intro</vt:lpstr>
      <vt:lpstr>DMS input</vt:lpstr>
      <vt:lpstr>RFM input</vt:lpstr>
      <vt:lpstr>Adjustment for previous period</vt:lpstr>
      <vt:lpstr>Capital Base roll forward</vt:lpstr>
      <vt:lpstr>Total RAB roll forward</vt:lpstr>
      <vt:lpstr>TAB roll forward</vt:lpstr>
      <vt:lpstr>RAB remaining lives</vt:lpstr>
      <vt:lpstr>TAB remaining lives</vt:lpstr>
      <vt:lpstr>PTRM input summary</vt:lpstr>
      <vt:lpstr>Inputs working</vt:lpstr>
      <vt:lpstr>A10remlife</vt:lpstr>
      <vt:lpstr>A10stdlife</vt:lpstr>
      <vt:lpstr>A10taxremlife</vt:lpstr>
      <vt:lpstr>A10taxstdlife</vt:lpstr>
      <vt:lpstr>A10taxvalue</vt:lpstr>
      <vt:lpstr>A10value</vt:lpstr>
      <vt:lpstr>A11remlife</vt:lpstr>
      <vt:lpstr>A11stdlife</vt:lpstr>
      <vt:lpstr>A11taxremlife</vt:lpstr>
      <vt:lpstr>A11taxstdlife</vt:lpstr>
      <vt:lpstr>A11taxvalue</vt:lpstr>
      <vt:lpstr>A11value</vt:lpstr>
      <vt:lpstr>A12remlife</vt:lpstr>
      <vt:lpstr>A12stdlife</vt:lpstr>
      <vt:lpstr>A12taxremlife</vt:lpstr>
      <vt:lpstr>A12taxstdlife</vt:lpstr>
      <vt:lpstr>A12taxvalue</vt:lpstr>
      <vt:lpstr>A12value</vt:lpstr>
      <vt:lpstr>A13remlife</vt:lpstr>
      <vt:lpstr>A13stdlife</vt:lpstr>
      <vt:lpstr>A13taxremlife</vt:lpstr>
      <vt:lpstr>A13taxstdlife</vt:lpstr>
      <vt:lpstr>A13taxvalue</vt:lpstr>
      <vt:lpstr>A13value</vt:lpstr>
      <vt:lpstr>A14remlife</vt:lpstr>
      <vt:lpstr>A14stdlife</vt:lpstr>
      <vt:lpstr>A14taxremlife</vt:lpstr>
      <vt:lpstr>A14taxstdlife</vt:lpstr>
      <vt:lpstr>A14taxvalue</vt:lpstr>
      <vt:lpstr>A14value</vt:lpstr>
      <vt:lpstr>A15remlife</vt:lpstr>
      <vt:lpstr>A15stdlife</vt:lpstr>
      <vt:lpstr>A15taxremlife</vt:lpstr>
      <vt:lpstr>A15taxstdlife</vt:lpstr>
      <vt:lpstr>A15taxvalue</vt:lpstr>
      <vt:lpstr>A15value</vt:lpstr>
      <vt:lpstr>A16remlife</vt:lpstr>
      <vt:lpstr>A16stdlife</vt:lpstr>
      <vt:lpstr>A16taxremlife</vt:lpstr>
      <vt:lpstr>A16taxstdlife</vt:lpstr>
      <vt:lpstr>A16taxvalue</vt:lpstr>
      <vt:lpstr>A16value</vt:lpstr>
      <vt:lpstr>A17remlife</vt:lpstr>
      <vt:lpstr>A17stdlife</vt:lpstr>
      <vt:lpstr>A17taxremlife</vt:lpstr>
      <vt:lpstr>A17taxstdlife</vt:lpstr>
      <vt:lpstr>A17taxvalue</vt:lpstr>
      <vt:lpstr>A17value</vt:lpstr>
      <vt:lpstr>A18remlife</vt:lpstr>
      <vt:lpstr>A18stdlife</vt:lpstr>
      <vt:lpstr>A18taxremlife</vt:lpstr>
      <vt:lpstr>A18taxstdlife</vt:lpstr>
      <vt:lpstr>A18taxvalue</vt:lpstr>
      <vt:lpstr>A18value</vt:lpstr>
      <vt:lpstr>A19remlife</vt:lpstr>
      <vt:lpstr>A19stdlife</vt:lpstr>
      <vt:lpstr>A19taxremlife</vt:lpstr>
      <vt:lpstr>A19taxstdlife</vt:lpstr>
      <vt:lpstr>A19taxvalue</vt:lpstr>
      <vt:lpstr>A19value</vt:lpstr>
      <vt:lpstr>A1remlife</vt:lpstr>
      <vt:lpstr>A1stdlife</vt:lpstr>
      <vt:lpstr>A1taxremlife</vt:lpstr>
      <vt:lpstr>A1taxstdlife</vt:lpstr>
      <vt:lpstr>A1taxvalue</vt:lpstr>
      <vt:lpstr>A1value</vt:lpstr>
      <vt:lpstr>A20remlife</vt:lpstr>
      <vt:lpstr>A20stdlife</vt:lpstr>
      <vt:lpstr>A20taxremlife</vt:lpstr>
      <vt:lpstr>A20taxstdlife</vt:lpstr>
      <vt:lpstr>A20taxvalue</vt:lpstr>
      <vt:lpstr>A20value</vt:lpstr>
      <vt:lpstr>A21remlife</vt:lpstr>
      <vt:lpstr>A21stdlife</vt:lpstr>
      <vt:lpstr>A21taxremlife</vt:lpstr>
      <vt:lpstr>A21taxstdlife</vt:lpstr>
      <vt:lpstr>A21taxvalue</vt:lpstr>
      <vt:lpstr>A21value</vt:lpstr>
      <vt:lpstr>A22remlife</vt:lpstr>
      <vt:lpstr>A22stdlife</vt:lpstr>
      <vt:lpstr>A22taxremlife</vt:lpstr>
      <vt:lpstr>A22taxstdlife</vt:lpstr>
      <vt:lpstr>A22taxvalue</vt:lpstr>
      <vt:lpstr>A22value</vt:lpstr>
      <vt:lpstr>A23remlife</vt:lpstr>
      <vt:lpstr>A23stdlife</vt:lpstr>
      <vt:lpstr>A23taxremlife</vt:lpstr>
      <vt:lpstr>A23taxstdlife</vt:lpstr>
      <vt:lpstr>A23taxvalue</vt:lpstr>
      <vt:lpstr>A23value</vt:lpstr>
      <vt:lpstr>A24remlife</vt:lpstr>
      <vt:lpstr>A24stdlife</vt:lpstr>
      <vt:lpstr>A24taxremlife</vt:lpstr>
      <vt:lpstr>A24taxstdlife</vt:lpstr>
      <vt:lpstr>A24taxvalue</vt:lpstr>
      <vt:lpstr>A24value</vt:lpstr>
      <vt:lpstr>A25remlife</vt:lpstr>
      <vt:lpstr>A25stdlife</vt:lpstr>
      <vt:lpstr>A25taxremlife</vt:lpstr>
      <vt:lpstr>A25taxstdlife</vt:lpstr>
      <vt:lpstr>A25taxvalue</vt:lpstr>
      <vt:lpstr>A25value</vt:lpstr>
      <vt:lpstr>A26remlife</vt:lpstr>
      <vt:lpstr>A26stdlife</vt:lpstr>
      <vt:lpstr>A26taxremlife</vt:lpstr>
      <vt:lpstr>A26taxstdlife</vt:lpstr>
      <vt:lpstr>A26taxvalue</vt:lpstr>
      <vt:lpstr>A26value</vt:lpstr>
      <vt:lpstr>A27remlife</vt:lpstr>
      <vt:lpstr>A27stdlife</vt:lpstr>
      <vt:lpstr>A27taxremlife</vt:lpstr>
      <vt:lpstr>A27taxstdlife</vt:lpstr>
      <vt:lpstr>A27taxvalue</vt:lpstr>
      <vt:lpstr>A27value</vt:lpstr>
      <vt:lpstr>A28remlife</vt:lpstr>
      <vt:lpstr>A28stdlife</vt:lpstr>
      <vt:lpstr>A28taxremlife</vt:lpstr>
      <vt:lpstr>A28taxstdlife</vt:lpstr>
      <vt:lpstr>A28taxvalue</vt:lpstr>
      <vt:lpstr>A28value</vt:lpstr>
      <vt:lpstr>A29remlife</vt:lpstr>
      <vt:lpstr>A29stdlife</vt:lpstr>
      <vt:lpstr>A29taxremlife</vt:lpstr>
      <vt:lpstr>A29taxstdlife</vt:lpstr>
      <vt:lpstr>A29taxvalue</vt:lpstr>
      <vt:lpstr>A29value</vt:lpstr>
      <vt:lpstr>A2remlife</vt:lpstr>
      <vt:lpstr>A2stdlife</vt:lpstr>
      <vt:lpstr>A2taxremlife</vt:lpstr>
      <vt:lpstr>A2taxstdlife</vt:lpstr>
      <vt:lpstr>A2taxvalue</vt:lpstr>
      <vt:lpstr>A2value</vt:lpstr>
      <vt:lpstr>A30remlife</vt:lpstr>
      <vt:lpstr>A30stdlife</vt:lpstr>
      <vt:lpstr>A30taxremlife</vt:lpstr>
      <vt:lpstr>A30taxstdlife</vt:lpstr>
      <vt:lpstr>A30taxvalue</vt:lpstr>
      <vt:lpstr>A30value</vt:lpstr>
      <vt:lpstr>A31remlife</vt:lpstr>
      <vt:lpstr>A31stdlife</vt:lpstr>
      <vt:lpstr>A31taxremlife</vt:lpstr>
      <vt:lpstr>A31taxstdlife</vt:lpstr>
      <vt:lpstr>A31taxvalue</vt:lpstr>
      <vt:lpstr>A31value</vt:lpstr>
      <vt:lpstr>A32remlife</vt:lpstr>
      <vt:lpstr>A32stdlife</vt:lpstr>
      <vt:lpstr>A32taxremlife</vt:lpstr>
      <vt:lpstr>A32taxstdlife</vt:lpstr>
      <vt:lpstr>A32taxvalue</vt:lpstr>
      <vt:lpstr>A32value</vt:lpstr>
      <vt:lpstr>A33remlife</vt:lpstr>
      <vt:lpstr>A33stdlife</vt:lpstr>
      <vt:lpstr>A33taxremlife</vt:lpstr>
      <vt:lpstr>A33taxstdlife</vt:lpstr>
      <vt:lpstr>A33taxvalue</vt:lpstr>
      <vt:lpstr>A33value</vt:lpstr>
      <vt:lpstr>A34remlife</vt:lpstr>
      <vt:lpstr>A34stdlife</vt:lpstr>
      <vt:lpstr>A34taxremlife</vt:lpstr>
      <vt:lpstr>A34taxstdlife</vt:lpstr>
      <vt:lpstr>A34taxvalue</vt:lpstr>
      <vt:lpstr>A34value</vt:lpstr>
      <vt:lpstr>A35remlife</vt:lpstr>
      <vt:lpstr>A35stdlife</vt:lpstr>
      <vt:lpstr>A35taxremlife</vt:lpstr>
      <vt:lpstr>A35taxstdlife</vt:lpstr>
      <vt:lpstr>A35taxvalue</vt:lpstr>
      <vt:lpstr>A35value</vt:lpstr>
      <vt:lpstr>A36remlife</vt:lpstr>
      <vt:lpstr>A36stdlife</vt:lpstr>
      <vt:lpstr>A36taxremlife</vt:lpstr>
      <vt:lpstr>A36taxstdlife</vt:lpstr>
      <vt:lpstr>A36taxvalue</vt:lpstr>
      <vt:lpstr>A36value</vt:lpstr>
      <vt:lpstr>A37remlife</vt:lpstr>
      <vt:lpstr>A37stdlife</vt:lpstr>
      <vt:lpstr>A37taxremlife</vt:lpstr>
      <vt:lpstr>A37taxstdlife</vt:lpstr>
      <vt:lpstr>A37taxvalue</vt:lpstr>
      <vt:lpstr>A37value</vt:lpstr>
      <vt:lpstr>A38remlife</vt:lpstr>
      <vt:lpstr>A38stdlife</vt:lpstr>
      <vt:lpstr>A38taxremlife</vt:lpstr>
      <vt:lpstr>A38taxstdlife</vt:lpstr>
      <vt:lpstr>A38taxvalue</vt:lpstr>
      <vt:lpstr>A38value</vt:lpstr>
      <vt:lpstr>A39remlife</vt:lpstr>
      <vt:lpstr>A39stdlife</vt:lpstr>
      <vt:lpstr>A39taxremlife</vt:lpstr>
      <vt:lpstr>A39taxstdlife</vt:lpstr>
      <vt:lpstr>A39taxvalue</vt:lpstr>
      <vt:lpstr>A39value</vt:lpstr>
      <vt:lpstr>A3remlife</vt:lpstr>
      <vt:lpstr>A3stdlife</vt:lpstr>
      <vt:lpstr>A3taxremlife</vt:lpstr>
      <vt:lpstr>A3taxstdlife</vt:lpstr>
      <vt:lpstr>A3taxvalue</vt:lpstr>
      <vt:lpstr>A3value</vt:lpstr>
      <vt:lpstr>A40remlife</vt:lpstr>
      <vt:lpstr>A40stdlife</vt:lpstr>
      <vt:lpstr>A40taxremlife</vt:lpstr>
      <vt:lpstr>A40taxstdlife</vt:lpstr>
      <vt:lpstr>A40taxvalue</vt:lpstr>
      <vt:lpstr>A40value</vt:lpstr>
      <vt:lpstr>A41remlife</vt:lpstr>
      <vt:lpstr>A41stdlife</vt:lpstr>
      <vt:lpstr>A41taxremlife</vt:lpstr>
      <vt:lpstr>A41taxstdlife</vt:lpstr>
      <vt:lpstr>A41taxvalue</vt:lpstr>
      <vt:lpstr>A41value</vt:lpstr>
      <vt:lpstr>A42remlife</vt:lpstr>
      <vt:lpstr>A42stdlife</vt:lpstr>
      <vt:lpstr>A42taxremlife</vt:lpstr>
      <vt:lpstr>A42taxstdlife</vt:lpstr>
      <vt:lpstr>A42taxvalue</vt:lpstr>
      <vt:lpstr>A42value</vt:lpstr>
      <vt:lpstr>A43remlife</vt:lpstr>
      <vt:lpstr>A43stdlife</vt:lpstr>
      <vt:lpstr>A43taxremlife</vt:lpstr>
      <vt:lpstr>A43taxstdlife</vt:lpstr>
      <vt:lpstr>A43taxvalue</vt:lpstr>
      <vt:lpstr>A43value</vt:lpstr>
      <vt:lpstr>A44remlife</vt:lpstr>
      <vt:lpstr>A44stdlife</vt:lpstr>
      <vt:lpstr>A44taxremlife</vt:lpstr>
      <vt:lpstr>A44taxstdlife</vt:lpstr>
      <vt:lpstr>A44taxvalue</vt:lpstr>
      <vt:lpstr>A44value</vt:lpstr>
      <vt:lpstr>A45remlife</vt:lpstr>
      <vt:lpstr>A45stdlife</vt:lpstr>
      <vt:lpstr>A45taxremlife</vt:lpstr>
      <vt:lpstr>A45taxstdlife</vt:lpstr>
      <vt:lpstr>A45taxvalue</vt:lpstr>
      <vt:lpstr>A45value</vt:lpstr>
      <vt:lpstr>A46remlife</vt:lpstr>
      <vt:lpstr>A46stdlife</vt:lpstr>
      <vt:lpstr>A46taxremlife</vt:lpstr>
      <vt:lpstr>A46taxstdlife</vt:lpstr>
      <vt:lpstr>A46taxvalue</vt:lpstr>
      <vt:lpstr>A46value</vt:lpstr>
      <vt:lpstr>A47remlife</vt:lpstr>
      <vt:lpstr>A47stdlife</vt:lpstr>
      <vt:lpstr>A47taxremlife</vt:lpstr>
      <vt:lpstr>A47taxstdlife</vt:lpstr>
      <vt:lpstr>A47taxvalue</vt:lpstr>
      <vt:lpstr>A47value</vt:lpstr>
      <vt:lpstr>A48remlife</vt:lpstr>
      <vt:lpstr>A48stdlife</vt:lpstr>
      <vt:lpstr>A48taxremlife</vt:lpstr>
      <vt:lpstr>A48taxstdlife</vt:lpstr>
      <vt:lpstr>A48taxvalue</vt:lpstr>
      <vt:lpstr>A48value</vt:lpstr>
      <vt:lpstr>A49remlife</vt:lpstr>
      <vt:lpstr>A49stdlife</vt:lpstr>
      <vt:lpstr>A49taxremlife</vt:lpstr>
      <vt:lpstr>A49taxstdlife</vt:lpstr>
      <vt:lpstr>A49taxvalue</vt:lpstr>
      <vt:lpstr>A49value</vt:lpstr>
      <vt:lpstr>A4remlife</vt:lpstr>
      <vt:lpstr>A4stdlife</vt:lpstr>
      <vt:lpstr>A4taxremlife</vt:lpstr>
      <vt:lpstr>A4taxstdlife</vt:lpstr>
      <vt:lpstr>A4taxvalue</vt:lpstr>
      <vt:lpstr>A4value</vt:lpstr>
      <vt:lpstr>A50remlife</vt:lpstr>
      <vt:lpstr>A50stdlife</vt:lpstr>
      <vt:lpstr>A50taxremlife</vt:lpstr>
      <vt:lpstr>A50taxstdlife</vt:lpstr>
      <vt:lpstr>A50taxvalue</vt:lpstr>
      <vt:lpstr>A50value</vt:lpstr>
      <vt:lpstr>A5remlife</vt:lpstr>
      <vt:lpstr>A5stdlife</vt:lpstr>
      <vt:lpstr>A5taxremlife</vt:lpstr>
      <vt:lpstr>A5taxstdlife</vt:lpstr>
      <vt:lpstr>A5taxvalue</vt:lpstr>
      <vt:lpstr>A5value</vt:lpstr>
      <vt:lpstr>A6remlife</vt:lpstr>
      <vt:lpstr>A6stdlife</vt:lpstr>
      <vt:lpstr>A6taxremlife</vt:lpstr>
      <vt:lpstr>A6taxstdlife</vt:lpstr>
      <vt:lpstr>A6taxvalue</vt:lpstr>
      <vt:lpstr>A6value</vt:lpstr>
      <vt:lpstr>A7remlife</vt:lpstr>
      <vt:lpstr>A7stdlife</vt:lpstr>
      <vt:lpstr>A7taxremlife</vt:lpstr>
      <vt:lpstr>A7taxstdlife</vt:lpstr>
      <vt:lpstr>A7taxvalue</vt:lpstr>
      <vt:lpstr>A7value</vt:lpstr>
      <vt:lpstr>A8remlife</vt:lpstr>
      <vt:lpstr>A8stdlife</vt:lpstr>
      <vt:lpstr>A8taxremlife</vt:lpstr>
      <vt:lpstr>A8taxstdlife</vt:lpstr>
      <vt:lpstr>A8taxvalue</vt:lpstr>
      <vt:lpstr>A8value</vt:lpstr>
      <vt:lpstr>A9remlife</vt:lpstr>
      <vt:lpstr>A9stdlife</vt:lpstr>
      <vt:lpstr>A9taxremlife</vt:lpstr>
      <vt:lpstr>A9taxstdlife</vt:lpstr>
      <vt:lpstr>A9taxvalue</vt:lpstr>
      <vt:lpstr>A9value</vt:lpstr>
      <vt:lpstr>ARR</vt:lpstr>
      <vt:lpstr>ARR_Fmt2</vt:lpstr>
      <vt:lpstr>Asset1</vt:lpstr>
      <vt:lpstr>Asset10</vt:lpstr>
      <vt:lpstr>Asset11</vt:lpstr>
      <vt:lpstr>Asset12</vt:lpstr>
      <vt:lpstr>Asset13</vt:lpstr>
      <vt:lpstr>Asset14</vt:lpstr>
      <vt:lpstr>Asset15</vt:lpstr>
      <vt:lpstr>Asset16</vt:lpstr>
      <vt:lpstr>Asset17</vt:lpstr>
      <vt:lpstr>Asset18</vt:lpstr>
      <vt:lpstr>Asset19</vt:lpstr>
      <vt:lpstr>Asset2</vt:lpstr>
      <vt:lpstr>Asset20</vt:lpstr>
      <vt:lpstr>Asset21</vt:lpstr>
      <vt:lpstr>Asset22</vt:lpstr>
      <vt:lpstr>Asset23</vt:lpstr>
      <vt:lpstr>Asset24</vt:lpstr>
      <vt:lpstr>Asset25</vt:lpstr>
      <vt:lpstr>Asset26</vt:lpstr>
      <vt:lpstr>Asset27</vt:lpstr>
      <vt:lpstr>Asset28</vt:lpstr>
      <vt:lpstr>Asset29</vt:lpstr>
      <vt:lpstr>Asset3</vt:lpstr>
      <vt:lpstr>Asset30</vt:lpstr>
      <vt:lpstr>Asset31</vt:lpstr>
      <vt:lpstr>Asset32</vt:lpstr>
      <vt:lpstr>Asset33</vt:lpstr>
      <vt:lpstr>Asset34</vt:lpstr>
      <vt:lpstr>Asset35</vt:lpstr>
      <vt:lpstr>Asset36</vt:lpstr>
      <vt:lpstr>Asset37</vt:lpstr>
      <vt:lpstr>Asset38</vt:lpstr>
      <vt:lpstr>Asset39</vt:lpstr>
      <vt:lpstr>Asset4</vt:lpstr>
      <vt:lpstr>Asset40</vt:lpstr>
      <vt:lpstr>Asset41</vt:lpstr>
      <vt:lpstr>Asset42</vt:lpstr>
      <vt:lpstr>Asset43</vt:lpstr>
      <vt:lpstr>Asset44</vt:lpstr>
      <vt:lpstr>Asset45</vt:lpstr>
      <vt:lpstr>Asset46</vt:lpstr>
      <vt:lpstr>Asset47</vt:lpstr>
      <vt:lpstr>Asset48</vt:lpstr>
      <vt:lpstr>Asset49</vt:lpstr>
      <vt:lpstr>Asset5</vt:lpstr>
      <vt:lpstr>Asset50</vt:lpstr>
      <vt:lpstr>Asset6</vt:lpstr>
      <vt:lpstr>Asset7</vt:lpstr>
      <vt:lpstr>Asset8</vt:lpstr>
      <vt:lpstr>Asset9</vt:lpstr>
      <vt:lpstr>CA</vt:lpstr>
      <vt:lpstr>CA_Fmt2</vt:lpstr>
      <vt:lpstr>Calendar</vt:lpstr>
      <vt:lpstr>CESS</vt:lpstr>
      <vt:lpstr>CESS_Fmt2</vt:lpstr>
      <vt:lpstr>CPI</vt:lpstr>
      <vt:lpstr>CPI_Fmt2</vt:lpstr>
      <vt:lpstr>CRCP_final_year</vt:lpstr>
      <vt:lpstr>CRCP_start_year</vt:lpstr>
      <vt:lpstr>CRCP_y1</vt:lpstr>
      <vt:lpstr>CRCP_y10</vt:lpstr>
      <vt:lpstr>CRCP_y11</vt:lpstr>
      <vt:lpstr>CRCP_y12</vt:lpstr>
      <vt:lpstr>CRCP_y13</vt:lpstr>
      <vt:lpstr>CRCP_y14</vt:lpstr>
      <vt:lpstr>CRCP_y15</vt:lpstr>
      <vt:lpstr>CRCP_y16</vt:lpstr>
      <vt:lpstr>CRCP_y2</vt:lpstr>
      <vt:lpstr>CRCP_y3</vt:lpstr>
      <vt:lpstr>CRCP_y4</vt:lpstr>
      <vt:lpstr>CRCP_y5</vt:lpstr>
      <vt:lpstr>CRCP_y6</vt:lpstr>
      <vt:lpstr>CRCP_y7</vt:lpstr>
      <vt:lpstr>CRCP_y8</vt:lpstr>
      <vt:lpstr>CRCP_y9</vt:lpstr>
      <vt:lpstr>dms_020303_01_UOM</vt:lpstr>
      <vt:lpstr>dms_020501_01_UOM</vt:lpstr>
      <vt:lpstr>dms_020501_02_UOM</vt:lpstr>
      <vt:lpstr>dms_020501_03_UOM</vt:lpstr>
      <vt:lpstr>dms_020501_04_UOM</vt:lpstr>
      <vt:lpstr>dms_020603_01_UOM</vt:lpstr>
      <vt:lpstr>dms_020701_01_Rows</vt:lpstr>
      <vt:lpstr>dms_020701_01_UOM</vt:lpstr>
      <vt:lpstr>dms_020701_02_UOM</vt:lpstr>
      <vt:lpstr>dms_0306_Year</vt:lpstr>
      <vt:lpstr>dms_030601_01_UOM</vt:lpstr>
      <vt:lpstr>dms_030601_02_UOM</vt:lpstr>
      <vt:lpstr>dms_030605_UOM</vt:lpstr>
      <vt:lpstr>dms_03060703_UOM</vt:lpstr>
      <vt:lpstr>dms_030701_01_UOM</vt:lpstr>
      <vt:lpstr>dms_030702_01_UOM</vt:lpstr>
      <vt:lpstr>dms_030703_01_UOM</vt:lpstr>
      <vt:lpstr>dms_040102_01_UOM</vt:lpstr>
      <vt:lpstr>dms_040102_04_UOM</vt:lpstr>
      <vt:lpstr>dms_0502_Inst_Year</vt:lpstr>
      <vt:lpstr>dms_060101_Rows</vt:lpstr>
      <vt:lpstr>dms_060101_StartDateTxt</vt:lpstr>
      <vt:lpstr>dms_060101_StartDateVal</vt:lpstr>
      <vt:lpstr>dms_060102_Rows</vt:lpstr>
      <vt:lpstr>dms_0603_FeederList</vt:lpstr>
      <vt:lpstr>dms_060301_Avg_Duration_Sustained_Int_Row</vt:lpstr>
      <vt:lpstr>dms_060301_checkvalue</vt:lpstr>
      <vt:lpstr>dms_060301_CustNo_Affected_Row</vt:lpstr>
      <vt:lpstr>dms_060301_Effect_unplanned_SAIDI_Row</vt:lpstr>
      <vt:lpstr>dms_060301_Effect_unplanned_SAIFI_Row</vt:lpstr>
      <vt:lpstr>dms_060301_LastRow</vt:lpstr>
      <vt:lpstr>dms_060301_MaxRows</vt:lpstr>
      <vt:lpstr>dms_060701_ARR_MaxRows</vt:lpstr>
      <vt:lpstr>dms_060701_Feeder_Header_Lvl4</vt:lpstr>
      <vt:lpstr>dms_060701_MaxCols</vt:lpstr>
      <vt:lpstr>dms_060701_MaxRows</vt:lpstr>
      <vt:lpstr>dms_060701_OffsetRows</vt:lpstr>
      <vt:lpstr>dms_060701_Reset_MaxRows</vt:lpstr>
      <vt:lpstr>dms_060701_Rows</vt:lpstr>
      <vt:lpstr>dms_060701_StartDateTxt</vt:lpstr>
      <vt:lpstr>dms_060701_StartDateVal</vt:lpstr>
      <vt:lpstr>dms_0608_LastRow</vt:lpstr>
      <vt:lpstr>dms_0608_OffsetRows</vt:lpstr>
      <vt:lpstr>dms_060801_01_Rows</vt:lpstr>
      <vt:lpstr>dms_060801_02_Rows</vt:lpstr>
      <vt:lpstr>dms_060801_03_Rows</vt:lpstr>
      <vt:lpstr>dms_060801_04_Rows</vt:lpstr>
      <vt:lpstr>dms_060801_MaxRows</vt:lpstr>
      <vt:lpstr>dms_070904_01_Rows</vt:lpstr>
      <vt:lpstr>dms_070904_Start_Year</vt:lpstr>
      <vt:lpstr>dms_663</vt:lpstr>
      <vt:lpstr>dms_663_List</vt:lpstr>
      <vt:lpstr>dms_AAD_AI_VALUES</vt:lpstr>
      <vt:lpstr>dms_ABN</vt:lpstr>
      <vt:lpstr>dms_ABN_List</vt:lpstr>
      <vt:lpstr>dms_ACC_AI_VALUES</vt:lpstr>
      <vt:lpstr>dms_ACE_AI_VALUES</vt:lpstr>
      <vt:lpstr>dms_Addr1</vt:lpstr>
      <vt:lpstr>dms_Addr1_List</vt:lpstr>
      <vt:lpstr>dms_Addr2</vt:lpstr>
      <vt:lpstr>dms_Addr2_List</vt:lpstr>
      <vt:lpstr>dms_Amendment_Text</vt:lpstr>
      <vt:lpstr>dms_AmendmentReason</vt:lpstr>
      <vt:lpstr>dms_ANC_VALUES</vt:lpstr>
      <vt:lpstr>dms_ARR</vt:lpstr>
      <vt:lpstr>DMS_Asset1_values</vt:lpstr>
      <vt:lpstr>DMS_Asset10_values</vt:lpstr>
      <vt:lpstr>DMS_Asset11_values</vt:lpstr>
      <vt:lpstr>DMS_Asset12_values</vt:lpstr>
      <vt:lpstr>DMS_Asset13_values</vt:lpstr>
      <vt:lpstr>DMS_Asset14_values</vt:lpstr>
      <vt:lpstr>DMS_Asset15_values</vt:lpstr>
      <vt:lpstr>DMS_Asset16_values</vt:lpstr>
      <vt:lpstr>DMS_Asset17_values</vt:lpstr>
      <vt:lpstr>DMS_Asset18_values</vt:lpstr>
      <vt:lpstr>DMS_Asset19_values</vt:lpstr>
      <vt:lpstr>DMS_Asset2_values</vt:lpstr>
      <vt:lpstr>DMS_Asset20_values</vt:lpstr>
      <vt:lpstr>DMS_Asset21_values</vt:lpstr>
      <vt:lpstr>DMS_Asset22_values</vt:lpstr>
      <vt:lpstr>DMS_Asset23_values</vt:lpstr>
      <vt:lpstr>DMS_Asset24_values</vt:lpstr>
      <vt:lpstr>DMS_Asset25_values</vt:lpstr>
      <vt:lpstr>DMS_Asset26_values</vt:lpstr>
      <vt:lpstr>DMS_Asset27_values</vt:lpstr>
      <vt:lpstr>DMS_Asset28_values</vt:lpstr>
      <vt:lpstr>DMS_Asset29_values</vt:lpstr>
      <vt:lpstr>DMS_Asset3_values</vt:lpstr>
      <vt:lpstr>DMS_Asset30_values</vt:lpstr>
      <vt:lpstr>DMS_Asset31_values</vt:lpstr>
      <vt:lpstr>DMS_Asset32_values</vt:lpstr>
      <vt:lpstr>DMS_Asset33_values</vt:lpstr>
      <vt:lpstr>DMS_Asset34_values</vt:lpstr>
      <vt:lpstr>DMS_Asset35_values</vt:lpstr>
      <vt:lpstr>DMS_Asset36_values</vt:lpstr>
      <vt:lpstr>DMS_Asset37_values</vt:lpstr>
      <vt:lpstr>DMS_Asset38_values</vt:lpstr>
      <vt:lpstr>DMS_Asset39_values</vt:lpstr>
      <vt:lpstr>DMS_Asset4_values</vt:lpstr>
      <vt:lpstr>DMS_Asset40_values</vt:lpstr>
      <vt:lpstr>DMS_Asset41_values</vt:lpstr>
      <vt:lpstr>DMS_Asset42_values</vt:lpstr>
      <vt:lpstr>DMS_Asset43_values</vt:lpstr>
      <vt:lpstr>DMS_Asset44_values</vt:lpstr>
      <vt:lpstr>DMS_Asset45_values</vt:lpstr>
      <vt:lpstr>DMS_Asset46_values</vt:lpstr>
      <vt:lpstr>DMS_Asset47_values</vt:lpstr>
      <vt:lpstr>DMS_Asset48_values</vt:lpstr>
      <vt:lpstr>DMS_Asset49_values</vt:lpstr>
      <vt:lpstr>DMS_Asset5_values</vt:lpstr>
      <vt:lpstr>DMS_Asset50_values</vt:lpstr>
      <vt:lpstr>DMS_Asset6_values</vt:lpstr>
      <vt:lpstr>DMS_Asset7_values</vt:lpstr>
      <vt:lpstr>DMS_Asset8_values</vt:lpstr>
      <vt:lpstr>DMS_Asset9_values</vt:lpstr>
      <vt:lpstr>DMS_assetlife_desc</vt:lpstr>
      <vt:lpstr>DMS_assetlife_values</vt:lpstr>
      <vt:lpstr>dms_ATD_DESC</vt:lpstr>
      <vt:lpstr>dms_ATD_VALUES</vt:lpstr>
      <vt:lpstr>dms_Beg</vt:lpstr>
      <vt:lpstr>dms_CA</vt:lpstr>
      <vt:lpstr>dms_Cal_Year_B4_CRY</vt:lpstr>
      <vt:lpstr>dms_CBD_flag</vt:lpstr>
      <vt:lpstr>dms_CBD_flag_NSP</vt:lpstr>
      <vt:lpstr>dms_Classification</vt:lpstr>
      <vt:lpstr>dms_Confid_status_List</vt:lpstr>
      <vt:lpstr>dms_ContactEmail</vt:lpstr>
      <vt:lpstr>dms_ContactEmail2</vt:lpstr>
      <vt:lpstr>dms_ContactName1</vt:lpstr>
      <vt:lpstr>dms_ContactName2</vt:lpstr>
      <vt:lpstr>dms_ContactPh1</vt:lpstr>
      <vt:lpstr>dms_ContactPh2</vt:lpstr>
      <vt:lpstr>dms_CRAB_DESC</vt:lpstr>
      <vt:lpstr>dms_CRAB_VALUES</vt:lpstr>
      <vt:lpstr>dms_CRCP_FinalYear_Result</vt:lpstr>
      <vt:lpstr>dms_CRCP_start_row</vt:lpstr>
      <vt:lpstr>dms_CRCPlength_List</vt:lpstr>
      <vt:lpstr>dms_CRCPlength_Num</vt:lpstr>
      <vt:lpstr>dms_CRY_RYE</vt:lpstr>
      <vt:lpstr>dms_CRY_start_row</vt:lpstr>
      <vt:lpstr>dms_CRY_start_year</vt:lpstr>
      <vt:lpstr>dms_DataQuality</vt:lpstr>
      <vt:lpstr>dms_DataQuality_List</vt:lpstr>
      <vt:lpstr>dms_DBAFNC_DESC</vt:lpstr>
      <vt:lpstr>dms_DBAFNC_VALUES</vt:lpstr>
      <vt:lpstr>dms_Defined_Names_Used</vt:lpstr>
      <vt:lpstr>dms_DeterminationRef</vt:lpstr>
      <vt:lpstr>dms_DeterminationRef_List</vt:lpstr>
      <vt:lpstr>dms_DISCARD</vt:lpstr>
      <vt:lpstr>dms_DNSP_020301_ProjectTrigger</vt:lpstr>
      <vt:lpstr>dms_DNSP_020301_ProjectType</vt:lpstr>
      <vt:lpstr>dms_DNSP_020301_SubstationType</vt:lpstr>
      <vt:lpstr>dms_DNSP_020302_ProjectTrigger</vt:lpstr>
      <vt:lpstr>dms_DNSP_020302_ProjectType</vt:lpstr>
      <vt:lpstr>dms_dollar_nom_UOM</vt:lpstr>
      <vt:lpstr>dms_DollarReal</vt:lpstr>
      <vt:lpstr>dms_DollarReal_Prev</vt:lpstr>
      <vt:lpstr>dms_DollarReal_year</vt:lpstr>
      <vt:lpstr>dms_DQ_1</vt:lpstr>
      <vt:lpstr>dms_DQ_2</vt:lpstr>
      <vt:lpstr>dms_E020202_UOM</vt:lpstr>
      <vt:lpstr>dms_E050201_UOM</vt:lpstr>
      <vt:lpstr>dms_E050202_UOM</vt:lpstr>
      <vt:lpstr>dms_EB</vt:lpstr>
      <vt:lpstr>dms_EB_RAB_PIT</vt:lpstr>
      <vt:lpstr>dms_End</vt:lpstr>
      <vt:lpstr>dms_FeederName_1</vt:lpstr>
      <vt:lpstr>dms_FeederName_2</vt:lpstr>
      <vt:lpstr>dms_FeederName_3</vt:lpstr>
      <vt:lpstr>dms_FeederName_4</vt:lpstr>
      <vt:lpstr>dms_FeederName_5</vt:lpstr>
      <vt:lpstr>dms_FeederType_5_flag</vt:lpstr>
      <vt:lpstr>dms_FifthFeeder_flag_NSP</vt:lpstr>
      <vt:lpstr>dms_FormControl</vt:lpstr>
      <vt:lpstr>dms_FormControl_Choices</vt:lpstr>
      <vt:lpstr>dms_FormControl_List</vt:lpstr>
      <vt:lpstr>dms_FRCP_start_row</vt:lpstr>
      <vt:lpstr>dms_FRCP_y1</vt:lpstr>
      <vt:lpstr>dms_FRCPlength_List</vt:lpstr>
      <vt:lpstr>dms_FRCPlength_Num</vt:lpstr>
      <vt:lpstr>dms_FYAA_DESC</vt:lpstr>
      <vt:lpstr>dms_FYAA_VALUES</vt:lpstr>
      <vt:lpstr>dms_Header_Span</vt:lpstr>
      <vt:lpstr>dms_InputSource</vt:lpstr>
      <vt:lpstr>dms_Jurisdiction</vt:lpstr>
      <vt:lpstr>dms_JurisdictionList</vt:lpstr>
      <vt:lpstr>dms_LeapYear_Result</vt:lpstr>
      <vt:lpstr>dms_LongRural_flag</vt:lpstr>
      <vt:lpstr>dms_LongRural_flag_NSP</vt:lpstr>
      <vt:lpstr>dms_Mid</vt:lpstr>
      <vt:lpstr>dms_Model</vt:lpstr>
      <vt:lpstr>dms_Model_List</vt:lpstr>
      <vt:lpstr>dms_Model_Name_Format1</vt:lpstr>
      <vt:lpstr>dms_Model_Span</vt:lpstr>
      <vt:lpstr>dms_Model_Span_List</vt:lpstr>
      <vt:lpstr>dms_Multi_RYE_flag</vt:lpstr>
      <vt:lpstr>dms_MultiYear_ABC_RIN</vt:lpstr>
      <vt:lpstr>dms_MultiYear_FinalYear_Result</vt:lpstr>
      <vt:lpstr>dms_MultiYear_Flag</vt:lpstr>
      <vt:lpstr>dms_MultiYear_ResponseFlag</vt:lpstr>
      <vt:lpstr>dms_N0205_AssetType</vt:lpstr>
      <vt:lpstr>dms_NANC_DESC</vt:lpstr>
      <vt:lpstr>dms_NANC_VALUES</vt:lpstr>
      <vt:lpstr>dms_NARD_DESC</vt:lpstr>
      <vt:lpstr>dms_NARD_VALUES</vt:lpstr>
      <vt:lpstr>dms_NORAB_DESC</vt:lpstr>
      <vt:lpstr>dms_NORAB_VALUES</vt:lpstr>
      <vt:lpstr>DMS_oassetvalue_desc</vt:lpstr>
      <vt:lpstr>DMS_oassetvalue_values</vt:lpstr>
      <vt:lpstr>dms_OTAV_VALUES</vt:lpstr>
      <vt:lpstr>DMS_otaxvalue_desc</vt:lpstr>
      <vt:lpstr>DMS_otaxvalue_values</vt:lpstr>
      <vt:lpstr>dms_PAddr1</vt:lpstr>
      <vt:lpstr>dms_PAddr1_List</vt:lpstr>
      <vt:lpstr>dms_PAddr2</vt:lpstr>
      <vt:lpstr>dms_PAddr2_List</vt:lpstr>
      <vt:lpstr>dms_Partial</vt:lpstr>
      <vt:lpstr>dms_PostCode</vt:lpstr>
      <vt:lpstr>dms_PostCode_List</vt:lpstr>
      <vt:lpstr>dms_PPostCode</vt:lpstr>
      <vt:lpstr>dms_PPostCode_List</vt:lpstr>
      <vt:lpstr>dms_PRCP_start_row</vt:lpstr>
      <vt:lpstr>dms_PRCPlength_List</vt:lpstr>
      <vt:lpstr>dms_PRCPlength_Num</vt:lpstr>
      <vt:lpstr>dms_Previous_DollarReal_year</vt:lpstr>
      <vt:lpstr>dms_PState</vt:lpstr>
      <vt:lpstr>dms_PState_List</vt:lpstr>
      <vt:lpstr>dms_PSuburb</vt:lpstr>
      <vt:lpstr>dms_PSuburb_List</vt:lpstr>
      <vt:lpstr>dms_PTRM_RAB_PIT</vt:lpstr>
      <vt:lpstr>dms_PTRM_TAB_PIT</vt:lpstr>
      <vt:lpstr>dms_Public_Lighting</vt:lpstr>
      <vt:lpstr>dms_Public_Lighting_List</vt:lpstr>
      <vt:lpstr>dms_RDNC_DESC</vt:lpstr>
      <vt:lpstr>dms_RDNC_VALUES</vt:lpstr>
      <vt:lpstr>dms_Reason_Interruption</vt:lpstr>
      <vt:lpstr>dms_Reset_final_year</vt:lpstr>
      <vt:lpstr>dms_Reset_RYE</vt:lpstr>
      <vt:lpstr>dms_Reset_Span</vt:lpstr>
      <vt:lpstr>dms_RPT</vt:lpstr>
      <vt:lpstr>dms_RPT_List</vt:lpstr>
      <vt:lpstr>dms_RPTMonth</vt:lpstr>
      <vt:lpstr>dms_RPTMonth_List</vt:lpstr>
      <vt:lpstr>dms_RYE</vt:lpstr>
      <vt:lpstr>dms_RYE_01</vt:lpstr>
      <vt:lpstr>dms_RYE_02</vt:lpstr>
      <vt:lpstr>dms_RYE_03</vt:lpstr>
      <vt:lpstr>dms_RYE_04</vt:lpstr>
      <vt:lpstr>dms_RYE_05</vt:lpstr>
      <vt:lpstr>dms_RYE_06</vt:lpstr>
      <vt:lpstr>dms_RYE_07</vt:lpstr>
      <vt:lpstr>dms_RYE_08</vt:lpstr>
      <vt:lpstr>dms_RYE_09</vt:lpstr>
      <vt:lpstr>dms_RYE_result</vt:lpstr>
      <vt:lpstr>dms_RYE_start_row</vt:lpstr>
      <vt:lpstr>dms_S140101_UOM</vt:lpstr>
      <vt:lpstr>dms_S140201_UOM</vt:lpstr>
      <vt:lpstr>dms_Sector</vt:lpstr>
      <vt:lpstr>dms_Sector_List</vt:lpstr>
      <vt:lpstr>dms_Segment</vt:lpstr>
      <vt:lpstr>dms_Segment_List</vt:lpstr>
      <vt:lpstr>dms_Selected_Quality</vt:lpstr>
      <vt:lpstr>dms_Selected_Source</vt:lpstr>
      <vt:lpstr>dms_Selected_Status</vt:lpstr>
      <vt:lpstr>dms_ShortRural_flag</vt:lpstr>
      <vt:lpstr>dms_ShortRural_flag_NSP</vt:lpstr>
      <vt:lpstr>dms_SingleYear_FinalYear_Result</vt:lpstr>
      <vt:lpstr>dms_SingleYear_Model</vt:lpstr>
      <vt:lpstr>dms_SingleYearModel</vt:lpstr>
      <vt:lpstr>dms_Source</vt:lpstr>
      <vt:lpstr>dms_SourceList</vt:lpstr>
      <vt:lpstr>dms_Specified_FinalYear</vt:lpstr>
      <vt:lpstr>dms_Specified_RYE</vt:lpstr>
      <vt:lpstr>dms_SpecifiedYear_final_year</vt:lpstr>
      <vt:lpstr>dms_SpecifiedYear_Span</vt:lpstr>
      <vt:lpstr>dms_start_year</vt:lpstr>
      <vt:lpstr>dms_State</vt:lpstr>
      <vt:lpstr>dms_State_List</vt:lpstr>
      <vt:lpstr>dms_STPIS_Exclusion_List</vt:lpstr>
      <vt:lpstr>dms_SubmissionDate</vt:lpstr>
      <vt:lpstr>dms_Suburb</vt:lpstr>
      <vt:lpstr>dms_Suburb_List</vt:lpstr>
      <vt:lpstr>DMS_taxassetlife_desc</vt:lpstr>
      <vt:lpstr>DMS_taxassetlife_values</vt:lpstr>
      <vt:lpstr>dms_TemplateNumber</vt:lpstr>
      <vt:lpstr>dms_TNSP_0203_ProjectTrigger</vt:lpstr>
      <vt:lpstr>dms_TNSP_0203_SubstationType</vt:lpstr>
      <vt:lpstr>dms_TNSP_020301_ProjectTrigger</vt:lpstr>
      <vt:lpstr>dms_TNSP_020301_ProjectType</vt:lpstr>
      <vt:lpstr>dms_TNSP_020302_ProjectType</vt:lpstr>
      <vt:lpstr>dms_Today</vt:lpstr>
      <vt:lpstr>dms_TradingName</vt:lpstr>
      <vt:lpstr>dms_TradingName_List</vt:lpstr>
      <vt:lpstr>dms_TradingNameFull</vt:lpstr>
      <vt:lpstr>dms_TradingNameFull_List</vt:lpstr>
      <vt:lpstr>dms_Typed_Submission_Date</vt:lpstr>
      <vt:lpstr>dms_Urban_flag</vt:lpstr>
      <vt:lpstr>dms_Urban_flag_NSP</vt:lpstr>
      <vt:lpstr>dms_Worksheet_List</vt:lpstr>
      <vt:lpstr>DMS_Xfactor</vt:lpstr>
      <vt:lpstr>dms_y1</vt:lpstr>
      <vt:lpstr>dms_y10</vt:lpstr>
      <vt:lpstr>dms_y11</vt:lpstr>
      <vt:lpstr>dms_y12</vt:lpstr>
      <vt:lpstr>dms_y13</vt:lpstr>
      <vt:lpstr>dms_y14</vt:lpstr>
      <vt:lpstr>dms_y15</vt:lpstr>
      <vt:lpstr>dms_y16</vt:lpstr>
      <vt:lpstr>dms_y2</vt:lpstr>
      <vt:lpstr>dms_y3</vt:lpstr>
      <vt:lpstr>dms_y4</vt:lpstr>
      <vt:lpstr>dms_y5</vt:lpstr>
      <vt:lpstr>dms_y6</vt:lpstr>
      <vt:lpstr>dms_y7</vt:lpstr>
      <vt:lpstr>dms_y8</vt:lpstr>
      <vt:lpstr>dms_y9</vt:lpstr>
      <vt:lpstr>EB</vt:lpstr>
      <vt:lpstr>EB_Fmt2</vt:lpstr>
      <vt:lpstr>Financial</vt:lpstr>
      <vt:lpstr>FRCP_final_year</vt:lpstr>
      <vt:lpstr>FRCP_start_year</vt:lpstr>
      <vt:lpstr>FRCP_y1</vt:lpstr>
      <vt:lpstr>FRCP_y10</vt:lpstr>
      <vt:lpstr>FRCP_y11</vt:lpstr>
      <vt:lpstr>FRCP_y12</vt:lpstr>
      <vt:lpstr>FRCP_y13</vt:lpstr>
      <vt:lpstr>FRCP_y14</vt:lpstr>
      <vt:lpstr>FRCP_y15</vt:lpstr>
      <vt:lpstr>FRCP_y16</vt:lpstr>
      <vt:lpstr>FRCP_y2</vt:lpstr>
      <vt:lpstr>FRCP_y3</vt:lpstr>
      <vt:lpstr>FRCP_y4</vt:lpstr>
      <vt:lpstr>FRCP_y5</vt:lpstr>
      <vt:lpstr>FRCP_y6</vt:lpstr>
      <vt:lpstr>FRCP_y7</vt:lpstr>
      <vt:lpstr>FRCP_y8</vt:lpstr>
      <vt:lpstr>FRCP_y9</vt:lpstr>
      <vt:lpstr>PRCP_final_year</vt:lpstr>
      <vt:lpstr>PRCP_start_year</vt:lpstr>
      <vt:lpstr>PRCP_y1</vt:lpstr>
      <vt:lpstr>PRCP_y10</vt:lpstr>
      <vt:lpstr>PRCP_y11</vt:lpstr>
      <vt:lpstr>PRCP_y12</vt:lpstr>
      <vt:lpstr>PRCP_y13</vt:lpstr>
      <vt:lpstr>PRCP_y14</vt:lpstr>
      <vt:lpstr>PRCP_y15</vt:lpstr>
      <vt:lpstr>PRCP_y16</vt:lpstr>
      <vt:lpstr>PRCP_y2</vt:lpstr>
      <vt:lpstr>PRCP_y3</vt:lpstr>
      <vt:lpstr>PRCP_y4</vt:lpstr>
      <vt:lpstr>PRCP_y5</vt:lpstr>
      <vt:lpstr>PRCP_y6</vt:lpstr>
      <vt:lpstr>PRCP_y7</vt:lpstr>
      <vt:lpstr>PRCP_y8</vt:lpstr>
      <vt:lpstr>PRCP_y9</vt:lpstr>
      <vt:lpstr>previous_vanilla</vt:lpstr>
      <vt:lpstr>Pricing</vt:lpstr>
      <vt:lpstr>Pricing_Fmt2</vt:lpstr>
      <vt:lpstr>'Adjustment for previous period'!Print_Area</vt:lpstr>
      <vt:lpstr>'Capital Base roll forward'!Print_Area</vt:lpstr>
      <vt:lpstr>Intro!Print_Area</vt:lpstr>
      <vt:lpstr>'PTRM input summary'!Print_Area</vt:lpstr>
      <vt:lpstr>'RAB remaining lives'!Print_Area</vt:lpstr>
      <vt:lpstr>'RFM input'!Print_Area</vt:lpstr>
      <vt:lpstr>'TAB remaining lives'!Print_Area</vt:lpstr>
      <vt:lpstr>'TAB roll forward'!Print_Area</vt:lpstr>
      <vt:lpstr>'Total RAB roll forward'!Print_Area</vt:lpstr>
      <vt:lpstr>PTRM</vt:lpstr>
      <vt:lpstr>PTRM_Fmt2</vt:lpstr>
      <vt:lpstr>Reset</vt:lpstr>
      <vt:lpstr>Reset_Fmt2</vt:lpstr>
      <vt:lpstr>RFM</vt:lpstr>
      <vt:lpstr>RFM_Fmt2</vt:lpstr>
      <vt:lpstr>RLcapex1</vt:lpstr>
      <vt:lpstr>RLcapex10</vt:lpstr>
      <vt:lpstr>RLcapex11</vt:lpstr>
      <vt:lpstr>RLcapex12</vt:lpstr>
      <vt:lpstr>RLcapex13</vt:lpstr>
      <vt:lpstr>RLcapex14</vt:lpstr>
      <vt:lpstr>RLcapex15</vt:lpstr>
      <vt:lpstr>RLcapex16</vt:lpstr>
      <vt:lpstr>RLcapex17</vt:lpstr>
      <vt:lpstr>RLcapex18</vt:lpstr>
      <vt:lpstr>RLcapex19</vt:lpstr>
      <vt:lpstr>RLcapex2</vt:lpstr>
      <vt:lpstr>RLcapex20</vt:lpstr>
      <vt:lpstr>RLcapex21</vt:lpstr>
      <vt:lpstr>RLcapex22</vt:lpstr>
      <vt:lpstr>RLcapex23</vt:lpstr>
      <vt:lpstr>RLcapex24</vt:lpstr>
      <vt:lpstr>RLcapex25</vt:lpstr>
      <vt:lpstr>RLcapex26</vt:lpstr>
      <vt:lpstr>RLcapex27</vt:lpstr>
      <vt:lpstr>RLcapex28</vt:lpstr>
      <vt:lpstr>RLcapex29</vt:lpstr>
      <vt:lpstr>RLcapex3</vt:lpstr>
      <vt:lpstr>RLcapex30</vt:lpstr>
      <vt:lpstr>RLcapex31</vt:lpstr>
      <vt:lpstr>RLcapex32</vt:lpstr>
      <vt:lpstr>RLcapex33</vt:lpstr>
      <vt:lpstr>RLcapex34</vt:lpstr>
      <vt:lpstr>RLcapex35</vt:lpstr>
      <vt:lpstr>RLcapex36</vt:lpstr>
      <vt:lpstr>RLcapex37</vt:lpstr>
      <vt:lpstr>RLcapex38</vt:lpstr>
      <vt:lpstr>RLcapex39</vt:lpstr>
      <vt:lpstr>RLcapex4</vt:lpstr>
      <vt:lpstr>RLcapex40</vt:lpstr>
      <vt:lpstr>RLcapex41</vt:lpstr>
      <vt:lpstr>RLcapex42</vt:lpstr>
      <vt:lpstr>RLcapex43</vt:lpstr>
      <vt:lpstr>RLcapex44</vt:lpstr>
      <vt:lpstr>RLcapex45</vt:lpstr>
      <vt:lpstr>RLcapex46</vt:lpstr>
      <vt:lpstr>RLcapex47</vt:lpstr>
      <vt:lpstr>RLcapex48</vt:lpstr>
      <vt:lpstr>RLcapex49</vt:lpstr>
      <vt:lpstr>RLcapex5</vt:lpstr>
      <vt:lpstr>RLcapex50</vt:lpstr>
      <vt:lpstr>RLcapex6</vt:lpstr>
      <vt:lpstr>RLcapex7</vt:lpstr>
      <vt:lpstr>RLcapex8</vt:lpstr>
      <vt:lpstr>RLcapex9</vt:lpstr>
      <vt:lpstr>RLives1</vt:lpstr>
      <vt:lpstr>RLives10</vt:lpstr>
      <vt:lpstr>RLives11</vt:lpstr>
      <vt:lpstr>RLives12</vt:lpstr>
      <vt:lpstr>RLives13</vt:lpstr>
      <vt:lpstr>RLives14</vt:lpstr>
      <vt:lpstr>RLives15</vt:lpstr>
      <vt:lpstr>RLives16</vt:lpstr>
      <vt:lpstr>RLives17</vt:lpstr>
      <vt:lpstr>RLives18</vt:lpstr>
      <vt:lpstr>RLives19</vt:lpstr>
      <vt:lpstr>RLives2</vt:lpstr>
      <vt:lpstr>RLives20</vt:lpstr>
      <vt:lpstr>RLives21</vt:lpstr>
      <vt:lpstr>RLives22</vt:lpstr>
      <vt:lpstr>RLives23</vt:lpstr>
      <vt:lpstr>RLives24</vt:lpstr>
      <vt:lpstr>RLives25</vt:lpstr>
      <vt:lpstr>RLives26</vt:lpstr>
      <vt:lpstr>RLives27</vt:lpstr>
      <vt:lpstr>RLives28</vt:lpstr>
      <vt:lpstr>RLives29</vt:lpstr>
      <vt:lpstr>RLives3</vt:lpstr>
      <vt:lpstr>RLives30</vt:lpstr>
      <vt:lpstr>RLives31</vt:lpstr>
      <vt:lpstr>RLives32</vt:lpstr>
      <vt:lpstr>RLives33</vt:lpstr>
      <vt:lpstr>RLives34</vt:lpstr>
      <vt:lpstr>RLives35</vt:lpstr>
      <vt:lpstr>RLives36</vt:lpstr>
      <vt:lpstr>RLives37</vt:lpstr>
      <vt:lpstr>RLives38</vt:lpstr>
      <vt:lpstr>RLives39</vt:lpstr>
      <vt:lpstr>RLives4</vt:lpstr>
      <vt:lpstr>RLives40</vt:lpstr>
      <vt:lpstr>RLives41</vt:lpstr>
      <vt:lpstr>RLives42</vt:lpstr>
      <vt:lpstr>RLives43</vt:lpstr>
      <vt:lpstr>RLives44</vt:lpstr>
      <vt:lpstr>RLives45</vt:lpstr>
      <vt:lpstr>RLives46</vt:lpstr>
      <vt:lpstr>RLives47</vt:lpstr>
      <vt:lpstr>RLives48</vt:lpstr>
      <vt:lpstr>RLives49</vt:lpstr>
      <vt:lpstr>RLives5</vt:lpstr>
      <vt:lpstr>RLives50</vt:lpstr>
      <vt:lpstr>RLives6</vt:lpstr>
      <vt:lpstr>RLives7</vt:lpstr>
      <vt:lpstr>RLives8</vt:lpstr>
      <vt:lpstr>RLives9</vt:lpstr>
      <vt:lpstr>TLcapex1</vt:lpstr>
      <vt:lpstr>TLcapex10</vt:lpstr>
      <vt:lpstr>TLcapex11</vt:lpstr>
      <vt:lpstr>TLcapex12</vt:lpstr>
      <vt:lpstr>TLcapex13</vt:lpstr>
      <vt:lpstr>TLcapex14</vt:lpstr>
      <vt:lpstr>TLcapex15</vt:lpstr>
      <vt:lpstr>TLcapex16</vt:lpstr>
      <vt:lpstr>TLcapex17</vt:lpstr>
      <vt:lpstr>TLcapex18</vt:lpstr>
      <vt:lpstr>TLcapex19</vt:lpstr>
      <vt:lpstr>TLcapex2</vt:lpstr>
      <vt:lpstr>TLcapex20</vt:lpstr>
      <vt:lpstr>TLcapex21</vt:lpstr>
      <vt:lpstr>TLcapex22</vt:lpstr>
      <vt:lpstr>TLcapex23</vt:lpstr>
      <vt:lpstr>TLcapex24</vt:lpstr>
      <vt:lpstr>TLcapex25</vt:lpstr>
      <vt:lpstr>TLcapex26</vt:lpstr>
      <vt:lpstr>TLcapex27</vt:lpstr>
      <vt:lpstr>TLcapex28</vt:lpstr>
      <vt:lpstr>TLcapex29</vt:lpstr>
      <vt:lpstr>TLcapex3</vt:lpstr>
      <vt:lpstr>TLcapex30</vt:lpstr>
      <vt:lpstr>TLcapex31</vt:lpstr>
      <vt:lpstr>TLcapex32</vt:lpstr>
      <vt:lpstr>TLcapex33</vt:lpstr>
      <vt:lpstr>TLcapex34</vt:lpstr>
      <vt:lpstr>TLcapex35</vt:lpstr>
      <vt:lpstr>TLcapex36</vt:lpstr>
      <vt:lpstr>TLcapex37</vt:lpstr>
      <vt:lpstr>TLcapex38</vt:lpstr>
      <vt:lpstr>TLcapex39</vt:lpstr>
      <vt:lpstr>TLcapex4</vt:lpstr>
      <vt:lpstr>TLcapex40</vt:lpstr>
      <vt:lpstr>TLcapex41</vt:lpstr>
      <vt:lpstr>TLcapex42</vt:lpstr>
      <vt:lpstr>TLcapex43</vt:lpstr>
      <vt:lpstr>TLcapex44</vt:lpstr>
      <vt:lpstr>TLcapex45</vt:lpstr>
      <vt:lpstr>TLcapex46</vt:lpstr>
      <vt:lpstr>TLcapex47</vt:lpstr>
      <vt:lpstr>TLcapex48</vt:lpstr>
      <vt:lpstr>TLcapex49</vt:lpstr>
      <vt:lpstr>TLcapex5</vt:lpstr>
      <vt:lpstr>TLcapex50</vt:lpstr>
      <vt:lpstr>TLcapex6</vt:lpstr>
      <vt:lpstr>TLcapex7</vt:lpstr>
      <vt:lpstr>TLcapex8</vt:lpstr>
      <vt:lpstr>TLcapex9</vt:lpstr>
      <vt:lpstr>TLives1</vt:lpstr>
      <vt:lpstr>TLives10</vt:lpstr>
      <vt:lpstr>TLives11</vt:lpstr>
      <vt:lpstr>TLives12</vt:lpstr>
      <vt:lpstr>TLives13</vt:lpstr>
      <vt:lpstr>TLives14</vt:lpstr>
      <vt:lpstr>TLives15</vt:lpstr>
      <vt:lpstr>TLives16</vt:lpstr>
      <vt:lpstr>TLives17</vt:lpstr>
      <vt:lpstr>TLives18</vt:lpstr>
      <vt:lpstr>TLives19</vt:lpstr>
      <vt:lpstr>TLives2</vt:lpstr>
      <vt:lpstr>TLives20</vt:lpstr>
      <vt:lpstr>TLives21</vt:lpstr>
      <vt:lpstr>TLives22</vt:lpstr>
      <vt:lpstr>TLives23</vt:lpstr>
      <vt:lpstr>TLives24</vt:lpstr>
      <vt:lpstr>TLives25</vt:lpstr>
      <vt:lpstr>TLives26</vt:lpstr>
      <vt:lpstr>TLives27</vt:lpstr>
      <vt:lpstr>TLives28</vt:lpstr>
      <vt:lpstr>TLives29</vt:lpstr>
      <vt:lpstr>TLives3</vt:lpstr>
      <vt:lpstr>TLives30</vt:lpstr>
      <vt:lpstr>TLives31</vt:lpstr>
      <vt:lpstr>TLives32</vt:lpstr>
      <vt:lpstr>TLives33</vt:lpstr>
      <vt:lpstr>TLives34</vt:lpstr>
      <vt:lpstr>TLives35</vt:lpstr>
      <vt:lpstr>TLives36</vt:lpstr>
      <vt:lpstr>TLives37</vt:lpstr>
      <vt:lpstr>TLives38</vt:lpstr>
      <vt:lpstr>TLives39</vt:lpstr>
      <vt:lpstr>TLives4</vt:lpstr>
      <vt:lpstr>TLives40</vt:lpstr>
      <vt:lpstr>TLives41</vt:lpstr>
      <vt:lpstr>TLives42</vt:lpstr>
      <vt:lpstr>TLives43</vt:lpstr>
      <vt:lpstr>TLives44</vt:lpstr>
      <vt:lpstr>TLives45</vt:lpstr>
      <vt:lpstr>TLives46</vt:lpstr>
      <vt:lpstr>TLives47</vt:lpstr>
      <vt:lpstr>TLives48</vt:lpstr>
      <vt:lpstr>TLives49</vt:lpstr>
      <vt:lpstr>TLives5</vt:lpstr>
      <vt:lpstr>TLives50</vt:lpstr>
      <vt:lpstr>TLives6</vt:lpstr>
      <vt:lpstr>TLives7</vt:lpstr>
      <vt:lpstr>TLives8</vt:lpstr>
      <vt:lpstr>TLives9</vt:lpstr>
      <vt:lpstr>vanilla1</vt:lpstr>
      <vt:lpstr>vanilla10</vt:lpstr>
      <vt:lpstr>vanilla2</vt:lpstr>
      <vt:lpstr>vanilla3</vt:lpstr>
      <vt:lpstr>vanilla4</vt:lpstr>
      <vt:lpstr>vanilla5</vt:lpstr>
      <vt:lpstr>vanilla6</vt:lpstr>
      <vt:lpstr>vanilla7</vt:lpstr>
      <vt:lpstr>vanilla8</vt:lpstr>
      <vt:lpstr>vanilla9</vt:lpstr>
      <vt:lpstr>WACC</vt:lpstr>
      <vt:lpstr>WACC_Fmt2</vt:lpstr>
    </vt:vector>
  </TitlesOfParts>
  <Company>AER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 - Transmission roll forward model - Version 3</dc:title>
  <dc:creator>Boo, Richard</dc:creator>
  <dc:description>CURRENT @ 20191211</dc:description>
  <cp:lastModifiedBy>Lisa Foo</cp:lastModifiedBy>
  <cp:lastPrinted>2015-10-15T07:07:55Z</cp:lastPrinted>
  <dcterms:created xsi:type="dcterms:W3CDTF">2000-02-13T23:07:37Z</dcterms:created>
  <dcterms:modified xsi:type="dcterms:W3CDTF">2023-04-23T23:47:55Z</dcterms:modified>
  <cp:contentStatus>CURRENT @ 20191211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